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SEMESTER_8\ASSET\DATA\"/>
    </mc:Choice>
  </mc:AlternateContent>
  <xr:revisionPtr revIDLastSave="0" documentId="13_ncr:1_{B8CBB25E-8AFE-4339-BC8B-43C72C804A2A}" xr6:coauthVersionLast="47" xr6:coauthVersionMax="47" xr10:uidLastSave="{00000000-0000-0000-0000-000000000000}"/>
  <bookViews>
    <workbookView xWindow="-108" yWindow="-108" windowWidth="23256" windowHeight="13176" activeTab="1" xr2:uid="{6A8D5CD6-ACAD-48E6-B108-9FA16F1398E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G3938" i="1" l="1"/>
  <c r="BG3937" i="1"/>
  <c r="AQ3937" i="1"/>
  <c r="BG3936" i="1"/>
  <c r="AQ3936" i="1"/>
  <c r="BG3935" i="1"/>
  <c r="AQ3935" i="1"/>
  <c r="BG3934" i="1"/>
  <c r="AQ3934" i="1"/>
  <c r="BG3933" i="1"/>
  <c r="AQ3933" i="1"/>
  <c r="BG3932" i="1"/>
  <c r="AQ3932" i="1"/>
  <c r="BG3931" i="1"/>
  <c r="AQ3931" i="1"/>
  <c r="BG3930" i="1"/>
  <c r="AQ3930" i="1"/>
  <c r="BG3929" i="1"/>
  <c r="AQ3929" i="1"/>
  <c r="BG3928" i="1"/>
  <c r="AQ3928" i="1"/>
  <c r="BG3927" i="1"/>
  <c r="AQ3927" i="1"/>
  <c r="BG3926" i="1"/>
  <c r="AQ3926" i="1"/>
  <c r="BG3925" i="1"/>
  <c r="AQ3925" i="1"/>
  <c r="BG3924" i="1"/>
  <c r="AQ3924" i="1"/>
  <c r="BG3923" i="1"/>
  <c r="BG3922" i="1"/>
  <c r="BG3921" i="1"/>
  <c r="BG3920" i="1"/>
  <c r="BG3919" i="1"/>
  <c r="BG3918" i="1"/>
  <c r="BG3917" i="1"/>
  <c r="BG3916" i="1"/>
  <c r="BG3915" i="1"/>
  <c r="BG3914" i="1"/>
  <c r="BG3913" i="1"/>
  <c r="BG3912" i="1"/>
  <c r="BG3911" i="1"/>
  <c r="BG3910" i="1"/>
  <c r="BG3909" i="1"/>
  <c r="BG3908" i="1"/>
  <c r="AQ3908" i="1"/>
  <c r="BG3907" i="1"/>
  <c r="AQ3907" i="1"/>
  <c r="BG3906" i="1"/>
  <c r="AQ3906" i="1"/>
  <c r="BG3905" i="1"/>
  <c r="AQ3905" i="1"/>
  <c r="BG3904" i="1"/>
  <c r="AQ3904" i="1"/>
  <c r="BG3903" i="1"/>
  <c r="AQ3903" i="1"/>
  <c r="BG3902" i="1"/>
  <c r="AQ3902" i="1"/>
  <c r="BG3901" i="1"/>
  <c r="AQ3901" i="1"/>
  <c r="BG3900" i="1"/>
  <c r="AQ3900" i="1"/>
  <c r="BG3899" i="1"/>
  <c r="AQ3899" i="1"/>
  <c r="BG3898" i="1"/>
  <c r="BG3897" i="1"/>
  <c r="BG3896" i="1"/>
  <c r="BG3895" i="1"/>
  <c r="BG3894" i="1"/>
  <c r="BG3893" i="1"/>
  <c r="BG3892" i="1"/>
  <c r="BG3891" i="1"/>
  <c r="AQ3891" i="1"/>
  <c r="BG3890" i="1"/>
  <c r="AQ3890" i="1"/>
  <c r="BG3889" i="1"/>
  <c r="AQ3889" i="1"/>
  <c r="BG3888" i="1"/>
  <c r="AQ3888" i="1"/>
  <c r="BG3887" i="1"/>
  <c r="AQ3887" i="1"/>
  <c r="BG3886" i="1"/>
  <c r="AQ3886" i="1"/>
  <c r="BG3885" i="1"/>
  <c r="AQ3885" i="1"/>
  <c r="BG3884" i="1"/>
  <c r="AQ3884" i="1"/>
  <c r="BG3883" i="1"/>
  <c r="AQ3883" i="1"/>
  <c r="BG3882" i="1"/>
  <c r="AQ3882" i="1"/>
  <c r="BG3881" i="1"/>
  <c r="AQ3881" i="1"/>
  <c r="BG3880" i="1"/>
  <c r="AQ3880" i="1"/>
  <c r="BG3879" i="1"/>
  <c r="AQ3879" i="1"/>
  <c r="BG3878" i="1"/>
  <c r="AQ3878" i="1"/>
  <c r="BG3877" i="1"/>
  <c r="AQ3877" i="1"/>
  <c r="BG3876" i="1"/>
  <c r="AQ3876" i="1"/>
  <c r="BG3875" i="1"/>
  <c r="AQ3875" i="1"/>
  <c r="BG3874" i="1"/>
  <c r="AQ3874" i="1"/>
  <c r="BG3873" i="1"/>
  <c r="AQ3873" i="1"/>
  <c r="BG3872" i="1"/>
  <c r="AQ3872" i="1"/>
  <c r="BG3871" i="1"/>
  <c r="AQ3871" i="1"/>
  <c r="BG3870" i="1"/>
  <c r="AQ3870" i="1"/>
  <c r="BG3869" i="1"/>
  <c r="AQ3869" i="1"/>
  <c r="BG3868" i="1"/>
  <c r="AQ3868" i="1"/>
  <c r="BG3867" i="1"/>
  <c r="AQ3867" i="1"/>
  <c r="BG3866" i="1"/>
  <c r="AQ3866" i="1"/>
  <c r="BG3865" i="1"/>
  <c r="AQ3865" i="1"/>
  <c r="BG3864" i="1"/>
  <c r="AQ3864" i="1"/>
  <c r="BG3863" i="1"/>
  <c r="AQ3863" i="1"/>
  <c r="BG3862" i="1"/>
  <c r="AQ3862" i="1"/>
  <c r="BG3861" i="1"/>
  <c r="AQ3861" i="1"/>
  <c r="BG3860" i="1"/>
  <c r="AQ3860" i="1"/>
  <c r="BG3859" i="1"/>
  <c r="AQ3859" i="1"/>
  <c r="BG3858" i="1"/>
  <c r="AQ3858" i="1"/>
  <c r="BG3857" i="1"/>
  <c r="AQ3857" i="1"/>
  <c r="BG3856" i="1"/>
  <c r="AQ3856" i="1"/>
  <c r="BG3855" i="1"/>
  <c r="AQ3855" i="1"/>
  <c r="BG3854" i="1"/>
  <c r="AQ3854" i="1"/>
  <c r="BG3853" i="1"/>
  <c r="AQ3853" i="1"/>
  <c r="BG3852" i="1"/>
  <c r="AQ3852" i="1"/>
  <c r="BG3851" i="1"/>
  <c r="AQ3851" i="1"/>
  <c r="BG3850" i="1"/>
  <c r="AQ3850" i="1"/>
  <c r="BG3849" i="1"/>
  <c r="AQ3849" i="1"/>
  <c r="BG3848" i="1"/>
  <c r="AQ3848" i="1"/>
  <c r="BG3847" i="1"/>
  <c r="AQ3847" i="1"/>
  <c r="BG3846" i="1"/>
  <c r="AQ3846" i="1"/>
  <c r="BG3845" i="1"/>
  <c r="AQ3845" i="1"/>
  <c r="BG3844" i="1"/>
  <c r="AQ3844" i="1"/>
  <c r="BG3843" i="1"/>
  <c r="AQ3843" i="1"/>
  <c r="BG3842" i="1"/>
  <c r="AQ3842" i="1"/>
  <c r="BG3841" i="1"/>
  <c r="AQ3841" i="1"/>
  <c r="BG3840" i="1"/>
  <c r="AQ3840" i="1"/>
  <c r="BG3839" i="1"/>
  <c r="AQ3839" i="1"/>
  <c r="BG3838" i="1"/>
  <c r="AQ3838" i="1"/>
  <c r="BG3837" i="1"/>
  <c r="AQ3837" i="1"/>
  <c r="BG3836" i="1"/>
  <c r="AQ3836" i="1"/>
  <c r="BG3835" i="1"/>
  <c r="AQ3835" i="1"/>
  <c r="BG3834" i="1"/>
  <c r="AQ3834" i="1"/>
  <c r="BG3833" i="1"/>
  <c r="AQ3833" i="1"/>
  <c r="BG3832" i="1"/>
  <c r="BG3831" i="1"/>
  <c r="BG3830" i="1"/>
  <c r="BG3829" i="1"/>
  <c r="BG3828" i="1"/>
  <c r="AQ3828" i="1"/>
  <c r="BG3827" i="1"/>
  <c r="AQ3827" i="1"/>
  <c r="BG3826" i="1"/>
  <c r="AQ3826" i="1"/>
  <c r="BG3825" i="1"/>
  <c r="AQ3825" i="1"/>
  <c r="BG3824" i="1"/>
  <c r="AQ3824" i="1"/>
  <c r="BG3823" i="1"/>
  <c r="AQ3823" i="1"/>
  <c r="BG3822" i="1"/>
  <c r="AQ3822" i="1"/>
  <c r="BG3821" i="1"/>
  <c r="AQ3821" i="1"/>
  <c r="BG3820" i="1"/>
  <c r="AQ3820" i="1"/>
  <c r="BG3819" i="1"/>
  <c r="AQ3819" i="1"/>
  <c r="BG3818" i="1"/>
  <c r="AQ3818" i="1"/>
  <c r="BG3817" i="1"/>
  <c r="AQ3817" i="1"/>
  <c r="BG3816" i="1"/>
  <c r="AQ3816" i="1"/>
  <c r="BG3815" i="1"/>
  <c r="AQ3815" i="1"/>
  <c r="BG3814" i="1"/>
  <c r="AQ3814" i="1"/>
  <c r="BG3813" i="1"/>
  <c r="AQ3813" i="1"/>
  <c r="BG3812" i="1"/>
  <c r="AQ3812" i="1"/>
  <c r="BG3811" i="1"/>
  <c r="AQ3811" i="1"/>
  <c r="BG3810" i="1"/>
  <c r="AQ3810" i="1"/>
  <c r="BG3809" i="1"/>
  <c r="AQ3809" i="1"/>
  <c r="BG3808" i="1"/>
  <c r="AQ3808" i="1"/>
  <c r="BG3807" i="1"/>
  <c r="AQ3807" i="1"/>
  <c r="BG3806" i="1"/>
  <c r="AQ3806" i="1"/>
  <c r="BG3805" i="1"/>
  <c r="AQ3805" i="1"/>
  <c r="BG3804" i="1"/>
  <c r="AQ3804" i="1"/>
  <c r="BG3803" i="1"/>
  <c r="AQ3803" i="1"/>
  <c r="BG3802" i="1"/>
  <c r="AQ3802" i="1"/>
  <c r="BG3801" i="1"/>
  <c r="AQ3801" i="1"/>
  <c r="BG3800" i="1"/>
  <c r="AQ3800" i="1"/>
  <c r="BG3799" i="1"/>
  <c r="AQ3799" i="1"/>
  <c r="BG3798" i="1"/>
  <c r="AQ3798" i="1"/>
  <c r="BG3797" i="1"/>
  <c r="AQ3797" i="1"/>
  <c r="BG3796" i="1"/>
  <c r="AQ3796" i="1"/>
  <c r="BG3795" i="1"/>
  <c r="AQ3795" i="1"/>
  <c r="BG3794" i="1"/>
  <c r="AQ3794" i="1"/>
  <c r="BG3793" i="1"/>
  <c r="AQ3793" i="1"/>
  <c r="BG3792" i="1"/>
  <c r="AQ3792" i="1"/>
  <c r="BG3791" i="1"/>
  <c r="AQ3791" i="1"/>
  <c r="BG3790" i="1"/>
  <c r="AQ3790" i="1"/>
  <c r="BG3789" i="1"/>
  <c r="AQ3789" i="1"/>
  <c r="BG3788" i="1"/>
  <c r="AQ3788" i="1"/>
  <c r="BG3787" i="1"/>
  <c r="AQ3787" i="1"/>
  <c r="BG3786" i="1"/>
  <c r="AQ3786" i="1"/>
  <c r="BG3785" i="1"/>
  <c r="AQ3785" i="1"/>
  <c r="BG3784" i="1"/>
  <c r="AQ3784" i="1"/>
  <c r="BG3783" i="1"/>
  <c r="AQ3783" i="1"/>
  <c r="BG3782" i="1"/>
  <c r="AQ3782" i="1"/>
  <c r="BG3781" i="1"/>
  <c r="AQ3781" i="1"/>
  <c r="BG3780" i="1"/>
  <c r="AQ3780" i="1"/>
  <c r="BG3779" i="1"/>
  <c r="AQ3779" i="1"/>
  <c r="BG3778" i="1"/>
  <c r="AQ3778" i="1"/>
  <c r="BG3777" i="1"/>
  <c r="AQ3777" i="1"/>
  <c r="BG3776" i="1"/>
  <c r="AQ3776" i="1"/>
  <c r="BG3775" i="1"/>
  <c r="AQ3775" i="1"/>
  <c r="BG3774" i="1"/>
  <c r="AQ3774" i="1"/>
  <c r="BG3773" i="1"/>
  <c r="AQ3773" i="1"/>
  <c r="BG3772" i="1"/>
  <c r="AQ3772" i="1"/>
  <c r="BG3771" i="1"/>
  <c r="AQ3771" i="1"/>
  <c r="BG3770" i="1"/>
  <c r="AQ3770" i="1"/>
  <c r="BG3769" i="1"/>
  <c r="AQ3769" i="1"/>
  <c r="BG3768" i="1"/>
  <c r="AQ3768" i="1"/>
  <c r="BG3767" i="1"/>
  <c r="AQ3767" i="1"/>
  <c r="BG3766" i="1"/>
  <c r="AQ3766" i="1"/>
  <c r="BG3765" i="1"/>
  <c r="AQ3765" i="1"/>
  <c r="BG3764" i="1"/>
  <c r="AQ3764" i="1"/>
  <c r="BG3763" i="1"/>
  <c r="AQ3763" i="1"/>
  <c r="BG3762" i="1"/>
  <c r="BG3761" i="1"/>
  <c r="BG3760" i="1"/>
  <c r="AQ3760" i="1"/>
  <c r="BG3759" i="1"/>
  <c r="AQ3759" i="1"/>
  <c r="BG3758" i="1"/>
  <c r="AQ3758" i="1"/>
  <c r="BG3757" i="1"/>
  <c r="AQ3757" i="1"/>
  <c r="BG3756" i="1"/>
  <c r="AQ3756" i="1"/>
  <c r="BG3755" i="1"/>
  <c r="AQ3755" i="1"/>
  <c r="BG3754" i="1"/>
  <c r="AQ3754" i="1"/>
  <c r="BG3753" i="1"/>
  <c r="AQ3753" i="1"/>
  <c r="BG3752" i="1"/>
  <c r="AQ3752" i="1"/>
  <c r="BG3751" i="1"/>
  <c r="AQ3751" i="1"/>
  <c r="BG3750" i="1"/>
  <c r="AQ3750" i="1"/>
  <c r="BG3749" i="1"/>
  <c r="AQ3749" i="1"/>
  <c r="BG3748" i="1"/>
  <c r="AQ3748" i="1"/>
  <c r="BG3747" i="1"/>
  <c r="AQ3747" i="1"/>
  <c r="BG3746" i="1"/>
  <c r="AQ3746" i="1"/>
  <c r="BG3745" i="1"/>
  <c r="AQ3745" i="1"/>
  <c r="BG3744" i="1"/>
  <c r="AQ3744" i="1"/>
  <c r="BG3743" i="1"/>
  <c r="AQ3743" i="1"/>
  <c r="BG3742" i="1"/>
  <c r="AQ3742" i="1"/>
  <c r="BG3741" i="1"/>
  <c r="AQ3741" i="1"/>
  <c r="BG3740" i="1"/>
  <c r="AQ3740" i="1"/>
  <c r="BG3739" i="1"/>
  <c r="AQ3739" i="1"/>
  <c r="BG3738" i="1"/>
  <c r="AQ3738" i="1"/>
  <c r="BG3737" i="1"/>
  <c r="AQ3737" i="1"/>
  <c r="BG3736" i="1"/>
  <c r="AQ3736" i="1"/>
  <c r="BG3735" i="1"/>
  <c r="AQ3735" i="1"/>
  <c r="BG3734" i="1"/>
  <c r="AQ3734" i="1"/>
  <c r="BG3733" i="1"/>
  <c r="AQ3733" i="1"/>
  <c r="BG3732" i="1"/>
  <c r="AQ3732" i="1"/>
  <c r="BG3731" i="1"/>
  <c r="AQ3731" i="1"/>
  <c r="BG3730" i="1"/>
  <c r="AQ3730" i="1"/>
  <c r="BG3729" i="1"/>
  <c r="AQ3729" i="1"/>
  <c r="BG3728" i="1"/>
  <c r="AQ3728" i="1"/>
  <c r="BG3727" i="1"/>
  <c r="AQ3727" i="1"/>
  <c r="BG3726" i="1"/>
  <c r="AQ3726" i="1"/>
  <c r="BG3725" i="1"/>
  <c r="AQ3725" i="1"/>
  <c r="BG3724" i="1"/>
  <c r="AQ3724" i="1"/>
  <c r="BG3723" i="1"/>
  <c r="AQ3723" i="1"/>
  <c r="BG3722" i="1"/>
  <c r="AQ3722" i="1"/>
  <c r="BG3721" i="1"/>
  <c r="AQ3721" i="1"/>
  <c r="BG3720" i="1"/>
  <c r="BG3719" i="1"/>
  <c r="BG3718" i="1"/>
  <c r="BG3717" i="1"/>
  <c r="BG3716" i="1"/>
  <c r="BG3715" i="1"/>
  <c r="BG3714" i="1"/>
  <c r="BG3713" i="1"/>
  <c r="BG3712" i="1"/>
  <c r="BG3711" i="1"/>
  <c r="BG3710" i="1"/>
  <c r="BG3709" i="1"/>
  <c r="BG3708" i="1"/>
  <c r="BG3707" i="1"/>
  <c r="BG3706" i="1"/>
  <c r="BG3705" i="1"/>
  <c r="BG3704" i="1"/>
  <c r="BG3703" i="1"/>
  <c r="BG3702" i="1"/>
  <c r="BG3701" i="1"/>
  <c r="BG3700" i="1"/>
  <c r="BG3699" i="1"/>
  <c r="BG3698" i="1"/>
  <c r="BG3697" i="1"/>
  <c r="BG3696" i="1"/>
  <c r="BG3695" i="1"/>
  <c r="BG3694" i="1"/>
  <c r="BG3693" i="1"/>
  <c r="BG3692" i="1"/>
  <c r="BG3691" i="1"/>
  <c r="BG3690" i="1"/>
  <c r="BG3689" i="1"/>
  <c r="BG3688" i="1"/>
  <c r="BG3687" i="1"/>
  <c r="BG3686" i="1"/>
  <c r="BG3685" i="1"/>
  <c r="BG3684" i="1"/>
  <c r="BG3683" i="1"/>
  <c r="BG3682" i="1"/>
  <c r="BG3681" i="1"/>
  <c r="BG3680" i="1"/>
  <c r="BG3679" i="1"/>
  <c r="BG3678" i="1"/>
  <c r="BG3677" i="1"/>
  <c r="BG3676" i="1"/>
  <c r="AQ3676" i="1"/>
  <c r="BG3675" i="1"/>
  <c r="AQ3675" i="1"/>
  <c r="BG3674" i="1"/>
  <c r="AQ3674" i="1"/>
  <c r="BG3673" i="1"/>
  <c r="AQ3673" i="1"/>
  <c r="BG3672" i="1"/>
  <c r="AQ3672" i="1"/>
  <c r="BG3671" i="1"/>
  <c r="AQ3671" i="1"/>
  <c r="BG3670" i="1"/>
  <c r="AQ3670" i="1"/>
  <c r="BG3669" i="1"/>
  <c r="AQ3669" i="1"/>
  <c r="BG3668" i="1"/>
  <c r="AQ3668" i="1"/>
  <c r="BG3667" i="1"/>
  <c r="AQ3667" i="1"/>
  <c r="BG3666" i="1"/>
  <c r="AQ3666" i="1"/>
  <c r="BG3665" i="1"/>
  <c r="AQ3665" i="1"/>
  <c r="BG3664" i="1"/>
  <c r="AQ3664" i="1"/>
  <c r="BG3663" i="1"/>
  <c r="AQ3663" i="1"/>
  <c r="BG3662" i="1"/>
  <c r="AQ3662" i="1"/>
  <c r="BG3661" i="1"/>
  <c r="AQ3661" i="1"/>
  <c r="BG3660" i="1"/>
  <c r="AQ3660" i="1"/>
  <c r="BG3659" i="1"/>
  <c r="AQ3659" i="1"/>
  <c r="BG3658" i="1"/>
  <c r="AQ3658" i="1"/>
  <c r="BG3657" i="1"/>
  <c r="AQ3657" i="1"/>
  <c r="BG3656" i="1"/>
  <c r="AQ3656" i="1"/>
  <c r="BG3655" i="1"/>
  <c r="AQ3655" i="1"/>
  <c r="BG3654" i="1"/>
  <c r="AQ3654" i="1"/>
  <c r="BG3653" i="1"/>
  <c r="AQ3653" i="1"/>
  <c r="BG3652" i="1"/>
  <c r="AQ3652" i="1"/>
  <c r="BG3651" i="1"/>
  <c r="AQ3651" i="1"/>
  <c r="BG3650" i="1"/>
  <c r="AQ3650" i="1"/>
  <c r="BG3649" i="1"/>
  <c r="AQ3649" i="1"/>
  <c r="BG3648" i="1"/>
  <c r="AQ3648" i="1"/>
  <c r="BG3647" i="1"/>
  <c r="AQ3647" i="1"/>
  <c r="BG3646" i="1"/>
  <c r="AQ3646" i="1"/>
  <c r="BG3645" i="1"/>
  <c r="AQ3645" i="1"/>
  <c r="BG3644" i="1"/>
  <c r="AQ3644" i="1"/>
  <c r="BG3643" i="1"/>
  <c r="AQ3643" i="1"/>
  <c r="BG3642" i="1"/>
  <c r="AQ3642" i="1"/>
  <c r="BG3641" i="1"/>
  <c r="AQ3641" i="1"/>
  <c r="BG3640" i="1"/>
  <c r="AQ3640" i="1"/>
  <c r="BG3639" i="1"/>
  <c r="AQ3639" i="1"/>
  <c r="BG3638" i="1"/>
  <c r="AQ3638" i="1"/>
  <c r="BG3637" i="1"/>
  <c r="AQ3637" i="1"/>
  <c r="BG3636" i="1"/>
  <c r="BG3635" i="1"/>
  <c r="BG3634" i="1"/>
  <c r="BG3633" i="1"/>
  <c r="BG3632" i="1"/>
  <c r="BG3631" i="1"/>
  <c r="BG3630" i="1"/>
  <c r="BG3629" i="1"/>
  <c r="BG3628" i="1"/>
  <c r="BG3627" i="1"/>
  <c r="BG3626" i="1"/>
  <c r="BG3625" i="1"/>
  <c r="BG3624" i="1"/>
  <c r="BG3623" i="1"/>
  <c r="BG3622" i="1"/>
  <c r="BG3621" i="1"/>
  <c r="BG3620" i="1"/>
  <c r="BG3619" i="1"/>
  <c r="BG3618" i="1"/>
  <c r="BG3617" i="1"/>
  <c r="AQ3617" i="1"/>
  <c r="BG3616" i="1"/>
  <c r="AQ3616" i="1"/>
  <c r="BG3615" i="1"/>
  <c r="AQ3615" i="1"/>
  <c r="BG3614" i="1"/>
  <c r="AQ3614" i="1"/>
  <c r="BG3613" i="1"/>
  <c r="AQ3613" i="1"/>
  <c r="BG3612" i="1"/>
  <c r="AQ3612" i="1"/>
  <c r="BG3611" i="1"/>
  <c r="AQ3611" i="1"/>
  <c r="BG3610" i="1"/>
  <c r="AQ3610" i="1"/>
  <c r="BG3609" i="1"/>
  <c r="AQ3609" i="1"/>
  <c r="BG3608" i="1"/>
  <c r="AQ3608" i="1"/>
  <c r="BG3607" i="1"/>
  <c r="AQ3607" i="1"/>
  <c r="BG3606" i="1"/>
  <c r="AQ3606" i="1"/>
  <c r="BG3605" i="1"/>
  <c r="AQ3605" i="1"/>
  <c r="BG3604" i="1"/>
  <c r="AQ3604" i="1"/>
  <c r="BG3603" i="1"/>
  <c r="AQ3603" i="1"/>
  <c r="BG3602" i="1"/>
  <c r="AQ3602" i="1"/>
  <c r="BG3601" i="1"/>
  <c r="AQ3601" i="1"/>
  <c r="BG3600" i="1"/>
  <c r="AQ3600" i="1"/>
  <c r="BG3599" i="1"/>
  <c r="AQ3599" i="1"/>
  <c r="BG3598" i="1"/>
  <c r="AQ3598" i="1"/>
  <c r="BG3597" i="1"/>
  <c r="AQ3597" i="1"/>
  <c r="BG3596" i="1"/>
  <c r="AQ3596" i="1"/>
  <c r="BG3595" i="1"/>
  <c r="AQ3595" i="1"/>
  <c r="BG3594" i="1"/>
  <c r="AQ3594" i="1"/>
  <c r="BG3593" i="1"/>
  <c r="AQ3593" i="1"/>
  <c r="BG3592" i="1"/>
  <c r="AQ3592" i="1"/>
  <c r="BG3591" i="1"/>
  <c r="AQ3591" i="1"/>
  <c r="BG3590" i="1"/>
  <c r="BG3589" i="1"/>
  <c r="AQ3589" i="1"/>
  <c r="BG3588" i="1"/>
  <c r="AQ3588" i="1"/>
  <c r="BG3587" i="1"/>
  <c r="AQ3587" i="1"/>
  <c r="BG3586" i="1"/>
  <c r="AQ3586" i="1"/>
  <c r="BG3585" i="1"/>
  <c r="AQ3585" i="1"/>
  <c r="BG3584" i="1"/>
  <c r="AQ3584" i="1"/>
  <c r="BG3583" i="1"/>
  <c r="AQ3583" i="1"/>
  <c r="BG3582" i="1"/>
  <c r="AQ3582" i="1"/>
  <c r="BG3581" i="1"/>
  <c r="AQ3581" i="1"/>
  <c r="BG3580" i="1"/>
  <c r="AQ3580" i="1"/>
  <c r="BG3579" i="1"/>
  <c r="AQ3579" i="1"/>
  <c r="BG3578" i="1"/>
  <c r="AQ3578" i="1"/>
  <c r="BG3577" i="1"/>
  <c r="AQ3577" i="1"/>
  <c r="BG3576" i="1"/>
  <c r="AQ3576" i="1"/>
  <c r="BG3575" i="1"/>
  <c r="AQ3575" i="1"/>
  <c r="BG3574" i="1"/>
  <c r="AQ3574" i="1"/>
  <c r="BG3573" i="1"/>
  <c r="AQ3573" i="1"/>
  <c r="BG3572" i="1"/>
  <c r="AQ3572" i="1"/>
  <c r="BG3571" i="1"/>
  <c r="AQ3571" i="1"/>
  <c r="BG3570" i="1"/>
  <c r="BG3569" i="1"/>
  <c r="BG3568" i="1"/>
  <c r="BG3567" i="1"/>
  <c r="BG3566" i="1"/>
  <c r="BG3565" i="1"/>
  <c r="BG3564" i="1"/>
  <c r="BG3563" i="1"/>
  <c r="BG3562" i="1"/>
  <c r="BG3561" i="1"/>
  <c r="BG3560" i="1"/>
  <c r="BG3559" i="1"/>
  <c r="BG3558" i="1"/>
  <c r="BG3557" i="1"/>
  <c r="BG3556" i="1"/>
  <c r="BG3555" i="1"/>
  <c r="BG3554" i="1"/>
  <c r="BG3553" i="1"/>
  <c r="BG3552" i="1"/>
  <c r="AQ3552" i="1"/>
  <c r="BG3551" i="1"/>
  <c r="AQ3551" i="1"/>
  <c r="BG3550" i="1"/>
  <c r="AQ3550" i="1"/>
  <c r="BG3549" i="1"/>
  <c r="AQ3549" i="1"/>
  <c r="BG3548" i="1"/>
  <c r="AQ3548" i="1"/>
  <c r="BG3547" i="1"/>
  <c r="AQ3547" i="1"/>
  <c r="BG3546" i="1"/>
  <c r="AQ3546" i="1"/>
  <c r="BG3545" i="1"/>
  <c r="BG3544" i="1"/>
  <c r="BG3543" i="1"/>
  <c r="BG3542" i="1"/>
  <c r="BG3541" i="1"/>
  <c r="BG3540" i="1"/>
  <c r="BG3539" i="1"/>
  <c r="BG3538" i="1"/>
  <c r="BG3537" i="1"/>
  <c r="BG3536" i="1"/>
  <c r="BG3535" i="1"/>
  <c r="BG3534" i="1"/>
  <c r="BG3533" i="1"/>
  <c r="BG3532" i="1"/>
  <c r="BG3531" i="1"/>
  <c r="BG3530" i="1"/>
  <c r="BG3529" i="1"/>
  <c r="BG3528" i="1"/>
  <c r="BG3527" i="1"/>
  <c r="BG3526" i="1"/>
  <c r="BG3525" i="1"/>
  <c r="BG3524" i="1"/>
  <c r="BG3523" i="1"/>
  <c r="BG3522" i="1"/>
  <c r="BG3521" i="1"/>
  <c r="BG3520" i="1"/>
  <c r="BG3519" i="1"/>
  <c r="BG3518" i="1"/>
  <c r="BG3517" i="1"/>
  <c r="BG3516" i="1"/>
  <c r="BG3515" i="1"/>
  <c r="BG3514" i="1"/>
  <c r="BG3513" i="1"/>
  <c r="BG3512" i="1"/>
  <c r="BG3511" i="1"/>
  <c r="BG3510" i="1"/>
  <c r="BG3509" i="1"/>
  <c r="BG3508" i="1"/>
  <c r="AQ3508" i="1"/>
  <c r="BG3507" i="1"/>
  <c r="BG3506" i="1"/>
  <c r="AQ3506" i="1"/>
  <c r="BG3505" i="1"/>
  <c r="BG3504" i="1"/>
  <c r="AQ3504" i="1"/>
  <c r="BG3503" i="1"/>
  <c r="AQ3503" i="1"/>
  <c r="BG3502" i="1"/>
  <c r="BG3501" i="1"/>
  <c r="AQ3501" i="1"/>
  <c r="BG3500" i="1"/>
  <c r="BG3499" i="1"/>
  <c r="AQ3499" i="1"/>
  <c r="BG3498" i="1"/>
  <c r="AQ3498" i="1"/>
  <c r="BG3497" i="1"/>
  <c r="AQ3497" i="1"/>
  <c r="BG3496" i="1"/>
  <c r="AQ3496" i="1"/>
  <c r="BG3495" i="1"/>
  <c r="AQ3495" i="1"/>
  <c r="BG3494" i="1"/>
  <c r="AQ3494" i="1"/>
  <c r="BG3493" i="1"/>
  <c r="AQ3493" i="1"/>
  <c r="BG3492" i="1"/>
  <c r="AQ3492" i="1"/>
  <c r="BG3491" i="1"/>
  <c r="BG3490" i="1"/>
  <c r="AQ3490" i="1"/>
  <c r="BG3489" i="1"/>
  <c r="BG3488" i="1"/>
  <c r="AQ3488" i="1"/>
  <c r="BG3487" i="1"/>
  <c r="AQ3487" i="1"/>
  <c r="BG3486" i="1"/>
  <c r="AQ3486" i="1"/>
  <c r="BG3485" i="1"/>
  <c r="AQ3485" i="1"/>
  <c r="BG3484" i="1"/>
  <c r="AQ3484" i="1"/>
  <c r="BG3483" i="1"/>
  <c r="AQ3483" i="1"/>
  <c r="BG3482" i="1"/>
  <c r="AQ3482" i="1"/>
  <c r="BG3481" i="1"/>
  <c r="BG3480" i="1"/>
  <c r="BG3479" i="1"/>
  <c r="BG3478" i="1"/>
  <c r="BG3477" i="1"/>
  <c r="AQ3477" i="1"/>
  <c r="BG3476" i="1"/>
  <c r="AQ3476" i="1"/>
  <c r="BG3475" i="1"/>
  <c r="BG3474" i="1"/>
  <c r="BG3473" i="1"/>
  <c r="AQ3473" i="1"/>
  <c r="BG3472" i="1"/>
  <c r="AQ3472" i="1"/>
  <c r="BG3471" i="1"/>
  <c r="AQ3471" i="1"/>
  <c r="BG3470" i="1"/>
  <c r="AQ3470" i="1"/>
  <c r="BG3469" i="1"/>
  <c r="AQ3469" i="1"/>
  <c r="BG3468" i="1"/>
  <c r="AQ3468" i="1"/>
  <c r="BG3467" i="1"/>
  <c r="AQ3467" i="1"/>
  <c r="BG3466" i="1"/>
  <c r="AQ3466" i="1"/>
  <c r="BG3465" i="1"/>
  <c r="BG3464" i="1"/>
  <c r="BG3463" i="1"/>
  <c r="AQ3463" i="1"/>
  <c r="BG3462" i="1"/>
  <c r="AQ3462" i="1"/>
  <c r="BG3461" i="1"/>
  <c r="AQ3461" i="1"/>
  <c r="BG3460" i="1"/>
  <c r="BG3459" i="1"/>
  <c r="BG3458" i="1"/>
  <c r="BG3457" i="1"/>
  <c r="AQ3457" i="1"/>
  <c r="BG3456" i="1"/>
  <c r="AQ3456" i="1"/>
  <c r="BG3455" i="1"/>
  <c r="AQ3455" i="1"/>
  <c r="BG3454" i="1"/>
  <c r="AQ3454" i="1"/>
  <c r="BG3453" i="1"/>
  <c r="AQ3453" i="1"/>
  <c r="BG3452" i="1"/>
  <c r="AQ3452" i="1"/>
  <c r="BG3451" i="1"/>
  <c r="AQ3451" i="1"/>
  <c r="BG3450" i="1"/>
  <c r="AQ3450" i="1"/>
  <c r="BG3449" i="1"/>
  <c r="AQ3449" i="1"/>
  <c r="BG3448" i="1"/>
  <c r="AQ3448" i="1"/>
  <c r="BG3447" i="1"/>
  <c r="AQ3447" i="1"/>
  <c r="BG3446" i="1"/>
  <c r="AQ3446" i="1"/>
  <c r="BG3445" i="1"/>
  <c r="AQ3445" i="1"/>
  <c r="BG3444" i="1"/>
  <c r="BG3443" i="1"/>
  <c r="BG3442" i="1"/>
  <c r="BG3441" i="1"/>
  <c r="BG3440" i="1"/>
  <c r="AQ3440" i="1"/>
  <c r="BG3439" i="1"/>
  <c r="AQ3439" i="1"/>
  <c r="BG3438" i="1"/>
  <c r="AQ3438" i="1"/>
  <c r="BG3437" i="1"/>
  <c r="AQ3437" i="1"/>
  <c r="BG3436" i="1"/>
  <c r="AQ3436" i="1"/>
  <c r="BG3435" i="1"/>
  <c r="BG3434" i="1"/>
  <c r="BG3433" i="1"/>
  <c r="BG3432" i="1"/>
  <c r="BG3431" i="1"/>
  <c r="BG3430" i="1"/>
  <c r="BG3429" i="1"/>
  <c r="BG3428" i="1"/>
  <c r="BG3427" i="1"/>
  <c r="BG3426" i="1"/>
  <c r="AQ3426" i="1"/>
  <c r="BG3425" i="1"/>
  <c r="AQ3425" i="1"/>
  <c r="BG3424" i="1"/>
  <c r="AQ3424" i="1"/>
  <c r="BG3423" i="1"/>
  <c r="AQ3423" i="1"/>
  <c r="BG3422" i="1"/>
  <c r="BG3421" i="1"/>
  <c r="BG3420" i="1"/>
  <c r="AQ3420" i="1"/>
  <c r="BG3419" i="1"/>
  <c r="BG3418" i="1"/>
  <c r="BG3417" i="1"/>
  <c r="BG3416" i="1"/>
  <c r="AQ3416" i="1"/>
  <c r="BG3415" i="1"/>
  <c r="AQ3415" i="1"/>
  <c r="BG3414" i="1"/>
  <c r="AQ3414" i="1"/>
  <c r="BG3413" i="1"/>
  <c r="AQ3413" i="1"/>
  <c r="BG3412" i="1"/>
  <c r="AQ3412" i="1"/>
  <c r="BG3411" i="1"/>
  <c r="AQ3411" i="1"/>
  <c r="BG3410" i="1"/>
  <c r="BG3409" i="1"/>
  <c r="AQ3409" i="1"/>
  <c r="BG3408" i="1"/>
  <c r="AQ3408" i="1"/>
  <c r="BG3407" i="1"/>
  <c r="AQ3407" i="1"/>
  <c r="BG3406" i="1"/>
  <c r="AQ3406" i="1"/>
  <c r="BG3405" i="1"/>
  <c r="AQ3405" i="1"/>
  <c r="BG3404" i="1"/>
  <c r="AQ3404" i="1"/>
  <c r="BG3403" i="1"/>
  <c r="AQ3403" i="1"/>
  <c r="BG3402" i="1"/>
  <c r="AQ3402" i="1"/>
  <c r="BG3401" i="1"/>
  <c r="AQ3401" i="1"/>
  <c r="BG3400" i="1"/>
  <c r="AQ3400" i="1"/>
  <c r="BG3399" i="1"/>
  <c r="AQ3399" i="1"/>
  <c r="BG3398" i="1"/>
  <c r="AQ3398" i="1"/>
  <c r="BG3397" i="1"/>
  <c r="AQ3397" i="1"/>
  <c r="BG3396" i="1"/>
  <c r="AQ3396" i="1"/>
  <c r="BG3395" i="1"/>
  <c r="AQ3395" i="1"/>
  <c r="BG3394" i="1"/>
  <c r="AQ3394" i="1"/>
  <c r="BG3393" i="1"/>
  <c r="AQ3393" i="1"/>
  <c r="BG3392" i="1"/>
  <c r="AQ3392" i="1"/>
  <c r="BG3391" i="1"/>
  <c r="AQ3391" i="1"/>
  <c r="BG3390" i="1"/>
  <c r="AQ3390" i="1"/>
  <c r="BG3389" i="1"/>
  <c r="AQ3389" i="1"/>
  <c r="BG3388" i="1"/>
  <c r="AQ3388" i="1"/>
  <c r="BG3387" i="1"/>
  <c r="AQ3387" i="1"/>
  <c r="BG3386" i="1"/>
  <c r="AQ3386" i="1"/>
  <c r="BG3385" i="1"/>
  <c r="BG3384" i="1"/>
  <c r="BG3383" i="1"/>
  <c r="BG3382" i="1"/>
  <c r="BG3381" i="1"/>
  <c r="BG3380" i="1"/>
  <c r="BG3379" i="1"/>
  <c r="BG3378" i="1"/>
  <c r="BG3377" i="1"/>
  <c r="AQ3377" i="1"/>
  <c r="BG3376" i="1"/>
  <c r="AQ3376" i="1"/>
  <c r="BG3375" i="1"/>
  <c r="AQ3375" i="1"/>
  <c r="BG3374" i="1"/>
  <c r="AQ3374" i="1"/>
  <c r="BG3373" i="1"/>
  <c r="AQ3373" i="1"/>
  <c r="BG3372" i="1"/>
  <c r="AQ3372" i="1"/>
  <c r="BG3371" i="1"/>
  <c r="AQ3371" i="1"/>
  <c r="BG3370" i="1"/>
  <c r="AQ3370" i="1"/>
  <c r="BG3369" i="1"/>
  <c r="AQ3369" i="1"/>
  <c r="BG3368" i="1"/>
  <c r="AQ3368" i="1"/>
  <c r="BG3367" i="1"/>
  <c r="AQ3367" i="1"/>
  <c r="BG3366" i="1"/>
  <c r="AQ3366" i="1"/>
  <c r="BG3365" i="1"/>
  <c r="AQ3365" i="1"/>
  <c r="BG3364" i="1"/>
  <c r="AQ3364" i="1"/>
  <c r="BG3363" i="1"/>
  <c r="AQ3363" i="1"/>
  <c r="BG3362" i="1"/>
  <c r="AQ3362" i="1"/>
  <c r="BG3361" i="1"/>
  <c r="AQ3361" i="1"/>
  <c r="BG3360" i="1"/>
  <c r="AQ3360" i="1"/>
  <c r="BG3359" i="1"/>
  <c r="AQ3359" i="1"/>
  <c r="BG3358" i="1"/>
  <c r="AQ3358" i="1"/>
  <c r="BG3357" i="1"/>
  <c r="AQ3357" i="1"/>
  <c r="BG3356" i="1"/>
  <c r="AQ3356" i="1"/>
  <c r="BG3355" i="1"/>
  <c r="BG3354" i="1"/>
  <c r="BG3353" i="1"/>
  <c r="BG3352" i="1"/>
  <c r="BG3351" i="1"/>
  <c r="BG3350" i="1"/>
  <c r="BG3349" i="1"/>
  <c r="BG3348" i="1"/>
  <c r="BG3347" i="1"/>
  <c r="BG3346" i="1"/>
  <c r="BG3345" i="1"/>
  <c r="BG3344" i="1"/>
  <c r="BG3343" i="1"/>
  <c r="BG3342" i="1"/>
  <c r="BG3341" i="1"/>
  <c r="BG3340" i="1"/>
  <c r="BG3339" i="1"/>
  <c r="BG3338" i="1"/>
  <c r="BG3337" i="1"/>
  <c r="BG3336" i="1"/>
  <c r="BG3335" i="1"/>
  <c r="BG3334" i="1"/>
  <c r="BG3333" i="1"/>
  <c r="BG3332" i="1"/>
  <c r="BG3331" i="1"/>
  <c r="BG3330" i="1"/>
  <c r="BG3329" i="1"/>
  <c r="BG3328" i="1"/>
  <c r="BG3327" i="1"/>
  <c r="BG3326" i="1"/>
  <c r="BG3325" i="1"/>
  <c r="BG3324" i="1"/>
  <c r="BG3323" i="1"/>
  <c r="BG3322" i="1"/>
  <c r="BG3321" i="1"/>
  <c r="BG3320" i="1"/>
  <c r="BG3319" i="1"/>
  <c r="BG3318" i="1"/>
  <c r="BG3317" i="1"/>
  <c r="BG3316" i="1"/>
  <c r="BG3315" i="1"/>
  <c r="BG3314" i="1"/>
  <c r="BG3313" i="1"/>
  <c r="BG3312" i="1"/>
  <c r="BG3311" i="1"/>
  <c r="BG3310" i="1"/>
  <c r="BG3309" i="1"/>
  <c r="BG3308" i="1"/>
  <c r="BG3307" i="1"/>
  <c r="BG3306" i="1"/>
  <c r="BG3305" i="1"/>
  <c r="BG3304" i="1"/>
  <c r="BG3303" i="1"/>
  <c r="BG3302" i="1"/>
  <c r="BG3301" i="1"/>
  <c r="BG3300" i="1"/>
  <c r="BG3299" i="1"/>
  <c r="BG3298" i="1"/>
  <c r="BG3297" i="1"/>
  <c r="BG3296" i="1"/>
  <c r="BG3295" i="1"/>
  <c r="BG3294" i="1"/>
  <c r="BG3293" i="1"/>
  <c r="BG3292" i="1"/>
  <c r="BG3291" i="1"/>
  <c r="BG3290" i="1"/>
  <c r="BG3289" i="1"/>
  <c r="BG3288" i="1"/>
  <c r="BG3287" i="1"/>
  <c r="BG3286" i="1"/>
  <c r="BG3285" i="1"/>
  <c r="BG3284" i="1"/>
  <c r="BG3283" i="1"/>
  <c r="BG3282" i="1"/>
  <c r="BG3281" i="1"/>
  <c r="BG3280" i="1"/>
  <c r="BG3279" i="1"/>
  <c r="BG3278" i="1"/>
  <c r="BG3277" i="1"/>
  <c r="BG3276" i="1"/>
  <c r="BG3275" i="1"/>
  <c r="BG3274" i="1"/>
  <c r="BG3273" i="1"/>
  <c r="BG3272" i="1"/>
  <c r="BG3271" i="1"/>
  <c r="BG3270" i="1"/>
  <c r="BG3269" i="1"/>
  <c r="BG3268" i="1"/>
  <c r="BG3267" i="1"/>
  <c r="BG3266" i="1"/>
  <c r="BG3265" i="1"/>
  <c r="BG3264" i="1"/>
  <c r="BG3263" i="1"/>
  <c r="BG3262" i="1"/>
  <c r="BG3261" i="1"/>
  <c r="BG3260" i="1"/>
  <c r="BG3259" i="1"/>
  <c r="BG3258" i="1"/>
  <c r="BG3257" i="1"/>
  <c r="BG3256" i="1"/>
  <c r="BG3255" i="1"/>
  <c r="BG3254" i="1"/>
  <c r="BG3253" i="1"/>
  <c r="BG3252" i="1"/>
  <c r="BG3251" i="1"/>
  <c r="BG3250" i="1"/>
  <c r="BG3249" i="1"/>
  <c r="BG3248" i="1"/>
  <c r="BG3247" i="1"/>
  <c r="BG3246" i="1"/>
  <c r="BG3245" i="1"/>
  <c r="BG3244" i="1"/>
  <c r="BG3243" i="1"/>
  <c r="BG3242" i="1"/>
  <c r="BG3241" i="1"/>
  <c r="BG3240" i="1"/>
  <c r="BG3239" i="1"/>
  <c r="BG3238" i="1"/>
  <c r="BG3237" i="1"/>
  <c r="BG3236" i="1"/>
  <c r="BG3235" i="1"/>
  <c r="BG3234" i="1"/>
  <c r="BG3233" i="1"/>
  <c r="BG3232" i="1"/>
  <c r="BG3231" i="1"/>
  <c r="BG3230" i="1"/>
  <c r="BG3229" i="1"/>
  <c r="BG3228" i="1"/>
  <c r="BG3227" i="1"/>
  <c r="BG3226" i="1"/>
  <c r="BG3225" i="1"/>
  <c r="BG3224" i="1"/>
  <c r="BG3223" i="1"/>
  <c r="BG3222" i="1"/>
  <c r="BG3221" i="1"/>
  <c r="BG3220" i="1"/>
  <c r="BG3219" i="1"/>
  <c r="BG3218" i="1"/>
  <c r="BG3217" i="1"/>
  <c r="BG3216" i="1"/>
  <c r="BG3215" i="1"/>
  <c r="BG3214" i="1"/>
  <c r="BG3213" i="1"/>
  <c r="BG3212" i="1"/>
  <c r="BG3211" i="1"/>
  <c r="BG3210" i="1"/>
  <c r="BG3209" i="1"/>
  <c r="BG3208" i="1"/>
  <c r="BG3207" i="1"/>
  <c r="BG3206" i="1"/>
  <c r="BG3205" i="1"/>
  <c r="BG3204" i="1"/>
  <c r="BG3203" i="1"/>
  <c r="BG3202" i="1"/>
  <c r="AQ3202" i="1"/>
  <c r="BG3201" i="1"/>
  <c r="BG3200" i="1"/>
  <c r="AQ3200" i="1"/>
  <c r="BG3199" i="1"/>
  <c r="AQ3199" i="1"/>
  <c r="BG3198" i="1"/>
  <c r="AQ3198" i="1"/>
  <c r="BG3197" i="1"/>
  <c r="AQ3197" i="1"/>
  <c r="BG3196" i="1"/>
  <c r="AQ3196" i="1"/>
  <c r="BG3195" i="1"/>
  <c r="AQ3195" i="1"/>
  <c r="BG3194" i="1"/>
  <c r="AQ3194" i="1"/>
  <c r="BG3193" i="1"/>
  <c r="AQ3193" i="1"/>
  <c r="BG3192" i="1"/>
  <c r="AQ3192" i="1"/>
  <c r="BG3191" i="1"/>
  <c r="AQ3191" i="1"/>
  <c r="BG3190" i="1"/>
  <c r="AQ3190" i="1"/>
  <c r="BG3189" i="1"/>
  <c r="AQ3189" i="1"/>
  <c r="BG3188" i="1"/>
  <c r="AQ3188" i="1"/>
  <c r="BG3187" i="1"/>
  <c r="AQ3187" i="1"/>
  <c r="BG3186" i="1"/>
  <c r="AQ3186" i="1"/>
  <c r="BG3185" i="1"/>
  <c r="AQ3185" i="1"/>
  <c r="BG3184" i="1"/>
  <c r="AQ3184" i="1"/>
  <c r="BG3183" i="1"/>
  <c r="BG3182" i="1"/>
  <c r="BG3181" i="1"/>
  <c r="BG3180" i="1"/>
  <c r="BG3179" i="1"/>
  <c r="BG3178" i="1"/>
  <c r="BG3177" i="1"/>
  <c r="BG3176" i="1"/>
  <c r="BG3175" i="1"/>
  <c r="BG3174" i="1"/>
  <c r="BG3173" i="1"/>
  <c r="BG3172" i="1"/>
  <c r="BG3171" i="1"/>
  <c r="BG3170" i="1"/>
  <c r="BG3169" i="1"/>
  <c r="BG3168" i="1"/>
  <c r="BG3167" i="1"/>
  <c r="BG3166" i="1"/>
  <c r="BG3165" i="1"/>
  <c r="BG3164" i="1"/>
  <c r="AQ3164" i="1"/>
  <c r="BG3163" i="1"/>
  <c r="AQ3163" i="1"/>
  <c r="BG3162" i="1"/>
  <c r="AQ3162" i="1"/>
  <c r="BG3161" i="1"/>
  <c r="AQ3161" i="1"/>
  <c r="BG3160" i="1"/>
  <c r="BG3159" i="1"/>
  <c r="BG3158" i="1"/>
  <c r="AQ3158" i="1"/>
  <c r="BG3157" i="1"/>
  <c r="AQ3157" i="1"/>
  <c r="BG3156" i="1"/>
  <c r="AQ3156" i="1"/>
  <c r="BG3155" i="1"/>
  <c r="AQ3155" i="1"/>
  <c r="BG3154" i="1"/>
  <c r="AQ3154" i="1"/>
  <c r="BG3153" i="1"/>
  <c r="AQ3153" i="1"/>
  <c r="BG3152" i="1"/>
  <c r="AQ3152" i="1"/>
  <c r="BG3151" i="1"/>
  <c r="AQ3151" i="1"/>
  <c r="BG3150" i="1"/>
  <c r="AQ3150" i="1"/>
  <c r="BG3149" i="1"/>
  <c r="AQ3149" i="1"/>
  <c r="BG3148" i="1"/>
  <c r="AQ3148" i="1"/>
  <c r="BG3147" i="1"/>
  <c r="AQ3147" i="1"/>
  <c r="BG3146" i="1"/>
  <c r="AQ3146" i="1"/>
  <c r="BG3145" i="1"/>
  <c r="AQ3145" i="1"/>
  <c r="BG3144" i="1"/>
  <c r="AQ3144" i="1"/>
  <c r="BG3143" i="1"/>
  <c r="AQ3143" i="1"/>
  <c r="BG3142" i="1"/>
  <c r="AQ3142" i="1"/>
  <c r="BG3141" i="1"/>
  <c r="AQ3141" i="1"/>
  <c r="BG3140" i="1"/>
  <c r="AQ3140" i="1"/>
  <c r="BG3139" i="1"/>
  <c r="AQ3139" i="1"/>
  <c r="BG3138" i="1"/>
  <c r="AQ3138" i="1"/>
  <c r="BG3137" i="1"/>
  <c r="AQ3137" i="1"/>
  <c r="BG3136" i="1"/>
  <c r="AQ3136" i="1"/>
  <c r="BG3135" i="1"/>
  <c r="AQ3135" i="1"/>
  <c r="BG3134" i="1"/>
  <c r="AQ3134" i="1"/>
  <c r="BG3133" i="1"/>
  <c r="AQ3133" i="1"/>
  <c r="BG3132" i="1"/>
  <c r="AQ3132" i="1"/>
  <c r="BG3131" i="1"/>
  <c r="AQ3131" i="1"/>
  <c r="BG3130" i="1"/>
  <c r="AQ3130" i="1"/>
  <c r="BG3129" i="1"/>
  <c r="AQ3129" i="1"/>
  <c r="BG3128" i="1"/>
  <c r="AQ3128" i="1"/>
  <c r="BG3127" i="1"/>
  <c r="AQ3127" i="1"/>
  <c r="BG3126" i="1"/>
  <c r="AQ3126" i="1"/>
  <c r="BG3125" i="1"/>
  <c r="AQ3125" i="1"/>
  <c r="BG3124" i="1"/>
  <c r="AQ3124" i="1"/>
  <c r="BG3123" i="1"/>
  <c r="AQ3123" i="1"/>
  <c r="BG3122" i="1"/>
  <c r="AQ3122" i="1"/>
  <c r="BG3121" i="1"/>
  <c r="AQ3121" i="1"/>
  <c r="BG3120" i="1"/>
  <c r="AQ3120" i="1"/>
  <c r="BG3119" i="1"/>
  <c r="AQ3119" i="1"/>
  <c r="BG3118" i="1"/>
  <c r="AQ3118" i="1"/>
  <c r="BG3117" i="1"/>
  <c r="AQ3117" i="1"/>
  <c r="BG3116" i="1"/>
  <c r="AQ3116" i="1"/>
  <c r="BG3115" i="1"/>
  <c r="BG3114" i="1"/>
  <c r="AQ3114" i="1"/>
  <c r="BG3113" i="1"/>
  <c r="AQ3113" i="1"/>
  <c r="BG3112" i="1"/>
  <c r="AQ3112" i="1"/>
  <c r="BG3111" i="1"/>
  <c r="AQ3111" i="1"/>
  <c r="BG3110" i="1"/>
  <c r="AQ3110" i="1"/>
  <c r="BG3109" i="1"/>
  <c r="AQ3109" i="1"/>
  <c r="BG3108" i="1"/>
  <c r="AQ3108" i="1"/>
  <c r="BG3107" i="1"/>
  <c r="AQ3107" i="1"/>
  <c r="BG3106" i="1"/>
  <c r="AQ3106" i="1"/>
  <c r="BG3105" i="1"/>
  <c r="AQ3105" i="1"/>
  <c r="BG3104" i="1"/>
  <c r="AQ3104" i="1"/>
  <c r="BG3103" i="1"/>
  <c r="AQ3103" i="1"/>
  <c r="BG3102" i="1"/>
  <c r="AQ3102" i="1"/>
  <c r="BG3101" i="1"/>
  <c r="AQ3101" i="1"/>
  <c r="BG3100" i="1"/>
  <c r="AQ3100" i="1"/>
  <c r="BG3099" i="1"/>
  <c r="AQ3099" i="1"/>
  <c r="BG3098" i="1"/>
  <c r="AQ3098" i="1"/>
  <c r="BG3097" i="1"/>
  <c r="AQ3097" i="1"/>
  <c r="BG3096" i="1"/>
  <c r="AQ3096" i="1"/>
  <c r="BG3095" i="1"/>
  <c r="AQ3095" i="1"/>
  <c r="BG3094" i="1"/>
  <c r="AQ3094" i="1"/>
  <c r="BG3093" i="1"/>
  <c r="AQ3093" i="1"/>
  <c r="BG3092" i="1"/>
  <c r="AQ3092" i="1"/>
  <c r="BG3091" i="1"/>
  <c r="AQ3091" i="1"/>
  <c r="BG3090" i="1"/>
  <c r="AQ3090" i="1"/>
  <c r="BG3089" i="1"/>
  <c r="AQ3089" i="1"/>
  <c r="BG3088" i="1"/>
  <c r="AQ3088" i="1"/>
  <c r="BG3087" i="1"/>
  <c r="AQ3087" i="1"/>
  <c r="BG3086" i="1"/>
  <c r="AQ3086" i="1"/>
  <c r="BG3085" i="1"/>
  <c r="AQ3085" i="1"/>
  <c r="BG3084" i="1"/>
  <c r="AQ3084" i="1"/>
  <c r="BG3083" i="1"/>
  <c r="AQ3083" i="1"/>
  <c r="BG3082" i="1"/>
  <c r="AQ3082" i="1"/>
  <c r="BG3081" i="1"/>
  <c r="AQ3081" i="1"/>
  <c r="BG3080" i="1"/>
  <c r="AQ3080" i="1"/>
  <c r="BG3079" i="1"/>
  <c r="AQ3079" i="1"/>
  <c r="BG3078" i="1"/>
  <c r="AQ3078" i="1"/>
  <c r="BG3077" i="1"/>
  <c r="AQ3077" i="1"/>
  <c r="BG3076" i="1"/>
  <c r="AQ3076" i="1"/>
  <c r="BG3075" i="1"/>
  <c r="AQ3075" i="1"/>
  <c r="BG3074" i="1"/>
  <c r="AQ3074" i="1"/>
  <c r="BG3073" i="1"/>
  <c r="AQ3073" i="1"/>
  <c r="BG3072" i="1"/>
  <c r="AQ3072" i="1"/>
  <c r="BG3071" i="1"/>
  <c r="AQ3071" i="1"/>
  <c r="BG3070" i="1"/>
  <c r="AQ3070" i="1"/>
  <c r="BG3069" i="1"/>
  <c r="AQ3069" i="1"/>
  <c r="BG3068" i="1"/>
  <c r="AQ3068" i="1"/>
  <c r="BG3067" i="1"/>
  <c r="AQ3067" i="1"/>
  <c r="BG3066" i="1"/>
  <c r="AQ3066" i="1"/>
  <c r="BG3065" i="1"/>
  <c r="AQ3065" i="1"/>
  <c r="BG3064" i="1"/>
  <c r="AQ3064" i="1"/>
  <c r="BG3063" i="1"/>
  <c r="AQ3063" i="1"/>
  <c r="BG3062" i="1"/>
  <c r="AQ3062" i="1"/>
  <c r="BG3061" i="1"/>
  <c r="AQ3061" i="1"/>
  <c r="BG3060" i="1"/>
  <c r="AQ3060" i="1"/>
  <c r="BG3059" i="1"/>
  <c r="AQ3059" i="1"/>
  <c r="BG3058" i="1"/>
  <c r="AQ3058" i="1"/>
  <c r="BG3057" i="1"/>
  <c r="AQ3057" i="1"/>
  <c r="BG3056" i="1"/>
  <c r="AQ3056" i="1"/>
  <c r="BG3055" i="1"/>
  <c r="AQ3055" i="1"/>
  <c r="BG3054" i="1"/>
  <c r="AQ3054" i="1"/>
  <c r="BG3053" i="1"/>
  <c r="AQ3053" i="1"/>
  <c r="BG3052" i="1"/>
  <c r="AQ3052" i="1"/>
  <c r="BG3051" i="1"/>
  <c r="AQ3051" i="1"/>
  <c r="BG3050" i="1"/>
  <c r="AQ3050" i="1"/>
  <c r="BG3049" i="1"/>
  <c r="AQ3049" i="1"/>
  <c r="BG3048" i="1"/>
  <c r="AQ3048" i="1"/>
  <c r="BG3047" i="1"/>
  <c r="AQ3047" i="1"/>
  <c r="BG3046" i="1"/>
  <c r="AQ3046" i="1"/>
  <c r="BG3045" i="1"/>
  <c r="AQ3045" i="1"/>
  <c r="BG3044" i="1"/>
  <c r="AQ3044" i="1"/>
  <c r="BG3043" i="1"/>
  <c r="AQ3043" i="1"/>
  <c r="BG3042" i="1"/>
  <c r="AQ3042" i="1"/>
  <c r="BG3041" i="1"/>
  <c r="AQ3041" i="1"/>
  <c r="BG3040" i="1"/>
  <c r="AQ3040" i="1"/>
  <c r="BG3039" i="1"/>
  <c r="AQ3039" i="1"/>
  <c r="BG3038" i="1"/>
  <c r="AQ3038" i="1"/>
  <c r="BG3037" i="1"/>
  <c r="AQ3037" i="1"/>
  <c r="BG3036" i="1"/>
  <c r="AQ3036" i="1"/>
  <c r="BG3035" i="1"/>
  <c r="AQ3035" i="1"/>
  <c r="BG3034" i="1"/>
  <c r="BG3033" i="1"/>
  <c r="AQ3033" i="1"/>
  <c r="BG3032" i="1"/>
  <c r="AQ3032" i="1"/>
  <c r="BG3031" i="1"/>
  <c r="AQ3031" i="1"/>
  <c r="BG3030" i="1"/>
  <c r="AQ3030" i="1"/>
  <c r="BG3029" i="1"/>
  <c r="AQ3029" i="1"/>
  <c r="BG3028" i="1"/>
  <c r="AQ3028" i="1"/>
  <c r="BG3027" i="1"/>
  <c r="AQ3027" i="1"/>
  <c r="BG3026" i="1"/>
  <c r="AQ3026" i="1"/>
  <c r="BG3025" i="1"/>
  <c r="AQ3025" i="1"/>
  <c r="BG3024" i="1"/>
  <c r="AQ3024" i="1"/>
  <c r="BG3023" i="1"/>
  <c r="AQ3023" i="1"/>
  <c r="BG3022" i="1"/>
  <c r="BG3021" i="1"/>
  <c r="AQ3021" i="1"/>
  <c r="BG3020" i="1"/>
  <c r="AQ3020" i="1"/>
  <c r="BG3019" i="1"/>
  <c r="AQ3019" i="1"/>
  <c r="BG3018" i="1"/>
  <c r="BG3017" i="1"/>
  <c r="BG3016" i="1"/>
  <c r="BG3015" i="1"/>
  <c r="BG3014" i="1"/>
  <c r="BG3013" i="1"/>
  <c r="BG3012" i="1"/>
  <c r="BG3011" i="1"/>
  <c r="BG3010" i="1"/>
  <c r="BG3009" i="1"/>
  <c r="BG3008" i="1"/>
  <c r="BG3007" i="1"/>
  <c r="BG3006" i="1"/>
  <c r="AQ3006" i="1"/>
  <c r="BG3005" i="1"/>
  <c r="AQ3005" i="1"/>
  <c r="BG3004" i="1"/>
  <c r="BG3003" i="1"/>
  <c r="BG3002" i="1"/>
  <c r="BG3001" i="1"/>
  <c r="BG3000" i="1"/>
  <c r="BG2999" i="1"/>
  <c r="BG2998" i="1"/>
  <c r="BG2997" i="1"/>
  <c r="BG2996" i="1"/>
  <c r="AQ2996" i="1"/>
  <c r="BG2995" i="1"/>
  <c r="BG2994" i="1"/>
  <c r="AQ2994" i="1"/>
  <c r="BG2993" i="1"/>
  <c r="BG2992" i="1"/>
  <c r="AQ2992" i="1"/>
  <c r="BG2991" i="1"/>
  <c r="BG2990" i="1"/>
  <c r="AQ2990" i="1"/>
  <c r="BG2989" i="1"/>
  <c r="BG2988" i="1"/>
  <c r="AQ2988" i="1"/>
  <c r="BG2987" i="1"/>
  <c r="AQ2987" i="1"/>
  <c r="BG2986" i="1"/>
  <c r="AQ2986" i="1"/>
  <c r="BG2985" i="1"/>
  <c r="AQ2985" i="1"/>
  <c r="BG2984" i="1"/>
  <c r="AQ2984" i="1"/>
  <c r="BG2983" i="1"/>
  <c r="AQ2983" i="1"/>
  <c r="BG2982" i="1"/>
  <c r="AQ2982" i="1"/>
  <c r="BG2981" i="1"/>
  <c r="AQ2981" i="1"/>
  <c r="BG2980" i="1"/>
  <c r="AQ2980" i="1"/>
  <c r="BG2979" i="1"/>
  <c r="AQ2979" i="1"/>
  <c r="BG2978" i="1"/>
  <c r="AQ2978" i="1"/>
  <c r="BG2977" i="1"/>
  <c r="AQ2977" i="1"/>
  <c r="BG2976" i="1"/>
  <c r="AQ2976" i="1"/>
  <c r="BG2975" i="1"/>
  <c r="AQ2975" i="1"/>
  <c r="BG2974" i="1"/>
  <c r="AQ2974" i="1"/>
  <c r="BG2973" i="1"/>
  <c r="AQ2973" i="1"/>
  <c r="BG2972" i="1"/>
  <c r="AQ2972" i="1"/>
  <c r="BG2971" i="1"/>
  <c r="AQ2971" i="1"/>
  <c r="BG2970" i="1"/>
  <c r="AQ2970" i="1"/>
  <c r="BG2969" i="1"/>
  <c r="AQ2969" i="1"/>
  <c r="BG2968" i="1"/>
  <c r="AQ2968" i="1"/>
  <c r="BG2967" i="1"/>
  <c r="AQ2967" i="1"/>
  <c r="BG2966" i="1"/>
  <c r="AQ2966" i="1"/>
  <c r="BG2965" i="1"/>
  <c r="AQ2965" i="1"/>
  <c r="BG2964" i="1"/>
  <c r="AQ2964" i="1"/>
  <c r="BG2963" i="1"/>
  <c r="AQ2963" i="1"/>
  <c r="BG2962" i="1"/>
  <c r="AQ2962" i="1"/>
  <c r="BG2961" i="1"/>
  <c r="AQ2961" i="1"/>
  <c r="BG2960" i="1"/>
  <c r="AQ2960" i="1"/>
  <c r="BG2959" i="1"/>
  <c r="AQ2959" i="1"/>
  <c r="BG2958" i="1"/>
  <c r="AQ2958" i="1"/>
  <c r="BG2957" i="1"/>
  <c r="AQ2957" i="1"/>
  <c r="BG2956" i="1"/>
  <c r="AQ2956" i="1"/>
  <c r="BG2955" i="1"/>
  <c r="AQ2955" i="1"/>
  <c r="BG2954" i="1"/>
  <c r="AQ2954" i="1"/>
  <c r="BG2953" i="1"/>
  <c r="AQ2953" i="1"/>
  <c r="BG2952" i="1"/>
  <c r="AQ2952" i="1"/>
  <c r="BG2951" i="1"/>
  <c r="AQ2951" i="1"/>
  <c r="BG2950" i="1"/>
  <c r="AQ2950" i="1"/>
  <c r="BG2949" i="1"/>
  <c r="AQ2949" i="1"/>
  <c r="BG2948" i="1"/>
  <c r="AQ2948" i="1"/>
  <c r="BG2947" i="1"/>
  <c r="AQ2947" i="1"/>
  <c r="BG2946" i="1"/>
  <c r="AQ2946" i="1"/>
  <c r="BG2945" i="1"/>
  <c r="BG2944" i="1"/>
  <c r="BG2943" i="1"/>
  <c r="AQ2943" i="1"/>
  <c r="BG2942" i="1"/>
  <c r="AQ2942" i="1"/>
  <c r="BG2941" i="1"/>
  <c r="AQ2941" i="1"/>
  <c r="BG2940" i="1"/>
  <c r="AQ2940" i="1"/>
  <c r="BG2939" i="1"/>
  <c r="AQ2939" i="1"/>
  <c r="BG2938" i="1"/>
  <c r="AQ2938" i="1"/>
  <c r="BG2937" i="1"/>
  <c r="AQ2937" i="1"/>
  <c r="BG2936" i="1"/>
  <c r="AQ2936" i="1"/>
  <c r="BG2935" i="1"/>
  <c r="AQ2935" i="1"/>
  <c r="BG2934" i="1"/>
  <c r="AQ2934" i="1"/>
  <c r="BG2933" i="1"/>
  <c r="AQ2933" i="1"/>
  <c r="BG2932" i="1"/>
  <c r="AQ2932" i="1"/>
  <c r="BG2931" i="1"/>
  <c r="AQ2931" i="1"/>
  <c r="BG2930" i="1"/>
  <c r="AQ2930" i="1"/>
  <c r="BG2929" i="1"/>
  <c r="AQ2929" i="1"/>
  <c r="BG2928" i="1"/>
  <c r="AQ2928" i="1"/>
  <c r="BG2927" i="1"/>
  <c r="AQ2927" i="1"/>
  <c r="BG2926" i="1"/>
  <c r="AQ2926" i="1"/>
  <c r="BG2925" i="1"/>
  <c r="AQ2925" i="1"/>
  <c r="BG2924" i="1"/>
  <c r="AQ2924" i="1"/>
  <c r="BG2923" i="1"/>
  <c r="AQ2923" i="1"/>
  <c r="BG2922" i="1"/>
  <c r="AQ2922" i="1"/>
  <c r="BG2921" i="1"/>
  <c r="AQ2921" i="1"/>
  <c r="BG2920" i="1"/>
  <c r="AQ2920" i="1"/>
  <c r="BG2919" i="1"/>
  <c r="AQ2919" i="1"/>
  <c r="BG2918" i="1"/>
  <c r="AQ2918" i="1"/>
  <c r="BG2917" i="1"/>
  <c r="AQ2917" i="1"/>
  <c r="BG2916" i="1"/>
  <c r="AQ2916" i="1"/>
  <c r="BG2915" i="1"/>
  <c r="AQ2915" i="1"/>
  <c r="BG2914" i="1"/>
  <c r="AQ2914" i="1"/>
  <c r="BG2913" i="1"/>
  <c r="AQ2913" i="1"/>
  <c r="BG2912" i="1"/>
  <c r="AQ2912" i="1"/>
  <c r="BG2911" i="1"/>
  <c r="AQ2911" i="1"/>
  <c r="BG2910" i="1"/>
  <c r="AQ2910" i="1"/>
  <c r="BG2909" i="1"/>
  <c r="AQ2909" i="1"/>
  <c r="BG2908" i="1"/>
  <c r="AQ2908" i="1"/>
  <c r="BG2907" i="1"/>
  <c r="AQ2907" i="1"/>
  <c r="BG2906" i="1"/>
  <c r="AQ2906" i="1"/>
  <c r="BG2905" i="1"/>
  <c r="BG2904" i="1"/>
  <c r="AQ2904" i="1"/>
  <c r="BG2903" i="1"/>
  <c r="AQ2903" i="1"/>
  <c r="BG2902" i="1"/>
  <c r="AQ2902" i="1"/>
  <c r="BG2901" i="1"/>
  <c r="AQ2901" i="1"/>
  <c r="BG2900" i="1"/>
  <c r="AQ2900" i="1"/>
  <c r="BG2899" i="1"/>
  <c r="AQ2899" i="1"/>
  <c r="BG2898" i="1"/>
  <c r="AQ2898" i="1"/>
  <c r="BG2897" i="1"/>
  <c r="AQ2897" i="1"/>
  <c r="BG2896" i="1"/>
  <c r="AQ2896" i="1"/>
  <c r="BG2895" i="1"/>
  <c r="AQ2895" i="1"/>
  <c r="BG2894" i="1"/>
  <c r="AQ2894" i="1"/>
  <c r="BG2893" i="1"/>
  <c r="AQ2893" i="1"/>
  <c r="BG2892" i="1"/>
  <c r="AQ2892" i="1"/>
  <c r="BG2891" i="1"/>
  <c r="AQ2891" i="1"/>
  <c r="BG2890" i="1"/>
  <c r="AQ2890" i="1"/>
  <c r="BG2889" i="1"/>
  <c r="AQ2889" i="1"/>
  <c r="BG2888" i="1"/>
  <c r="AQ2888" i="1"/>
  <c r="BG2887" i="1"/>
  <c r="AQ2887" i="1"/>
  <c r="BG2886" i="1"/>
  <c r="AQ2886" i="1"/>
  <c r="BG2885" i="1"/>
  <c r="AQ2885" i="1"/>
  <c r="BG2884" i="1"/>
  <c r="AQ2884" i="1"/>
  <c r="BG2883" i="1"/>
  <c r="AQ2883" i="1"/>
  <c r="BG2882" i="1"/>
  <c r="BG2881" i="1"/>
  <c r="AQ2881" i="1"/>
  <c r="BG2880" i="1"/>
  <c r="AQ2880" i="1"/>
  <c r="BG2879" i="1"/>
  <c r="AQ2879" i="1"/>
  <c r="BG2878" i="1"/>
  <c r="AQ2878" i="1"/>
  <c r="BG2877" i="1"/>
  <c r="AQ2877" i="1"/>
  <c r="BG2876" i="1"/>
  <c r="AQ2876" i="1"/>
  <c r="BG2875" i="1"/>
  <c r="AQ2875" i="1"/>
  <c r="BG2874" i="1"/>
  <c r="AQ2874" i="1"/>
  <c r="BG2873" i="1"/>
  <c r="AQ2873" i="1"/>
  <c r="BG2872" i="1"/>
  <c r="AQ2872" i="1"/>
  <c r="BG2871" i="1"/>
  <c r="AQ2871" i="1"/>
  <c r="BG2870" i="1"/>
  <c r="AQ2870" i="1"/>
  <c r="BG2869" i="1"/>
  <c r="AQ2869" i="1"/>
  <c r="BG2868" i="1"/>
  <c r="AQ2868" i="1"/>
  <c r="BG2867" i="1"/>
  <c r="AQ2867" i="1"/>
  <c r="BG2866" i="1"/>
  <c r="AQ2866" i="1"/>
  <c r="BG2865" i="1"/>
  <c r="AQ2865" i="1"/>
  <c r="BG2864" i="1"/>
  <c r="AQ2864" i="1"/>
  <c r="BG2863" i="1"/>
  <c r="AQ2863" i="1"/>
  <c r="BG2862" i="1"/>
  <c r="AQ2862" i="1"/>
  <c r="BG2861" i="1"/>
  <c r="AQ2861" i="1"/>
  <c r="BG2860" i="1"/>
  <c r="AQ2860" i="1"/>
  <c r="BG2859" i="1"/>
  <c r="AQ2859" i="1"/>
  <c r="BG2858" i="1"/>
  <c r="AQ2858" i="1"/>
  <c r="BG2857" i="1"/>
  <c r="AQ2857" i="1"/>
  <c r="BG2856" i="1"/>
  <c r="AQ2856" i="1"/>
  <c r="BG2855" i="1"/>
  <c r="AQ2855" i="1"/>
  <c r="BG2854" i="1"/>
  <c r="AQ2854" i="1"/>
  <c r="BG2853" i="1"/>
  <c r="AQ2853" i="1"/>
  <c r="BG2852" i="1"/>
  <c r="AQ2852" i="1"/>
  <c r="BG2851" i="1"/>
  <c r="AQ2851" i="1"/>
  <c r="BG2850" i="1"/>
  <c r="AQ2850" i="1"/>
  <c r="BG2849" i="1"/>
  <c r="AQ2849" i="1"/>
  <c r="BG2848" i="1"/>
  <c r="AQ2848" i="1"/>
  <c r="BG2847" i="1"/>
  <c r="AQ2847" i="1"/>
  <c r="BG2846" i="1"/>
  <c r="AQ2846" i="1"/>
  <c r="BG2845" i="1"/>
  <c r="AQ2845" i="1"/>
  <c r="BG2844" i="1"/>
  <c r="AQ2844" i="1"/>
  <c r="BG2843" i="1"/>
  <c r="AQ2843" i="1"/>
  <c r="BG2842" i="1"/>
  <c r="AQ2842" i="1"/>
  <c r="BG2841" i="1"/>
  <c r="AQ2841" i="1"/>
  <c r="BG2840" i="1"/>
  <c r="AQ2840" i="1"/>
  <c r="BG2839" i="1"/>
  <c r="AQ2839" i="1"/>
  <c r="BG2838" i="1"/>
  <c r="AQ2838" i="1"/>
  <c r="BG2837" i="1"/>
  <c r="AQ2837" i="1"/>
  <c r="BG2836" i="1"/>
  <c r="AQ2836" i="1"/>
  <c r="BG2835" i="1"/>
  <c r="AQ2835" i="1"/>
  <c r="BG2834" i="1"/>
  <c r="AQ2834" i="1"/>
  <c r="BG2833" i="1"/>
  <c r="AQ2833" i="1"/>
  <c r="BG2832" i="1"/>
  <c r="AQ2832" i="1"/>
  <c r="BG2831" i="1"/>
  <c r="AQ2831" i="1"/>
  <c r="BG2830" i="1"/>
  <c r="AQ2830" i="1"/>
  <c r="BG2829" i="1"/>
  <c r="AQ2829" i="1"/>
  <c r="BG2828" i="1"/>
  <c r="AQ2828" i="1"/>
  <c r="BG2827" i="1"/>
  <c r="AQ2827" i="1"/>
  <c r="BG2826" i="1"/>
  <c r="AQ2826" i="1"/>
  <c r="BG2825" i="1"/>
  <c r="AQ2825" i="1"/>
  <c r="BG2824" i="1"/>
  <c r="AQ2824" i="1"/>
  <c r="BG2823" i="1"/>
  <c r="AQ2823" i="1"/>
  <c r="BG2822" i="1"/>
  <c r="AQ2822" i="1"/>
  <c r="BG2821" i="1"/>
  <c r="AQ2821" i="1"/>
  <c r="BG2820" i="1"/>
  <c r="AQ2820" i="1"/>
  <c r="BG2819" i="1"/>
  <c r="AQ2819" i="1"/>
  <c r="BG2818" i="1"/>
  <c r="AQ2818" i="1"/>
  <c r="BG2817" i="1"/>
  <c r="AQ2817" i="1"/>
  <c r="BG2816" i="1"/>
  <c r="AQ2816" i="1"/>
  <c r="BG2815" i="1"/>
  <c r="AQ2815" i="1"/>
  <c r="BG2814" i="1"/>
  <c r="AQ2814" i="1"/>
  <c r="BG2813" i="1"/>
  <c r="AQ2813" i="1"/>
  <c r="BG2812" i="1"/>
  <c r="AQ2812" i="1"/>
  <c r="BG2811" i="1"/>
  <c r="AQ2811" i="1"/>
  <c r="BG2810" i="1"/>
  <c r="AQ2810" i="1"/>
  <c r="BG2809" i="1"/>
  <c r="AQ2809" i="1"/>
  <c r="BG2808" i="1"/>
  <c r="AQ2808" i="1"/>
  <c r="BG2807" i="1"/>
  <c r="AQ2807" i="1"/>
  <c r="BG2806" i="1"/>
  <c r="AQ2806" i="1"/>
  <c r="BG2805" i="1"/>
  <c r="AQ2805" i="1"/>
  <c r="BG2804" i="1"/>
  <c r="AQ2804" i="1"/>
  <c r="BG2803" i="1"/>
  <c r="AQ2803" i="1"/>
  <c r="BG2802" i="1"/>
  <c r="AQ2802" i="1"/>
  <c r="BG2801" i="1"/>
  <c r="AQ2801" i="1"/>
  <c r="BG2800" i="1"/>
  <c r="BG2799" i="1"/>
  <c r="AQ2799" i="1"/>
  <c r="BG2798" i="1"/>
  <c r="AQ2798" i="1"/>
  <c r="BG2797" i="1"/>
  <c r="AQ2797" i="1"/>
  <c r="BG2796" i="1"/>
  <c r="AQ2796" i="1"/>
  <c r="BG2795" i="1"/>
  <c r="AQ2795" i="1"/>
  <c r="BG2794" i="1"/>
  <c r="AQ2794" i="1"/>
  <c r="BG2793" i="1"/>
  <c r="AQ2793" i="1"/>
  <c r="BG2792" i="1"/>
  <c r="AQ2792" i="1"/>
  <c r="BG2791" i="1"/>
  <c r="AQ2791" i="1"/>
  <c r="BG2790" i="1"/>
  <c r="AQ2790" i="1"/>
  <c r="BG2789" i="1"/>
  <c r="AQ2789" i="1"/>
  <c r="BG2788" i="1"/>
  <c r="AQ2788" i="1"/>
  <c r="BG2787" i="1"/>
  <c r="AQ2787" i="1"/>
  <c r="BG2786" i="1"/>
  <c r="AQ2786" i="1"/>
  <c r="BG2785" i="1"/>
  <c r="AQ2785" i="1"/>
  <c r="BG2784" i="1"/>
  <c r="AQ2784" i="1"/>
  <c r="BG2783" i="1"/>
  <c r="AQ2783" i="1"/>
  <c r="BG2782" i="1"/>
  <c r="AQ2782" i="1"/>
  <c r="BG2781" i="1"/>
  <c r="AQ2781" i="1"/>
  <c r="BG2780" i="1"/>
  <c r="AQ2780" i="1"/>
  <c r="BG2779" i="1"/>
  <c r="AQ2779" i="1"/>
  <c r="BG2778" i="1"/>
  <c r="AQ2778" i="1"/>
  <c r="BG2777" i="1"/>
  <c r="AQ2777" i="1"/>
  <c r="BG2776" i="1"/>
  <c r="AQ2776" i="1"/>
  <c r="BG2775" i="1"/>
  <c r="AQ2775" i="1"/>
  <c r="BG2774" i="1"/>
  <c r="AQ2774" i="1"/>
  <c r="BG2773" i="1"/>
  <c r="AQ2773" i="1"/>
  <c r="BG2772" i="1"/>
  <c r="AQ2772" i="1"/>
  <c r="BG2771" i="1"/>
  <c r="AQ2771" i="1"/>
  <c r="BG2770" i="1"/>
  <c r="AQ2770" i="1"/>
  <c r="BG2769" i="1"/>
  <c r="AQ2769" i="1"/>
  <c r="BG2768" i="1"/>
  <c r="AQ2768" i="1"/>
  <c r="BG2767" i="1"/>
  <c r="AQ2767" i="1"/>
  <c r="BG2766" i="1"/>
  <c r="AQ2766" i="1"/>
  <c r="BG2765" i="1"/>
  <c r="AQ2765" i="1"/>
  <c r="BG2764" i="1"/>
  <c r="AQ2764" i="1"/>
  <c r="BG2763" i="1"/>
  <c r="AQ2763" i="1"/>
  <c r="BG2762" i="1"/>
  <c r="AQ2762" i="1"/>
  <c r="BG2761" i="1"/>
  <c r="AQ2761" i="1"/>
  <c r="BG2760" i="1"/>
  <c r="AQ2760" i="1"/>
  <c r="BG2759" i="1"/>
  <c r="AQ2759" i="1"/>
  <c r="BG2758" i="1"/>
  <c r="AQ2758" i="1"/>
  <c r="BG2757" i="1"/>
  <c r="AQ2757" i="1"/>
  <c r="BG2756" i="1"/>
  <c r="AQ2756" i="1"/>
  <c r="BG2755" i="1"/>
  <c r="AQ2755" i="1"/>
  <c r="BG2754" i="1"/>
  <c r="AQ2754" i="1"/>
  <c r="BG2753" i="1"/>
  <c r="AQ2753" i="1"/>
  <c r="BG2752" i="1"/>
  <c r="AQ2752" i="1"/>
  <c r="BG2751" i="1"/>
  <c r="AQ2751" i="1"/>
  <c r="BG2750" i="1"/>
  <c r="AQ2750" i="1"/>
  <c r="BG2749" i="1"/>
  <c r="AQ2749" i="1"/>
  <c r="BG2748" i="1"/>
  <c r="AQ2748" i="1"/>
  <c r="BG2747" i="1"/>
  <c r="AQ2747" i="1"/>
  <c r="BG2746" i="1"/>
  <c r="BG2745" i="1"/>
  <c r="AQ2745" i="1"/>
  <c r="BG2744" i="1"/>
  <c r="AQ2744" i="1"/>
  <c r="BG2743" i="1"/>
  <c r="AQ2743" i="1"/>
  <c r="BG2742" i="1"/>
  <c r="AQ2742" i="1"/>
  <c r="BG2741" i="1"/>
  <c r="AQ2741" i="1"/>
  <c r="BG2740" i="1"/>
  <c r="AQ2740" i="1"/>
  <c r="BG2739" i="1"/>
  <c r="AQ2739" i="1"/>
  <c r="BG2738" i="1"/>
  <c r="AQ2738" i="1"/>
  <c r="BG2737" i="1"/>
  <c r="AQ2737" i="1"/>
  <c r="BG2736" i="1"/>
  <c r="AQ2736" i="1"/>
  <c r="BG2735" i="1"/>
  <c r="AQ2735" i="1"/>
  <c r="BG2734" i="1"/>
  <c r="AQ2734" i="1"/>
  <c r="BG2733" i="1"/>
  <c r="AQ2733" i="1"/>
  <c r="BG2732" i="1"/>
  <c r="AQ2732" i="1"/>
  <c r="BG2731" i="1"/>
  <c r="AQ2731" i="1"/>
  <c r="BG2730" i="1"/>
  <c r="AQ2730" i="1"/>
  <c r="BG2729" i="1"/>
  <c r="AQ2729" i="1"/>
  <c r="BG2728" i="1"/>
  <c r="AQ2728" i="1"/>
  <c r="BG2727" i="1"/>
  <c r="AQ2727" i="1"/>
  <c r="BG2726" i="1"/>
  <c r="AQ2726" i="1"/>
  <c r="BG2725" i="1"/>
  <c r="AQ2725" i="1"/>
  <c r="BG2724" i="1"/>
  <c r="AQ2724" i="1"/>
  <c r="BG2723" i="1"/>
  <c r="AQ2723" i="1"/>
  <c r="BG2722" i="1"/>
  <c r="AQ2722" i="1"/>
  <c r="BG2721" i="1"/>
  <c r="AQ2721" i="1"/>
  <c r="BG2720" i="1"/>
  <c r="AQ2720" i="1"/>
  <c r="BG2719" i="1"/>
  <c r="AQ2719" i="1"/>
  <c r="BG2718" i="1"/>
  <c r="AQ2718" i="1"/>
  <c r="BG2717" i="1"/>
  <c r="AQ2717" i="1"/>
  <c r="BG2716" i="1"/>
  <c r="AQ2716" i="1"/>
  <c r="BG2715" i="1"/>
  <c r="AQ2715" i="1"/>
  <c r="BG2714" i="1"/>
  <c r="AQ2714" i="1"/>
  <c r="BG2713" i="1"/>
  <c r="AQ2713" i="1"/>
  <c r="BG2712" i="1"/>
  <c r="AQ2712" i="1"/>
  <c r="BG2711" i="1"/>
  <c r="AQ2711" i="1"/>
  <c r="BG2710" i="1"/>
  <c r="AQ2710" i="1"/>
  <c r="BG2709" i="1"/>
  <c r="AQ2709" i="1"/>
  <c r="BG2708" i="1"/>
  <c r="AQ2708" i="1"/>
  <c r="BG2707" i="1"/>
  <c r="AQ2707" i="1"/>
  <c r="BG2706" i="1"/>
  <c r="AQ2706" i="1"/>
  <c r="BG2705" i="1"/>
  <c r="AQ2705" i="1"/>
  <c r="BG2704" i="1"/>
  <c r="AQ2704" i="1"/>
  <c r="BG2703" i="1"/>
  <c r="AQ2703" i="1"/>
  <c r="BG2702" i="1"/>
  <c r="AQ2702" i="1"/>
  <c r="BG2701" i="1"/>
  <c r="AQ2701" i="1"/>
  <c r="BG2700" i="1"/>
  <c r="AQ2700" i="1"/>
  <c r="BG2699" i="1"/>
  <c r="AQ2699" i="1"/>
  <c r="BG2698" i="1"/>
  <c r="AQ2698" i="1"/>
  <c r="BG2697" i="1"/>
  <c r="AQ2697" i="1"/>
  <c r="BG2696" i="1"/>
  <c r="AQ2696" i="1"/>
  <c r="BG2695" i="1"/>
  <c r="AQ2695" i="1"/>
  <c r="BG2694" i="1"/>
  <c r="AQ2694" i="1"/>
  <c r="BG2693" i="1"/>
  <c r="AQ2693" i="1"/>
  <c r="BG2692" i="1"/>
  <c r="AQ2692" i="1"/>
  <c r="BG2691" i="1"/>
  <c r="AQ2691" i="1"/>
  <c r="BG2690" i="1"/>
  <c r="AQ2690" i="1"/>
  <c r="BG2689" i="1"/>
  <c r="AQ2689" i="1"/>
  <c r="BG2688" i="1"/>
  <c r="AQ2688" i="1"/>
  <c r="BG2687" i="1"/>
  <c r="AQ2687" i="1"/>
  <c r="BG2686" i="1"/>
  <c r="AQ2686" i="1"/>
  <c r="BG2685" i="1"/>
  <c r="AQ2685" i="1"/>
  <c r="BG2684" i="1"/>
  <c r="AQ2684" i="1"/>
  <c r="BG2683" i="1"/>
  <c r="AQ2683" i="1"/>
  <c r="BG2682" i="1"/>
  <c r="AQ2682" i="1"/>
  <c r="BG2681" i="1"/>
  <c r="AQ2681" i="1"/>
  <c r="BG2680" i="1"/>
  <c r="AQ2680" i="1"/>
  <c r="BG2679" i="1"/>
  <c r="AQ2679" i="1"/>
  <c r="BG2678" i="1"/>
  <c r="AQ2678" i="1"/>
  <c r="BG2677" i="1"/>
  <c r="AQ2677" i="1"/>
  <c r="BG2676" i="1"/>
  <c r="AQ2676" i="1"/>
  <c r="BG2675" i="1"/>
  <c r="AQ2675" i="1"/>
  <c r="BG2674" i="1"/>
  <c r="AQ2674" i="1"/>
  <c r="BG2673" i="1"/>
  <c r="AQ2673" i="1"/>
  <c r="BG2672" i="1"/>
  <c r="AQ2672" i="1"/>
  <c r="BG2671" i="1"/>
  <c r="AQ2671" i="1"/>
  <c r="BG2670" i="1"/>
  <c r="AQ2670" i="1"/>
  <c r="BG2669" i="1"/>
  <c r="AQ2669" i="1"/>
  <c r="BG2668" i="1"/>
  <c r="AQ2668" i="1"/>
  <c r="BG2667" i="1"/>
  <c r="AQ2667" i="1"/>
  <c r="BG2666" i="1"/>
  <c r="AQ2666" i="1"/>
  <c r="BG2665" i="1"/>
  <c r="AQ2665" i="1"/>
  <c r="BG2664" i="1"/>
  <c r="AQ2664" i="1"/>
  <c r="BG2663" i="1"/>
  <c r="AQ2663" i="1"/>
  <c r="BG2662" i="1"/>
  <c r="AQ2662" i="1"/>
  <c r="BG2661" i="1"/>
  <c r="AQ2661" i="1"/>
  <c r="BG2660" i="1"/>
  <c r="AQ2660" i="1"/>
  <c r="BG2659" i="1"/>
  <c r="AQ2659" i="1"/>
  <c r="BG2658" i="1"/>
  <c r="AQ2658" i="1"/>
  <c r="BG2657" i="1"/>
  <c r="AQ2657" i="1"/>
  <c r="BG2656" i="1"/>
  <c r="AQ2656" i="1"/>
  <c r="BG2655" i="1"/>
  <c r="AQ2655" i="1"/>
  <c r="BG2654" i="1"/>
  <c r="AQ2654" i="1"/>
  <c r="BG2653" i="1"/>
  <c r="AQ2653" i="1"/>
  <c r="BG2652" i="1"/>
  <c r="AQ2652" i="1"/>
  <c r="BG2651" i="1"/>
  <c r="AQ2651" i="1"/>
  <c r="BG2650" i="1"/>
  <c r="AQ2650" i="1"/>
  <c r="BG2649" i="1"/>
  <c r="AQ2649" i="1"/>
  <c r="BG2648" i="1"/>
  <c r="AQ2648" i="1"/>
  <c r="BG2647" i="1"/>
  <c r="AQ2647" i="1"/>
  <c r="BG2646" i="1"/>
  <c r="AQ2646" i="1"/>
  <c r="BG2645" i="1"/>
  <c r="AQ2645" i="1"/>
  <c r="BG2644" i="1"/>
  <c r="AQ2644" i="1"/>
  <c r="BG2643" i="1"/>
  <c r="AQ2643" i="1"/>
  <c r="BG2642" i="1"/>
  <c r="AQ2642" i="1"/>
  <c r="BG2641" i="1"/>
  <c r="AQ2641" i="1"/>
  <c r="BG2640" i="1"/>
  <c r="AQ2640" i="1"/>
  <c r="BG2639" i="1"/>
  <c r="AQ2639" i="1"/>
  <c r="BG2638" i="1"/>
  <c r="AQ2638" i="1"/>
  <c r="BG2637" i="1"/>
  <c r="AQ2637" i="1"/>
  <c r="BG2636" i="1"/>
  <c r="BG2635" i="1"/>
  <c r="AQ2635" i="1"/>
  <c r="BG2634" i="1"/>
  <c r="AQ2634" i="1"/>
  <c r="BG2633" i="1"/>
  <c r="AQ2633" i="1"/>
  <c r="BG2632" i="1"/>
  <c r="BG2631" i="1"/>
  <c r="BG2630" i="1"/>
  <c r="BG2629" i="1"/>
  <c r="BG2628" i="1"/>
  <c r="BG2627" i="1"/>
  <c r="BG2626" i="1"/>
  <c r="BG2625" i="1"/>
  <c r="BG2624" i="1"/>
  <c r="BG2623" i="1"/>
  <c r="BG2622" i="1"/>
  <c r="BG2621" i="1"/>
  <c r="BG2620" i="1"/>
  <c r="BG2619" i="1"/>
  <c r="BG2618" i="1"/>
  <c r="BG2617" i="1"/>
  <c r="BG2616" i="1"/>
  <c r="BG2615" i="1"/>
  <c r="BG2614" i="1"/>
  <c r="BG2613" i="1"/>
  <c r="BG2612" i="1"/>
  <c r="AQ2612" i="1"/>
  <c r="BG2611" i="1"/>
  <c r="AQ2611" i="1"/>
  <c r="BG2610" i="1"/>
  <c r="BG2609" i="1"/>
  <c r="AQ2609" i="1"/>
  <c r="BG2608" i="1"/>
  <c r="BG2607" i="1"/>
  <c r="AQ2607" i="1"/>
  <c r="BG2606" i="1"/>
  <c r="BG2605" i="1"/>
  <c r="AQ2605" i="1"/>
  <c r="BG2604" i="1"/>
  <c r="AQ2604" i="1"/>
  <c r="BG2603" i="1"/>
  <c r="BG2602" i="1"/>
  <c r="AQ2602" i="1"/>
  <c r="BG2601" i="1"/>
  <c r="AQ2601" i="1"/>
  <c r="BG2600" i="1"/>
  <c r="AQ2600" i="1"/>
  <c r="BG2599" i="1"/>
  <c r="AQ2599" i="1"/>
  <c r="BG2598" i="1"/>
  <c r="BG2597" i="1"/>
  <c r="AQ2597" i="1"/>
  <c r="BG2596" i="1"/>
  <c r="AQ2596" i="1"/>
  <c r="BG2595" i="1"/>
  <c r="AQ2595" i="1"/>
  <c r="BG2594" i="1"/>
  <c r="BG2593" i="1"/>
  <c r="AQ2593" i="1"/>
  <c r="BG2592" i="1"/>
  <c r="BG2591" i="1"/>
  <c r="AQ2591" i="1"/>
  <c r="BG2590" i="1"/>
  <c r="AQ2590" i="1"/>
  <c r="BG2589" i="1"/>
  <c r="BG2588" i="1"/>
  <c r="AQ2588" i="1"/>
  <c r="BG2587" i="1"/>
  <c r="AQ2587" i="1"/>
  <c r="BG2586" i="1"/>
  <c r="BG2585" i="1"/>
  <c r="AQ2585" i="1"/>
  <c r="BG2584" i="1"/>
  <c r="AQ2584" i="1"/>
  <c r="BG2583" i="1"/>
  <c r="BG2582" i="1"/>
  <c r="AQ2582" i="1"/>
  <c r="BG2581" i="1"/>
  <c r="AQ2581" i="1"/>
  <c r="BG2580" i="1"/>
  <c r="AQ2580" i="1"/>
  <c r="BG2579" i="1"/>
  <c r="AQ2579" i="1"/>
  <c r="BG2578" i="1"/>
  <c r="AQ2578" i="1"/>
  <c r="BG2577" i="1"/>
  <c r="AQ2577" i="1"/>
  <c r="BG2576" i="1"/>
  <c r="AQ2576" i="1"/>
  <c r="BG2575" i="1"/>
  <c r="AQ2575" i="1"/>
  <c r="BG2574" i="1"/>
  <c r="AQ2574" i="1"/>
  <c r="BG2573" i="1"/>
  <c r="AQ2573" i="1"/>
  <c r="BG2572" i="1"/>
  <c r="AQ2572" i="1"/>
  <c r="BG2571" i="1"/>
  <c r="AQ2571" i="1"/>
  <c r="BG2570" i="1"/>
  <c r="AQ2570" i="1"/>
  <c r="BG2569" i="1"/>
  <c r="AQ2569" i="1"/>
  <c r="BG2568" i="1"/>
  <c r="AQ2568" i="1"/>
  <c r="BG2567" i="1"/>
  <c r="AQ2567" i="1"/>
  <c r="BG2566" i="1"/>
  <c r="AQ2566" i="1"/>
  <c r="BG2565" i="1"/>
  <c r="AQ2565" i="1"/>
  <c r="BG2564" i="1"/>
  <c r="AQ2564" i="1"/>
  <c r="BG2563" i="1"/>
  <c r="AQ2563" i="1"/>
  <c r="BG2562" i="1"/>
  <c r="AQ2562" i="1"/>
  <c r="BG2561" i="1"/>
  <c r="AQ2561" i="1"/>
  <c r="BG2560" i="1"/>
  <c r="AQ2560" i="1"/>
  <c r="BG2559" i="1"/>
  <c r="AQ2559" i="1"/>
  <c r="BG2558" i="1"/>
  <c r="AQ2558" i="1"/>
  <c r="BG2557" i="1"/>
  <c r="AQ2557" i="1"/>
  <c r="BG2556" i="1"/>
  <c r="AQ2556" i="1"/>
  <c r="BG2555" i="1"/>
  <c r="AQ2555" i="1"/>
  <c r="BG2554" i="1"/>
  <c r="AQ2554" i="1"/>
  <c r="BG2553" i="1"/>
  <c r="AQ2553" i="1"/>
  <c r="BG2552" i="1"/>
  <c r="AQ2552" i="1"/>
  <c r="BG2551" i="1"/>
  <c r="AQ2551" i="1"/>
  <c r="BG2550" i="1"/>
  <c r="AQ2550" i="1"/>
  <c r="BG2549" i="1"/>
  <c r="AQ2549" i="1"/>
  <c r="BG2548" i="1"/>
  <c r="AQ2548" i="1"/>
  <c r="BG2547" i="1"/>
  <c r="AQ2547" i="1"/>
  <c r="BG2546" i="1"/>
  <c r="AQ2546" i="1"/>
  <c r="BG2545" i="1"/>
  <c r="AQ2545" i="1"/>
  <c r="BG2544" i="1"/>
  <c r="AQ2544" i="1"/>
  <c r="BG2543" i="1"/>
  <c r="AQ2543" i="1"/>
  <c r="BG2542" i="1"/>
  <c r="AQ2542" i="1"/>
  <c r="BG2541" i="1"/>
  <c r="AQ2541" i="1"/>
  <c r="BG2540" i="1"/>
  <c r="AQ2540" i="1"/>
  <c r="BG2539" i="1"/>
  <c r="AQ2539" i="1"/>
  <c r="BG2538" i="1"/>
  <c r="AQ2538" i="1"/>
  <c r="BG2537" i="1"/>
  <c r="AQ2537" i="1"/>
  <c r="BG2536" i="1"/>
  <c r="AQ2536" i="1"/>
  <c r="BG2535" i="1"/>
  <c r="AQ2535" i="1"/>
  <c r="BG2534" i="1"/>
  <c r="AQ2534" i="1"/>
  <c r="BG2533" i="1"/>
  <c r="AQ2533" i="1"/>
  <c r="BG2532" i="1"/>
  <c r="AQ2532" i="1"/>
  <c r="BG2531" i="1"/>
  <c r="AQ2531" i="1"/>
  <c r="BG2530" i="1"/>
  <c r="AQ2530" i="1"/>
  <c r="BG2529" i="1"/>
  <c r="AQ2529" i="1"/>
  <c r="BG2528" i="1"/>
  <c r="AQ2528" i="1"/>
  <c r="BG2527" i="1"/>
  <c r="AQ2527" i="1"/>
  <c r="BG2526" i="1"/>
  <c r="AQ2526" i="1"/>
  <c r="BG2525" i="1"/>
  <c r="AQ2525" i="1"/>
  <c r="BG2524" i="1"/>
  <c r="AQ2524" i="1"/>
  <c r="BG2523" i="1"/>
  <c r="AQ2523" i="1"/>
  <c r="BG2522" i="1"/>
  <c r="AQ2522" i="1"/>
  <c r="BG2521" i="1"/>
  <c r="AQ2521" i="1"/>
  <c r="BG2520" i="1"/>
  <c r="AQ2520" i="1"/>
  <c r="BG2519" i="1"/>
  <c r="AQ2519" i="1"/>
  <c r="BG2518" i="1"/>
  <c r="AQ2518" i="1"/>
  <c r="BG2517" i="1"/>
  <c r="AQ2517" i="1"/>
  <c r="BG2516" i="1"/>
  <c r="AQ2516" i="1"/>
  <c r="BG2515" i="1"/>
  <c r="AQ2515" i="1"/>
  <c r="BG2514" i="1"/>
  <c r="AQ2514" i="1"/>
  <c r="BG2513" i="1"/>
  <c r="AQ2513" i="1"/>
  <c r="BG2512" i="1"/>
  <c r="AQ2512" i="1"/>
  <c r="BG2511" i="1"/>
  <c r="AQ2511" i="1"/>
  <c r="BG2510" i="1"/>
  <c r="AQ2510" i="1"/>
  <c r="BG2509" i="1"/>
  <c r="AQ2509" i="1"/>
  <c r="BG2508" i="1"/>
  <c r="AQ2508" i="1"/>
  <c r="BG2507" i="1"/>
  <c r="AQ2507" i="1"/>
  <c r="BG2506" i="1"/>
  <c r="AQ2506" i="1"/>
  <c r="BG2505" i="1"/>
  <c r="AQ2505" i="1"/>
  <c r="BG2504" i="1"/>
  <c r="AQ2504" i="1"/>
  <c r="BG2503" i="1"/>
  <c r="BG2502" i="1"/>
  <c r="AQ2502" i="1"/>
  <c r="BG2501" i="1"/>
  <c r="AQ2501" i="1"/>
  <c r="BG2500" i="1"/>
  <c r="AQ2500" i="1"/>
  <c r="BG2499" i="1"/>
  <c r="AQ2499" i="1"/>
  <c r="BG2498" i="1"/>
  <c r="AQ2498" i="1"/>
  <c r="BG2497" i="1"/>
  <c r="AQ2497" i="1"/>
  <c r="BG2496" i="1"/>
  <c r="AQ2496" i="1"/>
  <c r="BG2495" i="1"/>
  <c r="AQ2495" i="1"/>
  <c r="BG2494" i="1"/>
  <c r="AQ2494" i="1"/>
  <c r="BG2493" i="1"/>
  <c r="AQ2493" i="1"/>
  <c r="BG2492" i="1"/>
  <c r="AQ2492" i="1"/>
  <c r="BG2491" i="1"/>
  <c r="AQ2491" i="1"/>
  <c r="BG2490" i="1"/>
  <c r="AQ2490" i="1"/>
  <c r="BG2489" i="1"/>
  <c r="AQ2489" i="1"/>
  <c r="BG2488" i="1"/>
  <c r="AQ2488" i="1"/>
  <c r="BG2487" i="1"/>
  <c r="BG2486" i="1"/>
  <c r="AQ2486" i="1"/>
  <c r="BG2485" i="1"/>
  <c r="AQ2485" i="1"/>
  <c r="BG2484" i="1"/>
  <c r="AQ2484" i="1"/>
  <c r="BG2483" i="1"/>
  <c r="AQ2483" i="1"/>
  <c r="BG2482" i="1"/>
  <c r="AQ2482" i="1"/>
  <c r="BG2481" i="1"/>
  <c r="AQ2481" i="1"/>
  <c r="BG2480" i="1"/>
  <c r="AQ2480" i="1"/>
  <c r="BG2479" i="1"/>
  <c r="AQ2479" i="1"/>
  <c r="BG2478" i="1"/>
  <c r="AQ2478" i="1"/>
  <c r="BG2477" i="1"/>
  <c r="AQ2477" i="1"/>
  <c r="BG2476" i="1"/>
  <c r="AQ2476" i="1"/>
  <c r="BG2475" i="1"/>
  <c r="AQ2475" i="1"/>
  <c r="BG2474" i="1"/>
  <c r="AQ2474" i="1"/>
  <c r="BG2473" i="1"/>
  <c r="AQ2473" i="1"/>
  <c r="BG2472" i="1"/>
  <c r="AQ2472" i="1"/>
  <c r="BG2471" i="1"/>
  <c r="AQ2471" i="1"/>
  <c r="BG2470" i="1"/>
  <c r="AQ2470" i="1"/>
  <c r="BG2469" i="1"/>
  <c r="AQ2469" i="1"/>
  <c r="BG2468" i="1"/>
  <c r="AQ2468" i="1"/>
  <c r="BG2467" i="1"/>
  <c r="AQ2467" i="1"/>
  <c r="BG2466" i="1"/>
  <c r="AQ2466" i="1"/>
  <c r="BG2465" i="1"/>
  <c r="AQ2465" i="1"/>
  <c r="BG2464" i="1"/>
  <c r="AQ2464" i="1"/>
  <c r="BG2463" i="1"/>
  <c r="AQ2463" i="1"/>
  <c r="BG2462" i="1"/>
  <c r="AQ2462" i="1"/>
  <c r="BG2461" i="1"/>
  <c r="AQ2461" i="1"/>
  <c r="BG2460" i="1"/>
  <c r="AQ2460" i="1"/>
  <c r="BG2459" i="1"/>
  <c r="AQ2459" i="1"/>
  <c r="BG2458" i="1"/>
  <c r="AQ2458" i="1"/>
  <c r="BG2457" i="1"/>
  <c r="AQ2457" i="1"/>
  <c r="BG2456" i="1"/>
  <c r="AQ2456" i="1"/>
  <c r="BG2455" i="1"/>
  <c r="AQ2455" i="1"/>
  <c r="BG2454" i="1"/>
  <c r="AQ2454" i="1"/>
  <c r="BG2453" i="1"/>
  <c r="BG2452" i="1"/>
  <c r="BG2451" i="1"/>
  <c r="AQ2451" i="1"/>
  <c r="BG2450" i="1"/>
  <c r="BG2449" i="1"/>
  <c r="AQ2449" i="1"/>
  <c r="BG2448" i="1"/>
  <c r="BG2447" i="1"/>
  <c r="BG2446" i="1"/>
  <c r="AQ2446" i="1"/>
  <c r="BG2445" i="1"/>
  <c r="BG2444" i="1"/>
  <c r="AQ2444" i="1"/>
  <c r="BG2443" i="1"/>
  <c r="BG2442" i="1"/>
  <c r="AQ2442" i="1"/>
  <c r="BG2441" i="1"/>
  <c r="BG2440" i="1"/>
  <c r="AQ2440" i="1"/>
  <c r="BG2439" i="1"/>
  <c r="AQ2439" i="1"/>
  <c r="BG2438" i="1"/>
  <c r="BG2437" i="1"/>
  <c r="AQ2437" i="1"/>
  <c r="BG2436" i="1"/>
  <c r="AQ2436" i="1"/>
  <c r="BG2435" i="1"/>
  <c r="BG2434" i="1"/>
  <c r="AQ2434" i="1"/>
  <c r="BG2433" i="1"/>
  <c r="BG2432" i="1"/>
  <c r="AQ2432" i="1"/>
  <c r="BG2431" i="1"/>
  <c r="AQ2431" i="1"/>
  <c r="BG2430" i="1"/>
  <c r="AQ2430" i="1"/>
  <c r="BG2429" i="1"/>
  <c r="AQ2429" i="1"/>
  <c r="BG2428" i="1"/>
  <c r="AQ2428" i="1"/>
  <c r="BG2427" i="1"/>
  <c r="AQ2427" i="1"/>
  <c r="BG2426" i="1"/>
  <c r="AQ2426" i="1"/>
  <c r="BG2425" i="1"/>
  <c r="AQ2425" i="1"/>
  <c r="BG2424" i="1"/>
  <c r="AQ2424" i="1"/>
  <c r="BG2423" i="1"/>
  <c r="AQ2423" i="1"/>
  <c r="BG2422" i="1"/>
  <c r="AQ2422" i="1"/>
  <c r="BG2421" i="1"/>
  <c r="AQ2421" i="1"/>
  <c r="BG2420" i="1"/>
  <c r="AQ2420" i="1"/>
  <c r="BG2419" i="1"/>
  <c r="AQ2419" i="1"/>
  <c r="BG2418" i="1"/>
  <c r="AQ2418" i="1"/>
  <c r="BG2417" i="1"/>
  <c r="AQ2417" i="1"/>
  <c r="BG2416" i="1"/>
  <c r="AQ2416" i="1"/>
  <c r="BG2415" i="1"/>
  <c r="AQ2415" i="1"/>
  <c r="BG2414" i="1"/>
  <c r="AQ2414" i="1"/>
  <c r="BG2413" i="1"/>
  <c r="AQ2413" i="1"/>
  <c r="BG2412" i="1"/>
  <c r="AQ2412" i="1"/>
  <c r="BG2411" i="1"/>
  <c r="AQ2411" i="1"/>
  <c r="BG2410" i="1"/>
  <c r="AQ2410" i="1"/>
  <c r="BG2409" i="1"/>
  <c r="AQ2409" i="1"/>
  <c r="BG2408" i="1"/>
  <c r="AQ2408" i="1"/>
  <c r="BG2407" i="1"/>
  <c r="AQ2407" i="1"/>
  <c r="BG2406" i="1"/>
  <c r="AQ2406" i="1"/>
  <c r="BG2405" i="1"/>
  <c r="AQ2405" i="1"/>
  <c r="BG2404" i="1"/>
  <c r="AQ2404" i="1"/>
  <c r="BG2403" i="1"/>
  <c r="AQ2403" i="1"/>
  <c r="BG2402" i="1"/>
  <c r="AQ2402" i="1"/>
  <c r="BG2401" i="1"/>
  <c r="AQ2401" i="1"/>
  <c r="BG2400" i="1"/>
  <c r="AQ2400" i="1"/>
  <c r="BG2399" i="1"/>
  <c r="AQ2399" i="1"/>
  <c r="BG2398" i="1"/>
  <c r="AQ2398" i="1"/>
  <c r="BG2397" i="1"/>
  <c r="AQ2397" i="1"/>
  <c r="BG2396" i="1"/>
  <c r="AQ2396" i="1"/>
  <c r="BG2395" i="1"/>
  <c r="AQ2395" i="1"/>
  <c r="BG2394" i="1"/>
  <c r="AQ2394" i="1"/>
  <c r="BG2393" i="1"/>
  <c r="AQ2393" i="1"/>
  <c r="BG2392" i="1"/>
  <c r="AQ2392" i="1"/>
  <c r="BG2391" i="1"/>
  <c r="AQ2391" i="1"/>
  <c r="BG2390" i="1"/>
  <c r="AQ2390" i="1"/>
  <c r="BG2389" i="1"/>
  <c r="BG2388" i="1"/>
  <c r="AQ2388" i="1"/>
  <c r="BG2387" i="1"/>
  <c r="AQ2387" i="1"/>
  <c r="BG2386" i="1"/>
  <c r="AQ2386" i="1"/>
  <c r="BG2385" i="1"/>
  <c r="AQ2385" i="1"/>
  <c r="BG2384" i="1"/>
  <c r="AQ2384" i="1"/>
  <c r="BG2383" i="1"/>
  <c r="AQ2383" i="1"/>
  <c r="BG2382" i="1"/>
  <c r="AQ2382" i="1"/>
  <c r="BG2381" i="1"/>
  <c r="AQ2381" i="1"/>
  <c r="BG2380" i="1"/>
  <c r="AQ2380" i="1"/>
  <c r="BG2379" i="1"/>
  <c r="AQ2379" i="1"/>
  <c r="BG2378" i="1"/>
  <c r="BG2377" i="1"/>
  <c r="BG2376" i="1"/>
  <c r="AQ2376" i="1"/>
  <c r="BG2375" i="1"/>
  <c r="AQ2375" i="1"/>
  <c r="BG2374" i="1"/>
  <c r="AQ2374" i="1"/>
  <c r="BG2373" i="1"/>
  <c r="AQ2373" i="1"/>
  <c r="BG2372" i="1"/>
  <c r="AQ2372" i="1"/>
  <c r="BG2371" i="1"/>
  <c r="AQ2371" i="1"/>
  <c r="BG2370" i="1"/>
  <c r="AQ2370" i="1"/>
  <c r="BG2369" i="1"/>
  <c r="AQ2369" i="1"/>
  <c r="BG2368" i="1"/>
  <c r="AQ2368" i="1"/>
  <c r="BG2367" i="1"/>
  <c r="AQ2367" i="1"/>
  <c r="BG2366" i="1"/>
  <c r="AQ2366" i="1"/>
  <c r="BG2365" i="1"/>
  <c r="AQ2365" i="1"/>
  <c r="BG2364" i="1"/>
  <c r="AQ2364" i="1"/>
  <c r="BG2363" i="1"/>
  <c r="AQ2363" i="1"/>
  <c r="BG2362" i="1"/>
  <c r="AQ2362" i="1"/>
  <c r="BG2361" i="1"/>
  <c r="AQ2361" i="1"/>
  <c r="BG2360" i="1"/>
  <c r="AQ2360" i="1"/>
  <c r="BG2359" i="1"/>
  <c r="AQ2359" i="1"/>
  <c r="BG2358" i="1"/>
  <c r="AQ2358" i="1"/>
  <c r="BG2357" i="1"/>
  <c r="AQ2357" i="1"/>
  <c r="BG2356" i="1"/>
  <c r="AQ2356" i="1"/>
  <c r="BG2355" i="1"/>
  <c r="AQ2355" i="1"/>
  <c r="BG2354" i="1"/>
  <c r="AQ2354" i="1"/>
  <c r="BG2353" i="1"/>
  <c r="AQ2353" i="1"/>
  <c r="BG2352" i="1"/>
  <c r="AQ2352" i="1"/>
  <c r="BG2351" i="1"/>
  <c r="AQ2351" i="1"/>
  <c r="BG2350" i="1"/>
  <c r="AQ2350" i="1"/>
  <c r="BG2349" i="1"/>
  <c r="AQ2349" i="1"/>
  <c r="BG2348" i="1"/>
  <c r="BG2347" i="1"/>
  <c r="AQ2347" i="1"/>
  <c r="BG2346" i="1"/>
  <c r="AQ2346" i="1"/>
  <c r="BG2345" i="1"/>
  <c r="BG2344" i="1"/>
  <c r="BG2343" i="1"/>
  <c r="BG2342" i="1"/>
  <c r="BG2341" i="1"/>
  <c r="AQ2341" i="1"/>
  <c r="BG2340" i="1"/>
  <c r="BG2339" i="1"/>
  <c r="BG2338" i="1"/>
  <c r="BG2337" i="1"/>
  <c r="BG2336" i="1"/>
  <c r="BG2335" i="1"/>
  <c r="BG2334" i="1"/>
  <c r="AQ2334" i="1"/>
  <c r="BG2333" i="1"/>
  <c r="BG2332" i="1"/>
  <c r="AQ2332" i="1"/>
  <c r="BG2331" i="1"/>
  <c r="BG2330" i="1"/>
  <c r="BG2329" i="1"/>
  <c r="AQ2329" i="1"/>
  <c r="BG2328" i="1"/>
  <c r="AQ2328" i="1"/>
  <c r="BG2327" i="1"/>
  <c r="AQ2327" i="1"/>
  <c r="BG2326" i="1"/>
  <c r="AQ2326" i="1"/>
  <c r="BG2325" i="1"/>
  <c r="AQ2325" i="1"/>
  <c r="BG2324" i="1"/>
  <c r="AQ2324" i="1"/>
  <c r="BG2323" i="1"/>
  <c r="AQ2323" i="1"/>
  <c r="BG2322" i="1"/>
  <c r="AQ2322" i="1"/>
  <c r="BG2321" i="1"/>
  <c r="AQ2321" i="1"/>
  <c r="BG2320" i="1"/>
  <c r="AQ2320" i="1"/>
  <c r="BG2319" i="1"/>
  <c r="AQ2319" i="1"/>
  <c r="BG2318" i="1"/>
  <c r="AQ2318" i="1"/>
  <c r="BG2317" i="1"/>
  <c r="AQ2317" i="1"/>
  <c r="BG2316" i="1"/>
  <c r="AQ2316" i="1"/>
  <c r="BG2315" i="1"/>
  <c r="AQ2315" i="1"/>
  <c r="BG2314" i="1"/>
  <c r="AQ2314" i="1"/>
  <c r="BG2313" i="1"/>
  <c r="AQ2313" i="1"/>
  <c r="BG2312" i="1"/>
  <c r="AQ2312" i="1"/>
  <c r="BG2311" i="1"/>
  <c r="AQ2311" i="1"/>
  <c r="BG2310" i="1"/>
  <c r="AQ2310" i="1"/>
  <c r="BG2309" i="1"/>
  <c r="AQ2309" i="1"/>
  <c r="BG2308" i="1"/>
  <c r="AQ2308" i="1"/>
  <c r="BG2307" i="1"/>
  <c r="AQ2307" i="1"/>
  <c r="BG2306" i="1"/>
  <c r="AQ2306" i="1"/>
  <c r="BG2305" i="1"/>
  <c r="AQ2305" i="1"/>
  <c r="BG2304" i="1"/>
  <c r="AQ2304" i="1"/>
  <c r="BG2303" i="1"/>
  <c r="BG2302" i="1"/>
  <c r="BG2301" i="1"/>
  <c r="BG2300" i="1"/>
  <c r="AQ2300" i="1"/>
  <c r="BG2299" i="1"/>
  <c r="BG2298" i="1"/>
  <c r="BG2297" i="1"/>
  <c r="BG2296" i="1"/>
  <c r="BG2295" i="1"/>
  <c r="AQ2295" i="1"/>
  <c r="BG2294" i="1"/>
  <c r="AQ2294" i="1"/>
  <c r="BG2293" i="1"/>
  <c r="AQ2293" i="1"/>
  <c r="BG2292" i="1"/>
  <c r="AQ2292" i="1"/>
  <c r="BG2291" i="1"/>
  <c r="AQ2291" i="1"/>
  <c r="BG2290" i="1"/>
  <c r="BG2289" i="1"/>
  <c r="AQ2289" i="1"/>
  <c r="BG2288" i="1"/>
  <c r="AQ2288" i="1"/>
  <c r="BG2287" i="1"/>
  <c r="AQ2287" i="1"/>
  <c r="BG2286" i="1"/>
  <c r="BG2285" i="1"/>
  <c r="AQ2285" i="1"/>
  <c r="BG2284" i="1"/>
  <c r="BG2283" i="1"/>
  <c r="AQ2283" i="1"/>
  <c r="BG2282" i="1"/>
  <c r="AQ2282" i="1"/>
  <c r="BG2281" i="1"/>
  <c r="BG2280" i="1"/>
  <c r="BG2279" i="1"/>
  <c r="BG2278" i="1"/>
  <c r="BG2277" i="1"/>
  <c r="AQ2277" i="1"/>
  <c r="BG2276" i="1"/>
  <c r="AQ2276" i="1"/>
  <c r="BG2275" i="1"/>
  <c r="AQ2275" i="1"/>
  <c r="BG2274" i="1"/>
  <c r="AQ2274" i="1"/>
  <c r="BG2273" i="1"/>
  <c r="AQ2273" i="1"/>
  <c r="BG2272" i="1"/>
  <c r="AQ2272" i="1"/>
  <c r="BG2271" i="1"/>
  <c r="AQ2271" i="1"/>
  <c r="BG2270" i="1"/>
  <c r="AQ2270" i="1"/>
  <c r="BG2269" i="1"/>
  <c r="AQ2269" i="1"/>
  <c r="BG2268" i="1"/>
  <c r="AQ2268" i="1"/>
  <c r="BG2267" i="1"/>
  <c r="AQ2267" i="1"/>
  <c r="BG2266" i="1"/>
  <c r="AQ2266" i="1"/>
  <c r="BG2265" i="1"/>
  <c r="AQ2265" i="1"/>
  <c r="BG2264" i="1"/>
  <c r="AQ2264" i="1"/>
  <c r="BG2263" i="1"/>
  <c r="AQ2263" i="1"/>
  <c r="BG2262" i="1"/>
  <c r="AQ2262" i="1"/>
  <c r="BG2261" i="1"/>
  <c r="AQ2261" i="1"/>
  <c r="BG2260" i="1"/>
  <c r="AQ2260" i="1"/>
  <c r="BG2259" i="1"/>
  <c r="AQ2259" i="1"/>
  <c r="BG2258" i="1"/>
  <c r="AQ2258" i="1"/>
  <c r="BG2257" i="1"/>
  <c r="AQ2257" i="1"/>
  <c r="BG2256" i="1"/>
  <c r="AQ2256" i="1"/>
  <c r="BG2255" i="1"/>
  <c r="AQ2255" i="1"/>
  <c r="BG2254" i="1"/>
  <c r="AQ2254" i="1"/>
  <c r="BG2253" i="1"/>
  <c r="AQ2253" i="1"/>
  <c r="BG2252" i="1"/>
  <c r="AQ2252" i="1"/>
  <c r="BG2251" i="1"/>
  <c r="AQ2251" i="1"/>
  <c r="BG2250" i="1"/>
  <c r="AQ2250" i="1"/>
  <c r="BG2249" i="1"/>
  <c r="AQ2249" i="1"/>
  <c r="BG2248" i="1"/>
  <c r="AQ2248" i="1"/>
  <c r="BG2247" i="1"/>
  <c r="AQ2247" i="1"/>
  <c r="BG2246" i="1"/>
  <c r="AQ2246" i="1"/>
  <c r="BG2245" i="1"/>
  <c r="AQ2245" i="1"/>
  <c r="BG2244" i="1"/>
  <c r="AQ2244" i="1"/>
  <c r="BG2243" i="1"/>
  <c r="AQ2243" i="1"/>
  <c r="BG2242" i="1"/>
  <c r="AQ2242" i="1"/>
  <c r="BG2241" i="1"/>
  <c r="AQ2241" i="1"/>
  <c r="BG2240" i="1"/>
  <c r="AQ2240" i="1"/>
  <c r="BG2239" i="1"/>
  <c r="AQ2239" i="1"/>
  <c r="BG2238" i="1"/>
  <c r="AQ2238" i="1"/>
  <c r="BG2237" i="1"/>
  <c r="AQ2237" i="1"/>
  <c r="BG2236" i="1"/>
  <c r="AQ2236" i="1"/>
  <c r="BG2235" i="1"/>
  <c r="AQ2235" i="1"/>
  <c r="BG2234" i="1"/>
  <c r="AQ2234" i="1"/>
  <c r="BG2233" i="1"/>
  <c r="AQ2233" i="1"/>
  <c r="BG2232" i="1"/>
  <c r="AQ2232" i="1"/>
  <c r="BG2231" i="1"/>
  <c r="AQ2231" i="1"/>
  <c r="BG2230" i="1"/>
  <c r="AQ2230" i="1"/>
  <c r="BG2229" i="1"/>
  <c r="AQ2229" i="1"/>
  <c r="BG2228" i="1"/>
  <c r="AQ2228" i="1"/>
  <c r="BG2227" i="1"/>
  <c r="AQ2227" i="1"/>
  <c r="BG2226" i="1"/>
  <c r="AQ2226" i="1"/>
  <c r="BG2225" i="1"/>
  <c r="AQ2225" i="1"/>
  <c r="BG2224" i="1"/>
  <c r="AQ2224" i="1"/>
  <c r="BG2223" i="1"/>
  <c r="AQ2223" i="1"/>
  <c r="BG2222" i="1"/>
  <c r="AQ2222" i="1"/>
  <c r="BG2221" i="1"/>
  <c r="AQ2221" i="1"/>
  <c r="BG2220" i="1"/>
  <c r="AQ2220" i="1"/>
  <c r="BG2219" i="1"/>
  <c r="AQ2219" i="1"/>
  <c r="BG2218" i="1"/>
  <c r="AQ2218" i="1"/>
  <c r="BG2217" i="1"/>
  <c r="AQ2217" i="1"/>
  <c r="BG2216" i="1"/>
  <c r="AQ2216" i="1"/>
  <c r="BG2215" i="1"/>
  <c r="BG2214" i="1"/>
  <c r="AQ2214" i="1"/>
  <c r="BG2213" i="1"/>
  <c r="AQ2213" i="1"/>
  <c r="BG2212" i="1"/>
  <c r="AQ2212" i="1"/>
  <c r="BG2211" i="1"/>
  <c r="AQ2211" i="1"/>
  <c r="BG2210" i="1"/>
  <c r="BG2209" i="1"/>
  <c r="BG2208" i="1"/>
  <c r="AQ2208" i="1"/>
  <c r="BG2207" i="1"/>
  <c r="AQ2207" i="1"/>
  <c r="BG2206" i="1"/>
  <c r="BG2205" i="1"/>
  <c r="AQ2205" i="1"/>
  <c r="BG2204" i="1"/>
  <c r="AQ2204" i="1"/>
  <c r="BG2203" i="1"/>
  <c r="AQ2203" i="1"/>
  <c r="BG2202" i="1"/>
  <c r="BG2201" i="1"/>
  <c r="AQ2201" i="1"/>
  <c r="BG2200" i="1"/>
  <c r="AQ2200" i="1"/>
  <c r="BG2199" i="1"/>
  <c r="AQ2199" i="1"/>
  <c r="BG2198" i="1"/>
  <c r="AQ2198" i="1"/>
  <c r="BG2197" i="1"/>
  <c r="AQ2197" i="1"/>
  <c r="BG2196" i="1"/>
  <c r="AQ2196" i="1"/>
  <c r="BG2195" i="1"/>
  <c r="AQ2195" i="1"/>
  <c r="BG2194" i="1"/>
  <c r="AQ2194" i="1"/>
  <c r="BG2193" i="1"/>
  <c r="AQ2193" i="1"/>
  <c r="BG2192" i="1"/>
  <c r="AQ2192" i="1"/>
  <c r="BG2191" i="1"/>
  <c r="AQ2191" i="1"/>
  <c r="BG2190" i="1"/>
  <c r="AQ2190" i="1"/>
  <c r="BG2189" i="1"/>
  <c r="AQ2189" i="1"/>
  <c r="BG2188" i="1"/>
  <c r="AQ2188" i="1"/>
  <c r="BG2187" i="1"/>
  <c r="AQ2187" i="1"/>
  <c r="BG2186" i="1"/>
  <c r="AQ2186" i="1"/>
  <c r="BG2185" i="1"/>
  <c r="AQ2185" i="1"/>
  <c r="BG2184" i="1"/>
  <c r="AQ2184" i="1"/>
  <c r="BG2183" i="1"/>
  <c r="AQ2183" i="1"/>
  <c r="BG2182" i="1"/>
  <c r="AQ2182" i="1"/>
  <c r="BG2181" i="1"/>
  <c r="AQ2181" i="1"/>
  <c r="BG2180" i="1"/>
  <c r="AQ2180" i="1"/>
  <c r="BG2179" i="1"/>
  <c r="AQ2179" i="1"/>
  <c r="BG2178" i="1"/>
  <c r="AQ2178" i="1"/>
  <c r="BG2177" i="1"/>
  <c r="AQ2177" i="1"/>
  <c r="BG2176" i="1"/>
  <c r="AQ2176" i="1"/>
  <c r="BG2175" i="1"/>
  <c r="AQ2175" i="1"/>
  <c r="BG2174" i="1"/>
  <c r="AQ2174" i="1"/>
  <c r="BG2173" i="1"/>
  <c r="AQ2173" i="1"/>
  <c r="BG2172" i="1"/>
  <c r="AQ2172" i="1"/>
  <c r="BG2171" i="1"/>
  <c r="AQ2171" i="1"/>
  <c r="BG2170" i="1"/>
  <c r="AQ2170" i="1"/>
  <c r="BG2169" i="1"/>
  <c r="AQ2169" i="1"/>
  <c r="BG2168" i="1"/>
  <c r="AQ2168" i="1"/>
  <c r="BG2167" i="1"/>
  <c r="AQ2167" i="1"/>
  <c r="BG2166" i="1"/>
  <c r="AQ2166" i="1"/>
  <c r="BG2165" i="1"/>
  <c r="AQ2165" i="1"/>
  <c r="BG2164" i="1"/>
  <c r="AQ2164" i="1"/>
  <c r="BG2163" i="1"/>
  <c r="AQ2163" i="1"/>
  <c r="BG2162" i="1"/>
  <c r="AQ2162" i="1"/>
  <c r="BG2161" i="1"/>
  <c r="AQ2161" i="1"/>
  <c r="BG2160" i="1"/>
  <c r="AQ2160" i="1"/>
  <c r="BG2159" i="1"/>
  <c r="AQ2159" i="1"/>
  <c r="BG2158" i="1"/>
  <c r="AQ2158" i="1"/>
  <c r="BG2157" i="1"/>
  <c r="AQ2157" i="1"/>
  <c r="BG2156" i="1"/>
  <c r="AQ2156" i="1"/>
  <c r="BG2155" i="1"/>
  <c r="AQ2155" i="1"/>
  <c r="BG2154" i="1"/>
  <c r="AQ2154" i="1"/>
  <c r="BG2153" i="1"/>
  <c r="AQ2153" i="1"/>
  <c r="BG2152" i="1"/>
  <c r="AQ2152" i="1"/>
  <c r="BG2151" i="1"/>
  <c r="AQ2151" i="1"/>
  <c r="BG2150" i="1"/>
  <c r="AQ2150" i="1"/>
  <c r="BG2149" i="1"/>
  <c r="AQ2149" i="1"/>
  <c r="BG2148" i="1"/>
  <c r="AQ2148" i="1"/>
  <c r="BG2147" i="1"/>
  <c r="AQ2147" i="1"/>
  <c r="BG2146" i="1"/>
  <c r="AQ2146" i="1"/>
  <c r="BG2145" i="1"/>
  <c r="AQ2145" i="1"/>
  <c r="BG2144" i="1"/>
  <c r="AQ2144" i="1"/>
  <c r="BG2143" i="1"/>
  <c r="AQ2143" i="1"/>
  <c r="BG2142" i="1"/>
  <c r="AQ2142" i="1"/>
  <c r="BG2141" i="1"/>
  <c r="AQ2141" i="1"/>
  <c r="BG2140" i="1"/>
  <c r="AQ2140" i="1"/>
  <c r="BG2139" i="1"/>
  <c r="AQ2139" i="1"/>
  <c r="BG2138" i="1"/>
  <c r="AQ2138" i="1"/>
  <c r="BG2137" i="1"/>
  <c r="AQ2137" i="1"/>
  <c r="BG2136" i="1"/>
  <c r="AQ2136" i="1"/>
  <c r="BG2135" i="1"/>
  <c r="AQ2135" i="1"/>
  <c r="BG2134" i="1"/>
  <c r="AQ2134" i="1"/>
  <c r="BG2133" i="1"/>
  <c r="AQ2133" i="1"/>
  <c r="BG2132" i="1"/>
  <c r="AQ2132" i="1"/>
  <c r="BG2131" i="1"/>
  <c r="AQ2131" i="1"/>
  <c r="BG2130" i="1"/>
  <c r="AQ2130" i="1"/>
  <c r="BG2129" i="1"/>
  <c r="AQ2129" i="1"/>
  <c r="BG2128" i="1"/>
  <c r="AQ2128" i="1"/>
  <c r="BG2127" i="1"/>
  <c r="AQ2127" i="1"/>
  <c r="BG2126" i="1"/>
  <c r="AQ2126" i="1"/>
  <c r="BG2125" i="1"/>
  <c r="AQ2125" i="1"/>
  <c r="BG2124" i="1"/>
  <c r="AQ2124" i="1"/>
  <c r="BG2123" i="1"/>
  <c r="AQ2123" i="1"/>
  <c r="BG2122" i="1"/>
  <c r="AQ2122" i="1"/>
  <c r="BG2121" i="1"/>
  <c r="AQ2121" i="1"/>
  <c r="BG2120" i="1"/>
  <c r="AQ2120" i="1"/>
  <c r="BG2119" i="1"/>
  <c r="AQ2119" i="1"/>
  <c r="BG2118" i="1"/>
  <c r="AQ2118" i="1"/>
  <c r="BG2117" i="1"/>
  <c r="AQ2117" i="1"/>
  <c r="BG2116" i="1"/>
  <c r="AQ2116" i="1"/>
  <c r="BG2115" i="1"/>
  <c r="AQ2115" i="1"/>
  <c r="BG2114" i="1"/>
  <c r="AQ2114" i="1"/>
  <c r="BG2113" i="1"/>
  <c r="AQ2113" i="1"/>
  <c r="BG2112" i="1"/>
  <c r="AQ2112" i="1"/>
  <c r="BG2111" i="1"/>
  <c r="AQ2111" i="1"/>
  <c r="BG2110" i="1"/>
  <c r="AQ2110" i="1"/>
  <c r="BG2109" i="1"/>
  <c r="AQ2109" i="1"/>
  <c r="BG2108" i="1"/>
  <c r="AQ2108" i="1"/>
  <c r="BG2107" i="1"/>
  <c r="AQ2107" i="1"/>
  <c r="BG2106" i="1"/>
  <c r="AQ2106" i="1"/>
  <c r="BG2105" i="1"/>
  <c r="AQ2105" i="1"/>
  <c r="BG2104" i="1"/>
  <c r="AQ2104" i="1"/>
  <c r="BG2103" i="1"/>
  <c r="AQ2103" i="1"/>
  <c r="BG2102" i="1"/>
  <c r="AQ2102" i="1"/>
  <c r="BG2101" i="1"/>
  <c r="AQ2101" i="1"/>
  <c r="BG2100" i="1"/>
  <c r="AQ2100" i="1"/>
  <c r="BG2099" i="1"/>
  <c r="AQ2099" i="1"/>
  <c r="BG2098" i="1"/>
  <c r="AQ2098" i="1"/>
  <c r="BG2097" i="1"/>
  <c r="AQ2097" i="1"/>
  <c r="BG2096" i="1"/>
  <c r="AQ2096" i="1"/>
  <c r="BG2095" i="1"/>
  <c r="AQ2095" i="1"/>
  <c r="BG2094" i="1"/>
  <c r="AQ2094" i="1"/>
  <c r="BG2093" i="1"/>
  <c r="AQ2093" i="1"/>
  <c r="BG2092" i="1"/>
  <c r="AQ2092" i="1"/>
  <c r="BG2091" i="1"/>
  <c r="AQ2091" i="1"/>
  <c r="BG2090" i="1"/>
  <c r="AQ2090" i="1"/>
  <c r="BG2089" i="1"/>
  <c r="AQ2089" i="1"/>
  <c r="BG2088" i="1"/>
  <c r="AQ2088" i="1"/>
  <c r="BG2087" i="1"/>
  <c r="AQ2087" i="1"/>
  <c r="BG2086" i="1"/>
  <c r="AQ2086" i="1"/>
  <c r="BG2085" i="1"/>
  <c r="AQ2085" i="1"/>
  <c r="BG2084" i="1"/>
  <c r="AQ2084" i="1"/>
  <c r="BG2083" i="1"/>
  <c r="AQ2083" i="1"/>
  <c r="BG2082" i="1"/>
  <c r="AQ2082" i="1"/>
  <c r="BG2081" i="1"/>
  <c r="AQ2081" i="1"/>
  <c r="BG2080" i="1"/>
  <c r="AQ2080" i="1"/>
  <c r="BG2079" i="1"/>
  <c r="AQ2079" i="1"/>
  <c r="BG2078" i="1"/>
  <c r="AQ2078" i="1"/>
  <c r="BG2077" i="1"/>
  <c r="AQ2077" i="1"/>
  <c r="BG2076" i="1"/>
  <c r="AQ2076" i="1"/>
  <c r="BG2075" i="1"/>
  <c r="AQ2075" i="1"/>
  <c r="BG2074" i="1"/>
  <c r="AQ2074" i="1"/>
  <c r="BG2073" i="1"/>
  <c r="AQ2073" i="1"/>
  <c r="BG2072" i="1"/>
  <c r="AQ2072" i="1"/>
  <c r="BG2071" i="1"/>
  <c r="AQ2071" i="1"/>
  <c r="BG2070" i="1"/>
  <c r="AQ2070" i="1"/>
  <c r="BG2069" i="1"/>
  <c r="AQ2069" i="1"/>
  <c r="BG2068" i="1"/>
  <c r="AQ2068" i="1"/>
  <c r="BG2067" i="1"/>
  <c r="AQ2067" i="1"/>
  <c r="BG2066" i="1"/>
  <c r="AQ2066" i="1"/>
  <c r="BG2065" i="1"/>
  <c r="AQ2065" i="1"/>
  <c r="BG2064" i="1"/>
  <c r="AQ2064" i="1"/>
  <c r="BG2063" i="1"/>
  <c r="AQ2063" i="1"/>
  <c r="BG2062" i="1"/>
  <c r="BG2061" i="1"/>
  <c r="AQ2061" i="1"/>
  <c r="BG2060" i="1"/>
  <c r="AQ2060" i="1"/>
  <c r="BG2059" i="1"/>
  <c r="AQ2059" i="1"/>
  <c r="BG2058" i="1"/>
  <c r="AQ2058" i="1"/>
  <c r="BG2057" i="1"/>
  <c r="BG2056" i="1"/>
  <c r="BG2055" i="1"/>
  <c r="BG2054" i="1"/>
  <c r="BG2053" i="1"/>
  <c r="BG2052" i="1"/>
  <c r="AQ2052" i="1"/>
  <c r="BG2051" i="1"/>
  <c r="AQ2051" i="1"/>
  <c r="BG2050" i="1"/>
  <c r="AQ2050" i="1"/>
  <c r="BG2049" i="1"/>
  <c r="AQ2049" i="1"/>
  <c r="BG2048" i="1"/>
  <c r="AQ2048" i="1"/>
  <c r="BG2047" i="1"/>
  <c r="AQ2047" i="1"/>
  <c r="BG2046" i="1"/>
  <c r="AQ2046" i="1"/>
  <c r="BG2045" i="1"/>
  <c r="AQ2045" i="1"/>
  <c r="BG2044" i="1"/>
  <c r="AQ2044" i="1"/>
  <c r="BG2043" i="1"/>
  <c r="AQ2043" i="1"/>
  <c r="BG2042" i="1"/>
  <c r="AQ2042" i="1"/>
  <c r="BG2041" i="1"/>
  <c r="AQ2041" i="1"/>
  <c r="BG2040" i="1"/>
  <c r="AQ2040" i="1"/>
  <c r="BG2039" i="1"/>
  <c r="AQ2039" i="1"/>
  <c r="BG2038" i="1"/>
  <c r="AQ2038" i="1"/>
  <c r="BG2037" i="1"/>
  <c r="AQ2037" i="1"/>
  <c r="BG2036" i="1"/>
  <c r="AQ2036" i="1"/>
  <c r="BG2035" i="1"/>
  <c r="AQ2035" i="1"/>
  <c r="BG2034" i="1"/>
  <c r="AQ2034" i="1"/>
  <c r="BG2033" i="1"/>
  <c r="AQ2033" i="1"/>
  <c r="BG2032" i="1"/>
  <c r="AQ2032" i="1"/>
  <c r="BG2031" i="1"/>
  <c r="AQ2031" i="1"/>
  <c r="BG2030" i="1"/>
  <c r="AQ2030" i="1"/>
  <c r="BG2029" i="1"/>
  <c r="AQ2029" i="1"/>
  <c r="BG2028" i="1"/>
  <c r="AQ2028" i="1"/>
  <c r="BG2027" i="1"/>
  <c r="AQ2027" i="1"/>
  <c r="BG2026" i="1"/>
  <c r="AQ2026" i="1"/>
  <c r="BG2025" i="1"/>
  <c r="AQ2025" i="1"/>
  <c r="BG2024" i="1"/>
  <c r="AQ2024" i="1"/>
  <c r="BG2023" i="1"/>
  <c r="AQ2023" i="1"/>
  <c r="BG2022" i="1"/>
  <c r="AQ2022" i="1"/>
  <c r="BG2021" i="1"/>
  <c r="AQ2021" i="1"/>
  <c r="BG2020" i="1"/>
  <c r="AQ2020" i="1"/>
  <c r="BG2019" i="1"/>
  <c r="AQ2019" i="1"/>
  <c r="BG2018" i="1"/>
  <c r="AQ2018" i="1"/>
  <c r="BG2017" i="1"/>
  <c r="AQ2017" i="1"/>
  <c r="BG2016" i="1"/>
  <c r="AQ2016" i="1"/>
  <c r="BG2015" i="1"/>
  <c r="AQ2015" i="1"/>
  <c r="BG2014" i="1"/>
  <c r="AQ2014" i="1"/>
  <c r="BG2013" i="1"/>
  <c r="AQ2013" i="1"/>
  <c r="BG2012" i="1"/>
  <c r="AQ2012" i="1"/>
  <c r="BG2011" i="1"/>
  <c r="AQ2011" i="1"/>
  <c r="BG2010" i="1"/>
  <c r="AQ2010" i="1"/>
  <c r="BG2009" i="1"/>
  <c r="AQ2009" i="1"/>
  <c r="BG2008" i="1"/>
  <c r="AQ2008" i="1"/>
  <c r="BG2007" i="1"/>
  <c r="AQ2007" i="1"/>
  <c r="BG2006" i="1"/>
  <c r="AQ2006" i="1"/>
  <c r="BG2005" i="1"/>
  <c r="AQ2005" i="1"/>
  <c r="BG2004" i="1"/>
  <c r="AQ2004" i="1"/>
  <c r="BG2003" i="1"/>
  <c r="AQ2003" i="1"/>
  <c r="BG2002" i="1"/>
  <c r="AQ2002" i="1"/>
  <c r="BG2001" i="1"/>
  <c r="AQ2001" i="1"/>
  <c r="BG2000" i="1"/>
  <c r="AQ2000" i="1"/>
  <c r="BG1999" i="1"/>
  <c r="AQ1999" i="1"/>
  <c r="BG1998" i="1"/>
  <c r="BG1997" i="1"/>
  <c r="AQ1997" i="1"/>
  <c r="BG1996" i="1"/>
  <c r="AQ1996" i="1"/>
  <c r="BG1995" i="1"/>
  <c r="AQ1995" i="1"/>
  <c r="BG1994" i="1"/>
  <c r="AQ1994" i="1"/>
  <c r="BG1993" i="1"/>
  <c r="AQ1993" i="1"/>
  <c r="BG1992" i="1"/>
  <c r="AQ1992" i="1"/>
  <c r="BG1991" i="1"/>
  <c r="AQ1991" i="1"/>
  <c r="BG1990" i="1"/>
  <c r="AQ1990" i="1"/>
  <c r="BG1989" i="1"/>
  <c r="AQ1989" i="1"/>
  <c r="BG1988" i="1"/>
  <c r="AQ1988" i="1"/>
  <c r="BG1987" i="1"/>
  <c r="AQ1987" i="1"/>
  <c r="BG1986" i="1"/>
  <c r="AQ1986" i="1"/>
  <c r="BG1985" i="1"/>
  <c r="AQ1985" i="1"/>
  <c r="BG1984" i="1"/>
  <c r="AQ1984" i="1"/>
  <c r="BG1983" i="1"/>
  <c r="AQ1983" i="1"/>
  <c r="BG1982" i="1"/>
  <c r="AQ1982" i="1"/>
  <c r="BG1981" i="1"/>
  <c r="AQ1981" i="1"/>
  <c r="BG1980" i="1"/>
  <c r="AQ1980" i="1"/>
  <c r="BG1979" i="1"/>
  <c r="AQ1979" i="1"/>
  <c r="BG1978" i="1"/>
  <c r="AQ1978" i="1"/>
  <c r="BG1977" i="1"/>
  <c r="AQ1977" i="1"/>
  <c r="BG1976" i="1"/>
  <c r="AQ1976" i="1"/>
  <c r="BG1975" i="1"/>
  <c r="AQ1975" i="1"/>
  <c r="BG1974" i="1"/>
  <c r="AQ1974" i="1"/>
  <c r="BG1973" i="1"/>
  <c r="AQ1973" i="1"/>
  <c r="BG1972" i="1"/>
  <c r="AQ1972" i="1"/>
  <c r="BG1971" i="1"/>
  <c r="AQ1971" i="1"/>
  <c r="BG1970" i="1"/>
  <c r="AQ1970" i="1"/>
  <c r="BG1969" i="1"/>
  <c r="AQ1969" i="1"/>
  <c r="BG1968" i="1"/>
  <c r="AQ1968" i="1"/>
  <c r="BG1967" i="1"/>
  <c r="AQ1967" i="1"/>
  <c r="BG1966" i="1"/>
  <c r="AQ1966" i="1"/>
  <c r="BG1965" i="1"/>
  <c r="AQ1965" i="1"/>
  <c r="BG1964" i="1"/>
  <c r="AQ1964" i="1"/>
  <c r="BG1963" i="1"/>
  <c r="AQ1963" i="1"/>
  <c r="BG1962" i="1"/>
  <c r="AQ1962" i="1"/>
  <c r="BG1961" i="1"/>
  <c r="AQ1961" i="1"/>
  <c r="BG1960" i="1"/>
  <c r="AQ1960" i="1"/>
  <c r="BG1959" i="1"/>
  <c r="AQ1959" i="1"/>
  <c r="BG1958" i="1"/>
  <c r="AQ1958" i="1"/>
  <c r="BG1957" i="1"/>
  <c r="AQ1957" i="1"/>
  <c r="BG1956" i="1"/>
  <c r="AQ1956" i="1"/>
  <c r="BG1955" i="1"/>
  <c r="AQ1955" i="1"/>
  <c r="BG1954" i="1"/>
  <c r="AQ1954" i="1"/>
  <c r="BG1953" i="1"/>
  <c r="AQ1953" i="1"/>
  <c r="BG1952" i="1"/>
  <c r="AQ1952" i="1"/>
  <c r="BG1951" i="1"/>
  <c r="AQ1951" i="1"/>
  <c r="BG1950" i="1"/>
  <c r="AQ1950" i="1"/>
  <c r="BG1949" i="1"/>
  <c r="AQ1949" i="1"/>
  <c r="BG1948" i="1"/>
  <c r="AQ1948" i="1"/>
  <c r="BG1947" i="1"/>
  <c r="AQ1947" i="1"/>
  <c r="BG1946" i="1"/>
  <c r="AQ1946" i="1"/>
  <c r="BG1945" i="1"/>
  <c r="AQ1945" i="1"/>
  <c r="BG1944" i="1"/>
  <c r="AQ1944" i="1"/>
  <c r="BG1943" i="1"/>
  <c r="AQ1943" i="1"/>
  <c r="BG1942" i="1"/>
  <c r="AQ1942" i="1"/>
  <c r="BG1941" i="1"/>
  <c r="AQ1941" i="1"/>
  <c r="BG1940" i="1"/>
  <c r="AQ1940" i="1"/>
  <c r="BG1939" i="1"/>
  <c r="AQ1939" i="1"/>
  <c r="BG1938" i="1"/>
  <c r="AQ1938" i="1"/>
  <c r="BG1937" i="1"/>
  <c r="AQ1937" i="1"/>
  <c r="BG1936" i="1"/>
  <c r="AQ1936" i="1"/>
  <c r="BG1935" i="1"/>
  <c r="AQ1935" i="1"/>
  <c r="BG1934" i="1"/>
  <c r="AQ1934" i="1"/>
  <c r="BG1933" i="1"/>
  <c r="AQ1933" i="1"/>
  <c r="BG1932" i="1"/>
  <c r="AQ1932" i="1"/>
  <c r="BG1931" i="1"/>
  <c r="AQ1931" i="1"/>
  <c r="BG1930" i="1"/>
  <c r="AQ1930" i="1"/>
  <c r="BG1929" i="1"/>
  <c r="AQ1929" i="1"/>
  <c r="BG1928" i="1"/>
  <c r="AQ1928" i="1"/>
  <c r="BG1927" i="1"/>
  <c r="AQ1927" i="1"/>
  <c r="BG1926" i="1"/>
  <c r="AQ1926" i="1"/>
  <c r="BG1925" i="1"/>
  <c r="AQ1925" i="1"/>
  <c r="BG1924" i="1"/>
  <c r="AQ1924" i="1"/>
  <c r="BG1923" i="1"/>
  <c r="AQ1923" i="1"/>
  <c r="BG1922" i="1"/>
  <c r="AQ1922" i="1"/>
  <c r="BG1921" i="1"/>
  <c r="AQ1921" i="1"/>
  <c r="BG1920" i="1"/>
  <c r="AQ1920" i="1"/>
  <c r="BG1919" i="1"/>
  <c r="AQ1919" i="1"/>
  <c r="BG1918" i="1"/>
  <c r="AQ1918" i="1"/>
  <c r="BG1917" i="1"/>
  <c r="AQ1917" i="1"/>
  <c r="BG1916" i="1"/>
  <c r="AQ1916" i="1"/>
  <c r="BG1915" i="1"/>
  <c r="AQ1915" i="1"/>
  <c r="BG1914" i="1"/>
  <c r="AQ1914" i="1"/>
  <c r="BG1913" i="1"/>
  <c r="AQ1913" i="1"/>
  <c r="BG1912" i="1"/>
  <c r="AQ1912" i="1"/>
  <c r="BG1911" i="1"/>
  <c r="AQ1911" i="1"/>
  <c r="BG1910" i="1"/>
  <c r="AQ1910" i="1"/>
  <c r="BG1909" i="1"/>
  <c r="AQ1909" i="1"/>
  <c r="BG1908" i="1"/>
  <c r="AQ1908" i="1"/>
  <c r="BG1907" i="1"/>
  <c r="AQ1907" i="1"/>
  <c r="BG1906" i="1"/>
  <c r="AQ1906" i="1"/>
  <c r="BG1905" i="1"/>
  <c r="AQ1905" i="1"/>
  <c r="BG1904" i="1"/>
  <c r="AQ1904" i="1"/>
  <c r="BG1903" i="1"/>
  <c r="AQ1903" i="1"/>
  <c r="BG1902" i="1"/>
  <c r="AQ1902" i="1"/>
  <c r="BG1901" i="1"/>
  <c r="AQ1901" i="1"/>
  <c r="BG1900" i="1"/>
  <c r="AQ1900" i="1"/>
  <c r="BG1899" i="1"/>
  <c r="AQ1899" i="1"/>
  <c r="BG1898" i="1"/>
  <c r="AQ1898" i="1"/>
  <c r="BG1897" i="1"/>
  <c r="AQ1897" i="1"/>
  <c r="BG1896" i="1"/>
  <c r="AQ1896" i="1"/>
  <c r="BG1895" i="1"/>
  <c r="AQ1895" i="1"/>
  <c r="BG1894" i="1"/>
  <c r="AQ1894" i="1"/>
  <c r="BG1893" i="1"/>
  <c r="AQ1893" i="1"/>
  <c r="BG1892" i="1"/>
  <c r="AQ1892" i="1"/>
  <c r="BG1891" i="1"/>
  <c r="AQ1891" i="1"/>
  <c r="BG1890" i="1"/>
  <c r="AQ1890" i="1"/>
  <c r="BG1889" i="1"/>
  <c r="AQ1889" i="1"/>
  <c r="BG1888" i="1"/>
  <c r="AQ1888" i="1"/>
  <c r="BG1887" i="1"/>
  <c r="AQ1887" i="1"/>
  <c r="BG1886" i="1"/>
  <c r="AQ1886" i="1"/>
  <c r="BG1885" i="1"/>
  <c r="AQ1885" i="1"/>
  <c r="BG1884" i="1"/>
  <c r="AQ1884" i="1"/>
  <c r="BG1883" i="1"/>
  <c r="AQ1883" i="1"/>
  <c r="BG1882" i="1"/>
  <c r="AQ1882" i="1"/>
  <c r="BG1881" i="1"/>
  <c r="AQ1881" i="1"/>
  <c r="BG1880" i="1"/>
  <c r="AQ1880" i="1"/>
  <c r="BG1879" i="1"/>
  <c r="AQ1879" i="1"/>
  <c r="BG1878" i="1"/>
  <c r="AQ1878" i="1"/>
  <c r="BG1877" i="1"/>
  <c r="AQ1877" i="1"/>
  <c r="BG1876" i="1"/>
  <c r="AQ1876" i="1"/>
  <c r="BG1875" i="1"/>
  <c r="AQ1875" i="1"/>
  <c r="BG1874" i="1"/>
  <c r="AQ1874" i="1"/>
  <c r="BG1873" i="1"/>
  <c r="AQ1873" i="1"/>
  <c r="BG1872" i="1"/>
  <c r="AQ1872" i="1"/>
  <c r="BG1871" i="1"/>
  <c r="AQ1871" i="1"/>
  <c r="BG1870" i="1"/>
  <c r="AQ1870" i="1"/>
  <c r="BG1869" i="1"/>
  <c r="AQ1869" i="1"/>
  <c r="BG1868" i="1"/>
  <c r="AQ1868" i="1"/>
  <c r="BG1867" i="1"/>
  <c r="AQ1867" i="1"/>
  <c r="BG1866" i="1"/>
  <c r="AQ1866" i="1"/>
  <c r="BG1865" i="1"/>
  <c r="AQ1865" i="1"/>
  <c r="BG1864" i="1"/>
  <c r="AQ1864" i="1"/>
  <c r="BG1863" i="1"/>
  <c r="AQ1863" i="1"/>
  <c r="BG1862" i="1"/>
  <c r="AQ1862" i="1"/>
  <c r="BG1861" i="1"/>
  <c r="AQ1861" i="1"/>
  <c r="BG1860" i="1"/>
  <c r="AQ1860" i="1"/>
  <c r="BG1859" i="1"/>
  <c r="AQ1859" i="1"/>
  <c r="BG1858" i="1"/>
  <c r="AQ1858" i="1"/>
  <c r="BG1857" i="1"/>
  <c r="AQ1857" i="1"/>
  <c r="BG1856" i="1"/>
  <c r="AQ1856" i="1"/>
  <c r="BG1855" i="1"/>
  <c r="AQ1855" i="1"/>
  <c r="BG1854" i="1"/>
  <c r="AQ1854" i="1"/>
  <c r="BG1853" i="1"/>
  <c r="AQ1853" i="1"/>
  <c r="BG1852" i="1"/>
  <c r="AQ1852" i="1"/>
  <c r="BG1851" i="1"/>
  <c r="AQ1851" i="1"/>
  <c r="BG1850" i="1"/>
  <c r="AQ1850" i="1"/>
  <c r="BG1849" i="1"/>
  <c r="AQ1849" i="1"/>
  <c r="BG1848" i="1"/>
  <c r="AQ1848" i="1"/>
  <c r="BG1847" i="1"/>
  <c r="AQ1847" i="1"/>
  <c r="BG1846" i="1"/>
  <c r="AQ1846" i="1"/>
  <c r="BG1845" i="1"/>
  <c r="AQ1845" i="1"/>
  <c r="BG1844" i="1"/>
  <c r="AQ1844" i="1"/>
  <c r="BG1843" i="1"/>
  <c r="AQ1843" i="1"/>
  <c r="BG1842" i="1"/>
  <c r="AQ1842" i="1"/>
  <c r="BG1841" i="1"/>
  <c r="AQ1841" i="1"/>
  <c r="BG1840" i="1"/>
  <c r="AQ1840" i="1"/>
  <c r="BG1839" i="1"/>
  <c r="AQ1839" i="1"/>
  <c r="BG1838" i="1"/>
  <c r="AQ1838" i="1"/>
  <c r="BG1837" i="1"/>
  <c r="AQ1837" i="1"/>
  <c r="BG1836" i="1"/>
  <c r="AQ1836" i="1"/>
  <c r="BG1835" i="1"/>
  <c r="AQ1835" i="1"/>
  <c r="BG1834" i="1"/>
  <c r="AQ1834" i="1"/>
  <c r="BG1833" i="1"/>
  <c r="AQ1833" i="1"/>
  <c r="BG1832" i="1"/>
  <c r="AQ1832" i="1"/>
  <c r="BG1831" i="1"/>
  <c r="AQ1831" i="1"/>
  <c r="BG1830" i="1"/>
  <c r="AQ1830" i="1"/>
  <c r="BG1829" i="1"/>
  <c r="AQ1829" i="1"/>
  <c r="BG1828" i="1"/>
  <c r="AQ1828" i="1"/>
  <c r="BG1827" i="1"/>
  <c r="AQ1827" i="1"/>
  <c r="BG1826" i="1"/>
  <c r="AQ1826" i="1"/>
  <c r="BG1825" i="1"/>
  <c r="AQ1825" i="1"/>
  <c r="BG1824" i="1"/>
  <c r="AQ1824" i="1"/>
  <c r="BG1823" i="1"/>
  <c r="AQ1823" i="1"/>
  <c r="BG1822" i="1"/>
  <c r="AQ1822" i="1"/>
  <c r="BG1821" i="1"/>
  <c r="AQ1821" i="1"/>
  <c r="BG1820" i="1"/>
  <c r="AQ1820" i="1"/>
  <c r="BG1819" i="1"/>
  <c r="AQ1819" i="1"/>
  <c r="BG1818" i="1"/>
  <c r="AQ1818" i="1"/>
  <c r="BG1817" i="1"/>
  <c r="AQ1817" i="1"/>
  <c r="BG1816" i="1"/>
  <c r="AQ1816" i="1"/>
  <c r="BG1815" i="1"/>
  <c r="AQ1815" i="1"/>
  <c r="BG1814" i="1"/>
  <c r="AQ1814" i="1"/>
  <c r="BG1813" i="1"/>
  <c r="AQ1813" i="1"/>
  <c r="BG1812" i="1"/>
  <c r="AQ1812" i="1"/>
  <c r="BG1811" i="1"/>
  <c r="AQ1811" i="1"/>
  <c r="BG1810" i="1"/>
  <c r="AQ1810" i="1"/>
  <c r="BG1809" i="1"/>
  <c r="AQ1809" i="1"/>
  <c r="BG1808" i="1"/>
  <c r="AQ1808" i="1"/>
  <c r="BG1807" i="1"/>
  <c r="AQ1807" i="1"/>
  <c r="BG1806" i="1"/>
  <c r="AQ1806" i="1"/>
  <c r="BG1805" i="1"/>
  <c r="AQ1805" i="1"/>
  <c r="BG1804" i="1"/>
  <c r="AQ1804" i="1"/>
  <c r="BG1803" i="1"/>
  <c r="AQ1803" i="1"/>
  <c r="BG1802" i="1"/>
  <c r="AQ1802" i="1"/>
  <c r="BG1801" i="1"/>
  <c r="AQ1801" i="1"/>
  <c r="BG1800" i="1"/>
  <c r="AQ1800" i="1"/>
  <c r="BG1799" i="1"/>
  <c r="BG1798" i="1"/>
  <c r="BG1797" i="1"/>
  <c r="BG1796" i="1"/>
  <c r="BG1795" i="1"/>
  <c r="BG1794" i="1"/>
  <c r="BG1793" i="1"/>
  <c r="BG1792" i="1"/>
  <c r="BG1791" i="1"/>
  <c r="BG1790" i="1"/>
  <c r="BG1789" i="1"/>
  <c r="BG1788" i="1"/>
  <c r="BG1787" i="1"/>
  <c r="BG1786" i="1"/>
  <c r="BG1785" i="1"/>
  <c r="BG1784" i="1"/>
  <c r="BG1783" i="1"/>
  <c r="BG1782" i="1"/>
  <c r="BG1781" i="1"/>
  <c r="BG1780" i="1"/>
  <c r="BG1779" i="1"/>
  <c r="BG1778" i="1"/>
  <c r="BG1777" i="1"/>
  <c r="BG1776" i="1"/>
  <c r="BG1775" i="1"/>
  <c r="BG1774" i="1"/>
  <c r="BG1773" i="1"/>
  <c r="BG1772" i="1"/>
  <c r="BG1771" i="1"/>
  <c r="BG1770" i="1"/>
  <c r="BG1769" i="1"/>
  <c r="BG1768" i="1"/>
  <c r="BG1767" i="1"/>
  <c r="BG1766" i="1"/>
  <c r="BG1765" i="1"/>
  <c r="BG1764" i="1"/>
  <c r="BG1763" i="1"/>
  <c r="AQ1763" i="1"/>
  <c r="BG1762" i="1"/>
  <c r="AQ1762" i="1"/>
  <c r="BG1761" i="1"/>
  <c r="AQ1761" i="1"/>
  <c r="BG1760" i="1"/>
  <c r="AQ1760" i="1"/>
  <c r="BG1759" i="1"/>
  <c r="AQ1759" i="1"/>
  <c r="BG1758" i="1"/>
  <c r="AQ1758" i="1"/>
  <c r="BG1757" i="1"/>
  <c r="AQ1757" i="1"/>
  <c r="BG1756" i="1"/>
  <c r="AQ1756" i="1"/>
  <c r="BG1755" i="1"/>
  <c r="AQ1755" i="1"/>
  <c r="BG1754" i="1"/>
  <c r="AQ1754" i="1"/>
  <c r="BG1753" i="1"/>
  <c r="AQ1753" i="1"/>
  <c r="BG1752" i="1"/>
  <c r="AQ1752" i="1"/>
  <c r="BG1751" i="1"/>
  <c r="AQ1751" i="1"/>
  <c r="BG1750" i="1"/>
  <c r="AQ1750" i="1"/>
  <c r="BG1749" i="1"/>
  <c r="AQ1749" i="1"/>
  <c r="BG1748" i="1"/>
  <c r="AQ1748" i="1"/>
  <c r="BG1747" i="1"/>
  <c r="AQ1747" i="1"/>
  <c r="BG1746" i="1"/>
  <c r="AQ1746" i="1"/>
  <c r="BG1745" i="1"/>
  <c r="AQ1745" i="1"/>
  <c r="BG1744" i="1"/>
  <c r="AQ1744" i="1"/>
  <c r="BG1743" i="1"/>
  <c r="AQ1743" i="1"/>
  <c r="BG1742" i="1"/>
  <c r="AQ1742" i="1"/>
  <c r="BG1741" i="1"/>
  <c r="AQ1741" i="1"/>
  <c r="BG1740" i="1"/>
  <c r="AQ1740" i="1"/>
  <c r="BG1739" i="1"/>
  <c r="AQ1739" i="1"/>
  <c r="BG1738" i="1"/>
  <c r="AQ1738" i="1"/>
  <c r="BG1737" i="1"/>
  <c r="BG1736" i="1"/>
  <c r="AQ1736" i="1"/>
  <c r="BG1735" i="1"/>
  <c r="AQ1735" i="1"/>
  <c r="BG1734" i="1"/>
  <c r="AQ1734" i="1"/>
  <c r="BG1733" i="1"/>
  <c r="AQ1733" i="1"/>
  <c r="BG1732" i="1"/>
  <c r="AQ1732" i="1"/>
  <c r="BG1731" i="1"/>
  <c r="AQ1731" i="1"/>
  <c r="BG1730" i="1"/>
  <c r="AQ1730" i="1"/>
  <c r="BG1729" i="1"/>
  <c r="AQ1729" i="1"/>
  <c r="BG1728" i="1"/>
  <c r="AQ1728" i="1"/>
  <c r="BG1727" i="1"/>
  <c r="AQ1727" i="1"/>
  <c r="BG1726" i="1"/>
  <c r="AQ1726" i="1"/>
  <c r="BG1725" i="1"/>
  <c r="AQ1725" i="1"/>
  <c r="BG1724" i="1"/>
  <c r="AQ1724" i="1"/>
  <c r="BG1723" i="1"/>
  <c r="AQ1723" i="1"/>
  <c r="BG1722" i="1"/>
  <c r="AQ1722" i="1"/>
  <c r="BG1721" i="1"/>
  <c r="AQ1721" i="1"/>
  <c r="BG1720" i="1"/>
  <c r="AQ1720" i="1"/>
  <c r="BG1719" i="1"/>
  <c r="AQ1719" i="1"/>
  <c r="BG1718" i="1"/>
  <c r="AQ1718" i="1"/>
  <c r="BG1717" i="1"/>
  <c r="AQ1717" i="1"/>
  <c r="BG1716" i="1"/>
  <c r="AQ1716" i="1"/>
  <c r="BG1715" i="1"/>
  <c r="AQ1715" i="1"/>
  <c r="BG1714" i="1"/>
  <c r="AQ1714" i="1"/>
  <c r="BG1713" i="1"/>
  <c r="AQ1713" i="1"/>
  <c r="BG1712" i="1"/>
  <c r="AQ1712" i="1"/>
  <c r="BG1711" i="1"/>
  <c r="AQ1711" i="1"/>
  <c r="BG1710" i="1"/>
  <c r="AQ1710" i="1"/>
  <c r="BG1709" i="1"/>
  <c r="AQ1709" i="1"/>
  <c r="BG1708" i="1"/>
  <c r="AQ1708" i="1"/>
  <c r="BG1707" i="1"/>
  <c r="AQ1707" i="1"/>
  <c r="BG1706" i="1"/>
  <c r="AQ1706" i="1"/>
  <c r="BG1705" i="1"/>
  <c r="AQ1705" i="1"/>
  <c r="BG1704" i="1"/>
  <c r="AQ1704" i="1"/>
  <c r="BG1703" i="1"/>
  <c r="AQ1703" i="1"/>
  <c r="BG1702" i="1"/>
  <c r="AQ1702" i="1"/>
  <c r="BG1701" i="1"/>
  <c r="AQ1701" i="1"/>
  <c r="BG1700" i="1"/>
  <c r="AQ1700" i="1"/>
  <c r="BG1699" i="1"/>
  <c r="AQ1699" i="1"/>
  <c r="BG1698" i="1"/>
  <c r="AQ1698" i="1"/>
  <c r="BG1697" i="1"/>
  <c r="AQ1697" i="1"/>
  <c r="BG1696" i="1"/>
  <c r="AQ1696" i="1"/>
  <c r="BG1695" i="1"/>
  <c r="AQ1695" i="1"/>
  <c r="BG1694" i="1"/>
  <c r="AQ1694" i="1"/>
  <c r="BG1693" i="1"/>
  <c r="AQ1693" i="1"/>
  <c r="BG1692" i="1"/>
  <c r="AQ1692" i="1"/>
  <c r="BG1691" i="1"/>
  <c r="AQ1691" i="1"/>
  <c r="BG1690" i="1"/>
  <c r="AQ1690" i="1"/>
  <c r="BG1689" i="1"/>
  <c r="AQ1689" i="1"/>
  <c r="BG1688" i="1"/>
  <c r="AQ1688" i="1"/>
  <c r="BG1687" i="1"/>
  <c r="AQ1687" i="1"/>
  <c r="BG1686" i="1"/>
  <c r="AQ1686" i="1"/>
  <c r="BG1685" i="1"/>
  <c r="AQ1685" i="1"/>
  <c r="BG1684" i="1"/>
  <c r="AQ1684" i="1"/>
  <c r="BG1683" i="1"/>
  <c r="AQ1683" i="1"/>
  <c r="BG1682" i="1"/>
  <c r="AQ1682" i="1"/>
  <c r="BG1681" i="1"/>
  <c r="AQ1681" i="1"/>
  <c r="BG1680" i="1"/>
  <c r="AQ1680" i="1"/>
  <c r="BG1679" i="1"/>
  <c r="AQ1679" i="1"/>
  <c r="BG1678" i="1"/>
  <c r="AQ1678" i="1"/>
  <c r="BG1677" i="1"/>
  <c r="AQ1677" i="1"/>
  <c r="BG1676" i="1"/>
  <c r="AQ1676" i="1"/>
  <c r="BG1675" i="1"/>
  <c r="AQ1675" i="1"/>
  <c r="BG1674" i="1"/>
  <c r="AQ1674" i="1"/>
  <c r="BG1673" i="1"/>
  <c r="AQ1673" i="1"/>
  <c r="BG1672" i="1"/>
  <c r="AQ1672" i="1"/>
  <c r="BG1671" i="1"/>
  <c r="AQ1671" i="1"/>
  <c r="BG1670" i="1"/>
  <c r="AQ1670" i="1"/>
  <c r="BG1669" i="1"/>
  <c r="AQ1669" i="1"/>
  <c r="BG1668" i="1"/>
  <c r="AQ1668" i="1"/>
  <c r="BG1667" i="1"/>
  <c r="AQ1667" i="1"/>
  <c r="BG1666" i="1"/>
  <c r="AQ1666" i="1"/>
  <c r="BG1665" i="1"/>
  <c r="AQ1665" i="1"/>
  <c r="BG1664" i="1"/>
  <c r="AQ1664" i="1"/>
  <c r="BG1663" i="1"/>
  <c r="AQ1663" i="1"/>
  <c r="BG1662" i="1"/>
  <c r="AQ1662" i="1"/>
  <c r="BG1661" i="1"/>
  <c r="AQ1661" i="1"/>
  <c r="BG1660" i="1"/>
  <c r="AQ1660" i="1"/>
  <c r="BG1659" i="1"/>
  <c r="AQ1659" i="1"/>
  <c r="BG1658" i="1"/>
  <c r="AQ1658" i="1"/>
  <c r="BG1657" i="1"/>
  <c r="AQ1657" i="1"/>
  <c r="BG1656" i="1"/>
  <c r="AQ1656" i="1"/>
  <c r="BG1655" i="1"/>
  <c r="BG1654" i="1"/>
  <c r="BG1653" i="1"/>
  <c r="BG1652" i="1"/>
  <c r="BG1651" i="1"/>
  <c r="BG1650" i="1"/>
  <c r="BG1649" i="1"/>
  <c r="BG1648" i="1"/>
  <c r="BG1647" i="1"/>
  <c r="BG1646" i="1"/>
  <c r="BG1645" i="1"/>
  <c r="BG1644" i="1"/>
  <c r="BG1643" i="1"/>
  <c r="BG1642" i="1"/>
  <c r="BG1641" i="1"/>
  <c r="BG1640" i="1"/>
  <c r="BG1639" i="1"/>
  <c r="BG1638" i="1"/>
  <c r="BG1637" i="1"/>
  <c r="BG1636" i="1"/>
  <c r="BG1635" i="1"/>
  <c r="BG1634" i="1"/>
  <c r="BG1633" i="1"/>
  <c r="BG1632" i="1"/>
  <c r="BG1631" i="1"/>
  <c r="BG1630" i="1"/>
  <c r="BG1629" i="1"/>
  <c r="BG1628" i="1"/>
  <c r="BG1627" i="1"/>
  <c r="BG1626" i="1"/>
  <c r="BG1625" i="1"/>
  <c r="BG1624" i="1"/>
  <c r="BG1623" i="1"/>
  <c r="BG1622" i="1"/>
  <c r="BG1621" i="1"/>
  <c r="BG1620" i="1"/>
  <c r="BG1619" i="1"/>
  <c r="AQ1619" i="1"/>
  <c r="BG1618" i="1"/>
  <c r="AQ1618" i="1"/>
  <c r="BG1617" i="1"/>
  <c r="AQ1617" i="1"/>
  <c r="BG1616" i="1"/>
  <c r="AQ1616" i="1"/>
  <c r="BG1615" i="1"/>
  <c r="AQ1615" i="1"/>
  <c r="BG1614" i="1"/>
  <c r="AQ1614" i="1"/>
  <c r="BG1613" i="1"/>
  <c r="AQ1613" i="1"/>
  <c r="BG1612" i="1"/>
  <c r="AQ1612" i="1"/>
  <c r="BG1611" i="1"/>
  <c r="AQ1611" i="1"/>
  <c r="BG1610" i="1"/>
  <c r="AQ1610" i="1"/>
  <c r="BG1609" i="1"/>
  <c r="AQ1609" i="1"/>
  <c r="BG1608" i="1"/>
  <c r="AQ1608" i="1"/>
  <c r="BG1607" i="1"/>
  <c r="AQ1607" i="1"/>
  <c r="BG1606" i="1"/>
  <c r="AQ1606" i="1"/>
  <c r="BG1605" i="1"/>
  <c r="AQ1605" i="1"/>
  <c r="BG1604" i="1"/>
  <c r="AQ1604" i="1"/>
  <c r="BG1603" i="1"/>
  <c r="AQ1603" i="1"/>
  <c r="BG1602" i="1"/>
  <c r="AQ1602" i="1"/>
  <c r="BG1601" i="1"/>
  <c r="AQ1601" i="1"/>
  <c r="BG1600" i="1"/>
  <c r="AQ1600" i="1"/>
  <c r="BG1599" i="1"/>
  <c r="AQ1599" i="1"/>
  <c r="BG1598" i="1"/>
  <c r="AQ1598" i="1"/>
  <c r="BG1597" i="1"/>
  <c r="AQ1597" i="1"/>
  <c r="BG1596" i="1"/>
  <c r="AQ1596" i="1"/>
  <c r="BG1595" i="1"/>
  <c r="AQ1595" i="1"/>
  <c r="BG1594" i="1"/>
  <c r="AQ1594" i="1"/>
  <c r="BG1593" i="1"/>
  <c r="AQ1593" i="1"/>
  <c r="BG1592" i="1"/>
  <c r="AQ1592" i="1"/>
  <c r="BG1591" i="1"/>
  <c r="AQ1591" i="1"/>
  <c r="BG1590" i="1"/>
  <c r="AQ1590" i="1"/>
  <c r="BG1589" i="1"/>
  <c r="AQ1589" i="1"/>
  <c r="BG1588" i="1"/>
  <c r="AQ1588" i="1"/>
  <c r="BG1587" i="1"/>
  <c r="AQ1587" i="1"/>
  <c r="BG1586" i="1"/>
  <c r="AQ1586" i="1"/>
  <c r="BG1585" i="1"/>
  <c r="AQ1585" i="1"/>
  <c r="BG1584" i="1"/>
  <c r="AQ1584" i="1"/>
  <c r="BG1583" i="1"/>
  <c r="AQ1583" i="1"/>
  <c r="BG1582" i="1"/>
  <c r="AQ1582" i="1"/>
  <c r="BG1581" i="1"/>
  <c r="AQ1581" i="1"/>
  <c r="BG1580" i="1"/>
  <c r="AQ1580" i="1"/>
  <c r="BG1579" i="1"/>
  <c r="AQ1579" i="1"/>
  <c r="BG1578" i="1"/>
  <c r="AQ1578" i="1"/>
  <c r="BG1577" i="1"/>
  <c r="AQ1577" i="1"/>
  <c r="BG1576" i="1"/>
  <c r="AQ1576" i="1"/>
  <c r="BG1575" i="1"/>
  <c r="AQ1575" i="1"/>
  <c r="BG1574" i="1"/>
  <c r="AQ1574" i="1"/>
  <c r="BG1573" i="1"/>
  <c r="AQ1573" i="1"/>
  <c r="BG1572" i="1"/>
  <c r="AQ1572" i="1"/>
  <c r="BG1571" i="1"/>
  <c r="AQ1571" i="1"/>
  <c r="BG1570" i="1"/>
  <c r="AQ1570" i="1"/>
  <c r="BG1569" i="1"/>
  <c r="AQ1569" i="1"/>
  <c r="BG1568" i="1"/>
  <c r="AQ1568" i="1"/>
  <c r="BG1567" i="1"/>
  <c r="AQ1567" i="1"/>
  <c r="BG1566" i="1"/>
  <c r="AQ1566" i="1"/>
  <c r="BG1565" i="1"/>
  <c r="AQ1565" i="1"/>
  <c r="BG1564" i="1"/>
  <c r="AQ1564" i="1"/>
  <c r="BG1563" i="1"/>
  <c r="AQ1563" i="1"/>
  <c r="BG1562" i="1"/>
  <c r="AQ1562" i="1"/>
  <c r="BG1561" i="1"/>
  <c r="AQ1561" i="1"/>
  <c r="BG1560" i="1"/>
  <c r="AQ1560" i="1"/>
  <c r="BG1559" i="1"/>
  <c r="AQ1559" i="1"/>
  <c r="BG1558" i="1"/>
  <c r="AQ1558" i="1"/>
  <c r="BG1557" i="1"/>
  <c r="AQ1557" i="1"/>
  <c r="BG1556" i="1"/>
  <c r="AQ1556" i="1"/>
  <c r="BG1555" i="1"/>
  <c r="AQ1555" i="1"/>
  <c r="BG1554" i="1"/>
  <c r="AQ1554" i="1"/>
  <c r="BG1553" i="1"/>
  <c r="AQ1553" i="1"/>
  <c r="BG1552" i="1"/>
  <c r="AQ1552" i="1"/>
  <c r="BG1551" i="1"/>
  <c r="AQ1551" i="1"/>
  <c r="BG1550" i="1"/>
  <c r="AQ1550" i="1"/>
  <c r="BG1549" i="1"/>
  <c r="AQ1549" i="1"/>
  <c r="BG1548" i="1"/>
  <c r="AQ1548" i="1"/>
  <c r="BG1547" i="1"/>
  <c r="AQ1547" i="1"/>
  <c r="BG1546" i="1"/>
  <c r="AQ1546" i="1"/>
  <c r="BG1545" i="1"/>
  <c r="AQ1545" i="1"/>
  <c r="BG1544" i="1"/>
  <c r="AQ1544" i="1"/>
  <c r="BG1543" i="1"/>
  <c r="AQ1543" i="1"/>
  <c r="BG1542" i="1"/>
  <c r="AQ1542" i="1"/>
  <c r="BG1541" i="1"/>
  <c r="AQ1541" i="1"/>
  <c r="BG1540" i="1"/>
  <c r="AQ1540" i="1"/>
  <c r="BG1539" i="1"/>
  <c r="AQ1539" i="1"/>
  <c r="BG1538" i="1"/>
  <c r="AQ1538" i="1"/>
  <c r="BG1537" i="1"/>
  <c r="AQ1537" i="1"/>
  <c r="BG1536" i="1"/>
  <c r="AQ1536" i="1"/>
  <c r="BG1535" i="1"/>
  <c r="AQ1535" i="1"/>
  <c r="BG1534" i="1"/>
  <c r="AQ1534" i="1"/>
  <c r="BG1533" i="1"/>
  <c r="AQ1533" i="1"/>
  <c r="BG1532" i="1"/>
  <c r="AQ1532" i="1"/>
  <c r="BG1531" i="1"/>
  <c r="AQ1531" i="1"/>
  <c r="BG1530" i="1"/>
  <c r="AQ1530" i="1"/>
  <c r="BG1529" i="1"/>
  <c r="AQ1529" i="1"/>
  <c r="BG1528" i="1"/>
  <c r="AQ1528" i="1"/>
  <c r="BG1527" i="1"/>
  <c r="AQ1527" i="1"/>
  <c r="BG1526" i="1"/>
  <c r="AQ1526" i="1"/>
  <c r="BG1525" i="1"/>
  <c r="AQ1525" i="1"/>
  <c r="BG1524" i="1"/>
  <c r="AQ1524" i="1"/>
  <c r="BG1523" i="1"/>
  <c r="AQ1523" i="1"/>
  <c r="BG1522" i="1"/>
  <c r="AQ1522" i="1"/>
  <c r="BG1521" i="1"/>
  <c r="AQ1521" i="1"/>
  <c r="BG1520" i="1"/>
  <c r="AQ1520" i="1"/>
  <c r="BG1519" i="1"/>
  <c r="AQ1519" i="1"/>
  <c r="BG1518" i="1"/>
  <c r="AQ1518" i="1"/>
  <c r="BG1517" i="1"/>
  <c r="AQ1517" i="1"/>
  <c r="BG1516" i="1"/>
  <c r="AQ1516" i="1"/>
  <c r="BG1515" i="1"/>
  <c r="AQ1515" i="1"/>
  <c r="BG1514" i="1"/>
  <c r="AQ1514" i="1"/>
  <c r="BG1513" i="1"/>
  <c r="AQ1513" i="1"/>
  <c r="BG1512" i="1"/>
  <c r="AQ1512" i="1"/>
  <c r="BG1511" i="1"/>
  <c r="BG1510" i="1"/>
  <c r="BG1509" i="1"/>
  <c r="BG1508" i="1"/>
  <c r="BG1507" i="1"/>
  <c r="BG1506" i="1"/>
  <c r="BG1505" i="1"/>
  <c r="BG1504" i="1"/>
  <c r="BG1503" i="1"/>
  <c r="BG1502" i="1"/>
  <c r="BG1501" i="1"/>
  <c r="BG1500" i="1"/>
  <c r="BG1499" i="1"/>
  <c r="BG1498" i="1"/>
  <c r="BG1497" i="1"/>
  <c r="BG1496" i="1"/>
  <c r="BG1495" i="1"/>
  <c r="BG1494" i="1"/>
  <c r="BG1493" i="1"/>
  <c r="BG1492" i="1"/>
  <c r="BG1491" i="1"/>
  <c r="BG1490" i="1"/>
  <c r="BG1489" i="1"/>
  <c r="BG1488" i="1"/>
  <c r="BG1487" i="1"/>
  <c r="BG1486" i="1"/>
  <c r="BG1485" i="1"/>
  <c r="BG1484" i="1"/>
  <c r="BG1483" i="1"/>
  <c r="BG1482" i="1"/>
  <c r="BG1481" i="1"/>
  <c r="BG1480" i="1"/>
  <c r="BG1479" i="1"/>
  <c r="BG1478" i="1"/>
  <c r="BG1477" i="1"/>
  <c r="BG1476" i="1"/>
  <c r="BG1475" i="1"/>
  <c r="BG1474" i="1"/>
  <c r="BG1473" i="1"/>
  <c r="BG1472" i="1"/>
  <c r="BG1471" i="1"/>
  <c r="BG1470" i="1"/>
  <c r="BG1469" i="1"/>
  <c r="BG1468" i="1"/>
  <c r="BG1467" i="1"/>
  <c r="BG1466" i="1"/>
  <c r="BG1465" i="1"/>
  <c r="BG1464" i="1"/>
  <c r="BG1463" i="1"/>
  <c r="BG1462" i="1"/>
  <c r="BG1461" i="1"/>
  <c r="BG1460" i="1"/>
  <c r="BG1459" i="1"/>
  <c r="BG1458" i="1"/>
  <c r="BG1457" i="1"/>
  <c r="BG1456" i="1"/>
  <c r="BG1455" i="1"/>
  <c r="BG1454" i="1"/>
  <c r="BG1453" i="1"/>
  <c r="BG1452" i="1"/>
  <c r="BG1451" i="1"/>
  <c r="BG1450" i="1"/>
  <c r="BG1449" i="1"/>
  <c r="BG1448" i="1"/>
  <c r="BG1447" i="1"/>
  <c r="BG1446" i="1"/>
  <c r="BG1445" i="1"/>
  <c r="BG1444" i="1"/>
  <c r="BG1443" i="1"/>
  <c r="BG1442" i="1"/>
  <c r="BG1441" i="1"/>
  <c r="BG1440" i="1"/>
  <c r="BG1439" i="1"/>
  <c r="BG1438" i="1"/>
  <c r="BG1437" i="1"/>
  <c r="BG1436" i="1"/>
  <c r="BG1435" i="1"/>
  <c r="BG1434" i="1"/>
  <c r="BG1433" i="1"/>
  <c r="BG1432" i="1"/>
  <c r="BG1431" i="1"/>
  <c r="BG1430" i="1"/>
  <c r="BG1429" i="1"/>
  <c r="BG1428" i="1"/>
  <c r="BG1427" i="1"/>
  <c r="BG1426" i="1"/>
  <c r="BG1425" i="1"/>
  <c r="BG1424" i="1"/>
  <c r="BG1423" i="1"/>
  <c r="BG1422" i="1"/>
  <c r="BG1421" i="1"/>
  <c r="BG1420" i="1"/>
  <c r="BG1419" i="1"/>
  <c r="BG1418" i="1"/>
  <c r="BG1417" i="1"/>
  <c r="BG1416" i="1"/>
  <c r="BG1415" i="1"/>
  <c r="BG1414" i="1"/>
  <c r="BG1413" i="1"/>
  <c r="BG1412" i="1"/>
  <c r="BG1411" i="1"/>
  <c r="BG1410" i="1"/>
  <c r="BG1409" i="1"/>
  <c r="BG1408" i="1"/>
  <c r="BG1407" i="1"/>
  <c r="BG1406" i="1"/>
  <c r="BG1405" i="1"/>
  <c r="BG1404" i="1"/>
  <c r="BG1403" i="1"/>
  <c r="BG1402" i="1"/>
  <c r="BG1401" i="1"/>
  <c r="BG1400" i="1"/>
  <c r="BG1399" i="1"/>
  <c r="BG1398" i="1"/>
  <c r="BG1397" i="1"/>
  <c r="BG1396" i="1"/>
  <c r="BG1395" i="1"/>
  <c r="BG1394" i="1"/>
  <c r="BG1393" i="1"/>
  <c r="BG1392" i="1"/>
  <c r="BG1391" i="1"/>
  <c r="BG1390" i="1"/>
  <c r="BG1389" i="1"/>
  <c r="BG1388" i="1"/>
  <c r="BG1387" i="1"/>
  <c r="BG1386" i="1"/>
  <c r="BG1385" i="1"/>
  <c r="BG1384" i="1"/>
  <c r="BG1383" i="1"/>
  <c r="BG1382" i="1"/>
  <c r="BG1381" i="1"/>
  <c r="BG1380" i="1"/>
  <c r="BG1379" i="1"/>
  <c r="BG1378" i="1"/>
  <c r="BG1377" i="1"/>
  <c r="BG1376" i="1"/>
  <c r="BG1375" i="1"/>
  <c r="BG1374" i="1"/>
  <c r="BG1373" i="1"/>
  <c r="BG1372" i="1"/>
  <c r="BG1371" i="1"/>
  <c r="BG1370" i="1"/>
  <c r="BG1369" i="1"/>
  <c r="BG1368" i="1"/>
  <c r="BG1367" i="1"/>
  <c r="BG1366" i="1"/>
  <c r="BG1365" i="1"/>
  <c r="BG1364" i="1"/>
  <c r="BG1363" i="1"/>
  <c r="BG1362" i="1"/>
  <c r="BG1361" i="1"/>
  <c r="BG1360" i="1"/>
  <c r="BG1359" i="1"/>
  <c r="BG1358" i="1"/>
  <c r="BG1357" i="1"/>
  <c r="BG1356" i="1"/>
  <c r="BG1355" i="1"/>
  <c r="BG1354" i="1"/>
  <c r="BG1353" i="1"/>
  <c r="BG1352" i="1"/>
  <c r="BG1351" i="1"/>
  <c r="BG1350" i="1"/>
  <c r="BG1349" i="1"/>
  <c r="BG1348" i="1"/>
  <c r="BG1347" i="1"/>
  <c r="BG1346" i="1"/>
  <c r="BG1345" i="1"/>
  <c r="BG1344" i="1"/>
  <c r="BG1343" i="1"/>
  <c r="BG1342" i="1"/>
  <c r="BG1341" i="1"/>
  <c r="BG1340" i="1"/>
  <c r="BG1339" i="1"/>
  <c r="BG1338" i="1"/>
  <c r="BG1337" i="1"/>
  <c r="BG1336" i="1"/>
  <c r="BG1335" i="1"/>
  <c r="BG1334" i="1"/>
  <c r="BG1333" i="1"/>
  <c r="BG1332" i="1"/>
  <c r="BG1331" i="1"/>
  <c r="AQ1331" i="1"/>
  <c r="BG1330" i="1"/>
  <c r="AQ1330" i="1"/>
  <c r="BG1329" i="1"/>
  <c r="AQ1329" i="1"/>
  <c r="BG1328" i="1"/>
  <c r="AQ1328" i="1"/>
  <c r="BG1327" i="1"/>
  <c r="AQ1327" i="1"/>
  <c r="BG1326" i="1"/>
  <c r="AQ1326" i="1"/>
  <c r="BG1325" i="1"/>
  <c r="BG1324" i="1"/>
  <c r="AQ1324" i="1"/>
  <c r="BG1323" i="1"/>
  <c r="AQ1323" i="1"/>
  <c r="BG1322" i="1"/>
  <c r="AQ1322" i="1"/>
  <c r="BG1321" i="1"/>
  <c r="AQ1321" i="1"/>
  <c r="BG1320" i="1"/>
  <c r="AQ1320" i="1"/>
  <c r="BG1319" i="1"/>
  <c r="AQ1319" i="1"/>
  <c r="BG1318" i="1"/>
  <c r="AQ1318" i="1"/>
  <c r="BG1317" i="1"/>
  <c r="AQ1317" i="1"/>
  <c r="BG1316" i="1"/>
  <c r="AQ1316" i="1"/>
  <c r="BG1315" i="1"/>
  <c r="AQ1315" i="1"/>
  <c r="BG1314" i="1"/>
  <c r="AQ1314" i="1"/>
  <c r="BG1313" i="1"/>
  <c r="AQ1313" i="1"/>
  <c r="BG1312" i="1"/>
  <c r="AQ1312" i="1"/>
  <c r="BG1311" i="1"/>
  <c r="AQ1311" i="1"/>
  <c r="BG1310" i="1"/>
  <c r="AQ1310" i="1"/>
  <c r="BG1309" i="1"/>
  <c r="AQ1309" i="1"/>
  <c r="BG1308" i="1"/>
  <c r="AQ1308" i="1"/>
  <c r="BG1307" i="1"/>
  <c r="AQ1307" i="1"/>
  <c r="BG1306" i="1"/>
  <c r="AQ1306" i="1"/>
  <c r="BG1305" i="1"/>
  <c r="AQ1305" i="1"/>
  <c r="BG1304" i="1"/>
  <c r="AQ1304" i="1"/>
  <c r="BG1303" i="1"/>
  <c r="AQ1303" i="1"/>
  <c r="BG1302" i="1"/>
  <c r="AQ1302" i="1"/>
  <c r="BG1301" i="1"/>
  <c r="AQ1301" i="1"/>
  <c r="BG1300" i="1"/>
  <c r="AQ1300" i="1"/>
  <c r="BG1299" i="1"/>
  <c r="AQ1299" i="1"/>
  <c r="BG1298" i="1"/>
  <c r="AQ1298" i="1"/>
  <c r="BG1297" i="1"/>
  <c r="AQ1297" i="1"/>
  <c r="BG1296" i="1"/>
  <c r="AQ1296" i="1"/>
  <c r="BG1295" i="1"/>
  <c r="AQ1295" i="1"/>
  <c r="BG1294" i="1"/>
  <c r="AQ1294" i="1"/>
  <c r="BG1293" i="1"/>
  <c r="AQ1293" i="1"/>
  <c r="BG1292" i="1"/>
  <c r="AQ1292" i="1"/>
  <c r="BG1291" i="1"/>
  <c r="BG1290" i="1"/>
  <c r="AQ1290" i="1"/>
  <c r="BG1289" i="1"/>
  <c r="BG1288" i="1"/>
  <c r="AQ1288" i="1"/>
  <c r="BG1287" i="1"/>
  <c r="AQ1287" i="1"/>
  <c r="BG1286" i="1"/>
  <c r="BG1285" i="1"/>
  <c r="AQ1285" i="1"/>
  <c r="BG1284" i="1"/>
  <c r="AQ1284" i="1"/>
  <c r="BG1283" i="1"/>
  <c r="BG1282" i="1"/>
  <c r="AQ1282" i="1"/>
  <c r="BG1281" i="1"/>
  <c r="AQ1281" i="1"/>
  <c r="BG1280" i="1"/>
  <c r="AQ1280" i="1"/>
  <c r="BG1279" i="1"/>
  <c r="AQ1279" i="1"/>
  <c r="BG1278" i="1"/>
  <c r="AQ1278" i="1"/>
  <c r="BG1277" i="1"/>
  <c r="AQ1277" i="1"/>
  <c r="BG1276" i="1"/>
  <c r="AQ1276" i="1"/>
  <c r="BG1275" i="1"/>
  <c r="AQ1275" i="1"/>
  <c r="BG1274" i="1"/>
  <c r="AQ1274" i="1"/>
  <c r="BG1273" i="1"/>
  <c r="AQ1273" i="1"/>
  <c r="BG1272" i="1"/>
  <c r="AQ1272" i="1"/>
  <c r="BG1271" i="1"/>
  <c r="AQ1271" i="1"/>
  <c r="BG1270" i="1"/>
  <c r="AQ1270" i="1"/>
  <c r="BG1269" i="1"/>
  <c r="AQ1269" i="1"/>
  <c r="BG1268" i="1"/>
  <c r="AQ1268" i="1"/>
  <c r="BG1267" i="1"/>
  <c r="AQ1267" i="1"/>
  <c r="BG1266" i="1"/>
  <c r="AQ1266" i="1"/>
  <c r="BG1265" i="1"/>
  <c r="AQ1265" i="1"/>
  <c r="BG1264" i="1"/>
  <c r="AQ1264" i="1"/>
  <c r="BG1263" i="1"/>
  <c r="AQ1263" i="1"/>
  <c r="BG1262" i="1"/>
  <c r="AQ1262" i="1"/>
  <c r="BG1261" i="1"/>
  <c r="AQ1261" i="1"/>
  <c r="BG1260" i="1"/>
  <c r="AQ1260" i="1"/>
  <c r="BG1259" i="1"/>
  <c r="AQ1259" i="1"/>
  <c r="BG1258" i="1"/>
  <c r="AQ1258" i="1"/>
  <c r="BG1257" i="1"/>
  <c r="AQ1257" i="1"/>
  <c r="BG1256" i="1"/>
  <c r="AQ1256" i="1"/>
  <c r="BG1255" i="1"/>
  <c r="AQ1255" i="1"/>
  <c r="BG1254" i="1"/>
  <c r="AQ1254" i="1"/>
  <c r="BG1253" i="1"/>
  <c r="AQ1253" i="1"/>
  <c r="BG1252" i="1"/>
  <c r="AQ1252" i="1"/>
  <c r="BG1251" i="1"/>
  <c r="AQ1251" i="1"/>
  <c r="BG1250" i="1"/>
  <c r="AQ1250" i="1"/>
  <c r="BG1249" i="1"/>
  <c r="AQ1249" i="1"/>
  <c r="BG1248" i="1"/>
  <c r="AQ1248" i="1"/>
  <c r="BG1247" i="1"/>
  <c r="AQ1247" i="1"/>
  <c r="BG1246" i="1"/>
  <c r="AQ1246" i="1"/>
  <c r="BG1245" i="1"/>
  <c r="AQ1245" i="1"/>
  <c r="BG1244" i="1"/>
  <c r="AQ1244" i="1"/>
  <c r="BG1243" i="1"/>
  <c r="AQ1243" i="1"/>
  <c r="BG1242" i="1"/>
  <c r="AQ1242" i="1"/>
  <c r="BG1241" i="1"/>
  <c r="AQ1241" i="1"/>
  <c r="BG1240" i="1"/>
  <c r="AQ1240" i="1"/>
  <c r="BG1239" i="1"/>
  <c r="AQ1239" i="1"/>
  <c r="BG1238" i="1"/>
  <c r="AQ1238" i="1"/>
  <c r="BG1237" i="1"/>
  <c r="AQ1237" i="1"/>
  <c r="BG1236" i="1"/>
  <c r="AQ1236" i="1"/>
  <c r="BG1235" i="1"/>
  <c r="AQ1235" i="1"/>
  <c r="BG1234" i="1"/>
  <c r="AQ1234" i="1"/>
  <c r="BG1233" i="1"/>
  <c r="AQ1233" i="1"/>
  <c r="BG1232" i="1"/>
  <c r="AQ1232" i="1"/>
  <c r="BG1231" i="1"/>
  <c r="AQ1231" i="1"/>
  <c r="BG1230" i="1"/>
  <c r="AQ1230" i="1"/>
  <c r="BG1229" i="1"/>
  <c r="AQ1229" i="1"/>
  <c r="BG1228" i="1"/>
  <c r="AQ1228" i="1"/>
  <c r="BG1227" i="1"/>
  <c r="AQ1227" i="1"/>
  <c r="BG1226" i="1"/>
  <c r="AQ1226" i="1"/>
  <c r="BG1225" i="1"/>
  <c r="AQ1225" i="1"/>
  <c r="BG1224" i="1"/>
  <c r="AQ1224" i="1"/>
  <c r="BG1223" i="1"/>
  <c r="AQ1223" i="1"/>
  <c r="BG1222" i="1"/>
  <c r="AQ1222" i="1"/>
  <c r="BG1221" i="1"/>
  <c r="AQ1221" i="1"/>
  <c r="BG1220" i="1"/>
  <c r="AQ1220" i="1"/>
  <c r="BG1219" i="1"/>
  <c r="AQ1219" i="1"/>
  <c r="BG1218" i="1"/>
  <c r="AQ1218" i="1"/>
  <c r="BG1217" i="1"/>
  <c r="AQ1217" i="1"/>
  <c r="BG1216" i="1"/>
  <c r="AQ1216" i="1"/>
  <c r="BG1215" i="1"/>
  <c r="AQ1215" i="1"/>
  <c r="BG1214" i="1"/>
  <c r="AQ1214" i="1"/>
  <c r="BG1213" i="1"/>
  <c r="AQ1213" i="1"/>
  <c r="BG1212" i="1"/>
  <c r="AQ1212" i="1"/>
  <c r="BG1211" i="1"/>
  <c r="AQ1211" i="1"/>
  <c r="BG1210" i="1"/>
  <c r="AQ1210" i="1"/>
  <c r="BG1209" i="1"/>
  <c r="AQ1209" i="1"/>
  <c r="BG1208" i="1"/>
  <c r="AQ1208" i="1"/>
  <c r="BG1207" i="1"/>
  <c r="AQ1207" i="1"/>
  <c r="BG1206" i="1"/>
  <c r="AQ1206" i="1"/>
  <c r="BG1205" i="1"/>
  <c r="AQ1205" i="1"/>
  <c r="BG1204" i="1"/>
  <c r="AQ1204" i="1"/>
  <c r="BG1203" i="1"/>
  <c r="AQ1203" i="1"/>
  <c r="BG1202" i="1"/>
  <c r="AQ1202" i="1"/>
  <c r="BG1201" i="1"/>
  <c r="AQ1201" i="1"/>
  <c r="BG1200" i="1"/>
  <c r="AQ1200" i="1"/>
  <c r="BG1199" i="1"/>
  <c r="AQ1199" i="1"/>
  <c r="BG1198" i="1"/>
  <c r="AQ1198" i="1"/>
  <c r="BG1197" i="1"/>
  <c r="AQ1197" i="1"/>
  <c r="BG1196" i="1"/>
  <c r="AQ1196" i="1"/>
  <c r="BG1195" i="1"/>
  <c r="AQ1195" i="1"/>
  <c r="BG1194" i="1"/>
  <c r="AQ1194" i="1"/>
  <c r="BG1193" i="1"/>
  <c r="AQ1193" i="1"/>
  <c r="BG1192" i="1"/>
  <c r="AQ1192" i="1"/>
  <c r="BG1191" i="1"/>
  <c r="AQ1191" i="1"/>
  <c r="BG1190" i="1"/>
  <c r="AQ1190" i="1"/>
  <c r="BG1189" i="1"/>
  <c r="AQ1189" i="1"/>
  <c r="BG1188" i="1"/>
  <c r="AQ1188" i="1"/>
  <c r="BG1187" i="1"/>
  <c r="AQ1187" i="1"/>
  <c r="BG1186" i="1"/>
  <c r="AQ1186" i="1"/>
  <c r="BG1185" i="1"/>
  <c r="AQ1185" i="1"/>
  <c r="BG1184" i="1"/>
  <c r="AQ1184" i="1"/>
  <c r="BG1183" i="1"/>
  <c r="AQ1183" i="1"/>
  <c r="BG1182" i="1"/>
  <c r="AQ1182" i="1"/>
  <c r="BG1181" i="1"/>
  <c r="AQ1181" i="1"/>
  <c r="BG1180" i="1"/>
  <c r="AQ1180" i="1"/>
  <c r="BG1179" i="1"/>
  <c r="AQ1179" i="1"/>
  <c r="BG1178" i="1"/>
  <c r="AQ1178" i="1"/>
  <c r="BG1177" i="1"/>
  <c r="AQ1177" i="1"/>
  <c r="BG1176" i="1"/>
  <c r="AQ1176" i="1"/>
  <c r="BG1175" i="1"/>
  <c r="AQ1175" i="1"/>
  <c r="BG1174" i="1"/>
  <c r="AQ1174" i="1"/>
  <c r="BG1173" i="1"/>
  <c r="AQ1173" i="1"/>
  <c r="BG1172" i="1"/>
  <c r="AQ1172" i="1"/>
  <c r="BG1171" i="1"/>
  <c r="AQ1171" i="1"/>
  <c r="BG1170" i="1"/>
  <c r="AQ1170" i="1"/>
  <c r="BG1169" i="1"/>
  <c r="AQ1169" i="1"/>
  <c r="BG1168" i="1"/>
  <c r="AQ1168" i="1"/>
  <c r="BG1167" i="1"/>
  <c r="AQ1167" i="1"/>
  <c r="BG1166" i="1"/>
  <c r="AQ1166" i="1"/>
  <c r="BG1165" i="1"/>
  <c r="AQ1165" i="1"/>
  <c r="BG1164" i="1"/>
  <c r="AQ1164" i="1"/>
  <c r="BG1163" i="1"/>
  <c r="AQ1163" i="1"/>
  <c r="BG1162" i="1"/>
  <c r="AQ1162" i="1"/>
  <c r="BG1161" i="1"/>
  <c r="AQ1161" i="1"/>
  <c r="BG1160" i="1"/>
  <c r="AQ1160" i="1"/>
  <c r="BG1159" i="1"/>
  <c r="AQ1159" i="1"/>
  <c r="BG1158" i="1"/>
  <c r="AQ1158" i="1"/>
  <c r="BG1157" i="1"/>
  <c r="AQ1157" i="1"/>
  <c r="BG1156" i="1"/>
  <c r="AQ1156" i="1"/>
  <c r="BG1155" i="1"/>
  <c r="AQ1155" i="1"/>
  <c r="BG1154" i="1"/>
  <c r="AQ1154" i="1"/>
  <c r="BG1153" i="1"/>
  <c r="AQ1153" i="1"/>
  <c r="BG1152" i="1"/>
  <c r="AQ1152" i="1"/>
  <c r="BG1151" i="1"/>
  <c r="AQ1151" i="1"/>
  <c r="BG1150" i="1"/>
  <c r="AQ1150" i="1"/>
  <c r="BG1149" i="1"/>
  <c r="AQ1149" i="1"/>
  <c r="BG1148" i="1"/>
  <c r="AQ1148" i="1"/>
  <c r="BG1147" i="1"/>
  <c r="AQ1147" i="1"/>
  <c r="BG1146" i="1"/>
  <c r="AQ1146" i="1"/>
  <c r="BG1145" i="1"/>
  <c r="AQ1145" i="1"/>
  <c r="BG1144" i="1"/>
  <c r="AQ1144" i="1"/>
  <c r="BG1143" i="1"/>
  <c r="AQ1143" i="1"/>
  <c r="BG1142" i="1"/>
  <c r="AQ1142" i="1"/>
  <c r="BG1141" i="1"/>
  <c r="AQ1141" i="1"/>
  <c r="BG1140" i="1"/>
  <c r="AQ1140" i="1"/>
  <c r="BG1139" i="1"/>
  <c r="AQ1139" i="1"/>
  <c r="BG1138" i="1"/>
  <c r="AQ1138" i="1"/>
  <c r="BG1137" i="1"/>
  <c r="AQ1137" i="1"/>
  <c r="BG1136" i="1"/>
  <c r="AQ1136" i="1"/>
  <c r="BG1135" i="1"/>
  <c r="AQ1135" i="1"/>
  <c r="BG1134" i="1"/>
  <c r="AQ1134" i="1"/>
  <c r="BG1133" i="1"/>
  <c r="AQ1133" i="1"/>
  <c r="BG1132" i="1"/>
  <c r="AQ1132" i="1"/>
  <c r="BG1131" i="1"/>
  <c r="AQ1131" i="1"/>
  <c r="BG1130" i="1"/>
  <c r="AQ1130" i="1"/>
  <c r="BG1129" i="1"/>
  <c r="AQ1129" i="1"/>
  <c r="BG1128" i="1"/>
  <c r="AQ1128" i="1"/>
  <c r="BG1127" i="1"/>
  <c r="AQ1127" i="1"/>
  <c r="BG1126" i="1"/>
  <c r="AQ1126" i="1"/>
  <c r="BG1125" i="1"/>
  <c r="AQ1125" i="1"/>
  <c r="BG1124" i="1"/>
  <c r="AQ1124" i="1"/>
  <c r="BG1123" i="1"/>
  <c r="AQ1123" i="1"/>
  <c r="BG1122" i="1"/>
  <c r="AQ1122" i="1"/>
  <c r="BG1121" i="1"/>
  <c r="AQ1121" i="1"/>
  <c r="BG1120" i="1"/>
  <c r="AQ1120" i="1"/>
  <c r="BG1119" i="1"/>
  <c r="AQ1119" i="1"/>
  <c r="BG1118" i="1"/>
  <c r="AQ1118" i="1"/>
  <c r="BG1117" i="1"/>
  <c r="AQ1117" i="1"/>
  <c r="BG1116" i="1"/>
  <c r="AQ1116" i="1"/>
  <c r="BG1115" i="1"/>
  <c r="AQ1115" i="1"/>
  <c r="BG1114" i="1"/>
  <c r="AQ1114" i="1"/>
  <c r="BG1113" i="1"/>
  <c r="AQ1113" i="1"/>
  <c r="BG1112" i="1"/>
  <c r="AQ1112" i="1"/>
  <c r="BG1111" i="1"/>
  <c r="AQ1111" i="1"/>
  <c r="BG1110" i="1"/>
  <c r="AQ1110" i="1"/>
  <c r="BG1109" i="1"/>
  <c r="AQ1109" i="1"/>
  <c r="BG1108" i="1"/>
  <c r="AQ1108" i="1"/>
  <c r="BG1107" i="1"/>
  <c r="AQ1107" i="1"/>
  <c r="BG1106" i="1"/>
  <c r="AQ1106" i="1"/>
  <c r="BG1105" i="1"/>
  <c r="AQ1105" i="1"/>
  <c r="BG1104" i="1"/>
  <c r="AQ1104" i="1"/>
  <c r="BG1103" i="1"/>
  <c r="AQ1103" i="1"/>
  <c r="BG1102" i="1"/>
  <c r="AQ1102" i="1"/>
  <c r="BG1101" i="1"/>
  <c r="AQ1101" i="1"/>
  <c r="BG1100" i="1"/>
  <c r="AQ1100" i="1"/>
  <c r="BG1099" i="1"/>
  <c r="AQ1099" i="1"/>
  <c r="BG1098" i="1"/>
  <c r="AQ1098" i="1"/>
  <c r="BG1097" i="1"/>
  <c r="AQ1097" i="1"/>
  <c r="BG1096" i="1"/>
  <c r="AQ1096" i="1"/>
  <c r="BG1095" i="1"/>
  <c r="AQ1095" i="1"/>
  <c r="BG1094" i="1"/>
  <c r="AQ1094" i="1"/>
  <c r="BG1093" i="1"/>
  <c r="AQ1093" i="1"/>
  <c r="BG1092" i="1"/>
  <c r="AQ1092" i="1"/>
  <c r="BG1091" i="1"/>
  <c r="AQ1091" i="1"/>
  <c r="BG1090" i="1"/>
  <c r="AQ1090" i="1"/>
  <c r="BG1089" i="1"/>
  <c r="AQ1089" i="1"/>
  <c r="BG1088" i="1"/>
  <c r="AQ1088" i="1"/>
  <c r="BG1087" i="1"/>
  <c r="AQ1087" i="1"/>
  <c r="BG1086" i="1"/>
  <c r="AQ1086" i="1"/>
  <c r="BG1085" i="1"/>
  <c r="AQ1085" i="1"/>
  <c r="BG1084" i="1"/>
  <c r="AQ1084" i="1"/>
  <c r="BG1083" i="1"/>
  <c r="AQ1083" i="1"/>
  <c r="BG1082" i="1"/>
  <c r="AQ1082" i="1"/>
  <c r="BG1081" i="1"/>
  <c r="AQ1081" i="1"/>
  <c r="BG1080" i="1"/>
  <c r="AQ1080" i="1"/>
  <c r="BG1079" i="1"/>
  <c r="AQ1079" i="1"/>
  <c r="BG1078" i="1"/>
  <c r="AQ1078" i="1"/>
  <c r="BG1077" i="1"/>
  <c r="AQ1077" i="1"/>
  <c r="BG1076" i="1"/>
  <c r="BG1075" i="1"/>
  <c r="AQ1075" i="1"/>
  <c r="BG1074" i="1"/>
  <c r="AQ1074" i="1"/>
  <c r="BG1073" i="1"/>
  <c r="AQ1073" i="1"/>
  <c r="BG1072" i="1"/>
  <c r="AQ1072" i="1"/>
  <c r="BG1071" i="1"/>
  <c r="AQ1071" i="1"/>
  <c r="BG1070" i="1"/>
  <c r="AQ1070" i="1"/>
  <c r="BG1069" i="1"/>
  <c r="AQ1069" i="1"/>
  <c r="BG1068" i="1"/>
  <c r="AQ1068" i="1"/>
  <c r="BG1067" i="1"/>
  <c r="AQ1067" i="1"/>
  <c r="BG1066" i="1"/>
  <c r="AQ1066" i="1"/>
  <c r="BG1065" i="1"/>
  <c r="AQ1065" i="1"/>
  <c r="BG1064" i="1"/>
  <c r="BG1063" i="1"/>
  <c r="BG1062" i="1"/>
  <c r="BG1061" i="1"/>
  <c r="BG1060" i="1"/>
  <c r="BG1059" i="1"/>
  <c r="BG1058" i="1"/>
  <c r="BG1057" i="1"/>
  <c r="BG1056" i="1"/>
  <c r="BG1055" i="1"/>
  <c r="BG1054" i="1"/>
  <c r="BG1053" i="1"/>
  <c r="BG1052" i="1"/>
  <c r="BG1051" i="1"/>
  <c r="BG1050" i="1"/>
  <c r="BG1049" i="1"/>
  <c r="BG1048" i="1"/>
  <c r="BG1047" i="1"/>
  <c r="BG1046" i="1"/>
  <c r="BG1045" i="1"/>
  <c r="BG1044" i="1"/>
  <c r="BG1043" i="1"/>
  <c r="BG1042" i="1"/>
  <c r="BG1041" i="1"/>
  <c r="BG1040" i="1"/>
  <c r="BG1039" i="1"/>
  <c r="BG1038" i="1"/>
  <c r="BG1037" i="1"/>
  <c r="BG1036" i="1"/>
  <c r="BG1035" i="1"/>
  <c r="BG1034" i="1"/>
  <c r="BG1033" i="1"/>
  <c r="BG1032" i="1"/>
  <c r="BG1031" i="1"/>
  <c r="BG1030" i="1"/>
  <c r="AQ1030" i="1"/>
  <c r="BG1029" i="1"/>
  <c r="AQ1029" i="1"/>
  <c r="BG1028" i="1"/>
  <c r="AQ1028" i="1"/>
  <c r="BG1027" i="1"/>
  <c r="AQ1027" i="1"/>
  <c r="BG1026" i="1"/>
  <c r="AQ1026" i="1"/>
  <c r="BG1025" i="1"/>
  <c r="AQ1025" i="1"/>
  <c r="BG1024" i="1"/>
  <c r="AQ1024" i="1"/>
  <c r="BG1023" i="1"/>
  <c r="AQ1023" i="1"/>
  <c r="BG1022" i="1"/>
  <c r="AQ1022" i="1"/>
  <c r="BG1021" i="1"/>
  <c r="AQ1021" i="1"/>
  <c r="BG1020" i="1"/>
  <c r="AQ1020" i="1"/>
  <c r="BG1019" i="1"/>
  <c r="AQ1019" i="1"/>
  <c r="BG1018" i="1"/>
  <c r="AQ1018" i="1"/>
  <c r="BG1017" i="1"/>
  <c r="AQ1017" i="1"/>
  <c r="BG1016" i="1"/>
  <c r="AQ1016" i="1"/>
  <c r="BG1015" i="1"/>
  <c r="AQ1015" i="1"/>
  <c r="BG1014" i="1"/>
  <c r="AQ1014" i="1"/>
  <c r="BG1013" i="1"/>
  <c r="AQ1013" i="1"/>
  <c r="BG1012" i="1"/>
  <c r="AQ1012" i="1"/>
  <c r="BG1011" i="1"/>
  <c r="AQ1011" i="1"/>
  <c r="BG1010" i="1"/>
  <c r="AQ1010" i="1"/>
  <c r="BG1009" i="1"/>
  <c r="AQ1009" i="1"/>
  <c r="BG1008" i="1"/>
  <c r="BG1007" i="1"/>
  <c r="AQ1007" i="1"/>
  <c r="BG1006" i="1"/>
  <c r="AQ1006" i="1"/>
  <c r="BG1005" i="1"/>
  <c r="AQ1005" i="1"/>
  <c r="BG1004" i="1"/>
  <c r="AQ1004" i="1"/>
  <c r="BG1003" i="1"/>
  <c r="AQ1003" i="1"/>
  <c r="BG1002" i="1"/>
  <c r="AQ1002" i="1"/>
  <c r="BG1001" i="1"/>
  <c r="AQ1001" i="1"/>
  <c r="BG1000" i="1"/>
  <c r="AQ1000" i="1"/>
  <c r="BG999" i="1"/>
  <c r="AQ999" i="1"/>
  <c r="BG998" i="1"/>
  <c r="AQ998" i="1"/>
  <c r="BG997" i="1"/>
  <c r="AQ997" i="1"/>
  <c r="BG996" i="1"/>
  <c r="AQ996" i="1"/>
  <c r="BG995" i="1"/>
  <c r="AQ995" i="1"/>
  <c r="BG994" i="1"/>
  <c r="AQ994" i="1"/>
  <c r="BG993" i="1"/>
  <c r="AQ993" i="1"/>
  <c r="BG992" i="1"/>
  <c r="AQ992" i="1"/>
  <c r="BG991" i="1"/>
  <c r="AQ991" i="1"/>
  <c r="BG990" i="1"/>
  <c r="AQ990" i="1"/>
  <c r="BG989" i="1"/>
  <c r="AQ989" i="1"/>
  <c r="BG988" i="1"/>
  <c r="AQ988" i="1"/>
  <c r="BG987" i="1"/>
  <c r="AQ987" i="1"/>
  <c r="BG986" i="1"/>
  <c r="AQ986" i="1"/>
  <c r="BG985" i="1"/>
  <c r="AQ985" i="1"/>
  <c r="BG984" i="1"/>
  <c r="AQ984" i="1"/>
  <c r="BG983" i="1"/>
  <c r="AQ983" i="1"/>
  <c r="BG982" i="1"/>
  <c r="AQ982" i="1"/>
  <c r="BG981" i="1"/>
  <c r="AQ981" i="1"/>
  <c r="BG980" i="1"/>
  <c r="AQ980" i="1"/>
  <c r="BG979" i="1"/>
  <c r="AQ979" i="1"/>
  <c r="BG978" i="1"/>
  <c r="AQ978" i="1"/>
  <c r="BG977" i="1"/>
  <c r="AQ977" i="1"/>
  <c r="BG976" i="1"/>
  <c r="AQ976" i="1"/>
  <c r="BG975" i="1"/>
  <c r="AQ975" i="1"/>
  <c r="BG974" i="1"/>
  <c r="AQ974" i="1"/>
  <c r="BG973" i="1"/>
  <c r="AQ973" i="1"/>
  <c r="BG972" i="1"/>
  <c r="AQ972" i="1"/>
  <c r="BG971" i="1"/>
  <c r="AQ971" i="1"/>
  <c r="BG970" i="1"/>
  <c r="AQ970" i="1"/>
  <c r="BG969" i="1"/>
  <c r="AQ969" i="1"/>
  <c r="BG968" i="1"/>
  <c r="AQ968" i="1"/>
  <c r="BG967" i="1"/>
  <c r="AQ967" i="1"/>
  <c r="BG966" i="1"/>
  <c r="AQ966" i="1"/>
  <c r="BG965" i="1"/>
  <c r="AQ965" i="1"/>
  <c r="BG964" i="1"/>
  <c r="AQ964" i="1"/>
  <c r="BG963" i="1"/>
  <c r="AQ963" i="1"/>
  <c r="BG962" i="1"/>
  <c r="AQ962" i="1"/>
  <c r="BG961" i="1"/>
  <c r="AQ961" i="1"/>
  <c r="BG960" i="1"/>
  <c r="AQ960" i="1"/>
  <c r="BG959" i="1"/>
  <c r="AQ959" i="1"/>
  <c r="BG958" i="1"/>
  <c r="AQ958" i="1"/>
  <c r="BG957" i="1"/>
  <c r="AQ957" i="1"/>
  <c r="BG956" i="1"/>
  <c r="AQ956" i="1"/>
  <c r="BG955" i="1"/>
  <c r="BG954" i="1"/>
  <c r="BG953" i="1"/>
  <c r="BG952" i="1"/>
  <c r="BG951" i="1"/>
  <c r="BG950" i="1"/>
  <c r="BG949" i="1"/>
  <c r="BG948" i="1"/>
  <c r="BG947" i="1"/>
  <c r="BG946" i="1"/>
  <c r="BG945" i="1"/>
  <c r="BG944" i="1"/>
  <c r="BG943" i="1"/>
  <c r="BG942" i="1"/>
  <c r="BG941" i="1"/>
  <c r="BG940" i="1"/>
  <c r="BG939" i="1"/>
  <c r="BG938" i="1"/>
  <c r="BG937" i="1"/>
  <c r="BG936" i="1"/>
  <c r="BG935" i="1"/>
  <c r="BG934" i="1"/>
  <c r="BG933" i="1"/>
  <c r="BG932" i="1"/>
  <c r="BG931" i="1"/>
  <c r="BG930" i="1"/>
  <c r="BG929" i="1"/>
  <c r="BG928" i="1"/>
  <c r="BG927" i="1"/>
  <c r="BG926" i="1"/>
  <c r="BG925" i="1"/>
  <c r="BG924" i="1"/>
  <c r="BG923" i="1"/>
  <c r="BG922" i="1"/>
  <c r="BG921" i="1"/>
  <c r="BG920" i="1"/>
  <c r="BG919" i="1"/>
  <c r="BG918" i="1"/>
  <c r="BG917" i="1"/>
  <c r="BG916" i="1"/>
  <c r="BG915" i="1"/>
  <c r="BG914" i="1"/>
  <c r="BG913" i="1"/>
  <c r="BG912" i="1"/>
  <c r="BG911" i="1"/>
  <c r="BG910" i="1"/>
  <c r="BG909" i="1"/>
  <c r="BG908" i="1"/>
  <c r="BG907" i="1"/>
  <c r="BG906" i="1"/>
  <c r="BG905" i="1"/>
  <c r="BG904" i="1"/>
  <c r="BG903" i="1"/>
  <c r="BG902" i="1"/>
  <c r="BG901" i="1"/>
  <c r="BG900" i="1"/>
  <c r="BG899" i="1"/>
  <c r="BG898" i="1"/>
  <c r="BG897" i="1"/>
  <c r="BG896" i="1"/>
  <c r="BG895" i="1"/>
  <c r="BG894" i="1"/>
  <c r="BG893" i="1"/>
  <c r="BG892" i="1"/>
  <c r="BG891" i="1"/>
  <c r="BG890" i="1"/>
  <c r="BG889" i="1"/>
  <c r="BG888" i="1"/>
  <c r="BG887" i="1"/>
  <c r="BG886" i="1"/>
  <c r="BG885" i="1"/>
  <c r="BG884" i="1"/>
  <c r="BG883" i="1"/>
  <c r="BG882" i="1"/>
  <c r="BG881" i="1"/>
  <c r="BG880" i="1"/>
  <c r="BG879" i="1"/>
  <c r="BG878" i="1"/>
  <c r="BG877" i="1"/>
  <c r="BG876" i="1"/>
  <c r="BG875" i="1"/>
  <c r="BG874" i="1"/>
  <c r="BG873" i="1"/>
  <c r="BG872" i="1"/>
  <c r="BG871" i="1"/>
  <c r="BG870" i="1"/>
  <c r="BG869" i="1"/>
  <c r="BG868" i="1"/>
  <c r="BG867" i="1"/>
  <c r="BG866" i="1"/>
  <c r="BG865" i="1"/>
  <c r="BG864" i="1"/>
  <c r="BG863" i="1"/>
  <c r="BG862" i="1"/>
  <c r="BG861" i="1"/>
  <c r="BG860" i="1"/>
  <c r="BG859" i="1"/>
  <c r="BG858" i="1"/>
  <c r="BG857" i="1"/>
  <c r="BG856" i="1"/>
  <c r="BG855" i="1"/>
  <c r="BG854" i="1"/>
  <c r="BG853" i="1"/>
  <c r="BG852" i="1"/>
  <c r="BG851" i="1"/>
  <c r="BG850" i="1"/>
  <c r="BG849" i="1"/>
  <c r="BG848" i="1"/>
  <c r="BG847" i="1"/>
  <c r="BG846" i="1"/>
  <c r="BG845" i="1"/>
  <c r="BG844" i="1"/>
  <c r="BG843" i="1"/>
  <c r="BG842" i="1"/>
  <c r="BG841" i="1"/>
  <c r="BG840" i="1"/>
  <c r="BG839" i="1"/>
  <c r="BG838" i="1"/>
  <c r="BG837" i="1"/>
  <c r="BG836" i="1"/>
  <c r="BG835" i="1"/>
  <c r="BG834" i="1"/>
  <c r="BG833" i="1"/>
  <c r="BG832" i="1"/>
  <c r="BG831" i="1"/>
  <c r="BG830" i="1"/>
  <c r="BG829" i="1"/>
  <c r="BG828" i="1"/>
  <c r="BG827" i="1"/>
  <c r="BG826" i="1"/>
  <c r="BG825" i="1"/>
  <c r="BG824" i="1"/>
  <c r="BG823" i="1"/>
  <c r="BG822" i="1"/>
  <c r="BG821" i="1"/>
  <c r="BG820" i="1"/>
  <c r="BG819" i="1"/>
  <c r="BG818" i="1"/>
  <c r="BG817" i="1"/>
  <c r="BG816" i="1"/>
  <c r="BG815" i="1"/>
  <c r="BG814" i="1"/>
  <c r="BG813" i="1"/>
  <c r="BG812" i="1"/>
  <c r="BG811" i="1"/>
  <c r="BG810" i="1"/>
  <c r="BG809" i="1"/>
  <c r="BG808" i="1"/>
  <c r="BG807" i="1"/>
  <c r="BG806" i="1"/>
  <c r="BG805" i="1"/>
  <c r="BG804" i="1"/>
  <c r="BG803" i="1"/>
  <c r="BG802" i="1"/>
  <c r="BG801" i="1"/>
  <c r="BG800" i="1"/>
  <c r="BG799" i="1"/>
  <c r="BG798" i="1"/>
  <c r="BG797" i="1"/>
  <c r="BG796" i="1"/>
  <c r="BG795" i="1"/>
  <c r="BG794" i="1"/>
  <c r="BG793" i="1"/>
  <c r="BG792" i="1"/>
  <c r="BG791" i="1"/>
  <c r="BG790" i="1"/>
  <c r="BG789" i="1"/>
  <c r="BG788" i="1"/>
  <c r="BG787" i="1"/>
  <c r="BG786" i="1"/>
  <c r="BG785" i="1"/>
  <c r="BG784" i="1"/>
  <c r="BG783" i="1"/>
  <c r="BG782" i="1"/>
  <c r="BG781" i="1"/>
  <c r="BG780" i="1"/>
  <c r="BG779" i="1"/>
  <c r="BG778" i="1"/>
  <c r="BG777" i="1"/>
  <c r="BG776" i="1"/>
  <c r="BG775" i="1"/>
  <c r="BG774" i="1"/>
  <c r="BG773" i="1"/>
  <c r="BG772" i="1"/>
  <c r="BG771" i="1"/>
  <c r="BG770" i="1"/>
  <c r="BG769" i="1"/>
  <c r="BG768" i="1"/>
  <c r="BG767" i="1"/>
  <c r="BG766" i="1"/>
  <c r="BG765" i="1"/>
  <c r="AQ765" i="1"/>
  <c r="BG764" i="1"/>
  <c r="AQ764" i="1"/>
  <c r="BG763" i="1"/>
  <c r="AQ763" i="1"/>
  <c r="BG762" i="1"/>
  <c r="AQ762" i="1"/>
  <c r="BG761" i="1"/>
  <c r="AQ761" i="1"/>
  <c r="BG760" i="1"/>
  <c r="AQ760" i="1"/>
  <c r="BG759" i="1"/>
  <c r="AQ759" i="1"/>
  <c r="BG758" i="1"/>
  <c r="AQ758" i="1"/>
  <c r="BG757" i="1"/>
  <c r="AQ757" i="1"/>
  <c r="BG756" i="1"/>
  <c r="AQ756" i="1"/>
  <c r="BG755" i="1"/>
  <c r="AQ755" i="1"/>
  <c r="BG754" i="1"/>
  <c r="AQ754" i="1"/>
  <c r="BG753" i="1"/>
  <c r="AQ753" i="1"/>
  <c r="BG752" i="1"/>
  <c r="AQ752" i="1"/>
  <c r="BG751" i="1"/>
  <c r="AQ751" i="1"/>
  <c r="BG750" i="1"/>
  <c r="AQ750" i="1"/>
  <c r="BG749" i="1"/>
  <c r="AQ749" i="1"/>
  <c r="BG748" i="1"/>
  <c r="AQ748" i="1"/>
  <c r="BG747" i="1"/>
  <c r="AQ747" i="1"/>
  <c r="BG746" i="1"/>
  <c r="AQ746" i="1"/>
  <c r="BG745" i="1"/>
  <c r="AQ745" i="1"/>
  <c r="BG744" i="1"/>
  <c r="AQ744" i="1"/>
  <c r="BG743" i="1"/>
  <c r="AQ743" i="1"/>
  <c r="BG742" i="1"/>
  <c r="AQ742" i="1"/>
  <c r="BG741" i="1"/>
  <c r="AQ741" i="1"/>
  <c r="BG740" i="1"/>
  <c r="AQ740" i="1"/>
  <c r="BG739" i="1"/>
  <c r="AQ739" i="1"/>
  <c r="BG738" i="1"/>
  <c r="AQ738" i="1"/>
  <c r="BG737" i="1"/>
  <c r="AQ737" i="1"/>
  <c r="BG736" i="1"/>
  <c r="AQ736" i="1"/>
  <c r="BG735" i="1"/>
  <c r="AQ735" i="1"/>
  <c r="BG734" i="1"/>
  <c r="AQ734" i="1"/>
  <c r="BG733" i="1"/>
  <c r="AQ733" i="1"/>
  <c r="BG732" i="1"/>
  <c r="AQ732" i="1"/>
  <c r="BG731" i="1"/>
  <c r="AQ731" i="1"/>
  <c r="BG730" i="1"/>
  <c r="AQ730" i="1"/>
  <c r="BG729" i="1"/>
  <c r="AQ729" i="1"/>
  <c r="BG728" i="1"/>
  <c r="AQ728" i="1"/>
  <c r="BG727" i="1"/>
  <c r="AQ727" i="1"/>
  <c r="BG726" i="1"/>
  <c r="AQ726" i="1"/>
  <c r="BG725" i="1"/>
  <c r="AQ725" i="1"/>
  <c r="BG724" i="1"/>
  <c r="AQ724" i="1"/>
  <c r="BG723" i="1"/>
  <c r="AQ723" i="1"/>
  <c r="BG722" i="1"/>
  <c r="AQ722" i="1"/>
  <c r="BG721" i="1"/>
  <c r="AQ721" i="1"/>
  <c r="BG720" i="1"/>
  <c r="AQ720" i="1"/>
  <c r="BG719" i="1"/>
  <c r="AQ719" i="1"/>
  <c r="BG718" i="1"/>
  <c r="AQ718" i="1"/>
  <c r="BG717" i="1"/>
  <c r="AQ717" i="1"/>
  <c r="BG716" i="1"/>
  <c r="AQ716" i="1"/>
  <c r="BG715" i="1"/>
  <c r="AQ715" i="1"/>
  <c r="BG714" i="1"/>
  <c r="AQ714" i="1"/>
  <c r="BG713" i="1"/>
  <c r="AQ713" i="1"/>
  <c r="BG712" i="1"/>
  <c r="AQ712" i="1"/>
  <c r="BG711" i="1"/>
  <c r="AQ711" i="1"/>
  <c r="BG710" i="1"/>
  <c r="AQ710" i="1"/>
  <c r="BG709" i="1"/>
  <c r="AQ709" i="1"/>
  <c r="BG708" i="1"/>
  <c r="AQ708" i="1"/>
  <c r="BG707" i="1"/>
  <c r="AQ707" i="1"/>
  <c r="BG706" i="1"/>
  <c r="AQ706" i="1"/>
  <c r="BG705" i="1"/>
  <c r="AQ705" i="1"/>
  <c r="BG704" i="1"/>
  <c r="AQ704" i="1"/>
  <c r="BG703" i="1"/>
  <c r="AQ703" i="1"/>
  <c r="BG702" i="1"/>
  <c r="AQ702" i="1"/>
  <c r="BG701" i="1"/>
  <c r="AQ701" i="1"/>
  <c r="BG700" i="1"/>
  <c r="AQ700" i="1"/>
  <c r="BG699" i="1"/>
  <c r="AQ699" i="1"/>
  <c r="BG698" i="1"/>
  <c r="AQ698" i="1"/>
  <c r="BG697" i="1"/>
  <c r="AQ697" i="1"/>
  <c r="BG696" i="1"/>
  <c r="AQ696" i="1"/>
  <c r="BG695" i="1"/>
  <c r="AQ695" i="1"/>
  <c r="BG694" i="1"/>
  <c r="AQ694" i="1"/>
  <c r="BG693" i="1"/>
  <c r="AQ693" i="1"/>
  <c r="BG692" i="1"/>
  <c r="AQ692" i="1"/>
  <c r="BG691" i="1"/>
  <c r="AQ691" i="1"/>
  <c r="BG690" i="1"/>
  <c r="AQ690" i="1"/>
  <c r="BG689" i="1"/>
  <c r="AQ689" i="1"/>
  <c r="BG688" i="1"/>
  <c r="AQ688" i="1"/>
  <c r="BG687" i="1"/>
  <c r="AQ687" i="1"/>
  <c r="BG686" i="1"/>
  <c r="AQ686" i="1"/>
  <c r="BG685" i="1"/>
  <c r="AQ685" i="1"/>
  <c r="BG684" i="1"/>
  <c r="AQ684" i="1"/>
  <c r="BG683" i="1"/>
  <c r="AQ683" i="1"/>
  <c r="BG682" i="1"/>
  <c r="AQ682" i="1"/>
  <c r="BG681" i="1"/>
  <c r="AQ681" i="1"/>
  <c r="BG680" i="1"/>
  <c r="AQ680" i="1"/>
  <c r="BG679" i="1"/>
  <c r="AQ679" i="1"/>
  <c r="BG678" i="1"/>
  <c r="AQ678" i="1"/>
  <c r="BG677" i="1"/>
  <c r="AQ677" i="1"/>
  <c r="BG676" i="1"/>
  <c r="AQ676" i="1"/>
  <c r="BG675" i="1"/>
  <c r="AQ675" i="1"/>
  <c r="BG674" i="1"/>
  <c r="AQ674" i="1"/>
  <c r="BG673" i="1"/>
  <c r="AQ673" i="1"/>
  <c r="BG672" i="1"/>
  <c r="AQ672" i="1"/>
  <c r="BG671" i="1"/>
  <c r="AQ671" i="1"/>
  <c r="BG670" i="1"/>
  <c r="AQ670" i="1"/>
  <c r="BG669" i="1"/>
  <c r="AQ669" i="1"/>
  <c r="BG668" i="1"/>
  <c r="AQ668" i="1"/>
  <c r="BG667" i="1"/>
  <c r="AQ667" i="1"/>
  <c r="BG666" i="1"/>
  <c r="AQ666" i="1"/>
  <c r="BG665" i="1"/>
  <c r="AQ665" i="1"/>
  <c r="BG664" i="1"/>
  <c r="AQ664" i="1"/>
  <c r="BG663" i="1"/>
  <c r="AQ663" i="1"/>
  <c r="BG662" i="1"/>
  <c r="AQ662" i="1"/>
  <c r="BG661" i="1"/>
  <c r="AQ661" i="1"/>
  <c r="BG660" i="1"/>
  <c r="AQ660" i="1"/>
  <c r="BG659" i="1"/>
  <c r="AQ659" i="1"/>
  <c r="BG658" i="1"/>
  <c r="AQ658" i="1"/>
  <c r="BG657" i="1"/>
  <c r="AQ657" i="1"/>
  <c r="BG656" i="1"/>
  <c r="AQ656" i="1"/>
  <c r="BG655" i="1"/>
  <c r="AQ655" i="1"/>
  <c r="BG654" i="1"/>
  <c r="AQ654" i="1"/>
  <c r="BG653" i="1"/>
  <c r="AQ653" i="1"/>
  <c r="BG652" i="1"/>
  <c r="AQ652" i="1"/>
  <c r="BG651" i="1"/>
  <c r="AQ651" i="1"/>
  <c r="BG650" i="1"/>
  <c r="AQ650" i="1"/>
  <c r="BG649" i="1"/>
  <c r="AQ649" i="1"/>
  <c r="BG648" i="1"/>
  <c r="AQ648" i="1"/>
  <c r="BG647" i="1"/>
  <c r="AQ647" i="1"/>
  <c r="BG646" i="1"/>
  <c r="AQ646" i="1"/>
  <c r="BG645" i="1"/>
  <c r="AQ645" i="1"/>
  <c r="BG644" i="1"/>
  <c r="AQ644" i="1"/>
  <c r="BG643" i="1"/>
  <c r="AQ643" i="1"/>
  <c r="BG642" i="1"/>
  <c r="AQ642" i="1"/>
  <c r="BG641" i="1"/>
  <c r="AQ641" i="1"/>
  <c r="BG640" i="1"/>
  <c r="AQ640" i="1"/>
  <c r="BG639" i="1"/>
  <c r="AQ639" i="1"/>
  <c r="BG638" i="1"/>
  <c r="AQ638" i="1"/>
  <c r="BG637" i="1"/>
  <c r="AQ637" i="1"/>
  <c r="BG636" i="1"/>
  <c r="AQ636" i="1"/>
  <c r="BG635" i="1"/>
  <c r="AQ635" i="1"/>
  <c r="BG634" i="1"/>
  <c r="AQ634" i="1"/>
  <c r="BG633" i="1"/>
  <c r="AQ633" i="1"/>
  <c r="BG632" i="1"/>
  <c r="AQ632" i="1"/>
  <c r="BG631" i="1"/>
  <c r="AQ631" i="1"/>
  <c r="BG630" i="1"/>
  <c r="AQ630" i="1"/>
  <c r="BG629" i="1"/>
  <c r="AQ629" i="1"/>
  <c r="BG628" i="1"/>
  <c r="AQ628" i="1"/>
  <c r="BG627" i="1"/>
  <c r="AQ627" i="1"/>
  <c r="BG626" i="1"/>
  <c r="AQ626" i="1"/>
  <c r="BG625" i="1"/>
  <c r="AQ625" i="1"/>
  <c r="BG624" i="1"/>
  <c r="AQ624" i="1"/>
  <c r="BG623" i="1"/>
  <c r="AQ623" i="1"/>
  <c r="BG622" i="1"/>
  <c r="AQ622" i="1"/>
  <c r="BG621" i="1"/>
  <c r="AQ621" i="1"/>
  <c r="BG620" i="1"/>
  <c r="AQ620" i="1"/>
  <c r="BG619" i="1"/>
  <c r="AQ619" i="1"/>
  <c r="BG618" i="1"/>
  <c r="AQ618" i="1"/>
  <c r="BG617" i="1"/>
  <c r="AQ617" i="1"/>
  <c r="BG616" i="1"/>
  <c r="AQ616" i="1"/>
  <c r="BG615" i="1"/>
  <c r="AQ615" i="1"/>
  <c r="BG614" i="1"/>
  <c r="AQ614" i="1"/>
  <c r="BG613" i="1"/>
  <c r="AQ613" i="1"/>
  <c r="BG612" i="1"/>
  <c r="AQ612" i="1"/>
  <c r="BG611" i="1"/>
  <c r="AQ611" i="1"/>
  <c r="BG610" i="1"/>
  <c r="AQ610" i="1"/>
  <c r="BG609" i="1"/>
  <c r="AQ609" i="1"/>
  <c r="BG608" i="1"/>
  <c r="AQ608" i="1"/>
  <c r="BG607" i="1"/>
  <c r="AQ607" i="1"/>
  <c r="BG606" i="1"/>
  <c r="AQ606" i="1"/>
  <c r="BG605" i="1"/>
  <c r="AQ605" i="1"/>
  <c r="BG604" i="1"/>
  <c r="AQ604" i="1"/>
  <c r="BG603" i="1"/>
  <c r="AQ603" i="1"/>
  <c r="BG602" i="1"/>
  <c r="AQ602" i="1"/>
  <c r="BG601" i="1"/>
  <c r="AQ601" i="1"/>
  <c r="BG600" i="1"/>
  <c r="AQ600" i="1"/>
  <c r="BG599" i="1"/>
  <c r="AQ599" i="1"/>
  <c r="BG598" i="1"/>
  <c r="AQ598" i="1"/>
  <c r="BG597" i="1"/>
  <c r="AQ597" i="1"/>
  <c r="BG596" i="1"/>
  <c r="AQ596" i="1"/>
  <c r="BG595" i="1"/>
  <c r="AQ595" i="1"/>
  <c r="BG594" i="1"/>
  <c r="AQ594" i="1"/>
  <c r="BG593" i="1"/>
  <c r="AQ593" i="1"/>
  <c r="BG592" i="1"/>
  <c r="AQ592" i="1"/>
  <c r="BG591" i="1"/>
  <c r="AQ591" i="1"/>
  <c r="BG590" i="1"/>
  <c r="AQ590" i="1"/>
  <c r="BG589" i="1"/>
  <c r="AQ589" i="1"/>
  <c r="BG588" i="1"/>
  <c r="AQ588" i="1"/>
  <c r="BG587" i="1"/>
  <c r="AQ587" i="1"/>
  <c r="BG586" i="1"/>
  <c r="AQ586" i="1"/>
  <c r="BG585" i="1"/>
  <c r="AQ585" i="1"/>
  <c r="BG584" i="1"/>
  <c r="AQ584" i="1"/>
  <c r="BG583" i="1"/>
  <c r="AQ583" i="1"/>
  <c r="BG582" i="1"/>
  <c r="AQ582" i="1"/>
  <c r="BG581" i="1"/>
  <c r="AQ581" i="1"/>
  <c r="BG580" i="1"/>
  <c r="AQ580" i="1"/>
  <c r="BG579" i="1"/>
  <c r="AQ579" i="1"/>
  <c r="BG578" i="1"/>
  <c r="AQ578" i="1"/>
  <c r="BG577" i="1"/>
  <c r="AQ577" i="1"/>
  <c r="BG576" i="1"/>
  <c r="AQ576" i="1"/>
  <c r="BG575" i="1"/>
  <c r="AQ575" i="1"/>
  <c r="BG574" i="1"/>
  <c r="AQ574" i="1"/>
  <c r="BG573" i="1"/>
  <c r="AQ573" i="1"/>
  <c r="BG572" i="1"/>
  <c r="AQ572" i="1"/>
  <c r="BG571" i="1"/>
  <c r="AQ571" i="1"/>
  <c r="BG570" i="1"/>
  <c r="AQ570" i="1"/>
  <c r="BG569" i="1"/>
  <c r="AQ569" i="1"/>
  <c r="BG568" i="1"/>
  <c r="AQ568" i="1"/>
  <c r="BG567" i="1"/>
  <c r="AQ567" i="1"/>
  <c r="BG566" i="1"/>
  <c r="AQ566" i="1"/>
  <c r="BG565" i="1"/>
  <c r="AQ565" i="1"/>
  <c r="BG564" i="1"/>
  <c r="AQ564" i="1"/>
  <c r="BG563" i="1"/>
  <c r="AQ563" i="1"/>
  <c r="BG562" i="1"/>
  <c r="AQ562" i="1"/>
  <c r="BG561" i="1"/>
  <c r="AQ561" i="1"/>
  <c r="BG560" i="1"/>
  <c r="AQ560" i="1"/>
  <c r="BG559" i="1"/>
  <c r="AQ559" i="1"/>
  <c r="BG558" i="1"/>
  <c r="AQ558" i="1"/>
  <c r="BG557" i="1"/>
  <c r="AQ557" i="1"/>
  <c r="BG556" i="1"/>
  <c r="AQ556" i="1"/>
  <c r="BG555" i="1"/>
  <c r="AQ555" i="1"/>
  <c r="BG554" i="1"/>
  <c r="AQ554" i="1"/>
  <c r="BG553" i="1"/>
  <c r="AQ553" i="1"/>
  <c r="BG552" i="1"/>
  <c r="AQ552" i="1"/>
  <c r="BG551" i="1"/>
  <c r="AQ551" i="1"/>
  <c r="BG550" i="1"/>
  <c r="AQ550" i="1"/>
  <c r="BG549" i="1"/>
  <c r="AQ549" i="1"/>
  <c r="BG548" i="1"/>
  <c r="AQ548" i="1"/>
  <c r="BG547" i="1"/>
  <c r="AQ547" i="1"/>
  <c r="BG546" i="1"/>
  <c r="AQ546" i="1"/>
  <c r="BG545" i="1"/>
  <c r="AQ545" i="1"/>
  <c r="BG544" i="1"/>
  <c r="AQ544" i="1"/>
  <c r="BG543" i="1"/>
  <c r="AQ543" i="1"/>
  <c r="BG542" i="1"/>
  <c r="AQ542" i="1"/>
  <c r="BG541" i="1"/>
  <c r="AQ541" i="1"/>
  <c r="BG540" i="1"/>
  <c r="AQ540" i="1"/>
  <c r="BG539" i="1"/>
  <c r="AQ539" i="1"/>
  <c r="BG538" i="1"/>
  <c r="AQ538" i="1"/>
  <c r="BG537" i="1"/>
  <c r="AQ537" i="1"/>
  <c r="BG536" i="1"/>
  <c r="AQ536" i="1"/>
  <c r="BG535" i="1"/>
  <c r="AQ535" i="1"/>
  <c r="BG534" i="1"/>
  <c r="AQ534" i="1"/>
  <c r="BG533" i="1"/>
  <c r="AQ533" i="1"/>
  <c r="BG532" i="1"/>
  <c r="AQ532" i="1"/>
  <c r="BG531" i="1"/>
  <c r="AQ531" i="1"/>
  <c r="BG530" i="1"/>
  <c r="AQ530" i="1"/>
  <c r="BG529" i="1"/>
  <c r="AQ529" i="1"/>
  <c r="BG528" i="1"/>
  <c r="AQ528" i="1"/>
  <c r="BG527" i="1"/>
  <c r="AQ527" i="1"/>
  <c r="BG526" i="1"/>
  <c r="AQ526" i="1"/>
  <c r="BG525" i="1"/>
  <c r="AQ525" i="1"/>
  <c r="BG524" i="1"/>
  <c r="AQ524" i="1"/>
  <c r="BG523" i="1"/>
  <c r="AQ523" i="1"/>
  <c r="BG522" i="1"/>
  <c r="AQ522" i="1"/>
  <c r="BG521" i="1"/>
  <c r="AQ521" i="1"/>
  <c r="BG520" i="1"/>
  <c r="AQ520" i="1"/>
  <c r="BG519" i="1"/>
  <c r="AQ519" i="1"/>
  <c r="BG518" i="1"/>
  <c r="AQ518" i="1"/>
  <c r="BG517" i="1"/>
  <c r="AQ517" i="1"/>
  <c r="BG516" i="1"/>
  <c r="AQ516" i="1"/>
  <c r="BG515" i="1"/>
  <c r="AQ515" i="1"/>
  <c r="BG514" i="1"/>
  <c r="AQ514" i="1"/>
  <c r="BG513" i="1"/>
  <c r="AQ513" i="1"/>
  <c r="BG512" i="1"/>
  <c r="AQ512" i="1"/>
  <c r="BG511" i="1"/>
  <c r="AQ511" i="1"/>
  <c r="BG510" i="1"/>
  <c r="AQ510" i="1"/>
  <c r="BG509" i="1"/>
  <c r="AQ509" i="1"/>
  <c r="BG508" i="1"/>
  <c r="BG507" i="1"/>
  <c r="BG506" i="1"/>
  <c r="BG505" i="1"/>
  <c r="BG504" i="1"/>
  <c r="BG503" i="1"/>
  <c r="BG502" i="1"/>
  <c r="BG501" i="1"/>
  <c r="BG500" i="1"/>
  <c r="BG499" i="1"/>
  <c r="AQ499" i="1"/>
  <c r="BG498" i="1"/>
  <c r="AQ498" i="1"/>
  <c r="BG497" i="1"/>
  <c r="AQ497" i="1"/>
  <c r="BG496" i="1"/>
  <c r="AQ496" i="1"/>
  <c r="BG495" i="1"/>
  <c r="AQ495" i="1"/>
  <c r="BG494" i="1"/>
  <c r="AQ494" i="1"/>
  <c r="BG493" i="1"/>
  <c r="AQ493" i="1"/>
  <c r="BG492" i="1"/>
  <c r="AQ492" i="1"/>
  <c r="BG491" i="1"/>
  <c r="AQ491" i="1"/>
  <c r="BG490" i="1"/>
  <c r="AQ490" i="1"/>
  <c r="BG489" i="1"/>
  <c r="AQ489" i="1"/>
  <c r="BG488" i="1"/>
  <c r="AQ488" i="1"/>
  <c r="BG487" i="1"/>
  <c r="AQ487" i="1"/>
  <c r="BG486" i="1"/>
  <c r="AQ486" i="1"/>
  <c r="BG485" i="1"/>
  <c r="AQ485" i="1"/>
  <c r="BG484" i="1"/>
  <c r="AQ484" i="1"/>
  <c r="BG483" i="1"/>
  <c r="AQ483" i="1"/>
  <c r="BG482" i="1"/>
  <c r="AQ482" i="1"/>
  <c r="BG481" i="1"/>
  <c r="AQ481" i="1"/>
  <c r="BG480" i="1"/>
  <c r="AQ480" i="1"/>
  <c r="BG479" i="1"/>
  <c r="AQ479" i="1"/>
  <c r="BG478" i="1"/>
  <c r="AQ478" i="1"/>
  <c r="BG477" i="1"/>
  <c r="AQ477" i="1"/>
  <c r="BG476" i="1"/>
  <c r="AQ476" i="1"/>
  <c r="BG475" i="1"/>
  <c r="AQ475" i="1"/>
  <c r="BG474" i="1"/>
  <c r="AQ474" i="1"/>
  <c r="BG473" i="1"/>
  <c r="AQ473" i="1"/>
  <c r="BG472" i="1"/>
  <c r="AQ472" i="1"/>
  <c r="BG471" i="1"/>
  <c r="AQ471" i="1"/>
  <c r="BG470" i="1"/>
  <c r="AQ470" i="1"/>
  <c r="BG469" i="1"/>
  <c r="AQ469" i="1"/>
  <c r="BG468" i="1"/>
  <c r="AQ468" i="1"/>
  <c r="BG467" i="1"/>
  <c r="AQ467" i="1"/>
  <c r="BG466" i="1"/>
  <c r="AQ466" i="1"/>
  <c r="BG465" i="1"/>
  <c r="AQ465" i="1"/>
  <c r="BG464" i="1"/>
  <c r="AQ464" i="1"/>
  <c r="BG463" i="1"/>
  <c r="AQ463" i="1"/>
  <c r="BG462" i="1"/>
  <c r="AQ462" i="1"/>
  <c r="BG461" i="1"/>
  <c r="AQ461" i="1"/>
  <c r="BG460" i="1"/>
  <c r="AQ460" i="1"/>
  <c r="BG459" i="1"/>
  <c r="AQ459" i="1"/>
  <c r="BG458" i="1"/>
  <c r="AQ458" i="1"/>
  <c r="BG457" i="1"/>
  <c r="AQ457" i="1"/>
  <c r="BG456" i="1"/>
  <c r="AQ456" i="1"/>
  <c r="BG455" i="1"/>
  <c r="AQ455" i="1"/>
  <c r="BG454" i="1"/>
  <c r="AQ454" i="1"/>
  <c r="BG453" i="1"/>
  <c r="AQ453" i="1"/>
  <c r="BG452" i="1"/>
  <c r="AQ452" i="1"/>
  <c r="BG451" i="1"/>
  <c r="AQ451" i="1"/>
  <c r="BG450" i="1"/>
  <c r="AQ450" i="1"/>
  <c r="BG449" i="1"/>
  <c r="AQ449" i="1"/>
  <c r="BG448" i="1"/>
  <c r="AQ448" i="1"/>
  <c r="BG447" i="1"/>
  <c r="AQ447" i="1"/>
  <c r="BG446" i="1"/>
  <c r="AQ446" i="1"/>
  <c r="BG445" i="1"/>
  <c r="AQ445" i="1"/>
  <c r="BG444" i="1"/>
  <c r="AQ444" i="1"/>
  <c r="BG443" i="1"/>
  <c r="AQ443" i="1"/>
  <c r="BG442" i="1"/>
  <c r="AQ442" i="1"/>
  <c r="BG441" i="1"/>
  <c r="AQ441" i="1"/>
  <c r="BG440" i="1"/>
  <c r="AQ440" i="1"/>
  <c r="BG439" i="1"/>
  <c r="AQ439" i="1"/>
  <c r="BG438" i="1"/>
  <c r="AQ438" i="1"/>
  <c r="BG437" i="1"/>
  <c r="AQ437" i="1"/>
  <c r="BG436" i="1"/>
  <c r="AQ436" i="1"/>
  <c r="BG435" i="1"/>
  <c r="AQ435" i="1"/>
  <c r="BG434" i="1"/>
  <c r="AQ434" i="1"/>
  <c r="BG433" i="1"/>
  <c r="AQ433" i="1"/>
  <c r="BG432" i="1"/>
  <c r="AQ432" i="1"/>
  <c r="BG431" i="1"/>
  <c r="AQ431" i="1"/>
  <c r="BG430" i="1"/>
  <c r="AQ430" i="1"/>
  <c r="BG429" i="1"/>
  <c r="AQ429" i="1"/>
  <c r="BG428" i="1"/>
  <c r="BG427" i="1"/>
  <c r="BG426" i="1"/>
  <c r="AQ426" i="1"/>
  <c r="BG425" i="1"/>
  <c r="AQ425" i="1"/>
  <c r="BG424" i="1"/>
  <c r="AQ424" i="1"/>
  <c r="BG423" i="1"/>
  <c r="AQ423" i="1"/>
  <c r="BG422" i="1"/>
  <c r="AQ422" i="1"/>
  <c r="BG421" i="1"/>
  <c r="AQ421" i="1"/>
  <c r="BG420" i="1"/>
  <c r="AQ420" i="1"/>
  <c r="BG419" i="1"/>
  <c r="AQ419" i="1"/>
  <c r="BG418" i="1"/>
  <c r="AQ418" i="1"/>
  <c r="BG417" i="1"/>
  <c r="AQ417" i="1"/>
  <c r="BG416" i="1"/>
  <c r="AQ416" i="1"/>
  <c r="BG415" i="1"/>
  <c r="AQ415" i="1"/>
  <c r="BG414" i="1"/>
  <c r="AQ414" i="1"/>
  <c r="BG413" i="1"/>
  <c r="AQ413" i="1"/>
  <c r="BG412" i="1"/>
  <c r="AQ412" i="1"/>
  <c r="BG411" i="1"/>
  <c r="AQ411" i="1"/>
  <c r="BG410" i="1"/>
  <c r="AQ410" i="1"/>
  <c r="BG409" i="1"/>
  <c r="AQ409" i="1"/>
  <c r="BG408" i="1"/>
  <c r="AQ408" i="1"/>
  <c r="BG407" i="1"/>
  <c r="AQ407" i="1"/>
  <c r="BG406" i="1"/>
  <c r="AQ406" i="1"/>
  <c r="BG405" i="1"/>
  <c r="AQ405" i="1"/>
  <c r="BG404" i="1"/>
  <c r="AQ404" i="1"/>
  <c r="BG403" i="1"/>
  <c r="AQ403" i="1"/>
  <c r="BG402" i="1"/>
  <c r="AQ402" i="1"/>
  <c r="BG401" i="1"/>
  <c r="AQ401" i="1"/>
  <c r="BG400" i="1"/>
  <c r="AQ400" i="1"/>
  <c r="BG399" i="1"/>
  <c r="AQ399" i="1"/>
  <c r="BG398" i="1"/>
  <c r="AQ398" i="1"/>
  <c r="BG397" i="1"/>
  <c r="AQ397" i="1"/>
  <c r="BG396" i="1"/>
  <c r="BG395" i="1"/>
  <c r="BG394" i="1"/>
  <c r="BG393" i="1"/>
  <c r="BG392" i="1"/>
  <c r="BG391" i="1"/>
  <c r="BG390" i="1"/>
  <c r="BG389" i="1"/>
  <c r="BG388" i="1"/>
  <c r="BG387" i="1"/>
  <c r="BG386" i="1"/>
  <c r="BG385" i="1"/>
  <c r="BG384" i="1"/>
  <c r="BG383" i="1"/>
  <c r="BG382" i="1"/>
  <c r="BG381" i="1"/>
  <c r="BG380" i="1"/>
  <c r="BG379" i="1"/>
  <c r="BG378" i="1"/>
  <c r="BG377" i="1"/>
  <c r="BG376" i="1"/>
  <c r="BG375" i="1"/>
  <c r="BG374" i="1"/>
  <c r="BG373" i="1"/>
  <c r="BG372" i="1"/>
  <c r="BG371" i="1"/>
  <c r="BG370" i="1"/>
  <c r="BG369" i="1"/>
  <c r="BG368" i="1"/>
  <c r="BG367" i="1"/>
  <c r="BG366" i="1"/>
  <c r="BG365" i="1"/>
  <c r="BG364" i="1"/>
  <c r="BG363" i="1"/>
  <c r="BG362" i="1"/>
  <c r="BG361" i="1"/>
  <c r="BG360" i="1"/>
  <c r="BG359" i="1"/>
  <c r="BG358" i="1"/>
  <c r="BG357" i="1"/>
  <c r="BG356" i="1"/>
  <c r="BG355" i="1"/>
  <c r="BG354" i="1"/>
  <c r="BG353" i="1"/>
  <c r="BG352" i="1"/>
  <c r="BG351" i="1"/>
  <c r="BG350" i="1"/>
  <c r="BG349" i="1"/>
  <c r="BG348" i="1"/>
  <c r="BG347" i="1"/>
  <c r="BG346" i="1"/>
  <c r="BG345" i="1"/>
  <c r="BG344" i="1"/>
  <c r="BG343" i="1"/>
  <c r="BG342" i="1"/>
  <c r="BG341" i="1"/>
  <c r="BG340" i="1"/>
  <c r="BG339" i="1"/>
  <c r="BG338" i="1"/>
  <c r="BG337" i="1"/>
  <c r="BG336" i="1"/>
  <c r="BG335" i="1"/>
  <c r="BG334" i="1"/>
  <c r="BG333" i="1"/>
  <c r="BG332" i="1"/>
  <c r="BG331" i="1"/>
  <c r="BG330" i="1"/>
  <c r="BG329" i="1"/>
  <c r="BG328" i="1"/>
  <c r="BG327" i="1"/>
  <c r="BG326" i="1"/>
  <c r="BG325" i="1"/>
  <c r="BG324" i="1"/>
  <c r="BG323" i="1"/>
  <c r="BG322" i="1"/>
  <c r="BG321" i="1"/>
  <c r="BG320" i="1"/>
  <c r="BG319" i="1"/>
  <c r="BG318" i="1"/>
  <c r="BG317" i="1"/>
  <c r="BG316" i="1"/>
  <c r="BG315" i="1"/>
  <c r="BG314" i="1"/>
  <c r="BG313" i="1"/>
  <c r="BG312" i="1"/>
  <c r="BG311" i="1"/>
  <c r="BG310" i="1"/>
  <c r="BG309" i="1"/>
  <c r="BG308" i="1"/>
  <c r="BG307" i="1"/>
  <c r="BG306" i="1"/>
  <c r="BG305" i="1"/>
  <c r="BG304" i="1"/>
  <c r="BG303" i="1"/>
  <c r="BG302" i="1"/>
  <c r="BG301" i="1"/>
  <c r="BG300" i="1"/>
  <c r="BG299" i="1"/>
  <c r="BG298" i="1"/>
  <c r="BG297" i="1"/>
  <c r="BG296" i="1"/>
  <c r="BG295" i="1"/>
  <c r="BG294" i="1"/>
  <c r="BG293" i="1"/>
  <c r="BG292" i="1"/>
  <c r="BG291" i="1"/>
  <c r="BG290" i="1"/>
  <c r="BG289" i="1"/>
  <c r="BG288" i="1"/>
  <c r="BG287" i="1"/>
  <c r="BG286" i="1"/>
  <c r="BG285" i="1"/>
  <c r="BG284" i="1"/>
  <c r="BG283" i="1"/>
  <c r="BG282" i="1"/>
  <c r="BG281" i="1"/>
  <c r="BG280" i="1"/>
  <c r="BG279" i="1"/>
  <c r="BG278" i="1"/>
  <c r="BG277" i="1"/>
  <c r="BG276" i="1"/>
  <c r="BG275" i="1"/>
  <c r="BG274" i="1"/>
  <c r="BG273" i="1"/>
  <c r="BG272" i="1"/>
  <c r="BG271" i="1"/>
  <c r="BG270" i="1"/>
  <c r="BG269" i="1"/>
  <c r="BG268" i="1"/>
  <c r="BG267" i="1"/>
  <c r="BG266" i="1"/>
  <c r="BG265" i="1"/>
  <c r="BG264" i="1"/>
  <c r="BG263" i="1"/>
  <c r="BG262" i="1"/>
  <c r="BG261" i="1"/>
  <c r="BG260" i="1"/>
  <c r="BG259" i="1"/>
  <c r="BG258" i="1"/>
  <c r="BG257" i="1"/>
  <c r="BG256" i="1"/>
  <c r="BG255" i="1"/>
  <c r="BG254" i="1"/>
  <c r="BG253" i="1"/>
  <c r="BG252" i="1"/>
  <c r="BG251" i="1"/>
  <c r="BG250" i="1"/>
  <c r="BG249" i="1"/>
  <c r="BG248" i="1"/>
  <c r="BG247" i="1"/>
  <c r="BG246" i="1"/>
  <c r="BG245" i="1"/>
  <c r="BG244" i="1"/>
  <c r="BG243" i="1"/>
  <c r="BG242" i="1"/>
  <c r="BG241" i="1"/>
  <c r="BG240" i="1"/>
  <c r="BG239" i="1"/>
  <c r="BG238" i="1"/>
  <c r="BG237" i="1"/>
  <c r="BG236" i="1"/>
  <c r="BG235" i="1"/>
  <c r="BG234" i="1"/>
  <c r="BG233" i="1"/>
  <c r="BG232" i="1"/>
  <c r="BG231" i="1"/>
  <c r="BG230" i="1"/>
  <c r="BG229" i="1"/>
  <c r="BG228" i="1"/>
  <c r="BG227" i="1"/>
  <c r="BG226" i="1"/>
  <c r="AQ226" i="1"/>
  <c r="BG225" i="1"/>
  <c r="AQ225" i="1"/>
  <c r="BG224" i="1"/>
  <c r="AQ224" i="1"/>
  <c r="BG223" i="1"/>
  <c r="AQ223" i="1"/>
  <c r="BG222" i="1"/>
  <c r="AQ222" i="1"/>
  <c r="BG221" i="1"/>
  <c r="AQ221" i="1"/>
  <c r="BG220" i="1"/>
  <c r="AQ220" i="1"/>
  <c r="BG219" i="1"/>
  <c r="AQ219" i="1"/>
  <c r="BG218" i="1"/>
  <c r="AQ218" i="1"/>
  <c r="BG217" i="1"/>
  <c r="AQ217" i="1"/>
  <c r="BG216" i="1"/>
  <c r="AQ216" i="1"/>
  <c r="BG215" i="1"/>
  <c r="AQ215" i="1"/>
  <c r="BG214" i="1"/>
  <c r="AQ214" i="1"/>
  <c r="BG213" i="1"/>
  <c r="AQ213" i="1"/>
  <c r="BG212" i="1"/>
  <c r="AQ212" i="1"/>
  <c r="BG211" i="1"/>
  <c r="AQ211" i="1"/>
  <c r="BG210" i="1"/>
  <c r="AQ210" i="1"/>
  <c r="BG209" i="1"/>
  <c r="AQ209" i="1"/>
  <c r="BG208" i="1"/>
  <c r="AQ208" i="1"/>
  <c r="BG207" i="1"/>
  <c r="AQ207" i="1"/>
  <c r="BG206" i="1"/>
  <c r="AQ206" i="1"/>
  <c r="BG205" i="1"/>
  <c r="AQ205" i="1"/>
  <c r="BG204" i="1"/>
  <c r="AQ204" i="1"/>
  <c r="BG203" i="1"/>
  <c r="AQ203" i="1"/>
  <c r="BG202" i="1"/>
  <c r="AQ202" i="1"/>
  <c r="BG201" i="1"/>
  <c r="AQ201" i="1"/>
  <c r="BG200" i="1"/>
  <c r="AQ200" i="1"/>
  <c r="BG199" i="1"/>
  <c r="AQ199" i="1"/>
  <c r="BG198" i="1"/>
  <c r="AQ198" i="1"/>
  <c r="BG197" i="1"/>
  <c r="AQ197" i="1"/>
  <c r="BG196" i="1"/>
  <c r="AQ196" i="1"/>
  <c r="BG195" i="1"/>
  <c r="AQ195" i="1"/>
  <c r="BG194" i="1"/>
  <c r="AQ194" i="1"/>
  <c r="BG193" i="1"/>
  <c r="AQ193" i="1"/>
  <c r="BG192" i="1"/>
  <c r="AQ192" i="1"/>
  <c r="BG191" i="1"/>
  <c r="AQ191" i="1"/>
  <c r="BG190" i="1"/>
  <c r="AQ190" i="1"/>
  <c r="BG189" i="1"/>
  <c r="AQ189" i="1"/>
  <c r="BG188" i="1"/>
  <c r="AQ188" i="1"/>
  <c r="BG187" i="1"/>
  <c r="AQ187" i="1"/>
  <c r="BG186" i="1"/>
  <c r="AQ186" i="1"/>
  <c r="BG185" i="1"/>
  <c r="AQ185" i="1"/>
  <c r="BG184" i="1"/>
  <c r="AQ184" i="1"/>
  <c r="BG183" i="1"/>
  <c r="AQ183" i="1"/>
  <c r="BG182" i="1"/>
  <c r="AQ182" i="1"/>
  <c r="BG181" i="1"/>
  <c r="AQ181" i="1"/>
  <c r="BG180" i="1"/>
  <c r="AQ180" i="1"/>
  <c r="BG179" i="1"/>
  <c r="AQ179" i="1"/>
  <c r="BG178" i="1"/>
  <c r="AQ178" i="1"/>
  <c r="BG177" i="1"/>
  <c r="AQ177" i="1"/>
  <c r="BG176" i="1"/>
  <c r="AQ176" i="1"/>
  <c r="BG175" i="1"/>
  <c r="AQ175" i="1"/>
  <c r="BG174" i="1"/>
  <c r="AQ174" i="1"/>
  <c r="BG173" i="1"/>
  <c r="AQ173" i="1"/>
  <c r="BG172" i="1"/>
  <c r="AQ172" i="1"/>
  <c r="BG171" i="1"/>
  <c r="AQ171" i="1"/>
  <c r="BG170" i="1"/>
  <c r="AQ170" i="1"/>
  <c r="BG169" i="1"/>
  <c r="AQ169" i="1"/>
  <c r="BG168" i="1"/>
  <c r="AQ168" i="1"/>
  <c r="BG167" i="1"/>
  <c r="AQ167" i="1"/>
  <c r="BG166" i="1"/>
  <c r="AQ166" i="1"/>
  <c r="BG165" i="1"/>
  <c r="AQ165" i="1"/>
  <c r="BG164" i="1"/>
  <c r="AQ164" i="1"/>
  <c r="BG163" i="1"/>
  <c r="AQ163" i="1"/>
  <c r="BG162" i="1"/>
  <c r="AQ162" i="1"/>
  <c r="BG161" i="1"/>
  <c r="AQ161" i="1"/>
  <c r="BG160" i="1"/>
  <c r="AQ160" i="1"/>
  <c r="BG159" i="1"/>
  <c r="AQ159" i="1"/>
  <c r="BG158" i="1"/>
  <c r="AQ158" i="1"/>
  <c r="BG157" i="1"/>
  <c r="AQ157" i="1"/>
  <c r="BG156" i="1"/>
  <c r="AQ156" i="1"/>
  <c r="BG155" i="1"/>
  <c r="AQ155" i="1"/>
  <c r="BG154" i="1"/>
  <c r="AQ154" i="1"/>
  <c r="BG153" i="1"/>
  <c r="AQ153" i="1"/>
  <c r="BG152" i="1"/>
  <c r="AQ152" i="1"/>
  <c r="BG151" i="1"/>
  <c r="AQ151" i="1"/>
  <c r="BG150" i="1"/>
  <c r="AQ150" i="1"/>
  <c r="BG149" i="1"/>
  <c r="AQ149" i="1"/>
  <c r="BG148" i="1"/>
  <c r="AQ148" i="1"/>
  <c r="BG147" i="1"/>
  <c r="AQ147" i="1"/>
  <c r="BG146" i="1"/>
  <c r="AQ146" i="1"/>
  <c r="BG145" i="1"/>
  <c r="AQ145" i="1"/>
  <c r="BG144" i="1"/>
  <c r="AQ144" i="1"/>
  <c r="BG143" i="1"/>
  <c r="AQ143" i="1"/>
  <c r="BG142" i="1"/>
  <c r="AQ142" i="1"/>
  <c r="BG141" i="1"/>
  <c r="AQ141" i="1"/>
  <c r="BG140" i="1"/>
  <c r="AQ140" i="1"/>
  <c r="BG139" i="1"/>
  <c r="AQ139" i="1"/>
  <c r="BG138" i="1"/>
  <c r="AQ138" i="1"/>
  <c r="BG137" i="1"/>
  <c r="AQ137" i="1"/>
  <c r="BG136" i="1"/>
  <c r="AQ136" i="1"/>
  <c r="BG135" i="1"/>
  <c r="AQ135" i="1"/>
  <c r="BG134" i="1"/>
  <c r="AQ134" i="1"/>
  <c r="BG133" i="1"/>
  <c r="AQ133" i="1"/>
  <c r="BG132" i="1"/>
  <c r="AQ132" i="1"/>
  <c r="BG131" i="1"/>
  <c r="AQ131" i="1"/>
  <c r="BG130" i="1"/>
  <c r="AQ130" i="1"/>
  <c r="BG129" i="1"/>
  <c r="AQ129" i="1"/>
  <c r="BG128" i="1"/>
  <c r="AQ128" i="1"/>
  <c r="BG127" i="1"/>
  <c r="AQ127" i="1"/>
  <c r="BG126" i="1"/>
  <c r="AQ126" i="1"/>
  <c r="BG125" i="1"/>
  <c r="AQ125" i="1"/>
  <c r="BG124" i="1"/>
  <c r="AQ124" i="1"/>
  <c r="BG123" i="1"/>
  <c r="AQ123" i="1"/>
  <c r="BG122" i="1"/>
  <c r="AQ122" i="1"/>
  <c r="BG121" i="1"/>
  <c r="AQ121" i="1"/>
  <c r="BG120" i="1"/>
  <c r="AQ120" i="1"/>
  <c r="BG119" i="1"/>
  <c r="AQ119" i="1"/>
  <c r="BG118" i="1"/>
  <c r="AQ118" i="1"/>
  <c r="BG117" i="1"/>
  <c r="AQ117" i="1"/>
  <c r="BG116" i="1"/>
  <c r="AQ116" i="1"/>
  <c r="BG115" i="1"/>
  <c r="AQ115" i="1"/>
  <c r="BG114" i="1"/>
  <c r="AQ114" i="1"/>
  <c r="BG113" i="1"/>
  <c r="AQ113" i="1"/>
  <c r="BG112" i="1"/>
  <c r="AQ112" i="1"/>
  <c r="BG111" i="1"/>
  <c r="AQ111" i="1"/>
  <c r="BG110" i="1"/>
  <c r="AQ110" i="1"/>
  <c r="BG109" i="1"/>
  <c r="AQ109" i="1"/>
  <c r="BG108" i="1"/>
  <c r="AQ108" i="1"/>
  <c r="BG107" i="1"/>
  <c r="AQ107" i="1"/>
  <c r="BG106" i="1"/>
  <c r="AQ106" i="1"/>
  <c r="BG105" i="1"/>
  <c r="AQ105" i="1"/>
  <c r="BG104" i="1"/>
  <c r="AQ104" i="1"/>
  <c r="BG103" i="1"/>
  <c r="AQ103" i="1"/>
  <c r="BG102" i="1"/>
  <c r="AQ102" i="1"/>
  <c r="BG101" i="1"/>
  <c r="AQ101" i="1"/>
  <c r="BG100" i="1"/>
  <c r="AQ100" i="1"/>
  <c r="BG99" i="1"/>
  <c r="AQ99" i="1"/>
  <c r="BG98" i="1"/>
  <c r="AQ98" i="1"/>
  <c r="BG97" i="1"/>
  <c r="AQ97" i="1"/>
  <c r="BG96" i="1"/>
  <c r="AQ96" i="1"/>
  <c r="BG95" i="1"/>
  <c r="AQ95" i="1"/>
  <c r="BG94" i="1"/>
  <c r="AQ94" i="1"/>
  <c r="BG93" i="1"/>
  <c r="AQ93" i="1"/>
  <c r="BG92" i="1"/>
  <c r="AQ92" i="1"/>
  <c r="BG91" i="1"/>
  <c r="AQ91" i="1"/>
  <c r="BG90" i="1"/>
  <c r="AQ90" i="1"/>
  <c r="BG89" i="1"/>
  <c r="AQ89" i="1"/>
  <c r="BG88" i="1"/>
  <c r="AQ88" i="1"/>
  <c r="BG87" i="1"/>
  <c r="AQ87" i="1"/>
  <c r="BG86" i="1"/>
  <c r="AQ86" i="1"/>
  <c r="BG85" i="1"/>
  <c r="AQ85" i="1"/>
  <c r="BG84" i="1"/>
  <c r="AQ84" i="1"/>
  <c r="BG83" i="1"/>
  <c r="AQ83" i="1"/>
  <c r="BG82" i="1"/>
  <c r="AQ82" i="1"/>
  <c r="BG81" i="1"/>
  <c r="AQ81" i="1"/>
  <c r="BG80" i="1"/>
  <c r="AQ80" i="1"/>
  <c r="BG79" i="1"/>
  <c r="AQ79" i="1"/>
  <c r="BG78" i="1"/>
  <c r="AQ78" i="1"/>
  <c r="BG77" i="1"/>
  <c r="AQ77" i="1"/>
  <c r="BG76" i="1"/>
  <c r="AQ76" i="1"/>
  <c r="BG75" i="1"/>
  <c r="AQ75" i="1"/>
  <c r="BG74" i="1"/>
  <c r="AQ74" i="1"/>
  <c r="BG73" i="1"/>
  <c r="AQ73" i="1"/>
  <c r="BG72" i="1"/>
  <c r="AQ72" i="1"/>
  <c r="BG71" i="1"/>
  <c r="AQ71" i="1"/>
  <c r="BG70" i="1"/>
  <c r="AQ70" i="1"/>
  <c r="BG69" i="1"/>
  <c r="AQ69" i="1"/>
  <c r="BG68" i="1"/>
  <c r="AQ68" i="1"/>
  <c r="BG67" i="1"/>
  <c r="AQ67" i="1"/>
  <c r="BG66" i="1"/>
  <c r="AQ66" i="1"/>
  <c r="BG65" i="1"/>
  <c r="AQ65" i="1"/>
  <c r="BG64" i="1"/>
  <c r="AQ64" i="1"/>
  <c r="BG63" i="1"/>
  <c r="AQ63" i="1"/>
  <c r="BG62" i="1"/>
  <c r="AQ62" i="1"/>
  <c r="BG61" i="1"/>
  <c r="AQ61" i="1"/>
  <c r="BG60" i="1"/>
  <c r="AQ60" i="1"/>
  <c r="BG59" i="1"/>
  <c r="AQ59" i="1"/>
  <c r="BG58" i="1"/>
  <c r="AQ58" i="1"/>
  <c r="BG57" i="1"/>
  <c r="AQ57" i="1"/>
  <c r="BG56" i="1"/>
  <c r="AQ56" i="1"/>
  <c r="BG55" i="1"/>
  <c r="AQ55" i="1"/>
  <c r="BG54" i="1"/>
  <c r="AQ54" i="1"/>
  <c r="BG53" i="1"/>
  <c r="AQ53" i="1"/>
  <c r="BG52" i="1"/>
  <c r="AQ52" i="1"/>
  <c r="BG51" i="1"/>
  <c r="AQ51" i="1"/>
  <c r="BG50" i="1"/>
  <c r="AQ50" i="1"/>
  <c r="BG49" i="1"/>
  <c r="AQ49" i="1"/>
  <c r="BG48" i="1"/>
  <c r="AQ48" i="1"/>
  <c r="BG47" i="1"/>
  <c r="AQ47" i="1"/>
  <c r="BG46" i="1"/>
  <c r="AQ46" i="1"/>
  <c r="BG45" i="1"/>
  <c r="AQ45" i="1"/>
  <c r="BG44" i="1"/>
  <c r="AQ44" i="1"/>
  <c r="BG43" i="1"/>
  <c r="AQ43" i="1"/>
  <c r="BG42" i="1"/>
  <c r="AQ42" i="1"/>
  <c r="BG41" i="1"/>
  <c r="AQ41" i="1"/>
  <c r="BG40" i="1"/>
  <c r="AQ40" i="1"/>
  <c r="BG39" i="1"/>
  <c r="AQ39" i="1"/>
  <c r="BG38" i="1"/>
  <c r="AQ38" i="1"/>
  <c r="BG37" i="1"/>
  <c r="AQ37" i="1"/>
  <c r="BG36" i="1"/>
  <c r="AQ36" i="1"/>
  <c r="BG35" i="1"/>
  <c r="AQ35" i="1"/>
  <c r="BG34" i="1"/>
  <c r="AQ34" i="1"/>
  <c r="BG33" i="1"/>
  <c r="AQ33" i="1"/>
  <c r="BG32" i="1"/>
  <c r="AQ32" i="1"/>
  <c r="BG31" i="1"/>
  <c r="AQ31" i="1"/>
  <c r="BG30" i="1"/>
  <c r="AQ30" i="1"/>
  <c r="BG29" i="1"/>
  <c r="AQ29" i="1"/>
  <c r="BG28" i="1"/>
  <c r="AQ28" i="1"/>
  <c r="BG27" i="1"/>
  <c r="AQ27" i="1"/>
  <c r="BG26" i="1"/>
  <c r="AQ26" i="1"/>
  <c r="BG25" i="1"/>
  <c r="AQ25" i="1"/>
  <c r="BG24" i="1"/>
  <c r="AQ24" i="1"/>
  <c r="BG23" i="1"/>
  <c r="AQ23" i="1"/>
  <c r="BG22" i="1"/>
  <c r="AQ22" i="1"/>
  <c r="BG21" i="1"/>
  <c r="AQ21" i="1"/>
  <c r="BG20" i="1"/>
  <c r="AQ20" i="1"/>
  <c r="BG19" i="1"/>
  <c r="AQ19" i="1"/>
  <c r="BG18" i="1"/>
  <c r="AQ18" i="1"/>
  <c r="BG17" i="1"/>
  <c r="AQ17" i="1"/>
  <c r="BG16" i="1"/>
  <c r="AQ16" i="1"/>
  <c r="BG15" i="1"/>
  <c r="AQ15" i="1"/>
  <c r="BG14" i="1"/>
  <c r="AQ14" i="1"/>
  <c r="BG13" i="1"/>
  <c r="AQ13" i="1"/>
  <c r="BG12" i="1"/>
  <c r="AQ12" i="1"/>
  <c r="BG11" i="1"/>
  <c r="AQ11" i="1"/>
  <c r="BG10" i="1"/>
  <c r="AQ10" i="1"/>
  <c r="BG9" i="1"/>
  <c r="AQ9" i="1"/>
  <c r="BG8" i="1"/>
  <c r="AQ8" i="1"/>
  <c r="BG7" i="1"/>
  <c r="AQ7" i="1"/>
  <c r="BG6" i="1"/>
  <c r="AQ6" i="1"/>
  <c r="BG5" i="1"/>
  <c r="AQ5" i="1"/>
  <c r="BG4" i="1"/>
  <c r="AQ4" i="1"/>
  <c r="BG3" i="1"/>
  <c r="AQ3" i="1"/>
  <c r="BG2" i="1"/>
  <c r="AQ2" i="1"/>
  <c r="BG1" i="1"/>
  <c r="AQ1" i="1"/>
</calcChain>
</file>

<file path=xl/sharedStrings.xml><?xml version="1.0" encoding="utf-8"?>
<sst xmlns="http://schemas.openxmlformats.org/spreadsheetml/2006/main" count="124203" uniqueCount="26480">
  <si>
    <t>match_id</t>
  </si>
  <si>
    <t>match_name</t>
  </si>
  <si>
    <t>match_date_start</t>
  </si>
  <si>
    <t>match_duration</t>
  </si>
  <si>
    <t>match_date_end</t>
  </si>
  <si>
    <t>match_tournament</t>
  </si>
  <si>
    <t>match_studio</t>
  </si>
  <si>
    <t>match_channel</t>
  </si>
  <si>
    <t>match_premier_status</t>
  </si>
  <si>
    <t>match_login_gating</t>
  </si>
  <si>
    <t>match_drm</t>
  </si>
  <si>
    <t>match_priority_level</t>
  </si>
  <si>
    <t>match_type</t>
  </si>
  <si>
    <t>match_coverage</t>
  </si>
  <si>
    <t>match_stream_id</t>
  </si>
  <si>
    <t>match_blocking_redirect</t>
  </si>
  <si>
    <t>match_kv_request</t>
  </si>
  <si>
    <t>match_picture_asset</t>
  </si>
  <si>
    <t>match_design_output</t>
  </si>
  <si>
    <t>match_design_thumbnail_vita</t>
  </si>
  <si>
    <t>team_home</t>
  </si>
  <si>
    <t>team_away</t>
  </si>
  <si>
    <t>match_group</t>
  </si>
  <si>
    <t>match_main_genre</t>
  </si>
  <si>
    <t>match_genre</t>
  </si>
  <si>
    <t>match_content_type</t>
  </si>
  <si>
    <t>match_age_rating</t>
  </si>
  <si>
    <t>match_event</t>
  </si>
  <si>
    <t>match_organization</t>
  </si>
  <si>
    <t>match_tags</t>
  </si>
  <si>
    <t>match_description</t>
  </si>
  <si>
    <t>match_svod_to_avod</t>
  </si>
  <si>
    <t>match_brand_thumbnail</t>
  </si>
  <si>
    <t>match_brand_grande_homepage</t>
  </si>
  <si>
    <t>match_brand_grande_sports</t>
  </si>
  <si>
    <t>match_notes</t>
  </si>
  <si>
    <t>match_status</t>
  </si>
  <si>
    <t>match_stage</t>
  </si>
  <si>
    <t>match_epg_id</t>
  </si>
  <si>
    <t>match_people</t>
  </si>
  <si>
    <t>match_performance_driver</t>
  </si>
  <si>
    <t>match_gender</t>
  </si>
  <si>
    <t>match_plays</t>
  </si>
  <si>
    <t>match_watchers</t>
  </si>
  <si>
    <t>match_watch_durations</t>
  </si>
  <si>
    <t>match_sub_attr</t>
  </si>
  <si>
    <t>match_gross_adds</t>
  </si>
  <si>
    <t>match_performance</t>
  </si>
  <si>
    <t>match_peak_ccu</t>
  </si>
  <si>
    <t>match_avg_watch_duration</t>
  </si>
  <si>
    <t>match_design_pic</t>
  </si>
  <si>
    <t>match_parent</t>
  </si>
  <si>
    <t>match_parent_id</t>
  </si>
  <si>
    <t>match_total_play</t>
  </si>
  <si>
    <t>match_total_watchers</t>
  </si>
  <si>
    <t>match_total_watch_durations</t>
  </si>
  <si>
    <t>match_total_gross_adds</t>
  </si>
  <si>
    <t>match_total_perfomance</t>
  </si>
  <si>
    <t>match_show_stream</t>
  </si>
  <si>
    <t>match_show_design</t>
  </si>
  <si>
    <t>match_show_perfomance</t>
  </si>
  <si>
    <t>match_exclusive</t>
  </si>
  <si>
    <t>match_column_edited</t>
  </si>
  <si>
    <t>match_edited_by</t>
  </si>
  <si>
    <t>match_date_created</t>
  </si>
  <si>
    <t>match_date_edited</t>
  </si>
  <si>
    <t>match_design_updated</t>
  </si>
  <si>
    <t>match_stream_updated</t>
  </si>
  <si>
    <t>match_stream_updated_by</t>
  </si>
  <si>
    <t>match_recording_type</t>
  </si>
  <si>
    <t>match_recording_location</t>
  </si>
  <si>
    <t>match_priority_marketing</t>
  </si>
  <si>
    <t>match_notes_priority_marketing</t>
  </si>
  <si>
    <t>match_url_priority_marketing</t>
  </si>
  <si>
    <t>match_blocking_country</t>
  </si>
  <si>
    <t>match_category_sales</t>
  </si>
  <si>
    <t>match_design_thumbnail_url</t>
  </si>
  <si>
    <t>match_design_thumbnail_vita_url</t>
  </si>
  <si>
    <t>match_design_grande_url</t>
  </si>
  <si>
    <t>match_design_subheadline_url</t>
  </si>
  <si>
    <t>match_design_breakingbanner_url</t>
  </si>
  <si>
    <t>match_people_home</t>
  </si>
  <si>
    <t>match_people_home_pair</t>
  </si>
  <si>
    <t>match_people_away</t>
  </si>
  <si>
    <t>match_people_away_pair</t>
  </si>
  <si>
    <t>fda559b6</t>
  </si>
  <si>
    <t>Naoya Inoue vs Ye Joon Kim - Undisputed Super Bantamweight Championship</t>
  </si>
  <si>
    <t>Top Rank Boxing</t>
  </si>
  <si>
    <t>CTV 1</t>
  </si>
  <si>
    <t>PLATINUM</t>
  </si>
  <si>
    <t>Low</t>
  </si>
  <si>
    <t>LIVE</t>
  </si>
  <si>
    <t>INDONESIA</t>
  </si>
  <si>
    <t>https://www.vidio.com/live/6685-champions-tv-1?schedule_id=4017120</t>
  </si>
  <si>
    <t>THUMBNAIL</t>
  </si>
  <si>
    <t>https://drive.google.com/drive/folders/1DUdtkLNpEeAmiwMjMVyoJ5qSPRFBQapG</t>
  </si>
  <si>
    <t>https://drive.google.com/drive/folders/1VyOjcObh3o7rmCXJ21FBKYbAaSK3SCW2</t>
  </si>
  <si>
    <t>Sports &gt; Boxing &gt; Top Rank Boxing</t>
  </si>
  <si>
    <t>Boxing</t>
  </si>
  <si>
    <t>Full Match</t>
  </si>
  <si>
    <t>18 or more</t>
  </si>
  <si>
    <t>Nonton streaming pertandingan seru Naoya Inoue vs Ye Joon Kim - Undisputed Super Bantamweight Championship. Saksikan aksi-aksi terbaik dari tim yang bersaing ketat untuk meraih kemenangan. Dapatkan informasi lengkap mengenai jadwal pertandingan dan hasil pertandingan terbaru hanya di Vidio.</t>
  </si>
  <si>
    <t>Published</t>
  </si>
  <si>
    <t>Matchday 1</t>
  </si>
  <si>
    <t>Men</t>
  </si>
  <si>
    <t>Bronze</t>
  </si>
  <si>
    <t>vikardo.zaknel@vidio.com</t>
  </si>
  <si>
    <t>match_date_start,</t>
  </si>
  <si>
    <t>mulki.rachman@intern.vidio.com</t>
  </si>
  <si>
    <t>https://drive.google.com/file/d/1ugiYxMU51AU6uz_CBnz4uwd1HfhZfZ8z/view?usp=sharing</t>
  </si>
  <si>
    <t>c731d44d</t>
  </si>
  <si>
    <t>Denys Berinchyk vs Keyshawn Davis - World Lightweight Championship</t>
  </si>
  <si>
    <t>https://www.vidio.com/live/6685-champions-tv-1?schedule_id=4075107</t>
  </si>
  <si>
    <t>https://drive.google.com/drive/folders/1wVQUb41xXAO8dnui_2ec9ife6JPpHbcr</t>
  </si>
  <si>
    <t>https://drive.google.com/drive/folders/17Oi7qfz-iB5iNNSQKbyCNx9iJ1a_npwB?usp=drive_link</t>
  </si>
  <si>
    <t>Nonton streaming pertandingan seru Denys Berinchyk vs Keyshawn Davis - World Lightweight Championship. Saksikan aksi-aksi terbaik dari tim yang bersaing ketat untuk meraih kemenangan. Dapatkan informasi lengkap mengenai jadwal pertandingan dan hasil pertandingan terbaru hanya di Vidio.</t>
  </si>
  <si>
    <t>Matchday 2</t>
  </si>
  <si>
    <t>muhammad.rizky@vidio.com</t>
  </si>
  <si>
    <t>mutiara.salha@vidio.com</t>
  </si>
  <si>
    <t>https://drive.google.com/file/d/1dAlP8Qa0B2DSqI1gIgQTx_t3qK--Cv6b/view?usp=sharing</t>
  </si>
  <si>
    <t>5ab2f129</t>
  </si>
  <si>
    <t>Saudi Arabia vs Indonesia - FIFA Women's Matchday</t>
  </si>
  <si>
    <t>FIFA Women's Match Day 2025</t>
  </si>
  <si>
    <t>VIDIO - @indosiar</t>
  </si>
  <si>
    <t>Medium</t>
  </si>
  <si>
    <t>https://www.vidio.com/live/18388-fifa-women-s-matchday?schedule_id=4086954</t>
  </si>
  <si>
    <t>GRANDE , SUBHEADLINE , THUMBNAIL</t>
  </si>
  <si>
    <t>https://drive.google.com/drive/folders/15Tcv9uZDWo5ajrkTm9wh-dbGXpnvM4VQ</t>
  </si>
  <si>
    <t>https://drive.google.com/drive/folders/1VC7MW-u6-dGRrY2aVuEK1lFh1vWOTo08</t>
  </si>
  <si>
    <t>Sports &gt; Football &gt; Timnas Friendly Match</t>
  </si>
  <si>
    <t>Football</t>
  </si>
  <si>
    <t>13 or more</t>
  </si>
  <si>
    <t>friendly match</t>
  </si>
  <si>
    <t>FIFA; AFC; PSSI</t>
  </si>
  <si>
    <t>Nonton streaming pertandingan seru Saudi Arabia vs Indonesia - FIFA Women's Matchday. Saksikan aksi-aksi terbaik dari tim yang bersaing ketat untuk meraih kemenangan. Dapatkan informasi lengkap mengenai jadwal pertandingan dan hasil pertandingan terbaru hanya di Vidio.</t>
  </si>
  <si>
    <t>Women</t>
  </si>
  <si>
    <t>putri.arifira@vidio.com</t>
  </si>
  <si>
    <t>zahra.handoko@vidio.com</t>
  </si>
  <si>
    <t>https://drive.google.com/file/d/1UTTPvP3dFUSZX6boZ_QqTkyqHHrU1yng/view?usp=sharing</t>
  </si>
  <si>
    <t>https://drive.google.com/file/d/1nP2GsyL8K3WAP-zsh-RUfq-UIK8sQUoC/view?usp=drive_link</t>
  </si>
  <si>
    <t>https://drive.google.com/file/d/1TdPhGH0sPIoaGXXGQj1fF17NGeRQMgS1/view?usp=sharing</t>
  </si>
  <si>
    <t>173ab3ef</t>
  </si>
  <si>
    <t>Junto Nakatani vs David Cuellar - WBC Bantamweight Championship</t>
  </si>
  <si>
    <t>https://www.vidio.com/live/6685-champions-tv-1?schedule_id=4096136</t>
  </si>
  <si>
    <t>https://app.box.com/s/4tugtowqeq3r3il2coczg4a8r53rxvyv</t>
  </si>
  <si>
    <t>https://drive.google.com/drive/folders/1d7xx308efQJuSloYvCFiOvwDWTCsaSAi?usp=drive_link</t>
  </si>
  <si>
    <t>Nonton streaming pertandingan seru Junto Nakatani vs David Cuellar - WBC Bantamweight Championship. Saksikan aksi-aksi terbaik dari tim yang bersaing ketat untuk meraih kemenangan. Dapatkan informasi lengkap mengenai jadwal pertandingan dan hasil pertandingan terbaru hanya di Vidio.</t>
  </si>
  <si>
    <t>Matchday 3</t>
  </si>
  <si>
    <t>reza.syafruddiansyah@vidio.com</t>
  </si>
  <si>
    <t>irza.lailatuzahra@vidio.com</t>
  </si>
  <si>
    <t>https://drive.google.com/file/d/1eOfv0QppiSVpEbyy9xEDp4f_B53pIMmB/view?usp=sharing</t>
  </si>
  <si>
    <t>c4212624</t>
  </si>
  <si>
    <t>Kenshiro Teraji vs Seigo Yuri Akui - Fly Weight</t>
  </si>
  <si>
    <t>https://www.vidio.com/live/6685-champions-tv-1?schedule_id=4137962</t>
  </si>
  <si>
    <t>https://drive.google.com/drive/folders/11HrwHy44_YWaHUY26iszRpNqFvSfttuk</t>
  </si>
  <si>
    <t>Nonton streaming pertandingan seru Kenshiro Teraji vs Seigo Yuri Akui - Fly Weight. Saksikan aksi-aksi terbaik dari tim yang bersaing ketat untuk meraih kemenangan. Dapatkan informasi lengkap mengenai jadwal pertandingan dan hasil pertandingan terbaru hanya di Vidio.</t>
  </si>
  <si>
    <t>Matchday 4</t>
  </si>
  <si>
    <t>joshua.tradana@vidio.com</t>
  </si>
  <si>
    <t>https://drive.google.com/file/d/1KaROuUIxxo92ua-wKbkQEibKmuQJw-Kx/view?usp=sharing</t>
  </si>
  <si>
    <t>https://drive.google.com/file/d/1DUdRkj4-M_JID6CsqXEXzXGEWRkDke-p/view?usp=sharing</t>
  </si>
  <si>
    <t>37f551a3</t>
  </si>
  <si>
    <t>Mikaela Mayer vs Sandy Ryan - WBO Welterweight Championship</t>
  </si>
  <si>
    <t>https://www.vidio.com/live/6685-champions-tv-1?schedule_id=4178294</t>
  </si>
  <si>
    <t>https://drive.google.com/drive/folders/1497gRY3A2mD-68yM72SF5WT_RKK3qq7q</t>
  </si>
  <si>
    <t>https://drive.google.com/drive/u/0/folders/1vzleFiqa5MrI7uKkL9wQIO_0JKV9nLxH</t>
  </si>
  <si>
    <t>sports stream</t>
  </si>
  <si>
    <t>Nonton streaming pertandingan seru Mikaela Mayer vs Sandy Ryan - WBO Welterweight Championship. Saksikan aksi-aksi terbaik dari tim yang bersaing ketat untuk meraih kemenangan. Dapatkan informasi lengkap mengenai jadwal pertandingan dan hasil pertandingan terbaru hanya di Vidio.</t>
  </si>
  <si>
    <t>Matchday 5</t>
  </si>
  <si>
    <t>muhammad.fauzan@vidio.com</t>
  </si>
  <si>
    <t>https://drive.google.com/file/d/1RxCsb41CnmgDfRMjjoCTwyr4DwVPHb7K/view?usp=sharing</t>
  </si>
  <si>
    <t>https://drive.google.com/file/d/11LqeKThq8BB38alNtrFkxkhPxl2pSpFi/view?usp=sharing</t>
  </si>
  <si>
    <t>c9376bce</t>
  </si>
  <si>
    <t>Richard Torrez Jr. vs Guido Vianello - Heavyweight Showdown</t>
  </si>
  <si>
    <t>https://www.vidio.com/live/6685-champions-tv-1?schedule_id=4194583</t>
  </si>
  <si>
    <t>https://drive.google.com/drive/folders/1Efupir26sUywCSDF76rnpkfjVpsiFaeT</t>
  </si>
  <si>
    <t>Nonton streaming pertandingan seru Richard Torrez Jr. vs Guido Vianello - Heavyweight Showdown. Saksikan aksi-aksi terbaik dari tim yang bersaing ketat untuk meraih kemenangan. Dapatkan informasi lengkap mengenai jadwal pertandingan dan hasil pertandingan terbaru hanya di Vidio.</t>
  </si>
  <si>
    <t>Matchday 6</t>
  </si>
  <si>
    <t>https://drive.google.com/file/d/1RTQ1RGWcCnHEwKO82Up4Z4wL8U8ieCha/view?usp=sharing</t>
  </si>
  <si>
    <t>https://drive.google.com/file/d/1bttJ8aEF9e2_T4F5pDI-YzBFR7wBy3p4/view?usp=sharing</t>
  </si>
  <si>
    <t>43425c4a</t>
  </si>
  <si>
    <t>Naoya Inoue vs Ramon Cardenas - Undisputed Junior Featherweight World Title</t>
  </si>
  <si>
    <t>https://www.vidio.com/live/6685-champions-tv-1?schedule_id=4260576</t>
  </si>
  <si>
    <t>https://drive.google.com/drive/folders/1OhRO-ci8P6Y9OR8ceupHTPmO87opyfnk</t>
  </si>
  <si>
    <t>Nonton streaming pertandingan seru Naoya Inoue vs Ramon Cardenas - Undisputed Junior Featherweight World Title. Saksikan aksi-aksi terbaik dari tim yang bersaing ketat untuk meraih kemenangan. Dapatkan informasi lengkap mengenai jadwal pertandingan dan hasil pertandingan terbaru hanya di Vidio.</t>
  </si>
  <si>
    <t>Matchday 7</t>
  </si>
  <si>
    <t>muhammad.iqbal@vidio.com</t>
  </si>
  <si>
    <t>https://drive.google.com/file/d/1hT0Uysbiq4NNm9tCdq34lqQvf39Q2gxs/view?usp=sharing</t>
  </si>
  <si>
    <t>https://drive.google.com/file/d/1LfsBJnhM7cvHHSRSCuxM5XaAOEOGWCaP/view?usp=sharing</t>
  </si>
  <si>
    <t>b319fa56</t>
  </si>
  <si>
    <t>Keyshawn Davis vs Edwin De Los Santos - WBO Lightweight</t>
  </si>
  <si>
    <t>https://www.vidio.com/live/6685-champions-tv-1?schedule_id=4340224</t>
  </si>
  <si>
    <t>https://drive.google.com/drive/folders/1CBZ_erW2diG8L8rq1ybumdHKU2H2YsJO</t>
  </si>
  <si>
    <t>https://drive.google.com/drive/folders/1TKcB-v6pU56l7KiZ3TesuJZkbZaIJnOX?usp=drive_link</t>
  </si>
  <si>
    <t>Nonton streaming pertandingan seru Keyshawn Davis vs Edwin De Los Santos - WBO Lightweight. Saksikan aksi-aksi terbaik dari tim yang bersaing ketat untuk meraih kemenangan. Dapatkan informasi lengkap mengenai jadwal pertandingan dan hasil pertandingan terbaru hanya di Vidio.</t>
  </si>
  <si>
    <t>Jam nya masih tbc ya manteman</t>
  </si>
  <si>
    <t>Matchday 8</t>
  </si>
  <si>
    <t>atharifat.gandi@intern.vidio.com</t>
  </si>
  <si>
    <t>angga.jullyansyah@vidio.com</t>
  </si>
  <si>
    <t>https://drive.google.com/file/d/1EDeZUYabUwMMSgJ9EPQvklVnwSuZFxmh/view?usp=sharing</t>
  </si>
  <si>
    <t>https://drive.google.com/file/d/1wc8iRWW_rOwFcQS8SqE2_DKK-9Cj_SI0/view?usp=sharing</t>
  </si>
  <si>
    <t>dc169e36</t>
  </si>
  <si>
    <t>Charly Suarez vs Emanuel Navarrete - WBO Jr. Lightweight Championship</t>
  </si>
  <si>
    <t>https://www.vidio.com/live/6685-champions-tv-1?schedule_id=4275198</t>
  </si>
  <si>
    <t>https://drive.google.com/drive/folders/1L80LpJglVG6kTpmObnYluOoaHfnbgHmU</t>
  </si>
  <si>
    <t>Nonton streaming pertandingan seru Charly Suarez vs Emanuel Navarrete - WBO Jr. Lightweight Championship. Saksikan aksi-aksi terbaik dari tim yang bersaing ketat untuk meraih kemenangan. Dapatkan informasi lengkap mengenai jadwal pertandingan dan hasil pertandingan terbaru hanya di Vidio.</t>
  </si>
  <si>
    <t>Matchday 9</t>
  </si>
  <si>
    <t>https://drive.google.com/file/d/1PlH1SU0ZDx5IcP_92_Jp_lkfvA_Z5Hj1/view?usp=sharing</t>
  </si>
  <si>
    <t>https://drive.google.com/file/d/19K2V1pFj86WRjKfmWYV3X145gX-PDfE2/view?usp=sharing</t>
  </si>
  <si>
    <t>ee01eab0</t>
  </si>
  <si>
    <t>Sirkuit Nasional Bulutangkis 2025 - Jakarta: Final</t>
  </si>
  <si>
    <t>Sirkuit Nasional Bulutangkis 2025</t>
  </si>
  <si>
    <t>VIDIO - @badmintonindonesia</t>
  </si>
  <si>
    <t>FREE</t>
  </si>
  <si>
    <t>https://www.vidio.com/live/18832-sirkuit-nasional-bulutangkis-2025-jakarta-final?schedule_id=4320531</t>
  </si>
  <si>
    <t>https://drive.google.com/drive/folders/1mvSV5QEQqsjXtz9K4IZTJMMRamr1sMpm?usp=drive_link</t>
  </si>
  <si>
    <t>Sports &gt; Badminton &gt; Sirkuit Nasional Bulutangkis</t>
  </si>
  <si>
    <t>Badminton</t>
  </si>
  <si>
    <t>Sirkuit Nasional Bulutangkis; Sirkuit Nasional Bulutangkis 2025</t>
  </si>
  <si>
    <t>PBSI</t>
  </si>
  <si>
    <t>Nonton streaming pertandingan seru Sirkuit Nasional Bulutangkis 2025 - Jakarta: Final. Saksikan aksi-aksi terbaik dari tim yang bersaing ketat untuk meraih kemenangan. Dapatkan informasi lengkap mengenai jadwal pertandingan dan hasil pertandingan terbaru hanya di Vidio.</t>
  </si>
  <si>
    <t>Final</t>
  </si>
  <si>
    <t>Mixed</t>
  </si>
  <si>
    <t>match_channel,</t>
  </si>
  <si>
    <t>mohammad.suprayogi@vidio.com</t>
  </si>
  <si>
    <t>https://drive.google.com/file/d/1YtiJbNWo-qCe0pkcpX60mqQA3DZjaacV/view?usp=sharing</t>
  </si>
  <si>
    <t>https://drive.google.com/file/d/1LNGhzPc7JlRNrd9Xd4EWlFlBc55YSgzs/view?usp=sharing</t>
  </si>
  <si>
    <t>e93500ff</t>
  </si>
  <si>
    <t>Sirkuit Nasional Bulutangkis 2025 - Pontianak: Final</t>
  </si>
  <si>
    <t>https://www.vidio.com/live/18832-sirkuit-nasional-bulutangkis-2025-pontianak-final?schedule_id=4353006</t>
  </si>
  <si>
    <t>https://drive.google.com/drive/folders/1YSKPa2awgi9TkFqbCdidx_w9LayZQ5LO?usp=drive_link</t>
  </si>
  <si>
    <t>Nonton streaming pertandingan seru Sirkuit Nasional Bulutangkis 2025 - Pontianak: Final. Saksikan aksi-aksi terbaik dari tim yang bersaing ketat untuk meraih kemenangan. Dapatkan informasi lengkap mengenai jadwal pertandingan dan hasil pertandingan terbaru hanya di Vidio.</t>
  </si>
  <si>
    <t>https://drive.google.com/file/d/1FJnF0q1zAF86xayxGvIB9DSJOfzjRf6c/view?usp=sharing</t>
  </si>
  <si>
    <t>https://drive.google.com/file/d/1XdtAH6P8MTf6kJ5RYoo7kT51-FbUguG2/view?usp=sharing</t>
  </si>
  <si>
    <t>f700e2fe</t>
  </si>
  <si>
    <t>Bangladesh vs  Indonesia - FIFA Women's Matchday</t>
  </si>
  <si>
    <t>https://www.vidio.com/live/18388-fifa-women-s-matchday?schedule_id=4317069</t>
  </si>
  <si>
    <t>INDOSIAR</t>
  </si>
  <si>
    <t>https://drive.google.com/drive/folders/1eES5Ec-hG7PoBKezolhk7Qj4KMT9BUSF?usp=drive_link</t>
  </si>
  <si>
    <t>Nonton streaming pertandingan seru Bangladesh vs  Indonesia - FIFA Women's Matchday. Saksikan aksi-aksi terbaik dari tim yang bersaing ketat untuk meraih kemenangan. Dapatkan informasi lengkap mengenai jadwal pertandingan dan hasil pertandingan terbaru hanya di Vidio.</t>
  </si>
  <si>
    <t>mochamad.hariyono@vidio.com</t>
  </si>
  <si>
    <t>match_name,</t>
  </si>
  <si>
    <t>herfianto@vidio.com</t>
  </si>
  <si>
    <t>https://drive.google.com/file/d/1WkP7bPz9hd0sS5ej7hr6lIUKJEimrTT7/view?usp=sharing</t>
  </si>
  <si>
    <t>https://drive.google.com/file/d/1i86dT8jHHqiSf9Xq_KIcHaGJ1hCENsh3/view?usp=sharing</t>
  </si>
  <si>
    <t>f27860bd</t>
  </si>
  <si>
    <t>Sirkuit Nasional Bulutangkis 2025 - Solo: Final</t>
  </si>
  <si>
    <t>https://www.vidio.com/live/18832-sirkuit-nasional-bulutangkis-2025-solo-final?schedule_id=4367069</t>
  </si>
  <si>
    <t>https://drive.google.com/drive/folders/1TEuY51wtoeVRszn29bhQoRty-eZXELk3</t>
  </si>
  <si>
    <t>Nonton streaming pertandingan seru Sirkuit Nasional Bulutangkis 2025 - Solo: Final. Saksikan aksi-aksi terbaik dari tim yang bersaing ketat untuk meraih kemenangan. Dapatkan informasi lengkap mengenai jadwal pertandingan dan hasil pertandingan terbaru hanya di Vidio.</t>
  </si>
  <si>
    <t>https://drive.google.com/file/d/1zt03pESkCne3OHxs9JmBosVPO9-z61fJ/view?usp=sharing</t>
  </si>
  <si>
    <t>https://drive.google.com/file/d/1DE19_1Ibcwmy2duj0Sjn_iXF1VoyPvFs/view?usp=sharing</t>
  </si>
  <si>
    <t>402e8b21</t>
  </si>
  <si>
    <t>Sirkuit Nasional Bulutangkis 2025 - Babel: Final</t>
  </si>
  <si>
    <t>https://www.vidio.com/live/18832-sirkuit-nasional-bulutangkis-2025?schedule_id=4378011</t>
  </si>
  <si>
    <t>https://drive.google.com/drive/folders/1QB8sCe6UFcqxfdYmhSsyJrw57iUPqJd5</t>
  </si>
  <si>
    <t>Nonton streaming pertandingan seru Sirkuit Nasional Bulutangkis 2025 - Babel: Final. Saksikan aksi-aksi terbaik dari tim yang bersaing ketat untuk meraih kemenangan. Dapatkan informasi lengkap mengenai jadwal pertandingan dan hasil pertandingan terbaru hanya di Vidio.</t>
  </si>
  <si>
    <t>Canceled</t>
  </si>
  <si>
    <t/>
  </si>
  <si>
    <t>https://drive.google.com/file/d/1lhWoPg8NFtHARS6jgtgVwOrwCfp0oCLK/view?usp=sharing</t>
  </si>
  <si>
    <t>https://drive.google.com/file/d/1bHEgxGBbB61iigDHs169VK_7U8ocq52g/view?usp=sharing</t>
  </si>
  <si>
    <t>62596ff4</t>
  </si>
  <si>
    <t>Liverpool vs Bournemouth - Premier League</t>
  </si>
  <si>
    <t>Premier League 2025/26</t>
  </si>
  <si>
    <t>CTV 5</t>
  </si>
  <si>
    <t>ULTIMATE</t>
  </si>
  <si>
    <t>INDONESIA , TIMOR LESTE</t>
  </si>
  <si>
    <t>https://www.vidio.com/live/9182-champions-tv-5?schedule_id=4496794</t>
  </si>
  <si>
    <t>PLTV</t>
  </si>
  <si>
    <t>https://drive.google.com/drive/folders/1ygueBT-sIm7qR7y0rJG3V3JEkjNpWT3A?usp=drive_link</t>
  </si>
  <si>
    <t>https://drive.google.com/drive/folders/1ZnBlExIc16jpQRJ5yiF_rjC2Vw5bQFo5?usp=drive_link</t>
  </si>
  <si>
    <t>Liverpool</t>
  </si>
  <si>
    <t>AFC Bournemouth</t>
  </si>
  <si>
    <t>Sports &gt; Football &gt; Premier League</t>
  </si>
  <si>
    <t>Premier League; Premier League 2025/26</t>
  </si>
  <si>
    <t>FIFA; UEFA; European Leagues; The FA</t>
  </si>
  <si>
    <t>liverpool fc; afc bournemouth; sports stream</t>
  </si>
  <si>
    <t>Nonton streaming pertandingan seru Liverpool vs Bournemouth - Premier League. Saksikan aksi-aksi terbaik dari tim yang bersaing ketat untuk meraih kemenangan. Dapatkan informasi lengkap mengenai jadwal pertandingan dan hasil pertandingan terbaru hanya di Vidio.</t>
  </si>
  <si>
    <t>LIVE FEED: 01:30 WIB
LIV: FLORIAN WRITZ &amp; MO SALAH
BOU: EVANILSON &amp; TYLER ADAMS</t>
  </si>
  <si>
    <t>ryanda.saputra@vidio.com</t>
  </si>
  <si>
    <t>Per Babak</t>
  </si>
  <si>
    <t>A2 , B2</t>
  </si>
  <si>
    <t>Big</t>
  </si>
  <si>
    <t>NTC</t>
  </si>
  <si>
    <t>https://3.basecamp.com/4902751/buckets/36763424/card_tables/cards/8911568443</t>
  </si>
  <si>
    <t>Big Match</t>
  </si>
  <si>
    <t>https://drive.google.com/file/d/14BWnSMkBDqfi-A06IvRX3C9t5Q7xZvQS/view?usp=sharing</t>
  </si>
  <si>
    <t>https://drive.google.com/file/d/14XCF4RqPFI3y1Ah-vqmkISKKaR6CIDmY/view?usp=drive_link</t>
  </si>
  <si>
    <t>https://drive.google.com/file/d/1XctpZpP10t2jKQEuwIhrN7vBwX3fTJce/view?usp=sharing</t>
  </si>
  <si>
    <t>5b8f9307</t>
  </si>
  <si>
    <t>Aston Villa vs Newcastle - Premier League</t>
  </si>
  <si>
    <t>https://www.vidio.com/live/9182-champions-tv-5?schedule_id=4496978</t>
  </si>
  <si>
    <t>https://drive.google.com/drive/folders/18MXYpsZbNxwOri3Pqobk65w0svsAAGTl?usp=drive_link</t>
  </si>
  <si>
    <t>Aston Villa</t>
  </si>
  <si>
    <t>Newcastle United</t>
  </si>
  <si>
    <t>aston villa fc; newcastle united fc; sports stream</t>
  </si>
  <si>
    <t>Nonton streaming pertandingan seru Aston Villa vs Newcastle - Premier League. Saksikan aksi-aksi terbaik dari tim yang bersaing ketat untuk meraih kemenangan. Dapatkan informasi lengkap mengenai jadwal pertandingan dan hasil pertandingan terbaru hanya di Vidio.</t>
  </si>
  <si>
    <t>LIVE FEED: 17:30
AVL: TIELEMANS &amp; MAATSEN
NEW: TONALI &amp; GUIMARAES</t>
  </si>
  <si>
    <t>Silver</t>
  </si>
  <si>
    <t>A1 , B1</t>
  </si>
  <si>
    <t>Seru Match</t>
  </si>
  <si>
    <t>https://drive.google.com/file/d/1CqGi9swzIHv0kZeW4XqqoxJ0Fx-18ejx/view?usp=sharing</t>
  </si>
  <si>
    <t>https://drive.google.com/file/d/1CTkCdJpm5uonpYgDXsjYQjQvvR1y0LPo/view?usp=drive_link</t>
  </si>
  <si>
    <t>https://drive.google.com/file/d/16t_VxLjqPQZ_nWVQIbyhlyfzE1g9S-rv/view?usp=sharing</t>
  </si>
  <si>
    <t>eac492ac</t>
  </si>
  <si>
    <t>Brighton vs Fulham - Premier League</t>
  </si>
  <si>
    <t>CTV 6</t>
  </si>
  <si>
    <t>https://www.vidio.com/live/9183-champions-tv-6?schedule_id=4496991</t>
  </si>
  <si>
    <t>https://drive.google.com/drive/folders/1Nsf__N9nJx4NHnVVXcJPlrKEBEUKuRtJ?usp=drive_link</t>
  </si>
  <si>
    <t>Brighton and Hove Albion</t>
  </si>
  <si>
    <t>Fulham</t>
  </si>
  <si>
    <t>brighton &amp; hove albion fc; fulham fc; sports stream</t>
  </si>
  <si>
    <t>Nonton streaming pertandingan seru Brighton vs Fulham - Premier League. Saksikan aksi-aksi terbaik dari tim yang bersaing ketat untuk meraih kemenangan. Dapatkan informasi lengkap mengenai jadwal pertandingan dan hasil pertandingan terbaru hanya di Vidio.</t>
  </si>
  <si>
    <t>LIVE FEED: 20:30 WIB
BHA: MITOMA &amp; WELBECK
FUL: IWOBI &amp; JIMENEZ</t>
  </si>
  <si>
    <t>https://drive.google.com/file/d/1FhmvPGHyvD-PoTZGaumTJPX2F4lhdBhO/view?usp=sharing</t>
  </si>
  <si>
    <t>https://drive.google.com/file/d/1u7urkJZO1vLHtTS-owvRJJO_htsx4PBv/view?usp=drive_link</t>
  </si>
  <si>
    <t>https://drive.google.com/file/d/1TSwARQLSL4TsOiL3Ir3opkULu5iHYddq/view?usp=sharing</t>
  </si>
  <si>
    <t>f3c853ee</t>
  </si>
  <si>
    <t>Nottingham Forest vs Brentford - Premier League</t>
  </si>
  <si>
    <t>https://www.vidio.com/live/9183-champions-tv-6?schedule_id=4499322</t>
  </si>
  <si>
    <t>https://drive.google.com/drive/folders/101x8xptfl9058SrlvlZRDAvHhNjOCizF?usp=drive_link</t>
  </si>
  <si>
    <t>Nottingham Forest</t>
  </si>
  <si>
    <t>Brentford</t>
  </si>
  <si>
    <t>nottingham forest fc; brentford fc; sports stream</t>
  </si>
  <si>
    <t>Nonton streaming pertandingan seru Nottingham Forest vs Brentford - Premier League. Saksikan aksi-aksi terbaik dari tim yang bersaing ketat untuk meraih kemenangan. Dapatkan informasi lengkap mengenai jadwal pertandingan dan hasil pertandingan terbaru hanya di Vidio.</t>
  </si>
  <si>
    <t>LIVE FEED: 19:30
NFO: HUDSON ODOI &amp; WOOD
BRE: COLLINS &amp; HENDERSON</t>
  </si>
  <si>
    <t>https://drive.google.com/file/d/1uXmyd0Cl7TtK9Ca97VQyNWyeKtc-oPsT/view?usp=sharing</t>
  </si>
  <si>
    <t>https://drive.google.com/file/d/1crkmtZlo7KKVZs4ocxZluh8XJ03UPvFD/view?usp=drive_link</t>
  </si>
  <si>
    <t>https://drive.google.com/file/d/1dY1K8l_ymgiYmLwLQkCepsrs2HDufsxQ/view?usp=sharing</t>
  </si>
  <si>
    <t>75517ea8</t>
  </si>
  <si>
    <t>Wolves vs Man City - Premier League</t>
  </si>
  <si>
    <t>https://www.vidio.com/live/9182-champions-tv-5?schedule_id=4496981</t>
  </si>
  <si>
    <t>SCTV , PLTV</t>
  </si>
  <si>
    <t>https://drive.google.com/drive/folders/1mc7uEEOYbbizHvvQhOhkjDrQsaNsAIXZ</t>
  </si>
  <si>
    <t>Wolverhampton Wanderers</t>
  </si>
  <si>
    <t>Manchester City</t>
  </si>
  <si>
    <t>wolverhampton wanderers fc; manchester city fc; sports stream</t>
  </si>
  <si>
    <t>Nonton streaming pertandingan seru Wolves vs Man City - Premier League. Saksikan aksi-aksi terbaik dari tim yang bersaing ketat untuk meraih kemenangan. Dapatkan informasi lengkap mengenai jadwal pertandingan dan hasil pertandingan terbaru hanya di Vidio.</t>
  </si>
  <si>
    <t>WOL: STRAND LARSEN &amp; BELLEGARDE
MCI: TIJJANI &amp; HAALAND</t>
  </si>
  <si>
    <t>https://3.basecamp.com/4902751/buckets/36763424/card_tables/cards/8914951545</t>
  </si>
  <si>
    <t>https://drive.google.com/file/d/1v75r8hXZHzPSZR-_1ax8owWOqBtbMWIQ/view?usp=sharing</t>
  </si>
  <si>
    <t>https://drive.google.com/file/d/11Fkof9N6DdBfBRF4WqwYqHrFtcCDf9Rz/view?usp=drive_link</t>
  </si>
  <si>
    <t>https://drive.google.com/file/d/1Z01DY8iY8vb3rs7q_U9635PZWFPbqUBA/view?usp=sharing</t>
  </si>
  <si>
    <t>2c93e6c3</t>
  </si>
  <si>
    <t>Chelsea vs Crystal Palace - Premier League</t>
  </si>
  <si>
    <t>https://www.vidio.com/live/9182-champions-tv-5?schedule_id=4501545</t>
  </si>
  <si>
    <t>https://drive.google.com/drive/folders/129B1-_RQkaxTEk0QZDePyAcDXT_Aj2QE?usp=drive_link</t>
  </si>
  <si>
    <t>Chelsea</t>
  </si>
  <si>
    <t>Crystal Palace</t>
  </si>
  <si>
    <t>chelsea fc; crystal palace fc; sports stream</t>
  </si>
  <si>
    <t>Nonton streaming pertandingan seru Chelsea vs Crystal Palace - Premier League. Saksikan aksi-aksi terbaik dari tim yang bersaing ketat untuk meraih kemenangan. Dapatkan informasi lengkap mengenai jadwal pertandingan dan hasil pertandingan terbaru hanya di Vidio.</t>
  </si>
  <si>
    <t>LIVE FEED: 19:00
CHE: PALMER &amp; JOAO PEDRO
CRY: EZE &amp; WHARTON</t>
  </si>
  <si>
    <t>luqman.arunanta@vidio.com</t>
  </si>
  <si>
    <t>https://3.basecamp.com/4902751/buckets/36763424/card_tables/cards/8914999283</t>
  </si>
  <si>
    <t>https://drive.google.com/file/d/145lMauHKsNLbW5TjkSLNYmAnnu6Bu3C5/view?usp=sharing</t>
  </si>
  <si>
    <t>https://drive.google.com/file/d/1toPT4tft2NvWR_AeRmxobUXLCjkBYwTV/view?usp=drive_link</t>
  </si>
  <si>
    <t>https://drive.google.com/file/d/1QTYKjmpKnlfaKwF8meFJh8X80gr8JwcA/view?usp=sharing</t>
  </si>
  <si>
    <t>8124f874</t>
  </si>
  <si>
    <t>Man United vs Arsenal - Premier League</t>
  </si>
  <si>
    <t>High</t>
  </si>
  <si>
    <t>https://www.vidio.com/live/9182-champions-tv-5?schedule_id=4496985</t>
  </si>
  <si>
    <t>https://drive.google.com/drive/folders/1P37jOo_R6bapBSwQzfTgvheAw0xNq1vm?usp=drive_link</t>
  </si>
  <si>
    <t>Manchester United</t>
  </si>
  <si>
    <t>Arsenal</t>
  </si>
  <si>
    <t>manchester united fc; arsenal fc; sports stream</t>
  </si>
  <si>
    <t>Nonton streaming pertandingan seru Man United vs Arsenal - Premier League. Saksikan aksi-aksi terbaik dari tim yang bersaing ketat untuk meraih kemenangan. Dapatkan informasi lengkap mengenai jadwal pertandingan dan hasil pertandingan terbaru hanya di Vidio.</t>
  </si>
  <si>
    <t>MUN: BRUNO FERNANDES &amp; CUNHA
ARS: RICE &amp; GYOKERES</t>
  </si>
  <si>
    <t>Diamond</t>
  </si>
  <si>
    <t>https://3.basecamp.com/4902751/buckets/36763424/card_tables/cards/8915029235</t>
  </si>
  <si>
    <t>Super Big Match</t>
  </si>
  <si>
    <t>https://drive.google.com/file/d/1mbtOiXrETy68VmD05h3Inj73DlhiJc5Q/view?usp=sharing</t>
  </si>
  <si>
    <t>https://drive.google.com/file/d/1GSwKHslwonujuM80aZytmfNuYLAOcfr-/view?usp=drive_link</t>
  </si>
  <si>
    <t>https://drive.google.com/file/d/10vqFrgpprIlQeGON_OJaXGSImB7uzfKP/view?usp=sharing</t>
  </si>
  <si>
    <t>8bddb340</t>
  </si>
  <si>
    <t>Bournemouth vs Wolves - Premier League</t>
  </si>
  <si>
    <t>https://www.vidio.com/live/9183-champions-tv-6?schedule_id=4512821</t>
  </si>
  <si>
    <t>https://drive.google.com/drive/folders/1ctoCbWA8_ibMlW8LmcBXgWg6KlveSMv9?usp=drive_link</t>
  </si>
  <si>
    <t>afc bournemouth; wolverhampton wanderers fc; sports stream</t>
  </si>
  <si>
    <t>Nonton streaming pertandingan seru Bournemouth vs Wolves - Premier League. Saksikan aksi-aksi terbaik dari tim yang bersaing ketat untuk meraih kemenangan. Dapatkan informasi lengkap mengenai jadwal pertandingan dan hasil pertandingan terbaru hanya di Vidio.</t>
  </si>
  <si>
    <t>BOU: KLUIVERT &amp; SEMENYO
WOL: STRAND LARSEN &amp; JOÃO GOMES</t>
  </si>
  <si>
    <t>https://drive.google.com/file/d/1tG5UZe4FYs8BUudqykoGlk-WX_EG3kvF/view?usp=sharing</t>
  </si>
  <si>
    <t>https://drive.google.com/file/d/1zKp7zw5GsjIORLTRUY_bhUetGEbpdnh1/view?usp=drive_link</t>
  </si>
  <si>
    <t>https://drive.google.com/file/d/1K2d-zigBwpW_F48uVXPO_F2V4Bf4NTjg/view?usp=sharing</t>
  </si>
  <si>
    <t>77f1bf26</t>
  </si>
  <si>
    <t>Brentford vs Aston Villa - Premier League</t>
  </si>
  <si>
    <t>https://www.vidio.com/live/9182-champions-tv-5?schedule_id=4512822</t>
  </si>
  <si>
    <t>https://drive.google.com/drive/folders/1JtVEIt9L5k8er-6U09Zs9-01nczSloAr?usp=drive_link</t>
  </si>
  <si>
    <t>brentford fc; aston villa fc; sports stream</t>
  </si>
  <si>
    <t>Nonton streaming pertandingan seru Brentford vs Aston Villa - Premier League. Saksikan aksi-aksi terbaik dari tim yang bersaing ketat untuk meraih kemenangan. Dapatkan informasi lengkap mengenai jadwal pertandingan dan hasil pertandingan terbaru hanya di Vidio.</t>
  </si>
  <si>
    <t>BRE: HENDERSON &amp; SCHADE
AVL: MORGAN ROGERS &amp; WATKINS</t>
  </si>
  <si>
    <t>https://drive.google.com/file/d/1bKZuFIXBD6FuFoFivkhH7BDTAXK99BIt/view?usp=sharing</t>
  </si>
  <si>
    <t>https://drive.google.com/file/d/1TcHi0d9Y14LFBRzVeBLquWOkTUj2EHk0/view?usp=drive_link</t>
  </si>
  <si>
    <t>https://drive.google.com/file/d/1UP14FrUjioELRNg35KgMepgKsCAB-a4N/view?usp=sharing</t>
  </si>
  <si>
    <t>dae85f51</t>
  </si>
  <si>
    <t>Crystal Palace vs Nottingham Forest - Premier League</t>
  </si>
  <si>
    <t>https://www.vidio.com/live/9182-champions-tv-5?schedule_id=4512849</t>
  </si>
  <si>
    <t>https://drive.google.com/drive/folders/1MJkjvMuVTlOATYZNQ8_L_xveeagaIpP-?usp=drive_link</t>
  </si>
  <si>
    <t>crystal palace fc; nottingham forest fc; sports stream</t>
  </si>
  <si>
    <t>Nonton streaming pertandingan seru Crystal Palace vs Nottingham Forest - Premier League. Saksikan aksi-aksi terbaik dari tim yang bersaing ketat untuk meraih kemenangan. Dapatkan informasi lengkap mengenai jadwal pertandingan dan hasil pertandingan terbaru hanya di Vidio.</t>
  </si>
  <si>
    <t>CRY: GUEHI &amp; LACROIX
NFO: JOTA SILVA &amp; HUDSON ODOI</t>
  </si>
  <si>
    <t>https://drive.google.com/file/d/1iGKJqNKiUbgEM7I5AuhAiifN7MgAM4BH/view?usp=sharing</t>
  </si>
  <si>
    <t>https://drive.google.com/file/d/1MafvTaElnZGTOhQlgEqOjCbyQwgl-Upb/view?usp=drive_link</t>
  </si>
  <si>
    <t>https://drive.google.com/file/d/1qUVACm8FMC3IuYiRk0giArLRC03mAQmd/view?usp=sharing</t>
  </si>
  <si>
    <t>919fefdf</t>
  </si>
  <si>
    <t>Everton vs Brighton - Premier League</t>
  </si>
  <si>
    <t>https://www.vidio.com/live/9183-champions-tv-6?schedule_id=4512866</t>
  </si>
  <si>
    <t>MOJI , PLTV</t>
  </si>
  <si>
    <t>https://drive.google.com/drive/folders/1cNln3bBKjWgZFAm-mCkmmxPzc5gozIyw?usp=drive_link</t>
  </si>
  <si>
    <t>Everton</t>
  </si>
  <si>
    <t>everton fc; brighton &amp; hove albion fc; sports stream</t>
  </si>
  <si>
    <t>Nonton streaming pertandingan seru Everton vs Brighton - Premier League. Saksikan aksi-aksi terbaik dari tim yang bersaing ketat untuk meraih kemenangan. Dapatkan informasi lengkap mengenai jadwal pertandingan dan hasil pertandingan terbaru hanya di Vidio.</t>
  </si>
  <si>
    <t>EVE: GREALISH &amp; BRANTHWAITE
BHA: MITOMA &amp; RUTTER</t>
  </si>
  <si>
    <t>https://drive.google.com/file/d/1r_C5UEF5z1ioAs0F9-gwz6qRZg4lCbmU/view?usp=sharing</t>
  </si>
  <si>
    <t>https://drive.google.com/file/d/1jmFqevS0wq7xl_4fLOPbDsByOoXtxoDl/view?usp=drive_link</t>
  </si>
  <si>
    <t>https://drive.google.com/file/d/1kx4Qf4tTb0u1cuMpnBYPNlDhrGHQiOy3/view?usp=sharing</t>
  </si>
  <si>
    <t>a3597aa2</t>
  </si>
  <si>
    <t>Fulham vs Man United - Premier League</t>
  </si>
  <si>
    <t>https://www.vidio.com/live/9182-champions-tv-5?schedule_id=4512851</t>
  </si>
  <si>
    <t>https://drive.google.com/drive/folders/1MyGNNsN6sJa9OnJZ6GrPJgcQIeFJnDos?usp=drive_link</t>
  </si>
  <si>
    <t>fulham fc; manchester united fc; sports stream</t>
  </si>
  <si>
    <t>Nonton streaming pertandingan seru Fulham vs Man United - Premier League. Saksikan aksi-aksi terbaik dari tim yang bersaing ketat untuk meraih kemenangan. Dapatkan informasi lengkap mengenai jadwal pertandingan dan hasil pertandingan terbaru hanya di Vidio.</t>
  </si>
  <si>
    <t>FUL: ANDREAS PEREIRA &amp; RODRIGO MUNIZ
MUN: MBEUMO &amp; SESKO</t>
  </si>
  <si>
    <t>A3 , B3</t>
  </si>
  <si>
    <t>https://drive.google.com/file/d/1VEtllaJzjhOthbqtOr-R2FgCbyvy8roc/view?usp=sharing</t>
  </si>
  <si>
    <t>https://drive.google.com/file/d/1oEvJmZq_dF9XsPLWYq6gkOGMn2AbpVyD/view?usp=drive_link</t>
  </si>
  <si>
    <t>https://drive.google.com/file/d/1gU7zdm_HVZgCjxDgpTWrmnVlmTM1A6ka/view?usp=sharing</t>
  </si>
  <si>
    <t>77afeec1</t>
  </si>
  <si>
    <t>Man City vs Tottenham - Premier League</t>
  </si>
  <si>
    <t>https://www.vidio.com/live/9182-champions-tv-5?schedule_id=4512815</t>
  </si>
  <si>
    <t>https://drive.google.com/drive/folders/1qmqXnARKDD3W7MvHpWMS_z7oTIq9n9BO?usp=drive_link</t>
  </si>
  <si>
    <t>Tottenham Hotspur</t>
  </si>
  <si>
    <t>manchester city fc; tottenham hotspur fc; sports stream</t>
  </si>
  <si>
    <t>Nonton streaming pertandingan seru Man City vs Tottenham - Premier League. Saksikan aksi-aksi terbaik dari tim yang bersaing ketat untuk meraih kemenangan. Dapatkan informasi lengkap mengenai jadwal pertandingan dan hasil pertandingan terbaru hanya di Vidio.</t>
  </si>
  <si>
    <t>MCI: TIJJANI &amp; CHERKI
TOT: MATHYS TEL &amp; BRENNAN JOHNSON</t>
  </si>
  <si>
    <t>https://drive.google.com/file/d/1SDS75hZeTbFUIXx0iKsSSS9saOKvKTNb/view?usp=sharing</t>
  </si>
  <si>
    <t>https://drive.google.com/file/d/1vPXGvzAIifIj7Gj4IO4GV_yc4sH3Ot1z/view?usp=drive_link</t>
  </si>
  <si>
    <t>https://drive.google.com/file/d/167TOUG3w64ogxCRH3UjjWC_hZgexPSE6/view?usp=sharing</t>
  </si>
  <si>
    <t>3118f620</t>
  </si>
  <si>
    <t>Newcastle vs Liverpool - Premier League</t>
  </si>
  <si>
    <t>https://www.vidio.com/live/9182-champions-tv-5?schedule_id=4520832</t>
  </si>
  <si>
    <t>https://drive.google.com/drive/folders/11rIqRxDXkPac3xDvGJYCUSVxgdjz9hp7?usp=drive_link</t>
  </si>
  <si>
    <t>newcastle united fc; liverpool fc; sports stream</t>
  </si>
  <si>
    <t>Nonton streaming pertandingan seru Newcastle vs Liverpool - Premier League. Saksikan aksi-aksi terbaik dari tim yang bersaing ketat untuk meraih kemenangan. Dapatkan informasi lengkap mengenai jadwal pertandingan dan hasil pertandingan terbaru hanya di Vidio.</t>
  </si>
  <si>
    <t>NEW: LIVRAMENTO &amp; BRUNO GUIMARÃES
LIV: EKITIKE &amp; FRIMPONG</t>
  </si>
  <si>
    <t>NTC (kalau ada slot)</t>
  </si>
  <si>
    <t>https://drive.google.com/file/d/1bhFUo8ZXBY97LL7Sti9_OCmdgO831nle/view?usp=sharing</t>
  </si>
  <si>
    <t>https://drive.google.com/file/d/1zv-EaqyldCc1KC1jH1YTltY4hC6IIbOR/view?usp=drive_link</t>
  </si>
  <si>
    <t>https://drive.google.com/file/d/1Vwnj244BDQh8BPk2eU744bgqGv1ZKCb3/view?usp=sharing</t>
  </si>
  <si>
    <t>9a14f3b9</t>
  </si>
  <si>
    <t>West Ham vs Chelsea - Premier League</t>
  </si>
  <si>
    <t>https://www.vidio.com/live/9182-champions-tv-5?schedule_id=4512789</t>
  </si>
  <si>
    <t>https://drive.google.com/drive/folders/1cE1PssAd1togoYQdCBL_3gZEGugaQ5f3?usp=drive_link</t>
  </si>
  <si>
    <t>West Ham United</t>
  </si>
  <si>
    <t>west ham united fc; chelsea fc; sports stream</t>
  </si>
  <si>
    <t>Nonton streaming pertandingan seru West Ham vs Chelsea - Premier League. Saksikan aksi-aksi terbaik dari tim yang bersaing ketat untuk meraih kemenangan. Dapatkan informasi lengkap mengenai jadwal pertandingan dan hasil pertandingan terbaru hanya di Vidio.</t>
  </si>
  <si>
    <t>WHU: WARD PROWSE &amp; KILMAN
CHE: PEDRO NETO &amp; JAMIE GITTENS</t>
  </si>
  <si>
    <t>hafif.sabillah@vidio.com</t>
  </si>
  <si>
    <t>E1 , F1</t>
  </si>
  <si>
    <t>https://drive.google.com/file/d/1_a8pLpJfm5rbQpl5GCEhvi3st0j_j717/view?usp=sharing</t>
  </si>
  <si>
    <t>https://drive.google.com/file/d/1oLFSrHudB0oz584uWGsjro_vP8ZTY8pU/view?usp=drive_link</t>
  </si>
  <si>
    <t>https://drive.google.com/file/d/1Mwxz9hQ697GBBYX2KzmGS6_fLWSFWAYw/view?usp=sharing</t>
  </si>
  <si>
    <t>cb8307f6</t>
  </si>
  <si>
    <t>Aston Villa vs Crystal Palace - Premier League</t>
  </si>
  <si>
    <t>https://www.vidio.com/live/9182-champions-tv-5?schedule_id=4537277</t>
  </si>
  <si>
    <t>https://drive.google.com/drive/folders/1ZFrh0RD8_hmRnH3lbBaBctVBBz1nB3Pc?usp=drive_link</t>
  </si>
  <si>
    <t>https://drive.google.com/drive/folders/1E-SiChHX8IFkkAWfrdcoH1SwbCWsIC_8?usp=drive_link</t>
  </si>
  <si>
    <t>aston villa fc; crystal palace fc; sports stream</t>
  </si>
  <si>
    <t>Nonton streaming pertandingan seru Aston Villa vs Crystal Palace - Premier League. Saksikan aksi-aksi terbaik dari tim yang bersaing ketat untuk meraih kemenangan. Dapatkan informasi lengkap mengenai jadwal pertandingan dan hasil pertandingan terbaru hanya di Vidio.</t>
  </si>
  <si>
    <t>AVL: TIELEMANS &amp; WATKINS
CRY: WHARTON &amp; MATETA</t>
  </si>
  <si>
    <t>https://drive.google.com/file/d/1VhA5JdKCP75ZV8KJ02YvKtwDd-LHH2jW/view?usp=sharing</t>
  </si>
  <si>
    <t>https://drive.google.com/file/d/1jtPfwv3BnY2yXaIybFnlDbLnofyyPwLS/view?usp=sharing</t>
  </si>
  <si>
    <t>https://drive.google.com/file/d/1nBjiBglDlIulLVfNGybljtrhehe5t8eF/view?usp=sharing</t>
  </si>
  <si>
    <t>28dd4dce</t>
  </si>
  <si>
    <t>Brighton vs Man City - Premier League</t>
  </si>
  <si>
    <t>https://www.vidio.com/live/9182-champions-tv-5?schedule_id=4525587</t>
  </si>
  <si>
    <t>https://drive.google.com/drive/folders/1Eg1lyux5FaaAgQEjim-DkbtiN-O0ZYls?usp=drive_link</t>
  </si>
  <si>
    <t>brighton &amp; hove albion fc; manchester city fc; sports stream</t>
  </si>
  <si>
    <t>Nonton streaming pertandingan seru Brighton vs Man City - Premier League. Saksikan aksi-aksi terbaik dari tim yang bersaing ketat untuk meraih kemenangan. Dapatkan informasi lengkap mengenai jadwal pertandingan dan hasil pertandingan terbaru hanya di Vidio.</t>
  </si>
  <si>
    <t>BHA: BALEBA &amp; VAN HECKE
MCI: HAALAND &amp; BOBB</t>
  </si>
  <si>
    <t>https://drive.google.com/file/d/1AwnMiucx2M_xkjhQgoh3s3rX57S-E4Qp/view?usp=sharing</t>
  </si>
  <si>
    <t>https://drive.google.com/file/d/19Rcol8plcmjwWYmQVLPiDECzzHwUxkJ_/view?usp=drive_link</t>
  </si>
  <si>
    <t>https://drive.google.com/file/d/1fMyoQatleIlVn_4SrsEYQQZNypJoj_Lj/view?usp=sharing</t>
  </si>
  <si>
    <t>d607417d</t>
  </si>
  <si>
    <t>Chelsea vs Fulham - Premier League</t>
  </si>
  <si>
    <t>https://www.vidio.com/live/9182-champions-tv-5?schedule_id=4525570</t>
  </si>
  <si>
    <t>https://drive.google.com/drive/folders/1IjHFFJ1T5AWli3B_VYQXyeW6U421WdF6?usp=drive_link</t>
  </si>
  <si>
    <t>chelsea fc; fulham fc; sports stream</t>
  </si>
  <si>
    <t>Nonton streaming pertandingan seru Chelsea vs Fulham - Premier League. Saksikan aksi-aksi terbaik dari tim yang bersaing ketat untuk meraih kemenangan. Dapatkan informasi lengkap mengenai jadwal pertandingan dan hasil pertandingan terbaru hanya di Vidio.</t>
  </si>
  <si>
    <t>CHE: ENZO FERNANDEZ &amp; PALMER
FUL: SANDER BERGE &amp; SMITH ROWE</t>
  </si>
  <si>
    <t>https://drive.google.com/file/d/1x2T76QjZIE362X0uTbEkl5LIYAHGq__K/view?usp=sharing</t>
  </si>
  <si>
    <t>https://drive.google.com/file/d/1f_1db62-szpB0lA4_PnnHUmeBl6BQQ-J/view?usp=sharing</t>
  </si>
  <si>
    <t>https://drive.google.com/file/d/165gfYgZ93e_g1DWb8mVPYUqXBmT1HfFQ/view?usp=sharing</t>
  </si>
  <si>
    <t>6929c26f</t>
  </si>
  <si>
    <t>Liverpool vs Arsenal - Premier League</t>
  </si>
  <si>
    <t>https://www.vidio.com/live/9182-champions-tv-5?schedule_id=4525588</t>
  </si>
  <si>
    <t>https://drive.google.com/drive/folders/1lyXyGIdNbA9Jf7svWGBwuZW626Ji8iay?usp=drive_link</t>
  </si>
  <si>
    <t>liverpool fc; arsenal fc; sports stream</t>
  </si>
  <si>
    <t>Nonton streaming pertandingan seru Liverpool vs Arsenal - Premier League. Saksikan aksi-aksi terbaik dari tim yang bersaing ketat untuk meraih kemenangan. Dapatkan informasi lengkap mengenai jadwal pertandingan dan hasil pertandingan terbaru hanya di Vidio.</t>
  </si>
  <si>
    <t>LIV: SALAH &amp; ARNE SLOT
ARS: ODEGAARD &amp; ARTETA</t>
  </si>
  <si>
    <t>C1 , D1</t>
  </si>
  <si>
    <t>Mega</t>
  </si>
  <si>
    <t>NTC + TVC + Sosmed Boost + KOL + DA</t>
  </si>
  <si>
    <t>https://drive.google.com/file/d/1nIyrHmtxDh4eCDPMfvlTlPNOTvXmQurt/view?usp=sharing</t>
  </si>
  <si>
    <t>https://drive.google.com/file/d/1PD8SgAKZnXgsnQ2pP7JL7iVQXcFRXDFP/view?usp=sharing</t>
  </si>
  <si>
    <t>https://drive.google.com/file/d/15uynFHf9qXYefP7XF7spiyfBKhFToLzK/view?usp=sharing</t>
  </si>
  <si>
    <t>f95a92d8</t>
  </si>
  <si>
    <t>Nottingham Forest vs West Ham - Premier League</t>
  </si>
  <si>
    <t>https://www.vidio.com/live/9183-champions-tv-6?schedule_id=4525589</t>
  </si>
  <si>
    <t>https://drive.google.com/drive/folders/1_kBoeAgz8rQAHCZVqRAde3Uz_KVNqRHd?usp=drive_link</t>
  </si>
  <si>
    <t>nottingham forest fc; west ham united fc; sports stream</t>
  </si>
  <si>
    <t>Nonton streaming pertandingan seru Nottingham Forest vs West Ham - Premier League. Saksikan aksi-aksi terbaik dari tim yang bersaing ketat untuk meraih kemenangan. Dapatkan informasi lengkap mengenai jadwal pertandingan dan hasil pertandingan terbaru hanya di Vidio.</t>
  </si>
  <si>
    <t>NFO: OLA AINA &amp; GIBBS-WHITE
WHU: WAN BISSAKA &amp; PAQUETA</t>
  </si>
  <si>
    <t>https://drive.google.com/file/d/1ush37STaR01g3dtdApcOeFQCisgmqy0-/view?usp=sharing</t>
  </si>
  <si>
    <t>https://drive.google.com/file/d/1Wpvv_aXk9v7WAZle6JG8S6BouI4jHdOm/view?usp=drive_link</t>
  </si>
  <si>
    <t>https://drive.google.com/file/d/1qyzQrCnpZBw8yt9JlvjQBbhxRHbjQDIq/view?usp=sharing</t>
  </si>
  <si>
    <t>c38d7c32</t>
  </si>
  <si>
    <t>Tottenham vs Bournemouth - Premier League</t>
  </si>
  <si>
    <t>https://www.vidio.com/live/9183-champions-tv-6?schedule_id=4525574</t>
  </si>
  <si>
    <t>https://drive.google.com/drive/folders/1XfBfIGZGyZzS0m-SV-iKfxwkHE7cFzrC?usp=drive_link</t>
  </si>
  <si>
    <t>tottenham hotspur fc; afc bournemouth; sports stream</t>
  </si>
  <si>
    <t>Nonton streaming pertandingan seru Tottenham vs Bournemouth - Premier League. Saksikan aksi-aksi terbaik dari tim yang bersaing ketat untuk meraih kemenangan. Dapatkan informasi lengkap mengenai jadwal pertandingan dan hasil pertandingan terbaru hanya di Vidio.</t>
  </si>
  <si>
    <t>TOT: KUDUS &amp; RICHARLISON
BOU: SMITH &amp; SENESI</t>
  </si>
  <si>
    <t>C4 , D4</t>
  </si>
  <si>
    <t>https://drive.google.com/file/d/1-sQvEWPLY8FYpeQ9id3COXZDiXwBIKo_/view?usp=sharing</t>
  </si>
  <si>
    <t>https://drive.google.com/file/d/1nOtrGrpqXTXJ_GQXxq1Z_9O0iHk_3Ye2/view?usp=drive_link</t>
  </si>
  <si>
    <t>https://drive.google.com/file/d/1rzarO8q4anpgqs5qKvVh7nY61oXykKbP/view?usp=sharing</t>
  </si>
  <si>
    <t>c7410c75</t>
  </si>
  <si>
    <t>Wolves vs Everton - Premier League</t>
  </si>
  <si>
    <t>VIDIO - @premierleague</t>
  </si>
  <si>
    <t>https://www.vidio.com/live/18796-premier-league?schedule_id=4525576</t>
  </si>
  <si>
    <t>https://drive.google.com/drive/folders/1M0QKWQFrs6Liaws9dYdmf-zKKaFX7wkz?usp=drive_link</t>
  </si>
  <si>
    <t>wolverhampton wanderers fc; everton fc; sports stream</t>
  </si>
  <si>
    <t>Nonton streaming pertandingan seru Wolves vs Everton - Premier League. Saksikan aksi-aksi terbaik dari tim yang bersaing ketat untuk meraih kemenangan. Dapatkan informasi lengkap mengenai jadwal pertandingan dan hasil pertandingan terbaru hanya di Vidio.</t>
  </si>
  <si>
    <t>WOL: ARIAS &amp; JOSE SA
EVE: DEWSBURRY-HALL &amp; PICKFORD</t>
  </si>
  <si>
    <t>jeremy.salainti@vidio.com</t>
  </si>
  <si>
    <t>E3 , F3</t>
  </si>
  <si>
    <t>https://drive.google.com/file/d/1ggZdNtZUBB3tSFG9Rc8DkuRlGFAXa2xw/view?usp=sharing</t>
  </si>
  <si>
    <t>https://drive.google.com/file/d/1cTHoG3AT6xao0eNZcjgT6JeCJmD9aIfP/view?usp=drive_link</t>
  </si>
  <si>
    <t>https://drive.google.com/file/d/1-fpsWsvsFAhKTAsW2cP8vD-9PfkYQmuv/view?usp=sharing</t>
  </si>
  <si>
    <t>e1ef087a</t>
  </si>
  <si>
    <t>Arsenal vs Nottingham Forest - Premier League</t>
  </si>
  <si>
    <t>https://www.vidio.com/live/9182-champions-tv-5?schedule_id=4562501</t>
  </si>
  <si>
    <t>https://drive.google.com/drive/folders/1qRXZMsmMk6oQ4bnzCIB3WT4OoxOZN0bg?usp=drive_link</t>
  </si>
  <si>
    <t>https://drive.google.com/drive/folders/1keBgYGAW2V9gleWyOBlIJnrRzNas7sPg?usp=drive_link</t>
  </si>
  <si>
    <t>arsenal fc; nottingham forest fc; sports stream</t>
  </si>
  <si>
    <t>Nonton streaming pertandingan seru Arsenal vs Nottingham Forest - Premier League. Saksikan aksi-aksi terbaik dari tim yang bersaing ketat untuk meraih kemenangan. Dapatkan informasi lengkap mengenai jadwal pertandingan dan hasil pertandingan terbaru hanya di Vidio.</t>
  </si>
  <si>
    <t>ARS: RICE &amp; RAYA (GK)
NFO: DAN NDOYE &amp; SELS (GK)</t>
  </si>
  <si>
    <t>F2 , E2</t>
  </si>
  <si>
    <t>https://drive.google.com/file/d/1Bt3P-zWVNzFSg3aTpXAS4mHpaOEdshK5/view?usp=sharing</t>
  </si>
  <si>
    <t>https://drive.google.com/file/d/18h-byMerOdAjhH_LM7yGgENhtLVvKkWz/view?usp=sharing</t>
  </si>
  <si>
    <t>https://drive.google.com/file/d/1SuHlR22r4CRs0StAqom2JCdtJF79Nepx/view?usp=sharing</t>
  </si>
  <si>
    <t>877489c8</t>
  </si>
  <si>
    <t>Bournemouth vs Brighton - Premier League</t>
  </si>
  <si>
    <t>https://www.vidio.com/live/19375-premier-league?schedule_id=4562507</t>
  </si>
  <si>
    <t>https://drive.google.com/drive/folders/1L_WUbrEvccKwGovTfhSxbJBA1FSbeRjM?usp=drive_link</t>
  </si>
  <si>
    <t>afc bournemouth; brighton &amp; hove albion fc; sports stream</t>
  </si>
  <si>
    <t>Nonton streaming pertandingan seru Bournemouth vs Brighton - Premier League. Saksikan aksi-aksi terbaik dari tim yang bersaing ketat untuk meraih kemenangan. Dapatkan informasi lengkap mengenai jadwal pertandingan dan hasil pertandingan terbaru hanya di Vidio.</t>
  </si>
  <si>
    <t>BOU: SEMENYO &amp; EVANILSON
BHA: VELTMAN &amp; MINTEH</t>
  </si>
  <si>
    <t>A4 , D4</t>
  </si>
  <si>
    <t>https://drive.google.com/file/d/1yMUKTH7FcYbVr0xISuwZnh2F4ENOMGp8/view?usp=sharing</t>
  </si>
  <si>
    <t>https://drive.google.com/file/d/1rzqHEr24Z8HStPEs1URIw1G71JMQfclO/view?usp=drive_link</t>
  </si>
  <si>
    <t>https://drive.google.com/file/d/1_0pPu7_hLwGnKKS6UES2a4x_Ud3SGGLO/view?usp=sharing</t>
  </si>
  <si>
    <t>f2d87d3b</t>
  </si>
  <si>
    <t>Brentford vs Chelsea - Premier League</t>
  </si>
  <si>
    <t>https://www.vidio.com/live/9182-champions-tv-5?schedule_id=4562504</t>
  </si>
  <si>
    <t>https://drive.google.com/drive/folders/1FuAt_guV4C3VtFl1E60HPBX9XTrRliU0?usp=drive_link</t>
  </si>
  <si>
    <t>brentford fc; chelsea fc; sports stream</t>
  </si>
  <si>
    <t>Nonton streaming pertandingan seru Brentford vs Chelsea - Premier League. Saksikan aksi-aksi terbaik dari tim yang bersaing ketat untuk meraih kemenangan. Dapatkan informasi lengkap mengenai jadwal pertandingan dan hasil pertandingan terbaru hanya di Vidio.</t>
  </si>
  <si>
    <t>BRE: COLLINS &amp; HENDERSON
CHE: ENZO FERNANDEZ &amp; ESTEVAO</t>
  </si>
  <si>
    <t>C1 , F1</t>
  </si>
  <si>
    <t>https://drive.google.com/file/d/1sY9tZz1bxDjcanlS8sEeM9Zd63RI8Gl1/view?usp=sharing</t>
  </si>
  <si>
    <t>https://drive.google.com/file/d/1-8_h_nuWdYpwQoCvzccSxXS68YhbQAGp/view?usp=sharing</t>
  </si>
  <si>
    <t>https://drive.google.com/file/d/1INLkKwQBwCKBTIjDlGxV5lPhLbCpp6ZA/view?usp=sharing</t>
  </si>
  <si>
    <t>e1030a87</t>
  </si>
  <si>
    <t>Everton vs Aston Villa - Premier League</t>
  </si>
  <si>
    <t>https://www.vidio.com/live/9183-champions-tv-6?schedule_id=4562681</t>
  </si>
  <si>
    <t>MOJI</t>
  </si>
  <si>
    <t>https://drive.google.com/drive/folders/1IVguKp5EhKLbl1bFJE3lb5J_l83TUcxa?usp=drive_link</t>
  </si>
  <si>
    <t>everton fc; aston villa fc; sports stream</t>
  </si>
  <si>
    <t>Nonton streaming pertandingan seru Everton vs Aston Villa - Premier League. Saksikan aksi-aksi terbaik dari tim yang bersaing ketat untuk meraih kemenangan. Dapatkan informasi lengkap mengenai jadwal pertandingan dan hasil pertandingan terbaru hanya di Vidio.</t>
  </si>
  <si>
    <t>EVE: GREALISH &amp; DEWSBURRY-HALL
AVL: MORGAN ROGERS &amp; MINGS</t>
  </si>
  <si>
    <t>C2 , D4</t>
  </si>
  <si>
    <t>https://drive.google.com/file/d/1Go9WU5rxAyr_pw0usi7ApAWJy4irjxJY/view?usp=sharing</t>
  </si>
  <si>
    <t>https://drive.google.com/file/d/1VM49tVXmvHCkBugoICgRyH9GIKyS_0md/view?usp=sharing</t>
  </si>
  <si>
    <t>https://drive.google.com/file/d/1JgVLYQ0RO7ZurFqxOPCSc7-B79S_jrsq/view?usp=sharing</t>
  </si>
  <si>
    <t>a6925258</t>
  </si>
  <si>
    <t>Sunderland vs West Ham - Premier League</t>
  </si>
  <si>
    <t>https://www.vidio.com/live/19375-premier-league?schedule_id=4497025</t>
  </si>
  <si>
    <t>https://drive.google.com/drive/folders/1v6vDKSPk6OfzY23gBdC5LTa585nEOGtC?usp=drive_link</t>
  </si>
  <si>
    <t>Sunderland AFC</t>
  </si>
  <si>
    <t>sunderland afc; west ham united fc; sports stream</t>
  </si>
  <si>
    <t>Nonton streaming pertandingan seru Sunderland vs West Ham - Premier League. Saksikan aksi-aksi terbaik dari tim yang bersaing ketat untuk meraih kemenangan. Dapatkan informasi lengkap mengenai jadwal pertandingan dan hasil pertandingan terbaru hanya di Vidio.</t>
  </si>
  <si>
    <t>LIVE FEED: 20:30 WIB
SUN: SEELT &amp; XHAKA
WHU: BOWEN &amp; WALKER-PETERS</t>
  </si>
  <si>
    <t>https://drive.google.com/file/d/1LZ1o0qTjWAUqiH5GtFiQB4fhKqTgpvLH/view?usp=sharing</t>
  </si>
  <si>
    <t>https://drive.google.com/file/d/1j2RRrwFgql_T_kzlAQrYOcKiLvpxHUk0/view?usp=drive_link</t>
  </si>
  <si>
    <t>https://drive.google.com/file/d/1fkMasoDU72p_xGY6YEHv35dxUMqFqp50/view?usp=sharing</t>
  </si>
  <si>
    <t>42f840f1</t>
  </si>
  <si>
    <t>Man City vs Man United - Premier League</t>
  </si>
  <si>
    <t>https://www.vidio.com/live/9182-champions-tv-5?schedule_id=4562506</t>
  </si>
  <si>
    <t>https://drive.google.com/drive/folders/1x5oltw504lEKKuBsjIzep5zSRWPnmfqn?usp=drive_link</t>
  </si>
  <si>
    <t>manchester city fc; manchester united fc; sports stream</t>
  </si>
  <si>
    <t>Nonton streaming pertandingan seru Man City vs Man United - Premier League. Saksikan aksi-aksi terbaik dari tim yang bersaing ketat untuk meraih kemenangan. Dapatkan informasi lengkap mengenai jadwal pertandingan dan hasil pertandingan terbaru hanya di Vidio.</t>
  </si>
  <si>
    <t>MCI: TIJJANI &amp; BERNARDO SILVA
MUN: CUNHA &amp; BRUNO FERNANDES</t>
  </si>
  <si>
    <t>https://drive.google.com/file/d/1WWKDqhz9St3OjtA_fvwdhrIcO7oESmQm/view?usp=sharing</t>
  </si>
  <si>
    <t>https://drive.google.com/file/d/11l_-rd6sRtUh4djFXRkMZQlTrwYQDbzw/view?usp=drive_link</t>
  </si>
  <si>
    <t>https://drive.google.com/file/d/1SCv_Vvtl4EPN7zQXZrwvhO-L4NvsU2uI/view?usp=sharing</t>
  </si>
  <si>
    <t>8eb3aea4</t>
  </si>
  <si>
    <t>Tottenham vs Burnley - Premier League</t>
  </si>
  <si>
    <t>https://www.vidio.com/live/9182-champions-tv-5?schedule_id=4496975</t>
  </si>
  <si>
    <t>https://drive.google.com/drive/folders/1JOdXqN8t9EP8itZ_Jn4FVUNJQsC-zB6V</t>
  </si>
  <si>
    <t>Burnley FC</t>
  </si>
  <si>
    <t>tottenham hotspur fc; burnley fc; sports stream</t>
  </si>
  <si>
    <t>Nonton streaming pertandingan seru Tottenham vs Burnley - Premier League. Saksikan aksi-aksi terbaik dari tim yang bersaing ketat untuk meraih kemenangan. Dapatkan informasi lengkap mengenai jadwal pertandingan dan hasil pertandingan terbaru hanya di Vidio.</t>
  </si>
  <si>
    <t>TOT: JOAO PALHINHA &amp; KUDUS
BUR: WALKER &amp; TUANZEBE</t>
  </si>
  <si>
    <t>https://drive.google.com/file/d/1tlpFdD4wcPgkijJHiaNXrVC7dKWKs2yy/view?usp=sharing</t>
  </si>
  <si>
    <t>https://drive.google.com/file/d/1iasf9-W_2lJGV6nDG0uiaF6FPjTbogAL/view?usp=drive_link</t>
  </si>
  <si>
    <t>https://drive.google.com/file/d/1KMpCRJEb4U3OBWyDwYG2H3i3Ip0MD1QR/view?usp=sharing</t>
  </si>
  <si>
    <t>cbc0b0fc</t>
  </si>
  <si>
    <t>Newcastle vs Wolves - Premier League</t>
  </si>
  <si>
    <t>https://www.vidio.com/live/9182-champions-tv-5?schedule_id=4562502</t>
  </si>
  <si>
    <t>https://drive.google.com/drive/folders/1KKW-aIMVwK0y7H902H4DzgY0DEuFdwSO?usp=drive_link</t>
  </si>
  <si>
    <t>newcastle united fc; wolverhampton wanderers fc; sports stream</t>
  </si>
  <si>
    <t>Nonton streaming pertandingan seru Newcastle vs Wolves - Premier League. Saksikan aksi-aksi terbaik dari tim yang bersaing ketat untuk meraih kemenangan. Dapatkan informasi lengkap mengenai jadwal pertandingan dan hasil pertandingan terbaru hanya di Vidio.</t>
  </si>
  <si>
    <t>NEW: WOLTEMADE &amp; GORDON
WOL: DOHERTY &amp; BELLEGARDE</t>
  </si>
  <si>
    <t>E5 , F4</t>
  </si>
  <si>
    <t>https://drive.google.com/file/d/1DjR5degYDAv1jM8NGrC47qM_YpmE9hdA/view?usp=sharing</t>
  </si>
  <si>
    <t>https://drive.google.com/file/d/1Kw2wC_7d4Vik0OI1LeD_MkRoyojAwSlv/view?usp=drive_link</t>
  </si>
  <si>
    <t>https://drive.google.com/file/d/1xBf_MrH97XhlfkDJBVEF5yc-lgqr3Jms/view?usp=sharing</t>
  </si>
  <si>
    <t>144f99ac</t>
  </si>
  <si>
    <t>West Ham vs Tottenham - Premier League</t>
  </si>
  <si>
    <t>https://www.vidio.com/live/9182-champions-tv-5?schedule_id=4562503</t>
  </si>
  <si>
    <t>https://drive.google.com/drive/folders/1sZGf5yuH_fBVPDTL7h9T_9ghHYPO_VOB?usp=drive_link</t>
  </si>
  <si>
    <t>west ham united fc; tottenham hotspur fc; sports stream</t>
  </si>
  <si>
    <t>Nonton streaming pertandingan seru West Ham vs Tottenham - Premier League. Saksikan aksi-aksi terbaik dari tim yang bersaing ketat untuk meraih kemenangan. Dapatkan informasi lengkap mengenai jadwal pertandingan dan hasil pertandingan terbaru hanya di Vidio.</t>
  </si>
  <si>
    <t>WHU: BOWEN &amp; SOUCEK
TOT: KUDUS &amp; XAVI SIMONS</t>
  </si>
  <si>
    <t>agus.yudha@vidio.com</t>
  </si>
  <si>
    <t>https://drive.google.com/file/d/1gVn1RZaM2roTvZ1AX6RY17CkUdHmwGCp/view?usp=sharing</t>
  </si>
  <si>
    <t>https://drive.google.com/file/d/1gSCW2qQejMJ-whRxMwgBwRMqJl_ywvzh/view?usp=drive_link</t>
  </si>
  <si>
    <t>https://drive.google.com/file/d/1pYSfGLOnhPWYhZIwekbRMDvJmLFwi_9j/view?usp=sharing</t>
  </si>
  <si>
    <t>67483ba2</t>
  </si>
  <si>
    <t>Burnley vs Liverpool - Premier League</t>
  </si>
  <si>
    <t>https://www.vidio.com/live/9182-champions-tv-5?schedule_id=4562505</t>
  </si>
  <si>
    <t>https://drive.google.com/drive/folders/1X9E8VLHsU7xeaMU596vlfQVDXAa6tTLM?usp=drive_link</t>
  </si>
  <si>
    <t>burnley fc; liverpool fc; sports stream</t>
  </si>
  <si>
    <t>Nonton streaming pertandingan seru Burnley vs Liverpool - Premier League. Saksikan aksi-aksi terbaik dari tim yang bersaing ketat untuk meraih kemenangan. Dapatkan informasi lengkap mengenai jadwal pertandingan dan hasil pertandingan terbaru hanya di Vidio.</t>
  </si>
  <si>
    <t>BUR: CULLEN &amp; JAIDON ANTHONY
LIV: SZOBOSZLAI &amp; EKITIKE</t>
  </si>
  <si>
    <t>https://drive.google.com/file/d/1p6GUVcF4JKymV2NtKpz3lpm46rH9edaQ/view?usp=sharing</t>
  </si>
  <si>
    <t>https://drive.google.com/file/d/175FYVXa45XAlfB6q9S2QKnKBR9O1kpbK/view?usp=drive_link</t>
  </si>
  <si>
    <t>https://drive.google.com/file/d/1tvhLuw_4UBsMv0PJqZr9SAB70ixT7dNP/view?usp=sharing</t>
  </si>
  <si>
    <t>db952ba7</t>
  </si>
  <si>
    <t>Crystal Palace vs Sunderland - Premier League</t>
  </si>
  <si>
    <t>https://www.vidio.com/live/18796-premier-league?schedule_id=4562541</t>
  </si>
  <si>
    <t>https://drive.google.com/drive/folders/17ebxzlwfjOx_VM3jRrnQt8VIR0E4VHCK?usp=drive_link</t>
  </si>
  <si>
    <t>crystal palace fc; sunderland afc; sports stream</t>
  </si>
  <si>
    <t>Nonton streaming pertandingan seru Crystal Palace vs Sunderland - Premier League. Saksikan aksi-aksi terbaik dari tim yang bersaing ketat untuk meraih kemenangan. Dapatkan informasi lengkap mengenai jadwal pertandingan dan hasil pertandingan terbaru hanya di Vidio.</t>
  </si>
  <si>
    <t>CRY: MUNOZ &amp; HUGHES
SUN: ENZO LE FEE &amp; SEELT</t>
  </si>
  <si>
    <t>C3 , D3</t>
  </si>
  <si>
    <t>https://drive.google.com/file/d/1S3lG9q1s7EWPAEYuLIr7SOjUQB7mczX2/view?usp=sharing</t>
  </si>
  <si>
    <t>https://drive.google.com/file/d/1wH7qe0vKsdeLnPGKzVGJGTi0MKowrZ-Z/view?usp=drive_link</t>
  </si>
  <si>
    <t>https://drive.google.com/file/d/1AiAAHjz5pIH6tRI8agR7RQYEiZu81Ut0/view?usp=sharing</t>
  </si>
  <si>
    <t>e61bd98d</t>
  </si>
  <si>
    <t>Leeds United vs Everton - Premier League</t>
  </si>
  <si>
    <t>https://www.vidio.com/live/9182-champions-tv-5?schedule_id=4506026</t>
  </si>
  <si>
    <t>https://drive.google.com/drive/folders/1C8hKzsx4Zv20sQYw37Ot25-W38ZWDebS?usp=drive_link</t>
  </si>
  <si>
    <t>Leeds United FC</t>
  </si>
  <si>
    <t>leeds united fc; everton fc; sports stream</t>
  </si>
  <si>
    <t>Nonton streaming pertandingan seru Leeds United vs Everton - Premier League. Saksikan aksi-aksi terbaik dari tim yang bersaing ketat untuk meraih kemenangan. Dapatkan informasi lengkap mengenai jadwal pertandingan dan hasil pertandingan terbaru hanya di Vidio.</t>
  </si>
  <si>
    <t>LIVE FEED: 01:30 WIB
LEE: STRUIJK &amp; SEAN LONGSTAFF
EVE: COLEMAN &amp; TARKOWSKI</t>
  </si>
  <si>
    <t>ahmad.herdianto@vidio.com</t>
  </si>
  <si>
    <t>https://drive.google.com/file/d/1XGUa45cfEzvQRFyyXiLAhk6l79BoN33b/view?usp=sharing</t>
  </si>
  <si>
    <t>https://drive.google.com/file/d/10zWu7zNGdq1KI1NxHVM0ROfazwQ2KsMo/view?usp=sharing</t>
  </si>
  <si>
    <t>f31c5835</t>
  </si>
  <si>
    <t>Fulham vs Leeds United - Premier League</t>
  </si>
  <si>
    <t>https://www.vidio.com/live/19536-premier-league?schedule_id=4563122</t>
  </si>
  <si>
    <t>https://drive.google.com/drive/folders/14yazf4KncpDzM8itz7pecYqY63sHEoXi?usp=drive_link</t>
  </si>
  <si>
    <t>fulham fc; leeds united fc; sports stream</t>
  </si>
  <si>
    <t>Nonton streaming pertandingan seru Fulham vs Leeds United - Premier League. Saksikan aksi-aksi terbaik dari tim yang bersaing ketat untuk meraih kemenangan. Dapatkan informasi lengkap mengenai jadwal pertandingan dan hasil pertandingan terbaru hanya di Vidio.</t>
  </si>
  <si>
    <t>FUL: TETE &amp; RODRIGO MUNIZ
LEE: STRUIJK &amp; NMECHA</t>
  </si>
  <si>
    <t>C4 , E4</t>
  </si>
  <si>
    <t>https://drive.google.com/file/d/1rTzzEM-IKE2XnD5zcyz8v7EwY-dIiq8k/view?usp=sharing</t>
  </si>
  <si>
    <t>https://drive.google.com/file/d/1o2CE4xlxlrv-dyXnYCZjd0G008gmlrBW/view?usp=drive_link</t>
  </si>
  <si>
    <t>https://drive.google.com/file/d/1DXSMm2A08K9CCyqR7tBZm7_OFrKvji2g/view?usp=sharing</t>
  </si>
  <si>
    <t>bdff8a9c</t>
  </si>
  <si>
    <t>Arsenal vs Leeds United - Premier League</t>
  </si>
  <si>
    <t>https://www.vidio.com/live/9182-champions-tv-5?schedule_id=4512825</t>
  </si>
  <si>
    <t>https://drive.google.com/drive/folders/1rPb1dWdkXi8Sp0Fi6zSQly7NUSuuHoHQ?usp=drive_link</t>
  </si>
  <si>
    <t>arsenal fc; leeds united fc; sports stream</t>
  </si>
  <si>
    <t>Nonton streaming pertandingan seru Arsenal vs Leeds United - Premier League. Saksikan aksi-aksi terbaik dari tim yang bersaing ketat untuk meraih kemenangan. Dapatkan informasi lengkap mengenai jadwal pertandingan dan hasil pertandingan terbaru hanya di Vidio.</t>
  </si>
  <si>
    <t>ARS: GYÖKERES &amp; SAKA
LEE: AMPADU &amp; DAN JAMES</t>
  </si>
  <si>
    <t>https://drive.google.com/file/d/1G0UKOEErxgJ5B7_2vz2IV3_XWa5jsO19/view?usp=sharing</t>
  </si>
  <si>
    <t>https://drive.google.com/file/d/1C8tMmePMN8tx-GEFrSSbySS5K3Efu3Rx/view?usp=drive_link</t>
  </si>
  <si>
    <t>https://drive.google.com/file/d/1quz6lvVT3RyblhMxZfXrpVuNOXNbhvRL/view?usp=sharing</t>
  </si>
  <si>
    <t>6ea68fe0</t>
  </si>
  <si>
    <t>Burnley vs Sunderland - Premier League</t>
  </si>
  <si>
    <t>https://www.vidio.com/live/19375-premier-league?schedule_id=4512824</t>
  </si>
  <si>
    <t>https://drive.google.com/drive/folders/1od38jHHD510aS8J2diwpqdAW3UxYMuCX?usp=drive_link</t>
  </si>
  <si>
    <t>burnley fc; sunderland afc; sports stream</t>
  </si>
  <si>
    <t>Nonton streaming pertandingan seru Burnley vs Sunderland - Premier League. Saksikan aksi-aksi terbaik dari tim yang bersaing ketat untuk meraih kemenangan. Dapatkan informasi lengkap mengenai jadwal pertandingan dan hasil pertandingan terbaru hanya di Vidio.</t>
  </si>
  <si>
    <t>BUR: BRUUN LARSEN &amp; HANNIBAL MEJBRI
SUN: ADINGRA &amp; XHAKA</t>
  </si>
  <si>
    <t>https://drive.google.com/file/d/19BEN2mFNhvcnW63o6zdyemmol5sJSRPL/view?usp=sharing</t>
  </si>
  <si>
    <t>https://drive.google.com/file/d/1vqwQBXTvRxjCpuDMolujPh78wOKYdtV8/view?usp=drive_link</t>
  </si>
  <si>
    <t>https://drive.google.com/file/d/1Bh28FNpduW4I0VEtmZUoeqqa4KBU8QD5/view?usp=sharing</t>
  </si>
  <si>
    <t>c208d5fe</t>
  </si>
  <si>
    <t>Leeds United vs Newcastle - Premier League</t>
  </si>
  <si>
    <t>https://www.vidio.com/live/9182-champions-tv-5?schedule_id=4525577</t>
  </si>
  <si>
    <t>https://drive.google.com/drive/folders/16IIH3H7dpG4FXN0a3cO6x1Db195EnLai?usp=drive_link</t>
  </si>
  <si>
    <t>leeds united fc; newcastle united fc; sports stream</t>
  </si>
  <si>
    <t>Nonton streaming pertandingan seru Leeds United vs Newcastle - Premier League. Saksikan aksi-aksi terbaik dari tim yang bersaing ketat untuk meraih kemenangan. Dapatkan informasi lengkap mengenai jadwal pertandingan dan hasil pertandingan terbaru hanya di Vidio.</t>
  </si>
  <si>
    <t>LEE: CALVERT LEWIN &amp; NMECHA
NEW: GUIMARAES &amp; LIVRAMENTO</t>
  </si>
  <si>
    <t>https://drive.google.com/file/d/1s6MPRxne5mTqQRuZTN77SqlMsgyLmj8T/view?usp=sharing</t>
  </si>
  <si>
    <t>https://drive.google.com/file/d/1MmNzAb-iUvwEIXwwNUELF6laLtHU4hMI/view?usp=drive_link</t>
  </si>
  <si>
    <t>https://drive.google.com/file/d/1xJbikSsRwArpRrYK-Stl5S8vuLV_eYxH/view?usp=sharing</t>
  </si>
  <si>
    <t>a9acf066</t>
  </si>
  <si>
    <t>Man United vs Burnley - Premier League</t>
  </si>
  <si>
    <t>https://www.vidio.com/live/9182-champions-tv-5?schedule_id=4525571</t>
  </si>
  <si>
    <t>https://drive.google.com/drive/folders/15hKAJ-hmFsfWnsXCW8XzA0Lg5nQl9F2o?usp=drive_link</t>
  </si>
  <si>
    <t>manchester united fc; burnley fc; sports stream</t>
  </si>
  <si>
    <t>Nonton streaming pertandingan seru Man United vs Burnley - Premier League. Saksikan aksi-aksi terbaik dari tim yang bersaing ketat untuk meraih kemenangan. Dapatkan informasi lengkap mengenai jadwal pertandingan dan hasil pertandingan terbaru hanya di Vidio.</t>
  </si>
  <si>
    <t>MUN: DE LIGT &amp; CUNHA
BUR: WALKER &amp; BROJA</t>
  </si>
  <si>
    <t>E2 , F2</t>
  </si>
  <si>
    <t>NTC Gabungan dengan Chelsea vs Tottenham</t>
  </si>
  <si>
    <t>https://drive.google.com/file/d/1m75-auz17ogSPn6TW4KGtM8VHxThMo9D/view?usp=sharing</t>
  </si>
  <si>
    <t>https://drive.google.com/file/d/15G7suiCsaWeL2VKTZ51iXttAa-BqKQfA/view?usp=drive_link</t>
  </si>
  <si>
    <t>https://drive.google.com/file/d/1_rui0ZHc0duAkqlhGpFpTVSDNYC5rsdb/view?usp=sharing</t>
  </si>
  <si>
    <t>c87c7a39</t>
  </si>
  <si>
    <t>Sunderland vs Brentford - Premier League</t>
  </si>
  <si>
    <t>https://www.vidio.com/live/19375-premier-league?schedule_id=4525573</t>
  </si>
  <si>
    <t>https://drive.google.com/drive/folders/1ky5IV2Ko2t3r5bXzPexZCAGOOVS5nnID?usp=drive_link</t>
  </si>
  <si>
    <t>sunderland afc; brentford fc; sports stream</t>
  </si>
  <si>
    <t>Nonton streaming pertandingan seru Sunderland vs Brentford - Premier League. Saksikan aksi-aksi terbaik dari tim yang bersaing ketat untuk meraih kemenangan. Dapatkan informasi lengkap mengenai jadwal pertandingan dan hasil pertandingan terbaru hanya di Vidio.</t>
  </si>
  <si>
    <t>SUN: PATRICK ROBERTS &amp; DIARRA
BRE: AJER &amp; CARVALHO</t>
  </si>
  <si>
    <t>E4 , F4</t>
  </si>
  <si>
    <t>https://drive.google.com/file/d/1BnglplFFv3tXP7F3bdNyRNQAjKZXjRlc/view?usp=sharing</t>
  </si>
  <si>
    <t>https://drive.google.com/file/d/1ZVsci6TthZBxhN98-L5PbOLBKRF1gUlO/view?usp=drive_link</t>
  </si>
  <si>
    <t>https://drive.google.com/file/d/18O5hyQsHP9roKQil1K24n0--I7KNUQuU/view?usp=sharing</t>
  </si>
  <si>
    <t>4cdc8c81</t>
  </si>
  <si>
    <t>Arsenal vs Man City - Premier League</t>
  </si>
  <si>
    <t>https://www.vidio.com/live/9182-champions-tv-5?schedule_id=4579969</t>
  </si>
  <si>
    <t>https://drive.google.com/drive/folders/1RB2EQXZHqIJHbC86UuUYdYFNYRZyGXGt?usp=drive_link</t>
  </si>
  <si>
    <t>https://drive.google.com/drive/folders/16KPsK9K0mVahy0NKMh1LLjDSdQ-qrIKf?usp=drive_link</t>
  </si>
  <si>
    <t>arsenal fc; manchester city fc; sports stream</t>
  </si>
  <si>
    <t>Nonton streaming pertandingan seru Arsenal vs Man City - Premier League. Saksikan aksi-aksi terbaik dari tim yang bersaing ketat untuk meraih kemenangan. Dapatkan informasi lengkap mengenai jadwal pertandingan dan hasil pertandingan terbaru hanya di Vidio.</t>
  </si>
  <si>
    <t>ARS: RICE &amp; ARTETA
MCI: TIJJANI &amp; GUARDIOLA</t>
  </si>
  <si>
    <t>https://drive.google.com/file/d/1fyL0VpjlQT8vRV2-7N6JRWmDrpoMbLSd/view?usp=sharing</t>
  </si>
  <si>
    <t>https://drive.google.com/file/d/1emZSbI1dRnJz3DCP5aJqsUNhoLc3RiIj/view?usp=drive_link</t>
  </si>
  <si>
    <t>https://drive.google.com/file/d/1ylgpTotiu35yZRyaPmCsgFNM0NeOddVN/view?usp=sharing</t>
  </si>
  <si>
    <t>19b8dbd3</t>
  </si>
  <si>
    <t>Bournemouth vs Newcastle - Premier League</t>
  </si>
  <si>
    <t>https://www.vidio.com/live/9182-champions-tv-5?schedule_id=4587129</t>
  </si>
  <si>
    <t>https://drive.google.com/drive/folders/1YVhbWcbn0U5bDlvp9siQSAwcwllTIBVg?usp=drive_link</t>
  </si>
  <si>
    <t>afc bournemouth; newcastle united fc; sports stream</t>
  </si>
  <si>
    <t>Nonton streaming pertandingan seru Bournemouth vs Newcastle - Premier League. Saksikan aksi-aksi terbaik dari tim yang bersaing ketat untuk meraih kemenangan. Dapatkan informasi lengkap mengenai jadwal pertandingan dan hasil pertandingan terbaru hanya di Vidio.</t>
  </si>
  <si>
    <t>BOU: SEMENYO &amp; SCOTT
NEW: TONALI &amp; WOLTEMADE</t>
  </si>
  <si>
    <t>https://drive.google.com/file/d/1cezuKySoF0EjAPmUHMwiwEY_2H3ELHEX/view?usp=sharing</t>
  </si>
  <si>
    <t>https://drive.google.com/file/d/1SXcVGg2vt70D1BuhpGIDDxWwzXgGJbqt/view?usp=drive_link</t>
  </si>
  <si>
    <t>https://drive.google.com/file/d/18C7HTChytH1e3qrG90OEVjk2Tb2cr6sP/view?usp=sharing</t>
  </si>
  <si>
    <t>8d51b0f7</t>
  </si>
  <si>
    <t>Brighton vs Tottenham - Premier League</t>
  </si>
  <si>
    <t>https://www.vidio.com/live/9182-champions-tv-5?schedule_id=4579890</t>
  </si>
  <si>
    <t>https://drive.google.com/drive/folders/16Rito2Lzn6lovqF6twHBJ2qrsr5gTQSr?usp=drive_link</t>
  </si>
  <si>
    <t>brighton &amp; hove albion fc; tottenham hotspur fc; sports stream</t>
  </si>
  <si>
    <t>Nonton streaming pertandingan seru Brighton vs Tottenham - Premier League. Saksikan aksi-aksi terbaik dari tim yang bersaing ketat untuk meraih kemenangan. Dapatkan informasi lengkap mengenai jadwal pertandingan dan hasil pertandingan terbaru hanya di Vidio.</t>
  </si>
  <si>
    <t>BHA: MITOMA &amp; VAN HECKE
TOT: PALHINHA &amp; VAN DEN VEN</t>
  </si>
  <si>
    <t>liat sikon slot</t>
  </si>
  <si>
    <t>https://drive.google.com/file/d/1eXS8Bc_O1iOhr0KtxQSeE4efMrRdWP5c/view?usp=sharing</t>
  </si>
  <si>
    <t>https://drive.google.com/file/d/1R0CDla6BydgOxM1gGCHk7sSpZDRVzwpG/view?usp=drive_link</t>
  </si>
  <si>
    <t>https://drive.google.com/file/d/1HakL-A6i3H2_WjxM-NlKf-ccoY_QZG4f/view?usp=sharing</t>
  </si>
  <si>
    <t>69dd53a9</t>
  </si>
  <si>
    <t>Burnley vs Nottingham Forest - Premier League</t>
  </si>
  <si>
    <t>https://www.vidio.com/live/18796-premier-league?schedule_id=4579957</t>
  </si>
  <si>
    <t>https://drive.google.com/drive/folders/1e5HZcDS1KjQ---9ShCnwcyfcWesMaVK9?usp=drive_link</t>
  </si>
  <si>
    <t>burnley fc; nottingham forest fc; sports stream</t>
  </si>
  <si>
    <t>Nonton streaming pertandingan seru Burnley vs Nottingham Forest - Premier League. Saksikan aksi-aksi terbaik dari tim yang bersaing ketat untuk meraih kemenangan. Dapatkan informasi lengkap mengenai jadwal pertandingan dan hasil pertandingan terbaru hanya di Vidio.</t>
  </si>
  <si>
    <t>BUR: WALKER &amp; FLORENTINO LUIS
NFO: NECO WILLIAMS &amp; GIBBS-WHITE</t>
  </si>
  <si>
    <t>https://drive.google.com/file/d/1SZ5B4zDECkN8jzjQOLSrvtrR7d2yrtD9/view?usp=sharing</t>
  </si>
  <si>
    <t>https://drive.google.com/file/d/1M4cmhgE6iOqW7DNvghA-emxwPppGYMNB/view?usp=drive_link</t>
  </si>
  <si>
    <t>https://drive.google.com/file/d/1vg-hktObbq76Ee7i-GStlOb2a3FgfQ6d/view?usp=sharing</t>
  </si>
  <si>
    <t>2ac3bb73</t>
  </si>
  <si>
    <t>Fulham vs Brentford - Premier League</t>
  </si>
  <si>
    <t>https://www.vidio.com/live/9182-champions-tv-5?schedule_id=4579958</t>
  </si>
  <si>
    <t>https://drive.google.com/drive/folders/17rj5PNxFl4rPo1zrJBroigAa-bx5Qzf3?usp=drive_link</t>
  </si>
  <si>
    <t>fulham fc; brentford fc; sports stream</t>
  </si>
  <si>
    <t>Nonton streaming pertandingan seru Fulham vs Brentford - Premier League. Saksikan aksi-aksi terbaik dari tim yang bersaing ketat untuk meraih kemenangan. Dapatkan informasi lengkap mengenai jadwal pertandingan dan hasil pertandingan terbaru hanya di Vidio.</t>
  </si>
  <si>
    <t>FUL: SMITH-ROWE &amp; ANDERSEN
BRE: HENDERSON &amp; SCHADE</t>
  </si>
  <si>
    <t>https://drive.google.com/file/d/1mrw19AfgUFYHimcmd2ZLuUHVIklhC2Lv/view?usp=sharing</t>
  </si>
  <si>
    <t>https://drive.google.com/file/d/1EhwdiPKPN5ChyfJfNbfAayE5bUzqtpbX/view?usp=sharing</t>
  </si>
  <si>
    <t>https://drive.google.com/file/d/1Kjuv-Wf7f1YIIbkOaKJOIhvgjDaZEKtf/view?usp=sharing</t>
  </si>
  <si>
    <t>4ae60743</t>
  </si>
  <si>
    <t>Liverpool vs Everton - Premier League</t>
  </si>
  <si>
    <t>https://www.vidio.com/live/9182-champions-tv-5?schedule_id=4579893</t>
  </si>
  <si>
    <t>https://drive.google.com/drive/folders/1FsV7XFKpA5jbtxswcBAoNg_QQf6iIY2I?usp=drive_link</t>
  </si>
  <si>
    <t>liverpool fc; everton fc; sports stream</t>
  </si>
  <si>
    <t>Nonton streaming pertandingan seru Liverpool vs Everton - Premier League. Saksikan aksi-aksi terbaik dari tim yang bersaing ketat untuk meraih kemenangan. Dapatkan informasi lengkap mengenai jadwal pertandingan dan hasil pertandingan terbaru hanya di Vidio.</t>
  </si>
  <si>
    <t>LIV: SALAH &amp; ALLISON
EVE: GREALISH &amp; PICKFORD</t>
  </si>
  <si>
    <t>A4 , B4</t>
  </si>
  <si>
    <t>NTC Gabungan degn Brighton vs totttenham</t>
  </si>
  <si>
    <t>https://drive.google.com/file/d/1gH7hNsvEAksge1CQdhPMiaOLWFgpTtVA/view?usp=sharing</t>
  </si>
  <si>
    <t>https://drive.google.com/file/d/1H1l9IZ0qpnZfF_yhMWpmBL_P21cV9vVa/view?usp=sharing</t>
  </si>
  <si>
    <t>https://drive.google.com/file/d/1CI3_4eToEqW87zQB4IM1KjfdxaCX2iyw/view?usp=sharing</t>
  </si>
  <si>
    <t>2cd3f0da</t>
  </si>
  <si>
    <t>Man United vs Chelsea - Premier League</t>
  </si>
  <si>
    <t>https://www.vidio.com/live/9182-champions-tv-5?schedule_id=4579887</t>
  </si>
  <si>
    <t>https://drive.google.com/drive/folders/1_p8cX4lDJPrVISVS5mqqd0UNNZkyDPHE?usp=drive_link</t>
  </si>
  <si>
    <t>manchester united fc; chelsea fc; sports stream</t>
  </si>
  <si>
    <t>Nonton streaming pertandingan seru Man United vs Chelsea - Premier League. Saksikan aksi-aksi terbaik dari tim yang bersaing ketat untuk meraih kemenangan. Dapatkan informasi lengkap mengenai jadwal pertandingan dan hasil pertandingan terbaru hanya di Vidio.</t>
  </si>
  <si>
    <t>MUN: BRUNO FERNANDES &amp; AMORIM
CHE: GARNACHO &amp; MARESCA</t>
  </si>
  <si>
    <t>F2 , B2</t>
  </si>
  <si>
    <t>https://drive.google.com/file/d/1axKsQBNGe4NqRS0fYSSJBMHcaqbGl6_a/view?usp=sharing</t>
  </si>
  <si>
    <t>https://drive.google.com/file/d/13OgJiD2oTqnlX-e-OwvVI3aOEvCQne4e/view?usp=drive_link</t>
  </si>
  <si>
    <t>https://drive.google.com/file/d/1ctCFy3t9Af3wJSIKf5psNdiQjzRwBuU4/view?usp=sharing</t>
  </si>
  <si>
    <t>2be59977</t>
  </si>
  <si>
    <t>Sunderland vs Aston Villa - Premier League</t>
  </si>
  <si>
    <t>https://www.vidio.com/live/9183-champions-tv-6?schedule_id=4587130</t>
  </si>
  <si>
    <t>https://drive.google.com/drive/folders/1XzY4IMHmjuu_CF8bFGk-QAPf5VEHRo_X?usp=drive_link</t>
  </si>
  <si>
    <t>sunderland afc; aston villa fc; sports stream</t>
  </si>
  <si>
    <t>Nonton streaming pertandingan seru Sunderland vs Aston Villa - Premier League. Saksikan aksi-aksi terbaik dari tim yang bersaing ketat untuk meraih kemenangan. Dapatkan informasi lengkap mengenai jadwal pertandingan dan hasil pertandingan terbaru hanya di Vidio.</t>
  </si>
  <si>
    <t>SUN: XHAKA &amp; ADINGRA
AVL: TIELEMANS &amp; WATKINS</t>
  </si>
  <si>
    <t>C2 , D2</t>
  </si>
  <si>
    <t>https://drive.google.com/file/d/1oMw1dgONPkxbGEHV_XjM76YKHDpQzHwX/view?usp=sharing</t>
  </si>
  <si>
    <t>https://drive.google.com/file/d/1daAl3DQ3B5-2_tHqE1nw0dzgbNdJS2Ol/view?usp=drive_link</t>
  </si>
  <si>
    <t>https://drive.google.com/file/d/11IgM4P84SVvOvfzBaqstMlOlMA9Laus_/view?usp=sharing</t>
  </si>
  <si>
    <t>a6172e8f</t>
  </si>
  <si>
    <t>West Ham vs Crystal Palace - Premier League</t>
  </si>
  <si>
    <t>https://www.vidio.com/live/9183-champions-tv-6?schedule_id=4579896</t>
  </si>
  <si>
    <t>https://drive.google.com/drive/folders/1WMGTujDZ1H7xavXTfy6GHpDEa7PZdvmi?usp=drive_link</t>
  </si>
  <si>
    <t>west ham united fc; crystal palace fc; sports stream</t>
  </si>
  <si>
    <t>Nonton streaming pertandingan seru West Ham vs Crystal Palace - Premier League. Saksikan aksi-aksi terbaik dari tim yang bersaing ketat untuk meraih kemenangan. Dapatkan informasi lengkap mengenai jadwal pertandingan dan hasil pertandingan terbaru hanya di Vidio.</t>
  </si>
  <si>
    <t>WHU: PAQUETA &amp; WARD-PROWSE
CRY: GUEHI &amp; MITCHELL</t>
  </si>
  <si>
    <t>https://drive.google.com/file/d/14LXB2UivJns0x8zknZtNgxV0drGg_19w/view?usp=sharing</t>
  </si>
  <si>
    <t>https://drive.google.com/file/d/1sJLwhZNqEMinZONTfZKBSXtrGwCjQpy9/view?usp=drive_link</t>
  </si>
  <si>
    <t>https://drive.google.com/file/d/1ixFQ0i3_CHMRm6ulyfwu1KzUaXU6T7yH/view?usp=sharing</t>
  </si>
  <si>
    <t>556f0ac8</t>
  </si>
  <si>
    <t>Wolves vs Leeds United - Premier League</t>
  </si>
  <si>
    <t>https://www.vidio.com/live/19536-premier-league?schedule_id=4579956</t>
  </si>
  <si>
    <t>https://drive.google.com/drive/folders/18cvPy5isiopnc5zQJScVZsQLy6Vj3xct?usp=drive_link</t>
  </si>
  <si>
    <t>wolverhampton wanderers fc; leeds united fc; sports stream</t>
  </si>
  <si>
    <t>Nonton streaming pertandingan seru Wolves vs Leeds United - Premier League. Saksikan aksi-aksi terbaik dari tim yang bersaing ketat untuk meraih kemenangan. Dapatkan informasi lengkap mengenai jadwal pertandingan dan hasil pertandingan terbaru hanya di Vidio.</t>
  </si>
  <si>
    <t>WOL: JHON ARIAS &amp; JOAO GOMES
LEE: CALVERT-LEWIN &amp; ETHAN AMPADU</t>
  </si>
  <si>
    <t>https://drive.google.com/file/d/1y3RpMV2NQseKMgiCo-qTvcfql0mjdu_w/view?usp=sharing</t>
  </si>
  <si>
    <t>https://drive.google.com/file/d/1ZlBEgUJ3mdKViLGNqO1y0xhzhi3Oztjd/view?usp=drive_link</t>
  </si>
  <si>
    <t>https://drive.google.com/file/d/13W7GJJkPRH-HC2ocxKAwbQT7ywKWdSFH/view?usp=sharing</t>
  </si>
  <si>
    <t>f87634e1</t>
  </si>
  <si>
    <t>Aston Villa vs Fulham - Premier League</t>
  </si>
  <si>
    <t>https://www.vidio.com/live/9182-champions-tv-5?schedule_id=4598354</t>
  </si>
  <si>
    <t>https://drive.google.com/drive/folders/1h9xHnI21qscZNjf9mp-a7IxV5MwKOmIr?usp=drive_link</t>
  </si>
  <si>
    <t>https://drive.google.com/drive/folders/1HAHXgmpUJc29YOD8xWSMgQyRhfXuT8Vy</t>
  </si>
  <si>
    <t>aston villa fc; fulham fc; sports stream</t>
  </si>
  <si>
    <t>Nonton streaming pertandingan seru Aston Villa vs Fulham - Premier League. Saksikan aksi-aksi terbaik dari tim yang bersaing ketat untuk meraih kemenangan. Dapatkan informasi lengkap mengenai jadwal pertandingan dan hasil pertandingan terbaru hanya di Vidio.</t>
  </si>
  <si>
    <t>AVL: MAATSEN &amp; SANCHO
FUL: TETE &amp; IWOBI</t>
  </si>
  <si>
    <t>https://drive.google.com/file/d/1WSvL8wRzMuy6SfIM5f6ScP20_-BIKpVX/view?usp=sharing</t>
  </si>
  <si>
    <t>https://drive.google.com/file/d/1VStVdbeA1S0JCc6lkg3CTkOUu-Mcv3TA/view?usp=sharing</t>
  </si>
  <si>
    <t>https://drive.google.com/file/d/1BxaLxtrK--MbzecJElzQ-LkaCPVcUCI0/view?usp=sharing</t>
  </si>
  <si>
    <t>3418af76</t>
  </si>
  <si>
    <t>Brentford vs Man United - Premier League</t>
  </si>
  <si>
    <t>https://www.vidio.com/live/9182-champions-tv-5?schedule_id=4598335</t>
  </si>
  <si>
    <t>https://drive.google.com/drive/folders/19OcRLTU2r16eWdHLDF_-bl18XJG-3WAb?usp=drive_link</t>
  </si>
  <si>
    <t>brentford fc; manchester united fc; sports stream</t>
  </si>
  <si>
    <t>Nonton streaming pertandingan seru Brentford vs Man United - Premier League. Saksikan aksi-aksi terbaik dari tim yang bersaing ketat untuk meraih kemenangan. Dapatkan informasi lengkap mengenai jadwal pertandingan dan hasil pertandingan terbaru hanya di Vidio.</t>
  </si>
  <si>
    <t>BRE: CARVALHO &amp; COLLINS
MUN: MBEUMO &amp; DE LIGT</t>
  </si>
  <si>
    <t>https://drive.google.com/file/d/10UhrockCIn0Mc112wYagCkB98AEqppNK/view?usp=sharing</t>
  </si>
  <si>
    <t>https://drive.google.com/file/d/1g3bXRQJSM7XrutRZrN-XvKEW035mzR3f/view?usp=sharing</t>
  </si>
  <si>
    <t>https://drive.google.com/file/d/18TfDhAXrf-mAUbBQfXBUhfu073Rc-6XU/view?usp=sharing</t>
  </si>
  <si>
    <t>664b11f5</t>
  </si>
  <si>
    <t>Chelsea vs Brighton - Premier League</t>
  </si>
  <si>
    <t>https://www.vidio.com/live/19375-premier-league?schedule_id=4598348</t>
  </si>
  <si>
    <t>https://drive.google.com/drive/folders/1Awziv80ehkjtoggdOXenzauu8nM-JtYn?usp=drive_link</t>
  </si>
  <si>
    <t>chelsea fc; brighton &amp; hove albion fc; sports stream</t>
  </si>
  <si>
    <t>Nonton streaming pertandingan seru Chelsea vs Brighton - Premier League. Saksikan aksi-aksi terbaik dari tim yang bersaing ketat untuk meraih kemenangan. Dapatkan informasi lengkap mengenai jadwal pertandingan dan hasil pertandingan terbaru hanya di Vidio.</t>
  </si>
  <si>
    <t>CHE: CAICEDO &amp; CUCURELLA
BHA: BALEBA &amp; MITOMA</t>
  </si>
  <si>
    <t>NTC GABUNGAN dgn livepool</t>
  </si>
  <si>
    <t>https://drive.google.com/file/d/1fqnC3NARFQFK_vXIO2ZjgGLPrgElziOs/view?usp=sharing</t>
  </si>
  <si>
    <t>https://drive.google.com/file/d/1a2_d3I5HP0ooTFCJ_CJN7vYkBxeLIM8K/view?usp=sharing</t>
  </si>
  <si>
    <t>https://drive.google.com/file/d/1PrHIsopVeUA7tCLi4ZOn5BVu1u_LSyFM/view?usp=sharing</t>
  </si>
  <si>
    <t>3265f7d2</t>
  </si>
  <si>
    <t>Crystal Palace vs Liverpool - Premier League</t>
  </si>
  <si>
    <t>https://www.vidio.com/live/9182-champions-tv-5?schedule_id=4598336</t>
  </si>
  <si>
    <t>https://drive.google.com/drive/folders/1PPstaVk_KO7Lzbu24wFrwVbSSJ8VZ36F?usp=drive_link</t>
  </si>
  <si>
    <t>crystal palace fc; liverpool fc; sports stream</t>
  </si>
  <si>
    <t>Nonton streaming pertandingan seru Crystal Palace vs Liverpool - Premier League. Saksikan aksi-aksi terbaik dari tim yang bersaing ketat untuk meraih kemenangan. Dapatkan informasi lengkap mengenai jadwal pertandingan dan hasil pertandingan terbaru hanya di Vidio.</t>
  </si>
  <si>
    <t>CRY: MATETA &amp; MUNOZ
LIV: ISAK &amp; WIRTZ</t>
  </si>
  <si>
    <t>https://drive.google.com/file/d/1d-PZPOhYAZI-WGdlSFM5kLhuu5-E0ulJ/view?usp=sharing</t>
  </si>
  <si>
    <t>https://drive.google.com/file/d/19MpbzowAKeVIufvchm7uoK3lIxdo9oJ_/view?usp=sharing</t>
  </si>
  <si>
    <t>https://drive.google.com/file/d/1YA8k1jqusL-T7lBHuRkGdv52GJ9woPas/view?usp=sharing</t>
  </si>
  <si>
    <t>cad42714</t>
  </si>
  <si>
    <t>Everton vs West Ham - Premier League</t>
  </si>
  <si>
    <t>https://www.vidio.com/live/9182-champions-tv-5?schedule_id=4605162</t>
  </si>
  <si>
    <t>PLTV , SCTV</t>
  </si>
  <si>
    <t>https://drive.google.com/drive/folders/1BBPnciCmEhRmB3Mntys0ga4BRg4OTZki?usp=drive_link</t>
  </si>
  <si>
    <t>everton fc; west ham united fc; sports stream</t>
  </si>
  <si>
    <t>Nonton streaming pertandingan seru Everton vs West Ham - Premier League. Saksikan aksi-aksi terbaik dari tim yang bersaing ketat untuk meraih kemenangan. Dapatkan informasi lengkap mengenai jadwal pertandingan dan hasil pertandingan terbaru hanya di Vidio.</t>
  </si>
  <si>
    <t>EVE: NDIAYE &amp; MOYES
WHU: BOWEN &amp; POTTER</t>
  </si>
  <si>
    <t>https://drive.google.com/file/d/1G7aA7PeGKc3DAcBJ2UoxtypUyItWhTGp/view?usp=sharing</t>
  </si>
  <si>
    <t>https://drive.google.com/file/d/1jhfwlcJgJT-16jVZ9d9P4VLGJYOQbm5B/view?usp=sharing</t>
  </si>
  <si>
    <t>https://drive.google.com/file/d/1r6K45AmX33i4zlPHiIc6soV-elwraE_I/view?usp=sharing</t>
  </si>
  <si>
    <t>799e0b64</t>
  </si>
  <si>
    <t>Leeds United vs Bournemouth - Premier League</t>
  </si>
  <si>
    <t>https://www.vidio.com/live/19536-premier-league?schedule_id=4598350</t>
  </si>
  <si>
    <t>https://drive.google.com/drive/folders/1KAj-OGpDqc1_ExxRgEtLS45mO-l4CfL1?usp=drive_link</t>
  </si>
  <si>
    <t>leeds united fc; afc bournemouth; sports stream</t>
  </si>
  <si>
    <t>Nonton streaming pertandingan seru Leeds United vs Bournemouth - Premier League. Saksikan aksi-aksi terbaik dari tim yang bersaing ketat untuk meraih kemenangan. Dapatkan informasi lengkap mengenai jadwal pertandingan dan hasil pertandingan terbaru hanya di Vidio.</t>
  </si>
  <si>
    <t>LEE: STRUIJK &amp; NMECHA
BOU: KLUIVERT &amp; TAVERNIER</t>
  </si>
  <si>
    <t>https://drive.google.com/file/d/1r3JRZTY4ISs3oOYAhS8GRbXElomf41pL/view?usp=sharing</t>
  </si>
  <si>
    <t>https://drive.google.com/file/d/1qZS5a1LK3XVrhPB8MTYGiKRKK0evTCyQ/view?usp=sharing</t>
  </si>
  <si>
    <t>https://drive.google.com/file/d/1glo8o3vgxuAykM20PLtYmK8ZKYjLyZ-W/view?usp=sharing</t>
  </si>
  <si>
    <t>8b3c999d</t>
  </si>
  <si>
    <t>Man City vs Burnley - Premier League</t>
  </si>
  <si>
    <t>https://www.vidio.com/live/9183-champions-tv-6?schedule_id=4598339</t>
  </si>
  <si>
    <t>https://drive.google.com/drive/folders/1pAoPRneWjxwrbmOjB6Y7P9oUVA1Ivv8o?usp=drive_link</t>
  </si>
  <si>
    <t>manchester city fc; burnley fc; sports stream</t>
  </si>
  <si>
    <t>Nonton streaming pertandingan seru Man City vs Burnley - Premier League. Saksikan aksi-aksi terbaik dari tim yang bersaing ketat untuk meraih kemenangan. Dapatkan informasi lengkap mengenai jadwal pertandingan dan hasil pertandingan terbaru hanya di Vidio.</t>
  </si>
  <si>
    <t>MCI: DONNARUMMA &amp; HAALAND
BUR: DUBRAVKA &amp; FLORENTINO</t>
  </si>
  <si>
    <t>https://drive.google.com/file/d/10-GYtlaiE6GHqPtSsDYrCsgjE-2miiT6/view?usp=sharing</t>
  </si>
  <si>
    <t>https://drive.google.com/file/d/1e0aR8MWrwA4m4eeMgJ-pPkDu3N273HVI/view?usp=sharing</t>
  </si>
  <si>
    <t>https://drive.google.com/file/d/1A6VT_U5ovZ-TuEo-DfkGKYTETO3kFxUt/view?usp=sharing</t>
  </si>
  <si>
    <t>0a2922aa</t>
  </si>
  <si>
    <t>Newcastle vs Arsenal - Premier League</t>
  </si>
  <si>
    <t>https://www.vidio.com/live/9183-champions-tv-6?schedule_id=4598353</t>
  </si>
  <si>
    <t>https://drive.google.com/drive/folders/1qgtO3fiEv-fHXh-CC7Us9jbHXXw_OPp8?usp=drive_link</t>
  </si>
  <si>
    <t>newcastle united fc; arsenal fc; sports stream</t>
  </si>
  <si>
    <t>Nonton streaming pertandingan seru Newcastle vs Arsenal - Premier League. Saksikan aksi-aksi terbaik dari tim yang bersaing ketat untuk meraih kemenangan. Dapatkan informasi lengkap mengenai jadwal pertandingan dan hasil pertandingan terbaru hanya di Vidio.</t>
  </si>
  <si>
    <t>NEW: ELANGA &amp; GUIMARAES
ARS: EZE &amp; SALIBA</t>
  </si>
  <si>
    <t>muhammad.arlyanto@vidio.com</t>
  </si>
  <si>
    <t>https://drive.google.com/file/d/1QQmMDNr4beGlGUGnCsk8JitBgFYiKZZp/view?usp=sharing</t>
  </si>
  <si>
    <t>https://drive.google.com/file/d/1YTXx_Qg37X8fGnuqapZys1pl-Cycvwik/view?usp=sharing</t>
  </si>
  <si>
    <t>https://drive.google.com/file/d/1G2ndV4s8qL8PlAJUENtYoHgRjgDftalT/view?usp=sharing</t>
  </si>
  <si>
    <t>d9e74ad6</t>
  </si>
  <si>
    <t>Nottingham Forest vs Sunderland - Premier League</t>
  </si>
  <si>
    <t>https://www.vidio.com/live/9182-champions-tv-5?schedule_id=4598337</t>
  </si>
  <si>
    <t>https://drive.google.com/drive/folders/11zcLCxtIDNFOFz7sgP0RjkZ7RTHC4707?usp=drive_link</t>
  </si>
  <si>
    <t>nottingham forest fc; sunderland afc; sports stream</t>
  </si>
  <si>
    <t>Nonton streaming pertandingan seru Nottingham Forest vs Sunderland - Premier League. Saksikan aksi-aksi terbaik dari tim yang bersaing ketat untuk meraih kemenangan. Dapatkan informasi lengkap mengenai jadwal pertandingan dan hasil pertandingan terbaru hanya di Vidio.</t>
  </si>
  <si>
    <t>NFO: WOOD &amp; SELS
SUN: ADINGRA &amp; ROEFS</t>
  </si>
  <si>
    <t>F2</t>
  </si>
  <si>
    <t>https://drive.google.com/file/d/1v7KFajMfKBDlQ3NUU0BOucuQiuofbpkV/view?usp=sharing</t>
  </si>
  <si>
    <t>https://drive.google.com/file/d/1rDngRrDYEDTGY38kDVazS6faiWgNUn-X/view?usp=sharing</t>
  </si>
  <si>
    <t>https://drive.google.com/file/d/1FaxZ0EXbqDWmhk8IwihSE1hMePaTFF_5/view?usp=sharing</t>
  </si>
  <si>
    <t>0c6b901b</t>
  </si>
  <si>
    <t>Tottenham vs Wolves - Premier League</t>
  </si>
  <si>
    <t>https://www.vidio.com/live/9182-champions-tv-5?schedule_id=4598338</t>
  </si>
  <si>
    <t>https://drive.google.com/drive/folders/1JuZigKEDE4dgjg3lc_u7N621E-Eoa2zx?usp=drive_link</t>
  </si>
  <si>
    <t>tottenham hotspur fc; wolverhampton wanderers fc; sports stream</t>
  </si>
  <si>
    <t>Nonton streaming pertandingan seru Tottenham vs Wolves - Premier League. Saksikan aksi-aksi terbaik dari tim yang bersaing ketat untuk meraih kemenangan. Dapatkan informasi lengkap mengenai jadwal pertandingan dan hasil pertandingan terbaru hanya di Vidio.</t>
  </si>
  <si>
    <t>TOT: RICHARLISON &amp; XAVI SIMONS
WOL: BELLEGARDE &amp; ANDRE</t>
  </si>
  <si>
    <t>A3</t>
  </si>
  <si>
    <t>https://drive.google.com/file/d/1jN5io_yCKnlmGc06HsJJomlb6bDH2zPX/view?usp=sharing</t>
  </si>
  <si>
    <t>https://drive.google.com/file/d/1mTsCJ8diIPsRogG5Ed1jrEXUJDOym7-C/view?usp=sharing</t>
  </si>
  <si>
    <t>https://drive.google.com/file/d/1GGFgnAk9bRuKBTWcnBDFUMnPdPZbzhfB/view?usp=sharing</t>
  </si>
  <si>
    <t>2efeecd7</t>
  </si>
  <si>
    <t>Arsenal vs West Ham - Premier League</t>
  </si>
  <si>
    <t>https://www.vidio.com/live/9183-champions-tv-6?schedule_id=4626716</t>
  </si>
  <si>
    <t>https://drive.google.com/drive/folders/1g0y8cpcE-UWWQ7K7Mk2j7VzibCzMqxZ3?usp=drive_link</t>
  </si>
  <si>
    <t>https://drive.google.com/drive/folders/1Vw5ULB3fjb8MiDjTT3Dib7EARuLaPv18</t>
  </si>
  <si>
    <t>arsenal fc; west ham united fc; sports stream</t>
  </si>
  <si>
    <t>Nonton streaming pertandingan seru Arsenal vs West Ham - Premier League. Saksikan aksi-aksi terbaik dari tim yang bersaing ketat untuk meraih kemenangan. Dapatkan informasi lengkap mengenai jadwal pertandingan dan hasil pertandingan terbaru hanya di Vidio.</t>
  </si>
  <si>
    <t>ARS: GYOKERES &amp; EZE
WHU: PAQUETA &amp; BOWEN</t>
  </si>
  <si>
    <t>https://drive.google.com/file/d/1cUMXmnbQxK9dhL3TrRR2D-kvHte9yuth/view?usp=sharing</t>
  </si>
  <si>
    <t>https://drive.google.com/file/d/1z7albA6c1Z3TJRXY0kypNPJazYVa2jox/view?usp=sharing</t>
  </si>
  <si>
    <t>https://drive.google.com/file/d/19KhZqJb8GPQ7Gk1KULbhyT29o9DQbNPf/view?usp=sharing</t>
  </si>
  <si>
    <t>7d3483d2</t>
  </si>
  <si>
    <t>Aston Villa vs Burnley - Premier League</t>
  </si>
  <si>
    <t>https://www.vidio.com/live/19536-premier-league?schedule_id=4626721</t>
  </si>
  <si>
    <t>https://drive.google.com/drive/folders/1ZoiVTfzJ3065iJgnVDPRIElUqpcWy71r?usp=drive_link</t>
  </si>
  <si>
    <t>aston villa fc; burnley fc; sports stream</t>
  </si>
  <si>
    <t>Nonton streaming pertandingan seru Aston Villa vs Burnley - Premier League. Saksikan aksi-aksi terbaik dari tim yang bersaing ketat untuk meraih kemenangan. Dapatkan informasi lengkap mengenai jadwal pertandingan dan hasil pertandingan terbaru hanya di Vidio.</t>
  </si>
  <si>
    <t>AVL: WATKINS &amp; MORGAN ROGERS
BUR: WALKER &amp; FLORENTINO</t>
  </si>
  <si>
    <t>https://drive.google.com/file/d/1nGO8RCZs0RcuNxT7TFpw2Rp0aIHc-ZzE/view?usp=sharing</t>
  </si>
  <si>
    <t>https://drive.google.com/file/d/1AKulvA5IlbcKt-Cnlz4Y9gMB_b6uXVDF/view?usp=sharing</t>
  </si>
  <si>
    <t>https://drive.google.com/file/d/1bAdoxII7jBtfmj36kups87t7hVeAaKou/view?usp=sharing</t>
  </si>
  <si>
    <t>33061f7e</t>
  </si>
  <si>
    <t>Bournemouth vs Fulham - Premier League</t>
  </si>
  <si>
    <t>https://www.vidio.com/live/9182-champions-tv-5?schedule_id=4626719</t>
  </si>
  <si>
    <t>https://drive.google.com/drive/folders/1hzxUd-Ey-cULuz3L2vPY3N7MBhM5qBvM?usp=drive_link</t>
  </si>
  <si>
    <t>afc bournemouth; fulham fc; sports stream</t>
  </si>
  <si>
    <t>Nonton streaming pertandingan seru Bournemouth vs Fulham - Premier League. Saksikan aksi-aksi terbaik dari tim yang bersaing ketat untuk meraih kemenangan. Dapatkan informasi lengkap mengenai jadwal pertandingan dan hasil pertandingan terbaru hanya di Vidio.</t>
  </si>
  <si>
    <t>BOU: SEMENYO &amp; SENESI
FUL: IWOBI &amp; ROBINSON</t>
  </si>
  <si>
    <t>A2 , F2</t>
  </si>
  <si>
    <t>https://drive.google.com/file/d/1bQjnWamv-HFCLXaw74zzzdzcJSW61pGu/view?usp=sharing</t>
  </si>
  <si>
    <t>https://drive.google.com/file/d/1kOKTxn-i_WDGmuU7O3dLQ7yM8j7CX_o4/view?usp=sharing</t>
  </si>
  <si>
    <t>https://drive.google.com/file/d/15DHDO78xHocUuUeAe7VDEQzXxPiXC6RX/view?usp=sharing</t>
  </si>
  <si>
    <t>012fcb90</t>
  </si>
  <si>
    <t>Brentford vs Man City - Premier League</t>
  </si>
  <si>
    <t>https://www.vidio.com/live/9182-champions-tv-5?schedule_id=4627660</t>
  </si>
  <si>
    <t>https://drive.google.com/drive/folders/1i7foYO2E3UrOgBnjb8Kx12ycvt8jYyOl?usp=drive_link</t>
  </si>
  <si>
    <t>brentford fc; manchester city fc; sports stream</t>
  </si>
  <si>
    <t>Nonton streaming pertandingan seru Brentford vs Man City - Premier League. Saksikan aksi-aksi terbaik dari tim yang bersaing ketat untuk meraih kemenangan. Dapatkan informasi lengkap mengenai jadwal pertandingan dan hasil pertandingan terbaru hanya di Vidio.</t>
  </si>
  <si>
    <t>BRE: DAMSGAARD &amp; COLLINS
MCI: TIJJANI &amp; GVARDIOL</t>
  </si>
  <si>
    <t>https://drive.google.com/file/d/1YJ94g7wsosGzzvm5T-e-qulUfEcxocXB/view?usp=sharing</t>
  </si>
  <si>
    <t>https://drive.google.com/file/d/1fuo6QD-keipNEPwHmpyCOuZkpbJj9g08/view?usp=sharing</t>
  </si>
  <si>
    <t>https://drive.google.com/file/d/1nGc2ERwrHfbwwot8E2qFe6Daue5GQiPs/view?usp=sharing</t>
  </si>
  <si>
    <t>4113624c</t>
  </si>
  <si>
    <t>Chelsea vs Liverpool - Premier League</t>
  </si>
  <si>
    <t>https://www.vidio.com/live/9182-champions-tv-5?schedule_id=4626718</t>
  </si>
  <si>
    <t>https://drive.google.com/drive/folders/1EhM_sfKqcYD8FSB_IsJ4MNNt9KXnol8L?usp=drive_link</t>
  </si>
  <si>
    <t>chelsea fc; liverpool fc; sports stream</t>
  </si>
  <si>
    <t>Nonton streaming pertandingan seru Chelsea vs Liverpool - Premier League. Saksikan aksi-aksi terbaik dari tim yang bersaing ketat untuk meraih kemenangan. Dapatkan informasi lengkap mengenai jadwal pertandingan dan hasil pertandingan terbaru hanya di Vidio.</t>
  </si>
  <si>
    <t>CHE: ENZO FERNANDES &amp; ESTEVAO
LIV: SALAH &amp; GRAVENBERCH</t>
  </si>
  <si>
    <t>https://drive.google.com/file/d/1XLPDordbRxBJaZfkNyDiNU4Yo_U4Tf-5/view?usp=sharing</t>
  </si>
  <si>
    <t>https://drive.google.com/file/d/1BjkDyXdH3AJ1zEUP7oeMSHPdHv5aMEm0/view?usp=sharing</t>
  </si>
  <si>
    <t>https://drive.google.com/file/d/1-0n2eUIIbRPLS7zJISDt4-_3Iiwhr5bF/view?usp=sharing</t>
  </si>
  <si>
    <t>f23bda99</t>
  </si>
  <si>
    <t>Everton vs Crystal Palace - Premier League</t>
  </si>
  <si>
    <t>https://www.vidio.com/live/9182-champions-tv-5?schedule_id=4626722</t>
  </si>
  <si>
    <t>https://drive.google.com/drive/folders/1RdX2WhbrBxsFRdjEGHWn63LxsqRmzWAE?usp=drive_link</t>
  </si>
  <si>
    <t>everton fc; crystal palace fc; sports stream</t>
  </si>
  <si>
    <t>Nonton streaming pertandingan seru Everton vs Crystal Palace - Premier League. Saksikan aksi-aksi terbaik dari tim yang bersaing ketat untuk meraih kemenangan. Dapatkan informasi lengkap mengenai jadwal pertandingan dan hasil pertandingan terbaru hanya di Vidio.</t>
  </si>
  <si>
    <t>EVE: PICKFORD &amp; DEWSBURRY-HALL
CRY: HENDERSON &amp; WHARTON</t>
  </si>
  <si>
    <t>https://drive.google.com/file/d/1e613l1caxpGbn3mXzVc8ENDd8qb7a5i5/view?usp=sharing</t>
  </si>
  <si>
    <t>https://drive.google.com/file/d/1KtnyJXydkx6QSGWerUnpVLCTD17dRahY/view?usp=sharing</t>
  </si>
  <si>
    <t>https://drive.google.com/file/d/1wVqIg0nI9CsqyvyJCVYB4d-3SahhcXxi/view?usp=sharing</t>
  </si>
  <si>
    <t>5643b5a7</t>
  </si>
  <si>
    <t>Leeds United vs Tottenham - Premier League</t>
  </si>
  <si>
    <t>https://www.vidio.com/live/9182-champions-tv-5?schedule_id=4626714</t>
  </si>
  <si>
    <t>PLTV , MOJI</t>
  </si>
  <si>
    <t>https://drive.google.com/drive/folders/1UFOUGRJi4XN-HSh9i2Q25uxvlSp2ZbD-?usp=drive_link</t>
  </si>
  <si>
    <t>leeds united fc; tottenham hotspur fc; sports stream</t>
  </si>
  <si>
    <t>Nonton streaming pertandingan seru Leeds United vs Tottenham - Premier League. Saksikan aksi-aksi terbaik dari tim yang bersaing ketat untuk meraih kemenangan. Dapatkan informasi lengkap mengenai jadwal pertandingan dan hasil pertandingan terbaru hanya di Vidio.</t>
  </si>
  <si>
    <t>LEE: CALVERT-LEWIN &amp; DAN JAMES
TOT: KUDUS &amp; PALHINHA</t>
  </si>
  <si>
    <t>https://drive.google.com/file/d/1bA91D-9laCG2e0nrKvhsyUXf7yKeOMWr/view?usp=sharing</t>
  </si>
  <si>
    <t>https://drive.google.com/file/d/1AizNUI6wC76l6AVBWBs8UM_kHlNTcGKI/view?usp=sharing</t>
  </si>
  <si>
    <t>https://drive.google.com/file/d/1ohzbP5iCkhgNnXX9-3wBiKF-GtpJsZFT/view?usp=sharing</t>
  </si>
  <si>
    <t>e6deba9e</t>
  </si>
  <si>
    <t>Man United vs Sunderland - Premier League</t>
  </si>
  <si>
    <t>https://www.vidio.com/live/9182-champions-tv-5?schedule_id=4626715</t>
  </si>
  <si>
    <t>https://drive.google.com/drive/folders/1XSxZcXqNMI03rsrhVI_Kkv0Ep9ayp-IQ?usp=drive_link</t>
  </si>
  <si>
    <t>manchester united fc; sunderland afc; sports stream</t>
  </si>
  <si>
    <t>Nonton streaming pertandingan seru Man United vs Sunderland - Premier League. Saksikan aksi-aksi terbaik dari tim yang bersaing ketat untuk meraih kemenangan. Dapatkan informasi lengkap mengenai jadwal pertandingan dan hasil pertandingan terbaru hanya di Vidio.</t>
  </si>
  <si>
    <t>MUN: CUNHA &amp; SESKO
SUN: LE FEE &amp; XHAKA</t>
  </si>
  <si>
    <t>https://drive.google.com/file/d/1xkcQ_EcFF-isIPF5MlIvk-xxpHHQBs3I/view?usp=sharing</t>
  </si>
  <si>
    <t>https://drive.google.com/file/d/1KFO6DKh0CxBj5R_CrQXktaiCHVX8Qqci/view?usp=sharing</t>
  </si>
  <si>
    <t>https://drive.google.com/file/d/1yseeZEitQODhKmF6kZKO79FbXx7NMkhJ/view?usp=sharing</t>
  </si>
  <si>
    <t>1e95841a</t>
  </si>
  <si>
    <t>Newcastle vs Nottingham Forest - Premier League</t>
  </si>
  <si>
    <t>https://www.vidio.com/live/9183-champions-tv-6?schedule_id=4626724</t>
  </si>
  <si>
    <t>https://drive.google.com/drive/folders/1OMgaPNHIYky4awKq5iKtXlxY0La6WHK8?usp=drive_link</t>
  </si>
  <si>
    <t>newcastle united fc; nottingham forest fc; sports stream</t>
  </si>
  <si>
    <t>Nonton streaming pertandingan seru Newcastle vs Nottingham Forest - Premier League. Saksikan aksi-aksi terbaik dari tim yang bersaing ketat untuk meraih kemenangan. Dapatkan informasi lengkap mengenai jadwal pertandingan dan hasil pertandingan terbaru hanya di Vidio.</t>
  </si>
  <si>
    <t>NEW: TONALI &amp; WOLTEMADE
NFO: GIBBS-WHITE &amp; WOOD</t>
  </si>
  <si>
    <t>https://drive.google.com/file/d/1_Ko-0_D6bYgzrb7oUEdewzRsRBlHKKEF/view?usp=sharing</t>
  </si>
  <si>
    <t>https://drive.google.com/file/d/15CN9hFICV7xIw_V_Bxc29D2mRfhF4vfu/view?usp=sharing</t>
  </si>
  <si>
    <t>https://drive.google.com/file/d/1jPqEsdoaVjcOocS2fZxiZC_PGoGk2CHt/view?usp=sharing</t>
  </si>
  <si>
    <t>1eb9a1df</t>
  </si>
  <si>
    <t>Wolves vs Brighton - Premier League</t>
  </si>
  <si>
    <t>https://www.vidio.com/live/19375-premier-league?schedule_id=4626726</t>
  </si>
  <si>
    <t>https://drive.google.com/drive/folders/19nYfxxESpng045cZUVVwpDwL-53ycrp4?usp=drive_link</t>
  </si>
  <si>
    <t>wolverhampton wanderers fc; brighton &amp; hove albion fc; sports stream</t>
  </si>
  <si>
    <t>Nonton streaming pertandingan seru Wolves vs Brighton - Premier League. Saksikan aksi-aksi terbaik dari tim yang bersaing ketat untuk meraih kemenangan. Dapatkan informasi lengkap mengenai jadwal pertandingan dan hasil pertandingan terbaru hanya di Vidio.</t>
  </si>
  <si>
    <t>WOL: ARIAS &amp; DOHERTY
BHA: WELBECK &amp; MITOMA</t>
  </si>
  <si>
    <t>https://drive.google.com/file/d/1R-ZblOd0yDSQBIuo90i1Wz0i9gRbdcfC/view?usp=sharing</t>
  </si>
  <si>
    <t>https://drive.google.com/file/d/1yxucoUy_aMVLziFfaCSeRVPh-oXg3gF3/view?usp=sharing</t>
  </si>
  <si>
    <t>https://drive.google.com/file/d/1I6N84YOEvk-dNURClon1Ft33wsqdVkjw/view?usp=sharing</t>
  </si>
  <si>
    <t>56bb640e</t>
  </si>
  <si>
    <t>Brighton vs Newcastle - Premier League</t>
  </si>
  <si>
    <t>https://www.vidio.com/live/19536-premier-league?schedule_id=4653364</t>
  </si>
  <si>
    <t>https://drive.google.com/drive/folders/1_AvYCc7ivmse00iPy-pTuMmRNHb_v4dX?usp=drive_link</t>
  </si>
  <si>
    <t>https://drive.google.com/drive/folders/1TaP_vfs-hFJJkkXHSczErZfIfAt991tI</t>
  </si>
  <si>
    <t>brighton &amp; hove albion fc; newcastle united fc; sports stream</t>
  </si>
  <si>
    <t>Nonton streaming pertandingan seru Brighton vs Newcastle - Premier League. Saksikan aksi-aksi terbaik dari tim yang bersaing ketat untuk meraih kemenangan. Dapatkan informasi lengkap mengenai jadwal pertandingan dan hasil pertandingan terbaru hanya di Vidio.</t>
  </si>
  <si>
    <t>BHA: WELBECK, VAN HECKE
NEW: WOLTEMADE, BURN</t>
  </si>
  <si>
    <t>narabeto.korohama@vidio.com</t>
  </si>
  <si>
    <t>https://drive.google.com/file/d/1qne5KSvFK_DdaxtWRzDUENTvbJ39lONt/view?usp=sharing</t>
  </si>
  <si>
    <t>https://drive.google.com/file/d/1zW90DhMkdSRjbu4LRyLDJ0YBvU3MLWwE/view?usp=sharing</t>
  </si>
  <si>
    <t>https://drive.google.com/file/d/1aTkSzvWvufgaTZu63hkCBPCYvS0CYsz2/view?usp=sharing</t>
  </si>
  <si>
    <t>71260e4b</t>
  </si>
  <si>
    <t>Burnley vs Leeds United - Premier League</t>
  </si>
  <si>
    <t>https://www.vidio.com/live/19375-premier-league?schedule_id=4653368</t>
  </si>
  <si>
    <t>https://drive.google.com/drive/folders/1_jw7CKl2afi8czHfk4X7RSTce_NPZXpq?usp=drive_link</t>
  </si>
  <si>
    <t>burnley fc; leeds united fc; sports stream</t>
  </si>
  <si>
    <t>Nonton streaming pertandingan seru Burnley vs Leeds United - Premier League. Saksikan aksi-aksi terbaik dari tim yang bersaing ketat untuk meraih kemenangan. Dapatkan informasi lengkap mengenai jadwal pertandingan dan hasil pertandingan terbaru hanya di Vidio.</t>
  </si>
  <si>
    <t>BUR: JAIDON ANTHONY, WALKER
LEE: AARONSON, AMPADU</t>
  </si>
  <si>
    <t>https://drive.google.com/file/d/1kRCcGq34YfocJOzRj-hili0JsTPuTaOf/view?usp=sharing</t>
  </si>
  <si>
    <t>https://drive.google.com/file/d/1uhxPxu-TcPz1TVNLSj9YkMV16FboLFMQ/view?usp=sharing</t>
  </si>
  <si>
    <t>https://drive.google.com/file/d/1vuc5-RSimjQljc1aXWhWxqKGyl5dAEI6/view?usp=sharing</t>
  </si>
  <si>
    <t>faa791a5</t>
  </si>
  <si>
    <t>Crystal Palace vs Bournemouth - Premier League</t>
  </si>
  <si>
    <t>https://www.vidio.com/live/9183-champions-tv-6?schedule_id=4653354</t>
  </si>
  <si>
    <t>https://drive.google.com/drive/folders/1BSpntnlOM5COjmOg1WKk1wBvjrshbNcX?usp=drive_link</t>
  </si>
  <si>
    <t>crystal palace fc; afc bournemouth; sports stream</t>
  </si>
  <si>
    <t>Nonton streaming pertandingan seru Crystal Palace vs Bournemouth - Premier League. Saksikan aksi-aksi terbaik dari tim yang bersaing ketat untuk meraih kemenangan. Dapatkan informasi lengkap mengenai jadwal pertandingan dan hasil pertandingan terbaru hanya di Vidio.</t>
  </si>
  <si>
    <t>CRY: MATETA, SARR
BOU: SEMENYO, KLUIVERT</t>
  </si>
  <si>
    <t>https://drive.google.com/file/d/18f-YGZ1HJ2Uu5hjksJO87H_f67lVtRN5/view?usp=sharing</t>
  </si>
  <si>
    <t>https://drive.google.com/file/d/1JGnb7iTJ-hmZKoVfzCdbi3nmYnbjPFq1/view?usp=sharing</t>
  </si>
  <si>
    <t>https://drive.google.com/file/d/1DNjBkEetOP3XYwpj5uABqUs3t3_cc3Py/view?usp=sharing</t>
  </si>
  <si>
    <t>a8f81607</t>
  </si>
  <si>
    <t>Fulham vs Arsenal - Premier League</t>
  </si>
  <si>
    <t>https://www.vidio.com/live/9182-champions-tv-5?schedule_id=4653355</t>
  </si>
  <si>
    <t>https://drive.google.com/drive/folders/1dcM6VhSqNfaTekR1S5NCq7oaxTlNuYYb?usp=drive_link</t>
  </si>
  <si>
    <t>fulham fc; arsenal fc; sports stream</t>
  </si>
  <si>
    <t>Nonton streaming pertandingan seru Fulham vs Arsenal - Premier League. Saksikan aksi-aksi terbaik dari tim yang bersaing ketat untuk meraih kemenangan. Dapatkan informasi lengkap mengenai jadwal pertandingan dan hasil pertandingan terbaru hanya di Vidio.</t>
  </si>
  <si>
    <t>FUL: IWOBI, SMITH-ROWE
ARS: SAKA, RICE</t>
  </si>
  <si>
    <t>https://drive.google.com/file/d/1RkdvbmfjSNyukAhtASuniXgSZuWFF0pw/view?usp=sharing</t>
  </si>
  <si>
    <t>https://drive.google.com/file/d/11AA-pVRopoU5WL7EAG-gDdq17iZQW7nM/view?usp=sharing</t>
  </si>
  <si>
    <t>https://drive.google.com/file/d/1x4mlgHyuGieZGQT2oPU52OMckAWsgsu-/view?usp=sharing</t>
  </si>
  <si>
    <t>d27d8f03</t>
  </si>
  <si>
    <t>Liverpool vs Man United - Premier League</t>
  </si>
  <si>
    <t>https://www.vidio.com/live/9182-champions-tv-5?schedule_id=4653357</t>
  </si>
  <si>
    <t>GRANDE , THUMBNAIL , SUBHEADLINE</t>
  </si>
  <si>
    <t>https://drive.google.com/drive/folders/1eE7-Q_l_n4Iw9Uvh2GnKjLpFvGD9Nlpy?usp=drive_link</t>
  </si>
  <si>
    <t>liverpool fc; manchester united fc; sports stream</t>
  </si>
  <si>
    <t>Nonton streaming pertandingan seru Liverpool vs Man United - Premier League. Saksikan aksi-aksi terbaik dari tim yang bersaing ketat untuk meraih kemenangan. Dapatkan informasi lengkap mengenai jadwal pertandingan dan hasil pertandingan terbaru hanya di Vidio.</t>
  </si>
  <si>
    <t>LIV: SALAH, VAN DIJK
MUN: SESKO, FERNANDES</t>
  </si>
  <si>
    <t>https://drive.google.com/file/d/1xeOGVzhtaQ_Lt-36_MeJtEuBj7uTKtom/view?usp=sharing</t>
  </si>
  <si>
    <t>https://drive.google.com/file/d/1sf5ll6bFWf1J-tmYo0u9oqvEtZdPhvHH/view?usp=sharing</t>
  </si>
  <si>
    <t>https://drive.google.com/file/d/19IUegNwHMeS8oGuyw2LPL_PMuzeU_gVD/view?usp=sharing</t>
  </si>
  <si>
    <t>774edb44</t>
  </si>
  <si>
    <t>Man City vs Everton - Premier League</t>
  </si>
  <si>
    <t>https://www.vidio.com/live/9182-champions-tv-5?schedule_id=4653356</t>
  </si>
  <si>
    <t>https://drive.google.com/drive/folders/1dQiY62XnCnjpePR76zFijMQ4Ng34QB-v?usp=drive_link</t>
  </si>
  <si>
    <t>manchester city fc; everton fc; sports stream</t>
  </si>
  <si>
    <t>Nonton streaming pertandingan seru Man City vs Everton - Premier League. Saksikan aksi-aksi terbaik dari tim yang bersaing ketat untuk meraih kemenangan. Dapatkan informasi lengkap mengenai jadwal pertandingan dan hasil pertandingan terbaru hanya di Vidio.</t>
  </si>
  <si>
    <t>MCI: HAALAND, DOKU
EVE: NDIAYE, TARKOWSKI</t>
  </si>
  <si>
    <t>https://drive.google.com/file/d/1ah_G5mM-QnCimD48V0056jMghG5ip5rW/view?usp=sharing</t>
  </si>
  <si>
    <t>https://drive.google.com/file/d/1qO6wtI05PVDYzIrp6bDOC_yO2B1-l6ip/view?usp=sharing</t>
  </si>
  <si>
    <t>https://drive.google.com/file/d/1tdfzXES8nmwUzdspepTfoSyo-qMC4bk_/view?usp=sharing</t>
  </si>
  <si>
    <t>313d5020</t>
  </si>
  <si>
    <t>Nottingham Forest vs Chelsea - Premier League</t>
  </si>
  <si>
    <t>https://www.vidio.com/live/9182-champions-tv-5?schedule_id=4653353</t>
  </si>
  <si>
    <t>https://drive.google.com/drive/folders/19DoqeQW7UAYMOxxteku17_ptQEvrlV-l?usp=drive_link</t>
  </si>
  <si>
    <t>nottingham forest fc; chelsea fc; sports stream</t>
  </si>
  <si>
    <t>Nonton streaming pertandingan seru Nottingham Forest vs Chelsea - Premier League. Saksikan aksi-aksi terbaik dari tim yang bersaing ketat untuk meraih kemenangan. Dapatkan informasi lengkap mengenai jadwal pertandingan dan hasil pertandingan terbaru hanya di Vidio.</t>
  </si>
  <si>
    <t>NFO: IGOR JESUS, MURILLO
CHE: ESTEVAO, REECE JAMES</t>
  </si>
  <si>
    <t>https://drive.google.com/file/d/19ufDM8OZ2vBpds-PE5CAaLWL8eUs4Z3x/view?usp=sharing</t>
  </si>
  <si>
    <t>https://drive.google.com/file/d/1h-B5OcHSwsLQqgbEEbobsJAhh6pu9gjh/view?usp=sharing</t>
  </si>
  <si>
    <t>https://drive.google.com/file/d/1C6m0Sg20P2gbwN8ozas9bpIcFEBGSj0R/view?usp=sharing</t>
  </si>
  <si>
    <t>aaa553d7</t>
  </si>
  <si>
    <t>Sunderland vs Wolves - Premier League</t>
  </si>
  <si>
    <t>https://www.vidio.com/live/18796-premier-league?schedule_id=4653370</t>
  </si>
  <si>
    <t>https://drive.google.com/drive/folders/1IzZPAc0_qTxDIZqKv76pm8GpxS0FcSTi?usp=drive_link</t>
  </si>
  <si>
    <t>sunderland afc; wolverhampton wanderers fc; sports stream</t>
  </si>
  <si>
    <t>Nonton streaming pertandingan seru Sunderland vs Wolves - Premier League. Saksikan aksi-aksi terbaik dari tim yang bersaing ketat untuk meraih kemenangan. Dapatkan informasi lengkap mengenai jadwal pertandingan dan hasil pertandingan terbaru hanya di Vidio.</t>
  </si>
  <si>
    <t>SUN: ISIDOR, XHAKA
WOL: HWANG, STRAND LARSEN</t>
  </si>
  <si>
    <t>https://drive.google.com/file/d/15jQzKVmufLwCjg-DGSd5Jyl_hGDenTsB/view?usp=sharing</t>
  </si>
  <si>
    <t>https://drive.google.com/file/d/1NLhr9BhjgBnaHfER6u3HCgaop5IYMd1f/view?usp=sharing</t>
  </si>
  <si>
    <t>https://drive.google.com/file/d/1YFv-4t8Qfe9sPp12cPgyeLDhCT_viJez/view?usp=sharing</t>
  </si>
  <si>
    <t>7f61703b</t>
  </si>
  <si>
    <t>Tottenham vs Aston Villa - Premier League</t>
  </si>
  <si>
    <t>https://www.vidio.com/live/9182-champions-tv-5?schedule_id=4653360</t>
  </si>
  <si>
    <t>https://drive.google.com/drive/folders/1XMH4lu8qqORnllsJDUACns-vn7sGoE_e?usp=drive_link</t>
  </si>
  <si>
    <t>tottenham hotspur fc; aston villa fc; sports stream</t>
  </si>
  <si>
    <t>Nonton streaming pertandingan seru Tottenham vs Aston Villa - Premier League. Saksikan aksi-aksi terbaik dari tim yang bersaing ketat untuk meraih kemenangan. Dapatkan informasi lengkap mengenai jadwal pertandingan dan hasil pertandingan terbaru hanya di Vidio.</t>
  </si>
  <si>
    <t>TOT: KUDUS, PORRO
AVL: MALEN, DIGNE</t>
  </si>
  <si>
    <t>https://drive.google.com/file/d/1XlDar2Jmye6AeLJACUaW-2U8md4YYRTT/view?usp=sharing</t>
  </si>
  <si>
    <t>https://drive.google.com/file/d/1m2KoR7gZnfZCTARAMvnizTRaeh81SE4S/view?usp=sharing</t>
  </si>
  <si>
    <t>https://drive.google.com/file/d/1qSJcLbLfAkExacR2S6C-GVzGJ1xynN_R/view?usp=sharing</t>
  </si>
  <si>
    <t>8d76cc50</t>
  </si>
  <si>
    <t>West Ham vs Brentford - Premier League</t>
  </si>
  <si>
    <t>https://www.vidio.com/live/9182-champions-tv-5?schedule_id=4661414</t>
  </si>
  <si>
    <t>https://drive.google.com/drive/folders/18my8r00wn1VXKAfZnfKLXt-_AqrBdCHr?usp=drive_link</t>
  </si>
  <si>
    <t>west ham united fc; brentford fc; sports stream</t>
  </si>
  <si>
    <t>Nonton streaming pertandingan seru West Ham vs Brentford - Premier League. Saksikan aksi-aksi terbaik dari tim yang bersaing ketat untuk meraih kemenangan. Dapatkan informasi lengkap mengenai jadwal pertandingan dan hasil pertandingan terbaru hanya di Vidio.</t>
  </si>
  <si>
    <t>WHU: BOWEN, KILMAN
BRE: SCHADE, COLLINS</t>
  </si>
  <si>
    <t>dimas.nugroho@vidio.com</t>
  </si>
  <si>
    <t>https://drive.google.com/file/d/1p0dGDpIAB7ApQkF81a3sDLE8nS1ja98s/view?usp=sharing</t>
  </si>
  <si>
    <t>https://drive.google.com/file/d/1XzP7BHYsOJKQaLHtcNtM2D-5I7gf8rJa/view?usp=sharing</t>
  </si>
  <si>
    <t>https://drive.google.com/file/d/17tnrnxOLIKlZP-esN-RtaTnV9QeaNvQG/view?usp=sharing</t>
  </si>
  <si>
    <t>b3d442b6</t>
  </si>
  <si>
    <t>Bournemouth vs Nottingham Forest - Premier League</t>
  </si>
  <si>
    <t>https://www.vidio.com/live/19375-premier-league?schedule_id=4668361</t>
  </si>
  <si>
    <t>https://drive.google.com/drive/folders/1nv_aj8ZjfP-ZBe3fpOpAwiYQmQNgwXOn?usp=drive_link</t>
  </si>
  <si>
    <t>afc bournemouth; nottingham forest fc; sports stream</t>
  </si>
  <si>
    <t>Nonton streaming pertandingan seru Bournemouth vs Nottingham Forest - Premier League. Saksikan aksi-aksi terbaik dari tim yang bersaing ketat untuk meraih kemenangan. Dapatkan informasi lengkap mengenai jadwal pertandingan dan hasil pertandingan terbaru hanya di Vidio.</t>
  </si>
  <si>
    <t>BOU: SEMENYO, CHRISTIE
NFO: GIBBS-WHITE, MILENKOVIC</t>
  </si>
  <si>
    <t>endang.sukarya@vidio.com</t>
  </si>
  <si>
    <t>https://drive.google.com/file/d/1ktP_peff13bwU9p0nVd63_MTl3jGrOiv/view?usp=sharing</t>
  </si>
  <si>
    <t>https://drive.google.com/file/d/1YQ_uEKmqf3zGXJ9c8OdWVsGAc9qY-FvN/view?usp=sharing</t>
  </si>
  <si>
    <t>a76347fe</t>
  </si>
  <si>
    <t>Arsenal vs Crystal Palace - Premier League</t>
  </si>
  <si>
    <t>https://www.vidio.com/live/9182-champions-tv-5?schedule_id=4672243</t>
  </si>
  <si>
    <t>https://drive.google.com/drive/folders/1v0653U8kNBTNML4vVPf-l6eJaljsoJeo?usp=drive_link</t>
  </si>
  <si>
    <t>arsenal fc; crystal palace fc; sports stream</t>
  </si>
  <si>
    <t>Nonton streaming pertandingan seru Arsenal vs Crystal Palace - Premier League. Saksikan aksi-aksi terbaik dari tim yang bersaing ketat untuk meraih kemenangan. Dapatkan informasi lengkap mengenai jadwal pertandingan dan hasil pertandingan terbaru hanya di Vidio.</t>
  </si>
  <si>
    <t>ARS: RICE, GABRIEL
CRY: MATETA, GUEHI</t>
  </si>
  <si>
    <t>https://drive.google.com/file/d/18q3mr2k3AOMn_OhJWfda9yB0bJiJ01s6/view?usp=sharing</t>
  </si>
  <si>
    <t>https://drive.google.com/file/d/1QtH5mRVz8c3zdSv3D33IU4XQSRFRRFJ2/view?usp=sharing</t>
  </si>
  <si>
    <t>d83b0365</t>
  </si>
  <si>
    <t>Aston Villa vs Man City - Premier League</t>
  </si>
  <si>
    <t>https://www.vidio.com/live/9183-champions-tv-6?schedule_id=4668357</t>
  </si>
  <si>
    <t>https://drive.google.com/drive/folders/1GeFqRkU_Eo-heC3XjcKeXTPdD4LKGDe8?usp=drive_link</t>
  </si>
  <si>
    <t>aston villa fc; manchester city fc; sports stream</t>
  </si>
  <si>
    <t>Nonton streaming pertandingan seru Aston Villa vs Man City - Premier League. Saksikan aksi-aksi terbaik dari tim yang bersaing ketat untuk meraih kemenangan. Dapatkan informasi lengkap mengenai jadwal pertandingan dan hasil pertandingan terbaru hanya di Vidio.</t>
  </si>
  <si>
    <t>AVL: ROGERS, BUENDIA
MCI: HAALAND, FODEN</t>
  </si>
  <si>
    <t>https://drive.google.com/file/d/1IonvXo5Yx0Q632tM4nU685lmUAFtBDL1/view?usp=sharing</t>
  </si>
  <si>
    <t>https://drive.google.com/file/d/1V4EErLkyyZvBRGNVoLzsz4OnrZrPNEyk/view?usp=sharing</t>
  </si>
  <si>
    <t>ac685467</t>
  </si>
  <si>
    <t>Brentford vs Liverpool - Premier League</t>
  </si>
  <si>
    <t>https://www.vidio.com/live/9182-champions-tv-5?schedule_id=4668362</t>
  </si>
  <si>
    <t>https://drive.google.com/drive/folders/1OC7g93t90TA6YYBkiC5OD6adLpJGogRy?usp=drive_link</t>
  </si>
  <si>
    <t>brentford fc; liverpool fc; sports stream</t>
  </si>
  <si>
    <t>Nonton streaming pertandingan seru Brentford vs Liverpool - Premier League. Saksikan aksi-aksi terbaik dari tim yang bersaing ketat untuk meraih kemenangan. Dapatkan informasi lengkap mengenai jadwal pertandingan dan hasil pertandingan terbaru hanya di Vidio.</t>
  </si>
  <si>
    <t>BRE: SCHADE, IGOR
LIV: GAKPO, SZOBOSZLAI</t>
  </si>
  <si>
    <t>https://drive.google.com/file/d/1ITDN42HDCy4XWURPARiPkTf95qwA6sVG/view?usp=sharing</t>
  </si>
  <si>
    <t>https://drive.google.com/file/d/1WQ-hF9iY9VPdHPHbu4Or6ItOLHp0pq3c/view?usp=sharing</t>
  </si>
  <si>
    <t>6d74c6c9</t>
  </si>
  <si>
    <t>Chelsea vs Sunderland - Premier League</t>
  </si>
  <si>
    <t>https://www.vidio.com/live/9182-champions-tv-5?schedule_id=4668355</t>
  </si>
  <si>
    <t>https://drive.google.com/drive/folders/1-1Kowk92MBGmBNYPazhmveu4NZX6F1p7?usp=drive_link</t>
  </si>
  <si>
    <t>chelsea fc; sunderland afc; sports stream</t>
  </si>
  <si>
    <t>Nonton streaming pertandingan seru Chelsea vs Sunderland - Premier League. Saksikan aksi-aksi terbaik dari tim yang bersaing ketat untuk meraih kemenangan. Dapatkan informasi lengkap mengenai jadwal pertandingan dan hasil pertandingan terbaru hanya di Vidio.</t>
  </si>
  <si>
    <t>CHE: JOAO PEDRO, ENZO FERNANDES
SUN: ISIDOR, XHAKA</t>
  </si>
  <si>
    <t>https://drive.google.com/file/d/1trk8FYt758ft5j5Ylv_eZsnIk3xTlWTL/view?usp=sharing</t>
  </si>
  <si>
    <t>https://drive.google.com/file/d/1DFmsnylru6D3ac3kJsFectnz8N4WXGG9/view?usp=sharing</t>
  </si>
  <si>
    <t>6bde69be</t>
  </si>
  <si>
    <t>Everton vs Tottenham - Premier League</t>
  </si>
  <si>
    <t>https://www.vidio.com/live/9182-champions-tv-5?schedule_id=4672242</t>
  </si>
  <si>
    <t>https://drive.google.com/drive/folders/17k-_7e7a9JxP2MovHIJG_MPjd7bClNL8?usp=drive_link</t>
  </si>
  <si>
    <t>everton fc; tottenham hotspur fc; sports stream</t>
  </si>
  <si>
    <t>Nonton streaming pertandingan seru Everton vs Tottenham - Premier League. Saksikan aksi-aksi terbaik dari tim yang bersaing ketat untuk meraih kemenangan. Dapatkan informasi lengkap mengenai jadwal pertandingan dan hasil pertandingan terbaru hanya di Vidio.</t>
  </si>
  <si>
    <t>EVE: NDIAYE, GREALISH
TOT: KUDUS, XAVI SIMONS</t>
  </si>
  <si>
    <t>https://drive.google.com/file/d/1Dx3Alq39U89bPKu9R_s0uTxuYEv1-N1l/view?usp=sharing</t>
  </si>
  <si>
    <t>https://drive.google.com/file/d/1-GADhLiwqci4A0XfkssVj541cax59c84/view?usp=sharing</t>
  </si>
  <si>
    <t>d4e72b90</t>
  </si>
  <si>
    <t>Leeds United vs West Ham - Premier League</t>
  </si>
  <si>
    <t>https://www.vidio.com/live/9182-champions-tv-5?schedule_id=4668387</t>
  </si>
  <si>
    <t>https://drive.google.com/drive/folders/1fGsyrDHmcfbfy6U_5al0QhojJqf7UhG2?usp=drive_link</t>
  </si>
  <si>
    <t>leeds united fc; west ham united fc; sports stream</t>
  </si>
  <si>
    <t>Nonton streaming pertandingan seru Leeds United vs West Ham - Premier League. Saksikan aksi-aksi terbaik dari tim yang bersaing ketat untuk meraih kemenangan. Dapatkan informasi lengkap mengenai jadwal pertandingan dan hasil pertandingan terbaru hanya di Vidio.</t>
  </si>
  <si>
    <t>LEE: LONGSTAFF, CALVERT-LEWIN
WHU: PAQUETA, BOWEN</t>
  </si>
  <si>
    <t>https://drive.google.com/file/d/1qOgKjsMIbJ2v6GrglJ4aftKeQ9ge51yc/view?usp=sharing</t>
  </si>
  <si>
    <t>https://drive.google.com/file/d/1R0d8n5VEHVxsDENKFrojwigztPeYUm9P/view?usp=sharing</t>
  </si>
  <si>
    <t>33a59098</t>
  </si>
  <si>
    <t>Man United vs Brighton - Premier League</t>
  </si>
  <si>
    <t>https://www.vidio.com/live/9182-champions-tv-5?schedule_id=4668360</t>
  </si>
  <si>
    <t>https://drive.google.com/drive/folders/1JxdtGeeOCHkdPaWte7qHMkdwD_c47KYI?usp=drive_link</t>
  </si>
  <si>
    <t>manchester united fc; brighton &amp; hove albion fc; sports stream</t>
  </si>
  <si>
    <t>Nonton streaming pertandingan seru Man United vs Brighton - Premier League. Saksikan aksi-aksi terbaik dari tim yang bersaing ketat untuk meraih kemenangan. Dapatkan informasi lengkap mengenai jadwal pertandingan dan hasil pertandingan terbaru hanya di Vidio.</t>
  </si>
  <si>
    <t>MUN: MBEUMO, FERNANDES
BHA: WELBECK, MILNER</t>
  </si>
  <si>
    <t>https://drive.google.com/file/d/1BYsd4EMl-oHAOebuXXZ098asBIZfhwBA/view?usp=sharing</t>
  </si>
  <si>
    <t>https://drive.google.com/file/d/1_KIurZJvzMmm_F4NybbMIqRZeiBNdwxw/view?usp=sharing</t>
  </si>
  <si>
    <t>6a3ba374</t>
  </si>
  <si>
    <t>Newcastle vs Fulham - Premier League</t>
  </si>
  <si>
    <t>https://www.vidio.com/live/9183-champions-tv-6?schedule_id=4668356</t>
  </si>
  <si>
    <t>https://drive.google.com/drive/folders/1BaKEAksWphtk0rg17S496F_Eh3hUVNcj?usp=drive_link</t>
  </si>
  <si>
    <t>newcastle united fc; fulham fc; sports stream</t>
  </si>
  <si>
    <t>Nonton streaming pertandingan seru Newcastle vs Fulham - Premier League. Saksikan aksi-aksi terbaik dari tim yang bersaing ketat untuk meraih kemenangan. Dapatkan informasi lengkap mengenai jadwal pertandingan dan hasil pertandingan terbaru hanya di Vidio.</t>
  </si>
  <si>
    <t>NEW: WOLTEMADE, BRUNO GUIMARAES
FUL: JIMENEZ, WILSON</t>
  </si>
  <si>
    <t>https://drive.google.com/file/d/15yVi7glWqJBUYf0Jx8EriC0_j639HM1Y/view?usp=sharing</t>
  </si>
  <si>
    <t>https://drive.google.com/file/d/1238vWpi3fLtKx3Q0wpmEIUc8lHC6SdPE/view?usp=sharing</t>
  </si>
  <si>
    <t>c5a5212a</t>
  </si>
  <si>
    <t>Wolves vs Burnley - Premier League</t>
  </si>
  <si>
    <t>https://www.vidio.com/live/19536-premier-league?schedule_id=4668363</t>
  </si>
  <si>
    <t>https://drive.google.com/drive/folders/14PTYozCV7Y38-XlW0PNoy4Y0KwJJEExI?usp=drive_link</t>
  </si>
  <si>
    <t>wolverhampton wanderers fc; burnley fc; sports stream</t>
  </si>
  <si>
    <t>Nonton streaming pertandingan seru Wolves vs Burnley - Premier League. Saksikan aksi-aksi terbaik dari tim yang bersaing ketat untuk meraih kemenangan. Dapatkan informasi lengkap mengenai jadwal pertandingan dan hasil pertandingan terbaru hanya di Vidio.</t>
  </si>
  <si>
    <t>WOL: ANDRE, DOHERTY
BUR: WALKER, HARTMAN</t>
  </si>
  <si>
    <t>https://drive.google.com/file/d/1SZy5iPAY__ICRPHkSPtVpTH-wGDLVcVK/view?usp=sharing</t>
  </si>
  <si>
    <t>https://drive.google.com/file/d/1bzfT1yZ2ouQ09Wj0L7AbHoxxApaz9ul-/view?usp=sharing</t>
  </si>
  <si>
    <t>297e626c</t>
  </si>
  <si>
    <t>Brighton vs Leeds United - Premier League</t>
  </si>
  <si>
    <t>https://www.vidio.com/live/19375-premier-league?schedule_id=4678867</t>
  </si>
  <si>
    <t>https://drive.google.com/drive/folders/1-a1WqPS3TPoZ404BZObcteybhGQE_H4R?usp=drive_link</t>
  </si>
  <si>
    <t>https://drive.google.com/drive/folders/1reJgqrta8-x_LZOVIyNxF2oALmNOZ9ZP?usp=drive_link</t>
  </si>
  <si>
    <t>brighton &amp; hove albion fc; leeds united fc; sports stream</t>
  </si>
  <si>
    <t>Nonton streaming pertandingan seru Brighton vs Leeds United - Premier League. Saksikan aksi-aksi terbaik dari tim yang bersaing ketat untuk meraih kemenangan. Dapatkan informasi lengkap mengenai jadwal pertandingan dan hasil pertandingan terbaru hanya di Vidio.</t>
  </si>
  <si>
    <t>BHA: VAN HECKE &amp; WELBECK
LEE: RODON &amp; STACH</t>
  </si>
  <si>
    <t>Matchday 10</t>
  </si>
  <si>
    <t>D1</t>
  </si>
  <si>
    <t>https://drive.google.com/file/d/1swmduHCk2KU4-qOFExGnFl2kTA3JcBDa/view?usp=sharing</t>
  </si>
  <si>
    <t>https://drive.google.com/file/d/1LotVIgKrd6cZixQK3DVyGOsxVxa887b7/view?usp=sharing</t>
  </si>
  <si>
    <t>https://drive.google.com/file/d/1YhNi7zNJ1UMKeoS5O05qySiC4YKAQxGh/view?usp=sharing</t>
  </si>
  <si>
    <t>a20b1b38</t>
  </si>
  <si>
    <t>Burnley vs Arsenal - Premier League</t>
  </si>
  <si>
    <t>https://www.vidio.com/live/9183-champions-tv-6?schedule_id=4678868</t>
  </si>
  <si>
    <t>https://drive.google.com/drive/folders/1wfiaCbXy-qmo0jfQgp4PIRmppUm12jWH?usp=drive_link</t>
  </si>
  <si>
    <t>burnley fc; arsenal fc; sports stream</t>
  </si>
  <si>
    <t>Nonton streaming pertandingan seru Burnley vs Arsenal - Premier League. Saksikan aksi-aksi terbaik dari tim yang bersaing ketat untuk meraih kemenangan. Dapatkan informasi lengkap mengenai jadwal pertandingan dan hasil pertandingan terbaru hanya di Vidio.</t>
  </si>
  <si>
    <t>BUR: ESTEVE &amp; CULLEN
ARS: MAGALHAES &amp; EZE</t>
  </si>
  <si>
    <t>D4</t>
  </si>
  <si>
    <t>https://drive.google.com/file/d/1SBQTfbAU1JbsGT3YKccXojXz03rykDdq/view?usp=sharing</t>
  </si>
  <si>
    <t>https://drive.google.com/file/d/1KcS-emKRrc86RQUh2ch7ss_u9g_dvbqz/view?usp=sharing</t>
  </si>
  <si>
    <t>https://drive.google.com/file/d/1e4uRCkbMe_rRyeImkIXhvSvwhcozH_kL/view?usp=sharing</t>
  </si>
  <si>
    <t>fcff731b</t>
  </si>
  <si>
    <t>Crystal Palace vs Brentford - Premier League</t>
  </si>
  <si>
    <t>https://www.vidio.com/live/19536-premier-league?schedule_id=4678869</t>
  </si>
  <si>
    <t>https://drive.google.com/drive/folders/12gEIfG_VZxBOE-WAHvTaD2Xsjx-jsUYp?usp=drive_link</t>
  </si>
  <si>
    <t>crystal palace fc; brentford fc; sports stream</t>
  </si>
  <si>
    <t>Nonton streaming pertandingan seru Crystal Palace vs Brentford - Premier League. Saksikan aksi-aksi terbaik dari tim yang bersaing ketat untuk meraih kemenangan. Dapatkan informasi lengkap mengenai jadwal pertandingan dan hasil pertandingan terbaru hanya di Vidio.</t>
  </si>
  <si>
    <t>CRY: MUNOZ &amp; MATETA
BRE: COLLINS &amp; SCHADE</t>
  </si>
  <si>
    <t>D2</t>
  </si>
  <si>
    <t>https://drive.google.com/file/d/1z_YeUhD-a6gdWhdPK2uVmTB1TC4GWitf/view?usp=sharing</t>
  </si>
  <si>
    <t>https://drive.google.com/file/d/15EqOvYVddo0QeLsq_SXF5hbkZ5aNda6X/view?usp=sharing</t>
  </si>
  <si>
    <t>https://drive.google.com/file/d/1PzFaVpRl14e9MdP4YZy3j92P2b1z4Pge/view?usp=sharing</t>
  </si>
  <si>
    <t>28c6d9f4</t>
  </si>
  <si>
    <t>Fulham vs Wolves - Premier League</t>
  </si>
  <si>
    <t>https://www.vidio.com/live/18796-premier-league?schedule_id=4684492</t>
  </si>
  <si>
    <t>https://drive.google.com/drive/folders/1BbFzdgX0mB5aZnvrh3ebwoeNrz6Ybema?usp=drive_link</t>
  </si>
  <si>
    <t>fulham fc; wolverhampton wanderers fc; sports stream</t>
  </si>
  <si>
    <t>Nonton streaming pertandingan seru Fulham vs Wolves - Premier League. Saksikan aksi-aksi terbaik dari tim yang bersaing ketat untuk meraih kemenangan. Dapatkan informasi lengkap mengenai jadwal pertandingan dan hasil pertandingan terbaru hanya di Vidio.</t>
  </si>
  <si>
    <t>FUL: IWOBI &amp; TETE
WOL: ANDRE &amp; STRAND LARSEN</t>
  </si>
  <si>
    <t>D3</t>
  </si>
  <si>
    <t>https://drive.google.com/file/d/1R3M64X5vG1JNgtejbScvFar4sPiqK349/view?usp=sharing</t>
  </si>
  <si>
    <t>https://drive.google.com/file/d/1-wEYXO3N5oYcZEiMVd3gUefF4dODsgpW/view?usp=sharing</t>
  </si>
  <si>
    <t>https://drive.google.com/file/d/12S_005Qtra_XZ5nVTW3Vh-uASNHB9ath/view?usp=sharing</t>
  </si>
  <si>
    <t>1494cbd1</t>
  </si>
  <si>
    <t>Liverpool vs Aston Villa - Premier League</t>
  </si>
  <si>
    <t>https://www.vidio.com/live/9182-champions-tv-5?schedule_id=4678874</t>
  </si>
  <si>
    <t>https://drive.google.com/drive/folders/177BHAf6wVme-gFz_aqKRqaO62fGYQpi7?usp=drive_link</t>
  </si>
  <si>
    <t>liverpool fc; aston villa fc; sports stream</t>
  </si>
  <si>
    <t>Nonton streaming pertandingan seru Liverpool vs Aston Villa - Premier League. Saksikan aksi-aksi terbaik dari tim yang bersaing ketat untuk meraih kemenangan. Dapatkan informasi lengkap mengenai jadwal pertandingan dan hasil pertandingan terbaru hanya di Vidio.</t>
  </si>
  <si>
    <t>LIV: KERKEZ &amp; WIRTZ
AVL: CASH &amp; ROGERS</t>
  </si>
  <si>
    <t>B2 , D2</t>
  </si>
  <si>
    <t>https://drive.google.com/file/d/1rrCBR-MTlKBK-Phg7rZt70VgNIz9h9F0/view?usp=sharing</t>
  </si>
  <si>
    <t>https://drive.google.com/file/d/1nvihvX9_ENRldt_ak0L6JwLzJ9XDVve_/view?usp=sharing</t>
  </si>
  <si>
    <t>https://drive.google.com/file/d/1AtdJf_6YC-m8yrCcZrLVSY0lpffqqmNi/view?usp=sharing</t>
  </si>
  <si>
    <t>f31ce1a4</t>
  </si>
  <si>
    <t>Man City vs Bournemouth - Premier League</t>
  </si>
  <si>
    <t>https://www.vidio.com/live/9182-champions-tv-5?schedule_id=4678876</t>
  </si>
  <si>
    <t>https://drive.google.com/drive/folders/1QINWgblNhtzwUHgvA_NkYIlkfjDFc6LQ?usp=drive_link</t>
  </si>
  <si>
    <t>manchester city fc; afc bournemouth; sports stream</t>
  </si>
  <si>
    <t>Nonton streaming pertandingan seru Man City vs Bournemouth - Premier League. Saksikan aksi-aksi terbaik dari tim yang bersaing ketat untuk meraih kemenangan. Dapatkan informasi lengkap mengenai jadwal pertandingan dan hasil pertandingan terbaru hanya di Vidio.</t>
  </si>
  <si>
    <t>MCI: HAALAND &amp; GVARDIOL
BOU: SEMENYO &amp; SENESI</t>
  </si>
  <si>
    <t>https://drive.google.com/file/d/1uAN0K9NMoQelIqwnYVtgPiQPaWPnIOJ2/view?usp=sharing</t>
  </si>
  <si>
    <t>https://drive.google.com/file/d/1i5ppQ4ENRICub2Wrv5OkPYr9q-s8-47z/view?usp=sharing</t>
  </si>
  <si>
    <t>https://drive.google.com/file/d/1fjDWveiWwpOylvgpL9jP2rPULkpLrSCH/view?usp=sharing</t>
  </si>
  <si>
    <t>7bf880fe</t>
  </si>
  <si>
    <t>Nottingham Forest vs Man United - Premier League</t>
  </si>
  <si>
    <t>https://www.vidio.com/live/9182-champions-tv-5?schedule_id=4678872</t>
  </si>
  <si>
    <t>https://drive.google.com/drive/folders/1E3p-enMAC4sZp6Jkw8NDAQWa1PN3Pbgq?usp=drive_link</t>
  </si>
  <si>
    <t>nottingham forest fc; manchester united fc; sports stream</t>
  </si>
  <si>
    <t>Nonton streaming pertandingan seru Nottingham Forest vs Man United - Premier League. Saksikan aksi-aksi terbaik dari tim yang bersaing ketat untuk meraih kemenangan. Dapatkan informasi lengkap mengenai jadwal pertandingan dan hasil pertandingan terbaru hanya di Vidio.</t>
  </si>
  <si>
    <t>NFO: IGOR JESUS &amp; ANDERSON
MUN: MBEUMO &amp; CUNHA</t>
  </si>
  <si>
    <t>https://drive.google.com/file/d/1oVPvx97cUPjYWrsfK_aWL2oqJ6fuDvLQ/view?usp=sharing</t>
  </si>
  <si>
    <t>https://drive.google.com/file/d/193NbVPx9A2V63wUOwrP_EtC3M5HUNpvi/view?usp=sharing</t>
  </si>
  <si>
    <t>https://drive.google.com/file/d/12p1aQlJ8lfxbKoYOFqbQg2Li66DqaC8x/view?usp=sharing</t>
  </si>
  <si>
    <t>2fbcc61c</t>
  </si>
  <si>
    <t>Sunderland vs Everton - Premier League</t>
  </si>
  <si>
    <t>https://www.vidio.com/live/9182-champions-tv-5?schedule_id=4690947</t>
  </si>
  <si>
    <t>https://drive.google.com/drive/folders/1MdE7RqiAa1SQQKSEJtKIkAw0e4eQKPSe?usp=drive_link</t>
  </si>
  <si>
    <t>sunderland afc; everton fc; sports stream</t>
  </si>
  <si>
    <t>Nonton streaming pertandingan seru Sunderland vs Everton - Premier League. Saksikan aksi-aksi terbaik dari tim yang bersaing ketat untuk meraih kemenangan. Dapatkan informasi lengkap mengenai jadwal pertandingan dan hasil pertandingan terbaru hanya di Vidio.</t>
  </si>
  <si>
    <t>SUN: ROEFS (GK) &amp; XHAKA
EVE: PICKFORD (GK) &amp; GREALISH</t>
  </si>
  <si>
    <t>https://drive.google.com/file/d/1WUfAGdC5dJn0kHJJ4RvBF2J7Ltz4X9tF/view?usp=sharing</t>
  </si>
  <si>
    <t>https://drive.google.com/file/d/1sZKf-b5JKShiPfchgWooltl-mnK2OSuy/view?usp=sharing</t>
  </si>
  <si>
    <t>https://drive.google.com/file/d/1wUJfQSUFmTlG-QwEtsW6Ayg4WRskfwQX/view?usp=sharing</t>
  </si>
  <si>
    <t>a6df80fc</t>
  </si>
  <si>
    <t>Tottenham vs Chelsea - Premier League</t>
  </si>
  <si>
    <t>https://www.vidio.com/live/9182-champions-tv-5?schedule_id=4678873</t>
  </si>
  <si>
    <t>https://drive.google.com/drive/folders/1rVX5iaOge8lJiRphPSi6MBin7-YX5-Xk?usp=drive_link</t>
  </si>
  <si>
    <t>tottenham hotspur fc; chelsea fc; sports stream</t>
  </si>
  <si>
    <t>Nonton streaming pertandingan seru Tottenham vs Chelsea - Premier League. Saksikan aksi-aksi terbaik dari tim yang bersaing ketat untuk meraih kemenangan. Dapatkan informasi lengkap mengenai jadwal pertandingan dan hasil pertandingan terbaru hanya di Vidio.</t>
  </si>
  <si>
    <t>TOT: THOMAS FRANK (MAN) &amp; VAN DE VEN
CHE: MARESCA (MAN) &amp; CUCURELLA</t>
  </si>
  <si>
    <t>B1 , D1</t>
  </si>
  <si>
    <t>https://drive.google.com/file/d/1XP1IwIJqFOBicXSssH-9JW2ANEci4lc3/view?usp=sharing</t>
  </si>
  <si>
    <t>https://drive.google.com/file/d/135JR7VTAeWJrrraxde6YSyixHK3AvF5H/view?usp=sharing</t>
  </si>
  <si>
    <t>https://drive.google.com/file/d/13pG49b4HXIuGTqnHt2SPo4UPyhZbrcpl/view?usp=sharing</t>
  </si>
  <si>
    <t>0b8c1513</t>
  </si>
  <si>
    <t>West Ham vs Newcastle - Premier League</t>
  </si>
  <si>
    <t>https://www.vidio.com/live/9182-champions-tv-5?schedule_id=4678875</t>
  </si>
  <si>
    <t>https://drive.google.com/drive/folders/1Ing0e3LR6Qa2Q0TXPIshKlUBKd9Wovb3?usp=drive_link</t>
  </si>
  <si>
    <t>west ham united fc; newcastle united fc; sports stream</t>
  </si>
  <si>
    <t>Nonton streaming pertandingan seru West Ham vs Newcastle - Premier League. Saksikan aksi-aksi terbaik dari tim yang bersaing ketat untuk meraih kemenangan. Dapatkan informasi lengkap mengenai jadwal pertandingan dan hasil pertandingan terbaru hanya di Vidio.</t>
  </si>
  <si>
    <t>WHU: BOWEN &amp; WAN BISSAKA
NEW: WOLTEMADE &amp; BURN</t>
  </si>
  <si>
    <t>https://drive.google.com/file/d/17L91MLTy9htlj0UFV7mCTOgerulMW_3W/view?usp=sharing</t>
  </si>
  <si>
    <t>https://drive.google.com/file/d/13SPVBFPQE7GB4iD_0Epq-JRV3BzX1XWV/view?usp=sharing</t>
  </si>
  <si>
    <t>https://drive.google.com/file/d/1kQY-mpGIXERhx-6jdNguuaJKjOQ7FCU8/view?usp=sharing</t>
  </si>
  <si>
    <t>7e049a9b</t>
  </si>
  <si>
    <t>Aston Villa vs Bournemouth - Premier League</t>
  </si>
  <si>
    <t>https://www.vidio.com/live/9182-champions-tv-5?schedule_id=4707261</t>
  </si>
  <si>
    <t>https://drive.google.com/drive/folders/1uNgAHeuq_q_rjNlt2SA20dwbxJ6jWxwO?usp=drive_link</t>
  </si>
  <si>
    <t>https://drive.google.com/drive/folders/1ds9PMo8hFSwSpLmEp1JSAss9vLnn8zkw</t>
  </si>
  <si>
    <t>aston villa fc; afc bournemouth; sports stream</t>
  </si>
  <si>
    <t>Nonton streaming pertandingan seru Aston Villa vs Bournemouth - Premier League. Saksikan aksi-aksi terbaik dari tim yang bersaing ketat untuk meraih kemenangan. Dapatkan informasi lengkap mengenai jadwal pertandingan dan hasil pertandingan terbaru hanya di Vidio.</t>
  </si>
  <si>
    <t>AVL: MCGINN &amp; WATKINS
BOU: SCOTT &amp; ELI KROUPI</t>
  </si>
  <si>
    <t>Matchday 11</t>
  </si>
  <si>
    <t>https://drive.google.com/file/d/1O37lbG_oKOaslBn5LC8Leb_8Rc0ZD0LB/view?usp=sharing</t>
  </si>
  <si>
    <t>https://drive.google.com/file/d/1DxtGHIuDvSFF1oVOLOxUTCEWiPFOjBMB/view?usp=sharing</t>
  </si>
  <si>
    <t>https://drive.google.com/file/d/1_2Sh_lghvesE2zr5pvDlr_TRpzGSs8ig/view?usp=sharing</t>
  </si>
  <si>
    <t>9be7257c</t>
  </si>
  <si>
    <t>Brentford vs Newcastle - Premier League</t>
  </si>
  <si>
    <t>https://www.vidio.com/live/19536-premier-league?schedule_id=4708204</t>
  </si>
  <si>
    <t>https://drive.google.com/drive/folders/1Ed4i7IW9EdhEJjW_DtTjv3jVVgwIHWxK?usp=drive_link</t>
  </si>
  <si>
    <t>brentford fc; newcastle united fc; sports stream</t>
  </si>
  <si>
    <t>Nonton streaming pertandingan seru Brentford vs Newcastle - Premier League. Saksikan aksi-aksi terbaik dari tim yang bersaing ketat untuk meraih kemenangan. Dapatkan informasi lengkap mengenai jadwal pertandingan dan hasil pertandingan terbaru hanya di Vidio.</t>
  </si>
  <si>
    <t>BRE: HENDERSON &amp; IGOR THIAGO
NEW: TONALI &amp; WOLTEMADE</t>
  </si>
  <si>
    <t>https://drive.google.com/file/d/1UPjW1ZzZ1rk6vS0ateGyIvOoQTRf7Uv6/view?usp=sharing</t>
  </si>
  <si>
    <t>https://drive.google.com/file/d/1nSNoaD9BiwdhhdBaeg7CfK08bxhzOjoH/view?usp=sharing</t>
  </si>
  <si>
    <t>https://drive.google.com/file/d/1FQG0QtwuW73_Pz4XFdz56OBK-6h2RJ9o/view?usp=sharing</t>
  </si>
  <si>
    <t>c8e5c673</t>
  </si>
  <si>
    <t>Chelsea vs Wolves - Premier League</t>
  </si>
  <si>
    <t>https://www.vidio.com/live/9182-champions-tv-5?schedule_id=4707259</t>
  </si>
  <si>
    <t>https://drive.google.com/drive/folders/1W4YAlpzRSBFc3Za3r1g-DH3cJxrWOJHK?usp=drive_link</t>
  </si>
  <si>
    <t>chelsea fc; wolverhampton wanderers fc; sports stream</t>
  </si>
  <si>
    <t>Nonton streaming pertandingan seru Chelsea vs Wolves - Premier League. Saksikan aksi-aksi terbaik dari tim yang bersaing ketat untuk meraih kemenangan. Dapatkan informasi lengkap mengenai jadwal pertandingan dan hasil pertandingan terbaru hanya di Vidio.</t>
  </si>
  <si>
    <t>CHE: JOAO PEDRO &amp; CAICEDO
WOL: STRAND LARSEN &amp; JOAO GOMES</t>
  </si>
  <si>
    <t>E2 , D2</t>
  </si>
  <si>
    <t>https://drive.google.com/file/d/1w9jr3BOsxvtVcLIdqyn3FzSS3gi44ng-/view?usp=sharing</t>
  </si>
  <si>
    <t>https://drive.google.com/file/d/1HNOvnQsF9MiSG1A9jpk7DOp-mE2XGbNx/view?usp=sharing</t>
  </si>
  <si>
    <t>https://drive.google.com/file/d/1R611qw4VgeP6PM1GayxAyGHkGFtZk0ZF/view?usp=sharing</t>
  </si>
  <si>
    <t>59fa2af9</t>
  </si>
  <si>
    <t>Crystal Palace vs Brighton - Premier League</t>
  </si>
  <si>
    <t>https://www.vidio.com/live/9183-champions-tv-6?schedule_id=4707266</t>
  </si>
  <si>
    <t>https://drive.google.com/drive/folders/1gxEa7UA58BK0GHAU5JaTwXT3eUV4xIs_?usp=drive_link</t>
  </si>
  <si>
    <t>crystal palace fc; brighton &amp; hove albion fc; sports stream</t>
  </si>
  <si>
    <t>Nonton streaming pertandingan seru Crystal Palace vs Brighton - Premier League. Saksikan aksi-aksi terbaik dari tim yang bersaing ketat untuk meraih kemenangan. Dapatkan informasi lengkap mengenai jadwal pertandingan dan hasil pertandingan terbaru hanya di Vidio.</t>
  </si>
  <si>
    <t>CRY: GUEHI &amp; YEREMY PINO
BHA: DUNK &amp; AYARI</t>
  </si>
  <si>
    <t>https://drive.google.com/file/d/1-ZLeDIL4dd02diiHuwLxL3LTh9aXeTHx/view?usp=sharing</t>
  </si>
  <si>
    <t>https://drive.google.com/file/d/1ROqkq-zypQ8-gWutyvCFnvI1_u4Ivka0/view?usp=sharing</t>
  </si>
  <si>
    <t>https://drive.google.com/file/d/1qCs-nYcPOzPvuVhMBdc_UBcDsKoX3Blw/view?usp=sharing</t>
  </si>
  <si>
    <t>fb027b3a</t>
  </si>
  <si>
    <t>Everton vs Fulham - Premier League</t>
  </si>
  <si>
    <t>https://www.vidio.com/live/9182-champions-tv-5?schedule_id=4707256</t>
  </si>
  <si>
    <t>https://drive.google.com/drive/folders/1ZC_1HUY8isvkwtOeRFhw55uviKbH4h4u?usp=drive_link</t>
  </si>
  <si>
    <t>everton fc; fulham fc; sports stream</t>
  </si>
  <si>
    <t>Nonton streaming pertandingan seru Everton vs Fulham - Premier League. Saksikan aksi-aksi terbaik dari tim yang bersaing ketat untuk meraih kemenangan. Dapatkan informasi lengkap mengenai jadwal pertandingan dan hasil pertandingan terbaru hanya di Vidio.</t>
  </si>
  <si>
    <t>EVE: NDIAYE &amp; MYKOLENKO
FUL: WILSON &amp; SESSEGNON</t>
  </si>
  <si>
    <t>D2 , E2</t>
  </si>
  <si>
    <t>https://drive.google.com/file/d/1bnWiQZAE3DP6nN-h99KDYmjlug6it3dN/view?usp=sharing</t>
  </si>
  <si>
    <t>https://drive.google.com/file/d/1oy8UQhY0aqDKK-fJ2LATgg1bUGz0nWYw/view?usp=sharing</t>
  </si>
  <si>
    <t>https://drive.google.com/file/d/1_6ZNNslZCZ5aLdkJhOge0nq8xDaFUvbW/view?usp=sharing</t>
  </si>
  <si>
    <t>305dfc22</t>
  </si>
  <si>
    <t>Man City vs Liverpool - Premier League</t>
  </si>
  <si>
    <t>https://www.vidio.com/live/9182-champions-tv-5?schedule_id=4707264</t>
  </si>
  <si>
    <t>https://drive.google.com/drive/folders/1Z3R_whq7z-U5DOl42PA4hJdq0UVf0CCH?usp=drive_link</t>
  </si>
  <si>
    <t>manchester city fc; liverpool fc; sports stream</t>
  </si>
  <si>
    <t>Nonton streaming pertandingan seru Man City vs Liverpool - Premier League. Saksikan aksi-aksi terbaik dari tim yang bersaing ketat untuk meraih kemenangan. Dapatkan informasi lengkap mengenai jadwal pertandingan dan hasil pertandingan terbaru hanya di Vidio.</t>
  </si>
  <si>
    <t>MCI: HAALAND &amp; CHERKI
LIV: SALAH &amp; WIRTZ</t>
  </si>
  <si>
    <t>https://drive.google.com/file/d/14Ia3xFYggO43EWEGLkXaeHcRi1YPpuUQ/view?usp=sharing</t>
  </si>
  <si>
    <t>https://drive.google.com/file/d/1o-GiI7z7ZSan6-80KnBDVTmhIwYhtOe5/view?usp=sharing</t>
  </si>
  <si>
    <t>https://drive.google.com/file/d/1YhNpjOjU3z0LJZy4AIH_DFoMK7dj9kFG/view?usp=sharing</t>
  </si>
  <si>
    <t>070c9c07</t>
  </si>
  <si>
    <t>Nottingham Forest vs Leeds United - Premier League</t>
  </si>
  <si>
    <t>https://www.vidio.com/live/19375-premier-league?schedule_id=4708206</t>
  </si>
  <si>
    <t>https://drive.google.com/drive/folders/1tADlDDZDsZczMcqHfj4AAbdpkQwFYHN5?usp=drive_link</t>
  </si>
  <si>
    <t>nottingham forest fc; leeds united fc; sports stream</t>
  </si>
  <si>
    <t>Nonton streaming pertandingan seru Nottingham Forest vs Leeds United - Premier League. Saksikan aksi-aksi terbaik dari tim yang bersaing ketat untuk meraih kemenangan. Dapatkan informasi lengkap mengenai jadwal pertandingan dan hasil pertandingan terbaru hanya di Vidio.</t>
  </si>
  <si>
    <t>NFO: GIBBS-WHITE &amp; DOUGLAS LUIZ
LEE: AMPADU &amp; LONGSTAFF</t>
  </si>
  <si>
    <t>https://drive.google.com/file/d/17FwcqBC0zABBNAsZIVBpEwPITmSetK7m/view?usp=sharing</t>
  </si>
  <si>
    <t>https://drive.google.com/file/d/1M6pAM0sV2Z7HUvqBDqsZ060zfl5ZzwbN/view?usp=sharing</t>
  </si>
  <si>
    <t>https://drive.google.com/file/d/1l0ZNbmrnd4nZEu-FZx7PBiSpoZp1c1Mi/view?usp=sharing</t>
  </si>
  <si>
    <t>e5f386af</t>
  </si>
  <si>
    <t>Sunderland vs Arsenal - Premier League</t>
  </si>
  <si>
    <t>https://www.vidio.com/live/9182-champions-tv-5?schedule_id=4707258</t>
  </si>
  <si>
    <t>https://drive.google.com/drive/folders/1ZyJOlcveAiQCbmXQgxftyEzRM5IKe5K-?usp=drive_link</t>
  </si>
  <si>
    <t>sunderland afc; arsenal fc; sports stream</t>
  </si>
  <si>
    <t>Nonton streaming pertandingan seru Sunderland vs Arsenal - Premier League. Saksikan aksi-aksi terbaik dari tim yang bersaing ketat untuk meraih kemenangan. Dapatkan informasi lengkap mengenai jadwal pertandingan dan hasil pertandingan terbaru hanya di Vidio.</t>
  </si>
  <si>
    <t>SUN: XHAKA &amp; ISIDOR
ARS: RICE &amp; GYOKERES</t>
  </si>
  <si>
    <t>E1 , D1</t>
  </si>
  <si>
    <t>https://drive.google.com/file/d/1MWlgTVncjklIKOA_1Pwvn2umdICqjIZe/view?usp=sharing</t>
  </si>
  <si>
    <t>https://drive.google.com/file/d/1-QXl-vrlLrcHhvLFtYciWqe4Ry8V9pZl/view?usp=sharing</t>
  </si>
  <si>
    <t>https://drive.google.com/file/d/1-ZkYdl0BdgZt0eFgshlDTC4kFk4vP3eH/view?usp=sharing</t>
  </si>
  <si>
    <t>1d678cad</t>
  </si>
  <si>
    <t>Tottenham vs Man United - Premier League</t>
  </si>
  <si>
    <t>https://www.vidio.com/live/9182-champions-tv-5?schedule_id=4707255</t>
  </si>
  <si>
    <t>https://drive.google.com/drive/folders/1HnS68TwFo7j1IqkphJM2laI71LEATjt1?usp=drive_link</t>
  </si>
  <si>
    <t>tottenham hotspur fc; manchester united fc; sports stream</t>
  </si>
  <si>
    <t>Nonton streaming pertandingan seru Tottenham vs Man United - Premier League. Saksikan aksi-aksi terbaik dari tim yang bersaing ketat untuk meraih kemenangan. Dapatkan informasi lengkap mengenai jadwal pertandingan dan hasil pertandingan terbaru hanya di Vidio.</t>
  </si>
  <si>
    <t>TOT: KUDUS &amp; XAVI SIMONS
MUN: CUNHA &amp; FERNANDES</t>
  </si>
  <si>
    <t>D1 , E1</t>
  </si>
  <si>
    <t>https://drive.google.com/file/d/1IGydeyquRMXVaGgKN_GZc59sn7oHu0jU/view?usp=sharing</t>
  </si>
  <si>
    <t>https://drive.google.com/file/d/15VGmjNKVc-FRxjkXjVhd1u7NAvhipCtu/view?usp=sharing</t>
  </si>
  <si>
    <t>https://drive.google.com/file/d/1w9R5IDEzxivTvOkG9y_Mi6TEgiZQZN4T/view?usp=sharing</t>
  </si>
  <si>
    <t>e241dd7d</t>
  </si>
  <si>
    <t>West Ham vs Burnley - Premier League</t>
  </si>
  <si>
    <t>https://www.vidio.com/live/9183-champions-tv-6?schedule_id=4707257</t>
  </si>
  <si>
    <t>https://drive.google.com/drive/folders/1JGHz358W6LUQT5ISqCLFsU5sd7SpP5sq?usp=drive_link</t>
  </si>
  <si>
    <t>west ham united fc; burnley fc; sports stream</t>
  </si>
  <si>
    <t>Nonton streaming pertandingan seru West Ham vs Burnley - Premier League. Saksikan aksi-aksi terbaik dari tim yang bersaing ketat untuk meraih kemenangan. Dapatkan informasi lengkap mengenai jadwal pertandingan dan hasil pertandingan terbaru hanya di Vidio.</t>
  </si>
  <si>
    <t>WHU: PAQUETA &amp; SUMMERVILLE
BUR: FLORENTINO &amp; FLEMMING</t>
  </si>
  <si>
    <t>D3 , E3</t>
  </si>
  <si>
    <t>https://drive.google.com/file/d/1tw9KZZEezsUycUZZfqdY3LxMLb4utzI4/view?usp=sharing</t>
  </si>
  <si>
    <t>https://drive.google.com/file/d/1KcTwqupppOiUiw5vTfpAq4fy2zJveu8N/view?usp=sharing</t>
  </si>
  <si>
    <t>https://drive.google.com/file/d/1mS57ESPMvVSf-uLR61Apmjwhn9lWad0x/view?usp=sharing</t>
  </si>
  <si>
    <t>b5203078</t>
  </si>
  <si>
    <t>Bournemouth vs West Ham - Premier League</t>
  </si>
  <si>
    <t>https://www.vidio.com/live/19536-premier-league?schedule_id=4726326</t>
  </si>
  <si>
    <t>https://drive.google.com/drive/folders/14oiAcCjnlSgYm1Han50wPwF0wimtKn_n?usp=drive_link</t>
  </si>
  <si>
    <t>https://drive.google.com/drive/folders/1uhJs0XWrw5MpjvNxq26-eXCSMR0UWHi-?usp=drive_link</t>
  </si>
  <si>
    <t>afc bournemouth; west ham united fc; sports stream</t>
  </si>
  <si>
    <t>Nonton streaming pertandingan seru Bournemouth vs West Ham - Premier League. Saksikan aksi-aksi terbaik dari tim yang bersaing ketat untuk meraih kemenangan. Dapatkan informasi lengkap mengenai jadwal pertandingan dan hasil pertandingan terbaru hanya di Vidio.</t>
  </si>
  <si>
    <t>BOU: SEMENYO &amp; TRUFFERT
WHU: SOUCEK &amp; WAN-BISSAKA</t>
  </si>
  <si>
    <t>Matchday 12</t>
  </si>
  <si>
    <t>https://drive.google.com/file/d/1LjoqhUvGdFFKj_W-ZC_i00D_U1rpu3oG/view?usp=sharing</t>
  </si>
  <si>
    <t>https://drive.google.com/file/d/1G5LGUkwrS7U7RibW-aD1PnkU3s40rtjm/view?usp=sharing</t>
  </si>
  <si>
    <t>https://drive.google.com/file/d/1g5bn27ViO4BrdGUpfYbgYd8ScewjDePn/view?usp=sharing</t>
  </si>
  <si>
    <t>a095ab5e</t>
  </si>
  <si>
    <t>Arsenal vs Tottenham - Premier League</t>
  </si>
  <si>
    <t>https://www.vidio.com/live/9182-champions-tv-5?schedule_id=4726070</t>
  </si>
  <si>
    <t>https://drive.google.com/drive/folders/1hgdnKSdpuy1aG_VdduYRqzJ0hQ_vFl6i?usp=drive_link</t>
  </si>
  <si>
    <t>arsenal fc; tottenham hotspur fc; sports stream</t>
  </si>
  <si>
    <t>Nonton streaming pertandingan seru Arsenal vs Tottenham - Premier League. Saksikan aksi-aksi terbaik dari tim yang bersaing ketat untuk meraih kemenangan. Dapatkan informasi lengkap mengenai jadwal pertandingan dan hasil pertandingan terbaru hanya di Vidio.</t>
  </si>
  <si>
    <t>ARS: EZE - SAKA - RICE
TOT: PAPE SARR - XAVI SIMONS - PALHINHA</t>
  </si>
  <si>
    <t>https://drive.google.com/file/d/1_dsc7m6CEBX7Jiwe4OZDGXQO8YYGXhYp/view?usp=sharing</t>
  </si>
  <si>
    <t>https://drive.google.com/file/d/1YDfL_UHFG8787h1Zp_hm-rlBiUjP9ZDt/view?usp=sharing</t>
  </si>
  <si>
    <t>https://drive.google.com/file/d/1DuhAaAVZB7xxxRQNg8pB_L2bPIh8h-cC/view?usp=sharing</t>
  </si>
  <si>
    <t>b61ffdfe</t>
  </si>
  <si>
    <t>Brighton vs Brentford - Premier League</t>
  </si>
  <si>
    <t>https://www.vidio.com/live/19375-premier-league?schedule_id=4726328</t>
  </si>
  <si>
    <t>https://drive.google.com/drive/folders/1mMcOAAQpVzr6-Z3yaw1H3bJ21Xg7yyuC?usp=drive_link</t>
  </si>
  <si>
    <t>brighton &amp; hove albion fc; brentford fc; sports stream</t>
  </si>
  <si>
    <t>Nonton streaming pertandingan seru Brighton vs Brentford - Premier League. Saksikan aksi-aksi terbaik dari tim yang bersaing ketat untuk meraih kemenangan. Dapatkan informasi lengkap mengenai jadwal pertandingan dan hasil pertandingan terbaru hanya di Vidio.</t>
  </si>
  <si>
    <t>BHA: BALEBA &amp; WELBECK
BRE: DAMSGAARD &amp; IGOR</t>
  </si>
  <si>
    <t>https://drive.google.com/file/d/1RRHSjdwU2onO8HSsrmNzCiTbeDWiS5_1/view?usp=sharing</t>
  </si>
  <si>
    <t>https://drive.google.com/file/d/1lJUoAEO3hDrjyInEVaB8d2eqt-ydQKB2/view?usp=sharing</t>
  </si>
  <si>
    <t>https://drive.google.com/file/d/1koDE3o5D3CBH4kMnDX5jlWpGNK0I9Tw5/view?usp=sharing</t>
  </si>
  <si>
    <t>27e9691c</t>
  </si>
  <si>
    <t>Burnley vs Chelsea - Premier League</t>
  </si>
  <si>
    <t>https://www.vidio.com/live/9182-champions-tv-5?schedule_id=4726066</t>
  </si>
  <si>
    <t>https://drive.google.com/drive/folders/18iRoPVyovSW4x8KvDTpk3ha_F0E9I_9y?usp=drive_link</t>
  </si>
  <si>
    <t>burnley fc; chelsea fc; sports stream</t>
  </si>
  <si>
    <t>Nonton streaming pertandingan seru Burnley vs Chelsea - Premier League. Saksikan aksi-aksi terbaik dari tim yang bersaing ketat untuk meraih kemenangan. Dapatkan informasi lengkap mengenai jadwal pertandingan dan hasil pertandingan terbaru hanya di Vidio.</t>
  </si>
  <si>
    <t>BUR: WALKER &amp; UGOCHUKWU
CHE: JAMES &amp; GARNACHO</t>
  </si>
  <si>
    <t>https://drive.google.com/file/d/1wQNvSyd1FbTfOYfhsWposeu4RU0C5zhe/view?usp=sharing</t>
  </si>
  <si>
    <t>https://drive.google.com/file/d/1rJ0Up_i8wkUCICt2j2zYBBtEJSOdSDD7/view?usp=sharing</t>
  </si>
  <si>
    <t>https://drive.google.com/file/d/1SaTkhLVLUg9hqPQKiKecu3H2DDdLIFdV/view?usp=sharing</t>
  </si>
  <si>
    <t>1fd39220</t>
  </si>
  <si>
    <t>Fulham vs Sunderland - Premier League</t>
  </si>
  <si>
    <t>https://www.vidio.com/live/9183-champions-tv-6?schedule_id=4726071</t>
  </si>
  <si>
    <t>https://drive.google.com/drive/folders/1BA51X7pqjcYTrwKmKsU2CC2dyZ3rV9_Z?usp=drive_link</t>
  </si>
  <si>
    <t>fulham fc; sunderland afc; sports stream</t>
  </si>
  <si>
    <t>Nonton streaming pertandingan seru Fulham vs Sunderland - Premier League. Saksikan aksi-aksi terbaik dari tim yang bersaing ketat untuk meraih kemenangan. Dapatkan informasi lengkap mengenai jadwal pertandingan dan hasil pertandingan terbaru hanya di Vidio.</t>
  </si>
  <si>
    <t>FUL: LENO (GK) &amp; SMITH ROWE
SUN: ROEFS (GK) &amp; XHAKA</t>
  </si>
  <si>
    <t>https://drive.google.com/file/d/1PLupnITOl7D_1RrvbSbaGsgeFkpvSib3/view?usp=sharing</t>
  </si>
  <si>
    <t>https://drive.google.com/file/d/15BKfaddFtA8dZTalRCW8yIoKbOOXWLbx/view?usp=sharing</t>
  </si>
  <si>
    <t>https://drive.google.com/file/d/1nHUjk7iqZ2ziioJdtIm0DmJUye0vFiIW/view?usp=sharing</t>
  </si>
  <si>
    <t>33113c90</t>
  </si>
  <si>
    <t>Leeds United vs Aston Villa - Premier League</t>
  </si>
  <si>
    <t>https://www.vidio.com/live/9182-champions-tv-5?schedule_id=4726069</t>
  </si>
  <si>
    <t>https://drive.google.com/drive/folders/1mcyp3fHsA_pXzQijn6X0noz2iM_VLLjD?usp=drive_link</t>
  </si>
  <si>
    <t>leeds united fc; aston villa fc; sports stream</t>
  </si>
  <si>
    <t>Nonton streaming pertandingan seru Leeds United vs Aston Villa - Premier League. Saksikan aksi-aksi terbaik dari tim yang bersaing ketat untuk meraih kemenangan. Dapatkan informasi lengkap mengenai jadwal pertandingan dan hasil pertandingan terbaru hanya di Vidio.</t>
  </si>
  <si>
    <t>LEE: OKAFOR &amp; AMPADU
AVL: MALEN &amp; ONANA</t>
  </si>
  <si>
    <t>https://drive.google.com/file/d/1HjKUtlH8QDf306q784gKFPUCKNS_bf1u/view?usp=sharing</t>
  </si>
  <si>
    <t>https://drive.google.com/file/d/1h23RVFevR7yWBRUqrVSptivH8T36S4zS/view?usp=sharing</t>
  </si>
  <si>
    <t>https://drive.google.com/file/d/1LW-KCxNhNdXMVU_Iur7700UCY_QmJr3K/view?usp=sharing</t>
  </si>
  <si>
    <t>b348788f</t>
  </si>
  <si>
    <t>Liverpool vs Nottingham Forest - Premier League</t>
  </si>
  <si>
    <t>https://www.vidio.com/live/9182-champions-tv-5?schedule_id=4726067</t>
  </si>
  <si>
    <t>https://drive.google.com/drive/folders/1eug-9RIUSDmlcce31VfqlZd61dksSbkN?usp=drive_link</t>
  </si>
  <si>
    <t>liverpool fc; nottingham forest fc; sports stream</t>
  </si>
  <si>
    <t>Nonton streaming pertandingan seru Liverpool vs Nottingham Forest - Premier League. Saksikan aksi-aksi terbaik dari tim yang bersaing ketat untuk meraih kemenangan. Dapatkan informasi lengkap mengenai jadwal pertandingan dan hasil pertandingan terbaru hanya di Vidio.</t>
  </si>
  <si>
    <t>LIV: EKITIKE &amp; SZOBOSZLAI
NFO: IGOR JESUS &amp; ANDERSON</t>
  </si>
  <si>
    <t>https://drive.google.com/file/d/15BzfjWLmQ7GLDxlXp65mXtj_MsNMXZl5/view?usp=sharing</t>
  </si>
  <si>
    <t>https://drive.google.com/file/d/15BJTP6aImFuoxayyI7SQnmUlriTfcbAj/view?usp=sharing</t>
  </si>
  <si>
    <t>https://drive.google.com/file/d/1AkWM1lCkX1FnBcGUTLL55__Wll8kBlPQ/view?usp=sharing</t>
  </si>
  <si>
    <t>0ec1eacf</t>
  </si>
  <si>
    <t>Man United vs Everton - Premier League</t>
  </si>
  <si>
    <t>https://www.vidio.com/live/9182-champions-tv-5?schedule_id=4732728</t>
  </si>
  <si>
    <t>https://drive.google.com/drive/folders/10hIhbRFygMShyrZJOL0OwF7XpUXJR5Yr?usp=drive_link</t>
  </si>
  <si>
    <t>manchester united fc; everton fc; sports stream</t>
  </si>
  <si>
    <t>Nonton streaming pertandingan seru Man United vs Everton - Premier League. Saksikan aksi-aksi terbaik dari tim yang bersaing ketat untuk meraih kemenangan. Dapatkan informasi lengkap mengenai jadwal pertandingan dan hasil pertandingan terbaru hanya di Vidio.</t>
  </si>
  <si>
    <t>MUN: AMORIM (MAN) &amp; MBEUMO
EVE: MOYES (MAN) &amp; NDIAYE</t>
  </si>
  <si>
    <t>https://drive.google.com/file/d/1ZikDLdQIGu5SvY39yx0eMZeMve7Ip_ke/view?usp=sharing</t>
  </si>
  <si>
    <t>https://drive.google.com/file/d/1ZL3xKIS8-Y4anjjIwuI5O98kvvY1QWcM/view?usp=sharing</t>
  </si>
  <si>
    <t>https://drive.google.com/file/d/18tzkcVghr8RRpbC_zjfzkoclgdyueDT0/view?usp=sharing</t>
  </si>
  <si>
    <t>35abb926</t>
  </si>
  <si>
    <t>Newcastle vs Man City - Premier League</t>
  </si>
  <si>
    <t>https://www.vidio.com/live/9182-champions-tv-5?schedule_id=4726068</t>
  </si>
  <si>
    <t>https://drive.google.com/drive/folders/1AB5GUMNY-1Pc0RYw7N5ncFv9yUnJAFRd?usp=drive_link</t>
  </si>
  <si>
    <t>newcastle united fc; manchester city fc; sports stream</t>
  </si>
  <si>
    <t>Nonton streaming pertandingan seru Newcastle vs Man City - Premier League. Saksikan aksi-aksi terbaik dari tim yang bersaing ketat untuk meraih kemenangan. Dapatkan informasi lengkap mengenai jadwal pertandingan dan hasil pertandingan terbaru hanya di Vidio.</t>
  </si>
  <si>
    <t>NEW: WOLTEMADE &amp; MURPHY
MCI: HAALAND &amp; DOKU</t>
  </si>
  <si>
    <t>https://drive.google.com/file/d/14xdyRPbSn2vLYgUkyjUcWmxoyjX5Jbrl/view?usp=sharing</t>
  </si>
  <si>
    <t>https://drive.google.com/file/d/1ui7xe03-W59UETW_QLceH37yH9Ii568h/view?usp=sharing</t>
  </si>
  <si>
    <t>https://drive.google.com/file/d/1lTMBRp4J2muE2Dgr_O5NZv8OQbUD7It1/view?usp=sharing</t>
  </si>
  <si>
    <t>f92479c2</t>
  </si>
  <si>
    <t>Wolves vs Crystal Palace - Premier League</t>
  </si>
  <si>
    <t>https://www.vidio.com/live/18797-premier-league?schedule_id=4726408</t>
  </si>
  <si>
    <t>https://drive.google.com/drive/folders/1bCofipDob2S2_-RBI1cih-Mjl5YqeYlp?usp=drive_link</t>
  </si>
  <si>
    <t>wolverhampton wanderers fc; crystal palace fc; sports stream</t>
  </si>
  <si>
    <t>Nonton streaming pertandingan seru Wolves vs Crystal Palace - Premier League. Saksikan aksi-aksi terbaik dari tim yang bersaing ketat untuk meraih kemenangan. Dapatkan informasi lengkap mengenai jadwal pertandingan dan hasil pertandingan terbaru hanya di Vidio.</t>
  </si>
  <si>
    <t>WOL: HWANG &amp; BELLEGARDE
CRY: KAMADA &amp; ISMAILLA SARR</t>
  </si>
  <si>
    <t>https://drive.google.com/file/d/1v_g2--PaPKdVYXlP2tYkH35WURFsc7Gu/view?usp=sharing</t>
  </si>
  <si>
    <t>https://drive.google.com/file/d/1MxSNO37Sv-jF8sLgcVSnEq7zJZsuuXFb/view?usp=sharing</t>
  </si>
  <si>
    <t>https://drive.google.com/file/d/1IKb16a1icUtQvU8uhYtSH3mKMUOpppvW/view?usp=sharing</t>
  </si>
  <si>
    <t>a08230d6</t>
  </si>
  <si>
    <t>Aston Villa vs Wolves - Premier League</t>
  </si>
  <si>
    <t>https://www.vidio.com/live/9183-champions-tv-6?schedule_id=4736101</t>
  </si>
  <si>
    <t>https://drive.google.com/drive/folders/1zWOuxrGAN0CsuQzg1zyVcAXHYA6oB90E</t>
  </si>
  <si>
    <t>https://drive.google.com/file/d/1upxxE7tA120zuoGLHUAfLoKMj-L_GW48/view?usp=sharing</t>
  </si>
  <si>
    <t>aston villa fc; wolverhampton wanderers fc; sports stream</t>
  </si>
  <si>
    <t>Nonton streaming pertandingan seru Aston Villa vs Wolves - Premier League. Saksikan aksi-aksi terbaik dari tim yang bersaing ketat untuk meraih kemenangan. Dapatkan informasi lengkap mengenai jadwal pertandingan dan hasil pertandingan terbaru hanya di Vidio.</t>
  </si>
  <si>
    <t>AVL: ROGERS &amp; WATKINS
WOL: JOAO GOMES &amp; ANDRE</t>
  </si>
  <si>
    <t>Matchday 13</t>
  </si>
  <si>
    <t>https://drive.google.com/file/d/1wAsXxCUY1MbSvJ8F9rutwb9u9MqysTg0/view?usp=sharing</t>
  </si>
  <si>
    <t>https://drive.google.com/file/d/1_EU80jY2QICc6-UqgShMcQScG5lVVAFl/view?usp=sharing</t>
  </si>
  <si>
    <t>291c7743</t>
  </si>
  <si>
    <t>Brentford vs Burnley - Premier League</t>
  </si>
  <si>
    <t>https://www.vidio.com/live/18797-premier-league?schedule_id=4736092</t>
  </si>
  <si>
    <t>https://drive.google.com/drive/folders/1kJpvjEEPqG8yaoRIsSnfzoWDkla5rfuH</t>
  </si>
  <si>
    <t>https://drive.google.com/file/d/1VOfjvUsYxDr2hflDpSuCGRH7tiE26tl1/view?usp=sharing</t>
  </si>
  <si>
    <t>brentford fc; burnley fc; sports stream</t>
  </si>
  <si>
    <t>Nonton streaming pertandingan seru Brentford vs Burnley - Premier League. Saksikan aksi-aksi terbaik dari tim yang bersaing ketat untuk meraih kemenangan. Dapatkan informasi lengkap mengenai jadwal pertandingan dan hasil pertandingan terbaru hanya di Vidio.</t>
  </si>
  <si>
    <t>BRE: HENDERSON &amp; COLLINS
BUR: FLORENTINO &amp; WALKER</t>
  </si>
  <si>
    <t>https://drive.google.com/file/d/1UxojIiEz7UbfR9ZftcyFce70-8Q6SLAe/view?usp=sharing</t>
  </si>
  <si>
    <t>https://drive.google.com/file/d/1fIb6w_PlrO2HUAxa3CAlSAEpfCgj4f9r/view?usp=sharing</t>
  </si>
  <si>
    <t>d749c66d</t>
  </si>
  <si>
    <t>Chelsea vs Arsenal - Premier League</t>
  </si>
  <si>
    <t>https://www.vidio.com/live/9182-champions-tv-5?schedule_id=4740023</t>
  </si>
  <si>
    <t>https://drive.google.com/drive/folders/1FtQEhTqILsGqoH1wdvnfAgTcoCi5cdxK</t>
  </si>
  <si>
    <t>https://drive.google.com/file/d/1yhrvDOCQhu7ddL3fLP1Y-ZDZkbMO-JR_/view?usp=sharing</t>
  </si>
  <si>
    <t>chelsea fc; arsenal fc; sports stream</t>
  </si>
  <si>
    <t>Nonton streaming pertandingan seru Chelsea vs Arsenal - Premier League. Saksikan aksi-aksi terbaik dari tim yang bersaing ketat untuk meraih kemenangan. Dapatkan informasi lengkap mengenai jadwal pertandingan dan hasil pertandingan terbaru hanya di Vidio.</t>
  </si>
  <si>
    <t>CHE: ESTEVAO &amp; MARESCA (MAN)
ARS: SAKA &amp; ARTETA (MAN)</t>
  </si>
  <si>
    <t>https://drive.google.com/file/d/194r51RW9KRA1BKt0oa1VwVnx-9ROGyxY/view?usp=sharing</t>
  </si>
  <si>
    <t>https://drive.google.com/file/d/1QBdIxw-YiuU38T0NUjBLCFxCxal85ui_/view?usp=sharing</t>
  </si>
  <si>
    <t>90e95ee3</t>
  </si>
  <si>
    <t>Crystal Palace vs Man United - Premier League</t>
  </si>
  <si>
    <t>https://www.vidio.com/live/9182-champions-tv-5?schedule_id=4739605</t>
  </si>
  <si>
    <t>https://drive.google.com/drive/folders/1IZ8sVeHw1CQIf4plGSYbg36lVxcdH8y0</t>
  </si>
  <si>
    <t>crystal palace fc; manchester united fc; sports stream</t>
  </si>
  <si>
    <t>Nonton streaming pertandingan seru Crystal Palace vs Man United - Premier League. Saksikan aksi-aksi terbaik dari tim yang bersaing ketat untuk meraih kemenangan. Dapatkan informasi lengkap mengenai jadwal pertandingan dan hasil pertandingan terbaru hanya di Vidio.</t>
  </si>
  <si>
    <t>CRY: MATETA &amp; MUNOZ
MUN: CUNHA &amp; DE LIGT</t>
  </si>
  <si>
    <t>https://drive.google.com/file/d/1BFtbGYdz9Jp6AoRheqyv36H0bi3HS87c/view?usp=sharing</t>
  </si>
  <si>
    <t>https://drive.google.com/file/d/171_WFC31lI43ArS0uBbIvFID4nsQdjtO/view?usp=sharing</t>
  </si>
  <si>
    <t>ed6df7f7</t>
  </si>
  <si>
    <t>Everton vs Newcastle - Premier League</t>
  </si>
  <si>
    <t>https://www.vidio.com/live/9182-champions-tv-5?schedule_id=4739597</t>
  </si>
  <si>
    <t>https://drive.google.com/drive/folders/1k7KcDE76XwJm6hzTdIq4X4WZsMF1TV_u</t>
  </si>
  <si>
    <t>https://drive.google.com/drive/folders/1lPofVJnsxkRN34Om0EftSbrcWLjRHkv5</t>
  </si>
  <si>
    <t>everton fc; newcastle united fc; sports stream</t>
  </si>
  <si>
    <t>Nonton streaming pertandingan seru Everton vs Newcastle - Premier League. Saksikan aksi-aksi terbaik dari tim yang bersaing ketat untuk meraih kemenangan. Dapatkan informasi lengkap mengenai jadwal pertandingan dan hasil pertandingan terbaru hanya di Vidio.</t>
  </si>
  <si>
    <t>EVE: PICKFORD (GK) &amp; GREALISH
NEW: POPE (GK) &amp; BARNES</t>
  </si>
  <si>
    <t>https://drive.google.com/file/d/1cT5szcJDo-DXruIv1XpRKmErXxcrUc-5/view?usp=sharing</t>
  </si>
  <si>
    <t>https://drive.google.com/file/d/1tOUBM5jg6D8lZc5BcmXewzD0rv7WIvjW/view?usp=sharing</t>
  </si>
  <si>
    <t>https://drive.google.com/file/d/1-I1QjDH9wYV1zfdsJI7U-1BVAjitmra6/view?usp=sharing</t>
  </si>
  <si>
    <t>11e330f9</t>
  </si>
  <si>
    <t>Man City vs Leeds United - Premier League</t>
  </si>
  <si>
    <t>https://www.vidio.com/live/9182-champions-tv-5?schedule_id=4739598</t>
  </si>
  <si>
    <t>https://drive.google.com/drive/folders/1FsGOc0wx88n5RPmMFvYoh_n-Q6b-PpbI</t>
  </si>
  <si>
    <t>https://drive.google.com/file/d/1u3XPtNKL0tMCe1GQirCC7igUVWdV_uGd/view?usp=sharing</t>
  </si>
  <si>
    <t>manchester city fc; leeds united fc; sports stream</t>
  </si>
  <si>
    <t>Nonton streaming pertandingan seru Man City vs Leeds United - Premier League. Saksikan aksi-aksi terbaik dari tim yang bersaing ketat untuk meraih kemenangan. Dapatkan informasi lengkap mengenai jadwal pertandingan dan hasil pertandingan terbaru hanya di Vidio.</t>
  </si>
  <si>
    <t>MCI: HAALAND &amp; DIAS
LEE: NMECHA &amp; STRUIJK</t>
  </si>
  <si>
    <t>https://drive.google.com/file/d/12aNWR4Go4ALRS7lE_9QOmvNLwkG-QgVd/view?usp=sharing</t>
  </si>
  <si>
    <t>https://drive.google.com/file/d/1nrGPFkTtlOeddgPhLIpGIde8wnqdmYKu/view?usp=sharing</t>
  </si>
  <si>
    <t>57a7bfb3</t>
  </si>
  <si>
    <t>Nottingham Forest vs Brighton - Premier League</t>
  </si>
  <si>
    <t>https://www.vidio.com/live/19375-premier-league?schedule_id=4736087</t>
  </si>
  <si>
    <t>https://drive.google.com/drive/folders/1uSXBRCoRO_FR6xIxicGV6W3xtV_LVEzb</t>
  </si>
  <si>
    <t>https://drive.google.com/file/d/1KITYE25Sy2a0uqVfbUyXMyA0FTVq9_Cr/view?usp=sharing</t>
  </si>
  <si>
    <t>nottingham forest fc; brighton &amp; hove albion fc; sports stream</t>
  </si>
  <si>
    <t>Nonton streaming pertandingan seru Nottingham Forest vs Brighton - Premier League. Saksikan aksi-aksi terbaik dari tim yang bersaing ketat untuk meraih kemenangan. Dapatkan informasi lengkap mengenai jadwal pertandingan dan hasil pertandingan terbaru hanya di Vidio.</t>
  </si>
  <si>
    <t>NFO: NECO &amp; GIBBS-WHITE
BHA: VAN HECKE &amp; BALEBA</t>
  </si>
  <si>
    <t>D3 , C3</t>
  </si>
  <si>
    <t>https://drive.google.com/file/d/1k6PCTEDC-Jjc7dP5LQ1gZK0dBNFWpN5S/view?usp=sharing</t>
  </si>
  <si>
    <t>https://drive.google.com/file/d/1Y_n9VObp_dr9AkcE5ivmN6YGC0pzULXc/view?usp=sharing</t>
  </si>
  <si>
    <t>eb5e0489</t>
  </si>
  <si>
    <t>Sunderland vs Bournemouth - Premier League</t>
  </si>
  <si>
    <t>https://www.vidio.com/live/9183-champions-tv-6?schedule_id=4736102</t>
  </si>
  <si>
    <t>https://drive.google.com/drive/folders/1Cmuf8qtRzIX9nRaBXUKasoD0JBp41y7q</t>
  </si>
  <si>
    <t>https://drive.google.com/file/d/1M-a4IUIcdXdYWQu-O92ArUmCdMTg03zk/view?usp=sharing</t>
  </si>
  <si>
    <t>sunderland afc; afc bournemouth; sports stream</t>
  </si>
  <si>
    <t>Nonton streaming pertandingan seru Sunderland vs Bournemouth - Premier League. Saksikan aksi-aksi terbaik dari tim yang bersaing ketat untuk meraih kemenangan. Dapatkan informasi lengkap mengenai jadwal pertandingan dan hasil pertandingan terbaru hanya di Vidio.</t>
  </si>
  <si>
    <t>SUN: XHAKA &amp; ADINGRA
BOU: EVANILSON &amp; TAVERNIER</t>
  </si>
  <si>
    <t>https://drive.google.com/file/d/1jXK1uHHLekEYsNt5OEmOGb1BzcIkyh9D/view?usp=sharing</t>
  </si>
  <si>
    <t>https://drive.google.com/file/d/1nWsr4AoYdVA6J6_s43P_pTa0t6-1ypDh/view?usp=sharing</t>
  </si>
  <si>
    <t>cf2457f9</t>
  </si>
  <si>
    <t>Tottenham vs Fulham - Premier League</t>
  </si>
  <si>
    <t>https://www.vidio.com/live/9182-champions-tv-5?schedule_id=4739596</t>
  </si>
  <si>
    <t>https://drive.google.com/drive/folders/1Ezizz6Ah2v1kvOpxVDTLJnpQTnUTTv_h</t>
  </si>
  <si>
    <t>https://drive.google.com/file/d/1yMbn8ASwGmRgQtqwq6Su1oXUmwUhl3m4/view?usp=sharing</t>
  </si>
  <si>
    <t>tottenham hotspur fc; fulham fc; sports stream</t>
  </si>
  <si>
    <t>Nonton streaming pertandingan seru Tottenham vs Fulham - Premier League. Saksikan aksi-aksi terbaik dari tim yang bersaing ketat untuk meraih kemenangan. Dapatkan informasi lengkap mengenai jadwal pertandingan dan hasil pertandingan terbaru hanya di Vidio.</t>
  </si>
  <si>
    <t>TOT: RICHARLISON &amp; PALHINHA
FUL: IWOBI &amp; SANDER BERGE</t>
  </si>
  <si>
    <t>https://drive.google.com/file/d/1rhvEPHkVIP2SPR-tX2RFiDkOsW7IC5QV/view?usp=sharing</t>
  </si>
  <si>
    <t>https://drive.google.com/file/d/1eKqhLNis3byc_o-QeKqhDQTbGF7XNC8_/view?usp=sharing</t>
  </si>
  <si>
    <t>95ae847c</t>
  </si>
  <si>
    <t>West Ham vs Liverpool - Premier League</t>
  </si>
  <si>
    <t>https://www.vidio.com/live/9182-champions-tv-5?schedule_id=4739606</t>
  </si>
  <si>
    <t>https://drive.google.com/drive/folders/196BtBAss-xYXchYmt72RG1sSzYZrGmhv</t>
  </si>
  <si>
    <t>https://drive.google.com/file/d/1g1Y45hz35kWWO_TNVDeN7mDsPM2bktF9/view?usp=sharing</t>
  </si>
  <si>
    <t>west ham united fc; liverpool fc; sports stream</t>
  </si>
  <si>
    <t>Nonton streaming pertandingan seru West Ham vs Liverpool - Premier League. Saksikan aksi-aksi terbaik dari tim yang bersaing ketat untuk meraih kemenangan. Dapatkan informasi lengkap mengenai jadwal pertandingan dan hasil pertandingan terbaru hanya di Vidio.</t>
  </si>
  <si>
    <t>WHU: BOWEN &amp; PAQUETA
LIV: SALAH &amp; ISAK</t>
  </si>
  <si>
    <t>https://drive.google.com/file/d/14eq4u4K2qCVG2ElxayKjn-d2BhEuiIvX/view?usp=sharing</t>
  </si>
  <si>
    <t>https://drive.google.com/file/d/19gDLV907BhS0cIKlb8uS0Y0BBBIa0_Ld/view?usp=sharing</t>
  </si>
  <si>
    <t>3134ada9</t>
  </si>
  <si>
    <t>Bournemouth vs Everton - Premier League</t>
  </si>
  <si>
    <t>https://www.vidio.com/live/18797-premier-league?schedule_id=4743725</t>
  </si>
  <si>
    <t>https://drive.google.com/drive/folders/1UZYrMypLkMeOmoGy-ys63XYpcG3Q9K2l?usp=drive_link</t>
  </si>
  <si>
    <t>https://drive.google.com/drive/folders/1WB5RMrJafdkxgc0CdZvq6o2Z-yCqfWQu?usp=drive_link</t>
  </si>
  <si>
    <t>afc bournemouth; everton fc; sports stream</t>
  </si>
  <si>
    <t>Nonton streaming pertandingan seru Bournemouth vs Everton - Premier League. Saksikan aksi-aksi terbaik dari tim yang bersaing ketat untuk meraih kemenangan. Dapatkan informasi lengkap mengenai jadwal pertandingan dan hasil pertandingan terbaru hanya di Vidio.</t>
  </si>
  <si>
    <t>BOU: SCOTT &amp; SENESI
EVE: NDIAYE &amp; COLEMAN</t>
  </si>
  <si>
    <t>Matchday 14</t>
  </si>
  <si>
    <t>https://drive.google.com/file/d/1lQ1pL-k5-NG1jnLfYM1D0cyujx_8oHnm/view?usp=sharing</t>
  </si>
  <si>
    <t>https://drive.google.com/file/d/1VgsQJeAHApzHvNjUGd9CG0AepXJ_Zcui/view?usp=sharing</t>
  </si>
  <si>
    <t>https://drive.google.com/file/d/1VCDoky6U_QrURGQAex8iO9hJsWH7oou8/view?usp=sharing</t>
  </si>
  <si>
    <t>a167d2e3</t>
  </si>
  <si>
    <t>Arsenal vs Brentford - Premier League</t>
  </si>
  <si>
    <t>https://www.vidio.com/live/9182-champions-tv-5?schedule_id=4747191</t>
  </si>
  <si>
    <t>https://drive.google.com/drive/folders/1BpYLG7bvjbyllQoh-1E3JZK0nRPiaPaQ?usp=drive_link</t>
  </si>
  <si>
    <t>arsenal fc; brentford fc; sports stream</t>
  </si>
  <si>
    <t>Nonton streaming pertandingan seru Arsenal vs Brentford - Premier League. Saksikan aksi-aksi terbaik dari tim yang bersaing ketat untuk meraih kemenangan. Dapatkan informasi lengkap mengenai jadwal pertandingan dan hasil pertandingan terbaru hanya di Vidio.</t>
  </si>
  <si>
    <t>ARS: RICE &amp; EZE
BRE: DAMSGAARD &amp; SCHADE</t>
  </si>
  <si>
    <t>https://drive.google.com/file/d/117znV7qEYhwMW7VJaZ5oJnHvYBPHBqWa/view?usp=sharing</t>
  </si>
  <si>
    <t>https://drive.google.com/file/d/1so5NYLRXvQZXR7G-axh1yhrzIU8PnARP/view?usp=sharing</t>
  </si>
  <si>
    <t>https://drive.google.com/file/d/1P8sz5qKD5nAj23nPPTxPm4ybPKFcpPRo/view?usp=sharing</t>
  </si>
  <si>
    <t>fd010e3c</t>
  </si>
  <si>
    <t>Brighton vs Aston Villa - Premier League</t>
  </si>
  <si>
    <t>https://www.vidio.com/live/19536-premier-league?schedule_id=4743729</t>
  </si>
  <si>
    <t>https://drive.google.com/drive/folders/1jVaRPjBAiSsFGGCp5_M5NX_nXUUtfplL?usp=drive_link</t>
  </si>
  <si>
    <t>brighton &amp; hove albion fc; aston villa fc; sports stream</t>
  </si>
  <si>
    <t>Nonton streaming pertandingan seru Brighton vs Aston Villa - Premier League. Saksikan aksi-aksi terbaik dari tim yang bersaing ketat untuk meraih kemenangan. Dapatkan informasi lengkap mengenai jadwal pertandingan dan hasil pertandingan terbaru hanya di Vidio.</t>
  </si>
  <si>
    <t>BHA: WELBECK &amp; DUNK
AVL: TIELEMANS &amp; SANCHO</t>
  </si>
  <si>
    <t>https://drive.google.com/file/d/1KgYaMy_2_fUERF4OQcTgbm_tGioF_5pr/view?usp=sharing</t>
  </si>
  <si>
    <t>https://drive.google.com/file/d/1oqxHTrqaC3uDRXr0zk6M1UHSFONNfdYH/view?usp=sharing</t>
  </si>
  <si>
    <t>https://drive.google.com/file/d/1EAGaju6RSQ5iHJoNAkkOEiafWaZ_OEp0/view?usp=sharing</t>
  </si>
  <si>
    <t>7db67c78</t>
  </si>
  <si>
    <t>Burnley vs Crystal Palace - Premier League</t>
  </si>
  <si>
    <t>https://www.vidio.com/live/19375-premier-league?schedule_id=4743731</t>
  </si>
  <si>
    <t>https://drive.google.com/drive/folders/1AivDDFQwx4uvtbvUdaJhB2O51R6a0fhf?usp=drive_link</t>
  </si>
  <si>
    <t>burnley fc; crystal palace fc; sports stream</t>
  </si>
  <si>
    <t>Nonton streaming pertandingan seru Burnley vs Crystal Palace - Premier League. Saksikan aksi-aksi terbaik dari tim yang bersaing ketat untuk meraih kemenangan. Dapatkan informasi lengkap mengenai jadwal pertandingan dan hasil pertandingan terbaru hanya di Vidio.</t>
  </si>
  <si>
    <t>BUR: BRUNN LARSEN &amp; TUANZEBE
CRY: SARR &amp; MITCHELL</t>
  </si>
  <si>
    <t>https://drive.google.com/file/d/15AQoCU1dCbJmBBC4S5lJMfKhLD2z1azc/view?usp=sharing</t>
  </si>
  <si>
    <t>https://drive.google.com/file/d/1rx9Oxl1jjphZXc79ymoYn2ilB7SYX4PD/view?usp=sharing</t>
  </si>
  <si>
    <t>https://drive.google.com/file/d/1XrargegNpcUfQaY2JllC920pJgdP7ywi/view?usp=sharing</t>
  </si>
  <si>
    <t>1f1d1956</t>
  </si>
  <si>
    <t>Fulham vs Man City - Premier League</t>
  </si>
  <si>
    <t>https://www.vidio.com/live/9182-champions-tv-5?schedule_id=4747190</t>
  </si>
  <si>
    <t>https://drive.google.com/drive/folders/1EpZ1kd4Bzkc4RoCiXUr5wZ9zr8ycrgxm?usp=drive_link</t>
  </si>
  <si>
    <t>fulham fc; manchester city fc; sports stream</t>
  </si>
  <si>
    <t>Nonton streaming pertandingan seru Fulham vs Man City - Premier League. Saksikan aksi-aksi terbaik dari tim yang bersaing ketat untuk meraih kemenangan. Dapatkan informasi lengkap mengenai jadwal pertandingan dan hasil pertandingan terbaru hanya di Vidio.</t>
  </si>
  <si>
    <t>FUL: SMITH ROWE &amp; LENO (GK)
MCI: TIJJANI &amp; DONNARUMMA (GK)</t>
  </si>
  <si>
    <t>https://drive.google.com/file/d/1mVYqBIUnTfiXTAA1sUrW0Rp5cFtKkZSH/view?usp=sharing</t>
  </si>
  <si>
    <t>https://drive.google.com/file/d/18LEJzeb8dI64Cw3AFlFwWeXZqOPXg8pg/view?usp=sharing</t>
  </si>
  <si>
    <t>https://drive.google.com/file/d/1a1OWPB1ex3RQljUxhnlWDrqnvyVXWFi7/view?usp=sharing</t>
  </si>
  <si>
    <t>23dcef8c</t>
  </si>
  <si>
    <t>Leeds United vs Chelsea - Premier League</t>
  </si>
  <si>
    <t>https://www.vidio.com/live/18796-premier-league?schedule_id=4743733</t>
  </si>
  <si>
    <t>https://drive.google.com/drive/folders/1O6M0PlBvbtWev4ofs9TP5HMbvxwqC7QI?usp=drive_link</t>
  </si>
  <si>
    <t>leeds united fc; chelsea fc; sports stream</t>
  </si>
  <si>
    <t>Nonton streaming pertandingan seru Leeds United vs Chelsea - Premier League. Saksikan aksi-aksi terbaik dari tim yang bersaing ketat untuk meraih kemenangan. Dapatkan informasi lengkap mengenai jadwal pertandingan dan hasil pertandingan terbaru hanya di Vidio.</t>
  </si>
  <si>
    <t>LEE: AMPADU &amp; GNONTO
CHE: CUCURELLA &amp; GARNACHO</t>
  </si>
  <si>
    <t>https://drive.google.com/file/d/1Sl2-NHud10iawRrqs84cj7rqTSQsEwmL/view?usp=sharing</t>
  </si>
  <si>
    <t>https://drive.google.com/file/d/1VunuAc0ByovJbJXH4OZatXhzEVVI9MeJ/view?usp=sharing</t>
  </si>
  <si>
    <t>https://drive.google.com/file/d/10XuQWIpkye_GCRSNkBOytCL48i1seiBK/view?usp=sharing</t>
  </si>
  <si>
    <t>e94057ae</t>
  </si>
  <si>
    <t>Liverpool vs Sunderland - Premier League</t>
  </si>
  <si>
    <t>https://www.vidio.com/live/9183-champions-tv-6?schedule_id=4747179</t>
  </si>
  <si>
    <t>https://drive.google.com/drive/folders/1NeNg6Y-VuvcNdztAswjj1591JHWN7O88?usp=drive_link</t>
  </si>
  <si>
    <t>liverpool fc; sunderland afc; sports stream</t>
  </si>
  <si>
    <t>Nonton streaming pertandingan seru Liverpool vs Sunderland - Premier League. Saksikan aksi-aksi terbaik dari tim yang bersaing ketat untuk meraih kemenangan. Dapatkan informasi lengkap mengenai jadwal pertandingan dan hasil pertandingan terbaru hanya di Vidio.</t>
  </si>
  <si>
    <t>LIV: VAN DIJK &amp; GRAVENBERCH
SUN: LE FEE &amp; BALLARD</t>
  </si>
  <si>
    <t>https://drive.google.com/file/d/1DUoqYcqPCBKlujzhcMzWBFzF8Zzwhl6s/view?usp=sharing</t>
  </si>
  <si>
    <t>https://drive.google.com/file/d/1VfCfERrewTRPe916w7Y-L7iji8TTNmsr/view?usp=sharing</t>
  </si>
  <si>
    <t>https://drive.google.com/file/d/1toP4Yu7Wb8lK8lbJaYl_-cRIQQED83z8/view?usp=sharing</t>
  </si>
  <si>
    <t>baa448d2</t>
  </si>
  <si>
    <t>Man United vs West Ham - Premier League</t>
  </si>
  <si>
    <t>https://www.vidio.com/live/9182-champions-tv-5?schedule_id=4747193</t>
  </si>
  <si>
    <t>https://drive.google.com/drive/folders/1if-FK8sl0PXGziXxE2_Dx5dlC5lQRFEL?usp=drive_link</t>
  </si>
  <si>
    <t>manchester united fc; west ham united fc; sports stream</t>
  </si>
  <si>
    <t>Nonton streaming pertandingan seru Man United vs West Ham - Premier League. Saksikan aksi-aksi terbaik dari tim yang bersaing ketat untuk meraih kemenangan. Dapatkan informasi lengkap mengenai jadwal pertandingan dan hasil pertandingan terbaru hanya di Vidio.</t>
  </si>
  <si>
    <t>MUN: BRUNO &amp; MOUNT
WHU: SOUCEK &amp; KILMAN</t>
  </si>
  <si>
    <t>https://drive.google.com/file/d/1Y41anx1__b9j9F8ESQDrIr4oLKiPhJy7/view?usp=sharing</t>
  </si>
  <si>
    <t>https://drive.google.com/file/d/1fonzEpPXOdktBamrUtIVUgifdn65vRR3/view?usp=sharing</t>
  </si>
  <si>
    <t>https://drive.google.com/file/d/1fpsIH9sE9f6GVvW9RRRPFWqIAUNa30Ui/view?usp=sharing</t>
  </si>
  <si>
    <t>6619c4fa</t>
  </si>
  <si>
    <t>Newcastle vs Tottenham - Premier League</t>
  </si>
  <si>
    <t>https://www.vidio.com/live/9183-champions-tv-6?schedule_id=4747178</t>
  </si>
  <si>
    <t>https://drive.google.com/drive/folders/1uDHO6mOPCSnpMax30Wbg76bkbDRZPmy_?usp=drive_link</t>
  </si>
  <si>
    <t>newcastle united fc; tottenham hotspur fc; sports stream</t>
  </si>
  <si>
    <t>Nonton streaming pertandingan seru Newcastle vs Tottenham - Premier League. Saksikan aksi-aksi terbaik dari tim yang bersaing ketat untuk meraih kemenangan. Dapatkan informasi lengkap mengenai jadwal pertandingan dan hasil pertandingan terbaru hanya di Vidio.</t>
  </si>
  <si>
    <t>NEW: WOLTEMADE &amp; ELANGA
TOT: BRENNAN JOHNSON &amp; XAVI SIMONS</t>
  </si>
  <si>
    <t>https://drive.google.com/file/d/1FKg8zIKrmzI18w4olKuorM9wrOb1GFju/view?usp=drive_link</t>
  </si>
  <si>
    <t>https://drive.google.com/file/d/1Cef-oBiTEsyzRoYI7xCs6FqgilFv9pP-/view?usp=sharing</t>
  </si>
  <si>
    <t>https://drive.google.com/file/d/1A6_PMeQ-8x7NR0qqCNrcaFXd164JXNXz/view?usp=sharing</t>
  </si>
  <si>
    <t>731e6f8e</t>
  </si>
  <si>
    <t>Wolves vs Nottingham Forest - Premier League</t>
  </si>
  <si>
    <t>https://www.vidio.com/live/18797-premier-league?schedule_id=4743732</t>
  </si>
  <si>
    <t>https://drive.google.com/drive/folders/1ytoPL-DHdJ8n1-d6TQ6rH5T4lg0LTiJ1?usp=drive_link</t>
  </si>
  <si>
    <t>wolverhampton wanderers fc; nottingham forest fc; sports stream</t>
  </si>
  <si>
    <t>Nonton streaming pertandingan seru Wolves vs Nottingham Forest - Premier League. Saksikan aksi-aksi terbaik dari tim yang bersaing ketat untuk meraih kemenangan. Dapatkan informasi lengkap mengenai jadwal pertandingan dan hasil pertandingan terbaru hanya di Vidio.</t>
  </si>
  <si>
    <t>WOL: BELLEGARDE &amp; STRAND LARSEN
NFO: GIBBS-WHITE &amp; NECO</t>
  </si>
  <si>
    <t>https://drive.google.com/file/d/1_Fc57uq9wYLxrIuhw97GscCwG0ugPsea/view?usp=sharing</t>
  </si>
  <si>
    <t>https://drive.google.com/file/d/1QMx2mDKM-m6gSZznx1Y-GLNHPZrKPgSh/view?usp=sharing</t>
  </si>
  <si>
    <t>https://drive.google.com/file/d/1XAzsbz3yOaAPu_sWKJCBYk9gDEPICFLI/view?usp=sharing</t>
  </si>
  <si>
    <t>24855971</t>
  </si>
  <si>
    <t>Bournemouth vs Chelsea - Premier League</t>
  </si>
  <si>
    <t>https://www.vidio.com/live/9183-champions-tv-6?schedule_id=4759269</t>
  </si>
  <si>
    <t>https://drive.google.com/drive/folders/1AESETZjSnJyCPtMBD3qlBXofqJOR9CDC?usp=drive_link</t>
  </si>
  <si>
    <t>https://drive.google.com/drive/folders/1OYaFEHUPP6WozxKecPCD55NZAI71A2Pz?usp=drive_link</t>
  </si>
  <si>
    <t>afc bournemouth; chelsea fc; sports stream</t>
  </si>
  <si>
    <t>Nonton streaming pertandingan seru Bournemouth vs Chelsea - Premier League. Saksikan aksi-aksi terbaik dari tim yang bersaing ketat untuk meraih kemenangan. Dapatkan informasi lengkap mengenai jadwal pertandingan dan hasil pertandingan terbaru hanya di Vidio.</t>
  </si>
  <si>
    <t>BOU: EVANILSON &amp; SCOTT
CHE: ENZO FERNANDEZ &amp; ESTEVAO</t>
  </si>
  <si>
    <t>Matchday 15</t>
  </si>
  <si>
    <t>https://drive.google.com/file/d/19j_tjcipfLHXY6AHF8mtGr_G0OKnIINb/view?usp=sharing</t>
  </si>
  <si>
    <t>https://drive.google.com/file/d/14lqzddPO5lkPDdu61cXRmgDiK-lDUHop/view?usp=sharing</t>
  </si>
  <si>
    <t>https://drive.google.com/file/d/1yNIWPTyKyHLd4MHe8vm-gzTfmwP4wGjX/view?usp=sharing</t>
  </si>
  <si>
    <t>2d0fcad4</t>
  </si>
  <si>
    <t>Aston Villa vs Arsenal - Premier League</t>
  </si>
  <si>
    <t>https://www.vidio.com/live/9182-champions-tv-5?schedule_id=4759270</t>
  </si>
  <si>
    <t>https://drive.google.com/drive/folders/1eeNyZJoBrXN5JV-bIY-Tm6sEAZkuoXHD?usp=drive_link</t>
  </si>
  <si>
    <t>aston villa fc; arsenal fc; sports stream</t>
  </si>
  <si>
    <t>Nonton streaming pertandingan seru Aston Villa vs Arsenal - Premier League. Saksikan aksi-aksi terbaik dari tim yang bersaing ketat untuk meraih kemenangan. Dapatkan informasi lengkap mengenai jadwal pertandingan dan hasil pertandingan terbaru hanya di Vidio.</t>
  </si>
  <si>
    <t>AVL: MARTINEZ (GK) &amp; ROGERS
ARS: RAYA (GK) &amp; SAKA</t>
  </si>
  <si>
    <t>D2 , C2</t>
  </si>
  <si>
    <t>https://drive.google.com/file/d/1VLPZm1FPErTML4NvzuwookzAI02_FhBg/view?usp=drive_link</t>
  </si>
  <si>
    <t>https://drive.google.com/file/d/1U-Alj7T1VHON-I695Z8Sy3eDwzRsi3nW/view?usp=sharing</t>
  </si>
  <si>
    <t>https://drive.google.com/file/d/1FqYGg8WGXEPFkihvmO749a8gysZ0tHQz/view?usp=sharing</t>
  </si>
  <si>
    <t>98310721</t>
  </si>
  <si>
    <t>Brighton vs West Ham - Premier League</t>
  </si>
  <si>
    <t>https://www.vidio.com/live/9182-champions-tv-5?schedule_id=4759273</t>
  </si>
  <si>
    <t>https://drive.google.com/drive/folders/1hZ0Ae5gpYltL0ZmPOiv6rHTlPBE6aOxT?usp=drive_link</t>
  </si>
  <si>
    <t>brighton &amp; hove albion fc; west ham united fc; sports stream</t>
  </si>
  <si>
    <t>Nonton streaming pertandingan seru Brighton vs West Ham - Premier League. Saksikan aksi-aksi terbaik dari tim yang bersaing ketat untuk meraih kemenangan. Dapatkan informasi lengkap mengenai jadwal pertandingan dan hasil pertandingan terbaru hanya di Vidio.</t>
  </si>
  <si>
    <t>BHA: WELBECK &amp; VAN HECKE
WHU: BOWEN &amp; KILMAN</t>
  </si>
  <si>
    <t>https://drive.google.com/file/d/1GURhMKKpdvjpnf3HYzHofdLPXHCYYwST/view?usp=sharing</t>
  </si>
  <si>
    <t>https://drive.google.com/file/d/1-cR07tUtTtoQN2K5uHlwaCTE_DXI0Ar2/view?usp=sharing</t>
  </si>
  <si>
    <t>https://drive.google.com/file/d/1GLe_vYCSSgH2z2oO5PY6IIOUNPVd6AbL/view?usp=sharing</t>
  </si>
  <si>
    <t>097ac852</t>
  </si>
  <si>
    <t>Everton vs Nottingham Forest - Premier League</t>
  </si>
  <si>
    <t>https://www.vidio.com/live/18796-premier-league?schedule_id=4759282</t>
  </si>
  <si>
    <t>https://drive.google.com/drive/folders/1K6lEj1Nm_p55ghJoBPH7QP-5-UvNZpN9?usp=drive_link</t>
  </si>
  <si>
    <t>everton fc; nottingham forest fc; sports stream</t>
  </si>
  <si>
    <t>Nonton streaming pertandingan seru Everton vs Nottingham Forest - Premier League. Saksikan aksi-aksi terbaik dari tim yang bersaing ketat untuk meraih kemenangan. Dapatkan informasi lengkap mengenai jadwal pertandingan dan hasil pertandingan terbaru hanya di Vidio.</t>
  </si>
  <si>
    <t>EVE: DEWSBURRY-HALL &amp; PICKFORD (GK)
NFO: GIBBS-WHITE &amp; SELS (GK)</t>
  </si>
  <si>
    <t>https://drive.google.com/file/d/1qeLcj0J8y7vL4qwLvN_7GBgoHkIVAibq/view?usp=sharing</t>
  </si>
  <si>
    <t>https://drive.google.com/file/d/13YUsmPUwEBLO3t2GXeymKg5ewooHkB8t/view?usp=sharing</t>
  </si>
  <si>
    <t>https://drive.google.com/file/d/1Uqp3LEjOkD5rTgqsvqupNZOkG9fUJPOS/view?usp=sharing</t>
  </si>
  <si>
    <t>97115e5a</t>
  </si>
  <si>
    <t>Fulham vs Crystal Palace - Premier League</t>
  </si>
  <si>
    <t>https://www.vidio.com/live/9182-champions-tv-5?schedule_id=4759274</t>
  </si>
  <si>
    <t>https://drive.google.com/drive/folders/1DoIJJtJyDkFJfuaVz-HenJbf9k9rCmAy?usp=drive_link</t>
  </si>
  <si>
    <t>fulham fc; crystal palace fc; sports stream</t>
  </si>
  <si>
    <t>Nonton streaming pertandingan seru Fulham vs Crystal Palace - Premier League. Saksikan aksi-aksi terbaik dari tim yang bersaing ketat untuk meraih kemenangan. Dapatkan informasi lengkap mengenai jadwal pertandingan dan hasil pertandingan terbaru hanya di Vidio.</t>
  </si>
  <si>
    <t>FUL: TETE &amp; SANDER BERGE
CRY: MUNOZ &amp; WHARTON</t>
  </si>
  <si>
    <t>https://drive.google.com/file/d/1AFizf9CnXjqLBgTtEOMu7rFPNUBguze8/view?usp=sharing</t>
  </si>
  <si>
    <t>https://drive.google.com/file/d/1DOo0ti_mUhA0AHkt2_l1tfQ6O9-EGQyV/view?usp=sharing</t>
  </si>
  <si>
    <t>https://drive.google.com/file/d/1P2hueXD2rALq8T4I2Vr2cjJy4PW-JX2E/view?usp=sharing</t>
  </si>
  <si>
    <t>d4f3401e</t>
  </si>
  <si>
    <t>Leeds United vs Liverpool - Premier League</t>
  </si>
  <si>
    <t>https://www.vidio.com/live/9182-champions-tv-5?schedule_id=4759272</t>
  </si>
  <si>
    <t>https://drive.google.com/drive/folders/1MoGPIepMa82zejvStu63UI0WZ0aoLOkz?usp=drive_link</t>
  </si>
  <si>
    <t>leeds united fc; liverpool fc; sports stream</t>
  </si>
  <si>
    <t>Nonton streaming pertandingan seru Leeds United vs Liverpool - Premier League. Saksikan aksi-aksi terbaik dari tim yang bersaing ketat untuk meraih kemenangan. Dapatkan informasi lengkap mengenai jadwal pertandingan dan hasil pertandingan terbaru hanya di Vidio.</t>
  </si>
  <si>
    <t>LEE: NMECHA &amp; AMPADU
LIV: SALAH &amp; MAC ALLISTER</t>
  </si>
  <si>
    <t>https://drive.google.com/file/d/1irhToL1e9nTropGQd05Ii6UnQA3FHhAt/view?usp=sharing</t>
  </si>
  <si>
    <t>https://drive.google.com/file/d/1n9GmeJ8zcKMFj4jX6qwmRsUWAchr45UW/view?usp=sharing</t>
  </si>
  <si>
    <t>https://drive.google.com/file/d/1ng24stXxAWmZFgxDzi1bt1FUFbR75Izu/view?usp=sharing</t>
  </si>
  <si>
    <t>61eae398</t>
  </si>
  <si>
    <t>Man City vs Sunderland - Premier League</t>
  </si>
  <si>
    <t>https://www.vidio.com/live/9182-champions-tv-5?schedule_id=4759271</t>
  </si>
  <si>
    <t>https://drive.google.com/drive/folders/10V6Y7oyUbxc_ip9uZDt5aR7SCzgNFZIH?usp=drive_link</t>
  </si>
  <si>
    <t>manchester city fc; sunderland afc; sports stream</t>
  </si>
  <si>
    <t>Nonton streaming pertandingan seru Man City vs Sunderland - Premier League. Saksikan aksi-aksi terbaik dari tim yang bersaing ketat untuk meraih kemenangan. Dapatkan informasi lengkap mengenai jadwal pertandingan dan hasil pertandingan terbaru hanya di Vidio.</t>
  </si>
  <si>
    <t>MCI: HAALAND &amp; BERNARDO
SUN: ADINGRA &amp; XHAKA</t>
  </si>
  <si>
    <t>https://drive.google.com/file/d/1COWtIcjP9rV4avL3dkjyuEAFhOz26J5A/view?usp=sharing</t>
  </si>
  <si>
    <t>https://drive.google.com/file/d/1pcjdLvAmqZnEl9o4ac5gkAdiL6ctiiKd/view?usp=sharing</t>
  </si>
  <si>
    <t>https://drive.google.com/file/d/1o2IVZQ8bv_ZcDQLJi62sT0OdPkmQ6Uv_/view?usp=sharing</t>
  </si>
  <si>
    <t>57b61511</t>
  </si>
  <si>
    <t>Newcastle vs Burnley - Premier League</t>
  </si>
  <si>
    <t>https://www.vidio.com/live/18797-premier-league?schedule_id=4759284</t>
  </si>
  <si>
    <t>https://drive.google.com/drive/folders/1DYDqtnx0WvpShYVem12G-DMSv-zCr0-c?usp=drive_link</t>
  </si>
  <si>
    <t>https://drive.google.com/file/d/17tPCee6fFdXU-hzRWEfM6BMfVnMOp41a/view?usp=sharing</t>
  </si>
  <si>
    <t>newcastle united fc; burnley fc; sports stream</t>
  </si>
  <si>
    <t>Nonton streaming pertandingan seru Newcastle vs Burnley - Premier League. Saksikan aksi-aksi terbaik dari tim yang bersaing ketat untuk meraih kemenangan. Dapatkan informasi lengkap mengenai jadwal pertandingan dan hasil pertandingan terbaru hanya di Vidio.</t>
  </si>
  <si>
    <t>NEW: TONALI &amp; GUIMARAES
BUR: FLORENTINO &amp; BRUNN LARSEN</t>
  </si>
  <si>
    <t>https://drive.google.com/file/d/1KOTc7YU0jVLdHovIU5ow62o6ybBIeLhn/view?usp=sharing</t>
  </si>
  <si>
    <t>https://drive.google.com/file/d/14Rhh0oPffN20f3pl-KfT5MHI8F_PKv4M/view?usp=sharing</t>
  </si>
  <si>
    <t>7d73ade5</t>
  </si>
  <si>
    <t>Tottenham vs Brentford - Premier League</t>
  </si>
  <si>
    <t>https://www.vidio.com/live/19375-premier-league?schedule_id=4759882</t>
  </si>
  <si>
    <t>https://drive.google.com/drive/folders/1AWYzdJQFtyDummE43nqq-5gJoG6rKEoQ?usp=drive_link</t>
  </si>
  <si>
    <t>tottenham hotspur fc; brentford fc; sports stream</t>
  </si>
  <si>
    <t>Nonton streaming pertandingan seru Tottenham vs Brentford - Premier League. Saksikan aksi-aksi terbaik dari tim yang bersaing ketat untuk meraih kemenangan. Dapatkan informasi lengkap mengenai jadwal pertandingan dan hasil pertandingan terbaru hanya di Vidio.</t>
  </si>
  <si>
    <t>TOT: PALHINHA &amp; KUDUS
BRE: HENDERSON &amp; JANELT</t>
  </si>
  <si>
    <t>https://drive.google.com/file/d/1Jh9aBwQapRlSQIsqgvZkAgzY42UkalbN/view?usp=sharing</t>
  </si>
  <si>
    <t>https://drive.google.com/file/d/1p6r6PVTqjTfmDZcDsZkJZWTyWKf18BbN/view?usp=sharing</t>
  </si>
  <si>
    <t>https://drive.google.com/file/d/1fyPH-b0IrNqv-VWGfdU1CK-aP6FppJ_0/view?usp=sharing</t>
  </si>
  <si>
    <t>dfb6f382</t>
  </si>
  <si>
    <t>Wolves vs Man United - Premier League</t>
  </si>
  <si>
    <t>https://www.vidio.com/live/9182-champions-tv-5?schedule_id=4769281</t>
  </si>
  <si>
    <t>https://drive.google.com/drive/folders/1cFIwfRyIWNh5c_IL6MDxfBuFQGeuQ-nQ?usp=drive_link</t>
  </si>
  <si>
    <t>wolverhampton wanderers fc; manchester united fc; sports stream</t>
  </si>
  <si>
    <t>Nonton streaming pertandingan seru Wolves vs Man United - Premier League. Saksikan aksi-aksi terbaik dari tim yang bersaing ketat untuk meraih kemenangan. Dapatkan informasi lengkap mengenai jadwal pertandingan dan hasil pertandingan terbaru hanya di Vidio.</t>
  </si>
  <si>
    <t>WOL: JHON ARIAS &amp; TOTI GOMES
MUN: MBEUMO &amp; CUNHA</t>
  </si>
  <si>
    <t>https://drive.google.com/file/d/16yvPrgZYp15dVhvuzKhp_iKD0YTHd4Dr/view?usp=sharing</t>
  </si>
  <si>
    <t>https://drive.google.com/file/d/1JbwN6EJRRrNT1Ml1ggA9lkdVtbVUu60c/view?usp=sharing</t>
  </si>
  <si>
    <t>https://drive.google.com/file/d/1ZcbrbbjJtS0PmimuudqBh2TIxRElua1E/view?usp=sharing</t>
  </si>
  <si>
    <t>0552237e</t>
  </si>
  <si>
    <t>Arsenal vs Wolves - Premier League</t>
  </si>
  <si>
    <t>https://www.vidio.com/live/9182-champions-tv-5?schedule_id=4773359</t>
  </si>
  <si>
    <t>https://drive.google.com/drive/folders/1IlioXGEkSsoLQZiZz4xD0LhHdfVYdvrj?usp=drive_link</t>
  </si>
  <si>
    <t>https://drive.google.com/file/d/1j0rJzqFYBweP6BJdxY8ij8QH62dmP1vF/view?usp=drive_link</t>
  </si>
  <si>
    <t>arsenal fc; wolverhampton wanderers fc; sports stream</t>
  </si>
  <si>
    <t>Nonton streaming pertandingan seru Arsenal vs Wolves - Premier League. Saksikan aksi-aksi terbaik dari tim yang bersaing ketat untuk meraih kemenangan. Dapatkan informasi lengkap mengenai jadwal pertandingan dan hasil pertandingan terbaru hanya di Vidio.</t>
  </si>
  <si>
    <t>ARS: EZE &amp; ZUBIMENDI
WOL: ANDRE &amp; BELLEGARDE</t>
  </si>
  <si>
    <t>Matchday 16</t>
  </si>
  <si>
    <t>https://drive.google.com/file/d/14Jwmoss_5PuwaeGh5PdF91z0Tv754Jkr/view?usp=sharing</t>
  </si>
  <si>
    <t>https://drive.google.com/file/d/1j0rJzqFYBweP6BJdxY8ij8QH62dmP1vF/view?usp=sharing</t>
  </si>
  <si>
    <t>https://drive.google.com/file/d/1A91282rHQ-owGUqDPd4dzJB5xEzuwwj7/view?usp=sharing</t>
  </si>
  <si>
    <t>aee7fd74</t>
  </si>
  <si>
    <t>Brentford vs Leeds United - Premier League</t>
  </si>
  <si>
    <t>https://www.vidio.com/live/9182-champions-tv-5?schedule_id=4780158</t>
  </si>
  <si>
    <t>https://drive.google.com/drive/folders/1Yg3R9x1Az9k5IhLaWdqt200f3plZx8sF?usp=drive_link</t>
  </si>
  <si>
    <t>https://drive.google.com/file/d/18i-UqkJmQuXvwyIGvtq_-3hMHfmy01xE/view?usp=drive_link</t>
  </si>
  <si>
    <t>brentford fc; leeds united fc; sports stream</t>
  </si>
  <si>
    <t>Nonton streaming pertandingan seru Brentford vs Leeds United - Premier League. Saksikan aksi-aksi terbaik dari tim yang bersaing ketat untuk meraih kemenangan. Dapatkan informasi lengkap mengenai jadwal pertandingan dan hasil pertandingan terbaru hanya di Vidio.</t>
  </si>
  <si>
    <t>BRE: COLLINS &amp; HENDERSON
LEE: STRUIJK &amp; DAN JAMES</t>
  </si>
  <si>
    <t>D1 , C1</t>
  </si>
  <si>
    <t>https://drive.google.com/file/d/1LwklXphhVupiY9h9s2YOFShofe48O9sI/view?usp=sharing</t>
  </si>
  <si>
    <t>https://drive.google.com/file/d/18i-UqkJmQuXvwyIGvtq_-3hMHfmy01xE/view?usp=sharing</t>
  </si>
  <si>
    <t>https://drive.google.com/file/d/17rFPjs1guYrGhEivD-D210hEW220pNc_/view?usp=sharing</t>
  </si>
  <si>
    <t>9a59969b</t>
  </si>
  <si>
    <t>Burnley vs Fulham - Premier League</t>
  </si>
  <si>
    <t>https://www.vidio.com/live/9182-champions-tv-5?schedule_id=4773358</t>
  </si>
  <si>
    <t>https://drive.google.com/drive/folders/1ljKio07Z1V-kwg8n4Zg_dqoLKgXW3A0h?usp=drive_link</t>
  </si>
  <si>
    <t>https://drive.google.com/file/d/1KXyhCP4n0VCXWpsH4Hc4LCbSbsE68aH9/view?usp=drive_link</t>
  </si>
  <si>
    <t>burnley fc; fulham fc; sports stream</t>
  </si>
  <si>
    <t>Nonton streaming pertandingan seru Burnley vs Fulham - Premier League. Saksikan aksi-aksi terbaik dari tim yang bersaing ketat untuk meraih kemenangan. Dapatkan informasi lengkap mengenai jadwal pertandingan dan hasil pertandingan terbaru hanya di Vidio.</t>
  </si>
  <si>
    <t>BUR: DUBRAVKA (GK) &amp; WALKER
FUL: LENO (GK) &amp; TETE</t>
  </si>
  <si>
    <t>https://drive.google.com/file/d/1wBMUg8Ru_AsZCGgYFNaThNEUr0OA1IZ-/view?usp=sharing</t>
  </si>
  <si>
    <t>https://drive.google.com/file/d/1KXyhCP4n0VCXWpsH4Hc4LCbSbsE68aH9/view?usp=sharing</t>
  </si>
  <si>
    <t>https://drive.google.com/file/d/1XJSv3gpCDzKZ5VgNBkx4IvjWk-GUovjm/view?usp=sharing</t>
  </si>
  <si>
    <t>5d9e28b5</t>
  </si>
  <si>
    <t>Chelsea vs Everton - Premier League</t>
  </si>
  <si>
    <t>https://www.vidio.com/live/9183-champions-tv-6?schedule_id=4773355</t>
  </si>
  <si>
    <t>https://drive.google.com/drive/folders/1rE1V4zNWQtzd9bIVBFYIT0ebFsVywI0t?usp=drive_link</t>
  </si>
  <si>
    <t>https://drive.google.com/file/d/1Xfh7gknVpny1rJ-FWMG84fnLQ0XCKIpM/view?usp=drive_link</t>
  </si>
  <si>
    <t>chelsea fc; everton fc; sports stream</t>
  </si>
  <si>
    <t>Nonton streaming pertandingan seru Chelsea vs Everton - Premier League. Saksikan aksi-aksi terbaik dari tim yang bersaing ketat untuk meraih kemenangan. Dapatkan informasi lengkap mengenai jadwal pertandingan dan hasil pertandingan terbaru hanya di Vidio.</t>
  </si>
  <si>
    <t>CHE: PALMER &amp; JAMES
EVE: GREALISH &amp; NDIAYE</t>
  </si>
  <si>
    <t>https://drive.google.com/file/d/1cEf6_Sc86qgKbOS8FNM9WNf_hddVnB8e/view?usp=sharing</t>
  </si>
  <si>
    <t>https://drive.google.com/file/d/1Xfh7gknVpny1rJ-FWMG84fnLQ0XCKIpM/view?usp=sharing</t>
  </si>
  <si>
    <t>https://drive.google.com/file/d/1fQhzOBlvqmL5WY9aLRFWfTyPUaccbRng/view?usp=sharing</t>
  </si>
  <si>
    <t>7772d7a6</t>
  </si>
  <si>
    <t>Crystal Palace vs Man City - Premier League</t>
  </si>
  <si>
    <t>https://www.vidio.com/live/9182-champions-tv-5?schedule_id=4773360</t>
  </si>
  <si>
    <t>https://drive.google.com/drive/folders/1q0dPaV3-dK9Ot_NXZzIEddsXBnnRsM28?usp=drive_link</t>
  </si>
  <si>
    <t>https://drive.google.com/file/d/1gH-8ssCyeheaaVbQOj1kLOjEGmmNJgzo/view?usp=drive_link</t>
  </si>
  <si>
    <t>crystal palace fc; manchester city fc; sports stream</t>
  </si>
  <si>
    <t>Nonton streaming pertandingan seru Crystal Palace vs Man City - Premier League. Saksikan aksi-aksi terbaik dari tim yang bersaing ketat untuk meraih kemenangan. Dapatkan informasi lengkap mengenai jadwal pertandingan dan hasil pertandingan terbaru hanya di Vidio.</t>
  </si>
  <si>
    <t>CRY: MATETA &amp; WHARTON
MCI: HAALAND &amp; TIJJANI</t>
  </si>
  <si>
    <t>https://drive.google.com/file/d/1sCGvll78vwQjS2rMofObklmdHJGW4_I7/view?usp=sharing</t>
  </si>
  <si>
    <t>https://drive.google.com/file/d/1gH-8ssCyeheaaVbQOj1kLOjEGmmNJgzo/view?usp=sharing</t>
  </si>
  <si>
    <t>https://drive.google.com/file/d/1e1JjSoJzBfyPiOspt8XAqlx45eygtrYc/view?usp=sharing</t>
  </si>
  <si>
    <t>8888493d</t>
  </si>
  <si>
    <t>Liverpool vs Brighton - Premier League</t>
  </si>
  <si>
    <t>https://www.vidio.com/live/9182-champions-tv-5?schedule_id=4773357</t>
  </si>
  <si>
    <t>https://drive.google.com/drive/folders/1PGt41YfA-ZjEG8o9wzQucf9xfQlYC2MZ?usp=drive_link</t>
  </si>
  <si>
    <t>https://drive.google.com/file/d/1JTH7xNGU57vswNXPxSmxPfvrgr6FNXGA/view?usp=drive_link</t>
  </si>
  <si>
    <t>liverpool fc; brighton &amp; hove albion fc; sports stream</t>
  </si>
  <si>
    <t>Nonton streaming pertandingan seru Liverpool vs Brighton - Premier League. Saksikan aksi-aksi terbaik dari tim yang bersaing ketat untuk meraih kemenangan. Dapatkan informasi lengkap mengenai jadwal pertandingan dan hasil pertandingan terbaru hanya di Vidio.</t>
  </si>
  <si>
    <t>LIV: ISAK &amp; WIRTZ
BHA: WELBECK &amp; BALEBA</t>
  </si>
  <si>
    <t>https://drive.google.com/file/d/168rYZ6rK8of-NyxI-gAEV9Hhp8Mn-h9U/view?usp=sharing</t>
  </si>
  <si>
    <t>https://drive.google.com/file/d/1JTH7xNGU57vswNXPxSmxPfvrgr6FNXGA/view?usp=sharing</t>
  </si>
  <si>
    <t>https://drive.google.com/file/d/1JduwOuMwCmPrWHQN1qaiGuHXCPRgCLCL/view?usp=sharing</t>
  </si>
  <si>
    <t>a00e337c</t>
  </si>
  <si>
    <t>Man United vs Bournemouth - Premier League</t>
  </si>
  <si>
    <t>https://www.vidio.com/live/9182-champions-tv-5?schedule_id=4780165</t>
  </si>
  <si>
    <t>https://drive.google.com/drive/folders/1l1r3gza7UGGVF94B6qCgkp6OQi2Ikjbj?usp=drive_link</t>
  </si>
  <si>
    <t>https://drive.google.com/file/d/1YxzfgTTmTxlEVg-z8or-pxkL55D8Af-P/view?usp=drive_link</t>
  </si>
  <si>
    <t>manchester united fc; afc bournemouth; sports stream</t>
  </si>
  <si>
    <t>Nonton streaming pertandingan seru Man United vs Bournemouth - Premier League. Saksikan aksi-aksi terbaik dari tim yang bersaing ketat untuk meraih kemenangan. Dapatkan informasi lengkap mengenai jadwal pertandingan dan hasil pertandingan terbaru hanya di Vidio.</t>
  </si>
  <si>
    <t>MUN: FERNANDES &amp; DE LIGT
BOU: KLUIVERT &amp; TAVERNIER</t>
  </si>
  <si>
    <t>https://drive.google.com/file/d/11iqwV9849U5Dtsx5RwWObJwn4WlwVdA3/view?usp=sharing</t>
  </si>
  <si>
    <t>https://drive.google.com/file/d/1YxzfgTTmTxlEVg-z8or-pxkL55D8Af-P/view?usp=sharing</t>
  </si>
  <si>
    <t>https://drive.google.com/file/d/13mYasQiUD5kzVF-ARFyCKwXKroCmGQ3H/view?usp=sharing</t>
  </si>
  <si>
    <t>b5a5f237</t>
  </si>
  <si>
    <t>Nottingham Forest vs Tottenham - Premier League</t>
  </si>
  <si>
    <t>https://www.vidio.com/live/18796-premier-league?schedule_id=4780174</t>
  </si>
  <si>
    <t>https://drive.google.com/drive/folders/1oFJkKE_j6fQ-TuWhOXavULeSB9k0M227?usp=drive_link</t>
  </si>
  <si>
    <t>https://drive.google.com/file/d/1nQn_g01vVlHFg1d5gB2fK2vvjpPUUYL2/view?usp=drive_link</t>
  </si>
  <si>
    <t>nottingham forest fc; tottenham hotspur fc; sports stream</t>
  </si>
  <si>
    <t>Nonton streaming pertandingan seru Nottingham Forest vs Tottenham - Premier League. Saksikan aksi-aksi terbaik dari tim yang bersaing ketat untuk meraih kemenangan. Dapatkan informasi lengkap mengenai jadwal pertandingan dan hasil pertandingan terbaru hanya di Vidio.</t>
  </si>
  <si>
    <t>NFO: NECO &amp; SELS (GK)
TOT: ROMERO &amp; VICARIO (GK)</t>
  </si>
  <si>
    <t>https://drive.google.com/file/d/1WObTQppa88dWOAMLSG24w4DIhTQMNrT4/view?usp=sharing</t>
  </si>
  <si>
    <t>https://drive.google.com/file/d/1nQn_g01vVlHFg1d5gB2fK2vvjpPUUYL2/view?usp=sharing</t>
  </si>
  <si>
    <t>https://drive.google.com/file/d/1g7RRCG8_tAZXPzC67IB28d-7HuZvqutg/view?usp=sharing</t>
  </si>
  <si>
    <t>a0ef98ab</t>
  </si>
  <si>
    <t>Sunderland vs Newcastle - Premier League</t>
  </si>
  <si>
    <t>https://www.vidio.com/live/18797-premier-league?schedule_id=4773371</t>
  </si>
  <si>
    <t>https://drive.google.com/drive/folders/1BLdPCdPGQLpyXWrkANmB1MZuXDektmjP?usp=drive_link</t>
  </si>
  <si>
    <t>https://drive.google.com/file/d/1jQwPI-Xqruw4MGSZfiBru4z9Y_erdaRe/view?usp=drive_link</t>
  </si>
  <si>
    <t>sunderland afc; newcastle united fc; sports stream</t>
  </si>
  <si>
    <t>Nonton streaming pertandingan seru Sunderland vs Newcastle - Premier League. Saksikan aksi-aksi terbaik dari tim yang bersaing ketat untuk meraih kemenangan. Dapatkan informasi lengkap mengenai jadwal pertandingan dan hasil pertandingan terbaru hanya di Vidio.</t>
  </si>
  <si>
    <t>SUN: ENZO LE FEE &amp; LE BRIS (MAN)
NEW: WOLTEMADE &amp; HOWE (MAN)</t>
  </si>
  <si>
    <t>https://drive.google.com/file/d/1dD164iYcCBr0YhJdhRw4DdTvilB_EMyU/view?usp=sharing</t>
  </si>
  <si>
    <t>https://drive.google.com/file/d/1jQwPI-Xqruw4MGSZfiBru4z9Y_erdaRe/view?usp=sharing</t>
  </si>
  <si>
    <t>https://drive.google.com/file/d/1k56bV1dQ_2DOzpFqzrFBQmI0oPe7n27B/view?usp=sharing</t>
  </si>
  <si>
    <t>e873ee90</t>
  </si>
  <si>
    <t>West Ham vs Aston Villa - Premier League</t>
  </si>
  <si>
    <t>https://www.vidio.com/live/9183-champions-tv-6?schedule_id=4780175</t>
  </si>
  <si>
    <t>https://drive.google.com/drive/folders/1dzZxd3nRN3_13lJxNVXdenR3Gc_tynjP?usp=drive_link</t>
  </si>
  <si>
    <t>https://drive.google.com/file/d/17PeMjGIw3tWgqC3APWAOroibYWf9ayvT/view?usp=drive_link</t>
  </si>
  <si>
    <t>west ham united fc; aston villa fc; sports stream</t>
  </si>
  <si>
    <t>Nonton streaming pertandingan seru West Ham vs Aston Villa - Premier League. Saksikan aksi-aksi terbaik dari tim yang bersaing ketat untuk meraih kemenangan. Dapatkan informasi lengkap mengenai jadwal pertandingan dan hasil pertandingan terbaru hanya di Vidio.</t>
  </si>
  <si>
    <t>WHU: WAN-BISSAKA &amp; BOWEN
AVL: TIELEMANS &amp; WATKINS</t>
  </si>
  <si>
    <t>https://drive.google.com/file/d/1ogAxFsUYLjl0XHRtT4F-uzhSUvqa0KjP/view?usp=sharing</t>
  </si>
  <si>
    <t>https://drive.google.com/file/d/17PeMjGIw3tWgqC3APWAOroibYWf9ayvT/view?usp=sharing</t>
  </si>
  <si>
    <t>https://drive.google.com/file/d/1-Tihw8jyS1qh1rrxycDCxFsMRJ80i18s/view?usp=sharing</t>
  </si>
  <si>
    <t>338d19ce</t>
  </si>
  <si>
    <t>Bournemouth vs Burnley - Premier League</t>
  </si>
  <si>
    <t>https://www.vidio.com/live/18797-premier-league?schedule_id=4783740</t>
  </si>
  <si>
    <t>https://drive.google.com/drive/folders/12SvAuoCKRg56fw_wu0l5YeL-SIj4ZCgy?usp=drive_link</t>
  </si>
  <si>
    <t>https://drive.google.com/file/d/1BoLz1zNREGdFez6dwVnzDWXeSHJ3T4VV/view?usp=drive_link</t>
  </si>
  <si>
    <t>afc bournemouth; burnley fc; sports stream</t>
  </si>
  <si>
    <t>Nonton streaming pertandingan seru Bournemouth vs Burnley - Premier League. Saksikan aksi-aksi terbaik dari tim yang bersaing ketat untuk meraih kemenangan. Dapatkan informasi lengkap mengenai jadwal pertandingan dan hasil pertandingan terbaru hanya di Vidio.</t>
  </si>
  <si>
    <t>BOU: SEMENYO &amp; SENESI
BUR: FLORENTINO &amp; WALKER</t>
  </si>
  <si>
    <t>Matchday 17</t>
  </si>
  <si>
    <t>https://drive.google.com/file/d/1KqbdXzHOoDnX8dWnCmQ_938R-1_QmFoo/view?usp=sharing</t>
  </si>
  <si>
    <t>https://drive.google.com/file/d/1BoLz1zNREGdFez6dwVnzDWXeSHJ3T4VV/view?usp=sharing</t>
  </si>
  <si>
    <t>https://drive.google.com/file/d/1CZxHTkKY6xB7FJQoHPXlJ73d6w5_o0FC/view?usp=sharing</t>
  </si>
  <si>
    <t>6ab65fb0</t>
  </si>
  <si>
    <t>Aston Villa vs Man United - Premier League</t>
  </si>
  <si>
    <t>https://www.vidio.com/live/9182-champions-tv-5?schedule_id=4783770</t>
  </si>
  <si>
    <t>https://drive.google.com/drive/folders/1q9ilIRHVzzt1fJMgzpGbajsNbX-SHGQ9?usp=drive_link</t>
  </si>
  <si>
    <t>https://drive.google.com/file/d/1VCC6YM0Wfci_vLOybxoAWAicUPqzPr_F/view?usp=drive_link</t>
  </si>
  <si>
    <t>aston villa fc; manchester united fc; sports stream</t>
  </si>
  <si>
    <t>Nonton streaming pertandingan seru Aston Villa vs Man United - Premier League. Saksikan aksi-aksi terbaik dari tim yang bersaing ketat untuk meraih kemenangan. Dapatkan informasi lengkap mengenai jadwal pertandingan dan hasil pertandingan terbaru hanya di Vidio.</t>
  </si>
  <si>
    <t>AVL: WATKINS &amp; MAATSEN
MUN: FERNANDES &amp; YORO</t>
  </si>
  <si>
    <t>https://drive.google.com/file/d/1-637tc6XfFvVYyiLQs9MvVA7vNwn2Mwe/view?usp=sharing</t>
  </si>
  <si>
    <t>https://drive.google.com/file/d/1VCC6YM0Wfci_vLOybxoAWAicUPqzPr_F/view?usp=sharing</t>
  </si>
  <si>
    <t>https://drive.google.com/file/d/1WCHYq56J8P3Y8PP5IYNrMKjoqimcvxGL/view?usp=sharing</t>
  </si>
  <si>
    <t>4d406071</t>
  </si>
  <si>
    <t>Brighton vs Sunderland - Premier League</t>
  </si>
  <si>
    <t>https://www.vidio.com/live/9183-champions-tv-6?schedule_id=4783741</t>
  </si>
  <si>
    <t>https://drive.google.com/drive/folders/14SdAblwf3EuJ_hmiAmMBjv8FpKg-jGlB?usp=drive_link</t>
  </si>
  <si>
    <t>https://drive.google.com/file/d/1DmnbBDoS9xYtGa1qI4lLITKiXwJLbt3A/view?usp=drive_link</t>
  </si>
  <si>
    <t>brighton &amp; hove albion fc; sunderland afc; sports stream</t>
  </si>
  <si>
    <t>Nonton streaming pertandingan seru Brighton vs Sunderland - Premier League. Saksikan aksi-aksi terbaik dari tim yang bersaing ketat untuk meraih kemenangan. Dapatkan informasi lengkap mengenai jadwal pertandingan dan hasil pertandingan terbaru hanya di Vidio.</t>
  </si>
  <si>
    <t>BHA: WELBECK, VAN HECKE
SUN: ISIDOR, BALLARD</t>
  </si>
  <si>
    <t>https://drive.google.com/file/d/1DEe9p0A6xxRnje21YTktXvU9VL6n5P2q/view?usp=sharing</t>
  </si>
  <si>
    <t>https://drive.google.com/file/d/1DmnbBDoS9xYtGa1qI4lLITKiXwJLbt3A/view?usp=sharing</t>
  </si>
  <si>
    <t>https://drive.google.com/file/d/1ekbx_Q6vmtApJT-O-6OTd1mWNo_qdVfg/view?usp=sharing</t>
  </si>
  <si>
    <t>b329cf2d</t>
  </si>
  <si>
    <t>Everton vs Arsenal - Premier League</t>
  </si>
  <si>
    <t>https://www.vidio.com/live/9182-champions-tv-5?schedule_id=4783756</t>
  </si>
  <si>
    <t>https://drive.google.com/drive/folders/1s7KPB_DJ17VOF_WjqTWbOu7v1AfifRS-?usp=drive_link</t>
  </si>
  <si>
    <t>https://drive.google.com/file/d/1veoICaSDT0qZuVd-aaGjmd85sFPS_NiY/view?usp=drive_link</t>
  </si>
  <si>
    <t>everton fc; arsenal fc; sports stream</t>
  </si>
  <si>
    <t>Nonton streaming pertandingan seru Everton vs Arsenal - Premier League. Saksikan aksi-aksi terbaik dari tim yang bersaing ketat untuk meraih kemenangan. Dapatkan informasi lengkap mengenai jadwal pertandingan dan hasil pertandingan terbaru hanya di Vidio.</t>
  </si>
  <si>
    <t>EVE: GREALISH, PICKFORD
ARS: SAKA, DAVID RAYA</t>
  </si>
  <si>
    <t>https://drive.google.com/file/d/1wevYsgnQwiNx5AUYGFyLwFL3IL3fp8fF/view?usp=sharing</t>
  </si>
  <si>
    <t>https://drive.google.com/file/d/1veoICaSDT0qZuVd-aaGjmd85sFPS_NiY/view?usp=sharing</t>
  </si>
  <si>
    <t>https://drive.google.com/file/d/1Ug9qmxr-KiK1aXYKRnOXkphT_w3RrR5D/view?usp=sharing</t>
  </si>
  <si>
    <t>d1f78abe</t>
  </si>
  <si>
    <t>Fulham vs Nottingham Forest - Premier League</t>
  </si>
  <si>
    <t>https://www.vidio.com/live/9182-champions-tv-5?schedule_id=4790142</t>
  </si>
  <si>
    <t>https://drive.google.com/drive/folders/1k2cGLdxmr79zQqc_dBb1NoRAbTXGvE0W?usp=drive_link</t>
  </si>
  <si>
    <t>https://drive.google.com/file/d/13IYlm7qqsJ4A_BiIC9J2MPCZ75wc9bLW/view?usp=drive_link</t>
  </si>
  <si>
    <t>fulham fc; nottingham forest fc; sports stream</t>
  </si>
  <si>
    <t>Nonton streaming pertandingan seru Fulham vs Nottingham Forest - Premier League. Saksikan aksi-aksi terbaik dari tim yang bersaing ketat untuk meraih kemenangan. Dapatkan informasi lengkap mengenai jadwal pertandingan dan hasil pertandingan terbaru hanya di Vidio.</t>
  </si>
  <si>
    <t>FUL: SMITH-ROWE &amp; SANDER BERGE
NFO: GIBBS-WHITE &amp; DOUGLAS LUIZ</t>
  </si>
  <si>
    <t>https://drive.google.com/file/d/1bjOJ4EWpqByPzqwX89nYZ2Zmwv6Jj5gl/view?usp=sharing</t>
  </si>
  <si>
    <t>https://drive.google.com/file/d/13IYlm7qqsJ4A_BiIC9J2MPCZ75wc9bLW/view?usp=sharing</t>
  </si>
  <si>
    <t>https://drive.google.com/file/d/1sPzUnib045iiYOUpx_PQ2FfSnkJeI3Oh/view?usp=sharing</t>
  </si>
  <si>
    <t>aaea04ab</t>
  </si>
  <si>
    <t>Leeds United vs Crystal Palace - Premier League</t>
  </si>
  <si>
    <t>https://www.vidio.com/live/9183-champions-tv-6?schedule_id=4783757</t>
  </si>
  <si>
    <t>https://drive.google.com/drive/folders/197-3fIVTOkFkpajyILcxWqssu40-w-Bp?usp=drive_link</t>
  </si>
  <si>
    <t>https://drive.google.com/file/d/1VmLVShoZPmFn6mJN9LilI32dDOcYYoVv/view?usp=drive_link</t>
  </si>
  <si>
    <t>leeds united fc; crystal palace fc; sports stream</t>
  </si>
  <si>
    <t>Nonton streaming pertandingan seru Leeds United vs Crystal Palace - Premier League. Saksikan aksi-aksi terbaik dari tim yang bersaing ketat untuk meraih kemenangan. Dapatkan informasi lengkap mengenai jadwal pertandingan dan hasil pertandingan terbaru hanya di Vidio.</t>
  </si>
  <si>
    <t>LEE: STRUIJK &amp; CALVERT-LEWIN 
CRY: GUEHI &amp; MATETA</t>
  </si>
  <si>
    <t>https://drive.google.com/file/d/12TzSMTe7HYQHjjkTEKH91Wf_PY3YIrei/view?usp=sharing</t>
  </si>
  <si>
    <t>https://drive.google.com/file/d/1VmLVShoZPmFn6mJN9LilI32dDOcYYoVv/view?usp=sharing</t>
  </si>
  <si>
    <t>https://drive.google.com/file/d/1YqduAOlNROpVb9Ysjrx2gWyPc7Bnc1sG/view?usp=sharing</t>
  </si>
  <si>
    <t>65cae48f</t>
  </si>
  <si>
    <t>Man City vs West Ham - Premier League</t>
  </si>
  <si>
    <t>https://www.vidio.com/live/9182-champions-tv-5?schedule_id=4783743</t>
  </si>
  <si>
    <t>https://drive.google.com/drive/folders/14WxkEUPV32zs618JjB3C3D3oBUTAzmPV?usp=drive_link</t>
  </si>
  <si>
    <t>https://drive.google.com/file/d/1phb8J3rMQd5hTBaldk32zeRzuRELZ4h2/view?usp=drive_link</t>
  </si>
  <si>
    <t>manchester city fc; west ham united fc; sports stream</t>
  </si>
  <si>
    <t>Nonton streaming pertandingan seru Man City vs West Ham - Premier League. Saksikan aksi-aksi terbaik dari tim yang bersaing ketat untuk meraih kemenangan. Dapatkan informasi lengkap mengenai jadwal pertandingan dan hasil pertandingan terbaru hanya di Vidio.</t>
  </si>
  <si>
    <t>MCI: HAALAND &amp; CHERKI
WHU: BOWEN &amp; PAQUETA</t>
  </si>
  <si>
    <t>https://drive.google.com/file/d/1WEqhDyCWd7Q1lpmqz7Ad-1eSif0s91CL/view?usp=sharing</t>
  </si>
  <si>
    <t>https://drive.google.com/file/d/1phb8J3rMQd5hTBaldk32zeRzuRELZ4h2/view?usp=sharing</t>
  </si>
  <si>
    <t>https://drive.google.com/file/d/153IodEGcTfwY8e9SvwPVFmUAt7wRW6kZ/view?usp=sharing</t>
  </si>
  <si>
    <t>ae1794fc</t>
  </si>
  <si>
    <t>Newcastle vs Chelsea - Premier League</t>
  </si>
  <si>
    <t>https://www.vidio.com/live/9182-champions-tv-5?schedule_id=4783737</t>
  </si>
  <si>
    <t>https://drive.google.com/drive/folders/19DPIzpHzt94yBU3l2qany80kmmm88dJA?usp=drive_link</t>
  </si>
  <si>
    <t>https://drive.google.com/file/d/16Q3gD6Qxv6un5KccLlVSnph2I-cHi-fH/view?usp=drive_link</t>
  </si>
  <si>
    <t>newcastle united fc; chelsea fc; sports stream</t>
  </si>
  <si>
    <t>Nonton streaming pertandingan seru Newcastle vs Chelsea - Premier League. Saksikan aksi-aksi terbaik dari tim yang bersaing ketat untuk meraih kemenangan. Dapatkan informasi lengkap mengenai jadwal pertandingan dan hasil pertandingan terbaru hanya di Vidio.</t>
  </si>
  <si>
    <t>NEW: WOLTEMADE &amp; GUIMARAES
CHE: PALMER &amp; ENZO FERNANDEZ</t>
  </si>
  <si>
    <t>https://drive.google.com/file/d/19_YOM2yP9Rt1h0aOGOh9FlhM1cU7nvag/view?usp=sharing</t>
  </si>
  <si>
    <t>https://drive.google.com/file/d/16Q3gD6Qxv6un5KccLlVSnph2I-cHi-fH/view?usp=sharing</t>
  </si>
  <si>
    <t>https://drive.google.com/file/d/1aSD7GdPPeL_o-OKRn8lT2KyaB-LQ_JyX/view?usp=sharing</t>
  </si>
  <si>
    <t>84adb97f</t>
  </si>
  <si>
    <t>Tottenham vs Liverpool - Premier League</t>
  </si>
  <si>
    <t>https://www.vidio.com/live/9182-champions-tv-5?schedule_id=4783751</t>
  </si>
  <si>
    <t>https://drive.google.com/drive/folders/18RR-gOFJBR78gBSR4JcnrTR1TTK1qz6C?usp=drive_link</t>
  </si>
  <si>
    <t>https://drive.google.com/file/d/1kTlAj4lTVzw8tsQ4aKCCRlYl34ObLrad/view?usp=drive_link</t>
  </si>
  <si>
    <t>tottenham hotspur fc; liverpool fc; sports stream</t>
  </si>
  <si>
    <t>Nonton streaming pertandingan seru Tottenham vs Liverpool - Premier League. Saksikan aksi-aksi terbaik dari tim yang bersaing ketat untuk meraih kemenangan. Dapatkan informasi lengkap mengenai jadwal pertandingan dan hasil pertandingan terbaru hanya di Vidio.</t>
  </si>
  <si>
    <t>TOT: RICHARLISON, XAVI
LIV: EKITIKE, WIRTZ</t>
  </si>
  <si>
    <t>https://drive.google.com/file/d/1htggtsELM7Slqk4GJh4phqkOk98QXZ5Y/view?usp=sharing</t>
  </si>
  <si>
    <t>https://drive.google.com/file/d/1kTlAj4lTVzw8tsQ4aKCCRlYl34ObLrad/view?usp=sharing</t>
  </si>
  <si>
    <t>https://drive.google.com/file/d/1qa5Rrazx5iZn7rshk7pSosHvXo1kVlEE/view?usp=sharing</t>
  </si>
  <si>
    <t>c743b365</t>
  </si>
  <si>
    <t>Wolves vs Brentford - Premier League</t>
  </si>
  <si>
    <t>https://www.vidio.com/live/18796-premier-league?schedule_id=4783745</t>
  </si>
  <si>
    <t>https://drive.google.com/drive/folders/1yrOpXVmr9iHoN2YoxYABrQ9hwy8u-bsJ?usp=drive_link</t>
  </si>
  <si>
    <t>https://drive.google.com/file/d/11sHjjo-EHhILE95G9KxWdJ-tDdluKJrT/view?usp=drive_link</t>
  </si>
  <si>
    <t>wolverhampton wanderers fc; brentford fc; sports stream</t>
  </si>
  <si>
    <t>Nonton streaming pertandingan seru Wolves vs Brentford - Premier League. Saksikan aksi-aksi terbaik dari tim yang bersaing ketat untuk meraih kemenangan. Dapatkan informasi lengkap mengenai jadwal pertandingan dan hasil pertandingan terbaru hanya di Vidio.</t>
  </si>
  <si>
    <t>WOL: STRAND LARSEN &amp; JOAO GOMES
BRE: HENDERSON &amp; SCHADE</t>
  </si>
  <si>
    <t>https://drive.google.com/file/d/17GYQoWjvVs8Pa7zQD2a6U9PMbzI97ccQ/view?usp=sharing</t>
  </si>
  <si>
    <t>https://drive.google.com/file/d/11sHjjo-EHhILE95G9KxWdJ-tDdluKJrT/view?usp=sharing</t>
  </si>
  <si>
    <t>https://drive.google.com/file/d/193aMAXVNeQv5KHTMu9clRamo2-43cJ2j/view?usp=sharing</t>
  </si>
  <si>
    <t>ec58a6b8</t>
  </si>
  <si>
    <t>Arsenal vs Brighton - Premier League</t>
  </si>
  <si>
    <t>https://www.vidio.com/live/9183-champions-tv-6?schedule_id=4792897</t>
  </si>
  <si>
    <t>https://drive.google.com/drive/folders/18JEVlYUn6zkOs6TAhdaYnSDQRH3wZNkG?usp=drive_link</t>
  </si>
  <si>
    <t>arsenal fc; brighton &amp; hove albion fc; sports stream</t>
  </si>
  <si>
    <t>Nonton streaming pertandingan seru Arsenal vs Brighton - Premier League. Saksikan aksi-aksi terbaik dari tim yang bersaing ketat untuk meraih kemenangan. Dapatkan informasi lengkap mengenai jadwal pertandingan dan hasil pertandingan terbaru hanya di Vidio.</t>
  </si>
  <si>
    <t>ARS: EZE &amp; SALIBA
BHA: MITOMA &amp; DUNK</t>
  </si>
  <si>
    <t>Matchday 18</t>
  </si>
  <si>
    <t>cut.salma@intern.vidio.com</t>
  </si>
  <si>
    <t>NTC + TVC</t>
  </si>
  <si>
    <t>https://thumbor.prod.vidiocdn.com/O756efHCX1weG2TT-fkPLyBVYdk=/filters:quality(70)/vidio-media-production/uploads/image/source/52362/c75088.png</t>
  </si>
  <si>
    <t>https://thumbor.prod.vidiocdn.com/L7nZmxk8RGoYT1I0zzcP6xbybUU=/filters:quality(70)/vidio-media-production/uploads/image/source/52363/b50f2b.png</t>
  </si>
  <si>
    <t>https://drive.google.com/file/d/1yGnCVTeuAXeRAya3XoJ24eT0Jm73D7c9/view?usp=sharing</t>
  </si>
  <si>
    <t>c94bd19f</t>
  </si>
  <si>
    <t>Brentford vs Bournemouth - Premier League</t>
  </si>
  <si>
    <t>https://www.vidio.com/live/18797-premier-league?schedule_id=4792903</t>
  </si>
  <si>
    <t>https://drive.google.com/drive/folders/19qe_2Pn9W0dqzBF_LGxBO33TYmp8WKmu?usp=drive_link</t>
  </si>
  <si>
    <t>brentford fc; afc bournemouth; sports stream</t>
  </si>
  <si>
    <t>Nonton streaming pertandingan seru Brentford vs Bournemouth - Premier League. Saksikan aksi-aksi terbaik dari tim yang bersaing ketat untuk meraih kemenangan. Dapatkan informasi lengkap mengenai jadwal pertandingan dan hasil pertandingan terbaru hanya di Vidio.</t>
  </si>
  <si>
    <t>BRE: JANELT &amp; KELLEHER (GK)
BOU: TAVERNIER &amp; PETROVIC (GK)</t>
  </si>
  <si>
    <t>https://thumbor.prod.vidiocdn.com/UEjfcmetXhdopMJM2uO9uNjlXDA=/filters:quality(70)/vidio-media-production/uploads/image/source/52484/d31e77.png</t>
  </si>
  <si>
    <t>https://thumbor.prod.vidiocdn.com/IgHQP0w4myZAmmlfpvrW1dub14k=/filters:quality(70)/vidio-media-production/uploads/image/source/52485/58cac2.png</t>
  </si>
  <si>
    <t>https://drive.google.com/file/d/1MAuEUMVa4FlmvhJyyOwQfE3rN8RDp9gG/view?usp=sharing</t>
  </si>
  <si>
    <t>72d5cac5</t>
  </si>
  <si>
    <t>Burnley vs Everton - Premier League</t>
  </si>
  <si>
    <t>https://www.vidio.com/live/18796-premier-league?schedule_id=4792904</t>
  </si>
  <si>
    <t>https://drive.google.com/drive/folders/1tneGMSboGxiZ0NqaMFZM0Apnr_zG4btx</t>
  </si>
  <si>
    <t>burnley fc; everton fc; sports stream</t>
  </si>
  <si>
    <t>Nonton streaming pertandingan seru Burnley vs Everton - Premier League. Saksikan aksi-aksi terbaik dari tim yang bersaing ketat untuk meraih kemenangan. Dapatkan informasi lengkap mengenai jadwal pertandingan dan hasil pertandingan terbaru hanya di Vidio.</t>
  </si>
  <si>
    <t>BUR: DUBRAVKA (GK) &amp; PARKER (MAN)
EVE: PICKFORD (GK) &amp; MOYES (MAN)</t>
  </si>
  <si>
    <t>https://thumbor.prod.vidiocdn.com/mHRydi-5nrUHZwpFWcqeaztiVTs=/filters:quality(70)/vidio-media-production/uploads/image/source/52490/5d0956.png</t>
  </si>
  <si>
    <t>https://thumbor.prod.vidiocdn.com/EUpEduB6OQm9w7MfZtazwgYURM0=/filters:quality(70)/vidio-media-production/uploads/image/source/52491/d744fa.png</t>
  </si>
  <si>
    <t>https://drive.google.com/file/d/1CIQGeTn5FL1LnSHVA485MjkAb1osIUK-/view?usp=sharing</t>
  </si>
  <si>
    <t>f188e282</t>
  </si>
  <si>
    <t>Chelsea vs Aston Villa - Premier League</t>
  </si>
  <si>
    <t>https://www.vidio.com/live/9182-champions-tv-5?schedule_id=4794128</t>
  </si>
  <si>
    <t>https://drive.google.com/drive/folders/17FCXFwX4aUG3EkkQ1euyhLk_QZn1fwe6?usp=drive_link</t>
  </si>
  <si>
    <t>chelsea fc; aston villa fc; sports stream</t>
  </si>
  <si>
    <t>Nonton streaming pertandingan seru Chelsea vs Aston Villa - Premier League. Saksikan aksi-aksi terbaik dari tim yang bersaing ketat untuk meraih kemenangan. Dapatkan informasi lengkap mengenai jadwal pertandingan dan hasil pertandingan terbaru hanya di Vidio.</t>
  </si>
  <si>
    <t>CHE: PALMER &amp; JOAO PEDRO
AVL: ROGERS &amp; WATKINS</t>
  </si>
  <si>
    <t>https://thumbor.prod.vidiocdn.com/DKoGZrv81k7eiksP_UUPH_E4p-c=/filters:quality(70)/vidio-media-production/uploads/image/source/52494/8a04f8.png</t>
  </si>
  <si>
    <t>https://thumbor.prod.vidiocdn.com/JPjMg6ySuptlzxV52j4UYVkXmQ0=/filters:quality(70)/vidio-media-production/uploads/image/source/52495/08c7ab.png</t>
  </si>
  <si>
    <t>https://drive.google.com/file/d/1HG642ate5jLorRnjjO-JdF_qUblxxFel/view?usp=sharing</t>
  </si>
  <si>
    <t>f91a5d16</t>
  </si>
  <si>
    <t>Crystal Palace vs Tottenham - Premier League</t>
  </si>
  <si>
    <t>https://www.vidio.com/live/9182-champions-tv-5?schedule_id=4794246</t>
  </si>
  <si>
    <t>https://drive.google.com/drive/folders/148Id9lGiP2JFivmZSow84TXNlWa1srbS?usp=drive_link</t>
  </si>
  <si>
    <t>crystal palace fc; tottenham hotspur fc; sports stream</t>
  </si>
  <si>
    <t>Nonton streaming pertandingan seru Crystal Palace vs Tottenham - Premier League. Saksikan aksi-aksi terbaik dari tim yang bersaing ketat untuk meraih kemenangan. Dapatkan informasi lengkap mengenai jadwal pertandingan dan hasil pertandingan terbaru hanya di Vidio.</t>
  </si>
  <si>
    <t>CRY: MATETA &amp; GUEHI
TOT: RICHARLISON &amp; VAN DE VEN</t>
  </si>
  <si>
    <t>https://thumbor.prod.vidiocdn.com/gSQ1JFKETJAGHq_PP-PY4m-Ujrw=/filters:quality(70)/vidio-media-production/uploads/image/source/52500/504133.png</t>
  </si>
  <si>
    <t>https://thumbor.prod.vidiocdn.com/RrQARVU8jCTxkQxxlkYYwdU-4IM=/filters:quality(70)/vidio-media-production/uploads/image/source/52501/59960a.png</t>
  </si>
  <si>
    <t>https://drive.google.com/file/d/1rZH2IgFTzA_BTdhbvfhX7qnL47R7hl-r/view?usp=sharing</t>
  </si>
  <si>
    <t>595c0fc1</t>
  </si>
  <si>
    <t>Liverpool vs Wolves - Premier League</t>
  </si>
  <si>
    <t>https://www.vidio.com/live/9182-champions-tv-5?schedule_id=4793085</t>
  </si>
  <si>
    <t>https://drive.google.com/drive/folders/1-fFWbXRe5yf7wiHJlCb4Xr_6xiGLUJhJ?usp=drive_link</t>
  </si>
  <si>
    <t>liverpool fc; wolverhampton wanderers fc; sports stream</t>
  </si>
  <si>
    <t>Nonton streaming pertandingan seru Liverpool vs Wolves - Premier League. Saksikan aksi-aksi terbaik dari tim yang bersaing ketat untuk meraih kemenangan. Dapatkan informasi lengkap mengenai jadwal pertandingan dan hasil pertandingan terbaru hanya di Vidio.</t>
  </si>
  <si>
    <t>LIV: EKITIKE &amp; GRAVENBERCH
WOL: JHON ARIAS &amp; ANDRE</t>
  </si>
  <si>
    <t>https://thumbor.prod.vidiocdn.com/61rU-bf7MY2PpA2qZ9rwo2kyWaU=/filters:quality(70)/vidio-media-production/uploads/image/source/52492/eee821.png</t>
  </si>
  <si>
    <t>https://thumbor.prod.vidiocdn.com/vUV69MD2jZuJMmrANDuo8RgdOWs=/filters:quality(70)/vidio-media-production/uploads/image/source/52493/61281e.png</t>
  </si>
  <si>
    <t>https://drive.google.com/file/d/1nrPCFGDW1PhI5cH1ejL_TpegD2Mq3luJ/view?usp=sharing</t>
  </si>
  <si>
    <t>eeb8c191</t>
  </si>
  <si>
    <t>Man United vs Newcastle - Premier League</t>
  </si>
  <si>
    <t>https://www.vidio.com/live/9182-champions-tv-5?schedule_id=4792893</t>
  </si>
  <si>
    <t>https://drive.google.com/drive/folders/1Ya8hkt_wv4fVEt1fitg61eQIPbQgzvH2?usp=drive_link</t>
  </si>
  <si>
    <t>manchester united fc; newcastle united fc; sports stream</t>
  </si>
  <si>
    <t>Nonton streaming pertandingan seru Man United vs Newcastle - Premier League. Saksikan aksi-aksi terbaik dari tim yang bersaing ketat untuk meraih kemenangan. Dapatkan informasi lengkap mengenai jadwal pertandingan dan hasil pertandingan terbaru hanya di Vidio.</t>
  </si>
  <si>
    <t>MUN: CUNHA &amp; AMORIM (MAN)
NEW: TONALI &amp; HOWE (MAN)</t>
  </si>
  <si>
    <t>https://thumbor.prod.vidiocdn.com/bQ4awWl5V1xw8ANtZWAt0FGFJI4=/filters:quality(70)/vidio-media-production/uploads/image/source/52486/c5b7ac.png</t>
  </si>
  <si>
    <t>https://thumbor.prod.vidiocdn.com/HNlDJ1tuFHhZ1pDpGLycYPI73t0=/filters:quality(70)/vidio-media-production/uploads/image/source/52487/406180.png</t>
  </si>
  <si>
    <t>https://drive.google.com/file/d/1x_VIn5gtvXtR_0ldPNugBSNYYChEMuWQ/view?usp=sharing</t>
  </si>
  <si>
    <t>620858cd</t>
  </si>
  <si>
    <t>Nottingham Forest vs Man City - Premier League</t>
  </si>
  <si>
    <t>https://www.vidio.com/live/9182-champions-tv-5?schedule_id=4792894</t>
  </si>
  <si>
    <t>https://drive.google.com/drive/folders/1khNLkJwS5gQn9paMhVyY1pwEz-AwYIoZ?usp=drive_link</t>
  </si>
  <si>
    <t>nottingham forest fc; manchester city fc; sports stream</t>
  </si>
  <si>
    <t>Nonton streaming pertandingan seru Nottingham Forest vs Man City - Premier League. Saksikan aksi-aksi terbaik dari tim yang bersaing ketat untuk meraih kemenangan. Dapatkan informasi lengkap mengenai jadwal pertandingan dan hasil pertandingan terbaru hanya di Vidio.</t>
  </si>
  <si>
    <t>NFO: GIBBS-WHITE &amp; NECO
MCI: HAALAND &amp; GVARDIOL</t>
  </si>
  <si>
    <t>https://thumbor.prod.vidiocdn.com/cywLQaEVAOfDYw7w0d_Y8R9gv7s=/filters:quality(70)/vidio-media-production/uploads/image/source/52488/c5a1f6.png</t>
  </si>
  <si>
    <t>https://thumbor.prod.vidiocdn.com/S7E-c4R5HW3tgshCJrV6xdlfS5g=/filters:quality(70)/vidio-media-production/uploads/image/source/52489/d8ebb0.png</t>
  </si>
  <si>
    <t>https://drive.google.com/file/d/1skfWfc3EuCpUyW2MqPdeBVBU2cGdU71T/view?usp=sharing</t>
  </si>
  <si>
    <t>697d858a</t>
  </si>
  <si>
    <t>Sunderland vs Leeds United - Premier League</t>
  </si>
  <si>
    <t>https://www.vidio.com/live/9182-champions-tv-5?schedule_id=4794245</t>
  </si>
  <si>
    <t>https://drive.google.com/drive/folders/1AKgw4MqAvTypV3VDNWPTiN0hovfbkhrz?usp=drive_link</t>
  </si>
  <si>
    <t>sunderland afc; leeds united fc; sports stream</t>
  </si>
  <si>
    <t>Nonton streaming pertandingan seru Sunderland vs Leeds United - Premier League. Saksikan aksi-aksi terbaik dari tim yang bersaing ketat untuk meraih kemenangan. Dapatkan informasi lengkap mengenai jadwal pertandingan dan hasil pertandingan terbaru hanya di Vidio.</t>
  </si>
  <si>
    <t>SUN: XHAKA &amp; LE FEE
LEE: CALVERT-LEWIN &amp; AMPADU</t>
  </si>
  <si>
    <t>https://thumbor.prod.vidiocdn.com/LgGuMgLrs6sUR4dcYMTbV6yYEVo=/filters:quality(70)/vidio-media-production/uploads/image/source/52496/8c41f6.png</t>
  </si>
  <si>
    <t>https://thumbor.prod.vidiocdn.com/M0aEZ95MFn6mHpYv95tVDfeLZVE=/filters:quality(70)/vidio-media-production/uploads/image/source/52497/ea4444.png</t>
  </si>
  <si>
    <t>https://drive.google.com/file/d/1ZTiCT5YFQ7MNQMnd1ufAhqeS7aBkJKSN/view?usp=sharing</t>
  </si>
  <si>
    <t>3e3cccc0</t>
  </si>
  <si>
    <t>West Ham vs Fulham - Premier League</t>
  </si>
  <si>
    <t>https://www.vidio.com/live/19536-premier-league?schedule_id=4792905</t>
  </si>
  <si>
    <t>https://drive.google.com/drive/folders/1y3nU3WsTvg3vjCH3bMT77Ub6visP5cN6?usp=drive_link</t>
  </si>
  <si>
    <t>west ham united fc; fulham fc; sports stream</t>
  </si>
  <si>
    <t>Nonton streaming pertandingan seru West Ham vs Fulham - Premier League. Saksikan aksi-aksi terbaik dari tim yang bersaing ketat untuk meraih kemenangan. Dapatkan informasi lengkap mengenai jadwal pertandingan dan hasil pertandingan terbaru hanya di Vidio.</t>
  </si>
  <si>
    <t>WHU: SOUCEK &amp; BOWEN
FUL: TETE &amp; SANDER BERGE</t>
  </si>
  <si>
    <t>https://thumbor.prod.vidiocdn.com/9cxkm942hZPtuyTBYBqNxANiINw=/filters:quality(70)/vidio-media-production/uploads/image/source/52482/b9b024.png</t>
  </si>
  <si>
    <t>https://thumbor.prod.vidiocdn.com/pIwLxG8SJwAPm3JX8D4MYHe4lcw=/filters:quality(70)/vidio-media-production/uploads/image/source/52483/7be7d4.png</t>
  </si>
  <si>
    <t>https://drive.google.com/file/d/19eW2n_T1ysHwciESmdGfCbzIezaKbQ1H/view?usp=sharing</t>
  </si>
  <si>
    <t>44cb66a7</t>
  </si>
  <si>
    <t>Arsenal vs Aston Villa - Premier League</t>
  </si>
  <si>
    <t>https://www.vidio.com/live/9182-champions-tv-5?schedule_id=4802036</t>
  </si>
  <si>
    <t>https://drive.google.com/drive/folders/1yDJhUNZH_xXqBNMrxWH0bnJX8Qepj5Rq?usp=drive_link</t>
  </si>
  <si>
    <t>arsenal fc; aston villa fc; sports stream</t>
  </si>
  <si>
    <t>Nonton streaming pertandingan seru Arsenal vs Aston Villa - Premier League. Saksikan aksi-aksi terbaik dari tim yang bersaing ketat untuk meraih kemenangan. Dapatkan informasi lengkap mengenai jadwal pertandingan dan hasil pertandingan terbaru hanya di Vidio.</t>
  </si>
  <si>
    <t>ARS: GYOKERES &amp; ZUBIMENDI
AVL: TIELEMANS &amp; MAATSEN</t>
  </si>
  <si>
    <t>Matchday 19</t>
  </si>
  <si>
    <t>https://thumbor.prod.vidiocdn.com/vzE2csITqv6RocRjfOhfh0Ghk70=/filters:quality(70)/vidio-media-production/uploads/image/source/52547/b72c62.png</t>
  </si>
  <si>
    <t>https://thumbor.prod.vidiocdn.com/YXJwgaDOyhjoOuJdICTXf4I0gms=/filters:quality(70)/vidio-media-production/uploads/image/source/52548/3ec994.png</t>
  </si>
  <si>
    <t>https://drive.google.com/file/d/1ZA_7EuMOhl-1UANVoSItktwA3l9SbV0m/view?usp=sharing</t>
  </si>
  <si>
    <t>30ac092b</t>
  </si>
  <si>
    <t>Brentford vs Tottenham - Premier League</t>
  </si>
  <si>
    <t>https://www.vidio.com/live/18796-premier-league?schedule_id=4802193</t>
  </si>
  <si>
    <t>https://drive.google.com/drive/folders/1uGbSfEyLPlP-SM40qcwqIDHALbGMG36h</t>
  </si>
  <si>
    <t>https://drive.google.com/file/d/1H6eu8uL0Snc2QUxhuqduYY7piseuu0Dk/view?usp=sharing</t>
  </si>
  <si>
    <t>brentford fc; tottenham hotspur fc; sports stream</t>
  </si>
  <si>
    <t>Nonton streaming pertandingan seru Brentford vs Tottenham - Premier League. Saksikan aksi-aksi terbaik dari tim yang bersaing ketat untuk meraih kemenangan. Dapatkan informasi lengkap mengenai jadwal pertandingan dan hasil pertandingan terbaru hanya di Vidio.</t>
  </si>
  <si>
    <t>BRE: COLLINS &amp; HENDERSON
TOT: PEDRO PORRO &amp; KUDUS</t>
  </si>
  <si>
    <t>https://drive.google.com/file/d/1M21LAPvjcNO3FQZTliXRibt_XHSnFsxV/view?usp=sharing</t>
  </si>
  <si>
    <t>https://drive.google.com/file/d/1lCctFsrHOVjXagUZcxlkPaJblBQKPcuS/view?usp=sharing</t>
  </si>
  <si>
    <t>9f8e3f50</t>
  </si>
  <si>
    <t>Burnley vs Newcastle - Premier League</t>
  </si>
  <si>
    <t>https://www.vidio.com/live/18797-premier-league?schedule_id=4802056</t>
  </si>
  <si>
    <t>https://drive.google.com/drive/folders/1DXgs0Oz1_yHq0LndzO4QJ7QLOqBCib7T?usp=drive_link</t>
  </si>
  <si>
    <t>burnley fc; newcastle united fc; sports stream</t>
  </si>
  <si>
    <t>Nonton streaming pertandingan seru Burnley vs Newcastle - Premier League. Saksikan aksi-aksi terbaik dari tim yang bersaing ketat untuk meraih kemenangan. Dapatkan informasi lengkap mengenai jadwal pertandingan dan hasil pertandingan terbaru hanya di Vidio.</t>
  </si>
  <si>
    <t>BUR: WALKER &amp; BRUNN LARSEN
NEW: GORDON &amp; WISSA</t>
  </si>
  <si>
    <t>https://thumbor.prod.vidiocdn.com/p4L3KSCAjum8F6Wn6e8pLE87B64=/filters:quality(70)/vidio-media-production/uploads/image/source/52537/bc4afa.png</t>
  </si>
  <si>
    <t>https://thumbor.prod.vidiocdn.com/BovRUBrekGktsFaypa9D1lrK9Ko=/filters:quality(70)/vidio-media-production/uploads/image/source/52538/0137a7.png</t>
  </si>
  <si>
    <t>https://drive.google.com/file/d/1GmGu6Emz-2hpPM4M2QdOGx4u6HoEPPGp/view?usp=sharing</t>
  </si>
  <si>
    <t>32de85ba</t>
  </si>
  <si>
    <t>Chelsea vs Bournemouth - Premier League</t>
  </si>
  <si>
    <t>https://www.vidio.com/live/19536-premier-league?schedule_id=4802057</t>
  </si>
  <si>
    <t>https://drive.google.com/drive/folders/1ZndxJb_AeVjqxtE6WWBdozzh0JFtyKED?usp=drive_link</t>
  </si>
  <si>
    <t>chelsea fc; afc bournemouth; sports stream</t>
  </si>
  <si>
    <t>Nonton streaming pertandingan seru Chelsea vs Bournemouth - Premier League. Saksikan aksi-aksi terbaik dari tim yang bersaing ketat untuk meraih kemenangan. Dapatkan informasi lengkap mengenai jadwal pertandingan dan hasil pertandingan terbaru hanya di Vidio.</t>
  </si>
  <si>
    <t>CHE: GARNACHO &amp; JAMES
BOU: SEMENYO &amp; SENESI</t>
  </si>
  <si>
    <t>https://thumbor.prod.vidiocdn.com/jPcz6cbp2HTW5U2OJaDhVCPomZ0=/filters:quality(70)/vidio-media-production/uploads/image/source/52541/c05223.png</t>
  </si>
  <si>
    <t>https://thumbor.prod.vidiocdn.com/Jq80zjLagGial2h8b5-Nhy3bOAc=/filters:quality(70)/vidio-media-production/uploads/image/source/52542/2b52ee.png</t>
  </si>
  <si>
    <t>https://drive.google.com/file/d/1_2PMCCKEne-SqVsrOg7I-B63Po0JIc3f/view?usp=sharing</t>
  </si>
  <si>
    <t>90ce7d38</t>
  </si>
  <si>
    <t>Crystal Palace vs Fulham - Premier League</t>
  </si>
  <si>
    <t>https://www.vidio.com/live/19375-premier-league?schedule_id=4802189</t>
  </si>
  <si>
    <t>https://drive.google.com/drive/folders/1LYxQ7stGXjs4_kL_SN_CduPNNoiNeu6Q</t>
  </si>
  <si>
    <t>https://drive.google.com/file/d/1DKOi4ZcI83Aq5IFulWr5T3Ok1tmTKRzJ/view?usp=drive_link</t>
  </si>
  <si>
    <t>crystal palace fc; fulham fc; sports stream</t>
  </si>
  <si>
    <t>Nonton streaming pertandingan seru Crystal Palace vs Fulham - Premier League. Saksikan aksi-aksi terbaik dari tim yang bersaing ketat untuk meraih kemenangan. Dapatkan informasi lengkap mengenai jadwal pertandingan dan hasil pertandingan terbaru hanya di Vidio.</t>
  </si>
  <si>
    <t>CRY: WHARTON &amp; MITCHELL
FUL: SMITH ROWE &amp; TETE</t>
  </si>
  <si>
    <t>https://drive.google.com/file/d/1gH8GcB_-QTpiQF05I_wc42aicZgEDGBR/view?usp=sharing</t>
  </si>
  <si>
    <t>https://drive.google.com/file/d/1DKOi4ZcI83Aq5IFulWr5T3Ok1tmTKRzJ/view?usp=sharing</t>
  </si>
  <si>
    <t>https://drive.google.com/file/d/1X4Rk0cyYE_gTOPM0_ZDYpJvNTWI-BXvr/view?usp=sharing</t>
  </si>
  <si>
    <t>fcd45213</t>
  </si>
  <si>
    <t>Liverpool vs Leeds United - Premier League</t>
  </si>
  <si>
    <t>https://www.vidio.com/live/9182-champions-tv-5?schedule_id=4802197</t>
  </si>
  <si>
    <t>https://drive.google.com/drive/folders/1LU0DxFjEysZzsNGhyYUL3KNr2epARkW9</t>
  </si>
  <si>
    <t>liverpool fc; leeds united fc; sports stream</t>
  </si>
  <si>
    <t>Nonton streaming pertandingan seru Liverpool vs Leeds United - Premier League. Saksikan aksi-aksi terbaik dari tim yang bersaing ketat untuk meraih kemenangan. Dapatkan informasi lengkap mengenai jadwal pertandingan dan hasil pertandingan terbaru hanya di Vidio.</t>
  </si>
  <si>
    <t>LIV: EKITIKE &amp; SLOT (MAN)
LEE: CALVERT-LEWIN &amp; FARKE (MAN)</t>
  </si>
  <si>
    <t>https://thumbor.prod.vidiocdn.com/i9Gjx2Rc87iy4nxXc72zFPkGPwo=/filters:quality(70)/vidio-media-production/uploads/image/source/52735/e92ccb.png</t>
  </si>
  <si>
    <t>https://thumbor.prod.vidiocdn.com/zWk64OkJi_9igAQfU5YA1hj53DU=/filters:quality(70)/vidio-media-production/uploads/image/source/52736/5aff39.png</t>
  </si>
  <si>
    <t>https://drive.google.com/file/d/1F7mVh1TDDnyUkh9UxV1Gke3lb66kC90_/view?usp=sharing</t>
  </si>
  <si>
    <t>ab832ae7</t>
  </si>
  <si>
    <t>Man United vs Wolves - Premier League</t>
  </si>
  <si>
    <t>https://www.vidio.com/live/9183-champions-tv-6?schedule_id=4802050</t>
  </si>
  <si>
    <t>https://drive.google.com/drive/folders/1jYtJuUAFym3DtUXBH2vGyQCXTalF3zzM?usp=drive_link</t>
  </si>
  <si>
    <t>manchester united fc; wolverhampton wanderers fc; sports stream</t>
  </si>
  <si>
    <t>Nonton streaming pertandingan seru Man United vs Wolves - Premier League. Saksikan aksi-aksi terbaik dari tim yang bersaing ketat untuk meraih kemenangan. Dapatkan informasi lengkap mengenai jadwal pertandingan dan hasil pertandingan terbaru hanya di Vidio.</t>
  </si>
  <si>
    <t>MUN: CUNHA &amp; MOUNT
WOL: JOAO GOMES &amp; DOHERTY</t>
  </si>
  <si>
    <t>https://thumbor.prod.vidiocdn.com/MD9IGV3TcoFtwIrV1XxCxkDim-s=/filters:quality(70)/vidio-media-production/uploads/image/source/52549/9c2682.png</t>
  </si>
  <si>
    <t>https://thumbor.prod.vidiocdn.com/2vjutuzyM3Ncb_qiiMsOGRwMklA=/filters:quality(70)/vidio-media-production/uploads/image/source/52550/ad78d4.png</t>
  </si>
  <si>
    <t>https://drive.google.com/file/d/18SUKV0UT0q2kcTmQX9QAV8eEm2iwKWpw/view?usp=sharing</t>
  </si>
  <si>
    <t>e7158cfd</t>
  </si>
  <si>
    <t>Nottingham Forest vs Everton - Premier League</t>
  </si>
  <si>
    <t>https://www.vidio.com/live/18796-premier-league?schedule_id=4802058</t>
  </si>
  <si>
    <t>https://drive.google.com/drive/folders/1idPl22bK_YmcvqL8o00wEUY-bOWHikZ5?usp=drive_link</t>
  </si>
  <si>
    <t>nottingham forest fc; everton fc; sports stream</t>
  </si>
  <si>
    <t>Nonton streaming pertandingan seru Nottingham Forest vs Everton - Premier League. Saksikan aksi-aksi terbaik dari tim yang bersaing ketat untuk meraih kemenangan. Dapatkan informasi lengkap mengenai jadwal pertandingan dan hasil pertandingan terbaru hanya di Vidio.</t>
  </si>
  <si>
    <t>NFO: DOUGLAS LUIZ &amp; GIBBS-WHITE
EVE: GREALISH &amp; TARKOWSKI</t>
  </si>
  <si>
    <t>https://thumbor.prod.vidiocdn.com/ERVH2Wc-mTCU2Ve16aTrjS1m3JE=/filters:quality(70)/vidio-media-production/uploads/image/source/52543/725576.png</t>
  </si>
  <si>
    <t>https://thumbor.prod.vidiocdn.com/jGvPf9nVJ6x0uqc870gsMivAqbo=/filters:quality(70)/vidio-media-production/uploads/image/source/52544/b7b669.png</t>
  </si>
  <si>
    <t>https://drive.google.com/file/d/10G1KC4c-Nk-2gXxUAOFi5DF31OzyaxNP/view?usp=sharing</t>
  </si>
  <si>
    <t>09f01e8a</t>
  </si>
  <si>
    <t>Sunderland vs Man City - Premier League</t>
  </si>
  <si>
    <t>https://www.vidio.com/live/9183-champions-tv-6?schedule_id=4802192</t>
  </si>
  <si>
    <t>https://drive.google.com/drive/folders/14S_yM80-WvpmqXACafz0GKA5urFm8gtc</t>
  </si>
  <si>
    <t>sunderland afc; manchester city fc; sports stream</t>
  </si>
  <si>
    <t>Nonton streaming pertandingan seru Sunderland vs Man City - Premier League. Saksikan aksi-aksi terbaik dari tim yang bersaing ketat untuk meraih kemenangan. Dapatkan informasi lengkap mengenai jadwal pertandingan dan hasil pertandingan terbaru hanya di Vidio.</t>
  </si>
  <si>
    <t>SUN: XHAKA &amp; ROEFS (GK)
MCI: HAALAND &amp; DONNARUMMA (GK)</t>
  </si>
  <si>
    <t>https://thumbor.prod.vidiocdn.com/6ssG1CxyJJliJvwNtIK4Slm1OUk=/filters:quality(70)/vidio-media-production/uploads/image/source/52737/ac028d.png</t>
  </si>
  <si>
    <t>https://thumbor.prod.vidiocdn.com/lJLHrdl5PC71jaamOECxEa21D4w=/filters:quality(70)/vidio-media-production/uploads/image/source/52738/650416.png</t>
  </si>
  <si>
    <t>https://drive.google.com/file/d/1zsnhL68DGZccU7GCg1k-dKfPArwfznqh/view?usp=sharing</t>
  </si>
  <si>
    <t>ee608d01</t>
  </si>
  <si>
    <t>West Ham vs Brighton - Premier League</t>
  </si>
  <si>
    <t>https://www.vidio.com/live/19375-premier-league?schedule_id=4802059</t>
  </si>
  <si>
    <t>https://drive.google.com/drive/folders/1MtRjaT1j8C-2JOtrfjpmDE8GTUKyyGzp?usp=drive_link</t>
  </si>
  <si>
    <t>west ham united fc; brighton &amp; hove albion fc; sports stream</t>
  </si>
  <si>
    <t>Nonton streaming pertandingan seru West Ham vs Brighton - Premier League. Saksikan aksi-aksi terbaik dari tim yang bersaing ketat untuk meraih kemenangan. Dapatkan informasi lengkap mengenai jadwal pertandingan dan hasil pertandingan terbaru hanya di Vidio.</t>
  </si>
  <si>
    <t>WHU: PAQUETA &amp; KILMAN
BHA: MILNER &amp; VELTMAN</t>
  </si>
  <si>
    <t>https://thumbor.prod.vidiocdn.com/A5NJnnll54NzpjeXv9f--FnFCpw=/filters:quality(70)/vidio-media-production/uploads/image/source/52545/1ceaba.png</t>
  </si>
  <si>
    <t>https://thumbor.prod.vidiocdn.com/-6EKcMBeVbQHYZ495hcyVBN6DBs=/filters:quality(70)/vidio-media-production/uploads/image/source/52546/caf873.png</t>
  </si>
  <si>
    <t>https://drive.google.com/file/d/1cs-unz005vDeWLd7ztlFJBI_vmWEhYYO/view?usp=sharing</t>
  </si>
  <si>
    <t>e031ede0</t>
  </si>
  <si>
    <t>Bournemouth vs Arsenal - Premier League</t>
  </si>
  <si>
    <t>https://www.vidio.com/live/9182-champions-tv-5?schedule_id=4802200</t>
  </si>
  <si>
    <t>https://drive.google.com/drive/folders/1-0isYlWpCtdRmji65ydw6QbyXl6qhma3</t>
  </si>
  <si>
    <t>afc bournemouth; arsenal fc; sports stream</t>
  </si>
  <si>
    <t>Nonton streaming pertandingan seru Bournemouth vs Arsenal - Premier League. Saksikan aksi-aksi terbaik dari tim yang bersaing ketat untuk meraih kemenangan. Dapatkan informasi lengkap mengenai jadwal pertandingan dan hasil pertandingan terbaru hanya di Vidio.</t>
  </si>
  <si>
    <t>BOU: SCOTT &amp; TAVERNIER
ARS: ODEGAARD &amp; GYOKERES</t>
  </si>
  <si>
    <t>Matchday 20</t>
  </si>
  <si>
    <t>https://thumbor.prod.vidiocdn.com/yPpVflj_Y_b-enS5MI-WMAbb5UE=/filters:quality(70)/vidio-media-production/uploads/image/source/52745/7fe2fb.png</t>
  </si>
  <si>
    <t>https://thumbor.prod.vidiocdn.com/IXbUoWuxJTnBUltgLfpK4ilPmqc=/filters:quality(70)/vidio-media-production/uploads/image/source/52746/1abdbd.png</t>
  </si>
  <si>
    <t>https://drive.google.com/file/d/1yoGhzQv7y01LkjPdeRW9U4DCkTM8uOgY/view?usp=sharing</t>
  </si>
  <si>
    <t>e92d0cbe</t>
  </si>
  <si>
    <t>Aston Villa vs Nottingham Forest - Premier League</t>
  </si>
  <si>
    <t>https://www.vidio.com/live/9182-champions-tv-5?schedule_id=4802198</t>
  </si>
  <si>
    <t>https://drive.google.com/drive/folders/1dSqvKrKKpZ8Zv4QFRnlMtUu02LaCQeYB</t>
  </si>
  <si>
    <t>aston villa fc; nottingham forest fc; sports stream</t>
  </si>
  <si>
    <t>Nonton streaming pertandingan seru Aston Villa vs Nottingham Forest - Premier League. Saksikan aksi-aksi terbaik dari tim yang bersaing ketat untuk meraih kemenangan. Dapatkan informasi lengkap mengenai jadwal pertandingan dan hasil pertandingan terbaru hanya di Vidio.</t>
  </si>
  <si>
    <t>AVL: WATKINS &amp; ROGERS
NFO: GIBBS-WHITE &amp; NECO</t>
  </si>
  <si>
    <t>https://thumbor.prod.vidiocdn.com/zFEeuWuxRWeP71zrbhL04UnoHJo=/filters:quality(70)/vidio-media-production/uploads/image/source/52739/0cd6fa.png</t>
  </si>
  <si>
    <t>https://thumbor.prod.vidiocdn.com/FcRVDJgYLlu8bpWmzguR4s8AOms=/filters:quality(70)/vidio-media-production/uploads/image/source/52740/3bace2.png</t>
  </si>
  <si>
    <t>https://drive.google.com/file/d/1rYzgOuzzVnVHo-1UF27a4lae_WMSsva6/view?usp=sharing</t>
  </si>
  <si>
    <t>e05778a3</t>
  </si>
  <si>
    <t>Brighton vs Burnley - Premier League</t>
  </si>
  <si>
    <t>https://www.vidio.com/live/9182-champions-tv-5?schedule_id=4802199</t>
  </si>
  <si>
    <t>https://drive.google.com/drive/folders/181u7o0b6PTF94_T1b0FFkBswMffAlc_7</t>
  </si>
  <si>
    <t>brighton &amp; hove albion fc; burnley fc; sports stream</t>
  </si>
  <si>
    <t>Nonton streaming pertandingan seru Brighton vs Burnley - Premier League. Saksikan aksi-aksi terbaik dari tim yang bersaing ketat untuk meraih kemenangan. Dapatkan informasi lengkap mengenai jadwal pertandingan dan hasil pertandingan terbaru hanya di Vidio.</t>
  </si>
  <si>
    <t>BHA: MITOMA &amp; VAN HECKE
BUR: FLORENTINO &amp; WALKER</t>
  </si>
  <si>
    <t>https://thumbor.prod.vidiocdn.com/tQg2tCObc9WrbHCzgXJmYllcwlU=/filters:quality(70)/vidio-media-production/uploads/image/source/52741/d8dab4.png</t>
  </si>
  <si>
    <t>https://thumbor.prod.vidiocdn.com/nS2YSB5MxLkkO-tqG4xzl6k43Ag=/filters:quality(70)/vidio-media-production/uploads/image/source/52742/263964.png</t>
  </si>
  <si>
    <t>https://drive.google.com/file/d/1_7gATb13k-t1m4va67kVPglxkS78F-lT/view?usp=sharing</t>
  </si>
  <si>
    <t>9fa5aec7</t>
  </si>
  <si>
    <t>Everton vs Brentford - Premier League</t>
  </si>
  <si>
    <t>https://www.vidio.com/live/19375-premier-league?schedule_id=4802190</t>
  </si>
  <si>
    <t>https://drive.google.com/drive/folders/1dQ7NSik-maqKOofMQmQrDwpw5JEpUSu8</t>
  </si>
  <si>
    <t>https://drive.google.com/file/d/16heabKnx9ejMlFJnknUg8pW1ZoLK0Zzc/view?usp=sharing</t>
  </si>
  <si>
    <t>everton fc; brentford fc; sports stream</t>
  </si>
  <si>
    <t>Nonton streaming pertandingan seru Everton vs Brentford - Premier League. Saksikan aksi-aksi terbaik dari tim yang bersaing ketat untuk meraih kemenangan. Dapatkan informasi lengkap mengenai jadwal pertandingan dan hasil pertandingan terbaru hanya di Vidio.</t>
  </si>
  <si>
    <t>EVE: PICKFORD (GK) &amp; GREALISH
BRE: KELLEHER (GK) &amp; HENDERSON</t>
  </si>
  <si>
    <t>https://drive.google.com/file/d/1XQ9IaGJHTUVeQz7GZGBZStjgRFIrlwLV/view?usp=sharing</t>
  </si>
  <si>
    <t>https://drive.google.com/file/d/1Zkc5anlIxquhvd9bLZKjHbQwudoOznKR/view?usp=sharing</t>
  </si>
  <si>
    <t>82565bea</t>
  </si>
  <si>
    <t>Fulham vs Liverpool - Premier League</t>
  </si>
  <si>
    <t>https://www.vidio.com/live/9182-champions-tv-5?schedule_id=4802202</t>
  </si>
  <si>
    <t>https://drive.google.com/drive/folders/1ctnIowzv5z51LbBFcXkwnj1c_lWAFS5n</t>
  </si>
  <si>
    <t>fulham fc; liverpool fc; sports stream</t>
  </si>
  <si>
    <t>Nonton streaming pertandingan seru Fulham vs Liverpool - Premier League. Saksikan aksi-aksi terbaik dari tim yang bersaing ketat untuk meraih kemenangan. Dapatkan informasi lengkap mengenai jadwal pertandingan dan hasil pertandingan terbaru hanya di Vidio.</t>
  </si>
  <si>
    <t>FUL: SMITH ROWE &amp; SANDER BERGE
LIV: WIRTZ &amp; EKITIKE</t>
  </si>
  <si>
    <t>https://thumbor.prod.vidiocdn.com/wgdFuesWagvdzm0LQYWz-xZuHpE=/filters:quality(70)/vidio-media-production/uploads/image/source/52749/0deae5.png</t>
  </si>
  <si>
    <t>https://thumbor.prod.vidiocdn.com/9WgTg2BJ2lnyN0TpuOcGt4yGawA=/filters:quality(70)/vidio-media-production/uploads/image/source/52750/4bcc8f.png</t>
  </si>
  <si>
    <t>https://drive.google.com/file/d/1bZUYMHZPPej65wyw6I_GVRQdDj7uHmGk/view?usp=sharing</t>
  </si>
  <si>
    <t>b5d64200</t>
  </si>
  <si>
    <t>Leeds United vs Man United - Premier League</t>
  </si>
  <si>
    <t>https://www.vidio.com/live/9182-champions-tv-5?schedule_id=4802201</t>
  </si>
  <si>
    <t>https://drive.google.com/drive/folders/1MR7r718uUs0AELOAjxWrIkv56qOZxrB0</t>
  </si>
  <si>
    <t>leeds united fc; manchester united fc; sports stream</t>
  </si>
  <si>
    <t>Nonton streaming pertandingan seru Leeds United vs Man United - Premier League. Saksikan aksi-aksi terbaik dari tim yang bersaing ketat untuk meraih kemenangan. Dapatkan informasi lengkap mengenai jadwal pertandingan dan hasil pertandingan terbaru hanya di Vidio.</t>
  </si>
  <si>
    <t>LEE: CALVERT LEWIN &amp; AMPADU
MUN: SESKO &amp; UGARTE</t>
  </si>
  <si>
    <t>https://thumbor.prod.vidiocdn.com/nr4i9EURQYNr3pc7toGMPonycDs=/filters:quality(70)/vidio-media-production/uploads/image/source/52747/83a689.png</t>
  </si>
  <si>
    <t>https://thumbor.prod.vidiocdn.com/yHV7h-qYPHDF7JocT6NIBsCCB9U=/filters:quality(70)/vidio-media-production/uploads/image/source/52748/9d93ee.png</t>
  </si>
  <si>
    <t>https://drive.google.com/file/d/1E4u7dTllNZB7ryv_JtjGpEiFDUoMlTTY/view?usp=sharing</t>
  </si>
  <si>
    <t>5d1b5a57</t>
  </si>
  <si>
    <t>Man City vs Chelsea - Premier League</t>
  </si>
  <si>
    <t>https://www.vidio.com/live/9182-champions-tv-5?schedule_id=4827336</t>
  </si>
  <si>
    <t>https://drive.google.com/drive/folders/1twSVxccybIlvSOAkc9mhl96LkHDo1Z2O</t>
  </si>
  <si>
    <t>manchester city fc; chelsea fc; sports stream</t>
  </si>
  <si>
    <t>Nonton streaming pertandingan seru Man City vs Chelsea - Premier League. Saksikan aksi-aksi terbaik dari tim yang bersaing ketat untuk meraih kemenangan. Dapatkan informasi lengkap mengenai jadwal pertandingan dan hasil pertandingan terbaru hanya di Vidio.</t>
  </si>
  <si>
    <t>MCI: HAALAND &amp; TIJJANI
CHE: PALMER &amp; ENZO FERNANDEZ</t>
  </si>
  <si>
    <t>NTC + TVC + SOCMED Boost</t>
  </si>
  <si>
    <t>https://thumbor.prod.vidiocdn.com/RUwUUR75HHGpARIxbBGSHg2uO0I=/filters:quality(70)/vidio-media-production/uploads/image/source/52753/5ab029.png</t>
  </si>
  <si>
    <t>https://thumbor.prod.vidiocdn.com/ft7N7fEBybBbj64vOmXx7XZG7cw=/filters:quality(70)/vidio-media-production/uploads/image/source/52754/b7f555.png</t>
  </si>
  <si>
    <t>https://drive.google.com/file/d/1ZdQRc0CyETp4ZxRZsNl-VzcBDo4XH-vu/view?usp=sharing</t>
  </si>
  <si>
    <t>22bc0855</t>
  </si>
  <si>
    <t>Newcastle vs Crystal Palace - Premier League</t>
  </si>
  <si>
    <t>https://www.vidio.com/live/18796-premier-league?schedule_id=4802194</t>
  </si>
  <si>
    <t>https://drive.google.com/drive/folders/1sdYzLzODNmTmL7ht2wbGCF8i_TMGTNbE</t>
  </si>
  <si>
    <t>https://drive.google.com/file/d/1jVeGF3PYNMKaluL4IkQtJJV9YCdigJX-/view?usp=sharing</t>
  </si>
  <si>
    <t>newcastle united fc; crystal palace fc; sports stream</t>
  </si>
  <si>
    <t>Nonton streaming pertandingan seru Newcastle vs Crystal Palace - Premier League. Saksikan aksi-aksi terbaik dari tim yang bersaing ketat untuk meraih kemenangan. Dapatkan informasi lengkap mengenai jadwal pertandingan dan hasil pertandingan terbaru hanya di Vidio.</t>
  </si>
  <si>
    <t>NEW: GUIMARAES &amp; WOLTEMADE
CRY: GUEHI &amp; MATETA</t>
  </si>
  <si>
    <t>https://drive.google.com/file/d/1tE7ipND1EOOKMZJZbbwWdi-ClbUSeFBY/view?usp=sharing</t>
  </si>
  <si>
    <t>https://drive.google.com/file/d/1li8hvH5XxQa_-APmExHDE6G8HQE_ASfH/view?usp=sharing</t>
  </si>
  <si>
    <t>e7c7a723</t>
  </si>
  <si>
    <t>Tottenham vs Sunderland - Premier League</t>
  </si>
  <si>
    <t>https://www.vidio.com/live/9183-champions-tv-6?schedule_id=4802196</t>
  </si>
  <si>
    <t>https://drive.google.com/drive/folders/1ga50YWQVy3xHyLhwt5UqBz6pnBPvEpop</t>
  </si>
  <si>
    <t>tottenham hotspur fc; sunderland afc; sports stream</t>
  </si>
  <si>
    <t>Nonton streaming pertandingan seru Tottenham vs Sunderland - Premier League. Saksikan aksi-aksi terbaik dari tim yang bersaing ketat untuk meraih kemenangan. Dapatkan informasi lengkap mengenai jadwal pertandingan dan hasil pertandingan terbaru hanya di Vidio.</t>
  </si>
  <si>
    <t>TOT: VICARIO (GK) &amp; RICHARLISON
SUN: ROEFS (GK) &amp; ADINGRA</t>
  </si>
  <si>
    <t>https://thumbor.prod.vidiocdn.com/9rDSkNQUY5RS8dK3yY2_Q4Faqjs=/filters:quality(70)/vidio-media-production/uploads/image/source/52751/55a9e5.png</t>
  </si>
  <si>
    <t>https://thumbor.prod.vidiocdn.com/Qc4vRWnCgPcZOXeKHKVHzZ98vEU=/filters:quality(70)/vidio-media-production/uploads/image/source/52752/09f61e.png</t>
  </si>
  <si>
    <t>https://drive.google.com/file/d/1Of5HS5HeY_N33PjqE3LCwxFc9w4-2Mym/view?usp=sharing</t>
  </si>
  <si>
    <t>eb5a1d19</t>
  </si>
  <si>
    <t>Wolves vs West Ham - Premier League</t>
  </si>
  <si>
    <t>https://www.vidio.com/live/9183-champions-tv-6?schedule_id=4802195</t>
  </si>
  <si>
    <t>https://drive.google.com/drive/folders/1vFdo7O_ET0vI3D4e80T8ngdSPdiHbvcP</t>
  </si>
  <si>
    <t>wolverhampton wanderers fc; west ham united fc; sports stream</t>
  </si>
  <si>
    <t>Nonton streaming pertandingan seru Wolves vs West Ham - Premier League. Saksikan aksi-aksi terbaik dari tim yang bersaing ketat untuk meraih kemenangan. Dapatkan informasi lengkap mengenai jadwal pertandingan dan hasil pertandingan terbaru hanya di Vidio.</t>
  </si>
  <si>
    <t>WOL: JHON ARIAS &amp; JOAO GOMES
WHU: BOWEN &amp; PAQUETA</t>
  </si>
  <si>
    <t>https://thumbor.prod.vidiocdn.com/qmMnK8ffnQxvLFx73rUjiKY_Gdw=/filters:quality(70)/vidio-media-production/uploads/image/source/52743/a27a5d.png</t>
  </si>
  <si>
    <t>https://thumbor.prod.vidiocdn.com/V6y4tTxANbqtCxP9O8BnnDw1Ut8=/filters:quality(70)/vidio-media-production/uploads/image/source/52744/cfd2c6.png</t>
  </si>
  <si>
    <t>https://drive.google.com/file/d/1LvYuQZkZij6YuDMxkYhh5-BjlIGoNSFZ/view?usp=sharing</t>
  </si>
  <si>
    <t>0c1ec66b</t>
  </si>
  <si>
    <t>Bournemouth vs Tottenham - Premier League</t>
  </si>
  <si>
    <t>https://www.vidio.com/live/19375-premier-league?schedule_id=4830774</t>
  </si>
  <si>
    <t>https://drive.google.com/drive/folders/1lAXTwbK0UqbeTZ7r9gURkiPSBikYcQLJ?usp=drive_link</t>
  </si>
  <si>
    <t>afc bournemouth; tottenham hotspur fc; sports stream</t>
  </si>
  <si>
    <t>Nonton streaming pertandingan seru Bournemouth vs Tottenham - Premier League. Saksikan aksi-aksi terbaik dari tim yang bersaing ketat untuk meraih kemenangan. Dapatkan informasi lengkap mengenai jadwal pertandingan dan hasil pertandingan terbaru hanya di Vidio.</t>
  </si>
  <si>
    <t>BOU: KLUIVERT &amp; SENESI
TOT: KUDUS &amp; PEDRO PORRO</t>
  </si>
  <si>
    <t>Matchday 21</t>
  </si>
  <si>
    <t>B1 , C1</t>
  </si>
  <si>
    <t>https://thumbor.prod.vidiocdn.com/ZE1Q16Ds5XsDdyjv6_Sozeof4d0=/filters:quality(70)/vidio-media-production/uploads/image/source/52833/f77e3c.png</t>
  </si>
  <si>
    <t>https://thumbor.prod.vidiocdn.com/3uHQiWmXM3SFYUcSlFmqy3uhd6A=/filters:quality(70)/vidio-media-production/uploads/image/source/52834/492cef.png</t>
  </si>
  <si>
    <t>https://drive.google.com/file/d/1Q71hQ1MDqWt_hJIXuWVH0uspe78-EjUm/view?usp=sharing</t>
  </si>
  <si>
    <t>b895b9cd</t>
  </si>
  <si>
    <t>Arsenal vs Liverpool - Premier League</t>
  </si>
  <si>
    <t>https://www.vidio.com/live/9182-champions-tv-5?schedule_id=4832228</t>
  </si>
  <si>
    <t>https://drive.google.com/drive/folders/1RSBXOqJul6as4GglFtyc4x8gmDKZFMWx?usp=drive_link</t>
  </si>
  <si>
    <t>arsenal fc; liverpool fc; sports stream</t>
  </si>
  <si>
    <t>Nonton streaming pertandingan seru Arsenal vs Liverpool - Premier League. Saksikan aksi-aksi terbaik dari tim yang bersaing ketat untuk meraih kemenangan. Dapatkan informasi lengkap mengenai jadwal pertandingan dan hasil pertandingan terbaru hanya di Vidio.</t>
  </si>
  <si>
    <t>ARS: SAKA &amp; RICE
LIV: WIRTZ &amp; GRAVENBERCH</t>
  </si>
  <si>
    <t>https://thumbor.prod.vidiocdn.com/idWhDb3dC1w_kKUmwF9qJtRRcAY=/filters:quality(70)/vidio-media-production/uploads/image/source/52849/cbafb6.png</t>
  </si>
  <si>
    <t>https://thumbor.prod.vidiocdn.com/vhmki8fZmlT4r1hbDACWSDEbPSs=/filters:quality(70)/vidio-media-production/uploads/image/source/52850/c51f8f.png</t>
  </si>
  <si>
    <t>https://drive.google.com/file/d/1nobsyibfFQKOQpBZ__1uh3gKakZhNaLZ/view?usp=sharing</t>
  </si>
  <si>
    <t>bf6c3557</t>
  </si>
  <si>
    <t>Brentford vs Sunderland - Premier League</t>
  </si>
  <si>
    <t>https://www.vidio.com/live/19536-premier-league?schedule_id=4830779</t>
  </si>
  <si>
    <t>https://drive.google.com/drive/folders/16m6lnP0Fz4vAS_bdy-4TohEcm9ovVAcw?usp=drive_link</t>
  </si>
  <si>
    <t>brentford fc; sunderland afc; sports stream</t>
  </si>
  <si>
    <t>Nonton streaming pertandingan seru Brentford vs Sunderland - Premier League. Saksikan aksi-aksi terbaik dari tim yang bersaing ketat untuk meraih kemenangan. Dapatkan informasi lengkap mengenai jadwal pertandingan dan hasil pertandingan terbaru hanya di Vidio.</t>
  </si>
  <si>
    <t>BRE: HENDERSON &amp; DAMSGAARD
SUN: XHAKA &amp; LE FEE</t>
  </si>
  <si>
    <t>B2 , C2</t>
  </si>
  <si>
    <t>https://thumbor.prod.vidiocdn.com/Kmd5cXlyQywPf7D6gJAZw40FqKA=/filters:quality(70)/vidio-media-production/uploads/image/source/52835/c087d4.png</t>
  </si>
  <si>
    <t>https://thumbor.prod.vidiocdn.com/jEC112qPM7-f15CXGStLLNieWcQ=/filters:quality(70)/vidio-media-production/uploads/image/source/52836/d9e75d.png</t>
  </si>
  <si>
    <t>https://drive.google.com/file/d/1ZIAnbSDfTjrRhFRHMbAWpIFEXrxZPgaX/view?usp=sharing</t>
  </si>
  <si>
    <t>0b18037f</t>
  </si>
  <si>
    <t>Burnley vs Man United - Premier League</t>
  </si>
  <si>
    <t>https://www.vidio.com/live/9183-champions-tv-6?schedule_id=4831823</t>
  </si>
  <si>
    <t>https://drive.google.com/drive/folders/1YbRN6VX-D4nKwQK4N29Na8DapMGtUnsZ?usp=drive_link</t>
  </si>
  <si>
    <t>burnley fc; manchester united fc; sports stream</t>
  </si>
  <si>
    <t>Nonton streaming pertandingan seru Burnley vs Man United - Premier League. Saksikan aksi-aksi terbaik dari tim yang bersaing ketat untuk meraih kemenangan. Dapatkan informasi lengkap mengenai jadwal pertandingan dan hasil pertandingan terbaru hanya di Vidio.</t>
  </si>
  <si>
    <t>BUR: FLORENTINO &amp; BRUNN LARSEN
MUN: CUNHA &amp; SESKO</t>
  </si>
  <si>
    <t>https://thumbor.prod.vidiocdn.com/7kyUENZ7CIRPpaFxueBPgOUVi8Y=/filters:quality(70)/vidio-media-production/uploads/image/source/52845/ce14c5.png</t>
  </si>
  <si>
    <t>https://thumbor.prod.vidiocdn.com/4aVUnTvF77eVZdxQoE67JLFI8qY=/filters:quality(70)/vidio-media-production/uploads/image/source/52846/9444c4.png</t>
  </si>
  <si>
    <t>https://drive.google.com/file/d/1I3nYBFMq6_G4rOTr9ovTc2BNuYqpM6Wg/view?usp=sharing</t>
  </si>
  <si>
    <t>0efbec1b</t>
  </si>
  <si>
    <t>Crystal Palace vs Aston Villa - Premier League</t>
  </si>
  <si>
    <t>https://www.vidio.com/live/18796-premier-league?schedule_id=4830782</t>
  </si>
  <si>
    <t>https://drive.google.com/drive/folders/15qLxMyC67YfCmJh8EfdoQg-u1gokZ0dx?usp=drive_link</t>
  </si>
  <si>
    <t>crystal palace fc; aston villa fc; sports stream</t>
  </si>
  <si>
    <t>Nonton streaming pertandingan seru Crystal Palace vs Aston Villa - Premier League. Saksikan aksi-aksi terbaik dari tim yang bersaing ketat untuk meraih kemenangan. Dapatkan informasi lengkap mengenai jadwal pertandingan dan hasil pertandingan terbaru hanya di Vidio.</t>
  </si>
  <si>
    <t>CRY: WHARTON &amp; MITCHELL
AVL: SANCHO &amp; TIELEMANS</t>
  </si>
  <si>
    <t>B3 , C3</t>
  </si>
  <si>
    <t>https://thumbor.prod.vidiocdn.com/r4gL4mhtiO76IxpQYW00D3Q8Ry0=/filters:quality(70)/vidio-media-production/uploads/image/source/52837/ed247f.png</t>
  </si>
  <si>
    <t>https://thumbor.prod.vidiocdn.com/1szFQCPLLa-9tBgtc5w4NKxJap4=/filters:quality(70)/vidio-media-production/uploads/image/source/52838/7db5f8.png</t>
  </si>
  <si>
    <t>https://drive.google.com/file/d/1r7jghrFmDDS6Uz2_X1r-52ckKkffp2ml/view?usp=sharing</t>
  </si>
  <si>
    <t>5bdd296f</t>
  </si>
  <si>
    <t>Everton vs Wolves - Premier League</t>
  </si>
  <si>
    <t>https://www.vidio.com/live/20242-premier-league?schedule_id=4832158</t>
  </si>
  <si>
    <t>https://drive.google.com/drive/folders/1WYevy_2Mwgh3iSSznit5zPGnrXD-kszU?usp=drive_link</t>
  </si>
  <si>
    <t>everton fc; wolverhampton wanderers fc; sports stream</t>
  </si>
  <si>
    <t>Nonton streaming pertandingan seru Everton vs Wolves - Premier League. Saksikan aksi-aksi terbaik dari tim yang bersaing ketat untuk meraih kemenangan. Dapatkan informasi lengkap mengenai jadwal pertandingan dan hasil pertandingan terbaru hanya di Vidio.</t>
  </si>
  <si>
    <t>EVE: PICKFORD (GK) &amp; GREALISH
WOL: JOSE SA (GK) &amp; ANDRE</t>
  </si>
  <si>
    <t>B4 , C4</t>
  </si>
  <si>
    <t>https://thumbor.prod.vidiocdn.com/_g5o0jUVspWaul7FHuL0Fv03RFs=/filters:quality(70)/vidio-media-production/uploads/image/source/52839/4bef07.png</t>
  </si>
  <si>
    <t>https://thumbor.prod.vidiocdn.com/ppIl0qJtKjFmw1z-HcunPIk__Us=/filters:quality(70)/vidio-media-production/uploads/image/source/52840/76a29c.png</t>
  </si>
  <si>
    <t>https://drive.google.com/file/d/1BzrUI0476ahwDCUFY_DJtkoTYdM74ZGI/view?usp=sharing</t>
  </si>
  <si>
    <t>fc16f49f</t>
  </si>
  <si>
    <t>Fulham vs Chelsea - Premier League</t>
  </si>
  <si>
    <t>https://www.vidio.com/live/18797-premier-league?schedule_id=4831837</t>
  </si>
  <si>
    <t>SCTV</t>
  </si>
  <si>
    <t>https://drive.google.com/drive/folders/1TMTKwhZh_skoFiJDE06sMS45970zWlM_?usp=drive_link</t>
  </si>
  <si>
    <t>fulham fc; chelsea fc; sports stream</t>
  </si>
  <si>
    <t>Nonton streaming pertandingan seru Fulham vs Chelsea - Premier League. Saksikan aksi-aksi terbaik dari tim yang bersaing ketat untuk meraih kemenangan. Dapatkan informasi lengkap mengenai jadwal pertandingan dan hasil pertandingan terbaru hanya di Vidio.</t>
  </si>
  <si>
    <t>FUL: TETE &amp; SANDER BERGE
CHE: JAMES &amp; ENZO FERNANDEZ</t>
  </si>
  <si>
    <t>https://thumbor.prod.vidiocdn.com/_p19equFx5IAJEYL1p9UculCBHE=/filters:quality(70)/vidio-media-production/uploads/image/source/52841/4203aa.png</t>
  </si>
  <si>
    <t>https://thumbor.prod.vidiocdn.com/yO08JIQBlrqA6B9-CGXWFPoVilg=/filters:quality(70)/vidio-media-production/uploads/image/source/52842/e006b2.png</t>
  </si>
  <si>
    <t>https://drive.google.com/file/d/1zU8QsDpNWll4vWt4z-NOv9h0N46Ze33d/view?usp=sharing</t>
  </si>
  <si>
    <t>75858248</t>
  </si>
  <si>
    <t>Man City vs Brighton - Premier League</t>
  </si>
  <si>
    <t>https://www.vidio.com/live/9182-champions-tv-5?schedule_id=4831827</t>
  </si>
  <si>
    <t>https://drive.google.com/drive/folders/1-ngCkmebiikLCT-rZrRHFYIEMyyV3A3Y?usp=drive_link</t>
  </si>
  <si>
    <t>manchester city fc; brighton &amp; hove albion fc; sports stream</t>
  </si>
  <si>
    <t>Nonton streaming pertandingan seru Man City vs Brighton - Premier League. Saksikan aksi-aksi terbaik dari tim yang bersaing ketat untuk meraih kemenangan. Dapatkan informasi lengkap mengenai jadwal pertandingan dan hasil pertandingan terbaru hanya di Vidio.</t>
  </si>
  <si>
    <t>MCI: HAALAND &amp; DIAS
BHA: WELBECK &amp; VAN HECKE</t>
  </si>
  <si>
    <t>https://thumbor.prod.vidiocdn.com/l4dOwBmUbEimkSriwx_PJu9uQz8=/filters:quality(70)/vidio-media-production/uploads/image/source/52843/8d5a96.png</t>
  </si>
  <si>
    <t>https://thumbor.prod.vidiocdn.com/eNquQI02mq6S17jegcPeHwRjNJk=/filters:quality(70)/vidio-media-production/uploads/image/source/52844/0522f0.png</t>
  </si>
  <si>
    <t>https://drive.google.com/file/d/195iaSwQkFDeot63s8cVk4-If0zvAiyHN/view?usp=sharing</t>
  </si>
  <si>
    <t>872d391e</t>
  </si>
  <si>
    <t>Newcastle vs Leeds United - Premier League</t>
  </si>
  <si>
    <t>https://www.vidio.com/live/20231-premier-league?schedule_id=4830786</t>
  </si>
  <si>
    <t>https://drive.google.com/drive/folders/1zZVNWBgKAZUtQyzTLYKmxGqR6Wp-_0Jo?usp=drive_link</t>
  </si>
  <si>
    <t>newcastle united fc; leeds united fc; sports stream</t>
  </si>
  <si>
    <t>Nonton streaming pertandingan seru Newcastle vs Leeds United - Premier League. Saksikan aksi-aksi terbaik dari tim yang bersaing ketat untuk meraih kemenangan. Dapatkan informasi lengkap mengenai jadwal pertandingan dan hasil pertandingan terbaru hanya di Vidio.</t>
  </si>
  <si>
    <t>NEW: WOLTEMADE &amp; TONALI
LEE: CALVERT LEWIN &amp; STRUIJK</t>
  </si>
  <si>
    <t>D4 , E4</t>
  </si>
  <si>
    <t>https://thumbor.prod.vidiocdn.com/hkpABGhhkVJTbhp8Fc4Tg2f6EpU=/filters:quality(70)/vidio-media-production/uploads/image/source/52847/b9b6ad.png</t>
  </si>
  <si>
    <t>https://thumbor.prod.vidiocdn.com/2z3kmlm7uYIFYTqSu6mCbTgTcoA=/filters:quality(70)/vidio-media-production/uploads/image/source/52848/fd9212.png</t>
  </si>
  <si>
    <t>https://drive.google.com/file/d/1r0r_eVLL_N2CTt92R3twVIut2tNBxigF/view?usp=sharing</t>
  </si>
  <si>
    <t>b7aeab01</t>
  </si>
  <si>
    <t>West Ham vs Nottingham Forest - Premier League</t>
  </si>
  <si>
    <t>https://www.vidio.com/live/9182-champions-tv-5?schedule_id=4831842</t>
  </si>
  <si>
    <t>https://drive.google.com/drive/folders/1lj82bji9_n1b0xEscOlXHruLrVh7jNb8?usp=drive_link</t>
  </si>
  <si>
    <t>west ham united fc; nottingham forest fc; sports stream</t>
  </si>
  <si>
    <t>Nonton streaming pertandingan seru West Ham vs Nottingham Forest - Premier League. Saksikan aksi-aksi terbaik dari tim yang bersaing ketat untuk meraih kemenangan. Dapatkan informasi lengkap mengenai jadwal pertandingan dan hasil pertandingan terbaru hanya di Vidio.</t>
  </si>
  <si>
    <t>WHU: AREOLA (GK) &amp; KILMAN
NFO: SELS (GK) &amp; DOUGLAS LUIZ</t>
  </si>
  <si>
    <t>https://thumbor.prod.vidiocdn.com/CEw4iDkLqrqjKIfkPU1PCz0nK2A=/filters:quality(70)/vidio-media-production/uploads/image/source/52755/259d26.png</t>
  </si>
  <si>
    <t>https://thumbor.prod.vidiocdn.com/xmnq6Xaotfl0T0jFlXzE_PTxnFM=/filters:quality(70)/vidio-media-production/uploads/image/source/52756/03d96a.png</t>
  </si>
  <si>
    <t>https://drive.google.com/file/d/1NlCquGe2fDGRZRYdOWz3mYqf5Kvf6beS/view?usp=sharing</t>
  </si>
  <si>
    <t>30e0fbe8</t>
  </si>
  <si>
    <t>Aston Villa vs Everton - Premier League</t>
  </si>
  <si>
    <t>aston villa fc; everton fc; sports stream</t>
  </si>
  <si>
    <t>Nonton streaming pertandingan seru Aston Villa vs Everton - Premier League. Saksikan aksi-aksi terbaik dari tim yang bersaing ketat untuk meraih kemenangan. Dapatkan informasi lengkap mengenai jadwal pertandingan dan hasil pertandingan terbaru hanya di Vidio.</t>
  </si>
  <si>
    <t>Matchday 22</t>
  </si>
  <si>
    <t>b2fda3dc</t>
  </si>
  <si>
    <t>Brighton vs Bournemouth - Premier League</t>
  </si>
  <si>
    <t>brighton &amp; hove albion fc; afc bournemouth; sports stream</t>
  </si>
  <si>
    <t>Nonton streaming pertandingan seru Brighton vs Bournemouth - Premier League. Saksikan aksi-aksi terbaik dari tim yang bersaing ketat untuk meraih kemenangan. Dapatkan informasi lengkap mengenai jadwal pertandingan dan hasil pertandingan terbaru hanya di Vidio.</t>
  </si>
  <si>
    <t>b92f657e</t>
  </si>
  <si>
    <t>Chelsea vs Brentford - Premier League</t>
  </si>
  <si>
    <t>chelsea fc; brentford fc; sports stream</t>
  </si>
  <si>
    <t>Nonton streaming pertandingan seru Chelsea vs Brentford - Premier League. Saksikan aksi-aksi terbaik dari tim yang bersaing ketat untuk meraih kemenangan. Dapatkan informasi lengkap mengenai jadwal pertandingan dan hasil pertandingan terbaru hanya di Vidio.</t>
  </si>
  <si>
    <t>NTC + TVC Gabungan</t>
  </si>
  <si>
    <t>c1863939</t>
  </si>
  <si>
    <t>Leeds United vs Fulham - Premier League</t>
  </si>
  <si>
    <t>leeds united fc; fulham fc; sports stream</t>
  </si>
  <si>
    <t>Nonton streaming pertandingan seru Leeds United vs Fulham - Premier League. Saksikan aksi-aksi terbaik dari tim yang bersaing ketat untuk meraih kemenangan. Dapatkan informasi lengkap mengenai jadwal pertandingan dan hasil pertandingan terbaru hanya di Vidio.</t>
  </si>
  <si>
    <t>fd0a93c9</t>
  </si>
  <si>
    <t>Liverpool vs Burnley - Premier League</t>
  </si>
  <si>
    <t>liverpool fc; burnley fc; sports stream</t>
  </si>
  <si>
    <t>Nonton streaming pertandingan seru Liverpool vs Burnley - Premier League. Saksikan aksi-aksi terbaik dari tim yang bersaing ketat untuk meraih kemenangan. Dapatkan informasi lengkap mengenai jadwal pertandingan dan hasil pertandingan terbaru hanya di Vidio.</t>
  </si>
  <si>
    <t>frengky.wijaya@vidio.com</t>
  </si>
  <si>
    <t>8f8bd1c8</t>
  </si>
  <si>
    <t>Man United vs Man City - Premier League</t>
  </si>
  <si>
    <t>manchester united fc; manchester city fc; sports stream</t>
  </si>
  <si>
    <t>Nonton streaming pertandingan seru Man United vs Man City - Premier League. Saksikan aksi-aksi terbaik dari tim yang bersaing ketat untuk meraih kemenangan. Dapatkan informasi lengkap mengenai jadwal pertandingan dan hasil pertandingan terbaru hanya di Vidio.</t>
  </si>
  <si>
    <t>NTC + TVC + Socmed Boost</t>
  </si>
  <si>
    <t>4098b746</t>
  </si>
  <si>
    <t>Nottingham Forest vs Arsenal - Premier League</t>
  </si>
  <si>
    <t>nottingham forest fc; arsenal fc; sports stream</t>
  </si>
  <si>
    <t>Nonton streaming pertandingan seru Nottingham Forest vs Arsenal - Premier League. Saksikan aksi-aksi terbaik dari tim yang bersaing ketat untuk meraih kemenangan. Dapatkan informasi lengkap mengenai jadwal pertandingan dan hasil pertandingan terbaru hanya di Vidio.</t>
  </si>
  <si>
    <t>93db3eb6</t>
  </si>
  <si>
    <t>Sunderland vs Crystal Palace - Premier League</t>
  </si>
  <si>
    <t>sunderland afc; crystal palace fc; sports stream</t>
  </si>
  <si>
    <t>Nonton streaming pertandingan seru Sunderland vs Crystal Palace - Premier League. Saksikan aksi-aksi terbaik dari tim yang bersaing ketat untuk meraih kemenangan. Dapatkan informasi lengkap mengenai jadwal pertandingan dan hasil pertandingan terbaru hanya di Vidio.</t>
  </si>
  <si>
    <t>c525f842</t>
  </si>
  <si>
    <t>Tottenham vs West Ham - Premier League</t>
  </si>
  <si>
    <t>tottenham hotspur fc; west ham united fc; sports stream</t>
  </si>
  <si>
    <t>Nonton streaming pertandingan seru Tottenham vs West Ham - Premier League. Saksikan aksi-aksi terbaik dari tim yang bersaing ketat untuk meraih kemenangan. Dapatkan informasi lengkap mengenai jadwal pertandingan dan hasil pertandingan terbaru hanya di Vidio.</t>
  </si>
  <si>
    <t>122e8c63</t>
  </si>
  <si>
    <t>Wolves vs Newcastle - Premier League</t>
  </si>
  <si>
    <t>wolverhampton wanderers fc; newcastle united fc; sports stream</t>
  </si>
  <si>
    <t>Nonton streaming pertandingan seru Wolves vs Newcastle - Premier League. Saksikan aksi-aksi terbaik dari tim yang bersaing ketat untuk meraih kemenangan. Dapatkan informasi lengkap mengenai jadwal pertandingan dan hasil pertandingan terbaru hanya di Vidio.</t>
  </si>
  <si>
    <t>a2a87fd7</t>
  </si>
  <si>
    <t>Bournemouth vs Liverpool - Premier League</t>
  </si>
  <si>
    <t>afc bournemouth; liverpool fc; sports stream</t>
  </si>
  <si>
    <t>Nonton streaming pertandingan seru Bournemouth vs Liverpool - Premier League. Saksikan aksi-aksi terbaik dari tim yang bersaing ketat untuk meraih kemenangan. Dapatkan informasi lengkap mengenai jadwal pertandingan dan hasil pertandingan terbaru hanya di Vidio.</t>
  </si>
  <si>
    <t>Matchday 23</t>
  </si>
  <si>
    <t>db1c4640</t>
  </si>
  <si>
    <t>Arsenal vs Man United - Premier League</t>
  </si>
  <si>
    <t>arsenal fc; manchester united fc; sports stream</t>
  </si>
  <si>
    <t>Nonton streaming pertandingan seru Arsenal vs Man United - Premier League. Saksikan aksi-aksi terbaik dari tim yang bersaing ketat untuk meraih kemenangan. Dapatkan informasi lengkap mengenai jadwal pertandingan dan hasil pertandingan terbaru hanya di Vidio.</t>
  </si>
  <si>
    <t>b6d93618</t>
  </si>
  <si>
    <t>Brentford vs Nottingham Forest - Premier League</t>
  </si>
  <si>
    <t>brentford fc; nottingham forest fc; sports stream</t>
  </si>
  <si>
    <t>Nonton streaming pertandingan seru Brentford vs Nottingham Forest - Premier League. Saksikan aksi-aksi terbaik dari tim yang bersaing ketat untuk meraih kemenangan. Dapatkan informasi lengkap mengenai jadwal pertandingan dan hasil pertandingan terbaru hanya di Vidio.</t>
  </si>
  <si>
    <t>d08c5804</t>
  </si>
  <si>
    <t>Burnley vs Tottenham - Premier League</t>
  </si>
  <si>
    <t>burnley fc; tottenham hotspur fc; sports stream</t>
  </si>
  <si>
    <t>Nonton streaming pertandingan seru Burnley vs Tottenham - Premier League. Saksikan aksi-aksi terbaik dari tim yang bersaing ketat untuk meraih kemenangan. Dapatkan informasi lengkap mengenai jadwal pertandingan dan hasil pertandingan terbaru hanya di Vidio.</t>
  </si>
  <si>
    <t>59e041bf</t>
  </si>
  <si>
    <t>Crystal Palace vs Chelsea - Premier League</t>
  </si>
  <si>
    <t>crystal palace fc; chelsea fc; sports stream</t>
  </si>
  <si>
    <t>Nonton streaming pertandingan seru Crystal Palace vs Chelsea - Premier League. Saksikan aksi-aksi terbaik dari tim yang bersaing ketat untuk meraih kemenangan. Dapatkan informasi lengkap mengenai jadwal pertandingan dan hasil pertandingan terbaru hanya di Vidio.</t>
  </si>
  <si>
    <t>d7039375</t>
  </si>
  <si>
    <t>Everton vs Leeds United - Premier League</t>
  </si>
  <si>
    <t>everton fc; leeds united fc; sports stream</t>
  </si>
  <si>
    <t>Nonton streaming pertandingan seru Everton vs Leeds United - Premier League. Saksikan aksi-aksi terbaik dari tim yang bersaing ketat untuk meraih kemenangan. Dapatkan informasi lengkap mengenai jadwal pertandingan dan hasil pertandingan terbaru hanya di Vidio.</t>
  </si>
  <si>
    <t>https://thumbor.prod.vidiocdn.com/8zcLlS1goAAKXSqojFeCbQdOEms=/filters:quality(70)/vidio-media-production/uploads/image/source/53133/4b18f1.png</t>
  </si>
  <si>
    <t>https://thumbor.prod.vidiocdn.com/gyJ9_wLIV7P2EIknJa4y3L_UnZo=/filters:quality(70)/vidio-media-production/uploads/image/source/53134/7b39a3.png</t>
  </si>
  <si>
    <t>aa94d384</t>
  </si>
  <si>
    <t>Fulham vs Brighton - Premier League</t>
  </si>
  <si>
    <t>fulham fc; brighton &amp; hove albion fc; sports stream</t>
  </si>
  <si>
    <t>Nonton streaming pertandingan seru Fulham vs Brighton - Premier League. Saksikan aksi-aksi terbaik dari tim yang bersaing ketat untuk meraih kemenangan. Dapatkan informasi lengkap mengenai jadwal pertandingan dan hasil pertandingan terbaru hanya di Vidio.</t>
  </si>
  <si>
    <t>2bb1f160</t>
  </si>
  <si>
    <t>Man City vs Wolves - Premier League</t>
  </si>
  <si>
    <t>manchester city fc; wolverhampton wanderers fc; sports stream</t>
  </si>
  <si>
    <t>Nonton streaming pertandingan seru Man City vs Wolves - Premier League. Saksikan aksi-aksi terbaik dari tim yang bersaing ketat untuk meraih kemenangan. Dapatkan informasi lengkap mengenai jadwal pertandingan dan hasil pertandingan terbaru hanya di Vidio.</t>
  </si>
  <si>
    <t>f05f13a6</t>
  </si>
  <si>
    <t>Newcastle vs Aston Villa - Premier League</t>
  </si>
  <si>
    <t>newcastle united fc; aston villa fc; sports stream</t>
  </si>
  <si>
    <t>Nonton streaming pertandingan seru Newcastle vs Aston Villa - Premier League. Saksikan aksi-aksi terbaik dari tim yang bersaing ketat untuk meraih kemenangan. Dapatkan informasi lengkap mengenai jadwal pertandingan dan hasil pertandingan terbaru hanya di Vidio.</t>
  </si>
  <si>
    <t>cdd74c0e</t>
  </si>
  <si>
    <t>West Ham vs Sunderland - Premier League</t>
  </si>
  <si>
    <t>west ham united fc; sunderland afc; sports stream</t>
  </si>
  <si>
    <t>Nonton streaming pertandingan seru West Ham vs Sunderland - Premier League. Saksikan aksi-aksi terbaik dari tim yang bersaing ketat untuk meraih kemenangan. Dapatkan informasi lengkap mengenai jadwal pertandingan dan hasil pertandingan terbaru hanya di Vidio.</t>
  </si>
  <si>
    <t>34c3a859</t>
  </si>
  <si>
    <t>Aston Villa vs Brentford - Premier League</t>
  </si>
  <si>
    <t>aston villa fc; brentford fc; sports stream</t>
  </si>
  <si>
    <t>Nonton streaming pertandingan seru Aston Villa vs Brentford - Premier League. Saksikan aksi-aksi terbaik dari tim yang bersaing ketat untuk meraih kemenangan. Dapatkan informasi lengkap mengenai jadwal pertandingan dan hasil pertandingan terbaru hanya di Vidio.</t>
  </si>
  <si>
    <t>Matchday 24</t>
  </si>
  <si>
    <t>27b4e5f7</t>
  </si>
  <si>
    <t>Brighton vs Everton - Premier League</t>
  </si>
  <si>
    <t>brighton &amp; hove albion fc; everton fc; sports stream</t>
  </si>
  <si>
    <t>Nonton streaming pertandingan seru Brighton vs Everton - Premier League. Saksikan aksi-aksi terbaik dari tim yang bersaing ketat untuk meraih kemenangan. Dapatkan informasi lengkap mengenai jadwal pertandingan dan hasil pertandingan terbaru hanya di Vidio.</t>
  </si>
  <si>
    <t>ae892274</t>
  </si>
  <si>
    <t>Chelsea vs West Ham - Premier League</t>
  </si>
  <si>
    <t>chelsea fc; west ham united fc; sports stream</t>
  </si>
  <si>
    <t>Nonton streaming pertandingan seru Chelsea vs West Ham - Premier League. Saksikan aksi-aksi terbaik dari tim yang bersaing ketat untuk meraih kemenangan. Dapatkan informasi lengkap mengenai jadwal pertandingan dan hasil pertandingan terbaru hanya di Vidio.</t>
  </si>
  <si>
    <t>920eefad</t>
  </si>
  <si>
    <t>Leeds United vs Arsenal - Premier League</t>
  </si>
  <si>
    <t>leeds united fc; arsenal fc; sports stream</t>
  </si>
  <si>
    <t>Nonton streaming pertandingan seru Leeds United vs Arsenal - Premier League. Saksikan aksi-aksi terbaik dari tim yang bersaing ketat untuk meraih kemenangan. Dapatkan informasi lengkap mengenai jadwal pertandingan dan hasil pertandingan terbaru hanya di Vidio.</t>
  </si>
  <si>
    <t>528e6cab</t>
  </si>
  <si>
    <t>Liverpool vs Newcastle - Premier League</t>
  </si>
  <si>
    <t>liverpool fc; newcastle united fc; sports stream</t>
  </si>
  <si>
    <t>Nonton streaming pertandingan seru Liverpool vs Newcastle - Premier League. Saksikan aksi-aksi terbaik dari tim yang bersaing ketat untuk meraih kemenangan. Dapatkan informasi lengkap mengenai jadwal pertandingan dan hasil pertandingan terbaru hanya di Vidio.</t>
  </si>
  <si>
    <t>4f7b12ea</t>
  </si>
  <si>
    <t>Man United vs Fulham - Premier League</t>
  </si>
  <si>
    <t>manchester united fc; fulham fc; sports stream</t>
  </si>
  <si>
    <t>Nonton streaming pertandingan seru Man United vs Fulham - Premier League. Saksikan aksi-aksi terbaik dari tim yang bersaing ketat untuk meraih kemenangan. Dapatkan informasi lengkap mengenai jadwal pertandingan dan hasil pertandingan terbaru hanya di Vidio.</t>
  </si>
  <si>
    <t>53fe729d</t>
  </si>
  <si>
    <t>Nottingham Forest vs Crystal Palace - Premier League</t>
  </si>
  <si>
    <t>nottingham forest fc; crystal palace fc; sports stream</t>
  </si>
  <si>
    <t>Nonton streaming pertandingan seru Nottingham Forest vs Crystal Palace - Premier League. Saksikan aksi-aksi terbaik dari tim yang bersaing ketat untuk meraih kemenangan. Dapatkan informasi lengkap mengenai jadwal pertandingan dan hasil pertandingan terbaru hanya di Vidio.</t>
  </si>
  <si>
    <t>93ee73ef</t>
  </si>
  <si>
    <t>Sunderland vs Burnley - Premier League</t>
  </si>
  <si>
    <t>sunderland afc; burnley fc; sports stream</t>
  </si>
  <si>
    <t>Nonton streaming pertandingan seru Sunderland vs Burnley - Premier League. Saksikan aksi-aksi terbaik dari tim yang bersaing ketat untuk meraih kemenangan. Dapatkan informasi lengkap mengenai jadwal pertandingan dan hasil pertandingan terbaru hanya di Vidio.</t>
  </si>
  <si>
    <t>ef821185</t>
  </si>
  <si>
    <t>Tottenham vs Man City - Premier League</t>
  </si>
  <si>
    <t>tottenham hotspur fc; manchester city fc; sports stream</t>
  </si>
  <si>
    <t>Nonton streaming pertandingan seru Tottenham vs Man City - Premier League. Saksikan aksi-aksi terbaik dari tim yang bersaing ketat untuk meraih kemenangan. Dapatkan informasi lengkap mengenai jadwal pertandingan dan hasil pertandingan terbaru hanya di Vidio.</t>
  </si>
  <si>
    <t>TVC + NTC</t>
  </si>
  <si>
    <t>0de4d70e</t>
  </si>
  <si>
    <t>Wolves vs Bournemouth - Premier League</t>
  </si>
  <si>
    <t>wolverhampton wanderers fc; afc bournemouth; sports stream</t>
  </si>
  <si>
    <t>Nonton streaming pertandingan seru Wolves vs Bournemouth - Premier League. Saksikan aksi-aksi terbaik dari tim yang bersaing ketat untuk meraih kemenangan. Dapatkan informasi lengkap mengenai jadwal pertandingan dan hasil pertandingan terbaru hanya di Vidio.</t>
  </si>
  <si>
    <t>84f33c29</t>
  </si>
  <si>
    <t>Bournemouth vs Aston Villa - Premier League</t>
  </si>
  <si>
    <t>afc bournemouth; aston villa fc; sports stream</t>
  </si>
  <si>
    <t>Nonton streaming pertandingan seru Bournemouth vs Aston Villa - Premier League. Saksikan aksi-aksi terbaik dari tim yang bersaing ketat untuk meraih kemenangan. Dapatkan informasi lengkap mengenai jadwal pertandingan dan hasil pertandingan terbaru hanya di Vidio.</t>
  </si>
  <si>
    <t>Matchday 25</t>
  </si>
  <si>
    <t>9415edfd</t>
  </si>
  <si>
    <t>Arsenal vs Sunderland - Premier League</t>
  </si>
  <si>
    <t>arsenal fc; sunderland afc; sports stream</t>
  </si>
  <si>
    <t>Nonton streaming pertandingan seru Arsenal vs Sunderland - Premier League. Saksikan aksi-aksi terbaik dari tim yang bersaing ketat untuk meraih kemenangan. Dapatkan informasi lengkap mengenai jadwal pertandingan dan hasil pertandingan terbaru hanya di Vidio.</t>
  </si>
  <si>
    <t>fab66b38</t>
  </si>
  <si>
    <t>Brighton vs Crystal Palace - Premier League</t>
  </si>
  <si>
    <t>brighton &amp; hove albion fc; crystal palace fc; sports stream</t>
  </si>
  <si>
    <t>Nonton streaming pertandingan seru Brighton vs Crystal Palace - Premier League. Saksikan aksi-aksi terbaik dari tim yang bersaing ketat untuk meraih kemenangan. Dapatkan informasi lengkap mengenai jadwal pertandingan dan hasil pertandingan terbaru hanya di Vidio.</t>
  </si>
  <si>
    <t>8f943552</t>
  </si>
  <si>
    <t>Burnley vs West Ham - Premier League</t>
  </si>
  <si>
    <t>burnley fc; west ham united fc; sports stream</t>
  </si>
  <si>
    <t>Nonton streaming pertandingan seru Burnley vs West Ham - Premier League. Saksikan aksi-aksi terbaik dari tim yang bersaing ketat untuk meraih kemenangan. Dapatkan informasi lengkap mengenai jadwal pertandingan dan hasil pertandingan terbaru hanya di Vidio.</t>
  </si>
  <si>
    <t>b868b9c8</t>
  </si>
  <si>
    <t>Fulham vs Everton - Premier League</t>
  </si>
  <si>
    <t>fulham fc; everton fc; sports stream</t>
  </si>
  <si>
    <t>Nonton streaming pertandingan seru Fulham vs Everton - Premier League. Saksikan aksi-aksi terbaik dari tim yang bersaing ketat untuk meraih kemenangan. Dapatkan informasi lengkap mengenai jadwal pertandingan dan hasil pertandingan terbaru hanya di Vidio.</t>
  </si>
  <si>
    <t>6d9c24e6</t>
  </si>
  <si>
    <t>Leeds United vs Nott'm Forest - Premier League</t>
  </si>
  <si>
    <t>leeds united fc; nottingham forest fc; sports stream</t>
  </si>
  <si>
    <t>Nonton streaming pertandingan seru Leeds United vs Nott'm Forest - Premier League. Saksikan aksi-aksi terbaik dari tim yang bersaing ketat untuk meraih kemenangan. Dapatkan informasi lengkap mengenai jadwal pertandingan dan hasil pertandingan terbaru hanya di Vidio.</t>
  </si>
  <si>
    <t>4e82db1a</t>
  </si>
  <si>
    <t>Liverpool vs Man City - Premier League</t>
  </si>
  <si>
    <t>liverpool fc; manchester city fc; sports stream</t>
  </si>
  <si>
    <t>Nonton streaming pertandingan seru Liverpool vs Man City - Premier League. Saksikan aksi-aksi terbaik dari tim yang bersaing ketat untuk meraih kemenangan. Dapatkan informasi lengkap mengenai jadwal pertandingan dan hasil pertandingan terbaru hanya di Vidio.</t>
  </si>
  <si>
    <t>8b1e7507</t>
  </si>
  <si>
    <t>Man United vs Tottenham - Premier League</t>
  </si>
  <si>
    <t>manchester united fc; tottenham hotspur fc; sports stream</t>
  </si>
  <si>
    <t>Nonton streaming pertandingan seru Man United vs Tottenham - Premier League. Saksikan aksi-aksi terbaik dari tim yang bersaing ketat untuk meraih kemenangan. Dapatkan informasi lengkap mengenai jadwal pertandingan dan hasil pertandingan terbaru hanya di Vidio.</t>
  </si>
  <si>
    <t>c83747a3</t>
  </si>
  <si>
    <t>Newcastle vs Brentford - Premier League</t>
  </si>
  <si>
    <t>newcastle united fc; brentford fc; sports stream</t>
  </si>
  <si>
    <t>Nonton streaming pertandingan seru Newcastle vs Brentford - Premier League. Saksikan aksi-aksi terbaik dari tim yang bersaing ketat untuk meraih kemenangan. Dapatkan informasi lengkap mengenai jadwal pertandingan dan hasil pertandingan terbaru hanya di Vidio.</t>
  </si>
  <si>
    <t>3fd4df97</t>
  </si>
  <si>
    <t>Wolves vs Chelsea - Premier League</t>
  </si>
  <si>
    <t>wolverhampton wanderers fc; chelsea fc; sports stream</t>
  </si>
  <si>
    <t>Nonton streaming pertandingan seru Wolves vs Chelsea - Premier League. Saksikan aksi-aksi terbaik dari tim yang bersaing ketat untuk meraih kemenangan. Dapatkan informasi lengkap mengenai jadwal pertandingan dan hasil pertandingan terbaru hanya di Vidio.</t>
  </si>
  <si>
    <t>166a020a</t>
  </si>
  <si>
    <t>Aston Villa vs Brighton - Premier League</t>
  </si>
  <si>
    <t>aston villa fc; brighton &amp; hove albion fc; sports stream</t>
  </si>
  <si>
    <t>Nonton streaming pertandingan seru Aston Villa vs Brighton - Premier League. Saksikan aksi-aksi terbaik dari tim yang bersaing ketat untuk meraih kemenangan. Dapatkan informasi lengkap mengenai jadwal pertandingan dan hasil pertandingan terbaru hanya di Vidio.</t>
  </si>
  <si>
    <t>Matchday 26</t>
  </si>
  <si>
    <t>428ee568</t>
  </si>
  <si>
    <t>Brentford vs Arsenal - Premier League</t>
  </si>
  <si>
    <t>brentford fc; arsenal fc; sports stream</t>
  </si>
  <si>
    <t>Nonton streaming pertandingan seru Brentford vs Arsenal - Premier League. Saksikan aksi-aksi terbaik dari tim yang bersaing ketat untuk meraih kemenangan. Dapatkan informasi lengkap mengenai jadwal pertandingan dan hasil pertandingan terbaru hanya di Vidio.</t>
  </si>
  <si>
    <t>d31f9139</t>
  </si>
  <si>
    <t>Chelsea vs Leeds United - Premier League</t>
  </si>
  <si>
    <t>chelsea fc; leeds united fc; sports stream</t>
  </si>
  <si>
    <t>Nonton streaming pertandingan seru Chelsea vs Leeds United - Premier League. Saksikan aksi-aksi terbaik dari tim yang bersaing ketat untuk meraih kemenangan. Dapatkan informasi lengkap mengenai jadwal pertandingan dan hasil pertandingan terbaru hanya di Vidio.</t>
  </si>
  <si>
    <t>5905aed0</t>
  </si>
  <si>
    <t>Crystal Palace vs Burnley - Premier League</t>
  </si>
  <si>
    <t>crystal palace fc; burnley fc; sports stream</t>
  </si>
  <si>
    <t>Nonton streaming pertandingan seru Crystal Palace vs Burnley - Premier League. Saksikan aksi-aksi terbaik dari tim yang bersaing ketat untuk meraih kemenangan. Dapatkan informasi lengkap mengenai jadwal pertandingan dan hasil pertandingan terbaru hanya di Vidio.</t>
  </si>
  <si>
    <t>904f9368</t>
  </si>
  <si>
    <t>Everton vs Bournemouth - Premier League</t>
  </si>
  <si>
    <t>everton fc; afc bournemouth; sports stream</t>
  </si>
  <si>
    <t>Nonton streaming pertandingan seru Everton vs Bournemouth - Premier League. Saksikan aksi-aksi terbaik dari tim yang bersaing ketat untuk meraih kemenangan. Dapatkan informasi lengkap mengenai jadwal pertandingan dan hasil pertandingan terbaru hanya di Vidio.</t>
  </si>
  <si>
    <t>74bb2a46</t>
  </si>
  <si>
    <t>Man City vs Fulham - Premier League</t>
  </si>
  <si>
    <t>manchester city fc; fulham fc; sports stream</t>
  </si>
  <si>
    <t>Nonton streaming pertandingan seru Man City vs Fulham - Premier League. Saksikan aksi-aksi terbaik dari tim yang bersaing ketat untuk meraih kemenangan. Dapatkan informasi lengkap mengenai jadwal pertandingan dan hasil pertandingan terbaru hanya di Vidio.</t>
  </si>
  <si>
    <t>f2298394</t>
  </si>
  <si>
    <t>Nott'm Forest vs Wolves - Premier League</t>
  </si>
  <si>
    <t>nottingham forest fc; wolverhampton wanderers fc; sports stream</t>
  </si>
  <si>
    <t>Nonton streaming pertandingan seru Nott'm Forest vs Wolves - Premier League. Saksikan aksi-aksi terbaik dari tim yang bersaing ketat untuk meraih kemenangan. Dapatkan informasi lengkap mengenai jadwal pertandingan dan hasil pertandingan terbaru hanya di Vidio.</t>
  </si>
  <si>
    <t>efa4a4b1</t>
  </si>
  <si>
    <t>Sunderland vs Liverpool - Premier League</t>
  </si>
  <si>
    <t>sunderland afc; liverpool fc; sports stream</t>
  </si>
  <si>
    <t>Nonton streaming pertandingan seru Sunderland vs Liverpool - Premier League. Saksikan aksi-aksi terbaik dari tim yang bersaing ketat untuk meraih kemenangan. Dapatkan informasi lengkap mengenai jadwal pertandingan dan hasil pertandingan terbaru hanya di Vidio.</t>
  </si>
  <si>
    <t>3bd70501</t>
  </si>
  <si>
    <t>Tottenham vs Newcastle - Premier League</t>
  </si>
  <si>
    <t>tottenham hotspur fc; newcastle united fc; sports stream</t>
  </si>
  <si>
    <t>Nonton streaming pertandingan seru Tottenham vs Newcastle - Premier League. Saksikan aksi-aksi terbaik dari tim yang bersaing ketat untuk meraih kemenangan. Dapatkan informasi lengkap mengenai jadwal pertandingan dan hasil pertandingan terbaru hanya di Vidio.</t>
  </si>
  <si>
    <t>186c5189</t>
  </si>
  <si>
    <t>West Ham vs Man United - Premier League</t>
  </si>
  <si>
    <t>west ham united fc; manchester united fc; sports stream</t>
  </si>
  <si>
    <t>Nonton streaming pertandingan seru West Ham vs Man United - Premier League. Saksikan aksi-aksi terbaik dari tim yang bersaing ketat untuk meraih kemenangan. Dapatkan informasi lengkap mengenai jadwal pertandingan dan hasil pertandingan terbaru hanya di Vidio.</t>
  </si>
  <si>
    <t>7c5991ed</t>
  </si>
  <si>
    <t>Aston Villa vs Leeds United - Premier League</t>
  </si>
  <si>
    <t>aston villa fc; leeds united fc; sports stream</t>
  </si>
  <si>
    <t>Nonton streaming pertandingan seru Aston Villa vs Leeds United - Premier League. Saksikan aksi-aksi terbaik dari tim yang bersaing ketat untuk meraih kemenangan. Dapatkan informasi lengkap mengenai jadwal pertandingan dan hasil pertandingan terbaru hanya di Vidio.</t>
  </si>
  <si>
    <t>Matchday 27</t>
  </si>
  <si>
    <t>8223c1c0</t>
  </si>
  <si>
    <t>Brentford vs Brighton - Premier League</t>
  </si>
  <si>
    <t>brentford fc; brighton &amp; hove albion fc; sports stream</t>
  </si>
  <si>
    <t>Nonton streaming pertandingan seru Brentford vs Brighton - Premier League. Saksikan aksi-aksi terbaik dari tim yang bersaing ketat untuk meraih kemenangan. Dapatkan informasi lengkap mengenai jadwal pertandingan dan hasil pertandingan terbaru hanya di Vidio.</t>
  </si>
  <si>
    <t>f641438a</t>
  </si>
  <si>
    <t>Chelsea vs Burnley - Premier League</t>
  </si>
  <si>
    <t>chelsea fc; burnley fc; sports stream</t>
  </si>
  <si>
    <t>Nonton streaming pertandingan seru Chelsea vs Burnley - Premier League. Saksikan aksi-aksi terbaik dari tim yang bersaing ketat untuk meraih kemenangan. Dapatkan informasi lengkap mengenai jadwal pertandingan dan hasil pertandingan terbaru hanya di Vidio.</t>
  </si>
  <si>
    <t>66570512</t>
  </si>
  <si>
    <t>Crystal Palace vs Wolves - Premier League</t>
  </si>
  <si>
    <t>crystal palace fc; wolverhampton wanderers fc; sports stream</t>
  </si>
  <si>
    <t>Nonton streaming pertandingan seru Crystal Palace vs Wolves - Premier League. Saksikan aksi-aksi terbaik dari tim yang bersaing ketat untuk meraih kemenangan. Dapatkan informasi lengkap mengenai jadwal pertandingan dan hasil pertandingan terbaru hanya di Vidio.</t>
  </si>
  <si>
    <t>4ce119a3</t>
  </si>
  <si>
    <t>Everton vs Man United - Premier League</t>
  </si>
  <si>
    <t>everton fc; manchester united fc; sports stream</t>
  </si>
  <si>
    <t>Nonton streaming pertandingan seru Everton vs Man United - Premier League. Saksikan aksi-aksi terbaik dari tim yang bersaing ketat untuk meraih kemenangan. Dapatkan informasi lengkap mengenai jadwal pertandingan dan hasil pertandingan terbaru hanya di Vidio.</t>
  </si>
  <si>
    <t>53f43945</t>
  </si>
  <si>
    <t>Man City vs Newcastle - Premier League</t>
  </si>
  <si>
    <t>manchester city fc; newcastle united fc; sports stream</t>
  </si>
  <si>
    <t>Nonton streaming pertandingan seru Man City vs Newcastle - Premier League. Saksikan aksi-aksi terbaik dari tim yang bersaing ketat untuk meraih kemenangan. Dapatkan informasi lengkap mengenai jadwal pertandingan dan hasil pertandingan terbaru hanya di Vidio.</t>
  </si>
  <si>
    <t>39c8ff53</t>
  </si>
  <si>
    <t>Nott'm Forest vs Liverpool - Premier League</t>
  </si>
  <si>
    <t>nottingham forest fc; liverpool fc; sports stream</t>
  </si>
  <si>
    <t>Nonton streaming pertandingan seru Nott'm Forest vs Liverpool - Premier League. Saksikan aksi-aksi terbaik dari tim yang bersaing ketat untuk meraih kemenangan. Dapatkan informasi lengkap mengenai jadwal pertandingan dan hasil pertandingan terbaru hanya di Vidio.</t>
  </si>
  <si>
    <t>f9960c87</t>
  </si>
  <si>
    <t>Sunderland vs Fulham - Premier League</t>
  </si>
  <si>
    <t>sunderland afc; fulham fc; sports stream</t>
  </si>
  <si>
    <t>Nonton streaming pertandingan seru Sunderland vs Fulham - Premier League. Saksikan aksi-aksi terbaik dari tim yang bersaing ketat untuk meraih kemenangan. Dapatkan informasi lengkap mengenai jadwal pertandingan dan hasil pertandingan terbaru hanya di Vidio.</t>
  </si>
  <si>
    <t>5b761afb</t>
  </si>
  <si>
    <t>Tottenham vs Arsenal - Premier League</t>
  </si>
  <si>
    <t>tottenham hotspur fc; arsenal fc; sports stream</t>
  </si>
  <si>
    <t>Nonton streaming pertandingan seru Tottenham vs Arsenal - Premier League. Saksikan aksi-aksi terbaik dari tim yang bersaing ketat untuk meraih kemenangan. Dapatkan informasi lengkap mengenai jadwal pertandingan dan hasil pertandingan terbaru hanya di Vidio.</t>
  </si>
  <si>
    <t>e55ceee3</t>
  </si>
  <si>
    <t>West Ham vs Bournemouth - Premier League</t>
  </si>
  <si>
    <t>west ham united fc; afc bournemouth; sports stream</t>
  </si>
  <si>
    <t>Nonton streaming pertandingan seru West Ham vs Bournemouth - Premier League. Saksikan aksi-aksi terbaik dari tim yang bersaing ketat untuk meraih kemenangan. Dapatkan informasi lengkap mengenai jadwal pertandingan dan hasil pertandingan terbaru hanya di Vidio.</t>
  </si>
  <si>
    <t>d013787e</t>
  </si>
  <si>
    <t>Bournemouth vs Sunderland - Premier League</t>
  </si>
  <si>
    <t>afc bournemouth; sunderland afc; sports stream</t>
  </si>
  <si>
    <t>Nonton streaming pertandingan seru Bournemouth vs Sunderland - Premier League. Saksikan aksi-aksi terbaik dari tim yang bersaing ketat untuk meraih kemenangan. Dapatkan informasi lengkap mengenai jadwal pertandingan dan hasil pertandingan terbaru hanya di Vidio.</t>
  </si>
  <si>
    <t>Matchday 28</t>
  </si>
  <si>
    <t>90419d0b</t>
  </si>
  <si>
    <t>Arsenal vs Chelsea - Premier League</t>
  </si>
  <si>
    <t>arsenal fc; chelsea fc; sports stream</t>
  </si>
  <si>
    <t>Nonton streaming pertandingan seru Arsenal vs Chelsea - Premier League. Saksikan aksi-aksi terbaik dari tim yang bersaing ketat untuk meraih kemenangan. Dapatkan informasi lengkap mengenai jadwal pertandingan dan hasil pertandingan terbaru hanya di Vidio.</t>
  </si>
  <si>
    <t>823c5898</t>
  </si>
  <si>
    <t>Brighton vs Nott'm Forest - Premier League</t>
  </si>
  <si>
    <t>brighton &amp; hove albion fc; nottingham forest fc; sports stream</t>
  </si>
  <si>
    <t>Nonton streaming pertandingan seru Brighton vs Nott'm Forest - Premier League. Saksikan aksi-aksi terbaik dari tim yang bersaing ketat untuk meraih kemenangan. Dapatkan informasi lengkap mengenai jadwal pertandingan dan hasil pertandingan terbaru hanya di Vidio.</t>
  </si>
  <si>
    <t>ce566b49</t>
  </si>
  <si>
    <t>Burnley vs Brentford - Premier League</t>
  </si>
  <si>
    <t>burnley fc; brentford fc; sports stream</t>
  </si>
  <si>
    <t>Nonton streaming pertandingan seru Burnley vs Brentford - Premier League. Saksikan aksi-aksi terbaik dari tim yang bersaing ketat untuk meraih kemenangan. Dapatkan informasi lengkap mengenai jadwal pertandingan dan hasil pertandingan terbaru hanya di Vidio.</t>
  </si>
  <si>
    <t>0737776b</t>
  </si>
  <si>
    <t>Fulham vs Tottenham - Premier League</t>
  </si>
  <si>
    <t>fulham fc; tottenham hotspur fc; sports stream</t>
  </si>
  <si>
    <t>Nonton streaming pertandingan seru Fulham vs Tottenham - Premier League. Saksikan aksi-aksi terbaik dari tim yang bersaing ketat untuk meraih kemenangan. Dapatkan informasi lengkap mengenai jadwal pertandingan dan hasil pertandingan terbaru hanya di Vidio.</t>
  </si>
  <si>
    <t>36ec639e</t>
  </si>
  <si>
    <t>Leeds United vs Man City - Premier League</t>
  </si>
  <si>
    <t>leeds united fc; manchester city fc; sports stream</t>
  </si>
  <si>
    <t>Nonton streaming pertandingan seru Leeds United vs Man City - Premier League. Saksikan aksi-aksi terbaik dari tim yang bersaing ketat untuk meraih kemenangan. Dapatkan informasi lengkap mengenai jadwal pertandingan dan hasil pertandingan terbaru hanya di Vidio.</t>
  </si>
  <si>
    <t>baca5e57</t>
  </si>
  <si>
    <t>Liverpool vs West Ham - Premier League</t>
  </si>
  <si>
    <t>liverpool fc; west ham united fc; sports stream</t>
  </si>
  <si>
    <t>Nonton streaming pertandingan seru Liverpool vs West Ham - Premier League. Saksikan aksi-aksi terbaik dari tim yang bersaing ketat untuk meraih kemenangan. Dapatkan informasi lengkap mengenai jadwal pertandingan dan hasil pertandingan terbaru hanya di Vidio.</t>
  </si>
  <si>
    <t>56d26c6f</t>
  </si>
  <si>
    <t>Man United vs Crystal Palace - Premier League</t>
  </si>
  <si>
    <t>manchester united fc; crystal palace fc; sports stream</t>
  </si>
  <si>
    <t>Nonton streaming pertandingan seru Man United vs Crystal Palace - Premier League. Saksikan aksi-aksi terbaik dari tim yang bersaing ketat untuk meraih kemenangan. Dapatkan informasi lengkap mengenai jadwal pertandingan dan hasil pertandingan terbaru hanya di Vidio.</t>
  </si>
  <si>
    <t>cf2c9ac9</t>
  </si>
  <si>
    <t>Newcastle vs Everton - Premier League</t>
  </si>
  <si>
    <t>newcastle united fc; everton fc; sports stream</t>
  </si>
  <si>
    <t>Nonton streaming pertandingan seru Newcastle vs Everton - Premier League. Saksikan aksi-aksi terbaik dari tim yang bersaing ketat untuk meraih kemenangan. Dapatkan informasi lengkap mengenai jadwal pertandingan dan hasil pertandingan terbaru hanya di Vidio.</t>
  </si>
  <si>
    <t>9e14a28c</t>
  </si>
  <si>
    <t>Wolves vs Aston Villa - Premier League</t>
  </si>
  <si>
    <t>wolverhampton wanderers fc; aston villa fc; sports stream</t>
  </si>
  <si>
    <t>Nonton streaming pertandingan seru Wolves vs Aston Villa - Premier League. Saksikan aksi-aksi terbaik dari tim yang bersaing ketat untuk meraih kemenangan. Dapatkan informasi lengkap mengenai jadwal pertandingan dan hasil pertandingan terbaru hanya di Vidio.</t>
  </si>
  <si>
    <t>808fb20a</t>
  </si>
  <si>
    <t>Bournemouth vs Brentford - Premier League</t>
  </si>
  <si>
    <t>afc bournemouth; brentford fc; sports stream</t>
  </si>
  <si>
    <t>Nonton streaming pertandingan seru Bournemouth vs Brentford - Premier League. Saksikan aksi-aksi terbaik dari tim yang bersaing ketat untuk meraih kemenangan. Dapatkan informasi lengkap mengenai jadwal pertandingan dan hasil pertandingan terbaru hanya di Vidio.</t>
  </si>
  <si>
    <t>Matchday 29</t>
  </si>
  <si>
    <t>92fcc88a</t>
  </si>
  <si>
    <t>Aston Villa vs Chelsea - Premier League</t>
  </si>
  <si>
    <t>aston villa fc; chelsea fc; sports stream</t>
  </si>
  <si>
    <t>Nonton streaming pertandingan seru Aston Villa vs Chelsea - Premier League. Saksikan aksi-aksi terbaik dari tim yang bersaing ketat untuk meraih kemenangan. Dapatkan informasi lengkap mengenai jadwal pertandingan dan hasil pertandingan terbaru hanya di Vidio.</t>
  </si>
  <si>
    <t>3b2d9e1b</t>
  </si>
  <si>
    <t>Brighton vs Arsenal - Premier League</t>
  </si>
  <si>
    <t>brighton &amp; hove albion fc; arsenal fc; sports stream</t>
  </si>
  <si>
    <t>Nonton streaming pertandingan seru Brighton vs Arsenal - Premier League. Saksikan aksi-aksi terbaik dari tim yang bersaing ketat untuk meraih kemenangan. Dapatkan informasi lengkap mengenai jadwal pertandingan dan hasil pertandingan terbaru hanya di Vidio.</t>
  </si>
  <si>
    <t>c0aafdee</t>
  </si>
  <si>
    <t>Everton vs Burnley - Premier League</t>
  </si>
  <si>
    <t>everton fc; burnley fc; sports stream</t>
  </si>
  <si>
    <t>Nonton streaming pertandingan seru Everton vs Burnley - Premier League. Saksikan aksi-aksi terbaik dari tim yang bersaing ketat untuk meraih kemenangan. Dapatkan informasi lengkap mengenai jadwal pertandingan dan hasil pertandingan terbaru hanya di Vidio.</t>
  </si>
  <si>
    <t>7b68c797</t>
  </si>
  <si>
    <t>Fulham vs West Ham - Premier League</t>
  </si>
  <si>
    <t>fulham fc; west ham united fc; sports stream</t>
  </si>
  <si>
    <t>Nonton streaming pertandingan seru Fulham vs West Ham - Premier League. Saksikan aksi-aksi terbaik dari tim yang bersaing ketat untuk meraih kemenangan. Dapatkan informasi lengkap mengenai jadwal pertandingan dan hasil pertandingan terbaru hanya di Vidio.</t>
  </si>
  <si>
    <t>a8294c87</t>
  </si>
  <si>
    <t>Leeds United vs Sunderland - Premier League</t>
  </si>
  <si>
    <t>leeds united fc; sunderland afc; sports stream</t>
  </si>
  <si>
    <t>Nonton streaming pertandingan seru Leeds United vs Sunderland - Premier League. Saksikan aksi-aksi terbaik dari tim yang bersaing ketat untuk meraih kemenangan. Dapatkan informasi lengkap mengenai jadwal pertandingan dan hasil pertandingan terbaru hanya di Vidio.</t>
  </si>
  <si>
    <t>3a78ca39</t>
  </si>
  <si>
    <t>Man City vs Nott'm Forest - Premier League</t>
  </si>
  <si>
    <t>manchester city fc; nottingham forest fc; sports stream</t>
  </si>
  <si>
    <t>Nonton streaming pertandingan seru Man City vs Nott'm Forest - Premier League. Saksikan aksi-aksi terbaik dari tim yang bersaing ketat untuk meraih kemenangan. Dapatkan informasi lengkap mengenai jadwal pertandingan dan hasil pertandingan terbaru hanya di Vidio.</t>
  </si>
  <si>
    <t>f3d534c4</t>
  </si>
  <si>
    <t>Newcastle vs Man United - Premier League</t>
  </si>
  <si>
    <t>newcastle united fc; manchester united fc; sports stream</t>
  </si>
  <si>
    <t>Nonton streaming pertandingan seru Newcastle vs Man United - Premier League. Saksikan aksi-aksi terbaik dari tim yang bersaing ketat untuk meraih kemenangan. Dapatkan informasi lengkap mengenai jadwal pertandingan dan hasil pertandingan terbaru hanya di Vidio.</t>
  </si>
  <si>
    <t>c42337e7</t>
  </si>
  <si>
    <t>Tottenham vs Crystal Palace - Premier League</t>
  </si>
  <si>
    <t>tottenham hotspur fc; crystal palace fc; sports stream</t>
  </si>
  <si>
    <t>Nonton streaming pertandingan seru Tottenham vs Crystal Palace - Premier League. Saksikan aksi-aksi terbaik dari tim yang bersaing ketat untuk meraih kemenangan. Dapatkan informasi lengkap mengenai jadwal pertandingan dan hasil pertandingan terbaru hanya di Vidio.</t>
  </si>
  <si>
    <t>6f7a2c4d</t>
  </si>
  <si>
    <t>Wolves vs Liverpool - Premier League</t>
  </si>
  <si>
    <t>wolverhampton wanderers fc; liverpool fc; sports stream</t>
  </si>
  <si>
    <t>Nonton streaming pertandingan seru Wolves vs Liverpool - Premier League. Saksikan aksi-aksi terbaik dari tim yang bersaing ketat untuk meraih kemenangan. Dapatkan informasi lengkap mengenai jadwal pertandingan dan hasil pertandingan terbaru hanya di Vidio.</t>
  </si>
  <si>
    <t>c9fb65d1</t>
  </si>
  <si>
    <t>Arsenal vs Everton - Premier League</t>
  </si>
  <si>
    <t>arsenal fc; everton fc; sports stream</t>
  </si>
  <si>
    <t>Nonton streaming pertandingan seru Arsenal vs Everton - Premier League. Saksikan aksi-aksi terbaik dari tim yang bersaing ketat untuk meraih kemenangan. Dapatkan informasi lengkap mengenai jadwal pertandingan dan hasil pertandingan terbaru hanya di Vidio.</t>
  </si>
  <si>
    <t>Matchday 30</t>
  </si>
  <si>
    <t xml:space="preserve">Big Match </t>
  </si>
  <si>
    <t>a9766a6f</t>
  </si>
  <si>
    <t>Brentford vs Wolves - Premier League</t>
  </si>
  <si>
    <t>brentford fc; wolverhampton wanderers fc; sports stream</t>
  </si>
  <si>
    <t>Nonton streaming pertandingan seru Brentford vs Wolves - Premier League. Saksikan aksi-aksi terbaik dari tim yang bersaing ketat untuk meraih kemenangan. Dapatkan informasi lengkap mengenai jadwal pertandingan dan hasil pertandingan terbaru hanya di Vidio.</t>
  </si>
  <si>
    <t>f60c910b</t>
  </si>
  <si>
    <t>Burnley vs Bournemouth - Premier League</t>
  </si>
  <si>
    <t>burnley fc; afc bournemouth; sports stream</t>
  </si>
  <si>
    <t>Nonton streaming pertandingan seru Burnley vs Bournemouth - Premier League. Saksikan aksi-aksi terbaik dari tim yang bersaing ketat untuk meraih kemenangan. Dapatkan informasi lengkap mengenai jadwal pertandingan dan hasil pertandingan terbaru hanya di Vidio.</t>
  </si>
  <si>
    <t>35561a07</t>
  </si>
  <si>
    <t>Chelsea vs Newcastle - Premier League</t>
  </si>
  <si>
    <t>chelsea fc; newcastle united fc; sports stream</t>
  </si>
  <si>
    <t>Nonton streaming pertandingan seru Chelsea vs Newcastle - Premier League. Saksikan aksi-aksi terbaik dari tim yang bersaing ketat untuk meraih kemenangan. Dapatkan informasi lengkap mengenai jadwal pertandingan dan hasil pertandingan terbaru hanya di Vidio.</t>
  </si>
  <si>
    <t>a7b8b52b</t>
  </si>
  <si>
    <t>Crystal Palace vs Leeds United - Premier League</t>
  </si>
  <si>
    <t>crystal palace fc; leeds united fc; sports stream</t>
  </si>
  <si>
    <t>Nonton streaming pertandingan seru Crystal Palace vs Leeds United - Premier League. Saksikan aksi-aksi terbaik dari tim yang bersaing ketat untuk meraih kemenangan. Dapatkan informasi lengkap mengenai jadwal pertandingan dan hasil pertandingan terbaru hanya di Vidio.</t>
  </si>
  <si>
    <t>541a147c</t>
  </si>
  <si>
    <t>Liverpool vs Tottenham - Premier League</t>
  </si>
  <si>
    <t>liverpool fc; tottenham hotspur fc; sports stream</t>
  </si>
  <si>
    <t>Nonton streaming pertandingan seru Liverpool vs Tottenham - Premier League. Saksikan aksi-aksi terbaik dari tim yang bersaing ketat untuk meraih kemenangan. Dapatkan informasi lengkap mengenai jadwal pertandingan dan hasil pertandingan terbaru hanya di Vidio.</t>
  </si>
  <si>
    <t>915211f2</t>
  </si>
  <si>
    <t>Man United vs Aston Villa - Premier League</t>
  </si>
  <si>
    <t>manchester united fc; aston villa fc; sports stream</t>
  </si>
  <si>
    <t>Nonton streaming pertandingan seru Man United vs Aston Villa - Premier League. Saksikan aksi-aksi terbaik dari tim yang bersaing ketat untuk meraih kemenangan. Dapatkan informasi lengkap mengenai jadwal pertandingan dan hasil pertandingan terbaru hanya di Vidio.</t>
  </si>
  <si>
    <t>97cda5ba</t>
  </si>
  <si>
    <t>Nott'm Forest vs Fulham - Premier League</t>
  </si>
  <si>
    <t>nottingham forest fc; fulham fc; sports stream</t>
  </si>
  <si>
    <t>Nonton streaming pertandingan seru Nott'm Forest vs Fulham - Premier League. Saksikan aksi-aksi terbaik dari tim yang bersaing ketat untuk meraih kemenangan. Dapatkan informasi lengkap mengenai jadwal pertandingan dan hasil pertandingan terbaru hanya di Vidio.</t>
  </si>
  <si>
    <t>e7a6dd1d</t>
  </si>
  <si>
    <t>Sunderland vs Brighton - Premier League</t>
  </si>
  <si>
    <t>sunderland afc; brighton &amp; hove albion fc; sports stream</t>
  </si>
  <si>
    <t>Nonton streaming pertandingan seru Sunderland vs Brighton - Premier League. Saksikan aksi-aksi terbaik dari tim yang bersaing ketat untuk meraih kemenangan. Dapatkan informasi lengkap mengenai jadwal pertandingan dan hasil pertandingan terbaru hanya di Vidio.</t>
  </si>
  <si>
    <t>248369f1</t>
  </si>
  <si>
    <t>West Ham vs Man City - Premier League</t>
  </si>
  <si>
    <t>west ham united fc; manchester city fc; sports stream</t>
  </si>
  <si>
    <t>Nonton streaming pertandingan seru West Ham vs Man City - Premier League. Saksikan aksi-aksi terbaik dari tim yang bersaing ketat untuk meraih kemenangan. Dapatkan informasi lengkap mengenai jadwal pertandingan dan hasil pertandingan terbaru hanya di Vidio.</t>
  </si>
  <si>
    <t>429e8b2d</t>
  </si>
  <si>
    <t>Bournemouth vs Man United - Premier League</t>
  </si>
  <si>
    <t>afc bournemouth; manchester united fc; sports stream</t>
  </si>
  <si>
    <t>Nonton streaming pertandingan seru Bournemouth vs Man United - Premier League. Saksikan aksi-aksi terbaik dari tim yang bersaing ketat untuk meraih kemenangan. Dapatkan informasi lengkap mengenai jadwal pertandingan dan hasil pertandingan terbaru hanya di Vidio.</t>
  </si>
  <si>
    <t>Matchday 31</t>
  </si>
  <si>
    <t>f29037e5</t>
  </si>
  <si>
    <t>Aston Villa vs West Ham - Premier League</t>
  </si>
  <si>
    <t>aston villa fc; west ham united fc; sports stream</t>
  </si>
  <si>
    <t>Nonton streaming pertandingan seru Aston Villa vs West Ham - Premier League. Saksikan aksi-aksi terbaik dari tim yang bersaing ketat untuk meraih kemenangan. Dapatkan informasi lengkap mengenai jadwal pertandingan dan hasil pertandingan terbaru hanya di Vidio.</t>
  </si>
  <si>
    <t>b1d1e247</t>
  </si>
  <si>
    <t>Brighton vs Liverpool - Premier League</t>
  </si>
  <si>
    <t>brighton &amp; hove albion fc; liverpool fc; sports stream</t>
  </si>
  <si>
    <t>Nonton streaming pertandingan seru Brighton vs Liverpool - Premier League. Saksikan aksi-aksi terbaik dari tim yang bersaing ketat untuk meraih kemenangan. Dapatkan informasi lengkap mengenai jadwal pertandingan dan hasil pertandingan terbaru hanya di Vidio.</t>
  </si>
  <si>
    <t>9f97da19</t>
  </si>
  <si>
    <t>Everton vs Chelsea - Premier League</t>
  </si>
  <si>
    <t>everton fc; chelsea fc; sports stream</t>
  </si>
  <si>
    <t>Nonton streaming pertandingan seru Everton vs Chelsea - Premier League. Saksikan aksi-aksi terbaik dari tim yang bersaing ketat untuk meraih kemenangan. Dapatkan informasi lengkap mengenai jadwal pertandingan dan hasil pertandingan terbaru hanya di Vidio.</t>
  </si>
  <si>
    <t>61fef358</t>
  </si>
  <si>
    <t>Fulham vs Burnley - Premier League</t>
  </si>
  <si>
    <t>fulham fc; burnley fc; sports stream</t>
  </si>
  <si>
    <t>Nonton streaming pertandingan seru Fulham vs Burnley - Premier League. Saksikan aksi-aksi terbaik dari tim yang bersaing ketat untuk meraih kemenangan. Dapatkan informasi lengkap mengenai jadwal pertandingan dan hasil pertandingan terbaru hanya di Vidio.</t>
  </si>
  <si>
    <t>a0984096</t>
  </si>
  <si>
    <t>Leeds United vs Brentford - Premier League</t>
  </si>
  <si>
    <t>leeds united fc; brentford fc; sports stream</t>
  </si>
  <si>
    <t>Nonton streaming pertandingan seru Leeds United vs Brentford - Premier League. Saksikan aksi-aksi terbaik dari tim yang bersaing ketat untuk meraih kemenangan. Dapatkan informasi lengkap mengenai jadwal pertandingan dan hasil pertandingan terbaru hanya di Vidio.</t>
  </si>
  <si>
    <t>9e7b399f</t>
  </si>
  <si>
    <t>Man City vs Crystal Palace - Premier League</t>
  </si>
  <si>
    <t>manchester city fc; crystal palace fc; sports stream</t>
  </si>
  <si>
    <t>Nonton streaming pertandingan seru Man City vs Crystal Palace - Premier League. Saksikan aksi-aksi terbaik dari tim yang bersaing ketat untuk meraih kemenangan. Dapatkan informasi lengkap mengenai jadwal pertandingan dan hasil pertandingan terbaru hanya di Vidio.</t>
  </si>
  <si>
    <t>f79a395f</t>
  </si>
  <si>
    <t>Newcastle vs Sunderland - Premier League</t>
  </si>
  <si>
    <t>newcastle united fc; sunderland afc; sports stream</t>
  </si>
  <si>
    <t>Nonton streaming pertandingan seru Newcastle vs Sunderland - Premier League. Saksikan aksi-aksi terbaik dari tim yang bersaing ketat untuk meraih kemenangan. Dapatkan informasi lengkap mengenai jadwal pertandingan dan hasil pertandingan terbaru hanya di Vidio.</t>
  </si>
  <si>
    <t>46856889</t>
  </si>
  <si>
    <t>Tottenham vs Nott'm Forest - Premier League</t>
  </si>
  <si>
    <t>tottenham hotspur fc; nottingham forest fc; sports stream</t>
  </si>
  <si>
    <t>Nonton streaming pertandingan seru Tottenham vs Nott'm Forest - Premier League. Saksikan aksi-aksi terbaik dari tim yang bersaing ketat untuk meraih kemenangan. Dapatkan informasi lengkap mengenai jadwal pertandingan dan hasil pertandingan terbaru hanya di Vidio.</t>
  </si>
  <si>
    <t>3936dfd5</t>
  </si>
  <si>
    <t>Wolves vs Arsenal - Premier League</t>
  </si>
  <si>
    <t>wolverhampton wanderers fc; arsenal fc; sports stream</t>
  </si>
  <si>
    <t>Nonton streaming pertandingan seru Wolves vs Arsenal - Premier League. Saksikan aksi-aksi terbaik dari tim yang bersaing ketat untuk meraih kemenangan. Dapatkan informasi lengkap mengenai jadwal pertandingan dan hasil pertandingan terbaru hanya di Vidio.</t>
  </si>
  <si>
    <t>505ff605</t>
  </si>
  <si>
    <t>Arsenal vs Bournemouth - Premier League</t>
  </si>
  <si>
    <t>arsenal fc; afc bournemouth; sports stream</t>
  </si>
  <si>
    <t>Nonton streaming pertandingan seru Arsenal vs Bournemouth - Premier League. Saksikan aksi-aksi terbaik dari tim yang bersaing ketat untuk meraih kemenangan. Dapatkan informasi lengkap mengenai jadwal pertandingan dan hasil pertandingan terbaru hanya di Vidio.</t>
  </si>
  <si>
    <t>Matchday 32</t>
  </si>
  <si>
    <t>39f16ad4</t>
  </si>
  <si>
    <t>Brentford vs Everton - Premier League</t>
  </si>
  <si>
    <t>brentford fc; everton fc; sports stream</t>
  </si>
  <si>
    <t>Nonton streaming pertandingan seru Brentford vs Everton - Premier League. Saksikan aksi-aksi terbaik dari tim yang bersaing ketat untuk meraih kemenangan. Dapatkan informasi lengkap mengenai jadwal pertandingan dan hasil pertandingan terbaru hanya di Vidio.</t>
  </si>
  <si>
    <t>20109552</t>
  </si>
  <si>
    <t>Burnley vs Brighton - Premier League</t>
  </si>
  <si>
    <t>burnley fc; brighton &amp; hove albion fc; sports stream</t>
  </si>
  <si>
    <t>Nonton streaming pertandingan seru Burnley vs Brighton - Premier League. Saksikan aksi-aksi terbaik dari tim yang bersaing ketat untuk meraih kemenangan. Dapatkan informasi lengkap mengenai jadwal pertandingan dan hasil pertandingan terbaru hanya di Vidio.</t>
  </si>
  <si>
    <t>2de2d9c3</t>
  </si>
  <si>
    <t>Chelsea vs Man City - Premier League</t>
  </si>
  <si>
    <t>chelsea fc; manchester city fc; sports stream</t>
  </si>
  <si>
    <t>Nonton streaming pertandingan seru Chelsea vs Man City - Premier League. Saksikan aksi-aksi terbaik dari tim yang bersaing ketat untuk meraih kemenangan. Dapatkan informasi lengkap mengenai jadwal pertandingan dan hasil pertandingan terbaru hanya di Vidio.</t>
  </si>
  <si>
    <t>90a0152b</t>
  </si>
  <si>
    <t>Crystal Palace vs Newcastle - Premier League</t>
  </si>
  <si>
    <t>crystal palace fc; newcastle united fc; sports stream</t>
  </si>
  <si>
    <t>Nonton streaming pertandingan seru Crystal Palace vs Newcastle - Premier League. Saksikan aksi-aksi terbaik dari tim yang bersaing ketat untuk meraih kemenangan. Dapatkan informasi lengkap mengenai jadwal pertandingan dan hasil pertandingan terbaru hanya di Vidio.</t>
  </si>
  <si>
    <t>e1eeebf6</t>
  </si>
  <si>
    <t>Liverpool vs Fulham - Premier League</t>
  </si>
  <si>
    <t>liverpool fc; fulham fc; sports stream</t>
  </si>
  <si>
    <t>Nonton streaming pertandingan seru Liverpool vs Fulham - Premier League. Saksikan aksi-aksi terbaik dari tim yang bersaing ketat untuk meraih kemenangan. Dapatkan informasi lengkap mengenai jadwal pertandingan dan hasil pertandingan terbaru hanya di Vidio.</t>
  </si>
  <si>
    <t>e873da5d</t>
  </si>
  <si>
    <t>Man United vs Leeds United - Premier League</t>
  </si>
  <si>
    <t>manchester united fc; leeds united fc; sports stream</t>
  </si>
  <si>
    <t>Nonton streaming pertandingan seru Man United vs Leeds United - Premier League. Saksikan aksi-aksi terbaik dari tim yang bersaing ketat untuk meraih kemenangan. Dapatkan informasi lengkap mengenai jadwal pertandingan dan hasil pertandingan terbaru hanya di Vidio.</t>
  </si>
  <si>
    <t>5891bcb7</t>
  </si>
  <si>
    <t>Nott'm Forest vs Aston Villa - Premier League</t>
  </si>
  <si>
    <t>nottingham forest fc; aston villa fc; sports stream</t>
  </si>
  <si>
    <t>Nonton streaming pertandingan seru Nott'm Forest vs Aston Villa - Premier League. Saksikan aksi-aksi terbaik dari tim yang bersaing ketat untuk meraih kemenangan. Dapatkan informasi lengkap mengenai jadwal pertandingan dan hasil pertandingan terbaru hanya di Vidio.</t>
  </si>
  <si>
    <t>85a4b662</t>
  </si>
  <si>
    <t>Sunderland vs Tottenham - Premier League</t>
  </si>
  <si>
    <t>sunderland afc; tottenham hotspur fc; sports stream</t>
  </si>
  <si>
    <t>Nonton streaming pertandingan seru Sunderland vs Tottenham - Premier League. Saksikan aksi-aksi terbaik dari tim yang bersaing ketat untuk meraih kemenangan. Dapatkan informasi lengkap mengenai jadwal pertandingan dan hasil pertandingan terbaru hanya di Vidio.</t>
  </si>
  <si>
    <t>b699eaa9</t>
  </si>
  <si>
    <t>West Ham vs Wolves - Premier League</t>
  </si>
  <si>
    <t>west ham united fc; wolverhampton wanderers fc; sports stream</t>
  </si>
  <si>
    <t>Nonton streaming pertandingan seru West Ham vs Wolves - Premier League. Saksikan aksi-aksi terbaik dari tim yang bersaing ketat untuk meraih kemenangan. Dapatkan informasi lengkap mengenai jadwal pertandingan dan hasil pertandingan terbaru hanya di Vidio.</t>
  </si>
  <si>
    <t>3ac6ddb5</t>
  </si>
  <si>
    <t>Aston Villa vs Sunderland - Premier League</t>
  </si>
  <si>
    <t>aston villa fc; sunderland afc; sports stream</t>
  </si>
  <si>
    <t>Nonton streaming pertandingan seru Aston Villa vs Sunderland - Premier League. Saksikan aksi-aksi terbaik dari tim yang bersaing ketat untuk meraih kemenangan. Dapatkan informasi lengkap mengenai jadwal pertandingan dan hasil pertandingan terbaru hanya di Vidio.</t>
  </si>
  <si>
    <t>Matchday 33</t>
  </si>
  <si>
    <t>10bbbd63</t>
  </si>
  <si>
    <t>Brentford vs Fulham - Premier League</t>
  </si>
  <si>
    <t>brentford fc; fulham fc; sports stream</t>
  </si>
  <si>
    <t>Nonton streaming pertandingan seru Brentford vs Fulham - Premier League. Saksikan aksi-aksi terbaik dari tim yang bersaing ketat untuk meraih kemenangan. Dapatkan informasi lengkap mengenai jadwal pertandingan dan hasil pertandingan terbaru hanya di Vidio.</t>
  </si>
  <si>
    <t>8a581bf0</t>
  </si>
  <si>
    <t>Chelsea vs Man United - Premier League</t>
  </si>
  <si>
    <t>chelsea fc; manchester united fc; sports stream</t>
  </si>
  <si>
    <t>Nonton streaming pertandingan seru Chelsea vs Man United - Premier League. Saksikan aksi-aksi terbaik dari tim yang bersaing ketat untuk meraih kemenangan. Dapatkan informasi lengkap mengenai jadwal pertandingan dan hasil pertandingan terbaru hanya di Vidio.</t>
  </si>
  <si>
    <t>5805250d</t>
  </si>
  <si>
    <t>Crystal Palace vs West Ham - Premier League</t>
  </si>
  <si>
    <t>crystal palace fc; west ham united fc; sports stream</t>
  </si>
  <si>
    <t>Nonton streaming pertandingan seru Crystal Palace vs West Ham - Premier League. Saksikan aksi-aksi terbaik dari tim yang bersaing ketat untuk meraih kemenangan. Dapatkan informasi lengkap mengenai jadwal pertandingan dan hasil pertandingan terbaru hanya di Vidio.</t>
  </si>
  <si>
    <t>98c34195</t>
  </si>
  <si>
    <t>Everton vs Liverpool - Premier League</t>
  </si>
  <si>
    <t>everton fc; liverpool fc; sports stream</t>
  </si>
  <si>
    <t>Nonton streaming pertandingan seru Everton vs Liverpool - Premier League. Saksikan aksi-aksi terbaik dari tim yang bersaing ketat untuk meraih kemenangan. Dapatkan informasi lengkap mengenai jadwal pertandingan dan hasil pertandingan terbaru hanya di Vidio.</t>
  </si>
  <si>
    <t>0821f962</t>
  </si>
  <si>
    <t>Leeds United vs Wolves - Premier League</t>
  </si>
  <si>
    <t>leeds united fc; wolverhampton wanderers fc; sports stream</t>
  </si>
  <si>
    <t>Nonton streaming pertandingan seru Leeds United vs Wolves - Premier League. Saksikan aksi-aksi terbaik dari tim yang bersaing ketat untuk meraih kemenangan. Dapatkan informasi lengkap mengenai jadwal pertandingan dan hasil pertandingan terbaru hanya di Vidio.</t>
  </si>
  <si>
    <t>7f58d946</t>
  </si>
  <si>
    <t>Man City vs Arsenal - Premier League</t>
  </si>
  <si>
    <t>manchester city fc; arsenal fc; sports stream</t>
  </si>
  <si>
    <t>Nonton streaming pertandingan seru Man City vs Arsenal - Premier League. Saksikan aksi-aksi terbaik dari tim yang bersaing ketat untuk meraih kemenangan. Dapatkan informasi lengkap mengenai jadwal pertandingan dan hasil pertandingan terbaru hanya di Vidio.</t>
  </si>
  <si>
    <t>86b01554</t>
  </si>
  <si>
    <t>Newcastle vs Bournemouth - Premier League</t>
  </si>
  <si>
    <t>newcastle united fc; afc bournemouth; sports stream</t>
  </si>
  <si>
    <t>Nonton streaming pertandingan seru Newcastle vs Bournemouth - Premier League. Saksikan aksi-aksi terbaik dari tim yang bersaing ketat untuk meraih kemenangan. Dapatkan informasi lengkap mengenai jadwal pertandingan dan hasil pertandingan terbaru hanya di Vidio.</t>
  </si>
  <si>
    <t>2cf1385b</t>
  </si>
  <si>
    <t>Nott'm Forest vs Burnley - Premier League</t>
  </si>
  <si>
    <t>nottingham forest fc; burnley fc; sports stream</t>
  </si>
  <si>
    <t>Nonton streaming pertandingan seru Nott'm Forest vs Burnley - Premier League. Saksikan aksi-aksi terbaik dari tim yang bersaing ketat untuk meraih kemenangan. Dapatkan informasi lengkap mengenai jadwal pertandingan dan hasil pertandingan terbaru hanya di Vidio.</t>
  </si>
  <si>
    <t>63bfbd07</t>
  </si>
  <si>
    <t>Tottenham vs Brighton - Premier League</t>
  </si>
  <si>
    <t>tottenham hotspur fc; brighton &amp; hove albion fc; sports stream</t>
  </si>
  <si>
    <t>Nonton streaming pertandingan seru Tottenham vs Brighton - Premier League. Saksikan aksi-aksi terbaik dari tim yang bersaing ketat untuk meraih kemenangan. Dapatkan informasi lengkap mengenai jadwal pertandingan dan hasil pertandingan terbaru hanya di Vidio.</t>
  </si>
  <si>
    <t>757a764b</t>
  </si>
  <si>
    <t>Bournemouth vs Leeds United - Premier League</t>
  </si>
  <si>
    <t>afc bournemouth; leeds united fc; sports stream</t>
  </si>
  <si>
    <t>Nonton streaming pertandingan seru Bournemouth vs Leeds United - Premier League. Saksikan aksi-aksi terbaik dari tim yang bersaing ketat untuk meraih kemenangan. Dapatkan informasi lengkap mengenai jadwal pertandingan dan hasil pertandingan terbaru hanya di Vidio.</t>
  </si>
  <si>
    <t>Matchday 34</t>
  </si>
  <si>
    <t>572f3e51</t>
  </si>
  <si>
    <t>Arsenal vs Newcastle - Premier League</t>
  </si>
  <si>
    <t>arsenal fc; newcastle united fc; sports stream</t>
  </si>
  <si>
    <t>Nonton streaming pertandingan seru Arsenal vs Newcastle - Premier League. Saksikan aksi-aksi terbaik dari tim yang bersaing ketat untuk meraih kemenangan. Dapatkan informasi lengkap mengenai jadwal pertandingan dan hasil pertandingan terbaru hanya di Vidio.</t>
  </si>
  <si>
    <t>8b801e56</t>
  </si>
  <si>
    <t>Brighton vs Chelsea - Premier League</t>
  </si>
  <si>
    <t>brighton &amp; hove albion fc; chelsea fc; sports stream</t>
  </si>
  <si>
    <t>Nonton streaming pertandingan seru Brighton vs Chelsea - Premier League. Saksikan aksi-aksi terbaik dari tim yang bersaing ketat untuk meraih kemenangan. Dapatkan informasi lengkap mengenai jadwal pertandingan dan hasil pertandingan terbaru hanya di Vidio.</t>
  </si>
  <si>
    <t>bb081704</t>
  </si>
  <si>
    <t>Burnley vs Man City - Premier League</t>
  </si>
  <si>
    <t>burnley fc; manchester city fc; sports stream</t>
  </si>
  <si>
    <t>Nonton streaming pertandingan seru Burnley vs Man City - Premier League. Saksikan aksi-aksi terbaik dari tim yang bersaing ketat untuk meraih kemenangan. Dapatkan informasi lengkap mengenai jadwal pertandingan dan hasil pertandingan terbaru hanya di Vidio.</t>
  </si>
  <si>
    <t>ba6a2402</t>
  </si>
  <si>
    <t>Fulham vs Aston Villa - Premier League</t>
  </si>
  <si>
    <t>fulham fc; aston villa fc; sports stream</t>
  </si>
  <si>
    <t>Nonton streaming pertandingan seru Fulham vs Aston Villa - Premier League. Saksikan aksi-aksi terbaik dari tim yang bersaing ketat untuk meraih kemenangan. Dapatkan informasi lengkap mengenai jadwal pertandingan dan hasil pertandingan terbaru hanya di Vidio.</t>
  </si>
  <si>
    <t>4b423537</t>
  </si>
  <si>
    <t>Liverpool vs Crystal Palace - Premier League</t>
  </si>
  <si>
    <t>liverpool fc; crystal palace fc; sports stream</t>
  </si>
  <si>
    <t>Nonton streaming pertandingan seru Liverpool vs Crystal Palace - Premier League. Saksikan aksi-aksi terbaik dari tim yang bersaing ketat untuk meraih kemenangan. Dapatkan informasi lengkap mengenai jadwal pertandingan dan hasil pertandingan terbaru hanya di Vidio.</t>
  </si>
  <si>
    <t>413a00b6</t>
  </si>
  <si>
    <t>Man United vs Brentford - Premier League</t>
  </si>
  <si>
    <t>manchester united fc; brentford fc; sports stream</t>
  </si>
  <si>
    <t>Nonton streaming pertandingan seru Man United vs Brentford - Premier League. Saksikan aksi-aksi terbaik dari tim yang bersaing ketat untuk meraih kemenangan. Dapatkan informasi lengkap mengenai jadwal pertandingan dan hasil pertandingan terbaru hanya di Vidio.</t>
  </si>
  <si>
    <t>3106b770</t>
  </si>
  <si>
    <t>Sunderland vs Nott'm Forest - Premier League</t>
  </si>
  <si>
    <t>sunderland afc; nottingham forest fc; sports stream</t>
  </si>
  <si>
    <t>Nonton streaming pertandingan seru Sunderland vs Nott'm Forest - Premier League. Saksikan aksi-aksi terbaik dari tim yang bersaing ketat untuk meraih kemenangan. Dapatkan informasi lengkap mengenai jadwal pertandingan dan hasil pertandingan terbaru hanya di Vidio.</t>
  </si>
  <si>
    <t>3391c959</t>
  </si>
  <si>
    <t>West Ham vs Everton - Premier League</t>
  </si>
  <si>
    <t>west ham united fc; everton fc; sports stream</t>
  </si>
  <si>
    <t>Nonton streaming pertandingan seru West Ham vs Everton - Premier League. Saksikan aksi-aksi terbaik dari tim yang bersaing ketat untuk meraih kemenangan. Dapatkan informasi lengkap mengenai jadwal pertandingan dan hasil pertandingan terbaru hanya di Vidio.</t>
  </si>
  <si>
    <t>3a31d615</t>
  </si>
  <si>
    <t>Wolves vs Tottenham - Premier League</t>
  </si>
  <si>
    <t>wolverhampton wanderers fc; tottenham hotspur fc; sports stream</t>
  </si>
  <si>
    <t>Nonton streaming pertandingan seru Wolves vs Tottenham - Premier League. Saksikan aksi-aksi terbaik dari tim yang bersaing ketat untuk meraih kemenangan. Dapatkan informasi lengkap mengenai jadwal pertandingan dan hasil pertandingan terbaru hanya di Vidio.</t>
  </si>
  <si>
    <t>baa0b326</t>
  </si>
  <si>
    <t>Bournemouth vs Crystal Palace - Premier League</t>
  </si>
  <si>
    <t>afc bournemouth; crystal palace fc; sports stream</t>
  </si>
  <si>
    <t>Nonton streaming pertandingan seru Bournemouth vs Crystal Palace - Premier League. Saksikan aksi-aksi terbaik dari tim yang bersaing ketat untuk meraih kemenangan. Dapatkan informasi lengkap mengenai jadwal pertandingan dan hasil pertandingan terbaru hanya di Vidio.</t>
  </si>
  <si>
    <t>Matchday 35</t>
  </si>
  <si>
    <t>e85debf1</t>
  </si>
  <si>
    <t>Arsenal vs Fulham - Premier League</t>
  </si>
  <si>
    <t>arsenal fc; fulham fc; sports stream</t>
  </si>
  <si>
    <t>Nonton streaming pertandingan seru Arsenal vs Fulham - Premier League. Saksikan aksi-aksi terbaik dari tim yang bersaing ketat untuk meraih kemenangan. Dapatkan informasi lengkap mengenai jadwal pertandingan dan hasil pertandingan terbaru hanya di Vidio.</t>
  </si>
  <si>
    <t>900d543e</t>
  </si>
  <si>
    <t>Aston Villa vs Tottenham - Premier League</t>
  </si>
  <si>
    <t>aston villa fc; tottenham hotspur fc; sports stream</t>
  </si>
  <si>
    <t>Nonton streaming pertandingan seru Aston Villa vs Tottenham - Premier League. Saksikan aksi-aksi terbaik dari tim yang bersaing ketat untuk meraih kemenangan. Dapatkan informasi lengkap mengenai jadwal pertandingan dan hasil pertandingan terbaru hanya di Vidio.</t>
  </si>
  <si>
    <t>0f7797dd</t>
  </si>
  <si>
    <t>Brentford vs West Ham - Premier League</t>
  </si>
  <si>
    <t>brentford fc; west ham united fc; sports stream</t>
  </si>
  <si>
    <t>Nonton streaming pertandingan seru Brentford vs West Ham - Premier League. Saksikan aksi-aksi terbaik dari tim yang bersaing ketat untuk meraih kemenangan. Dapatkan informasi lengkap mengenai jadwal pertandingan dan hasil pertandingan terbaru hanya di Vidio.</t>
  </si>
  <si>
    <t>55ebab89</t>
  </si>
  <si>
    <t>Chelsea vs Nott'm Forest - Premier League</t>
  </si>
  <si>
    <t>chelsea fc; nottingham forest fc; sports stream</t>
  </si>
  <si>
    <t>Nonton streaming pertandingan seru Chelsea vs Nott'm Forest - Premier League. Saksikan aksi-aksi terbaik dari tim yang bersaing ketat untuk meraih kemenangan. Dapatkan informasi lengkap mengenai jadwal pertandingan dan hasil pertandingan terbaru hanya di Vidio.</t>
  </si>
  <si>
    <t>79c9d5a6</t>
  </si>
  <si>
    <t>Everton vs Man City - Premier League</t>
  </si>
  <si>
    <t>everton fc; manchester city fc; sports stream</t>
  </si>
  <si>
    <t>Nonton streaming pertandingan seru Everton vs Man City - Premier League. Saksikan aksi-aksi terbaik dari tim yang bersaing ketat untuk meraih kemenangan. Dapatkan informasi lengkap mengenai jadwal pertandingan dan hasil pertandingan terbaru hanya di Vidio.</t>
  </si>
  <si>
    <t>8a9e89de</t>
  </si>
  <si>
    <t>Leeds United vs Burnley - Premier League</t>
  </si>
  <si>
    <t>leeds united fc; burnley fc; sports stream</t>
  </si>
  <si>
    <t>Nonton streaming pertandingan seru Leeds United vs Burnley - Premier League. Saksikan aksi-aksi terbaik dari tim yang bersaing ketat untuk meraih kemenangan. Dapatkan informasi lengkap mengenai jadwal pertandingan dan hasil pertandingan terbaru hanya di Vidio.</t>
  </si>
  <si>
    <t>bb0e90f4</t>
  </si>
  <si>
    <t>Man United vs Liverpool - Premier League</t>
  </si>
  <si>
    <t>manchester united fc; liverpool fc; sports stream</t>
  </si>
  <si>
    <t>Nonton streaming pertandingan seru Man United vs Liverpool - Premier League. Saksikan aksi-aksi terbaik dari tim yang bersaing ketat untuk meraih kemenangan. Dapatkan informasi lengkap mengenai jadwal pertandingan dan hasil pertandingan terbaru hanya di Vidio.</t>
  </si>
  <si>
    <t>85b073e8</t>
  </si>
  <si>
    <t>Newcastle vs Brighton - Premier League</t>
  </si>
  <si>
    <t>newcastle united fc; brighton &amp; hove albion fc; sports stream</t>
  </si>
  <si>
    <t>Nonton streaming pertandingan seru Newcastle vs Brighton - Premier League. Saksikan aksi-aksi terbaik dari tim yang bersaing ketat untuk meraih kemenangan. Dapatkan informasi lengkap mengenai jadwal pertandingan dan hasil pertandingan terbaru hanya di Vidio.</t>
  </si>
  <si>
    <t>f08008b9</t>
  </si>
  <si>
    <t>Wolves vs Sunderland - Premier League</t>
  </si>
  <si>
    <t>wolverhampton wanderers fc; sunderland afc; sports stream</t>
  </si>
  <si>
    <t>Nonton streaming pertandingan seru Wolves vs Sunderland - Premier League. Saksikan aksi-aksi terbaik dari tim yang bersaing ketat untuk meraih kemenangan. Dapatkan informasi lengkap mengenai jadwal pertandingan dan hasil pertandingan terbaru hanya di Vidio.</t>
  </si>
  <si>
    <t>88e88ebd</t>
  </si>
  <si>
    <t>Brighton vs Wolves - Premier League</t>
  </si>
  <si>
    <t>brighton &amp; hove albion fc; wolverhampton wanderers fc; sports stream</t>
  </si>
  <si>
    <t>Nonton streaming pertandingan seru Brighton vs Wolves - Premier League. Saksikan aksi-aksi terbaik dari tim yang bersaing ketat untuk meraih kemenangan. Dapatkan informasi lengkap mengenai jadwal pertandingan dan hasil pertandingan terbaru hanya di Vidio.</t>
  </si>
  <si>
    <t>Matchday 36</t>
  </si>
  <si>
    <t>3837cdfd</t>
  </si>
  <si>
    <t>Burnley vs Aston Villa - Premier League</t>
  </si>
  <si>
    <t>burnley fc; aston villa fc; sports stream</t>
  </si>
  <si>
    <t>Nonton streaming pertandingan seru Burnley vs Aston Villa - Premier League. Saksikan aksi-aksi terbaik dari tim yang bersaing ketat untuk meraih kemenangan. Dapatkan informasi lengkap mengenai jadwal pertandingan dan hasil pertandingan terbaru hanya di Vidio.</t>
  </si>
  <si>
    <t>a0e24c7f</t>
  </si>
  <si>
    <t>Crystal Palace vs Everton - Premier League</t>
  </si>
  <si>
    <t>crystal palace fc; everton fc; sports stream</t>
  </si>
  <si>
    <t>Nonton streaming pertandingan seru Crystal Palace vs Everton - Premier League. Saksikan aksi-aksi terbaik dari tim yang bersaing ketat untuk meraih kemenangan. Dapatkan informasi lengkap mengenai jadwal pertandingan dan hasil pertandingan terbaru hanya di Vidio.</t>
  </si>
  <si>
    <t>cabf728e</t>
  </si>
  <si>
    <t>Fulham vs Bournemouth - Premier League</t>
  </si>
  <si>
    <t>fulham fc; afc bournemouth; sports stream</t>
  </si>
  <si>
    <t>Nonton streaming pertandingan seru Fulham vs Bournemouth - Premier League. Saksikan aksi-aksi terbaik dari tim yang bersaing ketat untuk meraih kemenangan. Dapatkan informasi lengkap mengenai jadwal pertandingan dan hasil pertandingan terbaru hanya di Vidio.</t>
  </si>
  <si>
    <t>ea627972</t>
  </si>
  <si>
    <t>Liverpool vs Chelsea - Premier League</t>
  </si>
  <si>
    <t>liverpool fc; chelsea fc; sports stream</t>
  </si>
  <si>
    <t>Nonton streaming pertandingan seru Liverpool vs Chelsea - Premier League. Saksikan aksi-aksi terbaik dari tim yang bersaing ketat untuk meraih kemenangan. Dapatkan informasi lengkap mengenai jadwal pertandingan dan hasil pertandingan terbaru hanya di Vidio.</t>
  </si>
  <si>
    <t>20bd400b</t>
  </si>
  <si>
    <t>Man City vs Brentford - Premier League</t>
  </si>
  <si>
    <t>manchester city fc; brentford fc; sports stream</t>
  </si>
  <si>
    <t>Nonton streaming pertandingan seru Man City vs Brentford - Premier League. Saksikan aksi-aksi terbaik dari tim yang bersaing ketat untuk meraih kemenangan. Dapatkan informasi lengkap mengenai jadwal pertandingan dan hasil pertandingan terbaru hanya di Vidio.</t>
  </si>
  <si>
    <t>1827b038</t>
  </si>
  <si>
    <t>Nott'm Forest vs Newcastle - Premier League</t>
  </si>
  <si>
    <t>nottingham forest fc; newcastle united fc; sports stream</t>
  </si>
  <si>
    <t>Nonton streaming pertandingan seru Nott'm Forest vs Newcastle - Premier League. Saksikan aksi-aksi terbaik dari tim yang bersaing ketat untuk meraih kemenangan. Dapatkan informasi lengkap mengenai jadwal pertandingan dan hasil pertandingan terbaru hanya di Vidio.</t>
  </si>
  <si>
    <t>10d0e856</t>
  </si>
  <si>
    <t>Sunderland vs Man United - Premier League</t>
  </si>
  <si>
    <t>sunderland afc; manchester united fc; sports stream</t>
  </si>
  <si>
    <t>Nonton streaming pertandingan seru Sunderland vs Man United - Premier League. Saksikan aksi-aksi terbaik dari tim yang bersaing ketat untuk meraih kemenangan. Dapatkan informasi lengkap mengenai jadwal pertandingan dan hasil pertandingan terbaru hanya di Vidio.</t>
  </si>
  <si>
    <t>4c51f8c3</t>
  </si>
  <si>
    <t>Tottenham vs Leeds United - Premier League</t>
  </si>
  <si>
    <t>tottenham hotspur fc; leeds united fc; sports stream</t>
  </si>
  <si>
    <t>Nonton streaming pertandingan seru Tottenham vs Leeds United - Premier League. Saksikan aksi-aksi terbaik dari tim yang bersaing ketat untuk meraih kemenangan. Dapatkan informasi lengkap mengenai jadwal pertandingan dan hasil pertandingan terbaru hanya di Vidio.</t>
  </si>
  <si>
    <t>2b570aee</t>
  </si>
  <si>
    <t>West Ham vs Arsenal - Premier League</t>
  </si>
  <si>
    <t>west ham united fc; arsenal fc; sports stream</t>
  </si>
  <si>
    <t>Nonton streaming pertandingan seru West Ham vs Arsenal - Premier League. Saksikan aksi-aksi terbaik dari tim yang bersaing ketat untuk meraih kemenangan. Dapatkan informasi lengkap mengenai jadwal pertandingan dan hasil pertandingan terbaru hanya di Vidio.</t>
  </si>
  <si>
    <t>488574b0</t>
  </si>
  <si>
    <t>Bournemouth vs Man City - Premier League</t>
  </si>
  <si>
    <t>afc bournemouth; manchester city fc; sports stream</t>
  </si>
  <si>
    <t>Nonton streaming pertandingan seru Bournemouth vs Man City - Premier League. Saksikan aksi-aksi terbaik dari tim yang bersaing ketat untuk meraih kemenangan. Dapatkan informasi lengkap mengenai jadwal pertandingan dan hasil pertandingan terbaru hanya di Vidio.</t>
  </si>
  <si>
    <t>Matchday 37</t>
  </si>
  <si>
    <t>9c13e5f2</t>
  </si>
  <si>
    <t>Arsenal vs Burnley - Premier League</t>
  </si>
  <si>
    <t>arsenal fc; burnley fc; sports stream</t>
  </si>
  <si>
    <t>Nonton streaming pertandingan seru Arsenal vs Burnley - Premier League. Saksikan aksi-aksi terbaik dari tim yang bersaing ketat untuk meraih kemenangan. Dapatkan informasi lengkap mengenai jadwal pertandingan dan hasil pertandingan terbaru hanya di Vidio.</t>
  </si>
  <si>
    <t>b73b97df</t>
  </si>
  <si>
    <t>Aston Villa vs Liverpool - Premier League</t>
  </si>
  <si>
    <t>aston villa fc; liverpool fc; sports stream</t>
  </si>
  <si>
    <t>Nonton streaming pertandingan seru Aston Villa vs Liverpool - Premier League. Saksikan aksi-aksi terbaik dari tim yang bersaing ketat untuk meraih kemenangan. Dapatkan informasi lengkap mengenai jadwal pertandingan dan hasil pertandingan terbaru hanya di Vidio.</t>
  </si>
  <si>
    <t>d0f7f2b5</t>
  </si>
  <si>
    <t>Brentford vs Crystal Palace - Premier League</t>
  </si>
  <si>
    <t>brentford fc; crystal palace fc; sports stream</t>
  </si>
  <si>
    <t>Nonton streaming pertandingan seru Brentford vs Crystal Palace - Premier League. Saksikan aksi-aksi terbaik dari tim yang bersaing ketat untuk meraih kemenangan. Dapatkan informasi lengkap mengenai jadwal pertandingan dan hasil pertandingan terbaru hanya di Vidio.</t>
  </si>
  <si>
    <t>33be3888</t>
  </si>
  <si>
    <t>Chelsea vs Tottenham - Premier League</t>
  </si>
  <si>
    <t>chelsea fc; tottenham hotspur fc; sports stream</t>
  </si>
  <si>
    <t>Nonton streaming pertandingan seru Chelsea vs Tottenham - Premier League. Saksikan aksi-aksi terbaik dari tim yang bersaing ketat untuk meraih kemenangan. Dapatkan informasi lengkap mengenai jadwal pertandingan dan hasil pertandingan terbaru hanya di Vidio.</t>
  </si>
  <si>
    <t>eee3ad55</t>
  </si>
  <si>
    <t>Everton vs Sunderland - Premier League</t>
  </si>
  <si>
    <t>everton fc; sunderland afc; sports stream</t>
  </si>
  <si>
    <t>Nonton streaming pertandingan seru Everton vs Sunderland - Premier League. Saksikan aksi-aksi terbaik dari tim yang bersaing ketat untuk meraih kemenangan. Dapatkan informasi lengkap mengenai jadwal pertandingan dan hasil pertandingan terbaru hanya di Vidio.</t>
  </si>
  <si>
    <t>8a07b316</t>
  </si>
  <si>
    <t>Leeds United vs Brighton - Premier League</t>
  </si>
  <si>
    <t>leeds united fc; brighton &amp; hove albion fc; sports stream</t>
  </si>
  <si>
    <t>Nonton streaming pertandingan seru Leeds United vs Brighton - Premier League. Saksikan aksi-aksi terbaik dari tim yang bersaing ketat untuk meraih kemenangan. Dapatkan informasi lengkap mengenai jadwal pertandingan dan hasil pertandingan terbaru hanya di Vidio.</t>
  </si>
  <si>
    <t>07a7f2fc</t>
  </si>
  <si>
    <t>Man United vs Nott'm Forest - Premier League</t>
  </si>
  <si>
    <t>manchester united fc; nottingham forest fc; sports stream</t>
  </si>
  <si>
    <t>Nonton streaming pertandingan seru Man United vs Nott'm Forest - Premier League. Saksikan aksi-aksi terbaik dari tim yang bersaing ketat untuk meraih kemenangan. Dapatkan informasi lengkap mengenai jadwal pertandingan dan hasil pertandingan terbaru hanya di Vidio.</t>
  </si>
  <si>
    <t>c2143da6</t>
  </si>
  <si>
    <t>Newcastle vs West Ham - Premier League</t>
  </si>
  <si>
    <t>newcastle united fc; west ham united fc; sports stream</t>
  </si>
  <si>
    <t>Nonton streaming pertandingan seru Newcastle vs West Ham - Premier League. Saksikan aksi-aksi terbaik dari tim yang bersaing ketat untuk meraih kemenangan. Dapatkan informasi lengkap mengenai jadwal pertandingan dan hasil pertandingan terbaru hanya di Vidio.</t>
  </si>
  <si>
    <t>29d783ec</t>
  </si>
  <si>
    <t>Wolves vs Fulham - Premier League</t>
  </si>
  <si>
    <t>wolverhampton wanderers fc; fulham fc; sports stream</t>
  </si>
  <si>
    <t>Nonton streaming pertandingan seru Wolves vs Fulham - Premier League. Saksikan aksi-aksi terbaik dari tim yang bersaing ketat untuk meraih kemenangan. Dapatkan informasi lengkap mengenai jadwal pertandingan dan hasil pertandingan terbaru hanya di Vidio.</t>
  </si>
  <si>
    <t>f0a0cda7</t>
  </si>
  <si>
    <t>Brighton vs Man United - Premier League</t>
  </si>
  <si>
    <t>brighton &amp; hove albion fc; manchester united fc; sports stream</t>
  </si>
  <si>
    <t>Nonton streaming pertandingan seru Brighton vs Man United - Premier League. Saksikan aksi-aksi terbaik dari tim yang bersaing ketat untuk meraih kemenangan. Dapatkan informasi lengkap mengenai jadwal pertandingan dan hasil pertandingan terbaru hanya di Vidio.</t>
  </si>
  <si>
    <t>Matchday 38</t>
  </si>
  <si>
    <t>e15b573e</t>
  </si>
  <si>
    <t>Burnley vs Wolves - Premier League</t>
  </si>
  <si>
    <t>burnley fc; wolverhampton wanderers fc; sports stream</t>
  </si>
  <si>
    <t>Nonton streaming pertandingan seru Burnley vs Wolves - Premier League. Saksikan aksi-aksi terbaik dari tim yang bersaing ketat untuk meraih kemenangan. Dapatkan informasi lengkap mengenai jadwal pertandingan dan hasil pertandingan terbaru hanya di Vidio.</t>
  </si>
  <si>
    <t>0734abeb</t>
  </si>
  <si>
    <t>Crystal Palace vs Arsenal - Premier League</t>
  </si>
  <si>
    <t>crystal palace fc; arsenal fc; sports stream</t>
  </si>
  <si>
    <t>Nonton streaming pertandingan seru Crystal Palace vs Arsenal - Premier League. Saksikan aksi-aksi terbaik dari tim yang bersaing ketat untuk meraih kemenangan. Dapatkan informasi lengkap mengenai jadwal pertandingan dan hasil pertandingan terbaru hanya di Vidio.</t>
  </si>
  <si>
    <t>0509716f</t>
  </si>
  <si>
    <t>Fulham vs Newcastle - Premier League</t>
  </si>
  <si>
    <t>fulham fc; newcastle united fc; sports stream</t>
  </si>
  <si>
    <t>Nonton streaming pertandingan seru Fulham vs Newcastle - Premier League. Saksikan aksi-aksi terbaik dari tim yang bersaing ketat untuk meraih kemenangan. Dapatkan informasi lengkap mengenai jadwal pertandingan dan hasil pertandingan terbaru hanya di Vidio.</t>
  </si>
  <si>
    <t>e8bbb01e</t>
  </si>
  <si>
    <t>Liverpool vs Brentford - Premier League</t>
  </si>
  <si>
    <t>liverpool fc; brentford fc; sports stream</t>
  </si>
  <si>
    <t>Nonton streaming pertandingan seru Liverpool vs Brentford - Premier League. Saksikan aksi-aksi terbaik dari tim yang bersaing ketat untuk meraih kemenangan. Dapatkan informasi lengkap mengenai jadwal pertandingan dan hasil pertandingan terbaru hanya di Vidio.</t>
  </si>
  <si>
    <t>f561e705</t>
  </si>
  <si>
    <t>Man City vs Aston Villa - Premier League</t>
  </si>
  <si>
    <t>manchester city fc; aston villa fc; sports stream</t>
  </si>
  <si>
    <t>Nonton streaming pertandingan seru Man City vs Aston Villa - Premier League. Saksikan aksi-aksi terbaik dari tim yang bersaing ketat untuk meraih kemenangan. Dapatkan informasi lengkap mengenai jadwal pertandingan dan hasil pertandingan terbaru hanya di Vidio.</t>
  </si>
  <si>
    <t>9c4dbdb0</t>
  </si>
  <si>
    <t>Nott'm Forest vs Bournemouth - Premier League</t>
  </si>
  <si>
    <t>nottingham forest fc; afc bournemouth; sports stream</t>
  </si>
  <si>
    <t>Nonton streaming pertandingan seru Nott'm Forest vs Bournemouth - Premier League. Saksikan aksi-aksi terbaik dari tim yang bersaing ketat untuk meraih kemenangan. Dapatkan informasi lengkap mengenai jadwal pertandingan dan hasil pertandingan terbaru hanya di Vidio.</t>
  </si>
  <si>
    <t>5bf03d48</t>
  </si>
  <si>
    <t>Sunderland vs Chelsea - Premier League</t>
  </si>
  <si>
    <t>sunderland afc; chelsea fc; sports stream</t>
  </si>
  <si>
    <t>Nonton streaming pertandingan seru Sunderland vs Chelsea - Premier League. Saksikan aksi-aksi terbaik dari tim yang bersaing ketat untuk meraih kemenangan. Dapatkan informasi lengkap mengenai jadwal pertandingan dan hasil pertandingan terbaru hanya di Vidio.</t>
  </si>
  <si>
    <t>f2257ccb</t>
  </si>
  <si>
    <t>Tottenham vs Everton - Premier League</t>
  </si>
  <si>
    <t>tottenham hotspur fc; everton fc; sports stream</t>
  </si>
  <si>
    <t>Nonton streaming pertandingan seru Tottenham vs Everton - Premier League. Saksikan aksi-aksi terbaik dari tim yang bersaing ketat untuk meraih kemenangan. Dapatkan informasi lengkap mengenai jadwal pertandingan dan hasil pertandingan terbaru hanya di Vidio.</t>
  </si>
  <si>
    <t>8a8a0f2d</t>
  </si>
  <si>
    <t>West Ham vs Leeds United - Premier League</t>
  </si>
  <si>
    <t>west ham united fc; leeds united fc; sports stream</t>
  </si>
  <si>
    <t>Nonton streaming pertandingan seru West Ham vs Leeds United - Premier League. Saksikan aksi-aksi terbaik dari tim yang bersaing ketat untuk meraih kemenangan. Dapatkan informasi lengkap mengenai jadwal pertandingan dan hasil pertandingan terbaru hanya di Vidio.</t>
  </si>
  <si>
    <t>54a06ebe</t>
  </si>
  <si>
    <t>Genoa vs Lecce - Serie A</t>
  </si>
  <si>
    <t>Serie A 2025/26</t>
  </si>
  <si>
    <t>VIDIO - @seriea</t>
  </si>
  <si>
    <t>PLATINUM EXTRA</t>
  </si>
  <si>
    <t>https://www.vidio.com/live/19404-serie-a?schedule_id=4514272</t>
  </si>
  <si>
    <t>CTV 3</t>
  </si>
  <si>
    <t>https://drive.google.com/drive/folders/1DEIcntXCy0uEGo3rTDPUXcdYNlSX8Nqr?usp=drive_link</t>
  </si>
  <si>
    <t>Genoa CFC</t>
  </si>
  <si>
    <t>Lecce</t>
  </si>
  <si>
    <t>Sports &gt; Football &gt; Serie A</t>
  </si>
  <si>
    <t>Serie A; Serie A 2025/26</t>
  </si>
  <si>
    <t>FIFA; UEFA; European Leagues; Lega Nazionale Professionisti Serie A</t>
  </si>
  <si>
    <t>genoa cfc; us lecce; sports stream</t>
  </si>
  <si>
    <t>Nonton streaming pertandingan seru Genoa vs Lecce - Serie A. Saksikan aksi-aksi terbaik dari tim yang bersaing ketat untuk meraih kemenangan. Dapatkan informasi lengkap mengenai jadwal pertandingan dan hasil pertandingan terbaru hanya di Vidio.</t>
  </si>
  <si>
    <t>https://drive.google.com/file/d/1twBRd4LKMQMLV9VAdvoo4PVd7_ZYlCxl/view?usp=sharing</t>
  </si>
  <si>
    <t>2c127ba3</t>
  </si>
  <si>
    <t>Roma vs Bologna - Serie A</t>
  </si>
  <si>
    <t>https://www.vidio.com/live/19404-serie-a?schedule_id=4514293</t>
  </si>
  <si>
    <t>https://drive.google.com/drive/folders/1tSwA1Ih4OEMYvWyqdXu4Qrf08mBNDO2a?usp=drive_link</t>
  </si>
  <si>
    <t>A.S. Roma</t>
  </si>
  <si>
    <t>Bologna FC</t>
  </si>
  <si>
    <t>as roma; bologna fc 1909; sports stream</t>
  </si>
  <si>
    <t>Nonton streaming pertandingan seru Roma vs Bologna - Serie A. Saksikan aksi-aksi terbaik dari tim yang bersaing ketat untuk meraih kemenangan. Dapatkan informasi lengkap mengenai jadwal pertandingan dan hasil pertandingan terbaru hanya di Vidio.</t>
  </si>
  <si>
    <t>https://drive.google.com/file/d/1vgGfqp31RENNGCNsEMyrEOYfy5Tnn_nC/view?usp=sharing</t>
  </si>
  <si>
    <t>https://drive.google.com/file/d/11NR_v9QzBqR0hknVIreJkah8zPnpzNcL/view?usp=sharing</t>
  </si>
  <si>
    <t>718d8ef5</t>
  </si>
  <si>
    <t>Cagliari vs Fiorentina - Serie A</t>
  </si>
  <si>
    <t>https://www.vidio.com/live/19404-serie-a?schedule_id=4520554</t>
  </si>
  <si>
    <t>https://drive.google.com/drive/folders/176HpTEUVF7Zi14WLW8aAh9WnDt_jAAS1?usp=drive_link</t>
  </si>
  <si>
    <t>Cagliari Calcio</t>
  </si>
  <si>
    <t>ACF Fiorentina</t>
  </si>
  <si>
    <t>cagliari calcio; acf fiorentina; sports stream</t>
  </si>
  <si>
    <t>Nonton streaming pertandingan seru Cagliari vs Fiorentina - Serie A. Saksikan aksi-aksi terbaik dari tim yang bersaing ketat untuk meraih kemenangan. Dapatkan informasi lengkap mengenai jadwal pertandingan dan hasil pertandingan terbaru hanya di Vidio.</t>
  </si>
  <si>
    <t>https://drive.google.com/file/d/127vbzuTiFf9DatOe2zAboJxItTB6Ghvc/view?usp=sharing</t>
  </si>
  <si>
    <t>https://drive.google.com/file/d/1citYw_3QwY0GP3qTlPAisECEVJULl9pa/view?usp=sharing</t>
  </si>
  <si>
    <t>cf469364</t>
  </si>
  <si>
    <t>Como vs Lazio - Serie A</t>
  </si>
  <si>
    <t>https://www.vidio.com/live/17938-serie-a?schedule_id=4514312</t>
  </si>
  <si>
    <t>https://drive.google.com/drive/folders/1uVP92lptHqeiG93w4ngIwQ1kmERUzjc9?usp=drive_link</t>
  </si>
  <si>
    <t>Como</t>
  </si>
  <si>
    <t>Lazio</t>
  </si>
  <si>
    <t>como; ss lazio; sports stream</t>
  </si>
  <si>
    <t>Nonton streaming pertandingan seru Como vs Lazio - Serie A. Saksikan aksi-aksi terbaik dari tim yang bersaing ketat untuk meraih kemenangan. Dapatkan informasi lengkap mengenai jadwal pertandingan dan hasil pertandingan terbaru hanya di Vidio.</t>
  </si>
  <si>
    <t>https://drive.google.com/file/d/17tN8-D69XJk84HSw-pEBLUyAMdx0dGR4/view?usp=sharing</t>
  </si>
  <si>
    <t>https://drive.google.com/file/d/1tS_hoxJ-z7Xd0OwgKIxKu9AChTEzFEAZ/view?usp=sharing</t>
  </si>
  <si>
    <t>530c3b4e</t>
  </si>
  <si>
    <t>Juventus vs Parma - Serie A</t>
  </si>
  <si>
    <t>https://www.vidio.com/live/17938-serie-a?schedule_id=4520557</t>
  </si>
  <si>
    <t>https://drive.google.com/drive/folders/1rDddGfX0y2b6-pLO4LNmqeMK3sCSHoFa?usp=drive_link</t>
  </si>
  <si>
    <t>Juventus</t>
  </si>
  <si>
    <t>Parma Calcio</t>
  </si>
  <si>
    <t>juventus fc; parma calcio; sports stream</t>
  </si>
  <si>
    <t>Nonton streaming pertandingan seru Juventus vs Parma - Serie A. Saksikan aksi-aksi terbaik dari tim yang bersaing ketat untuk meraih kemenangan. Dapatkan informasi lengkap mengenai jadwal pertandingan dan hasil pertandingan terbaru hanya di Vidio.</t>
  </si>
  <si>
    <t>https://drive.google.com/file/d/1_8eEQ3Zf2p942fymffwZcNVFlep_BAV3/view?usp=sharing</t>
  </si>
  <si>
    <t>https://drive.google.com/file/d/1ChY8QpQOF9OdlHrD2MNewia_NS7cWt-Q/view?usp=sharing</t>
  </si>
  <si>
    <t>f889c10b</t>
  </si>
  <si>
    <t>Udinese vs Verona - Serie A</t>
  </si>
  <si>
    <t>https://www.vidio.com/live/19404-serie-a?schedule_id=4520564</t>
  </si>
  <si>
    <t>https://drive.google.com/drive/folders/1E30m_TwFv67kbxNGDkQXVPtM1E5qd4x1?usp=drive_link</t>
  </si>
  <si>
    <t>Udinese Calcio</t>
  </si>
  <si>
    <t>Hellas Verona</t>
  </si>
  <si>
    <t>udinese calcio; hellas verona fc; sports stream</t>
  </si>
  <si>
    <t>Nonton streaming pertandingan seru Udinese vs Verona - Serie A. Saksikan aksi-aksi terbaik dari tim yang bersaing ketat untuk meraih kemenangan. Dapatkan informasi lengkap mengenai jadwal pertandingan dan hasil pertandingan terbaru hanya di Vidio.</t>
  </si>
  <si>
    <t>https://drive.google.com/file/d/18evoASsZfIS47Gd1O0sC4wg-EQBVhNWW/view?usp=sharing</t>
  </si>
  <si>
    <t>d2d4f80d</t>
  </si>
  <si>
    <t>Inter vs Torino - Serie A</t>
  </si>
  <si>
    <t>https://www.vidio.com/live/19404-serie-a?schedule_id=4523391</t>
  </si>
  <si>
    <t>https://drive.google.com/drive/folders/1y6YccXGwN3X0O3w78M3hEZUwBTx8p8lW?usp=drive_link</t>
  </si>
  <si>
    <t>Inter Milan</t>
  </si>
  <si>
    <t>Torino FC</t>
  </si>
  <si>
    <t>fc internazionale milano; torino fc; sports stream</t>
  </si>
  <si>
    <t>Nonton streaming pertandingan seru Inter vs Torino - Serie A. Saksikan aksi-aksi terbaik dari tim yang bersaing ketat untuk meraih kemenangan. Dapatkan informasi lengkap mengenai jadwal pertandingan dan hasil pertandingan terbaru hanya di Vidio.</t>
  </si>
  <si>
    <t>https://drive.google.com/file/d/1p-6tBPvrVXDN8xxZJFlB1Exo5bnVf6kL/view?usp=sharing</t>
  </si>
  <si>
    <t>https://drive.google.com/file/d/1cNKW_y9XqMtr1WI03RYYsvrS1qYM5q05/view?usp=sharing</t>
  </si>
  <si>
    <t>de5cb3d4</t>
  </si>
  <si>
    <t>Lecce vs Milan - Serie A</t>
  </si>
  <si>
    <t>https://www.vidio.com/live/17938-serie-a?schedule_id=4525579</t>
  </si>
  <si>
    <t>https://drive.google.com/drive/folders/1DaCa0c5kBygLyx2cDEenwV4RI3jRxoc7?usp=drive_link</t>
  </si>
  <si>
    <t>https://drive.google.com/drive/folders/1LuxZ_sFvW4OpHLHwr_N1EPpdItPfXoCI?usp=drive_link</t>
  </si>
  <si>
    <t>A.C. Milan</t>
  </si>
  <si>
    <t>us lecce; ac milan; sports stream</t>
  </si>
  <si>
    <t>Nonton streaming pertandingan seru Lecce vs Milan - Serie A. Saksikan aksi-aksi terbaik dari tim yang bersaing ketat untuk meraih kemenangan. Dapatkan informasi lengkap mengenai jadwal pertandingan dan hasil pertandingan terbaru hanya di Vidio.</t>
  </si>
  <si>
    <t>muhammad.iskandar@vidio.com</t>
  </si>
  <si>
    <t>https://drive.google.com/file/d/1Miv6MWWZkb-yFENpjtOfW5B1zmPBfRMt/view?usp=sharing</t>
  </si>
  <si>
    <t>https://drive.google.com/file/d/1G4has4h51RFFMNj8RetEUnbj4OxaQbTB/view?usp=drive_link</t>
  </si>
  <si>
    <t>https://drive.google.com/file/d/1lDXenoEUMNXEVt8R3Ov82VHk8c8QY1hr/view?usp=sharing</t>
  </si>
  <si>
    <t>968bda48</t>
  </si>
  <si>
    <t>Bologna vs Como - Serie A</t>
  </si>
  <si>
    <t>https://www.vidio.com/live/17938-serie-a?schedule_id=4527528</t>
  </si>
  <si>
    <t>https://drive.google.com/drive/folders/1jcQESjFkQqi6_Y5docogJrNbFjMNfmkR?usp=drive_link</t>
  </si>
  <si>
    <t>bologna fc 1909; como; sports stream</t>
  </si>
  <si>
    <t>Nonton streaming pertandingan seru Bologna vs Como - Serie A. Saksikan aksi-aksi terbaik dari tim yang bersaing ketat untuk meraih kemenangan. Dapatkan informasi lengkap mengenai jadwal pertandingan dan hasil pertandingan terbaru hanya di Vidio.</t>
  </si>
  <si>
    <t>https://drive.google.com/file/d/1i4ok56rUP8GdFHVVGPJqZr8hMdgz4r4-/view?usp=sharing</t>
  </si>
  <si>
    <t>https://drive.google.com/file/d/1kBFscscFwqw7oIInktKA8H9iASH1qM27/view?usp=drive_link</t>
  </si>
  <si>
    <t>2b6050c8</t>
  </si>
  <si>
    <t>Parma vs Atalanta - Serie A</t>
  </si>
  <si>
    <t>https://www.vidio.com/live/19404-serie-a?schedule_id=4527529</t>
  </si>
  <si>
    <t>https://drive.google.com/drive/folders/1_BNKPouqvItE8H9Ug48jEjMj8xl2hMnA?usp=drive_link</t>
  </si>
  <si>
    <t>Atalanta B.C.</t>
  </si>
  <si>
    <t>parma calcio; atalanta bergamasca calcio; sports stream</t>
  </si>
  <si>
    <t>Nonton streaming pertandingan seru Parma vs Atalanta - Serie A. Saksikan aksi-aksi terbaik dari tim yang bersaing ketat untuk meraih kemenangan. Dapatkan informasi lengkap mengenai jadwal pertandingan dan hasil pertandingan terbaru hanya di Vidio.</t>
  </si>
  <si>
    <t>https://drive.google.com/file/d/13yaweIrGNhDlPwZk1zUM2cs3vrypH6bH/view?usp=sharing</t>
  </si>
  <si>
    <t>https://drive.google.com/file/d/1Ue20puZDOnyZSRdD3PxTAuunV2FECY4W/view?usp=drive_link</t>
  </si>
  <si>
    <t>https://drive.google.com/file/d/1N-pq6WnhrtErmzUkACQD5vPf2c_V4K14/view?usp=sharing</t>
  </si>
  <si>
    <t>3ac738e3</t>
  </si>
  <si>
    <t>Napoli vs Cagliari - Serie A</t>
  </si>
  <si>
    <t>https://www.vidio.com/live/17938-serie-a?schedule_id=4527532</t>
  </si>
  <si>
    <t>https://drive.google.com/drive/folders/1YNfM7nani-TbXEo4vH38yoa_ZIhRUIZA?usp=drive_link</t>
  </si>
  <si>
    <t>SSC Napoli</t>
  </si>
  <si>
    <t>ssc napoli; cagliari calcio; sports stream</t>
  </si>
  <si>
    <t>Nonton streaming pertandingan seru Napoli vs Cagliari - Serie A. Saksikan aksi-aksi terbaik dari tim yang bersaing ketat untuk meraih kemenangan. Dapatkan informasi lengkap mengenai jadwal pertandingan dan hasil pertandingan terbaru hanya di Vidio.</t>
  </si>
  <si>
    <t>https://drive.google.com/file/d/1Wo8GSCeyn1zHcSuCDdAEKdcAkPCTMMEr/view?usp=sharing</t>
  </si>
  <si>
    <t>https://drive.google.com/file/d/1p3CFHDsfOmxPgAVRl_76khZkvnS5MPjH/view?usp=drive_link</t>
  </si>
  <si>
    <t>https://drive.google.com/file/d/1AmO-GlReSuG6rsoGtSqbzW0IGU1jhgFj/view?usp=sharing</t>
  </si>
  <si>
    <t>22684988</t>
  </si>
  <si>
    <t>Genoa vs Juventus - Serie A</t>
  </si>
  <si>
    <t>https://www.vidio.com/live/17938-serie-a?schedule_id=4527536</t>
  </si>
  <si>
    <t>https://drive.google.com/drive/folders/1a2mFNTh5TJV_YPpfQpom1jrrvkq9zLSR?usp=drive_link</t>
  </si>
  <si>
    <t>genoa cfc; juventus fc; sports stream</t>
  </si>
  <si>
    <t>Nonton streaming pertandingan seru Genoa vs Juventus - Serie A. Saksikan aksi-aksi terbaik dari tim yang bersaing ketat untuk meraih kemenangan. Dapatkan informasi lengkap mengenai jadwal pertandingan dan hasil pertandingan terbaru hanya di Vidio.</t>
  </si>
  <si>
    <t>https://drive.google.com/file/d/1bmYF2xwUr0SOj5wd1Y_Jyq35CES-O9Rx/view?usp=sharing</t>
  </si>
  <si>
    <t>https://drive.google.com/file/d/1XX5syD48DdFsR2byNzhj8_6dVOVfn6Kc/view?usp=drive_link</t>
  </si>
  <si>
    <t>https://drive.google.com/file/d/1i2r44C6M-i4oLLWPo_r5zw2nyuF3AYFa/view?usp=sharing</t>
  </si>
  <si>
    <t>a304fcfc</t>
  </si>
  <si>
    <t>Torino vs Fiorentina - Serie A</t>
  </si>
  <si>
    <t>https://www.vidio.com/live/19404-serie-a?schedule_id=4527538</t>
  </si>
  <si>
    <t>https://drive.google.com/drive/folders/17rTx4ykYTEX3_u-MiIr7SreOsYh_iEmi?usp=drive_link</t>
  </si>
  <si>
    <t>torino fc; acf fiorentina; sports stream</t>
  </si>
  <si>
    <t>Nonton streaming pertandingan seru Torino vs Fiorentina - Serie A. Saksikan aksi-aksi terbaik dari tim yang bersaing ketat untuk meraih kemenangan. Dapatkan informasi lengkap mengenai jadwal pertandingan dan hasil pertandingan terbaru hanya di Vidio.</t>
  </si>
  <si>
    <t>https://drive.google.com/file/d/1aSiS0uO0eMZFrRqUA_r68hr8VsxPSCjZ/view?usp=sharing</t>
  </si>
  <si>
    <t>https://drive.google.com/file/d/1T6ofZKvaIgoME59QQc3ZNMh1meCnUYqE/view?usp=drive_link</t>
  </si>
  <si>
    <t>https://drive.google.com/file/d/1G88IYjO_nN6bBVGLSZehzhLANiwzcjgm/view?usp=sharing</t>
  </si>
  <si>
    <t>d7423e34</t>
  </si>
  <si>
    <t>Inter vs Udinese - Serie A</t>
  </si>
  <si>
    <t>https://www.vidio.com/live/17938-serie-a?schedule_id=4535796</t>
  </si>
  <si>
    <t>https://drive.google.com/drive/folders/13DGbr3LsqI2gIkOWeRCyWFWrAxIpifFp?usp=drive_link</t>
  </si>
  <si>
    <t>fc internazionale milano; udinese calcio; sports stream</t>
  </si>
  <si>
    <t>Nonton streaming pertandingan seru Inter vs Udinese - Serie A. Saksikan aksi-aksi terbaik dari tim yang bersaing ketat untuk meraih kemenangan. Dapatkan informasi lengkap mengenai jadwal pertandingan dan hasil pertandingan terbaru hanya di Vidio.</t>
  </si>
  <si>
    <t>https://drive.google.com/file/d/1YKofCTZ9Cilct94BSckzDZhzo_ok4lAI/view?usp=sharing</t>
  </si>
  <si>
    <t>https://drive.google.com/file/d/1xqL5tu2tQoqmx0TFUgH78FMUiiEDXvXb/view?usp=drive_link</t>
  </si>
  <si>
    <t>https://drive.google.com/file/d/1j2PrrPMCN8dq06AYMVsxylmfTD5oavXy/view?usp=sharing</t>
  </si>
  <si>
    <t>f31b245b</t>
  </si>
  <si>
    <t>Lazio vs Verona - Serie A</t>
  </si>
  <si>
    <t>https://www.vidio.com/live/19404-serie-a?schedule_id=4535797</t>
  </si>
  <si>
    <t>https://drive.google.com/drive/folders/1FDHERpW24gk3GKG3SiIxPunVzLYJtzTr?usp=drive_link</t>
  </si>
  <si>
    <t>ss lazio; hellas verona fc; sports stream</t>
  </si>
  <si>
    <t>Nonton streaming pertandingan seru Lazio vs Verona - Serie A. Saksikan aksi-aksi terbaik dari tim yang bersaing ketat untuk meraih kemenangan. Dapatkan informasi lengkap mengenai jadwal pertandingan dan hasil pertandingan terbaru hanya di Vidio.</t>
  </si>
  <si>
    <t>https://drive.google.com/file/d/15uHYaloYgKuiv3Jdn89Uxswav1JU3VYj/view?usp=sharing</t>
  </si>
  <si>
    <t>https://drive.google.com/file/d/1q_XqVa1vtjm9R9YPfz1DBEiBctLiYIkv/view?usp=drive_link</t>
  </si>
  <si>
    <t>https://drive.google.com/file/d/1w79pFHM3I3cgvNTU65k-xim3yCc2AhiW/view?usp=sharing</t>
  </si>
  <si>
    <t>b0212b4e</t>
  </si>
  <si>
    <t>Cagliari vs Parma - Serie A</t>
  </si>
  <si>
    <t>https://www.vidio.com/live/19404-serie-a?schedule_id=4557257</t>
  </si>
  <si>
    <t>https://drive.google.com/drive/folders/1pwa2MvSN7UlrmLIATbJRHmlsNnBtZw3U?usp=drive_link</t>
  </si>
  <si>
    <t>https://drive.google.com/drive/folders/13g-2xNYJ52g3CsquyDv4V9uUMoDq__RD?usp=drive_link</t>
  </si>
  <si>
    <t>cagliari calcio; parma calcio; sports stream</t>
  </si>
  <si>
    <t>Nonton streaming pertandingan seru Cagliari vs Parma - Serie A. Saksikan aksi-aksi terbaik dari tim yang bersaing ketat untuk meraih kemenangan. Dapatkan informasi lengkap mengenai jadwal pertandingan dan hasil pertandingan terbaru hanya di Vidio.</t>
  </si>
  <si>
    <t>https://drive.google.com/file/d/19YDy0DcxgvVHJ41CjbkNi510DegUbdjZ/view?usp=sharing</t>
  </si>
  <si>
    <t>https://drive.google.com/file/d/1BNFoEGWsit3mzBSwb5dHpu0e-SlViI0j/view?usp=drive_link</t>
  </si>
  <si>
    <t>f715bc80</t>
  </si>
  <si>
    <t>Juventus vs Inter - Serie A</t>
  </si>
  <si>
    <t>https://www.vidio.com/live/19404-serie-a?schedule_id=4557258</t>
  </si>
  <si>
    <t>https://drive.google.com/drive/folders/14lITpxGmHzzxnGvjrFWYqT0BlTbY96DF?usp=drive_link</t>
  </si>
  <si>
    <t>juventus fc; fc internazionale milano; sports stream</t>
  </si>
  <si>
    <t>Nonton streaming pertandingan seru Juventus vs Inter - Serie A. Saksikan aksi-aksi terbaik dari tim yang bersaing ketat untuk meraih kemenangan. Dapatkan informasi lengkap mengenai jadwal pertandingan dan hasil pertandingan terbaru hanya di Vidio.</t>
  </si>
  <si>
    <t>TVC NTC + Socmed + CRM + SEO + PMaxx</t>
  </si>
  <si>
    <t>https://drive.google.com/file/d/1dOUPR1OsT-ZaFUczSRyYcsIHruJBCqx0/view?usp=sharing</t>
  </si>
  <si>
    <t>https://drive.google.com/file/d/1HpOVaksz6kKZpGqgqbQwd0cENnS8ms3T/view?usp=drive_link</t>
  </si>
  <si>
    <t>https://drive.google.com/file/d/1QUyABmeg9CM7DaRt-ogJHgZu-IcxlafB/view?usp=sharing</t>
  </si>
  <si>
    <t>c0d234bf</t>
  </si>
  <si>
    <t>Fiorentina vs Napoli - Serie A</t>
  </si>
  <si>
    <t>https://www.vidio.com/live/19404-serie-a?schedule_id=4557259</t>
  </si>
  <si>
    <t>https://drive.google.com/drive/folders/1dkfMd29viVkPAfN_P5aVCebPfON31IJE?usp=drive_link</t>
  </si>
  <si>
    <t>acf fiorentina; ssc napoli; sports stream</t>
  </si>
  <si>
    <t>Nonton streaming pertandingan seru Fiorentina vs Napoli - Serie A. Saksikan aksi-aksi terbaik dari tim yang bersaing ketat untuk meraih kemenangan. Dapatkan informasi lengkap mengenai jadwal pertandingan dan hasil pertandingan terbaru hanya di Vidio.</t>
  </si>
  <si>
    <t>https://drive.google.com/file/d/1kCXHvx2JYZQVcca3PViOLVc8thLZVBri/view?usp=sharing</t>
  </si>
  <si>
    <t>https://drive.google.com/file/d/1qmnm44KoSE99kVS6-KaM5Kn3Yd9LAz0Z/view?usp=drive_link</t>
  </si>
  <si>
    <t>https://drive.google.com/file/d/1DGL2COSm8jKknP0obDQkAM9NPg9utetg/view?usp=sharing</t>
  </si>
  <si>
    <t>58ddb7c6</t>
  </si>
  <si>
    <t>Roma vs Torino - Serie A</t>
  </si>
  <si>
    <t>https://www.vidio.com/live/19404-serie-a?schedule_id=4557260</t>
  </si>
  <si>
    <t>https://drive.google.com/drive/folders/1Nwx_u8jmnq_TFppaPNR-UGjVqC0RGxeo?usp=drive_link</t>
  </si>
  <si>
    <t>as roma; torino fc; sports stream</t>
  </si>
  <si>
    <t>Nonton streaming pertandingan seru Roma vs Torino - Serie A. Saksikan aksi-aksi terbaik dari tim yang bersaing ketat untuk meraih kemenangan. Dapatkan informasi lengkap mengenai jadwal pertandingan dan hasil pertandingan terbaru hanya di Vidio.</t>
  </si>
  <si>
    <t>E1</t>
  </si>
  <si>
    <t>https://drive.google.com/file/d/1No3unrI_-B2D5Mc__oQmnkKhHfTuA1iF/view?usp=sharing</t>
  </si>
  <si>
    <t>https://drive.google.com/file/d/1kGucMrf-CF8mZ4vOyP_WpmjPPkv1o6r3/view?usp=drive_link</t>
  </si>
  <si>
    <t>https://drive.google.com/file/d/1iML1xCp3ny_DU5S-OIwqB2skEuGb8jsz/view?usp=sharing</t>
  </si>
  <si>
    <t>92423da6</t>
  </si>
  <si>
    <t>Atalanta vs Lecce - Serie A</t>
  </si>
  <si>
    <t>https://www.vidio.com/live/19404-serie-a?schedule_id=4557261</t>
  </si>
  <si>
    <t>https://drive.google.com/drive/folders/1XzaUlyW6n3jsUztaFbQaD4DkBuhV9Ajt?usp=drive_link</t>
  </si>
  <si>
    <t>atalanta bergamasca calcio; us lecce; sports stream</t>
  </si>
  <si>
    <t>Nonton streaming pertandingan seru Atalanta vs Lecce - Serie A. Saksikan aksi-aksi terbaik dari tim yang bersaing ketat untuk meraih kemenangan. Dapatkan informasi lengkap mengenai jadwal pertandingan dan hasil pertandingan terbaru hanya di Vidio.</t>
  </si>
  <si>
    <t>https://drive.google.com/file/d/121byOKe7-t62s7NYZnFYozh4DS7JkNXP/view?usp=sharing</t>
  </si>
  <si>
    <t>https://drive.google.com/file/d/1XHwuGfHVHWIOjjqPKl26FbvcGmyEf4ii/view?usp=drive_link</t>
  </si>
  <si>
    <t>https://drive.google.com/file/d/1w_VTVXk94OtXnsflJ6QhFCmXWiHX1fqF/view?usp=sharing</t>
  </si>
  <si>
    <t>b6d788c6</t>
  </si>
  <si>
    <t>Milan vs Bologna - Serie A</t>
  </si>
  <si>
    <t>https://www.vidio.com/live/19404-serie-a?schedule_id=4569293</t>
  </si>
  <si>
    <t>https://drive.google.com/drive/folders/1iAcTnY1Ht_PTu47P3_ivCM6Kg5F2BHXs?usp=drive_link</t>
  </si>
  <si>
    <t>ac milan; bologna fc 1909; sports stream</t>
  </si>
  <si>
    <t>Nonton streaming pertandingan seru Milan vs Bologna - Serie A. Saksikan aksi-aksi terbaik dari tim yang bersaing ketat untuk meraih kemenangan. Dapatkan informasi lengkap mengenai jadwal pertandingan dan hasil pertandingan terbaru hanya di Vidio.</t>
  </si>
  <si>
    <t>https://drive.google.com/file/d/1ZIIF2LphRAZI81Af2xQ-KC2ALHcoYfvj/view?usp=sharing</t>
  </si>
  <si>
    <t>https://drive.google.com/file/d/1Nwa4ij1Pt0MeAQaeGRxH0IVGxxw83rPi/view?usp=drive_link</t>
  </si>
  <si>
    <t>https://drive.google.com/file/d/1vuemGCB7u6lmuuHvSJlitEZqspTCUkT5/view?usp=sharing</t>
  </si>
  <si>
    <t>16bd2a23</t>
  </si>
  <si>
    <t>Como vs Genoa - Serie A</t>
  </si>
  <si>
    <t>https://www.vidio.com/live/19404-serie-a?schedule_id=4573413</t>
  </si>
  <si>
    <t>https://drive.google.com/drive/folders/1tb9b4ZykBOEPgIUGjqmLvfJkqDg80Okv?usp=drive_link</t>
  </si>
  <si>
    <t>como; genoa cfc; sports stream</t>
  </si>
  <si>
    <t>Nonton streaming pertandingan seru Como vs Genoa - Serie A. Saksikan aksi-aksi terbaik dari tim yang bersaing ketat untuk meraih kemenangan. Dapatkan informasi lengkap mengenai jadwal pertandingan dan hasil pertandingan terbaru hanya di Vidio.</t>
  </si>
  <si>
    <t>muhammad.duvieanto@intern.vidio.com</t>
  </si>
  <si>
    <t>https://drive.google.com/file/d/1qwqQY3d8YbT0eiwgErXfLo7gky5gzJ3r/view?usp=sharing</t>
  </si>
  <si>
    <t>https://drive.google.com/file/d/1eE7qK4K1-kAoozSSuv1ltB7isX_MWshb/view?usp=drive_link</t>
  </si>
  <si>
    <t>c2659cfe</t>
  </si>
  <si>
    <t>Sassuolo vs Napoli - Serie A</t>
  </si>
  <si>
    <t>https://www.vidio.com/live/17938-serie-a?schedule_id=4514274</t>
  </si>
  <si>
    <t>https://drive.google.com/drive/folders/109ulmc-ENZsJQ0oS8N3mFs9O4laX7XYe?usp=drive_link</t>
  </si>
  <si>
    <t>Sassuolo Calcio</t>
  </si>
  <si>
    <t>us sassuolo calcio; ssc napoli; sports stream</t>
  </si>
  <si>
    <t>Nonton streaming pertandingan seru Sassuolo vs Napoli - Serie A. Saksikan aksi-aksi terbaik dari tim yang bersaing ketat untuk meraih kemenangan. Dapatkan informasi lengkap mengenai jadwal pertandingan dan hasil pertandingan terbaru hanya di Vidio.</t>
  </si>
  <si>
    <t>TVC NTC + Performance + Socmed + CRM + SEO</t>
  </si>
  <si>
    <t>https://3.basecamp.com/4902751/buckets/36763424/card_tables/cards/8958239141</t>
  </si>
  <si>
    <t>https://drive.google.com/file/d/1O5MejWgT6HD_nu6NQIubpPeDXXDTiN1v/view?usp=sharing</t>
  </si>
  <si>
    <t>https://drive.google.com/file/d/1Zs5-L5TPmLr1D9nHVP2Z9mCxslmQxj1m/view?usp=sharing</t>
  </si>
  <si>
    <t>4e8dcf6b</t>
  </si>
  <si>
    <t>Milan vs Cremonese - Serie A</t>
  </si>
  <si>
    <t>https://www.vidio.com/live/17938-serie-a?schedule_id=4514279</t>
  </si>
  <si>
    <t>https://drive.google.com/drive/folders/1pgQR-dsLnbLdNZyyyr3lnOCBvJ-4mfby?usp=drive_link</t>
  </si>
  <si>
    <t>Cremonese</t>
  </si>
  <si>
    <t>ac milan; US Cremonese; sports stream</t>
  </si>
  <si>
    <t>Nonton streaming pertandingan seru Milan vs Cremonese - Serie A. Saksikan aksi-aksi terbaik dari tim yang bersaing ketat untuk meraih kemenangan. Dapatkan informasi lengkap mengenai jadwal pertandingan dan hasil pertandingan terbaru hanya di Vidio.</t>
  </si>
  <si>
    <t>Socmed + CRM + SEO</t>
  </si>
  <si>
    <t>https://3.basecamp.com/4902751/buckets/36763424/card_tables/cards/8967070160</t>
  </si>
  <si>
    <t>https://drive.google.com/file/d/1qKgEiNDu19eT958wNVqJg5pgVpfADrOL/view?usp=sharing</t>
  </si>
  <si>
    <t>https://drive.google.com/file/d/12_cB5m9ZHnWN9YZJ8-OA4J30QqWJa0eZ/view?usp=sharing</t>
  </si>
  <si>
    <t>d5c7430b</t>
  </si>
  <si>
    <t>Atalanta vs Pisa - Serie A</t>
  </si>
  <si>
    <t>https://www.vidio.com/live/19404-serie-a?schedule_id=4520553</t>
  </si>
  <si>
    <t>https://drive.google.com/drive/folders/1SkxOZNZP34nBHkUqRVWEW1IYmlWUETAx?usp=drive_link</t>
  </si>
  <si>
    <t>Pisa</t>
  </si>
  <si>
    <t>atalanta bergamasca calcio; Pisa SC; sports stream</t>
  </si>
  <si>
    <t>Nonton streaming pertandingan seru Atalanta vs Pisa - Serie A. Saksikan aksi-aksi terbaik dari tim yang bersaing ketat untuk meraih kemenangan. Dapatkan informasi lengkap mengenai jadwal pertandingan dan hasil pertandingan terbaru hanya di Vidio.</t>
  </si>
  <si>
    <t>https://drive.google.com/file/d/1EYDZ7PvQ_EzDvWgvsl6ys5NxqRKKtnIX/view?usp=sharing</t>
  </si>
  <si>
    <t>https://drive.google.com/file/d/1dTrD-W54PUL9iI1SROrSMn0ZBEstzUc0/view?usp=sharing</t>
  </si>
  <si>
    <t>5a2fb47d</t>
  </si>
  <si>
    <t>Cremonese vs Sassuolo - Serie A</t>
  </si>
  <si>
    <t>https://www.vidio.com/live/17938-serie-a?schedule_id=4525578</t>
  </si>
  <si>
    <t>https://drive.google.com/drive/folders/17OeONrjYYRSfQCCHfmML-HflyrF1zGJx?usp=drive_link</t>
  </si>
  <si>
    <t>US Cremonese; us sassuolo calcio; sports stream</t>
  </si>
  <si>
    <t>Nonton streaming pertandingan seru Cremonese vs Sassuolo - Serie A. Saksikan aksi-aksi terbaik dari tim yang bersaing ketat untuk meraih kemenangan. Dapatkan informasi lengkap mengenai jadwal pertandingan dan hasil pertandingan terbaru hanya di Vidio.</t>
  </si>
  <si>
    <t>NTC + Perfiormace + Socmed + CRM</t>
  </si>
  <si>
    <t>https://drive.google.com/file/d/1l0wTCkH4qa92VFgQs_QZuV2ptURvU2Sv/view?usp=sharing</t>
  </si>
  <si>
    <t>https://drive.google.com/file/d/1IsJ7O8c0KmrVnlRMXsAeEvYZgQIEuLNt/view?usp=drive_link</t>
  </si>
  <si>
    <t>https://drive.google.com/file/d/1MrgkaYnrvSjvzCZ1uiF3tbV5kgq9331G/view?usp=sharing</t>
  </si>
  <si>
    <t>6ca15980</t>
  </si>
  <si>
    <t>Pisa vs Roma - Serie A</t>
  </si>
  <si>
    <t>https://www.vidio.com/live/19404-serie-a?schedule_id=4527533</t>
  </si>
  <si>
    <t>https://drive.google.com/drive/folders/1x3JlmR1IHra-NmY5WNK_iiqo9RJZRXTT?usp=drive_link</t>
  </si>
  <si>
    <t>Pisa SC; as roma; sports stream</t>
  </si>
  <si>
    <t>Nonton streaming pertandingan seru Pisa vs Roma - Serie A. Saksikan aksi-aksi terbaik dari tim yang bersaing ketat untuk meraih kemenangan. Dapatkan informasi lengkap mengenai jadwal pertandingan dan hasil pertandingan terbaru hanya di Vidio.</t>
  </si>
  <si>
    <t>https://drive.google.com/file/d/1naDbEVb8DIWioACbkKStcV6uzWqO7ydi/view?usp=sharing</t>
  </si>
  <si>
    <t>https://drive.google.com/file/d/1Rz1lGCJ4pgNO9f1_5C9-Z6FTSiQ5EtNF/view?usp=drive_link</t>
  </si>
  <si>
    <t>https://drive.google.com/file/d/1-0PPSdx4QADee9PYLf5vUf7Qk0tQL64S/view?usp=sharing</t>
  </si>
  <si>
    <t>a353a53f</t>
  </si>
  <si>
    <t>Pisa vs Udinese - Serie A</t>
  </si>
  <si>
    <t>https://www.vidio.com/live/17939-serie-a?schedule_id=4558601</t>
  </si>
  <si>
    <t>CTV 2</t>
  </si>
  <si>
    <t>https://drive.google.com/drive/folders/1y5usOOYQCHpnfbSfPm8Bh83Mda3dUt7m?usp=drive_link</t>
  </si>
  <si>
    <t>Pisa SC; udinese calcio; sports stream</t>
  </si>
  <si>
    <t>Nonton streaming pertandingan seru Pisa vs Udinese - Serie A. Saksikan aksi-aksi terbaik dari tim yang bersaing ketat untuk meraih kemenangan. Dapatkan informasi lengkap mengenai jadwal pertandingan dan hasil pertandingan terbaru hanya di Vidio.</t>
  </si>
  <si>
    <t>https://drive.google.com/file/d/13aBvngE-KkouvqjrFs4aUbUbaXzjZqbB/view?usp=sharing</t>
  </si>
  <si>
    <t>https://drive.google.com/file/d/1YTYtJWGEcu9EItWhWJnHFf31Wi6q2s1g/view?usp=drive_link</t>
  </si>
  <si>
    <t>adef6fa0</t>
  </si>
  <si>
    <t>Sassuolo vs Lazio - Serie A</t>
  </si>
  <si>
    <t>https://www.vidio.com/live/19404-serie-a?schedule_id=4557262</t>
  </si>
  <si>
    <t>https://drive.google.com/drive/folders/1ktmELlImW4Pm0XjbXqpz74rqYT8AJTc4?usp=drive_link</t>
  </si>
  <si>
    <t>us sassuolo calcio; ss lazio; sports stream</t>
  </si>
  <si>
    <t>Nonton streaming pertandingan seru Sassuolo vs Lazio - Serie A. Saksikan aksi-aksi terbaik dari tim yang bersaing ketat untuk meraih kemenangan. Dapatkan informasi lengkap mengenai jadwal pertandingan dan hasil pertandingan terbaru hanya di Vidio.</t>
  </si>
  <si>
    <t>https://drive.google.com/file/d/10BwdWhE4TVVEOEri4SRi9lGhpUiXyozd/view?usp=sharing</t>
  </si>
  <si>
    <t>https://drive.google.com/file/d/1zBGjnUlVxrn66iNxjZMjBTYHSYw-nIuf/view?usp=drive_link</t>
  </si>
  <si>
    <t>https://drive.google.com/file/d/1XlU1dvN9bBXr_2HTuugWQ_YbC9DohsM8/view?usp=sharing</t>
  </si>
  <si>
    <t>e02b60a4</t>
  </si>
  <si>
    <t>Verona vs Cremonese - Serie A</t>
  </si>
  <si>
    <t>https://www.vidio.com/live/19404-serie-a?schedule_id=4569294</t>
  </si>
  <si>
    <t>THUMBNAIL , GRANDE , SUBHEADLINE</t>
  </si>
  <si>
    <t>https://drive.google.com/drive/folders/142Z4qo59_7QAEcv4N1eoxgvDFY5NKuYR?usp=drive_link</t>
  </si>
  <si>
    <t>hellas verona fc; US Cremonese; sports stream</t>
  </si>
  <si>
    <t>Nonton streaming pertandingan seru Verona vs Cremonese - Serie A. Saksikan aksi-aksi terbaik dari tim yang bersaing ketat untuk meraih kemenangan. Dapatkan informasi lengkap mengenai jadwal pertandingan dan hasil pertandingan terbaru hanya di Vidio.</t>
  </si>
  <si>
    <t>https://drive.google.com/file/d/16RmdcYPlt65OZ5rpZrnXkOWRviONA98_/view?usp=sharing</t>
  </si>
  <si>
    <t>https://drive.google.com/file/d/1Ygmupuxaqpts_s8Vn4RAgS_MqKkWIa8h/view?usp=drive_link</t>
  </si>
  <si>
    <t>https://drive.google.com/file/d/1hrx8xk0DKHFySPhaSBlXXWpNSDPW3jdE/view?usp=sharing</t>
  </si>
  <si>
    <t>25119594</t>
  </si>
  <si>
    <t>Sirkuit Nasional Bulutangkis 2025 - Yogyakarta: Final</t>
  </si>
  <si>
    <t>Nonton streaming pertandingan seru Sirkuit Nasional Bulutangkis 2025 - Yogyakarta: Final. Saksikan aksi-aksi terbaik dari tim yang bersaing ketat untuk meraih kemenangan. Dapatkan informasi lengkap mengenai jadwal pertandingan dan hasil pertandingan terbaru hanya di Vidio.</t>
  </si>
  <si>
    <t>b4451aa0</t>
  </si>
  <si>
    <t>Sirkuit Nasional Bulutangkis 2025 - Mataram: Final</t>
  </si>
  <si>
    <t>Nonton streaming pertandingan seru Sirkuit Nasional Bulutangkis 2025 - Mataram: Final. Saksikan aksi-aksi terbaik dari tim yang bersaing ketat untuk meraih kemenangan. Dapatkan informasi lengkap mengenai jadwal pertandingan dan hasil pertandingan terbaru hanya di Vidio.</t>
  </si>
  <si>
    <t>492aa05d</t>
  </si>
  <si>
    <t>Borneo FC Samarinda vs Bhayangkara Presisi Lampung FC - BRI Super League</t>
  </si>
  <si>
    <t>BRI Super League 2025/26</t>
  </si>
  <si>
    <t>VIDIO - @liga1</t>
  </si>
  <si>
    <t>WORLDWIDE</t>
  </si>
  <si>
    <t>https://www.vidio.com/live/19353-bri-super-league?schedule_id=4484474</t>
  </si>
  <si>
    <t>https://drive.google.com/drive/folders/1bRO223h7k1U54vnIpz7OTlr1TzfwXbYJ?usp=drive_link</t>
  </si>
  <si>
    <t>https://drive.google.com/drive/folders/1yfBuzh-jmFihBefXWBdkikllGGMuosSj?usp=drive_link</t>
  </si>
  <si>
    <t>Borneo FC Samarinda</t>
  </si>
  <si>
    <t>Bhayangkara Presisi Indonesia FC</t>
  </si>
  <si>
    <t>Sports &gt; Football &gt; Liga 1</t>
  </si>
  <si>
    <t>Liga 1; BRI Liga 1 2025/26</t>
  </si>
  <si>
    <t>FIFA; AFC; AFF; PSSI; liga indonesia baru</t>
  </si>
  <si>
    <t>borneo fc; bhayangkara fc; sports stream</t>
  </si>
  <si>
    <t>Nonton streaming pertandingan seru Borneo FC Samarinda vs Bhayangkara Presisi Lampung FC - BRI Super League. Saksikan aksi-aksi terbaik dari tim yang bersaing ketat untuk meraih kemenangan. Dapatkan informasi lengkap mengenai jadwal pertandingan dan hasil pertandingan terbaru hanya di Vidio.</t>
  </si>
  <si>
    <t>BRI KPR</t>
  </si>
  <si>
    <t>OPPO , BRI KPR</t>
  </si>
  <si>
    <t>Borneo: Diego Michiels , Mariano Peralta
Bhayangkara: Spaso , Putu Gede (jersey hitam)
Grande : BRI KPR, OPPO
Sub Headline : BRI KPR, OPPO
Thumbnail : BRI KPR</t>
  </si>
  <si>
    <t>arum.dewi@vidio.com</t>
  </si>
  <si>
    <t>https://drive.google.com/file/d/1RYDgUmlcUz1h9F9lt6KkT4d6aAZ1821Q/view?usp=sharing</t>
  </si>
  <si>
    <t>https://drive.google.com/file/d/1GjyRRMp1CGmeEZ9U7w-18aOy5m0YKdLf/view?usp=drive_link</t>
  </si>
  <si>
    <t>https://drive.google.com/file/d/15dfzY1OT1AnNy4AYb1o4YTGuvkTGHM7I/view?usp=sharing</t>
  </si>
  <si>
    <t>dda31afd</t>
  </si>
  <si>
    <t>PSM Makassar vs PERSIJAP - BRI Super League</t>
  </si>
  <si>
    <t>https://www.vidio.com/live/19353-bri-super-league?schedule_id=4485243</t>
  </si>
  <si>
    <t>https://drive.google.com/drive/folders/14Km-18fBqY61qtZ5AbodOoJ3psulCie4</t>
  </si>
  <si>
    <t>PSM Makassar</t>
  </si>
  <si>
    <t>Persijap Jepara</t>
  </si>
  <si>
    <t>PSM Makassar; Persijap Jepara; sports stream</t>
  </si>
  <si>
    <t>Nonton streaming pertandingan seru PSM Makassar vs PERSIJAP - BRI Super League. Saksikan aksi-aksi terbaik dari tim yang bersaing ketat untuk meraih kemenangan. Dapatkan informasi lengkap mengenai jadwal pertandingan dan hasil pertandingan terbaru hanya di Vidio.</t>
  </si>
  <si>
    <t>BRI KPR , OPPO</t>
  </si>
  <si>
    <t>PSM: Fahrul &amp; Daffa Salman (jersey lama)
Persijap: Diogo Brito &amp; Wahyudi Hamisi (jersey away)
Grande : BRI KPR , OPPO
Sub Headline : BRI KPR , OPPO
Thumbnail : BRI KPR</t>
  </si>
  <si>
    <t>SOCMED, SEO, PMAXX, CRM</t>
  </si>
  <si>
    <t>https://3.basecamp.com/4902751/buckets/36763424/card_tables/cards/8876951617</t>
  </si>
  <si>
    <t>https://drive.google.com/file/d/1sXgBe0VUpQWu7R1Ehu8KdWZJxLQaxWdM/view?usp=sharing</t>
  </si>
  <si>
    <t>https://drive.google.com/file/d/1q-23VkIkeypfruye-R4N9R2A8rnUI--t/view?usp=drive_link</t>
  </si>
  <si>
    <t>https://drive.google.com/file/d/1_yu_BjALRGeulVA8tugNZgv8qV9y30x2/view?usp=sharing</t>
  </si>
  <si>
    <t>681d4082</t>
  </si>
  <si>
    <t>PERSEBAYA Surabaya vs PSIM Jogja - BRI Super League</t>
  </si>
  <si>
    <t>GOLD</t>
  </si>
  <si>
    <t>https://www.vidio.com/live/19354-bri-super-league?schedule_id=4484475</t>
  </si>
  <si>
    <t>https://drive.google.com/drive/folders/1SI5lZTG1zXMimyux54FbTHn-35Mf1HJq</t>
  </si>
  <si>
    <t>PERSEBAYA Surabaya</t>
  </si>
  <si>
    <t>PSIM Yogyakarta</t>
  </si>
  <si>
    <t>persebaya surabaya; psim yogyakarta; sports stream</t>
  </si>
  <si>
    <t>Nonton streaming pertandingan seru PERSEBAYA Surabaya vs PSIM Jogja - BRI Super League. Saksikan aksi-aksi terbaik dari tim yang bersaing ketat untuk meraih kemenangan. Dapatkan informasi lengkap mengenai jadwal pertandingan dan hasil pertandingan terbaru hanya di Vidio.</t>
  </si>
  <si>
    <t>Persebaya: Fransisco Rivera &amp; Malik (pakai jersey pramusim dulu)
PSIM: Rafael Rodrigo &amp; Andi Setyo (jersey away putih)
Grande : BRI KPR, OPPO
Sub Headline : BRI KPR, OPPO
Thumbnail : BRI KPR</t>
  </si>
  <si>
    <t>SOCMED, SEO, PMAXX, CRM, NTC</t>
  </si>
  <si>
    <t>https://3.basecamp.com/4902751/buckets/36763424/card_tables/cards/8876941255</t>
  </si>
  <si>
    <t>https://drive.google.com/file/d/1RyRGL5XYADp9uX1NZLtad5ZJep89695Y/view?usp=sharing</t>
  </si>
  <si>
    <t>https://drive.google.com/file/d/1GCkaBSZeCeX3PKDab0mImH-nqPo8HRXS/view?usp=drive_link</t>
  </si>
  <si>
    <t>https://drive.google.com/file/d/14cFvjZbEIZ_FufDGGDZlGeJWhwcjhh9z/view?usp=sharing</t>
  </si>
  <si>
    <t>6c3308d6</t>
  </si>
  <si>
    <t>Rangers vs Club Brugge - UEFA Champions League Play-off</t>
  </si>
  <si>
    <t>UEFA Champions League 2025/26</t>
  </si>
  <si>
    <t>beIN 3</t>
  </si>
  <si>
    <t>https://www.vidio.com/live/6317-bein-3?schedule_id=4506552</t>
  </si>
  <si>
    <t>https://drive.google.com/drive/folders/1cHFyf1pjlJaCUGy0kewDjPRZy-Uz2TsL</t>
  </si>
  <si>
    <t>Rangers</t>
  </si>
  <si>
    <t>Club Brugge KV</t>
  </si>
  <si>
    <t>Sports &gt; Football &gt; UEFA Champions League</t>
  </si>
  <si>
    <t>UEFA Champions League; UEFA Champions League 2025/26</t>
  </si>
  <si>
    <t>FIFA; UEFA</t>
  </si>
  <si>
    <t>rangers fc; club brugge kv; sports stream</t>
  </si>
  <si>
    <t>Nonton streaming pertandingan seru Rangers vs Club Brugge - UEFA Champions League Play-off. Saksikan aksi-aksi terbaik dari tim yang bersaing ketat untuk meraih kemenangan. Dapatkan informasi lengkap mengenai jadwal pertandingan dan hasil pertandingan terbaru hanya di Vidio.</t>
  </si>
  <si>
    <t>E7</t>
  </si>
  <si>
    <t>https://drive.google.com/file/d/13Y57MNZYByPXbxdM_z_0ZRVFMp3bYaX9/view?usp=sharing</t>
  </si>
  <si>
    <t>e5487547</t>
  </si>
  <si>
    <t>Fenerbahce vs Benfica - UEFA Champions League Play-off</t>
  </si>
  <si>
    <t>beIN 1</t>
  </si>
  <si>
    <t>https://www.vidio.com/live/6299-bein-1?schedule_id=4506554</t>
  </si>
  <si>
    <t>https://drive.google.com/drive/folders/1kg8jYex-u_BiG2VGm0Kyy9XnvHfl_RUo</t>
  </si>
  <si>
    <t>Fenerbahce</t>
  </si>
  <si>
    <t>S.L. Benfica</t>
  </si>
  <si>
    <t>fenerbahce; sl benfica; sports stream</t>
  </si>
  <si>
    <t>Nonton streaming pertandingan seru Fenerbahce vs Benfica - UEFA Champions League Play-off. Saksikan aksi-aksi terbaik dari tim yang bersaing ketat untuk meraih kemenangan. Dapatkan informasi lengkap mengenai jadwal pertandingan dan hasil pertandingan terbaru hanya di Vidio.</t>
  </si>
  <si>
    <t>https://drive.google.com/file/d/1t83QmeRNj52f9UmFaTv2Grnf5gkceVWt/view?usp=sharing</t>
  </si>
  <si>
    <t>3785c742</t>
  </si>
  <si>
    <t>Pafos vs Crvena Zvezda - UEFA Champions League Play-off</t>
  </si>
  <si>
    <t>https://www.vidio.com/live/6299-bein-1?schedule_id=4525653</t>
  </si>
  <si>
    <t>https://drive.google.com/drive/folders/1QxOS5_i9-qCvQm8ehTh0K183Ejrm5F5x</t>
  </si>
  <si>
    <t>Pafos FC</t>
  </si>
  <si>
    <t>Red Star Belgrade</t>
  </si>
  <si>
    <t>pafos fc; fk crvena zvezda beograd; sports stream</t>
  </si>
  <si>
    <t>Nonton streaming pertandingan seru Pafos vs Crvena Zvezda - UEFA Champions League Play-off. Saksikan aksi-aksi terbaik dari tim yang bersaing ketat untuk meraih kemenangan. Dapatkan informasi lengkap mengenai jadwal pertandingan dan hasil pertandingan terbaru hanya di Vidio.</t>
  </si>
  <si>
    <t>https://drive.google.com/file/d/1TnQaUqw3ftsl0roQK2CNddEYhfMrpB5f/view?usp=sharing</t>
  </si>
  <si>
    <t>bf27e0e6</t>
  </si>
  <si>
    <t>Qarabag FK vs Ferencvaros - UEFA Champions League Play-off</t>
  </si>
  <si>
    <t>https://www.vidio.com/live/6299-bein-1?schedule_id=4527682</t>
  </si>
  <si>
    <t>https://drive.google.com/drive/folders/1B2krtiltW8d4yjvm4Tu2xTimMY39hmGC</t>
  </si>
  <si>
    <t>Qarabağ FK</t>
  </si>
  <si>
    <t>Ferencvárosi TC</t>
  </si>
  <si>
    <t>qarabağ ağdam fk; ferencvárosi tc; sports stream</t>
  </si>
  <si>
    <t>Nonton streaming pertandingan seru Qarabag FK vs Ferencvaros - UEFA Champions League Play-off. Saksikan aksi-aksi terbaik dari tim yang bersaing ketat untuk meraih kemenangan. Dapatkan informasi lengkap mengenai jadwal pertandingan dan hasil pertandingan terbaru hanya di Vidio.</t>
  </si>
  <si>
    <t>https://drive.google.com/file/d/1q0H1WO4GmCVbTdfrgBIHnEDeZ98dBEQs/view?usp=sharing</t>
  </si>
  <si>
    <t>ffc735ec</t>
  </si>
  <si>
    <t>PERSIB vs Semen Padang FC - BRI Super League</t>
  </si>
  <si>
    <t>https://www.vidio.com/live/19354-bri-super-league?schedule_id=4486633</t>
  </si>
  <si>
    <t>https://drive.google.com/drive/folders/1HVeIWwrGNGpuoo8yNqYxFesx2jUxyH0R</t>
  </si>
  <si>
    <t>https://drive.google.com/drive/folders/1MmLj4ViA3m75zKXLQrUWzeAEFP-5ZUlH</t>
  </si>
  <si>
    <t>PERSIB</t>
  </si>
  <si>
    <t>Semen Padang FC</t>
  </si>
  <si>
    <t>persib bandung; semen padang; sports stream</t>
  </si>
  <si>
    <t>Nonton streaming pertandingan seru PERSIB vs Semen Padang FC - BRI Super League. Saksikan aksi-aksi terbaik dari tim yang bersaing ketat untuk meraih kemenangan. Dapatkan informasi lengkap mengenai jadwal pertandingan dan hasil pertandingan terbaru hanya di Vidio.</t>
  </si>
  <si>
    <t>Persib: Klok &amp; Marcilio (jersey baru)
Semen Padang: Ronaldo Kwateh &amp; Irsyad (jersey kuning)</t>
  </si>
  <si>
    <t>SOCMED, SEO, PMAXX, CRM, TVC, NTC</t>
  </si>
  <si>
    <t>https://3.basecamp.com/4902751/buckets/36763424/card_tables/cards/8876955373</t>
  </si>
  <si>
    <t>https://drive.google.com/file/d/1xkYe5f4mQJYT9zeFfdtMwvTMoeVTPErW/view?usp=sharing</t>
  </si>
  <si>
    <t>https://drive.google.com/file/d/13Uw_un-__WDoUpMr5KhXEVEf6dirpoN2/view?usp=sharing</t>
  </si>
  <si>
    <t>946b7ba2</t>
  </si>
  <si>
    <t>Dewa United Banten FC vs Malut United FC - BRI Super League</t>
  </si>
  <si>
    <t>https://www.vidio.com/live/19354-bri-super-league?schedule_id=4488293</t>
  </si>
  <si>
    <t>https://drive.google.com/drive/folders/19Fn56tNDggBZj-3hThrvS6SeGKqiELN4?usp=drive_link</t>
  </si>
  <si>
    <t>Dewa United FC</t>
  </si>
  <si>
    <t>Malut United FC</t>
  </si>
  <si>
    <t>dewa united; PUTRA DELTA SIDOARJO; sports stream</t>
  </si>
  <si>
    <t>Nonton streaming pertandingan seru Dewa United Banten FC vs Malut United FC - BRI Super League. Saksikan aksi-aksi terbaik dari tim yang bersaing ketat untuk meraih kemenangan. Dapatkan informasi lengkap mengenai jadwal pertandingan dan hasil pertandingan terbaru hanya di Vidio.</t>
  </si>
  <si>
    <t>Dewa: Messidoro &amp; Sonny Stevens
Malut: Yakob Sayuri &amp; Tyronne</t>
  </si>
  <si>
    <t>SOCMED, PMAXX, SEO, CRM</t>
  </si>
  <si>
    <t>https://3.basecamp.com/4902751/buckets/36763424/card_tables/cards/8876968900</t>
  </si>
  <si>
    <t>https://drive.google.com/file/d/1OUGIMwWj5A3YRbCQV5sNBX_tIFkCuGrF/view?usp=sharing</t>
  </si>
  <si>
    <t>https://drive.google.com/file/d/1r2sevGLOxvwOClWzxuCrqg40HTkLmjbb/view?usp=sharing</t>
  </si>
  <si>
    <t>aa132354</t>
  </si>
  <si>
    <t>Madura United FC vs PERSIS - BRI Super League</t>
  </si>
  <si>
    <t>https://www.vidio.com/live/19353-bri-super-league?schedule_id=4484907</t>
  </si>
  <si>
    <t>https://drive.google.com/drive/folders/1jCnR-H3pHHgHP4U1aQqRA58v2WFpgQQO?usp=drive_link</t>
  </si>
  <si>
    <t>Madura United FC</t>
  </si>
  <si>
    <t>PERSIS Solo</t>
  </si>
  <si>
    <t>madura united; persis solo; sports stream</t>
  </si>
  <si>
    <t>Nonton streaming pertandingan seru Madura United FC vs PERSIS - BRI Super League. Saksikan aksi-aksi terbaik dari tim yang bersaing ketat untuk meraih kemenangan. Dapatkan informasi lengkap mengenai jadwal pertandingan dan hasil pertandingan terbaru hanya di Vidio.</t>
  </si>
  <si>
    <t>Madura: Jordy &amp; Taufik Hidayat
Persis: Kaka &amp; Adriano</t>
  </si>
  <si>
    <t>https://drive.google.com/file/d/1vjfWmYFiTMjZWHRqUnAqnAFtMrALWzAV/view?usp=sharing</t>
  </si>
  <si>
    <t>https://drive.google.com/file/d/1bYTk5BGdYWfCAT_9ZVbaOpBiidms6ZY_/view?usp=sharing</t>
  </si>
  <si>
    <t>ac43d23b</t>
  </si>
  <si>
    <t>PERSIJA vs PERSITA - BRI Super League</t>
  </si>
  <si>
    <t>https://www.vidio.com/live/19354-bri-super-league?schedule_id=4488715</t>
  </si>
  <si>
    <t>https://drive.google.com/drive/folders/1n1tGDRlFkkfp0lsIL8hHxCcZCS7cmJ1v</t>
  </si>
  <si>
    <t>https://drive.google.com/drive/folders/1AMoXgUsWPgedrAMobm7FnsxQskXdhaxQ</t>
  </si>
  <si>
    <t>PERSIJA Jakarta</t>
  </si>
  <si>
    <t>PERSITA Tangerang</t>
  </si>
  <si>
    <t>PERSIJA Jakarta; Persita Tangerang; sports stream</t>
  </si>
  <si>
    <t>Nonton streaming pertandingan seru PERSIJA vs PERSITA - BRI Super League. Saksikan aksi-aksi terbaik dari tim yang bersaing ketat untuk meraih kemenangan. Dapatkan informasi lengkap mengenai jadwal pertandingan dan hasil pertandingan terbaru hanya di Vidio.</t>
  </si>
  <si>
    <t>Persija: Ridho, Eksel
Persita: Hokky &amp; Javlon (jersey baru)</t>
  </si>
  <si>
    <t>SOCMED, PMAXX, SEO, PN, IN APP</t>
  </si>
  <si>
    <t>https://drive.google.com/file/d/1XthfigRBeijfM-9lq2w3zsJddozIsX4y/view?usp=sharing</t>
  </si>
  <si>
    <t>https://drive.google.com/file/d/1Cfxb5eqXnKx-Ce03fPtW0mf--pEmZGR0/view?usp=drive_link</t>
  </si>
  <si>
    <t>https://drive.google.com/file/d/1vLSpJowll9JU6iZ1sUTINx7Wl3HAZonu/view?usp=sharing</t>
  </si>
  <si>
    <t>f1a8c298</t>
  </si>
  <si>
    <t>Bali United FC vs PERSIK Kediri - BRI Super League</t>
  </si>
  <si>
    <t>https://www.vidio.com/live/19354-bri-super-league?schedule_id=4485790</t>
  </si>
  <si>
    <t>https://drive.google.com/drive/folders/1X5AOGIYPbgMiMDqfqVKIQwlpgWGvpAhh?usp=drive_link</t>
  </si>
  <si>
    <t>https://drive.google.com/drive/folders/1AMoXgUsWPgedrAMobm7FnsxQskXdhaxQ?usp=drive_link</t>
  </si>
  <si>
    <t>Bali United FC</t>
  </si>
  <si>
    <t>PERSIK Kediri</t>
  </si>
  <si>
    <t>Bali United; persik kediri; sports stream</t>
  </si>
  <si>
    <t>Nonton streaming pertandingan seru Bali United FC vs PERSIK Kediri - BRI Super League. Saksikan aksi-aksi terbaik dari tim yang bersaing ketat untuk meraih kemenangan. Dapatkan informasi lengkap mengenai jadwal pertandingan dan hasil pertandingan terbaru hanya di Vidio.</t>
  </si>
  <si>
    <t>Bali: Ricky Fajrin, Thijmen Goppel
Persik: Ezra Walian, Bayu Otto (jersey lama)</t>
  </si>
  <si>
    <t>SOCMED, PMAXX, SOCMED, CRM</t>
  </si>
  <si>
    <t>https://3.basecamp.com/4902751/buckets/36763424/card_tables/cards/8876959514</t>
  </si>
  <si>
    <t>https://drive.google.com/file/d/1VZJ6JNzQ2fvCcOzito68xPTMuUMpfQBm/view?usp=sharing</t>
  </si>
  <si>
    <t>https://drive.google.com/file/d/1lmVoc9RTaK1mi4BBUmp37yGC95iKLtrQ/view?usp=drive_link</t>
  </si>
  <si>
    <t>https://drive.google.com/file/d/1vD8Sh64ty6HGlpiKDzQOVJt3c9m6UiPq/view?usp=sharing</t>
  </si>
  <si>
    <t>92584f2e</t>
  </si>
  <si>
    <t>Arema FC vs PSBS Biak - BRI Super League</t>
  </si>
  <si>
    <t>https://www.vidio.com/live/19354-bri-super-league?schedule_id=4488446</t>
  </si>
  <si>
    <t>https://drive.google.com/drive/folders/1un_smO22b2Ug7-vASYhg1PU8ypdsUysC?usp=drive_link</t>
  </si>
  <si>
    <t>https://drive.google.com/drive/folders/1B2hNaTzzwKlOdRzZQKCe6cw71Z-3Ruqq</t>
  </si>
  <si>
    <t>AREMA FC</t>
  </si>
  <si>
    <t>PSBS Biak</t>
  </si>
  <si>
    <t>arema fc; PSBS Biak Numfor; sports stream</t>
  </si>
  <si>
    <t>Nonton streaming pertandingan seru Arema FC vs PSBS Biak - BRI Super League. Saksikan aksi-aksi terbaik dari tim yang bersaing ketat untuk meraih kemenangan. Dapatkan informasi lengkap mengenai jadwal pertandingan dan hasil pertandingan terbaru hanya di Vidio.</t>
  </si>
  <si>
    <t>Arema: Dalberto, Puleio
PSBS: Nelson Alom, M Tahir (jersey lama)</t>
  </si>
  <si>
    <t>https://3.basecamp.com/4902751/buckets/36763424/card_tables/cards/8876967776</t>
  </si>
  <si>
    <t>https://drive.google.com/file/d/1baxFtE-2mM4CuRDE7BC7zhnDMcC6RcCp/view?usp=sharing</t>
  </si>
  <si>
    <t>https://drive.google.com/file/d/14vzABtYN6Y4FSqRrTYsFDfwuvzz5IjaS/view?usp=drive_link</t>
  </si>
  <si>
    <t>https://drive.google.com/file/d/1WqloEAWryXSvFIbNfWjk-UD6cmZ2IP_1/view?usp=sharing</t>
  </si>
  <si>
    <t>61bc734f</t>
  </si>
  <si>
    <t>Feyenoord vs NAC Breda - Eredivisie</t>
  </si>
  <si>
    <t>Eredivisie 2025/26</t>
  </si>
  <si>
    <t>https://www.vidio.com/live/6685-champions-tv-1?schedule_id=4485888</t>
  </si>
  <si>
    <t>https://drive.google.com/drive/folders/1j7dUonmSYCRTNutf2HMvwJCmFVw6thX_?usp=drive_link</t>
  </si>
  <si>
    <t>Feyenoord</t>
  </si>
  <si>
    <t>NAC</t>
  </si>
  <si>
    <t>Sports &gt; Football &gt; Eredivisie</t>
  </si>
  <si>
    <t>Eredivisie; Eredivisie 2025/26</t>
  </si>
  <si>
    <t>FIFA; UEFA; European Leagues; KNVB</t>
  </si>
  <si>
    <t>feyenoord rotterdam; nac breda; sports stream</t>
  </si>
  <si>
    <t>Nonton streaming pertandingan seru Feyenoord vs NAC Breda - Eredivisie. Saksikan aksi-aksi terbaik dari tim yang bersaing ketat untuk meraih kemenangan. Dapatkan informasi lengkap mengenai jadwal pertandingan dan hasil pertandingan terbaru hanya di Vidio.</t>
  </si>
  <si>
    <t>Feyenoord: Ayase Ueda, Quinten Timber
NAC Breda: Clint Leemans (IMAGO: 1064045018), Boy Kemper</t>
  </si>
  <si>
    <t>https://drive.google.com/file/d/15AQ0qHDe4pb1kiboY7BWPmlM9H-_aqxM/view?usp=sharing</t>
  </si>
  <si>
    <t>https://drive.google.com/file/d/1lehP8gjFxk9HUh41R5WwoUFQ9ZrKmuqU/view?usp=sharing</t>
  </si>
  <si>
    <t>aecd0952</t>
  </si>
  <si>
    <t>PSV vs Sparta Rotterdam - Eredivisie</t>
  </si>
  <si>
    <t>https://www.vidio.com/live/6685-champions-tv-1?schedule_id=4485989</t>
  </si>
  <si>
    <t>https://drive.google.com/drive/folders/1seARVBX0EHzYd9KdQovPKdWrDowwj0l5?usp=drive_link</t>
  </si>
  <si>
    <t>PSV</t>
  </si>
  <si>
    <t>Sparta Rotterdam</t>
  </si>
  <si>
    <t>psv eindhoven; sparta rotterdam; sports stream</t>
  </si>
  <si>
    <t>Nonton streaming pertandingan seru PSV vs Sparta Rotterdam - Eredivisie. Saksikan aksi-aksi terbaik dari tim yang bersaing ketat untuk meraih kemenangan. Dapatkan informasi lengkap mengenai jadwal pertandingan dan hasil pertandingan terbaru hanya di Vidio.</t>
  </si>
  <si>
    <t>PSV: Joey Veerman, Ivan Perisic
Sparta Rotterdam: Tobias Lauritsen, Pelle Clement</t>
  </si>
  <si>
    <t>https://drive.google.com/file/d/1aLlwUNJbE3oCAwiKL3t42pzogRFSOIzC/view?usp=sharing</t>
  </si>
  <si>
    <t>https://drive.google.com/file/d/1bLqNbRXRWaR35vREByIZIONU1wK7yOb3/view?usp=sharing</t>
  </si>
  <si>
    <t>fb94248a</t>
  </si>
  <si>
    <t>Ajax vs Telstar - Eredivisie</t>
  </si>
  <si>
    <t>https://www.vidio.com/live/6685-champions-tv-1?schedule_id=4485990</t>
  </si>
  <si>
    <t>https://drive.google.com/drive/folders/1qD0UCPIH6O186jVAyz8t1msncShYTz3T?usp=drive_link</t>
  </si>
  <si>
    <t>Ajax</t>
  </si>
  <si>
    <t>SC Telstar</t>
  </si>
  <si>
    <t>afc ajax; sc telstar; sports stream</t>
  </si>
  <si>
    <t>Nonton streaming pertandingan seru Ajax vs Telstar - Eredivisie. Saksikan aksi-aksi terbaik dari tim yang bersaing ketat untuk meraih kemenangan. Dapatkan informasi lengkap mengenai jadwal pertandingan dan hasil pertandingan terbaru hanya di Vidio.</t>
  </si>
  <si>
    <t>Ajax: Steven Berghuis, Cuba Akpom
Telstar: Patrcik Brouwer (IMAGO: 1064276166), Guus Offerhaus (IMAGO: 1064276136)</t>
  </si>
  <si>
    <t>bayu.pratama@intern.vidio.com</t>
  </si>
  <si>
    <t>https://drive.google.com/file/d/18te4pCcNSieTtTfL81AQMTAy9UdaOtH4/view?usp=sharing</t>
  </si>
  <si>
    <t>https://drive.google.com/file/d/19dz0ehC81hYaZmHcTL2UciNtda2ksGcv/view?usp=sharing</t>
  </si>
  <si>
    <t>339ba3af</t>
  </si>
  <si>
    <t>AZ Alkmaar vs FC Groningen - Eredivisie</t>
  </si>
  <si>
    <t>https://www.vidio.com/live/6686-champions-tv-2?schedule_id=4485991</t>
  </si>
  <si>
    <t>https://drive.google.com/drive/folders/1YOKEHKhscaIhYMf4-nkpR_1pvWz9YLbJ?usp=drive_link</t>
  </si>
  <si>
    <t>AZ Alkmaar</t>
  </si>
  <si>
    <t>FC Groningen</t>
  </si>
  <si>
    <t>alkmaar zaanstreek; fc groningen; sports stream</t>
  </si>
  <si>
    <t>Nonton streaming pertandingan seru AZ Alkmaar vs FC Groningen - Eredivisie. Saksikan aksi-aksi terbaik dari tim yang bersaing ketat untuk meraih kemenangan. Dapatkan informasi lengkap mengenai jadwal pertandingan dan hasil pertandingan terbaru hanya di Vidio.</t>
  </si>
  <si>
    <t>AZ Alkmaar: Troy Parrot, Wouter Goes
FC Groningen: Finn Stam, Jorg Schreuders</t>
  </si>
  <si>
    <t>https://drive.google.com/file/d/1v1nuHAec9sF8zYN4Q6Kz0bKMLRALXhRl/view?usp=sharing</t>
  </si>
  <si>
    <t>https://drive.google.com/file/d/10BgMYo4tgdAs5Hq4CpAMn7qQsQv7iUJo/view?usp=sharing</t>
  </si>
  <si>
    <t>224761d7</t>
  </si>
  <si>
    <t>Semen Padang FC vs Dewa United Banten FC - BRI Super League</t>
  </si>
  <si>
    <t>https://www.vidio.com/live/19354-bri-super-league?schedule_id=4501377</t>
  </si>
  <si>
    <t>https://drive.google.com/drive/folders/1D9O1MjYKnYE_44I8cVKWs7z077F9kLRn</t>
  </si>
  <si>
    <t>https://drive.google.com/drive/folders/1Ct8A8gjkdaJ-sEFUB_JwaxL4uuEs8CvQ</t>
  </si>
  <si>
    <t>semen padang; dewa united; sports stream</t>
  </si>
  <si>
    <t>Nonton streaming pertandingan seru Semen Padang FC vs Dewa United Banten FC - BRI Super League. Saksikan aksi-aksi terbaik dari tim yang bersaing ketat untuk meraih kemenangan. Dapatkan informasi lengkap mengenai jadwal pertandingan dan hasil pertandingan terbaru hanya di Vidio.</t>
  </si>
  <si>
    <t>Semen padang: Stewart &amp; Leo Guntara
Dewa: Struick &amp; Kambuaya</t>
  </si>
  <si>
    <t>https://drive.google.com/file/d/1bUjcpykVGGwPTCDb5hHtNk2FEVQyj0AK/view?usp=sharing</t>
  </si>
  <si>
    <t>https://drive.google.com/file/d/1SytjbekynIMVexWMFsA-6sQ_2slDZcnh/view?usp=drive_link</t>
  </si>
  <si>
    <t>https://drive.google.com/file/d/12ZkpCUT6VTk2XtGig5jYmrMioVXfb8GE/view?usp=sharing</t>
  </si>
  <si>
    <t>5d5f75da</t>
  </si>
  <si>
    <t>Malut United FC vs Bali United FC - BRI Super League</t>
  </si>
  <si>
    <t>https://www.vidio.com/live/19353-bri-super-league?schedule_id=4499133</t>
  </si>
  <si>
    <t>https://drive.google.com/drive/folders/1EiW6NIp2MjpSFYrqlQ8Rm33gnCEW_brP</t>
  </si>
  <si>
    <t>PUTRA DELTA SIDOARJO; Bali United; sports stream</t>
  </si>
  <si>
    <t>Nonton streaming pertandingan seru Malut United FC vs Bali United FC - BRI Super League. Saksikan aksi-aksi terbaik dari tim yang bersaing ketat untuk meraih kemenangan. Dapatkan informasi lengkap mengenai jadwal pertandingan dan hasil pertandingan terbaru hanya di Vidio.</t>
  </si>
  <si>
    <t>Mohon disiapkan thumbnail Malut vs Bali untuk live delay di Indosiar. Terima kasih
Malut: Yakob Sayuri &amp; Ciro
Bali: Jens Raven &amp; Irfan Jaya (jersey putih)</t>
  </si>
  <si>
    <t>B3</t>
  </si>
  <si>
    <t>https://drive.google.com/file/d/11RTG-gVsjk9JaMjYD56RtCDJFA7YGMZp/view?usp=sharing</t>
  </si>
  <si>
    <t>https://drive.google.com/file/d/1LIbxCC6e-M3DsstOhJ1u6ODLkpFlKCzv/view?usp=drive_link</t>
  </si>
  <si>
    <t>https://drive.google.com/file/d/1Q6GRXa_xKIMvrxlJ1nXSty8Hqgql2jL6/view?usp=sharing</t>
  </si>
  <si>
    <t>86f6be09</t>
  </si>
  <si>
    <t>PERSIK Kediri vs Madura United FC - BRI Super League</t>
  </si>
  <si>
    <t>https://www.vidio.com/live/19385-bri-super-league?schedule_id=4501538</t>
  </si>
  <si>
    <t>https://drive.google.com/drive/folders/19hNgFv630D5-8AezLn4uX3Q1jRRutB0Q</t>
  </si>
  <si>
    <t>persik kediri; madura united; sports stream</t>
  </si>
  <si>
    <t>Nonton streaming pertandingan seru PERSIK Kediri vs Madura United FC - BRI Super League. Saksikan aksi-aksi terbaik dari tim yang bersaing ketat untuk meraih kemenangan. Dapatkan informasi lengkap mengenai jadwal pertandingan dan hasil pertandingan terbaru hanya di Vidio.</t>
  </si>
  <si>
    <t>EKSKLUSIF
Persik: Ezra, Kiko (jersey lama)
Madura: Kerim Palic, Nufiandani (jersey away)</t>
  </si>
  <si>
    <t>https://drive.google.com/file/d/10rh9ehZG6DDllqZBu-dutetVAPTAlxti/view?usp=sharing</t>
  </si>
  <si>
    <t>https://drive.google.com/file/d/1NTlQDYPWh8MI4cX7eX6uWn-fURNd8VAt/view?usp=drive_link</t>
  </si>
  <si>
    <t>https://drive.google.com/file/d/1kgJ32lbrpzmRV1HgnWFGVSSyYyhyR758/view?usp=drive_link</t>
  </si>
  <si>
    <t>d9ca8709</t>
  </si>
  <si>
    <t>PSIM Jogja vs Arema FC - BRI Super League</t>
  </si>
  <si>
    <t>https://www.vidio.com/live/19384-bri-super-league?schedule_id=4501329</t>
  </si>
  <si>
    <t>https://drive.google.com/drive/folders/1gjxF0wy8Jg9lTNxosAOhaeGhw1pERqdK</t>
  </si>
  <si>
    <t>psim yogyakarta; arema fc; sports stream</t>
  </si>
  <si>
    <t>Nonton streaming pertandingan seru PSIM Jogja vs Arema FC - BRI Super League. Saksikan aksi-aksi terbaik dari tim yang bersaing ketat untuk meraih kemenangan. Dapatkan informasi lengkap mengenai jadwal pertandingan dan hasil pertandingan terbaru hanya di Vidio.</t>
  </si>
  <si>
    <t>EKSKLUSIF
PSIM: Pulga Vidal &amp; Ze Valente
Arema: Valdeci &amp; Dedik (jersey putih)</t>
  </si>
  <si>
    <t>https://drive.google.com/file/d/1IXV7NxAoDtuvU6n96skRp6tMdtD_zzye/view?usp=sharing</t>
  </si>
  <si>
    <t>https://drive.google.com/file/d/1IsDysgPdYofF-xcisMv7WquQ0x_B9s6a/view?usp=drive_link</t>
  </si>
  <si>
    <t>https://drive.google.com/file/d/1Ff_lThbHWr3Z7HUD4vK-lRJjFjnrSgXR/view?usp=drive_link</t>
  </si>
  <si>
    <t>da9e1742</t>
  </si>
  <si>
    <t>PERSIS vs PERSIJA - BRI Super League</t>
  </si>
  <si>
    <t>https://www.vidio.com/live/19354-bri-super-league?schedule_id=4501933</t>
  </si>
  <si>
    <t>https://drive.google.com/drive/folders/1R7AxaCx-A3i3r5QaNfZS5nsDYdOPBV1h?usp=drive_link</t>
  </si>
  <si>
    <t>persis solo; PERSIJA Jakarta; sports stream</t>
  </si>
  <si>
    <t>Nonton streaming pertandingan seru PERSIS vs PERSIJA - BRI Super League. Saksikan aksi-aksi terbaik dari tim yang bersaing ketat untuk meraih kemenangan. Dapatkan informasi lengkap mengenai jadwal pertandingan dan hasil pertandingan terbaru hanya di Vidio.</t>
  </si>
  <si>
    <t>Persis: Riyandi, Jordy
Persija: Allano, Eksel</t>
  </si>
  <si>
    <t>gilang.anugerah@intern.vidio.com</t>
  </si>
  <si>
    <t>https://drive.google.com/file/d/1OeIcklnJS6wEF1jWULtc7hkn73Iko76X/view?usp=sharing</t>
  </si>
  <si>
    <t>https://drive.google.com/file/d/1Q8h9wFUv3X2Fz24oWHFGI5Ovgk76pBAh/view?usp=drive_link</t>
  </si>
  <si>
    <t>https://drive.google.com/file/d/1k-PHEFdoJEoA-2oWttc-B2fJHPpB-YoD/view?usp=sharing</t>
  </si>
  <si>
    <t>f722d5f4</t>
  </si>
  <si>
    <t>Bhayangkara Presisi Lampung FC vs PSM Makassar - BRI Super League</t>
  </si>
  <si>
    <t>https://www.vidio.com/live/19386-bri-super-league?schedule_id=4501347</t>
  </si>
  <si>
    <t>https://drive.google.com/drive/folders/1Y71oCIxPpPyXqu3KkAEf-8tYeu_A4Hnn</t>
  </si>
  <si>
    <t>bhayangkara fc; PSM Makassar; sports stream</t>
  </si>
  <si>
    <t>Nonton streaming pertandingan seru Bhayangkara Presisi Lampung FC vs PSM Makassar - BRI Super League. Saksikan aksi-aksi terbaik dari tim yang bersaing ketat untuk meraih kemenangan. Dapatkan informasi lengkap mengenai jadwal pertandingan dan hasil pertandingan terbaru hanya di Vidio.</t>
  </si>
  <si>
    <t>EKSKLUSIF
Bhayangkara: Andres Nieto, Frengky Missa
PSM: Victor Luiz, Fahrul Aditia</t>
  </si>
  <si>
    <t>https://drive.google.com/file/d/1OcgHA8vvbPoN_zomDqI6hiJZ0JVk0mrf/view?usp=sharing</t>
  </si>
  <si>
    <t>https://drive.google.com/file/d/12OjFXM0uMqLHfPT3CJSLIBSHTmnAPvc6/view?usp=drive_link</t>
  </si>
  <si>
    <t>https://drive.google.com/file/d/1StNTvejILnSCLfRqtSEEGmaH_YiQki1q/view?usp=drive_link</t>
  </si>
  <si>
    <t>67fefcde</t>
  </si>
  <si>
    <t>PERSITA vs PERSEBAYA Surabaya - BRI Super League</t>
  </si>
  <si>
    <t>https://www.vidio.com/live/19354-bri-super-league?schedule_id=4499141</t>
  </si>
  <si>
    <t>https://drive.google.com/drive/folders/1gkehyjihyyKMCKYsEfWm_cqP5RLcODpt</t>
  </si>
  <si>
    <t>https://drive.google.com/drive/folders/12yyq45BDDqYFrm7CiIUN2QmpjiPGs3lp</t>
  </si>
  <si>
    <t>Persita Tangerang; persebaya surabaya; sports stream</t>
  </si>
  <si>
    <t>Nonton streaming pertandingan seru PERSITA vs PERSEBAYA Surabaya - BRI Super League. Saksikan aksi-aksi terbaik dari tim yang bersaing ketat untuk meraih kemenangan. Dapatkan informasi lengkap mengenai jadwal pertandingan dan hasil pertandingan terbaru hanya di Vidio.</t>
  </si>
  <si>
    <t>Persita: Eber Bessa &amp; Bae Sin Yong
Persebaya: Gali Freitas &amp; Ernando Ari</t>
  </si>
  <si>
    <t>https://drive.google.com/file/d/162D0LDt9UJRsUGcyyUSBo6FETnVdeqKe/view?usp=sharing</t>
  </si>
  <si>
    <t>https://drive.google.com/file/d/1E3uwDkf4mDIsi7KcyIIAGMFRVF351ojH/view?usp=sharing</t>
  </si>
  <si>
    <t>https://drive.google.com/file/d/1lkCCcAZaHhFUeColQ10t0n28imRCYtkY/view?usp=drive_link</t>
  </si>
  <si>
    <t>1fce0eb5</t>
  </si>
  <si>
    <t>PSBS Biak vs Borneo FC Samarinda - BRI Super League</t>
  </si>
  <si>
    <t>https://www.vidio.com/live/19385-bri-super-league?schedule_id=4503849</t>
  </si>
  <si>
    <t>https://drive.google.com/drive/folders/1ePCnovNHu5OAu4TciURPWqRfKMfyQOCi?usp=drive_link</t>
  </si>
  <si>
    <t>PSBS Biak Numfor; borneo fc; sports stream</t>
  </si>
  <si>
    <t>Nonton streaming pertandingan seru PSBS Biak vs Borneo FC Samarinda - BRI Super League. Saksikan aksi-aksi terbaik dari tim yang bersaing ketat untuk meraih kemenangan. Dapatkan informasi lengkap mengenai jadwal pertandingan dan hasil pertandingan terbaru hanya di Vidio.</t>
  </si>
  <si>
    <t>EKSKLUSIF
PSBS: Claudio Lucas, Nurhidayat
Borneo: Nadeo, Kei Hirose</t>
  </si>
  <si>
    <t>https://drive.google.com/file/d/1m9MxFjMnxuSTVIS-FJO0QcLN5FiPo_nN/view?usp=sharing</t>
  </si>
  <si>
    <t>https://drive.google.com/file/d/15bhuNaHqbZoc0b7n2dve3RaVHrJbhJ2N/view?usp=drive_link</t>
  </si>
  <si>
    <t>https://drive.google.com/file/d/1N-QmiBgRDQB7S6c5w4aOxL6PR0-GxfHo/view?usp=sharing</t>
  </si>
  <si>
    <t>990214c4</t>
  </si>
  <si>
    <t>PERSIJAP vs PERSIB - BRI Super League</t>
  </si>
  <si>
    <t>https://www.vidio.com/live/19354-bri-super-league?schedule_id=4503851</t>
  </si>
  <si>
    <t>https://drive.google.com/drive/folders/1cRvCMn5Ix4WfBU0-K5aHq9YAtAKecQcs?usp=drive_link</t>
  </si>
  <si>
    <t>Persijap Jepara; persib bandung; sports stream</t>
  </si>
  <si>
    <t>Nonton streaming pertandingan seru PERSIJAP vs PERSIB - BRI Super League. Saksikan aksi-aksi terbaik dari tim yang bersaing ketat untuk meraih kemenangan. Dapatkan informasi lengkap mengenai jadwal pertandingan dan hasil pertandingan terbaru hanya di Vidio.</t>
  </si>
  <si>
    <t>Persijap: Franca, Arya
Persib: Febri, Uiliam</t>
  </si>
  <si>
    <t>https://drive.google.com/file/d/11H4wIcfF3oPuWKY5gYFrXUmA_0PXHA8q/view?usp=sharing</t>
  </si>
  <si>
    <t>https://drive.google.com/file/d/16H_nscYwMHZ1z7TdunzqFvsN0qFRSryo/view?usp=drive_link</t>
  </si>
  <si>
    <t>https://drive.google.com/file/d/1R5NptViI2dNG1Bmqh2znUd5VB0hbG6A0/view?usp=sharing</t>
  </si>
  <si>
    <t>7404891c</t>
  </si>
  <si>
    <t>Arema FC vs Bhayangkara Presisi Lampung FC - BRI Super League</t>
  </si>
  <si>
    <t>https://www.vidio.com/live/19354-bri-super-league?schedule_id=4510710</t>
  </si>
  <si>
    <t>https://drive.google.com/drive/folders/17kcPXkDl9LyESWe--TrlbiMruZGDiZic</t>
  </si>
  <si>
    <t>https://drive.google.com/drive/folders/1nyKUUyr6kiqG4SFcbhStnCRfNhqct17a</t>
  </si>
  <si>
    <t>arema fc; bhayangkara fc; sports stream</t>
  </si>
  <si>
    <t>Nonton streaming pertandingan seru Arema FC vs Bhayangkara Presisi Lampung FC - BRI Super League. Saksikan aksi-aksi terbaik dari tim yang bersaing ketat untuk meraih kemenangan. Dapatkan informasi lengkap mengenai jadwal pertandingan dan hasil pertandingan terbaru hanya di Vidio.</t>
  </si>
  <si>
    <t>Arema: Alfarizi, Valdeci
Bhayangkara: Christian Ilic, Spaso (jersey putih)</t>
  </si>
  <si>
    <t>https://drive.google.com/file/d/1KULemMHmH_1XBpkwNino2tQhdHmblVgq/view?usp=sharing</t>
  </si>
  <si>
    <t>https://drive.google.com/file/d/1lXHWfybl2XL8QX8q20eymj11U3dMxUtd/view?usp=drive_link</t>
  </si>
  <si>
    <t>https://drive.google.com/file/d/14J7orgerc9PBlL_r_VLlgOQuT2CklWE1/view?usp=drive_link</t>
  </si>
  <si>
    <t>1ff05de6</t>
  </si>
  <si>
    <t>Semen Padang FC vs PSM Makassar - BRI Super League</t>
  </si>
  <si>
    <t>https://www.vidio.com/live/19385-bri-super-league?schedule_id=4510895</t>
  </si>
  <si>
    <t>https://drive.google.com/drive/folders/14V1BGhJj6mWb2eLAu27XfjQao8N7SJ53</t>
  </si>
  <si>
    <t>semen padang; PSM Makassar; sports stream</t>
  </si>
  <si>
    <t>Nonton streaming pertandingan seru Semen Padang FC vs PSM Makassar - BRI Super League. Saksikan aksi-aksi terbaik dari tim yang bersaing ketat untuk meraih kemenangan. Dapatkan informasi lengkap mengenai jadwal pertandingan dan hasil pertandingan terbaru hanya di Vidio.</t>
  </si>
  <si>
    <t>Semen Padang: Stewart &amp; Leo (jersey merah)
PSM: Yayat &amp; Reza Arya (jersey putih)</t>
  </si>
  <si>
    <t>https://drive.google.com/file/d/196-y2CNCXRHQ2CtB3msingonzqwAniPY/view?usp=drive_link</t>
  </si>
  <si>
    <t>https://drive.google.com/file/d/1u-JTOhRE8xuplM1SMDQlJDT2JN27c7lj/view?usp=drive_link</t>
  </si>
  <si>
    <t>https://drive.google.com/file/d/1Q6KTr4gx__EHYINTjPPh6dmbOZN2Csfi/view?usp=drive_link</t>
  </si>
  <si>
    <t>afbdfc6c</t>
  </si>
  <si>
    <t>Dewa United Banten FC vs PERSIK Kediri - BRI Super League</t>
  </si>
  <si>
    <t>https://www.vidio.com/live/19354-bri-super-league?schedule_id=4510739</t>
  </si>
  <si>
    <t>https://drive.google.com/drive/folders/15OIwQqiQPIjTxKNpP5FdiPOTykA3o9ok</t>
  </si>
  <si>
    <t>dewa united; persik kediri; sports stream</t>
  </si>
  <si>
    <t>Nonton streaming pertandingan seru Dewa United Banten FC vs PERSIK Kediri - BRI Super League. Saksikan aksi-aksi terbaik dari tim yang bersaing ketat untuk meraih kemenangan. Dapatkan informasi lengkap mengenai jadwal pertandingan dan hasil pertandingan terbaru hanya di Vidio.</t>
  </si>
  <si>
    <t>Dewa: Lilipaly, Kambuaya
Persik: Ezra, Bayu</t>
  </si>
  <si>
    <t>https://drive.google.com/file/d/1wFR0Tj4hFlHeyrYeU_-1Ln3HOvnmqQ-f/view?usp=drive_link</t>
  </si>
  <si>
    <t>https://drive.google.com/file/d/1Is3KRdEkacoErU5XBgrsi2D7KwFANSor/view?usp=drive_link</t>
  </si>
  <si>
    <t>https://drive.google.com/file/d/1LR9H1msmLZx5iMzN2Lu1508raFUlgmzI/view?usp=drive_link</t>
  </si>
  <si>
    <t>9ddb57ab</t>
  </si>
  <si>
    <t>PERSIJA vs Malut United FC - BRI Super League</t>
  </si>
  <si>
    <t>https://www.vidio.com/live/19354-bri-super-league?schedule_id=4510901</t>
  </si>
  <si>
    <t>https://drive.google.com/drive/folders/1gh3C_O9syneweBNgDVBl9jsh_w32QaDu</t>
  </si>
  <si>
    <t>PERSIJA Jakarta; PUTRA DELTA SIDOARJO; sports stream</t>
  </si>
  <si>
    <t>Nonton streaming pertandingan seru PERSIJA vs Malut United FC - BRI Super League. Saksikan aksi-aksi terbaik dari tim yang bersaing ketat untuk meraih kemenangan. Dapatkan informasi lengkap mengenai jadwal pertandingan dan hasil pertandingan terbaru hanya di Vidio.</t>
  </si>
  <si>
    <t>Persija: Jordi Amat, Gustavo Franca
Malut: Yakob Sayuri, David Da Silva (jersey putih)</t>
  </si>
  <si>
    <t>https://drive.google.com/file/d/1QzNdKOyhZFJrxx8ktH6h9RBV6fRMcPoH/view?usp=sharing</t>
  </si>
  <si>
    <t>https://drive.google.com/file/d/1mRRQ5ugDvogUaaUrdVerMI9ZUohWIwAN/view?usp=drive_link</t>
  </si>
  <si>
    <t>https://drive.google.com/file/d/1473RGtR5mlbP702EnuvmoJJMzWUkUN6j/view?usp=sharing</t>
  </si>
  <si>
    <t>f529a6ec</t>
  </si>
  <si>
    <t>PSBS Biak vs PERSIS - BRI Super League</t>
  </si>
  <si>
    <t>https://www.vidio.com/live/19384-bri-super-league?schedule_id=4510907</t>
  </si>
  <si>
    <t>https://drive.google.com/drive/folders/11WUiVqyQbh3YTAzRmESYoujmHHJIa1Gm</t>
  </si>
  <si>
    <t>PSBS Biak Numfor; persis solo; sports stream</t>
  </si>
  <si>
    <t>Nonton streaming pertandingan seru PSBS Biak vs PERSIS - BRI Super League. Saksikan aksi-aksi terbaik dari tim yang bersaing ketat untuk meraih kemenangan. Dapatkan informasi lengkap mengenai jadwal pertandingan dan hasil pertandingan terbaru hanya di Vidio.</t>
  </si>
  <si>
    <t>PSBS: Claudio Lucas, George Brown
Persis: Arapenta, Jordy</t>
  </si>
  <si>
    <t>https://drive.google.com/file/d/1SzRjoWkUUFkV6RmTAJVItfaxc3ZbsBPr/view?usp=sharing</t>
  </si>
  <si>
    <t>https://drive.google.com/file/d/1pK3ABHEQ7wI8XvIGt5As13be98aIMRq_/view?usp=drive_link</t>
  </si>
  <si>
    <t>https://drive.google.com/file/d/1MK8md4xKFUrY6-MIKy9e3jaXzlFvtEXO/view?usp=sharing</t>
  </si>
  <si>
    <t>6dedef50</t>
  </si>
  <si>
    <t>PERSEBAYA Surabaya vs Bali United FC - BRI Super League</t>
  </si>
  <si>
    <t>https://www.vidio.com/live/19354-bri-super-league?schedule_id=4510902</t>
  </si>
  <si>
    <t>https://drive.google.com/drive/folders/1e5dmoZsYGg2MA8rqilJ7t7UQqfpd88Hq</t>
  </si>
  <si>
    <t>persebaya surabaya; Bali United; sports stream</t>
  </si>
  <si>
    <t>Nonton streaming pertandingan seru PERSEBAYA Surabaya vs Bali United FC - BRI Super League. Saksikan aksi-aksi terbaik dari tim yang bersaing ketat untuk meraih kemenangan. Dapatkan informasi lengkap mengenai jadwal pertandingan dan hasil pertandingan terbaru hanya di Vidio.</t>
  </si>
  <si>
    <t>Persebaya: Malik, Bruno
Bali: Joao ferari, Ricky Fajrin</t>
  </si>
  <si>
    <t>https://drive.google.com/file/d/1wckJRMmNnytzhJ7Q18rOvqu-ATNa9R2m/view?usp=sharing</t>
  </si>
  <si>
    <t>https://drive.google.com/file/d/1_dPCrkyUG4eLivIqef6EqUlcnG4c6N-f/view?usp=drive_link</t>
  </si>
  <si>
    <t>https://drive.google.com/file/d/1K4T5sVdXG18pBJvLAvs9An0SSeniXj7A/view?usp=drive_link</t>
  </si>
  <si>
    <t>60ae0562</t>
  </si>
  <si>
    <t>Borneo FC Samarinda vs PERSIJAP - BRI Super League</t>
  </si>
  <si>
    <t>https://www.vidio.com/live/19385-bri-super-league?schedule_id=4512874</t>
  </si>
  <si>
    <t>https://drive.google.com/drive/folders/1mvnRSrV7_vMb5TrAQ1gNlzJTl-7AUGGN</t>
  </si>
  <si>
    <t>borneo fc; Persijap Jepara; sports stream</t>
  </si>
  <si>
    <t>Nonton streaming pertandingan seru Borneo FC Samarinda vs PERSIJAP - BRI Super League. Saksikan aksi-aksi terbaik dari tim yang bersaing ketat untuk meraih kemenangan. Dapatkan informasi lengkap mengenai jadwal pertandingan dan hasil pertandingan terbaru hanya di Vidio.</t>
  </si>
  <si>
    <t>Borneo: Fajar, Nadeo
Persijap: Alexis, Franc Sokoy (jersey away)</t>
  </si>
  <si>
    <t>https://drive.google.com/file/d/1Xo-hnYi02_9XMO9fTZiLImHTh-zS9H5i/view?usp=sharing</t>
  </si>
  <si>
    <t>https://drive.google.com/file/d/12sglxu3-NHTg9TEBLhL0-nWsThn5A0Gg/view?usp=drive_link</t>
  </si>
  <si>
    <t>https://drive.google.com/file/d/1B5DQYbH_HoHBpLsWEMyCE6OEQnKMRcOa/view?usp=sharing</t>
  </si>
  <si>
    <t>d6e28817</t>
  </si>
  <si>
    <t>PSIM Jogja vs PERSIB - BRI Super League</t>
  </si>
  <si>
    <t>https://www.vidio.com/live/19354-bri-super-league?schedule_id=4512887</t>
  </si>
  <si>
    <t>https://drive.google.com/drive/folders/1PFZnkY3szpnJyXdlB7yB3CoNLkrERl3T</t>
  </si>
  <si>
    <t>psim yogyakarta; persib bandung; sports stream</t>
  </si>
  <si>
    <t>Nonton streaming pertandingan seru PSIM Jogja vs PERSIB - BRI Super League. Saksikan aksi-aksi terbaik dari tim yang bersaing ketat untuk meraih kemenangan. Dapatkan informasi lengkap mengenai jadwal pertandingan dan hasil pertandingan terbaru hanya di Vidio.</t>
  </si>
  <si>
    <t>PSIM: Ze Valente, Haljeta
Persib: Beckham Putra, Putros (jersey kuning)</t>
  </si>
  <si>
    <t>TCV + NTC</t>
  </si>
  <si>
    <t>https://drive.google.com/file/d/13NbQNA3rpHwBDK1YMR6KHW5ON21PcaS9/view?usp=sharing</t>
  </si>
  <si>
    <t>https://drive.google.com/file/d/1dmLLMWDr4zyccdn7Qr-ZTzOTQ5reiTxY/view?usp=drive_link</t>
  </si>
  <si>
    <t>https://drive.google.com/file/d/1It7Nyr0Wh0bPVeaNwaaOxLqsjdXsEz5F/view?usp=sharing</t>
  </si>
  <si>
    <t>a384e349</t>
  </si>
  <si>
    <t>Madura United FC vs PERSITA - BRI Super League</t>
  </si>
  <si>
    <t>https://www.vidio.com/live/19385-bri-super-league?schedule_id=4512889</t>
  </si>
  <si>
    <t>https://drive.google.com/drive/folders/1eQlRJrC6oBkBPi0hfS5hlCggtYq6PmkH</t>
  </si>
  <si>
    <t>madura united; Persita Tangerang; sports stream</t>
  </si>
  <si>
    <t>Nonton streaming pertandingan seru Madura United FC vs PERSITA - BRI Super League. Saksikan aksi-aksi terbaik dari tim yang bersaing ketat untuk meraih kemenangan. Dapatkan informasi lengkap mengenai jadwal pertandingan dan hasil pertandingan terbaru hanya di Vidio.</t>
  </si>
  <si>
    <t>Mohon dibuatkan thumbnail polos untuk live delay, terima kasih.
Madura: Iran, Taufany
Persita: Javlon, Mario Jardel (jersey putih)</t>
  </si>
  <si>
    <t>https://drive.google.com/file/d/1y2b9J8ypk-JMdp_vL_B0jipe1M-pRS70/view?usp=sharing</t>
  </si>
  <si>
    <t>https://drive.google.com/file/d/1yG17FpblJ5UptyBRNX0hyfyUWtxazjB5/view?usp=drive_link</t>
  </si>
  <si>
    <t>https://drive.google.com/file/d/1Un4IEj8yloimpAML5Yjb4wx8iuKT3Rzi/view?usp=sharing</t>
  </si>
  <si>
    <t>863c0806</t>
  </si>
  <si>
    <t>Bhayangkara Presisi Lampung FC vs PERSIS - BRI Super League</t>
  </si>
  <si>
    <t>https://www.vidio.com/live/19386-bri-super-league?schedule_id=4529534</t>
  </si>
  <si>
    <t>https://drive.google.com/drive/folders/1baTBpqrQJ9UYMZjA0eKBtnMJ7Z1m9ruO</t>
  </si>
  <si>
    <t>https://drive.google.com/drive/folders/1MfSnQIhd9gXMICmCBRJSXYqjO1xvfX2J</t>
  </si>
  <si>
    <t>bhayangkara fc; persis solo; sports stream</t>
  </si>
  <si>
    <t>Nonton streaming pertandingan seru Bhayangkara Presisi Lampung FC vs PERSIS - BRI Super League. Saksikan aksi-aksi terbaik dari tim yang bersaing ketat untuk meraih kemenangan. Dapatkan informasi lengkap mengenai jadwal pertandingan dan hasil pertandingan terbaru hanya di Vidio.</t>
  </si>
  <si>
    <t>Bhayangkara: Fareed Sadat, Spaso
Persis: Sho Yamamoto, Jordy Tutuarima</t>
  </si>
  <si>
    <t>https://drive.google.com/file/d/1AfcfwgEGRlmSmc9risvOQ2BKkJH2UpkK/view?usp=sharing</t>
  </si>
  <si>
    <t>https://drive.google.com/file/d/1Hu3mN_HHqp9kjYA7YfEo8liGKYOvSA3x/view?usp=drive_link</t>
  </si>
  <si>
    <t>https://drive.google.com/file/d/1lklXX8PYwAacyyRkhoYEmplNNVyBNXmD/view?usp=drive_link</t>
  </si>
  <si>
    <t>84b7bf02</t>
  </si>
  <si>
    <t>Dewa United Banten FC vs PERSIJA - BRI Super League</t>
  </si>
  <si>
    <t>https://www.vidio.com/live/19354-bri-super-league?schedule_id=4525642</t>
  </si>
  <si>
    <t>https://drive.google.com/drive/folders/1kE0DDl25A-ieP7cGb4HtAyXXfM4wVkbN</t>
  </si>
  <si>
    <t>dewa united; PERSIJA Jakarta; sports stream</t>
  </si>
  <si>
    <t>Nonton streaming pertandingan seru Dewa United Banten FC vs PERSIJA - BRI Super League. Saksikan aksi-aksi terbaik dari tim yang bersaing ketat untuk meraih kemenangan. Dapatkan informasi lengkap mengenai jadwal pertandingan dan hasil pertandingan terbaru hanya di Vidio.</t>
  </si>
  <si>
    <t>Dewa: Kambuaya, Lilipaly
Persija: Emaxwell, Witan</t>
  </si>
  <si>
    <t>https://drive.google.com/file/d/1JqNOg-CPZ0D-lR7HdCk-lWYxA2h_Gp15/view?usp=sharing</t>
  </si>
  <si>
    <t>https://drive.google.com/file/d/1c_Y0r2X_oBsvJDrBOr31IS1wfBi4mBHb/view?usp=drive_link</t>
  </si>
  <si>
    <t>https://drive.google.com/file/d/1GNLXa95OD039YfnxQd7Uj3CUvrEaRGCb/view?usp=drive_link</t>
  </si>
  <si>
    <t>d7f78e9d</t>
  </si>
  <si>
    <t>Bali United FC vs Madura United FC - BRI Super League</t>
  </si>
  <si>
    <t>https://www.vidio.com/live/19354-bri-super-league?schedule_id=4525644</t>
  </si>
  <si>
    <t>https://drive.google.com/drive/folders/1qITVfQuRLdDumn5yab_F2qFiO7G1Hftf</t>
  </si>
  <si>
    <t>Bali United; madura united; sports stream</t>
  </si>
  <si>
    <t>Nonton streaming pertandingan seru Bali United FC vs Madura United FC - BRI Super League. Saksikan aksi-aksi terbaik dari tim yang bersaing ketat untuk meraih kemenangan. Dapatkan informasi lengkap mengenai jadwal pertandingan dan hasil pertandingan terbaru hanya di Vidio.</t>
  </si>
  <si>
    <t>Bali: Kopitovic, Irfan Jaya
Madura: Monteiro, Paulo (jerssey away)</t>
  </si>
  <si>
    <t>https://drive.google.com/file/d/12PViT-A4OhISVS9HJznchBP4kdjdDFsW/view?usp=drive_link</t>
  </si>
  <si>
    <t>https://drive.google.com/file/d/1YE5zBNLmqCbmZzZcgJ-QdskWDb-1lC6w/view?usp=drive_link</t>
  </si>
  <si>
    <t>https://drive.google.com/file/d/1rgfL78XwT0sigkLhviwAD1tA87hQJ538/view?usp=drive_link</t>
  </si>
  <si>
    <t>5096c9f2</t>
  </si>
  <si>
    <t>PERSIJAP vs Arema FC - BRI Super League</t>
  </si>
  <si>
    <t>https://www.vidio.com/live/19354-bri-super-league?schedule_id=4525643</t>
  </si>
  <si>
    <t>https://drive.google.com/drive/folders/15V2sfrS2PBp_4wxnJ06PpXdiWVlRNj3L</t>
  </si>
  <si>
    <t>Persijap Jepara; arema fc; sports stream</t>
  </si>
  <si>
    <t>Nonton streaming pertandingan seru PERSIJAP vs Arema FC - BRI Super League. Saksikan aksi-aksi terbaik dari tim yang bersaing ketat untuk meraih kemenangan. Dapatkan informasi lengkap mengenai jadwal pertandingan dan hasil pertandingan terbaru hanya di Vidio.</t>
  </si>
  <si>
    <t>Persijap: Douglas, Rizky Hidayat
Arema: Adi Satryo, Dalberto</t>
  </si>
  <si>
    <t>https://drive.google.com/file/d/1cyxNocV4QrWwj65QzFbvZOzdMq0Wt59u/view?usp=drive_link</t>
  </si>
  <si>
    <t>https://drive.google.com/file/d/1pFZje6zTkaH-Lk6NbCekgDVVTWKMKhTq/view?usp=drive_link</t>
  </si>
  <si>
    <t>https://drive.google.com/file/d/1_oi4Tb3sM0zNG9ZIhGQFLDqhsjhpOL46/view?usp=drive_link</t>
  </si>
  <si>
    <t>9c407d53</t>
  </si>
  <si>
    <t>PSBS Biak vs PERSIK Kediri - BRI Super League</t>
  </si>
  <si>
    <t>https://www.vidio.com/live/19353-bri-super-league?schedule_id=4525641</t>
  </si>
  <si>
    <t>https://drive.google.com/drive/folders/1RePTimoXfMttdnKSy9XLQzlm3X8gCzz7</t>
  </si>
  <si>
    <t>PSBS Biak Numfor; persik kediri; sports stream</t>
  </si>
  <si>
    <t>Nonton streaming pertandingan seru PSBS Biak vs PERSIK Kediri - BRI Super League. Saksikan aksi-aksi terbaik dari tim yang bersaing ketat untuk meraih kemenangan. Dapatkan informasi lengkap mengenai jadwal pertandingan dan hasil pertandingan terbaru hanya di Vidio.</t>
  </si>
  <si>
    <t>PSBS: Pablo Andrade, Nurhidayat
Persik: Ezra, Hugo Samir (jersey lama)</t>
  </si>
  <si>
    <t>https://drive.google.com/file/d/1_h4_q_malYrAhNkrdcG3kmELbBCOcKXT/view?usp=drive_link</t>
  </si>
  <si>
    <t>https://drive.google.com/file/d/14FYOcoRa_27EZSFGtkeD4OoT0i_33dxf/view?usp=drive_link</t>
  </si>
  <si>
    <t>https://drive.google.com/file/d/1USIwv0byF3a1xlgavrAMW44sbcW_eb4F/view?usp=drive_link</t>
  </si>
  <si>
    <t>94372df5</t>
  </si>
  <si>
    <t>Malut United FC vs PSIM Jogja - BRI Super League</t>
  </si>
  <si>
    <t>https://www.vidio.com/live/19385-bri-super-league?schedule_id=4524049</t>
  </si>
  <si>
    <t>https://drive.google.com/drive/folders/1gov3CkjjQgzNB3s4_GCSe9oPFLixRCKE?usp=drive_link</t>
  </si>
  <si>
    <t>PUTRA DELTA SIDOARJO; psim yogyakarta; sports stream</t>
  </si>
  <si>
    <t>Nonton streaming pertandingan seru Malut United FC vs PSIM Jogja - BRI Super League. Saksikan aksi-aksi terbaik dari tim yang bersaing ketat untuk meraih kemenangan. Dapatkan informasi lengkap mengenai jadwal pertandingan dan hasil pertandingan terbaru hanya di Vidio.</t>
  </si>
  <si>
    <t>Mohon disiapkan thumbnail untuk live delay, terima kasih
Malut: Yance, Tyronne
PSIM: Cahya, Reva Adi</t>
  </si>
  <si>
    <t>https://drive.google.com/file/d/1S60jUHxhpt1aNGrfKIeGGrb7NB9ocsnB/view?usp=sharing</t>
  </si>
  <si>
    <t>https://drive.google.com/file/d/191h0Pe76DccAhzjYmrCHK1yHaAkeuXCs/view?usp=drive_link</t>
  </si>
  <si>
    <t>https://drive.google.com/file/d/1PVl6c2FlIg7620Ddsnvbx2pgEnV_y8j6/view?usp=sharing</t>
  </si>
  <si>
    <t>d227b443</t>
  </si>
  <si>
    <t>PSM Makassar vs PERSEBAYA Surabaya - BRI Super League</t>
  </si>
  <si>
    <t>https://www.vidio.com/live/19354-bri-super-league?schedule_id=4525581</t>
  </si>
  <si>
    <t>https://drive.google.com/drive/folders/1aniL7gVroEo_QxArJo8LCjVINZryn3Cf?usp=drive_link</t>
  </si>
  <si>
    <t>PSM Makassar; persebaya surabaya; sports stream</t>
  </si>
  <si>
    <t>Nonton streaming pertandingan seru PSM Makassar vs PERSEBAYA Surabaya - BRI Super League. Saksikan aksi-aksi terbaik dari tim yang bersaing ketat untuk meraih kemenangan. Dapatkan informasi lengkap mengenai jadwal pertandingan dan hasil pertandingan terbaru hanya di Vidio.</t>
  </si>
  <si>
    <t>PSM: Yuran, Daffa
Persebaya: Paulo Gali, Risto</t>
  </si>
  <si>
    <t>https://drive.google.com/file/d/1o7eZ4QMF8c60P9_RBCj8wnA1NkHPaAnJ/view?usp=sharing</t>
  </si>
  <si>
    <t>https://drive.google.com/file/d/1nTd5bo-YR9mWh8-ECikMrXpX_aH9717h/view?usp=drive_link</t>
  </si>
  <si>
    <t>https://drive.google.com/file/d/18ZcXKj0AlewrNFHBpYxmAtWgmjirqE_F/view?usp=sharing</t>
  </si>
  <si>
    <t>b82af658</t>
  </si>
  <si>
    <t>PERSITA vs Semen Padang FC - BRI Super League</t>
  </si>
  <si>
    <t>https://www.vidio.com/live/205-indosiar?schedule_id=4533792</t>
  </si>
  <si>
    <t>https://drive.google.com/drive/folders/1HE22QyRJnEFHFgpYxsBQe23vKOkETIjN?usp=sharing</t>
  </si>
  <si>
    <t>Persita Tangerang; semen padang; sports stream</t>
  </si>
  <si>
    <t>Nonton streaming pertandingan seru PERSITA vs Semen Padang FC - BRI Super League. Saksikan aksi-aksi terbaik dari tim yang bersaing ketat untuk meraih kemenangan. Dapatkan informasi lengkap mengenai jadwal pertandingan dan hasil pertandingan terbaru hanya di Vidio.</t>
  </si>
  <si>
    <t>Persita: Aleksa, Hokky
Semen: Bruno Gomes, Obet Oropa</t>
  </si>
  <si>
    <t>devin.ritonga@intern.vidio.com</t>
  </si>
  <si>
    <t>https://drive.google.com/file/d/1p6pwV4oXWlbTEZ1NjAw0ZJtGrwX34eE3/view?usp=sharing</t>
  </si>
  <si>
    <t>https://drive.google.com/file/d/1p3nG28TjzXnd45cehtWrKBp-xxm0Z0TM/view?usp=drive_link</t>
  </si>
  <si>
    <t>https://drive.google.com/file/d/1KcLEeDth7lbAUWfnrRJRIE61yKGUJZig/view?usp=drive_link</t>
  </si>
  <si>
    <t>e83732b0</t>
  </si>
  <si>
    <t>PERSIB vs Borneo FC Samarinda - BRI Super League</t>
  </si>
  <si>
    <t>https://www.vidio.com/live/19354-bri-super-league?schedule_id=4527609</t>
  </si>
  <si>
    <t>https://drive.google.com/drive/folders/1C2kKi9nAP9kZYRRktTFe_Ds8JKfL68FU?usp=sharing</t>
  </si>
  <si>
    <t>persib bandung; borneo fc; sports stream</t>
  </si>
  <si>
    <t>Nonton streaming pertandingan seru PERSIB vs Borneo FC Samarinda - BRI Super League. Saksikan aksi-aksi terbaik dari tim yang bersaing ketat untuk meraih kemenangan. Dapatkan informasi lengkap mengenai jadwal pertandingan dan hasil pertandingan terbaru hanya di Vidio.</t>
  </si>
  <si>
    <t>Persib: Saddil, Uilliam
Borneo: Komang, Peralta</t>
  </si>
  <si>
    <t>https://drive.google.com/file/d/16hDFCxrcDTWayQWzOYb3BC6bFFH5gRw9/view?usp=sharing</t>
  </si>
  <si>
    <t>https://drive.google.com/file/d/1Xei0Yz8S_NxHFvV5x2XUom7PKzxmU7E2/view?usp=drive_link</t>
  </si>
  <si>
    <t>https://drive.google.com/file/d/1HTolMOzl3LykNrq174M8m1Ya-Lp3AFi5/view?usp=sharing</t>
  </si>
  <si>
    <t>0fd8bffe</t>
  </si>
  <si>
    <t>Semen Padang FC vs PSBS Biak - BRI Super League</t>
  </si>
  <si>
    <t>https://www.vidio.com/live/205-indosiar?schedule_id=4563113</t>
  </si>
  <si>
    <t>https://drive.google.com/drive/folders/1NccDjYD9AvXw9jpBA61dg-gNQO4tEu6t</t>
  </si>
  <si>
    <t>https://drive.google.com/drive/folders/1ujHQ4IbEycIeBiEJ6y7l69KXrMGhTzie</t>
  </si>
  <si>
    <t>semen padang; PSBS Biak Numfor; sports stream</t>
  </si>
  <si>
    <t>Nonton streaming pertandingan seru Semen Padang FC vs PSBS Biak - BRI Super League. Saksikan aksi-aksi terbaik dari tim yang bersaing ketat untuk meraih kemenangan. Dapatkan informasi lengkap mengenai jadwal pertandingan dan hasil pertandingan terbaru hanya di Vidio.</t>
  </si>
  <si>
    <t>Semen Padang: Bruno Gomes, Obet Oropa (jersey merah)
PSBS: Pablo Andrade, Ilham Udin (jersey away)</t>
  </si>
  <si>
    <t>https://drive.google.com/file/d/1EXOQhXKKrQL3KsFNM2b3FbR4OOOiN3qz/view?usp=drive_link</t>
  </si>
  <si>
    <t>https://drive.google.com/file/d/1HgXSlmE092K3SBY2FRxtWGct2xsYr0dL/view?usp=drive_link</t>
  </si>
  <si>
    <t>https://drive.google.com/file/d/116kurLWhy2gfoNullVXL-pbKCB3W7uoE/view?usp=drive_link</t>
  </si>
  <si>
    <t>3e51aae4</t>
  </si>
  <si>
    <t>PERSITA vs PSM Makassar - BRI Super League</t>
  </si>
  <si>
    <t>https://www.vidio.com/live/19353?schedule_id=4563118</t>
  </si>
  <si>
    <t>https://drive.google.com/drive/folders/1phjjJgwPxOBO0xF4zsAqFcQSTYVzLy5C</t>
  </si>
  <si>
    <t>Persita Tangerang; PSM Makassar; sports stream</t>
  </si>
  <si>
    <t>Nonton streaming pertandingan seru PERSITA vs PSM Makassar - BRI Super League. Saksikan aksi-aksi terbaik dari tim yang bersaing ketat untuk meraih kemenangan. Dapatkan informasi lengkap mengenai jadwal pertandingan dan hasil pertandingan terbaru hanya di Vidio.</t>
  </si>
  <si>
    <t>Mohon dibuatkan thumbnail polos noneksklusif+tapa logo indosiar+tanpa brand untuk live delay. Trims
Persita: Aleksa, Hokky
PSM: Yuran, Lucas Dias (jersey baru)</t>
  </si>
  <si>
    <t>ary.hikmawan@vidio.com</t>
  </si>
  <si>
    <t>https://drive.google.com/file/d/1m-DpMkIWKKBHIk2ozIt7vDDenTRz0p0y/view?usp=drive_link</t>
  </si>
  <si>
    <t>https://drive.google.com/file/d/1-o9ux7eHiUsS3T9FHnPTT2GmB2of4SMK/view?usp=drive_link</t>
  </si>
  <si>
    <t>https://drive.google.com/file/d/1dgs4oeFBx77yJInUMgX5LFDHvpg2tgK9/view?usp=drive_link</t>
  </si>
  <si>
    <t>a5a56068</t>
  </si>
  <si>
    <t>PERSIB vs PERSEBAYA Surabaya - BRI Super League</t>
  </si>
  <si>
    <t>https://www.vidio.com/live/19354?schedule_id=4563121</t>
  </si>
  <si>
    <t>https://drive.google.com/drive/folders/1aIYrXwkB4_DceTm0Yp57BUYZ1QGYUt7f</t>
  </si>
  <si>
    <t>persib bandung; persebaya surabaya; sports stream</t>
  </si>
  <si>
    <t>Nonton streaming pertandingan seru PERSIB vs PERSEBAYA Surabaya - BRI Super League. Saksikan aksi-aksi terbaik dari tim yang bersaing ketat untuk meraih kemenangan. Dapatkan informasi lengkap mengenai jadwal pertandingan dan hasil pertandingan terbaru hanya di Vidio.</t>
  </si>
  <si>
    <t>Persib: Thom Haye, Saddil
Persebaya: Risto, Gali</t>
  </si>
  <si>
    <t>TVC, NTC, SEO, PMAXX, CRM, SOSMED</t>
  </si>
  <si>
    <t>https://drive.google.com/file/d/18-vB-iLeeZgORqT5aKbzqQlEg4rxya2O/view?usp=drive_link</t>
  </si>
  <si>
    <t>https://drive.google.com/file/d/1pwha-Y6J5ua0zwskxNFMQZUSVyJPshXJ/view?usp=drive_link</t>
  </si>
  <si>
    <t>https://drive.google.com/file/d/1wgTskjTSP2_oddo0tWylNP2m1ogMYg-x/view?usp=drive_link</t>
  </si>
  <si>
    <t>338f4005</t>
  </si>
  <si>
    <t>Madura United FC vs Bhayangkara Presisi Lampung FC - BRI Super League</t>
  </si>
  <si>
    <t>https://www.vidio.com/live/19385?schedule_id=4563127</t>
  </si>
  <si>
    <t>https://drive.google.com/drive/folders/1cdjk2fntTBYs6NMfk0oly2L8WBSVKJAe</t>
  </si>
  <si>
    <t>madura united; bhayangkara fc; sports stream</t>
  </si>
  <si>
    <t>Nonton streaming pertandingan seru Madura United FC vs Bhayangkara Presisi Lampung FC - BRI Super League. Saksikan aksi-aksi terbaik dari tim yang bersaing ketat untuk meraih kemenangan. Dapatkan informasi lengkap mengenai jadwal pertandingan dan hasil pertandingan terbaru hanya di Vidio.</t>
  </si>
  <si>
    <t>Madura: Taufik, Balotelli
Bhayangkara: Spaso, Fareed Sadat</t>
  </si>
  <si>
    <t>https://drive.google.com/file/d/1XtGM-02V0YQS4EfA9fzhgbD7tR9XCtSD/view?usp=drive_link</t>
  </si>
  <si>
    <t>https://drive.google.com/file/d/1oKBlCsvlvBdutXTVQvy0vLnorzhgBAq5/view?usp=drive_link</t>
  </si>
  <si>
    <t>https://drive.google.com/file/d/1AYgnLk_P-0EZLEE0X8vpAvyAP1lsZoB9/view?usp=drive_link</t>
  </si>
  <si>
    <t>6ab6ef2b</t>
  </si>
  <si>
    <t>PERSIK Kediri vs Malut United FC - BRI Super League</t>
  </si>
  <si>
    <t>https://www.vidio.com/live/19384?schedule_id=4563124</t>
  </si>
  <si>
    <t>https://drive.google.com/drive/folders/1aqiOMnmr_a2PkIbh343Stds4fn4ZqHP8</t>
  </si>
  <si>
    <t>persik kediri; PUTRA DELTA SIDOARJO; sports stream</t>
  </si>
  <si>
    <t>Nonton streaming pertandingan seru PERSIK Kediri vs Malut United FC - BRI Super League. Saksikan aksi-aksi terbaik dari tim yang bersaing ketat untuk meraih kemenangan. Dapatkan informasi lengkap mengenai jadwal pertandingan dan hasil pertandingan terbaru hanya di Vidio.</t>
  </si>
  <si>
    <t>Mohon dibuatkan thumbnail polos noneksklusif+tanpa brand+tanpa logo indosiar untuk live delay, terima kasih.
Persik: Leo, Ezra Walian
Malut: Yakob, Ciro (jersey merah)</t>
  </si>
  <si>
    <t>https://drive.google.com/file/d/1FXwUfb0IOi_4tfJj2y0GgsFAhVPTljLB/view?usp=drive_link</t>
  </si>
  <si>
    <t>https://drive.google.com/file/d/1_tq1uGpsHw7UwBOjwJXDZaDlTBKfrQIH/view?usp=drive_link</t>
  </si>
  <si>
    <t>https://drive.google.com/file/d/1h_ndAErfLKKFIZNG2qlT1ezdcezyDU5y/view?usp=drive_link</t>
  </si>
  <si>
    <t>9a8f30b9</t>
  </si>
  <si>
    <t>Arema FC vs Dewa United Banten FC - BRI Super League</t>
  </si>
  <si>
    <t>https://www.vidio.com/live/19354?schedule_id=4563138</t>
  </si>
  <si>
    <t>https://drive.google.com/drive/folders/1lxrQ5Dn97NCWd13KAEvwIUiQ2q4Vfv-J</t>
  </si>
  <si>
    <t>arema fc; dewa united; sports stream</t>
  </si>
  <si>
    <t>Nonton streaming pertandingan seru Arema FC vs Dewa United Banten FC - BRI Super League. Saksikan aksi-aksi terbaik dari tim yang bersaing ketat untuk meraih kemenangan. Dapatkan informasi lengkap mengenai jadwal pertandingan dan hasil pertandingan terbaru hanya di Vidio.</t>
  </si>
  <si>
    <t>Arema: Dedik, Frigeri
Dewa: Jaja, Kuipers (jersey away)</t>
  </si>
  <si>
    <t>https://drive.google.com/file/d/1HzdaBVulQVXfH9azMcPbZVwEVMxTuVXM/view?usp=drive_link</t>
  </si>
  <si>
    <t>https://drive.google.com/file/d/1wgrTOrt-2o6eqOAK_mc5QV0dCV8ZN0-W/view?usp=drive_link</t>
  </si>
  <si>
    <t>https://drive.google.com/file/d/182wGKdOu1jc_FV-Vqnhw5thuUDc-vR8v/view?usp=drive_link</t>
  </si>
  <si>
    <t>240697d6</t>
  </si>
  <si>
    <t>PERSIS vs PERSIJAP - BRI Super League</t>
  </si>
  <si>
    <t>https://www.vidio.com/live/205-indosiar?schedule_id=4568599</t>
  </si>
  <si>
    <t>https://drive.google.com/drive/folders/1MUVga_d6SOBxJph9KA7W64r1sy73jnF_</t>
  </si>
  <si>
    <t>persis solo; Persijap Jepara; sports stream</t>
  </si>
  <si>
    <t>Nonton streaming pertandingan seru PERSIS vs PERSIJAP - BRI Super League. Saksikan aksi-aksi terbaik dari tim yang bersaing ketat untuk meraih kemenangan. Dapatkan informasi lengkap mengenai jadwal pertandingan dan hasil pertandingan terbaru hanya di Vidio.</t>
  </si>
  <si>
    <t>Persis: Kastaneer, Sho
Persijap: Wahyudi Hamisi, Diogo Brito (jersey away)</t>
  </si>
  <si>
    <t>A1 , D2</t>
  </si>
  <si>
    <t>https://drive.google.com/file/d/1tXPeGoxVgS2pmKpZQ9sgwVzInhcB5hZS/view?usp=drive_link</t>
  </si>
  <si>
    <t>https://drive.google.com/file/d/1CM1FM5aPIaIl48p_tJn5ibjEvjojMLQE/view?usp=drive_link</t>
  </si>
  <si>
    <t>https://drive.google.com/file/d/1iVlWmDJEofVTEyra3SZJvVsFqLKLLy4s/view?usp=drive_link</t>
  </si>
  <si>
    <t>6340adc8</t>
  </si>
  <si>
    <t>PSIM Jogja vs Borneo FC Samarinda - BRI Super League</t>
  </si>
  <si>
    <t>https://www.vidio.com/live/205-indosiar?schedule_id=4570984</t>
  </si>
  <si>
    <t>https://drive.google.com/drive/folders/1mW2AglSawIrph8ezppZpsqI_WgyDyl0I</t>
  </si>
  <si>
    <t>psim yogyakarta; borneo fc; sports stream</t>
  </si>
  <si>
    <t>Nonton streaming pertandingan seru PSIM Jogja vs Borneo FC Samarinda - BRI Super League. Saksikan aksi-aksi terbaik dari tim yang bersaing ketat untuk meraih kemenangan. Dapatkan informasi lengkap mengenai jadwal pertandingan dan hasil pertandingan terbaru hanya di Vidio.</t>
  </si>
  <si>
    <t>PSIM: Haljeta, Reva Adi
Borneo: Nadeo, Peralta</t>
  </si>
  <si>
    <t>https://drive.google.com/file/d/1Ra9Y-SbGEm7EAKsvvIJCaq0PquqTxtar/view?usp=drive_link</t>
  </si>
  <si>
    <t>https://drive.google.com/file/d/1h43WZgSXO3pV9wKQ5TIcpPMABoc-bSG4/view?usp=drive_link</t>
  </si>
  <si>
    <t>https://drive.google.com/file/d/116K0CD1A7Q6q2E8J1RbNfWtui5Qj20KR/view?usp=drive_link</t>
  </si>
  <si>
    <t>08b3023e</t>
  </si>
  <si>
    <t>PERSIJA vs Bali United FC - BRI Super League</t>
  </si>
  <si>
    <t>https://www.vidio.com/live/19354?schedule_id=4563159</t>
  </si>
  <si>
    <t>https://drive.google.com/drive/folders/1ipY_NPXoyAIeyXmmkiRyjGKzPZ5GMSLj?usp=sharing</t>
  </si>
  <si>
    <t>PERSIJA Jakarta; Bali United; sports stream</t>
  </si>
  <si>
    <t>Nonton streaming pertandingan seru PERSIJA vs Bali United FC - BRI Super League. Saksikan aksi-aksi terbaik dari tim yang bersaing ketat untuk meraih kemenangan. Dapatkan informasi lengkap mengenai jadwal pertandingan dan hasil pertandingan terbaru hanya di Vidio.</t>
  </si>
  <si>
    <t>Persija: Ridho, Allano
Bali: Mirza, Ricky Fajrin (jersey away)</t>
  </si>
  <si>
    <t>https://drive.google.com/file/d/1S54gS-8cXvKWMnaXxlU5uvMSIjJPYK9j/view?usp=sharing</t>
  </si>
  <si>
    <t>https://drive.google.com/file/d/1kwV2kAoeWcF_cy7J_HAMK4mqt6SnqGsu/view?usp=drive_link</t>
  </si>
  <si>
    <t>https://drive.google.com/file/d/1PWwkcKKlRuIi1NoklG6-4Jaw3wTiJC8z/view?usp=sharing</t>
  </si>
  <si>
    <t>da7b3740</t>
  </si>
  <si>
    <t>Bhayangkara Presisi Lampung FC vs PERSIK Kediri - BRI Super League</t>
  </si>
  <si>
    <t>https://www.vidio.com/live/205-indosiar?schedule_id=4575839</t>
  </si>
  <si>
    <t>https://drive.google.com/drive/folders/1lSEKbF9JhnPApLcjwAsdYoT3Rc1vOeqT</t>
  </si>
  <si>
    <t>https://drive.google.com/drive/folders/1vITpYa6owELhcaMUXLReRZ0syKZF3i6S</t>
  </si>
  <si>
    <t>bhayangkara fc; persik kediri; sports stream</t>
  </si>
  <si>
    <t>Nonton streaming pertandingan seru Bhayangkara Presisi Lampung FC vs PERSIK Kediri - BRI Super League. Saksikan aksi-aksi terbaik dari tim yang bersaing ketat untuk meraih kemenangan. Dapatkan informasi lengkap mengenai jadwal pertandingan dan hasil pertandingan terbaru hanya di Vidio.</t>
  </si>
  <si>
    <t>Bhayangkara: Spaso, Frengky Missa
Persik: Leo, Walian</t>
  </si>
  <si>
    <t>https://drive.google.com/file/d/1lWTxj7nRgfAvwIwcgJO2kwG7RYmGIcA6/view?usp=sharing</t>
  </si>
  <si>
    <t>https://drive.google.com/file/d/19y_7To2QohIPxwMvj_NjJ-X46iEWoXXy/view?usp=drive_link</t>
  </si>
  <si>
    <t>https://drive.google.com/file/d/1u4k9nFLXEoTu-ro-sz4y5sWrAC7xF1NI/view?usp=sharing</t>
  </si>
  <si>
    <t>46feb2f4</t>
  </si>
  <si>
    <t>PERSEBAYA Surabaya vs Semen Padang FC - BRI Super League</t>
  </si>
  <si>
    <t>https://www.vidio.com/live/19354-bri-super-league?schedule_id=4575841</t>
  </si>
  <si>
    <t>https://drive.google.com/drive/folders/17QmF-I_8VnXzZjfLJw-solPUxSebgNWg</t>
  </si>
  <si>
    <t>persebaya surabaya; semen padang; sports stream</t>
  </si>
  <si>
    <t>Nonton streaming pertandingan seru PERSEBAYA Surabaya vs Semen Padang FC - BRI Super League. Saksikan aksi-aksi terbaik dari tim yang bersaing ketat untuk meraih kemenangan. Dapatkan informasi lengkap mengenai jadwal pertandingan dan hasil pertandingan terbaru hanya di Vidio.</t>
  </si>
  <si>
    <t>Persebaya: Malik Risaldi, Mitrevski
Semen: Stewart, Ronaldo</t>
  </si>
  <si>
    <t>https://drive.google.com/file/d/1MVz6urCC0O_8dLAjHQgH6NW5o5o3a23y/view?usp=sharing</t>
  </si>
  <si>
    <t>https://drive.google.com/file/d/1rHNGieHPsO-M7oQ8dz0-bzrmA_UG0xbf/view?usp=drive_link</t>
  </si>
  <si>
    <t>https://drive.google.com/file/d/1FvuV1iRFTtHrnEoaV3o_xR_-FEn-XAnF/view?usp=sharing</t>
  </si>
  <si>
    <t>508f02e6</t>
  </si>
  <si>
    <t>Malut United FC vs Madura United FC - BRI Super League</t>
  </si>
  <si>
    <t>https://www.vidio.com/live/19386-bri-super-league?schedule_id=4577335</t>
  </si>
  <si>
    <t>https://drive.google.com/drive/folders/1aABCJyj6sH94Hz51sEg2P0Md-PuDvlxL</t>
  </si>
  <si>
    <t>PUTRA DELTA SIDOARJO; madura united; sports stream</t>
  </si>
  <si>
    <t>Nonton streaming pertandingan seru Malut United FC vs Madura United FC - BRI Super League. Saksikan aksi-aksi terbaik dari tim yang bersaing ketat untuk meraih kemenangan. Dapatkan informasi lengkap mengenai jadwal pertandingan dan hasil pertandingan terbaru hanya di Vidio.</t>
  </si>
  <si>
    <t>Mohon dibuatkan thumbnail noneksklusif+logo indosiar untuk live delay, terima kasih
Malut: Yakob Sayuri, David Da Silva
Madura: Jordy, Ruxi (jersey away)</t>
  </si>
  <si>
    <t>https://drive.google.com/file/d/1pL1oRxnfSFYAtVppFxJctAy6YoG00hRv/view?usp=sharing</t>
  </si>
  <si>
    <t>https://drive.google.com/file/d/1Byjq3szP684Et-Tv2iKXdbiWfohktyrF/view?usp=drive_link</t>
  </si>
  <si>
    <t>https://drive.google.com/file/d/1G1407pU3GBIVimHDSm7CeK2KhbICrjig/view?usp=sharing</t>
  </si>
  <si>
    <t>9b2c300a</t>
  </si>
  <si>
    <t>Dewa United Banten FC vs PSBS Biak - BRI Super League</t>
  </si>
  <si>
    <t>https://www.vidio.com/live/19354-bri-super-league?schedule_id=4578242</t>
  </si>
  <si>
    <t>https://drive.google.com/drive/folders/1sVwTrpesFKW2Bm6-2TgC6xrUTs44pfHX</t>
  </si>
  <si>
    <t>dewa united; PSBS Biak Numfor; sports stream</t>
  </si>
  <si>
    <t>Nonton streaming pertandingan seru Dewa United Banten FC vs PSBS Biak - BRI Super League. Saksikan aksi-aksi terbaik dari tim yang bersaing ketat untuk meraih kemenangan. Dapatkan informasi lengkap mengenai jadwal pertandingan dan hasil pertandingan terbaru hanya di Vidio.</t>
  </si>
  <si>
    <t>Dewa: Taisei, Lilipaly
PSBS: Claudio Lucas, Nurhidayat</t>
  </si>
  <si>
    <t>https://drive.google.com/file/d/1sjaaZjcsGoYfpX37YsJrMbWRpoYm5bcZ/view?usp=sharing</t>
  </si>
  <si>
    <t>https://drive.google.com/file/d/18rfDvWgR-QA9s2717WPyaALflPwlzNdR/view?usp=drive_link</t>
  </si>
  <si>
    <t>https://drive.google.com/file/d/1PUyVWYzfA-iOn-ZBV538Rl7yPzbxQY0Q/view?usp=sharing</t>
  </si>
  <si>
    <t>bfabd3ac</t>
  </si>
  <si>
    <t>Bali United FC vs PSIM Jogja - BRI Super League</t>
  </si>
  <si>
    <t>https://www.vidio.com/live/19354-bri-super-league?schedule_id=4578243</t>
  </si>
  <si>
    <t>https://drive.google.com/drive/folders/1ewiRiZNMgnA4O79E35xxPr5Tr4fOyslM</t>
  </si>
  <si>
    <t>Bali United; psim yogyakarta; sports stream</t>
  </si>
  <si>
    <t>Nonton streaming pertandingan seru Bali United FC vs PSIM Jogja - BRI Super League. Saksikan aksi-aksi terbaik dari tim yang bersaing ketat untuk meraih kemenangan. Dapatkan informasi lengkap mengenai jadwal pertandingan dan hasil pertandingan terbaru hanya di Vidio.</t>
  </si>
  <si>
    <t>Bali: Mirza, Thijmen
PSIM: Haljeta, Reva Adi</t>
  </si>
  <si>
    <t>https://drive.google.com/file/d/1LLAzt3V7wa7znDtwcjF7ZpqkF9PecBlX/view?usp=sharing</t>
  </si>
  <si>
    <t>https://drive.google.com/file/d/14cWQXHVm8DnLaucfyHFS0siVlMoQjZNj/view?usp=drive_link</t>
  </si>
  <si>
    <t>https://drive.google.com/file/d/14ngMC9CTKYdakA0Ed4nrmoWn8fyCnc64/view?usp=sharing</t>
  </si>
  <si>
    <t>113ee162</t>
  </si>
  <si>
    <t>PERSIJAP vs PERSITA - BRI Super League</t>
  </si>
  <si>
    <t>https://www.vidio.com/live/205-indosiar?schedule_id=4578240</t>
  </si>
  <si>
    <t>https://drive.google.com/drive/folders/13ZH8aZgkHBWjA49oRnOOWQcpkMl8jLVu</t>
  </si>
  <si>
    <t>Persijap Jepara; Persita Tangerang; sports stream</t>
  </si>
  <si>
    <t>Nonton streaming pertandingan seru PERSIJAP vs PERSITA - BRI Super League. Saksikan aksi-aksi terbaik dari tim yang bersaing ketat untuk meraih kemenangan. Dapatkan informasi lengkap mengenai jadwal pertandingan dan hasil pertandingan terbaru hanya di Vidio.</t>
  </si>
  <si>
    <t>Persijap: Sudi &amp; Rosalvo
Persita: Ryuji, Eber Bessa</t>
  </si>
  <si>
    <t>https://drive.google.com/file/d/1oL4PWSiX-1tur9mcMrRY5cXaih3LVFla/view?usp=drive_link</t>
  </si>
  <si>
    <t>https://drive.google.com/file/d/1atckdjUMI-pdjmutk6tqfE0i4TOrtB-k/view?usp=drive_link</t>
  </si>
  <si>
    <t>https://drive.google.com/file/d/1-OoDMY-fZSop_2bCvt35GLn1yTU7H1fC/view?usp=sharing</t>
  </si>
  <si>
    <t>d7db31f9</t>
  </si>
  <si>
    <t>PSM Makassar vs PERSIJA - BRI Super League</t>
  </si>
  <si>
    <t>https://www.vidio.com/live/19354-bri-super-league?schedule_id=4578244</t>
  </si>
  <si>
    <t>https://drive.google.com/drive/folders/1bv6hM05HjG5FketVH4UW2T4B7j5Yd7j4</t>
  </si>
  <si>
    <t>PSM Makassar; PERSIJA Jakarta; sports stream</t>
  </si>
  <si>
    <t>Nonton streaming pertandingan seru PSM Makassar vs PERSIJA - BRI Super League. Saksikan aksi-aksi terbaik dari tim yang bersaing ketat untuk meraih kemenangan. Dapatkan informasi lengkap mengenai jadwal pertandingan dan hasil pertandingan terbaru hanya di Vidio.</t>
  </si>
  <si>
    <t>PSM: Yuran, Lucas Dias (jersey baru)
Persija: Hanif, Allano (jersey putih)</t>
  </si>
  <si>
    <t>https://drive.google.com/file/d/1qePoaKwJR__vhiZVokrLKQ8rYRe-ydVh/view?usp=sharing</t>
  </si>
  <si>
    <t>https://drive.google.com/file/d/1N0jyAv6z6uuYo_2LOA3M-ap4IvcZedSm/view?usp=drive_link</t>
  </si>
  <si>
    <t>https://drive.google.com/file/d/1BsXJmfO-P99J0ou-rua9X-rMIdTkQvuf/view?usp=sharing</t>
  </si>
  <si>
    <t>e5e9a7f3</t>
  </si>
  <si>
    <t>Arema FC vs PERSIB - BRI Super League</t>
  </si>
  <si>
    <t>https://www.vidio.com/live/19354-bri-super-league?schedule_id=4581463</t>
  </si>
  <si>
    <t>https://drive.google.com/drive/folders/1YogofYcFUlliMvotiyj_ebVkfHsWbDBp</t>
  </si>
  <si>
    <t>arema fc; persib bandung; sports stream</t>
  </si>
  <si>
    <t>Nonton streaming pertandingan seru Arema FC vs PERSIB - BRI Super League. Saksikan aksi-aksi terbaik dari tim yang bersaing ketat untuk meraih kemenangan. Dapatkan informasi lengkap mengenai jadwal pertandingan dan hasil pertandingan terbaru hanya di Vidio.</t>
  </si>
  <si>
    <t>Arema: Dalberto, Alfarizie
Persib: Thom Haye, Eliano</t>
  </si>
  <si>
    <t>match_notes,</t>
  </si>
  <si>
    <t>https://drive.google.com/file/d/1rE17H92VGRQjBjnBZlM8GPThmG49Q4gV/view?usp=sharing</t>
  </si>
  <si>
    <t>https://drive.google.com/file/d/1NotcBn4fncKatOe7k554dQxBTu0XJWsL/view?usp=drive_link</t>
  </si>
  <si>
    <t>https://drive.google.com/file/d/1a0vd7Ky7tMapVbjDxivyxGJQj1u16etO/view?usp=sharing</t>
  </si>
  <si>
    <t>54c1bbd8</t>
  </si>
  <si>
    <t>Borneo FC Samarinda vs PERSIS - BRI Super League</t>
  </si>
  <si>
    <t>https://www.vidio.com/live/205-indosiar?schedule_id=4585681</t>
  </si>
  <si>
    <t>https://drive.google.com/drive/folders/1Bx063-ShxESNFZQAPv66M4oSBQsoB5ji</t>
  </si>
  <si>
    <t>borneo fc; persis solo; sports stream</t>
  </si>
  <si>
    <t>Nonton streaming pertandingan seru Borneo FC Samarinda vs PERSIS - BRI Super League. Saksikan aksi-aksi terbaik dari tim yang bersaing ketat untuk meraih kemenangan. Dapatkan informasi lengkap mengenai jadwal pertandingan dan hasil pertandingan terbaru hanya di Vidio.</t>
  </si>
  <si>
    <t>Borneo: Peralta, Nadeo
Persis: Cleylton, Sutanto Tan (jersey putih)</t>
  </si>
  <si>
    <t>https://drive.google.com/file/d/1-KyLbhuPRw-X-vBuykoXf3KQSd8-OBMs/view?usp=sharing</t>
  </si>
  <si>
    <t>https://drive.google.com/file/d/1UXLozGoNbYrxpMqbP4Ny1i_pfIViycQM/view?usp=drive_link</t>
  </si>
  <si>
    <t>https://drive.google.com/file/d/1cziD_IBLeTgQT09JOd871u6LWoootSZF/view?usp=sharing</t>
  </si>
  <si>
    <t>62bab096</t>
  </si>
  <si>
    <t>PSBS Biak vs Madura United FC - BRI Super League</t>
  </si>
  <si>
    <t>https://www.vidio.com/live/205-indosiar?schedule_id=4594600</t>
  </si>
  <si>
    <t>https://drive.google.com/drive/folders/1APSct6QfWzAsfYoPNNi-3tKmYH8i-3Wg</t>
  </si>
  <si>
    <t>https://drive.google.com/drive/u/0/folders/1UK6JOYOJJ_5a5WEmGMrjKbPOe1Q5OO4u</t>
  </si>
  <si>
    <t>PSBS Biak Numfor; madura united; sports stream</t>
  </si>
  <si>
    <t>Nonton streaming pertandingan seru PSBS Biak vs Madura United FC - BRI Super League. Saksikan aksi-aksi terbaik dari tim yang bersaing ketat untuk meraih kemenangan. Dapatkan informasi lengkap mengenai jadwal pertandingan dan hasil pertandingan terbaru hanya di Vidio.</t>
  </si>
  <si>
    <t>PSBS: Nurhidayat, Saldarriaga
Madura: Lulinha, Paulo</t>
  </si>
  <si>
    <t>https://drive.google.com/file/d/14TGB1cmW93Ko0MOD3X0Am1IT0kOBTSDj/view?usp=drive_link</t>
  </si>
  <si>
    <t>https://drive.google.com/file/d/10P63MiM17kL6KpcZP4WB7bRslWWrOX1l/view?usp=drive_link</t>
  </si>
  <si>
    <t>https://drive.google.com/file/d/1NZjQBKoLgCJw6j2k_WhkwpwiRLRoUDRV/view?usp=drive_link</t>
  </si>
  <si>
    <t>97500264</t>
  </si>
  <si>
    <t>Bhayangkara Presisi Lampung FC vs Malut United FC - BRI Super League</t>
  </si>
  <si>
    <t>https://www.vidio.com/live/205-indosiar?schedule_id=4594599</t>
  </si>
  <si>
    <t>https://drive.google.com/drive/folders/1g6mhYlsxbtsKzXC0xP44Dk5FzKafl0Yv</t>
  </si>
  <si>
    <t>bhayangkara fc; PUTRA DELTA SIDOARJO; sports stream</t>
  </si>
  <si>
    <t>Nonton streaming pertandingan seru Bhayangkara Presisi Lampung FC vs Malut United FC - BRI Super League. Saksikan aksi-aksi terbaik dari tim yang bersaing ketat untuk meraih kemenangan. Dapatkan informasi lengkap mengenai jadwal pertandingan dan hasil pertandingan terbaru hanya di Vidio.</t>
  </si>
  <si>
    <t>Bhayangkara: Dendy, Christian Ilic
Malut: Ciro Alves, Yance Sayuri</t>
  </si>
  <si>
    <t>https://drive.google.com/file/d/1AxegON8hPoOyFo_r2DqXaYyfMGjyx4_P/view?usp=sharing</t>
  </si>
  <si>
    <t>https://drive.google.com/file/d/1h7Za4WZ_R_4D1WGsg9wuTgiSJYTpi2XH/view?usp=drive_link</t>
  </si>
  <si>
    <t>https://drive.google.com/file/d/1CXoas7ll4RTjCmatzMERwMBlLFwcvB2x/view?usp=drive_link</t>
  </si>
  <si>
    <t>f03ee41f</t>
  </si>
  <si>
    <t>Semen Padang FC vs Bali United FC - BRI Super League</t>
  </si>
  <si>
    <t>https://www.vidio.com/live/19354-bri-super-league?schedule_id=4594759</t>
  </si>
  <si>
    <t>https://drive.google.com/drive/folders/1kNKivbMCUTu7AzzisD9_cMyPJ4aKKnDp</t>
  </si>
  <si>
    <t>semen padang; Bali United; sports stream</t>
  </si>
  <si>
    <t>Nonton streaming pertandingan seru Semen Padang FC vs Bali United FC - BRI Super League. Saksikan aksi-aksi terbaik dari tim yang bersaing ketat untuk meraih kemenangan. Dapatkan informasi lengkap mengenai jadwal pertandingan dan hasil pertandingan terbaru hanya di Vidio.</t>
  </si>
  <si>
    <t>Semen: Wakaso, Samuel S (jersey merah)
Bali: Jens Raven, Ricky Fajrin (jersey away)</t>
  </si>
  <si>
    <t>https://drive.google.com/file/d/1jGDGLvPzrV8LPl_kcd9W81apSycewaFg/view?usp=drive_link</t>
  </si>
  <si>
    <t>https://drive.google.com/file/d/1IrN33cFJBmF0rGe5NV5orrDLAH5VZ-Io/view?usp=drive_link</t>
  </si>
  <si>
    <t>https://drive.google.com/file/d/1PJWaYLNQC67qDHSvYXN0a3S9gh5kIVOi/view?usp=drive_link</t>
  </si>
  <si>
    <t>ee34a59a</t>
  </si>
  <si>
    <t>Dewa United Banten FC vs PERSEBAYA Surabaya - BRI Super League</t>
  </si>
  <si>
    <t>https://www.vidio.com/live/19354-bri-super-league?schedule_id=4594758</t>
  </si>
  <si>
    <t>https://drive.google.com/drive/folders/1ysx7nv98nKYOLD0M9Bl3paZWisfom3vx</t>
  </si>
  <si>
    <t>dewa united; persebaya surabaya; sports stream</t>
  </si>
  <si>
    <t>Nonton streaming pertandingan seru Dewa United Banten FC vs PERSEBAYA Surabaya - BRI Super League. Saksikan aksi-aksi terbaik dari tim yang bersaing ketat untuk meraih kemenangan. Dapatkan informasi lengkap mengenai jadwal pertandingan dan hasil pertandingan terbaru hanya di Vidio.</t>
  </si>
  <si>
    <t>Dewa: Messidoro, Sonny Stevens
Persebaya: Ernando, Bruno</t>
  </si>
  <si>
    <t>https://drive.google.com/file/d/1gi5q9nn9AqhqfbhZG6ZH8K67vYpb43Q_/view?usp=drive_link</t>
  </si>
  <si>
    <t>https://drive.google.com/file/d/10QpVLNTwj7WwDur05DokjiHLNmTKMKWy/view?usp=drive_link</t>
  </si>
  <si>
    <t>https://drive.google.com/file/d/1Bus-BffCib3V2XKA2ND5nKSRWQBhP1ch/view?usp=drive_link</t>
  </si>
  <si>
    <t>7124c9a1</t>
  </si>
  <si>
    <t>PSM Makassar vs PSIM Jogja - BRI Super League</t>
  </si>
  <si>
    <t>https://www.vidio.com/live/205-indosiar?schedule_id=4596308</t>
  </si>
  <si>
    <t>https://drive.google.com/drive/folders/1yaCK0tnQ5d7Ymg-sZLzU-gx2M-hwNH4H</t>
  </si>
  <si>
    <t>PSM Makassar; psim yogyakarta; sports stream</t>
  </si>
  <si>
    <t>Nonton streaming pertandingan seru PSM Makassar vs PSIM Jogja - BRI Super League. Saksikan aksi-aksi terbaik dari tim yang bersaing ketat untuk meraih kemenangan. Dapatkan informasi lengkap mengenai jadwal pertandingan dan hasil pertandingan terbaru hanya di Vidio.</t>
  </si>
  <si>
    <t>PSM: Lucas, Yuran
PSIM: Ze Valente, Pulga Vidal (jersey away)</t>
  </si>
  <si>
    <t>https://drive.google.com/file/d/1tEM0LxxWS3r5M8B_7J6TCqLa-GoSkdnE/view?usp=drive_link</t>
  </si>
  <si>
    <t>https://drive.google.com/file/d/1o6cjy5F5rDMB4HJBlSPOMWBiT5juDR6R/view?usp=drive_link</t>
  </si>
  <si>
    <t>https://drive.google.com/file/d/1Gwkh0R6yg1X1RS7brX1A_HZcGNN9rYWe/view?usp=drive_link</t>
  </si>
  <si>
    <t>7d022edd</t>
  </si>
  <si>
    <t>PERSITA vs PERSIB - BRI Super League</t>
  </si>
  <si>
    <t>https://www.vidio.com/live/19354-bri-super-league?schedule_id=4596462</t>
  </si>
  <si>
    <t>https://drive.google.com/drive/folders/10-6Sloqk5tq4T8h_UOAvfxFHcju07jYI</t>
  </si>
  <si>
    <t>Persita Tangerang; persib bandung; sports stream</t>
  </si>
  <si>
    <t>Nonton streaming pertandingan seru PERSITA vs PERSIB - BRI Super League. Saksikan aksi-aksi terbaik dari tim yang bersaing ketat untuk meraih kemenangan. Dapatkan informasi lengkap mengenai jadwal pertandingan dan hasil pertandingan terbaru hanya di Vidio.</t>
  </si>
  <si>
    <t>Persita: Hokky, Aleksa
Persib: Eliano, Saddil</t>
  </si>
  <si>
    <t>https://drive.google.com/file/d/1Dsu0bRMkRxj0Y69scKxlTth_x6oDfF0N/view?usp=drive_link</t>
  </si>
  <si>
    <t>https://drive.google.com/file/d/1K76beV47yzuc0chnL6dqNNimBBPa1C1m/view?usp=drive_link</t>
  </si>
  <si>
    <t>https://drive.google.com/file/d/1tsldBbQ_TmUKiKq5TompJ0MgLeQo00A8/view?usp=drive_link</t>
  </si>
  <si>
    <t>059e7f95</t>
  </si>
  <si>
    <t>PERSIJAP vs PERSIK Kediri - BRI Super League</t>
  </si>
  <si>
    <t>https://www.vidio.com/live/19386-bri-super-league?schedule_id=4596465</t>
  </si>
  <si>
    <t>https://drive.google.com/drive/folders/15GOZWf-FB8xQVStWW6AQpQQRdMAY0muV</t>
  </si>
  <si>
    <t>Persijap Jepara; persik kediri; sports stream</t>
  </si>
  <si>
    <t>Nonton streaming pertandingan seru PERSIJAP vs PERSIK Kediri - BRI Super League. Saksikan aksi-aksi terbaik dari tim yang bersaing ketat untuk meraih kemenangan. Dapatkan informasi lengkap mengenai jadwal pertandingan dan hasil pertandingan terbaru hanya di Vidio.</t>
  </si>
  <si>
    <t>Mohon dibuatkan thumbnail dengan logo indosiar (tanpa logo brand dan tanpa eksklusif)
Persijap: Franca, Sudi
Persik: Kiko, Leo (jersey lama)</t>
  </si>
  <si>
    <t>https://drive.google.com/file/d/1b89gKHXmplKgjeGdNZnTFiyD_SvEbmrI/view?usp=drive_link</t>
  </si>
  <si>
    <t>https://drive.google.com/file/d/1W04C1men-Jq3aPDSgvN1ROrd9Vk7nQQr/view?usp=drive_link</t>
  </si>
  <si>
    <t>https://drive.google.com/file/d/152TeYNl2hUr1mgiSZ_Sp1m6t_Z4HOwG-/view?usp=drive_link</t>
  </si>
  <si>
    <t>b97d8b97</t>
  </si>
  <si>
    <t>PERSIS vs Arema FC - BRI Super League</t>
  </si>
  <si>
    <t>https://www.vidio.com/live/19354-bri-super-league?schedule_id=4596519</t>
  </si>
  <si>
    <t>https://drive.google.com/drive/folders/1TRVWM1VyWcM_CIOjOPEBkn-UGu_rKzBj</t>
  </si>
  <si>
    <t>persis solo; arema fc; sports stream</t>
  </si>
  <si>
    <t>Nonton streaming pertandingan seru PERSIS vs Arema FC - BRI Super League. Saksikan aksi-aksi terbaik dari tim yang bersaing ketat untuk meraih kemenangan. Dapatkan informasi lengkap mengenai jadwal pertandingan dan hasil pertandingan terbaru hanya di Vidio.</t>
  </si>
  <si>
    <t>Persis: Cleylton, Sutanto
Arema: Paulinho, Arkhan (jersey putih)</t>
  </si>
  <si>
    <t>https://drive.google.com/file/d/1HPVfLcP0_BDFCpMuLmTQzqS0gARfyjov/view?usp=drive_link</t>
  </si>
  <si>
    <t>https://drive.google.com/file/d/1qxo5LEipCRWCOaCzcQNZSXxgF2PRMHeG/view?usp=drive_link</t>
  </si>
  <si>
    <t>https://drive.google.com/file/d/12XIpfKnPwW79iEwT3ApoKMXKzkputZJ3/view?usp=drive_link</t>
  </si>
  <si>
    <t>8140b9bf</t>
  </si>
  <si>
    <t>Borneo FC Samarinda vs PERSIJA - BRI Super League</t>
  </si>
  <si>
    <t>https://www.vidio.com/live/19354-bri-super-league?schedule_id=4596520</t>
  </si>
  <si>
    <t>https://drive.google.com/drive/folders/1RvmcsooJ69zU27M4FAMAu6T0D8bA8iL7</t>
  </si>
  <si>
    <t>borneo fc; PERSIJA Jakarta; sports stream</t>
  </si>
  <si>
    <t>Nonton streaming pertandingan seru Borneo FC Samarinda vs PERSIJA - BRI Super League. Saksikan aksi-aksi terbaik dari tim yang bersaing ketat untuk meraih kemenangan. Dapatkan informasi lengkap mengenai jadwal pertandingan dan hasil pertandingan terbaru hanya di Vidio.</t>
  </si>
  <si>
    <t>Borneo: Komang Teguh, Nadeo
Persija: Rayhan Hanan, Rizky Ridho (jersey putih away)</t>
  </si>
  <si>
    <t>https://drive.google.com/file/d/1PqbKtH8VmZ2S0zj35sogcXBRKMO88ieM/view?usp=drive_link</t>
  </si>
  <si>
    <t>https://drive.google.com/file/d/1cUeUSy6cDsxp9M5Q4mtJqz9dl2I4canx/view?usp=drive_link</t>
  </si>
  <si>
    <t>https://drive.google.com/file/d/1IUvSkk4_P8IGF1yIUClkHw6JOBhHPH2V/view?usp=drive_link</t>
  </si>
  <si>
    <t>ae004beb</t>
  </si>
  <si>
    <t>PSIM Jogja vs PSBS Biak - BRI Super League</t>
  </si>
  <si>
    <t>psim yogyakarta; PSBS Biak Numfor; sports stream</t>
  </si>
  <si>
    <t>Nonton streaming pertandingan seru PSIM Jogja vs PSBS Biak - BRI Super League. Saksikan aksi-aksi terbaik dari tim yang bersaing ketat untuk meraih kemenangan. Dapatkan informasi lengkap mengenai jadwal pertandingan dan hasil pertandingan terbaru hanya di Vidio.</t>
  </si>
  <si>
    <t>bef7be71</t>
  </si>
  <si>
    <t>Bali United FC vs Dewa United Banten FC - BRI Super League</t>
  </si>
  <si>
    <t>Bali United; dewa united; sports stream</t>
  </si>
  <si>
    <t>Nonton streaming pertandingan seru Bali United FC vs Dewa United Banten FC - BRI Super League. Saksikan aksi-aksi terbaik dari tim yang bersaing ketat untuk meraih kemenangan. Dapatkan informasi lengkap mengenai jadwal pertandingan dan hasil pertandingan terbaru hanya di Vidio.</t>
  </si>
  <si>
    <t>amierul.asqar@intern.vidio.com</t>
  </si>
  <si>
    <t>2a0d9c00</t>
  </si>
  <si>
    <t>PERSIK Kediri vs PERSIS - BRI Super League</t>
  </si>
  <si>
    <t>persik kediri; persis solo; sports stream</t>
  </si>
  <si>
    <t>Nonton streaming pertandingan seru PERSIK Kediri vs PERSIS - BRI Super League. Saksikan aksi-aksi terbaik dari tim yang bersaing ketat untuk meraih kemenangan. Dapatkan informasi lengkap mengenai jadwal pertandingan dan hasil pertandingan terbaru hanya di Vidio.</t>
  </si>
  <si>
    <t>285f07b2</t>
  </si>
  <si>
    <t>PERSEBAYA Surabaya vs PERSIJAP - BRI Super League</t>
  </si>
  <si>
    <t>persebaya surabaya; Persijap Jepara; sports stream</t>
  </si>
  <si>
    <t>Nonton streaming pertandingan seru PERSEBAYA Surabaya vs PERSIJAP - BRI Super League. Saksikan aksi-aksi terbaik dari tim yang bersaing ketat untuk meraih kemenangan. Dapatkan informasi lengkap mengenai jadwal pertandingan dan hasil pertandingan terbaru hanya di Vidio.</t>
  </si>
  <si>
    <t>69bd129c</t>
  </si>
  <si>
    <t>PERSIJA vs Bhayangkara Presisi Lampung FC - BRI Super League</t>
  </si>
  <si>
    <t>PERSIJA Jakarta; bhayangkara fc; sports stream</t>
  </si>
  <si>
    <t>Nonton streaming pertandingan seru PERSIJA vs Bhayangkara Presisi Lampung FC - BRI Super League. Saksikan aksi-aksi terbaik dari tim yang bersaing ketat untuk meraih kemenangan. Dapatkan informasi lengkap mengenai jadwal pertandingan dan hasil pertandingan terbaru hanya di Vidio.</t>
  </si>
  <si>
    <t>3260f080</t>
  </si>
  <si>
    <t>Malut United FC vs Borneo FC Samarinda - BRI Super League</t>
  </si>
  <si>
    <t>THUMBNAIL , SUBHEADLINE , GRANDE</t>
  </si>
  <si>
    <t>PUTRA DELTA SIDOARJO; borneo fc; sports stream</t>
  </si>
  <si>
    <t>Nonton streaming pertandingan seru Malut United FC vs Borneo FC Samarinda - BRI Super League. Saksikan aksi-aksi terbaik dari tim yang bersaing ketat untuk meraih kemenangan. Dapatkan informasi lengkap mengenai jadwal pertandingan dan hasil pertandingan terbaru hanya di Vidio.</t>
  </si>
  <si>
    <t>Small</t>
  </si>
  <si>
    <t>b5b61ef6</t>
  </si>
  <si>
    <t>Madura United FC vs Semen Padang FC - BRI Super League</t>
  </si>
  <si>
    <t>madura united; semen padang; sports stream</t>
  </si>
  <si>
    <t>Nonton streaming pertandingan seru Madura United FC vs Semen Padang FC - BRI Super League. Saksikan aksi-aksi terbaik dari tim yang bersaing ketat untuk meraih kemenangan. Dapatkan informasi lengkap mengenai jadwal pertandingan dan hasil pertandingan terbaru hanya di Vidio.</t>
  </si>
  <si>
    <t>01886ad5</t>
  </si>
  <si>
    <t>Arema FC vs PERSITA - BRI Super League</t>
  </si>
  <si>
    <t>arema fc; Persita Tangerang; sports stream</t>
  </si>
  <si>
    <t>Nonton streaming pertandingan seru Arema FC vs PERSITA - BRI Super League. Saksikan aksi-aksi terbaik dari tim yang bersaing ketat untuk meraih kemenangan. Dapatkan informasi lengkap mengenai jadwal pertandingan dan hasil pertandingan terbaru hanya di Vidio.</t>
  </si>
  <si>
    <t>c738a456</t>
  </si>
  <si>
    <t>PERSIB vs PSM Makassar - BRI Super League</t>
  </si>
  <si>
    <t>persib bandung; PSM Makassar; sports stream</t>
  </si>
  <si>
    <t>Nonton streaming pertandingan seru PERSIB vs PSM Makassar - BRI Super League. Saksikan aksi-aksi terbaik dari tim yang bersaing ketat untuk meraih kemenangan. Dapatkan informasi lengkap mengenai jadwal pertandingan dan hasil pertandingan terbaru hanya di Vidio.</t>
  </si>
  <si>
    <t>5f12ebfd</t>
  </si>
  <si>
    <t>Dewa United Banten FC vs Madura United FC - BRI Super League</t>
  </si>
  <si>
    <t>https://www.vidio.com/live/19354-bri-super-league?schedule_id=4651615</t>
  </si>
  <si>
    <t>https://drive.google.com/drive/folders/15MN6Hfi32dtR2giwqkz8k_s-HJFrv0Tf</t>
  </si>
  <si>
    <t>https://drive.google.com/drive/folders/1aexzNkyl8QGtRGJz1_l8iR7bOKhXX5tg</t>
  </si>
  <si>
    <t>dewa united; madura united; sports stream</t>
  </si>
  <si>
    <t>Nonton streaming pertandingan seru Dewa United Banten FC vs Madura United FC - BRI Super League. Saksikan aksi-aksi terbaik dari tim yang bersaing ketat untuk meraih kemenangan. Dapatkan informasi lengkap mengenai jadwal pertandingan dan hasil pertandingan terbaru hanya di Vidio.</t>
  </si>
  <si>
    <t>Dewa: Egy &amp; Kambuaya
Madura: Jasey &amp; Taufik (jersey putih)</t>
  </si>
  <si>
    <t>https://drive.google.com/file/d/1wL-ZscKcwcwmuXFBzKmldXLOgKxnVkCx/view?usp=sharing</t>
  </si>
  <si>
    <t>https://drive.google.com/file/d/14Ch_ao1mvcJRdkRvW_2zLMUsjh_e82uf/view?usp=drive_link</t>
  </si>
  <si>
    <t>https://drive.google.com/file/d/1ZpOu_CXk5G8yFkGSCV0eLHFYtlzjUwgy/view?usp=drive_link</t>
  </si>
  <si>
    <t>7771599b</t>
  </si>
  <si>
    <t>PERSITA vs PSIM Jogja - BRI Super League</t>
  </si>
  <si>
    <t>https://www.vidio.com/live/205-indosiar?schedule_id=4651622</t>
  </si>
  <si>
    <t>https://drive.google.com/drive/folders/1GORguPJyPaNO6AqnpBKQZC1uCipRE3aq</t>
  </si>
  <si>
    <t>Persita Tangerang; psim yogyakarta; sports stream</t>
  </si>
  <si>
    <t>Nonton streaming pertandingan seru PERSITA vs PSIM Jogja - BRI Super League. Saksikan aksi-aksi terbaik dari tim yang bersaing ketat untuk meraih kemenangan. Dapatkan informasi lengkap mengenai jadwal pertandingan dan hasil pertandingan terbaru hanya di Vidio.</t>
  </si>
  <si>
    <t>Persita: Hokky, Javlon
PSIM: Yusaku, Pulga Vidal (jersey away)</t>
  </si>
  <si>
    <t>https://drive.google.com/file/d/1xN0BZBa2mqHArm_xZ956ap_agUzP65xN/view?usp=sharing</t>
  </si>
  <si>
    <t>https://drive.google.com/file/d/1rtbU7nnu5C7uR2zEnD0Xn7z4NACZE-7X/view?usp=drive_link</t>
  </si>
  <si>
    <t>https://drive.google.com/file/d/1dQI4IfMzerzWJxUzAhfnA1bzhDlmryle/view?usp=drive_link</t>
  </si>
  <si>
    <t>46a9e6b5</t>
  </si>
  <si>
    <t>PSBS Biak vs PERSIB - BRI Super League</t>
  </si>
  <si>
    <t>https://www.vidio.com/live/19354-bri-super-league?schedule_id=4651619</t>
  </si>
  <si>
    <t>https://drive.google.com/drive/folders/13COnqdICEcZ8Zczgcd7eqX7WHcjZJz_q</t>
  </si>
  <si>
    <t>PSBS Biak Numfor; persib bandung; sports stream</t>
  </si>
  <si>
    <t>Nonton streaming pertandingan seru PSBS Biak vs PERSIB - BRI Super League. Saksikan aksi-aksi terbaik dari tim yang bersaing ketat untuk meraih kemenangan. Dapatkan informasi lengkap mengenai jadwal pertandingan dan hasil pertandingan terbaru hanya di Vidio.</t>
  </si>
  <si>
    <t>PSBS: Nurhidayat, Claudio Lucas
Persib: Matricardi, Kakang (jersey away)</t>
  </si>
  <si>
    <t>https://drive.google.com/file/d/18OsORam8uQ3QnbMidStyDUTIBuiW3E5o/view?usp=drive_link</t>
  </si>
  <si>
    <t>https://drive.google.com/file/d/1aY_RF9EP3vcgWBOP9JRkGs43E9reOVkD/view?usp=drive_link</t>
  </si>
  <si>
    <t>https://drive.google.com/file/d/15ERIx1a63IlWAgRNUKuiN_Bh-m5lKr9f/view?usp=drive_link</t>
  </si>
  <si>
    <t>158fcb51</t>
  </si>
  <si>
    <t>Borneo FC Samarinda vs PERSIK Kediri - BRI Super League</t>
  </si>
  <si>
    <t>https://www.vidio.com/live/205-indosiar?schedule_id=4652392</t>
  </si>
  <si>
    <t>https://drive.google.com/drive/folders/1Cs7u5SPOQ8y3eaATozEGIsChjGqp-ABg</t>
  </si>
  <si>
    <t>borneo fc; persik kediri; sports stream</t>
  </si>
  <si>
    <t>Nonton streaming pertandingan seru Borneo FC Samarinda vs PERSIK Kediri - BRI Super League. Saksikan aksi-aksi terbaik dari tim yang bersaing ketat untuk meraih kemenangan. Dapatkan informasi lengkap mengenai jadwal pertandingan dan hasil pertandingan terbaru hanya di Vidio.</t>
  </si>
  <si>
    <t>Borneo: Kei Hirose, Fajar
Persik: Ezra, Kiko</t>
  </si>
  <si>
    <t>https://drive.google.com/file/d/12T39CM28vr47_lBDeEsPx3vGjQ2aD9LS/view?usp=drive_link</t>
  </si>
  <si>
    <t>https://drive.google.com/file/d/10l10NeQaR1TR56eM9Nlv2aKD11CVCHR-/view?usp=drive_link</t>
  </si>
  <si>
    <t>https://drive.google.com/file/d/1DLEq2erja2gXhlAchybmmWyGYCjrikNH/view?usp=drive_link</t>
  </si>
  <si>
    <t>fc1d9b59</t>
  </si>
  <si>
    <t>PERSEBAYA Surabaya vs PERSIJA - BRI Super League</t>
  </si>
  <si>
    <t>https://www.vidio.com/live/19354-bri-super-league?schedule_id=4652393</t>
  </si>
  <si>
    <t>https://drive.google.com/drive/folders/1DnELMBJ-X1zy0fTvS9EVyLzMt3VAICZo</t>
  </si>
  <si>
    <t>persebaya surabaya; PERSIJA Jakarta; sports stream</t>
  </si>
  <si>
    <t>Nonton streaming pertandingan seru PERSEBAYA Surabaya vs PERSIJA - BRI Super League. Saksikan aksi-aksi terbaik dari tim yang bersaing ketat untuk meraih kemenangan. Dapatkan informasi lengkap mengenai jadwal pertandingan dan hasil pertandingan terbaru hanya di Vidio.</t>
  </si>
  <si>
    <t>Persebaya: Bruno, Malik
Persija: Ridho, Gustavo</t>
  </si>
  <si>
    <t>https://drive.google.com/file/d/1xhpQKDaXU2Hsv3V3MB0Wd-67cgr3cQzH/view?usp=drive_link</t>
  </si>
  <si>
    <t>https://drive.google.com/file/d/1F3VGU3HuBdB7bSFD_dEssrmfKChrbivt/view?usp=drive_link</t>
  </si>
  <si>
    <t>https://drive.google.com/file/d/19vqca_EiIe3jFdyf_YspiGyBdyNKvzzH/view?usp=drive_link</t>
  </si>
  <si>
    <t>d2018f10</t>
  </si>
  <si>
    <t>PSM Makassar vs Arema FC - BRI Super League</t>
  </si>
  <si>
    <t>https://www.vidio.com/live/19354-bri-super-league?schedule_id=4653438</t>
  </si>
  <si>
    <t>https://drive.google.com/drive/folders/1G7_sjj_YcBoFeWU8cnWkbjVkCTJu3785</t>
  </si>
  <si>
    <t>PSM Makassar; arema fc; sports stream</t>
  </si>
  <si>
    <t>Nonton streaming pertandingan seru PSM Makassar vs Arema FC - BRI Super League. Saksikan aksi-aksi terbaik dari tim yang bersaing ketat untuk meraih kemenangan. Dapatkan informasi lengkap mengenai jadwal pertandingan dan hasil pertandingan terbaru hanya di Vidio.</t>
  </si>
  <si>
    <t>PSM: Reza Arya, Lucas Dias
Arema: Frigeri, Arkhan Fikri (away)</t>
  </si>
  <si>
    <t>https://drive.google.com/file/d/1jUF1p_vjDwEo6LNBu822kFyMvpfIOAVl/view?usp=sharing</t>
  </si>
  <si>
    <t>https://drive.google.com/file/d/1TKCDMggj8GrZ6h4iXlNXpDCiiy397L_8/view?usp=drive_link</t>
  </si>
  <si>
    <t>https://drive.google.com/file/d/16cK64F3tPBP_1mauVxu7TwSbdrCjh7qy/view?usp=sharing</t>
  </si>
  <si>
    <t>883b405f</t>
  </si>
  <si>
    <t>PERSIJAP vs Bali United FC - BRI Super League</t>
  </si>
  <si>
    <t>https://www.vidio.com/live/19354-bri-super-league?schedule_id=4652394</t>
  </si>
  <si>
    <t>https://drive.google.com/drive/folders/13Agq71m5YdllMjRcBM3jViBL4aeCrcV2</t>
  </si>
  <si>
    <t>Persijap; Bali United; sports stream</t>
  </si>
  <si>
    <t>Nonton streaming pertandingan seru PERSIJAP vs Bali United FC - BRI Super League. Saksikan aksi-aksi terbaik dari tim yang bersaing ketat untuk meraih kemenangan. Dapatkan informasi lengkap mengenai jadwal pertandingan dan hasil pertandingan terbaru hanya di Vidio.</t>
  </si>
  <si>
    <t>Persijap: Rosalvo, Wahyudi Hamisi
Bali: Goppel, Ricky Fajrin (away)</t>
  </si>
  <si>
    <t>https://drive.google.com/file/d/1ennJX2XkqPkwOvWMPNngyeDLJ0Bd8lQm/view?usp=sharing</t>
  </si>
  <si>
    <t>https://drive.google.com/file/d/1VsxOVDEBm3Zdn9Bazw8t3AuNJPlBQEPr/view?usp=drive_link</t>
  </si>
  <si>
    <t>https://drive.google.com/file/d/1Pdm0J5rPW2wAxPBQUyDgWySappTxUWPi/view?usp=sharing</t>
  </si>
  <si>
    <t>756acda0</t>
  </si>
  <si>
    <t>Semen Padang FC vs Bhayangkara Presisi Lampung FC - BRI Super League</t>
  </si>
  <si>
    <t>https://www.vidio.com/live/205-indosiar?schedule_id=4660726</t>
  </si>
  <si>
    <t>https://drive.google.com/drive/folders/1GTB4yr7nPHOuG-YKM3_OccPAJBmdmL7H</t>
  </si>
  <si>
    <t>semen padang; bhayangkara fc; sports stream</t>
  </si>
  <si>
    <t>Nonton streaming pertandingan seru Semen Padang FC vs Bhayangkara Presisi Lampung FC - BRI Super League. Saksikan aksi-aksi terbaik dari tim yang bersaing ketat untuk meraih kemenangan. Dapatkan informasi lengkap mengenai jadwal pertandingan dan hasil pertandingan terbaru hanya di Vidio.</t>
  </si>
  <si>
    <t>Semen Padang: Bruno, Angelo Meneses
Bhayangkara: Firza Andika, Dendi Sulistyawan</t>
  </si>
  <si>
    <t>https://drive.google.com/file/d/1cEtCE6EALFO2SghhdUnh1jR2CEnWvjP8/view?usp=sharing</t>
  </si>
  <si>
    <t>https://drive.google.com/file/d/1tiumcWbKTdofS4H_l4hf7dyshuXlobYm/view?usp=drive_link</t>
  </si>
  <si>
    <t>https://drive.google.com/file/d/1EKAYd-2bTVaRc146P-qEt08Ued91D6BW/view?usp=drive_link</t>
  </si>
  <si>
    <t>32a75306</t>
  </si>
  <si>
    <t>PERSIS vs Malut United FC - BRI Super League</t>
  </si>
  <si>
    <t>https://www.vidio.com/live/205-indosiar?schedule_id=4660727</t>
  </si>
  <si>
    <t>https://drive.google.com/drive/folders/1bPEH-6hjkGzIetTDOTGWie2zovNlOQ6S</t>
  </si>
  <si>
    <t>persis solo; PUTRA DELTA SIDOARJO; sports stream</t>
  </si>
  <si>
    <t>Nonton streaming pertandingan seru PERSIS vs Malut United FC - BRI Super League. Saksikan aksi-aksi terbaik dari tim yang bersaing ketat untuk meraih kemenangan. Dapatkan informasi lengkap mengenai jadwal pertandingan dan hasil pertandingan terbaru hanya di Vidio.</t>
  </si>
  <si>
    <t>Persis: Kastaneer, Arkhan Kaka
Malut: David Da Silva, Tyronne (jersey away  putih)</t>
  </si>
  <si>
    <t>https://drive.google.com/file/d/1vh_zFs7DXKbGeAu1wSRRwZhW6EPXu_3Z/view?usp=sharing</t>
  </si>
  <si>
    <t>https://drive.google.com/file/d/1R0PcHjtPSL6WvwF-f1mNpON57utQNCNY/view?usp=drive_link</t>
  </si>
  <si>
    <t>https://drive.google.com/file/d/1jd3qQCjU11QYShZBBm_vUAbU8HS2v4kW/view?usp=drive_link</t>
  </si>
  <si>
    <t>e0b36592</t>
  </si>
  <si>
    <t>PSIM Jogja vs Dewa United Banten FC - BRI Super League</t>
  </si>
  <si>
    <t>https://www.vidio.com/live/19354-bri-super-league?schedule_id=4665765</t>
  </si>
  <si>
    <t>https://drive.google.com/drive/folders/1Nu3mOOEoRAGtnJH4NNkAWCCUJDbo-SXi</t>
  </si>
  <si>
    <t>psim yogyakarta; dewa united; sports stream</t>
  </si>
  <si>
    <t>Nonton streaming pertandingan seru PSIM Jogja vs Dewa United Banten FC - BRI Super League. Saksikan aksi-aksi terbaik dari tim yang bersaing ketat untuk meraih kemenangan. Dapatkan informasi lengkap mengenai jadwal pertandingan dan hasil pertandingan terbaru hanya di Vidio.</t>
  </si>
  <si>
    <t>PSIM: Fahreza Sudin, Ze Valente
Dewa: Ricky Kambuaya, Nick Kuipers (jersey away)</t>
  </si>
  <si>
    <t>https://drive.google.com/file/d/1eUpperqdqpUXe5n4D9GKLqz3Rrcd6Cf7/view?usp=sharing</t>
  </si>
  <si>
    <t>https://drive.google.com/file/d/19Avo6fZotDSnLrqoNdvNfhG7KMuq-tjT/view?usp=sharing</t>
  </si>
  <si>
    <t>a1c21878</t>
  </si>
  <si>
    <t>PSBS Biak vs PERSEBAYA Surabaya - BRI Super League</t>
  </si>
  <si>
    <t>https://www.vidio.com/live/19354-bri-super-league?schedule_id=4667499</t>
  </si>
  <si>
    <t>https://drive.google.com/drive/folders/1x6zb-01rnkHnFQ_mhjX3Vtw3-BIgLz2r</t>
  </si>
  <si>
    <t>https://drive.google.com/drive/folders/1LGi9dLurk_Jo_59rg1c1WXWuzIKHgb6W</t>
  </si>
  <si>
    <t>PSBS Biak Numfor; persebaya surabaya; sports stream</t>
  </si>
  <si>
    <t>Nonton streaming pertandingan seru PSBS Biak vs PERSEBAYA Surabaya - BRI Super League. Saksikan aksi-aksi terbaik dari tim yang bersaing ketat untuk meraih kemenangan. Dapatkan informasi lengkap mengenai jadwal pertandingan dan hasil pertandingan terbaru hanya di Vidio.</t>
  </si>
  <si>
    <t>PSBS: George Brown, Pablo Andrade
Persebaya: Gali Freitas, Rachmat Irianto</t>
  </si>
  <si>
    <t>https://drive.google.com/file/d/1qJNp-gB40pZNrQigZnCsHj30Ys2PHA6n/view?usp=drive_link</t>
  </si>
  <si>
    <t>https://drive.google.com/file/d/1jzfT22gzwGvMcraTQW5E68syzzmDon1G/view?usp=sharing</t>
  </si>
  <si>
    <t>https://drive.google.com/file/d/1y0QnLtqTYmzQRfZzCJS_mlYtB6WL4FDU/view?usp=drive_link</t>
  </si>
  <si>
    <t>23620ba6</t>
  </si>
  <si>
    <t>Madura United FC vs PERSIJA - BRI Super League</t>
  </si>
  <si>
    <t>https://www.vidio.com/live/19354-bri-super-league?schedule_id=4667500</t>
  </si>
  <si>
    <t>https://drive.google.com/drive/folders/1nylDRvjYrpwQYOyO_09-HRPDVFCCcf7m</t>
  </si>
  <si>
    <t>madura united; PERSIJA Jakarta; sports stream</t>
  </si>
  <si>
    <t>Nonton streaming pertandingan seru Madura United FC vs PERSIJA - BRI Super League. Saksikan aksi-aksi terbaik dari tim yang bersaing ketat untuk meraih kemenangan. Dapatkan informasi lengkap mengenai jadwal pertandingan dan hasil pertandingan terbaru hanya di Vidio.</t>
  </si>
  <si>
    <t>Madura: Ruxi, Paulo
Persija: Jordi Amat, Gustavo Almeida (jersey putih away)</t>
  </si>
  <si>
    <t>https://drive.google.com/file/d/1UfhqT-aFhoqP4fHzgS0ftp_hPun22Ih3/view?usp=drive_link</t>
  </si>
  <si>
    <t>https://drive.google.com/file/d/12S5CCd9jJHHe2BLMl6Qbt7X7r0bQW0rN/view?usp=sharing</t>
  </si>
  <si>
    <t>https://drive.google.com/file/d/1bCxEhCfXI4GmOQ7zaou-n8hWmzrZMqfs/view?usp=drive_link</t>
  </si>
  <si>
    <t>bfa2412d</t>
  </si>
  <si>
    <t>PERSIK Kediri vs PSM Makassar - BRI Super League</t>
  </si>
  <si>
    <t>https://www.vidio.com/live/205-indosiar?schedule_id=4667503</t>
  </si>
  <si>
    <t>https://drive.google.com/drive/folders/1n-_ptKcxUwuS4FsKtBR5BTuXBtSCprvG</t>
  </si>
  <si>
    <t>persik kediri; PSM Makassar; sports stream</t>
  </si>
  <si>
    <t>Nonton streaming pertandingan seru PERSIK Kediri vs PSM Makassar - BRI Super League. Saksikan aksi-aksi terbaik dari tim yang bersaing ketat untuk meraih kemenangan. Dapatkan informasi lengkap mengenai jadwal pertandingan dan hasil pertandingan terbaru hanya di Vidio.</t>
  </si>
  <si>
    <t>Persik: Imanol Garcia, Henhen
PSM: Alex Tank, Yayat (jersey putih away)</t>
  </si>
  <si>
    <t>https://drive.google.com/file/d/1H5n8XXQO2_KpOW7D4iXIpZLxCUORQMin/view?usp=drive_link</t>
  </si>
  <si>
    <t>https://drive.google.com/file/d/1KeUNFbTkiO4jUfTSwi9QjX5TM512_tZr/view?usp=sharing</t>
  </si>
  <si>
    <t>https://drive.google.com/file/d/1ewi7wjdAAo5aRe8Ip2BRFLqRXjrHSVIz/view?usp=drive_link</t>
  </si>
  <si>
    <t>ddc2c54f</t>
  </si>
  <si>
    <t>Bali United FC vs PERSITA - BRI Super League</t>
  </si>
  <si>
    <t>https://www.vidio.com/live/19354-bri-super-league?schedule_id=4667501</t>
  </si>
  <si>
    <t>https://drive.google.com/drive/folders/1sWicJqoaSH9mlydQ6dcKIBz0rNXJ2bUv</t>
  </si>
  <si>
    <t>Bali United; Persita Tangerang; sports stream</t>
  </si>
  <si>
    <t>Nonton streaming pertandingan seru Bali United FC vs PERSITA - BRI Super League. Saksikan aksi-aksi terbaik dari tim yang bersaing ketat untuk meraih kemenangan. Dapatkan informasi lengkap mengenai jadwal pertandingan dan hasil pertandingan terbaru hanya di Vidio.</t>
  </si>
  <si>
    <t>Bali: Boris Kopitovic, Irfan Jaya
Persita: Bae Sin Yeong, Ryuji (away putih)</t>
  </si>
  <si>
    <t>https://drive.google.com/file/d/1mrmQK0yvdPrwOw1OVFO-gYfRdNd1h-BO/view?usp=drive_link</t>
  </si>
  <si>
    <t>https://drive.google.com/file/d/1b4Aojp6p6PYIizpwigIfeUIKD7bFIVDK/view?usp=sharing</t>
  </si>
  <si>
    <t>https://drive.google.com/file/d/1KUjGRFEjQAn7VLCm-Xpvv14qrhhwOGFG/view?usp=drive_link</t>
  </si>
  <si>
    <t>1bc170f0</t>
  </si>
  <si>
    <t>Arema FC vs Borneo FC Samarinda - BRI Super League</t>
  </si>
  <si>
    <t>https://www.vidio.com/live/19354-bri-super-league?schedule_id=4667502</t>
  </si>
  <si>
    <t>arema fc; borneo fc; sports stream</t>
  </si>
  <si>
    <t>Nonton streaming pertandingan seru Arema FC vs Borneo FC Samarinda - BRI Super League. Saksikan aksi-aksi terbaik dari tim yang bersaing ketat untuk meraih kemenangan. Dapatkan informasi lengkap mengenai jadwal pertandingan dan hasil pertandingan terbaru hanya di Vidio.</t>
  </si>
  <si>
    <t>Arema: Dalberto, Alfarizie
Borneo: Peralta, Nadeo (jersey away)</t>
  </si>
  <si>
    <t>https://drive.google.com/file/d/1TOoGPpCPg-T4BVibtH7M76RBYYjO_eyJ/view?usp=drive_link</t>
  </si>
  <si>
    <t>https://drive.google.com/file/d/1FdClfwYEKuwkzQqkq1yHssNoUWcB7fqL/view?usp=sharing</t>
  </si>
  <si>
    <t>https://drive.google.com/file/d/1voGemNpET92xLaWODx0iYZL1EicKHRlY/view?usp=drive_link</t>
  </si>
  <si>
    <t>ab3c74c3</t>
  </si>
  <si>
    <t>Malut United FC vs Semen Padang FC - BRI Super League</t>
  </si>
  <si>
    <t>https://www.vidio.com/live/205-indosiar?schedule_id=4667504</t>
  </si>
  <si>
    <t>PUTRA DELTA SIDOARJO; semen padang; sports stream</t>
  </si>
  <si>
    <t>Nonton streaming pertandingan seru Malut United FC vs Semen Padang FC - BRI Super League. Saksikan aksi-aksi terbaik dari tim yang bersaing ketat untuk meraih kemenangan. Dapatkan informasi lengkap mengenai jadwal pertandingan dan hasil pertandingan terbaru hanya di Vidio.</t>
  </si>
  <si>
    <t>Malut: Ciro, Yance Sayuri
Semen: Irsyad, Bruno (jersey kuning)</t>
  </si>
  <si>
    <t>https://drive.google.com/file/d/1wX3-T4bt2o8MR-LmF0hi5ktaO-1jJqrR/view?usp=drive_link</t>
  </si>
  <si>
    <t>https://drive.google.com/file/d/1rEnZhM4frQux94hOwvM-llWgtBPfqNRS/view?usp=sharing</t>
  </si>
  <si>
    <t>https://drive.google.com/file/d/1UVX3UlyiwKHVpBEUAFNIoeIdRxvz0iSN/view?usp=drive_link</t>
  </si>
  <si>
    <t>89717cf3</t>
  </si>
  <si>
    <t>Bhayangkara Presisi Lampung FC vs PERSIJAP - BRI Super League</t>
  </si>
  <si>
    <t>https://www.vidio.com/live/205-indosiar?schedule_id=4671804</t>
  </si>
  <si>
    <t>https://drive.google.com/drive/folders/1pgXuWZSREJS0krcoJUmqYrurwzaJYLqo</t>
  </si>
  <si>
    <t>bhayangkara fc; Persijap; sports stream</t>
  </si>
  <si>
    <t>Nonton streaming pertandingan seru Bhayangkara Presisi Lampung FC vs PERSIJAP - BRI Super League. Saksikan aksi-aksi terbaik dari tim yang bersaing ketat untuk meraih kemenangan. Dapatkan informasi lengkap mengenai jadwal pertandingan dan hasil pertandingan terbaru hanya di Vidio.</t>
  </si>
  <si>
    <t>Bhayangkara: Spaso, Firza Andika
Persijap: Rosalvo, Arya</t>
  </si>
  <si>
    <t>https://drive.google.com/file/d/1vIpaK-bK3gNaYfIt9ze6qPvgmTMPPMhV/view?usp=sharing</t>
  </si>
  <si>
    <t>https://drive.google.com/file/d/1B7A3eWpkpchmJ_qsjBMTPxqrVJfUx_Mb/view?usp=sharing</t>
  </si>
  <si>
    <t>https://drive.google.com/file/d/1fm5ZY97DAo1RGSXaxWThLKlFJBBDrOh8/view?usp=drive_link</t>
  </si>
  <si>
    <t>271ff853</t>
  </si>
  <si>
    <t>PERSIB vs PERSIS - BRI Super League</t>
  </si>
  <si>
    <t>https://www.vidio.com/live/19354-bri-super-league?schedule_id=4670655</t>
  </si>
  <si>
    <t>https://drive.google.com/drive/folders/1gh_qpWXbmx0CXzQ8VxI_v5dLiwzdPbzz</t>
  </si>
  <si>
    <t>persib bandung; persis solo; sports stream</t>
  </si>
  <si>
    <t>Nonton streaming pertandingan seru PERSIB vs PERSIS - BRI Super League. Saksikan aksi-aksi terbaik dari tim yang bersaing ketat untuk meraih kemenangan. Dapatkan informasi lengkap mengenai jadwal pertandingan dan hasil pertandingan terbaru hanya di Vidio.</t>
  </si>
  <si>
    <t>Persib: Thom Haye, Eliano
Persis: Sho, Althaf (jersey away putih)</t>
  </si>
  <si>
    <t>https://drive.google.com/file/d/1qAUhXWf0LC-RqKSqg06PmoTs4pUcGYPH/view?usp=sharing</t>
  </si>
  <si>
    <t>https://drive.google.com/file/d/12oNy-Z5uHQOCJZQLvIlX-SmFpNftUYcS/view?usp=sharing</t>
  </si>
  <si>
    <t>b6ee5a85</t>
  </si>
  <si>
    <t>PSIM Jogja vs PERSIK Kediri - BRI Super League</t>
  </si>
  <si>
    <t>https://www.vidio.com/live/205-indosiar?schedule_id=4674546</t>
  </si>
  <si>
    <t>https://drive.google.com/drive/folders/1dizg3kN2L1IOUj4twhY7tn4O8bGIijGw</t>
  </si>
  <si>
    <t>https://drive.google.com/drive/u/0/folders/1kGHtJTboMQzt_AXOEFOdRLfI5nrFLPAB</t>
  </si>
  <si>
    <t>psim yogyakarta; persik kediri; sports stream</t>
  </si>
  <si>
    <t>Nonton streaming pertandingan seru PSIM Jogja vs PERSIK Kediri - BRI Super League. Saksikan aksi-aksi terbaik dari tim yang bersaing ketat untuk meraih kemenangan. Dapatkan informasi lengkap mengenai jadwal pertandingan dan hasil pertandingan terbaru hanya di Vidio.</t>
  </si>
  <si>
    <t>PSIM: Haljeta, Rheva Adi
Persik: Kiko, Ezra (jersey away)</t>
  </si>
  <si>
    <t>https://drive.google.com/file/d/1M_l0ULN9nWoJjHivBgZUgBij6LCklfR_/view?usp=sharing</t>
  </si>
  <si>
    <t>https://drive.google.com/file/d/1WftmjAiUulY3Pyf9nttc6maojjbQ2T5i/view?usp=sharing</t>
  </si>
  <si>
    <t>https://drive.google.com/file/d/10OYwJvq7SlER-NOdH9y0GuSYZ6Iz_r_U/view?usp=sharing</t>
  </si>
  <si>
    <t>b48c55df</t>
  </si>
  <si>
    <t>PERSIJA vs PSBS Biak - BRI Super League</t>
  </si>
  <si>
    <t>https://www.vidio.com/live/19354-bri-super-league?schedule_id=4674553</t>
  </si>
  <si>
    <t>https://drive.google.com/drive/folders/1CwWccpWqZzu4td1JA8r9KVnAVufyWtUZ</t>
  </si>
  <si>
    <t>PERSIJA Jakarta; PSBS Biak Numfor; sports stream</t>
  </si>
  <si>
    <t>Nonton streaming pertandingan seru PERSIJA vs PSBS Biak - BRI Super League. Saksikan aksi-aksi terbaik dari tim yang bersaing ketat untuk meraih kemenangan. Dapatkan informasi lengkap mengenai jadwal pertandingan dan hasil pertandingan terbaru hanya di Vidio.</t>
  </si>
  <si>
    <t>Persija: Ridho, Emaxwell 
PSBS: Claudio Beckham, Ilham Udin (jersey away)</t>
  </si>
  <si>
    <t>https://drive.google.com/file/d/1aJ5lYoIHgyx31YgNwxXPgMvgwqYX9Weh/view?usp=sharing</t>
  </si>
  <si>
    <t>https://drive.google.com/file/d/1vbwIiVupVPbBiXiKY3F_65FsQeq62uzE/view?usp=sharing</t>
  </si>
  <si>
    <t>https://drive.google.com/file/d/1FOH3uTiV8zPZNniotnj0m3UjU2ODe4Yf/view?usp=sharing</t>
  </si>
  <si>
    <t>9374d5b5</t>
  </si>
  <si>
    <t>Bhayangkara Presisi Lampung FC vs PERSITA - BRI Super League</t>
  </si>
  <si>
    <t>https://www.vidio.com/live/205-indosiar?schedule_id=4674558</t>
  </si>
  <si>
    <t>https://drive.google.com/drive/folders/1vtVu1ZMQBLCMB8oQPnea56NinAUZVAc3</t>
  </si>
  <si>
    <t>bhayangkara fc; Persita Tangerang; sports stream</t>
  </si>
  <si>
    <t>Nonton streaming pertandingan seru Bhayangkara Presisi Lampung FC vs PERSITA - BRI Super League. Saksikan aksi-aksi terbaik dari tim yang bersaing ketat untuk meraih kemenangan. Dapatkan informasi lengkap mengenai jadwal pertandingan dan hasil pertandingan terbaru hanya di Vidio.</t>
  </si>
  <si>
    <t>Bhayangkara: Sani Rizki, Putu Gede
Persita: Eber Bessa, Hokky (jersey away)</t>
  </si>
  <si>
    <t>https://drive.google.com/file/d/1FV1byufs267imXUs8Rn7Ah6pI9B7sPRw/view?usp=sharing</t>
  </si>
  <si>
    <t>https://drive.google.com/file/d/1AqN9b__mH1GoS-xJUeiUkomI_f1jGRxP/view?usp=sharing</t>
  </si>
  <si>
    <t>https://drive.google.com/file/d/18Z8E2RoLEQWV4k0tTQIIBbSVHqgzqvV6/view?usp=sharing</t>
  </si>
  <si>
    <t>bc56fefb</t>
  </si>
  <si>
    <t>Bali United FC vs PERSIB - BRI Super League</t>
  </si>
  <si>
    <t>https://www.vidio.com/live/19354-bri-super-league?schedule_id=4674559</t>
  </si>
  <si>
    <t>https://drive.google.com/drive/folders/1GsEyuLcu019k_188kzOcGp4mNshBWP0F</t>
  </si>
  <si>
    <t>Bali United; persib bandung; sports stream</t>
  </si>
  <si>
    <t>Nonton streaming pertandingan seru Bali United FC vs PERSIB - BRI Super League. Saksikan aksi-aksi terbaik dari tim yang bersaing ketat untuk meraih kemenangan. Dapatkan informasi lengkap mengenai jadwal pertandingan dan hasil pertandingan terbaru hanya di Vidio.</t>
  </si>
  <si>
    <t>Bali: Jens Raven, Ricky Fajrin
Persib: Thom Haye, Klok</t>
  </si>
  <si>
    <t>TVC + NTC + Sosmed Boost</t>
  </si>
  <si>
    <t>https://drive.google.com/file/d/1hiIgtyzgyv4Y7P31h1vZVtvfsbFwKJCG/view?usp=sharing</t>
  </si>
  <si>
    <t>https://drive.google.com/file/d/1JATAq8LqtW_c8c1JT9I9TFMfFTioYeiP/view?usp=sharing</t>
  </si>
  <si>
    <t>https://drive.google.com/file/d/1qIBFgX8av1JV_NrZxboKpc6V_B-WWZUt/view?usp=sharing</t>
  </si>
  <si>
    <t>7d488cdd</t>
  </si>
  <si>
    <t>PSM Makassar vs Madura United FC - BRI Super League</t>
  </si>
  <si>
    <t>https://www.vidio.com/live/205-indosiar?schedule_id=4674575</t>
  </si>
  <si>
    <t>https://drive.google.com/drive/folders/1TIp1YwQ78uUcV8grEww2XHSS1XNp7OS6</t>
  </si>
  <si>
    <t>PSM Makassar; madura united; sports stream</t>
  </si>
  <si>
    <t>Nonton streaming pertandingan seru PSM Makassar vs Madura United FC - BRI Super League. Saksikan aksi-aksi terbaik dari tim yang bersaing ketat untuk meraih kemenangan. Dapatkan informasi lengkap mengenai jadwal pertandingan dan hasil pertandingan terbaru hanya di Vidio.</t>
  </si>
  <si>
    <t>PSM: Ananda Rehan, Lucas Diaz
Madura: Jordy, Adi Kusuma (jersey away)</t>
  </si>
  <si>
    <t>https://drive.google.com/file/d/1ALaG2sXl4dBkD0Io_X7dsV91k9k4fdBM/view?usp=sharing</t>
  </si>
  <si>
    <t>https://drive.google.com/file/d/1yBcxXjUXPLwrE-6MvSRgmo_TzkPFF4_e/view?usp=sharing</t>
  </si>
  <si>
    <t>https://drive.google.com/file/d/1YQOLJJMFaRtvULW-5jJmoMlYOQFSRSRG/view?usp=sharing</t>
  </si>
  <si>
    <t>32cd8bf7</t>
  </si>
  <si>
    <t>PERSEBAYA Surabaya vs PERSIS - BRI Super League</t>
  </si>
  <si>
    <t>https://www.vidio.com/live/19354-bri-super-league?schedule_id=4674560</t>
  </si>
  <si>
    <t>https://drive.google.com/drive/folders/1mdJZMb572tIkhqGrpCUb6tPMPrCGt10s</t>
  </si>
  <si>
    <t>persebaya surabaya; persis solo; sports stream</t>
  </si>
  <si>
    <t>Nonton streaming pertandingan seru PERSEBAYA Surabaya vs PERSIS - BRI Super League. Saksikan aksi-aksi terbaik dari tim yang bersaing ketat untuk meraih kemenangan. Dapatkan informasi lengkap mengenai jadwal pertandingan dan hasil pertandingan terbaru hanya di Vidio.</t>
  </si>
  <si>
    <t>Persebaya: Bruno, Dejan
Persis: Sho, Althaf (jersey away putih)</t>
  </si>
  <si>
    <t>NTC Only</t>
  </si>
  <si>
    <t>https://drive.google.com/file/d/1XJAVzJEg6MegO8fASlpKuCr-eCRiVjJs/view?usp=sharing</t>
  </si>
  <si>
    <t>https://drive.google.com/file/d/1FCGuht2g4rYwA18yiPO20w3SxKQgYKZF/view?usp=sharing</t>
  </si>
  <si>
    <t>https://drive.google.com/file/d/14f2kcHwr33jy3o7lClec73JZOtHbfz6v/view?usp=sharing</t>
  </si>
  <si>
    <t>05370cc4</t>
  </si>
  <si>
    <t>PERSIJAP vs Malut United FC - BRI Super League</t>
  </si>
  <si>
    <t>https://www.vidio.com/live/205-indosiar?schedule_id=4691252</t>
  </si>
  <si>
    <t>https://drive.google.com/drive/folders/1noMpjakpIsbay6t6OWnqGI0CYKHU5U2w?usp=drive_link</t>
  </si>
  <si>
    <t>Persijap; PUTRA DELTA SIDOARJO; sports stream</t>
  </si>
  <si>
    <t>Nonton streaming pertandingan seru PERSIJAP vs Malut United FC - BRI Super League. Saksikan aksi-aksi terbaik dari tim yang bersaing ketat untuk meraih kemenangan. Dapatkan informasi lengkap mengenai jadwal pertandingan dan hasil pertandingan terbaru hanya di Vidio.</t>
  </si>
  <si>
    <t>Persijap: Sudi, Wahyu Hamisi
Malut: Yakob, Tyronne (jersey away putih)</t>
  </si>
  <si>
    <t>https://drive.google.com/file/d/1NoxfECdR7n2gA5f8G-dMLYwyAMqR4qwN/view?usp=sharing</t>
  </si>
  <si>
    <t>https://drive.google.com/file/d/1p62aoTwgjDIc6yJWo_NpdbOv6iMVP_15/view?usp=sharing</t>
  </si>
  <si>
    <t>https://drive.google.com/file/d/1Hk2sn962qV0lZkKJqqa9TcS1KtfxCXXI/view?usp=sharing</t>
  </si>
  <si>
    <t>f4677190</t>
  </si>
  <si>
    <t>Semen Padang FC vs Arema FC - BRI Super League</t>
  </si>
  <si>
    <t>https://www.vidio.com/live/19354-bri-super-league?schedule_id=4678563</t>
  </si>
  <si>
    <t>https://drive.google.com/drive/folders/1XhT4xxiowwNEnudWxBI0e_lnjDvPmpAY?usp=drive_link</t>
  </si>
  <si>
    <t>semen padang; arema fc; sports stream</t>
  </si>
  <si>
    <t>Nonton streaming pertandingan seru Semen Padang FC vs Arema FC - BRI Super League. Saksikan aksi-aksi terbaik dari tim yang bersaing ketat untuk meraih kemenangan. Dapatkan informasi lengkap mengenai jadwal pertandingan dan hasil pertandingan terbaru hanya di Vidio.</t>
  </si>
  <si>
    <t>Semen: Leo, Angelo Meneses
Arema: Balinsa, Arkhan Fikri</t>
  </si>
  <si>
    <t>https://drive.google.com/file/d/1Ep6oLCtmf2Ea6a7QUw1JiAedhYKqH3B2/view?usp=sharing</t>
  </si>
  <si>
    <t>https://drive.google.com/file/d/13AizdvYsOI30ik-ge-e52v-pquiNHJF5/view?usp=sharing</t>
  </si>
  <si>
    <t>https://drive.google.com/file/d/1bloUl56bKmESPIUsAk5VhJSlEXV4Fau7/view?usp=sharing</t>
  </si>
  <si>
    <t>56eaca21</t>
  </si>
  <si>
    <t>Borneo FC Samarinda vs Dewa United Banten FC - BRI Super League</t>
  </si>
  <si>
    <t>https://www.vidio.com/live/19384-bri-super-league?schedule_id=4684718</t>
  </si>
  <si>
    <t>https://drive.google.com/drive/folders/1ParHW36bDLQK4p2q0aloF3g-WUolPGBY</t>
  </si>
  <si>
    <t>borneo fc; dewa united; sports stream</t>
  </si>
  <si>
    <t>Nonton streaming pertandingan seru Borneo FC Samarinda vs Dewa United Banten FC - BRI Super League. Saksikan aksi-aksi terbaik dari tim yang bersaing ketat untuk meraih kemenangan. Dapatkan informasi lengkap mengenai jadwal pertandingan dan hasil pertandingan terbaru hanya di Vidio.</t>
  </si>
  <si>
    <t>Mohon dibuatkan thumbnail dengan logo indosiar, tanpa brand dan tanpa eksklusif, terima kasih
Borneo: Peralta, Komang Teguh
Dewa: Messidoro, Struick</t>
  </si>
  <si>
    <t>https://drive.google.com/file/d/17lbJtiGNhnqrJaPzUAyDRS8g2WJ0jKxv/view?usp=sharing</t>
  </si>
  <si>
    <t>https://drive.google.com/file/d/1vjzkrnRldI6fLWMRolEanXxuoA1YWI5C/view?usp=sharing</t>
  </si>
  <si>
    <t>https://drive.google.com/file/d/13HTzzq1JrTc_hSN8sGxGipKNhsMzvX54/view?usp=sharing</t>
  </si>
  <si>
    <t>56da2a29</t>
  </si>
  <si>
    <t>PSBS Biak vs PERSITA - BRI Super League</t>
  </si>
  <si>
    <t>https://www.vidio.com/live/205-indosiar?schedule_id=4704473</t>
  </si>
  <si>
    <t>https://drive.google.com/drive/folders/1sK5QhUzYL7az_k6myRsVTQq_AEcx8Hzc?usp=drive_link</t>
  </si>
  <si>
    <t>https://drive.google.com/drive/folders/1FgQomkPL3aq477Uy9GxWKenK60sBgbi9</t>
  </si>
  <si>
    <t>PSBS Biak Numfor; Persita Tangerang; sports stream</t>
  </si>
  <si>
    <t>Nonton streaming pertandingan seru PSBS Biak vs PERSITA - BRI Super League. Saksikan aksi-aksi terbaik dari tim yang bersaing ketat untuk meraih kemenangan. Dapatkan informasi lengkap mengenai jadwal pertandingan dan hasil pertandingan terbaru hanya di Vidio.</t>
  </si>
  <si>
    <t>PSBS Biak: Mochine Hassan, Nurhidayat
PERSITA: Pablo Ganet, Rayco Rodriguez (Jersey Away)</t>
  </si>
  <si>
    <t>https://drive.google.com/file/d/1UkN_eu7W2uR2mSZwB4cSAkUI157Jmg5P/view?usp=sharing</t>
  </si>
  <si>
    <t>https://drive.google.com/file/d/1gZHNSDYUKNirTIBHA-dJi2Ph8P739Btq/view?usp=sharing</t>
  </si>
  <si>
    <t>https://drive.google.com/file/d/1Wy-1Ze8GtSW9ow4VTjYa5ik7gMAnNEaG/view?usp=sharing</t>
  </si>
  <si>
    <t>8f7c778f</t>
  </si>
  <si>
    <t>Bhayangkara Presisi Lampung FC vs Bali United FC - BRI Super League</t>
  </si>
  <si>
    <t>https://www.vidio.com/live/19354-bri-super-league?schedule_id=4706172</t>
  </si>
  <si>
    <t>https://drive.google.com/drive/folders/1gleydcVXUbnuvSVnYLeq5jppL5VmV9mL</t>
  </si>
  <si>
    <t>bhayangkara fc; Bali United; sports stream</t>
  </si>
  <si>
    <t>Nonton streaming pertandingan seru Bhayangkara Presisi Lampung FC vs Bali United FC - BRI Super League. Saksikan aksi-aksi terbaik dari tim yang bersaing ketat untuk meraih kemenangan. Dapatkan informasi lengkap mengenai jadwal pertandingan dan hasil pertandingan terbaru hanya di Vidio.</t>
  </si>
  <si>
    <t>Bhayangkara: Slavko Damjanovic, Firza Andika
Bali United FC: Kadek Agung, Boris Kopitovic (Jersey Away)</t>
  </si>
  <si>
    <t>https://drive.google.com/file/d/1xB6ZmqIVYvROrs_wssOkIUT6bF6_sibt/view?usp=sharing</t>
  </si>
  <si>
    <t>https://drive.google.com/file/d/16tjYdVvumFUK-rjY67219NA0SUY2Wh86/view?usp=sharing</t>
  </si>
  <si>
    <t>https://drive.google.com/file/d/1Z7UE3-0Pj1BznQuMFQCdLPuvpPaWtPbY/view?usp=sharing</t>
  </si>
  <si>
    <t>53dbc507</t>
  </si>
  <si>
    <t>PERSIK Kediri vs PERSEBAYA Surabaya - BRI Super League</t>
  </si>
  <si>
    <t>https://www.vidio.com/live/19354-bri-super-league?schedule_id=4706173</t>
  </si>
  <si>
    <t>https://drive.google.com/drive/folders/1optd-2RU3SbMQdA8VEa1i6idlXkstLVg</t>
  </si>
  <si>
    <t>persik kediri; persebaya surabaya; sports stream</t>
  </si>
  <si>
    <t>Nonton streaming pertandingan seru PERSIK Kediri vs PERSEBAYA Surabaya - BRI Super League. Saksikan aksi-aksi terbaik dari tim yang bersaing ketat untuk meraih kemenangan. Dapatkan informasi lengkap mengenai jadwal pertandingan dan hasil pertandingan terbaru hanya di Vidio.</t>
  </si>
  <si>
    <t>PERSIK: Imanol Garcia, Jose Enrique
PERSEBAYA: Perovic, Catur</t>
  </si>
  <si>
    <t>https://drive.google.com/file/d/1X-onyD7Zbn27J7bk9mL9gKIXpGZCgmXz/view?usp=sharing</t>
  </si>
  <si>
    <t>https://drive.google.com/file/d/1Q1ZAtm0FBPKyMdT3qo4sbV9tMzMEHxHT/view?usp=sharing</t>
  </si>
  <si>
    <t>https://drive.google.com/file/d/10ehPvUFGbyN6fCWp4TnCEpOdgZex6Ne6/view?usp=sharing</t>
  </si>
  <si>
    <t>6a960d62</t>
  </si>
  <si>
    <t>Arema FC vs PERSIJA - BRI Super League</t>
  </si>
  <si>
    <t>https://www.vidio.com/live/19354-bri-super-league?schedule_id=4706378</t>
  </si>
  <si>
    <t>https://drive.google.com/drive/folders/1gdUGQcJIKUDpzcq2Lk1AtQgeMQxs7RLJ</t>
  </si>
  <si>
    <t>arema fc; PERSIJA Jakarta; sports stream</t>
  </si>
  <si>
    <t>Nonton streaming pertandingan seru Arema FC vs PERSIJA - BRI Super League. Saksikan aksi-aksi terbaik dari tim yang bersaing ketat untuk meraih kemenangan. Dapatkan informasi lengkap mengenai jadwal pertandingan dan hasil pertandingan terbaru hanya di Vidio.</t>
  </si>
  <si>
    <t>Arema: Dalberto, Alfarizie
PERSIJA: Allano Brendon, Emaxwell (Jersey Away)</t>
  </si>
  <si>
    <t>TVC + NTC Gabungan (Persis vs PSIM)</t>
  </si>
  <si>
    <t>https://drive.google.com/file/d/1Mcr2WwCZh2RZCW7wdAG9c0Adoc-f_hqb/view?usp=sharing</t>
  </si>
  <si>
    <t>https://drive.google.com/file/d/17eVneGfzepfJHqD-tReHz-syGKzbtgGW/view?usp=sharing</t>
  </si>
  <si>
    <t>https://drive.google.com/file/d/10sbg6SdrUu0J1nPBmMaa2kQjZvsG1BGL/view?usp=sharing</t>
  </si>
  <si>
    <t>66fbe249</t>
  </si>
  <si>
    <t>PERSIS vs PSIM Jogja - BRI Super League</t>
  </si>
  <si>
    <t>https://www.vidio.com/live/19385-bri-super-league?schedule_id=4706382</t>
  </si>
  <si>
    <t>https://drive.google.com/drive/folders/1YQ5FrD8p5mNbpJGi9-JGAoMPnDe3s9dJ</t>
  </si>
  <si>
    <t>persis solo; psim yogyakarta; sports stream</t>
  </si>
  <si>
    <t>Nonton streaming pertandingan seru PERSIS vs PSIM Jogja - BRI Super League. Saksikan aksi-aksi terbaik dari tim yang bersaing ketat untuk meraih kemenangan. Dapatkan informasi lengkap mengenai jadwal pertandingan dan hasil pertandingan terbaru hanya di Vidio.</t>
  </si>
  <si>
    <t>Mohon dibuatkan thumbnail dengan logo indosiar dan tanpa brand utk live delay, terima kasih
PERSIS: Kodai Tanaka, Xandro
PSIM: Ze Valente, Raka Cahyana (Jersey Away)</t>
  </si>
  <si>
    <t>NTC Gabungan (Arema vs Persija)</t>
  </si>
  <si>
    <t>https://drive.google.com/file/d/16KFv3yr4NIqOb93fPDNoV0EqR2m0kQTZ/view?usp=sharing</t>
  </si>
  <si>
    <t>https://drive.google.com/file/d/1P-_xy2JJjzMO_lAi1JCSLtMG63WM6MBd/view?usp=sharing</t>
  </si>
  <si>
    <t>https://drive.google.com/file/d/1OnTTGcAqkvbJymsIiVDU_hWi-i8Fwn0r/view?usp=sharing</t>
  </si>
  <si>
    <t>1118318a</t>
  </si>
  <si>
    <t>Semen Padang FC vs Borneo FC Samarinda - BRI Super League</t>
  </si>
  <si>
    <t>https://www.vidio.com/live/205-indosiar?schedule_id=4708915</t>
  </si>
  <si>
    <t>https://drive.google.com/drive/folders/1dOWeiuFcnL2axB2QA5iIly0d-HkyP-qK</t>
  </si>
  <si>
    <t>semen padang; borneo fc; sports stream</t>
  </si>
  <si>
    <t>Nonton streaming pertandingan seru Semen Padang FC vs Borneo FC Samarinda - BRI Super League. Saksikan aksi-aksi terbaik dari tim yang bersaing ketat untuk meraih kemenangan. Dapatkan informasi lengkap mengenai jadwal pertandingan dan hasil pertandingan terbaru hanya di Vidio.</t>
  </si>
  <si>
    <t>Semen Padang: Wakaso, Obet Oropa
Borneo FC: Villa, Kei Hirose (Jersey Away)</t>
  </si>
  <si>
    <t>https://drive.google.com/file/d/1ZHIj_YrEhvtsN4b4ZW1_ATzD0v7mO6mg/view?usp=sharing</t>
  </si>
  <si>
    <t>https://drive.google.com/file/d/1zfVF3t1HA_tPejPXHfGpHyL6nkI18IrE/view?usp=sharing</t>
  </si>
  <si>
    <t>https://drive.google.com/file/d/1FkCZLjNqVWViw1WUOBUxQKjunAe24SDe/view?usp=sharing</t>
  </si>
  <si>
    <t>d85714eb</t>
  </si>
  <si>
    <t>Dewa United Banten FC vs PSM Makassar - BRI Super League</t>
  </si>
  <si>
    <t>https://www.vidio.com/live/19354-bri-super-league?schedule_id=4708214</t>
  </si>
  <si>
    <t>https://drive.google.com/drive/folders/1NpgGEBjO4YSs463svmLL47pk7jgA2mtD</t>
  </si>
  <si>
    <t>dewa united; PSM Makassar; sports stream</t>
  </si>
  <si>
    <t>Nonton streaming pertandingan seru Dewa United Banten FC vs PSM Makassar - BRI Super League. Saksikan aksi-aksi terbaik dari tim yang bersaing ketat untuk meraih kemenangan. Dapatkan informasi lengkap mengenai jadwal pertandingan dan hasil pertandingan terbaru hanya di Vidio.</t>
  </si>
  <si>
    <t>Dewa United: Egy MV, Lilipaly
PSM: Alex Tank, Akbar Tanjung (Jersey Away)</t>
  </si>
  <si>
    <t>https://drive.google.com/file/d/1dj9ZOzLeEWou0FMP-BHO1jZz-ce_Rbbg/view?usp=sharing</t>
  </si>
  <si>
    <t>https://drive.google.com/file/d/1GcVV-O_dLikm7BqhiX_Qxw8U-wzpSbQ8/view?usp=sharing</t>
  </si>
  <si>
    <t>https://drive.google.com/file/d/1hMs_4xWsEelmSmgTMhzelU8QEf2os25M/view?usp=sharing</t>
  </si>
  <si>
    <t>1aba58db</t>
  </si>
  <si>
    <t>Madura United FC vs PERSIJAP - BRI Super League</t>
  </si>
  <si>
    <t>https://www.vidio.com/live/19386-bri-super-league?schedule_id=4708846</t>
  </si>
  <si>
    <t>https://drive.google.com/drive/folders/1WBgbuQkU_2FDhmmhuvx-6nvibMO2lorG</t>
  </si>
  <si>
    <t>madura united; Persijap; sports stream</t>
  </si>
  <si>
    <t>Nonton streaming pertandingan seru Madura United FC vs PERSIJAP - BRI Super League. Saksikan aksi-aksi terbaik dari tim yang bersaing ketat untuk meraih kemenangan. Dapatkan informasi lengkap mengenai jadwal pertandingan dan hasil pertandingan terbaru hanya di Vidio.</t>
  </si>
  <si>
    <t>Mohon dibuatkan thumbnail dengan logo indosiar tanpa brand untuk live delay, terima kasih.
Madura United: M. Taufany, Wehrmann
PERSIJAP: Carlos Franca, Alexis Gomez (Jersey Away)</t>
  </si>
  <si>
    <t>https://drive.google.com/file/d/11NISs1OTa9ky6G5nv5tf66cbZGvJhULE/view?usp=sharing</t>
  </si>
  <si>
    <t>https://drive.google.com/file/d/1toqQ-Ev_hiThAB1_fiuON_7H0gzFbRBO/view?usp=sharing</t>
  </si>
  <si>
    <t>https://drive.google.com/file/d/1FeGoKuzRdimzkyhrJANsFlhy4AE15tc8/view?usp=sharing</t>
  </si>
  <si>
    <t>f1c5a9fd</t>
  </si>
  <si>
    <t>Malut United FC vs PERSIB - BRI Super League</t>
  </si>
  <si>
    <t>https://www.vidio.com/live/19354-bri-super-league?schedule_id=4772127</t>
  </si>
  <si>
    <t>https://drive.google.com/drive/folders/1i_i2KQgSdCvj4xa-hCBGBvSwo4BMu_Rp</t>
  </si>
  <si>
    <t>https://drive.google.com/file/d/1_a3S6To-5iF-CiTbXc_h0E0GYbsdgO0d/view?usp=drive_link</t>
  </si>
  <si>
    <t>PUTRA DELTA SIDOARJO; persib bandung; sports stream</t>
  </si>
  <si>
    <t>Nonton streaming pertandingan seru Malut United FC vs PERSIB - BRI Super League. Saksikan aksi-aksi terbaik dari tim yang bersaing ketat untuk meraih kemenangan. Dapatkan informasi lengkap mengenai jadwal pertandingan dan hasil pertandingan terbaru hanya di Vidio.</t>
  </si>
  <si>
    <t>NTC + TVC + Boost</t>
  </si>
  <si>
    <t>https://drive.google.com/file/d/1hM44p0QvMYxpM-HKdMNYY_Sxnh1reZaw/view?usp=sharing</t>
  </si>
  <si>
    <t>https://drive.google.com/file/d/1_a3S6To-5iF-CiTbXc_h0E0GYbsdgO0d/view?usp=sharing</t>
  </si>
  <si>
    <t>https://drive.google.com/file/d/1NbRUMpGY2vDzknwof3WcqpqBIHMq-9ka/view?usp=sharing</t>
  </si>
  <si>
    <t>0447bc93</t>
  </si>
  <si>
    <t>PERSIJAP vs Semen Padang FC - BRI Super League</t>
  </si>
  <si>
    <t>https://www.vidio.com/live/205-indosiar?schedule_id=4724834</t>
  </si>
  <si>
    <t>https://drive.google.com/drive/folders/1dSSjszMnuASblSh5P-64Ux_M-MGy-R29</t>
  </si>
  <si>
    <t>https://drive.google.com/drive/folders/1udcFYKRK0Vt1A7U77z0RyG9Rx-4PmJxr</t>
  </si>
  <si>
    <t>Persijap; semen padang; sports stream</t>
  </si>
  <si>
    <t>Nonton streaming pertandingan seru PERSIJAP vs Semen Padang FC - BRI Super League. Saksikan aksi-aksi terbaik dari tim yang bersaing ketat untuk meraih kemenangan. Dapatkan informasi lengkap mengenai jadwal pertandingan dan hasil pertandingan terbaru hanya di Vidio.</t>
  </si>
  <si>
    <t>Persijap: Franca, Adzikry (Jersey Home)
Semen Padang: Bruno, Stewart (Jersey Away/Kuning)</t>
  </si>
  <si>
    <t>https://drive.google.com/file/d/1fUzygfSfngaNy39iGxo07hFAYorX5Pqu/view?usp=sharing</t>
  </si>
  <si>
    <t>https://drive.google.com/file/d/11o3mPncr6glzKlJGWMcA2P3y3EiXDCdq/view?usp=sharing</t>
  </si>
  <si>
    <t>https://drive.google.com/file/d/1hCtPn3H3m46Nt9BZ1BclxaZEviQYnkTc/view?usp=sharing</t>
  </si>
  <si>
    <t>0313fd17</t>
  </si>
  <si>
    <t>PERSIJA vs PERSIK Kediri - BRI Super League</t>
  </si>
  <si>
    <t>https://www.vidio.com/live/19354-bri-super-league?schedule_id=4724836</t>
  </si>
  <si>
    <t>https://drive.google.com/drive/folders/12roleeDX6mRaxFtKMnSE31vbmk5YqdMZ</t>
  </si>
  <si>
    <t>PERSIJA Jakarta; persik kediri; sports stream</t>
  </si>
  <si>
    <t>Nonton streaming pertandingan seru PERSIJA vs PERSIK Kediri - BRI Super League. Saksikan aksi-aksi terbaik dari tim yang bersaing ketat untuk meraih kemenangan. Dapatkan informasi lengkap mengenai jadwal pertandingan dan hasil pertandingan terbaru hanya di Vidio.</t>
  </si>
  <si>
    <t>Persija: Eksel Runtukahu, Rizky Ridho (Jersey Home)
Persik: Jose Enrique, Ezra Walian (Jersey Away/Putih)</t>
  </si>
  <si>
    <t>https://drive.google.com/file/d/1I3mOZvWW9HXmjd6gD0p1qlH6tu3PaQoo/view?usp=sharing</t>
  </si>
  <si>
    <t>https://drive.google.com/file/d/1ztB-mIh77sOan0mFwjIIhRk7alDmcF6w/view?usp=sharing</t>
  </si>
  <si>
    <t>https://drive.google.com/file/d/1HoWK3FhHmcyoJzHXmIos_c-nr1cqomhP/view?usp=sharing</t>
  </si>
  <si>
    <t>c27fe85a</t>
  </si>
  <si>
    <t>PSM Makassar vs PSBS Biak - BRI Super League</t>
  </si>
  <si>
    <t>https://www.vidio.com/live/19354-bri-super-league?schedule_id=4724839</t>
  </si>
  <si>
    <t>https://drive.google.com/drive/folders/1ecxDLMTXRDfyjnhDc5hGxdYk_JOLalxq</t>
  </si>
  <si>
    <t>PSM Makassar; PSBS Biak Numfor; sports stream</t>
  </si>
  <si>
    <t>Nonton streaming pertandingan seru PSM Makassar vs PSBS Biak - BRI Super League. Saksikan aksi-aksi terbaik dari tim yang bersaing ketat untuk meraih kemenangan. Dapatkan informasi lengkap mengenai jadwal pertandingan dan hasil pertandingan terbaru hanya di Vidio.</t>
  </si>
  <si>
    <t>TAG: newsvod
PSM: Akbar Tanjung, Mufli Hidayat (jersey Home)
PSBS Biak: Pablo Andrade, Nurhidayat (Jersey Away)</t>
  </si>
  <si>
    <t>https://drive.google.com/file/d/1WWmWojKI_NKoiNBIpbOalM1sCohrm-FE/view?usp=sharing</t>
  </si>
  <si>
    <t>https://drive.google.com/file/d/19_0GVMQdDIMYdY0eKE1bRxdArCUWKZf9/view?usp=sharing</t>
  </si>
  <si>
    <t>https://drive.google.com/file/d/1a8NS6AtOTACMUYLLtubtdCFQwImxQofH/view?usp=sharing</t>
  </si>
  <si>
    <t>2a372036</t>
  </si>
  <si>
    <t>PERSIB vs Dewa United Banten FC - BRI Super League</t>
  </si>
  <si>
    <t>https://www.vidio.com/live/19354-bri-super-league?schedule_id=4724842</t>
  </si>
  <si>
    <t>https://drive.google.com/drive/folders/10QiBVfQvVRrt8sA7ye8fYNCDXrrnDTHd</t>
  </si>
  <si>
    <t>persib bandung; dewa united; sports stream</t>
  </si>
  <si>
    <t>Nonton streaming pertandingan seru PERSIB vs Dewa United Banten FC - BRI Super League. Saksikan aksi-aksi terbaik dari tim yang bersaing ketat untuk meraih kemenangan. Dapatkan informasi lengkap mengenai jadwal pertandingan dan hasil pertandingan terbaru hanya di Vidio.</t>
  </si>
  <si>
    <t>Persib: Adam Alis, Ramon Tanque (Jersey Home)
Dewa: Nick Kuipers, Kambuaya</t>
  </si>
  <si>
    <t>https://drive.google.com/file/d/1f4EiVeFvsF5TyIW5QWQ2RhItrOYoVJZU/view?usp=sharing</t>
  </si>
  <si>
    <t>https://drive.google.com/file/d/1uXefcN3M-TQosG-H8pEydIbe04Q7UJD0/view?usp=sharing</t>
  </si>
  <si>
    <t>https://drive.google.com/file/d/1MGga5VY8cH-Qt0dnTcjOqvUranRwc2fI/view?usp=sharing</t>
  </si>
  <si>
    <t>f895b0a1</t>
  </si>
  <si>
    <t>PERSEBAYA Surabaya vs Arema FC - BRI Super League</t>
  </si>
  <si>
    <t>https://www.vidio.com/live/19354-bri-super-league?schedule_id=4724844</t>
  </si>
  <si>
    <t>https://drive.google.com/drive/folders/1_r3DEo2kka3mC_-00cHOS0XRgvSCbmfd</t>
  </si>
  <si>
    <t>persebaya surabaya; arema fc; sports stream</t>
  </si>
  <si>
    <t>Nonton streaming pertandingan seru PERSEBAYA Surabaya vs Arema FC - BRI Super League. Saksikan aksi-aksi terbaik dari tim yang bersaing ketat untuk meraih kemenangan. Dapatkan informasi lengkap mengenai jadwal pertandingan dan hasil pertandingan terbaru hanya di Vidio.</t>
  </si>
  <si>
    <t>Persibaya: Catur, Rachmat Irianto
Arema: Dalberto, Valdeci</t>
  </si>
  <si>
    <t>https://drive.google.com/file/d/1OzV8G6jdzriY32nF2DYia-pSOzmrbSF2/view?usp=sharing</t>
  </si>
  <si>
    <t>https://drive.google.com/file/d/1bwUd13kwwW1o8nPo3CsrArmocLxTFayO/view?usp=sharing</t>
  </si>
  <si>
    <t>https://drive.google.com/file/d/1xCMcMIK6Mn-YIgbv0r1gl51sqKgHyvh4/view?usp=sharing</t>
  </si>
  <si>
    <t>789406c9</t>
  </si>
  <si>
    <t>PSIM Jogja vs Bhayangkara Presisi Lampung FC - BRI Super League</t>
  </si>
  <si>
    <t>https://www.vidio.com/live/19353-bri-super-league?schedule_id=4724847</t>
  </si>
  <si>
    <t>https://drive.google.com/drive/folders/1srfFnDIKpeXGGXZk0IA-o7PzmeGkOIXD</t>
  </si>
  <si>
    <t>psim yogyakarta; bhayangkara fc; sports stream</t>
  </si>
  <si>
    <t>Nonton streaming pertandingan seru PSIM Jogja vs Bhayangkara Presisi Lampung FC - BRI Super League. Saksikan aksi-aksi terbaik dari tim yang bersaing ketat untuk meraih kemenangan. Dapatkan informasi lengkap mengenai jadwal pertandingan dan hasil pertandingan terbaru hanya di Vidio.</t>
  </si>
  <si>
    <t>TAG: experimentsvod
PSIM: Ze Valente, Nermin Haljeta (Jersey Home)
Bhayangkara:Ilija Spasojevic, Firza Andika (Jersey Home)</t>
  </si>
  <si>
    <t>https://drive.google.com/file/d/1bBfOiNtGvtL80DNA7owYJZQeuO3DUmNM/view?usp=sharing</t>
  </si>
  <si>
    <t>https://drive.google.com/file/d/1LeyGv9KR-VQ0H1BwabD6CNK5e_4hLkEd/view?usp=sharing</t>
  </si>
  <si>
    <t>https://drive.google.com/file/d/1egMa_r5psKwU4229lX1uahzVMvnCDw4U/view?usp=sharing</t>
  </si>
  <si>
    <t>f344bf3c</t>
  </si>
  <si>
    <t>Borneo FC Samarinda vs Madura United FC - BRI Super League</t>
  </si>
  <si>
    <t>https://www.vidio.com/live/19354-bri-super-league?schedule_id=4724849</t>
  </si>
  <si>
    <t>https://drive.google.com/drive/folders/1dF15mFfwpWttW8COgX-sJ8Ruo8hVscXe</t>
  </si>
  <si>
    <t>borneo fc; madura united; sports stream</t>
  </si>
  <si>
    <t>Nonton streaming pertandingan seru Borneo FC Samarinda vs Madura United FC - BRI Super League. Saksikan aksi-aksi terbaik dari tim yang bersaing ketat untuk meraih kemenangan. Dapatkan informasi lengkap mengenai jadwal pertandingan dan hasil pertandingan terbaru hanya di Vidio.</t>
  </si>
  <si>
    <t>TAG: experimentsvod
Borneo: Mariano Peralta , Juan Felipe Villa (Jersey Home)
Madura: Jordy Wehrmann , Taufany Muslihuddin (Jersey Away/putih)</t>
  </si>
  <si>
    <t>https://drive.google.com/file/d/1XBzJqJ5u7NHhWSY1AT1fcELxC9P_6CgK/view?usp=sharing</t>
  </si>
  <si>
    <t>https://drive.google.com/file/d/1MN3kcf6piTRO4Ihmte8krgc2niFlXNCG/view?usp=sharing</t>
  </si>
  <si>
    <t>https://drive.google.com/file/d/1PrFEDL2VbPIN-GSDPwCJj3-LAqumlzeW/view?usp=sharing</t>
  </si>
  <si>
    <t>645cd650</t>
  </si>
  <si>
    <t>PERSITA vs Malut United FC - BRI Super League</t>
  </si>
  <si>
    <t>https://www.vidio.com/live/19354-bri-super-league?schedule_id=4725594</t>
  </si>
  <si>
    <t>https://drive.google.com/drive/folders/1CXBAH_1PG9hCHMGRVCCE4v0Y2OOCibgO</t>
  </si>
  <si>
    <t>Persita Tangerang; PUTRA DELTA SIDOARJO; sports stream</t>
  </si>
  <si>
    <t>Nonton streaming pertandingan seru PERSITA vs Malut United FC - BRI Super League. Saksikan aksi-aksi terbaik dari tim yang bersaing ketat untuk meraih kemenangan. Dapatkan informasi lengkap mengenai jadwal pertandingan dan hasil pertandingan terbaru hanya di Vidio.</t>
  </si>
  <si>
    <t>TAG: newsvod
Persita: Pablo Ganet, Rayco Rodríguez (Jersey Home)
Malut: Ciro, Tyrone (Jersey Home)</t>
  </si>
  <si>
    <t>https://drive.google.com/file/d/1nw8oVVcAXJWTECS-rScNYm0cSwSYp6xl/view?usp=sharing</t>
  </si>
  <si>
    <t>https://drive.google.com/file/d/11x_ZdvJVQYI6NrXxNBeqjmAHr1VhTAWU/view?usp=sharing</t>
  </si>
  <si>
    <t>https://drive.google.com/file/d/12HsY3gznjgefAnjQYvUEij_aormEe2RO/view?usp=sharing</t>
  </si>
  <si>
    <t>92099882</t>
  </si>
  <si>
    <t>Bali United FC vs PERSIS - BRI Super League</t>
  </si>
  <si>
    <t>https://www.vidio.com/live/19354-bri-super-league?schedule_id=4725595</t>
  </si>
  <si>
    <t>https://drive.google.com/drive/folders/1IUky76S0tQ6eSfib575XKKhlmUN-9qzJ</t>
  </si>
  <si>
    <t>Bali United; persis solo; sports stream</t>
  </si>
  <si>
    <t>Nonton streaming pertandingan seru Bali United FC vs PERSIS - BRI Super League. Saksikan aksi-aksi terbaik dari tim yang bersaing ketat untuk meraih kemenangan. Dapatkan informasi lengkap mengenai jadwal pertandingan dan hasil pertandingan terbaru hanya di Vidio.</t>
  </si>
  <si>
    <t>Bali United: Boris Kopitovic, Kadel Arel (jersey Home)
Persis: Kodai Tanaka, Kastaneer (Jersey away/putih)</t>
  </si>
  <si>
    <t>https://drive.google.com/file/d/1z14fhXVEJU3oQ5qQNmDpRfXO5lYsTuGW/view?usp=sharing</t>
  </si>
  <si>
    <t>https://drive.google.com/file/d/1u0MwprNA_ujOGjSDcrGMYrhl2JcATLV5/view?usp=sharing</t>
  </si>
  <si>
    <t>https://drive.google.com/file/d/188T5ATyACUlpS9Pg2QU8XGDrzXY4LMSG/view?usp=sharing</t>
  </si>
  <si>
    <t>f88a77ee</t>
  </si>
  <si>
    <t>PSBS Biak vs PERSIJAP - BRI Super League</t>
  </si>
  <si>
    <t>https://www.vidio.com/live/205-indosiar?schedule_id=4739602</t>
  </si>
  <si>
    <t>https://drive.google.com/drive/folders/1Qvp_51dZaxDUZY0OiL6lirqpxCn0VVeQ?usp=drive_link</t>
  </si>
  <si>
    <t>https://drive.google.com/drive/folders/1gCLKym8Niu3tY1xlBbPJwfhZ-ltZiBSX</t>
  </si>
  <si>
    <t>PSBS Biak Numfor; Persijap; sports stream</t>
  </si>
  <si>
    <t>Nonton streaming pertandingan seru PSBS Biak vs PERSIJAP - BRI Super League. Saksikan aksi-aksi terbaik dari tim yang bersaing ketat untuk meraih kemenangan. Dapatkan informasi lengkap mengenai jadwal pertandingan dan hasil pertandingan terbaru hanya di Vidio.</t>
  </si>
  <si>
    <t>PSBS: Nurhidayat, Ilham Udin (Jersey Home) 
Persijap: Carlos Henrique Franca Freires, Abdallah Sudi (Jersey Home)</t>
  </si>
  <si>
    <t>https://drive.google.com/file/d/1Dp0Bc7Egwncf8S7_swJrMy96k9LnTNxn/view?usp=sharing</t>
  </si>
  <si>
    <t>https://drive.google.com/file/d/162zlrsByIJDum5y7XHAKuL5Xkv8ylyl5/view?usp=sharing</t>
  </si>
  <si>
    <t>https://drive.google.com/file/d/1URMc59081LsjP6ZeRH2rAwiaPwDfLSIl/view?usp=sharing</t>
  </si>
  <si>
    <t>e9090d09</t>
  </si>
  <si>
    <t>PERSIK Kediri vs Semen Padang FC - BRI Super League</t>
  </si>
  <si>
    <t>https://www.vidio.com/live/19354-bri-super-league?schedule_id=4739600</t>
  </si>
  <si>
    <t>https://drive.google.com/drive/folders/17Ta68m1v83kaRDQ1LBn97RanygaJbiqn?usp=drive_link</t>
  </si>
  <si>
    <t>persik kediri; semen padang; sports stream</t>
  </si>
  <si>
    <t>Nonton streaming pertandingan seru PERSIK Kediri vs Semen Padang FC - BRI Super League. Saksikan aksi-aksi terbaik dari tim yang bersaing ketat untuk meraih kemenangan. Dapatkan informasi lengkap mengenai jadwal pertandingan dan hasil pertandingan terbaru hanya di Vidio.</t>
  </si>
  <si>
    <t>TAG: experimentsvod</t>
  </si>
  <si>
    <t>https://drive.google.com/file/d/1AWRI3GQ7puvVgctfxr3LAaonX4rflVXw/view?usp=sharing</t>
  </si>
  <si>
    <t>https://drive.google.com/file/d/1dJvFhVjr_4Gb9HjTWJ39b2kTc7A1OL_v/view?usp=sharing</t>
  </si>
  <si>
    <t>https://drive.google.com/file/d/1YqVCI0ALOLrCZWsTdwQR9t8eydAOs_-H/view?usp=sharing</t>
  </si>
  <si>
    <t>60a0b7b0</t>
  </si>
  <si>
    <t>Bhayangkara Presisi Lampung FC vs PERSEBAYA Surabaya - BRI Super League</t>
  </si>
  <si>
    <t>https://www.vidio.com/live/19354-bri-super-league?schedule_id=4739840</t>
  </si>
  <si>
    <t>https://drive.google.com/drive/folders/1LGfMbuy889p4O1HTKinZlwOmKdQggfqp?usp=drive_link</t>
  </si>
  <si>
    <t>bhayangkara fc; persebaya surabaya; sports stream</t>
  </si>
  <si>
    <t>Nonton streaming pertandingan seru Bhayangkara Presisi Lampung FC vs PERSEBAYA Surabaya - BRI Super League. Saksikan aksi-aksi terbaik dari tim yang bersaing ketat untuk meraih kemenangan. Dapatkan informasi lengkap mengenai jadwal pertandingan dan hasil pertandingan terbaru hanya di Vidio.</t>
  </si>
  <si>
    <t>Bhayangkara: Ilija Spasojevic, Dendi Sulistyawan (Jersey Home)
Persebaya: Malik Risaldi, Rachmat Irianto (Jerset Home)</t>
  </si>
  <si>
    <t>https://drive.google.com/file/d/1KmyY8bYrDvdio3neabLthDfm7ll0vgSm/view?usp=sharing</t>
  </si>
  <si>
    <t>https://drive.google.com/file/d/1xB0xy7HkEIbSRlbQJJubrG5Q4XrOQCwp/view?usp=sharing</t>
  </si>
  <si>
    <t>https://drive.google.com/file/d/1ntctv3Ktmk_nEdUPNGE9zq-EAVjzfQNO/view?usp=sharing</t>
  </si>
  <si>
    <t>58f47942</t>
  </si>
  <si>
    <t>PERSIJA vs PSIM Jogja - BRI Super League</t>
  </si>
  <si>
    <t>https://www.vidio.com/live/19354-bri-super-league?schedule_id=4739841</t>
  </si>
  <si>
    <t>https://drive.google.com/drive/folders/1NJrD56F5JAPSqQe-g0_LJ7AVaA1VzvXI?usp=drive_link</t>
  </si>
  <si>
    <t>PERSIJA Jakarta; psim yogyakarta; sports stream</t>
  </si>
  <si>
    <t>Nonton streaming pertandingan seru PERSIJA vs PSIM Jogja - BRI Super League. Saksikan aksi-aksi terbaik dari tim yang bersaing ketat untuk meraih kemenangan. Dapatkan informasi lengkap mengenai jadwal pertandingan dan hasil pertandingan terbaru hanya di Vidio.</t>
  </si>
  <si>
    <t>Persija: Maxwell, Allano (Jersey Home)
PSIM: Ze Valente, Nermin Haljeta (Jersey Home)</t>
  </si>
  <si>
    <t>https://drive.google.com/file/d/1atEV31msZ8AEZHhjhOEBlGawSniyxGwh/view?usp=sharing</t>
  </si>
  <si>
    <t>https://drive.google.com/file/d/1RpqR30uzdpPv6y10pc31k2-hO8UjbXrF/view?usp=sharing</t>
  </si>
  <si>
    <t>https://drive.google.com/file/d/1-QmR2cf_D7bUEYlnvvABRtcXqWPHdgng/view?usp=sharing</t>
  </si>
  <si>
    <t>83373075</t>
  </si>
  <si>
    <t>Dewa United Banten FC vs PERSITA - BRI Super League</t>
  </si>
  <si>
    <t>https://www.vidio.com/live/19988-bri-super-league?schedule_id=4741025</t>
  </si>
  <si>
    <t>https://drive.google.com/drive/folders/1aAs8PZAGDKY8t-DtVu_xYLRAftJPs_nd?usp=drive_link</t>
  </si>
  <si>
    <t>dewa united; Persita Tangerang; sports stream</t>
  </si>
  <si>
    <t>Nonton streaming pertandingan seru Dewa United Banten FC vs PERSITA - BRI Super League. Saksikan aksi-aksi terbaik dari tim yang bersaing ketat untuk meraih kemenangan. Dapatkan informasi lengkap mengenai jadwal pertandingan dan hasil pertandingan terbaru hanya di Vidio.</t>
  </si>
  <si>
    <t>Dewa: Messidoro, Taisei Marukawa (Jersey Home)
Persita: Hokky Caraka, M Toha (Jersey Home)</t>
  </si>
  <si>
    <t>https://drive.google.com/file/d/1_ZE92aF93RXmJqvYb5iZxIXf2oDskAJL/view?usp=sharing</t>
  </si>
  <si>
    <t>https://drive.google.com/file/d/1EWoZF8eYYBMzCqyj-mKM3H7Sw7di8TU8/view?usp=sharing</t>
  </si>
  <si>
    <t>https://drive.google.com/file/d/11z17V-5ftv69-BtPhPSYB1TD3u0vg_h2/view?usp=sharing</t>
  </si>
  <si>
    <t>8a39a8b6</t>
  </si>
  <si>
    <t>PERSIS vs PSM Makassar - BRI Super League</t>
  </si>
  <si>
    <t>https://www.vidio.com/live/19353-bri-super-league?schedule_id=4739846</t>
  </si>
  <si>
    <t>https://drive.google.com/drive/folders/1ckhaC3e-mkZaT3BkusWqhax5Dg5W4qGb?usp=drive_link</t>
  </si>
  <si>
    <t>persis solo; PSM Makassar; sports stream</t>
  </si>
  <si>
    <t>Nonton streaming pertandingan seru PERSIS vs PSM Makassar - BRI Super League. Saksikan aksi-aksi terbaik dari tim yang bersaing ketat untuk meraih kemenangan. Dapatkan informasi lengkap mengenai jadwal pertandingan dan hasil pertandingan terbaru hanya di Vidio.</t>
  </si>
  <si>
    <t>tag: newsvod
Persis: Kastaneer, Kaka (Jersey Home)
PSM: Alex Tank, Mufli Hidayat (Jersey Away)</t>
  </si>
  <si>
    <t>https://drive.google.com/file/d/1VpLLujxfleus3ENx8c-szecmHnSDGyhX/view?usp=sharing</t>
  </si>
  <si>
    <t>https://drive.google.com/file/d/13LFWv5WSW4oD6Wk_1_LSvFUxxrV1g3yZ/view?usp=sharing</t>
  </si>
  <si>
    <t>https://drive.google.com/file/d/1uhyRcARfNRez5f0tuhJUBFZ5lM3NjBQq/view?usp=sharing</t>
  </si>
  <si>
    <t>51a78545</t>
  </si>
  <si>
    <t>Malut United FC vs Arema FC - BRI Super League</t>
  </si>
  <si>
    <t>https://www.vidio.com/live/19354-bri-super-league?schedule_id=4739842</t>
  </si>
  <si>
    <t>https://drive.google.com/drive/folders/1SCc4oV5kjoU4pqxZWZWtdlTWUGpfNNVM?usp=drive_link</t>
  </si>
  <si>
    <t>PUTRA DELTA SIDOARJO; arema fc; sports stream</t>
  </si>
  <si>
    <t>Nonton streaming pertandingan seru Malut United FC vs Arema FC - BRI Super League. Saksikan aksi-aksi terbaik dari tim yang bersaing ketat untuk meraih kemenangan. Dapatkan informasi lengkap mengenai jadwal pertandingan dan hasil pertandingan terbaru hanya di Vidio.</t>
  </si>
  <si>
    <t>Malut: Ciro Alves, Tyronne del Pino (Jersey Home)
Arema: Dalberto, Arkhan Fikri (Jersey Home)</t>
  </si>
  <si>
    <t>https://drive.google.com/file/d/1ZbsIPcVg3l1U8zbGufEKvDrR-FiU_uoj/view?usp=sharing</t>
  </si>
  <si>
    <t>https://drive.google.com/file/d/1vh2C2M5jNrSGDRpHkV5xNL42EAMPCful/view?usp=sharing</t>
  </si>
  <si>
    <t>https://drive.google.com/file/d/1sbT5M6TnnaP-ywrwf90tZpx7UHqLqF6p/view?usp=sharing</t>
  </si>
  <si>
    <t>5606a1d3</t>
  </si>
  <si>
    <t>Borneo FC Samarinda vs Bali United FC - BRI Super League</t>
  </si>
  <si>
    <t>https://www.vidio.com/live/19354-bri-super-league?schedule_id=4739843</t>
  </si>
  <si>
    <t>https://drive.google.com/drive/folders/14vCbBfVUH74MdycCd6eNNtWNfs6z7ims?usp=drive_link</t>
  </si>
  <si>
    <t>borneo fc; Bali United; sports stream</t>
  </si>
  <si>
    <t>Nonton streaming pertandingan seru Borneo FC Samarinda vs Bali United FC - BRI Super League. Saksikan aksi-aksi terbaik dari tim yang bersaing ketat untuk meraih kemenangan. Dapatkan informasi lengkap mengenai jadwal pertandingan dan hasil pertandingan terbaru hanya di Vidio.</t>
  </si>
  <si>
    <t>Borneo: Mariano Peralta, Joel Vinicius (Jersey Home)
Bali United: Boris Kopitovic, Kadek Arel (Jersey Away/Putih)</t>
  </si>
  <si>
    <t>NTC Gabungan (Madura vs Persib)</t>
  </si>
  <si>
    <t>https://drive.google.com/file/d/1xAJ22KS_e0zPlxaW5amc7Smd_ioE5795/view?usp=sharing</t>
  </si>
  <si>
    <t>https://drive.google.com/file/d/1dGSt-CV4FEXXzILwk3qGN-bsD6KDl7L1/view?usp=sharing</t>
  </si>
  <si>
    <t>https://drive.google.com/file/d/1i1Vis1o6CX7HyM5VbP1L7T4phEA-F-Ws/view?usp=sharing</t>
  </si>
  <si>
    <t>ea28e3cb</t>
  </si>
  <si>
    <t>Madura United FC vs PERSIB - BRI Super League</t>
  </si>
  <si>
    <t>https://www.vidio.com/live/19354-bri-super-league?schedule_id=4739844</t>
  </si>
  <si>
    <t>https://drive.google.com/drive/folders/1wVodTyry9jS49-jk8XYa7pCQIum3FGS1?usp=drive_link</t>
  </si>
  <si>
    <t>madura united; persib bandung; sports stream</t>
  </si>
  <si>
    <t>Nonton streaming pertandingan seru Madura United FC vs PERSIB - BRI Super League. Saksikan aksi-aksi terbaik dari tim yang bersaing ketat untuk meraih kemenangan. Dapatkan informasi lengkap mengenai jadwal pertandingan dan hasil pertandingan terbaru hanya di Vidio.</t>
  </si>
  <si>
    <t>Madura:  Jordy Wehrmann,  Ahmad Nufiandani  (Jersey Home)
Persib: Thom Haye, Bechkam Putra (Jersey Home)</t>
  </si>
  <si>
    <t>TVC + NTC Gabungan (Borneo vs Bali)</t>
  </si>
  <si>
    <t>https://drive.google.com/file/d/1ynQdWdOOpOq1rnDi-LjucTQoPBeA8mTl/view?usp=sharing</t>
  </si>
  <si>
    <t>https://drive.google.com/file/d/1YNzTHPmGyPXTmU9_OeUEuFsVUTMZa8V9/view?usp=sharing</t>
  </si>
  <si>
    <t>https://drive.google.com/file/d/1Stm8p3oVJE8NK4a8eDA8Bk4TXLL2hbtv/view?usp=sharing</t>
  </si>
  <si>
    <t>3647e1d3</t>
  </si>
  <si>
    <t>Dewa United Banten FC vs PERSIS - BRI Super League</t>
  </si>
  <si>
    <t>https://www.vidio.com/live/19354-bri-super-league?schedule_id=4783334</t>
  </si>
  <si>
    <t>https://drive.google.com/drive/folders/1XPU_gMsz5f6uTK0UgO1b2E4pRzRwloSw</t>
  </si>
  <si>
    <t>https://drive.google.com/file/d/1U_0m5ZsJZf5MMismyX65JihNBPBPqN8Z/view?usp=drive_link</t>
  </si>
  <si>
    <t>dewa united; persis solo; sports stream</t>
  </si>
  <si>
    <t>Nonton streaming pertandingan seru Dewa United Banten FC vs PERSIS - BRI Super League. Saksikan aksi-aksi terbaik dari tim yang bersaing ketat untuk meraih kemenangan. Dapatkan informasi lengkap mengenai jadwal pertandingan dan hasil pertandingan terbaru hanya di Vidio.</t>
  </si>
  <si>
    <t>NTC GABUNGAN [Dewa vs Persis + Persebaya vs Borneo]</t>
  </si>
  <si>
    <t>https://thumbor.prod.vidiocdn.com/-kwKyQ7dgGERTh8PKAxJnCjgNcw=/filters:quality(70)/vidio-media-production/uploads/image/source/52303/423eb3.png</t>
  </si>
  <si>
    <t>https://thumbor.prod.vidiocdn.com/teIuc_r9oS2DjPRAbOJXj-PS54s=/filters:quality(70)/vidio-media-production/uploads/image/source/52304/1304eb.png</t>
  </si>
  <si>
    <t>https://drive.google.com/file/d/1RZNw8EH8WEpQiQU4-xkwp16v1pof46KV/view?usp=sharing</t>
  </si>
  <si>
    <t>c876153f</t>
  </si>
  <si>
    <t>PERSEBAYA Surabaya vs Borneo FC Samarinda - BRI Super League</t>
  </si>
  <si>
    <t>https://www.vidio.com/live/19354-bri-super-league?schedule_id=4783335</t>
  </si>
  <si>
    <t>https://drive.google.com/drive/folders/1r03lXJNY4APnbN7jMHEGtYKY6Gov7wjh</t>
  </si>
  <si>
    <t>https://drive.google.com/file/d/1sQNEMuhp4bHGINp8-IBf2w25Xs5V10S8/view?usp=drive_link</t>
  </si>
  <si>
    <t>persebaya surabaya; borneo fc; sports stream</t>
  </si>
  <si>
    <t>Nonton streaming pertandingan seru PERSEBAYA Surabaya vs Borneo FC Samarinda - BRI Super League. Saksikan aksi-aksi terbaik dari tim yang bersaing ketat untuk meraih kemenangan. Dapatkan informasi lengkap mengenai jadwal pertandingan dan hasil pertandingan terbaru hanya di Vidio.</t>
  </si>
  <si>
    <t>https://drive.google.com/file/d/1tNWCZ2RoggkfxPDSRrXf2UJWAjXqYx8g/view?usp=sharing</t>
  </si>
  <si>
    <t>https://drive.google.com/file/d/1sQNEMuhp4bHGINp8-IBf2w25Xs5V10S8/view?usp=sharing</t>
  </si>
  <si>
    <t>https://drive.google.com/file/d/1gRHlC5W-B006FG9d_GNnuom6mm77v1Oi/view?usp=sharing</t>
  </si>
  <si>
    <t>6cf46a70</t>
  </si>
  <si>
    <t>PERSITA vs PERSIK Kediri - BRI Super League</t>
  </si>
  <si>
    <t>https://www.vidio.com/live/19353-bri-super-league?schedule_id=4783339</t>
  </si>
  <si>
    <t>https://drive.google.com/drive/folders/105Nh6a4ledWDrhTHElQAv7NWkHyK1v-I</t>
  </si>
  <si>
    <t>https://drive.google.com/file/d/1syW1srBk4BAQX80t9lYa3Z8uDV1-AjE-/view?usp=drive_link</t>
  </si>
  <si>
    <t>Persita Tangerang; persik kediri; sports stream</t>
  </si>
  <si>
    <t>Nonton streaming pertandingan seru PERSITA vs PERSIK Kediri - BRI Super League. Saksikan aksi-aksi terbaik dari tim yang bersaing ketat untuk meraih kemenangan. Dapatkan informasi lengkap mengenai jadwal pertandingan dan hasil pertandingan terbaru hanya di Vidio.</t>
  </si>
  <si>
    <t>tag "newsvod"</t>
  </si>
  <si>
    <t>https://drive.google.com/file/d/158MSow8QmrD-o8RW21ybDdrZTSEJm48c/view?usp=sharing</t>
  </si>
  <si>
    <t>https://drive.google.com/file/d/1syW1srBk4BAQX80t9lYa3Z8uDV1-AjE-/view?usp=sharing</t>
  </si>
  <si>
    <t>https://drive.google.com/file/d/17sJGhowatSOvWXlyPXu4dfTSn4KO_RGb/view?usp=sharing</t>
  </si>
  <si>
    <t>dd8bab31</t>
  </si>
  <si>
    <t>PSM Makassar vs Malut United FC - BRI Super League</t>
  </si>
  <si>
    <t>https://www.vidio.com/live/19354-bri-super-league?schedule_id=4783337</t>
  </si>
  <si>
    <t>https://drive.google.com/drive/folders/1mr4FuuFOWFwm0_q8Ei79p0U0kbHRvsB0</t>
  </si>
  <si>
    <t>https://drive.google.com/file/d/1-CGWjtJ2XDNwjyhuFaMDMPNnMxByAU0w/view?usp=drive_link</t>
  </si>
  <si>
    <t>PSM Makassar; PUTRA DELTA SIDOARJO; sports stream</t>
  </si>
  <si>
    <t>Nonton streaming pertandingan seru PSM Makassar vs Malut United FC - BRI Super League. Saksikan aksi-aksi terbaik dari tim yang bersaing ketat untuk meraih kemenangan. Dapatkan informasi lengkap mengenai jadwal pertandingan dan hasil pertandingan terbaru hanya di Vidio.</t>
  </si>
  <si>
    <t>Tag "newsvod"</t>
  </si>
  <si>
    <t>https://drive.google.com/file/d/1e1PZLDjGO1tSoSBGW5CWMWCU0_JjE9U_/view?usp=sharing</t>
  </si>
  <si>
    <t>https://drive.google.com/file/d/1-CGWjtJ2XDNwjyhuFaMDMPNnMxByAU0w/view?usp=sharing</t>
  </si>
  <si>
    <t>https://drive.google.com/file/d/1g28DBLIRi3Dkpknc-RdjsttchguqEHdI/view?usp=sharing</t>
  </si>
  <si>
    <t>33d6d73e</t>
  </si>
  <si>
    <t>PERSIB vs Bhayangkara Presisi Lampung FC - BRI Super League</t>
  </si>
  <si>
    <t>https://www.vidio.com/live/19354-bri-super-league?schedule_id=4786953</t>
  </si>
  <si>
    <t>https://drive.google.com/drive/folders/13MsNklabmmr3EuohQQR1ZNnP-_ZfgiZD</t>
  </si>
  <si>
    <t>https://drive.google.com/file/d/1fx4aVH898TZ06obrjHmbNqR-te9U5S3V/view?usp=drive_link</t>
  </si>
  <si>
    <t>persib bandung; bhayangkara fc; sports stream</t>
  </si>
  <si>
    <t>Nonton streaming pertandingan seru PERSIB vs Bhayangkara Presisi Lampung FC - BRI Super League. Saksikan aksi-aksi terbaik dari tim yang bersaing ketat untuk meraih kemenangan. Dapatkan informasi lengkap mengenai jadwal pertandingan dan hasil pertandingan terbaru hanya di Vidio.</t>
  </si>
  <si>
    <t>https://drive.google.com/file/d/10oZVp14IHpjAvaAtN3y3nQTcmQ1jsXqn/view?usp=sharing</t>
  </si>
  <si>
    <t>https://drive.google.com/file/d/1fx4aVH898TZ06obrjHmbNqR-te9U5S3V/view?usp=sharing</t>
  </si>
  <si>
    <t>https://drive.google.com/file/d/1vZGS1Ym5Xh-9WV_E6WN8SFks_tz_Rglg/view?usp=sharing</t>
  </si>
  <si>
    <t>9a3036f8</t>
  </si>
  <si>
    <t>PSBS Biak vs Bali United FC - BRI Super League</t>
  </si>
  <si>
    <t>https://www.vidio.com/live/19354-bri-super-league?schedule_id=4783774</t>
  </si>
  <si>
    <t>https://drive.google.com/drive/folders/18CfN0saHDU8vx1AQIy4jEAMTUnvhSUDL</t>
  </si>
  <si>
    <t>https://drive.google.com/file/d/1FDxe52AXYu5bbKNVOTvLV0UPmcRV8BI2/view?usp=drive_link</t>
  </si>
  <si>
    <t>PSBS Biak Numfor; Bali United; sports stream</t>
  </si>
  <si>
    <t>Nonton streaming pertandingan seru PSBS Biak vs Bali United FC - BRI Super League. Saksikan aksi-aksi terbaik dari tim yang bersaing ketat untuk meraih kemenangan. Dapatkan informasi lengkap mengenai jadwal pertandingan dan hasil pertandingan terbaru hanya di Vidio.</t>
  </si>
  <si>
    <t>https://drive.google.com/file/d/1-bJFWKvhS_LpQ8zKGbG0a-MxlJqgQSRu/view?usp=sharing</t>
  </si>
  <si>
    <t>https://drive.google.com/file/d/1FDxe52AXYu5bbKNVOTvLV0UPmcRV8BI2/view?usp=sharing</t>
  </si>
  <si>
    <t>https://drive.google.com/file/d/15ZUB6aGvL6Gubw5fTZ8Heg4F2HTiwCpL/view?usp=sharing</t>
  </si>
  <si>
    <t>57d07af2</t>
  </si>
  <si>
    <t>Semen Padang FC vs PERSIJA - BRI Super League</t>
  </si>
  <si>
    <t>https://www.vidio.com/live/19354-bri-super-league?schedule_id=4783773</t>
  </si>
  <si>
    <t>https://drive.google.com/drive/folders/1f3qIPWSaZZvaXVgN-ZudkCOFRe1Qx1pc</t>
  </si>
  <si>
    <t>https://drive.google.com/file/d/1EBQtL31iTi30zqLH87i86_E1_kTinsjO/view?usp=drive_link</t>
  </si>
  <si>
    <t>semen padang; PERSIJA Jakarta; sports stream</t>
  </si>
  <si>
    <t>Nonton streaming pertandingan seru Semen Padang FC vs PERSIJA - BRI Super League. Saksikan aksi-aksi terbaik dari tim yang bersaing ketat untuk meraih kemenangan. Dapatkan informasi lengkap mengenai jadwal pertandingan dan hasil pertandingan terbaru hanya di Vidio.</t>
  </si>
  <si>
    <t>https://drive.google.com/file/d/1rKBFgKMN086-hbIuz0Kkvv6TnQ9ZJbKl/view?usp=sharing</t>
  </si>
  <si>
    <t>https://drive.google.com/file/d/1EBQtL31iTi30zqLH87i86_E1_kTinsjO/view?usp=sharing</t>
  </si>
  <si>
    <t>https://drive.google.com/file/d/1_5LSdE0bZ6PirhvOSUDRJ4O61szeAkgD/view?usp=sharing</t>
  </si>
  <si>
    <t>50dd1ce4</t>
  </si>
  <si>
    <t>Arema FC vs Madura United FC - BRI Super League</t>
  </si>
  <si>
    <t>https://www.vidio.com/live/19354-bri-super-league?schedule_id=4790143</t>
  </si>
  <si>
    <t>https://drive.google.com/drive/folders/1SCgGCq-MLWwZUvp6DZXogNVFLAj_mSpq</t>
  </si>
  <si>
    <t>https://drive.google.com/file/d/1UbvFZnriaCldAIpmpE7hc-vTesDsGWYG/view?usp=drive_link</t>
  </si>
  <si>
    <t>arema fc; madura united; sports stream</t>
  </si>
  <si>
    <t>Nonton streaming pertandingan seru Arema FC vs Madura United FC - BRI Super League. Saksikan aksi-aksi terbaik dari tim yang bersaing ketat untuk meraih kemenangan. Dapatkan informasi lengkap mengenai jadwal pertandingan dan hasil pertandingan terbaru hanya di Vidio.</t>
  </si>
  <si>
    <t>https://drive.google.com/file/d/14B6SP72vn1lw7M-GZFHuFLS3WejUwRPU/view?usp=sharing</t>
  </si>
  <si>
    <t>https://drive.google.com/file/d/1UbvFZnriaCldAIpmpE7hc-vTesDsGWYG/view?usp=sharing</t>
  </si>
  <si>
    <t>https://drive.google.com/file/d/1aeyTiZaNmhZwWHYq-ic6SlxnjXKsszNt/view?usp=sharing</t>
  </si>
  <si>
    <t>4595184c</t>
  </si>
  <si>
    <t>PERSIJAP vs PSIM Jogja - BRI Super League</t>
  </si>
  <si>
    <t>https://www.vidio.com/live/205-indosiar?schedule_id=4790144</t>
  </si>
  <si>
    <t>https://drive.google.com/drive/folders/1E9ln_Ia2xM_GA-u_mbRassJpMth-XSMX</t>
  </si>
  <si>
    <t>https://drive.google.com/file/d/1MxgQmcfXZsTIMr8JkA1ZqCRUFTX5CDnC/view?usp=drive_link</t>
  </si>
  <si>
    <t>Persijap; psim yogyakarta; sports stream</t>
  </si>
  <si>
    <t>Nonton streaming pertandingan seru PERSIJAP vs PSIM Jogja - BRI Super League. Saksikan aksi-aksi terbaik dari tim yang bersaing ketat untuk meraih kemenangan. Dapatkan informasi lengkap mengenai jadwal pertandingan dan hasil pertandingan terbaru hanya di Vidio.</t>
  </si>
  <si>
    <t>https://drive.google.com/file/d/1NbYs7_16QjYjCMFLQhM-JWrrgxHk6qi2/view?usp=sharing</t>
  </si>
  <si>
    <t>https://drive.google.com/file/d/1MxgQmcfXZsTIMr8JkA1ZqCRUFTX5CDnC/view?usp=sharing</t>
  </si>
  <si>
    <t>https://drive.google.com/file/d/1yb-w8cKoW973h0GggQEVP0XR-ASs3OUc/view?usp=sharing</t>
  </si>
  <si>
    <t>d107431f</t>
  </si>
  <si>
    <t>https://www.vidio.com/live/18832-sirkuit-nasional-bulutangkis-2025?schedule_id=4494860</t>
  </si>
  <si>
    <t>https://drive.google.com/drive/folders/1rG7Ha3NrFp4mvWmQNv7B3qNxakUw1ihH</t>
  </si>
  <si>
    <t>https://drive.google.com/file/d/1RC2yQLzeIwROUAJwyvcYJ0st1vER2W-4/view?usp=sharing</t>
  </si>
  <si>
    <t>https://drive.google.com/file/d/1hDE6wU9g1vOuHFV-CeRs9dUDw2u1vzYk/view?usp=sharing</t>
  </si>
  <si>
    <t>239370d9</t>
  </si>
  <si>
    <t>https://www.vidio.com/live/18832-sirkuit-nasional-bulutangkis-2025?schedule_id=4523998</t>
  </si>
  <si>
    <t>https://drive.google.com/drive/folders/1NH318ZLnn0xlAw0MS39bbVJfZPoq9kdN</t>
  </si>
  <si>
    <t>https://drive.google.com/file/d/1UffaPpymvmdFs2AdKMHNlCSe1_BHFWrx/view?usp=sharing</t>
  </si>
  <si>
    <t>https://drive.google.com/file/d/1epXlLjeAmmbhpmh_8Ugcd8UScwUDJvuz/view?usp=sharing</t>
  </si>
  <si>
    <t>aa848e93</t>
  </si>
  <si>
    <t>Xander Zayas vs Jorge Garcia - Vacant WBO Jr. Middleweight Championship</t>
  </si>
  <si>
    <t>https://www.vidio.com/live/6685-champions-tv-1?schedule_id=4452180</t>
  </si>
  <si>
    <t>https://drive.google.com/drive/u/0/folders/1hSaY3dofjwAeySWI9d4rZA0U2ffQqQFE</t>
  </si>
  <si>
    <t>https://drive.google.com/drive/folders/1S-cIN_GN2jHeZ4L0dHpenrico1KpmEeJ</t>
  </si>
  <si>
    <t>Nonton streaming pertandingan seru Xander Zayas vs Jorge Garcia - Vacant WBO Jr. Middleweight Championship. Saksikan aksi-aksi terbaik dari tim yang bersaing ketat untuk meraih kemenangan. Dapatkan informasi lengkap mengenai jadwal pertandingan dan hasil pertandingan terbaru hanya di Vidio.</t>
  </si>
  <si>
    <t>https://drive.google.com/file/d/19eUdJGg26MHWcTAWqAOSNE5nv6Agtx2w/view?usp=sharing</t>
  </si>
  <si>
    <t>https://drive.google.com/file/d/1DiS-6R7r80T1Yx4hn8C5mauGZJSu5E1i/view?usp=sharing</t>
  </si>
  <si>
    <t>78fcb469</t>
  </si>
  <si>
    <t>Fortuna Sittard vs Go Ahead Eagles - Eredivisie</t>
  </si>
  <si>
    <t>https://www.vidio.com/live/6685-champions-tv-1?schedule_id=4484472</t>
  </si>
  <si>
    <t>https://drive.google.com/drive/folders/1i5eKQbi3QNIUf6kBPPsGen79CT5rx2b6?usp=drive_link</t>
  </si>
  <si>
    <t>Fortuna Sittard</t>
  </si>
  <si>
    <t>Go Ahead Eagles</t>
  </si>
  <si>
    <t>fortuna sittard; go ahead eagles; sports stream</t>
  </si>
  <si>
    <t>Nonton streaming pertandingan seru Fortuna Sittard vs Go Ahead Eagles - Eredivisie. Saksikan aksi-aksi terbaik dari tim yang bersaing ketat untuk meraih kemenangan. Dapatkan informasi lengkap mengenai jadwal pertandingan dan hasil pertandingan terbaru hanya di Vidio.</t>
  </si>
  <si>
    <t>Fortuna SIttard: Ivo Pinto, Shawn Adewoye
Go Ahead Eagles: Dean James, Jakob  Breum</t>
  </si>
  <si>
    <t>https://drive.google.com/file/d/1yZWzYpogkFb_AQuJkYyRcTgqoYz_kwfj/view?usp=sharing</t>
  </si>
  <si>
    <t>https://drive.google.com/file/d/1CQP1eOi0o56iD7QbTpFp8MAnmnky9F4n/view?usp=sharing</t>
  </si>
  <si>
    <t>598fe31e</t>
  </si>
  <si>
    <t>Girona vs Rayo Vallecano - LaLiga</t>
  </si>
  <si>
    <t>LaLiga 2025/26</t>
  </si>
  <si>
    <t>https://www.vidio.com/live/6299-bein-1?schedule_id=4499122</t>
  </si>
  <si>
    <t>https://drive.google.com/drive/folders/188I_YmWn35srgk0s-P_oK5AW2xZPHVg_</t>
  </si>
  <si>
    <t>https://drive.google.com/drive/folders/1LPjzFbBTQFHsHkziHSf1mTMLYgOfWkU4</t>
  </si>
  <si>
    <t>Girona FC</t>
  </si>
  <si>
    <t>Rayo Vallecano</t>
  </si>
  <si>
    <t>Sports &gt; Football &gt; LaLiga</t>
  </si>
  <si>
    <t>La Liga; La Liga 2025/26</t>
  </si>
  <si>
    <t>FIFA; UEFA; European Leagues; Liga Nacional de Fútbol Profesional</t>
  </si>
  <si>
    <t>girona fc; rayo vallecano; sports stream</t>
  </si>
  <si>
    <t>Nonton streaming pertandingan seru Girona vs Rayo Vallecano - LaLiga. Saksikan aksi-aksi terbaik dari tim yang bersaing ketat untuk meraih kemenangan. Dapatkan informasi lengkap mengenai jadwal pertandingan dan hasil pertandingan terbaru hanya di Vidio.</t>
  </si>
  <si>
    <t>https://drive.google.com/file/d/1czWkIB1drzvndBeoL31Fwnm46pSG8sMh/view?usp=sharing</t>
  </si>
  <si>
    <t>https://drive.google.com/file/d/1QIBtOHmn5ZUpan9T7V-A6zITi1134P6h/view?usp=drive_link</t>
  </si>
  <si>
    <t>2cdebc88</t>
  </si>
  <si>
    <t>Villarreal vs Oviedo - LaLiga</t>
  </si>
  <si>
    <t>https://www.vidio.com/live/6299-bein-1?schedule_id=4499130</t>
  </si>
  <si>
    <t>https://drive.google.com/drive/folders/1F2k3JK8ORAbJPL_o4U6a3VTtNIqPHk8j</t>
  </si>
  <si>
    <t>Villarreal CF</t>
  </si>
  <si>
    <t>Real Oviedo</t>
  </si>
  <si>
    <t>villarreal cf; Real Oviedo; sports stream</t>
  </si>
  <si>
    <t>Nonton streaming pertandingan seru Villarreal vs Oviedo - LaLiga. Saksikan aksi-aksi terbaik dari tim yang bersaing ketat untuk meraih kemenangan. Dapatkan informasi lengkap mengenai jadwal pertandingan dan hasil pertandingan terbaru hanya di Vidio.</t>
  </si>
  <si>
    <t>Villarreal: Danjuma, Pepe
Oviedo: Rondon, Vinas</t>
  </si>
  <si>
    <t>https://drive.google.com/file/d/12mDMJN8XMxRKwmB7Wfm3hflTk-fGb_7Z/view?usp=sharing</t>
  </si>
  <si>
    <t>https://drive.google.com/file/d/1MOYZVxW3EvOBuuYMyzttyfz9ANiV5YLs/view?usp=drive_link</t>
  </si>
  <si>
    <t>https://drive.google.com/file/d/1ODBGB_6hmQ1wGMWkmy27E3Od_C2tdtzV/view?usp=sharing</t>
  </si>
  <si>
    <t>d384e02b</t>
  </si>
  <si>
    <t>Alaves vs Levante - LaLiga</t>
  </si>
  <si>
    <t>https://www.vidio.com/live/6317-bein-3?schedule_id=4499134</t>
  </si>
  <si>
    <t>https://drive.google.com/drive/folders/1hRVqf1Dc9G09QQyeFjVrTlQfx2ffuWsW?usp=drive_link</t>
  </si>
  <si>
    <t>https://drive.google.com/drive/folders/1qCcBp9HXryO0KKa5HH_MTnpOd8vRfd9G</t>
  </si>
  <si>
    <t>Deportivo Alavés</t>
  </si>
  <si>
    <t>Levante</t>
  </si>
  <si>
    <t>deportivo alaves; levante UD; sports stream</t>
  </si>
  <si>
    <t>Nonton streaming pertandingan seru Alaves vs Levante - LaLiga. Saksikan aksi-aksi terbaik dari tim yang bersaing ketat untuk meraih kemenangan. Dapatkan informasi lengkap mengenai jadwal pertandingan dan hasil pertandingan terbaru hanya di Vidio.</t>
  </si>
  <si>
    <t>https://drive.google.com/file/d/1S-a0cRSVvAnE8H100nzEz8K0VtNTNeY3/view?usp=sharing</t>
  </si>
  <si>
    <t>https://drive.google.com/file/d/1DeWFc4v4aaoDabht_eOHxJPzeWVpMaWY/view?usp=drive_link</t>
  </si>
  <si>
    <t>e65fd03f</t>
  </si>
  <si>
    <t>Mallorca vs Barcelona - LaLiga</t>
  </si>
  <si>
    <t>https://www.vidio.com/live/6299-bein-1?schedule_id=4499127</t>
  </si>
  <si>
    <t>https://drive.google.com/drive/folders/1GaWiE9P4UM2-JrlL9XXa7b0LrSedkEGv?usp=drive_link</t>
  </si>
  <si>
    <t>Mallorca</t>
  </si>
  <si>
    <t>Barcelona</t>
  </si>
  <si>
    <t>real club deportivo mallorca; fc barcelona; sports stream</t>
  </si>
  <si>
    <t>Nonton streaming pertandingan seru Mallorca vs Barcelona - LaLiga. Saksikan aksi-aksi terbaik dari tim yang bersaing ketat untuk meraih kemenangan. Dapatkan informasi lengkap mengenai jadwal pertandingan dan hasil pertandingan terbaru hanya di Vidio.</t>
  </si>
  <si>
    <t>Mallorca: Samu, Muriqi
Barcelona: Yamal, Lewandowski</t>
  </si>
  <si>
    <t>F1</t>
  </si>
  <si>
    <t>https://drive.google.com/file/d/1xHUD0KFD0XpaveJs8dt3dMZ7AQnE8OuK/view?usp=sharing</t>
  </si>
  <si>
    <t>https://drive.google.com/file/d/1lOok-K6GDAx0I7J8ASI4n9SeW3kE632x/view?usp=drive_link</t>
  </si>
  <si>
    <t>https://drive.google.com/file/d/1fJSccehTJygOPoiBVwrSs8AvwZaTGiSu/view?usp=sharing</t>
  </si>
  <si>
    <t>0ae364dc</t>
  </si>
  <si>
    <t>Valencia vs Real Sociedad - LaLiga</t>
  </si>
  <si>
    <t>https://www.vidio.com/live/6299-bein-1?schedule_id=4499131</t>
  </si>
  <si>
    <t>https://drive.google.com/drive/folders/1GWX8_yFzfoAmtEG9DH8GwSMephjALDVn?usp=drive_link</t>
  </si>
  <si>
    <t>Valencia</t>
  </si>
  <si>
    <t>Real Sociedad de Fútbol</t>
  </si>
  <si>
    <t>valencia cf; Real Sociedad de Fútbol; sports stream</t>
  </si>
  <si>
    <t>Nonton streaming pertandingan seru Valencia vs Real Sociedad - LaLiga. Saksikan aksi-aksi terbaik dari tim yang bersaing ketat untuk meraih kemenangan. Dapatkan informasi lengkap mengenai jadwal pertandingan dan hasil pertandingan terbaru hanya di Vidio.</t>
  </si>
  <si>
    <t>Valencia:  Guerra, Pepelu
Sociedad: Kubo, Oyarzabal</t>
  </si>
  <si>
    <t>https://drive.google.com/file/d/11-BAQ1jRiNaNMTQKZS_fXNXCv05aIg5H/view?usp=sharing</t>
  </si>
  <si>
    <t>https://drive.google.com/file/d/1-tCQIXlir_YMGArq1pDyibyS2QH1kOVQ/view?usp=drive_link</t>
  </si>
  <si>
    <t>https://drive.google.com/file/d/1jmuX0sVEWRojPU-387xcLbNaALO9e94i/view?usp=sharing</t>
  </si>
  <si>
    <t>60f74bac</t>
  </si>
  <si>
    <t>Celta Vigo vs Getafe - LaLiga</t>
  </si>
  <si>
    <t>https://www.vidio.com/live/6299-bein-1?schedule_id=4499135</t>
  </si>
  <si>
    <t>https://drive.google.com/drive/folders/1967G-yoXL0Nd5utSHZoQnGK1p8MXmtGA?usp=drive_link</t>
  </si>
  <si>
    <t>Celta Vigo</t>
  </si>
  <si>
    <t>Getafe</t>
  </si>
  <si>
    <t>real club celta de vigo; getafe cf; sports stream</t>
  </si>
  <si>
    <t>Nonton streaming pertandingan seru Celta Vigo vs Getafe - LaLiga. Saksikan aksi-aksi terbaik dari tim yang bersaing ketat untuk meraih kemenangan. Dapatkan informasi lengkap mengenai jadwal pertandingan dan hasil pertandingan terbaru hanya di Vidio.</t>
  </si>
  <si>
    <t>https://drive.google.com/file/d/11f0_HKhXarnwcRuWogtxvRUdaPOkYvbQ/view?usp=sharing</t>
  </si>
  <si>
    <t>https://drive.google.com/file/d/1z96ZJ8NAW3Oh0ft7cAKVlFvngdP6Eh8J/view?usp=drive_link</t>
  </si>
  <si>
    <t>30ade17e</t>
  </si>
  <si>
    <t>Athletic Club vs Sevilla - LaLiga</t>
  </si>
  <si>
    <t>https://www.vidio.com/live/6299-bein-1?schedule_id=4499136</t>
  </si>
  <si>
    <t>https://drive.google.com/drive/folders/1TTt1mWk1tAWoNkR1a6K5gRoLercMHwUK?usp=drive_link</t>
  </si>
  <si>
    <t>Athletic Bilbao</t>
  </si>
  <si>
    <t>Sevilla</t>
  </si>
  <si>
    <t>athletic club bilbao; sevilla fc; sports stream</t>
  </si>
  <si>
    <t>Nonton streaming pertandingan seru Athletic Club vs Sevilla - LaLiga. Saksikan aksi-aksi terbaik dari tim yang bersaing ketat untuk meraih kemenangan. Dapatkan informasi lengkap mengenai jadwal pertandingan dan hasil pertandingan terbaru hanya di Vidio.</t>
  </si>
  <si>
    <t>Athletic Club: Nico Williams, Sancet
Sevilla: Dodi Luke, Jose Angel</t>
  </si>
  <si>
    <t>E5</t>
  </si>
  <si>
    <t>https://drive.google.com/file/d/1zDlOGcD86B1uL9nN6fl-EZb-1O5-uClM/view?usp=sharing</t>
  </si>
  <si>
    <t>https://drive.google.com/file/d/1Abf6cOJj3fm_ZBpk26zIug0A_RJk5Hgw/view?usp=drive_link</t>
  </si>
  <si>
    <t>https://drive.google.com/file/d/1UKG05xvCjcO_KnYVoR7v7c4sf67jGCuo/view?usp=sharing</t>
  </si>
  <si>
    <t>edb4bc0b</t>
  </si>
  <si>
    <t>Espanyol vs Atletico Madrid - LaLiga</t>
  </si>
  <si>
    <t>https://www.vidio.com/live/6299-bein-1?schedule_id=4499137</t>
  </si>
  <si>
    <t>https://drive.google.com/drive/folders/1hC3juAiF9EFHlcS5UztRCul2jEi-F3c-?usp=drive_link</t>
  </si>
  <si>
    <t>Espanyol</t>
  </si>
  <si>
    <t>Atletico Madrid</t>
  </si>
  <si>
    <t>Reial Club Deportiu Espanyol; Club Atlético de Madrid; sports stream</t>
  </si>
  <si>
    <t>Nonton streaming pertandingan seru Espanyol vs Atletico Madrid - LaLiga. Saksikan aksi-aksi terbaik dari tim yang bersaing ketat untuk meraih kemenangan. Dapatkan informasi lengkap mengenai jadwal pertandingan dan hasil pertandingan terbaru hanya di Vidio.</t>
  </si>
  <si>
    <t>Espanyol: Javi Puado, Omar
Atletico: Griezmann, Alvarez</t>
  </si>
  <si>
    <t>https://drive.google.com/file/d/1nop06yZaIH7i221qN67ipe6_YYUSVFNN/view?usp=sharing</t>
  </si>
  <si>
    <t>https://drive.google.com/file/d/1qMFO39E9PVcNJXCHwXo2GeK_lAq9komu/view?usp=drive_link</t>
  </si>
  <si>
    <t>https://drive.google.com/file/d/1wldI_j_raLTwV1TkUzt2mDF_FxJT2Fil/view?usp=sharing</t>
  </si>
  <si>
    <t>3a98ad9c</t>
  </si>
  <si>
    <t>Elche vs Real Betis - LaLiga</t>
  </si>
  <si>
    <t>https://www.vidio.com/live/6299-bein-1?schedule_id=4499140</t>
  </si>
  <si>
    <t>https://drive.google.com/drive/folders/1CVKWtKtmbBE61tgsYcWeNI-X-3yGZAc_?usp=drive_link</t>
  </si>
  <si>
    <t>Elche</t>
  </si>
  <si>
    <t>Real Betis Balompié</t>
  </si>
  <si>
    <t>elche cf; Real Betis Balompié; sports stream</t>
  </si>
  <si>
    <t>Nonton streaming pertandingan seru Elche vs Real Betis - LaLiga. Saksikan aksi-aksi terbaik dari tim yang bersaing ketat untuk meraih kemenangan. Dapatkan informasi lengkap mengenai jadwal pertandingan dan hasil pertandingan terbaru hanya di Vidio.</t>
  </si>
  <si>
    <t>Elche: Barzic, Affengrube
Real Betis: Isco, Lo Celso</t>
  </si>
  <si>
    <t>https://drive.google.com/file/d/1sePssV_hBZ1h2ifA_M_OUjPsONyBqORF/view?usp=sharing</t>
  </si>
  <si>
    <t>https://drive.google.com/file/d/1jIcE1_wFgB9QzZcB4_LBaCEMGNPc4dzR/view?usp=drive_link</t>
  </si>
  <si>
    <t>https://drive.google.com/file/d/11KQn0sg-pYixbWqUdfQPcSkM4n24HjWS/view?usp=sharing</t>
  </si>
  <si>
    <t>5ead9111</t>
  </si>
  <si>
    <t>Real Madrid vs Osasuna - LaLiga</t>
  </si>
  <si>
    <t>https://www.vidio.com/live/6299-bein-1?schedule_id=4503852</t>
  </si>
  <si>
    <t>https://drive.google.com/drive/folders/1XGmiNN7VLnGel2ADcYpKsebjK1z5sc6Y?usp=drive_link</t>
  </si>
  <si>
    <t>Real Madrid CF</t>
  </si>
  <si>
    <t>Osasuna</t>
  </si>
  <si>
    <t>real madrid cf; ca osasuna; sports stream</t>
  </si>
  <si>
    <t>Nonton streaming pertandingan seru Real Madrid vs Osasuna - LaLiga. Saksikan aksi-aksi terbaik dari tim yang bersaing ketat untuk meraih kemenangan. Dapatkan informasi lengkap mengenai jadwal pertandingan dan hasil pertandingan terbaru hanya di Vidio.</t>
  </si>
  <si>
    <t>https://drive.google.com/file/d/1_VpTcbt9zjljp7skn85a35EwzAqYuIFf/view?usp=sharing</t>
  </si>
  <si>
    <t>https://drive.google.com/file/d/1BezuLQ3SrMZ_VSK9xNVVyGflQUWE_6zr/view?usp=drive_link</t>
  </si>
  <si>
    <t>https://drive.google.com/file/d/14-kCa4Olz0KZ9sv78C40guK-8EboSsVu/view?usp=sharing</t>
  </si>
  <si>
    <t>114cded6</t>
  </si>
  <si>
    <t>Real Betis vs Alaves - LaLiga</t>
  </si>
  <si>
    <t>https://www.vidio.com/live/6299-bein-1?schedule_id=4512790</t>
  </si>
  <si>
    <t>https://drive.google.com/drive/folders/11sR2YqpDZ3WzLf7FDC0vqtDwA-ROB9Kc?usp=drive_link</t>
  </si>
  <si>
    <t>https://drive.google.com/drive/folders/1Pm5Jgmxh-aKl9hR8HYKc-wSUtGQ6816G?usp=drive_link</t>
  </si>
  <si>
    <t>Real Betis Balompié; deportivo alaves; sports stream</t>
  </si>
  <si>
    <t>Nonton streaming pertandingan seru Real Betis vs Alaves - LaLiga. Saksikan aksi-aksi terbaik dari tim yang bersaing ketat untuk meraih kemenangan. Dapatkan informasi lengkap mengenai jadwal pertandingan dan hasil pertandingan terbaru hanya di Vidio.</t>
  </si>
  <si>
    <t>BETIS: LO CELSO, BELLERIN (JANGAN PAKAI ISCO LAGI CEDERA)
ALAVES: MARIANO DIAZ, VILLALIBRE</t>
  </si>
  <si>
    <t>https://drive.google.com/file/d/1DHSktYIJ7VH5oZuSlGoI8urc5BgFRorJ/view?usp=sharing</t>
  </si>
  <si>
    <t>https://drive.google.com/file/d/1MQdAnMslS4w8koeH2OjhcNZ7MBOkIK_W/view?usp=drive_link</t>
  </si>
  <si>
    <t>https://drive.google.com/file/d/14uvqnVsQVkjBfsfM_eRZ61BzaxrWwiJY/view?usp=sharing</t>
  </si>
  <si>
    <t>23b0af6f</t>
  </si>
  <si>
    <t>Mallorca vs Celta Vigo - LaLiga</t>
  </si>
  <si>
    <t>https://www.vidio.com/live/6299-bein-1?schedule_id=4512827</t>
  </si>
  <si>
    <t>https://drive.google.com/drive/folders/1af2I59xarThn5efeJ9Xj_SeKIkA0EZKo?usp=drive_link</t>
  </si>
  <si>
    <t>real club deportivo mallorca; real club celta de vigo; sports stream</t>
  </si>
  <si>
    <t>Nonton streaming pertandingan seru Mallorca vs Celta Vigo - LaLiga. Saksikan aksi-aksi terbaik dari tim yang bersaing ketat untuk meraih kemenangan. Dapatkan informasi lengkap mengenai jadwal pertandingan dan hasil pertandingan terbaru hanya di Vidio.</t>
  </si>
  <si>
    <t>https://drive.google.com/file/d/19Lvq5u1knV5QOCiUVOiuWV5Qj7hioASq/view?usp=sharing</t>
  </si>
  <si>
    <t>https://drive.google.com/file/d/1OMEEqHHOIezwGyb4L7NqIG7M7dzshmpw/view?usp=sharing</t>
  </si>
  <si>
    <t>61e5e40b</t>
  </si>
  <si>
    <t>Atletico Madrid vs Elche - LaLiga</t>
  </si>
  <si>
    <t>https://www.vidio.com/live/6299-bein-1?schedule_id=4512867</t>
  </si>
  <si>
    <t>https://drive.google.com/drive/folders/1AG2CIK1yBp3RWjsUVESRxBucv4b_ckYH?usp=drive_link</t>
  </si>
  <si>
    <t>Club Atlético de Madrid; elche cf; sports stream</t>
  </si>
  <si>
    <t>Nonton streaming pertandingan seru Atletico Madrid vs Elche - LaLiga. Saksikan aksi-aksi terbaik dari tim yang bersaing ketat untuk meraih kemenangan. Dapatkan informasi lengkap mengenai jadwal pertandingan dan hasil pertandingan terbaru hanya di Vidio.</t>
  </si>
  <si>
    <t>ATLETICO: GALLAGHER, ALVAREZ
ELCHE: MARC, AFFENGRUBER</t>
  </si>
  <si>
    <t>https://drive.google.com/file/d/1yTdSsNo-xYodnudZMFkeCDIVmURJD3rM/view?usp=sharing</t>
  </si>
  <si>
    <t>https://drive.google.com/file/d/1DIdhKICT5tdo-6zX81Hmw7sUyhlgwivB/view?usp=sharing</t>
  </si>
  <si>
    <t>https://drive.google.com/file/d/1ByFfxGFOHl4CLQjFj3uWFRouixiwpcgK/view?usp=sharing</t>
  </si>
  <si>
    <t>cfb32245</t>
  </si>
  <si>
    <t>Levante vs Barcelona - LaLiga</t>
  </si>
  <si>
    <t>https://www.vidio.com/live/6299-bein-1?schedule_id=4512873</t>
  </si>
  <si>
    <t>https://drive.google.com/drive/folders/1o4lKa_54-DQzC8EKte4WvxPV8x3wx6Q4?usp=drive_link</t>
  </si>
  <si>
    <t>levante UD; fc barcelona; sports stream</t>
  </si>
  <si>
    <t>Nonton streaming pertandingan seru Levante vs Barcelona - LaLiga. Saksikan aksi-aksi terbaik dari tim yang bersaing ketat untuk meraih kemenangan. Dapatkan informasi lengkap mengenai jadwal pertandingan dan hasil pertandingan terbaru hanya di Vidio.</t>
  </si>
  <si>
    <t>LEVANTE: CARLOS ALVAREZ, CARLOS ESPI
BARCELONA: RAPHINHA, DE JONG</t>
  </si>
  <si>
    <t>https://drive.google.com/file/d/1p4sNdoBGM99meTmaKealAM-rJMDQyAc4/view?usp=sharing</t>
  </si>
  <si>
    <t>https://drive.google.com/file/d/10adErJMhuKXfEF0oYmjH0ZYex_0Sinys/view?usp=sharing</t>
  </si>
  <si>
    <t>https://drive.google.com/file/d/1ba7gwXvcfnLe6XRNuUNa0Sg3eCfLUZak/view?usp=sharing</t>
  </si>
  <si>
    <t>62a927cc</t>
  </si>
  <si>
    <t>Osasuna vs Valencia - LaLiga</t>
  </si>
  <si>
    <t>https://www.vidio.com/live/6299-bein-1?schedule_id=4514012</t>
  </si>
  <si>
    <t>https://drive.google.com/drive/folders/1BuXen-zFqh07WkOkYn_yOSZnLlTfn-2t?usp=drive_link</t>
  </si>
  <si>
    <t>ca osasuna; valencia cf; sports stream</t>
  </si>
  <si>
    <t>Nonton streaming pertandingan seru Osasuna vs Valencia - LaLiga. Saksikan aksi-aksi terbaik dari tim yang bersaing ketat untuk meraih kemenangan. Dapatkan informasi lengkap mengenai jadwal pertandingan dan hasil pertandingan terbaru hanya di Vidio.</t>
  </si>
  <si>
    <t>OSASUNA: MONCAYOLA, AIMAR OROZ
VALENCIA: GUERRA, PEPELU</t>
  </si>
  <si>
    <t>https://drive.google.com/file/d/14zF1kV6DMkL-kP2YuKAe_g318f31J13w/view?usp=sharing</t>
  </si>
  <si>
    <t>https://drive.google.com/file/d/1N4OrM0nUD0I9T1ParCr7IzXSnQ9jd7FH/view?usp=sharing</t>
  </si>
  <si>
    <t>https://drive.google.com/file/d/13uUJnPboo4CXiHpqaZKzNiPIpgyb_Toz/view?usp=sharing</t>
  </si>
  <si>
    <t>e1e0e442</t>
  </si>
  <si>
    <t>Real Sociedad vs Espanyol - LaLiga</t>
  </si>
  <si>
    <t>https://www.vidio.com/live/6299-bein-1?schedule_id=4514038</t>
  </si>
  <si>
    <t>https://drive.google.com/drive/folders/1aX3asrmELhjlLuRdhVpLmpF_a-3cYpX8?usp=drive_link</t>
  </si>
  <si>
    <t>Real Sociedad de Fútbol; Reial Club Deportiu Espanyol; sports stream</t>
  </si>
  <si>
    <t>Nonton streaming pertandingan seru Real Sociedad vs Espanyol - LaLiga. Saksikan aksi-aksi terbaik dari tim yang bersaing ketat untuk meraih kemenangan. Dapatkan informasi lengkap mengenai jadwal pertandingan dan hasil pertandingan terbaru hanya di Vidio.</t>
  </si>
  <si>
    <t>SOCIEDAD: KUBO, BRAIS MENDEZ
ESPANYOL: PUADO, LOZANO</t>
  </si>
  <si>
    <t>https://drive.google.com/file/d/1EH56w8E8ygNUhlV7e5rFgh-CDw5JJH-s/view?usp=sharing</t>
  </si>
  <si>
    <t>https://drive.google.com/file/d/1DTJEMq2kTg7t4h0SNYrIr5347imrbtkc/view?usp=drive_link</t>
  </si>
  <si>
    <t>https://drive.google.com/file/d/1Zpi6vDghdJduJM6T7wz2kk37YZ4wUgnd/view?usp=sharing</t>
  </si>
  <si>
    <t>8ecc4c46</t>
  </si>
  <si>
    <t>Villarreal vs Girona - LaLiga</t>
  </si>
  <si>
    <t>https://www.vidio.com/live/6317-bein-3?schedule_id=4514039</t>
  </si>
  <si>
    <t>https://drive.google.com/drive/folders/1x_ps1cCr_Yu4yF1Y2sCUqA8E5FBEhlZM?usp=drive_link</t>
  </si>
  <si>
    <t>villarreal cf; girona fc; sports stream</t>
  </si>
  <si>
    <t>Nonton streaming pertandingan seru Villarreal vs Girona - LaLiga. Saksikan aksi-aksi terbaik dari tim yang bersaing ketat untuk meraih kemenangan. Dapatkan informasi lengkap mengenai jadwal pertandingan dan hasil pertandingan terbaru hanya di Vidio.</t>
  </si>
  <si>
    <t>VILLARREAL: PINO, MOLEIRO
GIRONA: LEMAR, BLIND</t>
  </si>
  <si>
    <t>https://drive.google.com/file/d/1wHDBpEnt7hc3iKx4UQPhEDfjxus3tvMv/view?usp=sharing</t>
  </si>
  <si>
    <t>https://drive.google.com/file/d/1DB23yeFS9WuyuOXNwCg6Tzfj01_4nqRV/view?usp=drive_link</t>
  </si>
  <si>
    <t>https://drive.google.com/file/d/1UsPJPsyFgfTvL29scMgeB5X55mVVDqtW/view?usp=sharing</t>
  </si>
  <si>
    <t>9563e4f0</t>
  </si>
  <si>
    <t>Oviedo vs Real Madrid - LaLiga</t>
  </si>
  <si>
    <t>https://www.vidio.com/live/6299-bein-1?schedule_id=4514041</t>
  </si>
  <si>
    <t>https://drive.google.com/drive/folders/17PCu5kPNlZJusVPz4W_gwhqO5M2j9zjT?usp=drive_link</t>
  </si>
  <si>
    <t>Real Oviedo; real madrid cf; sports stream</t>
  </si>
  <si>
    <t>Nonton streaming pertandingan seru Oviedo vs Real Madrid - LaLiga. Saksikan aksi-aksi terbaik dari tim yang bersaing ketat untuk meraih kemenangan. Dapatkan informasi lengkap mengenai jadwal pertandingan dan hasil pertandingan terbaru hanya di Vidio.</t>
  </si>
  <si>
    <t>OVIEDO: RONDON, CHAIRA
MADRID: BELLINGHAM, TRENT</t>
  </si>
  <si>
    <t>https://drive.google.com/file/d/1hvjgC_oqnoE5GZPw3RClcDIHdNw9V790/view?usp=sharing</t>
  </si>
  <si>
    <t>https://drive.google.com/file/d/1nH9GpfBogawUX4S-ktbWgHFwNIKudUVD/view?usp=drive_link</t>
  </si>
  <si>
    <t>https://drive.google.com/file/d/1FLEV9rVgLjFrR8Rz5XnANaZOZ6aFeRqq/view?usp=sharing</t>
  </si>
  <si>
    <t>7d7c56be</t>
  </si>
  <si>
    <t>Athletic Club vs Rayo Vallecano - LaLiga</t>
  </si>
  <si>
    <t>https://www.vidio.com/live/6299-bein-1?schedule_id=4520817</t>
  </si>
  <si>
    <t>https://drive.google.com/drive/folders/1gW6PqK4xgnfEYjEazL37DoPKL9LPjGxH?usp=drive_link</t>
  </si>
  <si>
    <t>athletic club bilbao; rayo vallecano; sports stream</t>
  </si>
  <si>
    <t>Nonton streaming pertandingan seru Athletic Club vs Rayo Vallecano - LaLiga. Saksikan aksi-aksi terbaik dari tim yang bersaing ketat untuk meraih kemenangan. Dapatkan informasi lengkap mengenai jadwal pertandingan dan hasil pertandingan terbaru hanya di Vidio.</t>
  </si>
  <si>
    <t>ATHLETIC: NICO WILLIAMS, INAKI WILLIAMS (JANGAN SANCET CEDERA)
RAYO: BALLIU, UNAI LOPEZ</t>
  </si>
  <si>
    <t>https://drive.google.com/file/d/1pGVgVr6P2kSlZ5Kd3pHiXLdeK5F8UOvM/view?usp=sharing</t>
  </si>
  <si>
    <t>https://drive.google.com/file/d/1smAnO33Qf0sHGeix4jHM69GxkwwHVGY6/view?usp=drive_link</t>
  </si>
  <si>
    <t>https://drive.google.com/file/d/1VRZypW6cAwhhtpbT9A3RUeZ_P2h015-k/view?usp=sharing</t>
  </si>
  <si>
    <t>eb4b2c39</t>
  </si>
  <si>
    <t>Sevilla vs Getafe - LaLiga</t>
  </si>
  <si>
    <t>https://www.vidio.com/live/6299-bein-1?schedule_id=4520835</t>
  </si>
  <si>
    <t>https://drive.google.com/drive/folders/18Qmt263mvABXC5HHiDKX3AgCilltGVPi?usp=drive_link</t>
  </si>
  <si>
    <t>sevilla fc; getafe cf; sports stream</t>
  </si>
  <si>
    <t>Nonton streaming pertandingan seru Sevilla vs Getafe - LaLiga. Saksikan aksi-aksi terbaik dari tim yang bersaing ketat untuk meraih kemenangan. Dapatkan informasi lengkap mengenai jadwal pertandingan dan hasil pertandingan terbaru hanya di Vidio.</t>
  </si>
  <si>
    <t>https://drive.google.com/file/d/1llj0Ghy88maG5a6kzdJYMkTzP3Su_nC4/view?usp=sharing</t>
  </si>
  <si>
    <t>https://drive.google.com/file/d/14SUYgba0_cpJot_gyfC4vTJnGUSA73Wx/view?usp=sharing</t>
  </si>
  <si>
    <t>a74686d5</t>
  </si>
  <si>
    <t>Celta Vigo vs Real Betis - LaLiga</t>
  </si>
  <si>
    <t>https://www.vidio.com/live/6299-bein-1?schedule_id=4527686</t>
  </si>
  <si>
    <t>https://drive.google.com/drive/folders/1bUssvdHr_p7vCHm_Xp11ac7O0AFTdjau?usp=drive_link</t>
  </si>
  <si>
    <t>https://drive.google.com/drive/folders/1vvJz14Jl4gIdV_iCTT5E3kf9dGSkmgZL?usp=drive_link</t>
  </si>
  <si>
    <t>real club celta de vigo; Real Betis Balompié; sports stream</t>
  </si>
  <si>
    <t>Nonton streaming pertandingan seru Celta Vigo vs Real Betis - LaLiga. Saksikan aksi-aksi terbaik dari tim yang bersaing ketat untuk meraih kemenangan. Dapatkan informasi lengkap mengenai jadwal pertandingan dan hasil pertandingan terbaru hanya di Vidio.</t>
  </si>
  <si>
    <t>CELTA: MINGUEZA, ASPAS
BETIS: BELLERIN, BARTRA</t>
  </si>
  <si>
    <t>https://drive.google.com/file/d/1670JHV55mIAQopbk1md_4gemwXltSnFe/view?usp=sharing</t>
  </si>
  <si>
    <t>https://drive.google.com/file/d/1CsUsswOwrOi6VqMrlQuGR1nJ5cA63t6H/view?usp=drive_link</t>
  </si>
  <si>
    <t>https://drive.google.com/file/d/1YFjaEHqh0AknyrTKqdqiX69N86g4_HKh/view?usp=sharing</t>
  </si>
  <si>
    <t>eec8f989</t>
  </si>
  <si>
    <t>Elche vs Levante - LaLiga</t>
  </si>
  <si>
    <t>https://www.vidio.com/live/6317-bein-3?schedule_id=4525631</t>
  </si>
  <si>
    <t>https://drive.google.com/drive/folders/1vq4yjVO4wGC2EUh6pQloWS1gxkXkTh3Q?usp=drive_link</t>
  </si>
  <si>
    <t>https://drive.google.com/drive/folders/1jTpCxrE8bgpjQYW1oUGksG0BEWGOqt2M?usp=drive_link</t>
  </si>
  <si>
    <t>elche cf; levante UD; sports stream</t>
  </si>
  <si>
    <t>Nonton streaming pertandingan seru Elche vs Levante - LaLiga. Saksikan aksi-aksi terbaik dari tim yang bersaing ketat untuk meraih kemenangan. Dapatkan informasi lengkap mengenai jadwal pertandingan dan hasil pertandingan terbaru hanya di Vidio.</t>
  </si>
  <si>
    <t>https://drive.google.com/file/d/1_XR-YSsWxdTIFxpnTkU6tuQ03PNjn6zF/view?usp=sharing</t>
  </si>
  <si>
    <t>https://drive.google.com/file/d/1y-Ksr6U4MgoS-RUUfevZkB2UybbiSHQY/view?usp=sharing</t>
  </si>
  <si>
    <t>8e13a7c5</t>
  </si>
  <si>
    <t>Valencia vs Getafe - LaLiga</t>
  </si>
  <si>
    <t>VIDIO - @beinsportsindonesia</t>
  </si>
  <si>
    <t>https://www.vidio.com/live/17323-laliga?schedule_id=4527595</t>
  </si>
  <si>
    <t>https://drive.google.com/drive/folders/1-l7TMByftrPJUIF4VRNtXvTuxRcOk3lH?usp=drive_link</t>
  </si>
  <si>
    <t>valencia cf; getafe cf; sports stream</t>
  </si>
  <si>
    <t>Nonton streaming pertandingan seru Valencia vs Getafe - LaLiga. Saksikan aksi-aksi terbaik dari tim yang bersaing ketat untuk meraih kemenangan. Dapatkan informasi lengkap mengenai jadwal pertandingan dan hasil pertandingan terbaru hanya di Vidio.</t>
  </si>
  <si>
    <t>VALENCIA: GUERRA, PEPELU
GETAFE: ADRIAN LISO, RAMON SANCHEZ</t>
  </si>
  <si>
    <t>https://drive.google.com/file/d/1VxMpB6YtR9laCtzvbKVkWDCAd7A7f4Xg/view?usp=sharing</t>
  </si>
  <si>
    <t>https://drive.google.com/file/d/1SOvTPqe_387EVer-JshIN7xL4HgMp24w/view?usp=sharing</t>
  </si>
  <si>
    <t>https://drive.google.com/file/d/1j6C7c-KUl1rCxIdizz7f4q1GIZvA2vIp/view?usp=sharing</t>
  </si>
  <si>
    <t>4b36f238</t>
  </si>
  <si>
    <t>Alaves vs Atletico Madrid - LaLiga</t>
  </si>
  <si>
    <t>https://www.vidio.com/live/6317-bein-3?schedule_id=4527527</t>
  </si>
  <si>
    <t>https://drive.google.com/drive/folders/1fv4qIPrR5JEoKYVgoaUkNCEIASTYGAHl?usp=drive_link</t>
  </si>
  <si>
    <t>deportivo alaves; Club Atlético de Madrid; sports stream</t>
  </si>
  <si>
    <t>Nonton streaming pertandingan seru Alaves vs Atletico Madrid - LaLiga. Saksikan aksi-aksi terbaik dari tim yang bersaing ketat untuk meraih kemenangan. Dapatkan informasi lengkap mengenai jadwal pertandingan dan hasil pertandingan terbaru hanya di Vidio.</t>
  </si>
  <si>
    <t>ALAVES: Villalibre, Mariano Diaz
ATLETICO: Sorloth, Griezmann</t>
  </si>
  <si>
    <t>https://drive.google.com/file/d/1lKGHrt6txsSvpL5PElBk_ZxrYVzsqA5U/view?usp=sharing</t>
  </si>
  <si>
    <t>https://drive.google.com/file/d/1HknncB0gSdlM7kvtQ2sBCXr-r3jm9yTc/view?usp=drive_link</t>
  </si>
  <si>
    <t>https://drive.google.com/file/d/1O3CvBU6MSOIbRNIz8zgAlKbNK3wqtTDV/view?usp=sharing</t>
  </si>
  <si>
    <t>bab6cc56</t>
  </si>
  <si>
    <t>Oviedo vs Real Sociedad - LaLiga</t>
  </si>
  <si>
    <t>https://www.vidio.com/live/6317-bein-3?schedule_id=4527530</t>
  </si>
  <si>
    <t>https://drive.google.com/drive/folders/1JTix2-Ts5K0KBgXLgVGJwMdbFvTrm6ox?usp=drive_link</t>
  </si>
  <si>
    <t>Real Oviedo; Real Sociedad de Fútbol; sports stream</t>
  </si>
  <si>
    <t>Nonton streaming pertandingan seru Oviedo vs Real Sociedad - LaLiga. Saksikan aksi-aksi terbaik dari tim yang bersaing ketat untuk meraih kemenangan. Dapatkan informasi lengkap mengenai jadwal pertandingan dan hasil pertandingan terbaru hanya di Vidio.</t>
  </si>
  <si>
    <t>OVIEDO: RONDON, ILIC
SOCIEDAD: KUBO, JON MARTIN</t>
  </si>
  <si>
    <t>https://drive.google.com/file/d/1KtOotgeQv8ZZkujt0Fra4CsNVfkFNwQL/view?usp=sharing</t>
  </si>
  <si>
    <t>https://drive.google.com/file/d/10KjztreDPoCcYT8iQcpKAEqFP2n5r-Ka/view?usp=drive_link</t>
  </si>
  <si>
    <t>https://drive.google.com/file/d/1rJkFrxmumWRA5pkSHEikBJVYnrqimlfr/view?usp=sharing</t>
  </si>
  <si>
    <t>03b181e4</t>
  </si>
  <si>
    <t>Girona vs Sevilla - LaLiga</t>
  </si>
  <si>
    <t>https://www.vidio.com/live/17323-laliga?schedule_id=4527598</t>
  </si>
  <si>
    <t>https://drive.google.com/drive/folders/1X1BIO85eFZRnHdE84X38OTeIVaNQkJMd?usp=drive_link</t>
  </si>
  <si>
    <t>girona fc; sevilla fc; sports stream</t>
  </si>
  <si>
    <t>Nonton streaming pertandingan seru Girona vs Sevilla - LaLiga. Saksikan aksi-aksi terbaik dari tim yang bersaing ketat untuk meraih kemenangan. Dapatkan informasi lengkap mengenai jadwal pertandingan dan hasil pertandingan terbaru hanya di Vidio.</t>
  </si>
  <si>
    <t>GIRONA: TSYHANKOV, LEMAR
SEVILLA: DODI LUKE, JOSE ANGEL</t>
  </si>
  <si>
    <t>https://drive.google.com/file/d/1NgIT91V3v45B4cU_98yJpcY58RUY80jq/view?usp=sharing</t>
  </si>
  <si>
    <t>https://drive.google.com/file/d/1-MUkt0mP4cebHqxA-SH-_fkDE3GUUmDN/view?usp=drive_link</t>
  </si>
  <si>
    <t>https://drive.google.com/file/d/1UqkKZGq57JdK_4iyfoc0ze1Msenrl4Uz/view?usp=sharing</t>
  </si>
  <si>
    <t>f59c62e3</t>
  </si>
  <si>
    <t>Real Madrid vs Mallorca - LaLiga</t>
  </si>
  <si>
    <t>https://www.vidio.com/live/17324-laliga?schedule_id=4527601</t>
  </si>
  <si>
    <t>https://drive.google.com/drive/folders/10nidIR7F_zusl1NsC81mJtENC0yCMcmX?usp=drive_link</t>
  </si>
  <si>
    <t>real madrid cf; real club deportivo mallorca; sports stream</t>
  </si>
  <si>
    <t>Nonton streaming pertandingan seru Real Madrid vs Mallorca - LaLiga. Saksikan aksi-aksi terbaik dari tim yang bersaing ketat untuk meraih kemenangan. Dapatkan informasi lengkap mengenai jadwal pertandingan dan hasil pertandingan terbaru hanya di Vidio.</t>
  </si>
  <si>
    <t>MADRID: DEAN HUIJSEN, VINI
MALLORCA: ASANO, RAILLI</t>
  </si>
  <si>
    <t>https://drive.google.com/file/d/16rOHjPI4mGXHl6atvoO_MfYrMJjzR02I/view?usp=sharing</t>
  </si>
  <si>
    <t>https://drive.google.com/file/d/1RNp9_3l7IvXWjwke9ato9E5yrW5xgv8o/view?usp=drive_link</t>
  </si>
  <si>
    <t>https://drive.google.com/file/d/1oCqhBLe4R91RG86wbse8zNWeqHFuriT9/view?usp=sharing</t>
  </si>
  <si>
    <t>edf4be80</t>
  </si>
  <si>
    <t>Celta Vigo vs Villarreal - LaLiga</t>
  </si>
  <si>
    <t>https://www.vidio.com/live/6317-bein-3?schedule_id=4527535</t>
  </si>
  <si>
    <t>https://drive.google.com/drive/folders/1cG97doEJ6Q9vd3Ms2XRjEYILgSUAmFF4?usp=drive_link</t>
  </si>
  <si>
    <t>real club celta de vigo; villarreal cf; sports stream</t>
  </si>
  <si>
    <t>Nonton streaming pertandingan seru Celta Vigo vs Villarreal - LaLiga. Saksikan aksi-aksi terbaik dari tim yang bersaing ketat untuk meraih kemenangan. Dapatkan informasi lengkap mengenai jadwal pertandingan dan hasil pertandingan terbaru hanya di Vidio.</t>
  </si>
  <si>
    <t>CELTA VIGO: MARCOS ALONSO, MINGUEZA
VILLARREAL: PEPE,PINO</t>
  </si>
  <si>
    <t>https://drive.google.com/file/d/1tNTYu_iAjqUHAoOxKWRZwG8h2hRpnD4t/view?usp=sharing</t>
  </si>
  <si>
    <t>https://drive.google.com/file/d/1K4WAgsVqPeHsWwlpKuXTwMvGlQyStqoB/view?usp=drive_link</t>
  </si>
  <si>
    <t>https://drive.google.com/file/d/19Eeb_FzarK6D3F0ZyQwXiflRK3INpd0c/view?usp=sharing</t>
  </si>
  <si>
    <t>dded5649</t>
  </si>
  <si>
    <t>Real Betis vs Athletic Club - LaLiga</t>
  </si>
  <si>
    <t>https://www.vidio.com/live/17324-laliga?schedule_id=4527659</t>
  </si>
  <si>
    <t>https://drive.google.com/drive/folders/1HTJDvuoGP37w2cEIyO0f65x21lAFnSAg?usp=drive_link</t>
  </si>
  <si>
    <t>Real Betis Balompié; athletic club bilbao; sports stream</t>
  </si>
  <si>
    <t>Nonton streaming pertandingan seru Real Betis vs Athletic Club - LaLiga. Saksikan aksi-aksi terbaik dari tim yang bersaing ketat untuk meraih kemenangan. Dapatkan informasi lengkap mengenai jadwal pertandingan dan hasil pertandingan terbaru hanya di Vidio.</t>
  </si>
  <si>
    <t>BETIS: BARTRA, LO CELSO
BILBAO: NICO WILLIAMS, SANNADI</t>
  </si>
  <si>
    <t>https://drive.google.com/file/d/1KIovSSd7xmflSBhel_U1AsrRkWk56iyl/view?usp=sharing</t>
  </si>
  <si>
    <t>https://drive.google.com/file/d/1dEHjuBQZSyVd6c1E8hDf1VJUJntsUzJI/view?usp=drive_link</t>
  </si>
  <si>
    <t>https://drive.google.com/file/d/1_FmX8qqL8JPsRdT_Ryoh256fNEZ47TeD/view?usp=sharing</t>
  </si>
  <si>
    <t>b3503220</t>
  </si>
  <si>
    <t>Espanyol vs Osasuna - LaLiga</t>
  </si>
  <si>
    <t>https://www.vidio.com/live/6317-bein-3?schedule_id=4537169</t>
  </si>
  <si>
    <t>https://drive.google.com/drive/folders/1ZrE7icba5-LK7QkFFc-yxpXZDe9SYBGJ?usp=drive_link</t>
  </si>
  <si>
    <t>Reial Club Deportiu Espanyol; ca osasuna; sports stream</t>
  </si>
  <si>
    <t>Nonton streaming pertandingan seru Espanyol vs Osasuna - LaLiga. Saksikan aksi-aksi terbaik dari tim yang bersaing ketat untuk meraih kemenangan. Dapatkan informasi lengkap mengenai jadwal pertandingan dan hasil pertandingan terbaru hanya di Vidio.</t>
  </si>
  <si>
    <t>https://drive.google.com/file/d/1OBZl1H7JZFflgmzwD99InHqca06lmQc3/view?usp=sharing</t>
  </si>
  <si>
    <t>https://drive.google.com/file/d/1uZOMNOzYdpIKt98_NjvN2MPwu4_oyKQt/view?usp=sharing</t>
  </si>
  <si>
    <t>3d427ede</t>
  </si>
  <si>
    <t>Rayo Vallecano vs Barcelona - LaLiga</t>
  </si>
  <si>
    <t>https://www.vidio.com/live/17323-laliga?schedule_id=4527660</t>
  </si>
  <si>
    <t>https://drive.google.com/drive/folders/16X9DlDR_ndC0TFNMp4-fKx3yCpa8jlp9?usp=drive_link</t>
  </si>
  <si>
    <t>rayo vallecano; fc barcelona; sports stream</t>
  </si>
  <si>
    <t>Nonton streaming pertandingan seru Rayo Vallecano vs Barcelona - LaLiga. Saksikan aksi-aksi terbaik dari tim yang bersaing ketat untuk meraih kemenangan. Dapatkan informasi lengkap mengenai jadwal pertandingan dan hasil pertandingan terbaru hanya di Vidio.</t>
  </si>
  <si>
    <t>RAYO: RATIU, BALLIU
BARCELONA: RASHFORD, PEDRI</t>
  </si>
  <si>
    <t>SEO, SOSMED, PMAXX, IN-APP, PN</t>
  </si>
  <si>
    <t>https://drive.google.com/file/d/1C0QScxd4cKiFyem64ahnN-CnagzE4LWd/view?usp=sharing</t>
  </si>
  <si>
    <t>https://drive.google.com/file/d/1Q8YKSkFfjoJ6bED313RKTo0ddMmhXAkV/view?usp=sharing</t>
  </si>
  <si>
    <t>https://drive.google.com/file/d/1hVkbwPcUC9cwA6I61AX3YowHNgkDzqOg/view?usp=sharing</t>
  </si>
  <si>
    <t>4442f8fe</t>
  </si>
  <si>
    <t>Athletic Club vs Alaves - LaLiga</t>
  </si>
  <si>
    <t>https://www.vidio.com/live/6299-bein-1?schedule_id=4563084</t>
  </si>
  <si>
    <t>https://drive.google.com/drive/folders/16nEL90_QYvb0T0nAN0Kx93YPJYbL3bWo?usp=drive_link</t>
  </si>
  <si>
    <t>https://drive.google.com/drive/folders/1JwP4lJnLGyO-yaAeCCMSvIFrc0L0M03F?usp=drive_link</t>
  </si>
  <si>
    <t>athletic club bilbao; deportivo alaves; sports stream</t>
  </si>
  <si>
    <t>Nonton streaming pertandingan seru Athletic Club vs Alaves - LaLiga. Saksikan aksi-aksi terbaik dari tim yang bersaing ketat untuk meraih kemenangan. Dapatkan informasi lengkap mengenai jadwal pertandingan dan hasil pertandingan terbaru hanya di Vidio.</t>
  </si>
  <si>
    <t>ATH: Paredes, Inaki Williams
ALV: Blanco, Vicente</t>
  </si>
  <si>
    <t>https://drive.google.com/file/d/1_PfyLoesHprbKpWX6TS-5SISXnmHwiy6/view?usp=sharing</t>
  </si>
  <si>
    <t>https://drive.google.com/file/d/1C8td5YmKBKhgoW_fou841OplAWugFlZ6/view?usp=drive_link</t>
  </si>
  <si>
    <t>https://drive.google.com/file/d/1NTwa9wQ10DX2P8d9iloSfcfE5zfXDykE/view?usp=sharing</t>
  </si>
  <si>
    <t>2588a072</t>
  </si>
  <si>
    <t>Sevilla vs Elche - LaLiga</t>
  </si>
  <si>
    <t>https://www.vidio.com/live/6299-bein-1?schedule_id=4563079</t>
  </si>
  <si>
    <t>https://drive.google.com/drive/folders/1cc47CxbJTOLYm8ng6ZEvciQjh7Z79nTO?usp=drive_link</t>
  </si>
  <si>
    <t>sevilla fc; elche cf; sports stream</t>
  </si>
  <si>
    <t>Nonton streaming pertandingan seru Sevilla vs Elche - LaLiga. Saksikan aksi-aksi terbaik dari tim yang bersaing ketat untuk meraih kemenangan. Dapatkan informasi lengkap mengenai jadwal pertandingan dan hasil pertandingan terbaru hanya di Vidio.</t>
  </si>
  <si>
    <t>https://drive.google.com/file/d/16wdx6TXz4kLJXQZ4fl60_9Mm3No688A0/view?usp=sharing</t>
  </si>
  <si>
    <t>https://drive.google.com/file/d/1DOOxxqhHPV1u5uCW-RvMUWgktG2DijZZ/view?usp=sharing</t>
  </si>
  <si>
    <t>5271261a</t>
  </si>
  <si>
    <t>Getafe vs Oviedo - LaLiga</t>
  </si>
  <si>
    <t>https://www.vidio.com/live/6299-bein-1?schedule_id=4563080</t>
  </si>
  <si>
    <t>https://drive.google.com/drive/folders/1JYUxeFuCA_ysYN8Cm8MmSF4fdrcrTE5c?usp=drive_link</t>
  </si>
  <si>
    <t>getafe cf; Real Oviedo; sports stream</t>
  </si>
  <si>
    <t>Nonton streaming pertandingan seru Getafe vs Oviedo - LaLiga. Saksikan aksi-aksi terbaik dari tim yang bersaing ketat untuk meraih kemenangan. Dapatkan informasi lengkap mengenai jadwal pertandingan dan hasil pertandingan terbaru hanya di Vidio.</t>
  </si>
  <si>
    <t>https://drive.google.com/file/d/1HAc32cjYAFXHB3Tuv1hZmhYp0BHxwqGk/view?usp=sharing</t>
  </si>
  <si>
    <t>https://drive.google.com/file/d/1yobOiz7ePXJfvIYEIoaI9mhZaq7iQ94k/view?usp=drive_link</t>
  </si>
  <si>
    <t>45dda44c</t>
  </si>
  <si>
    <t>Levante vs Real Betis - LaLiga</t>
  </si>
  <si>
    <t>https://www.vidio.com/live/6299-bein-1?schedule_id=4563092</t>
  </si>
  <si>
    <t>https://drive.google.com/drive/folders/13M3MAqJPsXLw4clFiJiI0vJXqeMQxQhJ?usp=drive_link</t>
  </si>
  <si>
    <t>levante UD; Real Betis Balompié; sports stream</t>
  </si>
  <si>
    <t>Nonton streaming pertandingan seru Levante vs Real Betis - LaLiga. Saksikan aksi-aksi terbaik dari tim yang bersaing ketat untuk meraih kemenangan. Dapatkan informasi lengkap mengenai jadwal pertandingan dan hasil pertandingan terbaru hanya di Vidio.</t>
  </si>
  <si>
    <t>LUD: Ivan Romero, Carlos Alvarez
RBB: Antony, Firpo</t>
  </si>
  <si>
    <t>https://drive.google.com/file/d/1bTrqMT_cR48JZcVpjfgdkbbi2XC6XgoD/view?usp=sharing</t>
  </si>
  <si>
    <t>https://drive.google.com/file/d/18Zckh4k6rSN7t3H7Amn64TW-xsDrQSmv/view?usp=drive_link</t>
  </si>
  <si>
    <t>https://drive.google.com/file/d/1sq61VbSww0t_M0M3G5zvv9ZmSekXU8y3/view?usp=sharing</t>
  </si>
  <si>
    <t>74ca79ee</t>
  </si>
  <si>
    <t>Atletico Madrid vs Villarreal - LaLiga</t>
  </si>
  <si>
    <t>https://www.vidio.com/live/6299-bein-1?schedule_id=4563087</t>
  </si>
  <si>
    <t>https://drive.google.com/drive/folders/1SUtm_fKPcl3iZA4tQIp5aCArJA5TIv7H?usp=drive_link</t>
  </si>
  <si>
    <t>Club Atlético de Madrid; villarreal cf; sports stream</t>
  </si>
  <si>
    <t>Nonton streaming pertandingan seru Atletico Madrid vs Villarreal - LaLiga. Saksikan aksi-aksi terbaik dari tim yang bersaing ketat untuk meraih kemenangan. Dapatkan informasi lengkap mengenai jadwal pertandingan dan hasil pertandingan terbaru hanya di Vidio.</t>
  </si>
  <si>
    <t>ATM: Simeone, Alvarez
VIL: Pepe, Buchanan</t>
  </si>
  <si>
    <t>https://drive.google.com/file/d/1xRs3SaigcfVXd0FCCqhjDs9RLS3l6e2S/view?usp=sharing</t>
  </si>
  <si>
    <t>https://drive.google.com/file/d/1TWjt75QqT4xGGig2IIz-HM0OfZutN3m1/view?usp=drive_link</t>
  </si>
  <si>
    <t>https://drive.google.com/file/d/1xOeYpIDt8THUGKEpJ3A3RSx5wSNJAi7s/view?usp=sharing</t>
  </si>
  <si>
    <t>7fe0b110</t>
  </si>
  <si>
    <t>Real Sociedad vs Real Madrid - LaLiga</t>
  </si>
  <si>
    <t>https://www.vidio.com/live/6299-bein-1?schedule_id=4563083</t>
  </si>
  <si>
    <t>https://drive.google.com/drive/folders/1bSyQyCs7nQ9frus6x2oAMgfeAdC0pVzN?usp=drive_link</t>
  </si>
  <si>
    <t>Real Sociedad de Fútbol; real madrid cf; sports stream</t>
  </si>
  <si>
    <t>Nonton streaming pertandingan seru Real Sociedad vs Real Madrid - LaLiga. Saksikan aksi-aksi terbaik dari tim yang bersaing ketat untuk meraih kemenangan. Dapatkan informasi lengkap mengenai jadwal pertandingan dan hasil pertandingan terbaru hanya di Vidio.</t>
  </si>
  <si>
    <t>RSO:  Barrenetxea, Oyarzabal
RMA: Vinicius, Guler</t>
  </si>
  <si>
    <t>https://drive.google.com/file/d/15R-ESpWBNTLImmkF6mjjO1Mp7dkQ9ETK/view?usp=sharing</t>
  </si>
  <si>
    <t>https://drive.google.com/file/d/1kSIKG-4rP9lTOsI_scSzOPwsTzj2YdnP/view?usp=drive_link</t>
  </si>
  <si>
    <t>https://drive.google.com/file/d/1-URXaNrcWmjqPmHeeATkbLu1zYMKdGUa/view?usp=sharing</t>
  </si>
  <si>
    <t>40b65709</t>
  </si>
  <si>
    <t>Celta Vigo vs Girona - LaLiga</t>
  </si>
  <si>
    <t>https://www.vidio.com/live/6299-bein-1?schedule_id=4563089</t>
  </si>
  <si>
    <t>https://drive.google.com/drive/folders/1R1Ug8NpqrGTawBb8UgwQtD0B1Rg-Ra5Y?usp=drive_link</t>
  </si>
  <si>
    <t>real club celta de vigo; girona fc; sports stream</t>
  </si>
  <si>
    <t>Nonton streaming pertandingan seru Celta Vigo vs Girona - LaLiga. Saksikan aksi-aksi terbaik dari tim yang bersaing ketat untuk meraih kemenangan. Dapatkan informasi lengkap mengenai jadwal pertandingan dan hasil pertandingan terbaru hanya di Vidio.</t>
  </si>
  <si>
    <t>https://drive.google.com/file/d/1ZtbyHgJZ9zrzGaf1CLCl4GniwiQm4VrH/view?usp=sharing</t>
  </si>
  <si>
    <t>https://drive.google.com/file/d/1INkhoBc7srngij2M31cEyWZtSAx-ke2m/view?usp=drive_link</t>
  </si>
  <si>
    <t>3937f20d</t>
  </si>
  <si>
    <t>Osasuna vs Rayo Vallecano - LaLiga</t>
  </si>
  <si>
    <t>https://www.vidio.com/live/6299-bein-1?schedule_id=4563095</t>
  </si>
  <si>
    <t>https://drive.google.com/drive/folders/1irQyoYKW4dq5vkb7raOF7Fwu6tjwOMK0?usp=drive_link</t>
  </si>
  <si>
    <t>ca osasuna; rayo vallecano; sports stream</t>
  </si>
  <si>
    <t>Nonton streaming pertandingan seru Osasuna vs Rayo Vallecano - LaLiga. Saksikan aksi-aksi terbaik dari tim yang bersaing ketat untuk meraih kemenangan. Dapatkan informasi lengkap mengenai jadwal pertandingan dan hasil pertandingan terbaru hanya di Vidio.</t>
  </si>
  <si>
    <t>https://drive.google.com/file/d/1M1JscjtpkF38aNRVqxDN4lqAAB2bWUn1/view?usp=sharing</t>
  </si>
  <si>
    <t>https://drive.google.com/file/d/1teRtb5Fss7Ie5LTaEYICuq1IRnIoj4_z/view?usp=sharing</t>
  </si>
  <si>
    <t>f2ad2c04</t>
  </si>
  <si>
    <t>Espanyol vs Mallorca - LaLiga</t>
  </si>
  <si>
    <t>https://www.vidio.com/live/6299-bein-1?schedule_id=4569125</t>
  </si>
  <si>
    <t>https://drive.google.com/drive/folders/1JcWCl7DfjMzqlJ7RjmrtnHxQ1Owk1saL?usp=drive_link</t>
  </si>
  <si>
    <t>Reial Club Deportiu Espanyol; real club deportivo mallorca; sports stream</t>
  </si>
  <si>
    <t>Nonton streaming pertandingan seru Espanyol vs Mallorca - LaLiga. Saksikan aksi-aksi terbaik dari tim yang bersaing ketat untuk meraih kemenangan. Dapatkan informasi lengkap mengenai jadwal pertandingan dan hasil pertandingan terbaru hanya di Vidio.</t>
  </si>
  <si>
    <t>https://drive.google.com/file/d/1yfwEZbRS9JwRUQU9tAI9ye7tDfILCSoD/view?usp=sharing</t>
  </si>
  <si>
    <t>https://drive.google.com/file/d/1-STLI5LAiZndivgJA8vT3gP8xBuMjgVs/view?usp=sharing</t>
  </si>
  <si>
    <t>a45bfa9f</t>
  </si>
  <si>
    <t>Barcelona vs Valencia - LaLiga</t>
  </si>
  <si>
    <t>https://www.vidio.com/live/6299-bein-1?schedule_id=4568561</t>
  </si>
  <si>
    <t>https://drive.google.com/drive/folders/1CoXh0RGGynq1XPBqY1gIgMEQKMlua2mi?usp=drive_link</t>
  </si>
  <si>
    <t>fc barcelona; valencia cf; sports stream</t>
  </si>
  <si>
    <t>Nonton streaming pertandingan seru Barcelona vs Valencia - LaLiga. Saksikan aksi-aksi terbaik dari tim yang bersaing ketat untuk meraih kemenangan. Dapatkan informasi lengkap mengenai jadwal pertandingan dan hasil pertandingan terbaru hanya di Vidio.</t>
  </si>
  <si>
    <t>FCB: Yamal, De Jong
VCF: Danjuma, Diakhaby</t>
  </si>
  <si>
    <t>https://drive.google.com/file/d/1NAV2M9KHc5cVaFKPtn0w2-pUfdB085NU/view?usp=sharing</t>
  </si>
  <si>
    <t>https://drive.google.com/file/d/1X1ENdNmDsvVafmCDbfH5ENEqzuPWVu12/view?usp=sharing</t>
  </si>
  <si>
    <t>https://drive.google.com/file/d/1yATdTweONzu4AseirvIp_0yPUa4UpZgH/view?usp=sharing</t>
  </si>
  <si>
    <t>d8ea0a92</t>
  </si>
  <si>
    <t>Girona vs Levante - LaLiga</t>
  </si>
  <si>
    <t>https://www.vidio.com/live/6317-bein-3?schedule_id=4577347</t>
  </si>
  <si>
    <t>https://drive.google.com/drive/folders/1sRZhroBM4uVkDrneMXR_NegK7mqjiiC6?usp=drive_link</t>
  </si>
  <si>
    <t>https://drive.google.com/drive/folders/1OaLIp6HFvH8TyaeVEqGxIV3HFrziJkWO?usp=drive_link</t>
  </si>
  <si>
    <t>girona fc; levante UD; sports stream</t>
  </si>
  <si>
    <t>Nonton streaming pertandingan seru Girona vs Levante - LaLiga. Saksikan aksi-aksi terbaik dari tim yang bersaing ketat untuk meraih kemenangan. Dapatkan informasi lengkap mengenai jadwal pertandingan dan hasil pertandingan terbaru hanya di Vidio.</t>
  </si>
  <si>
    <t>https://drive.google.com/file/d/1Jv27Bd4HtWwLpNU-1I9EusisoTIypfl6/view?usp=sharing</t>
  </si>
  <si>
    <t>https://drive.google.com/file/d/1pnIMePWlXkruGuIqxme5rPMhs7f6FGhj/view?usp=drive_link</t>
  </si>
  <si>
    <t>b640ced9</t>
  </si>
  <si>
    <t>Valencia vs Athletic Club - LaLiga</t>
  </si>
  <si>
    <t>https://www.vidio.com/live/6299-bein-1?schedule_id=4577356</t>
  </si>
  <si>
    <t>https://drive.google.com/drive/folders/1MJ4MaU0m5zLXE2TDoQvKnW9kxc14ksp8?usp=drive_link</t>
  </si>
  <si>
    <t>valencia cf; athletic club bilbao; sports stream</t>
  </si>
  <si>
    <t>Nonton streaming pertandingan seru Valencia vs Athletic Club - LaLiga. Saksikan aksi-aksi terbaik dari tim yang bersaing ketat untuk meraih kemenangan. Dapatkan informasi lengkap mengenai jadwal pertandingan dan hasil pertandingan terbaru hanya di Vidio.</t>
  </si>
  <si>
    <t>VAL: Danjuma, Diego Lopez
ATH: Sancet, Paredes</t>
  </si>
  <si>
    <t>https://drive.google.com/file/d/1Ndg6zGrQ3KsPj7fkpz_juNAAVQR9bQ8r/view?usp=sharing</t>
  </si>
  <si>
    <t>https://drive.google.com/file/d/1fLax61ljaN4wztYtC0LYeHTTn7m1OGkO/view?usp=drive_link</t>
  </si>
  <si>
    <t>https://drive.google.com/file/d/1Ys8yNCMMNV7pAImnA0s8J3Zuv8HAtwO4/view?usp=sharing</t>
  </si>
  <si>
    <t>bfdef715</t>
  </si>
  <si>
    <t>Villarreal vs Osasuna - LaLiga</t>
  </si>
  <si>
    <t>https://www.vidio.com/live/6317-bein-3?schedule_id=4577348</t>
  </si>
  <si>
    <t>https://drive.google.com/drive/folders/13ujjvseSigm4aoHc2i3vx1bVgtF1TxsY?usp=drive_link</t>
  </si>
  <si>
    <t>villarreal cf; ca osasuna; sports stream</t>
  </si>
  <si>
    <t>Nonton streaming pertandingan seru Villarreal vs Osasuna - LaLiga. Saksikan aksi-aksi terbaik dari tim yang bersaing ketat untuk meraih kemenangan. Dapatkan informasi lengkap mengenai jadwal pertandingan dan hasil pertandingan terbaru hanya di Vidio.</t>
  </si>
  <si>
    <t>VIL: Buchanan, Mourino
OSA: Bretones, Moncayola</t>
  </si>
  <si>
    <t>https://drive.google.com/file/d/1mDLSsOkjs5rcegQakrl9zwZWBmUlFp_3/view?usp=sharing</t>
  </si>
  <si>
    <t>https://drive.google.com/file/d/1cghVqeyH9qCv6-Jm5GIM-cD3HWFlYkSf/view?usp=drive_link</t>
  </si>
  <si>
    <t>https://drive.google.com/file/d/13Rw9x9KmaASH72CKDsdOWhuR_8SAAX1o/view?usp=sharing</t>
  </si>
  <si>
    <t>d485f543</t>
  </si>
  <si>
    <t>Mallorca vs Atletico Madrid - LaLiga</t>
  </si>
  <si>
    <t>https://www.vidio.com/live/17323-laliga?schedule_id=4577360</t>
  </si>
  <si>
    <t>https://drive.google.com/drive/folders/1hRYpmMmqb7mFVXwsJCdvdJBoOPsp2cLC?usp=drive_link</t>
  </si>
  <si>
    <t>real club deportivo mallorca; Club Atlético de Madrid; sports stream</t>
  </si>
  <si>
    <t>Nonton streaming pertandingan seru Mallorca vs Atletico Madrid - LaLiga. Saksikan aksi-aksi terbaik dari tim yang bersaing ketat untuk meraih kemenangan. Dapatkan informasi lengkap mengenai jadwal pertandingan dan hasil pertandingan terbaru hanya di Vidio.</t>
  </si>
  <si>
    <t>MLL: Muriqi, Torre
ATM: Llorente, Barrios</t>
  </si>
  <si>
    <t>https://drive.google.com/file/d/1ieMzjwSp4nJ3tGhrIqshgt7bIINYABCi/view?usp=sharing</t>
  </si>
  <si>
    <t>https://drive.google.com/file/d/189493pGYdl_Sowziv-Ad2V7LtgpUF9AR/view?usp=sharing</t>
  </si>
  <si>
    <t>https://drive.google.com/file/d/1-kWx5ryv8zOEbzDSsxPGVX6rs1l-oQcy/view?usp=sharing</t>
  </si>
  <si>
    <t>e9a9e24b</t>
  </si>
  <si>
    <t>Rayo Vallecano vs Celta Vigo - LaLiga</t>
  </si>
  <si>
    <t>https://www.vidio.com/live/6317-bein-3?schedule_id=4587616</t>
  </si>
  <si>
    <t>https://drive.google.com/drive/folders/1A9XZdcu0lfAziWrBVBOePDHOIEvjzIIS?usp=drive_link</t>
  </si>
  <si>
    <t>rayo vallecano; real club celta de vigo; sports stream</t>
  </si>
  <si>
    <t>Nonton streaming pertandingan seru Rayo Vallecano vs Celta Vigo - LaLiga. Saksikan aksi-aksi terbaik dari tim yang bersaing ketat untuk meraih kemenangan. Dapatkan informasi lengkap mengenai jadwal pertandingan dan hasil pertandingan terbaru hanya di Vidio.</t>
  </si>
  <si>
    <t>F4</t>
  </si>
  <si>
    <t>https://drive.google.com/file/d/16ujfuXWuMF6oFHRy9liBSL5EZDlwpQDi/view?usp=sharing</t>
  </si>
  <si>
    <t>https://drive.google.com/file/d/1Kxe3prfooDd6xb0_07q4_TlWYntcYs8B/view?usp=sharing</t>
  </si>
  <si>
    <t>c6c0e5d9</t>
  </si>
  <si>
    <t>Elche vs Oviedo - LaLiga</t>
  </si>
  <si>
    <t>https://www.vidio.com/live/6299-bein-1?schedule_id=4577357</t>
  </si>
  <si>
    <t>https://drive.google.com/drive/folders/1NSBydGBKJr3vXHnRAVKRVr5xrnfJdecS?usp=drive_link</t>
  </si>
  <si>
    <t>elche cf; Real Oviedo; sports stream</t>
  </si>
  <si>
    <t>Nonton streaming pertandingan seru Elche vs Oviedo - LaLiga. Saksikan aksi-aksi terbaik dari tim yang bersaing ketat untuk meraih kemenangan. Dapatkan informasi lengkap mengenai jadwal pertandingan dan hasil pertandingan terbaru hanya di Vidio.</t>
  </si>
  <si>
    <t>https://drive.google.com/file/d/1IDdnbSf5B14iKiuFvCMsRKuApLfquTC3/view?usp=sharing</t>
  </si>
  <si>
    <t>https://drive.google.com/file/d/1GRU9DE4ynGU-VLlz5KfhLSbkUSdAYuzk/view?usp=drive_link</t>
  </si>
  <si>
    <t>36a8719f</t>
  </si>
  <si>
    <t>Real Betis vs Real Sociedad - LaLiga</t>
  </si>
  <si>
    <t>https://www.vidio.com/live/6317-bein-3?schedule_id=4577342</t>
  </si>
  <si>
    <t>https://drive.google.com/drive/folders/1QnNdM9f7N0peXQ0rmGA8SOlpbT1YUxCM?usp=drive_link</t>
  </si>
  <si>
    <t>Real Betis Balompié; Real Sociedad de Fútbol; sports stream</t>
  </si>
  <si>
    <t>Nonton streaming pertandingan seru Real Betis vs Real Sociedad - LaLiga. Saksikan aksi-aksi terbaik dari tim yang bersaing ketat untuk meraih kemenangan. Dapatkan informasi lengkap mengenai jadwal pertandingan dan hasil pertandingan terbaru hanya di Vidio.</t>
  </si>
  <si>
    <t>BET: Antony, Fornals
RSO: Barrenetxea, Sergio Gomez</t>
  </si>
  <si>
    <t>F3 , C3</t>
  </si>
  <si>
    <t>https://drive.google.com/file/d/1TXWw_CmOqkrtAs6aho8Bi5FFhg2xF1xc/view?usp=sharing</t>
  </si>
  <si>
    <t>https://drive.google.com/file/d/1A3yNSrhqrnU4He4EX14XZHqSPq5btpJ_/view?usp=drive_link</t>
  </si>
  <si>
    <t>https://drive.google.com/file/d/1q1ZMUrH4pGPhM2wrYfESaeGSPPBnlHYb/view?usp=sharing</t>
  </si>
  <si>
    <t>61b5d58f</t>
  </si>
  <si>
    <t>Barcelona vs Getafe - LaLiga</t>
  </si>
  <si>
    <t>https://www.vidio.com/live/6299-bein-1?schedule_id=4585668</t>
  </si>
  <si>
    <t>https://drive.google.com/drive/folders/1x-DtdaFTl98EhZL35ywQQyKwVU7bI0xE?usp=drive_link</t>
  </si>
  <si>
    <t>fc barcelona; getafe cf; sports stream</t>
  </si>
  <si>
    <t>Nonton streaming pertandingan seru Barcelona vs Getafe - LaLiga. Saksikan aksi-aksi terbaik dari tim yang bersaing ketat untuk meraih kemenangan. Dapatkan informasi lengkap mengenai jadwal pertandingan dan hasil pertandingan terbaru hanya di Vidio.</t>
  </si>
  <si>
    <t>BAR: Lewandowski, Fermin
GET: Milla, Liso</t>
  </si>
  <si>
    <t>A2</t>
  </si>
  <si>
    <t>https://drive.google.com/file/d/1t4PhdHce39OgNYQJ30Sd7vQBZTBikNaB/view?usp=sharing</t>
  </si>
  <si>
    <t>https://drive.google.com/file/d/1VCGkYcOM1DR3EzS0LvUvMtdKqaRHSo2B/view?usp=sharing</t>
  </si>
  <si>
    <t>https://drive.google.com/file/d/1JdQKSRgVX1aSG7PPUiBhVq30LuAptQPh/view?usp=sharing</t>
  </si>
  <si>
    <t>18bae398</t>
  </si>
  <si>
    <t>Alaves vs Sevilla - LaLiga</t>
  </si>
  <si>
    <t>https://www.vidio.com/live/6299-bein-1?schedule_id=4577355</t>
  </si>
  <si>
    <t>https://drive.google.com/drive/folders/1UKDLw8JqPHNVWPx7BMKdavFsmG8TTFV8?usp=drive_link</t>
  </si>
  <si>
    <t>deportivo alaves; sevilla fc; sports stream</t>
  </si>
  <si>
    <t>Nonton streaming pertandingan seru Alaves vs Sevilla - LaLiga. Saksikan aksi-aksi terbaik dari tim yang bersaing ketat untuk meraih kemenangan. Dapatkan informasi lengkap mengenai jadwal pertandingan dan hasil pertandingan terbaru hanya di Vidio.</t>
  </si>
  <si>
    <t>ALA: Blanco, Ibanez
SEV: Azpilicueta, Vargas</t>
  </si>
  <si>
    <t>https://drive.google.com/file/d/1RrQ-AdwJH3Ppi4gO2Z7FotKyUYk4ltgw/view?usp=sharing</t>
  </si>
  <si>
    <t>https://drive.google.com/file/d/10jn1_r-vUeWpY_hW3UZKgocO0xs7W_gQ/view?usp=drive_link</t>
  </si>
  <si>
    <t>https://drive.google.com/file/d/10vVcAI-kDVCTEKmsOj8_bDHoNiBecmPl/view?usp=sharing</t>
  </si>
  <si>
    <t>8f74260c</t>
  </si>
  <si>
    <t>Real Madrid vs Espanyol - LaLiga</t>
  </si>
  <si>
    <t>https://www.vidio.com/live/17323-laliga?schedule_id=4577359</t>
  </si>
  <si>
    <t>https://drive.google.com/drive/folders/17gefp1uNDMFeHF_l7Pi5XXPSXru9sdbj?usp=drive_link</t>
  </si>
  <si>
    <t>real madrid cf; Reial Club Deportiu Espanyol; sports stream</t>
  </si>
  <si>
    <t>Nonton streaming pertandingan seru Real Madrid vs Espanyol - LaLiga. Saksikan aksi-aksi terbaik dari tim yang bersaing ketat untuk meraih kemenangan. Dapatkan informasi lengkap mengenai jadwal pertandingan dan hasil pertandingan terbaru hanya di Vidio.</t>
  </si>
  <si>
    <t>RMA: Mbappe, Guler
ESP: Romero, Puado</t>
  </si>
  <si>
    <t>https://drive.google.com/file/d/1AnqfXu_3v4fl9qYdZl9cOZ1qyLpzp6gB/view?usp=sharing</t>
  </si>
  <si>
    <t>https://drive.google.com/file/d/18Q8yDox-2jmrD2fpE2kbHXYJvrrIW1kF/view?usp=drive_link</t>
  </si>
  <si>
    <t>https://drive.google.com/file/d/1nQAsFJCr7IEjrvNSVBRiSCsr7pEo37Qe/view?usp=sharing</t>
  </si>
  <si>
    <t>18ee5ad5</t>
  </si>
  <si>
    <t>Osasuna vs Elche - LaLiga</t>
  </si>
  <si>
    <t>https://www.vidio.com/live/17323-laliga?schedule_id=4592586</t>
  </si>
  <si>
    <t>https://drive.google.com/drive/folders/1SBHHNDlvQsVcRdWIHNJIaAs41VHZaRt4?usp=drive_link</t>
  </si>
  <si>
    <t>ca osasuna; elche cf; sports stream</t>
  </si>
  <si>
    <t>Nonton streaming pertandingan seru Osasuna vs Elche - LaLiga. Saksikan aksi-aksi terbaik dari tim yang bersaing ketat untuk meraih kemenangan. Dapatkan informasi lengkap mengenai jadwal pertandingan dan hasil pertandingan terbaru hanya di Vidio.</t>
  </si>
  <si>
    <t>https://drive.google.com/file/d/1WJcwVOhqKZDFNWd9Bm6hXdDQ4Icld1-b/view?usp=sharing</t>
  </si>
  <si>
    <t>https://drive.google.com/file/d/1nxXdrtH5DaQ51g4YkHHPKLD99n5e-471/view?usp=sharing</t>
  </si>
  <si>
    <t>88cf46a6</t>
  </si>
  <si>
    <t>Real Sociedad vs Mallorca - LaLiga</t>
  </si>
  <si>
    <t>https://www.vidio.com/live/17321-laliga?schedule_id=4592585</t>
  </si>
  <si>
    <t>https://drive.google.com/drive/folders/1IdoUJJ6vD2gHL0b6O0VDsYZifzuJA5EY?usp=drive_link</t>
  </si>
  <si>
    <t>Real Sociedad de Fútbol; real club deportivo mallorca; sports stream</t>
  </si>
  <si>
    <t>Nonton streaming pertandingan seru Real Sociedad vs Mallorca - LaLiga. Saksikan aksi-aksi terbaik dari tim yang bersaing ketat untuk meraih kemenangan. Dapatkan informasi lengkap mengenai jadwal pertandingan dan hasil pertandingan terbaru hanya di Vidio.</t>
  </si>
  <si>
    <t>RSO: Kubo, Oyarzabal
MLL: Darder, Joseph</t>
  </si>
  <si>
    <t>https://drive.google.com/file/d/1gsUzleIn3BIjLoem9dD9yn0_4OnqeIK6/view?usp=sharing</t>
  </si>
  <si>
    <t>https://drive.google.com/file/d/1AT4hA2hzfJoSa_gEdfIafwSOaleA_rV-/view?usp=drive_link</t>
  </si>
  <si>
    <t>https://drive.google.com/file/d/1lBs-BmCvkaeJ1GI2hXmfjeq8edKUAeq0/view?usp=sharing</t>
  </si>
  <si>
    <t>adb54828</t>
  </si>
  <si>
    <t>Getafe vs Alaves - LaLiga</t>
  </si>
  <si>
    <t>https://www.vidio.com/live/17323-laliga?schedule_id=4592583</t>
  </si>
  <si>
    <t>https://drive.google.com/drive/folders/19UzO_tRCNzQTj3ebMZJXNBpvuDDPs3NW?usp=drive_link</t>
  </si>
  <si>
    <t>getafe cf; deportivo alaves; sports stream</t>
  </si>
  <si>
    <t>Nonton streaming pertandingan seru Getafe vs Alaves - LaLiga. Saksikan aksi-aksi terbaik dari tim yang bersaing ketat untuk meraih kemenangan. Dapatkan informasi lengkap mengenai jadwal pertandingan dan hasil pertandingan terbaru hanya di Vidio.</t>
  </si>
  <si>
    <t>https://drive.google.com/file/d/1IO4bMRsbiIUCbV-GUKD_5aVFpJXLaAGK/view?usp=sharing</t>
  </si>
  <si>
    <t>https://drive.google.com/file/d/1VDA1IfAPZ7psdnGjaaOIhYiH5JPLkldO/view?usp=drive_link</t>
  </si>
  <si>
    <t>13668f38</t>
  </si>
  <si>
    <t>Espanyol vs Valencia - LaLiga</t>
  </si>
  <si>
    <t>https://www.vidio.com/live/6317-bein-3?schedule_id=4592574</t>
  </si>
  <si>
    <t>https://drive.google.com/drive/folders/1zpT-GRbrd7ITt12agbngiedxVkC129Zj?usp=drive_link</t>
  </si>
  <si>
    <t>Reial Club Deportiu Espanyol; valencia cf; sports stream</t>
  </si>
  <si>
    <t>Nonton streaming pertandingan seru Espanyol vs Valencia - LaLiga. Saksikan aksi-aksi terbaik dari tim yang bersaing ketat untuk meraih kemenangan. Dapatkan informasi lengkap mengenai jadwal pertandingan dan hasil pertandingan terbaru hanya di Vidio.</t>
  </si>
  <si>
    <t>ESP:  Milla, Romero
VAL: Duro, Guerra</t>
  </si>
  <si>
    <t>https://drive.google.com/file/d/1sEnK9Cadn3-dwSa_XIaIdYubMYuAQ0kQ/view?usp=sharing</t>
  </si>
  <si>
    <t>https://drive.google.com/file/d/1qVSptyT2-IYL-7ONzd3WUfDcgYG7eN5M/view?usp=sharing</t>
  </si>
  <si>
    <t>https://drive.google.com/file/d/1EDoqs15iO_8pFzbiQ71fN6Q2VLlyWdwU/view?usp=sharing</t>
  </si>
  <si>
    <t>608ae8db</t>
  </si>
  <si>
    <t>Atletico Madrid vs Rayo Vallecano - LaLiga</t>
  </si>
  <si>
    <t>https://www.vidio.com/live/17324-laliga?schedule_id=4592584</t>
  </si>
  <si>
    <t>https://drive.google.com/drive/folders/1Qu3TcxsZ0jXzwwywPanI-5x3DkstP76Z?usp=drive_link</t>
  </si>
  <si>
    <t>Club Atlético de Madrid; rayo vallecano; sports stream</t>
  </si>
  <si>
    <t>Nonton streaming pertandingan seru Atletico Madrid vs Rayo Vallecano - LaLiga. Saksikan aksi-aksi terbaik dari tim yang bersaing ketat untuk meraih kemenangan. Dapatkan informasi lengkap mengenai jadwal pertandingan dan hasil pertandingan terbaru hanya di Vidio.</t>
  </si>
  <si>
    <t>ATM: Nicolas Gonzalez, Simeone
RAY: Isi, Ratiu</t>
  </si>
  <si>
    <t>https://drive.google.com/file/d/18klKbbMRFbmET__Wt8SOoByI96H44m5o/view?usp=sharing</t>
  </si>
  <si>
    <t>https://drive.google.com/file/d/1Nrx7Svu2mNrTMOInWbMyIVd6xK9pxKNH/view?usp=sharing</t>
  </si>
  <si>
    <t>https://drive.google.com/file/d/1g_L0ciJIgjCUZWVXL7TBkWetofv4QND9/view?usp=sharing</t>
  </si>
  <si>
    <t>30edde36</t>
  </si>
  <si>
    <t>Sevilla vs Villarreal - LaLiga</t>
  </si>
  <si>
    <t>https://www.vidio.com/live/6317-bein-3?schedule_id=4592575</t>
  </si>
  <si>
    <t>https://drive.google.com/drive/folders/1ki3taczQMCnmkN0rS8XZ1J1cFh0qpt0f?usp=drive_link</t>
  </si>
  <si>
    <t>sevilla fc; villarreal cf; sports stream</t>
  </si>
  <si>
    <t>Nonton streaming pertandingan seru Sevilla vs Villarreal - LaLiga. Saksikan aksi-aksi terbaik dari tim yang bersaing ketat untuk meraih kemenangan. Dapatkan informasi lengkap mengenai jadwal pertandingan dan hasil pertandingan terbaru hanya di Vidio.</t>
  </si>
  <si>
    <t>SEV: Agoume, Vargas
VIL: Mourino, Gueye</t>
  </si>
  <si>
    <t>https://drive.google.com/file/d/17ldsLAVGzI0ecjf5dy6Wk9FZ5iof0a9V/view?usp=sharing</t>
  </si>
  <si>
    <t>https://drive.google.com/file/d/1rdtcoUHRDs5hMQ1t2WQiUp-_1ZU1VI7b/view?usp=drive_link</t>
  </si>
  <si>
    <t>https://drive.google.com/file/d/1TOg2yh2jS6b-eExiygN4EDITx-OtdDaf/view?usp=sharing</t>
  </si>
  <si>
    <t>0f5130cc</t>
  </si>
  <si>
    <t>Athletic Club vs Girona - LaLiga</t>
  </si>
  <si>
    <t>https://www.vidio.com/live/6299-bein-1?schedule_id=4592570</t>
  </si>
  <si>
    <t>https://drive.google.com/drive/folders/1zFW0dpZ3myE1CnH0ovOrMS8pmr1Cu_Y8?usp=drive_link</t>
  </si>
  <si>
    <t>athletic club bilbao; girona fc; sports stream</t>
  </si>
  <si>
    <t>Nonton streaming pertandingan seru Athletic Club vs Girona - LaLiga. Saksikan aksi-aksi terbaik dari tim yang bersaing ketat untuk meraih kemenangan. Dapatkan informasi lengkap mengenai jadwal pertandingan dan hasil pertandingan terbaru hanya di Vidio.</t>
  </si>
  <si>
    <t>ATH: Inigo Ruiz, Inaki Williams
GIR: Witsel, Blind</t>
  </si>
  <si>
    <t>https://drive.google.com/file/d/1v-vTnkNCqNCj1oipITzeAWAinz56I7_w/view?usp=sharing</t>
  </si>
  <si>
    <t>https://drive.google.com/file/d/1J7xQDabRlLYhu_ic8uxmolWUWoQ7rNB8/view?usp=drive_link</t>
  </si>
  <si>
    <t>https://drive.google.com/file/d/1skgetRXT-uw9yX5UAx0qbjqbJ4lnd31_/view?usp=sharing</t>
  </si>
  <si>
    <t>0757b700</t>
  </si>
  <si>
    <t>Oviedo vs Barcelona - LaLiga</t>
  </si>
  <si>
    <t>https://www.vidio.com/live/6317-bein-3?schedule_id=4592587</t>
  </si>
  <si>
    <t>https://drive.google.com/drive/folders/1Ct8WspLyRU4A-KAMniiyB5Oj5DiKAOCg?usp=drive_link</t>
  </si>
  <si>
    <t>Real Oviedo; fc barcelona; sports stream</t>
  </si>
  <si>
    <t>Nonton streaming pertandingan seru Oviedo vs Barcelona - LaLiga. Saksikan aksi-aksi terbaik dari tim yang bersaing ketat untuk meraih kemenangan. Dapatkan informasi lengkap mengenai jadwal pertandingan dan hasil pertandingan terbaru hanya di Vidio.</t>
  </si>
  <si>
    <t>OVI: Dendoncker, Vinas
BAR: Rashford, Pedri</t>
  </si>
  <si>
    <t>https://drive.google.com/file/d/1THAD11AL7fG5C95EhPE-MJ4Zm2OejU76/view?usp=sharing</t>
  </si>
  <si>
    <t>https://drive.google.com/file/d/1plcpF7MsLMTa-DZ8L2wkPlUHIDz27di-/view?usp=drive_link</t>
  </si>
  <si>
    <t>https://drive.google.com/file/d/1jqg1tvHOzhrVwJ91hcgaObuZlChU3RuU/view?usp=sharing</t>
  </si>
  <si>
    <t>3f21a84b</t>
  </si>
  <si>
    <t>Levante vs Real Madrid - LaLiga</t>
  </si>
  <si>
    <t>https://www.vidio.com/live/6299-bein-1?schedule_id=4592571</t>
  </si>
  <si>
    <t>https://drive.google.com/drive/folders/1ND6PXst2bhNhc1OxwBdXRxVFVIhFpi7z?usp=drive_link</t>
  </si>
  <si>
    <t>levante UD; real madrid cf; sports stream</t>
  </si>
  <si>
    <t>Nonton streaming pertandingan seru Levante vs Real Madrid - LaLiga. Saksikan aksi-aksi terbaik dari tim yang bersaing ketat untuk meraih kemenangan. Dapatkan informasi lengkap mengenai jadwal pertandingan dan hasil pertandingan terbaru hanya di Vidio.</t>
  </si>
  <si>
    <t>LEV: Etta Eyong, Romero
RMA: Valverde, Vinicius</t>
  </si>
  <si>
    <t>https://drive.google.com/file/d/1xZyXmU4NBKsOnE7jzs7khfBVp_Rm0QQr/view?usp=sharing</t>
  </si>
  <si>
    <t>https://drive.google.com/file/d/10SoMgjeOZOT_bPzp7ElKa9NO_6Uq2u70/view?usp=drive_link</t>
  </si>
  <si>
    <t>https://drive.google.com/file/d/1ztd9xhdjaCPa4AQFLlAs_pyFB3fTuoMM/view?usp=sharing</t>
  </si>
  <si>
    <t>244cc145</t>
  </si>
  <si>
    <t>Rayo Vallecano vs Sevilla - LaLiga</t>
  </si>
  <si>
    <t>https://www.vidio.com/live/6299-bein-1?schedule_id=4598332</t>
  </si>
  <si>
    <t>https://drive.google.com/drive/folders/1VhtpiY2xDs-JSpe6cBxOuvtFFMyl12ZM?usp=drive_link</t>
  </si>
  <si>
    <t>https://drive.google.com/drive/folders/1FRJ5EYNCKwo6K7TXyFQSRPaFlFgBJi2B?usp=drive_link</t>
  </si>
  <si>
    <t>rayo vallecano; sevilla fc; sports stream</t>
  </si>
  <si>
    <t>Nonton streaming pertandingan seru Rayo Vallecano vs Sevilla - LaLiga. Saksikan aksi-aksi terbaik dari tim yang bersaing ketat untuk meraih kemenangan. Dapatkan informasi lengkap mengenai jadwal pertandingan dan hasil pertandingan terbaru hanya di Vidio.</t>
  </si>
  <si>
    <t>RAY: De Frutos , Ciss
SEV: Alexis Sanchez , Jose Angel</t>
  </si>
  <si>
    <t>https://drive.google.com/file/d/1Ou2jguDhA6dsdj8Y1IKzm49DFZM46k8M/view?usp=sharing</t>
  </si>
  <si>
    <t>https://drive.google.com/file/d/12fN7cZd7K666tKFzSmPDOinCY6MY9SDN/view?usp=sharing</t>
  </si>
  <si>
    <t>https://drive.google.com/file/d/1TM19GTq6RwQvuEr8nKD4vZbpiDjDqZHk/view?usp=sharing</t>
  </si>
  <si>
    <t>764953c5</t>
  </si>
  <si>
    <t>Girona vs Espanyol - LaLiga</t>
  </si>
  <si>
    <t>https://www.vidio.com/live/6299-bein-1?schedule_id=4597933</t>
  </si>
  <si>
    <t>https://drive.google.com/drive/folders/1YRHXpDPB9UtrjVJppW3RAMC7YOIeHlHs?usp=drive_link</t>
  </si>
  <si>
    <t>girona fc; Reial Club Deportiu Espanyol; sports stream</t>
  </si>
  <si>
    <t>Nonton streaming pertandingan seru Girona vs Espanyol - LaLiga. Saksikan aksi-aksi terbaik dari tim yang bersaing ketat untuk meraih kemenangan. Dapatkan informasi lengkap mengenai jadwal pertandingan dan hasil pertandingan terbaru hanya di Vidio.</t>
  </si>
  <si>
    <t>https://drive.google.com/file/d/1qruh6PqwB5XL2WV3BT10vDqo1KmdT5aQ/view?usp=sharing</t>
  </si>
  <si>
    <t>https://drive.google.com/file/d/11kFqAK7hm3Owzu6rbJHBPnyRHDrzQNbf/view?usp=drive_link</t>
  </si>
  <si>
    <t>af23e91f</t>
  </si>
  <si>
    <t>Mallorca vs Alaves - LaLiga</t>
  </si>
  <si>
    <t>https://www.vidio.com/live/6299-bein-1?schedule_id=4598207</t>
  </si>
  <si>
    <t>https://drive.google.com/drive/folders/1bd909U8uWdLemeb7w46_eoDn8yt4QcD2?usp=drive_link</t>
  </si>
  <si>
    <t>real club deportivo mallorca; deportivo alaves; sports stream</t>
  </si>
  <si>
    <t>Nonton streaming pertandingan seru Mallorca vs Alaves - LaLiga. Saksikan aksi-aksi terbaik dari tim yang bersaing ketat untuk meraih kemenangan. Dapatkan informasi lengkap mengenai jadwal pertandingan dan hasil pertandingan terbaru hanya di Vidio.</t>
  </si>
  <si>
    <t>https://drive.google.com/file/d/1f6bazyG8jgBPvR_xFvbRDSmkFt6WKmXN/view?usp=sharing</t>
  </si>
  <si>
    <t>https://drive.google.com/file/d/1JlVx3B4B61JApTrOITNlPgn23aNEnX_-/view?usp=drive_link</t>
  </si>
  <si>
    <t>8c6880c5</t>
  </si>
  <si>
    <t>Real Betis vs Osasuna - LaLiga</t>
  </si>
  <si>
    <t>https://www.vidio.com/live/6299-bein-1?schedule_id=4601999</t>
  </si>
  <si>
    <t>https://drive.google.com/drive/folders/1ied5I0xPfr9_sTGfU5UHo_w0_5M_DIcQ?usp=drive_link</t>
  </si>
  <si>
    <t>Real Betis Balompié; ca osasuna; sports stream</t>
  </si>
  <si>
    <t>Nonton streaming pertandingan seru Real Betis vs Osasuna - LaLiga. Saksikan aksi-aksi terbaik dari tim yang bersaing ketat untuk meraih kemenangan. Dapatkan informasi lengkap mengenai jadwal pertandingan dan hasil pertandingan terbaru hanya di Vidio.</t>
  </si>
  <si>
    <t>BET: Lo Celso, Bellerin
OSA: Budimir, Torro</t>
  </si>
  <si>
    <t>https://drive.google.com/file/d/1GlIAKYIOqMPVFMY6IEKZV4Ytiqcf4QbE/view?usp=sharing</t>
  </si>
  <si>
    <t>https://drive.google.com/file/d/1RdXOF6l7fUIJmsCvHN0jFdxN5w42txFk/view?usp=drive_link</t>
  </si>
  <si>
    <t>https://drive.google.com/file/d/1iL2m11Z9CtaRKWoEMiPINhH2ROgdeFL2/view?usp=sharing</t>
  </si>
  <si>
    <t>2cb0f537</t>
  </si>
  <si>
    <t>Villarreal vs Athletic Club - LaLiga</t>
  </si>
  <si>
    <t>https://www.vidio.com/live/6299-bein-1?schedule_id=4598289</t>
  </si>
  <si>
    <t>https://drive.google.com/drive/folders/1yg9QHn6qJXCnlUZmg-LdsDKBs5A5HPtZ?usp=drive_link</t>
  </si>
  <si>
    <t>villarreal cf; athletic club bilbao; sports stream</t>
  </si>
  <si>
    <t>Nonton streaming pertandingan seru Villarreal vs Athletic Club - LaLiga. Saksikan aksi-aksi terbaik dari tim yang bersaing ketat untuk meraih kemenangan. Dapatkan informasi lengkap mengenai jadwal pertandingan dan hasil pertandingan terbaru hanya di Vidio.</t>
  </si>
  <si>
    <t>VIL: Mikautadze, Luiz Junior
ATH: Paredes, Unai Simon</t>
  </si>
  <si>
    <t>https://drive.google.com/file/d/1xof1Z0HxDlDLo70L4Q64q0uu-UhHJtXe/view?usp=sharing</t>
  </si>
  <si>
    <t>https://drive.google.com/file/d/1_mN9mAIfdcgyZBG1lebluYVvK_IifGun/view?usp=drive_link</t>
  </si>
  <si>
    <t>https://drive.google.com/file/d/1GQx_kLJkT07-U89ZKsAY0tmWiaA5dQYM/view?usp=sharing</t>
  </si>
  <si>
    <t>f6ca8fb5</t>
  </si>
  <si>
    <t>Getafe vs Levante - LaLiga</t>
  </si>
  <si>
    <t>https://www.vidio.com/live/6299-bein-1?schedule_id=4597934</t>
  </si>
  <si>
    <t>https://drive.google.com/drive/folders/1Uvpyq7aJ9ziprM56s_j6IH8SMRpjNI4T?usp=drive_link</t>
  </si>
  <si>
    <t>getafe cf; levante UD; sports stream</t>
  </si>
  <si>
    <t>Nonton streaming pertandingan seru Getafe vs Levante - LaLiga. Saksikan aksi-aksi terbaik dari tim yang bersaing ketat untuk meraih kemenangan. Dapatkan informasi lengkap mengenai jadwal pertandingan dan hasil pertandingan terbaru hanya di Vidio.</t>
  </si>
  <si>
    <t>https://drive.google.com/file/d/1dm0bsfmmWlUUmjBTd-L1FI9DgnjRCzJd/view?usp=sharing</t>
  </si>
  <si>
    <t>https://drive.google.com/file/d/1d8c8GIGDREIj3SuGKp9CsNSCtpK71RZm/view?usp=sharing</t>
  </si>
  <si>
    <t>4a0ca500</t>
  </si>
  <si>
    <t>Atletico Madrid vs Real Madrid - LaLiga</t>
  </si>
  <si>
    <t>https://www.vidio.com/live/6299-bein-1?schedule_id=4598124</t>
  </si>
  <si>
    <t>https://drive.google.com/drive/folders/1Voz3jSsJWUJV446PaEXTaIL-PqExtdfF?usp=drive_link</t>
  </si>
  <si>
    <t>Club Atlético de Madrid; real madrid cf; sports stream</t>
  </si>
  <si>
    <t>Nonton streaming pertandingan seru Atletico Madrid vs Real Madrid - LaLiga. Saksikan aksi-aksi terbaik dari tim yang bersaing ketat untuk meraih kemenangan. Dapatkan informasi lengkap mengenai jadwal pertandingan dan hasil pertandingan terbaru hanya di Vidio.</t>
  </si>
  <si>
    <t>ATM: Alvarez, Griezmann
RMA: Mbappe. Guler</t>
  </si>
  <si>
    <t>rakha.yundhika@vidio.com</t>
  </si>
  <si>
    <t>https://drive.google.com/file/d/1Y6snsQRJwZHsUVeFxHETnv1LhjmRmDlS/view?usp=sharing</t>
  </si>
  <si>
    <t>https://drive.google.com/file/d/1Id5so7oASniY74_10dkJiimrKWHs6VgC/view?usp=drive_link</t>
  </si>
  <si>
    <t>https://drive.google.com/file/d/1tk4AN4Qg8_ZOMFWzE5MzX_JptXbwdzJQ/view?usp=sharing</t>
  </si>
  <si>
    <t>e793b895</t>
  </si>
  <si>
    <t>Barcelona vs Real Sociedad - LaLiga</t>
  </si>
  <si>
    <t>https://www.vidio.com/live/6299-bein-1?schedule_id=4598334</t>
  </si>
  <si>
    <t>https://drive.google.com/drive/folders/1aqJvibgQ3bmLIRwW7urTW25nCN8Nz4JT?usp=drive_link</t>
  </si>
  <si>
    <t>fc barcelona; Real Sociedad de Fútbol; sports stream</t>
  </si>
  <si>
    <t>Nonton streaming pertandingan seru Barcelona vs Real Sociedad - LaLiga. Saksikan aksi-aksi terbaik dari tim yang bersaing ketat untuk meraih kemenangan. Dapatkan informasi lengkap mengenai jadwal pertandingan dan hasil pertandingan terbaru hanya di Vidio.</t>
  </si>
  <si>
    <t>BAR: Ferran, Raphinha
RSO: Brais Mendez, Kubo</t>
  </si>
  <si>
    <t>E6</t>
  </si>
  <si>
    <t>https://drive.google.com/file/d/14Bmh2iEncz4UHug2zOAPFRDpfkSxmXz5/view?usp=sharing</t>
  </si>
  <si>
    <t>https://drive.google.com/file/d/1CLCUiAKmxXyDFbVUcD21e6lF77NeKwcg/view?usp=drive_link</t>
  </si>
  <si>
    <t>https://drive.google.com/file/d/1ROg1_Ejt74p6UGMFerAwlzmEtqe3y3OA/view?usp=sharing</t>
  </si>
  <si>
    <t>2e4ca64c</t>
  </si>
  <si>
    <t>Valencia vs Oviedo - LaLiga</t>
  </si>
  <si>
    <t>https://www.vidio.com/live/17323-laliga?schedule_id=4612071</t>
  </si>
  <si>
    <t>https://drive.google.com/drive/folders/1gtr6P7ehpCBDzBfQYT9-rcq4UrF9_-hh?usp=drive_link</t>
  </si>
  <si>
    <t>valencia cf; Real Oviedo; sports stream</t>
  </si>
  <si>
    <t>Nonton streaming pertandingan seru Valencia vs Oviedo - LaLiga. Saksikan aksi-aksi terbaik dari tim yang bersaing ketat untuk meraih kemenangan. Dapatkan informasi lengkap mengenai jadwal pertandingan dan hasil pertandingan terbaru hanya di Vidio.</t>
  </si>
  <si>
    <t>mohammad.ibrahim@vidio.com</t>
  </si>
  <si>
    <t>https://drive.google.com/file/d/1r7ioDjFVBMqMZTjJ8VA-qHbIHSmzlXfS/view?usp=sharing</t>
  </si>
  <si>
    <t>https://drive.google.com/file/d/1TOnFp3EwEEi2d6P5zfbmfWQlpjYeOcvP/view?usp=drive_link</t>
  </si>
  <si>
    <t>a8d8e0cd</t>
  </si>
  <si>
    <t>Elche vs Celta Vigo - LaLiga</t>
  </si>
  <si>
    <t>https://www.vidio.com/live/6299-bein-1?schedule_id=4598333</t>
  </si>
  <si>
    <t>https://drive.google.com/drive/folders/1FdVNwdcDTts9wFZv7ncZGPcw4d4itN3I?usp=drive_link</t>
  </si>
  <si>
    <t>elche cf; real club celta de vigo; sports stream</t>
  </si>
  <si>
    <t>Nonton streaming pertandingan seru Elche vs Celta Vigo - LaLiga. Saksikan aksi-aksi terbaik dari tim yang bersaing ketat untuk meraih kemenangan. Dapatkan informasi lengkap mengenai jadwal pertandingan dan hasil pertandingan terbaru hanya di Vidio.</t>
  </si>
  <si>
    <t>https://drive.google.com/file/d/1TvTTKSrEEbHRDAwUwQJhB4tlNEzSP5_k/view?usp=sharing</t>
  </si>
  <si>
    <t>https://drive.google.com/file/d/1FU4FoylGP6rYKSLUjovaqO-arPOpHk5a/view?usp=sharing</t>
  </si>
  <si>
    <t>ef973e52</t>
  </si>
  <si>
    <t>Girona vs Valencia - LaLiga</t>
  </si>
  <si>
    <t>https://www.vidio.com/live/6317-bein-3?schedule_id=4614513</t>
  </si>
  <si>
    <t>https://drive.google.com/drive/folders/1QDZs4gwgreYGTmGeyd8ZPAO9bfPl-dQh?usp=drive_link</t>
  </si>
  <si>
    <t>https://drive.google.com/drive/folders/1YD9WuJVeK114lO9UuRHuqQtnmc99ULu2?usp=drive_link</t>
  </si>
  <si>
    <t>girona fc; valencia cf; sports stream</t>
  </si>
  <si>
    <t>Nonton streaming pertandingan seru Girona vs Valencia - LaLiga. Saksikan aksi-aksi terbaik dari tim yang bersaing ketat untuk meraih kemenangan. Dapatkan informasi lengkap mengenai jadwal pertandingan dan hasil pertandingan terbaru hanya di Vidio.</t>
  </si>
  <si>
    <t>GIR: Ounahi, Blind
VAL: Duro, Diakhaby</t>
  </si>
  <si>
    <t>https://drive.google.com/file/d/1DO90MfPFeOT4f9mLr8wqifFPY3GHTR8P/view?usp=sharing</t>
  </si>
  <si>
    <t>https://drive.google.com/file/d/1qjNPwwAdx-H-S281EgfYRwZ6XsdtGARV/view?usp=drive_link</t>
  </si>
  <si>
    <t>https://drive.google.com/file/d/1bg6pSvuAWq-R1iUfYrN-fAXEIDwj9-nH/view?usp=sharing</t>
  </si>
  <si>
    <t>65392183</t>
  </si>
  <si>
    <t>Sevilla vs Barcelona - LaLiga</t>
  </si>
  <si>
    <t>https://www.vidio.com/live/6317-bein-3?schedule_id=4626139</t>
  </si>
  <si>
    <t>https://drive.google.com/drive/folders/1Tzim0QCsSKyaOZMi_dlvIlpQTxEMjp51?usp=drive_link</t>
  </si>
  <si>
    <t>sevilla fc; fc barcelona; sports stream</t>
  </si>
  <si>
    <t>Nonton streaming pertandingan seru Sevilla vs Barcelona - LaLiga. Saksikan aksi-aksi terbaik dari tim yang bersaing ketat untuk meraih kemenangan. Dapatkan informasi lengkap mengenai jadwal pertandingan dan hasil pertandingan terbaru hanya di Vidio.</t>
  </si>
  <si>
    <t>SEV: Alexis Sanchez, Jose Angel
BAR: Yamal, De Jong</t>
  </si>
  <si>
    <t>https://drive.google.com/file/d/14W0K99pusM-lxZURPD6qutFO6fP52ucO/view?usp=sharing</t>
  </si>
  <si>
    <t>https://drive.google.com/file/d/165MZcR8_1bHuVRAFdZcZjjDb7PYcJ8yA/view?usp=sharing</t>
  </si>
  <si>
    <t>https://drive.google.com/file/d/1R1je1Fjspv-3wUV7Wx8HpamAoNNmjxBZ/view?usp=sharing</t>
  </si>
  <si>
    <t>d95d4f34</t>
  </si>
  <si>
    <t>Osasuna vs Getafe - LaLiga</t>
  </si>
  <si>
    <t>https://www.vidio.com/live/6299-bein-1?schedule_id=4614507</t>
  </si>
  <si>
    <t>https://drive.google.com/drive/folders/1n8QMrykgUQPi6t2gASuIF2OjxwLmtEdZ?usp=drive_link</t>
  </si>
  <si>
    <t>ca osasuna; getafe cf; sports stream</t>
  </si>
  <si>
    <t>Nonton streaming pertandingan seru Osasuna vs Getafe - LaLiga. Saksikan aksi-aksi terbaik dari tim yang bersaing ketat untuk meraih kemenangan. Dapatkan informasi lengkap mengenai jadwal pertandingan dan hasil pertandingan terbaru hanya di Vidio.</t>
  </si>
  <si>
    <t>https://drive.google.com/file/d/1lbMK83Gy8jBIuFCGF2QS2-89B63iV082/view?usp=sharing</t>
  </si>
  <si>
    <t>https://drive.google.com/file/d/15qKc52H2wY3Rr6ZrtWtiUz3NfjMRvcWj/view?usp=sharing</t>
  </si>
  <si>
    <t>5c68c3af</t>
  </si>
  <si>
    <t>Espanyol vs Real Betis - LaLiga</t>
  </si>
  <si>
    <t>https://www.vidio.com/live/6299-bein-1?schedule_id=4626131</t>
  </si>
  <si>
    <t>https://drive.google.com/drive/folders/1iV6sR6pr6sWrCgxjJd8tw7r5WzNMYwvx?usp=drive_link</t>
  </si>
  <si>
    <t>Reial Club Deportiu Espanyol; Real Betis Balompié; sports stream</t>
  </si>
  <si>
    <t>Nonton streaming pertandingan seru Espanyol vs Real Betis - LaLiga. Saksikan aksi-aksi terbaik dari tim yang bersaing ketat untuk meraih kemenangan. Dapatkan informasi lengkap mengenai jadwal pertandingan dan hasil pertandingan terbaru hanya di Vidio.</t>
  </si>
  <si>
    <t>ESP: Milla, Romero
BET: Juan Hernandez, Bellerin</t>
  </si>
  <si>
    <t>https://drive.google.com/file/d/1MxvTHZi6hztVkW7QaBaeOHxOfAf0VaNf/view?usp=sharing</t>
  </si>
  <si>
    <t>https://drive.google.com/file/d/1ITY2IQWQK0Eiwg3bPsdds5KTX00FAxkX/view?usp=drive_link</t>
  </si>
  <si>
    <t>https://drive.google.com/file/d/1QZXt-TqrYU3t8gKLLLU4WOBMgLk9Vqtv/view?usp=sharing</t>
  </si>
  <si>
    <t>e71afe27</t>
  </si>
  <si>
    <t>Real Sociedad vs Rayo Vallecano - LaLiga</t>
  </si>
  <si>
    <t>https://www.vidio.com/live/6317-bein-3?schedule_id=4626140</t>
  </si>
  <si>
    <t>https://drive.google.com/drive/folders/1VnYsLZGWHjiqZJOKjTqQLsVX5dCzxBXp?usp=drive_link</t>
  </si>
  <si>
    <t>Real Sociedad de Fútbol; rayo vallecano; sports stream</t>
  </si>
  <si>
    <t>Nonton streaming pertandingan seru Real Sociedad vs Rayo Vallecano - LaLiga. Saksikan aksi-aksi terbaik dari tim yang bersaing ketat untuk meraih kemenangan. Dapatkan informasi lengkap mengenai jadwal pertandingan dan hasil pertandingan terbaru hanya di Vidio.</t>
  </si>
  <si>
    <t>RSO: Barrenetxea, Kubo
RAY: Isi, Valentin</t>
  </si>
  <si>
    <t>https://drive.google.com/file/d/138x3P6peUm0Mfe2PHVFjmk651RvcNOVa/view?usp=sharing</t>
  </si>
  <si>
    <t>https://drive.google.com/file/d/1bxFYBUem-NWzWo34_SZsb32XdB7FXa6W/view?usp=drive_link</t>
  </si>
  <si>
    <t>https://drive.google.com/file/d/1VSs4Y2s_NqIU6LVsngW8o9hflz-0WI_Y/view?usp=sharing</t>
  </si>
  <si>
    <t>5cfde200</t>
  </si>
  <si>
    <t>Athletic Club vs Mallorca - LaLiga</t>
  </si>
  <si>
    <t>https://www.vidio.com/live/6299-bein-1?schedule_id=4614515</t>
  </si>
  <si>
    <t>https://drive.google.com/drive/folders/1sGw-DaHxPcGNTSCPIrx74_L1quXEPLvL?usp=drive_link</t>
  </si>
  <si>
    <t>athletic club bilbao; real club deportivo mallorca; sports stream</t>
  </si>
  <si>
    <t>Nonton streaming pertandingan seru Athletic Club vs Mallorca - LaLiga. Saksikan aksi-aksi terbaik dari tim yang bersaing ketat untuk meraih kemenangan. Dapatkan informasi lengkap mengenai jadwal pertandingan dan hasil pertandingan terbaru hanya di Vidio.</t>
  </si>
  <si>
    <t>ATH: Vivian, Jauregizar
MLL: Muriqi, Raillo</t>
  </si>
  <si>
    <t>https://drive.google.com/file/d/1di44N78EFpfRI1i1hQ3_ifCxsyWSGiQy/view?usp=sharing</t>
  </si>
  <si>
    <t>https://drive.google.com/file/d/1ecmvFYv6ZZ7H932DBn0857ztvQxJKyX0/view?usp=drive_link</t>
  </si>
  <si>
    <t>https://drive.google.com/file/d/17Tq0I06UPDaXq0NIrz1xZuhs5jqfac4w/view?usp=sharing</t>
  </si>
  <si>
    <t>7b99597c</t>
  </si>
  <si>
    <t>Real Madrid vs Villarreal - LaLiga</t>
  </si>
  <si>
    <t>https://www.vidio.com/live/6299-bein-1?schedule_id=4626129</t>
  </si>
  <si>
    <t>https://drive.google.com/drive/folders/1jne8p7sPc99qFJHVWdfokzQhK3t5erEM?usp=drive_link</t>
  </si>
  <si>
    <t>real madrid cf; villarreal cf; sports stream</t>
  </si>
  <si>
    <t>Nonton streaming pertandingan seru Real Madrid vs Villarreal - LaLiga. Saksikan aksi-aksi terbaik dari tim yang bersaing ketat untuk meraih kemenangan. Dapatkan informasi lengkap mengenai jadwal pertandingan dan hasil pertandingan terbaru hanya di Vidio.</t>
  </si>
  <si>
    <t>RMA: Bellingham, Mastantuono
VIL: Pepe, Mourino</t>
  </si>
  <si>
    <t>E4</t>
  </si>
  <si>
    <t>https://drive.google.com/file/d/1WWugvLhkMSomdk_En6gctZVPiMM7UucR/view?usp=sharing</t>
  </si>
  <si>
    <t>https://drive.google.com/file/d/1HRZL1TZSxfomFccgDWFFSaeIyuEt2BaW/view?usp=drive_link</t>
  </si>
  <si>
    <t>https://drive.google.com/file/d/1ynd99mR_3HZgFqnrwMkAS5lMIhVyBnaR/view?usp=sharing</t>
  </si>
  <si>
    <t>beb0c245</t>
  </si>
  <si>
    <t>Alaves vs Elche - LaLiga</t>
  </si>
  <si>
    <t>https://www.vidio.com/live/6317-bein-3?schedule_id=4626138</t>
  </si>
  <si>
    <t>https://drive.google.com/drive/folders/1cKXi_dhSRz4sJp9ln3A6kgdxeZYTmiLk?usp=drive_link</t>
  </si>
  <si>
    <t>deportivo alaves; elche cf; sports stream</t>
  </si>
  <si>
    <t>Nonton streaming pertandingan seru Alaves vs Elche - LaLiga. Saksikan aksi-aksi terbaik dari tim yang bersaing ketat untuk meraih kemenangan. Dapatkan informasi lengkap mengenai jadwal pertandingan dan hasil pertandingan terbaru hanya di Vidio.</t>
  </si>
  <si>
    <t>https://drive.google.com/file/d/1oga9YyIBJUgAJdWM-Sdn5ESgLdFw54Ib/view?usp=sharing</t>
  </si>
  <si>
    <t>https://drive.google.com/file/d/1MRoeSbM1lbAE5Q7n5hEvwfCYryy-xAAV/view?usp=drive_link</t>
  </si>
  <si>
    <t>d3ec8dfb</t>
  </si>
  <si>
    <t>Oviedo vs Levante - LaLiga</t>
  </si>
  <si>
    <t>https://www.vidio.com/live/6317-bein-3?schedule_id=4614511</t>
  </si>
  <si>
    <t>https://drive.google.com/drive/folders/1MoRfhnAyUUYa1nKBTM5fBt4I1XK-3zgk?usp=drive_link</t>
  </si>
  <si>
    <t>Real Oviedo; levante; sports stream</t>
  </si>
  <si>
    <t>Nonton streaming pertandingan seru Oviedo vs Levante - LaLiga. Saksikan aksi-aksi terbaik dari tim yang bersaing ketat untuk meraih kemenangan. Dapatkan informasi lengkap mengenai jadwal pertandingan dan hasil pertandingan terbaru hanya di Vidio.</t>
  </si>
  <si>
    <t>https://drive.google.com/file/d/13SKkv59TmwPRuJ6yCosrcjdfpRiPs3UN/view?usp=sharing</t>
  </si>
  <si>
    <t>https://drive.google.com/file/d/1WFf1CJu6jPzp9pv_zG51X985J6-TZaex/view?usp=drive_link</t>
  </si>
  <si>
    <t>5ef85630</t>
  </si>
  <si>
    <t>Celta Vigo vs Atletico Madrid - LaLiga</t>
  </si>
  <si>
    <t>https://www.vidio.com/live/6299-bein-1?schedule_id=4630481</t>
  </si>
  <si>
    <t>https://drive.google.com/drive/folders/1i3p3erad0owwHmWEPFQQWaBIRvN7TiyO?usp=drive_link</t>
  </si>
  <si>
    <t>real club celta de vigo; Club Atlético de Madrid; sports stream</t>
  </si>
  <si>
    <t>Nonton streaming pertandingan seru Celta Vigo vs Atletico Madrid - LaLiga. Saksikan aksi-aksi terbaik dari tim yang bersaing ketat untuk meraih kemenangan. Dapatkan informasi lengkap mengenai jadwal pertandingan dan hasil pertandingan terbaru hanya di Vidio.</t>
  </si>
  <si>
    <t>CEL: Marcos Alonso, Mingueza
ATM: Alvarez, Sorloth</t>
  </si>
  <si>
    <t>https://drive.google.com/file/d/1K0_lRMCjFv2VL7iHgP7fdwbymWKzAq4c/view?usp=sharing</t>
  </si>
  <si>
    <t>https://drive.google.com/file/d/1KM2gB3ua1IrMBtnd-gI5njetFx_Pq9e9/view?usp=sharing</t>
  </si>
  <si>
    <t>https://drive.google.com/file/d/1DSpOq6_NT5pnd2kO2yt9SmVESGEgotwF/view?usp=sharing</t>
  </si>
  <si>
    <t>43abbccd</t>
  </si>
  <si>
    <t>Elche vs Athletic Club - LaLiga</t>
  </si>
  <si>
    <t>https://www.vidio.com/live/6299-bein-1?schedule_id=4655939</t>
  </si>
  <si>
    <t>https://drive.google.com/drive/folders/1bIkKXqqD_tU_csZzHy4sp9ISRRYQKZN0?usp=drive_link</t>
  </si>
  <si>
    <t>https://drive.google.com/drive/folders/1kMnAUovIfqAZyRE7zHeYvNuw4YZstmZE?usp=drive_link</t>
  </si>
  <si>
    <t>elche cf; athletic club bilbao; sports stream</t>
  </si>
  <si>
    <t>Nonton streaming pertandingan seru Elche vs Athletic Club - LaLiga. Saksikan aksi-aksi terbaik dari tim yang bersaing ketat untuk meraih kemenangan. Dapatkan informasi lengkap mengenai jadwal pertandingan dan hasil pertandingan terbaru hanya di Vidio.</t>
  </si>
  <si>
    <t>ELC: Valera, Aguado
ATH: Nico Williams, Laporte</t>
  </si>
  <si>
    <t>https://drive.google.com/file/d/1nhTD1hQJty0qY9jbeWRY0mOBUWV_cTB_/view?usp=sharing</t>
  </si>
  <si>
    <t>https://drive.google.com/file/d/163bpfUmdwcohHyUkrGMelIujw4hMW2XT/view?usp=drive_link</t>
  </si>
  <si>
    <t>https://drive.google.com/file/d/1aCgrJg2nq8YQTLOxh1OxmlmZ8avov4Ow/view?usp=sharing</t>
  </si>
  <si>
    <t>016e50ab</t>
  </si>
  <si>
    <t>Levante vs Rayo Vallecano - LaLiga</t>
  </si>
  <si>
    <t>https://www.vidio.com/live/6317-bein-3?schedule_id=4655971</t>
  </si>
  <si>
    <t>https://drive.google.com/drive/folders/1A2irc02HrsxKfw1oHIyjbl7CA3_CZgxj?usp=drive_link</t>
  </si>
  <si>
    <t>levante; rayo vallecano; sports stream</t>
  </si>
  <si>
    <t>Nonton streaming pertandingan seru Levante vs Rayo Vallecano - LaLiga. Saksikan aksi-aksi terbaik dari tim yang bersaing ketat untuk meraih kemenangan. Dapatkan informasi lengkap mengenai jadwal pertandingan dan hasil pertandingan terbaru hanya di Vidio.</t>
  </si>
  <si>
    <t>https://drive.google.com/file/d/1H5qoSZzfesJXz4egFkxy5Jsrb_40yyHj/view?usp=sharing</t>
  </si>
  <si>
    <t>https://drive.google.com/file/d/1xy1L9_OAEFtvmd9p2vwOvVOmjSQShQMK/view?usp=sharing</t>
  </si>
  <si>
    <t>fa61ecf6</t>
  </si>
  <si>
    <t>Oviedo vs Espanyol - LaLiga</t>
  </si>
  <si>
    <t>https://www.vidio.com/live/17323-laliga?schedule_id=4652438</t>
  </si>
  <si>
    <t>https://drive.google.com/drive/folders/1G49hUmdqtr84Zxgp7aQdUTKPb3306WtS?usp=drive_link</t>
  </si>
  <si>
    <t>Real Oviedo; Reial Club Deportiu Espanyol; sports stream</t>
  </si>
  <si>
    <t>Nonton streaming pertandingan seru Oviedo vs Espanyol - LaLiga. Saksikan aksi-aksi terbaik dari tim yang bersaing ketat untuk meraih kemenangan. Dapatkan informasi lengkap mengenai jadwal pertandingan dan hasil pertandingan terbaru hanya di Vidio.</t>
  </si>
  <si>
    <t>https://drive.google.com/file/d/1OKXQoDny0Bn9FbzVR0da_xnrHQB7Usy4/view?usp=sharing</t>
  </si>
  <si>
    <t>https://drive.google.com/file/d/1zJs5O_cCbmyI8uI3Ilqcg4TZmtwmseWp/view?usp=drive_link</t>
  </si>
  <si>
    <t>835de9f1</t>
  </si>
  <si>
    <t>Villarreal vs Real Betis - LaLiga</t>
  </si>
  <si>
    <t>https://www.vidio.com/live/6317-bein-3?schedule_id=4655969</t>
  </si>
  <si>
    <t>https://drive.google.com/drive/folders/1O1E44x1vbPwwwj0gqmae9XV64wBjjwud?usp=drive_link</t>
  </si>
  <si>
    <t>villarreal cf; Real Betis Balompié; sports stream</t>
  </si>
  <si>
    <t>Nonton streaming pertandingan seru Villarreal vs Real Betis - LaLiga. Saksikan aksi-aksi terbaik dari tim yang bersaing ketat untuk meraih kemenangan. Dapatkan informasi lengkap mengenai jadwal pertandingan dan hasil pertandingan terbaru hanya di Vidio.</t>
  </si>
  <si>
    <t>VIL: Gueye, Mikautadze
BET: Juan Hernandez, Ezzalzouli</t>
  </si>
  <si>
    <t>https://drive.google.com/file/d/1DlZhaXcmTAP9ghfZ75it9eB94qLoEmbq/view?usp=sharing</t>
  </si>
  <si>
    <t>https://drive.google.com/file/d/1MTJfYQGxqAylQ843AFoMvnBaRHJ6OuBA/view?usp=drive_link</t>
  </si>
  <si>
    <t>https://drive.google.com/file/d/1KDZYmut1rIOmLVkkci_cWFpPTwiEYtQS/view?usp=sharing</t>
  </si>
  <si>
    <t>c7da7b42</t>
  </si>
  <si>
    <t>Alaves vs Valencia - LaLiga</t>
  </si>
  <si>
    <t>https://www.vidio.com/live/6299-bein-1?schedule_id=4660126</t>
  </si>
  <si>
    <t>https://drive.google.com/drive/folders/1eCLW1yvTyQhIT6T-wlTx2licA9lxigJG</t>
  </si>
  <si>
    <t>deportivo alaves; valencia cf; sports stream</t>
  </si>
  <si>
    <t>Nonton streaming pertandingan seru Alaves vs Valencia - LaLiga. Saksikan aksi-aksi terbaik dari tim yang bersaing ketat untuk meraih kemenangan. Dapatkan informasi lengkap mengenai jadwal pertandingan dan hasil pertandingan terbaru hanya di Vidio.</t>
  </si>
  <si>
    <t>https://drive.google.com/file/d/1ErSCelEFpmSvNJPwGI9bHR8aiTCafeuJ/view?usp=drive_link</t>
  </si>
  <si>
    <t>https://drive.google.com/file/d/1dvLn_iie1vD5pI3jbPJXvCmvBFvqCuCw/view?usp=drive_link</t>
  </si>
  <si>
    <t>e122e76b</t>
  </si>
  <si>
    <t>Atletico Madrid vs Osasuna - LaLiga</t>
  </si>
  <si>
    <t>https://www.vidio.com/live/6317-bein-3?schedule_id=4655970</t>
  </si>
  <si>
    <t>https://drive.google.com/drive/folders/1oXu2yW3GD_VFYgE9D4CRNIZilsIbf3t1?usp=drive_link</t>
  </si>
  <si>
    <t>Club Atlético de Madrid; ca osasuna; sports stream</t>
  </si>
  <si>
    <t>Nonton streaming pertandingan seru Atletico Madrid vs Osasuna - LaLiga. Saksikan aksi-aksi terbaik dari tim yang bersaing ketat untuk meraih kemenangan. Dapatkan informasi lengkap mengenai jadwal pertandingan dan hasil pertandingan terbaru hanya di Vidio.</t>
  </si>
  <si>
    <t>ATM: Alvarez, Barrios
OSA: Bretones, Boyomo</t>
  </si>
  <si>
    <t>https://drive.google.com/file/d/1i8KxUYofq6aWTrEQSeWmte4jSItx-8Px/view?usp=sharing</t>
  </si>
  <si>
    <t>https://drive.google.com/file/d/1TXCWzM9EXN8s5qrqprg6FaOQfhvRp63N/view?usp=sharing</t>
  </si>
  <si>
    <t>https://drive.google.com/file/d/1NbAol1iYUyKivzeJCryWMJXGtUsG3l8L/view?usp=sharing</t>
  </si>
  <si>
    <t>712f9a8f</t>
  </si>
  <si>
    <t>Getafe vs Real Madrid - LaLiga</t>
  </si>
  <si>
    <t>https://www.vidio.com/live/6317-bein-3?schedule_id=4655972</t>
  </si>
  <si>
    <t>https://drive.google.com/drive/folders/1DJcbizQAwVczNDOxu7DKxUQq5S0C3h2_?usp=drive_link</t>
  </si>
  <si>
    <t>getafe cf; real madrid cf; sports stream</t>
  </si>
  <si>
    <t>Nonton streaming pertandingan seru Getafe vs Real Madrid - LaLiga. Saksikan aksi-aksi terbaik dari tim yang bersaing ketat untuk meraih kemenangan. Dapatkan informasi lengkap mengenai jadwal pertandingan dan hasil pertandingan terbaru hanya di Vidio.</t>
  </si>
  <si>
    <t>GET: Milla, Mayoral
RMA: Vinicius, Valverde</t>
  </si>
  <si>
    <t>C3</t>
  </si>
  <si>
    <t>TVC</t>
  </si>
  <si>
    <t>https://drive.google.com/file/d/1MWF2IyMhSorUIxa6iB9yzkDsEXiP0Bwr/view?usp=sharing</t>
  </si>
  <si>
    <t>https://drive.google.com/file/d/1zEeRVrgnRN_A4SeCwx7xC1A5GUy-ZXgq/view?usp=drive_link</t>
  </si>
  <si>
    <t>https://drive.google.com/file/d/1baB1m--sNklPlltQrHayOuUMA9YEIUVP/view?usp=sharing</t>
  </si>
  <si>
    <t>e6ed63fc</t>
  </si>
  <si>
    <t>Celta Vigo vs Real Sociedad - LaLiga</t>
  </si>
  <si>
    <t>https://www.vidio.com/live/6299-bein-1?schedule_id=4655940</t>
  </si>
  <si>
    <t>https://drive.google.com/drive/folders/11n5u_0bkO3lHCz4UjJiRd089IHB2ycgF?usp=drive_link</t>
  </si>
  <si>
    <t>real club celta de vigo; Real Sociedad de Fútbol; sports stream</t>
  </si>
  <si>
    <t>Nonton streaming pertandingan seru Celta Vigo vs Real Sociedad - LaLiga. Saksikan aksi-aksi terbaik dari tim yang bersaing ketat untuk meraih kemenangan. Dapatkan informasi lengkap mengenai jadwal pertandingan dan hasil pertandingan terbaru hanya di Vidio.</t>
  </si>
  <si>
    <t>CEL: Marcos Alonso, Mingueza
RSO: Sergio Gomez, Barrenetxea</t>
  </si>
  <si>
    <t>https://drive.google.com/file/d/14cRLId3klEueRkFEX0MQHTnjRiwpB5Du/view?usp=sharing</t>
  </si>
  <si>
    <t>https://drive.google.com/file/d/1N8K2DkyOBGqPzCm7LgfnKCZRh4yY6GYP/view?usp=drive_link</t>
  </si>
  <si>
    <t>https://drive.google.com/file/d/1CPEimpXtpCg1aWb6_ic8dknxEjVJeQpw/view?usp=sharing</t>
  </si>
  <si>
    <t>5653dd37</t>
  </si>
  <si>
    <t>Barcelona vs Girona - LaLiga</t>
  </si>
  <si>
    <t>https://www.vidio.com/live/6317-bein-3?schedule_id=4655968</t>
  </si>
  <si>
    <t>https://drive.google.com/drive/folders/1pp91uif7fsz95e7aizrncKR7752SK7xq?usp=drive_link</t>
  </si>
  <si>
    <t>fc barcelona; girona fc; sports stream</t>
  </si>
  <si>
    <t>Nonton streaming pertandingan seru Barcelona vs Girona - LaLiga. Saksikan aksi-aksi terbaik dari tim yang bersaing ketat untuk meraih kemenangan. Dapatkan informasi lengkap mengenai jadwal pertandingan dan hasil pertandingan terbaru hanya di Vidio.</t>
  </si>
  <si>
    <t>BAR: Rashford, Cubarsi
GIR: Arnau, Witsel</t>
  </si>
  <si>
    <t>https://drive.google.com/file/d/1ic6B5r5RCA2V4CBympvPDAGNye6K6uQF/view?usp=sharing</t>
  </si>
  <si>
    <t>https://drive.google.com/file/d/1oO30bYUCgPxRvUMyc99rc7p_4MpQmlIO/view?usp=drive_link</t>
  </si>
  <si>
    <t>https://drive.google.com/file/d/1zpc8OLrhufFsHP4Moy_61XA4VTlFagr7/view?usp=sharing</t>
  </si>
  <si>
    <t>cc6a352e</t>
  </si>
  <si>
    <t>Sevilla vs Mallorca - LaLiga</t>
  </si>
  <si>
    <t>https://www.vidio.com/live/6299-bein-1?schedule_id=4655938</t>
  </si>
  <si>
    <t>https://drive.google.com/drive/folders/1BjAx6EhiC9Kp1Co1l_OdLb5T1f3KT_C6?usp=drive_link</t>
  </si>
  <si>
    <t>sevilla fc; real club deportivo mallorca; sports stream</t>
  </si>
  <si>
    <t>Nonton streaming pertandingan seru Sevilla vs Mallorca - LaLiga. Saksikan aksi-aksi terbaik dari tim yang bersaing ketat untuk meraih kemenangan. Dapatkan informasi lengkap mengenai jadwal pertandingan dan hasil pertandingan terbaru hanya di Vidio.</t>
  </si>
  <si>
    <t>SEV: Alexis, Jose Angel
MLL: Samu, Muriqi</t>
  </si>
  <si>
    <t>https://drive.google.com/file/d/15w44ZmGs3QNpAssYsWipIMqOy7OQ2Xyp/view?usp=sharing</t>
  </si>
  <si>
    <t>https://drive.google.com/file/d/166wbCwqFE_JEZ62Oim7zAXD-nHMYoTQ5/view?usp=sharing</t>
  </si>
  <si>
    <t>https://drive.google.com/file/d/1g7tcuTKEI_Bayd_ohVVFMMxd_2IqJtxX/view?usp=sharing</t>
  </si>
  <si>
    <t>e6aac8ef</t>
  </si>
  <si>
    <t>Valencia vs Villarreal - LaLiga</t>
  </si>
  <si>
    <t>https://www.vidio.com/live/6317-bein-3?schedule_id=4665864</t>
  </si>
  <si>
    <t>https://drive.google.com/drive/folders/1BERMaoEtVJR9PKc4QEPi0pA-qf3sWWzu?usp=drive_link</t>
  </si>
  <si>
    <t>https://drive.google.com/drive/folders/1qeL-o6mT1rTYcd3c01m2layrhrqUN4pM?usp=drive_link</t>
  </si>
  <si>
    <t>valencia cf; villarreal cf; sports stream</t>
  </si>
  <si>
    <t>Nonton streaming pertandingan seru Valencia vs Villarreal - LaLiga. Saksikan aksi-aksi terbaik dari tim yang bersaing ketat untuk meraih kemenangan. Dapatkan informasi lengkap mengenai jadwal pertandingan dan hasil pertandingan terbaru hanya di Vidio.</t>
  </si>
  <si>
    <t>VAL: Guerra, Pepelu
VIL: Moleiro, Buchanan</t>
  </si>
  <si>
    <t>https://drive.google.com/file/d/1hBwN234SkbnVL4lfwXGT35btIui6monk/view?usp=sharing</t>
  </si>
  <si>
    <t>https://drive.google.com/file/d/1fJT-8cw4rY17wxizzKy1PV1BxsjH0bXr/view?usp=drive_link</t>
  </si>
  <si>
    <t>https://drive.google.com/file/d/1FZDe-J1bY7IWOg2gTUH0QiS5FFGmSgLh/view?usp=sharing</t>
  </si>
  <si>
    <t>9a85dc5b</t>
  </si>
  <si>
    <t>Rayo Vallecano vs Alaves - LaLiga</t>
  </si>
  <si>
    <t>https://www.vidio.com/live/6317-bein-3?schedule_id=4671772</t>
  </si>
  <si>
    <t>https://drive.google.com/drive/folders/1DHfg1OwqHDMVaCmrRrRtQTE_ubk6_lJ3?usp=drive_link</t>
  </si>
  <si>
    <t>rayo vallecano; deportivo alaves; sports stream</t>
  </si>
  <si>
    <t>Nonton streaming pertandingan seru Rayo Vallecano vs Alaves - LaLiga. Saksikan aksi-aksi terbaik dari tim yang bersaing ketat untuk meraih kemenangan. Dapatkan informasi lengkap mengenai jadwal pertandingan dan hasil pertandingan terbaru hanya di Vidio.</t>
  </si>
  <si>
    <t>https://drive.google.com/file/d/1poygA9-i8DtvdirgV5KqHnsFo6TvDEbT/view?usp=sharing</t>
  </si>
  <si>
    <t>https://drive.google.com/file/d/111Ign6wkZKM1rjNbtuRfQPwmR-p3OqSr/view?usp=drive_link</t>
  </si>
  <si>
    <t>993349d0</t>
  </si>
  <si>
    <t>Mallorca vs Levante - LaLiga</t>
  </si>
  <si>
    <t>https://www.vidio.com/live/6299-bein-1?schedule_id=4665858</t>
  </si>
  <si>
    <t>https://drive.google.com/drive/folders/1VzdUR-NfVFqR2H_7VNh996ccaKGhOjEv?usp=drive_link</t>
  </si>
  <si>
    <t>real club deportivo mallorca; levante; sports stream</t>
  </si>
  <si>
    <t>Nonton streaming pertandingan seru Mallorca vs Levante - LaLiga. Saksikan aksi-aksi terbaik dari tim yang bersaing ketat untuk meraih kemenangan. Dapatkan informasi lengkap mengenai jadwal pertandingan dan hasil pertandingan terbaru hanya di Vidio.</t>
  </si>
  <si>
    <t>https://drive.google.com/file/d/1c3vp-XJ5P-TsNCGNmBLImvIeJJHV71Vg/view?usp=sharing</t>
  </si>
  <si>
    <t>https://drive.google.com/file/d/1-UxJhBQ1ct9bvKfbqmI3RiTIMOlIzB61/view?usp=sharing</t>
  </si>
  <si>
    <t>c30b6b89</t>
  </si>
  <si>
    <t>Osasuna vs Celta Vigo - LaLiga</t>
  </si>
  <si>
    <t>https://www.vidio.com/live/6317-bein-3?schedule_id=4671771</t>
  </si>
  <si>
    <t>https://drive.google.com/drive/folders/1NPSmt8ZUIQkRrHRFKPB9stHkHCJkHChP?usp=drive_link</t>
  </si>
  <si>
    <t>ca osasuna; real club celta de vigo; sports stream</t>
  </si>
  <si>
    <t>Nonton streaming pertandingan seru Osasuna vs Celta Vigo - LaLiga. Saksikan aksi-aksi terbaik dari tim yang bersaing ketat untuk meraih kemenangan. Dapatkan informasi lengkap mengenai jadwal pertandingan dan hasil pertandingan terbaru hanya di Vidio.</t>
  </si>
  <si>
    <t>https://drive.google.com/file/d/17XQnxtF9IAsJacyyVmqxB8QDiUnYMqod/view?usp=sharing</t>
  </si>
  <si>
    <t>https://drive.google.com/file/d/1LdCbHExLg13l8ctXQvI-fUKmzuCgPYam/view?usp=sharing</t>
  </si>
  <si>
    <t>ddbbd253</t>
  </si>
  <si>
    <t>Real Sociedad vs Sevilla - LaLiga</t>
  </si>
  <si>
    <t>https://www.vidio.com/live/6317-bein-3?schedule_id=4665856</t>
  </si>
  <si>
    <t>https://drive.google.com/drive/folders/1Dy4Zpa4afP6c-PxV3ajOwN687bfDHLoD?usp=drive_link</t>
  </si>
  <si>
    <t>Real Sociedad de Fútbol; sevilla fc; sports stream</t>
  </si>
  <si>
    <t>Nonton streaming pertandingan seru Real Sociedad vs Sevilla - LaLiga. Saksikan aksi-aksi terbaik dari tim yang bersaing ketat untuk meraih kemenangan. Dapatkan informasi lengkap mengenai jadwal pertandingan dan hasil pertandingan terbaru hanya di Vidio.</t>
  </si>
  <si>
    <t>RSO:  Sergio Gomez, Oyarzabal
SEV: Vargas, Jose Angel</t>
  </si>
  <si>
    <t>https://drive.google.com/file/d/1UctUmSiRS-hfW4vaRRnh5vkd7tUpfl-y/view?usp=sharing</t>
  </si>
  <si>
    <t>https://drive.google.com/file/d/1mBRxb51ZehMwBclQuWeYmJ-gHBHMaLDi/view?usp=drive_link</t>
  </si>
  <si>
    <t>https://drive.google.com/file/d/1qUN-OSanfVadMo18aV2bWdZoTz45YG6o/view?usp=sharing</t>
  </si>
  <si>
    <t>96af91e4</t>
  </si>
  <si>
    <t>Athletic Club vs Getafe - LaLiga</t>
  </si>
  <si>
    <t>https://www.vidio.com/live/6317-bein-3?schedule_id=4665863</t>
  </si>
  <si>
    <t>https://drive.google.com/drive/folders/1knY_wnTbCzq5m4PGXqyr3T28iAT4Z46q?usp=drive_link</t>
  </si>
  <si>
    <t>athletic club bilbao; getafe cf; sports stream</t>
  </si>
  <si>
    <t>Nonton streaming pertandingan seru Athletic Club vs Getafe - LaLiga. Saksikan aksi-aksi terbaik dari tim yang bersaing ketat untuk meraih kemenangan. Dapatkan informasi lengkap mengenai jadwal pertandingan dan hasil pertandingan terbaru hanya di Vidio.</t>
  </si>
  <si>
    <t>ATH: Inaki, Nico
GET: Kiko Femenia (Drive), Liso</t>
  </si>
  <si>
    <t>https://drive.google.com/file/d/1US_s7i5UWB0CHWZSoY6xXwSIILHaoA-b/view?usp=sharing</t>
  </si>
  <si>
    <t>https://drive.google.com/file/d/1YCcxJH9iHQL3CbZSnZQPd85pAyVMCjUd/view?usp=drive_link</t>
  </si>
  <si>
    <t>https://drive.google.com/file/d/1EbUYxOoZQvyI9oyllu_fKGwEVXfzOftQ/view?usp=sharing</t>
  </si>
  <si>
    <t>3f86da44</t>
  </si>
  <si>
    <t>Espanyol vs Elche - LaLiga</t>
  </si>
  <si>
    <t>https://www.vidio.com/live/6299-bein-1?schedule_id=4665859</t>
  </si>
  <si>
    <t>https://drive.google.com/drive/folders/1Zu3OAo0S2_pW7JebuZ1lawDm5yCgSaPG?usp=drive_link</t>
  </si>
  <si>
    <t>Reial Club Deportiu Espanyol; elche cf; sports stream</t>
  </si>
  <si>
    <t>Nonton streaming pertandingan seru Espanyol vs Elche - LaLiga. Saksikan aksi-aksi terbaik dari tim yang bersaing ketat untuk meraih kemenangan. Dapatkan informasi lengkap mengenai jadwal pertandingan dan hasil pertandingan terbaru hanya di Vidio.</t>
  </si>
  <si>
    <t>https://drive.google.com/file/d/1wkmvEz1Whe1SazYK6nALkb5R-4Ro2KfJ/view?usp=sharing</t>
  </si>
  <si>
    <t>https://drive.google.com/file/d/1NkYrPDpC4N_1rBpySbhG5FK45XoffeI4/view?usp=sharing</t>
  </si>
  <si>
    <t>28c7af45</t>
  </si>
  <si>
    <t>Real Madrid vs Barcelona - LaLiga</t>
  </si>
  <si>
    <t>https://www.vidio.com/live/6299-bein-1?schedule_id=4665857</t>
  </si>
  <si>
    <t>https://drive.google.com/drive/folders/10kmXh5mqLGkmCBtTYcu_tWdRmlZcgwFj?usp=drive_link</t>
  </si>
  <si>
    <t>real madrid cf; fc barcelona; sports stream</t>
  </si>
  <si>
    <t>Nonton streaming pertandingan seru Real Madrid vs Barcelona - LaLiga. Saksikan aksi-aksi terbaik dari tim yang bersaing ketat untuk meraih kemenangan. Dapatkan informasi lengkap mengenai jadwal pertandingan dan hasil pertandingan terbaru hanya di Vidio.</t>
  </si>
  <si>
    <t>RMA: Mbappe, Vinicius
BAR: Yamal, Pedri</t>
  </si>
  <si>
    <t>https://drive.google.com/file/d/1Ayxma8VaWfEoFfqskFK69Bpo5MGPUwUo/view?usp=sharing</t>
  </si>
  <si>
    <t>https://drive.google.com/file/d/1FM2DoEahGAPhXuQsnjSaOvnM2oI19nD2/view?usp=drive_link</t>
  </si>
  <si>
    <t>https://drive.google.com/file/d/1kLRoOR2wwE5vbTomFey7_fGLYt1G0tfb/view?usp=sharing</t>
  </si>
  <si>
    <t>2aec80bb</t>
  </si>
  <si>
    <t>Girona vs Oviedo - LaLiga</t>
  </si>
  <si>
    <t>https://www.vidio.com/live/6299-bein-1?schedule_id=4665860</t>
  </si>
  <si>
    <t>https://drive.google.com/drive/folders/1dE33-zX3i5cGKiIX8PJrBTwMn3COWWAk?usp=drive_link</t>
  </si>
  <si>
    <t>girona fc; Real Oviedo; sports stream</t>
  </si>
  <si>
    <t>Nonton streaming pertandingan seru Girona vs Oviedo - LaLiga. Saksikan aksi-aksi terbaik dari tim yang bersaing ketat untuk meraih kemenangan. Dapatkan informasi lengkap mengenai jadwal pertandingan dan hasil pertandingan terbaru hanya di Vidio.</t>
  </si>
  <si>
    <t>GIR: Witsel, Tsyhankov
OVI: Dendocker, Vinas</t>
  </si>
  <si>
    <t>https://drive.google.com/file/d/1n7hEqNIVYCeyeOSLItY4fzZRPqniQOLu/view?usp=sharing</t>
  </si>
  <si>
    <t>https://drive.google.com/file/d/1VVZ4qo26RiaPcj3IqdaSc9nZBFOef4tn/view?usp=drive_link</t>
  </si>
  <si>
    <t>https://drive.google.com/file/d/1rn-HIJI2P18_eB2GBotczkk4R1kmf5wq/view?usp=sharing</t>
  </si>
  <si>
    <t>609b8c71</t>
  </si>
  <si>
    <t>Real Betis vs Atletico Madrid - LaLiga</t>
  </si>
  <si>
    <t>https://www.vidio.com/live/6299-bein-1?schedule_id=4671775</t>
  </si>
  <si>
    <t>https://drive.google.com/drive/folders/1bq3gyrmZ9JDYNLa_KMFXAjwEBni9okk1?usp=drive_link</t>
  </si>
  <si>
    <t>Real Betis Balompié; Club Atlético de Madrid; sports stream</t>
  </si>
  <si>
    <t>Nonton streaming pertandingan seru Real Betis vs Atletico Madrid - LaLiga. Saksikan aksi-aksi terbaik dari tim yang bersaing ketat untuk meraih kemenangan. Dapatkan informasi lengkap mengenai jadwal pertandingan dan hasil pertandingan terbaru hanya di Vidio.</t>
  </si>
  <si>
    <t>BET: Antony, Fornals
ATM: Llorente (Drive), Griezmann</t>
  </si>
  <si>
    <t>https://drive.google.com/file/d/1paOmlkqw3z720yXayMMV1WdIQEGFTmkB/view?usp=sharing</t>
  </si>
  <si>
    <t>https://drive.google.com/file/d/1xMePQB3_VGc2NnaSDDiEfpc63o7fpk60/view?usp=drive_link</t>
  </si>
  <si>
    <t>https://drive.google.com/file/d/1tEL-5fKV-pVbrmSEyArEgvajtcIqlvFD/view?usp=sharing</t>
  </si>
  <si>
    <t>c920a388</t>
  </si>
  <si>
    <t>Real Sociedad vs Athletic Club - LaLiga</t>
  </si>
  <si>
    <t>https://www.vidio.com/live/6299-bein-1?schedule_id=4677361</t>
  </si>
  <si>
    <t>https://drive.google.com/drive/folders/1ZsBn3f-9iJuBxmPpFNr_RlHj1raXbtu9?usp=drive_link</t>
  </si>
  <si>
    <t>https://drive.google.com/drive/folders/1cA9KxSRTjbGHfV97cQx2X2tYvii98MF_?usp=drive_link</t>
  </si>
  <si>
    <t>Real Sociedad de Fútbol; athletic club bilbao; sports stream</t>
  </si>
  <si>
    <t>Nonton streaming pertandingan seru Real Sociedad vs Athletic Club - LaLiga. Saksikan aksi-aksi terbaik dari tim yang bersaing ketat untuk meraih kemenangan. Dapatkan informasi lengkap mengenai jadwal pertandingan dan hasil pertandingan terbaru hanya di Vidio.</t>
  </si>
  <si>
    <t>RSO: Oyarzabal, Aramburu (Gdrive)
ATH: Berchiche (Gdrive), Sancet</t>
  </si>
  <si>
    <t>https://drive.google.com/file/d/1DxlaPjP1-B6We10jKRSySfF4LbUP1eQI/view?usp=sharing</t>
  </si>
  <si>
    <t>https://drive.google.com/file/d/1pYPQUfTfrmjU-Ur-Q1R7iDyIW8w6aYM4/view?usp=sharing</t>
  </si>
  <si>
    <t>https://drive.google.com/file/d/1TH_QdF1aQXAXhVcP7YWjZP7S4rjqnhJA/view?usp=sharing</t>
  </si>
  <si>
    <t>77cecfa5</t>
  </si>
  <si>
    <t>Barcelona vs Elche - LaLiga</t>
  </si>
  <si>
    <t>https://www.vidio.com/live/6299-bein-1?schedule_id=4678458</t>
  </si>
  <si>
    <t>https://drive.google.com/drive/folders/1oAYBiROnyMPBXqWYF9-olOqI4yiSeTuM?usp=drive_link</t>
  </si>
  <si>
    <t>fc barcelona; elche cf; sports stream</t>
  </si>
  <si>
    <t>Nonton streaming pertandingan seru Barcelona vs Elche - LaLiga. Saksikan aksi-aksi terbaik dari tim yang bersaing ketat untuk meraih kemenangan. Dapatkan informasi lengkap mengenai jadwal pertandingan dan hasil pertandingan terbaru hanya di Vidio.</t>
  </si>
  <si>
    <t>BAR: Rashford, Szczesny (Gdrive)
ELC: Andre Silva, Pena (22nya Gdrive)</t>
  </si>
  <si>
    <t>https://drive.google.com/file/d/1oIAha9yBrMODs0vCw6urGtXcUsorCx5t/view?usp=sharing</t>
  </si>
  <si>
    <t>https://drive.google.com/file/d/1dphA8KcSI_jOGPFZHVQxU1aQZWvYlDvc/view?usp=sharing</t>
  </si>
  <si>
    <t>https://drive.google.com/file/d/1FLl4BJwGAK9Jf59nRIHFlOYGdi_GqIdo/view?usp=sharing</t>
  </si>
  <si>
    <t>a099907a</t>
  </si>
  <si>
    <t>Alaves vs Espanyol - LaLiga</t>
  </si>
  <si>
    <t>https://www.vidio.com/live/6299-bein-1?schedule_id=4677364</t>
  </si>
  <si>
    <t>https://drive.google.com/drive/folders/1nrNL2s6LY52u8rkzHHMJ8BTA64ITmMoG?usp=drive_link</t>
  </si>
  <si>
    <t>deportivo alaves; Reial Club Deportiu Espanyol; sports stream</t>
  </si>
  <si>
    <t>Nonton streaming pertandingan seru Alaves vs Espanyol - LaLiga. Saksikan aksi-aksi terbaik dari tim yang bersaing ketat untuk meraih kemenangan. Dapatkan informasi lengkap mengenai jadwal pertandingan dan hasil pertandingan terbaru hanya di Vidio.</t>
  </si>
  <si>
    <t>https://drive.google.com/file/d/1DIn-OZH3fQei28979jLJ-2AAsvrZ1YA-/view?usp=sharing</t>
  </si>
  <si>
    <t>https://drive.google.com/file/d/1ah06hmJvULpyvW6MpapzVLbPQ6GsCYJX/view?usp=drive_link</t>
  </si>
  <si>
    <t>ac4553da</t>
  </si>
  <si>
    <t>Atletico Madrid vs Sevilla - LaLiga</t>
  </si>
  <si>
    <t>https://www.vidio.com/live/6299-bein-1?schedule_id=4677360</t>
  </si>
  <si>
    <t>https://drive.google.com/drive/folders/1PxHGtduuVDsv9_kch9IlA3tBN6Q4ZYBD?usp=drive_link</t>
  </si>
  <si>
    <t>Club Atlético de Madrid; sevilla fc; sports stream</t>
  </si>
  <si>
    <t>Nonton streaming pertandingan seru Atletico Madrid vs Sevilla - LaLiga. Saksikan aksi-aksi terbaik dari tim yang bersaing ketat untuk meraih kemenangan. Dapatkan informasi lengkap mengenai jadwal pertandingan dan hasil pertandingan terbaru hanya di Vidio.</t>
  </si>
  <si>
    <t>ATM: Simeone, Baena (Gdrive)
SEV: Suazo, Gudelj (22nya dari Gdrive)</t>
  </si>
  <si>
    <t>https://drive.google.com/file/d/12v7FfgOKlg4i1eck8Z0X3S9CWUFGLRVU/view?usp=sharing</t>
  </si>
  <si>
    <t>https://drive.google.com/file/d/1qYjrnatNpXa9STgorOTCOdw1ArkbCwyb/view?usp=sharing</t>
  </si>
  <si>
    <t>https://drive.google.com/file/d/1hG6MrxFjOUmsnxJuwzKiSXA6kyR6Mpsr/view?usp=sharing</t>
  </si>
  <si>
    <t>dca3c44d</t>
  </si>
  <si>
    <t>Real Betis vs Mallorca - LaLiga</t>
  </si>
  <si>
    <t>https://www.vidio.com/live/6299-bein-1?schedule_id=4678459</t>
  </si>
  <si>
    <t>https://drive.google.com/drive/folders/1Jl1ZyWARSPmnDvTYl6jGCBf_ujuD_vOM?usp=drive_link</t>
  </si>
  <si>
    <t>Real Betis Balompié; real club deportivo mallorca; sports stream</t>
  </si>
  <si>
    <t>Nonton streaming pertandingan seru Real Betis vs Mallorca - LaLiga. Saksikan aksi-aksi terbaik dari tim yang bersaing ketat untuk meraih kemenangan. Dapatkan informasi lengkap mengenai jadwal pertandingan dan hasil pertandingan terbaru hanya di Vidio.</t>
  </si>
  <si>
    <t>BET: Amrabat (Gdrive), Bellerin
MLL: Maffeo, Mojica (22nya Gdrive)</t>
  </si>
  <si>
    <t>https://drive.google.com/file/d/1o07x3QX7ZqGJRZoS75uz-R7cf3zEeu62/view?usp=sharing</t>
  </si>
  <si>
    <t>https://drive.google.com/file/d/1XYYOKuXE9tvnWeJUFkyJnS6v8C23RZ20/view?usp=sharing</t>
  </si>
  <si>
    <t>https://drive.google.com/file/d/1Mhitif3az1r_D4s6QtMzIybpm5D0PjUi/view?usp=sharing</t>
  </si>
  <si>
    <t>0a00aefa</t>
  </si>
  <si>
    <t>Oviedo vs Osasuna - LaLiga</t>
  </si>
  <si>
    <t>https://www.vidio.com/live/6299-bein-1?schedule_id=4679199</t>
  </si>
  <si>
    <t>https://drive.google.com/drive/folders/1LXE4LapHq0ayoLQcZJfynwb2IgQA94bd?usp=drive_link</t>
  </si>
  <si>
    <t>Real Oviedo; ca osasuna; sports stream</t>
  </si>
  <si>
    <t>Nonton streaming pertandingan seru Oviedo vs Osasuna - LaLiga. Saksikan aksi-aksi terbaik dari tim yang bersaing ketat untuk meraih kemenangan. Dapatkan informasi lengkap mengenai jadwal pertandingan dan hasil pertandingan terbaru hanya di Vidio.</t>
  </si>
  <si>
    <t>https://drive.google.com/file/d/1t-zbWKqVNeeNRU8WobLlnaqPg9hriCAy/view?usp=sharing</t>
  </si>
  <si>
    <t>https://drive.google.com/file/d/1OY6Rx4oUQEFGZfcBk-49NVCfvaanIZRc/view?usp=sharing</t>
  </si>
  <si>
    <t>ae0fc628</t>
  </si>
  <si>
    <t>Levante vs Celta Vigo - LaLiga</t>
  </si>
  <si>
    <t>https://www.vidio.com/live/6299-bein-1?schedule_id=4677363</t>
  </si>
  <si>
    <t>https://drive.google.com/drive/folders/1X2F9h69ePInMYehtUKVoDjWu8Xh0-HmE?usp=drive_link</t>
  </si>
  <si>
    <t>levante; real club celta de vigo; sports stream</t>
  </si>
  <si>
    <t>Nonton streaming pertandingan seru Levante vs Celta Vigo - LaLiga. Saksikan aksi-aksi terbaik dari tim yang bersaing ketat untuk meraih kemenangan. Dapatkan informasi lengkap mengenai jadwal pertandingan dan hasil pertandingan terbaru hanya di Vidio.</t>
  </si>
  <si>
    <t>https://drive.google.com/file/d/1wWAPr_DB9i0fmX0fo9c8FRncy3QCGXo8/view?usp=sharing</t>
  </si>
  <si>
    <t>https://drive.google.com/file/d/1yt-p44tdOiT2O88IK6mIhxNMY2iVr54q/view?usp=sharing</t>
  </si>
  <si>
    <t>7b2f679a</t>
  </si>
  <si>
    <t>Villarreal vs Rayo Vallecano - LaLiga</t>
  </si>
  <si>
    <t>https://www.vidio.com/live/6299-bein-1?schedule_id=4677365</t>
  </si>
  <si>
    <t>https://drive.google.com/drive/folders/1Qw3DtXAN1t_qMw8BLCptlzs_xYy9FpGw?usp=drive_link</t>
  </si>
  <si>
    <t>villarreal cf; rayo vallecano; sports stream</t>
  </si>
  <si>
    <t>Nonton streaming pertandingan seru Villarreal vs Rayo Vallecano - LaLiga. Saksikan aksi-aksi terbaik dari tim yang bersaing ketat untuk meraih kemenangan. Dapatkan informasi lengkap mengenai jadwal pertandingan dan hasil pertandingan terbaru hanya di Vidio.</t>
  </si>
  <si>
    <t>VIL: Moreno, Foyth (22nya dari Gdrive)
RAY: Zurawski, Chavarria (22nya dari Gdrive)</t>
  </si>
  <si>
    <t>https://drive.google.com/file/d/1VVOZyNs7d6Am5bjTyPZceGeCCRmmF5ac/view?usp=sharing</t>
  </si>
  <si>
    <t>https://drive.google.com/file/d/1mvPpZCyO7FL5pQaRz07zolVhtcWdf04I/view?usp=sharing</t>
  </si>
  <si>
    <t>https://drive.google.com/file/d/1FZWQLswr1ytcRN1yJw9TOYm_Kqc117c4/view?usp=sharing</t>
  </si>
  <si>
    <t>3dd441d4</t>
  </si>
  <si>
    <t>Real Madrid vs Valencia - LaLiga</t>
  </si>
  <si>
    <t>https://www.vidio.com/live/6299-bein-1?schedule_id=4677362</t>
  </si>
  <si>
    <t>https://drive.google.com/drive/folders/1dprT1yJu2sNUQooyWXAVnCRfq-5RJFJn?usp=drive_link</t>
  </si>
  <si>
    <t>real madrid cf; valencia cf; sports stream</t>
  </si>
  <si>
    <t>Nonton streaming pertandingan seru Real Madrid vs Valencia - LaLiga. Saksikan aksi-aksi terbaik dari tim yang bersaing ketat untuk meraih kemenangan. Dapatkan informasi lengkap mengenai jadwal pertandingan dan hasil pertandingan terbaru hanya di Vidio.</t>
  </si>
  <si>
    <t>RMA: Bellingham, Tchouameni (Gdrive)
VAL: Danjuma, Correia (Gdrive)</t>
  </si>
  <si>
    <t>https://drive.google.com/file/d/1A6YfxBk7gwM1jZBViGDxb7JNF7Fq-Jh2/view?usp=sharing</t>
  </si>
  <si>
    <t>https://drive.google.com/file/d/1odU7_jAyNfQS3-PTolECHjwuD5mN-map/view?usp=sharing</t>
  </si>
  <si>
    <t>https://drive.google.com/file/d/1JQeHqeLy5WYbouShvoCmgJNnFdiefrU4/view?usp=sharing</t>
  </si>
  <si>
    <t>48506ea1</t>
  </si>
  <si>
    <t>Getafe vs Girona - LaLiga</t>
  </si>
  <si>
    <t>https://www.vidio.com/live/6299-bein-1?schedule_id=4677359</t>
  </si>
  <si>
    <t>https://drive.google.com/drive/folders/17BtuJiLPAib7ZafwyAHwEZDign_s4NTe?usp=drive_link</t>
  </si>
  <si>
    <t>getafe cf; girona fc; sports stream</t>
  </si>
  <si>
    <t>Nonton streaming pertandingan seru Getafe vs Girona - LaLiga. Saksikan aksi-aksi terbaik dari tim yang bersaing ketat untuk meraih kemenangan. Dapatkan informasi lengkap mengenai jadwal pertandingan dan hasil pertandingan terbaru hanya di Vidio.</t>
  </si>
  <si>
    <t>https://drive.google.com/file/d/1RB-KQO6kXjpWzHTLGpwxSxDuwFigQ32B/view?usp=sharing</t>
  </si>
  <si>
    <t>https://drive.google.com/file/d/1D70ugwLrFevgtLuKz555o6HgDmsOhy27/view?usp=sharing</t>
  </si>
  <si>
    <t>cc44cca0</t>
  </si>
  <si>
    <t>Atletico Madrid vs Levante - LaLiga</t>
  </si>
  <si>
    <t>https://www.vidio.com/live/6317-bein-3?schedule_id=4704451</t>
  </si>
  <si>
    <t>https://drive.google.com/drive/folders/1aVU_siMCCgdGyENjqHz4SWCmHdXoMeyi?usp=drive_link</t>
  </si>
  <si>
    <t>https://drive.google.com/drive/folders/1EjFTzZaElM_nUUnRO1yv537xq-gd78P_?usp=drive_link</t>
  </si>
  <si>
    <t>Club Atlético de Madrid; levante; sports stream</t>
  </si>
  <si>
    <t>Nonton streaming pertandingan seru Atletico Madrid vs Levante - LaLiga. Saksikan aksi-aksi terbaik dari tim yang bersaing ketat untuk meraih kemenangan. Dapatkan informasi lengkap mengenai jadwal pertandingan dan hasil pertandingan terbaru hanya di Vidio.</t>
  </si>
  <si>
    <t>ATM: Thiago Almada (Gdrive), Alvarez
LEV: Arriaga (Gdrive), Etta Eyong</t>
  </si>
  <si>
    <t>https://drive.google.com/file/d/1cdkkskbpEg_eG4pcciknJ9IZf5BHgFSI/view?usp=sharing</t>
  </si>
  <si>
    <t>https://drive.google.com/file/d/1OChIL5PY3GLNNw3YTttk0WMa7Jjh8V-k/view?usp=sharing</t>
  </si>
  <si>
    <t>https://drive.google.com/file/d/1RNC4gdL7aiPKAQxxr1mW4h6gND1cJT5v/view?usp=sharing</t>
  </si>
  <si>
    <t>a0b39c25</t>
  </si>
  <si>
    <t>Sevilla vs Osasuna - LaLiga</t>
  </si>
  <si>
    <t>https://www.vidio.com/live/6317-bein-3?schedule_id=4704450</t>
  </si>
  <si>
    <t>https://drive.google.com/drive/folders/1y6_YTjb-uDahkhFHn_p6AhwygxrAw4oD?usp=drive_link</t>
  </si>
  <si>
    <t>sevilla fc; ca osasuna; sports stream</t>
  </si>
  <si>
    <t>Nonton streaming pertandingan seru Sevilla vs Osasuna - LaLiga. Saksikan aksi-aksi terbaik dari tim yang bersaing ketat untuk meraih kemenangan. Dapatkan informasi lengkap mengenai jadwal pertandingan dan hasil pertandingan terbaru hanya di Vidio.</t>
  </si>
  <si>
    <t>SEV: Suazo (Gdrive), Azpilicueta
OSA: Raul Garcia (Gdrive), Bretones</t>
  </si>
  <si>
    <t>https://drive.google.com/file/d/1_catPIJtMieQYontAVNkboSFywnQRw6I/view?usp=sharing</t>
  </si>
  <si>
    <t>https://drive.google.com/file/d/1SnrB9a4Dbv-NFznUGsEABTTu1pN9mbye/view?usp=sharing</t>
  </si>
  <si>
    <t>https://drive.google.com/file/d/1EH5o4LcKeKM-zX3NqPb_Hr8EAkqsiSb9/view?usp=sharing</t>
  </si>
  <si>
    <t>c7240edd</t>
  </si>
  <si>
    <t>Girona vs Alaves - LaLiga</t>
  </si>
  <si>
    <t>https://www.vidio.com/live/6317-bein-3?schedule_id=4704449</t>
  </si>
  <si>
    <t>https://drive.google.com/drive/folders/1lqaCFehlC3mT1a3kleLZI1FHh089Y7dK?usp=drive_link</t>
  </si>
  <si>
    <t>girona fc; deportivo alaves; sports stream</t>
  </si>
  <si>
    <t>Nonton streaming pertandingan seru Girona vs Alaves - LaLiga. Saksikan aksi-aksi terbaik dari tim yang bersaing ketat untuk meraih kemenangan. Dapatkan informasi lengkap mengenai jadwal pertandingan dan hasil pertandingan terbaru hanya di Vidio.</t>
  </si>
  <si>
    <t>GIR: Arnau Martinez, Stuani (22nya Gdrive)
ALA: Denis Suarez, Otto (22nya Gdrive)</t>
  </si>
  <si>
    <t>https://drive.google.com/file/d/1KAiD76MR5bqDdsbM40mfXvcKsbrLaFHy/view?usp=sharing</t>
  </si>
  <si>
    <t>https://drive.google.com/file/d/16fURSYJhMx30dowmx2oMf4DLc4PzCWfV/view?usp=drive_link</t>
  </si>
  <si>
    <t>https://drive.google.com/file/d/1Cd2Fg3e10X8Y5tZbmTQcVXs6sk_obvQl/view?usp=sharing</t>
  </si>
  <si>
    <t>faeec1ea</t>
  </si>
  <si>
    <t>Elche vs Real Sociedad - LaLiga</t>
  </si>
  <si>
    <t>https://www.vidio.com/live/17323-laliga?schedule_id=4704446</t>
  </si>
  <si>
    <t>https://drive.google.com/drive/folders/1mjFfSQ_blvkDyXbk7l5nF3GkltgQnlit?usp=drive_link</t>
  </si>
  <si>
    <t>elche cf; Real Sociedad de Fútbol; sports stream</t>
  </si>
  <si>
    <t>Nonton streaming pertandingan seru Elche vs Real Sociedad - LaLiga. Saksikan aksi-aksi terbaik dari tim yang bersaing ketat untuk meraih kemenangan. Dapatkan informasi lengkap mengenai jadwal pertandingan dan hasil pertandingan terbaru hanya di Vidio.</t>
  </si>
  <si>
    <t>ELC: Rafa Mir, Alvaro Nunez (22nya Gdrive)
RSO: Brais Mendez, Guedes (Gdrive)</t>
  </si>
  <si>
    <t>https://drive.google.com/file/d/1fBfTmwOUcIeCWVmfv_fvVPMPAh8Mf2MW/view?usp=sharing</t>
  </si>
  <si>
    <t>https://drive.google.com/file/d/1JB0TJJW9GnMnmuAXGin76UO3qrkel0X8/view?usp=drive_link</t>
  </si>
  <si>
    <t>https://drive.google.com/file/d/1wl2Cy1tf-2HS0WSdXKpvSkL0GxJxn211/view?usp=sharing</t>
  </si>
  <si>
    <t>637240bb</t>
  </si>
  <si>
    <t>Rayo Vallecano vs Real Madrid - LaLiga</t>
  </si>
  <si>
    <t>https://www.vidio.com/live/6317-bein-3?schedule_id=4704456</t>
  </si>
  <si>
    <t>https://drive.google.com/drive/folders/1Z_EuYBbvMqbdStzbvT5eeRehj1qDtyX-?usp=drive_link</t>
  </si>
  <si>
    <t>rayo vallecano; real madrid cf; sports stream</t>
  </si>
  <si>
    <t>Nonton streaming pertandingan seru Rayo Vallecano vs Real Madrid - LaLiga. Saksikan aksi-aksi terbaik dari tim yang bersaing ketat untuk meraih kemenangan. Dapatkan informasi lengkap mengenai jadwal pertandingan dan hasil pertandingan terbaru hanya di Vidio.</t>
  </si>
  <si>
    <t>RAY: Isi, De Frutos(Gdrive)
RMA: Carreras (Gdrive), Mbappe</t>
  </si>
  <si>
    <t>https://drive.google.com/file/d/1FH04BBSvQSsJriLqcPARUujtIZGsEfKE/view?usp=sharing</t>
  </si>
  <si>
    <t>https://drive.google.com/file/d/1vegHOK06xIB9dzGtrfEvpQL875NS06H4/view?usp=sharing</t>
  </si>
  <si>
    <t>https://drive.google.com/file/d/1DDKc6zOTUQreFbXZOS1ZmQ-H55rMFU4c/view?usp=sharing</t>
  </si>
  <si>
    <t>f90c3fbc</t>
  </si>
  <si>
    <t>Celta Vigo vs Barcelona - LaLiga</t>
  </si>
  <si>
    <t>https://www.vidio.com/live/6317-bein-3?schedule_id=4704458</t>
  </si>
  <si>
    <t>https://drive.google.com/drive/folders/1NNzUfomKy6Mk7do-nDCYTrESLGb4n7jL?usp=drive_link</t>
  </si>
  <si>
    <t>real club celta de vigo; fc barcelona; sports stream</t>
  </si>
  <si>
    <t>Nonton streaming pertandingan seru Celta Vigo vs Barcelona - LaLiga. Saksikan aksi-aksi terbaik dari tim yang bersaing ketat untuk meraih kemenangan. Dapatkan informasi lengkap mengenai jadwal pertandingan dan hasil pertandingan terbaru hanya di Vidio.</t>
  </si>
  <si>
    <t>CEL: Mingueza, Carreira(Gdrive)
BAR: Fermin, Ferran(Gdrive)</t>
  </si>
  <si>
    <t>https://drive.google.com/file/d/15ifsDmWJ2h5dwgz2trh0xvsRrF9t7C1J/view?usp=sharing</t>
  </si>
  <si>
    <t>https://drive.google.com/file/d/1MwAa85r_1ojlkf3Zhe1aoCjRCLc0bx87/view?usp=sharing</t>
  </si>
  <si>
    <t>https://drive.google.com/file/d/1T9grvGoNUiZVXcEoLMm0tGGyrvhi_tKG/view?usp=sharing</t>
  </si>
  <si>
    <t>00225ad0</t>
  </si>
  <si>
    <t>Athletic Club vs Oviedo - LaLiga</t>
  </si>
  <si>
    <t>https://www.vidio.com/live/6299-bein-1?schedule_id=4704455</t>
  </si>
  <si>
    <t>https://drive.google.com/drive/folders/1y2sVMIEv-Bhl3X7WQZjqwrzwD5ZynEqf?usp=drive_link</t>
  </si>
  <si>
    <t>athletic club bilbao; Real Oviedo; sports stream</t>
  </si>
  <si>
    <t>Nonton streaming pertandingan seru Athletic Club vs Oviedo - LaLiga. Saksikan aksi-aksi terbaik dari tim yang bersaing ketat untuk meraih kemenangan. Dapatkan informasi lengkap mengenai jadwal pertandingan dan hasil pertandingan terbaru hanya di Vidio.</t>
  </si>
  <si>
    <t>ATH:  Guruzeta, Navarro (22nya Gdrive)
OVI: Vinas, Javi Lopez (Gdrive)</t>
  </si>
  <si>
    <t>https://drive.google.com/file/d/1v-H-xw15FtUmXRs6N9ZCwsS8zZVADwfv/view?usp=sharing</t>
  </si>
  <si>
    <t>https://drive.google.com/file/d/1lce2y90A0sCQIyaG4_HYEOjruhQKhBU7/view?usp=sharing</t>
  </si>
  <si>
    <t>https://drive.google.com/file/d/1wgqm5-RoD7bXCd4wHIrq-Tkb2Nx6ivNA/view?usp=sharing</t>
  </si>
  <si>
    <t>dce20720</t>
  </si>
  <si>
    <t>Espanyol vs Villarreal - LaLiga</t>
  </si>
  <si>
    <t>https://www.vidio.com/live/6317-bein-3?schedule_id=4704452</t>
  </si>
  <si>
    <t>https://drive.google.com/drive/folders/10kd1kclQSCd6beO9ht4dyG5_RgWiRnV9?usp=drive_link</t>
  </si>
  <si>
    <t>Reial Club Deportiu Espanyol; villarreal cf; sports stream</t>
  </si>
  <si>
    <t>Nonton streaming pertandingan seru Espanyol vs Villarreal - LaLiga. Saksikan aksi-aksi terbaik dari tim yang bersaing ketat untuk meraih kemenangan. Dapatkan informasi lengkap mengenai jadwal pertandingan dan hasil pertandingan terbaru hanya di Vidio.</t>
  </si>
  <si>
    <t>ESP: Milla, Exposito (Gdrive)
VIL: Moreno (Gdrive), Moleiro</t>
  </si>
  <si>
    <t>https://drive.google.com/file/d/1jnnj4Bah7xK3IgkQy4-80_1ghlZhffoF/view?usp=sharing</t>
  </si>
  <si>
    <t>https://drive.google.com/file/d/1_GGo-LcqkHEKKfe0ip8bmAZtpSQOMRAW/view?usp=drive_link</t>
  </si>
  <si>
    <t>https://drive.google.com/file/d/1y6O-kcONRGf72avq5AZ3wacIfaAoQwsR/view?usp=sharing</t>
  </si>
  <si>
    <t>baa02ea2</t>
  </si>
  <si>
    <t>Mallorca vs Getafe - LaLiga</t>
  </si>
  <si>
    <t>https://www.vidio.com/live/17323-laliga?schedule_id=4704466</t>
  </si>
  <si>
    <t>https://drive.google.com/drive/folders/1nUrUnRUluOVHcCTMUZcWyZenbZQDiKfU?usp=drive_link</t>
  </si>
  <si>
    <t>real club deportivo mallorca; getafe cf; sports stream</t>
  </si>
  <si>
    <t>Nonton streaming pertandingan seru Mallorca vs Getafe - LaLiga. Saksikan aksi-aksi terbaik dari tim yang bersaing ketat untuk meraih kemenangan. Dapatkan informasi lengkap mengenai jadwal pertandingan dan hasil pertandingan terbaru hanya di Vidio.</t>
  </si>
  <si>
    <t>https://drive.google.com/file/d/1mZo2LDUKz7CvvYpYnAxLVlaN5AvisygJ/view?usp=sharing</t>
  </si>
  <si>
    <t>https://drive.google.com/file/d/1wl1XqqpIJJ1yiYo3QBSBGkLr8nI7Cz_K/view?usp=sharing</t>
  </si>
  <si>
    <t>98ca9abf</t>
  </si>
  <si>
    <t>Valencia vs Real Betis - LaLiga</t>
  </si>
  <si>
    <t>https://www.vidio.com/live/6317-bein-3?schedule_id=4704457</t>
  </si>
  <si>
    <t>https://drive.google.com/drive/folders/1Blbq_hJqkb7VCBuCZX3D9bGrv02HkpXv?usp=drive_link</t>
  </si>
  <si>
    <t>valencia cf; Real Betis Balompié; sports stream</t>
  </si>
  <si>
    <t>Nonton streaming pertandingan seru Valencia vs Real Betis - LaLiga. Saksikan aksi-aksi terbaik dari tim yang bersaing ketat untuk meraih kemenangan. Dapatkan informasi lengkap mengenai jadwal pertandingan dan hasil pertandingan terbaru hanya di Vidio.</t>
  </si>
  <si>
    <t>VAL: Pepelu, Santamaria(Gdrive)
BET: Antony, Juan Hernandez Cucho</t>
  </si>
  <si>
    <t>https://drive.google.com/file/d/1pkLUmJ6TNtkyIIS4OTKPx3UmxIX6-7Fo/view?usp=sharing</t>
  </si>
  <si>
    <t>https://drive.google.com/file/d/1CfDl-P4iAA0WuzXl0N7SAAQmtVfnd9v0/view?usp=sharing</t>
  </si>
  <si>
    <t>https://drive.google.com/file/d/1XGF7-FGGFbRJaU-QFnCHrqfIZszu1i72/view?usp=sharing</t>
  </si>
  <si>
    <t>5430397a</t>
  </si>
  <si>
    <t>Osasuna vs Real Sociedad - LaLiga</t>
  </si>
  <si>
    <t>https://www.vidio.com/live/6299-bein-1?schedule_id=4724318</t>
  </si>
  <si>
    <t>https://drive.google.com/drive/folders/1-o3yP1RREIJOgUZCYzRiHYsDCYC6YwkW?usp=drive_link</t>
  </si>
  <si>
    <t>https://drive.google.com/drive/folders/1DPSndHg_Ftov32kfHVJYOFvCAsOr-mBg?usp=drive_link</t>
  </si>
  <si>
    <t>ca osasuna; Real Sociedad de Fútbol; sports stream</t>
  </si>
  <si>
    <t>Nonton streaming pertandingan seru Osasuna vs Real Sociedad - LaLiga. Saksikan aksi-aksi terbaik dari tim yang bersaing ketat untuk meraih kemenangan. Dapatkan informasi lengkap mengenai jadwal pertandingan dan hasil pertandingan terbaru hanya di Vidio.</t>
  </si>
  <si>
    <t>OSA: Bretones, Iker Munoz (Gdrive)
RSO: Brais Mendez, Oyarzabal</t>
  </si>
  <si>
    <t>https://drive.google.com/file/d/1DocDzOx4d2Vzva5Xxq4FTWaIli2mT8pk/view?usp=sharing</t>
  </si>
  <si>
    <t>https://drive.google.com/file/d/1X8_96NH6h1AU8EzrAi9IJvo6GDUAderY/view?usp=sharing</t>
  </si>
  <si>
    <t>https://drive.google.com/file/d/1wcjQxwBDxoXcHWPr_j28TVwZ4M_429M4/view?usp=sharing</t>
  </si>
  <si>
    <t>dcc5e3ea</t>
  </si>
  <si>
    <t>Getafe vs Atletico Madrid - LaLiga</t>
  </si>
  <si>
    <t>https://www.vidio.com/live/6299-bein-1?schedule_id=4726811</t>
  </si>
  <si>
    <t>https://drive.google.com/drive/folders/1EELPHjh_0eXwad8WPCf73nR8be3jvRf4?usp=drive_link</t>
  </si>
  <si>
    <t>getafe cf; Club Atlético de Madrid; sports stream</t>
  </si>
  <si>
    <t>Nonton streaming pertandingan seru Getafe vs Atletico Madrid - LaLiga. Saksikan aksi-aksi terbaik dari tim yang bersaing ketat untuk meraih kemenangan. Dapatkan informasi lengkap mengenai jadwal pertandingan dan hasil pertandingan terbaru hanya di Vidio.</t>
  </si>
  <si>
    <t>GET: Iglesias, Arambarri (22nyaGdrive)
ATM: Alvarez, Llorente (Gdrive)</t>
  </si>
  <si>
    <t>https://drive.google.com/file/d/18EwkiR0pDx-gr3Vrba0JYIoNscW_Hhfj/view?usp=sharing</t>
  </si>
  <si>
    <t>https://drive.google.com/file/d/1eS4KasaSWp-Cc7ngehjW9LHf1KoeLZwR/view?usp=sharing</t>
  </si>
  <si>
    <t>https://drive.google.com/file/d/1mmw4Aonbj6v937hOJo4vu9FfdiCs-F2q/view?usp=sharing</t>
  </si>
  <si>
    <t>0c92f8fd</t>
  </si>
  <si>
    <t>Barcelona vs Athletic Club - LaLiga</t>
  </si>
  <si>
    <t>https://www.vidio.com/live/6299-bein-1?schedule_id=4724317</t>
  </si>
  <si>
    <t>https://drive.google.com/drive/folders/1cbKugP-Uq_k53LSvI0-hWyi70S7kf3MD?usp=drive_link</t>
  </si>
  <si>
    <t>fc barcelona; athletic club bilbao; sports stream</t>
  </si>
  <si>
    <t>Nonton streaming pertandingan seru Barcelona vs Athletic Club - LaLiga. Saksikan aksi-aksi terbaik dari tim yang bersaing ketat untuk meraih kemenangan. Dapatkan informasi lengkap mengenai jadwal pertandingan dan hasil pertandingan terbaru hanya di Vidio.</t>
  </si>
  <si>
    <t>BAR: Lewandowski, Yamal
ATH: Nico Williams, Laporte</t>
  </si>
  <si>
    <t>https://drive.google.com/file/d/13BqTu5AEJ2X8nfNAopFVYg2RBel3NLzk/view?usp=sharing</t>
  </si>
  <si>
    <t>https://drive.google.com/file/d/1d1yblbbTAq9B0LePy5e5vONQ593SloId/view?usp=sharing</t>
  </si>
  <si>
    <t>https://drive.google.com/file/d/1jitQ1wdzACEzBnkMIXaPMVeuO0bxY57p/view?usp=sharing</t>
  </si>
  <si>
    <t>0480bfff</t>
  </si>
  <si>
    <t>Espanyol vs Sevilla - LaLiga</t>
  </si>
  <si>
    <t>https://www.vidio.com/live/6299-bein-1?schedule_id=4726813</t>
  </si>
  <si>
    <t>https://drive.google.com/drive/folders/1_vamNXXo6w3RGXCVVzz_20dYnKvgOIju?usp=drive_link</t>
  </si>
  <si>
    <t>Reial Club Deportiu Espanyol; sevilla fc; sports stream</t>
  </si>
  <si>
    <t>Nonton streaming pertandingan seru Espanyol vs Sevilla - LaLiga. Saksikan aksi-aksi terbaik dari tim yang bersaing ketat untuk meraih kemenangan. Dapatkan informasi lengkap mengenai jadwal pertandingan dan hasil pertandingan terbaru hanya di Vidio.</t>
  </si>
  <si>
    <t>ESP: Dolan (Gdrive), Lozano
SEV: Suazo (Gdrive), Jose Angel</t>
  </si>
  <si>
    <t>https://drive.google.com/file/d/1q-55_yLBEkl9_fW0PwM8QKB2U72Bk6AY/view?usp=sharing</t>
  </si>
  <si>
    <t>https://drive.google.com/file/d/13k-lbNb2qWsfzbKqG7nzcd3qYP0pCyiL/view?usp=sharing</t>
  </si>
  <si>
    <t>https://drive.google.com/file/d/1p0l6AyViUXK-1HdmZw95BJMOnC2YJCVJ/view?usp=sharing</t>
  </si>
  <si>
    <t>11730a07</t>
  </si>
  <si>
    <t>Real Betis vs Girona - LaLiga</t>
  </si>
  <si>
    <t>https://www.vidio.com/live/6299-bein-1?schedule_id=4724321</t>
  </si>
  <si>
    <t>https://drive.google.com/drive/folders/1R-vQXnFoYssOubCv1EfjDHbaEZ2_yb9-?usp=drive_link</t>
  </si>
  <si>
    <t>Real Betis Balompié; girona fc; sports stream</t>
  </si>
  <si>
    <t>Nonton streaming pertandingan seru Real Betis vs Girona - LaLiga. Saksikan aksi-aksi terbaik dari tim yang bersaing ketat untuk meraih kemenangan. Dapatkan informasi lengkap mengenai jadwal pertandingan dan hasil pertandingan terbaru hanya di Vidio.</t>
  </si>
  <si>
    <t>BET: Ezzalzouli, Valentin Gomez (22nya Gdrive)
GIR: Ivan Martin (Gdrive), Tsyhankov</t>
  </si>
  <si>
    <t>https://drive.google.com/file/d/1EL0DfoYAAwzTyGHNa55qsVSFW8_mhb2b/view?usp=sharing</t>
  </si>
  <si>
    <t>https://drive.google.com/file/d/1OOmQAPC6AEG0D6Etj81tjlmpHZ6xdFDb/view?usp=sharing</t>
  </si>
  <si>
    <t>https://drive.google.com/file/d/12S2BmnQzOFBOUOKttw0OA7OLipXm0iXz/view?usp=sharing</t>
  </si>
  <si>
    <t>a4ce8a49</t>
  </si>
  <si>
    <t>Alaves vs Celta Vigo - LaLiga</t>
  </si>
  <si>
    <t>https://www.vidio.com/live/6299-bein-1?schedule_id=4724316</t>
  </si>
  <si>
    <t>https://drive.google.com/drive/folders/1sylcAIPXLoIGKMZg97Zq8fDhpqDBfptK?usp=drive_link</t>
  </si>
  <si>
    <t>deportivo alaves; real club celta de vigo; sports stream</t>
  </si>
  <si>
    <t>Nonton streaming pertandingan seru Alaves vs Celta Vigo - LaLiga. Saksikan aksi-aksi terbaik dari tim yang bersaing ketat untuk meraih kemenangan. Dapatkan informasi lengkap mengenai jadwal pertandingan dan hasil pertandingan terbaru hanya di Vidio.</t>
  </si>
  <si>
    <t>https://drive.google.com/file/d/1k-jvHXGF_qZVnWucgz4yN9wLMtgvl_Zh/view?usp=sharing</t>
  </si>
  <si>
    <t>https://drive.google.com/file/d/1ql9uJ_dAhwjPxZ_6M-RTP3cTWrOhQrOl/view?usp=sharing</t>
  </si>
  <si>
    <t>acb63064</t>
  </si>
  <si>
    <t>Villarreal vs Mallorca - LaLiga</t>
  </si>
  <si>
    <t>https://www.vidio.com/live/6299-bein-1?schedule_id=4724319</t>
  </si>
  <si>
    <t>https://drive.google.com/drive/folders/1ZTwJ28DRsdEYhNRV55Q4rQwGddLwvT-_?usp=drive_link</t>
  </si>
  <si>
    <t>villarreal cf; real club deportivo mallorca; sports stream</t>
  </si>
  <si>
    <t>Nonton streaming pertandingan seru Villarreal vs Mallorca - LaLiga. Saksikan aksi-aksi terbaik dari tim yang bersaing ketat untuk meraih kemenangan. Dapatkan informasi lengkap mengenai jadwal pertandingan dan hasil pertandingan terbaru hanya di Vidio.</t>
  </si>
  <si>
    <t>VIL: Comesana, Pedraza (22nya Gdrive)
MLL: Samu, Maffeo (22nya Gdrive)</t>
  </si>
  <si>
    <t>https://drive.google.com/file/d/1_LOVrTFxsO_nzspOm48LYnW6W0krJg08/view?usp=sharing</t>
  </si>
  <si>
    <t>https://drive.google.com/file/d/1UhS2FO4b16_yvwNjEzEUIJYdUdfxtR4N/view?usp=sharing</t>
  </si>
  <si>
    <t>https://drive.google.com/file/d/1MsvIMMfMY5Fu3fEZthfbHVoDyOcfeMGq/view?usp=sharing</t>
  </si>
  <si>
    <t>b8dca3d1</t>
  </si>
  <si>
    <t>Oviedo vs Rayo Vallecano - LaLiga</t>
  </si>
  <si>
    <t>https://www.vidio.com/live/6299-bein-1?schedule_id=4724320</t>
  </si>
  <si>
    <t>https://drive.google.com/drive/folders/1qj9LytVXdSX7fJthKvCkKVzAgl75Y2qU?usp=drive_link</t>
  </si>
  <si>
    <t>Real Oviedo; rayo vallecano; sports stream</t>
  </si>
  <si>
    <t>Nonton streaming pertandingan seru Oviedo vs Rayo Vallecano - LaLiga. Saksikan aksi-aksi terbaik dari tim yang bersaing ketat untuk meraih kemenangan. Dapatkan informasi lengkap mengenai jadwal pertandingan dan hasil pertandingan terbaru hanya di Vidio.</t>
  </si>
  <si>
    <t>https://drive.google.com/file/d/1eFR1kk_jzsxOrZENqTXuPQmxyVqD_44T/view?usp=sharing</t>
  </si>
  <si>
    <t>https://drive.google.com/file/d/1ADAOJcQM8duca3reoiC1EIvD3ZbEm3Dw/view?usp=sharing</t>
  </si>
  <si>
    <t>8b77a9e5</t>
  </si>
  <si>
    <t>Elche vs Real Madrid - LaLiga</t>
  </si>
  <si>
    <t>https://www.vidio.com/live/6299-bein-1?schedule_id=4726812</t>
  </si>
  <si>
    <t>https://drive.google.com/drive/folders/1pn4fgKAJlc0lJTab9_1EEGSH5koAKI0d?usp=drive_link</t>
  </si>
  <si>
    <t>elche cf; real madrid cf; sports stream</t>
  </si>
  <si>
    <t>Nonton streaming pertandingan seru Elche vs Real Madrid - LaLiga. Saksikan aksi-aksi terbaik dari tim yang bersaing ketat untuk meraih kemenangan. Dapatkan informasi lengkap mengenai jadwal pertandingan dan hasil pertandingan terbaru hanya di Vidio.</t>
  </si>
  <si>
    <t>ELC: Nunez, Alvaro Rodriguez (22nya Gdrive)
RMA: Vini, Guler</t>
  </si>
  <si>
    <t>https://drive.google.com/file/d/1ie5JLY6Fft3_8trxqB-hKbBMCjhVn_gw/view?usp=sharing</t>
  </si>
  <si>
    <t>https://drive.google.com/file/d/1EBIUOicPOqkFn3FUl0Bi7EcOlNZ_RWi7/view?usp=sharing</t>
  </si>
  <si>
    <t>https://drive.google.com/file/d/1pEYax6Nc_OQIhJ3uhZhhI2aH1stbnNI6/view?usp=sharing</t>
  </si>
  <si>
    <t>3fa77c30</t>
  </si>
  <si>
    <t>Valencia vs Levante - LaLiga</t>
  </si>
  <si>
    <t>https://www.vidio.com/live/6299-bein-1?schedule_id=4724315</t>
  </si>
  <si>
    <t>https://drive.google.com/drive/folders/1plQv_JEz5778Cauu-EUrwzPM9LVMp2-L?usp=drive_link</t>
  </si>
  <si>
    <t>valencia cf; levante; sports stream</t>
  </si>
  <si>
    <t>Nonton streaming pertandingan seru Valencia vs Levante - LaLiga. Saksikan aksi-aksi terbaik dari tim yang bersaing ketat untuk meraih kemenangan. Dapatkan informasi lengkap mengenai jadwal pertandingan dan hasil pertandingan terbaru hanya di Vidio.</t>
  </si>
  <si>
    <t>https://drive.google.com/file/d/1Wo7YcQ13mU7J9Dax5I72CkGbv_m1uEpO/view?usp=sharing</t>
  </si>
  <si>
    <t>https://drive.google.com/file/d/1WfNgB9KrN18_IDENeX0s1pmaTFx9tpEx/view?usp=sharing</t>
  </si>
  <si>
    <t>9d88708f</t>
  </si>
  <si>
    <t>Atletico Madrid vs Oviedo - LaLiga</t>
  </si>
  <si>
    <t>beIN 2</t>
  </si>
  <si>
    <t>https://www.vidio.com/live/17875-bein-2?schedule_id=4736024</t>
  </si>
  <si>
    <t>https://drive.google.com/drive/folders/1BXrs-DOua2J3nyNa_RrXDa4680itypQP?usp=drive_link</t>
  </si>
  <si>
    <t>https://drive.google.com/drive/folders/1hfcarZQQTW9iAZReqcSurlYy_boiq7jw?usp=drive_link</t>
  </si>
  <si>
    <t>Club Atlético de Madrid; Real Oviedo; sports stream</t>
  </si>
  <si>
    <t>Nonton streaming pertandingan seru Atletico Madrid vs Oviedo - LaLiga. Saksikan aksi-aksi terbaik dari tim yang bersaing ketat untuk meraih kemenangan. Dapatkan informasi lengkap mengenai jadwal pertandingan dan hasil pertandingan terbaru hanya di Vidio.</t>
  </si>
  <si>
    <t>ATM: Molina, Baena (22nya di Drive)
OVI: Cazorla (Drive), Vinas</t>
  </si>
  <si>
    <t>muhammad.ramadhan@vidio.com</t>
  </si>
  <si>
    <t>https://drive.google.com/file/d/188-oyHcNYEWf0dEziJTTPqoO03_sGRvR/view?usp=sharing</t>
  </si>
  <si>
    <t>https://drive.google.com/file/d/1YMcKCspkAI89ydvFw7BE7T8TFmRyyQ7A/view?usp=sharing</t>
  </si>
  <si>
    <t>https://drive.google.com/file/d/1IIYIE2F7c3GENBgD7NeFL9G_e-bXi27P/view?usp=sharing</t>
  </si>
  <si>
    <t>b96220d1</t>
  </si>
  <si>
    <t>Real Sociedad vs Villarreal - LaLiga</t>
  </si>
  <si>
    <t>https://www.vidio.com/live/17875-bein-2?schedule_id=4736023</t>
  </si>
  <si>
    <t>https://drive.google.com/drive/folders/1js-0GDla4L0NW3OCGGdGT1UR0JN67wjQ?usp=drive_link</t>
  </si>
  <si>
    <t>Real Sociedad de Fútbol; villarreal cf; sports stream</t>
  </si>
  <si>
    <t>Nonton streaming pertandingan seru Real Sociedad vs Villarreal - LaLiga. Saksikan aksi-aksi terbaik dari tim yang bersaing ketat untuk meraih kemenangan. Dapatkan informasi lengkap mengenai jadwal pertandingan dan hasil pertandingan terbaru hanya di Vidio.</t>
  </si>
  <si>
    <t>RSO: Jon Gorrotxategi, Soler (22nya gdrive)
VIL: Comesana, Moreno (22nya gdrive)</t>
  </si>
  <si>
    <t>https://drive.google.com/file/d/1inbCxm7bYWPx0B2qrnWDFqHbTgK4uVE1/view?usp=sharing</t>
  </si>
  <si>
    <t>https://drive.google.com/file/d/136rJb-vn9ECIpGXbKfrPmlKLHnNpAxSd/view?usp=sharing</t>
  </si>
  <si>
    <t>https://drive.google.com/file/d/1krNmrlcB2Vyrv1jyxxh7G9eiFidPw6sL/view?usp=sharing</t>
  </si>
  <si>
    <t>d8781490</t>
  </si>
  <si>
    <t>Levante vs Athletic Club - LaLiga</t>
  </si>
  <si>
    <t>https://www.vidio.com/live/17875-bein-2?schedule_id=4736025</t>
  </si>
  <si>
    <t>https://drive.google.com/drive/folders/1kuh3F_7xT_Vjp4SplGyHotvMMBkMkXzH?usp=drive_link</t>
  </si>
  <si>
    <t>levante; athletic club bilbao; sports stream</t>
  </si>
  <si>
    <t>Nonton streaming pertandingan seru Levante vs Athletic Club - LaLiga. Saksikan aksi-aksi terbaik dari tim yang bersaing ketat untuk meraih kemenangan. Dapatkan informasi lengkap mengenai jadwal pertandingan dan hasil pertandingan terbaru hanya di Vidio.</t>
  </si>
  <si>
    <t>LEV: Etta Eyong, Manuel Sanchez (Drive)
ATH: Nico Williams, Unai Gomez (Drive)</t>
  </si>
  <si>
    <t>https://drive.google.com/file/d/1IjSNl7SfKf0PImcxuJu8EFSOjk2HJjJ3/view?usp=sharing</t>
  </si>
  <si>
    <t>https://drive.google.com/file/d/1ICxVIDBoDIZ9cQ_wW02oUSvxLgZQDYl6/view?usp=sharing</t>
  </si>
  <si>
    <t>https://drive.google.com/file/d/1AxUVS1tHZZ8bchNqVSdkXtcs9RqqlSl-/view?usp=sharing</t>
  </si>
  <si>
    <t>ec43ab8d</t>
  </si>
  <si>
    <t>Barcelona vs Alaves - LaLiga</t>
  </si>
  <si>
    <t>https://www.vidio.com/live/17875-bein-2?schedule_id=4736027</t>
  </si>
  <si>
    <t>https://drive.google.com/drive/folders/1TNQjALBJv44kYZD2M9B7LXvYYOuPLheB?usp=drive_link</t>
  </si>
  <si>
    <t>fc barcelona; deportivo alaves; sports stream</t>
  </si>
  <si>
    <t>Nonton streaming pertandingan seru Barcelona vs Alaves - LaLiga. Saksikan aksi-aksi terbaik dari tim yang bersaing ketat untuk meraih kemenangan. Dapatkan informasi lengkap mengenai jadwal pertandingan dan hasil pertandingan terbaru hanya di Vidio.</t>
  </si>
  <si>
    <t>BAR: Ferran (Drive), Yamal
ALA: Blanco, Tenaglia (22nya Drive)</t>
  </si>
  <si>
    <t>https://drive.google.com/file/d/19A194wVTj3T73vtJveXp0uEiVrmfvPJE/view?usp=sharing</t>
  </si>
  <si>
    <t>https://drive.google.com/file/d/126VY0uw5n-OG1U9FrXuBDoYeA6XUNCvS/view?usp=sharing</t>
  </si>
  <si>
    <t>https://drive.google.com/file/d/1xg1z0Mj0RZXk2SNWLAulxhniYJ2i6Yjl/view?usp=sharing</t>
  </si>
  <si>
    <t>c1bfea7b</t>
  </si>
  <si>
    <t>Celta Vigo vs Espanyol - LaLiga</t>
  </si>
  <si>
    <t>https://www.vidio.com/live/17875-bein-2?schedule_id=4736031</t>
  </si>
  <si>
    <t>https://drive.google.com/drive/folders/18HO-iWx_1wKxqwEjYoRe1rUujW-_8Q3c?usp=drive_link</t>
  </si>
  <si>
    <t>real club celta de vigo; Reial Club Deportiu Espanyol; sports stream</t>
  </si>
  <si>
    <t>Nonton streaming pertandingan seru Celta Vigo vs Espanyol - LaLiga. Saksikan aksi-aksi terbaik dari tim yang bersaing ketat untuk meraih kemenangan. Dapatkan informasi lengkap mengenai jadwal pertandingan dan hasil pertandingan terbaru hanya di Vidio.</t>
  </si>
  <si>
    <t>https://drive.google.com/file/d/1CObMDJzqIhvdJwgTtH7LDWtpA8Zib5zP/view?usp=sharing</t>
  </si>
  <si>
    <t>https://drive.google.com/file/d/1CwrVzx8e1pcNdUNxO3YOJyx-2SlRj5MU/view?usp=sharing</t>
  </si>
  <si>
    <t>cfb3eb5a</t>
  </si>
  <si>
    <t>Girona vs Real Madrid - LaLiga</t>
  </si>
  <si>
    <t>https://www.vidio.com/live/17875-bein-2?schedule_id=4736030</t>
  </si>
  <si>
    <t>https://drive.google.com/drive/folders/1gyUTMX-WE_IfgM0EnoUTGbHdWckaeJFo?usp=drive_link</t>
  </si>
  <si>
    <t>girona fc; real madrid cf; sports stream</t>
  </si>
  <si>
    <t>Nonton streaming pertandingan seru Girona vs Real Madrid - LaLiga. Saksikan aksi-aksi terbaik dari tim yang bersaing ketat untuk meraih kemenangan. Dapatkan informasi lengkap mengenai jadwal pertandingan dan hasil pertandingan terbaru hanya di Vidio.</t>
  </si>
  <si>
    <t>GIR:  Vanat, Gil (22nya drive)
RMA: Bellingham, Trent Alexander</t>
  </si>
  <si>
    <t>https://drive.google.com/file/d/1EGDYby_Mrbov6ragN5FkffwMWWP4XqtO/view?usp=sharing</t>
  </si>
  <si>
    <t>https://drive.google.com/file/d/1Mo_9U8GPvb5ZXVJw6LFSLncDw7uIyoVU/view?usp=sharing</t>
  </si>
  <si>
    <t>https://drive.google.com/file/d/1970u8YQt9GMY_3CIG8rUZuXxUvKehS9r/view?usp=sharing</t>
  </si>
  <si>
    <t>8e3ac446</t>
  </si>
  <si>
    <t>Mallorca vs Osasuna - LaLiga</t>
  </si>
  <si>
    <t>https://www.vidio.com/live/17875-bein-2?schedule_id=4736028</t>
  </si>
  <si>
    <t>https://drive.google.com/drive/folders/1anXhNQzaFeO9Ot9w1CoZlx8PZoX53y3q?usp=drive_link</t>
  </si>
  <si>
    <t>real club deportivo mallorca; ca osasuna; sports stream</t>
  </si>
  <si>
    <t>Nonton streaming pertandingan seru Mallorca vs Osasuna - LaLiga. Saksikan aksi-aksi terbaik dari tim yang bersaing ketat untuk meraih kemenangan. Dapatkan informasi lengkap mengenai jadwal pertandingan dan hasil pertandingan terbaru hanya di Vidio.</t>
  </si>
  <si>
    <t>https://drive.google.com/file/d/1WztCgeYHR7VillyuxXM3nd4Fejx0dzOV/view?usp=sharing</t>
  </si>
  <si>
    <t>https://drive.google.com/file/d/1H0sYn4w0eP1hLoI8axLJjnH4DQ4Tg_0I/view?usp=sharing</t>
  </si>
  <si>
    <t>8d1474b8</t>
  </si>
  <si>
    <t>Getafe vs Elche - LaLiga</t>
  </si>
  <si>
    <t>https://www.vidio.com/live/17875-bein-2?schedule_id=4736029</t>
  </si>
  <si>
    <t>https://drive.google.com/drive/folders/1hePFTlYvYJ5wViFN3ABD4VDRBjZB4T8G?usp=drive_link</t>
  </si>
  <si>
    <t>getafe cf; elche cf; sports stream</t>
  </si>
  <si>
    <t>Nonton streaming pertandingan seru Getafe vs Elche - LaLiga. Saksikan aksi-aksi terbaik dari tim yang bersaing ketat untuk meraih kemenangan. Dapatkan informasi lengkap mengenai jadwal pertandingan dan hasil pertandingan terbaru hanya di Vidio.</t>
  </si>
  <si>
    <t>https://thumbor.prod.vidiocdn.com/eIEhAPqy9rc82ZH_ZvqtcKXlSiw=/filters:quality(70)/vidio-media-production/uploads/image/source/51586/06ca03.png</t>
  </si>
  <si>
    <t>https://drive.google.com/file/d/1pVPe84eDWAata9sJo5C8JYNX9oPlNAgu/view?usp=sharing</t>
  </si>
  <si>
    <t>41893605</t>
  </si>
  <si>
    <t>Sevilla vs Real Betis - LaLiga</t>
  </si>
  <si>
    <t>https://www.vidio.com/live/17875-bein-2?schedule_id=4736022</t>
  </si>
  <si>
    <t>https://drive.google.com/drive/folders/1vBBPc57SvgR3wuPIQMEmV8wvyS_o3c8U?usp=drive_link</t>
  </si>
  <si>
    <t>sevilla fc; Real Betis Balompié; sports stream</t>
  </si>
  <si>
    <t>Nonton streaming pertandingan seru Sevilla vs Real Betis - LaLiga. Saksikan aksi-aksi terbaik dari tim yang bersaing ketat untuk meraih kemenangan. Dapatkan informasi lengkap mengenai jadwal pertandingan dan hasil pertandingan terbaru hanya di Vidio.</t>
  </si>
  <si>
    <t>SEV: Suazo (Gdrive), Alexis Sanchez
BET: Valentin Gomez, Roca (22nya Gdrive)</t>
  </si>
  <si>
    <t>https://drive.google.com/file/d/1BIoWdfOV4W53VvLkw9pVREy4ITt1XgNl/view?usp=sharing</t>
  </si>
  <si>
    <t>https://drive.google.com/file/d/1M9oTtJY84tAVrA3BCWd2yc3geE1wQfnf/view?usp=sharing</t>
  </si>
  <si>
    <t>https://drive.google.com/file/d/1rH-hsndb9KzrzIO_IONHWz-tsc8rnv0c/view?usp=sharing</t>
  </si>
  <si>
    <t>150900d3</t>
  </si>
  <si>
    <t>Rayo Vallecano vs Valencia - LaLiga</t>
  </si>
  <si>
    <t>https://www.vidio.com/live/6299-bein-1?schedule_id=4736032</t>
  </si>
  <si>
    <t>https://drive.google.com/drive/folders/1bduChG8vfP9A2nHGNQ48Mgvt5MXd2y12?usp=drive_link</t>
  </si>
  <si>
    <t>rayo vallecano; valencia cf; sports stream</t>
  </si>
  <si>
    <t>Nonton streaming pertandingan seru Rayo Vallecano vs Valencia - LaLiga. Saksikan aksi-aksi terbaik dari tim yang bersaing ketat untuk meraih kemenangan. Dapatkan informasi lengkap mengenai jadwal pertandingan dan hasil pertandingan terbaru hanya di Vidio.</t>
  </si>
  <si>
    <t>RAY: Ratiu, Unai Lopez (Gdrive)
VAL: Almeida, Correia (22nya Gdrive)</t>
  </si>
  <si>
    <t>https://drive.google.com/file/d/1MdrVkF6PqBIXO4Qc-TLB4C-YziGHEhWW/view?usp=sharing</t>
  </si>
  <si>
    <t>https://drive.google.com/file/d/1avEiZNtDZ_IAlxeGvQRCdLWmZ8FwiXAv/view?usp=sharing</t>
  </si>
  <si>
    <t>https://drive.google.com/file/d/1m-7IrykxKJU2vmcI-S3rS6p6nslYJGYf/view?usp=sharing</t>
  </si>
  <si>
    <t>c699e3d3</t>
  </si>
  <si>
    <t>Espanyol vs Rayo Vallecano - LaLiga</t>
  </si>
  <si>
    <t>https://www.vidio.com/live/17875-bein-2?schedule_id=4768730</t>
  </si>
  <si>
    <t>https://thumbor.prod.vidiocdn.com/uBCfcBodjP6bVFqJI-z_50pBMbg=/filters:quality(70)/vidio-media-production/uploads/image/source/51618/416299.png</t>
  </si>
  <si>
    <t>https://drive.google.com/file/d/1aMmrOFBms-ChZMfuMc3Lxc1egOLzLiAm/view?usp=drive_link</t>
  </si>
  <si>
    <t>Reial Club Deportiu Espanyol; rayo vallecano; sports stream</t>
  </si>
  <si>
    <t>Nonton streaming pertandingan seru Espanyol vs Rayo Vallecano - LaLiga. Saksikan aksi-aksi terbaik dari tim yang bersaing ketat untuk meraih kemenangan. Dapatkan informasi lengkap mengenai jadwal pertandingan dan hasil pertandingan terbaru hanya di Vidio.</t>
  </si>
  <si>
    <t>https://drive.google.com/file/d/1aMmrOFBms-ChZMfuMc3Lxc1egOLzLiAm/view?usp=sharing</t>
  </si>
  <si>
    <t>84bffa33</t>
  </si>
  <si>
    <t>Alaves vs Real Sociedad - LaLiga</t>
  </si>
  <si>
    <t>https://www.vidio.com/live/17875-bein-2?schedule_id=4759277</t>
  </si>
  <si>
    <t>https://drive.google.com/drive/folders/1zgVe-yKl3p_j2wAGBMSvuZodedNPuwtj?usp=drive_link</t>
  </si>
  <si>
    <t>https://drive.google.com/file/d/1K3qBlsPWbh9DdKn5ZlQgRsQ4zYJAO5wQ/view?usp=drive_link</t>
  </si>
  <si>
    <t>deportivo alaves; Real Sociedad de Fútbol; sports stream</t>
  </si>
  <si>
    <t>Nonton streaming pertandingan seru Alaves vs Real Sociedad - LaLiga. Saksikan aksi-aksi terbaik dari tim yang bersaing ketat untuk meraih kemenangan. Dapatkan informasi lengkap mengenai jadwal pertandingan dan hasil pertandingan terbaru hanya di Vidio.</t>
  </si>
  <si>
    <t>ALA:  Denis Suarez, Tenaglia
RSO: Kubo, Brais Mendez</t>
  </si>
  <si>
    <t>https://drive.google.com/file/d/1Sej9jaK-CgqpjEqUrR1aWWJXteh7MMYy/view?usp=sharing</t>
  </si>
  <si>
    <t>https://drive.google.com/file/d/1K3qBlsPWbh9DdKn5ZlQgRsQ4zYJAO5wQ/view?usp=sharing</t>
  </si>
  <si>
    <t>https://drive.google.com/file/d/18noYodZX6POkFCwjUhYyWYJ4y2WZ7I4E/view?usp=sharing</t>
  </si>
  <si>
    <t>b18bc718</t>
  </si>
  <si>
    <t>Osasuna vs Levante - LaLiga</t>
  </si>
  <si>
    <t>https://www.vidio.com/live/6299-bein-1?schedule_id=4768736</t>
  </si>
  <si>
    <t>https://thumbor.prod.vidiocdn.com/O1bVZXU5qF5x8_lR03x5eeuLkmc=/filters:quality(70)/vidio-media-production/uploads/image/source/51620/2d1b82.png</t>
  </si>
  <si>
    <t>https://drive.google.com/file/d/1SqWgmccgHNwVjmnjeVX4G-w2eNVaiB7W/view?usp=drive_link</t>
  </si>
  <si>
    <t>ca osasuna; levante; sports stream</t>
  </si>
  <si>
    <t>Nonton streaming pertandingan seru Osasuna vs Levante - LaLiga. Saksikan aksi-aksi terbaik dari tim yang bersaing ketat untuk meraih kemenangan. Dapatkan informasi lengkap mengenai jadwal pertandingan dan hasil pertandingan terbaru hanya di Vidio.</t>
  </si>
  <si>
    <t>https://drive.google.com/file/d/1SqWgmccgHNwVjmnjeVX4G-w2eNVaiB7W/view?usp=sharing</t>
  </si>
  <si>
    <t>182eaed2</t>
  </si>
  <si>
    <t>Elche vs Girona - LaLiga</t>
  </si>
  <si>
    <t>https://www.vidio.com/live/17875-bein-2?schedule_id=4762550</t>
  </si>
  <si>
    <t>https://thumbor.prod.vidiocdn.com/20mmkPTbTCXrS6C3pcMkVRwkIeQ=/filters:quality(70)/vidio-media-production/uploads/image/source/51609/c92488.png</t>
  </si>
  <si>
    <t>https://drive.google.com/file/d/1ubj-NiYPPJARWrezZUBAGRJpGLQUU5LT/view?usp=drive_link</t>
  </si>
  <si>
    <t>elche cf; girona fc; sports stream</t>
  </si>
  <si>
    <t>Nonton streaming pertandingan seru Elche vs Girona - LaLiga. Saksikan aksi-aksi terbaik dari tim yang bersaing ketat untuk meraih kemenangan. Dapatkan informasi lengkap mengenai jadwal pertandingan dan hasil pertandingan terbaru hanya di Vidio.</t>
  </si>
  <si>
    <t>https://drive.google.com/file/d/1ubj-NiYPPJARWrezZUBAGRJpGLQUU5LT/view?usp=sharing</t>
  </si>
  <si>
    <t>a16b280c</t>
  </si>
  <si>
    <t>Real Madrid vs Celta Vigo - LaLiga</t>
  </si>
  <si>
    <t>https://www.vidio.com/live/6299-bein-1?schedule_id=4768735</t>
  </si>
  <si>
    <t>https://drive.google.com/drive/folders/1655C6yKFsmiEvHRyN4OB3pnaHur3bq1O?usp=drive_link</t>
  </si>
  <si>
    <t>https://drive.google.com/file/d/1IdCLft-rd3uYf0wAtKql-_1jjFP2P3fV/view?usp=drive_link</t>
  </si>
  <si>
    <t>real madrid cf; real club celta de vigo; sports stream</t>
  </si>
  <si>
    <t>Nonton streaming pertandingan seru Real Madrid vs Celta Vigo - LaLiga. Saksikan aksi-aksi terbaik dari tim yang bersaing ketat untuk meraih kemenangan. Dapatkan informasi lengkap mengenai jadwal pertandingan dan hasil pertandingan terbaru hanya di Vidio.</t>
  </si>
  <si>
    <t>RMA: Mbappe, Valverde
CEL: Borja Iglesias, Carreira</t>
  </si>
  <si>
    <t>E2</t>
  </si>
  <si>
    <t>https://thumbor.prod.vidiocdn.com/RzlDrR5wB4mo1CP1mIAGSMmchN4=/filters:quality(70)/vidio-media-production/uploads/image/source/51619/f3e37e.png</t>
  </si>
  <si>
    <t>https://drive.google.com/file/d/1IdCLft-rd3uYf0wAtKql-_1jjFP2P3fV/view?usp=sharing</t>
  </si>
  <si>
    <t>https://drive.google.com/file/d/1h8SQn5v27tPOLzZwp8V9CnwuYm0B4HrF/view?usp=sharing</t>
  </si>
  <si>
    <t>a3be1c79</t>
  </si>
  <si>
    <t>Villarreal vs Getafe - LaLiga</t>
  </si>
  <si>
    <t>https://www.vidio.com/live/6317-bein-3?schedule_id=4762165</t>
  </si>
  <si>
    <t>https://drive.google.com/drive/folders/1axZJr0zIs8_nMEhTSxXNoFlDUG6IaXYk</t>
  </si>
  <si>
    <t>https://drive.google.com/file/d/1UL7XCYst7K_2bW4rNrpHmTPkYKchJG-9/view?usp=drive_link</t>
  </si>
  <si>
    <t>villarreal cf; getafe cf; sports stream</t>
  </si>
  <si>
    <t>Nonton streaming pertandingan seru Villarreal vs Getafe - LaLiga. Saksikan aksi-aksi terbaik dari tim yang bersaing ketat untuk meraih kemenangan. Dapatkan informasi lengkap mengenai jadwal pertandingan dan hasil pertandingan terbaru hanya di Vidio.</t>
  </si>
  <si>
    <t>VIL: Moleiro, Comesana
GET: Arambarri, Kiko</t>
  </si>
  <si>
    <t>https://thumbor.prod.vidiocdn.com/LFc37TeKdZOePLEBuF3KcDlaK2M=/filters:quality(70)/vidio-media-production/uploads/image/source/51607/8c8cc7.png</t>
  </si>
  <si>
    <t>https://drive.google.com/file/d/1UL7XCYst7K_2bW4rNrpHmTPkYKchJG-9/view?usp=sharing</t>
  </si>
  <si>
    <t>https://drive.google.com/file/d/1YbgNTivnfw9-qdrkC22JwFVtJ2FthnX-/view?usp=sharing</t>
  </si>
  <si>
    <t>8d0a27ae</t>
  </si>
  <si>
    <t>Oviedo vs Mallorca - LaLiga</t>
  </si>
  <si>
    <t>https://www.vidio.com/live/6299-bein-1?schedule_id=4762163</t>
  </si>
  <si>
    <t>https://drive.google.com/drive/folders/1qRLLsWl7Qh_dT9e_eq7HQRrZKsb94pw8</t>
  </si>
  <si>
    <t>https://drive.google.com/file/d/1Jy2pUMWiaoQB_15IXlYqLaCOhdKrN8yO/view?usp=drive_link</t>
  </si>
  <si>
    <t>Real Oviedo; real club deportivo mallorca; sports stream</t>
  </si>
  <si>
    <t>Nonton streaming pertandingan seru Oviedo vs Mallorca - LaLiga. Saksikan aksi-aksi terbaik dari tim yang bersaing ketat untuk meraih kemenangan. Dapatkan informasi lengkap mengenai jadwal pertandingan dan hasil pertandingan terbaru hanya di Vidio.</t>
  </si>
  <si>
    <t>https://thumbor.prod.vidiocdn.com/TySO3TGzT5mXmygl-NkaKV3Ui9o=/filters:quality(70)/vidio-media-production/uploads/image/source/51612/4ea21f.png</t>
  </si>
  <si>
    <t>https://drive.google.com/file/d/1Jy2pUMWiaoQB_15IXlYqLaCOhdKrN8yO/view?usp=sharing</t>
  </si>
  <si>
    <t>abc76f72</t>
  </si>
  <si>
    <t>Valencia vs Sevilla - LaLiga</t>
  </si>
  <si>
    <t>https://www.vidio.com/live/17875-bein-2?schedule_id=4762551</t>
  </si>
  <si>
    <t>https://drive.google.com/drive/folders/1atMGs8mPCqTdKkephFNF6_c_JFcb5VUw</t>
  </si>
  <si>
    <t>https://drive.google.com/file/d/1Pn-BRisr5sno1zhHts2ONs3BSVsF3Gcm/view?usp=drive_link</t>
  </si>
  <si>
    <t>valencia cf; sevilla fc; sports stream</t>
  </si>
  <si>
    <t>Nonton streaming pertandingan seru Valencia vs Sevilla - LaLiga. Saksikan aksi-aksi terbaik dari tim yang bersaing ketat untuk meraih kemenangan. Dapatkan informasi lengkap mengenai jadwal pertandingan dan hasil pertandingan terbaru hanya di Vidio.</t>
  </si>
  <si>
    <t>VAL: Pepelu, Almeida
SEV: Azpilicueta, Jose Angel Carmona</t>
  </si>
  <si>
    <t>https://thumbor.prod.vidiocdn.com/b6F7GtHzY6DBTAJGtIXqIYJBPDU=/filters:quality(70)/vidio-media-production/uploads/image/source/51610/475b95.png</t>
  </si>
  <si>
    <t>https://drive.google.com/file/d/1Pn-BRisr5sno1zhHts2ONs3BSVsF3Gcm/view?usp=sharing</t>
  </si>
  <si>
    <t>https://drive.google.com/file/d/1EOPmTc9W9B1zIrPndqJmYdhmtM7p9Bv1/view?usp=sharing</t>
  </si>
  <si>
    <t>e3a0c1cc</t>
  </si>
  <si>
    <t>Athletic Club vs Atletico Madrid - LaLiga</t>
  </si>
  <si>
    <t>https://www.vidio.com/live/6299-bein-1?schedule_id=4768732</t>
  </si>
  <si>
    <t>https://drive.google.com/drive/folders/1T58dJh-nQcvrQrbIODmcx8qeBWx8GyQ_</t>
  </si>
  <si>
    <t>https://drive.google.com/file/d/1sFaUqK6iWUzUffaYh6uD4iUjyNRoy7mW/view?usp=drive_link</t>
  </si>
  <si>
    <t>athletic club bilbao; Club Atlético de Madrid; sports stream</t>
  </si>
  <si>
    <t>Nonton streaming pertandingan seru Athletic Club vs Atletico Madrid - LaLiga. Saksikan aksi-aksi terbaik dari tim yang bersaing ketat untuk meraih kemenangan. Dapatkan informasi lengkap mengenai jadwal pertandingan dan hasil pertandingan terbaru hanya di Vidio.</t>
  </si>
  <si>
    <t>ATH: Nico Williams, Vivian
ATM: Sorloth, Barrios</t>
  </si>
  <si>
    <t>https://thumbor.prod.vidiocdn.com/tDdN0we9r2_zvGv5Qru6zz8wtCI=/filters:quality(70)/vidio-media-production/uploads/image/source/51608/23a804.png</t>
  </si>
  <si>
    <t>https://drive.google.com/file/d/1sFaUqK6iWUzUffaYh6uD4iUjyNRoy7mW/view?usp=sharing</t>
  </si>
  <si>
    <t>https://drive.google.com/file/d/12sb4x1Awy_NItNpo0eZ1Wi8uX-xHepVX/view?usp=sharing</t>
  </si>
  <si>
    <t>0a9fb073</t>
  </si>
  <si>
    <t>Real Betis vs Barcelona - LaLiga</t>
  </si>
  <si>
    <t>https://www.vidio.com/live/17875-bein-2?schedule_id=4759280</t>
  </si>
  <si>
    <t>https://drive.google.com/drive/folders/1iP0vvCO-YIaYRdh0PtHHdrDol8AfrJsi?usp=drive_link</t>
  </si>
  <si>
    <t>https://drive.google.com/file/d/1wI7djgY_iloDCxFqUosAzXWGwA1BufFu/view?usp=drive_link</t>
  </si>
  <si>
    <t>Real Betis Balompié; fc barcelona; sports stream</t>
  </si>
  <si>
    <t>Nonton streaming pertandingan seru Real Betis vs Barcelona - LaLiga. Saksikan aksi-aksi terbaik dari tim yang bersaing ketat untuk meraih kemenangan. Dapatkan informasi lengkap mengenai jadwal pertandingan dan hasil pertandingan terbaru hanya di Vidio.</t>
  </si>
  <si>
    <t>BET: Fornals, Bartra
BAR: Yamal, Raphinha</t>
  </si>
  <si>
    <t>https://drive.google.com/file/d/1F6uXTmr6YqHGd1vpzuEahSz8VtBLHJs8/view?usp=sharing</t>
  </si>
  <si>
    <t>https://drive.google.com/file/d/1wI7djgY_iloDCxFqUosAzXWGwA1BufFu/view?usp=sharing</t>
  </si>
  <si>
    <t>https://drive.google.com/file/d/1L091O4_-fM-iO_AzxHwergzMOrSi_DBi/view?usp=sharing</t>
  </si>
  <si>
    <t>5d47b384</t>
  </si>
  <si>
    <t>Rayo Vallecano vs Real Betis - LaLiga</t>
  </si>
  <si>
    <t>https://www.vidio.com/live/6299-bein-1?schedule_id=4779485</t>
  </si>
  <si>
    <t>https://drive.google.com/drive/folders/1Elgnv4JoScKp-rtwaI1Qha1TDQXUWHay?usp=drive_link</t>
  </si>
  <si>
    <t>https://drive.google.com/file/d/14FLuT-AfJXVMNdPGnD7fXxEKnah-seh7/view?usp=drive_link</t>
  </si>
  <si>
    <t>rayo vallecano; Real Betis Balompié; sports stream</t>
  </si>
  <si>
    <t>Nonton streaming pertandingan seru Rayo Vallecano vs Real Betis - LaLiga. Saksikan aksi-aksi terbaik dari tim yang bersaing ketat untuk meraih kemenangan. Dapatkan informasi lengkap mengenai jadwal pertandingan dan hasil pertandingan terbaru hanya di Vidio.</t>
  </si>
  <si>
    <t>RAY: Isi, Ratiu
BET: Antony, Ezzalzouli</t>
  </si>
  <si>
    <t>https://drive.google.com/file/d/15IctWvDEuxEVdLPTArCqEZmNQ75ngBa1/view?usp=sharing</t>
  </si>
  <si>
    <t>https://drive.google.com/file/d/14FLuT-AfJXVMNdPGnD7fXxEKnah-seh7/view?usp=sharing</t>
  </si>
  <si>
    <t>https://drive.google.com/file/d/1NktSdPrqzATyXQIUMsjRKpSJkokUckzU/view?usp=sharing</t>
  </si>
  <si>
    <t>bd70b39d</t>
  </si>
  <si>
    <t>Real Sociedad vs Girona - LaLiga</t>
  </si>
  <si>
    <t>https://www.vidio.com/live/6299-bein-1?schedule_id=4773609</t>
  </si>
  <si>
    <t>https://drive.google.com/drive/folders/1FkRvPhiq1oH4WOdv7KaSVExRVjlyBb2x?usp=sharing</t>
  </si>
  <si>
    <t>https://drive.google.com/file/d/1ha03dUN3_1eKtEWsqcaH3nxqKfZt_-dj/view?usp=drive_link</t>
  </si>
  <si>
    <t>Real Sociedad de Fútbol; girona fc; sports stream</t>
  </si>
  <si>
    <t>Nonton streaming pertandingan seru Real Sociedad vs Girona - LaLiga. Saksikan aksi-aksi terbaik dari tim yang bersaing ketat untuk meraih kemenangan. Dapatkan informasi lengkap mengenai jadwal pertandingan dan hasil pertandingan terbaru hanya di Vidio.</t>
  </si>
  <si>
    <t>RSO: Brais Mendez, Soler
GIR: Tsihankov, Lemar</t>
  </si>
  <si>
    <t>https://drive.google.com/file/d/1JzQwS-fI1Br_LqFayTlo0MF1G8FctD_o/view?usp=sharing</t>
  </si>
  <si>
    <t>https://drive.google.com/file/d/1ha03dUN3_1eKtEWsqcaH3nxqKfZt_-dj/view?usp=sharing</t>
  </si>
  <si>
    <t>https://drive.google.com/file/d/1yR2zWiaFHOnqQNF-AYd7jlYN84UWUPrB/view?usp=sharing</t>
  </si>
  <si>
    <t>8cbf1cb0</t>
  </si>
  <si>
    <t>Levante vs Villarreal - LaLiga</t>
  </si>
  <si>
    <t>https://www.vidio.com/live/6299-bein-1?schedule_id=4779478</t>
  </si>
  <si>
    <t>https://drive.google.com/drive/folders/1pSXk761Vitto4TFik5MuRK13aFKKrsCT</t>
  </si>
  <si>
    <t>https://drive.google.com/file/d/1y50YgRzIWAdMHIDe9jk9IWCPAtbNK_YE/view?usp=drive_link</t>
  </si>
  <si>
    <t>levante; villarreal cf; sports stream</t>
  </si>
  <si>
    <t>Nonton streaming pertandingan seru Levante vs Villarreal - LaLiga. Saksikan aksi-aksi terbaik dari tim yang bersaing ketat untuk meraih kemenangan. Dapatkan informasi lengkap mengenai jadwal pertandingan dan hasil pertandingan terbaru hanya di Vidio.</t>
  </si>
  <si>
    <t>LEV: Arriaga, Sanchez
VIL: Buchaanan, Comesana</t>
  </si>
  <si>
    <t>https://thumbor.prod.vidiocdn.com/KX8vr1-wtBMu7V4pNKbHIgiouXU=/filters:quality(70)/vidio-media-production/uploads/image/source/51869/fc01e8.png</t>
  </si>
  <si>
    <t>https://drive.google.com/file/d/1y50YgRzIWAdMHIDe9jk9IWCPAtbNK_YE/view?usp=sharing</t>
  </si>
  <si>
    <t>https://drive.google.com/file/d/1mNTtrQIIS1AQ2Le8KJyQmWARkTJEgoPc/view?usp=sharing</t>
  </si>
  <si>
    <t>647e9a57</t>
  </si>
  <si>
    <t>Alaves vs Real Madrid - LaLiga</t>
  </si>
  <si>
    <t>https://www.vidio.com/live/6299-bein-1?schedule_id=4779505</t>
  </si>
  <si>
    <t>https://drive.google.com/drive/folders/165NRzfs_yZiI3c-9NXuKNDEkrTLDm3Wy?usp=drive_link</t>
  </si>
  <si>
    <t>https://drive.google.com/file/d/1pSsUEiJ7dmQpbV1N-Mg_L88Tbx2a3P0T/view?usp=drive_link</t>
  </si>
  <si>
    <t>deportivo alaves; real madrid cf; sports stream</t>
  </si>
  <si>
    <t>Nonton streaming pertandingan seru Alaves vs Real Madrid - LaLiga. Saksikan aksi-aksi terbaik dari tim yang bersaing ketat untuk meraih kemenangan. Dapatkan informasi lengkap mengenai jadwal pertandingan dan hasil pertandingan terbaru hanya di Vidio.</t>
  </si>
  <si>
    <t>ALA: Tenaglia, Vicente
RMA: Valverde, Tchouameni</t>
  </si>
  <si>
    <t>https://thumbor.prod.vidiocdn.com/q5UzkOCulgezllgkOZNp3VYTWIE=/filters:quality(70)/vidio-media-production/uploads/image/source/52006/6ff38e.png</t>
  </si>
  <si>
    <t>https://drive.google.com/file/d/1pSsUEiJ7dmQpbV1N-Mg_L88Tbx2a3P0T/view?usp=sharing</t>
  </si>
  <si>
    <t>https://drive.google.com/file/d/10Pl67xEmXNffUqEM83hcS2gTZLQH2WrT/view?usp=sharing</t>
  </si>
  <si>
    <t>ddb9c015</t>
  </si>
  <si>
    <t>Barcelona vs Osasuna - LaLiga</t>
  </si>
  <si>
    <t>https://www.vidio.com/live/6299-bein-1?schedule_id=4773363</t>
  </si>
  <si>
    <t>https://drive.google.com/drive/folders/1feBsqAGxUAiAJOPro7vQOB3BqUy41cpa</t>
  </si>
  <si>
    <t>https://drive.google.com/file/d/1LQSF6u_001ZswikBdZMH_AdNEQLCpF2A/view?usp=drive_link</t>
  </si>
  <si>
    <t>fc barcelona; ca osasuna; sports stream</t>
  </si>
  <si>
    <t>Nonton streaming pertandingan seru Barcelona vs Osasuna - LaLiga. Saksikan aksi-aksi terbaik dari tim yang bersaing ketat untuk meraih kemenangan. Dapatkan informasi lengkap mengenai jadwal pertandingan dan hasil pertandingan terbaru hanya di Vidio.</t>
  </si>
  <si>
    <t>BAR: Kounde, Pedri
OSA: Budimir, Moncayola</t>
  </si>
  <si>
    <t>F3</t>
  </si>
  <si>
    <t>https://thumbor.prod.vidiocdn.com/Eti5wqQSUMPptCVktAqj6ptHROo=/filters:quality(70)/vidio-media-production/uploads/image/source/51872/74809e.png</t>
  </si>
  <si>
    <t>https://drive.google.com/file/d/1LQSF6u_001ZswikBdZMH_AdNEQLCpF2A/view?usp=sharing</t>
  </si>
  <si>
    <t>https://drive.google.com/file/d/1dsI3fpOfqGsNLiG9wFQHo3UpsP-Ivy6D/view?usp=sharing</t>
  </si>
  <si>
    <t>3f0cbc63</t>
  </si>
  <si>
    <t>Mallorca vs Elche - LaLiga</t>
  </si>
  <si>
    <t>https://www.vidio.com/live/6299-bein-1?schedule_id=4773336</t>
  </si>
  <si>
    <t>https://drive.google.com/file/d/1CQj1dOrW_YmVQvliP3qkqJhvaG1qmi0F/view?usp=drive_link</t>
  </si>
  <si>
    <t>real club deportivo mallorca; elche cf; sports stream</t>
  </si>
  <si>
    <t>Nonton streaming pertandingan seru Mallorca vs Elche - LaLiga. Saksikan aksi-aksi terbaik dari tim yang bersaing ketat untuk meraih kemenangan. Dapatkan informasi lengkap mengenai jadwal pertandingan dan hasil pertandingan terbaru hanya di Vidio.</t>
  </si>
  <si>
    <t>https://thumbor.prod.vidiocdn.com/hS8NDhNEk8gTLw-xZW2pmxvsWec=/filters:quality(70)/vidio-media-production/uploads/image/source/51760/3242b8.png</t>
  </si>
  <si>
    <t>5a09a7f1</t>
  </si>
  <si>
    <t>Atletico Madrid vs Valencia - LaLiga</t>
  </si>
  <si>
    <t>https://www.vidio.com/live/6299-bein-1?schedule_id=4773335</t>
  </si>
  <si>
    <t>https://drive.google.com/drive/folders/1KZ9eaK_cE4I20TiQE5JfaAyaq58dzaBM</t>
  </si>
  <si>
    <t>https://drive.google.com/file/d/1PkApsGFDBWH2uUBZMnVC-LghCPo706Pp/view?usp=drive_link</t>
  </si>
  <si>
    <t>Club Atlético de Madrid; valencia cf; sports stream</t>
  </si>
  <si>
    <t>Nonton streaming pertandingan seru Atletico Madrid vs Valencia - LaLiga. Saksikan aksi-aksi terbaik dari tim yang bersaing ketat untuk meraih kemenangan. Dapatkan informasi lengkap mengenai jadwal pertandingan dan hasil pertandingan terbaru hanya di Vidio.</t>
  </si>
  <si>
    <t>ATM: Sorloth, Alvarez
VAL: Hugo Duro, Correia</t>
  </si>
  <si>
    <t>https://thumbor.prod.vidiocdn.com/Ajq3tITwnshTZuhdXDovP0rLDzA=/filters:quality(70)/vidio-media-production/uploads/image/source/51821/bd2377.png</t>
  </si>
  <si>
    <t>https://drive.google.com/file/d/1PkApsGFDBWH2uUBZMnVC-LghCPo706Pp/view?usp=sharing</t>
  </si>
  <si>
    <t>https://drive.google.com/file/d/11dqnNPWmK2F0Lg_5e_xjufa8fM4MQK1y/view?usp=sharing</t>
  </si>
  <si>
    <t>7240158c</t>
  </si>
  <si>
    <t>Celta Vigo vs Athletic Club - LaLiga</t>
  </si>
  <si>
    <t>https://www.vidio.com/live/6299-bein-1?schedule_id=4773366</t>
  </si>
  <si>
    <t>https://drive.google.com/drive/folders/1ICVNICXmYNRNPXmg4VhDAPanlOh3bxhe</t>
  </si>
  <si>
    <t>https://drive.google.com/file/d/1sBgdglkHgYI10Tc8IR0ATdTY-V4_recI/view?usp=drive_link</t>
  </si>
  <si>
    <t>real club celta de vigo; athletic club bilbao; sports stream</t>
  </si>
  <si>
    <t>Nonton streaming pertandingan seru Celta Vigo vs Athletic Club - LaLiga. Saksikan aksi-aksi terbaik dari tim yang bersaing ketat untuk meraih kemenangan. Dapatkan informasi lengkap mengenai jadwal pertandingan dan hasil pertandingan terbaru hanya di Vidio.</t>
  </si>
  <si>
    <t>CEL: Carreira, Radu
ATH: Nico Williams, Berchiche</t>
  </si>
  <si>
    <t>https://thumbor.prod.vidiocdn.com/LGjjnx3WJHlidJCSD-arTOK1AwU=/filters:quality(70)/vidio-media-production/uploads/image/source/51762/784e98.png</t>
  </si>
  <si>
    <t>https://drive.google.com/file/d/1sBgdglkHgYI10Tc8IR0ATdTY-V4_recI/view?usp=sharing</t>
  </si>
  <si>
    <t>https://drive.google.com/file/d/1LhOaoWsMQQdvLMpZfYFfQh2HtJyJx6Xn/view?usp=sharing</t>
  </si>
  <si>
    <t>45a48982</t>
  </si>
  <si>
    <t>Getafe vs Espanyol - LaLiga</t>
  </si>
  <si>
    <t>https://www.vidio.com/live/6299-bein-1?schedule_id=4773364</t>
  </si>
  <si>
    <t>https://thumbor.prod.vidiocdn.com/uVMQFrByCluFMV3ICI06Kz3nwx8=/filters:quality(70)/vidio-media-production/uploads/image/source/51753/fa8a77.png</t>
  </si>
  <si>
    <t>https://drive.google.com/file/d/16zVZRVbhghX1ciu1OfUljfHXtbbT1o_t/view?usp=drive_link</t>
  </si>
  <si>
    <t>getafe cf; Reial Club Deportiu Espanyol; sports stream</t>
  </si>
  <si>
    <t>Nonton streaming pertandingan seru Getafe vs Espanyol - LaLiga. Saksikan aksi-aksi terbaik dari tim yang bersaing ketat untuk meraih kemenangan. Dapatkan informasi lengkap mengenai jadwal pertandingan dan hasil pertandingan terbaru hanya di Vidio.</t>
  </si>
  <si>
    <t>https://drive.google.com/file/d/16zVZRVbhghX1ciu1OfUljfHXtbbT1o_t/view?usp=sharing</t>
  </si>
  <si>
    <t>e4ad638a</t>
  </si>
  <si>
    <t>Sevilla vs Oviedo - LaLiga</t>
  </si>
  <si>
    <t>https://www.vidio.com/live/6299-bein-1?schedule_id=4773365</t>
  </si>
  <si>
    <t>https://drive.google.com/drive/folders/1pprnQKq2_ByRWkA-9iRJCt3CsGRP_KXo</t>
  </si>
  <si>
    <t>https://drive.google.com/file/d/1NaQy-0-ezDwkIugbGBVgx-rO7wVc6jZv/view?usp=drive_link</t>
  </si>
  <si>
    <t>sevilla fc; Real Oviedo; sports stream</t>
  </si>
  <si>
    <t>Nonton streaming pertandingan seru Sevilla vs Oviedo - LaLiga. Saksikan aksi-aksi terbaik dari tim yang bersaing ketat untuk meraih kemenangan. Dapatkan informasi lengkap mengenai jadwal pertandingan dan hasil pertandingan terbaru hanya di Vidio.</t>
  </si>
  <si>
    <t>SEV: Azpilicueta, Vlachodimos
OVI: Rondon, Escandell</t>
  </si>
  <si>
    <t>https://thumbor.prod.vidiocdn.com/dLl6dsZPBl5NFzqKry_ssXaY-bw=/filters:quality(70)/vidio-media-production/uploads/image/source/51761/dfc54e.png</t>
  </si>
  <si>
    <t>https://drive.google.com/file/d/1NaQy-0-ezDwkIugbGBVgx-rO7wVc6jZv/view?usp=sharing</t>
  </si>
  <si>
    <t>https://drive.google.com/file/d/1cb-6gHTl3njTF4rhiXmbG_T-NNtL29MR/view?usp=sharing</t>
  </si>
  <si>
    <t>db5189a2</t>
  </si>
  <si>
    <t>Valencia vs Mallorca - LaLiga</t>
  </si>
  <si>
    <t>https://www.vidio.com/live/6299-bein-1?schedule_id=4783089</t>
  </si>
  <si>
    <t>https://drive.google.com/drive/folders/1ZtVy49ZJJGG2Cw87MvMKVvzjiKvqEO7t?usp=drive_link</t>
  </si>
  <si>
    <t>valencia cf; real club deportivo mallorca; sports stream</t>
  </si>
  <si>
    <t>Nonton streaming pertandingan seru Valencia vs Mallorca - LaLiga. Saksikan aksi-aksi terbaik dari tim yang bersaing ketat untuk meraih kemenangan. Dapatkan informasi lengkap mengenai jadwal pertandingan dan hasil pertandingan terbaru hanya di Vidio.</t>
  </si>
  <si>
    <t>VAL: Almeida, Duro
MLL: Muriqi, Darder</t>
  </si>
  <si>
    <t>https://thumbor.prod.vidiocdn.com/xItkECwfxzRAiw7RAg7gaYSZPkU=/filters:quality(70)/vidio-media-production/uploads/image/source/52100/20997b.png</t>
  </si>
  <si>
    <t>https://thumbor.prod.vidiocdn.com/VLP7sG3OHbXI3-h4tgAoGYpOtZM=/filters:quality(70)/vidio-media-production/uploads/image/source/52099/6ad5a8.png</t>
  </si>
  <si>
    <t>https://drive.google.com/file/d/1q_S147RXF7Lg-td2wnJ49QJVxN9zvJKt/view?usp=sharing</t>
  </si>
  <si>
    <t>d92defd1</t>
  </si>
  <si>
    <t>Athletic Club vs Espanyol - LaLiga</t>
  </si>
  <si>
    <t>https://www.vidio.com/live/6299-bein-1?schedule_id=4784948</t>
  </si>
  <si>
    <t>https://drive.google.com/drive/folders/1UyPYWCM7L9qXefwzKKmjeHi5mU2P4ohA?usp=drive_link</t>
  </si>
  <si>
    <t>athletic club bilbao; Reial Club Deportiu Espanyol; sports stream</t>
  </si>
  <si>
    <t>Nonton streaming pertandingan seru Athletic Club vs Espanyol - LaLiga. Saksikan aksi-aksi terbaik dari tim yang bersaing ketat untuk meraih kemenangan. Dapatkan informasi lengkap mengenai jadwal pertandingan dan hasil pertandingan terbaru hanya di Vidio.</t>
  </si>
  <si>
    <t>ATH: Jauregizar, Inaki Williams
ESP: Exposito, Milla</t>
  </si>
  <si>
    <t>https://thumbor.prod.vidiocdn.com/dm5M9JLV5FK8n2tSTZ5aqeUoYiw=/filters:quality(70)/vidio-media-production/uploads/image/source/52110/a2e253.png</t>
  </si>
  <si>
    <t>https://thumbor.prod.vidiocdn.com/UC8rAaJsuTu_v9CBvK2NAWWQNgc=/filters:quality(70)/vidio-media-production/uploads/image/source/52109/78c1fe.png</t>
  </si>
  <si>
    <t>https://drive.google.com/file/d/1b_8an34J5M0a8Wnd6kC3FtXW-bIDK_Xz/view?usp=sharing</t>
  </si>
  <si>
    <t>5a8cb54b</t>
  </si>
  <si>
    <t>Villarreal vs Barcelona - LaLiga</t>
  </si>
  <si>
    <t>https://www.vidio.com/live/6299-bein-1?schedule_id=4783768</t>
  </si>
  <si>
    <t>https://drive.google.com/drive/folders/1vP_JIU68RvPZwnWGiZQu_HJyWpG1ph8s?usp=drive_link</t>
  </si>
  <si>
    <t>villarreal cf; fc barcelona; sports stream</t>
  </si>
  <si>
    <t>Nonton streaming pertandingan seru Villarreal vs Barcelona - LaLiga. Saksikan aksi-aksi terbaik dari tim yang bersaing ketat untuk meraih kemenangan. Dapatkan informasi lengkap mengenai jadwal pertandingan dan hasil pertandingan terbaru hanya di Vidio.</t>
  </si>
  <si>
    <t>VIL:  Buchanan, Comesana
BAR: Raphinha, Pedri</t>
  </si>
  <si>
    <t>https://thumbor.prod.vidiocdn.com/lUNB-E-JTGkFmmnKpUZUtvgxeYw=/filters:quality(70)/vidio-media-production/uploads/image/source/52104/147ab1.png</t>
  </si>
  <si>
    <t>https://thumbor.prod.vidiocdn.com/_8uDg-kk1a7LV4AnG8To6gNWwrM=/filters:quality(70)/vidio-media-production/uploads/image/source/52103/e60a3b.png</t>
  </si>
  <si>
    <t>https://drive.google.com/file/d/1qSaVeO0ykZpIv-LVfArcMVOESD1uyUfi/view?usp=sharing</t>
  </si>
  <si>
    <t>de1431ff</t>
  </si>
  <si>
    <t>Real Betis vs Getafe - LaLiga</t>
  </si>
  <si>
    <t>https://www.vidio.com/live/6299-bein-1?schedule_id=4784756</t>
  </si>
  <si>
    <t>https://drive.google.com/drive/folders/1oLoUXsFggbOKK8Wgb40SzkxdUw1XnYV6?usp=drive_link</t>
  </si>
  <si>
    <t>Real Betis Balompié; getafe cf; sports stream</t>
  </si>
  <si>
    <t>Nonton streaming pertandingan seru Real Betis vs Getafe - LaLiga. Saksikan aksi-aksi terbaik dari tim yang bersaing ketat untuk meraih kemenangan. Dapatkan informasi lengkap mengenai jadwal pertandingan dan hasil pertandingan terbaru hanya di Vidio.</t>
  </si>
  <si>
    <t>BET: Bartra, Valles
GET: Kiko, Soria</t>
  </si>
  <si>
    <t>https://thumbor.prod.vidiocdn.com/o_E-Mmtn8Wp0qKO4pU6dwpHmpws=/filters:quality(70)/vidio-media-production/uploads/image/source/52108/fad2ed.png</t>
  </si>
  <si>
    <t>https://thumbor.prod.vidiocdn.com/LfMGlTA0vy8KqZbC6VFi9FAEBHw=/filters:quality(70)/vidio-media-production/uploads/image/source/52107/432bd6.png</t>
  </si>
  <si>
    <t>https://drive.google.com/file/d/1gL11lbkdshD6YmxTKllqQ32G9NaytYiq/view?usp=sharing</t>
  </si>
  <si>
    <t>0e2ebbff</t>
  </si>
  <si>
    <t>Real Madrid vs Sevilla - LaLiga</t>
  </si>
  <si>
    <t>https://www.vidio.com/live/6299-bein-1?schedule_id=4783758</t>
  </si>
  <si>
    <t>https://drive.google.com/drive/folders/1FM-MDRvSiv1mxNDR2rKAB6EJvFSWljzr?usp=drive_link</t>
  </si>
  <si>
    <t>real madrid cf; sevilla fc; sports stream</t>
  </si>
  <si>
    <t>Nonton streaming pertandingan seru Real Madrid vs Sevilla - LaLiga. Saksikan aksi-aksi terbaik dari tim yang bersaing ketat untuk meraih kemenangan. Dapatkan informasi lengkap mengenai jadwal pertandingan dan hasil pertandingan terbaru hanya di Vidio.</t>
  </si>
  <si>
    <t>RMA: Bellingham, Valverde
SEV: Alexis Sanchez, Agoume</t>
  </si>
  <si>
    <t>https://thumbor.prod.vidiocdn.com/aczaT-NvtH2BO6PksiYasHu3fGo=/filters:quality(70)/vidio-media-production/uploads/image/source/52036/41ba0f.png</t>
  </si>
  <si>
    <t>https://thumbor.prod.vidiocdn.com/dusCp5No7kUqWPFb3XsWBHq0F7U=/filters:quality(70)/vidio-media-production/uploads/image/source/52035/8d6944.png</t>
  </si>
  <si>
    <t>https://drive.google.com/file/d/1XC7aHV4pF5U_hTh3G10J04rpoOIu_apQ/view?usp=sharing</t>
  </si>
  <si>
    <t>0ba79481</t>
  </si>
  <si>
    <t>Girona vs Atletico Madrid - LaLiga</t>
  </si>
  <si>
    <t>https://www.vidio.com/live/6299-bein-1?schedule_id=4783764</t>
  </si>
  <si>
    <t>https://drive.google.com/drive/folders/1l7MD2lnIfkpkjjBybg501blTO-4ph86-?usp=drive_link</t>
  </si>
  <si>
    <t>girona fc; Club Atlético de Madrid; sports stream</t>
  </si>
  <si>
    <t>Nonton streaming pertandingan seru Girona vs Atletico Madrid - LaLiga. Saksikan aksi-aksi terbaik dari tim yang bersaing ketat untuk meraih kemenangan. Dapatkan informasi lengkap mengenai jadwal pertandingan dan hasil pertandingan terbaru hanya di Vidio.</t>
  </si>
  <si>
    <t>GIR: Tsihankov, Ounahi
ATM: Griezmann, Nico Gonzalez</t>
  </si>
  <si>
    <t>https://thumbor.prod.vidiocdn.com/M2dtDPxuSPAWVIngrE0PoEo6X2A=/filters:quality(70)/vidio-media-production/uploads/image/source/52069/f7d553.png</t>
  </si>
  <si>
    <t>https://thumbor.prod.vidiocdn.com/U8zPwDfqtdQf7-LYjaIRP2uLu8o=/filters:quality(70)/vidio-media-production/uploads/image/source/52068/ea7179.png</t>
  </si>
  <si>
    <t>https://drive.google.com/file/d/18pC5ozf8Vbca7gkzWPtRK_sK2dkuSrjT/view?usp=sharing</t>
  </si>
  <si>
    <t>9dfc02a2</t>
  </si>
  <si>
    <t>Elche vs Rayo Vallecano - LaLiga</t>
  </si>
  <si>
    <t>https://www.vidio.com/live/6299-bein-1?schedule_id=4784752</t>
  </si>
  <si>
    <t>elche cf; rayo vallecano; sports stream</t>
  </si>
  <si>
    <t>Nonton streaming pertandingan seru Elche vs Rayo Vallecano - LaLiga. Saksikan aksi-aksi terbaik dari tim yang bersaing ketat untuk meraih kemenangan. Dapatkan informasi lengkap mengenai jadwal pertandingan dan hasil pertandingan terbaru hanya di Vidio.</t>
  </si>
  <si>
    <t>https://thumbor.prod.vidiocdn.com/J8EiYZ3snZYazNOkS76YWdYj37w=/filters:quality(70)/vidio-media-production/uploads/image/source/52106/b8aba9.png</t>
  </si>
  <si>
    <t>https://thumbor.prod.vidiocdn.com/YXuXidkkspasX1tNmUG0Oj20hRQ=/filters:quality(70)/vidio-media-production/uploads/image/source/52105/ad39ff.png</t>
  </si>
  <si>
    <t>568f1f27</t>
  </si>
  <si>
    <t>Osasuna vs Alaves - LaLiga</t>
  </si>
  <si>
    <t>https://www.vidio.com/live/6299-bein-1?schedule_id=4783750</t>
  </si>
  <si>
    <t>ca osasuna; deportivo alaves; sports stream</t>
  </si>
  <si>
    <t>Nonton streaming pertandingan seru Osasuna vs Alaves - LaLiga. Saksikan aksi-aksi terbaik dari tim yang bersaing ketat untuk meraih kemenangan. Dapatkan informasi lengkap mengenai jadwal pertandingan dan hasil pertandingan terbaru hanya di Vidio.</t>
  </si>
  <si>
    <t>https://thumbor.prod.vidiocdn.com/EvNIF4yvOJ9DqPzwMDrDUdBRd6A=/filters:quality(70)/vidio-media-production/uploads/image/source/52034/54627e.png</t>
  </si>
  <si>
    <t>https://thumbor.prod.vidiocdn.com/8If2sjp8j3YrtSxotZsOZo0eLh4=/filters:quality(70)/vidio-media-production/uploads/image/source/52033/e190d5.png</t>
  </si>
  <si>
    <t>192d8f12</t>
  </si>
  <si>
    <t>Oviedo vs Celta Vigo - LaLiga</t>
  </si>
  <si>
    <t>https://www.vidio.com/live/6299-bein-1?schedule_id=4783738</t>
  </si>
  <si>
    <t>Real Oviedo; real club celta de vigo; sports stream</t>
  </si>
  <si>
    <t>Nonton streaming pertandingan seru Oviedo vs Celta Vigo - LaLiga. Saksikan aksi-aksi terbaik dari tim yang bersaing ketat untuk meraih kemenangan. Dapatkan informasi lengkap mengenai jadwal pertandingan dan hasil pertandingan terbaru hanya di Vidio.</t>
  </si>
  <si>
    <t>https://thumbor.prod.vidiocdn.com/VI3wO3bbdtZnwC0YvJTFhkQKaU4=/filters:quality(70)/vidio-media-production/uploads/image/source/52279/f4983f.png</t>
  </si>
  <si>
    <t>https://thumbor.prod.vidiocdn.com/FuoSmDEBRprKYmyOeZJnG0cynnc=/filters:quality(70)/vidio-media-production/uploads/image/source/52278/aef816.png</t>
  </si>
  <si>
    <t>aec9447b</t>
  </si>
  <si>
    <t>Levante vs Real Sociedad - LaLiga</t>
  </si>
  <si>
    <t>https://www.vidio.com/live/6299-bein-1?schedule_id=4783746</t>
  </si>
  <si>
    <t>https://drive.google.com/drive/folders/1vh74zlIVcvvzTsRqwNdCYa-GDTzGfb_H?usp=drive_link</t>
  </si>
  <si>
    <t>levante; Real Sociedad de Fútbol; sports stream</t>
  </si>
  <si>
    <t>Nonton streaming pertandingan seru Levante vs Real Sociedad - LaLiga. Saksikan aksi-aksi terbaik dari tim yang bersaing ketat untuk meraih kemenangan. Dapatkan informasi lengkap mengenai jadwal pertandingan dan hasil pertandingan terbaru hanya di Vidio.</t>
  </si>
  <si>
    <t>LEV: Sanchez, Arriaga
RSO: Kubo, Gorrotxategi</t>
  </si>
  <si>
    <t>https://thumbor.prod.vidiocdn.com/HhfJCa3uscF46Ai6StrwKvVhBTI=/filters:quality(70)/vidio-media-production/uploads/image/source/52102/5b9e5c.png</t>
  </si>
  <si>
    <t>https://thumbor.prod.vidiocdn.com/EkDiZrLRZla6yjUK1-2RNCGYHek=/filters:quality(70)/vidio-media-production/uploads/image/source/52101/6f0721.png</t>
  </si>
  <si>
    <t>https://drive.google.com/file/d/13LShJ7eEhABntbzWUzqd19PA4K5WyjlF/view?usp=sharing</t>
  </si>
  <si>
    <t>a3267759</t>
  </si>
  <si>
    <t>Sevilla vs Levante - LaLiga</t>
  </si>
  <si>
    <t>https://www.vidio.com/live/6299-bein-1?schedule_id=4819776</t>
  </si>
  <si>
    <t>https://drive.google.com/drive/folders/1n0nFQdVIwv8cTYmS34lEj71WHtmArXk9</t>
  </si>
  <si>
    <t>sevilla fc; levante; sports stream</t>
  </si>
  <si>
    <t>Nonton streaming pertandingan seru Sevilla vs Levante - LaLiga. Saksikan aksi-aksi terbaik dari tim yang bersaing ketat untuk meraih kemenangan. Dapatkan informasi lengkap mengenai jadwal pertandingan dan hasil pertandingan terbaru hanya di Vidio.</t>
  </si>
  <si>
    <t>SEV: Alexis Sanchez, Suazo
LEV: Alvarez, Arriaga</t>
  </si>
  <si>
    <t>https://thumbor.prod.vidiocdn.com/iwK-WPYp3ogddFRfutwQcmq7iQE=/filters:quality(70)/vidio-media-production/uploads/image/source/52158/c5cff3.png</t>
  </si>
  <si>
    <t>https://thumbor.prod.vidiocdn.com/zh6YUO7Zz7RD2_HnmRjQhANidBU=/filters:quality(70)/vidio-media-production/uploads/image/source/52157/09c953.png</t>
  </si>
  <si>
    <t>https://drive.google.com/file/d/1HDqNVLPFo3Mb5BJS6PhVk9oh5cEc8ye1/view?usp=sharing</t>
  </si>
  <si>
    <t>989d81c2</t>
  </si>
  <si>
    <t>Real Madrid vs Real Betis - LaLiga</t>
  </si>
  <si>
    <t>https://www.vidio.com/live/6299-bein-1?schedule_id=4819775</t>
  </si>
  <si>
    <t>https://drive.google.com/drive/folders/1ivMyD8INif9odHaS-8vnjDJurd3XQtAd</t>
  </si>
  <si>
    <t>real madrid cf; Real Betis Balompié; sports stream</t>
  </si>
  <si>
    <t>Nonton streaming pertandingan seru Real Madrid vs Real Betis - LaLiga. Saksikan aksi-aksi terbaik dari tim yang bersaing ketat untuk meraih kemenangan. Dapatkan informasi lengkap mengenai jadwal pertandingan dan hasil pertandingan terbaru hanya di Vidio.</t>
  </si>
  <si>
    <t>RMA: Vini, Huijsen
BET: Antony, Cucho Hernandez</t>
  </si>
  <si>
    <t>https://thumbor.prod.vidiocdn.com/DAWmD6ImbJV6jfgkBByuuAHHaqI=/filters:quality(70)/vidio-media-production/uploads/image/source/52779/a4cc2e.png</t>
  </si>
  <si>
    <t>https://thumbor.prod.vidiocdn.com/HdPQ2ukvCg8F0V1ish5p_nG_Sbg=/filters:quality(70)/vidio-media-production/uploads/image/source/52778/2f9748.png</t>
  </si>
  <si>
    <t>https://drive.google.com/file/d/1HqVRsgMzdW3OgbMn8JZNEy4waDbM_yl2/view?usp=sharing</t>
  </si>
  <si>
    <t>2d2efb3f</t>
  </si>
  <si>
    <t>Rayo Vallecano vs Getafe - LaLiga</t>
  </si>
  <si>
    <t>https://www.vidio.com/live/6299-bein-1?schedule_id=4819764</t>
  </si>
  <si>
    <t>rayo vallecano; getafe cf; sports stream</t>
  </si>
  <si>
    <t>Nonton streaming pertandingan seru Rayo Vallecano vs Getafe - LaLiga. Saksikan aksi-aksi terbaik dari tim yang bersaing ketat untuk meraih kemenangan. Dapatkan informasi lengkap mengenai jadwal pertandingan dan hasil pertandingan terbaru hanya di Vidio.</t>
  </si>
  <si>
    <t>https://thumbor.prod.vidiocdn.com/6GBwK9eBVW7XC2FnUgvN9cJxvBg=/filters:quality(70)/vidio-media-production/uploads/image/source/52283/739f23.png</t>
  </si>
  <si>
    <t>https://thumbor.prod.vidiocdn.com/Wxpc_YT3ptB237fwzwtIMuxEQKQ=/filters:quality(70)/vidio-media-production/uploads/image/source/52282/ccec72.png</t>
  </si>
  <si>
    <t>c03c8a6c</t>
  </si>
  <si>
    <t>Elche vs Villarreal - LaLiga</t>
  </si>
  <si>
    <t>https://www.vidio.com/live/6299-bein-1?schedule_id=4819773</t>
  </si>
  <si>
    <t>https://drive.google.com/drive/folders/1h-nUJ3H3vAkPNUXjacN2Ncw4v1U6uGyY</t>
  </si>
  <si>
    <t>elche cf; villarreal cf; sports stream</t>
  </si>
  <si>
    <t>Nonton streaming pertandingan seru Elche vs Villarreal - LaLiga. Saksikan aksi-aksi terbaik dari tim yang bersaing ketat untuk meraih kemenangan. Dapatkan informasi lengkap mengenai jadwal pertandingan dan hasil pertandingan terbaru hanya di Vidio.</t>
  </si>
  <si>
    <t>ELC: Alvaro Rodriguez, Valera
VIL: Buchanan, Pepe</t>
  </si>
  <si>
    <t>https://thumbor.prod.vidiocdn.com/Rgw7BAfEbBn_uhFm1BPHw18JErE=/filters:quality(70)/vidio-media-production/uploads/image/source/52775/906b8c.png</t>
  </si>
  <si>
    <t>https://thumbor.prod.vidiocdn.com/M7nVjipJ4Y1TEmTJMpfZ-WUHUXo=/filters:quality(70)/vidio-media-production/uploads/image/source/52774/96eeb3.png</t>
  </si>
  <si>
    <t>https://drive.google.com/file/d/1JYnQ3h_b_hL-KRc3uStCftUq7mB6TVoT/view?usp=sharing</t>
  </si>
  <si>
    <t>d3b75ea3</t>
  </si>
  <si>
    <t>Alaves vs Oviedo - LaLiga</t>
  </si>
  <si>
    <t>https://www.vidio.com/live/17875-bein-2?schedule_id=4827317</t>
  </si>
  <si>
    <t>deportivo alaves; Real Oviedo; sports stream</t>
  </si>
  <si>
    <t>Nonton streaming pertandingan seru Alaves vs Oviedo - LaLiga. Saksikan aksi-aksi terbaik dari tim yang bersaing ketat untuk meraih kemenangan. Dapatkan informasi lengkap mengenai jadwal pertandingan dan hasil pertandingan terbaru hanya di Vidio.</t>
  </si>
  <si>
    <t>https://thumbor.prod.vidiocdn.com/eBnxFwtvspy5WFcI5fsbGPP977A=/filters:quality(70)/vidio-media-production/uploads/image/source/52782/900ad3.png</t>
  </si>
  <si>
    <t>https://thumbor.prod.vidiocdn.com/1ffedh2-rnAndzv28P2YmWSLay8=/filters:quality(70)/vidio-media-production/uploads/image/source/52780/222c58.png</t>
  </si>
  <si>
    <t>cf79efdb</t>
  </si>
  <si>
    <t>Osasuna vs Athletic Club - LaLiga</t>
  </si>
  <si>
    <t>https://www.vidio.com/live/6299-bein-1?schedule_id=4819771</t>
  </si>
  <si>
    <t>https://drive.google.com/drive/folders/1AHMl0rhcHN6Mgp0MmhMSp1_qdc8uAbj5</t>
  </si>
  <si>
    <t>ca osasuna; athletic club bilbao; sports stream</t>
  </si>
  <si>
    <t>Nonton streaming pertandingan seru Osasuna vs Athletic Club - LaLiga. Saksikan aksi-aksi terbaik dari tim yang bersaing ketat untuk meraih kemenangan. Dapatkan informasi lengkap mengenai jadwal pertandingan dan hasil pertandingan terbaru hanya di Vidio.</t>
  </si>
  <si>
    <t>OSA: Budimir, Bretones
ATH: Nico Williams, Paredes</t>
  </si>
  <si>
    <t>https://thumbor.prod.vidiocdn.com/6XmKOv93Ep5nTUE_mweeIl2Yzg0=/filters:quality(70)/vidio-media-production/uploads/image/source/52773/0badae.png</t>
  </si>
  <si>
    <t>https://thumbor.prod.vidiocdn.com/vWTnI5Zi1nus8uxPgWQ6EiNLGqY=/filters:quality(70)/vidio-media-production/uploads/image/source/52771/5d00e6.png</t>
  </si>
  <si>
    <t>https://drive.google.com/file/d/1o019GBIcUTEA6jcFRSUPFhQwv_sSsf5Y/view?usp=sharing</t>
  </si>
  <si>
    <t>2722186f</t>
  </si>
  <si>
    <t>Mallorca vs Girona - LaLiga</t>
  </si>
  <si>
    <t>https://www.vidio.com/live/6299-bein-1?schedule_id=4827323</t>
  </si>
  <si>
    <t>https://drive.google.com/drive/folders/1Ni6vCeGsLPTBuQyVX1NKzo871KSBnJka</t>
  </si>
  <si>
    <t>real club deportivo mallorca; girona fc; sports stream</t>
  </si>
  <si>
    <t>Nonton streaming pertandingan seru Mallorca vs Girona - LaLiga. Saksikan aksi-aksi terbaik dari tim yang bersaing ketat untuk meraih kemenangan. Dapatkan informasi lengkap mengenai jadwal pertandingan dan hasil pertandingan terbaru hanya di Vidio.</t>
  </si>
  <si>
    <t>MLL: Samu, Mojica
GIR: Lemar, Blind</t>
  </si>
  <si>
    <t>https://thumbor.prod.vidiocdn.com/NIzVVkgltV6Bruy66TTYhfDQz_U=/filters:quality(70)/vidio-media-production/uploads/image/source/52784/840945.png</t>
  </si>
  <si>
    <t>https://thumbor.prod.vidiocdn.com/ZS7cg30miMEV5hnLLKzagRkeWR4=/filters:quality(70)/vidio-media-production/uploads/image/source/52781/e63705.png</t>
  </si>
  <si>
    <t>https://drive.google.com/file/d/1b7jGTduAMnUzXvlSFDEjBGv6-jwJtPKf/view?usp=sharing</t>
  </si>
  <si>
    <t>7875cd99</t>
  </si>
  <si>
    <t>Real Sociedad vs Atletico Madrid - LaLiga</t>
  </si>
  <si>
    <t>https://www.vidio.com/live/6299-bein-1?schedule_id=4827324</t>
  </si>
  <si>
    <t>https://drive.google.com/drive/folders/17sx_tEy19JFDP5eM9qSRxnsHds9WBxEW</t>
  </si>
  <si>
    <t>Real Sociedad de Fútbol; Club Atlético de Madrid; sports stream</t>
  </si>
  <si>
    <t>Nonton streaming pertandingan seru Real Sociedad vs Atletico Madrid - LaLiga. Saksikan aksi-aksi terbaik dari tim yang bersaing ketat untuk meraih kemenangan. Dapatkan informasi lengkap mengenai jadwal pertandingan dan hasil pertandingan terbaru hanya di Vidio.</t>
  </si>
  <si>
    <t>RSO: Kubo, Remiro
ATM: Gallagher, Oblak</t>
  </si>
  <si>
    <t>B1</t>
  </si>
  <si>
    <t>https://thumbor.prod.vidiocdn.com/nNCHlKYy3_Bn--pmJm9-_TA4fRI=/filters:quality(70)/vidio-media-production/uploads/image/source/52785/474f1c.png</t>
  </si>
  <si>
    <t>https://thumbor.prod.vidiocdn.com/2SSEqagm-L2KyBFpoQ9mJkhBVXM=/filters:quality(70)/vidio-media-production/uploads/image/source/52783/dab8ce.png</t>
  </si>
  <si>
    <t>https://drive.google.com/file/d/1CwY-Vza6Q6Hn1KIl5y9ZeSrJeJ9FBenc/view?usp=sharing</t>
  </si>
  <si>
    <t>e902b187</t>
  </si>
  <si>
    <t>Celta Vigo vs Valencia - LaLiga</t>
  </si>
  <si>
    <t>https://www.vidio.com/live/6299-bein-1?schedule_id=4819768</t>
  </si>
  <si>
    <t>https://drive.google.com/drive/folders/1DbuYVaI_mv5bik8kz-xQDnotSEwixz1c</t>
  </si>
  <si>
    <t>real club celta de vigo; valencia cf; sports stream</t>
  </si>
  <si>
    <t>Nonton streaming pertandingan seru Celta Vigo vs Valencia - LaLiga. Saksikan aksi-aksi terbaik dari tim yang bersaing ketat untuk meraih kemenangan. Dapatkan informasi lengkap mengenai jadwal pertandingan dan hasil pertandingan terbaru hanya di Vidio.</t>
  </si>
  <si>
    <t>CEL: Marcos Alonso, Iago Aspas
VAL: Hugo Duro, Pepelu</t>
  </si>
  <si>
    <t>https://thumbor.prod.vidiocdn.com/VS-mOkajduWoejrEAUAuTfcnFA4=/filters:quality(70)/vidio-media-production/uploads/image/source/52772/b8ebbc.png</t>
  </si>
  <si>
    <t>https://thumbor.prod.vidiocdn.com/BfHhH1SEumZ-hhTREOveK35M0CY=/filters:quality(70)/vidio-media-production/uploads/image/source/52770/f62125.png</t>
  </si>
  <si>
    <t>https://drive.google.com/file/d/1p0-fI9c6Td8j9mEijNhCanzydcTMyHYB/view?usp=sharing</t>
  </si>
  <si>
    <t>72bb4b1c</t>
  </si>
  <si>
    <t>Espanyol vs Barcelona - LaLiga</t>
  </si>
  <si>
    <t>https://www.vidio.com/live/6299-bein-1?schedule_id=4819774</t>
  </si>
  <si>
    <t>https://drive.google.com/drive/folders/1v9b2Mn25dcpw5z70REcCen6bfmQ87OLC</t>
  </si>
  <si>
    <t>Reial Club Deportiu Espanyol; fc barcelona; sports stream</t>
  </si>
  <si>
    <t>Nonton streaming pertandingan seru Espanyol vs Barcelona - LaLiga. Saksikan aksi-aksi terbaik dari tim yang bersaing ketat untuk meraih kemenangan. Dapatkan informasi lengkap mengenai jadwal pertandingan dan hasil pertandingan terbaru hanya di Vidio.</t>
  </si>
  <si>
    <t>ESP: Romero, Exposito
BAR: Yamal, De Jong</t>
  </si>
  <si>
    <t>C2</t>
  </si>
  <si>
    <t>https://thumbor.prod.vidiocdn.com/tooNU9H2jrAs2ZypN7rs8mnlOlU=/filters:quality(70)/vidio-media-production/uploads/image/source/52777/59771b.png</t>
  </si>
  <si>
    <t>https://thumbor.prod.vidiocdn.com/b8LVjTJuP6XVAjmK-M24FkO-a3A=/filters:quality(70)/vidio-media-production/uploads/image/source/52776/901d76.png</t>
  </si>
  <si>
    <t>https://drive.google.com/file/d/1t7LJpUPlZmHpyO-IFtfCJoPRr1Q68CbX/view?usp=sharing</t>
  </si>
  <si>
    <t>22df555f</t>
  </si>
  <si>
    <t>Levante vs Espanyol - LaLiga</t>
  </si>
  <si>
    <t>https://www.vidio.com/live/6299-bein-1?schedule_id=4832533</t>
  </si>
  <si>
    <t>levante; Reial Club Deportiu Espanyol; sports stream</t>
  </si>
  <si>
    <t>Nonton streaming pertandingan seru Levante vs Espanyol - LaLiga. Saksikan aksi-aksi terbaik dari tim yang bersaing ketat untuk meraih kemenangan. Dapatkan informasi lengkap mengenai jadwal pertandingan dan hasil pertandingan terbaru hanya di Vidio.</t>
  </si>
  <si>
    <t>https://thumbor.prod.vidiocdn.com/SI8DIdqZXAAFN458EKMgeSmktqg=/filters:quality(70)/vidio-media-production/uploads/image/source/53297/bd9985.png</t>
  </si>
  <si>
    <t>https://thumbor.prod.vidiocdn.com/-HAM2TrZ9KA9Cdvts7VfzdhOej0=/filters:quality(70)/vidio-media-production/uploads/image/source/53296/4f8089.png</t>
  </si>
  <si>
    <t>5096b6ec</t>
  </si>
  <si>
    <t>Rayo Vallecano vs Mallorca - LaLiga</t>
  </si>
  <si>
    <t>https://www.vidio.com/live/6299-bein-1?schedule_id=4832531</t>
  </si>
  <si>
    <t>rayo vallecano; real club deportivo mallorca; sports stream</t>
  </si>
  <si>
    <t>Nonton streaming pertandingan seru Rayo Vallecano vs Mallorca - LaLiga. Saksikan aksi-aksi terbaik dari tim yang bersaing ketat untuk meraih kemenangan. Dapatkan informasi lengkap mengenai jadwal pertandingan dan hasil pertandingan terbaru hanya di Vidio.</t>
  </si>
  <si>
    <t>https://thumbor.prod.vidiocdn.com/Ey3b2W2YvLnOK1NMwBz3lpomgUs=/filters:quality(70)/vidio-media-production/uploads/image/source/53287/841ad0.png</t>
  </si>
  <si>
    <t>https://thumbor.prod.vidiocdn.com/qX9tLBpKAU_waFsaRqp69ermX34=/filters:quality(70)/vidio-media-production/uploads/image/source/53286/114859.png</t>
  </si>
  <si>
    <t>da153efe</t>
  </si>
  <si>
    <t>Oviedo vs Real Betis - LaLiga</t>
  </si>
  <si>
    <t>https://www.vidio.com/live/6299-bein-1?schedule_id=4832295</t>
  </si>
  <si>
    <t>https://drive.google.com/drive/folders/1YGaWS0t17BznBk04AlCiU6-dS0-Dy3ln?usp=drive_link</t>
  </si>
  <si>
    <t>Real Oviedo; Real Betis Balompié; sports stream</t>
  </si>
  <si>
    <t>Nonton streaming pertandingan seru Oviedo vs Real Betis - LaLiga. Saksikan aksi-aksi terbaik dari tim yang bersaing ketat untuk meraih kemenangan. Dapatkan informasi lengkap mengenai jadwal pertandingan dan hasil pertandingan terbaru hanya di Vidio.</t>
  </si>
  <si>
    <t>OVI: Vinas, Haissem Hassan
BET: Cucho, Fornals</t>
  </si>
  <si>
    <t>nabila.putri@intern.vidio.com</t>
  </si>
  <si>
    <t>https://thumbor.prod.vidiocdn.com/QgihJ7JQW6sC0VyhUw69L_jwe2Q=/filters:quality(70)/vidio-media-production/uploads/image/source/52940/fa9271.png</t>
  </si>
  <si>
    <t>https://thumbor.prod.vidiocdn.com/6k9EVEc_fqUc4xBNoM4GcxdDm2w=/filters:quality(70)/vidio-media-production/uploads/image/source/52939/1b1441.png</t>
  </si>
  <si>
    <t>https://drive.google.com/file/d/1mzkBNsXM9FmKh7D1VxjoOsb8MOeORgf-/view?usp=sharing</t>
  </si>
  <si>
    <t>beca798f</t>
  </si>
  <si>
    <t>Getafe vs Real Sociedad - LaLiga</t>
  </si>
  <si>
    <t>https://www.vidio.com/live/6299-bein-1?schedule_id=4832271</t>
  </si>
  <si>
    <t>https://drive.google.com/drive/folders/1t-oriWWDrn7KWoWosV1vzukYx6QShR8K?usp=drive_link</t>
  </si>
  <si>
    <t>getafe cf; Real Sociedad de Fútbol; sports stream</t>
  </si>
  <si>
    <t>Nonton streaming pertandingan seru Getafe vs Real Sociedad - LaLiga. Saksikan aksi-aksi terbaik dari tim yang bersaing ketat untuk meraih kemenangan. Dapatkan informasi lengkap mengenai jadwal pertandingan dan hasil pertandingan terbaru hanya di Vidio.</t>
  </si>
  <si>
    <t>https://thumbor.prod.vidiocdn.com/HMjZ2pqgHny9U9hkQ41JBs7z-Eg=/filters:quality(70)/vidio-media-production/uploads/image/source/52926/465880.png</t>
  </si>
  <si>
    <t>https://thumbor.prod.vidiocdn.com/EIyVUoMeMLBlerTpK-dmtoJQ1Pw=/filters:quality(70)/vidio-media-production/uploads/image/source/52925/5bac2f.png</t>
  </si>
  <si>
    <t>https://drive.google.com/file/d/1z5fMlm6nzWo1w7eDfJPdH8-sJQpo57iI/view?usp=sharing</t>
  </si>
  <si>
    <t>4ec65c9b</t>
  </si>
  <si>
    <t>Barcelona vs Atletico Madrid - LaLiga</t>
  </si>
  <si>
    <t>https://www.vidio.com/live/6299-bein-1?schedule_id=4758876</t>
  </si>
  <si>
    <t>https://drive.google.com/drive/u/0/folders/1yyXXL-WeRnwGDn4docNyXioGnl-A7h6V</t>
  </si>
  <si>
    <t>https://drive.google.com/file/d/1sSxX0hHJ_tWOjDtffkxi2Dn0QV5bqx_f/view?usp=sharing</t>
  </si>
  <si>
    <t>fc barcelona; Club Atlético de Madrid; sports stream</t>
  </si>
  <si>
    <t>Nonton streaming pertandingan seru Barcelona vs Atletico Madrid - LaLiga. Saksikan aksi-aksi terbaik dari tim yang bersaing ketat untuk meraih kemenangan. Dapatkan informasi lengkap mengenai jadwal pertandingan dan hasil pertandingan terbaru hanya di Vidio.</t>
  </si>
  <si>
    <t>BAR: Lewandowski, Cubarsi (Drive)
ATM: Alvarez, Nico Gonzales</t>
  </si>
  <si>
    <t>https://thumbor.prod.vidiocdn.com/EX67-df8OpqbsUe9hG6qiXURHMc=/filters:quality(70)/vidio-media-production/uploads/image/source/51601/197847.png</t>
  </si>
  <si>
    <t>https://drive.google.com/file/d/163ITIft3IzwHwyqcpSZ9d9pHLSNsRWDM/view?usp=sharing</t>
  </si>
  <si>
    <t>74da50c5</t>
  </si>
  <si>
    <t>Girona vs Osasuna - LaLiga</t>
  </si>
  <si>
    <t>https://www.vidio.com/live/6299-bein-1?schedule_id=4832526</t>
  </si>
  <si>
    <t>https://drive.google.com/drive/folders/1FHl_DEkfHlWPoo7dNGvso6snUMcPPFr9?usp=drive_link</t>
  </si>
  <si>
    <t>girona fc; ca osasuna; sports stream</t>
  </si>
  <si>
    <t>Nonton streaming pertandingan seru Girona vs Osasuna - LaLiga. Saksikan aksi-aksi terbaik dari tim yang bersaing ketat untuk meraih kemenangan. Dapatkan informasi lengkap mengenai jadwal pertandingan dan hasil pertandingan terbaru hanya di Vidio.</t>
  </si>
  <si>
    <t>GIR: Vanat, Witsel
OSA: Moncayola, Budimir</t>
  </si>
  <si>
    <t>https://thumbor.prod.vidiocdn.com/ku7nyKoF-T2ZJc8Ap5O1vs7XLwk=/filters:quality(70)/vidio-media-production/uploads/image/source/53068/f9224d.png</t>
  </si>
  <si>
    <t>https://thumbor.prod.vidiocdn.com/4qJp6xAvSTv1XfPTyyMGmJKfCMw=/filters:quality(70)/vidio-media-production/uploads/image/source/53066/56ee44.png</t>
  </si>
  <si>
    <t>https://drive.google.com/file/d/1YC291YEBYXfukzJ0g9npdaSc41CAgMe_/view?usp=sharing</t>
  </si>
  <si>
    <t>6d815767</t>
  </si>
  <si>
    <t>Villarreal vs Alaves - LaLiga</t>
  </si>
  <si>
    <t>https://www.vidio.com/live/6299-bein-1?schedule_id=4832299</t>
  </si>
  <si>
    <t>https://drive.google.com/drive/folders/1ai_eRPf-pTofHrdjUYsh1FpJgI2MuP_s?usp=drive_link</t>
  </si>
  <si>
    <t>villarreal cf; deportivo alaves; sports stream</t>
  </si>
  <si>
    <t>Nonton streaming pertandingan seru Villarreal vs Alaves - LaLiga. Saksikan aksi-aksi terbaik dari tim yang bersaing ketat untuk meraih kemenangan. Dapatkan informasi lengkap mengenai jadwal pertandingan dan hasil pertandingan terbaru hanya di Vidio.</t>
  </si>
  <si>
    <t>VIL: Pepe, Moleiro
ALA: Alena, Otto</t>
  </si>
  <si>
    <t>https://thumbor.prod.vidiocdn.com/ixvPtMmplo4NjcY1EzM2HwGiBQ4=/filters:quality(70)/vidio-media-production/uploads/image/source/53067/cc85e7.png</t>
  </si>
  <si>
    <t>https://thumbor.prod.vidiocdn.com/3uzcP8eOOwi04-iUoKWlvPptPyI=/filters:quality(70)/vidio-media-production/uploads/image/source/53065/7555bc.png</t>
  </si>
  <si>
    <t>https://drive.google.com/file/d/1cjd_32ucbe4drzvoaL3KbJlN56B2aggA/view?usp=sharing</t>
  </si>
  <si>
    <t>36eefba1</t>
  </si>
  <si>
    <t>Athletic Club vs Real Madrid - LaLiga</t>
  </si>
  <si>
    <t>https://www.vidio.com/live/6299-bein-1?schedule_id=4758878</t>
  </si>
  <si>
    <t xml:space="preserve"> https://drive.google.com/drive/u/0/folders/1yx2bf6CELibSuDenDPngrVZpPln2F36Q</t>
  </si>
  <si>
    <t>https://drive.google.com/file/d/1FeW1Uilp5EgWFKv19Qu6mDQaugrt5f8x/view?usp=sharing</t>
  </si>
  <si>
    <t>athletic club bilbao; real madrid cf; sports stream</t>
  </si>
  <si>
    <t>Nonton streaming pertandingan seru Athletic Club vs Real Madrid - LaLiga. Saksikan aksi-aksi terbaik dari tim yang bersaing ketat untuk meraih kemenangan. Dapatkan informasi lengkap mengenai jadwal pertandingan dan hasil pertandingan terbaru hanya di Vidio.</t>
  </si>
  <si>
    <t>ATH: Nico Williams, Unai Simon (Drive)
RMA: Mbappe, Courtois (Drive)</t>
  </si>
  <si>
    <t>https://thumbor.prod.vidiocdn.com/SNuJWAMroEnCZGAcmYBjJXQF7KM=/filters:quality(70)/vidio-media-production/uploads/image/source/51614/debc8e.png</t>
  </si>
  <si>
    <t>https://drive.google.com/file/d/1nGQoUh5XreV60SKriz2Jw3Ur9-Z5Crc7/view?usp=sharing</t>
  </si>
  <si>
    <t>15379acc</t>
  </si>
  <si>
    <t>Valencia vs Elche - LaLiga</t>
  </si>
  <si>
    <t>https://www.vidio.com/live/6299-bein-1?schedule_id=4832527</t>
  </si>
  <si>
    <t>https://drive.google.com/drive/folders/11KiH4dSDC_3ewlYmtcub84vh5R5V4cG4?usp=drive_link</t>
  </si>
  <si>
    <t>valencia cf; elche cf; sports stream</t>
  </si>
  <si>
    <t>Nonton streaming pertandingan seru Valencia vs Elche - LaLiga. Saksikan aksi-aksi terbaik dari tim yang bersaing ketat untuk meraih kemenangan. Dapatkan informasi lengkap mengenai jadwal pertandingan dan hasil pertandingan terbaru hanya di Vidio.</t>
  </si>
  <si>
    <t>VAL: Pepelu, Almeida
ELC: Valera, Rafa Mir</t>
  </si>
  <si>
    <t>https://thumbor.prod.vidiocdn.com/zUGmjxRVsT2y4eHLkGBGzfCinZo=/filters:quality(70)/vidio-media-production/uploads/image/source/53071/000a14.png</t>
  </si>
  <si>
    <t>https://thumbor.prod.vidiocdn.com/rWn9RbR67qRUZRMHr2QabKsRo-E=/filters:quality(70)/vidio-media-production/uploads/image/source/53069/76773f.png</t>
  </si>
  <si>
    <t>https://drive.google.com/file/d/1k_WekOCw_purS092bU_b7H185Er27edc/view?usp=sharing</t>
  </si>
  <si>
    <t>88019df7</t>
  </si>
  <si>
    <t>Sevilla vs Celta Vigo - LaLiga</t>
  </si>
  <si>
    <t>https://www.vidio.com/live/6299-bein-1?schedule_id=4835442</t>
  </si>
  <si>
    <t>https://drive.google.com/drive/folders/1UZlJUUtC7NjxS8BMkfF4nv6-fBomV7Nf?usp=drive_link</t>
  </si>
  <si>
    <t>sevilla fc; real club celta de vigo; sports stream</t>
  </si>
  <si>
    <t>Nonton streaming pertandingan seru Sevilla vs Celta Vigo - LaLiga. Saksikan aksi-aksi terbaik dari tim yang bersaing ketat untuk meraih kemenangan. Dapatkan informasi lengkap mengenai jadwal pertandingan dan hasil pertandingan terbaru hanya di Vidio.</t>
  </si>
  <si>
    <t>SEV: Agoume, Alexis Sanchez
CEL: Borja Iglesias, Mingueza</t>
  </si>
  <si>
    <t>https://thumbor.prod.vidiocdn.com/JRC5LiVCFMxs6FVIRmRcerRThCA=/filters:quality(70)/vidio-media-production/uploads/image/source/53277/d26678.png</t>
  </si>
  <si>
    <t>https://thumbor.prod.vidiocdn.com/d7B1qvfvL_2uSQG1QejzILtPsMI=/filters:quality(70)/vidio-media-production/uploads/image/source/53276/52f622.png</t>
  </si>
  <si>
    <t>https://drive.google.com/file/d/1IzCrHO3uGKa046TNohjVvFiJCECsD0SE/view?usp=sharing</t>
  </si>
  <si>
    <t>c91dca63</t>
  </si>
  <si>
    <t>Real Sociedad vs Barcelona - LaLiga</t>
  </si>
  <si>
    <t>Real Sociedad de Fútbol; fc barcelona; sports stream</t>
  </si>
  <si>
    <t>Nonton streaming pertandingan seru Real Sociedad vs Barcelona - LaLiga. Saksikan aksi-aksi terbaik dari tim yang bersaing ketat untuk meraih kemenangan. Dapatkan informasi lengkap mengenai jadwal pertandingan dan hasil pertandingan terbaru hanya di Vidio.</t>
  </si>
  <si>
    <t>0b0686a7</t>
  </si>
  <si>
    <t>Real Madrid vs Levante - LaLiga</t>
  </si>
  <si>
    <t>real madrid cf; levante; sports stream</t>
  </si>
  <si>
    <t>Nonton streaming pertandingan seru Real Madrid vs Levante - LaLiga. Saksikan aksi-aksi terbaik dari tim yang bersaing ketat untuk meraih kemenangan. Dapatkan informasi lengkap mengenai jadwal pertandingan dan hasil pertandingan terbaru hanya di Vidio.</t>
  </si>
  <si>
    <t>705ca141</t>
  </si>
  <si>
    <t>Osasuna vs Oviedo - LaLiga</t>
  </si>
  <si>
    <t>ca osasuna; Real Oviedo; sports stream</t>
  </si>
  <si>
    <t>Nonton streaming pertandingan seru Osasuna vs Oviedo - LaLiga. Saksikan aksi-aksi terbaik dari tim yang bersaing ketat untuk meraih kemenangan. Dapatkan informasi lengkap mengenai jadwal pertandingan dan hasil pertandingan terbaru hanya di Vidio.</t>
  </si>
  <si>
    <t>c037c8b3</t>
  </si>
  <si>
    <t>Atletico Madrid vs Alaves - LaLiga</t>
  </si>
  <si>
    <t>Club Atlético de Madrid; deportivo alaves; sports stream</t>
  </si>
  <si>
    <t>Nonton streaming pertandingan seru Atletico Madrid vs Alaves - LaLiga. Saksikan aksi-aksi terbaik dari tim yang bersaing ketat untuk meraih kemenangan. Dapatkan informasi lengkap mengenai jadwal pertandingan dan hasil pertandingan terbaru hanya di Vidio.</t>
  </si>
  <si>
    <t>262ee787</t>
  </si>
  <si>
    <t>Real Betis vs Villarreal - LaLiga</t>
  </si>
  <si>
    <t>Real Betis Balompié; villarreal cf; sports stream</t>
  </si>
  <si>
    <t>Nonton streaming pertandingan seru Real Betis vs Villarreal - LaLiga. Saksikan aksi-aksi terbaik dari tim yang bersaing ketat untuk meraih kemenangan. Dapatkan informasi lengkap mengenai jadwal pertandingan dan hasil pertandingan terbaru hanya di Vidio.</t>
  </si>
  <si>
    <t>a2a46e1e</t>
  </si>
  <si>
    <t>Elche vs Sevilla - LaLiga</t>
  </si>
  <si>
    <t>elche cf; sevilla fc; sports stream</t>
  </si>
  <si>
    <t>Nonton streaming pertandingan seru Elche vs Sevilla - LaLiga. Saksikan aksi-aksi terbaik dari tim yang bersaing ketat untuk meraih kemenangan. Dapatkan informasi lengkap mengenai jadwal pertandingan dan hasil pertandingan terbaru hanya di Vidio.</t>
  </si>
  <si>
    <t>5231d657</t>
  </si>
  <si>
    <t>Celta Vigo vs Rayo Vallecano - LaLiga</t>
  </si>
  <si>
    <t>real club celta de vigo; rayo vallecano; sports stream</t>
  </si>
  <si>
    <t>Nonton streaming pertandingan seru Celta Vigo vs Rayo Vallecano - LaLiga. Saksikan aksi-aksi terbaik dari tim yang bersaing ketat untuk meraih kemenangan. Dapatkan informasi lengkap mengenai jadwal pertandingan dan hasil pertandingan terbaru hanya di Vidio.</t>
  </si>
  <si>
    <t>60b07c97</t>
  </si>
  <si>
    <t>Mallorca vs Athletic Club - LaLiga</t>
  </si>
  <si>
    <t>real club deportivo mallorca; athletic club bilbao; sports stream</t>
  </si>
  <si>
    <t>Nonton streaming pertandingan seru Mallorca vs Athletic Club - LaLiga. Saksikan aksi-aksi terbaik dari tim yang bersaing ketat untuk meraih kemenangan. Dapatkan informasi lengkap mengenai jadwal pertandingan dan hasil pertandingan terbaru hanya di Vidio.</t>
  </si>
  <si>
    <t>c433667b</t>
  </si>
  <si>
    <t>Espanyol vs Girona - LaLiga</t>
  </si>
  <si>
    <t>Reial Club Deportiu Espanyol; girona fc; sports stream</t>
  </si>
  <si>
    <t>Nonton streaming pertandingan seru Espanyol vs Girona - LaLiga. Saksikan aksi-aksi terbaik dari tim yang bersaing ketat untuk meraih kemenangan. Dapatkan informasi lengkap mengenai jadwal pertandingan dan hasil pertandingan terbaru hanya di Vidio.</t>
  </si>
  <si>
    <t>e6f44adb</t>
  </si>
  <si>
    <t>Getafe vs Valencia - LaLiga</t>
  </si>
  <si>
    <t>getafe cf; valencia cf; sports stream</t>
  </si>
  <si>
    <t>Nonton streaming pertandingan seru Getafe vs Valencia - LaLiga. Saksikan aksi-aksi terbaik dari tim yang bersaing ketat untuk meraih kemenangan. Dapatkan informasi lengkap mengenai jadwal pertandingan dan hasil pertandingan terbaru hanya di Vidio.</t>
  </si>
  <si>
    <t>5f923a2a</t>
  </si>
  <si>
    <t>Rayo Vallecano vs Osasuna - LaLiga</t>
  </si>
  <si>
    <t>rayo vallecano; ca osasuna; sports stream</t>
  </si>
  <si>
    <t>Nonton streaming pertandingan seru Rayo Vallecano vs Osasuna - LaLiga. Saksikan aksi-aksi terbaik dari tim yang bersaing ketat untuk meraih kemenangan. Dapatkan informasi lengkap mengenai jadwal pertandingan dan hasil pertandingan terbaru hanya di Vidio.</t>
  </si>
  <si>
    <t>66722b2b</t>
  </si>
  <si>
    <t>Villarreal vs Real Madrid - LaLiga</t>
  </si>
  <si>
    <t>villarreal cf; real madrid cf; sports stream</t>
  </si>
  <si>
    <t>Nonton streaming pertandingan seru Villarreal vs Real Madrid - LaLiga. Saksikan aksi-aksi terbaik dari tim yang bersaing ketat untuk meraih kemenangan. Dapatkan informasi lengkap mengenai jadwal pertandingan dan hasil pertandingan terbaru hanya di Vidio.</t>
  </si>
  <si>
    <t>e145f48c</t>
  </si>
  <si>
    <t>Girona vs Getafe - LaLiga</t>
  </si>
  <si>
    <t>girona fc; getafe cf; sports stream</t>
  </si>
  <si>
    <t>Nonton streaming pertandingan seru Girona vs Getafe - LaLiga. Saksikan aksi-aksi terbaik dari tim yang bersaing ketat untuk meraih kemenangan. Dapatkan informasi lengkap mengenai jadwal pertandingan dan hasil pertandingan terbaru hanya di Vidio.</t>
  </si>
  <si>
    <t>1651479c</t>
  </si>
  <si>
    <t>Alaves vs Real Betis - LaLiga</t>
  </si>
  <si>
    <t>deportivo alaves; Real Betis Balompié; sports stream</t>
  </si>
  <si>
    <t>Nonton streaming pertandingan seru Alaves vs Real Betis - LaLiga. Saksikan aksi-aksi terbaik dari tim yang bersaing ketat untuk meraih kemenangan. Dapatkan informasi lengkap mengenai jadwal pertandingan dan hasil pertandingan terbaru hanya di Vidio.</t>
  </si>
  <si>
    <t>cae55719</t>
  </si>
  <si>
    <t>Barcelona vs Oviedo - LaLiga</t>
  </si>
  <si>
    <t>fc barcelona; Real Oviedo; sports stream</t>
  </si>
  <si>
    <t>Nonton streaming pertandingan seru Barcelona vs Oviedo - LaLiga. Saksikan aksi-aksi terbaik dari tim yang bersaing ketat untuk meraih kemenangan. Dapatkan informasi lengkap mengenai jadwal pertandingan dan hasil pertandingan terbaru hanya di Vidio.</t>
  </si>
  <si>
    <t>916ab5f7</t>
  </si>
  <si>
    <t>Sevilla vs Athletic Club - LaLiga</t>
  </si>
  <si>
    <t>sevilla fc; athletic club bilbao; sports stream</t>
  </si>
  <si>
    <t>Nonton streaming pertandingan seru Sevilla vs Athletic Club - LaLiga. Saksikan aksi-aksi terbaik dari tim yang bersaing ketat untuk meraih kemenangan. Dapatkan informasi lengkap mengenai jadwal pertandingan dan hasil pertandingan terbaru hanya di Vidio.</t>
  </si>
  <si>
    <t>0b452caf</t>
  </si>
  <si>
    <t>Atletico Madrid vs Mallorca - LaLiga</t>
  </si>
  <si>
    <t>Club Atlético de Madrid; real club deportivo mallorca; sports stream</t>
  </si>
  <si>
    <t>Nonton streaming pertandingan seru Atletico Madrid vs Mallorca - LaLiga. Saksikan aksi-aksi terbaik dari tim yang bersaing ketat untuk meraih kemenangan. Dapatkan informasi lengkap mengenai jadwal pertandingan dan hasil pertandingan terbaru hanya di Vidio.</t>
  </si>
  <si>
    <t>27281dd4</t>
  </si>
  <si>
    <t>Levante vs Elche - LaLiga</t>
  </si>
  <si>
    <t>levante; elche cf; sports stream</t>
  </si>
  <si>
    <t>Nonton streaming pertandingan seru Levante vs Elche - LaLiga. Saksikan aksi-aksi terbaik dari tim yang bersaing ketat untuk meraih kemenangan. Dapatkan informasi lengkap mengenai jadwal pertandingan dan hasil pertandingan terbaru hanya di Vidio.</t>
  </si>
  <si>
    <t>7f9c6203</t>
  </si>
  <si>
    <t>Real Sociedad vs Celta Vigo - LaLiga</t>
  </si>
  <si>
    <t>Real Sociedad de Fútbol; real club celta de vigo; sports stream</t>
  </si>
  <si>
    <t>Nonton streaming pertandingan seru Real Sociedad vs Celta Vigo - LaLiga. Saksikan aksi-aksi terbaik dari tim yang bersaing ketat untuk meraih kemenangan. Dapatkan informasi lengkap mengenai jadwal pertandingan dan hasil pertandingan terbaru hanya di Vidio.</t>
  </si>
  <si>
    <t>6b18e2e3</t>
  </si>
  <si>
    <t>Valencia vs Espanyol - LaLiga</t>
  </si>
  <si>
    <t>valencia cf; Reial Club Deportiu Espanyol; sports stream</t>
  </si>
  <si>
    <t>Nonton streaming pertandingan seru Valencia vs Espanyol - LaLiga. Saksikan aksi-aksi terbaik dari tim yang bersaing ketat untuk meraih kemenangan. Dapatkan informasi lengkap mengenai jadwal pertandingan dan hasil pertandingan terbaru hanya di Vidio.</t>
  </si>
  <si>
    <t>f27fbecd</t>
  </si>
  <si>
    <t>Athletic Club vs Real Sociedad - LaLiga</t>
  </si>
  <si>
    <t>athletic club bilbao; Real Sociedad de Fútbol; sports stream</t>
  </si>
  <si>
    <t>Nonton streaming pertandingan seru Athletic Club vs Real Sociedad - LaLiga. Saksikan aksi-aksi terbaik dari tim yang bersaing ketat untuk meraih kemenangan. Dapatkan informasi lengkap mengenai jadwal pertandingan dan hasil pertandingan terbaru hanya di Vidio.</t>
  </si>
  <si>
    <t>6d308868</t>
  </si>
  <si>
    <t>Real Betis vs Valencia - LaLiga</t>
  </si>
  <si>
    <t>Real Betis Balompié; valencia cf; sports stream</t>
  </si>
  <si>
    <t>Nonton streaming pertandingan seru Real Betis vs Valencia - LaLiga. Saksikan aksi-aksi terbaik dari tim yang bersaing ketat untuk meraih kemenangan. Dapatkan informasi lengkap mengenai jadwal pertandingan dan hasil pertandingan terbaru hanya di Vidio.</t>
  </si>
  <si>
    <t>e8de15e0</t>
  </si>
  <si>
    <t>Getafe vs Celta Vigo - LaLiga</t>
  </si>
  <si>
    <t>getafe cf; real club celta de vigo; sports stream</t>
  </si>
  <si>
    <t>Nonton streaming pertandingan seru Getafe vs Celta Vigo - LaLiga. Saksikan aksi-aksi terbaik dari tim yang bersaing ketat untuk meraih kemenangan. Dapatkan informasi lengkap mengenai jadwal pertandingan dan hasil pertandingan terbaru hanya di Vidio.</t>
  </si>
  <si>
    <t>b79937f5</t>
  </si>
  <si>
    <t>Osasuna vs Villarreal - LaLiga</t>
  </si>
  <si>
    <t>ca osasuna; villarreal cf; sports stream</t>
  </si>
  <si>
    <t>Nonton streaming pertandingan seru Osasuna vs Villarreal - LaLiga. Saksikan aksi-aksi terbaik dari tim yang bersaing ketat untuk meraih kemenangan. Dapatkan informasi lengkap mengenai jadwal pertandingan dan hasil pertandingan terbaru hanya di Vidio.</t>
  </si>
  <si>
    <t>0bdd53f0</t>
  </si>
  <si>
    <t>Elche vs Barcelona - LaLiga</t>
  </si>
  <si>
    <t>elche cf; fc barcelona; sports stream</t>
  </si>
  <si>
    <t>Nonton streaming pertandingan seru Elche vs Barcelona - LaLiga. Saksikan aksi-aksi terbaik dari tim yang bersaing ketat untuk meraih kemenangan. Dapatkan informasi lengkap mengenai jadwal pertandingan dan hasil pertandingan terbaru hanya di Vidio.</t>
  </si>
  <si>
    <t>28d5797b</t>
  </si>
  <si>
    <t>Mallorca vs Sevilla - LaLiga</t>
  </si>
  <si>
    <t>real club deportivo mallorca; sevilla fc; sports stream</t>
  </si>
  <si>
    <t>Nonton streaming pertandingan seru Mallorca vs Sevilla - LaLiga. Saksikan aksi-aksi terbaik dari tim yang bersaing ketat untuk meraih kemenangan. Dapatkan informasi lengkap mengenai jadwal pertandingan dan hasil pertandingan terbaru hanya di Vidio.</t>
  </si>
  <si>
    <t>3c00e829</t>
  </si>
  <si>
    <t>Levante vs Atletico Madrid - LaLiga</t>
  </si>
  <si>
    <t>levante UD; Club Atlético de Madrid; sports stream</t>
  </si>
  <si>
    <t>Nonton streaming pertandingan seru Levante vs Atletico Madrid - LaLiga. Saksikan aksi-aksi terbaik dari tim yang bersaing ketat untuk meraih kemenangan. Dapatkan informasi lengkap mengenai jadwal pertandingan dan hasil pertandingan terbaru hanya di Vidio.</t>
  </si>
  <si>
    <t>38ddd23f</t>
  </si>
  <si>
    <t>Oviedo vs Girona - LaLiga</t>
  </si>
  <si>
    <t>Real Oviedo; girona fc; sports stream</t>
  </si>
  <si>
    <t>Nonton streaming pertandingan seru Oviedo vs Girona - LaLiga. Saksikan aksi-aksi terbaik dari tim yang bersaing ketat untuk meraih kemenangan. Dapatkan informasi lengkap mengenai jadwal pertandingan dan hasil pertandingan terbaru hanya di Vidio.</t>
  </si>
  <si>
    <t>7e242e4e</t>
  </si>
  <si>
    <t>Espanyol vs Alaves - LaLiga</t>
  </si>
  <si>
    <t>Reial Club Deportiu Espanyol; deportivo alaves; sports stream</t>
  </si>
  <si>
    <t>Nonton streaming pertandingan seru Espanyol vs Alaves - LaLiga. Saksikan aksi-aksi terbaik dari tim yang bersaing ketat untuk meraih kemenangan. Dapatkan informasi lengkap mengenai jadwal pertandingan dan hasil pertandingan terbaru hanya di Vidio.</t>
  </si>
  <si>
    <t>354f9f1d</t>
  </si>
  <si>
    <t>Real Madrid vs Rayo Vallecano - LaLiga</t>
  </si>
  <si>
    <t>real madrid cf; rayo vallecano; sports stream</t>
  </si>
  <si>
    <t>Nonton streaming pertandingan seru Real Madrid vs Rayo Vallecano - LaLiga. Saksikan aksi-aksi terbaik dari tim yang bersaing ketat untuk meraih kemenangan. Dapatkan informasi lengkap mengenai jadwal pertandingan dan hasil pertandingan terbaru hanya di Vidio.</t>
  </si>
  <si>
    <t>b85b61a6</t>
  </si>
  <si>
    <t>Real Sociedad vs Elche - LaLiga</t>
  </si>
  <si>
    <t>Real Sociedad de Fútbol; elche cf; sports stream</t>
  </si>
  <si>
    <t>Nonton streaming pertandingan seru Real Sociedad vs Elche - LaLiga. Saksikan aksi-aksi terbaik dari tim yang bersaing ketat untuk meraih kemenangan. Dapatkan informasi lengkap mengenai jadwal pertandingan dan hasil pertandingan terbaru hanya di Vidio.</t>
  </si>
  <si>
    <t>f1786204</t>
  </si>
  <si>
    <t>Villarreal vs Espanyol - LaLiga</t>
  </si>
  <si>
    <t>villarreal cf; Reial Club Deportiu Espanyol; sports stream</t>
  </si>
  <si>
    <t>Nonton streaming pertandingan seru Villarreal vs Espanyol - LaLiga. Saksikan aksi-aksi terbaik dari tim yang bersaing ketat untuk meraih kemenangan. Dapatkan informasi lengkap mengenai jadwal pertandingan dan hasil pertandingan terbaru hanya di Vidio.</t>
  </si>
  <si>
    <t>825a21ed</t>
  </si>
  <si>
    <t>Celta Vigo vs Osasuna - LaLiga</t>
  </si>
  <si>
    <t>real club celta de vigo; ca osasuna; sports stream</t>
  </si>
  <si>
    <t>Nonton streaming pertandingan seru Celta Vigo vs Osasuna - LaLiga. Saksikan aksi-aksi terbaik dari tim yang bersaing ketat untuk meraih kemenangan. Dapatkan informasi lengkap mengenai jadwal pertandingan dan hasil pertandingan terbaru hanya di Vidio.</t>
  </si>
  <si>
    <t>b92875f0</t>
  </si>
  <si>
    <t>Athletic Club vs Levante - LaLiga</t>
  </si>
  <si>
    <t>athletic club bilbao; levante UD; sports stream</t>
  </si>
  <si>
    <t>Nonton streaming pertandingan seru Athletic Club vs Levante - LaLiga. Saksikan aksi-aksi terbaik dari tim yang bersaing ketat untuk meraih kemenangan. Dapatkan informasi lengkap mengenai jadwal pertandingan dan hasil pertandingan terbaru hanya di Vidio.</t>
  </si>
  <si>
    <t>19d4c60c</t>
  </si>
  <si>
    <t>Barcelona vs Mallorca - LaLiga</t>
  </si>
  <si>
    <t>fc barcelona; real club deportivo mallorca; sports stream</t>
  </si>
  <si>
    <t>Nonton streaming pertandingan seru Barcelona vs Mallorca - LaLiga. Saksikan aksi-aksi terbaik dari tim yang bersaing ketat untuk meraih kemenangan. Dapatkan informasi lengkap mengenai jadwal pertandingan dan hasil pertandingan terbaru hanya di Vidio.</t>
  </si>
  <si>
    <t>0baa3ef9</t>
  </si>
  <si>
    <t>Sevilla vs Girona - LaLiga</t>
  </si>
  <si>
    <t>sevilla fc; girona fc; sports stream</t>
  </si>
  <si>
    <t>Nonton streaming pertandingan seru Sevilla vs Girona - LaLiga. Saksikan aksi-aksi terbaik dari tim yang bersaing ketat untuk meraih kemenangan. Dapatkan informasi lengkap mengenai jadwal pertandingan dan hasil pertandingan terbaru hanya di Vidio.</t>
  </si>
  <si>
    <t>c8173635</t>
  </si>
  <si>
    <t>Atletico Madrid vs Real Betis - LaLiga</t>
  </si>
  <si>
    <t>Club Atlético de Madrid; Real Betis Balompié; sports stream</t>
  </si>
  <si>
    <t>Nonton streaming pertandingan seru Atletico Madrid vs Real Betis - LaLiga. Saksikan aksi-aksi terbaik dari tim yang bersaing ketat untuk meraih kemenangan. Dapatkan informasi lengkap mengenai jadwal pertandingan dan hasil pertandingan terbaru hanya di Vidio.</t>
  </si>
  <si>
    <t>a0b00db7</t>
  </si>
  <si>
    <t>Alaves vs Getafe - LaLiga</t>
  </si>
  <si>
    <t>deportivo alaves; getafe cf; sports stream</t>
  </si>
  <si>
    <t>Nonton streaming pertandingan seru Alaves vs Getafe - LaLiga. Saksikan aksi-aksi terbaik dari tim yang bersaing ketat untuk meraih kemenangan. Dapatkan informasi lengkap mengenai jadwal pertandingan dan hasil pertandingan terbaru hanya di Vidio.</t>
  </si>
  <si>
    <t>e8fa6133</t>
  </si>
  <si>
    <t>Rayo Vallecano vs Oviedo - LaLiga</t>
  </si>
  <si>
    <t>rayo vallecano; Real Oviedo; sports stream</t>
  </si>
  <si>
    <t>Nonton streaming pertandingan seru Rayo Vallecano vs Oviedo - LaLiga. Saksikan aksi-aksi terbaik dari tim yang bersaing ketat untuk meraih kemenangan. Dapatkan informasi lengkap mengenai jadwal pertandingan dan hasil pertandingan terbaru hanya di Vidio.</t>
  </si>
  <si>
    <t>b6ff0f5c</t>
  </si>
  <si>
    <t>Valencia vs Real Madrid - LaLiga</t>
  </si>
  <si>
    <t>valencia cf; real madrid cf; sports stream</t>
  </si>
  <si>
    <t>Nonton streaming pertandingan seru Valencia vs Real Madrid - LaLiga. Saksikan aksi-aksi terbaik dari tim yang bersaing ketat untuk meraih kemenangan. Dapatkan informasi lengkap mengenai jadwal pertandingan dan hasil pertandingan terbaru hanya di Vidio.</t>
  </si>
  <si>
    <t>fa273660</t>
  </si>
  <si>
    <t>Mallorca vs Real Betis - LaLiga</t>
  </si>
  <si>
    <t>real club deportivo mallorca; Real Betis Balompié; sports stream</t>
  </si>
  <si>
    <t>Nonton streaming pertandingan seru Mallorca vs Real Betis - LaLiga. Saksikan aksi-aksi terbaik dari tim yang bersaing ketat untuk meraih kemenangan. Dapatkan informasi lengkap mengenai jadwal pertandingan dan hasil pertandingan terbaru hanya di Vidio.</t>
  </si>
  <si>
    <t>b5144a99</t>
  </si>
  <si>
    <t>Espanyol vs Celta Vigo - LaLiga</t>
  </si>
  <si>
    <t>Reial Club Deportiu Espanyol; real club celta de vigo; sports stream</t>
  </si>
  <si>
    <t>Nonton streaming pertandingan seru Espanyol vs Celta Vigo - LaLiga. Saksikan aksi-aksi terbaik dari tim yang bersaing ketat untuk meraih kemenangan. Dapatkan informasi lengkap mengenai jadwal pertandingan dan hasil pertandingan terbaru hanya di Vidio.</t>
  </si>
  <si>
    <t>5c3d300b</t>
  </si>
  <si>
    <t>Rayo Vallecano vs Atletico Madrid - LaLiga</t>
  </si>
  <si>
    <t>rayo vallecano; Club Atlético de Madrid; sports stream</t>
  </si>
  <si>
    <t>Nonton streaming pertandingan seru Rayo Vallecano vs Atletico Madrid - LaLiga. Saksikan aksi-aksi terbaik dari tim yang bersaing ketat untuk meraih kemenangan. Dapatkan informasi lengkap mengenai jadwal pertandingan dan hasil pertandingan terbaru hanya di Vidio.</t>
  </si>
  <si>
    <t>cbf2b55b</t>
  </si>
  <si>
    <t>Getafe vs Villarreal - LaLiga</t>
  </si>
  <si>
    <t>getafe cf; villarreal cf; sports stream</t>
  </si>
  <si>
    <t>Nonton streaming pertandingan seru Getafe vs Villarreal - LaLiga. Saksikan aksi-aksi terbaik dari tim yang bersaing ketat untuk meraih kemenangan. Dapatkan informasi lengkap mengenai jadwal pertandingan dan hasil pertandingan terbaru hanya di Vidio.</t>
  </si>
  <si>
    <t>e811e3a7</t>
  </si>
  <si>
    <t>Oviedo vs Athletic Club - LaLiga</t>
  </si>
  <si>
    <t>Real Oviedo; athletic club bilbao; sports stream</t>
  </si>
  <si>
    <t>Nonton streaming pertandingan seru Oviedo vs Athletic Club - LaLiga. Saksikan aksi-aksi terbaik dari tim yang bersaing ketat untuk meraih kemenangan. Dapatkan informasi lengkap mengenai jadwal pertandingan dan hasil pertandingan terbaru hanya di Vidio.</t>
  </si>
  <si>
    <t>dd122574</t>
  </si>
  <si>
    <t>Sevilla vs Alaves - LaLiga</t>
  </si>
  <si>
    <t>sevilla fc; deportivo alaves; sports stream</t>
  </si>
  <si>
    <t>Nonton streaming pertandingan seru Sevilla vs Alaves - LaLiga. Saksikan aksi-aksi terbaik dari tim yang bersaing ketat untuk meraih kemenangan. Dapatkan informasi lengkap mengenai jadwal pertandingan dan hasil pertandingan terbaru hanya di Vidio.</t>
  </si>
  <si>
    <t>b2276d4e</t>
  </si>
  <si>
    <t>Girona vs Barcelona - LaLiga</t>
  </si>
  <si>
    <t>girona fc; fc barcelona; sports stream</t>
  </si>
  <si>
    <t>Nonton streaming pertandingan seru Girona vs Barcelona - LaLiga. Saksikan aksi-aksi terbaik dari tim yang bersaing ketat untuk meraih kemenangan. Dapatkan informasi lengkap mengenai jadwal pertandingan dan hasil pertandingan terbaru hanya di Vidio.</t>
  </si>
  <si>
    <t>95cf92d3</t>
  </si>
  <si>
    <t>Levante vs Valencia - LaLiga</t>
  </si>
  <si>
    <t>levante UD; valencia cf; sports stream</t>
  </si>
  <si>
    <t>Nonton streaming pertandingan seru Levante vs Valencia - LaLiga. Saksikan aksi-aksi terbaik dari tim yang bersaing ketat untuk meraih kemenangan. Dapatkan informasi lengkap mengenai jadwal pertandingan dan hasil pertandingan terbaru hanya di Vidio.</t>
  </si>
  <si>
    <t>6891eabd</t>
  </si>
  <si>
    <t>Elche vs Osasuna - LaLiga</t>
  </si>
  <si>
    <t>elche cf; ca osasuna; sports stream</t>
  </si>
  <si>
    <t>Nonton streaming pertandingan seru Elche vs Osasuna - LaLiga. Saksikan aksi-aksi terbaik dari tim yang bersaing ketat untuk meraih kemenangan. Dapatkan informasi lengkap mengenai jadwal pertandingan dan hasil pertandingan terbaru hanya di Vidio.</t>
  </si>
  <si>
    <t>8d1b610b</t>
  </si>
  <si>
    <t>Real Madrid vs Real Sociedad - LaLiga</t>
  </si>
  <si>
    <t>real madrid cf; Real Sociedad de Fútbol; sports stream</t>
  </si>
  <si>
    <t>Nonton streaming pertandingan seru Real Madrid vs Real Sociedad - LaLiga. Saksikan aksi-aksi terbaik dari tim yang bersaing ketat untuk meraih kemenangan. Dapatkan informasi lengkap mengenai jadwal pertandingan dan hasil pertandingan terbaru hanya di Vidio.</t>
  </si>
  <si>
    <t>53f1666d</t>
  </si>
  <si>
    <t>Villarreal vs Valencia - LaLiga</t>
  </si>
  <si>
    <t>villarreal cf; valencia cf; sports stream</t>
  </si>
  <si>
    <t>Nonton streaming pertandingan seru Villarreal vs Valencia - LaLiga. Saksikan aksi-aksi terbaik dari tim yang bersaing ketat untuk meraih kemenangan. Dapatkan informasi lengkap mengenai jadwal pertandingan dan hasil pertandingan terbaru hanya di Vidio.</t>
  </si>
  <si>
    <t>9dbb5ff6</t>
  </si>
  <si>
    <t>Alaves vs Girona - LaLiga</t>
  </si>
  <si>
    <t>deportivo alaves; girona fc; sports stream</t>
  </si>
  <si>
    <t>Nonton streaming pertandingan seru Alaves vs Girona - LaLiga. Saksikan aksi-aksi terbaik dari tim yang bersaing ketat untuk meraih kemenangan. Dapatkan informasi lengkap mengenai jadwal pertandingan dan hasil pertandingan terbaru hanya di Vidio.</t>
  </si>
  <si>
    <t>2e03398b</t>
  </si>
  <si>
    <t>Real Sociedad vs Oviedo - LaLiga</t>
  </si>
  <si>
    <t>Real Sociedad de Fútbol; Real Oviedo; sports stream</t>
  </si>
  <si>
    <t>Nonton streaming pertandingan seru Real Sociedad vs Oviedo - LaLiga. Saksikan aksi-aksi terbaik dari tim yang bersaing ketat untuk meraih kemenangan. Dapatkan informasi lengkap mengenai jadwal pertandingan dan hasil pertandingan terbaru hanya di Vidio.</t>
  </si>
  <si>
    <t>736a7279</t>
  </si>
  <si>
    <t>Athletic Club vs Elche - LaLiga</t>
  </si>
  <si>
    <t>athletic club bilbao; elche cf; sports stream</t>
  </si>
  <si>
    <t>Nonton streaming pertandingan seru Athletic Club vs Elche - LaLiga. Saksikan aksi-aksi terbaik dari tim yang bersaing ketat untuk meraih kemenangan. Dapatkan informasi lengkap mengenai jadwal pertandingan dan hasil pertandingan terbaru hanya di Vidio.</t>
  </si>
  <si>
    <t>4c22db91</t>
  </si>
  <si>
    <t>Getafe vs Sevilla - LaLiga</t>
  </si>
  <si>
    <t>getafe cf; sevilla fc; sports stream</t>
  </si>
  <si>
    <t>Nonton streaming pertandingan seru Getafe vs Sevilla - LaLiga. Saksikan aksi-aksi terbaik dari tim yang bersaing ketat untuk meraih kemenangan. Dapatkan informasi lengkap mengenai jadwal pertandingan dan hasil pertandingan terbaru hanya di Vidio.</t>
  </si>
  <si>
    <t>0ae22a9f</t>
  </si>
  <si>
    <t>Atletico Madrid vs Espanyol - LaLiga</t>
  </si>
  <si>
    <t>Club Atlético de Madrid; Reial Club Deportiu Espanyol; sports stream</t>
  </si>
  <si>
    <t>Nonton streaming pertandingan seru Atletico Madrid vs Espanyol - LaLiga. Saksikan aksi-aksi terbaik dari tim yang bersaing ketat untuk meraih kemenangan. Dapatkan informasi lengkap mengenai jadwal pertandingan dan hasil pertandingan terbaru hanya di Vidio.</t>
  </si>
  <si>
    <t>4eedff2e</t>
  </si>
  <si>
    <t>Real Betis vs Rayo Vallecano - LaLiga</t>
  </si>
  <si>
    <t>Real Betis Balompié; rayo vallecano; sports stream</t>
  </si>
  <si>
    <t>Nonton streaming pertandingan seru Real Betis vs Rayo Vallecano - LaLiga. Saksikan aksi-aksi terbaik dari tim yang bersaing ketat untuk meraih kemenangan. Dapatkan informasi lengkap mengenai jadwal pertandingan dan hasil pertandingan terbaru hanya di Vidio.</t>
  </si>
  <si>
    <t>10a598fe</t>
  </si>
  <si>
    <t>Osasuna vs Real Madrid - LaLiga</t>
  </si>
  <si>
    <t>ca osasuna; real madrid cf; sports stream</t>
  </si>
  <si>
    <t>Nonton streaming pertandingan seru Osasuna vs Real Madrid - LaLiga. Saksikan aksi-aksi terbaik dari tim yang bersaing ketat untuk meraih kemenangan. Dapatkan informasi lengkap mengenai jadwal pertandingan dan hasil pertandingan terbaru hanya di Vidio.</t>
  </si>
  <si>
    <t>577f4ad2</t>
  </si>
  <si>
    <t>Barcelona vs Levante - LaLiga</t>
  </si>
  <si>
    <t>fc barcelona; levante UD; sports stream</t>
  </si>
  <si>
    <t>Nonton streaming pertandingan seru Barcelona vs Levante - LaLiga. Saksikan aksi-aksi terbaik dari tim yang bersaing ketat untuk meraih kemenangan. Dapatkan informasi lengkap mengenai jadwal pertandingan dan hasil pertandingan terbaru hanya di Vidio.</t>
  </si>
  <si>
    <t>0612fb73</t>
  </si>
  <si>
    <t>Celta Vigo vs Mallorca - LaLiga</t>
  </si>
  <si>
    <t>real club celta de vigo; real club deportivo mallorca; sports stream</t>
  </si>
  <si>
    <t>Nonton streaming pertandingan seru Celta Vigo vs Mallorca - LaLiga. Saksikan aksi-aksi terbaik dari tim yang bersaing ketat untuk meraih kemenangan. Dapatkan informasi lengkap mengenai jadwal pertandingan dan hasil pertandingan terbaru hanya di Vidio.</t>
  </si>
  <si>
    <t>d5784707</t>
  </si>
  <si>
    <t>Oviedo vs Atletico Madrid - LaLiga</t>
  </si>
  <si>
    <t>Real Oviedo; Club Atlético de Madrid; sports stream</t>
  </si>
  <si>
    <t>Nonton streaming pertandingan seru Oviedo vs Atletico Madrid - LaLiga. Saksikan aksi-aksi terbaik dari tim yang bersaing ketat untuk meraih kemenangan. Dapatkan informasi lengkap mengenai jadwal pertandingan dan hasil pertandingan terbaru hanya di Vidio.</t>
  </si>
  <si>
    <t>acaa5c36</t>
  </si>
  <si>
    <t>Elche vs Espanyol - LaLiga</t>
  </si>
  <si>
    <t>elche cf; Reial Club Deportiu Espanyol; sports stream</t>
  </si>
  <si>
    <t>Nonton streaming pertandingan seru Elche vs Espanyol - LaLiga. Saksikan aksi-aksi terbaik dari tim yang bersaing ketat untuk meraih kemenangan. Dapatkan informasi lengkap mengenai jadwal pertandingan dan hasil pertandingan terbaru hanya di Vidio.</t>
  </si>
  <si>
    <t>a89af8a0</t>
  </si>
  <si>
    <t>Girona vs Celta Vigo - LaLiga</t>
  </si>
  <si>
    <t>girona fc; real club celta de vigo; sports stream</t>
  </si>
  <si>
    <t>Nonton streaming pertandingan seru Girona vs Celta Vigo - LaLiga. Saksikan aksi-aksi terbaik dari tim yang bersaing ketat untuk meraih kemenangan. Dapatkan informasi lengkap mengenai jadwal pertandingan dan hasil pertandingan terbaru hanya di Vidio.</t>
  </si>
  <si>
    <t>b55b6723</t>
  </si>
  <si>
    <t>Real Madrid vs Getafe - LaLiga</t>
  </si>
  <si>
    <t>real madrid cf; getafe cf; sports stream</t>
  </si>
  <si>
    <t>Nonton streaming pertandingan seru Real Madrid vs Getafe - LaLiga. Saksikan aksi-aksi terbaik dari tim yang bersaing ketat untuk meraih kemenangan. Dapatkan informasi lengkap mengenai jadwal pertandingan dan hasil pertandingan terbaru hanya di Vidio.</t>
  </si>
  <si>
    <t>9cfbd3d5</t>
  </si>
  <si>
    <t>Mallorca vs Real Sociedad - LaLiga</t>
  </si>
  <si>
    <t>real club deportivo mallorca; Real Sociedad de Fútbol; sports stream</t>
  </si>
  <si>
    <t>Nonton streaming pertandingan seru Mallorca vs Real Sociedad - LaLiga. Saksikan aksi-aksi terbaik dari tim yang bersaing ketat untuk meraih kemenangan. Dapatkan informasi lengkap mengenai jadwal pertandingan dan hasil pertandingan terbaru hanya di Vidio.</t>
  </si>
  <si>
    <t>1d8e41ca</t>
  </si>
  <si>
    <t>Rayo Vallecano vs Athletic Club - LaLiga</t>
  </si>
  <si>
    <t>rayo vallecano; athletic club bilbao; sports stream</t>
  </si>
  <si>
    <t>Nonton streaming pertandingan seru Rayo Vallecano vs Athletic Club - LaLiga. Saksikan aksi-aksi terbaik dari tim yang bersaing ketat untuk meraih kemenangan. Dapatkan informasi lengkap mengenai jadwal pertandingan dan hasil pertandingan terbaru hanya di Vidio.</t>
  </si>
  <si>
    <t>d7b0f865</t>
  </si>
  <si>
    <t>Levante vs Alaves - LaLiga</t>
  </si>
  <si>
    <t>levante UD; deportivo alaves; sports stream</t>
  </si>
  <si>
    <t>Nonton streaming pertandingan seru Levante vs Alaves - LaLiga. Saksikan aksi-aksi terbaik dari tim yang bersaing ketat untuk meraih kemenangan. Dapatkan informasi lengkap mengenai jadwal pertandingan dan hasil pertandingan terbaru hanya di Vidio.</t>
  </si>
  <si>
    <t>271215af</t>
  </si>
  <si>
    <t>Real Betis vs Sevilla - LaLiga</t>
  </si>
  <si>
    <t>Real Betis Balompié; sevilla fc; sports stream</t>
  </si>
  <si>
    <t>Nonton streaming pertandingan seru Real Betis vs Sevilla - LaLiga. Saksikan aksi-aksi terbaik dari tim yang bersaing ketat untuk meraih kemenangan. Dapatkan informasi lengkap mengenai jadwal pertandingan dan hasil pertandingan terbaru hanya di Vidio.</t>
  </si>
  <si>
    <t>67314490</t>
  </si>
  <si>
    <t>Barcelona vs Villarreal - LaLiga</t>
  </si>
  <si>
    <t>fc barcelona; villarreal cf; sports stream</t>
  </si>
  <si>
    <t>Nonton streaming pertandingan seru Barcelona vs Villarreal - LaLiga. Saksikan aksi-aksi terbaik dari tim yang bersaing ketat untuk meraih kemenangan. Dapatkan informasi lengkap mengenai jadwal pertandingan dan hasil pertandingan terbaru hanya di Vidio.</t>
  </si>
  <si>
    <t>2f673f74</t>
  </si>
  <si>
    <t>Valencia vs Osasuna - LaLiga</t>
  </si>
  <si>
    <t>valencia cf; ca osasuna; sports stream</t>
  </si>
  <si>
    <t>Nonton streaming pertandingan seru Valencia vs Osasuna - LaLiga. Saksikan aksi-aksi terbaik dari tim yang bersaing ketat untuk meraih kemenangan. Dapatkan informasi lengkap mengenai jadwal pertandingan dan hasil pertandingan terbaru hanya di Vidio.</t>
  </si>
  <si>
    <t>e55ad956</t>
  </si>
  <si>
    <t>Celta Vigo vs Real Madrid - LaLiga</t>
  </si>
  <si>
    <t>real club celta de vigo; real madrid cf; sports stream</t>
  </si>
  <si>
    <t>Nonton streaming pertandingan seru Celta Vigo vs Real Madrid - LaLiga. Saksikan aksi-aksi terbaik dari tim yang bersaing ketat untuk meraih kemenangan. Dapatkan informasi lengkap mengenai jadwal pertandingan dan hasil pertandingan terbaru hanya di Vidio.</t>
  </si>
  <si>
    <t>ca5cd04a</t>
  </si>
  <si>
    <t>Sevilla vs Rayo Vallecano - LaLiga</t>
  </si>
  <si>
    <t>sevilla fc; rayo vallecano; sports stream</t>
  </si>
  <si>
    <t>Nonton streaming pertandingan seru Sevilla vs Rayo Vallecano - LaLiga. Saksikan aksi-aksi terbaik dari tim yang bersaing ketat untuk meraih kemenangan. Dapatkan informasi lengkap mengenai jadwal pertandingan dan hasil pertandingan terbaru hanya di Vidio.</t>
  </si>
  <si>
    <t>56d1f649</t>
  </si>
  <si>
    <t>Osasuna vs Mallorca - LaLiga</t>
  </si>
  <si>
    <t>ca osasuna; real club deportivo mallorca; sports stream</t>
  </si>
  <si>
    <t>Nonton streaming pertandingan seru Osasuna vs Mallorca - LaLiga. Saksikan aksi-aksi terbaik dari tim yang bersaing ketat untuk meraih kemenangan. Dapatkan informasi lengkap mengenai jadwal pertandingan dan hasil pertandingan terbaru hanya di Vidio.</t>
  </si>
  <si>
    <t>25db598d</t>
  </si>
  <si>
    <t>Villarreal vs Elche - LaLiga</t>
  </si>
  <si>
    <t>villarreal cf; elche cf; sports stream</t>
  </si>
  <si>
    <t>Nonton streaming pertandingan seru Villarreal vs Elche - LaLiga. Saksikan aksi-aksi terbaik dari tim yang bersaing ketat untuk meraih kemenangan. Dapatkan informasi lengkap mengenai jadwal pertandingan dan hasil pertandingan terbaru hanya di Vidio.</t>
  </si>
  <si>
    <t>a2c3347f</t>
  </si>
  <si>
    <t>Atletico Madrid vs Real Sociedad - LaLiga</t>
  </si>
  <si>
    <t>Club Atlético de Madrid; Real Sociedad de Fútbol; sports stream</t>
  </si>
  <si>
    <t>Nonton streaming pertandingan seru Atletico Madrid vs Real Sociedad - LaLiga. Saksikan aksi-aksi terbaik dari tim yang bersaing ketat untuk meraih kemenangan. Dapatkan informasi lengkap mengenai jadwal pertandingan dan hasil pertandingan terbaru hanya di Vidio.</t>
  </si>
  <si>
    <t>a75b26f7</t>
  </si>
  <si>
    <t>Athletic Club vs Barcelona - LaLiga</t>
  </si>
  <si>
    <t>athletic club bilbao; fc barcelona; sports stream</t>
  </si>
  <si>
    <t>Nonton streaming pertandingan seru Athletic Club vs Barcelona - LaLiga. Saksikan aksi-aksi terbaik dari tim yang bersaing ketat untuk meraih kemenangan. Dapatkan informasi lengkap mengenai jadwal pertandingan dan hasil pertandingan terbaru hanya di Vidio.</t>
  </si>
  <si>
    <t>0e78389c</t>
  </si>
  <si>
    <t>Valencia vs Alaves - LaLiga</t>
  </si>
  <si>
    <t>valencia cf; deportivo alaves; sports stream</t>
  </si>
  <si>
    <t>Nonton streaming pertandingan seru Valencia vs Alaves - LaLiga. Saksikan aksi-aksi terbaik dari tim yang bersaing ketat untuk meraih kemenangan. Dapatkan informasi lengkap mengenai jadwal pertandingan dan hasil pertandingan terbaru hanya di Vidio.</t>
  </si>
  <si>
    <t>8e8e4d9f</t>
  </si>
  <si>
    <t>Levante vs Girona - LaLiga</t>
  </si>
  <si>
    <t>levante UD; girona fc; sports stream</t>
  </si>
  <si>
    <t>Nonton streaming pertandingan seru Levante vs Girona - LaLiga. Saksikan aksi-aksi terbaik dari tim yang bersaing ketat untuk meraih kemenangan. Dapatkan informasi lengkap mengenai jadwal pertandingan dan hasil pertandingan terbaru hanya di Vidio.</t>
  </si>
  <si>
    <t>e33bdd09</t>
  </si>
  <si>
    <t>Espanyol vs Oviedo - LaLiga</t>
  </si>
  <si>
    <t>Reial Club Deportiu Espanyol; Real Oviedo; sports stream</t>
  </si>
  <si>
    <t>Nonton streaming pertandingan seru Espanyol vs Oviedo - LaLiga. Saksikan aksi-aksi terbaik dari tim yang bersaing ketat untuk meraih kemenangan. Dapatkan informasi lengkap mengenai jadwal pertandingan dan hasil pertandingan terbaru hanya di Vidio.</t>
  </si>
  <si>
    <t>172c0e55</t>
  </si>
  <si>
    <t>Getafe vs Real Betis - LaLiga</t>
  </si>
  <si>
    <t>getafe cf; Real Betis Balompié; sports stream</t>
  </si>
  <si>
    <t>Nonton streaming pertandingan seru Getafe vs Real Betis - LaLiga. Saksikan aksi-aksi terbaik dari tim yang bersaing ketat untuk meraih kemenangan. Dapatkan informasi lengkap mengenai jadwal pertandingan dan hasil pertandingan terbaru hanya di Vidio.</t>
  </si>
  <si>
    <t>9dfc6ee6</t>
  </si>
  <si>
    <t>Real Sociedad vs Osasuna - LaLiga</t>
  </si>
  <si>
    <t>Real Sociedad de Fútbol; ca osasuna; sports stream</t>
  </si>
  <si>
    <t>Nonton streaming pertandingan seru Real Sociedad vs Osasuna - LaLiga. Saksikan aksi-aksi terbaik dari tim yang bersaing ketat untuk meraih kemenangan. Dapatkan informasi lengkap mengenai jadwal pertandingan dan hasil pertandingan terbaru hanya di Vidio.</t>
  </si>
  <si>
    <t>442dfd4d</t>
  </si>
  <si>
    <t>Oviedo vs Valencia - LaLiga</t>
  </si>
  <si>
    <t>Real Oviedo; valencia cf; sports stream</t>
  </si>
  <si>
    <t>Nonton streaming pertandingan seru Oviedo vs Valencia - LaLiga. Saksikan aksi-aksi terbaik dari tim yang bersaing ketat untuk meraih kemenangan. Dapatkan informasi lengkap mengenai jadwal pertandingan dan hasil pertandingan terbaru hanya di Vidio.</t>
  </si>
  <si>
    <t>643c6adb</t>
  </si>
  <si>
    <t>Real Betis vs Celta Vigo - LaLiga</t>
  </si>
  <si>
    <t>Real Betis Balompié; real club celta de vigo; sports stream</t>
  </si>
  <si>
    <t>Nonton streaming pertandingan seru Real Betis vs Celta Vigo - LaLiga. Saksikan aksi-aksi terbaik dari tim yang bersaing ketat untuk meraih kemenangan. Dapatkan informasi lengkap mengenai jadwal pertandingan dan hasil pertandingan terbaru hanya di Vidio.</t>
  </si>
  <si>
    <t>8284380f</t>
  </si>
  <si>
    <t>Atletico Madrid vs Getafe - LaLiga</t>
  </si>
  <si>
    <t>Club Atlético de Madrid; getafe cf; sports stream</t>
  </si>
  <si>
    <t>Nonton streaming pertandingan seru Atletico Madrid vs Getafe - LaLiga. Saksikan aksi-aksi terbaik dari tim yang bersaing ketat untuk meraih kemenangan. Dapatkan informasi lengkap mengenai jadwal pertandingan dan hasil pertandingan terbaru hanya di Vidio.</t>
  </si>
  <si>
    <t>ef2d482f</t>
  </si>
  <si>
    <t>Alaves vs Villarreal - LaLiga</t>
  </si>
  <si>
    <t>deportivo alaves; villarreal cf; sports stream</t>
  </si>
  <si>
    <t>Nonton streaming pertandingan seru Alaves vs Villarreal - LaLiga. Saksikan aksi-aksi terbaik dari tim yang bersaing ketat untuk meraih kemenangan. Dapatkan informasi lengkap mengenai jadwal pertandingan dan hasil pertandingan terbaru hanya di Vidio.</t>
  </si>
  <si>
    <t>a77af15c</t>
  </si>
  <si>
    <t>Rayo Vallecano vs Levante - LaLiga</t>
  </si>
  <si>
    <t>rayo vallecano; levante UD; sports stream</t>
  </si>
  <si>
    <t>Nonton streaming pertandingan seru Rayo Vallecano vs Levante - LaLiga. Saksikan aksi-aksi terbaik dari tim yang bersaing ketat untuk meraih kemenangan. Dapatkan informasi lengkap mengenai jadwal pertandingan dan hasil pertandingan terbaru hanya di Vidio.</t>
  </si>
  <si>
    <t>4396d449</t>
  </si>
  <si>
    <t>Barcelona vs Sevilla - LaLiga</t>
  </si>
  <si>
    <t>fc barcelona; sevilla fc; sports stream</t>
  </si>
  <si>
    <t>Nonton streaming pertandingan seru Barcelona vs Sevilla - LaLiga. Saksikan aksi-aksi terbaik dari tim yang bersaing ketat untuk meraih kemenangan. Dapatkan informasi lengkap mengenai jadwal pertandingan dan hasil pertandingan terbaru hanya di Vidio.</t>
  </si>
  <si>
    <t>b12b1180</t>
  </si>
  <si>
    <t>Mallorca vs Espanyol - LaLiga</t>
  </si>
  <si>
    <t>real club deportivo mallorca; Reial Club Deportiu Espanyol; sports stream</t>
  </si>
  <si>
    <t>Nonton streaming pertandingan seru Mallorca vs Espanyol - LaLiga. Saksikan aksi-aksi terbaik dari tim yang bersaing ketat untuk meraih kemenangan. Dapatkan informasi lengkap mengenai jadwal pertandingan dan hasil pertandingan terbaru hanya di Vidio.</t>
  </si>
  <si>
    <t>e28b51f9</t>
  </si>
  <si>
    <t>Girona vs Athletic Club - LaLiga</t>
  </si>
  <si>
    <t>girona fc; athletic club bilbao; sports stream</t>
  </si>
  <si>
    <t>Nonton streaming pertandingan seru Girona vs Athletic Club - LaLiga. Saksikan aksi-aksi terbaik dari tim yang bersaing ketat untuk meraih kemenangan. Dapatkan informasi lengkap mengenai jadwal pertandingan dan hasil pertandingan terbaru hanya di Vidio.</t>
  </si>
  <si>
    <t>46af3fb4</t>
  </si>
  <si>
    <t>Real Madrid vs Elche - LaLiga</t>
  </si>
  <si>
    <t>real madrid cf; elche cf; sports stream</t>
  </si>
  <si>
    <t>Nonton streaming pertandingan seru Real Madrid vs Elche - LaLiga. Saksikan aksi-aksi terbaik dari tim yang bersaing ketat untuk meraih kemenangan. Dapatkan informasi lengkap mengenai jadwal pertandingan dan hasil pertandingan terbaru hanya di Vidio.</t>
  </si>
  <si>
    <t>1b05e493</t>
  </si>
  <si>
    <t>Osasuna vs Girona - LaLiga</t>
  </si>
  <si>
    <t>ca osasuna; girona fc; sports stream</t>
  </si>
  <si>
    <t>Nonton streaming pertandingan seru Osasuna vs Girona - LaLiga. Saksikan aksi-aksi terbaik dari tim yang bersaing ketat untuk meraih kemenangan. Dapatkan informasi lengkap mengenai jadwal pertandingan dan hasil pertandingan terbaru hanya di Vidio.</t>
  </si>
  <si>
    <t>a5c64d42</t>
  </si>
  <si>
    <t>Villarreal vs Real Sociedad - LaLiga</t>
  </si>
  <si>
    <t>villarreal cf; Real Sociedad de Fútbol; sports stream</t>
  </si>
  <si>
    <t>Nonton streaming pertandingan seru Villarreal vs Real Sociedad - LaLiga. Saksikan aksi-aksi terbaik dari tim yang bersaing ketat untuk meraih kemenangan. Dapatkan informasi lengkap mengenai jadwal pertandingan dan hasil pertandingan terbaru hanya di Vidio.</t>
  </si>
  <si>
    <t>b9bffac1</t>
  </si>
  <si>
    <t>Athletic Club vs Real Betis - LaLiga</t>
  </si>
  <si>
    <t>athletic club bilbao; Real Betis Balompié; sports stream</t>
  </si>
  <si>
    <t>Nonton streaming pertandingan seru Athletic Club vs Real Betis - LaLiga. Saksikan aksi-aksi terbaik dari tim yang bersaing ketat untuk meraih kemenangan. Dapatkan informasi lengkap mengenai jadwal pertandingan dan hasil pertandingan terbaru hanya di Vidio.</t>
  </si>
  <si>
    <t>589bbb8a</t>
  </si>
  <si>
    <t>Sevilla vs Valencia - LaLiga</t>
  </si>
  <si>
    <t>sevilla fc; valencia cf; sports stream</t>
  </si>
  <si>
    <t>Nonton streaming pertandingan seru Sevilla vs Valencia - LaLiga. Saksikan aksi-aksi terbaik dari tim yang bersaing ketat untuk meraih kemenangan. Dapatkan informasi lengkap mengenai jadwal pertandingan dan hasil pertandingan terbaru hanya di Vidio.</t>
  </si>
  <si>
    <t>bd98bdd6</t>
  </si>
  <si>
    <t>Real Madrid vs Atletico Madrid - LaLiga</t>
  </si>
  <si>
    <t>real madrid cf; Club Atlético de Madrid; sports stream</t>
  </si>
  <si>
    <t>Nonton streaming pertandingan seru Real Madrid vs Atletico Madrid - LaLiga. Saksikan aksi-aksi terbaik dari tim yang bersaing ketat untuk meraih kemenangan. Dapatkan informasi lengkap mengenai jadwal pertandingan dan hasil pertandingan terbaru hanya di Vidio.</t>
  </si>
  <si>
    <t>8a5d06c2</t>
  </si>
  <si>
    <t>Celta Vigo vs Alaves - LaLiga</t>
  </si>
  <si>
    <t>real club celta de vigo; deportivo alaves; sports stream</t>
  </si>
  <si>
    <t>Nonton streaming pertandingan seru Celta Vigo vs Alaves - LaLiga. Saksikan aksi-aksi terbaik dari tim yang bersaing ketat untuk meraih kemenangan. Dapatkan informasi lengkap mengenai jadwal pertandingan dan hasil pertandingan terbaru hanya di Vidio.</t>
  </si>
  <si>
    <t>99ba0e0e</t>
  </si>
  <si>
    <t>Elche vs Mallorca - LaLiga</t>
  </si>
  <si>
    <t>elche cf; real club deportivo mallorca; sports stream</t>
  </si>
  <si>
    <t>Nonton streaming pertandingan seru Elche vs Mallorca - LaLiga. Saksikan aksi-aksi terbaik dari tim yang bersaing ketat untuk meraih kemenangan. Dapatkan informasi lengkap mengenai jadwal pertandingan dan hasil pertandingan terbaru hanya di Vidio.</t>
  </si>
  <si>
    <t>a17efd31</t>
  </si>
  <si>
    <t>Levante vs Oviedo - LaLiga</t>
  </si>
  <si>
    <t>levante UD; Real Oviedo; sports stream</t>
  </si>
  <si>
    <t>Nonton streaming pertandingan seru Levante vs Oviedo - LaLiga. Saksikan aksi-aksi terbaik dari tim yang bersaing ketat untuk meraih kemenangan. Dapatkan informasi lengkap mengenai jadwal pertandingan dan hasil pertandingan terbaru hanya di Vidio.</t>
  </si>
  <si>
    <t>96bf526d</t>
  </si>
  <si>
    <t>Barcelona vs Rayo Vallecano - LaLiga</t>
  </si>
  <si>
    <t>fc barcelona; rayo vallecano; sports stream</t>
  </si>
  <si>
    <t>Nonton streaming pertandingan seru Barcelona vs Rayo Vallecano - LaLiga. Saksikan aksi-aksi terbaik dari tim yang bersaing ketat untuk meraih kemenangan. Dapatkan informasi lengkap mengenai jadwal pertandingan dan hasil pertandingan terbaru hanya di Vidio.</t>
  </si>
  <si>
    <t>9c2e0fc2</t>
  </si>
  <si>
    <t>Espanyol vs Getafe - LaLiga</t>
  </si>
  <si>
    <t>Reial Club Deportiu Espanyol; getafe cf; sports stream</t>
  </si>
  <si>
    <t>Nonton streaming pertandingan seru Espanyol vs Getafe - LaLiga. Saksikan aksi-aksi terbaik dari tim yang bersaing ketat untuk meraih kemenangan. Dapatkan informasi lengkap mengenai jadwal pertandingan dan hasil pertandingan terbaru hanya di Vidio.</t>
  </si>
  <si>
    <t>d5966691</t>
  </si>
  <si>
    <t>Getafe vs Athletic Club - LaLiga</t>
  </si>
  <si>
    <t>getafe cf; athletic club bilbao; sports stream</t>
  </si>
  <si>
    <t>Nonton streaming pertandingan seru Getafe vs Athletic Club - LaLiga. Saksikan aksi-aksi terbaik dari tim yang bersaing ketat untuk meraih kemenangan. Dapatkan informasi lengkap mengenai jadwal pertandingan dan hasil pertandingan terbaru hanya di Vidio.</t>
  </si>
  <si>
    <t>742244a2</t>
  </si>
  <si>
    <t>Alaves vs Osasuna - LaLiga</t>
  </si>
  <si>
    <t>deportivo alaves; ca osasuna; sports stream</t>
  </si>
  <si>
    <t>Nonton streaming pertandingan seru Alaves vs Osasuna - LaLiga. Saksikan aksi-aksi terbaik dari tim yang bersaing ketat untuk meraih kemenangan. Dapatkan informasi lengkap mengenai jadwal pertandingan dan hasil pertandingan terbaru hanya di Vidio.</t>
  </si>
  <si>
    <t>708f711c</t>
  </si>
  <si>
    <t>Girona vs Villarreal - LaLiga</t>
  </si>
  <si>
    <t>girona fc; villarreal cf; sports stream</t>
  </si>
  <si>
    <t>Nonton streaming pertandingan seru Girona vs Villarreal - LaLiga. Saksikan aksi-aksi terbaik dari tim yang bersaing ketat untuk meraih kemenangan. Dapatkan informasi lengkap mengenai jadwal pertandingan dan hasil pertandingan terbaru hanya di Vidio.</t>
  </si>
  <si>
    <t>ab14325e</t>
  </si>
  <si>
    <t>Real Sociedad vs Levante - LaLiga</t>
  </si>
  <si>
    <t>Real Sociedad de Fútbol; levante UD; sports stream</t>
  </si>
  <si>
    <t>Nonton streaming pertandingan seru Real Sociedad vs Levante - LaLiga. Saksikan aksi-aksi terbaik dari tim yang bersaing ketat untuk meraih kemenangan. Dapatkan informasi lengkap mengenai jadwal pertandingan dan hasil pertandingan terbaru hanya di Vidio.</t>
  </si>
  <si>
    <t>8c72a403</t>
  </si>
  <si>
    <t>Rayo Vallecano vs Elche - LaLiga</t>
  </si>
  <si>
    <t>rayo vallecano; elche cf; sports stream</t>
  </si>
  <si>
    <t>Nonton streaming pertandingan seru Rayo Vallecano vs Elche - LaLiga. Saksikan aksi-aksi terbaik dari tim yang bersaing ketat untuk meraih kemenangan. Dapatkan informasi lengkap mengenai jadwal pertandingan dan hasil pertandingan terbaru hanya di Vidio.</t>
  </si>
  <si>
    <t>b46999c1</t>
  </si>
  <si>
    <t>Real Betis vs Espanyol - LaLiga</t>
  </si>
  <si>
    <t>Real Betis Balompié; Reial Club Deportiu Espanyol; sports stream</t>
  </si>
  <si>
    <t>Nonton streaming pertandingan seru Real Betis vs Espanyol - LaLiga. Saksikan aksi-aksi terbaik dari tim yang bersaing ketat untuk meraih kemenangan. Dapatkan informasi lengkap mengenai jadwal pertandingan dan hasil pertandingan terbaru hanya di Vidio.</t>
  </si>
  <si>
    <t>7141f5a1</t>
  </si>
  <si>
    <t>Mallorca vs Real Madrid - LaLiga</t>
  </si>
  <si>
    <t>real club deportivo mallorca; real madrid cf; sports stream</t>
  </si>
  <si>
    <t>Nonton streaming pertandingan seru Mallorca vs Real Madrid - LaLiga. Saksikan aksi-aksi terbaik dari tim yang bersaing ketat untuk meraih kemenangan. Dapatkan informasi lengkap mengenai jadwal pertandingan dan hasil pertandingan terbaru hanya di Vidio.</t>
  </si>
  <si>
    <t>4ec70dfd</t>
  </si>
  <si>
    <t>Oviedo vs Sevilla - LaLiga</t>
  </si>
  <si>
    <t>Real Oviedo; sevilla fc; sports stream</t>
  </si>
  <si>
    <t>Nonton streaming pertandingan seru Oviedo vs Sevilla - LaLiga. Saksikan aksi-aksi terbaik dari tim yang bersaing ketat untuk meraih kemenangan. Dapatkan informasi lengkap mengenai jadwal pertandingan dan hasil pertandingan terbaru hanya di Vidio.</t>
  </si>
  <si>
    <t>185035d8</t>
  </si>
  <si>
    <t>Valencia vs Celta Vigo - LaLiga</t>
  </si>
  <si>
    <t>valencia cf; real club celta de vigo; sports stream</t>
  </si>
  <si>
    <t>Nonton streaming pertandingan seru Valencia vs Celta Vigo - LaLiga. Saksikan aksi-aksi terbaik dari tim yang bersaing ketat untuk meraih kemenangan. Dapatkan informasi lengkap mengenai jadwal pertandingan dan hasil pertandingan terbaru hanya di Vidio.</t>
  </si>
  <si>
    <t>1787720c</t>
  </si>
  <si>
    <t>Atletico Madrid vs Barcelona - LaLiga</t>
  </si>
  <si>
    <t>Club Atlético de Madrid; fc barcelona; sports stream</t>
  </si>
  <si>
    <t>Nonton streaming pertandingan seru Atletico Madrid vs Barcelona - LaLiga. Saksikan aksi-aksi terbaik dari tim yang bersaing ketat untuk meraih kemenangan. Dapatkan informasi lengkap mengenai jadwal pertandingan dan hasil pertandingan terbaru hanya di Vidio.</t>
  </si>
  <si>
    <t>9fa08f67</t>
  </si>
  <si>
    <t>Barcelona vs Espanyol - LaLiga</t>
  </si>
  <si>
    <t>fc barcelona; Reial Club Deportiu Espanyol; sports stream</t>
  </si>
  <si>
    <t>Nonton streaming pertandingan seru Barcelona vs Espanyol - LaLiga. Saksikan aksi-aksi terbaik dari tim yang bersaing ketat untuk meraih kemenangan. Dapatkan informasi lengkap mengenai jadwal pertandingan dan hasil pertandingan terbaru hanya di Vidio.</t>
  </si>
  <si>
    <t>47710cc4</t>
  </si>
  <si>
    <t>Mallorca vs Rayo Vallecano - LaLiga</t>
  </si>
  <si>
    <t>real club deportivo mallorca; rayo vallecano; sports stream</t>
  </si>
  <si>
    <t>Nonton streaming pertandingan seru Mallorca vs Rayo Vallecano - LaLiga. Saksikan aksi-aksi terbaik dari tim yang bersaing ketat untuk meraih kemenangan. Dapatkan informasi lengkap mengenai jadwal pertandingan dan hasil pertandingan terbaru hanya di Vidio.</t>
  </si>
  <si>
    <t>a86aaccf</t>
  </si>
  <si>
    <t>Elche vs Valencia - LaLiga</t>
  </si>
  <si>
    <t>elche cf; valencia cf; sports stream</t>
  </si>
  <si>
    <t>Nonton streaming pertandingan seru Elche vs Valencia - LaLiga. Saksikan aksi-aksi terbaik dari tim yang bersaing ketat untuk meraih kemenangan. Dapatkan informasi lengkap mengenai jadwal pertandingan dan hasil pertandingan terbaru hanya di Vidio.</t>
  </si>
  <si>
    <t>c5d403f8</t>
  </si>
  <si>
    <t>Athletic Club vs Villarreal - LaLiga</t>
  </si>
  <si>
    <t>athletic club bilbao; villarreal cf; sports stream</t>
  </si>
  <si>
    <t>Nonton streaming pertandingan seru Athletic Club vs Villarreal - LaLiga. Saksikan aksi-aksi terbaik dari tim yang bersaing ketat untuk meraih kemenangan. Dapatkan informasi lengkap mengenai jadwal pertandingan dan hasil pertandingan terbaru hanya di Vidio.</t>
  </si>
  <si>
    <t>aa272fff</t>
  </si>
  <si>
    <t>Levante vs Getafe - LaLiga</t>
  </si>
  <si>
    <t>levante UD; getafe cf; sports stream</t>
  </si>
  <si>
    <t>Nonton streaming pertandingan seru Levante vs Getafe - LaLiga. Saksikan aksi-aksi terbaik dari tim yang bersaing ketat untuk meraih kemenangan. Dapatkan informasi lengkap mengenai jadwal pertandingan dan hasil pertandingan terbaru hanya di Vidio.</t>
  </si>
  <si>
    <t>53e3cfc7</t>
  </si>
  <si>
    <t>Osasuna vs Real Betis - LaLiga</t>
  </si>
  <si>
    <t>ca osasuna; Real Betis Balompié; sports stream</t>
  </si>
  <si>
    <t>Nonton streaming pertandingan seru Osasuna vs Real Betis - LaLiga. Saksikan aksi-aksi terbaik dari tim yang bersaing ketat untuk meraih kemenangan. Dapatkan informasi lengkap mengenai jadwal pertandingan dan hasil pertandingan terbaru hanya di Vidio.</t>
  </si>
  <si>
    <t>1c93f307</t>
  </si>
  <si>
    <t>Real Sociedad vs Alaves - LaLiga</t>
  </si>
  <si>
    <t>Real Sociedad de Fútbol; deportivo alaves; sports stream</t>
  </si>
  <si>
    <t>Nonton streaming pertandingan seru Real Sociedad vs Alaves - LaLiga. Saksikan aksi-aksi terbaik dari tim yang bersaing ketat untuk meraih kemenangan. Dapatkan informasi lengkap mengenai jadwal pertandingan dan hasil pertandingan terbaru hanya di Vidio.</t>
  </si>
  <si>
    <t>351241a5</t>
  </si>
  <si>
    <t>Sevilla vs Atletico Madrid - LaLiga</t>
  </si>
  <si>
    <t>sevilla fc; Club Atlético de Madrid; sports stream</t>
  </si>
  <si>
    <t>Nonton streaming pertandingan seru Sevilla vs Atletico Madrid - LaLiga. Saksikan aksi-aksi terbaik dari tim yang bersaing ketat untuk meraih kemenangan. Dapatkan informasi lengkap mengenai jadwal pertandingan dan hasil pertandingan terbaru hanya di Vidio.</t>
  </si>
  <si>
    <t>7d73e983</t>
  </si>
  <si>
    <t>Real Madrid vs Girona - LaLiga</t>
  </si>
  <si>
    <t>real madrid cf; girona fc; sports stream</t>
  </si>
  <si>
    <t>Nonton streaming pertandingan seru Real Madrid vs Girona - LaLiga. Saksikan aksi-aksi terbaik dari tim yang bersaing ketat untuk meraih kemenangan. Dapatkan informasi lengkap mengenai jadwal pertandingan dan hasil pertandingan terbaru hanya di Vidio.</t>
  </si>
  <si>
    <t>e27a3c81</t>
  </si>
  <si>
    <t>Celta Vigo vs Oviedo - LaLiga</t>
  </si>
  <si>
    <t>real club celta de vigo; Real Oviedo; sports stream</t>
  </si>
  <si>
    <t>Nonton streaming pertandingan seru Celta Vigo vs Oviedo - LaLiga. Saksikan aksi-aksi terbaik dari tim yang bersaing ketat untuk meraih kemenangan. Dapatkan informasi lengkap mengenai jadwal pertandingan dan hasil pertandingan terbaru hanya di Vidio.</t>
  </si>
  <si>
    <t>5455d2f0</t>
  </si>
  <si>
    <t>Rayo Vallecano vs Real Sociedad - LaLiga</t>
  </si>
  <si>
    <t>rayo vallecano; Real Sociedad de Fútbol; sports stream</t>
  </si>
  <si>
    <t>Nonton streaming pertandingan seru Rayo Vallecano vs Real Sociedad - LaLiga. Saksikan aksi-aksi terbaik dari tim yang bersaing ketat untuk meraih kemenangan. Dapatkan informasi lengkap mengenai jadwal pertandingan dan hasil pertandingan terbaru hanya di Vidio.</t>
  </si>
  <si>
    <t>f85bcb67</t>
  </si>
  <si>
    <t>Osasuna vs Sevilla - LaLiga</t>
  </si>
  <si>
    <t>ca osasuna; sevilla fc; sports stream</t>
  </si>
  <si>
    <t>Nonton streaming pertandingan seru Osasuna vs Sevilla - LaLiga. Saksikan aksi-aksi terbaik dari tim yang bersaing ketat untuk meraih kemenangan. Dapatkan informasi lengkap mengenai jadwal pertandingan dan hasil pertandingan terbaru hanya di Vidio.</t>
  </si>
  <si>
    <t>eb09974e</t>
  </si>
  <si>
    <t>Alaves vs Mallorca - LaLiga</t>
  </si>
  <si>
    <t>deportivo alaves; real club deportivo mallorca; sports stream</t>
  </si>
  <si>
    <t>Nonton streaming pertandingan seru Alaves vs Mallorca - LaLiga. Saksikan aksi-aksi terbaik dari tim yang bersaing ketat untuk meraih kemenangan. Dapatkan informasi lengkap mengenai jadwal pertandingan dan hasil pertandingan terbaru hanya di Vidio.</t>
  </si>
  <si>
    <t>3d1f1e77</t>
  </si>
  <si>
    <t>Atletico Madrid vs Athletic Club - LaLiga</t>
  </si>
  <si>
    <t>Club Atlético de Madrid; athletic club bilbao; sports stream</t>
  </si>
  <si>
    <t>Nonton streaming pertandingan seru Atletico Madrid vs Athletic Club - LaLiga. Saksikan aksi-aksi terbaik dari tim yang bersaing ketat untuk meraih kemenangan. Dapatkan informasi lengkap mengenai jadwal pertandingan dan hasil pertandingan terbaru hanya di Vidio.</t>
  </si>
  <si>
    <t>8e6039be</t>
  </si>
  <si>
    <t>Oviedo vs Elche - LaLiga</t>
  </si>
  <si>
    <t>Real Oviedo; elche cf; sports stream</t>
  </si>
  <si>
    <t>Nonton streaming pertandingan seru Oviedo vs Elche - LaLiga. Saksikan aksi-aksi terbaik dari tim yang bersaing ketat untuk meraih kemenangan. Dapatkan informasi lengkap mengenai jadwal pertandingan dan hasil pertandingan terbaru hanya di Vidio.</t>
  </si>
  <si>
    <t>4f35bd3a</t>
  </si>
  <si>
    <t>Valencia vs Girona - LaLiga</t>
  </si>
  <si>
    <t>valencia cf; girona fc; sports stream</t>
  </si>
  <si>
    <t>Nonton streaming pertandingan seru Valencia vs Girona - LaLiga. Saksikan aksi-aksi terbaik dari tim yang bersaing ketat untuk meraih kemenangan. Dapatkan informasi lengkap mengenai jadwal pertandingan dan hasil pertandingan terbaru hanya di Vidio.</t>
  </si>
  <si>
    <t>9a9cc6e5</t>
  </si>
  <si>
    <t>Getafe vs Barcelona - LaLiga</t>
  </si>
  <si>
    <t>getafe cf; fc barcelona; sports stream</t>
  </si>
  <si>
    <t>Nonton streaming pertandingan seru Getafe vs Barcelona - LaLiga. Saksikan aksi-aksi terbaik dari tim yang bersaing ketat untuk meraih kemenangan. Dapatkan informasi lengkap mengenai jadwal pertandingan dan hasil pertandingan terbaru hanya di Vidio.</t>
  </si>
  <si>
    <t>b48471eb</t>
  </si>
  <si>
    <t>Real Betis vs Real Madrid - LaLiga</t>
  </si>
  <si>
    <t>Real Betis Balompié; real madrid cf; sports stream</t>
  </si>
  <si>
    <t>Nonton streaming pertandingan seru Real Betis vs Real Madrid - LaLiga. Saksikan aksi-aksi terbaik dari tim yang bersaing ketat untuk meraih kemenangan. Dapatkan informasi lengkap mengenai jadwal pertandingan dan hasil pertandingan terbaru hanya di Vidio.</t>
  </si>
  <si>
    <t>84543869</t>
  </si>
  <si>
    <t>Espanyol vs Levante - LaLiga</t>
  </si>
  <si>
    <t>Reial Club Deportiu Espanyol; levante UD; sports stream</t>
  </si>
  <si>
    <t>Nonton streaming pertandingan seru Espanyol vs Levante - LaLiga. Saksikan aksi-aksi terbaik dari tim yang bersaing ketat untuk meraih kemenangan. Dapatkan informasi lengkap mengenai jadwal pertandingan dan hasil pertandingan terbaru hanya di Vidio.</t>
  </si>
  <si>
    <t>b9585cd1</t>
  </si>
  <si>
    <t>Villarreal vs Celta Vigo - LaLiga</t>
  </si>
  <si>
    <t>villarreal cf; real club celta de vigo; sports stream</t>
  </si>
  <si>
    <t>Nonton streaming pertandingan seru Villarreal vs Celta Vigo - LaLiga. Saksikan aksi-aksi terbaik dari tim yang bersaing ketat untuk meraih kemenangan. Dapatkan informasi lengkap mengenai jadwal pertandingan dan hasil pertandingan terbaru hanya di Vidio.</t>
  </si>
  <si>
    <t>5500b41e</t>
  </si>
  <si>
    <t>Barcelona vs Celta Vigo - LaLiga</t>
  </si>
  <si>
    <t>fc barcelona; real club celta de vigo; sports stream</t>
  </si>
  <si>
    <t>Nonton streaming pertandingan seru Barcelona vs Celta Vigo - LaLiga. Saksikan aksi-aksi terbaik dari tim yang bersaing ketat untuk meraih kemenangan. Dapatkan informasi lengkap mengenai jadwal pertandingan dan hasil pertandingan terbaru hanya di Vidio.</t>
  </si>
  <si>
    <t>b5949a84</t>
  </si>
  <si>
    <t>Athletic Club vs Osasuna - LaLiga</t>
  </si>
  <si>
    <t>athletic club bilbao; ca osasuna; sports stream</t>
  </si>
  <si>
    <t>Nonton streaming pertandingan seru Athletic Club vs Osasuna - LaLiga. Saksikan aksi-aksi terbaik dari tim yang bersaing ketat untuk meraih kemenangan. Dapatkan informasi lengkap mengenai jadwal pertandingan dan hasil pertandingan terbaru hanya di Vidio.</t>
  </si>
  <si>
    <t>b76fa5e4</t>
  </si>
  <si>
    <t>Real Madrid vs Alaves - LaLiga</t>
  </si>
  <si>
    <t>real madrid cf; deportivo alaves; sports stream</t>
  </si>
  <si>
    <t>Nonton streaming pertandingan seru Real Madrid vs Alaves - LaLiga. Saksikan aksi-aksi terbaik dari tim yang bersaing ketat untuk meraih kemenangan. Dapatkan informasi lengkap mengenai jadwal pertandingan dan hasil pertandingan terbaru hanya di Vidio.</t>
  </si>
  <si>
    <t>91adafb4</t>
  </si>
  <si>
    <t>Elche vs Atletico Madrid - LaLiga</t>
  </si>
  <si>
    <t>elche cf; Club Atlético de Madrid; sports stream</t>
  </si>
  <si>
    <t>Nonton streaming pertandingan seru Elche vs Atletico Madrid - LaLiga. Saksikan aksi-aksi terbaik dari tim yang bersaing ketat untuk meraih kemenangan. Dapatkan informasi lengkap mengenai jadwal pertandingan dan hasil pertandingan terbaru hanya di Vidio.</t>
  </si>
  <si>
    <t>4e137fd7</t>
  </si>
  <si>
    <t>Rayo Vallecano vs Espanyol - LaLiga</t>
  </si>
  <si>
    <t>rayo vallecano; Reial Club Deportiu Espanyol; sports stream</t>
  </si>
  <si>
    <t>Nonton streaming pertandingan seru Rayo Vallecano vs Espanyol - LaLiga. Saksikan aksi-aksi terbaik dari tim yang bersaing ketat untuk meraih kemenangan. Dapatkan informasi lengkap mengenai jadwal pertandingan dan hasil pertandingan terbaru hanya di Vidio.</t>
  </si>
  <si>
    <t>275b0df9</t>
  </si>
  <si>
    <t>Mallorca vs Valencia - LaLiga</t>
  </si>
  <si>
    <t>real club deportivo mallorca; valencia cf; sports stream</t>
  </si>
  <si>
    <t>Nonton streaming pertandingan seru Mallorca vs Valencia - LaLiga. Saksikan aksi-aksi terbaik dari tim yang bersaing ketat untuk meraih kemenangan. Dapatkan informasi lengkap mengenai jadwal pertandingan dan hasil pertandingan terbaru hanya di Vidio.</t>
  </si>
  <si>
    <t>9befbe88</t>
  </si>
  <si>
    <t>Levante vs Sevilla - LaLiga</t>
  </si>
  <si>
    <t>levante UD; sevilla fc; sports stream</t>
  </si>
  <si>
    <t>Nonton streaming pertandingan seru Levante vs Sevilla - LaLiga. Saksikan aksi-aksi terbaik dari tim yang bersaing ketat untuk meraih kemenangan. Dapatkan informasi lengkap mengenai jadwal pertandingan dan hasil pertandingan terbaru hanya di Vidio.</t>
  </si>
  <si>
    <t>e8cb8523</t>
  </si>
  <si>
    <t>Oviedo vs Villarreal - LaLiga</t>
  </si>
  <si>
    <t>Real Oviedo; villarreal cf; sports stream</t>
  </si>
  <si>
    <t>Nonton streaming pertandingan seru Oviedo vs Villarreal - LaLiga. Saksikan aksi-aksi terbaik dari tim yang bersaing ketat untuk meraih kemenangan. Dapatkan informasi lengkap mengenai jadwal pertandingan dan hasil pertandingan terbaru hanya di Vidio.</t>
  </si>
  <si>
    <t>cb7036cf</t>
  </si>
  <si>
    <t>Girona vs Real Betis - LaLiga</t>
  </si>
  <si>
    <t>girona fc; Real Betis Balompié; sports stream</t>
  </si>
  <si>
    <t>Nonton streaming pertandingan seru Girona vs Real Betis - LaLiga. Saksikan aksi-aksi terbaik dari tim yang bersaing ketat untuk meraih kemenangan. Dapatkan informasi lengkap mengenai jadwal pertandingan dan hasil pertandingan terbaru hanya di Vidio.</t>
  </si>
  <si>
    <t>c907dea5</t>
  </si>
  <si>
    <t>Real Sociedad vs Getafe - LaLiga</t>
  </si>
  <si>
    <t>Real Sociedad de Fútbol; getafe cf; sports stream</t>
  </si>
  <si>
    <t>Nonton streaming pertandingan seru Real Sociedad vs Getafe - LaLiga. Saksikan aksi-aksi terbaik dari tim yang bersaing ketat untuk meraih kemenangan. Dapatkan informasi lengkap mengenai jadwal pertandingan dan hasil pertandingan terbaru hanya di Vidio.</t>
  </si>
  <si>
    <t>b9797637</t>
  </si>
  <si>
    <t>Celta Vigo vs Elche - LaLiga</t>
  </si>
  <si>
    <t>real club celta de vigo; elche cf; sports stream</t>
  </si>
  <si>
    <t>Nonton streaming pertandingan seru Celta Vigo vs Elche - LaLiga. Saksikan aksi-aksi terbaik dari tim yang bersaing ketat untuk meraih kemenangan. Dapatkan informasi lengkap mengenai jadwal pertandingan dan hasil pertandingan terbaru hanya di Vidio.</t>
  </si>
  <si>
    <t>f0ac52da</t>
  </si>
  <si>
    <t>Real Betis vs Oviedo - LaLiga</t>
  </si>
  <si>
    <t>Real Betis Balompié; Real Oviedo; sports stream</t>
  </si>
  <si>
    <t>Nonton streaming pertandingan seru Real Betis vs Oviedo - LaLiga. Saksikan aksi-aksi terbaik dari tim yang bersaing ketat untuk meraih kemenangan. Dapatkan informasi lengkap mengenai jadwal pertandingan dan hasil pertandingan terbaru hanya di Vidio.</t>
  </si>
  <si>
    <t>8a6187d6</t>
  </si>
  <si>
    <t>Getafe vs Rayo Vallecano - LaLiga</t>
  </si>
  <si>
    <t>getafe cf; rayo vallecano; sports stream</t>
  </si>
  <si>
    <t>Nonton streaming pertandingan seru Getafe vs Rayo Vallecano - LaLiga. Saksikan aksi-aksi terbaik dari tim yang bersaing ketat untuk meraih kemenangan. Dapatkan informasi lengkap mengenai jadwal pertandingan dan hasil pertandingan terbaru hanya di Vidio.</t>
  </si>
  <si>
    <t>0ec87b7c</t>
  </si>
  <si>
    <t>Girona vs Mallorca - LaLiga</t>
  </si>
  <si>
    <t>girona fc; real club deportivo mallorca; sports stream</t>
  </si>
  <si>
    <t>Nonton streaming pertandingan seru Girona vs Mallorca - LaLiga. Saksikan aksi-aksi terbaik dari tim yang bersaing ketat untuk meraih kemenangan. Dapatkan informasi lengkap mengenai jadwal pertandingan dan hasil pertandingan terbaru hanya di Vidio.</t>
  </si>
  <si>
    <t>d3cea9bb</t>
  </si>
  <si>
    <t>Espanyol vs Real Madrid - LaLiga</t>
  </si>
  <si>
    <t>Reial Club Deportiu Espanyol; real madrid cf; sports stream</t>
  </si>
  <si>
    <t>Nonton streaming pertandingan seru Espanyol vs Real Madrid - LaLiga. Saksikan aksi-aksi terbaik dari tim yang bersaing ketat untuk meraih kemenangan. Dapatkan informasi lengkap mengenai jadwal pertandingan dan hasil pertandingan terbaru hanya di Vidio.</t>
  </si>
  <si>
    <t>bdb4cd93</t>
  </si>
  <si>
    <t>Osasuna vs Barcelona - LaLiga</t>
  </si>
  <si>
    <t>ca osasuna; fc barcelona; sports stream</t>
  </si>
  <si>
    <t>Nonton streaming pertandingan seru Osasuna vs Barcelona - LaLiga. Saksikan aksi-aksi terbaik dari tim yang bersaing ketat untuk meraih kemenangan. Dapatkan informasi lengkap mengenai jadwal pertandingan dan hasil pertandingan terbaru hanya di Vidio.</t>
  </si>
  <si>
    <t>b8eac0cb</t>
  </si>
  <si>
    <t>Villarreal vs Levante - LaLiga</t>
  </si>
  <si>
    <t>villarreal cf; levante UD; sports stream</t>
  </si>
  <si>
    <t>Nonton streaming pertandingan seru Villarreal vs Levante - LaLiga. Saksikan aksi-aksi terbaik dari tim yang bersaing ketat untuk meraih kemenangan. Dapatkan informasi lengkap mengenai jadwal pertandingan dan hasil pertandingan terbaru hanya di Vidio.</t>
  </si>
  <si>
    <t>5f03b4c9</t>
  </si>
  <si>
    <t>Alaves vs Athletic Club - LaLiga</t>
  </si>
  <si>
    <t>deportivo alaves; athletic club bilbao; sports stream</t>
  </si>
  <si>
    <t>Nonton streaming pertandingan seru Alaves vs Athletic Club - LaLiga. Saksikan aksi-aksi terbaik dari tim yang bersaing ketat untuk meraih kemenangan. Dapatkan informasi lengkap mengenai jadwal pertandingan dan hasil pertandingan terbaru hanya di Vidio.</t>
  </si>
  <si>
    <t>23cbb30f</t>
  </si>
  <si>
    <t>Sevilla vs Real Sociedad - LaLiga</t>
  </si>
  <si>
    <t>sevilla fc; Real Sociedad de Fútbol; sports stream</t>
  </si>
  <si>
    <t>Nonton streaming pertandingan seru Sevilla vs Real Sociedad - LaLiga. Saksikan aksi-aksi terbaik dari tim yang bersaing ketat untuk meraih kemenangan. Dapatkan informasi lengkap mengenai jadwal pertandingan dan hasil pertandingan terbaru hanya di Vidio.</t>
  </si>
  <si>
    <t>485d1851</t>
  </si>
  <si>
    <t>Valencia vs Atletico Madrid - LaLiga</t>
  </si>
  <si>
    <t>valencia cf; Club Atlético de Madrid; sports stream</t>
  </si>
  <si>
    <t>Nonton streaming pertandingan seru Valencia vs Atletico Madrid - LaLiga. Saksikan aksi-aksi terbaik dari tim yang bersaing ketat untuk meraih kemenangan. Dapatkan informasi lengkap mengenai jadwal pertandingan dan hasil pertandingan terbaru hanya di Vidio.</t>
  </si>
  <si>
    <t>1f718aaa</t>
  </si>
  <si>
    <t>Atletico Madrid vs Celta Vigo - LaLiga</t>
  </si>
  <si>
    <t>Club Atlético de Madrid; real club celta de vigo; sports stream</t>
  </si>
  <si>
    <t>Nonton streaming pertandingan seru Atletico Madrid vs Celta Vigo - LaLiga. Saksikan aksi-aksi terbaik dari tim yang bersaing ketat untuk meraih kemenangan. Dapatkan informasi lengkap mengenai jadwal pertandingan dan hasil pertandingan terbaru hanya di Vidio.</t>
  </si>
  <si>
    <t>3a9c2f38</t>
  </si>
  <si>
    <t>Sevilla vs Espanyol - LaLiga</t>
  </si>
  <si>
    <t>sevilla fc; Reial Club Deportiu Espanyol; sports stream</t>
  </si>
  <si>
    <t>Nonton streaming pertandingan seru Sevilla vs Espanyol - LaLiga. Saksikan aksi-aksi terbaik dari tim yang bersaing ketat untuk meraih kemenangan. Dapatkan informasi lengkap mengenai jadwal pertandingan dan hasil pertandingan terbaru hanya di Vidio.</t>
  </si>
  <si>
    <t>09c5fce0</t>
  </si>
  <si>
    <t>Rayo Vallecano vs Girona - LaLiga</t>
  </si>
  <si>
    <t>rayo vallecano; girona fc; sports stream</t>
  </si>
  <si>
    <t>Nonton streaming pertandingan seru Rayo Vallecano vs Girona - LaLiga. Saksikan aksi-aksi terbaik dari tim yang bersaing ketat untuk meraih kemenangan. Dapatkan informasi lengkap mengenai jadwal pertandingan dan hasil pertandingan terbaru hanya di Vidio.</t>
  </si>
  <si>
    <t>a0fff5aa</t>
  </si>
  <si>
    <t>Barcelona vs Real Madrid - LaLiga</t>
  </si>
  <si>
    <t>fc barcelona; real madrid cf; sports stream</t>
  </si>
  <si>
    <t>Nonton streaming pertandingan seru Barcelona vs Real Madrid - LaLiga. Saksikan aksi-aksi terbaik dari tim yang bersaing ketat untuk meraih kemenangan. Dapatkan informasi lengkap mengenai jadwal pertandingan dan hasil pertandingan terbaru hanya di Vidio.</t>
  </si>
  <si>
    <t>6b97d900</t>
  </si>
  <si>
    <t>Oviedo vs Getafe - LaLiga</t>
  </si>
  <si>
    <t>Real Oviedo; getafe cf; sports stream</t>
  </si>
  <si>
    <t>Nonton streaming pertandingan seru Oviedo vs Getafe - LaLiga. Saksikan aksi-aksi terbaik dari tim yang bersaing ketat untuk meraih kemenangan. Dapatkan informasi lengkap mengenai jadwal pertandingan dan hasil pertandingan terbaru hanya di Vidio.</t>
  </si>
  <si>
    <t>2017d115</t>
  </si>
  <si>
    <t>Real Sociedad vs Real Betis - LaLiga</t>
  </si>
  <si>
    <t>Real Sociedad de Fútbol; Real Betis Balompié; sports stream</t>
  </si>
  <si>
    <t>Nonton streaming pertandingan seru Real Sociedad vs Real Betis - LaLiga. Saksikan aksi-aksi terbaik dari tim yang bersaing ketat untuk meraih kemenangan. Dapatkan informasi lengkap mengenai jadwal pertandingan dan hasil pertandingan terbaru hanya di Vidio.</t>
  </si>
  <si>
    <t>f1df6e52</t>
  </si>
  <si>
    <t>Mallorca vs Villarreal - LaLiga</t>
  </si>
  <si>
    <t>real club deportivo mallorca; villarreal cf; sports stream</t>
  </si>
  <si>
    <t>Nonton streaming pertandingan seru Mallorca vs Villarreal - LaLiga. Saksikan aksi-aksi terbaik dari tim yang bersaing ketat untuk meraih kemenangan. Dapatkan informasi lengkap mengenai jadwal pertandingan dan hasil pertandingan terbaru hanya di Vidio.</t>
  </si>
  <si>
    <t>d8ee03da</t>
  </si>
  <si>
    <t>Levante vs Osasuna - LaLiga</t>
  </si>
  <si>
    <t>levante UD; ca osasuna; sports stream</t>
  </si>
  <si>
    <t>Nonton streaming pertandingan seru Levante vs Osasuna - LaLiga. Saksikan aksi-aksi terbaik dari tim yang bersaing ketat untuk meraih kemenangan. Dapatkan informasi lengkap mengenai jadwal pertandingan dan hasil pertandingan terbaru hanya di Vidio.</t>
  </si>
  <si>
    <t>c1b7f203</t>
  </si>
  <si>
    <t>Elche vs Alaves - LaLiga</t>
  </si>
  <si>
    <t>elche cf; deportivo alaves; sports stream</t>
  </si>
  <si>
    <t>Nonton streaming pertandingan seru Elche vs Alaves - LaLiga. Saksikan aksi-aksi terbaik dari tim yang bersaing ketat untuk meraih kemenangan. Dapatkan informasi lengkap mengenai jadwal pertandingan dan hasil pertandingan terbaru hanya di Vidio.</t>
  </si>
  <si>
    <t>2fae0b68</t>
  </si>
  <si>
    <t>Athletic Club vs Valencia - LaLiga</t>
  </si>
  <si>
    <t>athletic club bilbao; valencia cf; sports stream</t>
  </si>
  <si>
    <t>Nonton streaming pertandingan seru Athletic Club vs Valencia - LaLiga. Saksikan aksi-aksi terbaik dari tim yang bersaing ketat untuk meraih kemenangan. Dapatkan informasi lengkap mengenai jadwal pertandingan dan hasil pertandingan terbaru hanya di Vidio.</t>
  </si>
  <si>
    <t>ab52c7be</t>
  </si>
  <si>
    <t>Celta Vigo vs Levante - LaLiga</t>
  </si>
  <si>
    <t>real club celta de vigo; levante UD; sports stream</t>
  </si>
  <si>
    <t>Nonton streaming pertandingan seru Celta Vigo vs Levante - LaLiga. Saksikan aksi-aksi terbaik dari tim yang bersaing ketat untuk meraih kemenangan. Dapatkan informasi lengkap mengenai jadwal pertandingan dan hasil pertandingan terbaru hanya di Vidio.</t>
  </si>
  <si>
    <t>e5764341</t>
  </si>
  <si>
    <t>Real Betis vs Elche - LaLiga</t>
  </si>
  <si>
    <t>Real Betis Balompié; elche cf; sports stream</t>
  </si>
  <si>
    <t>Nonton streaming pertandingan seru Real Betis vs Elche - LaLiga. Saksikan aksi-aksi terbaik dari tim yang bersaing ketat untuk meraih kemenangan. Dapatkan informasi lengkap mengenai jadwal pertandingan dan hasil pertandingan terbaru hanya di Vidio.</t>
  </si>
  <si>
    <t>4b11bd24</t>
  </si>
  <si>
    <t>Osasuna vs Atletico Madrid - LaLiga</t>
  </si>
  <si>
    <t>ca osasuna; Club Atlético de Madrid; sports stream</t>
  </si>
  <si>
    <t>Nonton streaming pertandingan seru Osasuna vs Atletico Madrid - LaLiga. Saksikan aksi-aksi terbaik dari tim yang bersaing ketat untuk meraih kemenangan. Dapatkan informasi lengkap mengenai jadwal pertandingan dan hasil pertandingan terbaru hanya di Vidio.</t>
  </si>
  <si>
    <t>58104716</t>
  </si>
  <si>
    <t>Valencia vs Rayo Vallecano - LaLiga</t>
  </si>
  <si>
    <t>valencia cf; rayo vallecano; sports stream</t>
  </si>
  <si>
    <t>Nonton streaming pertandingan seru Valencia vs Rayo Vallecano - LaLiga. Saksikan aksi-aksi terbaik dari tim yang bersaing ketat untuk meraih kemenangan. Dapatkan informasi lengkap mengenai jadwal pertandingan dan hasil pertandingan terbaru hanya di Vidio.</t>
  </si>
  <si>
    <t>6ba14ab5</t>
  </si>
  <si>
    <t>Villarreal vs Sevilla - LaLiga</t>
  </si>
  <si>
    <t>villarreal cf; sevilla fc; sports stream</t>
  </si>
  <si>
    <t>Nonton streaming pertandingan seru Villarreal vs Sevilla - LaLiga. Saksikan aksi-aksi terbaik dari tim yang bersaing ketat untuk meraih kemenangan. Dapatkan informasi lengkap mengenai jadwal pertandingan dan hasil pertandingan terbaru hanya di Vidio.</t>
  </si>
  <si>
    <t>f27c3779</t>
  </si>
  <si>
    <t>Real Madrid vs Oviedo - LaLiga</t>
  </si>
  <si>
    <t>real madrid cf; Real Oviedo; sports stream</t>
  </si>
  <si>
    <t>Nonton streaming pertandingan seru Real Madrid vs Oviedo - LaLiga. Saksikan aksi-aksi terbaik dari tim yang bersaing ketat untuk meraih kemenangan. Dapatkan informasi lengkap mengenai jadwal pertandingan dan hasil pertandingan terbaru hanya di Vidio.</t>
  </si>
  <si>
    <t>93ee43ee</t>
  </si>
  <si>
    <t>Alaves vs Barcelona - LaLiga</t>
  </si>
  <si>
    <t>deportivo alaves; fc barcelona; sports stream</t>
  </si>
  <si>
    <t>Nonton streaming pertandingan seru Alaves vs Barcelona - LaLiga. Saksikan aksi-aksi terbaik dari tim yang bersaing ketat untuk meraih kemenangan. Dapatkan informasi lengkap mengenai jadwal pertandingan dan hasil pertandingan terbaru hanya di Vidio.</t>
  </si>
  <si>
    <t>bc665b9c</t>
  </si>
  <si>
    <t>Getafe vs Mallorca - LaLiga</t>
  </si>
  <si>
    <t>getafe cf; real club deportivo mallorca; sports stream</t>
  </si>
  <si>
    <t>Nonton streaming pertandingan seru Getafe vs Mallorca - LaLiga. Saksikan aksi-aksi terbaik dari tim yang bersaing ketat untuk meraih kemenangan. Dapatkan informasi lengkap mengenai jadwal pertandingan dan hasil pertandingan terbaru hanya di Vidio.</t>
  </si>
  <si>
    <t>69c8c5e5</t>
  </si>
  <si>
    <t>Girona vs Real Sociedad - LaLiga</t>
  </si>
  <si>
    <t>girona fc; Real Sociedad de Fútbol; sports stream</t>
  </si>
  <si>
    <t>Nonton streaming pertandingan seru Girona vs Real Sociedad - LaLiga. Saksikan aksi-aksi terbaik dari tim yang bersaing ketat untuk meraih kemenangan. Dapatkan informasi lengkap mengenai jadwal pertandingan dan hasil pertandingan terbaru hanya di Vidio.</t>
  </si>
  <si>
    <t>81de6e3c</t>
  </si>
  <si>
    <t>Espanyol vs Athletic Club - LaLiga</t>
  </si>
  <si>
    <t>Reial Club Deportiu Espanyol; athletic club bilbao; sports stream</t>
  </si>
  <si>
    <t>Nonton streaming pertandingan seru Espanyol vs Athletic Club - LaLiga. Saksikan aksi-aksi terbaik dari tim yang bersaing ketat untuk meraih kemenangan. Dapatkan informasi lengkap mengenai jadwal pertandingan dan hasil pertandingan terbaru hanya di Vidio.</t>
  </si>
  <si>
    <t>234c9dda</t>
  </si>
  <si>
    <t>Elche vs Getafe - LaLiga</t>
  </si>
  <si>
    <t>elche cf; getafe cf; sports stream</t>
  </si>
  <si>
    <t>Nonton streaming pertandingan seru Elche vs Getafe - LaLiga. Saksikan aksi-aksi terbaik dari tim yang bersaing ketat untuk meraih kemenangan. Dapatkan informasi lengkap mengenai jadwal pertandingan dan hasil pertandingan terbaru hanya di Vidio.</t>
  </si>
  <si>
    <t>eed932cc</t>
  </si>
  <si>
    <t>Osasuna vs Espanyol - LaLiga</t>
  </si>
  <si>
    <t>ca osasuna; Reial Club Deportiu Espanyol; sports stream</t>
  </si>
  <si>
    <t>Nonton streaming pertandingan seru Osasuna vs Espanyol - LaLiga. Saksikan aksi-aksi terbaik dari tim yang bersaing ketat untuk meraih kemenangan. Dapatkan informasi lengkap mengenai jadwal pertandingan dan hasil pertandingan terbaru hanya di Vidio.</t>
  </si>
  <si>
    <t>aede3183</t>
  </si>
  <si>
    <t>Athletic Club vs Celta Vigo - LaLiga</t>
  </si>
  <si>
    <t>athletic club bilbao; real club celta de vigo; sports stream</t>
  </si>
  <si>
    <t>Nonton streaming pertandingan seru Athletic Club vs Celta Vigo - LaLiga. Saksikan aksi-aksi terbaik dari tim yang bersaing ketat untuk meraih kemenangan. Dapatkan informasi lengkap mengenai jadwal pertandingan dan hasil pertandingan terbaru hanya di Vidio.</t>
  </si>
  <si>
    <t>84ab929c</t>
  </si>
  <si>
    <t>Barcelona vs Real Betis - LaLiga</t>
  </si>
  <si>
    <t>fc barcelona; Real Betis Balompié; sports stream</t>
  </si>
  <si>
    <t>Nonton streaming pertandingan seru Barcelona vs Real Betis - LaLiga. Saksikan aksi-aksi terbaik dari tim yang bersaing ketat untuk meraih kemenangan. Dapatkan informasi lengkap mengenai jadwal pertandingan dan hasil pertandingan terbaru hanya di Vidio.</t>
  </si>
  <si>
    <t>fb4210c6</t>
  </si>
  <si>
    <t>Rayo Vallecano vs Villarreal - LaLiga</t>
  </si>
  <si>
    <t>rayo vallecano; villarreal cf; sports stream</t>
  </si>
  <si>
    <t>Nonton streaming pertandingan seru Rayo Vallecano vs Villarreal - LaLiga. Saksikan aksi-aksi terbaik dari tim yang bersaing ketat untuk meraih kemenangan. Dapatkan informasi lengkap mengenai jadwal pertandingan dan hasil pertandingan terbaru hanya di Vidio.</t>
  </si>
  <si>
    <t>ca78b897</t>
  </si>
  <si>
    <t>Levante vs Mallorca - LaLiga</t>
  </si>
  <si>
    <t>levante UD; real club deportivo mallorca; sports stream</t>
  </si>
  <si>
    <t>Nonton streaming pertandingan seru Levante vs Mallorca - LaLiga. Saksikan aksi-aksi terbaik dari tim yang bersaing ketat untuk meraih kemenangan. Dapatkan informasi lengkap mengenai jadwal pertandingan dan hasil pertandingan terbaru hanya di Vidio.</t>
  </si>
  <si>
    <t>fd340a96</t>
  </si>
  <si>
    <t>Oviedo vs Alaves - LaLiga</t>
  </si>
  <si>
    <t>Real Oviedo; deportivo alaves; sports stream</t>
  </si>
  <si>
    <t>Nonton streaming pertandingan seru Oviedo vs Alaves - LaLiga. Saksikan aksi-aksi terbaik dari tim yang bersaing ketat untuk meraih kemenangan. Dapatkan informasi lengkap mengenai jadwal pertandingan dan hasil pertandingan terbaru hanya di Vidio.</t>
  </si>
  <si>
    <t>473565d1</t>
  </si>
  <si>
    <t>Atletico Madrid vs Girona - LaLiga</t>
  </si>
  <si>
    <t>Club Atlético de Madrid; girona fc; sports stream</t>
  </si>
  <si>
    <t>Nonton streaming pertandingan seru Atletico Madrid vs Girona - LaLiga. Saksikan aksi-aksi terbaik dari tim yang bersaing ketat untuk meraih kemenangan. Dapatkan informasi lengkap mengenai jadwal pertandingan dan hasil pertandingan terbaru hanya di Vidio.</t>
  </si>
  <si>
    <t>9f58dcca</t>
  </si>
  <si>
    <t>Sevilla vs Real Madrid - LaLiga</t>
  </si>
  <si>
    <t>sevilla fc; real madrid cf; sports stream</t>
  </si>
  <si>
    <t>Nonton streaming pertandingan seru Sevilla vs Real Madrid - LaLiga. Saksikan aksi-aksi terbaik dari tim yang bersaing ketat untuk meraih kemenangan. Dapatkan informasi lengkap mengenai jadwal pertandingan dan hasil pertandingan terbaru hanya di Vidio.</t>
  </si>
  <si>
    <t>e7a5dc37</t>
  </si>
  <si>
    <t>Real Sociedad vs Valencia - LaLiga</t>
  </si>
  <si>
    <t>Real Sociedad de Fútbol; valencia cf; sports stream</t>
  </si>
  <si>
    <t>Nonton streaming pertandingan seru Real Sociedad vs Valencia - LaLiga. Saksikan aksi-aksi terbaik dari tim yang bersaing ketat untuk meraih kemenangan. Dapatkan informasi lengkap mengenai jadwal pertandingan dan hasil pertandingan terbaru hanya di Vidio.</t>
  </si>
  <si>
    <t>55004e8c</t>
  </si>
  <si>
    <t>Villarreal vs Atletico Madrid - LaLiga</t>
  </si>
  <si>
    <t>villarreal cf; Club Atlético de Madrid; sports stream</t>
  </si>
  <si>
    <t>Nonton streaming pertandingan seru Villarreal vs Atletico Madrid - LaLiga. Saksikan aksi-aksi terbaik dari tim yang bersaing ketat untuk meraih kemenangan. Dapatkan informasi lengkap mengenai jadwal pertandingan dan hasil pertandingan terbaru hanya di Vidio.</t>
  </si>
  <si>
    <t>4420811b</t>
  </si>
  <si>
    <t>Valencia vs Barcelona - LaLiga</t>
  </si>
  <si>
    <t>valencia cf; fc barcelona; sports stream</t>
  </si>
  <si>
    <t>Nonton streaming pertandingan seru Valencia vs Barcelona - LaLiga. Saksikan aksi-aksi terbaik dari tim yang bersaing ketat untuk meraih kemenangan. Dapatkan informasi lengkap mengenai jadwal pertandingan dan hasil pertandingan terbaru hanya di Vidio.</t>
  </si>
  <si>
    <t>e41c4178</t>
  </si>
  <si>
    <t>Real Betis vs Levante - LaLiga</t>
  </si>
  <si>
    <t>Real Betis Balompié; levante UD; sports stream</t>
  </si>
  <si>
    <t>Nonton streaming pertandingan seru Real Betis vs Levante - LaLiga. Saksikan aksi-aksi terbaik dari tim yang bersaing ketat untuk meraih kemenangan. Dapatkan informasi lengkap mengenai jadwal pertandingan dan hasil pertandingan terbaru hanya di Vidio.</t>
  </si>
  <si>
    <t>95459698</t>
  </si>
  <si>
    <t>Getafe vs Osasuna - LaLiga</t>
  </si>
  <si>
    <t>getafe cf; ca osasuna; sports stream</t>
  </si>
  <si>
    <t>Nonton streaming pertandingan seru Getafe vs Osasuna - LaLiga. Saksikan aksi-aksi terbaik dari tim yang bersaing ketat untuk meraih kemenangan. Dapatkan informasi lengkap mengenai jadwal pertandingan dan hasil pertandingan terbaru hanya di Vidio.</t>
  </si>
  <si>
    <t>c9bcc1b5</t>
  </si>
  <si>
    <t>Mallorca vs Oviedo - LaLiga</t>
  </si>
  <si>
    <t>real club deportivo mallorca; Real Oviedo; sports stream</t>
  </si>
  <si>
    <t>Nonton streaming pertandingan seru Mallorca vs Oviedo - LaLiga. Saksikan aksi-aksi terbaik dari tim yang bersaing ketat untuk meraih kemenangan. Dapatkan informasi lengkap mengenai jadwal pertandingan dan hasil pertandingan terbaru hanya di Vidio.</t>
  </si>
  <si>
    <t>9b7bbe8a</t>
  </si>
  <si>
    <t>Alaves vs Rayo Vallecano - LaLiga</t>
  </si>
  <si>
    <t>deportivo alaves; rayo vallecano; sports stream</t>
  </si>
  <si>
    <t>Nonton streaming pertandingan seru Alaves vs Rayo Vallecano - LaLiga. Saksikan aksi-aksi terbaik dari tim yang bersaing ketat untuk meraih kemenangan. Dapatkan informasi lengkap mengenai jadwal pertandingan dan hasil pertandingan terbaru hanya di Vidio.</t>
  </si>
  <si>
    <t>530eb29d</t>
  </si>
  <si>
    <t>Real Madrid vs Athletic Club - LaLiga</t>
  </si>
  <si>
    <t>real madrid cf; athletic club bilbao; sports stream</t>
  </si>
  <si>
    <t>Nonton streaming pertandingan seru Real Madrid vs Athletic Club - LaLiga. Saksikan aksi-aksi terbaik dari tim yang bersaing ketat untuk meraih kemenangan. Dapatkan informasi lengkap mengenai jadwal pertandingan dan hasil pertandingan terbaru hanya di Vidio.</t>
  </si>
  <si>
    <t>3a59f4b2</t>
  </si>
  <si>
    <t>Celta Vigo vs Sevilla - LaLiga</t>
  </si>
  <si>
    <t>real club celta de vigo; sevilla fc; sports stream</t>
  </si>
  <si>
    <t>Nonton streaming pertandingan seru Celta Vigo vs Sevilla - LaLiga. Saksikan aksi-aksi terbaik dari tim yang bersaing ketat untuk meraih kemenangan. Dapatkan informasi lengkap mengenai jadwal pertandingan dan hasil pertandingan terbaru hanya di Vidio.</t>
  </si>
  <si>
    <t>5ee947fb</t>
  </si>
  <si>
    <t>Girona vs Elche - LaLiga</t>
  </si>
  <si>
    <t>girona fc; elche cf; sports stream</t>
  </si>
  <si>
    <t>Nonton streaming pertandingan seru Girona vs Elche - LaLiga. Saksikan aksi-aksi terbaik dari tim yang bersaing ketat untuk meraih kemenangan. Dapatkan informasi lengkap mengenai jadwal pertandingan dan hasil pertandingan terbaru hanya di Vidio.</t>
  </si>
  <si>
    <t>1b92edce</t>
  </si>
  <si>
    <t>Espanyol vs Real Sociedad - LaLiga</t>
  </si>
  <si>
    <t>Reial Club Deportiu Espanyol; Real Sociedad de Fútbol; sports stream</t>
  </si>
  <si>
    <t>Nonton streaming pertandingan seru Espanyol vs Real Sociedad - LaLiga. Saksikan aksi-aksi terbaik dari tim yang bersaing ketat untuk meraih kemenangan. Dapatkan informasi lengkap mengenai jadwal pertandingan dan hasil pertandingan terbaru hanya di Vidio.</t>
  </si>
  <si>
    <t>72b7136f</t>
  </si>
  <si>
    <t>Birmingham vs Ipswich - EFL Championship</t>
  </si>
  <si>
    <t>EFL Championship 2025/26</t>
  </si>
  <si>
    <t>https://www.vidio.com/live/6686-champions-tv-2?schedule_id=4486105</t>
  </si>
  <si>
    <t>https://drive.google.com/drive/folders/1beFRlePMrZeY9yzuExbBj9uzQOFRb8d-?usp=drive_link</t>
  </si>
  <si>
    <t>https://drive.google.com/drive/folders/100yjPEJa5ZAFNVpzru5smfSnu9DrVol5?usp=drive_link</t>
  </si>
  <si>
    <t>https://drive.google.com/drive/folders/1fiW3DeI1wXBuSFXbzAQLkii9N7cb44_V?usp=drive_link</t>
  </si>
  <si>
    <t>Birmingham City FC</t>
  </si>
  <si>
    <t>Ipswich Town FC</t>
  </si>
  <si>
    <t>Sports &gt; Football &gt; EFL Championship</t>
  </si>
  <si>
    <t>EFL Championship; EFL Championship 2025/26</t>
  </si>
  <si>
    <t>birmingham city fc; ipswich town fc; sports stream</t>
  </si>
  <si>
    <t>Nonton streaming pertandingan seru Birmingham vs Ipswich - EFL Championship. Saksikan aksi-aksi terbaik dari tim yang bersaing ketat untuk meraih kemenangan. Dapatkan informasi lengkap mengenai jadwal pertandingan dan hasil pertandingan terbaru hanya di Vidio.</t>
  </si>
  <si>
    <t>Birmingham: Kyogo Furuhashi
Ipswich: Elkan Baggott</t>
  </si>
  <si>
    <t>https://drive.google.com/file/d/1ctrCTKdPVyT2xQugIKoZtZ3GDV8Ce468/view?usp=sharing</t>
  </si>
  <si>
    <t>https://drive.google.com/file/d/1wmOzMy5Gus1cQy5JoJ3bbGyaFyVNEcu6/view?usp=drive_link</t>
  </si>
  <si>
    <t>https://drive.google.com/file/d/1omwZllO7PU-0fETYNLXsV74kkxeP1ZrE/view?usp=sharing</t>
  </si>
  <si>
    <t>c20d84d9</t>
  </si>
  <si>
    <t>Southampton vs Wrexham - EFL Championship</t>
  </si>
  <si>
    <t>https://www.vidio.com/live/6685-champions-tv-1?schedule_id=4486106</t>
  </si>
  <si>
    <t>https://drive.google.com/drive/folders/1nP0FUosps6qb7218-u0O1kLbVdbI4yB3?usp=drive_link</t>
  </si>
  <si>
    <t>Southampton</t>
  </si>
  <si>
    <t>Wrexham FC</t>
  </si>
  <si>
    <t>southampton fc; wrexham fc; sports stream</t>
  </si>
  <si>
    <t>Nonton streaming pertandingan seru Southampton vs Wrexham - EFL Championship. Saksikan aksi-aksi terbaik dari tim yang bersaing ketat untuk meraih kemenangan. Dapatkan informasi lengkap mengenai jadwal pertandingan dan hasil pertandingan terbaru hanya di Vidio.</t>
  </si>
  <si>
    <t>https://drive.google.com/file/d/1oQdBqGNIKLdzj4jl6wgAPah_fvVHDp8j/view?usp=sharing</t>
  </si>
  <si>
    <t>https://drive.google.com/file/d/1s0S1zkZSqX-hH6WMPlCtCeTMecaSkLVj/view?usp=drive_link</t>
  </si>
  <si>
    <t>b953258e</t>
  </si>
  <si>
    <t>Jelang Kick Off - PERSEBAYA Surabaya vs PSIM Jogja - BRI Super League</t>
  </si>
  <si>
    <t>https://www.vidio.com/live/19355-bri-super-league?schedule_id=4485271</t>
  </si>
  <si>
    <t>Nonton streaming pertandingan seru Jelang Kick Off - PERSEBAYA Surabaya vs PSIM Jogja - BRI Super League. Saksikan aksi-aksi terbaik dari tim yang bersaing ketat untuk meraih kemenangan. Dapatkan informasi lengkap mengenai jadwal pertandingan dan hasil pertandingan terbaru hanya di Vidio.</t>
  </si>
  <si>
    <t>0f7e9ad6</t>
  </si>
  <si>
    <t>Jelang Kick Off - PERSIB vs Semen Padang FC - BRI Super League</t>
  </si>
  <si>
    <t>https://www.vidio.com/live/19355-bri-super-league?schedule_id=4486136</t>
  </si>
  <si>
    <t>Persib; semen padang; sports stream</t>
  </si>
  <si>
    <t>Nonton streaming pertandingan seru Jelang Kick Off - PERSIB vs Semen Padang FC - BRI Super League. Saksikan aksi-aksi terbaik dari tim yang bersaing ketat untuk meraih kemenangan. Dapatkan informasi lengkap mengenai jadwal pertandingan dan hasil pertandingan terbaru hanya di Vidio.</t>
  </si>
  <si>
    <t>e489c434</t>
  </si>
  <si>
    <t>Jelang Kick Off - Dewa United Banten FC vs Malut United FC - BRI Super League</t>
  </si>
  <si>
    <t>https://www.vidio.com/live/19355-bri-super-league?schedule_id=4486137</t>
  </si>
  <si>
    <t>https://drive.google.com/drive/folders/19Fn56tNDggBZj-3hThrvS6SeGKqiELN4</t>
  </si>
  <si>
    <t>Nonton streaming pertandingan seru Jelang Kick Off - Dewa United Banten FC vs Malut United FC - BRI Super League. Saksikan aksi-aksi terbaik dari tim yang bersaing ketat untuk meraih kemenangan. Dapatkan informasi lengkap mengenai jadwal pertandingan dan hasil pertandingan terbaru hanya di Vidio.</t>
  </si>
  <si>
    <t>7989238a</t>
  </si>
  <si>
    <t>Jelang Kick Off - Bali United FC vs PERSIK Kediri - BRI Super League</t>
  </si>
  <si>
    <t>https://www.vidio.com/live/19355-bri-super-league?schedule_id=4488479</t>
  </si>
  <si>
    <t>https://drive.google.com/drive/folders/18bD7-F89IZXLpEfTzKURQJtXBHFQ0-g9</t>
  </si>
  <si>
    <t>Nonton streaming pertandingan seru Jelang Kick Off - Bali United FC vs PERSIK Kediri - BRI Super League. Saksikan aksi-aksi terbaik dari tim yang bersaing ketat untuk meraih kemenangan. Dapatkan informasi lengkap mengenai jadwal pertandingan dan hasil pertandingan terbaru hanya di Vidio.</t>
  </si>
  <si>
    <t>https://drive.google.com/file/d/1Bdg1Su080YpBRECjeQekr9eGuI36PmyU/view?usp=drive_link</t>
  </si>
  <si>
    <t>f9495ce7</t>
  </si>
  <si>
    <t>Jelang Kick Off - PERSIJA vs PERSITA - BRI Super League</t>
  </si>
  <si>
    <t>https://www.vidio.com/live/19355-bri-super-league?schedule_id=4488484</t>
  </si>
  <si>
    <t>https://drive.google.com/drive/folders/1baHCloC-n2vCVLRlhtkl94nIKlFwC4U6</t>
  </si>
  <si>
    <t>Nonton streaming pertandingan seru Jelang Kick Off - PERSIJA vs PERSITA - BRI Super League. Saksikan aksi-aksi terbaik dari tim yang bersaing ketat untuk meraih kemenangan. Dapatkan informasi lengkap mengenai jadwal pertandingan dan hasil pertandingan terbaru hanya di Vidio.</t>
  </si>
  <si>
    <t>https://3.basecamp.com/4902751/buckets/36763424/card_tables/cards/8876964555</t>
  </si>
  <si>
    <t>https://drive.google.com/file/d/17jRc6LK6460uMO8Ek3iXw4y9s6baTUy0/view?usp=drive_link</t>
  </si>
  <si>
    <t>c43e69de</t>
  </si>
  <si>
    <t>Jelang Kick Off - Arema FC vs PSBS Biak - BRI Super League</t>
  </si>
  <si>
    <t>https://www.vidio.com/live/19355-bri-super-league?schedule_id=4488592</t>
  </si>
  <si>
    <t>https://drive.google.com/drive/folders/1XryPf_UfcJpvXtyfO0yI9lgSbI8qqKQH</t>
  </si>
  <si>
    <t>Nonton streaming pertandingan seru Jelang Kick Off - Arema FC vs PSBS Biak - BRI Super League. Saksikan aksi-aksi terbaik dari tim yang bersaing ketat untuk meraih kemenangan. Dapatkan informasi lengkap mengenai jadwal pertandingan dan hasil pertandingan terbaru hanya di Vidio.</t>
  </si>
  <si>
    <t>https://drive.google.com/file/d/1gcz0LMTyqP3Fj9WatjNizMAwpZcq4YUY/view?usp=drive_link</t>
  </si>
  <si>
    <t>afb532dc</t>
  </si>
  <si>
    <t>Jelang Kick Off - Semen Padang FC vs Dewa United Banten FC - BRI Super League</t>
  </si>
  <si>
    <t>https://www.vidio.com/live/19355-bri-super-league?schedule_id=4499124</t>
  </si>
  <si>
    <t>https://drive.google.com/drive/folders/1KRU-skNPILdksBxZibVmOLQGS1VUJtJ3</t>
  </si>
  <si>
    <t>Nonton streaming pertandingan seru Jelang Kick Off - Semen Padang FC vs Dewa United Banten FC - BRI Super League. Saksikan aksi-aksi terbaik dari tim yang bersaing ketat untuk meraih kemenangan. Dapatkan informasi lengkap mengenai jadwal pertandingan dan hasil pertandingan terbaru hanya di Vidio.</t>
  </si>
  <si>
    <t>https://drive.google.com/file/d/1aZDewNXXPyPbnD0Ptrdhhq5OY-6CUy72/view?usp=drive_link</t>
  </si>
  <si>
    <t>1585a965</t>
  </si>
  <si>
    <t>Jelang Kick Off - Malut United FC vs Bali United FC - BRI Super League</t>
  </si>
  <si>
    <t>https://www.vidio.com/live/19355-bri-super-league?schedule_id=4499126</t>
  </si>
  <si>
    <t>Nonton streaming pertandingan seru Jelang Kick Off - Malut United FC vs Bali United FC - BRI Super League. Saksikan aksi-aksi terbaik dari tim yang bersaing ketat untuk meraih kemenangan. Dapatkan informasi lengkap mengenai jadwal pertandingan dan hasil pertandingan terbaru hanya di Vidio.</t>
  </si>
  <si>
    <t>a2d138ef</t>
  </si>
  <si>
    <t>Jelang Kick Off - PERSITA vs PERSEBAYA Surabaya - BRI Super League</t>
  </si>
  <si>
    <t>https://www.vidio.com/live/19355-bri-super-league?schedule_id=4499142</t>
  </si>
  <si>
    <t>Nonton streaming pertandingan seru Jelang Kick Off - PERSITA vs PERSEBAYA Surabaya - BRI Super League. Saksikan aksi-aksi terbaik dari tim yang bersaing ketat untuk meraih kemenangan. Dapatkan informasi lengkap mengenai jadwal pertandingan dan hasil pertandingan terbaru hanya di Vidio.</t>
  </si>
  <si>
    <t>f511104a</t>
  </si>
  <si>
    <t>Jelang Kick Off - PSIM Jogja vs Arema FC - BRI Super League</t>
  </si>
  <si>
    <t>https://www.vidio.com/live/19383-bri-super-league?schedule_id=4501326</t>
  </si>
  <si>
    <t>Nonton streaming pertandingan seru Jelang Kick Off - PSIM Jogja vs Arema FC - BRI Super League. Saksikan aksi-aksi terbaik dari tim yang bersaing ketat untuk meraih kemenangan. Dapatkan informasi lengkap mengenai jadwal pertandingan dan hasil pertandingan terbaru hanya di Vidio.</t>
  </si>
  <si>
    <t>79f644b9</t>
  </si>
  <si>
    <t>Jelang Kick Off - PERSIS vs PERSIJA - BRI Super League</t>
  </si>
  <si>
    <t>https://www.vidio.com/live/19355-bri-super-league?schedule_id=4502154</t>
  </si>
  <si>
    <t>https://drive.google.com/drive/folders/1zdALVQhmXc01E1cq4bsxxZKZbXH6k9Wg?usp=drive_link</t>
  </si>
  <si>
    <t>Nonton streaming pertandingan seru Jelang Kick Off - PERSIS vs PERSIJA - BRI Super League. Saksikan aksi-aksi terbaik dari tim yang bersaing ketat untuk meraih kemenangan. Dapatkan informasi lengkap mengenai jadwal pertandingan dan hasil pertandingan terbaru hanya di Vidio.</t>
  </si>
  <si>
    <t>https://drive.google.com/file/d/1TKlBIFYw1YoQWN27oY0jIAkp2PEx-qSQ/view?usp=drive_link</t>
  </si>
  <si>
    <t>4f271292</t>
  </si>
  <si>
    <t>Jelang Kick Off - PERSIJAP vs PERSIB - BRI Super League</t>
  </si>
  <si>
    <t>https://www.vidio.com/live/19355-bri-super-league?schedule_id=4503850</t>
  </si>
  <si>
    <t>https://drive.google.com/drive/folders/1YROK8A7qYkIBn9ihFaL4qdhY_otnwsOq?usp=drive_link</t>
  </si>
  <si>
    <t>Persijap Jepara; Persib; sports stream</t>
  </si>
  <si>
    <t>Nonton streaming pertandingan seru Jelang Kick Off - PERSIJAP vs PERSIB - BRI Super League. Saksikan aksi-aksi terbaik dari tim yang bersaing ketat untuk meraih kemenangan. Dapatkan informasi lengkap mengenai jadwal pertandingan dan hasil pertandingan terbaru hanya di Vidio.</t>
  </si>
  <si>
    <t>https://drive.google.com/file/d/1Camsho9HsMc8Y2CALIlYCSwt74cA8onM/view?usp=drive_link</t>
  </si>
  <si>
    <t>a896b1c7</t>
  </si>
  <si>
    <t>Excelsior vs Feyenoord - Eredivisie</t>
  </si>
  <si>
    <t>https://www.vidio.com/live/6686-champions-tv-2?schedule_id=4501323</t>
  </si>
  <si>
    <t>https://drive.google.com/drive/folders/1qJurqRohVsogAKqqMeei_icgNdHCI4SV</t>
  </si>
  <si>
    <t>https://drive.google.com/drive/folders/12tASaUJChpzmgzz66lr9UYGZGHn7GF0z?usp=drive_link</t>
  </si>
  <si>
    <t>https://drive.google.com/drive/folders/1kditXM982QiCIUGvIu_AHbX7JX47i-wV?usp=drive_link</t>
  </si>
  <si>
    <t>Excelsior Rotterdam</t>
  </si>
  <si>
    <t>excelsior rotterdam; feyenoord rotterdam; sports stream</t>
  </si>
  <si>
    <t>Nonton streaming pertandingan seru Excelsior vs Feyenoord - Eredivisie. Saksikan aksi-aksi terbaik dari tim yang bersaing ketat untuk meraih kemenangan. Dapatkan informasi lengkap mengenai jadwal pertandingan dan hasil pertandingan terbaru hanya di Vidio.</t>
  </si>
  <si>
    <t>Jersey 25/26
Excelsior: Noah Naujoks, Stan Henderikx
Feyenoord: Quinten Timber, Ayase Ueda</t>
  </si>
  <si>
    <t>https://drive.google.com/file/d/1kYcscAA7frVMLIvbT3PI42ZlGylPNEh5/view?usp=sharing</t>
  </si>
  <si>
    <t>https://drive.google.com/file/d/1aCkW9f6bBi7NAA1FMPFhiCis-spH3lhR/view?usp=drive_link</t>
  </si>
  <si>
    <t>https://drive.google.com/file/d/1q_ASlEzpoCNgxBwLGTptl6TsSwoXe8iZ/view?usp=sharing</t>
  </si>
  <si>
    <t>06a0d4d3</t>
  </si>
  <si>
    <t>Heracles vs NEC Nijmegen - Eredivisie</t>
  </si>
  <si>
    <t>https://www.vidio.com/live/6685-champions-tv-1?schedule_id=4501324</t>
  </si>
  <si>
    <t>https://drive.google.com/drive/folders/1F_HwPVgaKrmybnG3fW_K9SePUpHwODVh?usp=drive_link</t>
  </si>
  <si>
    <t>Heracles</t>
  </si>
  <si>
    <t>NEC Nijmegen</t>
  </si>
  <si>
    <t>heracles almelo; nec nijmegen; sports stream</t>
  </si>
  <si>
    <t>Nonton streaming pertandingan seru Heracles vs NEC Nijmegen - Eredivisie. Saksikan aksi-aksi terbaik dari tim yang bersaing ketat untuk meraih kemenangan. Dapatkan informasi lengkap mengenai jadwal pertandingan dan hasil pertandingan terbaru hanya di Vidio.</t>
  </si>
  <si>
    <t>Asset 25/26
Heracles: Mirani, Zamburek
NEC: Verdonk, Koki Ogawa</t>
  </si>
  <si>
    <t>https://drive.google.com/file/d/1r1LgDGVCb1WjK6pEdtDlikEDqdrfxg9o/view?usp=sharing</t>
  </si>
  <si>
    <t>https://drive.google.com/file/d/1kUi-zHt8fVweriWAUxcy49H3FU9dG-Wn/view?usp=drive_link</t>
  </si>
  <si>
    <t>https://drive.google.com/file/d/1fuO0_JdvCjzR4RatuVdPRhNpBMr-Lloe/view?usp=sharing</t>
  </si>
  <si>
    <t>58a15025</t>
  </si>
  <si>
    <t>Go Ahead Eagles vs Ajax - Eredivisie</t>
  </si>
  <si>
    <t>https://www.vidio.com/live/6685-champions-tv-1?schedule_id=4499440</t>
  </si>
  <si>
    <t>https://drive.google.com/drive/folders/1O2QixBg16utTeXR4xlWsIszQ0AYsswOZ?usp=drive_link</t>
  </si>
  <si>
    <t>go ahead eagles; afc ajax; sports stream</t>
  </si>
  <si>
    <t>Nonton streaming pertandingan seru Go Ahead Eagles vs Ajax - Eredivisie. Saksikan aksi-aksi terbaik dari tim yang bersaing ketat untuk meraih kemenangan. Dapatkan informasi lengkap mengenai jadwal pertandingan dan hasil pertandingan terbaru hanya di Vidio.</t>
  </si>
  <si>
    <t>Asset 25/26
Go Ahead Eagles: Dean James, Joris Kramer
Ajax: Weghorst, Klaassen</t>
  </si>
  <si>
    <t>https://drive.google.com/file/d/16mHDru4MYysmaa50C0zRH32ChdfTRFrQ/view?usp=sharing</t>
  </si>
  <si>
    <t>https://drive.google.com/file/d/10ATSpwIqAzgGtcMRPvvEZNws2pyiD2s_/view?usp=drive_link</t>
  </si>
  <si>
    <t>https://drive.google.com/file/d/1cJHVy5JhIgrdnt5XO_75oE45znas7krN/view?usp=sharing</t>
  </si>
  <si>
    <t>9751b2d3</t>
  </si>
  <si>
    <t>Twente vs PSV - Eredivisie</t>
  </si>
  <si>
    <t>https://www.vidio.com/live/6685-champions-tv-1?schedule_id=4499441</t>
  </si>
  <si>
    <t>https://drive.google.com/drive/folders/1uGEWIVFshaL729WeMYS2T2f_fh7Fyb4b?usp=drive_link</t>
  </si>
  <si>
    <t>Twente</t>
  </si>
  <si>
    <t>fc twente; psv eindhoven; sports stream</t>
  </si>
  <si>
    <t>Nonton streaming pertandingan seru Twente vs PSV - Eredivisie. Saksikan aksi-aksi terbaik dari tim yang bersaing ketat untuk meraih kemenangan. Dapatkan informasi lengkap mengenai jadwal pertandingan dan hasil pertandingan terbaru hanya di Vidio.</t>
  </si>
  <si>
    <t>Asset 25/26
Twente: Kristian Hlynsson (1064984151), Ramiz Zerrouki (1064984185)
PSV: Ruben van Bommel (1064945747), Ivan Perisic (1065045987)</t>
  </si>
  <si>
    <t>https://drive.google.com/file/d/1qfi4SYeew_nn_VXPlJAC3OPSMtXqKRNk/view?usp=sharing</t>
  </si>
  <si>
    <t>https://drive.google.com/file/d/10pVXcGNP_afc5gPYJerCq_qmKuOjyQzM/view?usp=drive_link</t>
  </si>
  <si>
    <t>https://drive.google.com/file/d/1H0BSRNqYbmulGiRovJ-yRMNt7NXmhJZ-/view?usp=sharing</t>
  </si>
  <si>
    <t>b5fee300</t>
  </si>
  <si>
    <t>FC Volendam vs AZ Alkmaar - Eredivisie</t>
  </si>
  <si>
    <t>https://www.vidio.com/live/6685-champions-tv-1?schedule_id=4501369</t>
  </si>
  <si>
    <t>https://drive.google.com/drive/folders/1I4ErN_31g1MCKDcV7kyPaLdmEo1g6mqW?usp=drive_link</t>
  </si>
  <si>
    <t>FC Volendam</t>
  </si>
  <si>
    <t>fc volendam; alkmaar zaanstreek; sports stream</t>
  </si>
  <si>
    <t>Nonton streaming pertandingan seru FC Volendam vs AZ Alkmaar - Eredivisie. Saksikan aksi-aksi terbaik dari tim yang bersaing ketat untuk meraih kemenangan. Dapatkan informasi lengkap mengenai jadwal pertandingan dan hasil pertandingan terbaru hanya di Vidio.</t>
  </si>
  <si>
    <t>Asset 25/26
Volendam: Ozan Kokcu, Xavier Mbuyamba
AZ Alkmaar: Troy Parrot, Danso Kasius</t>
  </si>
  <si>
    <t>https://drive.google.com/file/d/1miNl0J7rebI4ucjfcutW4eAbdicK0wH3/view?usp=sharing</t>
  </si>
  <si>
    <t>https://drive.google.com/file/d/19MZz7jEXBIKoLc_4u5Ru8o4J-uugHGS4/view?usp=drive_link</t>
  </si>
  <si>
    <t>https://drive.google.com/file/d/1L7Fm9L1pWEuHIcXvzeeoMxxP3VwYEIcV/view?usp=sharing</t>
  </si>
  <si>
    <t>5d5bb41c</t>
  </si>
  <si>
    <t>Jelang Kick Off -  Arema FC vs Bhayangkara Presisi Lampung FC - BRI Super League</t>
  </si>
  <si>
    <t>https://www.vidio.com/live/19355-bri-super-league?schedule_id=4515029</t>
  </si>
  <si>
    <t>Nonton streaming pertandingan seru Jelang Kick Off -  Arema FC vs Bhayangkara Presisi Lampung FC - BRI Super League. Saksikan aksi-aksi terbaik dari tim yang bersaing ketat untuk meraih kemenangan. Dapatkan informasi lengkap mengenai jadwal pertandingan dan hasil pertandingan terbaru hanya di Vidio.</t>
  </si>
  <si>
    <t>https://drive.google.com/file/d/1KULemMHmH_1XBpkwNino2tQhdHmblVgq/view?usp=drive_link</t>
  </si>
  <si>
    <t>f7a6464b</t>
  </si>
  <si>
    <t>Jelang Kick Off - Dewa United Banten FC vs PERSIK Kediri - BRI Super League</t>
  </si>
  <si>
    <t>https://www.vidio.com/live/19355-bri-super-league?schedule_id=4515876</t>
  </si>
  <si>
    <t>persik kediri; dewa united; sports stream</t>
  </si>
  <si>
    <t>Nonton streaming pertandingan seru Jelang Kick Off - Dewa United Banten FC vs PERSIK Kediri - BRI Super League. Saksikan aksi-aksi terbaik dari tim yang bersaing ketat untuk meraih kemenangan. Dapatkan informasi lengkap mengenai jadwal pertandingan dan hasil pertandingan terbaru hanya di Vidio.</t>
  </si>
  <si>
    <t>https://drive.google.com/file/d/1wFR0Tj4hFlHeyrYeU_-1Ln3HOvnmqQ-f/view?usp=sharing</t>
  </si>
  <si>
    <t>795b3f8b</t>
  </si>
  <si>
    <t>Jelang Kick Off - PERSIJA vs Malut United FC - BRI Super League</t>
  </si>
  <si>
    <t>https://www.vidio.com/live/19355-bri-super-league?schedule_id=4515877</t>
  </si>
  <si>
    <t>Nonton streaming pertandingan seru Jelang Kick Off - PERSIJA vs Malut United FC - BRI Super League. Saksikan aksi-aksi terbaik dari tim yang bersaing ketat untuk meraih kemenangan. Dapatkan informasi lengkap mengenai jadwal pertandingan dan hasil pertandingan terbaru hanya di Vidio.</t>
  </si>
  <si>
    <t>d69c46bf</t>
  </si>
  <si>
    <t>Jelang Kick Off -  PERSEBAYA Surabaya vs Bali United FC - BRI Super League</t>
  </si>
  <si>
    <t>https://www.vidio.com/live/19355-bri-super-league?schedule_id=4515878</t>
  </si>
  <si>
    <t>Nonton streaming pertandingan seru Jelang Kick Off -  PERSEBAYA Surabaya vs Bali United FC - BRI Super League. Saksikan aksi-aksi terbaik dari tim yang bersaing ketat untuk meraih kemenangan. Dapatkan informasi lengkap mengenai jadwal pertandingan dan hasil pertandingan terbaru hanya di Vidio.</t>
  </si>
  <si>
    <t>ad385c02</t>
  </si>
  <si>
    <t>Jelang Kick Off - PSIM Jogja vs PERSIB - BRI Super League</t>
  </si>
  <si>
    <t>https://www.vidio.com/live/19355-bri-super-league?schedule_id=4516128</t>
  </si>
  <si>
    <t>psim yogyakarta; Persib; sports stream</t>
  </si>
  <si>
    <t>Nonton streaming pertandingan seru Jelang Kick Off - PSIM Jogja vs PERSIB - BRI Super League. Saksikan aksi-aksi terbaik dari tim yang bersaing ketat untuk meraih kemenangan. Dapatkan informasi lengkap mengenai jadwal pertandingan dan hasil pertandingan terbaru hanya di Vidio.</t>
  </si>
  <si>
    <t>30af628c</t>
  </si>
  <si>
    <t>Jelang Kick Off -  Bali United FC vs Madura United FC - BRI Super League</t>
  </si>
  <si>
    <t>https://www.vidio.com/live/19355-bri-super-league?schedule_id=4528735</t>
  </si>
  <si>
    <t>https://drive.google.com/drive/folders/1Xxt4M-BKY_wrdq8shTMzvAom-IgPylgQ</t>
  </si>
  <si>
    <t>Nonton streaming pertandingan seru Jelang Kick Off -  Bali United FC vs Madura United FC - BRI Super League. Saksikan aksi-aksi terbaik dari tim yang bersaing ketat untuk meraih kemenangan. Dapatkan informasi lengkap mengenai jadwal pertandingan dan hasil pertandingan terbaru hanya di Vidio.</t>
  </si>
  <si>
    <t>https://drive.google.com/file/d/12PViT-A4OhISVS9HJznchBP4kdjdDFsW/view?usp=sharing</t>
  </si>
  <si>
    <t>d215024d</t>
  </si>
  <si>
    <t>Jelang Kick Off - PERSIJAP vs Arema FC - BRI Super League</t>
  </si>
  <si>
    <t>https://www.vidio.com/live/19355-bri-super-league?schedule_id=4528734</t>
  </si>
  <si>
    <t>Nonton streaming pertandingan seru Jelang Kick Off - PERSIJAP vs Arema FC - BRI Super League. Saksikan aksi-aksi terbaik dari tim yang bersaing ketat untuk meraih kemenangan. Dapatkan informasi lengkap mengenai jadwal pertandingan dan hasil pertandingan terbaru hanya di Vidio.</t>
  </si>
  <si>
    <t>https://drive.google.com/file/d/1D5MLs2DCdSytYUEsqG4SJPBOX48xQ0CN/view?usp=drive_link</t>
  </si>
  <si>
    <t>948a67c6</t>
  </si>
  <si>
    <t>https://www.vidio.com/live/19355-bri-super-league?schedule_id=4525583</t>
  </si>
  <si>
    <t>9b83dd16</t>
  </si>
  <si>
    <t>https://www.vidio.com/live/19355-bri-super-league?schedule_id=4529461</t>
  </si>
  <si>
    <t>https://drive.google.com/drive/folders/1C2kKi9nAP9kZYRRktTFe_Ds8JKfL68FU</t>
  </si>
  <si>
    <t>Persib; borneo fc; sports stream</t>
  </si>
  <si>
    <t>b473afc6</t>
  </si>
  <si>
    <t>Press Conference BRI Super League 2025/26</t>
  </si>
  <si>
    <t>https://www.vidio.com/live/19302-press-conference-bri-super-league-2025-26?schedule_id=4471932</t>
  </si>
  <si>
    <t>https://drive.google.com/drive/folders/1GqjQbzOkCz8vyEnqDb-s_Jcp77QvmTb1</t>
  </si>
  <si>
    <t>Nonton streaming pertandingan seru Press Conference BRI Super League 2025/26. Saksikan aksi-aksi terbaik dari tim yang bersaing ketat untuk meraih kemenangan. Dapatkan informasi lengkap mengenai jadwal pertandingan dan hasil pertandingan terbaru hanya di Vidio.</t>
  </si>
  <si>
    <t>https://drive.google.com/file/d/1UFeCRoSzSmmt0_lPwPivLXKRhsnbtfVs/view?usp=sharing</t>
  </si>
  <si>
    <t>https://drive.google.com/file/d/1WtylJ_R6FNPP51KPjeTqonasHtSbJNFU/view?usp=sharing</t>
  </si>
  <si>
    <t>e878bbed</t>
  </si>
  <si>
    <t>Kairat vs Slovan Bratislava - UEFA Champions League Third Qualifying Round</t>
  </si>
  <si>
    <t>https://www.vidio.com/live/6685-champions-tv-1?schedule_id=4480018</t>
  </si>
  <si>
    <t>https://drive.google.com/drive/folders/1jymrIPkAN_QcTkAOacUJuElsTBAhgN0I</t>
  </si>
  <si>
    <t>FC Kairat Almaty</t>
  </si>
  <si>
    <t>ŠK Slovan Bratislava</t>
  </si>
  <si>
    <t>FC Kairat Almaty; šk slovan bratislava; sports stream</t>
  </si>
  <si>
    <t>Nonton streaming pertandingan seru Kairat vs Slovan Bratislava - UEFA Champions League Third Qualifying Round. Saksikan aksi-aksi terbaik dari tim yang bersaing ketat untuk meraih kemenangan. Dapatkan informasi lengkap mengenai jadwal pertandingan dan hasil pertandingan terbaru hanya di Vidio.</t>
  </si>
  <si>
    <t>https://drive.google.com/file/d/1AzkOeUMQSwypYl3-S3CbWI4ZYQv0WsVI/view?usp=sharing</t>
  </si>
  <si>
    <t>31221fd1</t>
  </si>
  <si>
    <t>Nice vs Benfica - UEFA Champions League Third Qualifying Round</t>
  </si>
  <si>
    <t>VIDIO - @championsleague</t>
  </si>
  <si>
    <t>https://www.vidio.com/live/6685-champions-tv-1?schedule_id=4480021</t>
  </si>
  <si>
    <t>https://drive.google.com/drive/folders/1FHzHea3OdvVJSOLm2u6891IaLhQECsac</t>
  </si>
  <si>
    <t>OGC Nice Côte d'Azur</t>
  </si>
  <si>
    <t>OGC Nice Côte d'Azur; sl benfica; sports stream</t>
  </si>
  <si>
    <t>Nonton streaming pertandingan seru Nice vs Benfica - UEFA Champions League Third Qualifying Round. Saksikan aksi-aksi terbaik dari tim yang bersaing ketat untuk meraih kemenangan. Dapatkan informasi lengkap mengenai jadwal pertandingan dan hasil pertandingan terbaru hanya di Vidio.</t>
  </si>
  <si>
    <t>https://drive.google.com/file/d/1wXLp3VeSiYSm20NC4uQr_xlbyAMdczad/view?usp=sharing</t>
  </si>
  <si>
    <t>9b418822</t>
  </si>
  <si>
    <t>Club Brugge vs RB Salzburg - UEFA Champions League Third Qualifying Round</t>
  </si>
  <si>
    <t>https://www.vidio.com/live/19327-uefa-champions-league-third-qualifying-round?schedule_id=4492762</t>
  </si>
  <si>
    <t>https://drive.google.com/drive/folders/1apIMnT3oD5YyA7ZW5Ypa9v1RKYOWZoZ0</t>
  </si>
  <si>
    <t>FC Red Bull Salzburg</t>
  </si>
  <si>
    <t>club brugge kv; fc salzburg; sports stream</t>
  </si>
  <si>
    <t>Nonton streaming pertandingan seru Club Brugge vs RB Salzburg - UEFA Champions League Third Qualifying Round. Saksikan aksi-aksi terbaik dari tim yang bersaing ketat untuk meraih kemenangan. Dapatkan informasi lengkap mengenai jadwal pertandingan dan hasil pertandingan terbaru hanya di Vidio.</t>
  </si>
  <si>
    <t>https://drive.google.com/file/d/1gN_9ayTiJVzHi5Dz6qkW_LbKlX1imaI4/view?usp=sharing</t>
  </si>
  <si>
    <t>bfe8edad</t>
  </si>
  <si>
    <t>Viktoria Plzen vs Rangers - UEFA Champions League Third Qualifying Round</t>
  </si>
  <si>
    <t>https://www.vidio.com/live/6685-champions-tv-1?schedule_id=4492758</t>
  </si>
  <si>
    <t>https://drive.google.com/drive/folders/19FYrg6F19MW3A5zQqyRCXLOGcpYXIuGp</t>
  </si>
  <si>
    <t>FC Viktoria Plzeň</t>
  </si>
  <si>
    <t>fc viktoria plzeň; rangers fc; sports stream</t>
  </si>
  <si>
    <t>Nonton streaming pertandingan seru Viktoria Plzen vs Rangers - UEFA Champions League Third Qualifying Round. Saksikan aksi-aksi terbaik dari tim yang bersaing ketat untuk meraih kemenangan. Dapatkan informasi lengkap mengenai jadwal pertandingan dan hasil pertandingan terbaru hanya di Vidio.</t>
  </si>
  <si>
    <t>https://drive.google.com/file/d/19P45SGUuy4vZ2UJ6mBCNzIIwrEW3TXh8/view?usp=sharing</t>
  </si>
  <si>
    <t>0593d72b</t>
  </si>
  <si>
    <t>PAOK vs Wolfsberger AC - UEFA Europa League</t>
  </si>
  <si>
    <t>UEFA Europa League 2025/26</t>
  </si>
  <si>
    <t>https://www.vidio.com/live/6685-champions-tv-1?schedule_id=4480024</t>
  </si>
  <si>
    <t>https://drive.google.com/drive/folders/1tRc6RYTjNNu4WrQSbkqea_gh3o1HB_wu</t>
  </si>
  <si>
    <t>PAOK FC</t>
  </si>
  <si>
    <t>Wolfsberger AC</t>
  </si>
  <si>
    <t>Sports &gt; Football &gt; UEFA Europa League</t>
  </si>
  <si>
    <t>UEFA Europa League; UEFA Europa League 2025/26</t>
  </si>
  <si>
    <t>paok; Wolfsberger AC; sports stream</t>
  </si>
  <si>
    <t>Nonton streaming pertandingan seru PAOK vs Wolfsberger AC - UEFA Europa League. Saksikan aksi-aksi terbaik dari tim yang bersaing ketat untuk meraih kemenangan. Dapatkan informasi lengkap mengenai jadwal pertandingan dan hasil pertandingan terbaru hanya di Vidio.</t>
  </si>
  <si>
    <t>https://drive.google.com/file/d/1eRt7s6mmMOR1yycc7giR3UUdH_M893ou/view?usp=sharing</t>
  </si>
  <si>
    <t>04c9750a</t>
  </si>
  <si>
    <t>Casa Pia vs Sporting - Liga Portugal</t>
  </si>
  <si>
    <t>Liga Portugal 2025/26</t>
  </si>
  <si>
    <t>https://www.vidio.com/live/6786-champions-tv-3?schedule_id=4486634</t>
  </si>
  <si>
    <t>https://drive.google.com/drive/u/1/folders/1j0NCOwJf9JQICRvtV7iZn-K1-1AjmN5l</t>
  </si>
  <si>
    <t>Casa Pia A.C.</t>
  </si>
  <si>
    <t>Sporting CP</t>
  </si>
  <si>
    <t>Sports &gt; Football &gt; Portuguese League</t>
  </si>
  <si>
    <t>Primeira Liga; Liga Portugal 2025/26</t>
  </si>
  <si>
    <t>FIFA; UEFA; European Leagues; Liga Portuguesa de Futebol Profissional</t>
  </si>
  <si>
    <t>casa pia ac; sporting clube de portugal; sports stream</t>
  </si>
  <si>
    <t>Nonton streaming pertandingan seru Casa Pia vs Sporting - Liga Portugal. Saksikan aksi-aksi terbaik dari tim yang bersaing ketat untuk meraih kemenangan. Dapatkan informasi lengkap mengenai jadwal pertandingan dan hasil pertandingan terbaru hanya di Vidio.</t>
  </si>
  <si>
    <t>https://drive.google.com/file/d/1h54nZuGyy1k473lLG_2UdB6jnvcDOgjv/view?usp=sharing</t>
  </si>
  <si>
    <t>f72c81fe</t>
  </si>
  <si>
    <t>Porto vs Vitoria SC - Liga Portugal</t>
  </si>
  <si>
    <t>https://www.vidio.com/live/6685-champions-tv-1?schedule_id=4490414</t>
  </si>
  <si>
    <t>https://drive.google.com/drive/u/1/folders/1eNW_NQ32jtAEtaxjt0jgUOkoWgnsOnS0</t>
  </si>
  <si>
    <t>FC Porto</t>
  </si>
  <si>
    <t>Vitória S.C.</t>
  </si>
  <si>
    <t>fc porto; vitoria sc; sports stream</t>
  </si>
  <si>
    <t>Nonton streaming pertandingan seru Porto vs Vitoria SC - Liga Portugal. Saksikan aksi-aksi terbaik dari tim yang bersaing ketat untuk meraih kemenangan. Dapatkan informasi lengkap mengenai jadwal pertandingan dan hasil pertandingan terbaru hanya di Vidio.</t>
  </si>
  <si>
    <t>https://drive.google.com/file/d/1MBWzAUq-lOqGeyi73ZuF_GBHizUemFZ0/view?usp=sharing</t>
  </si>
  <si>
    <t>c09e2c60</t>
  </si>
  <si>
    <t>Oxford United vs Colchester - Carabao Cup</t>
  </si>
  <si>
    <t>Carabao Cup 2025/26</t>
  </si>
  <si>
    <t>VIDIO - @carabaocup</t>
  </si>
  <si>
    <t>https://www.vidio.com/live/19370-carabao-cup-2025-26?schedule_id=4494864</t>
  </si>
  <si>
    <t>https://drive.google.com/drive/folders/1Q5_KJmOEz9Exeep7uowv7Gx2rUghHLur?usp=drive_link</t>
  </si>
  <si>
    <t>Oxford United FC</t>
  </si>
  <si>
    <t>Colchester United FC</t>
  </si>
  <si>
    <t>Sports &gt; Football &gt; EFL Cup</t>
  </si>
  <si>
    <t>EFL Cup; EFL Cup 2025/26</t>
  </si>
  <si>
    <t>FIFA; UEFA; The FA</t>
  </si>
  <si>
    <t>oxford united fc; colchester united fc; sports stream</t>
  </si>
  <si>
    <t>Nonton streaming pertandingan seru Oxford United vs Colchester - Carabao Cup. Saksikan aksi-aksi terbaik dari tim yang bersaing ketat untuk meraih kemenangan. Dapatkan informasi lengkap mengenai jadwal pertandingan dan hasil pertandingan terbaru hanya di Vidio.</t>
  </si>
  <si>
    <t>https://drive.google.com/file/d/1Xgc-ejgciMx3te19eenHT5Q3eBptTBZa/view?usp=sharing</t>
  </si>
  <si>
    <t>https://drive.google.com/file/d/103GRCYoFkHeNAdXfO9NnyK4xnK3Uf2js/view?usp=sharing</t>
  </si>
  <si>
    <t>8cde8043</t>
  </si>
  <si>
    <t>Bromley FC vs Ipswich - Carabao Cup</t>
  </si>
  <si>
    <t>https://www.vidio.com/live/19371-carabao-cup-2025-26?schedule_id=4495122</t>
  </si>
  <si>
    <t>https://drive.google.com/drive/folders/1JbpposkRJqcawvXgdz1cNbDQhhNLcGa1?usp=drive_link</t>
  </si>
  <si>
    <t>Bromley FC</t>
  </si>
  <si>
    <t>bromley fc; ipswich town fc; sports stream</t>
  </si>
  <si>
    <t>Nonton streaming pertandingan seru Bromley FC vs Ipswich - Carabao Cup. Saksikan aksi-aksi terbaik dari tim yang bersaing ketat untuk meraih kemenangan. Dapatkan informasi lengkap mengenai jadwal pertandingan dan hasil pertandingan terbaru hanya di Vidio.</t>
  </si>
  <si>
    <t>Group Stage</t>
  </si>
  <si>
    <t>https://drive.google.com/file/d/1alR2VTE6se0bBQcxLf0brJ2ANNMTHYuW/view?usp=sharing</t>
  </si>
  <si>
    <t>b1aa8515</t>
  </si>
  <si>
    <t>Birmingham vs Sheffield United - Carabao Cup</t>
  </si>
  <si>
    <t>https://www.vidio.com/live/19371-carabao-cup-2025-26?schedule_id=4495121</t>
  </si>
  <si>
    <t>https://drive.google.com/drive/folders/16kpfqFLTZTs4TXDBDPNm93_Q6M05pacO?usp=drive_link</t>
  </si>
  <si>
    <t>Sheffield United FC</t>
  </si>
  <si>
    <t>birmingham city fc; sheffield united fc; sports stream</t>
  </si>
  <si>
    <t>Nonton streaming pertandingan seru Birmingham vs Sheffield United - Carabao Cup. Saksikan aksi-aksi terbaik dari tim yang bersaing ketat untuk meraih kemenangan. Dapatkan informasi lengkap mengenai jadwal pertandingan dan hasil pertandingan terbaru hanya di Vidio.</t>
  </si>
  <si>
    <t>https://drive.google.com/file/d/1oLd9vM-UlSElIa4vshYudXWgpCwsJsFp/view?usp=sharing</t>
  </si>
  <si>
    <t>a715c158</t>
  </si>
  <si>
    <t>(Data Zone) Man United vs Arsenal - Premier League</t>
  </si>
  <si>
    <t>https://www.vidio.com/live/9183-champions-tv-6?schedule_id=4499270</t>
  </si>
  <si>
    <t>https://drive.google.com/drive/folders/1WTDwCDdZykcbcQDtlTJfHtXAR79GDF8n?usp=drive_link</t>
  </si>
  <si>
    <t>Nonton streaming pertandingan seru (Data Zone) Man United vs Arsenal - Premier League. Saksikan aksi-aksi terbaik dari tim yang bersaing ketat untuk meraih kemenangan. Dapatkan informasi lengkap mengenai jadwal pertandingan dan hasil pertandingan terbaru hanya di Vidio.</t>
  </si>
  <si>
    <t>https://drive.google.com/file/d/1UuIRNhOEvid_5DmgXxMp285uClRkiafN/view?usp=sharing</t>
  </si>
  <si>
    <t>96a25e73</t>
  </si>
  <si>
    <t>Jelang Kick Off - Dewa United Banten FC vs PERSIJA - BRI Super League</t>
  </si>
  <si>
    <t>https://www.vidio.com/live/19355-bri-super-league?schedule_id=4528586</t>
  </si>
  <si>
    <t>https://drive.google.com/drive/folders/1VKCIZ4dHV7o5FlPYNqN20rGWZtHE9ox6</t>
  </si>
  <si>
    <t>Nonton streaming pertandingan seru Jelang Kick Off - Dewa United Banten FC vs PERSIJA - BRI Super League. Saksikan aksi-aksi terbaik dari tim yang bersaing ketat untuk meraih kemenangan. Dapatkan informasi lengkap mengenai jadwal pertandingan dan hasil pertandingan terbaru hanya di Vidio.</t>
  </si>
  <si>
    <t>https://drive.google.com/file/d/13QoGXJBY9vOksyOauL2JaVjdUJ3pjDA6/view?usp=drive_link</t>
  </si>
  <si>
    <t>6782a2b3</t>
  </si>
  <si>
    <t>AEK Larnaca vs Legia Warszawa - UEFA Europa League</t>
  </si>
  <si>
    <t>https://www.vidio.com/live/6685-champions-tv-1?schedule_id=4484055</t>
  </si>
  <si>
    <t>https://drive.google.com/drive/folders/1uYdXOxlMAm5kbsog6UgqfrB_lgK-t141?usp=drive_link</t>
  </si>
  <si>
    <t>AEK Larnaca</t>
  </si>
  <si>
    <t>KP Legia Warszawa</t>
  </si>
  <si>
    <t>AEK Larnaca; kp legia warszawa; sports stream</t>
  </si>
  <si>
    <t>Nonton streaming pertandingan seru AEK Larnaca vs Legia Warszawa - UEFA Europa League. Saksikan aksi-aksi terbaik dari tim yang bersaing ketat untuk meraih kemenangan. Dapatkan informasi lengkap mengenai jadwal pertandingan dan hasil pertandingan terbaru hanya di Vidio.</t>
  </si>
  <si>
    <t>https://drive.google.com/file/d/1JnzhzzVBNcmH2xMvQv2Hxci6ojrlW344/view?usp=sharing</t>
  </si>
  <si>
    <t>2291573e</t>
  </si>
  <si>
    <t>Estrela Amadora vs Benfica - Liga Portugal</t>
  </si>
  <si>
    <t>https://www.vidio.com/live/6686-champions-tv-2?schedule_id=4503847</t>
  </si>
  <si>
    <t>https://drive.google.com/drive/u/1/folders/1JTyO2Te97UuKmpQaEIdjlbd0s-jEdRpz</t>
  </si>
  <si>
    <t>https://drive.google.com/drive/u/1/folders/1ATsg8fpH-Wd9EIs_srMtbvsUeJvdeMW3</t>
  </si>
  <si>
    <t>C.F. Estrela da Amadora</t>
  </si>
  <si>
    <t>cf estrela da amadora; sl benfica; sports stream</t>
  </si>
  <si>
    <t>Nonton streaming pertandingan seru Estrela Amadora vs Benfica - Liga Portugal. Saksikan aksi-aksi terbaik dari tim yang bersaing ketat untuk meraih kemenangan. Dapatkan informasi lengkap mengenai jadwal pertandingan dan hasil pertandingan terbaru hanya di Vidio.</t>
  </si>
  <si>
    <t>https://drive.google.com/file/d/1FkIPpai5Sy7evPzTqyucugeZdz3TXN4u/view?usp=sharing</t>
  </si>
  <si>
    <t>https://drive.google.com/file/d/1OHgB7pmLxkERuqqShpu_FkBVF8Fx-iGU/view?usp=drive_link</t>
  </si>
  <si>
    <t>98269cbb</t>
  </si>
  <si>
    <t>Sporting vs Arouca - Liga Portugal</t>
  </si>
  <si>
    <t>https://www.vidio.com/live/6685-champions-tv-1?schedule_id=4505809</t>
  </si>
  <si>
    <t>https://drive.google.com/drive/u/1/folders/1tsObtFDCZ4j1o9Yr7sLYnZXnGShlBPCK</t>
  </si>
  <si>
    <t>F.C. Arouca</t>
  </si>
  <si>
    <t>sporting clube de portugal; fc arouca; sports stream</t>
  </si>
  <si>
    <t>Nonton streaming pertandingan seru Sporting vs Arouca - Liga Portugal. Saksikan aksi-aksi terbaik dari tim yang bersaing ketat untuk meraih kemenangan. Dapatkan informasi lengkap mengenai jadwal pertandingan dan hasil pertandingan terbaru hanya di Vidio.</t>
  </si>
  <si>
    <t>https://drive.google.com/file/d/1oTHc__soDkftTLFBTFsqpt6ji5wzpYOg/view?usp=sharing</t>
  </si>
  <si>
    <t>https://drive.google.com/file/d/1b63r3Q4WK4I8C3_d1QRAsiMAjouKXGk_/view?usp=drive_link</t>
  </si>
  <si>
    <t>96d89176</t>
  </si>
  <si>
    <t>Benfica vs Tondela - Liga Portugal</t>
  </si>
  <si>
    <t>VIDIO - @ligaportugal</t>
  </si>
  <si>
    <t>https://www.vidio.com/live/18739-liga-portugal?schedule_id=4512831</t>
  </si>
  <si>
    <t>https://drive.google.com/drive/u/1/folders/1KgpkR9lbGtZQBDR7-Js1Asm7siS9iPo-</t>
  </si>
  <si>
    <t>https://drive.google.com/drive/u/1/folders/1Ae8xqesEgvRi5zl_E_y_OJuJpDQJDcTr</t>
  </si>
  <si>
    <t>CD Tondela</t>
  </si>
  <si>
    <t>sl benfica; CD Tondela; sports stream</t>
  </si>
  <si>
    <t>Nonton streaming pertandingan seru Benfica vs Tondela - Liga Portugal. Saksikan aksi-aksi terbaik dari tim yang bersaing ketat untuk meraih kemenangan. Dapatkan informasi lengkap mengenai jadwal pertandingan dan hasil pertandingan terbaru hanya di Vidio.</t>
  </si>
  <si>
    <t>https://drive.google.com/file/d/1WRYnOYVUm_FHKXX9aiwnRZBX-8BoR6s6/view?usp=sharing</t>
  </si>
  <si>
    <t>https://drive.google.com/file/d/1-9NRiGC_D8qYAU65DbXKwqzhDXRUSosX/view?usp=drive_link</t>
  </si>
  <si>
    <t>283a57be</t>
  </si>
  <si>
    <t>Nacional vs Sporting - Liga Portugal</t>
  </si>
  <si>
    <t>https://www.vidio.com/live/18739-liga-portugal?schedule_id=4512829</t>
  </si>
  <si>
    <t>https://drive.google.com/drive/u/1/folders/1nNW73DN0RXpDjcKSTAlgAcmDhAPBtisz</t>
  </si>
  <si>
    <t>CD Nacional</t>
  </si>
  <si>
    <t>cd nacional; sporting clube de portugal; sports stream</t>
  </si>
  <si>
    <t>Nonton streaming pertandingan seru Nacional vs Sporting - Liga Portugal. Saksikan aksi-aksi terbaik dari tim yang bersaing ketat untuk meraih kemenangan. Dapatkan informasi lengkap mengenai jadwal pertandingan dan hasil pertandingan terbaru hanya di Vidio.</t>
  </si>
  <si>
    <t>https://drive.google.com/file/d/1AzItDAqENkw2LinMLmLWk7_AaVFBTJJW/view?usp=sharing</t>
  </si>
  <si>
    <t>https://drive.google.com/file/d/1Y2rSruk6L6dalR1g9Gml-q5KGxtj25xF/view?usp=drive_link</t>
  </si>
  <si>
    <t>52536187</t>
  </si>
  <si>
    <t>Alverca vs Benfica - Liga Portugal</t>
  </si>
  <si>
    <t>https://www.vidio.com/live/6686-champions-tv-2?schedule_id=4520323</t>
  </si>
  <si>
    <t>https://drive.google.com/drive/u/0/folders/1H5eKlHLTH0fJec3EBYZSWgkbRqJrZ2qg</t>
  </si>
  <si>
    <t>https://drive.google.com/drive/u/0/folders/1Yg42ihwWx0cHqIe3Kl4V0SmjTxuD_vrx</t>
  </si>
  <si>
    <t>FC Alverca</t>
  </si>
  <si>
    <t>FC Alverca; sl benfica; sports stream</t>
  </si>
  <si>
    <t>Nonton streaming pertandingan seru Alverca vs Benfica - Liga Portugal. Saksikan aksi-aksi terbaik dari tim yang bersaing ketat untuk meraih kemenangan. Dapatkan informasi lengkap mengenai jadwal pertandingan dan hasil pertandingan terbaru hanya di Vidio.</t>
  </si>
  <si>
    <t>https://drive.google.com/file/d/1QfdXf2713ulFYoOFJHmK23G66Til7-y3/view?usp=sharing</t>
  </si>
  <si>
    <t>https://drive.google.com/file/d/1hFiX1bd9ZsEeWjuBVBpB2e8i7BPMr_oY/view?usp=drive_link</t>
  </si>
  <si>
    <t>3a44a1db</t>
  </si>
  <si>
    <t>Sporting vs Porto - Liga Portugal</t>
  </si>
  <si>
    <t>https://www.vidio.com/live/18739-liga-portugal?schedule_id=4525585</t>
  </si>
  <si>
    <t>https://drive.google.com/drive/u/0/folders/1_m877JUFhSU4IAXDZFzadm31g6IlKO7R</t>
  </si>
  <si>
    <t>sporting clube de portugal; fc porto; sports stream</t>
  </si>
  <si>
    <t>Nonton streaming pertandingan seru Sporting vs Porto - Liga Portugal. Saksikan aksi-aksi terbaik dari tim yang bersaing ketat untuk meraih kemenangan. Dapatkan informasi lengkap mengenai jadwal pertandingan dan hasil pertandingan terbaru hanya di Vidio.</t>
  </si>
  <si>
    <t>https://drive.google.com/file/d/16-2bg1kWMkQ2wcLalzIZhltJ9l2zL2m7/view?usp=sharing</t>
  </si>
  <si>
    <t>https://drive.google.com/file/d/1Gq8_huinTevGbOJWGCdWPXFmzOTl6Ypq/view?usp=drive_link</t>
  </si>
  <si>
    <t>https://drive.google.com/file/d/17yzY1ySaWpPMz4hapiBfUsBLd4ew6ds5/view?usp=sharing</t>
  </si>
  <si>
    <t>3c2db6f2</t>
  </si>
  <si>
    <t>Famalicao vs Sporting - Liga Portugal</t>
  </si>
  <si>
    <t>https://www.vidio.com/live/6686-champions-tv-2?schedule_id=4564945</t>
  </si>
  <si>
    <t>https://drive.google.com/drive/folders/1HS8I3KhAPphNjtql2iAGdhjr4brYuVwu</t>
  </si>
  <si>
    <t>https://drive.google.com/drive/folders/1uSLbtGKmSreKxiIh_xzoQjaRrF1MiJa2</t>
  </si>
  <si>
    <t>F.C. Famalicao</t>
  </si>
  <si>
    <t>fc famalicao; sporting clube de portugal; sports stream</t>
  </si>
  <si>
    <t>Nonton streaming pertandingan seru Famalicao vs Sporting - Liga Portugal. Saksikan aksi-aksi terbaik dari tim yang bersaing ketat untuk meraih kemenangan. Dapatkan informasi lengkap mengenai jadwal pertandingan dan hasil pertandingan terbaru hanya di Vidio.</t>
  </si>
  <si>
    <t>https://drive.google.com/file/d/1Q2jl275Tn_ju-ADngMSCIJbg8G5m7CPy/view?usp=sharing</t>
  </si>
  <si>
    <t>https://drive.google.com/file/d/19K1_SvjcfJZZLeAtcklJCFR3E7Q7rgNV/view?usp=drive_link</t>
  </si>
  <si>
    <t>c85e9b18</t>
  </si>
  <si>
    <t>Benfica vs Santa Clara - Liga Portugal</t>
  </si>
  <si>
    <t>https://www.vidio.com/live/6686-champions-tv-2?schedule_id=4564944</t>
  </si>
  <si>
    <t>https://drive.google.com/drive/folders/14RwjIwDRstBiXM-NJSTBxA4sfqY2miQ_</t>
  </si>
  <si>
    <t>CD Santa Clara</t>
  </si>
  <si>
    <t>sl benfica; cd santa clara; sports stream</t>
  </si>
  <si>
    <t>Nonton streaming pertandingan seru Benfica vs Santa Clara - Liga Portugal. Saksikan aksi-aksi terbaik dari tim yang bersaing ketat untuk meraih kemenangan. Dapatkan informasi lengkap mengenai jadwal pertandingan dan hasil pertandingan terbaru hanya di Vidio.</t>
  </si>
  <si>
    <t>https://drive.google.com/file/d/10egJPExncTTTpvsjBn48s350mqw2GgsA/view?usp=sharing</t>
  </si>
  <si>
    <t>https://drive.google.com/file/d/1Vl2OEIU7QFxOEZTKteUY_x4hD9x0CySh/view?usp=drive_link</t>
  </si>
  <si>
    <t>d82f64c0</t>
  </si>
  <si>
    <t>AVS vs Benfica - Liga Portugal</t>
  </si>
  <si>
    <t>https://www.vidio.com/live/18739-liga-portugal?schedule_id=4578418</t>
  </si>
  <si>
    <t>https://drive.google.com/drive/u/0/folders/1_2m9CN4k5B1xwYSVXIf2X_IrwefrWkR1</t>
  </si>
  <si>
    <t>https://drive.google.com/drive/folders/18QFxTlvxvZAHdTMh6rQDO0Zxttpbyefw</t>
  </si>
  <si>
    <t>AVS Futebol SAD</t>
  </si>
  <si>
    <t>avs futebol sad; sl benfica; sports stream</t>
  </si>
  <si>
    <t>Nonton streaming pertandingan seru AVS vs Benfica - Liga Portugal. Saksikan aksi-aksi terbaik dari tim yang bersaing ketat untuk meraih kemenangan. Dapatkan informasi lengkap mengenai jadwal pertandingan dan hasil pertandingan terbaru hanya di Vidio.</t>
  </si>
  <si>
    <t>A1</t>
  </si>
  <si>
    <t>https://drive.google.com/file/d/1v-SC6-KaJGmEvZQCsvUW03AZz-jL1cbW/view?usp=sharing</t>
  </si>
  <si>
    <t>https://drive.google.com/file/d/1-Gu85EWcwAS4R6kfWGhVqR89W06uPkH3/view?usp=drive_link</t>
  </si>
  <si>
    <t>73240ad5</t>
  </si>
  <si>
    <t>Sporting vs Moreirense - Liga Portugal</t>
  </si>
  <si>
    <t>https://www.vidio.com/live/6686-champions-tv-2?schedule_id=4587742</t>
  </si>
  <si>
    <t>https://drive.google.com/drive/u/0/folders/1DshvwjcFXhdvn0yf_NQap7_BH36uFqUZ</t>
  </si>
  <si>
    <t>Moreirense F.C.</t>
  </si>
  <si>
    <t>sporting clube de portugal; moreirense fc; sports stream</t>
  </si>
  <si>
    <t>Nonton streaming pertandingan seru Sporting vs Moreirense - Liga Portugal. Saksikan aksi-aksi terbaik dari tim yang bersaing ketat untuk meraih kemenangan. Dapatkan informasi lengkap mengenai jadwal pertandingan dan hasil pertandingan terbaru hanya di Vidio.</t>
  </si>
  <si>
    <t>https://drive.google.com/file/d/1O4Z564O30I-M5FiQc7ezx1pV0AcLT4J3/view?usp=sharing</t>
  </si>
  <si>
    <t>https://drive.google.com/file/d/15flQYQlin5WB5fkLICSqBIyCYIOzHfsK/view?usp=drive_link</t>
  </si>
  <si>
    <t>d292fc32</t>
  </si>
  <si>
    <t>Benfica vs Rio Ave - Liga Portugal</t>
  </si>
  <si>
    <t>Rio Ave F.C.</t>
  </si>
  <si>
    <t>sl benfica; rio ave fc; sports stream</t>
  </si>
  <si>
    <t>Nonton streaming pertandingan seru Benfica vs Rio Ave - Liga Portugal. Saksikan aksi-aksi terbaik dari tim yang bersaing ketat untuk meraih kemenangan. Dapatkan informasi lengkap mengenai jadwal pertandingan dan hasil pertandingan terbaru hanya di Vidio.</t>
  </si>
  <si>
    <t>208bdd7e</t>
  </si>
  <si>
    <t>Estoril Praia vs Sporting - Liga Portugal</t>
  </si>
  <si>
    <t>https://www.vidio.com/live/6686-champions-tv-2?schedule_id=4596468</t>
  </si>
  <si>
    <t>https://drive.google.com/drive/u/0/folders/1CltZ-tqR8X7JfZa6mlCmP8luG4IVI2OP</t>
  </si>
  <si>
    <t>https://drive.google.com/drive/folders/1FA67rxsR_u0ZnRo6Sg5SBWDdO6yOpZmW</t>
  </si>
  <si>
    <t>G.D. Estoril Praia</t>
  </si>
  <si>
    <t>gd estoril praia; sporting clube de portugal; sports stream</t>
  </si>
  <si>
    <t>Nonton streaming pertandingan seru Estoril Praia vs Sporting - Liga Portugal. Saksikan aksi-aksi terbaik dari tim yang bersaing ketat untuk meraih kemenangan. Dapatkan informasi lengkap mengenai jadwal pertandingan dan hasil pertandingan terbaru hanya di Vidio.</t>
  </si>
  <si>
    <t>A4</t>
  </si>
  <si>
    <t>https://drive.google.com/file/d/1Kjn5t6mrFC7cVennuByvmiZVwMgxMjjf/view?usp=sharing</t>
  </si>
  <si>
    <t>https://drive.google.com/file/d/1x8-yoegQF7b9OSRP_7ofqMt_HMPUdSfi/view?usp=drive_link</t>
  </si>
  <si>
    <t>c5645035</t>
  </si>
  <si>
    <t>Benfica vs Gil Vicente - Liga Portugal</t>
  </si>
  <si>
    <t>https://www.vidio.com/live/6686-champions-tv-2?schedule_id=4589893</t>
  </si>
  <si>
    <t>https://drive.google.com/drive/u/0/folders/1EFpb9Crw57e0MpFWsFYgzr9xalzfr7ai</t>
  </si>
  <si>
    <t>Gil Vicente F.C.</t>
  </si>
  <si>
    <t>sl benfica; gil vicente fc; sports stream</t>
  </si>
  <si>
    <t>Nonton streaming pertandingan seru Benfica vs Gil Vicente - Liga Portugal. Saksikan aksi-aksi terbaik dari tim yang bersaing ketat untuk meraih kemenangan. Dapatkan informasi lengkap mengenai jadwal pertandingan dan hasil pertandingan terbaru hanya di Vidio.</t>
  </si>
  <si>
    <t>https://drive.google.com/file/d/1eJLGkyjP3mtVJfkxE2OWVQRZCuQKDcXX/view?usp=sharing</t>
  </si>
  <si>
    <t>https://drive.google.com/file/d/1iVovPIT7eFL7Uy8PX1yq5BjdwGJ7nqgx/view?usp=drive_link</t>
  </si>
  <si>
    <t>35075e6c</t>
  </si>
  <si>
    <t>Porto vs Benfica - Liga Portugal</t>
  </si>
  <si>
    <t>https://www.vidio.com/live/6686-champions-tv-2?schedule_id=4630480</t>
  </si>
  <si>
    <t>https://drive.google.com/drive/u/0/folders/1Lalc2EPka3ytlAJifjPJ5DFopqXroIZW</t>
  </si>
  <si>
    <t>https://drive.google.com/drive/u/0/folders/1BZCIqVX3oI_62_v4XfXulhbZtOrHA66e</t>
  </si>
  <si>
    <t>fc porto; sl benfica; sports stream</t>
  </si>
  <si>
    <t>Nonton streaming pertandingan seru Porto vs Benfica - Liga Portugal. Saksikan aksi-aksi terbaik dari tim yang bersaing ketat untuk meraih kemenangan. Dapatkan informasi lengkap mengenai jadwal pertandingan dan hasil pertandingan terbaru hanya di Vidio.</t>
  </si>
  <si>
    <t>E3</t>
  </si>
  <si>
    <t>https://drive.google.com/file/d/17IaFFEX6Q654EGtymP5s84h52YZ-2OIh/view?usp=sharing</t>
  </si>
  <si>
    <t>https://drive.google.com/file/d/1jogYdrR3DvV19Uy9azedyc0QfT4t0YuF/view?usp=drive_link</t>
  </si>
  <si>
    <t>https://drive.google.com/file/d/1MOEw7jYJyvCzE6K89LPDI3OlvOQ_Zs2G/view?usp=sharing</t>
  </si>
  <si>
    <t>80ae4e98</t>
  </si>
  <si>
    <t>Sporting vs Braga - Liga Portugal</t>
  </si>
  <si>
    <t>https://www.vidio.com/live/18739-liga-portugal?schedule_id=4630482</t>
  </si>
  <si>
    <t>https://drive.google.com/drive/u/0/folders/1UZmpcTBQGRbXBWqKITJ1SxwIBTRS03l7</t>
  </si>
  <si>
    <t>S.C. Braga</t>
  </si>
  <si>
    <t>sporting clube de portugal; sporting braga; sports stream</t>
  </si>
  <si>
    <t>Nonton streaming pertandingan seru Sporting vs Braga - Liga Portugal. Saksikan aksi-aksi terbaik dari tim yang bersaing ketat untuk meraih kemenangan. Dapatkan informasi lengkap mengenai jadwal pertandingan dan hasil pertandingan terbaru hanya di Vidio.</t>
  </si>
  <si>
    <t>https://drive.google.com/file/d/17F8ARhIXySICGRzLzfE3ODmFASErNGvG/view?usp=sharing</t>
  </si>
  <si>
    <t>https://drive.google.com/file/d/10P4R03rCTQ5wzHsm_a4gUMocm1B5I6xG/view?usp=drive_link</t>
  </si>
  <si>
    <t>2f66fcd3</t>
  </si>
  <si>
    <t>Benfica vs Arouca - Liga Portugal</t>
  </si>
  <si>
    <t>https://www.vidio.com/live/6685-champions-tv-1?schedule_id=4665902</t>
  </si>
  <si>
    <t>https://drive.google.com/drive/folders/13yOTaSsx5bXvrvIYakD3bAJCOYXhpdoQ</t>
  </si>
  <si>
    <t>https://drive.google.com/drive/folders/1Gf8rp1ZhIB8bwvt2XtBpsY77lEopUh6y</t>
  </si>
  <si>
    <t>sl benfica; fc arouca; sports stream</t>
  </si>
  <si>
    <t>Nonton streaming pertandingan seru Benfica vs Arouca - Liga Portugal. Saksikan aksi-aksi terbaik dari tim yang bersaing ketat untuk meraih kemenangan. Dapatkan informasi lengkap mengenai jadwal pertandingan dan hasil pertandingan terbaru hanya di Vidio.</t>
  </si>
  <si>
    <t>https://drive.google.com/file/d/1fy1qYqOh9Uy9jjQaTM5ihlwcTmpAsKNq/view?usp=sharing</t>
  </si>
  <si>
    <t>https://drive.google.com/file/d/1K94s_1n53jNB57dODOzPpQJZPzN-0MrB/view?usp=drive_link</t>
  </si>
  <si>
    <t>2ab299ff</t>
  </si>
  <si>
    <t>Tondela vs Sporting - Liga Portugal</t>
  </si>
  <si>
    <t>https://www.vidio.com/live/18739-liga-portugal?schedule_id=4670653</t>
  </si>
  <si>
    <t>https://drive.google.com/drive/folders/1y3FJCNlo7RZ8GikL8dQL5t10SiBG89xQ</t>
  </si>
  <si>
    <t>CD Tondela; sporting clube de portugal; sports stream</t>
  </si>
  <si>
    <t>Nonton streaming pertandingan seru Tondela vs Sporting - Liga Portugal. Saksikan aksi-aksi terbaik dari tim yang bersaing ketat untuk meraih kemenangan. Dapatkan informasi lengkap mengenai jadwal pertandingan dan hasil pertandingan terbaru hanya di Vidio.</t>
  </si>
  <si>
    <t>https://drive.google.com/file/d/1hIzJNYYZViHy-qWz8ZZr6XMkMVlA4IZv/view?usp=sharing</t>
  </si>
  <si>
    <t>https://drive.google.com/file/d/1bCG1YClkxBwBJl4YW9Fxd5JKd4P4lnHM/view?usp=drive_link</t>
  </si>
  <si>
    <t>f305bf67</t>
  </si>
  <si>
    <t>Sporting vs Alverca - Liga Portugal</t>
  </si>
  <si>
    <t>https://www.vidio.com/live/18739-liga-portugal?schedule_id=4674577</t>
  </si>
  <si>
    <t>https://drive.google.com/drive/folders/1i4VK-FHqsMotq_h5NJ4Q3ZyZGs6Kfi4t</t>
  </si>
  <si>
    <t>https://drive.google.com/drive/folders/1ia2Jk20QOcKxQaHWIAsMMY_WFQkn-2uA</t>
  </si>
  <si>
    <t>sporting clube de portugal; FC Alverca; sports stream</t>
  </si>
  <si>
    <t>Nonton streaming pertandingan seru Sporting vs Alverca - Liga Portugal. Saksikan aksi-aksi terbaik dari tim yang bersaing ketat untuk meraih kemenangan. Dapatkan informasi lengkap mengenai jadwal pertandingan dan hasil pertandingan terbaru hanya di Vidio.</t>
  </si>
  <si>
    <t>https://drive.google.com/file/d/1mws9Ze0KxWmYhDmPzHUL-oQ-bL_VGwrj/view?usp=sharing</t>
  </si>
  <si>
    <t>https://drive.google.com/file/d/1UP-JBd3WG585T5frAx69WMU0a1ZUmUYs/view?usp=drive_link</t>
  </si>
  <si>
    <t>4190a2ae</t>
  </si>
  <si>
    <t>Vitoria SC vs Benfica - Liga Portugal</t>
  </si>
  <si>
    <t>https://www.vidio.com/live/6686-champions-tv-2?schedule_id=4676978</t>
  </si>
  <si>
    <t>https://drive.google.com/drive/folders/1jh_xQK5yQprieeL75X5RcEZsYJQyZsP3</t>
  </si>
  <si>
    <t>vitoria sc; sl benfica; sports stream</t>
  </si>
  <si>
    <t>Nonton streaming pertandingan seru Vitoria SC vs Benfica - Liga Portugal. Saksikan aksi-aksi terbaik dari tim yang bersaing ketat untuk meraih kemenangan. Dapatkan informasi lengkap mengenai jadwal pertandingan dan hasil pertandingan terbaru hanya di Vidio.</t>
  </si>
  <si>
    <t>https://drive.google.com/file/d/1UgAbBjOy6uRQiQdhhNfSKjzdSl_aBNk5/view?usp=sharing</t>
  </si>
  <si>
    <t>https://drive.google.com/file/d/1Awemwe_ggcpHm6Fbbpna97zOiuRMOiWE/view?usp=drive_link</t>
  </si>
  <si>
    <t>77b1ea2d</t>
  </si>
  <si>
    <t>Santa Clara vs Sporting - Liga Portugal</t>
  </si>
  <si>
    <t>https://www.vidio.com/live/6685-champions-tv-1?schedule_id=4706737</t>
  </si>
  <si>
    <t>https://drive.google.com/drive/folders/1Q3MjZIFesetBxu1AIPvsIJ060sDI2sww</t>
  </si>
  <si>
    <t>https://drive.google.com/drive/folders/1QgDcwVGAVF7itanmN-FPf50QKaOJD0cp</t>
  </si>
  <si>
    <t>cd santa clara; sporting clube de portugal; sports stream</t>
  </si>
  <si>
    <t>Nonton streaming pertandingan seru Santa Clara vs Sporting - Liga Portugal. Saksikan aksi-aksi terbaik dari tim yang bersaing ketat untuk meraih kemenangan. Dapatkan informasi lengkap mengenai jadwal pertandingan dan hasil pertandingan terbaru hanya di Vidio.</t>
  </si>
  <si>
    <t>https://drive.google.com/file/d/1g9ECtVREin0l7oaaWgKV9rF6PrgHaACx/view?usp=sharing</t>
  </si>
  <si>
    <t>https://drive.google.com/file/d/1LvFjvafKHKgH30WV5GKbb1KQhzVJLdyP/view?usp=drive_link</t>
  </si>
  <si>
    <t>b16eef9a</t>
  </si>
  <si>
    <t>Benfica vs Casa Pia - Liga Portugal</t>
  </si>
  <si>
    <t>https://www.vidio.com/live/18739-liga-portugal?schedule_id=4708925</t>
  </si>
  <si>
    <t>https://drive.google.com/drive/folders/1Tt2qLeNePjV3RaaCT5rKhqjBhM_e1b9_</t>
  </si>
  <si>
    <t>sl benfica; casa pia ac; sports stream</t>
  </si>
  <si>
    <t>Nonton streaming pertandingan seru Benfica vs Casa Pia - Liga Portugal. Saksikan aksi-aksi terbaik dari tim yang bersaing ketat untuk meraih kemenangan. Dapatkan informasi lengkap mengenai jadwal pertandingan dan hasil pertandingan terbaru hanya di Vidio.</t>
  </si>
  <si>
    <t>https://drive.google.com/file/d/14Xp4DzPQWH21O_aonRmZ6WR1cr7t-Ji4/view?usp=sharing</t>
  </si>
  <si>
    <t>https://drive.google.com/file/d/1AO5LAr8X98BjOT7Yqv8qG_N8bIuWk3CB/view?usp=drive_link</t>
  </si>
  <si>
    <t>b272bfb8</t>
  </si>
  <si>
    <t>Nacional vs Benfica - Liga Portugal</t>
  </si>
  <si>
    <t>https://www.vidio.com/live/6686-champions-tv-2?schedule_id=4741011</t>
  </si>
  <si>
    <t>https://drive.google.com/drive/u/0/folders/1B70p9yJk_Pvq-T4M45WD9u5eSsILgbrz</t>
  </si>
  <si>
    <t>https://drive.google.com/drive/folders/1uWbUC4hoA00dYNPse9fVbCEWFxiyczce</t>
  </si>
  <si>
    <t>cd nacional; sl benfica; sports stream</t>
  </si>
  <si>
    <t>Nonton streaming pertandingan seru Nacional vs Benfica - Liga Portugal. Saksikan aksi-aksi terbaik dari tim yang bersaing ketat untuk meraih kemenangan. Dapatkan informasi lengkap mengenai jadwal pertandingan dan hasil pertandingan terbaru hanya di Vidio.</t>
  </si>
  <si>
    <t>https://drive.google.com/file/d/1uhH4SmHFrHXu9dtVpdqTnKASkUhzhdE6/view?usp=sharing</t>
  </si>
  <si>
    <t>https://drive.google.com/file/d/1I774-MACZ9rbvSJyPDl4JzuWvrrCPrKZ/view?usp=drive_link</t>
  </si>
  <si>
    <t>4102498d</t>
  </si>
  <si>
    <t>Sporting vs Estrela Amadora - Liga Portugal</t>
  </si>
  <si>
    <t>https://www.vidio.com/live/18739-liga-portugal?schedule_id=4741384</t>
  </si>
  <si>
    <t>https://drive.google.com/drive/u/0/folders/14E44FWgsUzKcynDskX7ZAhT6ZIAANwKv</t>
  </si>
  <si>
    <t>sporting clube de portugal; cf estrela da amadora; sports stream</t>
  </si>
  <si>
    <t>Nonton streaming pertandingan seru Sporting vs Estrela Amadora - Liga Portugal. Saksikan aksi-aksi terbaik dari tim yang bersaing ketat untuk meraih kemenangan. Dapatkan informasi lengkap mengenai jadwal pertandingan dan hasil pertandingan terbaru hanya di Vidio.</t>
  </si>
  <si>
    <t>https://drive.google.com/file/d/1nPhKBSU2SfojNjQf3E6z_SravVEKbvUD/view?usp=sharing</t>
  </si>
  <si>
    <t>https://drive.google.com/file/d/1E1_bZdzU5irm5pi-kdfcSWS89WhPV67L/view?usp=drive_link</t>
  </si>
  <si>
    <t>ec68f87a</t>
  </si>
  <si>
    <t>Benfica vs Sporting - Liga Portugal</t>
  </si>
  <si>
    <t>https://www.vidio.com/live/18739-liga-portugal?schedule_id=4741386</t>
  </si>
  <si>
    <t>https://drive.google.com/drive/u/0/folders/13vjVrpa0DHhv0gn357ALVSNVacjdHOJc</t>
  </si>
  <si>
    <t>sl benfica; sporting clube de portugal; sports stream</t>
  </si>
  <si>
    <t>Nonton streaming pertandingan seru Benfica vs Sporting - Liga Portugal. Saksikan aksi-aksi terbaik dari tim yang bersaing ketat untuk meraih kemenangan. Dapatkan informasi lengkap mengenai jadwal pertandingan dan hasil pertandingan terbaru hanya di Vidio.</t>
  </si>
  <si>
    <t>https://drive.google.com/file/d/1RizxjdupglcXycE5FuNUqbLL3SQACzVD/view?usp=sharing</t>
  </si>
  <si>
    <t>https://drive.google.com/file/d/1MuEZA65dzocGxV0zsg916E3yc8vZVrsw/view?usp=sharing</t>
  </si>
  <si>
    <t>e099d5e1</t>
  </si>
  <si>
    <t>Tondela vs Porto - Liga Portugal</t>
  </si>
  <si>
    <t>https://www.vidio.com/live/18739-liga-portugal?schedule_id=4768734</t>
  </si>
  <si>
    <t>https://drive.google.com/drive/u/0/folders/1Q7uSH2rJHBAHVDdQSkgfSNVcSutnHRcH</t>
  </si>
  <si>
    <t>CD Tondela; fc porto; sports stream</t>
  </si>
  <si>
    <t>Nonton streaming pertandingan seru Tondela vs Porto - Liga Portugal. Saksikan aksi-aksi terbaik dari tim yang bersaing ketat untuk meraih kemenangan. Dapatkan informasi lengkap mengenai jadwal pertandingan dan hasil pertandingan terbaru hanya di Vidio.</t>
  </si>
  <si>
    <t>https://drive.google.com/file/d/1y6lzFXtR2MRYOOiTotKSJAGykSv7s3oQ/view?usp=sharing</t>
  </si>
  <si>
    <t>828ae4f1</t>
  </si>
  <si>
    <t>Sporting vs AVS - Liga Portugal</t>
  </si>
  <si>
    <t>https://www.vidio.com/live/18739-liga-portugal?schedule_id=4773352</t>
  </si>
  <si>
    <t>https://drive.google.com/drive/folders/1h11IfY_EQHYH6EZGwwMG7cjcvezrRNZg</t>
  </si>
  <si>
    <t>https://drive.google.com/file/d/1-73Vp3k0Yw53_YJ59PhPrTCpW9htY2L3/view?usp=share_link</t>
  </si>
  <si>
    <t>sporting clube de portugal; avs futebol sad; sports stream</t>
  </si>
  <si>
    <t>Nonton streaming pertandingan seru Sporting vs AVS - Liga Portugal. Saksikan aksi-aksi terbaik dari tim yang bersaing ketat untuk meraih kemenangan. Dapatkan informasi lengkap mengenai jadwal pertandingan dan hasil pertandingan terbaru hanya di Vidio.</t>
  </si>
  <si>
    <t>https://thumbor.prod.vidiocdn.com/AYY50D3VrfMK1RSJFsT1VyEzlys=/filters:quality(70)/vidio-media-production/uploads/image/source/52032/91e9a7.png</t>
  </si>
  <si>
    <t>https://thumbor.prod.vidiocdn.com/PfY_jS3z6qWQ4znuw6ILGEPoPzI=/filters:quality(70)/vidio-media-production/uploads/image/source/52031/a57d12.png</t>
  </si>
  <si>
    <t>78a2476c</t>
  </si>
  <si>
    <t>Porto vs Estrela Amadora - Liga Portugal</t>
  </si>
  <si>
    <t>https://www.vidio.com/live/18739-liga-portugal?schedule_id=4779534</t>
  </si>
  <si>
    <t>https://drive.google.com/drive/folders/18h8x-2Kja_b1ncLfr8TWpthERmTVwNxM</t>
  </si>
  <si>
    <t>https://drive.google.com/file/d/10PLbtvoVvzvSeLhVVWaDezt-f3hctt6L/view?usp=share_link</t>
  </si>
  <si>
    <t>fc porto; cf estrela da amadora; sports stream</t>
  </si>
  <si>
    <t>Nonton streaming pertandingan seru Porto vs Estrela Amadora - Liga Portugal. Saksikan aksi-aksi terbaik dari tim yang bersaing ketat untuk meraih kemenangan. Dapatkan informasi lengkap mengenai jadwal pertandingan dan hasil pertandingan terbaru hanya di Vidio.</t>
  </si>
  <si>
    <t>https://thumbor.prod.vidiocdn.com/uUCNtYY5FsSCGHj3uFbxHpfRjyk=/filters:quality(70)/vidio-media-production/uploads/image/source/52865/047f8c.png</t>
  </si>
  <si>
    <t>https://thumbor.prod.vidiocdn.com/hV-aWzU9wcsP6AHLiFqxDC90_uc=/filters:quality(70)/vidio-media-production/uploads/image/source/52864/a694bb.png</t>
  </si>
  <si>
    <t>65a0cc1a</t>
  </si>
  <si>
    <t>Vitoria SC vs Sporting - Liga Portugal</t>
  </si>
  <si>
    <t>https://www.vidio.com/live/6686-champions-tv-2?schedule_id=4790712</t>
  </si>
  <si>
    <t>https://drive.google.com/drive/folders/1-ebg16a6fGQchK0Vb9OuXetW0zg10iLK</t>
  </si>
  <si>
    <t>https://drive.google.com/file/d/1NHgq4YW04Od4SSOL930GtvmYtJge8Wpv/view?usp=share_link</t>
  </si>
  <si>
    <t>vitoria sc; sporting clube de portugal; sports stream</t>
  </si>
  <si>
    <t>Nonton streaming pertandingan seru Vitoria SC vs Sporting - Liga Portugal. Saksikan aksi-aksi terbaik dari tim yang bersaing ketat untuk meraih kemenangan. Dapatkan informasi lengkap mengenai jadwal pertandingan dan hasil pertandingan terbaru hanya di Vidio.</t>
  </si>
  <si>
    <t>https://thumbor.prod.vidiocdn.com/KIHhNxg-m3NU1tWfs_Rc8-cJZLo=/filters:quality(70)/vidio-media-production/uploads/image/source/52020/a05fcd.png</t>
  </si>
  <si>
    <t>https://thumbor.prod.vidiocdn.com/w4jVV5pMhu34dM9en1B0cp39nDY=/filters:quality(70)/vidio-media-production/uploads/image/source/52019/e55fc6.png</t>
  </si>
  <si>
    <t>ec41f1ee</t>
  </si>
  <si>
    <t>Benfica vs Famalicao - Liga Portugal</t>
  </si>
  <si>
    <t>https://www.vidio.com/live/6686-champions-tv-2?schedule_id=4790671</t>
  </si>
  <si>
    <t>https://drive.google.com/drive/folders/19v2dPBsSFtHAlBJsw9MNUpM5G4iXCEDX</t>
  </si>
  <si>
    <t>https://drive.google.com/file/d/1MbwaP224bBc2v6NapLP1WfW77G2T_hip/view?usp=share_link</t>
  </si>
  <si>
    <t>sl benfica; fc famalicao; sports stream</t>
  </si>
  <si>
    <t>Nonton streaming pertandingan seru Benfica vs Famalicao - Liga Portugal. Saksikan aksi-aksi terbaik dari tim yang bersaing ketat untuk meraih kemenangan. Dapatkan informasi lengkap mengenai jadwal pertandingan dan hasil pertandingan terbaru hanya di Vidio.</t>
  </si>
  <si>
    <t>https://thumbor.prod.vidiocdn.com/IR27jEHzUTAkDBIQDe0tWuXbe8k=/filters:quality(70)/vidio-media-production/uploads/image/source/52112/1667e8.png</t>
  </si>
  <si>
    <t>https://thumbor.prod.vidiocdn.com/UCZcHER_oolGcz1m8fwDHwdDXq8=/filters:quality(70)/vidio-media-production/uploads/image/source/52111/1b3a42.png</t>
  </si>
  <si>
    <t>b0d0c250</t>
  </si>
  <si>
    <t>Braga vs Benfica - Liga Portugal</t>
  </si>
  <si>
    <t>https://www.vidio.com/live/6686-champions-tv-2?schedule_id=4798634</t>
  </si>
  <si>
    <t>https://drive.google.com/drive/folders/1zRiXNzdklBWBR4GB59xDBaO2dsnWJNIb</t>
  </si>
  <si>
    <t>https://drive.google.com/file/d/1Nismctnl5IZLABIsNtnN-l37nsPRVgkw/view?usp=share_link</t>
  </si>
  <si>
    <t>sporting braga; sl benfica; sports stream</t>
  </si>
  <si>
    <t>Nonton streaming pertandingan seru Braga vs Benfica - Liga Portugal. Saksikan aksi-aksi terbaik dari tim yang bersaing ketat untuk meraih kemenangan. Dapatkan informasi lengkap mengenai jadwal pertandingan dan hasil pertandingan terbaru hanya di Vidio.</t>
  </si>
  <si>
    <t>https://thumbor.prod.vidiocdn.com/dgdHtCWdFGsTcRn8P0J-tjRB10c=/filters:quality(70)/vidio-media-production/uploads/image/source/52010/8983f7.png</t>
  </si>
  <si>
    <t>https://thumbor.prod.vidiocdn.com/dLyFNZGyojWnhGQK1WqB4tfa1Ss=/filters:quality(70)/vidio-media-production/uploads/image/source/52009/023c27.png</t>
  </si>
  <si>
    <t>aea4025d</t>
  </si>
  <si>
    <t>Sporting vs Rio Ave - Liga Portugal</t>
  </si>
  <si>
    <t>https://www.vidio.com/live/6686-champions-tv-2?schedule_id=4798635</t>
  </si>
  <si>
    <t>https://drive.google.com/drive/folders/1jJ3tkSsCpIjXohQU46tSRj6Jkgtc_-h9</t>
  </si>
  <si>
    <t>https://drive.google.com/file/d/1rOfZ78IJ9iu8948rYdRbKvd-C0_Ocw0u/view?usp=share_link</t>
  </si>
  <si>
    <t>sporting clube de portugal; rio ave fc; sports stream</t>
  </si>
  <si>
    <t>Nonton streaming pertandingan seru Sporting vs Rio Ave - Liga Portugal. Saksikan aksi-aksi terbaik dari tim yang bersaing ketat untuk meraih kemenangan. Dapatkan informasi lengkap mengenai jadwal pertandingan dan hasil pertandingan terbaru hanya di Vidio.</t>
  </si>
  <si>
    <t>https://thumbor.prod.vidiocdn.com/xzKX8QFY_ov-PQuRn8Ekkii5AFQ=/filters:quality(70)/vidio-media-production/uploads/image/source/52012/daa002.png</t>
  </si>
  <si>
    <t>https://thumbor.prod.vidiocdn.com/QcNKzpAHbJG7zXHdm8Icshrx6_4=/filters:quality(70)/vidio-media-production/uploads/image/source/52011/f14a72.png</t>
  </si>
  <si>
    <t>fc5689f9</t>
  </si>
  <si>
    <t>Gil Vicente vs Sporting - Liga Portugal</t>
  </si>
  <si>
    <t>https://www.vidio.com/live/6685-champions-tv-1?schedule_id=4803411</t>
  </si>
  <si>
    <t>https://drive.google.com/drive/folders/1A-EekHhLb5KT37FZlYp3_SllnJT6sh07</t>
  </si>
  <si>
    <t>https://drive.google.com/file/d/15hahqtqIXcZV3W6JTh0qkN8k8iuSvtOI/view?usp=share_link</t>
  </si>
  <si>
    <t>gil vicente fc; sporting clube de portugal; sports stream</t>
  </si>
  <si>
    <t>Nonton streaming pertandingan seru Gil Vicente vs Sporting - Liga Portugal. Saksikan aksi-aksi terbaik dari tim yang bersaing ketat untuk meraih kemenangan. Dapatkan informasi lengkap mengenai jadwal pertandingan dan hasil pertandingan terbaru hanya di Vidio.</t>
  </si>
  <si>
    <t>https://thumbor.prod.vidiocdn.com/J85t9wsH3khmqLy1cGxRCSH85YU=/filters:quality(70)/vidio-media-production/uploads/image/source/52014/f12b3b.png</t>
  </si>
  <si>
    <t>https://thumbor.prod.vidiocdn.com/QomiN9Mz00JUPPwp4eLMn3Yx-bA=/filters:quality(70)/vidio-media-production/uploads/image/source/52013/a968f9.png</t>
  </si>
  <si>
    <t>daaad605</t>
  </si>
  <si>
    <t>Benfica vs Estoril Praia - Liga Portugal</t>
  </si>
  <si>
    <t>https://www.vidio.com/live/6685-champions-tv-1?schedule_id=4819782</t>
  </si>
  <si>
    <t>https://drive.google.com/drive/folders/1KBDtDZvJxEuGHxdQxlQh4gaEntnKripI</t>
  </si>
  <si>
    <t>https://drive.google.com/file/d/1gCek7dsSq2q11MZUEy7VDzCvISVQ-5dM/view?usp=share_link</t>
  </si>
  <si>
    <t>sl benfica; gd estoril praia; sports stream</t>
  </si>
  <si>
    <t>Nonton streaming pertandingan seru Benfica vs Estoril Praia - Liga Portugal. Saksikan aksi-aksi terbaik dari tim yang bersaing ketat untuk meraih kemenangan. Dapatkan informasi lengkap mengenai jadwal pertandingan dan hasil pertandingan terbaru hanya di Vidio.</t>
  </si>
  <si>
    <t>https://thumbor.prod.vidiocdn.com/y9pVK8Wn6Kr76G565DLTlf_v8tk=/filters:quality(70)/vidio-media-production/uploads/image/source/52016/b40702.png</t>
  </si>
  <si>
    <t>https://thumbor.prod.vidiocdn.com/8q54yS_rqvI6yGr-KSnNbVZwvCU=/filters:quality(70)/vidio-media-production/uploads/image/source/52015/c8eb5a.png</t>
  </si>
  <si>
    <t>60e7b675</t>
  </si>
  <si>
    <t>Sporting vs Casa Pia - Liga Portugal</t>
  </si>
  <si>
    <t>sporting clube de portugal; casa pia ac; sports stream</t>
  </si>
  <si>
    <t>Nonton streaming pertandingan seru Sporting vs Casa Pia - Liga Portugal. Saksikan aksi-aksi terbaik dari tim yang bersaing ketat untuk meraih kemenangan. Dapatkan informasi lengkap mengenai jadwal pertandingan dan hasil pertandingan terbaru hanya di Vidio.</t>
  </si>
  <si>
    <t>https://thumbor.prod.vidiocdn.com/5AxUOBFl36UeKXYF9HZG4zS5YWs=/filters:quality(70)/vidio-media-production/uploads/image/source/53052/313785.png</t>
  </si>
  <si>
    <t>https://thumbor.prod.vidiocdn.com/ktH_TI0WRi2wrqbd1oaE7FAHM88=/filters:quality(70)/vidio-media-production/uploads/image/source/53051/469107.png</t>
  </si>
  <si>
    <t>4a46e283</t>
  </si>
  <si>
    <t>Rio Ave vs Benfica - Liga Portugal</t>
  </si>
  <si>
    <t>rio ave fc; sl benfica; sports stream</t>
  </si>
  <si>
    <t>Nonton streaming pertandingan seru Rio Ave vs Benfica - Liga Portugal. Saksikan aksi-aksi terbaik dari tim yang bersaing ketat untuk meraih kemenangan. Dapatkan informasi lengkap mengenai jadwal pertandingan dan hasil pertandingan terbaru hanya di Vidio.</t>
  </si>
  <si>
    <t>https://thumbor.prod.vidiocdn.com/mlV0n8O2R2Dry_5Z4GaX6gmoOCU=/filters:quality(70)/vidio-media-production/uploads/image/source/53055/9ba4bd.png</t>
  </si>
  <si>
    <t>https://thumbor.prod.vidiocdn.com/wxg_DARk92oaEZIBO9pF11yxY88=/filters:quality(70)/vidio-media-production/uploads/image/source/53053/06bb10.png</t>
  </si>
  <si>
    <t>8a0fcc8e</t>
  </si>
  <si>
    <t>Benfica vs Estrela Amadora - Liga Portugal</t>
  </si>
  <si>
    <t>sl benfica; cf estrela da amadora; sports stream</t>
  </si>
  <si>
    <t>Nonton streaming pertandingan seru Benfica vs Estrela Amadora - Liga Portugal. Saksikan aksi-aksi terbaik dari tim yang bersaing ketat untuk meraih kemenangan. Dapatkan informasi lengkap mengenai jadwal pertandingan dan hasil pertandingan terbaru hanya di Vidio.</t>
  </si>
  <si>
    <t>https://thumbor.prod.vidiocdn.com/aw8tluBIGsSbiKRVm2wsv7Y4B7Y=/filters:quality(70)/vidio-media-production/uploads/image/source/53058/30bdc4.png</t>
  </si>
  <si>
    <t>https://thumbor.prod.vidiocdn.com/9d8wP51YvLUn2YDQ8uQVKfzw-ic=/filters:quality(70)/vidio-media-production/uploads/image/source/53056/3aa57a.png</t>
  </si>
  <si>
    <t>1b368cc2</t>
  </si>
  <si>
    <t>Arouca vs Sporting - Liga Portugal</t>
  </si>
  <si>
    <t>fc arouca; sporting clube de portugal; sports stream</t>
  </si>
  <si>
    <t>Nonton streaming pertandingan seru Arouca vs Sporting - Liga Portugal. Saksikan aksi-aksi terbaik dari tim yang bersaing ketat untuk meraih kemenangan. Dapatkan informasi lengkap mengenai jadwal pertandingan dan hasil pertandingan terbaru hanya di Vidio.</t>
  </si>
  <si>
    <t>https://thumbor.prod.vidiocdn.com/1w1r5U5NWpG2VLGI-GLguf4fFI0=/filters:quality(70)/vidio-media-production/uploads/image/source/53057/6463be.png</t>
  </si>
  <si>
    <t>https://thumbor.prod.vidiocdn.com/6xEmdEJ-oYp7H81jixHsUXoO12E=/filters:quality(70)/vidio-media-production/uploads/image/source/53054/952f17.png</t>
  </si>
  <si>
    <t>c3389287</t>
  </si>
  <si>
    <t>Sporting vs Nacional - Liga Portugal</t>
  </si>
  <si>
    <t>sporting clube de portugal; cd nacional; sports stream</t>
  </si>
  <si>
    <t>Nonton streaming pertandingan seru Sporting vs Nacional - Liga Portugal. Saksikan aksi-aksi terbaik dari tim yang bersaing ketat untuk meraih kemenangan. Dapatkan informasi lengkap mengenai jadwal pertandingan dan hasil pertandingan terbaru hanya di Vidio.</t>
  </si>
  <si>
    <t>cf0efcc4</t>
  </si>
  <si>
    <t>Tondela vs Benfica - Liga Portugal</t>
  </si>
  <si>
    <t>CD Tondela; sl benfica; sports stream</t>
  </si>
  <si>
    <t>Nonton streaming pertandingan seru Tondela vs Benfica - Liga Portugal. Saksikan aksi-aksi terbaik dari tim yang bersaing ketat untuk meraih kemenangan. Dapatkan informasi lengkap mengenai jadwal pertandingan dan hasil pertandingan terbaru hanya di Vidio.</t>
  </si>
  <si>
    <t>94651d35</t>
  </si>
  <si>
    <t>Porto vs Sporting - Liga Portugal</t>
  </si>
  <si>
    <t>fc porto; sporting clube de portugal; sports stream</t>
  </si>
  <si>
    <t>Nonton streaming pertandingan seru Porto vs Sporting - Liga Portugal. Saksikan aksi-aksi terbaik dari tim yang bersaing ketat untuk meraih kemenangan. Dapatkan informasi lengkap mengenai jadwal pertandingan dan hasil pertandingan terbaru hanya di Vidio.</t>
  </si>
  <si>
    <t>bf48f03f</t>
  </si>
  <si>
    <t>Benfica vs Alverca - Liga Portugal</t>
  </si>
  <si>
    <t>sl benfica; FC Alverca; sports stream</t>
  </si>
  <si>
    <t>Nonton streaming pertandingan seru Benfica vs Alverca - Liga Portugal. Saksikan aksi-aksi terbaik dari tim yang bersaing ketat untuk meraih kemenangan. Dapatkan informasi lengkap mengenai jadwal pertandingan dan hasil pertandingan terbaru hanya di Vidio.</t>
  </si>
  <si>
    <t>36615e8e</t>
  </si>
  <si>
    <t>Santa Clara vs Benfica - Liga Portugal</t>
  </si>
  <si>
    <t>cd santa clara; sl benfica; sports stream</t>
  </si>
  <si>
    <t>Nonton streaming pertandingan seru Santa Clara vs Benfica - Liga Portugal. Saksikan aksi-aksi terbaik dari tim yang bersaing ketat untuk meraih kemenangan. Dapatkan informasi lengkap mengenai jadwal pertandingan dan hasil pertandingan terbaru hanya di Vidio.</t>
  </si>
  <si>
    <t>19f1dc21</t>
  </si>
  <si>
    <t>Sporting vs Famalicao - Liga Portugal</t>
  </si>
  <si>
    <t>sporting clube de portugal; fc famalicao; sports stream</t>
  </si>
  <si>
    <t>Nonton streaming pertandingan seru Sporting vs Famalicao - Liga Portugal. Saksikan aksi-aksi terbaik dari tim yang bersaing ketat untuk meraih kemenangan. Dapatkan informasi lengkap mengenai jadwal pertandingan dan hasil pertandingan terbaru hanya di Vidio.</t>
  </si>
  <si>
    <t>9b75ccca</t>
  </si>
  <si>
    <t>Moreirense vs Sporting - Liga Portugal</t>
  </si>
  <si>
    <t>moreirense fc; sporting clube de portugal; sports stream</t>
  </si>
  <si>
    <t>Nonton streaming pertandingan seru Moreirense vs Sporting - Liga Portugal. Saksikan aksi-aksi terbaik dari tim yang bersaing ketat untuk meraih kemenangan. Dapatkan informasi lengkap mengenai jadwal pertandingan dan hasil pertandingan terbaru hanya di Vidio.</t>
  </si>
  <si>
    <t>aac68243</t>
  </si>
  <si>
    <t>Benfica vs AVS - Liga Portugal</t>
  </si>
  <si>
    <t>sl benfica; avs futebol sad; sports stream</t>
  </si>
  <si>
    <t>Nonton streaming pertandingan seru Benfica vs AVS - Liga Portugal. Saksikan aksi-aksi terbaik dari tim yang bersaing ketat untuk meraih kemenangan. Dapatkan informasi lengkap mengenai jadwal pertandingan dan hasil pertandingan terbaru hanya di Vidio.</t>
  </si>
  <si>
    <t>255a206c</t>
  </si>
  <si>
    <t>Gil Vicente vs Benfica - Liga Portugal</t>
  </si>
  <si>
    <t>gil vicente fc; sl benfica; sports stream</t>
  </si>
  <si>
    <t>Nonton streaming pertandingan seru Gil Vicente vs Benfica - Liga Portugal. Saksikan aksi-aksi terbaik dari tim yang bersaing ketat untuk meraih kemenangan. Dapatkan informasi lengkap mengenai jadwal pertandingan dan hasil pertandingan terbaru hanya di Vidio.</t>
  </si>
  <si>
    <t>fe9c6ab6</t>
  </si>
  <si>
    <t>Sporting vs Estoril Praia - Liga Portugal</t>
  </si>
  <si>
    <t>sporting clube de portugal; gd estoril praia; sports stream</t>
  </si>
  <si>
    <t>Nonton streaming pertandingan seru Sporting vs Estoril Praia - Liga Portugal. Saksikan aksi-aksi terbaik dari tim yang bersaing ketat untuk meraih kemenangan. Dapatkan informasi lengkap mengenai jadwal pertandingan dan hasil pertandingan terbaru hanya di Vidio.</t>
  </si>
  <si>
    <t>47f0cb5e</t>
  </si>
  <si>
    <t>Benfica vs Porto - Liga Portugal</t>
  </si>
  <si>
    <t>sl benfica; fc porto; sports stream</t>
  </si>
  <si>
    <t>Nonton streaming pertandingan seru Benfica vs Porto - Liga Portugal. Saksikan aksi-aksi terbaik dari tim yang bersaing ketat untuk meraih kemenangan. Dapatkan informasi lengkap mengenai jadwal pertandingan dan hasil pertandingan terbaru hanya di Vidio.</t>
  </si>
  <si>
    <t>997e1a73</t>
  </si>
  <si>
    <t>Braga vs Sporting - Liga Portugal</t>
  </si>
  <si>
    <t>sporting braga; sporting clube de portugal; sports stream</t>
  </si>
  <si>
    <t>Nonton streaming pertandingan seru Braga vs Sporting - Liga Portugal. Saksikan aksi-aksi terbaik dari tim yang bersaing ketat untuk meraih kemenangan. Dapatkan informasi lengkap mengenai jadwal pertandingan dan hasil pertandingan terbaru hanya di Vidio.</t>
  </si>
  <si>
    <t>4defd3c5</t>
  </si>
  <si>
    <t>Arouca vs Benfica - Liga Portugal</t>
  </si>
  <si>
    <t>fc arouca; sl benfica; sports stream</t>
  </si>
  <si>
    <t>Nonton streaming pertandingan seru Arouca vs Benfica - Liga Portugal. Saksikan aksi-aksi terbaik dari tim yang bersaing ketat untuk meraih kemenangan. Dapatkan informasi lengkap mengenai jadwal pertandingan dan hasil pertandingan terbaru hanya di Vidio.</t>
  </si>
  <si>
    <t>1399e43f</t>
  </si>
  <si>
    <t>Sporting vs Tondela - Liga Portugal</t>
  </si>
  <si>
    <t>sporting clube de portugal; CD Tondela; sports stream</t>
  </si>
  <si>
    <t>Nonton streaming pertandingan seru Sporting vs Tondela - Liga Portugal. Saksikan aksi-aksi terbaik dari tim yang bersaing ketat untuk meraih kemenangan. Dapatkan informasi lengkap mengenai jadwal pertandingan dan hasil pertandingan terbaru hanya di Vidio.</t>
  </si>
  <si>
    <t>8edcb5fb</t>
  </si>
  <si>
    <t>Alverca vs Sporting - Liga Portugal</t>
  </si>
  <si>
    <t>FC Alverca; sporting clube de portugal; sports stream</t>
  </si>
  <si>
    <t>Nonton streaming pertandingan seru Alverca vs Sporting - Liga Portugal. Saksikan aksi-aksi terbaik dari tim yang bersaing ketat untuk meraih kemenangan. Dapatkan informasi lengkap mengenai jadwal pertandingan dan hasil pertandingan terbaru hanya di Vidio.</t>
  </si>
  <si>
    <t>accb31d9</t>
  </si>
  <si>
    <t>Benfica vs Vitoria SC - Liga Portugal</t>
  </si>
  <si>
    <t>sl benfica; vitoria sc; sports stream</t>
  </si>
  <si>
    <t>Nonton streaming pertandingan seru Benfica vs Vitoria SC - Liga Portugal. Saksikan aksi-aksi terbaik dari tim yang bersaing ketat untuk meraih kemenangan. Dapatkan informasi lengkap mengenai jadwal pertandingan dan hasil pertandingan terbaru hanya di Vidio.</t>
  </si>
  <si>
    <t>d54a0d03</t>
  </si>
  <si>
    <t>Casa Pia vs Benfica - Liga Portugal</t>
  </si>
  <si>
    <t>casa pia ac; sl benfica; sports stream</t>
  </si>
  <si>
    <t>Nonton streaming pertandingan seru Casa Pia vs Benfica - Liga Portugal. Saksikan aksi-aksi terbaik dari tim yang bersaing ketat untuk meraih kemenangan. Dapatkan informasi lengkap mengenai jadwal pertandingan dan hasil pertandingan terbaru hanya di Vidio.</t>
  </si>
  <si>
    <t>64b8746c</t>
  </si>
  <si>
    <t>Sporting vs Santa Clara - Liga Portugal</t>
  </si>
  <si>
    <t>sporting clube de portugal; cd santa clara; sports stream</t>
  </si>
  <si>
    <t>Nonton streaming pertandingan seru Sporting vs Santa Clara - Liga Portugal. Saksikan aksi-aksi terbaik dari tim yang bersaing ketat untuk meraih kemenangan. Dapatkan informasi lengkap mengenai jadwal pertandingan dan hasil pertandingan terbaru hanya di Vidio.</t>
  </si>
  <si>
    <t>03a18cc7</t>
  </si>
  <si>
    <t>Benfica vs Nacional - Liga Portugal</t>
  </si>
  <si>
    <t>sl benfica; cd nacional; sports stream</t>
  </si>
  <si>
    <t>Nonton streaming pertandingan seru Benfica vs Nacional - Liga Portugal. Saksikan aksi-aksi terbaik dari tim yang bersaing ketat untuk meraih kemenangan. Dapatkan informasi lengkap mengenai jadwal pertandingan dan hasil pertandingan terbaru hanya di Vidio.</t>
  </si>
  <si>
    <t>313bf98c</t>
  </si>
  <si>
    <t>Estrela Amadora vs Sporting - Liga Portugal</t>
  </si>
  <si>
    <t>cf estrela da amadora; sporting clube de portugal; sports stream</t>
  </si>
  <si>
    <t>Nonton streaming pertandingan seru Estrela Amadora vs Sporting - Liga Portugal. Saksikan aksi-aksi terbaik dari tim yang bersaing ketat untuk meraih kemenangan. Dapatkan informasi lengkap mengenai jadwal pertandingan dan hasil pertandingan terbaru hanya di Vidio.</t>
  </si>
  <si>
    <t>9275d7c0</t>
  </si>
  <si>
    <t>Sporting vs Benfica - Liga Portugal</t>
  </si>
  <si>
    <t>sporting clube de portugal; sl benfica; sports stream</t>
  </si>
  <si>
    <t>Nonton streaming pertandingan seru Sporting vs Benfica - Liga Portugal. Saksikan aksi-aksi terbaik dari tim yang bersaing ketat untuk meraih kemenangan. Dapatkan informasi lengkap mengenai jadwal pertandingan dan hasil pertandingan terbaru hanya di Vidio.</t>
  </si>
  <si>
    <t>39f0176d</t>
  </si>
  <si>
    <t>Porto vs Tondela - Liga Portugal</t>
  </si>
  <si>
    <t>fc porto; CD Tondela; sports stream</t>
  </si>
  <si>
    <t>Nonton streaming pertandingan seru Porto vs Tondela - Liga Portugal. Saksikan aksi-aksi terbaik dari tim yang bersaing ketat untuk meraih kemenangan. Dapatkan informasi lengkap mengenai jadwal pertandingan dan hasil pertandingan terbaru hanya di Vidio.</t>
  </si>
  <si>
    <t>aa8e6c73</t>
  </si>
  <si>
    <t>AVS vs Sporting - Liga Portugal</t>
  </si>
  <si>
    <t>avs futebol sad; sporting clube de portugal; sports stream</t>
  </si>
  <si>
    <t>Nonton streaming pertandingan seru AVS vs Sporting - Liga Portugal. Saksikan aksi-aksi terbaik dari tim yang bersaing ketat untuk meraih kemenangan. Dapatkan informasi lengkap mengenai jadwal pertandingan dan hasil pertandingan terbaru hanya di Vidio.</t>
  </si>
  <si>
    <t>d5cef7a1</t>
  </si>
  <si>
    <t>Benfica vs Moreirense - Liga Portugal</t>
  </si>
  <si>
    <t>sl benfica; moreirense fc; sports stream</t>
  </si>
  <si>
    <t>Nonton streaming pertandingan seru Benfica vs Moreirense - Liga Portugal. Saksikan aksi-aksi terbaik dari tim yang bersaing ketat untuk meraih kemenangan. Dapatkan informasi lengkap mengenai jadwal pertandingan dan hasil pertandingan terbaru hanya di Vidio.</t>
  </si>
  <si>
    <t>fd92cc67</t>
  </si>
  <si>
    <t>Famalicao vs Benfica - Liga Portugal</t>
  </si>
  <si>
    <t>fc famalicao; sl benfica; sports stream</t>
  </si>
  <si>
    <t>Nonton streaming pertandingan seru Famalicao vs Benfica - Liga Portugal. Saksikan aksi-aksi terbaik dari tim yang bersaing ketat untuk meraih kemenangan. Dapatkan informasi lengkap mengenai jadwal pertandingan dan hasil pertandingan terbaru hanya di Vidio.</t>
  </si>
  <si>
    <t>6d5ced58</t>
  </si>
  <si>
    <t>Sporting vs Vitoria SC - Liga Portugal</t>
  </si>
  <si>
    <t>sporting clube de portugal; vitoria sc; sports stream</t>
  </si>
  <si>
    <t>Nonton streaming pertandingan seru Sporting vs Vitoria SC - Liga Portugal. Saksikan aksi-aksi terbaik dari tim yang bersaing ketat untuk meraih kemenangan. Dapatkan informasi lengkap mengenai jadwal pertandingan dan hasil pertandingan terbaru hanya di Vidio.</t>
  </si>
  <si>
    <t>8351e4cc</t>
  </si>
  <si>
    <t>Rio Ave vs Sporting - Liga Portugal</t>
  </si>
  <si>
    <t>rio ave fc; sporting clube de portugal; sports stream</t>
  </si>
  <si>
    <t>Nonton streaming pertandingan seru Rio Ave vs Sporting - Liga Portugal. Saksikan aksi-aksi terbaik dari tim yang bersaing ketat untuk meraih kemenangan. Dapatkan informasi lengkap mengenai jadwal pertandingan dan hasil pertandingan terbaru hanya di Vidio.</t>
  </si>
  <si>
    <t>ab49beb9</t>
  </si>
  <si>
    <t>Benfica vs Braga - Liga Portugal</t>
  </si>
  <si>
    <t>sl benfica; sporting braga; sports stream</t>
  </si>
  <si>
    <t>Nonton streaming pertandingan seru Benfica vs Braga - Liga Portugal. Saksikan aksi-aksi terbaik dari tim yang bersaing ketat untuk meraih kemenangan. Dapatkan informasi lengkap mengenai jadwal pertandingan dan hasil pertandingan terbaru hanya di Vidio.</t>
  </si>
  <si>
    <t>3fa29fdd</t>
  </si>
  <si>
    <t>Sporting vs Gil Vicente - Liga Portugal</t>
  </si>
  <si>
    <t>sporting clube de portugal; gil vicente fc; sports stream</t>
  </si>
  <si>
    <t>Nonton streaming pertandingan seru Sporting vs Gil Vicente - Liga Portugal. Saksikan aksi-aksi terbaik dari tim yang bersaing ketat untuk meraih kemenangan. Dapatkan informasi lengkap mengenai jadwal pertandingan dan hasil pertandingan terbaru hanya di Vidio.</t>
  </si>
  <si>
    <t>24d15ef4</t>
  </si>
  <si>
    <t>Estoril Praia vs Benfica - Liga Portugal</t>
  </si>
  <si>
    <t>gd estoril praia; sl benfica; sports stream</t>
  </si>
  <si>
    <t>Nonton streaming pertandingan seru Estoril Praia vs Benfica - Liga Portugal. Saksikan aksi-aksi terbaik dari tim yang bersaing ketat untuk meraih kemenangan. Dapatkan informasi lengkap mengenai jadwal pertandingan dan hasil pertandingan terbaru hanya di Vidio.</t>
  </si>
  <si>
    <t>b7c89bb3</t>
  </si>
  <si>
    <t>(Data Zone) Man City vs Tottenham - Premier League</t>
  </si>
  <si>
    <t>https://www.vidio.com/live/9183-champions-tv-6?schedule_id=4512814</t>
  </si>
  <si>
    <t>https://drive.google.com/drive/folders/1wm_Gp-VfxVmH1mY42vNh4RV-63DittCG?usp=drive_link</t>
  </si>
  <si>
    <t>Nonton streaming pertandingan seru (Data Zone) Man City vs Tottenham - Premier League. Saksikan aksi-aksi terbaik dari tim yang bersaing ketat untuk meraih kemenangan. Dapatkan informasi lengkap mengenai jadwal pertandingan dan hasil pertandingan terbaru hanya di Vidio.</t>
  </si>
  <si>
    <t>https://drive.google.com/file/d/106etoOVvVccMAvJlClP3yQzjYo3wEsGM/view?usp=sharing</t>
  </si>
  <si>
    <t>e4d96708</t>
  </si>
  <si>
    <t>(Data Zone) Liverpool vs Arsenal - Premier League</t>
  </si>
  <si>
    <t>https://www.vidio.com/live/9183-champions-tv-6?schedule_id=4536102</t>
  </si>
  <si>
    <t>Nonton streaming pertandingan seru (Data Zone) Liverpool vs Arsenal - Premier League. Saksikan aksi-aksi terbaik dari tim yang bersaing ketat untuk meraih kemenangan. Dapatkan informasi lengkap mengenai jadwal pertandingan dan hasil pertandingan terbaru hanya di Vidio.</t>
  </si>
  <si>
    <t>2bf22d6b</t>
  </si>
  <si>
    <t>F1H20 Race: F1H2O 2025 - Grand Prix of Indonesia</t>
  </si>
  <si>
    <t>UIM F1H2O World Champion 2025</t>
  </si>
  <si>
    <t>VIDIO - @h20racing</t>
  </si>
  <si>
    <t>AVOD</t>
  </si>
  <si>
    <t>https://www.vidio.com/live/19431-f1h20-sprint-race-f1h2o-2025-grand-prix-of-indonesia?schedule_id=4516127</t>
  </si>
  <si>
    <t>https://drive.google.com/drive/folders/1YFpZ8zybN5IZBrXhBVCqM53PT5MKfA-6?usp=sharing</t>
  </si>
  <si>
    <t>Sports &gt; Racing &gt; H2O Racing</t>
  </si>
  <si>
    <t>Racing</t>
  </si>
  <si>
    <t>H2O; H2O 2025</t>
  </si>
  <si>
    <t>H2O Racing</t>
  </si>
  <si>
    <t>Nonton streaming pertandingan seru F1H20 Race: F1H2O 2025 - Grand Prix of Indonesia. Saksikan aksi-aksi terbaik dari tim yang bersaing ketat untuk meraih kemenangan. Dapatkan informasi lengkap mengenai jadwal pertandingan dan hasil pertandingan terbaru hanya di Vidio.</t>
  </si>
  <si>
    <t>https://drive.google.com/file/d/1nmi9x44JCO0LRDeWG4h-jiO4SY8kuyUl/view?usp=sharing</t>
  </si>
  <si>
    <t>https://drive.google.com/file/d/1JvubKZlvoFQTC7H0cGbGBE7AdxJEDyFy/view?usp=sharing</t>
  </si>
  <si>
    <t>f8b2fbb4</t>
  </si>
  <si>
    <t>F1H20 Sprint Race: F1H2O 2025 - Grand Prix of Indonesia</t>
  </si>
  <si>
    <t>https://www.vidio.com/live/19431-f1h20-sprint-race-f1h2o-2025-grand-prix-of-indonesia?schedule_id=4515962</t>
  </si>
  <si>
    <t>https://drive.google.com/drive/folders/1MWvALIV40zeO3WjDHsI_EPdPcAEpMXMl?usp=sharing</t>
  </si>
  <si>
    <t>Nonton streaming pertandingan seru F1H20 Sprint Race: F1H2O 2025 - Grand Prix of Indonesia. Saksikan aksi-aksi terbaik dari tim yang bersaing ketat untuk meraih kemenangan. Dapatkan informasi lengkap mengenai jadwal pertandingan dan hasil pertandingan terbaru hanya di Vidio.</t>
  </si>
  <si>
    <t>https://drive.google.com/file/d/1v7su6-T4WNQLNHDyZHgHQrAhGkokuBuI/view?usp=sharing</t>
  </si>
  <si>
    <t>https://drive.google.com/file/d/1vaUJNidO_I68DBLUsZHmIgDaWiEjDv0J/view?usp=sharing</t>
  </si>
  <si>
    <t>c7accb9c</t>
  </si>
  <si>
    <t>Rajadamnern 2025 Vacant Bantamweight Title</t>
  </si>
  <si>
    <t>RWS Muay Thai 2025</t>
  </si>
  <si>
    <t>VIDIO - @rwsmuaythai</t>
  </si>
  <si>
    <t>https://www.vidio.com/live/19388-rajadamnern-2025-vacant-bantamweight-title?schedule_id=4501537</t>
  </si>
  <si>
    <t>https://drive.google.com/drive/u/0/folders/1isGclDDrXT2h3mL_mcdS8e53BiuMmrdB</t>
  </si>
  <si>
    <t>https://drive.google.com/drive/folders/1hJT44aRLin668W4jXDV0p7eD_OFtstel</t>
  </si>
  <si>
    <t>Sports &gt; Martial Arts &gt; RWS Muay Thai</t>
  </si>
  <si>
    <t>Martial Arts</t>
  </si>
  <si>
    <t>Martial Arts;boxing</t>
  </si>
  <si>
    <t>RWS Muay Thai; RWS Muay Thai 2025</t>
  </si>
  <si>
    <t>Nonton streaming pertandingan seru Rajadamnern 2025 Vacant Bantamweight Title. Saksikan aksi-aksi terbaik dari tim yang bersaing ketat untuk meraih kemenangan. Dapatkan informasi lengkap mengenai jadwal pertandingan dan hasil pertandingan terbaru hanya di Vidio.</t>
  </si>
  <si>
    <t>https://drive.google.com/file/d/1ZiFfPoiE3-A6ExgqvoU3grKhnmMdO8qL/view?usp=sharing</t>
  </si>
  <si>
    <t>https://drive.google.com/file/d/1a9bUTfsb5hpX1RP8qt2s0vGI8Q7HezcK/view?usp=sharing</t>
  </si>
  <si>
    <t>56fb00d3</t>
  </si>
  <si>
    <t>Rajadamnern 2025 Light Flyweight Title</t>
  </si>
  <si>
    <t>https://www.vidio.com/live/19388-rajadamnern-2025-light-flyweight-title?schedule_id=4512819</t>
  </si>
  <si>
    <t>https://drive.google.com/drive/folders/1UwpKJpRsvRnLijvgqr96Os-kh8Og7coW?usp=drive_link</t>
  </si>
  <si>
    <t>Nonton streaming pertandingan seru Rajadamnern 2025 Light Flyweight Title. Saksikan aksi-aksi terbaik dari tim yang bersaing ketat untuk meraih kemenangan. Dapatkan informasi lengkap mengenai jadwal pertandingan dan hasil pertandingan terbaru hanya di Vidio.</t>
  </si>
  <si>
    <t>https://drive.google.com/file/d/1zSKPhlSwTvdAcEZPke0sj9WKTfkV25xg/view?usp=sharing</t>
  </si>
  <si>
    <t>https://drive.google.com/file/d/1QfQzbJcfkM9L1rwLDpm6HFmx9OWjvKW7/view?usp=sharing</t>
  </si>
  <si>
    <t>2f112113</t>
  </si>
  <si>
    <t>Wrexham vs West Bromwich Albion - EFL Championship</t>
  </si>
  <si>
    <t>https://www.vidio.com/live/6685-champions-tv-1?schedule_id=4501539</t>
  </si>
  <si>
    <t>https://drive.google.com/drive/folders/1TnF-EG4ftgLIH92VE18j7vrxX4mA-Up3?usp=drive_link</t>
  </si>
  <si>
    <t>https://drive.google.com/drive/folders/1YExNoCffUe-dwScgBlxGhTe5w3vWPcKy?usp=drive_link</t>
  </si>
  <si>
    <t>West Bromwich Albion FC</t>
  </si>
  <si>
    <t>wrexham fc; west bromwich albion fc; sports stream</t>
  </si>
  <si>
    <t>Nonton streaming pertandingan seru Wrexham vs West Bromwich Albion - EFL Championship. Saksikan aksi-aksi terbaik dari tim yang bersaing ketat untuk meraih kemenangan. Dapatkan informasi lengkap mengenai jadwal pertandingan dan hasil pertandingan terbaru hanya di Vidio.</t>
  </si>
  <si>
    <t>https://drive.google.com/file/d/1pWE19Sk0HH5CcOUs0MSwr13dQzX_gnH4/view?usp=sharing</t>
  </si>
  <si>
    <t>https://drive.google.com/file/d/1oukE8q-Ho2gkuT35fS97Wd7FQ30vn7wV/view?usp=drive_link</t>
  </si>
  <si>
    <t>464dad05</t>
  </si>
  <si>
    <t>Ipswich vs Southampton - EFL Championship</t>
  </si>
  <si>
    <t>https://www.vidio.com/live/6786-champions-tv-3?schedule_id=4501546</t>
  </si>
  <si>
    <t>https://drive.google.com/drive/folders/18ygFeeb6Rr-x_BhmMovGq5r_Fqt6yTUV?usp=drive_link</t>
  </si>
  <si>
    <t>ipswich town fc; southampton fc; sports stream</t>
  </si>
  <si>
    <t>Nonton streaming pertandingan seru Ipswich vs Southampton - EFL Championship. Saksikan aksi-aksi terbaik dari tim yang bersaing ketat untuk meraih kemenangan. Dapatkan informasi lengkap mengenai jadwal pertandingan dan hasil pertandingan terbaru hanya di Vidio.</t>
  </si>
  <si>
    <t>nial.rahman@vidio.com</t>
  </si>
  <si>
    <t>https://drive.google.com/file/d/1D0xpG_MZiKC1C_MUjJp8fk_K7lIt34_J/view?usp=sharing</t>
  </si>
  <si>
    <t>https://drive.google.com/file/d/1asJdIwBIM29htiOnTc6sNJoRDVw2wf1q/view?usp=drive_link</t>
  </si>
  <si>
    <t>https://drive.google.com/file/d/1ScPS0oCzZ7Zc-2R0Au5C4EPpuV2PYhJt/view?usp=sharing</t>
  </si>
  <si>
    <t>482fdce7</t>
  </si>
  <si>
    <t>Go Ahead Eagles vs Sparta Rotterdam - Eredivisie</t>
  </si>
  <si>
    <t>https://www.vidio.com/live/6686-champions-tv-2?schedule_id=4516120</t>
  </si>
  <si>
    <t>https://drive.google.com/drive/folders/1cCN-6lB1aNkiqA3d46FAOEvUxRF2pi9B?usp=drive_link</t>
  </si>
  <si>
    <t>https://drive.google.com/drive/folders/1sanxGtMZ76CVdXTj0NtNc25j5HkqPSMG?usp=drive_link</t>
  </si>
  <si>
    <t>go ahead eagles; sparta rotterdam; sports stream</t>
  </si>
  <si>
    <t>Nonton streaming pertandingan seru Go Ahead Eagles vs Sparta Rotterdam - Eredivisie. Saksikan aksi-aksi terbaik dari tim yang bersaing ketat untuk meraih kemenangan. Dapatkan informasi lengkap mengenai jadwal pertandingan dan hasil pertandingan terbaru hanya di Vidio.</t>
  </si>
  <si>
    <t>Go Ahead Eagles: Dean James, Mathis Suray
Sparta Rotterdam: Bruno Martins Indi, Patrick van Aanholt</t>
  </si>
  <si>
    <t>https://drive.google.com/file/d/1ptd4AvnxmDp7fcGnJv4gl3xu_5_Lppgn/view?usp=sharing</t>
  </si>
  <si>
    <t>https://drive.google.com/file/d/1cYQmsPZPjTU3-bY65bd2FURKdsJySsU_/view?usp=sharing</t>
  </si>
  <si>
    <t>https://drive.google.com/file/d/12P1gd-GuRsflh_ZMLWD4TioRcXZayo1P/view?usp=sharing</t>
  </si>
  <si>
    <t>fab3226e</t>
  </si>
  <si>
    <t>PSV vs FC Groningen - Eredivisie</t>
  </si>
  <si>
    <t>https://www.vidio.com/live/6686-champions-tv-2?schedule_id=4516118</t>
  </si>
  <si>
    <t>https://drive.google.com/drive/folders/1VAkWJWHiumkLBeIU26ccu8FDzvqzun5K?usp=drive_link</t>
  </si>
  <si>
    <t>psv eindhoven; fc groningen; sports stream</t>
  </si>
  <si>
    <t>Nonton streaming pertandingan seru PSV vs FC Groningen - Eredivisie. Saksikan aksi-aksi terbaik dari tim yang bersaing ketat untuk meraih kemenangan. Dapatkan informasi lengkap mengenai jadwal pertandingan dan hasil pertandingan terbaru hanya di Vidio.</t>
  </si>
  <si>
    <t>PSV: Ruben van Bommel (1064945747), Sergino Dest
Groningen: Tika de Jonge, Younes Taha</t>
  </si>
  <si>
    <t>https://drive.google.com/file/d/1Xs6z4jXYvieO87yRndQj4Jnou-3C45ZJ/view?usp=sharing</t>
  </si>
  <si>
    <t>https://drive.google.com/file/d/1KPw7FVXD7RESd3qkPsdqOQrf4pQGr6Rm/view?usp=sharing</t>
  </si>
  <si>
    <t>https://drive.google.com/file/d/17iGj7ZUs1_YbzThG7sVtnYZ7gTLFnclm/view?usp=sharing</t>
  </si>
  <si>
    <t>34d4f4a3</t>
  </si>
  <si>
    <t>AZ Alkmaar vs PEC Zwolle - Eredivisie</t>
  </si>
  <si>
    <t>VIDIO - @eredivisie</t>
  </si>
  <si>
    <t>https://www.vidio.com/live/19436-eredivisie?schedule_id=4590186</t>
  </si>
  <si>
    <t>https://drive.google.com/drive/folders/1Fwo2ONcWmP33LAr8N5sNxhaxcP8iMDAL?usp=drive_link</t>
  </si>
  <si>
    <t>https://drive.google.com/drive/folders/1avxBDHOSpSGP6mC0dyYR2HlimraYRR3w</t>
  </si>
  <si>
    <t>PEC Zwolle</t>
  </si>
  <si>
    <t>alkmaar zaanstreek; pec zwolle; sports stream</t>
  </si>
  <si>
    <t>Nonton streaming pertandingan seru AZ Alkmaar vs PEC Zwolle - Eredivisie. Saksikan aksi-aksi terbaik dari tim yang bersaing ketat untuk meraih kemenangan. Dapatkan informasi lengkap mengenai jadwal pertandingan dan hasil pertandingan terbaru hanya di Vidio.</t>
  </si>
  <si>
    <t>https://drive.google.com/file/d/1CmrCbOBiL7_EuSuKMc5s6739igd6nUnp/view?usp=sharing</t>
  </si>
  <si>
    <t>https://drive.google.com/file/d/1El69_3q5iWlY900qV8siL5-tEfjMA0r9/view?usp=sharing</t>
  </si>
  <si>
    <t>https://drive.google.com/file/d/1aXU9CiqATAxfKr6DhVfdvT4ELKxSP0P1/view?usp=sharing</t>
  </si>
  <si>
    <t>afdfa9d5</t>
  </si>
  <si>
    <t>Utrecht vs Excelsior - Eredivisie</t>
  </si>
  <si>
    <t>Utrecht</t>
  </si>
  <si>
    <t>fc utrecht; excelsior rotterdam; sports stream</t>
  </si>
  <si>
    <t>Nonton streaming pertandingan seru Utrecht vs Excelsior - Eredivisie. Saksikan aksi-aksi terbaik dari tim yang bersaing ketat untuk meraih kemenangan. Dapatkan informasi lengkap mengenai jadwal pertandingan dan hasil pertandingan terbaru hanya di Vidio.</t>
  </si>
  <si>
    <t>5892eb5a</t>
  </si>
  <si>
    <t>Ajax vs Heracles - Eredivisie</t>
  </si>
  <si>
    <t>https://www.vidio.com/live/19436-eredivisie?schedule_id=4516130</t>
  </si>
  <si>
    <t>https://drive.google.com/drive/folders/1ywoyk41m1U0AdwLP8kPTfUamPNH_jpsR?usp=drive_link</t>
  </si>
  <si>
    <t>afc ajax; heracles almelo; sports stream</t>
  </si>
  <si>
    <t>Nonton streaming pertandingan seru Ajax vs Heracles - Eredivisie. Saksikan aksi-aksi terbaik dari tim yang bersaing ketat untuk meraih kemenangan. Dapatkan informasi lengkap mengenai jadwal pertandingan dan hasil pertandingan terbaru hanya di Vidio.</t>
  </si>
  <si>
    <t>Ajax: Berghuis, Wijndal
Heracles: Van Gilst, Mesik</t>
  </si>
  <si>
    <t>https://drive.google.com/file/d/1Eb4mpmrU7nrme63ReYzkGvphGUSAcZdw/view?usp=sharing</t>
  </si>
  <si>
    <t>https://drive.google.com/file/d/1hPej1k6n-hP6SjHee-KJPNEIlsm9ZOwo/view?usp=sharing</t>
  </si>
  <si>
    <t>https://drive.google.com/file/d/10dk16H06K8K0ikAVcHAkSLJfZO2lARz7/view?usp=sharing</t>
  </si>
  <si>
    <t>3f9f870c</t>
  </si>
  <si>
    <t>FC Volendam vs Ajax - Eredivisie</t>
  </si>
  <si>
    <t>https://www.vidio.com/live/6686-champions-tv-2?schedule_id=4531741</t>
  </si>
  <si>
    <t>https://drive.google.com/drive/folders/1Xsfj9wdolubrfupXnR-zi5g7d6sJXT_c?usp=drive_link</t>
  </si>
  <si>
    <t>https://drive.google.com/drive/folders/1cqK29lH31A_ffI68Dq9R_BjiNsOaaL9_?usp=drive_link</t>
  </si>
  <si>
    <t>fc volendam; afc ajax; sports stream</t>
  </si>
  <si>
    <t>Nonton streaming pertandingan seru FC Volendam vs Ajax - Eredivisie. Saksikan aksi-aksi terbaik dari tim yang bersaing ketat untuk meraih kemenangan. Dapatkan informasi lengkap mengenai jadwal pertandingan dan hasil pertandingan terbaru hanya di Vidio.</t>
  </si>
  <si>
    <t>Volendam: Mbuyamba, Veerman
Ajax: Weghorst, Taylor</t>
  </si>
  <si>
    <t>B4</t>
  </si>
  <si>
    <t>https://drive.google.com/file/d/1f7pv_V6EYJt71aXCLbAuVGxCSYFUR94F/view?usp=sharing</t>
  </si>
  <si>
    <t>https://drive.google.com/file/d/1p9ZyFnqOXQ3FHpgjnHs5tr14WcNPI15O/view?usp=sharing</t>
  </si>
  <si>
    <t>https://drive.google.com/file/d/1z5aa-L4GTtlorHn7k6vSV3pR-46C5uWI/view?usp=sharing</t>
  </si>
  <si>
    <t>f5715605</t>
  </si>
  <si>
    <t>PSV vs Telstar - Eredivisie</t>
  </si>
  <si>
    <t>https://www.vidio.com/live/19436-eredivisie?schedule_id=4533786</t>
  </si>
  <si>
    <t>https://drive.google.com/drive/folders/1qmEicWMRHVoJ0WMawxQAMx08hP07f-wd?usp=drive_link</t>
  </si>
  <si>
    <t>psv eindhoven; sc telstar; sports stream</t>
  </si>
  <si>
    <t>Nonton streaming pertandingan seru PSV vs Telstar - Eredivisie. Saksikan aksi-aksi terbaik dari tim yang bersaing ketat untuk meraih kemenangan. Dapatkan informasi lengkap mengenai jadwal pertandingan dan hasil pertandingan terbaru hanya di Vidio.</t>
  </si>
  <si>
    <t>PSV: Dest, Ruben van Bommel
Telstar: Brouwer, Owusu</t>
  </si>
  <si>
    <t>https://drive.google.com/file/d/1zIYZIag_iZ9ysy6KzR_Cn_1377cQYhA8/view?usp=sharing</t>
  </si>
  <si>
    <t>https://drive.google.com/file/d/1qYqWWZJQdKfb9MvNl2Dtc5gkp7Cns5GU/view?usp=drive_link</t>
  </si>
  <si>
    <t>https://drive.google.com/file/d/1i1f6bqUoGDt5xReN4RzVk3yOqwwT63o7/view?usp=sharing</t>
  </si>
  <si>
    <t>89e8b3d1</t>
  </si>
  <si>
    <t>Sparta Rotterdam vs Feyenoord - Eredivisie</t>
  </si>
  <si>
    <t>https://www.vidio.com/live/6686-champions-tv-2?schedule_id=4533793</t>
  </si>
  <si>
    <t>https://drive.google.com/drive/folders/1JgPY66_avzl9mHSrA65PQbeynAze__sW?usp=drive_link</t>
  </si>
  <si>
    <t>sparta rotterdam; feyenoord rotterdam; sports stream</t>
  </si>
  <si>
    <t>Nonton streaming pertandingan seru Sparta Rotterdam vs Feyenoord - Eredivisie. Saksikan aksi-aksi terbaik dari tim yang bersaing ketat untuk meraih kemenangan. Dapatkan informasi lengkap mengenai jadwal pertandingan dan hasil pertandingan terbaru hanya di Vidio.</t>
  </si>
  <si>
    <t>Sparta Rotterdam: de Guzman, Martins Indi
Feyenoord: Ueda, Timber</t>
  </si>
  <si>
    <t>https://drive.google.com/file/d/1s50WHPxMWJFwup5kpbN4GLczHxLmOZf2/view?usp=sharing</t>
  </si>
  <si>
    <t>https://drive.google.com/file/d/1Kyd9BjoM_DuCRLXl1DPXsBk26G3TiL6e/view?usp=sharing</t>
  </si>
  <si>
    <t>https://drive.google.com/file/d/1ladC7L1VNXmPKJsgmzEs8U876bbihKfo/view?usp=sharing</t>
  </si>
  <si>
    <t>fb608d62</t>
  </si>
  <si>
    <t>PEC Zwolle vs Utrecht - Eredivisie</t>
  </si>
  <si>
    <t>https://www.vidio.com/live/6685-champions-tv-1?schedule_id=4535216</t>
  </si>
  <si>
    <t>https://drive.google.com/drive/folders/1xadgbqyv_pt1g1nw9RBbRxvlOeAGX87J</t>
  </si>
  <si>
    <t>https://drive.google.com/drive/folders/1cqK29lH31A_ffI68Dq9R_BjiNsOaaL9_</t>
  </si>
  <si>
    <t>pec zwolle; fc utrecht; sports stream</t>
  </si>
  <si>
    <t>Nonton streaming pertandingan seru PEC Zwolle vs Utrecht - Eredivisie. Saksikan aksi-aksi terbaik dari tim yang bersaing ketat untuk meraih kemenangan. Dapatkan informasi lengkap mengenai jadwal pertandingan dan hasil pertandingan terbaru hanya di Vidio.</t>
  </si>
  <si>
    <t>PEC: Eliano Reijnders, Koen Kostons
Utrecht: Miliano Jonathans, David Min</t>
  </si>
  <si>
    <t>william.sitorus@vidio.com</t>
  </si>
  <si>
    <t>https://drive.google.com/file/d/1slLokRhaN3XTKy8b_X91PkoCuateeJCX/view?usp=sharing</t>
  </si>
  <si>
    <t>https://drive.google.com/file/d/1frdwt8oI2wYquSxYsOBlzYw-s7QWOB7M/view?usp=drive_link</t>
  </si>
  <si>
    <t>https://drive.google.com/file/d/18T0ta56nXsnztbMHOiDALmiXSKDbCwCO/view?usp=sharing</t>
  </si>
  <si>
    <t>f52d3885</t>
  </si>
  <si>
    <t>NAC Breda vs AZ Alkmaar - Eredivisie</t>
  </si>
  <si>
    <t>https://www.vidio.com/live/19436-eredivisie?schedule_id=4533794</t>
  </si>
  <si>
    <t>https://drive.google.com/drive/folders/1gGexFtskslJy6ETSMvggdM9luQJ8F9nF?usp=drive_link</t>
  </si>
  <si>
    <t>nac breda; alkmaar zaanstreek; sports stream</t>
  </si>
  <si>
    <t>Nonton streaming pertandingan seru NAC Breda vs AZ Alkmaar - Eredivisie. Saksikan aksi-aksi terbaik dari tim yang bersaing ketat untuk meraih kemenangan. Dapatkan informasi lengkap mengenai jadwal pertandingan dan hasil pertandingan terbaru hanya di Vidio.</t>
  </si>
  <si>
    <t>NAC: Mahmutovic, Sydney van Hooijdonk
AZ Alkmaar: Ibrahim Sadiq (Imago 1064225512, 1064329045), Peer Koopmeiners (Imago 1064225487)</t>
  </si>
  <si>
    <t>https://drive.google.com/file/d/1PMeL9H3es3ox53veajy0mhNOrW6Nln4E/view?usp=sharing</t>
  </si>
  <si>
    <t>https://drive.google.com/file/d/1G8lh4xphaYqsIWJh3wXPTFxnqzh8PmS_/view?usp=sharing</t>
  </si>
  <si>
    <t>https://drive.google.com/file/d/1n5tZJjWFpqTQhiVQ8Ks8Ydo7qqYvGKq7/view?usp=sharing</t>
  </si>
  <si>
    <t>916d16bd</t>
  </si>
  <si>
    <t>Celtic vs Kairat - UEFA Champions League Play-off</t>
  </si>
  <si>
    <t>https://www.vidio.com/live/6317-bein-3?schedule_id=4506549</t>
  </si>
  <si>
    <t>https://drive.google.com/drive/folders/1bvtAWLBTLeMytsa0pYcAxDSDYxLlRaGk</t>
  </si>
  <si>
    <t>Celtic</t>
  </si>
  <si>
    <t>celtic fc; FC Kairat Almaty; sports stream</t>
  </si>
  <si>
    <t>Nonton streaming pertandingan seru Celtic vs Kairat - UEFA Champions League Play-off. Saksikan aksi-aksi terbaik dari tim yang bersaing ketat untuk meraih kemenangan. Dapatkan informasi lengkap mengenai jadwal pertandingan dan hasil pertandingan terbaru hanya di Vidio.</t>
  </si>
  <si>
    <t>https://drive.google.com/file/d/1gB577vgF3rDCd1aYK5u2leyjNzXmNuaq/view?usp=sharing</t>
  </si>
  <si>
    <t>d6b2db11</t>
  </si>
  <si>
    <t>SK Sturm Graz vs Bodo/Glimt - UEFA Champions League Play-off</t>
  </si>
  <si>
    <t>https://www.vidio.com/live/6317-bein-3?schedule_id=4525693</t>
  </si>
  <si>
    <t>https://drive.google.com/drive/folders/1S08fpZc9NPmXK-Z1QU7oZwApQJP4czYm</t>
  </si>
  <si>
    <t>SK Sturm Graz</t>
  </si>
  <si>
    <t>FK Bodø/Glimt</t>
  </si>
  <si>
    <t>sk sturm graz; fk bodø/glimt; sports stream</t>
  </si>
  <si>
    <t>Nonton streaming pertandingan seru SK Sturm Graz vs Bodo/Glimt - UEFA Champions League Play-off. Saksikan aksi-aksi terbaik dari tim yang bersaing ketat untuk meraih kemenangan. Dapatkan informasi lengkap mengenai jadwal pertandingan dan hasil pertandingan terbaru hanya di Vidio.</t>
  </si>
  <si>
    <t>https://drive.google.com/file/d/1T5yfCotVoAdKEN2fqPhZ9fHUSjLp7Ip7/view?usp=sharing</t>
  </si>
  <si>
    <t>1d6473e1</t>
  </si>
  <si>
    <t>Benfica vs Fenerbahce - UEFA Champions League Play-off</t>
  </si>
  <si>
    <t>https://www.vidio.com/live/6317-bein-3?schedule_id=4525694</t>
  </si>
  <si>
    <t>https://drive.google.com/drive/folders/1ONdDKL11Ad99tl6DCFEBoXcbz0k8cFjZ</t>
  </si>
  <si>
    <t>sl benfica; fenerbahce; sports stream</t>
  </si>
  <si>
    <t>Nonton streaming pertandingan seru Benfica vs Fenerbahce - UEFA Champions League Play-off. Saksikan aksi-aksi terbaik dari tim yang bersaing ketat untuk meraih kemenangan. Dapatkan informasi lengkap mengenai jadwal pertandingan dan hasil pertandingan terbaru hanya di Vidio.</t>
  </si>
  <si>
    <t>https://drive.google.com/file/d/11FV5QJ9W2oSEqsPdQ5_eLqLAmb1Dinxh/view?usp=sharing</t>
  </si>
  <si>
    <t>2649d9fd</t>
  </si>
  <si>
    <t>https://www.vidio.com/live/17875-bein-2?schedule_id=4506544</t>
  </si>
  <si>
    <t>https://drive.google.com/drive/folders/1FnM5bD_CizG1b-nfla4c3Q7jh93l8qWy</t>
  </si>
  <si>
    <t>https://drive.google.com/file/d/1PJCWtokwGnYwx9t5_1iXlEJo4rzf0Gbp/view?usp=sharing</t>
  </si>
  <si>
    <t>d654a44e</t>
  </si>
  <si>
    <t>Bodo/Glimt vs SK Sturm Graz - UEFA Champions League Play-off</t>
  </si>
  <si>
    <t>https://www.vidio.com/live/17875-bein-2?schedule_id=4506545</t>
  </si>
  <si>
    <t>https://drive.google.com/drive/folders/1q9Nm3AfGYCUbb-YDbORLo0Jcd2orbjDx</t>
  </si>
  <si>
    <t>fk bodø/glimt; sk sturm graz; sports stream</t>
  </si>
  <si>
    <t>Nonton streaming pertandingan seru Bodo/Glimt vs SK Sturm Graz - UEFA Champions League Play-off. Saksikan aksi-aksi terbaik dari tim yang bersaing ketat untuk meraih kemenangan. Dapatkan informasi lengkap mengenai jadwal pertandingan dan hasil pertandingan terbaru hanya di Vidio.</t>
  </si>
  <si>
    <t>https://drive.google.com/file/d/1ZRH0of7ELbhWGiM2rLdKlpeRRwW9hcaB/view?usp=sharing</t>
  </si>
  <si>
    <t>2411cc8f</t>
  </si>
  <si>
    <t>Kairat vs Celtic - UEFA Champions League Play-off</t>
  </si>
  <si>
    <t>https://www.vidio.com/live/17875-bein-2?schedule_id=4525692</t>
  </si>
  <si>
    <t>https://drive.google.com/drive/folders/1OmFqCyntOpvpa7IXLDQ16fCqtNR-zc1H</t>
  </si>
  <si>
    <t>FC Kairat Almaty; celtic fc; sports stream</t>
  </si>
  <si>
    <t>Nonton streaming pertandingan seru Kairat vs Celtic - UEFA Champions League Play-off. Saksikan aksi-aksi terbaik dari tim yang bersaing ketat untuk meraih kemenangan. Dapatkan informasi lengkap mengenai jadwal pertandingan dan hasil pertandingan terbaru hanya di Vidio.</t>
  </si>
  <si>
    <t>https://drive.google.com/file/d/18HUMFFQR1Tw3m2My4GG12-0S36ry1gef/view?usp=sharing</t>
  </si>
  <si>
    <t>2423fa5c</t>
  </si>
  <si>
    <t>Club Brugge vs Rangers - UEFA Champions League Play-off</t>
  </si>
  <si>
    <t>https://www.vidio.com/live/17875-bein-2?schedule_id=4525695</t>
  </si>
  <si>
    <t>https://drive.google.com/drive/folders/1I_gIflnzWndFwzVSolNnn6oz6-mt4Jj2</t>
  </si>
  <si>
    <t>club brugge kv; rangers fc; sports stream</t>
  </si>
  <si>
    <t>Nonton streaming pertandingan seru Club Brugge vs Rangers - UEFA Champions League Play-off. Saksikan aksi-aksi terbaik dari tim yang bersaing ketat untuk meraih kemenangan. Dapatkan informasi lengkap mengenai jadwal pertandingan dan hasil pertandingan terbaru hanya di Vidio.</t>
  </si>
  <si>
    <t>https://drive.google.com/file/d/1y4wckJwdUxehdkAYgTZ9f0Xx3-1v2Xb2/view?usp=sharing</t>
  </si>
  <si>
    <t>12412e2f</t>
  </si>
  <si>
    <t>(Data Zone) Man City vs Man United - Premier League</t>
  </si>
  <si>
    <t>https://www.vidio.com/live/9183-champions-tv-6?schedule_id=4562682</t>
  </si>
  <si>
    <t>Nonton streaming pertandingan seru (Data Zone) Man City vs Man United - Premier League. Saksikan aksi-aksi terbaik dari tim yang bersaing ketat untuk meraih kemenangan. Dapatkan informasi lengkap mengenai jadwal pertandingan dan hasil pertandingan terbaru hanya di Vidio.</t>
  </si>
  <si>
    <t>bimo.nugroho@vidio.com</t>
  </si>
  <si>
    <t>bb02ab71</t>
  </si>
  <si>
    <t>Telstar vs FC Volendam - Eredivisie</t>
  </si>
  <si>
    <t>https://www.vidio.com/live/6686-champions-tv-2?schedule_id=4516122</t>
  </si>
  <si>
    <t>https://drive.google.com/drive/folders/1ZD7UjxXK35RB2sCV05rLRT2a5OiVohuJ?usp=drive_link</t>
  </si>
  <si>
    <t>sc telstar; fc volendam; sports stream</t>
  </si>
  <si>
    <t>Nonton streaming pertandingan seru Telstar vs FC Volendam - Eredivisie. Saksikan aksi-aksi terbaik dari tim yang bersaing ketat untuk meraih kemenangan. Dapatkan informasi lengkap mengenai jadwal pertandingan dan hasil pertandingan terbaru hanya di Vidio.</t>
  </si>
  <si>
    <t>Telstar: Milan Zonneveld, Danny Bakker
Volendam: Ozan Kokcu, Deron Payne</t>
  </si>
  <si>
    <t>https://drive.google.com/file/d/1FijHSCwkToDL0jCgbzMWEyWD8vx-_KVk/view?usp=sharing</t>
  </si>
  <si>
    <t>https://drive.google.com/file/d/1_G8YSE6mXOOfeBD669T9J-6DgShBKyr0/view?usp=drive_link</t>
  </si>
  <si>
    <t>https://drive.google.com/file/d/12nBUHO3SLtS7pk7XU2Ri4fh7apffS1Bd/view?usp=sharing</t>
  </si>
  <si>
    <t>d8632038</t>
  </si>
  <si>
    <t>FC Polissya Zhytomyr vs Fiorentina - UEFA Conference League</t>
  </si>
  <si>
    <t>UEFA Conference League 2025/26</t>
  </si>
  <si>
    <t>https://www.vidio.com/live/6685-champions-tv-1?schedule_id=4512935</t>
  </si>
  <si>
    <t>https://drive.google.com/drive/folders/1OSVFKfFrePdy-ZzRYwAQfqh4oN9Sth1b</t>
  </si>
  <si>
    <t>FC Polissya Zhytomyr</t>
  </si>
  <si>
    <t>Sports &gt; Football &gt; UEFA Europa Conference League</t>
  </si>
  <si>
    <t>UEFA Europa Conference League; UEFA Conference League 2025/26</t>
  </si>
  <si>
    <t>FC Polissya Zhytomyr; acf fiorentina; sports stream</t>
  </si>
  <si>
    <t>Nonton streaming pertandingan seru FC Polissya Zhytomyr vs Fiorentina - UEFA Conference League. Saksikan aksi-aksi terbaik dari tim yang bersaing ketat untuk meraih kemenangan. Dapatkan informasi lengkap mengenai jadwal pertandingan dan hasil pertandingan terbaru hanya di Vidio.</t>
  </si>
  <si>
    <t>https://drive.google.com/file/d/1FU6Fja-teO5lVj3cPSIRFjS8zJAWP1db/view?usp=sharing</t>
  </si>
  <si>
    <t>05dbb83d</t>
  </si>
  <si>
    <t>RC Strasbourg Alsace vs Brondby IF - UEFA Conference League</t>
  </si>
  <si>
    <t>https://www.vidio.com/live/6686-champions-tv-2?schedule_id=4512936</t>
  </si>
  <si>
    <t>https://drive.google.com/drive/folders/1zo2x4FrF4AKbZG91Ze2JyaQLZ43_BYbT</t>
  </si>
  <si>
    <t>RC Strasbourg Alsace</t>
  </si>
  <si>
    <t>brondby</t>
  </si>
  <si>
    <t>rc strasbourg alsace; brondby; sports stream</t>
  </si>
  <si>
    <t>Nonton streaming pertandingan seru RC Strasbourg Alsace vs Brondby IF - UEFA Conference League. Saksikan aksi-aksi terbaik dari tim yang bersaing ketat untuk meraih kemenangan. Dapatkan informasi lengkap mengenai jadwal pertandingan dan hasil pertandingan terbaru hanya di Vidio.</t>
  </si>
  <si>
    <t>https://drive.google.com/file/d/1RiD11A7sJiC5jbY6i5ItVQai4RYwzHC0/view?usp=sharing</t>
  </si>
  <si>
    <t>201b1fea</t>
  </si>
  <si>
    <t>Wolves vs West Ham - Carabao Cup</t>
  </si>
  <si>
    <t>https://www.vidio.com/live/6786-champions-tv-3?schedule_id=4525649</t>
  </si>
  <si>
    <t>https://drive.google.com/drive/folders/17m1BKLHM_guwlV0ozawKMrGpFbBzHtxJ?usp=drive_link</t>
  </si>
  <si>
    <t>https://drive.google.com/drive/folders/1FUYVGFcWOBPvkAkkVI3fj_0oBsXNzTzB?usp=drive_link</t>
  </si>
  <si>
    <t>Nonton streaming pertandingan seru Wolves vs West Ham - Carabao Cup. Saksikan aksi-aksi terbaik dari tim yang bersaing ketat untuk meraih kemenangan. Dapatkan informasi lengkap mengenai jadwal pertandingan dan hasil pertandingan terbaru hanya di Vidio.</t>
  </si>
  <si>
    <t>https://drive.google.com/file/d/13I_l-IxlAKvMQBP4VC3CtmCzPJSTi85U/view?usp=sharing</t>
  </si>
  <si>
    <t>https://drive.google.com/file/d/1CGblWRBCi0Pu5VM57VkTYFmK8oXl4aAs/view?usp=drive_link</t>
  </si>
  <si>
    <t>https://drive.google.com/file/d/172X5RArl_7_jl7-Abn_PdN8dV-kHaycV/view?usp=sharing</t>
  </si>
  <si>
    <t>5659ae02</t>
  </si>
  <si>
    <t>Sheffield Wednesday vs Leeds United - Carabao Cup</t>
  </si>
  <si>
    <t>https://www.vidio.com/live/6685-champions-tv-1?schedule_id=4525633</t>
  </si>
  <si>
    <t>https://drive.google.com/drive/folders/1YaRbPLtzQ1IR94w2SGNM_L4EA4Sr3kIF?usp=drive_link</t>
  </si>
  <si>
    <t>Sheffield Wednesday FC</t>
  </si>
  <si>
    <t>sheffield wednesday fc; leeds united fc; sports stream</t>
  </si>
  <si>
    <t>Nonton streaming pertandingan seru Sheffield Wednesday vs Leeds United - Carabao Cup. Saksikan aksi-aksi terbaik dari tim yang bersaing ketat untuk meraih kemenangan. Dapatkan informasi lengkap mengenai jadwal pertandingan dan hasil pertandingan terbaru hanya di Vidio.</t>
  </si>
  <si>
    <t>https://drive.google.com/file/d/1eYrVtNup3GZ5tNdW_xLomcxIa-WuukRd/view?usp=sharing</t>
  </si>
  <si>
    <t>https://drive.google.com/file/d/1PK84NJsJx2j6UFP9t0iYmu-Imk6RHdlV/view?usp=drive_link</t>
  </si>
  <si>
    <t>77245eea</t>
  </si>
  <si>
    <t>Oxford United vs Brighton - Carabao Cup</t>
  </si>
  <si>
    <t>https://www.vidio.com/live/6685-champions-tv-1?schedule_id=4525697</t>
  </si>
  <si>
    <t>https://drive.google.com/drive/folders/1X9BbhMJBUFuh_nuc0xF8kvhDF5lQaOyK?usp=drive_link</t>
  </si>
  <si>
    <t>oxford united fc; brighton &amp; hove albion fc; sports stream</t>
  </si>
  <si>
    <t>Nonton streaming pertandingan seru Oxford United vs Brighton - Carabao Cup. Saksikan aksi-aksi terbaik dari tim yang bersaing ketat untuk meraih kemenangan. Dapatkan informasi lengkap mengenai jadwal pertandingan dan hasil pertandingan terbaru hanya di Vidio.</t>
  </si>
  <si>
    <t>muhammad.stiadi@vidio.com</t>
  </si>
  <si>
    <t>https://drive.google.com/file/d/1dZDWo51DHt9H1PYRLIqiuwjktZ3cBoWr/view?usp=sharing</t>
  </si>
  <si>
    <t>https://drive.google.com/file/d/1kRgCe5u25NIP5Mwws4ei7K2dii9W5YhE/view?usp=drive_link</t>
  </si>
  <si>
    <t>https://drive.google.com/file/d/1GWD9XdSWFjjwM-0E8lPPY4jBZytr2D41/view?usp=sharing</t>
  </si>
  <si>
    <t>beb734fa</t>
  </si>
  <si>
    <t>Feyenoord vs Fortuna Sittard - Eredivisie</t>
  </si>
  <si>
    <t>https://www.vidio.com/live/6685-champions-tv-1?schedule_id=4575998</t>
  </si>
  <si>
    <t>https://drive.google.com/drive/folders/18OQYmbtjCT399wrsLbySBD__pP026VM1</t>
  </si>
  <si>
    <t>feyenoord rotterdam; fortuna sittard; sports stream</t>
  </si>
  <si>
    <t>Nonton streaming pertandingan seru Feyenoord vs Fortuna Sittard - Eredivisie. Saksikan aksi-aksi terbaik dari tim yang bersaing ketat untuk meraih kemenangan. Dapatkan informasi lengkap mengenai jadwal pertandingan dan hasil pertandingan terbaru hanya di Vidio.</t>
  </si>
  <si>
    <t>https://drive.google.com/file/d/1LF5rxwUCt4Nz83zFl-6TT_aZIWcxSBvE/view?usp=sharing</t>
  </si>
  <si>
    <t>https://drive.google.com/file/d/1vt-GWxtUtZnpW1vlyQuOTFpMk4O0Itxs/view?usp=sharing</t>
  </si>
  <si>
    <t>b8e67f7b</t>
  </si>
  <si>
    <t>Ajax vs PEC Zwolle - Eredivisie</t>
  </si>
  <si>
    <t>https://www.vidio.com/live/6685-champions-tv-1?schedule_id=4558877</t>
  </si>
  <si>
    <t>https://drive.google.com/drive/folders/1il2dpdnsjsOP_NtcK9Rtu9tVfsgNLDOB?usp=drive_link</t>
  </si>
  <si>
    <t>https://drive.google.com/file/d/10_XptfG8cNzt1Ud6RHOPODP7sIITiaLi/view?usp=drive_link</t>
  </si>
  <si>
    <t>afc ajax; pec zwolle; sports stream</t>
  </si>
  <si>
    <t>Nonton streaming pertandingan seru Ajax vs PEC Zwolle - Eredivisie. Saksikan aksi-aksi terbaik dari tim yang bersaing ketat untuk meraih kemenangan. Dapatkan informasi lengkap mengenai jadwal pertandingan dan hasil pertandingan terbaru hanya di Vidio.</t>
  </si>
  <si>
    <t>https://drive.google.com/file/d/1gaxDevwR6NGvlUFVi-9hw9PTt_JBlxdL/view?usp=sharing</t>
  </si>
  <si>
    <t>https://drive.google.com/file/d/10_XptfG8cNzt1Ud6RHOPODP7sIITiaLi/view?usp=sharing</t>
  </si>
  <si>
    <t>https://drive.google.com/file/d/1wFaksP34SQ83XWbilZ4kGrCmozZGL9Ac/view?usp=sharing</t>
  </si>
  <si>
    <t>3b9a44c3</t>
  </si>
  <si>
    <t>NEC Nijmegen vs PSV - Eredivisie</t>
  </si>
  <si>
    <t>https://www.vidio.com/live/6685-champions-tv-1?schedule_id=4559066</t>
  </si>
  <si>
    <t>https://drive.google.com/drive/folders/1CaNPJD_NdCsR6Bmj7DBp5OYQjfdoh7Ti?usp=drive_link</t>
  </si>
  <si>
    <t>https://drive.google.com/file/d/1K9tnEhOHv3ccBeL0YKfP8k_QklTNDXXr/view?usp=drive_link</t>
  </si>
  <si>
    <t>nec nijmegen; psv eindhoven; sports stream</t>
  </si>
  <si>
    <t>Nonton streaming pertandingan seru NEC Nijmegen vs PSV - Eredivisie. Saksikan aksi-aksi terbaik dari tim yang bersaing ketat untuk meraih kemenangan. Dapatkan informasi lengkap mengenai jadwal pertandingan dan hasil pertandingan terbaru hanya di Vidio.</t>
  </si>
  <si>
    <t>NEC: Dirk Proper, Basar Onal
PSV: Perisic, Dest</t>
  </si>
  <si>
    <t>https://drive.google.com/file/d/1PILyAVutSx-Dsj1F8glUf0qMkk_tEtgh/view?usp=sharing</t>
  </si>
  <si>
    <t>https://drive.google.com/file/d/1K9tnEhOHv3ccBeL0YKfP8k_QklTNDXXr/view?usp=sharing</t>
  </si>
  <si>
    <t>https://drive.google.com/file/d/1ovGpruGlaODN-HchUubyhzB083YR3Vvw/view?usp=sharing</t>
  </si>
  <si>
    <t>b932302d</t>
  </si>
  <si>
    <t>Feyenoord vs Heerenveen - Eredivisie</t>
  </si>
  <si>
    <t>https://www.vidio.com/live/6685-champions-tv-1?schedule_id=4558878</t>
  </si>
  <si>
    <t>https://drive.google.com/drive/folders/1PiR1JOr_47qvjLCMjRGMdYsr4V9RlnTp?usp=drive_link</t>
  </si>
  <si>
    <t>https://drive.google.com/file/d/1F2lw6CXuo9UBik-lqGnTjsiAjjAZ73rX/view?usp=drive_link</t>
  </si>
  <si>
    <t>Heerenveen</t>
  </si>
  <si>
    <t>feyenoord rotterdam; sc heerenveen; sports stream</t>
  </si>
  <si>
    <t>Nonton streaming pertandingan seru Feyenoord vs Heerenveen - Eredivisie. Saksikan aksi-aksi terbaik dari tim yang bersaing ketat untuk meraih kemenangan. Dapatkan informasi lengkap mengenai jadwal pertandingan dan hasil pertandingan terbaru hanya di Vidio.</t>
  </si>
  <si>
    <t>https://drive.google.com/file/d/1REmGmGSLC6YGSfmIWH79RXp5JycM371Y/view?usp=sharing</t>
  </si>
  <si>
    <t>https://drive.google.com/file/d/1F2lw6CXuo9UBik-lqGnTjsiAjjAZ73rX/view?usp=sharing</t>
  </si>
  <si>
    <t>https://drive.google.com/file/d/1g0annh8D2uRRb-KN4UbciSis4peNBzmZ/view?usp=sharing</t>
  </si>
  <si>
    <t>bb9c39a6</t>
  </si>
  <si>
    <t>Heracles vs AZ Alkmaar - Eredivisie</t>
  </si>
  <si>
    <t>https://www.vidio.com/live/6685-champions-tv-1?schedule_id=4570988</t>
  </si>
  <si>
    <t>https://drive.google.com/drive/folders/1WYfYUO2Eybe6GpL6Eb2yPDZNvixATlU8?usp=drive_link</t>
  </si>
  <si>
    <t>https://drive.google.com/file/d/1tGyq2ECzuDqyHHnubPPlx4648Yuudg3H/view?usp=drive_link</t>
  </si>
  <si>
    <t>heracles almelo; alkmaar zaanstreek; sports stream</t>
  </si>
  <si>
    <t>Nonton streaming pertandingan seru Heracles vs AZ Alkmaar - Eredivisie. Saksikan aksi-aksi terbaik dari tim yang bersaing ketat untuk meraih kemenangan. Dapatkan informasi lengkap mengenai jadwal pertandingan dan hasil pertandingan terbaru hanya di Vidio.</t>
  </si>
  <si>
    <t>https://drive.google.com/file/d/13yTq9h_a7gXqTFcKqKlYG-ZWGLzYrT8V/view?usp=sharing</t>
  </si>
  <si>
    <t>https://drive.google.com/file/d/1tGyq2ECzuDqyHHnubPPlx4648Yuudg3H/view?usp=sharing</t>
  </si>
  <si>
    <t>https://drive.google.com/file/d/1K7MMwIZ7chhh0cgZSfeZ6zrVmQg6UZvh/view?usp=sharing</t>
  </si>
  <si>
    <t>7c3ccac6</t>
  </si>
  <si>
    <t>https://www.vidio.com/live/19388-rajadamnern-2025-light-flyweight-title?schedule_id=4525601</t>
  </si>
  <si>
    <t>https://drive.google.com/drive/folders/1Q2HlmZMdDlrlS1UoYSFAhC4OK5bFJlmS</t>
  </si>
  <si>
    <t>https://drive.google.com/drive/folders/1hcXyfJjP4JgLrBZnoVg5Gic1HReONsJm?usp=share_link</t>
  </si>
  <si>
    <t>https://drive.google.com/file/d/19axu04jSYun0bSSUQzgZZNi4X0kRydYG/view?usp=sharing</t>
  </si>
  <si>
    <t>https://drive.google.com/file/d/1O5jpeEt50_R8nvJ0Sms3T3N3o6O1jlDM/view?usp=sharing</t>
  </si>
  <si>
    <t>8fb35888</t>
  </si>
  <si>
    <t>Millwall vs Wrexham - EFL Championship</t>
  </si>
  <si>
    <t>https://www.vidio.com/live/6685-champions-tv-1?schedule_id=4527714</t>
  </si>
  <si>
    <t>https://drive.google.com/drive/folders/1EeGCyp-kipTv1VVUpmf0bawyz0ZL2O6T</t>
  </si>
  <si>
    <t>https://drive.google.com/drive/folders/10tLS2FpLRAnqDPXnCopRgley6XiOE5vw?usp=drive_link</t>
  </si>
  <si>
    <t>Millwall FC</t>
  </si>
  <si>
    <t>millwall fc; wrexham fc; sports stream</t>
  </si>
  <si>
    <t>Nonton streaming pertandingan seru Millwall vs Wrexham - EFL Championship. Saksikan aksi-aksi terbaik dari tim yang bersaing ketat untuk meraih kemenangan. Dapatkan informasi lengkap mengenai jadwal pertandingan dan hasil pertandingan terbaru hanya di Vidio.</t>
  </si>
  <si>
    <t>https://drive.google.com/file/d/1ePWTUPuqJAFxj9JYSrukUt_8oaoTKidX/view?usp=sharing</t>
  </si>
  <si>
    <t>https://drive.google.com/file/d/15_e7uQjs_bXktXtPq-cAwwSZa23xs5N0/view?usp=drive_link</t>
  </si>
  <si>
    <t>18025d5d</t>
  </si>
  <si>
    <t>Ipswich vs Sheffield United - EFL Championship</t>
  </si>
  <si>
    <t>https://www.vidio.com/live/6685-champions-tv-1?schedule_id=4558764</t>
  </si>
  <si>
    <t>https://drive.google.com/drive/folders/1OEQ96Il5QmoTbCPz3h5cQCd5Zbvm_m_T?usp=drive_link</t>
  </si>
  <si>
    <t>https://drive.google.com/drive/folders/1PEJRjmh2WAp0pEdYDaqZ3PdD7_yQ9twU?usp=drive_link</t>
  </si>
  <si>
    <t>ipswich town fc; sheffield united fc; sports stream</t>
  </si>
  <si>
    <t>Nonton streaming pertandingan seru Ipswich vs Sheffield United - EFL Championship. Saksikan aksi-aksi terbaik dari tim yang bersaing ketat untuk meraih kemenangan. Dapatkan informasi lengkap mengenai jadwal pertandingan dan hasil pertandingan terbaru hanya di Vidio.</t>
  </si>
  <si>
    <t>https://drive.google.com/file/d/1nXv2eD_VQj3q2Va8A_Rjah6TBU6WYASp/view?usp=sharing</t>
  </si>
  <si>
    <t>https://drive.google.com/file/d/1eBLMHQkkjVqQZqOPgP0IfMUxYjjzv9FH/view?usp=drive_link</t>
  </si>
  <si>
    <t>https://drive.google.com/file/d/1VDtn_Mz3-47ptTMV7yQfjrsmU8_NqQCQ/view?usp=sharing</t>
  </si>
  <si>
    <t>05fc6e52</t>
  </si>
  <si>
    <t>QPR vs Oxford United - EFL Championship</t>
  </si>
  <si>
    <t>https://www.vidio.com/live/6685-champions-tv-1?schedule_id=4614694</t>
  </si>
  <si>
    <t>https://drive.google.com/drive/folders/1Ht6Iu3-MKNZS4_pUOMz3HBAhlO_fYXq9?usp=sharing</t>
  </si>
  <si>
    <t>Queens Park Rangers FC</t>
  </si>
  <si>
    <t>queens park rangers fc; oxford united fc; sports stream</t>
  </si>
  <si>
    <t>Nonton streaming pertandingan seru QPR vs Oxford United - EFL Championship. Saksikan aksi-aksi terbaik dari tim yang bersaing ketat untuk meraih kemenangan. Dapatkan informasi lengkap mengenai jadwal pertandingan dan hasil pertandingan terbaru hanya di Vidio.</t>
  </si>
  <si>
    <t>https://drive.google.com/file/d/1ytH2YGwBSf1ydcOZ0KhKbMOLRNUQUAkR/view?usp=sharing</t>
  </si>
  <si>
    <t>6d8c1555</t>
  </si>
  <si>
    <t>Wrexham vs Birmingham - EFL Championship</t>
  </si>
  <si>
    <t>https://www.vidio.com/live/6685-champions-tv-1?schedule_id=4614720</t>
  </si>
  <si>
    <t>https://drive.google.com/drive/folders/1gUhKSj291ZHFnu2z9kKwNnXZnSkmB_sZ?usp=sharing</t>
  </si>
  <si>
    <t>https://drive.google.com/drive/folders/1vwtkGbKtDgksbkNqQMOTrMoYYregjUqi?usp=sharing</t>
  </si>
  <si>
    <t>wrexham fc; birmingham city fc; sports stream</t>
  </si>
  <si>
    <t>Nonton streaming pertandingan seru Wrexham vs Birmingham - EFL Championship. Saksikan aksi-aksi terbaik dari tim yang bersaing ketat untuk meraih kemenangan. Dapatkan informasi lengkap mengenai jadwal pertandingan dan hasil pertandingan terbaru hanya di Vidio.</t>
  </si>
  <si>
    <t>https://drive.google.com/file/d/1hqY78jVMq61bbDfOhubOvwLkQJqT4BGQ/view?usp=sharing</t>
  </si>
  <si>
    <t>https://drive.google.com/file/d/1kzuiRow5WMcJHkI4jgJj_41VsDhM3rhZ/view?usp=drive_link</t>
  </si>
  <si>
    <t>1b945325</t>
  </si>
  <si>
    <t>Watford vs Oxford United - EFL Championship</t>
  </si>
  <si>
    <t>https://www.vidio.com/live/6685-champions-tv-1?schedule_id=4627661</t>
  </si>
  <si>
    <t>https://drive.google.com/drive/folders/1OX2UNfH6PkXIRqpgHuuKo-Yi96KVwcAx?usp=sharing</t>
  </si>
  <si>
    <t>Watford FC</t>
  </si>
  <si>
    <t>Watford; oxford united fc; sports stream</t>
  </si>
  <si>
    <t>Nonton streaming pertandingan seru Watford vs Oxford United - EFL Championship. Saksikan aksi-aksi terbaik dari tim yang bersaing ketat untuk meraih kemenangan. Dapatkan informasi lengkap mengenai jadwal pertandingan dan hasil pertandingan terbaru hanya di Vidio.</t>
  </si>
  <si>
    <t>https://drive.google.com/file/d/196egki0rmCQvT3G5ut55NzMgp0cKQy0Z/view?usp=sharing</t>
  </si>
  <si>
    <t>https://drive.google.com/file/d/1Y-ZvltKU_2jN4CMh3xN-AcyncviXTjeH/view?usp=drive_link</t>
  </si>
  <si>
    <t>ce8cb099</t>
  </si>
  <si>
    <t>Ipswich vs Norwich City - EFL Championship</t>
  </si>
  <si>
    <t>https://www.vidio.com/live/6686-champions-tv-2?schedule_id=4627663</t>
  </si>
  <si>
    <t>https://drive.google.com/drive/folders/1nTqkWGzBAfBTsqKuanQ0sjNhGry7vTgO?usp=sharing</t>
  </si>
  <si>
    <t>Norwich City FC</t>
  </si>
  <si>
    <t>ipswich town fc; norwich city; sports stream</t>
  </si>
  <si>
    <t>Nonton streaming pertandingan seru Ipswich vs Norwich City - EFL Championship. Saksikan aksi-aksi terbaik dari tim yang bersaing ketat untuk meraih kemenangan. Dapatkan informasi lengkap mengenai jadwal pertandingan dan hasil pertandingan terbaru hanya di Vidio.</t>
  </si>
  <si>
    <t>https://drive.google.com/file/d/1zg33DTZaVBAkoYiDdYS5ejvrdZGdN7_m/view?usp=sharing</t>
  </si>
  <si>
    <t>https://drive.google.com/file/d/1FY7WlVrM6dojOh2fDZHHNvmdfX_dwYuU/view?usp=drive_link</t>
  </si>
  <si>
    <t>https://drive.google.com/file/d/1q-kcM5BvB0E8vVlMJoe-ke1-yVSe4Szf/view?usp=sharing</t>
  </si>
  <si>
    <t>388fef13</t>
  </si>
  <si>
    <t>Middlesbrough vs Ipswich - EFL Championship</t>
  </si>
  <si>
    <t>https://www.vidio.com/live/6685-champions-tv-1?schedule_id=4655150</t>
  </si>
  <si>
    <t>https://drive.google.com/drive/folders/1Hh3cUK0poqF_9g0K2jtcnDoDnGZKJBLF?usp=sharing</t>
  </si>
  <si>
    <t>https://drive.google.com/drive/folders/1DCoBAP1xzHzxRSXIvHXF7JVWg6Me0YhD?usp=sharing</t>
  </si>
  <si>
    <t>Middlesbrough FC</t>
  </si>
  <si>
    <t>Middlesbrough; ipswich town fc; sports stream</t>
  </si>
  <si>
    <t>Nonton streaming pertandingan seru Middlesbrough vs Ipswich - EFL Championship. Saksikan aksi-aksi terbaik dari tim yang bersaing ketat untuk meraih kemenangan. Dapatkan informasi lengkap mengenai jadwal pertandingan dan hasil pertandingan terbaru hanya di Vidio.</t>
  </si>
  <si>
    <t>https://drive.google.com/file/d/1kzVHw7nq_JshjSkvQACkqhTdMBQjxx4B/view?usp=sharing</t>
  </si>
  <si>
    <t>https://drive.google.com/file/d/1bgJpMZlk-WhOq8VvZlXJu-k2AVNGmns7/view?usp=drive_link</t>
  </si>
  <si>
    <t>https://drive.google.com/file/d/1GQnRMn6oFErKo7KtXdpcbC4SK4S1JXki/view?usp=sharing</t>
  </si>
  <si>
    <t>29d9c479</t>
  </si>
  <si>
    <t>Ipswich vs West Bromwich Albion - EFL Championship</t>
  </si>
  <si>
    <t>https://www.vidio.com/live/6686-champions-tv-2?schedule_id=4667506</t>
  </si>
  <si>
    <t>https://drive.google.com/drive/folders/1cO1kcp2clPUL2JZtSH4yWNANj-19InAD?usp=sharing</t>
  </si>
  <si>
    <t>ipswich town fc; west bromwich albion fc; sports stream</t>
  </si>
  <si>
    <t>Nonton streaming pertandingan seru Ipswich vs West Bromwich Albion - EFL Championship. Saksikan aksi-aksi terbaik dari tim yang bersaing ketat untuk meraih kemenangan. Dapatkan informasi lengkap mengenai jadwal pertandingan dan hasil pertandingan terbaru hanya di Vidio.</t>
  </si>
  <si>
    <t>https://drive.google.com/file/d/1qaNBJUe9dl9Dc1XnvYTey-_0w00ck8E_/view?usp=sharing</t>
  </si>
  <si>
    <t>https://drive.google.com/file/d/1ve3soVG6Hd0r2rRX7tWmZ3ngAwnRH-2y/view?usp=sharing</t>
  </si>
  <si>
    <t>39a7ff2a</t>
  </si>
  <si>
    <t>Wrexham vs Coventry City - EFL Championship</t>
  </si>
  <si>
    <t>https://www.vidio.com/live/6686-champions-tv-2?schedule_id=4674578</t>
  </si>
  <si>
    <t>https://drive.google.com/drive/folders/1MbIQuTQ12cHKWbkA0yKvdLqJ7oVA_-VT?usp=sharing</t>
  </si>
  <si>
    <t>https://drive.google.com/drive/folders/1C-U1bDiVQpMSfuPH71DHddOFzlm0N-6N?usp=sharing</t>
  </si>
  <si>
    <t>Coventry City FC</t>
  </si>
  <si>
    <t>wrexham fc; coventry city fc; sports stream</t>
  </si>
  <si>
    <t>Nonton streaming pertandingan seru Wrexham vs Coventry City - EFL Championship. Saksikan aksi-aksi terbaik dari tim yang bersaing ketat untuk meraih kemenangan. Dapatkan informasi lengkap mengenai jadwal pertandingan dan hasil pertandingan terbaru hanya di Vidio.</t>
  </si>
  <si>
    <t>https://drive.google.com/file/d/1GSwOaEPtw4-AWs5ugqoMwW68ccr2ijoT/view?usp=sharing</t>
  </si>
  <si>
    <t>https://drive.google.com/file/d/1QRfqiGCEhJTBh8r1OWDBzf-c8w3Be5Tc/view?usp=drive_link</t>
  </si>
  <si>
    <t>cab9997e</t>
  </si>
  <si>
    <t>QPR vs Ipswich - EFL Championship</t>
  </si>
  <si>
    <t>https://www.vidio.com/live/6686-champions-tv-2?schedule_id=4674583</t>
  </si>
  <si>
    <t>https://drive.google.com/drive/folders/1wknfx6iQM6ud81YofECkS9DM6xhqn2eV?usp=sharing</t>
  </si>
  <si>
    <t>https://drive.google.com/drive/folders/1C-U1bDiVQpMSfuPH71DHddOFzlm0N-6N</t>
  </si>
  <si>
    <t>queens park rangers fc; ipswich town fc; sports stream</t>
  </si>
  <si>
    <t>Nonton streaming pertandingan seru QPR vs Ipswich - EFL Championship. Saksikan aksi-aksi terbaik dari tim yang bersaing ketat untuk meraih kemenangan. Dapatkan informasi lengkap mengenai jadwal pertandingan dan hasil pertandingan terbaru hanya di Vidio.</t>
  </si>
  <si>
    <t>https://drive.google.com/file/d/1ckPS8LHzKhW7BOvvgiJ-v2f1nxY3BWDO/view?usp=sharing</t>
  </si>
  <si>
    <t>https://drive.google.com/file/d/1gRo2M7rACFj4v9cCOkZHTKxMr7iMqlwo/view?usp=drive_link</t>
  </si>
  <si>
    <t>https://drive.google.com/file/d/1m4pRFvL9YLXmwMiywsuoHb-NzJhWM4Nb/view?usp=sharing</t>
  </si>
  <si>
    <t>f7ad393b</t>
  </si>
  <si>
    <t>Portsmouth vs Wrexham - EFL Championship</t>
  </si>
  <si>
    <t>https://www.vidio.com/live/6685-champions-tv-1?schedule_id=4699715</t>
  </si>
  <si>
    <t>https://drive.google.com/drive/folders/1JFH8NPU6L6pLKvskrZBAfnSZ7LA8vs7o?usp=sharing</t>
  </si>
  <si>
    <t>https://drive.google.com/drive/folders/1JDw5cAPFw1bZIzvDc-PYinz_cmT13uiC?usp=sharing</t>
  </si>
  <si>
    <t>Portsmouth FC</t>
  </si>
  <si>
    <t>portsmouth fc; wrexham fc; sports stream</t>
  </si>
  <si>
    <t>Nonton streaming pertandingan seru Portsmouth vs Wrexham - EFL Championship. Saksikan aksi-aksi terbaik dari tim yang bersaing ketat untuk meraih kemenangan. Dapatkan informasi lengkap mengenai jadwal pertandingan dan hasil pertandingan terbaru hanya di Vidio.</t>
  </si>
  <si>
    <t>https://drive.google.com/file/d/1P2CSFB7jvHFJxnpKGdS7FAVlSevsCMZ-/view?usp=sharing</t>
  </si>
  <si>
    <t>https://drive.google.com/file/d/14QNG9czPRpobVmZsJVGDYkyz5weeSoxX/view?usp=drive_link</t>
  </si>
  <si>
    <t>d95eaf74</t>
  </si>
  <si>
    <t>Oxford United vs Ipswich - EFL Championship</t>
  </si>
  <si>
    <t>https://www.vidio.com/live/6686-champions-tv-2?schedule_id=4734876</t>
  </si>
  <si>
    <t>https://drive.google.com/drive/folders/1TamBTnKSYyxYfhc3BC8cDUsxsWLWwq4o?usp=sharing</t>
  </si>
  <si>
    <t>oxford united fc; ipswich town fc; sports stream</t>
  </si>
  <si>
    <t>Nonton streaming pertandingan seru Oxford United vs Ipswich - EFL Championship. Saksikan aksi-aksi terbaik dari tim yang bersaing ketat untuk meraih kemenangan. Dapatkan informasi lengkap mengenai jadwal pertandingan dan hasil pertandingan terbaru hanya di Vidio.</t>
  </si>
  <si>
    <t>https://drive.google.com/file/d/1jYwQ9aV7A2w9S1Ym9qcvYETq-rWsBrBj/view?usp=sharing</t>
  </si>
  <si>
    <t>https://drive.google.com/file/d/1am4vtXMg06j1CJkBzLWxhUQBBNsYAXjo/view?usp=sharing</t>
  </si>
  <si>
    <t>d85bf24d</t>
  </si>
  <si>
    <t>Hull City vs Wrexham - EFL Championship</t>
  </si>
  <si>
    <t>https://www.vidio.com/live/6685-champions-tv-1?schedule_id=4769411</t>
  </si>
  <si>
    <t>https://drive.google.com/drive/folders/1Byxxj3E7_jxZcdKFpLNV18rY17cGXEiV</t>
  </si>
  <si>
    <t>https://drive.google.com/file/d/1ORanwTfGxsq0caww5xY0p3RXmizSVOz2/view?usp=sharing</t>
  </si>
  <si>
    <t>Hull City AFC</t>
  </si>
  <si>
    <t>hull city afc; wrexham fc; sports stream</t>
  </si>
  <si>
    <t>Nonton streaming pertandingan seru Hull City vs Wrexham - EFL Championship. Saksikan aksi-aksi terbaik dari tim yang bersaing ketat untuk meraih kemenangan. Dapatkan informasi lengkap mengenai jadwal pertandingan dan hasil pertandingan terbaru hanya di Vidio.</t>
  </si>
  <si>
    <t>https://drive.google.com/file/d/1922TNm-52x0kJvga51jsJh6rSUizIRME/view?usp=sharing</t>
  </si>
  <si>
    <t>178d6d12</t>
  </si>
  <si>
    <t>Wrexham vs Watford - EFL Championship</t>
  </si>
  <si>
    <t>https://www.vidio.com/live/6686-champions-tv-2?schedule_id=4773337</t>
  </si>
  <si>
    <t>https://drive.google.com/drive/folders/16xaFRvX28pknNTlgp4-9hMFGHfDiAMcB</t>
  </si>
  <si>
    <t>https://drive.google.com/file/d/11vr0dfLyRTCqf8TOSlOuhR19jCanZAFH/view?usp=sharing</t>
  </si>
  <si>
    <t>wrexham fc; Watford; sports stream</t>
  </si>
  <si>
    <t>Nonton streaming pertandingan seru Wrexham vs Watford - EFL Championship. Saksikan aksi-aksi terbaik dari tim yang bersaing ketat untuk meraih kemenangan. Dapatkan informasi lengkap mengenai jadwal pertandingan dan hasil pertandingan terbaru hanya di Vidio.</t>
  </si>
  <si>
    <t>https://drive.google.com/file/d/11kE9JWUgOyEZjigF0ZbrDz6qa7lGXG-j/view?usp=sharing</t>
  </si>
  <si>
    <t>https://drive.google.com/file/d/14zJE5hxBLVPtmZG5kb4rw1qA44LUZqw7/view?usp=sharing</t>
  </si>
  <si>
    <t>062a0be9</t>
  </si>
  <si>
    <t>Swansea City vs Wrexham - EFL Championship</t>
  </si>
  <si>
    <t>https://www.vidio.com/live/6686-champions-tv-2?schedule_id=4783283</t>
  </si>
  <si>
    <t>Swansea City AFC</t>
  </si>
  <si>
    <t>swansea city afc; wrexham fc; sports stream</t>
  </si>
  <si>
    <t>Nonton streaming pertandingan seru Swansea City vs Wrexham - EFL Championship. Saksikan aksi-aksi terbaik dari tim yang bersaing ketat untuk meraih kemenangan. Dapatkan informasi lengkap mengenai jadwal pertandingan dan hasil pertandingan terbaru hanya di Vidio.</t>
  </si>
  <si>
    <t>https://thumbor.prod.vidiocdn.com/zZBNj2mZMz8Cx3sVRsq4spkGMXQ=/filters:quality(70)/vidio-media-production/uploads/image/source/52125/764e68.png</t>
  </si>
  <si>
    <t>https://thumbor.prod.vidiocdn.com/QXhsY6roe9qfuqa3kQcnH44GsDM=/filters:quality(70)/vidio-media-production/uploads/image/source/52124/be3306.png</t>
  </si>
  <si>
    <t>f3cd208d</t>
  </si>
  <si>
    <t>Ipswich vs Sheffield Wednesday - EFL Championship</t>
  </si>
  <si>
    <t>https://www.vidio.com/live/6686-champions-tv-2?schedule_id=4783742</t>
  </si>
  <si>
    <t>https://drive.google.com/drive/folders/1U6f0Ok3Bqx6kqDEFMor7j5wcppWLAHZr?usp=sharing</t>
  </si>
  <si>
    <t>ipswich town fc; sheffield wednesday fc; sports stream</t>
  </si>
  <si>
    <t>Nonton streaming pertandingan seru Ipswich vs Sheffield Wednesday - EFL Championship. Saksikan aksi-aksi terbaik dari tim yang bersaing ketat untuk meraih kemenangan. Dapatkan informasi lengkap mengenai jadwal pertandingan dan hasil pertandingan terbaru hanya di Vidio.</t>
  </si>
  <si>
    <t>https://thumbor.prod.vidiocdn.com/znuBxg2iHLVsJ-0CRlyHlvoVlcc=/filters:quality(70)/vidio-media-production/uploads/image/source/52231/5c4193.png</t>
  </si>
  <si>
    <t>https://thumbor.prod.vidiocdn.com/qXlt5P-4p70tYphyV2ZEEpSDArc=/filters:quality(70)/vidio-media-production/uploads/image/source/52230/399154.png</t>
  </si>
  <si>
    <t>https://drive.google.com/file/d/1IsHHkzXbxFPNk9Nc3MllyodQ2NeKwXMg/view?usp=sharing</t>
  </si>
  <si>
    <t>b7f584eb</t>
  </si>
  <si>
    <t>Wrexham vs Sheffield United - EFL Championship</t>
  </si>
  <si>
    <t>https://www.vidio.com/live/6685-champions-tv-1?schedule_id=4790739</t>
  </si>
  <si>
    <t>wrexham fc; sheffield united; sports stream</t>
  </si>
  <si>
    <t>Nonton streaming pertandingan seru Wrexham vs Sheffield United - EFL Championship. Saksikan aksi-aksi terbaik dari tim yang bersaing ketat untuk meraih kemenangan. Dapatkan informasi lengkap mengenai jadwal pertandingan dan hasil pertandingan terbaru hanya di Vidio.</t>
  </si>
  <si>
    <t>https://thumbor.prod.vidiocdn.com/bGpD9hlBtXQISew_NmhIvo2xVLU=/filters:quality(70)/vidio-media-production/uploads/image/source/52138/9f1d01.png</t>
  </si>
  <si>
    <t>https://thumbor.prod.vidiocdn.com/rbdj0XMzXvH3dmIX7faao3dVLkw=/filters:quality(70)/vidio-media-production/uploads/image/source/52136/25b54b.png</t>
  </si>
  <si>
    <t>98c9e41e</t>
  </si>
  <si>
    <t>Coventry City vs Ipswich - EFL Championship</t>
  </si>
  <si>
    <t>https://www.vidio.com/live/6685-champions-tv-1?schedule_id=4798222</t>
  </si>
  <si>
    <t>https://drive.google.com/drive/folders/1agaIckQIc2XPumj2t1jZNbQUPKJ_9OF2</t>
  </si>
  <si>
    <t>coventry city fc; ipswich town fc; sports stream</t>
  </si>
  <si>
    <t>Nonton streaming pertandingan seru Coventry City vs Ipswich - EFL Championship. Saksikan aksi-aksi terbaik dari tim yang bersaing ketat untuk meraih kemenangan. Dapatkan informasi lengkap mengenai jadwal pertandingan dan hasil pertandingan terbaru hanya di Vidio.</t>
  </si>
  <si>
    <t>https://thumbor.prod.vidiocdn.com/GLve87Tjzj6lSw5jbDqlZQeperQ=/filters:quality(70)/vidio-media-production/uploads/image/source/52176/404ad1.png</t>
  </si>
  <si>
    <t>https://thumbor.prod.vidiocdn.com/0vByqvYpj4HZMJz9moBso5fCny8=/filters:quality(70)/vidio-media-production/uploads/image/source/52175/99388c.png</t>
  </si>
  <si>
    <t>https://drive.google.com/file/d/1Tv0wwwGn04v5f0nTWeNoXFdShnx4681S/view?usp=sharing</t>
  </si>
  <si>
    <t>dc0180b6</t>
  </si>
  <si>
    <t>Wrexham vs Preston - EFL Championship</t>
  </si>
  <si>
    <t>https://www.vidio.com/live/6686-champions-tv-2?schedule_id=4798225</t>
  </si>
  <si>
    <t>Preston North End FC</t>
  </si>
  <si>
    <t>wrexham fc; preston north end fc; sports stream</t>
  </si>
  <si>
    <t>Nonton streaming pertandingan seru Wrexham vs Preston - EFL Championship. Saksikan aksi-aksi terbaik dari tim yang bersaing ketat untuk meraih kemenangan. Dapatkan informasi lengkap mengenai jadwal pertandingan dan hasil pertandingan terbaru hanya di Vidio.</t>
  </si>
  <si>
    <t>https://thumbor.prod.vidiocdn.com/Pu_8U5shI8AqKKPOtmfKjD4G5QU=/filters:quality(70)/vidio-media-production/uploads/image/source/52323/f16654.png</t>
  </si>
  <si>
    <t>https://thumbor.prod.vidiocdn.com/nKb4IK1kugZymS-_h2UYz5Zwa4w=/filters:quality(70)/vidio-media-production/uploads/image/source/52322/b6d186.png</t>
  </si>
  <si>
    <t>fbc59b99</t>
  </si>
  <si>
    <t>Blackburn Rovers vs Wrexham - EFL Championship</t>
  </si>
  <si>
    <t>https://www.vidio.com/live/6685-champions-tv-1?schedule_id=4803408</t>
  </si>
  <si>
    <t>Blackburn Rovers FC</t>
  </si>
  <si>
    <t>blackburn rovers fc; wrexham fc; sports stream</t>
  </si>
  <si>
    <t>Nonton streaming pertandingan seru Blackburn Rovers vs Wrexham - EFL Championship. Saksikan aksi-aksi terbaik dari tim yang bersaing ketat untuk meraih kemenangan. Dapatkan informasi lengkap mengenai jadwal pertandingan dan hasil pertandingan terbaru hanya di Vidio.</t>
  </si>
  <si>
    <t>https://thumbor.prod.vidiocdn.com/JjBoVvTbYahzWa47L3aj8fFTaQk=/filters:quality(70)/vidio-media-production/uploads/image/source/52687/660803.png</t>
  </si>
  <si>
    <t>https://thumbor.prod.vidiocdn.com/UotBF9GocFX2qfX465fEmqQcIBY=/filters:quality(70)/vidio-media-production/uploads/image/source/52686/e1bafc.png</t>
  </si>
  <si>
    <t>29126a8c</t>
  </si>
  <si>
    <t>Sparta Rotterdam vs Twente - Eredivisie</t>
  </si>
  <si>
    <t>https://www.vidio.com/live/6685-champions-tv-1?schedule_id=4577332</t>
  </si>
  <si>
    <t>https://drive.google.com/drive/folders/1rxDhlQottksnd8aY4NlQfb3Cj-lx3AJZ</t>
  </si>
  <si>
    <t>https://drive.google.com/drive/folders/1z2r5WZWyZXMuRGOOzxK-ZDZEDVdNk2pS</t>
  </si>
  <si>
    <t>sparta rotterdam; fc twente; sports stream</t>
  </si>
  <si>
    <t>Nonton streaming pertandingan seru Sparta Rotterdam vs Twente - Eredivisie. Saksikan aksi-aksi terbaik dari tim yang bersaing ketat untuk meraih kemenangan. Dapatkan informasi lengkap mengenai jadwal pertandingan dan hasil pertandingan terbaru hanya di Vidio.</t>
  </si>
  <si>
    <t>C2 , F2</t>
  </si>
  <si>
    <t>https://drive.google.com/file/d/15Endlam2OaFZBVC_RqVMnLmUWyfen97l/view?usp=sharing</t>
  </si>
  <si>
    <t>https://drive.google.com/file/d/1YU4MB2XAmYQ60ALbSZE-VzAlwtLhdvGt/view?usp=sharing</t>
  </si>
  <si>
    <t>https://drive.google.com/file/d/1ivY1oX8_wjJyYhCRrGvRwQMapZN1OtpQ/view?usp=sharing</t>
  </si>
  <si>
    <t>2ad2f6ae</t>
  </si>
  <si>
    <t>Fortuna Sittard vs Utrecht - Eredivisie</t>
  </si>
  <si>
    <t>https://www.vidio.com/live/6685-champions-tv-1?schedule_id=4577337</t>
  </si>
  <si>
    <t>https://drive.google.com/drive/folders/12OBkAntBP61SFwmxEnr8es4eoZ0sRF1r</t>
  </si>
  <si>
    <t>fortuna sittard; fc utrecht; sports stream</t>
  </si>
  <si>
    <t>Nonton streaming pertandingan seru Fortuna Sittard vs Utrecht - Eredivisie. Saksikan aksi-aksi terbaik dari tim yang bersaing ketat untuk meraih kemenangan. Dapatkan informasi lengkap mengenai jadwal pertandingan dan hasil pertandingan terbaru hanya di Vidio.</t>
  </si>
  <si>
    <t>CRM + SEO + Socmed (Timnas players duel)</t>
  </si>
  <si>
    <t>https://3.basecamp.com/4902751/buckets/36763424/card_tables/cards/9045257134</t>
  </si>
  <si>
    <t>https://drive.google.com/file/d/1hAMHGutlvFnUYAp_rHkRYqxLRFWnzkFX/view?usp=sharing</t>
  </si>
  <si>
    <t>https://drive.google.com/file/d/1CPRA5-CKSpm1azWy0G89D_U5_vdMsFC2/view?usp=sharing</t>
  </si>
  <si>
    <t>https://drive.google.com/file/d/1AEoslGA0gRFYu574rwMzHOLuKdm3vfTH/view?usp=sharing</t>
  </si>
  <si>
    <t>cf4706cd</t>
  </si>
  <si>
    <t>PSV vs Ajax - Eredivisie</t>
  </si>
  <si>
    <t>https://www.vidio.com/live/6685-champions-tv-1?schedule_id=4577340</t>
  </si>
  <si>
    <t>https://drive.google.com/drive/folders/1rnO3fZCbIIgIeeBIxqWSFZtZjx2rYYg0</t>
  </si>
  <si>
    <t>psv eindhoven; afc ajax; sports stream</t>
  </si>
  <si>
    <t>Nonton streaming pertandingan seru PSV vs Ajax - Eredivisie. Saksikan aksi-aksi terbaik dari tim yang bersaing ketat untuk meraih kemenangan. Dapatkan informasi lengkap mengenai jadwal pertandingan dan hasil pertandingan terbaru hanya di Vidio.</t>
  </si>
  <si>
    <t>https://drive.google.com/file/d/1p04CUZ2zd_QRLyVfmmSqSaiFMSXOO13I/view?usp=sharing</t>
  </si>
  <si>
    <t>https://drive.google.com/file/d/1qD2tnd8U-nL0yQrQPblmMFVgUo3SG24T/view?usp=sharing</t>
  </si>
  <si>
    <t>https://drive.google.com/file/d/1hW8f6LFgB9hYHhJbuF9pga6GEk5n7x8y/view?usp=sharing</t>
  </si>
  <si>
    <t>b1d763bc</t>
  </si>
  <si>
    <t>AZ Alkmaar vs Feyenoord - Eredivisie</t>
  </si>
  <si>
    <t>https://www.vidio.com/live/6685-champions-tv-1?schedule_id=4577341</t>
  </si>
  <si>
    <t>https://drive.google.com/drive/folders/1irrqxKK4fnjPAhWG2Vlz4hJkG12o8N-o</t>
  </si>
  <si>
    <t>alkmaar zaanstreek; feyenoord rotterdam; sports stream</t>
  </si>
  <si>
    <t>Nonton streaming pertandingan seru AZ Alkmaar vs Feyenoord - Eredivisie. Saksikan aksi-aksi terbaik dari tim yang bersaing ketat untuk meraih kemenangan. Dapatkan informasi lengkap mengenai jadwal pertandingan dan hasil pertandingan terbaru hanya di Vidio.</t>
  </si>
  <si>
    <t>https://drive.google.com/file/d/1JOt4m3eEpcrqchT_f_ib0UaKCPZAL5dx/view?usp=sharing</t>
  </si>
  <si>
    <t>https://drive.google.com/file/d/1kTKI1efpG_yzoeDHlaBQZNEfIh5Yg7To/view?usp=sharing</t>
  </si>
  <si>
    <t>https://drive.google.com/file/d/1u-F2YX6s7Lb61QW918jadySvXkrVVnf3/view?usp=sharing</t>
  </si>
  <si>
    <t>b578c3ba</t>
  </si>
  <si>
    <t>Rajadamnern 2025 Super Lightweight Title</t>
  </si>
  <si>
    <t>https://www.vidio.com/live/19388-rajadamnern-2025-light-flyweight-title?schedule_id=4540899</t>
  </si>
  <si>
    <t>https://drive.google.com/drive/folders/1DghnchT6YKvRDr2HArH9cixCU9P5UFIm</t>
  </si>
  <si>
    <t>https://drive.google.com/drive/folders/1qocNH1bky_XsJjyBm9Je8QR59gWfwxBO</t>
  </si>
  <si>
    <t>Nonton streaming pertandingan seru Rajadamnern 2025 Super Lightweight Title. Saksikan aksi-aksi terbaik dari tim yang bersaing ketat untuk meraih kemenangan. Dapatkan informasi lengkap mengenai jadwal pertandingan dan hasil pertandingan terbaru hanya di Vidio.</t>
  </si>
  <si>
    <t>https://drive.google.com/file/d/19RtZipbN2_E4e-rHkTX5VSpXPQ73jGyo/view?usp=sharing</t>
  </si>
  <si>
    <t>https://drive.google.com/file/d/1HFRcJuj4TuCyDH-Xykl3vjzIbi1o9S23/view?usp=sharing</t>
  </si>
  <si>
    <t>d8d4baff</t>
  </si>
  <si>
    <t>AEK Larnaca vs Brann - UEFA Europa League Play-off</t>
  </si>
  <si>
    <t>VIDIO - @europaleague</t>
  </si>
  <si>
    <t>https://www.vidio.com/live/18389-uefa-europa-league?schedule_id=4525699</t>
  </si>
  <si>
    <t>https://drive.google.com/drive/folders/1pJL2_7DUu56lIeVCQQwzIhA9hxjVk4Ff</t>
  </si>
  <si>
    <t>SK Brann</t>
  </si>
  <si>
    <t>AEK Larnaca; SK Brann; sports stream</t>
  </si>
  <si>
    <t>Nonton streaming pertandingan seru AEK Larnaca vs Brann - UEFA Europa League Play-off. Saksikan aksi-aksi terbaik dari tim yang bersaing ketat untuk meraih kemenangan. Dapatkan informasi lengkap mengenai jadwal pertandingan dan hasil pertandingan terbaru hanya di Vidio.</t>
  </si>
  <si>
    <t>https://drive.google.com/file/d/1iTukX4niPWDex6wmHSSleJpN8wJn5vbe/view?usp=sharing</t>
  </si>
  <si>
    <t>4fd82d46</t>
  </si>
  <si>
    <t>Brondby vs Strasbourg - UEFA Conference League Play-off</t>
  </si>
  <si>
    <t>VIDIO - @euroconferenceleague</t>
  </si>
  <si>
    <t>https://www.vidio.com/live/18013-uefa-conference-league?schedule_id=4527604</t>
  </si>
  <si>
    <t>https://drive.google.com/drive/folders/1K8vowht2vTJzQU9wMFrrV-BWGtKlPUsJ</t>
  </si>
  <si>
    <t>brondby; rc strasbourg alsace; sports stream</t>
  </si>
  <si>
    <t>Nonton streaming pertandingan seru Brondby vs Strasbourg - UEFA Conference League Play-off. Saksikan aksi-aksi terbaik dari tim yang bersaing ketat untuk meraih kemenangan. Dapatkan informasi lengkap mengenai jadwal pertandingan dan hasil pertandingan terbaru hanya di Vidio.</t>
  </si>
  <si>
    <t>https://drive.google.com/file/d/1K2SrCDvVaCPQvbYmeQkweGbfB6DkgcRl/view?usp=sharing</t>
  </si>
  <si>
    <t>0d687e98</t>
  </si>
  <si>
    <t>Fiorentina vs Polissya Zhytomyr - UEFA Conference League Play-off</t>
  </si>
  <si>
    <t>https://www.vidio.com/live/18012-uefa-conference-league?schedule_id=4527606</t>
  </si>
  <si>
    <t>https://drive.google.com/drive/folders/1ff_g6uOrDUq4gYjr8iS9vH4_GQ0Qq1MG</t>
  </si>
  <si>
    <t>acf fiorentina; FC Polissya Zhytomyr; sports stream</t>
  </si>
  <si>
    <t>Nonton streaming pertandingan seru Fiorentina vs Polissya Zhytomyr - UEFA Conference League Play-off. Saksikan aksi-aksi terbaik dari tim yang bersaing ketat untuk meraih kemenangan. Dapatkan informasi lengkap mengenai jadwal pertandingan dan hasil pertandingan terbaru hanya di Vidio.</t>
  </si>
  <si>
    <t>https://drive.google.com/file/d/1V-PQ9bDcZK13W1ucm_iJbfDjpF8_UtyD/view?usp=sharing</t>
  </si>
  <si>
    <t>42eb8b66</t>
  </si>
  <si>
    <t>League Phase Draw UEFA Champions League 2025/26</t>
  </si>
  <si>
    <t>https://www.vidio.com/live/6317-bein-3?schedule_id=4527607</t>
  </si>
  <si>
    <t>https://drive.google.com/drive/folders/1sKCsqGqtNc0oEahoeZGB1PUaWhmJiMor</t>
  </si>
  <si>
    <t>Nonton streaming pertandingan seru League Phase Draw UEFA Champions League 2025/26. Saksikan aksi-aksi terbaik dari tim yang bersaing ketat untuk meraih kemenangan. Dapatkan informasi lengkap mengenai jadwal pertandingan dan hasil pertandingan terbaru hanya di Vidio.</t>
  </si>
  <si>
    <t>https://drive.google.com/file/d/1tYD6nUmpQJWj0SZ_z7aHsZ13WQImBM7Q/view?usp=sharing</t>
  </si>
  <si>
    <t>6f062170</t>
  </si>
  <si>
    <t>League Phase Draw UEFA Europa League &amp; Conference League 2025/26</t>
  </si>
  <si>
    <t>https://www.vidio.com/live/6317-bein-3?schedule_id=4527608</t>
  </si>
  <si>
    <t>https://drive.google.com/drive/folders/1gkiq53GntaCMcKh65BRT_TClyMS56qou</t>
  </si>
  <si>
    <t>Nonton streaming pertandingan seru League Phase Draw UEFA Europa League &amp; Conference League 2025/26. Saksikan aksi-aksi terbaik dari tim yang bersaing ketat untuk meraih kemenangan. Dapatkan informasi lengkap mengenai jadwal pertandingan dan hasil pertandingan terbaru hanya di Vidio.</t>
  </si>
  <si>
    <t>https://drive.google.com/file/d/1QEulLw_Smpm6q6M5nFdmrFWKhS5ywnpm/view?usp=sharing</t>
  </si>
  <si>
    <t>dd756cb6</t>
  </si>
  <si>
    <t>Bournemouth vs Brentford - Carabao Cup</t>
  </si>
  <si>
    <t>https://www.vidio.com/live/6686-champions-tv-2?schedule_id=4525634</t>
  </si>
  <si>
    <t>https://drive.google.com/drive/folders/1YffmZL1TJ3aRzEVQO3pWaDSzlT3l2pDI?usp=drive_link</t>
  </si>
  <si>
    <t>Nonton streaming pertandingan seru Bournemouth vs Brentford - Carabao Cup. Saksikan aksi-aksi terbaik dari tim yang bersaing ketat untuk meraih kemenangan. Dapatkan informasi lengkap mengenai jadwal pertandingan dan hasil pertandingan terbaru hanya di Vidio.</t>
  </si>
  <si>
    <t>https://drive.google.com/file/d/1xK8cM2CFODOUCa9_3vMtpxnRbrN1zw1F/view?usp=sharing</t>
  </si>
  <si>
    <t>https://drive.google.com/file/d/1XFz6G-WHfMQ10Sz14ULldsmeryntJ0AE/view?usp=drive_link</t>
  </si>
  <si>
    <t>https://drive.google.com/file/d/14MVyT4I99iYsUGEwa8obT6nY5Hye5qqX/view?usp=sharing</t>
  </si>
  <si>
    <t>314536a8</t>
  </si>
  <si>
    <t>Grimsby Town FC vs Man United - Carabao Cup</t>
  </si>
  <si>
    <t>https://www.vidio.com/live/6686-champions-tv-2?schedule_id=4525700</t>
  </si>
  <si>
    <t>https://drive.google.com/drive/folders/1rlHmpEnVsGadUHMBNjgRuBaniSJmomnA?usp=drive_link</t>
  </si>
  <si>
    <t>Grimsby Town FC</t>
  </si>
  <si>
    <t>Grimsby Town FC; manchester united fc; sports stream</t>
  </si>
  <si>
    <t>Nonton streaming pertandingan seru Grimsby Town FC vs Man United - Carabao Cup. Saksikan aksi-aksi terbaik dari tim yang bersaing ketat untuk meraih kemenangan. Dapatkan informasi lengkap mengenai jadwal pertandingan dan hasil pertandingan terbaru hanya di Vidio.</t>
  </si>
  <si>
    <t>https://drive.google.com/file/d/1-YondXpO3Jv07utWFJLbVr6fPJuscsMe/view?usp=sharing</t>
  </si>
  <si>
    <t>https://drive.google.com/file/d/1bz5pamftjg9Gye4yaE0zdh1__vn4S5Vc/view?usp=drive_link</t>
  </si>
  <si>
    <t>https://drive.google.com/file/d/1e8QrbiN3Ddubc2zghmTAyD_q3ms2izfR/view?usp=sharing</t>
  </si>
  <si>
    <t>c4bd96d8</t>
  </si>
  <si>
    <t>Sirkuit Nasional Bulutangkis 2025 - Bandung: Final</t>
  </si>
  <si>
    <t>https://www.vidio.com/live/18832-sirkuit-nasional-bulutangkis-2025?schedule_id=4637745</t>
  </si>
  <si>
    <t>https://drive.google.com/drive/folders/14W_Q5Wi8rD17K7MKNI_Qh3O04ZJOvXK7?usp=drive_link</t>
  </si>
  <si>
    <t>Nonton streaming pertandingan seru Sirkuit Nasional Bulutangkis 2025 - Bandung: Final. Saksikan aksi-aksi terbaik dari tim yang bersaing ketat untuk meraih kemenangan. Dapatkan informasi lengkap mengenai jadwal pertandingan dan hasil pertandingan terbaru hanya di Vidio.</t>
  </si>
  <si>
    <t>https://drive.google.com/file/d/1IU-az1vdRSvo44bu_up6AW6AS5WURgcT/view?usp=sharing</t>
  </si>
  <si>
    <t>https://drive.google.com/file/d/16FC4U7c9jJQqNdbId7USukbMlXpnxEoW/view?usp=drive_link</t>
  </si>
  <si>
    <t>4e59ad11</t>
  </si>
  <si>
    <t>(Data Zone) Arsenal vs Man City - Premier League</t>
  </si>
  <si>
    <t>https://www.vidio.com/live/9183-champions-tv-6?schedule_id=4579984</t>
  </si>
  <si>
    <t>Nonton streaming pertandingan seru (Data Zone) Arsenal vs Man City - Premier League. Saksikan aksi-aksi terbaik dari tim yang bersaing ketat untuk meraih kemenangan. Dapatkan informasi lengkap mengenai jadwal pertandingan dan hasil pertandingan terbaru hanya di Vidio.</t>
  </si>
  <si>
    <t>6d7ffa7b</t>
  </si>
  <si>
    <t>Excelsior vs Twente - Eredivisie</t>
  </si>
  <si>
    <t>https://www.vidio.com/live/6686-champions-tv-2?schedule_id=4533787</t>
  </si>
  <si>
    <t>https://drive.google.com/drive/folders/1rWNcw9KyEAeZ2clucZawrMqCiAqoV3iY?usp=drive_link</t>
  </si>
  <si>
    <t>excelsior rotterdam; fc twente; sports stream</t>
  </si>
  <si>
    <t>Nonton streaming pertandingan seru Excelsior vs Twente - Eredivisie. Saksikan aksi-aksi terbaik dari tim yang bersaing ketat untuk meraih kemenangan. Dapatkan informasi lengkap mengenai jadwal pertandingan dan hasil pertandingan terbaru hanya di Vidio.</t>
  </si>
  <si>
    <t>Excelsior: Hendrikx, Gyan de Regt
Twente: Robin Propper, Naci Unuvar (Imago 1065515108)</t>
  </si>
  <si>
    <t>https://drive.google.com/file/d/1J-zpxDet7h2upDjnQMVi8vg3JZvXGzct/view?usp=sharing</t>
  </si>
  <si>
    <t>https://drive.google.com/file/d/1hJKyvSCfrIKVu64XZ-ncsIqB7BviTNfW/view?usp=drive_link</t>
  </si>
  <si>
    <t>https://drive.google.com/file/d/1Sss72-metCyAB9-xeHckxG23roLNFTGL/view?usp=sharing</t>
  </si>
  <si>
    <t>3548f9aa</t>
  </si>
  <si>
    <t>Matchday 1 - Top Youth Premier League 2025</t>
  </si>
  <si>
    <t>Top Youth Premier League 2025</t>
  </si>
  <si>
    <t>VIDIO - @typl</t>
  </si>
  <si>
    <t>https://www.vidio.com/live/19472</t>
  </si>
  <si>
    <t>https://drive.google.com/drive/folders/1NepG6XT-FSa8Cs07sX3tPfQWLNpJfAxp</t>
  </si>
  <si>
    <t>Sports &gt; Football &gt; Top Youth Premier League</t>
  </si>
  <si>
    <t>top youth premier league; Top Youth Premier League 2025</t>
  </si>
  <si>
    <t>Liga TopSkor</t>
  </si>
  <si>
    <t>Nonton streaming pertandingan seru Matchday 1 - Top Youth Premier League 2025. Saksikan aksi-aksi terbaik dari tim yang bersaing ketat untuk meraih kemenangan. Dapatkan informasi lengkap mengenai jadwal pertandingan dan hasil pertandingan terbaru hanya di Vidio.</t>
  </si>
  <si>
    <t>https://drive.google.com/file/d/1DNux4glLBnqI-DzUHKvsJVIQIe0fQ_QF/view?usp=sharing</t>
  </si>
  <si>
    <t>f4af05aa</t>
  </si>
  <si>
    <t>MUTIARA 97 vs ASIOP MERAH - Top Youth Premier League 2025 U-9</t>
  </si>
  <si>
    <t>https://www.vidio.com/live/19472?schedule_id=4534247</t>
  </si>
  <si>
    <t>Nonton streaming pertandingan seru MUTIARA 97 vs ASIOP MERAH - Top Youth Premier League 2025 U-9. Saksikan aksi-aksi terbaik dari tim yang bersaing ketat untuk meraih kemenangan. Dapatkan informasi lengkap mengenai jadwal pertandingan dan hasil pertandingan terbaru hanya di Vidio.</t>
  </si>
  <si>
    <t>2d7ea839</t>
  </si>
  <si>
    <t>PUTRA NUSANTARA vs ASIOP MERAH - Top Youth Premier League 2025 U-10</t>
  </si>
  <si>
    <t>https://www.vidio.com/live/19472?schedule_id=4534248</t>
  </si>
  <si>
    <t>Nonton streaming pertandingan seru PUTRA NUSANTARA vs ASIOP MERAH - Top Youth Premier League 2025 U-10. Saksikan aksi-aksi terbaik dari tim yang bersaing ketat untuk meraih kemenangan. Dapatkan informasi lengkap mengenai jadwal pertandingan dan hasil pertandingan terbaru hanya di Vidio.</t>
  </si>
  <si>
    <t>312dabee</t>
  </si>
  <si>
    <t>FFF ACADEMY vs MAVERICKS ACADEMY - Top Youth Premier League 2025 U-9</t>
  </si>
  <si>
    <t>https://www.vidio.com/live/19472?schedule_id=4534249</t>
  </si>
  <si>
    <t>Nonton streaming pertandingan seru FFF ACADEMY vs MAVERICKS ACADEMY - Top Youth Premier League 2025 U-9. Saksikan aksi-aksi terbaik dari tim yang bersaing ketat untuk meraih kemenangan. Dapatkan informasi lengkap mengenai jadwal pertandingan dan hasil pertandingan terbaru hanya di Vidio.</t>
  </si>
  <si>
    <t>54aeec1b</t>
  </si>
  <si>
    <t>PUTRA NUSANTARA vs ASIOP BIRU - Top Youth Premier League 2025 U-10</t>
  </si>
  <si>
    <t>https://www.vidio.com/live/19472?schedule_id=4534250</t>
  </si>
  <si>
    <t>Nonton streaming pertandingan seru PUTRA NUSANTARA vs ASIOP BIRU - Top Youth Premier League 2025 U-10. Saksikan aksi-aksi terbaik dari tim yang bersaing ketat untuk meraih kemenangan. Dapatkan informasi lengkap mengenai jadwal pertandingan dan hasil pertandingan terbaru hanya di Vidio.</t>
  </si>
  <si>
    <t>5d9fadc1</t>
  </si>
  <si>
    <t>PONDOK BAMBU vs BOGOR UNITED SS - Top Youth Premier League 2025 U-9</t>
  </si>
  <si>
    <t>https://www.vidio.com/live/19472?schedule_id=4534251</t>
  </si>
  <si>
    <t>Nonton streaming pertandingan seru PONDOK BAMBU vs BOGOR UNITED SS - Top Youth Premier League 2025 U-9. Saksikan aksi-aksi terbaik dari tim yang bersaing ketat untuk meraih kemenangan. Dapatkan informasi lengkap mengenai jadwal pertandingan dan hasil pertandingan terbaru hanya di Vidio.</t>
  </si>
  <si>
    <t>ff1ab90c</t>
  </si>
  <si>
    <t>APEX FOOTBALL vs SUKMAJAYA - Top Youth Premier League 2025 U-11</t>
  </si>
  <si>
    <t>https://www.vidio.com/live/19472?schedule_id=4534252</t>
  </si>
  <si>
    <t>Nonton streaming pertandingan seru APEX FOOTBALL vs SUKMAJAYA - Top Youth Premier League 2025 U-11. Saksikan aksi-aksi terbaik dari tim yang bersaing ketat untuk meraih kemenangan. Dapatkan informasi lengkap mengenai jadwal pertandingan dan hasil pertandingan terbaru hanya di Vidio.</t>
  </si>
  <si>
    <t>f7eecc0a</t>
  </si>
  <si>
    <t>YOUNG WARRIOR ACHILLES vs NAWASENA - Top Youth Premier League 2025 U-11</t>
  </si>
  <si>
    <t>https://www.vidio.com/live/19472?schedule_id=4534253</t>
  </si>
  <si>
    <t>Nonton streaming pertandingan seru YOUNG WARRIOR ACHILLES vs NAWASENA - Top Youth Premier League 2025 U-11. Saksikan aksi-aksi terbaik dari tim yang bersaing ketat untuk meraih kemenangan. Dapatkan informasi lengkap mengenai jadwal pertandingan dan hasil pertandingan terbaru hanya di Vidio.</t>
  </si>
  <si>
    <t>613d809c</t>
  </si>
  <si>
    <t>APEX FOOTBALL vs PUTRA NUSANTARA - Top Youth Premier League 2025 U-11</t>
  </si>
  <si>
    <t>https://www.vidio.com/live/19472?schedule_id=4534254</t>
  </si>
  <si>
    <t>Nonton streaming pertandingan seru APEX FOOTBALL vs PUTRA NUSANTARA - Top Youth Premier League 2025 U-11. Saksikan aksi-aksi terbaik dari tim yang bersaing ketat untuk meraih kemenangan. Dapatkan informasi lengkap mengenai jadwal pertandingan dan hasil pertandingan terbaru hanya di Vidio.</t>
  </si>
  <si>
    <t>b2c41b11</t>
  </si>
  <si>
    <t>YOUNG WARRIOR ACHILLES vs SPARTAN SOCCER - Top Youth Premier League 2025 U-11</t>
  </si>
  <si>
    <t>https://www.vidio.com/live/19472?schedule_id=4534256</t>
  </si>
  <si>
    <t>Nonton streaming pertandingan seru YOUNG WARRIOR ACHILLES vs SPARTAN SOCCER - Top Youth Premier League 2025 U-11. Saksikan aksi-aksi terbaik dari tim yang bersaing ketat untuk meraih kemenangan. Dapatkan informasi lengkap mengenai jadwal pertandingan dan hasil pertandingan terbaru hanya di Vidio.</t>
  </si>
  <si>
    <t>8363b99d</t>
  </si>
  <si>
    <t>MC UTAMA vs CITRA MUDA BEKASI - Top Youth Premier League 2025 U-12</t>
  </si>
  <si>
    <t>https://www.vidio.com/live/19472?schedule_id=4534255</t>
  </si>
  <si>
    <t>Nonton streaming pertandingan seru MC UTAMA vs CITRA MUDA BEKASI - Top Youth Premier League 2025 U-12. Saksikan aksi-aksi terbaik dari tim yang bersaing ketat untuk meraih kemenangan. Dapatkan informasi lengkap mengenai jadwal pertandingan dan hasil pertandingan terbaru hanya di Vidio.</t>
  </si>
  <si>
    <t>a853289c</t>
  </si>
  <si>
    <t>SOCCER FUTURELAB CIJANTUNG vs BINA TARUNA - Top Youth Premier League 2025 U-12</t>
  </si>
  <si>
    <t>https://www.vidio.com/live/19472?schedule_id=4534257</t>
  </si>
  <si>
    <t>Nonton streaming pertandingan seru SOCCER FUTURELAB CIJANTUNG vs BINA TARUNA - Top Youth Premier League 2025 U-12. Saksikan aksi-aksi terbaik dari tim yang bersaing ketat untuk meraih kemenangan. Dapatkan informasi lengkap mengenai jadwal pertandingan dan hasil pertandingan terbaru hanya di Vidio.</t>
  </si>
  <si>
    <t>9650fa02</t>
  </si>
  <si>
    <t>BINNA BANUA vs RAGA NEGERI - Top Youth Premier League 2025 U-12</t>
  </si>
  <si>
    <t>https://www.vidio.com/live/19472?schedule_id=4534258</t>
  </si>
  <si>
    <t>Nonton streaming pertandingan seru BINNA BANUA vs RAGA NEGERI - Top Youth Premier League 2025 U-12. Saksikan aksi-aksi terbaik dari tim yang bersaing ketat untuk meraih kemenangan. Dapatkan informasi lengkap mengenai jadwal pertandingan dan hasil pertandingan terbaru hanya di Vidio.</t>
  </si>
  <si>
    <t>043a20dc</t>
  </si>
  <si>
    <t>RDC PRATAMA vs DIKLAT ISA - Top Youth Premier League 2025 U-12</t>
  </si>
  <si>
    <t>https://www.vidio.com/live/19472?schedule_id=4534259</t>
  </si>
  <si>
    <t>Nonton streaming pertandingan seru RDC PRATAMA vs DIKLAT ISA - Top Youth Premier League 2025 U-12. Saksikan aksi-aksi terbaik dari tim yang bersaing ketat untuk meraih kemenangan. Dapatkan informasi lengkap mengenai jadwal pertandingan dan hasil pertandingan terbaru hanya di Vidio.</t>
  </si>
  <si>
    <t>0c1be27a</t>
  </si>
  <si>
    <t>BINNA BANUA vs SULCATA - Top Youth Premier League 2025 U-12</t>
  </si>
  <si>
    <t>https://www.vidio.com/live/19472?schedule_id=4534260</t>
  </si>
  <si>
    <t>Nonton streaming pertandingan seru BINNA BANUA vs SULCATA - Top Youth Premier League 2025 U-12. Saksikan aksi-aksi terbaik dari tim yang bersaing ketat untuk meraih kemenangan. Dapatkan informasi lengkap mengenai jadwal pertandingan dan hasil pertandingan terbaru hanya di Vidio.</t>
  </si>
  <si>
    <t>cdf75f08</t>
  </si>
  <si>
    <t>Rajadamnern 2025 Super Bantamweight Title</t>
  </si>
  <si>
    <t>https://www.vidio.com/live/19388-rajadamnern-2025-super-bantamweight-title?schedule_id=4564978</t>
  </si>
  <si>
    <t>https://drive.google.com/drive/u/0/folders/11djpA7dxS51-HPr1jcjeRXI_3QAdKXZv</t>
  </si>
  <si>
    <t>https://drive.google.com/drive/folders/1EX2P9vap-ELPsLbGcig5RhKCpmmXEsW3?usp=drive_link</t>
  </si>
  <si>
    <t>Nonton streaming pertandingan seru Rajadamnern 2025 Super Bantamweight Title. Saksikan aksi-aksi terbaik dari tim yang bersaing ketat untuk meraih kemenangan. Dapatkan informasi lengkap mengenai jadwal pertandingan dan hasil pertandingan terbaru hanya di Vidio.</t>
  </si>
  <si>
    <t>APP ONLY</t>
  </si>
  <si>
    <t>https://drive.google.com/file/d/19nThG52ocdpfhUOr31IbIJW78SdRqzRa/view?usp=sharing</t>
  </si>
  <si>
    <t>https://drive.google.com/file/d/11eTHlr4NHnV8LCeZ4LvgV_m20Z-Fe494/view?usp=sharing</t>
  </si>
  <si>
    <t>965631bc</t>
  </si>
  <si>
    <t>Jelang Kick Off - PERSIB vs PERSEBAYA Surabaya - BRI Super League</t>
  </si>
  <si>
    <t>https://www.vidio.com/live/19355-bri-super-league?schedule_id=4564970</t>
  </si>
  <si>
    <t>https://drive.google.com/drive/folders/1JBRHT9LwWNxhjvo0rAsFWe8X0wsZvXom</t>
  </si>
  <si>
    <t>Persib; persebaya surabaya; sports stream</t>
  </si>
  <si>
    <t>Nonton streaming pertandingan seru Jelang Kick Off - PERSIB vs PERSEBAYA Surabaya - BRI Super League. Saksikan aksi-aksi terbaik dari tim yang bersaing ketat untuk meraih kemenangan. Dapatkan informasi lengkap mengenai jadwal pertandingan dan hasil pertandingan terbaru hanya di Vidio.</t>
  </si>
  <si>
    <t>https://drive.google.com/file/d/18-vB-iLeeZgORqT5aKbzqQlEg4rxya2O/view?usp=sharing</t>
  </si>
  <si>
    <t>70d8197c</t>
  </si>
  <si>
    <t>Jelang Kick Off - Arema FC vs Dewa United Banten FC - BRI Super League</t>
  </si>
  <si>
    <t>https://www.vidio.com/live/19355-bri-super-league?schedule_id=4567205</t>
  </si>
  <si>
    <t>Nonton streaming pertandingan seru Jelang Kick Off - Arema FC vs Dewa United Banten FC - BRI Super League. Saksikan aksi-aksi terbaik dari tim yang bersaing ketat untuk meraih kemenangan. Dapatkan informasi lengkap mengenai jadwal pertandingan dan hasil pertandingan terbaru hanya di Vidio.</t>
  </si>
  <si>
    <t>https://drive.google.com/file/d/1Ulr2eaSV9a2ikggT2QjStENN7ncts1gF/view?usp=sharing</t>
  </si>
  <si>
    <t>c3fba297</t>
  </si>
  <si>
    <t>Jelang Kick Off - PERSIJA vs Bali United FC - BRI Super League</t>
  </si>
  <si>
    <t>https://www.vidio.com/live/19355?schedule_id=4570853</t>
  </si>
  <si>
    <t>https://drive.google.com/drive/folders/1PPfLTw6uCkUlARyy6ot-B6-GY_FW0YwK</t>
  </si>
  <si>
    <t>Nonton streaming pertandingan seru Jelang Kick Off - PERSIJA vs Bali United FC - BRI Super League. Saksikan aksi-aksi terbaik dari tim yang bersaing ketat untuk meraih kemenangan. Dapatkan informasi lengkap mengenai jadwal pertandingan dan hasil pertandingan terbaru hanya di Vidio.</t>
  </si>
  <si>
    <t>https://drive.google.com/file/d/19pCrItHmbjQ2YuSXKKSb45RVgj1uobnQ/view?usp=drive_link</t>
  </si>
  <si>
    <t>5df133ed</t>
  </si>
  <si>
    <t>Oscar Valdez vs Ricky Medina - Vacant WBO Jr. Middleweight Championship</t>
  </si>
  <si>
    <t>https://www.vidio.com/live/6685-champions-tv-1?schedule_id=4550612</t>
  </si>
  <si>
    <t>https://drive.google.com/drive/u/0/folders/1iwPk8HSSKK9x1xR92Boj5pJ3GxZOFEeR</t>
  </si>
  <si>
    <t>https://drive.google.com/drive/folders/1DLkn6yFrGlaT5yp5GkSirfPXKUFGiO_-</t>
  </si>
  <si>
    <t>Nonton streaming pertandingan seru Oscar Valdez vs Ricky Medina - Vacant WBO Jr. Middleweight Championship. Saksikan aksi-aksi terbaik dari tim yang bersaing ketat untuk meraih kemenangan. Dapatkan informasi lengkap mengenai jadwal pertandingan dan hasil pertandingan terbaru hanya di Vidio.</t>
  </si>
  <si>
    <t>C1</t>
  </si>
  <si>
    <t>https://drive.google.com/file/d/1bOV-3ltBj-uk47dBVXsw7n7Qxxe0kKGo/view?usp=sharing</t>
  </si>
  <si>
    <t>https://drive.google.com/file/d/1_b9JlDHtnXQ8-GCc810GLjetgjhRmX7Y/view?usp=sharing</t>
  </si>
  <si>
    <t>7d904070</t>
  </si>
  <si>
    <t>Telstar vs Fortuna Sittard - Eredivisie</t>
  </si>
  <si>
    <t>https://www.vidio.com/live/6685-champions-tv-1?schedule_id=4559067</t>
  </si>
  <si>
    <t>https://drive.google.com/drive/folders/1zhxz8AiSGzXFBcioMaknwkVEeReZ5ImB?usp=drive_link</t>
  </si>
  <si>
    <t>https://drive.google.com/file/d/1fWbNDd9NvhT0FkGeiILk2eoeiru9sueP/view?usp=drive_link</t>
  </si>
  <si>
    <t>sc telstar; fortuna sittard; sports stream</t>
  </si>
  <si>
    <t>Nonton streaming pertandingan seru Telstar vs Fortuna Sittard - Eredivisie. Saksikan aksi-aksi terbaik dari tim yang bersaing ketat untuk meraih kemenangan. Dapatkan informasi lengkap mengenai jadwal pertandingan dan hasil pertandingan terbaru hanya di Vidio.</t>
  </si>
  <si>
    <t>https://drive.google.com/file/d/1ooWNYek8ZwMlOrs_hEqM5HLqn-YSA-G6/view?usp=sharing</t>
  </si>
  <si>
    <t>https://drive.google.com/file/d/1fWbNDd9NvhT0FkGeiILk2eoeiru9sueP/view?usp=sharing</t>
  </si>
  <si>
    <t>https://drive.google.com/file/d/1EKwh_6i8Bkar4sEvmtUZuaAxJahu-sqJ/view?usp=sharing</t>
  </si>
  <si>
    <t>8574a514</t>
  </si>
  <si>
    <t>Al-Ittihad vs Al-Fateh - ROSHN Saudi League</t>
  </si>
  <si>
    <t>ROSHN Saudi League 2025/26</t>
  </si>
  <si>
    <t>SPOTV</t>
  </si>
  <si>
    <t>PLATINUM EXTRA , BWF + SPOTV</t>
  </si>
  <si>
    <t>https://www.vidio.com/live/17139-spotv?schedule_id=4567067</t>
  </si>
  <si>
    <t>https://drive.google.com/drive/folders/1Yfk8OIgP8lW6sZCVmdvXJffvMPL3yyjo</t>
  </si>
  <si>
    <t>Al Ittihad</t>
  </si>
  <si>
    <t>Al Fateh SC</t>
  </si>
  <si>
    <t>Sports &gt; Football &gt; Saudi Pro League</t>
  </si>
  <si>
    <t>saudi pro league; ROSHN Saudi League 2025/26</t>
  </si>
  <si>
    <t>FIFA; AFC</t>
  </si>
  <si>
    <t>al ittihad; al fateh sc; sports stream</t>
  </si>
  <si>
    <t>Nonton streaming pertandingan seru Al-Ittihad vs Al-Fateh - ROSHN Saudi League. Saksikan aksi-aksi terbaik dari tim yang bersaing ketat untuk meraih kemenangan. Dapatkan informasi lengkap mengenai jadwal pertandingan dan hasil pertandingan terbaru hanya di Vidio.</t>
  </si>
  <si>
    <t>Al Ittihad: Benzema
Al Fateh: Abdul Aziz</t>
  </si>
  <si>
    <t>https://drive.google.com/file/d/1Esg5Vc1AaCx5K6RPgkJZLd1xpcIL7i38/view?usp=drive_link</t>
  </si>
  <si>
    <t>https://drive.google.com/file/d/1Ng_yqxC8z-Qcz7qsgOx5NVY9_vlWH8Dl/view?usp=drive_link</t>
  </si>
  <si>
    <t>587092d4</t>
  </si>
  <si>
    <t>Al-Hilal vs Al-Qadsiah - ROSHN Saudi League</t>
  </si>
  <si>
    <t>SPOTV 2</t>
  </si>
  <si>
    <t>https://www.vidio.com/live/17140-spotv-2?schedule_id=4567499</t>
  </si>
  <si>
    <t>https://drive.google.com/drive/folders/1GiaGafjWrwv0DV11e0Asvp1k6IfG-skL</t>
  </si>
  <si>
    <t>Al Hilal SFC</t>
  </si>
  <si>
    <t>Al Qadsiah FC</t>
  </si>
  <si>
    <t>al-hilal; al qadsiah fc; sports stream</t>
  </si>
  <si>
    <t>Nonton streaming pertandingan seru Al-Hilal vs Al-Qadsiah - ROSHN Saudi League. Saksikan aksi-aksi terbaik dari tim yang bersaing ketat untuk meraih kemenangan. Dapatkan informasi lengkap mengenai jadwal pertandingan dan hasil pertandingan terbaru hanya di Vidio.</t>
  </si>
  <si>
    <t>Al Hilal: Darwin Nunez
Al Qadsiah: Mateo Retegui</t>
  </si>
  <si>
    <t>https://drive.google.com/file/d/1QXpXGayPHA7tRvPwMcltkYHAKMsfTmRn/view?usp=drive_link</t>
  </si>
  <si>
    <t>https://drive.google.com/file/d/1E4NEuj1EiZZckCzawsPhER8_1oSzqBY9/view?usp=drive_link</t>
  </si>
  <si>
    <t>6a901118</t>
  </si>
  <si>
    <t>Al-Nassr vs Al-Kholood - ROSHN Saudi League</t>
  </si>
  <si>
    <t>https://www.vidio.com/live/17139-spotv?schedule_id=4570987</t>
  </si>
  <si>
    <t>https://drive.google.com/drive/folders/1Lf--VIoC5rNNy6QHyl6-qsQFyncfoo5E?usp=drive_link</t>
  </si>
  <si>
    <t>Al Nassr</t>
  </si>
  <si>
    <t>Al-Kholood Club</t>
  </si>
  <si>
    <t>al nassr; al-kholood club; sports stream</t>
  </si>
  <si>
    <t>Nonton streaming pertandingan seru Al-Nassr vs Al-Kholood - ROSHN Saudi League. Saksikan aksi-aksi terbaik dari tim yang bersaing ketat untuk meraih kemenangan. Dapatkan informasi lengkap mengenai jadwal pertandingan dan hasil pertandingan terbaru hanya di Vidio.</t>
  </si>
  <si>
    <t>Al Nassr: Cristiano Ronaldo
Al Kholood: William Troost-Ekong</t>
  </si>
  <si>
    <t>https://drive.google.com/file/d/19bS8yZg4qIALyaNupCjLHOH0ujd2DbDE/view?usp=sharing</t>
  </si>
  <si>
    <t>https://drive.google.com/file/d/1Q4uAotXLkA5YZ0Kw8_l01-WKgbqUO11L/view?usp=sharing</t>
  </si>
  <si>
    <t>95120ba9</t>
  </si>
  <si>
    <t>Bologna vs Genoa - Serie A</t>
  </si>
  <si>
    <t>https://www.vidio.com/live/19404-serie-a?schedule_id=4579874</t>
  </si>
  <si>
    <t>https://drive.google.com/drive/folders/1UJbYv_cfBiYj-YD2BqmarfMOxN1ATALf?usp=drive_link</t>
  </si>
  <si>
    <t>https://drive.google.com/drive/folders/1KEbcr6U_ZqEhtv_7d6qSImpjmWPCeGg3?usp=drive_link</t>
  </si>
  <si>
    <t>bologna fc 1909; genoa cfc; sports stream</t>
  </si>
  <si>
    <t>Nonton streaming pertandingan seru Bologna vs Genoa - Serie A. Saksikan aksi-aksi terbaik dari tim yang bersaing ketat untuk meraih kemenangan. Dapatkan informasi lengkap mengenai jadwal pertandingan dan hasil pertandingan terbaru hanya di Vidio.</t>
  </si>
  <si>
    <t>https://drive.google.com/file/d/1iKLkricbS-bEN6-yUQrTKdW-YxLZfRbW/view?usp=sharing</t>
  </si>
  <si>
    <t>https://drive.google.com/file/d/1AUJ8nGg04jnVGKYSWvmJFB7iDXBJY_Gn/view?usp=drive_link</t>
  </si>
  <si>
    <t>3535b4bd</t>
  </si>
  <si>
    <t>Torino vs Atalanta - Serie A</t>
  </si>
  <si>
    <t>https://www.vidio.com/live/19404-serie-a?schedule_id=4579879</t>
  </si>
  <si>
    <t>https://drive.google.com/drive/folders/13M4xWzB9cuW0NWpDLmVXGsfXGzv6VRhT?usp=drive_link</t>
  </si>
  <si>
    <t>torino fc; atalanta bergamasca calcio; sports stream</t>
  </si>
  <si>
    <t>Nonton streaming pertandingan seru Torino vs Atalanta - Serie A. Saksikan aksi-aksi terbaik dari tim yang bersaing ketat untuk meraih kemenangan. Dapatkan informasi lengkap mengenai jadwal pertandingan dan hasil pertandingan terbaru hanya di Vidio.</t>
  </si>
  <si>
    <t>https://drive.google.com/file/d/1mX0EbXAmA0dz_Uu2-2bHx_C0G-1UmOTI/view?usp=sharing</t>
  </si>
  <si>
    <t>https://drive.google.com/file/d/1EmCtcn8ujvrWfa-ye-L02IkYjxAe649N/view?usp=drive_link</t>
  </si>
  <si>
    <t>https://drive.google.com/file/d/1ogPbQH1tRktvSS2KgUL4HMAxaagGbK1C/view?usp=sharing</t>
  </si>
  <si>
    <t>f4ba58b8</t>
  </si>
  <si>
    <t>Lazio vs Roma - Serie A</t>
  </si>
  <si>
    <t>https://www.vidio.com/live/19404-serie-a?schedule_id=4579877</t>
  </si>
  <si>
    <t>https://drive.google.com/drive/folders/1KGtZZzmn7UwMZSr_z4geUXJWXuFgUfQJ?usp=drive_link</t>
  </si>
  <si>
    <t>ss lazio; as roma; sports stream</t>
  </si>
  <si>
    <t>Nonton streaming pertandingan seru Lazio vs Roma - Serie A. Saksikan aksi-aksi terbaik dari tim yang bersaing ketat untuk meraih kemenangan. Dapatkan informasi lengkap mengenai jadwal pertandingan dan hasil pertandingan terbaru hanya di Vidio.</t>
  </si>
  <si>
    <t>https://drive.google.com/file/d/1QbUUa4KeKaDmx4OrCCsCFkEOfSJYZ8fR/view?usp=sharing</t>
  </si>
  <si>
    <t>https://drive.google.com/file/d/1ldBrZMRp9bRhkvBzu33i850toW8-3JIM/view?usp=drive_link</t>
  </si>
  <si>
    <t>https://drive.google.com/file/d/1UsIQt_7rUHIIMXRaMRl4CSASf4rGVGsr/view?usp=sharing</t>
  </si>
  <si>
    <t>05a94244</t>
  </si>
  <si>
    <t>Fiorentina vs Como - Serie A</t>
  </si>
  <si>
    <t>https://www.vidio.com/live/19404-serie-a?schedule_id=4583699</t>
  </si>
  <si>
    <t>https://drive.google.com/drive/folders/1FYJaVF0AmdQvybdPtnQJf7a7trB1JcGF?usp=drive_link</t>
  </si>
  <si>
    <t>acf fiorentina; como; sports stream</t>
  </si>
  <si>
    <t>Nonton streaming pertandingan seru Fiorentina vs Como - Serie A. Saksikan aksi-aksi terbaik dari tim yang bersaing ketat untuk meraih kemenangan. Dapatkan informasi lengkap mengenai jadwal pertandingan dan hasil pertandingan terbaru hanya di Vidio.</t>
  </si>
  <si>
    <t>C4</t>
  </si>
  <si>
    <t>https://drive.google.com/file/d/1_b-6OwUzVvteNZZ4AK07D6bbvXEgCG3j/view?usp=sharing</t>
  </si>
  <si>
    <t>https://drive.google.com/file/d/10_3BnF4JkSmNVfj2jQ_QqPPlQx6pgY6Y/view?usp=drive_link</t>
  </si>
  <si>
    <t>https://drive.google.com/file/d/1h1wjceYItA1c-aWQqkM0rplCWTZSGMZy/view?usp=sharing</t>
  </si>
  <si>
    <t>c3ec59ab</t>
  </si>
  <si>
    <t>Verona vs Juventus - Serie A</t>
  </si>
  <si>
    <t>https://www.vidio.com/live/19404-serie-a?schedule_id=4579875</t>
  </si>
  <si>
    <t>https://drive.google.com/drive/folders/16p1X3vVs7auMhUiWM34WHI5e6M_5JoC9?usp=drive_link</t>
  </si>
  <si>
    <t>hellas verona fc; juventus fc; sports stream</t>
  </si>
  <si>
    <t>Nonton streaming pertandingan seru Verona vs Juventus - Serie A. Saksikan aksi-aksi terbaik dari tim yang bersaing ketat untuk meraih kemenangan. Dapatkan informasi lengkap mengenai jadwal pertandingan dan hasil pertandingan terbaru hanya di Vidio.</t>
  </si>
  <si>
    <t>https://drive.google.com/file/d/1DQC55HMgIxS_HGCeS1EjzeXJM1LBjW_5/view?usp=sharing</t>
  </si>
  <si>
    <t>https://drive.google.com/file/d/1lRuFyMzcu3p1SUFOgypntqYpiKUYVHMk/view?usp=drive_link</t>
  </si>
  <si>
    <t>https://drive.google.com/file/d/1SQdcXitUGW-OIAnF8f_rTMscjAyu5ats/view?usp=sharing</t>
  </si>
  <si>
    <t>baa28ea3</t>
  </si>
  <si>
    <t>Lecce vs Cagliari - Serie A</t>
  </si>
  <si>
    <t>https://www.vidio.com/live/19404-serie-a?schedule_id=4579873</t>
  </si>
  <si>
    <t>https://drive.google.com/drive/folders/1A55nWw72-i-Zga8AGgXAjAvv1AYkSATj?usp=drive_link</t>
  </si>
  <si>
    <t>us lecce; cagliari calcio; sports stream</t>
  </si>
  <si>
    <t>Nonton streaming pertandingan seru Lecce vs Cagliari - Serie A. Saksikan aksi-aksi terbaik dari tim yang bersaing ketat untuk meraih kemenangan. Dapatkan informasi lengkap mengenai jadwal pertandingan dan hasil pertandingan terbaru hanya di Vidio.</t>
  </si>
  <si>
    <t>https://drive.google.com/file/d/1u2j10RPLrgFm9oIeWU4tFe8j0mDSTlYr/view?usp=sharing</t>
  </si>
  <si>
    <t>https://drive.google.com/file/d/1x2GcmlXryLBcErka2__iP6T9Py2pbEWT/view?usp=drive_link</t>
  </si>
  <si>
    <t>33db5243</t>
  </si>
  <si>
    <t>Inter vs Sassuolo - Serie A</t>
  </si>
  <si>
    <t>https://www.vidio.com/live/19404-serie-a?schedule_id=4585686</t>
  </si>
  <si>
    <t>https://drive.google.com/drive/folders/1ku6hwmdUETrOrnAwSPExynxrK4Gzh26B?usp=drive_link</t>
  </si>
  <si>
    <t>fc internazionale milano; us sassuolo calcio; sports stream</t>
  </si>
  <si>
    <t>Nonton streaming pertandingan seru Inter vs Sassuolo - Serie A. Saksikan aksi-aksi terbaik dari tim yang bersaing ketat untuk meraih kemenangan. Dapatkan informasi lengkap mengenai jadwal pertandingan dan hasil pertandingan terbaru hanya di Vidio.</t>
  </si>
  <si>
    <t>TVC + NTC (Gabungan) + Performance + CRM + SEO + Socmed</t>
  </si>
  <si>
    <t>https://3.basecamp.com/4902751/buckets/36763424/card_tables/cards/9034796317</t>
  </si>
  <si>
    <t>https://drive.google.com/file/d/1xvcSMWKD66vsP63rr82xC83RhYWAPEjD/view?usp=sharing</t>
  </si>
  <si>
    <t>https://drive.google.com/file/d/1SklU0ob9g2bwXs-97xbYF83yRE8doF_j/view?usp=drive_link</t>
  </si>
  <si>
    <t>https://drive.google.com/file/d/1fpKUj3N2QIRgdCyErcwASFJgriFqQRJN/view?usp=sharing</t>
  </si>
  <si>
    <t>3ac97bba</t>
  </si>
  <si>
    <t>Udinese vs Milan - Serie A</t>
  </si>
  <si>
    <t>https://www.vidio.com/live/19404-serie-a?schedule_id=4579876</t>
  </si>
  <si>
    <t>https://drive.google.com/drive/folders/1DwOLLrBo_LeBfMDp_qtjhpjNbQlOFwgc?usp=drive_link</t>
  </si>
  <si>
    <t>udinese calcio; ac milan; sports stream</t>
  </si>
  <si>
    <t>Nonton streaming pertandingan seru Udinese vs Milan - Serie A. Saksikan aksi-aksi terbaik dari tim yang bersaing ketat untuk meraih kemenangan. Dapatkan informasi lengkap mengenai jadwal pertandingan dan hasil pertandingan terbaru hanya di Vidio.</t>
  </si>
  <si>
    <t>https://drive.google.com/file/d/1ZEwMOAqbzNnCSAYYiLVYPSLIFNxx77W-/view?usp=sharing</t>
  </si>
  <si>
    <t>https://drive.google.com/file/d/1iMpp9W5wKhxwps_zfYxW6bi7-gtrinUF/view?usp=drive_link</t>
  </si>
  <si>
    <t>https://drive.google.com/file/d/1-D7MnhdOKsQe2YtbrXxwOvPjZcPmoDV2/view?usp=sharing</t>
  </si>
  <si>
    <t>fa5584bd</t>
  </si>
  <si>
    <t>Cremonese vs Parma - Serie A</t>
  </si>
  <si>
    <t>https://www.vidio.com/live/19589-serie-a?schedule_id=4587121</t>
  </si>
  <si>
    <t>https://drive.google.com/drive/folders/1gOGHPJYSlRkSmX5qSJ5RWzWqquZu00QX?usp=drive_link</t>
  </si>
  <si>
    <t>US Cremonese; parma calcio; sports stream</t>
  </si>
  <si>
    <t>Nonton streaming pertandingan seru Cremonese vs Parma - Serie A. Saksikan aksi-aksi terbaik dari tim yang bersaing ketat untuk meraih kemenangan. Dapatkan informasi lengkap mengenai jadwal pertandingan dan hasil pertandingan terbaru hanya di Vidio.</t>
  </si>
  <si>
    <t>NTC (Gabungan) + Performance + CRM + SEO + Socmed</t>
  </si>
  <si>
    <t>https://3.basecamp.com/4902751/buckets/36763424/card_tables/cards/9034753519</t>
  </si>
  <si>
    <t>https://drive.google.com/file/d/1B7AS-bs_dHKJkd6DwhaDmcOTdxNzqv8E/view?usp=sharing</t>
  </si>
  <si>
    <t>https://drive.google.com/file/d/1hnbu6gVEzvc4LvIdNIoACT6c0C_m9EZ7/view?usp=drive_link</t>
  </si>
  <si>
    <t>https://drive.google.com/file/d/1FDMGx8ZNPeCIAhhK2SXfX326NwwogQxd/view?usp=sharing</t>
  </si>
  <si>
    <t>87ed8dc7</t>
  </si>
  <si>
    <t>Napoli vs Pisa - Serie A</t>
  </si>
  <si>
    <t>https://www.vidio.com/live/19404-serie-a?schedule_id=4585687</t>
  </si>
  <si>
    <t>https://drive.google.com/drive/folders/1Y1cP8mlBou8b9TsI9k42rHkSwsz4Yd50?usp=drive_link</t>
  </si>
  <si>
    <t>ssc napoli; Pisa SC; sports stream</t>
  </si>
  <si>
    <t>Nonton streaming pertandingan seru Napoli vs Pisa - Serie A. Saksikan aksi-aksi terbaik dari tim yang bersaing ketat untuk meraih kemenangan. Dapatkan informasi lengkap mengenai jadwal pertandingan dan hasil pertandingan terbaru hanya di Vidio.</t>
  </si>
  <si>
    <t>https://drive.google.com/file/d/1iTy-LsR0yBqEzeGMRq8cDZhlAHJJNCix/view?usp=sharing</t>
  </si>
  <si>
    <t>https://drive.google.com/file/d/1MIbke4Cg86s27xrAQdJh6uq2FSkR4WSb/view?usp=drive_link</t>
  </si>
  <si>
    <t>https://drive.google.com/file/d/1wn2GVgmfmiTRxb9RCsghu65K1fIp610f/view?usp=sharing</t>
  </si>
  <si>
    <t>e4a11172</t>
  </si>
  <si>
    <t>Parma vs Torino - Serie A</t>
  </si>
  <si>
    <t>https://www.vidio.com/live/19404-serie-a?schedule_id=4602002</t>
  </si>
  <si>
    <t>https://drive.google.com/drive/folders/1DvMQV9NlVYoo20E4-F_Oa1Fu7tcwX-j1?usp=drive_link</t>
  </si>
  <si>
    <t>https://drive.google.com/drive/folders/1gld7hF_Ce_A3oVQk8cmaRf4XidPuBodS?usp=drive_link</t>
  </si>
  <si>
    <t>parma calcio; torino fc; sports stream</t>
  </si>
  <si>
    <t>Nonton streaming pertandingan seru Parma vs Torino - Serie A. Saksikan aksi-aksi terbaik dari tim yang bersaing ketat untuk meraih kemenangan. Dapatkan informasi lengkap mengenai jadwal pertandingan dan hasil pertandingan terbaru hanya di Vidio.</t>
  </si>
  <si>
    <t>https://drive.google.com/file/d/1LJa7oSj5LS9eg_OPGWYPfQMihmC66EEQ/view?usp=sharing</t>
  </si>
  <si>
    <t>https://drive.google.com/file/d/1Nrk4qMUbcQDr_8rVPZJdd-swsHIlr4Rx/view?usp=drive_link</t>
  </si>
  <si>
    <t>0bff22c5</t>
  </si>
  <si>
    <t>Lecce vs Bologna - Serie A</t>
  </si>
  <si>
    <t>https://www.vidio.com/live/19404-serie-a?schedule_id=4598344</t>
  </si>
  <si>
    <t>https://drive.google.com/drive/folders/1AT4Mj3aQd9b7fPdJYnfTvvWkp3HlZcwi?usp=drive_link</t>
  </si>
  <si>
    <t>us lecce; bologna fc 1909; sports stream</t>
  </si>
  <si>
    <t>Nonton streaming pertandingan seru Lecce vs Bologna - Serie A. Saksikan aksi-aksi terbaik dari tim yang bersaing ketat untuk meraih kemenangan. Dapatkan informasi lengkap mengenai jadwal pertandingan dan hasil pertandingan terbaru hanya di Vidio.</t>
  </si>
  <si>
    <t>https://drive.google.com/file/d/1eT4VVKq6mBaS-AOmFrbZEJGzvF6ah6xG/view?usp=sharing</t>
  </si>
  <si>
    <t>https://drive.google.com/file/d/1Qa6RGo-r2HrHPUrA5aCh7ooB5KYbC3gy/view?usp=drive_link</t>
  </si>
  <si>
    <t>257390ff</t>
  </si>
  <si>
    <t>Sassuolo vs Udinese - Serie A</t>
  </si>
  <si>
    <t>https://www.vidio.com/live/19404-serie-a?schedule_id=4598351</t>
  </si>
  <si>
    <t>https://drive.google.com/drive/folders/12z-R6IJH2xlD2AorXTYKGYkKr_0C0Rqq?usp=drive_link</t>
  </si>
  <si>
    <t>us sassuolo calcio; udinese calcio; sports stream</t>
  </si>
  <si>
    <t>Nonton streaming pertandingan seru Sassuolo vs Udinese - Serie A. Saksikan aksi-aksi terbaik dari tim yang bersaing ketat untuk meraih kemenangan. Dapatkan informasi lengkap mengenai jadwal pertandingan dan hasil pertandingan terbaru hanya di Vidio.</t>
  </si>
  <si>
    <t>NTC Gabungan w/ Como vs Cremonese + Performance + CRM + SEO + Socmed</t>
  </si>
  <si>
    <t>https://drive.google.com/file/d/1-pZtkT30K6SvdH9c9JKz7XJ1iNd0Kh3x/view?usp=sharing</t>
  </si>
  <si>
    <t>https://drive.google.com/file/d/1efEcYbRRwqgMLh_IR4b6Q2exwCDmp2Uq/view?usp=drive_link</t>
  </si>
  <si>
    <t>https://drive.google.com/file/d/17RjcBzIl1s_TU8KO3qtMcqkdsK80qnqq/view?usp=sharing</t>
  </si>
  <si>
    <t>daa485a5</t>
  </si>
  <si>
    <t>Roma vs Verona - Serie A</t>
  </si>
  <si>
    <t>https://www.vidio.com/live/19404-serie-a?schedule_id=4598352</t>
  </si>
  <si>
    <t>https://drive.google.com/drive/folders/1tNLsFSYU66pDaEtTeaKJGUwFR-7S0dtZ?usp=drive_link</t>
  </si>
  <si>
    <t>as roma; hellas verona fc; sports stream</t>
  </si>
  <si>
    <t>Nonton streaming pertandingan seru Roma vs Verona - Serie A. Saksikan aksi-aksi terbaik dari tim yang bersaing ketat untuk meraih kemenangan. Dapatkan informasi lengkap mengenai jadwal pertandingan dan hasil pertandingan terbaru hanya di Vidio.</t>
  </si>
  <si>
    <t>https://drive.google.com/file/d/1tIrHY8RIrYbcxKrtiVS8dADMItWVKUqm/view?usp=sharing</t>
  </si>
  <si>
    <t>https://drive.google.com/file/d/17q2mxCvRX65Xv4nf62gxNkxCfPRUAFrk/view?usp=drive_link</t>
  </si>
  <si>
    <t>https://drive.google.com/file/d/1xji8_eqefgbwGyGvzdv5XtUBdC4SmtjR/view?usp=sharing</t>
  </si>
  <si>
    <t>4d06ed5c</t>
  </si>
  <si>
    <t>Genoa vs Lazio - Serie A</t>
  </si>
  <si>
    <t>https://www.vidio.com/live/19404-serie-a?schedule_id=4602004</t>
  </si>
  <si>
    <t>https://drive.google.com/drive/folders/1QWPtjztkKqfKjPaxYqJYZ827LaJ1frmL?usp=drive_link</t>
  </si>
  <si>
    <t>genoa cfc; ss lazio; sports stream</t>
  </si>
  <si>
    <t>Nonton streaming pertandingan seru Genoa vs Lazio - Serie A. Saksikan aksi-aksi terbaik dari tim yang bersaing ketat untuk meraih kemenangan. Dapatkan informasi lengkap mengenai jadwal pertandingan dan hasil pertandingan terbaru hanya di Vidio.</t>
  </si>
  <si>
    <t>https://drive.google.com/file/d/1V74vODpgc4SqASovzOHDqXCBYWYKGY1q/view?usp=sharing</t>
  </si>
  <si>
    <t>https://drive.google.com/file/d/1GZNI_QAoTiVuKY0ht9hXy8cYZ--c1PtQ/view?usp=drive_link</t>
  </si>
  <si>
    <t>https://drive.google.com/file/d/1iZfeopsSlRSPSmCdAd3qTUm4V2RKQIFU/view?usp=sharing</t>
  </si>
  <si>
    <t>af371498</t>
  </si>
  <si>
    <t>Como vs Cremonese - Serie A</t>
  </si>
  <si>
    <t>https://www.vidio.com/live/19404-serie-a?schedule_id=4598341</t>
  </si>
  <si>
    <t>https://drive.google.com/drive/folders/1SRm-rD9DaTiv0Q3piyuB4NiPdywQejdM?usp=drive_link</t>
  </si>
  <si>
    <t>como; US Cremonese; sports stream</t>
  </si>
  <si>
    <t>Nonton streaming pertandingan seru Como vs Cremonese - Serie A. Saksikan aksi-aksi terbaik dari tim yang bersaing ketat untuk meraih kemenangan. Dapatkan informasi lengkap mengenai jadwal pertandingan dan hasil pertandingan terbaru hanya di Vidio.</t>
  </si>
  <si>
    <t>NTC Gabungan w/ Sassuolo vs Udinese + Performance + CRM + SEO + Socmed</t>
  </si>
  <si>
    <t>https://drive.google.com/file/d/1LbIn1bF51apSjFGkNo2Ut9KEH34lYx4Z/view?usp=sharing</t>
  </si>
  <si>
    <t>https://drive.google.com/file/d/15T2PGbIkeTl7jOTZ5rUJlA3G2ZfOrpJg/view?usp=drive_link</t>
  </si>
  <si>
    <t>https://drive.google.com/file/d/1cJzJ4sQhmAlzORO-RFWmqDVOI0XmXaaJ/view?usp=sharing</t>
  </si>
  <si>
    <t>ddbfc087</t>
  </si>
  <si>
    <t>Juventus vs Atalanta - Serie A</t>
  </si>
  <si>
    <t>https://www.vidio.com/live/19404-serie-a?schedule_id=4598342</t>
  </si>
  <si>
    <t>https://drive.google.com/drive/folders/1vXAd45UVGvN5xm_XUvbzZLopjOuIRzN8?usp=drive_link</t>
  </si>
  <si>
    <t>juventus fc; atalanta bergamasca calcio; sports stream</t>
  </si>
  <si>
    <t>Nonton streaming pertandingan seru Juventus vs Atalanta - Serie A. Saksikan aksi-aksi terbaik dari tim yang bersaing ketat untuk meraih kemenangan. Dapatkan informasi lengkap mengenai jadwal pertandingan dan hasil pertandingan terbaru hanya di Vidio.</t>
  </si>
  <si>
    <t>https://drive.google.com/file/d/143Io-_AiDMk7P2EtXF9_f36ygF5Wq4S6/view?usp=sharing</t>
  </si>
  <si>
    <t>https://drive.google.com/file/d/1cIQ1g_90_LxCWA-yS7DUwjua7izJdXqD/view?usp=drive_link</t>
  </si>
  <si>
    <t>https://drive.google.com/file/d/1tbfuwx6QjHH5_08OromfuMBNrAcoxU5X/view?usp=sharing</t>
  </si>
  <si>
    <t>ee434dfd</t>
  </si>
  <si>
    <t>Cagliari vs Inter - Serie A</t>
  </si>
  <si>
    <t>https://www.vidio.com/live/19404-serie-a?schedule_id=4598343</t>
  </si>
  <si>
    <t>https://drive.google.com/drive/folders/1sjk-h2AeRU25AIKj5bjiyjFCeZfEzYPG?usp=drive_link</t>
  </si>
  <si>
    <t>cagliari calcio; fc internazionale milano; sports stream</t>
  </si>
  <si>
    <t>Nonton streaming pertandingan seru Cagliari vs Inter - Serie A. Saksikan aksi-aksi terbaik dari tim yang bersaing ketat untuk meraih kemenangan. Dapatkan informasi lengkap mengenai jadwal pertandingan dan hasil pertandingan terbaru hanya di Vidio.</t>
  </si>
  <si>
    <t>https://drive.google.com/file/d/14fkmaKQFgTEezEk-0CDTtcO9-q_8aI5d/view?usp=sharing</t>
  </si>
  <si>
    <t>https://drive.google.com/file/d/1vMmHMBKOlWyaMYesenvsuT2y5zSpwV-n/view?usp=drive_link</t>
  </si>
  <si>
    <t>https://drive.google.com/file/d/1JzRHzS29wlEX0dMt7uvg_Arwtfl2Wdj4/view?usp=sharing</t>
  </si>
  <si>
    <t>a419cd06</t>
  </si>
  <si>
    <t>Milan vs Napoli - Serie A</t>
  </si>
  <si>
    <t>https://www.vidio.com/live/19404-serie-a?schedule_id=4602001</t>
  </si>
  <si>
    <t>https://drive.google.com/drive/folders/1IVx2X6tFMT4coEdNmA3zHA3ZIfr8Mx19?usp=drive_link</t>
  </si>
  <si>
    <t>ac milan; ssc napoli; sports stream</t>
  </si>
  <si>
    <t>Nonton streaming pertandingan seru Milan vs Napoli - Serie A. Saksikan aksi-aksi terbaik dari tim yang bersaing ketat untuk meraih kemenangan. Dapatkan informasi lengkap mengenai jadwal pertandingan dan hasil pertandingan terbaru hanya di Vidio.</t>
  </si>
  <si>
    <t>Performance + CRM + SEO + Socmed</t>
  </si>
  <si>
    <t>https://drive.google.com/file/d/1-FdhIjeV4yRNBmq1QwPtfZozVdByKZY7/view?usp=sharing</t>
  </si>
  <si>
    <t>https://drive.google.com/file/d/105hY5C0hKre0Dz3V1J5ObV5Dr5Xm5rj_/view?usp=drive_link</t>
  </si>
  <si>
    <t>https://drive.google.com/file/d/1WFVSNiIG8LPPb4Bo891LOvQyCX0iFovI/view?usp=sharing</t>
  </si>
  <si>
    <t>c57bc16d</t>
  </si>
  <si>
    <t>Pisa vs Fiorentina - Serie A</t>
  </si>
  <si>
    <t>https://www.vidio.com/live/17939-serie-a?schedule_id=4599320</t>
  </si>
  <si>
    <t>https://drive.google.com/drive/folders/1rtdftpZ1F7mwNclUuCp8KHgtzyPMUNcg?usp=drive_link</t>
  </si>
  <si>
    <t>Pisa SC; acf fiorentina; sports stream</t>
  </si>
  <si>
    <t>Nonton streaming pertandingan seru Pisa vs Fiorentina - Serie A. Saksikan aksi-aksi terbaik dari tim yang bersaing ketat untuk meraih kemenangan. Dapatkan informasi lengkap mengenai jadwal pertandingan dan hasil pertandingan terbaru hanya di Vidio.</t>
  </si>
  <si>
    <t>https://drive.google.com/file/d/1gXtHBVzO06vdlIeiS3XkYDOPT0De2WyS/view?usp=sharing</t>
  </si>
  <si>
    <t>https://drive.google.com/file/d/1ap6l37W43fDkrUNUEzjPzIRD-7uRVTiU/view?usp=drive_link</t>
  </si>
  <si>
    <t>https://drive.google.com/file/d/1E5N27W7D0d0b8jIC-az2ZWDLLdORix1L/view?usp=sharing</t>
  </si>
  <si>
    <t>8b582c7e</t>
  </si>
  <si>
    <t>Napoli vs Genoa - Serie A</t>
  </si>
  <si>
    <t>https://www.vidio.com/live/19404-serie-a?schedule_id=4626136</t>
  </si>
  <si>
    <t>https://drive.google.com/drive/folders/1toQ1MNI2FzJq6sshekG3RIAdD0CD7L34?usp=drive_link</t>
  </si>
  <si>
    <t>https://drive.google.com/drive/folders/1tia6v4elSjYt0ip0lAMMTPYagWB8TJZK?usp=drive_link</t>
  </si>
  <si>
    <t>ssc napoli; genoa cfc; sports stream</t>
  </si>
  <si>
    <t>Nonton streaming pertandingan seru Napoli vs Genoa - Serie A. Saksikan aksi-aksi terbaik dari tim yang bersaing ketat untuk meraih kemenangan. Dapatkan informasi lengkap mengenai jadwal pertandingan dan hasil pertandingan terbaru hanya di Vidio.</t>
  </si>
  <si>
    <t>https://drive.google.com/file/d/19qcQdjMopVjN1-3N40aAo82q5ZMyMnKK/view?usp=sharing</t>
  </si>
  <si>
    <t>https://drive.google.com/file/d/1VYeY2WW1hEohjDxNm5JHt7ng3BezYSxX/view?usp=drive_link</t>
  </si>
  <si>
    <t>https://drive.google.com/file/d/1LtW07QPX8eJiOw6gzfBvDdo55Y40so3n/view?usp=sharing</t>
  </si>
  <si>
    <t>ccae3f54</t>
  </si>
  <si>
    <t>Atalanta vs Como - Serie A</t>
  </si>
  <si>
    <t>https://www.vidio.com/live/19404-serie-a?schedule_id=4622557</t>
  </si>
  <si>
    <t>https://drive.google.com/drive/folders/11IYlfIwpoS-t6hJdeFsfmFNIZTzyNDHV?usp=drive_link</t>
  </si>
  <si>
    <t>atalanta bergamasca calcio; como; sports stream</t>
  </si>
  <si>
    <t>Nonton streaming pertandingan seru Atalanta vs Como - Serie A. Saksikan aksi-aksi terbaik dari tim yang bersaing ketat untuk meraih kemenangan. Dapatkan informasi lengkap mengenai jadwal pertandingan dan hasil pertandingan terbaru hanya di Vidio.</t>
  </si>
  <si>
    <t>https://drive.google.com/file/d/1bnnIhsLk3VzqSeurUjQ0M-Y46xRNzG2I/view?usp=sharing</t>
  </si>
  <si>
    <t>https://drive.google.com/file/d/152rI25A_7Zce6RKrAWhcskgxmNpQyshR/view?usp=drive_link</t>
  </si>
  <si>
    <t>https://drive.google.com/file/d/1oHFHMnI_KitWTaadgNyDGV4o27epf0GZ/view?usp=sharing</t>
  </si>
  <si>
    <t>9b7d2634</t>
  </si>
  <si>
    <t>Udinese vs Cagliari - Serie A</t>
  </si>
  <si>
    <t>https://www.vidio.com/live/19404-serie-a?schedule_id=4626134</t>
  </si>
  <si>
    <t>https://drive.google.com/drive/folders/1QMCjbYqwlaHucwZuFoz1QcLTFQsvBsxV?usp=drive_link</t>
  </si>
  <si>
    <t>udinese calcio; cagliari calcio; sports stream</t>
  </si>
  <si>
    <t>Nonton streaming pertandingan seru Udinese vs Cagliari - Serie A. Saksikan aksi-aksi terbaik dari tim yang bersaing ketat untuk meraih kemenangan. Dapatkan informasi lengkap mengenai jadwal pertandingan dan hasil pertandingan terbaru hanya di Vidio.</t>
  </si>
  <si>
    <t>https://drive.google.com/file/d/1FY-TYfT5FyU6AD00Rx_a4ZS2kEKAL0Ag/view?usp=sharing</t>
  </si>
  <si>
    <t>https://drive.google.com/file/d/1OTVhFKjaT-m3Is9MBoOBQDctWQBQvMKe/view?usp=drive_link</t>
  </si>
  <si>
    <t>2f140869</t>
  </si>
  <si>
    <t>Parma vs Lecce - Serie A</t>
  </si>
  <si>
    <t>https://www.vidio.com/live/17939-serie-a?schedule_id=4622568</t>
  </si>
  <si>
    <t>https://drive.google.com/drive/folders/1bnMyiWmi2m9Xu2vYJVTftAAytgD_NGgj?usp=drive_link</t>
  </si>
  <si>
    <t>parma calcio; us lecce; sports stream</t>
  </si>
  <si>
    <t>Nonton streaming pertandingan seru Parma vs Lecce - Serie A. Saksikan aksi-aksi terbaik dari tim yang bersaing ketat untuk meraih kemenangan. Dapatkan informasi lengkap mengenai jadwal pertandingan dan hasil pertandingan terbaru hanya di Vidio.</t>
  </si>
  <si>
    <t>https://drive.google.com/file/d/1MaJDYblh8UqCYkUO_YeWjbWaR8wZHXuZ/view?usp=sharing</t>
  </si>
  <si>
    <t>https://drive.google.com/file/d/1oQqpJaRm7-wj7GvNHQk5GTFBcOqXVidO/view?usp=drive_link</t>
  </si>
  <si>
    <t>3e7153bd</t>
  </si>
  <si>
    <t>Inter vs Cremonese - Serie A</t>
  </si>
  <si>
    <t>https://www.vidio.com/live/19404-serie-a?schedule_id=4622536</t>
  </si>
  <si>
    <t>https://drive.google.com/drive/folders/1vl6VSBxxiwmcqZZItPiZ0TBYXIHeiOxa?usp=drive_link</t>
  </si>
  <si>
    <t>fc internazionale milano; US Cremonese; sports stream</t>
  </si>
  <si>
    <t>Nonton streaming pertandingan seru Inter vs Cremonese - Serie A. Saksikan aksi-aksi terbaik dari tim yang bersaing ketat untuk meraih kemenangan. Dapatkan informasi lengkap mengenai jadwal pertandingan dan hasil pertandingan terbaru hanya di Vidio.</t>
  </si>
  <si>
    <t>https://drive.google.com/file/d/1KshznOhPkWFHTifr6bUPVjcptiZj8RiB/view?usp=sharing</t>
  </si>
  <si>
    <t>https://drive.google.com/file/d/1ZKFZ7Zmy9OFWAy8OtdpzmF1bM-TPG06o/view?usp=drive_link</t>
  </si>
  <si>
    <t>https://drive.google.com/file/d/13RudwPcxwn_VZJbM1HM7w_iKE54X0HWk/view?usp=sharing</t>
  </si>
  <si>
    <t>dff85dad</t>
  </si>
  <si>
    <t>Bologna vs Pisa - Serie A</t>
  </si>
  <si>
    <t>https://www.vidio.com/live/17939-serie-a?schedule_id=4626137</t>
  </si>
  <si>
    <t>https://drive.google.com/drive/folders/17bQK6XTMktpx_3XDvpr03L0R7oGkVhpu?usp=drive_link</t>
  </si>
  <si>
    <t>bologna fc 1909; Pisa SC; sports stream</t>
  </si>
  <si>
    <t>Nonton streaming pertandingan seru Bologna vs Pisa - Serie A. Saksikan aksi-aksi terbaik dari tim yang bersaing ketat untuk meraih kemenangan. Dapatkan informasi lengkap mengenai jadwal pertandingan dan hasil pertandingan terbaru hanya di Vidio.</t>
  </si>
  <si>
    <t>https://drive.google.com/file/d/1yHmwS53TVGQtLsoFfGb66ukMolSm9w-j/view?usp=sharing</t>
  </si>
  <si>
    <t>https://drive.google.com/file/d/1OBSvWpbg9lg34pYia4LKrTfDPZ799cKB/view?usp=drive_link</t>
  </si>
  <si>
    <t>99c3976d</t>
  </si>
  <si>
    <t>Lazio vs Torino - Serie A</t>
  </si>
  <si>
    <t>https://www.vidio.com/live/19404-serie-a?schedule_id=4622520</t>
  </si>
  <si>
    <t>https://drive.google.com/drive/folders/16nGGK2KOsHMVdbwK8SxT-zjQkcoZlqlz?usp=drive_link</t>
  </si>
  <si>
    <t>ss lazio; torino fc; sports stream</t>
  </si>
  <si>
    <t>Nonton streaming pertandingan seru Lazio vs Torino - Serie A. Saksikan aksi-aksi terbaik dari tim yang bersaing ketat untuk meraih kemenangan. Dapatkan informasi lengkap mengenai jadwal pertandingan dan hasil pertandingan terbaru hanya di Vidio.</t>
  </si>
  <si>
    <t>https://drive.google.com/file/d/1nR-JgqH6UEv9sJL275Z8RdZnQRnXDIiJ/view?usp=sharing</t>
  </si>
  <si>
    <t>https://drive.google.com/file/d/127zTVr_Ynf5kx8xFAtwjPgI0USvhv-lD/view?usp=drive_link</t>
  </si>
  <si>
    <t>https://drive.google.com/file/d/1HbOqQfjTj99MDc03QnaNNME9XSBbSBMP/view?usp=sharing</t>
  </si>
  <si>
    <t>2dc6d075</t>
  </si>
  <si>
    <t>Juventus vs Milan - Serie A</t>
  </si>
  <si>
    <t>https://www.vidio.com/live/19404-serie-a?schedule_id=4631510</t>
  </si>
  <si>
    <t>https://drive.google.com/drive/folders/16f20FBDpVkXPwCDlzywBPRloWJGlPnga?usp=drive_link</t>
  </si>
  <si>
    <t>juventus fc; ac milan; sports stream</t>
  </si>
  <si>
    <t>Nonton streaming pertandingan seru Juventus vs Milan - Serie A. Saksikan aksi-aksi terbaik dari tim yang bersaing ketat untuk meraih kemenangan. Dapatkan informasi lengkap mengenai jadwal pertandingan dan hasil pertandingan terbaru hanya di Vidio.</t>
  </si>
  <si>
    <t>https://drive.google.com/file/d/1bAdY9K6dxxfe3HbNah4pf9UHc2ulLRAR/view?usp=sharing</t>
  </si>
  <si>
    <t>https://drive.google.com/file/d/1aGUmQo3MbgQd4XuoIhoQpP3mo9KCXZ0K/view?usp=drive_link</t>
  </si>
  <si>
    <t>https://drive.google.com/file/d/1Mgq758fZdEOvgsVTws9rsEMvO3IZqubL/view?usp=sharing</t>
  </si>
  <si>
    <t>cd339ba7</t>
  </si>
  <si>
    <t>Fiorentina vs Roma - Serie A</t>
  </si>
  <si>
    <t>https://www.vidio.com/live/19404-serie-a?schedule_id=4626135</t>
  </si>
  <si>
    <t>https://drive.google.com/drive/folders/1ZzoI335r_2Zc1hHbABOvc33TZpx66nya?usp=drive_link</t>
  </si>
  <si>
    <t>acf fiorentina; as roma; sports stream</t>
  </si>
  <si>
    <t>Nonton streaming pertandingan seru Fiorentina vs Roma - Serie A. Saksikan aksi-aksi terbaik dari tim yang bersaing ketat untuk meraih kemenangan. Dapatkan informasi lengkap mengenai jadwal pertandingan dan hasil pertandingan terbaru hanya di Vidio.</t>
  </si>
  <si>
    <t>https://drive.google.com/file/d/1Bm1HYfprCleE-xYmG3E6BMN6rtb92HPe/view?usp=sharing</t>
  </si>
  <si>
    <t>https://drive.google.com/file/d/1FMm8vFOeYDcj0ve5ciSLhq6mySXpU6ns/view?usp=drive_link</t>
  </si>
  <si>
    <t>https://drive.google.com/file/d/1e7EUkzEvUipr-hKIv0cFosDmD2cEW9g3/view?usp=sharing</t>
  </si>
  <si>
    <t>fb7790fd</t>
  </si>
  <si>
    <t>Verona vs Sassuolo - Serie A</t>
  </si>
  <si>
    <t>https://www.vidio.com/live/19404-serie-a?schedule_id=4622093</t>
  </si>
  <si>
    <t>https://drive.google.com/drive/folders/14wEDIL-yHMnLGzR418puzDacxvFAs3qp?usp=drive_link</t>
  </si>
  <si>
    <t>hellas verona fc; us sassuolo calcio; sports stream</t>
  </si>
  <si>
    <t>Nonton streaming pertandingan seru Verona vs Sassuolo - Serie A. Saksikan aksi-aksi terbaik dari tim yang bersaing ketat untuk meraih kemenangan. Dapatkan informasi lengkap mengenai jadwal pertandingan dan hasil pertandingan terbaru hanya di Vidio.</t>
  </si>
  <si>
    <t>A3 , F3</t>
  </si>
  <si>
    <t>https://drive.google.com/file/d/14flWU8Rwmzl6LvoFIDn-O9Ots7VFS9da/view?usp=sharing</t>
  </si>
  <si>
    <t>https://drive.google.com/file/d/1yQYmOHNV4kMd6IwZXzbzbzLTq2ivvMHa/view?usp=drive_link</t>
  </si>
  <si>
    <t>https://drive.google.com/file/d/10Mizmo95Xp2AdmfK7z2NugcNHm_zvrpm/view?usp=sharing</t>
  </si>
  <si>
    <t>b5f6685d</t>
  </si>
  <si>
    <t>Atalanta vs Lazio - Serie A</t>
  </si>
  <si>
    <t>https://www.vidio.com/live/19404-serie-a?schedule_id=4652729</t>
  </si>
  <si>
    <t>https://drive.google.com/drive/folders/1Xz-9I2wgOJ_VNYbCCk1uVB9sl0_L-2df?usp=drive_link</t>
  </si>
  <si>
    <t>https://drive.google.com/drive/folders/1ZvV_IkTV9f9BOY6RhwnkqwQ-9fji1J_-?usp=drive_link</t>
  </si>
  <si>
    <t>atalanta bergamasca calcio; ss lazio; sports stream</t>
  </si>
  <si>
    <t>Nonton streaming pertandingan seru Atalanta vs Lazio - Serie A. Saksikan aksi-aksi terbaik dari tim yang bersaing ketat untuk meraih kemenangan. Dapatkan informasi lengkap mengenai jadwal pertandingan dan hasil pertandingan terbaru hanya di Vidio.</t>
  </si>
  <si>
    <t>https://drive.google.com/file/d/1qwg4jisDRWf06obi7YEm81XHTAN0biIA/view?usp=sharing</t>
  </si>
  <si>
    <t>https://drive.google.com/file/d/1mqJbQIo6IaYBBZZQx9zqLeDVeLDRKE4b/view?usp=sharing</t>
  </si>
  <si>
    <t>https://drive.google.com/file/d/1GVJBmwGMMpXIG0UBVPNE85uyhs7rzV_b/view?usp=sharing</t>
  </si>
  <si>
    <t>ed3ae1ec</t>
  </si>
  <si>
    <t>Cagliari vs Bologna - Serie A</t>
  </si>
  <si>
    <t>https://www.vidio.com/live/19404-serie-a?schedule_id=4652728</t>
  </si>
  <si>
    <t>https://drive.google.com/drive/folders/1N3nsS8GnfEtxDnmlameVzBvyMQKvaQvu?usp=drive_link</t>
  </si>
  <si>
    <t>cagliari calcio; bologna fc 1909; sports stream</t>
  </si>
  <si>
    <t>Nonton streaming pertandingan seru Cagliari vs Bologna - Serie A. Saksikan aksi-aksi terbaik dari tim yang bersaing ketat untuk meraih kemenangan. Dapatkan informasi lengkap mengenai jadwal pertandingan dan hasil pertandingan terbaru hanya di Vidio.</t>
  </si>
  <si>
    <t>https://drive.google.com/file/d/1uypGn6TToeu7jYAUg7vyUQL3RynhTeVZ/view?usp=sharing</t>
  </si>
  <si>
    <t>https://drive.google.com/file/d/1hwkywgm56TKOuvxDgb_hAnpIsbGhwJ-j/view?usp=sharing</t>
  </si>
  <si>
    <t>335ad1a0</t>
  </si>
  <si>
    <t>Como vs Juventus - Serie A</t>
  </si>
  <si>
    <t>https://www.vidio.com/live/19404-serie-a?schedule_id=4652727</t>
  </si>
  <si>
    <t>https://drive.google.com/drive/folders/1eumwo6L6ivSr9LYsCxg2r_qOIMLR7vE8?usp=drive_link</t>
  </si>
  <si>
    <t>como; juventus fc; sports stream</t>
  </si>
  <si>
    <t>Nonton streaming pertandingan seru Como vs Juventus - Serie A. Saksikan aksi-aksi terbaik dari tim yang bersaing ketat untuk meraih kemenangan. Dapatkan informasi lengkap mengenai jadwal pertandingan dan hasil pertandingan terbaru hanya di Vidio.</t>
  </si>
  <si>
    <t>NTC + Performance + CRM + SEO + Socials</t>
  </si>
  <si>
    <t>https://3.basecamp.com/4902751/buckets/36763424/card_tables/cards/9129123799</t>
  </si>
  <si>
    <t>https://drive.google.com/file/d/1oBjY1j5X58SFEs26Cz_VpBSeZ8OgsgXV/view?usp=sharing</t>
  </si>
  <si>
    <t>https://drive.google.com/file/d/1xif9yUw4ATDyXteyDI6ofR-qCutWkSc4/view?usp=sharing</t>
  </si>
  <si>
    <t>https://drive.google.com/file/d/11XGFxG1csGDvWU4apjB8yZRViF2IEKag/view?usp=sharing</t>
  </si>
  <si>
    <t>510f42f5</t>
  </si>
  <si>
    <t>Cremonese vs Udinese - Serie A</t>
  </si>
  <si>
    <t>https://www.vidio.com/live/19404-serie-a?schedule_id=4660115</t>
  </si>
  <si>
    <t>https://drive.google.com/drive/folders/1q8mUYwCZfHj-8Gtb7COBnChnqgX9rpxm?usp=drive_link</t>
  </si>
  <si>
    <t>US Cremonese; udinese calcio; sports stream</t>
  </si>
  <si>
    <t>Nonton streaming pertandingan seru Cremonese vs Udinese - Serie A. Saksikan aksi-aksi terbaik dari tim yang bersaing ketat untuk meraih kemenangan. Dapatkan informasi lengkap mengenai jadwal pertandingan dan hasil pertandingan terbaru hanya di Vidio.</t>
  </si>
  <si>
    <t>https://drive.google.com/file/d/1-CbwmGydCaEzq2YrRI6n7G5TAlRCi3mD/view?usp=sharing</t>
  </si>
  <si>
    <t>https://drive.google.com/file/d/1IkVmlhcs4BBc7Hgw17mNRyEifpLyfzS7/view?usp=sharing</t>
  </si>
  <si>
    <t>https://drive.google.com/file/d/1gAEzMn5--S2poCfmiwTr_GwTaqh_-FDT/view?usp=sharing</t>
  </si>
  <si>
    <t>ad6943f9</t>
  </si>
  <si>
    <t>Genoa vs Parma - Serie A</t>
  </si>
  <si>
    <t>https://www.vidio.com/live/17939-serie-a?schedule_id=4653336</t>
  </si>
  <si>
    <t>https://drive.google.com/drive/folders/11myLPJ3T5eW-48mUUsjsnY6zm_uUPyon?usp=drive_link</t>
  </si>
  <si>
    <t>genoa cfc; parma calcio; sports stream</t>
  </si>
  <si>
    <t>Nonton streaming pertandingan seru Genoa vs Parma - Serie A. Saksikan aksi-aksi terbaik dari tim yang bersaing ketat untuk meraih kemenangan. Dapatkan informasi lengkap mengenai jadwal pertandingan dan hasil pertandingan terbaru hanya di Vidio.</t>
  </si>
  <si>
    <t>https://drive.google.com/file/d/1rCiqDY0YQXzzoUCIxqSgIXVHis39ltWE/view?usp=sharing</t>
  </si>
  <si>
    <t>https://drive.google.com/file/d/1Oq_1SeNkkSjXYgMjh5zmrSheTAMHIoDA/view?usp=sharing</t>
  </si>
  <si>
    <t>adfce388</t>
  </si>
  <si>
    <t>Lecce vs Sassuolo - Serie A</t>
  </si>
  <si>
    <t>https://www.vidio.com/live/19404-serie-a?schedule_id=4652722</t>
  </si>
  <si>
    <t>https://drive.google.com/drive/folders/1cB3xlNYAtSGyyA_ut97x01wvUeuIQTwx?usp=drive_link</t>
  </si>
  <si>
    <t>us lecce; us sassuolo calcio; sports stream</t>
  </si>
  <si>
    <t>Nonton streaming pertandingan seru Lecce vs Sassuolo - Serie A. Saksikan aksi-aksi terbaik dari tim yang bersaing ketat untuk meraih kemenangan. Dapatkan informasi lengkap mengenai jadwal pertandingan dan hasil pertandingan terbaru hanya di Vidio.</t>
  </si>
  <si>
    <t>Performance + CRM + SEO + Socials</t>
  </si>
  <si>
    <t>https://3.basecamp.com/4902751/buckets/36763424/card_tables/cards/9129128012</t>
  </si>
  <si>
    <t>https://drive.google.com/file/d/1jr_M6H5Q3dV-CadFbS09DOZ-SpQtB592/view?usp=sharing</t>
  </si>
  <si>
    <t>https://drive.google.com/file/d/1_JwfA1qtFtt2YbQCRJ_USxll5XmomYW7/view?usp=sharing</t>
  </si>
  <si>
    <t>https://drive.google.com/file/d/1EJcCQZ6lhk-JthWY4-S9SkLHun3m1i6o/view?usp=sharing</t>
  </si>
  <si>
    <t>f1770fe7</t>
  </si>
  <si>
    <t>Milan vs Fiorentina - Serie A</t>
  </si>
  <si>
    <t>https://www.vidio.com/live/19404-serie-a?schedule_id=4660112</t>
  </si>
  <si>
    <t>https://drive.google.com/drive/folders/1Srxjct19OSrUpOkgGjPoH99g60Yp-pLn?usp=drive_link</t>
  </si>
  <si>
    <t>ac milan; acf fiorentina; sports stream</t>
  </si>
  <si>
    <t>Nonton streaming pertandingan seru Milan vs Fiorentina - Serie A. Saksikan aksi-aksi terbaik dari tim yang bersaing ketat untuk meraih kemenangan. Dapatkan informasi lengkap mengenai jadwal pertandingan dan hasil pertandingan terbaru hanya di Vidio.</t>
  </si>
  <si>
    <t>https://drive.google.com/file/d/1eP-pkO6H7nGvk9a0Gko7OOQR9AFYZ6i1/view?usp=sharing</t>
  </si>
  <si>
    <t>https://drive.google.com/file/d/1VW2IkO70JC5V6BSvGtfR_W2AZpt5GrTh/view?usp=sharing</t>
  </si>
  <si>
    <t>https://drive.google.com/file/d/12kAawCVNl2BHDwNCGP7vsFmOxaRZMxem/view?usp=sharing</t>
  </si>
  <si>
    <t>90079469</t>
  </si>
  <si>
    <t>Pisa vs Verona - Serie A</t>
  </si>
  <si>
    <t>https://www.vidio.com/live/17938-serie-a?schedule_id=4653335</t>
  </si>
  <si>
    <t>https://drive.google.com/drive/folders/1nozGzq6r48sEw9njnE7vdHUzQVf8iuOC?usp=drive_link</t>
  </si>
  <si>
    <t>Pisa SC; hellas verona fc; sports stream</t>
  </si>
  <si>
    <t>Nonton streaming pertandingan seru Pisa vs Verona - Serie A. Saksikan aksi-aksi terbaik dari tim yang bersaing ketat untuk meraih kemenangan. Dapatkan informasi lengkap mengenai jadwal pertandingan dan hasil pertandingan terbaru hanya di Vidio.</t>
  </si>
  <si>
    <t>https://drive.google.com/file/d/1ozGnTYRSj4x5YbFx8Y3MsS3SkTs4QfS_/view?usp=sharing</t>
  </si>
  <si>
    <t>https://drive.google.com/file/d/1Ci6ePWJZGZQQP5zptn4Y7rbEYZhGRKeW/view?usp=sharing</t>
  </si>
  <si>
    <t>ce6505da</t>
  </si>
  <si>
    <t>Roma vs Inter - Serie A</t>
  </si>
  <si>
    <t>https://www.vidio.com/live/19404-serie-a?schedule_id=4652726</t>
  </si>
  <si>
    <t>https://drive.google.com/drive/folders/1mmsmLV2Bid-S8PCPY_h3Ojl58hpqSV40?usp=drive_link</t>
  </si>
  <si>
    <t>as roma; fc internazionale milano; sports stream</t>
  </si>
  <si>
    <t>Nonton streaming pertandingan seru Roma vs Inter - Serie A. Saksikan aksi-aksi terbaik dari tim yang bersaing ketat untuk meraih kemenangan. Dapatkan informasi lengkap mengenai jadwal pertandingan dan hasil pertandingan terbaru hanya di Vidio.</t>
  </si>
  <si>
    <t>https://drive.google.com/file/d/1dLjfCJjtC1j169gZwD-AqvdgIYKLMJ5s/view?usp=sharing</t>
  </si>
  <si>
    <t>https://drive.google.com/file/d/1WzwXZaJ8gI6LBKDS5Z8ZAbVJXR8FZzVM/view?usp=sharing</t>
  </si>
  <si>
    <t>https://drive.google.com/file/d/1jxUGNVcEYRLr9Z8SsgGDDcFybtZ3DpIy/view?usp=sharing</t>
  </si>
  <si>
    <t>cc557777</t>
  </si>
  <si>
    <t>Torino vs Napoli - Serie A</t>
  </si>
  <si>
    <t>https://www.vidio.com/live/19404-serie-a?schedule_id=4652724</t>
  </si>
  <si>
    <t>https://drive.google.com/drive/folders/1xNGqJZdE-U40SkHLcPUsIJBqvkrqAK9d?usp=drive_link</t>
  </si>
  <si>
    <t>torino fc; ssc napoli; sports stream</t>
  </si>
  <si>
    <t>Nonton streaming pertandingan seru Torino vs Napoli - Serie A. Saksikan aksi-aksi terbaik dari tim yang bersaing ketat untuk meraih kemenangan. Dapatkan informasi lengkap mengenai jadwal pertandingan dan hasil pertandingan terbaru hanya di Vidio.</t>
  </si>
  <si>
    <t>https://drive.google.com/file/d/1nxPUDJCULt-nh3R65dPNOxUPPvpaOAbn/view?usp=sharing</t>
  </si>
  <si>
    <t>https://drive.google.com/file/d/1xUlgJJf7p37gZ4xNZPyAg2D6cy6pUScK/view?usp=sharing</t>
  </si>
  <si>
    <t>https://drive.google.com/file/d/1oXGoYj9jk5-7Ep_p_UVvbWpyiyZqP3EN/view?usp=sharing</t>
  </si>
  <si>
    <t>a5b38024</t>
  </si>
  <si>
    <t>Cremonese vs Atalanta - Serie A</t>
  </si>
  <si>
    <t>https://www.vidio.com/live/19404-serie-a?schedule_id=4666187</t>
  </si>
  <si>
    <t>https://drive.google.com/drive/folders/1fHcAmXbN0bND8WCIQLlgOFUBXmcuD6DX?usp=drive_link</t>
  </si>
  <si>
    <t>https://drive.google.com/drive/folders/15-II7ipKAoia1ddwRA92IJ21xrPGVpIb?usp=drive_link</t>
  </si>
  <si>
    <t>US Cremonese; atalanta bergamasca calcio; sports stream</t>
  </si>
  <si>
    <t>Nonton streaming pertandingan seru Cremonese vs Atalanta - Serie A. Saksikan aksi-aksi terbaik dari tim yang bersaing ketat untuk meraih kemenangan. Dapatkan informasi lengkap mengenai jadwal pertandingan dan hasil pertandingan terbaru hanya di Vidio.</t>
  </si>
  <si>
    <t>https://drive.google.com/file/d/10FE9AZATTw3QyXz-Y5-tLAOJFVlGRZ73/view?usp=sharing</t>
  </si>
  <si>
    <t>https://drive.google.com/file/d/1QmShD-Cc0MSJnWnH3KzxtZuaO1vq6LmY/view?usp=sharing</t>
  </si>
  <si>
    <t>https://drive.google.com/file/d/10c4pckC8jKxVFoF32HwNgiafchuksspV/view?usp=sharing</t>
  </si>
  <si>
    <t>7726572d</t>
  </si>
  <si>
    <t>Fiorentina vs Bologna - Serie A</t>
  </si>
  <si>
    <t>https://www.vidio.com/live/19404-serie-a?schedule_id=4671767</t>
  </si>
  <si>
    <t>https://drive.google.com/drive/folders/1yeQgCrZeU6dWQkA_vQvY7ebVLGi0HDen?usp=drive_link</t>
  </si>
  <si>
    <t>acf fiorentina; bologna fc 1909; sports stream</t>
  </si>
  <si>
    <t>Nonton streaming pertandingan seru Fiorentina vs Bologna - Serie A. Saksikan aksi-aksi terbaik dari tim yang bersaing ketat untuk meraih kemenangan. Dapatkan informasi lengkap mengenai jadwal pertandingan dan hasil pertandingan terbaru hanya di Vidio.</t>
  </si>
  <si>
    <t>https://drive.google.com/file/d/1Z8HYfEzEl0w3WPM5OusThvXVbAtxgOlg/view?usp=sharing</t>
  </si>
  <si>
    <t>https://drive.google.com/file/d/1djUsAF_iHs4ALkg9r3bjdbhsG963W5Vh/view?usp=sharing</t>
  </si>
  <si>
    <t>https://drive.google.com/file/d/1s4kaWwkSGHfAe2j7TZItdlY4wdtThXzx/view?usp=sharing</t>
  </si>
  <si>
    <t>a2b0942d</t>
  </si>
  <si>
    <t>Lazio vs Juventus - Serie A</t>
  </si>
  <si>
    <t>https://www.vidio.com/live/19404-serie-a?schedule_id=4672681</t>
  </si>
  <si>
    <t>https://drive.google.com/drive/folders/1xagUHmq9kDhIt5Jh4U30gUzkADWN0OVJ?usp=drive_link</t>
  </si>
  <si>
    <t>ss lazio; juventus fc; sports stream</t>
  </si>
  <si>
    <t>Nonton streaming pertandingan seru Lazio vs Juventus - Serie A. Saksikan aksi-aksi terbaik dari tim yang bersaing ketat untuk meraih kemenangan. Dapatkan informasi lengkap mengenai jadwal pertandingan dan hasil pertandingan terbaru hanya di Vidio.</t>
  </si>
  <si>
    <t>https://drive.google.com/file/d/1zZa6CV23aqaAQkS-YkymO3i9ZsSiU4nR/view?usp=sharing</t>
  </si>
  <si>
    <t>https://drive.google.com/file/d/1V47OOUluZ1kWJjRyeK77Mrkoc69STFgM/view?usp=sharing</t>
  </si>
  <si>
    <t>https://drive.google.com/file/d/1D3uyHvcplUteF5A9hux_qWGECaTdsTKO/view?usp=sharing</t>
  </si>
  <si>
    <t>19750bc4</t>
  </si>
  <si>
    <t>Milan vs Pisa - Serie A</t>
  </si>
  <si>
    <t>https://www.vidio.com/live/19404-serie-a?schedule_id=4666168</t>
  </si>
  <si>
    <t>https://drive.google.com/drive/folders/1eSfZq_cgzTscPWHNrS4hWGbQ9liOlV1S?usp=drive_link</t>
  </si>
  <si>
    <t>ac milan; Pisa SC; sports stream</t>
  </si>
  <si>
    <t>Nonton streaming pertandingan seru Milan vs Pisa - Serie A. Saksikan aksi-aksi terbaik dari tim yang bersaing ketat untuk meraih kemenangan. Dapatkan informasi lengkap mengenai jadwal pertandingan dan hasil pertandingan terbaru hanya di Vidio.</t>
  </si>
  <si>
    <t>C1 , E1</t>
  </si>
  <si>
    <t>https://drive.google.com/file/d/1qkZbY6guo_DO628aSfhHHkk9NAzSCGAB/view?usp=sharing</t>
  </si>
  <si>
    <t>https://drive.google.com/file/d/1CvcIa-srNwgsWyKV5SILm0b8uU_iDSq5/view?usp=sharing</t>
  </si>
  <si>
    <t>https://drive.google.com/file/d/1Zg_AkIbhHPGOLY_4UWHg2PztCENnoxDC/view?usp=sharing</t>
  </si>
  <si>
    <t>1587ebb8</t>
  </si>
  <si>
    <t>Napoli vs Inter - Serie A</t>
  </si>
  <si>
    <t>https://www.vidio.com/live/19404-serie-a?schedule_id=4666172</t>
  </si>
  <si>
    <t>https://drive.google.com/drive/folders/1r6XHJbzbZOhAqaz1zxvgmQeni9-LAP0k?usp=drive_link</t>
  </si>
  <si>
    <t>ssc napoli; fc internazionale milano; sports stream</t>
  </si>
  <si>
    <t>Nonton streaming pertandingan seru Napoli vs Inter - Serie A. Saksikan aksi-aksi terbaik dari tim yang bersaing ketat untuk meraih kemenangan. Dapatkan informasi lengkap mengenai jadwal pertandingan dan hasil pertandingan terbaru hanya di Vidio.</t>
  </si>
  <si>
    <t>TVC + NTC + Performance + CRM + SEO + Socials</t>
  </si>
  <si>
    <t>https://3.basecamp.com/4902751/buckets/36763424/card_tables/cards/9130047100</t>
  </si>
  <si>
    <t>https://drive.google.com/file/d/1QZK8hbCMrRUl2iISzcmu6i37xzovc2Jc/view?usp=sharing</t>
  </si>
  <si>
    <t>https://drive.google.com/file/d/14PN35NH4ynZF2jAKzKdB0yY_66qxuLhX/view?usp=sharing</t>
  </si>
  <si>
    <t>https://drive.google.com/file/d/1NfSln4ZQ9JiBnEynqQIAWyoEqPb5rxx6/view?usp=sharing</t>
  </si>
  <si>
    <t>5acc5810</t>
  </si>
  <si>
    <t>Parma vs Como - Serie A</t>
  </si>
  <si>
    <t>https://www.vidio.com/live/19404-serie-a?schedule_id=4666171</t>
  </si>
  <si>
    <t>https://drive.google.com/drive/folders/1b4fOBdJ2eJvvXV7XXLmCLO_y6U0bTP5c?usp=drive_link</t>
  </si>
  <si>
    <t>parma calcio; como; sports stream</t>
  </si>
  <si>
    <t>Nonton streaming pertandingan seru Parma vs Como - Serie A. Saksikan aksi-aksi terbaik dari tim yang bersaing ketat untuk meraih kemenangan. Dapatkan informasi lengkap mengenai jadwal pertandingan dan hasil pertandingan terbaru hanya di Vidio.</t>
  </si>
  <si>
    <t>https://drive.google.com/file/d/1AzbLuifZDXSwZxetjaNWuNAUuPFB4Yl0/view?usp=sharing</t>
  </si>
  <si>
    <t>https://drive.google.com/file/d/1ngPhf0WsgJYzwUiPJpbHbXFrg7lbgkvy/view?usp=sharing</t>
  </si>
  <si>
    <t>https://drive.google.com/file/d/1haJ0o-3DrNFTYOhxMsZuYpW1OuvKEpNT/view?usp=sharing</t>
  </si>
  <si>
    <t>0715d208</t>
  </si>
  <si>
    <t>Sassuolo vs Roma - Serie A</t>
  </si>
  <si>
    <t>https://www.vidio.com/live/19404-serie-a?schedule_id=4667522</t>
  </si>
  <si>
    <t>https://drive.google.com/drive/folders/1u14rSoRvjbaWT5Tl8fNAvZ7tr2MP0MeV?usp=drive_link</t>
  </si>
  <si>
    <t>us sassuolo calcio; as roma; sports stream</t>
  </si>
  <si>
    <t>Nonton streaming pertandingan seru Sassuolo vs Roma - Serie A. Saksikan aksi-aksi terbaik dari tim yang bersaing ketat untuk meraih kemenangan. Dapatkan informasi lengkap mengenai jadwal pertandingan dan hasil pertandingan terbaru hanya di Vidio.</t>
  </si>
  <si>
    <t>https://3.basecamp.com/4902751/buckets/36763424/card_tables/cards/9130024263</t>
  </si>
  <si>
    <t>https://drive.google.com/file/d/1UGFhkprRXRp6OGEo1-6Ixi86WWTLi3RW/view?usp=sharing</t>
  </si>
  <si>
    <t>https://drive.google.com/file/d/1_VsvH3d2qXcHtlyrsuSgrF6IQO12Djjc/view?usp=sharing</t>
  </si>
  <si>
    <t>https://drive.google.com/file/d/1-TXXrNwQbI8cHPX2CsWhAN6NGQBJkpSg/view?usp=sharing</t>
  </si>
  <si>
    <t>0ac73632</t>
  </si>
  <si>
    <t>Torino vs Genoa - Serie A</t>
  </si>
  <si>
    <t>https://www.vidio.com/live/19404-serie-a?schedule_id=4667521</t>
  </si>
  <si>
    <t>https://drive.google.com/drive/folders/16Bl17HWXMhrh4KxDo4VHI_qdd80PS8cL?usp=drive_link</t>
  </si>
  <si>
    <t>torino fc; genoa cfc; sports stream</t>
  </si>
  <si>
    <t>Nonton streaming pertandingan seru Torino vs Genoa - Serie A. Saksikan aksi-aksi terbaik dari tim yang bersaing ketat untuk meraih kemenangan. Dapatkan informasi lengkap mengenai jadwal pertandingan dan hasil pertandingan terbaru hanya di Vidio.</t>
  </si>
  <si>
    <t>https://drive.google.com/file/d/1CAT_IJZssP8jIMFB9mm57KkFmJXPKCzt/view?usp=sharing</t>
  </si>
  <si>
    <t>https://drive.google.com/file/d/17C9uvg0Tn3elXGCuPHePOYdCLyXOqshQ/view?usp=sharing</t>
  </si>
  <si>
    <t>https://drive.google.com/file/d/161qXnGDSKy5jl4JvENzYDGUwEShAOMf1/view?usp=sharing</t>
  </si>
  <si>
    <t>b6c3b5ec</t>
  </si>
  <si>
    <t>Udinese vs Lecce - Serie A</t>
  </si>
  <si>
    <t>https://www.vidio.com/live/17938-serie-a?schedule_id=4666174</t>
  </si>
  <si>
    <t>https://drive.google.com/drive/folders/1FbBeN9kM5xqnL1KVvI8LGTN8A8yfRdoH?usp=drive_link</t>
  </si>
  <si>
    <t>udinese calcio; us lecce; sports stream</t>
  </si>
  <si>
    <t>Nonton streaming pertandingan seru Udinese vs Lecce - Serie A. Saksikan aksi-aksi terbaik dari tim yang bersaing ketat untuk meraih kemenangan. Dapatkan informasi lengkap mengenai jadwal pertandingan dan hasil pertandingan terbaru hanya di Vidio.</t>
  </si>
  <si>
    <t>https://drive.google.com/file/d/1_ML6mQnL8wCJSaIDIBudZ3iIejM-PMR0/view?usp=sharing</t>
  </si>
  <si>
    <t>https://drive.google.com/file/d/1VM3yM7yi0INxmfvOZUXDwOt3bo9hQTy_/view?usp=sharing</t>
  </si>
  <si>
    <t>bbf3c379</t>
  </si>
  <si>
    <t>Verona vs Cagliari - Serie A</t>
  </si>
  <si>
    <t>https://www.vidio.com/live/17939-serie-a?schedule_id=4667523</t>
  </si>
  <si>
    <t>https://drive.google.com/drive/folders/1zySGwhbquDwstOiloUWo9avTXz43hZww?usp=drive_link</t>
  </si>
  <si>
    <t>hellas verona fc; cagliari calcio; sports stream</t>
  </si>
  <si>
    <t>Nonton streaming pertandingan seru Verona vs Cagliari - Serie A. Saksikan aksi-aksi terbaik dari tim yang bersaing ketat untuk meraih kemenangan. Dapatkan informasi lengkap mengenai jadwal pertandingan dan hasil pertandingan terbaru hanya di Vidio.</t>
  </si>
  <si>
    <t>https://drive.google.com/file/d/1C9G6ckx96qUjfp9ChwUkXT35kzzsiUTP/view?usp=sharing</t>
  </si>
  <si>
    <t>https://drive.google.com/file/d/1SdVaHyvH8KTLEdkLXzyaA_6E1zHVqOPk/view?usp=sharing</t>
  </si>
  <si>
    <t>48990f5f</t>
  </si>
  <si>
    <t>Atalanta vs Milan - Serie A</t>
  </si>
  <si>
    <t>https://www.vidio.com/live/19404-serie-a?schedule_id=4674565</t>
  </si>
  <si>
    <t>https://drive.google.com/drive/folders/1INLwAxNv4NF52Ok0RB-t_-yRZggNJPtI?usp=drive_link</t>
  </si>
  <si>
    <t>https://drive.google.com/drive/folders/1lBlXFBl4TqP2MeqFN3Wx1uc1mDYkLzFG?usp=drive_link</t>
  </si>
  <si>
    <t>atalanta bergamasca calcio; ac milan; sports stream</t>
  </si>
  <si>
    <t>Nonton streaming pertandingan seru Atalanta vs Milan - Serie A. Saksikan aksi-aksi terbaik dari tim yang bersaing ketat untuk meraih kemenangan. Dapatkan informasi lengkap mengenai jadwal pertandingan dan hasil pertandingan terbaru hanya di Vidio.</t>
  </si>
  <si>
    <t>B3 , A3</t>
  </si>
  <si>
    <t>https://3.basecamp.com/4902751/buckets/36763424/card_tables/cards/9159495020</t>
  </si>
  <si>
    <t>https://drive.google.com/file/d/1T84jILiz1KkKO8a9_Y5H9wIWp-FDWgWm/view?usp=sharing</t>
  </si>
  <si>
    <t>https://drive.google.com/file/d/1hEUGA1ULZbdJdYjWDPOqZZnU8TwmUAzu/view?usp=sharing</t>
  </si>
  <si>
    <t>https://drive.google.com/file/d/1vrg_Yzt43QHxHvifjHiDHimsDgTkTfjk/view?usp=sharing</t>
  </si>
  <si>
    <t>a1bc8cd9</t>
  </si>
  <si>
    <t>Bologna vs Torino - Serie A</t>
  </si>
  <si>
    <t>https://www.vidio.com/live/17938-serie-a?schedule_id=4674572</t>
  </si>
  <si>
    <t>https://drive.google.com/drive/folders/1OsVeWUljy0iEIHeH_pOpT6B61eQCmCr-?usp=drive_link</t>
  </si>
  <si>
    <t>bologna fc 1909; torino fc; sports stream</t>
  </si>
  <si>
    <t>Nonton streaming pertandingan seru Bologna vs Torino - Serie A. Saksikan aksi-aksi terbaik dari tim yang bersaing ketat untuk meraih kemenangan. Dapatkan informasi lengkap mengenai jadwal pertandingan dan hasil pertandingan terbaru hanya di Vidio.</t>
  </si>
  <si>
    <t>https://drive.google.com/file/d/15zj2LiBgcSZQ4ZD903GEoVo0PlgnmLJn/view?usp=sharing</t>
  </si>
  <si>
    <t>https://drive.google.com/file/d/17WfZNX-TkX9QXg4TvLtdJVKhRfFoS7cx/view?usp=sharing</t>
  </si>
  <si>
    <t>812ab882</t>
  </si>
  <si>
    <t>Cagliari vs Sassuolo - Serie A</t>
  </si>
  <si>
    <t>https://www.vidio.com/live/19404-serie-a?schedule_id=4674569</t>
  </si>
  <si>
    <t>https://drive.google.com/drive/folders/1dBW7PP1fR3zq24JFC8RVKfHGeL0ym10y?usp=drive_link</t>
  </si>
  <si>
    <t>cagliari calcio; us sassuolo calcio; sports stream</t>
  </si>
  <si>
    <t>Nonton streaming pertandingan seru Cagliari vs Sassuolo - Serie A. Saksikan aksi-aksi terbaik dari tim yang bersaing ketat untuk meraih kemenangan. Dapatkan informasi lengkap mengenai jadwal pertandingan dan hasil pertandingan terbaru hanya di Vidio.</t>
  </si>
  <si>
    <t>https://drive.google.com/file/d/1Gm6yMTk22LZ2ZqFKt0BayBcYAQcLTCwA/view?usp=sharing</t>
  </si>
  <si>
    <t>https://drive.google.com/file/d/1ZQhQREWL8zqO8DXksP3ZRy_SP9WIwhYw/view?usp=sharing</t>
  </si>
  <si>
    <t>https://drive.google.com/file/d/1recsG-KCJZKlh2OAdbEF5coVDFfIMbhj/view?usp=sharing</t>
  </si>
  <si>
    <t>d43e2290</t>
  </si>
  <si>
    <t>Como vs Verona - Serie A</t>
  </si>
  <si>
    <t>https://www.vidio.com/live/17939-serie-a?schedule_id=4674573</t>
  </si>
  <si>
    <t>https://drive.google.com/drive/folders/1jShZ9ZFfZOUGUlCVUwJnVIY9uNbweCVK?usp=drive_link</t>
  </si>
  <si>
    <t>como; hellas verona fc; sports stream</t>
  </si>
  <si>
    <t>Nonton streaming pertandingan seru Como vs Verona - Serie A. Saksikan aksi-aksi terbaik dari tim yang bersaing ketat untuk meraih kemenangan. Dapatkan informasi lengkap mengenai jadwal pertandingan dan hasil pertandingan terbaru hanya di Vidio.</t>
  </si>
  <si>
    <t>https://drive.google.com/file/d/1hBcVEpe4qffPeo-B9CUJzZ0yazP37JxM/view?usp=sharing</t>
  </si>
  <si>
    <t>https://drive.google.com/file/d/1DcFurb9K-RIVkqq0CbxTL8mZbAe4SOVV/view?usp=sharing</t>
  </si>
  <si>
    <t>c016b85e</t>
  </si>
  <si>
    <t>Genoa vs Cremonese - Serie A</t>
  </si>
  <si>
    <t>https://www.vidio.com/live/19589-serie-a?schedule_id=4675195</t>
  </si>
  <si>
    <t>https://drive.google.com/drive/folders/1CVqMdvHFVNPq952wZ0Rc5rYSTKS7DTKb?usp=drive_link</t>
  </si>
  <si>
    <t>genoa cfc; US Cremonese; sports stream</t>
  </si>
  <si>
    <t>Nonton streaming pertandingan seru Genoa vs Cremonese - Serie A. Saksikan aksi-aksi terbaik dari tim yang bersaing ketat untuk meraih kemenangan. Dapatkan informasi lengkap mengenai jadwal pertandingan dan hasil pertandingan terbaru hanya di Vidio.</t>
  </si>
  <si>
    <t>https://drive.google.com/file/d/1HGmaHYKfSy58Q06N1WMXZ1BhBfD_YqRm/view?usp=sharing</t>
  </si>
  <si>
    <t>https://drive.google.com/file/d/1ZH_HNSX27trS0I7ZaL5O1A9a9LAqTcQ6/view?usp=sharing</t>
  </si>
  <si>
    <t>https://drive.google.com/file/d/1cjdLcPaMGUxVU4o1iByhLKyox1VzGQc7/view?usp=sharing</t>
  </si>
  <si>
    <t>3556d998</t>
  </si>
  <si>
    <t>Inter vs Fiorentina - Serie A</t>
  </si>
  <si>
    <t>https://www.vidio.com/live/19404-serie-a?schedule_id=4674567</t>
  </si>
  <si>
    <t>https://drive.google.com/drive/folders/1QozQJGaOlAVAtMeSTlZfSk7UMM7BcGel?usp=drive_link</t>
  </si>
  <si>
    <t>fc internazionale milano; acf fiorentina; sports stream</t>
  </si>
  <si>
    <t>Nonton streaming pertandingan seru Inter vs Fiorentina - Serie A. Saksikan aksi-aksi terbaik dari tim yang bersaing ketat untuk meraih kemenangan. Dapatkan informasi lengkap mengenai jadwal pertandingan dan hasil pertandingan terbaru hanya di Vidio.</t>
  </si>
  <si>
    <t>https://drive.google.com/file/d/1_I3yhy8-VKdEse0lT-ZFi0qwntPngv9B/view?usp=sharing</t>
  </si>
  <si>
    <t>https://drive.google.com/file/d/10hHtqo8dPufqa_aYdVj6TWApBLaYr7NI/view?usp=sharing</t>
  </si>
  <si>
    <t>https://drive.google.com/file/d/1Wg7ijGYgFocc1TBtZBF4N92KJw3RM4oi/view?usp=sharing</t>
  </si>
  <si>
    <t>58480c8e</t>
  </si>
  <si>
    <t>Juventus vs Udinese - Serie A</t>
  </si>
  <si>
    <t>https://www.vidio.com/live/19404-serie-a?schedule_id=4674566</t>
  </si>
  <si>
    <t>https://drive.google.com/drive/folders/1K00JZBqRSrbwz3NxbP0MXf0to2vl9AnE?usp=drive_link</t>
  </si>
  <si>
    <t>juventus fc; udinese calcio; sports stream</t>
  </si>
  <si>
    <t>Nonton streaming pertandingan seru Juventus vs Udinese - Serie A. Saksikan aksi-aksi terbaik dari tim yang bersaing ketat untuk meraih kemenangan. Dapatkan informasi lengkap mengenai jadwal pertandingan dan hasil pertandingan terbaru hanya di Vidio.</t>
  </si>
  <si>
    <t>https://drive.google.com/file/d/1rCisb1QpYlp82YxDUucbLdyrQr_SBJfm/view?usp=sharing</t>
  </si>
  <si>
    <t>https://drive.google.com/file/d/1hA7te-6c6XF3bLXPKPfS-DnZ7bRVY-Fi/view?usp=sharing</t>
  </si>
  <si>
    <t>https://drive.google.com/file/d/1Tn2yXqfSp3zXG4kzVmliKEDkzXarbYe3/view?usp=sharing</t>
  </si>
  <si>
    <t>824f22d3</t>
  </si>
  <si>
    <t>Lecce vs Napoli - Serie A</t>
  </si>
  <si>
    <t>https://www.vidio.com/live/19404-serie-a?schedule_id=4674562</t>
  </si>
  <si>
    <t>https://drive.google.com/drive/folders/1VBRBzYiVdcYd03LbeGKXbIHC_Z19hKR-?usp=drive_link</t>
  </si>
  <si>
    <t>us lecce; ssc napoli; sports stream</t>
  </si>
  <si>
    <t>Nonton streaming pertandingan seru Lecce vs Napoli - Serie A. Saksikan aksi-aksi terbaik dari tim yang bersaing ketat untuk meraih kemenangan. Dapatkan informasi lengkap mengenai jadwal pertandingan dan hasil pertandingan terbaru hanya di Vidio.</t>
  </si>
  <si>
    <t>https://drive.google.com/file/d/1ZBJhEdTHN0GdvOZs3Da8TbSr3VK9l9gK/view?usp=sharing</t>
  </si>
  <si>
    <t>https://drive.google.com/file/d/1QcCgoKIa4BKV8CMH169VCZ4OzV5MmXfl/view?usp=sharing</t>
  </si>
  <si>
    <t>https://drive.google.com/file/d/11DTxgh6XX3ZXPJKqJVKyZnpzkjEbQxR8/view?usp=sharing</t>
  </si>
  <si>
    <t>a1bc4b29</t>
  </si>
  <si>
    <t>Pisa vs Lazio - Serie A</t>
  </si>
  <si>
    <t>https://www.vidio.com/live/19404-serie-a?schedule_id=4674570</t>
  </si>
  <si>
    <t>https://drive.google.com/drive/folders/1xpJ2hU9YEE851LH1CBRvpeGbfhZvcj0p?usp=drive_link</t>
  </si>
  <si>
    <t>Pisa SC; ss lazio; sports stream</t>
  </si>
  <si>
    <t>Nonton streaming pertandingan seru Pisa vs Lazio - Serie A. Saksikan aksi-aksi terbaik dari tim yang bersaing ketat untuk meraih kemenangan. Dapatkan informasi lengkap mengenai jadwal pertandingan dan hasil pertandingan terbaru hanya di Vidio.</t>
  </si>
  <si>
    <t>https://drive.google.com/file/d/1axXemJxzh5rKlt4w6piAND3D_zBVZb-C/view?usp=sharing</t>
  </si>
  <si>
    <t>https://drive.google.com/file/d/1A_xWWrQcQHpdL0SvlXjMbpTrZdV2NLDz/view?usp=sharing</t>
  </si>
  <si>
    <t>4e0517ec</t>
  </si>
  <si>
    <t>Roma vs Parma - Serie A</t>
  </si>
  <si>
    <t>https://www.vidio.com/live/17938-serie-a?schedule_id=4674571</t>
  </si>
  <si>
    <t>https://drive.google.com/drive/folders/1rPTee3TgNGS2J2ZsGlu6-VVeUEaAGs9o?usp=drive_link</t>
  </si>
  <si>
    <t>as roma; parma calcio; sports stream</t>
  </si>
  <si>
    <t>Nonton streaming pertandingan seru Roma vs Parma - Serie A. Saksikan aksi-aksi terbaik dari tim yang bersaing ketat untuk meraih kemenangan. Dapatkan informasi lengkap mengenai jadwal pertandingan dan hasil pertandingan terbaru hanya di Vidio.</t>
  </si>
  <si>
    <t>https://drive.google.com/file/d/1gdgwoT0UQDECtb96w8QOS2AYnWgRnWtp/view?usp=sharing</t>
  </si>
  <si>
    <t>https://drive.google.com/file/d/1I5w-K1NaM5kY2kCqmQksIrztsL39Pfh5/view?usp=sharing</t>
  </si>
  <si>
    <t>https://drive.google.com/file/d/12E7UubIzFGidMPei8COcljSEGvou0CD9/view?usp=sharing</t>
  </si>
  <si>
    <t>0563ef16</t>
  </si>
  <si>
    <t>Cremonese vs Juventus - Serie A</t>
  </si>
  <si>
    <t>https://www.vidio.com/live/19404-serie-a?schedule_id=4678471</t>
  </si>
  <si>
    <t>https://drive.google.com/drive/folders/1RR70yc2D4tNEQ9RkLh22XyRbNik2hCZW?usp=drive_link</t>
  </si>
  <si>
    <t>https://drive.google.com/drive/folders/1p-BBE4Q7WYsjaA6zRP-zbxNxOInOSBYU</t>
  </si>
  <si>
    <t>US Cremonese; juventus fc; sports stream</t>
  </si>
  <si>
    <t>Nonton streaming pertandingan seru Cremonese vs Juventus - Serie A. Saksikan aksi-aksi terbaik dari tim yang bersaing ketat untuk meraih kemenangan. Dapatkan informasi lengkap mengenai jadwal pertandingan dan hasil pertandingan terbaru hanya di Vidio.</t>
  </si>
  <si>
    <t>https://drive.google.com/file/d/18XpWHtv-r-_AFuKz9rAjbUu69RNVGAnI/view?usp=sharing</t>
  </si>
  <si>
    <t>https://drive.google.com/file/d/1SRbioHVB-ZiOSEo8K0jG7yuam0V7mnf1/view?usp=sharing</t>
  </si>
  <si>
    <t>https://drive.google.com/file/d/14sgHb93-vqk_xnUpaU7ZFJHGf0VZ6nNK/view?usp=sharing</t>
  </si>
  <si>
    <t>47cbfb65</t>
  </si>
  <si>
    <t>Fiorentina vs Lecce - Serie A</t>
  </si>
  <si>
    <t>https://www.vidio.com/live/19404-serie-a?schedule_id=4678473</t>
  </si>
  <si>
    <t>https://drive.google.com/drive/folders/1u8Q4bfqQqDBYcSDn-f8_4Li3NvYPCLTN?usp=drive_link</t>
  </si>
  <si>
    <t>acf fiorentina; us lecce; sports stream</t>
  </si>
  <si>
    <t>Nonton streaming pertandingan seru Fiorentina vs Lecce - Serie A. Saksikan aksi-aksi terbaik dari tim yang bersaing ketat untuk meraih kemenangan. Dapatkan informasi lengkap mengenai jadwal pertandingan dan hasil pertandingan terbaru hanya di Vidio.</t>
  </si>
  <si>
    <t>https://drive.google.com/file/d/1ptgdUfOCeMcESBMVT9xkiIFQvvtkOG30/view?usp=sharing</t>
  </si>
  <si>
    <t>https://drive.google.com/file/d/1MiN6OU86wDQ2Bo-iwYfE7XSdl9QW5WMj/view?usp=sharing</t>
  </si>
  <si>
    <t>https://drive.google.com/file/d/1WKTa-jTsrTl4lKO4VR5ql0GoGs3zes9j/view?usp=sharing</t>
  </si>
  <si>
    <t>0c0da8fb</t>
  </si>
  <si>
    <t>Lazio vs Cagliari - Serie A</t>
  </si>
  <si>
    <t>https://www.vidio.com/live/19404-serie-a?schedule_id=4695542</t>
  </si>
  <si>
    <t>https://drive.google.com/drive/folders/1sYqrBx4IJfrNeSAracb1R3iFk7o545-x?usp=drive_link</t>
  </si>
  <si>
    <t>ss lazio; cagliari calcio; sports stream</t>
  </si>
  <si>
    <t>Nonton streaming pertandingan seru Lazio vs Cagliari - Serie A. Saksikan aksi-aksi terbaik dari tim yang bersaing ketat untuk meraih kemenangan. Dapatkan informasi lengkap mengenai jadwal pertandingan dan hasil pertandingan terbaru hanya di Vidio.</t>
  </si>
  <si>
    <t>https://drive.google.com/file/d/18NThv5YEDw6RsKuNgPw03jDTVrUZnDo2/view?usp=sharing</t>
  </si>
  <si>
    <t>https://drive.google.com/file/d/1ZcrXU2D9sK51_NrMRAfOxEOX9plKjOTU/view?usp=sharing</t>
  </si>
  <si>
    <t>https://drive.google.com/file/d/1EekKWcrxQDVFEB9ZmlBMs8yhpdLB3mzf/view?usp=sharing</t>
  </si>
  <si>
    <t>88f64181</t>
  </si>
  <si>
    <t>Milan vs Roma - Serie A</t>
  </si>
  <si>
    <t>https://www.vidio.com/live/19404-serie-a?schedule_id=4691065</t>
  </si>
  <si>
    <t>https://drive.google.com/drive/folders/1EhjFKDVL0rjEFJ-lZbmpDWaL1Fpou9Lo?usp=drive_link</t>
  </si>
  <si>
    <t>ac milan; as roma; sports stream</t>
  </si>
  <si>
    <t>Nonton streaming pertandingan seru Milan vs Roma - Serie A. Saksikan aksi-aksi terbaik dari tim yang bersaing ketat untuk meraih kemenangan. Dapatkan informasi lengkap mengenai jadwal pertandingan dan hasil pertandingan terbaru hanya di Vidio.</t>
  </si>
  <si>
    <t>https://drive.google.com/file/d/1eqLd1IsA70AvbW1IrZiiHRo5Mhpxmioz/view?usp=sharing</t>
  </si>
  <si>
    <t>https://drive.google.com/file/d/1TG2LUf8j3_HtFr8k_j4SNf2vm65kd6_p/view?usp=sharing</t>
  </si>
  <si>
    <t>https://drive.google.com/file/d/11vig3ADGXnf_YW2BurzaxK6ubUMh96yJ/view?usp=sharing</t>
  </si>
  <si>
    <t>3091d53a</t>
  </si>
  <si>
    <t>Napoli vs Como - Serie A</t>
  </si>
  <si>
    <t>https://www.vidio.com/live/19404-serie-a?schedule_id=4678470</t>
  </si>
  <si>
    <t>https://drive.google.com/drive/folders/1BI4KzOAQRZf3h07WbWlLAvqLLpBcQ-K0?usp=drive_link</t>
  </si>
  <si>
    <t>ssc napoli; como; sports stream</t>
  </si>
  <si>
    <t>Nonton streaming pertandingan seru Napoli vs Como - Serie A. Saksikan aksi-aksi terbaik dari tim yang bersaing ketat untuk meraih kemenangan. Dapatkan informasi lengkap mengenai jadwal pertandingan dan hasil pertandingan terbaru hanya di Vidio.</t>
  </si>
  <si>
    <t>https://drive.google.com/file/d/1nZ725oYBgoNvJsnzIhQmmpnMiM7OGbGV/view?usp=sharing</t>
  </si>
  <si>
    <t>https://drive.google.com/file/d/1gp4auf3hgAtbidXq5KtfcDI4KYwhJwoX/view?usp=sharing</t>
  </si>
  <si>
    <t>https://drive.google.com/file/d/1dmQJJ7-V3oVd1MaUR44GATzIriVUn9Ru/view?usp=sharing</t>
  </si>
  <si>
    <t>6574e9b1</t>
  </si>
  <si>
    <t>Parma vs Bologna - Serie A</t>
  </si>
  <si>
    <t>https://www.vidio.com/live/19404-serie-a?schedule_id=4678474</t>
  </si>
  <si>
    <t>https://drive.google.com/drive/folders/18qGi9kuIZ7IuNM0ubJxIEpr9mcxi_L8g?usp=drive_link</t>
  </si>
  <si>
    <t>parma calcio; bologna fc 1909; sports stream</t>
  </si>
  <si>
    <t>Nonton streaming pertandingan seru Parma vs Bologna - Serie A. Saksikan aksi-aksi terbaik dari tim yang bersaing ketat untuk meraih kemenangan. Dapatkan informasi lengkap mengenai jadwal pertandingan dan hasil pertandingan terbaru hanya di Vidio.</t>
  </si>
  <si>
    <t>https://drive.google.com/file/d/1gdP72r-eC9DbAlR7RgobEDU-TcIGYdvI/view?usp=sharing</t>
  </si>
  <si>
    <t>https://drive.google.com/file/d/1KS4238ihvkEuRKNIo4jPjah18y8U77fX/view?usp=sharing</t>
  </si>
  <si>
    <t>89bdbd0a</t>
  </si>
  <si>
    <t>Sassuolo vs Genoa - Serie A</t>
  </si>
  <si>
    <t>https://www.vidio.com/live/19404-serie-a?schedule_id=4695541</t>
  </si>
  <si>
    <t>https://drive.google.com/drive/folders/15j0X7UHsUWVqKsrTRVKk5zHN8USY7zgy?usp=drive_link</t>
  </si>
  <si>
    <t>us sassuolo calcio; genoa cfc; sports stream</t>
  </si>
  <si>
    <t>Nonton streaming pertandingan seru Sassuolo vs Genoa - Serie A. Saksikan aksi-aksi terbaik dari tim yang bersaing ketat untuk meraih kemenangan. Dapatkan informasi lengkap mengenai jadwal pertandingan dan hasil pertandingan terbaru hanya di Vidio.</t>
  </si>
  <si>
    <t>https://drive.google.com/file/d/1N_N_MlFmzr9296iOouGB9A6BRiNg42CP/view?usp=sharing</t>
  </si>
  <si>
    <t>https://drive.google.com/file/d/1JHRpRwxJp0uwg62A16zBmIa0zvx62Fh2/view?usp=sharing</t>
  </si>
  <si>
    <t>https://drive.google.com/file/d/1A7ZPhLRp_sHmXDYKoH0dq_AdWViFmcnV/view?usp=sharing</t>
  </si>
  <si>
    <t>988fd490</t>
  </si>
  <si>
    <t>Torino vs Pisa - Serie A</t>
  </si>
  <si>
    <t>https://www.vidio.com/live/17939-serie-a?schedule_id=4691060</t>
  </si>
  <si>
    <t>https://drive.google.com/drive/folders/1Ye0E50ZZ9Uzia0M-LCKsXs4bRIbHU60l?usp=drive_link</t>
  </si>
  <si>
    <t>torino fc; Pisa SC; sports stream</t>
  </si>
  <si>
    <t>Nonton streaming pertandingan seru Torino vs Pisa - Serie A. Saksikan aksi-aksi terbaik dari tim yang bersaing ketat untuk meraih kemenangan. Dapatkan informasi lengkap mengenai jadwal pertandingan dan hasil pertandingan terbaru hanya di Vidio.</t>
  </si>
  <si>
    <t>https://drive.google.com/file/d/1HJb4q__MyuwTUN_qMEeUuzS2Wn4lng9X/view?usp=sharing</t>
  </si>
  <si>
    <t>https://drive.google.com/file/d/1JOcGTakjSI9n-lT3ENC5C1UPCZEjw_6m/view?usp=sharing</t>
  </si>
  <si>
    <t>28c504bc</t>
  </si>
  <si>
    <t>Udinese vs Atalanta - Serie A</t>
  </si>
  <si>
    <t>https://www.vidio.com/live/19404-serie-a?schedule_id=4678469</t>
  </si>
  <si>
    <t>https://drive.google.com/drive/folders/1r4GbNGOIfdJvxT_39HLQFxA7Y77CzvkQ?usp=drive_link</t>
  </si>
  <si>
    <t>udinese calcio; atalanta bergamasca calcio; sports stream</t>
  </si>
  <si>
    <t>Nonton streaming pertandingan seru Udinese vs Atalanta - Serie A. Saksikan aksi-aksi terbaik dari tim yang bersaing ketat untuk meraih kemenangan. Dapatkan informasi lengkap mengenai jadwal pertandingan dan hasil pertandingan terbaru hanya di Vidio.</t>
  </si>
  <si>
    <t>https://drive.google.com/file/d/1-udjpe9xbX7AqxwX5UnEhlQO60QINuEh/view?usp=sharing</t>
  </si>
  <si>
    <t>https://drive.google.com/file/d/15ywPG-qFOlAI3hT447yjgi9gaoaZQnaY/view?usp=sharing</t>
  </si>
  <si>
    <t>https://drive.google.com/file/d/15uW195EEEvxBk_IXuS_fQR7-uij07x0X/view?usp=sharing</t>
  </si>
  <si>
    <t>664ad187</t>
  </si>
  <si>
    <t>Verona vs Inter - Serie A</t>
  </si>
  <si>
    <t>https://www.vidio.com/live/19404-serie-a?schedule_id=4678472</t>
  </si>
  <si>
    <t>https://drive.google.com/drive/folders/1XoIyQLsKq_Bzh99B08_RguIViP5W_NPu?usp=drive_link</t>
  </si>
  <si>
    <t>hellas verona fc; fc internazionale milano; sports stream</t>
  </si>
  <si>
    <t>Nonton streaming pertandingan seru Verona vs Inter - Serie A. Saksikan aksi-aksi terbaik dari tim yang bersaing ketat untuk meraih kemenangan. Dapatkan informasi lengkap mengenai jadwal pertandingan dan hasil pertandingan terbaru hanya di Vidio.</t>
  </si>
  <si>
    <t>https://3.basecamp.com/4902751/buckets/36763424/card_tables/cards/9168731142</t>
  </si>
  <si>
    <t>https://drive.google.com/file/d/1wOXmJYVHZs9BlwQJ4rccUMnyfNfvzm3e/view?usp=sharing</t>
  </si>
  <si>
    <t>https://drive.google.com/file/d/1aNrW8crA7a5sVRXbGLweBawyJ3_fnznc/view?usp=sharing</t>
  </si>
  <si>
    <t>https://drive.google.com/file/d/11kY4pRDX47SbV1hDUMJAjgfwM-5cE_Lx/view?usp=sharing</t>
  </si>
  <si>
    <t>6d4aa60f</t>
  </si>
  <si>
    <t>Atalanta vs Sassuolo - Serie A</t>
  </si>
  <si>
    <t>https://www.vidio.com/live/19404-serie-a?schedule_id=4708389</t>
  </si>
  <si>
    <t>https://drive.google.com/drive/folders/1tOkxXN-nVCrJuImKLK1Qr3xhd80JexTo?usp=drive_link</t>
  </si>
  <si>
    <t>https://drive.google.com/drive/folders/190yi0NXB7fqt8awvfrHzHYND0AcQ3r1-?usp=drive_link</t>
  </si>
  <si>
    <t>atalanta bergamasca calcio; us sassuolo calcio; sports stream</t>
  </si>
  <si>
    <t>Nonton streaming pertandingan seru Atalanta vs Sassuolo - Serie A. Saksikan aksi-aksi terbaik dari tim yang bersaing ketat untuk meraih kemenangan. Dapatkan informasi lengkap mengenai jadwal pertandingan dan hasil pertandingan terbaru hanya di Vidio.</t>
  </si>
  <si>
    <t>https://drive.google.com/file/d/1SAB3O5HF_R2yEGIhKrx5B3nGA79YA8jF/view?usp=sharing</t>
  </si>
  <si>
    <t>https://drive.google.com/file/d/1oOp0GFENPzmxef1IKebOZGF6nvImbBmi/view?usp=sharing</t>
  </si>
  <si>
    <t>https://drive.google.com/file/d/1cO-izSbjapnX4Xo9Ydwrt5jUGaGmr0un/view?usp=sharing</t>
  </si>
  <si>
    <t>676acc5b</t>
  </si>
  <si>
    <t>Bologna vs Napoli - Serie A</t>
  </si>
  <si>
    <t>https://www.vidio.com/live/19404-serie-a?schedule_id=4708390</t>
  </si>
  <si>
    <t>https://drive.google.com/drive/folders/183CEXU6WQwKP4fnTqpt_CQM00h8pyoaT?usp=drive_link</t>
  </si>
  <si>
    <t>bologna fc 1909; ssc napoli; sports stream</t>
  </si>
  <si>
    <t>Nonton streaming pertandingan seru Bologna vs Napoli - Serie A. Saksikan aksi-aksi terbaik dari tim yang bersaing ketat untuk meraih kemenangan. Dapatkan informasi lengkap mengenai jadwal pertandingan dan hasil pertandingan terbaru hanya di Vidio.</t>
  </si>
  <si>
    <t>https://drive.google.com/file/d/1ZYBdsWWhz7cg-WenRc2TbjDXaYY-Y7cZ/view?usp=sharing</t>
  </si>
  <si>
    <t>https://drive.google.com/file/d/1FXuHJ4Lnb986Hc3piJhvT6YyYD7O0l1V/view?usp=sharing</t>
  </si>
  <si>
    <t>https://drive.google.com/file/d/1t0jwohdxfMSY3IgDRjP83ZB5rIV0rs6C/view?usp=sharing</t>
  </si>
  <si>
    <t>b8af7902</t>
  </si>
  <si>
    <t>Como vs Cagliari - Serie A</t>
  </si>
  <si>
    <t>https://www.vidio.com/live/19404-serie-a?schedule_id=4706722</t>
  </si>
  <si>
    <t>https://drive.google.com/drive/folders/1fO9bVAQv8x3cAQdu0pOfnPgk3Vr_tSlW?usp=drive_link</t>
  </si>
  <si>
    <t>como; cagliari calcio; sports stream</t>
  </si>
  <si>
    <t>Nonton streaming pertandingan seru Como vs Cagliari - Serie A. Saksikan aksi-aksi terbaik dari tim yang bersaing ketat untuk meraih kemenangan. Dapatkan informasi lengkap mengenai jadwal pertandingan dan hasil pertandingan terbaru hanya di Vidio.</t>
  </si>
  <si>
    <t>https://drive.google.com/file/d/17OATDtsLW_hISmwC2XXfIQfD90aoXGbH/view?usp=sharing</t>
  </si>
  <si>
    <t>4150e5eb</t>
  </si>
  <si>
    <t>Genoa vs Fiorentina - Serie A</t>
  </si>
  <si>
    <t>https://www.vidio.com/live/17939-serie-a?schedule_id=4708391</t>
  </si>
  <si>
    <t>https://drive.google.com/drive/folders/19-FYGJ8AWIkP1X3cf04l-Zq6_VF17Nbs?usp=drive_link</t>
  </si>
  <si>
    <t>genoa cfc; acf fiorentina; sports stream</t>
  </si>
  <si>
    <t>Nonton streaming pertandingan seru Genoa vs Fiorentina - Serie A. Saksikan aksi-aksi terbaik dari tim yang bersaing ketat untuk meraih kemenangan. Dapatkan informasi lengkap mengenai jadwal pertandingan dan hasil pertandingan terbaru hanya di Vidio.</t>
  </si>
  <si>
    <t>https://drive.google.com/file/d/1gsXspxRq9A63c-NIvLk4nZxJVpgSv2TR/view?usp=sharing</t>
  </si>
  <si>
    <t>https://drive.google.com/file/d/1nhANTutWZvh8_bPINYQuP3PZjty265Wj/view?usp=sharing</t>
  </si>
  <si>
    <t>https://drive.google.com/file/d/1PGaqN-vxI07Ta9R2lzDliZfYCmN8BLGl/view?usp=sharing</t>
  </si>
  <si>
    <t>194fd236</t>
  </si>
  <si>
    <t>Inter vs Lazio - Serie A</t>
  </si>
  <si>
    <t>https://www.vidio.com/live/19404-serie-a?schedule_id=4710008</t>
  </si>
  <si>
    <t>https://drive.google.com/drive/folders/1sc5pyjqdg0ROtXiErGYSfZh6JM35eQgA?usp=drive_link</t>
  </si>
  <si>
    <t>fc internazionale milano; ss lazio; sports stream</t>
  </si>
  <si>
    <t>Nonton streaming pertandingan seru Inter vs Lazio - Serie A. Saksikan aksi-aksi terbaik dari tim yang bersaing ketat untuk meraih kemenangan. Dapatkan informasi lengkap mengenai jadwal pertandingan dan hasil pertandingan terbaru hanya di Vidio.</t>
  </si>
  <si>
    <t>https://drive.google.com/file/d/1ARwYmMhrp-ywvt37LCk5O4yhVg3erXbv/view?usp=sharing</t>
  </si>
  <si>
    <t>https://drive.google.com/file/d/1MUWM2GHTRJdKQhb_U4PXSiabYH0X0pfK/view?usp=sharing</t>
  </si>
  <si>
    <t>https://drive.google.com/file/d/1Wpk_cjAu5b4lqDC4lJwVxZqM2GxmXj5f/view?usp=sharing</t>
  </si>
  <si>
    <t>7f97bd4a</t>
  </si>
  <si>
    <t>Juventus vs Torino - Serie A</t>
  </si>
  <si>
    <t>https://www.vidio.com/live/19404-serie-a?schedule_id=4706738</t>
  </si>
  <si>
    <t>https://drive.google.com/drive/folders/1JGcoxZ-2gk_4A1ozkpf1P2ReUGR6UFDq?usp=drive_link</t>
  </si>
  <si>
    <t>juventus fc; torino fc; sports stream</t>
  </si>
  <si>
    <t>Nonton streaming pertandingan seru Juventus vs Torino - Serie A. Saksikan aksi-aksi terbaik dari tim yang bersaing ketat untuk meraih kemenangan. Dapatkan informasi lengkap mengenai jadwal pertandingan dan hasil pertandingan terbaru hanya di Vidio.</t>
  </si>
  <si>
    <t>https://3.basecamp.com/4902751/buckets/36763424/card_tables/cards/9230996924</t>
  </si>
  <si>
    <t>https://drive.google.com/file/d/1JoOMdjmg69Sy0EuPy9Emmj-fJ5FlV1eC/view?usp=sharing</t>
  </si>
  <si>
    <t>https://drive.google.com/file/d/1Ycz_z_C4ZtTEZjQLkiBOnmVYQXrk-rUd/view?usp=sharing</t>
  </si>
  <si>
    <t>2f986878</t>
  </si>
  <si>
    <t>Lecce vs Verona - Serie A</t>
  </si>
  <si>
    <t>https://www.vidio.com/live/17938-serie-a?schedule_id=4706723</t>
  </si>
  <si>
    <t>https://drive.google.com/drive/folders/178fIl-QiFwp1u5iXcWAIplrZ4uIRWKcm?usp=drive_link</t>
  </si>
  <si>
    <t>us lecce; hellas verona fc; sports stream</t>
  </si>
  <si>
    <t>Nonton streaming pertandingan seru Lecce vs Verona - Serie A. Saksikan aksi-aksi terbaik dari tim yang bersaing ketat untuk meraih kemenangan. Dapatkan informasi lengkap mengenai jadwal pertandingan dan hasil pertandingan terbaru hanya di Vidio.</t>
  </si>
  <si>
    <t>https://drive.google.com/file/d/1xGBl4gDKaaAsRT7iS5fPyNC3HtkLr7hL/view?usp=sharing</t>
  </si>
  <si>
    <t>https://drive.google.com/file/d/1yoCp0amejvn3qjFrro7DEehDKXipmZyb/view?usp=sharing</t>
  </si>
  <si>
    <t>b4e32768</t>
  </si>
  <si>
    <t>Parma vs Milan - Serie A</t>
  </si>
  <si>
    <t>https://www.vidio.com/live/19404-serie-a?schedule_id=4707268</t>
  </si>
  <si>
    <t>https://drive.google.com/drive/folders/1WtJ8Fo0drdwjIWbkTDlS25c-WHA_y2a3?usp=drive_link</t>
  </si>
  <si>
    <t>parma calcio; ac milan; sports stream</t>
  </si>
  <si>
    <t>Nonton streaming pertandingan seru Parma vs Milan - Serie A. Saksikan aksi-aksi terbaik dari tim yang bersaing ketat untuk meraih kemenangan. Dapatkan informasi lengkap mengenai jadwal pertandingan dan hasil pertandingan terbaru hanya di Vidio.</t>
  </si>
  <si>
    <t>https://drive.google.com/file/d/1rELQG94zfnP1UmT33-GMxRYEwOs8y2Jq/view?usp=sharing</t>
  </si>
  <si>
    <t>https://drive.google.com/file/d/1O8t7Y4_D51gZOX4jCvbzMcU22-a5egac/view?usp=sharing</t>
  </si>
  <si>
    <t>https://drive.google.com/file/d/1qJph7SoMilB_Kq7oIWgnqsPiWiRXWLf_/view?usp=sharing</t>
  </si>
  <si>
    <t>19765a8c</t>
  </si>
  <si>
    <t>Pisa vs Cremonese - Serie A</t>
  </si>
  <si>
    <t>https://www.vidio.com/live/19404-serie-a?schedule_id=4706549</t>
  </si>
  <si>
    <t>https://drive.google.com/drive/folders/1eHzART56W1SRjAgZEXSCmAoRF6XqNq7l?usp=drive_link</t>
  </si>
  <si>
    <t>Pisa SC; US Cremonese; sports stream</t>
  </si>
  <si>
    <t>Nonton streaming pertandingan seru Pisa vs Cremonese - Serie A. Saksikan aksi-aksi terbaik dari tim yang bersaing ketat untuk meraih kemenangan. Dapatkan informasi lengkap mengenai jadwal pertandingan dan hasil pertandingan terbaru hanya di Vidio.</t>
  </si>
  <si>
    <t>https://drive.google.com/file/d/1_lpQ5E1mfFUxAgoNrU8W8U0PDp1xRGeG/view?usp=sharing</t>
  </si>
  <si>
    <t>https://drive.google.com/file/d/16uSqqTMeSgdN6ZLCxP1GBjzosGowpcYP/view?usp=sharing</t>
  </si>
  <si>
    <t>https://drive.google.com/file/d/1Ozc7xsb1n1w9qZ2ipyDeNqmlzbmhW2Ta/view?usp=sharing</t>
  </si>
  <si>
    <t>6bb495d4</t>
  </si>
  <si>
    <t>Roma vs Udinese - Serie A</t>
  </si>
  <si>
    <t>https://www.vidio.com/live/19404-serie-a?schedule_id=4708921</t>
  </si>
  <si>
    <t>https://drive.google.com/drive/folders/1EU3WgHzc1Ju7KAOON3wvBgnByQEOaCfh?usp=drive_link</t>
  </si>
  <si>
    <t>as roma; udinese calcio; sports stream</t>
  </si>
  <si>
    <t>Nonton streaming pertandingan seru Roma vs Udinese - Serie A. Saksikan aksi-aksi terbaik dari tim yang bersaing ketat untuk meraih kemenangan. Dapatkan informasi lengkap mengenai jadwal pertandingan dan hasil pertandingan terbaru hanya di Vidio.</t>
  </si>
  <si>
    <t>https://drive.google.com/file/d/13tqO4op5wMSBMASqF64XPdR018xmQ7BO/view?usp=sharing</t>
  </si>
  <si>
    <t>https://drive.google.com/file/d/1JIoR2Ij7sCU3q7_taTQNJSmXs8YqOTzZ/view?usp=sharing</t>
  </si>
  <si>
    <t>https://drive.google.com/file/d/1uYwMxYuWEWo1wzV3hF4qQlLCT-5iz3_d/view?usp=sharing</t>
  </si>
  <si>
    <t>55bc2197</t>
  </si>
  <si>
    <t>Cagliari vs Genoa - Serie A</t>
  </si>
  <si>
    <t>https://www.vidio.com/live/17939-serie-a?schedule_id=4725606</t>
  </si>
  <si>
    <t>https://drive.google.com/drive/folders/1CNmRInOzczzN9D7iENYVh3ibDHQjNbGs?usp=drive_link</t>
  </si>
  <si>
    <t>https://drive.google.com/drive/folders/1DeJCScnPkkDeQ_R7vAEQkIx3Z9GGUNrT?usp=drive_link</t>
  </si>
  <si>
    <t>cagliari calcio; genoa cfc; sports stream</t>
  </si>
  <si>
    <t>Nonton streaming pertandingan seru Cagliari vs Genoa - Serie A. Saksikan aksi-aksi terbaik dari tim yang bersaing ketat untuk meraih kemenangan. Dapatkan informasi lengkap mengenai jadwal pertandingan dan hasil pertandingan terbaru hanya di Vidio.</t>
  </si>
  <si>
    <t>*Blocking CTV 2 JIP 21:30 WIB</t>
  </si>
  <si>
    <t>https://drive.google.com/file/d/1XbbReUGm_-YqE-27qutC_zVNAL7c7ewY/view?usp=sharing</t>
  </si>
  <si>
    <t>https://drive.google.com/file/d/12MaC08Ow0uWjVegE2af2gafmkA5CsA2Q/view?usp=sharing</t>
  </si>
  <si>
    <t>8cba9fa5</t>
  </si>
  <si>
    <t>Cremonese vs Roma - Serie A</t>
  </si>
  <si>
    <t>https://www.vidio.com/live/19404-serie-a?schedule_id=4725611</t>
  </si>
  <si>
    <t>https://drive.google.com/drive/folders/18PxhSye1wJE1eiGiSyR0VnarZjIYY8LI?usp=drive_link</t>
  </si>
  <si>
    <t>US Cremonese; as roma; sports stream</t>
  </si>
  <si>
    <t>Nonton streaming pertandingan seru Cremonese vs Roma - Serie A. Saksikan aksi-aksi terbaik dari tim yang bersaing ketat untuk meraih kemenangan. Dapatkan informasi lengkap mengenai jadwal pertandingan dan hasil pertandingan terbaru hanya di Vidio.</t>
  </si>
  <si>
    <t>https://drive.google.com/file/d/1i4Xcx86IbmhbgDxfKwbmCcWNAs-TrWdO/view?usp=sharing</t>
  </si>
  <si>
    <t>https://drive.google.com/file/d/10rlygDvuDGAWyvPQq6JJTJgBVONlH9JH/view?usp=sharing</t>
  </si>
  <si>
    <t>https://drive.google.com/file/d/1IBBeKv-3M6QWacsg9-ifNlLeOZDfo_SG/view?usp=sharing</t>
  </si>
  <si>
    <t>1ad1e877</t>
  </si>
  <si>
    <t>Fiorentina vs Juventus - Serie A</t>
  </si>
  <si>
    <t>https://www.vidio.com/live/19404-serie-a?schedule_id=4725608</t>
  </si>
  <si>
    <t>https://drive.google.com/drive/folders/1P9u3spGBzBDUypmCMxw6RO5eoRszM1H4?usp=drive_link</t>
  </si>
  <si>
    <t>acf fiorentina; juventus fc; sports stream</t>
  </si>
  <si>
    <t>Nonton streaming pertandingan seru Fiorentina vs Juventus - Serie A. Saksikan aksi-aksi terbaik dari tim yang bersaing ketat untuk meraih kemenangan. Dapatkan informasi lengkap mengenai jadwal pertandingan dan hasil pertandingan terbaru hanya di Vidio.</t>
  </si>
  <si>
    <t>https://drive.google.com/file/d/1x2zYgM70tAZQsX9yp5_bX7Y62C8znfJc/view?usp=sharing</t>
  </si>
  <si>
    <t>https://drive.google.com/file/d/1Wc2JXOV5qDtwKgJqdWq5SNLt8M5A3tfX/view?usp=sharing</t>
  </si>
  <si>
    <t>https://drive.google.com/file/d/1i6g3huQ3Ve-hrSwaWFLyeW-WKmSJ2EaD/view?usp=sharing</t>
  </si>
  <si>
    <t>57defb58</t>
  </si>
  <si>
    <t>Inter vs Milan - Serie A</t>
  </si>
  <si>
    <t>https://www.vidio.com/live/19404-serie-a?schedule_id=4728932</t>
  </si>
  <si>
    <t>https://drive.google.com/drive/folders/1v4DPmotCIcKiPPk2AZ82r-uGVt2vLj0m?usp=drive_link</t>
  </si>
  <si>
    <t>fc internazionale milano; ac milan; sports stream</t>
  </si>
  <si>
    <t>Nonton streaming pertandingan seru Inter vs Milan - Serie A. Saksikan aksi-aksi terbaik dari tim yang bersaing ketat untuk meraih kemenangan. Dapatkan informasi lengkap mengenai jadwal pertandingan dan hasil pertandingan terbaru hanya di Vidio.</t>
  </si>
  <si>
    <t>https://drive.google.com/file/d/1yWV6KGa-hT159erWiZy9w9bu6Frg1wGv/view?usp=sharing</t>
  </si>
  <si>
    <t>https://drive.google.com/file/d/1KBxNq7ccJCjbW5e1m_AIM0nVanfPze7L/view?usp=sharing</t>
  </si>
  <si>
    <t>https://drive.google.com/file/d/1tHMsk9VePKZig1kyh4NgYEsPvNy7liwQ/view?usp=sharing</t>
  </si>
  <si>
    <t>bf78e324</t>
  </si>
  <si>
    <t>Lazio vs Lecce - Serie A</t>
  </si>
  <si>
    <t>https://www.vidio.com/live/19404-serie-a?schedule_id=4727016</t>
  </si>
  <si>
    <t>https://drive.google.com/drive/folders/1Zc2lN9WUKoQA8gw_75Or49871GtNJBy9?usp=drive_link</t>
  </si>
  <si>
    <t>ss lazio; us lecce; sports stream</t>
  </si>
  <si>
    <t>Nonton streaming pertandingan seru Lazio vs Lecce - Serie A. Saksikan aksi-aksi terbaik dari tim yang bersaing ketat untuk meraih kemenangan. Dapatkan informasi lengkap mengenai jadwal pertandingan dan hasil pertandingan terbaru hanya di Vidio.</t>
  </si>
  <si>
    <t>https://drive.google.com/file/d/1mbdCrYiNuEx0CLfRf1IquMsPCOv7stTo/view?usp=sharing</t>
  </si>
  <si>
    <t>https://drive.google.com/file/d/1nnSJuWA5rxKPeBTYLYv-B7w09BDPIQih/view?usp=sharing</t>
  </si>
  <si>
    <t>https://drive.google.com/file/d/1Niu3Zoi15XIajb5D6Rr5hu_wu9tThHZL/view?usp=sharing</t>
  </si>
  <si>
    <t>f1d59fcb</t>
  </si>
  <si>
    <t>Napoli vs Atalanta - Serie A</t>
  </si>
  <si>
    <t>https://www.vidio.com/live/19404-serie-a?schedule_id=4725609</t>
  </si>
  <si>
    <t>https://drive.google.com/drive/folders/109AtUO1pkkqmVRnOXIb622-VqJBbut0L?usp=drive_link</t>
  </si>
  <si>
    <t>ssc napoli; atalanta bergamasca calcio; sports stream</t>
  </si>
  <si>
    <t>Nonton streaming pertandingan seru Napoli vs Atalanta - Serie A. Saksikan aksi-aksi terbaik dari tim yang bersaing ketat untuk meraih kemenangan. Dapatkan informasi lengkap mengenai jadwal pertandingan dan hasil pertandingan terbaru hanya di Vidio.</t>
  </si>
  <si>
    <t>https://drive.google.com/file/d/10vpd5__Wm2_JQMzq8WwvxM64Kvhua9Qp/view?usp=sharing</t>
  </si>
  <si>
    <t>https://drive.google.com/file/d/1ajDNX583rMhIm03_cIMPXPTnKegaqQ3A/view?usp=sharing</t>
  </si>
  <si>
    <t>https://drive.google.com/file/d/1NbKMFc7xL6n7nSR440tQPe8CrGyGDxf6/view?usp=sharing</t>
  </si>
  <si>
    <t>c88b66ef</t>
  </si>
  <si>
    <t>Sassuolo vs Pisa - Serie A</t>
  </si>
  <si>
    <t>https://www.vidio.com/live/19404-serie-a?schedule_id=4728934</t>
  </si>
  <si>
    <t>https://drive.google.com/drive/folders/1Tx0zh8zfbB4j3oND_VN2iAMoVlCZTXOa?usp=drive_link</t>
  </si>
  <si>
    <t>us sassuolo calcio; Pisa SC; sports stream</t>
  </si>
  <si>
    <t>Nonton streaming pertandingan seru Sassuolo vs Pisa - Serie A. Saksikan aksi-aksi terbaik dari tim yang bersaing ketat untuk meraih kemenangan. Dapatkan informasi lengkap mengenai jadwal pertandingan dan hasil pertandingan terbaru hanya di Vidio.</t>
  </si>
  <si>
    <t>https://drive.google.com/file/d/1-cFIgepG-Q-jaaOyPzTurFq-hdJ2kXwF/view?usp=sharing</t>
  </si>
  <si>
    <t>https://drive.google.com/file/d/1_F7BKRBj7T3ygAhTNLJRT8VV6GRLrKpO/view?usp=sharing</t>
  </si>
  <si>
    <t>https://drive.google.com/file/d/1fHunLsKiGQjuJCYcu31w7vvfScDuePkr/view?usp=sharing</t>
  </si>
  <si>
    <t>6fcbdc04</t>
  </si>
  <si>
    <t>Torino vs Como - Serie A</t>
  </si>
  <si>
    <t>https://www.vidio.com/live/19404-serie-a?schedule_id=4728933</t>
  </si>
  <si>
    <t>https://drive.google.com/drive/folders/1wLX56lOR5f1J9BtHmC0GiFiHxflTzEUl?usp=drive_link</t>
  </si>
  <si>
    <t>torino fc; como; sports stream</t>
  </si>
  <si>
    <t>Nonton streaming pertandingan seru Torino vs Como - Serie A. Saksikan aksi-aksi terbaik dari tim yang bersaing ketat untuk meraih kemenangan. Dapatkan informasi lengkap mengenai jadwal pertandingan dan hasil pertandingan terbaru hanya di Vidio.</t>
  </si>
  <si>
    <t>https://drive.google.com/file/d/1JuCW3dQMvyTGl1qNqCC1qV5KHbaq7dPt/view?usp=sharing</t>
  </si>
  <si>
    <t>https://drive.google.com/file/d/1icfwn5FLhm4I3Nikt7PEry28488uOzyZ/view?usp=sharing</t>
  </si>
  <si>
    <t>63a9f61c</t>
  </si>
  <si>
    <t>Udinese vs Bologna - Serie A</t>
  </si>
  <si>
    <t>https://www.vidio.com/live/19404-serie-a?schedule_id=4725607</t>
  </si>
  <si>
    <t>https://drive.google.com/drive/folders/1CYOhianrRG1uDhwNM5_b28HKYYszDZZx?usp=drive_link</t>
  </si>
  <si>
    <t>udinese calcio; bologna fc 1909; sports stream</t>
  </si>
  <si>
    <t>Nonton streaming pertandingan seru Udinese vs Bologna - Serie A. Saksikan aksi-aksi terbaik dari tim yang bersaing ketat untuk meraih kemenangan. Dapatkan informasi lengkap mengenai jadwal pertandingan dan hasil pertandingan terbaru hanya di Vidio.</t>
  </si>
  <si>
    <t>https://drive.google.com/file/d/1_yeVERxsSIN9gM88ROoE3hLFBLs97emr/view?usp=sharing</t>
  </si>
  <si>
    <t>https://drive.google.com/file/d/1OJFmwjk5okkEZ8F20FONtvkmH0A0c9-j/view?usp=sharing</t>
  </si>
  <si>
    <t>https://drive.google.com/file/d/1JYL-EWaEEyWlIckRsT0zziBwtdaXhCei/view?usp=sharing</t>
  </si>
  <si>
    <t>e565b904</t>
  </si>
  <si>
    <t>Verona vs Parma - Serie A</t>
  </si>
  <si>
    <t>https://www.vidio.com/live/19404-serie-a?schedule_id=4725610</t>
  </si>
  <si>
    <t>https://drive.google.com/drive/folders/1AFJjk7T7eKhV1KmwA9cinBxdpd4c9VlE?usp=drive_link</t>
  </si>
  <si>
    <t>hellas verona fc; parma calcio; sports stream</t>
  </si>
  <si>
    <t>Nonton streaming pertandingan seru Verona vs Parma - Serie A. Saksikan aksi-aksi terbaik dari tim yang bersaing ketat untuk meraih kemenangan. Dapatkan informasi lengkap mengenai jadwal pertandingan dan hasil pertandingan terbaru hanya di Vidio.</t>
  </si>
  <si>
    <t>https://drive.google.com/file/d/1p_PlTuvyjlkpRYEZ-MBO59IIYaG37n4n/view?usp=sharing</t>
  </si>
  <si>
    <t>https://drive.google.com/file/d/14SerWscfcarBkKkFpR9KnDFQagDw_i11/view?usp=sharing</t>
  </si>
  <si>
    <t>f05d6222</t>
  </si>
  <si>
    <t>Atalanta vs Fiorentina - Serie A</t>
  </si>
  <si>
    <t>https://www.vidio.com/live/19404-serie-a?schedule_id=4741290</t>
  </si>
  <si>
    <t>https://drive.google.com/drive/folders/13VmsWYlmDaWpingv8XUWNTFqfRG4WZCp?usp=drive_link</t>
  </si>
  <si>
    <t>https://drive.google.com/drive/folders/145IhwfqlcpfOLrMqkCkNQ3_RVW4boDzF?usp=drive_link</t>
  </si>
  <si>
    <t>atalanta bergamasca calcio; acf fiorentina; sports stream</t>
  </si>
  <si>
    <t>Nonton streaming pertandingan seru Atalanta vs Fiorentina - Serie A. Saksikan aksi-aksi terbaik dari tim yang bersaing ketat untuk meraih kemenangan. Dapatkan informasi lengkap mengenai jadwal pertandingan dan hasil pertandingan terbaru hanya di Vidio.</t>
  </si>
  <si>
    <t>https://drive.google.com/file/d/1PPc7Cz29DMyL0zttwCaUvHyUyIp_H5Ij/view?usp=sharing</t>
  </si>
  <si>
    <t>https://drive.google.com/file/d/1dohXzsW3769W6vcuKagjs249OlDdNB7s/view?usp=sharing</t>
  </si>
  <si>
    <t>https://drive.google.com/file/d/1shmFFQyXKwnFbcw3-ot-a2r83_mpSv8q/view?usp=sharing</t>
  </si>
  <si>
    <t>799363c4</t>
  </si>
  <si>
    <t>Bologna vs Cremonese - Serie A</t>
  </si>
  <si>
    <t>https://www.vidio.com/live/19404-serie-a?schedule_id=4747192</t>
  </si>
  <si>
    <t>https://drive.google.com/drive/folders/1dcpxuFBvvLyW1PyerusOLpABl3gkhzEq?usp=drive_link</t>
  </si>
  <si>
    <t>bologna fc 1909; US Cremonese; sports stream</t>
  </si>
  <si>
    <t>Nonton streaming pertandingan seru Bologna vs Cremonese - Serie A. Saksikan aksi-aksi terbaik dari tim yang bersaing ketat untuk meraih kemenangan. Dapatkan informasi lengkap mengenai jadwal pertandingan dan hasil pertandingan terbaru hanya di Vidio.</t>
  </si>
  <si>
    <t>https://drive.google.com/file/d/1uZKPABt7MQhreRMPzxlZ73Uye8nDJPn5/view?usp=sharing</t>
  </si>
  <si>
    <t>https://drive.google.com/file/d/1fhB4ILVwJBw2GyFtGbBQbVSTuLmg70m2/view?usp=sharing</t>
  </si>
  <si>
    <t>https://drive.google.com/file/d/1MN_QSJxEtVHbhHFa5CU9UBlUgZCzU-86/view?usp=sharing</t>
  </si>
  <si>
    <t>11ab3940</t>
  </si>
  <si>
    <t>Como vs Sassuolo - Serie A</t>
  </si>
  <si>
    <t>https://www.vidio.com/live/19404-serie-a?schedule_id=4740998</t>
  </si>
  <si>
    <t>https://drive.google.com/drive/folders/1L6VNAnj6Yc5WC2M2drpHGBfVx0RG0UPh?usp=drive_link</t>
  </si>
  <si>
    <t>como; us sassuolo calcio; sports stream</t>
  </si>
  <si>
    <t>Nonton streaming pertandingan seru Como vs Sassuolo - Serie A. Saksikan aksi-aksi terbaik dari tim yang bersaing ketat untuk meraih kemenangan. Dapatkan informasi lengkap mengenai jadwal pertandingan dan hasil pertandingan terbaru hanya di Vidio.</t>
  </si>
  <si>
    <t>https://drive.google.com/file/d/1fKxJpC0rWzXqU-Eprtrhtb6R-g8-B0zQ/view?usp=sharing</t>
  </si>
  <si>
    <t>https://drive.google.com/file/d/1SqXRNAMN8pozmtRHcDJijTS_vcl6cyFs/view?usp=sharing</t>
  </si>
  <si>
    <t>https://drive.google.com/file/d/1u7GovhLEzdPYEfkBa5L8rUpoJRo_mpzz/view?usp=sharing</t>
  </si>
  <si>
    <t>740df024</t>
  </si>
  <si>
    <t>Genoa vs Verona - Serie A</t>
  </si>
  <si>
    <t>https://www.vidio.com/live/17938-serie-a?schedule_id=4741004</t>
  </si>
  <si>
    <t>https://drive.google.com/drive/folders/1JQUG3jmA-cToRQ_7dkvYEoNRdlE-81a4?usp=drive_link</t>
  </si>
  <si>
    <t>genoa cfc; hellas verona fc; sports stream</t>
  </si>
  <si>
    <t>Nonton streaming pertandingan seru Genoa vs Verona - Serie A. Saksikan aksi-aksi terbaik dari tim yang bersaing ketat untuk meraih kemenangan. Dapatkan informasi lengkap mengenai jadwal pertandingan dan hasil pertandingan terbaru hanya di Vidio.</t>
  </si>
  <si>
    <t>https://drive.google.com/file/d/1o07taey8-UsSPZXzfSeQH2LNePEVsJb6/view?usp=sharing</t>
  </si>
  <si>
    <t>https://drive.google.com/file/d/1TTJcKbSiy3h1epZIoar4gxFjQkgqgP9J/view?usp=sharing</t>
  </si>
  <si>
    <t>3f8b26d1</t>
  </si>
  <si>
    <t>Juventus vs Cagliari - Serie A</t>
  </si>
  <si>
    <t>https://www.vidio.com/live/19404-serie-a?schedule_id=4741000</t>
  </si>
  <si>
    <t>https://drive.google.com/drive/folders/1ivvId9BDG1iiHTFDqCyG6cGF35-TUHa6?usp=drive_link</t>
  </si>
  <si>
    <t>juventus fc; cagliari calcio; sports stream</t>
  </si>
  <si>
    <t>Nonton streaming pertandingan seru Juventus vs Cagliari - Serie A. Saksikan aksi-aksi terbaik dari tim yang bersaing ketat untuk meraih kemenangan. Dapatkan informasi lengkap mengenai jadwal pertandingan dan hasil pertandingan terbaru hanya di Vidio.</t>
  </si>
  <si>
    <t>https://drive.google.com/file/d/1mXxwrJpR92g-cy1ZQ7UugYKA3uuT0Ocy/view?usp=sharing</t>
  </si>
  <si>
    <t>https://drive.google.com/file/d/1AUgQcx1l88atfIGprjYkoNY1xYKq08Oo/view?usp=sharing</t>
  </si>
  <si>
    <t>https://drive.google.com/file/d/12m6mJZQJZx2kcw3UZYjuCFXSZQ-Tkw6J/view?usp=sharing</t>
  </si>
  <si>
    <t>c4862c7d</t>
  </si>
  <si>
    <t>Lecce vs Torino - Serie A</t>
  </si>
  <si>
    <t>https://www.vidio.com/live/19404-serie-a?schedule_id=4741002</t>
  </si>
  <si>
    <t>https://drive.google.com/drive/folders/1cPA3bxAgeDbMoUnVNgG4P3yhd2swKBf_?usp=drive_link</t>
  </si>
  <si>
    <t>us lecce; torino fc; sports stream</t>
  </si>
  <si>
    <t>Nonton streaming pertandingan seru Lecce vs Torino - Serie A. Saksikan aksi-aksi terbaik dari tim yang bersaing ketat untuk meraih kemenangan. Dapatkan informasi lengkap mengenai jadwal pertandingan dan hasil pertandingan terbaru hanya di Vidio.</t>
  </si>
  <si>
    <t>https://drive.google.com/file/d/1a44nB01j4nr_C4Mww-K0tyrYREqUjGW8/view?usp=sharing</t>
  </si>
  <si>
    <t>https://drive.google.com/file/d/15Wa3rjDdrDd1hbCC6UQp3PnRSoFfFCPP/view?usp=sharing</t>
  </si>
  <si>
    <t>7e1a71bf</t>
  </si>
  <si>
    <t>Milan vs Lazio - Serie A</t>
  </si>
  <si>
    <t>https://www.vidio.com/live/19404-serie-a?schedule_id=4741001</t>
  </si>
  <si>
    <t>https://drive.google.com/drive/folders/1DrOFGg-2qsC-9AXoBMr1aWzeiosUOTGM?usp=drive_link</t>
  </si>
  <si>
    <t>ac milan; ss lazio; sports stream</t>
  </si>
  <si>
    <t>Nonton streaming pertandingan seru Milan vs Lazio - Serie A. Saksikan aksi-aksi terbaik dari tim yang bersaing ketat untuk meraih kemenangan. Dapatkan informasi lengkap mengenai jadwal pertandingan dan hasil pertandingan terbaru hanya di Vidio.</t>
  </si>
  <si>
    <t>https://drive.google.com/file/d/1j8_zydbIzmj984UN0eot79rD9rBuVAk4/view?usp=sharing</t>
  </si>
  <si>
    <t>https://drive.google.com/file/d/1Qo-WztpamI-ohv52-RWk-2yxj9DPKwxd/view?usp=sharing</t>
  </si>
  <si>
    <t>https://drive.google.com/file/d/16tVT441S7CqUxgpP5_VM-PnBpx1DFImg/view?usp=sharing</t>
  </si>
  <si>
    <t>3a3eb854</t>
  </si>
  <si>
    <t>Parma vs Udinese - Serie A</t>
  </si>
  <si>
    <t>https://www.vidio.com/live/19404-serie-a?schedule_id=4740999</t>
  </si>
  <si>
    <t>https://drive.google.com/drive/folders/12Dg2RHhdS5t1aw5fc97r2eebHvgBHzGk?usp=drive_link</t>
  </si>
  <si>
    <t>parma calcio; udinese calcio; sports stream</t>
  </si>
  <si>
    <t>Nonton streaming pertandingan seru Parma vs Udinese - Serie A. Saksikan aksi-aksi terbaik dari tim yang bersaing ketat untuk meraih kemenangan. Dapatkan informasi lengkap mengenai jadwal pertandingan dan hasil pertandingan terbaru hanya di Vidio.</t>
  </si>
  <si>
    <t>https://drive.google.com/file/d/1Uzg6zetglxy65UVN9MwepvB-WnNRFNIn/view?usp=sharing</t>
  </si>
  <si>
    <t>https://drive.google.com/file/d/1CZNbD29rDpisdW6Sks44lDMM4aomuUOG/view?usp=sharing</t>
  </si>
  <si>
    <t>0890a0fe</t>
  </si>
  <si>
    <t>Pisa vs Inter - Serie A</t>
  </si>
  <si>
    <t>https://www.vidio.com/live/19404-serie-a?schedule_id=4741003</t>
  </si>
  <si>
    <t>https://drive.google.com/drive/folders/1uzUmowXK4cRHavhmAYE2jTDti7w41T3m?usp=drive_link</t>
  </si>
  <si>
    <t>Pisa SC; fc internazionale milano; sports stream</t>
  </si>
  <si>
    <t>Nonton streaming pertandingan seru Pisa vs Inter - Serie A. Saksikan aksi-aksi terbaik dari tim yang bersaing ketat untuk meraih kemenangan. Dapatkan informasi lengkap mengenai jadwal pertandingan dan hasil pertandingan terbaru hanya di Vidio.</t>
  </si>
  <si>
    <t>https://drive.google.com/file/d/1AkTfH1rFhUSp4K2SkRZR31ac-nOT2oaN/view?usp=sharing</t>
  </si>
  <si>
    <t>https://drive.google.com/file/d/1JTFvVrWsp_AT1Z__2LT7mOG4pXcqYGfT/view?usp=sharing</t>
  </si>
  <si>
    <t>https://drive.google.com/file/d/1_T8TXpL4zpueVGSwMZNhr11zYxZcyTz7/view?usp=sharing</t>
  </si>
  <si>
    <t>f82fea8e</t>
  </si>
  <si>
    <t>Roma vs Napoli - Serie A</t>
  </si>
  <si>
    <t>https://www.vidio.com/live/19404-serie-a?schedule_id=4745539</t>
  </si>
  <si>
    <t>https://drive.google.com/drive/folders/1ReSAwd7Cm1GSLtFKa3dNS-oLeXqlnaoV?usp=drive_link</t>
  </si>
  <si>
    <t>as roma; ssc napoli; sports stream</t>
  </si>
  <si>
    <t>Nonton streaming pertandingan seru Roma vs Napoli - Serie A. Saksikan aksi-aksi terbaik dari tim yang bersaing ketat untuk meraih kemenangan. Dapatkan informasi lengkap mengenai jadwal pertandingan dan hasil pertandingan terbaru hanya di Vidio.</t>
  </si>
  <si>
    <t>https://drive.google.com/file/d/1pglRFLgcP4BLGhzz6SSggoJcV1nThQ8X/view?usp=sharing</t>
  </si>
  <si>
    <t>https://drive.google.com/file/d/1npZWNuglCf1zTJ2AqWXN8Tzic8pdTGHP/view?usp=sharing</t>
  </si>
  <si>
    <t>https://drive.google.com/file/d/1-nR8NthvmdQ1WAo-2eWWhrUdPYubUxCp/view?usp=sharing</t>
  </si>
  <si>
    <t>6b7f6e69</t>
  </si>
  <si>
    <t>Cagliari vs Roma - Serie A</t>
  </si>
  <si>
    <t>https://www.vidio.com/live/19404-serie-a?schedule_id=4760848</t>
  </si>
  <si>
    <t>https://drive.google.com/drive/folders/16we-uLcrtPzrxPRMSIesQ9W2OMlbV0cm?usp=drive_link</t>
  </si>
  <si>
    <t>https://drive.google.com/drive/folders/1gHWqyjLjPOufW0iC77V3Lom1OyhH7SVI?usp=drive_link</t>
  </si>
  <si>
    <t>cagliari calcio; as roma; sports stream</t>
  </si>
  <si>
    <t>Nonton streaming pertandingan seru Cagliari vs Roma - Serie A. Saksikan aksi-aksi terbaik dari tim yang bersaing ketat untuk meraih kemenangan. Dapatkan informasi lengkap mengenai jadwal pertandingan dan hasil pertandingan terbaru hanya di Vidio.</t>
  </si>
  <si>
    <t>https://drive.google.com/file/d/1ThMAWkyQE5RJACifYuEbWu_jvh5ES97a/view?usp=sharing</t>
  </si>
  <si>
    <t>https://drive.google.com/file/d/1EtOt9uDugAH4Fd_US2AyipqHqKYYiptM/view?usp=sharing</t>
  </si>
  <si>
    <t>https://drive.google.com/file/d/1vg7faTU1PA6h84Ykhk4dRZcwGwRKqStr/view?usp=sharing</t>
  </si>
  <si>
    <t>b3875762</t>
  </si>
  <si>
    <t>Cremonese vs Lecce - Serie A</t>
  </si>
  <si>
    <t>https://www.vidio.com/live/19404-serie-a?schedule_id=4760846</t>
  </si>
  <si>
    <t>https://drive.google.com/drive/folders/1WeS8xzbo0fa9aZuxprsu4_Zfvy4UhNVa?usp=drive_link</t>
  </si>
  <si>
    <t>US Cremonese; us lecce; sports stream</t>
  </si>
  <si>
    <t>Nonton streaming pertandingan seru Cremonese vs Lecce - Serie A. Saksikan aksi-aksi terbaik dari tim yang bersaing ketat untuk meraih kemenangan. Dapatkan informasi lengkap mengenai jadwal pertandingan dan hasil pertandingan terbaru hanya di Vidio.</t>
  </si>
  <si>
    <t>https://drive.google.com/file/d/1VbKglIFnYSLKcmGBMKZ2H0XzFn8kWLaq/view?usp=sharing</t>
  </si>
  <si>
    <t>https://drive.google.com/file/d/1444Bqwauy_h2XdA-FOuLzvyDyyMJFsSI/view?usp=sharing</t>
  </si>
  <si>
    <t>https://drive.google.com/file/d/1-ieUop0z4BCKlEEErc7NEAFWAhr1vVJA/view?usp=sharing</t>
  </si>
  <si>
    <t>d66e5cca</t>
  </si>
  <si>
    <t>Inter vs Como - Serie A</t>
  </si>
  <si>
    <t>https://www.vidio.com/live/19404-serie-a?schedule_id=4759279</t>
  </si>
  <si>
    <t>https://drive.google.com/drive/folders/1rhYWOcyiSWDsKsxWERewtZxwpXsg7J_W?usp=drive_link</t>
  </si>
  <si>
    <t>fc internazionale milano; como; sports stream</t>
  </si>
  <si>
    <t>Nonton streaming pertandingan seru Inter vs Como - Serie A. Saksikan aksi-aksi terbaik dari tim yang bersaing ketat untuk meraih kemenangan. Dapatkan informasi lengkap mengenai jadwal pertandingan dan hasil pertandingan terbaru hanya di Vidio.</t>
  </si>
  <si>
    <t>https://drive.google.com/file/d/13OGrEHRxACgO2GOWrF0fwB80U8a_Q_-F/view?usp=sharing</t>
  </si>
  <si>
    <t>https://drive.google.com/file/d/12C6gsdoHzWierDAXqKwOpVMsWf4uIWA4/view?usp=sharing</t>
  </si>
  <si>
    <t>https://drive.google.com/file/d/1YxKLnfIj8eGfVtOBuff6v4hmfFvMQe90/view?usp=sharing</t>
  </si>
  <si>
    <t>744b4bd0</t>
  </si>
  <si>
    <t>Lazio vs Bologna - Serie A</t>
  </si>
  <si>
    <t>https://www.vidio.com/live/19404-serie-a?schedule_id=4763985</t>
  </si>
  <si>
    <t>https://drive.google.com/drive/folders/1esJG3pX8-_N0JYZ0GyoT637X6ijOy-vT?usp=drive_link</t>
  </si>
  <si>
    <t>ss lazio; bologna fc 1909; sports stream</t>
  </si>
  <si>
    <t>Nonton streaming pertandingan seru Lazio vs Bologna - Serie A. Saksikan aksi-aksi terbaik dari tim yang bersaing ketat untuk meraih kemenangan. Dapatkan informasi lengkap mengenai jadwal pertandingan dan hasil pertandingan terbaru hanya di Vidio.</t>
  </si>
  <si>
    <t>https://drive.google.com/file/d/1gnWLj4ca4P_m49HEW1dOq0QydB-yQEoJ/view?usp=sharing</t>
  </si>
  <si>
    <t>https://drive.google.com/file/d/18Mfv5u9hB0mjM9XAbjMylC8u6s6tRpPO/view?usp=sharing</t>
  </si>
  <si>
    <t>https://drive.google.com/file/d/1X2uCjuHj_iBkxnFXQeqsf5mQGT8gsO-c/view?usp=sharing</t>
  </si>
  <si>
    <t>7d96a12a</t>
  </si>
  <si>
    <t>Napoli vs Juventus - Serie A</t>
  </si>
  <si>
    <t>https://www.vidio.com/live/19404-serie-a?schedule_id=4765133</t>
  </si>
  <si>
    <t>https://drive.google.com/drive/folders/105tebk0Bph2cbMNc_4fK6e3TX2CRJdgL?usp=drive_link</t>
  </si>
  <si>
    <t>ssc napoli; juventus fc; sports stream</t>
  </si>
  <si>
    <t>Nonton streaming pertandingan seru Napoli vs Juventus - Serie A. Saksikan aksi-aksi terbaik dari tim yang bersaing ketat untuk meraih kemenangan. Dapatkan informasi lengkap mengenai jadwal pertandingan dan hasil pertandingan terbaru hanya di Vidio.</t>
  </si>
  <si>
    <t>https://drive.google.com/file/d/1r_bQpmkXeDP9vwpbddGMzG4RUXl_EBCi/view?usp=sharing</t>
  </si>
  <si>
    <t>https://drive.google.com/file/d/1dWXjeOIxJU6XZmMa8IqgGdxtrBTd9_o3/view?usp=sharing</t>
  </si>
  <si>
    <t>https://drive.google.com/file/d/11gIJ4_WZOFClkPqH5emx2QE3s3CYRliZ/view?usp=sharing</t>
  </si>
  <si>
    <t>4152048e</t>
  </si>
  <si>
    <t>Pisa vs Parma - Serie A</t>
  </si>
  <si>
    <t>https://www.vidio.com/live/19404-serie-a?schedule_id=4768860</t>
  </si>
  <si>
    <t>https://drive.google.com/drive/folders/1DGYfdbKwv2p4HtV_pnOjGEKIX92GbhDT?usp=drive_link</t>
  </si>
  <si>
    <t>Pisa SC; parma calcio; sports stream</t>
  </si>
  <si>
    <t>Nonton streaming pertandingan seru Pisa vs Parma - Serie A. Saksikan aksi-aksi terbaik dari tim yang bersaing ketat untuk meraih kemenangan. Dapatkan informasi lengkap mengenai jadwal pertandingan dan hasil pertandingan terbaru hanya di Vidio.</t>
  </si>
  <si>
    <t>https://drive.google.com/file/d/1TM3f3ZXiOlgk-bSBTI_RZmw-QRKJiV_V/view?usp=sharing</t>
  </si>
  <si>
    <t>https://drive.google.com/file/d/116LgfPMAK7TjRpVWPTlkIjuczHaT-6d_/view?usp=sharing</t>
  </si>
  <si>
    <t>f855664f</t>
  </si>
  <si>
    <t>Sassuolo vs Fiorentina - Serie A</t>
  </si>
  <si>
    <t>https://www.vidio.com/live/19404-serie-a?schedule_id=4759278</t>
  </si>
  <si>
    <t>https://drive.google.com/drive/folders/1nNFE3HsNT73GcFafY22UniXoEK3SnVip?usp=drive_link</t>
  </si>
  <si>
    <t>us sassuolo calcio; acf fiorentina; sports stream</t>
  </si>
  <si>
    <t>Nonton streaming pertandingan seru Sassuolo vs Fiorentina - Serie A. Saksikan aksi-aksi terbaik dari tim yang bersaing ketat untuk meraih kemenangan. Dapatkan informasi lengkap mengenai jadwal pertandingan dan hasil pertandingan terbaru hanya di Vidio.</t>
  </si>
  <si>
    <t>https://drive.google.com/file/d/1mj739T0UXMYLo1ikBqeUAxhuccW0Vphp/view?usp=sharing</t>
  </si>
  <si>
    <t>https://drive.google.com/file/d/17wjkCUJQDeVKF4RGrMqoIAUWLyj3J3hH/view?usp=sharing</t>
  </si>
  <si>
    <t>https://drive.google.com/file/d/1IaCxRAyB31lTw9kbShooSTFEgITLFhZn/view?usp=sharing</t>
  </si>
  <si>
    <t>f9e95867</t>
  </si>
  <si>
    <t>Torino vs Milan - Serie A</t>
  </si>
  <si>
    <t>https://www.vidio.com/live/19404-serie-a?schedule_id=4768862</t>
  </si>
  <si>
    <t>https://drive.google.com/drive/folders/1goB9OCB4szXT-WKkECadbkvwi76Rcfeq?usp=drive_link</t>
  </si>
  <si>
    <t>torino fc; ac milan; sports stream</t>
  </si>
  <si>
    <t>Nonton streaming pertandingan seru Torino vs Milan - Serie A. Saksikan aksi-aksi terbaik dari tim yang bersaing ketat untuk meraih kemenangan. Dapatkan informasi lengkap mengenai jadwal pertandingan dan hasil pertandingan terbaru hanya di Vidio.</t>
  </si>
  <si>
    <t>https://drive.google.com/file/d/1ICOcmp2BLGgO1q3wOwE0J5IQv7qBfYi3/view?usp=sharing</t>
  </si>
  <si>
    <t>https://drive.google.com/file/d/1bjYZPyyNYzhYuwXoK2Vmp1ufgMCyIhXY/view?usp=sharing</t>
  </si>
  <si>
    <t>https://drive.google.com/file/d/1fjoLRZ1_GSPBBWCO65fjw-D5wDUWLepz/view?usp=sharing</t>
  </si>
  <si>
    <t>0c4dcdfb</t>
  </si>
  <si>
    <t>Udinese vs Genoa - Serie A</t>
  </si>
  <si>
    <t>https://www.vidio.com/live/19404-serie-a?schedule_id=4768861</t>
  </si>
  <si>
    <t>https://drive.google.com/drive/folders/1uTLa4-23Hyj4enjT7nmeE5Z8SvRO5-UA?usp=drive_link</t>
  </si>
  <si>
    <t>udinese calcio; genoa cfc; sports stream</t>
  </si>
  <si>
    <t>Nonton streaming pertandingan seru Udinese vs Genoa - Serie A. Saksikan aksi-aksi terbaik dari tim yang bersaing ketat untuk meraih kemenangan. Dapatkan informasi lengkap mengenai jadwal pertandingan dan hasil pertandingan terbaru hanya di Vidio.</t>
  </si>
  <si>
    <t>https://drive.google.com/file/d/1fxUnDmLqju3da3q1qsfCylndDDE3ocCS/view?usp=sharing</t>
  </si>
  <si>
    <t>https://drive.google.com/file/d/19hRetUZWTDOJzJoUtcz9RRUGkPF3BkIv/view?usp=sharing</t>
  </si>
  <si>
    <t>7ee72486</t>
  </si>
  <si>
    <t>Verona vs Atalanta - Serie A</t>
  </si>
  <si>
    <t>https://www.vidio.com/live/19404-serie-a?schedule_id=4760171</t>
  </si>
  <si>
    <t>https://drive.google.com/drive/folders/1yuJGxMVPvpPGg_QB0nin_P9F7UqsTB0v?usp=drive_link</t>
  </si>
  <si>
    <t>hellas verona fc; atalanta bergamasca calcio; sports stream</t>
  </si>
  <si>
    <t>Nonton streaming pertandingan seru Verona vs Atalanta - Serie A. Saksikan aksi-aksi terbaik dari tim yang bersaing ketat untuk meraih kemenangan. Dapatkan informasi lengkap mengenai jadwal pertandingan dan hasil pertandingan terbaru hanya di Vidio.</t>
  </si>
  <si>
    <t>https://drive.google.com/file/d/1vmT_R9b2PI4zZCKCa1y4mPx09Uh5bfHW/view?usp=sharing</t>
  </si>
  <si>
    <t>https://drive.google.com/file/d/1DZvcoGqc38cY0_rrhJYWz_QhWK9SoLlJ/view?usp=sharing</t>
  </si>
  <si>
    <t>1a62f607</t>
  </si>
  <si>
    <t>Atalanta vs Cagliari - Serie A</t>
  </si>
  <si>
    <t>https://www.vidio.com/live/19404-serie-a?schedule_id=4773709</t>
  </si>
  <si>
    <t>https://drive.google.com/drive/folders/1N71Pwwk6SzzRJ7-NFEOq-rsjs6k2uwO_?usp=drive_link</t>
  </si>
  <si>
    <t>https://drive.google.com/file/d/1nOxPPA20RmOj0AUz2AJvR96GZGmDtC6L/view?usp=drive_link</t>
  </si>
  <si>
    <t>atalanta bergamasca calcio; cagliari calcio; sports stream</t>
  </si>
  <si>
    <t>Nonton streaming pertandingan seru Atalanta vs Cagliari - Serie A. Saksikan aksi-aksi terbaik dari tim yang bersaing ketat untuk meraih kemenangan. Dapatkan informasi lengkap mengenai jadwal pertandingan dan hasil pertandingan terbaru hanya di Vidio.</t>
  </si>
  <si>
    <t>https://thumbor.prod.vidiocdn.com/DTofw3VLDoVuPHBtI0FAk2Td0Y0=/filters:quality(70)/vidio-media-production/uploads/image/source/51910/e57218.png</t>
  </si>
  <si>
    <t>https://drive.google.com/file/d/1nOxPPA20RmOj0AUz2AJvR96GZGmDtC6L/view?usp=sharing</t>
  </si>
  <si>
    <t>https://drive.google.com/file/d/1j9Uv_y76cl9wiiLiwPc2ToG9nkLJHRD0/view?usp=sharing</t>
  </si>
  <si>
    <t>b57a6dd9</t>
  </si>
  <si>
    <t>Bologna vs Juventus - Serie A</t>
  </si>
  <si>
    <t>https://www.vidio.com/live/19404-serie-a?schedule_id=4780170</t>
  </si>
  <si>
    <t>https://drive.google.com/drive/folders/11tY2G9PGtUIAD8CNkPCKqM0yYmnnfJpM?usp=drive_link</t>
  </si>
  <si>
    <t>https://drive.google.com/file/d/1YQ404xVURiQd4IW0oNl0Fur01K_4AIux/view?usp=drive_link</t>
  </si>
  <si>
    <t>bologna fc 1909; juventus fc; sports stream</t>
  </si>
  <si>
    <t>Nonton streaming pertandingan seru Bologna vs Juventus - Serie A. Saksikan aksi-aksi terbaik dari tim yang bersaing ketat untuk meraih kemenangan. Dapatkan informasi lengkap mengenai jadwal pertandingan dan hasil pertandingan terbaru hanya di Vidio.</t>
  </si>
  <si>
    <t>https://thumbor.prod.vidiocdn.com/Hjglqui4kMMJPyyBsz2dNWJ5wR8=/filters:quality(70)/vidio-media-production/uploads/image/source/51919/6e99f5.png</t>
  </si>
  <si>
    <t>https://drive.google.com/file/d/1YQ404xVURiQd4IW0oNl0Fur01K_4AIux/view?usp=sharing</t>
  </si>
  <si>
    <t>https://drive.google.com/file/d/1RK926h2vqSOyGRnufYFemcy_yhWuUSDd/view?usp=sharing</t>
  </si>
  <si>
    <t>bb5feaa8</t>
  </si>
  <si>
    <t>Fiorentina vs Verona - Serie A</t>
  </si>
  <si>
    <t>https://www.vidio.com/live/17939-serie-a?schedule_id=4773712</t>
  </si>
  <si>
    <t>https://thumbor.prod.vidiocdn.com/2uTM7JVT4tZZfmVx5qJNo8vPjDE=/filters:quality(70)/vidio-media-production/uploads/image/source/51895/8a3531.png</t>
  </si>
  <si>
    <t>https://drive.google.com/file/d/1JRQ0nlPrkL1sBreSPGNJ1_Jjfu5-fBLr/view?usp=drive_link</t>
  </si>
  <si>
    <t>acf fiorentina; hellas verona fc; sports stream</t>
  </si>
  <si>
    <t>Nonton streaming pertandingan seru Fiorentina vs Verona - Serie A. Saksikan aksi-aksi terbaik dari tim yang bersaing ketat untuk meraih kemenangan. Dapatkan informasi lengkap mengenai jadwal pertandingan dan hasil pertandingan terbaru hanya di Vidio.</t>
  </si>
  <si>
    <t>https://drive.google.com/file/d/1JRQ0nlPrkL1sBreSPGNJ1_Jjfu5-fBLr/view?usp=sharing</t>
  </si>
  <si>
    <t>a500a1f8</t>
  </si>
  <si>
    <t>Genoa vs Inter - Serie A</t>
  </si>
  <si>
    <t>https://www.vidio.com/live/19404-serie-a?schedule_id=4779476</t>
  </si>
  <si>
    <t>https://drive.google.com/drive/folders/1N-6StK55mreegrJ-zXW0DknMDVm25LkQ?usp=drive_link</t>
  </si>
  <si>
    <t>https://drive.google.com/file/d/1cu07KzP1uXCW9s8rjws_rTJWby2vFjc6/view?usp=drive_link</t>
  </si>
  <si>
    <t>genoa cfc; fc internazionale milano; sports stream</t>
  </si>
  <si>
    <t>Nonton streaming pertandingan seru Genoa vs Inter - Serie A. Saksikan aksi-aksi terbaik dari tim yang bersaing ketat untuk meraih kemenangan. Dapatkan informasi lengkap mengenai jadwal pertandingan dan hasil pertandingan terbaru hanya di Vidio.</t>
  </si>
  <si>
    <t>https://thumbor.prod.vidiocdn.com/YmxBC6FQSCt2fZZ4mf_6VpEkYQ8=/filters:quality(70)/vidio-media-production/uploads/image/source/51917/38c7c5.png</t>
  </si>
  <si>
    <t>https://drive.google.com/file/d/1cu07KzP1uXCW9s8rjws_rTJWby2vFjc6/view?usp=sharing</t>
  </si>
  <si>
    <t>https://drive.google.com/file/d/1qyHtTinFNX8K0mSLaihrETgr8w_GO6pE/view?usp=sharing</t>
  </si>
  <si>
    <t>90b5b81e</t>
  </si>
  <si>
    <t>Lecce vs Pisa - Serie A</t>
  </si>
  <si>
    <t>https://www.vidio.com/live/19404-serie-a?schedule_id=4773706</t>
  </si>
  <si>
    <t>https://thumbor.prod.vidiocdn.com/ezB71DESILlE9_q8NKNT6FNUV0c=/filters:quality(70)/vidio-media-production/uploads/image/source/51908/738294.png</t>
  </si>
  <si>
    <t>https://drive.google.com/file/d/16vfE246Bf-kmCblJaJcblPqsZ_oAkIWI/view?usp=drive_link</t>
  </si>
  <si>
    <t>us lecce; Pisa SC; sports stream</t>
  </si>
  <si>
    <t>Nonton streaming pertandingan seru Lecce vs Pisa - Serie A. Saksikan aksi-aksi terbaik dari tim yang bersaing ketat untuk meraih kemenangan. Dapatkan informasi lengkap mengenai jadwal pertandingan dan hasil pertandingan terbaru hanya di Vidio.</t>
  </si>
  <si>
    <t>https://drive.google.com/file/d/16vfE246Bf-kmCblJaJcblPqsZ_oAkIWI/view?usp=sharing</t>
  </si>
  <si>
    <t>27daef00</t>
  </si>
  <si>
    <t>Milan vs Sassuolo - Serie A</t>
  </si>
  <si>
    <t>https://www.vidio.com/live/19404-serie-a?schedule_id=4773710</t>
  </si>
  <si>
    <t>https://drive.google.com/drive/folders/1adtqrZEbNDH6gYz2aVk-rXuaCBvbgIBG?usp=drive_link</t>
  </si>
  <si>
    <t>https://drive.google.com/file/d/1YgbXrFFReBwViAoclUkNFQ9a5NFTKXBD/view?usp=drive_link</t>
  </si>
  <si>
    <t>ac milan; us sassuolo calcio; sports stream</t>
  </si>
  <si>
    <t>Nonton streaming pertandingan seru Milan vs Sassuolo - Serie A. Saksikan aksi-aksi terbaik dari tim yang bersaing ketat untuk meraih kemenangan. Dapatkan informasi lengkap mengenai jadwal pertandingan dan hasil pertandingan terbaru hanya di Vidio.</t>
  </si>
  <si>
    <t>https://thumbor.prod.vidiocdn.com/xpxfsQiSbug93fKglM86xLJ9vr0=/filters:quality(70)/vidio-media-production/uploads/image/source/51911/c997f5.png</t>
  </si>
  <si>
    <t>https://drive.google.com/file/d/1YgbXrFFReBwViAoclUkNFQ9a5NFTKXBD/view?usp=sharing</t>
  </si>
  <si>
    <t>https://drive.google.com/file/d/1yEeTLdSz9LIheVsNPOKRZ849ZOAc5Mtu/view?usp=sharing</t>
  </si>
  <si>
    <t>3e6d873b</t>
  </si>
  <si>
    <t>Parma vs Lazio - Serie A</t>
  </si>
  <si>
    <t>https://www.vidio.com/live/19404-serie-a?schedule_id=4773708</t>
  </si>
  <si>
    <t>https://thumbor.prod.vidiocdn.com/wy1z3-tOedq8vJumuV15KDul2B4=/filters:quality(70)/vidio-media-production/uploads/image/source/51909/2fe029.png</t>
  </si>
  <si>
    <t>https://drive.google.com/file/d/18n2SrB4BQ0FTG77XVn8_O3RjTGdRTMMj/view?usp=drive_link</t>
  </si>
  <si>
    <t>parma calcio; ss lazio; sports stream</t>
  </si>
  <si>
    <t>Nonton streaming pertandingan seru Parma vs Lazio - Serie A. Saksikan aksi-aksi terbaik dari tim yang bersaing ketat untuk meraih kemenangan. Dapatkan informasi lengkap mengenai jadwal pertandingan dan hasil pertandingan terbaru hanya di Vidio.</t>
  </si>
  <si>
    <t>https://drive.google.com/file/d/18n2SrB4BQ0FTG77XVn8_O3RjTGdRTMMj/view?usp=sharing</t>
  </si>
  <si>
    <t>abfdfda4</t>
  </si>
  <si>
    <t>Roma vs Como - Serie A</t>
  </si>
  <si>
    <t>https://www.vidio.com/live/19404-serie-a?schedule_id=4780171</t>
  </si>
  <si>
    <t>https://drive.google.com/drive/folders/1D_HtEEjzcSCTMpY8iI6ajeuQYekdUHp5?usp=drive_link</t>
  </si>
  <si>
    <t>https://drive.google.com/file/d/1lGOZxcY80T9N_otoatSGRtKna29xRd7x/view?usp=drive_link</t>
  </si>
  <si>
    <t>as roma; como; sports stream</t>
  </si>
  <si>
    <t>Nonton streaming pertandingan seru Roma vs Como - Serie A. Saksikan aksi-aksi terbaik dari tim yang bersaing ketat untuk meraih kemenangan. Dapatkan informasi lengkap mengenai jadwal pertandingan dan hasil pertandingan terbaru hanya di Vidio.</t>
  </si>
  <si>
    <t>https://thumbor.prod.vidiocdn.com/pYRkf-32x0UftG_PuREgOTmfP6A=/filters:quality(70)/vidio-media-production/uploads/image/source/51918/bc3660.png</t>
  </si>
  <si>
    <t>https://drive.google.com/file/d/1lGOZxcY80T9N_otoatSGRtKna29xRd7x/view?usp=sharing</t>
  </si>
  <si>
    <t>https://drive.google.com/file/d/1CqRFBrntqxcEVm_kXVLRYRd_fRiDAi_a/view?usp=sharing</t>
  </si>
  <si>
    <t>e9136ad4</t>
  </si>
  <si>
    <t>Torino vs Cremonese - Serie A</t>
  </si>
  <si>
    <t>https://www.vidio.com/live/19404-serie-a?schedule_id=4773707</t>
  </si>
  <si>
    <t>https://drive.google.com/drive/folders/1kvE3H1UHlMmm1_EA1V4MxjpnkIwka-x8?usp=drive_link</t>
  </si>
  <si>
    <t>https://drive.google.com/file/d/1JeJYNCSuVD7pru_KZ-GZkMLSIj3Whv53/view?usp=drive_link</t>
  </si>
  <si>
    <t>torino fc; US Cremonese; sports stream</t>
  </si>
  <si>
    <t>Nonton streaming pertandingan seru Torino vs Cremonese - Serie A. Saksikan aksi-aksi terbaik dari tim yang bersaing ketat untuk meraih kemenangan. Dapatkan informasi lengkap mengenai jadwal pertandingan dan hasil pertandingan terbaru hanya di Vidio.</t>
  </si>
  <si>
    <t>https://thumbor.prod.vidiocdn.com/2ZlCb5XfnDbgh6z4OV8x9yJThog=/filters:quality(70)/vidio-media-production/uploads/image/source/51907/9f989f.png</t>
  </si>
  <si>
    <t>https://drive.google.com/file/d/1JeJYNCSuVD7pru_KZ-GZkMLSIj3Whv53/view?usp=sharing</t>
  </si>
  <si>
    <t>https://drive.google.com/file/d/1mvSpZ3se5yIDGcR5kvfZIA7LKQ8ClEb-/view?usp=sharing</t>
  </si>
  <si>
    <t>8da7f00e</t>
  </si>
  <si>
    <t>Udinese vs Napoli - Serie A</t>
  </si>
  <si>
    <t>https://www.vidio.com/live/19404-serie-a?schedule_id=4773711</t>
  </si>
  <si>
    <t>https://drive.google.com/drive/folders/1eVfzRwlUngbAOJzjD_6G2tOkWiMjEJzF?usp=drive_link</t>
  </si>
  <si>
    <t>https://drive.google.com/file/d/1kyhh7KpPKhQ2xg1oSgLNfbK9Us5NJzd3/view?usp=drive_link</t>
  </si>
  <si>
    <t>udinese calcio; ssc napoli; sports stream</t>
  </si>
  <si>
    <t>Nonton streaming pertandingan seru Udinese vs Napoli - Serie A. Saksikan aksi-aksi terbaik dari tim yang bersaing ketat untuk meraih kemenangan. Dapatkan informasi lengkap mengenai jadwal pertandingan dan hasil pertandingan terbaru hanya di Vidio.</t>
  </si>
  <si>
    <t>https://thumbor.prod.vidiocdn.com/XILMdCNL_t4jixFR8Z6rtHEOvzg=/filters:quality(70)/vidio-media-production/uploads/image/source/51913/cc5a8a.png</t>
  </si>
  <si>
    <t>https://drive.google.com/file/d/1kyhh7KpPKhQ2xg1oSgLNfbK9Us5NJzd3/view?usp=sharing</t>
  </si>
  <si>
    <t>https://drive.google.com/file/d/1BHJ0MkSxntN-XOpCyV6QosNW4zvx8Y40/view?usp=sharing</t>
  </si>
  <si>
    <t>eb51e4cb</t>
  </si>
  <si>
    <t>Cagliari vs Pisa - Serie A</t>
  </si>
  <si>
    <t>https://www.vidio.com/live/19404-serie-a?schedule_id=4783763</t>
  </si>
  <si>
    <t>cagliari calcio; Pisa SC; sports stream</t>
  </si>
  <si>
    <t>Nonton streaming pertandingan seru Cagliari vs Pisa - Serie A. Saksikan aksi-aksi terbaik dari tim yang bersaing ketat untuk meraih kemenangan. Dapatkan informasi lengkap mengenai jadwal pertandingan dan hasil pertandingan terbaru hanya di Vidio.</t>
  </si>
  <si>
    <t>https://thumbor.prod.vidiocdn.com/zx3VLSJIIChS46nZdIGo6jNjyKw=/filters:quality(70)/vidio-media-production/uploads/image/source/52024/76a989.png</t>
  </si>
  <si>
    <t>https://thumbor.prod.vidiocdn.com/aPIlYTjWC9g-wrMIl8_cP2uNE_E=/filters:quality(70)/vidio-media-production/uploads/image/source/52023/6a337c.png</t>
  </si>
  <si>
    <t>58bd51d5</t>
  </si>
  <si>
    <t>Como vs Milan - Serie A</t>
  </si>
  <si>
    <t>PLATINUM EXTRA , PPV</t>
  </si>
  <si>
    <t>como; ac milan; sports stream</t>
  </si>
  <si>
    <t>Nonton streaming pertandingan seru Como vs Milan - Serie A. Saksikan aksi-aksi terbaik dari tim yang bersaing ketat untuk meraih kemenangan. Dapatkan informasi lengkap mengenai jadwal pertandingan dan hasil pertandingan terbaru hanya di Vidio.</t>
  </si>
  <si>
    <t>match_premier_status,</t>
  </si>
  <si>
    <t>https://thumbor.prod.vidiocdn.com/npCKM9zFITYTMq7XGkUU_7X_pls=/filters:quality(70)/vidio-media-production/uploads/image/source/52026/20613b.png</t>
  </si>
  <si>
    <t>https://thumbor.prod.vidiocdn.com/EbLiW1J99zTQB-tJ1PUn9Dh9Sok=/filters:quality(70)/vidio-media-production/uploads/image/source/52025/7dcb76.png</t>
  </si>
  <si>
    <t>c6026544</t>
  </si>
  <si>
    <t>Fiorentina vs Udinese - Serie A</t>
  </si>
  <si>
    <t>https://www.vidio.com/live/19404-serie-a?schedule_id=4784748</t>
  </si>
  <si>
    <t>https://drive.google.com/drive/folders/1Fnd0NJZSpoCrpxs87v5C9GdOltSv0F-D?usp=drive_link</t>
  </si>
  <si>
    <t>acf fiorentina; udinese calcio; sports stream</t>
  </si>
  <si>
    <t>Nonton streaming pertandingan seru Fiorentina vs Udinese - Serie A. Saksikan aksi-aksi terbaik dari tim yang bersaing ketat untuk meraih kemenangan. Dapatkan informasi lengkap mengenai jadwal pertandingan dan hasil pertandingan terbaru hanya di Vidio.</t>
  </si>
  <si>
    <t>https://thumbor.prod.vidiocdn.com/sTBcic8focQhpPe8smGckipPSSw=/filters:quality(70)/vidio-media-production/uploads/image/source/52003/8991db.png</t>
  </si>
  <si>
    <t>https://thumbor.prod.vidiocdn.com/qkSr4KbZJdBAabReapdRJ1sC6YQ=/filters:quality(70)/vidio-media-production/uploads/image/source/52002/b3d63c.png</t>
  </si>
  <si>
    <t>https://drive.google.com/file/d/1lQI9-0_iIrG0Mv0UJVlwy5umGoV-wlYy/view?usp=sharing</t>
  </si>
  <si>
    <t>9855779f</t>
  </si>
  <si>
    <t>Genoa vs Atalanta - Serie A</t>
  </si>
  <si>
    <t>https://www.vidio.com/live/19404-serie-a?schedule_id=4789830</t>
  </si>
  <si>
    <t>https://drive.google.com/drive/folders/1raQirBPTXY8s6OtwwhAxreIn6MS75KwW?usp=drive_link</t>
  </si>
  <si>
    <t>genoa cfc; atalanta bergamasca calcio; sports stream</t>
  </si>
  <si>
    <t>Nonton streaming pertandingan seru Genoa vs Atalanta - Serie A. Saksikan aksi-aksi terbaik dari tim yang bersaing ketat untuk meraih kemenangan. Dapatkan informasi lengkap mengenai jadwal pertandingan dan hasil pertandingan terbaru hanya di Vidio.</t>
  </si>
  <si>
    <t>https://thumbor.prod.vidiocdn.com/ENrgXDQ2DYHjg6Cu3RhQj2eAunc=/filters:quality(70)/vidio-media-production/uploads/image/source/52030/eaad8a.png</t>
  </si>
  <si>
    <t>https://thumbor.prod.vidiocdn.com/dcAK9k3czMR4y3yCmaSeKYGVUbw=/filters:quality(70)/vidio-media-production/uploads/image/source/52029/c5ed69.png</t>
  </si>
  <si>
    <t>https://drive.google.com/file/d/1cXNaQW3SIjGZR4QNTNjC2XKZXR2Pp_FJ/view?usp=sharing</t>
  </si>
  <si>
    <t>f5e99849</t>
  </si>
  <si>
    <t>Inter vs Lecce - Serie A</t>
  </si>
  <si>
    <t>fc internazionale milano; us lecce; sports stream</t>
  </si>
  <si>
    <t>Nonton streaming pertandingan seru Inter vs Lecce - Serie A. Saksikan aksi-aksi terbaik dari tim yang bersaing ketat untuk meraih kemenangan. Dapatkan informasi lengkap mengenai jadwal pertandingan dan hasil pertandingan terbaru hanya di Vidio.</t>
  </si>
  <si>
    <t>aa5f4600</t>
  </si>
  <si>
    <t>Juventus vs Roma - Serie A</t>
  </si>
  <si>
    <t>https://www.vidio.com/live/20109-serie-a?schedule_id=4786455</t>
  </si>
  <si>
    <t>https://drive.google.com/drive/folders/1zFd2kVCYuDKkL5BWFpOiIzmnyXHeSD8n?usp=drive_link</t>
  </si>
  <si>
    <t>juventus fc; as roma; sports stream</t>
  </si>
  <si>
    <t>Nonton streaming pertandingan seru Juventus vs Roma - Serie A. Saksikan aksi-aksi terbaik dari tim yang bersaing ketat untuk meraih kemenangan. Dapatkan informasi lengkap mengenai jadwal pertandingan dan hasil pertandingan terbaru hanya di Vidio.</t>
  </si>
  <si>
    <t>https://thumbor.prod.vidiocdn.com/kZo8L1erXnLa6MaODDqAiBcB1sk=/filters:quality(70)/vidio-media-production/uploads/image/source/52028/83e34c.png</t>
  </si>
  <si>
    <t>https://thumbor.prod.vidiocdn.com/zjQP4f87V0bPHSnwe6GuJPNE9Lk=/filters:quality(70)/vidio-media-production/uploads/image/source/52027/743e17.png</t>
  </si>
  <si>
    <t>https://drive.google.com/file/d/1TS7y7XHHHNd4g1f3ra4Uuy5Lz9DbsXuO/view?usp=sharing</t>
  </si>
  <si>
    <t>13c3d26e</t>
  </si>
  <si>
    <t>Lazio vs Cremonese - Serie A</t>
  </si>
  <si>
    <t>https://www.vidio.com/live/20108-serie-a?schedule_id=4786454</t>
  </si>
  <si>
    <t>https://drive.google.com/drive/folders/1mF2nHm6GNIJCbVCGIkjoYg677Qn-myLq?usp=drive_link</t>
  </si>
  <si>
    <t>ss lazio; US Cremonese; sports stream</t>
  </si>
  <si>
    <t>Nonton streaming pertandingan seru Lazio vs Cremonese - Serie A. Saksikan aksi-aksi terbaik dari tim yang bersaing ketat untuk meraih kemenangan. Dapatkan informasi lengkap mengenai jadwal pertandingan dan hasil pertandingan terbaru hanya di Vidio.</t>
  </si>
  <si>
    <t>https://thumbor.prod.vidiocdn.com/wCe-xFc-vPK5F_o8cn1celsGc0c=/filters:quality(70)/vidio-media-production/uploads/image/source/52129/72b7ac.png</t>
  </si>
  <si>
    <t>https://thumbor.prod.vidiocdn.com/RdnJB2_bxalgmd-mFVaHbs_PYjY=/filters:quality(70)/vidio-media-production/uploads/image/source/52128/5677a8.png</t>
  </si>
  <si>
    <t>https://drive.google.com/file/d/1Ig0eRy56QUtNTWrC7l8ibjc1mtipy4yO/view?usp=sharing</t>
  </si>
  <si>
    <t>154f15a1</t>
  </si>
  <si>
    <t>Napoli vs Parma - Serie A</t>
  </si>
  <si>
    <t>ssc napoli; parma calcio; sports stream</t>
  </si>
  <si>
    <t>Nonton streaming pertandingan seru Napoli vs Parma - Serie A. Saksikan aksi-aksi terbaik dari tim yang bersaing ketat untuk meraih kemenangan. Dapatkan informasi lengkap mengenai jadwal pertandingan dan hasil pertandingan terbaru hanya di Vidio.</t>
  </si>
  <si>
    <t>8bdd7a03</t>
  </si>
  <si>
    <t>Sassuolo vs Torino - Serie A</t>
  </si>
  <si>
    <t>https://www.vidio.com/live/20110-serie-a?schedule_id=4786456</t>
  </si>
  <si>
    <t>https://drive.google.com/drive/folders/1jVgwCqjHpVIX_Q97HiU-jAQALbpVGsaS?usp=drive_link</t>
  </si>
  <si>
    <t>us sassuolo calcio; torino fc; sports stream</t>
  </si>
  <si>
    <t>Nonton streaming pertandingan seru Sassuolo vs Torino - Serie A. Saksikan aksi-aksi terbaik dari tim yang bersaing ketat untuk meraih kemenangan. Dapatkan informasi lengkap mengenai jadwal pertandingan dan hasil pertandingan terbaru hanya di Vidio.</t>
  </si>
  <si>
    <t>https://thumbor.prod.vidiocdn.com/SMLZv0LFPP6jvmjOenXqHR-NWA8=/filters:quality(70)/vidio-media-production/uploads/image/source/52131/c65152.png</t>
  </si>
  <si>
    <t>https://thumbor.prod.vidiocdn.com/sExaOHrsPAi4AU7Ofbk7ly73cJg=/filters:quality(70)/vidio-media-production/uploads/image/source/52130/c6b801.png</t>
  </si>
  <si>
    <t>https://drive.google.com/file/d/1H63ghfD6cITp9w7SLdy-A0Q6aoZ7fZzb/view?usp=sharing</t>
  </si>
  <si>
    <t>06a86fc4</t>
  </si>
  <si>
    <t>Verona vs Bologna - Serie A</t>
  </si>
  <si>
    <t>hellas verona fc; bologna fc 1909; sports stream</t>
  </si>
  <si>
    <t>Nonton streaming pertandingan seru Verona vs Bologna - Serie A. Saksikan aksi-aksi terbaik dari tim yang bersaing ketat untuk meraih kemenangan. Dapatkan informasi lengkap mengenai jadwal pertandingan dan hasil pertandingan terbaru hanya di Vidio.</t>
  </si>
  <si>
    <t>2dac40c0</t>
  </si>
  <si>
    <t>Atalanta vs Inter - Serie A</t>
  </si>
  <si>
    <t>https://www.vidio.com/live/20110-serie-a?schedule_id=4793942</t>
  </si>
  <si>
    <t>https://drive.google.com/drive/folders/1424oga-yCcjZiRf3GyLJo12RZmw4TNVu?usp=drive_link</t>
  </si>
  <si>
    <t>atalanta bergamasca calcio; fc internazionale milano; sports stream</t>
  </si>
  <si>
    <t>Nonton streaming pertandingan seru Atalanta vs Inter - Serie A. Saksikan aksi-aksi terbaik dari tim yang bersaing ketat untuk meraih kemenangan. Dapatkan informasi lengkap mengenai jadwal pertandingan dan hasil pertandingan terbaru hanya di Vidio.</t>
  </si>
  <si>
    <t>https://thumbor.prod.vidiocdn.com/HEQNcjWKIL9HbkFB1pLmSAjFVEs=/filters:quality(70)/vidio-media-production/uploads/image/source/52147/303f83.png</t>
  </si>
  <si>
    <t>https://thumbor.prod.vidiocdn.com/4_Y8mKUqZdJZK3Nx56FFDs81EUM=/filters:quality(70)/vidio-media-production/uploads/image/source/52146/7bee04.png</t>
  </si>
  <si>
    <t>8b697964</t>
  </si>
  <si>
    <t>Bologna vs Sassuolo - Serie A</t>
  </si>
  <si>
    <t>https://www.vidio.com/live/19404-serie-a?schedule_id=4790702</t>
  </si>
  <si>
    <t>https://drive.google.com/drive/folders/1_39RaVPbPfkcZUWFsH3wiaN_Jc_TYNS2?usp=drive_link</t>
  </si>
  <si>
    <t>bologna fc 1909; us sassuolo calcio; sports stream</t>
  </si>
  <si>
    <t>Nonton streaming pertandingan seru Bologna vs Sassuolo - Serie A. Saksikan aksi-aksi terbaik dari tim yang bersaing ketat untuk meraih kemenangan. Dapatkan informasi lengkap mengenai jadwal pertandingan dan hasil pertandingan terbaru hanya di Vidio.</t>
  </si>
  <si>
    <t>https://thumbor.prod.vidiocdn.com/W41eZPkgIsLFy8tRet7pn3nAurw=/filters:quality(70)/vidio-media-production/uploads/image/source/52145/af2a8c.png</t>
  </si>
  <si>
    <t>https://thumbor.prod.vidiocdn.com/AiEOAp7-HgCDuG4R3IEHqQv6BPA=/filters:quality(70)/vidio-media-production/uploads/image/source/52144/0ee516.png</t>
  </si>
  <si>
    <t>https://drive.google.com/file/d/1GzdC7PecESR3vdRJOqLPUlWAdBi9WeFT/view?usp=sharing</t>
  </si>
  <si>
    <t>25082bdd</t>
  </si>
  <si>
    <t>Cremonese vs Napoli - Serie A</t>
  </si>
  <si>
    <t>https://www.vidio.com/live/20109-serie-a?schedule_id=4793940</t>
  </si>
  <si>
    <t>https://drive.google.com/drive/folders/1WmGriRtxG_7m1Gdrl3sTpvwP18e4fJOb?usp=drive_link</t>
  </si>
  <si>
    <t>US Cremonese; ssc napoli; sports stream</t>
  </si>
  <si>
    <t>Nonton streaming pertandingan seru Cremonese vs Napoli - Serie A. Saksikan aksi-aksi terbaik dari tim yang bersaing ketat untuk meraih kemenangan. Dapatkan informasi lengkap mengenai jadwal pertandingan dan hasil pertandingan terbaru hanya di Vidio.</t>
  </si>
  <si>
    <t>https://thumbor.prod.vidiocdn.com/5To2rm-SXss94UXl5m7Zf6K3IW0=/filters:quality(70)/vidio-media-production/uploads/image/source/52143/4ae29b.png</t>
  </si>
  <si>
    <t>https://thumbor.prod.vidiocdn.com/bCBmVzLC3v2WT-AKA6ko98zP4X4=/filters:quality(70)/vidio-media-production/uploads/image/source/52142/d99355.png</t>
  </si>
  <si>
    <t>https://drive.google.com/file/d/1v95Xddlp95IzpRrdc24GchUwOe_Xij78/view?usp=sharing</t>
  </si>
  <si>
    <t>29067be1</t>
  </si>
  <si>
    <t>Lecce vs Como - Serie A</t>
  </si>
  <si>
    <t>https://www.vidio.com/live/19404-serie-a?schedule_id=4790692</t>
  </si>
  <si>
    <t>us lecce; como; sports stream</t>
  </si>
  <si>
    <t>Nonton streaming pertandingan seru Lecce vs Como - Serie A. Saksikan aksi-aksi terbaik dari tim yang bersaing ketat untuk meraih kemenangan. Dapatkan informasi lengkap mengenai jadwal pertandingan dan hasil pertandingan terbaru hanya di Vidio.</t>
  </si>
  <si>
    <t>https://thumbor.prod.vidiocdn.com/WKrxUSzbalwVkWaeTuX9mlmEUFU=/filters:quality(70)/vidio-media-production/uploads/image/source/52005/ca2693.png</t>
  </si>
  <si>
    <t>https://thumbor.prod.vidiocdn.com/gIPA8zl05O7X5BQFtjA4qY1LihU=/filters:quality(70)/vidio-media-production/uploads/image/source/52004/b88207.png</t>
  </si>
  <si>
    <t>ca8af14d</t>
  </si>
  <si>
    <t>Milan vs Verona - Serie A</t>
  </si>
  <si>
    <t>https://www.vidio.com/live/20108-serie-a?schedule_id=4793938</t>
  </si>
  <si>
    <t>https://drive.google.com/drive/folders/18S9PUe5cufwDDzyefD_fHMbOGfBpzUxO?usp=drive_link</t>
  </si>
  <si>
    <t>ac milan; hellas verona fc; sports stream</t>
  </si>
  <si>
    <t>Nonton streaming pertandingan seru Milan vs Verona - Serie A. Saksikan aksi-aksi terbaik dari tim yang bersaing ketat untuk meraih kemenangan. Dapatkan informasi lengkap mengenai jadwal pertandingan dan hasil pertandingan terbaru hanya di Vidio.</t>
  </si>
  <si>
    <t>https://thumbor.prod.vidiocdn.com/cGyuHHOTj8sGZbcpflk67A5FvUA=/filters:quality(70)/vidio-media-production/uploads/image/source/52141/3a34c9.png</t>
  </si>
  <si>
    <t>https://thumbor.prod.vidiocdn.com/uXOKiAJZxTYJ6wSYXgofygaHkPY=/filters:quality(70)/vidio-media-production/uploads/image/source/52140/0729ce.png</t>
  </si>
  <si>
    <t>https://drive.google.com/file/d/10jYlxuKaRtdgPBq33DE7JnbkSGvYs_Qe/view?usp=sharing</t>
  </si>
  <si>
    <t>f46c4384</t>
  </si>
  <si>
    <t>Parma vs Fiorentina - Serie A</t>
  </si>
  <si>
    <t>https://www.vidio.com/live/19404-serie-a?schedule_id=4790691</t>
  </si>
  <si>
    <t>https://drive.google.com/drive/folders/1qWlQu_LrIZMlh3ffiRHcdvSxdvTacHpV?usp=drive_link</t>
  </si>
  <si>
    <t>parma calcio; acf fiorentina; sports stream</t>
  </si>
  <si>
    <t>Nonton streaming pertandingan seru Parma vs Fiorentina - Serie A. Saksikan aksi-aksi terbaik dari tim yang bersaing ketat untuk meraih kemenangan. Dapatkan informasi lengkap mengenai jadwal pertandingan dan hasil pertandingan terbaru hanya di Vidio.</t>
  </si>
  <si>
    <t>https://thumbor.prod.vidiocdn.com/tXJeRQ4MQ3DOJbvifUNW1Prv1Hc=/filters:quality(70)/vidio-media-production/uploads/image/source/52133/5efe6e.png</t>
  </si>
  <si>
    <t>https://thumbor.prod.vidiocdn.com/d6OZggQIsfWumok6wemHSUrHHP0=/filters:quality(70)/vidio-media-production/uploads/image/source/52132/341088.png</t>
  </si>
  <si>
    <t>https://drive.google.com/file/d/18-nq9m10BYqAjhmvrTGYfnvrqws6zfJs/view?usp=sharing</t>
  </si>
  <si>
    <t>883976c4</t>
  </si>
  <si>
    <t>Pisa vs Juventus - Serie A</t>
  </si>
  <si>
    <t>https://www.vidio.com/live/19404-serie-a?schedule_id=4790694</t>
  </si>
  <si>
    <t>https://drive.google.com/drive/folders/17sNf31qt3vB_tdYVR5Mc4V0Cd_30Lvoy?usp=drive_link</t>
  </si>
  <si>
    <t>Pisa SC; juventus fc; sports stream</t>
  </si>
  <si>
    <t>Nonton streaming pertandingan seru Pisa vs Juventus - Serie A. Saksikan aksi-aksi terbaik dari tim yang bersaing ketat untuk meraih kemenangan. Dapatkan informasi lengkap mengenai jadwal pertandingan dan hasil pertandingan terbaru hanya di Vidio.</t>
  </si>
  <si>
    <t>https://thumbor.prod.vidiocdn.com/suDW1s6dbWk2UP2O50iN60bGYME=/filters:quality(70)/vidio-media-production/uploads/image/source/52204/eb45bc.png</t>
  </si>
  <si>
    <t>https://thumbor.prod.vidiocdn.com/7csNUHRmMKsxWLiIKsPSv7mi9CA=/filters:quality(70)/vidio-media-production/uploads/image/source/52203/ac6f9f.png</t>
  </si>
  <si>
    <t>https://drive.google.com/file/d/1hKRHJ2BD1FgsJINpll-Za0QOFRoD0lxc/view?usp=sharing</t>
  </si>
  <si>
    <t>69335f57</t>
  </si>
  <si>
    <t>Roma vs Genoa - Serie A</t>
  </si>
  <si>
    <t>https://www.vidio.com/live/19404-serie-a?schedule_id=4799190</t>
  </si>
  <si>
    <t>https://drive.google.com/drive/folders/16oHSQtwHumHTzNwxgNpFk0BB_vVJivI-?usp=drive_link</t>
  </si>
  <si>
    <t>as roma; genoa cfc; sports stream</t>
  </si>
  <si>
    <t>Nonton streaming pertandingan seru Roma vs Genoa - Serie A. Saksikan aksi-aksi terbaik dari tim yang bersaing ketat untuk meraih kemenangan. Dapatkan informasi lengkap mengenai jadwal pertandingan dan hasil pertandingan terbaru hanya di Vidio.</t>
  </si>
  <si>
    <t>https://thumbor.prod.vidiocdn.com/_CD9qt5bzLuVay59YnmApGPVG4Y=/filters:quality(70)/vidio-media-production/uploads/image/source/52149/b7afcd.png</t>
  </si>
  <si>
    <t>https://thumbor.prod.vidiocdn.com/Ta4c9hpnTlmywhtCKyOqSdHVzP4=/filters:quality(70)/vidio-media-production/uploads/image/source/52148/7ae797.png</t>
  </si>
  <si>
    <t>https://drive.google.com/file/d/1OV0TWQNeHo0UphlM4y7T-N087prpm7M9/view?usp=sharing</t>
  </si>
  <si>
    <t>5731dcbf</t>
  </si>
  <si>
    <t>Torino vs Cagliari - Serie A</t>
  </si>
  <si>
    <t>https://www.vidio.com/live/17939-serie-a?schedule_id=4790725</t>
  </si>
  <si>
    <t>torino fc; cagliari calcio; sports stream</t>
  </si>
  <si>
    <t>Nonton streaming pertandingan seru Torino vs Cagliari - Serie A. Saksikan aksi-aksi terbaik dari tim yang bersaing ketat untuk meraih kemenangan. Dapatkan informasi lengkap mengenai jadwal pertandingan dan hasil pertandingan terbaru hanya di Vidio.</t>
  </si>
  <si>
    <t>https://thumbor.prod.vidiocdn.com/DoHQBaIad5YoD6CR1c3eVMMTsQw=/filters:quality(70)/vidio-media-production/uploads/image/source/52697/f1fda1.png</t>
  </si>
  <si>
    <t>https://thumbor.prod.vidiocdn.com/yc6MK-IxEHKvw1A0stOt8BvCzV0=/filters:quality(70)/vidio-media-production/uploads/image/source/52696/140428.png</t>
  </si>
  <si>
    <t>ba59d3b3</t>
  </si>
  <si>
    <t>Udinese vs Lazio - Serie A</t>
  </si>
  <si>
    <t>https://www.vidio.com/live/19404-serie-a?schedule_id=4790693</t>
  </si>
  <si>
    <t>udinese calcio; ss lazio; sports stream</t>
  </si>
  <si>
    <t>Nonton streaming pertandingan seru Udinese vs Lazio - Serie A. Saksikan aksi-aksi terbaik dari tim yang bersaing ketat untuk meraih kemenangan. Dapatkan informasi lengkap mengenai jadwal pertandingan dan hasil pertandingan terbaru hanya di Vidio.</t>
  </si>
  <si>
    <t>https://thumbor.prod.vidiocdn.com/wj0BHfa7Ub8hj4j5X5UMQ5hb714=/filters:quality(70)/vidio-media-production/uploads/image/source/52135/3a0f10.png</t>
  </si>
  <si>
    <t>https://thumbor.prod.vidiocdn.com/RkP_WtfLuDrbxtk955BuyTTIgjM=/filters:quality(70)/vidio-media-production/uploads/image/source/52134/2f10c4.png</t>
  </si>
  <si>
    <t>0dc56fb4</t>
  </si>
  <si>
    <t>Atalanta vs Roma - Serie A</t>
  </si>
  <si>
    <t>https://www.vidio.com/live/19404-serie-a?schedule_id=4825572</t>
  </si>
  <si>
    <t>https://drive.google.com/drive/folders/19sZRUQ7ZrbnlRUlJO1LvMLPHnqJcoX-c?usp=drive_link</t>
  </si>
  <si>
    <t>atalanta bergamasca calcio; as roma; sports stream</t>
  </si>
  <si>
    <t>Nonton streaming pertandingan seru Atalanta vs Roma - Serie A. Saksikan aksi-aksi terbaik dari tim yang bersaing ketat untuk meraih kemenangan. Dapatkan informasi lengkap mengenai jadwal pertandingan dan hasil pertandingan terbaru hanya di Vidio.</t>
  </si>
  <si>
    <t>https://thumbor.prod.vidiocdn.com/r2xFMO0yScG3dZLbB_d46vIRoAk=/filters:quality(70)/vidio-media-production/uploads/image/source/52625/b13318.png</t>
  </si>
  <si>
    <t>https://thumbor.prod.vidiocdn.com/buhYgW-p7SprgBERbk-14vNedZk=/filters:quality(70)/vidio-media-production/uploads/image/source/52624/6959b9.png</t>
  </si>
  <si>
    <t>https://drive.google.com/file/d/1z1F2sUy04muNRgq9GzEdHLp6j-wWcW_H/view?usp=sharing</t>
  </si>
  <si>
    <t>2b11410a</t>
  </si>
  <si>
    <t>Cagliari vs Milan - Serie A</t>
  </si>
  <si>
    <t>https://www.vidio.com/live/20108-serie-a?schedule_id=4819778</t>
  </si>
  <si>
    <t>https://drive.google.com/drive/folders/1XVSA4DniyOo1HfXRGz0ceWGPiPLTkYlG?usp=drive_link</t>
  </si>
  <si>
    <t>cagliari calcio; ac milan; sports stream</t>
  </si>
  <si>
    <t>Nonton streaming pertandingan seru Cagliari vs Milan - Serie A. Saksikan aksi-aksi terbaik dari tim yang bersaing ketat untuk meraih kemenangan. Dapatkan informasi lengkap mengenai jadwal pertandingan dan hasil pertandingan terbaru hanya di Vidio.</t>
  </si>
  <si>
    <t>https://thumbor.prod.vidiocdn.com/4Xj92Pzacwauxq54ENXk-TLdLEs=/filters:quality(70)/vidio-media-production/uploads/image/source/52867/9dbea9.png</t>
  </si>
  <si>
    <t>https://thumbor.prod.vidiocdn.com/fNNPvivsYf0vwfrUgo10YWM1siQ=/filters:quality(70)/vidio-media-production/uploads/image/source/52866/799a0f.png</t>
  </si>
  <si>
    <t>https://drive.google.com/file/d/1j-15y-bZdDUxSZbsKmr4wMeA8UIOkQcO/view?usp=sharing</t>
  </si>
  <si>
    <t>64883f67</t>
  </si>
  <si>
    <t>Como vs Udinese - Serie A</t>
  </si>
  <si>
    <t>https://www.vidio.com/live/19404-serie-a?schedule_id=4803430</t>
  </si>
  <si>
    <t>https://drive.google.com/drive/folders/1swyTFRO4eZ-wAr06Mijzt3aZIQO139Bz?usp=drive_link</t>
  </si>
  <si>
    <t>como; udinese calcio; sports stream</t>
  </si>
  <si>
    <t>Nonton streaming pertandingan seru Como vs Udinese - Serie A. Saksikan aksi-aksi terbaik dari tim yang bersaing ketat untuk meraih kemenangan. Dapatkan informasi lengkap mengenai jadwal pertandingan dan hasil pertandingan terbaru hanya di Vidio.</t>
  </si>
  <si>
    <t>https://thumbor.prod.vidiocdn.com/YLFQYWjdtLdwiS28p5JYwJ8xdRE=/filters:quality(70)/vidio-media-production/uploads/image/source/52576/096137.png</t>
  </si>
  <si>
    <t>https://thumbor.prod.vidiocdn.com/vGpci03qnn20WwVNn7BhvFXRmts=/filters:quality(70)/vidio-media-production/uploads/image/source/52575/da46ba.png</t>
  </si>
  <si>
    <t>https://drive.google.com/file/d/1CEY0hp2qpTeWhUlb0L0UmclPzMVZHfwr/view?usp=sharing</t>
  </si>
  <si>
    <t>e3c2d70e</t>
  </si>
  <si>
    <t>Fiorentina vs Cremonese - Serie A</t>
  </si>
  <si>
    <t>https://www.vidio.com/live/19404-serie-a?schedule_id=4825574</t>
  </si>
  <si>
    <t>https://drive.google.com/drive/folders/11fFlHI6M8wyAn2P8PTD_nDONFclvI527?usp=drive_link</t>
  </si>
  <si>
    <t>acf fiorentina; US Cremonese; sports stream</t>
  </si>
  <si>
    <t>Nonton streaming pertandingan seru Fiorentina vs Cremonese - Serie A. Saksikan aksi-aksi terbaik dari tim yang bersaing ketat untuk meraih kemenangan. Dapatkan informasi lengkap mengenai jadwal pertandingan dan hasil pertandingan terbaru hanya di Vidio.</t>
  </si>
  <si>
    <t>https://thumbor.prod.vidiocdn.com/noztRqY5ItmY4k01ubVXioUXDS0=/filters:quality(70)/vidio-media-production/uploads/image/source/52627/3a8c69.png</t>
  </si>
  <si>
    <t>https://thumbor.prod.vidiocdn.com/jspmewL0J21UkrWO4_4qzqB4hYw=/filters:quality(70)/vidio-media-production/uploads/image/source/52626/03f9b0.png</t>
  </si>
  <si>
    <t>https://drive.google.com/file/d/16YO7Ns_PHz2OP2kCAl-UZA41oZ0DqFi4/view?usp=sharing</t>
  </si>
  <si>
    <t>b1fed16f</t>
  </si>
  <si>
    <t>Genoa vs Pisa - Serie A</t>
  </si>
  <si>
    <t>https://www.vidio.com/live/17938-serie-a?schedule_id=4803378</t>
  </si>
  <si>
    <t>genoa cfc; Pisa SC; sports stream</t>
  </si>
  <si>
    <t>Nonton streaming pertandingan seru Genoa vs Pisa - Serie A. Saksikan aksi-aksi terbaik dari tim yang bersaing ketat untuk meraih kemenangan. Dapatkan informasi lengkap mengenai jadwal pertandingan dan hasil pertandingan terbaru hanya di Vidio.</t>
  </si>
  <si>
    <t>https://thumbor.prod.vidiocdn.com/jtpFQm6felWQQYGc978WTqPbcmM=/filters:quality(70)/vidio-media-production/uploads/image/source/52467/41ed28.png</t>
  </si>
  <si>
    <t>https://thumbor.prod.vidiocdn.com/jc4ZRSpODrx9W2qk1N8-FBABgBw=/filters:quality(70)/vidio-media-production/uploads/image/source/52466/67b68c.png</t>
  </si>
  <si>
    <t>9d178e61</t>
  </si>
  <si>
    <t>Inter vs Bologna - Serie A</t>
  </si>
  <si>
    <t>https://www.vidio.com/live/20110-serie-a?schedule_id=4820639</t>
  </si>
  <si>
    <t>https://drive.google.com/drive/folders/1JjpkTpJl13AZ5egil4VyBo7tnKkB_oKC?usp=drive_link</t>
  </si>
  <si>
    <t>fc internazionale milano; bologna fc 1909; sports stream</t>
  </si>
  <si>
    <t>Nonton streaming pertandingan seru Inter vs Bologna - Serie A. Saksikan aksi-aksi terbaik dari tim yang bersaing ketat untuk meraih kemenangan. Dapatkan informasi lengkap mengenai jadwal pertandingan dan hasil pertandingan terbaru hanya di Vidio.</t>
  </si>
  <si>
    <t>https://thumbor.prod.vidiocdn.com/yxxKRfCjQjmNk1PzYBukm_Z7yI0=/filters:quality(70)/vidio-media-production/uploads/image/source/52629/972d92.png</t>
  </si>
  <si>
    <t>https://thumbor.prod.vidiocdn.com/tNR6d0r8X0oLsuJIwUR0s6ZHbHU=/filters:quality(70)/vidio-media-production/uploads/image/source/52628/99e105.png</t>
  </si>
  <si>
    <t>https://drive.google.com/file/d/1GlMLHKloWB4CFJfVv3vpSM9y52ILPWAz/view?usp=sharing</t>
  </si>
  <si>
    <t>687978bf</t>
  </si>
  <si>
    <t>Juventus vs Lecce - Serie A</t>
  </si>
  <si>
    <t>https://www.vidio.com/live/19404-serie-a?schedule_id=4823382</t>
  </si>
  <si>
    <t>https://drive.google.com/drive/folders/1HvFS03UjlBdSr-CqnM5z1wStW76bfNtK</t>
  </si>
  <si>
    <t>juventus fc; us lecce; sports stream</t>
  </si>
  <si>
    <t>Nonton streaming pertandingan seru Juventus vs Lecce - Serie A. Saksikan aksi-aksi terbaik dari tim yang bersaing ketat untuk meraih kemenangan. Dapatkan informasi lengkap mengenai jadwal pertandingan dan hasil pertandingan terbaru hanya di Vidio.</t>
  </si>
  <si>
    <t>https://thumbor.prod.vidiocdn.com/Q53fP1sRuICcs6gDyJzxgpBO7kw=/filters:quality(70)/vidio-media-production/uploads/image/source/52695/c798bf.png</t>
  </si>
  <si>
    <t>https://thumbor.prod.vidiocdn.com/yCZzHoVKQ1luG4R2ysEZZITNo8I=/filters:quality(70)/vidio-media-production/uploads/image/source/52694/8ec11e.png</t>
  </si>
  <si>
    <t>https://drive.google.com/file/d/1uSlE8Wlqxz1ru4w0nIPNYzVjV5NfFndz/view?usp=sharing</t>
  </si>
  <si>
    <t>d733d01b</t>
  </si>
  <si>
    <t>Lazio vs Napoli - Serie A</t>
  </si>
  <si>
    <t>https://www.vidio.com/live/19404-serie-a?schedule_id=4825573</t>
  </si>
  <si>
    <t>https://drive.google.com/drive/folders/1-QRSxTgQUjzxHcVuI3BnhxGmdrajAjwE?usp=drive_link</t>
  </si>
  <si>
    <t>ss lazio; ssc napoli; sports stream</t>
  </si>
  <si>
    <t>Nonton streaming pertandingan seru Lazio vs Napoli - Serie A. Saksikan aksi-aksi terbaik dari tim yang bersaing ketat untuk meraih kemenangan. Dapatkan informasi lengkap mengenai jadwal pertandingan dan hasil pertandingan terbaru hanya di Vidio.</t>
  </si>
  <si>
    <t>https://thumbor.prod.vidiocdn.com/y_4vpKdnV1KXlqM2YOm6tklmnfg=/filters:quality(70)/vidio-media-production/uploads/image/source/52631/6b522c.png</t>
  </si>
  <si>
    <t>https://thumbor.prod.vidiocdn.com/BskyInr-NdQkYKFYlzkdqvxu82E=/filters:quality(70)/vidio-media-production/uploads/image/source/52630/55e539.png</t>
  </si>
  <si>
    <t>https://drive.google.com/file/d/1KcgLInhMxk5oGzoKPk0JVu3hyBxM3Zt0/view?usp=sharing</t>
  </si>
  <si>
    <t>86904973</t>
  </si>
  <si>
    <t>Sassuolo vs Parma - Serie A</t>
  </si>
  <si>
    <t>https://www.vidio.com/live/20109-serie-a?schedule_id=4819772</t>
  </si>
  <si>
    <t>https://drive.google.com/drive/folders/1ztrYgTR2tTXL_YoFwxDIB70vVUt9pnk2</t>
  </si>
  <si>
    <t>us sassuolo calcio; parma calcio; sports stream</t>
  </si>
  <si>
    <t>Nonton streaming pertandingan seru Sassuolo vs Parma - Serie A. Saksikan aksi-aksi terbaik dari tim yang bersaing ketat untuk meraih kemenangan. Dapatkan informasi lengkap mengenai jadwal pertandingan dan hasil pertandingan terbaru hanya di Vidio.</t>
  </si>
  <si>
    <t>https://thumbor.prod.vidiocdn.com/atcFspQJhb0304qRZ27nF8w21Q0=/filters:quality(70)/vidio-media-production/uploads/image/source/52693/8a25e9.png</t>
  </si>
  <si>
    <t>https://thumbor.prod.vidiocdn.com/L_l2-wiVs16ITswukj_ubnk_DM4=/filters:quality(70)/vidio-media-production/uploads/image/source/52692/299b98.png</t>
  </si>
  <si>
    <t>https://drive.google.com/file/d/1aCY0ceEuhzMyUeap0NGBaim7WRbEwb4U/view?usp=sharing</t>
  </si>
  <si>
    <t>7f5033bb</t>
  </si>
  <si>
    <t>Verona vs Torino - Serie A</t>
  </si>
  <si>
    <t>https://www.vidio.com/live/19404-serie-a?schedule_id=4827331</t>
  </si>
  <si>
    <t>hellas verona fc; torino fc; sports stream</t>
  </si>
  <si>
    <t>Nonton streaming pertandingan seru Verona vs Torino - Serie A. Saksikan aksi-aksi terbaik dari tim yang bersaing ketat untuk meraih kemenangan. Dapatkan informasi lengkap mengenai jadwal pertandingan dan hasil pertandingan terbaru hanya di Vidio.</t>
  </si>
  <si>
    <t>https://thumbor.prod.vidiocdn.com/X1g23u_9spLF5HoxiLRZU4j6N7E=/filters:quality(70)/vidio-media-production/uploads/image/source/52603/307328.png</t>
  </si>
  <si>
    <t>https://thumbor.prod.vidiocdn.com/E3dhEzEloRwlVyvO3xKcGnD_9o4=/filters:quality(70)/vidio-media-production/uploads/image/source/52602/6c1a06.png</t>
  </si>
  <si>
    <t>b817ecf2</t>
  </si>
  <si>
    <t>Bologna vs Atalanta - Serie A</t>
  </si>
  <si>
    <t>https://www.vidio.com/live/17938-serie-a?schedule_id=4831739</t>
  </si>
  <si>
    <t>https://drive.google.com/drive/folders/1NgKOn97Rfnxtzb7-zE_dZHK89l-BZRIg?usp=drive_link</t>
  </si>
  <si>
    <t>bologna fc 1909; atalanta bergamasca calcio; sports stream</t>
  </si>
  <si>
    <t>Nonton streaming pertandingan seru Bologna vs Atalanta - Serie A. Saksikan aksi-aksi terbaik dari tim yang bersaing ketat untuk meraih kemenangan. Dapatkan informasi lengkap mengenai jadwal pertandingan dan hasil pertandingan terbaru hanya di Vidio.</t>
  </si>
  <si>
    <t>https://thumbor.prod.vidiocdn.com/9CeyIkY5BLaSHjlIJRbRCaDj2xE=/filters:quality(70)/vidio-media-production/uploads/image/source/52813/8c164a.png</t>
  </si>
  <si>
    <t>https://thumbor.prod.vidiocdn.com/XOYusfWOmMAvBMfSXirc_mTEH1k=/filters:quality(70)/vidio-media-production/uploads/image/source/52812/bcf5d8.png</t>
  </si>
  <si>
    <t>https://drive.google.com/file/d/1NJxBa9dkeyFpb6E7l5WOQSar1ISill9Z/view?usp=sharing</t>
  </si>
  <si>
    <t>3f69bec4</t>
  </si>
  <si>
    <t>Cremonese vs Cagliari - Serie A</t>
  </si>
  <si>
    <t>https://www.vidio.com/live/19404-serie-a?schedule_id=4832226</t>
  </si>
  <si>
    <t>https://drive.google.com/drive/folders/1Uvz5tyATDSf7dMesvMIEhzn1r4_ML28d?usp=drive_link</t>
  </si>
  <si>
    <t>US Cremonese; cagliari calcio; sports stream</t>
  </si>
  <si>
    <t>Nonton streaming pertandingan seru Cremonese vs Cagliari - Serie A. Saksikan aksi-aksi terbaik dari tim yang bersaing ketat untuk meraih kemenangan. Dapatkan informasi lengkap mengenai jadwal pertandingan dan hasil pertandingan terbaru hanya di Vidio.</t>
  </si>
  <si>
    <t>https://thumbor.prod.vidiocdn.com/kzujDhJ7qtU8QhMU8gJPnPIp9I4=/filters:quality(70)/vidio-media-production/uploads/image/source/52873/26b4c7.png</t>
  </si>
  <si>
    <t>https://thumbor.prod.vidiocdn.com/pP7uPDN4jAnB0sxBPjbHyVdzID8=/filters:quality(70)/vidio-media-production/uploads/image/source/52872/1d3c9a.png</t>
  </si>
  <si>
    <t>https://drive.google.com/file/d/1_JK-tQyKhqaarX8l60NqI6AUau7pwe-d/view?usp=sharing</t>
  </si>
  <si>
    <t>adb21a92</t>
  </si>
  <si>
    <t>Lazio vs Fiorentina - Serie A</t>
  </si>
  <si>
    <t>https://www.vidio.com/live/17938-serie-a?schedule_id=4831740</t>
  </si>
  <si>
    <t>https://drive.google.com/drive/folders/17q7WEjEuVjE-tSvgReUZtpNqhzJ0ZTx0?usp=drive_link</t>
  </si>
  <si>
    <t>ss lazio; acf fiorentina; sports stream</t>
  </si>
  <si>
    <t>Nonton streaming pertandingan seru Lazio vs Fiorentina - Serie A. Saksikan aksi-aksi terbaik dari tim yang bersaing ketat untuk meraih kemenangan. Dapatkan informasi lengkap mengenai jadwal pertandingan dan hasil pertandingan terbaru hanya di Vidio.</t>
  </si>
  <si>
    <t>https://thumbor.prod.vidiocdn.com/0Ihlzj9v4smRve0yRyUMaXCCZGw=/filters:quality(70)/vidio-media-production/uploads/image/source/52905/c6ca3d.png</t>
  </si>
  <si>
    <t>https://thumbor.prod.vidiocdn.com/sd5g73m1EZ5WtwR1tKKlmPcfnAQ=/filters:quality(70)/vidio-media-production/uploads/image/source/52904/c041de.png</t>
  </si>
  <si>
    <t>https://drive.google.com/file/d/1UdHmtuTxQQCUsnO4rc5PsrjH1zaplq2t/view?usp=sharing</t>
  </si>
  <si>
    <t>b8ab3751</t>
  </si>
  <si>
    <t>Lecce vs Roma - Serie A</t>
  </si>
  <si>
    <t>https://www.vidio.com/live/19404-serie-a?schedule_id=4831593</t>
  </si>
  <si>
    <t>https://drive.google.com/drive/folders/1QzsgLQgzlAlcd-oiQm-GCqO8Zi-CpwEv?usp=drive_link</t>
  </si>
  <si>
    <t>us lecce; as roma; sports stream</t>
  </si>
  <si>
    <t>Nonton streaming pertandingan seru Lecce vs Roma - Serie A. Saksikan aksi-aksi terbaik dari tim yang bersaing ketat untuk meraih kemenangan. Dapatkan informasi lengkap mengenai jadwal pertandingan dan hasil pertandingan terbaru hanya di Vidio.</t>
  </si>
  <si>
    <t>https://thumbor.prod.vidiocdn.com/f19FVxItnSbXBpvgdpVpH-96ItI=/filters:quality(70)/vidio-media-production/uploads/image/source/52809/845596.png</t>
  </si>
  <si>
    <t>https://thumbor.prod.vidiocdn.com/hKWNHX2AgzqJ2RFDNtcOP048YHY=/filters:quality(70)/vidio-media-production/uploads/image/source/52808/8a6189.png</t>
  </si>
  <si>
    <t>https://drive.google.com/file/d/1HSlA7MRaXjekN0h3u0yg85R6uMk25zW0/view?usp=sharing</t>
  </si>
  <si>
    <t>be43ef0d</t>
  </si>
  <si>
    <t>Milan vs Genoa - Serie A</t>
  </si>
  <si>
    <t>https://www.vidio.com/live/20237-serie-a?schedule_id=4831591</t>
  </si>
  <si>
    <t>https://drive.google.com/drive/folders/1GyanJP-pXXjaqjK3v86X1lJUGVhg5JFg?usp=drive_link</t>
  </si>
  <si>
    <t>ac milan; genoa cfc; sports stream</t>
  </si>
  <si>
    <t>Nonton streaming pertandingan seru Milan vs Genoa - Serie A. Saksikan aksi-aksi terbaik dari tim yang bersaing ketat untuk meraih kemenangan. Dapatkan informasi lengkap mengenai jadwal pertandingan dan hasil pertandingan terbaru hanya di Vidio.</t>
  </si>
  <si>
    <t>https://thumbor.prod.vidiocdn.com/7XRsLfICqv4Lo4x-QD_EmiloA48=/filters:quality(70)/vidio-media-production/uploads/image/source/52891/e72ed2.png</t>
  </si>
  <si>
    <t>https://thumbor.prod.vidiocdn.com/KUsoxev1vEdd2zREOMoff2gtJO4=/filters:quality(70)/vidio-media-production/uploads/image/source/52890/c71c5b.png</t>
  </si>
  <si>
    <t>https://drive.google.com/file/d/1Q-hjzRAgraRihwvYif0JkA60mowXsAqs/view?usp=sharing</t>
  </si>
  <si>
    <t>c8d93559</t>
  </si>
  <si>
    <t>Napoli vs Verona - Serie A</t>
  </si>
  <si>
    <t>https://www.vidio.com/live/19404-serie-a?schedule_id=4831594</t>
  </si>
  <si>
    <t>https://drive.google.com/drive/folders/1kxqxZETVsQajGbYz9s3ZVMUV4IyN8nZx?usp=drive_link</t>
  </si>
  <si>
    <t>ssc napoli; hellas verona fc; sports stream</t>
  </si>
  <si>
    <t>Nonton streaming pertandingan seru Napoli vs Verona - Serie A. Saksikan aksi-aksi terbaik dari tim yang bersaing ketat untuk meraih kemenangan. Dapatkan informasi lengkap mengenai jadwal pertandingan dan hasil pertandingan terbaru hanya di Vidio.</t>
  </si>
  <si>
    <t>https://thumbor.prod.vidiocdn.com/EVWqAQ2RtKIwnUnTwoYHQFwF3KU=/filters:quality(70)/vidio-media-production/uploads/image/source/52815/a6c8f0.png</t>
  </si>
  <si>
    <t>https://thumbor.prod.vidiocdn.com/6dJZ231XvdGNQekyjvfezU9T52I=/filters:quality(70)/vidio-media-production/uploads/image/source/52814/ac4fb0.png</t>
  </si>
  <si>
    <t>https://drive.google.com/file/d/1Et82E4S4KTCh5DXTALXBzGftgfXe6A-9/view?usp=sharing</t>
  </si>
  <si>
    <t>a72e0305</t>
  </si>
  <si>
    <t>Parma vs Inter - Serie A</t>
  </si>
  <si>
    <t>https://www.vidio.com/live/20236-serie-a?schedule_id=4831589</t>
  </si>
  <si>
    <t>https://drive.google.com/drive/folders/1o3MGyFInQUWphHqSHd8ZBBACPKEX4-Ma?usp=drive_link</t>
  </si>
  <si>
    <t>parma calcio; fc internazionale milano; sports stream</t>
  </si>
  <si>
    <t>Nonton streaming pertandingan seru Parma vs Inter - Serie A. Saksikan aksi-aksi terbaik dari tim yang bersaing ketat untuk meraih kemenangan. Dapatkan informasi lengkap mengenai jadwal pertandingan dan hasil pertandingan terbaru hanya di Vidio.</t>
  </si>
  <si>
    <t>https://thumbor.prod.vidiocdn.com/n9TNyRvh8hkZ_2m2iK2YgSNxNdw=/filters:quality(70)/vidio-media-production/uploads/image/source/52869/c4e855.png</t>
  </si>
  <si>
    <t>https://thumbor.prod.vidiocdn.com/15Gpil_igZmI-EGzILn61tb7mJQ=/filters:quality(70)/vidio-media-production/uploads/image/source/52868/c0e4af.png</t>
  </si>
  <si>
    <t>https://drive.google.com/file/d/1C4qQOIj1FczfAoTHJPqklTtFstWM64tI/view?usp=sharing</t>
  </si>
  <si>
    <t>c50bbc91</t>
  </si>
  <si>
    <t>Pisa vs Como - Serie A</t>
  </si>
  <si>
    <t>https://www.vidio.com/live/19404-serie-a?schedule_id=4827703</t>
  </si>
  <si>
    <t>Pisa SC; como; sports stream</t>
  </si>
  <si>
    <t>Nonton streaming pertandingan seru Pisa vs Como - Serie A. Saksikan aksi-aksi terbaik dari tim yang bersaing ketat untuk meraih kemenangan. Dapatkan informasi lengkap mengenai jadwal pertandingan dan hasil pertandingan terbaru hanya di Vidio.</t>
  </si>
  <si>
    <t>https://thumbor.prod.vidiocdn.com/O9SN6W1XN5RyAxcl6Qrvl4aJfA4=/filters:quality(70)/vidio-media-production/uploads/image/source/52578/fa3f81.png</t>
  </si>
  <si>
    <t>https://thumbor.prod.vidiocdn.com/-vHawS9dJ_88D_t9Oe46DB6RsAk=/filters:quality(70)/vidio-media-production/uploads/image/source/52577/9a404f.png</t>
  </si>
  <si>
    <t>1c7d7105</t>
  </si>
  <si>
    <t>Sassuolo vs Juventus - Serie A</t>
  </si>
  <si>
    <t>https://www.vidio.com/live/20235-serie-a?schedule_id=4831587</t>
  </si>
  <si>
    <t>https://drive.google.com/drive/folders/1vK8Ei0iY_2cj2YycXIHUSXhcCmyOS-86?usp=drive_link</t>
  </si>
  <si>
    <t>us sassuolo calcio; juventus fc; sports stream</t>
  </si>
  <si>
    <t>Nonton streaming pertandingan seru Sassuolo vs Juventus - Serie A. Saksikan aksi-aksi terbaik dari tim yang bersaing ketat untuk meraih kemenangan. Dapatkan informasi lengkap mengenai jadwal pertandingan dan hasil pertandingan terbaru hanya di Vidio.</t>
  </si>
  <si>
    <t>https://thumbor.prod.vidiocdn.com/ukL-tz4cF5nRn-L3WwuM6VNRm0c=/filters:quality(70)/vidio-media-production/uploads/image/source/52811/6421f7.png</t>
  </si>
  <si>
    <t>https://thumbor.prod.vidiocdn.com/viCaY9bq-m2I7me3dhBwOZ5bUGo=/filters:quality(70)/vidio-media-production/uploads/image/source/52810/62d449.png</t>
  </si>
  <si>
    <t>https://drive.google.com/file/d/1fmMWCpMeIUgy7woNfoM1F28AzthrmWye/view?usp=sharing</t>
  </si>
  <si>
    <t>dda8f4e1</t>
  </si>
  <si>
    <t>Torino vs Udinese - Serie A</t>
  </si>
  <si>
    <t>https://www.vidio.com/live/17939-serie-a?schedule_id=4831741</t>
  </si>
  <si>
    <t>torino fc; udinese calcio; sports stream</t>
  </si>
  <si>
    <t>Nonton streaming pertandingan seru Torino vs Udinese - Serie A. Saksikan aksi-aksi terbaik dari tim yang bersaing ketat untuk meraih kemenangan. Dapatkan informasi lengkap mengenai jadwal pertandingan dan hasil pertandingan terbaru hanya di Vidio.</t>
  </si>
  <si>
    <t>https://thumbor.prod.vidiocdn.com/QRfYGkaUOwEFxCvh-wUSlSJ5uvk=/filters:quality(70)/vidio-media-production/uploads/image/source/52799/491486.png</t>
  </si>
  <si>
    <t>https://thumbor.prod.vidiocdn.com/SWMFiUxkHBY7Y9GBJ_oCrU25x7s=/filters:quality(70)/vidio-media-production/uploads/image/source/52798/fd78cc.png</t>
  </si>
  <si>
    <t>2599c75d</t>
  </si>
  <si>
    <t>Atalanta vs Torino - Serie A</t>
  </si>
  <si>
    <t>https://www.vidio.com/live/19404-serie-a?schedule_id=4832828</t>
  </si>
  <si>
    <t>https://drive.google.com/drive/folders/1sFNJG_wRAgPOWiNbNBivP8KKNLWOuQK9?usp=drive_link</t>
  </si>
  <si>
    <t>atalanta bergamasca calcio; torino fc; sports stream</t>
  </si>
  <si>
    <t>Nonton streaming pertandingan seru Atalanta vs Torino - Serie A. Saksikan aksi-aksi terbaik dari tim yang bersaing ketat untuk meraih kemenangan. Dapatkan informasi lengkap mengenai jadwal pertandingan dan hasil pertandingan terbaru hanya di Vidio.</t>
  </si>
  <si>
    <t>https://thumbor.prod.vidiocdn.com/uvWsPIsD9oWMs7CsEcYPf0ikMp8=/filters:quality(70)/vidio-media-production/uploads/image/source/53031/c44983.png</t>
  </si>
  <si>
    <t>https://thumbor.prod.vidiocdn.com/tv1dOi5BwGIvwGYOi5c06nVSxIA=/filters:quality(70)/vidio-media-production/uploads/image/source/53030/150d14.png</t>
  </si>
  <si>
    <t>https://drive.google.com/file/d/1U7wKh7W0MGc9JpI63x776cEh_u-9At_e/view?usp=sharing</t>
  </si>
  <si>
    <t>45949cfc</t>
  </si>
  <si>
    <t>Como vs Bologna - Serie A</t>
  </si>
  <si>
    <t>https://www.vidio.com/live/19404-serie-a?schedule_id=4832297</t>
  </si>
  <si>
    <t>https://drive.google.com/drive/folders/1j-4yHacXxbrkT2sYuie5pMw434AEh1wN?usp=drive_link</t>
  </si>
  <si>
    <t>como; bologna fc 1909; sports stream</t>
  </si>
  <si>
    <t>Nonton streaming pertandingan seru Como vs Bologna - Serie A. Saksikan aksi-aksi terbaik dari tim yang bersaing ketat untuk meraih kemenangan. Dapatkan informasi lengkap mengenai jadwal pertandingan dan hasil pertandingan terbaru hanya di Vidio.</t>
  </si>
  <si>
    <t>https://thumbor.prod.vidiocdn.com/EvAEF4jXh6Uvgv7z-qgz_YQPz5k=/filters:quality(70)/vidio-media-production/uploads/image/source/53023/7b66c9.png</t>
  </si>
  <si>
    <t>https://thumbor.prod.vidiocdn.com/_fmp1DRuaEXlgPtzdAcz6Glw6fE=/filters:quality(70)/vidio-media-production/uploads/image/source/53022/018507.png</t>
  </si>
  <si>
    <t>https://drive.google.com/file/d/1MNMGLleP4QGD4co77VdJUsiba6glYTF5/view?usp=sharing</t>
  </si>
  <si>
    <t>ba618228</t>
  </si>
  <si>
    <t>Fiorentina vs Milan - Serie A</t>
  </si>
  <si>
    <t>https://www.vidio.com/live/20108-serie-a?schedule_id=4832830</t>
  </si>
  <si>
    <t>https://drive.google.com/drive/folders/1fD4lc2oppAdo0ccwcAx1V-UnVveS8lg7?usp=drive_link</t>
  </si>
  <si>
    <t>acf fiorentina; ac milan; sports stream</t>
  </si>
  <si>
    <t>Nonton streaming pertandingan seru Fiorentina vs Milan - Serie A. Saksikan aksi-aksi terbaik dari tim yang bersaing ketat untuk meraih kemenangan. Dapatkan informasi lengkap mengenai jadwal pertandingan dan hasil pertandingan terbaru hanya di Vidio.</t>
  </si>
  <si>
    <t>https://thumbor.prod.vidiocdn.com/mlRQlAHrLurfwUtQh4vHg8wRT6w=/filters:quality(70)/vidio-media-production/uploads/image/source/53080/562b0a.png</t>
  </si>
  <si>
    <t>https://thumbor.prod.vidiocdn.com/tUzkd1HIhyPQQG_yO9MX1xtkvdQ=/filters:quality(70)/vidio-media-production/uploads/image/source/53079/642950.png</t>
  </si>
  <si>
    <t>https://drive.google.com/file/d/1pz3JdLipdUSP65O6O7ajEsBM0O91vg1c/view?usp=sharing</t>
  </si>
  <si>
    <t>68cf1892</t>
  </si>
  <si>
    <t>Genoa vs Cagliari - Serie A</t>
  </si>
  <si>
    <t>genoa cfc; cagliari calcio; sports stream</t>
  </si>
  <si>
    <t>Nonton streaming pertandingan seru Genoa vs Cagliari - Serie A. Saksikan aksi-aksi terbaik dari tim yang bersaing ketat untuk meraih kemenangan. Dapatkan informasi lengkap mengenai jadwal pertandingan dan hasil pertandingan terbaru hanya di Vidio.</t>
  </si>
  <si>
    <t>https://thumbor.prod.vidiocdn.com/RSgQqp10GUTVDD_7hhAlxUlpWkE=/filters:quality(70)/vidio-media-production/uploads/image/source/53086/99f854.png</t>
  </si>
  <si>
    <t>https://thumbor.prod.vidiocdn.com/AZe5xyLlnTq3vL41C8hrFWwV5ks=/filters:quality(70)/vidio-media-production/uploads/image/source/53085/f773cb.png</t>
  </si>
  <si>
    <t>4996c527</t>
  </si>
  <si>
    <t>Inter vs Napoli - Serie A</t>
  </si>
  <si>
    <t>https://www.vidio.com/live/20109-serie-a?schedule_id=4833783</t>
  </si>
  <si>
    <t>https://drive.google.com/drive/folders/1kkcr59EtaTTE-pzLoBvOchBNVBJK3IkH?usp=drive_link</t>
  </si>
  <si>
    <t>fc internazionale milano; ssc napoli; sports stream</t>
  </si>
  <si>
    <t>Nonton streaming pertandingan seru Inter vs Napoli - Serie A. Saksikan aksi-aksi terbaik dari tim yang bersaing ketat untuk meraih kemenangan. Dapatkan informasi lengkap mengenai jadwal pertandingan dan hasil pertandingan terbaru hanya di Vidio.</t>
  </si>
  <si>
    <t>https://thumbor.prod.vidiocdn.com/2UT__C-9bexc3YNR1cFjutcYvAY=/filters:quality(70)/vidio-media-production/uploads/image/source/53094/aa4bef.png</t>
  </si>
  <si>
    <t>https://thumbor.prod.vidiocdn.com/_mczsb7YaZLx8Zig2GQ11uZk7Bc=/filters:quality(70)/vidio-media-production/uploads/image/source/53093/ab4bb7.png</t>
  </si>
  <si>
    <t>https://drive.google.com/file/d/13poEMooR04dlXhoaMHoDFdF-u9QQKIx0/view?usp=sharing</t>
  </si>
  <si>
    <t>4176fdd6</t>
  </si>
  <si>
    <t>Juventus vs Cremonese - Serie A</t>
  </si>
  <si>
    <t>https://www.vidio.com/live/20110-serie-a?schedule_id=4833785</t>
  </si>
  <si>
    <t>https://drive.google.com/drive/folders/1fAAB8m5I4MNe_awztCVf9fval3cboa-U?usp=drive_link</t>
  </si>
  <si>
    <t>juventus fc; US Cremonese; sports stream</t>
  </si>
  <si>
    <t>Nonton streaming pertandingan seru Juventus vs Cremonese - Serie A. Saksikan aksi-aksi terbaik dari tim yang bersaing ketat untuk meraih kemenangan. Dapatkan informasi lengkap mengenai jadwal pertandingan dan hasil pertandingan terbaru hanya di Vidio.</t>
  </si>
  <si>
    <t>https://thumbor.prod.vidiocdn.com/0w_hlsWqd4PrU-XlmkTbsy0CJ-s=/filters:quality(70)/vidio-media-production/uploads/image/source/53096/638cdc.png</t>
  </si>
  <si>
    <t>https://thumbor.prod.vidiocdn.com/7eGEjK_UDjV9ff666RPSKerOlGY=/filters:quality(70)/vidio-media-production/uploads/image/source/53095/98f22e.png</t>
  </si>
  <si>
    <t>https://drive.google.com/file/d/16Jen6wugVSZJctGXrokVe1k6FHnqFpzk/view?usp=sharing</t>
  </si>
  <si>
    <t>b20c8e28</t>
  </si>
  <si>
    <t>Lecce vs Parma - Serie A</t>
  </si>
  <si>
    <t>https://www.vidio.com/live/19404-serie-a?schedule_id=4832829</t>
  </si>
  <si>
    <t>us lecce; parma calcio; sports stream</t>
  </si>
  <si>
    <t>Nonton streaming pertandingan seru Lecce vs Parma - Serie A. Saksikan aksi-aksi terbaik dari tim yang bersaing ketat untuk meraih kemenangan. Dapatkan informasi lengkap mengenai jadwal pertandingan dan hasil pertandingan terbaru hanya di Vidio.</t>
  </si>
  <si>
    <t>https://thumbor.prod.vidiocdn.com/xqSImPchs3ZtsXf7ojpSsCuwFTk=/filters:quality(70)/vidio-media-production/uploads/image/source/53033/0e9159.png</t>
  </si>
  <si>
    <t>https://thumbor.prod.vidiocdn.com/NT-9oz5qxKRDeqVUTlQNCMbk8Gg=/filters:quality(70)/vidio-media-production/uploads/image/source/53032/62f0f3.png</t>
  </si>
  <si>
    <t>86165ba4</t>
  </si>
  <si>
    <t>Roma vs Sassuolo - Serie A</t>
  </si>
  <si>
    <t>https://www.vidio.com/live/19404-serie-a?schedule_id=4832827</t>
  </si>
  <si>
    <t>https://drive.google.com/drive/folders/1u_8gzTkHFG8V9O6J8SJ9kYzCs1_u8BjA?usp=drive_link</t>
  </si>
  <si>
    <t>as roma; us sassuolo calcio; sports stream</t>
  </si>
  <si>
    <t>Nonton streaming pertandingan seru Roma vs Sassuolo - Serie A. Saksikan aksi-aksi terbaik dari tim yang bersaing ketat untuk meraih kemenangan. Dapatkan informasi lengkap mengenai jadwal pertandingan dan hasil pertandingan terbaru hanya di Vidio.</t>
  </si>
  <si>
    <t>https://thumbor.prod.vidiocdn.com/4vrfwNfqgfZO_wn442W4Roln6AU=/filters:quality(70)/vidio-media-production/uploads/image/source/53025/04cc9c.png</t>
  </si>
  <si>
    <t>https://thumbor.prod.vidiocdn.com/V2wKeDTlEK4ztpW5JRE4QioCrjw=/filters:quality(70)/vidio-media-production/uploads/image/source/53024/cfb985.png</t>
  </si>
  <si>
    <t>https://drive.google.com/file/d/10oXc2HHz_i4BJ12dRBHm04vbTwdeSGQ1/view?usp=sharing</t>
  </si>
  <si>
    <t>34cc2b68</t>
  </si>
  <si>
    <t>Udinese vs Pisa - Serie A</t>
  </si>
  <si>
    <t>https://www.vidio.com/live/17938-serie-a?schedule_id=4832298</t>
  </si>
  <si>
    <t>udinese calcio; Pisa SC; sports stream</t>
  </si>
  <si>
    <t>Nonton streaming pertandingan seru Udinese vs Pisa - Serie A. Saksikan aksi-aksi terbaik dari tim yang bersaing ketat untuk meraih kemenangan. Dapatkan informasi lengkap mengenai jadwal pertandingan dan hasil pertandingan terbaru hanya di Vidio.</t>
  </si>
  <si>
    <t>https://thumbor.prod.vidiocdn.com/x43HtjUS6tXMs_RGBe1Yi1CLt3E=/filters:quality(70)/vidio-media-production/uploads/image/source/53017/7cf8ce.png</t>
  </si>
  <si>
    <t>https://thumbor.prod.vidiocdn.com/Pjwo79g5ETHDnkCxVOleZ812Q_U=/filters:quality(70)/vidio-media-production/uploads/image/source/53016/e58fd4.png</t>
  </si>
  <si>
    <t>73cd26ab</t>
  </si>
  <si>
    <t>Verona vs Lazio - Serie A</t>
  </si>
  <si>
    <t>https://www.vidio.com/live/19404-serie-a?schedule_id=4835817</t>
  </si>
  <si>
    <t>https://drive.google.com/drive/folders/1HJtyI5W9_jAY6t0R8RExTugHumECOm3f?usp=drive_link</t>
  </si>
  <si>
    <t>hellas verona fc; ss lazio; sports stream</t>
  </si>
  <si>
    <t>Nonton streaming pertandingan seru Verona vs Lazio - Serie A. Saksikan aksi-aksi terbaik dari tim yang bersaing ketat untuk meraih kemenangan. Dapatkan informasi lengkap mengenai jadwal pertandingan dan hasil pertandingan terbaru hanya di Vidio.</t>
  </si>
  <si>
    <t>https://thumbor.prod.vidiocdn.com/RVtfGA9VOJjPQiYz2wlNIMKTE6Y=/filters:quality(70)/vidio-media-production/uploads/image/source/53092/a3a70f.png</t>
  </si>
  <si>
    <t>https://thumbor.prod.vidiocdn.com/kUzDOUWzExd8JuKVaBn1M0fICEk=/filters:quality(70)/vidio-media-production/uploads/image/source/53091/40ac67.png</t>
  </si>
  <si>
    <t>https://drive.google.com/file/d/1WP4PiIrt59QQqohc2rVzOwkDfMfeJ18y/view?usp=sharing</t>
  </si>
  <si>
    <t>2adcc3b8</t>
  </si>
  <si>
    <t>Bologna vs Fiorentina - Serie A</t>
  </si>
  <si>
    <t>bologna fc 1909; acf fiorentina; sports stream</t>
  </si>
  <si>
    <t>Nonton streaming pertandingan seru Bologna vs Fiorentina - Serie A. Saksikan aksi-aksi terbaik dari tim yang bersaing ketat untuk meraih kemenangan. Dapatkan informasi lengkap mengenai jadwal pertandingan dan hasil pertandingan terbaru hanya di Vidio.</t>
  </si>
  <si>
    <t>3495877c</t>
  </si>
  <si>
    <t>Cagliari vs Juventus - Serie A</t>
  </si>
  <si>
    <t>cagliari calcio; juventus fc; sports stream</t>
  </si>
  <si>
    <t>Nonton streaming pertandingan seru Cagliari vs Juventus - Serie A. Saksikan aksi-aksi terbaik dari tim yang bersaing ketat untuk meraih kemenangan. Dapatkan informasi lengkap mengenai jadwal pertandingan dan hasil pertandingan terbaru hanya di Vidio.</t>
  </si>
  <si>
    <t>qazza.rizkianto@intern.vidio.com</t>
  </si>
  <si>
    <t>eb4497aa</t>
  </si>
  <si>
    <t>Cremonese vs Verona - Serie A</t>
  </si>
  <si>
    <t>US Cremonese; hellas verona fc; sports stream</t>
  </si>
  <si>
    <t>Nonton streaming pertandingan seru Cremonese vs Verona - Serie A. Saksikan aksi-aksi terbaik dari tim yang bersaing ketat untuk meraih kemenangan. Dapatkan informasi lengkap mengenai jadwal pertandingan dan hasil pertandingan terbaru hanya di Vidio.</t>
  </si>
  <si>
    <t>5fd7a5fe</t>
  </si>
  <si>
    <t>Lazio vs Como - Serie A</t>
  </si>
  <si>
    <t>ss lazio; como; sports stream</t>
  </si>
  <si>
    <t>Nonton streaming pertandingan seru Lazio vs Como - Serie A. Saksikan aksi-aksi terbaik dari tim yang bersaing ketat untuk meraih kemenangan. Dapatkan informasi lengkap mengenai jadwal pertandingan dan hasil pertandingan terbaru hanya di Vidio.</t>
  </si>
  <si>
    <t>7361c9fc</t>
  </si>
  <si>
    <t>Milan vs Lecce - Serie A</t>
  </si>
  <si>
    <t>ac milan; us lecce; sports stream</t>
  </si>
  <si>
    <t>Nonton streaming pertandingan seru Milan vs Lecce - Serie A. Saksikan aksi-aksi terbaik dari tim yang bersaing ketat untuk meraih kemenangan. Dapatkan informasi lengkap mengenai jadwal pertandingan dan hasil pertandingan terbaru hanya di Vidio.</t>
  </si>
  <si>
    <t>551d9225</t>
  </si>
  <si>
    <t>Napoli vs Sassuolo - Serie A</t>
  </si>
  <si>
    <t>ssc napoli; us sassuolo calcio; sports stream</t>
  </si>
  <si>
    <t>Nonton streaming pertandingan seru Napoli vs Sassuolo - Serie A. Saksikan aksi-aksi terbaik dari tim yang bersaing ketat untuk meraih kemenangan. Dapatkan informasi lengkap mengenai jadwal pertandingan dan hasil pertandingan terbaru hanya di Vidio.</t>
  </si>
  <si>
    <t>33466167</t>
  </si>
  <si>
    <t>Parma vs Genoa - Serie A</t>
  </si>
  <si>
    <t>parma calcio; genoa cfc; sports stream</t>
  </si>
  <si>
    <t>Nonton streaming pertandingan seru Parma vs Genoa - Serie A. Saksikan aksi-aksi terbaik dari tim yang bersaing ketat untuk meraih kemenangan. Dapatkan informasi lengkap mengenai jadwal pertandingan dan hasil pertandingan terbaru hanya di Vidio.</t>
  </si>
  <si>
    <t>cab583cd</t>
  </si>
  <si>
    <t>Pisa vs Atalanta - Serie A</t>
  </si>
  <si>
    <t>Pisa SC; atalanta bergamasca calcio; sports stream</t>
  </si>
  <si>
    <t>Nonton streaming pertandingan seru Pisa vs Atalanta - Serie A. Saksikan aksi-aksi terbaik dari tim yang bersaing ketat untuk meraih kemenangan. Dapatkan informasi lengkap mengenai jadwal pertandingan dan hasil pertandingan terbaru hanya di Vidio.</t>
  </si>
  <si>
    <t>0ff1e2e6</t>
  </si>
  <si>
    <t>Torino vs Roma - Serie A</t>
  </si>
  <si>
    <t>torino fc; as roma; sports stream</t>
  </si>
  <si>
    <t>Nonton streaming pertandingan seru Torino vs Roma - Serie A. Saksikan aksi-aksi terbaik dari tim yang bersaing ketat untuk meraih kemenangan. Dapatkan informasi lengkap mengenai jadwal pertandingan dan hasil pertandingan terbaru hanya di Vidio.</t>
  </si>
  <si>
    <t>e62f9df6</t>
  </si>
  <si>
    <t>Udinese vs Inter - Serie A</t>
  </si>
  <si>
    <t>udinese calcio; fc internazionale milano; sports stream</t>
  </si>
  <si>
    <t>Nonton streaming pertandingan seru Udinese vs Inter - Serie A. Saksikan aksi-aksi terbaik dari tim yang bersaing ketat untuk meraih kemenangan. Dapatkan informasi lengkap mengenai jadwal pertandingan dan hasil pertandingan terbaru hanya di Vidio.</t>
  </si>
  <si>
    <t>308dd391</t>
  </si>
  <si>
    <t>Atalanta vs Parma - Serie A</t>
  </si>
  <si>
    <t>atalanta bergamasca calcio; parma calcio; sports stream</t>
  </si>
  <si>
    <t>Nonton streaming pertandingan seru Atalanta vs Parma - Serie A. Saksikan aksi-aksi terbaik dari tim yang bersaing ketat untuk meraih kemenangan. Dapatkan informasi lengkap mengenai jadwal pertandingan dan hasil pertandingan terbaru hanya di Vidio.</t>
  </si>
  <si>
    <t>a3b03a77</t>
  </si>
  <si>
    <t>Como vs Torino - Serie A</t>
  </si>
  <si>
    <t>como; torino fc; sports stream</t>
  </si>
  <si>
    <t>Nonton streaming pertandingan seru Como vs Torino - Serie A. Saksikan aksi-aksi terbaik dari tim yang bersaing ketat untuk meraih kemenangan. Dapatkan informasi lengkap mengenai jadwal pertandingan dan hasil pertandingan terbaru hanya di Vidio.</t>
  </si>
  <si>
    <t>b975d18d</t>
  </si>
  <si>
    <t>Fiorentina vs Cagliari - Serie A</t>
  </si>
  <si>
    <t>acf fiorentina; cagliari calcio; sports stream</t>
  </si>
  <si>
    <t>Nonton streaming pertandingan seru Fiorentina vs Cagliari - Serie A. Saksikan aksi-aksi terbaik dari tim yang bersaing ketat untuk meraih kemenangan. Dapatkan informasi lengkap mengenai jadwal pertandingan dan hasil pertandingan terbaru hanya di Vidio.</t>
  </si>
  <si>
    <t>1cd4b7f2</t>
  </si>
  <si>
    <t>Genoa vs Bologna - Serie A</t>
  </si>
  <si>
    <t>genoa cfc; bologna fc 1909; sports stream</t>
  </si>
  <si>
    <t>Nonton streaming pertandingan seru Genoa vs Bologna - Serie A. Saksikan aksi-aksi terbaik dari tim yang bersaing ketat untuk meraih kemenangan. Dapatkan informasi lengkap mengenai jadwal pertandingan dan hasil pertandingan terbaru hanya di Vidio.</t>
  </si>
  <si>
    <t>74c885e8</t>
  </si>
  <si>
    <t>Inter vs Pisa - Serie A</t>
  </si>
  <si>
    <t>fc internazionale milano; Pisa SC; sports stream</t>
  </si>
  <si>
    <t>Nonton streaming pertandingan seru Inter vs Pisa - Serie A. Saksikan aksi-aksi terbaik dari tim yang bersaing ketat untuk meraih kemenangan. Dapatkan informasi lengkap mengenai jadwal pertandingan dan hasil pertandingan terbaru hanya di Vidio.</t>
  </si>
  <si>
    <t>485d716a</t>
  </si>
  <si>
    <t>Juventus vs Napoli - Serie A</t>
  </si>
  <si>
    <t>juventus fc; ssc napoli; sports stream</t>
  </si>
  <si>
    <t>Nonton streaming pertandingan seru Juventus vs Napoli - Serie A. Saksikan aksi-aksi terbaik dari tim yang bersaing ketat untuk meraih kemenangan. Dapatkan informasi lengkap mengenai jadwal pertandingan dan hasil pertandingan terbaru hanya di Vidio.</t>
  </si>
  <si>
    <t>3eb5322e</t>
  </si>
  <si>
    <t>Lecce vs Lazio - Serie A</t>
  </si>
  <si>
    <t>us lecce; ss lazio; sports stream</t>
  </si>
  <si>
    <t>Nonton streaming pertandingan seru Lecce vs Lazio - Serie A. Saksikan aksi-aksi terbaik dari tim yang bersaing ketat untuk meraih kemenangan. Dapatkan informasi lengkap mengenai jadwal pertandingan dan hasil pertandingan terbaru hanya di Vidio.</t>
  </si>
  <si>
    <t>7c1e4e92</t>
  </si>
  <si>
    <t>Roma vs Milan - Serie A</t>
  </si>
  <si>
    <t>as roma; ac milan; sports stream</t>
  </si>
  <si>
    <t>Nonton streaming pertandingan seru Roma vs Milan - Serie A. Saksikan aksi-aksi terbaik dari tim yang bersaing ketat untuk meraih kemenangan. Dapatkan informasi lengkap mengenai jadwal pertandingan dan hasil pertandingan terbaru hanya di Vidio.</t>
  </si>
  <si>
    <t>fbecb4e1</t>
  </si>
  <si>
    <t>Sassuolo vs Cremonese - Serie A</t>
  </si>
  <si>
    <t>us sassuolo calcio; US Cremonese; sports stream</t>
  </si>
  <si>
    <t>Nonton streaming pertandingan seru Sassuolo vs Cremonese - Serie A. Saksikan aksi-aksi terbaik dari tim yang bersaing ketat untuk meraih kemenangan. Dapatkan informasi lengkap mengenai jadwal pertandingan dan hasil pertandingan terbaru hanya di Vidio.</t>
  </si>
  <si>
    <t>bdffe857</t>
  </si>
  <si>
    <t>Verona vs Udinese - Serie A</t>
  </si>
  <si>
    <t>hellas verona fc; udinese calcio; sports stream</t>
  </si>
  <si>
    <t>Nonton streaming pertandingan seru Verona vs Udinese - Serie A. Saksikan aksi-aksi terbaik dari tim yang bersaing ketat untuk meraih kemenangan. Dapatkan informasi lengkap mengenai jadwal pertandingan dan hasil pertandingan terbaru hanya di Vidio.</t>
  </si>
  <si>
    <t>f3ad9442</t>
  </si>
  <si>
    <t>Bologna vs Milan - Serie A</t>
  </si>
  <si>
    <t>bologna fc 1909; ac milan; sports stream</t>
  </si>
  <si>
    <t>Nonton streaming pertandingan seru Bologna vs Milan - Serie A. Saksikan aksi-aksi terbaik dari tim yang bersaing ketat untuk meraih kemenangan. Dapatkan informasi lengkap mengenai jadwal pertandingan dan hasil pertandingan terbaru hanya di Vidio.</t>
  </si>
  <si>
    <t>muhammad.ridhoi@intern.vidio.com</t>
  </si>
  <si>
    <t>b0bae08f</t>
  </si>
  <si>
    <t>Cagliari vs Verona - Serie A</t>
  </si>
  <si>
    <t>cagliari calcio; hellas verona fc; sports stream</t>
  </si>
  <si>
    <t>Nonton streaming pertandingan seru Cagliari vs Verona - Serie A. Saksikan aksi-aksi terbaik dari tim yang bersaing ketat untuk meraih kemenangan. Dapatkan informasi lengkap mengenai jadwal pertandingan dan hasil pertandingan terbaru hanya di Vidio.</t>
  </si>
  <si>
    <t>6d82ecd7</t>
  </si>
  <si>
    <t>Como vs Atalanta - Serie A</t>
  </si>
  <si>
    <t>como; atalanta bergamasca calcio; sports stream</t>
  </si>
  <si>
    <t>Nonton streaming pertandingan seru Como vs Atalanta - Serie A. Saksikan aksi-aksi terbaik dari tim yang bersaing ketat untuk meraih kemenangan. Dapatkan informasi lengkap mengenai jadwal pertandingan dan hasil pertandingan terbaru hanya di Vidio.</t>
  </si>
  <si>
    <t>b07bee2c</t>
  </si>
  <si>
    <t>Cremonese vs Inter - Serie A</t>
  </si>
  <si>
    <t>US Cremonese; fc internazionale milano; sports stream</t>
  </si>
  <si>
    <t>Nonton streaming pertandingan seru Cremonese vs Inter - Serie A. Saksikan aksi-aksi terbaik dari tim yang bersaing ketat untuk meraih kemenangan. Dapatkan informasi lengkap mengenai jadwal pertandingan dan hasil pertandingan terbaru hanya di Vidio.</t>
  </si>
  <si>
    <t>c66e1a11</t>
  </si>
  <si>
    <t>Lazio vs Genoa - Serie A</t>
  </si>
  <si>
    <t>ss lazio; genoa cfc; sports stream</t>
  </si>
  <si>
    <t>Nonton streaming pertandingan seru Lazio vs Genoa - Serie A. Saksikan aksi-aksi terbaik dari tim yang bersaing ketat untuk meraih kemenangan. Dapatkan informasi lengkap mengenai jadwal pertandingan dan hasil pertandingan terbaru hanya di Vidio.</t>
  </si>
  <si>
    <t>09c41390</t>
  </si>
  <si>
    <t>Napoli vs Fiorentina - Serie A</t>
  </si>
  <si>
    <t>ssc napoli; acf fiorentina; sports stream</t>
  </si>
  <si>
    <t>Nonton streaming pertandingan seru Napoli vs Fiorentina - Serie A. Saksikan aksi-aksi terbaik dari tim yang bersaing ketat untuk meraih kemenangan. Dapatkan informasi lengkap mengenai jadwal pertandingan dan hasil pertandingan terbaru hanya di Vidio.</t>
  </si>
  <si>
    <t>487dfe88</t>
  </si>
  <si>
    <t>Parma vs Juventus - Serie A</t>
  </si>
  <si>
    <t>parma calcio; juventus fc; sports stream</t>
  </si>
  <si>
    <t>Nonton streaming pertandingan seru Parma vs Juventus - Serie A. Saksikan aksi-aksi terbaik dari tim yang bersaing ketat untuk meraih kemenangan. Dapatkan informasi lengkap mengenai jadwal pertandingan dan hasil pertandingan terbaru hanya di Vidio.</t>
  </si>
  <si>
    <t>da4f08f8</t>
  </si>
  <si>
    <t>Pisa vs Sassuolo - Serie A</t>
  </si>
  <si>
    <t>Pisa SC; us sassuolo calcio; sports stream</t>
  </si>
  <si>
    <t>Nonton streaming pertandingan seru Pisa vs Sassuolo - Serie A. Saksikan aksi-aksi terbaik dari tim yang bersaing ketat untuk meraih kemenangan. Dapatkan informasi lengkap mengenai jadwal pertandingan dan hasil pertandingan terbaru hanya di Vidio.</t>
  </si>
  <si>
    <t>954c880f</t>
  </si>
  <si>
    <t>Torino vs Lecce - Serie A</t>
  </si>
  <si>
    <t>torino fc; us lecce; sports stream</t>
  </si>
  <si>
    <t>Nonton streaming pertandingan seru Torino vs Lecce - Serie A. Saksikan aksi-aksi terbaik dari tim yang bersaing ketat untuk meraih kemenangan. Dapatkan informasi lengkap mengenai jadwal pertandingan dan hasil pertandingan terbaru hanya di Vidio.</t>
  </si>
  <si>
    <t>4c122cf1</t>
  </si>
  <si>
    <t>Udinese vs Roma - Serie A</t>
  </si>
  <si>
    <t>udinese calcio; as roma; sports stream</t>
  </si>
  <si>
    <t>Nonton streaming pertandingan seru Udinese vs Roma - Serie A. Saksikan aksi-aksi terbaik dari tim yang bersaing ketat untuk meraih kemenangan. Dapatkan informasi lengkap mengenai jadwal pertandingan dan hasil pertandingan terbaru hanya di Vidio.</t>
  </si>
  <si>
    <t>7cbb7092</t>
  </si>
  <si>
    <t>Atalanta vs Cremonese - Serie A</t>
  </si>
  <si>
    <t>atalanta bergamasca calcio; US Cremonese; sports stream</t>
  </si>
  <si>
    <t>Nonton streaming pertandingan seru Atalanta vs Cremonese - Serie A. Saksikan aksi-aksi terbaik dari tim yang bersaing ketat untuk meraih kemenangan. Dapatkan informasi lengkap mengenai jadwal pertandingan dan hasil pertandingan terbaru hanya di Vidio.</t>
  </si>
  <si>
    <t>85ae34f4</t>
  </si>
  <si>
    <t>Bologna vs Parma - Serie A</t>
  </si>
  <si>
    <t>bologna fc 1909; parma calcio; sports stream</t>
  </si>
  <si>
    <t>Nonton streaming pertandingan seru Bologna vs Parma - Serie A. Saksikan aksi-aksi terbaik dari tim yang bersaing ketat untuk meraih kemenangan. Dapatkan informasi lengkap mengenai jadwal pertandingan dan hasil pertandingan terbaru hanya di Vidio.</t>
  </si>
  <si>
    <t>db5d4947</t>
  </si>
  <si>
    <t>Fiorentina vs Torino - Serie A</t>
  </si>
  <si>
    <t>acf fiorentina; torino fc; sports stream</t>
  </si>
  <si>
    <t>Nonton streaming pertandingan seru Fiorentina vs Torino - Serie A. Saksikan aksi-aksi terbaik dari tim yang bersaing ketat untuk meraih kemenangan. Dapatkan informasi lengkap mengenai jadwal pertandingan dan hasil pertandingan terbaru hanya di Vidio.</t>
  </si>
  <si>
    <t>f406f277</t>
  </si>
  <si>
    <t>Genoa vs Napoli - Serie A</t>
  </si>
  <si>
    <t>genoa cfc; ssc napoli; sports stream</t>
  </si>
  <si>
    <t>Nonton streaming pertandingan seru Genoa vs Napoli - Serie A. Saksikan aksi-aksi terbaik dari tim yang bersaing ketat untuk meraih kemenangan. Dapatkan informasi lengkap mengenai jadwal pertandingan dan hasil pertandingan terbaru hanya di Vidio.</t>
  </si>
  <si>
    <t>43bc2b8d</t>
  </si>
  <si>
    <t>Juventus vs Lazio - Serie A</t>
  </si>
  <si>
    <t>juventus fc; ss lazio; sports stream</t>
  </si>
  <si>
    <t>Nonton streaming pertandingan seru Juventus vs Lazio - Serie A. Saksikan aksi-aksi terbaik dari tim yang bersaing ketat untuk meraih kemenangan. Dapatkan informasi lengkap mengenai jadwal pertandingan dan hasil pertandingan terbaru hanya di Vidio.</t>
  </si>
  <si>
    <t>35c86be5</t>
  </si>
  <si>
    <t>Lecce vs Udinese - Serie A</t>
  </si>
  <si>
    <t>us lecce; udinese calcio; sports stream</t>
  </si>
  <si>
    <t>Nonton streaming pertandingan seru Lecce vs Udinese - Serie A. Saksikan aksi-aksi terbaik dari tim yang bersaing ketat untuk meraih kemenangan. Dapatkan informasi lengkap mengenai jadwal pertandingan dan hasil pertandingan terbaru hanya di Vidio.</t>
  </si>
  <si>
    <t>4fb9e7d9</t>
  </si>
  <si>
    <t>Milan vs Como - Serie A</t>
  </si>
  <si>
    <t>ac milan; como; sports stream</t>
  </si>
  <si>
    <t>Nonton streaming pertandingan seru Milan vs Como - Serie A. Saksikan aksi-aksi terbaik dari tim yang bersaing ketat untuk meraih kemenangan. Dapatkan informasi lengkap mengenai jadwal pertandingan dan hasil pertandingan terbaru hanya di Vidio.</t>
  </si>
  <si>
    <t>abb7bef1</t>
  </si>
  <si>
    <t>Roma vs Cagliari - Serie A</t>
  </si>
  <si>
    <t>as roma; cagliari calcio; sports stream</t>
  </si>
  <si>
    <t>Nonton streaming pertandingan seru Roma vs Cagliari - Serie A. Saksikan aksi-aksi terbaik dari tim yang bersaing ketat untuk meraih kemenangan. Dapatkan informasi lengkap mengenai jadwal pertandingan dan hasil pertandingan terbaru hanya di Vidio.</t>
  </si>
  <si>
    <t>3fbdba3c</t>
  </si>
  <si>
    <t>Sassuolo vs Inter - Serie A</t>
  </si>
  <si>
    <t>us sassuolo calcio; fc internazionale milano; sports stream</t>
  </si>
  <si>
    <t>Nonton streaming pertandingan seru Sassuolo vs Inter - Serie A. Saksikan aksi-aksi terbaik dari tim yang bersaing ketat untuk meraih kemenangan. Dapatkan informasi lengkap mengenai jadwal pertandingan dan hasil pertandingan terbaru hanya di Vidio.</t>
  </si>
  <si>
    <t>c1e3812e</t>
  </si>
  <si>
    <t>Verona vs Pisa - Serie A</t>
  </si>
  <si>
    <t>hellas verona fc; Pisa SC; sports stream</t>
  </si>
  <si>
    <t>Nonton streaming pertandingan seru Verona vs Pisa - Serie A. Saksikan aksi-aksi terbaik dari tim yang bersaing ketat untuk meraih kemenangan. Dapatkan informasi lengkap mengenai jadwal pertandingan dan hasil pertandingan terbaru hanya di Vidio.</t>
  </si>
  <si>
    <t>eccba1cb</t>
  </si>
  <si>
    <t>Cagliari vs Lecce - Serie A</t>
  </si>
  <si>
    <t>cagliari calcio; us lecce; sports stream</t>
  </si>
  <si>
    <t>Nonton streaming pertandingan seru Cagliari vs Lecce - Serie A. Saksikan aksi-aksi terbaik dari tim yang bersaing ketat untuk meraih kemenangan. Dapatkan informasi lengkap mengenai jadwal pertandingan dan hasil pertandingan terbaru hanya di Vidio.</t>
  </si>
  <si>
    <t>779b1dac</t>
  </si>
  <si>
    <t>Como vs Fiorentina - Serie A</t>
  </si>
  <si>
    <t>como; acf fiorentina; sports stream</t>
  </si>
  <si>
    <t>Nonton streaming pertandingan seru Como vs Fiorentina - Serie A. Saksikan aksi-aksi terbaik dari tim yang bersaing ketat untuk meraih kemenangan. Dapatkan informasi lengkap mengenai jadwal pertandingan dan hasil pertandingan terbaru hanya di Vidio.</t>
  </si>
  <si>
    <t>9602018d</t>
  </si>
  <si>
    <t>Cremonese vs Genoa - Serie A</t>
  </si>
  <si>
    <t>US Cremonese; genoa cfc; sports stream</t>
  </si>
  <si>
    <t>Nonton streaming pertandingan seru Cremonese vs Genoa - Serie A. Saksikan aksi-aksi terbaik dari tim yang bersaing ketat untuk meraih kemenangan. Dapatkan informasi lengkap mengenai jadwal pertandingan dan hasil pertandingan terbaru hanya di Vidio.</t>
  </si>
  <si>
    <t>7e2cecad</t>
  </si>
  <si>
    <t>Inter vs Juventus - Serie A</t>
  </si>
  <si>
    <t>fc internazionale milano; juventus fc; sports stream</t>
  </si>
  <si>
    <t>Nonton streaming pertandingan seru Inter vs Juventus - Serie A. Saksikan aksi-aksi terbaik dari tim yang bersaing ketat untuk meraih kemenangan. Dapatkan informasi lengkap mengenai jadwal pertandingan dan hasil pertandingan terbaru hanya di Vidio.</t>
  </si>
  <si>
    <t>daef2333</t>
  </si>
  <si>
    <t>Lazio vs Atalanta - Serie A</t>
  </si>
  <si>
    <t>ss lazio; atalanta bergamasca calcio; sports stream</t>
  </si>
  <si>
    <t>Nonton streaming pertandingan seru Lazio vs Atalanta - Serie A. Saksikan aksi-aksi terbaik dari tim yang bersaing ketat untuk meraih kemenangan. Dapatkan informasi lengkap mengenai jadwal pertandingan dan hasil pertandingan terbaru hanya di Vidio.</t>
  </si>
  <si>
    <t>5276e10e</t>
  </si>
  <si>
    <t>Napoli vs Roma - Serie A</t>
  </si>
  <si>
    <t>ssc napoli; as roma; sports stream</t>
  </si>
  <si>
    <t>Nonton streaming pertandingan seru Napoli vs Roma - Serie A. Saksikan aksi-aksi terbaik dari tim yang bersaing ketat untuk meraih kemenangan. Dapatkan informasi lengkap mengenai jadwal pertandingan dan hasil pertandingan terbaru hanya di Vidio.</t>
  </si>
  <si>
    <t>591ce9c7</t>
  </si>
  <si>
    <t>Parma vs Verona - Serie A</t>
  </si>
  <si>
    <t>parma calcio; hellas verona fc; sports stream</t>
  </si>
  <si>
    <t>Nonton streaming pertandingan seru Parma vs Verona - Serie A. Saksikan aksi-aksi terbaik dari tim yang bersaing ketat untuk meraih kemenangan. Dapatkan informasi lengkap mengenai jadwal pertandingan dan hasil pertandingan terbaru hanya di Vidio.</t>
  </si>
  <si>
    <t>ff15aa11</t>
  </si>
  <si>
    <t>Pisa vs Milan - Serie A</t>
  </si>
  <si>
    <t>Pisa SC; ac milan; sports stream</t>
  </si>
  <si>
    <t>Nonton streaming pertandingan seru Pisa vs Milan - Serie A. Saksikan aksi-aksi terbaik dari tim yang bersaing ketat untuk meraih kemenangan. Dapatkan informasi lengkap mengenai jadwal pertandingan dan hasil pertandingan terbaru hanya di Vidio.</t>
  </si>
  <si>
    <t>e76da0cd</t>
  </si>
  <si>
    <t>Torino vs Bologna - Serie A</t>
  </si>
  <si>
    <t>torino fc; bologna fc 1909; sports stream</t>
  </si>
  <si>
    <t>Nonton streaming pertandingan seru Torino vs Bologna - Serie A. Saksikan aksi-aksi terbaik dari tim yang bersaing ketat untuk meraih kemenangan. Dapatkan informasi lengkap mengenai jadwal pertandingan dan hasil pertandingan terbaru hanya di Vidio.</t>
  </si>
  <si>
    <t>38d7796b</t>
  </si>
  <si>
    <t>Udinese vs Sassuolo - Serie A</t>
  </si>
  <si>
    <t>udinese calcio; us sassuolo calcio; sports stream</t>
  </si>
  <si>
    <t>Nonton streaming pertandingan seru Udinese vs Sassuolo - Serie A. Saksikan aksi-aksi terbaik dari tim yang bersaing ketat untuk meraih kemenangan. Dapatkan informasi lengkap mengenai jadwal pertandingan dan hasil pertandingan terbaru hanya di Vidio.</t>
  </si>
  <si>
    <t>e667a05b</t>
  </si>
  <si>
    <t>Atalanta vs Napoli - Serie A</t>
  </si>
  <si>
    <t>atalanta bergamasca calcio; ssc napoli; sports stream</t>
  </si>
  <si>
    <t>Nonton streaming pertandingan seru Atalanta vs Napoli - Serie A. Saksikan aksi-aksi terbaik dari tim yang bersaing ketat untuk meraih kemenangan. Dapatkan informasi lengkap mengenai jadwal pertandingan dan hasil pertandingan terbaru hanya di Vidio.</t>
  </si>
  <si>
    <t>muhammad.fawwaz@intern.vidio.com</t>
  </si>
  <si>
    <t>https://thumbor.prod.vidiocdn.com/-ln-lR76bFHOqensAnPh0j8alms=/filters:quality(70)/vidio-media-production/uploads/image/source/52220/9a7b67.png</t>
  </si>
  <si>
    <t>https://thumbor.prod.vidiocdn.com/J686FfXf3HX-0lkgISVvmBZOqW8=/filters:quality(70)/vidio-media-production/uploads/image/source/52219/62f1ee.png</t>
  </si>
  <si>
    <t>923273b8</t>
  </si>
  <si>
    <t>Bologna vs Udinese - Serie A</t>
  </si>
  <si>
    <t>bologna fc 1909; udinese calcio; sports stream</t>
  </si>
  <si>
    <t>Nonton streaming pertandingan seru Bologna vs Udinese - Serie A. Saksikan aksi-aksi terbaik dari tim yang bersaing ketat untuk meraih kemenangan. Dapatkan informasi lengkap mengenai jadwal pertandingan dan hasil pertandingan terbaru hanya di Vidio.</t>
  </si>
  <si>
    <t>071b345f</t>
  </si>
  <si>
    <t>Cagliari vs Lazio - Serie A</t>
  </si>
  <si>
    <t>cagliari calcio; ss lazio; sports stream</t>
  </si>
  <si>
    <t>Nonton streaming pertandingan seru Cagliari vs Lazio - Serie A. Saksikan aksi-aksi terbaik dari tim yang bersaing ketat untuk meraih kemenangan. Dapatkan informasi lengkap mengenai jadwal pertandingan dan hasil pertandingan terbaru hanya di Vidio.</t>
  </si>
  <si>
    <t>84713351</t>
  </si>
  <si>
    <t>Fiorentina vs Pisa - Serie A</t>
  </si>
  <si>
    <t>acf fiorentina; Pisa SC; sports stream</t>
  </si>
  <si>
    <t>Nonton streaming pertandingan seru Fiorentina vs Pisa - Serie A. Saksikan aksi-aksi terbaik dari tim yang bersaing ketat untuk meraih kemenangan. Dapatkan informasi lengkap mengenai jadwal pertandingan dan hasil pertandingan terbaru hanya di Vidio.</t>
  </si>
  <si>
    <t>7a8d2fe3</t>
  </si>
  <si>
    <t>Genoa vs Torino - Serie A</t>
  </si>
  <si>
    <t>genoa cfc; torino fc; sports stream</t>
  </si>
  <si>
    <t>Nonton streaming pertandingan seru Genoa vs Torino - Serie A. Saksikan aksi-aksi terbaik dari tim yang bersaing ketat untuk meraih kemenangan. Dapatkan informasi lengkap mengenai jadwal pertandingan dan hasil pertandingan terbaru hanya di Vidio.</t>
  </si>
  <si>
    <t>d884a385</t>
  </si>
  <si>
    <t>Juventus vs Como - Serie A</t>
  </si>
  <si>
    <t>juventus fc; como; sports stream</t>
  </si>
  <si>
    <t>Nonton streaming pertandingan seru Juventus vs Como - Serie A. Saksikan aksi-aksi terbaik dari tim yang bersaing ketat untuk meraih kemenangan. Dapatkan informasi lengkap mengenai jadwal pertandingan dan hasil pertandingan terbaru hanya di Vidio.</t>
  </si>
  <si>
    <t>1fd190f2</t>
  </si>
  <si>
    <t>Lecce vs Inter - Serie A</t>
  </si>
  <si>
    <t>us lecce; fc internazionale milano; sports stream</t>
  </si>
  <si>
    <t>Nonton streaming pertandingan seru Lecce vs Inter - Serie A. Saksikan aksi-aksi terbaik dari tim yang bersaing ketat untuk meraih kemenangan. Dapatkan informasi lengkap mengenai jadwal pertandingan dan hasil pertandingan terbaru hanya di Vidio.</t>
  </si>
  <si>
    <t>451cd22f</t>
  </si>
  <si>
    <t>Milan vs Parma - Serie A</t>
  </si>
  <si>
    <t>ac milan; parma calcio; sports stream</t>
  </si>
  <si>
    <t>Nonton streaming pertandingan seru Milan vs Parma - Serie A. Saksikan aksi-aksi terbaik dari tim yang bersaing ketat untuk meraih kemenangan. Dapatkan informasi lengkap mengenai jadwal pertandingan dan hasil pertandingan terbaru hanya di Vidio.</t>
  </si>
  <si>
    <t>6b9a80b4</t>
  </si>
  <si>
    <t>Roma vs Cremonese - Serie A</t>
  </si>
  <si>
    <t>as roma; US Cremonese; sports stream</t>
  </si>
  <si>
    <t>Nonton streaming pertandingan seru Roma vs Cremonese - Serie A. Saksikan aksi-aksi terbaik dari tim yang bersaing ketat untuk meraih kemenangan. Dapatkan informasi lengkap mengenai jadwal pertandingan dan hasil pertandingan terbaru hanya di Vidio.</t>
  </si>
  <si>
    <t>deb7ccb5</t>
  </si>
  <si>
    <t>Sassuolo vs Verona - Serie A</t>
  </si>
  <si>
    <t>us sassuolo calcio; hellas verona fc; sports stream</t>
  </si>
  <si>
    <t>Nonton streaming pertandingan seru Sassuolo vs Verona - Serie A. Saksikan aksi-aksi terbaik dari tim yang bersaing ketat untuk meraih kemenangan. Dapatkan informasi lengkap mengenai jadwal pertandingan dan hasil pertandingan terbaru hanya di Vidio.</t>
  </si>
  <si>
    <t>72afe5e0</t>
  </si>
  <si>
    <t>Como vs Lecce - Serie A</t>
  </si>
  <si>
    <t>como; us lecce; sports stream</t>
  </si>
  <si>
    <t>Nonton streaming pertandingan seru Como vs Lecce - Serie A. Saksikan aksi-aksi terbaik dari tim yang bersaing ketat untuk meraih kemenangan. Dapatkan informasi lengkap mengenai jadwal pertandingan dan hasil pertandingan terbaru hanya di Vidio.</t>
  </si>
  <si>
    <t>8f17f989</t>
  </si>
  <si>
    <t>Cremonese vs Milan - Serie A</t>
  </si>
  <si>
    <t>US Cremonese; ac milan; sports stream</t>
  </si>
  <si>
    <t>Nonton streaming pertandingan seru Cremonese vs Milan - Serie A. Saksikan aksi-aksi terbaik dari tim yang bersaing ketat untuk meraih kemenangan. Dapatkan informasi lengkap mengenai jadwal pertandingan dan hasil pertandingan terbaru hanya di Vidio.</t>
  </si>
  <si>
    <t>82e613cc</t>
  </si>
  <si>
    <t>Inter vs Genoa - Serie A</t>
  </si>
  <si>
    <t>fc internazionale milano; genoa cfc; sports stream</t>
  </si>
  <si>
    <t>Nonton streaming pertandingan seru Inter vs Genoa - Serie A. Saksikan aksi-aksi terbaik dari tim yang bersaing ketat untuk meraih kemenangan. Dapatkan informasi lengkap mengenai jadwal pertandingan dan hasil pertandingan terbaru hanya di Vidio.</t>
  </si>
  <si>
    <t>e4928a9e</t>
  </si>
  <si>
    <t>Parma vs Cagliari - Serie A</t>
  </si>
  <si>
    <t>parma calcio; cagliari calcio; sports stream</t>
  </si>
  <si>
    <t>Nonton streaming pertandingan seru Parma vs Cagliari - Serie A. Saksikan aksi-aksi terbaik dari tim yang bersaing ketat untuk meraih kemenangan. Dapatkan informasi lengkap mengenai jadwal pertandingan dan hasil pertandingan terbaru hanya di Vidio.</t>
  </si>
  <si>
    <t>051d90aa</t>
  </si>
  <si>
    <t>Pisa vs Bologna - Serie A</t>
  </si>
  <si>
    <t>Pisa SC; bologna fc 1909; sports stream</t>
  </si>
  <si>
    <t>Nonton streaming pertandingan seru Pisa vs Bologna - Serie A. Saksikan aksi-aksi terbaik dari tim yang bersaing ketat untuk meraih kemenangan. Dapatkan informasi lengkap mengenai jadwal pertandingan dan hasil pertandingan terbaru hanya di Vidio.</t>
  </si>
  <si>
    <t>3a572a44</t>
  </si>
  <si>
    <t>Roma vs Juventus - Serie A</t>
  </si>
  <si>
    <t>as roma; juventus fc; sports stream</t>
  </si>
  <si>
    <t>Nonton streaming pertandingan seru Roma vs Juventus - Serie A. Saksikan aksi-aksi terbaik dari tim yang bersaing ketat untuk meraih kemenangan. Dapatkan informasi lengkap mengenai jadwal pertandingan dan hasil pertandingan terbaru hanya di Vidio.</t>
  </si>
  <si>
    <t>03e2f2b9</t>
  </si>
  <si>
    <t>Sassuolo vs Atalanta - Serie A</t>
  </si>
  <si>
    <t>us sassuolo calcio; atalanta bergamasca calcio; sports stream</t>
  </si>
  <si>
    <t>Nonton streaming pertandingan seru Sassuolo vs Atalanta - Serie A. Saksikan aksi-aksi terbaik dari tim yang bersaing ketat untuk meraih kemenangan. Dapatkan informasi lengkap mengenai jadwal pertandingan dan hasil pertandingan terbaru hanya di Vidio.</t>
  </si>
  <si>
    <t>3d1f1204</t>
  </si>
  <si>
    <t>Torino vs Lazio - Serie A</t>
  </si>
  <si>
    <t>torino fc; ss lazio; sports stream</t>
  </si>
  <si>
    <t>Nonton streaming pertandingan seru Torino vs Lazio - Serie A. Saksikan aksi-aksi terbaik dari tim yang bersaing ketat untuk meraih kemenangan. Dapatkan informasi lengkap mengenai jadwal pertandingan dan hasil pertandingan terbaru hanya di Vidio.</t>
  </si>
  <si>
    <t>032775d6</t>
  </si>
  <si>
    <t>Udinese vs Fiorentina - Serie A</t>
  </si>
  <si>
    <t>udinese calcio; acf fiorentina; sports stream</t>
  </si>
  <si>
    <t>Nonton streaming pertandingan seru Udinese vs Fiorentina - Serie A. Saksikan aksi-aksi terbaik dari tim yang bersaing ketat untuk meraih kemenangan. Dapatkan informasi lengkap mengenai jadwal pertandingan dan hasil pertandingan terbaru hanya di Vidio.</t>
  </si>
  <si>
    <t>5203b498</t>
  </si>
  <si>
    <t>Verona vs Napoli - Serie A</t>
  </si>
  <si>
    <t>hellas verona fc; ssc napoli; sports stream</t>
  </si>
  <si>
    <t>Nonton streaming pertandingan seru Verona vs Napoli - Serie A. Saksikan aksi-aksi terbaik dari tim yang bersaing ketat untuk meraih kemenangan. Dapatkan informasi lengkap mengenai jadwal pertandingan dan hasil pertandingan terbaru hanya di Vidio.</t>
  </si>
  <si>
    <t>dee7bb38</t>
  </si>
  <si>
    <t>Atalanta vs Udinese - Serie A</t>
  </si>
  <si>
    <t>atalanta bergamasca calcio; udinese calcio; sports stream</t>
  </si>
  <si>
    <t>Nonton streaming pertandingan seru Atalanta vs Udinese - Serie A. Saksikan aksi-aksi terbaik dari tim yang bersaing ketat untuk meraih kemenangan. Dapatkan informasi lengkap mengenai jadwal pertandingan dan hasil pertandingan terbaru hanya di Vidio.</t>
  </si>
  <si>
    <t>d8109774</t>
  </si>
  <si>
    <t>Bologna vs Verona - Serie A</t>
  </si>
  <si>
    <t>bologna fc 1909; hellas verona fc; sports stream</t>
  </si>
  <si>
    <t>Nonton streaming pertandingan seru Bologna vs Verona - Serie A. Saksikan aksi-aksi terbaik dari tim yang bersaing ketat untuk meraih kemenangan. Dapatkan informasi lengkap mengenai jadwal pertandingan dan hasil pertandingan terbaru hanya di Vidio.</t>
  </si>
  <si>
    <t>1385f40c</t>
  </si>
  <si>
    <t>Cagliari vs Como - Serie A</t>
  </si>
  <si>
    <t>cagliari calcio; como; sports stream</t>
  </si>
  <si>
    <t>Nonton streaming pertandingan seru Cagliari vs Como - Serie A. Saksikan aksi-aksi terbaik dari tim yang bersaing ketat untuk meraih kemenangan. Dapatkan informasi lengkap mengenai jadwal pertandingan dan hasil pertandingan terbaru hanya di Vidio.</t>
  </si>
  <si>
    <t>9d39af21</t>
  </si>
  <si>
    <t>Fiorentina vs Parma - Serie A</t>
  </si>
  <si>
    <t>acf fiorentina; parma calcio; sports stream</t>
  </si>
  <si>
    <t>Nonton streaming pertandingan seru Fiorentina vs Parma - Serie A. Saksikan aksi-aksi terbaik dari tim yang bersaing ketat untuk meraih kemenangan. Dapatkan informasi lengkap mengenai jadwal pertandingan dan hasil pertandingan terbaru hanya di Vidio.</t>
  </si>
  <si>
    <t>5aa5769c</t>
  </si>
  <si>
    <t>Genoa vs Roma - Serie A</t>
  </si>
  <si>
    <t>genoa cfc; as roma; sports stream</t>
  </si>
  <si>
    <t>Nonton streaming pertandingan seru Genoa vs Roma - Serie A. Saksikan aksi-aksi terbaik dari tim yang bersaing ketat untuk meraih kemenangan. Dapatkan informasi lengkap mengenai jadwal pertandingan dan hasil pertandingan terbaru hanya di Vidio.</t>
  </si>
  <si>
    <t>81268da2</t>
  </si>
  <si>
    <t>Juventus vs Pisa - Serie A</t>
  </si>
  <si>
    <t>juventus fc; Pisa SC; sports stream</t>
  </si>
  <si>
    <t>Nonton streaming pertandingan seru Juventus vs Pisa - Serie A. Saksikan aksi-aksi terbaik dari tim yang bersaing ketat untuk meraih kemenangan. Dapatkan informasi lengkap mengenai jadwal pertandingan dan hasil pertandingan terbaru hanya di Vidio.</t>
  </si>
  <si>
    <t>c83cad17</t>
  </si>
  <si>
    <t>Lazio vs Sassuolo - Serie A</t>
  </si>
  <si>
    <t>ss lazio; us sassuolo calcio; sports stream</t>
  </si>
  <si>
    <t>Nonton streaming pertandingan seru Lazio vs Sassuolo - Serie A. Saksikan aksi-aksi terbaik dari tim yang bersaing ketat untuk meraih kemenangan. Dapatkan informasi lengkap mengenai jadwal pertandingan dan hasil pertandingan terbaru hanya di Vidio.</t>
  </si>
  <si>
    <t>67d7dd35</t>
  </si>
  <si>
    <t>Lecce vs Cremonese - Serie A</t>
  </si>
  <si>
    <t>us lecce; US Cremonese; sports stream</t>
  </si>
  <si>
    <t>Nonton streaming pertandingan seru Lecce vs Cremonese - Serie A. Saksikan aksi-aksi terbaik dari tim yang bersaing ketat untuk meraih kemenangan. Dapatkan informasi lengkap mengenai jadwal pertandingan dan hasil pertandingan terbaru hanya di Vidio.</t>
  </si>
  <si>
    <t>93742051</t>
  </si>
  <si>
    <t>Milan vs Inter - Serie A</t>
  </si>
  <si>
    <t>ac milan; fc internazionale milano; sports stream</t>
  </si>
  <si>
    <t>Nonton streaming pertandingan seru Milan vs Inter - Serie A. Saksikan aksi-aksi terbaik dari tim yang bersaing ketat untuk meraih kemenangan. Dapatkan informasi lengkap mengenai jadwal pertandingan dan hasil pertandingan terbaru hanya di Vidio.</t>
  </si>
  <si>
    <t>04021e8a</t>
  </si>
  <si>
    <t>Napoli vs Torino - Serie A</t>
  </si>
  <si>
    <t>ssc napoli; torino fc; sports stream</t>
  </si>
  <si>
    <t>Nonton streaming pertandingan seru Napoli vs Torino - Serie A. Saksikan aksi-aksi terbaik dari tim yang bersaing ketat untuk meraih kemenangan. Dapatkan informasi lengkap mengenai jadwal pertandingan dan hasil pertandingan terbaru hanya di Vidio.</t>
  </si>
  <si>
    <t>c815f28e</t>
  </si>
  <si>
    <t>Como vs Roma - Serie A</t>
  </si>
  <si>
    <t>como; as roma; sports stream</t>
  </si>
  <si>
    <t>Nonton streaming pertandingan seru Como vs Roma - Serie A. Saksikan aksi-aksi terbaik dari tim yang bersaing ketat untuk meraih kemenangan. Dapatkan informasi lengkap mengenai jadwal pertandingan dan hasil pertandingan terbaru hanya di Vidio.</t>
  </si>
  <si>
    <t>fd57f346</t>
  </si>
  <si>
    <t>Cremonese vs Fiorentina - Serie A</t>
  </si>
  <si>
    <t>US Cremonese; acf fiorentina; sports stream</t>
  </si>
  <si>
    <t>Nonton streaming pertandingan seru Cremonese vs Fiorentina - Serie A. Saksikan aksi-aksi terbaik dari tim yang bersaing ketat untuk meraih kemenangan. Dapatkan informasi lengkap mengenai jadwal pertandingan dan hasil pertandingan terbaru hanya di Vidio.</t>
  </si>
  <si>
    <t>01ad9d57</t>
  </si>
  <si>
    <t>Inter vs Atalanta - Serie A</t>
  </si>
  <si>
    <t>fc internazionale milano; atalanta bergamasca calcio; sports stream</t>
  </si>
  <si>
    <t>Nonton streaming pertandingan seru Inter vs Atalanta - Serie A. Saksikan aksi-aksi terbaik dari tim yang bersaing ketat untuk meraih kemenangan. Dapatkan informasi lengkap mengenai jadwal pertandingan dan hasil pertandingan terbaru hanya di Vidio.</t>
  </si>
  <si>
    <t>c42aa3ca</t>
  </si>
  <si>
    <t>Lazio vs Milan - Serie A</t>
  </si>
  <si>
    <t>ss lazio; ac milan; sports stream</t>
  </si>
  <si>
    <t>Nonton streaming pertandingan seru Lazio vs Milan - Serie A. Saksikan aksi-aksi terbaik dari tim yang bersaing ketat untuk meraih kemenangan. Dapatkan informasi lengkap mengenai jadwal pertandingan dan hasil pertandingan terbaru hanya di Vidio.</t>
  </si>
  <si>
    <t>51bd3e38</t>
  </si>
  <si>
    <t>Napoli vs Lecce - Serie A</t>
  </si>
  <si>
    <t>ssc napoli; us lecce; sports stream</t>
  </si>
  <si>
    <t>Nonton streaming pertandingan seru Napoli vs Lecce - Serie A. Saksikan aksi-aksi terbaik dari tim yang bersaing ketat untuk meraih kemenangan. Dapatkan informasi lengkap mengenai jadwal pertandingan dan hasil pertandingan terbaru hanya di Vidio.</t>
  </si>
  <si>
    <t>b3b1057b</t>
  </si>
  <si>
    <t>Pisa vs Cagliari - Serie A</t>
  </si>
  <si>
    <t>Pisa SC; cagliari calcio; sports stream</t>
  </si>
  <si>
    <t>Nonton streaming pertandingan seru Pisa vs Cagliari - Serie A. Saksikan aksi-aksi terbaik dari tim yang bersaing ketat untuk meraih kemenangan. Dapatkan informasi lengkap mengenai jadwal pertandingan dan hasil pertandingan terbaru hanya di Vidio.</t>
  </si>
  <si>
    <t>4531dda1</t>
  </si>
  <si>
    <t>Sassuolo vs Bologna - Serie A</t>
  </si>
  <si>
    <t>us sassuolo calcio; bologna fc 1909; sports stream</t>
  </si>
  <si>
    <t>Nonton streaming pertandingan seru Sassuolo vs Bologna - Serie A. Saksikan aksi-aksi terbaik dari tim yang bersaing ketat untuk meraih kemenangan. Dapatkan informasi lengkap mengenai jadwal pertandingan dan hasil pertandingan terbaru hanya di Vidio.</t>
  </si>
  <si>
    <t>7d412190</t>
  </si>
  <si>
    <t>Torino vs Parma - Serie A</t>
  </si>
  <si>
    <t>torino fc; parma calcio; sports stream</t>
  </si>
  <si>
    <t>Nonton streaming pertandingan seru Torino vs Parma - Serie A. Saksikan aksi-aksi terbaik dari tim yang bersaing ketat untuk meraih kemenangan. Dapatkan informasi lengkap mengenai jadwal pertandingan dan hasil pertandingan terbaru hanya di Vidio.</t>
  </si>
  <si>
    <t>4cf4e4d2</t>
  </si>
  <si>
    <t>Udinese vs Juventus - Serie A</t>
  </si>
  <si>
    <t>udinese calcio; juventus fc; sports stream</t>
  </si>
  <si>
    <t>Nonton streaming pertandingan seru Udinese vs Juventus - Serie A. Saksikan aksi-aksi terbaik dari tim yang bersaing ketat untuk meraih kemenangan. Dapatkan informasi lengkap mengenai jadwal pertandingan dan hasil pertandingan terbaru hanya di Vidio.</t>
  </si>
  <si>
    <t>00c651e3</t>
  </si>
  <si>
    <t>Verona vs Genoa - Serie A</t>
  </si>
  <si>
    <t>hellas verona fc; genoa cfc; sports stream</t>
  </si>
  <si>
    <t>Nonton streaming pertandingan seru Verona vs Genoa - Serie A. Saksikan aksi-aksi terbaik dari tim yang bersaing ketat untuk meraih kemenangan. Dapatkan informasi lengkap mengenai jadwal pertandingan dan hasil pertandingan terbaru hanya di Vidio.</t>
  </si>
  <si>
    <t>b298f1ca</t>
  </si>
  <si>
    <t>Atalanta vs Verona - Serie A</t>
  </si>
  <si>
    <t>atalanta bergamasca calcio; hellas verona fc; sports stream</t>
  </si>
  <si>
    <t>Nonton streaming pertandingan seru Atalanta vs Verona - Serie A. Saksikan aksi-aksi terbaik dari tim yang bersaing ketat untuk meraih kemenangan. Dapatkan informasi lengkap mengenai jadwal pertandingan dan hasil pertandingan terbaru hanya di Vidio.</t>
  </si>
  <si>
    <t>bf4b0cd1</t>
  </si>
  <si>
    <t>Bologna vs Lazio - Serie A</t>
  </si>
  <si>
    <t>bologna fc 1909; ss lazio; sports stream</t>
  </si>
  <si>
    <t>Nonton streaming pertandingan seru Bologna vs Lazio - Serie A. Saksikan aksi-aksi terbaik dari tim yang bersaing ketat untuk meraih kemenangan. Dapatkan informasi lengkap mengenai jadwal pertandingan dan hasil pertandingan terbaru hanya di Vidio.</t>
  </si>
  <si>
    <t>867b5dbd</t>
  </si>
  <si>
    <t>Cagliari vs Napoli - Serie A</t>
  </si>
  <si>
    <t>cagliari calcio; ssc napoli; sports stream</t>
  </si>
  <si>
    <t>Nonton streaming pertandingan seru Cagliari vs Napoli - Serie A. Saksikan aksi-aksi terbaik dari tim yang bersaing ketat untuk meraih kemenangan. Dapatkan informasi lengkap mengenai jadwal pertandingan dan hasil pertandingan terbaru hanya di Vidio.</t>
  </si>
  <si>
    <t>a0bb555a</t>
  </si>
  <si>
    <t>Como vs Pisa - Serie A</t>
  </si>
  <si>
    <t>como; Pisa SC; sports stream</t>
  </si>
  <si>
    <t>Nonton streaming pertandingan seru Como vs Pisa - Serie A. Saksikan aksi-aksi terbaik dari tim yang bersaing ketat untuk meraih kemenangan. Dapatkan informasi lengkap mengenai jadwal pertandingan dan hasil pertandingan terbaru hanya di Vidio.</t>
  </si>
  <si>
    <t>c678d5e0</t>
  </si>
  <si>
    <t>Fiorentina vs Inter - Serie A</t>
  </si>
  <si>
    <t>acf fiorentina; fc internazionale milano; sports stream</t>
  </si>
  <si>
    <t>Nonton streaming pertandingan seru Fiorentina vs Inter - Serie A. Saksikan aksi-aksi terbaik dari tim yang bersaing ketat untuk meraih kemenangan. Dapatkan informasi lengkap mengenai jadwal pertandingan dan hasil pertandingan terbaru hanya di Vidio.</t>
  </si>
  <si>
    <t>2dc8959a</t>
  </si>
  <si>
    <t>Genoa vs Udinese - Serie A</t>
  </si>
  <si>
    <t>genoa cfc; udinese calcio; sports stream</t>
  </si>
  <si>
    <t>Nonton streaming pertandingan seru Genoa vs Udinese - Serie A. Saksikan aksi-aksi terbaik dari tim yang bersaing ketat untuk meraih kemenangan. Dapatkan informasi lengkap mengenai jadwal pertandingan dan hasil pertandingan terbaru hanya di Vidio.</t>
  </si>
  <si>
    <t>6c405804</t>
  </si>
  <si>
    <t>Juventus vs Sassuolo - Serie A</t>
  </si>
  <si>
    <t>juventus fc; us sassuolo calcio; sports stream</t>
  </si>
  <si>
    <t>Nonton streaming pertandingan seru Juventus vs Sassuolo - Serie A. Saksikan aksi-aksi terbaik dari tim yang bersaing ketat untuk meraih kemenangan. Dapatkan informasi lengkap mengenai jadwal pertandingan dan hasil pertandingan terbaru hanya di Vidio.</t>
  </si>
  <si>
    <t>cb4ca337</t>
  </si>
  <si>
    <t>Milan vs Torino - Serie A</t>
  </si>
  <si>
    <t>ac milan; torino fc; sports stream</t>
  </si>
  <si>
    <t>Nonton streaming pertandingan seru Milan vs Torino - Serie A. Saksikan aksi-aksi terbaik dari tim yang bersaing ketat untuk meraih kemenangan. Dapatkan informasi lengkap mengenai jadwal pertandingan dan hasil pertandingan terbaru hanya di Vidio.</t>
  </si>
  <si>
    <t>c9e8fe3d</t>
  </si>
  <si>
    <t>Parma vs Cremonese - Serie A</t>
  </si>
  <si>
    <t>parma calcio; US Cremonese; sports stream</t>
  </si>
  <si>
    <t>Nonton streaming pertandingan seru Parma vs Cremonese - Serie A. Saksikan aksi-aksi terbaik dari tim yang bersaing ketat untuk meraih kemenangan. Dapatkan informasi lengkap mengenai jadwal pertandingan dan hasil pertandingan terbaru hanya di Vidio.</t>
  </si>
  <si>
    <t>5d961c1e</t>
  </si>
  <si>
    <t>Roma vs Lecce - Serie A</t>
  </si>
  <si>
    <t>as roma; us lecce; sports stream</t>
  </si>
  <si>
    <t>Nonton streaming pertandingan seru Roma vs Lecce - Serie A. Saksikan aksi-aksi terbaik dari tim yang bersaing ketat untuk meraih kemenangan. Dapatkan informasi lengkap mengenai jadwal pertandingan dan hasil pertandingan terbaru hanya di Vidio.</t>
  </si>
  <si>
    <t>e8fcf57d</t>
  </si>
  <si>
    <t>Cremonese vs Bologna - Serie A</t>
  </si>
  <si>
    <t>US Cremonese; bologna fc 1909; sports stream</t>
  </si>
  <si>
    <t>Nonton streaming pertandingan seru Cremonese vs Bologna - Serie A. Saksikan aksi-aksi terbaik dari tim yang bersaing ketat untuk meraih kemenangan. Dapatkan informasi lengkap mengenai jadwal pertandingan dan hasil pertandingan terbaru hanya di Vidio.</t>
  </si>
  <si>
    <t>289229b1</t>
  </si>
  <si>
    <t>Inter vs Roma - Serie A</t>
  </si>
  <si>
    <t>fc internazionale milano; as roma; sports stream</t>
  </si>
  <si>
    <t>Nonton streaming pertandingan seru Inter vs Roma - Serie A. Saksikan aksi-aksi terbaik dari tim yang bersaing ketat untuk meraih kemenangan. Dapatkan informasi lengkap mengenai jadwal pertandingan dan hasil pertandingan terbaru hanya di Vidio.</t>
  </si>
  <si>
    <t>1bc48e42</t>
  </si>
  <si>
    <t>Juventus vs Genoa - Serie A</t>
  </si>
  <si>
    <t>juventus fc; genoa cfc; sports stream</t>
  </si>
  <si>
    <t>Nonton streaming pertandingan seru Juventus vs Genoa - Serie A. Saksikan aksi-aksi terbaik dari tim yang bersaing ketat untuk meraih kemenangan. Dapatkan informasi lengkap mengenai jadwal pertandingan dan hasil pertandingan terbaru hanya di Vidio.</t>
  </si>
  <si>
    <t>4a4a7ead</t>
  </si>
  <si>
    <t>Lazio vs Parma - Serie A</t>
  </si>
  <si>
    <t>ss lazio; parma calcio; sports stream</t>
  </si>
  <si>
    <t>Nonton streaming pertandingan seru Lazio vs Parma - Serie A. Saksikan aksi-aksi terbaik dari tim yang bersaing ketat untuk meraih kemenangan. Dapatkan informasi lengkap mengenai jadwal pertandingan dan hasil pertandingan terbaru hanya di Vidio.</t>
  </si>
  <si>
    <t>5bd2bf60</t>
  </si>
  <si>
    <t>Lecce vs Atalanta - Serie A</t>
  </si>
  <si>
    <t>us lecce; atalanta bergamasca calcio; sports stream</t>
  </si>
  <si>
    <t>Nonton streaming pertandingan seru Lecce vs Atalanta - Serie A. Saksikan aksi-aksi terbaik dari tim yang bersaing ketat untuk meraih kemenangan. Dapatkan informasi lengkap mengenai jadwal pertandingan dan hasil pertandingan terbaru hanya di Vidio.</t>
  </si>
  <si>
    <t>606425ad</t>
  </si>
  <si>
    <t>Napoli vs Milan - Serie A</t>
  </si>
  <si>
    <t>ssc napoli; ac milan; sports stream</t>
  </si>
  <si>
    <t>Nonton streaming pertandingan seru Napoli vs Milan - Serie A. Saksikan aksi-aksi terbaik dari tim yang bersaing ketat untuk meraih kemenangan. Dapatkan informasi lengkap mengenai jadwal pertandingan dan hasil pertandingan terbaru hanya di Vidio.</t>
  </si>
  <si>
    <t>ec73a514</t>
  </si>
  <si>
    <t>Pisa vs Torino - Serie A</t>
  </si>
  <si>
    <t>Pisa SC; torino fc; sports stream</t>
  </si>
  <si>
    <t>Nonton streaming pertandingan seru Pisa vs Torino - Serie A. Saksikan aksi-aksi terbaik dari tim yang bersaing ketat untuk meraih kemenangan. Dapatkan informasi lengkap mengenai jadwal pertandingan dan hasil pertandingan terbaru hanya di Vidio.</t>
  </si>
  <si>
    <t>3869c181</t>
  </si>
  <si>
    <t>Sassuolo vs Cagliari - Serie A</t>
  </si>
  <si>
    <t>us sassuolo calcio; cagliari calcio; sports stream</t>
  </si>
  <si>
    <t>Nonton streaming pertandingan seru Sassuolo vs Cagliari - Serie A. Saksikan aksi-aksi terbaik dari tim yang bersaing ketat untuk meraih kemenangan. Dapatkan informasi lengkap mengenai jadwal pertandingan dan hasil pertandingan terbaru hanya di Vidio.</t>
  </si>
  <si>
    <t>9a35175d</t>
  </si>
  <si>
    <t>Udinese vs Como - Serie A</t>
  </si>
  <si>
    <t>udinese calcio; como; sports stream</t>
  </si>
  <si>
    <t>Nonton streaming pertandingan seru Udinese vs Como - Serie A. Saksikan aksi-aksi terbaik dari tim yang bersaing ketat untuk meraih kemenangan. Dapatkan informasi lengkap mengenai jadwal pertandingan dan hasil pertandingan terbaru hanya di Vidio.</t>
  </si>
  <si>
    <t>9bf9a54e</t>
  </si>
  <si>
    <t>Verona vs Fiorentina - Serie A</t>
  </si>
  <si>
    <t>hellas verona fc; acf fiorentina; sports stream</t>
  </si>
  <si>
    <t>Nonton streaming pertandingan seru Verona vs Fiorentina - Serie A. Saksikan aksi-aksi terbaik dari tim yang bersaing ketat untuk meraih kemenangan. Dapatkan informasi lengkap mengenai jadwal pertandingan dan hasil pertandingan terbaru hanya di Vidio.</t>
  </si>
  <si>
    <t>e242f193</t>
  </si>
  <si>
    <t>Atalanta vs Juventus - Serie A</t>
  </si>
  <si>
    <t>atalanta bergamasca calcio; juventus fc; sports stream</t>
  </si>
  <si>
    <t>Nonton streaming pertandingan seru Atalanta vs Juventus - Serie A. Saksikan aksi-aksi terbaik dari tim yang bersaing ketat untuk meraih kemenangan. Dapatkan informasi lengkap mengenai jadwal pertandingan dan hasil pertandingan terbaru hanya di Vidio.</t>
  </si>
  <si>
    <t>26ea74a0</t>
  </si>
  <si>
    <t>Bologna vs Lecce - Serie A</t>
  </si>
  <si>
    <t>bologna fc 1909; us lecce; sports stream</t>
  </si>
  <si>
    <t>Nonton streaming pertandingan seru Bologna vs Lecce - Serie A. Saksikan aksi-aksi terbaik dari tim yang bersaing ketat untuk meraih kemenangan. Dapatkan informasi lengkap mengenai jadwal pertandingan dan hasil pertandingan terbaru hanya di Vidio.</t>
  </si>
  <si>
    <t>8e4942ec</t>
  </si>
  <si>
    <t>Cagliari vs Cremonese - Serie A</t>
  </si>
  <si>
    <t>cagliari calcio; US Cremonese; sports stream</t>
  </si>
  <si>
    <t>Nonton streaming pertandingan seru Cagliari vs Cremonese - Serie A. Saksikan aksi-aksi terbaik dari tim yang bersaing ketat untuk meraih kemenangan. Dapatkan informasi lengkap mengenai jadwal pertandingan dan hasil pertandingan terbaru hanya di Vidio.</t>
  </si>
  <si>
    <t>cf731763</t>
  </si>
  <si>
    <t>Como vs Inter - Serie A</t>
  </si>
  <si>
    <t>como; fc internazionale milano; sports stream</t>
  </si>
  <si>
    <t>Nonton streaming pertandingan seru Como vs Inter - Serie A. Saksikan aksi-aksi terbaik dari tim yang bersaing ketat untuk meraih kemenangan. Dapatkan informasi lengkap mengenai jadwal pertandingan dan hasil pertandingan terbaru hanya di Vidio.</t>
  </si>
  <si>
    <t>6875706e</t>
  </si>
  <si>
    <t>Fiorentina vs Lazio - Serie A</t>
  </si>
  <si>
    <t>acf fiorentina; ss lazio; sports stream</t>
  </si>
  <si>
    <t>Nonton streaming pertandingan seru Fiorentina vs Lazio - Serie A. Saksikan aksi-aksi terbaik dari tim yang bersaing ketat untuk meraih kemenangan. Dapatkan informasi lengkap mengenai jadwal pertandingan dan hasil pertandingan terbaru hanya di Vidio.</t>
  </si>
  <si>
    <t>53c4827a</t>
  </si>
  <si>
    <t>Genoa vs Sassuolo - Serie A</t>
  </si>
  <si>
    <t>genoa cfc; us sassuolo calcio; sports stream</t>
  </si>
  <si>
    <t>Nonton streaming pertandingan seru Genoa vs Sassuolo - Serie A. Saksikan aksi-aksi terbaik dari tim yang bersaing ketat untuk meraih kemenangan. Dapatkan informasi lengkap mengenai jadwal pertandingan dan hasil pertandingan terbaru hanya di Vidio.</t>
  </si>
  <si>
    <t>e14b60e0</t>
  </si>
  <si>
    <t>Milan vs Udinese - Serie A</t>
  </si>
  <si>
    <t>ac milan; udinese calcio; sports stream</t>
  </si>
  <si>
    <t>Nonton streaming pertandingan seru Milan vs Udinese - Serie A. Saksikan aksi-aksi terbaik dari tim yang bersaing ketat untuk meraih kemenangan. Dapatkan informasi lengkap mengenai jadwal pertandingan dan hasil pertandingan terbaru hanya di Vidio.</t>
  </si>
  <si>
    <t>1d5d2f4f</t>
  </si>
  <si>
    <t>Parma vs Napoli - Serie A</t>
  </si>
  <si>
    <t>parma calcio; ssc napoli; sports stream</t>
  </si>
  <si>
    <t>Nonton streaming pertandingan seru Parma vs Napoli - Serie A. Saksikan aksi-aksi terbaik dari tim yang bersaing ketat untuk meraih kemenangan. Dapatkan informasi lengkap mengenai jadwal pertandingan dan hasil pertandingan terbaru hanya di Vidio.</t>
  </si>
  <si>
    <t>6b679795</t>
  </si>
  <si>
    <t>Roma vs Pisa - Serie A</t>
  </si>
  <si>
    <t>as roma; Pisa SC; sports stream</t>
  </si>
  <si>
    <t>Nonton streaming pertandingan seru Roma vs Pisa - Serie A. Saksikan aksi-aksi terbaik dari tim yang bersaing ketat untuk meraih kemenangan. Dapatkan informasi lengkap mengenai jadwal pertandingan dan hasil pertandingan terbaru hanya di Vidio.</t>
  </si>
  <si>
    <t>12a3581e</t>
  </si>
  <si>
    <t>Torino vs Verona - Serie A</t>
  </si>
  <si>
    <t>torino fc; hellas verona fc; sports stream</t>
  </si>
  <si>
    <t>Nonton streaming pertandingan seru Torino vs Verona - Serie A. Saksikan aksi-aksi terbaik dari tim yang bersaing ketat untuk meraih kemenangan. Dapatkan informasi lengkap mengenai jadwal pertandingan dan hasil pertandingan terbaru hanya di Vidio.</t>
  </si>
  <si>
    <t>d659e0e0</t>
  </si>
  <si>
    <t>Cremonese vs Torino - Serie A</t>
  </si>
  <si>
    <t>US Cremonese; torino fc; sports stream</t>
  </si>
  <si>
    <t>Nonton streaming pertandingan seru Cremonese vs Torino - Serie A. Saksikan aksi-aksi terbaik dari tim yang bersaing ketat untuk meraih kemenangan. Dapatkan informasi lengkap mengenai jadwal pertandingan dan hasil pertandingan terbaru hanya di Vidio.</t>
  </si>
  <si>
    <t>57c25b1f</t>
  </si>
  <si>
    <t>Inter vs Cagliari - Serie A</t>
  </si>
  <si>
    <t>fc internazionale milano; cagliari calcio; sports stream</t>
  </si>
  <si>
    <t>Nonton streaming pertandingan seru Inter vs Cagliari - Serie A. Saksikan aksi-aksi terbaik dari tim yang bersaing ketat untuk meraih kemenangan. Dapatkan informasi lengkap mengenai jadwal pertandingan dan hasil pertandingan terbaru hanya di Vidio.</t>
  </si>
  <si>
    <t>c408bb98</t>
  </si>
  <si>
    <t>Juventus vs Bologna - Serie A</t>
  </si>
  <si>
    <t>juventus fc; bologna fc 1909; sports stream</t>
  </si>
  <si>
    <t>Nonton streaming pertandingan seru Juventus vs Bologna - Serie A. Saksikan aksi-aksi terbaik dari tim yang bersaing ketat untuk meraih kemenangan. Dapatkan informasi lengkap mengenai jadwal pertandingan dan hasil pertandingan terbaru hanya di Vidio.</t>
  </si>
  <si>
    <t>f1933b60</t>
  </si>
  <si>
    <t>Lecce vs Fiorentina - Serie A</t>
  </si>
  <si>
    <t>us lecce; acf fiorentina; sports stream</t>
  </si>
  <si>
    <t>Nonton streaming pertandingan seru Lecce vs Fiorentina - Serie A. Saksikan aksi-aksi terbaik dari tim yang bersaing ketat untuk meraih kemenangan. Dapatkan informasi lengkap mengenai jadwal pertandingan dan hasil pertandingan terbaru hanya di Vidio.</t>
  </si>
  <si>
    <t>f3f1a418</t>
  </si>
  <si>
    <t>Napoli vs Lazio - Serie A</t>
  </si>
  <si>
    <t>ssc napoli; ss lazio; sports stream</t>
  </si>
  <si>
    <t>Nonton streaming pertandingan seru Napoli vs Lazio - Serie A. Saksikan aksi-aksi terbaik dari tim yang bersaing ketat untuk meraih kemenangan. Dapatkan informasi lengkap mengenai jadwal pertandingan dan hasil pertandingan terbaru hanya di Vidio.</t>
  </si>
  <si>
    <t>a093e5cd</t>
  </si>
  <si>
    <t>Pisa vs Genoa - Serie A</t>
  </si>
  <si>
    <t>Pisa SC; genoa cfc; sports stream</t>
  </si>
  <si>
    <t>Nonton streaming pertandingan seru Pisa vs Genoa - Serie A. Saksikan aksi-aksi terbaik dari tim yang bersaing ketat untuk meraih kemenangan. Dapatkan informasi lengkap mengenai jadwal pertandingan dan hasil pertandingan terbaru hanya di Vidio.</t>
  </si>
  <si>
    <t>82b8d43b</t>
  </si>
  <si>
    <t>Roma vs Atalanta - Serie A</t>
  </si>
  <si>
    <t>as roma; atalanta bergamasca calcio; sports stream</t>
  </si>
  <si>
    <t>Nonton streaming pertandingan seru Roma vs Atalanta - Serie A. Saksikan aksi-aksi terbaik dari tim yang bersaing ketat untuk meraih kemenangan. Dapatkan informasi lengkap mengenai jadwal pertandingan dan hasil pertandingan terbaru hanya di Vidio.</t>
  </si>
  <si>
    <t>32d4ebbd</t>
  </si>
  <si>
    <t>Sassuolo vs Como - Serie A</t>
  </si>
  <si>
    <t>us sassuolo calcio; como; sports stream</t>
  </si>
  <si>
    <t>Nonton streaming pertandingan seru Sassuolo vs Como - Serie A. Saksikan aksi-aksi terbaik dari tim yang bersaing ketat untuk meraih kemenangan. Dapatkan informasi lengkap mengenai jadwal pertandingan dan hasil pertandingan terbaru hanya di Vidio.</t>
  </si>
  <si>
    <t>56c4f28f</t>
  </si>
  <si>
    <t>Udinese vs Parma - Serie A</t>
  </si>
  <si>
    <t>udinese calcio; parma calcio; sports stream</t>
  </si>
  <si>
    <t>Nonton streaming pertandingan seru Udinese vs Parma - Serie A. Saksikan aksi-aksi terbaik dari tim yang bersaing ketat untuk meraih kemenangan. Dapatkan informasi lengkap mengenai jadwal pertandingan dan hasil pertandingan terbaru hanya di Vidio.</t>
  </si>
  <si>
    <t>d3c4bb4c</t>
  </si>
  <si>
    <t>Verona vs Milan - Serie A</t>
  </si>
  <si>
    <t>hellas verona fc; ac milan; sports stream</t>
  </si>
  <si>
    <t>Nonton streaming pertandingan seru Verona vs Milan - Serie A. Saksikan aksi-aksi terbaik dari tim yang bersaing ketat untuk meraih kemenangan. Dapatkan informasi lengkap mengenai jadwal pertandingan dan hasil pertandingan terbaru hanya di Vidio.</t>
  </si>
  <si>
    <t>dd980024</t>
  </si>
  <si>
    <t>Bologna vs Roma - Serie A</t>
  </si>
  <si>
    <t>bologna fc 1909; as roma; sports stream</t>
  </si>
  <si>
    <t>Nonton streaming pertandingan seru Bologna vs Roma - Serie A. Saksikan aksi-aksi terbaik dari tim yang bersaing ketat untuk meraih kemenangan. Dapatkan informasi lengkap mengenai jadwal pertandingan dan hasil pertandingan terbaru hanya di Vidio.</t>
  </si>
  <si>
    <t>4d2891d3</t>
  </si>
  <si>
    <t>Cagliari vs Atalanta - Serie A</t>
  </si>
  <si>
    <t>cagliari calcio; atalanta bergamasca calcio; sports stream</t>
  </si>
  <si>
    <t>Nonton streaming pertandingan seru Cagliari vs Atalanta - Serie A. Saksikan aksi-aksi terbaik dari tim yang bersaing ketat untuk meraih kemenangan. Dapatkan informasi lengkap mengenai jadwal pertandingan dan hasil pertandingan terbaru hanya di Vidio.</t>
  </si>
  <si>
    <t>7f39ba74</t>
  </si>
  <si>
    <t>Fiorentina vs Sassuolo - Serie A</t>
  </si>
  <si>
    <t>acf fiorentina; us sassuolo calcio; sports stream</t>
  </si>
  <si>
    <t>Nonton streaming pertandingan seru Fiorentina vs Sassuolo - Serie A. Saksikan aksi-aksi terbaik dari tim yang bersaing ketat untuk meraih kemenangan. Dapatkan informasi lengkap mengenai jadwal pertandingan dan hasil pertandingan terbaru hanya di Vidio.</t>
  </si>
  <si>
    <t>d2118420</t>
  </si>
  <si>
    <t>Genoa vs Como - Serie A</t>
  </si>
  <si>
    <t>genoa cfc; como; sports stream</t>
  </si>
  <si>
    <t>Nonton streaming pertandingan seru Genoa vs Como - Serie A. Saksikan aksi-aksi terbaik dari tim yang bersaing ketat untuk meraih kemenangan. Dapatkan informasi lengkap mengenai jadwal pertandingan dan hasil pertandingan terbaru hanya di Vidio.</t>
  </si>
  <si>
    <t>b3e52c88</t>
  </si>
  <si>
    <t>Lazio vs Udinese - Serie A</t>
  </si>
  <si>
    <t>ss lazio; udinese calcio; sports stream</t>
  </si>
  <si>
    <t>Nonton streaming pertandingan seru Lazio vs Udinese - Serie A. Saksikan aksi-aksi terbaik dari tim yang bersaing ketat untuk meraih kemenangan. Dapatkan informasi lengkap mengenai jadwal pertandingan dan hasil pertandingan terbaru hanya di Vidio.</t>
  </si>
  <si>
    <t>ba62aed8</t>
  </si>
  <si>
    <t>Milan vs Juventus - Serie A</t>
  </si>
  <si>
    <t>ac milan; juventus fc; sports stream</t>
  </si>
  <si>
    <t>Nonton streaming pertandingan seru Milan vs Juventus - Serie A. Saksikan aksi-aksi terbaik dari tim yang bersaing ketat untuk meraih kemenangan. Dapatkan informasi lengkap mengenai jadwal pertandingan dan hasil pertandingan terbaru hanya di Vidio.</t>
  </si>
  <si>
    <t>e7652fce</t>
  </si>
  <si>
    <t>Napoli vs Cremonese - Serie A</t>
  </si>
  <si>
    <t>ssc napoli; US Cremonese; sports stream</t>
  </si>
  <si>
    <t>Nonton streaming pertandingan seru Napoli vs Cremonese - Serie A. Saksikan aksi-aksi terbaik dari tim yang bersaing ketat untuk meraih kemenangan. Dapatkan informasi lengkap mengenai jadwal pertandingan dan hasil pertandingan terbaru hanya di Vidio.</t>
  </si>
  <si>
    <t>74042787</t>
  </si>
  <si>
    <t>Parma vs Pisa - Serie A</t>
  </si>
  <si>
    <t>parma calcio; Pisa SC; sports stream</t>
  </si>
  <si>
    <t>Nonton streaming pertandingan seru Parma vs Pisa - Serie A. Saksikan aksi-aksi terbaik dari tim yang bersaing ketat untuk meraih kemenangan. Dapatkan informasi lengkap mengenai jadwal pertandingan dan hasil pertandingan terbaru hanya di Vidio.</t>
  </si>
  <si>
    <t>05b4aa44</t>
  </si>
  <si>
    <t>Torino vs Inter - Serie A</t>
  </si>
  <si>
    <t>torino fc; fc internazionale milano; sports stream</t>
  </si>
  <si>
    <t>Nonton streaming pertandingan seru Torino vs Inter - Serie A. Saksikan aksi-aksi terbaik dari tim yang bersaing ketat untuk meraih kemenangan. Dapatkan informasi lengkap mengenai jadwal pertandingan dan hasil pertandingan terbaru hanya di Vidio.</t>
  </si>
  <si>
    <t>d852c3c6</t>
  </si>
  <si>
    <t>Verona vs Lecce - Serie A</t>
  </si>
  <si>
    <t>hellas verona fc; us lecce; sports stream</t>
  </si>
  <si>
    <t>Nonton streaming pertandingan seru Verona vs Lecce - Serie A. Saksikan aksi-aksi terbaik dari tim yang bersaing ketat untuk meraih kemenangan. Dapatkan informasi lengkap mengenai jadwal pertandingan dan hasil pertandingan terbaru hanya di Vidio.</t>
  </si>
  <si>
    <t>e34fe61a</t>
  </si>
  <si>
    <t>Atalanta vs Genoa - Serie A</t>
  </si>
  <si>
    <t>atalanta bergamasca calcio; genoa cfc; sports stream</t>
  </si>
  <si>
    <t>Nonton streaming pertandingan seru Atalanta vs Genoa - Serie A. Saksikan aksi-aksi terbaik dari tim yang bersaing ketat untuk meraih kemenangan. Dapatkan informasi lengkap mengenai jadwal pertandingan dan hasil pertandingan terbaru hanya di Vidio.</t>
  </si>
  <si>
    <t>536059fe</t>
  </si>
  <si>
    <t>Bologna vs Cagliari - Serie A</t>
  </si>
  <si>
    <t>bologna fc 1909; cagliari calcio; sports stream</t>
  </si>
  <si>
    <t>Nonton streaming pertandingan seru Bologna vs Cagliari - Serie A. Saksikan aksi-aksi terbaik dari tim yang bersaing ketat untuk meraih kemenangan. Dapatkan informasi lengkap mengenai jadwal pertandingan dan hasil pertandingan terbaru hanya di Vidio.</t>
  </si>
  <si>
    <t>e69e5d5c</t>
  </si>
  <si>
    <t>Como vs Napoli - Serie A</t>
  </si>
  <si>
    <t>como; ssc napoli; sports stream</t>
  </si>
  <si>
    <t>Nonton streaming pertandingan seru Como vs Napoli - Serie A. Saksikan aksi-aksi terbaik dari tim yang bersaing ketat untuk meraih kemenangan. Dapatkan informasi lengkap mengenai jadwal pertandingan dan hasil pertandingan terbaru hanya di Vidio.</t>
  </si>
  <si>
    <t>17cfb9c3</t>
  </si>
  <si>
    <t>Cremonese vs Lazio - Serie A</t>
  </si>
  <si>
    <t>US Cremonese; ss lazio; sports stream</t>
  </si>
  <si>
    <t>Nonton streaming pertandingan seru Cremonese vs Lazio - Serie A. Saksikan aksi-aksi terbaik dari tim yang bersaing ketat untuk meraih kemenangan. Dapatkan informasi lengkap mengenai jadwal pertandingan dan hasil pertandingan terbaru hanya di Vidio.</t>
  </si>
  <si>
    <t>c48c4975</t>
  </si>
  <si>
    <t>Inter vs Parma - Serie A</t>
  </si>
  <si>
    <t>fc internazionale milano; parma calcio; sports stream</t>
  </si>
  <si>
    <t>Nonton streaming pertandingan seru Inter vs Parma - Serie A. Saksikan aksi-aksi terbaik dari tim yang bersaing ketat untuk meraih kemenangan. Dapatkan informasi lengkap mengenai jadwal pertandingan dan hasil pertandingan terbaru hanya di Vidio.</t>
  </si>
  <si>
    <t>27bfae01</t>
  </si>
  <si>
    <t>Juventus vs Verona - Serie A</t>
  </si>
  <si>
    <t>juventus fc; hellas verona fc; sports stream</t>
  </si>
  <si>
    <t>Nonton streaming pertandingan seru Juventus vs Verona - Serie A. Saksikan aksi-aksi terbaik dari tim yang bersaing ketat untuk meraih kemenangan. Dapatkan informasi lengkap mengenai jadwal pertandingan dan hasil pertandingan terbaru hanya di Vidio.</t>
  </si>
  <si>
    <t>d7157237</t>
  </si>
  <si>
    <t>Pisa vs Lecce - Serie A</t>
  </si>
  <si>
    <t>Pisa SC; us lecce; sports stream</t>
  </si>
  <si>
    <t>Nonton streaming pertandingan seru Pisa vs Lecce - Serie A. Saksikan aksi-aksi terbaik dari tim yang bersaing ketat untuk meraih kemenangan. Dapatkan informasi lengkap mengenai jadwal pertandingan dan hasil pertandingan terbaru hanya di Vidio.</t>
  </si>
  <si>
    <t>86516de8</t>
  </si>
  <si>
    <t>Roma vs Fiorentina - Serie A</t>
  </si>
  <si>
    <t>as roma; acf fiorentina; sports stream</t>
  </si>
  <si>
    <t>Nonton streaming pertandingan seru Roma vs Fiorentina - Serie A. Saksikan aksi-aksi terbaik dari tim yang bersaing ketat untuk meraih kemenangan. Dapatkan informasi lengkap mengenai jadwal pertandingan dan hasil pertandingan terbaru hanya di Vidio.</t>
  </si>
  <si>
    <t>5052a5e5</t>
  </si>
  <si>
    <t>Sassuolo vs Milan - Serie A</t>
  </si>
  <si>
    <t>us sassuolo calcio; ac milan; sports stream</t>
  </si>
  <si>
    <t>Nonton streaming pertandingan seru Sassuolo vs Milan - Serie A. Saksikan aksi-aksi terbaik dari tim yang bersaing ketat untuk meraih kemenangan. Dapatkan informasi lengkap mengenai jadwal pertandingan dan hasil pertandingan terbaru hanya di Vidio.</t>
  </si>
  <si>
    <t>9c6d85df</t>
  </si>
  <si>
    <t>Udinese vs Torino - Serie A</t>
  </si>
  <si>
    <t>udinese calcio; torino fc; sports stream</t>
  </si>
  <si>
    <t>Nonton streaming pertandingan seru Udinese vs Torino - Serie A. Saksikan aksi-aksi terbaik dari tim yang bersaing ketat untuk meraih kemenangan. Dapatkan informasi lengkap mengenai jadwal pertandingan dan hasil pertandingan terbaru hanya di Vidio.</t>
  </si>
  <si>
    <t>88446975</t>
  </si>
  <si>
    <t>Cagliari vs Udinese - Serie A</t>
  </si>
  <si>
    <t>cagliari calcio; udinese calcio; sports stream</t>
  </si>
  <si>
    <t>Nonton streaming pertandingan seru Cagliari vs Udinese - Serie A. Saksikan aksi-aksi terbaik dari tim yang bersaing ketat untuk meraih kemenangan. Dapatkan informasi lengkap mengenai jadwal pertandingan dan hasil pertandingan terbaru hanya di Vidio.</t>
  </si>
  <si>
    <t>d0254328</t>
  </si>
  <si>
    <t>Cremonese vs Pisa - Serie A</t>
  </si>
  <si>
    <t>US Cremonese; Pisa SC; sports stream</t>
  </si>
  <si>
    <t>Nonton streaming pertandingan seru Cremonese vs Pisa - Serie A. Saksikan aksi-aksi terbaik dari tim yang bersaing ketat untuk meraih kemenangan. Dapatkan informasi lengkap mengenai jadwal pertandingan dan hasil pertandingan terbaru hanya di Vidio.</t>
  </si>
  <si>
    <t>f03bc2cd</t>
  </si>
  <si>
    <t>Fiorentina vs Genoa - Serie A</t>
  </si>
  <si>
    <t>acf fiorentina; genoa cfc; sports stream</t>
  </si>
  <si>
    <t>Nonton streaming pertandingan seru Fiorentina vs Genoa - Serie A. Saksikan aksi-aksi terbaik dari tim yang bersaing ketat untuk meraih kemenangan. Dapatkan informasi lengkap mengenai jadwal pertandingan dan hasil pertandingan terbaru hanya di Vidio.</t>
  </si>
  <si>
    <t>b1b908f7</t>
  </si>
  <si>
    <t>Lazio vs Inter - Serie A</t>
  </si>
  <si>
    <t>ss lazio; fc internazionale milano; sports stream</t>
  </si>
  <si>
    <t>Nonton streaming pertandingan seru Lazio vs Inter - Serie A. Saksikan aksi-aksi terbaik dari tim yang bersaing ketat untuk meraih kemenangan. Dapatkan informasi lengkap mengenai jadwal pertandingan dan hasil pertandingan terbaru hanya di Vidio.</t>
  </si>
  <si>
    <t>4f4af220</t>
  </si>
  <si>
    <t>Lecce vs Juventus - Serie A</t>
  </si>
  <si>
    <t>us lecce; juventus fc; sports stream</t>
  </si>
  <si>
    <t>Nonton streaming pertandingan seru Lecce vs Juventus - Serie A. Saksikan aksi-aksi terbaik dari tim yang bersaing ketat untuk meraih kemenangan. Dapatkan informasi lengkap mengenai jadwal pertandingan dan hasil pertandingan terbaru hanya di Vidio.</t>
  </si>
  <si>
    <t>9b792b69</t>
  </si>
  <si>
    <t>Milan vs Atalanta - Serie A</t>
  </si>
  <si>
    <t>ac milan; atalanta bergamasca calcio; sports stream</t>
  </si>
  <si>
    <t>Nonton streaming pertandingan seru Milan vs Atalanta - Serie A. Saksikan aksi-aksi terbaik dari tim yang bersaing ketat untuk meraih kemenangan. Dapatkan informasi lengkap mengenai jadwal pertandingan dan hasil pertandingan terbaru hanya di Vidio.</t>
  </si>
  <si>
    <t>ec2fb46b</t>
  </si>
  <si>
    <t>Napoli vs Bologna - Serie A</t>
  </si>
  <si>
    <t>ssc napoli; bologna fc 1909; sports stream</t>
  </si>
  <si>
    <t>Nonton streaming pertandingan seru Napoli vs Bologna - Serie A. Saksikan aksi-aksi terbaik dari tim yang bersaing ketat untuk meraih kemenangan. Dapatkan informasi lengkap mengenai jadwal pertandingan dan hasil pertandingan terbaru hanya di Vidio.</t>
  </si>
  <si>
    <t>bbe886f6</t>
  </si>
  <si>
    <t>Parma vs Roma - Serie A</t>
  </si>
  <si>
    <t>parma calcio; as roma; sports stream</t>
  </si>
  <si>
    <t>Nonton streaming pertandingan seru Parma vs Roma - Serie A. Saksikan aksi-aksi terbaik dari tim yang bersaing ketat untuk meraih kemenangan. Dapatkan informasi lengkap mengenai jadwal pertandingan dan hasil pertandingan terbaru hanya di Vidio.</t>
  </si>
  <si>
    <t>26d6eab1</t>
  </si>
  <si>
    <t>Torino vs Sassuolo - Serie A</t>
  </si>
  <si>
    <t>torino fc; us sassuolo calcio; sports stream</t>
  </si>
  <si>
    <t>Nonton streaming pertandingan seru Torino vs Sassuolo - Serie A. Saksikan aksi-aksi terbaik dari tim yang bersaing ketat untuk meraih kemenangan. Dapatkan informasi lengkap mengenai jadwal pertandingan dan hasil pertandingan terbaru hanya di Vidio.</t>
  </si>
  <si>
    <t>d3cc5604</t>
  </si>
  <si>
    <t>Verona vs Como - Serie A</t>
  </si>
  <si>
    <t>hellas verona fc; como; sports stream</t>
  </si>
  <si>
    <t>Nonton streaming pertandingan seru Verona vs Como - Serie A. Saksikan aksi-aksi terbaik dari tim yang bersaing ketat untuk meraih kemenangan. Dapatkan informasi lengkap mengenai jadwal pertandingan dan hasil pertandingan terbaru hanya di Vidio.</t>
  </si>
  <si>
    <t>ca0e6808</t>
  </si>
  <si>
    <t>Atalanta vs Bologna - Serie A</t>
  </si>
  <si>
    <t>atalanta bergamasca calcio; bologna fc 1909; sports stream</t>
  </si>
  <si>
    <t>Nonton streaming pertandingan seru Atalanta vs Bologna - Serie A. Saksikan aksi-aksi terbaik dari tim yang bersaing ketat untuk meraih kemenangan. Dapatkan informasi lengkap mengenai jadwal pertandingan dan hasil pertandingan terbaru hanya di Vidio.</t>
  </si>
  <si>
    <t>7d7f9d30</t>
  </si>
  <si>
    <t>Cagliari vs Torino - Serie A</t>
  </si>
  <si>
    <t>cagliari calcio; torino fc; sports stream</t>
  </si>
  <si>
    <t>Nonton streaming pertandingan seru Cagliari vs Torino - Serie A. Saksikan aksi-aksi terbaik dari tim yang bersaing ketat untuk meraih kemenangan. Dapatkan informasi lengkap mengenai jadwal pertandingan dan hasil pertandingan terbaru hanya di Vidio.</t>
  </si>
  <si>
    <t>1b2e70c3</t>
  </si>
  <si>
    <t>Como vs Parma - Serie A</t>
  </si>
  <si>
    <t>como; parma calcio; sports stream</t>
  </si>
  <si>
    <t>Nonton streaming pertandingan seru Como vs Parma - Serie A. Saksikan aksi-aksi terbaik dari tim yang bersaing ketat untuk meraih kemenangan. Dapatkan informasi lengkap mengenai jadwal pertandingan dan hasil pertandingan terbaru hanya di Vidio.</t>
  </si>
  <si>
    <t>29934491</t>
  </si>
  <si>
    <t>Genoa vs Milan - Serie A</t>
  </si>
  <si>
    <t>genoa cfc; ac milan; sports stream</t>
  </si>
  <si>
    <t>Nonton streaming pertandingan seru Genoa vs Milan - Serie A. Saksikan aksi-aksi terbaik dari tim yang bersaing ketat untuk meraih kemenangan. Dapatkan informasi lengkap mengenai jadwal pertandingan dan hasil pertandingan terbaru hanya di Vidio.</t>
  </si>
  <si>
    <t>2592f833</t>
  </si>
  <si>
    <t>Inter vs Verona - Serie A</t>
  </si>
  <si>
    <t>fc internazionale milano; hellas verona fc; sports stream</t>
  </si>
  <si>
    <t>Nonton streaming pertandingan seru Inter vs Verona - Serie A. Saksikan aksi-aksi terbaik dari tim yang bersaing ketat untuk meraih kemenangan. Dapatkan informasi lengkap mengenai jadwal pertandingan dan hasil pertandingan terbaru hanya di Vidio.</t>
  </si>
  <si>
    <t>e8878fdd</t>
  </si>
  <si>
    <t>Juventus vs Fiorentina - Serie A</t>
  </si>
  <si>
    <t>juventus fc; acf fiorentina; sports stream</t>
  </si>
  <si>
    <t>Nonton streaming pertandingan seru Juventus vs Fiorentina - Serie A. Saksikan aksi-aksi terbaik dari tim yang bersaing ketat untuk meraih kemenangan. Dapatkan informasi lengkap mengenai jadwal pertandingan dan hasil pertandingan terbaru hanya di Vidio.</t>
  </si>
  <si>
    <t>11988124</t>
  </si>
  <si>
    <t>Pisa vs Napoli - Serie A</t>
  </si>
  <si>
    <t>Pisa SC; ssc napoli; sports stream</t>
  </si>
  <si>
    <t>Nonton streaming pertandingan seru Pisa vs Napoli - Serie A. Saksikan aksi-aksi terbaik dari tim yang bersaing ketat untuk meraih kemenangan. Dapatkan informasi lengkap mengenai jadwal pertandingan dan hasil pertandingan terbaru hanya di Vidio.</t>
  </si>
  <si>
    <t>79546b12</t>
  </si>
  <si>
    <t>Roma vs Lazio - Serie A</t>
  </si>
  <si>
    <t>as roma; ss lazio; sports stream</t>
  </si>
  <si>
    <t>Nonton streaming pertandingan seru Roma vs Lazio - Serie A. Saksikan aksi-aksi terbaik dari tim yang bersaing ketat untuk meraih kemenangan. Dapatkan informasi lengkap mengenai jadwal pertandingan dan hasil pertandingan terbaru hanya di Vidio.</t>
  </si>
  <si>
    <t>5f343f34</t>
  </si>
  <si>
    <t>Sassuolo vs Lecce - Serie A</t>
  </si>
  <si>
    <t>us sassuolo calcio; us lecce; sports stream</t>
  </si>
  <si>
    <t>Nonton streaming pertandingan seru Sassuolo vs Lecce - Serie A. Saksikan aksi-aksi terbaik dari tim yang bersaing ketat untuk meraih kemenangan. Dapatkan informasi lengkap mengenai jadwal pertandingan dan hasil pertandingan terbaru hanya di Vidio.</t>
  </si>
  <si>
    <t>9b2af759</t>
  </si>
  <si>
    <t>Udinese vs Cremonese - Serie A</t>
  </si>
  <si>
    <t>udinese calcio; US Cremonese; sports stream</t>
  </si>
  <si>
    <t>Nonton streaming pertandingan seru Udinese vs Cremonese - Serie A. Saksikan aksi-aksi terbaik dari tim yang bersaing ketat untuk meraih kemenangan. Dapatkan informasi lengkap mengenai jadwal pertandingan dan hasil pertandingan terbaru hanya di Vidio.</t>
  </si>
  <si>
    <t>3c2a4d46</t>
  </si>
  <si>
    <t>Bologna vs Inter - Serie A</t>
  </si>
  <si>
    <t>bologna fc 1909; fc internazionale milano; sports stream</t>
  </si>
  <si>
    <t>Nonton streaming pertandingan seru Bologna vs Inter - Serie A. Saksikan aksi-aksi terbaik dari tim yang bersaing ketat untuk meraih kemenangan. Dapatkan informasi lengkap mengenai jadwal pertandingan dan hasil pertandingan terbaru hanya di Vidio.</t>
  </si>
  <si>
    <t>1168d03c</t>
  </si>
  <si>
    <t>Cremonese vs Como - Serie A</t>
  </si>
  <si>
    <t>US Cremonese; como; sports stream</t>
  </si>
  <si>
    <t>Nonton streaming pertandingan seru Cremonese vs Como - Serie A. Saksikan aksi-aksi terbaik dari tim yang bersaing ketat untuk meraih kemenangan. Dapatkan informasi lengkap mengenai jadwal pertandingan dan hasil pertandingan terbaru hanya di Vidio.</t>
  </si>
  <si>
    <t>b85fbc7a</t>
  </si>
  <si>
    <t>Fiorentina vs Atalanta - Serie A</t>
  </si>
  <si>
    <t>acf fiorentina; atalanta bergamasca calcio; sports stream</t>
  </si>
  <si>
    <t>Nonton streaming pertandingan seru Fiorentina vs Atalanta - Serie A. Saksikan aksi-aksi terbaik dari tim yang bersaing ketat untuk meraih kemenangan. Dapatkan informasi lengkap mengenai jadwal pertandingan dan hasil pertandingan terbaru hanya di Vidio.</t>
  </si>
  <si>
    <t>2f5df78f</t>
  </si>
  <si>
    <t>Lazio vs Pisa - Serie A</t>
  </si>
  <si>
    <t>ss lazio; Pisa SC; sports stream</t>
  </si>
  <si>
    <t>Nonton streaming pertandingan seru Lazio vs Pisa - Serie A. Saksikan aksi-aksi terbaik dari tim yang bersaing ketat untuk meraih kemenangan. Dapatkan informasi lengkap mengenai jadwal pertandingan dan hasil pertandingan terbaru hanya di Vidio.</t>
  </si>
  <si>
    <t>cd7aa57d</t>
  </si>
  <si>
    <t>Lecce vs Genoa - Serie A</t>
  </si>
  <si>
    <t>us lecce; genoa cfc; sports stream</t>
  </si>
  <si>
    <t>Nonton streaming pertandingan seru Lecce vs Genoa - Serie A. Saksikan aksi-aksi terbaik dari tim yang bersaing ketat untuk meraih kemenangan. Dapatkan informasi lengkap mengenai jadwal pertandingan dan hasil pertandingan terbaru hanya di Vidio.</t>
  </si>
  <si>
    <t>746c43dd</t>
  </si>
  <si>
    <t>Milan vs Cagliari - Serie A</t>
  </si>
  <si>
    <t>ac milan; cagliari calcio; sports stream</t>
  </si>
  <si>
    <t>Nonton streaming pertandingan seru Milan vs Cagliari - Serie A. Saksikan aksi-aksi terbaik dari tim yang bersaing ketat untuk meraih kemenangan. Dapatkan informasi lengkap mengenai jadwal pertandingan dan hasil pertandingan terbaru hanya di Vidio.</t>
  </si>
  <si>
    <t>0b1e742a</t>
  </si>
  <si>
    <t>Napoli vs Udinese - Serie A</t>
  </si>
  <si>
    <t>ssc napoli; udinese calcio; sports stream</t>
  </si>
  <si>
    <t>Nonton streaming pertandingan seru Napoli vs Udinese - Serie A. Saksikan aksi-aksi terbaik dari tim yang bersaing ketat untuk meraih kemenangan. Dapatkan informasi lengkap mengenai jadwal pertandingan dan hasil pertandingan terbaru hanya di Vidio.</t>
  </si>
  <si>
    <t>feb7bb41</t>
  </si>
  <si>
    <t>Parma vs Sassuolo - Serie A</t>
  </si>
  <si>
    <t>parma calcio; us sassuolo calcio; sports stream</t>
  </si>
  <si>
    <t>Nonton streaming pertandingan seru Parma vs Sassuolo - Serie A. Saksikan aksi-aksi terbaik dari tim yang bersaing ketat untuk meraih kemenangan. Dapatkan informasi lengkap mengenai jadwal pertandingan dan hasil pertandingan terbaru hanya di Vidio.</t>
  </si>
  <si>
    <t>c9e2a39d</t>
  </si>
  <si>
    <t>Torino vs Juventus - Serie A</t>
  </si>
  <si>
    <t>torino fc; juventus fc; sports stream</t>
  </si>
  <si>
    <t>Nonton streaming pertandingan seru Torino vs Juventus - Serie A. Saksikan aksi-aksi terbaik dari tim yang bersaing ketat untuk meraih kemenangan. Dapatkan informasi lengkap mengenai jadwal pertandingan dan hasil pertandingan terbaru hanya di Vidio.</t>
  </si>
  <si>
    <t>6c34ca60</t>
  </si>
  <si>
    <t>Verona vs Roma - Serie A</t>
  </si>
  <si>
    <t>hellas verona fc; as roma; sports stream</t>
  </si>
  <si>
    <t>Nonton streaming pertandingan seru Verona vs Roma - Serie A. Saksikan aksi-aksi terbaik dari tim yang bersaing ketat untuk meraih kemenangan. Dapatkan informasi lengkap mengenai jadwal pertandingan dan hasil pertandingan terbaru hanya di Vidio.</t>
  </si>
  <si>
    <t>600326a3</t>
  </si>
  <si>
    <t>PSV vs Union Saint-Gilloise - UEFA Champions League</t>
  </si>
  <si>
    <t>https://www.vidio.com/live/6317-bein-3?schedule_id=4569128</t>
  </si>
  <si>
    <t>https://drive.google.com/drive/folders/1fechh7R8CRgBsuyPQUEd2h12X2vtGaOw</t>
  </si>
  <si>
    <t>Royale Union Saint-Gilloise</t>
  </si>
  <si>
    <t>psv eindhoven; royale union saint-gilloise; sports stream</t>
  </si>
  <si>
    <t>Nonton streaming pertandingan seru PSV vs Union Saint-Gilloise - UEFA Champions League. Saksikan aksi-aksi terbaik dari tim yang bersaing ketat untuk meraih kemenangan. Dapatkan informasi lengkap mengenai jadwal pertandingan dan hasil pertandingan terbaru hanya di Vidio.</t>
  </si>
  <si>
    <t>https://drive.google.com/file/d/18d6zylwCT9hK466Br9b3saxGD7Xso3iA/view?usp=sharing</t>
  </si>
  <si>
    <t>bdae1a37</t>
  </si>
  <si>
    <t>Athletic Club vs Arsenal - UEFA Champions League</t>
  </si>
  <si>
    <t>https://www.vidio.com/live/6299-bein-1?schedule_id=4569126</t>
  </si>
  <si>
    <t>https://drive.google.com/drive/folders/1R96_t3ag-koPblqQQRos8QZxsN41wpHF</t>
  </si>
  <si>
    <t>athletic club bilbao; arsenal fc; sports stream</t>
  </si>
  <si>
    <t>Nonton streaming pertandingan seru Athletic Club vs Arsenal - UEFA Champions League. Saksikan aksi-aksi terbaik dari tim yang bersaing ketat untuk meraih kemenangan. Dapatkan informasi lengkap mengenai jadwal pertandingan dan hasil pertandingan terbaru hanya di Vidio.</t>
  </si>
  <si>
    <t>https://drive.google.com/file/d/19u3miBqFRwb0jHxoXIMh7UDxm9jRkcaE/view?usp=sharing</t>
  </si>
  <si>
    <t>https://drive.google.com/file/d/1E8HRrjpj8AG4_QYeO4KqRGrf1r7VJQIG/view?usp=sharing</t>
  </si>
  <si>
    <t>603ed16e</t>
  </si>
  <si>
    <t>Juventus vs Dortmund - UEFA Champions League</t>
  </si>
  <si>
    <t>https://www.vidio.com/live/17875-bein-2?schedule_id=4569131</t>
  </si>
  <si>
    <t>https://drive.google.com/drive/folders/1uxBYsnz0cBzIxuk4k_-zFC7O-JZhmG0k</t>
  </si>
  <si>
    <t>Borussia Dortmund</t>
  </si>
  <si>
    <t>juventus fc; bv borussia 09 dortmund; sports stream</t>
  </si>
  <si>
    <t>Nonton streaming pertandingan seru Juventus vs Dortmund - UEFA Champions League. Saksikan aksi-aksi terbaik dari tim yang bersaing ketat untuk meraih kemenangan. Dapatkan informasi lengkap mengenai jadwal pertandingan dan hasil pertandingan terbaru hanya di Vidio.</t>
  </si>
  <si>
    <t>E7 , F3</t>
  </si>
  <si>
    <t>https://drive.google.com/file/d/17T74Bvq3zXfD4neDf99ydHevB5ccXyLU/view?usp=sharing</t>
  </si>
  <si>
    <t>https://drive.google.com/file/d/1thgvWEFbwEIbArMOgFGUxm-tMlDO11W5/view?usp=sharing</t>
  </si>
  <si>
    <t>8db89536</t>
  </si>
  <si>
    <t>Benfica vs Qarabag FK - UEFA Champions League</t>
  </si>
  <si>
    <t>https://www.vidio.com/live/18305-uefa-champions-league?schedule_id=4569130</t>
  </si>
  <si>
    <t>https://drive.google.com/drive/folders/1ujbFUenfxeV6E2X36X9S8EGPmUBwOvAW</t>
  </si>
  <si>
    <t>sl benfica; qarabağ ağdam fk; sports stream</t>
  </si>
  <si>
    <t>Nonton streaming pertandingan seru Benfica vs Qarabag FK - UEFA Champions League. Saksikan aksi-aksi terbaik dari tim yang bersaing ketat untuk meraih kemenangan. Dapatkan informasi lengkap mengenai jadwal pertandingan dan hasil pertandingan terbaru hanya di Vidio.</t>
  </si>
  <si>
    <t>https://drive.google.com/file/d/1xCmCpWdsFl5tvLFObf4lq_s6pSK1kKpx/view?usp=sharing</t>
  </si>
  <si>
    <t>5989b3b0</t>
  </si>
  <si>
    <t>Tottenham vs Villarreal - UEFA Champions League</t>
  </si>
  <si>
    <t>https://www.vidio.com/live/6317-bein-3?schedule_id=4569133</t>
  </si>
  <si>
    <t>https://drive.google.com/drive/folders/1x8PO-1YxhD__raMhXhhg_GHcWsb9dvGs</t>
  </si>
  <si>
    <t>tottenham hotspur fc; villarreal cf; sports stream</t>
  </si>
  <si>
    <t>Nonton streaming pertandingan seru Tottenham vs Villarreal - UEFA Champions League. Saksikan aksi-aksi terbaik dari tim yang bersaing ketat untuk meraih kemenangan. Dapatkan informasi lengkap mengenai jadwal pertandingan dan hasil pertandingan terbaru hanya di Vidio.</t>
  </si>
  <si>
    <t>E6 , F2</t>
  </si>
  <si>
    <t>https://drive.google.com/file/d/1mfpKquK55Atw9va2LyEs0JqmQ3CvhnCM/view?usp=sharing</t>
  </si>
  <si>
    <t>https://drive.google.com/file/d/1UzdhJ0Wz6P8xCygl7IF66oxq2JujK32g/view?usp=sharing</t>
  </si>
  <si>
    <t>88247a76</t>
  </si>
  <si>
    <t>Real Madrid vs Marseille - UEFA Champions League</t>
  </si>
  <si>
    <t>https://www.vidio.com/live/6299-bein-1?schedule_id=4569132</t>
  </si>
  <si>
    <t>https://drive.google.com/drive/folders/1fKz95zx_v0MR6TmrZlNFTrZvNJLLrIAO</t>
  </si>
  <si>
    <t>Olympique de Marseille</t>
  </si>
  <si>
    <t>real madrid cf; olympique de marseille; sports stream</t>
  </si>
  <si>
    <t>Nonton streaming pertandingan seru Real Madrid vs Marseille - UEFA Champions League. Saksikan aksi-aksi terbaik dari tim yang bersaing ketat untuk meraih kemenangan. Dapatkan informasi lengkap mengenai jadwal pertandingan dan hasil pertandingan terbaru hanya di Vidio.</t>
  </si>
  <si>
    <t>E5 , F1</t>
  </si>
  <si>
    <t>https://3.basecamp.com/4902751/buckets/36763424/card_tables/cards/9025503651</t>
  </si>
  <si>
    <t>https://drive.google.com/file/d/1qmDQie1IXB282vyegifnA5UHWCAveHO4/view?usp=sharing</t>
  </si>
  <si>
    <t>https://drive.google.com/file/d/1ghCxayHKpyFAMCEvImzyXlYLatV6xJX3/view?usp=sharing</t>
  </si>
  <si>
    <t>325860c5</t>
  </si>
  <si>
    <t>Olympiacos vs Pafos - UEFA Champions League</t>
  </si>
  <si>
    <t>https://www.vidio.com/live/6299-bein-1?schedule_id=4569134</t>
  </si>
  <si>
    <t>https://drive.google.com/drive/folders/1emJpojVOcYDLYpR7GYuMrRDrTPiF36jv</t>
  </si>
  <si>
    <t>Olympiacos F.C.</t>
  </si>
  <si>
    <t>olympiakos cfp; pafos fc; sports stream</t>
  </si>
  <si>
    <t>Nonton streaming pertandingan seru Olympiacos vs Pafos - UEFA Champions League. Saksikan aksi-aksi terbaik dari tim yang bersaing ketat untuk meraih kemenangan. Dapatkan informasi lengkap mengenai jadwal pertandingan dan hasil pertandingan terbaru hanya di Vidio.</t>
  </si>
  <si>
    <t>https://drive.google.com/file/d/1tscf90cfTLNdg_SgOdt9A7q9-QA5vSEY/view?usp=sharing</t>
  </si>
  <si>
    <t>c24b4339</t>
  </si>
  <si>
    <t>Slavia Praha vs Bodo/Glimt - UEFA Champions League</t>
  </si>
  <si>
    <t>https://www.vidio.com/live/6317-bein-3?schedule_id=4569135</t>
  </si>
  <si>
    <t>https://drive.google.com/drive/folders/1cHaTd-Ug1gK6F9zwItvbTyu0oUAzPuXP</t>
  </si>
  <si>
    <t>SK Slavia Prague</t>
  </si>
  <si>
    <t>sk slavia praha; fk bodø/glimt; sports stream</t>
  </si>
  <si>
    <t>Nonton streaming pertandingan seru Slavia Praha vs Bodo/Glimt - UEFA Champions League. Saksikan aksi-aksi terbaik dari tim yang bersaing ketat untuk meraih kemenangan. Dapatkan informasi lengkap mengenai jadwal pertandingan dan hasil pertandingan terbaru hanya di Vidio.</t>
  </si>
  <si>
    <t>https://drive.google.com/file/d/1VcZ66oyLrRVfyq_h7AmseLPryBHxso6q/view?usp=sharing</t>
  </si>
  <si>
    <t>1aabef35</t>
  </si>
  <si>
    <t>Bayern vs Chelsea - UEFA Champions League</t>
  </si>
  <si>
    <t>VIDIO - @sctv</t>
  </si>
  <si>
    <t>https://www.vidio.com/live/17883-uefa-champions-league?schedule_id=4569288</t>
  </si>
  <si>
    <t>https://drive.google.com/drive/folders/1OQJuGHXuusMIq9Hjmo5c27rSXBz6la3u</t>
  </si>
  <si>
    <t>FC Bayern Munich</t>
  </si>
  <si>
    <t>fc bayern munchen; chelsea fc; sports stream</t>
  </si>
  <si>
    <t>Nonton streaming pertandingan seru Bayern vs Chelsea - UEFA Champions League. Saksikan aksi-aksi terbaik dari tim yang bersaing ketat untuk meraih kemenangan. Dapatkan informasi lengkap mengenai jadwal pertandingan dan hasil pertandingan terbaru hanya di Vidio.</t>
  </si>
  <si>
    <t>NTC Gabungan w/ Liverpool vs Atletico + Performance + CRM + SEO + Socmed</t>
  </si>
  <si>
    <t>https://3.basecamp.com/4902751/buckets/36763424/card_tables/cards/9025454575</t>
  </si>
  <si>
    <t>https://drive.google.com/file/d/1Ihj3sl8K4Y43yf05QLu_wgNm2UluFG8E/view?usp=sharing</t>
  </si>
  <si>
    <t>https://drive.google.com/file/d/1S2oVWKSVB1f81Cn5ZpQSH74DhelP2dkJ/view?usp=sharing</t>
  </si>
  <si>
    <t>c10c1519</t>
  </si>
  <si>
    <t>PSG vs Atalanta - UEFA Champions League</t>
  </si>
  <si>
    <t>https://www.vidio.com/live/6299-bein-1?schedule_id=4569286</t>
  </si>
  <si>
    <t>https://drive.google.com/drive/folders/1nDhG-uEhpsxKsF7c48CHu23htMoCCDUq</t>
  </si>
  <si>
    <t>Paris Saint-Germain</t>
  </si>
  <si>
    <t>Paris Saint-Germain FC; atalanta bergamasca calcio; sports stream</t>
  </si>
  <si>
    <t>Nonton streaming pertandingan seru PSG vs Atalanta - UEFA Champions League. Saksikan aksi-aksi terbaik dari tim yang bersaing ketat untuk meraih kemenangan. Dapatkan informasi lengkap mengenai jadwal pertandingan dan hasil pertandingan terbaru hanya di Vidio.</t>
  </si>
  <si>
    <t>https://drive.google.com/file/d/1VceYYTxR-SwD8RwpUJ2N6gdIKuopPuim/view?usp=sharing</t>
  </si>
  <si>
    <t>https://drive.google.com/file/d/1gbm0KKVKq6vrdhlVnXztYrgzD0WuA_3A/view?usp=sharing</t>
  </si>
  <si>
    <t>4e3c8769</t>
  </si>
  <si>
    <t>Ajax vs Inter - UEFA Champions League</t>
  </si>
  <si>
    <t>https://www.vidio.com/live/18304-uefa-champions-league?schedule_id=4569284</t>
  </si>
  <si>
    <t>https://drive.google.com/drive/folders/1QwIpFpc5XzmXJLa9IdShWdyQtdaCHECL</t>
  </si>
  <si>
    <t>afc ajax; fc internazionale milano; sports stream</t>
  </si>
  <si>
    <t>Nonton streaming pertandingan seru Ajax vs Inter - UEFA Champions League. Saksikan aksi-aksi terbaik dari tim yang bersaing ketat untuk meraih kemenangan. Dapatkan informasi lengkap mengenai jadwal pertandingan dan hasil pertandingan terbaru hanya di Vidio.</t>
  </si>
  <si>
    <t>https://drive.google.com/file/d/14xDMuD04Ql8PEaKrWkzyaOnkfLR1xpwb/view?usp=sharing</t>
  </si>
  <si>
    <t>https://drive.google.com/file/d/1mVDyMlaFgZ2_6eQYHkpreJM6xdS5Zv8r/view?usp=sharing</t>
  </si>
  <si>
    <t>84a7b65b</t>
  </si>
  <si>
    <t>Liverpool vs Atletico Madrid - UEFA Champions League</t>
  </si>
  <si>
    <t>https://www.vidio.com/live/6317-bein-3?schedule_id=4569285</t>
  </si>
  <si>
    <t>https://drive.google.com/drive/folders/1duKMfuUbN5aUkaXgMVTe-fsi5bmywO8a</t>
  </si>
  <si>
    <t>liverpool fc; Club Atlético de Madrid; sports stream</t>
  </si>
  <si>
    <t>Nonton streaming pertandingan seru Liverpool vs Atletico Madrid - UEFA Champions League. Saksikan aksi-aksi terbaik dari tim yang bersaing ketat untuk meraih kemenangan. Dapatkan informasi lengkap mengenai jadwal pertandingan dan hasil pertandingan terbaru hanya di Vidio.</t>
  </si>
  <si>
    <t>https://drive.google.com/file/d/1LT5JuBUzV5TO84mHodr1HNbTvriMLD9C/view?usp=sharing</t>
  </si>
  <si>
    <t>https://drive.google.com/file/d/1brfmYChvi7yGshHf3eG5P3I3-BwzOrRa/view?usp=sharing</t>
  </si>
  <si>
    <t>3c53bb3a</t>
  </si>
  <si>
    <t>Copenhagen vs Leverkusen - UEFA Champions League</t>
  </si>
  <si>
    <t>https://www.vidio.com/live/6299-bein-1?schedule_id=4569290</t>
  </si>
  <si>
    <t>https://drive.google.com/drive/folders/1Yefby7fB065BQKSSW68JElpDLohNfwd3</t>
  </si>
  <si>
    <t>Copenhagen</t>
  </si>
  <si>
    <t>Bayer 04 Leverkusen</t>
  </si>
  <si>
    <t>fc kobenhavn; bayer 04 leverkusen; sports stream</t>
  </si>
  <si>
    <t>Nonton streaming pertandingan seru Copenhagen vs Leverkusen - UEFA Champions League. Saksikan aksi-aksi terbaik dari tim yang bersaing ketat untuk meraih kemenangan. Dapatkan informasi lengkap mengenai jadwal pertandingan dan hasil pertandingan terbaru hanya di Vidio.</t>
  </si>
  <si>
    <t>https://drive.google.com/file/d/1ZSfu7c_VC2CAjk2hPlpTJq65SaocWuRT/view?usp=sharing</t>
  </si>
  <si>
    <t>https://drive.google.com/file/d/1-IWoS2wbuuroZI4_IJP4dqw1YnPfTqD2/view?usp=sharing</t>
  </si>
  <si>
    <t>6999a10f</t>
  </si>
  <si>
    <t>Club Brugge vs Monaco - UEFA Champions League</t>
  </si>
  <si>
    <t>https://www.vidio.com/live/6317-bein-3?schedule_id=4569289</t>
  </si>
  <si>
    <t>https://drive.google.com/drive/folders/151A1-q01f6XVkW3iZk5ETsqG8LKnP8jZ</t>
  </si>
  <si>
    <t>AS Monaco</t>
  </si>
  <si>
    <t>club brugge kv; as monaco fc; sports stream</t>
  </si>
  <si>
    <t>Nonton streaming pertandingan seru Club Brugge vs Monaco - UEFA Champions League. Saksikan aksi-aksi terbaik dari tim yang bersaing ketat untuk meraih kemenangan. Dapatkan informasi lengkap mengenai jadwal pertandingan dan hasil pertandingan terbaru hanya di Vidio.</t>
  </si>
  <si>
    <t>https://drive.google.com/file/d/15MN9mr1lxA7g3kZWKoZoPyHGTRmZr96A/view?usp=sharing</t>
  </si>
  <si>
    <t>cb34d528</t>
  </si>
  <si>
    <t>Eintracht Frankfurt vs Galatasaray - UEFA Champions League</t>
  </si>
  <si>
    <t>https://www.vidio.com/live/17875-bein-2?schedule_id=4570941</t>
  </si>
  <si>
    <t>https://drive.google.com/drive/folders/1wcMy03IDL2biixluTc3YEosXAhVDEHZA</t>
  </si>
  <si>
    <t>Eintracht Frankfurt</t>
  </si>
  <si>
    <t>Galatasaray Spor Kulübü</t>
  </si>
  <si>
    <t>eintracht frankfurt; galatasaray spor kulübü; sports stream</t>
  </si>
  <si>
    <t>Nonton streaming pertandingan seru Eintracht Frankfurt vs Galatasaray - UEFA Champions League. Saksikan aksi-aksi terbaik dari tim yang bersaing ketat untuk meraih kemenangan. Dapatkan informasi lengkap mengenai jadwal pertandingan dan hasil pertandingan terbaru hanya di Vidio.</t>
  </si>
  <si>
    <t>https://drive.google.com/file/d/1uVFOSVmoSEh9AmIhp2c9FcwZNryp8jSV/view?usp=sharing</t>
  </si>
  <si>
    <t>0af22e00</t>
  </si>
  <si>
    <t>Sporting vs Kairat - UEFA Champions League</t>
  </si>
  <si>
    <t>https://www.vidio.com/live/18303-uefa-champions-league?schedule_id=4570946</t>
  </si>
  <si>
    <t>https://drive.google.com/drive/folders/1URPWVLoMi7F7J3rqe4SD3jpQ3OhcnJn7</t>
  </si>
  <si>
    <t>sporting clube de portugal; FC Kairat Almaty; sports stream</t>
  </si>
  <si>
    <t>Nonton streaming pertandingan seru Sporting vs Kairat - UEFA Champions League. Saksikan aksi-aksi terbaik dari tim yang bersaing ketat untuk meraih kemenangan. Dapatkan informasi lengkap mengenai jadwal pertandingan dan hasil pertandingan terbaru hanya di Vidio.</t>
  </si>
  <si>
    <t>https://drive.google.com/file/d/1Sh4rVpFkZOBfL55dUZVUBJ1HAXoGZar9/view?usp=sharing</t>
  </si>
  <si>
    <t>cdeddb66</t>
  </si>
  <si>
    <t>Newcastle vs Barcelona - UEFA Champions League</t>
  </si>
  <si>
    <t>https://www.vidio.com/live/17883-uefa-champions-league?schedule_id=4570943</t>
  </si>
  <si>
    <t>https://drive.google.com/drive/folders/18G3vwJq_y1bo1Y4KMgRwGchXlFX6wZnq</t>
  </si>
  <si>
    <t>newcastle united fc; fc barcelona; sports stream</t>
  </si>
  <si>
    <t>Nonton streaming pertandingan seru Newcastle vs Barcelona - UEFA Champions League. Saksikan aksi-aksi terbaik dari tim yang bersaing ketat untuk meraih kemenangan. Dapatkan informasi lengkap mengenai jadwal pertandingan dan hasil pertandingan terbaru hanya di Vidio.</t>
  </si>
  <si>
    <t>https://drive.google.com/file/d/15tMMRhvq37w2gcu8HYCtHQ7qYVNIUyXx/view?usp=sharing</t>
  </si>
  <si>
    <t>https://drive.google.com/file/d/1ZB7YAVX5JT9ynjup4hm_ethnYXVGUO2n/view?usp=sharing</t>
  </si>
  <si>
    <t>7eaad1a5</t>
  </si>
  <si>
    <t>Man City vs Napoli - UEFA Champions League</t>
  </si>
  <si>
    <t>https://www.vidio.com/live/6317-bein-3?schedule_id=4570942</t>
  </si>
  <si>
    <t>https://drive.google.com/drive/folders/1HtW-MoKeUDFl-bH_RhFEjaLCM1bgH_jr</t>
  </si>
  <si>
    <t>manchester city fc; ssc napoli; sports stream</t>
  </si>
  <si>
    <t>Nonton streaming pertandingan seru Man City vs Napoli - UEFA Champions League. Saksikan aksi-aksi terbaik dari tim yang bersaing ketat untuk meraih kemenangan. Dapatkan informasi lengkap mengenai jadwal pertandingan dan hasil pertandingan terbaru hanya di Vidio.</t>
  </si>
  <si>
    <t>NTC Gabungan w/ Newcastle vs Barcelona + Performance + CRM + SEO + Socmed</t>
  </si>
  <si>
    <t>https://3.basecamp.com/4902751/buckets/36763424/card_tables/cards/9025485209</t>
  </si>
  <si>
    <t>https://drive.google.com/file/d/1jVZ3L-0l95I7binyLF60g6VHTLsXVutE/view?usp=sharing</t>
  </si>
  <si>
    <t>https://drive.google.com/file/d/1UPviu7P3MprH4DCUgIlDIzNYa97uPSHG/view?usp=sharing</t>
  </si>
  <si>
    <t>f114b4c4</t>
  </si>
  <si>
    <t>Kairat vs Real Madrid - UEFA Champions League</t>
  </si>
  <si>
    <t>https://www.vidio.com/live/17883-uefa-champions-league?schedule_id=4602009</t>
  </si>
  <si>
    <t>https://drive.google.com/drive/folders/1drNJJZdnWdcJjyFwpIotYO9SPz7WCGcZ</t>
  </si>
  <si>
    <t>https://drive.google.com/drive/folders/1iXXXI8AUN2qzP-l9i7Vb4Z_ch9sn0od-</t>
  </si>
  <si>
    <t>FC Kairat Almaty; real madrid cf; sports stream</t>
  </si>
  <si>
    <t>Nonton streaming pertandingan seru Kairat vs Real Madrid - UEFA Champions League. Saksikan aksi-aksi terbaik dari tim yang bersaing ketat untuk meraih kemenangan. Dapatkan informasi lengkap mengenai jadwal pertandingan dan hasil pertandingan terbaru hanya di Vidio.</t>
  </si>
  <si>
    <t>https://drive.google.com/file/d/1pehR8qNjpj0a3UzKL5IBXqhQic2qlKKJ/view?usp=sharing</t>
  </si>
  <si>
    <t>https://drive.google.com/file/d/1TMkazvtg8OIrCfcXODm838yEhPLit_up/view?usp=drive_link</t>
  </si>
  <si>
    <t>https://drive.google.com/file/d/1dWgb1thlY8Neevx9tLBvJkwbSpooQfnq/view?usp=sharing</t>
  </si>
  <si>
    <t>3672c3f3</t>
  </si>
  <si>
    <t>Atalanta vs Club Brugge - UEFA Champions League</t>
  </si>
  <si>
    <t>https://www.vidio.com/live/6317-bein-3?schedule_id=4604765</t>
  </si>
  <si>
    <t>https://drive.google.com/drive/folders/1VRrE0LQzFqsuL4B_o1W9yHopLRAqDZ5E</t>
  </si>
  <si>
    <t>atalanta bergamasca calcio; club brugge kv; sports stream</t>
  </si>
  <si>
    <t>Nonton streaming pertandingan seru Atalanta vs Club Brugge - UEFA Champions League. Saksikan aksi-aksi terbaik dari tim yang bersaing ketat untuk meraih kemenangan. Dapatkan informasi lengkap mengenai jadwal pertandingan dan hasil pertandingan terbaru hanya di Vidio.</t>
  </si>
  <si>
    <t>https://drive.google.com/file/d/1LQqxipwr1EtEL-xT263jkWkoXXaFaFH7/view?usp=sharing</t>
  </si>
  <si>
    <t>https://drive.google.com/file/d/16dQnVqQD9xKFqbziLj4FXCRjbz1Z3lrK/view?usp=drive_link</t>
  </si>
  <si>
    <t>7cdac6a4</t>
  </si>
  <si>
    <t>Marseille vs Ajax - UEFA Champions League</t>
  </si>
  <si>
    <t>https://www.vidio.com/live/18305-uefa-champions-league?schedule_id=4602544</t>
  </si>
  <si>
    <t>https://drive.google.com/drive/folders/1ios9iWEd2dnO5dR5nTThyvnwQiRENWUP</t>
  </si>
  <si>
    <t>olympique de marseille; afc ajax; sports stream</t>
  </si>
  <si>
    <t>Nonton streaming pertandingan seru Marseille vs Ajax - UEFA Champions League. Saksikan aksi-aksi terbaik dari tim yang bersaing ketat untuk meraih kemenangan. Dapatkan informasi lengkap mengenai jadwal pertandingan dan hasil pertandingan terbaru hanya di Vidio.</t>
  </si>
  <si>
    <t>https://drive.google.com/file/d/1p2pgVl_3-Dv8Exvzh0iJBr6-8pAjemTe/view?usp=sharing</t>
  </si>
  <si>
    <t>https://drive.google.com/file/d/1T_9upPzDiBx8WD_Jr60oFKQxiYKlKWvS/view?usp=drive_link</t>
  </si>
  <si>
    <t>7c9e03c1</t>
  </si>
  <si>
    <t>Inter vs Slavia Praha - UEFA Champions League</t>
  </si>
  <si>
    <t>https://www.vidio.com/live/18304-uefa-champions-league?schedule_id=4602013</t>
  </si>
  <si>
    <t>https://drive.google.com/drive/folders/1UFmhl0mSvRsn4iT54mad_srOatZqpCT6</t>
  </si>
  <si>
    <t>fc internazionale milano; sk slavia praha; sports stream</t>
  </si>
  <si>
    <t>Nonton streaming pertandingan seru Inter vs Slavia Praha - UEFA Champions League. Saksikan aksi-aksi terbaik dari tim yang bersaing ketat untuk meraih kemenangan. Dapatkan informasi lengkap mengenai jadwal pertandingan dan hasil pertandingan terbaru hanya di Vidio.</t>
  </si>
  <si>
    <t>https://drive.google.com/file/d/1RgjxEDIxVcK5quJZqbo26Ldoysa4O86O/view?usp=sharing</t>
  </si>
  <si>
    <t>https://drive.google.com/file/d/18pYwkMRkafFLKcrg2p2lzdd2FydGd80z/view?usp=drive_link</t>
  </si>
  <si>
    <t>https://drive.google.com/file/d/1bRdjUmLVzTWDLCFCSU_mUgxdHgIUoSLc/view?usp=sharing</t>
  </si>
  <si>
    <t>f81969a5</t>
  </si>
  <si>
    <t>Chelsea vs Benfica - UEFA Champions League</t>
  </si>
  <si>
    <t>https://www.vidio.com/live/6317-bein-3?schedule_id=4602542</t>
  </si>
  <si>
    <t>https://drive.google.com/drive/folders/1jWa7tIElAOq2H4hgAkq7uSC8OyWA9vm9</t>
  </si>
  <si>
    <t>chelsea fc; sl benfica; sports stream</t>
  </si>
  <si>
    <t>Nonton streaming pertandingan seru Chelsea vs Benfica - UEFA Champions League. Saksikan aksi-aksi terbaik dari tim yang bersaing ketat untuk meraih kemenangan. Dapatkan informasi lengkap mengenai jadwal pertandingan dan hasil pertandingan terbaru hanya di Vidio.</t>
  </si>
  <si>
    <t>https://drive.google.com/file/d/129a7dsin7vWa47QE89EEXqYIhIF9M_tx/view?usp=sharing</t>
  </si>
  <si>
    <t>https://drive.google.com/file/d/1xeWTXWPwTVk1DIFpRgz5W6-C-f0z5quU/view?usp=drive_link</t>
  </si>
  <si>
    <t>https://drive.google.com/file/d/1oNE_f0sJY1xgBNxjp8JP859RIGHtIt7B/view?usp=sharing</t>
  </si>
  <si>
    <t>237341ec</t>
  </si>
  <si>
    <t>Galatasaray vs Liverpool - UEFA Champions League</t>
  </si>
  <si>
    <t>https://www.vidio.com/live/17883-uefa-champions-league?schedule_id=4602014</t>
  </si>
  <si>
    <t>https://drive.google.com/drive/folders/1zrxpshVF0gyUwf9-RMUsDHimMvzWldSI</t>
  </si>
  <si>
    <t>galatasaray spor kulübü; liverpool fc; sports stream</t>
  </si>
  <si>
    <t>Nonton streaming pertandingan seru Galatasaray vs Liverpool - UEFA Champions League. Saksikan aksi-aksi terbaik dari tim yang bersaing ketat untuk meraih kemenangan. Dapatkan informasi lengkap mengenai jadwal pertandingan dan hasil pertandingan terbaru hanya di Vidio.</t>
  </si>
  <si>
    <t>https://drive.google.com/file/d/1XuDoLaevaThfzmGX4bLcBKa22E-1ahJi/view?usp=sharing</t>
  </si>
  <si>
    <t>https://drive.google.com/file/d/1WFe1lVGmGmMTunn4xZoOOjIgF-2wBgSx/view?usp=drive_link</t>
  </si>
  <si>
    <t>https://drive.google.com/file/d/1CL18i-AHhEleUhWgje7MNw9C1FI6svRQ/view?usp=sharing</t>
  </si>
  <si>
    <t>e2800be1</t>
  </si>
  <si>
    <t>Pafos vs Bayern - UEFA Champions League</t>
  </si>
  <si>
    <t>https://www.vidio.com/live/18302-uefa-champions-league?schedule_id=4602546</t>
  </si>
  <si>
    <t>https://drive.google.com/drive/folders/194xyYMPLG1487kgruipg6P9_U9iX4y_Q</t>
  </si>
  <si>
    <t>pafos fc; fc bayern munchen; sports stream</t>
  </si>
  <si>
    <t>Nonton streaming pertandingan seru Pafos vs Bayern - UEFA Champions League. Saksikan aksi-aksi terbaik dari tim yang bersaing ketat untuk meraih kemenangan. Dapatkan informasi lengkap mengenai jadwal pertandingan dan hasil pertandingan terbaru hanya di Vidio.</t>
  </si>
  <si>
    <t>https://drive.google.com/file/d/16tu4S9b10r1wCPzdom3umoVToTNi6n8d/view?usp=sharing</t>
  </si>
  <si>
    <t>https://drive.google.com/file/d/1W3OLDAGVFFG-xoX1YIqTP9qiZ-xH4Ewf/view?usp=drive_link</t>
  </si>
  <si>
    <t>https://drive.google.com/file/d/1eK9tPSo-P1WSQMDOdVRuMz1FT3jH0uPH/view?usp=sharing</t>
  </si>
  <si>
    <t>886a03bf</t>
  </si>
  <si>
    <t>Bodo/Glimt vs Tottenham - UEFA Champions League</t>
  </si>
  <si>
    <t>https://www.vidio.com/live/17875-bein-2?schedule_id=4602015</t>
  </si>
  <si>
    <t>https://drive.google.com/drive/folders/1s9yFONSPE5Sl5pcnX8tg5WkCUgrCrh7m</t>
  </si>
  <si>
    <t>fk bodø/glimt; tottenham hotspur fc; sports stream</t>
  </si>
  <si>
    <t>Nonton streaming pertandingan seru Bodo/Glimt vs Tottenham - UEFA Champions League. Saksikan aksi-aksi terbaik dari tim yang bersaing ketat untuk meraih kemenangan. Dapatkan informasi lengkap mengenai jadwal pertandingan dan hasil pertandingan terbaru hanya di Vidio.</t>
  </si>
  <si>
    <t>B2</t>
  </si>
  <si>
    <t>https://drive.google.com/file/d/1p2iLMSLnmh2XLpo-eWHR02FOQcCUS0AW/view?usp=sharing</t>
  </si>
  <si>
    <t>https://drive.google.com/file/d/1k2saIEg0Lag0GzZJu4tcUoFS8Eav28t6/view?usp=drive_link</t>
  </si>
  <si>
    <t>https://drive.google.com/file/d/1eO2lUNr57COT1KTLqgG0MUZvzFuF5lGc/view?usp=sharing</t>
  </si>
  <si>
    <t>c87a2cb1</t>
  </si>
  <si>
    <t>Atletico Madrid vs Eintracht Frankfurt - UEFA Champions League</t>
  </si>
  <si>
    <t>https://www.vidio.com/live/18303-uefa-champions-league?schedule_id=4602011</t>
  </si>
  <si>
    <t>https://drive.google.com/drive/folders/18iZ72JdaKwsBKz6xiTb5-dX3IzhoSa98</t>
  </si>
  <si>
    <t>Club Atlético de Madrid; eintracht frankfurt; sports stream</t>
  </si>
  <si>
    <t>Nonton streaming pertandingan seru Atletico Madrid vs Eintracht Frankfurt - UEFA Champions League. Saksikan aksi-aksi terbaik dari tim yang bersaing ketat untuk meraih kemenangan. Dapatkan informasi lengkap mengenai jadwal pertandingan dan hasil pertandingan terbaru hanya di Vidio.</t>
  </si>
  <si>
    <t>https://drive.google.com/file/d/1JQnPs4f-hrzKse1tMw5datOgjoTdoIH6/view?usp=sharing</t>
  </si>
  <si>
    <t>https://drive.google.com/file/d/10NxTVzXhuhmj10ehq5fGb_F1f5hcJUAz/view?usp=sharing</t>
  </si>
  <si>
    <t>https://drive.google.com/file/d/10uSFFo45GhHwufjPjHWPmHQO179Z-Z5T/view?usp=sharing</t>
  </si>
  <si>
    <t>d752fd3a</t>
  </si>
  <si>
    <t>Qarabag FK vs Copenhagen - UEFA Champions League</t>
  </si>
  <si>
    <t>https://www.vidio.com/live/6317-bein-3?schedule_id=4606950</t>
  </si>
  <si>
    <t>https://drive.google.com/drive/folders/1ynoFxQpzCFWC6-HdNazCjNlCPPTVZGPh</t>
  </si>
  <si>
    <t>qarabağ ağdam fk; fc kobenhavn; sports stream</t>
  </si>
  <si>
    <t>Nonton streaming pertandingan seru Qarabag FK vs Copenhagen - UEFA Champions League. Saksikan aksi-aksi terbaik dari tim yang bersaing ketat untuk meraih kemenangan. Dapatkan informasi lengkap mengenai jadwal pertandingan dan hasil pertandingan terbaru hanya di Vidio.</t>
  </si>
  <si>
    <t>https://drive.google.com/file/d/1A45TuoEJ3NHJkRydZwnfWGjjC3VMtKbM/view?usp=sharing</t>
  </si>
  <si>
    <t>https://drive.google.com/file/d/10pysGCt4CJvG7SJmV6OIF6K_eQDdQm9u/view?usp=drive_link</t>
  </si>
  <si>
    <t>db356b1f</t>
  </si>
  <si>
    <t>Union Saint-Gilloise vs Newcastle - UEFA Champions League</t>
  </si>
  <si>
    <t>https://www.vidio.com/live/6299-bein-1?schedule_id=4607563</t>
  </si>
  <si>
    <t>https://drive.google.com/drive/folders/1nId1MBbUbwMi66lPlxv90WOzqsOij7AE</t>
  </si>
  <si>
    <t>royale union saint-gilloise; newcastle united fc; sports stream</t>
  </si>
  <si>
    <t>Nonton streaming pertandingan seru Union Saint-Gilloise vs Newcastle - UEFA Champions League. Saksikan aksi-aksi terbaik dari tim yang bersaing ketat untuk meraih kemenangan. Dapatkan informasi lengkap mengenai jadwal pertandingan dan hasil pertandingan terbaru hanya di Vidio.</t>
  </si>
  <si>
    <t>https://drive.google.com/file/d/1PIv7ndui4IFAxcdXwN1pvqMagubeI8VZ/view?usp=sharing</t>
  </si>
  <si>
    <t>https://drive.google.com/file/d/169zj797yMdNwqQO0c1DBPAOcL8JOrqzc/view?usp=drive_link</t>
  </si>
  <si>
    <t>https://drive.google.com/file/d/1_PxOQGQeossiXWg1boEtEAR24JT0Slhg/view?usp=sharing</t>
  </si>
  <si>
    <t>12d1bbf3</t>
  </si>
  <si>
    <t>Monaco vs Man City - UEFA Champions League</t>
  </si>
  <si>
    <t>https://www.vidio.com/live/6317-bein-3?schedule_id=4607911</t>
  </si>
  <si>
    <t>https://drive.google.com/drive/folders/1I15jp9S33cs2EtKR-QXvd7O78e1f409k</t>
  </si>
  <si>
    <t>as monaco fc; manchester city fc; sports stream</t>
  </si>
  <si>
    <t>Nonton streaming pertandingan seru Monaco vs Man City - UEFA Champions League. Saksikan aksi-aksi terbaik dari tim yang bersaing ketat untuk meraih kemenangan. Dapatkan informasi lengkap mengenai jadwal pertandingan dan hasil pertandingan terbaru hanya di Vidio.</t>
  </si>
  <si>
    <t>https://drive.google.com/file/d/1guZ31NVjDSXXgsYJYjJPJoxpbMUp8Wby/view?usp=sharing</t>
  </si>
  <si>
    <t>https://drive.google.com/file/d/1HZ_i2qnSKpwm2vmvgZm2ibZIMEAE0XSn/view?usp=drive_link</t>
  </si>
  <si>
    <t>https://drive.google.com/file/d/1pFIF8ija42OLfH6IlvpbQb-OMCiBgbZS/view?usp=sharing</t>
  </si>
  <si>
    <t>34a5bd84</t>
  </si>
  <si>
    <t>Dortmund vs Athletic Club - UEFA Champions League</t>
  </si>
  <si>
    <t>https://www.vidio.com/live/18302-uefa-champions-league?schedule_id=4610342</t>
  </si>
  <si>
    <t>https://drive.google.com/drive/folders/18C3gnpzQ21w6c8YuM9Jfnba-WwtpMyTR</t>
  </si>
  <si>
    <t>bv borussia 09 dortmund; athletic club bilbao; sports stream</t>
  </si>
  <si>
    <t>Nonton streaming pertandingan seru Dortmund vs Athletic Club - UEFA Champions League. Saksikan aksi-aksi terbaik dari tim yang bersaing ketat untuk meraih kemenangan. Dapatkan informasi lengkap mengenai jadwal pertandingan dan hasil pertandingan terbaru hanya di Vidio.</t>
  </si>
  <si>
    <t>https://drive.google.com/file/d/1aTj3Y-sgyMLlzCkgGPVY8Xq1Q-g6uhnv/view?usp=sharing</t>
  </si>
  <si>
    <t>https://drive.google.com/file/d/1vZEEgxUmKoML64j0G4WH1vXf1SL1hKfi/view?usp=drive_link</t>
  </si>
  <si>
    <t>https://drive.google.com/file/d/10JXarEpssGG7V9ZuDBfCD5LX5Cm2fSOP/view?usp=sharing</t>
  </si>
  <si>
    <t>23861454</t>
  </si>
  <si>
    <t>Napoli vs Sporting - UEFA Champions League</t>
  </si>
  <si>
    <t>https://www.vidio.com/live/18304-uefa-champions-league?schedule_id=4610716</t>
  </si>
  <si>
    <t>https://drive.google.com/drive/folders/19EuDa5P4Oa8qiOQKsEw82nO4BgLZklnE</t>
  </si>
  <si>
    <t>ssc napoli; sporting clube de portugal; sports stream</t>
  </si>
  <si>
    <t>Nonton streaming pertandingan seru Napoli vs Sporting - UEFA Champions League. Saksikan aksi-aksi terbaik dari tim yang bersaing ketat untuk meraih kemenangan. Dapatkan informasi lengkap mengenai jadwal pertandingan dan hasil pertandingan terbaru hanya di Vidio.</t>
  </si>
  <si>
    <t>https://drive.google.com/file/d/1UPbEp9iCJVviA4YCZbcRdEfDZ0z1s2-R/view?usp=sharing</t>
  </si>
  <si>
    <t>https://drive.google.com/file/d/1IV9wPlBkwXzFwzElfrZyGx11MCl6TjpA/view?usp=drive_link</t>
  </si>
  <si>
    <t>https://drive.google.com/file/d/1NmijXnRzKN4vXZoHKaY1P37sOovzeawm/view?usp=sharing</t>
  </si>
  <si>
    <t>4b16623c</t>
  </si>
  <si>
    <t>Villarreal vs Juventus - UEFA Champions League</t>
  </si>
  <si>
    <t>https://www.vidio.com/live/18303-uefa-champions-league?schedule_id=4610719</t>
  </si>
  <si>
    <t>https://drive.google.com/drive/folders/1dW6DUvjNcYQ8hNdp1YtiL43cYwEYLPog</t>
  </si>
  <si>
    <t>villarreal cf; juventus fc; sports stream</t>
  </si>
  <si>
    <t>Nonton streaming pertandingan seru Villarreal vs Juventus - UEFA Champions League. Saksikan aksi-aksi terbaik dari tim yang bersaing ketat untuk meraih kemenangan. Dapatkan informasi lengkap mengenai jadwal pertandingan dan hasil pertandingan terbaru hanya di Vidio.</t>
  </si>
  <si>
    <t>https://drive.google.com/file/d/1T7cGXhNzLUnncYHuN7kgHLe8sldZParp/view?usp=sharing</t>
  </si>
  <si>
    <t>https://drive.google.com/file/d/1K4NBJKHjRmKHt1EOuQErcaED5qP6YcvU/view?usp=drive_link</t>
  </si>
  <si>
    <t>https://drive.google.com/file/d/1ZZgLLmmBuNPUYr_PLoYijsOhIMknoPso/view?usp=sharing</t>
  </si>
  <si>
    <t>1bf24de1</t>
  </si>
  <si>
    <t>Arsenal vs Olympiacos - UEFA Champions League</t>
  </si>
  <si>
    <t>https://www.vidio.com/live/17883-uefa-champions-league?schedule_id=4607915</t>
  </si>
  <si>
    <t>https://drive.google.com/drive/folders/1LTdxPm4ZS659Pm5ZE48UZINffJVbEElL</t>
  </si>
  <si>
    <t>arsenal fc; olympiakos cfp; sports stream</t>
  </si>
  <si>
    <t>Nonton streaming pertandingan seru Arsenal vs Olympiacos - UEFA Champions League. Saksikan aksi-aksi terbaik dari tim yang bersaing ketat untuk meraih kemenangan. Dapatkan informasi lengkap mengenai jadwal pertandingan dan hasil pertandingan terbaru hanya di Vidio.</t>
  </si>
  <si>
    <t>https://drive.google.com/file/d/1Gwg1tqIsAn6Xng_z7xQgXbmxc9i6yWdf/view?usp=sharing</t>
  </si>
  <si>
    <t>https://drive.google.com/file/d/1IdrvyH-6tcE259HbOAyDxZNAqfJEkjs4/view?usp=drive_link</t>
  </si>
  <si>
    <t>https://drive.google.com/file/d/1-4uixG2ingiRLIKbNVz6a6CCr8k9AWsR/view?usp=sharing</t>
  </si>
  <si>
    <t>626b3f8b</t>
  </si>
  <si>
    <t>Barcelona vs PSG - UEFA Champions League</t>
  </si>
  <si>
    <t>https://www.vidio.com/live/6299-bein-1?schedule_id=4607910</t>
  </si>
  <si>
    <t>https://drive.google.com/drive/folders/1XVB-t5i2LgqKmA0ueqJ58SsvPlWBFjwT</t>
  </si>
  <si>
    <t>fc barcelona; Paris Saint-Germain FC; sports stream</t>
  </si>
  <si>
    <t>Nonton streaming pertandingan seru Barcelona vs PSG - UEFA Champions League. Saksikan aksi-aksi terbaik dari tim yang bersaing ketat untuk meraih kemenangan. Dapatkan informasi lengkap mengenai jadwal pertandingan dan hasil pertandingan terbaru hanya di Vidio.</t>
  </si>
  <si>
    <t>Storytelling ads + NTC + Performance + CRM + SEO + Socmed</t>
  </si>
  <si>
    <t>https://drive.google.com/file/d/1AgQ9-0ULsgMms3VUq8iomnQiUSvgQIiE/view?usp=sharing</t>
  </si>
  <si>
    <t>https://drive.google.com/file/d/1ZWxCbxCb1693jcYmR7X9gMKgge1gClqR/view?usp=sharing</t>
  </si>
  <si>
    <t>cbb68003</t>
  </si>
  <si>
    <t>Leverkusen vs PSV - UEFA Champions League</t>
  </si>
  <si>
    <t>https://www.vidio.com/live/18305-uefa-champions-league?schedule_id=4610715</t>
  </si>
  <si>
    <t>https://drive.google.com/drive/folders/16nQ0cz_PHzgi56ykgcE5ZAsoLvmY3pFT</t>
  </si>
  <si>
    <t>bayer 04 leverkusen; psv eindhoven; sports stream</t>
  </si>
  <si>
    <t>Nonton streaming pertandingan seru Leverkusen vs PSV - UEFA Champions League. Saksikan aksi-aksi terbaik dari tim yang bersaing ketat untuk meraih kemenangan. Dapatkan informasi lengkap mengenai jadwal pertandingan dan hasil pertandingan terbaru hanya di Vidio.</t>
  </si>
  <si>
    <t>https://drive.google.com/file/d/1NEp9-1SfagM2ApviG4lRvmETkMIBGpFr/view?usp=sharing</t>
  </si>
  <si>
    <t>https://drive.google.com/file/d/1m5YY2Y6Y3lvDtnZpwyEom97H-_CTUyTA/view?usp=drive_link</t>
  </si>
  <si>
    <t>8ae7d868</t>
  </si>
  <si>
    <t>Barcelona vs Olympiacos - UEFA Champions League</t>
  </si>
  <si>
    <t>https://www.vidio.com/live/17883-uefa-champions-league?schedule_id=4663718</t>
  </si>
  <si>
    <t>https://drive.google.com/drive/u/0/folders/1AVq_3AbGO01Kkt94HQX_sAGyZaF3aXo-</t>
  </si>
  <si>
    <t>https://drive.google.com/drive/folders/1d8RfZ3AxKm4vcq0d__doqb5lGvVI-NuD</t>
  </si>
  <si>
    <t>fc barcelona; olympiakos cfp; sports stream</t>
  </si>
  <si>
    <t>Nonton streaming pertandingan seru Barcelona vs Olympiacos - UEFA Champions League. Saksikan aksi-aksi terbaik dari tim yang bersaing ketat untuk meraih kemenangan. Dapatkan informasi lengkap mengenai jadwal pertandingan dan hasil pertandingan terbaru hanya di Vidio.</t>
  </si>
  <si>
    <t>https://drive.google.com/file/d/1XxaNpJoel6xBUaOgAg-bbmWOc_yb_lwj/view?usp=sharing</t>
  </si>
  <si>
    <t>https://drive.google.com/file/d/1yvX3qGDARdv_eS37pnNuChUuH_zRlBqf/view?usp=sharing</t>
  </si>
  <si>
    <t>https://drive.google.com/file/d/1tEJ-Po4_xRscKJWeXJBSQSS4ZMiYh_Qm/view?usp=sharing</t>
  </si>
  <si>
    <t>339d7b2b</t>
  </si>
  <si>
    <t>Kairat vs Pafos - UEFA Champions League</t>
  </si>
  <si>
    <t>https://www.vidio.com/live/6317-bein-3?schedule_id=4663720</t>
  </si>
  <si>
    <t>https://drive.google.com/drive/u/0/folders/1XlkYCOZBZhT69w2y_Ia12144i1rDr8iP</t>
  </si>
  <si>
    <t>FC Kairat Almaty; pafos fc; sports stream</t>
  </si>
  <si>
    <t>Nonton streaming pertandingan seru Kairat vs Pafos - UEFA Champions League. Saksikan aksi-aksi terbaik dari tim yang bersaing ketat untuk meraih kemenangan. Dapatkan informasi lengkap mengenai jadwal pertandingan dan hasil pertandingan terbaru hanya di Vidio.</t>
  </si>
  <si>
    <t>https://drive.google.com/file/d/1qjZ7mKmz1EKPtYGJMy_-CHSfABREOyGU/view?usp=sharing</t>
  </si>
  <si>
    <t>https://drive.google.com/file/d/1u5Hq43JlmB-54JKgL3B6ijewNIxRwp8I/view?usp=sharing</t>
  </si>
  <si>
    <t>4ebbd920</t>
  </si>
  <si>
    <t>Newcastle vs Benfica - UEFA Champions League</t>
  </si>
  <si>
    <t>https://www.vidio.com/live/18303-uefa-champions-league?schedule_id=4663724</t>
  </si>
  <si>
    <t>https://drive.google.com/drive/u/0/folders/173J6ulLZWmP9PU8xR1cdA2k5lcenMZkU</t>
  </si>
  <si>
    <t>newcastle united fc; sl benfica; sports stream</t>
  </si>
  <si>
    <t>Nonton streaming pertandingan seru Newcastle vs Benfica - UEFA Champions League. Saksikan aksi-aksi terbaik dari tim yang bersaing ketat untuk meraih kemenangan. Dapatkan informasi lengkap mengenai jadwal pertandingan dan hasil pertandingan terbaru hanya di Vidio.</t>
  </si>
  <si>
    <t>https://drive.google.com/file/d/17h5ztAPcmN1YhLlgWmIqkAHHEy3eHiOk/view?usp=sharing</t>
  </si>
  <si>
    <t>https://drive.google.com/file/d/1-ko6i6JBYUuusdwDtJlF43ICkrNEgsQy/view?usp=sharing</t>
  </si>
  <si>
    <t>https://drive.google.com/file/d/1l1jdFm_fKKTH9orKkdyjtw6pRzvM44Az/view?usp=sharing</t>
  </si>
  <si>
    <t>6a92685f</t>
  </si>
  <si>
    <t>PSV vs Napoli - UEFA Champions League</t>
  </si>
  <si>
    <t>https://www.vidio.com/live/18304-uefa-champions-league?schedule_id=4663726</t>
  </si>
  <si>
    <t>https://drive.google.com/drive/folders/1TjYGg-jqTPUYZNauCocQbbXh2ua5fmPz?usp=drive_link</t>
  </si>
  <si>
    <t>psv eindhoven; ssc napoli; sports stream</t>
  </si>
  <si>
    <t>Nonton streaming pertandingan seru PSV vs Napoli - UEFA Champions League. Saksikan aksi-aksi terbaik dari tim yang bersaing ketat untuk meraih kemenangan. Dapatkan informasi lengkap mengenai jadwal pertandingan dan hasil pertandingan terbaru hanya di Vidio.</t>
  </si>
  <si>
    <t>https://drive.google.com/file/d/16MSnOpiSlzfoW3NVAMOGfNxeAeQG4kci/view?usp=sharing</t>
  </si>
  <si>
    <t>https://drive.google.com/file/d/1cAT3Cs_-VwucyJ-boL2Gd-L_Gf71LU53/view?usp=sharing</t>
  </si>
  <si>
    <t>https://drive.google.com/file/d/1Xb67f7MazQvczNNF1f7wn-4HjjfT9Zkg/view?usp=sharing</t>
  </si>
  <si>
    <t>13151a42</t>
  </si>
  <si>
    <t>Leverkusen vs PSG - UEFA Champions League</t>
  </si>
  <si>
    <t>https://www.vidio.com/live/6299-bein-1?schedule_id=4663734</t>
  </si>
  <si>
    <t>https://drive.google.com/drive/u/0/folders/1ILNilNp3tOb7SdRSPfvq7_F1KH79NUEb</t>
  </si>
  <si>
    <t>bayer 04 leverkusen; Paris Saint-Germain FC; sports stream</t>
  </si>
  <si>
    <t>Nonton streaming pertandingan seru Leverkusen vs PSG - UEFA Champions League. Saksikan aksi-aksi terbaik dari tim yang bersaing ketat untuk meraih kemenangan. Dapatkan informasi lengkap mengenai jadwal pertandingan dan hasil pertandingan terbaru hanya di Vidio.</t>
  </si>
  <si>
    <t>https://drive.google.com/file/d/1764zkh1cxtqBXzybP8CZC4V0UYg-urqV/view?usp=sharing</t>
  </si>
  <si>
    <t>https://drive.google.com/file/d/1xkxMjGeUeLMrippT9h1RdTgqukMrxzeG/view?usp=sharing</t>
  </si>
  <si>
    <t>https://drive.google.com/file/d/173T1gSuExHQAuomtpNXnlfxpYI6YIKsv/view?usp=sharing</t>
  </si>
  <si>
    <t>aa678ae1</t>
  </si>
  <si>
    <t>Union Saint-Gilloise vs Inter - UEFA Champions League</t>
  </si>
  <si>
    <t>https://www.vidio.com/live/18305-uefa-champions-league?schedule_id=4663728</t>
  </si>
  <si>
    <t>https://drive.google.com/drive/folders/1SptMgGVrRUcFGFnaPy9oupJ8FwyXN3h2?usp=drive_link</t>
  </si>
  <si>
    <t>royale union saint-gilloise; fc internazionale milano; sports stream</t>
  </si>
  <si>
    <t>Nonton streaming pertandingan seru Union Saint-Gilloise vs Inter - UEFA Champions League. Saksikan aksi-aksi terbaik dari tim yang bersaing ketat untuk meraih kemenangan. Dapatkan informasi lengkap mengenai jadwal pertandingan dan hasil pertandingan terbaru hanya di Vidio.</t>
  </si>
  <si>
    <t>https://drive.google.com/file/d/1uNCWan0oTt-W1L3VXKcEWU1gvfjwjdmG/view?usp=sharing</t>
  </si>
  <si>
    <t>https://drive.google.com/file/d/1CCRgrk3VJSJ_ddChzO7eDM7WPqqbgEJm/view?usp=sharing</t>
  </si>
  <si>
    <t>https://drive.google.com/file/d/1xVV4E95Off_vPKGZtP0CHov6DhJddH96/view?usp=sharing</t>
  </si>
  <si>
    <t>40b44ac5</t>
  </si>
  <si>
    <t>Copenhagen vs Dortmund - UEFA Champions League</t>
  </si>
  <si>
    <t>https://www.vidio.com/live/18302-uefa-champions-league?schedule_id=4663722</t>
  </si>
  <si>
    <t>https://drive.google.com/drive/u/0/folders/1KqmYbjRLoQ8PPPZm2rXidxbkEWlVj19X</t>
  </si>
  <si>
    <t>fc kobenhavn; bv borussia 09 dortmund; sports stream</t>
  </si>
  <si>
    <t>Nonton streaming pertandingan seru Copenhagen vs Dortmund - UEFA Champions League. Saksikan aksi-aksi terbaik dari tim yang bersaing ketat untuk meraih kemenangan. Dapatkan informasi lengkap mengenai jadwal pertandingan dan hasil pertandingan terbaru hanya di Vidio.</t>
  </si>
  <si>
    <t>https://drive.google.com/file/d/1YrImrMmzhB3UpRHSgqNExAK5uFFFGzVO/view?usp=sharing</t>
  </si>
  <si>
    <t>https://drive.google.com/file/d/1Fg9Wd3iAnBIzDbmJLXi8hipwmtNH4JQy/view?usp=sharing</t>
  </si>
  <si>
    <t>https://drive.google.com/file/d/1SJhJNZpMKhzvagHXdCG-KG3IAxTmn5gn/view?usp=sharing</t>
  </si>
  <si>
    <t>6a282108</t>
  </si>
  <si>
    <t>Villarreal vs Man City - UEFA Champions League</t>
  </si>
  <si>
    <t>https://www.vidio.com/live/18301-uefa-champions-league?schedule_id=4663731</t>
  </si>
  <si>
    <t>https://drive.google.com/drive/folders/1UMM3qu-iL7YDFu8yDZKmNR2Cs9dzHmCY?usp=drive_link</t>
  </si>
  <si>
    <t>villarreal cf; manchester city fc; sports stream</t>
  </si>
  <si>
    <t>Nonton streaming pertandingan seru Villarreal vs Man City - UEFA Champions League. Saksikan aksi-aksi terbaik dari tim yang bersaing ketat untuk meraih kemenangan. Dapatkan informasi lengkap mengenai jadwal pertandingan dan hasil pertandingan terbaru hanya di Vidio.</t>
  </si>
  <si>
    <t>https://drive.google.com/file/d/1qF2izq1S7ccZeVv4NcAdQbGu40fT-wMK/view?usp=sharing</t>
  </si>
  <si>
    <t>https://drive.google.com/file/d/1LjDcvuTK3-FQfWiwoV6xoG1XtL4ypxDu/view?usp=sharing</t>
  </si>
  <si>
    <t>https://drive.google.com/file/d/1rf_V6dTYIFHYy_0qgK5DBvErhyOK39HI/view?usp=sharing</t>
  </si>
  <si>
    <t>c226008d</t>
  </si>
  <si>
    <t>Arsenal vs Atletico Madrid - UEFA Champions League</t>
  </si>
  <si>
    <t>https://www.vidio.com/live/17883-uefa-champions-league?schedule_id=4663719</t>
  </si>
  <si>
    <t>https://drive.google.com/drive/u/0/folders/1XUWDSQLO2iU0wxP5Kf-MXmpUnIp1eDOv</t>
  </si>
  <si>
    <t>arsenal fc; Club Atlético de Madrid; sports stream</t>
  </si>
  <si>
    <t>Nonton streaming pertandingan seru Arsenal vs Atletico Madrid - UEFA Champions League. Saksikan aksi-aksi terbaik dari tim yang bersaing ketat untuk meraih kemenangan. Dapatkan informasi lengkap mengenai jadwal pertandingan dan hasil pertandingan terbaru hanya di Vidio.</t>
  </si>
  <si>
    <t>https://3.basecamp.com/4902751/buckets/36763424/card_tables/cards/9133970737</t>
  </si>
  <si>
    <t>https://drive.google.com/file/d/1VCv5STSK5UC7tarQlfQnjRjGrFh_A99-/view?usp=sharing</t>
  </si>
  <si>
    <t>https://drive.google.com/file/d/10_AaHjSJZvyGkppRN5_QS1-CJr9_un_e/view?usp=sharing</t>
  </si>
  <si>
    <t>https://drive.google.com/file/d/1nHlGbx1vorg17eCM11IEoBXcTuhptcHH/view?usp=sharing</t>
  </si>
  <si>
    <t>f60e9237</t>
  </si>
  <si>
    <t>Athletic Club vs Qarabag FK - UEFA Champions League</t>
  </si>
  <si>
    <t>https://www.vidio.com/live/17883-uefa-champions-league?schedule_id=4664038</t>
  </si>
  <si>
    <t>https://drive.google.com/drive/folders/1ljiOVnu7KXt-zb5QV6P8ZQr6vK6DRqcf?usp=drive_link</t>
  </si>
  <si>
    <t>athletic club bilbao; qarabağ ağdam fk; sports stream</t>
  </si>
  <si>
    <t>Nonton streaming pertandingan seru Athletic Club vs Qarabag FK - UEFA Champions League. Saksikan aksi-aksi terbaik dari tim yang bersaing ketat untuk meraih kemenangan. Dapatkan informasi lengkap mengenai jadwal pertandingan dan hasil pertandingan terbaru hanya di Vidio.</t>
  </si>
  <si>
    <t>https://drive.google.com/file/d/1aVqxxMDXoqrJjEoJ_q9WxbJbfkwZLa1p/view?usp=sharing</t>
  </si>
  <si>
    <t>https://drive.google.com/file/d/1fO7_oefCFPDLg2UDbENEOyBe7tK_rKLn/view?usp=drive_link</t>
  </si>
  <si>
    <t>https://drive.google.com/file/d/18BW6TKGlR3g6r4C8ekEbwFK_KcEa6IC9/view?usp=sharing</t>
  </si>
  <si>
    <t>e67c7681</t>
  </si>
  <si>
    <t>Galatasaray vs Bodo/Glimt - UEFA Champions League</t>
  </si>
  <si>
    <t>https://www.vidio.com/live/6317-bein-3?schedule_id=4664041</t>
  </si>
  <si>
    <t>https://drive.google.com/drive/folders/1fGb_0SMYmLAvhStkZRANn_6UXtossyj3?usp=drive_link</t>
  </si>
  <si>
    <t>galatasaray spor kulübü; fk bodø/glimt; sports stream</t>
  </si>
  <si>
    <t>Nonton streaming pertandingan seru Galatasaray vs Bodo/Glimt - UEFA Champions League. Saksikan aksi-aksi terbaik dari tim yang bersaing ketat untuk meraih kemenangan. Dapatkan informasi lengkap mengenai jadwal pertandingan dan hasil pertandingan terbaru hanya di Vidio.</t>
  </si>
  <si>
    <t>https://drive.google.com/file/d/1yyti3QLhea07nEMqJS5L67Uu9NSV3fhk/view?usp=sharing</t>
  </si>
  <si>
    <t>https://drive.google.com/file/d/18NpkanGlVN4SiV2azO_8BHAvvAON6_RV/view?usp=drive_link</t>
  </si>
  <si>
    <t>34a940ac</t>
  </si>
  <si>
    <t>Chelsea vs Ajax - UEFA Champions League</t>
  </si>
  <si>
    <t>https://www.vidio.com/live/18303-uefa-champions-league?schedule_id=4664045</t>
  </si>
  <si>
    <t>https://drive.google.com/drive/u/0/folders/1kr1hT-SpYkCngMPHmDPUz3-bL8XZA5pU</t>
  </si>
  <si>
    <t>chelsea fc; afc ajax; sports stream</t>
  </si>
  <si>
    <t>Nonton streaming pertandingan seru Chelsea vs Ajax - UEFA Champions League. Saksikan aksi-aksi terbaik dari tim yang bersaing ketat untuk meraih kemenangan. Dapatkan informasi lengkap mengenai jadwal pertandingan dan hasil pertandingan terbaru hanya di Vidio.</t>
  </si>
  <si>
    <t>https://drive.google.com/file/d/1Tpah3znsfMwofig9a9jaPUtHPyX8U6Ad/view?usp=sharing</t>
  </si>
  <si>
    <t>https://drive.google.com/file/d/1WLh42FXL0F1aW3M0qyANRsEgXFu1K7Kh/view?usp=sharing</t>
  </si>
  <si>
    <t>https://drive.google.com/file/d/1u_DZJVsi7fYXmLrWQEkvcEjiwNtZyMnl/view?usp=sharing</t>
  </si>
  <si>
    <t>7e2f09db</t>
  </si>
  <si>
    <t>Real Madrid vs Juventus - UEFA Champions League</t>
  </si>
  <si>
    <t>https://www.vidio.com/live/6299-bein-1?schedule_id=4664036</t>
  </si>
  <si>
    <t>https://drive.google.com/drive/u/0/folders/1kIhRtIbjGuZW_RRcO_3nr9zYNDh0V14g</t>
  </si>
  <si>
    <t>real madrid cf; juventus fc; sports stream</t>
  </si>
  <si>
    <t>Nonton streaming pertandingan seru Real Madrid vs Juventus - UEFA Champions League. Saksikan aksi-aksi terbaik dari tim yang bersaing ketat untuk meraih kemenangan. Dapatkan informasi lengkap mengenai jadwal pertandingan dan hasil pertandingan terbaru hanya di Vidio.</t>
  </si>
  <si>
    <t>NTC + Performance + CRM + SEO + Socials (Boost on IG)</t>
  </si>
  <si>
    <t>https://3.basecamp.com/4902751/buckets/36763424/card_tables/cards/9133974607</t>
  </si>
  <si>
    <t>https://drive.google.com/file/d/1OFXnWntHRH4obDcMAczANAo5mNr6nc_C/view?usp=sharing</t>
  </si>
  <si>
    <t>https://drive.google.com/file/d/1RRMwUAlfCDryhOHJQgOWoko_HQVvzLyc/view?usp=sharing</t>
  </si>
  <si>
    <t>https://drive.google.com/file/d/1vmbIme5hU50C6uvnJTFQYeyCcEypszc3/view?usp=sharing</t>
  </si>
  <si>
    <t>df035b78</t>
  </si>
  <si>
    <t>Sporting vs Marseille - UEFA Champions League</t>
  </si>
  <si>
    <t>https://www.vidio.com/live/18305-uefa-champions-league?schedule_id=4664047</t>
  </si>
  <si>
    <t>https://drive.google.com/drive/u/0/folders/1BS6AYdjwjNjIb6nywysvwlkkgRYIoFFJ</t>
  </si>
  <si>
    <t>sporting clube de portugal; olympique de marseille; sports stream</t>
  </si>
  <si>
    <t>Nonton streaming pertandingan seru Sporting vs Marseille - UEFA Champions League. Saksikan aksi-aksi terbaik dari tim yang bersaing ketat untuk meraih kemenangan. Dapatkan informasi lengkap mengenai jadwal pertandingan dan hasil pertandingan terbaru hanya di Vidio.</t>
  </si>
  <si>
    <t>https://drive.google.com/file/d/1NoWl1yCMziHyGRqxZybhsyf2XoXlaIN5/view?usp=sharing</t>
  </si>
  <si>
    <t>https://drive.google.com/file/d/1f87rHaq63jS0VxBvet9YXt_w_4KLGFu_/view?usp=sharing</t>
  </si>
  <si>
    <t>0abbe81d</t>
  </si>
  <si>
    <t>Monaco vs Tottenham - UEFA Champions League</t>
  </si>
  <si>
    <t>https://www.vidio.com/live/18304-uefa-champions-league?schedule_id=4664046</t>
  </si>
  <si>
    <t>https://drive.google.com/drive/u/0/folders/1zTyL-RgS6oJw1jgbTwyQaOjDJ3Qss-fE</t>
  </si>
  <si>
    <t>as monaco fc; tottenham hotspur fc; sports stream</t>
  </si>
  <si>
    <t>Nonton streaming pertandingan seru Monaco vs Tottenham - UEFA Champions League. Saksikan aksi-aksi terbaik dari tim yang bersaing ketat untuk meraih kemenangan. Dapatkan informasi lengkap mengenai jadwal pertandingan dan hasil pertandingan terbaru hanya di Vidio.</t>
  </si>
  <si>
    <t>https://drive.google.com/file/d/1zLtUAsK7phKUQC4wkIcJNlSTMFDc3OsT/view?usp=sharing</t>
  </si>
  <si>
    <t>https://drive.google.com/file/d/1WiwNqchMk5DPgmAbYdBRS2hESlwi8_Ai/view?usp=sharing</t>
  </si>
  <si>
    <t>https://drive.google.com/file/d/1o8PZcevV_FxU_RCNNWHvPQuv3RD917o9/view?usp=sharing</t>
  </si>
  <si>
    <t>42169b4e</t>
  </si>
  <si>
    <t>Atalanta vs Slavia Praha - UEFA Champions League</t>
  </si>
  <si>
    <t>https://www.vidio.com/live/18301-uefa-champions-league?schedule_id=4664043</t>
  </si>
  <si>
    <t>https://drive.google.com/drive/u/0/folders/1_O3gGmkRu2BC-fheqypxC6JJjIox2qiN</t>
  </si>
  <si>
    <t>atalanta bergamasca calcio; sk slavia praha; sports stream</t>
  </si>
  <si>
    <t>Nonton streaming pertandingan seru Atalanta vs Slavia Praha - UEFA Champions League. Saksikan aksi-aksi terbaik dari tim yang bersaing ketat untuk meraih kemenangan. Dapatkan informasi lengkap mengenai jadwal pertandingan dan hasil pertandingan terbaru hanya di Vidio.</t>
  </si>
  <si>
    <t>https://drive.google.com/file/d/1Z6r3WGTrGUk2uVM8fqSDhOla18bz46qW/view?usp=sharing</t>
  </si>
  <si>
    <t>https://drive.google.com/file/d/1aLgWdh-xRf7FWWS2ijbZyNw-ntqSN04o/view?usp=sharing</t>
  </si>
  <si>
    <t>ec232bb9</t>
  </si>
  <si>
    <t>Eintracht Frankfurt vs Liverpool - UEFA Champions League</t>
  </si>
  <si>
    <t>https://www.vidio.com/live/17883-uefa-champions-league?schedule_id=4664040</t>
  </si>
  <si>
    <t>https://drive.google.com/drive/u/0/folders/1ZPHMnCbgjG1qzh_a2mLVN7YeC2Py9dj3</t>
  </si>
  <si>
    <t>eintracht frankfurt; liverpool fc; sports stream</t>
  </si>
  <si>
    <t>Nonton streaming pertandingan seru Eintracht Frankfurt vs Liverpool - UEFA Champions League. Saksikan aksi-aksi terbaik dari tim yang bersaing ketat untuk meraih kemenangan. Dapatkan informasi lengkap mengenai jadwal pertandingan dan hasil pertandingan terbaru hanya di Vidio.</t>
  </si>
  <si>
    <t>https://drive.google.com/file/d/12MlI0weoC0dpOKbeZQgaNL13JYsL7B7e/view?usp=sharing</t>
  </si>
  <si>
    <t>https://drive.google.com/file/d/1HKGE283mo19AdEmV5oHPluA7RnQAwFAV/view?usp=sharing</t>
  </si>
  <si>
    <t>https://drive.google.com/file/d/1L4E9N3JOcKr096GGJ4wvKxRsm28-L4QI/view?usp=sharing</t>
  </si>
  <si>
    <t>5f60e46a</t>
  </si>
  <si>
    <t>Bayern vs Club Brugge - UEFA Champions League</t>
  </si>
  <si>
    <t>https://www.vidio.com/live/18302-uefa-champions-league?schedule_id=4664044</t>
  </si>
  <si>
    <t>https://drive.google.com/drive/u/0/folders/12JodSjATUl4_KldB7rWT1Z4Z5c1sehnY</t>
  </si>
  <si>
    <t>fc bayern munchen; club brugge kv; sports stream</t>
  </si>
  <si>
    <t>Nonton streaming pertandingan seru Bayern vs Club Brugge - UEFA Champions League. Saksikan aksi-aksi terbaik dari tim yang bersaing ketat untuk meraih kemenangan. Dapatkan informasi lengkap mengenai jadwal pertandingan dan hasil pertandingan terbaru hanya di Vidio.</t>
  </si>
  <si>
    <t>A1 , F1</t>
  </si>
  <si>
    <t>https://drive.google.com/file/d/1ZfiBV7KV1Z5ZMrNDm1N_lDfz-xP2NbLh/view?usp=sharing</t>
  </si>
  <si>
    <t>https://drive.google.com/file/d/17SD_kj1oXCX5s6r5zKAyjD7HNNUrpVF5/view?usp=drive_link</t>
  </si>
  <si>
    <t>https://drive.google.com/file/d/1F9BFptzRapuwrpeLfbxcCX8wMfo62V9_/view?usp=sharing</t>
  </si>
  <si>
    <t>2589cb06</t>
  </si>
  <si>
    <t>Napoli vs Eintracht Frankfurt - UEFA Champions League</t>
  </si>
  <si>
    <t>https://www.vidio.com/live/6317-bein-3?schedule_id=4680038</t>
  </si>
  <si>
    <t>https://drive.google.com/drive/folders/1LQ-OE5Els_XHTxUA1znUvzhk-RjUA5nq</t>
  </si>
  <si>
    <t>https://drive.google.com/drive/folders/1UJh6Ohrk8ICltqRuS2ZUbx-5nOk1lSCs</t>
  </si>
  <si>
    <t>ssc napoli; eintracht frankfurt; sports stream</t>
  </si>
  <si>
    <t>Nonton streaming pertandingan seru Napoli vs Eintracht Frankfurt - UEFA Champions League. Saksikan aksi-aksi terbaik dari tim yang bersaing ketat untuk meraih kemenangan. Dapatkan informasi lengkap mengenai jadwal pertandingan dan hasil pertandingan terbaru hanya di Vidio.</t>
  </si>
  <si>
    <t>https://drive.google.com/file/d/1aP9Cv1OLo5DqFgwnl4__Yafm5J7Nt6Sc/view?usp=sharing</t>
  </si>
  <si>
    <t>https://drive.google.com/file/d/1JsRK-ZJtu2N-cp7sPEk8fkTf1Kt4EzXl/view?usp=sharing</t>
  </si>
  <si>
    <t>https://drive.google.com/file/d/1WHyJ1bSJZbw3Ki2oCYXMDtFyq143P3mZ/view?usp=sharing</t>
  </si>
  <si>
    <t>b6f9b411</t>
  </si>
  <si>
    <t>Slavia Praha vs Arsenal - UEFA Champions League</t>
  </si>
  <si>
    <t>https://www.vidio.com/live/17883-uefa-champions-league?schedule_id=4680962</t>
  </si>
  <si>
    <t>https://drive.google.com/drive/folders/1cyuRQ0e5gkhERPAAl_WFnFMRJez43mol</t>
  </si>
  <si>
    <t>sk slavia praha; arsenal fc; sports stream</t>
  </si>
  <si>
    <t>Nonton streaming pertandingan seru Slavia Praha vs Arsenal - UEFA Champions League. Saksikan aksi-aksi terbaik dari tim yang bersaing ketat untuk meraih kemenangan. Dapatkan informasi lengkap mengenai jadwal pertandingan dan hasil pertandingan terbaru hanya di Vidio.</t>
  </si>
  <si>
    <t>https://drive.google.com/file/d/18DMq1SDwjdyq3GaRyane2yt7jFAYHJN0/view?usp=sharing</t>
  </si>
  <si>
    <t>https://drive.google.com/file/d/10peZ2Yd-yQmWvJ-6LzQrFZUr4ePba5LC/view?usp=sharing</t>
  </si>
  <si>
    <t>9d94a6cd</t>
  </si>
  <si>
    <t>Atletico Madrid vs Union Saint-Gilloise - UEFA Champions League</t>
  </si>
  <si>
    <t>https://www.vidio.com/live/18301-uefa-champions-league?schedule_id=4680953</t>
  </si>
  <si>
    <t>https://drive.google.com/drive/folders/1ZMMUKefRyZ6fQpxtWt7K-E9cY8GVHtSb</t>
  </si>
  <si>
    <t>Club Atlético de Madrid; royale union saint-gilloise; sports stream</t>
  </si>
  <si>
    <t>Nonton streaming pertandingan seru Atletico Madrid vs Union Saint-Gilloise - UEFA Champions League. Saksikan aksi-aksi terbaik dari tim yang bersaing ketat untuk meraih kemenangan. Dapatkan informasi lengkap mengenai jadwal pertandingan dan hasil pertandingan terbaru hanya di Vidio.</t>
  </si>
  <si>
    <t>https://drive.google.com/file/d/1xfIvZewHzQCKB6oIzuz-7gRA26GDWc04/view?usp=sharing</t>
  </si>
  <si>
    <t>https://drive.google.com/file/d/1yf_a9NQYJA5lE2Qd1AJ33NHj-1ZWxDwW/view?usp=sharing</t>
  </si>
  <si>
    <t>https://drive.google.com/file/d/16zneWjbKZ1MEHx5mpUMGtBbF8FdDuaSr/view?usp=sharing</t>
  </si>
  <si>
    <t>2992670a</t>
  </si>
  <si>
    <t>Liverpool vs Real Madrid - UEFA Champions League</t>
  </si>
  <si>
    <t>https://www.vidio.com/live/6317-bein-3?schedule_id=4702164</t>
  </si>
  <si>
    <t>https://drive.google.com/drive/folders/1NgWX8_G-iuUpfRmUmFsIoUimd8fDtWN_</t>
  </si>
  <si>
    <t>liverpool fc; real madrid cf; sports stream</t>
  </si>
  <si>
    <t>Nonton streaming pertandingan seru Liverpool vs Real Madrid - UEFA Champions League. Saksikan aksi-aksi terbaik dari tim yang bersaing ketat untuk meraih kemenangan. Dapatkan informasi lengkap mengenai jadwal pertandingan dan hasil pertandingan terbaru hanya di Vidio.</t>
  </si>
  <si>
    <t>NTC (Gabungan) + Performance + CRM + SEO + Socials</t>
  </si>
  <si>
    <t>https://drive.google.com/file/d/11BwX5fybHb-AA5X4xuHrUI89KqRma_uq/view?usp=sharing</t>
  </si>
  <si>
    <t>https://drive.google.com/file/d/13IieaVaCw0trk42lh4iTes0M_uovNhJj/view?usp=sharing</t>
  </si>
  <si>
    <t>https://drive.google.com/file/d/1HAV1kuHBWRePjnac92evC1UMWIRDJTHt/view?usp=sharing</t>
  </si>
  <si>
    <t>b976a0cf</t>
  </si>
  <si>
    <t>Tottenham vs Copenhagen - UEFA Champions League</t>
  </si>
  <si>
    <t>https://www.vidio.com/live/18305-uefa-champions-league?schedule_id=4680965</t>
  </si>
  <si>
    <t>https://drive.google.com/drive/folders/1pA6Ow-1RKMYmzDDYdqBEb9k--v5U2JMg</t>
  </si>
  <si>
    <t>tottenham hotspur fc; fc kobenhavn; sports stream</t>
  </si>
  <si>
    <t>Nonton streaming pertandingan seru Tottenham vs Copenhagen - UEFA Champions League. Saksikan aksi-aksi terbaik dari tim yang bersaing ketat untuk meraih kemenangan. Dapatkan informasi lengkap mengenai jadwal pertandingan dan hasil pertandingan terbaru hanya di Vidio.</t>
  </si>
  <si>
    <t>https://drive.google.com/file/d/1995mi2K5sN4MOpMXLsKZxgLPKqhQlABd/view?usp=sharing</t>
  </si>
  <si>
    <t>https://drive.google.com/file/d/1STku9lZJRvRID9vT1FhrP5BcLNC42x-s/view?usp=sharing</t>
  </si>
  <si>
    <t>https://drive.google.com/file/d/10gsISzPYZ43kKD_AgnQ48wE_mMuI5qvH/view?usp=sharing</t>
  </si>
  <si>
    <t>7d03d6d6</t>
  </si>
  <si>
    <t>Olympiacos vs PSV - UEFA Champions League</t>
  </si>
  <si>
    <t>https://www.vidio.com/live/18304-uefa-champions-league?schedule_id=4680960</t>
  </si>
  <si>
    <t>https://drive.google.com/drive/folders/1txm4DYNZUdd57VRoWuQTCSeSIlIkLr13</t>
  </si>
  <si>
    <t>olympiakos cfp; psv eindhoven; sports stream</t>
  </si>
  <si>
    <t>Nonton streaming pertandingan seru Olympiacos vs PSV - UEFA Champions League. Saksikan aksi-aksi terbaik dari tim yang bersaing ketat untuk meraih kemenangan. Dapatkan informasi lengkap mengenai jadwal pertandingan dan hasil pertandingan terbaru hanya di Vidio.</t>
  </si>
  <si>
    <t>https://drive.google.com/file/d/1I_MH2v03jY1MCOlj1BUFrNMIY4iZ4jNH/view?usp=sharing</t>
  </si>
  <si>
    <t>https://drive.google.com/file/d/1sVLfd-24u-ruUKGEjkTiIkQoomejbKOj/view?usp=sharing</t>
  </si>
  <si>
    <t>6e090ab5</t>
  </si>
  <si>
    <t>Juventus vs Sporting - UEFA Champions League</t>
  </si>
  <si>
    <t>https://www.vidio.com/live/18303-uefa-champions-league?schedule_id=4680957</t>
  </si>
  <si>
    <t>https://drive.google.com/drive/folders/1iJL7uYyHfQ7cX_r1ZaclzppyhtJfMQjs</t>
  </si>
  <si>
    <t>juventus fc; sporting clube de portugal; sports stream</t>
  </si>
  <si>
    <t>Nonton streaming pertandingan seru Juventus vs Sporting - UEFA Champions League. Saksikan aksi-aksi terbaik dari tim yang bersaing ketat untuk meraih kemenangan. Dapatkan informasi lengkap mengenai jadwal pertandingan dan hasil pertandingan terbaru hanya di Vidio.</t>
  </si>
  <si>
    <t>https://drive.google.com/file/d/1oihjP77z8phmofbe0Z9xGxb1HQV7E9Tx/view?usp=sharing</t>
  </si>
  <si>
    <t>https://drive.google.com/file/d/1bR6ZQ0FE3eEZoVvalahpHNuuzk07Y_Kd/view?usp=sharing</t>
  </si>
  <si>
    <t>https://drive.google.com/file/d/1p-BfNr5GnZcxWJVXvml9ZkbIgnN0-hwr/view?usp=sharing</t>
  </si>
  <si>
    <t>0ecb47d9</t>
  </si>
  <si>
    <t>PSG vs Bayern - UEFA Champions League</t>
  </si>
  <si>
    <t>https://www.vidio.com/live/17883-uefa-champions-league?schedule_id=4680963</t>
  </si>
  <si>
    <t>https://drive.google.com/drive/folders/1R00MiiNWcVQW4-ZvDyXEBWU6VXa9SoaC</t>
  </si>
  <si>
    <t>Paris Saint-Germain FC; fc bayern munchen; sports stream</t>
  </si>
  <si>
    <t>Nonton streaming pertandingan seru PSG vs Bayern - UEFA Champions League. Saksikan aksi-aksi terbaik dari tim yang bersaing ketat untuk meraih kemenangan. Dapatkan informasi lengkap mengenai jadwal pertandingan dan hasil pertandingan terbaru hanya di Vidio.</t>
  </si>
  <si>
    <t>NTC (Gabungan) Performance + CRM + SEO + Socials</t>
  </si>
  <si>
    <t>https://drive.google.com/file/d/19KQMbN6Od02ykWBu52_tXG6O0J-ZcudD/view?usp=sharing</t>
  </si>
  <si>
    <t>https://drive.google.com/file/d/1Bm1jdr1Supo1ji1itm_ZahJi4VqBVVvm/view?usp=sharing</t>
  </si>
  <si>
    <t>https://drive.google.com/file/d/1JNB1k0BbrB9t0d1Hh4wzZBVkv-MNcJDz/view?usp=sharing</t>
  </si>
  <si>
    <t>3358184b</t>
  </si>
  <si>
    <t>Bodo/Glimt vs Monaco - UEFA Champions League</t>
  </si>
  <si>
    <t>https://www.vidio.com/live/18302-uefa-champions-league?schedule_id=4680955</t>
  </si>
  <si>
    <t>https://drive.google.com/drive/folders/1GEHYdLbIsStQqckPEeBtB2fuJZow2o03</t>
  </si>
  <si>
    <t>fk bodø/glimt; as monaco fc; sports stream</t>
  </si>
  <si>
    <t>Nonton streaming pertandingan seru Bodo/Glimt vs Monaco - UEFA Champions League. Saksikan aksi-aksi terbaik dari tim yang bersaing ketat untuk meraih kemenangan. Dapatkan informasi lengkap mengenai jadwal pertandingan dan hasil pertandingan terbaru hanya di Vidio.</t>
  </si>
  <si>
    <t>https://drive.google.com/file/d/1Rt3g4fDIdpXTSrLAotV7nlxCXeUyIS8S/view?usp=sharing</t>
  </si>
  <si>
    <t>https://drive.google.com/file/d/1nCV07e_rVGYNETztglzliKKqSgRlSKE9/view?usp=drive_link</t>
  </si>
  <si>
    <t>eb4daf87</t>
  </si>
  <si>
    <t>Pafos vs Villarreal - UEFA Champions League</t>
  </si>
  <si>
    <t>https://www.vidio.com/live/6317-bein-3?schedule_id=4683229</t>
  </si>
  <si>
    <t>https://drive.google.com/drive/folders/1tp-rfkZvYTP5LlBoH7IINM8UnA_YC36c</t>
  </si>
  <si>
    <t>pafos fc; villarreal cf; sports stream</t>
  </si>
  <si>
    <t>Nonton streaming pertandingan seru Pafos vs Villarreal - UEFA Champions League. Saksikan aksi-aksi terbaik dari tim yang bersaing ketat untuk meraih kemenangan. Dapatkan informasi lengkap mengenai jadwal pertandingan dan hasil pertandingan terbaru hanya di Vidio.</t>
  </si>
  <si>
    <t>https://drive.google.com/file/d/10FrvkOE5YiYkjv3yOl25Sadxs0TzkShi/view?usp=sharing</t>
  </si>
  <si>
    <t>https://drive.google.com/file/d/1hxgpFTMe7pU5kQ9wEXz6H33jtkDkcDMJ/view?usp=sharing</t>
  </si>
  <si>
    <t>9b126c1c</t>
  </si>
  <si>
    <t>Qarabag FK vs Chelsea - UEFA Champions League</t>
  </si>
  <si>
    <t>https://www.vidio.com/live/17883-uefa-champions-league?schedule_id=4684719</t>
  </si>
  <si>
    <t>https://drive.google.com/drive/folders/1WYXWrLuHpxwtvtfNrHwoihEAfPxFliXP</t>
  </si>
  <si>
    <t>qarabağ ağdam fk; chelsea fc; sports stream</t>
  </si>
  <si>
    <t>Nonton streaming pertandingan seru Qarabag FK vs Chelsea - UEFA Champions League. Saksikan aksi-aksi terbaik dari tim yang bersaing ketat untuk meraih kemenangan. Dapatkan informasi lengkap mengenai jadwal pertandingan dan hasil pertandingan terbaru hanya di Vidio.</t>
  </si>
  <si>
    <t>https://drive.google.com/file/d/1oz3bIh54JP0vxicwqK_f081ht9UAfCyj/view?usp=sharing</t>
  </si>
  <si>
    <t>https://drive.google.com/file/d/1z2RGtq_uS0wTP2GLLxxWAg5Hk88PZ7JP/view?usp=drive_link</t>
  </si>
  <si>
    <t>https://drive.google.com/file/d/1StHtLMbND9B_bkbD3sWL8rOv7AfwWWLD/view?usp=sharing</t>
  </si>
  <si>
    <t>c80a2a71</t>
  </si>
  <si>
    <t>Man City vs Dortmund - UEFA Champions League</t>
  </si>
  <si>
    <t>https://www.vidio.com/live/17883-uefa-champions-league?schedule_id=4684725</t>
  </si>
  <si>
    <t>https://drive.google.com/drive/folders/1bXn8mE7s7O-9XjtYWHM52ou51fS6J11M</t>
  </si>
  <si>
    <t>manchester city fc; bv borussia 09 dortmund; sports stream</t>
  </si>
  <si>
    <t>Nonton streaming pertandingan seru Man City vs Dortmund - UEFA Champions League. Saksikan aksi-aksi terbaik dari tim yang bersaing ketat untuk meraih kemenangan. Dapatkan informasi lengkap mengenai jadwal pertandingan dan hasil pertandingan terbaru hanya di Vidio.</t>
  </si>
  <si>
    <t>https://drive.google.com/file/d/1cyqpc--G9-lBgjAfTjfciHdNyyEBimsJ/view?usp=sharing</t>
  </si>
  <si>
    <t>https://drive.google.com/file/d/1gWzqVkhN25r6SuujbCETCHqwLlc8MSnb/view?usp=sharing</t>
  </si>
  <si>
    <t>https://drive.google.com/file/d/1fLhkKs8NTonMF_-k_b1yXc9C8GjySmGm/view?usp=sharing</t>
  </si>
  <si>
    <t>d381dd1a</t>
  </si>
  <si>
    <t>Newcastle vs Athletic Club - UEFA Champions League</t>
  </si>
  <si>
    <t>https://www.vidio.com/live/17875-bein-2?schedule_id=4684727</t>
  </si>
  <si>
    <t>https://drive.google.com/drive/folders/1MHGqwy2QQrmGDNGWmmSsnJzPaNBDZt4j</t>
  </si>
  <si>
    <t>newcastle united fc; athletic club bilbao; sports stream</t>
  </si>
  <si>
    <t>Nonton streaming pertandingan seru Newcastle vs Athletic Club - UEFA Champions League. Saksikan aksi-aksi terbaik dari tim yang bersaing ketat untuk meraih kemenangan. Dapatkan informasi lengkap mengenai jadwal pertandingan dan hasil pertandingan terbaru hanya di Vidio.</t>
  </si>
  <si>
    <t>https://drive.google.com/file/d/1C71Clj5toxNRJvjJTU_cE1dVZE5YFFWo/view?usp=sharing</t>
  </si>
  <si>
    <t>https://drive.google.com/file/d/1ic2f_KCaQ7nKCdhy8P8XV6e5B5L3MTJ7/view?usp=sharing</t>
  </si>
  <si>
    <t>https://drive.google.com/file/d/1epDQEqo1htnjxqrKBo7bYOGjnblrKkEH/view?usp=sharing</t>
  </si>
  <si>
    <t>dbd9a282</t>
  </si>
  <si>
    <t>Ajax vs Galatasaray - UEFA Champions League</t>
  </si>
  <si>
    <t>https://www.vidio.com/live/18301-uefa-champions-league?schedule_id=4684721</t>
  </si>
  <si>
    <t>https://drive.google.com/drive/folders/1oVAAXsyEYuD7_rxTUbMSlKcVvsNmwine</t>
  </si>
  <si>
    <t>afc ajax; galatasaray spor kulübü; sports stream</t>
  </si>
  <si>
    <t>Nonton streaming pertandingan seru Ajax vs Galatasaray - UEFA Champions League. Saksikan aksi-aksi terbaik dari tim yang bersaing ketat untuk meraih kemenangan. Dapatkan informasi lengkap mengenai jadwal pertandingan dan hasil pertandingan terbaru hanya di Vidio.</t>
  </si>
  <si>
    <t>https://drive.google.com/file/d/1hGgnKacSbf4w4I40TPiJ2IhjeSQnV6Iy/view?usp=sharing</t>
  </si>
  <si>
    <t>https://drive.google.com/file/d/1BFYH5Tndi9lxn3NG4CoJe6ByYVxRwU3U/view?usp=drive_link</t>
  </si>
  <si>
    <t>09e246c3</t>
  </si>
  <si>
    <t>Club Brugge vs Barcelona - UEFA Champions League</t>
  </si>
  <si>
    <t>https://www.vidio.com/live/6299-bein-1?schedule_id=4684723</t>
  </si>
  <si>
    <t>https://drive.google.com/drive/folders/1c1Y6Ucd4nZMNcJ6WM4TUnwjfcKeEKLZf</t>
  </si>
  <si>
    <t>club brugge kv; fc barcelona; sports stream</t>
  </si>
  <si>
    <t>Nonton streaming pertandingan seru Club Brugge vs Barcelona - UEFA Champions League. Saksikan aksi-aksi terbaik dari tim yang bersaing ketat untuk meraih kemenangan. Dapatkan informasi lengkap mengenai jadwal pertandingan dan hasil pertandingan terbaru hanya di Vidio.</t>
  </si>
  <si>
    <t>https://drive.google.com/file/d/1tXoUYaCxQafTNfqbI-cEK15jugW4jZpM/view?usp=sharing</t>
  </si>
  <si>
    <t>https://drive.google.com/file/d/1e_uA6B02WElBtLGXSgJ9tICqZJToK_Q0/view?usp=sharing</t>
  </si>
  <si>
    <t>https://drive.google.com/file/d/1rkIgUoPHicYQ0v89bFBFROodoRKACrLV/view?usp=sharing</t>
  </si>
  <si>
    <t>03f07e69</t>
  </si>
  <si>
    <t>Benfica vs Leverkusen - UEFA Champions League</t>
  </si>
  <si>
    <t>https://www.vidio.com/live/18302-uefa-champions-league?schedule_id=4684722</t>
  </si>
  <si>
    <t>https://drive.google.com/drive/folders/1w4rQb2CfebLRRj_hlz5mv1pHqP4DuLe0</t>
  </si>
  <si>
    <t>sl benfica; bayer 04 leverkusen; sports stream</t>
  </si>
  <si>
    <t>Nonton streaming pertandingan seru Benfica vs Leverkusen - UEFA Champions League. Saksikan aksi-aksi terbaik dari tim yang bersaing ketat untuk meraih kemenangan. Dapatkan informasi lengkap mengenai jadwal pertandingan dan hasil pertandingan terbaru hanya di Vidio.</t>
  </si>
  <si>
    <t>https://drive.google.com/file/d/1IwnPHE6_FPXw7MLkMnEDj4mG_VylQ89m/view?usp=sharing</t>
  </si>
  <si>
    <t>https://drive.google.com/file/d/1QT5no0ZXksu1V2fzIWNdgZUtZ8uJOB6t/view?usp=sharing</t>
  </si>
  <si>
    <t>1078bbd7</t>
  </si>
  <si>
    <t>Inter vs Kairat - UEFA Champions League</t>
  </si>
  <si>
    <t>https://www.vidio.com/live/18303-uefa-champions-league?schedule_id=4684724</t>
  </si>
  <si>
    <t>https://drive.google.com/drive/folders/1XRZnHN_iWGTEnjm-Vlxy9xoFugf1i86y</t>
  </si>
  <si>
    <t>fc internazionale milano; FC Kairat Almaty; sports stream</t>
  </si>
  <si>
    <t>Nonton streaming pertandingan seru Inter vs Kairat - UEFA Champions League. Saksikan aksi-aksi terbaik dari tim yang bersaing ketat untuk meraih kemenangan. Dapatkan informasi lengkap mengenai jadwal pertandingan dan hasil pertandingan terbaru hanya di Vidio.</t>
  </si>
  <si>
    <t>https://drive.google.com/file/d/1r9F2CMf3QXCMvk6KS8-E7SzVQvCEAwjL/view?usp=sharing</t>
  </si>
  <si>
    <t>https://drive.google.com/file/d/14n_7NhXQPftKs2ZMdzAxUETfy9euegSE/view?usp=sharing</t>
  </si>
  <si>
    <t>https://drive.google.com/file/d/1-8xyKZg64iELsnXBD6x9lNVq1SNzUdKA/view?usp=sharing</t>
  </si>
  <si>
    <t>2cd1c7ac</t>
  </si>
  <si>
    <t>Marseille vs Atalanta - UEFA Champions League</t>
  </si>
  <si>
    <t>https://www.vidio.com/live/18304-uefa-champions-league?schedule_id=4684726</t>
  </si>
  <si>
    <t>https://drive.google.com/drive/folders/1eYjFc0tbWMgDvmk6JhS4pPeaLNq-zwuX</t>
  </si>
  <si>
    <t>olympique de marseille; atalanta bergamasca calcio; sports stream</t>
  </si>
  <si>
    <t>Nonton streaming pertandingan seru Marseille vs Atalanta - UEFA Champions League. Saksikan aksi-aksi terbaik dari tim yang bersaing ketat untuk meraih kemenangan. Dapatkan informasi lengkap mengenai jadwal pertandingan dan hasil pertandingan terbaru hanya di Vidio.</t>
  </si>
  <si>
    <t>https://drive.google.com/file/d/1akdHimQ-qONiqq3xrfIvrjrxDTltnvc8/view?usp=sharing</t>
  </si>
  <si>
    <t>91440322</t>
  </si>
  <si>
    <t>Ajax vs Benfica - UEFA Champions League</t>
  </si>
  <si>
    <t>https://www.vidio.com/live/17883-uefa-champions-league?schedule_id=4733520</t>
  </si>
  <si>
    <t>https://drive.google.com/drive/folders/19dPNo1HwvZZ77uzRHihf8LRh3N2heqeH</t>
  </si>
  <si>
    <t>afc ajax; sl benfica; sports stream</t>
  </si>
  <si>
    <t>Nonton streaming pertandingan seru Ajax vs Benfica - UEFA Champions League. Saksikan aksi-aksi terbaik dari tim yang bersaing ketat untuk meraih kemenangan. Dapatkan informasi lengkap mengenai jadwal pertandingan dan hasil pertandingan terbaru hanya di Vidio.</t>
  </si>
  <si>
    <t>https://drive.google.com/file/d/19vd_d7uqp8BzeQ2mYsmcN_P6VJeEaC8s/view?usp=sharing</t>
  </si>
  <si>
    <t>https://drive.google.com/file/d/1pBABR7gjLi-wBlkI9B7vB1GFF4WNJ4SP/view?usp=sharing</t>
  </si>
  <si>
    <t>b4d4f80f</t>
  </si>
  <si>
    <t>Galatasaray vs Union Saint-Gilloise - UEFA Champions League</t>
  </si>
  <si>
    <t>https://www.vidio.com/live/6317-bein-3?schedule_id=4733512</t>
  </si>
  <si>
    <t>https://drive.google.com/drive/folders/1BRsTMQ26V3WII-1KsCMiWoDbE_ghcEmz</t>
  </si>
  <si>
    <t>galatasaray spor kulübü; royale union saint-gilloise; sports stream</t>
  </si>
  <si>
    <t>Nonton streaming pertandingan seru Galatasaray vs Union Saint-Gilloise - UEFA Champions League. Saksikan aksi-aksi terbaik dari tim yang bersaing ketat untuk meraih kemenangan. Dapatkan informasi lengkap mengenai jadwal pertandingan dan hasil pertandingan terbaru hanya di Vidio.</t>
  </si>
  <si>
    <t>https://drive.google.com/file/d/1PsFGVyiNQ2MC1tw1BLQvhi4od7Qck5QA/view?usp=sharing</t>
  </si>
  <si>
    <t>2135a222</t>
  </si>
  <si>
    <t>Bodo/Glimt vs Juventus - UEFA Champions League</t>
  </si>
  <si>
    <t>https://www.vidio.com/live/18301-uefa-champions-league?schedule_id=4733525</t>
  </si>
  <si>
    <t>https://drive.google.com/drive/folders/1UKCEqs5qbXkYPGFSd6cbyUVBJoP0Cif9</t>
  </si>
  <si>
    <t>fk bodø/glimt; juventus fc; sports stream</t>
  </si>
  <si>
    <t>Nonton streaming pertandingan seru Bodo/Glimt vs Juventus - UEFA Champions League. Saksikan aksi-aksi terbaik dari tim yang bersaing ketat untuk meraih kemenangan. Dapatkan informasi lengkap mengenai jadwal pertandingan dan hasil pertandingan terbaru hanya di Vidio.</t>
  </si>
  <si>
    <t>https://drive.google.com/file/d/1L7wgI14xiFrlAeXNsaadKAGfj8HkPo2P/view?usp=sharing</t>
  </si>
  <si>
    <t>https://drive.google.com/file/d/1qHUKe9jklqvZQc-wPczwWYT8mjg8SyVi/view?usp=sharing</t>
  </si>
  <si>
    <t>363cbb8d</t>
  </si>
  <si>
    <t>Napoli vs Qarabag FK - UEFA Champions League</t>
  </si>
  <si>
    <t>https://www.vidio.com/live/18303-uefa-champions-league?schedule_id=4733533</t>
  </si>
  <si>
    <t>https://drive.google.com/drive/folders/1uBumDopWGlX16tJl_pDFMM8krnrFdKh0</t>
  </si>
  <si>
    <t>https://drive.google.com/drive/folders/14Wb3x9yN298vTECYGS7G_yCO7LWjXAJK</t>
  </si>
  <si>
    <t>ssc napoli; qarabağ ağdam fk; sports stream</t>
  </si>
  <si>
    <t>Nonton streaming pertandingan seru Napoli vs Qarabag FK - UEFA Champions League. Saksikan aksi-aksi terbaik dari tim yang bersaing ketat untuk meraih kemenangan. Dapatkan informasi lengkap mengenai jadwal pertandingan dan hasil pertandingan terbaru hanya di Vidio.</t>
  </si>
  <si>
    <t>https://drive.google.com/file/d/1Q_NHkn6Y_HiJBIBzPRCt3M2CY4-F0UGO/view?usp=sharing</t>
  </si>
  <si>
    <t>https://drive.google.com/file/d/1_SbVYFEIon95mP26Eog-gTA_qNB7gYHi/view?usp=drive_link</t>
  </si>
  <si>
    <t>https://drive.google.com/file/d/1N3QrICt3MPONHiIp-997Zjtct98oXIPr/view?usp=sharing</t>
  </si>
  <si>
    <t>f6d2431d</t>
  </si>
  <si>
    <t>Marseille vs Newcastle - UEFA Champions League</t>
  </si>
  <si>
    <t>https://www.vidio.com/live/17875-bein-2?schedule_id=4733538</t>
  </si>
  <si>
    <t>https://drive.google.com/drive/folders/1a-3y6sGdFMusbwdXLdCQeuBKomX9wcce</t>
  </si>
  <si>
    <t>olympique de marseille; newcastle united fc; sports stream</t>
  </si>
  <si>
    <t>Nonton streaming pertandingan seru Marseille vs Newcastle - UEFA Champions League. Saksikan aksi-aksi terbaik dari tim yang bersaing ketat untuk meraih kemenangan. Dapatkan informasi lengkap mengenai jadwal pertandingan dan hasil pertandingan terbaru hanya di Vidio.</t>
  </si>
  <si>
    <t>https://drive.google.com/file/d/1O2JeB1dO9aODwbHbgvwFn4X5Npq-GpGb/view?usp=sharing</t>
  </si>
  <si>
    <t>https://drive.google.com/file/d/1D6ivimFOJpQ_EbZ_t6V1UFqvrXU0aLTD/view?usp=sharing</t>
  </si>
  <si>
    <t>0a0d7d06</t>
  </si>
  <si>
    <t>Dortmund vs Villarreal - UEFA Champions League</t>
  </si>
  <si>
    <t>https://www.vidio.com/live/18302-uefa-champions-league?schedule_id=4733529</t>
  </si>
  <si>
    <t>https://drive.google.com/drive/folders/1jcGtNmPZVThelEYGNm71h7uQcooebqFa</t>
  </si>
  <si>
    <t>bv borussia 09 dortmund; villarreal cf; sports stream</t>
  </si>
  <si>
    <t>Nonton streaming pertandingan seru Dortmund vs Villarreal - UEFA Champions League. Saksikan aksi-aksi terbaik dari tim yang bersaing ketat untuk meraih kemenangan. Dapatkan informasi lengkap mengenai jadwal pertandingan dan hasil pertandingan terbaru hanya di Vidio.</t>
  </si>
  <si>
    <t>https://drive.google.com/file/d/1LBn8o7SXQCjq64muzRyC28RybwLD_HiB/view?usp=sharing</t>
  </si>
  <si>
    <t>https://drive.google.com/file/d/1T9vrqzI9C58Imcy1kwe-OizCRqizGcT1/view?usp=sharing</t>
  </si>
  <si>
    <t>https://drive.google.com/file/d/1k1OlxWst6hRl_OxvmneiFmWIkqnRehaW/view?usp=sharing</t>
  </si>
  <si>
    <t>898e65a4</t>
  </si>
  <si>
    <t>Chelsea vs Barcelona - UEFA Champions League</t>
  </si>
  <si>
    <t>https://www.vidio.com/live/17883-uefa-champions-league?schedule_id=4733537</t>
  </si>
  <si>
    <t>https://drive.google.com/drive/folders/1p3ReKkwnykjl7GyAXZVG-Dm3OJQWs1E0</t>
  </si>
  <si>
    <t>chelsea fc; fc barcelona; sports stream</t>
  </si>
  <si>
    <t>Nonton streaming pertandingan seru Chelsea vs Barcelona - UEFA Champions League. Saksikan aksi-aksi terbaik dari tim yang bersaing ketat untuk meraih kemenangan. Dapatkan informasi lengkap mengenai jadwal pertandingan dan hasil pertandingan terbaru hanya di Vidio.</t>
  </si>
  <si>
    <t>Highlighted Match</t>
  </si>
  <si>
    <t>https://drive.google.com/file/d/1XEkUUVKo1rJlglDhwV_DSKH_bfHVOQUD/view?usp=sharing</t>
  </si>
  <si>
    <t>https://drive.google.com/file/d/1ndI1_FQaW4DYtp2rsaQX7JUKqtzwSK-g/view?usp=sharing</t>
  </si>
  <si>
    <t>https://drive.google.com/file/d/1oTrbSPI1mctZwB80ruztFToUC03amIM7/view?usp=sharing</t>
  </si>
  <si>
    <t>19060aad</t>
  </si>
  <si>
    <t>Man City vs Leverkusen - UEFA Champions League</t>
  </si>
  <si>
    <t>https://www.vidio.com/live/6317-bein-3?schedule_id=4733513</t>
  </si>
  <si>
    <t>https://drive.google.com/drive/folders/1Y0YLP8WWFqmP4Zxlkjud4e7rFyk0dgZJ</t>
  </si>
  <si>
    <t>manchester city fc; bayer 04 leverkusen; sports stream</t>
  </si>
  <si>
    <t>Nonton streaming pertandingan seru Man City vs Leverkusen - UEFA Champions League. Saksikan aksi-aksi terbaik dari tim yang bersaing ketat untuk meraih kemenangan. Dapatkan informasi lengkap mengenai jadwal pertandingan dan hasil pertandingan terbaru hanya di Vidio.</t>
  </si>
  <si>
    <t>https://drive.google.com/file/d/1llYGEk-0rdqoMK1PWp291251U7IRmWO4/view?usp=sharing</t>
  </si>
  <si>
    <t>https://drive.google.com/file/d/1qlh_mzFYRh4JfsRhUkaP5-9-ij9ydzmv/view?usp=sharing</t>
  </si>
  <si>
    <t>https://drive.google.com/file/d/1iQdilgkhJdPkwcMI6cST2zCyrdsGUtW8/view?usp=sharing</t>
  </si>
  <si>
    <t>bde1d8d3</t>
  </si>
  <si>
    <t>Slavia Praha vs Athletic Club - UEFA Champions League</t>
  </si>
  <si>
    <t>https://www.vidio.com/live/18304-uefa-champions-league?schedule_id=4733536</t>
  </si>
  <si>
    <t>https://drive.google.com/drive/folders/19Zsd0dSKcS_74LAZdtij9AjVzSPE00rn</t>
  </si>
  <si>
    <t>sk slavia praha; athletic club bilbao; sports stream</t>
  </si>
  <si>
    <t>Nonton streaming pertandingan seru Slavia Praha vs Athletic Club - UEFA Champions League. Saksikan aksi-aksi terbaik dari tim yang bersaing ketat untuk meraih kemenangan. Dapatkan informasi lengkap mengenai jadwal pertandingan dan hasil pertandingan terbaru hanya di Vidio.</t>
  </si>
  <si>
    <t>https://drive.google.com/file/d/1AsN1kbZ3a8i2GJdYrJBPuFv8CtZyniSO/view?usp=sharing</t>
  </si>
  <si>
    <t>https://drive.google.com/file/d/10JYEVwzq8_eJx1HRqh5Qa5micfdwRJ8p/view?usp=sharing</t>
  </si>
  <si>
    <t>1a8744a6</t>
  </si>
  <si>
    <t>Pafos vs Monaco - UEFA Champions League</t>
  </si>
  <si>
    <t>https://www.vidio.com/live/17883-uefa-champions-league?schedule_id=4733521</t>
  </si>
  <si>
    <t>https://drive.google.com/drive/folders/1EteUw7Z_J7DYo4k0Ef8BrJLbIfLGDSmc</t>
  </si>
  <si>
    <t>pafos fc; as monaco fc; sports stream</t>
  </si>
  <si>
    <t>Nonton streaming pertandingan seru Pafos vs Monaco - UEFA Champions League. Saksikan aksi-aksi terbaik dari tim yang bersaing ketat untuk meraih kemenangan. Dapatkan informasi lengkap mengenai jadwal pertandingan dan hasil pertandingan terbaru hanya di Vidio.</t>
  </si>
  <si>
    <t>https://drive.google.com/file/d/174luK_2B1vnrV5kbVRXRthj8Cw4uEi07/view?usp=sharing</t>
  </si>
  <si>
    <t>https://drive.google.com/file/d/1Y5O8sFDf5R8Dp5LcyjWMWTNOpLRUMB0G/view?usp=sharing</t>
  </si>
  <si>
    <t>https://drive.google.com/file/d/1r1O6LnVInyDYO6Urrs2AknaIwFmvAJJF/view?usp=sharing</t>
  </si>
  <si>
    <t>7eadcd95</t>
  </si>
  <si>
    <t>Copenhagen vs Kairat - UEFA Champions League</t>
  </si>
  <si>
    <t>https://www.vidio.com/live/6317-bein-3?schedule_id=4733515</t>
  </si>
  <si>
    <t>https://drive.google.com/drive/folders/1yTvBoXWIIwY7e3pv4pr0Y6_mPBiYOZwc</t>
  </si>
  <si>
    <t>fc kobenhavn; FC Kairat Almaty; sports stream</t>
  </si>
  <si>
    <t>Nonton streaming pertandingan seru Copenhagen vs Kairat - UEFA Champions League. Saksikan aksi-aksi terbaik dari tim yang bersaing ketat untuk meraih kemenangan. Dapatkan informasi lengkap mengenai jadwal pertandingan dan hasil pertandingan terbaru hanya di Vidio.</t>
  </si>
  <si>
    <t>https://drive.google.com/file/d/1dZXYbG73FXmvnahZrHB3ZAYNRbq0rkOY/view?usp=sharing</t>
  </si>
  <si>
    <t>https://drive.google.com/file/d/1fJ6BSv-NYlWG-hf3y48OAOeOKLou3T99/view?usp=sharing</t>
  </si>
  <si>
    <t>ba256ad9</t>
  </si>
  <si>
    <t>Olympiacos vs Real Madrid - UEFA Champions League</t>
  </si>
  <si>
    <t>https://www.vidio.com/live/18303-uefa-champions-league?schedule_id=4733550</t>
  </si>
  <si>
    <t>https://drive.google.com/drive/folders/1z9mrTP57q8tolWFGggPPZY_dU8OSxhQR</t>
  </si>
  <si>
    <t>olympiakos cfp; real madrid cf; sports stream</t>
  </si>
  <si>
    <t>Nonton streaming pertandingan seru Olympiacos vs Real Madrid - UEFA Champions League. Saksikan aksi-aksi terbaik dari tim yang bersaing ketat untuk meraih kemenangan. Dapatkan informasi lengkap mengenai jadwal pertandingan dan hasil pertandingan terbaru hanya di Vidio.</t>
  </si>
  <si>
    <t>https://drive.google.com/file/d/170cZAJ-Wo96iHG0eZQf4kR36-F1jPDyL/view?usp=sharing</t>
  </si>
  <si>
    <t>https://drive.google.com/file/d/1qHbg0ybH5_xQ1EztCqfzNbKP68PMIIq8/view?usp=sharing</t>
  </si>
  <si>
    <t>https://drive.google.com/file/d/1Hqu3HBMhP0e2nQHFO5igXt5PbSnt2k_Z/view?usp=sharing</t>
  </si>
  <si>
    <t>f72084bf</t>
  </si>
  <si>
    <t>Sporting vs Club Brugge - UEFA Champions League</t>
  </si>
  <si>
    <t>https://www.vidio.com/live/18304-uefa-champions-league?schedule_id=4733551</t>
  </si>
  <si>
    <t>https://drive.google.com/drive/folders/1KYWGKoh16BdjpjmqKsJdIhE72qbrSTmY</t>
  </si>
  <si>
    <t>sporting clube de portugal; club brugge kv; sports stream</t>
  </si>
  <si>
    <t>Nonton streaming pertandingan seru Sporting vs Club Brugge - UEFA Champions League. Saksikan aksi-aksi terbaik dari tim yang bersaing ketat untuk meraih kemenangan. Dapatkan informasi lengkap mengenai jadwal pertandingan dan hasil pertandingan terbaru hanya di Vidio.</t>
  </si>
  <si>
    <t>https://drive.google.com/file/d/1kasW6CGfxdx5Y9cn5YaO3F1Aiem5nLa8/view?usp=sharing</t>
  </si>
  <si>
    <t>83977e6e</t>
  </si>
  <si>
    <t>Eintracht Frankfurt vs Atalanta - UEFA Champions League</t>
  </si>
  <si>
    <t>https://www.vidio.com/live/18302-uefa-champions-league?schedule_id=4733549</t>
  </si>
  <si>
    <t>https://drive.google.com/drive/folders/1Zp5t-yvPd82g4l6Tx_Sm82qJhqcLfwOt</t>
  </si>
  <si>
    <t>eintracht frankfurt; atalanta bergamasca calcio; sports stream</t>
  </si>
  <si>
    <t>Nonton streaming pertandingan seru Eintracht Frankfurt vs Atalanta - UEFA Champions League. Saksikan aksi-aksi terbaik dari tim yang bersaing ketat untuk meraih kemenangan. Dapatkan informasi lengkap mengenai jadwal pertandingan dan hasil pertandingan terbaru hanya di Vidio.</t>
  </si>
  <si>
    <t>https://drive.google.com/file/d/1ZqROH5HoKxeK1RWprMLQWKrTGIr7UN0v/view?usp=sharing</t>
  </si>
  <si>
    <t>https://drive.google.com/file/d/1hPJkwppomk3tRiCxKaWkAjs_TJ1PSV6P/view?usp=sharing</t>
  </si>
  <si>
    <t>51134028</t>
  </si>
  <si>
    <t>Liverpool vs PSV - UEFA Champions League</t>
  </si>
  <si>
    <t>https://www.vidio.com/live/17883-uefa-champions-league?schedule_id=4733522</t>
  </si>
  <si>
    <t>https://drive.google.com/drive/folders/1WwNhD7gWJAmgX8IPubNDf7hgoizlm9gu</t>
  </si>
  <si>
    <t>liverpool fc; psv eindhoven; sports stream</t>
  </si>
  <si>
    <t>Nonton streaming pertandingan seru Liverpool vs PSV - UEFA Champions League. Saksikan aksi-aksi terbaik dari tim yang bersaing ketat untuk meraih kemenangan. Dapatkan informasi lengkap mengenai jadwal pertandingan dan hasil pertandingan terbaru hanya di Vidio.</t>
  </si>
  <si>
    <t>https://drive.google.com/file/d/1Fv2rKOPG3M3XBGmDh7_pJviBY6m-bdsD/view?usp=sharing</t>
  </si>
  <si>
    <t>https://drive.google.com/file/d/13y_Meev7-9rqRaxtXHuB2elEJUU3RUBu/view?usp=sharing</t>
  </si>
  <si>
    <t>https://drive.google.com/file/d/1JCSDDmanM2jbJB6M5l7suLeFS4mSkGbn/view?usp=sharing</t>
  </si>
  <si>
    <t>7e7f76a1</t>
  </si>
  <si>
    <t>Atletico Madrid vs Inter - UEFA Champions League</t>
  </si>
  <si>
    <t>https://www.vidio.com/live/18301-uefa-champions-league?schedule_id=4733548</t>
  </si>
  <si>
    <t>https://drive.google.com/drive/folders/1lcoVv8YsrfVdRJNMJbCVT8a8R_zRhucl</t>
  </si>
  <si>
    <t>Club Atlético de Madrid; fc internazionale milano; sports stream</t>
  </si>
  <si>
    <t>Nonton streaming pertandingan seru Atletico Madrid vs Inter - UEFA Champions League. Saksikan aksi-aksi terbaik dari tim yang bersaing ketat untuk meraih kemenangan. Dapatkan informasi lengkap mengenai jadwal pertandingan dan hasil pertandingan terbaru hanya di Vidio.</t>
  </si>
  <si>
    <t>https://drive.google.com/file/d/1XjHA6W00eYfIusQT22VEJly7b2l7wnCQ/view?usp=sharing</t>
  </si>
  <si>
    <t>https://drive.google.com/file/d/1oGqPWEAFwz1NJQcFysZF6ImCiiStWMYv/view?usp=sharing</t>
  </si>
  <si>
    <t>https://drive.google.com/file/d/1_FZKKFOQNxQYNANBEVKDFzveEYqVR0wJ/view?usp=sharing</t>
  </si>
  <si>
    <t>8f38843d</t>
  </si>
  <si>
    <t>Arsenal vs Bayern - UEFA Champions League</t>
  </si>
  <si>
    <t>https://www.vidio.com/live/6299-bein-1?schedule_id=4733803</t>
  </si>
  <si>
    <t>https://drive.google.com/drive/folders/1Ufn4x8_V3gXwIBp6MYVahWIzAncBrbD_</t>
  </si>
  <si>
    <t>arsenal fc; fc bayern munchen; sports stream</t>
  </si>
  <si>
    <t>Nonton streaming pertandingan seru Arsenal vs Bayern - UEFA Champions League. Saksikan aksi-aksi terbaik dari tim yang bersaing ketat untuk meraih kemenangan. Dapatkan informasi lengkap mengenai jadwal pertandingan dan hasil pertandingan terbaru hanya di Vidio.</t>
  </si>
  <si>
    <t>https://drive.google.com/file/d/1xwPE8HRB0VWqt00ACcz0JmO3bsOUX2W6/view?usp=sharing</t>
  </si>
  <si>
    <t>https://drive.google.com/file/d/1-hvqEOWki9dHjXmhoqQj48PLCgWCrGdo/view?usp=sharing</t>
  </si>
  <si>
    <t>https://drive.google.com/file/d/1sIhhe59kAiwWcWIPu1dcDromJI4oyycl/view?usp=sharing</t>
  </si>
  <si>
    <t>4a4f69da</t>
  </si>
  <si>
    <t>PSG vs Tottenham - UEFA Champions League</t>
  </si>
  <si>
    <t>https://www.vidio.com/live/6317-bein-3?schedule_id=4733804</t>
  </si>
  <si>
    <t>https://drive.google.com/drive/folders/1ooLvffe-PW9H1Z7bbxTOJJoRFEib_FJ5</t>
  </si>
  <si>
    <t>Paris Saint-Germain FC; tottenham hotspur fc; sports stream</t>
  </si>
  <si>
    <t>Nonton streaming pertandingan seru PSG vs Tottenham - UEFA Champions League. Saksikan aksi-aksi terbaik dari tim yang bersaing ketat untuk meraih kemenangan. Dapatkan informasi lengkap mengenai jadwal pertandingan dan hasil pertandingan terbaru hanya di Vidio.</t>
  </si>
  <si>
    <t>https://drive.google.com/file/d/18ekcZY9m9HbQ31R9xxnHmUZPmzCJMpr0/view?usp=sharing</t>
  </si>
  <si>
    <t>https://drive.google.com/file/d/14OSrqTx67EPPRd152P9zkIU8aRccas47/view?usp=sharing</t>
  </si>
  <si>
    <t>https://drive.google.com/file/d/1bx4sRNdbBtnfXA21W9-UHjgWS_Zm-puL/view?usp=sharing</t>
  </si>
  <si>
    <t>507ff4d5</t>
  </si>
  <si>
    <t>Kairat vs Olympiacos - UEFA Champions League</t>
  </si>
  <si>
    <t>https://www.vidio.com/live/6317-bein-3?schedule_id=4772709</t>
  </si>
  <si>
    <t>https://drive.google.com/drive/u/0/folders/1B-Z5HEwpomqAtaP9RpgT1mIpTOwE3I32</t>
  </si>
  <si>
    <t>https://drive.google.com/file/d/1lOncycuFYp5SKKecXMNaxOqOAAmnc-75/view?usp=share_link</t>
  </si>
  <si>
    <t>FC Kairat Almaty; olympiakos cfp; sports stream</t>
  </si>
  <si>
    <t>Nonton streaming pertandingan seru Kairat vs Olympiacos - UEFA Champions League. Saksikan aksi-aksi terbaik dari tim yang bersaing ketat untuk meraih kemenangan. Dapatkan informasi lengkap mengenai jadwal pertandingan dan hasil pertandingan terbaru hanya di Vidio.</t>
  </si>
  <si>
    <t>https://drive.google.com/file/d/1s66G-8mciHBB-R6yQEQyc5scckLEpReA/view?usp=sharing</t>
  </si>
  <si>
    <t>https://drive.google.com/file/d/1lOncycuFYp5SKKecXMNaxOqOAAmnc-75/view?usp=sharing</t>
  </si>
  <si>
    <t>732123ae</t>
  </si>
  <si>
    <t>Bayern vs Sporting - UEFA Champions League</t>
  </si>
  <si>
    <t>https://www.vidio.com/live/17883-uefa-champions-league?schedule_id=4772711</t>
  </si>
  <si>
    <t>https://drive.google.com/drive/u/0/folders/1XHb9ZFGtHUi0cqUZjfnkPjl7nDigxaQt</t>
  </si>
  <si>
    <t>https://drive.google.com/file/d/1UDxS_cfMma2T0bESnBM7jPu3yKRiPHKf/view?usp=share_link</t>
  </si>
  <si>
    <t>fc bayern munchen; sporting clube de portugal; sports stream</t>
  </si>
  <si>
    <t>Nonton streaming pertandingan seru Bayern vs Sporting - UEFA Champions League. Saksikan aksi-aksi terbaik dari tim yang bersaing ketat untuk meraih kemenangan. Dapatkan informasi lengkap mengenai jadwal pertandingan dan hasil pertandingan terbaru hanya di Vidio.</t>
  </si>
  <si>
    <t>https://drive.google.com/file/d/1_1Jy3WoBLMMd7AJHHX9WJJSL-71_oGF_/view?usp=sharing</t>
  </si>
  <si>
    <t>https://drive.google.com/file/d/1UDxS_cfMma2T0bESnBM7jPu3yKRiPHKf/view?usp=sharing</t>
  </si>
  <si>
    <t>https://drive.google.com/file/d/1SHuWb2_dFyezTsV76gQYJjDydPmiQYpC/view?usp=sharing</t>
  </si>
  <si>
    <t>20a70234</t>
  </si>
  <si>
    <t>Atalanta vs Chelsea - UEFA Champions League</t>
  </si>
  <si>
    <t>https://www.vidio.com/live/6317-bein-3?schedule_id=4772712</t>
  </si>
  <si>
    <t>https://drive.google.com/drive/u/0/folders/18-N3jlOaMZcdYXpiyW5KACywJV7oVMmX</t>
  </si>
  <si>
    <t>atalanta bergamasca calcio; chelsea fc; sports stream</t>
  </si>
  <si>
    <t>Nonton streaming pertandingan seru Atalanta vs Chelsea - UEFA Champions League. Saksikan aksi-aksi terbaik dari tim yang bersaing ketat untuk meraih kemenangan. Dapatkan informasi lengkap mengenai jadwal pertandingan dan hasil pertandingan terbaru hanya di Vidio.</t>
  </si>
  <si>
    <t>https://drive.google.com/file/d/1o71wvpOUCeQlLfKV71uxlRFCCaHiOCAC/view?usp=sharing</t>
  </si>
  <si>
    <t>7dc142cb</t>
  </si>
  <si>
    <t>Monaco vs Galatasaray - UEFA Champions League</t>
  </si>
  <si>
    <t>https://www.vidio.com/live/18301-uefa-champions-league?schedule_id=4772716</t>
  </si>
  <si>
    <t>https://drive.google.com/drive/u/0/folders/12hZnLJHI3t3skH4DR9k9Izyxbe8hPXR9</t>
  </si>
  <si>
    <t>https://drive.google.com/file/d/1jD_vBjZWZtoN7auS4k5HJ5egBEboy-ag/view?usp=share_link</t>
  </si>
  <si>
    <t>as monaco fc; galatasaray spor kulübü; sports stream</t>
  </si>
  <si>
    <t>Nonton streaming pertandingan seru Monaco vs Galatasaray - UEFA Champions League. Saksikan aksi-aksi terbaik dari tim yang bersaing ketat untuk meraih kemenangan. Dapatkan informasi lengkap mengenai jadwal pertandingan dan hasil pertandingan terbaru hanya di Vidio.</t>
  </si>
  <si>
    <t>https://drive.google.com/file/d/1A2WXQt6dYKXDS5j_ua9NrHK_QCnVAKDQ/view?usp=sharing</t>
  </si>
  <si>
    <t>https://drive.google.com/file/d/1jD_vBjZWZtoN7auS4k5HJ5egBEboy-ag/view?usp=sharing</t>
  </si>
  <si>
    <t>https://drive.google.com/file/d/1e9JPkh4P3wmtS6rG0vMkgZ6SKt5eNR2D/view?usp=sharing</t>
  </si>
  <si>
    <t>1e752c87</t>
  </si>
  <si>
    <t>Union Saint-Gilloise vs Marseille - UEFA Champions League</t>
  </si>
  <si>
    <t>https://www.vidio.com/live/18304-uefa-champions-league?schedule_id=4772722</t>
  </si>
  <si>
    <t>https://drive.google.com/drive/u/0/folders/1_Fo4eUSG--R6uUpMjuvd5Z_Zg98xoybz</t>
  </si>
  <si>
    <t>https://drive.google.com/file/d/1Gr6cSsPTHZvzNz5vonEQv8rmhlfcREWG/view?usp=share_link</t>
  </si>
  <si>
    <t>royale union saint-gilloise; olympique de marseille; sports stream</t>
  </si>
  <si>
    <t>Nonton streaming pertandingan seru Union Saint-Gilloise vs Marseille - UEFA Champions League. Saksikan aksi-aksi terbaik dari tim yang bersaing ketat untuk meraih kemenangan. Dapatkan informasi lengkap mengenai jadwal pertandingan dan hasil pertandingan terbaru hanya di Vidio.</t>
  </si>
  <si>
    <t>https://drive.google.com/file/d/1FTPORqi3L1uY1pZ-9KE3fDPC7R2DnDyK/view?usp=sharing</t>
  </si>
  <si>
    <t>https://drive.google.com/file/d/1Gr6cSsPTHZvzNz5vonEQv8rmhlfcREWG/view?usp=sharing</t>
  </si>
  <si>
    <t>025cf5a4</t>
  </si>
  <si>
    <t>PSV vs Atletico Madrid - UEFA Champions League</t>
  </si>
  <si>
    <t>https://www.vidio.com/live/18302-uefa-champions-league?schedule_id=4772718</t>
  </si>
  <si>
    <t>https://drive.google.com/drive/u/0/folders/1Ll6jcCijjUecC3RplhywLKJdBByNgT0K</t>
  </si>
  <si>
    <t>https://drive.google.com/file/d/1c01BLJqKGaIUsQQTvvag1xCwgjjtvmYU/view?usp=share_link</t>
  </si>
  <si>
    <t>psv eindhoven; Club Atlético de Madrid; sports stream</t>
  </si>
  <si>
    <t>Nonton streaming pertandingan seru PSV vs Atletico Madrid - UEFA Champions League. Saksikan aksi-aksi terbaik dari tim yang bersaing ketat untuk meraih kemenangan. Dapatkan informasi lengkap mengenai jadwal pertandingan dan hasil pertandingan terbaru hanya di Vidio.</t>
  </si>
  <si>
    <t>https://drive.google.com/file/d/1CBUS6VB6F6zvcc6s7waro3tSmYd-ILyX/view?usp=sharing</t>
  </si>
  <si>
    <t>https://drive.google.com/file/d/1c01BLJqKGaIUsQQTvvag1xCwgjjtvmYU/view?usp=sharing</t>
  </si>
  <si>
    <t>https://drive.google.com/file/d/1XTdy27G3JsEYLc0pd-Rd6CUfctf6UGbD/view?usp=sharing</t>
  </si>
  <si>
    <t>0d6641a6</t>
  </si>
  <si>
    <t>Barcelona vs Eintracht Frankfurt - UEFA Champions League</t>
  </si>
  <si>
    <t>https://www.vidio.com/live/17875-bein-2?schedule_id=4772714</t>
  </si>
  <si>
    <t>https://drive.google.com/drive/u/0/folders/1xYnrNXHNxDvvuunTibEHd0g32xVCpb5a</t>
  </si>
  <si>
    <t>https://drive.google.com/file/d/1FR2t3RyHfWk96A_u18w48BQ68UgGynqK/view?usp=share_link</t>
  </si>
  <si>
    <t>fc barcelona; eintracht frankfurt; sports stream</t>
  </si>
  <si>
    <t>Nonton streaming pertandingan seru Barcelona vs Eintracht Frankfurt - UEFA Champions League. Saksikan aksi-aksi terbaik dari tim yang bersaing ketat untuk meraih kemenangan. Dapatkan informasi lengkap mengenai jadwal pertandingan dan hasil pertandingan terbaru hanya di Vidio.</t>
  </si>
  <si>
    <t>https://drive.google.com/file/d/1BdGjJMrH0T8c7BXhFWBUc6OFzkJe75LF/view?usp=sharing</t>
  </si>
  <si>
    <t>https://drive.google.com/file/d/1FR2t3RyHfWk96A_u18w48BQ68UgGynqK/view?usp=sharing</t>
  </si>
  <si>
    <t>https://drive.google.com/file/d/1xGVzijkE0vZVXIUmFDNebPF1RcuCzSfm/view?usp=sharing</t>
  </si>
  <si>
    <t>53c807bc</t>
  </si>
  <si>
    <t>Inter vs Liverpool - UEFA Champions League</t>
  </si>
  <si>
    <t>https://www.vidio.com/live/17883-uefa-champions-league?schedule_id=4772713</t>
  </si>
  <si>
    <t>https://drive.google.com/drive/u/0/folders/11yQNRlg-UsrCVBUDxm1gRq_tg8LRIQOA</t>
  </si>
  <si>
    <t>https://drive.google.com/file/d/1JEI2Txp6ztEzZj3FZW13scniwzjt_Jk7/view?usp=share_link</t>
  </si>
  <si>
    <t>fc internazionale milano; liverpool fc; sports stream</t>
  </si>
  <si>
    <t>Nonton streaming pertandingan seru Inter vs Liverpool - UEFA Champions League. Saksikan aksi-aksi terbaik dari tim yang bersaing ketat untuk meraih kemenangan. Dapatkan informasi lengkap mengenai jadwal pertandingan dan hasil pertandingan terbaru hanya di Vidio.</t>
  </si>
  <si>
    <t>https://drive.google.com/file/d/1RNj1hEeloeFxNlU7nve4hUjQvwAuOLcm/view?usp=sharing</t>
  </si>
  <si>
    <t>https://drive.google.com/file/d/1JEI2Txp6ztEzZj3FZW13scniwzjt_Jk7/view?usp=sharing</t>
  </si>
  <si>
    <t>https://drive.google.com/file/d/1Lbucw5VdoFBr0196tOnKTtFTbrDEizh3/view?usp=sharing</t>
  </si>
  <si>
    <t>60622e0c</t>
  </si>
  <si>
    <t>Tottenham vs Slavia Praha - UEFA Champions League</t>
  </si>
  <si>
    <t>https://www.vidio.com/live/18303-uefa-champions-league?schedule_id=4772720</t>
  </si>
  <si>
    <t>https://drive.google.com/drive/u/0/folders/1BnksESw8ItDWqRuXCBigl23ILgCz-FMb</t>
  </si>
  <si>
    <t>https://drive.google.com/file/d/1FcsyXNitWbNW2DZoSC1Hi7ACoLliL4MG/view?usp=share_link</t>
  </si>
  <si>
    <t>tottenham hotspur fc; sk slavia praha; sports stream</t>
  </si>
  <si>
    <t>Nonton streaming pertandingan seru Tottenham vs Slavia Praha - UEFA Champions League. Saksikan aksi-aksi terbaik dari tim yang bersaing ketat untuk meraih kemenangan. Dapatkan informasi lengkap mengenai jadwal pertandingan dan hasil pertandingan terbaru hanya di Vidio.</t>
  </si>
  <si>
    <t>https://drive.google.com/file/d/1XuoxfE6qMseSbVy4UIJxNV4wdVjpvWCG/view?usp=sharing</t>
  </si>
  <si>
    <t>https://drive.google.com/file/d/1FcsyXNitWbNW2DZoSC1Hi7ACoLliL4MG/view?usp=sharing</t>
  </si>
  <si>
    <t>https://drive.google.com/file/d/151zf_g-htD0Qa9FHEXqeOECiNpJU2jqE/view?usp=sharing</t>
  </si>
  <si>
    <t>517f511e</t>
  </si>
  <si>
    <t>Villarreal vs Copenhagen - UEFA Champions League</t>
  </si>
  <si>
    <t>https://www.vidio.com/live/6299-bein-1?schedule_id=4773292</t>
  </si>
  <si>
    <t>https://drive.google.com/drive/u/0/folders/12uAhRkPnv-R2qTqLIJMHtWzXJMXwGi7f</t>
  </si>
  <si>
    <t>https://drive.google.com/file/d/1hOF_sIPADZvhGIHlfJyj3UhY8tlkcYDQ/view?usp=share_link</t>
  </si>
  <si>
    <t>villarreal cf; fc kobenhavn; sports stream</t>
  </si>
  <si>
    <t>Nonton streaming pertandingan seru Villarreal vs Copenhagen - UEFA Champions League. Saksikan aksi-aksi terbaik dari tim yang bersaing ketat untuk meraih kemenangan. Dapatkan informasi lengkap mengenai jadwal pertandingan dan hasil pertandingan terbaru hanya di Vidio.</t>
  </si>
  <si>
    <t>https://drive.google.com/file/d/1GB2va2FSuDnw2HUyHYx7Hf3OMPuI6VJP/view?usp=sharing</t>
  </si>
  <si>
    <t>https://drive.google.com/file/d/1hOF_sIPADZvhGIHlfJyj3UhY8tlkcYDQ/view?usp=sharing</t>
  </si>
  <si>
    <t>57db2cdf</t>
  </si>
  <si>
    <t>Qarabag FK vs Ajax - UEFA Champions League</t>
  </si>
  <si>
    <t>https://www.vidio.com/live/17883-uefa-champions-league?schedule_id=4773126</t>
  </si>
  <si>
    <t>https://drive.google.com/drive/u/0/folders/1UIWEOCXX5o43J6RgqacA4Mc1SRddx318</t>
  </si>
  <si>
    <t>https://drive.google.com/file/d/1hh_JM93Gh6k7ldnyh_wbUvPsoN4M79kI/view?usp=share_link</t>
  </si>
  <si>
    <t>qarabağ ağdam fk; afc ajax; sports stream</t>
  </si>
  <si>
    <t>Nonton streaming pertandingan seru Qarabag FK vs Ajax - UEFA Champions League. Saksikan aksi-aksi terbaik dari tim yang bersaing ketat untuk meraih kemenangan. Dapatkan informasi lengkap mengenai jadwal pertandingan dan hasil pertandingan terbaru hanya di Vidio.</t>
  </si>
  <si>
    <t>https://drive.google.com/file/d/1EtGZdf7FqDnyAMbpMQHoj1LHtw55-5V0/view?usp=sharing</t>
  </si>
  <si>
    <t>https://drive.google.com/file/d/1hh_JM93Gh6k7ldnyh_wbUvPsoN4M79kI/view?usp=sharing</t>
  </si>
  <si>
    <t>2cbf7a25</t>
  </si>
  <si>
    <t>Leverkusen vs Newcastle - UEFA Champions League</t>
  </si>
  <si>
    <t>https://www.vidio.com/live/18302-uefa-champions-league?schedule_id=4773345</t>
  </si>
  <si>
    <t>https://drive.google.com/drive/u/0/folders/1K0wwqQHbJaRUQi1y8d6OsjWqXJ21CCMx</t>
  </si>
  <si>
    <t>https://drive.google.com/file/d/1OXhBA_rRblmzwt7NK-BZyKgym5YPlliW/view?usp=share_link</t>
  </si>
  <si>
    <t>bayer 04 leverkusen; newcastle united fc; sports stream</t>
  </si>
  <si>
    <t>Nonton streaming pertandingan seru Leverkusen vs Newcastle - UEFA Champions League. Saksikan aksi-aksi terbaik dari tim yang bersaing ketat untuk meraih kemenangan. Dapatkan informasi lengkap mengenai jadwal pertandingan dan hasil pertandingan terbaru hanya di Vidio.</t>
  </si>
  <si>
    <t>https://drive.google.com/file/d/1AroIcT2Zw7YbMDx1XYrD9GF3GOtLJXYR/view?usp=sharing</t>
  </si>
  <si>
    <t>https://drive.google.com/file/d/1OXhBA_rRblmzwt7NK-BZyKgym5YPlliW/view?usp=sharing</t>
  </si>
  <si>
    <t>https://drive.google.com/file/d/1T5WXvpB8cehfuJK88DEQ1hue9EE-c_4k/view?usp=sharing</t>
  </si>
  <si>
    <t>20ec8d47</t>
  </si>
  <si>
    <t>Real Madrid vs Man City - UEFA Champions League</t>
  </si>
  <si>
    <t>https://www.vidio.com/live/6299-bein-1?schedule_id=4773128</t>
  </si>
  <si>
    <t>https://drive.google.com/drive/u/0/folders/1t8rWiKbofguHSxwfkIdhTcIcnfWo6XC3</t>
  </si>
  <si>
    <t>https://drive.google.com/file/d/1E6uX48kmry2jxrQZ97YSvds3EtnFIMJm/view?usp=share_link</t>
  </si>
  <si>
    <t>real madrid cf; manchester city fc; sports stream</t>
  </si>
  <si>
    <t>Nonton streaming pertandingan seru Real Madrid vs Man City - UEFA Champions League. Saksikan aksi-aksi terbaik dari tim yang bersaing ketat untuk meraih kemenangan. Dapatkan informasi lengkap mengenai jadwal pertandingan dan hasil pertandingan terbaru hanya di Vidio.</t>
  </si>
  <si>
    <t>https://drive.google.com/file/d/1TfT1lcErqlNB1ye1iXrPBvHjzRJX4n4Z/view?usp=sharing</t>
  </si>
  <si>
    <t>https://drive.google.com/file/d/1E6uX48kmry2jxrQZ97YSvds3EtnFIMJm/view?usp=sharing</t>
  </si>
  <si>
    <t>https://drive.google.com/file/d/1gHsSstSjBoifsnfIao-QVJU5AIkTUA5I/view?usp=sharing</t>
  </si>
  <si>
    <t>44cfc253</t>
  </si>
  <si>
    <t>Benfica vs Napoli - UEFA Champions League</t>
  </si>
  <si>
    <t>https://www.vidio.com/live/18305-uefa-champions-league?schedule_id=4773338</t>
  </si>
  <si>
    <t>https://drive.google.com/drive/u/0/folders/1SBvfhjJSKPuBVE9qoYW9dGw2h8k0P0N5</t>
  </si>
  <si>
    <t>https://drive.google.com/file/d/1fTcCmC8CJN00uhXnsdooPBv4En_JOhcu/view?usp=share_link</t>
  </si>
  <si>
    <t>sl benfica; ssc napoli; sports stream</t>
  </si>
  <si>
    <t>Nonton streaming pertandingan seru Benfica vs Napoli - UEFA Champions League. Saksikan aksi-aksi terbaik dari tim yang bersaing ketat untuk meraih kemenangan. Dapatkan informasi lengkap mengenai jadwal pertandingan dan hasil pertandingan terbaru hanya di Vidio.</t>
  </si>
  <si>
    <t>https://drive.google.com/file/d/1Pwlht0LH_Gj_0Cti8aHbpyiEcgzDKOfm/view?usp=sharing</t>
  </si>
  <si>
    <t>https://drive.google.com/file/d/1fTcCmC8CJN00uhXnsdooPBv4En_JOhcu/view?usp=sharing</t>
  </si>
  <si>
    <t>https://drive.google.com/file/d/11slbtkDFgpo-p80fxLQcgXNL9vkLKZCc/view?usp=sharing</t>
  </si>
  <si>
    <t>b7828d9c</t>
  </si>
  <si>
    <t>Club Brugge vs Arsenal - UEFA Champions League</t>
  </si>
  <si>
    <t>https://www.vidio.com/live/17883-uefa-champions-league?schedule_id=4773127</t>
  </si>
  <si>
    <t>https://drive.google.com/drive/u/0/folders/14uZgOye4rydbyj9Sd-WuJeSo2cvQvVRd</t>
  </si>
  <si>
    <t>https://drive.google.com/file/d/1MG9pelY7r2MPc9ALI0P-onbCUkElDLh8/view?usp=share_link</t>
  </si>
  <si>
    <t>club brugge kv; arsenal fc; sports stream</t>
  </si>
  <si>
    <t>Nonton streaming pertandingan seru Club Brugge vs Arsenal - UEFA Champions League. Saksikan aksi-aksi terbaik dari tim yang bersaing ketat untuk meraih kemenangan. Dapatkan informasi lengkap mengenai jadwal pertandingan dan hasil pertandingan terbaru hanya di Vidio.</t>
  </si>
  <si>
    <t>https://drive.google.com/file/d/10qgqF2pBXXsHBcsFHCOQWqgM19x_xw3x/view?usp=sharing</t>
  </si>
  <si>
    <t>https://drive.google.com/file/d/1MG9pelY7r2MPc9ALI0P-onbCUkElDLh8/view?usp=sharing</t>
  </si>
  <si>
    <t>https://drive.google.com/file/d/1XmO2xQG91sFzrkZVjmF0YbFDfnFKaOaT/view?usp=sharing</t>
  </si>
  <si>
    <t>1f180c9b</t>
  </si>
  <si>
    <t>Athletic Club vs PSG - UEFA Champions League</t>
  </si>
  <si>
    <t>https://www.vidio.com/live/6317-bein-3?schedule_id=4773299</t>
  </si>
  <si>
    <t>https://drive.google.com/drive/u/0/folders/1GSp0-HCF23O8imnHm_X7cF5dh-BE2gAX</t>
  </si>
  <si>
    <t>https://drive.google.com/file/d/1B-rqzBr6C3wKAhg8wJQkWN9FhyqbaDrW/view?usp=share_link</t>
  </si>
  <si>
    <t>athletic club bilbao; Paris Saint-Germain FC; sports stream</t>
  </si>
  <si>
    <t>Nonton streaming pertandingan seru Athletic Club vs PSG - UEFA Champions League. Saksikan aksi-aksi terbaik dari tim yang bersaing ketat untuk meraih kemenangan. Dapatkan informasi lengkap mengenai jadwal pertandingan dan hasil pertandingan terbaru hanya di Vidio.</t>
  </si>
  <si>
    <t>https://drive.google.com/file/d/1bisPQjHegeW_XE68AgYuQBbZj4yHlzxQ/view?usp=sharing</t>
  </si>
  <si>
    <t>https://drive.google.com/file/d/1B-rqzBr6C3wKAhg8wJQkWN9FhyqbaDrW/view?usp=sharing</t>
  </si>
  <si>
    <t>https://drive.google.com/file/d/1P-ZlubfHRjgskyWqKeVfudUdIDEWBf-t/view?usp=sharing</t>
  </si>
  <si>
    <t>93f3aa0c</t>
  </si>
  <si>
    <t>Juventus vs Pafos - UEFA Champions League</t>
  </si>
  <si>
    <t>https://www.vidio.com/live/18303-uefa-champions-league?schedule_id=4773343</t>
  </si>
  <si>
    <t>https://drive.google.com/drive/u/0/folders/1c7ZQQTV5AbWEg_cK-N8lLguINghBWscA</t>
  </si>
  <si>
    <t>https://drive.google.com/file/d/1Jg_SWpLgSXmlQO6FCw0DYsNk1ZalGhO1/view?usp=share_link</t>
  </si>
  <si>
    <t>juventus fc; pafos fc; sports stream</t>
  </si>
  <si>
    <t>Nonton streaming pertandingan seru Juventus vs Pafos - UEFA Champions League. Saksikan aksi-aksi terbaik dari tim yang bersaing ketat untuk meraih kemenangan. Dapatkan informasi lengkap mengenai jadwal pertandingan dan hasil pertandingan terbaru hanya di Vidio.</t>
  </si>
  <si>
    <t>https://drive.google.com/file/d/1PyPwJCRWpb4-Y04nj2eRqqkk3i1aJrCe/view?usp=sharing</t>
  </si>
  <si>
    <t>https://drive.google.com/file/d/1Jg_SWpLgSXmlQO6FCw0DYsNk1ZalGhO1/view?usp=sharing</t>
  </si>
  <si>
    <t>https://drive.google.com/file/d/1Gt52lllZO-LvF_rUxfk3y2-paTawbcgP/view?usp=sharing</t>
  </si>
  <si>
    <t>b0e19924</t>
  </si>
  <si>
    <t>Dortmund vs Bodo/Glimt - UEFA Champions League</t>
  </si>
  <si>
    <t>https://www.vidio.com/live/18304-uefa-champions-league?schedule_id=4773342</t>
  </si>
  <si>
    <t>https://drive.google.com/drive/u/0/folders/1ys-zgzV3tgsNIZwHVjEHLsvOTy_nx3tc</t>
  </si>
  <si>
    <t>https://drive.google.com/file/d/12hAadmWtAjDql8gn0wlcm1wmeYn5icfc/view?usp=share_link</t>
  </si>
  <si>
    <t>bv borussia 09 dortmund; fk bodø/glimt; sports stream</t>
  </si>
  <si>
    <t>Nonton streaming pertandingan seru Dortmund vs Bodo/Glimt - UEFA Champions League. Saksikan aksi-aksi terbaik dari tim yang bersaing ketat untuk meraih kemenangan. Dapatkan informasi lengkap mengenai jadwal pertandingan dan hasil pertandingan terbaru hanya di Vidio.</t>
  </si>
  <si>
    <t>https://drive.google.com/file/d/1lNGXTPY8cuSekmRHfwD53Fvlx8x1wjpi/view?usp=sharing</t>
  </si>
  <si>
    <t>https://drive.google.com/file/d/12hAadmWtAjDql8gn0wlcm1wmeYn5icfc/view?usp=sharing</t>
  </si>
  <si>
    <t>https://drive.google.com/file/d/1LCZ51Ki-I6El1jZerwiabw516OHo1qy2/view?usp=sharing</t>
  </si>
  <si>
    <t>d0147735</t>
  </si>
  <si>
    <t>Kairat vs Club Brugge - UEFA Champions League</t>
  </si>
  <si>
    <t>FC Kairat Almaty; club brugge kv; sports stream</t>
  </si>
  <si>
    <t>Nonton streaming pertandingan seru Kairat vs Club Brugge - UEFA Champions League. Saksikan aksi-aksi terbaik dari tim yang bersaing ketat untuk meraih kemenangan. Dapatkan informasi lengkap mengenai jadwal pertandingan dan hasil pertandingan terbaru hanya di Vidio.</t>
  </si>
  <si>
    <t>b99471b2</t>
  </si>
  <si>
    <t>Bodo/Glimt vs Man City - UEFA Champions League</t>
  </si>
  <si>
    <t>fk bodø/glimt; manchester city fc; sports stream</t>
  </si>
  <si>
    <t>Nonton streaming pertandingan seru Bodo/Glimt vs Man City - UEFA Champions League. Saksikan aksi-aksi terbaik dari tim yang bersaing ketat untuk meraih kemenangan. Dapatkan informasi lengkap mengenai jadwal pertandingan dan hasil pertandingan terbaru hanya di Vidio.</t>
  </si>
  <si>
    <t>762b7cb0</t>
  </si>
  <si>
    <t>Villarreal vs Ajax - UEFA Champions League</t>
  </si>
  <si>
    <t>villarreal cf; afc ajax; sports stream</t>
  </si>
  <si>
    <t>Nonton streaming pertandingan seru Villarreal vs Ajax - UEFA Champions League. Saksikan aksi-aksi terbaik dari tim yang bersaing ketat untuk meraih kemenangan. Dapatkan informasi lengkap mengenai jadwal pertandingan dan hasil pertandingan terbaru hanya di Vidio.</t>
  </si>
  <si>
    <t>08437f3e</t>
  </si>
  <si>
    <t>Tottenham vs Dortmund - UEFA Champions League</t>
  </si>
  <si>
    <t>tottenham hotspur fc; bv borussia 09 dortmund; sports stream</t>
  </si>
  <si>
    <t>Nonton streaming pertandingan seru Tottenham vs Dortmund - UEFA Champions League. Saksikan aksi-aksi terbaik dari tim yang bersaing ketat untuk meraih kemenangan. Dapatkan informasi lengkap mengenai jadwal pertandingan dan hasil pertandingan terbaru hanya di Vidio.</t>
  </si>
  <si>
    <t>bc0b273d</t>
  </si>
  <si>
    <t>Olympiacos vs Leverkusen - UEFA Champions League</t>
  </si>
  <si>
    <t>olympiakos cfp; bayer 04 leverkusen; sports stream</t>
  </si>
  <si>
    <t>Nonton streaming pertandingan seru Olympiacos vs Leverkusen - UEFA Champions League. Saksikan aksi-aksi terbaik dari tim yang bersaing ketat untuk meraih kemenangan. Dapatkan informasi lengkap mengenai jadwal pertandingan dan hasil pertandingan terbaru hanya di Vidio.</t>
  </si>
  <si>
    <t>d8dade26</t>
  </si>
  <si>
    <t>Sporting vs PSG - UEFA Champions League</t>
  </si>
  <si>
    <t>sporting clube de portugal; Paris Saint-Germain FC; sports stream</t>
  </si>
  <si>
    <t>Nonton streaming pertandingan seru Sporting vs PSG - UEFA Champions League. Saksikan aksi-aksi terbaik dari tim yang bersaing ketat untuk meraih kemenangan. Dapatkan informasi lengkap mengenai jadwal pertandingan dan hasil pertandingan terbaru hanya di Vidio.</t>
  </si>
  <si>
    <t>2da4d65d</t>
  </si>
  <si>
    <t>Inter vs Arsenal - UEFA Champions League</t>
  </si>
  <si>
    <t>fc internazionale milano; arsenal fc; sports stream</t>
  </si>
  <si>
    <t>Nonton streaming pertandingan seru Inter vs Arsenal - UEFA Champions League. Saksikan aksi-aksi terbaik dari tim yang bersaing ketat untuk meraih kemenangan. Dapatkan informasi lengkap mengenai jadwal pertandingan dan hasil pertandingan terbaru hanya di Vidio.</t>
  </si>
  <si>
    <t>kevin.wullur@intern.vidio.com</t>
  </si>
  <si>
    <t>c7b69cf7</t>
  </si>
  <si>
    <t>Real Madrid vs Monaco - UEFA Champions League</t>
  </si>
  <si>
    <t>real madrid cf; as monaco fc; sports stream</t>
  </si>
  <si>
    <t>Nonton streaming pertandingan seru Real Madrid vs Monaco - UEFA Champions League. Saksikan aksi-aksi terbaik dari tim yang bersaing ketat untuk meraih kemenangan. Dapatkan informasi lengkap mengenai jadwal pertandingan dan hasil pertandingan terbaru hanya di Vidio.</t>
  </si>
  <si>
    <t>628a3222</t>
  </si>
  <si>
    <t>Copenhagen vs Napoli - UEFA Champions League</t>
  </si>
  <si>
    <t>fc kobenhavn; ssc napoli; sports stream</t>
  </si>
  <si>
    <t>Nonton streaming pertandingan seru Copenhagen vs Napoli - UEFA Champions League. Saksikan aksi-aksi terbaik dari tim yang bersaing ketat untuk meraih kemenangan. Dapatkan informasi lengkap mengenai jadwal pertandingan dan hasil pertandingan terbaru hanya di Vidio.</t>
  </si>
  <si>
    <t>891f9cf9</t>
  </si>
  <si>
    <t>Galatasaray vs Atletico Madrid - UEFA Champions League</t>
  </si>
  <si>
    <t>galatasaray spor kulübü; Club Atlético de Madrid; sports stream</t>
  </si>
  <si>
    <t>Nonton streaming pertandingan seru Galatasaray vs Atletico Madrid - UEFA Champions League. Saksikan aksi-aksi terbaik dari tim yang bersaing ketat untuk meraih kemenangan. Dapatkan informasi lengkap mengenai jadwal pertandingan dan hasil pertandingan terbaru hanya di Vidio.</t>
  </si>
  <si>
    <t>09c2f890</t>
  </si>
  <si>
    <t>Qarabag FK vs Eintracht Frankfurt - UEFA Champions League</t>
  </si>
  <si>
    <t>qarabağ ağdam fk; eintracht frankfurt; sports stream</t>
  </si>
  <si>
    <t>Nonton streaming pertandingan seru Qarabag FK vs Eintracht Frankfurt - UEFA Champions League. Saksikan aksi-aksi terbaik dari tim yang bersaing ketat untuk meraih kemenangan. Dapatkan informasi lengkap mengenai jadwal pertandingan dan hasil pertandingan terbaru hanya di Vidio.</t>
  </si>
  <si>
    <t>edff76f9</t>
  </si>
  <si>
    <t>Marseille vs Liverpool - UEFA Champions League</t>
  </si>
  <si>
    <t>olympique de marseille; liverpool fc; sports stream</t>
  </si>
  <si>
    <t>Nonton streaming pertandingan seru Marseille vs Liverpool - UEFA Champions League. Saksikan aksi-aksi terbaik dari tim yang bersaing ketat untuk meraih kemenangan. Dapatkan informasi lengkap mengenai jadwal pertandingan dan hasil pertandingan terbaru hanya di Vidio.</t>
  </si>
  <si>
    <t>0ae023ce</t>
  </si>
  <si>
    <t>Newcastle vs PSV - UEFA Champions League</t>
  </si>
  <si>
    <t>newcastle united fc; psv eindhoven; sports stream</t>
  </si>
  <si>
    <t>Nonton streaming pertandingan seru Newcastle vs PSV - UEFA Champions League. Saksikan aksi-aksi terbaik dari tim yang bersaing ketat untuk meraih kemenangan. Dapatkan informasi lengkap mengenai jadwal pertandingan dan hasil pertandingan terbaru hanya di Vidio.</t>
  </si>
  <si>
    <t>1b9ceead</t>
  </si>
  <si>
    <t>Slavia Praha vs Barcelona - UEFA Champions League</t>
  </si>
  <si>
    <t>sk slavia praha; fc barcelona; sports stream</t>
  </si>
  <si>
    <t>Nonton streaming pertandingan seru Slavia Praha vs Barcelona - UEFA Champions League. Saksikan aksi-aksi terbaik dari tim yang bersaing ketat untuk meraih kemenangan. Dapatkan informasi lengkap mengenai jadwal pertandingan dan hasil pertandingan terbaru hanya di Vidio.</t>
  </si>
  <si>
    <t>380b7e3b</t>
  </si>
  <si>
    <t>Juventus vs Benfica - UEFA Champions League</t>
  </si>
  <si>
    <t>juventus fc; sl benfica; sports stream</t>
  </si>
  <si>
    <t>Nonton streaming pertandingan seru Juventus vs Benfica - UEFA Champions League. Saksikan aksi-aksi terbaik dari tim yang bersaing ketat untuk meraih kemenangan. Dapatkan informasi lengkap mengenai jadwal pertandingan dan hasil pertandingan terbaru hanya di Vidio.</t>
  </si>
  <si>
    <t>8187053c</t>
  </si>
  <si>
    <t>Chelsea vs Pafos - UEFA Champions League</t>
  </si>
  <si>
    <t>chelsea fc; pafos fc; sports stream</t>
  </si>
  <si>
    <t>Nonton streaming pertandingan seru Chelsea vs Pafos - UEFA Champions League. Saksikan aksi-aksi terbaik dari tim yang bersaing ketat untuk meraih kemenangan. Dapatkan informasi lengkap mengenai jadwal pertandingan dan hasil pertandingan terbaru hanya di Vidio.</t>
  </si>
  <si>
    <t>5b5b3fc7</t>
  </si>
  <si>
    <t>Bayern vs Union Saint-Gilloise - UEFA Champions League</t>
  </si>
  <si>
    <t>fc bayern munchen; royale union saint-gilloise; sports stream</t>
  </si>
  <si>
    <t>Nonton streaming pertandingan seru Bayern vs Union Saint-Gilloise - UEFA Champions League. Saksikan aksi-aksi terbaik dari tim yang bersaing ketat untuk meraih kemenangan. Dapatkan informasi lengkap mengenai jadwal pertandingan dan hasil pertandingan terbaru hanya di Vidio.</t>
  </si>
  <si>
    <t>236a4981</t>
  </si>
  <si>
    <t>Atalanta vs Athletic Club - UEFA Champions League</t>
  </si>
  <si>
    <t>atalanta bergamasca calcio; athletic club bilbao; sports stream</t>
  </si>
  <si>
    <t>Nonton streaming pertandingan seru Atalanta vs Athletic Club - UEFA Champions League. Saksikan aksi-aksi terbaik dari tim yang bersaing ketat untuk meraih kemenangan. Dapatkan informasi lengkap mengenai jadwal pertandingan dan hasil pertandingan terbaru hanya di Vidio.</t>
  </si>
  <si>
    <t>1b6504c8</t>
  </si>
  <si>
    <t>Athletic Club vs Sporting - UEFA Champions League</t>
  </si>
  <si>
    <t>athletic club bilbao; sporting clube de portugal; sports stream</t>
  </si>
  <si>
    <t>Nonton streaming pertandingan seru Athletic Club vs Sporting - UEFA Champions League. Saksikan aksi-aksi terbaik dari tim yang bersaing ketat untuk meraih kemenangan. Dapatkan informasi lengkap mengenai jadwal pertandingan dan hasil pertandingan terbaru hanya di Vidio.</t>
  </si>
  <si>
    <t>135b6b38</t>
  </si>
  <si>
    <t>Liverpool vs Qarabag FK - UEFA Champions League</t>
  </si>
  <si>
    <t>liverpool fc; qarabağ ağdam fk; sports stream</t>
  </si>
  <si>
    <t>Nonton streaming pertandingan seru Liverpool vs Qarabag FK - UEFA Champions League. Saksikan aksi-aksi terbaik dari tim yang bersaing ketat untuk meraih kemenangan. Dapatkan informasi lengkap mengenai jadwal pertandingan dan hasil pertandingan terbaru hanya di Vidio.</t>
  </si>
  <si>
    <t>73c54bd7</t>
  </si>
  <si>
    <t>Barcelona vs Copenhagen - UEFA Champions League</t>
  </si>
  <si>
    <t>fc barcelona; fc kobenhavn; sports stream</t>
  </si>
  <si>
    <t>Nonton streaming pertandingan seru Barcelona vs Copenhagen - UEFA Champions League. Saksikan aksi-aksi terbaik dari tim yang bersaing ketat untuk meraih kemenangan. Dapatkan informasi lengkap mengenai jadwal pertandingan dan hasil pertandingan terbaru hanya di Vidio.</t>
  </si>
  <si>
    <t>b42e3175</t>
  </si>
  <si>
    <t>Monaco vs Juventus - UEFA Champions League</t>
  </si>
  <si>
    <t>as monaco fc; juventus fc; sports stream</t>
  </si>
  <si>
    <t>Nonton streaming pertandingan seru Monaco vs Juventus - UEFA Champions League. Saksikan aksi-aksi terbaik dari tim yang bersaing ketat untuk meraih kemenangan. Dapatkan informasi lengkap mengenai jadwal pertandingan dan hasil pertandingan terbaru hanya di Vidio.</t>
  </si>
  <si>
    <t>f75a053d</t>
  </si>
  <si>
    <t>Ajax vs Olympiacos - UEFA Champions League</t>
  </si>
  <si>
    <t>afc ajax; olympiakos cfp; sports stream</t>
  </si>
  <si>
    <t>Nonton streaming pertandingan seru Ajax vs Olympiacos - UEFA Champions League. Saksikan aksi-aksi terbaik dari tim yang bersaing ketat untuk meraih kemenangan. Dapatkan informasi lengkap mengenai jadwal pertandingan dan hasil pertandingan terbaru hanya di Vidio.</t>
  </si>
  <si>
    <t>a7b996ce</t>
  </si>
  <si>
    <t>PSG vs Newcastle - UEFA Champions League</t>
  </si>
  <si>
    <t>Paris Saint-Germain FC; newcastle united fc; sports stream</t>
  </si>
  <si>
    <t>Nonton streaming pertandingan seru PSG vs Newcastle - UEFA Champions League. Saksikan aksi-aksi terbaik dari tim yang bersaing ketat untuk meraih kemenangan. Dapatkan informasi lengkap mengenai jadwal pertandingan dan hasil pertandingan terbaru hanya di Vidio.</t>
  </si>
  <si>
    <t>317c9722</t>
  </si>
  <si>
    <t>Dortmund vs Inter - UEFA Champions League</t>
  </si>
  <si>
    <t>bv borussia 09 dortmund; fc internazionale milano; sports stream</t>
  </si>
  <si>
    <t>Nonton streaming pertandingan seru Dortmund vs Inter - UEFA Champions League. Saksikan aksi-aksi terbaik dari tim yang bersaing ketat untuk meraih kemenangan. Dapatkan informasi lengkap mengenai jadwal pertandingan dan hasil pertandingan terbaru hanya di Vidio.</t>
  </si>
  <si>
    <t>27c27277</t>
  </si>
  <si>
    <t>Napoli vs Chelsea - UEFA Champions League</t>
  </si>
  <si>
    <t>ssc napoli; chelsea fc; sports stream</t>
  </si>
  <si>
    <t>Nonton streaming pertandingan seru Napoli vs Chelsea - UEFA Champions League. Saksikan aksi-aksi terbaik dari tim yang bersaing ketat untuk meraih kemenangan. Dapatkan informasi lengkap mengenai jadwal pertandingan dan hasil pertandingan terbaru hanya di Vidio.</t>
  </si>
  <si>
    <t>6b004016</t>
  </si>
  <si>
    <t>Eintracht Frankfurt vs Tottenham - UEFA Champions League</t>
  </si>
  <si>
    <t>eintracht frankfurt; tottenham hotspur fc; sports stream</t>
  </si>
  <si>
    <t>Nonton streaming pertandingan seru Eintracht Frankfurt vs Tottenham - UEFA Champions League. Saksikan aksi-aksi terbaik dari tim yang bersaing ketat untuk meraih kemenangan. Dapatkan informasi lengkap mengenai jadwal pertandingan dan hasil pertandingan terbaru hanya di Vidio.</t>
  </si>
  <si>
    <t>535fa13d</t>
  </si>
  <si>
    <t>Atletico Madrid vs Bodo/Glimt - UEFA Champions League</t>
  </si>
  <si>
    <t>Club Atlético de Madrid; fk bodø/glimt; sports stream</t>
  </si>
  <si>
    <t>Nonton streaming pertandingan seru Atletico Madrid vs Bodo/Glimt - UEFA Champions League. Saksikan aksi-aksi terbaik dari tim yang bersaing ketat untuk meraih kemenangan. Dapatkan informasi lengkap mengenai jadwal pertandingan dan hasil pertandingan terbaru hanya di Vidio.</t>
  </si>
  <si>
    <t>85b33d6e</t>
  </si>
  <si>
    <t>Leverkusen vs Villarreal - UEFA Champions League</t>
  </si>
  <si>
    <t>bayer 04 leverkusen; villarreal cf; sports stream</t>
  </si>
  <si>
    <t>Nonton streaming pertandingan seru Leverkusen vs Villarreal - UEFA Champions League. Saksikan aksi-aksi terbaik dari tim yang bersaing ketat untuk meraih kemenangan. Dapatkan informasi lengkap mengenai jadwal pertandingan dan hasil pertandingan terbaru hanya di Vidio.</t>
  </si>
  <si>
    <t>b7ccbaa2</t>
  </si>
  <si>
    <t>Arsenal vs Kairat - UEFA Champions League</t>
  </si>
  <si>
    <t>arsenal fc; FC Kairat Almaty; sports stream</t>
  </si>
  <si>
    <t>Nonton streaming pertandingan seru Arsenal vs Kairat - UEFA Champions League. Saksikan aksi-aksi terbaik dari tim yang bersaing ketat untuk meraih kemenangan. Dapatkan informasi lengkap mengenai jadwal pertandingan dan hasil pertandingan terbaru hanya di Vidio.</t>
  </si>
  <si>
    <t>74e3196d</t>
  </si>
  <si>
    <t>Pafos vs Slavia Praha - UEFA Champions League</t>
  </si>
  <si>
    <t>pafos fc; sk slavia praha; sports stream</t>
  </si>
  <si>
    <t>Nonton streaming pertandingan seru Pafos vs Slavia Praha - UEFA Champions League. Saksikan aksi-aksi terbaik dari tim yang bersaing ketat untuk meraih kemenangan. Dapatkan informasi lengkap mengenai jadwal pertandingan dan hasil pertandingan terbaru hanya di Vidio.</t>
  </si>
  <si>
    <t>2122c0f6</t>
  </si>
  <si>
    <t>Man City vs Galatasaray - UEFA Champions League</t>
  </si>
  <si>
    <t>manchester city fc; galatasaray spor kulübü; sports stream</t>
  </si>
  <si>
    <t>Nonton streaming pertandingan seru Man City vs Galatasaray - UEFA Champions League. Saksikan aksi-aksi terbaik dari tim yang bersaing ketat untuk meraih kemenangan. Dapatkan informasi lengkap mengenai jadwal pertandingan dan hasil pertandingan terbaru hanya di Vidio.</t>
  </si>
  <si>
    <t>d376e96c</t>
  </si>
  <si>
    <t>Club Brugge vs Marseille - UEFA Champions League</t>
  </si>
  <si>
    <t>club brugge kv; olympique de marseille; sports stream</t>
  </si>
  <si>
    <t>Nonton streaming pertandingan seru Club Brugge vs Marseille - UEFA Champions League. Saksikan aksi-aksi terbaik dari tim yang bersaing ketat untuk meraih kemenangan. Dapatkan informasi lengkap mengenai jadwal pertandingan dan hasil pertandingan terbaru hanya di Vidio.</t>
  </si>
  <si>
    <t>5e72d83e</t>
  </si>
  <si>
    <t>Benfica vs Real Madrid - UEFA Champions League</t>
  </si>
  <si>
    <t>sl benfica; real madrid cf; sports stream</t>
  </si>
  <si>
    <t>Nonton streaming pertandingan seru Benfica vs Real Madrid - UEFA Champions League. Saksikan aksi-aksi terbaik dari tim yang bersaing ketat untuk meraih kemenangan. Dapatkan informasi lengkap mengenai jadwal pertandingan dan hasil pertandingan terbaru hanya di Vidio.</t>
  </si>
  <si>
    <t>fb5f8f6f</t>
  </si>
  <si>
    <t>Union Saint-Gilloise vs Atalanta - UEFA Champions League</t>
  </si>
  <si>
    <t>royale union saint-gilloise; atalanta bergamasca calcio; sports stream</t>
  </si>
  <si>
    <t>Nonton streaming pertandingan seru Union Saint-Gilloise vs Atalanta - UEFA Champions League. Saksikan aksi-aksi terbaik dari tim yang bersaing ketat untuk meraih kemenangan. Dapatkan informasi lengkap mengenai jadwal pertandingan dan hasil pertandingan terbaru hanya di Vidio.</t>
  </si>
  <si>
    <t>97f4fec1</t>
  </si>
  <si>
    <t>PSV vs Bayern - UEFA Champions League</t>
  </si>
  <si>
    <t>psv eindhoven; fc bayern munchen; sports stream</t>
  </si>
  <si>
    <t>Nonton streaming pertandingan seru PSV vs Bayern - UEFA Champions League. Saksikan aksi-aksi terbaik dari tim yang bersaing ketat untuk meraih kemenangan. Dapatkan informasi lengkap mengenai jadwal pertandingan dan hasil pertandingan terbaru hanya di Vidio.</t>
  </si>
  <si>
    <t>260b84df</t>
  </si>
  <si>
    <t>Midtjylland vs SK Sturm Graz - UEFA Europa League</t>
  </si>
  <si>
    <t>https://www.vidio.com/live/6299-bein-1?schedule_id=4591197</t>
  </si>
  <si>
    <t>https://drive.google.com/drive/folders/1tjIHYbD0JMfAAwmB8h_i0kF1TzTJeG-N?usp=drive_link</t>
  </si>
  <si>
    <t>https://drive.google.com/drive/folders/1vs2NPBadTfe8mkFp1C94plFN9o2qZ3M8?usp=drive_link</t>
  </si>
  <si>
    <t>Midtjylland</t>
  </si>
  <si>
    <t>fc midtjylland; sk sturm graz; sports stream</t>
  </si>
  <si>
    <t>Nonton streaming pertandingan seru Midtjylland vs SK Sturm Graz - UEFA Europa League. Saksikan aksi-aksi terbaik dari tim yang bersaing ketat untuk meraih kemenangan. Dapatkan informasi lengkap mengenai jadwal pertandingan dan hasil pertandingan terbaru hanya di Vidio.</t>
  </si>
  <si>
    <t>https://drive.google.com/file/d/1YylV8mZTaeTe4mQJAUUTv0rLzieSpQtg/view?usp=sharing</t>
  </si>
  <si>
    <t>https://drive.google.com/file/d/1G7zV9GQxjvojOajnu7cYYH2EyEIYNF7k/view?usp=sharing</t>
  </si>
  <si>
    <t>f7cbc69c</t>
  </si>
  <si>
    <t>PAOK vs M. Tel-Aviv - UEFA Europa League</t>
  </si>
  <si>
    <t>https://www.vidio.com/live/6317-bein-3?schedule_id=4591196</t>
  </si>
  <si>
    <t>https://drive.google.com/drive/folders/1hoGjgZl99HIB4niF_n-yVsWsrR6Q1hRJ?usp=drive_link</t>
  </si>
  <si>
    <t>Maccabi Tel Aviv F.C.</t>
  </si>
  <si>
    <t>paok; maccabi tel-aviv; sports stream</t>
  </si>
  <si>
    <t>Nonton streaming pertandingan seru PAOK vs M. Tel-Aviv - UEFA Europa League. Saksikan aksi-aksi terbaik dari tim yang bersaing ketat untuk meraih kemenangan. Dapatkan informasi lengkap mengenai jadwal pertandingan dan hasil pertandingan terbaru hanya di Vidio.</t>
  </si>
  <si>
    <t>https://drive.google.com/file/d/17C82Q5Pb8O5UdyE76TU-qtRyeRQNuPvW/view?usp=sharing</t>
  </si>
  <si>
    <t>https://drive.google.com/file/d/1D5NKHZ6bAba7p0M4Upb9dlexlLsBp3Xh/view?usp=drive_link</t>
  </si>
  <si>
    <t>989e2ea2</t>
  </si>
  <si>
    <t>Malmo vs Ludogorets - UEFA Europa League</t>
  </si>
  <si>
    <t>https://www.vidio.com/live/19602-uefa-europa-league?schedule_id=4591194</t>
  </si>
  <si>
    <t>https://drive.google.com/drive/folders/1uzmwWKVAafbKGqAaq7rDEediFNiyENDA?usp=drive_link</t>
  </si>
  <si>
    <t>Malmö FF</t>
  </si>
  <si>
    <t>PFC Ludogorets Razgrad</t>
  </si>
  <si>
    <t>malmo ff; pfc ludogorets 1945 razgrad; sports stream</t>
  </si>
  <si>
    <t>Nonton streaming pertandingan seru Malmo vs Ludogorets - UEFA Europa League. Saksikan aksi-aksi terbaik dari tim yang bersaing ketat untuk meraih kemenangan. Dapatkan informasi lengkap mengenai jadwal pertandingan dan hasil pertandingan terbaru hanya di Vidio.</t>
  </si>
  <si>
    <t>https://drive.google.com/file/d/1aoyp8WERXAVTo4RF5D1XcE1U5DAu37Ro/view?usp=sharing</t>
  </si>
  <si>
    <t>https://drive.google.com/file/d/1hrx0rPD__LGYcJMsSKD_S_LzmpYHJIQ7/view?usp=drive_link</t>
  </si>
  <si>
    <t>2df06ad0</t>
  </si>
  <si>
    <t>Braga vs Feyenoord - UEFA Europa League</t>
  </si>
  <si>
    <t>https://www.vidio.com/live/19599-uefa-europa-league?schedule_id=4590796</t>
  </si>
  <si>
    <t>https://drive.google.com/drive/folders/1AsqebdXWHiWlwen7Zb1TXB788ytFey4Q?usp=drive_link</t>
  </si>
  <si>
    <t>sporting braga; feyenoord rotterdam; sports stream</t>
  </si>
  <si>
    <t>Nonton streaming pertandingan seru Braga vs Feyenoord - UEFA Europa League. Saksikan aksi-aksi terbaik dari tim yang bersaing ketat untuk meraih kemenangan. Dapatkan informasi lengkap mengenai jadwal pertandingan dan hasil pertandingan terbaru hanya di Vidio.</t>
  </si>
  <si>
    <t>https://drive.google.com/file/d/1qXQ-0MteDjX1FbQocF6wlY0NsLp7K1I3/view?usp=sharing</t>
  </si>
  <si>
    <t>https://drive.google.com/file/d/1t-pgcz9TDDalVBwd3J4QdQOl2p6CKk6B/view?usp=drive_link</t>
  </si>
  <si>
    <t>7a37c81b</t>
  </si>
  <si>
    <t>Real Betis vs Nottingham Forest - UEFA Europa League</t>
  </si>
  <si>
    <t>https://www.vidio.com/live/6299-bein-1?schedule_id=4591201</t>
  </si>
  <si>
    <t>https://drive.google.com/drive/folders/1SoKs279Rr3Qs_rQHjvkGxuWrEqobwSd7?usp=drive_link</t>
  </si>
  <si>
    <t>Real Betis Balompié; nottingham forest fc; sports stream</t>
  </si>
  <si>
    <t>Nonton streaming pertandingan seru Real Betis vs Nottingham Forest - UEFA Europa League. Saksikan aksi-aksi terbaik dari tim yang bersaing ketat untuk meraih kemenangan. Dapatkan informasi lengkap mengenai jadwal pertandingan dan hasil pertandingan terbaru hanya di Vidio.</t>
  </si>
  <si>
    <t>https://drive.google.com/file/d/1uvN_bITwPG7hlPb5eRXwAJcK2oJlehvt/view?usp=sharing</t>
  </si>
  <si>
    <t>https://drive.google.com/file/d/1iHe1cSaVGcZpKqXRg0WsYs-3rX6ZbU9M/view?usp=drive_link</t>
  </si>
  <si>
    <t>https://drive.google.com/file/d/1wOjaSq3iRH190NiUoWIz-Jphpw_FfM2n/view?usp=sharing</t>
  </si>
  <si>
    <t>18dd4c38</t>
  </si>
  <si>
    <t>SC Freiburg vs Basel - UEFA Europa League</t>
  </si>
  <si>
    <t>https://www.vidio.com/live/17875-bein-2?schedule_id=4591203</t>
  </si>
  <si>
    <t>https://drive.google.com/drive/folders/1fNzMPGB7eRXrcTZ68eJ3s5lctySZJ7cG?usp=drive_link</t>
  </si>
  <si>
    <t>SC Freiburg</t>
  </si>
  <si>
    <t>FC Basel</t>
  </si>
  <si>
    <t>sc freiburg; fc basel; sports stream</t>
  </si>
  <si>
    <t>Nonton streaming pertandingan seru SC Freiburg vs Basel - UEFA Europa League. Saksikan aksi-aksi terbaik dari tim yang bersaing ketat untuk meraih kemenangan. Dapatkan informasi lengkap mengenai jadwal pertandingan dan hasil pertandingan terbaru hanya di Vidio.</t>
  </si>
  <si>
    <t>https://drive.google.com/file/d/1R-048SS_PvsFC1_eukuZqm-Gs2Kd5ZZg/view?usp=sharing</t>
  </si>
  <si>
    <t>https://drive.google.com/file/d/1scJakN_KPvq_lrx5LvlYvG-SugKeHixc/view?usp=drive_link</t>
  </si>
  <si>
    <t>f1c9839a</t>
  </si>
  <si>
    <t>Dinamo Zagreb vs Fenerbahce - UEFA Europa League</t>
  </si>
  <si>
    <t>https://www.vidio.com/live/19601-uefa-europa-league?schedule_id=4591192</t>
  </si>
  <si>
    <t>https://drive.google.com/drive/folders/1cMFp9EdD-L-mp32_72kzHMjskr585Ie_?usp=drive_link</t>
  </si>
  <si>
    <t>GNK Dinamo Zagreb</t>
  </si>
  <si>
    <t>gnk dinamo zagreb; fenerbahce; sports stream</t>
  </si>
  <si>
    <t>Nonton streaming pertandingan seru Dinamo Zagreb vs Fenerbahce - UEFA Europa League. Saksikan aksi-aksi terbaik dari tim yang bersaing ketat untuk meraih kemenangan. Dapatkan informasi lengkap mengenai jadwal pertandingan dan hasil pertandingan terbaru hanya di Vidio.</t>
  </si>
  <si>
    <t>https://drive.google.com/file/d/1pKkVTteb20TDT7383g_DADlsJg5wKE-V/view?usp=sharing</t>
  </si>
  <si>
    <t>https://drive.google.com/file/d/1fKsOyNrtCe-AJj4L7Jeryda8wRxnK1RP/view?usp=drive_link</t>
  </si>
  <si>
    <t>70d57a16</t>
  </si>
  <si>
    <t>Crvena Zvezda vs Celtic - UEFA Europa League</t>
  </si>
  <si>
    <t>https://www.vidio.com/live/19600-uefa-europa-league?schedule_id=4590798</t>
  </si>
  <si>
    <t>https://drive.google.com/drive/folders/1E42hHs8pkrct5F83o3YOOHJkelVviP-L?usp=drive_link</t>
  </si>
  <si>
    <t>fk crvena zvezda beograd; celtic fc; sports stream</t>
  </si>
  <si>
    <t>Nonton streaming pertandingan seru Crvena Zvezda vs Celtic - UEFA Europa League. Saksikan aksi-aksi terbaik dari tim yang bersaing ketat untuk meraih kemenangan. Dapatkan informasi lengkap mengenai jadwal pertandingan dan hasil pertandingan terbaru hanya di Vidio.</t>
  </si>
  <si>
    <t>https://drive.google.com/file/d/1x4ElFXjmWwf1IXzLzFV_2ma-lc_sAzwT/view?usp=sharing</t>
  </si>
  <si>
    <t>https://drive.google.com/file/d/1czBiUR_LD42Y0BanUgxTMuXfaCGWFwFT/view?usp=drive_link</t>
  </si>
  <si>
    <t>5caa7348</t>
  </si>
  <si>
    <t>Nice vs Roma - UEFA Europa League</t>
  </si>
  <si>
    <t>https://www.vidio.com/live/19603-uefa-europa-league?schedule_id=4591200</t>
  </si>
  <si>
    <t>https://drive.google.com/drive/folders/1JZ9Ndpn5EquIUv8qM_lx_mY9MfWSwFE7?usp=drive_link</t>
  </si>
  <si>
    <t>OGC Nice Côte d'Azur; as roma; sports stream</t>
  </si>
  <si>
    <t>Nonton streaming pertandingan seru Nice vs Roma - UEFA Europa League. Saksikan aksi-aksi terbaik dari tim yang bersaing ketat untuk meraih kemenangan. Dapatkan informasi lengkap mengenai jadwal pertandingan dan hasil pertandingan terbaru hanya di Vidio.</t>
  </si>
  <si>
    <t>https://drive.google.com/file/d/1Zl_qk9LdodXgb686bk-nTATiBq1m2KST/view?usp=sharing</t>
  </si>
  <si>
    <t>https://drive.google.com/file/d/1BaRQ1WnpJAiYWWi2kn2lF7rbWLLgUTNv/view?usp=drive_link</t>
  </si>
  <si>
    <t>https://drive.google.com/file/d/1GULJXIOvJU3f6kd1ND1DxLRENyXGK_ey/view?usp=sharing</t>
  </si>
  <si>
    <t>c99cfb43</t>
  </si>
  <si>
    <t>Go Ahead Eagles vs FCSB - UEFA Europa League</t>
  </si>
  <si>
    <t>https://www.vidio.com/live/6317-bein-3?schedule_id=4591205</t>
  </si>
  <si>
    <t>https://drive.google.com/drive/folders/1v20ucpFD2fsGEb602719m-sa0FhGai-1?usp=drive_link</t>
  </si>
  <si>
    <t>FCSB</t>
  </si>
  <si>
    <t>go ahead eagles; fcsb; sports stream</t>
  </si>
  <si>
    <t>Nonton streaming pertandingan seru Go Ahead Eagles vs FCSB - UEFA Europa League. Saksikan aksi-aksi terbaik dari tim yang bersaing ketat untuk meraih kemenangan. Dapatkan informasi lengkap mengenai jadwal pertandingan dan hasil pertandingan terbaru hanya di Vidio.</t>
  </si>
  <si>
    <t>[GABUNGAN] Indonesian Matches: Performance + SEO + CRM + Socmed</t>
  </si>
  <si>
    <t>https://drive.google.com/file/d/1NnCEPbw2onp1MKqij4UNPoq0IS59k6qE/view?usp=sharing</t>
  </si>
  <si>
    <t>https://drive.google.com/file/d/1wPq63KKKkq6Vwp50-PR-U5oEJL6RNzHf/view?usp=sharing</t>
  </si>
  <si>
    <t>https://drive.google.com/file/d/1i_rcDU5XpYwy9rq-xXB5txguoYjtViVn/view?usp=sharing</t>
  </si>
  <si>
    <t>146d45c6</t>
  </si>
  <si>
    <t>LOSC vs Brann - UEFA Europa League</t>
  </si>
  <si>
    <t>https://www.vidio.com/live/6299-bein-1?schedule_id=4592603</t>
  </si>
  <si>
    <t>https://drive.google.com/drive/folders/1G8ySxQ_Zq4cjpkJOl9nnu-ZBR2UR7ZEM?usp=drive_link</t>
  </si>
  <si>
    <t>Lille OSC Métropole</t>
  </si>
  <si>
    <t>Lille OSC Métropole; SK Brann; sports stream</t>
  </si>
  <si>
    <t>Nonton streaming pertandingan seru LOSC vs Brann - UEFA Europa League. Saksikan aksi-aksi terbaik dari tim yang bersaing ketat untuk meraih kemenangan. Dapatkan informasi lengkap mengenai jadwal pertandingan dan hasil pertandingan terbaru hanya di Vidio.</t>
  </si>
  <si>
    <t>[GABUNGAN] Indonesian Matches: NTC + Performance + SEO + CRM + Socmed</t>
  </si>
  <si>
    <t>https://drive.google.com/file/d/1L4gKsJnNWTkX6fyn9ERnbCIlf6IW8-KL/view?usp=sharing</t>
  </si>
  <si>
    <t>https://drive.google.com/file/d/1MZt8ZIU2q_ZOhdSMm284VaRgvZjo1uc3/view?usp=drive_link</t>
  </si>
  <si>
    <t>https://drive.google.com/file/d/1wMeOI37hoBMjlXBimSqXWPsmHoK6ZORk/view?usp=sharing</t>
  </si>
  <si>
    <t>aae16150</t>
  </si>
  <si>
    <t>Ferencvaros vs Viktoria Plzen - UEFA Europa League</t>
  </si>
  <si>
    <t>https://www.vidio.com/live/19602-uefa-europa-league?schedule_id=4596298</t>
  </si>
  <si>
    <t>https://drive.google.com/drive/folders/1YwCs2VF7_cwIoUfNnRQhkqsttHYfXf4Z?usp=drive_link</t>
  </si>
  <si>
    <t>ferencvárosi tc; fc viktoria plzeň; sports stream</t>
  </si>
  <si>
    <t>Nonton streaming pertandingan seru Ferencvaros vs Viktoria Plzen - UEFA Europa League. Saksikan aksi-aksi terbaik dari tim yang bersaing ketat untuk meraih kemenangan. Dapatkan informasi lengkap mengenai jadwal pertandingan dan hasil pertandingan terbaru hanya di Vidio.</t>
  </si>
  <si>
    <t>https://drive.google.com/file/d/181VAkxBLCImzUq1FNDtxJMy9fjwOop62/view?usp=sharing</t>
  </si>
  <si>
    <t>https://drive.google.com/file/d/1q8L5OWMmKAnOB32a_3cSBaYMeKgpMnul/view?usp=drive_link</t>
  </si>
  <si>
    <t>976c89a4</t>
  </si>
  <si>
    <t>RB Salzburg vs Porto - UEFA Europa League</t>
  </si>
  <si>
    <t>https://www.vidio.com/live/19603-uefa-europa-league?schedule_id=4596296</t>
  </si>
  <si>
    <t>https://drive.google.com/drive/folders/1Ksp94yg6VhabtSX7ukzEZ8vav7MebcsU?usp=drive_link</t>
  </si>
  <si>
    <t>fc salzburg; fc porto; sports stream</t>
  </si>
  <si>
    <t>Nonton streaming pertandingan seru RB Salzburg vs Porto - UEFA Europa League. Saksikan aksi-aksi terbaik dari tim yang bersaing ketat untuk meraih kemenangan. Dapatkan informasi lengkap mengenai jadwal pertandingan dan hasil pertandingan terbaru hanya di Vidio.</t>
  </si>
  <si>
    <t>A4 , B2 , B4</t>
  </si>
  <si>
    <t>https://drive.google.com/file/d/1R-DfGugGuUe3N34r8RdjIqEnsEvfw55o/view?usp=sharing</t>
  </si>
  <si>
    <t>https://drive.google.com/file/d/1SMmvLCmgEIIRd2mwcnR2gzU-eCGMQlz9/view?usp=drive_link</t>
  </si>
  <si>
    <t>https://drive.google.com/file/d/1y0uxRaeGqqhAudbmJUZ46Mtljx7ixFbw/view?usp=sharing</t>
  </si>
  <si>
    <t>2e2b9106</t>
  </si>
  <si>
    <t>VfB Stuttgart vs Celta Vigo - UEFA Europa League</t>
  </si>
  <si>
    <t>https://www.vidio.com/live/17875-bein-2?schedule_id=4595218</t>
  </si>
  <si>
    <t>https://drive.google.com/drive/folders/1Pa0qfataln1fT9yxKWP8qXxkoy19fvHy?usp=drive_link</t>
  </si>
  <si>
    <t>VfB Stuttgart</t>
  </si>
  <si>
    <t>vfb stuttgart; real club celta de vigo; sports stream</t>
  </si>
  <si>
    <t>Nonton streaming pertandingan seru VfB Stuttgart vs Celta Vigo - UEFA Europa League. Saksikan aksi-aksi terbaik dari tim yang bersaing ketat untuk meraih kemenangan. Dapatkan informasi lengkap mengenai jadwal pertandingan dan hasil pertandingan terbaru hanya di Vidio.</t>
  </si>
  <si>
    <t>https://drive.google.com/file/d/1_M5h8yWGVChS4Z7UHFMfLY9DGr4yVsB8/view?usp=sharing</t>
  </si>
  <si>
    <t>https://drive.google.com/file/d/1B65N3urjuhKWqkpfMMIM6OnEv1h4ko0N/view?usp=sharing</t>
  </si>
  <si>
    <t>be67d086</t>
  </si>
  <si>
    <t>Utrecht vs Lyon - UEFA Europa League</t>
  </si>
  <si>
    <t>https://www.vidio.com/live/19600-uefa-europa-league?schedule_id=4596302</t>
  </si>
  <si>
    <t>https://drive.google.com/drive/folders/19MjPnY45nunnDg-WG9VN6U3Z67v7Jq_w?usp=drive_link</t>
  </si>
  <si>
    <t>Olympique Lyonnais</t>
  </si>
  <si>
    <t>fc utrecht; olympique lyonnais; sports stream</t>
  </si>
  <si>
    <t>Nonton streaming pertandingan seru Utrecht vs Lyon - UEFA Europa League. Saksikan aksi-aksi terbaik dari tim yang bersaing ketat untuk meraih kemenangan. Dapatkan informasi lengkap mengenai jadwal pertandingan dan hasil pertandingan terbaru hanya di Vidio.</t>
  </si>
  <si>
    <t>https://drive.google.com/file/d/1SOnHPrd25Ns-PCi2dMm20P8sIdmlsN-A/view?usp=sharing</t>
  </si>
  <si>
    <t>https://drive.google.com/file/d/1oDHRgD5-0iiNpjQ1CfbQc_29gtEZI6tp/view?usp=drive_link</t>
  </si>
  <si>
    <t>https://drive.google.com/file/d/1PQVRFVHEtB-c1XLZdCp2FFwgXJUZUelb/view?usp=sharing</t>
  </si>
  <si>
    <t>47d51f88</t>
  </si>
  <si>
    <t>Rangers vs Genk - UEFA Europa League</t>
  </si>
  <si>
    <t>https://www.vidio.com/live/19601-uefa-europa-league?schedule_id=4596300</t>
  </si>
  <si>
    <t>https://drive.google.com/drive/folders/1-L_c2wKZb0UK1QjNzlHLpxvXKUpF-7lB?usp=drive_link</t>
  </si>
  <si>
    <t>K.R.C. Genk</t>
  </si>
  <si>
    <t>rangers fc; KRC Genk; sports stream</t>
  </si>
  <si>
    <t>Nonton streaming pertandingan seru Rangers vs Genk - UEFA Europa League. Saksikan aksi-aksi terbaik dari tim yang bersaing ketat untuk meraih kemenangan. Dapatkan informasi lengkap mengenai jadwal pertandingan dan hasil pertandingan terbaru hanya di Vidio.</t>
  </si>
  <si>
    <t>https://drive.google.com/file/d/12yPQ20DVUuQeVrc6PBFcUnmV_nFcJExq/view?usp=sharing</t>
  </si>
  <si>
    <t>https://drive.google.com/file/d/1oQOyRAFwx0eAAHrLkJUYIVQW-SyfUi_h/view?usp=drive_link</t>
  </si>
  <si>
    <t>cd7f6ba8</t>
  </si>
  <si>
    <t>Aston Villa vs Bologna - UEFA Europa League</t>
  </si>
  <si>
    <t>https://www.vidio.com/live/6299-bein-1?schedule_id=4595190</t>
  </si>
  <si>
    <t>https://drive.google.com/drive/folders/1Q2rhLY694tpbPmegsqz9YDEDoLAENhXR?usp=drive_link</t>
  </si>
  <si>
    <t>aston villa fc; bologna fc 1909; sports stream</t>
  </si>
  <si>
    <t>Nonton streaming pertandingan seru Aston Villa vs Bologna - UEFA Europa League. Saksikan aksi-aksi terbaik dari tim yang bersaing ketat untuk meraih kemenangan. Dapatkan informasi lengkap mengenai jadwal pertandingan dan hasil pertandingan terbaru hanya di Vidio.</t>
  </si>
  <si>
    <t>https://drive.google.com/file/d/1gfhbs11PXP8aYP1PRaTdRpK3J2FZgHe7/view?usp=sharing</t>
  </si>
  <si>
    <t>https://drive.google.com/file/d/1wxwlC7tKSwFqVp9SfRb74tyXJV9Xu5Bk/view?usp=drive_link</t>
  </si>
  <si>
    <t>https://drive.google.com/file/d/1_HpID0AP9JlZb3_fEtc9KD6Yd1C190wg/view?usp=sharing</t>
  </si>
  <si>
    <t>f2fb6f4f</t>
  </si>
  <si>
    <t>Young Boys vs Panathinaikos - UEFA Europa League</t>
  </si>
  <si>
    <t>https://www.vidio.com/live/19599-uefa-europa-league?schedule_id=4596304</t>
  </si>
  <si>
    <t>https://drive.google.com/drive/folders/1E4roLv8fwHjWcVblYrYghoLB_8x-dvtL?usp=drive_link</t>
  </si>
  <si>
    <t>BSC Young Boys</t>
  </si>
  <si>
    <t>Panathinaikos FC</t>
  </si>
  <si>
    <t>young boys; panathinaikos fc; sports stream</t>
  </si>
  <si>
    <t>Nonton streaming pertandingan seru Young Boys vs Panathinaikos - UEFA Europa League. Saksikan aksi-aksi terbaik dari tim yang bersaing ketat untuk meraih kemenangan. Dapatkan informasi lengkap mengenai jadwal pertandingan dan hasil pertandingan terbaru hanya di Vidio.</t>
  </si>
  <si>
    <t>https://drive.google.com/file/d/1zhdazW93KuvwHP0iK2g3xYkCpWNx-ooB/view?usp=sharing</t>
  </si>
  <si>
    <t>https://drive.google.com/file/d/1D0g3vmZeHQUyKmc_Jd6FDMzzKsBl_DJ1/view?usp=drive_link</t>
  </si>
  <si>
    <t>88ae2615</t>
  </si>
  <si>
    <t>Panathinaikos vs Go Ahead Eagles - UEFA Europa League</t>
  </si>
  <si>
    <t>https://www.vidio.com/live/19630-uefa-europa-league?schedule_id=4610734</t>
  </si>
  <si>
    <t>https://drive.google.com/drive/folders/1VwBLpvcKE_lCwXQhkF5JknkbYzK-2y2_?usp=drive_link</t>
  </si>
  <si>
    <t>panathinaikos fc; go ahead eagles; sports stream</t>
  </si>
  <si>
    <t>Nonton streaming pertandingan seru Panathinaikos vs Go Ahead Eagles - UEFA Europa League. Saksikan aksi-aksi terbaik dari tim yang bersaing ketat untuk meraih kemenangan. Dapatkan informasi lengkap mengenai jadwal pertandingan dan hasil pertandingan terbaru hanya di Vidio.</t>
  </si>
  <si>
    <t>https://drive.google.com/file/d/1GYtWiGRrgusqkOpTp_4mxdje-5CwNYnB/view?usp=sharing</t>
  </si>
  <si>
    <t>https://drive.google.com/file/d/1ZgRHMaZEj6TN3F193ZNKkWa6zgPikZjy/view?usp=sharing</t>
  </si>
  <si>
    <t>7be3d38e</t>
  </si>
  <si>
    <t>Roma vs LOSC - UEFA Europa League</t>
  </si>
  <si>
    <t>https://www.vidio.com/live/19603-uefa-europa-league?schedule_id=4610724</t>
  </si>
  <si>
    <t>https://drive.google.com/drive/folders/1yj4GZu-wLI9ToY4Md5LeicvrTjTe5u4S?usp=drive_link</t>
  </si>
  <si>
    <t>as roma; Lille OSC Métropole; sports stream</t>
  </si>
  <si>
    <t>Nonton streaming pertandingan seru Roma vs LOSC - UEFA Europa League. Saksikan aksi-aksi terbaik dari tim yang bersaing ketat untuk meraih kemenangan. Dapatkan informasi lengkap mengenai jadwal pertandingan dan hasil pertandingan terbaru hanya di Vidio.</t>
  </si>
  <si>
    <t>A1 , F3</t>
  </si>
  <si>
    <t>https://drive.google.com/file/d/18dbZUhMzjWSxwhilV7SBO50Wmh7K2GuX/view?usp=sharing</t>
  </si>
  <si>
    <t>https://drive.google.com/file/d/1qAapOxrTcLif4-oln0diBwmfaevUW54r/view?usp=sharing</t>
  </si>
  <si>
    <t>29b1f061</t>
  </si>
  <si>
    <t>FCSB vs Young Boys - UEFA Europa League</t>
  </si>
  <si>
    <t>https://www.vidio.com/live/19629-uefa-europa-league?schedule_id=4610732</t>
  </si>
  <si>
    <t>https://drive.google.com/drive/folders/1T_hSHTD_-KFACvzaLRkC99zsQTXxXMzF?usp=drive_link</t>
  </si>
  <si>
    <t>fcsb; young boys; sports stream</t>
  </si>
  <si>
    <t>Nonton streaming pertandingan seru FCSB vs Young Boys - UEFA Europa League. Saksikan aksi-aksi terbaik dari tim yang bersaing ketat untuk meraih kemenangan. Dapatkan informasi lengkap mengenai jadwal pertandingan dan hasil pertandingan terbaru hanya di Vidio.</t>
  </si>
  <si>
    <t>https://drive.google.com/file/d/1-xHljgsdY6zlBknuyPh1QaMrC0H9fUj4/view?usp=sharing</t>
  </si>
  <si>
    <t>058b54b0</t>
  </si>
  <si>
    <t>Ludogorets vs Real Betis - UEFA Europa League</t>
  </si>
  <si>
    <t>https://www.vidio.com/live/19600-uefa-europa-league?schedule_id=4610730</t>
  </si>
  <si>
    <t>https://drive.google.com/drive/folders/110pochU2vjRu0inywDWO9HBdrAIQf4ao?usp=drive_link</t>
  </si>
  <si>
    <t>pfc ludogorets 1945 razgrad; Real Betis Balompié; sports stream</t>
  </si>
  <si>
    <t>Nonton streaming pertandingan seru Ludogorets vs Real Betis - UEFA Europa League. Saksikan aksi-aksi terbaik dari tim yang bersaing ketat untuk meraih kemenangan. Dapatkan informasi lengkap mengenai jadwal pertandingan dan hasil pertandingan terbaru hanya di Vidio.</t>
  </si>
  <si>
    <t>https://drive.google.com/file/d/13l57W2XRo6bbqWYpsgjyJ1I6oe8VGrZZ/view?usp=sharing</t>
  </si>
  <si>
    <t>https://drive.google.com/file/d/1Re3BeKv7XrzXUIAUNWU6W6VFyR3qgwFg/view?usp=sharing</t>
  </si>
  <si>
    <t>93b8d04d</t>
  </si>
  <si>
    <t>Viktoria Plzen vs Malmo - UEFA Europa League</t>
  </si>
  <si>
    <t>https://www.vidio.com/live/19631-uefa-europa-league?schedule_id=4610736</t>
  </si>
  <si>
    <t>https://drive.google.com/drive/folders/1GnDR6e7P4hq6aU8Ha9Ky6rzpTyDOuO40?usp=drive_link</t>
  </si>
  <si>
    <t>fc viktoria plzeň; malmo ff; sports stream</t>
  </si>
  <si>
    <t>Nonton streaming pertandingan seru Viktoria Plzen vs Malmo - UEFA Europa League. Saksikan aksi-aksi terbaik dari tim yang bersaing ketat untuk meraih kemenangan. Dapatkan informasi lengkap mengenai jadwal pertandingan dan hasil pertandingan terbaru hanya di Vidio.</t>
  </si>
  <si>
    <t>https://drive.google.com/file/d/1GioVYUbDraeE4FmfsiXgN0KwxtHvVN9V/view?usp=sharing</t>
  </si>
  <si>
    <t>c62f871b</t>
  </si>
  <si>
    <t>Fenerbahce vs Nice - UEFA Europa League</t>
  </si>
  <si>
    <t>https://www.vidio.com/live/19599-uefa-europa-league?schedule_id=4610728</t>
  </si>
  <si>
    <t>https://drive.google.com/drive/folders/1Pp9o6rKbO8i2pE96G69ohfDJtBgQ5Ci6?usp=drive_link</t>
  </si>
  <si>
    <t>fenerbahce; OGC Nice Côte d'Azur; sports stream</t>
  </si>
  <si>
    <t>Nonton streaming pertandingan seru Fenerbahce vs Nice - UEFA Europa League. Saksikan aksi-aksi terbaik dari tim yang bersaing ketat untuk meraih kemenangan. Dapatkan informasi lengkap mengenai jadwal pertandingan dan hasil pertandingan terbaru hanya di Vidio.</t>
  </si>
  <si>
    <t>https://drive.google.com/file/d/1hNt7HWeU0FouzxiXsEVCCGXs6B2UL8wL/view?usp=sharing</t>
  </si>
  <si>
    <t>https://drive.google.com/file/d/1_g-84cu3_7uLNzhfVvsiXnEj-Id6DsDm/view?usp=sharing</t>
  </si>
  <si>
    <t>3f640264</t>
  </si>
  <si>
    <t>Bologna vs SC Freiburg - UEFA Europa League</t>
  </si>
  <si>
    <t>https://www.vidio.com/live/17875-bein-2?schedule_id=4613309</t>
  </si>
  <si>
    <t>https://drive.google.com/drive/folders/1SXxEFumOiP1aygjIYyoXV_5fmAbZpJ9j?usp=drive_link</t>
  </si>
  <si>
    <t>bologna fc 1909; sc freiburg; sports stream</t>
  </si>
  <si>
    <t>Nonton streaming pertandingan seru Bologna vs SC Freiburg - UEFA Europa League. Saksikan aksi-aksi terbaik dari tim yang bersaing ketat untuk meraih kemenangan. Dapatkan informasi lengkap mengenai jadwal pertandingan dan hasil pertandingan terbaru hanya di Vidio.</t>
  </si>
  <si>
    <t>https://drive.google.com/file/d/1FiDLDs7e9Mrm76GfwDamJ3z9xeQnv6xP/view?usp=sharing</t>
  </si>
  <si>
    <t>c71f347a</t>
  </si>
  <si>
    <t>Brann vs Utrecht - UEFA Europa League</t>
  </si>
  <si>
    <t>https://www.vidio.com/live/19601-uefa-europa-league?schedule_id=4610725</t>
  </si>
  <si>
    <t>https://drive.google.com/drive/folders/1oQECPeOMDNNW8eVS9M1zdKCMY8HRZSJ0?usp=drive_link</t>
  </si>
  <si>
    <t>SK Brann; fc utrecht; sports stream</t>
  </si>
  <si>
    <t>Nonton streaming pertandingan seru Brann vs Utrecht - UEFA Europa League. Saksikan aksi-aksi terbaik dari tim yang bersaing ketat untuk meraih kemenangan. Dapatkan informasi lengkap mengenai jadwal pertandingan dan hasil pertandingan terbaru hanya di Vidio.</t>
  </si>
  <si>
    <t>https://drive.google.com/file/d/1twt4wJ3cuVeOXoUPNCpzn8tFSMYfgdNB/view?usp=sharing</t>
  </si>
  <si>
    <t>https://drive.google.com/file/d/1sDhZ8XmkAilqwo82i-wzsV7A1pAudkpi/view?usp=sharing</t>
  </si>
  <si>
    <t>a4fa01e2</t>
  </si>
  <si>
    <t>Celtic vs Braga - UEFA Europa League</t>
  </si>
  <si>
    <t>https://www.vidio.com/live/19602-uefa-europa-league?schedule_id=4610726</t>
  </si>
  <si>
    <t>https://drive.google.com/drive/folders/1vfcMBwcK4QrBLigrafrrvuCBo9z79PYW?usp=drive_link</t>
  </si>
  <si>
    <t>celtic fc; sporting braga; sports stream</t>
  </si>
  <si>
    <t>Nonton streaming pertandingan seru Celtic vs Braga - UEFA Europa League. Saksikan aksi-aksi terbaik dari tim yang bersaing ketat untuk meraih kemenangan. Dapatkan informasi lengkap mengenai jadwal pertandingan dan hasil pertandingan terbaru hanya di Vidio.</t>
  </si>
  <si>
    <t>https://drive.google.com/file/d/1t9ktBrl3fpr8TtHcDMhLZ6SPDj-33_4K/view?usp=sharing</t>
  </si>
  <si>
    <t>74bae9ef</t>
  </si>
  <si>
    <t>Nottingham Forest vs Midtjylland - UEFA Europa League</t>
  </si>
  <si>
    <t>https://www.vidio.com/live/6317-bein-3?schedule_id=4613311</t>
  </si>
  <si>
    <t>https://drive.google.com/drive/folders/1EsrUkKF4K0r6UIFqIUGdnHi1aC-RnYX7?usp=drive_link</t>
  </si>
  <si>
    <t>https://drive.google.com/drive/folders/1-v2k9mkE5Wr7vtcZPt5z5lBJb1kpLRxM?usp=drive_link</t>
  </si>
  <si>
    <t>nottingham forest fc; fc midtjylland; sports stream</t>
  </si>
  <si>
    <t>Nonton streaming pertandingan seru Nottingham Forest vs Midtjylland - UEFA Europa League. Saksikan aksi-aksi terbaik dari tim yang bersaing ketat untuk meraih kemenangan. Dapatkan informasi lengkap mengenai jadwal pertandingan dan hasil pertandingan terbaru hanya di Vidio.</t>
  </si>
  <si>
    <t>https://drive.google.com/file/d/1XZbHUJ-AjAl2yoqLX6lAbSwZcZcsWda1/view?usp=sharing</t>
  </si>
  <si>
    <t>https://drive.google.com/file/d/1kKWKMXyzU4XU23Cw9CAZWYi-X1Zmfzlc/view?usp=drive_link</t>
  </si>
  <si>
    <t>https://drive.google.com/file/d/1fUl2MTk6-IJ08r32kBe_9BNm3DCC1TZM/view?usp=sharing</t>
  </si>
  <si>
    <t>bcde0c14</t>
  </si>
  <si>
    <t>Lyon vs RB Salzburg - UEFA Europa League</t>
  </si>
  <si>
    <t>https://www.vidio.com/live/19603-uefa-europa-league?schedule_id=4614702</t>
  </si>
  <si>
    <t>https://drive.google.com/drive/folders/1dQEHSmvXCy2M-pC1RCaAtrw6jcETRfDU?usp=drive_link</t>
  </si>
  <si>
    <t>olympique lyonnais; fc salzburg; sports stream</t>
  </si>
  <si>
    <t>Nonton streaming pertandingan seru Lyon vs RB Salzburg - UEFA Europa League. Saksikan aksi-aksi terbaik dari tim yang bersaing ketat untuk meraih kemenangan. Dapatkan informasi lengkap mengenai jadwal pertandingan dan hasil pertandingan terbaru hanya di Vidio.</t>
  </si>
  <si>
    <t>https://drive.google.com/file/d/1U4GjmM90kub3bYsz3cY78wfUml6FH-lX/view?usp=sharing</t>
  </si>
  <si>
    <t>https://drive.google.com/file/d/10_ts8YN0o77R1psIjn-CfNPGADFbEzj0/view?usp=drive_link</t>
  </si>
  <si>
    <t>https://drive.google.com/file/d/1iDOy9PwxzNbdNKv9ildpW8VvV7xOZ036/view?usp=sharing</t>
  </si>
  <si>
    <t>869fc381</t>
  </si>
  <si>
    <t>Genk vs Ferencvaros - UEFA Europa League</t>
  </si>
  <si>
    <t>https://www.vidio.com/live/19602-uefa-europa-league?schedule_id=4614705</t>
  </si>
  <si>
    <t>https://drive.google.com/drive/folders/1PPXkPhSGZLrfMpRGMDTH-do3Sc1ER3Ds?usp=drive_link</t>
  </si>
  <si>
    <t>KRC Genk; ferencvárosi tc; sports stream</t>
  </si>
  <si>
    <t>Nonton streaming pertandingan seru Genk vs Ferencvaros - UEFA Europa League. Saksikan aksi-aksi terbaik dari tim yang bersaing ketat untuk meraih kemenangan. Dapatkan informasi lengkap mengenai jadwal pertandingan dan hasil pertandingan terbaru hanya di Vidio.</t>
  </si>
  <si>
    <t>https://drive.google.com/file/d/1RyNBqD94EwEumCcpDiOfWjulLiYo0-Y3/view?usp=sharing</t>
  </si>
  <si>
    <t>https://drive.google.com/file/d/1JWmh9KlPbv5fpfxQAHoGPVBYaHIBG0-2/view?usp=drive_link</t>
  </si>
  <si>
    <t>fc3eaa0d</t>
  </si>
  <si>
    <t>M. Tel-Aviv vs Dinamo Zagreb - UEFA Europa League</t>
  </si>
  <si>
    <t>https://www.vidio.com/live/19629-uefa-europa-league?schedule_id=4614706</t>
  </si>
  <si>
    <t>https://drive.google.com/drive/folders/1un4EiqS6wgwVrMEmsexLykre_KMqAibN?usp=drive_link</t>
  </si>
  <si>
    <t>maccabi tel-aviv; gnk dinamo zagreb; sports stream</t>
  </si>
  <si>
    <t>Nonton streaming pertandingan seru M. Tel-Aviv vs Dinamo Zagreb - UEFA Europa League. Saksikan aksi-aksi terbaik dari tim yang bersaing ketat untuk meraih kemenangan. Dapatkan informasi lengkap mengenai jadwal pertandingan dan hasil pertandingan terbaru hanya di Vidio.</t>
  </si>
  <si>
    <t>https://drive.google.com/file/d/1ie_8N8wimkuPByDshvpZVq-_v8AMMqjD/view?usp=sharing</t>
  </si>
  <si>
    <t>https://drive.google.com/file/d/1QDpoGe6GZZKpjwp-7UwGSq5vRmRxk4Ax/view?usp=drive_link</t>
  </si>
  <si>
    <t>889b0dd7</t>
  </si>
  <si>
    <t>SK Sturm Graz vs Rangers - UEFA Europa League</t>
  </si>
  <si>
    <t>https://www.vidio.com/live/19600-uefa-europa-league?schedule_id=4614708</t>
  </si>
  <si>
    <t>https://drive.google.com/drive/folders/1K37bcInd4G8iPK4-lUxoMCMBLy1XeYeh?usp=drive_link</t>
  </si>
  <si>
    <t>sk sturm graz; rangers fc; sports stream</t>
  </si>
  <si>
    <t>Nonton streaming pertandingan seru SK Sturm Graz vs Rangers - UEFA Europa League. Saksikan aksi-aksi terbaik dari tim yang bersaing ketat untuk meraih kemenangan. Dapatkan informasi lengkap mengenai jadwal pertandingan dan hasil pertandingan terbaru hanya di Vidio.</t>
  </si>
  <si>
    <t>https://drive.google.com/file/d/13iSRkKAEiL1d3u5Zez4VsHLTbTCFHHO0/view?usp=sharing</t>
  </si>
  <si>
    <t>https://drive.google.com/file/d/1UssFNLm9y1nDzF_SGJuuN4orGAdzDRKK/view?usp=drive_link</t>
  </si>
  <si>
    <t>b64ce6e1</t>
  </si>
  <si>
    <t>Celta Vigo vs PAOK - UEFA Europa League</t>
  </si>
  <si>
    <t>https://www.vidio.com/live/19601-uefa-europa-league?schedule_id=4614704</t>
  </si>
  <si>
    <t>https://drive.google.com/drive/folders/1EEa9Q_4Ubs2GMTbhqnzMVONxyuE6VTvb?usp=drive_link</t>
  </si>
  <si>
    <t>real club celta de vigo; paok; sports stream</t>
  </si>
  <si>
    <t>Nonton streaming pertandingan seru Celta Vigo vs PAOK - UEFA Europa League. Saksikan aksi-aksi terbaik dari tim yang bersaing ketat untuk meraih kemenangan. Dapatkan informasi lengkap mengenai jadwal pertandingan dan hasil pertandingan terbaru hanya di Vidio.</t>
  </si>
  <si>
    <t>https://drive.google.com/file/d/1pLKKGLO_YRLSbbZOuQ9d1ezhawC-1LyB/view?usp=sharing</t>
  </si>
  <si>
    <t>https://drive.google.com/file/d/1BZHTM0LiRTVH-lzdoNop5d4DoQmXka9Y/view?usp=drive_link</t>
  </si>
  <si>
    <t>9f4c2fbd</t>
  </si>
  <si>
    <t>Porto vs Crvena Zvezda - UEFA Europa League</t>
  </si>
  <si>
    <t>https://www.vidio.com/live/19630-uefa-europa-league?schedule_id=4614707</t>
  </si>
  <si>
    <t>https://drive.google.com/drive/folders/1szZTgmqpPzNjOVRzR9XzYGVfLJ9FkE7X?usp=drive_link</t>
  </si>
  <si>
    <t>fc porto; fk crvena zvezda beograd; sports stream</t>
  </si>
  <si>
    <t>Nonton streaming pertandingan seru Porto vs Crvena Zvezda - UEFA Europa League. Saksikan aksi-aksi terbaik dari tim yang bersaing ketat untuk meraih kemenangan. Dapatkan informasi lengkap mengenai jadwal pertandingan dan hasil pertandingan terbaru hanya di Vidio.</t>
  </si>
  <si>
    <t>https://drive.google.com/file/d/1Y9TbNaOmtx2yr-T3lIeI8cPrXaqKHjEo/view?usp=sharing</t>
  </si>
  <si>
    <t>https://drive.google.com/file/d/1OxR1Y4jAcBf6BJN80sTR1vf5nYnHO-xE/view?usp=drive_link</t>
  </si>
  <si>
    <t>38582d6b</t>
  </si>
  <si>
    <t>Feyenoord vs Aston Villa - UEFA Europa League</t>
  </si>
  <si>
    <t>https://www.vidio.com/live/6299-bein-1?schedule_id=4613305</t>
  </si>
  <si>
    <t>https://drive.google.com/drive/folders/1-WpySRsHniiRfG-sqP5sUW7axz1ecr9h?usp=drive_link</t>
  </si>
  <si>
    <t>feyenoord rotterdam; aston villa fc; sports stream</t>
  </si>
  <si>
    <t>Nonton streaming pertandingan seru Feyenoord vs Aston Villa - UEFA Europa League. Saksikan aksi-aksi terbaik dari tim yang bersaing ketat untuk meraih kemenangan. Dapatkan informasi lengkap mengenai jadwal pertandingan dan hasil pertandingan terbaru hanya di Vidio.</t>
  </si>
  <si>
    <t>https://drive.google.com/file/d/1Vwhcmg86PekAemUsi7wQj31to_VkNVzp/view?usp=sharing</t>
  </si>
  <si>
    <t>https://drive.google.com/file/d/1AzV-VV1FvAHrGzCooS_dxfU8DryoPUpp/view?usp=sharing</t>
  </si>
  <si>
    <t>https://drive.google.com/file/d/1uIeTVD9YwI4QBRR0DD6T6OJe6KZMp_tP/view?usp=sharing</t>
  </si>
  <si>
    <t>1b1114bb</t>
  </si>
  <si>
    <t>Basel vs VfB Stuttgart - UEFA Europa League</t>
  </si>
  <si>
    <t>https://www.vidio.com/live/19631-uefa-europa-league?schedule_id=4614703</t>
  </si>
  <si>
    <t>https://drive.google.com/drive/folders/1quDMF2O_CTp8fEbSvsmiaSbYNG8qTox_?usp=drive_link</t>
  </si>
  <si>
    <t>fc basel; vfb stuttgart; sports stream</t>
  </si>
  <si>
    <t>Nonton streaming pertandingan seru Basel vs VfB Stuttgart - UEFA Europa League. Saksikan aksi-aksi terbaik dari tim yang bersaing ketat untuk meraih kemenangan. Dapatkan informasi lengkap mengenai jadwal pertandingan dan hasil pertandingan terbaru hanya di Vidio.</t>
  </si>
  <si>
    <t>https://drive.google.com/file/d/1lVWd5rtEZ6pLFEwBSMxsuJ92hx7G5meV/view?usp=sharing</t>
  </si>
  <si>
    <t>https://drive.google.com/file/d/1YfNNovhQ4oc6Fo3o1ro6KfqHC4eLZMvF/view?usp=drive_link</t>
  </si>
  <si>
    <t>c81fd44a</t>
  </si>
  <si>
    <t>RB Salzburg vs Ferencvaros - UEFA Europa League</t>
  </si>
  <si>
    <t>https://www.vidio.com/live/19630-uefa-europa-league?schedule_id=4664110</t>
  </si>
  <si>
    <t>https://drive.google.com/drive/folders/1mOaAQO3hO1Y3owErUAXsrmLSh8GszRTW?usp=drive_link</t>
  </si>
  <si>
    <t>https://drive.google.com/drive/folders/1Xlp5aunryVlWR8atbAp6mL9dfJO63aR4?usp=drive_link</t>
  </si>
  <si>
    <t>fc salzburg; ferencvárosi tc; sports stream</t>
  </si>
  <si>
    <t>Nonton streaming pertandingan seru RB Salzburg vs Ferencvaros - UEFA Europa League. Saksikan aksi-aksi terbaik dari tim yang bersaing ketat untuk meraih kemenangan. Dapatkan informasi lengkap mengenai jadwal pertandingan dan hasil pertandingan terbaru hanya di Vidio.</t>
  </si>
  <si>
    <t>https://drive.google.com/file/d/12vV0_jp2K0Bl2QRDL897rhD2Xr81z7pL/view?usp=sharing</t>
  </si>
  <si>
    <t>https://drive.google.com/file/d/1MtDT9Keqtz_2NSfiG8wYK4N-hK_eoHd0/view?usp=drive_link</t>
  </si>
  <si>
    <t>f7dcd9b3</t>
  </si>
  <si>
    <t>Braga vs Crvena Zvezda - UEFA Europa League</t>
  </si>
  <si>
    <t>https://www.vidio.com/live/19599-uefa-europa-league?schedule_id=4664049</t>
  </si>
  <si>
    <t>https://drive.google.com/drive/folders/1rG5nyXhTjXwXw5wVP3wznqAEIxWLwGfS</t>
  </si>
  <si>
    <t>sporting braga; fk crvena zvezda beograd; sports stream</t>
  </si>
  <si>
    <t>Nonton streaming pertandingan seru Braga vs Crvena Zvezda - UEFA Europa League. Saksikan aksi-aksi terbaik dari tim yang bersaing ketat untuk meraih kemenangan. Dapatkan informasi lengkap mengenai jadwal pertandingan dan hasil pertandingan terbaru hanya di Vidio.</t>
  </si>
  <si>
    <t>https://drive.google.com/file/d/143rieyIo-ZjpeBUYOc__bTceTnd5FBHy/view?usp=sharing</t>
  </si>
  <si>
    <t>9db35d1f</t>
  </si>
  <si>
    <t>Fenerbahce vs VfB Stuttgart - UEFA Europa League</t>
  </si>
  <si>
    <t>https://www.vidio.com/live/6317-bein-3?schedule_id=4664042</t>
  </si>
  <si>
    <t>https://drive.google.com/drive/folders/1Wvrh1l-jZd6PEXq_0WO5KKFpdFQFZjR6?usp=drive_link</t>
  </si>
  <si>
    <t>fenerbahce; vfb stuttgart; sports stream</t>
  </si>
  <si>
    <t>Nonton streaming pertandingan seru Fenerbahce vs VfB Stuttgart - UEFA Europa League. Saksikan aksi-aksi terbaik dari tim yang bersaing ketat untuk meraih kemenangan. Dapatkan informasi lengkap mengenai jadwal pertandingan dan hasil pertandingan terbaru hanya di Vidio.</t>
  </si>
  <si>
    <t>https://drive.google.com/file/d/1mki3FoInQCq-mOjC-mTAos-ZLCJSiovY/view?usp=sharing</t>
  </si>
  <si>
    <t>https://drive.google.com/file/d/1TKUu_SV3m7GHJbbcn5zBr-1PhIL7m0QL/view?usp=sharing</t>
  </si>
  <si>
    <t>https://drive.google.com/file/d/1m7gSEGQL8btBtkxgLA42N8M2j4QvAYaf/view?usp=sharing</t>
  </si>
  <si>
    <t>8e0d38bc</t>
  </si>
  <si>
    <t>Feyenoord vs Panathinaikos - UEFA Europa League</t>
  </si>
  <si>
    <t>https://www.vidio.com/live/19739?schedule_id=4668366</t>
  </si>
  <si>
    <t>https://drive.google.com/drive/folders/1MMCjZuPN7KFK1jKVM0xuEzd4R4H2D8G1?usp=drive_link</t>
  </si>
  <si>
    <t>feyenoord rotterdam; panathinaikos fc; sports stream</t>
  </si>
  <si>
    <t>Nonton streaming pertandingan seru Feyenoord vs Panathinaikos - UEFA Europa League. Saksikan aksi-aksi terbaik dari tim yang bersaing ketat untuk meraih kemenangan. Dapatkan informasi lengkap mengenai jadwal pertandingan dan hasil pertandingan terbaru hanya di Vidio.</t>
  </si>
  <si>
    <t>https://drive.google.com/file/d/1IUB3mNkkJpP2YomZOijdtFkZPghGnWXc/view?usp=sharing</t>
  </si>
  <si>
    <t>https://drive.google.com/file/d/1zTPDoKDuIASO5QWofNQZ2ilh83ctlPjC/view?usp=sharing</t>
  </si>
  <si>
    <t>c34c5eeb</t>
  </si>
  <si>
    <t>Brann vs Rangers - UEFA Europa League</t>
  </si>
  <si>
    <t>https://www.vidio.com/live/19600-uefa-europa-league?schedule_id=4664051</t>
  </si>
  <si>
    <t>https://drive.google.com/drive/folders/1zGzW7mypDiA6SJuxdlGaBqHXHqKiPHyP?usp=drive_link</t>
  </si>
  <si>
    <t>SK Brann; rangers fc; sports stream</t>
  </si>
  <si>
    <t>Nonton streaming pertandingan seru Brann vs Rangers - UEFA Europa League. Saksikan aksi-aksi terbaik dari tim yang bersaing ketat untuk meraih kemenangan. Dapatkan informasi lengkap mengenai jadwal pertandingan dan hasil pertandingan terbaru hanya di Vidio.</t>
  </si>
  <si>
    <t>https://drive.google.com/file/d/1-bq6XHJFiuDKKNDZoVqaOklhGBydQbDq/view?usp=sharing</t>
  </si>
  <si>
    <t>https://drive.google.com/file/d/1xzwYrU5hiNqOtGYthwOMI_-loLNR-3Xn/view?usp=sharing</t>
  </si>
  <si>
    <t>ca621cea</t>
  </si>
  <si>
    <t>Go Ahead Eagles vs Aston Villa - UEFA Europa League</t>
  </si>
  <si>
    <t>https://www.vidio.com/live/6299-bein-1?schedule_id=4664037</t>
  </si>
  <si>
    <t>https://drive.google.com/drive/folders/1mcmCW5ShtuM9VTju1uhoaBvD2gnrCfUV?usp=drive_link</t>
  </si>
  <si>
    <t>go ahead eagles; aston villa fc; sports stream</t>
  </si>
  <si>
    <t>Nonton streaming pertandingan seru Go Ahead Eagles vs Aston Villa - UEFA Europa League. Saksikan aksi-aksi terbaik dari tim yang bersaing ketat untuk meraih kemenangan. Dapatkan informasi lengkap mengenai jadwal pertandingan dan hasil pertandingan terbaru hanya di Vidio.</t>
  </si>
  <si>
    <t>GABUNGAN (Indonesian Matches) Performance + CRM + SEO + Socials</t>
  </si>
  <si>
    <t>https://3.basecamp.com/4902751/buckets/36763424/card_tables/cards/9149096917</t>
  </si>
  <si>
    <t>https://drive.google.com/file/d/1wJ6pvVgcNMH1flKXTuvgB5OXyLUy88WQ/view?usp=sharing</t>
  </si>
  <si>
    <t>https://drive.google.com/file/d/1Kon4nvFEAKqIXfqCWP4w2c5NmQaM61VS/view?usp=sharing</t>
  </si>
  <si>
    <t>https://drive.google.com/file/d/1E-6PIQrkKfcGqHhbznYNtDBr-LlJOZ2v/view?usp=sharing</t>
  </si>
  <si>
    <t>76c39540</t>
  </si>
  <si>
    <t>Genk vs Real Betis - UEFA Europa League</t>
  </si>
  <si>
    <t>https://www.vidio.com/live/19631-uefa-europa-league?schedule_id=4664108</t>
  </si>
  <si>
    <t>https://drive.google.com/drive/folders/17QJUwMPvAF1rDSy5lNAm3XqUlisBSagD?usp=drive_link</t>
  </si>
  <si>
    <t>KRC Genk; Real Betis Balompié; sports stream</t>
  </si>
  <si>
    <t>Nonton streaming pertandingan seru Genk vs Real Betis - UEFA Europa League. Saksikan aksi-aksi terbaik dari tim yang bersaing ketat untuk meraih kemenangan. Dapatkan informasi lengkap mengenai jadwal pertandingan dan hasil pertandingan terbaru hanya di Vidio.</t>
  </si>
  <si>
    <t>https://drive.google.com/file/d/1zEvHtyzbJQhXSp--LzKj7P63DauvTj4K/view?usp=sharing</t>
  </si>
  <si>
    <t>https://drive.google.com/file/d/1rzyhCx0_-eGBBQD69eLWJwLaP8zsx7VE/view?usp=drive_link</t>
  </si>
  <si>
    <t>https://drive.google.com/file/d/12g2vfz6nPXou7G7pSsALyEAsurRRm1_Q/view?usp=sharing</t>
  </si>
  <si>
    <t>f7a14a9e</t>
  </si>
  <si>
    <t>FCSB vs Bologna - UEFA Europa League</t>
  </si>
  <si>
    <t>https://www.vidio.com/live/19601-uefa-europa-league?schedule_id=4664053</t>
  </si>
  <si>
    <t>https://drive.google.com/drive/folders/1xOqI68JYyHOaWtRlAjF6kfRPYo2CWgHf?usp=drive_link</t>
  </si>
  <si>
    <t>fcsb; bologna fc 1909; sports stream</t>
  </si>
  <si>
    <t>Nonton streaming pertandingan seru FCSB vs Bologna - UEFA Europa League. Saksikan aksi-aksi terbaik dari tim yang bersaing ketat untuk meraih kemenangan. Dapatkan informasi lengkap mengenai jadwal pertandingan dan hasil pertandingan terbaru hanya di Vidio.</t>
  </si>
  <si>
    <t>https://drive.google.com/file/d/1RI_lPx-iGfxVi1F3or5nt8zY6uyUlzro/view?usp=sharing</t>
  </si>
  <si>
    <t>https://drive.google.com/file/d/1U28W2tW39VrN4U6O5SwFQWdXZN9TNHMk/view?usp=sharing</t>
  </si>
  <si>
    <t>f8cb67d7</t>
  </si>
  <si>
    <t>Lyon vs Basel - UEFA Europa League</t>
  </si>
  <si>
    <t>https://www.vidio.com/live/19603-uefa-europa-league?schedule_id=4664106</t>
  </si>
  <si>
    <t>https://drive.google.com/drive/folders/1D0dzxM6IILbYXE2KR5vBp91UZFmXdC3i?usp=drive_link</t>
  </si>
  <si>
    <t>olympique lyonnais; fc basel; sports stream</t>
  </si>
  <si>
    <t>Nonton streaming pertandingan seru Lyon vs Basel - UEFA Europa League. Saksikan aksi-aksi terbaik dari tim yang bersaing ketat untuk meraih kemenangan. Dapatkan informasi lengkap mengenai jadwal pertandingan dan hasil pertandingan terbaru hanya di Vidio.</t>
  </si>
  <si>
    <t>https://drive.google.com/file/d/1B8EL8vg9mqJNtrUbu8S20RbUxnGCHSjN/view?usp=sharing</t>
  </si>
  <si>
    <t>https://drive.google.com/file/d/1eckIiKD9gxYH8_5tnUv_1rEoxYsi7YW5/view?usp=sharing</t>
  </si>
  <si>
    <t>4fcd8c20</t>
  </si>
  <si>
    <t>Celta Vigo vs Nice - UEFA Europa League</t>
  </si>
  <si>
    <t>https://www.vidio.com/live/19630-uefa-europa-league?schedule_id=4664111</t>
  </si>
  <si>
    <t>https://drive.google.com/drive/folders/1v3ovVyE-WalYa59ZTkMU0owZ2GEy9xEo?usp=drive_link</t>
  </si>
  <si>
    <t>real club celta de vigo; OGC Nice Côte d'Azur; sports stream</t>
  </si>
  <si>
    <t>Nonton streaming pertandingan seru Celta Vigo vs Nice - UEFA Europa League. Saksikan aksi-aksi terbaik dari tim yang bersaing ketat untuk meraih kemenangan. Dapatkan informasi lengkap mengenai jadwal pertandingan dan hasil pertandingan terbaru hanya di Vidio.</t>
  </si>
  <si>
    <t>https://drive.google.com/file/d/1RJ6TePG7tzbPd1Z1yrUDn_Jg828Vwhyw/view?usp=sharing</t>
  </si>
  <si>
    <t>https://drive.google.com/file/d/1v15LJb0L7pNXq4NzA8ELViPaYYWF8Jh5/view?usp=drive_link</t>
  </si>
  <si>
    <t>ae1f8d76</t>
  </si>
  <si>
    <t>LOSC vs PAOK - UEFA Europa League</t>
  </si>
  <si>
    <t>https://www.vidio.com/live/19599-uefa-europa-league?schedule_id=4664113</t>
  </si>
  <si>
    <t>https://drive.google.com/drive/folders/1oqnk8AP8NWOHr_POlAk35_kGNn9rkW22?usp=drive_link</t>
  </si>
  <si>
    <t>Lille OSC Métropole; paok; sports stream</t>
  </si>
  <si>
    <t>Nonton streaming pertandingan seru LOSC vs PAOK - UEFA Europa League. Saksikan aksi-aksi terbaik dari tim yang bersaing ketat untuk meraih kemenangan. Dapatkan informasi lengkap mengenai jadwal pertandingan dan hasil pertandingan terbaru hanya di Vidio.</t>
  </si>
  <si>
    <t>https://drive.google.com/file/d/16Yisj8gK0bf8OdZVYJcSWzrxMWYWgQU5/view?usp=sharing</t>
  </si>
  <si>
    <t>https://drive.google.com/file/d/1f0B_vu4QT-H2B0w5J9-7bhtmHHhFZyjg/view?usp=drive_link</t>
  </si>
  <si>
    <t>https://drive.google.com/file/d/1AQ5G3K18C3cDISy0woEJKlkBvNgoucxz/view?usp=sharing</t>
  </si>
  <si>
    <t>e6b69264</t>
  </si>
  <si>
    <t>Malmo vs Dinamo Zagreb - UEFA Europa League</t>
  </si>
  <si>
    <t>https://www.vidio.com/live/19601-uefa-europa-league?schedule_id=4664115</t>
  </si>
  <si>
    <t>https://drive.google.com/drive/folders/1N0Waenq-ZVzQvUFEWUJtXzvYHpnLJYCs?usp=drive_link</t>
  </si>
  <si>
    <t>malmo ff; gnk dinamo zagreb; sports stream</t>
  </si>
  <si>
    <t>Nonton streaming pertandingan seru Malmo vs Dinamo Zagreb - UEFA Europa League. Saksikan aksi-aksi terbaik dari tim yang bersaing ketat untuk meraih kemenangan. Dapatkan informasi lengkap mengenai jadwal pertandingan dan hasil pertandingan terbaru hanya di Vidio.</t>
  </si>
  <si>
    <t>https://drive.google.com/file/d/1jNFH_PHk6g-zIs556_eUwu5dyai0ROSz/view?usp=sharing</t>
  </si>
  <si>
    <t>https://drive.google.com/file/d/1A7vx1PJW1KrHcOeN2dmWsmrwnEOgZN0l/view?usp=drive_link</t>
  </si>
  <si>
    <t>cd030051</t>
  </si>
  <si>
    <t>Young Boys vs Ludogorets - UEFA Europa League</t>
  </si>
  <si>
    <t>https://www.vidio.com/live/19629-uefa-europa-league?schedule_id=4664119</t>
  </si>
  <si>
    <t>https://drive.google.com/drive/folders/1HeJsdzoZXm_LhatC4a62NSmi5rNVB83A?usp=drive_link</t>
  </si>
  <si>
    <t>young boys; pfc ludogorets 1945 razgrad; sports stream</t>
  </si>
  <si>
    <t>Nonton streaming pertandingan seru Young Boys vs Ludogorets - UEFA Europa League. Saksikan aksi-aksi terbaik dari tim yang bersaing ketat untuk meraih kemenangan. Dapatkan informasi lengkap mengenai jadwal pertandingan dan hasil pertandingan terbaru hanya di Vidio.</t>
  </si>
  <si>
    <t>https://drive.google.com/file/d/1KOdyo-6VMCSYymYkuMiMdjnLTF2YXJy2/view?usp=sharing</t>
  </si>
  <si>
    <t>https://drive.google.com/file/d/1fuU0qcUNqrktkUqF71T0RbQ5Mp7JvqAT/view?usp=sharing</t>
  </si>
  <si>
    <t>e5666c14</t>
  </si>
  <si>
    <t>SC Freiburg vs Utrecht - UEFA Europa League</t>
  </si>
  <si>
    <t>https://www.vidio.com/live/19602-uefa-europa-league?schedule_id=4664117</t>
  </si>
  <si>
    <t>https://drive.google.com/drive/folders/1w2Mz7i1kHME1ZIjzJ0USM9GXCoIyk2nV?usp=drive_link</t>
  </si>
  <si>
    <t>sc freiburg; fc utrecht; sports stream</t>
  </si>
  <si>
    <t>Nonton streaming pertandingan seru SC Freiburg vs Utrecht - UEFA Europa League. Saksikan aksi-aksi terbaik dari tim yang bersaing ketat untuk meraih kemenangan. Dapatkan informasi lengkap mengenai jadwal pertandingan dan hasil pertandingan terbaru hanya di Vidio.</t>
  </si>
  <si>
    <t>https://drive.google.com/file/d/1bLUHgAuq4JhFw7z4gDaaUjxLLcTKSu0T/view?usp=sharing</t>
  </si>
  <si>
    <t>https://drive.google.com/file/d/1eyjkcrUYkOOM2f8b6-glShD4YrDMV1uN/view?usp=sharing</t>
  </si>
  <si>
    <t>https://drive.google.com/file/d/1gUZy746XO5WhvnzsstQ2FkVGGxUorJPp/view?usp=sharing</t>
  </si>
  <si>
    <t>7e775ccc</t>
  </si>
  <si>
    <t>Celtic vs SK Sturm Graz - UEFA Europa League</t>
  </si>
  <si>
    <t>https://www.vidio.com/live/19631-uefa-europa-league?schedule_id=4664112</t>
  </si>
  <si>
    <t>https://drive.google.com/drive/folders/12tAc3vzCKfsqISDfU8jVphl3GNq_1Ocp?usp=drive_link</t>
  </si>
  <si>
    <t>celtic fc; sk sturm graz; sports stream</t>
  </si>
  <si>
    <t>Nonton streaming pertandingan seru Celtic vs SK Sturm Graz - UEFA Europa League. Saksikan aksi-aksi terbaik dari tim yang bersaing ketat untuk meraih kemenangan. Dapatkan informasi lengkap mengenai jadwal pertandingan dan hasil pertandingan terbaru hanya di Vidio.</t>
  </si>
  <si>
    <t>https://drive.google.com/file/d/1ztIJkaP1vczv3NJou6NdCa0Z3AQkuxrw/view?usp=sharing</t>
  </si>
  <si>
    <t>https://drive.google.com/file/d/1U7lj1e47QuBVB_PwItfyA3S2H09On-RB/view?usp=sharing</t>
  </si>
  <si>
    <t>c70cb149</t>
  </si>
  <si>
    <t>M. Tel-Aviv vs Midtjylland - UEFA Europa League</t>
  </si>
  <si>
    <t>https://www.vidio.com/live/19600-uefa-europa-league?schedule_id=4664114</t>
  </si>
  <si>
    <t>https://drive.google.com/drive/folders/19VPjS4waXfxMUqWY9ZUoPXBj8h2_azS4?usp=drive_link</t>
  </si>
  <si>
    <t>maccabi tel-aviv; fc midtjylland; sports stream</t>
  </si>
  <si>
    <t>Nonton streaming pertandingan seru M. Tel-Aviv vs Midtjylland - UEFA Europa League. Saksikan aksi-aksi terbaik dari tim yang bersaing ketat untuk meraih kemenangan. Dapatkan informasi lengkap mengenai jadwal pertandingan dan hasil pertandingan terbaru hanya di Vidio.</t>
  </si>
  <si>
    <t>https://drive.google.com/file/d/1mC7iH4mb88FAn6Ued_D87VcL_DU2Nqlf/view?usp=sharing</t>
  </si>
  <si>
    <t>https://drive.google.com/file/d/1kc-J8hRrKSY2nZvDmTyMfG2fi0WziOxR/view?usp=sharing</t>
  </si>
  <si>
    <t>f49dcdeb</t>
  </si>
  <si>
    <t>Nottingham Forest vs Porto - UEFA Europa League</t>
  </si>
  <si>
    <t>https://www.vidio.com/live/6299-bein-1?schedule_id=4664039</t>
  </si>
  <si>
    <t>https://drive.google.com/drive/folders/1VmmqwEjtx9xFop0CA4WBTHDvv1sqJI0J?usp=drive_link</t>
  </si>
  <si>
    <t>nottingham forest fc; fc porto; sports stream</t>
  </si>
  <si>
    <t>Nonton streaming pertandingan seru Nottingham Forest vs Porto - UEFA Europa League. Saksikan aksi-aksi terbaik dari tim yang bersaing ketat untuk meraih kemenangan. Dapatkan informasi lengkap mengenai jadwal pertandingan dan hasil pertandingan terbaru hanya di Vidio.</t>
  </si>
  <si>
    <t>https://drive.google.com/file/d/1WwFsPmACLvRNC5QJnMH_GfP2HddELEb7/view?usp=sharing</t>
  </si>
  <si>
    <t>https://drive.google.com/file/d/18I56mzgwU1B88n0X5JWnBzthQp5gqpQh/view?usp=sharing</t>
  </si>
  <si>
    <t>https://drive.google.com/file/d/1npxPae4NnOOCo-el_E4Q0co46y4bTRLR/view?usp=sharing</t>
  </si>
  <si>
    <t>f962cd66</t>
  </si>
  <si>
    <t>Roma vs Viktoria Plzen - UEFA Europa League</t>
  </si>
  <si>
    <t>https://www.vidio.com/live/19603-uefa-europa-league?schedule_id=4664116</t>
  </si>
  <si>
    <t>https://drive.google.com/drive/folders/1Bq0MBuvW9IT2RuJ0xvxo8ROFtl6saaff?usp=drive_link</t>
  </si>
  <si>
    <t>as roma; fc viktoria plzeň; sports stream</t>
  </si>
  <si>
    <t>Nonton streaming pertandingan seru Roma vs Viktoria Plzen - UEFA Europa League. Saksikan aksi-aksi terbaik dari tim yang bersaing ketat untuk meraih kemenangan. Dapatkan informasi lengkap mengenai jadwal pertandingan dan hasil pertandingan terbaru hanya di Vidio.</t>
  </si>
  <si>
    <t>https://drive.google.com/file/d/1WHwp07wxjl4OZhwYTeWs5ktxwC4hesov/view?usp=sharing</t>
  </si>
  <si>
    <t>https://drive.google.com/file/d/1JNxWsJz2MXRwMLXENwhy3LtxrBQcKIVF/view?usp=drive_link</t>
  </si>
  <si>
    <t>https://drive.google.com/file/d/1v5NrsfYIV1igrovI8YTEVSsDI1_EPowA/view?usp=sharing</t>
  </si>
  <si>
    <t>c0aeae31</t>
  </si>
  <si>
    <t>Basel vs FCSB - UEFA Europa League</t>
  </si>
  <si>
    <t>https://www.vidio.com/live/19599-uefa-europa-league?schedule_id=4701939</t>
  </si>
  <si>
    <t>https://drive.google.com/drive/folders/1CCSsFx0MzxfCi5Lh3rGhMYcNp959HXPL?usp=drive_link</t>
  </si>
  <si>
    <t>https://drive.google.com/drive/folders/13eQLR64HrKbyWDLlQsn3dQSDucgsN6sA?usp=drive_link</t>
  </si>
  <si>
    <t>fc basel; fcsb; sports stream</t>
  </si>
  <si>
    <t>Nonton streaming pertandingan seru Basel vs FCSB - UEFA Europa League. Saksikan aksi-aksi terbaik dari tim yang bersaing ketat untuk meraih kemenangan. Dapatkan informasi lengkap mengenai jadwal pertandingan dan hasil pertandingan terbaru hanya di Vidio.</t>
  </si>
  <si>
    <t>https://drive.google.com/file/d/1ZNl4yFu7Kit2LX1LUBdVNFZsqhQJDxFK/view?usp=sharing</t>
  </si>
  <si>
    <t>https://drive.google.com/file/d/1YnVHDpfY-lBe8r0N1WG8j_yuqJlWHvjS/view?usp=sharing</t>
  </si>
  <si>
    <t>c64a0899</t>
  </si>
  <si>
    <t>Crvena Zvezda vs LOSC - UEFA Europa League</t>
  </si>
  <si>
    <t>https://www.vidio.com/live/19631-uefa-europa-league?schedule_id=4701940</t>
  </si>
  <si>
    <t>https://drive.google.com/drive/folders/1beyycasvZY6YHUx0IiR2mdvQGXbhv-kg?usp=drive_link</t>
  </si>
  <si>
    <t>fk crvena zvezda beograd; Lille OSC Métropole; sports stream</t>
  </si>
  <si>
    <t>Nonton streaming pertandingan seru Crvena Zvezda vs LOSC - UEFA Europa League. Saksikan aksi-aksi terbaik dari tim yang bersaing ketat untuk meraih kemenangan. Dapatkan informasi lengkap mengenai jadwal pertandingan dan hasil pertandingan terbaru hanya di Vidio.</t>
  </si>
  <si>
    <t>https://drive.google.com/file/d/1jHkKW2gTtz3jkwYi_H1hNOyh_YCvyBWN/view?usp=sharing</t>
  </si>
  <si>
    <t>https://drive.google.com/file/d/139uSXvHeJcDShelmd8FYfDAr3kzm6RkL/view?usp=drive_link</t>
  </si>
  <si>
    <t>https://drive.google.com/file/d/1DkXhLrgwomiV0dX4k9QfLlxMNuTKKEnF/view?usp=sharing</t>
  </si>
  <si>
    <t>eab15113</t>
  </si>
  <si>
    <t>Nice vs SC Freiburg - UEFA Europa League</t>
  </si>
  <si>
    <t>https://www.vidio.com/live/6317-bein-3?schedule_id=4701938</t>
  </si>
  <si>
    <t>https://drive.google.com/drive/folders/1Xwm7e9uwvu4xSzAXHV8dN2T2KbeCWo4v?usp=drive_link</t>
  </si>
  <si>
    <t>OGC Nice Côte d'Azur; sc freiburg; sports stream</t>
  </si>
  <si>
    <t>Nonton streaming pertandingan seru Nice vs SC Freiburg - UEFA Europa League. Saksikan aksi-aksi terbaik dari tim yang bersaing ketat untuk meraih kemenangan. Dapatkan informasi lengkap mengenai jadwal pertandingan dan hasil pertandingan terbaru hanya di Vidio.</t>
  </si>
  <si>
    <t>https://drive.google.com/file/d/1BxeoqTKOFHNwh0edICTX6n0zoN8WlmBF/view?usp=sharing</t>
  </si>
  <si>
    <t>https://drive.google.com/file/d/1cKJLuHFIAeSdc5u1n_XgAl-VD1gC9fb5/view?usp=drive_link</t>
  </si>
  <si>
    <t>https://drive.google.com/file/d/1UUbY7PFPOjk0L3UYttfeLf3u-ju0HuNW/view?usp=sharing</t>
  </si>
  <si>
    <t>a1cec6eb</t>
  </si>
  <si>
    <t>Utrecht vs Porto - UEFA Europa League</t>
  </si>
  <si>
    <t>https://www.vidio.com/live/19603-uefa-europa-league?schedule_id=4702067</t>
  </si>
  <si>
    <t>https://drive.google.com/drive/folders/13sxAFhJVfmQdVlKs-1LeMmHSdqnfPT9u?usp=drive_link</t>
  </si>
  <si>
    <t>fc utrecht; fc porto; sports stream</t>
  </si>
  <si>
    <t>Nonton streaming pertandingan seru Utrecht vs Porto - UEFA Europa League. Saksikan aksi-aksi terbaik dari tim yang bersaing ketat untuk meraih kemenangan. Dapatkan informasi lengkap mengenai jadwal pertandingan dan hasil pertandingan terbaru hanya di Vidio.</t>
  </si>
  <si>
    <t>https://drive.google.com/file/d/12w64Zuv_BudTxBqsDunF4AMoo8muTObA/view?usp=sharing</t>
  </si>
  <si>
    <t>https://drive.google.com/file/d/1detIQ5VeOTwWnTBPJpjw7ZFe7V7mWSU-/view?usp=sharing</t>
  </si>
  <si>
    <t>https://drive.google.com/file/d/1ndL493fM9vhV3YqPwWy7Kq7SAXXH9CqX/view?usp=sharing</t>
  </si>
  <si>
    <t>0632d4f3</t>
  </si>
  <si>
    <t>RB Salzburg vs Go Ahead Eagles - UEFA Europa League</t>
  </si>
  <si>
    <t>https://www.vidio.com/live/19629-uefa-europa-league?schedule_id=4701944</t>
  </si>
  <si>
    <t>https://drive.google.com/drive/folders/1l0VFaKBYp14GnOEpNB_Ln9q5mmwxRMub?usp=drive_link</t>
  </si>
  <si>
    <t>fc salzburg; go ahead eagles; sports stream</t>
  </si>
  <si>
    <t>Nonton streaming pertandingan seru RB Salzburg vs Go Ahead Eagles - UEFA Europa League. Saksikan aksi-aksi terbaik dari tim yang bersaing ketat untuk meraih kemenangan. Dapatkan informasi lengkap mengenai jadwal pertandingan dan hasil pertandingan terbaru hanya di Vidio.</t>
  </si>
  <si>
    <t>https://drive.google.com/file/d/14qhLfFkgJpwdaHacGqtCuO0oFId0Puu0/view?usp=sharing</t>
  </si>
  <si>
    <t>https://drive.google.com/file/d/1vJIMetYwcX1zrewlGSISDsoyhm_V8HZz/view?usp=sharing</t>
  </si>
  <si>
    <t>https://drive.google.com/file/d/1ablQNSGkT0FUNhLh8SW5Agoxr_CZG_QH/view?usp=sharing</t>
  </si>
  <si>
    <t>0e74a8f2</t>
  </si>
  <si>
    <t>Midtjylland vs Celtic - UEFA Europa League</t>
  </si>
  <si>
    <t>https://www.vidio.com/live/19600-uefa-europa-league?schedule_id=4702076</t>
  </si>
  <si>
    <t>https://drive.google.com/drive/folders/1dkc808NkPLA_8v4galu91qVhSA3xxNS-?usp=drive_link</t>
  </si>
  <si>
    <t>fc midtjylland; celtic fc; sports stream</t>
  </si>
  <si>
    <t>Nonton streaming pertandingan seru Midtjylland vs Celtic - UEFA Europa League. Saksikan aksi-aksi terbaik dari tim yang bersaing ketat untuk meraih kemenangan. Dapatkan informasi lengkap mengenai jadwal pertandingan dan hasil pertandingan terbaru hanya di Vidio.</t>
  </si>
  <si>
    <t>https://drive.google.com/file/d/1E_APQym93D0Ifg7scwoP2m16y_4iqrkC/view?usp=sharing</t>
  </si>
  <si>
    <t>https://drive.google.com/file/d/17BPzhnc2eQNYsYgWKj7ETu-hjNm7Ya10/view?usp=sharing</t>
  </si>
  <si>
    <t>28a5beaa</t>
  </si>
  <si>
    <t>Dinamo Zagreb vs Celta Vigo - UEFA Europa League</t>
  </si>
  <si>
    <t>https://www.vidio.com/live/19601-uefa-europa-league?schedule_id=4701941</t>
  </si>
  <si>
    <t>https://drive.google.com/drive/folders/1T92mtk4aVgu-647_k-FtlLi4-bxCAsIa?usp=drive_link</t>
  </si>
  <si>
    <t>gnk dinamo zagreb; real club celta de vigo; sports stream</t>
  </si>
  <si>
    <t>Nonton streaming pertandingan seru Dinamo Zagreb vs Celta Vigo - UEFA Europa League. Saksikan aksi-aksi terbaik dari tim yang bersaing ketat untuk meraih kemenangan. Dapatkan informasi lengkap mengenai jadwal pertandingan dan hasil pertandingan terbaru hanya di Vidio.</t>
  </si>
  <si>
    <t>https://drive.google.com/file/d/1D_ayN-Q5pLsNU3XhIlOq6z_DPDkgFKeZ/view?usp=sharing</t>
  </si>
  <si>
    <t>https://drive.google.com/file/d/1jyDAYZ9YLSy4SPNDiInsJQuqovY5d3Y2/view?usp=sharing</t>
  </si>
  <si>
    <t>8f098200</t>
  </si>
  <si>
    <t>Malmo vs Panathinaikos - UEFA Europa League</t>
  </si>
  <si>
    <t>https://www.vidio.com/live/19602-uefa-europa-league?schedule_id=4701942</t>
  </si>
  <si>
    <t>https://drive.google.com/drive/folders/1GyxARFFJPJr-B8K3m-XCZSfCXVqFhDFV?usp=drive_link</t>
  </si>
  <si>
    <t>malmo ff; panathinaikos fc; sports stream</t>
  </si>
  <si>
    <t>Nonton streaming pertandingan seru Malmo vs Panathinaikos - UEFA Europa League. Saksikan aksi-aksi terbaik dari tim yang bersaing ketat untuk meraih kemenangan. Dapatkan informasi lengkap mengenai jadwal pertandingan dan hasil pertandingan terbaru hanya di Vidio.</t>
  </si>
  <si>
    <t>https://drive.google.com/file/d/1BQ8CwIZbam44UDfOcN3xlgXqXOjxz0ID/view?usp=sharing</t>
  </si>
  <si>
    <t>https://drive.google.com/file/d/1FgY4M0mH4KFV5WVuANio7X3QPNbY-CKB/view?usp=drive_link</t>
  </si>
  <si>
    <t>645c70f0</t>
  </si>
  <si>
    <t>SK Sturm Graz vs Nottingham Forest - UEFA Europa League</t>
  </si>
  <si>
    <t>https://www.vidio.com/live/6299-bein-1?schedule_id=4702065</t>
  </si>
  <si>
    <t>https://drive.google.com/drive/folders/1NAaO02sIfK3PFI71TUpm9GkTmmZkQIwr?usp=drive_link</t>
  </si>
  <si>
    <t>sk sturm graz; nottingham forest fc; sports stream</t>
  </si>
  <si>
    <t>Nonton streaming pertandingan seru SK Sturm Graz vs Nottingham Forest - UEFA Europa League. Saksikan aksi-aksi terbaik dari tim yang bersaing ketat untuk meraih kemenangan. Dapatkan informasi lengkap mengenai jadwal pertandingan dan hasil pertandingan terbaru hanya di Vidio.</t>
  </si>
  <si>
    <t>https://drive.google.com/file/d/1u4cAsVgNQEfpX7V6fzGa8UHvrtInUDr7/view?usp=sharing</t>
  </si>
  <si>
    <t>https://drive.google.com/file/d/1mXlhV5I4LRswICvZTtwDjc4ERojWAcpq/view?usp=sharing</t>
  </si>
  <si>
    <t>https://drive.google.com/file/d/1DpbBZn3TW_NFMn_q4-qkF1mIGiemXF3q/view?usp=sharing</t>
  </si>
  <si>
    <t>f1242be4</t>
  </si>
  <si>
    <t>PAOK vs Young Boys - UEFA Europa League</t>
  </si>
  <si>
    <t>https://www.vidio.com/live/19631-uefa-europa-league?schedule_id=4702072</t>
  </si>
  <si>
    <t>https://drive.google.com/drive/folders/1_eQP-CmdICuSZtKfRRqg4YYplvV8jxVb?usp=drive_link</t>
  </si>
  <si>
    <t>paok; young boys; sports stream</t>
  </si>
  <si>
    <t>Nonton streaming pertandingan seru PAOK vs Young Boys - UEFA Europa League. Saksikan aksi-aksi terbaik dari tim yang bersaing ketat untuk meraih kemenangan. Dapatkan informasi lengkap mengenai jadwal pertandingan dan hasil pertandingan terbaru hanya di Vidio.</t>
  </si>
  <si>
    <t>https://drive.google.com/file/d/1R-OzDXHtxYGu8Lwkh7E0GPGtEY_l3rDG/view?usp=sharing</t>
  </si>
  <si>
    <t>https://drive.google.com/file/d/1VM39SEQiVGtdQZeLl9vXYANvPSS2-IIg/view?usp=sharing</t>
  </si>
  <si>
    <t>0d0ca758</t>
  </si>
  <si>
    <t>Aston Villa vs M. Tel-Aviv - UEFA Europa League</t>
  </si>
  <si>
    <t>https://www.vidio.com/live/6299-bein-1?schedule_id=4702066</t>
  </si>
  <si>
    <t>https://drive.google.com/drive/folders/1l5ZLo6Mbegb3rAo86XQoGMzS__MxU8Oy?usp=drive_link</t>
  </si>
  <si>
    <t>aston villa fc; maccabi tel-aviv; sports stream</t>
  </si>
  <si>
    <t>Nonton streaming pertandingan seru Aston Villa vs M. Tel-Aviv - UEFA Europa League. Saksikan aksi-aksi terbaik dari tim yang bersaing ketat untuk meraih kemenangan. Dapatkan informasi lengkap mengenai jadwal pertandingan dan hasil pertandingan terbaru hanya di Vidio.</t>
  </si>
  <si>
    <t>https://drive.google.com/file/d/1Ll0l1XzNysNkrIeBQu4h_ilL1AuP_q7t/view?usp=sharing</t>
  </si>
  <si>
    <t>https://drive.google.com/file/d/1q--vvFIRyessJ8GoPb_4KIdyrd5u_MLX/view?usp=sharing</t>
  </si>
  <si>
    <t>https://drive.google.com/file/d/1GoXgEhS5vnhZdzUkOVzPGe1HkjKHm4dU/view?usp=sharing</t>
  </si>
  <si>
    <t>f37e1c15</t>
  </si>
  <si>
    <t>VfB Stuttgart vs Feyenoord - UEFA Europa League</t>
  </si>
  <si>
    <t>https://www.vidio.com/live/19630-uefa-europa-league?schedule_id=4702074</t>
  </si>
  <si>
    <t>https://drive.google.com/drive/folders/1kqVb2l8T5L-qMKlhf3ZL607Ebsb1a3_I?usp=drive_link</t>
  </si>
  <si>
    <t>vfb stuttgart; feyenoord rotterdam; sports stream</t>
  </si>
  <si>
    <t>Nonton streaming pertandingan seru VfB Stuttgart vs Feyenoord - UEFA Europa League. Saksikan aksi-aksi terbaik dari tim yang bersaing ketat untuk meraih kemenangan. Dapatkan informasi lengkap mengenai jadwal pertandingan dan hasil pertandingan terbaru hanya di Vidio.</t>
  </si>
  <si>
    <t>https://drive.google.com/file/d/1HzSnU-IkY88a50iRVbBPa2_XWTu1OIll/view?usp=sharing</t>
  </si>
  <si>
    <t>https://drive.google.com/file/d/1OWs5q-NzFqsxaivmrmcU1YzmsamtlKZk/view?usp=sharing</t>
  </si>
  <si>
    <t>https://drive.google.com/file/d/1zMbP4ROTK_0F-qEFRvcha3tiBKJRzgWU/view?usp=sharing</t>
  </si>
  <si>
    <t>be60649a</t>
  </si>
  <si>
    <t>Viktoria Plzen vs Fenerbahce - UEFA Europa League</t>
  </si>
  <si>
    <t>https://www.vidio.com/live/19600-uefa-europa-league?schedule_id=4702075</t>
  </si>
  <si>
    <t>https://drive.google.com/drive/folders/1-tzMnbSrhZHmww7kEy1XLlI1YFDxA9eH?usp=drive_link</t>
  </si>
  <si>
    <t>fc viktoria plzeň; fenerbahce; sports stream</t>
  </si>
  <si>
    <t>Nonton streaming pertandingan seru Viktoria Plzen vs Fenerbahce - UEFA Europa League. Saksikan aksi-aksi terbaik dari tim yang bersaing ketat untuk meraih kemenangan. Dapatkan informasi lengkap mengenai jadwal pertandingan dan hasil pertandingan terbaru hanya di Vidio.</t>
  </si>
  <si>
    <t>https://drive.google.com/file/d/1FGbVyLd0VDnsTEZdc3iAnq7G9ke8PHyD/view?usp=sharing</t>
  </si>
  <si>
    <t>https://drive.google.com/file/d/17DqZ3BtT90FlJBGGJTLKsBcYjrhrBEZ0/view?usp=drive_link</t>
  </si>
  <si>
    <t>https://drive.google.com/file/d/1lor-_lNedyrZFySvBGMMvoDcYbRny-o9/view?usp=sharing</t>
  </si>
  <si>
    <t>50552701</t>
  </si>
  <si>
    <t>Ferencvaros vs Ludogorets - UEFA Europa League</t>
  </si>
  <si>
    <t>https://www.vidio.com/live/19601-uefa-europa-league?schedule_id=4702071</t>
  </si>
  <si>
    <t>https://drive.google.com/drive/folders/19QFxmO-Wga2fGkY0L9wbYzlDmfWRmC-a?usp=drive_link</t>
  </si>
  <si>
    <t>ferencvárosi tc; pfc ludogorets 1945 razgrad; sports stream</t>
  </si>
  <si>
    <t>Nonton streaming pertandingan seru Ferencvaros vs Ludogorets - UEFA Europa League. Saksikan aksi-aksi terbaik dari tim yang bersaing ketat untuk meraih kemenangan. Dapatkan informasi lengkap mengenai jadwal pertandingan dan hasil pertandingan terbaru hanya di Vidio.</t>
  </si>
  <si>
    <t>https://drive.google.com/file/d/1lTFgYFSMSnTWEYFwztUbEczvKWbqEiwt/view?usp=sharing</t>
  </si>
  <si>
    <t>https://drive.google.com/file/d/1yMBELVMPVVabfpa-6bb1fLGSnZPwTO2A/view?usp=drive_link</t>
  </si>
  <si>
    <t>6cad89d2</t>
  </si>
  <si>
    <t>Rangers vs Roma - UEFA Europa League</t>
  </si>
  <si>
    <t>https://www.vidio.com/live/19603-uefa-europa-league?schedule_id=4702068</t>
  </si>
  <si>
    <t>https://drive.google.com/drive/folders/1xW2Rw2x4kYoTAuNZK_3EAG_oUK5HDfbR?usp=drive_link</t>
  </si>
  <si>
    <t>rangers fc; as roma; sports stream</t>
  </si>
  <si>
    <t>Nonton streaming pertandingan seru Rangers vs Roma - UEFA Europa League. Saksikan aksi-aksi terbaik dari tim yang bersaing ketat untuk meraih kemenangan. Dapatkan informasi lengkap mengenai jadwal pertandingan dan hasil pertandingan terbaru hanya di Vidio.</t>
  </si>
  <si>
    <t>https://drive.google.com/file/d/10UmFI8RTYIYi0HLShkQGRC9fAWUtWh79/view?usp=sharing</t>
  </si>
  <si>
    <t>https://drive.google.com/file/d/1oAIeS9QgdLkHDJd6luX3ChKPQOE25PPs/view?usp=sharing</t>
  </si>
  <si>
    <t>https://drive.google.com/file/d/1un_3tcK6pTLxtH7SZkmHrDHY2qMCr7qY/view?usp=sharing</t>
  </si>
  <si>
    <t>2d0e9fb0</t>
  </si>
  <si>
    <t>Real Betis vs Lyon - UEFA Europa League</t>
  </si>
  <si>
    <t>https://www.vidio.com/live/19599-uefa-europa-league?schedule_id=4702073</t>
  </si>
  <si>
    <t>https://drive.google.com/drive/folders/1_seEnNWFWZD1aaOzKJuld6_I-Aif6uja?usp=drive_link</t>
  </si>
  <si>
    <t>Real Betis Balompié; olympique lyonnais; sports stream</t>
  </si>
  <si>
    <t>Nonton streaming pertandingan seru Real Betis vs Lyon - UEFA Europa League. Saksikan aksi-aksi terbaik dari tim yang bersaing ketat untuk meraih kemenangan. Dapatkan informasi lengkap mengenai jadwal pertandingan dan hasil pertandingan terbaru hanya di Vidio.</t>
  </si>
  <si>
    <t>https://drive.google.com/file/d/1RAeWqJGq2R20W-fIMp1wvq8z1Cauo3sm/view?usp=sharing</t>
  </si>
  <si>
    <t>https://drive.google.com/file/d/1K810hQU1_KUKT2PxYYda7FDi3iCpN0Zg/view?usp=drive_link</t>
  </si>
  <si>
    <t>https://drive.google.com/file/d/1pZDUdXf2hTmYS7Ynw4UeHtZ0pBtxa4-0/view?usp=sharing</t>
  </si>
  <si>
    <t>7ef4ba0e</t>
  </si>
  <si>
    <t>Braga vs Genk - UEFA Europa League</t>
  </si>
  <si>
    <t>https://www.vidio.com/live/19602-uefa-europa-league?schedule_id=4702070</t>
  </si>
  <si>
    <t>https://drive.google.com/drive/folders/1yHaAz3jyqssQqJL_BHWl1fmFiSY_qsC6?usp=drive_link</t>
  </si>
  <si>
    <t>sporting braga; KRC Genk; sports stream</t>
  </si>
  <si>
    <t>Nonton streaming pertandingan seru Braga vs Genk - UEFA Europa League. Saksikan aksi-aksi terbaik dari tim yang bersaing ketat untuk meraih kemenangan. Dapatkan informasi lengkap mengenai jadwal pertandingan dan hasil pertandingan terbaru hanya di Vidio.</t>
  </si>
  <si>
    <t>https://drive.google.com/file/d/1MHkGAa8PO9XrN9Sk6-NDCchhdaFVFG_U/view?usp=sharing</t>
  </si>
  <si>
    <t>https://drive.google.com/file/d/1I2Ex13HU8qy8SwBEg3jrKDI5xlOKC14l/view?usp=sharing</t>
  </si>
  <si>
    <t>a4da053e</t>
  </si>
  <si>
    <t>Bologna vs Brann - UEFA Europa League</t>
  </si>
  <si>
    <t>https://www.vidio.com/live/19629-uefa-europa-league?schedule_id=4702069</t>
  </si>
  <si>
    <t>https://drive.google.com/drive/folders/1RJBi5mls4tEXPkG0-l2yBEtJoBwpy6EV?usp=drive_link</t>
  </si>
  <si>
    <t>bologna fc 1909; SK Brann; sports stream</t>
  </si>
  <si>
    <t>Nonton streaming pertandingan seru Bologna vs Brann - UEFA Europa League. Saksikan aksi-aksi terbaik dari tim yang bersaing ketat untuk meraih kemenangan. Dapatkan informasi lengkap mengenai jadwal pertandingan dan hasil pertandingan terbaru hanya di Vidio.</t>
  </si>
  <si>
    <t>https://drive.google.com/file/d/1KCNV_grQueKs4PL4bPAymu1w87IloW1_/view?usp=sharing</t>
  </si>
  <si>
    <t>https://drive.google.com/file/d/1PD4Y4v4XTpcC_QPcol9aTFh9Dog2nv_k/view?usp=sharing</t>
  </si>
  <si>
    <t>300fc8fd</t>
  </si>
  <si>
    <t>Aston Villa vs Young Boys - UEFA Europa League</t>
  </si>
  <si>
    <t>https://www.vidio.com/live/6299-bein-1?schedule_id=4733541</t>
  </si>
  <si>
    <t>https://drive.google.com/drive/folders/1_ngBALsKugF5X258PuxT_8CgmY9f1Hjh?usp=drive_link</t>
  </si>
  <si>
    <t>https://drive.google.com/drive/folders/1pYi5qIT6QdvkfDRfWH0qsk97hfAPMoyN?usp=drive_link</t>
  </si>
  <si>
    <t>aston villa fc; young boys; sports stream</t>
  </si>
  <si>
    <t>Nonton streaming pertandingan seru Aston Villa vs Young Boys - UEFA Europa League. Saksikan aksi-aksi terbaik dari tim yang bersaing ketat untuk meraih kemenangan. Dapatkan informasi lengkap mengenai jadwal pertandingan dan hasil pertandingan terbaru hanya di Vidio.</t>
  </si>
  <si>
    <t>https://drive.google.com/file/d/1jiH2L9FHDHCSFrblxn5pPqJVU_-5wOhM/view?usp=sharing</t>
  </si>
  <si>
    <t>https://drive.google.com/file/d/1hJXYZezmzWYAIsjEvr6Qn5q1wV9ugwz3/view?usp=sharing</t>
  </si>
  <si>
    <t>https://drive.google.com/file/d/1eIwi6JXo92FH6i-9fMnS0-sTChvIrvc7/view?usp=sharing</t>
  </si>
  <si>
    <t>b022d503</t>
  </si>
  <si>
    <t>Fenerbahce vs Ferencvaros - UEFA Europa League</t>
  </si>
  <si>
    <t>https://www.vidio.com/live/19599-uefa-europa-league?schedule_id=4734914</t>
  </si>
  <si>
    <t>https://drive.google.com/drive/folders/1O2R48yiiNUt0_Uk_UIji9iNIEpqtlv9t?usp=drive_link</t>
  </si>
  <si>
    <t>fenerbahce; ferencvárosi tc; sports stream</t>
  </si>
  <si>
    <t>Nonton streaming pertandingan seru Fenerbahce vs Ferencvaros - UEFA Europa League. Saksikan aksi-aksi terbaik dari tim yang bersaing ketat untuk meraih kemenangan. Dapatkan informasi lengkap mengenai jadwal pertandingan dan hasil pertandingan terbaru hanya di Vidio.</t>
  </si>
  <si>
    <t>https://drive.google.com/file/d/1XLbwFGr4ZSVdkbmTfyEjx9oU6EDgnJZZ/view?usp=sharing</t>
  </si>
  <si>
    <t>https://drive.google.com/file/d/1H9Wfb4X2X0tnvf5dltwJaMlCBRzdS1sN/view?usp=drive_link</t>
  </si>
  <si>
    <t>https://drive.google.com/file/d/1IXfQW2DLxTz-hFf9ZaShKtnb8hEW9q5M/view?usp=sharing</t>
  </si>
  <si>
    <t>4937fd40</t>
  </si>
  <si>
    <t>Viktoria Plzen vs SC Freiburg - UEFA Europa League</t>
  </si>
  <si>
    <t>https://www.vidio.com/live/19630-uefa-europa-league?schedule_id=4734924</t>
  </si>
  <si>
    <t>https://drive.google.com/drive/folders/18GrElP4c6qV79s9waC_tyrQb86ZwdmfR?usp=drive_link</t>
  </si>
  <si>
    <t>fc viktoria plzeň; sc freiburg; sports stream</t>
  </si>
  <si>
    <t>Nonton streaming pertandingan seru Viktoria Plzen vs SC Freiburg - UEFA Europa League. Saksikan aksi-aksi terbaik dari tim yang bersaing ketat untuk meraih kemenangan. Dapatkan informasi lengkap mengenai jadwal pertandingan dan hasil pertandingan terbaru hanya di Vidio.</t>
  </si>
  <si>
    <t>https://drive.google.com/file/d/1C4JJs9u1aNEMxy4piEHX9ctqilBL2y5S/view?usp=sharing</t>
  </si>
  <si>
    <t>https://drive.google.com/file/d/19y8a-eJgR_EdudyblF_exEJvOGUx9S-w/view?usp=drive_link</t>
  </si>
  <si>
    <t>2b2dfb74</t>
  </si>
  <si>
    <t>Porto vs Nice - UEFA Europa League</t>
  </si>
  <si>
    <t>https://www.vidio.com/live/6317-bein-3?schedule_id=4733518</t>
  </si>
  <si>
    <t>https://drive.google.com/drive/folders/1Q0HzBDSuHTdPbEueqht9ZwtDFqLKIoLL?usp=drive_link</t>
  </si>
  <si>
    <t>fc porto; OGC Nice Côte d'Azur; sports stream</t>
  </si>
  <si>
    <t>Nonton streaming pertandingan seru Porto vs Nice - UEFA Europa League. Saksikan aksi-aksi terbaik dari tim yang bersaing ketat untuk meraih kemenangan. Dapatkan informasi lengkap mengenai jadwal pertandingan dan hasil pertandingan terbaru hanya di Vidio.</t>
  </si>
  <si>
    <t>https://drive.google.com/file/d/1CA0lec8QyrekAHTSZPAMtW0VU1VnsHLc/view?usp=sharing</t>
  </si>
  <si>
    <t>https://drive.google.com/file/d/1RR2zpBwRtJe7jDiDovFMQFFE46Dx47dW/view?usp=drive_link</t>
  </si>
  <si>
    <t>https://drive.google.com/file/d/1nEsTL7IBj2wj1ynLNKOPE1jQjCcyFAGq/view?usp=sharing</t>
  </si>
  <si>
    <t>6cdea107</t>
  </si>
  <si>
    <t>Feyenoord vs Celtic - UEFA Europa League</t>
  </si>
  <si>
    <t>https://www.vidio.com/live/19600-uefa-europa-league?schedule_id=4734916</t>
  </si>
  <si>
    <t>https://drive.google.com/drive/folders/1-NumJCi950noqLXm2o-TYGB9eUlOMWZt?usp=drive_link</t>
  </si>
  <si>
    <t>feyenoord rotterdam; celtic fc; sports stream</t>
  </si>
  <si>
    <t>Nonton streaming pertandingan seru Feyenoord vs Celtic - UEFA Europa League. Saksikan aksi-aksi terbaik dari tim yang bersaing ketat untuk meraih kemenangan. Dapatkan informasi lengkap mengenai jadwal pertandingan dan hasil pertandingan terbaru hanya di Vidio.</t>
  </si>
  <si>
    <t>https://drive.google.com/file/d/1P1xwfb_4-TynP2O1u4VZ6DU7nJm556da/view?usp=sharing</t>
  </si>
  <si>
    <t>https://drive.google.com/file/d/1-SXgK7iBQsAiA6rnQLt4kaKogoRr5_1K/view?usp=sharing</t>
  </si>
  <si>
    <t>221e3c1b</t>
  </si>
  <si>
    <t>Ludogorets vs Celta Vigo - UEFA Europa League</t>
  </si>
  <si>
    <t>https://www.vidio.com/live/19602-uefa-europa-league?schedule_id=4734920</t>
  </si>
  <si>
    <t>https://drive.google.com/drive/folders/1L2gSP_uFMn8wwMnKIeloYMZM58i8rq91?usp=drive_link</t>
  </si>
  <si>
    <t>pfc ludogorets 1945 razgrad; real club celta de vigo; sports stream</t>
  </si>
  <si>
    <t>Nonton streaming pertandingan seru Ludogorets vs Celta Vigo - UEFA Europa League. Saksikan aksi-aksi terbaik dari tim yang bersaing ketat untuk meraih kemenangan. Dapatkan informasi lengkap mengenai jadwal pertandingan dan hasil pertandingan terbaru hanya di Vidio.</t>
  </si>
  <si>
    <t>https://drive.google.com/file/d/1eIWmUpQ_QMH3FND627fq1rxLa9P3Pbo2/view?usp=sharing</t>
  </si>
  <si>
    <t>https://drive.google.com/file/d/1uG3201AFOKQzRBl4Y200DLuMyLXutIST/view?usp=sharing</t>
  </si>
  <si>
    <t>a8b49dbf</t>
  </si>
  <si>
    <t>Roma vs Midtjylland - UEFA Europa League</t>
  </si>
  <si>
    <t>https://www.vidio.com/live/19603-uefa-europa-league?schedule_id=4733530</t>
  </si>
  <si>
    <t>https://drive.google.com/drive/folders/1DfJTDZQ7L5STk1OopCX9TuEeWl-KL9tm?usp=drive_link</t>
  </si>
  <si>
    <t>as roma; fc midtjylland; sports stream</t>
  </si>
  <si>
    <t>Nonton streaming pertandingan seru Roma vs Midtjylland - UEFA Europa League. Saksikan aksi-aksi terbaik dari tim yang bersaing ketat untuk meraih kemenangan. Dapatkan informasi lengkap mengenai jadwal pertandingan dan hasil pertandingan terbaru hanya di Vidio.</t>
  </si>
  <si>
    <t>A4 , F2</t>
  </si>
  <si>
    <t>https://drive.google.com/file/d/10iU-Jq7q1Aoyk6yFL1wGxGBmIGmiR2wk/view?usp=sharing</t>
  </si>
  <si>
    <t>https://drive.google.com/file/d/1pyNowVAwoZ47ZCaXALAb4_LVFcnNCZZ0/view?usp=sharing</t>
  </si>
  <si>
    <t>https://drive.google.com/file/d/1eA6IyEGkfWZw9EQ87Esd_FhAiT8DpQfV/view?usp=sharing</t>
  </si>
  <si>
    <t>472f0a68</t>
  </si>
  <si>
    <t>LOSC vs Dinamo Zagreb - UEFA Europa League</t>
  </si>
  <si>
    <t>https://www.vidio.com/live/19601-uefa-europa-league?schedule_id=4734918</t>
  </si>
  <si>
    <t>https://drive.google.com/drive/folders/10h4Nl-VUautkpUGmoOhLfNT2HjSyewDn?usp=drive_link</t>
  </si>
  <si>
    <t>Lille OSC Métropole; gnk dinamo zagreb; sports stream</t>
  </si>
  <si>
    <t>Nonton streaming pertandingan seru LOSC vs Dinamo Zagreb - UEFA Europa League. Saksikan aksi-aksi terbaik dari tim yang bersaing ketat untuk meraih kemenangan. Dapatkan informasi lengkap mengenai jadwal pertandingan dan hasil pertandingan terbaru hanya di Vidio.</t>
  </si>
  <si>
    <t>https://drive.google.com/file/d/1aXpvQbJp-gtFv8pj8BCz8cJ6Ct0XkGIr/view?usp=sharing</t>
  </si>
  <si>
    <t>https://drive.google.com/file/d/1B835qkfswdUbsJScPWLFVvXqTtFidkcA/view?usp=drive_link</t>
  </si>
  <si>
    <t>https://drive.google.com/file/d/1QklgfECq-fywZ1HOL21y9oxcBksSnJ3Q/view?usp=sharing</t>
  </si>
  <si>
    <t>8ba69578</t>
  </si>
  <si>
    <t>PAOK vs Brann - UEFA Europa League</t>
  </si>
  <si>
    <t>https://www.vidio.com/live/19629-uefa-europa-league?schedule_id=4734922</t>
  </si>
  <si>
    <t>https://drive.google.com/drive/folders/1Lx5Q5h9tWALRAiHGHAe7UjRD8UHtmuai?usp=drive_link</t>
  </si>
  <si>
    <t>paok; SK Brann; sports stream</t>
  </si>
  <si>
    <t>Nonton streaming pertandingan seru PAOK vs Brann - UEFA Europa League. Saksikan aksi-aksi terbaik dari tim yang bersaing ketat untuk meraih kemenangan. Dapatkan informasi lengkap mengenai jadwal pertandingan dan hasil pertandingan terbaru hanya di Vidio.</t>
  </si>
  <si>
    <t>https://drive.google.com/file/d/1rl3x3QQDOs1j6F3FUeIwybMfi3jVxgIR/view?usp=sharing</t>
  </si>
  <si>
    <t>https://drive.google.com/file/d/1RxHtujmwHlk4IgE4bdOXoS5HVd8GiZv4/view?usp=sharing</t>
  </si>
  <si>
    <t>09e246c4</t>
  </si>
  <si>
    <t>e23f4690</t>
  </si>
  <si>
    <t>Bologna vs RB Salzburg - UEFA Europa League</t>
  </si>
  <si>
    <t>https://www.vidio.com/live/17875-bein-2?schedule_id=4733539</t>
  </si>
  <si>
    <t>https://drive.google.com/drive/folders/15ukCZhyA1B9-pmkdSC-F4tHcFkQgBooZ?usp=drive_link</t>
  </si>
  <si>
    <t>bologna fc 1909; fc salzburg; sports stream</t>
  </si>
  <si>
    <t>Nonton streaming pertandingan seru Bologna vs RB Salzburg - UEFA Europa League. Saksikan aksi-aksi terbaik dari tim yang bersaing ketat untuk meraih kemenangan. Dapatkan informasi lengkap mengenai jadwal pertandingan dan hasil pertandingan terbaru hanya di Vidio.</t>
  </si>
  <si>
    <t>https://drive.google.com/file/d/1x4iE4Sl_4uVVnPVUaxVEd0wyLj6qboQj/view?usp=sharing</t>
  </si>
  <si>
    <t>https://drive.google.com/file/d/1LSCphfAGp0UbuCbCeg28Liusjn3jVEMq/view?usp=sharing</t>
  </si>
  <si>
    <t>https://drive.google.com/file/d/1eOFyOSy_e3bEKQReC5jmA5BctS-aNAdU/view?usp=sharing</t>
  </si>
  <si>
    <t>2c9776e7</t>
  </si>
  <si>
    <t>Genk vs Basel - UEFA Europa League</t>
  </si>
  <si>
    <t>https://www.vidio.com/live/19599-uefa-europa-league?schedule_id=4734927</t>
  </si>
  <si>
    <t>https://drive.google.com/drive/folders/1nYitgF9BsQpX3Rfg9oA_vezIZpOzkDQF?usp=drive_link</t>
  </si>
  <si>
    <t>KRC Genk; fc basel; sports stream</t>
  </si>
  <si>
    <t>Nonton streaming pertandingan seru Genk vs Basel - UEFA Europa League. Saksikan aksi-aksi terbaik dari tim yang bersaing ketat untuk meraih kemenangan. Dapatkan informasi lengkap mengenai jadwal pertandingan dan hasil pertandingan terbaru hanya di Vidio.</t>
  </si>
  <si>
    <t>https://drive.google.com/file/d/1iMn9XoRBb4drYeplbOlLWf0SawU3dGwS/view?usp=sharing</t>
  </si>
  <si>
    <t>https://drive.google.com/file/d/1owAV2crv0Xc3S972qoseFzyPxXesQhhm/view?usp=sharing</t>
  </si>
  <si>
    <t>89966c0f</t>
  </si>
  <si>
    <t>Go Ahead Eagles vs VfB Stuttgart - UEFA Europa League</t>
  </si>
  <si>
    <t>https://www.vidio.com/live/19600-uefa-europa-league?schedule_id=4734928</t>
  </si>
  <si>
    <t>https://drive.google.com/drive/folders/1OexfmihW7QKvKgt5WDYbPd_nh_JuEZLe?usp=drive_link</t>
  </si>
  <si>
    <t>go ahead eagles; vfb stuttgart; sports stream</t>
  </si>
  <si>
    <t>Nonton streaming pertandingan seru Go Ahead Eagles vs VfB Stuttgart - UEFA Europa League. Saksikan aksi-aksi terbaik dari tim yang bersaing ketat untuk meraih kemenangan. Dapatkan informasi lengkap mengenai jadwal pertandingan dan hasil pertandingan terbaru hanya di Vidio.</t>
  </si>
  <si>
    <t>https://drive.google.com/file/d/1OG1wMblYJOYDFOjsDeVzVO1dGc3Z7clW/view?usp=sharing</t>
  </si>
  <si>
    <t>https://drive.google.com/file/d/1ar3Fyd3J7FyWUEALKt08gd42RdfiPVSH/view?usp=sharing</t>
  </si>
  <si>
    <t>https://drive.google.com/file/d/1ZuQoeH6rL1HKsJzRRJA3Xzy08Ekzc8dO/view?usp=sharing</t>
  </si>
  <si>
    <t>c9f88113</t>
  </si>
  <si>
    <t>M. Tel-Aviv vs Lyon - UEFA Europa League</t>
  </si>
  <si>
    <t>https://www.vidio.com/live/19601-uefa-europa-league?schedule_id=4734929</t>
  </si>
  <si>
    <t>https://drive.google.com/drive/folders/1op8AbD5GPGWVNaiW1tcz9gF4KOWO0FqK?usp=drive_link</t>
  </si>
  <si>
    <t>maccabi tel-aviv; olympique lyonnais; sports stream</t>
  </si>
  <si>
    <t>Nonton streaming pertandingan seru M. Tel-Aviv vs Lyon - UEFA Europa League. Saksikan aksi-aksi terbaik dari tim yang bersaing ketat untuk meraih kemenangan. Dapatkan informasi lengkap mengenai jadwal pertandingan dan hasil pertandingan terbaru hanya di Vidio.</t>
  </si>
  <si>
    <t>https://drive.google.com/file/d/1p1uyX4ZrxGBU0jcv9RilRFzkZ8PXXGsy/view?usp=sharing</t>
  </si>
  <si>
    <t>https://drive.google.com/file/d/1IPtfFFRFh7UfbJcSGK1k9m0NEf2mYW87/view?usp=sharing</t>
  </si>
  <si>
    <t>2458c535</t>
  </si>
  <si>
    <t>Panathinaikos vs SK Sturm Graz - UEFA Europa League</t>
  </si>
  <si>
    <t>https://www.vidio.com/live/19602-uefa-europa-league?schedule_id=4734930</t>
  </si>
  <si>
    <t>https://drive.google.com/drive/folders/1jpn-7zc53g7q67-jPektfjpE73MYEpc2?usp=drive_link</t>
  </si>
  <si>
    <t>panathinaikos fc; sk sturm graz; sports stream</t>
  </si>
  <si>
    <t>Nonton streaming pertandingan seru Panathinaikos vs SK Sturm Graz - UEFA Europa League. Saksikan aksi-aksi terbaik dari tim yang bersaing ketat untuk meraih kemenangan. Dapatkan informasi lengkap mengenai jadwal pertandingan dan hasil pertandingan terbaru hanya di Vidio.</t>
  </si>
  <si>
    <t>https://drive.google.com/file/d/1loEr3-Ipzozu6M2AqvGZbHu_pLCe3-O-/view?usp=sharing</t>
  </si>
  <si>
    <t>https://drive.google.com/file/d/1le34T3C15TrdJjuIW2PsWG1fd49kY3lc/view?usp=sharing</t>
  </si>
  <si>
    <t>e0b323b3</t>
  </si>
  <si>
    <t>Nottingham Forest vs Malmo - UEFA Europa League</t>
  </si>
  <si>
    <t>https://www.vidio.com/live/6299-bein-1?schedule_id=4733542</t>
  </si>
  <si>
    <t>https://drive.google.com/drive/folders/157kcTLmYqbHDLnzlFmEcm86jkbEOvl1s?usp=drive_link</t>
  </si>
  <si>
    <t>nottingham forest fc; malmo ff; sports stream</t>
  </si>
  <si>
    <t>Nonton streaming pertandingan seru Nottingham Forest vs Malmo - UEFA Europa League. Saksikan aksi-aksi terbaik dari tim yang bersaing ketat untuk meraih kemenangan. Dapatkan informasi lengkap mengenai jadwal pertandingan dan hasil pertandingan terbaru hanya di Vidio.</t>
  </si>
  <si>
    <t>https://drive.google.com/file/d/1ahsABjoHP8evfy1EtjUMP6iTFUVY-cWE/view?usp=sharing</t>
  </si>
  <si>
    <t>https://drive.google.com/file/d/1G7Gb_Y_LRu_hTQMXCBN8I9DZC6-dFA5H/view?usp=drive_link</t>
  </si>
  <si>
    <t>https://drive.google.com/file/d/13fnkPU3lE-ruX8_jIs4cyS4pCt3RDJiP/view?usp=sharing</t>
  </si>
  <si>
    <t>0865d564</t>
  </si>
  <si>
    <t>Crvena Zvezda vs FCSB - UEFA Europa League</t>
  </si>
  <si>
    <t>https://www.vidio.com/live/19631-uefa-europa-league?schedule_id=4734926</t>
  </si>
  <si>
    <t>https://drive.google.com/drive/folders/1ZjtomY5dw9dAFtO93bKaKqXzIADu6ouT?usp=drive_link</t>
  </si>
  <si>
    <t>fk crvena zvezda beograd; fcsb; sports stream</t>
  </si>
  <si>
    <t>Nonton streaming pertandingan seru Crvena Zvezda vs FCSB - UEFA Europa League. Saksikan aksi-aksi terbaik dari tim yang bersaing ketat untuk meraih kemenangan. Dapatkan informasi lengkap mengenai jadwal pertandingan dan hasil pertandingan terbaru hanya di Vidio.</t>
  </si>
  <si>
    <t>https://drive.google.com/file/d/1rhGVADPuiEyPtblX-ZP2kKHZkroZhnDr/view?usp=sharing</t>
  </si>
  <si>
    <t>https://drive.google.com/file/d/1z7X_ZoYF8f9T7Vbeiglm6UoD0P0MM0GS/view?usp=sharing</t>
  </si>
  <si>
    <t>074bebc0</t>
  </si>
  <si>
    <t>Real Betis vs Utrecht - UEFA Europa League</t>
  </si>
  <si>
    <t>https://www.vidio.com/live/19603-uefa-europa-league?schedule_id=4739857</t>
  </si>
  <si>
    <t>https://drive.google.com/drive/folders/18uh6lQEkBZuLqUHE1X6rO9xnyzShFLYk?usp=drive_link</t>
  </si>
  <si>
    <t>Real Betis Balompié; fc utrecht; sports stream</t>
  </si>
  <si>
    <t>Nonton streaming pertandingan seru Real Betis vs Utrecht - UEFA Europa League. Saksikan aksi-aksi terbaik dari tim yang bersaing ketat untuk meraih kemenangan. Dapatkan informasi lengkap mengenai jadwal pertandingan dan hasil pertandingan terbaru hanya di Vidio.</t>
  </si>
  <si>
    <t>https://drive.google.com/file/d/1nc0CC77MfyEf0uY_j5QE16ECs2LfFsrN/view?usp=sharing</t>
  </si>
  <si>
    <t>https://drive.google.com/file/d/1qqG6yKHlDwlZnuSnr6pxbV70gWAsR4Cp/view?usp=drive_link</t>
  </si>
  <si>
    <t>https://drive.google.com/file/d/160_0EBz9Xy8MSbPocGyq7YLq_OgKvQok/view?usp=sharing</t>
  </si>
  <si>
    <t>1b07cb22</t>
  </si>
  <si>
    <t>Young Boys vs LOSC - UEFA Europa League</t>
  </si>
  <si>
    <t>https://www.vidio.com/live/19600-uefa-europa-league?schedule_id=4773543</t>
  </si>
  <si>
    <t>https://drive.google.com/drive/folders/1o7FbkO8NZ9ypQcW5bsFRnr9W866noATd?usp=drive_link</t>
  </si>
  <si>
    <t>https://drive.google.com/file/d/1p9dQDnWB9El0yjAmwRsWYHpc1SLFQFkU/view?usp=drive_link</t>
  </si>
  <si>
    <t>young boys; Lille OSC Métropole; sports stream</t>
  </si>
  <si>
    <t>Nonton streaming pertandingan seru Young Boys vs LOSC - UEFA Europa League. Saksikan aksi-aksi terbaik dari tim yang bersaing ketat untuk meraih kemenangan. Dapatkan informasi lengkap mengenai jadwal pertandingan dan hasil pertandingan terbaru hanya di Vidio.</t>
  </si>
  <si>
    <t>https://drive.google.com/file/d/1ldpTqD69iB7drYWS-w-oqGxEoA3BhoeT/view?usp=sharing</t>
  </si>
  <si>
    <t>https://drive.google.com/file/d/1p9dQDnWB9El0yjAmwRsWYHpc1SLFQFkU/view?usp=sharing</t>
  </si>
  <si>
    <t>https://drive.google.com/file/d/1LqGtUxFvbvyhdRjOwiWnG4BOfkp3-Mi3/view?usp=sharing</t>
  </si>
  <si>
    <t>ef77c503</t>
  </si>
  <si>
    <t>Nice vs Braga - UEFA Europa League</t>
  </si>
  <si>
    <t>https://www.vidio.com/live/19601-uefa-europa-league?schedule_id=4773539</t>
  </si>
  <si>
    <t>https://drive.google.com/drive/folders/1uv6R_Y03pcTtKFiubqX2kVy_OMhJLELN?usp=drive_link</t>
  </si>
  <si>
    <t>https://drive.google.com/file/d/1HVFDVNHVlZzurp5b2VxoO5ZdKzFcU02q/view?usp=drive_link</t>
  </si>
  <si>
    <t>OGC Nice Côte d'Azur; sporting braga; sports stream</t>
  </si>
  <si>
    <t>Nonton streaming pertandingan seru Nice vs Braga - UEFA Europa League. Saksikan aksi-aksi terbaik dari tim yang bersaing ketat untuk meraih kemenangan. Dapatkan informasi lengkap mengenai jadwal pertandingan dan hasil pertandingan terbaru hanya di Vidio.</t>
  </si>
  <si>
    <t>https://drive.google.com/file/d/1P44-yVHh8D_iZfLhU-M9zr5kpolEAOb-/view?usp=sharing</t>
  </si>
  <si>
    <t>https://drive.google.com/file/d/1HVFDVNHVlZzurp5b2VxoO5ZdKzFcU02q/view?usp=sharing</t>
  </si>
  <si>
    <t>2777679e</t>
  </si>
  <si>
    <t>Ferencvaros vs Rangers - UEFA Europa League</t>
  </si>
  <si>
    <t>https://www.vidio.com/live/19630-uefa-europa-league?schedule_id=4773533</t>
  </si>
  <si>
    <t>https://drive.google.com/drive/folders/165sCcf_oc2ukN566edD1dtFbMW1W5ucV?usp=drive_link</t>
  </si>
  <si>
    <t>https://drive.google.com/file/d/1JJM0G7E2DlTHoSTEPAOZwwyClu5i52Hs/view?usp=drive_link</t>
  </si>
  <si>
    <t>ferencvárosi tc; rangers fc; sports stream</t>
  </si>
  <si>
    <t>Nonton streaming pertandingan seru Ferencvaros vs Rangers - UEFA Europa League. Saksikan aksi-aksi terbaik dari tim yang bersaing ketat untuk meraih kemenangan. Dapatkan informasi lengkap mengenai jadwal pertandingan dan hasil pertandingan terbaru hanya di Vidio.</t>
  </si>
  <si>
    <t>https://drive.google.com/file/d/16XOfEzrxF9PPwV0QuIIY0eb4TyzdctcI/view?usp=sharing</t>
  </si>
  <si>
    <t>https://drive.google.com/file/d/1JJM0G7E2DlTHoSTEPAOZwwyClu5i52Hs/view?usp=sharing</t>
  </si>
  <si>
    <t>2e0a8c94</t>
  </si>
  <si>
    <t>Dinamo Zagreb vs Real Betis - UEFA Europa League</t>
  </si>
  <si>
    <t>https://www.vidio.com/live/6317-bein-3?schedule_id=4773302</t>
  </si>
  <si>
    <t>https://drive.google.com/drive/folders/1UnKgAoT9yOh9ZyEOR-ZB5JtGYPaQoUos?usp=drive_link</t>
  </si>
  <si>
    <t>https://drive.google.com/file/d/1CqJMIufcFgP7u43QaY--ZzAX9tf7_SMx/view?usp=drive_link</t>
  </si>
  <si>
    <t>gnk dinamo zagreb; Real Betis Balompié; sports stream</t>
  </si>
  <si>
    <t>Nonton streaming pertandingan seru Dinamo Zagreb vs Real Betis - UEFA Europa League. Saksikan aksi-aksi terbaik dari tim yang bersaing ketat untuk meraih kemenangan. Dapatkan informasi lengkap mengenai jadwal pertandingan dan hasil pertandingan terbaru hanya di Vidio.</t>
  </si>
  <si>
    <t>https://drive.google.com/file/d/1Hzx9cVZzZTMlO_4M1BvEwI_htMBGqQBY/view?usp=sharing</t>
  </si>
  <si>
    <t>https://drive.google.com/file/d/1CqJMIufcFgP7u43QaY--ZzAX9tf7_SMx/view?usp=sharing</t>
  </si>
  <si>
    <t>https://drive.google.com/file/d/1jVzDndGiHg6NQNIT7ai_uX0QA-rEFPiK/view?usp=sharing</t>
  </si>
  <si>
    <t>d1e28958</t>
  </si>
  <si>
    <t>SK Sturm Graz vs Crvena Zvezda - UEFA Europa League</t>
  </si>
  <si>
    <t>https://www.vidio.com/live/19631-uefa-europa-league?schedule_id=4773541</t>
  </si>
  <si>
    <t>https://drive.google.com/drive/folders/1-h3zDsLR83mlmXk1rHRR6hYM2J3IwfHW?usp=drive_link</t>
  </si>
  <si>
    <t>https://drive.google.com/file/d/1zPEB3s1Ynb0eCBc8a17OA8rUPexnvMtc/view?usp=drive_link</t>
  </si>
  <si>
    <t>sk sturm graz; fk crvena zvezda beograd; sports stream</t>
  </si>
  <si>
    <t>Nonton streaming pertandingan seru SK Sturm Graz vs Crvena Zvezda - UEFA Europa League. Saksikan aksi-aksi terbaik dari tim yang bersaing ketat untuk meraih kemenangan. Dapatkan informasi lengkap mengenai jadwal pertandingan dan hasil pertandingan terbaru hanya di Vidio.</t>
  </si>
  <si>
    <t>https://drive.google.com/file/d/1ECaJsyKzNrHoBW6f2k6BfLoMzFeFOFfs/view?usp=sharing</t>
  </si>
  <si>
    <t>https://drive.google.com/file/d/1zPEB3s1Ynb0eCBc8a17OA8rUPexnvMtc/view?usp=sharing</t>
  </si>
  <si>
    <t>4b3ea778</t>
  </si>
  <si>
    <t>Ludogorets vs PAOK - UEFA Europa League</t>
  </si>
  <si>
    <t>https://www.vidio.com/live/19602-uefa-europa-league?schedule_id=4773535</t>
  </si>
  <si>
    <t>https://drive.google.com/drive/folders/1WUXTPowE338xl2DvEXEw2IgRg1QeoPhS?usp=drive_link</t>
  </si>
  <si>
    <t>https://drive.google.com/file/d/12LZ7eZX8zg_koR7a_Swaav_WMPk-Xm6U/view?usp=drive_link</t>
  </si>
  <si>
    <t>pfc ludogorets 1945 razgrad; paok; sports stream</t>
  </si>
  <si>
    <t>Nonton streaming pertandingan seru Ludogorets vs PAOK - UEFA Europa League. Saksikan aksi-aksi terbaik dari tim yang bersaing ketat untuk meraih kemenangan. Dapatkan informasi lengkap mengenai jadwal pertandingan dan hasil pertandingan terbaru hanya di Vidio.</t>
  </si>
  <si>
    <t>https://drive.google.com/file/d/1dbGKBgSaB4RhkYps-dVz1xoaBFVxnrwU/view?usp=sharing</t>
  </si>
  <si>
    <t>https://drive.google.com/file/d/12LZ7eZX8zg_koR7a_Swaav_WMPk-Xm6U/view?usp=sharing</t>
  </si>
  <si>
    <t>18afdcb4</t>
  </si>
  <si>
    <t>Utrecht vs Nottingham Forest - UEFA Europa League</t>
  </si>
  <si>
    <t>https://www.vidio.com/live/19603-uefa-europa-league?schedule_id=4773545</t>
  </si>
  <si>
    <t>https://drive.google.com/drive/folders/1QRxSIeLRcw55BpFluAJYSvy3G--E5QvG?usp=drive_link</t>
  </si>
  <si>
    <t>https://drive.google.com/file/d/181Lp8HU2Q4yPm01bgxQXGhx8792aJoU8/view?usp=drive_link</t>
  </si>
  <si>
    <t>fc utrecht; nottingham forest fc; sports stream</t>
  </si>
  <si>
    <t>Nonton streaming pertandingan seru Utrecht vs Nottingham Forest - UEFA Europa League. Saksikan aksi-aksi terbaik dari tim yang bersaing ketat untuk meraih kemenangan. Dapatkan informasi lengkap mengenai jadwal pertandingan dan hasil pertandingan terbaru hanya di Vidio.</t>
  </si>
  <si>
    <t>https://drive.google.com/file/d/1nPenlW8vOx5HgoSevqsOG1Hv5dAQ8UbB/view?usp=sharing</t>
  </si>
  <si>
    <t>https://drive.google.com/file/d/181Lp8HU2Q4yPm01bgxQXGhx8792aJoU8/view?usp=sharing</t>
  </si>
  <si>
    <t>https://drive.google.com/file/d/1ocSFyrs5kRHiyOv5OwajANxHvhTSvoKp/view?usp=sharing</t>
  </si>
  <si>
    <t>db40c624</t>
  </si>
  <si>
    <t>Midtjylland vs Genk - UEFA Europa League</t>
  </si>
  <si>
    <t>https://www.vidio.com/live/19599-uefa-europa-league?schedule_id=4773537</t>
  </si>
  <si>
    <t>https://drive.google.com/drive/folders/1o7RsP_AkGJ0LRigrlP54LmTnI_AhCVZk?usp=drive_link</t>
  </si>
  <si>
    <t>https://drive.google.com/file/d/19X0_M2In9_xbBsbHY35dkUlvPHii8Vhx/view?usp=drive_link</t>
  </si>
  <si>
    <t>fc midtjylland; KRC Genk; sports stream</t>
  </si>
  <si>
    <t>Nonton streaming pertandingan seru Midtjylland vs Genk - UEFA Europa League. Saksikan aksi-aksi terbaik dari tim yang bersaing ketat untuk meraih kemenangan. Dapatkan informasi lengkap mengenai jadwal pertandingan dan hasil pertandingan terbaru hanya di Vidio.</t>
  </si>
  <si>
    <t>https://drive.google.com/file/d/1U2TowpF3BBNHuYOyy52OJobO6m0x8sQU/view?usp=sharing</t>
  </si>
  <si>
    <t>https://drive.google.com/file/d/19X0_M2In9_xbBsbHY35dkUlvPHii8Vhx/view?usp=sharing</t>
  </si>
  <si>
    <t>62c2dbe2</t>
  </si>
  <si>
    <t>VfB Stuttgart vs M. Tel-Aviv - UEFA Europa League</t>
  </si>
  <si>
    <t>https://www.vidio.com/live/17875-bein-2?schedule_id=4773311</t>
  </si>
  <si>
    <t>https://drive.google.com/drive/folders/1JHsa85GWdbB7Ndyd1jD4S1popGD5gAae?usp=drive_link</t>
  </si>
  <si>
    <t>https://drive.google.com/file/d/1Ybr4gZgJ5cQS-nuTaaY084zvs1iwiY6X/view?usp=drive_link</t>
  </si>
  <si>
    <t>vfb stuttgart; maccabi tel-aviv; sports stream</t>
  </si>
  <si>
    <t>Nonton streaming pertandingan seru VfB Stuttgart vs M. Tel-Aviv - UEFA Europa League. Saksikan aksi-aksi terbaik dari tim yang bersaing ketat untuk meraih kemenangan. Dapatkan informasi lengkap mengenai jadwal pertandingan dan hasil pertandingan terbaru hanya di Vidio.</t>
  </si>
  <si>
    <t>https://drive.google.com/file/d/1kquvFrMOG6gzmmTv8BWI9Vv5o0zrKJmY/view?usp=sharing</t>
  </si>
  <si>
    <t>https://drive.google.com/file/d/1Ybr4gZgJ5cQS-nuTaaY084zvs1iwiY6X/view?usp=sharing</t>
  </si>
  <si>
    <t>https://drive.google.com/file/d/19cIxRAWLjMKPlxOepvlKMkgqcw9HclI_/view?usp=sharing</t>
  </si>
  <si>
    <t>508e394a</t>
  </si>
  <si>
    <t>Celta Vigo vs Bologna - UEFA Europa League</t>
  </si>
  <si>
    <t>https://www.vidio.com/live/19602-uefa-europa-league?schedule_id=4773536</t>
  </si>
  <si>
    <t>https://drive.google.com/drive/folders/10ZO2R0DDn-NgXwB3cfxJUs5yGLlEs8mh?usp=drive_link</t>
  </si>
  <si>
    <t>https://drive.google.com/file/d/1Ik0RYrPZ4EntkZjMalC4nv5eOR9u3XTA/view?usp=drive_link</t>
  </si>
  <si>
    <t>real club celta de vigo; bologna fc 1909; sports stream</t>
  </si>
  <si>
    <t>Nonton streaming pertandingan seru Celta Vigo vs Bologna - UEFA Europa League. Saksikan aksi-aksi terbaik dari tim yang bersaing ketat untuk meraih kemenangan. Dapatkan informasi lengkap mengenai jadwal pertandingan dan hasil pertandingan terbaru hanya di Vidio.</t>
  </si>
  <si>
    <t>https://drive.google.com/file/d/1u0YV0_sPN6gOTBuvdra-lID2jttuUJmQ/view?usp=sharing</t>
  </si>
  <si>
    <t>https://drive.google.com/file/d/1Ik0RYrPZ4EntkZjMalC4nv5eOR9u3XTA/view?usp=sharing</t>
  </si>
  <si>
    <t>https://drive.google.com/file/d/1-UZlnov4Eo-P8cjf0YmGl2NOl42fR6G3/view?usp=sharing</t>
  </si>
  <si>
    <t>9b7f726b</t>
  </si>
  <si>
    <t>Basel vs Aston Villa - UEFA Europa League</t>
  </si>
  <si>
    <t>https://www.vidio.com/live/6299-bein-1?schedule_id=4773334</t>
  </si>
  <si>
    <t>https://drive.google.com/drive/folders/1iMAxXLWEL2CIdG0m7-jx-6FB9XkHQpW-?usp=drive_link</t>
  </si>
  <si>
    <t>https://drive.google.com/file/d/15BU6t6p7p-mDzmFyWDhoHPeS5yNx0Kun/view?usp=drive_link</t>
  </si>
  <si>
    <t>fc basel; aston villa fc; sports stream</t>
  </si>
  <si>
    <t>Nonton streaming pertandingan seru Basel vs Aston Villa - UEFA Europa League. Saksikan aksi-aksi terbaik dari tim yang bersaing ketat untuk meraih kemenangan. Dapatkan informasi lengkap mengenai jadwal pertandingan dan hasil pertandingan terbaru hanya di Vidio.</t>
  </si>
  <si>
    <t>https://drive.google.com/file/d/1EhCP1kg-M2CWQOrgPDifUo46Wlv9UUhf/view?usp=sharing</t>
  </si>
  <si>
    <t>https://drive.google.com/file/d/15BU6t6p7p-mDzmFyWDhoHPeS5yNx0Kun/view?usp=sharing</t>
  </si>
  <si>
    <t>https://drive.google.com/file/d/1kq5xdSo_X444rcBK7IQsOf7AWEwZTVJD/view?usp=sharing</t>
  </si>
  <si>
    <t>4a0084d7</t>
  </si>
  <si>
    <t>Celtic vs Roma - UEFA Europa League</t>
  </si>
  <si>
    <t>https://www.vidio.com/live/19603-uefa-europa-league?schedule_id=4773546</t>
  </si>
  <si>
    <t>https://drive.google.com/drive/folders/17192Gj5Pt4TiS4FZhbKHM8UdTLZmUKHw?usp=drive_link</t>
  </si>
  <si>
    <t>https://drive.google.com/file/d/1j0ZJdxTmZ1CcyAlNgpEABwoPMrb1ToC4/view?usp=drive_link</t>
  </si>
  <si>
    <t>celtic fc; as roma; sports stream</t>
  </si>
  <si>
    <t>Nonton streaming pertandingan seru Celtic vs Roma - UEFA Europa League. Saksikan aksi-aksi terbaik dari tim yang bersaing ketat untuk meraih kemenangan. Dapatkan informasi lengkap mengenai jadwal pertandingan dan hasil pertandingan terbaru hanya di Vidio.</t>
  </si>
  <si>
    <t>https://drive.google.com/file/d/1d5Ggb5meqeiNbO_nZ77OMt_N4U3A5zqu/view?usp=sharing</t>
  </si>
  <si>
    <t>https://drive.google.com/file/d/1j0ZJdxTmZ1CcyAlNgpEABwoPMrb1ToC4/view?usp=sharing</t>
  </si>
  <si>
    <t>https://drive.google.com/file/d/154cZZJQRHAW-sZ2gTxvjwFsdJ9KIGIDp/view?usp=sharing</t>
  </si>
  <si>
    <t>edaea6d9</t>
  </si>
  <si>
    <t>Porto vs Malmo - UEFA Europa League</t>
  </si>
  <si>
    <t>https://www.vidio.com/live/19600-uefa-europa-league?schedule_id=4773544</t>
  </si>
  <si>
    <t>https://drive.google.com/drive/folders/1CRb3LxZ620xdhsg3GDsrB1iaXkwuFp0X?usp=drive_link</t>
  </si>
  <si>
    <t>https://drive.google.com/file/d/17hjIYhUgh5L3FKARHAm69aJvDMbTwusv/view?usp=drive_link</t>
  </si>
  <si>
    <t>fc porto; malmo ff; sports stream</t>
  </si>
  <si>
    <t>Nonton streaming pertandingan seru Porto vs Malmo - UEFA Europa League. Saksikan aksi-aksi terbaik dari tim yang bersaing ketat untuk meraih kemenangan. Dapatkan informasi lengkap mengenai jadwal pertandingan dan hasil pertandingan terbaru hanya di Vidio.</t>
  </si>
  <si>
    <t>https://drive.google.com/file/d/1P3nKp195jTAbdYqm_ct7Ri9zIdEJMYbN/view?usp=sharing</t>
  </si>
  <si>
    <t>https://drive.google.com/file/d/17hjIYhUgh5L3FKARHAm69aJvDMbTwusv/view?usp=sharing</t>
  </si>
  <si>
    <t>https://drive.google.com/file/d/1EVIZnJo93y9nN0UB4D81MBXBnzKj-JX8/view?usp=sharing</t>
  </si>
  <si>
    <t>cd508f6b</t>
  </si>
  <si>
    <t>Lyon vs Go Ahead Eagles - UEFA Europa League</t>
  </si>
  <si>
    <t>https://www.vidio.com/live/19601-uefa-europa-league?schedule_id=4773540</t>
  </si>
  <si>
    <t>https://drive.google.com/drive/folders/1En2uXwA9g2Bfp-H9E1GRkClj0S3sP6ZH?usp=drive_link</t>
  </si>
  <si>
    <t>https://drive.google.com/file/d/1934uOIBxDllqnTNRVHzijGexKZ_CrR5k/view?usp=drive_link</t>
  </si>
  <si>
    <t>olympique lyonnais; go ahead eagles; sports stream</t>
  </si>
  <si>
    <t>Nonton streaming pertandingan seru Lyon vs Go Ahead Eagles - UEFA Europa League. Saksikan aksi-aksi terbaik dari tim yang bersaing ketat untuk meraih kemenangan. Dapatkan informasi lengkap mengenai jadwal pertandingan dan hasil pertandingan terbaru hanya di Vidio.</t>
  </si>
  <si>
    <t>https://drive.google.com/file/d/1RJ7AA1Hvo9HYfs5Ee8vrbqgL6-L4kp6s/view?usp=sharing</t>
  </si>
  <si>
    <t>https://drive.google.com/file/d/1934uOIBxDllqnTNRVHzijGexKZ_CrR5k/view?usp=sharing</t>
  </si>
  <si>
    <t>https://drive.google.com/file/d/14LT_1XyqbIwbsn-hAO8tmH7s70S6oLek/view?usp=sharing</t>
  </si>
  <si>
    <t>cc8f3500</t>
  </si>
  <si>
    <t>FCSB vs Feyenoord - UEFA Europa League</t>
  </si>
  <si>
    <t>https://www.vidio.com/live/19599-uefa-europa-league?schedule_id=4773538</t>
  </si>
  <si>
    <t>https://drive.google.com/drive/folders/1boIYalhDMpQbqoXf0ZDkAnvcAMHtlRAG?usp=drive_link</t>
  </si>
  <si>
    <t>https://drive.google.com/file/d/1mAFdomg-dJswaukpvEiLDyibblfirAD_/view?usp=drive_link</t>
  </si>
  <si>
    <t>fcsb; feyenoord rotterdam; sports stream</t>
  </si>
  <si>
    <t>Nonton streaming pertandingan seru FCSB vs Feyenoord - UEFA Europa League. Saksikan aksi-aksi terbaik dari tim yang bersaing ketat untuk meraih kemenangan. Dapatkan informasi lengkap mengenai jadwal pertandingan dan hasil pertandingan terbaru hanya di Vidio.</t>
  </si>
  <si>
    <t>https://drive.google.com/file/d/1fhJI8v4CwiykpIQJAnqPN3fMVqvIW9r2/view?usp=sharing</t>
  </si>
  <si>
    <t>https://drive.google.com/file/d/1mAFdomg-dJswaukpvEiLDyibblfirAD_/view?usp=sharing</t>
  </si>
  <si>
    <t>ebe1048c</t>
  </si>
  <si>
    <t>SC Freiburg vs RB Salzburg - UEFA Europa League</t>
  </si>
  <si>
    <t>https://www.vidio.com/live/19629-uefa-europa-league?schedule_id=4773547</t>
  </si>
  <si>
    <t>https://drive.google.com/drive/folders/1sEONT-BjIbsMp8Uq35nXYPfujxZE79YG?usp=drive_link</t>
  </si>
  <si>
    <t>https://drive.google.com/file/d/1MI5be2s3x1aUTzSWk_Vb4n_TEd-_ZVbU/view?usp=drive_link</t>
  </si>
  <si>
    <t>sc freiburg; fc salzburg; sports stream</t>
  </si>
  <si>
    <t>Nonton streaming pertandingan seru SC Freiburg vs RB Salzburg - UEFA Europa League. Saksikan aksi-aksi terbaik dari tim yang bersaing ketat untuk meraih kemenangan. Dapatkan informasi lengkap mengenai jadwal pertandingan dan hasil pertandingan terbaru hanya di Vidio.</t>
  </si>
  <si>
    <t>https://drive.google.com/file/d/1zk7qz04F4iyBdCL-JjMPz8W9c_e9cviF/view?usp=sharing</t>
  </si>
  <si>
    <t>https://drive.google.com/file/d/1MI5be2s3x1aUTzSWk_Vb4n_TEd-_ZVbU/view?usp=sharing</t>
  </si>
  <si>
    <t>77f0d98b</t>
  </si>
  <si>
    <t>Panathinaikos vs Viktoria Plzen - UEFA Europa League</t>
  </si>
  <si>
    <t>https://www.vidio.com/live/19631-uefa-europa-league?schedule_id=4773542</t>
  </si>
  <si>
    <t>https://drive.google.com/drive/folders/1f-KRTUM84_GY-U_SCKG0cpB9r7yqkRp5?usp=drive_link</t>
  </si>
  <si>
    <t>https://drive.google.com/file/d/1NaoM0W4TYV3v6cWnCZa9TniVa6mUniOw/view?usp=drive_link</t>
  </si>
  <si>
    <t>panathinaikos fc; fc viktoria plzeň; sports stream</t>
  </si>
  <si>
    <t>Nonton streaming pertandingan seru Panathinaikos vs Viktoria Plzen - UEFA Europa League. Saksikan aksi-aksi terbaik dari tim yang bersaing ketat untuk meraih kemenangan. Dapatkan informasi lengkap mengenai jadwal pertandingan dan hasil pertandingan terbaru hanya di Vidio.</t>
  </si>
  <si>
    <t>https://drive.google.com/file/d/13X-6xUsrbFTTPUCvYOcPtUoJ2XtlWqeT/view?usp=sharing</t>
  </si>
  <si>
    <t>https://drive.google.com/file/d/1NaoM0W4TYV3v6cWnCZa9TniVa6mUniOw/view?usp=sharing</t>
  </si>
  <si>
    <t>325847da</t>
  </si>
  <si>
    <t>Brann vs Fenerbahce - UEFA Europa League</t>
  </si>
  <si>
    <t>https://www.vidio.com/live/19630-uefa-europa-league?schedule_id=4773534</t>
  </si>
  <si>
    <t>https://drive.google.com/drive/folders/1t7s2Azn-cmPPWlR72gsfxZFj6vExLbdV?usp=drive_link</t>
  </si>
  <si>
    <t>https://drive.google.com/file/d/1Sx13bYh-w1MUn-c9pdTlO0zuSthMX6hy/view?usp=drive_link</t>
  </si>
  <si>
    <t>SK Brann; fenerbahce; sports stream</t>
  </si>
  <si>
    <t>Nonton streaming pertandingan seru Brann vs Fenerbahce - UEFA Europa League. Saksikan aksi-aksi terbaik dari tim yang bersaing ketat untuk meraih kemenangan. Dapatkan informasi lengkap mengenai jadwal pertandingan dan hasil pertandingan terbaru hanya di Vidio.</t>
  </si>
  <si>
    <t>https://drive.google.com/file/d/1REhWkgTBg1LTFjoRPNc5iBbppZQTo4sY/view?usp=sharing</t>
  </si>
  <si>
    <t>https://drive.google.com/file/d/1Sx13bYh-w1MUn-c9pdTlO0zuSthMX6hy/view?usp=sharing</t>
  </si>
  <si>
    <t>952d169c</t>
  </si>
  <si>
    <t>SC Freiburg vs M. Tel-Aviv - UEFA Europa League</t>
  </si>
  <si>
    <t>sc freiburg; maccabi tel-aviv; sports stream</t>
  </si>
  <si>
    <t>Nonton streaming pertandingan seru SC Freiburg vs M. Tel-Aviv - UEFA Europa League. Saksikan aksi-aksi terbaik dari tim yang bersaing ketat untuk meraih kemenangan. Dapatkan informasi lengkap mengenai jadwal pertandingan dan hasil pertandingan terbaru hanya di Vidio.</t>
  </si>
  <si>
    <t>1215c87f</t>
  </si>
  <si>
    <t>Bologna vs Celtic - UEFA Europa League</t>
  </si>
  <si>
    <t>bologna fc 1909; celtic fc; sports stream</t>
  </si>
  <si>
    <t>Nonton streaming pertandingan seru Bologna vs Celtic - UEFA Europa League. Saksikan aksi-aksi terbaik dari tim yang bersaing ketat untuk meraih kemenangan. Dapatkan informasi lengkap mengenai jadwal pertandingan dan hasil pertandingan terbaru hanya di Vidio.</t>
  </si>
  <si>
    <t>1712ea63</t>
  </si>
  <si>
    <t>Malmo vs Crvena Zvezda - UEFA Europa League</t>
  </si>
  <si>
    <t>malmo ff; fk crvena zvezda beograd; sports stream</t>
  </si>
  <si>
    <t>Nonton streaming pertandingan seru Malmo vs Crvena Zvezda - UEFA Europa League. Saksikan aksi-aksi terbaik dari tim yang bersaing ketat untuk meraih kemenangan. Dapatkan informasi lengkap mengenai jadwal pertandingan dan hasil pertandingan terbaru hanya di Vidio.</t>
  </si>
  <si>
    <t>c82a61ee</t>
  </si>
  <si>
    <t>Young Boys vs Lyon - UEFA Europa League</t>
  </si>
  <si>
    <t>young boys; olympique lyonnais; sports stream</t>
  </si>
  <si>
    <t>Nonton streaming pertandingan seru Young Boys vs Lyon - UEFA Europa League. Saksikan aksi-aksi terbaik dari tim yang bersaing ketat untuk meraih kemenangan. Dapatkan informasi lengkap mengenai jadwal pertandingan dan hasil pertandingan terbaru hanya di Vidio.</t>
  </si>
  <si>
    <t>8062fdd7</t>
  </si>
  <si>
    <t>Brann vs Midtjylland - UEFA Europa League</t>
  </si>
  <si>
    <t>SK Brann; fc midtjylland; sports stream</t>
  </si>
  <si>
    <t>Nonton streaming pertandingan seru Brann vs Midtjylland - UEFA Europa League. Saksikan aksi-aksi terbaik dari tim yang bersaing ketat untuk meraih kemenangan. Dapatkan informasi lengkap mengenai jadwal pertandingan dan hasil pertandingan terbaru hanya di Vidio.</t>
  </si>
  <si>
    <t>1ffddc9c</t>
  </si>
  <si>
    <t>Feyenoord vs SK Sturm Graz - UEFA Europa League</t>
  </si>
  <si>
    <t>feyenoord rotterdam; sk sturm graz; sports stream</t>
  </si>
  <si>
    <t>Nonton streaming pertandingan seru Feyenoord vs SK Sturm Graz - UEFA Europa League. Saksikan aksi-aksi terbaik dari tim yang bersaing ketat untuk meraih kemenangan. Dapatkan informasi lengkap mengenai jadwal pertandingan dan hasil pertandingan terbaru hanya di Vidio.</t>
  </si>
  <si>
    <t>611bae44</t>
  </si>
  <si>
    <t>PAOK vs Real Betis - UEFA Europa League</t>
  </si>
  <si>
    <t>paok; Real Betis Balompié; sports stream</t>
  </si>
  <si>
    <t>Nonton streaming pertandingan seru PAOK vs Real Betis - UEFA Europa League. Saksikan aksi-aksi terbaik dari tim yang bersaing ketat untuk meraih kemenangan. Dapatkan informasi lengkap mengenai jadwal pertandingan dan hasil pertandingan terbaru hanya di Vidio.</t>
  </si>
  <si>
    <t>f5b1dde6</t>
  </si>
  <si>
    <t>Viktoria Plzen vs Porto - UEFA Europa League</t>
  </si>
  <si>
    <t>fc viktoria plzeň; fc porto; sports stream</t>
  </si>
  <si>
    <t>Nonton streaming pertandingan seru Viktoria Plzen vs Porto - UEFA Europa League. Saksikan aksi-aksi terbaik dari tim yang bersaing ketat untuk meraih kemenangan. Dapatkan informasi lengkap mengenai jadwal pertandingan dan hasil pertandingan terbaru hanya di Vidio.</t>
  </si>
  <si>
    <t>b866b810</t>
  </si>
  <si>
    <t>Fenerbahce vs Aston Villa - UEFA Europa League</t>
  </si>
  <si>
    <t>fenerbahce; aston villa fc; sports stream</t>
  </si>
  <si>
    <t>Nonton streaming pertandingan seru Fenerbahce vs Aston Villa - UEFA Europa League. Saksikan aksi-aksi terbaik dari tim yang bersaing ketat untuk meraih kemenangan. Dapatkan informasi lengkap mengenai jadwal pertandingan dan hasil pertandingan terbaru hanya di Vidio.</t>
  </si>
  <si>
    <t>60ce9535</t>
  </si>
  <si>
    <t>Braga vs Nottingham Forest - UEFA Europa League</t>
  </si>
  <si>
    <t>sporting braga; nottingham forest fc; sports stream</t>
  </si>
  <si>
    <t>Nonton streaming pertandingan seru Braga vs Nottingham Forest - UEFA Europa League. Saksikan aksi-aksi terbaik dari tim yang bersaing ketat untuk meraih kemenangan. Dapatkan informasi lengkap mengenai jadwal pertandingan dan hasil pertandingan terbaru hanya di Vidio.</t>
  </si>
  <si>
    <t>fcce77dc</t>
  </si>
  <si>
    <t>Dinamo Zagreb vs FCSB - UEFA Europa League</t>
  </si>
  <si>
    <t>gnk dinamo zagreb; fcsb; sports stream</t>
  </si>
  <si>
    <t>Nonton streaming pertandingan seru Dinamo Zagreb vs FCSB - UEFA Europa League. Saksikan aksi-aksi terbaik dari tim yang bersaing ketat untuk meraih kemenangan. Dapatkan informasi lengkap mengenai jadwal pertandingan dan hasil pertandingan terbaru hanya di Vidio.</t>
  </si>
  <si>
    <t>12817cd2</t>
  </si>
  <si>
    <t>Utrecht vs Genk - UEFA Europa League</t>
  </si>
  <si>
    <t>fc utrecht; KRC Genk; sports stream</t>
  </si>
  <si>
    <t>Nonton streaming pertandingan seru Utrecht vs Genk - UEFA Europa League. Saksikan aksi-aksi terbaik dari tim yang bersaing ketat untuk meraih kemenangan. Dapatkan informasi lengkap mengenai jadwal pertandingan dan hasil pertandingan terbaru hanya di Vidio.</t>
  </si>
  <si>
    <t>b1d0200c</t>
  </si>
  <si>
    <t>Ferencvaros vs Panathinaikos - UEFA Europa League</t>
  </si>
  <si>
    <t>ferencvárosi tc; panathinaikos fc; sports stream</t>
  </si>
  <si>
    <t>Nonton streaming pertandingan seru Ferencvaros vs Panathinaikos - UEFA Europa League. Saksikan aksi-aksi terbaik dari tim yang bersaing ketat untuk meraih kemenangan. Dapatkan informasi lengkap mengenai jadwal pertandingan dan hasil pertandingan terbaru hanya di Vidio.</t>
  </si>
  <si>
    <t>619229ef</t>
  </si>
  <si>
    <t>Nice vs Go Ahead Eagles - UEFA Europa League</t>
  </si>
  <si>
    <t>OGC Nice Côte d'Azur; go ahead eagles; sports stream</t>
  </si>
  <si>
    <t>Nonton streaming pertandingan seru Nice vs Go Ahead Eagles - UEFA Europa League. Saksikan aksi-aksi terbaik dari tim yang bersaing ketat untuk meraih kemenangan. Dapatkan informasi lengkap mengenai jadwal pertandingan dan hasil pertandingan terbaru hanya di Vidio.</t>
  </si>
  <si>
    <t>b4646959</t>
  </si>
  <si>
    <t>RB Salzburg vs Basel - UEFA Europa League</t>
  </si>
  <si>
    <t>fc salzburg; fc basel; sports stream</t>
  </si>
  <si>
    <t>Nonton streaming pertandingan seru RB Salzburg vs Basel - UEFA Europa League. Saksikan aksi-aksi terbaik dari tim yang bersaing ketat untuk meraih kemenangan. Dapatkan informasi lengkap mengenai jadwal pertandingan dan hasil pertandingan terbaru hanya di Vidio.</t>
  </si>
  <si>
    <t>25605765</t>
  </si>
  <si>
    <t>Roma vs VfB Stuttgart - UEFA Europa League</t>
  </si>
  <si>
    <t>as roma; vfb stuttgart; sports stream</t>
  </si>
  <si>
    <t>Nonton streaming pertandingan seru Roma vs VfB Stuttgart - UEFA Europa League. Saksikan aksi-aksi terbaik dari tim yang bersaing ketat untuk meraih kemenangan. Dapatkan informasi lengkap mengenai jadwal pertandingan dan hasil pertandingan terbaru hanya di Vidio.</t>
  </si>
  <si>
    <t>86965dc1</t>
  </si>
  <si>
    <t>Celta Vigo vs LOSC - UEFA Europa League</t>
  </si>
  <si>
    <t>real club celta de vigo; Lille OSC Métropole; sports stream</t>
  </si>
  <si>
    <t>Nonton streaming pertandingan seru Celta Vigo vs LOSC - UEFA Europa League. Saksikan aksi-aksi terbaik dari tim yang bersaing ketat untuk meraih kemenangan. Dapatkan informasi lengkap mengenai jadwal pertandingan dan hasil pertandingan terbaru hanya di Vidio.</t>
  </si>
  <si>
    <t>5c4fb338</t>
  </si>
  <si>
    <t>Rangers vs Ludogorets - UEFA Europa League</t>
  </si>
  <si>
    <t>rangers fc; pfc ludogorets 1945 razgrad; sports stream</t>
  </si>
  <si>
    <t>Nonton streaming pertandingan seru Rangers vs Ludogorets - UEFA Europa League. Saksikan aksi-aksi terbaik dari tim yang bersaing ketat untuk meraih kemenangan. Dapatkan informasi lengkap mengenai jadwal pertandingan dan hasil pertandingan terbaru hanya di Vidio.</t>
  </si>
  <si>
    <t>c6ba6e02</t>
  </si>
  <si>
    <t>Celtic vs Utrecht - UEFA Europa League</t>
  </si>
  <si>
    <t>celtic fc; fc utrecht; sports stream</t>
  </si>
  <si>
    <t>Nonton streaming pertandingan seru Celtic vs Utrecht - UEFA Europa League. Saksikan aksi-aksi terbaik dari tim yang bersaing ketat untuk meraih kemenangan. Dapatkan informasi lengkap mengenai jadwal pertandingan dan hasil pertandingan terbaru hanya di Vidio.</t>
  </si>
  <si>
    <t>e1b22214</t>
  </si>
  <si>
    <t>VfB Stuttgart vs Young Boys - UEFA Europa League</t>
  </si>
  <si>
    <t>vfb stuttgart; young boys; sports stream</t>
  </si>
  <si>
    <t>Nonton streaming pertandingan seru VfB Stuttgart vs Young Boys - UEFA Europa League. Saksikan aksi-aksi terbaik dari tim yang bersaing ketat untuk meraih kemenangan. Dapatkan informasi lengkap mengenai jadwal pertandingan dan hasil pertandingan terbaru hanya di Vidio.</t>
  </si>
  <si>
    <t>90e60a6a</t>
  </si>
  <si>
    <t>Porto vs Rangers - UEFA Europa League</t>
  </si>
  <si>
    <t>fc porto; rangers fc; sports stream</t>
  </si>
  <si>
    <t>Nonton streaming pertandingan seru Porto vs Rangers - UEFA Europa League. Saksikan aksi-aksi terbaik dari tim yang bersaing ketat untuk meraih kemenangan. Dapatkan informasi lengkap mengenai jadwal pertandingan dan hasil pertandingan terbaru hanya di Vidio.</t>
  </si>
  <si>
    <t>2e091b06</t>
  </si>
  <si>
    <t>Lyon vs PAOK - UEFA Europa League</t>
  </si>
  <si>
    <t>olympique lyonnais; paok; sports stream</t>
  </si>
  <si>
    <t>Nonton streaming pertandingan seru Lyon vs PAOK - UEFA Europa League. Saksikan aksi-aksi terbaik dari tim yang bersaing ketat untuk meraih kemenangan. Dapatkan informasi lengkap mengenai jadwal pertandingan dan hasil pertandingan terbaru hanya di Vidio.</t>
  </si>
  <si>
    <t>6312381f</t>
  </si>
  <si>
    <t>Crvena Zvezda vs Celta Vigo - UEFA Europa League</t>
  </si>
  <si>
    <t>fk crvena zvezda beograd; real club celta de vigo; sports stream</t>
  </si>
  <si>
    <t>Nonton streaming pertandingan seru Crvena Zvezda vs Celta Vigo - UEFA Europa League. Saksikan aksi-aksi terbaik dari tim yang bersaing ketat untuk meraih kemenangan. Dapatkan informasi lengkap mengenai jadwal pertandingan dan hasil pertandingan terbaru hanya di Vidio.</t>
  </si>
  <si>
    <t>f225160a</t>
  </si>
  <si>
    <t>Midtjylland vs Dinamo Zagreb - UEFA Europa League</t>
  </si>
  <si>
    <t>fc midtjylland; gnk dinamo zagreb; sports stream</t>
  </si>
  <si>
    <t>Nonton streaming pertandingan seru Midtjylland vs Dinamo Zagreb - UEFA Europa League. Saksikan aksi-aksi terbaik dari tim yang bersaing ketat untuk meraih kemenangan. Dapatkan informasi lengkap mengenai jadwal pertandingan dan hasil pertandingan terbaru hanya di Vidio.</t>
  </si>
  <si>
    <t>81fc5c76</t>
  </si>
  <si>
    <t>Go Ahead Eagles vs Braga - UEFA Europa League</t>
  </si>
  <si>
    <t>go ahead eagles; sporting braga; sports stream</t>
  </si>
  <si>
    <t>Nonton streaming pertandingan seru Go Ahead Eagles vs Braga - UEFA Europa League. Saksikan aksi-aksi terbaik dari tim yang bersaing ketat untuk meraih kemenangan. Dapatkan informasi lengkap mengenai jadwal pertandingan dan hasil pertandingan terbaru hanya di Vidio.</t>
  </si>
  <si>
    <t>f6d34051</t>
  </si>
  <si>
    <t>Nottingham Forest vs Ferencvaros - UEFA Europa League</t>
  </si>
  <si>
    <t>nottingham forest fc; ferencvárosi tc; sports stream</t>
  </si>
  <si>
    <t>Nonton streaming pertandingan seru Nottingham Forest vs Ferencvaros - UEFA Europa League. Saksikan aksi-aksi terbaik dari tim yang bersaing ketat untuk meraih kemenangan. Dapatkan informasi lengkap mengenai jadwal pertandingan dan hasil pertandingan terbaru hanya di Vidio.</t>
  </si>
  <si>
    <t>6c9e17ba</t>
  </si>
  <si>
    <t>Real Betis vs Feyenoord - UEFA Europa League</t>
  </si>
  <si>
    <t>Real Betis Balompié; feyenoord rotterdam; sports stream</t>
  </si>
  <si>
    <t>Nonton streaming pertandingan seru Real Betis vs Feyenoord - UEFA Europa League. Saksikan aksi-aksi terbaik dari tim yang bersaing ketat untuk meraih kemenangan. Dapatkan informasi lengkap mengenai jadwal pertandingan dan hasil pertandingan terbaru hanya di Vidio.</t>
  </si>
  <si>
    <t>59340726</t>
  </si>
  <si>
    <t>Ludogorets vs Nice - UEFA Europa League</t>
  </si>
  <si>
    <t>pfc ludogorets 1945 razgrad; OGC Nice Côte d'Azur; sports stream</t>
  </si>
  <si>
    <t>Nonton streaming pertandingan seru Ludogorets vs Nice - UEFA Europa League. Saksikan aksi-aksi terbaik dari tim yang bersaing ketat untuk meraih kemenangan. Dapatkan informasi lengkap mengenai jadwal pertandingan dan hasil pertandingan terbaru hanya di Vidio.</t>
  </si>
  <si>
    <t>abc3c3ad</t>
  </si>
  <si>
    <t>M. Tel-Aviv vs Bologna - UEFA Europa League</t>
  </si>
  <si>
    <t>maccabi tel-aviv; bologna fc 1909; sports stream</t>
  </si>
  <si>
    <t>Nonton streaming pertandingan seru M. Tel-Aviv vs Bologna - UEFA Europa League. Saksikan aksi-aksi terbaik dari tim yang bersaing ketat untuk meraih kemenangan. Dapatkan informasi lengkap mengenai jadwal pertandingan dan hasil pertandingan terbaru hanya di Vidio.</t>
  </si>
  <si>
    <t>ea6fe09c</t>
  </si>
  <si>
    <t>LOSC vs SC Freiburg - UEFA Europa League</t>
  </si>
  <si>
    <t>Lille OSC Métropole; sc freiburg; sports stream</t>
  </si>
  <si>
    <t>Nonton streaming pertandingan seru LOSC vs SC Freiburg - UEFA Europa League. Saksikan aksi-aksi terbaik dari tim yang bersaing ketat untuk meraih kemenangan. Dapatkan informasi lengkap mengenai jadwal pertandingan dan hasil pertandingan terbaru hanya di Vidio.</t>
  </si>
  <si>
    <t>62bf18df</t>
  </si>
  <si>
    <t>SK Sturm Graz vs Brann - UEFA Europa League</t>
  </si>
  <si>
    <t>sk sturm graz; SK Brann; sports stream</t>
  </si>
  <si>
    <t>Nonton streaming pertandingan seru SK Sturm Graz vs Brann - UEFA Europa League. Saksikan aksi-aksi terbaik dari tim yang bersaing ketat untuk meraih kemenangan. Dapatkan informasi lengkap mengenai jadwal pertandingan dan hasil pertandingan terbaru hanya di Vidio.</t>
  </si>
  <si>
    <t>daa6587a</t>
  </si>
  <si>
    <t>Aston Villa vs RB Salzburg - UEFA Europa League</t>
  </si>
  <si>
    <t>aston villa fc; fc salzburg; sports stream</t>
  </si>
  <si>
    <t>Nonton streaming pertandingan seru Aston Villa vs RB Salzburg - UEFA Europa League. Saksikan aksi-aksi terbaik dari tim yang bersaing ketat untuk meraih kemenangan. Dapatkan informasi lengkap mengenai jadwal pertandingan dan hasil pertandingan terbaru hanya di Vidio.</t>
  </si>
  <si>
    <t>1f3969d6</t>
  </si>
  <si>
    <t>Panathinaikos vs Roma - UEFA Europa League</t>
  </si>
  <si>
    <t>panathinaikos fc; as roma; sports stream</t>
  </si>
  <si>
    <t>Nonton streaming pertandingan seru Panathinaikos vs Roma - UEFA Europa League. Saksikan aksi-aksi terbaik dari tim yang bersaing ketat untuk meraih kemenangan. Dapatkan informasi lengkap mengenai jadwal pertandingan dan hasil pertandingan terbaru hanya di Vidio.</t>
  </si>
  <si>
    <t>eadcd76d</t>
  </si>
  <si>
    <t>Basel vs Viktoria Plzen - UEFA Europa League</t>
  </si>
  <si>
    <t>fc basel; fc viktoria plzeň; sports stream</t>
  </si>
  <si>
    <t>Nonton streaming pertandingan seru Basel vs Viktoria Plzen - UEFA Europa League. Saksikan aksi-aksi terbaik dari tim yang bersaing ketat untuk meraih kemenangan. Dapatkan informasi lengkap mengenai jadwal pertandingan dan hasil pertandingan terbaru hanya di Vidio.</t>
  </si>
  <si>
    <t>a9f9f61d</t>
  </si>
  <si>
    <t>FCSB vs Fenerbahce - UEFA Europa League</t>
  </si>
  <si>
    <t>fcsb; fenerbahce; sports stream</t>
  </si>
  <si>
    <t>Nonton streaming pertandingan seru FCSB vs Fenerbahce - UEFA Europa League. Saksikan aksi-aksi terbaik dari tim yang bersaing ketat untuk meraih kemenangan. Dapatkan informasi lengkap mengenai jadwal pertandingan dan hasil pertandingan terbaru hanya di Vidio.</t>
  </si>
  <si>
    <t>635954d8</t>
  </si>
  <si>
    <t>Genk vs Malmo - UEFA Europa League</t>
  </si>
  <si>
    <t>KRC Genk; malmo ff; sports stream</t>
  </si>
  <si>
    <t>Nonton streaming pertandingan seru Genk vs Malmo - UEFA Europa League. Saksikan aksi-aksi terbaik dari tim yang bersaing ketat untuk meraih kemenangan. Dapatkan informasi lengkap mengenai jadwal pertandingan dan hasil pertandingan terbaru hanya di Vidio.</t>
  </si>
  <si>
    <t>1884b87a</t>
  </si>
  <si>
    <t>Crystal Palace vs Millwall - Carabao Cup</t>
  </si>
  <si>
    <t>https://www.vidio.com/live/6686-champions-tv-2?schedule_id=4575851</t>
  </si>
  <si>
    <t>https://drive.google.com/drive/folders/12pF6BAB_02dvjUiIQGQi5_X0ijiNGbUU?usp=drive_link</t>
  </si>
  <si>
    <t>https://drive.google.com/drive/folders/1TwrocApk343Y_ir01u96dimMEIHnDWgZ?usp=drive_link</t>
  </si>
  <si>
    <t>crystal palace fc; millwall fc; sports stream</t>
  </si>
  <si>
    <t>Nonton streaming pertandingan seru Crystal Palace vs Millwall - Carabao Cup. Saksikan aksi-aksi terbaik dari tim yang bersaing ketat untuk meraih kemenangan. Dapatkan informasi lengkap mengenai jadwal pertandingan dan hasil pertandingan terbaru hanya di Vidio.</t>
  </si>
  <si>
    <t>https://drive.google.com/file/d/1IRETU11eRVYuX363xd6v3Bi4-Rxgn7ys/view?usp=sharing</t>
  </si>
  <si>
    <t>https://drive.google.com/file/d/1cSjTNAppv0FAqZ1Zqj_huaDol31c_T0V/view?usp=drive_link</t>
  </si>
  <si>
    <t>https://drive.google.com/file/d/165EGsuubT6noq9WSvjBiYOYF7JWBdoKT/view?usp=sharing</t>
  </si>
  <si>
    <t>59721b3a</t>
  </si>
  <si>
    <t>Brentford vs Aston Villa - Carabao Cup</t>
  </si>
  <si>
    <t>https://www.vidio.com/live/6685-champions-tv-1?schedule_id=4575850</t>
  </si>
  <si>
    <t>https://drive.google.com/drive/folders/12HS9lD12A20ma3cyJiK_x9w7dVmgY4p3?usp=drive_link</t>
  </si>
  <si>
    <t>Nonton streaming pertandingan seru Brentford vs Aston Villa - Carabao Cup. Saksikan aksi-aksi terbaik dari tim yang bersaing ketat untuk meraih kemenangan. Dapatkan informasi lengkap mengenai jadwal pertandingan dan hasil pertandingan terbaru hanya di Vidio.</t>
  </si>
  <si>
    <t>https://drive.google.com/file/d/1XR4e79actIbYWJX9uiL16QggSHIm48Jl/view?usp=sharing</t>
  </si>
  <si>
    <t>https://drive.google.com/file/d/1O8edaMNK66eaUkh5sgnirr0zYFWmdtvC/view?usp=sharing</t>
  </si>
  <si>
    <t>https://drive.google.com/file/d/1yTtcRxe04jc1kMLgytdrE8uruvRSFva0/view?usp=sharing</t>
  </si>
  <si>
    <t>06de6767</t>
  </si>
  <si>
    <t>Swansea City vs Nottingham Forest - Carabao Cup</t>
  </si>
  <si>
    <t>https://www.vidio.com/live/6686-champions-tv-2?schedule_id=4575949</t>
  </si>
  <si>
    <t>https://drive.google.com/drive/folders/1JPP3jA4rBxek9tlbw3S5jjOt-GnJT0kN?usp=drive_link</t>
  </si>
  <si>
    <t>swansea city afc; nottingham forest fc; sports stream</t>
  </si>
  <si>
    <t>Nonton streaming pertandingan seru Swansea City vs Nottingham Forest - Carabao Cup. Saksikan aksi-aksi terbaik dari tim yang bersaing ketat untuk meraih kemenangan. Dapatkan informasi lengkap mengenai jadwal pertandingan dan hasil pertandingan terbaru hanya di Vidio.</t>
  </si>
  <si>
    <t>https://drive.google.com/file/d/1dujxm8Sxyr1ODKwwxyoGi8GEgAACX8Dx/view?usp=sharing</t>
  </si>
  <si>
    <t>https://drive.google.com/file/d/1i2dJTB_YuX8PTEuM3BsiMvGXNp_uc3VS/view?usp=drive_link</t>
  </si>
  <si>
    <t>https://drive.google.com/file/d/1yyfr8dU4HOgH7ranIAYrte0_sJlHKvpo/view?usp=sharing</t>
  </si>
  <si>
    <t>b129b02b</t>
  </si>
  <si>
    <t>Burnley vs Cardiff City - Carabao Cup</t>
  </si>
  <si>
    <t>https://www.vidio.com/live/19370-carabao-cup-2025-26?schedule_id=4592573</t>
  </si>
  <si>
    <t>https://drive.google.com/drive/folders/1kJSswJCmpi_VpUjCmP-YXtduasRGgd8B?usp=drive_link</t>
  </si>
  <si>
    <t>https://drive.google.com/drive/folders/1BHh5wPsnYmUU66j0vsOKMNDJmvhTzaOp?usp=drive_link</t>
  </si>
  <si>
    <t>Cardiff City FC</t>
  </si>
  <si>
    <t>burnley fc; cardiff city fc; sports stream</t>
  </si>
  <si>
    <t>Nonton streaming pertandingan seru Burnley vs Cardiff City - Carabao Cup. Saksikan aksi-aksi terbaik dari tim yang bersaing ketat untuk meraih kemenangan. Dapatkan informasi lengkap mengenai jadwal pertandingan dan hasil pertandingan terbaru hanya di Vidio.</t>
  </si>
  <si>
    <t>https://drive.google.com/file/d/1Ca3ciFx-YJdlmR_Dgc-vYqf2jFkTpC15/view?usp=sharing</t>
  </si>
  <si>
    <t>https://drive.google.com/file/d/1PDcnt9l11gIjSS24I0ekLr0W-aR4vTYK/view?usp=drive_link</t>
  </si>
  <si>
    <t>d908ab6e</t>
  </si>
  <si>
    <t>Barnsley vs Brighton - Carabao Cup</t>
  </si>
  <si>
    <t>https://www.vidio.com/live/19371-carabao-cup-2025-26?schedule_id=4591209</t>
  </si>
  <si>
    <t>https://drive.google.com/drive/folders/17NzBuUzKZDb7AwM-2Tnxet4E7NOesuxv?usp=drive_link</t>
  </si>
  <si>
    <t>Barnsley FC</t>
  </si>
  <si>
    <t>barnsley fc; brighton &amp; hove albion fc; sports stream</t>
  </si>
  <si>
    <t>Nonton streaming pertandingan seru Barnsley vs Brighton - Carabao Cup. Saksikan aksi-aksi terbaik dari tim yang bersaing ketat untuk meraih kemenangan. Dapatkan informasi lengkap mengenai jadwal pertandingan dan hasil pertandingan terbaru hanya di Vidio.</t>
  </si>
  <si>
    <t>https://drive.google.com/file/d/1saSGIdyGGHAT6JFQ9sI4aAIijrDN16Qa/view?usp=sharing</t>
  </si>
  <si>
    <t>https://drive.google.com/file/d/12lQdODVh2dRubMQIBE9rTd3TmEXy_zKb/view?usp=drive_link</t>
  </si>
  <si>
    <t>https://drive.google.com/file/d/1bciYgE4Cm6nNdZ6KMXQjzFcnSSoAqkb5/view?usp=sharing</t>
  </si>
  <si>
    <t>699d4a23</t>
  </si>
  <si>
    <t>KuPS vs Drita - UEFA Conference League</t>
  </si>
  <si>
    <t>https://www.vidio.com/live/19643-uefa-conference-league?schedule_id=4614678</t>
  </si>
  <si>
    <t>https://drive.google.com/drive/folders/1kEYQSfbZXDCBt3kf6xsnMh9F_5iHYCge?usp=drive_link</t>
  </si>
  <si>
    <t>https://drive.google.com/drive/folders/1z0QSLmNvSJyyT8FLEYRkw6ibg9dSBAVC</t>
  </si>
  <si>
    <t>Kuopion Palloseura</t>
  </si>
  <si>
    <t>FC Drita</t>
  </si>
  <si>
    <t>Kuopion Palloseura; FC Drita; sports stream</t>
  </si>
  <si>
    <t>Nonton streaming pertandingan seru KuPS vs Drita - UEFA Conference League. Saksikan aksi-aksi terbaik dari tim yang bersaing ketat untuk meraih kemenangan. Dapatkan informasi lengkap mengenai jadwal pertandingan dan hasil pertandingan terbaru hanya di Vidio.</t>
  </si>
  <si>
    <t>https://drive.google.com/file/d/1jWOl9Vp1ePBMv4hR0OsLkVbOw1cFYti2/view?usp=sharing</t>
  </si>
  <si>
    <t>https://drive.google.com/file/d/1SWagsCMOHh0YbG_7Fte3nvo_mG77c5fb/view?usp=drive_link</t>
  </si>
  <si>
    <t>49a600f4</t>
  </si>
  <si>
    <t>Lech Poznan vs Rapid Wien - UEFA Conference League</t>
  </si>
  <si>
    <t>https://www.vidio.com/live/19649-uefa-conference-league?schedule_id=4614690</t>
  </si>
  <si>
    <t>https://drive.google.com/drive/folders/1d7zsia9EQU5u8fuVp5HkjoTPfPd5CMEJ?usp=drive_link</t>
  </si>
  <si>
    <t>KKS Lech Poznan</t>
  </si>
  <si>
    <t>SK Rapid Wien</t>
  </si>
  <si>
    <t>KKS Lech Poznań; sk rapid wien; sports stream</t>
  </si>
  <si>
    <t>Nonton streaming pertandingan seru Lech Poznan vs Rapid Wien - UEFA Conference League. Saksikan aksi-aksi terbaik dari tim yang bersaing ketat untuk meraih kemenangan. Dapatkan informasi lengkap mengenai jadwal pertandingan dan hasil pertandingan terbaru hanya di Vidio.</t>
  </si>
  <si>
    <t>https://drive.google.com/file/d/1ksuiyEJgsHWmZws8a0zMAx4p1fq0RN5y/view?usp=sharing</t>
  </si>
  <si>
    <t>https://drive.google.com/file/d/1ByGNUI7uOn_eGT_1YlMX3xtnJeKawk0r/view?usp=drive_link</t>
  </si>
  <si>
    <t>f71f8fac</t>
  </si>
  <si>
    <t>Zrinjski vs Lincoln Red Imps - UEFA Conference League</t>
  </si>
  <si>
    <t>https://www.vidio.com/live/19648-uefa-conference-league?schedule_id=4614688</t>
  </si>
  <si>
    <t>https://drive.google.com/drive/folders/1FKabCU1MxMmNpkcXP4QqHCghffE2YRU-?usp=drive_link</t>
  </si>
  <si>
    <t>HSK Zrinjski Mostar</t>
  </si>
  <si>
    <t>Lincoln Red Imps FC</t>
  </si>
  <si>
    <t>HŠK Zrinjski Mostar; Lincoln Red Imps FC; sports stream</t>
  </si>
  <si>
    <t>Nonton streaming pertandingan seru Zrinjski vs Lincoln Red Imps - UEFA Conference League. Saksikan aksi-aksi terbaik dari tim yang bersaing ketat untuk meraih kemenangan. Dapatkan informasi lengkap mengenai jadwal pertandingan dan hasil pertandingan terbaru hanya di Vidio.</t>
  </si>
  <si>
    <t>https://drive.google.com/file/d/1kxlYox98i8fXizd2m6-HiftYDh5MgAUD/view?usp=sharing</t>
  </si>
  <si>
    <t>https://drive.google.com/file/d/1p-QgFWe2snsPpZlIKhTJgZ3GEleQtmm7/view?usp=drive_link</t>
  </si>
  <si>
    <t>9f9c5d2d</t>
  </si>
  <si>
    <t>Omonoia vs Mainz - UEFA Conference League</t>
  </si>
  <si>
    <t>https://www.vidio.com/live/19646-uefa-conference-league?schedule_id=4614684</t>
  </si>
  <si>
    <t>https://drive.google.com/drive/folders/1dS3vNNShD_4D8y9abBX9KcQ_5Be3Vs7d?usp=drive_link</t>
  </si>
  <si>
    <t>AC Omonia</t>
  </si>
  <si>
    <t>FSV Mainz 05</t>
  </si>
  <si>
    <t>ac omonia nicosia; FSV Mainz 05; sports stream</t>
  </si>
  <si>
    <t>Nonton streaming pertandingan seru Omonoia vs Mainz - UEFA Conference League. Saksikan aksi-aksi terbaik dari tim yang bersaing ketat untuk meraih kemenangan. Dapatkan informasi lengkap mengenai jadwal pertandingan dan hasil pertandingan terbaru hanya di Vidio.</t>
  </si>
  <si>
    <t>https://drive.google.com/file/d/1PkqjYdTmi5Ns103LaRkAEGFRuiLn7LWa/view?usp=sharing</t>
  </si>
  <si>
    <t>https://drive.google.com/file/d/1qf7vd_5WXBrP7nHmKkXyH3BwRffOfQ2d/view?usp=drive_link</t>
  </si>
  <si>
    <t>faaf4db0</t>
  </si>
  <si>
    <t>Rayo Vallecano vs Shkendija - UEFA Conference League</t>
  </si>
  <si>
    <t>https://www.vidio.com/live/19647-uefa-conference-league?schedule_id=4614686</t>
  </si>
  <si>
    <t>https://drive.google.com/drive/folders/15qIUIBjjeL8WYrPRGKes7WIH7XM3yV4p?usp=drive_link</t>
  </si>
  <si>
    <t>KF Shkendija</t>
  </si>
  <si>
    <t>rayo vallecano; KF Shkendija; sports stream</t>
  </si>
  <si>
    <t>Nonton streaming pertandingan seru Rayo Vallecano vs Shkendija - UEFA Conference League. Saksikan aksi-aksi terbaik dari tim yang bersaing ketat untuk meraih kemenangan. Dapatkan informasi lengkap mengenai jadwal pertandingan dan hasil pertandingan terbaru hanya di Vidio.</t>
  </si>
  <si>
    <t>https://drive.google.com/file/d/1G4e4OYeNuTEaR6ZVbMLZg4A0L0uJqlwV/view?usp=sharing</t>
  </si>
  <si>
    <t>https://drive.google.com/file/d/1Csi-QfOfxXWyJFYrOe9UC8DZDq6myNFH/view?usp=drive_link</t>
  </si>
  <si>
    <t>https://drive.google.com/file/d/1qQK9oMV4MmII0j9cvFe2ILy6JVfmSCnX/view?usp=sharing</t>
  </si>
  <si>
    <t>fdf4fdb1</t>
  </si>
  <si>
    <t>Jagiellonia Bialystok vs Hamrun - UEFA Conference League</t>
  </si>
  <si>
    <t>https://www.vidio.com/live/19642-uefa-conference-league?schedule_id=4614676</t>
  </si>
  <si>
    <t>https://drive.google.com/drive/folders/1Nyy39xr4wh74bSl36YwhN8qAtyPo9bUl?usp=drive_link</t>
  </si>
  <si>
    <t>Jagiellonia Białystok</t>
  </si>
  <si>
    <t>Hamrun Spartans FC</t>
  </si>
  <si>
    <t>jagiellonia białystok; Hamrun Spartans FC; sports stream</t>
  </si>
  <si>
    <t>Nonton streaming pertandingan seru Jagiellonia Bialystok vs Hamrun - UEFA Conference League. Saksikan aksi-aksi terbaik dari tim yang bersaing ketat untuk meraih kemenangan. Dapatkan informasi lengkap mengenai jadwal pertandingan dan hasil pertandingan terbaru hanya di Vidio.</t>
  </si>
  <si>
    <t>https://drive.google.com/file/d/1AIRDHoxVi8Il0wW8JlB8w0WAFr3LwTWC/view?usp=sharing</t>
  </si>
  <si>
    <t>https://drive.google.com/file/d/1o2B3yBTcsF_si6j57e4EcJELB0juid9u/view?usp=drive_link</t>
  </si>
  <si>
    <t>196c46a7</t>
  </si>
  <si>
    <t>Noah vs Rijeka - UEFA Conference League</t>
  </si>
  <si>
    <t>https://www.vidio.com/live/19645-uefa-conference-league?schedule_id=4614682</t>
  </si>
  <si>
    <t>https://drive.google.com/drive/folders/13wCY4debqs3dQilA3NgaHgkrqEq6bkzP?usp=drive_link</t>
  </si>
  <si>
    <t>FC Noah</t>
  </si>
  <si>
    <t>HNK Rijeka</t>
  </si>
  <si>
    <t>fc noah; HNK Rijeka; sports stream</t>
  </si>
  <si>
    <t>Nonton streaming pertandingan seru Noah vs Rijeka - UEFA Conference League. Saksikan aksi-aksi terbaik dari tim yang bersaing ketat untuk meraih kemenangan. Dapatkan informasi lengkap mengenai jadwal pertandingan dan hasil pertandingan terbaru hanya di Vidio.</t>
  </si>
  <si>
    <t>https://drive.google.com/file/d/1ATp4KZamBc2ynd0jtu7deoCz9CK2j0f_/view?usp=sharing</t>
  </si>
  <si>
    <t>https://drive.google.com/file/d/1UZKl7Xu2PSKVDcavUflOGSl3DPv-clUF/view?usp=drive_link</t>
  </si>
  <si>
    <t>29629df3</t>
  </si>
  <si>
    <t>Dynamo Kyiv vs Crystal Palace - UEFA Conference League</t>
  </si>
  <si>
    <t>https://www.vidio.com/live/6317-bein-3?schedule_id=4614502</t>
  </si>
  <si>
    <t>https://drive.google.com/drive/folders/1mDvxyhX-F-1kXK3pxTwTAVgMkBW-TuQk?usp=drive_link</t>
  </si>
  <si>
    <t>Dynamo Kyiv</t>
  </si>
  <si>
    <t>fc dynamo kyiv; crystal palace fc; sports stream</t>
  </si>
  <si>
    <t>Nonton streaming pertandingan seru Dynamo Kyiv vs Crystal Palace - UEFA Conference League. Saksikan aksi-aksi terbaik dari tim yang bersaing ketat untuk meraih kemenangan. Dapatkan informasi lengkap mengenai jadwal pertandingan dan hasil pertandingan terbaru hanya di Vidio.</t>
  </si>
  <si>
    <t>https://drive.google.com/file/d/1b8lWDpFdjTSsyqiA1Ua666jc86cDGhVg/view?usp=sharing</t>
  </si>
  <si>
    <t>https://drive.google.com/file/d/1TxBbEUbGhREM7XyVWiG-PCz5XskcDshW/view?usp=sharing</t>
  </si>
  <si>
    <t>https://drive.google.com/file/d/1V0auGjmth1XZi4h40yhzJeky7PS6Mz7R/view?usp=sharing</t>
  </si>
  <si>
    <t>cf45d308</t>
  </si>
  <si>
    <t>Lausanne vs Breidablik - UEFA Conference League</t>
  </si>
  <si>
    <t>https://www.vidio.com/live/19644-uefa-conference-league?schedule_id=4614680</t>
  </si>
  <si>
    <t>https://drive.google.com/drive/folders/1fbFWL0Q9HhFTtHG6kECADQkCN3LEs37y?usp=drive_link</t>
  </si>
  <si>
    <t>FC Lausanne-Sport</t>
  </si>
  <si>
    <t>Breidablik UBK</t>
  </si>
  <si>
    <t>FC Lausanne; Breidablik UBK; sports stream</t>
  </si>
  <si>
    <t>Nonton streaming pertandingan seru Lausanne vs Breidablik - UEFA Conference League. Saksikan aksi-aksi terbaik dari tim yang bersaing ketat untuk meraih kemenangan. Dapatkan informasi lengkap mengenai jadwal pertandingan dan hasil pertandingan terbaru hanya di Vidio.</t>
  </si>
  <si>
    <t>https://drive.google.com/file/d/1MLVQq2OzpLPc2x1nVWL6SX2vVlr21PJQ/view?usp=sharing</t>
  </si>
  <si>
    <t>https://drive.google.com/file/d/1jgrFCD9SQMO3yaNIPArQfANtnCaqH4Q4/view?usp=drive_link</t>
  </si>
  <si>
    <t>70e8f157</t>
  </si>
  <si>
    <t>Sparta Praha vs Shamrock Rovers - UEFA Conference League</t>
  </si>
  <si>
    <t>https://www.vidio.com/live/19650-uefa-conference-league?schedule_id=4614701</t>
  </si>
  <si>
    <t>https://drive.google.com/drive/folders/1UfBGLwyVYS5GZqLEtXO6RnOZowpoppJv?usp=drive_link</t>
  </si>
  <si>
    <t>AC Sparta Prague</t>
  </si>
  <si>
    <t>Shamrock Rovers</t>
  </si>
  <si>
    <t>ac sparta praha; shamrock rovers fc; sports stream</t>
  </si>
  <si>
    <t>Nonton streaming pertandingan seru Sparta Praha vs Shamrock Rovers - UEFA Conference League. Saksikan aksi-aksi terbaik dari tim yang bersaing ketat untuk meraih kemenangan. Dapatkan informasi lengkap mengenai jadwal pertandingan dan hasil pertandingan terbaru hanya di Vidio.</t>
  </si>
  <si>
    <t>https://drive.google.com/file/d/1rDAgxWgWMiw886yTso6rk0JRzwaFLXuh/view?usp=sharing</t>
  </si>
  <si>
    <t>https://drive.google.com/file/d/1DUFGRK3NhNu78wKVm8ew8EcWHWw4YX_n/view?usp=drive_link</t>
  </si>
  <si>
    <t>cbc0dab7</t>
  </si>
  <si>
    <t>Rakow Czestochowa vs Universitatea Craiova - UEFA Conference League</t>
  </si>
  <si>
    <t>https://www.vidio.com/live/19647-uefa-conference-league?schedule_id=4614697</t>
  </si>
  <si>
    <t>https://drive.google.com/drive/folders/1iCdEdb4atlHsieTI3HBLxVStmC5UZchT?usp=drive_link</t>
  </si>
  <si>
    <t>Rakow Czestochowa</t>
  </si>
  <si>
    <t>CS Universitatea Craiova</t>
  </si>
  <si>
    <t>KS Raków Częstochowa; CS Universitatea Craiova; sports stream</t>
  </si>
  <si>
    <t>Nonton streaming pertandingan seru Rakow Czestochowa vs Universitatea Craiova - UEFA Conference League. Saksikan aksi-aksi terbaik dari tim yang bersaing ketat untuk meraih kemenangan. Dapatkan informasi lengkap mengenai jadwal pertandingan dan hasil pertandingan terbaru hanya di Vidio.</t>
  </si>
  <si>
    <t>https://drive.google.com/file/d/1FQSsvmnTvC5SBTCyow8Y0TRCtwW9Vu2J/view?usp=sharing</t>
  </si>
  <si>
    <t>https://drive.google.com/file/d/1zwMyvOZNcDIOIlR9jAgvpzj95WCc9ep6/view?usp=drive_link</t>
  </si>
  <si>
    <t>a534b57d</t>
  </si>
  <si>
    <t>Shelbourne vs Hacken - UEFA Conference League</t>
  </si>
  <si>
    <t>https://www.vidio.com/live/19648-uefa-conference-league?schedule_id=4614698</t>
  </si>
  <si>
    <t>https://drive.google.com/drive/folders/1EzyTInAt47ivRCFZmjpu47LLDjZ0LXJ9?usp=drive_link</t>
  </si>
  <si>
    <t>Shelbourne F.C.</t>
  </si>
  <si>
    <t>BK Hacken</t>
  </si>
  <si>
    <t>Shelbourne F.C.; BK Häcken; sports stream</t>
  </si>
  <si>
    <t>Nonton streaming pertandingan seru Shelbourne vs Hacken - UEFA Conference League. Saksikan aksi-aksi terbaik dari tim yang bersaing ketat untuk meraih kemenangan. Dapatkan informasi lengkap mengenai jadwal pertandingan dan hasil pertandingan terbaru hanya di Vidio.</t>
  </si>
  <si>
    <t>https://drive.google.com/file/d/1Jg1brezbs7zKBWTu4Eb9sd8axeawo6pY/view?usp=sharing</t>
  </si>
  <si>
    <t>https://drive.google.com/file/d/1-GFsWc4Z02r5a38_yiBvPHCrHXEeueQ6/view?usp=drive_link</t>
  </si>
  <si>
    <t>09763caa</t>
  </si>
  <si>
    <t>Fiorentina vs Sigma - UEFA Conference League</t>
  </si>
  <si>
    <t>https://www.vidio.com/live/19645-uefa-conference-league?schedule_id=4614695</t>
  </si>
  <si>
    <t>https://drive.google.com/drive/folders/12d719n9NgYr5WmWiB9YwMI2T4ReuhY_0?usp=drive_link</t>
  </si>
  <si>
    <t>SK Sigma Olomouc</t>
  </si>
  <si>
    <t>acf fiorentina; SK Sigma Olomouc; sports stream</t>
  </si>
  <si>
    <t>Nonton streaming pertandingan seru Fiorentina vs Sigma - UEFA Conference League. Saksikan aksi-aksi terbaik dari tim yang bersaing ketat untuk meraih kemenangan. Dapatkan informasi lengkap mengenai jadwal pertandingan dan hasil pertandingan terbaru hanya di Vidio.</t>
  </si>
  <si>
    <t>https://drive.google.com/file/d/1gG0f5gVTl7-7p2ffzZb6wflsAoGiAVkW/view?usp=sharing</t>
  </si>
  <si>
    <t>https://drive.google.com/file/d/1fduXWGHp-lL8YARjSVLKfNrYq1Z99YhI/view?usp=drive_link</t>
  </si>
  <si>
    <t>https://drive.google.com/file/d/12tuMdHPEybQ91ih1xNV50P02st3D5XDb/view?usp=sharing</t>
  </si>
  <si>
    <t>f6309f49</t>
  </si>
  <si>
    <t>Celje vs AEK Athens - UEFA Conference League</t>
  </si>
  <si>
    <t>https://www.vidio.com/live/19644-uefa-conference-league?schedule_id=4614693</t>
  </si>
  <si>
    <t>https://drive.google.com/drive/folders/1Cfqaz2Mue3fIL8QPF5vYTBm7vPubIscb?usp=drive_link</t>
  </si>
  <si>
    <t>NK Celje</t>
  </si>
  <si>
    <t>AEK Athens</t>
  </si>
  <si>
    <t>nk celje; aek athens; sports stream</t>
  </si>
  <si>
    <t>Nonton streaming pertandingan seru Celje vs AEK Athens - UEFA Conference League. Saksikan aksi-aksi terbaik dari tim yang bersaing ketat untuk meraih kemenangan. Dapatkan informasi lengkap mengenai jadwal pertandingan dan hasil pertandingan terbaru hanya di Vidio.</t>
  </si>
  <si>
    <t>https://drive.google.com/file/d/1Chlwh_kwSBXUN620hT6Z-7ymGcQoIvLK/view?usp=sharing</t>
  </si>
  <si>
    <t>https://drive.google.com/file/d/1IbpjeXvjUeDULjrC-vcV05iE7agSwee8/view?usp=drive_link</t>
  </si>
  <si>
    <t>88203c7d</t>
  </si>
  <si>
    <t>Legia Warszawa vs Samsunspor - UEFA Conference League</t>
  </si>
  <si>
    <t>https://www.vidio.com/live/19646-uefa-conference-league?schedule_id=4614696</t>
  </si>
  <si>
    <t>https://drive.google.com/drive/folders/1XuRY7_D8DAeauOlzZGw3-uUYGoVHwVFP?usp=drive_link</t>
  </si>
  <si>
    <t>Samsunspor</t>
  </si>
  <si>
    <t>kp legia warszawa; Samsunspor; sports stream</t>
  </si>
  <si>
    <t>Nonton streaming pertandingan seru Legia Warszawa vs Samsunspor - UEFA Conference League. Saksikan aksi-aksi terbaik dari tim yang bersaing ketat untuk meraih kemenangan. Dapatkan informasi lengkap mengenai jadwal pertandingan dan hasil pertandingan terbaru hanya di Vidio.</t>
  </si>
  <si>
    <t>https://drive.google.com/file/d/157HQRt08sXmsUZdP3B4qZCoj79NIcAzo/view?usp=sharing</t>
  </si>
  <si>
    <t>https://drive.google.com/file/d/1-zFtnhPp6xU2jVdQo84GFgqLezOOfumu/view?usp=drive_link</t>
  </si>
  <si>
    <t>7ec16745</t>
  </si>
  <si>
    <t>AEK Larnaca vs AZ Alkmaar - UEFA Conference League</t>
  </si>
  <si>
    <t>https://www.vidio.com/live/19643-uefa-conference-league?schedule_id=4614692</t>
  </si>
  <si>
    <t>https://drive.google.com/drive/folders/1scalM5Vf-chqICey4yxAjwASlKadkyxE?usp=drive_link</t>
  </si>
  <si>
    <t>AEK Larnaca; alkmaar zaanstreek; sports stream</t>
  </si>
  <si>
    <t>Nonton streaming pertandingan seru AEK Larnaca vs AZ Alkmaar - UEFA Conference League. Saksikan aksi-aksi terbaik dari tim yang bersaing ketat untuk meraih kemenangan. Dapatkan informasi lengkap mengenai jadwal pertandingan dan hasil pertandingan terbaru hanya di Vidio.</t>
  </si>
  <si>
    <t>https://drive.google.com/file/d/1ROp4RbrNpuMJ7QMQHkNHCBSY_5NMQ4F9/view?usp=sharing</t>
  </si>
  <si>
    <t>https://drive.google.com/file/d/1FuvT0m4Wm1VWZxVcVL6JBpV6w-wO5Cy6/view?usp=sharing</t>
  </si>
  <si>
    <t>https://drive.google.com/file/d/1IcZ7qYU83U7z8sU4WS-yeZafydTZ8XgW/view?usp=sharing</t>
  </si>
  <si>
    <t>93e4a0c9</t>
  </si>
  <si>
    <t>Aberdeen vs Shakhtar Donetsk - UEFA Conference League</t>
  </si>
  <si>
    <t>https://www.vidio.com/live/19642-uefa-conference-league?schedule_id=4614691</t>
  </si>
  <si>
    <t>https://drive.google.com/drive/folders/1Rz7pj0GL7HzuT_QQieUiQ06FHzCdHPaO?usp=drive_link</t>
  </si>
  <si>
    <t>Aberdeen</t>
  </si>
  <si>
    <t>FC Shakhtar Donetsk</t>
  </si>
  <si>
    <t>aberdeen; fc shakhtar donetsk; sports stream</t>
  </si>
  <si>
    <t>Nonton streaming pertandingan seru Aberdeen vs Shakhtar Donetsk - UEFA Conference League. Saksikan aksi-aksi terbaik dari tim yang bersaing ketat untuk meraih kemenangan. Dapatkan informasi lengkap mengenai jadwal pertandingan dan hasil pertandingan terbaru hanya di Vidio.</t>
  </si>
  <si>
    <t>https://drive.google.com/file/d/1rSOa4sr_naf7QYS74QByFdyJ-VaxW74_/view?usp=sharing</t>
  </si>
  <si>
    <t>https://drive.google.com/file/d/1-4bIfahU5h8ODMmSAYu8HVjTNzpNSrL2/view?usp=drive_link</t>
  </si>
  <si>
    <t>51f1ed75</t>
  </si>
  <si>
    <t>Slovan Bratislava vs Strasbourg - UEFA Conference League</t>
  </si>
  <si>
    <t>https://www.vidio.com/live/19649-uefa-conference-league?schedule_id=4614699</t>
  </si>
  <si>
    <t>https://drive.google.com/drive/folders/1WwKxpS3XuGBcv8bZnqO4-iCsadOi_wn1?usp=drive_link</t>
  </si>
  <si>
    <t>šk slovan bratislava; rc strasbourg alsace; sports stream</t>
  </si>
  <si>
    <t>Nonton streaming pertandingan seru Slovan Bratislava vs Strasbourg - UEFA Conference League. Saksikan aksi-aksi terbaik dari tim yang bersaing ketat untuk meraih kemenangan. Dapatkan informasi lengkap mengenai jadwal pertandingan dan hasil pertandingan terbaru hanya di Vidio.</t>
  </si>
  <si>
    <t>https://drive.google.com/file/d/1uiTmNYF5ERIvg37OibdDFlWDQRV2FzoZ/view?usp=sharing</t>
  </si>
  <si>
    <t>https://drive.google.com/file/d/1BEAGvl42vs1rCgPWTI9Odnaiqed-KYZ5/view?usp=drive_link</t>
  </si>
  <si>
    <t>2a6f8ca7</t>
  </si>
  <si>
    <t>Breidablik vs KuPS - UEFA Conference League</t>
  </si>
  <si>
    <t>https://www.vidio.com/live/19644-uefa-conference-league?schedule_id=4664181</t>
  </si>
  <si>
    <t>https://drive.google.com/drive/folders/1ENEGRNoy9QJDDnuDpOQsu3bk8Em9uYqf</t>
  </si>
  <si>
    <t>https://drive.google.com/drive/folders/1vjOA9E-jOlhsRSh5NE7jSpcmcR5v41-E</t>
  </si>
  <si>
    <t>Breidablik UBK; Kuopion Palloseura; sports stream</t>
  </si>
  <si>
    <t>Nonton streaming pertandingan seru Breidablik vs KuPS - UEFA Conference League. Saksikan aksi-aksi terbaik dari tim yang bersaing ketat untuk meraih kemenangan. Dapatkan informasi lengkap mengenai jadwal pertandingan dan hasil pertandingan terbaru hanya di Vidio.</t>
  </si>
  <si>
    <t>https://drive.google.com/file/d/1sVnIlLnHEAYalqaao-h-Wbktqjz__OVp/view?usp=sharing</t>
  </si>
  <si>
    <t>https://drive.google.com/file/d/1nkI4x85Yhelp2_GwAFdHxN2OeIzPOWzL/view?usp=drive_link</t>
  </si>
  <si>
    <t>e1c0e8ef</t>
  </si>
  <si>
    <t>Drita vs Omonoia - UEFA Conference League</t>
  </si>
  <si>
    <t>https://www.vidio.com/live/19645-uefa-conference-league?schedule_id=4664183</t>
  </si>
  <si>
    <t>https://drive.google.com/drive/folders/1LS51BJznXMlj0cQFfdzpsniLLFkiocC8</t>
  </si>
  <si>
    <t>FC Drita; ac omonia nicosia; sports stream</t>
  </si>
  <si>
    <t>Nonton streaming pertandingan seru Drita vs Omonoia - UEFA Conference League. Saksikan aksi-aksi terbaik dari tim yang bersaing ketat untuk meraih kemenangan. Dapatkan informasi lengkap mengenai jadwal pertandingan dan hasil pertandingan terbaru hanya di Vidio.</t>
  </si>
  <si>
    <t>https://drive.google.com/file/d/1zO_FrELo0febSiGQRH2CirpKw0yG5RmM/view?usp=sharing</t>
  </si>
  <si>
    <t>https://drive.google.com/file/d/1mQGz3ECnO311s1HkeudLd-0Gg1Z8Y1-I/view?usp=drive_link</t>
  </si>
  <si>
    <t>1415062d</t>
  </si>
  <si>
    <t>Shakhtar Donetsk vs Legia Warszawa - UEFA Conference League</t>
  </si>
  <si>
    <t>https://www.vidio.com/live/19649-uefa-conference-league?schedule_id=4664191</t>
  </si>
  <si>
    <t>https://drive.google.com/drive/folders/1E6T1j4uLOd3XpoV0F5aQBVo9PrP7ESmq</t>
  </si>
  <si>
    <t>fc shakhtar donetsk; kp legia warszawa; sports stream</t>
  </si>
  <si>
    <t>Nonton streaming pertandingan seru Shakhtar Donetsk vs Legia Warszawa - UEFA Conference League. Saksikan aksi-aksi terbaik dari tim yang bersaing ketat untuk meraih kemenangan. Dapatkan informasi lengkap mengenai jadwal pertandingan dan hasil pertandingan terbaru hanya di Vidio.</t>
  </si>
  <si>
    <t>https://drive.google.com/file/d/10wbMMHA8_t0fwt8qQE3IX7VFYkYY2c_7/view?usp=sharing</t>
  </si>
  <si>
    <t>https://drive.google.com/file/d/1pKUbjqW22y-eid4aH1YOcfJCTwlko571/view?usp=drive_link</t>
  </si>
  <si>
    <t>519775c9</t>
  </si>
  <si>
    <t>Strasbourg vs Jagiellonia Bialystok - UEFA Conference League</t>
  </si>
  <si>
    <t>https://www.vidio.com/live/19642-uefa-conference-league?schedule_id=4664231</t>
  </si>
  <si>
    <t>https://drive.google.com/drive/folders/1-Qv0MKSSdEO7rj47Ht-4yoGpChYjxfgX</t>
  </si>
  <si>
    <t>rc strasbourg alsace; jagiellonia białystok; sports stream</t>
  </si>
  <si>
    <t>Nonton streaming pertandingan seru Strasbourg vs Jagiellonia Bialystok - UEFA Conference League. Saksikan aksi-aksi terbaik dari tim yang bersaing ketat untuk meraih kemenangan. Dapatkan informasi lengkap mengenai jadwal pertandingan dan hasil pertandingan terbaru hanya di Vidio.</t>
  </si>
  <si>
    <t>https://drive.google.com/file/d/1-ImXKvdRm5E99pz_iqadKA8thytyICy1/view?usp=sharing</t>
  </si>
  <si>
    <t>https://drive.google.com/file/d/1Vq-IC56LJN5qQ7hRiDSfDG-twljVRS9i/view?usp=drive_link</t>
  </si>
  <si>
    <t>dd31c7e6</t>
  </si>
  <si>
    <t>Shkendija vs Shelbourne - UEFA Conference League</t>
  </si>
  <si>
    <t>https://www.vidio.com/live/19650-uefa-conference-league?schedule_id=4664193</t>
  </si>
  <si>
    <t>https://drive.google.com/drive/folders/1dWTqcUOCz6-GmPIA8KXirmhWI6BU_7-W</t>
  </si>
  <si>
    <t>KF Shkendija; Shelbourne F.C.; sports stream</t>
  </si>
  <si>
    <t>Nonton streaming pertandingan seru Shkendija vs Shelbourne - UEFA Conference League. Saksikan aksi-aksi terbaik dari tim yang bersaing ketat untuk meraih kemenangan. Dapatkan informasi lengkap mengenai jadwal pertandingan dan hasil pertandingan terbaru hanya di Vidio.</t>
  </si>
  <si>
    <t>https://drive.google.com/file/d/1Q6MxiSTquPfmfu4HfT5Fy-HiBTj6wAXV/view?usp=sharing</t>
  </si>
  <si>
    <t>https://drive.google.com/file/d/1i96iX0ljLExdlswwNGY2FVbslYH-xbhv/view?usp=drive_link</t>
  </si>
  <si>
    <t>0d5461a9</t>
  </si>
  <si>
    <t>Rijeka vs Sparta Praha - UEFA Conference League</t>
  </si>
  <si>
    <t>https://www.vidio.com/live/19648-uefa-conference-league?schedule_id=4664189</t>
  </si>
  <si>
    <t>https://drive.google.com/drive/folders/1xnnsiJ9rYozWCZ6NSPXvDcTJdEonQTNG</t>
  </si>
  <si>
    <t>HNK Rijeka; ac sparta praha; sports stream</t>
  </si>
  <si>
    <t>Nonton streaming pertandingan seru Rijeka vs Sparta Praha - UEFA Conference League. Saksikan aksi-aksi terbaik dari tim yang bersaing ketat untuk meraih kemenangan. Dapatkan informasi lengkap mengenai jadwal pertandingan dan hasil pertandingan terbaru hanya di Vidio.</t>
  </si>
  <si>
    <t>https://drive.google.com/file/d/111hQPDdHJHzQ8NaqvJKWTUa3SQZo6UVF/view?usp=sharing</t>
  </si>
  <si>
    <t>https://drive.google.com/file/d/10b281aHZ41pJk51n0VEH-wV-ZfHU4Exr/view?usp=drive_link</t>
  </si>
  <si>
    <t>6fbc0b03</t>
  </si>
  <si>
    <t>Rapid Wien vs Fiorentina - UEFA Conference League</t>
  </si>
  <si>
    <t>https://www.vidio.com/live/19647-uefa-conference-league?schedule_id=4664187</t>
  </si>
  <si>
    <t>https://drive.google.com/drive/folders/1A1BfL3z8rUtUCXgH0RwvF6x9JYzxugFA</t>
  </si>
  <si>
    <t>sk rapid wien; acf fiorentina; sports stream</t>
  </si>
  <si>
    <t>Nonton streaming pertandingan seru Rapid Wien vs Fiorentina - UEFA Conference League. Saksikan aksi-aksi terbaik dari tim yang bersaing ketat untuk meraih kemenangan. Dapatkan informasi lengkap mengenai jadwal pertandingan dan hasil pertandingan terbaru hanya di Vidio.</t>
  </si>
  <si>
    <t>https://drive.google.com/file/d/1ezaXOdOC0MesdjJiXO0B9GazNvKLqmRQ/view?usp=sharing</t>
  </si>
  <si>
    <t>https://drive.google.com/file/d/1chgxafYGCAk5K6Q671LXd31c8eb5SkNv/view?usp=drive_link</t>
  </si>
  <si>
    <t>https://drive.google.com/file/d/1_dVrjJHUN0-TMVwQlyuTs3hNS0CNC3Uo/view?usp=sharing</t>
  </si>
  <si>
    <t>c912c40a</t>
  </si>
  <si>
    <t>AEK Athens vs Aberdeen - UEFA Conference League</t>
  </si>
  <si>
    <t>https://www.vidio.com/live/19643-uefa-conference-league?schedule_id=4664179</t>
  </si>
  <si>
    <t>https://drive.google.com/drive/folders/1WJmeHSYZKgyKmFbriDuor1TgQ_6szMZT</t>
  </si>
  <si>
    <t>aek athens; aberdeen; sports stream</t>
  </si>
  <si>
    <t>Nonton streaming pertandingan seru AEK Athens vs Aberdeen - UEFA Conference League. Saksikan aksi-aksi terbaik dari tim yang bersaing ketat untuk meraih kemenangan. Dapatkan informasi lengkap mengenai jadwal pertandingan dan hasil pertandingan terbaru hanya di Vidio.</t>
  </si>
  <si>
    <t>https://drive.google.com/file/d/1zs4I0MzLiP3_DQ5ApMVG_SyWyCom5nEp/view?usp=sharing</t>
  </si>
  <si>
    <t>https://drive.google.com/file/d/1ZXJDmoqLpLqXbPo2YykZHfR7-w15kqYh/view?usp=sharing</t>
  </si>
  <si>
    <t>5284d657</t>
  </si>
  <si>
    <t>Hacken vs Rayo Vallecano - UEFA Conference League</t>
  </si>
  <si>
    <t>https://www.vidio.com/live/19646-uefa-conference-league?schedule_id=4664185</t>
  </si>
  <si>
    <t>https://drive.google.com/drive/folders/1Huu6bZDLV1RSvaW14aD4x-jv2pxmhtSC</t>
  </si>
  <si>
    <t>BK Häcken; rayo vallecano; sports stream</t>
  </si>
  <si>
    <t>Nonton streaming pertandingan seru Hacken vs Rayo Vallecano - UEFA Conference League. Saksikan aksi-aksi terbaik dari tim yang bersaing ketat untuk meraih kemenangan. Dapatkan informasi lengkap mengenai jadwal pertandingan dan hasil pertandingan terbaru hanya di Vidio.</t>
  </si>
  <si>
    <t>https://drive.google.com/file/d/175-aD-wnCnV7TJ3seSIVXw-I9jjnGJM7/view?usp=sharing</t>
  </si>
  <si>
    <t>https://drive.google.com/file/d/1XvGC3dClJc0Ay_SDeJy8A3O3k-1k9FQr/view?usp=drive_link</t>
  </si>
  <si>
    <t>https://drive.google.com/file/d/1ht5SERxuxTGtUI1K0IZcwq4XRjUUQxG9/view?usp=sharing</t>
  </si>
  <si>
    <t>b91890a0</t>
  </si>
  <si>
    <t>Lincoln Red Imps vs Lech Poznan - UEFA Conference League</t>
  </si>
  <si>
    <t>https://www.vidio.com/live/19644-uefa-conference-league?schedule_id=4664234</t>
  </si>
  <si>
    <t>https://drive.google.com/drive/folders/1XdGdDiHN_8U2biA98Gg_3L97oMsT8AYD</t>
  </si>
  <si>
    <t>Lincoln Red Imps FC; KKS Lech Poznań; sports stream</t>
  </si>
  <si>
    <t>Nonton streaming pertandingan seru Lincoln Red Imps vs Lech Poznan - UEFA Conference League. Saksikan aksi-aksi terbaik dari tim yang bersaing ketat untuk meraih kemenangan. Dapatkan informasi lengkap mengenai jadwal pertandingan dan hasil pertandingan terbaru hanya di Vidio.</t>
  </si>
  <si>
    <t>https://drive.google.com/file/d/1dMffmtRV8DawGIFzt_O0Liv532AKXUpI/view?usp=sharing</t>
  </si>
  <si>
    <t>https://drive.google.com/file/d/1E0ai6Fg9zUXrjYGFuZKUjpG4t2Smp2n-/view?usp=drive_link</t>
  </si>
  <si>
    <t>5bd14b53</t>
  </si>
  <si>
    <t>Samsunspor vs Dynamo Kyiv - UEFA Conference League</t>
  </si>
  <si>
    <t>https://www.vidio.com/live/19646-uefa-conference-league?schedule_id=4664236</t>
  </si>
  <si>
    <t>https://drive.google.com/drive/folders/1Luc3jo1hEbb_fYdbzRRxSXhdK8NTX910</t>
  </si>
  <si>
    <t>Samsunspor; fc dynamo kyiv; sports stream</t>
  </si>
  <si>
    <t>Nonton streaming pertandingan seru Samsunspor vs Dynamo Kyiv - UEFA Conference League. Saksikan aksi-aksi terbaik dari tim yang bersaing ketat untuk meraih kemenangan. Dapatkan informasi lengkap mengenai jadwal pertandingan dan hasil pertandingan terbaru hanya di Vidio.</t>
  </si>
  <si>
    <t>https://drive.google.com/file/d/1qKH6Az41C61OqmHkjbk0ZOmvE0hQimNL/view?usp=sharing</t>
  </si>
  <si>
    <t>https://drive.google.com/file/d/1teEBH6_PgA31cqPJOWdvyu5lg6TH9m5E/view?usp=sharing</t>
  </si>
  <si>
    <t>6c9bcdff</t>
  </si>
  <si>
    <t>Mainz vs Zrinjski - UEFA Conference League</t>
  </si>
  <si>
    <t>https://www.vidio.com/live/19645-uefa-conference-league?schedule_id=4664235</t>
  </si>
  <si>
    <t>https://drive.google.com/drive/folders/1wHqDEFNb49Ehq90BKHILri0XojFuFUVU</t>
  </si>
  <si>
    <t>FSV Mainz 05; HŠK Zrinjski Mostar; sports stream</t>
  </si>
  <si>
    <t>Nonton streaming pertandingan seru Mainz vs Zrinjski - UEFA Conference League. Saksikan aksi-aksi terbaik dari tim yang bersaing ketat untuk meraih kemenangan. Dapatkan informasi lengkap mengenai jadwal pertandingan dan hasil pertandingan terbaru hanya di Vidio.</t>
  </si>
  <si>
    <t>https://drive.google.com/file/d/176sgNq_LlvlyrANIIdFi73YCVUxI0uYV/view?usp=sharing</t>
  </si>
  <si>
    <t>https://drive.google.com/file/d/1_Ir3ppIe2jXCkz9xKJDKstVutQJyguAb/view?usp=drive_link</t>
  </si>
  <si>
    <t>0d2fe25c</t>
  </si>
  <si>
    <t>Crystal Palace vs AEK Larnaca - UEFA Conference League</t>
  </si>
  <si>
    <t>https://www.vidio.com/live/6317-bein-3?schedule_id=4664157</t>
  </si>
  <si>
    <t>https://drive.google.com/drive/folders/1fGJ0dsEp2wyCjpgRDLXUntjG99VddwX4</t>
  </si>
  <si>
    <t>crystal palace fc; AEK Larnaca; sports stream</t>
  </si>
  <si>
    <t>Nonton streaming pertandingan seru Crystal Palace vs AEK Larnaca - UEFA Conference League. Saksikan aksi-aksi terbaik dari tim yang bersaing ketat untuk meraih kemenangan. Dapatkan informasi lengkap mengenai jadwal pertandingan dan hasil pertandingan terbaru hanya di Vidio.</t>
  </si>
  <si>
    <t>https://drive.google.com/file/d/1OYogmsmwvYhk2d2HrH6Eiu_BQPG81F9C/view?usp=sharing</t>
  </si>
  <si>
    <t>https://drive.google.com/file/d/13uFxcWLc8Exn37Q4o6H1ONLzT2BSv6wM/view?usp=sharing</t>
  </si>
  <si>
    <t>https://drive.google.com/file/d/14AwNG9A2zIF923TwYxYWuSo1QBGHMt0O/view?usp=sharing</t>
  </si>
  <si>
    <t>dc802a87</t>
  </si>
  <si>
    <t>Shamrock Rovers vs Celje - UEFA Conference League</t>
  </si>
  <si>
    <t>https://www.vidio.com/live/19647-uefa-conference-league?schedule_id=4664237</t>
  </si>
  <si>
    <t>https://drive.google.com/drive/folders/1FoZEhcmuAKsxzNPhIi4uMvsOJ4TiQsV_</t>
  </si>
  <si>
    <t>shamrock rovers fc; nk celje; sports stream</t>
  </si>
  <si>
    <t>Nonton streaming pertandingan seru Shamrock Rovers vs Celje - UEFA Conference League. Saksikan aksi-aksi terbaik dari tim yang bersaing ketat untuk meraih kemenangan. Dapatkan informasi lengkap mengenai jadwal pertandingan dan hasil pertandingan terbaru hanya di Vidio.</t>
  </si>
  <si>
    <t>https://drive.google.com/file/d/1L12oRKUaLFmqvNP5ZOJ5o1m-3G4Sg6H2/view?usp=sharing</t>
  </si>
  <si>
    <t>https://drive.google.com/file/d/1QbApIG3o6cbdkI6jk6hA7QmkDSb54pgJ/view?usp=drive_link</t>
  </si>
  <si>
    <t>c95625c5</t>
  </si>
  <si>
    <t>Universitatea Craiova vs Noah - UEFA Conference League</t>
  </si>
  <si>
    <t>https://www.vidio.com/live/19649-uefa-conference-league?schedule_id=4664239</t>
  </si>
  <si>
    <t>https://drive.google.com/drive/folders/1bJMtLBOf71PmHz1Fr5MB4PWW2L9OK1Ir</t>
  </si>
  <si>
    <t>CS Universitatea Craiova; fc noah; sports stream</t>
  </si>
  <si>
    <t>Nonton streaming pertandingan seru Universitatea Craiova vs Noah - UEFA Conference League. Saksikan aksi-aksi terbaik dari tim yang bersaing ketat untuk meraih kemenangan. Dapatkan informasi lengkap mengenai jadwal pertandingan dan hasil pertandingan terbaru hanya di Vidio.</t>
  </si>
  <si>
    <t>https://drive.google.com/file/d/1Q_CJpBIKAp6kEEN8ilFFWR-O54KlMrXr/view?usp=sharing</t>
  </si>
  <si>
    <t>https://drive.google.com/file/d/1tF63qTxqAnugLWcR2aLb1EENyXzWtzgF/view?usp=drive_link</t>
  </si>
  <si>
    <t>908e688b</t>
  </si>
  <si>
    <t>Sigma vs Rakow Czestochowa - UEFA Conference League</t>
  </si>
  <si>
    <t>https://www.vidio.com/live/19740-uefa-conference-league?schedule_id=4668407</t>
  </si>
  <si>
    <t>https://drive.google.com/drive/folders/1m1hx_WVmaokUQPLjCiMqksxTYZHOzJgf</t>
  </si>
  <si>
    <t>SK Sigma Olomouc; KS Raków Częstochowa; sports stream</t>
  </si>
  <si>
    <t>Nonton streaming pertandingan seru Sigma vs Rakow Czestochowa - UEFA Conference League. Saksikan aksi-aksi terbaik dari tim yang bersaing ketat untuk meraih kemenangan. Dapatkan informasi lengkap mengenai jadwal pertandingan dan hasil pertandingan terbaru hanya di Vidio.</t>
  </si>
  <si>
    <t>https://drive.google.com/file/d/17yHdY4OsIoRO9zwk43TNu_WkURTjIkw-/view?usp=sharing</t>
  </si>
  <si>
    <t>https://drive.google.com/file/d/178z8fYW8G9S2anOSuxZMZUI9vXQKjRRo/view?usp=drive_link</t>
  </si>
  <si>
    <t>75f35da4</t>
  </si>
  <si>
    <t>AZ Alkmaar vs Slovan Bratislava - UEFA Conference League</t>
  </si>
  <si>
    <t>https://www.vidio.com/live/19736-uefa-conference-league?schedule_id=4667494</t>
  </si>
  <si>
    <t>https://drive.google.com/drive/folders/1tpehDgZcoR6pjuyLkBm5e-NKuXDigB5a</t>
  </si>
  <si>
    <t>alkmaar zaanstreek; šk slovan bratislava; sports stream</t>
  </si>
  <si>
    <t>Nonton streaming pertandingan seru AZ Alkmaar vs Slovan Bratislava - UEFA Conference League. Saksikan aksi-aksi terbaik dari tim yang bersaing ketat untuk meraih kemenangan. Dapatkan informasi lengkap mengenai jadwal pertandingan dan hasil pertandingan terbaru hanya di Vidio.</t>
  </si>
  <si>
    <t>https://drive.google.com/file/d/1_SiNski0PSxMZ7kJkmApiaZdlV88lcw0/view?usp=sharing</t>
  </si>
  <si>
    <t>https://drive.google.com/file/d/1_r5C8m0Nk9TuQKdDoxqO3SEMZO9HNxKA/view?usp=sharing</t>
  </si>
  <si>
    <t>93b3400b</t>
  </si>
  <si>
    <t>Hamrun vs Lausanne - UEFA Conference League</t>
  </si>
  <si>
    <t>https://www.vidio.com/live/19643-uefa-conference-league?schedule_id=4664233</t>
  </si>
  <si>
    <t>https://drive.google.com/drive/folders/1HjA-zTt16ClD4tZ9QAekfhNni6Gtt_wu</t>
  </si>
  <si>
    <t>Hamrun Spartans FC; FC Lausanne; sports stream</t>
  </si>
  <si>
    <t>Nonton streaming pertandingan seru Hamrun vs Lausanne - UEFA Conference League. Saksikan aksi-aksi terbaik dari tim yang bersaing ketat untuk meraih kemenangan. Dapatkan informasi lengkap mengenai jadwal pertandingan dan hasil pertandingan terbaru hanya di Vidio.</t>
  </si>
  <si>
    <t>https://drive.google.com/file/d/1ZGw2lBwWc_-MAfQeIYI0zBBInPns-bZP/view?usp=sharing</t>
  </si>
  <si>
    <t>https://drive.google.com/file/d/1xqij95UY6RbifXKSjJzAe6pi5izXMHEv/view?usp=drive_link</t>
  </si>
  <si>
    <t>5515597f</t>
  </si>
  <si>
    <t>Samsunspor vs Hamrun - UEFA Conference League</t>
  </si>
  <si>
    <t>https://www.vidio.com/live/19740-uefa-conference-league?schedule_id=4700068</t>
  </si>
  <si>
    <t>https://drive.google.com/drive/folders/1jB_LhJa6GT2zlhwdkunm-UuM97RXc3EC</t>
  </si>
  <si>
    <t>https://drive.google.com/drive/folders/1_QyyUC0KxsA5I5XnGSR_moWG1pYIaeRU</t>
  </si>
  <si>
    <t>Samsunspor; Hamrun Spartans FC; sports stream</t>
  </si>
  <si>
    <t>Nonton streaming pertandingan seru Samsunspor vs Hamrun - UEFA Conference League. Saksikan aksi-aksi terbaik dari tim yang bersaing ketat untuk meraih kemenangan. Dapatkan informasi lengkap mengenai jadwal pertandingan dan hasil pertandingan terbaru hanya di Vidio.</t>
  </si>
  <si>
    <t>https://drive.google.com/file/d/1U-xEz_lNLDKrer2yPsKvXQQVTMxG1p9y/view?usp=sharing</t>
  </si>
  <si>
    <t>https://drive.google.com/file/d/1LxClL_pRhNRJkAwHOywAHxaP-vUqiEF8/view?usp=sharing</t>
  </si>
  <si>
    <t>eef0821f</t>
  </si>
  <si>
    <t>Mainz vs Fiorentina - UEFA Conference League</t>
  </si>
  <si>
    <t>https://www.vidio.com/live/19647-uefa-conference-league?schedule_id=4700077</t>
  </si>
  <si>
    <t>https://drive.google.com/drive/folders/1XziCf0zJYtHHC40tO9oz0hKsg4uKbJ8f</t>
  </si>
  <si>
    <t>FSV Mainz 05; acf fiorentina; sports stream</t>
  </si>
  <si>
    <t>Nonton streaming pertandingan seru Mainz vs Fiorentina - UEFA Conference League. Saksikan aksi-aksi terbaik dari tim yang bersaing ketat untuk meraih kemenangan. Dapatkan informasi lengkap mengenai jadwal pertandingan dan hasil pertandingan terbaru hanya di Vidio.</t>
  </si>
  <si>
    <t>https://drive.google.com/file/d/1GN9XQWigsI9DBbKButSwoatryCzl5143/view?usp=sharing</t>
  </si>
  <si>
    <t>https://drive.google.com/file/d/1_g3kDg-Pw1kRgk9AwIaLqAOcLs-HrmWn/view?usp=sharing</t>
  </si>
  <si>
    <t>https://drive.google.com/file/d/1twccD1ZMP3qt261m9Ywr4sVJCLApwDJs/view?usp=sharing</t>
  </si>
  <si>
    <t>9f114ca0</t>
  </si>
  <si>
    <t>Noah vs Sigma - UEFA Conference League</t>
  </si>
  <si>
    <t>https://www.vidio.com/live/19645-uefa-conference-league?schedule_id=4700063</t>
  </si>
  <si>
    <t>https://drive.google.com/drive/folders/19XT07hU5FrUvjHivWvV_3lyv7jL33LXs</t>
  </si>
  <si>
    <t>fc noah; SK Sigma Olomouc; sports stream</t>
  </si>
  <si>
    <t>Nonton streaming pertandingan seru Noah vs Sigma - UEFA Conference League. Saksikan aksi-aksi terbaik dari tim yang bersaing ketat untuk meraih kemenangan. Dapatkan informasi lengkap mengenai jadwal pertandingan dan hasil pertandingan terbaru hanya di Vidio.</t>
  </si>
  <si>
    <t>https://drive.google.com/file/d/1G6oapdukKYbFG_2_pL1DFHjX2Lj1eBC6/view?usp=sharing</t>
  </si>
  <si>
    <t>https://drive.google.com/file/d/1TtG4lqLRQ6kPWSbOo_OGmQryJH6pE9Ax/view?usp=sharing</t>
  </si>
  <si>
    <t>5f4deb83</t>
  </si>
  <si>
    <t>KuPS vs Slovan Bratislava - UEFA Conference League</t>
  </si>
  <si>
    <t>https://www.vidio.com/live/19644-uefa-conference-league?schedule_id=4700072</t>
  </si>
  <si>
    <t>https://drive.google.com/drive/folders/1RWM0eQg2NZfyi3wU9vOg76HlJbjSmKhe</t>
  </si>
  <si>
    <t>Kuopion Palloseura; šk slovan bratislava; sports stream</t>
  </si>
  <si>
    <t>Nonton streaming pertandingan seru KuPS vs Slovan Bratislava - UEFA Conference League. Saksikan aksi-aksi terbaik dari tim yang bersaing ketat untuk meraih kemenangan. Dapatkan informasi lengkap mengenai jadwal pertandingan dan hasil pertandingan terbaru hanya di Vidio.</t>
  </si>
  <si>
    <t>https://drive.google.com/file/d/1ebUoObofbZ-b-x-ObyTlk1fHj-9dmePr/view?usp=sharing</t>
  </si>
  <si>
    <t>https://drive.google.com/file/d/1tTdIxOoCLlg3kM_gVBvUiE0Dce5iM9cp/view?usp=drive_link</t>
  </si>
  <si>
    <t>cf5faa1c</t>
  </si>
  <si>
    <t>Sparta Praha vs Rakow Czestochowa - UEFA Conference League</t>
  </si>
  <si>
    <t>https://www.vidio.com/live/19736-uefa-conference-league?schedule_id=4700080</t>
  </si>
  <si>
    <t>https://drive.google.com/drive/folders/1hy-LPqgLab1SuOm0wpVxxDC-t6W8pZHx</t>
  </si>
  <si>
    <t>ac sparta praha; KS Raków Częstochowa; sports stream</t>
  </si>
  <si>
    <t>Nonton streaming pertandingan seru Sparta Praha vs Rakow Czestochowa - UEFA Conference League. Saksikan aksi-aksi terbaik dari tim yang bersaing ketat untuk meraih kemenangan. Dapatkan informasi lengkap mengenai jadwal pertandingan dan hasil pertandingan terbaru hanya di Vidio.</t>
  </si>
  <si>
    <t>https://drive.google.com/file/d/1ZuLZcY5g_y96zNPSi_3Ssgz0LxED5vPA/view?usp=sharing</t>
  </si>
  <si>
    <t>https://drive.google.com/file/d/1UJ7ao3h1K0AbgKoq85Ay7XJmigS-Ti3J/view?usp=sharing</t>
  </si>
  <si>
    <t>f402145b</t>
  </si>
  <si>
    <t>AEK Larnaca vs Aberdeen - UEFA Conference League</t>
  </si>
  <si>
    <t>https://www.vidio.com/live/19643-uefa-conference-league?schedule_id=4700064</t>
  </si>
  <si>
    <t>https://drive.google.com/drive/folders/1VdGPBZ0Y1ZmrZf3TfjC5oXkHy5WNcL07</t>
  </si>
  <si>
    <t>AEK Larnaca; aberdeen; sports stream</t>
  </si>
  <si>
    <t>Nonton streaming pertandingan seru AEK Larnaca vs Aberdeen - UEFA Conference League. Saksikan aksi-aksi terbaik dari tim yang bersaing ketat untuk meraih kemenangan. Dapatkan informasi lengkap mengenai jadwal pertandingan dan hasil pertandingan terbaru hanya di Vidio.</t>
  </si>
  <si>
    <t>https://drive.google.com/file/d/1b-y90K9itoU-XTpgoRWHIKYTfY4J3EOB/view?usp=sharing</t>
  </si>
  <si>
    <t>https://drive.google.com/file/d/1NRcRlwKNGhZbsYb9Aln32J-rZBnOdd2_/view?usp=sharing</t>
  </si>
  <si>
    <t>8ef4685b</t>
  </si>
  <si>
    <t>Celje vs Legia Warszawa - UEFA Conference League</t>
  </si>
  <si>
    <t>https://www.vidio.com/live/19646-uefa-conference-league?schedule_id=4700069</t>
  </si>
  <si>
    <t>https://drive.google.com/drive/folders/1dYT1-_hkcXr6RajMgy_59xkFCUgGw19T</t>
  </si>
  <si>
    <t>nk celje; kp legia warszawa; sports stream</t>
  </si>
  <si>
    <t>Nonton streaming pertandingan seru Celje vs Legia Warszawa - UEFA Conference League. Saksikan aksi-aksi terbaik dari tim yang bersaing ketat untuk meraih kemenangan. Dapatkan informasi lengkap mengenai jadwal pertandingan dan hasil pertandingan terbaru hanya di Vidio.</t>
  </si>
  <si>
    <t>https://drive.google.com/file/d/1y0q7UcakclMQWgWcdG5vYpHUjMqwAEgC/view?usp=sharing</t>
  </si>
  <si>
    <t>https://drive.google.com/file/d/1gtF4rn92MIrjdJrJLM_IX-SH8LpXn0Ml/view?usp=sharing</t>
  </si>
  <si>
    <t>3063f078</t>
  </si>
  <si>
    <t>Shakhtar Donetsk vs Breidablik - UEFA Conference League</t>
  </si>
  <si>
    <t>https://www.vidio.com/live/19648-uefa-conference-league?schedule_id=4700075</t>
  </si>
  <si>
    <t>https://drive.google.com/drive/folders/1AMCLAWYUUv1lR88Zm82mT_pYSvwZsSiE</t>
  </si>
  <si>
    <t>fc shakhtar donetsk; Breidablik UBK; sports stream</t>
  </si>
  <si>
    <t>Nonton streaming pertandingan seru Shakhtar Donetsk vs Breidablik - UEFA Conference League. Saksikan aksi-aksi terbaik dari tim yang bersaing ketat untuk meraih kemenangan. Dapatkan informasi lengkap mengenai jadwal pertandingan dan hasil pertandingan terbaru hanya di Vidio.</t>
  </si>
  <si>
    <t>https://drive.google.com/file/d/1mMbCk9-0ZmQ6VYJKUmVKMjZnNDZ5QcVB/view?usp=sharing</t>
  </si>
  <si>
    <t>https://drive.google.com/file/d/1FEF5BYI6ay9uCGpFZIAxy2KiNYCP7ZXG/view?usp=sharing</t>
  </si>
  <si>
    <t>bd6d399a</t>
  </si>
  <si>
    <t>AEK Athens vs Shamrock Rovers - UEFA Conference League</t>
  </si>
  <si>
    <t>https://www.vidio.com/live/19649-uefa-conference-league?schedule_id=4700060</t>
  </si>
  <si>
    <t>https://drive.google.com/drive/folders/1mDCoe0S7UberoWQGT8i-ZyfvEDPbFHIV</t>
  </si>
  <si>
    <t>aek athens; shamrock rovers fc; sports stream</t>
  </si>
  <si>
    <t>Nonton streaming pertandingan seru AEK Athens vs Shamrock Rovers - UEFA Conference League. Saksikan aksi-aksi terbaik dari tim yang bersaing ketat untuk meraih kemenangan. Dapatkan informasi lengkap mengenai jadwal pertandingan dan hasil pertandingan terbaru hanya di Vidio.</t>
  </si>
  <si>
    <t>https://drive.google.com/file/d/1ZB16Au3NMiWoFBOMQlddtFADXPo1BZOD/view?usp=sharing</t>
  </si>
  <si>
    <t>https://drive.google.com/file/d/1oPssk0air55kOLl1V3L1TN8rrn_nrCdP/view?usp=sharing</t>
  </si>
  <si>
    <t>44262fe4</t>
  </si>
  <si>
    <t>Rayo Vallecano vs Lech Poznan - UEFA Conference League</t>
  </si>
  <si>
    <t>https://www.vidio.com/live/19645-uefa-conference-league?schedule_id=4700066</t>
  </si>
  <si>
    <t>https://drive.google.com/drive/folders/1gFsWMFPpQUKRllL3sY8LycYgKYZ2PZo_</t>
  </si>
  <si>
    <t>rayo vallecano; KKS Lech Poznań; sports stream</t>
  </si>
  <si>
    <t>Nonton streaming pertandingan seru Rayo Vallecano vs Lech Poznan - UEFA Conference League. Saksikan aksi-aksi terbaik dari tim yang bersaing ketat untuk meraih kemenangan. Dapatkan informasi lengkap mengenai jadwal pertandingan dan hasil pertandingan terbaru hanya di Vidio.</t>
  </si>
  <si>
    <t>https://drive.google.com/file/d/1fb0qc87cliysF5OWfRCB_umkwKdeMlsR/view?usp=sharing</t>
  </si>
  <si>
    <t>https://drive.google.com/file/d/1y9oSvGxUcQJxJpE-Vysu2cYahkdu-4j3/view?usp=sharing</t>
  </si>
  <si>
    <t>dcb74ef0</t>
  </si>
  <si>
    <t>Shkendija vs Jagiellonia Bialystok - UEFA Conference League</t>
  </si>
  <si>
    <t>https://www.vidio.com/live/19648-uefa-conference-league?schedule_id=4700076</t>
  </si>
  <si>
    <t>https://drive.google.com/drive/folders/1036svx-ykxgJ3aq-atXAL_G1fLSd0inD</t>
  </si>
  <si>
    <t>KF Shkendija; jagiellonia białystok; sports stream</t>
  </si>
  <si>
    <t>Nonton streaming pertandingan seru Shkendija vs Jagiellonia Bialystok - UEFA Conference League. Saksikan aksi-aksi terbaik dari tim yang bersaing ketat untuk meraih kemenangan. Dapatkan informasi lengkap mengenai jadwal pertandingan dan hasil pertandingan terbaru hanya di Vidio.</t>
  </si>
  <si>
    <t>https://drive.google.com/file/d/1dWvnDJEIl-GjGzJIB3nl9sxq5E3OM5uR/view?usp=sharing</t>
  </si>
  <si>
    <t>https://drive.google.com/file/d/17XRMdrcPXQeY0ybLF-S9iNNomnx8L34f/view?usp=sharing</t>
  </si>
  <si>
    <t>51559621</t>
  </si>
  <si>
    <t>Crystal Palace vs AZ Alkmaar - UEFA Conference League</t>
  </si>
  <si>
    <t>https://www.vidio.com/live/6317-bein-3?schedule_id=4683975</t>
  </si>
  <si>
    <t>https://drive.google.com/drive/folders/1PErijSECIvqSDKzYNc3pWrWkekLROTzT</t>
  </si>
  <si>
    <t>crystal palace fc; alkmaar zaanstreek; sports stream</t>
  </si>
  <si>
    <t>Nonton streaming pertandingan seru Crystal Palace vs AZ Alkmaar - UEFA Conference League. Saksikan aksi-aksi terbaik dari tim yang bersaing ketat untuk meraih kemenangan. Dapatkan informasi lengkap mengenai jadwal pertandingan dan hasil pertandingan terbaru hanya di Vidio.</t>
  </si>
  <si>
    <t>https://drive.google.com/file/d/1Gw_eYO2RxN_poJUyPp8OHwlxG0nTkqbc/view?usp=sharing</t>
  </si>
  <si>
    <t>https://drive.google.com/file/d/1s-FBa-X4vE4BUxA5ZvQVPE7MNaVKExep/view?usp=sharing</t>
  </si>
  <si>
    <t>https://drive.google.com/file/d/1tl_5JB40YjFM_CBGmPVVJk-1STDrcdkK/view?usp=sharing</t>
  </si>
  <si>
    <t>7094bc2f</t>
  </si>
  <si>
    <t>Shelbourne vs Drita - UEFA Conference League</t>
  </si>
  <si>
    <t>https://www.vidio.com/live/19740-uefa-conference-league?schedule_id=4700071</t>
  </si>
  <si>
    <t>https://drive.google.com/drive/folders/1-1bvZY8pjYLAL1CNo8MwjvjulYvHWeH9</t>
  </si>
  <si>
    <t>Shelbourne F.C.; FC Drita; sports stream</t>
  </si>
  <si>
    <t>Nonton streaming pertandingan seru Shelbourne vs Drita - UEFA Conference League. Saksikan aksi-aksi terbaik dari tim yang bersaing ketat untuk meraih kemenangan. Dapatkan informasi lengkap mengenai jadwal pertandingan dan hasil pertandingan terbaru hanya di Vidio.</t>
  </si>
  <si>
    <t>https://drive.google.com/file/d/1f9TaIZupDFlEu_Fy--JqWjNywdBP44E1/view?usp=sharing</t>
  </si>
  <si>
    <t>https://drive.google.com/file/d/1x-bdH9QTu9PAwgzYLoexmq8vjASNCHSY/view?usp=sharing</t>
  </si>
  <si>
    <t>0cef91d5</t>
  </si>
  <si>
    <t>Hacken vs Strasbourg - UEFA Conference League</t>
  </si>
  <si>
    <t>https://www.vidio.com/live/19643-uefa-conference-league?schedule_id=4700065</t>
  </si>
  <si>
    <t>https://drive.google.com/drive/folders/184ZF6lxub2LE5MtqmtSasfQge7Z8_mdh</t>
  </si>
  <si>
    <t>BK Häcken; rc strasbourg alsace; sports stream</t>
  </si>
  <si>
    <t>Nonton streaming pertandingan seru Hacken vs Strasbourg - UEFA Conference League. Saksikan aksi-aksi terbaik dari tim yang bersaing ketat untuk meraih kemenangan. Dapatkan informasi lengkap mengenai jadwal pertandingan dan hasil pertandingan terbaru hanya di Vidio.</t>
  </si>
  <si>
    <t>https://drive.google.com/file/d/15oTcquTSJiKwzMZHD001c0nF2sbyz4Tr/view?usp=sharing</t>
  </si>
  <si>
    <t>https://drive.google.com/file/d/1zm8--cC2vB_I_H_wKrVKk-0dO68gA77u/view?usp=sharing</t>
  </si>
  <si>
    <t>13dd17d5</t>
  </si>
  <si>
    <t>Lincoln Red Imps vs Rijeka - UEFA Conference League</t>
  </si>
  <si>
    <t>https://www.vidio.com/live/19644-uefa-conference-league?schedule_id=4700073</t>
  </si>
  <si>
    <t>https://drive.google.com/drive/folders/177qWbOy2-tw5EVMbY8_uyHlQdaqOLa3i</t>
  </si>
  <si>
    <t>Lincoln Red Imps FC; HNK Rijeka; sports stream</t>
  </si>
  <si>
    <t>Nonton streaming pertandingan seru Lincoln Red Imps vs Rijeka - UEFA Conference League. Saksikan aksi-aksi terbaik dari tim yang bersaing ketat untuk meraih kemenangan. Dapatkan informasi lengkap mengenai jadwal pertandingan dan hasil pertandingan terbaru hanya di Vidio.</t>
  </si>
  <si>
    <t>https://drive.google.com/file/d/1TH18zH9liJjl0s-cVJyFXq0XtUllvGkB/view?usp=sharing</t>
  </si>
  <si>
    <t>https://drive.google.com/file/d/1cNPMJUDJED9YKXusAdc_kptuRDW-1sIE/view?usp=sharing</t>
  </si>
  <si>
    <t>dc14cb0c</t>
  </si>
  <si>
    <t>Rapid Wien vs Universitatea Craiova - UEFA Conference League</t>
  </si>
  <si>
    <t>https://www.vidio.com/live/19647-uefa-conference-league?schedule_id=4700078</t>
  </si>
  <si>
    <t>https://drive.google.com/drive/folders/1WF1dJz6yU_gkQM8EAXaQbIjGORO6Nrdp</t>
  </si>
  <si>
    <t>sk rapid wien; CS Universitatea Craiova; sports stream</t>
  </si>
  <si>
    <t>Nonton streaming pertandingan seru Rapid Wien vs Universitatea Craiova - UEFA Conference League. Saksikan aksi-aksi terbaik dari tim yang bersaing ketat untuk meraih kemenangan. Dapatkan informasi lengkap mengenai jadwal pertandingan dan hasil pertandingan terbaru hanya di Vidio.</t>
  </si>
  <si>
    <t>https://drive.google.com/file/d/126MLTM6hVkYgEy1Ia7KGTXv2-htcpFQT/view?usp=sharing</t>
  </si>
  <si>
    <t>https://drive.google.com/file/d/1j_tXU0ThLZUsaETRhplmRn6vBdY0UEQn/view?usp=sharing</t>
  </si>
  <si>
    <t>94d933d5</t>
  </si>
  <si>
    <t>Dynamo Kyiv vs Zrinjski - UEFA Conference League</t>
  </si>
  <si>
    <t>https://www.vidio.com/live/19649-uefa-conference-league?schedule_id=4700061</t>
  </si>
  <si>
    <t>https://drive.google.com/drive/folders/1-6CVh3EmCJvOczxre7JXN2fYNjBEVDtQ</t>
  </si>
  <si>
    <t>fc dynamo kyiv; HŠK Zrinjski Mostar; sports stream</t>
  </si>
  <si>
    <t>Nonton streaming pertandingan seru Dynamo Kyiv vs Zrinjski - UEFA Conference League. Saksikan aksi-aksi terbaik dari tim yang bersaing ketat untuk meraih kemenangan. Dapatkan informasi lengkap mengenai jadwal pertandingan dan hasil pertandingan terbaru hanya di Vidio.</t>
  </si>
  <si>
    <t>https://drive.google.com/file/d/1BuMCUsjfmSZFvg-jTFTo5YEGy5b2OFQV/view?usp=sharing</t>
  </si>
  <si>
    <t>https://drive.google.com/file/d/1X44motussed22s5xKeBhQKDJLOKZ0Blv/view?usp=sharing</t>
  </si>
  <si>
    <t>d3852ba8</t>
  </si>
  <si>
    <t>Lausanne vs Omonoia - UEFA Conference League</t>
  </si>
  <si>
    <t>https://www.vidio.com/live/19646-uefa-conference-league?schedule_id=4700070</t>
  </si>
  <si>
    <t>https://drive.google.com/drive/folders/1f1mtBnyHMvhTzJQ96AkQHyQ-WjlFWkVS</t>
  </si>
  <si>
    <t>FC Lausanne; ac omonia nicosia; sports stream</t>
  </si>
  <si>
    <t>Nonton streaming pertandingan seru Lausanne vs Omonoia - UEFA Conference League. Saksikan aksi-aksi terbaik dari tim yang bersaing ketat untuk meraih kemenangan. Dapatkan informasi lengkap mengenai jadwal pertandingan dan hasil pertandingan terbaru hanya di Vidio.</t>
  </si>
  <si>
    <t>https://drive.google.com/file/d/13Mh_BqBUVWLMTx2ZJAO2kgmYJOgzwk7n/view?usp=sharing</t>
  </si>
  <si>
    <t>https://drive.google.com/file/d/1zJTIZvE8QYX0BoAcNUunlhXxwM6einFM/view?usp=sharing</t>
  </si>
  <si>
    <t>69561385</t>
  </si>
  <si>
    <t>Zrinjski vs Hacken - UEFA Conference League</t>
  </si>
  <si>
    <t>https://www.vidio.com/live/19736-uefa-conference-league?schedule_id=4734902</t>
  </si>
  <si>
    <t>https://drive.google.com/drive/folders/1aza982d32Gm-UeUvPPvMmtPp7EvOCaXj</t>
  </si>
  <si>
    <t>https://drive.google.com/drive/folders/1F9lLmIvT4-3oh_Jbh-sne-zsyB6ey7v0</t>
  </si>
  <si>
    <t>HŠK Zrinjski Mostar; BK Häcken; sports stream</t>
  </si>
  <si>
    <t>Nonton streaming pertandingan seru Zrinjski vs Hacken - UEFA Conference League. Saksikan aksi-aksi terbaik dari tim yang bersaing ketat untuk meraih kemenangan. Dapatkan informasi lengkap mengenai jadwal pertandingan dan hasil pertandingan terbaru hanya di Vidio.</t>
  </si>
  <si>
    <t>https://drive.google.com/file/d/1F7q1AaToPDXdWSsTSvocQ2Z9rUcxFl52/view?usp=drive_link</t>
  </si>
  <si>
    <t>https://drive.google.com/file/d/1mMTL6JmHeFhqe6WNviZyfB7r2qsSc0Zo/view?usp=sharing</t>
  </si>
  <si>
    <t>cb4ab56c</t>
  </si>
  <si>
    <t>Lech Poznan vs Lausanne - UEFA Conference League</t>
  </si>
  <si>
    <t>https://www.vidio.com/live/19646-uefa-conference-league?schedule_id=4734889</t>
  </si>
  <si>
    <t>https://drive.google.com/drive/folders/1QTvyHHLqQ4P7EZDpwfMsgAXTwlcqa6xF</t>
  </si>
  <si>
    <t>KKS Lech Poznań; FC Lausanne; sports stream</t>
  </si>
  <si>
    <t>Nonton streaming pertandingan seru Lech Poznan vs Lausanne - UEFA Conference League. Saksikan aksi-aksi terbaik dari tim yang bersaing ketat untuk meraih kemenangan. Dapatkan informasi lengkap mengenai jadwal pertandingan dan hasil pertandingan terbaru hanya di Vidio.</t>
  </si>
  <si>
    <t>https://drive.google.com/file/d/1Ei0kI8i05dvgelQJZLnaDGz6knnsixKm/view?usp=drive_link</t>
  </si>
  <si>
    <t>https://drive.google.com/file/d/1QffJ8C8Uk9JnHb3OF67FsHcNCgtveAUf/view?usp=sharing</t>
  </si>
  <si>
    <t>c59c77a9</t>
  </si>
  <si>
    <t>AZ Alkmaar vs Shelbourne - UEFA Conference League</t>
  </si>
  <si>
    <t>https://www.vidio.com/live/19740-uefa-conference-league?schedule_id=4734885</t>
  </si>
  <si>
    <t>https://drive.google.com/drive/folders/1M0kNQiFZuuLpLC-KfRhm83U5CSXQdjME</t>
  </si>
  <si>
    <t>alkmaar zaanstreek; Shelbourne F.C.; sports stream</t>
  </si>
  <si>
    <t>Nonton streaming pertandingan seru AZ Alkmaar vs Shelbourne - UEFA Conference League. Saksikan aksi-aksi terbaik dari tim yang bersaing ketat untuk meraih kemenangan. Dapatkan informasi lengkap mengenai jadwal pertandingan dan hasil pertandingan terbaru hanya di Vidio.</t>
  </si>
  <si>
    <t>https://drive.google.com/file/d/1WipSI3Y116a0kYX6P5x0us3jL4fwFEvB/view?usp=drive_link</t>
  </si>
  <si>
    <t>https://drive.google.com/file/d/1eUyNILxh3AhdPHA12ob6eZjbnUcS9eJP/view?usp=sharing</t>
  </si>
  <si>
    <t>0b744109</t>
  </si>
  <si>
    <t>Rakow Czestochowa vs Rapid Wien - UEFA Conference League</t>
  </si>
  <si>
    <t>https://www.vidio.com/live/19648-uefa-conference-league?schedule_id=4734893</t>
  </si>
  <si>
    <t>https://drive.google.com/drive/folders/1tPKJOVfHK5ncUaCl8d_oI2L8tB1y5_jR</t>
  </si>
  <si>
    <t>KS Raków Częstochowa; sk rapid wien; sports stream</t>
  </si>
  <si>
    <t>Nonton streaming pertandingan seru Rakow Czestochowa vs Rapid Wien - UEFA Conference League. Saksikan aksi-aksi terbaik dari tim yang bersaing ketat untuk meraih kemenangan. Dapatkan informasi lengkap mengenai jadwal pertandingan dan hasil pertandingan terbaru hanya di Vidio.</t>
  </si>
  <si>
    <t>https://drive.google.com/file/d/1qvbvg9vh6vUjJLAzGzaSmWkWtV-gI4uU/view?usp=drive_link</t>
  </si>
  <si>
    <t>https://drive.google.com/file/d/1Bk_6mObb9dp-1ygFcv6eIP1WjOn5BAXZ/view?usp=sharing</t>
  </si>
  <si>
    <t>d1c9aac3</t>
  </si>
  <si>
    <t>Slovan Bratislava vs Rayo Vallecano - UEFA Conference League</t>
  </si>
  <si>
    <t>https://www.vidio.com/live/19650-uefa-conference-league?schedule_id=4734898</t>
  </si>
  <si>
    <t>https://drive.google.com/drive/folders/1J5n1ewgEBHDTRHH3MNZXDsBi_PufGYE1</t>
  </si>
  <si>
    <t>šk slovan bratislava; rayo vallecano; sports stream</t>
  </si>
  <si>
    <t>Nonton streaming pertandingan seru Slovan Bratislava vs Rayo Vallecano - UEFA Conference League. Saksikan aksi-aksi terbaik dari tim yang bersaing ketat untuk meraih kemenangan. Dapatkan informasi lengkap mengenai jadwal pertandingan dan hasil pertandingan terbaru hanya di Vidio.</t>
  </si>
  <si>
    <t>https://drive.google.com/file/d/1qC7OZExfQ0u-yOzNtFCUcKY2qVr22xJR/view?usp=drive_link</t>
  </si>
  <si>
    <t>https://drive.google.com/file/d/1ZRLy-mZCaV5uh_ujaNbxcYfWTO-zzBXX/view?usp=drive_link</t>
  </si>
  <si>
    <t>011ebfa3</t>
  </si>
  <si>
    <t>Sigma vs Celje - UEFA Conference League</t>
  </si>
  <si>
    <t>https://www.vidio.com/live/19649-uefa-conference-league?schedule_id=4734895</t>
  </si>
  <si>
    <t>https://drive.google.com/drive/folders/1Ty3grkHD7CNI_EWJ901745sgD4m5s_Ls</t>
  </si>
  <si>
    <t>SK Sigma Olomouc; nk celje; sports stream</t>
  </si>
  <si>
    <t>Nonton streaming pertandingan seru Sigma vs Celje - UEFA Conference League. Saksikan aksi-aksi terbaik dari tim yang bersaing ketat untuk meraih kemenangan. Dapatkan informasi lengkap mengenai jadwal pertandingan dan hasil pertandingan terbaru hanya di Vidio.</t>
  </si>
  <si>
    <t>https://drive.google.com/file/d/13NowfReSbm7fMRzss7OMBla2P9LjWPoe/view?usp=drive_link</t>
  </si>
  <si>
    <t>https://drive.google.com/file/d/1sCF0UTaeSy0fK1M1vUal3yrhbHrftiX7/view?usp=sharing</t>
  </si>
  <si>
    <t>27b97ac6</t>
  </si>
  <si>
    <t>Omonoia vs Dynamo Kyiv - UEFA Conference League</t>
  </si>
  <si>
    <t>https://www.vidio.com/live/19647-uefa-conference-league?schedule_id=4734891</t>
  </si>
  <si>
    <t>https://drive.google.com/drive/folders/1eSU4iRk_R3ldS5Qrf71FvcntDjepgP6s</t>
  </si>
  <si>
    <t>ac omonia nicosia; fc dynamo kyiv; sports stream</t>
  </si>
  <si>
    <t>Nonton streaming pertandingan seru Omonoia vs Dynamo Kyiv - UEFA Conference League. Saksikan aksi-aksi terbaik dari tim yang bersaing ketat untuk meraih kemenangan. Dapatkan informasi lengkap mengenai jadwal pertandingan dan hasil pertandingan terbaru hanya di Vidio.</t>
  </si>
  <si>
    <t>https://drive.google.com/file/d/1mp506nV8dY5GTcMzPQbGfGceGf_lvUIL/view?usp=drive_link</t>
  </si>
  <si>
    <t>https://drive.google.com/file/d/14r3d6gt0iUlmfGuVAMyWzZZ-4pi_WmYQ/view?usp=sharing</t>
  </si>
  <si>
    <t>309f6078</t>
  </si>
  <si>
    <t>Hamrun vs Lincoln Red Imps - UEFA Conference League</t>
  </si>
  <si>
    <t>https://www.vidio.com/live/19645-uefa-conference-league?schedule_id=4734887</t>
  </si>
  <si>
    <t>https://drive.google.com/drive/folders/1WiVDuVIZsYPPh9yrAn_iSbUiUfRjh56l</t>
  </si>
  <si>
    <t>Hamrun Spartans FC; Lincoln Red Imps FC; sports stream</t>
  </si>
  <si>
    <t>Nonton streaming pertandingan seru Hamrun vs Lincoln Red Imps - UEFA Conference League. Saksikan aksi-aksi terbaik dari tim yang bersaing ketat untuk meraih kemenangan. Dapatkan informasi lengkap mengenai jadwal pertandingan dan hasil pertandingan terbaru hanya di Vidio.</t>
  </si>
  <si>
    <t>https://drive.google.com/file/d/15eqjKjl-vXCmccwwavs39bjnK36wF3hA/view?usp=drive_link</t>
  </si>
  <si>
    <t>https://drive.google.com/file/d/1MsLJFfIQOYADev3jZepZEWvxNk2URkkG/view?usp=sharing</t>
  </si>
  <si>
    <t>696084ac</t>
  </si>
  <si>
    <t>Universitatea Craiova vs Mainz - UEFA Conference League</t>
  </si>
  <si>
    <t>https://www.vidio.com/live/19642-uefa-conference-league?schedule_id=4734900</t>
  </si>
  <si>
    <t>https://drive.google.com/drive/folders/1yimfYEBe5aMfP4IT5MfaP0Uwe82e2lOc</t>
  </si>
  <si>
    <t>CS Universitatea Craiova; FSV Mainz 05; sports stream</t>
  </si>
  <si>
    <t>Nonton streaming pertandingan seru Universitatea Craiova vs Mainz - UEFA Conference League. Saksikan aksi-aksi terbaik dari tim yang bersaing ketat untuk meraih kemenangan. Dapatkan informasi lengkap mengenai jadwal pertandingan dan hasil pertandingan terbaru hanya di Vidio.</t>
  </si>
  <si>
    <t>https://drive.google.com/file/d/1cQlrNJfxhNKiNJ1L6dCMn9jo0s9dK2Fp/view?usp=sharing</t>
  </si>
  <si>
    <t>https://drive.google.com/file/d/1N7Bi7GBY4pukUpQ5DkdZ17QkGrV04fMT/view?usp=sharing</t>
  </si>
  <si>
    <t>6fd5f923</t>
  </si>
  <si>
    <t>Rijeka vs AEK Larnaca - UEFA Conference League</t>
  </si>
  <si>
    <t>https://www.vidio.com/live/19647-uefa-conference-league?schedule_id=4734911</t>
  </si>
  <si>
    <t>https://drive.google.com/drive/folders/15-kJGe6H8ndaBDhD8HtDfXj31CjQX5yu</t>
  </si>
  <si>
    <t>HNK Rijeka; AEK Larnaca; sports stream</t>
  </si>
  <si>
    <t>Nonton streaming pertandingan seru Rijeka vs AEK Larnaca - UEFA Conference League. Saksikan aksi-aksi terbaik dari tim yang bersaing ketat untuk meraih kemenangan. Dapatkan informasi lengkap mengenai jadwal pertandingan dan hasil pertandingan terbaru hanya di Vidio.</t>
  </si>
  <si>
    <t>https://drive.google.com/file/d/1RTPBwFxE2e75qefE8dzvxqLoHLn9m-71/view?usp=drive_link</t>
  </si>
  <si>
    <t>https://drive.google.com/file/d/1StvX9hkudLSRO4ALrL-dQswG11Tq2w5D/view?usp=sharing</t>
  </si>
  <si>
    <t>9cacb988</t>
  </si>
  <si>
    <t>Breidablik vs Samsunspor - UEFA Conference League</t>
  </si>
  <si>
    <t>https://www.vidio.com/live/19740-uefa-conference-league?schedule_id=4734905</t>
  </si>
  <si>
    <t>https://drive.google.com/drive/folders/1BMCjD7dT7Q4pofDbbkazxBaXcOVAgDtf</t>
  </si>
  <si>
    <t>Breidablik UBK; Samsunspor; sports stream</t>
  </si>
  <si>
    <t>Nonton streaming pertandingan seru Breidablik vs Samsunspor - UEFA Conference League. Saksikan aksi-aksi terbaik dari tim yang bersaing ketat untuk meraih kemenangan. Dapatkan informasi lengkap mengenai jadwal pertandingan dan hasil pertandingan terbaru hanya di Vidio.</t>
  </si>
  <si>
    <t>https://drive.google.com/file/d/1B43e5VhfSIZIMuLtgXVQiW0va1jiyaEh/view?usp=drive_link</t>
  </si>
  <si>
    <t>https://drive.google.com/file/d/1zqAsUnGDNvfS0lVIsYPEeagOGrtTkIPC/view?usp=sharing</t>
  </si>
  <si>
    <t>1fd1bb6c</t>
  </si>
  <si>
    <t>Strasbourg vs Crystal Palace - UEFA Conference League</t>
  </si>
  <si>
    <t>https://www.vidio.com/live/6317-bein-3?schedule_id=4734870</t>
  </si>
  <si>
    <t>https://drive.google.com/drive/folders/1K5NkNXa92kcYWcOVx356l1dQXPcia993</t>
  </si>
  <si>
    <t>rc strasbourg alsace; crystal palace fc; sports stream</t>
  </si>
  <si>
    <t>Nonton streaming pertandingan seru Strasbourg vs Crystal Palace - UEFA Conference League. Saksikan aksi-aksi terbaik dari tim yang bersaing ketat untuk meraih kemenangan. Dapatkan informasi lengkap mengenai jadwal pertandingan dan hasil pertandingan terbaru hanya di Vidio.</t>
  </si>
  <si>
    <t>https://drive.google.com/file/d/1PNOs1_LklFjwjTtiaQahUwoWZloAICoH/view?usp=drive_link</t>
  </si>
  <si>
    <t>https://drive.google.com/file/d/1iSMEyVzGFvvhMB-J85dOUR3ClvCFEKTy/view?usp=sharing</t>
  </si>
  <si>
    <t>https://drive.google.com/file/d/1rJTNg7LixWBxbdHd8WibM7O1s2TVtAdC/view?usp=drive_link</t>
  </si>
  <si>
    <t>9c95edcd</t>
  </si>
  <si>
    <t>Shamrock Rovers vs Shakhtar Donetsk - UEFA Conference League</t>
  </si>
  <si>
    <t>https://www.vidio.com/live/19648-uefa-conference-league?schedule_id=4734912</t>
  </si>
  <si>
    <t>https://drive.google.com/drive/folders/1AJXKtVATAawHh7ObHSHAXf9eYAmdpHXf</t>
  </si>
  <si>
    <t>shamrock rovers fc; fc shakhtar donetsk; sports stream</t>
  </si>
  <si>
    <t>Nonton streaming pertandingan seru Shamrock Rovers vs Shakhtar Donetsk - UEFA Conference League. Saksikan aksi-aksi terbaik dari tim yang bersaing ketat untuk meraih kemenangan. Dapatkan informasi lengkap mengenai jadwal pertandingan dan hasil pertandingan terbaru hanya di Vidio.</t>
  </si>
  <si>
    <t>https://drive.google.com/file/d/1ygNksypRCe7dxRPXPMAF7NtMiHcQNU7j/view?usp=drive_link</t>
  </si>
  <si>
    <t>https://drive.google.com/file/d/147qDBhGTD5FlDdwc_1Ml12Vz5rr7whiR/view?usp=sharing</t>
  </si>
  <si>
    <t>ef8d7765</t>
  </si>
  <si>
    <t>Aberdeen vs Noah - UEFA Conference League</t>
  </si>
  <si>
    <t>https://www.vidio.com/live/19643-uefa-conference-league?schedule_id=4734904</t>
  </si>
  <si>
    <t>https://drive.google.com/drive/folders/1LCxIL4Za3mSNhkXjTNpVTBEHKHjw4LQj</t>
  </si>
  <si>
    <t>aberdeen; fc noah; sports stream</t>
  </si>
  <si>
    <t>Nonton streaming pertandingan seru Aberdeen vs Noah - UEFA Conference League. Saksikan aksi-aksi terbaik dari tim yang bersaing ketat untuk meraih kemenangan. Dapatkan informasi lengkap mengenai jadwal pertandingan dan hasil pertandingan terbaru hanya di Vidio.</t>
  </si>
  <si>
    <t>https://drive.google.com/file/d/1J1vZCfpZrejk97_3jv_jvXaVXeZbofd2/view?usp=drive_link</t>
  </si>
  <si>
    <t>https://drive.google.com/file/d/1xcsbVjQXagMka-QOZn9QPht7gtaf3yTq/view?usp=sharing</t>
  </si>
  <si>
    <t>2cb80e88</t>
  </si>
  <si>
    <t>Fiorentina vs AEK Athens - UEFA Conference League</t>
  </si>
  <si>
    <t>https://www.vidio.com/live/19644-uefa-conference-league?schedule_id=4734908</t>
  </si>
  <si>
    <t>https://drive.google.com/drive/folders/139SZv-XUPr6ZxXmpELMKiCIkHNhDySlT</t>
  </si>
  <si>
    <t>acf fiorentina; aek athens; sports stream</t>
  </si>
  <si>
    <t>Nonton streaming pertandingan seru Fiorentina vs AEK Athens - UEFA Conference League. Saksikan aksi-aksi terbaik dari tim yang bersaing ketat untuk meraih kemenangan. Dapatkan informasi lengkap mengenai jadwal pertandingan dan hasil pertandingan terbaru hanya di Vidio.</t>
  </si>
  <si>
    <t>https://drive.google.com/file/d/1yO7KFWSek1Ij1UKMDjzgwwTkfr4IjsH_/view?usp=sharing</t>
  </si>
  <si>
    <t>https://drive.google.com/file/d/1YMXb3waY82-_0Fqj1A_W2rQZR2fIQd2J/view?usp=sharing</t>
  </si>
  <si>
    <t>https://drive.google.com/file/d/1TlBuhOB7MFMlqWJDAaso38M_rjP9zNwp/view?usp=sharing</t>
  </si>
  <si>
    <t>03a7a3f0</t>
  </si>
  <si>
    <t>Drita vs Shkendija - UEFA Conference League</t>
  </si>
  <si>
    <t>https://www.vidio.com/live/19642-uefa-conference-league?schedule_id=4734906</t>
  </si>
  <si>
    <t>https://drive.google.com/drive/folders/1peI2Y5AyshZPRIwp8MViKBJOzifiZYSh</t>
  </si>
  <si>
    <t>FC Drita; KF Shkendija; sports stream</t>
  </si>
  <si>
    <t>Nonton streaming pertandingan seru Drita vs Shkendija - UEFA Conference League. Saksikan aksi-aksi terbaik dari tim yang bersaing ketat untuk meraih kemenangan. Dapatkan informasi lengkap mengenai jadwal pertandingan dan hasil pertandingan terbaru hanya di Vidio.</t>
  </si>
  <si>
    <t>https://drive.google.com/file/d/1FyvmPdc15GmqwXtLFKvr71snNUKqPQFR/view?usp=sharing</t>
  </si>
  <si>
    <t>https://drive.google.com/file/d/1zHtbtz7ttSt46gCVztYDkh9q6gtwpynM/view?usp=sharing</t>
  </si>
  <si>
    <t>7a63f50e</t>
  </si>
  <si>
    <t>Legia Warszawa vs Sparta Praha - UEFA Conference League</t>
  </si>
  <si>
    <t>https://www.vidio.com/live/19646-uefa-conference-league?schedule_id=4734910</t>
  </si>
  <si>
    <t>https://drive.google.com/drive/folders/1LPfEWkWWnzfCCAuGFyr-V-Z1YcZeZIva</t>
  </si>
  <si>
    <t>kp legia warszawa; ac sparta praha; sports stream</t>
  </si>
  <si>
    <t>Nonton streaming pertandingan seru Legia Warszawa vs Sparta Praha - UEFA Conference League. Saksikan aksi-aksi terbaik dari tim yang bersaing ketat untuk meraih kemenangan. Dapatkan informasi lengkap mengenai jadwal pertandingan dan hasil pertandingan terbaru hanya di Vidio.</t>
  </si>
  <si>
    <t>https://drive.google.com/file/d/1LAMH3hRPjPY46YrkrQaG5BJVkuUxpbU2/view?usp=sharing</t>
  </si>
  <si>
    <t>https://drive.google.com/file/d/1obrnA3Y_XsYfx6Jjbr509g19JtItJkXP/view?usp=sharing</t>
  </si>
  <si>
    <t>5ea91211</t>
  </si>
  <si>
    <t>Jagiellonia Bialystok vs KuPS - UEFA Conference League</t>
  </si>
  <si>
    <t>https://www.vidio.com/live/19645-uefa-conference-league?schedule_id=4734909</t>
  </si>
  <si>
    <t>https://drive.google.com/drive/folders/1eUJRDZGuVQrCpj6_hI3BNJkYMqNOjnfl</t>
  </si>
  <si>
    <t>jagiellonia białystok; Kuopion Palloseura; sports stream</t>
  </si>
  <si>
    <t>Nonton streaming pertandingan seru Jagiellonia Bialystok vs KuPS - UEFA Conference League. Saksikan aksi-aksi terbaik dari tim yang bersaing ketat untuk meraih kemenangan. Dapatkan informasi lengkap mengenai jadwal pertandingan dan hasil pertandingan terbaru hanya di Vidio.</t>
  </si>
  <si>
    <t>https://drive.google.com/file/d/17ciETaAgrCjsGRGS2naq6dxUZU4Wb3Hl/view?usp=sharing</t>
  </si>
  <si>
    <t>https://drive.google.com/file/d/1QONjOlqeMdmWsl_aPEw98dpjhCwS0-hM/view?usp=sharing</t>
  </si>
  <si>
    <t>8330d822</t>
  </si>
  <si>
    <t>Fiorentina vs Dynamo Kyiv - UEFA Conference League</t>
  </si>
  <si>
    <t>https://www.vidio.com/live/19642-uefa-conference-league?schedule_id=4771647</t>
  </si>
  <si>
    <t>https://drive.google.com/drive/folders/1uHStg-kn62xkCvDPdvSWmQT0Qq34qMgB?usp=drive_link</t>
  </si>
  <si>
    <t>https://drive.google.com/file/d/1ED6lend_Oeue_UeG11OdNxiiBH4kRvSb/view?usp=drive_link</t>
  </si>
  <si>
    <t>acf fiorentina; fc dynamo kyiv; sports stream</t>
  </si>
  <si>
    <t>Nonton streaming pertandingan seru Fiorentina vs Dynamo Kyiv - UEFA Conference League. Saksikan aksi-aksi terbaik dari tim yang bersaing ketat untuk meraih kemenangan. Dapatkan informasi lengkap mengenai jadwal pertandingan dan hasil pertandingan terbaru hanya di Vidio.</t>
  </si>
  <si>
    <t>https://drive.google.com/file/d/1rqkBg3sR0k7tdP_qB3Q4oS1lORgSkSru/view?usp=sharing</t>
  </si>
  <si>
    <t>https://drive.google.com/file/d/1ED6lend_Oeue_UeG11OdNxiiBH4kRvSb/view?usp=sharing</t>
  </si>
  <si>
    <t>https://drive.google.com/file/d/1PFemw-qg3gqLBZs8FrzTrRdIkWrdiw_y/view?usp=sharing</t>
  </si>
  <si>
    <t>9afea3e5</t>
  </si>
  <si>
    <t>Breidablik vs Shamrock Rovers - UEFA Conference League</t>
  </si>
  <si>
    <t>https://www.vidio.com/live/19736-uefa-conference-league?schedule_id=4771643</t>
  </si>
  <si>
    <t>https://drive.google.com/drive/folders/1RCSbcgJ_UAdE-fYC-f0fjvWWgmn2dzsF?usp=drive_link</t>
  </si>
  <si>
    <t>https://drive.google.com/file/d/1ZCtBQ42PBlTWoZ9TJyE6v_9npq2DUSP8/view?usp=drive_link</t>
  </si>
  <si>
    <t>Breidablik UBK; shamrock rovers fc; sports stream</t>
  </si>
  <si>
    <t>Nonton streaming pertandingan seru Breidablik vs Shamrock Rovers - UEFA Conference League. Saksikan aksi-aksi terbaik dari tim yang bersaing ketat untuk meraih kemenangan. Dapatkan informasi lengkap mengenai jadwal pertandingan dan hasil pertandingan terbaru hanya di Vidio.</t>
  </si>
  <si>
    <t>https://drive.google.com/file/d/1To5byKMvQVXlDTTPcIK3PWLBlRviaBQL/view?usp=sharing</t>
  </si>
  <si>
    <t>https://drive.google.com/file/d/1ZCtBQ42PBlTWoZ9TJyE6v_9npq2DUSP8/view?usp=sharing</t>
  </si>
  <si>
    <t>e72fcc92</t>
  </si>
  <si>
    <t>Shkendija vs Slovan Bratislava - UEFA Conference League</t>
  </si>
  <si>
    <t>https://www.vidio.com/live/19647-uefa-conference-league?schedule_id=4771657</t>
  </si>
  <si>
    <t>https://drive.google.com/drive/folders/1o_ATp6I_YNAl0q6N0CFaRZvLZb7KpuYF?usp=drive_link</t>
  </si>
  <si>
    <t>https://drive.google.com/file/d/1fZbrSofp0yQhPZNk6LgqB8SU8kq6LKFw/view?usp=drive_link</t>
  </si>
  <si>
    <t>KF Shkendija; šk slovan bratislava; sports stream</t>
  </si>
  <si>
    <t>Nonton streaming pertandingan seru Shkendija vs Slovan Bratislava - UEFA Conference League. Saksikan aksi-aksi terbaik dari tim yang bersaing ketat untuk meraih kemenangan. Dapatkan informasi lengkap mengenai jadwal pertandingan dan hasil pertandingan terbaru hanya di Vidio.</t>
  </si>
  <si>
    <t>https://drive.google.com/file/d/1T6SzeImr4vUbE_clmvc1kPJ7hdgGH7VL/view?usp=sharing</t>
  </si>
  <si>
    <t>https://drive.google.com/file/d/1fZbrSofp0yQhPZNk6LgqB8SU8kq6LKFw/view?usp=sharing</t>
  </si>
  <si>
    <t>300c485a</t>
  </si>
  <si>
    <t>Drita vs AZ Alkmaar - UEFA Conference League</t>
  </si>
  <si>
    <t>https://www.vidio.com/live/19740-uefa-conference-league?schedule_id=4771645</t>
  </si>
  <si>
    <t>https://drive.google.com/drive/folders/1WZpNWznEpkjb-xO2fMLaJaEvUsVHqZjm?usp=drive_link</t>
  </si>
  <si>
    <t>https://drive.google.com/file/d/1UHqCvpptHdSS7eFvPX4wBjDyymMZ47Tc/view?usp=drive_link</t>
  </si>
  <si>
    <t>FC Drita; alkmaar zaanstreek; sports stream</t>
  </si>
  <si>
    <t>Nonton streaming pertandingan seru Drita vs AZ Alkmaar - UEFA Conference League. Saksikan aksi-aksi terbaik dari tim yang bersaing ketat untuk meraih kemenangan. Dapatkan informasi lengkap mengenai jadwal pertandingan dan hasil pertandingan terbaru hanya di Vidio.</t>
  </si>
  <si>
    <t>https://drive.google.com/file/d/1DwLKndndXYFO_AqY165nqz7gdU60W4eg/view?usp=sharing</t>
  </si>
  <si>
    <t>https://drive.google.com/file/d/1UHqCvpptHdSS7eFvPX4wBjDyymMZ47Tc/view?usp=sharing</t>
  </si>
  <si>
    <t>d23b2f32</t>
  </si>
  <si>
    <t>Universitatea Craiova vs Sparta Praha - UEFA Conference League</t>
  </si>
  <si>
    <t>https://www.vidio.com/live/19648-uefa-conference-league?schedule_id=4771659</t>
  </si>
  <si>
    <t>https://drive.google.com/drive/folders/1rlHydo4tY_XMIStSk8dl0ORJDbolreYk?usp=drive_link</t>
  </si>
  <si>
    <t>https://drive.google.com/file/d/150oODon5l0H6PNcjDL40M-wLm_GRa3l9/view?usp=drive_link</t>
  </si>
  <si>
    <t>CS Universitatea Craiova; ac sparta praha; sports stream</t>
  </si>
  <si>
    <t>Nonton streaming pertandingan seru Universitatea Craiova vs Sparta Praha - UEFA Conference League. Saksikan aksi-aksi terbaik dari tim yang bersaing ketat untuk meraih kemenangan. Dapatkan informasi lengkap mengenai jadwal pertandingan dan hasil pertandingan terbaru hanya di Vidio.</t>
  </si>
  <si>
    <t>https://drive.google.com/file/d/1K3KiPJmZR-4Rn1au-2dq1F8doX938lX-/view?usp=sharing</t>
  </si>
  <si>
    <t>https://drive.google.com/file/d/150oODon5l0H6PNcjDL40M-wLm_GRa3l9/view?usp=sharing</t>
  </si>
  <si>
    <t>c53f99a7</t>
  </si>
  <si>
    <t>Hacken vs AEK Larnaca - UEFA Conference League</t>
  </si>
  <si>
    <t>https://www.vidio.com/live/19643-uefa-conference-league?schedule_id=4771649</t>
  </si>
  <si>
    <t>https://drive.google.com/drive/folders/1pGVAHcA00EWwXT-deCphEHBVYXeIJdfc?usp=drive_link</t>
  </si>
  <si>
    <t>BK Häcken; AEK Larnaca; sports stream</t>
  </si>
  <si>
    <t>Nonton streaming pertandingan seru Hacken vs AEK Larnaca - UEFA Conference League. Saksikan aksi-aksi terbaik dari tim yang bersaing ketat untuk meraih kemenangan. Dapatkan informasi lengkap mengenai jadwal pertandingan dan hasil pertandingan terbaru hanya di Vidio.</t>
  </si>
  <si>
    <t>https://drive.google.com/file/d/1hYxjFaeZ7SBFcp0b1_pkAOB3ckJfNW-I/view?usp=sharing</t>
  </si>
  <si>
    <t>90528559</t>
  </si>
  <si>
    <t>Jagiellonia Bialystok vs Rayo Vallecano - UEFA Conference League</t>
  </si>
  <si>
    <t>https://www.vidio.com/live/19644-uefa-conference-league?schedule_id=4771651</t>
  </si>
  <si>
    <t>https://drive.google.com/drive/folders/1k4XS8yAu9XT4ve4fpRc_-_iR5Ex7U-8b?usp=drive_link</t>
  </si>
  <si>
    <t>https://drive.google.com/file/d/1rPxmApAbowxHrHnu-OeoaqCj2mS4g49v/view?usp=drive_link</t>
  </si>
  <si>
    <t>jagiellonia białystok; rayo vallecano; sports stream</t>
  </si>
  <si>
    <t>Nonton streaming pertandingan seru Jagiellonia Bialystok vs Rayo Vallecano - UEFA Conference League. Saksikan aksi-aksi terbaik dari tim yang bersaing ketat untuk meraih kemenangan. Dapatkan informasi lengkap mengenai jadwal pertandingan dan hasil pertandingan terbaru hanya di Vidio.</t>
  </si>
  <si>
    <t>https://drive.google.com/file/d/1JTxryD4n4i8Vvdmxz_P9cLQ7X-e1JSuu/view?usp=sharing</t>
  </si>
  <si>
    <t>https://drive.google.com/file/d/1rPxmApAbowxHrHnu-OeoaqCj2mS4g49v/view?usp=sharing</t>
  </si>
  <si>
    <t>fe8ef986</t>
  </si>
  <si>
    <t>Samsunspor vs AEK Athens - UEFA Conference League</t>
  </si>
  <si>
    <t>https://www.vidio.com/live/19646-uefa-conference-league?schedule_id=4771655</t>
  </si>
  <si>
    <t>https://drive.google.com/drive/folders/1522r8LHgvNLQ1dCTTpKuVzTNYKFort6J?usp=drive_link</t>
  </si>
  <si>
    <t>https://drive.google.com/file/d/138YU7uXhbtIdGybbuGTUOKNjZSTvbdpl/view?usp=drive_link</t>
  </si>
  <si>
    <t>Samsunspor; aek athens; sports stream</t>
  </si>
  <si>
    <t>Nonton streaming pertandingan seru Samsunspor vs AEK Athens - UEFA Conference League. Saksikan aksi-aksi terbaik dari tim yang bersaing ketat untuk meraih kemenangan. Dapatkan informasi lengkap mengenai jadwal pertandingan dan hasil pertandingan terbaru hanya di Vidio.</t>
  </si>
  <si>
    <t>https://drive.google.com/file/d/1f7vDCL9_2Mjwvi2FCjFO4nswTBtF8P8P/view?usp=sharing</t>
  </si>
  <si>
    <t>https://drive.google.com/file/d/138YU7uXhbtIdGybbuGTUOKNjZSTvbdpl/view?usp=sharing</t>
  </si>
  <si>
    <t>6f0e9390</t>
  </si>
  <si>
    <t>Noah vs Legia Warszawa - UEFA Conference League</t>
  </si>
  <si>
    <t>https://www.vidio.com/live/19645-uefa-conference-league?schedule_id=4771653</t>
  </si>
  <si>
    <t>https://drive.google.com/drive/folders/1Pun9JSy0iaX5_FNAH4SHDXiQ97bVBonD?usp=drive_link</t>
  </si>
  <si>
    <t>https://drive.google.com/file/d/1qnqn6NID8qg-QdmAUsg8-01Pjd0_SmpP/view?usp=drive_link</t>
  </si>
  <si>
    <t>fc noah; kp legia warszawa; sports stream</t>
  </si>
  <si>
    <t>Nonton streaming pertandingan seru Noah vs Legia Warszawa - UEFA Conference League. Saksikan aksi-aksi terbaik dari tim yang bersaing ketat untuk meraih kemenangan. Dapatkan informasi lengkap mengenai jadwal pertandingan dan hasil pertandingan terbaru hanya di Vidio.</t>
  </si>
  <si>
    <t>https://drive.google.com/file/d/1znyCtCfMBRqmqJCAe4H1UHN6m8HGeXEx/view?usp=sharing</t>
  </si>
  <si>
    <t>https://drive.google.com/file/d/1qnqn6NID8qg-QdmAUsg8-01Pjd0_SmpP/view?usp=sharing</t>
  </si>
  <si>
    <t>6c0576ed</t>
  </si>
  <si>
    <t>Shelbourne vs Crystal Palace - UEFA Conference League</t>
  </si>
  <si>
    <t>https://www.vidio.com/live/17875-bein-2?schedule_id=4771668</t>
  </si>
  <si>
    <t>https://drive.google.com/drive/folders/1d94_thrnk27Tjsa7N_77ZdoXnEz_v9SQ?usp=drive_link</t>
  </si>
  <si>
    <t>https://drive.google.com/file/d/1UaSJ2YNoYkQxNzhYV8Yf6CkwT0JjLvdq/view?usp=drive_link</t>
  </si>
  <si>
    <t>Shelbourne F.C.; crystal palace fc; sports stream</t>
  </si>
  <si>
    <t>Nonton streaming pertandingan seru Shelbourne vs Crystal Palace - UEFA Conference League. Saksikan aksi-aksi terbaik dari tim yang bersaing ketat untuk meraih kemenangan. Dapatkan informasi lengkap mengenai jadwal pertandingan dan hasil pertandingan terbaru hanya di Vidio.</t>
  </si>
  <si>
    <t>https://drive.google.com/file/d/1GgwmEk8fyj5vZFta0MbOWpoMd5zCQ64W/view?usp=sharing</t>
  </si>
  <si>
    <t>https://drive.google.com/file/d/1UaSJ2YNoYkQxNzhYV8Yf6CkwT0JjLvdq/view?usp=sharing</t>
  </si>
  <si>
    <t>https://drive.google.com/file/d/184qeAD8aTl2XAnMv8U8_6YBcDZYTMvYw/view?usp=sharing</t>
  </si>
  <si>
    <t>1f721be2</t>
  </si>
  <si>
    <t>KuPS vs Lausanne - UEFA Conference League</t>
  </si>
  <si>
    <t>https://www.vidio.com/live/19642-uefa-conference-league?schedule_id=4771662</t>
  </si>
  <si>
    <t>https://drive.google.com/drive/folders/12d2gTKeX3YX8yivvtPbNsliuKVjQ2NYm?usp=drive_link</t>
  </si>
  <si>
    <t>https://drive.google.com/file/d/1qjGgpVuRnQXWkwpADHaz9e_Fu-kjXUFC/view?usp=drive_link</t>
  </si>
  <si>
    <t>Kuopion Palloseura; FC Lausanne; sports stream</t>
  </si>
  <si>
    <t>Nonton streaming pertandingan seru KuPS vs Lausanne - UEFA Conference League. Saksikan aksi-aksi terbaik dari tim yang bersaing ketat untuk meraih kemenangan. Dapatkan informasi lengkap mengenai jadwal pertandingan dan hasil pertandingan terbaru hanya di Vidio.</t>
  </si>
  <si>
    <t>https://drive.google.com/file/d/1H8wa9vrctzI_2P4Q18Vhb7V3kSu3Buxn/view?usp=sharing</t>
  </si>
  <si>
    <t>https://drive.google.com/file/d/1qjGgpVuRnQXWkwpADHaz9e_Fu-kjXUFC/view?usp=sharing</t>
  </si>
  <si>
    <t>1df52d39</t>
  </si>
  <si>
    <t>Lech Poznan vs Mainz - UEFA Conference League</t>
  </si>
  <si>
    <t>https://www.vidio.com/live/19643-uefa-conference-league?schedule_id=4771663</t>
  </si>
  <si>
    <t>https://drive.google.com/drive/folders/1mfuzdUKFo2Z4Ta8IzOF3ZOXYs-jTM05C?usp=drive_link</t>
  </si>
  <si>
    <t>https://drive.google.com/file/d/1Sjp075QubaXd6n7PFO9pC2-vVzZ-Ccsb/view?usp=drive_link</t>
  </si>
  <si>
    <t>KKS Lech Poznań; FSV Mainz 05; sports stream</t>
  </si>
  <si>
    <t>Nonton streaming pertandingan seru Lech Poznan vs Mainz - UEFA Conference League. Saksikan aksi-aksi terbaik dari tim yang bersaing ketat untuk meraih kemenangan. Dapatkan informasi lengkap mengenai jadwal pertandingan dan hasil pertandingan terbaru hanya di Vidio.</t>
  </si>
  <si>
    <t>https://drive.google.com/file/d/1jNBL5GDgajrld7qnaxGk_b22vK5zykdQ/view?usp=sharing</t>
  </si>
  <si>
    <t>https://drive.google.com/file/d/1Sjp075QubaXd6n7PFO9pC2-vVzZ-Ccsb/view?usp=sharing</t>
  </si>
  <si>
    <t>dd4b8673</t>
  </si>
  <si>
    <t>Lincoln Red Imps vs Sigma - UEFA Conference League</t>
  </si>
  <si>
    <t>https://www.vidio.com/live/19644-uefa-conference-league?schedule_id=4771664</t>
  </si>
  <si>
    <t>https://drive.google.com/drive/folders/1gyn82rudp4mFP9m935mY9xv_KvnDaGKB?usp=drive_link</t>
  </si>
  <si>
    <t>https://drive.google.com/file/d/1kbQpgzIxX6a6oFtAdhQN9sQ_EBWXTcpt/view?usp=drive_link</t>
  </si>
  <si>
    <t>Lincoln Red Imps FC; SK Sigma Olomouc; sports stream</t>
  </si>
  <si>
    <t>Nonton streaming pertandingan seru Lincoln Red Imps vs Sigma - UEFA Conference League. Saksikan aksi-aksi terbaik dari tim yang bersaing ketat untuk meraih kemenangan. Dapatkan informasi lengkap mengenai jadwal pertandingan dan hasil pertandingan terbaru hanya di Vidio.</t>
  </si>
  <si>
    <t>https://drive.google.com/file/d/1jZ6BFfUNpEEn_sCOhOKTCrg3KSRFedc8/view?usp=sharing</t>
  </si>
  <si>
    <t>https://drive.google.com/file/d/1kbQpgzIxX6a6oFtAdhQN9sQ_EBWXTcpt/view?usp=sharing</t>
  </si>
  <si>
    <t>c9618087</t>
  </si>
  <si>
    <t>Rijeka vs Celje - UEFA Conference League</t>
  </si>
  <si>
    <t>https://www.vidio.com/live/19647-uefa-conference-league?schedule_id=4771667</t>
  </si>
  <si>
    <t>https://drive.google.com/drive/folders/1LKS2on6xqVgy3nEVDHlKrw7X-lhifqqr?usp=drive_link</t>
  </si>
  <si>
    <t>https://drive.google.com/file/d/1n_rysZMOdDPgypafTerXIL3qiJYRN-N9/view?usp=drive_link</t>
  </si>
  <si>
    <t>HNK Rijeka; nk celje; sports stream</t>
  </si>
  <si>
    <t>Nonton streaming pertandingan seru Rijeka vs Celje - UEFA Conference League. Saksikan aksi-aksi terbaik dari tim yang bersaing ketat untuk meraih kemenangan. Dapatkan informasi lengkap mengenai jadwal pertandingan dan hasil pertandingan terbaru hanya di Vidio.</t>
  </si>
  <si>
    <t>https://drive.google.com/file/d/1QjCtJdU8h8tdd1kIEj-ST4evXD_z2Eid/view?usp=sharing</t>
  </si>
  <si>
    <t>https://drive.google.com/file/d/1n_rysZMOdDPgypafTerXIL3qiJYRN-N9/view?usp=sharing</t>
  </si>
  <si>
    <t>a10dc44f</t>
  </si>
  <si>
    <t>Aberdeen vs Strasbourg - UEFA Conference League</t>
  </si>
  <si>
    <t>https://www.vidio.com/live/19736-uefa-conference-league?schedule_id=4771660</t>
  </si>
  <si>
    <t>https://drive.google.com/drive/folders/1PjL7J1M5kJLO_wSDCK5aYS8VAmQF7WyE?usp=drive_link</t>
  </si>
  <si>
    <t>https://drive.google.com/file/d/1kAY7-BWi-OEFxDKuo2sN6Gq7FZof3zuw/view?usp=drive_link</t>
  </si>
  <si>
    <t>aberdeen; rc strasbourg alsace; sports stream</t>
  </si>
  <si>
    <t>Nonton streaming pertandingan seru Aberdeen vs Strasbourg - UEFA Conference League. Saksikan aksi-aksi terbaik dari tim yang bersaing ketat untuk meraih kemenangan. Dapatkan informasi lengkap mengenai jadwal pertandingan dan hasil pertandingan terbaru hanya di Vidio.</t>
  </si>
  <si>
    <t>https://drive.google.com/file/d/1uhL1P0plBSnF5VvSxPJtQ1WzUcMwrjNH/view?usp=sharing</t>
  </si>
  <si>
    <t>https://drive.google.com/file/d/1kAY7-BWi-OEFxDKuo2sN6Gq7FZof3zuw/view?usp=sharing</t>
  </si>
  <si>
    <t>a0ededd3</t>
  </si>
  <si>
    <t>Hamrun vs Shakhtar Donetsk - UEFA Conference League</t>
  </si>
  <si>
    <t>https://www.vidio.com/live/19740-uefa-conference-league?schedule_id=4771661</t>
  </si>
  <si>
    <t>https://drive.google.com/drive/folders/1xHdQMelwm1i5QdedfdeuWnCbJJQ0s3lA?usp=drive_link</t>
  </si>
  <si>
    <t>Hamrun Spartans FC; fc shakhtar donetsk; sports stream</t>
  </si>
  <si>
    <t>Nonton streaming pertandingan seru Hamrun vs Shakhtar Donetsk - UEFA Conference League. Saksikan aksi-aksi terbaik dari tim yang bersaing ketat untuk meraih kemenangan. Dapatkan informasi lengkap mengenai jadwal pertandingan dan hasil pertandingan terbaru hanya di Vidio.</t>
  </si>
  <si>
    <t>https://drive.google.com/file/d/1gAAmbkY39ahfw2L3WLiVFSdX-AxhbNpw/view?usp=sharing</t>
  </si>
  <si>
    <t>3fc25d8a</t>
  </si>
  <si>
    <t>Rakow Czestochowa vs Zrinjski - UEFA Conference League</t>
  </si>
  <si>
    <t>https://www.vidio.com/live/19645-uefa-conference-league?schedule_id=4771665</t>
  </si>
  <si>
    <t>https://drive.google.com/drive/folders/1lBvC10sojEz04grqEl_2Kj48bZn5cD4x?usp=drive_link</t>
  </si>
  <si>
    <t>https://drive.google.com/file/d/1AA_oClNOWJANj-Lk8_p5PLOY4W4af6CT/view?usp=drive_link</t>
  </si>
  <si>
    <t>KS Raków Częstochowa; HŠK Zrinjski Mostar; sports stream</t>
  </si>
  <si>
    <t>Nonton streaming pertandingan seru Rakow Czestochowa vs Zrinjski - UEFA Conference League. Saksikan aksi-aksi terbaik dari tim yang bersaing ketat untuk meraih kemenangan. Dapatkan informasi lengkap mengenai jadwal pertandingan dan hasil pertandingan terbaru hanya di Vidio.</t>
  </si>
  <si>
    <t>https://drive.google.com/file/d/1jPudxMspsxvwC9HQt_9AyMa8S-opj10X/view?usp=sharing</t>
  </si>
  <si>
    <t>https://drive.google.com/file/d/1AA_oClNOWJANj-Lk8_p5PLOY4W4af6CT/view?usp=sharing</t>
  </si>
  <si>
    <t>78657934</t>
  </si>
  <si>
    <t>Rapid Wien vs Omonoia - UEFA Conference League</t>
  </si>
  <si>
    <t>https://www.vidio.com/live/19646-uefa-conference-league?schedule_id=4771666</t>
  </si>
  <si>
    <t>https://drive.google.com/drive/folders/1ewnqsIIhPFw3RobnPD8iPkAo0clhVVC1?usp=drive_link</t>
  </si>
  <si>
    <t>https://drive.google.com/file/d/1Ut7G5QSnZrMWoeH_2M8nrDyFErSnQqE5/view?usp=drive_link</t>
  </si>
  <si>
    <t>sk rapid wien; ac omonia nicosia; sports stream</t>
  </si>
  <si>
    <t>Nonton streaming pertandingan seru Rapid Wien vs Omonoia - UEFA Conference League. Saksikan aksi-aksi terbaik dari tim yang bersaing ketat untuk meraih kemenangan. Dapatkan informasi lengkap mengenai jadwal pertandingan dan hasil pertandingan terbaru hanya di Vidio.</t>
  </si>
  <si>
    <t>https://drive.google.com/file/d/1icJZsRbm5l-JHxyYs2wg1t_fNii_-Aue/view?usp=sharing</t>
  </si>
  <si>
    <t>https://drive.google.com/file/d/1Ut7G5QSnZrMWoeH_2M8nrDyFErSnQqE5/view?usp=sharing</t>
  </si>
  <si>
    <t>111c3770</t>
  </si>
  <si>
    <t>Dynamo Kyiv vs Noah - UEFA Conference League</t>
  </si>
  <si>
    <t>https://www.vidio.com/live/19646-uefa-conference-league?schedule_id=4783297</t>
  </si>
  <si>
    <t>https://drive.google.com/drive/folders/18cJHOPresqlpVjCfHcrc-0-5DVbgETg0?usp=drive_link</t>
  </si>
  <si>
    <t>https://drive.google.com/file/d/1AxzuUhJbiiuwaxcG1KwN5Wq6mzGES-dL/view?usp=drive_link</t>
  </si>
  <si>
    <t>fc dynamo kyiv; fc noah; sports stream</t>
  </si>
  <si>
    <t>Nonton streaming pertandingan seru Dynamo Kyiv vs Noah - UEFA Conference League. Saksikan aksi-aksi terbaik dari tim yang bersaing ketat untuk meraih kemenangan. Dapatkan informasi lengkap mengenai jadwal pertandingan dan hasil pertandingan terbaru hanya di Vidio.</t>
  </si>
  <si>
    <t>https://drive.google.com/file/d/1WEMa6djfPtHKloPtOIL5N4BfAk6jcyHH/view?usp=sharing</t>
  </si>
  <si>
    <t>https://drive.google.com/file/d/1AxzuUhJbiiuwaxcG1KwN5Wq6mzGES-dL/view?usp=sharing</t>
  </si>
  <si>
    <t>c9f9514d</t>
  </si>
  <si>
    <t>Omonoia vs Rakow Czestochowa - UEFA Conference League</t>
  </si>
  <si>
    <t>https://www.vidio.com/live/19649-uefa-conference-league?schedule_id=4783306</t>
  </si>
  <si>
    <t>https://drive.google.com/drive/folders/1TN4apybNtWBhAglSvejpEnIO6MH-G5V_?usp=drive_link</t>
  </si>
  <si>
    <t>https://drive.google.com/file/d/1Au0JzW8aEjWJ7JrB02uuZmdZyWFy-Ndk/view?usp=drive_link</t>
  </si>
  <si>
    <t>ac omonia nicosia; KS Raków Częstochowa; sports stream</t>
  </si>
  <si>
    <t>Nonton streaming pertandingan seru Omonoia vs Rakow Czestochowa - UEFA Conference League. Saksikan aksi-aksi terbaik dari tim yang bersaing ketat untuk meraih kemenangan. Dapatkan informasi lengkap mengenai jadwal pertandingan dan hasil pertandingan terbaru hanya di Vidio.</t>
  </si>
  <si>
    <t>https://drive.google.com/file/d/1u4-Mdwj8SBhLw6uqXlOwczW2VJiZ12M7/view?usp=sharing</t>
  </si>
  <si>
    <t>https://drive.google.com/file/d/1Au0JzW8aEjWJ7JrB02uuZmdZyWFy-Ndk/view?usp=sharing</t>
  </si>
  <si>
    <t>b91de59f</t>
  </si>
  <si>
    <t>AEK Larnaca vs Shkendija - UEFA Conference League</t>
  </si>
  <si>
    <t>https://www.vidio.com/live/19643-uefa-conference-league?schedule_id=4783291</t>
  </si>
  <si>
    <t>https://drive.google.com/file/d/1a6bRH5-788PM6QuHI5rLfW8pcWzFyEUZ/view?usp=drive_link</t>
  </si>
  <si>
    <t>https://drive.google.com/file/d/1z3Q0LH6ZHpK6872LMSUOYF5CFShKEVp2/view?usp=drive_link</t>
  </si>
  <si>
    <t>AEK Larnaca; KF Shkendija; sports stream</t>
  </si>
  <si>
    <t>Nonton streaming pertandingan seru AEK Larnaca vs Shkendija - UEFA Conference League. Saksikan aksi-aksi terbaik dari tim yang bersaing ketat untuk meraih kemenangan. Dapatkan informasi lengkap mengenai jadwal pertandingan dan hasil pertandingan terbaru hanya di Vidio.</t>
  </si>
  <si>
    <t>https://drive.google.com/file/d/1a6bRH5-788PM6QuHI5rLfW8pcWzFyEUZ/view?usp=sharing</t>
  </si>
  <si>
    <t>https://drive.google.com/file/d/1z3Q0LH6ZHpK6872LMSUOYF5CFShKEVp2/view?usp=sharing</t>
  </si>
  <si>
    <t>94d9bffc</t>
  </si>
  <si>
    <t>Mainz vs Samsunspor - UEFA Conference League</t>
  </si>
  <si>
    <t>https://www.vidio.com/live/19648-uefa-conference-league?schedule_id=4783302</t>
  </si>
  <si>
    <t>https://drive.google.com/drive/folders/1L90jR54lBkLcICyTaz6T_nEKHIqvKwcz?usp=drive_link</t>
  </si>
  <si>
    <t>https://drive.google.com/file/d/1vHWRe1rcW0gMLptZrRXlCwdOE84oCKp6/view?usp=drive_link</t>
  </si>
  <si>
    <t>FSV Mainz 05; Samsunspor; sports stream</t>
  </si>
  <si>
    <t>Nonton streaming pertandingan seru Mainz vs Samsunspor - UEFA Conference League. Saksikan aksi-aksi terbaik dari tim yang bersaing ketat untuk meraih kemenangan. Dapatkan informasi lengkap mengenai jadwal pertandingan dan hasil pertandingan terbaru hanya di Vidio.</t>
  </si>
  <si>
    <t>https://drive.google.com/file/d/1-40JFBmthjARNxapakdkech2SnZ-_q77/view?usp=sharing</t>
  </si>
  <si>
    <t>https://drive.google.com/file/d/1vHWRe1rcW0gMLptZrRXlCwdOE84oCKp6/view?usp=sharing</t>
  </si>
  <si>
    <t>c24aa3aa</t>
  </si>
  <si>
    <t>Zrinjski vs Rapid Wien - UEFA Conference League</t>
  </si>
  <si>
    <t>https://www.vidio.com/live/20094-uefa-conference-league?schedule_id=4783350</t>
  </si>
  <si>
    <t>https://drive.google.com/drive/folders/1-NhxLyCrXONFXhsce1OLIPjC8U889Vzf?usp=drive_link</t>
  </si>
  <si>
    <t>https://drive.google.com/file/d/1iEAIw7iU3GZ1D8zHGqOZ5cJOqlje61PK/view?usp=drive_link</t>
  </si>
  <si>
    <t>HŠK Zrinjski Mostar; sk rapid wien; sports stream</t>
  </si>
  <si>
    <t>Nonton streaming pertandingan seru Zrinjski vs Rapid Wien - UEFA Conference League. Saksikan aksi-aksi terbaik dari tim yang bersaing ketat untuk meraih kemenangan. Dapatkan informasi lengkap mengenai jadwal pertandingan dan hasil pertandingan terbaru hanya di Vidio.</t>
  </si>
  <si>
    <t>https://drive.google.com/file/d/12eS6Yy2Ut6erBdqS_4ALZqle6xQ4H6PH/view?usp=sharing</t>
  </si>
  <si>
    <t>https://drive.google.com/file/d/1iEAIw7iU3GZ1D8zHGqOZ5cJOqlje61PK/view?usp=sharing</t>
  </si>
  <si>
    <t>e3a136e1</t>
  </si>
  <si>
    <t>Strasbourg vs Breidablik - UEFA Conference League</t>
  </si>
  <si>
    <t>https://www.vidio.com/live/20093-uefa-conference-league?schedule_id=4783348</t>
  </si>
  <si>
    <t>https://drive.google.com/drive/folders/1mM76GqDOdBY70mgNm6VyVj-_GU3do1SW?usp=drive_link</t>
  </si>
  <si>
    <t>https://drive.google.com/file/d/1sRgJHQX4djilRLfHMTAjLSWsWVt4nS3i/view?usp=drive_link</t>
  </si>
  <si>
    <t>rc strasbourg alsace; Breidablik UBK; sports stream</t>
  </si>
  <si>
    <t>Nonton streaming pertandingan seru Strasbourg vs Breidablik - UEFA Conference League. Saksikan aksi-aksi terbaik dari tim yang bersaing ketat untuk meraih kemenangan. Dapatkan informasi lengkap mengenai jadwal pertandingan dan hasil pertandingan terbaru hanya di Vidio.</t>
  </si>
  <si>
    <t>https://drive.google.com/file/d/1rYnNNxg-bkJJ77pqOvCIrR7HGdN344Xx/view?usp=sharing</t>
  </si>
  <si>
    <t>https://drive.google.com/file/d/1sRgJHQX4djilRLfHMTAjLSWsWVt4nS3i/view?usp=sharing</t>
  </si>
  <si>
    <t>b4d9375e</t>
  </si>
  <si>
    <t>Lausanne vs Fiorentina - UEFA Conference League</t>
  </si>
  <si>
    <t>https://www.vidio.com/live/6317-bein-3?schedule_id=4783085</t>
  </si>
  <si>
    <t>https://drive.google.com/drive/folders/1s8wMOdOoqdQPpK_0hUcaBOWXNz-Q2qFr?usp=drive_link</t>
  </si>
  <si>
    <t>https://drive.google.com/file/d/1s5Nk_MFdv4DKSdZ0Hp8OEN3NYuvd2YR5/view?usp=drive_link</t>
  </si>
  <si>
    <t>FC Lausanne; acf fiorentina; sports stream</t>
  </si>
  <si>
    <t>Nonton streaming pertandingan seru Lausanne vs Fiorentina - UEFA Conference League. Saksikan aksi-aksi terbaik dari tim yang bersaing ketat untuk meraih kemenangan. Dapatkan informasi lengkap mengenai jadwal pertandingan dan hasil pertandingan terbaru hanya di Vidio.</t>
  </si>
  <si>
    <t>https://drive.google.com/file/d/14u5gYowCQ_fylBWUwWE7kzIY9l719SPs/view?usp=sharing</t>
  </si>
  <si>
    <t>https://drive.google.com/file/d/1s5Nk_MFdv4DKSdZ0Hp8OEN3NYuvd2YR5/view?usp=sharing</t>
  </si>
  <si>
    <t>https://drive.google.com/file/d/177OPZ84YiJy4bb6rnLcET-5gZwvda7sS/view?usp=sharing</t>
  </si>
  <si>
    <t>554d75e4</t>
  </si>
  <si>
    <t>Shamrock Rovers vs Hamrun - UEFA Conference League</t>
  </si>
  <si>
    <t>https://www.vidio.com/live/19740-uefa-conference-league?schedule_id=4783332</t>
  </si>
  <si>
    <t>https://drive.google.com/drive/folders/1BtEoRTsvhILE1FSllOuip-_7gJEDgriw?usp=drive_link</t>
  </si>
  <si>
    <t>https://drive.google.com/file/d/1WSRZFAxecajytMvT5Nt37580crzhbJZX/view?usp=drive_link</t>
  </si>
  <si>
    <t>shamrock rovers fc; Hamrun Spartans FC; sports stream</t>
  </si>
  <si>
    <t>Nonton streaming pertandingan seru Shamrock Rovers vs Hamrun - UEFA Conference League. Saksikan aksi-aksi terbaik dari tim yang bersaing ketat untuk meraih kemenangan. Dapatkan informasi lengkap mengenai jadwal pertandingan dan hasil pertandingan terbaru hanya di Vidio.</t>
  </si>
  <si>
    <t>https://drive.google.com/file/d/1MYduVkYXav-TNHVAm7SSqd9LV1vpKuoe/view?usp=sharing</t>
  </si>
  <si>
    <t>https://drive.google.com/file/d/1WSRZFAxecajytMvT5Nt37580crzhbJZX/view?usp=sharing</t>
  </si>
  <si>
    <t>c93d49d7</t>
  </si>
  <si>
    <t>Celje vs Shelbourne - UEFA Conference League</t>
  </si>
  <si>
    <t>https://www.vidio.com/live/19645-uefa-conference-league?schedule_id=4783295</t>
  </si>
  <si>
    <t>https://drive.google.com/drive/folders/1P-F-hbRUdC6iLSiOVF4yTTg9VV8259uM?usp=drive_link</t>
  </si>
  <si>
    <t>https://drive.google.com/file/d/1naMvGS9zdPLm0HQOqnBkNBFfy7OEuNCW/view?usp=drive_link</t>
  </si>
  <si>
    <t>nk celje; Shelbourne F.C.; sports stream</t>
  </si>
  <si>
    <t>Nonton streaming pertandingan seru Celje vs Shelbourne - UEFA Conference League. Saksikan aksi-aksi terbaik dari tim yang bersaing ketat untuk meraih kemenangan. Dapatkan informasi lengkap mengenai jadwal pertandingan dan hasil pertandingan terbaru hanya di Vidio.</t>
  </si>
  <si>
    <t>https://drive.google.com/file/d/1Ji16uVIIEN3rlEcFnw2iEBrHCPNTL4K3/view?usp=sharing</t>
  </si>
  <si>
    <t>https://drive.google.com/file/d/1naMvGS9zdPLm0HQOqnBkNBFfy7OEuNCW/view?usp=sharing</t>
  </si>
  <si>
    <t>3a16c641</t>
  </si>
  <si>
    <t>Legia Warszawa vs Lincoln Red Imps - UEFA Conference League</t>
  </si>
  <si>
    <t>https://www.vidio.com/live/19647-uefa-conference-league?schedule_id=4783299</t>
  </si>
  <si>
    <t>https://drive.google.com/drive/folders/1X1GpDTrFLzM2hQL5Iy1RnLJqV5QF-dQt?usp=drive_link</t>
  </si>
  <si>
    <t>https://drive.google.com/file/d/19TGsLXf2GWXVfy-WZArFOsx2Bztlf5xp/view?usp=drive_link</t>
  </si>
  <si>
    <t>kp legia warszawa; Lincoln Red Imps FC; sports stream</t>
  </si>
  <si>
    <t>Nonton streaming pertandingan seru Legia Warszawa vs Lincoln Red Imps - UEFA Conference League. Saksikan aksi-aksi terbaik dari tim yang bersaing ketat untuk meraih kemenangan. Dapatkan informasi lengkap mengenai jadwal pertandingan dan hasil pertandingan terbaru hanya di Vidio.</t>
  </si>
  <si>
    <t>https://drive.google.com/file/d/1shug9PqL2WUtz2Qv-uNxsLEfAlrt2BUt/view?usp=sharing</t>
  </si>
  <si>
    <t>https://drive.google.com/file/d/19TGsLXf2GWXVfy-WZArFOsx2Bztlf5xp/view?usp=sharing</t>
  </si>
  <si>
    <t>97d6b60c</t>
  </si>
  <si>
    <t>Crystal Palace vs KuPS - UEFA Conference League</t>
  </si>
  <si>
    <t>https://www.vidio.com/live/6299-bein-1?schedule_id=4783088</t>
  </si>
  <si>
    <t>https://drive.google.com/drive/folders/1K521MMt9EZyrQG9c0qOyNqhN3e2Qx_IE?usp=drive_link</t>
  </si>
  <si>
    <t>https://drive.google.com/file/d/1Kvhz-nIIZ7fUu1ukEyF1cVtyM6RuEB1f/view?usp=drive_link</t>
  </si>
  <si>
    <t>crystal palace fc; Kuopion Palloseura; sports stream</t>
  </si>
  <si>
    <t>Nonton streaming pertandingan seru Crystal Palace vs KuPS - UEFA Conference League. Saksikan aksi-aksi terbaik dari tim yang bersaing ketat untuk meraih kemenangan. Dapatkan informasi lengkap mengenai jadwal pertandingan dan hasil pertandingan terbaru hanya di Vidio.</t>
  </si>
  <si>
    <t>https://drive.google.com/file/d/1vhEn4CpE8vo1z6hqY7Jf42I5s13bLKGL/view?usp=sharing</t>
  </si>
  <si>
    <t>https://drive.google.com/file/d/1Kvhz-nIIZ7fUu1ukEyF1cVtyM6RuEB1f/view?usp=sharing</t>
  </si>
  <si>
    <t>https://drive.google.com/file/d/1NWGJTh82t5BJuwqI4GC_HOmV5033y8_b/view?usp=sharing</t>
  </si>
  <si>
    <t>85a8a217</t>
  </si>
  <si>
    <t>Slovan Bratislava vs Hacken - UEFA Conference League</t>
  </si>
  <si>
    <t>https://www.vidio.com/live/20091-uefa-conference-league?schedule_id=4783340</t>
  </si>
  <si>
    <t>https://drive.google.com/drive/folders/1X2p01TU38XeUwmomo-OdXSw_DpSxkWfB?usp=drive_link</t>
  </si>
  <si>
    <t>https://drive.google.com/file/d/1E5gkHNCHNfeo2-jBzMrIu8GX7ynx3a11/view?usp=drive_link</t>
  </si>
  <si>
    <t>šk slovan bratislava; BK Häcken; sports stream</t>
  </si>
  <si>
    <t>Nonton streaming pertandingan seru Slovan Bratislava vs Hacken - UEFA Conference League. Saksikan aksi-aksi terbaik dari tim yang bersaing ketat untuk meraih kemenangan. Dapatkan informasi lengkap mengenai jadwal pertandingan dan hasil pertandingan terbaru hanya di Vidio.</t>
  </si>
  <si>
    <t>https://drive.google.com/file/d/1WiIkwpOVpxL4rBdqP8m3y7gl1UThQveX/view?usp=sharing</t>
  </si>
  <si>
    <t>https://drive.google.com/file/d/1E5gkHNCHNfeo2-jBzMrIu8GX7ynx3a11/view?usp=sharing</t>
  </si>
  <si>
    <t>a6148486</t>
  </si>
  <si>
    <t>Sigma vs Lech Poznan - UEFA Conference League</t>
  </si>
  <si>
    <t>https://www.vidio.com/live/20090-uefa-conference-league?schedule_id=4783336</t>
  </si>
  <si>
    <t>https://drive.google.com/drive/folders/1QpWRJLjjRJ2KlVPMHXCu1aoa5-UYVZC_?usp=drive_link</t>
  </si>
  <si>
    <t>https://drive.google.com/file/d/1QF8hHJFjqqAWcvJi2ST6T74xKWQxAkH0/view?usp=drive_link</t>
  </si>
  <si>
    <t>SK Sigma Olomouc; KKS Lech Poznań; sports stream</t>
  </si>
  <si>
    <t>Nonton streaming pertandingan seru Sigma vs Lech Poznan - UEFA Conference League. Saksikan aksi-aksi terbaik dari tim yang bersaing ketat untuk meraih kemenangan. Dapatkan informasi lengkap mengenai jadwal pertandingan dan hasil pertandingan terbaru hanya di Vidio.</t>
  </si>
  <si>
    <t>https://drive.google.com/file/d/1ZHCANL4pQz40EL4YDDdSW5FY3HOLt7bb/view?usp=sharing</t>
  </si>
  <si>
    <t>https://drive.google.com/file/d/1QF8hHJFjqqAWcvJi2ST6T74xKWQxAkH0/view?usp=sharing</t>
  </si>
  <si>
    <t>eeae2ae3</t>
  </si>
  <si>
    <t>AZ Alkmaar vs Jagiellonia Bialystok - UEFA Conference League</t>
  </si>
  <si>
    <t>https://www.vidio.com/live/19644-uefa-conference-league?schedule_id=4783293</t>
  </si>
  <si>
    <t>https://drive.google.com/drive/folders/1gJaN4EJwF45MhU0qO-8pqT-cF3ON_E1p?usp=drive_link</t>
  </si>
  <si>
    <t>https://drive.google.com/file/d/1LUGtTTjcpdDtiFzKIPozkrw2Q_FON_4o/view?usp=drive_link</t>
  </si>
  <si>
    <t>alkmaar zaanstreek; jagiellonia białystok; sports stream</t>
  </si>
  <si>
    <t>Nonton streaming pertandingan seru AZ Alkmaar vs Jagiellonia Bialystok - UEFA Conference League. Saksikan aksi-aksi terbaik dari tim yang bersaing ketat untuk meraih kemenangan. Dapatkan informasi lengkap mengenai jadwal pertandingan dan hasil pertandingan terbaru hanya di Vidio.</t>
  </si>
  <si>
    <t>https://drive.google.com/file/d/15qbd49F2ag5C3IRQWTgpqeJB5vfoCAah/view?usp=sharing</t>
  </si>
  <si>
    <t>https://drive.google.com/file/d/1LUGtTTjcpdDtiFzKIPozkrw2Q_FON_4o/view?usp=sharing</t>
  </si>
  <si>
    <t>d768d0f1</t>
  </si>
  <si>
    <t>Sparta Praha vs Aberdeen - UEFA Conference League</t>
  </si>
  <si>
    <t>https://www.vidio.com/live/20092-uefa-conference-league?schedule_id=4783346</t>
  </si>
  <si>
    <t>https://drive.google.com/drive/folders/1vdszUpywZ09NzW5Y8CvRBUj4TN-1V5XE?usp=drive_link</t>
  </si>
  <si>
    <t>https://drive.google.com/file/d/1FSPfPFJQkwgnyzM1EK3rIDN1SD9lCXA9/view?usp=drive_link</t>
  </si>
  <si>
    <t>ac sparta praha; aberdeen; sports stream</t>
  </si>
  <si>
    <t>Nonton streaming pertandingan seru Sparta Praha vs Aberdeen - UEFA Conference League. Saksikan aksi-aksi terbaik dari tim yang bersaing ketat untuk meraih kemenangan. Dapatkan informasi lengkap mengenai jadwal pertandingan dan hasil pertandingan terbaru hanya di Vidio.</t>
  </si>
  <si>
    <t>https://drive.google.com/file/d/1nDfsYU4rdBv4hOQU651K5EfwTbP-npCT/view?usp=sharing</t>
  </si>
  <si>
    <t>https://drive.google.com/file/d/1FSPfPFJQkwgnyzM1EK3rIDN1SD9lCXA9/view?usp=sharing</t>
  </si>
  <si>
    <t>2c6f4fae</t>
  </si>
  <si>
    <t>AEK Athens vs Universitatea Craiova - UEFA Conference League</t>
  </si>
  <si>
    <t>https://www.vidio.com/live/19642-uefa-conference-league?schedule_id=4783289</t>
  </si>
  <si>
    <t>https://drive.google.com/drive/folders/1BJbvEOEIh13FvaFvYCE0DN2h4ep2EGX4?usp=drive_link</t>
  </si>
  <si>
    <t>https://drive.google.com/file/d/1dARdf2upApttfT7eEyhiI3n8TXCrpTYI/view?usp=drive_link</t>
  </si>
  <si>
    <t>aek athens; CS Universitatea Craiova; sports stream</t>
  </si>
  <si>
    <t>Nonton streaming pertandingan seru AEK Athens vs Universitatea Craiova - UEFA Conference League. Saksikan aksi-aksi terbaik dari tim yang bersaing ketat untuk meraih kemenangan. Dapatkan informasi lengkap mengenai jadwal pertandingan dan hasil pertandingan terbaru hanya di Vidio.</t>
  </si>
  <si>
    <t>https://drive.google.com/file/d/1kvTJkKwIVZOqK1PcKBjIvrS_3iASvyzW/view?usp=sharing</t>
  </si>
  <si>
    <t>https://drive.google.com/file/d/1dARdf2upApttfT7eEyhiI3n8TXCrpTYI/view?usp=sharing</t>
  </si>
  <si>
    <t>24f01ed7</t>
  </si>
  <si>
    <t>Rayo Vallecano vs Drita - UEFA Conference League</t>
  </si>
  <si>
    <t>https://www.vidio.com/live/19650-uefa-conference-league?schedule_id=4783310</t>
  </si>
  <si>
    <t>https://drive.google.com/drive/folders/1XeJtTOdOlC18cJy46bBiG6-vjWVQWZ6-?usp=drive_link</t>
  </si>
  <si>
    <t>https://drive.google.com/file/d/1_mpATT9zAYAuashDSlgyMI8LS_SWXjhN/view?usp=drive_link</t>
  </si>
  <si>
    <t>rayo vallecano; FC Drita; sports stream</t>
  </si>
  <si>
    <t>Nonton streaming pertandingan seru Rayo Vallecano vs Drita - UEFA Conference League. Saksikan aksi-aksi terbaik dari tim yang bersaing ketat untuk meraih kemenangan. Dapatkan informasi lengkap mengenai jadwal pertandingan dan hasil pertandingan terbaru hanya di Vidio.</t>
  </si>
  <si>
    <t>https://drive.google.com/file/d/1gSVP-0aSQSrYBoomAILpkubIilNJCIh3/view?usp=sharing</t>
  </si>
  <si>
    <t>https://drive.google.com/file/d/1_mpATT9zAYAuashDSlgyMI8LS_SWXjhN/view?usp=sharing</t>
  </si>
  <si>
    <t>https://drive.google.com/file/d/1tY9EDraOpQoyzCUi-MA1E0O3HmY2qpol/view?usp=sharing</t>
  </si>
  <si>
    <t>bacbce14</t>
  </si>
  <si>
    <t>Shakhtar Donetsk vs Rijeka - UEFA Conference League</t>
  </si>
  <si>
    <t>https://www.vidio.com/live/19736-uefa-conference-league?schedule_id=4783330</t>
  </si>
  <si>
    <t>https://drive.google.com/drive/folders/1jQmkG20WiDH588flUNtFIfNUFW2pT9SW?usp=drive_link</t>
  </si>
  <si>
    <t>https://drive.google.com/file/d/1BpBUdU04AHH9vipWrcpLOdWhLRtP6Wby/view?usp=drive_link</t>
  </si>
  <si>
    <t>fc shakhtar donetsk; HNK Rijeka; sports stream</t>
  </si>
  <si>
    <t>Nonton streaming pertandingan seru Shakhtar Donetsk vs Rijeka - UEFA Conference League. Saksikan aksi-aksi terbaik dari tim yang bersaing ketat untuk meraih kemenangan. Dapatkan informasi lengkap mengenai jadwal pertandingan dan hasil pertandingan terbaru hanya di Vidio.</t>
  </si>
  <si>
    <t>https://drive.google.com/file/d/15GI9j_gsNTuTLZJ3JHeDRFORzEQ9xbq2/view?usp=sharing</t>
  </si>
  <si>
    <t>https://drive.google.com/file/d/1BpBUdU04AHH9vipWrcpLOdWhLRtP6Wby/view?usp=sharing</t>
  </si>
  <si>
    <t>c3e37741</t>
  </si>
  <si>
    <t>Fulham vs Cambridge United - Carabao Cup</t>
  </si>
  <si>
    <t>https://www.vidio.com/live/19604-carabao-cup-2025-26?schedule_id=4592577</t>
  </si>
  <si>
    <t>https://drive.google.com/drive/folders/1xwYFzEyVtC6Lei-LAQ6_fAvZhoXffsm9?usp=drive_link</t>
  </si>
  <si>
    <t>Cambridge United</t>
  </si>
  <si>
    <t>fulham fc; Cambridge United FC; sports stream</t>
  </si>
  <si>
    <t>Nonton streaming pertandingan seru Fulham vs Cambridge United - Carabao Cup. Saksikan aksi-aksi terbaik dari tim yang bersaing ketat untuk meraih kemenangan. Dapatkan informasi lengkap mengenai jadwal pertandingan dan hasil pertandingan terbaru hanya di Vidio.</t>
  </si>
  <si>
    <t>https://drive.google.com/file/d/1xvRrRyhQ4EZRFdKZxqBz4Dll1xHqgudn/view?usp=sharing</t>
  </si>
  <si>
    <t>https://drive.google.com/file/d/1PFFFp6NxFmneqdc1z8EWo2vYzvwf1y3e/view?usp=sharing</t>
  </si>
  <si>
    <t>b86b1e87</t>
  </si>
  <si>
    <t>Lincoln City vs Chelsea - Carabao Cup</t>
  </si>
  <si>
    <t>https://www.vidio.com/live/6786-champions-tv-3?schedule_id=4592567</t>
  </si>
  <si>
    <t>https://drive.google.com/drive/folders/1ICctH3U4Brp3aRzWkti-MXgpcgoF90dA?usp=drive_link</t>
  </si>
  <si>
    <t>Lincoln City FC</t>
  </si>
  <si>
    <t>lincoln city fc; chelsea fc; sports stream</t>
  </si>
  <si>
    <t>Nonton streaming pertandingan seru Lincoln City vs Chelsea - Carabao Cup. Saksikan aksi-aksi terbaik dari tim yang bersaing ketat untuk meraih kemenangan. Dapatkan informasi lengkap mengenai jadwal pertandingan dan hasil pertandingan terbaru hanya di Vidio.</t>
  </si>
  <si>
    <t>https://drive.google.com/file/d/1uIG5DoJUoHIQlwjhiigxyAN1CSu4pfxG/view?usp=sharing</t>
  </si>
  <si>
    <t>https://drive.google.com/file/d/1t-94E-rzUG5V1flQJC_mMz-ypCNuB7wo/view?usp=drive_link</t>
  </si>
  <si>
    <t>https://drive.google.com/file/d/12mCAz5woERdcY6bMndKJyTCwHL08jI1f/view?usp=sharing</t>
  </si>
  <si>
    <t>d7ab55fd</t>
  </si>
  <si>
    <t>Wolves vs Everton - Carabao Cup</t>
  </si>
  <si>
    <t>https://www.vidio.com/live/6686-champions-tv-2?schedule_id=4592568</t>
  </si>
  <si>
    <t>https://drive.google.com/drive/folders/1vCRulHZWBCBVQ3BJ3CdZUg7qmslKVWcD?usp=drive_link</t>
  </si>
  <si>
    <t>Nonton streaming pertandingan seru Wolves vs Everton - Carabao Cup. Saksikan aksi-aksi terbaik dari tim yang bersaing ketat untuk meraih kemenangan. Dapatkan informasi lengkap mengenai jadwal pertandingan dan hasil pertandingan terbaru hanya di Vidio.</t>
  </si>
  <si>
    <t>https://drive.google.com/file/d/1Yi-0qItLL676gZWXf3O_RnONSNqxABHT/view?usp=sharing</t>
  </si>
  <si>
    <t>https://drive.google.com/file/d/1HrS4aY2qAvbiJjhlNmq7iCvk7FMinzU8/view?usp=drive_link</t>
  </si>
  <si>
    <t>https://drive.google.com/file/d/1U4-dxY67Rybe8JqAUw19kYPUA_FLSEJY/view?usp=sharing</t>
  </si>
  <si>
    <t>0cd6bc46</t>
  </si>
  <si>
    <t>Liverpool vs Southampton - Carabao Cup</t>
  </si>
  <si>
    <t>https://www.vidio.com/live/6685-champions-tv-1?schedule_id=4592569</t>
  </si>
  <si>
    <t>https://drive.google.com/drive/folders/1ohBCaK8DdzJ8IXvOxt-n4pizkPAsRKIc?usp=drive_link</t>
  </si>
  <si>
    <t>liverpool fc; southampton fc; sports stream</t>
  </si>
  <si>
    <t>Nonton streaming pertandingan seru Liverpool vs Southampton - Carabao Cup. Saksikan aksi-aksi terbaik dari tim yang bersaing ketat untuk meraih kemenangan. Dapatkan informasi lengkap mengenai jadwal pertandingan dan hasil pertandingan terbaru hanya di Vidio.</t>
  </si>
  <si>
    <t>https://drive.google.com/file/d/1yW9MzejK_MJ4qWgiGhnLjYQpENbbFo9M/view?usp=sharing</t>
  </si>
  <si>
    <t>https://drive.google.com/file/d/1dlriK8iUnnKqydxo5bu5Y4ReSJQwZxtq/view?usp=sharing</t>
  </si>
  <si>
    <t>https://drive.google.com/file/d/1_CD_8bD65Mi89v5pXC6aJoHGpap3fKWE/view?usp=sharing</t>
  </si>
  <si>
    <t>4bfac571</t>
  </si>
  <si>
    <t>Huddersfield vs Man City - Carabao Cup</t>
  </si>
  <si>
    <t>https://www.vidio.com/live/6686-champions-tv-2?schedule_id=4593838</t>
  </si>
  <si>
    <t>https://drive.google.com/drive/folders/12-gUlRro4HJuYnfXvgteKq1B2dXw0rYg?usp=drive_link</t>
  </si>
  <si>
    <t>Huddersfield Town FC</t>
  </si>
  <si>
    <t>huddersfield town fc; manchester city fc; sports stream</t>
  </si>
  <si>
    <t>Nonton streaming pertandingan seru Huddersfield vs Man City - Carabao Cup. Saksikan aksi-aksi terbaik dari tim yang bersaing ketat untuk meraih kemenangan. Dapatkan informasi lengkap mengenai jadwal pertandingan dan hasil pertandingan terbaru hanya di Vidio.</t>
  </si>
  <si>
    <t>https://drive.google.com/file/d/1Fz0JgjHoR8BSTelHQXSbXZX3Dg61KSB7/view?usp=sharing</t>
  </si>
  <si>
    <t>https://drive.google.com/file/d/1EmIUfl6l_NmxA2Ps0LJ5BA6XmLQ7oLXj/view?usp=drive_link</t>
  </si>
  <si>
    <t>https://drive.google.com/file/d/1VvMuRxouXdDUoMf-9tvxS6ugPkaGra1b/view?usp=sharing</t>
  </si>
  <si>
    <t>bc396d3e</t>
  </si>
  <si>
    <t>Newcastle vs Bradford - Carabao Cup</t>
  </si>
  <si>
    <t>https://www.vidio.com/live/6786-champions-tv-3?schedule_id=4593641</t>
  </si>
  <si>
    <t>https://drive.google.com/drive/folders/1RughArXkZoUF6fb-IhHROH7v3gssI9vB?usp=drive_link</t>
  </si>
  <si>
    <t>Bradford City AFC</t>
  </si>
  <si>
    <t>newcastle united fc; Bradford City AFC; sports stream</t>
  </si>
  <si>
    <t>Nonton streaming pertandingan seru Newcastle vs Bradford - Carabao Cup. Saksikan aksi-aksi terbaik dari tim yang bersaing ketat untuk meraih kemenangan. Dapatkan informasi lengkap mengenai jadwal pertandingan dan hasil pertandingan terbaru hanya di Vidio.</t>
  </si>
  <si>
    <t>https://drive.google.com/file/d/1HtshB0T7GtT6DNmnV9vgKiHAo1V14hq9/view?usp=sharing</t>
  </si>
  <si>
    <t>https://drive.google.com/file/d/1JIRkUvQdXR783HouAqDhi8FEmwL7TyNu/view?usp=drive_link</t>
  </si>
  <si>
    <t>https://drive.google.com/file/d/1Jc8np3myOm3YEJ_jA8RkxPGHRdK4YOtt/view?usp=sharing</t>
  </si>
  <si>
    <t>84847236</t>
  </si>
  <si>
    <t>Tottenham vs Doncaster - Carabao Cup</t>
  </si>
  <si>
    <t>https://www.vidio.com/live/19604-carabao-cup-2025-26?schedule_id=4594564</t>
  </si>
  <si>
    <t>https://drive.google.com/drive/folders/1-WgJ2IEJ2UwJRhp40bAjV3dZLleidaEX?usp=drive_link</t>
  </si>
  <si>
    <t>Doncaster Rovers FC</t>
  </si>
  <si>
    <t>tottenham hotspur fc; doncaster rovers fc; sports stream</t>
  </si>
  <si>
    <t>Nonton streaming pertandingan seru Tottenham vs Doncaster - Carabao Cup. Saksikan aksi-aksi terbaik dari tim yang bersaing ketat untuk meraih kemenangan. Dapatkan informasi lengkap mengenai jadwal pertandingan dan hasil pertandingan terbaru hanya di Vidio.</t>
  </si>
  <si>
    <t>https://drive.google.com/file/d/1yuoUynZgrVt11b10DbG1qZi44uk2V7y6/view?usp=sharing</t>
  </si>
  <si>
    <t>https://drive.google.com/file/d/17nRju6zQGePYz_tvXS46n2bpLGYCfd0W/view?usp=drive_link</t>
  </si>
  <si>
    <t>https://drive.google.com/file/d/1M7C_eKT7h6L89xHEjkWnBb_sha7XRjmo/view?usp=sharing</t>
  </si>
  <si>
    <t>be6c90bb</t>
  </si>
  <si>
    <t>Port Vale vs Arsenal - Carabao Cup</t>
  </si>
  <si>
    <t>https://www.vidio.com/live/6685-champions-tv-1?schedule_id=4593839</t>
  </si>
  <si>
    <t>https://drive.google.com/drive/folders/1RUM3kd_o04HTtbZIN93QxLfzzr_pLCHL?usp=sharing</t>
  </si>
  <si>
    <t>Port Vale FC</t>
  </si>
  <si>
    <t>Port Vale FC; arsenal fc; sports stream</t>
  </si>
  <si>
    <t>Nonton streaming pertandingan seru Port Vale vs Arsenal - Carabao Cup. Saksikan aksi-aksi terbaik dari tim yang bersaing ketat untuk meraih kemenangan. Dapatkan informasi lengkap mengenai jadwal pertandingan dan hasil pertandingan terbaru hanya di Vidio.</t>
  </si>
  <si>
    <t>https://drive.google.com/file/d/1mFOvt8_B28PRXuY3iCZ9dFs8bLns6DPN/view?usp=sharing</t>
  </si>
  <si>
    <t>https://drive.google.com/file/d/1jnD1RxWreZT2fU5L8luinwWz8aCQBMCZ/view?usp=drive_link</t>
  </si>
  <si>
    <t>https://drive.google.com/file/d/1uISixxE1szKt2sFcQrd6bAP5h0_ZMEhA/view?usp=sharing</t>
  </si>
  <si>
    <t>4ef929d0</t>
  </si>
  <si>
    <t>Twente vs Fortuna Sittard - Eredivisie</t>
  </si>
  <si>
    <t>https://www.vidio.com/live/6685-champions-tv-1?schedule_id=4599290</t>
  </si>
  <si>
    <t>https://drive.google.com/drive/folders/1DxHl76ZS3VN1c0PpYYQuCub1zy1opOav?usp=drive_link</t>
  </si>
  <si>
    <t>fc twente; fortuna sittard; sports stream</t>
  </si>
  <si>
    <t>Nonton streaming pertandingan seru Twente vs Fortuna Sittard - Eredivisie. Saksikan aksi-aksi terbaik dari tim yang bersaing ketat untuk meraih kemenangan. Dapatkan informasi lengkap mengenai jadwal pertandingan dan hasil pertandingan terbaru hanya di Vidio.</t>
  </si>
  <si>
    <t>A1 , B1 , C1</t>
  </si>
  <si>
    <t>https://drive.google.com/file/d/1YEu3m5QJi1AOWp-EUSreYzF8BWhwuwTD/view?usp=sharing</t>
  </si>
  <si>
    <t>https://drive.google.com/file/d/1DgxykDEc9eEftCWPPOOnlR77jFvEjxwG/view?usp=sharing</t>
  </si>
  <si>
    <t>https://drive.google.com/file/d/1o2zJSngGWj3gfuE3WeylK10AZDeee6SN/view?usp=sharing</t>
  </si>
  <si>
    <t>e5a418ed</t>
  </si>
  <si>
    <t>Ajax vs NAC Breda - Eredivisie</t>
  </si>
  <si>
    <t>https://www.vidio.com/live/6685-champions-tv-1?schedule_id=4599325</t>
  </si>
  <si>
    <t>https://drive.google.com/drive/folders/1Ituu9djD__FqTfQ7HHqLd21nzoyhOXSj?usp=drive_link</t>
  </si>
  <si>
    <t>afc ajax; nac breda; sports stream</t>
  </si>
  <si>
    <t>Nonton streaming pertandingan seru Ajax vs NAC Breda - Eredivisie. Saksikan aksi-aksi terbaik dari tim yang bersaing ketat untuk meraih kemenangan. Dapatkan informasi lengkap mengenai jadwal pertandingan dan hasil pertandingan terbaru hanya di Vidio.</t>
  </si>
  <si>
    <t>https://drive.google.com/file/d/1ApvMseuP0Y__trRsWsE3N5B9QRpBUrgr/view?usp=sharing</t>
  </si>
  <si>
    <t>https://drive.google.com/file/d/1K3rTNeEInjBQixjl3Ummg0n5UUJeF-SN/view?usp=sharing</t>
  </si>
  <si>
    <t>https://drive.google.com/file/d/1R75MyITpYC5sMowOtacR8bp8OR9jTDs7/view?usp=sharing</t>
  </si>
  <si>
    <t>0b2f28c2</t>
  </si>
  <si>
    <t>Excelsior vs PSV - Eredivisie</t>
  </si>
  <si>
    <t>https://www.vidio.com/live/6685-champions-tv-1?schedule_id=4599327</t>
  </si>
  <si>
    <t>https://drive.google.com/drive/folders/1aLmJezBwGY93BuRDPj1xE9LbASiDtpvI?usp=drive_link</t>
  </si>
  <si>
    <t>excelsior rotterdam; psv eindhoven; sports stream</t>
  </si>
  <si>
    <t>Nonton streaming pertandingan seru Excelsior vs PSV - Eredivisie. Saksikan aksi-aksi terbaik dari tim yang bersaing ketat untuk meraih kemenangan. Dapatkan informasi lengkap mengenai jadwal pertandingan dan hasil pertandingan terbaru hanya di Vidio.</t>
  </si>
  <si>
    <t>https://drive.google.com/file/d/13fJFyIAajNpPA2T8V9kohMBa1IoV6CUM/view?usp=sharing</t>
  </si>
  <si>
    <t>https://drive.google.com/file/d/10L1Q4yo2AmIIOaOUKeZA3xs3wc1bEwgC/view?usp=drive_link</t>
  </si>
  <si>
    <t>https://drive.google.com/file/d/1WxXsL-FrHQqfLPBsUCrUnT_-k12kzWNI/view?usp=sharing</t>
  </si>
  <si>
    <t>caf322f5</t>
  </si>
  <si>
    <t>NEC Nijmegen vs AZ Alkmaar - Eredivisie</t>
  </si>
  <si>
    <t>https://www.vidio.com/live/6685-champions-tv-1?schedule_id=4596522</t>
  </si>
  <si>
    <t>https://drive.google.com/drive/folders/1SFLjbumMEXtPmSrpnsbs8UvxuMlbfhsV?usp=drive_link</t>
  </si>
  <si>
    <t>nec nijmegen; alkmaar zaanstreek; sports stream</t>
  </si>
  <si>
    <t>Nonton streaming pertandingan seru NEC Nijmegen vs AZ Alkmaar - Eredivisie. Saksikan aksi-aksi terbaik dari tim yang bersaing ketat untuk meraih kemenangan. Dapatkan informasi lengkap mengenai jadwal pertandingan dan hasil pertandingan terbaru hanya di Vidio.</t>
  </si>
  <si>
    <t>https://drive.google.com/file/d/1B9nNNwDpcdeo9KRy2pew_dGTJWtJDx3A/view?usp=sharing</t>
  </si>
  <si>
    <t>https://drive.google.com/file/d/1U09u_ywRU6HHGjQTF6DtuQbsx_VWIrBA/view?usp=sharing</t>
  </si>
  <si>
    <t>https://drive.google.com/file/d/17fgledcxhxSxWUL9INig8fuSNWZkgT21/view?usp=sharing</t>
  </si>
  <si>
    <t>de6d1aec</t>
  </si>
  <si>
    <t>FC Groningen vs Feyenoord - Eredivisie</t>
  </si>
  <si>
    <t>https://www.vidio.com/live/19436-eredivisie?schedule_id=4599322</t>
  </si>
  <si>
    <t>https://drive.google.com/drive/folders/1vaxXusnx0ak8CEuWajxU91LvZrpO3FbO?usp=drive_link</t>
  </si>
  <si>
    <t>fc groningen; feyenoord rotterdam; sports stream</t>
  </si>
  <si>
    <t>Nonton streaming pertandingan seru FC Groningen vs Feyenoord - Eredivisie. Saksikan aksi-aksi terbaik dari tim yang bersaing ketat untuk meraih kemenangan. Dapatkan informasi lengkap mengenai jadwal pertandingan dan hasil pertandingan terbaru hanya di Vidio.</t>
  </si>
  <si>
    <t>https://drive.google.com/file/d/1uE89c_jwhRx3aSE3g7gYPyLa_QvrxyIA/view?usp=sharing</t>
  </si>
  <si>
    <t>https://drive.google.com/file/d/1EkBKxg__U0zSz0--Y_TwIvB3qWReSnHl/view?usp=sharing</t>
  </si>
  <si>
    <t>https://drive.google.com/file/d/1HD4SCYA-ddVkXsmUIAY1jRwban_6bdui/view?usp=sharing</t>
  </si>
  <si>
    <t>dc23c91c</t>
  </si>
  <si>
    <t>Naoya Inoue vs Murodjon Akhmadaliev - Undisputed Super Bantamweight Championship</t>
  </si>
  <si>
    <t>https://www.vidio.com/live/6685-champions-tv-1?schedule_id=4566540</t>
  </si>
  <si>
    <t>https://drive.google.com/drive/folders/1HfAu5uWHaGwNYYjUzBCiSU8ar9dKtEEy</t>
  </si>
  <si>
    <t>https://drive.google.com/drive/folders/1DPKxYCkqploXZ-iI2YnDdo_1SDvl8gOg?usp=drive_link</t>
  </si>
  <si>
    <t>Nonton streaming pertandingan seru Naoya Inoue vs Murodjon Akhmadaliev - Undisputed Super Bantamweight Championship. Saksikan aksi-aksi terbaik dari tim yang bersaing ketat untuk meraih kemenangan. Dapatkan informasi lengkap mengenai jadwal pertandingan dan hasil pertandingan terbaru hanya di Vidio.</t>
  </si>
  <si>
    <t>https://drive.google.com/file/d/1T6nSai9s2DuLCw2Mw9jX5vxPn20trQy0/view?usp=sharing</t>
  </si>
  <si>
    <t>https://drive.google.com/file/d/11M2aJ_7i47DJMiVrpkKHZ8B1sd9j7Of_/view?usp=sharing</t>
  </si>
  <si>
    <t>b262980f</t>
  </si>
  <si>
    <t>Jelang Kick Off - PERSEBAYA Surabaya vs Semen Padang FC - BRI Super League</t>
  </si>
  <si>
    <t>https://www.vidio.com/live/19355-bri-super-league?schedule_id=4579945</t>
  </si>
  <si>
    <t>https://drive.google.com/drive/folders/1WY756q2b0RRnCp5pRM5QRXPy9-B01Nf9</t>
  </si>
  <si>
    <t>Nonton streaming pertandingan seru Jelang Kick Off - PERSEBAYA Surabaya vs Semen Padang FC - BRI Super League. Saksikan aksi-aksi terbaik dari tim yang bersaing ketat untuk meraih kemenangan. Dapatkan informasi lengkap mengenai jadwal pertandingan dan hasil pertandingan terbaru hanya di Vidio.</t>
  </si>
  <si>
    <t>https://drive.google.com/file/d/1CZv1arP8jTapbZtMFVT7R1Zq27Biju0x/view?usp=drive_link</t>
  </si>
  <si>
    <t>d2341102</t>
  </si>
  <si>
    <t>Jelang Kick Off- PSM Makassar vs PERSIJA - BRI Super League</t>
  </si>
  <si>
    <t>https://www.vidio.com/live/19355-bri-super-league?schedule_id=4581460</t>
  </si>
  <si>
    <t>Nonton streaming pertandingan seru Jelang Kick Off- PSM Makassar vs PERSIJA - BRI Super League. Saksikan aksi-aksi terbaik dari tim yang bersaing ketat untuk meraih kemenangan. Dapatkan informasi lengkap mengenai jadwal pertandingan dan hasil pertandingan terbaru hanya di Vidio.</t>
  </si>
  <si>
    <t>0a414eb0</t>
  </si>
  <si>
    <t>Jelang Kick Off - Arema FC vs PERSIB - BRI Super League</t>
  </si>
  <si>
    <t>https://www.vidio.com/live/19355-bri-super-league?schedule_id=4581462</t>
  </si>
  <si>
    <t>arema fc; Persib; sports stream</t>
  </si>
  <si>
    <t>Nonton streaming pertandingan seru Jelang Kick Off - Arema FC vs PERSIB - BRI Super League. Saksikan aksi-aksi terbaik dari tim yang bersaing ketat untuk meraih kemenangan. Dapatkan informasi lengkap mengenai jadwal pertandingan dan hasil pertandingan terbaru hanya di Vidio.</t>
  </si>
  <si>
    <t>31e27c0f</t>
  </si>
  <si>
    <t>Matchday 2 - Top Youth Premier League 2025</t>
  </si>
  <si>
    <t>https://www.vidio.com/live/19519</t>
  </si>
  <si>
    <t>Nonton streaming pertandingan seru Matchday 2 - Top Youth Premier League 2025. Saksikan aksi-aksi terbaik dari tim yang bersaing ketat untuk meraih kemenangan. Dapatkan informasi lengkap mengenai jadwal pertandingan dan hasil pertandingan terbaru hanya di Vidio.</t>
  </si>
  <si>
    <t>a4e74661</t>
  </si>
  <si>
    <t>ASSA PRO SS vs FOLK FOOTBALL ACADEMY – Top Youth Premier League 2025 U-9</t>
  </si>
  <si>
    <t>https://www.vidio.com/live/19519?schedule_id=4553298</t>
  </si>
  <si>
    <t>Nonton streaming pertandingan seru ASSA PRO SS vs FOLK FOOTBALL ACADEMY – Top Youth Premier League 2025 U-9. Saksikan aksi-aksi terbaik dari tim yang bersaing ketat untuk meraih kemenangan. Dapatkan informasi lengkap mengenai jadwal pertandingan dan hasil pertandingan terbaru hanya di Vidio.</t>
  </si>
  <si>
    <t>38da7f0b</t>
  </si>
  <si>
    <t>BINNA BANUA vs BORUSSIA ACADEMY – Top Youth Premier League 2025 U-10</t>
  </si>
  <si>
    <t>https://www.vidio.com/live/19519?schedule_id=4553299</t>
  </si>
  <si>
    <t>Nonton streaming pertandingan seru BINNA BANUA vs BORUSSIA ACADEMY – Top Youth Premier League 2025 U-10. Saksikan aksi-aksi terbaik dari tim yang bersaing ketat untuk meraih kemenangan. Dapatkan informasi lengkap mengenai jadwal pertandingan dan hasil pertandingan terbaru hanya di Vidio.</t>
  </si>
  <si>
    <t>fca24dd1</t>
  </si>
  <si>
    <t>GRAND YOUNG KIDS SS vs PRO DIRECT ACADEMY – Top Youth Premier League 2025 U-9</t>
  </si>
  <si>
    <t>https://www.vidio.com/live/19519?schedule_id=4553300</t>
  </si>
  <si>
    <t>Nonton streaming pertandingan seru GRAND YOUNG KIDS SS vs PRO DIRECT ACADEMY – Top Youth Premier League 2025 U-9. Saksikan aksi-aksi terbaik dari tim yang bersaing ketat untuk meraih kemenangan. Dapatkan informasi lengkap mengenai jadwal pertandingan dan hasil pertandingan terbaru hanya di Vidio.</t>
  </si>
  <si>
    <t>471ca09c</t>
  </si>
  <si>
    <t>GANADOR vs ASIOP MERAH – Top Youth Premier League 2025 U-10</t>
  </si>
  <si>
    <t>https://www.vidio.com/live/19519?schedule_id=4553302</t>
  </si>
  <si>
    <t>Nonton streaming pertandingan seru GANADOR vs ASIOP MERAH – Top Youth Premier League 2025 U-10. Saksikan aksi-aksi terbaik dari tim yang bersaing ketat untuk meraih kemenangan. Dapatkan informasi lengkap mengenai jadwal pertandingan dan hasil pertandingan terbaru hanya di Vidio.</t>
  </si>
  <si>
    <t>5c1bd051</t>
  </si>
  <si>
    <t>ASSA PRO SS vs FFF ACADEMY – Top Youth Premier League 2025 U-9</t>
  </si>
  <si>
    <t>https://www.vidio.com/live/19519?schedule_id=4553301</t>
  </si>
  <si>
    <t>Nonton streaming pertandingan seru ASSA PRO SS vs FFF ACADEMY – Top Youth Premier League 2025 U-9. Saksikan aksi-aksi terbaik dari tim yang bersaing ketat untuk meraih kemenangan. Dapatkan informasi lengkap mengenai jadwal pertandingan dan hasil pertandingan terbaru hanya di Vidio.</t>
  </si>
  <si>
    <t>660ad6eb</t>
  </si>
  <si>
    <t>TAJIMALELA vs RDC PRATAMA – Top Youth Premier League 2025 U-10</t>
  </si>
  <si>
    <t>https://www.vidio.com/live/19519?schedule_id=4553306</t>
  </si>
  <si>
    <t>Nonton streaming pertandingan seru TAJIMALELA vs RDC PRATAMA – Top Youth Premier League 2025 U-10. Saksikan aksi-aksi terbaik dari tim yang bersaing ketat untuk meraih kemenangan. Dapatkan informasi lengkap mengenai jadwal pertandingan dan hasil pertandingan terbaru hanya di Vidio.</t>
  </si>
  <si>
    <t>d85d468a</t>
  </si>
  <si>
    <t>ABINAYA SS vs BINNA BANUA – Top Youth Premier League 2025 U-11</t>
  </si>
  <si>
    <t>https://www.vidio.com/live/19519?schedule_id=4553307</t>
  </si>
  <si>
    <t>Nonton streaming pertandingan seru ABINAYA SS vs BINNA BANUA – Top Youth Premier League 2025 U-11. Saksikan aksi-aksi terbaik dari tim yang bersaing ketat untuk meraih kemenangan. Dapatkan informasi lengkap mengenai jadwal pertandingan dan hasil pertandingan terbaru hanya di Vidio.</t>
  </si>
  <si>
    <t>3e450b02</t>
  </si>
  <si>
    <t>BINA TARUNA vs FU15FA – Top Youth Premier League 2025 U-11</t>
  </si>
  <si>
    <t>https://www.vidio.com/live/19519?schedule_id=4553305</t>
  </si>
  <si>
    <t>Nonton streaming pertandingan seru BINA TARUNA vs FU15FA – Top Youth Premier League 2025 U-11. Saksikan aksi-aksi terbaik dari tim yang bersaing ketat untuk meraih kemenangan. Dapatkan informasi lengkap mengenai jadwal pertandingan dan hasil pertandingan terbaru hanya di Vidio.</t>
  </si>
  <si>
    <t>dcc68070</t>
  </si>
  <si>
    <t>YOUNG WARRIOR APOLLO vs BINNA BANUA – Top Youth Premier League 2025 U-11</t>
  </si>
  <si>
    <t>https://www.vidio.com/live/19519?schedule_id=4553304</t>
  </si>
  <si>
    <t>Nonton streaming pertandingan seru YOUNG WARRIOR APOLLO vs BINNA BANUA – Top Youth Premier League 2025 U-11. Saksikan aksi-aksi terbaik dari tim yang bersaing ketat untuk meraih kemenangan. Dapatkan informasi lengkap mengenai jadwal pertandingan dan hasil pertandingan terbaru hanya di Vidio.</t>
  </si>
  <si>
    <t>6ed32627</t>
  </si>
  <si>
    <t>FFF NORTH vs PRODIGY – Top Youth Premier League 2025 U-11</t>
  </si>
  <si>
    <t>https://www.vidio.com/live/19519?schedule_id=4553303</t>
  </si>
  <si>
    <t>Nonton streaming pertandingan seru FFF NORTH vs PRODIGY – Top Youth Premier League 2025 U-11. Saksikan aksi-aksi terbaik dari tim yang bersaing ketat untuk meraih kemenangan. Dapatkan informasi lengkap mengenai jadwal pertandingan dan hasil pertandingan terbaru hanya di Vidio.</t>
  </si>
  <si>
    <t>ac355a4a</t>
  </si>
  <si>
    <t>JAS vs RDC PRATAMA – Top Youth Premier League 2025 U-12</t>
  </si>
  <si>
    <t>https://www.vidio.com/live/19519?schedule_id=4553312</t>
  </si>
  <si>
    <t>Nonton streaming pertandingan seru JAS vs RDC PRATAMA – Top Youth Premier League 2025 U-12. Saksikan aksi-aksi terbaik dari tim yang bersaing ketat untuk meraih kemenangan. Dapatkan informasi lengkap mengenai jadwal pertandingan dan hasil pertandingan terbaru hanya di Vidio.</t>
  </si>
  <si>
    <t>ac0b18f3</t>
  </si>
  <si>
    <t>BORUSSIA ACADEMY IND. vs YOUNG WARRIOR – Top Youth Premier League 2025 U-12</t>
  </si>
  <si>
    <t>https://www.vidio.com/live/19519?schedule_id=4553310</t>
  </si>
  <si>
    <t>Nonton streaming pertandingan seru BORUSSIA ACADEMY IND. vs YOUNG WARRIOR – Top Youth Premier League 2025 U-12. Saksikan aksi-aksi terbaik dari tim yang bersaing ketat untuk meraih kemenangan. Dapatkan informasi lengkap mengenai jadwal pertandingan dan hasil pertandingan terbaru hanya di Vidio.</t>
  </si>
  <si>
    <t>a3c4c86d</t>
  </si>
  <si>
    <t>RAGA NEGERI vs SULCATA – Top Youth Premier League 2025 U-12</t>
  </si>
  <si>
    <t>https://www.vidio.com/live/19519?schedule_id=4553311</t>
  </si>
  <si>
    <t>Nonton streaming pertandingan seru RAGA NEGERI vs SULCATA – Top Youth Premier League 2025 U-12. Saksikan aksi-aksi terbaik dari tim yang bersaing ketat untuk meraih kemenangan. Dapatkan informasi lengkap mengenai jadwal pertandingan dan hasil pertandingan terbaru hanya di Vidio.</t>
  </si>
  <si>
    <t>022fbaee</t>
  </si>
  <si>
    <t>DIKLAT ISA vs YOUNG WARRIOR – Top Youth Premier League 2025 U-12</t>
  </si>
  <si>
    <t>https://www.vidio.com/live/19519?schedule_id=4553309</t>
  </si>
  <si>
    <t>Nonton streaming pertandingan seru DIKLAT ISA vs YOUNG WARRIOR – Top Youth Premier League 2025 U-12. Saksikan aksi-aksi terbaik dari tim yang bersaing ketat untuk meraih kemenangan. Dapatkan informasi lengkap mengenai jadwal pertandingan dan hasil pertandingan terbaru hanya di Vidio.</t>
  </si>
  <si>
    <t>3d85ec3f</t>
  </si>
  <si>
    <t>RAGA NEGERI vs ASIOP MERAH – Top Youth Premier League 2025 U-12</t>
  </si>
  <si>
    <t>https://www.vidio.com/live/19519?schedule_id=4553308</t>
  </si>
  <si>
    <t>Nonton streaming pertandingan seru RAGA NEGERI vs ASIOP MERAH – Top Youth Premier League 2025 U-12. Saksikan aksi-aksi terbaik dari tim yang bersaing ketat untuk meraih kemenangan. Dapatkan informasi lengkap mengenai jadwal pertandingan dan hasil pertandingan terbaru hanya di Vidio.</t>
  </si>
  <si>
    <t>c31de2d2</t>
  </si>
  <si>
    <t>FC Bekasi City vs PSPS Pekanbaru - Pegadaian Championship</t>
  </si>
  <si>
    <t>Pegadaian Championship 2025/26</t>
  </si>
  <si>
    <t>VIDIO - @liga2</t>
  </si>
  <si>
    <t>https://www.vidio.com/live/19542-pegadaian-championship-2025-26?schedule_id=4564712</t>
  </si>
  <si>
    <t>https://drive.google.com/drive/folders/1JYqObXMNDInBDBGi7pbkQaxSk7XSvOMr?usp=drive_link</t>
  </si>
  <si>
    <t>https://drive.google.com/drive/folders/1ucNoaH6qaYCBmETyhLgQ5RaF6B8eqX2W?usp=drive_link</t>
  </si>
  <si>
    <t>FC Bekasi City</t>
  </si>
  <si>
    <t>PSPS Riau</t>
  </si>
  <si>
    <t>Sports &gt; Football &gt; Liga 2</t>
  </si>
  <si>
    <t>Liga 2; Pegadaian Championship 2025/26</t>
  </si>
  <si>
    <t>fc bekasi city; psps riau; sports stream</t>
  </si>
  <si>
    <t>Nonton streaming pertandingan seru FC Bekasi City vs PSPS Pekanbaru - Pegadaian Championship. Saksikan aksi-aksi terbaik dari tim yang bersaing ketat untuk meraih kemenangan. Dapatkan informasi lengkap mengenai jadwal pertandingan dan hasil pertandingan terbaru hanya di Vidio.</t>
  </si>
  <si>
    <t>https://drive.google.com/file/d/1FisMumEfBKvbHc6F3E7fgrJZlxXYvx_F/view?usp=sharing</t>
  </si>
  <si>
    <t>https://drive.google.com/file/d/1S_9K8SiHBRkwfTW_qMu_EcVyBfOyAPQG/view?usp=drive_link</t>
  </si>
  <si>
    <t>https://drive.google.com/file/d/1kCy8R8sbcKz9-QRM8B3BmLhryDggtOpt/view?usp=sharing</t>
  </si>
  <si>
    <t>c80749cd</t>
  </si>
  <si>
    <t>PSMS Medan vs Persekat Tegal - Pegadaian Championship</t>
  </si>
  <si>
    <t>https://www.vidio.com/live/205-indosiar?schedule_id=4564766</t>
  </si>
  <si>
    <t>https://drive.google.com/drive/folders/1oSjSQAaexR1szupumsDfbAURVNF67IQT?usp=drive_link</t>
  </si>
  <si>
    <t>PSMS Medan</t>
  </si>
  <si>
    <t>Persekat Tegal</t>
  </si>
  <si>
    <t>psms medan; persekat; sports stream</t>
  </si>
  <si>
    <t>Nonton streaming pertandingan seru PSMS Medan vs Persekat Tegal - Pegadaian Championship. Saksikan aksi-aksi terbaik dari tim yang bersaing ketat untuk meraih kemenangan. Dapatkan informasi lengkap mengenai jadwal pertandingan dan hasil pertandingan terbaru hanya di Vidio.</t>
  </si>
  <si>
    <t>https://drive.google.com/file/d/116ZJLbxtwaQc99J0Ph4TUUo0_esNlwXD/view?usp=sharing</t>
  </si>
  <si>
    <t>https://drive.google.com/file/d/1ETDVEnAZ-65Ybq1_So3EKVmQ42aFrzbC/view?usp=drive_link</t>
  </si>
  <si>
    <t>https://drive.google.com/file/d/1pUTb-M1nS-Qrt-xwPMK88DIv-neyd_fT/view?usp=sharing</t>
  </si>
  <si>
    <t>3f6093d5</t>
  </si>
  <si>
    <t>Sriwijaya FC vs Garudayaksa FC - Pegadaian Championship</t>
  </si>
  <si>
    <t>https://www.vidio.com/live/19542-pegadaian-championship-2025-26?schedule_id=4567623</t>
  </si>
  <si>
    <t>https://drive.google.com/drive/folders/11JI4YvQkJVGeSSPbCYMAZ4RCEtcTWnu6?usp=drive_link</t>
  </si>
  <si>
    <t>Sriwijaya FC</t>
  </si>
  <si>
    <t>PSKC Cimahi</t>
  </si>
  <si>
    <t>sriwijaya fc; pskc cimahi; sports stream</t>
  </si>
  <si>
    <t>Nonton streaming pertandingan seru Sriwijaya FC vs Garudayaksa FC - Pegadaian Championship. Saksikan aksi-aksi terbaik dari tim yang bersaing ketat untuk meraih kemenangan. Dapatkan informasi lengkap mengenai jadwal pertandingan dan hasil pertandingan terbaru hanya di Vidio.</t>
  </si>
  <si>
    <t>https://drive.google.com/file/d/1klaYLD3n1SZkzlhxqJSt-JLlCoVevrxe/view?usp=sharing</t>
  </si>
  <si>
    <t>https://drive.google.com/file/d/1nGT_8FCT8Pz7e1H9gUjlwQQdb_UQMok1/view?usp=drive_link</t>
  </si>
  <si>
    <t>https://drive.google.com/file/d/1DbrdfhBKlf4SpzGPFAjZOSDKdCBV3veM/view?usp=sharing</t>
  </si>
  <si>
    <t>b5585483</t>
  </si>
  <si>
    <t>PSIS Semarang vs Persiku Kudus - Pegadaian Championship</t>
  </si>
  <si>
    <t>https://www.vidio.com/live/19543-pegadaian-championship-2025-26?schedule_id=4567624</t>
  </si>
  <si>
    <t>https://drive.google.com/drive/folders/1jAKXKZwJI0BVmGP79QAC3_k519w3dbsU?usp=drive_link</t>
  </si>
  <si>
    <t>PSIS Semarang</t>
  </si>
  <si>
    <t>Persiku Kudus</t>
  </si>
  <si>
    <t>psis semarang; persiku kudus; sports stream</t>
  </si>
  <si>
    <t>Nonton streaming pertandingan seru PSIS Semarang vs Persiku Kudus - Pegadaian Championship. Saksikan aksi-aksi terbaik dari tim yang bersaing ketat untuk meraih kemenangan. Dapatkan informasi lengkap mengenai jadwal pertandingan dan hasil pertandingan terbaru hanya di Vidio.</t>
  </si>
  <si>
    <t>https://drive.google.com/file/d/1HBf8GkhpyCrIUAbt4Sc0RMQdRCIkPV95/view?usp=sharing</t>
  </si>
  <si>
    <t>https://drive.google.com/file/d/1dHzKo9pizULD2ZH_TrrbSZONaG8RLiT_/view?usp=drive_link</t>
  </si>
  <si>
    <t>https://drive.google.com/file/d/14aZB_dm5eAPg4sa4_Jdf_a5t82t5QFTp/view?usp=sharing</t>
  </si>
  <si>
    <t>c1186735</t>
  </si>
  <si>
    <t>Persela Lamongan vs Deltras FC - Pegadaian Championship</t>
  </si>
  <si>
    <t>https://www.vidio.com/live/19543-pegadaian-championship-2025-26?schedule_id=4568442</t>
  </si>
  <si>
    <t>https://drive.google.com/drive/folders/1Gs-iNI7_AnsnUiO6WpMvZ2FP54QsOqfS?usp=drive_link</t>
  </si>
  <si>
    <t>Persela Lamongan</t>
  </si>
  <si>
    <t>Deltras FC</t>
  </si>
  <si>
    <t>persela lamongan; deltras sidoarjo; sports stream</t>
  </si>
  <si>
    <t>Nonton streaming pertandingan seru Persela Lamongan vs Deltras FC - Pegadaian Championship. Saksikan aksi-aksi terbaik dari tim yang bersaing ketat untuk meraih kemenangan. Dapatkan informasi lengkap mengenai jadwal pertandingan dan hasil pertandingan terbaru hanya di Vidio.</t>
  </si>
  <si>
    <t>https://drive.google.com/file/d/1HgbbQaNYIODgvoZkDceEhoGc9hTDnSIH/view?usp=sharing</t>
  </si>
  <si>
    <t>https://drive.google.com/file/d/1Xn79dsTGpEd9hTvU3UAt-wvIg3VFr6uN/view?usp=drive_link</t>
  </si>
  <si>
    <t>https://drive.google.com/file/d/1e4PSLRXp711VsrhQPgdQdypY3gD6zkD2/view?usp=sharing</t>
  </si>
  <si>
    <t>27a69d85</t>
  </si>
  <si>
    <t>PSS Sleman vs Persiba Balikpapan - Pegadaian Championship</t>
  </si>
  <si>
    <t>https://www.vidio.com/live/19543-pegadaian-championship-2025-26?schedule_id=4568462</t>
  </si>
  <si>
    <t>https://drive.google.com/drive/folders/1z_5gUpZASAxk6TCAxnr8pNKz0AFsx0hT?usp=drive_link</t>
  </si>
  <si>
    <t>PSS Sleman</t>
  </si>
  <si>
    <t>Persiba Balikpapan</t>
  </si>
  <si>
    <t>pss sleman; Persiba Balikpapan; sports stream</t>
  </si>
  <si>
    <t>Nonton streaming pertandingan seru PSS Sleman vs Persiba Balikpapan - Pegadaian Championship. Saksikan aksi-aksi terbaik dari tim yang bersaing ketat untuk meraih kemenangan. Dapatkan informasi lengkap mengenai jadwal pertandingan dan hasil pertandingan terbaru hanya di Vidio.</t>
  </si>
  <si>
    <t>https://drive.google.com/file/d/1tukBiZm92z37dqmcOWPFqUvuSmqlRJdH/view?usp=sharing</t>
  </si>
  <si>
    <t>https://drive.google.com/file/d/1mnUBYK3_GEbcdW9IyEsPiaWxZPtuX7XM/view?usp=drive_link</t>
  </si>
  <si>
    <t>https://drive.google.com/file/d/1bUYi1Y7KvQIixTj8oHPknuZVSkE1X3WO/view?usp=sharing</t>
  </si>
  <si>
    <t>aa83cf36</t>
  </si>
  <si>
    <t>PS. Barito Putera vs Kendal Tornado FC - Pegadaian Championship</t>
  </si>
  <si>
    <t>https://www.vidio.com/live/19543-pegadaian-championship-2025-26?schedule_id=4564714</t>
  </si>
  <si>
    <t>https://drive.google.com/drive/folders/1z6LnU3bko23vgUqrhD37Y_SkiDcJIOLD?usp=drive_link</t>
  </si>
  <si>
    <t>PS Barito Putera</t>
  </si>
  <si>
    <t>Kendal Tornado FC</t>
  </si>
  <si>
    <t>ps barito putera; Kendal Tornado FC; sports stream</t>
  </si>
  <si>
    <t>Nonton streaming pertandingan seru PS. Barito Putera vs Kendal Tornado FC - Pegadaian Championship. Saksikan aksi-aksi terbaik dari tim yang bersaing ketat untuk meraih kemenangan. Dapatkan informasi lengkap mengenai jadwal pertandingan dan hasil pertandingan terbaru hanya di Vidio.</t>
  </si>
  <si>
    <t>https://drive.google.com/file/d/1QgS3YQsTdNsj-JO1TXw-k3v11-j1J8lv/view?usp=sharing</t>
  </si>
  <si>
    <t>https://drive.google.com/file/d/1vcw68LNFkCcy4ixPBZO32QalT-Q6T3tL/view?usp=drive_link</t>
  </si>
  <si>
    <t>https://drive.google.com/file/d/1S8WUkl-Tdt_83dfZTFAUju9UcQL-5gt6/view?usp=sharing</t>
  </si>
  <si>
    <t>d6abab3b</t>
  </si>
  <si>
    <t>Persipal FC vs Persipura Jayapura - Pegadaian Championship</t>
  </si>
  <si>
    <t>https://www.vidio.com/live/19543-pegadaian-championship-2025-26?schedule_id=4564770</t>
  </si>
  <si>
    <t>https://drive.google.com/drive/folders/16XQNM0CNvBHC5qo_70qKN9qAU0Wt5oUI?usp=drive_link</t>
  </si>
  <si>
    <t>PERSIPAL (BABEL United)</t>
  </si>
  <si>
    <t>Persipura Jayapura</t>
  </si>
  <si>
    <t>Persipal Palu; persipura; sports stream</t>
  </si>
  <si>
    <t>Nonton streaming pertandingan seru Persipal FC vs Persipura Jayapura - Pegadaian Championship. Saksikan aksi-aksi terbaik dari tim yang bersaing ketat untuk meraih kemenangan. Dapatkan informasi lengkap mengenai jadwal pertandingan dan hasil pertandingan terbaru hanya di Vidio.</t>
  </si>
  <si>
    <t>https://drive.google.com/file/d/1usjdlWTRojA7uYoW6XFzL_dVoqj9DBjO/view?usp=sharing</t>
  </si>
  <si>
    <t>https://drive.google.com/file/d/1k6-ZVZ9PF6qfQCK2SDr-yeLxz802Jnnm/view?usp=drive_link</t>
  </si>
  <si>
    <t>https://drive.google.com/file/d/1tkgGqq00tWwLkY_OgtbOqReJlY21tGmw/view?usp=sharing</t>
  </si>
  <si>
    <t>a7a7a680</t>
  </si>
  <si>
    <t>Persikad vs Sumsel United - Pegadaian Championship</t>
  </si>
  <si>
    <t>https://www.vidio.com/live/19542-pegadaian-championship-2025-26?schedule_id=4564769</t>
  </si>
  <si>
    <t>https://drive.google.com/drive/folders/1RKL5lYgFuirYeYsYCorcydL_9uMHbtzy?usp=drive_link</t>
  </si>
  <si>
    <t>Persikad</t>
  </si>
  <si>
    <t>Sumsel United</t>
  </si>
  <si>
    <t>Persikad; Sumsel United; sports stream</t>
  </si>
  <si>
    <t>Nonton streaming pertandingan seru Persikad vs Sumsel United - Pegadaian Championship. Saksikan aksi-aksi terbaik dari tim yang bersaing ketat untuk meraih kemenangan. Dapatkan informasi lengkap mengenai jadwal pertandingan dan hasil pertandingan terbaru hanya di Vidio.</t>
  </si>
  <si>
    <t>A3 , D4</t>
  </si>
  <si>
    <t>https://drive.google.com/file/d/1t4O_V-6WKOpZt5OFHKJuTWmjWVsRzMeM/view?usp=sharing</t>
  </si>
  <si>
    <t>https://drive.google.com/file/d/17qqif7FJNJxZi63nwSb5Rmj5kYm_7Ntc/view?usp=drive_link</t>
  </si>
  <si>
    <t>93dad720</t>
  </si>
  <si>
    <t>Persiraja Banda Aceh vs Adhyaksa FC - Pegadaian Championship</t>
  </si>
  <si>
    <t>https://www.vidio.com/live/19543-pegadaian-championship-2025-26?schedule_id=4564771</t>
  </si>
  <si>
    <t>https://drive.google.com/drive/folders/133daYsRN70Ak8or05xr4JDPxG6zjg5G4?usp=drive_link</t>
  </si>
  <si>
    <t>Persiraja Banda Aceh</t>
  </si>
  <si>
    <t>Adhyaksa Farmel FC</t>
  </si>
  <si>
    <t>persiraja banda aceh; Adhyaksa Farmel FC; sports stream</t>
  </si>
  <si>
    <t>Nonton streaming pertandingan seru Persiraja Banda Aceh vs Adhyaksa FC - Pegadaian Championship. Saksikan aksi-aksi terbaik dari tim yang bersaing ketat untuk meraih kemenangan. Dapatkan informasi lengkap mengenai jadwal pertandingan dan hasil pertandingan terbaru hanya di Vidio.</t>
  </si>
  <si>
    <t>A2 , D3</t>
  </si>
  <si>
    <t>https://drive.google.com/file/d/1rd42sA4PYhnK3e8MK95B_LixSsVwJ8fc/view?usp=sharing</t>
  </si>
  <si>
    <t>https://drive.google.com/file/d/1XLLmZmXsjAMYgzu1l0OuiVX-yEyc1-kU/view?usp=drive_link</t>
  </si>
  <si>
    <t>https://drive.google.com/file/d/1wouWrm04O7z7JqBmVoDcYqtsIjVx-wyB/view?usp=sharing</t>
  </si>
  <si>
    <t>79a093f7</t>
  </si>
  <si>
    <t>Rajadamnern 2025 Interim Super Welterweight Title</t>
  </si>
  <si>
    <t>https://www.vidio.com/live/19388-rajadamnern-2025-interim-super-welterweight-title?schedule_id=4578234</t>
  </si>
  <si>
    <t>https://drive.google.com/drive/folders/1JTqqz3ykdNiLL2mIJ5vJ_Hu9a4y-D-08?usp=drive_link</t>
  </si>
  <si>
    <t>Nonton streaming pertandingan seru Rajadamnern 2025 Interim Super Welterweight Title. Saksikan aksi-aksi terbaik dari tim yang bersaing ketat untuk meraih kemenangan. Dapatkan informasi lengkap mengenai jadwal pertandingan dan hasil pertandingan terbaru hanya di Vidio.</t>
  </si>
  <si>
    <t>https://drive.google.com/drive/u/0/folders/13qmkcEhqQefaPDQC9V0s5EWGJ3il9m9L</t>
  </si>
  <si>
    <t>https://drive.google.com/file/d/1USWBvLmUrm7DosKxT_xBMiAy-eM9XDY4/view?usp=sharing</t>
  </si>
  <si>
    <t>https://drive.google.com/file/d/1YaMw7XNXL1NhpyYPVzMX88SD5Tqpe5k2/view?usp=sharing</t>
  </si>
  <si>
    <t>06fb8515</t>
  </si>
  <si>
    <t>Juventus vs Dortmund - UEFA Youth League</t>
  </si>
  <si>
    <t>UEFA Youth League 2025/26</t>
  </si>
  <si>
    <t>https://www.vidio.com/live/6299-bein-1?schedule_id=4574255</t>
  </si>
  <si>
    <t>https://drive.google.com/drive/folders/1USYaR8YhwHU19xWhxTcKrT2FVEfugtaE?usp=drive_link</t>
  </si>
  <si>
    <t>https://drive.google.com/drive/folders/1GAocAJfGoA9xqgoGyfcSL5u6SV_DlpCr?usp=drive_link</t>
  </si>
  <si>
    <t>Sports &gt; Football &gt; UEFA Youth League</t>
  </si>
  <si>
    <t>UEFA Youth League; UEFA Youth League 2025/26</t>
  </si>
  <si>
    <t>Nonton streaming pertandingan seru Juventus vs Dortmund - UEFA Youth League. Saksikan aksi-aksi terbaik dari tim yang bersaing ketat untuk meraih kemenangan. Dapatkan informasi lengkap mengenai jadwal pertandingan dan hasil pertandingan terbaru hanya di Vidio.</t>
  </si>
  <si>
    <t>https://drive.google.com/file/d/1FPZOSAIBXtO2ivyGXSDgwTf61hHePLuI/view?usp=sharing</t>
  </si>
  <si>
    <t>https://drive.google.com/file/d/1VdoAF3flfh5U3DlplAmBQ9hsD8BVwbWY/view?usp=drive_link</t>
  </si>
  <si>
    <t>4c892417</t>
  </si>
  <si>
    <t>Real Madrid vs Marseille - UEFA Youth League</t>
  </si>
  <si>
    <t>https://www.vidio.com/live/6299-bein-1?schedule_id=4574256</t>
  </si>
  <si>
    <t>https://drive.google.com/drive/folders/1wLFxqBphMEqhEFKzx8h9tciSZSpsdcn2?usp=drive_link</t>
  </si>
  <si>
    <t>Nonton streaming pertandingan seru Real Madrid vs Marseille - UEFA Youth League. Saksikan aksi-aksi terbaik dari tim yang bersaing ketat untuk meraih kemenangan. Dapatkan informasi lengkap mengenai jadwal pertandingan dan hasil pertandingan terbaru hanya di Vidio.</t>
  </si>
  <si>
    <t>https://drive.google.com/file/d/1_aBBBpO5s1TG8AaESKbxeZSylBjlgp40/view?usp=sharing</t>
  </si>
  <si>
    <t>https://drive.google.com/file/d/1D6dPV4mfnoKDbNDmE6xbVhpAkBQ7M43j/view?usp=drive_link</t>
  </si>
  <si>
    <t>bf9dee19</t>
  </si>
  <si>
    <t>Liverpool vs Atletico Madrid - UEFA Youth League</t>
  </si>
  <si>
    <t>https://www.vidio.com/live/6299-bein-1?schedule_id=4575832</t>
  </si>
  <si>
    <t>https://drive.google.com/drive/folders/1pGcOhTKOqTWFnCKawPSCJ2vzhH8In7JL?usp=drive_link</t>
  </si>
  <si>
    <t>Nonton streaming pertandingan seru Liverpool vs Atletico Madrid - UEFA Youth League. Saksikan aksi-aksi terbaik dari tim yang bersaing ketat untuk meraih kemenangan. Dapatkan informasi lengkap mengenai jadwal pertandingan dan hasil pertandingan terbaru hanya di Vidio.</t>
  </si>
  <si>
    <t>https://drive.google.com/file/d/1gCy7BI-y1ezRBOp5dMoaRQLztRhWzK2Y/view?usp=sharing</t>
  </si>
  <si>
    <t>https://drive.google.com/file/d/1Mr7wHuRAtuksaVpN38S79f5_LgkEeCvw/view?usp=sharing</t>
  </si>
  <si>
    <t>3544b5ef</t>
  </si>
  <si>
    <t>Man City vs Napoli - UEFA Youth League</t>
  </si>
  <si>
    <t>https://www.vidio.com/live/6299-bein-1?schedule_id=4575861</t>
  </si>
  <si>
    <t>https://drive.google.com/drive/folders/1XYl_mn2rFhoLACkHt_pIdbhv4BxhaPDa?usp=drive_link</t>
  </si>
  <si>
    <t>Nonton streaming pertandingan seru Man City vs Napoli - UEFA Youth League. Saksikan aksi-aksi terbaik dari tim yang bersaing ketat untuk meraih kemenangan. Dapatkan informasi lengkap mengenai jadwal pertandingan dan hasil pertandingan terbaru hanya di Vidio.</t>
  </si>
  <si>
    <t>https://drive.google.com/file/d/1xECdIi1w_24TA-5s39zJcuNlC1ftSP2Y/view?usp=sharing</t>
  </si>
  <si>
    <t>https://drive.google.com/file/d/1SjlPMgvEbjN37Hs2HBZ9PYcejSe76GFy/view?usp=drive_link</t>
  </si>
  <si>
    <t>1fe43576</t>
  </si>
  <si>
    <t>Al-Ahli vs Al-Hilal - ROSHN Saudi League</t>
  </si>
  <si>
    <t>https://www.vidio.com/live/17139-spotv?schedule_id=4583211</t>
  </si>
  <si>
    <t>https://drive.google.com/drive/folders/1f4WW350MaUwvVlRtrdT6xRbXYRo4QLpj</t>
  </si>
  <si>
    <t>Al-Ahli Saudi FC</t>
  </si>
  <si>
    <t>al-ahli saudi fc; al-hilal; sports stream</t>
  </si>
  <si>
    <t>Nonton streaming pertandingan seru Al-Ahli vs Al-Hilal - ROSHN Saudi League. Saksikan aksi-aksi terbaik dari tim yang bersaing ketat untuk meraih kemenangan. Dapatkan informasi lengkap mengenai jadwal pertandingan dan hasil pertandingan terbaru hanya di Vidio.</t>
  </si>
  <si>
    <t>AL AHLI: MAHREZ &amp; EDOU MENDY
AL HILAL: NUNEZ &amp; BONO</t>
  </si>
  <si>
    <t>https://drive.google.com/file/d/1m-t0Fi51wkxf54HOK2Z-PTReBuxq41Va/view?usp=sharing</t>
  </si>
  <si>
    <t>https://drive.google.com/file/d/1MstMdpnpWkeaDIjWSlhgR0ETp_gx8sxF/view?usp=sharing</t>
  </si>
  <si>
    <t>369f2fea</t>
  </si>
  <si>
    <t>Al-Nassr vs Al-Riyadh - ROSHN Saudi League</t>
  </si>
  <si>
    <t>https://www.vidio.com/live/17139-spotv?schedule_id=4585499</t>
  </si>
  <si>
    <t>https://drive.google.com/drive/folders/1COfihR2CWAaF0Vap6mAvFgOOm2_TCUSj</t>
  </si>
  <si>
    <t>Al-Riyadh SC</t>
  </si>
  <si>
    <t>al nassr; al-riyadh sc; sports stream</t>
  </si>
  <si>
    <t>Nonton streaming pertandingan seru Al-Nassr vs Al-Riyadh - ROSHN Saudi League. Saksikan aksi-aksi terbaik dari tim yang bersaing ketat untuk meraih kemenangan. Dapatkan informasi lengkap mengenai jadwal pertandingan dan hasil pertandingan terbaru hanya di Vidio.</t>
  </si>
  <si>
    <t>https://drive.google.com/file/d/13aHXhar24VLUcN4hTQaSbYYB95UC0yu4/view?usp=sharing</t>
  </si>
  <si>
    <t>https://drive.google.com/file/d/1RdyoYyFWC7-08PHFjLaY0uqjjvi6WN23/view?usp=sharing</t>
  </si>
  <si>
    <t>79f83d0b</t>
  </si>
  <si>
    <t>NEOM SC vs Al-Okhdood - ROSHN Saudi League</t>
  </si>
  <si>
    <t>https://www.vidio.com/live/17139-spotv?schedule_id=4579921</t>
  </si>
  <si>
    <t>https://drive.google.com/drive/folders/1b9gRi2UzIFnfB69jVJSpAMXncw_dGBSL</t>
  </si>
  <si>
    <t>NEOM SC</t>
  </si>
  <si>
    <t>Al-Okhdood Club</t>
  </si>
  <si>
    <t>NEOM SC; al-okhdood club; sports stream</t>
  </si>
  <si>
    <t>Nonton streaming pertandingan seru NEOM SC vs Al-Okhdood - ROSHN Saudi League. Saksikan aksi-aksi terbaik dari tim yang bersaing ketat untuk meraih kemenangan. Dapatkan informasi lengkap mengenai jadwal pertandingan dan hasil pertandingan terbaru hanya di Vidio.</t>
  </si>
  <si>
    <t>https://drive.google.com/file/d/1E_viy1qtqo48xUGK9l5UR5-IxIFPzg9k/view?usp=sharing</t>
  </si>
  <si>
    <t>f69123ff</t>
  </si>
  <si>
    <t>Persipura Jayapura vs PSIS Semarang - Pegadaian Championship</t>
  </si>
  <si>
    <t>https://www.vidio.com/live/19543-pegadaian-championship-2025-26?schedule_id=4579878</t>
  </si>
  <si>
    <t>https://drive.google.com/drive/folders/1pIiGBVB0aQSg7Jmsng_SGI-CO86HttUy?usp=drive_link</t>
  </si>
  <si>
    <t>https://drive.google.com/drive/folders/1BhKJCwrQWMPmukRF_X1L_5IJlxac8Xp_?usp=drive_link</t>
  </si>
  <si>
    <t>persipura; psis semarang; sports stream</t>
  </si>
  <si>
    <t>Nonton streaming pertandingan seru Persipura Jayapura vs PSIS Semarang - Pegadaian Championship. Saksikan aksi-aksi terbaik dari tim yang bersaing ketat untuk meraih kemenangan. Dapatkan informasi lengkap mengenai jadwal pertandingan dan hasil pertandingan terbaru hanya di Vidio.</t>
  </si>
  <si>
    <t>https://drive.google.com/file/d/1_UrPocv7jPo86sgNJlCdwAkFB61hpOAu/view?usp=sharing</t>
  </si>
  <si>
    <t>https://drive.google.com/file/d/10ma79NQqZjR4iW-33JuvXNYlKPlHM8X9/view?usp=drive_link</t>
  </si>
  <si>
    <t>https://drive.google.com/file/d/14sr5N4pinvKetDEuuNo08BBxxu34gooL/view?usp=sharing</t>
  </si>
  <si>
    <t>d454e99d</t>
  </si>
  <si>
    <t>PSPS Pekanbaru vs PSMS Medan - Pegadaian Championship</t>
  </si>
  <si>
    <t>https://www.vidio.com/live/19541-pegadaian-championship-2025-26?schedule_id=4579888</t>
  </si>
  <si>
    <t>https://drive.google.com/drive/folders/12LJyrz_fLenTbUbokVBvKZx926rhRUqX?usp=drive_link</t>
  </si>
  <si>
    <t>psps riau; psms medan; sports stream</t>
  </si>
  <si>
    <t>Nonton streaming pertandingan seru PSPS Pekanbaru vs PSMS Medan - Pegadaian Championship. Saksikan aksi-aksi terbaik dari tim yang bersaing ketat untuk meraih kemenangan. Dapatkan informasi lengkap mengenai jadwal pertandingan dan hasil pertandingan terbaru hanya di Vidio.</t>
  </si>
  <si>
    <t>https://drive.google.com/file/d/1wPqjELSfcUkODkibB6_0AM0tQEW4QPyR/view?usp=sharing</t>
  </si>
  <si>
    <t>https://drive.google.com/file/d/1jtRtphImviKljV97ZWTxs-mVkpgpxDYl/view?usp=drive_link</t>
  </si>
  <si>
    <t>https://drive.google.com/file/d/1RVRQ9P6PGJp8OuvkiCRmgGa5EJTHmBJh/view?usp=sharing</t>
  </si>
  <si>
    <t>ba05b3c6</t>
  </si>
  <si>
    <t>Garudayaksa FC vs Persekat Tegal - Pegadaian Championship</t>
  </si>
  <si>
    <t>https://www.vidio.com/live/19542-pegadaian-championship-2025-26?schedule_id=4579886</t>
  </si>
  <si>
    <t>https://drive.google.com/drive/folders/1gquKUc4zxU9uTxjM6KQumT3Y6CrfxPPR?usp=drive_link</t>
  </si>
  <si>
    <t>pskc cimahi; persekat; sports stream</t>
  </si>
  <si>
    <t>Nonton streaming pertandingan seru Garudayaksa FC vs Persekat Tegal - Pegadaian Championship. Saksikan aksi-aksi terbaik dari tim yang bersaing ketat untuk meraih kemenangan. Dapatkan informasi lengkap mengenai jadwal pertandingan dan hasil pertandingan terbaru hanya di Vidio.</t>
  </si>
  <si>
    <t>https://drive.google.com/file/d/1CgCpzqhT48DUZqY41lm4SlHMeZmGYi4B/view?usp=sharing</t>
  </si>
  <si>
    <t>https://drive.google.com/file/d/1ElN4CpFiBHGbk6qXDMV2Slkv4HeT7Rfs/view?usp=drive_link</t>
  </si>
  <si>
    <t>a4827739</t>
  </si>
  <si>
    <t>Persiku Kudus vs PSS Sleman - Pegadaian Championship</t>
  </si>
  <si>
    <t>https://www.vidio.com/live/19543-pegadaian-championship-2025-26?schedule_id=4582511</t>
  </si>
  <si>
    <t>https://drive.google.com/drive/folders/1Ch-YJaWu5px1BmaHUKI_8-Q034I5EyFD</t>
  </si>
  <si>
    <t>persiku kudus; pss sleman; sports stream</t>
  </si>
  <si>
    <t>Nonton streaming pertandingan seru Persiku Kudus vs PSS Sleman - Pegadaian Championship. Saksikan aksi-aksi terbaik dari tim yang bersaing ketat untuk meraih kemenangan. Dapatkan informasi lengkap mengenai jadwal pertandingan dan hasil pertandingan terbaru hanya di Vidio.</t>
  </si>
  <si>
    <t>https://drive.google.com/file/d/1GTyeOis7LPq-x9gJCITln-EpLj6FH_eD/view?usp=sharing</t>
  </si>
  <si>
    <t>https://drive.google.com/file/d/12eP0NvRFSqdHOKjwUXLRN8zlGNr0sK1X/view?usp=drive_link</t>
  </si>
  <si>
    <t>https://drive.google.com/file/d/1Fmej62DrjwpCW6DF5en04i0rRd7CG9b_/view?usp=sharing</t>
  </si>
  <si>
    <t>69bb2b53</t>
  </si>
  <si>
    <t>Kendal Tornado FC vs Persela Lamongan - Pegadaian Championship</t>
  </si>
  <si>
    <t>https://www.vidio.com/live/19584-pegadaian-championship?schedule_id=4583215</t>
  </si>
  <si>
    <t>https://drive.google.com/drive/folders/1r_u7enhTofrGiqKYufM5DChF7VHGRwdV</t>
  </si>
  <si>
    <t>Kendal Tornado FC; persela lamongan; sports stream</t>
  </si>
  <si>
    <t>Nonton streaming pertandingan seru Kendal Tornado FC vs Persela Lamongan - Pegadaian Championship. Saksikan aksi-aksi terbaik dari tim yang bersaing ketat untuk meraih kemenangan. Dapatkan informasi lengkap mengenai jadwal pertandingan dan hasil pertandingan terbaru hanya di Vidio.</t>
  </si>
  <si>
    <t>https://drive.google.com/file/d/19Rq71fO2WHZP5P0Yoj6UAkhNl5aVEfTP/view?usp=sharing</t>
  </si>
  <si>
    <t>https://drive.google.com/file/d/1l9ivL2IR1EnZkP7SxYuKXxJOgCU_ytIM/view?usp=drive_link</t>
  </si>
  <si>
    <t>https://drive.google.com/file/d/1JRRJZ3JmrE0VRHxC1ZO4bj9JxhRRwhYK/view?usp=sharing</t>
  </si>
  <si>
    <t>6a2fab99</t>
  </si>
  <si>
    <t>Deltras FC vs PS. Barito Putera - Pegadaian Championship</t>
  </si>
  <si>
    <t>https://www.vidio.com/live/19543-pegadaian-championship-2025-26?schedule_id=4583213</t>
  </si>
  <si>
    <t>https://drive.google.com/drive/folders/1Sj8RUEpBbV1fz2ZlWgP3ygNMwTDP-cFE</t>
  </si>
  <si>
    <t>deltras sidoarjo; ps barito putera; sports stream</t>
  </si>
  <si>
    <t>Nonton streaming pertandingan seru Deltras FC vs PS. Barito Putera - Pegadaian Championship. Saksikan aksi-aksi terbaik dari tim yang bersaing ketat untuk meraih kemenangan. Dapatkan informasi lengkap mengenai jadwal pertandingan dan hasil pertandingan terbaru hanya di Vidio.</t>
  </si>
  <si>
    <t>https://drive.google.com/file/d/10rMuYjjk0oRBZjhjCR2lY1ZJM-_ZUOPB/view?usp=sharing</t>
  </si>
  <si>
    <t>https://drive.google.com/file/d/1DVfdp90O1jg_nE4mCEprDlZb7EkMLXX-/view?usp=drive_link</t>
  </si>
  <si>
    <t>https://drive.google.com/file/d/10nOaz5ipUgiO-j8Fsr7rZI4BA7ckT3tj/view?usp=sharing</t>
  </si>
  <si>
    <t>c0364642</t>
  </si>
  <si>
    <t>Persiba Balikpapan vs Persipal FC - Pegadaian Championship</t>
  </si>
  <si>
    <t>https://www.vidio.com/live/19542-pegadaian-championship-2025-26?schedule_id=4582513</t>
  </si>
  <si>
    <t>https://drive.google.com/drive/folders/1n7ULeezT0PsVHI_5achs4j_Ptl5Psedo</t>
  </si>
  <si>
    <t>Persiba Balikpapan; Persipal Palu; sports stream</t>
  </si>
  <si>
    <t>Nonton streaming pertandingan seru Persiba Balikpapan vs Persipal FC - Pegadaian Championship. Saksikan aksi-aksi terbaik dari tim yang bersaing ketat untuk meraih kemenangan. Dapatkan informasi lengkap mengenai jadwal pertandingan dan hasil pertandingan terbaru hanya di Vidio.</t>
  </si>
  <si>
    <t>https://drive.google.com/file/d/1oADXmXYXw9qyE4BNZ9d0hGyXgTXiEYkm/view?usp=sharing</t>
  </si>
  <si>
    <t>https://drive.google.com/file/d/1BvhA8CuUKJx6V6KSQcWFv7qq8lMR-EK_/view?usp=drive_link</t>
  </si>
  <si>
    <t>https://drive.google.com/file/d/1OqnwyYQTO_e_A_swVKPXoxH1mqsBSukl/view?usp=sharing</t>
  </si>
  <si>
    <t>5885e2ef</t>
  </si>
  <si>
    <t>Persikad vs Sriwijaya FC - Pegadaian Championship</t>
  </si>
  <si>
    <t>https://www.vidio.com/live/19542-pegadaian-championship-2025-26?schedule_id=4585671</t>
  </si>
  <si>
    <t>https://drive.google.com/drive/folders/1b1mJeWGoti729HDLkUXYtkhhPOnnra56</t>
  </si>
  <si>
    <t>Persikad; sriwijaya fc; sports stream</t>
  </si>
  <si>
    <t>Nonton streaming pertandingan seru Persikad vs Sriwijaya FC - Pegadaian Championship. Saksikan aksi-aksi terbaik dari tim yang bersaing ketat untuk meraih kemenangan. Dapatkan informasi lengkap mengenai jadwal pertandingan dan hasil pertandingan terbaru hanya di Vidio.</t>
  </si>
  <si>
    <t>https://drive.google.com/file/d/19OjAeCPn-Ivmlf97IMTBpsi51mJrc0ks/view?usp=sharing</t>
  </si>
  <si>
    <t>https://drive.google.com/file/d/1zWbVeCiwSpkRieTjp1ZqGXPbRjH8_6c4/view?usp=drive_link</t>
  </si>
  <si>
    <t>https://drive.google.com/file/d/1Oa6d_QJKFjoiXHyfqIX_VbO58hACEDVb/view?usp=sharing</t>
  </si>
  <si>
    <t>0a1f570a</t>
  </si>
  <si>
    <t>Adhyaksa FC vs FC Bekasi City - Pegadaian Championship</t>
  </si>
  <si>
    <t>https://www.vidio.com/live/19541-pegadaian-championship-2025-26?schedule_id=4585670</t>
  </si>
  <si>
    <t>https://drive.google.com/drive/folders/13bZ7aAxXvQmEfebS7V1uc3rEzMIgKC61</t>
  </si>
  <si>
    <t>Adhyaksa Farmel FC; fc bekasi city; sports stream</t>
  </si>
  <si>
    <t>Nonton streaming pertandingan seru Adhyaksa FC vs FC Bekasi City - Pegadaian Championship. Saksikan aksi-aksi terbaik dari tim yang bersaing ketat untuk meraih kemenangan. Dapatkan informasi lengkap mengenai jadwal pertandingan dan hasil pertandingan terbaru hanya di Vidio.</t>
  </si>
  <si>
    <t>https://drive.google.com/file/d/1kX01NhZwWZm0Z1rq_v3z72S32FNiekRZ/view?usp=sharing</t>
  </si>
  <si>
    <t>https://drive.google.com/file/d/1BBZfnhc07lIVkcSKPvwLiI6Vse_GqWz4/view?usp=drive_link</t>
  </si>
  <si>
    <t>989707eb</t>
  </si>
  <si>
    <t>Sumsel United vs Persiraja Banda Aceh - Pegadaian Championship</t>
  </si>
  <si>
    <t>https://www.vidio.com/live/19543-pegadaian-championship-2025-26?schedule_id=4585672</t>
  </si>
  <si>
    <t>https://drive.google.com/drive/folders/1lvKJWaEs5l7r8cOODfUgmU2MX7E28mi8</t>
  </si>
  <si>
    <t>Sumsel United; persiraja banda aceh; sports stream</t>
  </si>
  <si>
    <t>Nonton streaming pertandingan seru Sumsel United vs Persiraja Banda Aceh - Pegadaian Championship. Saksikan aksi-aksi terbaik dari tim yang bersaing ketat untuk meraih kemenangan. Dapatkan informasi lengkap mengenai jadwal pertandingan dan hasil pertandingan terbaru hanya di Vidio.</t>
  </si>
  <si>
    <t>https://drive.google.com/file/d/1qrmyJ_h2su1_hRUja1W1bMiLiKJU9Rlz/view?usp=sharing</t>
  </si>
  <si>
    <t>https://drive.google.com/file/d/1fvtYqNa_k6N1qntpSb5QARqfmvRo5Xdp/view?usp=drive_link</t>
  </si>
  <si>
    <t>https://drive.google.com/file/d/11Nh4GM9Af0dGNUs4_EvNHchMpzVVaJ1X/view?usp=sharing</t>
  </si>
  <si>
    <t>24eb5c26</t>
  </si>
  <si>
    <t>PSIS Semarang vs Persiba Balikpapan - Pegadaian Championship</t>
  </si>
  <si>
    <t>https://www.vidio.com/live/19543-pegadaian-championship-2025-26?schedule_id=4598357</t>
  </si>
  <si>
    <t>https://drive.google.com/drive/folders/16LaIPhcQxhyVbIjtMhRFLI9CaiHvfk0X?usp=drive_link</t>
  </si>
  <si>
    <t>https://drive.google.com/drive/folders/1DrC8qLJsnWpWI-tZeb27fP__uEuayVNN?usp=drive_link</t>
  </si>
  <si>
    <t>psis semarang; Persiba Balikpapan; sports stream</t>
  </si>
  <si>
    <t>Nonton streaming pertandingan seru PSIS Semarang vs Persiba Balikpapan - Pegadaian Championship. Saksikan aksi-aksi terbaik dari tim yang bersaing ketat untuk meraih kemenangan. Dapatkan informasi lengkap mengenai jadwal pertandingan dan hasil pertandingan terbaru hanya di Vidio.</t>
  </si>
  <si>
    <t>https://drive.google.com/file/d/1IT8l0vOr9xRtFjARvic4HdqZuSbZCtOM/view?usp=sharing</t>
  </si>
  <si>
    <t>https://drive.google.com/file/d/1zPtuRUUgGUAhr6Gnap5HRiNf-gjBrb4X/view?usp=drive_link</t>
  </si>
  <si>
    <t>https://drive.google.com/file/d/13ISNMnB786b9_hDAV7sqRPyji4wgwbAV/view?usp=sharing</t>
  </si>
  <si>
    <t>b59d5ef8</t>
  </si>
  <si>
    <t>Sriwijaya FC vs Persiraja Banda Aceh - Pegadaian Championship</t>
  </si>
  <si>
    <t>https://www.vidio.com/live/19584-pegadaian-championship-2025-26?schedule_id=4598359</t>
  </si>
  <si>
    <t>https://drive.google.com/drive/folders/1dh3zUjFanvVJHegcYOYHn2TFuktt8yJE?usp=drive_link</t>
  </si>
  <si>
    <t>sriwijaya fc; persiraja banda aceh; sports stream</t>
  </si>
  <si>
    <t>Nonton streaming pertandingan seru Sriwijaya FC vs Persiraja Banda Aceh - Pegadaian Championship. Saksikan aksi-aksi terbaik dari tim yang bersaing ketat untuk meraih kemenangan. Dapatkan informasi lengkap mengenai jadwal pertandingan dan hasil pertandingan terbaru hanya di Vidio.</t>
  </si>
  <si>
    <t>https://drive.google.com/file/d/1jBS8aMTg2VmiZ8ngOHFjrTSGsp-tHZ2n/view?usp=sharing</t>
  </si>
  <si>
    <t>https://drive.google.com/file/d/1mYvS6TyQlsaaS1Bvult7bi-gtSPPuFjG/view?usp=drive_link</t>
  </si>
  <si>
    <t>https://drive.google.com/file/d/1NCxhgo5-3V_AK7vtD-DiAa2wqW2yPhFg/view?usp=sharing</t>
  </si>
  <si>
    <t>7bd1ee16</t>
  </si>
  <si>
    <t>PS. Barito Putera vs Persipal FC - Pegadaian Championship</t>
  </si>
  <si>
    <t>https://www.vidio.com/live/19543-pegadaian-championship-2025-26?schedule_id=4598360</t>
  </si>
  <si>
    <t>https://drive.google.com/drive/folders/1cX8reCWG4FRLcbKQcsqU14xZnZ9amgWX?usp=drive_link</t>
  </si>
  <si>
    <t>ps barito putera; Persipal Palu; sports stream</t>
  </si>
  <si>
    <t>Nonton streaming pertandingan seru PS. Barito Putera vs Persipal FC - Pegadaian Championship. Saksikan aksi-aksi terbaik dari tim yang bersaing ketat untuk meraih kemenangan. Dapatkan informasi lengkap mengenai jadwal pertandingan dan hasil pertandingan terbaru hanya di Vidio.</t>
  </si>
  <si>
    <t>https://drive.google.com/file/d/12wV_5wjsGkjAA9Ss6Rqz3aj_SwzJKPiT/view?usp=sharing</t>
  </si>
  <si>
    <t>https://drive.google.com/file/d/1qr_i9hbjaOI6-Nc3Oqr89hqNuCUqGPvw/view?usp=drive_link</t>
  </si>
  <si>
    <t>https://drive.google.com/file/d/11pJvAWzLJh8qsPayMf4GEfqCMI8Rj7JN/view?usp=sharing</t>
  </si>
  <si>
    <t>8ce5d88f</t>
  </si>
  <si>
    <t>Persipura Jayapura vs Kendal Tornado FC - Pegadaian Championship</t>
  </si>
  <si>
    <t>https://www.vidio.com/live/19543-pegadaian-championship-2025-26?schedule_id=4599292</t>
  </si>
  <si>
    <t>https://drive.google.com/drive/folders/1MUHpjcAWx_rsFNBezaRH1Jnn8SvbuqUx?usp=drive_link</t>
  </si>
  <si>
    <t>persipura; Kendal Tornado FC; sports stream</t>
  </si>
  <si>
    <t>Nonton streaming pertandingan seru Persipura Jayapura vs Kendal Tornado FC - Pegadaian Championship. Saksikan aksi-aksi terbaik dari tim yang bersaing ketat untuk meraih kemenangan. Dapatkan informasi lengkap mengenai jadwal pertandingan dan hasil pertandingan terbaru hanya di Vidio.</t>
  </si>
  <si>
    <t>https://drive.google.com/file/d/1DAyeajDFnTBD7OqZfndFVzp-Wp-JMuda/view?usp=sharing</t>
  </si>
  <si>
    <t>https://drive.google.com/file/d/1bKsHH3RGh3xY4dkGNTwMz3cbxvNVBSl3/view?usp=drive_link</t>
  </si>
  <si>
    <t>https://drive.google.com/file/d/1auISIXd-f9QmVk2tKlsKMcHLGpPvR5w1/view?usp=sharing</t>
  </si>
  <si>
    <t>9bb90653</t>
  </si>
  <si>
    <t>Adhyaksa FC vs Persikad - Pegadaian Championship</t>
  </si>
  <si>
    <t>https://www.vidio.com/live/19541-pegadaian-chahttps://www.vidio.com/live/19541-pegadaian-championship-2025-26?schedule_id=4599294mpionship-2025-26?schedule_id=4599294</t>
  </si>
  <si>
    <t>https://drive.google.com/drive/folders/1vR7Jh6SZu4nQm4TSS5oEHbHY_36bNoYm?usp=drive_link</t>
  </si>
  <si>
    <t>Adhyaksa Farmel FC; Persikad; sports stream</t>
  </si>
  <si>
    <t>Nonton streaming pertandingan seru Adhyaksa FC vs Persikad - Pegadaian Championship. Saksikan aksi-aksi terbaik dari tim yang bersaing ketat untuk meraih kemenangan. Dapatkan informasi lengkap mengenai jadwal pertandingan dan hasil pertandingan terbaru hanya di Vidio.</t>
  </si>
  <si>
    <t>https://drive.google.com/file/d/18CdbMFU2-HrTruMAuAAx21hfA-9wxKmj/view?usp=sharing</t>
  </si>
  <si>
    <t>https://drive.google.com/file/d/1BH2Om50heqzuNuZFK1ugv2mDdFIMlMqI/view?usp=drive_link</t>
  </si>
  <si>
    <t>https://drive.google.com/file/d/1X7EZM0YEPiyuJ_8yRwbZtUPQ3x3oNat3/view?usp=sharing</t>
  </si>
  <si>
    <t>ce79e388</t>
  </si>
  <si>
    <t>PSMS Medan vs Sumsel United - Pegadaian Championship</t>
  </si>
  <si>
    <t>https://www.vidio.com/live/19541-pegadaian-championship-2025-26?schedule_id=4599295</t>
  </si>
  <si>
    <t>https://drive.google.com/drive/folders/1H8H4SZxyewAzVX-68E9CcS_8OzEokIHu?usp=drive_link</t>
  </si>
  <si>
    <t>psms medan; Sumsel United; sports stream</t>
  </si>
  <si>
    <t>Nonton streaming pertandingan seru PSMS Medan vs Sumsel United - Pegadaian Championship. Saksikan aksi-aksi terbaik dari tim yang bersaing ketat untuk meraih kemenangan. Dapatkan informasi lengkap mengenai jadwal pertandingan dan hasil pertandingan terbaru hanya di Vidio.</t>
  </si>
  <si>
    <t>https://drive.google.com/file/d/17QoZ_u65QEsUoVmKWRo7qdFtXuxhHvqo/view?usp=sharing</t>
  </si>
  <si>
    <t>https://drive.google.com/file/d/1II1CtAhIqBZ8ImcFH_FbPHaJv6X8tQyI/view?usp=drive_link</t>
  </si>
  <si>
    <t>https://drive.google.com/file/d/1VXq7DyuWUZpqtxWe_SHfjGUX1v8sp9He/view?usp=sharing</t>
  </si>
  <si>
    <t>c28ebc00</t>
  </si>
  <si>
    <t>Persekat Tegal vs FC Bekasi City - Pegadaian Championship</t>
  </si>
  <si>
    <t>https://www.vidio.com/live/19542-pegadaian-championship-2025-26?schedule_id=4602005</t>
  </si>
  <si>
    <t>https://drive.google.com/drive/folders/12Jt1mSVgPB6CUHSqhLxmYCTL_D5PBB8o?usp=drive_link</t>
  </si>
  <si>
    <t>persekat; fc bekasi city; sports stream</t>
  </si>
  <si>
    <t>Nonton streaming pertandingan seru Persekat Tegal vs FC Bekasi City - Pegadaian Championship. Saksikan aksi-aksi terbaik dari tim yang bersaing ketat untuk meraih kemenangan. Dapatkan informasi lengkap mengenai jadwal pertandingan dan hasil pertandingan terbaru hanya di Vidio.</t>
  </si>
  <si>
    <t>https://drive.google.com/file/d/1tQG8WGIY5rvSXTMzC0aRM4XITa1koEC7/view?usp=sharing</t>
  </si>
  <si>
    <t>https://drive.google.com/file/d/1o1JdFROuUzmB6A3UpabxNb3JtxGEzCm4/view?usp=drive_link</t>
  </si>
  <si>
    <t>https://drive.google.com/file/d/1ilYm_bpCWyvOrdNDzrbnxE7Ahwdnpgpl/view?usp=sharing</t>
  </si>
  <si>
    <t>eea72eb4</t>
  </si>
  <si>
    <t>Garudayaksa FC vs PSPS Pekanbaru - Pegadaian Championship</t>
  </si>
  <si>
    <t>https://www.vidio.com/live/19541-pegadaian-championship-2025-26?schedule_id=4602003</t>
  </si>
  <si>
    <t>https://drive.google.com/drive/folders/1fGx7TdNZRKFIGDmpJmqS67sVm8lWgXAH?usp=drive_link</t>
  </si>
  <si>
    <t>pskc cimahi; psps riau; sports stream</t>
  </si>
  <si>
    <t>Nonton streaming pertandingan seru Garudayaksa FC vs PSPS Pekanbaru - Pegadaian Championship. Saksikan aksi-aksi terbaik dari tim yang bersaing ketat untuk meraih kemenangan. Dapatkan informasi lengkap mengenai jadwal pertandingan dan hasil pertandingan terbaru hanya di Vidio.</t>
  </si>
  <si>
    <t>https://drive.google.com/file/d/1JGSSzp2DmPUUF-u-fxKf1gdn18exGjXn/view?usp=sharing</t>
  </si>
  <si>
    <t>https://drive.google.com/file/d/1Hjp_Jlz3y7S72pO0IlDchCYZDBG6QH1z/view?usp=drive_link</t>
  </si>
  <si>
    <t>https://drive.google.com/file/d/1p9tmG_mvTeRlx9AmbVb26BZ035o1APId/view?usp=sharing</t>
  </si>
  <si>
    <t>14eb1a2c</t>
  </si>
  <si>
    <t>Persela Lamongan vs Persiku Kudus - Pegadaian Championship</t>
  </si>
  <si>
    <t>https://www.vidio.com/live/19543-pegadaian-championship-2025-26?schedule_id=4602006</t>
  </si>
  <si>
    <t>https://drive.google.com/drive/folders/1xDBykXhUZjk3tiEXtCQu8AsWG5XVBJyC?usp=drive_link</t>
  </si>
  <si>
    <t>persela lamongan; persiku kudus; sports stream</t>
  </si>
  <si>
    <t>Nonton streaming pertandingan seru Persela Lamongan vs Persiku Kudus - Pegadaian Championship. Saksikan aksi-aksi terbaik dari tim yang bersaing ketat untuk meraih kemenangan. Dapatkan informasi lengkap mengenai jadwal pertandingan dan hasil pertandingan terbaru hanya di Vidio.</t>
  </si>
  <si>
    <t>https://drive.google.com/file/d/13-FOvR3ilhMeWZyIzyr7r_3DgRLO2Gzv/view?usp=sharing</t>
  </si>
  <si>
    <t>https://drive.google.com/file/d/1fazwok06JuaP03nwp21aRQr17ApbsZqt/view?usp=drive_link</t>
  </si>
  <si>
    <t>https://drive.google.com/file/d/1JKsgVwj7vlPzARDm0_bEZVwG9NP_xVla/view?usp=sharing</t>
  </si>
  <si>
    <t>9e592b1f</t>
  </si>
  <si>
    <t>PSS Sleman vs Deltras FC - Pegadaian Championship</t>
  </si>
  <si>
    <t>https://www.vidio.com/live/19543-pegadaian-championship-2025-26?schedule_id=4602007</t>
  </si>
  <si>
    <t>https://drive.google.com/drive/folders/1J2RCz8fgzRETB7P8TALfWSV-P8a0pE0Q?usp=drive_link</t>
  </si>
  <si>
    <t>pss sleman; deltras sidoarjo; sports stream</t>
  </si>
  <si>
    <t>Nonton streaming pertandingan seru PSS Sleman vs Deltras FC - Pegadaian Championship. Saksikan aksi-aksi terbaik dari tim yang bersaing ketat untuk meraih kemenangan. Dapatkan informasi lengkap mengenai jadwal pertandingan dan hasil pertandingan terbaru hanya di Vidio.</t>
  </si>
  <si>
    <t>https://drive.google.com/file/d/1gkQwvVFwT3A4FsuXeGqaFPvv51go95ow/view?usp=sharing</t>
  </si>
  <si>
    <t>https://drive.google.com/file/d/1UcA6KDKvtmF3M9NtP6_FQrddD_6HBkzy/view?usp=drive_link</t>
  </si>
  <si>
    <t>https://drive.google.com/file/d/1ltysP6TCzGBeTSyMs3zirWAq7WwRE0pi/view?usp=sharing</t>
  </si>
  <si>
    <t>5ed9c78f</t>
  </si>
  <si>
    <t>Opening Ceremony - Pegadaian Championship 2025/26</t>
  </si>
  <si>
    <t>https://www.vidio.com/live/19541-pegadaian-championship-2025-26?schedule_id=4564710</t>
  </si>
  <si>
    <t>https://drive.google.com/drive/folders/15mnXez-NbMkKamiC6_R-RbiEsLxK1xwg?usp=drive_link</t>
  </si>
  <si>
    <t>Nonton streaming pertandingan seru Opening Ceremony - Pegadaian Championship 2025/26. Saksikan aksi-aksi terbaik dari tim yang bersaing ketat untuk meraih kemenangan. Dapatkan informasi lengkap mengenai jadwal pertandingan dan hasil pertandingan terbaru hanya di Vidio.</t>
  </si>
  <si>
    <t>https://drive.google.com/file/d/1W1N2faio7nO9aKOszz9KQKjvtFQuGltI/view?usp=sharing</t>
  </si>
  <si>
    <t>7e2b5afd</t>
  </si>
  <si>
    <t>PSMS Medan vs Sriwijaya FC - Pegadaian Championship</t>
  </si>
  <si>
    <t>https://www.vidio.com/live/19542-pegadaian-championship-2025-26?schedule_id=4626330</t>
  </si>
  <si>
    <t>https://drive.google.com/drive/folders/1xFOmxkk6jYBE_lTVa9neAUvEsm8Sv4fa?usp=drive_link</t>
  </si>
  <si>
    <t>https://drive.google.com/drive/folders/1MX84RU5rZmbIJdFqPDVJ1-8zszjjl40g?usp=drive_link</t>
  </si>
  <si>
    <t>psms medan; sriwijaya fc; sports stream</t>
  </si>
  <si>
    <t>Nonton streaming pertandingan seru PSMS Medan vs Sriwijaya FC - Pegadaian Championship. Saksikan aksi-aksi terbaik dari tim yang bersaing ketat untuk meraih kemenangan. Dapatkan informasi lengkap mengenai jadwal pertandingan dan hasil pertandingan terbaru hanya di Vidio.</t>
  </si>
  <si>
    <t>https://drive.google.com/file/d/1boMWKxeaEORofCGtN9P0PG90JH7L7dDM/view?usp=sharing</t>
  </si>
  <si>
    <t>https://drive.google.com/file/d/1n51d2JiIiYQKer5DfCBXevwfsbmL58fm/view?usp=drive_link</t>
  </si>
  <si>
    <t>https://drive.google.com/file/d/1avpYQ29a13r__A-4f7ch8U6zB3WOCeUk/view?usp=sharing</t>
  </si>
  <si>
    <t>2b28e36d</t>
  </si>
  <si>
    <t>Persikad vs PSPS Pekanbaru - Pegadaian Championship</t>
  </si>
  <si>
    <t>https://www.vidio.com/live/19541-pegadaian-championship-2025-26?schedule_id=4626328</t>
  </si>
  <si>
    <t>https://drive.google.com/drive/folders/1PWFYQppk3SUyyMNY8FoldMUY9fN4uKH-?usp=drive_link</t>
  </si>
  <si>
    <t>Persikad; psps riau; sports stream</t>
  </si>
  <si>
    <t>Nonton streaming pertandingan seru Persikad vs PSPS Pekanbaru - Pegadaian Championship. Saksikan aksi-aksi terbaik dari tim yang bersaing ketat untuk meraih kemenangan. Dapatkan informasi lengkap mengenai jadwal pertandingan dan hasil pertandingan terbaru hanya di Vidio.</t>
  </si>
  <si>
    <t>https://drive.google.com/file/d/1wbVS9oylomTQBWofD8Pa21E8SRt3BYKt/view?usp=sharing</t>
  </si>
  <si>
    <t>https://drive.google.com/file/d/1-DGvXwxNRy8llsnncjhdW1-0DctjYZ8I/view?usp=drive_link</t>
  </si>
  <si>
    <t>https://drive.google.com/file/d/11RCthlb3UfWNiaXAFRt2ZNrbcI7dAvN6/view?usp=sharing</t>
  </si>
  <si>
    <t>a7bc6dde</t>
  </si>
  <si>
    <t>PSIS Semarang vs PS. Barito Putera - Pegadaian Championship</t>
  </si>
  <si>
    <t>https://www.vidio.com/live/19543-pegadaian-championship-2025-26?schedule_id=4626332</t>
  </si>
  <si>
    <t>https://drive.google.com/drive/folders/1g6-UsvyWLbmFw0L25u4q38gef81qQrbT?usp=drive_link</t>
  </si>
  <si>
    <t>psis semarang; ps barito putera; sports stream</t>
  </si>
  <si>
    <t>Nonton streaming pertandingan seru PSIS Semarang vs PS. Barito Putera - Pegadaian Championship. Saksikan aksi-aksi terbaik dari tim yang bersaing ketat untuk meraih kemenangan. Dapatkan informasi lengkap mengenai jadwal pertandingan dan hasil pertandingan terbaru hanya di Vidio.</t>
  </si>
  <si>
    <t>https://drive.google.com/file/d/1tfd4Oe64SVsbnTAMg7CfV8n-30TZDPWk/view?usp=sharing</t>
  </si>
  <si>
    <t>https://drive.google.com/file/d/16bXT8pYBKCCyap4S7ZAsmBGpFNJ6opVJ/view?usp=drive_link</t>
  </si>
  <si>
    <t>https://drive.google.com/file/d/1QC0MoRruJIEy6iiZ7HwSgwysemtW4_pA/view?usp=sharing</t>
  </si>
  <si>
    <t>d4578732</t>
  </si>
  <si>
    <t>Persekat Tegal vs Adhyaksa FC - Pegadaian Championship</t>
  </si>
  <si>
    <t>https://www.vidio.com/live/19541-pegadaian-championship-2025-26?schedule_id=4626335</t>
  </si>
  <si>
    <t>https://drive.google.com/drive/folders/10AeHWH48bMKqX4xgnyuQzrvxYHIvH0hS?usp=drive_link</t>
  </si>
  <si>
    <t>persekat; Adhyaksa Farmel FC; sports stream</t>
  </si>
  <si>
    <t>Nonton streaming pertandingan seru Persekat Tegal vs Adhyaksa FC - Pegadaian Championship. Saksikan aksi-aksi terbaik dari tim yang bersaing ketat untuk meraih kemenangan. Dapatkan informasi lengkap mengenai jadwal pertandingan dan hasil pertandingan terbaru hanya di Vidio.</t>
  </si>
  <si>
    <t>https://drive.google.com/file/d/18GBmJVJRiYYjGmnLd76rcEQj9Q08VvVv/view?usp=sharing</t>
  </si>
  <si>
    <t>https://drive.google.com/file/d/1YloZ2_2z2IfH49G_smvPuh2LWvI6CMj6/view?usp=drive_link</t>
  </si>
  <si>
    <t>https://drive.google.com/file/d/1MaQlgbRu5pn-rjg9oerMpr85ix6Moiqp/view?usp=sharing</t>
  </si>
  <si>
    <t>9ed095ef</t>
  </si>
  <si>
    <t>Persipal FC vs PSS Sleman - Pegadaian Championship</t>
  </si>
  <si>
    <t>https://www.vidio.com/live/19584-pegadaian-championship-2025-26?schedule_id=4626334</t>
  </si>
  <si>
    <t>https://drive.google.com/drive/folders/1sT7cPa-0wqGD1Egd-aImc5zNNFuNjnGM?usp=drive_link</t>
  </si>
  <si>
    <t>Persipal Palu; pss sleman; sports stream</t>
  </si>
  <si>
    <t>Nonton streaming pertandingan seru Persipal FC vs PSS Sleman - Pegadaian Championship. Saksikan aksi-aksi terbaik dari tim yang bersaing ketat untuk meraih kemenangan. Dapatkan informasi lengkap mengenai jadwal pertandingan dan hasil pertandingan terbaru hanya di Vidio.</t>
  </si>
  <si>
    <t>https://drive.google.com/file/d/1FXQ4W_RfldBxR1VzGm2H7IUedySWstud/view?usp=sharing</t>
  </si>
  <si>
    <t>https://drive.google.com/file/d/1fQeqouOGu00iXNqOn_tYHVMEZNY0aRZt/view?usp=drive_link</t>
  </si>
  <si>
    <t>https://drive.google.com/file/d/1_fQnnmaWspwblp8VL-uJAKPaPMLI1elW/view?usp=sharing</t>
  </si>
  <si>
    <t>9d0cad0d</t>
  </si>
  <si>
    <t>Deltras FC vs Persiku Kudus - Pegadaian Championship</t>
  </si>
  <si>
    <t>https://www.vidio.com/live/205-indosiar?schedule_id=4628661</t>
  </si>
  <si>
    <t>https://drive.google.com/drive/folders/1lYsUvIg3njXuOaf4UUt9Vr5QC8VS7lzn?usp=drive_link</t>
  </si>
  <si>
    <t>deltras sidoarjo; persiku kudus; sports stream</t>
  </si>
  <si>
    <t>Nonton streaming pertandingan seru Deltras FC vs Persiku Kudus - Pegadaian Championship. Saksikan aksi-aksi terbaik dari tim yang bersaing ketat untuk meraih kemenangan. Dapatkan informasi lengkap mengenai jadwal pertandingan dan hasil pertandingan terbaru hanya di Vidio.</t>
  </si>
  <si>
    <t>https://drive.google.com/file/d/1qpBoMLuQJ4vjTQM6E6_svJUQSzCyy_CQ/view?usp=sharing</t>
  </si>
  <si>
    <t>https://drive.google.com/file/d/1l58fGpJD9TlW5Qy59PfgxHVYPwcr_ZnQ/view?usp=drive_link</t>
  </si>
  <si>
    <t>https://drive.google.com/file/d/1h9DVv0DiLe0UgseqVZHpT5aM5Wpkcp44/view?usp=sharing</t>
  </si>
  <si>
    <t>a4893c0c</t>
  </si>
  <si>
    <t>Persiraja Banda Aceh vs Garudayaksa FC - Pegadaian Championship</t>
  </si>
  <si>
    <t>https://www.vidio.com/live/19662-pegadaian-championship-2025-26?schedule_id=4628811</t>
  </si>
  <si>
    <t>https://drive.google.com/drive/folders/1_ogncL1wVguuOOevQu489qCFsFIrUkIj?usp=drive_link</t>
  </si>
  <si>
    <t>persiraja banda aceh; pskc cimahi; sports stream</t>
  </si>
  <si>
    <t>Nonton streaming pertandingan seru Persiraja Banda Aceh vs Garudayaksa FC - Pegadaian Championship. Saksikan aksi-aksi terbaik dari tim yang bersaing ketat untuk meraih kemenangan. Dapatkan informasi lengkap mengenai jadwal pertandingan dan hasil pertandingan terbaru hanya di Vidio.</t>
  </si>
  <si>
    <t>https://drive.google.com/file/d/1DnHzKfFog4JQ0P40B7x6-1_ENikGvgrK/view?usp=sharing</t>
  </si>
  <si>
    <t>https://drive.google.com/file/d/1JWLs67Lo9wenvX8fFxMeeHjjRmLTQKDh/view?usp=drive_link</t>
  </si>
  <si>
    <t>https://drive.google.com/file/d/1hMvNhv3o5cVvd9NQjpMtSMxIPVz0zvzJ/view?usp=sharing</t>
  </si>
  <si>
    <t>66ed676f</t>
  </si>
  <si>
    <t>FC Bekasi City vs Sumsel United - Pegadaian Championship</t>
  </si>
  <si>
    <t>https://www.vidio.com/live/19541-pegadaian-championship-2025-26?schedule_id=4627666</t>
  </si>
  <si>
    <t>https://drive.google.com/drive/folders/1YEqBFrWzE9xpmb8KJ3UDDQbAJ5BHjn-G?usp=drive_link</t>
  </si>
  <si>
    <t>fc bekasi city; Sumsel United; sports stream</t>
  </si>
  <si>
    <t>Nonton streaming pertandingan seru FC Bekasi City vs Sumsel United - Pegadaian Championship. Saksikan aksi-aksi terbaik dari tim yang bersaing ketat untuk meraih kemenangan. Dapatkan informasi lengkap mengenai jadwal pertandingan dan hasil pertandingan terbaru hanya di Vidio.</t>
  </si>
  <si>
    <t>https://drive.google.com/file/d/1jICyNNE8m-2czHJ4OdAZK10H-STxhNYY/view?usp=sharing</t>
  </si>
  <si>
    <t>https://drive.google.com/file/d/1dqLTaxeZCBdx0O62Nx6jlpfz2I9Z3HQ6/view?usp=drive_link</t>
  </si>
  <si>
    <t>https://drive.google.com/file/d/18iJxt-tQiuvkMFmlcfpZ-c0fl4RV9Txs/view?usp=sharing</t>
  </si>
  <si>
    <t>5b890be0</t>
  </si>
  <si>
    <t>Kendal Tornado FC vs Persiba Balikpapan - Pegadaian Championship</t>
  </si>
  <si>
    <t>https://www.vidio.com/live/19542-pegadaian-championship-2025-26?schedule_id=4627667</t>
  </si>
  <si>
    <t>https://drive.google.com/drive/folders/1fPDBwChnDpZ1K01_HZIL_df1WValAwZV?usp=drive_link</t>
  </si>
  <si>
    <t>Kendal Tornado FC; Persiba Balikpapan; sports stream</t>
  </si>
  <si>
    <t>Nonton streaming pertandingan seru Kendal Tornado FC vs Persiba Balikpapan - Pegadaian Championship. Saksikan aksi-aksi terbaik dari tim yang bersaing ketat untuk meraih kemenangan. Dapatkan informasi lengkap mengenai jadwal pertandingan dan hasil pertandingan terbaru hanya di Vidio.</t>
  </si>
  <si>
    <t>https://drive.google.com/file/d/1G_jv5-hhcTFTb9iyG8bz1KjEBbgu9sXt/view?usp=sharing</t>
  </si>
  <si>
    <t>https://drive.google.com/file/d/1r_NOvhNevPpCPMCA17hV0Phwiu9yATsH/view?usp=drive_link</t>
  </si>
  <si>
    <t>https://drive.google.com/file/d/1Sz-Mh-v0kS81qyE0yWsX-PHBZFp9y3kS/view?usp=sharing</t>
  </si>
  <si>
    <t>71d228d0</t>
  </si>
  <si>
    <t>Persela Lamongan vs Persipura Jayapura - Pegadaian Championship</t>
  </si>
  <si>
    <t>https://www.vidio.com/live/19543-pegadaian-championship-2025-26?schedule_id=4627668</t>
  </si>
  <si>
    <t>https://drive.google.com/drive/folders/1tbwdesMjF4FohV_yti5G5i1rfOwnrP6K?usp=drive_link</t>
  </si>
  <si>
    <t>persela lamongan; persipura; sports stream</t>
  </si>
  <si>
    <t>Nonton streaming pertandingan seru Persela Lamongan vs Persipura Jayapura - Pegadaian Championship. Saksikan aksi-aksi terbaik dari tim yang bersaing ketat untuk meraih kemenangan. Dapatkan informasi lengkap mengenai jadwal pertandingan dan hasil pertandingan terbaru hanya di Vidio.</t>
  </si>
  <si>
    <t>https://drive.google.com/file/d/1txYuK0Y1SXfOIYTqF6hI-ThnItiUfGNl/view?usp=sharing</t>
  </si>
  <si>
    <t>https://drive.google.com/file/d/19eIi7P3nJv8Na2w9izxvVhWMWlSH38OA/view?usp=drive_link</t>
  </si>
  <si>
    <t>https://drive.google.com/file/d/1S9YH28wi96W6Iog3qq69u9aI_i7zBuHf/view?usp=sharing</t>
  </si>
  <si>
    <t>b50fa713</t>
  </si>
  <si>
    <t>Press Conference - Pegadaian Championship 2025/26</t>
  </si>
  <si>
    <t>https://www.vidio.com/live/19549-pegadaian-championship-2025-26?schedule_id=4566439</t>
  </si>
  <si>
    <t>https://drive.google.com/drive/folders/1T2gwiXNmprjsxmp6MI4HC1nICt8d6xi3?usp=drive_link</t>
  </si>
  <si>
    <t>Nonton streaming pertandingan seru Press Conference - Pegadaian Championship 2025/26. Saksikan aksi-aksi terbaik dari tim yang bersaing ketat untuk meraih kemenangan. Dapatkan informasi lengkap mengenai jadwal pertandingan dan hasil pertandingan terbaru hanya di Vidio.</t>
  </si>
  <si>
    <t>https://drive.google.com/file/d/1CUtmQtJQ2RaWNB-fBF3lXMwq2fQt_0Yr/view?usp=sharing</t>
  </si>
  <si>
    <t>https://drive.google.com/file/d/1HW6DjVIPnahU6WvCksZ4E3Zp3idChysB/view?usp=sharing</t>
  </si>
  <si>
    <t>62fd7161</t>
  </si>
  <si>
    <t>Man United vs Arsenal - Women's Super League</t>
  </si>
  <si>
    <t>Women's Super League 2025/26</t>
  </si>
  <si>
    <t>https://www.vidio.com/live/6317-bein-3?schedule_id=4582514</t>
  </si>
  <si>
    <t>https://drive.google.com/drive/folders/1CwHI3lG4k3avhZVD4Iyswyvmb5BT5Fpk?usp=drive_link</t>
  </si>
  <si>
    <t>https://drive.google.com/drive/folders/1CZBstAzuFk0s6lzezob_lw46kKvdyWMX?usp=drive_link</t>
  </si>
  <si>
    <t>Manchester United Women</t>
  </si>
  <si>
    <t>Arsenal W.F.C.</t>
  </si>
  <si>
    <t>Sports &gt; Football &gt; Women's Super League</t>
  </si>
  <si>
    <t>Women's Super League; Women's Super League 2025/26</t>
  </si>
  <si>
    <t>manchester united fc; sports stream</t>
  </si>
  <si>
    <t>Nonton streaming pertandingan seru Man United vs Arsenal - Women's Super League. Saksikan aksi-aksi terbaik dari tim yang bersaing ketat untuk meraih kemenangan. Dapatkan informasi lengkap mengenai jadwal pertandingan dan hasil pertandingan terbaru hanya di Vidio.</t>
  </si>
  <si>
    <t>Man United:
- Maya Le Tissier: 1065804327
- Melvine Malard: 1066162760
Arsenal:
- Alessia Russo: 1066124546, 1066157996, 1066124086
- Chloe Kelly: 1066108387, 1066107020, 1066124275</t>
  </si>
  <si>
    <t>https://drive.google.com/file/d/1kKsQ8XKmzHAXN0AVaQsXXGZ9RAkFcqLF/view?usp=sharing</t>
  </si>
  <si>
    <t>https://drive.google.com/file/d/1bjSNkRPNSeliwDnOdiwbJACkclE8y_Fq/view?usp=drive_link</t>
  </si>
  <si>
    <t>https://drive.google.com/file/d/1E4gSTECW6jx1dAfHGiYvx1w9qHT6VSDg/view?usp=sharing</t>
  </si>
  <si>
    <t>4f3e3695</t>
  </si>
  <si>
    <t>Washington Commanders vs Green Bay Packers - NFL</t>
  </si>
  <si>
    <t>NFL 2025/26</t>
  </si>
  <si>
    <t>VIDIO - @nfl</t>
  </si>
  <si>
    <t>https://www.vidio.com/live/19548-national-football-league-2025-26?schedule_id=4565718</t>
  </si>
  <si>
    <t>https://drive.google.com/drive/folders/1HPNNm91EVLEH-0XQMHzjKDqHXIbqVd4j?usp=sharing</t>
  </si>
  <si>
    <t>Green Bay Packers</t>
  </si>
  <si>
    <t>Washington Commanders</t>
  </si>
  <si>
    <t>Sports &gt; American Football &gt; NFL</t>
  </si>
  <si>
    <t>American Football</t>
  </si>
  <si>
    <t>NFL; NFL 2025/26</t>
  </si>
  <si>
    <t>National Football League</t>
  </si>
  <si>
    <t>Nonton streaming pertandingan seru Washington Commanders vs Green Bay Packers - NFL. Saksikan aksi-aksi terbaik dari tim yang bersaing ketat untuk meraih kemenangan. Dapatkan informasi lengkap mengenai jadwal pertandingan dan hasil pertandingan terbaru hanya di Vidio.</t>
  </si>
  <si>
    <t>https://drive.google.com/file/d/1zLEku-YlVhIF9TnKxyi80PeeTBrOM_Ij/view?usp=sharing</t>
  </si>
  <si>
    <t>https://drive.google.com/file/d/1icLgl4XbEtesJGE6ambY44jZrGCmMPqU/view?usp=sharing</t>
  </si>
  <si>
    <t>fa438664</t>
  </si>
  <si>
    <t>DELAYED</t>
  </si>
  <si>
    <t>20554145</t>
  </si>
  <si>
    <t>Chicago Bears vs Detroit Lions - NFL</t>
  </si>
  <si>
    <t>https://www.vidio.com/live/19548-national-football-league-2025-26?schedule_id=4568491</t>
  </si>
  <si>
    <t>https://drive.google.com/drive/folders/1e8ruGHhXaxImbFF7xQ92bC7QVK3guKEh</t>
  </si>
  <si>
    <t>Detroit Lions</t>
  </si>
  <si>
    <t>Chicago Bears</t>
  </si>
  <si>
    <t>Nonton streaming pertandingan seru Chicago Bears vs Detroit Lions - NFL. Saksikan aksi-aksi terbaik dari tim yang bersaing ketat untuk meraih kemenangan. Dapatkan informasi lengkap mengenai jadwal pertandingan dan hasil pertandingan terbaru hanya di Vidio.</t>
  </si>
  <si>
    <t>https://drive.google.com/file/d/1BaWYddLy5cBWUcmoU9I6GN4_PZ-rAUTm/view?usp=sharing</t>
  </si>
  <si>
    <t>https://drive.google.com/file/d/1Cza7HDEHnRflSTzp8WmlUn4FOMHKT4LV/view?usp=sharing</t>
  </si>
  <si>
    <t>ce682640</t>
  </si>
  <si>
    <t>Philadelphia Eagles vs Kansas City Chiefs - NFL</t>
  </si>
  <si>
    <t>https://www.vidio.com/live/19548-national-football-league-2025-26?schedule_id=4568492</t>
  </si>
  <si>
    <t>https://drive.google.com/drive/folders/13P_FMFtbN_JvecV-pSKubuWYkZ8IxHQu</t>
  </si>
  <si>
    <t>Kansas City Chiefs</t>
  </si>
  <si>
    <t>Philadelphia Eagles</t>
  </si>
  <si>
    <t>Nonton streaming pertandingan seru Philadelphia Eagles vs Kansas City Chiefs - NFL. Saksikan aksi-aksi terbaik dari tim yang bersaing ketat untuk meraih kemenangan. Dapatkan informasi lengkap mengenai jadwal pertandingan dan hasil pertandingan terbaru hanya di Vidio.</t>
  </si>
  <si>
    <t>https://drive.google.com/file/d/175c33WpBwUiVtgdy9-yB3bB9jji78TUi/view?usp=sharing</t>
  </si>
  <si>
    <t>https://drive.google.com/file/d/1NmQCjmcpklin4mR_HWNuILasCKDqVpQQ/view?usp=sharing</t>
  </si>
  <si>
    <t>2ba572be</t>
  </si>
  <si>
    <t>Atlanta Falcons vs Minnesota Vikings - NFL</t>
  </si>
  <si>
    <t>https://www.vidio.com/live/19548-national-football-league-2025-26?schedule_id=4568493</t>
  </si>
  <si>
    <t>https://drive.google.com/drive/folders/17cdWs5v4gNSnkR_JkpwO5r35mtjzSe_L</t>
  </si>
  <si>
    <t>Minnesota Vikings</t>
  </si>
  <si>
    <t>Atlanta Falcons</t>
  </si>
  <si>
    <t>Nonton streaming pertandingan seru Atlanta Falcons vs Minnesota Vikings - NFL. Saksikan aksi-aksi terbaik dari tim yang bersaing ketat untuk meraih kemenangan. Dapatkan informasi lengkap mengenai jadwal pertandingan dan hasil pertandingan terbaru hanya di Vidio.</t>
  </si>
  <si>
    <t>https://drive.google.com/file/d/1lrKRmMrFxm6hMUM2n9Oo2Xrhr8l9WvQK/view?usp=sharing</t>
  </si>
  <si>
    <t>https://drive.google.com/file/d/1PaFVLJo6Xzv5TcQjg7aIwiRj4Yf2lv2P/view?usp=sharing</t>
  </si>
  <si>
    <t>53cc2d96</t>
  </si>
  <si>
    <t>Tampa Bay Buccaneers vs Houston Texans - NFL</t>
  </si>
  <si>
    <t>https://www.vidio.com/live/19548-national-football-league-2025-26?schedule_id=4574017</t>
  </si>
  <si>
    <t>https://drive.google.com/drive/folders/17vkMu_oaUMDRrMCrPAeEUoNslxIz96_c</t>
  </si>
  <si>
    <t>Houston Texans</t>
  </si>
  <si>
    <t>Tampa Bay Buccaneers</t>
  </si>
  <si>
    <t>Nonton streaming pertandingan seru Tampa Bay Buccaneers vs Houston Texans - NFL. Saksikan aksi-aksi terbaik dari tim yang bersaing ketat untuk meraih kemenangan. Dapatkan informasi lengkap mengenai jadwal pertandingan dan hasil pertandingan terbaru hanya di Vidio.</t>
  </si>
  <si>
    <t>https://drive.google.com/file/d/1I8UpTnD_oYw6BX6C5kJgX-ZHx50ls0F1/view?usp=sharing</t>
  </si>
  <si>
    <t>https://drive.google.com/file/d/1MqH0cVfzwgLKkC-loCvBIH0nl3JaRRVQ/view?usp=sharing</t>
  </si>
  <si>
    <t>c3c226e4</t>
  </si>
  <si>
    <t>Los Angeles Chargers vs Las Vegas Raiders - NFL</t>
  </si>
  <si>
    <t>https://www.vidio.com/live/19548-national-football-league-2025-26?schedule_id=4574018</t>
  </si>
  <si>
    <t>https://drive.google.com/drive/folders/1LuDkAH0oaH-ODBe1fGRrz-qarvIF4FP2</t>
  </si>
  <si>
    <t>Las Vegas Raiders</t>
  </si>
  <si>
    <t>Los Angeles Chargers</t>
  </si>
  <si>
    <t>Nonton streaming pertandingan seru Los Angeles Chargers vs Las Vegas Raiders - NFL. Saksikan aksi-aksi terbaik dari tim yang bersaing ketat untuk meraih kemenangan. Dapatkan informasi lengkap mengenai jadwal pertandingan dan hasil pertandingan terbaru hanya di Vidio.</t>
  </si>
  <si>
    <t>https://drive.google.com/file/d/1GB_fdOvMOIswM_rDxnNajikSgoy_Gb_h/view?usp=sharing</t>
  </si>
  <si>
    <t>https://drive.google.com/file/d/1Z22T5EDhjNgltM6pstQU_VdjGp7XPzkl/view?usp=drive_link</t>
  </si>
  <si>
    <t>95e9b41d</t>
  </si>
  <si>
    <t>Persiku Kudus vs PS. Barito Putera - Pegadaian Championship</t>
  </si>
  <si>
    <t>https://www.vidio.com/live/19543-pegadaian-championship-2025-26?schedule_id=4637938</t>
  </si>
  <si>
    <t>https://drive.google.com/drive/folders/1Gc7iBqianW636MwmdwE4DiBJRLnUPtET?usp=drive_link</t>
  </si>
  <si>
    <t>https://drive.google.com/drive/folders/1QuW8HGm8Gy5DKzFtp0IqY8763E-ORETq?usp=drive_link</t>
  </si>
  <si>
    <t>persiku kudus; ps barito putera; sports stream</t>
  </si>
  <si>
    <t>Nonton streaming pertandingan seru Persiku Kudus vs PS. Barito Putera - Pegadaian Championship. Saksikan aksi-aksi terbaik dari tim yang bersaing ketat untuk meraih kemenangan. Dapatkan informasi lengkap mengenai jadwal pertandingan dan hasil pertandingan terbaru hanya di Vidio.</t>
  </si>
  <si>
    <t>https://drive.google.com/file/d/14z4108sjBxXZf2-Eg46fx89oVWQslL9z/view?usp=sharing</t>
  </si>
  <si>
    <t>https://drive.google.com/file/d/1DNUet1eHQ8eoAq_9_SpGWTsMin1ii7Ie/view?usp=drive_link</t>
  </si>
  <si>
    <t>https://drive.google.com/file/d/1qZ7UcLVjyHDuWnnR5cYnu_RWl_ZeYZWM/view?usp=sharing</t>
  </si>
  <si>
    <t>233b8976</t>
  </si>
  <si>
    <t>PSPS Pekanbaru vs Sriwijaya FC - Pegadaian Championship</t>
  </si>
  <si>
    <t>https://www.vidio.com/live/19542-pegadaian-championship-2025-26?schedule_id=4637940</t>
  </si>
  <si>
    <t>https://drive.google.com/drive/folders/1nkPmFdIBA49tzkO-RzMN_o_sUmRU-P6B?usp=drive_link</t>
  </si>
  <si>
    <t>psps riau; sriwijaya fc; sports stream</t>
  </si>
  <si>
    <t>Nonton streaming pertandingan seru PSPS Pekanbaru vs Sriwijaya FC - Pegadaian Championship. Saksikan aksi-aksi terbaik dari tim yang bersaing ketat untuk meraih kemenangan. Dapatkan informasi lengkap mengenai jadwal pertandingan dan hasil pertandingan terbaru hanya di Vidio.</t>
  </si>
  <si>
    <t>https://drive.google.com/file/d/1oBpU6XecVXnmBkB5EBN7TIXsC04dSvss/view?usp=sharing</t>
  </si>
  <si>
    <t>https://drive.google.com/file/d/1xgUx9MomLhRxEiQN-je6aTWNbTliddXs/view?usp=drive_link</t>
  </si>
  <si>
    <t>https://drive.google.com/file/d/1LzlzsdDF6Jw2JE-Ai8LDL_tiXvkeDN2_/view?usp=sharing</t>
  </si>
  <si>
    <t>0ce7da99</t>
  </si>
  <si>
    <t>Persipal FC vs PSIS Semarang - Pegadaian Championship</t>
  </si>
  <si>
    <t>https://www.vidio.com/live/19543-pegadaian-championship-2025-26?schedule_id=4638543</t>
  </si>
  <si>
    <t>https://drive.google.com/drive/folders/1iYBRE0gQIRA1omlPPSnvaq9HB1kjvC9U</t>
  </si>
  <si>
    <t>https://drive.google.com/drive/folders/1QuW8HGm8Gy5DKzFtp0IqY8763E-ORETq</t>
  </si>
  <si>
    <t>Persipal Palu; psis semarang; sports stream</t>
  </si>
  <si>
    <t>Nonton streaming pertandingan seru Persipal FC vs PSIS Semarang - Pegadaian Championship. Saksikan aksi-aksi terbaik dari tim yang bersaing ketat untuk meraih kemenangan. Dapatkan informasi lengkap mengenai jadwal pertandingan dan hasil pertandingan terbaru hanya di Vidio.</t>
  </si>
  <si>
    <t>https://drive.google.com/file/d/1DR91kw-6CsmCZ6Tr3W28W9R1DSEfGBMt/view?usp=sharing</t>
  </si>
  <si>
    <t>https://drive.google.com/file/d/17i4qBO_Vh_hMLDNdzRuJr-aQ2Ne2PaH_/view?usp=drive_link</t>
  </si>
  <si>
    <t>https://drive.google.com/file/d/1TfrFZS2_zitM7GXroEIV7_PxrXAeHzNX/view?usp=sharing</t>
  </si>
  <si>
    <t>2ae25fa9</t>
  </si>
  <si>
    <t>Garudayaksa FC vs Adhyaksa FC - Pegadaian Championship</t>
  </si>
  <si>
    <t>https://www.vidio.com/live/19541-pegadaian-championship-2025-26?schedule_id=4638542</t>
  </si>
  <si>
    <t>https://drive.google.com/drive/folders/11cH0unekLAIN3zjcorMAlBqTv5P8yRW0?usp=drive_link</t>
  </si>
  <si>
    <t>pskc cimahi; Adhyaksa Farmel FC; sports stream</t>
  </si>
  <si>
    <t>Nonton streaming pertandingan seru Garudayaksa FC vs Adhyaksa FC - Pegadaian Championship. Saksikan aksi-aksi terbaik dari tim yang bersaing ketat untuk meraih kemenangan. Dapatkan informasi lengkap mengenai jadwal pertandingan dan hasil pertandingan terbaru hanya di Vidio.</t>
  </si>
  <si>
    <t>https://drive.google.com/file/d/1mJlS8LHPyuwhhECIOXbrNjtZanrRlJOB/view?usp=sharing</t>
  </si>
  <si>
    <t>https://drive.google.com/file/d/1nD2-XzrwNu6XCLpVrYxZtK5xP97ZvgR-/view?usp=drive_link</t>
  </si>
  <si>
    <t>https://drive.google.com/file/d/1rKCSV88w3RbLYEQcymaGauNsRT3yy1gr/view?usp=sharing</t>
  </si>
  <si>
    <t>a274f16d</t>
  </si>
  <si>
    <t>PSMS Medan vs Persikad - Pegadaian Championship</t>
  </si>
  <si>
    <t>https://www.vidio.com/live/19541-pegadaian-championship-2025-26?schedule_id=4638544</t>
  </si>
  <si>
    <t>https://drive.google.com/drive/folders/1cQg30sPIlcgoCdSBmFrEJKvN_Zs1pLLl?usp=drive_link</t>
  </si>
  <si>
    <t>psms medan; Persikad; sports stream</t>
  </si>
  <si>
    <t>Nonton streaming pertandingan seru PSMS Medan vs Persikad - Pegadaian Championship. Saksikan aksi-aksi terbaik dari tim yang bersaing ketat untuk meraih kemenangan. Dapatkan informasi lengkap mengenai jadwal pertandingan dan hasil pertandingan terbaru hanya di Vidio.</t>
  </si>
  <si>
    <t>https://drive.google.com/file/d/19GWxj4we_8md0Nv-t0ms_IzExOU25-GK/view?usp=sharing</t>
  </si>
  <si>
    <t>https://drive.google.com/file/d/1UqFekA6Af9Fcsfx8KYX198N3fpfm-rzN/view?usp=drive_link</t>
  </si>
  <si>
    <t>https://drive.google.com/file/d/1ahflV6sXtkPJG8PxU1Tu97fxiIuV78pE/view?usp=sharing</t>
  </si>
  <si>
    <t>394708af</t>
  </si>
  <si>
    <t>Deltras FC vs Persipura Jayapura - Pegadaian Championship</t>
  </si>
  <si>
    <t>https://www.vidio.com/live/19662-pegadaian-championship-2025-26?schedule_id=4638535</t>
  </si>
  <si>
    <t>https://drive.google.com/drive/folders/1-Jh_7pRetIbC7wHuDn9gtP-AsN5SKKNu?usp=drive_link</t>
  </si>
  <si>
    <t>deltras sidoarjo; persipura; sports stream</t>
  </si>
  <si>
    <t>Nonton streaming pertandingan seru Deltras FC vs Persipura Jayapura - Pegadaian Championship. Saksikan aksi-aksi terbaik dari tim yang bersaing ketat untuk meraih kemenangan. Dapatkan informasi lengkap mengenai jadwal pertandingan dan hasil pertandingan terbaru hanya di Vidio.</t>
  </si>
  <si>
    <t>https://drive.google.com/file/d/1hnbCl1KA7oY6KAoHlTdT-HPMU0ixvvjV/view?usp=sharing</t>
  </si>
  <si>
    <t>https://drive.google.com/file/d/1abIluG2KWv4Tg9D7AcVBPTcIlAzhcEJd/view?usp=drive_link</t>
  </si>
  <si>
    <t>https://drive.google.com/file/d/16gi7ZOLMRzXB6m5fWFtRNuRHtQSIIYvu/view?usp=sharing</t>
  </si>
  <si>
    <t>eaf02b78</t>
  </si>
  <si>
    <t>Sumsel United vs Persekat Tegal - Pegadaian Championship</t>
  </si>
  <si>
    <t>https://www.vidio.com/live/19542-pegadaian-championship-2025-26?schedule_id=4640656</t>
  </si>
  <si>
    <t>https://drive.google.com/drive/folders/1ziA7V6oedjq9DgPopAhhuHE9Ovz7Xks5?usp=drive_link</t>
  </si>
  <si>
    <t>Sumsel United; persekat; sports stream</t>
  </si>
  <si>
    <t>Nonton streaming pertandingan seru Sumsel United vs Persekat Tegal - Pegadaian Championship. Saksikan aksi-aksi terbaik dari tim yang bersaing ketat untuk meraih kemenangan. Dapatkan informasi lengkap mengenai jadwal pertandingan dan hasil pertandingan terbaru hanya di Vidio.</t>
  </si>
  <si>
    <t>https://drive.google.com/file/d/1LmVLVis-o7MELPjr9xUQk8F6OSq_iedv/view?usp=sharing</t>
  </si>
  <si>
    <t>https://drive.google.com/file/d/1MefHN5AIMcMQf3GjZWpIzAB34--pIwTF/view?usp=drive_link</t>
  </si>
  <si>
    <t>https://drive.google.com/file/d/1L64UjJJFayiPTjFi9iNA-cZdW01gSSqe/view?usp=sharing</t>
  </si>
  <si>
    <t>64561b7f</t>
  </si>
  <si>
    <t>PSS Sleman vs Kendal Tornado FC - Pegadaian Championship</t>
  </si>
  <si>
    <t>https://www.vidio.com/live/19543-pegadaian-championship-2025-26?schedule_id=4640614</t>
  </si>
  <si>
    <t>https://drive.google.com/drive/folders/1jUxFi3GSICK96cV3jNN7WHx5-aTKaRGk?usp=drive_link</t>
  </si>
  <si>
    <t>pss sleman; Kendal Tornado FC; sports stream</t>
  </si>
  <si>
    <t>Nonton streaming pertandingan seru PSS Sleman vs Kendal Tornado FC - Pegadaian Championship. Saksikan aksi-aksi terbaik dari tim yang bersaing ketat untuk meraih kemenangan. Dapatkan informasi lengkap mengenai jadwal pertandingan dan hasil pertandingan terbaru hanya di Vidio.</t>
  </si>
  <si>
    <t>https://drive.google.com/file/d/1TOqIU1n5toXV3lFQdM343-zl3edT3xKX/view?usp=sharing</t>
  </si>
  <si>
    <t>https://drive.google.com/file/d/1XQeRFu0Fh83u_l9X-xlI1-D2dZwLod3l/view?usp=drive_link</t>
  </si>
  <si>
    <t>https://drive.google.com/file/d/14TScaKrBW_2nVwXotdbIU5ynfXckeplf/view?usp=sharing</t>
  </si>
  <si>
    <t>52608f4e</t>
  </si>
  <si>
    <t>Persiba Balikpapan vs Persela Lamongan - Pegadaian Championship</t>
  </si>
  <si>
    <t>https://www.vidio.com/live/19662-pegadaian-championship-2025-26?schedule_id=4640600</t>
  </si>
  <si>
    <t>https://drive.google.com/drive/folders/1BBq0u8Ub1Ue2ZQNQwWISJ24HM2qik-Fv?usp=drive_link</t>
  </si>
  <si>
    <t>Persiba Balikpapan; persela lamongan; sports stream</t>
  </si>
  <si>
    <t>Nonton streaming pertandingan seru Persiba Balikpapan vs Persela Lamongan - Pegadaian Championship. Saksikan aksi-aksi terbaik dari tim yang bersaing ketat untuk meraih kemenangan. Dapatkan informasi lengkap mengenai jadwal pertandingan dan hasil pertandingan terbaru hanya di Vidio.</t>
  </si>
  <si>
    <t>https://drive.google.com/file/d/1pgdh8iNElXkwHMj29vFvYnx_EaQZ5OCN/view?usp=sharing</t>
  </si>
  <si>
    <t>https://drive.google.com/file/d/1pwqbpMMw3Z_5DKZPLbDr7bwSsk9rfZkC/view?usp=drive_link</t>
  </si>
  <si>
    <t>https://drive.google.com/file/d/1SdgTrgsDzyRJIB7OBEL5Qt8jk6i_-Lp2/view?usp=sharing</t>
  </si>
  <si>
    <t>c47327c5</t>
  </si>
  <si>
    <t>Persiraja Banda Aceh vs FC Bekasi City - Pegadaian Championship</t>
  </si>
  <si>
    <t>https://www.vidio.com/live/19685-pegadaian-championship-2025-26?schedule_id=4642148</t>
  </si>
  <si>
    <t>https://drive.google.com/drive/folders/1o10CbVUMj0bJ5PTAHVYhpQ-wCwW5yDyr?usp=drive_link</t>
  </si>
  <si>
    <t>persiraja banda aceh; fc bekasi city; sports stream</t>
  </si>
  <si>
    <t>Nonton streaming pertandingan seru Persiraja Banda Aceh vs FC Bekasi City - Pegadaian Championship. Saksikan aksi-aksi terbaik dari tim yang bersaing ketat untuk meraih kemenangan. Dapatkan informasi lengkap mengenai jadwal pertandingan dan hasil pertandingan terbaru hanya di Vidio.</t>
  </si>
  <si>
    <t>JIP</t>
  </si>
  <si>
    <t>https://drive.google.com/file/d/1gW68gU4GexwYmB4ApXf7RlO7La4k0uHF/view?usp=sharing</t>
  </si>
  <si>
    <t>https://drive.google.com/file/d/1rwI1zdGJsTL3w57aE1baINYHx4TF3-Qa/view?usp=drive_link</t>
  </si>
  <si>
    <t>https://drive.google.com/file/d/1GXMZSu5PFmWQL0Fyxn0-eGz6X9w-rjum/view?usp=sharing</t>
  </si>
  <si>
    <t>d8fea06c</t>
  </si>
  <si>
    <t>Matchday 3 - Top Youth Premier League 2025</t>
  </si>
  <si>
    <t>https://www.vidio.com/live/19556-top-youth-premier-league-2025-matchday-3</t>
  </si>
  <si>
    <t>Nonton streaming pertandingan seru Matchday 3 - Top Youth Premier League 2025. Saksikan aksi-aksi terbaik dari tim yang bersaing ketat untuk meraih kemenangan. Dapatkan informasi lengkap mengenai jadwal pertandingan dan hasil pertandingan terbaru hanya di Vidio.</t>
  </si>
  <si>
    <t>ce955e16</t>
  </si>
  <si>
    <t>Maesa Pararaider vs Tajimalela – Top Youth Premier League 2025 U-9</t>
  </si>
  <si>
    <t>https://www.vidio.com/live/19556-top-youth-premier-league-2025-matchday-3?schedule_id=4569316</t>
  </si>
  <si>
    <t>Nonton streaming pertandingan seru Maesa Pararaider vs Tajimalela – Top Youth Premier League 2025 U-9. Saksikan aksi-aksi terbaik dari tim yang bersaing ketat untuk meraih kemenangan. Dapatkan informasi lengkap mengenai jadwal pertandingan dan hasil pertandingan terbaru hanya di Vidio.</t>
  </si>
  <si>
    <t>91fd1838</t>
  </si>
  <si>
    <t>Putra Nusantara vs CS Private – Top Youth Premier League 2025 U-10</t>
  </si>
  <si>
    <t>https://www.vidio.com/live/19556-top-youth-premier-league-2025-matchday-3?schedule_id=4569317</t>
  </si>
  <si>
    <t>Nonton streaming pertandingan seru Putra Nusantara vs CS Private – Top Youth Premier League 2025 U-10. Saksikan aksi-aksi terbaik dari tim yang bersaing ketat untuk meraih kemenangan. Dapatkan informasi lengkap mengenai jadwal pertandingan dan hasil pertandingan terbaru hanya di Vidio.</t>
  </si>
  <si>
    <t>6fd97fc2</t>
  </si>
  <si>
    <t>Pondok Bambu vs Asiop Biru – Top Youth Premier League 2025 U-9</t>
  </si>
  <si>
    <t>https://www.vidio.com/live/19556-top-youth-premier-league-2025-matchday-3?schedule_id=4569318</t>
  </si>
  <si>
    <t>Nonton streaming pertandingan seru Pondok Bambu vs Asiop Biru – Top Youth Premier League 2025 U-9. Saksikan aksi-aksi terbaik dari tim yang bersaing ketat untuk meraih kemenangan. Dapatkan informasi lengkap mengenai jadwal pertandingan dan hasil pertandingan terbaru hanya di Vidio.</t>
  </si>
  <si>
    <t>aa5b199a</t>
  </si>
  <si>
    <t>JAS vs Tajimalela – Top Youth Premier League 2025 U-10</t>
  </si>
  <si>
    <t>https://www.vidio.com/live/19556-top-youth-premier-league-2025-matchday-3?schedule_id=4569320</t>
  </si>
  <si>
    <t>Nonton streaming pertandingan seru JAS vs Tajimalela – Top Youth Premier League 2025 U-10. Saksikan aksi-aksi terbaik dari tim yang bersaing ketat untuk meraih kemenangan. Dapatkan informasi lengkap mengenai jadwal pertandingan dan hasil pertandingan terbaru hanya di Vidio.</t>
  </si>
  <si>
    <t>83a7aee9</t>
  </si>
  <si>
    <t>Mavericks Academy vs Grand Young Kids SS – Top Youth Premier League 2025 U-9</t>
  </si>
  <si>
    <t>https://www.vidio.com/live/19556-top-youth-premier-league-2025-matchday-3?schedule_id=4569319</t>
  </si>
  <si>
    <t>Nonton streaming pertandingan seru Mavericks Academy vs Grand Young Kids SS – Top Youth Premier League 2025 U-9. Saksikan aksi-aksi terbaik dari tim yang bersaing ketat untuk meraih kemenangan. Dapatkan informasi lengkap mengenai jadwal pertandingan dan hasil pertandingan terbaru hanya di Vidio.</t>
  </si>
  <si>
    <t>5218960e</t>
  </si>
  <si>
    <t>Mavericks Academy vs Tajimalela – Top Youth Premier League 2025 U-10</t>
  </si>
  <si>
    <t>https://www.vidio.com/live/19556-top-youth-premier-league-2025-matchday-3?schedule_id=4569324</t>
  </si>
  <si>
    <t>Nonton streaming pertandingan seru Mavericks Academy vs Tajimalela – Top Youth Premier League 2025 U-10. Saksikan aksi-aksi terbaik dari tim yang bersaing ketat untuk meraih kemenangan. Dapatkan informasi lengkap mengenai jadwal pertandingan dan hasil pertandingan terbaru hanya di Vidio.</t>
  </si>
  <si>
    <t>96b2dc27</t>
  </si>
  <si>
    <t>SSJ Arcamanik Bandung vs Prahara – Top Youth Premier League 2025 U-11</t>
  </si>
  <si>
    <t>https://www.vidio.com/live/19556-top-youth-premier-league-2025-matchday-3?schedule_id=4569321</t>
  </si>
  <si>
    <t>Nonton streaming pertandingan seru SSJ Arcamanik Bandung vs Prahara – Top Youth Premier League 2025 U-11. Saksikan aksi-aksi terbaik dari tim yang bersaing ketat untuk meraih kemenangan. Dapatkan informasi lengkap mengenai jadwal pertandingan dan hasil pertandingan terbaru hanya di Vidio.</t>
  </si>
  <si>
    <t>ffa5fae6</t>
  </si>
  <si>
    <t>Defenders FA vs FFF North – Top Youth Premier League 2025 U-11</t>
  </si>
  <si>
    <t>https://www.vidio.com/live/19556-top-youth-premier-league-2025-matchday-3?schedule_id=4569323</t>
  </si>
  <si>
    <t>Nonton streaming pertandingan seru Defenders FA vs FFF North – Top Youth Premier League 2025 U-11. Saksikan aksi-aksi terbaik dari tim yang bersaing ketat untuk meraih kemenangan. Dapatkan informasi lengkap mengenai jadwal pertandingan dan hasil pertandingan terbaru hanya di Vidio.</t>
  </si>
  <si>
    <t>38c90f24</t>
  </si>
  <si>
    <t>Asiop Merah vs Brilliant – Top Youth Premier League 2025 U-11</t>
  </si>
  <si>
    <t>https://www.vidio.com/live/19556-top-youth-premier-league-2025-matchday-3?schedule_id=4569326</t>
  </si>
  <si>
    <t>Nonton streaming pertandingan seru Asiop Merah vs Brilliant – Top Youth Premier League 2025 U-11. Saksikan aksi-aksi terbaik dari tim yang bersaing ketat untuk meraih kemenangan. Dapatkan informasi lengkap mengenai jadwal pertandingan dan hasil pertandingan terbaru hanya di Vidio.</t>
  </si>
  <si>
    <t>adeeb61b</t>
  </si>
  <si>
    <t>Prodigy vs Spartan – Top Youth Premier League 2025 U-11</t>
  </si>
  <si>
    <t>https://www.vidio.com/live/19556-top-youth-premier-league-2025-matchday-3?schedule_id=4569327</t>
  </si>
  <si>
    <t>Nonton streaming pertandingan seru Prodigy vs Spartan – Top Youth Premier League 2025 U-11. Saksikan aksi-aksi terbaik dari tim yang bersaing ketat untuk meraih kemenangan. Dapatkan informasi lengkap mengenai jadwal pertandingan dan hasil pertandingan terbaru hanya di Vidio.</t>
  </si>
  <si>
    <t>fa08aed4</t>
  </si>
  <si>
    <t>Asiop Merah vs Asiop Biru – Top Youth Premier League 2025 U-12</t>
  </si>
  <si>
    <t>https://www.vidio.com/live/19556-top-youth-premier-league-2025-matchday-3?schedule_id=4569330</t>
  </si>
  <si>
    <t>Nonton streaming pertandingan seru Asiop Merah vs Asiop Biru – Top Youth Premier League 2025 U-12. Saksikan aksi-aksi terbaik dari tim yang bersaing ketat untuk meraih kemenangan. Dapatkan informasi lengkap mengenai jadwal pertandingan dan hasil pertandingan terbaru hanya di Vidio.</t>
  </si>
  <si>
    <t>02081c5f</t>
  </si>
  <si>
    <t>Young Warrior vs JAS – Top Youth Premier League 2025 U-12</t>
  </si>
  <si>
    <t>Nonton streaming pertandingan seru Young Warrior vs JAS – Top Youth Premier League 2025 U-12. Saksikan aksi-aksi terbaik dari tim yang bersaing ketat untuk meraih kemenangan. Dapatkan informasi lengkap mengenai jadwal pertandingan dan hasil pertandingan terbaru hanya di Vidio.</t>
  </si>
  <si>
    <t>2f3ac69d</t>
  </si>
  <si>
    <t>Sulcata vs Borussia Academy – Top Youth Premier League 2025 U-12</t>
  </si>
  <si>
    <t>https://www.vidio.com/live/19556-top-youth-premier-league-2025-matchday-3?schedule_id=4569328</t>
  </si>
  <si>
    <t>Nonton streaming pertandingan seru Sulcata vs Borussia Academy – Top Youth Premier League 2025 U-12. Saksikan aksi-aksi terbaik dari tim yang bersaing ketat untuk meraih kemenangan. Dapatkan informasi lengkap mengenai jadwal pertandingan dan hasil pertandingan terbaru hanya di Vidio.</t>
  </si>
  <si>
    <t>6fc21c7e</t>
  </si>
  <si>
    <t>MC Utama vs Young Warrior – Top Youth Premier League 2025 U-12</t>
  </si>
  <si>
    <t>https://www.vidio.com/live/19556-top-youth-premier-league-2025-matchday-3?schedule_id=4569329</t>
  </si>
  <si>
    <t>Nonton streaming pertandingan seru MC Utama vs Young Warrior – Top Youth Premier League 2025 U-12. Saksikan aksi-aksi terbaik dari tim yang bersaing ketat untuk meraih kemenangan. Dapatkan informasi lengkap mengenai jadwal pertandingan dan hasil pertandingan terbaru hanya di Vidio.</t>
  </si>
  <si>
    <t>ef2f9b44</t>
  </si>
  <si>
    <t>Bina Taruna vs Borussia Academy – Top Youth Premier League 2025 U-11</t>
  </si>
  <si>
    <t>https://www.vidio.com/live/19556-top-youth-premier-league-2025-matchday-3?schedule_id=4569325</t>
  </si>
  <si>
    <t>Nonton streaming pertandingan seru Bina Taruna vs Borussia Academy – Top Youth Premier League 2025 U-11. Saksikan aksi-aksi terbaik dari tim yang bersaing ketat untuk meraih kemenangan. Dapatkan informasi lengkap mengenai jadwal pertandingan dan hasil pertandingan terbaru hanya di Vidio.</t>
  </si>
  <si>
    <t>8b1bbe81</t>
  </si>
  <si>
    <t>2025 NFL Dublin Game: Minnesota Vikings vs Pittsburgh Steelers - NFL</t>
  </si>
  <si>
    <t>https://www.vidio.com/live/19548-national-football-league-2025-26?schedule_id=4601998</t>
  </si>
  <si>
    <t>https://drive.google.com/drive/folders/1GBOSUP4tU1bzQ6qHQUq2WAVP4qmQFvcb</t>
  </si>
  <si>
    <t>Pittsburgh Steelers</t>
  </si>
  <si>
    <t>Nonton streaming pertandingan seru 2025 NFL Dublin Game: Minnesota Vikings vs Pittsburgh Steelers - NFL. Saksikan aksi-aksi terbaik dari tim yang bersaing ketat untuk meraih kemenangan. Dapatkan informasi lengkap mengenai jadwal pertandingan dan hasil pertandingan terbaru hanya di Vidio.</t>
  </si>
  <si>
    <t>Asset Dublin Games
https://drive.google.com/drive/folders/1FK33-dYzcJcRCCDro_ntHArzwGKsQzdi?usp=sharing</t>
  </si>
  <si>
    <t>https://drive.google.com/file/d/1_iUmLDfS4QQ5c63HM2eYOqWdcmti3Llk/view?usp=sharing</t>
  </si>
  <si>
    <t>https://drive.google.com/file/d/1MZFR3fN4oGH-30OhoEU6dIvF7iC5fjiG/view?usp=sharing</t>
  </si>
  <si>
    <t>51a43158</t>
  </si>
  <si>
    <t>2025 NFL London Games: Minnesota Vikings vs Cleveland Browns - NFL</t>
  </si>
  <si>
    <t>https://www.vidio.com/live/19623-national-football-league-2025-26?schedule_id=4628655</t>
  </si>
  <si>
    <t>https://drive.google.com/drive/folders/1SbruS9ULEAsPCQ9MlUuYmbPZOG9KYKPI</t>
  </si>
  <si>
    <t>Cleveland Browns</t>
  </si>
  <si>
    <t>Nonton streaming pertandingan seru 2025 NFL London Games: Minnesota Vikings vs Cleveland Browns - NFL. Saksikan aksi-aksi terbaik dari tim yang bersaing ketat untuk meraih kemenangan. Dapatkan informasi lengkap mengenai jadwal pertandingan dan hasil pertandingan terbaru hanya di Vidio.</t>
  </si>
  <si>
    <t>ASSET London Games
https://drive.google.com/drive/folders/1td-G7_sZaYeZwPtFh04mAmyFSxubJIRG?usp=sharing</t>
  </si>
  <si>
    <t>E1 , E2</t>
  </si>
  <si>
    <t>https://drive.google.com/file/d/1WNfJdBZg5GRBaiDLqYZZ9LRBnuzrdNYW/view?usp=sharing</t>
  </si>
  <si>
    <t>https://drive.google.com/file/d/1dBwRz1GCiv3Nuz19A7pVpvDJ9XZyEchD/view?usp=sharing</t>
  </si>
  <si>
    <t>ea8dd83d</t>
  </si>
  <si>
    <t>2025 NFL London Games: Denver Broncos vs New York Jets - NFL</t>
  </si>
  <si>
    <t>https://www.vidio.com/live/19548-national-football-league-2025-26?schedule_id=4638992</t>
  </si>
  <si>
    <t>https://drive.google.com/drive/folders/1r-5RhXu3h-v7gYwcjqjOHPEugcUE-bKe</t>
  </si>
  <si>
    <t>New York Jets</t>
  </si>
  <si>
    <t>Denver Broncos</t>
  </si>
  <si>
    <t>Nonton streaming pertandingan seru 2025 NFL London Games: Denver Broncos vs New York Jets - NFL. Saksikan aksi-aksi terbaik dari tim yang bersaing ketat untuk meraih kemenangan. Dapatkan informasi lengkap mengenai jadwal pertandingan dan hasil pertandingan terbaru hanya di Vidio.</t>
  </si>
  <si>
    <t>https://drive.google.com/file/d/1KEMEtTnipT7qRNl5923A7auUD-0TSBcT/view?usp=sharing</t>
  </si>
  <si>
    <t>https://drive.google.com/file/d/1UtViaWcDgokp1a39fyC9kyjXtQH0qv3b/view?usp=sharing</t>
  </si>
  <si>
    <t>7431e3f6</t>
  </si>
  <si>
    <t>2025 NFL London Games: Los Angeles Rams vs Jacksonville Jaguars - NFL</t>
  </si>
  <si>
    <t>https://www.vidio.com/live/19548-national-football-league-2025-26?schedule_id=4653439</t>
  </si>
  <si>
    <t>https://drive.google.com/drive/folders/14ZZka-T3cUk_Hg9AHhZ6say61oXaKo5_</t>
  </si>
  <si>
    <t>Jacksonville Jaguars</t>
  </si>
  <si>
    <t>Los Angeles Rams</t>
  </si>
  <si>
    <t>Nonton streaming pertandingan seru 2025 NFL London Games: Los Angeles Rams vs Jacksonville Jaguars - NFL. Saksikan aksi-aksi terbaik dari tim yang bersaing ketat untuk meraih kemenangan. Dapatkan informasi lengkap mengenai jadwal pertandingan dan hasil pertandingan terbaru hanya di Vidio.</t>
  </si>
  <si>
    <t>https://drive.google.com/file/d/1O7ZVerMy8ayh7llmVmg-w4KUtT0qFjSD/view?usp=sharing</t>
  </si>
  <si>
    <t>https://drive.google.com/file/d/1Vv0IQ12lszfC4eHdYclaBpHJcLl9JoDj/view?usp=sharing</t>
  </si>
  <si>
    <t>d8be098c</t>
  </si>
  <si>
    <t>2025 NFL Berlin Game: Atlanta Falcons vs Indianapolis Colts - NFL</t>
  </si>
  <si>
    <t>https://www.vidio.com/live/19548-national-football-league-2025-26?schedule_id=4708917</t>
  </si>
  <si>
    <t>https://drive.google.com/drive/folders/1fzqOKBV3-Iybto6vVvNeaIHoSoYUklM_</t>
  </si>
  <si>
    <t>https://drive.google.com/drive/folders/16gD2JVWzjp1xjoc6qJGzOhzQW2ddWfwt</t>
  </si>
  <si>
    <t>Indianapolis Colts</t>
  </si>
  <si>
    <t>Nonton streaming pertandingan seru 2025 NFL Berlin Game: Atlanta Falcons vs Indianapolis Colts - NFL. Saksikan aksi-aksi terbaik dari tim yang bersaing ketat untuk meraih kemenangan. Dapatkan informasi lengkap mengenai jadwal pertandingan dan hasil pertandingan terbaru hanya di Vidio.</t>
  </si>
  <si>
    <t>https://drive.google.com/file/d/1xRJ6kwxAnhjyisoxpPcCcJTtFMHHFfYK/view?usp=sharing</t>
  </si>
  <si>
    <t>https://drive.google.com/file/d/1K8BwTiSlPbFx7-CWvqhn7eY4O7PDkxXE/view?usp=sharing</t>
  </si>
  <si>
    <t>https://drive.google.com/file/d/1DrqZzSh0xeOJCwYhh54yMUlWYI17ksVH/view?usp=sharing</t>
  </si>
  <si>
    <t>2e890ec5</t>
  </si>
  <si>
    <t>2025 NFL Madrid Game: Washington Commanders vs Miami Dolphins - NFL</t>
  </si>
  <si>
    <t>https://www.vidio.com/live/19748-national-football-league-2025-26?schedule_id=4717952</t>
  </si>
  <si>
    <t>https://drive.google.com/drive/folders/1-2T3r3I5PIGs_PE80eN2UaUWoX91IMx8</t>
  </si>
  <si>
    <t>Miami Dolphins</t>
  </si>
  <si>
    <t>Nonton streaming pertandingan seru 2025 NFL Madrid Game: Washington Commanders vs Miami Dolphins - NFL. Saksikan aksi-aksi terbaik dari tim yang bersaing ketat untuk meraih kemenangan. Dapatkan informasi lengkap mengenai jadwal pertandingan dan hasil pertandingan terbaru hanya di Vidio.</t>
  </si>
  <si>
    <t>https://drive.google.com/file/d/1J1-yLuZgWIaAJ8cYnCpw5hBynerGqdDJ/view?usp=sharing</t>
  </si>
  <si>
    <t>https://drive.google.com/file/d/1BK4pWI9-83VL9PgfQ3k1mu5MrkuI_FUx/view?usp=sharing</t>
  </si>
  <si>
    <t>9240ebc4</t>
  </si>
  <si>
    <t>Persiku Kudus vs Persipal FC - Pegadaian Championship</t>
  </si>
  <si>
    <t>https://www.vidio.com/live/19541-pegadaian-championship-2025-26?schedule_id=4652401</t>
  </si>
  <si>
    <t>https://drive.google.com/drive/folders/18UQlT0gPXwAKkLIPJJK0u8VcWrX9waA5?usp=drive_link</t>
  </si>
  <si>
    <t>https://drive.google.com/drive/folders/1LiqE1rSncMJjnxCNuQI_mD7A8eO4Lsag?usp=drive_link</t>
  </si>
  <si>
    <t>persiku kudus; Persipal Palu; sports stream</t>
  </si>
  <si>
    <t>Nonton streaming pertandingan seru Persiku Kudus vs Persipal FC - Pegadaian Championship. Saksikan aksi-aksi terbaik dari tim yang bersaing ketat untuk meraih kemenangan. Dapatkan informasi lengkap mengenai jadwal pertandingan dan hasil pertandingan terbaru hanya di Vidio.</t>
  </si>
  <si>
    <t>https://drive.google.com/file/d/16haNnG85kXBylTZnbM9euPWh0sIjXsmC/view?usp=sharing</t>
  </si>
  <si>
    <t>https://drive.google.com/file/d/1lni_zDd0s9K5p_dyypluIv4ljkXdsNJi/view?usp=drive_link</t>
  </si>
  <si>
    <t>https://drive.google.com/file/d/1Q2OrWbUAMh9bJOphmpVXxVuqGO6SmubJ/view?usp=sharing</t>
  </si>
  <si>
    <t>6b8ff7ab</t>
  </si>
  <si>
    <t>Sriwijaya FC vs Persekat Tegal - Pegadaian Championship</t>
  </si>
  <si>
    <t>https://www.vidio.com/live/19542-pegadaian-championship-2025-26?schedule_id=4652404</t>
  </si>
  <si>
    <t>https://drive.google.com/drive/folders/1Z7oi_o5WYZZltWMitu9rXPBSVljBvdVE?usp=drive_link</t>
  </si>
  <si>
    <t>sriwijaya fc; persekat; sports stream</t>
  </si>
  <si>
    <t>Nonton streaming pertandingan seru Sriwijaya FC vs Persekat Tegal - Pegadaian Championship. Saksikan aksi-aksi terbaik dari tim yang bersaing ketat untuk meraih kemenangan. Dapatkan informasi lengkap mengenai jadwal pertandingan dan hasil pertandingan terbaru hanya di Vidio.</t>
  </si>
  <si>
    <t>https://drive.google.com/file/d/1agFMsr4ANdaSaJGrLzENCyW-T__uyAu5/view?usp=sharing</t>
  </si>
  <si>
    <t>https://drive.google.com/file/d/1eZEfj9T_T8-94G3BXuCXBi4Xql28YuZu/view?usp=drive_link</t>
  </si>
  <si>
    <t>https://drive.google.com/file/d/1YtiN4Frj5uZ4kOTxCN58xfaIa9671nhp/view?usp=sharing</t>
  </si>
  <si>
    <t>10555451</t>
  </si>
  <si>
    <t>Kendal Tornado FC vs Deltras FC - Pegadaian Championship</t>
  </si>
  <si>
    <t>https://www.vidio.com/live/19541-pegadaian-championship-2025-26?schedule_id=4652402</t>
  </si>
  <si>
    <t>https://drive.google.com/drive/folders/1nciDjIDyLHjf-XScdXF1mnClsd2u-fHE?usp=drive_link</t>
  </si>
  <si>
    <t>Kendal Tornado FC; deltras sidoarjo; sports stream</t>
  </si>
  <si>
    <t>Nonton streaming pertandingan seru Kendal Tornado FC vs Deltras FC - Pegadaian Championship. Saksikan aksi-aksi terbaik dari tim yang bersaing ketat untuk meraih kemenangan. Dapatkan informasi lengkap mengenai jadwal pertandingan dan hasil pertandingan terbaru hanya di Vidio.</t>
  </si>
  <si>
    <t>F4 , E4</t>
  </si>
  <si>
    <t>https://drive.google.com/file/d/18JhrhWUekua90Iz2ra8kaEXv67eb7KFk/view?usp=sharing</t>
  </si>
  <si>
    <t>https://drive.google.com/file/d/145kdgzcCCZVN_IjFyvVMeonVQtwcpm39/view?usp=drive_link</t>
  </si>
  <si>
    <t>https://drive.google.com/file/d/1GqgXyAREJmEH2keHljvBrpc0Mwu-lBLY/view?usp=sharing</t>
  </si>
  <si>
    <t>74a0c925</t>
  </si>
  <si>
    <t>FC Bekasi City vs Garudayaksa FC - Pegadaian Championship</t>
  </si>
  <si>
    <t>https://www.vidio.com/live/19541-pegadaian-championship-2025-26?schedule_id=4652405</t>
  </si>
  <si>
    <t>https://drive.google.com/drive/folders/1qrOsNzIxO1lILxGpVXcAo9Fng0tOT5Ya?usp=drive_link</t>
  </si>
  <si>
    <t>fc bekasi city; pskc cimahi; sports stream</t>
  </si>
  <si>
    <t>Nonton streaming pertandingan seru FC Bekasi City vs Garudayaksa FC - Pegadaian Championship. Saksikan aksi-aksi terbaik dari tim yang bersaing ketat untuk meraih kemenangan. Dapatkan informasi lengkap mengenai jadwal pertandingan dan hasil pertandingan terbaru hanya di Vidio.</t>
  </si>
  <si>
    <t>https://drive.google.com/file/d/1NiYob0-znlcFaFtbPP7nJAAzdl23AQoT/view?usp=sharing</t>
  </si>
  <si>
    <t>https://drive.google.com/file/d/1s9r9Rwzqa9WE2b-3CdXFvRRdZw43kdhS/view?usp=drive_link</t>
  </si>
  <si>
    <t>https://drive.google.com/file/d/14a1yP1szaF83VaZwyYOfLYqnKTx2o-mt/view?usp=sharing</t>
  </si>
  <si>
    <t>dae44b97</t>
  </si>
  <si>
    <t>PS. Barito Putera vs Persela Lamongan - Pegadaian Championship</t>
  </si>
  <si>
    <t>https://www.vidio.com/live/19543-pegadaian-championship-2025-26?schedule_id=4652408</t>
  </si>
  <si>
    <t>https://drive.google.com/drive/folders/1JEi3tkDBiexV6p9WTHTmCOCNn_4i34e3?usp=drive_link</t>
  </si>
  <si>
    <t>ps barito putera; persela lamongan; sports stream</t>
  </si>
  <si>
    <t>Nonton streaming pertandingan seru PS. Barito Putera vs Persela Lamongan - Pegadaian Championship. Saksikan aksi-aksi terbaik dari tim yang bersaing ketat untuk meraih kemenangan. Dapatkan informasi lengkap mengenai jadwal pertandingan dan hasil pertandingan terbaru hanya di Vidio.</t>
  </si>
  <si>
    <t>https://drive.google.com/file/d/1YIFVGzSQ8GiVthe1ulLPoYWhhQr10Opq/view?usp=sharing</t>
  </si>
  <si>
    <t>https://drive.google.com/file/d/1hpFVeux1Mn9krwfJ5QJelBl6kudPmqFY/view?usp=drive_link</t>
  </si>
  <si>
    <t>https://drive.google.com/file/d/1Ec3YAODbNyTxEb18SfiCSqcgXNLFZKzA/view?usp=sharing</t>
  </si>
  <si>
    <t>9828c464</t>
  </si>
  <si>
    <t>PSPS Pekanbaru vs Sumsel United - Pegadaian Championship</t>
  </si>
  <si>
    <t>https://www.vidio.com/live/19542-pegadaian-championship-2025-26?schedule_id=4652406</t>
  </si>
  <si>
    <t>https://drive.google.com/drive/folders/1bWfzcMmjC0V4KvWsSKxt4DyGm1MSjpej?usp=drive_link</t>
  </si>
  <si>
    <t>psps riau; Sumsel United; sports stream</t>
  </si>
  <si>
    <t>Nonton streaming pertandingan seru PSPS Pekanbaru vs Sumsel United - Pegadaian Championship. Saksikan aksi-aksi terbaik dari tim yang bersaing ketat untuk meraih kemenangan. Dapatkan informasi lengkap mengenai jadwal pertandingan dan hasil pertandingan terbaru hanya di Vidio.</t>
  </si>
  <si>
    <t>https://drive.google.com/file/d/1DDlNQn7Dyeu0hrdqnNPhawCYgrZ7MtuI/view?usp=sharing</t>
  </si>
  <si>
    <t>https://drive.google.com/file/d/1MwU2QOQgCt_Cy2AoXNJaSBv6l2S6HSUr/view?usp=drive_link</t>
  </si>
  <si>
    <t>https://drive.google.com/file/d/1f3JHUTq-uZSqzhrHDrgBfU0bG4jZV8Z7/view?usp=sharing</t>
  </si>
  <si>
    <t>9073cbc1</t>
  </si>
  <si>
    <t>Adhyaksa FC vs PSMS Medan - Pegadaian Championship</t>
  </si>
  <si>
    <t>https://www.vidio.com/live/19542-pegadaian-championship-2025-26?schedule_id=4652409</t>
  </si>
  <si>
    <t>https://drive.google.com/drive/folders/1lROJIsYWSgr70PIjmQ9maIJ-JHvh3Onv?usp=drive_link</t>
  </si>
  <si>
    <t>Adhyaksa Farmel FC; psms medan; sports stream</t>
  </si>
  <si>
    <t>Nonton streaming pertandingan seru Adhyaksa FC vs PSMS Medan - Pegadaian Championship. Saksikan aksi-aksi terbaik dari tim yang bersaing ketat untuk meraih kemenangan. Dapatkan informasi lengkap mengenai jadwal pertandingan dan hasil pertandingan terbaru hanya di Vidio.</t>
  </si>
  <si>
    <t>https://drive.google.com/file/d/1W0ihR-2nbeJ1opZ1NKhrE02eQCBF9rrr/view?usp=sharing</t>
  </si>
  <si>
    <t>https://drive.google.com/file/d/1ju4TU8hFvu4Jbu8YcEmZNpqcpXdTXlHF/view?usp=drive_link</t>
  </si>
  <si>
    <t>https://drive.google.com/file/d/1TW9CndB3e7rYBGN9wHjdtca4Vo43umER/view?usp=sharing</t>
  </si>
  <si>
    <t>7782784b</t>
  </si>
  <si>
    <t>Persipura Jayapura vs Persiba Balikpapan - Pegadaian Championship</t>
  </si>
  <si>
    <t>https://www.vidio.com/live/19543-pegadaian-championship-2025-26?schedule_id=4653433</t>
  </si>
  <si>
    <t>https://drive.google.com/drive/folders/1nLZG9RTono0OazMANAQudBP1FYZeNl2F?usp=drive_link</t>
  </si>
  <si>
    <t>persipura; Persiba Balikpapan; sports stream</t>
  </si>
  <si>
    <t>Nonton streaming pertandingan seru Persipura Jayapura vs Persiba Balikpapan - Pegadaian Championship. Saksikan aksi-aksi terbaik dari tim yang bersaing ketat untuk meraih kemenangan. Dapatkan informasi lengkap mengenai jadwal pertandingan dan hasil pertandingan terbaru hanya di Vidio.</t>
  </si>
  <si>
    <t>https://drive.google.com/file/d/1F2bRuwaVbKsfANfIwmdq4l6S1iPMzXNk/view?usp=sharing</t>
  </si>
  <si>
    <t>https://drive.google.com/file/d/1GhEPVzl15jUbCxmc_PKSJwE5i9DdNzh-/view?usp=drive_link</t>
  </si>
  <si>
    <t>https://drive.google.com/file/d/1_PJ_o8zZNHgO-b-zKnvYJyfgE-ixMnLr/view?usp=sharing</t>
  </si>
  <si>
    <t>4c80f0ba</t>
  </si>
  <si>
    <t>Persikad vs Persiraja Banda Aceh - Pegadaian Championship</t>
  </si>
  <si>
    <t>https://www.vidio.com/live/19584-pegadaian-championship-2025-26?schedule_id=4653435</t>
  </si>
  <si>
    <t>https://drive.google.com/drive/folders/1UFEKQ0tXINM_sNokRF-raGFP0M8b4ngv?usp=drive_link</t>
  </si>
  <si>
    <t>Persikad; persiraja banda aceh; sports stream</t>
  </si>
  <si>
    <t>Nonton streaming pertandingan seru Persikad vs Persiraja Banda Aceh - Pegadaian Championship. Saksikan aksi-aksi terbaik dari tim yang bersaing ketat untuk meraih kemenangan. Dapatkan informasi lengkap mengenai jadwal pertandingan dan hasil pertandingan terbaru hanya di Vidio.</t>
  </si>
  <si>
    <t>https://drive.google.com/file/d/1DCFL8XWJMdHfwXymoD_ipheOSS7nh5qO/view?usp=sharing</t>
  </si>
  <si>
    <t>https://drive.google.com/file/d/1j5hqKMgor853nluxoMpeMngSy_3QLgic/view?usp=drive_link</t>
  </si>
  <si>
    <t>https://drive.google.com/file/d/12qEMW_1TtNfz70520E33JHG_KF5L6305/view?usp=sharing</t>
  </si>
  <si>
    <t>0124d6ce</t>
  </si>
  <si>
    <t>PSIS Semarang vs PSS Sleman - Pegadaian Championship</t>
  </si>
  <si>
    <t>https://www.vidio.com/live/19543-pegadaian-championship-2025-26?schedule_id=4653436</t>
  </si>
  <si>
    <t>https://drive.google.com/drive/folders/1InAj2eNUjD4enrGqYUnPt2yLgZfxG2pI?usp=drive_link</t>
  </si>
  <si>
    <t>psis semarang; pss sleman; sports stream</t>
  </si>
  <si>
    <t>Nonton streaming pertandingan seru PSIS Semarang vs PSS Sleman - Pegadaian Championship. Saksikan aksi-aksi terbaik dari tim yang bersaing ketat untuk meraih kemenangan. Dapatkan informasi lengkap mengenai jadwal pertandingan dan hasil pertandingan terbaru hanya di Vidio.</t>
  </si>
  <si>
    <t>https://drive.google.com/file/d/1bZ8TTfQGCXDM8fPyIie9jvi7sS5elnAN/view?usp=sharing</t>
  </si>
  <si>
    <t>https://drive.google.com/file/d/1pNSk1D11EFCCG0LE3I5DJPuSXQ9sC6y_/view?usp=drive_link</t>
  </si>
  <si>
    <t>https://drive.google.com/file/d/1hDi1vE5NId4s4LjVdMU__E0W-kbw4_yX/view?usp=sharing</t>
  </si>
  <si>
    <t>b557b274</t>
  </si>
  <si>
    <t>Miami Dolphins vs Buffalo Bills - NFL</t>
  </si>
  <si>
    <t>https://www.vidio.com/live/19548-national-football-league-2025-26?schedule_id=4579920</t>
  </si>
  <si>
    <t>https://drive.google.com/drive/folders/1J7Tb4S7tM3oRLoDyUyl2pGigbj1uk6la</t>
  </si>
  <si>
    <t>Buffalo Bills</t>
  </si>
  <si>
    <t>Nonton streaming pertandingan seru Miami Dolphins vs Buffalo Bills - NFL. Saksikan aksi-aksi terbaik dari tim yang bersaing ketat untuk meraih kemenangan. Dapatkan informasi lengkap mengenai jadwal pertandingan dan hasil pertandingan terbaru hanya di Vidio.</t>
  </si>
  <si>
    <t>https://drive.google.com/file/d/1cZFr8UrqwOH0qgJOFLajrIAiIdWXhmit/view?usp=sharing</t>
  </si>
  <si>
    <t>https://drive.google.com/file/d/1Yc5YK7fDGtTpKhDNpvLh8eJyLN3WXrce/view?usp=sharing</t>
  </si>
  <si>
    <t>62544286</t>
  </si>
  <si>
    <t>Los Angeles Rams vs Philadelphia Eagles - NFL</t>
  </si>
  <si>
    <t>https://www.vidio.com/live/19548-national-football-league-2025-26?schedule_id=4585759</t>
  </si>
  <si>
    <t>https://drive.google.com/drive/folders/1-7ogJoeBKFLH0o_2QGoCq1oQtRSKxQmu?usp=drive_link</t>
  </si>
  <si>
    <t>https://drive.google.com/drive/folders/1GBFdpgWbU2am6tYKw_F13mzGRBsmN5uL?usp=drive_link</t>
  </si>
  <si>
    <t>Nonton streaming pertandingan seru Los Angeles Rams vs Philadelphia Eagles - NFL. Saksikan aksi-aksi terbaik dari tim yang bersaing ketat untuk meraih kemenangan. Dapatkan informasi lengkap mengenai jadwal pertandingan dan hasil pertandingan terbaru hanya di Vidio.</t>
  </si>
  <si>
    <t>https://drive.google.com/file/d/1i0R_t0yFkuRAMFMbZyWCjSKprp9UNYkT/view?usp=sharing</t>
  </si>
  <si>
    <t>https://drive.google.com/file/d/12KhPFw8hhyK6S79IrBAfdVV75aEG2q4L/view?usp=drive_link</t>
  </si>
  <si>
    <t>https://drive.google.com/file/d/1sBse1z4RTaMg83QoR-Pq-CnetBpc4AeW/view?usp=sharing</t>
  </si>
  <si>
    <t>7852cc35</t>
  </si>
  <si>
    <t>Arizona Cardinals vs San Francisco 49ers - NFL</t>
  </si>
  <si>
    <t>https://www.vidio.com/live/19548-national-football-league-2025-26?schedule_id=4585760</t>
  </si>
  <si>
    <t>https://drive.google.com/drive/folders/1QbOVa2QXJ_OWJSHA3ZHM8xssZ9qKxNLq?usp=drive_link</t>
  </si>
  <si>
    <t>San Francisco 49ers</t>
  </si>
  <si>
    <t>Arizona Cardinals</t>
  </si>
  <si>
    <t>Nonton streaming pertandingan seru Arizona Cardinals vs San Francisco 49ers - NFL. Saksikan aksi-aksi terbaik dari tim yang bersaing ketat untuk meraih kemenangan. Dapatkan informasi lengkap mengenai jadwal pertandingan dan hasil pertandingan terbaru hanya di Vidio.</t>
  </si>
  <si>
    <t>https://drive.google.com/file/d/19YBPvO_2l2DekCBJmnqPfhG3kr5zvSaJ/view?usp=sharing</t>
  </si>
  <si>
    <t>https://drive.google.com/file/d/1ogwdSpI_nNl9csem5smM9Xzzy9DUU2PY/view?usp=drive_link</t>
  </si>
  <si>
    <t>https://drive.google.com/file/d/1iPFLAtA0WayrER6-GAbSi6rRnzv7a8Iz/view?usp=sharing</t>
  </si>
  <si>
    <t>4007e15c</t>
  </si>
  <si>
    <t>Kansas City Chiefs vs New York Giants - NFL</t>
  </si>
  <si>
    <t>https://www.vidio.com/live/19548-national-football-league-2025-26?schedule_id=4587127</t>
  </si>
  <si>
    <t>https://drive.google.com/drive/folders/1I4nnTncr2RjnftIIkXbydcmn_LKteX6z?usp=drive_link</t>
  </si>
  <si>
    <t>New York Giants</t>
  </si>
  <si>
    <t>Nonton streaming pertandingan seru Kansas City Chiefs vs New York Giants - NFL. Saksikan aksi-aksi terbaik dari tim yang bersaing ketat untuk meraih kemenangan. Dapatkan informasi lengkap mengenai jadwal pertandingan dan hasil pertandingan terbaru hanya di Vidio.</t>
  </si>
  <si>
    <t>https://drive.google.com/file/d/1bERFmgdsmshrH8EnU0M56JSlVIiaF3MD/view?usp=sharing</t>
  </si>
  <si>
    <t>https://drive.google.com/file/d/1SF-KBlUU1PvPATuUXnfXFhKZW-kDJGdw/view?usp=drive_link</t>
  </si>
  <si>
    <t>https://drive.google.com/file/d/1SKx9yxHtjulTgFVrWx3WSg39vhzgD-lq/view?usp=sharing</t>
  </si>
  <si>
    <t>1ddd542c</t>
  </si>
  <si>
    <t>Detroit Lions vs Baltimore Ravens - NFL</t>
  </si>
  <si>
    <t>https://www.vidio.com/live/19548-national-football-league-2025-26?schedule_id=4587621</t>
  </si>
  <si>
    <t>https://drive.google.com/drive/folders/1WNbBSXJDOkoneIPAVHq9NEv7QsG3GjUD?usp=drive_link</t>
  </si>
  <si>
    <t>Baltimore Ravens</t>
  </si>
  <si>
    <t>Nonton streaming pertandingan seru Detroit Lions vs Baltimore Ravens - NFL. Saksikan aksi-aksi terbaik dari tim yang bersaing ketat untuk meraih kemenangan. Dapatkan informasi lengkap mengenai jadwal pertandingan dan hasil pertandingan terbaru hanya di Vidio.</t>
  </si>
  <si>
    <t>https://drive.google.com/file/d/1ieX-BMEODCRrcNmPsuYdiCJTmGYWmdWT/view?usp=sharing</t>
  </si>
  <si>
    <t>https://drive.google.com/file/d/1-8tlVbBXosDV0o8H_eLZ-hh0bCYbYAuX/view?usp=drive_link</t>
  </si>
  <si>
    <t>https://drive.google.com/file/d/170z2hsDgplBe7PyyoHVv-ewyCWSNVJqc/view?usp=sharing</t>
  </si>
  <si>
    <t>1ad28be3</t>
  </si>
  <si>
    <t>West Ham vs Chelsea - Women's Super League</t>
  </si>
  <si>
    <t>https://www.vidio.com/live/6317-bein-3?schedule_id=4599344</t>
  </si>
  <si>
    <t>https://drive.google.com/drive/folders/11dz9VfG5XcBK6dOCLIQtzN_RHWNq3soW?usp=drive_link</t>
  </si>
  <si>
    <t>https://drive.google.com/drive/folders/1dblMYfGxm8h1xEa0oQ8oHmGkYC2BMWtd?usp=drive_link</t>
  </si>
  <si>
    <t>West Ham United Women</t>
  </si>
  <si>
    <t>Chelsea Women</t>
  </si>
  <si>
    <t>Nonton streaming pertandingan seru West Ham vs Chelsea - Women's Super League. Saksikan aksi-aksi terbaik dari tim yang bersaing ketat untuk meraih kemenangan. Dapatkan informasi lengkap mengenai jadwal pertandingan dan hasil pertandingan terbaru hanya di Vidio.</t>
  </si>
  <si>
    <t>https://drive.google.com/file/d/1Q-MpQOuk5sB9rlDla7TzGszkdjZoVNSa/view?usp=sharing</t>
  </si>
  <si>
    <t>https://drive.google.com/file/d/1xuqQW9bi0BVvj3VmqCE3gRjFN9QAHQE_/view?usp=drive_link</t>
  </si>
  <si>
    <t>https://drive.google.com/file/d/1zksc8YQhTY6dxlZ8_763_D4PE3wyaeWB/view?usp=sharing</t>
  </si>
  <si>
    <t>e25fdd4b</t>
  </si>
  <si>
    <t>Rajadamnern 2025 Super Bantamweight Contender Fights</t>
  </si>
  <si>
    <t>https://www.vidio.com/live/19388-rajadamnern-2025?schedule_id=4596461</t>
  </si>
  <si>
    <t>https://drive.google.com/drive/folders/1mz7-dTRD9G2-U7Y0EDGbgw8PMZTz6qe7</t>
  </si>
  <si>
    <t>https://drive.google.com/drive/folders/1stCxmPKnRpvyDH7ESAYevN1uwHKM0H00?usp=drive_link</t>
  </si>
  <si>
    <t>Nonton streaming pertandingan seru Rajadamnern 2025 Super Bantamweight Contender Fights. Saksikan aksi-aksi terbaik dari tim yang bersaing ketat untuk meraih kemenangan. Dapatkan informasi lengkap mengenai jadwal pertandingan dan hasil pertandingan terbaru hanya di Vidio.</t>
  </si>
  <si>
    <t>App Only</t>
  </si>
  <si>
    <t>https://drive.google.com/file/d/1YMxUpeVo4kWWxtK_SdUgWshTJObZ_4af/view?usp=sharing</t>
  </si>
  <si>
    <t>https://drive.google.com/file/d/1n-gQI2av6eW-3XMKxkRckv5NIietE7Tg/view?usp=sharing</t>
  </si>
  <si>
    <t>83fcbca6</t>
  </si>
  <si>
    <t>d0fc2536</t>
  </si>
  <si>
    <t>cdd3f969</t>
  </si>
  <si>
    <t>a84c5b02</t>
  </si>
  <si>
    <t>d892d56b</t>
  </si>
  <si>
    <t>1f4dbcab</t>
  </si>
  <si>
    <t>Jelang Kick Off - Dewa United Banten FC vs PERSEBAYA Surabaya - BRI Super League</t>
  </si>
  <si>
    <t>https://www.vidio.com/live/19355-bri-super-league?schedule_id=4596294</t>
  </si>
  <si>
    <t>Nonton streaming pertandingan seru Jelang Kick Off - Dewa United Banten FC vs PERSEBAYA Surabaya - BRI Super League. Saksikan aksi-aksi terbaik dari tim yang bersaing ketat untuk meraih kemenangan. Dapatkan informasi lengkap mengenai jadwal pertandingan dan hasil pertandingan terbaru hanya di Vidio.</t>
  </si>
  <si>
    <t>https://drive.google.com/file/d/1gi5q9nn9AqhqfbhZG6ZH8K67vYpb43Q_/view?usp=sharing</t>
  </si>
  <si>
    <t>c90c2e31</t>
  </si>
  <si>
    <t>Jelang Kick Off - PERSITA vs PERSIB - BRI Super League</t>
  </si>
  <si>
    <t>https://www.vidio.com/live/19355-bri-super-league?schedule_id=4596463</t>
  </si>
  <si>
    <t>Persita Tangerang; Persib; sports stream</t>
  </si>
  <si>
    <t>Nonton streaming pertandingan seru Jelang Kick Off - PERSITA vs PERSIB - BRI Super League. Saksikan aksi-aksi terbaik dari tim yang bersaing ketat untuk meraih kemenangan. Dapatkan informasi lengkap mengenai jadwal pertandingan dan hasil pertandingan terbaru hanya di Vidio.</t>
  </si>
  <si>
    <t>https://drive.google.com/file/d/1Dsu0bRMkRxj0Y69scKxlTth_x6oDfF0N/view?usp=sharing</t>
  </si>
  <si>
    <t>aa2f8f02</t>
  </si>
  <si>
    <t>Jelang Kick Off - Borneo FC Samarinda vs PERSIJA - BRI Super League</t>
  </si>
  <si>
    <t>https://www.vidio.com/live/19355-bri-super-league?schedule_id=4596521</t>
  </si>
  <si>
    <t>https://drive.google.com/drive/folders/1kW_zUjry1SevCOKE0vpcr8VtP_-RqDd_</t>
  </si>
  <si>
    <t>Nonton streaming pertandingan seru Jelang Kick Off - Borneo FC Samarinda vs PERSIJA - BRI Super League. Saksikan aksi-aksi terbaik dari tim yang bersaing ketat untuk meraih kemenangan. Dapatkan informasi lengkap mengenai jadwal pertandingan dan hasil pertandingan terbaru hanya di Vidio.</t>
  </si>
  <si>
    <t>https://drive.google.com/file/d/1PqbKtH8VmZ2S0zj35sogcXBRKMO88ieM/view?usp=sharing</t>
  </si>
  <si>
    <t>83a39934</t>
  </si>
  <si>
    <t>Al-Hilal vs Al-Okhdood - ROSHN Saudi League</t>
  </si>
  <si>
    <t>https://www.vidio.com/live/17140-spotv-2?schedule_id=4594601</t>
  </si>
  <si>
    <t>https://drive.google.com/drive/folders/1_gCJxyWHSSj9xK2s52SDujXZPAF6sw6k</t>
  </si>
  <si>
    <t>al-hilal; al-okhdood club; sports stream</t>
  </si>
  <si>
    <t>Nonton streaming pertandingan seru Al-Hilal vs Al-Okhdood - ROSHN Saudi League. Saksikan aksi-aksi terbaik dari tim yang bersaing ketat untuk meraih kemenangan. Dapatkan informasi lengkap mengenai jadwal pertandingan dan hasil pertandingan terbaru hanya di Vidio.</t>
  </si>
  <si>
    <t>https://drive.google.com/file/d/1LUfiQBQObrzLq0FQaIWp8iaYJarQBa_O/view?usp=sharing</t>
  </si>
  <si>
    <t>https://drive.google.com/file/d/1Df1lklT10G6MWMl49y6x_xCv6SILRMMy/view?usp=sharing</t>
  </si>
  <si>
    <t>856d6968</t>
  </si>
  <si>
    <t>Al-Ittihad vs Al-Nassr - ROSHN Saudi League</t>
  </si>
  <si>
    <t>https://drive.google.com/drive/folders/1vdUW6vYj0M22doJy8XmS8FHXBSexMVvx</t>
  </si>
  <si>
    <t>al ittihad; al nassr; sports stream</t>
  </si>
  <si>
    <t>Nonton streaming pertandingan seru Al-Ittihad vs Al-Nassr - ROSHN Saudi League. Saksikan aksi-aksi terbaik dari tim yang bersaing ketat untuk meraih kemenangan. Dapatkan informasi lengkap mengenai jadwal pertandingan dan hasil pertandingan terbaru hanya di Vidio.</t>
  </si>
  <si>
    <t>https://drive.google.com/file/d/1eR1DuG0jL7uEBKjsIOwK-0uqupCn7cp3/view?usp=sharing</t>
  </si>
  <si>
    <t>https://drive.google.com/file/d/1LmJJKDSGqxHQBB4kSEp3Mv8UBXnUp66W/view?usp=sharing</t>
  </si>
  <si>
    <t>60bd26c5</t>
  </si>
  <si>
    <t>Al-Qadsiah vs Al-Fateh - ROSHN Saudi League</t>
  </si>
  <si>
    <t>https://www.vidio.com/live/17140-spotv-2?schedule_id=4599296</t>
  </si>
  <si>
    <t>https://drive.google.com/drive/folders/136vTx0LqLFNKYot6XRiEvL102d5TTaHA</t>
  </si>
  <si>
    <t>al qadsiah fc; al fateh sc; sports stream</t>
  </si>
  <si>
    <t>Nonton streaming pertandingan seru Al-Qadsiah vs Al-Fateh - ROSHN Saudi League. Saksikan aksi-aksi terbaik dari tim yang bersaing ketat untuk meraih kemenangan. Dapatkan informasi lengkap mengenai jadwal pertandingan dan hasil pertandingan terbaru hanya di Vidio.</t>
  </si>
  <si>
    <t>https://drive.google.com/file/d/1uOkJjja2JxqCFeb3W48iopGwIhdNVD-I/view?usp=sharing</t>
  </si>
  <si>
    <t>ef0f81cc</t>
  </si>
  <si>
    <t>(Data Zone) Newcastle vs Arsenal - Premier League</t>
  </si>
  <si>
    <t>https://www.vidio.com/live/9183-champions-tv-6?schedule_id=4606676</t>
  </si>
  <si>
    <t>Nonton streaming pertandingan seru (Data Zone) Newcastle vs Arsenal - Premier League. Saksikan aksi-aksi terbaik dari tim yang bersaing ketat untuk meraih kemenangan. Dapatkan informasi lengkap mengenai jadwal pertandingan dan hasil pertandingan terbaru hanya di Vidio.</t>
  </si>
  <si>
    <t>91f1ff35</t>
  </si>
  <si>
    <t>Liverpool vs Man United - Women's Super League</t>
  </si>
  <si>
    <t>https://www.vidio.com/live/6317-bein-3?schedule_id=4603148</t>
  </si>
  <si>
    <t>https://drive.google.com/drive/folders/1smrfyN7cRX_E5YJdYKT0pJPpDpSOnhaR?usp=drive_link</t>
  </si>
  <si>
    <t>Liverpool Women</t>
  </si>
  <si>
    <t>Nonton streaming pertandingan seru Liverpool vs Man United - Women's Super League. Saksikan aksi-aksi terbaik dari tim yang bersaing ketat untuk meraih kemenangan. Dapatkan informasi lengkap mengenai jadwal pertandingan dan hasil pertandingan terbaru hanya di Vidio.</t>
  </si>
  <si>
    <t>https://drive.google.com/file/d/16oUao4Ac7G9GtIqghE0ZsTGmCWGPd-mj/view?usp=sharing</t>
  </si>
  <si>
    <t>https://drive.google.com/file/d/1Fn4EuNxv3dFJ4zcZI9c-eCEtFsqgNgmf/view?usp=drive_link</t>
  </si>
  <si>
    <t>https://drive.google.com/file/d/1GSMEKjQbJCTNjlyXZEPJyuSCE99sR-_B/view?usp=sharing</t>
  </si>
  <si>
    <t>c4b59566</t>
  </si>
  <si>
    <t>Sparta Rotterdam vs Ajax - Eredivisie</t>
  </si>
  <si>
    <t>https://www.vidio.com/live/19436-eredivisie?schedule_id=4614724</t>
  </si>
  <si>
    <t>https://drive.google.com/drive/folders/1Mj76z6dFgTK2gJ5ZQgSY5tWwc0ff3dx2?usp=drive_link</t>
  </si>
  <si>
    <t>sparta rotterdam; afc ajax; sports stream</t>
  </si>
  <si>
    <t>Nonton streaming pertandingan seru Sparta Rotterdam vs Ajax - Eredivisie. Saksikan aksi-aksi terbaik dari tim yang bersaing ketat untuk meraih kemenangan. Dapatkan informasi lengkap mengenai jadwal pertandingan dan hasil pertandingan terbaru hanya di Vidio.</t>
  </si>
  <si>
    <t>https://drive.google.com/file/d/1XSmzAAcHuUkcfaPxGZjh2J0_WFdco_ev/view?usp=sharing</t>
  </si>
  <si>
    <t>https://drive.google.com/file/d/1bC1Pirhf37K9xwlOAn_RU-DbfPFnSt8O/view?usp=sharing</t>
  </si>
  <si>
    <t>174bcf36</t>
  </si>
  <si>
    <t>PEC Zwolle vs PSV - Eredivisie</t>
  </si>
  <si>
    <t>https://www.vidio.com/live/6686-champions-tv-2?schedule_id=4626128</t>
  </si>
  <si>
    <t>https://drive.google.com/drive/folders/1ee4FJgQPrJofyUppMBBk5YleNby7Kgsf?usp=drive_link</t>
  </si>
  <si>
    <t>pec zwolle; psv eindhoven; sports stream</t>
  </si>
  <si>
    <t>Nonton streaming pertandingan seru PEC Zwolle vs PSV - Eredivisie. Saksikan aksi-aksi terbaik dari tim yang bersaing ketat untuk meraih kemenangan. Dapatkan informasi lengkap mengenai jadwal pertandingan dan hasil pertandingan terbaru hanya di Vidio.</t>
  </si>
  <si>
    <t>https://drive.google.com/file/d/1VhgqQ0stHfr3abBDgoQU47Gce-P1Vfc0/view?usp=sharing</t>
  </si>
  <si>
    <t>https://drive.google.com/file/d/1I5EYJsNIGtKAPL32LoMWAIV3I2zfr0zZ/view?usp=sharing</t>
  </si>
  <si>
    <t>51908d40</t>
  </si>
  <si>
    <t>AZ Alkmaar vs Telstar - Eredivisie</t>
  </si>
  <si>
    <t>https://www.vidio.com/live/19436-eredivisie?schedule_id=4626142</t>
  </si>
  <si>
    <t>https://drive.google.com/drive/folders/1dCGujl3G2hhv_E9YDPDubkV0-azH4bfP?usp=drive_link</t>
  </si>
  <si>
    <t>alkmaar zaanstreek; sc telstar; sports stream</t>
  </si>
  <si>
    <t>Nonton streaming pertandingan seru AZ Alkmaar vs Telstar - Eredivisie. Saksikan aksi-aksi terbaik dari tim yang bersaing ketat untuk meraih kemenangan. Dapatkan informasi lengkap mengenai jadwal pertandingan dan hasil pertandingan terbaru hanya di Vidio.</t>
  </si>
  <si>
    <t>https://drive.google.com/file/d/1h9O5W1YKsT54L-K8LG7dFCDcC4v2lRjD/view?usp=sharing</t>
  </si>
  <si>
    <t>https://drive.google.com/file/d/1dhD5DyODLK9zr1j2Oo5yXUkj9BmMxgMq/view?usp=sharing</t>
  </si>
  <si>
    <t>29423863</t>
  </si>
  <si>
    <t>Feyenoord vs Utrecht - Eredivisie</t>
  </si>
  <si>
    <t>https://www.vidio.com/live/6685-champions-tv-1?schedule_id=4626141</t>
  </si>
  <si>
    <t>https://drive.google.com/drive/folders/1zAo1b6qsRRXEQiQ6J14nmp1OenYuBlTQ?usp=drive_link</t>
  </si>
  <si>
    <t>feyenoord rotterdam; fc utrecht; sports stream</t>
  </si>
  <si>
    <t>Nonton streaming pertandingan seru Feyenoord vs Utrecht - Eredivisie. Saksikan aksi-aksi terbaik dari tim yang bersaing ketat untuk meraih kemenangan. Dapatkan informasi lengkap mengenai jadwal pertandingan dan hasil pertandingan terbaru hanya di Vidio.</t>
  </si>
  <si>
    <t>https://drive.google.com/file/d/13sOeTbSiMKosXDKYhHRT416-yQBao06P/view?usp=sharing</t>
  </si>
  <si>
    <t>https://drive.google.com/file/d/1Q8TMZYD6UFuEcQ5gQ69uSvThSBxEbuDP/view?usp=sharing</t>
  </si>
  <si>
    <t>c12195ec</t>
  </si>
  <si>
    <t>Heracles vs Feyenoord - Eredivisie</t>
  </si>
  <si>
    <t>https://www.vidio.com/live/19436-eredivisie?schedule_id=4653440</t>
  </si>
  <si>
    <t>https://drive.google.com/drive/folders/1bghEprku87y62sDtmflnJml6l5vlfsTg?usp=drive_link</t>
  </si>
  <si>
    <t>https://drive.google.com/file/d/1abZEUpV_KSsKGrcGt9A_hOR09qV9HhTB/view?usp=drive_link</t>
  </si>
  <si>
    <t>heracles almelo; feyenoord rotterdam; sports stream</t>
  </si>
  <si>
    <t>Nonton streaming pertandingan seru Heracles vs Feyenoord - Eredivisie. Saksikan aksi-aksi terbaik dari tim yang bersaing ketat untuk meraih kemenangan. Dapatkan informasi lengkap mengenai jadwal pertandingan dan hasil pertandingan terbaru hanya di Vidio.</t>
  </si>
  <si>
    <t>https://drive.google.com/file/d/1gV4XQc2VaznFaqQAzTGDzDNkxzj2_GNA/view?usp=sharing</t>
  </si>
  <si>
    <t>https://drive.google.com/file/d/1abZEUpV_KSsKGrcGt9A_hOR09qV9HhTB/view?usp=sharing</t>
  </si>
  <si>
    <t>https://drive.google.com/file/d/1rODIPe-lJpNjbiTnZL3SZXrIRCRZEWjB/view?usp=sharing</t>
  </si>
  <si>
    <t>185de56f</t>
  </si>
  <si>
    <t>Utrecht vs FC Volendam - Eredivisie</t>
  </si>
  <si>
    <t>https://www.vidio.com/live/6685-champions-tv-1?schedule_id=4652731</t>
  </si>
  <si>
    <t>https://drive.google.com/drive/folders/13XlKTmv1meQ6-QQJ36XB3msJW0A3K-Aw?usp=drive_link</t>
  </si>
  <si>
    <t>https://drive.google.com/file/d/1aJaKNogsH8t9F0Gf0eUzAyf2_1BQNdx7/view?usp=drive_link</t>
  </si>
  <si>
    <t>fc utrecht; fc volendam; sports stream</t>
  </si>
  <si>
    <t>Nonton streaming pertandingan seru Utrecht vs FC Volendam - Eredivisie. Saksikan aksi-aksi terbaik dari tim yang bersaing ketat untuk meraih kemenangan. Dapatkan informasi lengkap mengenai jadwal pertandingan dan hasil pertandingan terbaru hanya di Vidio.</t>
  </si>
  <si>
    <t>https://drive.google.com/file/d/17v866nBkafu6QYDk8NlalRwpdI5fFLqv/view?usp=sharing</t>
  </si>
  <si>
    <t>https://drive.google.com/file/d/1aJaKNogsH8t9F0Gf0eUzAyf2_1BQNdx7/view?usp=sharing</t>
  </si>
  <si>
    <t>https://drive.google.com/file/d/1xp_KRTx5mejVdedFuJwCFBGMUMOlu-02/view?usp=sharing</t>
  </si>
  <si>
    <t>ed1799e2</t>
  </si>
  <si>
    <t>PSV vs Go Ahead Eagles - Eredivisie</t>
  </si>
  <si>
    <t>https://www.vidio.com/live/6686-champions-tv-2?schedule_id=4652730</t>
  </si>
  <si>
    <t>https://drive.google.com/drive/folders/16ectDANBbpwe3SOK5vhJM0Jz-VBt3YWQ?usp=drive_link</t>
  </si>
  <si>
    <t>https://drive.google.com/file/d/1eeFcjlU2AxpsQrRnEjnpUIF_Fuqp9_86/view?usp=drive_link</t>
  </si>
  <si>
    <t>psv eindhoven; go ahead eagles; sports stream</t>
  </si>
  <si>
    <t>Nonton streaming pertandingan seru PSV vs Go Ahead Eagles - Eredivisie. Saksikan aksi-aksi terbaik dari tim yang bersaing ketat untuk meraih kemenangan. Dapatkan informasi lengkap mengenai jadwal pertandingan dan hasil pertandingan terbaru hanya di Vidio.</t>
  </si>
  <si>
    <t>https://drive.google.com/file/d/18siG1-2Z8vWCIul1CvXvnmXleRS2ELNI/view?usp=sharing</t>
  </si>
  <si>
    <t>https://drive.google.com/file/d/1eeFcjlU2AxpsQrRnEjnpUIF_Fuqp9_86/view?usp=sharing</t>
  </si>
  <si>
    <t>https://drive.google.com/file/d/1NOnZ3tN4-izLxq48tiPiX7PY1P7CbeUo/view?usp=sharing</t>
  </si>
  <si>
    <t>82420111</t>
  </si>
  <si>
    <t>Ajax vs AZ Alkmaar - Eredivisie</t>
  </si>
  <si>
    <t>https://www.vidio.com/live/6685-champions-tv-1?schedule_id=4653416</t>
  </si>
  <si>
    <t>https://drive.google.com/drive/folders/1Sc8cUJpaqtCJHTLmKOonDaGwx-PkAQX1?usp=drive_link</t>
  </si>
  <si>
    <t>https://drive.google.com/file/d/1cNGZJ2Di2k9upjW6QW3nUK4SNS4SrJ7x/view?usp=drive_link</t>
  </si>
  <si>
    <t>afc ajax; alkmaar zaanstreek; sports stream</t>
  </si>
  <si>
    <t>Nonton streaming pertandingan seru Ajax vs AZ Alkmaar - Eredivisie. Saksikan aksi-aksi terbaik dari tim yang bersaing ketat untuk meraih kemenangan. Dapatkan informasi lengkap mengenai jadwal pertandingan dan hasil pertandingan terbaru hanya di Vidio.</t>
  </si>
  <si>
    <t>https://drive.google.com/file/d/178spJJvNrbfvX54_ge16Lesu620YyACg/view?usp=sharing</t>
  </si>
  <si>
    <t>https://drive.google.com/file/d/1cNGZJ2Di2k9upjW6QW3nUK4SNS4SrJ7x/view?usp=sharing</t>
  </si>
  <si>
    <t>https://drive.google.com/file/d/1uKgxxijQX5HGxyGLx0a3C2UfhvpUP8vI/view?usp=sharing</t>
  </si>
  <si>
    <t>f85e7a6e</t>
  </si>
  <si>
    <t>Twente vs Ajax - Eredivisie</t>
  </si>
  <si>
    <t>https://www.vidio.com/live/6685-champions-tv-1?schedule_id=4666460</t>
  </si>
  <si>
    <t>https://drive.google.com/drive/folders/1B_Csor6GrDik3CYnj3T9aEAMY_gHMDlO?usp=drive_link</t>
  </si>
  <si>
    <t>https://drive.google.com/file/d/1xC1UlENcb7khJ9ZU_2UlmrUdeO5D0SiH/view?usp=drive_link</t>
  </si>
  <si>
    <t>fc twente; afc ajax; sports stream</t>
  </si>
  <si>
    <t>Nonton streaming pertandingan seru Twente vs Ajax - Eredivisie. Saksikan aksi-aksi terbaik dari tim yang bersaing ketat untuk meraih kemenangan. Dapatkan informasi lengkap mengenai jadwal pertandingan dan hasil pertandingan terbaru hanya di Vidio.</t>
  </si>
  <si>
    <t>https://drive.google.com/file/d/1lVZaNCAoFh-eVhRnytpOeREHS3icX6CB/view?usp=sharing</t>
  </si>
  <si>
    <t>https://drive.google.com/file/d/1xC1UlENcb7khJ9ZU_2UlmrUdeO5D0SiH/view?usp=sharing</t>
  </si>
  <si>
    <t>https://drive.google.com/file/d/1MkVLoRI5nzPV_MZlYM7Evu7WQeFIMpl1/view?usp=sharing</t>
  </si>
  <si>
    <t>4d1c0d85</t>
  </si>
  <si>
    <t>Feyenoord vs PSV - Eredivisie</t>
  </si>
  <si>
    <t>https://www.vidio.com/live/6685-champions-tv-1?schedule_id=4666461</t>
  </si>
  <si>
    <t>https://drive.google.com/drive/folders/1SCMV6MKhfEBQqeJQWfM6GP5HdxxB8fiS?usp=drive_link</t>
  </si>
  <si>
    <t>https://drive.google.com/file/d/1MpOkEPq4yECBiVk7dobzT3dY6zsKsBnk/view?usp=drive_link</t>
  </si>
  <si>
    <t>feyenoord rotterdam; psv eindhoven; sports stream</t>
  </si>
  <si>
    <t>Nonton streaming pertandingan seru Feyenoord vs PSV - Eredivisie. Saksikan aksi-aksi terbaik dari tim yang bersaing ketat untuk meraih kemenangan. Dapatkan informasi lengkap mengenai jadwal pertandingan dan hasil pertandingan terbaru hanya di Vidio.</t>
  </si>
  <si>
    <t>https://drive.google.com/file/d/1k5rrS5WfJJgjotWtqZQPbT8hQdKVsGCh/view?usp=sharing</t>
  </si>
  <si>
    <t>https://drive.google.com/file/d/1MpOkEPq4yECBiVk7dobzT3dY6zsKsBnk/view?usp=sharing</t>
  </si>
  <si>
    <t>https://drive.google.com/file/d/11Im7RMdb0_sNQ3OQXeY8AB7edxoX_rvp/view?usp=sharing</t>
  </si>
  <si>
    <t>ddbc450f</t>
  </si>
  <si>
    <t>Go Ahead Eagles vs Excelsior - Eredivisie</t>
  </si>
  <si>
    <t>https://www.vidio.com/live/6685-champions-tv-1?schedule_id=4671774</t>
  </si>
  <si>
    <t>https://drive.google.com/drive/folders/1FJ2_SylaOJCCDdy4bgLR94vUpp4_RAtO?usp=drive_link</t>
  </si>
  <si>
    <t>https://drive.google.com/file/d/199ZC9lMPURPOIH-kol_YUSZcaYjrYLLu/view?usp=drive_link</t>
  </si>
  <si>
    <t>go ahead eagles; excelsior rotterdam; sports stream</t>
  </si>
  <si>
    <t>Nonton streaming pertandingan seru Go Ahead Eagles vs Excelsior - Eredivisie. Saksikan aksi-aksi terbaik dari tim yang bersaing ketat untuk meraih kemenangan. Dapatkan informasi lengkap mengenai jadwal pertandingan dan hasil pertandingan terbaru hanya di Vidio.</t>
  </si>
  <si>
    <t>https://drive.google.com/file/d/1BCoy3-Y_4J4eNV_Ho3BCTbFyYp0oY7es/view?usp=sharing</t>
  </si>
  <si>
    <t>https://drive.google.com/file/d/199ZC9lMPURPOIH-kol_YUSZcaYjrYLLu/view?usp=sharing</t>
  </si>
  <si>
    <t>https://drive.google.com/file/d/1W-ZBXwKPEhDHYToYWUHF4McmiNY52ZtC/view?usp=sharing</t>
  </si>
  <si>
    <t>cd1e7aec</t>
  </si>
  <si>
    <t>AZ Alkmaar vs Utrecht - Eredivisie</t>
  </si>
  <si>
    <t>https://www.vidio.com/live/6685-champions-tv-1?schedule_id=4666462</t>
  </si>
  <si>
    <t>https://drive.google.com/drive/folders/1XgmPzX3jf5MYapNwgaFbfIcgKpx_haI3?usp=drive_link</t>
  </si>
  <si>
    <t>https://drive.google.com/file/d/1Z3i4Qtv4Fvw9qntx2ndeJ0e9H9evKqEj/view?usp=drive_link</t>
  </si>
  <si>
    <t>alkmaar zaanstreek; fc utrecht; sports stream</t>
  </si>
  <si>
    <t>Nonton streaming pertandingan seru AZ Alkmaar vs Utrecht - Eredivisie. Saksikan aksi-aksi terbaik dari tim yang bersaing ketat untuk meraih kemenangan. Dapatkan informasi lengkap mengenai jadwal pertandingan dan hasil pertandingan terbaru hanya di Vidio.</t>
  </si>
  <si>
    <t>https://drive.google.com/file/d/1r0-Z4CgHUDePG32AqKUj0L5696iCFVLf/view?usp=sharing</t>
  </si>
  <si>
    <t>https://drive.google.com/file/d/1Z3i4Qtv4Fvw9qntx2ndeJ0e9H9evKqEj/view?usp=sharing</t>
  </si>
  <si>
    <t>https://drive.google.com/file/d/17gNdK0cbr7SGUY7VsVjXGSP0lCdx_Rrp/view?usp=sharing</t>
  </si>
  <si>
    <t>d4ba0b5f</t>
  </si>
  <si>
    <t>PSV vs Fortuna Sittard - Eredivisie</t>
  </si>
  <si>
    <t>https://www.vidio.com/live/6685-champions-tv-1?schedule_id=4678464</t>
  </si>
  <si>
    <t>https://drive.google.com/drive/folders/1AWYaJcfOboqUMJMQObHtVEI-stXvHSQ0?usp=drive_link</t>
  </si>
  <si>
    <t>https://drive.google.com/file/d/1x39zai5_Pe61Efrswa0WoS0jwe6J6y_S/view?usp=drive_link</t>
  </si>
  <si>
    <t>psv eindhoven; fortuna sittard; sports stream</t>
  </si>
  <si>
    <t>Nonton streaming pertandingan seru PSV vs Fortuna Sittard - Eredivisie. Saksikan aksi-aksi terbaik dari tim yang bersaing ketat untuk meraih kemenangan. Dapatkan informasi lengkap mengenai jadwal pertandingan dan hasil pertandingan terbaru hanya di Vidio.</t>
  </si>
  <si>
    <t>PSV Eidhoven: Ismael Saibari, Ivan Perisic
Fortuna Sittard: Justin Hubner, Paul Gladon</t>
  </si>
  <si>
    <t>https://drive.google.com/file/d/1XC6E8B_EpbLu_UzIO0UiE-wPgd3WPubo/view?usp=sharing</t>
  </si>
  <si>
    <t>https://drive.google.com/file/d/1x39zai5_Pe61Efrswa0WoS0jwe6J6y_S/view?usp=sharing</t>
  </si>
  <si>
    <t>https://drive.google.com/file/d/1jdE_P0vuv0yaFYWR2jPmU0VZ74d-LWXc/view?usp=sharing</t>
  </si>
  <si>
    <t>931b0436</t>
  </si>
  <si>
    <t>Feyenoord vs FC Volendam - Eredivisie</t>
  </si>
  <si>
    <t>https://www.vidio.com/live/6685-champions-tv-1?schedule_id=4678466</t>
  </si>
  <si>
    <t>https://drive.google.com/drive/folders/1mTnNV8TKLCJk01JopcMmciFLdD0BYVjF?usp=drive_link</t>
  </si>
  <si>
    <t>https://drive.google.com/file/d/1T-FmV8xuhWuflT4fHDpaPDjNwwXqTRnU/view?usp=drive_link</t>
  </si>
  <si>
    <t>feyenoord rotterdam; fc volendam; sports stream</t>
  </si>
  <si>
    <t>Nonton streaming pertandingan seru Feyenoord vs FC Volendam - Eredivisie. Saksikan aksi-aksi terbaik dari tim yang bersaing ketat untuk meraih kemenangan. Dapatkan informasi lengkap mengenai jadwal pertandingan dan hasil pertandingan terbaru hanya di Vidio.</t>
  </si>
  <si>
    <t>Feyenoord: Ayase Ueda, Sem Stein
FC Volendam: Robin Van Cruijsen, Henk Veerman</t>
  </si>
  <si>
    <t>https://drive.google.com/file/d/14gWrkt_Kx14C0zf0AFUoRuXQiYT25aGl/view?usp=sharing</t>
  </si>
  <si>
    <t>https://drive.google.com/file/d/1T-FmV8xuhWuflT4fHDpaPDjNwwXqTRnU/view?usp=sharing</t>
  </si>
  <si>
    <t>https://drive.google.com/file/d/1MdwEgh4cqI-S-9ZE0Lerrl4yGyIfYAnb/view?usp=sharing</t>
  </si>
  <si>
    <t>1588f680</t>
  </si>
  <si>
    <t>Ajax vs Heerenveen - Eredivisie</t>
  </si>
  <si>
    <t>https://www.vidio.com/live/6685-champions-tv-1?schedule_id=4678465</t>
  </si>
  <si>
    <t>https://drive.google.com/drive/folders/1q0PwEI0nG0VsG-mmvB-kgSaTkO-_kkYN?usp=drive_link</t>
  </si>
  <si>
    <t>https://drive.google.com/file/d/1AxBpheseSWY77H5Yyu6lvGjyxK6YWv0c/view?usp=drive_link</t>
  </si>
  <si>
    <t>afc ajax; sc heerenveen; sports stream</t>
  </si>
  <si>
    <t>Nonton streaming pertandingan seru Ajax vs Heerenveen - Eredivisie. Saksikan aksi-aksi terbaik dari tim yang bersaing ketat untuk meraih kemenangan. Dapatkan informasi lengkap mengenai jadwal pertandingan dan hasil pertandingan terbaru hanya di Vidio.</t>
  </si>
  <si>
    <t>Ajax: Wout Weghorst, Mika Godts
Sc Heeranveen: Dylan Vente, Oliver Braude</t>
  </si>
  <si>
    <t>https://drive.google.com/file/d/1bpCqNnVWX-oA2ANULKpxZ5ZC2PijWLxd/view?usp=sharing</t>
  </si>
  <si>
    <t>https://drive.google.com/file/d/1AxBpheseSWY77H5Yyu6lvGjyxK6YWv0c/view?usp=sharing</t>
  </si>
  <si>
    <t>https://drive.google.com/file/d/1p6t2baVhudu4bV6RrMNW4T3QCNTBJSRu/view?usp=sharing</t>
  </si>
  <si>
    <t>66b7ccbc</t>
  </si>
  <si>
    <t>Matchday 4 - Top Youth Premier League 2025</t>
  </si>
  <si>
    <t>https://www.vidio.com/live/19587-top-youth-premier-league-2025-matchday-4</t>
  </si>
  <si>
    <t>Nonton streaming pertandingan seru Matchday 4 - Top Youth Premier League 2025. Saksikan aksi-aksi terbaik dari tim yang bersaing ketat untuk meraih kemenangan. Dapatkan informasi lengkap mengenai jadwal pertandingan dan hasil pertandingan terbaru hanya di Vidio.</t>
  </si>
  <si>
    <t>15eabb4b</t>
  </si>
  <si>
    <t>ASSA PRO SS vs BOGOR UNITED SS - Top Youth Premier League 2025 U-9</t>
  </si>
  <si>
    <t>https://www.vidio.com/live/19587-top-youth-premier-league-2025-matchday-4?schedule_id=4585740</t>
  </si>
  <si>
    <t>Nonton streaming pertandingan seru ASSA PRO SS vs BOGOR UNITED SS - Top Youth Premier League 2025 U-9. Saksikan aksi-aksi terbaik dari tim yang bersaing ketat untuk meraih kemenangan. Dapatkan informasi lengkap mengenai jadwal pertandingan dan hasil pertandingan terbaru hanya di Vidio.</t>
  </si>
  <si>
    <t>e0c6492f</t>
  </si>
  <si>
    <t>BINNA BANUA vs MAVERICKS ACADEMY - Top Youth Premier League 2025 U-10</t>
  </si>
  <si>
    <t>https://www.vidio.com/live/19587-top-youth-premier-league-2025-matchday-4?schedule_id=4585741</t>
  </si>
  <si>
    <t>Nonton streaming pertandingan seru BINNA BANUA vs MAVERICKS ACADEMY - Top Youth Premier League 2025 U-10. Saksikan aksi-aksi terbaik dari tim yang bersaing ketat untuk meraih kemenangan. Dapatkan informasi lengkap mengenai jadwal pertandingan dan hasil pertandingan terbaru hanya di Vidio.</t>
  </si>
  <si>
    <t>8097b20c</t>
  </si>
  <si>
    <t>FFF ACADEMY vs MAESA PARARAIDER - Top Youth Premier League 2025 U-9</t>
  </si>
  <si>
    <t>https://www.vidio.com/live/19587-top-youth-premier-league-2025-matchday-4?schedule_id=4585743</t>
  </si>
  <si>
    <t>Nonton streaming pertandingan seru FFF ACADEMY vs MAESA PARARAIDER - Top Youth Premier League 2025 U-9. Saksikan aksi-aksi terbaik dari tim yang bersaing ketat untuk meraih kemenangan. Dapatkan informasi lengkap mengenai jadwal pertandingan dan hasil pertandingan terbaru hanya di Vidio.</t>
  </si>
  <si>
    <t>b41ecd37</t>
  </si>
  <si>
    <t>BORUSSIA ACADEMY vs GANADOR - Top Youth Premier League 2025 U-10</t>
  </si>
  <si>
    <t>https://www.vidio.com/live/19587-top-youth-premier-league-2025-matchday-4?schedule_id=4585742</t>
  </si>
  <si>
    <t>Nonton streaming pertandingan seru BORUSSIA ACADEMY vs GANADOR - Top Youth Premier League 2025 U-10. Saksikan aksi-aksi terbaik dari tim yang bersaing ketat untuk meraih kemenangan. Dapatkan informasi lengkap mengenai jadwal pertandingan dan hasil pertandingan terbaru hanya di Vidio.</t>
  </si>
  <si>
    <t>8f148caa</t>
  </si>
  <si>
    <t>FFF ACADEMY vs TAJIMALELA - Top Youth Premier League 2025 U-9</t>
  </si>
  <si>
    <t>https://www.vidio.com/live/19587-top-youth-premier-league-2025-matchday-4?schedule_id=4585754</t>
  </si>
  <si>
    <t>Nonton streaming pertandingan seru FFF ACADEMY vs TAJIMALELA - Top Youth Premier League 2025 U-9. Saksikan aksi-aksi terbaik dari tim yang bersaing ketat untuk meraih kemenangan. Dapatkan informasi lengkap mengenai jadwal pertandingan dan hasil pertandingan terbaru hanya di Vidio.</t>
  </si>
  <si>
    <t>06e697e7</t>
  </si>
  <si>
    <t>ABINAYA SS vs RFA F16 - Top Youth Premier League 2025 U-11</t>
  </si>
  <si>
    <t>https://www.vidio.com/live/19587-top-youth-premier-league-2025-matchday-4?schedule_id=4585746</t>
  </si>
  <si>
    <t>Nonton streaming pertandingan seru ABINAYA SS vs RFA F16 - Top Youth Premier League 2025 U-11. Saksikan aksi-aksi terbaik dari tim yang bersaing ketat untuk meraih kemenangan. Dapatkan informasi lengkap mengenai jadwal pertandingan dan hasil pertandingan terbaru hanya di Vidio.</t>
  </si>
  <si>
    <t>4ae25376</t>
  </si>
  <si>
    <t>NAWASENA vs FFF WEST - Top Youth Premier League 2025 U-11</t>
  </si>
  <si>
    <t>https://www.vidio.com/live/19587-top-youth-premier-league-2025-matchday-4?schedule_id=4585744</t>
  </si>
  <si>
    <t>Nonton streaming pertandingan seru NAWASENA vs FFF WEST - Top Youth Premier League 2025 U-11. Saksikan aksi-aksi terbaik dari tim yang bersaing ketat untuk meraih kemenangan. Dapatkan informasi lengkap mengenai jadwal pertandingan dan hasil pertandingan terbaru hanya di Vidio.</t>
  </si>
  <si>
    <t>90e4aa42</t>
  </si>
  <si>
    <t>ASIOP BIRU vs ASIOP MERAH - Top Youth Premier League 2025 U-11</t>
  </si>
  <si>
    <t>https://www.vidio.com/live/19587-top-youth-premier-league-2025-matchday-4?schedule_id=4585745</t>
  </si>
  <si>
    <t>Nonton streaming pertandingan seru ASIOP BIRU vs ASIOP MERAH - Top Youth Premier League 2025 U-11. Saksikan aksi-aksi terbaik dari tim yang bersaing ketat untuk meraih kemenangan. Dapatkan informasi lengkap mengenai jadwal pertandingan dan hasil pertandingan terbaru hanya di Vidio.</t>
  </si>
  <si>
    <t>d97677d9</t>
  </si>
  <si>
    <t>BINA TARUNA vs SSJ ARCAMANIK BANDUNG - Top Youth Premier League 2025 U-11</t>
  </si>
  <si>
    <t>https://www.vidio.com/live/19587-top-youth-premier-league-2025-matchday-4?schedule_id=4585747</t>
  </si>
  <si>
    <t>Nonton streaming pertandingan seru BINA TARUNA vs SSJ ARCAMANIK BANDUNG - Top Youth Premier League 2025 U-11. Saksikan aksi-aksi terbaik dari tim yang bersaing ketat untuk meraih kemenangan. Dapatkan informasi lengkap mengenai jadwal pertandingan dan hasil pertandingan terbaru hanya di Vidio.</t>
  </si>
  <si>
    <t>18ddf22b</t>
  </si>
  <si>
    <t>TAJIMALELA vs JAGAKARSA - Top Youth Premier League 2025 U-11</t>
  </si>
  <si>
    <t>https://www.vidio.com/live/19587-top-youth-premier-league-2025-matchday-4?schedule_id=4585748</t>
  </si>
  <si>
    <t>Nonton streaming pertandingan seru TAJIMALELA vs JAGAKARSA - Top Youth Premier League 2025 U-11. Saksikan aksi-aksi terbaik dari tim yang bersaing ketat untuk meraih kemenangan. Dapatkan informasi lengkap mengenai jadwal pertandingan dan hasil pertandingan terbaru hanya di Vidio.</t>
  </si>
  <si>
    <t>7c19d9cc</t>
  </si>
  <si>
    <t>BINA TARUNA vs DIKLAT ISA - Top Youth Premier League 2025 U-12</t>
  </si>
  <si>
    <t>https://www.vidio.com/live/19587-top-youth-premier-league-2025-matchday-4?schedule_id=4585749</t>
  </si>
  <si>
    <t>Nonton streaming pertandingan seru BINA TARUNA vs DIKLAT ISA - Top Youth Premier League 2025 U-12. Saksikan aksi-aksi terbaik dari tim yang bersaing ketat untuk meraih kemenangan. Dapatkan informasi lengkap mengenai jadwal pertandingan dan hasil pertandingan terbaru hanya di Vidio.</t>
  </si>
  <si>
    <t>d3581bec</t>
  </si>
  <si>
    <t>MC UTAMA vs BINNA BANUA - Top Youth Premier League 2025 U-12</t>
  </si>
  <si>
    <t>https://www.vidio.com/live/19587-top-youth-premier-league-2025-matchday-4?schedule_id=4585750</t>
  </si>
  <si>
    <t>Nonton streaming pertandingan seru MC UTAMA vs BINNA BANUA - Top Youth Premier League 2025 U-12. Saksikan aksi-aksi terbaik dari tim yang bersaing ketat untuk meraih kemenangan. Dapatkan informasi lengkap mengenai jadwal pertandingan dan hasil pertandingan terbaru hanya di Vidio.</t>
  </si>
  <si>
    <t>fbf75969</t>
  </si>
  <si>
    <t>ASIOP MERAH vs SOCCER FUTURELAB - Top Youth Premier League 2025 U-12</t>
  </si>
  <si>
    <t>https://www.vidio.com/live/19587-top-youth-premier-league-2025-matchday-4?schedule_id=4585751</t>
  </si>
  <si>
    <t>Nonton streaming pertandingan seru ASIOP MERAH vs SOCCER FUTURELAB - Top Youth Premier League 2025 U-12. Saksikan aksi-aksi terbaik dari tim yang bersaing ketat untuk meraih kemenangan. Dapatkan informasi lengkap mengenai jadwal pertandingan dan hasil pertandingan terbaru hanya di Vidio.</t>
  </si>
  <si>
    <t>2b2252a8</t>
  </si>
  <si>
    <t>CITRA MUDA BEKASI vs BINNA BANUA - Top Youth Premier League 2025 U-12</t>
  </si>
  <si>
    <t>https://www.vidio.com/live/19587-top-youth-premier-league-2025-matchday-4?schedule_id=4585752</t>
  </si>
  <si>
    <t>Nonton streaming pertandingan seru CITRA MUDA BEKASI vs BINNA BANUA - Top Youth Premier League 2025 U-12. Saksikan aksi-aksi terbaik dari tim yang bersaing ketat untuk meraih kemenangan. Dapatkan informasi lengkap mengenai jadwal pertandingan dan hasil pertandingan terbaru hanya di Vidio.</t>
  </si>
  <si>
    <t>40adad9b</t>
  </si>
  <si>
    <t>ASIOP BIRU vs SOCCER FUTURELAB - Top Youth Premier League 2025 U-12</t>
  </si>
  <si>
    <t>https://www.vidio.com/live/19587-top-youth-premier-league-2025-matchday-4?schedule_id=4585753</t>
  </si>
  <si>
    <t>Nonton streaming pertandingan seru ASIOP BIRU vs SOCCER FUTURELAB - Top Youth Premier League 2025 U-12. Saksikan aksi-aksi terbaik dari tim yang bersaing ketat untuk meraih kemenangan. Dapatkan informasi lengkap mengenai jadwal pertandingan dan hasil pertandingan terbaru hanya di Vidio.</t>
  </si>
  <si>
    <t>f5ae4728</t>
  </si>
  <si>
    <t>Rajadamnern 2025 Female Bantamweight Title</t>
  </si>
  <si>
    <t>https://www.vidio.com/live/19388-rajadamnern-2025?schedule_id=4613310</t>
  </si>
  <si>
    <t>https://drive.google.com/drive/u/0/folders/1AS6siU2Zs1xw-DHAi-0k9cmkEPL1l798</t>
  </si>
  <si>
    <t>https://drive.google.com/drive/folders/1Ce0RjoJg4DaKfRkhvz_waXSYqojCV-GG?usp=drive_link</t>
  </si>
  <si>
    <t>Nonton streaming pertandingan seru Rajadamnern 2025 Female Bantamweight Title. Saksikan aksi-aksi terbaik dari tim yang bersaing ketat untuk meraih kemenangan. Dapatkan informasi lengkap mengenai jadwal pertandingan dan hasil pertandingan terbaru hanya di Vidio.</t>
  </si>
  <si>
    <t>https://drive.google.com/file/d/1iGrrSs9_ZqdVDufNNzwTFJpb1ud2ekAW/view?usp=sharing</t>
  </si>
  <si>
    <t>https://drive.google.com/file/d/1CQQOvzMUG7cvTAB9tqoRSI2z9pcxqQfo/view?usp=sharing</t>
  </si>
  <si>
    <t>c91ab086</t>
  </si>
  <si>
    <t>Sparta Rotterdam vs AZ Alkmaar - Eredivisie</t>
  </si>
  <si>
    <t>https://www.vidio.com/live/19436-eredivisie?schedule_id=4691064</t>
  </si>
  <si>
    <t>https://drive.google.com/drive/folders/1OJmYxJj_ijLSsmC6YyH2MviJ7UrS9ZOd?usp=drive_link</t>
  </si>
  <si>
    <t>https://drive.google.com/file/d/1pTBxJHJwcQ35FL4XruMHCItvHbnSkAgX/view?usp=drive_link</t>
  </si>
  <si>
    <t>sparta rotterdam; alkmaar zaanstreek; sports stream</t>
  </si>
  <si>
    <t>Nonton streaming pertandingan seru Sparta Rotterdam vs AZ Alkmaar - Eredivisie. Saksikan aksi-aksi terbaik dari tim yang bersaing ketat untuk meraih kemenangan. Dapatkan informasi lengkap mengenai jadwal pertandingan dan hasil pertandingan terbaru hanya di Vidio.</t>
  </si>
  <si>
    <t>Sparta Rotterdam: Tobias Lauritsen, Ayoub Oufkir
Az Alkmaar: Troy Parrot, Isak Jansen</t>
  </si>
  <si>
    <t>https://drive.google.com/file/d/10efR74hGlgDOJM4tF2SvkIqGo8bowF30/view?usp=sharing</t>
  </si>
  <si>
    <t>https://drive.google.com/file/d/1pTBxJHJwcQ35FL4XruMHCItvHbnSkAgX/view?usp=sharing</t>
  </si>
  <si>
    <t>https://drive.google.com/file/d/1Q8k4iNgYVINV6AAg-9X87BwaEWRWUw8n/view?usp=sharing</t>
  </si>
  <si>
    <t>43e5ef3f</t>
  </si>
  <si>
    <t>Seattle Seahawks vs Arizona Cardinals - NFL</t>
  </si>
  <si>
    <t>https://www.vidio.com/live/19548-national-football-league-2025-26?schedule_id=4596777</t>
  </si>
  <si>
    <t>https://drive.google.com/drive/folders/1hdNR-ijiuE0T84G4QejJ2yenbKAnuG7N</t>
  </si>
  <si>
    <t>Seattle Seahawks</t>
  </si>
  <si>
    <t>Nonton streaming pertandingan seru Seattle Seahawks vs Arizona Cardinals - NFL. Saksikan aksi-aksi terbaik dari tim yang bersaing ketat untuk meraih kemenangan. Dapatkan informasi lengkap mengenai jadwal pertandingan dan hasil pertandingan terbaru hanya di Vidio.</t>
  </si>
  <si>
    <t>https://drive.google.com/file/d/18dC9na09_KUZmu4fSAB_pyNO_HaKFVtO/view?usp=sharing</t>
  </si>
  <si>
    <t>https://drive.google.com/file/d/1GsglBd9LbMGpRx46UKG3tsRuzK5RA2_1/view?usp=sharing</t>
  </si>
  <si>
    <t>a9b4fdb7</t>
  </si>
  <si>
    <t>Washington Commanders vs Atlanta Falcons - NFL</t>
  </si>
  <si>
    <t>https://www.vidio.com/live/19548-national-football-league-2025-26?schedule_id=4605159</t>
  </si>
  <si>
    <t>https://drive.google.com/drive/folders/1_NMA064ucO1Pdw_BiFXMHSmIWtAdDKEq?usp=drive_link</t>
  </si>
  <si>
    <t>Nonton streaming pertandingan seru Washington Commanders vs Atlanta Falcons - NFL. Saksikan aksi-aksi terbaik dari tim yang bersaing ketat untuk meraih kemenangan. Dapatkan informasi lengkap mengenai jadwal pertandingan dan hasil pertandingan terbaru hanya di Vidio.</t>
  </si>
  <si>
    <t>https://drive.google.com/file/d/1cUmSmLHNcG8yJQT8Y68fwwBIhV-U48Zq/view?usp=sharing</t>
  </si>
  <si>
    <t>https://drive.google.com/file/d/1dczxBII2v2KErQAoyJtHOC7oWAwklPjt/view?usp=sharing</t>
  </si>
  <si>
    <t>1170d410</t>
  </si>
  <si>
    <t>Indianapolis Colts vs Los Angeles Rams - NFL</t>
  </si>
  <si>
    <t>https://www.vidio.com/live/19548-national-football-league-2025-26?schedule_id=4605160</t>
  </si>
  <si>
    <t>https://drive.google.com/drive/folders/1JOlrqzLxa4Yf4ShYfiIJmUJZaOzTOhAy?usp=drive_link</t>
  </si>
  <si>
    <t>Nonton streaming pertandingan seru Indianapolis Colts vs Los Angeles Rams - NFL. Saksikan aksi-aksi terbaik dari tim yang bersaing ketat untuk meraih kemenangan. Dapatkan informasi lengkap mengenai jadwal pertandingan dan hasil pertandingan terbaru hanya di Vidio.</t>
  </si>
  <si>
    <t>https://drive.google.com/file/d/1lRhTJixL_BwNSnPOl9tuoNCHYNw1XMJv/view?usp=sharing</t>
  </si>
  <si>
    <t>https://drive.google.com/file/d/1bpwGJIQwcntTt-uge7543wAxhXMI2LWH/view?usp=sharing</t>
  </si>
  <si>
    <t>83d7f047</t>
  </si>
  <si>
    <t>Green Bay Packers vs Dallas Cowboys - NFL</t>
  </si>
  <si>
    <t>https://www.vidio.com/live/19548-national-football-league-2025-26?schedule_id=4605161</t>
  </si>
  <si>
    <t>https://drive.google.com/drive/folders/1WBASI4zqRa0yUpouO2VnhNbr7Cdcfp4m?usp=drive_link</t>
  </si>
  <si>
    <t>Dallas Cowboys</t>
  </si>
  <si>
    <t>Nonton streaming pertandingan seru Green Bay Packers vs Dallas Cowboys - NFL. Saksikan aksi-aksi terbaik dari tim yang bersaing ketat untuk meraih kemenangan. Dapatkan informasi lengkap mengenai jadwal pertandingan dan hasil pertandingan terbaru hanya di Vidio.</t>
  </si>
  <si>
    <t>https://drive.google.com/file/d/1MWtDaD778JPBHUQZ-kfqHP-eFs7UJdMU/view?usp=sharing</t>
  </si>
  <si>
    <t>https://drive.google.com/file/d/1ZH3qBIt2jpjUKJyMI6NtSpXaMY5sE8dA/view?usp=sharing</t>
  </si>
  <si>
    <t>f7dcd70c</t>
  </si>
  <si>
    <t>Cincinnati Bengals vs Denver Broncos - NFL</t>
  </si>
  <si>
    <t>https://www.vidio.com/live/19623-national-football-league-2025-26?schedule_id=4606943</t>
  </si>
  <si>
    <t>https://drive.google.com/drive/folders/1Kh_meiAby2_6bThQLNQ9ptUC3EE4JkUl?usp=drive_link</t>
  </si>
  <si>
    <t>Cincinnati Bengals</t>
  </si>
  <si>
    <t>Nonton streaming pertandingan seru Cincinnati Bengals vs Denver Broncos - NFL. Saksikan aksi-aksi terbaik dari tim yang bersaing ketat untuk meraih kemenangan. Dapatkan informasi lengkap mengenai jadwal pertandingan dan hasil pertandingan terbaru hanya di Vidio.</t>
  </si>
  <si>
    <t>C2 , B2</t>
  </si>
  <si>
    <t>https://drive.google.com/file/d/1HrhiBUN0ho-c7Yuv_6crNvNN2CSrRcPH/view?usp=sharing</t>
  </si>
  <si>
    <t>https://drive.google.com/file/d/1ZmwCB9Cw1oSQhbKbl_UdNWdXXAhvmWyf/view?usp=sharing</t>
  </si>
  <si>
    <t>08a70f77</t>
  </si>
  <si>
    <t>New York Jets vs Miami Dolphins - NFL</t>
  </si>
  <si>
    <t>https://www.vidio.com/live/19548-national-football-league-2025-26?schedule_id=4606944</t>
  </si>
  <si>
    <t>https://drive.google.com/drive/folders/1M_BVl5tluvtIGopClGpS0RZ3V9w5zT0f?usp=drive_link</t>
  </si>
  <si>
    <t>Nonton streaming pertandingan seru New York Jets vs Miami Dolphins - NFL. Saksikan aksi-aksi terbaik dari tim yang bersaing ketat untuk meraih kemenangan. Dapatkan informasi lengkap mengenai jadwal pertandingan dan hasil pertandingan terbaru hanya di Vidio.</t>
  </si>
  <si>
    <t>C1 , B1</t>
  </si>
  <si>
    <t>https://drive.google.com/file/d/1uuUzItR1vT4-noWnt1gSLyJgFRdrfQvm/view?usp=sharing</t>
  </si>
  <si>
    <t>https://drive.google.com/file/d/12uSOac87fZz-xKFPSyA2eWB2wqYAPEsn/view?usp=sharing</t>
  </si>
  <si>
    <t>00552c34</t>
  </si>
  <si>
    <t>Atalanta vs Club Brugge - UEFA Youth League</t>
  </si>
  <si>
    <t>https://www.vidio.com/live/6299-bein-1?schedule_id=4610721</t>
  </si>
  <si>
    <t>https://drive.google.com/drive/folders/1lGfzAeOHeAMZdS37DygDX4R_yPEXkW3U?usp=drive_link</t>
  </si>
  <si>
    <t>https://drive.google.com/drive/folders/18pa30k7VXSESv0P6fZ97lEXrQ9iatGXT?usp=drive_link</t>
  </si>
  <si>
    <t>Nonton streaming pertandingan seru Atalanta vs Club Brugge - UEFA Youth League. Saksikan aksi-aksi terbaik dari tim yang bersaing ketat untuk meraih kemenangan. Dapatkan informasi lengkap mengenai jadwal pertandingan dan hasil pertandingan terbaru hanya di Vidio.</t>
  </si>
  <si>
    <t>https://drive.google.com/file/d/1GlnKOz-YTQty5RGcsh2QtZzNR2KSdRTD/view?usp=sharing</t>
  </si>
  <si>
    <t>https://drive.google.com/file/d/1H0ddcjxgV_2cGuOrGVEOANYDk435LNh8/view?usp=drive_link</t>
  </si>
  <si>
    <t>06fb7b17</t>
  </si>
  <si>
    <t>Chelsea vs Benfica - UEFA Youth League</t>
  </si>
  <si>
    <t>https://www.vidio.com/live/6299-bein-1?schedule_id=4610722</t>
  </si>
  <si>
    <t>https://drive.google.com/drive/folders/18B9e7Fh6fACiriKO27El2rmGlNxrEg50?usp=drive_link</t>
  </si>
  <si>
    <t>Nonton streaming pertandingan seru Chelsea vs Benfica - UEFA Youth League. Saksikan aksi-aksi terbaik dari tim yang bersaing ketat untuk meraih kemenangan. Dapatkan informasi lengkap mengenai jadwal pertandingan dan hasil pertandingan terbaru hanya di Vidio.</t>
  </si>
  <si>
    <t>https://drive.google.com/file/d/132cRpI3M5tjHgOPzqBFXB3BtGTelZ-T0/view?usp=sharing</t>
  </si>
  <si>
    <t>https://drive.google.com/file/d/17VnNVIXfLEHlSwjRIxtI5g907OnQAM1D/view?usp=drive_link</t>
  </si>
  <si>
    <t>03c1b270</t>
  </si>
  <si>
    <t>https://www.vidio.com/live/205-indosiar?schedule_id=4626711</t>
  </si>
  <si>
    <t>https://drive.google.com/drive/folders/17WcSu14pQveSZvRDz_qOf2JTWnqL5LS0</t>
  </si>
  <si>
    <t>Persita: Eber Bessa, Ryuji
Semen Padang: Stewart, Leo Guntara (jersey kuning)</t>
  </si>
  <si>
    <t>https://drive.google.com/file/d/1AyBlyClL-tclsZmyFJV9QgQhkopv9dxl/view?usp=sharing</t>
  </si>
  <si>
    <t>https://drive.google.com/file/d/1leCnWUvY0slqF91ySbxrJSSpMHEqbCvi/view?usp=sharing</t>
  </si>
  <si>
    <t>27037447</t>
  </si>
  <si>
    <t>F1H20 Sprint Race: F1H2O 2025 - Grand Prix of Shanghai, China</t>
  </si>
  <si>
    <t>https://www.vidio.com/live/19658-grand-prix-of-shanghai-china?schedule_id=4626708</t>
  </si>
  <si>
    <t>https://drive.google.com/drive/folders/191A7-eHDgaE6RSSz30ywmOQK-XIZXgpQ?usp=sharing</t>
  </si>
  <si>
    <t>Nonton streaming pertandingan seru F1H20 Sprint Race: F1H2O 2025 - Grand Prix of Shanghai, China. Saksikan aksi-aksi terbaik dari tim yang bersaing ketat untuk meraih kemenangan. Dapatkan informasi lengkap mengenai jadwal pertandingan dan hasil pertandingan terbaru hanya di Vidio.</t>
  </si>
  <si>
    <t>https://drive.google.com/file/d/1xmBPFRozQRJbOrSi1ZjYvbHfvOCtUdM6/view?usp=sharing</t>
  </si>
  <si>
    <t>https://drive.google.com/file/d/1YnL7y_oCjzseUMHXbTgI15dtKIHrbiMF/view?usp=sharing</t>
  </si>
  <si>
    <t>7c1d7b66</t>
  </si>
  <si>
    <t>F1H20 Race: F1H2O 2025 - Grand Prix of Shanghai, China</t>
  </si>
  <si>
    <t>https://www.vidio.com/live/19658-grand-prix-of-shanghai-china?schedule_id=4626709</t>
  </si>
  <si>
    <t>https://drive.google.com/drive/folders/16HhOHCUbBfazmuxvGxTleVVPL42clfR6?usp=sharing</t>
  </si>
  <si>
    <t>Nonton streaming pertandingan seru F1H20 Race: F1H2O 2025 - Grand Prix of Shanghai, China. Saksikan aksi-aksi terbaik dari tim yang bersaing ketat untuk meraih kemenangan. Dapatkan informasi lengkap mengenai jadwal pertandingan dan hasil pertandingan terbaru hanya di Vidio.</t>
  </si>
  <si>
    <t>https://drive.google.com/file/d/17qnECYEeD2_bfO8dW_FdQnxJNaooQvVd/view?usp=sharing</t>
  </si>
  <si>
    <t>https://drive.google.com/file/d/19k7xIFCSzDDo6bTIQgHhVsDaAe5FCwrH/view?usp=sharing</t>
  </si>
  <si>
    <t>099f59f4</t>
  </si>
  <si>
    <t>F1H20 Sprint Race: F1H2O 2025 - Grand Prix of Zhengzhou, China</t>
  </si>
  <si>
    <t>https://www.vidio.com/live/19658-f1h2o-2025-grand-prix-of-zhengzhou-china?schedule_id=4636604</t>
  </si>
  <si>
    <t>https://drive.google.com/drive/folders/15R_ywRFCVLik3mhOUcAM2oRJwPyQDZ11?usp=sharing</t>
  </si>
  <si>
    <t>Nonton streaming pertandingan seru F1H20 Sprint Race: F1H2O 2025 - Grand Prix of Zhengzhou, China. Saksikan aksi-aksi terbaik dari tim yang bersaing ketat untuk meraih kemenangan. Dapatkan informasi lengkap mengenai jadwal pertandingan dan hasil pertandingan terbaru hanya di Vidio.</t>
  </si>
  <si>
    <t>https://drive.google.com/file/d/1bHuNCaDvfrmzdwK3IV89a1PCroqRq1ZZ/view?usp=sharing</t>
  </si>
  <si>
    <t>https://drive.google.com/file/d/1j050Sq94AV4pdkw8-VGpRUlBq4sGFb6U/view?usp=sharing</t>
  </si>
  <si>
    <t>0e19d65a</t>
  </si>
  <si>
    <t>F1H20 Race: F1H2O 2025 - Grand Prix of Zhengzhou, China</t>
  </si>
  <si>
    <t>https://www.vidio.com/live/19658-f1h2o-2025-grand-prix-of-zhengzhou-china?schedule_id=4636605</t>
  </si>
  <si>
    <t>https://drive.google.com/drive/folders/1dAJNXpSckqCzGNZBFflylaakz7CTYtRg?usp=sharing</t>
  </si>
  <si>
    <t>Nonton streaming pertandingan seru F1H20 Race: F1H2O 2025 - Grand Prix of Zhengzhou, China. Saksikan aksi-aksi terbaik dari tim yang bersaing ketat untuk meraih kemenangan. Dapatkan informasi lengkap mengenai jadwal pertandingan dan hasil pertandingan terbaru hanya di Vidio.</t>
  </si>
  <si>
    <t>https://drive.google.com/file/d/1qu1jU8R5cKSxGMI_AobhRjRo9HdSCuVT/view?usp=sharing</t>
  </si>
  <si>
    <t>https://drive.google.com/file/d/1gBWnZypsbOITxbbsOZe-aMRMn3QwD6MX/view?usp=sharing</t>
  </si>
  <si>
    <t>68475ef1</t>
  </si>
  <si>
    <t>Leverkusen vs PSV - UEFA Youth League</t>
  </si>
  <si>
    <t>https://www.vidio.com/live/6299-bein-1?schedule_id=4613303</t>
  </si>
  <si>
    <t>https://drive.google.com/drive/folders/1uFNiZggG_hzUecR9c8qI7KtUmBwbT3F9?usp=drive_link</t>
  </si>
  <si>
    <t>Nonton streaming pertandingan seru Leverkusen vs PSV - UEFA Youth League. Saksikan aksi-aksi terbaik dari tim yang bersaing ketat untuk meraih kemenangan. Dapatkan informasi lengkap mengenai jadwal pertandingan dan hasil pertandingan terbaru hanya di Vidio.</t>
  </si>
  <si>
    <t>https://drive.google.com/file/d/1qPomc1vXUSuwo-fwlcjrs51Bbs1owuAW/view?usp=sharing</t>
  </si>
  <si>
    <t>https://drive.google.com/file/d/1ua73Cn0njWz2MIjj-yEpBbgoz2mbgZbG/view?usp=drive_link</t>
  </si>
  <si>
    <t>34bd2b4d</t>
  </si>
  <si>
    <t>Barcelona vs PSG - UEFA Youth League</t>
  </si>
  <si>
    <t>https://www.vidio.com/live/6299-bein-1?schedule_id=4613304</t>
  </si>
  <si>
    <t>https://drive.google.com/drive/folders/18GTpFILraJ5Vn9gdTou1WEyQqG9Mq31l?usp=drive_link</t>
  </si>
  <si>
    <t>Nonton streaming pertandingan seru Barcelona vs PSG - UEFA Youth League. Saksikan aksi-aksi terbaik dari tim yang bersaing ketat untuk meraih kemenangan. Dapatkan informasi lengkap mengenai jadwal pertandingan dan hasil pertandingan terbaru hanya di Vidio.</t>
  </si>
  <si>
    <t>https://drive.google.com/file/d/1NWA-SA-7H1_f6x-GoLRDXuyquAV2cgr5/view?usp=sharing</t>
  </si>
  <si>
    <t>https://drive.google.com/file/d/1LluqgwtMubTaPQgPpxWeaLHqw8n2LZIl/view?usp=drive_link</t>
  </si>
  <si>
    <t>c66fe578</t>
  </si>
  <si>
    <t>Man United vs Chelsea - Women's Super League</t>
  </si>
  <si>
    <t>https://www.vidio.com/live/17875-bein-2?schedule_id=4627858</t>
  </si>
  <si>
    <t>https://drive.google.com/drive/folders/17X2V1BcB89cijmSLW9hVrfMXmOZfvjjR?usp=drive_link</t>
  </si>
  <si>
    <t>https://drive.google.com/drive/folders/1jRAPC7p0nCSBU3xeVT3QEOMwRzJZXVvg?usp=drive_link</t>
  </si>
  <si>
    <t>Nonton streaming pertandingan seru Man United vs Chelsea - Women's Super League. Saksikan aksi-aksi terbaik dari tim yang bersaing ketat untuk meraih kemenangan. Dapatkan informasi lengkap mengenai jadwal pertandingan dan hasil pertandingan terbaru hanya di Vidio.</t>
  </si>
  <si>
    <t>Man United: Jess Park &amp; Melvine Malard
Chelsea: Sam Kerr &amp; Aggie Beever-Jones
ID IMAGO
Jess Park: 1066773327, 1066755496
Melvine Malard: 1066162760, 1066773342
Sam Kerr: 1066744852, 1066744843
Beever-Jones: 1066744826, 1066741683, 1066085134</t>
  </si>
  <si>
    <t>A4 , F4</t>
  </si>
  <si>
    <t>https://drive.google.com/file/d/1yzxgjym-X9bgorGbSKgZ5R4p8Lbyjzm5/view?usp=sharing</t>
  </si>
  <si>
    <t>https://drive.google.com/file/d/1-Vuum_yS1uv8Mj3bYHgI89HrQ02Joxs6/view?usp=drive_link</t>
  </si>
  <si>
    <t>https://drive.google.com/file/d/1dnWMUdzijH4hvs4YuKl3WuE31np0GeCQ/view?usp=sharing</t>
  </si>
  <si>
    <t>dd9df483</t>
  </si>
  <si>
    <t>Chelsea vs Tottenham - Women's Super League</t>
  </si>
  <si>
    <t>https://www.vidio.com/live/6299-bein-1?schedule_id=4644298</t>
  </si>
  <si>
    <t>https://drive.google.com/drive/folders/1igQzPxovpmGSxY8XFwt2UwJTo8Pr482L?usp=drive_link</t>
  </si>
  <si>
    <t>https://drive.google.com/drive/folders/1cAGd9_rdxTQC_LBDVNnOpayHH_744vte?usp=drive_link</t>
  </si>
  <si>
    <t>https://drive.google.com/drive/folders/1pZo1S6QLarDjRlpBIZJnvQx9x8GaRifW?usp=drive_link</t>
  </si>
  <si>
    <t>Tottenham Hotspur Women</t>
  </si>
  <si>
    <t>Nonton streaming pertandingan seru Chelsea vs Tottenham - Women's Super League. Saksikan aksi-aksi terbaik dari tim yang bersaing ketat untuk meraih kemenangan. Dapatkan informasi lengkap mengenai jadwal pertandingan dan hasil pertandingan terbaru hanya di Vidio.</t>
  </si>
  <si>
    <t>CHE: Beever Jones, Keira Walsh
TOT: Canthika Tandberg, Bethany England</t>
  </si>
  <si>
    <t>https://drive.google.com/file/d/1-vkKCNGBwV4kCCYESBlNEdN5-EFgHNgh/view?usp=sharing</t>
  </si>
  <si>
    <t>https://drive.google.com/file/d/1EqYoAPmmrUkOiV73hQr8Elp5K3c9Z26f/view?usp=drive_link</t>
  </si>
  <si>
    <t>https://drive.google.com/file/d/1WuHjzm-zbt9qQO1XzzvwRTVwWB4c-8GO/view?usp=sharing</t>
  </si>
  <si>
    <t>96f8bbe0</t>
  </si>
  <si>
    <t>Everton vs Man United - Women's Super League</t>
  </si>
  <si>
    <t>https://www.vidio.com/live/6317-bein-3?schedule_id=4644299</t>
  </si>
  <si>
    <t>https://drive.google.com/drive/folders/1qUUaDgqiGwDoza_iYGMW1_2mYFT0vZpr?usp=drive_link</t>
  </si>
  <si>
    <t>Everton Women</t>
  </si>
  <si>
    <t>Nonton streaming pertandingan seru Everton vs Man United - Women's Super League. Saksikan aksi-aksi terbaik dari tim yang bersaing ketat untuk meraih kemenangan. Dapatkan informasi lengkap mengenai jadwal pertandingan dan hasil pertandingan terbaru hanya di Vidio.</t>
  </si>
  <si>
    <t>EVE: Ornela Vignola, Rosa van Gool
MUN: Ella Toone, Jess Park</t>
  </si>
  <si>
    <t>https://drive.google.com/file/d/1j6C68i3C6d_PkufqudBDxq5pGmNerzio/view?usp=sharing</t>
  </si>
  <si>
    <t>https://drive.google.com/file/d/1aIDGWM-XMP0vzXU8BhNTpwCtky0kxobo/view?usp=drive_link</t>
  </si>
  <si>
    <t>https://drive.google.com/file/d/1oE6WSL7LrnF9eK8PRNJaqYPIMsgvI79N/view?usp=sharing</t>
  </si>
  <si>
    <t>a12c46e2</t>
  </si>
  <si>
    <t>Arsenal vs Brighton - Women's Super League</t>
  </si>
  <si>
    <t>https://www.vidio.com/live/6317-bein-3?schedule_id=4644301</t>
  </si>
  <si>
    <t>https://drive.google.com/drive/folders/1dv8Ic6aGFnPjxTevB9xSCxYN6jIqOEfV?usp=drive_link</t>
  </si>
  <si>
    <t>https://drive.google.com/drive/folders/1hQZkZ8k58-fOka4wgIkaryNxaAeiyBot?usp=drive_link</t>
  </si>
  <si>
    <t>Brighton &amp; Hove Albion Women</t>
  </si>
  <si>
    <t>Nonton streaming pertandingan seru Arsenal vs Brighton - Women's Super League. Saksikan aksi-aksi terbaik dari tim yang bersaing ketat untuk meraih kemenangan. Dapatkan informasi lengkap mengenai jadwal pertandingan dan hasil pertandingan terbaru hanya di Vidio.</t>
  </si>
  <si>
    <t>ARS: Alessia Russo, Mariona Caldentey
BHA: Charlie Rule, Rosa Kafaji</t>
  </si>
  <si>
    <t>https://drive.google.com/file/d/1mfKIiXvPiaCmzFGtceBEVCkRAoyV8q_F/view?usp=sharing</t>
  </si>
  <si>
    <t>https://drive.google.com/file/d/1bCwsrnnY-9eA71aAxn-xrpskmQXCL14T/view?usp=drive_link</t>
  </si>
  <si>
    <t>https://drive.google.com/file/d/1At0HNNWhliE1PFRk6ILMin7VjQhGJUex/view?usp=sharing</t>
  </si>
  <si>
    <t>400619f6</t>
  </si>
  <si>
    <t>Liverpool vs Man City - Women's Super League</t>
  </si>
  <si>
    <t>https://www.vidio.com/live/6317-bein-3?schedule_id=4644302</t>
  </si>
  <si>
    <t>https://drive.google.com/drive/folders/1OWnsLRd--GIe0r_FOitp0lsVbpAP_v3w?usp=drive_link</t>
  </si>
  <si>
    <t>Manchester City Women</t>
  </si>
  <si>
    <t>Nonton streaming pertandingan seru Liverpool vs Man City - Women's Super League. Saksikan aksi-aksi terbaik dari tim yang bersaing ketat untuk meraih kemenangan. Dapatkan informasi lengkap mengenai jadwal pertandingan dan hasil pertandingan terbaru hanya di Vidio.</t>
  </si>
  <si>
    <t>LIV: Fuka Nagano, Sophie Roman Haug
MCI: Yui Hasegawa, Khadija Shaw</t>
  </si>
  <si>
    <t>https://drive.google.com/file/d/1PAxZ8OGE7W8oHStl2rvDKbcX-VML-J0g/view?usp=sharing</t>
  </si>
  <si>
    <t>https://drive.google.com/file/d/1v1bkRyBDUOZs5DzNNxQ3ymctwiCBEiHd/view?usp=drive_link</t>
  </si>
  <si>
    <t>https://drive.google.com/file/d/1U_QL50K1OlSF-6Ll8Zx44zipqOSFJnnD/view?usp=sharing</t>
  </si>
  <si>
    <t>7ad38b3c</t>
  </si>
  <si>
    <t>Juventus vs Benfica - UEFA Women's Champions League</t>
  </si>
  <si>
    <t>UEFA Women's Champions League 2025/26</t>
  </si>
  <si>
    <t>https://www.vidio.com/live/6317-bein-3?schedule_id=4636459</t>
  </si>
  <si>
    <t>https://drive.google.com/drive/folders/1lcyXFiAPljwAQQRIh3Y9HRQV-semb5OS?usp=drive_link</t>
  </si>
  <si>
    <t>Juventus Women</t>
  </si>
  <si>
    <t>S.L. Benfica Women</t>
  </si>
  <si>
    <t>Sports &gt; Football &gt; UEFA Women's Champions League</t>
  </si>
  <si>
    <t>UEFA Women's Champions League; UEFA Women's Champions League 2025/26</t>
  </si>
  <si>
    <t>juventus fc; SL Benfica; sports stream</t>
  </si>
  <si>
    <t>Nonton streaming pertandingan seru Juventus vs Benfica - UEFA Women's Champions League. Saksikan aksi-aksi terbaik dari tim yang bersaing ketat untuk meraih kemenangan. Dapatkan informasi lengkap mengenai jadwal pertandingan dan hasil pertandingan terbaru hanya di Vidio.</t>
  </si>
  <si>
    <t>https://drive.google.com/file/d/1wEkqDrRvv4tPMUyUbhI09VAR1grDFWQv/view?usp=sharing</t>
  </si>
  <si>
    <t>https://drive.google.com/file/d/16RGTQdmMLKoX2gHtZ3LmWiAPbkHqyEqC/view?usp=sharing</t>
  </si>
  <si>
    <t>cfee4832</t>
  </si>
  <si>
    <t>Paris FC vs OH Leuven - UEFA Women's Champions League</t>
  </si>
  <si>
    <t>https://www.vidio.com/live/17875-bein-2?schedule_id=4636462</t>
  </si>
  <si>
    <t>https://drive.google.com/drive/folders/1vfYVqkFwsQzIQtBosvwbsrUNLQfCXZJv?usp=drive_link</t>
  </si>
  <si>
    <t>Paris FC Women</t>
  </si>
  <si>
    <t>Oud-Heverlee Leuven Women</t>
  </si>
  <si>
    <t>Nonton streaming pertandingan seru Paris FC vs OH Leuven - UEFA Women's Champions League. Saksikan aksi-aksi terbaik dari tim yang bersaing ketat untuk meraih kemenangan. Dapatkan informasi lengkap mengenai jadwal pertandingan dan hasil pertandingan terbaru hanya di Vidio.</t>
  </si>
  <si>
    <t>https://drive.google.com/file/d/1LzVj_suJAdNX60YcHNmPP1MY-95JCAhM/view?usp=sharing</t>
  </si>
  <si>
    <t>40056557</t>
  </si>
  <si>
    <t>Arsenal vs Lyon - UEFA Women's Champions League</t>
  </si>
  <si>
    <t>https://www.vidio.com/live/6299-bein-1?schedule_id=4636461</t>
  </si>
  <si>
    <t>https://drive.google.com/drive/folders/1A9cLyJ-lGEDL-a5e0_V6P0TIg1VLQrAD?usp=drive_link</t>
  </si>
  <si>
    <t>OL Lyonnes</t>
  </si>
  <si>
    <t>arsenal fc; olympique lyonnais; sports stream</t>
  </si>
  <si>
    <t>Nonton streaming pertandingan seru Arsenal vs Lyon - UEFA Women's Champions League. Saksikan aksi-aksi terbaik dari tim yang bersaing ketat untuk meraih kemenangan. Dapatkan informasi lengkap mengenai jadwal pertandingan dan hasil pertandingan terbaru hanya di Vidio.</t>
  </si>
  <si>
    <t>https://drive.google.com/file/d/1YwB6TIrGTT2QpJ6Pbjby4Y3uSsIV2aCn/view?usp=sharing</t>
  </si>
  <si>
    <t>https://drive.google.com/file/d/1c-pmHH7-FQS98RhGzjdrWrHNDcK-hC-5/view?usp=sharing</t>
  </si>
  <si>
    <t>6f564c39</t>
  </si>
  <si>
    <t>Barcelona Femeni vs Bayern Munich - UEFA Women's Champions League</t>
  </si>
  <si>
    <t>https://www.vidio.com/live/6317-bein-3?schedule_id=4636460</t>
  </si>
  <si>
    <t>https://drive.google.com/drive/folders/19cWQ0D2d-MukImvz_CEfwdEbJcEG_9tw?usp=drive_link</t>
  </si>
  <si>
    <t>FC Barcelona Femení</t>
  </si>
  <si>
    <t>FC Bayern Munich Women</t>
  </si>
  <si>
    <t>fc bayern munchen; sports stream</t>
  </si>
  <si>
    <t>Nonton streaming pertandingan seru Barcelona Femeni vs Bayern Munich - UEFA Women's Champions League. Saksikan aksi-aksi terbaik dari tim yang bersaing ketat untuk meraih kemenangan. Dapatkan informasi lengkap mengenai jadwal pertandingan dan hasil pertandingan terbaru hanya di Vidio.</t>
  </si>
  <si>
    <t>https://drive.google.com/file/d/1ZTCrwlJRfWVsGpjerd4aI70EC_Z3blWw/view?usp=sharing</t>
  </si>
  <si>
    <t>https://drive.google.com/file/d/1xvj3awHOYi_HyuQjPSM9sShYgfyrC7_X/view?usp=sharing</t>
  </si>
  <si>
    <t>239ea9e1</t>
  </si>
  <si>
    <t>Real Madrid vs Roma - UEFA Women's Champions League</t>
  </si>
  <si>
    <t>https://www.vidio.com/live/6317-bein-3?schedule_id=4636581</t>
  </si>
  <si>
    <t>https://drive.google.com/drive/folders/19fBb5eBaYGqN_8-1-ItmssVsgTnDu4A6?usp=drive_link</t>
  </si>
  <si>
    <t>Real Madrid Femenino</t>
  </si>
  <si>
    <t>AS Roma Women</t>
  </si>
  <si>
    <t>real madrid cf; as roma; sports stream</t>
  </si>
  <si>
    <t>Nonton streaming pertandingan seru Real Madrid vs Roma - UEFA Women's Champions League. Saksikan aksi-aksi terbaik dari tim yang bersaing ketat untuk meraih kemenangan. Dapatkan informasi lengkap mengenai jadwal pertandingan dan hasil pertandingan terbaru hanya di Vidio.</t>
  </si>
  <si>
    <t>https://drive.google.com/file/d/1SMfq-xKVadMfut_PSiDRnxNWNhFXOcHl/view?usp=sharing</t>
  </si>
  <si>
    <t>https://drive.google.com/file/d/1cd3n95sok5sn_laWW77GPT64WJ-lDAoF/view?usp=sharing</t>
  </si>
  <si>
    <t>63c72ae1</t>
  </si>
  <si>
    <t>Twente vs Chelsea - UEFA Women's Champions League</t>
  </si>
  <si>
    <t>https://www.vidio.com/live/6299-bein-1?schedule_id=4636582</t>
  </si>
  <si>
    <t>https://drive.google.com/drive/folders/1HdNEZ6RW5c8njsqn9tW-umxo5xs7bWqg?usp=drive_link</t>
  </si>
  <si>
    <t>FC Twente Women</t>
  </si>
  <si>
    <t>fc twente; chelsea fc; sports stream</t>
  </si>
  <si>
    <t>Nonton streaming pertandingan seru Twente vs Chelsea - UEFA Women's Champions League. Saksikan aksi-aksi terbaik dari tim yang bersaing ketat untuk meraih kemenangan. Dapatkan informasi lengkap mengenai jadwal pertandingan dan hasil pertandingan terbaru hanya di Vidio.</t>
  </si>
  <si>
    <t>https://drive.google.com/file/d/1NWdEcVItIO3Bwt-XdGWc8EFdsOXLkyFu/view?usp=sharing</t>
  </si>
  <si>
    <t>https://drive.google.com/file/d/1_P4kbd5csTABjloMpcvncPlJtjaHuOcr/view?usp=sharing</t>
  </si>
  <si>
    <t>ad4d4918</t>
  </si>
  <si>
    <t>Man United vs Valerenga - UEFA Women's Champions League</t>
  </si>
  <si>
    <t>https://www.vidio.com/live/6317-bein-3?schedule_id=4636583</t>
  </si>
  <si>
    <t>https://drive.google.com/drive/folders/1lvkckdBqUAhVpQwi7ozZZ7GmOeTwOnF-?usp=drive_link</t>
  </si>
  <si>
    <t>Vålerenga Fotball Damer</t>
  </si>
  <si>
    <t>Nonton streaming pertandingan seru Man United vs Valerenga - UEFA Women's Champions League. Saksikan aksi-aksi terbaik dari tim yang bersaing ketat untuk meraih kemenangan. Dapatkan informasi lengkap mengenai jadwal pertandingan dan hasil pertandingan terbaru hanya di Vidio.</t>
  </si>
  <si>
    <t>https://drive.google.com/file/d/1K_wNV_GuV2KnoTgGoZ0qR7AxIfHyF5xR/view?usp=sharing</t>
  </si>
  <si>
    <t>https://drive.google.com/file/d/1JDGsrtqHe8z2RKd7JWSrGPFdPinSjUCh/view?usp=sharing</t>
  </si>
  <si>
    <t>57bb8a3f</t>
  </si>
  <si>
    <t>St. Polten vs Atletico Madrid - UEFA Women's Champions League</t>
  </si>
  <si>
    <t>https://www.vidio.com/live/17875-bein-2?schedule_id=4636584</t>
  </si>
  <si>
    <t>https://drive.google.com/drive/folders/1dpZ8PhtxV7FqQNAiLQ_rMGpmLOG9dwN-?usp=drive_link</t>
  </si>
  <si>
    <t>SKN St. Pölten Women</t>
  </si>
  <si>
    <t>Atlético Madrid Femenino</t>
  </si>
  <si>
    <t>Club Atlético de Madrid; sports stream</t>
  </si>
  <si>
    <t>Nonton streaming pertandingan seru St. Polten vs Atletico Madrid - UEFA Women's Champions League. Saksikan aksi-aksi terbaik dari tim yang bersaing ketat untuk meraih kemenangan. Dapatkan informasi lengkap mengenai jadwal pertandingan dan hasil pertandingan terbaru hanya di Vidio.</t>
  </si>
  <si>
    <t>https://drive.google.com/file/d/15HZvXgbiHOm6WNmVW209RXRXCTIsWLRD/view?usp=sharing</t>
  </si>
  <si>
    <t>7f3c1200</t>
  </si>
  <si>
    <t>VfL Wolfsburg vs Paris Saint-Germain - UEFA Women's Champions League</t>
  </si>
  <si>
    <t>https://www.vidio.com/live/6299-bein-1?schedule_id=4636585</t>
  </si>
  <si>
    <t>https://drive.google.com/drive/folders/1vcIMXA-qLuh5rc3lkbfax1Hnw_k7WAgC?usp=drive_link</t>
  </si>
  <si>
    <t>VfL Wolfsburg Women</t>
  </si>
  <si>
    <t>Paris Saint-Germain FC Women</t>
  </si>
  <si>
    <t>wolfsburg; Paris Saint-Germain FC; sports stream</t>
  </si>
  <si>
    <t>Nonton streaming pertandingan seru VfL Wolfsburg vs Paris Saint-Germain - UEFA Women's Champions League. Saksikan aksi-aksi terbaik dari tim yang bersaing ketat untuk meraih kemenangan. Dapatkan informasi lengkap mengenai jadwal pertandingan dan hasil pertandingan terbaru hanya di Vidio.</t>
  </si>
  <si>
    <t>https://drive.google.com/file/d/1aImSO6wMIlm9SgO-CglsR5dG8s7Em0Bv/view?usp=sharing</t>
  </si>
  <si>
    <t>7180daf2</t>
  </si>
  <si>
    <t>(Data Zone) Chelsea vs Liverpool - Premier League</t>
  </si>
  <si>
    <t>https://www.vidio.com/live/9183-champions-tv-6?schedule_id=4626717</t>
  </si>
  <si>
    <t>Nonton streaming pertandingan seru (Data Zone) Chelsea vs Liverpool - Premier League. Saksikan aksi-aksi terbaik dari tim yang bersaing ketat untuk meraih kemenangan. Dapatkan informasi lengkap mengenai jadwal pertandingan dan hasil pertandingan terbaru hanya di Vidio.</t>
  </si>
  <si>
    <t>ed90c252</t>
  </si>
  <si>
    <t>(Data Zone) Liverpool vs Man United - Premier League</t>
  </si>
  <si>
    <t>https://www.vidio.com/live/9183-champions-tv-6?schedule_id=4653358</t>
  </si>
  <si>
    <t>Nonton streaming pertandingan seru (Data Zone) Liverpool vs Man United - Premier League. Saksikan aksi-aksi terbaik dari tim yang bersaing ketat untuk meraih kemenangan. Dapatkan informasi lengkap mengenai jadwal pertandingan dan hasil pertandingan terbaru hanya di Vidio.</t>
  </si>
  <si>
    <t>cbe2e311</t>
  </si>
  <si>
    <t>(Data Zone) Arsenal vs Crystal Palace - Premier League</t>
  </si>
  <si>
    <t>https://www.vidio.com/live/18796-premier-league?schedule_id=4668359</t>
  </si>
  <si>
    <t>Nonton streaming pertandingan seru (Data Zone) Arsenal vs Crystal Palace - Premier League. Saksikan aksi-aksi terbaik dari tim yang bersaing ketat untuk meraih kemenangan. Dapatkan informasi lengkap mengenai jadwal pertandingan dan hasil pertandingan terbaru hanya di Vidio.</t>
  </si>
  <si>
    <t>bdecffbb</t>
  </si>
  <si>
    <t>Go Ahead Eagles vs NEC Nijmegen - Eredivisie</t>
  </si>
  <si>
    <t>https://www.vidio.com/live/6686-champions-tv-2?schedule_id=4630479</t>
  </si>
  <si>
    <t>https://drive.google.com/drive/folders/1gqPK2pK9Y20hMOFHFHcvI7Wo0Om54nc3?usp=drive_link</t>
  </si>
  <si>
    <t>go ahead eagles; nec nijmegen; sports stream</t>
  </si>
  <si>
    <t>Nonton streaming pertandingan seru Go Ahead Eagles vs NEC Nijmegen - Eredivisie. Saksikan aksi-aksi terbaik dari tim yang bersaing ketat untuk meraih kemenangan. Dapatkan informasi lengkap mengenai jadwal pertandingan dan hasil pertandingan terbaru hanya di Vidio.</t>
  </si>
  <si>
    <t>https://drive.google.com/file/d/1IgyILw1O69YdskXLZxY3eS98RN4SPU1I/view?usp=sharing</t>
  </si>
  <si>
    <t>https://drive.google.com/file/d/1tzOAiHKRAzuDyhbW1-i807Dmz6kQEMAx/view?usp=sharing</t>
  </si>
  <si>
    <t>410baed0</t>
  </si>
  <si>
    <t>Fortuna Sittard vs FC Groningen - Eredivisie</t>
  </si>
  <si>
    <t>https://www.vidio.com/live/6686-champions-tv-2?schedule_id=4666458</t>
  </si>
  <si>
    <t>https://drive.google.com/drive/folders/1-6XvCBemKIQzN0X_AD8yzGVjYPLC_qYf?usp=drive_link</t>
  </si>
  <si>
    <t>https://drive.google.com/file/d/1Sb-tN6RWJVqpLkwoVcvfte7zquaGpdaH/view?usp=drive_link</t>
  </si>
  <si>
    <t>fortuna sittard; fc groningen; sports stream</t>
  </si>
  <si>
    <t>Nonton streaming pertandingan seru Fortuna Sittard vs FC Groningen - Eredivisie. Saksikan aksi-aksi terbaik dari tim yang bersaing ketat untuk meraih kemenangan. Dapatkan informasi lengkap mengenai jadwal pertandingan dan hasil pertandingan terbaru hanya di Vidio.</t>
  </si>
  <si>
    <t>https://drive.google.com/file/d/1H4aQGemO-dDqeHl1b6CBzvlq9rgaeg01/view?usp=sharing</t>
  </si>
  <si>
    <t>https://drive.google.com/file/d/1Sb-tN6RWJVqpLkwoVcvfte7zquaGpdaH/view?usp=sharing</t>
  </si>
  <si>
    <t>https://drive.google.com/file/d/1hN3aMlNxhYh0hu7kqmVU7538t8jCHso0/view?usp=sharing</t>
  </si>
  <si>
    <t>30ad4f25</t>
  </si>
  <si>
    <t>San Francisco 49ers vs Los Angeles Rams - NFL</t>
  </si>
  <si>
    <t>https://www.vidio.com/live/19623-national-football-league-2025-26?schedule_id=4626326</t>
  </si>
  <si>
    <t>https://drive.google.com/drive/folders/1fjaZJlNvaCySR-UGtn3m2VrspM6Pa_6A</t>
  </si>
  <si>
    <t>Nonton streaming pertandingan seru San Francisco 49ers vs Los Angeles Rams - NFL. Saksikan aksi-aksi terbaik dari tim yang bersaing ketat untuk meraih kemenangan. Dapatkan informasi lengkap mengenai jadwal pertandingan dan hasil pertandingan terbaru hanya di Vidio.</t>
  </si>
  <si>
    <t>A1 , C1</t>
  </si>
  <si>
    <t>https://drive.google.com/file/d/175C8CfIv-7XGxTbvuozVTQjMcnQYVvyf/view?usp=sharing</t>
  </si>
  <si>
    <t>https://drive.google.com/file/d/1Z1eHPDUBJTLAgzwiv3fyd8HJOVroStrM/view?usp=sharing</t>
  </si>
  <si>
    <t>7f2a55c6</t>
  </si>
  <si>
    <t>Denver Broncos vs Philadelphia Eagles - NFL</t>
  </si>
  <si>
    <t>https://www.vidio.com/live/19623-national-football-league-2025-26?schedule_id=4632527</t>
  </si>
  <si>
    <t>https://drive.google.com/drive/folders/1WtOYI4fgf0v6-0OsDcXHKsorIvgTM49N</t>
  </si>
  <si>
    <t>Nonton streaming pertandingan seru Denver Broncos vs Philadelphia Eagles - NFL. Saksikan aksi-aksi terbaik dari tim yang bersaing ketat untuk meraih kemenangan. Dapatkan informasi lengkap mengenai jadwal pertandingan dan hasil pertandingan terbaru hanya di Vidio.</t>
  </si>
  <si>
    <t>https://drive.google.com/file/d/1vv9g3MzzLSkxiY6-Mjca8iyfffRPKmzg/view?usp=sharing</t>
  </si>
  <si>
    <t>https://drive.google.com/file/d/1I6MMaYcn7mcuf4qdpaAA2T6CKSOyKNzT/view?usp=sharing</t>
  </si>
  <si>
    <t>1510a2d2</t>
  </si>
  <si>
    <t>Detroit Lions vs Cincinnati Bengals - NFL</t>
  </si>
  <si>
    <t>https://www.vidio.com/live/19623-national-football-league-2025-26?schedule_id=4632528</t>
  </si>
  <si>
    <t>https://drive.google.com/drive/folders/1msZyWE5bzRu-MAuCrdRc9samFAtsHzLT</t>
  </si>
  <si>
    <t>Nonton streaming pertandingan seru Detroit Lions vs Cincinnati Bengals - NFL. Saksikan aksi-aksi terbaik dari tim yang bersaing ketat untuk meraih kemenangan. Dapatkan informasi lengkap mengenai jadwal pertandingan dan hasil pertandingan terbaru hanya di Vidio.</t>
  </si>
  <si>
    <t>https://drive.google.com/file/d/1yihNIK4E08YFVjgpg0T63u9Z8rrzsDVh/view?usp=sharing</t>
  </si>
  <si>
    <t>https://drive.google.com/file/d/14Zwo2kNh5aeX2sVJGwSWduOD9Kl_rn6m/view?usp=sharing</t>
  </si>
  <si>
    <t>8c7591c4</t>
  </si>
  <si>
    <t>New England Patriots vs Buffalo Bills - NFL</t>
  </si>
  <si>
    <t>https://www.vidio.com/live/19548-national-football-league-2025-26?schedule_id=4632529</t>
  </si>
  <si>
    <t>https://drive.google.com/drive/folders/1y3lBPBslJoUGkB1UxkBWbPUeMMNVDUHp</t>
  </si>
  <si>
    <t>New England Patriots</t>
  </si>
  <si>
    <t>Nonton streaming pertandingan seru New England Patriots vs Buffalo Bills - NFL. Saksikan aksi-aksi terbaik dari tim yang bersaing ketat untuk meraih kemenangan. Dapatkan informasi lengkap mengenai jadwal pertandingan dan hasil pertandingan terbaru hanya di Vidio.</t>
  </si>
  <si>
    <t>https://drive.google.com/file/d/1JDV3crfrLjjOTEkR1QaPJnI31chfmkWW/view?usp=sharing</t>
  </si>
  <si>
    <t>https://drive.google.com/file/d/1ChJ7ebODYDmExS7c1yesFApvNyDLK-1A/view?usp=sharing</t>
  </si>
  <si>
    <t>03b44ff1</t>
  </si>
  <si>
    <t>Kansas City Chiefs vs Jacksonville Jaguars - NFL</t>
  </si>
  <si>
    <t>https://www.vidio.com/live/19548-national-football-league-2025-26?schedule_id=4632530</t>
  </si>
  <si>
    <t>https://drive.google.com/drive/folders/1rvD5WEo5LtrOSdb4t4gP7a0Ced5BDYOs</t>
  </si>
  <si>
    <t>Nonton streaming pertandingan seru Kansas City Chiefs vs Jacksonville Jaguars - NFL. Saksikan aksi-aksi terbaik dari tim yang bersaing ketat untuk meraih kemenangan. Dapatkan informasi lengkap mengenai jadwal pertandingan dan hasil pertandingan terbaru hanya di Vidio.</t>
  </si>
  <si>
    <t>https://drive.google.com/file/d/17__UtT_RdmoVhe1KqApUxIslJPsMiBdr/view?usp=sharing</t>
  </si>
  <si>
    <t>https://drive.google.com/file/d/1xmUHslDl_l0rdmdvLD3ji4wAVR_Jp4hl/view?usp=sharing</t>
  </si>
  <si>
    <t>78f6a02d</t>
  </si>
  <si>
    <t>Rajadamnern 2025 Lightweight Title</t>
  </si>
  <si>
    <t>https://www.vidio.com/live/19388-rajadamnern-2025?schedule_id=4637747</t>
  </si>
  <si>
    <t>https://drive.google.com/drive/folders/1ynBxGkVy-JxE7p-JHfBYbShRtALRofVb</t>
  </si>
  <si>
    <t>https://drive.google.com/drive/folders/1Tkv3JyLWDen5I9edG9S5YeGqZ7EIMWVe?usp=drive_link</t>
  </si>
  <si>
    <t>Nonton streaming pertandingan seru Rajadamnern 2025 Lightweight Title. Saksikan aksi-aksi terbaik dari tim yang bersaing ketat untuk meraih kemenangan. Dapatkan informasi lengkap mengenai jadwal pertandingan dan hasil pertandingan terbaru hanya di Vidio.</t>
  </si>
  <si>
    <t>SEO &amp; Socials</t>
  </si>
  <si>
    <t>https://3.basecamp.com/4902751/buckets/36763424/card_tables/cards/9124306475</t>
  </si>
  <si>
    <t>https://drive.google.com/file/d/1YbykCltkBr-_4azzxvr_oXjZcOnKgRAs/view?usp=sharing</t>
  </si>
  <si>
    <t>https://drive.google.com/file/d/16lB2p86RH5tEl-qzKweMw5VRkI_yqtIr/view?usp=sharing</t>
  </si>
  <si>
    <t>932242ef</t>
  </si>
  <si>
    <t>Alvark Tokyo vs Ulaanbaatar Xac Broncos - EASL</t>
  </si>
  <si>
    <t>EASL 2025/26</t>
  </si>
  <si>
    <t>VIDIO - @easl</t>
  </si>
  <si>
    <t>https://www.vidio.com/live/19671-easl?schedule_id=4635905</t>
  </si>
  <si>
    <t>https://drive.google.com/drive/folders/1i6oV5NvhzsIa0N5CpdCNRPRpVadqiVFe?usp=drive_link</t>
  </si>
  <si>
    <t>Alvark Tokyo</t>
  </si>
  <si>
    <t>Ulaanbaatar Xac Broncos</t>
  </si>
  <si>
    <t>Sports &gt; Basketball &gt; EASL</t>
  </si>
  <si>
    <t>Basketball</t>
  </si>
  <si>
    <t>EASL; EASL 2025/26</t>
  </si>
  <si>
    <t>Alvark Tokyo; Ulaanbaatar Xac Broncos; sports stream</t>
  </si>
  <si>
    <t>Nonton streaming pertandingan seru Alvark Tokyo vs Ulaanbaatar Xac Broncos - EASL. Saksikan aksi-aksi terbaik dari tim yang bersaing ketat untuk meraih kemenangan. Dapatkan informasi lengkap mengenai jadwal pertandingan dan hasil pertandingan terbaru hanya di Vidio.</t>
  </si>
  <si>
    <t>https://drive.google.com/file/d/1J0FhKWUEg06Mc2VkLzF25OLQ4ZiZmwRx/view?usp=sharing</t>
  </si>
  <si>
    <t>https://drive.google.com/file/d/1dG2B7ZFX618-dnDegb4S4tYCvkjeH1VD/view?usp=sharing</t>
  </si>
  <si>
    <t>af372c06</t>
  </si>
  <si>
    <t>Taipei Fubon Brave vs Utsunomiya Brex - EASL</t>
  </si>
  <si>
    <t>https://www.vidio.com/live/19672-easl?schedule_id=4635907</t>
  </si>
  <si>
    <t>https://drive.google.com/drive/folders/1_Htp3VCslF4vq0QppT07euOMrVKiZ2Mx?usp=drive_link</t>
  </si>
  <si>
    <t>Taipei Fubon Brave</t>
  </si>
  <si>
    <t>Utsunomiya Brex</t>
  </si>
  <si>
    <t>Taipei Fubon Brave; Utsunomiya Brex; sports stream</t>
  </si>
  <si>
    <t>Nonton streaming pertandingan seru Taipei Fubon Brave vs Utsunomiya Brex - EASL. Saksikan aksi-aksi terbaik dari tim yang bersaing ketat untuk meraih kemenangan. Dapatkan informasi lengkap mengenai jadwal pertandingan dan hasil pertandingan terbaru hanya di Vidio.</t>
  </si>
  <si>
    <t>https://drive.google.com/file/d/17ey3-5TUxCVXQNMl6KTu946q-GoCcMVx/view?usp=sharing</t>
  </si>
  <si>
    <t>https://drive.google.com/file/d/1xZxuKbLoq0nATJLZIe2dC1ub4A_lSkld/view?usp=sharing</t>
  </si>
  <si>
    <t>fe02d21a</t>
  </si>
  <si>
    <t>Taoyuan Pauian Pilots vs Ryukyu Golden Kings - EASL</t>
  </si>
  <si>
    <t>https://www.vidio.com/live/19672-easl?schedule_id=4635908</t>
  </si>
  <si>
    <t>https://drive.google.com/drive/folders/1IValfbZ_FvAwe0kVsSnM9-kXUxr2piqq?usp=drive_link</t>
  </si>
  <si>
    <t>Taoyuan Pauian Pilots</t>
  </si>
  <si>
    <t>Ryukyu Golden Kings</t>
  </si>
  <si>
    <t>taoyuan pauian pilots; ryukyu golden kings; sports stream</t>
  </si>
  <si>
    <t>Nonton streaming pertandingan seru Taoyuan Pauian Pilots vs Ryukyu Golden Kings - EASL. Saksikan aksi-aksi terbaik dari tim yang bersaing ketat untuk meraih kemenangan. Dapatkan informasi lengkap mengenai jadwal pertandingan dan hasil pertandingan terbaru hanya di Vidio.</t>
  </si>
  <si>
    <t>https://drive.google.com/file/d/1nQeGU4rRSdh4DNDe_0k3YiUMdWsEL7rl/view?usp=sharing</t>
  </si>
  <si>
    <t>https://drive.google.com/file/d/1Sf7iZYLMxtTHLZdvml8poamCe1ww3a8j/view?usp=sharing</t>
  </si>
  <si>
    <t>b26110e3</t>
  </si>
  <si>
    <t>Persekat Tegal vs PSPS Pekanbaru - Pegadaian Championship</t>
  </si>
  <si>
    <t>https://www.vidio.com/live/19541-pegadaian-championship-2025-26?schedule_id=4665891</t>
  </si>
  <si>
    <t>https://drive.google.com/drive/folders/1Ot7yfiOQe0JnNXYSo3xTHhzITdBMH2pK?usp=drive_link</t>
  </si>
  <si>
    <t>https://drive.google.com/drive/folders/1-d7SElccr2N6xnWCuYB7bicvICq7mohq?usp=drive_link</t>
  </si>
  <si>
    <t>persekat; psps riau; sports stream</t>
  </si>
  <si>
    <t>Nonton streaming pertandingan seru Persekat Tegal vs PSPS Pekanbaru - Pegadaian Championship. Saksikan aksi-aksi terbaik dari tim yang bersaing ketat untuk meraih kemenangan. Dapatkan informasi lengkap mengenai jadwal pertandingan dan hasil pertandingan terbaru hanya di Vidio.</t>
  </si>
  <si>
    <t>https://drive.google.com/file/d/1K2wXKZ0ZVpwtirOWALllOuK67hIRIUW7/view?usp=sharing</t>
  </si>
  <si>
    <t>https://drive.google.com/file/d/1kvNnpy6AksGp4ysvaMmgMxu9TIbDg-QT/view?usp=drive_link</t>
  </si>
  <si>
    <t>https://drive.google.com/file/d/12k4t87fto-rsWpwUZjspRJdTrj9Xhlv_/view?usp=sharing</t>
  </si>
  <si>
    <t>4bd17a18</t>
  </si>
  <si>
    <t>Sumsel United vs Adhyaksa FC - Pegadaian Championship</t>
  </si>
  <si>
    <t>https://www.vidio.com/live/19541-pegadaian-championship-2025-26?schedule_id=4665892</t>
  </si>
  <si>
    <t>https://drive.google.com/drive/folders/1TMnLpklc1gLW5TKITRFyBb3rzvpyWl15?usp=drive_link</t>
  </si>
  <si>
    <t>Sumsel United; Adhyaksa Farmel FC; sports stream</t>
  </si>
  <si>
    <t>Nonton streaming pertandingan seru Sumsel United vs Adhyaksa FC - Pegadaian Championship. Saksikan aksi-aksi terbaik dari tim yang bersaing ketat untuk meraih kemenangan. Dapatkan informasi lengkap mengenai jadwal pertandingan dan hasil pertandingan terbaru hanya di Vidio.</t>
  </si>
  <si>
    <t>https://drive.google.com/file/d/17zVMhSYrzPwKcAdobFa-OGjIJd7iQo-l/view?usp=sharing</t>
  </si>
  <si>
    <t>https://drive.google.com/file/d/1efNyxQALVc0CbcK5P_9zPQvZkT56zkDP/view?usp=drive_link</t>
  </si>
  <si>
    <t>https://drive.google.com/file/d/19s5Fv6Uas1lt3SHVIZPNrm6uVPyoxeFM/view?usp=sharing</t>
  </si>
  <si>
    <t>f2dc9c3e</t>
  </si>
  <si>
    <t>Persipura Jayapura vs PS. Barito Putera - Pegadaian Championship</t>
  </si>
  <si>
    <t>https://www.vidio.com/live/19543-pegadaian-championship-2025-26?schedule_id=4665895</t>
  </si>
  <si>
    <t>https://drive.google.com/drive/folders/1nIJ4V2QhNVa5hzwpuIGRUrXKA8rzcZE8?usp=drive_link</t>
  </si>
  <si>
    <t>persipura; ps barito putera; sports stream</t>
  </si>
  <si>
    <t>Nonton streaming pertandingan seru Persipura Jayapura vs PS. Barito Putera - Pegadaian Championship. Saksikan aksi-aksi terbaik dari tim yang bersaing ketat untuk meraih kemenangan. Dapatkan informasi lengkap mengenai jadwal pertandingan dan hasil pertandingan terbaru hanya di Vidio.</t>
  </si>
  <si>
    <t>https://drive.google.com/file/d/1ZGRTj6fj5DvCbA8qUB9u_nrBS7OAZzHC/view?usp=sharing</t>
  </si>
  <si>
    <t>https://drive.google.com/file/d/1TAUzTXWnA_jufDE4jUTHbS927AY9Djtk/view?usp=drive_link</t>
  </si>
  <si>
    <t>https://drive.google.com/file/d/1tHXdT-NytLIMCXcbtLY97f-3uPmFG10b/view?usp=sharing</t>
  </si>
  <si>
    <t>77bc97d4</t>
  </si>
  <si>
    <t>Persela Lamongan vs PSS Sleman - Pegadaian Championship</t>
  </si>
  <si>
    <t>https://www.vidio.com/live/19584-pegadaian-championship-2025-26?schedule_id=4665898</t>
  </si>
  <si>
    <t>https://drive.google.com/drive/folders/1cXbNF-NYCRtz8ZxiQx20PpwPK_uXZ2k4?usp=drive_link</t>
  </si>
  <si>
    <t>persela lamongan; pss sleman; sports stream</t>
  </si>
  <si>
    <t>Nonton streaming pertandingan seru Persela Lamongan vs PSS Sleman - Pegadaian Championship. Saksikan aksi-aksi terbaik dari tim yang bersaing ketat untuk meraih kemenangan. Dapatkan informasi lengkap mengenai jadwal pertandingan dan hasil pertandingan terbaru hanya di Vidio.</t>
  </si>
  <si>
    <t>https://drive.google.com/file/d/1I4dR81QQoYfRqW_zEWMT0QOMJJk-utub/view?usp=sharing</t>
  </si>
  <si>
    <t>https://drive.google.com/file/d/1s80ZjKw2qUpGkF76y-_G_MqbX-CfISZ-/view?usp=drive_link</t>
  </si>
  <si>
    <t>https://drive.google.com/file/d/1l40OYct2QGw3rzx1KF7TaWWY9z0_CodR/view?usp=sharing</t>
  </si>
  <si>
    <t>004b89b4</t>
  </si>
  <si>
    <t>Persipal FC vs Kendal Tornado FC - Pegadaian Championship</t>
  </si>
  <si>
    <t>https://www.vidio.com/live/19541-pegadaian-championship-2025-26?schedule_id=4665893</t>
  </si>
  <si>
    <t>https://drive.google.com/drive/folders/11SLpygWUfa0Pux76ulqnAm1bmBYOeD3b?usp=drive_link</t>
  </si>
  <si>
    <t>Persipal Palu; Kendal Tornado FC; sports stream</t>
  </si>
  <si>
    <t>Nonton streaming pertandingan seru Persipal FC vs Kendal Tornado FC - Pegadaian Championship. Saksikan aksi-aksi terbaik dari tim yang bersaing ketat untuk meraih kemenangan. Dapatkan informasi lengkap mengenai jadwal pertandingan dan hasil pertandingan terbaru hanya di Vidio.</t>
  </si>
  <si>
    <t>https://drive.google.com/file/d/1WP2Jq_H5yoXqgAZcfeemvvHGysgwan0B/view?usp=sharing</t>
  </si>
  <si>
    <t>https://drive.google.com/file/d/1pB7Nx1VCRFE1lr_wC72PpizXuh0YwvBX/view?usp=drive_link</t>
  </si>
  <si>
    <t>https://drive.google.com/file/d/1csPssJRAusfRpynLE4Z_2OuyTEz-sIkk/view?usp=sharing</t>
  </si>
  <si>
    <t>8a649338</t>
  </si>
  <si>
    <t>PSMS Medan vs Persiraja Banda Aceh - Pegadaian Championship</t>
  </si>
  <si>
    <t>https://www.vidio.com/live/19543-pegadaian-championship-2025-26?schedule_id=4665897</t>
  </si>
  <si>
    <t>https://drive.google.com/drive/folders/15zwlPKhRTe7DArO7dpSh-q4Qy8ET27CR?usp=drive_link</t>
  </si>
  <si>
    <t>psms medan; persiraja banda aceh; sports stream</t>
  </si>
  <si>
    <t>Nonton streaming pertandingan seru PSMS Medan vs Persiraja Banda Aceh - Pegadaian Championship. Saksikan aksi-aksi terbaik dari tim yang bersaing ketat untuk meraih kemenangan. Dapatkan informasi lengkap mengenai jadwal pertandingan dan hasil pertandingan terbaru hanya di Vidio.</t>
  </si>
  <si>
    <t>https://drive.google.com/file/d/14hqTMmmwqce9L2IvDsBtPdRTk-mf8rCn/view?usp=sharing</t>
  </si>
  <si>
    <t>https://drive.google.com/file/d/1-U-1ULSPHKwTJaqCG-onHCAStXiSb8WD/view?usp=drive_link</t>
  </si>
  <si>
    <t>https://drive.google.com/file/d/1vL12ugaKvfcEkP6ROMsLVPYaGaAb2Nxe/view?usp=sharing</t>
  </si>
  <si>
    <t>298589b3</t>
  </si>
  <si>
    <t>Deltras FC vs PSIS Semarang - Pegadaian Championship</t>
  </si>
  <si>
    <t>https://www.vidio.com/live/19584-pegadaian-championship-2025-26?schedule_id=4665899</t>
  </si>
  <si>
    <t>https://drive.google.com/drive/folders/1D4hPoAD-vnq8B8Y5Udnq1cV66SFj8O-W?usp=drive_link</t>
  </si>
  <si>
    <t>deltras sidoarjo; psis semarang; sports stream</t>
  </si>
  <si>
    <t>Nonton streaming pertandingan seru Deltras FC vs PSIS Semarang - Pegadaian Championship. Saksikan aksi-aksi terbaik dari tim yang bersaing ketat untuk meraih kemenangan. Dapatkan informasi lengkap mengenai jadwal pertandingan dan hasil pertandingan terbaru hanya di Vidio.</t>
  </si>
  <si>
    <t>https://drive.google.com/file/d/1m8mrB4A3SUrELTEpdz1WHP0Xwb2MRn6p/view?usp=sharing</t>
  </si>
  <si>
    <t>https://drive.google.com/file/d/1WF9jg-V8SYfEXsP9VxZLo58LHLlTS965/view?usp=drive_link</t>
  </si>
  <si>
    <t>https://drive.google.com/file/d/1PbEPYarv7nyv3MBViLKkw4TwnU9zhdsn/view?usp=sharing</t>
  </si>
  <si>
    <t>764572c8</t>
  </si>
  <si>
    <t>Garudayaksa FC vs Persikad - Pegadaian Championship</t>
  </si>
  <si>
    <t>https://www.vidio.com/live/19541-pegadaian-championship-2025-26?schedule_id=4665894</t>
  </si>
  <si>
    <t>https://drive.google.com/drive/folders/1zxf8soryJZN8tBw4MgcRZqoHneVhahhm?usp=drive_link</t>
  </si>
  <si>
    <t>pskc cimahi; Persikad; sports stream</t>
  </si>
  <si>
    <t>Nonton streaming pertandingan seru Garudayaksa FC vs Persikad - Pegadaian Championship. Saksikan aksi-aksi terbaik dari tim yang bersaing ketat untuk meraih kemenangan. Dapatkan informasi lengkap mengenai jadwal pertandingan dan hasil pertandingan terbaru hanya di Vidio.</t>
  </si>
  <si>
    <t>https://drive.google.com/file/d/1xCGte071jYvFJdZmpMGb3SADCbgzIaAN/view?usp=sharing</t>
  </si>
  <si>
    <t>https://drive.google.com/file/d/1Omr02N8_z7d33gkU9kvIcIogCk76Dvur/view?usp=drive_link</t>
  </si>
  <si>
    <t>https://drive.google.com/file/d/17k7AU_ai7qNXYuAHbLFs4Ovs3XflQs5A/view?usp=sharing</t>
  </si>
  <si>
    <t>46cdce18</t>
  </si>
  <si>
    <t>Sriwijaya FC vs FC Bekasi City - Pegadaian Championship</t>
  </si>
  <si>
    <t>https://www.vidio.com/live/19542-pegadaian-championship-2025-26?schedule_id=4665900</t>
  </si>
  <si>
    <t>https://drive.google.com/drive/folders/1d-V1Gl4MTEtl_SRu0opacKFAJo-CeA39?usp=drive_linkhttps://drive.google.com/drive/folders/1d-V1Gl4MTEtl_SRu0opacKFAJo-CeA39?usp=drive_link</t>
  </si>
  <si>
    <t>sriwijaya fc; fc bekasi city; sports stream</t>
  </si>
  <si>
    <t>Nonton streaming pertandingan seru Sriwijaya FC vs FC Bekasi City - Pegadaian Championship. Saksikan aksi-aksi terbaik dari tim yang bersaing ketat untuk meraih kemenangan. Dapatkan informasi lengkap mengenai jadwal pertandingan dan hasil pertandingan terbaru hanya di Vidio.</t>
  </si>
  <si>
    <t>https://drive.google.com/file/d/1LDvXUbhl_tlFWSzJIfjotEfaiNX-ymh6/view?usp=sharing</t>
  </si>
  <si>
    <t>https://drive.google.com/file/d/1MuQegUOANHbPXjmLEQzN7pIdhqEADPKd/view?usp=drive_link</t>
  </si>
  <si>
    <t>https://drive.google.com/file/d/1Km05YUqzFjwBqXr73xFjp3bo0A5p9979/view?usp=sharing</t>
  </si>
  <si>
    <t>72a0c695</t>
  </si>
  <si>
    <t>Persiba Balikpapan vs Persiku Kudus - Pegadaian Championship</t>
  </si>
  <si>
    <t>https://www.vidio.com/live/19541-pegadaian-championship-2025-26?schedule_id=4665896</t>
  </si>
  <si>
    <t>https://drive.google.com/drive/folders/1tyk9jeSt1j8RwGSMLLI-VtijrUi1DppA?usp=drive_link</t>
  </si>
  <si>
    <t>Persiba Balikpapan; persiku kudus; sports stream</t>
  </si>
  <si>
    <t>Nonton streaming pertandingan seru Persiba Balikpapan vs Persiku Kudus - Pegadaian Championship. Saksikan aksi-aksi terbaik dari tim yang bersaing ketat untuk meraih kemenangan. Dapatkan informasi lengkap mengenai jadwal pertandingan dan hasil pertandingan terbaru hanya di Vidio.</t>
  </si>
  <si>
    <t>https://drive.google.com/file/d/1Qy1Vsx4DieqZBEC9Id9Owc5SHzxTgPnL/view?usp=sharing</t>
  </si>
  <si>
    <t>https://drive.google.com/file/d/1byQnf0omPUzGleYxLg34MJSZoDTNCCM_/view?usp=drive_link</t>
  </si>
  <si>
    <t>https://drive.google.com/file/d/1DIW6kPN3qtuYA0S7C1hr-cO-n6Z_yfG6/view?usp=sharing</t>
  </si>
  <si>
    <t>3f9b0333</t>
  </si>
  <si>
    <t>Grimsby Town FC vs Brentford - Carabao Cup</t>
  </si>
  <si>
    <t>https://www.vidio.com/live/6685-champions-tv-1?schedule_id=4676376</t>
  </si>
  <si>
    <t>https://drive.google.com/drive/folders/1mkt3OY2RTDjdMrQt8V_tF_4GP8mstHzs?usp=sharing</t>
  </si>
  <si>
    <t>https://drive.google.com/file/d/1ZN9qzrX2Bj-y7gxo6CCJUC0kTEvbpns-/view?usp=sharing</t>
  </si>
  <si>
    <t>Grimsby Town FC; brentford fc; sports stream</t>
  </si>
  <si>
    <t>Nonton streaming pertandingan seru Grimsby Town FC vs Brentford - Carabao Cup. Saksikan aksi-aksi terbaik dari tim yang bersaing ketat untuk meraih kemenangan. Dapatkan informasi lengkap mengenai jadwal pertandingan dan hasil pertandingan terbaru hanya di Vidio.</t>
  </si>
  <si>
    <t>https://drive.google.com/file/d/18fjO-tSkVxIG_0yW8XwF6YTVh20xBUYh/view?usp=sharing</t>
  </si>
  <si>
    <t>https://drive.google.com/file/d/1hUG0HGWuJ9cwrBt38yZLYR2qboan6vYU/view?usp=sharing</t>
  </si>
  <si>
    <t>cd2410bb</t>
  </si>
  <si>
    <t>Wycombe vs Fulham - Carabao Cup</t>
  </si>
  <si>
    <t>https://www.vidio.com/live/6686-champions-tv-2?schedule_id=4675257</t>
  </si>
  <si>
    <t>https://drive.google.com/drive/folders/1NaSIoC1gN5xC6W29F8NjTPjo4rFbKFU8?usp=sharing</t>
  </si>
  <si>
    <t>https://drive.google.com/file/d/1XRgw6sYiHCxiooHl1J9SR27o_dgSW5wm/view?usp=sharing</t>
  </si>
  <si>
    <t>Wycombe Wanderers FC</t>
  </si>
  <si>
    <t>wycombe wanderers fc; fulham fc; sports stream</t>
  </si>
  <si>
    <t>Nonton streaming pertandingan seru Wycombe vs Fulham - Carabao Cup. Saksikan aksi-aksi terbaik dari tim yang bersaing ketat untuk meraih kemenangan. Dapatkan informasi lengkap mengenai jadwal pertandingan dan hasil pertandingan terbaru hanya di Vidio.</t>
  </si>
  <si>
    <t>https://drive.google.com/file/d/1eshAmLGeEeqhzRF_Q96Af81zUDB-cTYP/view?usp=sharing</t>
  </si>
  <si>
    <t>https://drive.google.com/file/d/1Nzov-VkeEvUrtFCztK13nQiDhJJRzdjt/view?usp=sharing</t>
  </si>
  <si>
    <t>e14ac674</t>
  </si>
  <si>
    <t>Wrexham vs Cardiff City - Carabao Cup</t>
  </si>
  <si>
    <t>https://www.vidio.com/live/19757-carabao-cup-2025-26?schedule_id=4675256</t>
  </si>
  <si>
    <t>https://drive.google.com/drive/folders/10_XKUcGbjMO64-XVLJGx-hgasUasf_gX?usp=sharing</t>
  </si>
  <si>
    <t>https://drive.google.com/file/d/19Zs8LXZ5UbYExOolTZ06W5PM1TmaPX0l/view?usp=sharing</t>
  </si>
  <si>
    <t>wrexham fc; cardiff city fc; sports stream</t>
  </si>
  <si>
    <t>Nonton streaming pertandingan seru Wrexham vs Cardiff City - Carabao Cup. Saksikan aksi-aksi terbaik dari tim yang bersaing ketat untuk meraih kemenangan. Dapatkan informasi lengkap mengenai jadwal pertandingan dan hasil pertandingan terbaru hanya di Vidio.</t>
  </si>
  <si>
    <t>https://drive.google.com/file/d/1WcvYB2Xjf0o2uhbRxl4vY1HgXyPObCEt/view?usp=sharing</t>
  </si>
  <si>
    <t>73a3eb36</t>
  </si>
  <si>
    <t>Arsenal vs Brighton - Carabao Cup</t>
  </si>
  <si>
    <t>https://www.vidio.com/live/19604-carabao-cup-2025-26?schedule_id=4673898</t>
  </si>
  <si>
    <t>https://drive.google.com/drive/folders/1zTY2LLiEU4PNtRh2IP1fhOxssTdLTHbq?usp=drive_link</t>
  </si>
  <si>
    <t>https://drive.google.com/file/d/12LYkXAIPbSEc2qJOpfxJfIj7TA8Zv4Vw/view?usp=drive_link</t>
  </si>
  <si>
    <t>Nonton streaming pertandingan seru Arsenal vs Brighton - Carabao Cup. Saksikan aksi-aksi terbaik dari tim yang bersaing ketat untuk meraih kemenangan. Dapatkan informasi lengkap mengenai jadwal pertandingan dan hasil pertandingan terbaru hanya di Vidio.</t>
  </si>
  <si>
    <t>https://drive.google.com/file/d/1VpJyc-KhBsh7XAp0Si5K-WydDdSgkwzF/view?usp=sharing</t>
  </si>
  <si>
    <t>https://drive.google.com/file/d/12LYkXAIPbSEc2qJOpfxJfIj7TA8Zv4Vw/view?usp=sharing</t>
  </si>
  <si>
    <t>https://drive.google.com/file/d/1Dul0lyYdP13iSnq2FmYhoXgLPhgzT2Zi/view?usp=sharing</t>
  </si>
  <si>
    <t>4bddd862</t>
  </si>
  <si>
    <t>Liverpool vs Crystal Palace - Carabao Cup</t>
  </si>
  <si>
    <t>https://www.vidio.com/live/19370-carabao-cup-2025-26?schedule_id=4673900</t>
  </si>
  <si>
    <t>https://drive.google.com/drive/folders/1F7zKN7oO94ySN0IJ1C5mtVvEtlrV7bGy?usp=drive_link</t>
  </si>
  <si>
    <t>https://drive.google.com/file/d/1rM_yQ0BIo2ha-oSyof3k4mPnICx2qwv1/view?usp=drive_link</t>
  </si>
  <si>
    <t>Nonton streaming pertandingan seru Liverpool vs Crystal Palace - Carabao Cup. Saksikan aksi-aksi terbaik dari tim yang bersaing ketat untuk meraih kemenangan. Dapatkan informasi lengkap mengenai jadwal pertandingan dan hasil pertandingan terbaru hanya di Vidio.</t>
  </si>
  <si>
    <t>https://drive.google.com/file/d/1sDIPW2JBm_aCvad_iOzY-MjZVQpJev6N/view?usp=sharing</t>
  </si>
  <si>
    <t>https://drive.google.com/file/d/1rM_yQ0BIo2ha-oSyof3k4mPnICx2qwv1/view?usp=sharing</t>
  </si>
  <si>
    <t>https://drive.google.com/file/d/1VexJEmQObruNM95mzMSr_H9WYfrPm8WO/view?usp=sharing</t>
  </si>
  <si>
    <t>9081ab7e</t>
  </si>
  <si>
    <t>Swansea City vs Man City - Carabao Cup</t>
  </si>
  <si>
    <t>https://www.vidio.com/live/6686-champions-tv-2?schedule_id=4675196</t>
  </si>
  <si>
    <t>https://drive.google.com/drive/folders/1vq0ZvyXdSCgfBuC7Go6pn31DL-cZGwV_?usp=drive_link</t>
  </si>
  <si>
    <t>https://drive.google.com/file/d/10qT-LfD4Ojfhb8M3VXNdT4j8RDZ-CvLZ/view?usp=drive_link</t>
  </si>
  <si>
    <t>swansea city afc; manchester city fc; sports stream</t>
  </si>
  <si>
    <t>Nonton streaming pertandingan seru Swansea City vs Man City - Carabao Cup. Saksikan aksi-aksi terbaik dari tim yang bersaing ketat untuk meraih kemenangan. Dapatkan informasi lengkap mengenai jadwal pertandingan dan hasil pertandingan terbaru hanya di Vidio.</t>
  </si>
  <si>
    <t>C2 , F1</t>
  </si>
  <si>
    <t>https://drive.google.com/file/d/1avatHjNIOzm3t6VYpORoRuFPVrFZut5S/view?usp=sharing</t>
  </si>
  <si>
    <t>https://drive.google.com/file/d/10qT-LfD4Ojfhb8M3VXNdT4j8RDZ-CvLZ/view?usp=sharing</t>
  </si>
  <si>
    <t>https://drive.google.com/file/d/1am5KMnKkSDVkyrD2dY2o-rdAJrJHYCQy/view?usp=sharing</t>
  </si>
  <si>
    <t>d614ffeb</t>
  </si>
  <si>
    <t>Wolves vs Chelsea - Carabao Cup</t>
  </si>
  <si>
    <t>https://www.vidio.com/live/19752-carabao-cup-2025-26?schedule_id=4673904</t>
  </si>
  <si>
    <t>https://drive.google.com/drive/folders/1KXvq6Tj7YzC1kLe-iEMUr7IF6pw227p4?usp=drive_link</t>
  </si>
  <si>
    <t>https://drive.google.com/file/d/1mn707SYUBMBS8FO3xMa7J1q-UShTki_M/view?usp=drive_link</t>
  </si>
  <si>
    <t>Nonton streaming pertandingan seru Wolves vs Chelsea - Carabao Cup. Saksikan aksi-aksi terbaik dari tim yang bersaing ketat untuk meraih kemenangan. Dapatkan informasi lengkap mengenai jadwal pertandingan dan hasil pertandingan terbaru hanya di Vidio.</t>
  </si>
  <si>
    <t>C3 , A4</t>
  </si>
  <si>
    <t>https://drive.google.com/file/d/1Qrmtizg5lc4abZf9nXQx0_2uJ1Xig8LV/view?usp=sharing</t>
  </si>
  <si>
    <t>https://drive.google.com/file/d/1mn707SYUBMBS8FO3xMa7J1q-UShTki_M/view?usp=sharing</t>
  </si>
  <si>
    <t>https://drive.google.com/file/d/1AHxnIQTHTbue1FxJf8NmLYG6V-wqoWdW/view?usp=sharing</t>
  </si>
  <si>
    <t>0f9085f1</t>
  </si>
  <si>
    <t>Newcastle vs Tottenham - Carabao Cup</t>
  </si>
  <si>
    <t>https://www.vidio.com/live/19753-carabao-cup-2025-26?schedule_id=4673906</t>
  </si>
  <si>
    <t>https://drive.google.com/drive/folders/1CK8Hd0BP54fc_1nAGdpkYGtHG7yBK92T?usp=drive_link</t>
  </si>
  <si>
    <t>https://drive.google.com/file/d/1mUg_nRYNoMvebnX4C6NEC-YPpJQQtnRT/view?usp=drive_link</t>
  </si>
  <si>
    <t>Nonton streaming pertandingan seru Newcastle vs Tottenham - Carabao Cup. Saksikan aksi-aksi terbaik dari tim yang bersaing ketat untuk meraih kemenangan. Dapatkan informasi lengkap mengenai jadwal pertandingan dan hasil pertandingan terbaru hanya di Vidio.</t>
  </si>
  <si>
    <t>C4 , B4</t>
  </si>
  <si>
    <t>https://drive.google.com/file/d/1fAVxrJdX9qGW0hZNsEmP3lCMUr_G6LTv/view?usp=sharing</t>
  </si>
  <si>
    <t>https://drive.google.com/file/d/1mUg_nRYNoMvebnX4C6NEC-YPpJQQtnRT/view?usp=sharing</t>
  </si>
  <si>
    <t>https://drive.google.com/file/d/1eDmM8WFI8xgxSDymT4SxxxVVi6-1oCkt/view?usp=sharing</t>
  </si>
  <si>
    <t>9ae6244e</t>
  </si>
  <si>
    <t>Arsenal vs Atletico Madrid - UEFA Youth League</t>
  </si>
  <si>
    <t>https://www.vidio.com/live/6299-bein-1?schedule_id=4660172</t>
  </si>
  <si>
    <t>https://drive.google.com/drive/folders/13kAH2_cFEa46VcsvFmvsvCd7IBsiChYR?usp=drive_link</t>
  </si>
  <si>
    <t>Nonton streaming pertandingan seru Arsenal vs Atletico Madrid - UEFA Youth League. Saksikan aksi-aksi terbaik dari tim yang bersaing ketat untuk meraih kemenangan. Dapatkan informasi lengkap mengenai jadwal pertandingan dan hasil pertandingan terbaru hanya di Vidio.</t>
  </si>
  <si>
    <t>https://drive.google.com/file/d/1GYYCcwGmRxpVD_U_sFp-kXPpCLqTS-2a/view?usp=sharing</t>
  </si>
  <si>
    <t>https://drive.google.com/file/d/1xvt5PHrtHru2fvFXmFzTmWmDKqnSCLwe/view?usp=drive_link</t>
  </si>
  <si>
    <t>7453c484</t>
  </si>
  <si>
    <t>Union Saint-Gilloise vs Inter - UEFA Youth League</t>
  </si>
  <si>
    <t>https://www.vidio.com/live/6317-bein-3?schedule_id=4663944</t>
  </si>
  <si>
    <t>https://drive.google.com/drive/folders/1VSdGx4QevueN0Zi2xX583MBw4pKWJJOi</t>
  </si>
  <si>
    <t>https://drive.google.com/drive/folders/1SJhqzDbKYD9SRePZy1O9Lac6FkTu5m69</t>
  </si>
  <si>
    <t>Nonton streaming pertandingan seru Union Saint-Gilloise vs Inter - UEFA Youth League. Saksikan aksi-aksi terbaik dari tim yang bersaing ketat untuk meraih kemenangan. Dapatkan informasi lengkap mengenai jadwal pertandingan dan hasil pertandingan terbaru hanya di Vidio.</t>
  </si>
  <si>
    <t>https://drive.google.com/file/d/1s5kqg5QWionOk7A1gFISWbaumtfm0Haa/view?usp=sharing</t>
  </si>
  <si>
    <t>https://drive.google.com/file/d/1e4V0x6jCI7nFXBSie6MhyuiRdyGNWml3/view?usp=drive_link</t>
  </si>
  <si>
    <t>6d352c3c</t>
  </si>
  <si>
    <t>Monaco vs Tottenham - UEFA Youth League</t>
  </si>
  <si>
    <t>https://www.vidio.com/live/6299-bein-1?schedule_id=4660170</t>
  </si>
  <si>
    <t>https://drive.google.com/drive/folders/1BZRdYnyHKi0FFaY1jPGxhXPd8jdHb9D8?usp=drive_link</t>
  </si>
  <si>
    <t>Nonton streaming pertandingan seru Monaco vs Tottenham - UEFA Youth League. Saksikan aksi-aksi terbaik dari tim yang bersaing ketat untuk meraih kemenangan. Dapatkan informasi lengkap mengenai jadwal pertandingan dan hasil pertandingan terbaru hanya di Vidio.</t>
  </si>
  <si>
    <t>https://drive.google.com/file/d/18SSJQ7A9SKqXEO4tjXKLUiLE-mrvN0SR/view?usp=sharing</t>
  </si>
  <si>
    <t>https://drive.google.com/file/d/103O7ECJstjDyQF_c-tGpkNaMYYmrAnss/view?usp=drive_link</t>
  </si>
  <si>
    <t>9e7587f7</t>
  </si>
  <si>
    <t>Bayern vs Club Brugge - UEFA Youth League</t>
  </si>
  <si>
    <t>https://www.vidio.com/live/6299-bein-1?schedule_id=4660171</t>
  </si>
  <si>
    <t>https://drive.google.com/drive/folders/1rRfiKKJ3PS3ezDGucrqT5TAQLFq1sPGz?usp=drive_link</t>
  </si>
  <si>
    <t>Nonton streaming pertandingan seru Bayern vs Club Brugge - UEFA Youth League. Saksikan aksi-aksi terbaik dari tim yang bersaing ketat untuk meraih kemenangan. Dapatkan informasi lengkap mengenai jadwal pertandingan dan hasil pertandingan terbaru hanya di Vidio.</t>
  </si>
  <si>
    <t>https://drive.google.com/file/d/1mH9-KOyfEc8_Otrh6dWbrB36CWA_LN4i/view?usp=sharing</t>
  </si>
  <si>
    <t>https://drive.google.com/file/d/1ZVQzMteJXi7PL6Z5P1THvKc6eLsnzRqF/view?usp=drive_link</t>
  </si>
  <si>
    <t>9c1df70e</t>
  </si>
  <si>
    <t>Turk Hava Yollari vs Aras Spor - Turkish Women's Volleyball Cup</t>
  </si>
  <si>
    <t>Turkish Women's Volleyball Cup 2025/26</t>
  </si>
  <si>
    <t>VIDIO - @turkishvolleyball</t>
  </si>
  <si>
    <t>https://www.vidio.com/live/19673-women-s-turkish-volleyball-league?schedule_id=4636454</t>
  </si>
  <si>
    <t>https://drive.google.com/drive/folders/1Iqyp-jmqSGRo9iHQxqj9CAIn7CnH9w_y?usp=drive_link</t>
  </si>
  <si>
    <t>Turk Hava Yollari</t>
  </si>
  <si>
    <t>Aras Kargo</t>
  </si>
  <si>
    <t>Sports &gt; Volleyball &gt; Turkish Volleyball Cup</t>
  </si>
  <si>
    <t>Volleyball</t>
  </si>
  <si>
    <t>Turkish Volleyball Cup; Turkish Volleyball Cup 2025/26</t>
  </si>
  <si>
    <t>FIVB; CEV; TVF</t>
  </si>
  <si>
    <t>turk hava yollari; aras kargo; sports stream</t>
  </si>
  <si>
    <t>Nonton streaming pertandingan seru Turk Hava Yollari vs Aras Spor - Turkish Women's Volleyball Cup. Saksikan aksi-aksi terbaik dari tim yang bersaing ketat untuk meraih kemenangan. Dapatkan informasi lengkap mengenai jadwal pertandingan dan hasil pertandingan terbaru hanya di Vidio.</t>
  </si>
  <si>
    <t>https://drive.google.com/file/d/1dLQzpRRJbu2dhJfBCieinDDiVly_kZu_/view?usp=sharing</t>
  </si>
  <si>
    <t>https://drive.google.com/file/d/1lpb43dL7n1AwXg8Md6VCShVoE6KTQtJM/view?usp=sharing</t>
  </si>
  <si>
    <t>2d080583</t>
  </si>
  <si>
    <t>Aydin B.Sehir Bld vs Bahcelievler Bld - Turkish Women's Volleyball Cup</t>
  </si>
  <si>
    <t>https://www.vidio.com/live/19677-turkish-women-s-volleyball-cup?schedule_id=4636644</t>
  </si>
  <si>
    <t>https://drive.google.com/drive/folders/1FFXTLKCw9s2H3Em_iyqMc3vvk0pQKRck?usp=drive_link</t>
  </si>
  <si>
    <t>Aydın Büyükşehir Belediyespor</t>
  </si>
  <si>
    <t>Bahcelievler Bld</t>
  </si>
  <si>
    <t>Aydin B.Sehir Bld.Volleyball; bahcelievler bld; sports stream</t>
  </si>
  <si>
    <t>Nonton streaming pertandingan seru Aydin B.Sehir Bld vs Bahcelievler Bld - Turkish Women's Volleyball Cup. Saksikan aksi-aksi terbaik dari tim yang bersaing ketat untuk meraih kemenangan. Dapatkan informasi lengkap mengenai jadwal pertandingan dan hasil pertandingan terbaru hanya di Vidio.</t>
  </si>
  <si>
    <t>https://drive.google.com/file/d/1LjKQluxTU2_OJDLOzGiRwyed8npWjhcO/view?usp=sharing</t>
  </si>
  <si>
    <t>f8d89fde</t>
  </si>
  <si>
    <t>Kuzeyboru vs Besiktas Ayos - Turkish Women's Volleyball Cup</t>
  </si>
  <si>
    <t>https://www.vidio.com/live/19673-women-s-turkish-volleyball-league?schedule_id=4636456</t>
  </si>
  <si>
    <t>https://drive.google.com/drive/folders/10L0KOzrQ0M1IoA7KaQJJIq0fhJP87mGF?usp=drive_link</t>
  </si>
  <si>
    <t>Kuzeyboru Genclik</t>
  </si>
  <si>
    <t>Besiktas Ayos</t>
  </si>
  <si>
    <t>Kuzeyboru; besiktas ayos volleyball; sports stream</t>
  </si>
  <si>
    <t>Nonton streaming pertandingan seru Kuzeyboru vs Besiktas Ayos - Turkish Women's Volleyball Cup. Saksikan aksi-aksi terbaik dari tim yang bersaing ketat untuk meraih kemenangan. Dapatkan informasi lengkap mengenai jadwal pertandingan dan hasil pertandingan terbaru hanya di Vidio.</t>
  </si>
  <si>
    <t>https://drive.google.com/file/d/1-tWFypLS7PluxFTQV0XNM5c-QfxPtf_R/view?usp=sharing</t>
  </si>
  <si>
    <t>96d4c865</t>
  </si>
  <si>
    <t>ILBank vs Kuzeyboru - Turkish Women's Volleyball Cup</t>
  </si>
  <si>
    <t>https://www.vidio.com/live/19677-turkish-women-s-volleyball-cup?schedule_id=4636676</t>
  </si>
  <si>
    <t>https://drive.google.com/drive/folders/1ELYf4MkI6r_X-iGAEHXT_soYvIF1YxOb</t>
  </si>
  <si>
    <t>ILBank</t>
  </si>
  <si>
    <t>ILBank; Kuzeyboru; sports stream</t>
  </si>
  <si>
    <t>Nonton streaming pertandingan seru ILBank vs Kuzeyboru - Turkish Women's Volleyball Cup. Saksikan aksi-aksi terbaik dari tim yang bersaing ketat untuk meraih kemenangan. Dapatkan informasi lengkap mengenai jadwal pertandingan dan hasil pertandingan terbaru hanya di Vidio.</t>
  </si>
  <si>
    <t>https://drive.google.com/file/d/1ivyQ2yqY6Rf3EyRJEt21ZvzDh60jKJMj/view?usp=sharing</t>
  </si>
  <si>
    <t>8a3bde9b</t>
  </si>
  <si>
    <t>Goztepe vs Aydin B.Sehir Bld - Turkish Women's Volleyball Cup</t>
  </si>
  <si>
    <t>https://www.vidio.com/live/19673-turkish-women-s-volleyball-cup?schedule_id=4636711</t>
  </si>
  <si>
    <t>https://drive.google.com/drive/folders/1R3smfkL3mfIkj3XV9D-o1UdeUhCD13Pd</t>
  </si>
  <si>
    <t>Goztepe</t>
  </si>
  <si>
    <t>Goztepe; Aydin B.Sehir Bld.Volleyball; sports stream</t>
  </si>
  <si>
    <t>Nonton streaming pertandingan seru Goztepe vs Aydin B.Sehir Bld - Turkish Women's Volleyball Cup. Saksikan aksi-aksi terbaik dari tim yang bersaing ketat untuk meraih kemenangan. Dapatkan informasi lengkap mengenai jadwal pertandingan dan hasil pertandingan terbaru hanya di Vidio.</t>
  </si>
  <si>
    <t>https://drive.google.com/file/d/14jeCax4fceVe3faKjj7GrUG5hMJBc_Bo/view?usp=sharing</t>
  </si>
  <si>
    <t>c96e8a43</t>
  </si>
  <si>
    <t>Nilufer Belediyespor vs Turk Hava Yollari - Turkish Women's Volleyball Cup</t>
  </si>
  <si>
    <t>https://www.vidio.com/live/19677-turkish-women-s-volleyball-cup?schedule_id=4636677</t>
  </si>
  <si>
    <t>https://drive.google.com/drive/folders/1uTCyWq7YuqsEe4qeTR9VXln0Zh3TKjT7</t>
  </si>
  <si>
    <t>Nilüfer Belediyespor - Volleyball Women</t>
  </si>
  <si>
    <t>nilufer belediyespor; turk hava yollari; sports stream</t>
  </si>
  <si>
    <t>Nonton streaming pertandingan seru Nilufer Belediyespor vs Turk Hava Yollari - Turkish Women's Volleyball Cup. Saksikan aksi-aksi terbaik dari tim yang bersaing ketat untuk meraih kemenangan. Dapatkan informasi lengkap mengenai jadwal pertandingan dan hasil pertandingan terbaru hanya di Vidio.</t>
  </si>
  <si>
    <t>https://drive.google.com/file/d/1RzQmUIJUmFoABjv0_z5QjFxDB5u62U6I/view?usp=sharing</t>
  </si>
  <si>
    <t>https://drive.google.com/file/d/1Dlpjo0uA9lUJ0Fhi59kHz1HG9Wpli24U/view?usp=sharing</t>
  </si>
  <si>
    <t>7891d5de</t>
  </si>
  <si>
    <t>Aras Spor vs Nilufer Belediyespor - Turkish Women's Volleyball Cup</t>
  </si>
  <si>
    <t>https://www.vidio.com/live/19673-turkish-women-s-volleyball-cup?schedule_id=4637934</t>
  </si>
  <si>
    <t>https://drive.google.com/drive/folders/1ZrHrVPrymz8sQIMLFbn1IgcUztyKyCBP?usp=sharing</t>
  </si>
  <si>
    <t>aras kargo; nilufer belediyespor; sports stream</t>
  </si>
  <si>
    <t>Nonton streaming pertandingan seru Aras Spor vs Nilufer Belediyespor - Turkish Women's Volleyball Cup. Saksikan aksi-aksi terbaik dari tim yang bersaing ketat untuk meraih kemenangan. Dapatkan informasi lengkap mengenai jadwal pertandingan dan hasil pertandingan terbaru hanya di Vidio.</t>
  </si>
  <si>
    <t>https://drive.google.com/file/d/1CWSyNDMvDyBnO4XYIODH0ex-YyKgtKsc/view?usp=sharing</t>
  </si>
  <si>
    <t>https://drive.google.com/file/d/172XbW0ydQ-X0s-x0cfDCq3PVSNlrzHbf/view?usp=sharing</t>
  </si>
  <si>
    <t>2cfff800</t>
  </si>
  <si>
    <t>Bahcelievler Bld vs Goztepe - Turkish Women's Volleyball Cup</t>
  </si>
  <si>
    <t>https://www.vidio.com/live/19677-turkish-women-s-volleyball-cup?schedule_id=4637935</t>
  </si>
  <si>
    <t>https://drive.google.com/drive/folders/1CaS03d4H7rjVWZiucVeDcy6jZWoGGaJS?usp=sharing</t>
  </si>
  <si>
    <t>bahcelievler bld; Goztepe; sports stream</t>
  </si>
  <si>
    <t>Nonton streaming pertandingan seru Bahcelievler Bld vs Goztepe - Turkish Women's Volleyball Cup. Saksikan aksi-aksi terbaik dari tim yang bersaing ketat untuk meraih kemenangan. Dapatkan informasi lengkap mengenai jadwal pertandingan dan hasil pertandingan terbaru hanya di Vidio.</t>
  </si>
  <si>
    <t>https://drive.google.com/file/d/1L0jag9pXBvFHGGsc3PGtU7JJy_H30hzw/view?usp=sharing</t>
  </si>
  <si>
    <t>bc0e74b1</t>
  </si>
  <si>
    <t>Besiktas Ayos vs ILBank - Turkish Women's Volleyball Cup</t>
  </si>
  <si>
    <t>https://www.vidio.com/live/19677-turkish-women-s-volleyball-cup?schedule_id=4637936</t>
  </si>
  <si>
    <t>https://drive.google.com/drive/folders/1FsCtKrq-X08R7dVIvO1MW_nCePitobfk?usp=sharing</t>
  </si>
  <si>
    <t>besiktas ayos volleyball; ILBank; sports stream</t>
  </si>
  <si>
    <t>Nonton streaming pertandingan seru Besiktas Ayos vs ILBank - Turkish Women's Volleyball Cup. Saksikan aksi-aksi terbaik dari tim yang bersaing ketat untuk meraih kemenangan. Dapatkan informasi lengkap mengenai jadwal pertandingan dan hasil pertandingan terbaru hanya di Vidio.</t>
  </si>
  <si>
    <t>https://drive.google.com/file/d/1F07tjo1zcttZiZQsm9i4v8RcQs0Wg8GE/view?usp=sharing</t>
  </si>
  <si>
    <t>e27c4550</t>
  </si>
  <si>
    <t>Jelang Kick Off - PSBS Biak vs PERSIB - BRI Super League</t>
  </si>
  <si>
    <t>https://www.vidio.com/live/19355-bri-super-league?schedule_id=4651621</t>
  </si>
  <si>
    <t>https://drive.google.com/drive/folders/1eqDHhhM__SuKP_N0zXpYdj-0sdzprwVi</t>
  </si>
  <si>
    <t>Nonton streaming pertandingan seru Jelang Kick Off - PSBS Biak vs PERSIB - BRI Super League. Saksikan aksi-aksi terbaik dari tim yang bersaing ketat untuk meraih kemenangan. Dapatkan informasi lengkap mengenai jadwal pertandingan dan hasil pertandingan terbaru hanya di Vidio.</t>
  </si>
  <si>
    <t>https://drive.google.com/file/d/1aB_D7R5UfUfeXVyCbQsRO86xGGbkeKcj/view?usp=drive_link</t>
  </si>
  <si>
    <t>17c643e2</t>
  </si>
  <si>
    <t>Jelang Kick Off - PERSEBAYA Surabaya vs PSM Makassar - BRI Super League</t>
  </si>
  <si>
    <t>https://www.vidio.com/live/19355-bri-super-league?schedule_id=4652410</t>
  </si>
  <si>
    <t>persebaya surabaya; PSM Makassar; sports stream</t>
  </si>
  <si>
    <t>Nonton streaming pertandingan seru Jelang Kick Off - PERSEBAYA Surabaya vs PSM Makassar - BRI Super League. Saksikan aksi-aksi terbaik dari tim yang bersaing ketat untuk meraih kemenangan. Dapatkan informasi lengkap mengenai jadwal pertandingan dan hasil pertandingan terbaru hanya di Vidio.</t>
  </si>
  <si>
    <t>https://drive.google.com/file/d/1rll9ulXbL4_WNG24vfRlmtECYKv-32h3/view?usp=drive_link</t>
  </si>
  <si>
    <t>56134c89</t>
  </si>
  <si>
    <t>Jelang Kick Off - PSM Makassar vs Arema FC - BRI Super League</t>
  </si>
  <si>
    <t>https://www.vidio.com/live/19355-bri-super-league?schedule_id=4653437</t>
  </si>
  <si>
    <t>Nonton streaming pertandingan seru Jelang Kick Off - PSM Makassar vs Arema FC - BRI Super League. Saksikan aksi-aksi terbaik dari tim yang bersaing ketat untuk meraih kemenangan. Dapatkan informasi lengkap mengenai jadwal pertandingan dan hasil pertandingan terbaru hanya di Vidio.</t>
  </si>
  <si>
    <t>637032a6</t>
  </si>
  <si>
    <t>Zeren Spor vs Vakifbank - Turkish Women's Volleyball League</t>
  </si>
  <si>
    <t>Turkish Women's Volleyball League 2025/26</t>
  </si>
  <si>
    <t>https://www.vidio.com/live/19673-turkish-women-s-volleyball-cup?schedule_id=4642281</t>
  </si>
  <si>
    <t>https://drive.google.com/drive/folders/1gbcMjlMhPT4AxXcSXGS2Y7Ye0LJyiauR?usp=sharing</t>
  </si>
  <si>
    <t>Zerenspor</t>
  </si>
  <si>
    <t>Vakıfbank</t>
  </si>
  <si>
    <t>Sports &gt; Volleyball &gt; Turkish Volleyball League</t>
  </si>
  <si>
    <t>Turkish Volleyball League; Turkish Volleyball League 2025/26</t>
  </si>
  <si>
    <t>zerenspor; vakifbank volleyball; sports stream</t>
  </si>
  <si>
    <t>Nonton streaming pertandingan seru Zeren Spor vs Vakifbank - Turkish Women's Volleyball League. Saksikan aksi-aksi terbaik dari tim yang bersaing ketat untuk meraih kemenangan. Dapatkan informasi lengkap mengenai jadwal pertandingan dan hasil pertandingan terbaru hanya di Vidio.</t>
  </si>
  <si>
    <t>https://drive.google.com/file/d/19pSesvRb49fsLAHpNgJR2NQaSIU_TuYw/view?usp=sharing</t>
  </si>
  <si>
    <t>https://drive.google.com/file/d/1kE7P8v49dOUXpWj0Qqw-_f-sgVTbm6yK/view?usp=sharing</t>
  </si>
  <si>
    <t>fa4b7e8e</t>
  </si>
  <si>
    <t>Galatasaray Daikin vs Aydin B.Sehir Bld - Turkish Women's Volleyball League</t>
  </si>
  <si>
    <t>https://www.vidio.com/live/19673-turkish-women-s-volleyball-cup?schedule_id=4644407</t>
  </si>
  <si>
    <t>https://drive.google.com/drive/folders/1LpKNqbSk53_sSjxKfNDqBmKyclTorVYm</t>
  </si>
  <si>
    <t>Galatasaray Daikin</t>
  </si>
  <si>
    <t>galatasaray daikin; Aydin B.Sehir Bld.Volleyball; sports stream</t>
  </si>
  <si>
    <t>Nonton streaming pertandingan seru Galatasaray Daikin vs Aydin B.Sehir Bld - Turkish Women's Volleyball League. Saksikan aksi-aksi terbaik dari tim yang bersaing ketat untuk meraih kemenangan. Dapatkan informasi lengkap mengenai jadwal pertandingan dan hasil pertandingan terbaru hanya di Vidio.</t>
  </si>
  <si>
    <t>https://drive.google.com/file/d/1hrAryEflHvyoEPMeY8_g7OZ0Pevua-_Z/view?usp=sharing</t>
  </si>
  <si>
    <t>https://drive.google.com/file/d/1nNOi57uU_uE4wIUlhAAlEOjUDokDm3Rx/view?usp=sharing</t>
  </si>
  <si>
    <t>04b64c7c</t>
  </si>
  <si>
    <t>Turk Hava Yollari vs Bahcelievler Bld - Turkish Women's Volleyball League</t>
  </si>
  <si>
    <t>https://www.vidio.com/live/19677-turkish-women-s-volleyball-cup?schedule_id=4644775</t>
  </si>
  <si>
    <t>https://drive.google.com/drive/folders/1i5Nh_GLwdsjK0jEG33JCx6SU30V9HAiR</t>
  </si>
  <si>
    <t>turk hava yollari; bahcelievler bld; sports stream</t>
  </si>
  <si>
    <t>Nonton streaming pertandingan seru Turk Hava Yollari vs Bahcelievler Bld - Turkish Women's Volleyball League. Saksikan aksi-aksi terbaik dari tim yang bersaing ketat untuk meraih kemenangan. Dapatkan informasi lengkap mengenai jadwal pertandingan dan hasil pertandingan terbaru hanya di Vidio.</t>
  </si>
  <si>
    <t>https://drive.google.com/file/d/1f69R6xWJT-6BkQOfZfLCGTaE1kcUO3fL/view?usp=sharing</t>
  </si>
  <si>
    <t>https://drive.google.com/file/d/19IRwfXX2wavN5DxeES-Kotb5dJfMc7F0/view?usp=sharing</t>
  </si>
  <si>
    <t>01f11da9</t>
  </si>
  <si>
    <t>Fenerbahce Medicana vs Turk Hava Yollari - Turkish Women's Volleyball League</t>
  </si>
  <si>
    <t>https://www.vidio.com/live/19677-turkish-women-s-volleyball-cup?schedule_id=4652550</t>
  </si>
  <si>
    <t>https://drive.google.com/drive/folders/18IGB9DGwSumTAU2IULoEXtoxmrAYTJ3n</t>
  </si>
  <si>
    <t>Fenerbahce Medicana</t>
  </si>
  <si>
    <t>fenerbahce medicana; turk hava yollari; sports stream</t>
  </si>
  <si>
    <t>Nonton streaming pertandingan seru Fenerbahce Medicana vs Turk Hava Yollari - Turkish Women's Volleyball League. Saksikan aksi-aksi terbaik dari tim yang bersaing ketat untuk meraih kemenangan. Dapatkan informasi lengkap mengenai jadwal pertandingan dan hasil pertandingan terbaru hanya di Vidio.</t>
  </si>
  <si>
    <t>https://drive.google.com/file/d/1g3D74bAki_6-SWTs-b0S4o7Va7mJQVnF/view?usp=sharing</t>
  </si>
  <si>
    <t>https://drive.google.com/file/d/1fK2HrWDO_XZ47rSb2RSXJ5K_PLMp89mZ/view?usp=sharing</t>
  </si>
  <si>
    <t>69823758</t>
  </si>
  <si>
    <t>ILBank vs Eczacibasi Dynavit - Turkish Women's Volleyball League</t>
  </si>
  <si>
    <t>https://www.vidio.com/live/19677-turkish-women-s-volleyball-cup?schedule_id=4652549</t>
  </si>
  <si>
    <t>https://drive.google.com/drive/folders/1tEXjV2SSVod2x4PkeYHsYFaoHFyCS-Uk</t>
  </si>
  <si>
    <t>Eczacıbası Dynavit</t>
  </si>
  <si>
    <t>ILBank; eczacibasi dynavit; sports stream</t>
  </si>
  <si>
    <t>Nonton streaming pertandingan seru ILBank vs Eczacibasi Dynavit - Turkish Women's Volleyball League. Saksikan aksi-aksi terbaik dari tim yang bersaing ketat untuk meraih kemenangan. Dapatkan informasi lengkap mengenai jadwal pertandingan dan hasil pertandingan terbaru hanya di Vidio.</t>
  </si>
  <si>
    <t>https://drive.google.com/file/d/1qv5ljd97zWaclJQgkkFgUXwiePD9f6mf/view?usp=sharing</t>
  </si>
  <si>
    <t>https://drive.google.com/file/d/1iJHvdgVjV1NelosXr8-QJo8qWWqJ4gDz/view?usp=sharing</t>
  </si>
  <si>
    <t>2058dff0</t>
  </si>
  <si>
    <t>Vakifbank vs Besiktas Ayos - Turkish Women's Volleyball League</t>
  </si>
  <si>
    <t>https://www.vidio.com/live/19673-turkish-women-s-volleyball-cup?schedule_id=4654976</t>
  </si>
  <si>
    <t>https://drive.google.com/drive/folders/1kTJ-GTuN_XfEZ2Z4v2yZQPYXDYRTBN6L?usp=sharing</t>
  </si>
  <si>
    <t>vakifbank volleyball; besiktas ayos volleyball; sports stream</t>
  </si>
  <si>
    <t>Nonton streaming pertandingan seru Vakifbank vs Besiktas Ayos - Turkish Women's Volleyball League. Saksikan aksi-aksi terbaik dari tim yang bersaing ketat untuk meraih kemenangan. Dapatkan informasi lengkap mengenai jadwal pertandingan dan hasil pertandingan terbaru hanya di Vidio.</t>
  </si>
  <si>
    <t>https://drive.google.com/file/d/1BzY8bu8wsfEZfhUlLDxkthPMbIacM8Df/view?usp=sharing</t>
  </si>
  <si>
    <t>https://drive.google.com/file/d/1uJKpOXBMzuVA825SLio3fRNAsbh2qcwf/view?usp=sharing</t>
  </si>
  <si>
    <t>f8be26fe</t>
  </si>
  <si>
    <t>Eczacibasi Dynavit vs Vakifbank - Turkish Women's Volleyball League</t>
  </si>
  <si>
    <t>https://www.vidio.com/live/19677-turkish-women-s-volleyball-cup?schedule_id=4660169</t>
  </si>
  <si>
    <t>https://drive.google.com/drive/folders/1hZUKUrkywmkbEzCNL5goVOFp11tVrJPr?usp=sharing</t>
  </si>
  <si>
    <t>eczacibasi dynavit; vakifbank volleyball; sports stream</t>
  </si>
  <si>
    <t>Nonton streaming pertandingan seru Eczacibasi Dynavit vs Vakifbank - Turkish Women's Volleyball League. Saksikan aksi-aksi terbaik dari tim yang bersaing ketat untuk meraih kemenangan. Dapatkan informasi lengkap mengenai jadwal pertandingan dan hasil pertandingan terbaru hanya di Vidio.</t>
  </si>
  <si>
    <t>https://drive.google.com/file/d/1Syk0enx09jcMmgxB9ObvgSNeyAsikGCF/view?usp=sharing</t>
  </si>
  <si>
    <t>https://drive.google.com/file/d/1_PVIiB7yHg5Cz2B2V3leL5o-FQQ0Lsks/view?usp=sharing</t>
  </si>
  <si>
    <t>c1cf6b22</t>
  </si>
  <si>
    <t>Vakifbank vs Galatasaray Daikin - Turkish Women's Volleyball League</t>
  </si>
  <si>
    <t>https://www.vidio.com/live/19738-turkish-women-s-volleyball-league?schedule_id=4667516</t>
  </si>
  <si>
    <t>https://drive.google.com/drive/folders/1PPlTvI2ReyelpdT9si3sBKt3TWXv_c6M?usp=sharing</t>
  </si>
  <si>
    <t>vakifbank volleyball; galatasaray daikin; sports stream</t>
  </si>
  <si>
    <t>Nonton streaming pertandingan seru Vakifbank vs Galatasaray Daikin - Turkish Women's Volleyball League. Saksikan aksi-aksi terbaik dari tim yang bersaing ketat untuk meraih kemenangan. Dapatkan informasi lengkap mengenai jadwal pertandingan dan hasil pertandingan terbaru hanya di Vidio.</t>
  </si>
  <si>
    <t>https://drive.google.com/file/d/1NpaPbpB6C-yYPzeSfckia_zHzJ8nJYmS/view?usp=sharing</t>
  </si>
  <si>
    <t>https://drive.google.com/file/d/1gNkGPdrlJ8Jctqc8lODIeKO2CzSgO3Ka/view?usp=sharing</t>
  </si>
  <si>
    <t>54e99f31</t>
  </si>
  <si>
    <t>Fenerbahce Medicana vs Besiktas Ayos - Turkish Women's Volleyball League</t>
  </si>
  <si>
    <t>https://www.vidio.com/live/19677-turkish-volleyball-cup?schedule_id=4671768</t>
  </si>
  <si>
    <t>https://drive.google.com/drive/folders/1Gc50YcT3XoL2yLJFeenjy9ruXrCQZQFU?usp=sharing</t>
  </si>
  <si>
    <t>fenerbahce medicana; besiktas ayos volleyball; sports stream</t>
  </si>
  <si>
    <t>Nonton streaming pertandingan seru Fenerbahce Medicana vs Besiktas Ayos - Turkish Women's Volleyball League. Saksikan aksi-aksi terbaik dari tim yang bersaing ketat untuk meraih kemenangan. Dapatkan informasi lengkap mengenai jadwal pertandingan dan hasil pertandingan terbaru hanya di Vidio.</t>
  </si>
  <si>
    <t>https://drive.google.com/file/d/1riCMhdstQPrqJmXScW74atgyxqKopgIt/view?usp=sharing</t>
  </si>
  <si>
    <t>https://drive.google.com/file/d/1DHOXP3Il7UOWKIT6YKg1dyC3ApgjwIBX/view?usp=sharing</t>
  </si>
  <si>
    <t>fea86c42</t>
  </si>
  <si>
    <t>Galatasaray HDI Sigorta vs Altekma - Turkish Men's Volleyball League</t>
  </si>
  <si>
    <t>Turkish Men's Volleyball League 2025/26</t>
  </si>
  <si>
    <t>https://www.vidio.com/live/19737-turkish-men-s-volleyball-league?schedule_id=4667512</t>
  </si>
  <si>
    <t>https://drive.google.com/drive/folders/14MVylt0CsJlNgVIXwShyfe4rds0Ms4H1?usp=sharing</t>
  </si>
  <si>
    <t>Galatasaray S.K. - Volleyball Men</t>
  </si>
  <si>
    <t>Altekma</t>
  </si>
  <si>
    <t>Galatasaray Daikin; Altekma; sports stream</t>
  </si>
  <si>
    <t>Nonton streaming pertandingan seru Galatasaray HDI Sigorta vs Altekma - Turkish Men's Volleyball League. Saksikan aksi-aksi terbaik dari tim yang bersaing ketat untuk meraih kemenangan. Dapatkan informasi lengkap mengenai jadwal pertandingan dan hasil pertandingan terbaru hanya di Vidio.</t>
  </si>
  <si>
    <t>https://drive.google.com/file/d/15nVuuR-WJ5No4ky9eRWqil0LAl9_MpsO/view?usp=sharing</t>
  </si>
  <si>
    <t>https://drive.google.com/file/d/15HPt6gcbl0Bqdt9aQ4Ewo3inxsPrEBcw/view?usp=sharing</t>
  </si>
  <si>
    <t>be94cc8e</t>
  </si>
  <si>
    <t>Ziraat Bankkart vs Fenerbahce Medicana - Turkish Men's Volleyball League</t>
  </si>
  <si>
    <t>https://www.vidio.com/live/19737-turkish-men-s-volleyball-league?schedule_id=4667511</t>
  </si>
  <si>
    <t>https://drive.google.com/drive/folders/1T_wPhgW-XCeuJL38eJt3-L5I4--Zah8F?usp=sharing</t>
  </si>
  <si>
    <t>Ziraat Bankkart</t>
  </si>
  <si>
    <t>Fenerbahçe S.K. - Volleyball Men</t>
  </si>
  <si>
    <t>ziraat bankkart; Fenerbahce Medicana; sports stream</t>
  </si>
  <si>
    <t>Nonton streaming pertandingan seru Ziraat Bankkart vs Fenerbahce Medicana - Turkish Men's Volleyball League. Saksikan aksi-aksi terbaik dari tim yang bersaing ketat untuk meraih kemenangan. Dapatkan informasi lengkap mengenai jadwal pertandingan dan hasil pertandingan terbaru hanya di Vidio.</t>
  </si>
  <si>
    <t>https://drive.google.com/file/d/1747BSLavQz2flleVm5LxWoD2bG6yWET9/view?usp=sharing</t>
  </si>
  <si>
    <t>https://drive.google.com/file/d/1ouEMkDeLU2afNyhu7oNneBv2EzA4ZAgA/view?usp=sharing</t>
  </si>
  <si>
    <t>86cc47f5</t>
  </si>
  <si>
    <t>Halkbank vs Galatasaray HDI Sigorta - Turkish Men's Volleyball League</t>
  </si>
  <si>
    <t>https://www.vidio.com/live/19677-turkish-volleyball-cup?schedule_id=4671776</t>
  </si>
  <si>
    <t>https://drive.google.com/drive/folders/1AYtbYHGQEb9yZlsP2MaABbs8gdNud9Yx?usp=sharing</t>
  </si>
  <si>
    <t>Halkbank</t>
  </si>
  <si>
    <t>halkbank; Galatasaray Daikin; sports stream</t>
  </si>
  <si>
    <t>Nonton streaming pertandingan seru Halkbank vs Galatasaray HDI Sigorta - Turkish Men's Volleyball League. Saksikan aksi-aksi terbaik dari tim yang bersaing ketat untuk meraih kemenangan. Dapatkan informasi lengkap mengenai jadwal pertandingan dan hasil pertandingan terbaru hanya di Vidio.</t>
  </si>
  <si>
    <t>https://drive.google.com/file/d/18JW0Jca42breNtl6YS11Pwj1tykKvipt/view?usp=sharing</t>
  </si>
  <si>
    <t>https://drive.google.com/file/d/1kfvgCrDlTI7t0QZICdj1il4TcbTskQXN/view?usp=sharing</t>
  </si>
  <si>
    <t>d6839a56</t>
  </si>
  <si>
    <t>Fenerbahce Medicana vs Spor Toto - Turkish Men's Volleyball League</t>
  </si>
  <si>
    <t>https://www.vidio.com/live/19737-turkish-men-s-volleyball-league?schedule_id=4675182</t>
  </si>
  <si>
    <t>https://drive.google.com/drive/folders/1Q3iAxu2I1UhLJJNcJwBbI6XOvxm9kYDQ?usp=sharing</t>
  </si>
  <si>
    <t>Spor Toto</t>
  </si>
  <si>
    <t>Fenerbahce Medicana; spor toto volleyball; sports stream</t>
  </si>
  <si>
    <t>Nonton streaming pertandingan seru Fenerbahce Medicana vs Spor Toto - Turkish Men's Volleyball League. Saksikan aksi-aksi terbaik dari tim yang bersaing ketat untuk meraih kemenangan. Dapatkan informasi lengkap mengenai jadwal pertandingan dan hasil pertandingan terbaru hanya di Vidio.</t>
  </si>
  <si>
    <t>https://drive.google.com/file/d/1sTU_1SS3J5CPMlBcuF2ZN5m0w_JgL-Aw/view?usp=sharing</t>
  </si>
  <si>
    <t>https://drive.google.com/file/d/1sqXzxVmeXlg57n0v8QavjqH0f7Xj_53M/view?usp=sharing</t>
  </si>
  <si>
    <t>3f059bb4</t>
  </si>
  <si>
    <t>Gebze Bld vs Spor Toto - Turkish Volleyball Cup</t>
  </si>
  <si>
    <t>Turkish Men's Volleyball Cup 2025/26</t>
  </si>
  <si>
    <t>https://www.vidio.com/live/18385-men-s-turkish-volleyball-cup?schedule_id=4660157</t>
  </si>
  <si>
    <t>https://drive.google.com/drive/folders/1wxQvc-ABO_xLU_u7jmCqhM1N6gMLRgwl?usp=drive_link</t>
  </si>
  <si>
    <t>Gebze Bld</t>
  </si>
  <si>
    <t>Gebze Bld; spor toto volleyball; sports stream</t>
  </si>
  <si>
    <t>Nonton streaming pertandingan seru Gebze Bld vs Spor Toto - Turkish Volleyball Cup. Saksikan aksi-aksi terbaik dari tim yang bersaing ketat untuk meraih kemenangan. Dapatkan informasi lengkap mengenai jadwal pertandingan dan hasil pertandingan terbaru hanya di Vidio.</t>
  </si>
  <si>
    <t>https://drive.google.com/file/d/1u9sWcvVff8-Ci2DZivLJUcYch8lfaWkQ/view?usp=sharing</t>
  </si>
  <si>
    <t>b6383dd1</t>
  </si>
  <si>
    <t>Gaziantep Genclik Spor vs Istanbul Genclik Spor - Turkish Volleyball Cup</t>
  </si>
  <si>
    <t>https://www.vidio.com/live/17923-men-s-turkish-volleyball-cup?schedule_id=4660159</t>
  </si>
  <si>
    <t>https://drive.google.com/drive/folders/19uwlLyiEI8MndD2RgiiF2T_OCZqgsBjJ?usp=drive_link</t>
  </si>
  <si>
    <t>Gaziantep Genclik Spor</t>
  </si>
  <si>
    <t>Istanbul Genclik Spor</t>
  </si>
  <si>
    <t>Gaziantep Genclik Spor; istanbul genclik spor; sports stream</t>
  </si>
  <si>
    <t>Nonton streaming pertandingan seru Gaziantep Genclik Spor vs Istanbul Genclik Spor - Turkish Volleyball Cup. Saksikan aksi-aksi terbaik dari tim yang bersaing ketat untuk meraih kemenangan. Dapatkan informasi lengkap mengenai jadwal pertandingan dan hasil pertandingan terbaru hanya di Vidio.</t>
  </si>
  <si>
    <t>https://drive.google.com/file/d/18ePRGdsNgjGteCjfciSG83OXj1KJt2m_/view?usp=sharing</t>
  </si>
  <si>
    <t>77193800</t>
  </si>
  <si>
    <t>Akkus Bld vs Gebze Bld - Turkish Volleyball Cup</t>
  </si>
  <si>
    <t>https://www.vidio.com/live/18385-men-s-turkish-volleyball-cup?schedule_id=4660167</t>
  </si>
  <si>
    <t>https://drive.google.com/drive/folders/18TheIBYacJttSM_PpG_EVZQkCfJuwGQt?usp=drive_link</t>
  </si>
  <si>
    <t>Akkus Belediyespor</t>
  </si>
  <si>
    <t>akkus bld volleyball; Gebze Bld; sports stream</t>
  </si>
  <si>
    <t>Nonton streaming pertandingan seru Akkus Bld vs Gebze Bld - Turkish Volleyball Cup. Saksikan aksi-aksi terbaik dari tim yang bersaing ketat untuk meraih kemenangan. Dapatkan informasi lengkap mengenai jadwal pertandingan dan hasil pertandingan terbaru hanya di Vidio.</t>
  </si>
  <si>
    <t>https://drive.google.com/file/d/1Rg6nhLalkTjOf3WQ6X0SjOwq0BW2Db3a/view?usp=sharing</t>
  </si>
  <si>
    <t>ec91bc28</t>
  </si>
  <si>
    <t>Bursa BBSK vs Gaziantep Genclik Spor - Turkish Volleyball Cup</t>
  </si>
  <si>
    <t>https://www.vidio.com/live/17923-men-s-turkish-volleyball-cup?schedule_id=4660168</t>
  </si>
  <si>
    <t>https://drive.google.com/drive/folders/1D2YqaUseo8DXj-jx3oBorteYDInJZvZl?usp=drive_link</t>
  </si>
  <si>
    <t>Bursa Buyuksehir Belediyespor</t>
  </si>
  <si>
    <t>bursa buyuksehir belediyespor; Gaziantep Genclik Spor; sports stream</t>
  </si>
  <si>
    <t>Nonton streaming pertandingan seru Bursa BBSK vs Gaziantep Genclik Spor - Turkish Volleyball Cup. Saksikan aksi-aksi terbaik dari tim yang bersaing ketat untuk meraih kemenangan. Dapatkan informasi lengkap mengenai jadwal pertandingan dan hasil pertandingan terbaru hanya di Vidio.</t>
  </si>
  <si>
    <t>https://drive.google.com/file/d/1hOdlV9OCWX2y81jJEstdV-2GUoQ6cERS/view?usp=sharing</t>
  </si>
  <si>
    <t>2d43848f</t>
  </si>
  <si>
    <t>Philadelphia Eagles vs New York Giants - NFL</t>
  </si>
  <si>
    <t>https://www.vidio.com/live/19623-national-football-league-2025-26?schedule_id=4640076</t>
  </si>
  <si>
    <t>https://drive.google.com/drive/folders/1399n8tsk0DrAS5KBPcuvykTIWPBVxCf_</t>
  </si>
  <si>
    <t>Nonton streaming pertandingan seru Philadelphia Eagles vs New York Giants - NFL. Saksikan aksi-aksi terbaik dari tim yang bersaing ketat untuk meraih kemenangan. Dapatkan informasi lengkap mengenai jadwal pertandingan dan hasil pertandingan terbaru hanya di Vidio.</t>
  </si>
  <si>
    <t>https://drive.google.com/file/d/1J_MZl8EaNNA7Hrx5coF-UhSrjVngK0PG/view?usp=sharing</t>
  </si>
  <si>
    <t>https://drive.google.com/file/d/1PBxfVNtJlp7K-yKhXy4m8sST9B-ygvIF/view?usp=sharing</t>
  </si>
  <si>
    <t>5e3abe9a</t>
  </si>
  <si>
    <t>Seattle Seahawks vs Jacksonville Jaguars - NFL</t>
  </si>
  <si>
    <t>https://www.vidio.com/live/19548-national-football-league-2025-26?schedule_id=4645310</t>
  </si>
  <si>
    <t>https://drive.google.com/drive/folders/1Y36srAjgTLy7JXr9CHTc6rs4jRNPobF9</t>
  </si>
  <si>
    <t>Nonton streaming pertandingan seru Seattle Seahawks vs Jacksonville Jaguars - NFL. Saksikan aksi-aksi terbaik dari tim yang bersaing ketat untuk meraih kemenangan. Dapatkan informasi lengkap mengenai jadwal pertandingan dan hasil pertandingan terbaru hanya di Vidio.</t>
  </si>
  <si>
    <t>https://drive.google.com/file/d/1O-Az9XOlSxQZLvWoG1JIUIlQvQfV3eyu/view?usp=sharing</t>
  </si>
  <si>
    <t>https://drive.google.com/file/d/1G5_2ZMy3L2ctR-RRSn2WA76V8ozU2u2u/view?usp=sharing</t>
  </si>
  <si>
    <t>7b157bee</t>
  </si>
  <si>
    <t>San Francisco 49ers vs Tampa Bay Buccaneers - NFL</t>
  </si>
  <si>
    <t>https://www.vidio.com/live/19548-national-football-league-2025-26?schedule_id=4645351</t>
  </si>
  <si>
    <t>https://drive.google.com/drive/folders/1bwhybzYCwdU9EvRKcgbX5JYoV0pDPfFP</t>
  </si>
  <si>
    <t>Nonton streaming pertandingan seru San Francisco 49ers vs Tampa Bay Buccaneers - NFL. Saksikan aksi-aksi terbaik dari tim yang bersaing ketat untuk meraih kemenangan. Dapatkan informasi lengkap mengenai jadwal pertandingan dan hasil pertandingan terbaru hanya di Vidio.</t>
  </si>
  <si>
    <t>https://drive.google.com/file/d/1pd1eTovKnbdz54xRAzkPesCiV-sU096x/view?usp=sharing</t>
  </si>
  <si>
    <t>https://drive.google.com/file/d/1bywtVM_SXo9wsg7NNt16mIc_rP_jX2P2/view?usp=sharing</t>
  </si>
  <si>
    <t>bcba4d53</t>
  </si>
  <si>
    <t>Detroit Lions vs Kansas City Chiefs - NFL</t>
  </si>
  <si>
    <t>https://www.vidio.com/live/19548-national-football-league-2025-26?schedule_id=4645352</t>
  </si>
  <si>
    <t>https://drive.google.com/drive/folders/1o0oMeg_bzGvDlHachl7iFJ0CHpz-XtRo</t>
  </si>
  <si>
    <t>Nonton streaming pertandingan seru Detroit Lions vs Kansas City Chiefs - NFL. Saksikan aksi-aksi terbaik dari tim yang bersaing ketat untuk meraih kemenangan. Dapatkan informasi lengkap mengenai jadwal pertandingan dan hasil pertandingan terbaru hanya di Vidio.</t>
  </si>
  <si>
    <t>https://drive.google.com/file/d/1Ct530JQxN7BiSAQOwS2awnrCSyf6acII/view?usp=sharing</t>
  </si>
  <si>
    <t>https://drive.google.com/file/d/1FZpmVoaoQEX6cRGzWE5S5YJcoMkPCqkc/view?usp=sharing</t>
  </si>
  <si>
    <t>73e25fd1</t>
  </si>
  <si>
    <t>Buffalo Bills vs Atlanta Falcons - NFL</t>
  </si>
  <si>
    <t>https://www.vidio.com/live/19548-national-football-league-2025-26?schedule_id=4650060</t>
  </si>
  <si>
    <t>https://drive.google.com/drive/folders/11K_dRAqE13LVCKjR5a1pICznHuvYJRve</t>
  </si>
  <si>
    <t>Nonton streaming pertandingan seru Buffalo Bills vs Atlanta Falcons - NFL. Saksikan aksi-aksi terbaik dari tim yang bersaing ketat untuk meraih kemenangan. Dapatkan informasi lengkap mengenai jadwal pertandingan dan hasil pertandingan terbaru hanya di Vidio.</t>
  </si>
  <si>
    <t>https://drive.google.com/file/d/1OPblcHFOO0TnZ-texc30jacgdlqnLjN8/view?usp=sharing</t>
  </si>
  <si>
    <t>https://drive.google.com/file/d/1VjxDQCaKtGXd7XEmAWv7ovdCoxQyWhd1/view?usp=sharing</t>
  </si>
  <si>
    <t>774f95f6</t>
  </si>
  <si>
    <t>Chicago Bears vs Washington Commanders - NFL</t>
  </si>
  <si>
    <t>https://www.vidio.com/live/19623-national-football-league-2025-26?schedule_id=4650059</t>
  </si>
  <si>
    <t>https://drive.google.com/drive/folders/14yHO4LFzvztvnRu_gFOsdIlEXZeznCSD</t>
  </si>
  <si>
    <t>Nonton streaming pertandingan seru Chicago Bears vs Washington Commanders - NFL. Saksikan aksi-aksi terbaik dari tim yang bersaing ketat untuk meraih kemenangan. Dapatkan informasi lengkap mengenai jadwal pertandingan dan hasil pertandingan terbaru hanya di Vidio.</t>
  </si>
  <si>
    <t>https://drive.google.com/file/d/1vqlo1CM0sDO2bR_y08AaxsI1dz8ljZZT/view?usp=sharing</t>
  </si>
  <si>
    <t>https://drive.google.com/file/d/1Q6v9xifdK8Sm1qge3cvkM2O_-4fRB_-x/view?usp=sharing</t>
  </si>
  <si>
    <t>e4819766</t>
  </si>
  <si>
    <t>Valerenga vs VfL Wolfsburg - UEFA Women's Champions League</t>
  </si>
  <si>
    <t>https://www.vidio.com/live/6317-bein-3?schedule_id=4652733</t>
  </si>
  <si>
    <t>https://drive.google.com/drive/folders/1uoMltx5E8CnaZCO-GrSZ4ncvZoSyYvc0?usp=drive_link</t>
  </si>
  <si>
    <t>wolfsburg; sports stream</t>
  </si>
  <si>
    <t>Nonton streaming pertandingan seru Valerenga vs VfL Wolfsburg - UEFA Women's Champions League. Saksikan aksi-aksi terbaik dari tim yang bersaing ketat untuk meraih kemenangan. Dapatkan informasi lengkap mengenai jadwal pertandingan dan hasil pertandingan terbaru hanya di Vidio.</t>
  </si>
  <si>
    <t>https://drive.google.com/file/d/15ANQoCDFgiK0k7Kndx5DlsW4gsaAKLk3/view?usp=sharing</t>
  </si>
  <si>
    <t>5d53cd8d</t>
  </si>
  <si>
    <t>Lyon vs St. Polten - UEFA Women's Champions League</t>
  </si>
  <si>
    <t>https://www.vidio.com/live/6299-bein-1?schedule_id=4652732</t>
  </si>
  <si>
    <t>https://drive.google.com/drive/folders/1WdJUE03PZlW1UUvkQabqVNr_X2s0Px6i?usp=drive_link</t>
  </si>
  <si>
    <t>olympique lyonnais; sports stream</t>
  </si>
  <si>
    <t>Nonton streaming pertandingan seru Lyon vs St. Polten - UEFA Women's Champions League. Saksikan aksi-aksi terbaik dari tim yang bersaing ketat untuk meraih kemenangan. Dapatkan informasi lengkap mengenai jadwal pertandingan dan hasil pertandingan terbaru hanya di Vidio.</t>
  </si>
  <si>
    <t>https://drive.google.com/file/d/1tCRVfwyOjpVZN8nRZgdes8ueoF_chdEN/view?usp=sharing</t>
  </si>
  <si>
    <t>5048f79d</t>
  </si>
  <si>
    <t>Roma vs Barcelona Femeni - UEFA Women's Champions League</t>
  </si>
  <si>
    <t>https://www.vidio.com/live/6299-bein-1?schedule_id=4653338</t>
  </si>
  <si>
    <t>https://drive.google.com/drive/folders/1MUdCaPTlhhsYzeDKGBUphYNipw9h4Szr?usp=drive_link</t>
  </si>
  <si>
    <t>as roma; sports stream</t>
  </si>
  <si>
    <t>Nonton streaming pertandingan seru Roma vs Barcelona Femeni - UEFA Women's Champions League. Saksikan aksi-aksi terbaik dari tim yang bersaing ketat untuk meraih kemenangan. Dapatkan informasi lengkap mengenai jadwal pertandingan dan hasil pertandingan terbaru hanya di Vidio.</t>
  </si>
  <si>
    <t>https://drive.google.com/file/d/1ewSldVPvLuX1h_mIFlc5n1fAViK-UdKJ/view?usp=sharing</t>
  </si>
  <si>
    <t>https://drive.google.com/file/d/10Y2dWBSaaknHu2QHgH_inNGLyeYZmfeZ/view?usp=sharing</t>
  </si>
  <si>
    <t>4e54c2a7</t>
  </si>
  <si>
    <t>OH Leuven vs Twente - UEFA Women's Champions League</t>
  </si>
  <si>
    <t>fc twente; sports stream</t>
  </si>
  <si>
    <t>Nonton streaming pertandingan seru OH Leuven vs Twente - UEFA Women's Champions League. Saksikan aksi-aksi terbaik dari tim yang bersaing ketat untuk meraih kemenangan. Dapatkan informasi lengkap mengenai jadwal pertandingan dan hasil pertandingan terbaru hanya di Vidio.</t>
  </si>
  <si>
    <t>f6a55b77</t>
  </si>
  <si>
    <t>Chelsea vs Paris FC - UEFA Women's Champions League</t>
  </si>
  <si>
    <t>https://www.vidio.com/live/6317-bein-3?schedule_id=4653337</t>
  </si>
  <si>
    <t>https://drive.google.com/drive/folders/1AGAXqZ7McjPPlW5nJONBwg7MBNaMa5op?usp=drive_link</t>
  </si>
  <si>
    <t>chelsea fc; sports stream</t>
  </si>
  <si>
    <t>Nonton streaming pertandingan seru Chelsea vs Paris FC - UEFA Women's Champions League. Saksikan aksi-aksi terbaik dari tim yang bersaing ketat untuk meraih kemenangan. Dapatkan informasi lengkap mengenai jadwal pertandingan dan hasil pertandingan terbaru hanya di Vidio.</t>
  </si>
  <si>
    <t>https://drive.google.com/file/d/1VGpXnupDiPDW6U0-SV8tl-3I9gLDmhZ4/view?usp=sharing</t>
  </si>
  <si>
    <t>https://drive.google.com/file/d/1tfHLTiTRxuYwZuED8D6jYdniKDIvDjxC/view?usp=sharing</t>
  </si>
  <si>
    <t>047c8367</t>
  </si>
  <si>
    <t>Atletico Madrid vs Man United - UEFA Women's Champions League</t>
  </si>
  <si>
    <t>https://www.vidio.com/live/6317-bein-3?schedule_id=4653340</t>
  </si>
  <si>
    <t>https://drive.google.com/drive/folders/1TWQSk5DIjbMjzL_d56I7188gEc3FFA4o?usp=drive_link</t>
  </si>
  <si>
    <t>Club Atlético de Madrid; manchester united fc; sports stream</t>
  </si>
  <si>
    <t>Nonton streaming pertandingan seru Atletico Madrid vs Man United - UEFA Women's Champions League. Saksikan aksi-aksi terbaik dari tim yang bersaing ketat untuk meraih kemenangan. Dapatkan informasi lengkap mengenai jadwal pertandingan dan hasil pertandingan terbaru hanya di Vidio.</t>
  </si>
  <si>
    <t>https://drive.google.com/file/d/1kggLgTZaRvCuJ4TnJr9VSz28Geek3PZO/view?usp=sharing</t>
  </si>
  <si>
    <t>https://drive.google.com/file/d/1uP1aOLkAAiGaqu3jNgKQp_ItSEu5Pwcx/view?usp=sharing</t>
  </si>
  <si>
    <t>dbdf26c8</t>
  </si>
  <si>
    <t>Benfica vs Arsenal - UEFA Women's Champions League</t>
  </si>
  <si>
    <t>https://www.vidio.com/live/6299-bein-1?schedule_id=4655149</t>
  </si>
  <si>
    <t>https://drive.google.com/drive/folders/1hhduB40tdpwGEhJbYM2g4CUGcauZU_1x</t>
  </si>
  <si>
    <t>SL Benfica; arsenal fc; sports stream</t>
  </si>
  <si>
    <t>Nonton streaming pertandingan seru Benfica vs Arsenal - UEFA Women's Champions League. Saksikan aksi-aksi terbaik dari tim yang bersaing ketat untuk meraih kemenangan. Dapatkan informasi lengkap mengenai jadwal pertandingan dan hasil pertandingan terbaru hanya di Vidio.</t>
  </si>
  <si>
    <t>https://drive.google.com/file/d/1Nfd8BYqTLRQq5tY9waWUzqhOIbjqgYr4/view?usp=sharing</t>
  </si>
  <si>
    <t>https://drive.google.com/file/d/1XU0kIE6AAzIvzDsSuRcqgNiQkTB54kAZ/view?usp=sharing</t>
  </si>
  <si>
    <t>94859329</t>
  </si>
  <si>
    <t>Bayern Munich vs Juventus - UEFA Women's Champions League</t>
  </si>
  <si>
    <t>fc bayern munchen; juventus fc; sports stream</t>
  </si>
  <si>
    <t>Nonton streaming pertandingan seru Bayern Munich vs Juventus - UEFA Women's Champions League. Saksikan aksi-aksi terbaik dari tim yang bersaing ketat untuk meraih kemenangan. Dapatkan informasi lengkap mengenai jadwal pertandingan dan hasil pertandingan terbaru hanya di Vidio.</t>
  </si>
  <si>
    <t>5cc3c340</t>
  </si>
  <si>
    <t>Paris Saint-Germain vs Real Madrid - UEFA Women's Champions League</t>
  </si>
  <si>
    <t>https://www.vidio.com/live/6317-bein-3?schedule_id=4653339</t>
  </si>
  <si>
    <t>https://drive.google.com/drive/folders/164PhhbgtKf1cUd3X79y56uPDiZqyvj1S?usp=drive_link</t>
  </si>
  <si>
    <t>Paris Saint-Germain FC; real madrid cf; sports stream</t>
  </si>
  <si>
    <t>Nonton streaming pertandingan seru Paris Saint-Germain vs Real Madrid - UEFA Women's Champions League. Saksikan aksi-aksi terbaik dari tim yang bersaing ketat untuk meraih kemenangan. Dapatkan informasi lengkap mengenai jadwal pertandingan dan hasil pertandingan terbaru hanya di Vidio.</t>
  </si>
  <si>
    <t>https://drive.google.com/file/d/1fU-3OqwI-4kGK4Q_YW56KSpsHSkVJ9en/view?usp=sharing</t>
  </si>
  <si>
    <t>https://drive.google.com/file/d/10oHx9VDyfBpSxkPEFzfVJq4WnEMNJc6A/view?usp=sharing</t>
  </si>
  <si>
    <t>b1fe2d9b</t>
  </si>
  <si>
    <t>Roma vs Valerenga - UEFA Women's Champions League</t>
  </si>
  <si>
    <t>https://www.vidio.com/live/6317-bein-3?schedule_id=4713693</t>
  </si>
  <si>
    <t>https://drive.google.com/drive/folders/18lmvOsto8L9VpBkUM71oGHxjChDZxjHD</t>
  </si>
  <si>
    <t>Nonton streaming pertandingan seru Roma vs Valerenga - UEFA Women's Champions League. Saksikan aksi-aksi terbaik dari tim yang bersaing ketat untuk meraih kemenangan. Dapatkan informasi lengkap mengenai jadwal pertandingan dan hasil pertandingan terbaru hanya di Vidio.</t>
  </si>
  <si>
    <t>https://drive.google.com/file/d/1ctzX_MCEIvk0ccKGa70OvcvRJZAzGMwd/view?usp=sharing</t>
  </si>
  <si>
    <t>cb5479e4</t>
  </si>
  <si>
    <t>Real Madrid vs  - UEFA Women's Champions League</t>
  </si>
  <si>
    <t>real madrid cf; sports stream</t>
  </si>
  <si>
    <t>Nonton streaming pertandingan seru Real Madrid vs  - UEFA Women's Champions League. Saksikan aksi-aksi terbaik dari tim yang bersaing ketat untuk meraih kemenangan. Dapatkan informasi lengkap mengenai jadwal pertandingan dan hasil pertandingan terbaru hanya di Vidio.</t>
  </si>
  <si>
    <t>a34788f5</t>
  </si>
  <si>
    <t>Real Madrid vs Paris FC - UEFA Women's Champions League</t>
  </si>
  <si>
    <t>real madrid cf; Paris FC; sports stream</t>
  </si>
  <si>
    <t>Nonton streaming pertandingan seru Real Madrid vs Paris FC - UEFA Women's Champions League. Saksikan aksi-aksi terbaik dari tim yang bersaing ketat untuk meraih kemenangan. Dapatkan informasi lengkap mengenai jadwal pertandingan dan hasil pertandingan terbaru hanya di Vidio.</t>
  </si>
  <si>
    <t>959818c4</t>
  </si>
  <si>
    <t>St. Polten vs Chelsea - UEFA Women's Champions League</t>
  </si>
  <si>
    <t>https://www.vidio.com/live/6317-bein-3?schedule_id=4713683</t>
  </si>
  <si>
    <t>https://drive.google.com/drive/folders/19nFMFFOSLtGlBC680-_UgS-TiVTr33Zz?usp=drive_link</t>
  </si>
  <si>
    <t>Nonton streaming pertandingan seru St. Polten vs Chelsea - UEFA Women's Champions League. Saksikan aksi-aksi terbaik dari tim yang bersaing ketat untuk meraih kemenangan. Dapatkan informasi lengkap mengenai jadwal pertandingan dan hasil pertandingan terbaru hanya di Vidio.</t>
  </si>
  <si>
    <t>https://drive.google.com/file/d/1-EOi73Nm3e3tFjk06wD-5tKGk36bD24f/view?usp=sharing</t>
  </si>
  <si>
    <t>https://drive.google.com/file/d/1bOP54wCTK2Ksr-y5KcO5kJDCnVExTxh3/view?usp=sharing</t>
  </si>
  <si>
    <t>274fbac8</t>
  </si>
  <si>
    <t>Lyon vs VfL Wolfsburg - UEFA Women's Champions League</t>
  </si>
  <si>
    <t>https://www.vidio.com/live/6299-bein-1?schedule_id=4713686</t>
  </si>
  <si>
    <t>https://drive.google.com/drive/folders/1NavhdivPIHk-_4g-G4hE_gu9wPr8jwOl?usp=drive_link</t>
  </si>
  <si>
    <t>olympique lyonnais; wolfsburg; sports stream</t>
  </si>
  <si>
    <t>Nonton streaming pertandingan seru Lyon vs VfL Wolfsburg - UEFA Women's Champions League. Saksikan aksi-aksi terbaik dari tim yang bersaing ketat untuk meraih kemenangan. Dapatkan informasi lengkap mengenai jadwal pertandingan dan hasil pertandingan terbaru hanya di Vidio.</t>
  </si>
  <si>
    <t>https://drive.google.com/file/d/1tgN1spEzlW-CUsfNf5JTtMU1CU-0e0NY/view?usp=sharing</t>
  </si>
  <si>
    <t>https://drive.google.com/file/d/14oVHeGhSlc1clfK20nwJQ4aRbSxWclZL/view?usp=sharing</t>
  </si>
  <si>
    <t>0bd58a93</t>
  </si>
  <si>
    <t>Barcelona Femeni vs OH Leuven - UEFA Women's Champions League</t>
  </si>
  <si>
    <t>https://www.vidio.com/live/6317-bein-3?schedule_id=4713684</t>
  </si>
  <si>
    <t>https://drive.google.com/drive/folders/1T4YPTp1OH_bdNTmEwMuWs2ZQGXeRS6OL?usp=drive_link</t>
  </si>
  <si>
    <t>Nonton streaming pertandingan seru Barcelona Femeni vs OH Leuven - UEFA Women's Champions League. Saksikan aksi-aksi terbaik dari tim yang bersaing ketat untuk meraih kemenangan. Dapatkan informasi lengkap mengenai jadwal pertandingan dan hasil pertandingan terbaru hanya di Vidio.</t>
  </si>
  <si>
    <t>https://drive.google.com/file/d/1n6XFKOMdiXo-4E4jV_2MGyHY-oZhx5MW/view?usp=sharing</t>
  </si>
  <si>
    <t>https://drive.google.com/file/d/1Bg504kUOAdCnTF3mZV-FiZdE-Fq9_wZ-/view?usp=sharing</t>
  </si>
  <si>
    <t>86129a66</t>
  </si>
  <si>
    <t>Bayern Munich vs Arsenal - UEFA Women's Champions League</t>
  </si>
  <si>
    <t>https://www.vidio.com/live/6299-bein-1?schedule_id=4713687</t>
  </si>
  <si>
    <t>https://drive.google.com/drive/folders/1mSF8mO8R08vRjBOevJ5tgKPK0NEDbcxz?usp=drive_link</t>
  </si>
  <si>
    <t>fc bayern munchen; arsenal fc; sports stream</t>
  </si>
  <si>
    <t>Nonton streaming pertandingan seru Bayern Munich vs Arsenal - UEFA Women's Champions League. Saksikan aksi-aksi terbaik dari tim yang bersaing ketat untuk meraih kemenangan. Dapatkan informasi lengkap mengenai jadwal pertandingan dan hasil pertandingan terbaru hanya di Vidio.</t>
  </si>
  <si>
    <t>https://drive.google.com/file/d/1gQp6Bi_OeZWjk15lg27UFTN7wN2GAW10/view?usp=sharing</t>
  </si>
  <si>
    <t>https://drive.google.com/file/d/1K2mnIgpt7MrE4phPrYXaiBNqLl4fJmAU/view?usp=sharing</t>
  </si>
  <si>
    <t>8f3f4a7a</t>
  </si>
  <si>
    <t>Benfica vs Twente - UEFA Women's Champions League</t>
  </si>
  <si>
    <t>SL Benfica; fc twente; sports stream</t>
  </si>
  <si>
    <t>Nonton streaming pertandingan seru Benfica vs Twente - UEFA Women's Champions League. Saksikan aksi-aksi terbaik dari tim yang bersaing ketat untuk meraih kemenangan. Dapatkan informasi lengkap mengenai jadwal pertandingan dan hasil pertandingan terbaru hanya di Vidio.</t>
  </si>
  <si>
    <t>17e1def0</t>
  </si>
  <si>
    <t>Atletico Madrid vs Juventus - UEFA Women's Champions League</t>
  </si>
  <si>
    <t>https://www.vidio.com/live/6317-bein-3?schedule_id=4713685</t>
  </si>
  <si>
    <t>https://drive.google.com/drive/folders/1LCVAihZxbdB0Z4AQSne7HByak32ydff5?usp=drive_link</t>
  </si>
  <si>
    <t>Club Atlético de Madrid; juventus fc; sports stream</t>
  </si>
  <si>
    <t>Nonton streaming pertandingan seru Atletico Madrid vs Juventus - UEFA Women's Champions League. Saksikan aksi-aksi terbaik dari tim yang bersaing ketat untuk meraih kemenangan. Dapatkan informasi lengkap mengenai jadwal pertandingan dan hasil pertandingan terbaru hanya di Vidio.</t>
  </si>
  <si>
    <t>https://drive.google.com/file/d/1MGLC9_wac-n-Xkx9OjTOtkKoElHknsne/view?usp=sharing</t>
  </si>
  <si>
    <t>https://drive.google.com/file/d/1pW71Ay8gw6q667smJMS4uNGF28MJA34t/view?usp=sharing</t>
  </si>
  <si>
    <t>938c970f</t>
  </si>
  <si>
    <t>Man United vs Paris Saint-Germain - UEFA Women's Champions League</t>
  </si>
  <si>
    <t>https://www.vidio.com/live/6299-bein-1?schedule_id=4713688</t>
  </si>
  <si>
    <t>https://drive.google.com/drive/folders/1Sq--DkL3ibHmlzrJwcXDOUmQjw2PP4_e?usp=drive_link</t>
  </si>
  <si>
    <t>manchester united fc; Paris Saint-Germain FC; sports stream</t>
  </si>
  <si>
    <t>Nonton streaming pertandingan seru Man United vs Paris Saint-Germain - UEFA Women's Champions League. Saksikan aksi-aksi terbaik dari tim yang bersaing ketat untuk meraih kemenangan. Dapatkan informasi lengkap mengenai jadwal pertandingan dan hasil pertandingan terbaru hanya di Vidio.</t>
  </si>
  <si>
    <t>https://drive.google.com/file/d/15tOatGBVMamkPI9yHn-fH8Ma3xTe31m1/view?usp=sharing</t>
  </si>
  <si>
    <t>https://drive.google.com/file/d/14vMhLZlgPeq4GpC42uBYnikda4huZsTa/view?usp=sharing</t>
  </si>
  <si>
    <t>6e79ec7d</t>
  </si>
  <si>
    <t>Persela Lamongan vs PSIS Semarang - Pegadaian Championship</t>
  </si>
  <si>
    <t>https://www.vidio.com/live/19543-pegadaian-championship-2025-26?schedule_id=4676979</t>
  </si>
  <si>
    <t>https://drive.google.com/drive/folders/1ZhY5utG1t0XsUFCROM2UExrColHjQy86?usp=drive_link</t>
  </si>
  <si>
    <t>https://drive.google.com/drive/folders/1a6uvNHIJHyFaZu_uP78TVstsa86wy3Sp?usp=drive_link</t>
  </si>
  <si>
    <t>persela lamongan; psis semarang; sports stream</t>
  </si>
  <si>
    <t>Nonton streaming pertandingan seru Persela Lamongan vs PSIS Semarang - Pegadaian Championship. Saksikan aksi-aksi terbaik dari tim yang bersaing ketat untuk meraih kemenangan. Dapatkan informasi lengkap mengenai jadwal pertandingan dan hasil pertandingan terbaru hanya di Vidio.</t>
  </si>
  <si>
    <t>https://drive.google.com/file/d/15_b72_04CqXxjscq-RLy2iZFmg9tULE5/view?usp=sharing</t>
  </si>
  <si>
    <t>https://drive.google.com/file/d/15L7018DPh5HSnHlm5EQG2qc88u5MMcyx/view?usp=drive_link</t>
  </si>
  <si>
    <t>https://drive.google.com/file/d/1zjNjJ9liFTItGGCTvVMthwBD6F6V38PU/view?usp=sharing</t>
  </si>
  <si>
    <t>b9f51034</t>
  </si>
  <si>
    <t>PSMS Medan vs Garudayaksa FC - Pegadaian Championship</t>
  </si>
  <si>
    <t>https://www.vidio.com/live/19541-pegadaian-championship-2025-26?schedule_id=4676984</t>
  </si>
  <si>
    <t>https://drive.google.com/drive/folders/1JXs53LQFNzwSfF2uaxt2zDNbPtE7_bUY?usp=drive_link</t>
  </si>
  <si>
    <t>psms medan; pskc cimahi; sports stream</t>
  </si>
  <si>
    <t>Nonton streaming pertandingan seru PSMS Medan vs Garudayaksa FC - Pegadaian Championship. Saksikan aksi-aksi terbaik dari tim yang bersaing ketat untuk meraih kemenangan. Dapatkan informasi lengkap mengenai jadwal pertandingan dan hasil pertandingan terbaru hanya di Vidio.</t>
  </si>
  <si>
    <t>https://drive.google.com/file/d/1OLAUbhyKPMG_GlcjT94EqmhK4kPAxpro/view?usp=sharing</t>
  </si>
  <si>
    <t>https://drive.google.com/file/d/16-88ZFBzr8uqB34B5i4kGkaNTm6ZiyVp/view?usp=drive_link</t>
  </si>
  <si>
    <t>https://drive.google.com/file/d/1y5dae8XBzkh17xK4G1ctDEZja5QGoxBp/view?usp=sharing</t>
  </si>
  <si>
    <t>10e088c5</t>
  </si>
  <si>
    <t>Persiku Kudus vs Kendal Tornado FC - Pegadaian Championship</t>
  </si>
  <si>
    <t>https://www.vidio.com/live/19549-pegadaian-championship-2025-26?schedule_id=4676990</t>
  </si>
  <si>
    <t>https://drive.google.com/drive/folders/1zsVDyJmpN6qEIgg_j407Iji-wn8nBJqf?usp=drive_link</t>
  </si>
  <si>
    <t>persiku kudus; Kendal Tornado FC; sports stream</t>
  </si>
  <si>
    <t>Nonton streaming pertandingan seru Persiku Kudus vs Kendal Tornado FC - Pegadaian Championship. Saksikan aksi-aksi terbaik dari tim yang bersaing ketat untuk meraih kemenangan. Dapatkan informasi lengkap mengenai jadwal pertandingan dan hasil pertandingan terbaru hanya di Vidio.</t>
  </si>
  <si>
    <t>https://drive.google.com/file/d/1Wc6w2d3taHuMLV-R_PSh40Rm7M9XE_E1/view?usp=sharing</t>
  </si>
  <si>
    <t>https://drive.google.com/file/d/1mZuJfNl2YK0slfI7ngQuY1a0CC2v-eDa/view?usp=drive_link</t>
  </si>
  <si>
    <t>https://drive.google.com/file/d/1Np5L3ZUjbewdeEfUzlJiuHFVI3PF-aGU/view?usp=sharing</t>
  </si>
  <si>
    <t>4b3bdf6f</t>
  </si>
  <si>
    <t>Persipal FC vs Deltras FC - Pegadaian Championship</t>
  </si>
  <si>
    <t>https://www.vidio.com/live/19541-pegadaian-championship-2025-26?schedule_id=4676985</t>
  </si>
  <si>
    <t>https://drive.google.com/drive/folders/1zOutgMQNU-s1I_PmdIucPqe6KNn3aiMy?usp=drive_link</t>
  </si>
  <si>
    <t>Persipal Palu; deltras sidoarjo; sports stream</t>
  </si>
  <si>
    <t>Nonton streaming pertandingan seru Persipal FC vs Deltras FC - Pegadaian Championship. Saksikan aksi-aksi terbaik dari tim yang bersaing ketat untuk meraih kemenangan. Dapatkan informasi lengkap mengenai jadwal pertandingan dan hasil pertandingan terbaru hanya di Vidio.</t>
  </si>
  <si>
    <t>https://drive.google.com/file/d/1v3nJosOvnW98QmTmzdpwTe2aHZtshLwM/view?usp=sharing</t>
  </si>
  <si>
    <t>https://drive.google.com/file/d/1P-NGg87KVOKMKMkBx3R5IaacAN8--rM9/view?usp=drive_link</t>
  </si>
  <si>
    <t>https://drive.google.com/file/d/1GUVhDckZ63ciw8DgeC44BaUs-R0m27Pe/view?usp=sharing</t>
  </si>
  <si>
    <t>3691e6f6</t>
  </si>
  <si>
    <t>Adhyaksa FC vs PSPS Pekanbaru - Pegadaian Championship</t>
  </si>
  <si>
    <t>https://www.vidio.com/live/19542-pegadaian-championship-2025-26?schedule_id=4676988</t>
  </si>
  <si>
    <t>https://drive.google.com/drive/folders/1HLpQdRvOp_rRpSRcotb4GCbvkP36sV2A?usp=drive_link</t>
  </si>
  <si>
    <t>Adhyaksa Farmel FC; psps riau; sports stream</t>
  </si>
  <si>
    <t>Nonton streaming pertandingan seru Adhyaksa FC vs PSPS Pekanbaru - Pegadaian Championship. Saksikan aksi-aksi terbaik dari tim yang bersaing ketat untuk meraih kemenangan. Dapatkan informasi lengkap mengenai jadwal pertandingan dan hasil pertandingan terbaru hanya di Vidio.</t>
  </si>
  <si>
    <t>https://drive.google.com/file/d/1PdUFPx3wHdMgNSIWiCe8Hu0kXxdeJ6hy/view?usp=sharing</t>
  </si>
  <si>
    <t>https://drive.google.com/file/d/1YB6SHSQxeGWC6mjmrH9HRx_853yYuhqA/view?usp=drive_link</t>
  </si>
  <si>
    <t>https://drive.google.com/file/d/1ofA74Qb-ejtCU7hD5d3j-ZW-vtEujYDX/view?usp=sharing</t>
  </si>
  <si>
    <t>6a618113</t>
  </si>
  <si>
    <t>PSS Sleman vs Persipura Jayapura - Pegadaian Championship</t>
  </si>
  <si>
    <t>https://www.vidio.com/live/19543-pegadaian-championship-2025-26?schedule_id=4676980</t>
  </si>
  <si>
    <t>https://drive.google.com/drive/folders/1ScoTNowcBx81J3HefJsWho8h36XCMv-x?usp=drive_link</t>
  </si>
  <si>
    <t>pss sleman; persipura; sports stream</t>
  </si>
  <si>
    <t>Nonton streaming pertandingan seru PSS Sleman vs Persipura Jayapura - Pegadaian Championship. Saksikan aksi-aksi terbaik dari tim yang bersaing ketat untuk meraih kemenangan. Dapatkan informasi lengkap mengenai jadwal pertandingan dan hasil pertandingan terbaru hanya di Vidio.</t>
  </si>
  <si>
    <t>https://drive.google.com/file/d/12vfEU6EIa30-OJt_YxRgIxbhpPCVxKLG/view?usp=sharing</t>
  </si>
  <si>
    <t>https://drive.google.com/file/d/1SP0e3tznZzd7kOsrMEyPXcLdUkuy_Op0/view?usp=drive_link</t>
  </si>
  <si>
    <t>https://drive.google.com/file/d/13DVpOuapADit-opjqgKFFCATxXtNQpgx/view?usp=sharing</t>
  </si>
  <si>
    <t>21e54f97</t>
  </si>
  <si>
    <t>FC Bekasi City vs Persikad - Pegadaian Championship</t>
  </si>
  <si>
    <t>https://www.vidio.com/live/19541-pegadaian-championship-2025-26?schedule_id=4676986</t>
  </si>
  <si>
    <t>https://drive.google.com/drive/folders/1EaLDZHQisuCIYb70wx1K6U3EF25av9jF?usp=drive_link</t>
  </si>
  <si>
    <t>fc bekasi city; Persikad; sports stream</t>
  </si>
  <si>
    <t>Nonton streaming pertandingan seru FC Bekasi City vs Persikad - Pegadaian Championship. Saksikan aksi-aksi terbaik dari tim yang bersaing ketat untuk meraih kemenangan. Dapatkan informasi lengkap mengenai jadwal pertandingan dan hasil pertandingan terbaru hanya di Vidio.</t>
  </si>
  <si>
    <t>https://drive.google.com/file/d/1RzIaVorxAXnKPznlrEPCpdW4DALpAWsq/view?usp=sharing</t>
  </si>
  <si>
    <t>https://drive.google.com/file/d/12zPHvChpsECqIRx7ntYNWGFK4gqPgwYw/view?usp=drive_link</t>
  </si>
  <si>
    <t>https://drive.google.com/file/d/1Aj-2uRZAvH9Nb7cq2J-DB2he0iuCcATS/view?usp=sharing</t>
  </si>
  <si>
    <t>ef8a862c</t>
  </si>
  <si>
    <t>Sumsel United vs Sriwijaya FC - Pegadaian Championship</t>
  </si>
  <si>
    <t>https://www.vidio.com/live/19549-pegadaian-championship-2025-26?schedule_id=4676991</t>
  </si>
  <si>
    <t>https://drive.google.com/drive/folders/1MLktK8rweQ_BIkG6nwuF983pKt-qHVrV?usp=drive_link</t>
  </si>
  <si>
    <t>Sumsel United; sriwijaya fc; sports stream</t>
  </si>
  <si>
    <t>Nonton streaming pertandingan seru Sumsel United vs Sriwijaya FC - Pegadaian Championship. Saksikan aksi-aksi terbaik dari tim yang bersaing ketat untuk meraih kemenangan. Dapatkan informasi lengkap mengenai jadwal pertandingan dan hasil pertandingan terbaru hanya di Vidio.</t>
  </si>
  <si>
    <t>https://drive.google.com/file/d/1P2RR9hRIuQKDMPLk90WQdFK-BJexG0UC/view?usp=sharing</t>
  </si>
  <si>
    <t>https://drive.google.com/file/d/1MUZ3OxQAGI-kEGni1mRiiwE-SAr8UsrZ/view?usp=drive_link</t>
  </si>
  <si>
    <t>https://drive.google.com/file/d/1facW0BLbK-9D3rLZ5Tn900JflrxEkJYO/view?usp=sharing</t>
  </si>
  <si>
    <t>e540e6d7</t>
  </si>
  <si>
    <t>PS. Barito Putera vs Persiba Balikpapan - Pegadaian Championship</t>
  </si>
  <si>
    <t>https://www.vidio.com/live/19543-pegadaian-championship-2025-26?schedule_id=4676981</t>
  </si>
  <si>
    <t>https://drive.google.com/drive/folders/1mAS4FPnGCsmatH_1s68sBBmXyJswZk_u?usp=drive_link</t>
  </si>
  <si>
    <t>ps barito putera; Persiba Balikpapan; sports stream</t>
  </si>
  <si>
    <t>Nonton streaming pertandingan seru PS. Barito Putera vs Persiba Balikpapan - Pegadaian Championship. Saksikan aksi-aksi terbaik dari tim yang bersaing ketat untuk meraih kemenangan. Dapatkan informasi lengkap mengenai jadwal pertandingan dan hasil pertandingan terbaru hanya di Vidio.</t>
  </si>
  <si>
    <t>https://drive.google.com/file/d/1EO4C0qceIL3UQxfKIBZUXzfNnP-glshs/view?usp=sharing</t>
  </si>
  <si>
    <t>https://drive.google.com/file/d/1Ho7utgpjqh9bv6FElLjSa9yvL49IBU41/view?usp=drive_link</t>
  </si>
  <si>
    <t>https://drive.google.com/file/d/1ocdxpG6Wd2LnjPCJftTh7qhKlnfELj8B/view?usp=sharing</t>
  </si>
  <si>
    <t>b3f655bf</t>
  </si>
  <si>
    <t>Persiraja Banda Aceh vs Persekat Tegal - Pegadaian Championship</t>
  </si>
  <si>
    <t>https://www.vidio.com/live/19584-pegadaian-championship-2025-26?schedule_id=4676983</t>
  </si>
  <si>
    <t>https://drive.google.com/drive/folders/1NG-TFukqMhlC2YyBzTLOiH44zMCY7CoN?usp=drive_link</t>
  </si>
  <si>
    <t>persiraja banda aceh; persekat; sports stream</t>
  </si>
  <si>
    <t>Nonton streaming pertandingan seru Persiraja Banda Aceh vs Persekat Tegal - Pegadaian Championship. Saksikan aksi-aksi terbaik dari tim yang bersaing ketat untuk meraih kemenangan. Dapatkan informasi lengkap mengenai jadwal pertandingan dan hasil pertandingan terbaru hanya di Vidio.</t>
  </si>
  <si>
    <t>https://drive.google.com/file/d/1F3AcIa7b9U0lrSX1ab3NRv5xkmbGP5uX/view?usp=sharing</t>
  </si>
  <si>
    <t>https://drive.google.com/file/d/1YiwCq01BKtw9vZqR2SP0UUmHhoEziEWn/view?usp=drive_link</t>
  </si>
  <si>
    <t>https://drive.google.com/file/d/1TVU2HmmIPSIou0tX94Qe7I58X2qSNSVj/view?usp=sharing</t>
  </si>
  <si>
    <t>ad1180b6</t>
  </si>
  <si>
    <t>Persela Lamongan vs Persipal FC - Pegadaian Championship</t>
  </si>
  <si>
    <t>https://www.vidio.com/live/19584-pegadaian-championship-2025-26?schedule_id=4704440</t>
  </si>
  <si>
    <t>https://drive.google.com/drive/folders/1tFfvf6UnbDvqj2MO9Gh-7J33LT-FYkGP?usp=drive_link</t>
  </si>
  <si>
    <t>https://drive.google.com/drive/folders/10kjndzNuhAMWdTMs_l_jk8B84L4z3b2d?usp=drive_link</t>
  </si>
  <si>
    <t>persela lamongan; Persipal Palu; sports stream</t>
  </si>
  <si>
    <t>Nonton streaming pertandingan seru Persela Lamongan vs Persipal FC - Pegadaian Championship. Saksikan aksi-aksi terbaik dari tim yang bersaing ketat untuk meraih kemenangan. Dapatkan informasi lengkap mengenai jadwal pertandingan dan hasil pertandingan terbaru hanya di Vidio.</t>
  </si>
  <si>
    <t>https://drive.google.com/file/d/1tF3ZYgVLC056YzVBDofrAfyRHE_i8li_/view?usp=sharing</t>
  </si>
  <si>
    <t>https://drive.google.com/file/d/1_9LWxC55Q4c2uLS2cwaW2EO9t8fLcgR_/view?usp=drive_link</t>
  </si>
  <si>
    <t>https://drive.google.com/file/d/12oJKYI5D5ui4HEc5NnP8FrzrPN00POIK/view?usp=sharing</t>
  </si>
  <si>
    <t>6e9cc9d6</t>
  </si>
  <si>
    <t>Deltras FC vs Persiba Balikpapan - Pegadaian Championship</t>
  </si>
  <si>
    <t>https://www.vidio.com/live/19542-pegadaian-championship-2025-26?schedule_id=4704437</t>
  </si>
  <si>
    <t>https://drive.google.com/drive/folders/1e2SO3Y8DCZAWwgY6WZ4u-e5PFSoRM2gK?usp=drive_link</t>
  </si>
  <si>
    <t>deltras sidoarjo; Persiba Balikpapan; sports stream</t>
  </si>
  <si>
    <t>Nonton streaming pertandingan seru Deltras FC vs Persiba Balikpapan - Pegadaian Championship. Saksikan aksi-aksi terbaik dari tim yang bersaing ketat untuk meraih kemenangan. Dapatkan informasi lengkap mengenai jadwal pertandingan dan hasil pertandingan terbaru hanya di Vidio.</t>
  </si>
  <si>
    <t>https://drive.google.com/file/d/1K_-cqYsmAKIp-u8TFy9XQofGhorJ9hk3/view?usp=sharing</t>
  </si>
  <si>
    <t>https://drive.google.com/file/d/1ZbDgBfrihWvPBvTQT8iRRVvV20vougUS/view?usp=drive_link</t>
  </si>
  <si>
    <t>https://drive.google.com/file/d/1sdwxAk4EeyCiCswKdhljUCI-_wTdmkqR/view?usp=sharing</t>
  </si>
  <si>
    <t>8e9261d3</t>
  </si>
  <si>
    <t>Sriwijaya FC vs Adhyaksa FC - Pegadaian Championship</t>
  </si>
  <si>
    <t>https://www.vidio.com/live/19549-pegadaian-championship-2025-26?schedule_id=4704439</t>
  </si>
  <si>
    <t>https://drive.google.com/drive/folders/1IY63Pb3CkWjX5mQoMOZ4OJtKLtdRAQiM?usp=drive_link</t>
  </si>
  <si>
    <t>sriwijaya fc; Adhyaksa Farmel FC; sports stream</t>
  </si>
  <si>
    <t>Nonton streaming pertandingan seru Sriwijaya FC vs Adhyaksa FC - Pegadaian Championship. Saksikan aksi-aksi terbaik dari tim yang bersaing ketat untuk meraih kemenangan. Dapatkan informasi lengkap mengenai jadwal pertandingan dan hasil pertandingan terbaru hanya di Vidio.</t>
  </si>
  <si>
    <t>https://drive.google.com/file/d/11vUQIPjkoS3i9v_l3k-YkFTZkT2CsODj/view?usp=sharing</t>
  </si>
  <si>
    <t>https://drive.google.com/file/d/1OsxEBv7wR3_GuYt_SQRDomSiBv6yemU3/view?usp=drive_link</t>
  </si>
  <si>
    <t>https://drive.google.com/file/d/1dzTlzNR7H0CgeeCCdDrtCohE9CJ1njWh/view?usp=sharing</t>
  </si>
  <si>
    <t>534bacc8</t>
  </si>
  <si>
    <t>Garudayaksa FC vs Sumsel United - Pegadaian Championship</t>
  </si>
  <si>
    <t>https://www.vidio.com/live/19541-pegadaian-championship-2025-26?schedule_id=4704438</t>
  </si>
  <si>
    <t>https://drive.google.com/drive/folders/1WGi9jEn6uHHTgkrQwTAAb8XGr9Ee57ui?usp=drive_link</t>
  </si>
  <si>
    <t>pskc cimahi; Sumsel United; sports stream</t>
  </si>
  <si>
    <t>Nonton streaming pertandingan seru Garudayaksa FC vs Sumsel United - Pegadaian Championship. Saksikan aksi-aksi terbaik dari tim yang bersaing ketat untuk meraih kemenangan. Dapatkan informasi lengkap mengenai jadwal pertandingan dan hasil pertandingan terbaru hanya di Vidio.</t>
  </si>
  <si>
    <t>https://drive.google.com/file/d/1bNOnkqkAhCYqY15fAZbpQVpOiBXDHBQE/view?usp=sharing</t>
  </si>
  <si>
    <t>https://drive.google.com/file/d/1WJiBjYSuk52_LuOtrmADGlxkuU1pxvEO/view?usp=drive_link</t>
  </si>
  <si>
    <t>https://drive.google.com/file/d/1muYZORrT6XORncNFlmvEKDh_0-msroFP/view?usp=sharing</t>
  </si>
  <si>
    <t>e9b920cf</t>
  </si>
  <si>
    <t>Persipura Jayapura vs Persiku Kudus - Pegadaian Championship</t>
  </si>
  <si>
    <t>https://www.vidio.com/live/19543-pegadaian-championship-2025-26?schedule_id=4704442</t>
  </si>
  <si>
    <t>https://drive.google.com/drive/folders/112RzALDsWDMTVE0zr2UYlSB0bnemnXru?usp=drive_link</t>
  </si>
  <si>
    <t>persipura; persiku kudus; sports stream</t>
  </si>
  <si>
    <t>Nonton streaming pertandingan seru Persipura Jayapura vs Persiku Kudus - Pegadaian Championship. Saksikan aksi-aksi terbaik dari tim yang bersaing ketat untuk meraih kemenangan. Dapatkan informasi lengkap mengenai jadwal pertandingan dan hasil pertandingan terbaru hanya di Vidio.</t>
  </si>
  <si>
    <t>https://drive.google.com/file/d/1FkPxH-4k79v7xZrCooegCU3xuEXBe9bv/view?usp=sharing</t>
  </si>
  <si>
    <t>https://drive.google.com/file/d/1rRsrma4nlP_BIrJmGTJzTbmWlYb9XQTj/view?usp=drive_link</t>
  </si>
  <si>
    <t>https://drive.google.com/file/d/1QHg9NOxIAlsVu9rLWTISHV64rTSAauLo/view?usp=sharing</t>
  </si>
  <si>
    <t>b09b814e</t>
  </si>
  <si>
    <t>Kendal Tornado FC vs PSIS Semarang - Pegadaian Championship</t>
  </si>
  <si>
    <t>https://www.vidio.com/live/19584-pegadaian-championship-2025-26?schedule_id=4704443</t>
  </si>
  <si>
    <t>https://drive.google.com/drive/folders/1Ac_DkQGqAypGdYUqmDwqH8BAKWu6rqkn?usp=drive_link</t>
  </si>
  <si>
    <t>Kendal Tornado FC; psis semarang; sports stream</t>
  </si>
  <si>
    <t>Nonton streaming pertandingan seru Kendal Tornado FC vs PSIS Semarang - Pegadaian Championship. Saksikan aksi-aksi terbaik dari tim yang bersaing ketat untuk meraih kemenangan. Dapatkan informasi lengkap mengenai jadwal pertandingan dan hasil pertandingan terbaru hanya di Vidio.</t>
  </si>
  <si>
    <t>https://drive.google.com/file/d/1POniG8AgxNaTKlZtO-3zoxzOYLxWysii/view?usp=sharing</t>
  </si>
  <si>
    <t>https://drive.google.com/file/d/19S7BxjjUfgbwLshu5EpGEKnYrg36FxZD/view?usp=drive_link</t>
  </si>
  <si>
    <t>https://drive.google.com/file/d/1Q1jrPCwkik3Kg0PG80q8oeDXUfVsiRPh/view?usp=sharing</t>
  </si>
  <si>
    <t>3564e9d3</t>
  </si>
  <si>
    <t>PSPS Pekanbaru vs Persiraja Banda Aceh - Pegadaian Championship</t>
  </si>
  <si>
    <t>https://www.vidio.com/live/19584-pegadaian-championship-2025-26?schedule_id=4706380</t>
  </si>
  <si>
    <t>https://drive.google.com/drive/folders/1-2rzoFgYB7wbfPX2nMerpT6ewadaZAG9?usp=drive_link</t>
  </si>
  <si>
    <t>psps riau; persiraja banda aceh; sports stream</t>
  </si>
  <si>
    <t>Nonton streaming pertandingan seru PSPS Pekanbaru vs Persiraja Banda Aceh - Pegadaian Championship. Saksikan aksi-aksi terbaik dari tim yang bersaing ketat untuk meraih kemenangan. Dapatkan informasi lengkap mengenai jadwal pertandingan dan hasil pertandingan terbaru hanya di Vidio.</t>
  </si>
  <si>
    <t>https://drive.google.com/file/d/19f6-GWFKBnUjOnSJ_ccOatBpyMimxhPY/view?usp=sharing</t>
  </si>
  <si>
    <t>https://drive.google.com/file/d/19hr7rkTOmfyzM_jWF5w-t7iieVfc4qLD/view?usp=drive_link</t>
  </si>
  <si>
    <t>https://drive.google.com/file/d/1tLHHfViNrxwa9SVCZY4I37cgk1usKbct/view?usp=sharing</t>
  </si>
  <si>
    <t>8dd68e38</t>
  </si>
  <si>
    <t>Persikad vs Persekat Tegal - Pegadaian Championship</t>
  </si>
  <si>
    <t>https://www.vidio.com/live/19542-pegadaian-championship-2025-26?schedule_id=4708843</t>
  </si>
  <si>
    <t>https://drive.google.com/drive/folders/1vu5I1UxJjYdEEGe0izu-CVgLJ9E4udox?usp=drive_link</t>
  </si>
  <si>
    <t>Persikad; persekat; sports stream</t>
  </si>
  <si>
    <t>Nonton streaming pertandingan seru Persikad vs Persekat Tegal - Pegadaian Championship. Saksikan aksi-aksi terbaik dari tim yang bersaing ketat untuk meraih kemenangan. Dapatkan informasi lengkap mengenai jadwal pertandingan dan hasil pertandingan terbaru hanya di Vidio.</t>
  </si>
  <si>
    <t>https://drive.google.com/file/d/1TM1ovAlgNtl7onHwdNZzLmXgb1eNz3ZI/view?usp=sharing</t>
  </si>
  <si>
    <t>https://drive.google.com/file/d/1-Ej3E9b1pCoJvFA-l5ooluSBPgu51NYI/view?usp=drive_link</t>
  </si>
  <si>
    <t>https://drive.google.com/file/d/1_GkN6veb4AxHkO81Cgbi81LHC7hltBqE/view?usp=sharing</t>
  </si>
  <si>
    <t>db7f7acc</t>
  </si>
  <si>
    <t>PS. Barito Putera vs PSS Sleman - Pegadaian Championship</t>
  </si>
  <si>
    <t>https://www.vidio.com/live/19543-pegadaian-championship-2025-26?schedule_id=4706379</t>
  </si>
  <si>
    <t>https://drive.google.com/drive/folders/1Or9nbKc9oHurnmWVTNSCETMJd9J4uS5B?usp=drive_link</t>
  </si>
  <si>
    <t>ps barito putera; pss sleman; sports stream</t>
  </si>
  <si>
    <t>Nonton streaming pertandingan seru PS. Barito Putera vs PSS Sleman - Pegadaian Championship. Saksikan aksi-aksi terbaik dari tim yang bersaing ketat untuk meraih kemenangan. Dapatkan informasi lengkap mengenai jadwal pertandingan dan hasil pertandingan terbaru hanya di Vidio.</t>
  </si>
  <si>
    <t>https://drive.google.com/file/d/1se0UfVo6A3tSXIPvU9rD1vsgyDetWNeB/view?usp=sharing</t>
  </si>
  <si>
    <t>https://drive.google.com/file/d/1gm4JsKfOKIOFtFOiaNlx7uVYRQChtwkN/view?usp=drive_link</t>
  </si>
  <si>
    <t>https://drive.google.com/file/d/1LeT_WMcJJqfvqiw-uXsSmjMRbkW7jXfn/view?usp=sharing</t>
  </si>
  <si>
    <t>56540f5e</t>
  </si>
  <si>
    <t>FC Bekasi City vs PSMS Medan - Pegadaian Championship</t>
  </si>
  <si>
    <t>https://www.vidio.com/live/19542-pegadaian-championship-2025-26?schedule_id=4708842</t>
  </si>
  <si>
    <t>https://drive.google.com/drive/folders/1TikWJjFZRk5rpoIYpgiEEMua2DXCAzb3?usp=drive_link</t>
  </si>
  <si>
    <t>fc bekasi city; psms medan; sports stream</t>
  </si>
  <si>
    <t>Nonton streaming pertandingan seru FC Bekasi City vs PSMS Medan - Pegadaian Championship. Saksikan aksi-aksi terbaik dari tim yang bersaing ketat untuk meraih kemenangan. Dapatkan informasi lengkap mengenai jadwal pertandingan dan hasil pertandingan terbaru hanya di Vidio.</t>
  </si>
  <si>
    <t>https://drive.google.com/file/d/1OHRB3h4L1nlj8fHH6jDBJhSH6uVmcidM/view?usp=sharing</t>
  </si>
  <si>
    <t>https://drive.google.com/file/d/1f9JILb82LtvIaZ5u_iAf8n5EBZ8NS1mb/view?usp=drive_link</t>
  </si>
  <si>
    <t>https://drive.google.com/file/d/1zA5W642QKnRosO4Qco6ncE5pKUWwf3Hw/view?usp=sharing</t>
  </si>
  <si>
    <t>d8a1498f</t>
  </si>
  <si>
    <t>Persiku Kudus vs PSIS Semarang - Pegadaian Championship</t>
  </si>
  <si>
    <t>https://www.vidio.com/live/19543-pegadaian-championship-2025-26?schedule_id=4709316</t>
  </si>
  <si>
    <t>https://drive.google.com/drive/u/0/folders/1I3IEHJF3rY3ulQ1TphSYn3JnVZ8GjTYg</t>
  </si>
  <si>
    <t>https://drive.google.com/drive/folders/1Ghj3z1_bCmQSKG6Tn4qEhXJLtRq1SxKA</t>
  </si>
  <si>
    <t>persiku kudus; psis semarang; sports stream</t>
  </si>
  <si>
    <t>Nonton streaming pertandingan seru Persiku Kudus vs PSIS Semarang - Pegadaian Championship. Saksikan aksi-aksi terbaik dari tim yang bersaing ketat untuk meraih kemenangan. Dapatkan informasi lengkap mengenai jadwal pertandingan dan hasil pertandingan terbaru hanya di Vidio.</t>
  </si>
  <si>
    <t>C2 , E2</t>
  </si>
  <si>
    <t>https://drive.google.com/file/d/1ASvB3urlCIBYhCDnX6BGwh9wD8A-al4G/view?usp=sharing</t>
  </si>
  <si>
    <t>https://drive.google.com/file/d/1_ErHE5F9upKZ4yEVQTkOrpbTWDAdTe6S/view?usp=sharing</t>
  </si>
  <si>
    <t>https://drive.google.com/file/d/1zPeQnaReYCCxhHkISvJ772VHXON5fRW6/view?usp=sharing</t>
  </si>
  <si>
    <t>d64a30bb</t>
  </si>
  <si>
    <t>Deltras FC vs Persela Lamongan - Pegadaian Championship</t>
  </si>
  <si>
    <t>https://www.vidio.com/live/19543-pegadaian-championship-2025-26?schedule_id=4709321</t>
  </si>
  <si>
    <t>https://drive.google.com/drive/u/0/folders/1IRHYlG1njTkQ0X43rsZQ2Jo_82-YngwW</t>
  </si>
  <si>
    <t>deltras sidoarjo; persela lamongan; sports stream</t>
  </si>
  <si>
    <t>Nonton streaming pertandingan seru Deltras FC vs Persela Lamongan - Pegadaian Championship. Saksikan aksi-aksi terbaik dari tim yang bersaing ketat untuk meraih kemenangan. Dapatkan informasi lengkap mengenai jadwal pertandingan dan hasil pertandingan terbaru hanya di Vidio.</t>
  </si>
  <si>
    <t>https://drive.google.com/file/d/1csOT9irGZRDsYh4sFE224B1-L89V34nY/view?usp=sharing</t>
  </si>
  <si>
    <t>https://drive.google.com/file/d/1gEZ_6Yh8iyV0oncbNsqCs2cKANU3DAMu/view?usp=sharing</t>
  </si>
  <si>
    <t>https://drive.google.com/file/d/1VS6ujlXDWpsyUX88qmauKlo-gF-Rj0mG/view?usp=sharing</t>
  </si>
  <si>
    <t>b20d023b</t>
  </si>
  <si>
    <t>Garudayaksa FC vs Sriwijaya FC - Pegadaian Championship</t>
  </si>
  <si>
    <t>https://www.vidio.com/live/19541-pegadaian-championship-2025-26?schedule_id=4709331</t>
  </si>
  <si>
    <t>https://drive.google.com/drive/u/0/folders/1CP13bf12H8y8AFz7jwJD6k_AI3D9396Y</t>
  </si>
  <si>
    <t>pskc cimahi; sriwijaya fc; sports stream</t>
  </si>
  <si>
    <t>Nonton streaming pertandingan seru Garudayaksa FC vs Sriwijaya FC - Pegadaian Championship. Saksikan aksi-aksi terbaik dari tim yang bersaing ketat untuk meraih kemenangan. Dapatkan informasi lengkap mengenai jadwal pertandingan dan hasil pertandingan terbaru hanya di Vidio.</t>
  </si>
  <si>
    <t>C3 , E3</t>
  </si>
  <si>
    <t>https://drive.google.com/file/d/1QcPFPAla2pqhGNlFnwLGGBnBVmxJQsBD/view?usp=sharing</t>
  </si>
  <si>
    <t>https://drive.google.com/file/d/13YXvmXnTxr6L5e2ao5BkQafyjhfwFv98/view?usp=sharing</t>
  </si>
  <si>
    <t>https://drive.google.com/file/d/1Q8Eetnq-ANZNK9aLGuBpQ1VTDVKgWxCJ/view?usp=sharing</t>
  </si>
  <si>
    <t>171b1697</t>
  </si>
  <si>
    <t>Adhyaksa FC vs Persiraja Banda Aceh - Pegadaian Championship</t>
  </si>
  <si>
    <t>https://www.vidio.com/live/19584-pegadaian-championship-2025-26?schedule_id=4709789</t>
  </si>
  <si>
    <t>https://drive.google.com/drive/u/0/folders/17hljSKetZpILmicI6kM_fJ9I2FmUQAaK</t>
  </si>
  <si>
    <t>Adhyaksa Farmel FC; persiraja banda aceh; sports stream</t>
  </si>
  <si>
    <t>Nonton streaming pertandingan seru Adhyaksa FC vs Persiraja Banda Aceh - Pegadaian Championship. Saksikan aksi-aksi terbaik dari tim yang bersaing ketat untuk meraih kemenangan. Dapatkan informasi lengkap mengenai jadwal pertandingan dan hasil pertandingan terbaru hanya di Vidio.</t>
  </si>
  <si>
    <t>https://drive.google.com/file/d/1RH9gZVB1ZpaBJN-l6sVP_KHBLBkhunhQ/view?usp=sharing</t>
  </si>
  <si>
    <t>https://drive.google.com/file/d/1xbamZgUfPp2UYliVCRZquAOzN6reWdsf/view?usp=sharing</t>
  </si>
  <si>
    <t>https://drive.google.com/file/d/1_Dtl8za0MM0-pYw8COwwuRHvFGdPmzZR/view?usp=sharing</t>
  </si>
  <si>
    <t>0414c7e6</t>
  </si>
  <si>
    <t>Persipura Jayapura vs Persipal FC - Pegadaian Championship</t>
  </si>
  <si>
    <t>https://www.vidio.com/live/19549-pegadaian-championship-2025-26?schedule_id=4709793</t>
  </si>
  <si>
    <t>https://drive.google.com/drive/u/0/folders/1POUFEBTuf60kEiiUoIYOs6fWT32xznvU</t>
  </si>
  <si>
    <t>persipura; Persipal Palu; sports stream</t>
  </si>
  <si>
    <t>Nonton streaming pertandingan seru Persipura Jayapura vs Persipal FC - Pegadaian Championship. Saksikan aksi-aksi terbaik dari tim yang bersaing ketat untuk meraih kemenangan. Dapatkan informasi lengkap mengenai jadwal pertandingan dan hasil pertandingan terbaru hanya di Vidio.</t>
  </si>
  <si>
    <t>https://drive.google.com/file/d/17-VVbz_bHcC-KFahKKBDOTp_6dNmGmHu/view?usp=sharing</t>
  </si>
  <si>
    <t>https://drive.google.com/file/d/1jeMpriJ2u69Kc9ZOnzhiwIg2ER92eSgW/view?usp=sharing</t>
  </si>
  <si>
    <t>https://drive.google.com/file/d/1klh0iCov-m3744dCoL6hgowF44RTUeKU/view?usp=sharing</t>
  </si>
  <si>
    <t>bcbf7508</t>
  </si>
  <si>
    <t>Persiba Balikpapan vs PSS Sleman - Pegadaian Championship</t>
  </si>
  <si>
    <t>https://www.vidio.com/live/19584-pegadaian-championship-2025-26?schedule_id=4709790</t>
  </si>
  <si>
    <t>https://drive.google.com/drive/u/0/folders/1hmnylMdOn7-TGwqaa_LND65IM_CDgbKk</t>
  </si>
  <si>
    <t>Persiba Balikpapan; pss sleman; sports stream</t>
  </si>
  <si>
    <t>Nonton streaming pertandingan seru Persiba Balikpapan vs PSS Sleman - Pegadaian Championship. Saksikan aksi-aksi terbaik dari tim yang bersaing ketat untuk meraih kemenangan. Dapatkan informasi lengkap mengenai jadwal pertandingan dan hasil pertandingan terbaru hanya di Vidio.</t>
  </si>
  <si>
    <t>https://drive.google.com/file/d/102K5vvwjVPQ4rQ_0F6sQI6xqIWenZMFp/view?usp=sharing</t>
  </si>
  <si>
    <t>https://drive.google.com/file/d/1FDnTLVjLfir_rtLJ74l-2oh1333piYCh/view?usp=sharing</t>
  </si>
  <si>
    <t>https://drive.google.com/file/d/1Wzry2OfCDy4y9QWr2LfZ_OqCGS4JdXGV/view?usp=sharing</t>
  </si>
  <si>
    <t>1d4526c0</t>
  </si>
  <si>
    <t>Kendal Tornado FC vs PS. Barito Putera - Pegadaian Championship</t>
  </si>
  <si>
    <t>https://www.vidio.com/live/19543-pegadaian-championship-2025-26?schedule_id=4709791</t>
  </si>
  <si>
    <t>https://drive.google.com/drive/u/0/folders/1niHIM11tk0pk_v-vXGhuXQhBt9qa7H1O</t>
  </si>
  <si>
    <t>Kendal Tornado FC; ps barito putera; sports stream</t>
  </si>
  <si>
    <t>Nonton streaming pertandingan seru Kendal Tornado FC vs PS. Barito Putera - Pegadaian Championship. Saksikan aksi-aksi terbaik dari tim yang bersaing ketat untuk meraih kemenangan. Dapatkan informasi lengkap mengenai jadwal pertandingan dan hasil pertandingan terbaru hanya di Vidio.</t>
  </si>
  <si>
    <t>https://drive.google.com/file/d/15EqQy57kszUzYhlCkPBqGXbuNviVnixc/view?usp=sharing</t>
  </si>
  <si>
    <t>https://drive.google.com/file/d/1I8RxNHWTXApKzTR6tvwn1LBK81PTlPKM/view?usp=sharing</t>
  </si>
  <si>
    <t>https://drive.google.com/file/d/1nJi2i1U5-VdX0U1J3omJZpbud0MFRM63/view?usp=sharing</t>
  </si>
  <si>
    <t>dea72458</t>
  </si>
  <si>
    <t>Persekat Tegal vs PSMS Medan - Pegadaian Championship</t>
  </si>
  <si>
    <t>https://www.vidio.com/live/19541-pegadaian-championship-2025-26?schedule_id=4713689</t>
  </si>
  <si>
    <t>https://drive.google.com/drive/folders/14rQQ9agBru1mhklawigZ5JfHreIGVATr</t>
  </si>
  <si>
    <t>persekat; psms medan; sports stream</t>
  </si>
  <si>
    <t>Nonton streaming pertandingan seru Persekat Tegal vs PSMS Medan - Pegadaian Championship. Saksikan aksi-aksi terbaik dari tim yang bersaing ketat untuk meraih kemenangan. Dapatkan informasi lengkap mengenai jadwal pertandingan dan hasil pertandingan terbaru hanya di Vidio.</t>
  </si>
  <si>
    <t>https://drive.google.com/file/d/1RAoydcef0dNkSl0y1asgQDrqTGk68CTO/view?usp=sharing</t>
  </si>
  <si>
    <t>https://drive.google.com/file/d/1MMo0AYkWXJEmBeSoXiiLZt6d26ORlJt6/view?usp=sharing</t>
  </si>
  <si>
    <t>https://drive.google.com/file/d/1SPURqLwIt7bfgFf4mzHzA5sJ93mAGXvf/view?usp=sharing</t>
  </si>
  <si>
    <t>23a0b0b6</t>
  </si>
  <si>
    <t>PSPS Pekanbaru vs FC Bekasi City - Pegadaian Championship</t>
  </si>
  <si>
    <t>https://www.vidio.com/live/19542-pegadaian-championship-2025-26?schedule_id=4713691</t>
  </si>
  <si>
    <t>https://drive.google.com/drive/folders/1B9Wznh7qixamtfSxQ_nMMc3LjUKPH3Wd</t>
  </si>
  <si>
    <t xml:space="preserve"> https://drive.google.com/drive/folders/1Ghj3z1_bCmQSKG6Tn4qEhXJLtRq1SxKA</t>
  </si>
  <si>
    <t>psps riau; fc bekasi city; sports stream</t>
  </si>
  <si>
    <t>Nonton streaming pertandingan seru PSPS Pekanbaru vs FC Bekasi City - Pegadaian Championship. Saksikan aksi-aksi terbaik dari tim yang bersaing ketat untuk meraih kemenangan. Dapatkan informasi lengkap mengenai jadwal pertandingan dan hasil pertandingan terbaru hanya di Vidio.</t>
  </si>
  <si>
    <t>https://drive.google.com/file/d/1wROCU9FXqLCJzLAATOBKCBM5mda2ZDeO/view?usp=sharing</t>
  </si>
  <si>
    <t>https://drive.google.com/file/d/1zUPXl0pTijznYgTdl73KkdEJNLfhF1bD/view?usp=sharing</t>
  </si>
  <si>
    <t>https://drive.google.com/file/d/1ID2tv5nFZo_Lxi8MgVe1qeUL-glKzPVV/view?usp=sharing</t>
  </si>
  <si>
    <t>f388a040</t>
  </si>
  <si>
    <t>Sumsel United vs Persikad - Pegadaian Championship</t>
  </si>
  <si>
    <t>https://www.vidio.com/live/19541-pegadaian-championship-2025-26?schedule_id=4713690</t>
  </si>
  <si>
    <t>https://drive.google.com/drive/folders/1f1pQwIbTI-iT0HBo8vpGWDOq7ewIo0yx</t>
  </si>
  <si>
    <t>Sumsel United; Persikad; sports stream</t>
  </si>
  <si>
    <t>Nonton streaming pertandingan seru Sumsel United vs Persikad - Pegadaian Championship. Saksikan aksi-aksi terbaik dari tim yang bersaing ketat untuk meraih kemenangan. Dapatkan informasi lengkap mengenai jadwal pertandingan dan hasil pertandingan terbaru hanya di Vidio.</t>
  </si>
  <si>
    <t>https://drive.google.com/file/d/1PyhUTIJ6AKLQOZOuETBY9rY0oUQjSCwY/view?usp=sharing</t>
  </si>
  <si>
    <t>https://drive.google.com/file/d/1e7tOi3uFi-tF_mjQ9W2H0RFHYtHGsuOF/view?usp=sharing</t>
  </si>
  <si>
    <t>https://drive.google.com/file/d/1Rta3B0gMNy-aKI85PeaCnlJTQjAZSyxU/view?usp=sharing</t>
  </si>
  <si>
    <t>6bd7ce7c</t>
  </si>
  <si>
    <t>Al-Ettifaq vs Al-Hilal - ROSHN Saudi League</t>
  </si>
  <si>
    <t>https://www.vidio.com/live/17140-spotv-2?schedule_id=4655167</t>
  </si>
  <si>
    <t>https://drive.google.com/drive/folders/1H45cfBDU3ieahaLy2cP4KkNQ4z4EzTCW</t>
  </si>
  <si>
    <t>Al-Ettifaq FC</t>
  </si>
  <si>
    <t>al-ettifaq fc; al-hilal; sports stream</t>
  </si>
  <si>
    <t>Nonton streaming pertandingan seru Al-Ettifaq vs Al-Hilal - ROSHN Saudi League. Saksikan aksi-aksi terbaik dari tim yang bersaing ketat untuk meraih kemenangan. Dapatkan informasi lengkap mengenai jadwal pertandingan dan hasil pertandingan terbaru hanya di Vidio.</t>
  </si>
  <si>
    <t>Ettifaq: Wijnaldum &amp; Alvaro Medran
Hilal: Milinkovic Savic &amp; Hernandez</t>
  </si>
  <si>
    <t>https://drive.google.com/file/d/1uMCmgUumqUHeqov2pguzpZ7-foYiAVUm/view?usp=sharing</t>
  </si>
  <si>
    <t>https://drive.google.com/file/d/1HH6LyEApA_7AMQndsWvxB2AHWYk7jo76/view?usp=drive_link</t>
  </si>
  <si>
    <t>e598e248</t>
  </si>
  <si>
    <t>NEOM SC vs Al-Qadsiah - ROSHN Saudi League</t>
  </si>
  <si>
    <t>https://www.vidio.com/live/17139-spotv?schedule_id=4655725</t>
  </si>
  <si>
    <t>https://drive.google.com/drive/folders/1KeKYkkKpuTIunc_fn6tujcXCdTkHuXIk</t>
  </si>
  <si>
    <t>NEOM SC; al qadsiah fc; sports stream</t>
  </si>
  <si>
    <t>Nonton streaming pertandingan seru NEOM SC vs Al-Qadsiah - ROSHN Saudi League. Saksikan aksi-aksi terbaik dari tim yang bersaing ketat untuk meraih kemenangan. Dapatkan informasi lengkap mengenai jadwal pertandingan dan hasil pertandingan terbaru hanya di Vidio.</t>
  </si>
  <si>
    <t>https://drive.google.com/file/d/1ipVXYnlr7dWcTRHs5e3wA225qmsELsvj/view?usp=sharing</t>
  </si>
  <si>
    <t>bd3ea21c</t>
  </si>
  <si>
    <t>Rajadamnern 2025 Super Featherweight Bout</t>
  </si>
  <si>
    <t>https://www.vidio.com/live/19388-rws-muay-thai-2025?schedule_id=4653334</t>
  </si>
  <si>
    <t>https://drive.google.com/drive/u/0/folders/1m01Q6VB4daUhbn0IAtjhW9IaUd59FFT6</t>
  </si>
  <si>
    <t>https://drive.google.com/drive/folders/1S8Hf5sWMZG7etOyF9fWu4qtB3n8pftSZ?usp=drive_link</t>
  </si>
  <si>
    <t>Nonton streaming pertandingan seru Rajadamnern 2025 Super Featherweight Bout. Saksikan aksi-aksi terbaik dari tim yang bersaing ketat untuk meraih kemenangan. Dapatkan informasi lengkap mengenai jadwal pertandingan dan hasil pertandingan terbaru hanya di Vidio.</t>
  </si>
  <si>
    <t>CRM + SEO + Socials</t>
  </si>
  <si>
    <t>https://3.basecamp.com/4902751/buckets/36763424/card_tables/cards/9163761050</t>
  </si>
  <si>
    <t>https://drive.google.com/file/d/1DOUxoUt1e7QhGy_kR9PE4B_N3-gGiH8T/view?usp=sharing</t>
  </si>
  <si>
    <t>https://drive.google.com/file/d/1l1zcpv7U8lf-yLLtIbVCLtz3ivJBEX78/view?usp=sharing</t>
  </si>
  <si>
    <t>7602320c</t>
  </si>
  <si>
    <t>Utsunomiya Brex vs Seoul SK Knights - EASL</t>
  </si>
  <si>
    <t>https://www.vidio.com/live/19671-easl?schedule_id=4660164</t>
  </si>
  <si>
    <t>https://drive.google.com/drive/folders/1MVfIzrxUJhGgAjGmovAQ372bX_epNr3C</t>
  </si>
  <si>
    <t>Seoul SK Knights</t>
  </si>
  <si>
    <t>Utsunomiya Brex; Seoul SK Knights; sports stream</t>
  </si>
  <si>
    <t>Nonton streaming pertandingan seru Utsunomiya Brex vs Seoul SK Knights - EASL. Saksikan aksi-aksi terbaik dari tim yang bersaing ketat untuk meraih kemenangan. Dapatkan informasi lengkap mengenai jadwal pertandingan dan hasil pertandingan terbaru hanya di Vidio.</t>
  </si>
  <si>
    <t>https://drive.google.com/file/d/11vLnIb-5qlfqzLAIwsrugZ0clf3vl3ca/view?usp=sharing</t>
  </si>
  <si>
    <t>https://drive.google.com/file/d/1NH0Tvbz7GfREGMD7JhE1HondbyOzBSi9/view?usp=sharing</t>
  </si>
  <si>
    <t>e5584f1c</t>
  </si>
  <si>
    <t>Ryukyu Golden Kings vs Meralco Bolts - EASL</t>
  </si>
  <si>
    <t>https://www.vidio.com/live/19672-easl?schedule_id=4660162</t>
  </si>
  <si>
    <t>https://drive.google.com/drive/folders/1Kwn6BvSlXU3JwgDMIGoaK3SdBt5Bb2pt</t>
  </si>
  <si>
    <t>Meralco Bolts</t>
  </si>
  <si>
    <t>ryukyu golden kings; meralco bolts; sports stream</t>
  </si>
  <si>
    <t>Nonton streaming pertandingan seru Ryukyu Golden Kings vs Meralco Bolts - EASL. Saksikan aksi-aksi terbaik dari tim yang bersaing ketat untuk meraih kemenangan. Dapatkan informasi lengkap mengenai jadwal pertandingan dan hasil pertandingan terbaru hanya di Vidio.</t>
  </si>
  <si>
    <t>https://drive.google.com/file/d/17n6vUiogdpba111tEJo66ycgmpsp35bI/view?usp=sharing</t>
  </si>
  <si>
    <t>https://drive.google.com/file/d/1xTYtG-DyTC4YXA4si4f6yy4I1cbqAqYU/view?usp=sharing</t>
  </si>
  <si>
    <t>73d3a8c0</t>
  </si>
  <si>
    <t>New Taipei Kings vs Alvark Tokyo - EASL</t>
  </si>
  <si>
    <t>https://www.vidio.com/live/17926-easl?schedule_id=4660166</t>
  </si>
  <si>
    <t>https://drive.google.com/drive/folders/17h9E1YSlek_VE2jCF7NGWNJzJHz_PqyO</t>
  </si>
  <si>
    <t>New Taipei Kings</t>
  </si>
  <si>
    <t>new taipei kings; Alvark Tokyo; sports stream</t>
  </si>
  <si>
    <t>Nonton streaming pertandingan seru New Taipei Kings vs Alvark Tokyo - EASL. Saksikan aksi-aksi terbaik dari tim yang bersaing ketat untuk meraih kemenangan. Dapatkan informasi lengkap mengenai jadwal pertandingan dan hasil pertandingan terbaru hanya di Vidio.</t>
  </si>
  <si>
    <t>https://drive.google.com/file/d/11AgD_9CDSKWzLkvxt_skWYmKToC_Vp3T/view?usp=sharing</t>
  </si>
  <si>
    <t>https://drive.google.com/file/d/1SPcDnDOCUT6z9fJyrJCqoQQPeh_4v2r7/view?usp=sharing</t>
  </si>
  <si>
    <t>e7c7f39a</t>
  </si>
  <si>
    <t>Pittsburgh Steelers vs Cincinnati Bengals - NFL</t>
  </si>
  <si>
    <t>https://www.vidio.com/live/19623-national-football-league-2025-26?schedule_id=4651618</t>
  </si>
  <si>
    <t>https://drive.google.com/drive/folders/1pSGm0bHkzrJhOS0KLEe-F_yW026zG1au</t>
  </si>
  <si>
    <t>Nonton streaming pertandingan seru Pittsburgh Steelers vs Cincinnati Bengals - NFL. Saksikan aksi-aksi terbaik dari tim yang bersaing ketat untuk meraih kemenangan. Dapatkan informasi lengkap mengenai jadwal pertandingan dan hasil pertandingan terbaru hanya di Vidio.</t>
  </si>
  <si>
    <t>https://drive.google.com/file/d/1ThHQWsa7ctbNubtI957ahQOU6z7sVQYX/view?usp=sharing</t>
  </si>
  <si>
    <t>https://drive.google.com/file/d/1JzASyRDZW5d-AEDev9RJ0RLS6gp-kDBs/view?usp=drive_link</t>
  </si>
  <si>
    <t>8ea7c8af</t>
  </si>
  <si>
    <t>Philadelphia Eagles vs Minnesota Vikings - NFL</t>
  </si>
  <si>
    <t>https://www.vidio.com/live/19548-national-football-league-2025-26?schedule_id=4659899</t>
  </si>
  <si>
    <t>https://drive.google.com/drive/u/0/folders/1AXRoB4g6vd6Hf7aW-g0yy7ppkmm1ikWl</t>
  </si>
  <si>
    <t>Nonton streaming pertandingan seru Philadelphia Eagles vs Minnesota Vikings - NFL. Saksikan aksi-aksi terbaik dari tim yang bersaing ketat untuk meraih kemenangan. Dapatkan informasi lengkap mengenai jadwal pertandingan dan hasil pertandingan terbaru hanya di Vidio.</t>
  </si>
  <si>
    <t>https://drive.google.com/file/d/1GLnkUiDx64Gb0FMvxyPv3ol21PS9BRqS/view?usp=sharing</t>
  </si>
  <si>
    <t>https://drive.google.com/file/d/1AOCi4MuHkEptPkyqgFWQsWQcnJYEinCw/view?usp=drive_link</t>
  </si>
  <si>
    <t>80d6a39a</t>
  </si>
  <si>
    <t>Washington Commanders vs Dallas Cowboys - NFL</t>
  </si>
  <si>
    <t>https://www.vidio.com/live/19548-national-football-league-2025-26?schedule_id=4659900</t>
  </si>
  <si>
    <t>https://drive.google.com/drive/u/0/folders/1ALP4U1YWuurS5tAeCDzwAhxH7kmLTrIl</t>
  </si>
  <si>
    <t>Nonton streaming pertandingan seru Washington Commanders vs Dallas Cowboys - NFL. Saksikan aksi-aksi terbaik dari tim yang bersaing ketat untuk meraih kemenangan. Dapatkan informasi lengkap mengenai jadwal pertandingan dan hasil pertandingan terbaru hanya di Vidio.</t>
  </si>
  <si>
    <t>https://drive.google.com/file/d/1n1YCWd0qsrZ5vpgqzQyyNvIUvqxs-yFZ/view?usp=sharing</t>
  </si>
  <si>
    <t>https://drive.google.com/file/d/1wcJOTQ8ZXe2yrCzbuyikcB1JXdt6qkzY/view?usp=drive_link</t>
  </si>
  <si>
    <t>e79ba663</t>
  </si>
  <si>
    <t>Atlanta Falcons vs San Francisco 49ers - NFL</t>
  </si>
  <si>
    <t>https://www.vidio.com/live/19623-national-football-league-2025-26?schedule_id=4660120</t>
  </si>
  <si>
    <t>https://drive.google.com/drive/u/0/folders/1hCrQ1GZtd6TJEaQrbA3m4p5BAdgCSVoB</t>
  </si>
  <si>
    <t>Nonton streaming pertandingan seru Atlanta Falcons vs San Francisco 49ers - NFL. Saksikan aksi-aksi terbaik dari tim yang bersaing ketat untuk meraih kemenangan. Dapatkan informasi lengkap mengenai jadwal pertandingan dan hasil pertandingan terbaru hanya di Vidio.</t>
  </si>
  <si>
    <t>https://drive.google.com/file/d/1G_SSDX1DPXNl2KaVXU2adZHIvYlVk_9H/view?usp=sharing</t>
  </si>
  <si>
    <t>https://drive.google.com/file/d/1Qz8VY0RJaJgoMQLhF3qFhVFTU_I1D9Eh/view?usp=drive_link</t>
  </si>
  <si>
    <t>c79de3f4</t>
  </si>
  <si>
    <t>Tampa Bay Buccaneers vs Detroit Lions - NFL</t>
  </si>
  <si>
    <t>https://www.vidio.com/live/19623-national-football-league-2025-26?schedule_id=4660123</t>
  </si>
  <si>
    <t>https://drive.google.com/drive/u/0/folders/1qNgC7SfICmkoPXWcUwDTU_8m9lKg89-2</t>
  </si>
  <si>
    <t>Nonton streaming pertandingan seru Tampa Bay Buccaneers vs Detroit Lions - NFL. Saksikan aksi-aksi terbaik dari tim yang bersaing ketat untuk meraih kemenangan. Dapatkan informasi lengkap mengenai jadwal pertandingan dan hasil pertandingan terbaru hanya di Vidio.</t>
  </si>
  <si>
    <t>https://drive.google.com/file/d/1U91gxTGgOCufMUqPBMYDhopvX6g4-kEp/view?usp=sharing</t>
  </si>
  <si>
    <t>https://drive.google.com/file/d/1Ux7nLdoWYototyxXoNxdaHdzSTOgzR2Q/view?usp=drive_link</t>
  </si>
  <si>
    <t>a56d5de1</t>
  </si>
  <si>
    <t>Houston Texans vs Seattle Seahawks - NFL</t>
  </si>
  <si>
    <t>https://www.vidio.com/live/19623-national-football-league-2025-26?schedule_id=4660124</t>
  </si>
  <si>
    <t>https://drive.google.com/drive/u/0/folders/1L3wFqAWM_x5mXvugP-qKLV9UPJs3aR9i</t>
  </si>
  <si>
    <t>Nonton streaming pertandingan seru Houston Texans vs Seattle Seahawks - NFL. Saksikan aksi-aksi terbaik dari tim yang bersaing ketat untuk meraih kemenangan. Dapatkan informasi lengkap mengenai jadwal pertandingan dan hasil pertandingan terbaru hanya di Vidio.</t>
  </si>
  <si>
    <t>https://drive.google.com/file/d/1kZu8YMi1xNrdrNGIq7TLXvs4s8VDxeYC/view?usp=sharing</t>
  </si>
  <si>
    <t>https://drive.google.com/file/d/1uM9CelshPgnRuvuaD5gNzWh2tm4aR9-l/view?usp=drive_link</t>
  </si>
  <si>
    <t>a147d90a</t>
  </si>
  <si>
    <t>(Data Zone) Tottenham vs Chelsea - Premier League</t>
  </si>
  <si>
    <t>https://www.vidio.com/live/18796-premier-league?schedule_id=4683228</t>
  </si>
  <si>
    <t>https://drive.google.com/file/d/1XP1IwIJqFOBicXSssH-9JW2ANEci4lc3/view?usp=drive_link</t>
  </si>
  <si>
    <t>Nonton streaming pertandingan seru (Data Zone) Tottenham vs Chelsea - Premier League. Saksikan aksi-aksi terbaik dari tim yang bersaing ketat untuk meraih kemenangan. Dapatkan informasi lengkap mengenai jadwal pertandingan dan hasil pertandingan terbaru hanya di Vidio.</t>
  </si>
  <si>
    <t>b82023b7</t>
  </si>
  <si>
    <t>Matchday 6 - Top Youth Premier League 2025</t>
  </si>
  <si>
    <t>https://www.vidio.com/live/19692-top-youth-premier-league-2025-matchweek-6</t>
  </si>
  <si>
    <t>Nonton streaming pertandingan seru Matchday 6 - Top Youth Premier League 2025. Saksikan aksi-aksi terbaik dari tim yang bersaing ketat untuk meraih kemenangan. Dapatkan informasi lengkap mengenai jadwal pertandingan dan hasil pertandingan terbaru hanya di Vidio.</t>
  </si>
  <si>
    <t>015582d1</t>
  </si>
  <si>
    <t>ASIOP BIRU v MUTIARA 97 - Top Youth Premier League 2025 U-9</t>
  </si>
  <si>
    <t>https://www.vidio.com/live/19692-top-youth-premier-league-2025-matchweek-6?schedule_id=4644418</t>
  </si>
  <si>
    <t>Nonton streaming pertandingan seru ASIOP BIRU v MUTIARA 97 - Top Youth Premier League 2025 U-9. Saksikan aksi-aksi terbaik dari tim yang bersaing ketat untuk meraih kemenangan. Dapatkan informasi lengkap mengenai jadwal pertandingan dan hasil pertandingan terbaru hanya di Vidio.</t>
  </si>
  <si>
    <t>53f76f09</t>
  </si>
  <si>
    <t>JAS v BORUSSIA ACADEMY - Top Youth Premier League 2025 U-10</t>
  </si>
  <si>
    <t>https://www.vidio.com/live/19692-top-youth-premier-league-2025-matchweek-6?schedule_id=4644419</t>
  </si>
  <si>
    <t>Nonton streaming pertandingan seru JAS v BORUSSIA ACADEMY - Top Youth Premier League 2025 U-10. Saksikan aksi-aksi terbaik dari tim yang bersaing ketat untuk meraih kemenangan. Dapatkan informasi lengkap mengenai jadwal pertandingan dan hasil pertandingan terbaru hanya di Vidio.</t>
  </si>
  <si>
    <t>c1e597cb</t>
  </si>
  <si>
    <t>PRO DIRECT ACADEMY v FFF ACADEMY - Top Youth Premier League 2025 U-9</t>
  </si>
  <si>
    <t>https://www.vidio.com/live/19692-top-youth-premier-league-2025-matchweek-6?schedule_id=4644420</t>
  </si>
  <si>
    <t>Nonton streaming pertandingan seru PRO DIRECT ACADEMY v FFF ACADEMY - Top Youth Premier League 2025 U-9. Saksikan aksi-aksi terbaik dari tim yang bersaing ketat untuk meraih kemenangan. Dapatkan informasi lengkap mengenai jadwal pertandingan dan hasil pertandingan terbaru hanya di Vidio.</t>
  </si>
  <si>
    <t>ef2b27ff</t>
  </si>
  <si>
    <t>RDC PRATAMA v CS PRIVATE - Top Youth Premier League 2025 U-10</t>
  </si>
  <si>
    <t>https://www.vidio.com/live/19692-top-youth-premier-league-2025-matchweek-6?schedule_id=4644421</t>
  </si>
  <si>
    <t>Nonton streaming pertandingan seru RDC PRATAMA v CS PRIVATE - Top Youth Premier League 2025 U-10. Saksikan aksi-aksi terbaik dari tim yang bersaing ketat untuk meraih kemenangan. Dapatkan informasi lengkap mengenai jadwal pertandingan dan hasil pertandingan terbaru hanya di Vidio.</t>
  </si>
  <si>
    <t>6a4c4afe</t>
  </si>
  <si>
    <t>BOGOR UNITED SS v FOLK FOOTBALL - Top Youth Premier League 2025 U-9</t>
  </si>
  <si>
    <t>https://www.vidio.com/live/19692-top-youth-premier-league-2025-matchweek-6?schedule_id=4644422</t>
  </si>
  <si>
    <t>Nonton streaming pertandingan seru BOGOR UNITED SS v FOLK FOOTBALL - Top Youth Premier League 2025 U-9. Saksikan aksi-aksi terbaik dari tim yang bersaing ketat untuk meraih kemenangan. Dapatkan informasi lengkap mengenai jadwal pertandingan dan hasil pertandingan terbaru hanya di Vidio.</t>
  </si>
  <si>
    <t>6d7225f3</t>
  </si>
  <si>
    <t>JAGAKARSA v PUTRA NUSANTARA - Top Youth Premier League 2025 U-11</t>
  </si>
  <si>
    <t>https://www.vidio.com/live/19692-top-youth-premier-league-2025-matchweek-6?schedule_id=4644423</t>
  </si>
  <si>
    <t>Nonton streaming pertandingan seru JAGAKARSA v PUTRA NUSANTARA - Top Youth Premier League 2025 U-11. Saksikan aksi-aksi terbaik dari tim yang bersaing ketat untuk meraih kemenangan. Dapatkan informasi lengkap mengenai jadwal pertandingan dan hasil pertandingan terbaru hanya di Vidio.</t>
  </si>
  <si>
    <t>08621df2</t>
  </si>
  <si>
    <t>FU15FA v STEELFORD UNITED - Top Youth Premier League 2025 U-11</t>
  </si>
  <si>
    <t>https://www.vidio.com/live/19692-top-youth-premier-league-2025-matchweek-6?schedule_id=4644424</t>
  </si>
  <si>
    <t>Nonton streaming pertandingan seru FU15FA v STEELFORD UNITED - Top Youth Premier League 2025 U-11. Saksikan aksi-aksi terbaik dari tim yang bersaing ketat untuk meraih kemenangan. Dapatkan informasi lengkap mengenai jadwal pertandingan dan hasil pertandingan terbaru hanya di Vidio.</t>
  </si>
  <si>
    <t>7a628e10</t>
  </si>
  <si>
    <t>RFA F16 v SUKMAJAYA - Top Youth Premier League 2025 U-11</t>
  </si>
  <si>
    <t>https://www.vidio.com/live/19692-top-youth-premier-league-2025-matchweek-6?schedule_id=4644425</t>
  </si>
  <si>
    <t>Nonton streaming pertandingan seru RFA F16 v SUKMAJAYA - Top Youth Premier League 2025 U-11. Saksikan aksi-aksi terbaik dari tim yang bersaing ketat untuk meraih kemenangan. Dapatkan informasi lengkap mengenai jadwal pertandingan dan hasil pertandingan terbaru hanya di Vidio.</t>
  </si>
  <si>
    <t>2744592b</t>
  </si>
  <si>
    <t>TAJIMALELA v DEFENDERS FA - Top Youth Premier League 2025 U-11</t>
  </si>
  <si>
    <t>https://www.vidio.com/live/19692-top-youth-premier-league-2025-matchweek-6?schedule_id=4644426</t>
  </si>
  <si>
    <t>Nonton streaming pertandingan seru TAJIMALELA v DEFENDERS FA - Top Youth Premier League 2025 U-11. Saksikan aksi-aksi terbaik dari tim yang bersaing ketat untuk meraih kemenangan. Dapatkan informasi lengkap mengenai jadwal pertandingan dan hasil pertandingan terbaru hanya di Vidio.</t>
  </si>
  <si>
    <t>17eeb0e7</t>
  </si>
  <si>
    <t>BRILLIANT v FU15FA - Top Youth Premier League 2025 U-11</t>
  </si>
  <si>
    <t>https://www.vidio.com/live/19692-top-youth-premier-league-2025-matchweek-6?schedule_id=4644427</t>
  </si>
  <si>
    <t>Nonton streaming pertandingan seru BRILLIANT v FU15FA - Top Youth Premier League 2025 U-11. Saksikan aksi-aksi terbaik dari tim yang bersaing ketat untuk meraih kemenangan. Dapatkan informasi lengkap mengenai jadwal pertandingan dan hasil pertandingan terbaru hanya di Vidio.</t>
  </si>
  <si>
    <t>345e44de</t>
  </si>
  <si>
    <t>JAS v BORUSSIA ACADEMY - Top Youth Premier League 2025 U-12</t>
  </si>
  <si>
    <t>https://www.vidio.com/live/19692-top-youth-premier-league-2025-matchweek-6?schedule_id=4644428</t>
  </si>
  <si>
    <t>Nonton streaming pertandingan seru JAS v BORUSSIA ACADEMY - Top Youth Premier League 2025 U-12. Saksikan aksi-aksi terbaik dari tim yang bersaing ketat untuk meraih kemenangan. Dapatkan informasi lengkap mengenai jadwal pertandingan dan hasil pertandingan terbaru hanya di Vidio.</t>
  </si>
  <si>
    <t>95c6898b</t>
  </si>
  <si>
    <t>BINNA BANUA v ASIOP MERAH - Top Youth Premier League 2025 U-12</t>
  </si>
  <si>
    <t>https://www.vidio.com/live/19692-top-youth-premier-league-2025-matchweek-6?schedule_id=4644429</t>
  </si>
  <si>
    <t>Nonton streaming pertandingan seru BINNA BANUA v ASIOP MERAH - Top Youth Premier League 2025 U-12. Saksikan aksi-aksi terbaik dari tim yang bersaing ketat untuk meraih kemenangan. Dapatkan informasi lengkap mengenai jadwal pertandingan dan hasil pertandingan terbaru hanya di Vidio.</t>
  </si>
  <si>
    <t>ca31100d</t>
  </si>
  <si>
    <t>JAS v CITRA MUDA BEKASI - Top Youth Premier League 2025 U-12</t>
  </si>
  <si>
    <t>https://www.vidio.com/live/19692-top-youth-premier-league-2025-matchweek-6?schedule_id=4644430</t>
  </si>
  <si>
    <t>Nonton streaming pertandingan seru JAS v CITRA MUDA BEKASI - Top Youth Premier League 2025 U-12. Saksikan aksi-aksi terbaik dari tim yang bersaing ketat untuk meraih kemenangan. Dapatkan informasi lengkap mengenai jadwal pertandingan dan hasil pertandingan terbaru hanya di Vidio.</t>
  </si>
  <si>
    <t>b4cad063</t>
  </si>
  <si>
    <t>SULCATA v SOCCER FUTURELAB - Top Youth Premier League 2025 U-12</t>
  </si>
  <si>
    <t>https://www.vidio.com/live/19692-top-youth-premier-league-2025-matchweek-6?schedule_id=4644431</t>
  </si>
  <si>
    <t>Nonton streaming pertandingan seru SULCATA v SOCCER FUTURELAB - Top Youth Premier League 2025 U-12. Saksikan aksi-aksi terbaik dari tim yang bersaing ketat untuk meraih kemenangan. Dapatkan informasi lengkap mengenai jadwal pertandingan dan hasil pertandingan terbaru hanya di Vidio.</t>
  </si>
  <si>
    <t>e750ce3b</t>
  </si>
  <si>
    <t>DIKLAT ISA v ASIOP MERAH - Top Youth Premier League 2025 U-12</t>
  </si>
  <si>
    <t>https://www.vidio.com/live/19692-top-youth-premier-league-2025-matchweek-6?schedule_id=4644432</t>
  </si>
  <si>
    <t>Nonton streaming pertandingan seru DIKLAT ISA v ASIOP MERAH - Top Youth Premier League 2025 U-12. Saksikan aksi-aksi terbaik dari tim yang bersaing ketat untuk meraih kemenangan. Dapatkan informasi lengkap mengenai jadwal pertandingan dan hasil pertandingan terbaru hanya di Vidio.</t>
  </si>
  <si>
    <t>50eeac42</t>
  </si>
  <si>
    <t>VfL Wolfsburg vs Chelsea - UEFA Women's Champions League</t>
  </si>
  <si>
    <t>https://www.vidio.com/live/6299-bein-1?schedule_id=4783086</t>
  </si>
  <si>
    <t>https://drive.google.com/drive/folders/1zsk9TvhLpO-yOmVdGZWO2by7WlxC640D?usp=drive_link</t>
  </si>
  <si>
    <t>wolfsburg women; Chelsea F.C. Women; sports stream</t>
  </si>
  <si>
    <t>Nonton streaming pertandingan seru VfL Wolfsburg vs Chelsea - UEFA Women's Champions League. Saksikan aksi-aksi terbaik dari tim yang bersaing ketat untuk meraih kemenangan. Dapatkan informasi lengkap mengenai jadwal pertandingan dan hasil pertandingan terbaru hanya di Vidio.</t>
  </si>
  <si>
    <t>https://thumbor.prod.vidiocdn.com/bnXquapXX83AUOTZTGx_mow3Gyw=/filters:quality(70)/vidio-media-production/uploads/image/source/52162/42496d.png</t>
  </si>
  <si>
    <t>https://thumbor.prod.vidiocdn.com/BSEj6BWck5427VtETXPeDqJ002I=/filters:quality(70)/vidio-media-production/uploads/image/source/52161/86b928.png</t>
  </si>
  <si>
    <t>https://drive.google.com/file/d/1F7ABirx37n_IVNXcd6BT-1qL9mCPhY-a/view?usp=sharing</t>
  </si>
  <si>
    <t>091aff9f</t>
  </si>
  <si>
    <t>Roma vs St. Polten - UEFA Women's Champions League</t>
  </si>
  <si>
    <t>as roma women; SKN St Polten Women; sports stream</t>
  </si>
  <si>
    <t>Nonton streaming pertandingan seru Roma vs St. Polten - UEFA Women's Champions League. Saksikan aksi-aksi terbaik dari tim yang bersaing ketat untuk meraih kemenangan. Dapatkan informasi lengkap mengenai jadwal pertandingan dan hasil pertandingan terbaru hanya di Vidio.</t>
  </si>
  <si>
    <t>7ad75224</t>
  </si>
  <si>
    <t>Benfica vs Paris Saint-Germain - UEFA Women's Champions League</t>
  </si>
  <si>
    <t>SL Benfica Women; Paris Saint-Germain Feminine FC; sports stream</t>
  </si>
  <si>
    <t>Nonton streaming pertandingan seru Benfica vs Paris Saint-Germain - UEFA Women's Champions League. Saksikan aksi-aksi terbaik dari tim yang bersaing ketat untuk meraih kemenangan. Dapatkan informasi lengkap mengenai jadwal pertandingan dan hasil pertandingan terbaru hanya di Vidio.</t>
  </si>
  <si>
    <t>f6a3045a</t>
  </si>
  <si>
    <t>Paris FC vs Barcelona Femeni - UEFA Women's Champions League</t>
  </si>
  <si>
    <t>Paris FC; FC Barcelona Femeni; sports stream</t>
  </si>
  <si>
    <t>Nonton streaming pertandingan seru Paris FC vs Barcelona Femeni - UEFA Women's Champions League. Saksikan aksi-aksi terbaik dari tim yang bersaing ketat untuk meraih kemenangan. Dapatkan informasi lengkap mengenai jadwal pertandingan dan hasil pertandingan terbaru hanya di Vidio.</t>
  </si>
  <si>
    <t>b1331dff</t>
  </si>
  <si>
    <t>Oud-Heverlee Leuven vs Arsenal - UEFA Women's Champions League</t>
  </si>
  <si>
    <t>https://drive.google.com/drive/folders/15vHXVDcErXothJiI5vMBqzrOATtz5r7T</t>
  </si>
  <si>
    <t>Oud Heverlee Leuven Women; Arsenal W.F.C.; sports stream</t>
  </si>
  <si>
    <t>Nonton streaming pertandingan seru Oud-Heverlee Leuven vs Arsenal - UEFA Women's Champions League. Saksikan aksi-aksi terbaik dari tim yang bersaing ketat untuk meraih kemenangan. Dapatkan informasi lengkap mengenai jadwal pertandingan dan hasil pertandingan terbaru hanya di Vidio.</t>
  </si>
  <si>
    <t>https://thumbor.prod.vidiocdn.com/wlKs-0HlIgmia5Sxs9zz1pUspwc=/filters:quality(70)/vidio-media-production/uploads/image/source/52499/834c95.png</t>
  </si>
  <si>
    <t>https://thumbor.prod.vidiocdn.com/A-E3xsmBScUW8QOxjx9nupXSyFY=/filters:quality(70)/vidio-media-production/uploads/image/source/52498/e938bf.png</t>
  </si>
  <si>
    <t>https://drive.google.com/file/d/1C8y0UCmMWS45obCnsPSKqOqIFyoA0Ksl/view?usp=sharing</t>
  </si>
  <si>
    <t>cc8fd626</t>
  </si>
  <si>
    <t>VfL Wolfsburg vs Man United - UEFA Women's Champions League</t>
  </si>
  <si>
    <t>https://www.vidio.com/live/6299-bein-1?schedule_id=4724822</t>
  </si>
  <si>
    <t>https://drive.google.com/drive/folders/1aNKISPRkrO2WwL7nfFWDj0OU5QrqvWEH?usp=drive_link</t>
  </si>
  <si>
    <t>wolfsburg women; manchester united w.f.c.; sports stream</t>
  </si>
  <si>
    <t>Nonton streaming pertandingan seru VfL Wolfsburg vs Man United - UEFA Women's Champions League. Saksikan aksi-aksi terbaik dari tim yang bersaing ketat untuk meraih kemenangan. Dapatkan informasi lengkap mengenai jadwal pertandingan dan hasil pertandingan terbaru hanya di Vidio.</t>
  </si>
  <si>
    <t>https://drive.google.com/file/d/1I0zADP-823JX4mqALTMcOHnASfqZjH4_/view?usp=sharing</t>
  </si>
  <si>
    <t>https://drive.google.com/file/d/1wayhwRBCLvcU57vp3qLl1DUudbfPEngy/view?usp=sharing</t>
  </si>
  <si>
    <t>65e8b629</t>
  </si>
  <si>
    <t>Juventus vs Lyon - UEFA Women's Champions League</t>
  </si>
  <si>
    <t>https://www.vidio.com/live/6317-bein-3?schedule_id=4724818</t>
  </si>
  <si>
    <t>https://drive.google.com/drive/folders/19UQfgJJkNn484H7S8bF4f8y0_TEHtLL1?usp=drive_link</t>
  </si>
  <si>
    <t>Juventus Women; olympique lyonnais feminin; sports stream</t>
  </si>
  <si>
    <t>Nonton streaming pertandingan seru Juventus vs Lyon - UEFA Women's Champions League. Saksikan aksi-aksi terbaik dari tim yang bersaing ketat untuk meraih kemenangan. Dapatkan informasi lengkap mengenai jadwal pertandingan dan hasil pertandingan terbaru hanya di Vidio.</t>
  </si>
  <si>
    <t>https://drive.google.com/file/d/1fn1gSz7ZfkhZ_Xg2rNNs-h_B6oy1lHwB/view?usp=sharing</t>
  </si>
  <si>
    <t>https://drive.google.com/file/d/1wPWicfD92PtTo6jBlvtBp_SFWVi4tD1G/view?usp=sharing</t>
  </si>
  <si>
    <t>c67a0524</t>
  </si>
  <si>
    <t>Bayern Munich vs Valerenga - UEFA Women's Champions League</t>
  </si>
  <si>
    <t>FC Bayern Women; Valerenga Women; sports stream</t>
  </si>
  <si>
    <t>Nonton streaming pertandingan seru Bayern Munich vs Valerenga - UEFA Women's Champions League. Saksikan aksi-aksi terbaik dari tim yang bersaing ketat untuk meraih kemenangan. Dapatkan informasi lengkap mengenai jadwal pertandingan dan hasil pertandingan terbaru hanya di Vidio.</t>
  </si>
  <si>
    <t>c9005cc4</t>
  </si>
  <si>
    <t>Arsenal vs Real Madrid - UEFA Women's Champions League</t>
  </si>
  <si>
    <t>https://www.vidio.com/live/6299-bein-1?schedule_id=4724823</t>
  </si>
  <si>
    <t>https://drive.google.com/drive/folders/1ZRiMp5R7oPiGjzcdiSz36tXN1nD_Zbsf?usp=drive_link</t>
  </si>
  <si>
    <t>Arsenal W.F.C.; real madrid femenino cf; sports stream</t>
  </si>
  <si>
    <t>Nonton streaming pertandingan seru Arsenal vs Real Madrid - UEFA Women's Champions League. Saksikan aksi-aksi terbaik dari tim yang bersaing ketat untuk meraih kemenangan. Dapatkan informasi lengkap mengenai jadwal pertandingan dan hasil pertandingan terbaru hanya di Vidio.</t>
  </si>
  <si>
    <t>https://drive.google.com/file/d/1kvR3QD4lD2t5MCFG0VfAN3i16IpBuxbV/view?usp=sharing</t>
  </si>
  <si>
    <t>https://drive.google.com/file/d/1VpqiCNJSD7uUwDUQqsIIZzzPJ5hAzgMI/view?usp=sharing</t>
  </si>
  <si>
    <t>28ea0638</t>
  </si>
  <si>
    <t>Juventus vs Man United - UEFA Women's Champions League</t>
  </si>
  <si>
    <t>Juventus Women; manchester united w.f.c.; sports stream</t>
  </si>
  <si>
    <t>Nonton streaming pertandingan seru Juventus vs Man United - UEFA Women's Champions League. Saksikan aksi-aksi terbaik dari tim yang bersaing ketat untuk meraih kemenangan. Dapatkan informasi lengkap mengenai jadwal pertandingan dan hasil pertandingan terbaru hanya di Vidio.</t>
  </si>
  <si>
    <t>3224700f</t>
  </si>
  <si>
    <t>Paris FC vs Benfica - UEFA Women's Champions League</t>
  </si>
  <si>
    <t>https://www.vidio.com/live/6317-bein-3?schedule_id=4724819</t>
  </si>
  <si>
    <t>https://drive.google.com/drive/folders/1kpJtMwNNDhhBfcdEdUUJbFPjqc-gEStF?usp=drive_link</t>
  </si>
  <si>
    <t>Paris FC; SL Benfica Women; sports stream</t>
  </si>
  <si>
    <t>Nonton streaming pertandingan seru Paris FC vs Benfica - UEFA Women's Champions League. Saksikan aksi-aksi terbaik dari tim yang bersaing ketat untuk meraih kemenangan. Dapatkan informasi lengkap mengenai jadwal pertandingan dan hasil pertandingan terbaru hanya di Vidio.</t>
  </si>
  <si>
    <t>https://drive.google.com/file/d/15DnEohZqrdnkshUbOUV1g0vxJZc3FMg3/view?usp=sharing</t>
  </si>
  <si>
    <t>795d05c8</t>
  </si>
  <si>
    <t>Lyon vs Atletico Madrid - UEFA Women's Champions League</t>
  </si>
  <si>
    <t>https://www.vidio.com/live/6317-bein-3?schedule_id=4783084</t>
  </si>
  <si>
    <t>https://drive.google.com/drive/folders/1qKFyFkEJJimKjpJ02Oq96NXW0TONhHbh?usp=drive_link</t>
  </si>
  <si>
    <t>olympique lyonnais feminin; Atletico de Madrid Femenino; sports stream</t>
  </si>
  <si>
    <t>Nonton streaming pertandingan seru Lyon vs Atletico Madrid - UEFA Women's Champions League. Saksikan aksi-aksi terbaik dari tim yang bersaing ketat untuk meraih kemenangan. Dapatkan informasi lengkap mengenai jadwal pertandingan dan hasil pertandingan terbaru hanya di Vidio.</t>
  </si>
  <si>
    <t>https://thumbor.prod.vidiocdn.com/xpgWFHANg_RGyVBJZ0M9L2R_NJA=/filters:quality(70)/vidio-media-production/uploads/image/source/52160/90a45e.png</t>
  </si>
  <si>
    <t>https://thumbor.prod.vidiocdn.com/l2i1LEj3L-Hg6qY5mjQ34j785K0=/filters:quality(70)/vidio-media-production/uploads/image/source/52159/7715fd.png</t>
  </si>
  <si>
    <t>https://drive.google.com/file/d/1i5KsYGBnV5ZwokGrYYhDywkrKVQOzObC/view?usp=sharing</t>
  </si>
  <si>
    <t>3b0205ab</t>
  </si>
  <si>
    <t>Valerenga vs St. Polten - UEFA Women's Champions League</t>
  </si>
  <si>
    <t>https://www.vidio.com/live/17875-bein-2?schedule_id=4724826</t>
  </si>
  <si>
    <t>https://drive.google.com/drive/folders/1NigEZyPd3vDf45yVtpYx0csPSOhL4LtH?usp=drive_link</t>
  </si>
  <si>
    <t>Valerenga Women; SKN St Polten Women; sports stream</t>
  </si>
  <si>
    <t>Nonton streaming pertandingan seru Valerenga vs St. Polten - UEFA Women's Champions League. Saksikan aksi-aksi terbaik dari tim yang bersaing ketat untuk meraih kemenangan. Dapatkan informasi lengkap mengenai jadwal pertandingan dan hasil pertandingan terbaru hanya di Vidio.</t>
  </si>
  <si>
    <t>https://drive.google.com/file/d/1eII7mPKlDnq_0-_uXUt8MnxxuBISKV2M/view?usp=sharing</t>
  </si>
  <si>
    <t>42974104</t>
  </si>
  <si>
    <t>Twente vs Real Madrid - UEFA Women's Champions League</t>
  </si>
  <si>
    <t>FC Twente Women; real madrid femenino cf; sports stream</t>
  </si>
  <si>
    <t>Nonton streaming pertandingan seru Twente vs Real Madrid - UEFA Women's Champions League. Saksikan aksi-aksi terbaik dari tim yang bersaing ketat untuk meraih kemenangan. Dapatkan informasi lengkap mengenai jadwal pertandingan dan hasil pertandingan terbaru hanya di Vidio.</t>
  </si>
  <si>
    <t>d0def456</t>
  </si>
  <si>
    <t>Twente vs Atletico Madrid - UEFA Women's Champions League</t>
  </si>
  <si>
    <t>https://www.vidio.com/live/6317-bein-3?schedule_id=4724820</t>
  </si>
  <si>
    <t>https://drive.google.com/drive/folders/1-ZM03PlwXaU-yljVMe0FqVqeVs5MevC4?usp=drive_link</t>
  </si>
  <si>
    <t>FC Twente Women; Atletico de Madrid Femenino; sports stream</t>
  </si>
  <si>
    <t>Nonton streaming pertandingan seru Twente vs Atletico Madrid - UEFA Women's Champions League. Saksikan aksi-aksi terbaik dari tim yang bersaing ketat untuk meraih kemenangan. Dapatkan informasi lengkap mengenai jadwal pertandingan dan hasil pertandingan terbaru hanya di Vidio.</t>
  </si>
  <si>
    <t>https://drive.google.com/file/d/1dEOZfQs8YzqCv3vypM6QLpNY4xrQqx0E/view?usp=sharing</t>
  </si>
  <si>
    <t>f3da7124</t>
  </si>
  <si>
    <t>Paris Saint-Germain vs Bayern Munich - UEFA Women's Champions League</t>
  </si>
  <si>
    <t>https://www.vidio.com/live/6317-bein-3?schedule_id=4724821</t>
  </si>
  <si>
    <t>https://drive.google.com/drive/folders/1ZNS-NEFOvntwSHc1W_trmqZ-vJ8Owfmg?usp=drive_link</t>
  </si>
  <si>
    <t>Paris Saint-Germain Feminine FC; FC Bayern Women; sports stream</t>
  </si>
  <si>
    <t>Nonton streaming pertandingan seru Paris Saint-Germain vs Bayern Munich - UEFA Women's Champions League. Saksikan aksi-aksi terbaik dari tim yang bersaing ketat untuk meraih kemenangan. Dapatkan informasi lengkap mengenai jadwal pertandingan dan hasil pertandingan terbaru hanya di Vidio.</t>
  </si>
  <si>
    <t>https://drive.google.com/file/d/1K4wemQCtz65jZJMBcwu_jHSM4L4-GMGO/view?usp=sharing</t>
  </si>
  <si>
    <t>https://drive.google.com/file/d/1ScV_zPrrYrpDFsnpLP4tMKzrNVYYsln5/view?usp=sharing</t>
  </si>
  <si>
    <t>daca25eb</t>
  </si>
  <si>
    <t>OH Leuven vs Roma - UEFA Women's Champions League</t>
  </si>
  <si>
    <t>https://www.vidio.com/live/17875-bein-2?schedule_id=4724827</t>
  </si>
  <si>
    <t>https://drive.google.com/drive/folders/1RLuieQEidM-FM_5IamkgqZgWvRAnZOjd?usp=drive_link</t>
  </si>
  <si>
    <t>Oud Heverlee Leuven Women; as roma women; sports stream</t>
  </si>
  <si>
    <t>Nonton streaming pertandingan seru OH Leuven vs Roma - UEFA Women's Champions League. Saksikan aksi-aksi terbaik dari tim yang bersaing ketat untuk meraih kemenangan. Dapatkan informasi lengkap mengenai jadwal pertandingan dan hasil pertandingan terbaru hanya di Vidio.</t>
  </si>
  <si>
    <t>https://drive.google.com/file/d/1CmwZm1hHHS07PlBultxHxOJhDzvo_Kg9/view?usp=sharing</t>
  </si>
  <si>
    <t>faf3689b</t>
  </si>
  <si>
    <t>Chelsea vs Barcelona Femeni - UEFA Women's Champions League</t>
  </si>
  <si>
    <t>https://www.vidio.com/live/6299-bein-1?schedule_id=4724824</t>
  </si>
  <si>
    <t>https://drive.google.com/drive/folders/10s9ag0d75l4-Z8pY85QuGF7ZOoE_19vx?usp=drive_link</t>
  </si>
  <si>
    <t>Chelsea F.C. Women; FC Barcelona Femeni; sports stream</t>
  </si>
  <si>
    <t>Nonton streaming pertandingan seru Chelsea vs Barcelona Femeni - UEFA Women's Champions League. Saksikan aksi-aksi terbaik dari tim yang bersaing ketat untuk meraih kemenangan. Dapatkan informasi lengkap mengenai jadwal pertandingan dan hasil pertandingan terbaru hanya di Vidio.</t>
  </si>
  <si>
    <t>https://drive.google.com/file/d/1Dq3Mjk-_uIoVEB8CPB9k6-Kzd2uevuKS/view?usp=sharing</t>
  </si>
  <si>
    <t>https://drive.google.com/file/d/1pkS6787cn0TErK49QTuO0GbHVa7cJvUE/view?usp=sharing</t>
  </si>
  <si>
    <t>722b793e</t>
  </si>
  <si>
    <t>St. Polten vs Juventus - UEFA Women's Champions League</t>
  </si>
  <si>
    <t>https://www.vidio.com/live/6317-bein-3?schedule_id=4773121</t>
  </si>
  <si>
    <t>https://drive.google.com/drive/folders/10z9DSdiOSEcizFFrpqe7m_VdCg537UEN?usp=drive_link</t>
  </si>
  <si>
    <t>SKN St Polten Women; Juventus Women; sports stream</t>
  </si>
  <si>
    <t>Nonton streaming pertandingan seru St. Polten vs Juventus - UEFA Women's Champions League. Saksikan aksi-aksi terbaik dari tim yang bersaing ketat untuk meraih kemenangan. Dapatkan informasi lengkap mengenai jadwal pertandingan dan hasil pertandingan terbaru hanya di Vidio.</t>
  </si>
  <si>
    <t>https://drive.google.com/file/d/1DRp9UbzKlqL8SUyVNpxvstSL2m5V-aMu/view?usp=sharing</t>
  </si>
  <si>
    <t>dd0ae114</t>
  </si>
  <si>
    <t>Paris Saint-Germain vs Oud-Heverlee Leuven - UEFA Women's Champions League</t>
  </si>
  <si>
    <t>Paris Saint-Germain Feminine FC; Oud Heverlee Leuven Women; sports stream</t>
  </si>
  <si>
    <t>Nonton streaming pertandingan seru Paris Saint-Germain vs Oud-Heverlee Leuven - UEFA Women's Champions League. Saksikan aksi-aksi terbaik dari tim yang bersaing ketat untuk meraih kemenangan. Dapatkan informasi lengkap mengenai jadwal pertandingan dan hasil pertandingan terbaru hanya di Vidio.</t>
  </si>
  <si>
    <t>e3df933c</t>
  </si>
  <si>
    <t>Arsenal vs Twente - UEFA Women's Champions League</t>
  </si>
  <si>
    <t>Arsenal W.F.C.; FC Twente Women; sports stream</t>
  </si>
  <si>
    <t>Nonton streaming pertandingan seru Arsenal vs Twente - UEFA Women's Champions League. Saksikan aksi-aksi terbaik dari tim yang bersaing ketat untuk meraih kemenangan. Dapatkan informasi lengkap mengenai jadwal pertandingan dan hasil pertandingan terbaru hanya di Vidio.</t>
  </si>
  <si>
    <t>5c5f2c28</t>
  </si>
  <si>
    <t>Real Madrid vs VfL Wolfsburg - UEFA Women's Champions League</t>
  </si>
  <si>
    <t>real madrid femenino cf; wolfsburg women; sports stream</t>
  </si>
  <si>
    <t>Nonton streaming pertandingan seru Real Madrid vs VfL Wolfsburg - UEFA Women's Champions League. Saksikan aksi-aksi terbaik dari tim yang bersaing ketat untuk meraih kemenangan. Dapatkan informasi lengkap mengenai jadwal pertandingan dan hasil pertandingan terbaru hanya di Vidio.</t>
  </si>
  <si>
    <t>d81986d4</t>
  </si>
  <si>
    <t>Valerenga vs Paris FC - UEFA Women's Champions League</t>
  </si>
  <si>
    <t>Valerenga Women; Paris FC; sports stream</t>
  </si>
  <si>
    <t>Nonton streaming pertandingan seru Valerenga vs Paris FC - UEFA Women's Champions League. Saksikan aksi-aksi terbaik dari tim yang bersaing ketat untuk meraih kemenangan. Dapatkan informasi lengkap mengenai jadwal pertandingan dan hasil pertandingan terbaru hanya di Vidio.</t>
  </si>
  <si>
    <t>3a2579cb</t>
  </si>
  <si>
    <t>Barcelona Femeni vs Benfica - UEFA Women's Champions League</t>
  </si>
  <si>
    <t>https://www.vidio.com/live/17875-bein-2?schedule_id=4773289</t>
  </si>
  <si>
    <t>https://drive.google.com/drive/folders/1AiSw0Qh3t20gjozRXXjziHa1WHof-ue4?usp=drive_link</t>
  </si>
  <si>
    <t>FC Barcelona Femeni; SL Benfica Women; sports stream</t>
  </si>
  <si>
    <t>Nonton streaming pertandingan seru Barcelona Femeni vs Benfica - UEFA Women's Champions League. Saksikan aksi-aksi terbaik dari tim yang bersaing ketat untuk meraih kemenangan. Dapatkan informasi lengkap mengenai jadwal pertandingan dan hasil pertandingan terbaru hanya di Vidio.</t>
  </si>
  <si>
    <t>https://drive.google.com/file/d/1IKxoxhjUwGd6SS57zgihmG4FAoJpBTiq/view?usp=sharing</t>
  </si>
  <si>
    <t>https://drive.google.com/file/d/1dTcWMY3cp7iEszx1v5teZ5NtUFPEjVtJ/view?usp=sharing</t>
  </si>
  <si>
    <t>6008daf2</t>
  </si>
  <si>
    <t>Man United vs Lyon - UEFA Women's Champions League</t>
  </si>
  <si>
    <t>manchester united w.f.c.; olympique lyonnais feminin; sports stream</t>
  </si>
  <si>
    <t>Nonton streaming pertandingan seru Man United vs Lyon - UEFA Women's Champions League. Saksikan aksi-aksi terbaik dari tim yang bersaing ketat untuk meraih kemenangan. Dapatkan informasi lengkap mengenai jadwal pertandingan dan hasil pertandingan terbaru hanya di Vidio.</t>
  </si>
  <si>
    <t>4bd46a47</t>
  </si>
  <si>
    <t>Atletico Madrid vs Bayern Munich - UEFA Women's Champions League</t>
  </si>
  <si>
    <t>Atletico de Madrid Femenino; FC Bayern Women; sports stream</t>
  </si>
  <si>
    <t>Nonton streaming pertandingan seru Atletico Madrid vs Bayern Munich - UEFA Women's Champions League. Saksikan aksi-aksi terbaik dari tim yang bersaing ketat untuk meraih kemenangan. Dapatkan informasi lengkap mengenai jadwal pertandingan dan hasil pertandingan terbaru hanya di Vidio.</t>
  </si>
  <si>
    <t>d1e35103</t>
  </si>
  <si>
    <t>Chelsea vs Roma - UEFA Women's Champions League</t>
  </si>
  <si>
    <t>Chelsea F.C. Women; as roma women; sports stream</t>
  </si>
  <si>
    <t>Nonton streaming pertandingan seru Chelsea vs Roma - UEFA Women's Champions League. Saksikan aksi-aksi terbaik dari tim yang bersaing ketat untuk meraih kemenangan. Dapatkan informasi lengkap mengenai jadwal pertandingan dan hasil pertandingan terbaru hanya di Vidio.</t>
  </si>
  <si>
    <t>c1a4627d</t>
  </si>
  <si>
    <t>Al-Najma vs Al-Ahli - ROSHN Saudi League</t>
  </si>
  <si>
    <t>https://www.vidio.com/live/17140-spotv-2?schedule_id=4667496</t>
  </si>
  <si>
    <t>https://drive.google.com/drive/folders/1c5tANWiKhUBgJg2UrGh8V8zv0zt-t6Yn</t>
  </si>
  <si>
    <t>Al-Najma</t>
  </si>
  <si>
    <t>Al-Najma; al-ahli saudi fc; sports stream</t>
  </si>
  <si>
    <t>Nonton streaming pertandingan seru Al-Najma vs Al-Ahli - ROSHN Saudi League. Saksikan aksi-aksi terbaik dari tim yang bersaing ketat untuk meraih kemenangan. Dapatkan informasi lengkap mengenai jadwal pertandingan dan hasil pertandingan terbaru hanya di Vidio.</t>
  </si>
  <si>
    <t>Najma: Asset tersedia di Drive
Ahli: Mahrez &amp; Demiral</t>
  </si>
  <si>
    <t>https://drive.google.com/file/d/1GK1XwU_d2xmlpGV57XblxHfqJaC38YTo/view?usp=sharing</t>
  </si>
  <si>
    <t>https://drive.google.com/file/d/1XxJ5Jz0OON543dunTkq9_bBe8o4lU3bG/view?usp=sharing</t>
  </si>
  <si>
    <t>5bb3e5b8</t>
  </si>
  <si>
    <t>Al-Ittihad vs Al-Hilal - ROSHN Saudi League</t>
  </si>
  <si>
    <t>https://www.vidio.com/live/17140-spotv-2?schedule_id=4670234</t>
  </si>
  <si>
    <t>https://drive.google.com/drive/folders/1_KHY9baellS-EuOqic0y7F_fT5wxGzYs</t>
  </si>
  <si>
    <t>al ittihad; al-hilal; sports stream</t>
  </si>
  <si>
    <t>Nonton streaming pertandingan seru Al-Ittihad vs Al-Hilal - ROSHN Saudi League. Saksikan aksi-aksi terbaik dari tim yang bersaing ketat untuk meraih kemenangan. Dapatkan informasi lengkap mengenai jadwal pertandingan dan hasil pertandingan terbaru hanya di Vidio.</t>
  </si>
  <si>
    <t>Ittihad: Benzema &amp; Diaby
Hilal: Nunez &amp; Salem Al Dawsari</t>
  </si>
  <si>
    <t>https://drive.google.com/file/d/1zcXSX7Ok_7ITaOtKkHMJFqPOBPxQWlmQ/view?usp=sharing</t>
  </si>
  <si>
    <t>https://drive.google.com/file/d/1beEm1nTX_oPW1BjsW2BaSmP8v_9H1hoe/view?usp=sharing</t>
  </si>
  <si>
    <t>f95ae4b7</t>
  </si>
  <si>
    <t>Rajadamnern 2025 Interim Middleweight Title</t>
  </si>
  <si>
    <t>https://www.vidio.com/live/19388-rws-muay-thai-2025?schedule_id=4665901</t>
  </si>
  <si>
    <t>https://drive.google.com/drive/folders/1nHA8js1w61ZaFkr-v0omf4tizf453abz</t>
  </si>
  <si>
    <t>https://drive.google.com/drive/folders/15Jx1iWHrAxslG4L2W7IonLVK5jlMMVG4?usp=drive_link</t>
  </si>
  <si>
    <t>Nonton streaming pertandingan seru Rajadamnern 2025 Interim Middleweight Title. Saksikan aksi-aksi terbaik dari tim yang bersaing ketat untuk meraih kemenangan. Dapatkan informasi lengkap mengenai jadwal pertandingan dan hasil pertandingan terbaru hanya di Vidio.</t>
  </si>
  <si>
    <t>https://drive.google.com/file/d/1E2ebIu3Wh851qZJa4Cnyd5imwS2BTLjU/view?usp=sharing</t>
  </si>
  <si>
    <t>https://drive.google.com/file/d/133CAr7jjMUOObldGbB2UhuLlkUJTbm5d/view?usp=sharing</t>
  </si>
  <si>
    <t>55bf3e75</t>
  </si>
  <si>
    <t>Istanbul Genclik Spor vs Bursa BBSK - Turkish Volleyball Cup</t>
  </si>
  <si>
    <t>https://www.vidio.com/live/19673-turkish-women-s-volleyball-cup?schedule_id=4655728</t>
  </si>
  <si>
    <t>https://drive.google.com/drive/folders/1OgLZsQ5l-WLpWfh7Fw0xSfd9MjJQS7Bs?usp=drive_link</t>
  </si>
  <si>
    <t>istanbul genclik spor; bursa buyuksehir belediyespor; sports stream</t>
  </si>
  <si>
    <t>Nonton streaming pertandingan seru Istanbul Genclik Spor vs Bursa BBSK - Turkish Volleyball Cup. Saksikan aksi-aksi terbaik dari tim yang bersaing ketat untuk meraih kemenangan. Dapatkan informasi lengkap mengenai jadwal pertandingan dan hasil pertandingan terbaru hanya di Vidio.</t>
  </si>
  <si>
    <t>https://drive.google.com/file/d/1XeyglBlV8ky-WJfGnemNQ6Qo68JsHJOj/view?usp=sharing</t>
  </si>
  <si>
    <t>1a0e44f8</t>
  </si>
  <si>
    <t>Spor Toto vs Akkus Bld - Turkish Volleyball Cup</t>
  </si>
  <si>
    <t>https://www.vidio.com/live/19677-turkish-women-s-volleyball-cup?schedule_id=4662857</t>
  </si>
  <si>
    <t>https://drive.google.com/drive/folders/1hoxrXsNt68SmijZFqY7_BHGL5yJHTexK?usp=drive_link</t>
  </si>
  <si>
    <t>spor toto volleyball; akkus bld volleyball; sports stream</t>
  </si>
  <si>
    <t>Nonton streaming pertandingan seru Spor Toto vs Akkus Bld - Turkish Volleyball Cup. Saksikan aksi-aksi terbaik dari tim yang bersaing ketat untuk meraih kemenangan. Dapatkan informasi lengkap mengenai jadwal pertandingan dan hasil pertandingan terbaru hanya di Vidio.</t>
  </si>
  <si>
    <t>https://drive.google.com/file/d/1WwnYwSPemPhDExoFUNomPIhXQssX1a81/view?usp=sharing</t>
  </si>
  <si>
    <t>7749a476</t>
  </si>
  <si>
    <t>Halkbank vs Cizre Bld - Turkish Volleyball Cup</t>
  </si>
  <si>
    <t>https://www.vidio.com/live/19673-turkish-women-s-volleyball-cup?schedule_id=4655730</t>
  </si>
  <si>
    <t>https://drive.google.com/drive/folders/11-3RUwk_1392EWfTv974PaOFjrDhJQyT?usp=drive_link</t>
  </si>
  <si>
    <t>Ramz Global Cizre Bld</t>
  </si>
  <si>
    <t>halkbank; cizre bld volleyball; sports stream</t>
  </si>
  <si>
    <t>Nonton streaming pertandingan seru Halkbank vs Cizre Bld - Turkish Volleyball Cup. Saksikan aksi-aksi terbaik dari tim yang bersaing ketat untuk meraih kemenangan. Dapatkan informasi lengkap mengenai jadwal pertandingan dan hasil pertandingan terbaru hanya di Vidio.</t>
  </si>
  <si>
    <t>https://drive.google.com/file/d/1w5SsLBUhnJfjL-s-M4HcYaN_HiSb3ilM/view?usp=sharing</t>
  </si>
  <si>
    <t>51a11cca</t>
  </si>
  <si>
    <t>Twente vs Telstar - Eredivisie</t>
  </si>
  <si>
    <t>https://www.vidio.com/live/6685-champions-tv-1?schedule_id=4706724</t>
  </si>
  <si>
    <t>https://drive.google.com/drive/folders/1sirTKTWbiPGXi6cHBk5W0JnlZw7CFw7Y?usp=drive_link</t>
  </si>
  <si>
    <t>https://drive.google.com/file/d/11-G97DOB7ps97qpHQMhCo1LWo1mP8gFX/view?usp=drive_link</t>
  </si>
  <si>
    <t>fc twente; sc telstar; sports stream</t>
  </si>
  <si>
    <t>Nonton streaming pertandingan seru Twente vs Telstar - Eredivisie. Saksikan aksi-aksi terbaik dari tim yang bersaing ketat untuk meraih kemenangan. Dapatkan informasi lengkap mengenai jadwal pertandingan dan hasil pertandingan terbaru hanya di Vidio.</t>
  </si>
  <si>
    <t>FC Twente: Ricky van Wolfswinkel, Mats Rots
Telstar: Guus Offerhaus, Jeff Hardeveld</t>
  </si>
  <si>
    <t>https://drive.google.com/file/d/1KDUfE-N_jBjLIEtSL3wYMwRAMNVjbUTU/view?usp=sharing</t>
  </si>
  <si>
    <t>https://drive.google.com/file/d/11-G97DOB7ps97qpHQMhCo1LWo1mP8gFX/view?usp=sharing</t>
  </si>
  <si>
    <t>https://drive.google.com/file/d/1C2iCMFy_aMBetyLC6Y-n8eG9EkkAUcqZ/view?usp=sharing</t>
  </si>
  <si>
    <t>78f69969</t>
  </si>
  <si>
    <t>Utrecht vs Ajax - Eredivisie</t>
  </si>
  <si>
    <t>https://www.vidio.com/live/6685-champions-tv-1?schedule_id=4707402</t>
  </si>
  <si>
    <t>https://drive.google.com/drive/folders/1v9uXWGcnMqIrrTBxmqSTCX3OhEvgef8G?usp=drive_link</t>
  </si>
  <si>
    <t>https://drive.google.com/file/d/1wZAD4OEW78BK5I7PA_8FVRHXji3SLyur/view?usp=drive_link</t>
  </si>
  <si>
    <t>fc utrecht; afc ajax; sports stream</t>
  </si>
  <si>
    <t>Nonton streaming pertandingan seru Utrecht vs Ajax - Eredivisie. Saksikan aksi-aksi terbaik dari tim yang bersaing ketat untuk meraih kemenangan. Dapatkan informasi lengkap mengenai jadwal pertandingan dan hasil pertandingan terbaru hanya di Vidio.</t>
  </si>
  <si>
    <t>https://drive.google.com/file/d/15QfVXCIo6588Jg1JfsDTVeOMhFg4hx0Z/view?usp=sharing</t>
  </si>
  <si>
    <t>https://drive.google.com/file/d/1wZAD4OEW78BK5I7PA_8FVRHXji3SLyur/view?usp=sharing</t>
  </si>
  <si>
    <t>https://drive.google.com/file/d/12DEBmdCpD2eGaa5RUzoKt4MoCQwLrQRc/view?usp=sharing</t>
  </si>
  <si>
    <t>ce04bf42</t>
  </si>
  <si>
    <t>AZ Alkmaar vs PSV - Eredivisie</t>
  </si>
  <si>
    <t>https://www.vidio.com/live/19436-eredivisie?schedule_id=4708919</t>
  </si>
  <si>
    <t>https://drive.google.com/drive/folders/1Y2cySpqTcL0QSe1AkPHPuQ_E1MKwhLin?usp=drive_link</t>
  </si>
  <si>
    <t>https://drive.google.com/file/d/1y-1GC1iFtGGuu-bDCiXN-AKfEpZW5kUI/view?usp=drive_link</t>
  </si>
  <si>
    <t>alkmaar zaanstreek; psv eindhoven; sports stream</t>
  </si>
  <si>
    <t>Nonton streaming pertandingan seru AZ Alkmaar vs PSV - Eredivisie. Saksikan aksi-aksi terbaik dari tim yang bersaing ketat untuk meraih kemenangan. Dapatkan informasi lengkap mengenai jadwal pertandingan dan hasil pertandingan terbaru hanya di Vidio.</t>
  </si>
  <si>
    <t>https://drive.google.com/file/d/1OuV247MQtIBC407v9ELq5Nqq5EUflLf8/view?usp=sharing</t>
  </si>
  <si>
    <t>https://drive.google.com/file/d/1y-1GC1iFtGGuu-bDCiXN-AKfEpZW5kUI/view?usp=sharing</t>
  </si>
  <si>
    <t>https://drive.google.com/file/d/1Wop2gWP6S4_DCNn8bCkkTg-rJnB9qZDG/view?usp=sharing</t>
  </si>
  <si>
    <t>d503fbf3</t>
  </si>
  <si>
    <t>Go Ahead Eagles vs Feyenoord - Eredivisie</t>
  </si>
  <si>
    <t>https://www.vidio.com/live/19436-eredivisie?schedule_id=4708923</t>
  </si>
  <si>
    <t>https://drive.google.com/drive/folders/1JDjgbi_7-bfby6Ix92ozhsw13QoJfUSu?usp=drive_link</t>
  </si>
  <si>
    <t>https://drive.google.com/file/d/1d0b-ns7q_G-GhARNk8dc0BKhVSl55JIa/view?usp=drive_link</t>
  </si>
  <si>
    <t>go ahead eagles; feyenoord rotterdam; sports stream</t>
  </si>
  <si>
    <t>Nonton streaming pertandingan seru Go Ahead Eagles vs Feyenoord - Eredivisie. Saksikan aksi-aksi terbaik dari tim yang bersaing ketat untuk meraih kemenangan. Dapatkan informasi lengkap mengenai jadwal pertandingan dan hasil pertandingan terbaru hanya di Vidio.</t>
  </si>
  <si>
    <t>https://drive.google.com/file/d/1pnMHpjOcQo8jd-6NyXG0I_J2YYFw2tlK/view?usp=sharing</t>
  </si>
  <si>
    <t>https://drive.google.com/file/d/1d0b-ns7q_G-GhARNk8dc0BKhVSl55JIa/view?usp=sharing</t>
  </si>
  <si>
    <t>https://drive.google.com/file/d/1-BLTjfsd63BoqlXp76TU9cH9omNNmG1z/view?usp=sharing</t>
  </si>
  <si>
    <t>a8468e36</t>
  </si>
  <si>
    <t>NAC Breda vs PSV - Eredivisie</t>
  </si>
  <si>
    <t>https://www.vidio.com/live/6685-champions-tv-1?schedule_id=4724482</t>
  </si>
  <si>
    <t>https://drive.google.com/drive/folders/13xw3bAgeHVBCqG9W46bQ4aImcicD3iIn</t>
  </si>
  <si>
    <t>https://drive.google.com/drive/folders/1AnolPAu5B_3HKjEkWZzv-8NhhFejWIne</t>
  </si>
  <si>
    <t>nac breda; psv eindhoven; sports stream</t>
  </si>
  <si>
    <t>Nonton streaming pertandingan seru NAC Breda vs PSV - Eredivisie. Saksikan aksi-aksi terbaik dari tim yang bersaing ketat untuk meraih kemenangan. Dapatkan informasi lengkap mengenai jadwal pertandingan dan hasil pertandingan terbaru hanya di Vidio.</t>
  </si>
  <si>
    <t>https://drive.google.com/file/d/1yT_nHmCq6DfDs8mu-HNrpaFbVW1HxOdD/view?usp=sharing</t>
  </si>
  <si>
    <t>https://drive.google.com/file/d/1CgsnCVWYyxXY5SZCn5rpJn0nrOIwMbII/view?usp=sharing</t>
  </si>
  <si>
    <t>https://drive.google.com/file/d/1f-e-1TBQvmAWxxUgrLa61f9BlwhZGziB/view?usp=sharing</t>
  </si>
  <si>
    <t>f0f80a97</t>
  </si>
  <si>
    <t>Ajax vs Excelsior - Eredivisie</t>
  </si>
  <si>
    <t>https://www.vidio.com/live/6685-champions-tv-1?schedule_id=4726073</t>
  </si>
  <si>
    <t>https://drive.google.com/drive/folders/16B_w7zYps4P8HABOyM7CMPmt3pvqlpeg</t>
  </si>
  <si>
    <t>afc ajax; excelsior rotterdam; sports stream</t>
  </si>
  <si>
    <t>Nonton streaming pertandingan seru Ajax vs Excelsior - Eredivisie. Saksikan aksi-aksi terbaik dari tim yang bersaing ketat untuk meraih kemenangan. Dapatkan informasi lengkap mengenai jadwal pertandingan dan hasil pertandingan terbaru hanya di Vidio.</t>
  </si>
  <si>
    <t>https://drive.google.com/file/d/1TK7595KRwNwkrNW0WglwAIXzwCe1KvCn/view?usp=sharing</t>
  </si>
  <si>
    <t>https://drive.google.com/file/d/1ZObPnahywr51_kWkz8ZLVCbwAQvi6HAd/view?usp=sharing</t>
  </si>
  <si>
    <t>https://drive.google.com/file/d/1HGJcqFT27C9Qpwh9sF2Zq0kEFReR372k/view?usp=sharing</t>
  </si>
  <si>
    <t>e1346719</t>
  </si>
  <si>
    <t>NEC Nijmegen vs Ajax - Eredivisie</t>
  </si>
  <si>
    <t>https://www.vidio.com/live/6685-champions-tv-1?schedule_id=4783754</t>
  </si>
  <si>
    <t>https://drive.google.com/drive/folders/1_nnbG4CokN3IaghoCTL53MZe2hoAzsO-?usp=drive_link</t>
  </si>
  <si>
    <t>nec nijmegen; afc ajax; sports stream</t>
  </si>
  <si>
    <t>Nonton streaming pertandingan seru NEC Nijmegen vs Ajax - Eredivisie. Saksikan aksi-aksi terbaik dari tim yang bersaing ketat untuk meraih kemenangan. Dapatkan informasi lengkap mengenai jadwal pertandingan dan hasil pertandingan terbaru hanya di Vidio.</t>
  </si>
  <si>
    <t>https://thumbor.prod.vidiocdn.com/3NXnon7qRIq4asAcjY5Pcgg13Tg=/filters:quality(70)/vidio-media-production/uploads/image/source/52062/5a7a66.png</t>
  </si>
  <si>
    <t>https://thumbor.prod.vidiocdn.com/tdcm4p-TG78qZkvH5WsB_8OeOPA=/filters:quality(70)/vidio-media-production/uploads/image/source/52060/45403a.png</t>
  </si>
  <si>
    <t>https://drive.google.com/file/d/1JPCLMwtsebc5f2sEd1o6j9cnmIiT-TO6/view?usp=sharing</t>
  </si>
  <si>
    <t>51134f89</t>
  </si>
  <si>
    <t>Heerenveen vs AZ Alkmaar - Eredivisie</t>
  </si>
  <si>
    <t>https://www.vidio.com/live/6685-champions-tv-1?schedule_id=4726075</t>
  </si>
  <si>
    <t>https://drive.google.com/drive/folders/1nDWNgJ17RfRZUcYaLDuG-xJGO9tV6q75</t>
  </si>
  <si>
    <t>sc heerenveen; alkmaar zaanstreek; sports stream</t>
  </si>
  <si>
    <t>Nonton streaming pertandingan seru Heerenveen vs AZ Alkmaar - Eredivisie. Saksikan aksi-aksi terbaik dari tim yang bersaing ketat untuk meraih kemenangan. Dapatkan informasi lengkap mengenai jadwal pertandingan dan hasil pertandingan terbaru hanya di Vidio.</t>
  </si>
  <si>
    <t>https://drive.google.com/file/d/1F8P4REazaTGF-IQsrNIQxPjo_nvB08Wi/view?usp=sharing</t>
  </si>
  <si>
    <t>https://drive.google.com/file/d/1F-igKC2T5JNxxQf3S8k_0J39jKfQjGWp/view?usp=sharing</t>
  </si>
  <si>
    <t>https://drive.google.com/file/d/1rf3gh_1V6j9elC4icvs1RATOxI2p1W-y/view?usp=sharing</t>
  </si>
  <si>
    <t>55a2b37e</t>
  </si>
  <si>
    <t>Utrecht vs PSV - Eredivisie</t>
  </si>
  <si>
    <t>https://www.vidio.com/live/6685-champions-tv-1?schedule_id=4783762</t>
  </si>
  <si>
    <t>https://drive.google.com/drive/folders/10XbCEapK7irmMELsgeJnar-CIA0GLUXc?usp=drive_link</t>
  </si>
  <si>
    <t>fc utrecht; psv eindhoven; sports stream</t>
  </si>
  <si>
    <t>Nonton streaming pertandingan seru Utrecht vs PSV - Eredivisie. Saksikan aksi-aksi terbaik dari tim yang bersaing ketat untuk meraih kemenangan. Dapatkan informasi lengkap mengenai jadwal pertandingan dan hasil pertandingan terbaru hanya di Vidio.</t>
  </si>
  <si>
    <t>https://thumbor.prod.vidiocdn.com/KD8ndUiGPS3QVhzhY-H-pljaH7g=/filters:quality(70)/vidio-media-production/uploads/image/source/52063/fbd9d8.png</t>
  </si>
  <si>
    <t>https://thumbor.prod.vidiocdn.com/keJRdemXepgV10optVtcmZ0EVZg=/filters:quality(70)/vidio-media-production/uploads/image/source/52061/d20891.png</t>
  </si>
  <si>
    <t>https://drive.google.com/file/d/1BE9HE92VzwhovndsB0SKe4syCwVEfhHT/view?usp=sharing</t>
  </si>
  <si>
    <t>01ae3c07</t>
  </si>
  <si>
    <t>Feyenoord vs NEC Nijmegen - Eredivisie</t>
  </si>
  <si>
    <t>https://www.vidio.com/live/6686-champions-tv-2?schedule_id=4726077</t>
  </si>
  <si>
    <t>https://drive.google.com/drive/folders/1FKfGaT9pUvI2M-AO0IGQ2d8y1S09uQsX</t>
  </si>
  <si>
    <t>feyenoord rotterdam; nec nijmegen; sports stream</t>
  </si>
  <si>
    <t>Nonton streaming pertandingan seru Feyenoord vs NEC Nijmegen - Eredivisie. Saksikan aksi-aksi terbaik dari tim yang bersaing ketat untuk meraih kemenangan. Dapatkan informasi lengkap mengenai jadwal pertandingan dan hasil pertandingan terbaru hanya di Vidio.</t>
  </si>
  <si>
    <t>https://drive.google.com/file/d/1iB11PpreCMWiN0crpAgj7wUVSujt7vd-/view?usp=sharing</t>
  </si>
  <si>
    <t>https://drive.google.com/file/d/1o1Vb6YZAgfPVMtV6WGuw2cTNQib67ZMf/view?usp=sharing</t>
  </si>
  <si>
    <t>https://drive.google.com/file/d/1irYbB9n_YY1NOf9l-jCAlYPxppT6xx19/view?usp=sharing</t>
  </si>
  <si>
    <t>a6bc051d</t>
  </si>
  <si>
    <t>Feyenoord vs Twente - Eredivisie</t>
  </si>
  <si>
    <t>https://www.vidio.com/live/6685-champions-tv-1?schedule_id=4783765</t>
  </si>
  <si>
    <t>https://drive.google.com/drive/folders/1mN7nX6KiwwJO11Zzg91-7s80jw66TtZR?usp=drive_link</t>
  </si>
  <si>
    <t>feyenoord rotterdam; fc twente; sports stream</t>
  </si>
  <si>
    <t>Nonton streaming pertandingan seru Feyenoord vs Twente - Eredivisie. Saksikan aksi-aksi terbaik dari tim yang bersaing ketat untuk meraih kemenangan. Dapatkan informasi lengkap mengenai jadwal pertandingan dan hasil pertandingan terbaru hanya di Vidio.</t>
  </si>
  <si>
    <t>https://thumbor.prod.vidiocdn.com/i5VS5vjc-kANZbHE9EAM5sTewuY=/filters:quality(70)/vidio-media-production/uploads/image/source/52066/2b7029.png</t>
  </si>
  <si>
    <t>https://thumbor.prod.vidiocdn.com/gbFC2Ld0wJgXeagYXhrIKB323bo=/filters:quality(70)/vidio-media-production/uploads/image/source/52064/11eb57.png</t>
  </si>
  <si>
    <t>https://drive.google.com/file/d/1dnxggyy2ILxS8vKAUf7EjPOXEHtiojWk/view?usp=sharing</t>
  </si>
  <si>
    <t>5e6fef0e</t>
  </si>
  <si>
    <t>Fortuna Sittard vs AZ Alkmaar - Eredivisie</t>
  </si>
  <si>
    <t>https://www.vidio.com/live/6685-champions-tv-1?schedule_id=4790623</t>
  </si>
  <si>
    <t>https://drive.google.com/drive/folders/14mY2v60NlIZL6uqZQFUTf-qeh2pTAciA?usp=drive_link</t>
  </si>
  <si>
    <t>fortuna sittard; alkmaar zaanstreek; sports stream</t>
  </si>
  <si>
    <t>Nonton streaming pertandingan seru Fortuna Sittard vs AZ Alkmaar - Eredivisie. Saksikan aksi-aksi terbaik dari tim yang bersaing ketat untuk meraih kemenangan. Dapatkan informasi lengkap mengenai jadwal pertandingan dan hasil pertandingan terbaru hanya di Vidio.</t>
  </si>
  <si>
    <t>https://thumbor.prod.vidiocdn.com/NkN1cKsWn45VBU9ChUMIKhnDdKk=/filters:quality(70)/vidio-media-production/uploads/image/source/52067/f21641.png</t>
  </si>
  <si>
    <t>https://thumbor.prod.vidiocdn.com/F_lni9HEyQq6NP8HugXRotzEmOc=/filters:quality(70)/vidio-media-production/uploads/image/source/52065/5f8bd8.png</t>
  </si>
  <si>
    <t>https://drive.google.com/file/d/17NLtplLG5H5e-ow-UXfKbsHuEI11qxH3/view?usp=sharing</t>
  </si>
  <si>
    <t>d7897309</t>
  </si>
  <si>
    <t>Heerenveen vs PSV - Eredivisie</t>
  </si>
  <si>
    <t>https://www.vidio.com/live/6685-champions-tv-1?schedule_id=4760843</t>
  </si>
  <si>
    <t>https://drive.google.com/drive/folders/13jTLWJubpg-O57QsA1ff1sY6WsJuawII?usp=drive_link</t>
  </si>
  <si>
    <t>https://drive.google.com/file/d/1Y1jKGYUMyJXOTQ-9Zs2d-JS0PvCyYppL/view?usp=drive_link</t>
  </si>
  <si>
    <t>sc heerenveen; psv eindhoven; sports stream</t>
  </si>
  <si>
    <t>Nonton streaming pertandingan seru Heerenveen vs PSV - Eredivisie. Saksikan aksi-aksi terbaik dari tim yang bersaing ketat untuk meraih kemenangan. Dapatkan informasi lengkap mengenai jadwal pertandingan dan hasil pertandingan terbaru hanya di Vidio.</t>
  </si>
  <si>
    <t>https://thumbor.prod.vidiocdn.com/mYzJxTb1_1sYGPC1cAQCS79GgZc=/filters:quality(70)/vidio-media-production/uploads/image/source/51747/b8fb36.png</t>
  </si>
  <si>
    <t>https://drive.google.com/file/d/1Y1jKGYUMyJXOTQ-9Zs2d-JS0PvCyYppL/view?usp=sharing</t>
  </si>
  <si>
    <t>https://drive.google.com/file/d/1O7-GpS1wzmS95zXeUYGFGii6qcLE5p3W/view?usp=sharing</t>
  </si>
  <si>
    <t>999d7a07</t>
  </si>
  <si>
    <t>PSV vs FC Volendam - Eredivisie</t>
  </si>
  <si>
    <t>https://www.vidio.com/live/6685-champions-tv-1?schedule_id=4734872</t>
  </si>
  <si>
    <t>https://drive.google.com/drive/folders/1nMPzBAkhsJ1CuiOq01uTntjvNhp0-SMm</t>
  </si>
  <si>
    <t>https://drive.google.com/file/d/1w3N03MWHMidIYLSaBOZzzoNpneOgxO0s/view?usp=sharing</t>
  </si>
  <si>
    <t>psv eindhoven; fc volendam; sports stream</t>
  </si>
  <si>
    <t>Nonton streaming pertandingan seru PSV vs FC Volendam - Eredivisie. Saksikan aksi-aksi terbaik dari tim yang bersaing ketat untuk meraih kemenangan. Dapatkan informasi lengkap mengenai jadwal pertandingan dan hasil pertandingan terbaru hanya di Vidio.</t>
  </si>
  <si>
    <t>https://drive.google.com/file/d/1MbwnibNS4InEftlSSu7UnGSOvx1PAtbX/view?usp=sharing</t>
  </si>
  <si>
    <t>https://drive.google.com/file/d/1HOGisjX94z9DcDwOQAm7erE98yCYWI9k/view?usp=sharing</t>
  </si>
  <si>
    <t>4e45b161</t>
  </si>
  <si>
    <t>Fortuna Sittard vs Ajax - Eredivisie</t>
  </si>
  <si>
    <t>https://www.vidio.com/live/6685-champions-tv-1?schedule_id=4760844</t>
  </si>
  <si>
    <t>https://drive.google.com/drive/folders/1rF25M1sCfY2rKMUOJOjsFPUK8o2N4gCG?usp=drive_link</t>
  </si>
  <si>
    <t>https://drive.google.com/file/d/1p03t7DJ1OjYksp9QI9QjbmyNVmdkbl5k/view?usp=drive_link</t>
  </si>
  <si>
    <t>fortuna sittard; afc ajax; sports stream</t>
  </si>
  <si>
    <t>Nonton streaming pertandingan seru Fortuna Sittard vs Ajax - Eredivisie. Saksikan aksi-aksi terbaik dari tim yang bersaing ketat untuk meraih kemenangan. Dapatkan informasi lengkap mengenai jadwal pertandingan dan hasil pertandingan terbaru hanya di Vidio.</t>
  </si>
  <si>
    <t>https://drive.google.com/file/d/13_9kIXx_SXv1mVUnmeN7QxkUOjrtQ6Hn/view?usp=sharing</t>
  </si>
  <si>
    <t>https://drive.google.com/file/d/1p03t7DJ1OjYksp9QI9QjbmyNVmdkbl5k/view?usp=sharing</t>
  </si>
  <si>
    <t>https://drive.google.com/file/d/10VDqgWwVyVmWTI-o1xDDVkPpPQk6KdvP/view?usp=sharing</t>
  </si>
  <si>
    <t>d413d856</t>
  </si>
  <si>
    <t>Telstar vs Feyenoord - Eredivisie</t>
  </si>
  <si>
    <t>https://www.vidio.com/live/6685-champions-tv-1?schedule_id=4734873</t>
  </si>
  <si>
    <t>https://drive.google.com/drive/folders/1HuS0dX4J7mrqKFjm1jkCaWFI-85S0sf4</t>
  </si>
  <si>
    <t>https://drive.google.com/file/d/1M7DP0cHneB1ni-ljZc9LCMGsLC4FNlcW/view?usp=sharing</t>
  </si>
  <si>
    <t>sc telstar; feyenoord rotterdam; sports stream</t>
  </si>
  <si>
    <t>Nonton streaming pertandingan seru Telstar vs Feyenoord - Eredivisie. Saksikan aksi-aksi terbaik dari tim yang bersaing ketat untuk meraih kemenangan. Dapatkan informasi lengkap mengenai jadwal pertandingan dan hasil pertandingan terbaru hanya di Vidio.</t>
  </si>
  <si>
    <t>https://drive.google.com/file/d/1FW6QvbVnNvS9QEPfKpW-HyBiK5RS0KZI/view?usp=sharing</t>
  </si>
  <si>
    <t>https://drive.google.com/file/d/1XF3sIMop5vOREQihzYNw68d3vT6hRIOa/view?usp=sharing</t>
  </si>
  <si>
    <t>e854ef26</t>
  </si>
  <si>
    <t>Feyenoord vs PEC Zwolle - Eredivisie</t>
  </si>
  <si>
    <t>https://www.vidio.com/live/6685-champions-tv-1?schedule_id=4760845</t>
  </si>
  <si>
    <t>https://drive.google.com/drive/folders/1LB63kpifaJWvOmDyJH3aWMms4lW8jcIX?usp=drive_link</t>
  </si>
  <si>
    <t>https://drive.google.com/file/d/18cTrE_lJ_VZN4GRwcxb6WZ5TzJY3GIsD/view?usp=drive_link</t>
  </si>
  <si>
    <t>feyenoord rotterdam; pec zwolle; sports stream</t>
  </si>
  <si>
    <t>Nonton streaming pertandingan seru Feyenoord vs PEC Zwolle - Eredivisie. Saksikan aksi-aksi terbaik dari tim yang bersaing ketat untuk meraih kemenangan. Dapatkan informasi lengkap mengenai jadwal pertandingan dan hasil pertandingan terbaru hanya di Vidio.</t>
  </si>
  <si>
    <t>https://drive.google.com/file/d/1kw5wb-QGWvlZ2X8lb8iLAlalWnzzs8bL/view?usp=sharing</t>
  </si>
  <si>
    <t>https://drive.google.com/file/d/18cTrE_lJ_VZN4GRwcxb6WZ5TzJY3GIsD/view?usp=sharing</t>
  </si>
  <si>
    <t>https://drive.google.com/file/d/1daCyy8kFRQmoW9ht9W-er2mv-8-3LznI/view?usp=sharing</t>
  </si>
  <si>
    <t>970d9aa0</t>
  </si>
  <si>
    <t>Twente vs AZ Alkmaar - Eredivisie</t>
  </si>
  <si>
    <t>https://www.vidio.com/live/6685-champions-tv-1?schedule_id=4734874</t>
  </si>
  <si>
    <t>https://drive.google.com/drive/folders/1LGSQCors6kYx3SOKTc3-gn4Sv26uzC8G</t>
  </si>
  <si>
    <t>https://drive.google.com/file/d/1TFK7ZxZexwNSVv-NKgrhjCnob7adKvK4/view?usp=sharing</t>
  </si>
  <si>
    <t>fc twente; alkmaar zaanstreek; sports stream</t>
  </si>
  <si>
    <t>Nonton streaming pertandingan seru Twente vs AZ Alkmaar - Eredivisie. Saksikan aksi-aksi terbaik dari tim yang bersaing ketat untuk meraih kemenangan. Dapatkan informasi lengkap mengenai jadwal pertandingan dan hasil pertandingan terbaru hanya di Vidio.</t>
  </si>
  <si>
    <t>https://drive.google.com/file/d/1WZfAlGlLwqsrXpphQgjY2zBAVRIxhTAh/view?usp=sharing</t>
  </si>
  <si>
    <t>https://drive.google.com/file/d/1f87JA8UK2FSftKP4JLvK5sGXaZJPAWhk/view?usp=sharing</t>
  </si>
  <si>
    <t>2eae1f7d</t>
  </si>
  <si>
    <t>AZ Alkmaar vs Go Ahead Eagles - Eredivisie</t>
  </si>
  <si>
    <t>https://www.vidio.com/live/6685-champions-tv-1?schedule_id=4760847</t>
  </si>
  <si>
    <t>https://drive.google.com/drive/folders/1f3XxPYvXpR_XYo4I8W_D0o07EoA4ZuUh?usp=drive_link</t>
  </si>
  <si>
    <t>https://drive.google.com/file/d/1y6iaGRvIZtRTwIcewv6Fgzdl2qaNF7wO/view?usp=drive_link</t>
  </si>
  <si>
    <t>alkmaar zaanstreek; go ahead eagles; sports stream</t>
  </si>
  <si>
    <t>Nonton streaming pertandingan seru AZ Alkmaar vs Go Ahead Eagles - Eredivisie. Saksikan aksi-aksi terbaik dari tim yang bersaing ketat untuk meraih kemenangan. Dapatkan informasi lengkap mengenai jadwal pertandingan dan hasil pertandingan terbaru hanya di Vidio.</t>
  </si>
  <si>
    <t>https://drive.google.com/file/d/1yNAzEl_GyCNrjaDAh-lfwvJOnxgFIlBm/view?usp=sharing</t>
  </si>
  <si>
    <t>https://drive.google.com/file/d/1y6iaGRvIZtRTwIcewv6Fgzdl2qaNF7wO/view?usp=sharing</t>
  </si>
  <si>
    <t>https://drive.google.com/file/d/1fkdpZaTGNhz8jma7OW_dNieKG46FAWN6/view?usp=sharing</t>
  </si>
  <si>
    <t>9d4979d9</t>
  </si>
  <si>
    <t>Ajax vs FC Groningen - Eredivisie</t>
  </si>
  <si>
    <t>https://www.vidio.com/live/19436-eredivisie?schedule_id=4758797</t>
  </si>
  <si>
    <t>https://drive.google.com/drive/folders/1JCzLBVXElHAbTYY2WCDNbk906PWbFwaz</t>
  </si>
  <si>
    <t>https://drive.google.com/file/d/1k2dcbp2T0GYl2Jxn4JWw0Ru6lKTFCOLv/view?usp=sharing</t>
  </si>
  <si>
    <t>afc ajax; fc groningen; sports stream</t>
  </si>
  <si>
    <t>Nonton streaming pertandingan seru Ajax vs FC Groningen - Eredivisie. Saksikan aksi-aksi terbaik dari tim yang bersaing ketat untuk meraih kemenangan. Dapatkan informasi lengkap mengenai jadwal pertandingan dan hasil pertandingan terbaru hanya di Vidio.</t>
  </si>
  <si>
    <t>https://drive.google.com/file/d/1runhV2dvwiKgjDXkA9USWNRPBd_dBX5K/view?usp=sharing</t>
  </si>
  <si>
    <t>https://drive.google.com/file/d/1fA0y30-Pk6NN8bGN9jJ_RsFtDTRHNG93/view?usp=sharing</t>
  </si>
  <si>
    <t>3ae8948f</t>
  </si>
  <si>
    <t>41a8ce3d</t>
  </si>
  <si>
    <t>9740d9b5</t>
  </si>
  <si>
    <t>PSV vs Heracles - Eredivisie</t>
  </si>
  <si>
    <t>https://www.vidio.com/live/6685-champions-tv-1?schedule_id=4773367</t>
  </si>
  <si>
    <t>https://drive.google.com/drive/folders/18fQ0pYUEsTDAVw7m19OZLnpj70eLzfaM</t>
  </si>
  <si>
    <t>psv eindhoven; heracles almelo; sports stream</t>
  </si>
  <si>
    <t>Nonton streaming pertandingan seru PSV vs Heracles - Eredivisie. Saksikan aksi-aksi terbaik dari tim yang bersaing ketat untuk meraih kemenangan. Dapatkan informasi lengkap mengenai jadwal pertandingan dan hasil pertandingan terbaru hanya di Vidio.</t>
  </si>
  <si>
    <t>https://thumbor.prod.vidiocdn.com/rICfhj5M7L8pz2L20wjkgUldMTk=/filters:quality(70)/vidio-media-production/uploads/image/source/52053/7991f3.png</t>
  </si>
  <si>
    <t>https://thumbor.prod.vidiocdn.com/_Sabf2rvkRK96amvDSKE9Phqg2c=/filters:quality(70)/vidio-media-production/uploads/image/source/52052/f9e6f4.png</t>
  </si>
  <si>
    <t>https://drive.google.com/file/d/1JcQVNZFUGxaNwMF26apn2ES20BcyK3vZ/view?usp=sharing</t>
  </si>
  <si>
    <t>b4d3b85f</t>
  </si>
  <si>
    <t>41f0c147</t>
  </si>
  <si>
    <t>Ajax vs Feyenoord - Eredivisie</t>
  </si>
  <si>
    <t>https://www.vidio.com/live/6685-champions-tv-1?schedule_id=4773368</t>
  </si>
  <si>
    <t>https://drive.google.com/drive/folders/1ptfECo4M4bD0SWZ26VOxIBpTCgJncQdI</t>
  </si>
  <si>
    <t>afc ajax; feyenoord rotterdam; sports stream</t>
  </si>
  <si>
    <t>Nonton streaming pertandingan seru Ajax vs Feyenoord - Eredivisie. Saksikan aksi-aksi terbaik dari tim yang bersaing ketat untuk meraih kemenangan. Dapatkan informasi lengkap mengenai jadwal pertandingan dan hasil pertandingan terbaru hanya di Vidio.</t>
  </si>
  <si>
    <t>https://thumbor.prod.vidiocdn.com/xNVsR2-nkf33x4LFyBOrlxcPe3M=/filters:quality(70)/vidio-media-production/uploads/image/source/52057/0c6d3f.png</t>
  </si>
  <si>
    <t>https://thumbor.prod.vidiocdn.com/AuDqiaaVeDbXpClTRo-DjPQDPe8=/filters:quality(70)/vidio-media-production/uploads/image/source/52056/1d6792.png</t>
  </si>
  <si>
    <t>https://drive.google.com/file/d/1dkEsIKsZXJf7DK6p4sTX0tOUiRtoEI3U/view?usp=sharing</t>
  </si>
  <si>
    <t>a96b2c5c</t>
  </si>
  <si>
    <t>9b5edbb6</t>
  </si>
  <si>
    <t>AZ Alkmaar vs Excelsior - Eredivisie</t>
  </si>
  <si>
    <t>alkmaar zaanstreek; excelsior rotterdam; sports stream</t>
  </si>
  <si>
    <t>Nonton streaming pertandingan seru AZ Alkmaar vs Excelsior - Eredivisie. Saksikan aksi-aksi terbaik dari tim yang bersaing ketat untuk meraih kemenangan. Dapatkan informasi lengkap mengenai jadwal pertandingan dan hasil pertandingan terbaru hanya di Vidio.</t>
  </si>
  <si>
    <t>95535383</t>
  </si>
  <si>
    <t>47962187</t>
  </si>
  <si>
    <t>91407f92</t>
  </si>
  <si>
    <t>b2a8311e</t>
  </si>
  <si>
    <t>23601b56</t>
  </si>
  <si>
    <t>https://www.vidio.com/live/6685-champions-tv-1?schedule_id=4773369</t>
  </si>
  <si>
    <t>https://drive.google.com/drive/folders/1if5VO0Gz-YCUuXYcoPSuQvcdnF_hwvuD</t>
  </si>
  <si>
    <t>https://thumbor.prod.vidiocdn.com/th2pPkUgAsaegoeL5_x2ZXD0pBw=/filters:quality(70)/vidio-media-production/uploads/image/source/52059/2792b2.png</t>
  </si>
  <si>
    <t>https://thumbor.prod.vidiocdn.com/AGSL4ccuPnghNVLojtGC53kBR5I=/filters:quality(70)/vidio-media-production/uploads/image/source/52058/5bb0fc.png</t>
  </si>
  <si>
    <t>https://drive.google.com/file/d/1RwsrRLAAsd4vEOoFbFSx0KWRIlVkuUwC/view?usp=sharing</t>
  </si>
  <si>
    <t>8bec1bb5</t>
  </si>
  <si>
    <t>76745d9f</t>
  </si>
  <si>
    <t>4e83ac62</t>
  </si>
  <si>
    <t>55af4616</t>
  </si>
  <si>
    <t>7af2e079</t>
  </si>
  <si>
    <t>(Data Zone) Man City vs Liverpool - Premier League</t>
  </si>
  <si>
    <t>https://www.vidio.com/live/9183-champions-tv-6?schedule_id=4707267</t>
  </si>
  <si>
    <t>Nonton streaming pertandingan seru (Data Zone) Man City vs Liverpool - Premier League. Saksikan aksi-aksi terbaik dari tim yang bersaing ketat untuk meraih kemenangan. Dapatkan informasi lengkap mengenai jadwal pertandingan dan hasil pertandingan terbaru hanya di Vidio.</t>
  </si>
  <si>
    <t>ef65bbc0</t>
  </si>
  <si>
    <t>Preston vs Sheffield United - EFL Championship</t>
  </si>
  <si>
    <t>https://www.vidio.com/live/6685-champions-tv-1?schedule_id=4667505</t>
  </si>
  <si>
    <t>https://drive.google.com/drive/folders/1iewL_O37ZHaThTYCcUbuDq2seic7GwnJ?usp=sharing</t>
  </si>
  <si>
    <t>https://drive.google.com/drive/folders/1J_NzU8We2T5au8UdoHAmMIsdp5SZkv4H?usp=sharing</t>
  </si>
  <si>
    <t>preston north end fc; sheffield united; sports stream</t>
  </si>
  <si>
    <t>Nonton streaming pertandingan seru Preston vs Sheffield United - EFL Championship. Saksikan aksi-aksi terbaik dari tim yang bersaing ketat untuk meraih kemenangan. Dapatkan informasi lengkap mengenai jadwal pertandingan dan hasil pertandingan terbaru hanya di Vidio.</t>
  </si>
  <si>
    <t>https://drive.google.com/file/d/1ZxSjfIvclVTEkOd8F6EtKbbWl5TEe5ic/view?usp=sharing</t>
  </si>
  <si>
    <t>https://drive.google.com/file/d/1wbw_dsO89WVxh1wM8cjCe_NeVF4v_riq/view?usp=drive_link</t>
  </si>
  <si>
    <t>6346f1b3</t>
  </si>
  <si>
    <t>593f7a2d</t>
  </si>
  <si>
    <t>Jelang Kick Off - PSBS Biak vs PERSEBAYA Surabaya  - BRI Super League</t>
  </si>
  <si>
    <t>https://www.vidio.com/live/19355-bri-super-league?schedule_id=4667497</t>
  </si>
  <si>
    <t>Nonton streaming pertandingan seru Jelang Kick Off - PSBS Biak vs PERSEBAYA Surabaya  - BRI Super League. Saksikan aksi-aksi terbaik dari tim yang bersaing ketat untuk meraih kemenangan. Dapatkan informasi lengkap mengenai jadwal pertandingan dan hasil pertandingan terbaru hanya di Vidio.</t>
  </si>
  <si>
    <t>https://drive.google.com/file/d/1bPRDLsVyzDdpb8zGWGzwkFF1-sIWP7N2/view?usp=drive_link</t>
  </si>
  <si>
    <t>8b76ae3d</t>
  </si>
  <si>
    <t>Jelang Kick Off - Madura United FC vs PERSIJA  - BRI Super League</t>
  </si>
  <si>
    <t>https://www.vidio.com/live/19355-bri-super-league?schedule_id=4667498</t>
  </si>
  <si>
    <t>Nonton streaming pertandingan seru Jelang Kick Off - Madura United FC vs PERSIJA  - BRI Super League. Saksikan aksi-aksi terbaik dari tim yang bersaing ketat untuk meraih kemenangan. Dapatkan informasi lengkap mengenai jadwal pertandingan dan hasil pertandingan terbaru hanya di Vidio.</t>
  </si>
  <si>
    <t>https://drive.google.com/file/d/1xyE1HdP3ILvUzATjzhwyKSgNadN5k_Eu/view?usp=drive_link</t>
  </si>
  <si>
    <t>04dde6d8</t>
  </si>
  <si>
    <t>Jelang Kick Off - PERSIB vs PERSIS  - BRI Super League</t>
  </si>
  <si>
    <t>https://www.vidio.com/live/19355-bri-super-league?schedule_id=4670654</t>
  </si>
  <si>
    <t>Nonton streaming pertandingan seru Jelang Kick Off - PERSIB vs PERSIS  - BRI Super League. Saksikan aksi-aksi terbaik dari tim yang bersaing ketat untuk meraih kemenangan. Dapatkan informasi lengkap mengenai jadwal pertandingan dan hasil pertandingan terbaru hanya di Vidio.</t>
  </si>
  <si>
    <t>https://drive.google.com/file/d/1mgf8PeAcmaF8NSW_KUV4Zv52JIUx3l2O/view?usp=drive_link</t>
  </si>
  <si>
    <t>6264b400</t>
  </si>
  <si>
    <t>Luton Town vs Forest Green - FA Cup</t>
  </si>
  <si>
    <t>FA Cup 2025/26</t>
  </si>
  <si>
    <t>VIDIO - @facup</t>
  </si>
  <si>
    <t>https://www.vidio.com/live/19773-fa-cup-2025-26?schedule_id=4678554</t>
  </si>
  <si>
    <t>https://drive.google.com/drive/folders/1Kcy9ZVjSEEDfj5slohVKctlNMsRxi-x_</t>
  </si>
  <si>
    <t>Luton Town FC</t>
  </si>
  <si>
    <t>Forest Green Rovers FC</t>
  </si>
  <si>
    <t>Sports &gt; Football &gt; FA Cup</t>
  </si>
  <si>
    <t>FA Cup; FA Cup 2025/26</t>
  </si>
  <si>
    <t>luton town fc; Forest Green Rovers FC; sports stream</t>
  </si>
  <si>
    <t>Nonton streaming pertandingan seru Luton Town vs Forest Green - FA Cup. Saksikan aksi-aksi terbaik dari tim yang bersaing ketat untuk meraih kemenangan. Dapatkan informasi lengkap mengenai jadwal pertandingan dan hasil pertandingan terbaru hanya di Vidio.</t>
  </si>
  <si>
    <t>https://drive.google.com/file/d/1VGnY5XZATGrTgiCzwIfn_fXdN6Nvyvkk/view?usp=sharing</t>
  </si>
  <si>
    <t>cf00b1c6</t>
  </si>
  <si>
    <t>Chelmsford City vs Braintree Town - FA Cup</t>
  </si>
  <si>
    <t>https://www.vidio.com/live/19773-fa-cup-2025-26?schedule_id=4678555</t>
  </si>
  <si>
    <t>https://drive.google.com/drive/folders/1BPXvKxcoJ-1XmCLjAJonZMtaoH4RMXsA</t>
  </si>
  <si>
    <t>Chelmsford City FC</t>
  </si>
  <si>
    <t>Braintree Town FC</t>
  </si>
  <si>
    <t>Chelmsford City FC; Braintree Town FC; sports stream</t>
  </si>
  <si>
    <t>Nonton streaming pertandingan seru Chelmsford City vs Braintree Town - FA Cup. Saksikan aksi-aksi terbaik dari tim yang bersaing ketat untuk meraih kemenangan. Dapatkan informasi lengkap mengenai jadwal pertandingan dan hasil pertandingan terbaru hanya di Vidio.</t>
  </si>
  <si>
    <t>https://drive.google.com/file/d/1IuXtHsefzTWf2zSmSc-CTtYjaGQXyFkT/view?usp=sharing</t>
  </si>
  <si>
    <t>771dfa47</t>
  </si>
  <si>
    <t>Brackley Town vs Notts County - FA Cup</t>
  </si>
  <si>
    <t>https://www.vidio.com/live/19773-fa-cup-2025-26?schedule_id=4678558</t>
  </si>
  <si>
    <t>https://drive.google.com/drive/folders/1oq4DVt_VoND3-_8-Xp7ywJ6rxUtguBe4</t>
  </si>
  <si>
    <t>Brackley Town FC</t>
  </si>
  <si>
    <t>Notts County FC</t>
  </si>
  <si>
    <t>Brackley Town FC; Notts County FC; sports stream</t>
  </si>
  <si>
    <t>Nonton streaming pertandingan seru Brackley Town vs Notts County - FA Cup. Saksikan aksi-aksi terbaik dari tim yang bersaing ketat untuk meraih kemenangan. Dapatkan informasi lengkap mengenai jadwal pertandingan dan hasil pertandingan terbaru hanya di Vidio.</t>
  </si>
  <si>
    <t>https://drive.google.com/file/d/1CimtZln6rVJqScRwpI4GGfLDV62nVFf5/view?usp=sharing</t>
  </si>
  <si>
    <t>977277c6</t>
  </si>
  <si>
    <t>South Shields vs Shrewsbury - FA Cup</t>
  </si>
  <si>
    <t>https://www.vidio.com/live/19773-fa-cup-2025-26?schedule_id=4678559</t>
  </si>
  <si>
    <t>https://drive.google.com/drive/folders/1RFhpQKC7tQxfBRiXSQM-RGSX1rBEMqeD</t>
  </si>
  <si>
    <t>South Shields FC</t>
  </si>
  <si>
    <t>Shrewsbury Town FC</t>
  </si>
  <si>
    <t>South Shields FC; Shrewsbury Town FC; sports stream</t>
  </si>
  <si>
    <t>Nonton streaming pertandingan seru South Shields vs Shrewsbury - FA Cup. Saksikan aksi-aksi terbaik dari tim yang bersaing ketat untuk meraih kemenangan. Dapatkan informasi lengkap mengenai jadwal pertandingan dan hasil pertandingan terbaru hanya di Vidio.</t>
  </si>
  <si>
    <t>https://drive.google.com/file/d/1bb3r-C5owWNz8xWlGIfGhFqtP4wjgmEl/view?usp=sharing</t>
  </si>
  <si>
    <t>e8b53c8c</t>
  </si>
  <si>
    <t>Eastleigh vs Walsall - FA Cup</t>
  </si>
  <si>
    <t>https://www.vidio.com/live/19774-fa-cup-2025-26?schedule_id=4678557</t>
  </si>
  <si>
    <t>https://drive.google.com/drive/folders/1geRuevMjXccwJzKtUKHuYzEKSAtQoszn</t>
  </si>
  <si>
    <t>Eastleigh FC</t>
  </si>
  <si>
    <t>Walsall FC</t>
  </si>
  <si>
    <t>Eastleigh FC; walsall fc; sports stream</t>
  </si>
  <si>
    <t>Nonton streaming pertandingan seru Eastleigh vs Walsall - FA Cup. Saksikan aksi-aksi terbaik dari tim yang bersaing ketat untuk meraih kemenangan. Dapatkan informasi lengkap mengenai jadwal pertandingan dan hasil pertandingan terbaru hanya di Vidio.</t>
  </si>
  <si>
    <t>https://drive.google.com/file/d/1Y_-X5XuTXoKKbXs3zPw_SwVGUmKXHIY-/view?usp=sharing</t>
  </si>
  <si>
    <t>d77f394b</t>
  </si>
  <si>
    <t>Port Vale vs Maldon &amp; Tiptree - FA Cup</t>
  </si>
  <si>
    <t>https://www.vidio.com/live/19773-fa-cup-2025-26?schedule_id=4678560</t>
  </si>
  <si>
    <t>https://drive.google.com/drive/folders/11UqzSGuCyHfL3wVhHwlfo5LxqIxbFDiR</t>
  </si>
  <si>
    <t>Maldon &amp; Tiptree FC</t>
  </si>
  <si>
    <t>Port Vale FC; Maldon &amp; Tiptree FC; sports stream</t>
  </si>
  <si>
    <t>Nonton streaming pertandingan seru Port Vale vs Maldon &amp; Tiptree - FA Cup. Saksikan aksi-aksi terbaik dari tim yang bersaing ketat untuk meraih kemenangan. Dapatkan informasi lengkap mengenai jadwal pertandingan dan hasil pertandingan terbaru hanya di Vidio.</t>
  </si>
  <si>
    <t>https://drive.google.com/file/d/1T2TOKVHEZEVPfJuJmmetnimjt0cVKnoW/view?usp=sharing</t>
  </si>
  <si>
    <t>d2657902</t>
  </si>
  <si>
    <t>Gainsborough Trinity vs Accrington Stanley - FA Cup</t>
  </si>
  <si>
    <t>https://www.vidio.com/live/19774-fa-cup-2025-26?schedule_id=4678561</t>
  </si>
  <si>
    <t>https://drive.google.com/drive/folders/1tGCOSWJ4_b1S7zcJ_M7Cc-OyUWFtExgR</t>
  </si>
  <si>
    <t>Gainsborough Trinity FC</t>
  </si>
  <si>
    <t>Accrington Stanley F.C.</t>
  </si>
  <si>
    <t>Gainsborough Trinity FC; Accrington Stanley FC; sports stream</t>
  </si>
  <si>
    <t>Nonton streaming pertandingan seru Gainsborough Trinity vs Accrington Stanley - FA Cup. Saksikan aksi-aksi terbaik dari tim yang bersaing ketat untuk meraih kemenangan. Dapatkan informasi lengkap mengenai jadwal pertandingan dan hasil pertandingan terbaru hanya di Vidio.</t>
  </si>
  <si>
    <t>https://drive.google.com/file/d/1POHS_plEvv3vbvphA5vSIz2zle252KMn/view?usp=sharing</t>
  </si>
  <si>
    <t>15d70190</t>
  </si>
  <si>
    <t>Tamworth vs Leyton Orient - FA Cup</t>
  </si>
  <si>
    <t>https://www.vidio.com/live/19773-fa-cup-2025-26?schedule_id=4678562</t>
  </si>
  <si>
    <t>https://drive.google.com/drive/folders/14WwsFEJQZVhjDJt9K7PAO9TVgooBQr6e</t>
  </si>
  <si>
    <t>Tamworth FC</t>
  </si>
  <si>
    <t>Leyton Orient FC</t>
  </si>
  <si>
    <t>tamworth fc; leyton orient fc; sports stream</t>
  </si>
  <si>
    <t>Nonton streaming pertandingan seru Tamworth vs Leyton Orient - FA Cup. Saksikan aksi-aksi terbaik dari tim yang bersaing ketat untuk meraih kemenangan. Dapatkan informasi lengkap mengenai jadwal pertandingan dan hasil pertandingan terbaru hanya di Vidio.</t>
  </si>
  <si>
    <t>https://drive.google.com/file/d/1wAJ5BFwggCq1g6nlR_Lg0otev_meXMzZ/view?usp=sharing</t>
  </si>
  <si>
    <t>d884386c</t>
  </si>
  <si>
    <t>Minnesota Vikings vs Los Angeles Chargers - NFL</t>
  </si>
  <si>
    <t>https://www.vidio.com/live/19623-national-football-league-2025-26?schedule_id=4667495</t>
  </si>
  <si>
    <t>https://drive.google.com/drive/folders/1FSIGXYUd_NaFc4WbpjomrdIkGeedg4vh</t>
  </si>
  <si>
    <t>Nonton streaming pertandingan seru Minnesota Vikings vs Los Angeles Chargers - NFL. Saksikan aksi-aksi terbaik dari tim yang bersaing ketat untuk meraih kemenangan. Dapatkan informasi lengkap mengenai jadwal pertandingan dan hasil pertandingan terbaru hanya di Vidio.</t>
  </si>
  <si>
    <t>https://drive.google.com/file/d/1G0O4ALeBZe-RAZ5B50gvygveINBenWdm/view?usp=sharing</t>
  </si>
  <si>
    <t>https://drive.google.com/file/d/1KK1WHko9qBFEhLT8PxPzsykD-oq8x_bq/view?usp=sharing</t>
  </si>
  <si>
    <t>09f5d436</t>
  </si>
  <si>
    <t>New York Giants vs Philadelphia Eagles - NFL</t>
  </si>
  <si>
    <t>https://www.vidio.com/live/19748-national-football-league-2025-26?schedule_id=4672152</t>
  </si>
  <si>
    <t>https://drive.google.com/drive/folders/1GvVnR34vhGIe3vaILxmw-M4ViCm86963</t>
  </si>
  <si>
    <t>Nonton streaming pertandingan seru New York Giants vs Philadelphia Eagles - NFL. Saksikan aksi-aksi terbaik dari tim yang bersaing ketat untuk meraih kemenangan. Dapatkan informasi lengkap mengenai jadwal pertandingan dan hasil pertandingan terbaru hanya di Vidio.</t>
  </si>
  <si>
    <t>https://drive.google.com/file/d/13JmXpBG832rk8p0se1zVQCk_5Anj-wYI/view?usp=sharing</t>
  </si>
  <si>
    <t>https://drive.google.com/file/d/1HI1BNsadX1IILN8cdlQtYuz13Uh-X9mG/view?usp=sharing</t>
  </si>
  <si>
    <t>1ca3427d</t>
  </si>
  <si>
    <t>Dallas Cowboys vs Denver Broncos - NFL</t>
  </si>
  <si>
    <t>https://www.vidio.com/live/19748-national-football-league-2025-26?schedule_id=4672700</t>
  </si>
  <si>
    <t>https://drive.google.com/drive/folders/1eckRlZeqCr_2syNjwt5boFROoK-yfhI8</t>
  </si>
  <si>
    <t>Nonton streaming pertandingan seru Dallas Cowboys vs Denver Broncos - NFL. Saksikan aksi-aksi terbaik dari tim yang bersaing ketat untuk meraih kemenangan. Dapatkan informasi lengkap mengenai jadwal pertandingan dan hasil pertandingan terbaru hanya di Vidio.</t>
  </si>
  <si>
    <t>https://drive.google.com/file/d/1Ux61FvxvZheBgyoU2jVANO1pvA4tVb_I/view?usp=sharing</t>
  </si>
  <si>
    <t>https://drive.google.com/file/d/12ra5PVhr5HBkVsgPVvsJyDxzpHhPWaz6/view?usp=sharing</t>
  </si>
  <si>
    <t>7ed93a36</t>
  </si>
  <si>
    <t>PS. Barito Putera vs Deltras FC - Pegadaian Championship</t>
  </si>
  <si>
    <t>https://www.vidio.com/live/19543-pegadaian-championship-2025-26?schedule_id=4717735</t>
  </si>
  <si>
    <t>https://drive.google.com/drive/folders/1T6FqsmCHma4DohRRr9WTXFgaBYzw8psQ</t>
  </si>
  <si>
    <t>https://drive.google.com/drive/folders/1rV6iBF3BUVJGKbJLmmi7Oe55VA7Nav1A</t>
  </si>
  <si>
    <t>ps barito putera; deltras sidoarjo; sports stream</t>
  </si>
  <si>
    <t>Nonton streaming pertandingan seru PS. Barito Putera vs Deltras FC - Pegadaian Championship. Saksikan aksi-aksi terbaik dari tim yang bersaing ketat untuk meraih kemenangan. Dapatkan informasi lengkap mengenai jadwal pertandingan dan hasil pertandingan terbaru hanya di Vidio.</t>
  </si>
  <si>
    <t>https://drive.google.com/file/d/10n0BK_Lz4nyquOGHRawKBnsy-GQVwHcY/view?usp=sharing</t>
  </si>
  <si>
    <t>https://drive.google.com/file/d/1rg3SzqclHZxKgU5pLX4XdaApwi7fWeel/view?usp=sharing</t>
  </si>
  <si>
    <t>https://drive.google.com/file/d/1UxJaI7pF9lxmq7BKN8y848qNIcbaMPkP/view?usp=sharing</t>
  </si>
  <si>
    <t>fe0d9f3b</t>
  </si>
  <si>
    <t>Green Bay Packers vs Pittsburgh Steelers - NFL</t>
  </si>
  <si>
    <t>https://www.vidio.com/live/19748-national-football-league-2025-26?schedule_id=4672701</t>
  </si>
  <si>
    <t>https://drive.google.com/drive/folders/1j4pfNsRpK558ShABlV86oKKDCwz5sGVd</t>
  </si>
  <si>
    <t>Nonton streaming pertandingan seru Green Bay Packers vs Pittsburgh Steelers - NFL. Saksikan aksi-aksi terbaik dari tim yang bersaing ketat untuk meraih kemenangan. Dapatkan informasi lengkap mengenai jadwal pertandingan dan hasil pertandingan terbaru hanya di Vidio.</t>
  </si>
  <si>
    <t>https://drive.google.com/file/d/1psqFUcBjn1cH1O1-hlQ1JjX_1s4oBHGj/view?usp=sharing</t>
  </si>
  <si>
    <t>https://drive.google.com/file/d/1s7hU_MKABHuNfNFGrBeTXsM9r2lV89sL/view?usp=sharing</t>
  </si>
  <si>
    <t>c91a2ca7</t>
  </si>
  <si>
    <t>Persela Lamongan vs Kendal Tornado FC - Pegadaian Championship</t>
  </si>
  <si>
    <t>https://www.vidio.com/live/19543-pegadaian-championship-2025-26?schedule_id=4717736</t>
  </si>
  <si>
    <t>https://drive.google.com/drive/folders/1Hu9E9JFeqFbVxgljJxp1pUhoqw7bVPBz</t>
  </si>
  <si>
    <t>persela lamongan; Kendal Tornado FC; sports stream</t>
  </si>
  <si>
    <t>Nonton streaming pertandingan seru Persela Lamongan vs Kendal Tornado FC - Pegadaian Championship. Saksikan aksi-aksi terbaik dari tim yang bersaing ketat untuk meraih kemenangan. Dapatkan informasi lengkap mengenai jadwal pertandingan dan hasil pertandingan terbaru hanya di Vidio.</t>
  </si>
  <si>
    <t>https://drive.google.com/file/d/18ooohP8ZDpF8K5oumTuEwghciBN59ayo/view?usp=sharing</t>
  </si>
  <si>
    <t>https://drive.google.com/file/d/1fL5l2ZxXvE3LKGIbEye9JoW0KkFg32K-/view?usp=sharing</t>
  </si>
  <si>
    <t>https://drive.google.com/file/d/1xQpN28SItkveVwsHkZcJ2-sSvG32L3pE/view?usp=sharing</t>
  </si>
  <si>
    <t>e6acfbcc</t>
  </si>
  <si>
    <t>Persipal FC vs Persiba Balikpapan - Pegadaian Championship</t>
  </si>
  <si>
    <t>https://www.vidio.com/live/19541-pegadaian-championship-2025-26?schedule_id=4719238</t>
  </si>
  <si>
    <t>https://drive.google.com/drive/folders/1KEOTBaaYet7mlkmZGlQoxd4_Mt8-GzmJ</t>
  </si>
  <si>
    <t>Persipal Palu; Persiba Balikpapan; sports stream</t>
  </si>
  <si>
    <t>Nonton streaming pertandingan seru Persipal FC vs Persiba Balikpapan - Pegadaian Championship. Saksikan aksi-aksi terbaik dari tim yang bersaing ketat untuk meraih kemenangan. Dapatkan informasi lengkap mengenai jadwal pertandingan dan hasil pertandingan terbaru hanya di Vidio.</t>
  </si>
  <si>
    <t>https://drive.google.com/file/d/12BQgN3wGer2Ixy-ZbwAWRpkvKdOnfPaG/view?usp=sharing</t>
  </si>
  <si>
    <t>https://drive.google.com/file/d/1PdpOAY82wvc1uvTsWAzPGVUHvGsrnMsc/view?usp=sharing</t>
  </si>
  <si>
    <t>https://drive.google.com/file/d/1CDmZG46R_zahpAZ0suzf4pZmmLqpF4NX/view?usp=sharing</t>
  </si>
  <si>
    <t>b3349ff3</t>
  </si>
  <si>
    <t>PSS Sleman vs Persiku Kudus - Pegadaian Championship</t>
  </si>
  <si>
    <t>https://www.vidio.com/live/19584-pegadaian-championship-2025-26?schedule_id=4719239</t>
  </si>
  <si>
    <t>https://drive.google.com/drive/folders/1waUvrGvdnLxozBiDnpf1PDYnkR7bB0j3</t>
  </si>
  <si>
    <t>pss sleman; persiku kudus; sports stream</t>
  </si>
  <si>
    <t>Nonton streaming pertandingan seru PSS Sleman vs Persiku Kudus - Pegadaian Championship. Saksikan aksi-aksi terbaik dari tim yang bersaing ketat untuk meraih kemenangan. Dapatkan informasi lengkap mengenai jadwal pertandingan dan hasil pertandingan terbaru hanya di Vidio.</t>
  </si>
  <si>
    <t>https://drive.google.com/file/d/15U2k0l9poCePAyITvnOlu9JKbE5EqP1q/view?usp=sharing</t>
  </si>
  <si>
    <t>https://drive.google.com/file/d/1febuyIez6GZsdHoqPR7NUuIBDI81kjgc/view?usp=sharing</t>
  </si>
  <si>
    <t>https://drive.google.com/file/d/1lxbce2nxUGaV1Y99T2ZhkB6v0Zphrcm0/view?usp=sharing</t>
  </si>
  <si>
    <t>9c232f26</t>
  </si>
  <si>
    <t>FC Bekasi City vs Adhyaksa FC - Pegadaian Championship</t>
  </si>
  <si>
    <t>https://www.vidio.com/live/19541-pegadaian-championship-2025-26?schedule_id=4719240</t>
  </si>
  <si>
    <t>https://drive.google.com/drive/folders/1Nzhge85fL3fhcKITS-BAclnXNVark1iL</t>
  </si>
  <si>
    <t>fc bekasi city; Adhyaksa Farmel FC; sports stream</t>
  </si>
  <si>
    <t>Nonton streaming pertandingan seru FC Bekasi City vs Adhyaksa FC - Pegadaian Championship. Saksikan aksi-aksi terbaik dari tim yang bersaing ketat untuk meraih kemenangan. Dapatkan informasi lengkap mengenai jadwal pertandingan dan hasil pertandingan terbaru hanya di Vidio.</t>
  </si>
  <si>
    <t>https://drive.google.com/file/d/1hA1P8sqKcQBqRgHrgPDls2vOFSJZ0yC3/view?usp=sharing</t>
  </si>
  <si>
    <t>https://drive.google.com/file/d/1TSNgVdF-8SHMr-716Xwb1pc2Nc3HkWDN/view?usp=sharing</t>
  </si>
  <si>
    <t>https://drive.google.com/file/d/1O-4VqYwnQzDmD42VZwZCzIYPrNOMeL_F/view?usp=sharing</t>
  </si>
  <si>
    <t>6dd53f85</t>
  </si>
  <si>
    <t>Washington Commanders vs Kansas City Chiefs - NFL</t>
  </si>
  <si>
    <t>https://www.vidio.com/live/19623-national-football-league-2025-26?schedule_id=4673099</t>
  </si>
  <si>
    <t>https://drive.google.com/drive/folders/1kuwlGQBwGJH-YZoV1ejYoVEcKqAgh0Im?usp=drive_link</t>
  </si>
  <si>
    <t>Nonton streaming pertandingan seru Washington Commanders vs Kansas City Chiefs - NFL. Saksikan aksi-aksi terbaik dari tim yang bersaing ketat untuk meraih kemenangan. Dapatkan informasi lengkap mengenai jadwal pertandingan dan hasil pertandingan terbaru hanya di Vidio.</t>
  </si>
  <si>
    <t>https://drive.google.com/file/d/1SdfoaE_upRSavU1vepwFb-okkmmZsVC3/view?usp=sharing</t>
  </si>
  <si>
    <t>https://drive.google.com/file/d/19YcwDLKSz_4gwpu3YKRWiPiUwRoV8jy5/view?usp=sharing</t>
  </si>
  <si>
    <t>30486031</t>
  </si>
  <si>
    <t>PSIS Semarang vs Persipura Jayapura - Pegadaian Championship</t>
  </si>
  <si>
    <t>https://www.vidio.com/live/19584-pegadaian-championship-2025-26?schedule_id=4719243</t>
  </si>
  <si>
    <t>https://drive.google.com/drive/folders/1igDHmbA4Mjk7Fc7GThQEN_dZo09OH-Ls</t>
  </si>
  <si>
    <t>psis semarang; persipura; sports stream</t>
  </si>
  <si>
    <t>Nonton streaming pertandingan seru PSIS Semarang vs Persipura Jayapura - Pegadaian Championship. Saksikan aksi-aksi terbaik dari tim yang bersaing ketat untuk meraih kemenangan. Dapatkan informasi lengkap mengenai jadwal pertandingan dan hasil pertandingan terbaru hanya di Vidio.</t>
  </si>
  <si>
    <t>https://drive.google.com/file/d/1Rnoz_PRXT5h5EBob_0FzyqMr__Kd8r0f/view?usp=sharing</t>
  </si>
  <si>
    <t>https://drive.google.com/file/d/1J2zeugWnf9VCMveGwcTRSLLOBBfgoXUV/view?usp=sharing</t>
  </si>
  <si>
    <t>https://drive.google.com/file/d/1aBkbVQUx4ks3JsQCEkYbTxK3JlXbCsrt/view?usp=sharing</t>
  </si>
  <si>
    <t>23e8a011</t>
  </si>
  <si>
    <t>Persiraja Banda Aceh vs Sumsel United - Pegadaian Championship</t>
  </si>
  <si>
    <t>https://www.vidio.com/live/19543-pegadaian-championship-2025-26?schedule_id=4719245</t>
  </si>
  <si>
    <t>https://drive.google.com/drive/folders/1s3mnVwYOdduBr4b8k75SOnr7wqHIYbhs</t>
  </si>
  <si>
    <t>persiraja banda aceh; Sumsel United; sports stream</t>
  </si>
  <si>
    <t>Nonton streaming pertandingan seru Persiraja Banda Aceh vs Sumsel United - Pegadaian Championship. Saksikan aksi-aksi terbaik dari tim yang bersaing ketat untuk meraih kemenangan. Dapatkan informasi lengkap mengenai jadwal pertandingan dan hasil pertandingan terbaru hanya di Vidio.</t>
  </si>
  <si>
    <t>https://drive.google.com/file/d/1CXA9quBO-LLqNesFwpVDoc6Q6RU24PCF/view?usp=sharing</t>
  </si>
  <si>
    <t>https://drive.google.com/file/d/1JhX_Fa_Cuo67SHWVpnUx2ca2sMS6jPHq/view?usp=sharing</t>
  </si>
  <si>
    <t>https://drive.google.com/file/d/1LkKXcF9UUfxyZIywa7Fwr7KSfRVtjmAg/view?usp=sharing</t>
  </si>
  <si>
    <t>14330695</t>
  </si>
  <si>
    <t>Persekat Tegal vs Garudayaksa FC - Pegadaian Championship</t>
  </si>
  <si>
    <t>https://www.vidio.com/live/19541-pegadaian-championship-2025-26?schedule_id=4720758</t>
  </si>
  <si>
    <t>https://drive.google.com/drive/folders/16VmHN-BRNoyorsvFZFz3nzYQ1Vwkww6O</t>
  </si>
  <si>
    <t>persekat; pskc cimahi; sports stream</t>
  </si>
  <si>
    <t>Nonton streaming pertandingan seru Persekat Tegal vs Garudayaksa FC - Pegadaian Championship. Saksikan aksi-aksi terbaik dari tim yang bersaing ketat untuk meraih kemenangan. Dapatkan informasi lengkap mengenai jadwal pertandingan dan hasil pertandingan terbaru hanya di Vidio.</t>
  </si>
  <si>
    <t>https://drive.google.com/file/d/1xC1VT1z_t51l4KaWr4AlLWoCwX_ra9Td/view?usp=sharing</t>
  </si>
  <si>
    <t>https://drive.google.com/file/d/1OIqeIPM1lqF8AJX68e_5YxpOLIIAAFHJ/view?usp=sharing</t>
  </si>
  <si>
    <t>https://drive.google.com/file/d/1wrBIhO4-1xR3SLsBp8IfRc0QVjdZX8qc/view?usp=sharing</t>
  </si>
  <si>
    <t>5f6c08cb</t>
  </si>
  <si>
    <t>Sriwijaya FC vs Persikad - Pegadaian Championship</t>
  </si>
  <si>
    <t>https://www.vidio.com/live/19542-pegadaian-championship-2025-26?schedule_id=4720759</t>
  </si>
  <si>
    <t>https://drive.google.com/drive/folders/1q-wO_KG4vMC7XnC1hocnJ7WrK7lXTaGC</t>
  </si>
  <si>
    <t>sriwijaya fc; Persikad; sports stream</t>
  </si>
  <si>
    <t>Nonton streaming pertandingan seru Sriwijaya FC vs Persikad - Pegadaian Championship. Saksikan aksi-aksi terbaik dari tim yang bersaing ketat untuk meraih kemenangan. Dapatkan informasi lengkap mengenai jadwal pertandingan dan hasil pertandingan terbaru hanya di Vidio.</t>
  </si>
  <si>
    <t>https://drive.google.com/file/d/1-GgFuWwixBInRHJhTufUk9qhqWGgZHoo/view?usp=sharing</t>
  </si>
  <si>
    <t>https://drive.google.com/file/d/1drpyGbnuZ0hKsUTCJh3ME8UMPm6TdD2q/view?usp=sharing</t>
  </si>
  <si>
    <t>https://drive.google.com/file/d/1bK6O7-mVXsp_B_3lqYfA84QelIIc37TT/view?usp=sharing</t>
  </si>
  <si>
    <t>5a80921d</t>
  </si>
  <si>
    <t>PSMS Medan vs PSPS Pekanbaru - Pegadaian Championship</t>
  </si>
  <si>
    <t>https://www.vidio.com/live/19542-pegadaian-championship-2025-26?schedule_id=4720760</t>
  </si>
  <si>
    <t>https://drive.google.com/drive/folders/1sCNwkVPXWZtEkACCwDCMcmT3RdPtFZpm</t>
  </si>
  <si>
    <t>psms medan; psps riau; sports stream</t>
  </si>
  <si>
    <t>Nonton streaming pertandingan seru PSMS Medan vs PSPS Pekanbaru - Pegadaian Championship. Saksikan aksi-aksi terbaik dari tim yang bersaing ketat untuk meraih kemenangan. Dapatkan informasi lengkap mengenai jadwal pertandingan dan hasil pertandingan terbaru hanya di Vidio.</t>
  </si>
  <si>
    <t>https://drive.google.com/file/d/17GVOiTivRStjQ2j2o0SAXfpD37g1LWFa/view?usp=sharing</t>
  </si>
  <si>
    <t>https://drive.google.com/file/d/1BI4bxZA-L2fLLl_OMU6ScD_p3cbBpUU9/view?usp=sharing</t>
  </si>
  <si>
    <t>https://drive.google.com/file/d/1QwcSnA-HiZzAHFMS8EwKxJPxUu9Fupj0/view?usp=sharing</t>
  </si>
  <si>
    <t>661bdcbc</t>
  </si>
  <si>
    <t>Kendal Tornado FC vs Persipura Jayapura - Pegadaian Championship</t>
  </si>
  <si>
    <t>https://www.vidio.com/live/19543-pegadaian-championship-2025-26?schedule_id=4725602</t>
  </si>
  <si>
    <t>https://drive.google.com/drive/folders/1I47Jy3u9cEYKc_en5g4BoKqaSTyKDpS6?usp=drive_link</t>
  </si>
  <si>
    <t>https://drive.google.com/drive/folders/1rl5FGcq4AJPO8LOU0ioroZMKuxSSq8pn?usp=drive_link</t>
  </si>
  <si>
    <t>Kendal Tornado FC; persipura; sports stream</t>
  </si>
  <si>
    <t>Nonton streaming pertandingan seru Kendal Tornado FC vs Persipura Jayapura - Pegadaian Championship. Saksikan aksi-aksi terbaik dari tim yang bersaing ketat untuk meraih kemenangan. Dapatkan informasi lengkap mengenai jadwal pertandingan dan hasil pertandingan terbaru hanya di Vidio.</t>
  </si>
  <si>
    <t>https://drive.google.com/file/d/1S1ad8OYt57kFmOAE0O9XgOkbZpGaBx1e/view?usp=sharing</t>
  </si>
  <si>
    <t>https://drive.google.com/file/d/1H0r-C88fnSQfoqeUF9W7KGRw2CwRy0H8/view?usp=sharing</t>
  </si>
  <si>
    <t>https://drive.google.com/file/d/1jGRLKIqDM6hobP4FlcE4epTyZMBEbaux/view?usp=sharing</t>
  </si>
  <si>
    <t>18a3603f</t>
  </si>
  <si>
    <t>Persipal FC vs PS. Barito Putera - Pegadaian Championship</t>
  </si>
  <si>
    <t>https://www.vidio.com/live/19584-pegadaian-championship-2025-26?schedule_id=4725604</t>
  </si>
  <si>
    <t>https://drive.google.com/drive/folders/1of2ltr6GTDxkstQPNZ6zJPj5eyUTDtUr?usp=drive_link</t>
  </si>
  <si>
    <t>Persipal Palu; ps barito putera; sports stream</t>
  </si>
  <si>
    <t>Nonton streaming pertandingan seru Persipal FC vs PS. Barito Putera - Pegadaian Championship. Saksikan aksi-aksi terbaik dari tim yang bersaing ketat untuk meraih kemenangan. Dapatkan informasi lengkap mengenai jadwal pertandingan dan hasil pertandingan terbaru hanya di Vidio.</t>
  </si>
  <si>
    <t>https://drive.google.com/file/d/1iXGzb4oQocowhKHXAN5PhF1OTO00gXWK/view?usp=sharing</t>
  </si>
  <si>
    <t>https://drive.google.com/file/d/1ow7TDJzd73UrE_geznot92Ai5dweIo0r/view?usp=sharing</t>
  </si>
  <si>
    <t>https://drive.google.com/file/d/1RqE6CtVLsIPKRH5sJNo5oFkkysrHKQr7/view?usp=sharing</t>
  </si>
  <si>
    <t>28f9c4ff</t>
  </si>
  <si>
    <t>Deltras FC vs PSS Sleman - Pegadaian Championship</t>
  </si>
  <si>
    <t>deltras sidoarjo; pss sleman; sports stream</t>
  </si>
  <si>
    <t>Nonton streaming pertandingan seru Deltras FC vs PSS Sleman - Pegadaian Championship. Saksikan aksi-aksi terbaik dari tim yang bersaing ketat untuk meraih kemenangan. Dapatkan informasi lengkap mengenai jadwal pertandingan dan hasil pertandingan terbaru hanya di Vidio.</t>
  </si>
  <si>
    <t>13ed4ba0</t>
  </si>
  <si>
    <t>Persiku Kudus vs Persela Lamongan - Pegadaian Championship</t>
  </si>
  <si>
    <t>persiku kudus; persela lamongan; sports stream</t>
  </si>
  <si>
    <t>Nonton streaming pertandingan seru Persiku Kudus vs Persela Lamongan - Pegadaian Championship. Saksikan aksi-aksi terbaik dari tim yang bersaing ketat untuk meraih kemenangan. Dapatkan informasi lengkap mengenai jadwal pertandingan dan hasil pertandingan terbaru hanya di Vidio.</t>
  </si>
  <si>
    <t>86383b12</t>
  </si>
  <si>
    <t>https://www.vidio.com/live/19584-pegadaian-championship-2025-26?schedule_id=4725620</t>
  </si>
  <si>
    <t>https://drive.google.com/drive/folders/1BB-ZS7H6IWFbo99_WSWEba73RY6_GpkZ?usp=drive_link</t>
  </si>
  <si>
    <t>https://drive.google.com/file/d/1JapMhjWrrnxEXGBWy9wqrfpbQA4eJlTH/view?usp=sharing</t>
  </si>
  <si>
    <t>https://drive.google.com/file/d/1CMWLqjZyhg8gMbuQT7hExejt0yfSMbKG/view?usp=sharing</t>
  </si>
  <si>
    <t>https://drive.google.com/file/d/1yNRiAmWP72bH_v2zCkL6HDIuz51gvpjr/view?usp=sharing</t>
  </si>
  <si>
    <t>bdb3c6ec</t>
  </si>
  <si>
    <t>Persiba Balikpapan vs PSIS Semarang - Pegadaian Championship</t>
  </si>
  <si>
    <t>https://www.vidio.com/live/19584-pegadaian-championship-2025-26?schedule_id=4725621</t>
  </si>
  <si>
    <t>https://drive.google.com/drive/folders/1QCAaOT2G32vG2-QelKuZuemokfp2S7i5?usp=drive_link</t>
  </si>
  <si>
    <t>Persiba Balikpapan; psis semarang; sports stream</t>
  </si>
  <si>
    <t>Nonton streaming pertandingan seru Persiba Balikpapan vs PSIS Semarang - Pegadaian Championship. Saksikan aksi-aksi terbaik dari tim yang bersaing ketat untuk meraih kemenangan. Dapatkan informasi lengkap mengenai jadwal pertandingan dan hasil pertandingan terbaru hanya di Vidio.</t>
  </si>
  <si>
    <t>https://drive.google.com/file/d/1rGfbLYAg7EgzNxVAqE_cuOW9zCEGs5nq/view?usp=sharing</t>
  </si>
  <si>
    <t>https://drive.google.com/file/d/1WF2h6aBu-2ohw7-34QbFyYpsAew9dIe_/view?usp=sharing</t>
  </si>
  <si>
    <t>https://drive.google.com/file/d/1ijxc-_zLMtQtQSL9WoegtEZ6LnagQFAH/view?usp=sharing</t>
  </si>
  <si>
    <t>fa2b8091</t>
  </si>
  <si>
    <t>PSPS Pekanbaru vs Garudayaksa FC - Pegadaian Championship</t>
  </si>
  <si>
    <t>https://www.vidio.com/live/19542-pegadaian-championship-2025-26?schedule_id=4727624</t>
  </si>
  <si>
    <t>https://drive.google.com/drive/folders/1_ubGbYK9n4YqAfn5gTtDTA_MgAy1yK99?usp=drive_link</t>
  </si>
  <si>
    <t>psps riau; pskc cimahi; sports stream</t>
  </si>
  <si>
    <t>Nonton streaming pertandingan seru PSPS Pekanbaru vs Garudayaksa FC - Pegadaian Championship. Saksikan aksi-aksi terbaik dari tim yang bersaing ketat untuk meraih kemenangan. Dapatkan informasi lengkap mengenai jadwal pertandingan dan hasil pertandingan terbaru hanya di Vidio.</t>
  </si>
  <si>
    <t>https://drive.google.com/file/d/12UZ9dUTCLCr8N20hmncgLaJVYbTOYq6y/view?usp=sharing</t>
  </si>
  <si>
    <t>https://drive.google.com/file/d/14yFIso2a7YlOndVvyYZVOyKhCzCw4COW/view?usp=sharing</t>
  </si>
  <si>
    <t>https://drive.google.com/file/d/1W4rHbw6UKmqVEs__xef8YkFlVmfhjx1L/view?usp=sharing</t>
  </si>
  <si>
    <t>a8641b1c</t>
  </si>
  <si>
    <t>Persikad vs Adhyaksa FC - Pegadaian Championship</t>
  </si>
  <si>
    <t>https://www.vidio.com/live/19541-pegadaian-championship-2025-26?schedule_id=4727622</t>
  </si>
  <si>
    <t>https://drive.google.com/drive/folders/1zdQS4RIQEa9tz6pFr8X4C2kVmEy3RHOA?usp=drive_link</t>
  </si>
  <si>
    <t>Persikad; Adhyaksa Farmel FC; sports stream</t>
  </si>
  <si>
    <t>Nonton streaming pertandingan seru Persikad vs Adhyaksa FC - Pegadaian Championship. Saksikan aksi-aksi terbaik dari tim yang bersaing ketat untuk meraih kemenangan. Dapatkan informasi lengkap mengenai jadwal pertandingan dan hasil pertandingan terbaru hanya di Vidio.</t>
  </si>
  <si>
    <t>https://drive.google.com/file/d/1Qvbwm3K261vmf1Ruq2G_DNYts1RQv9rr/view?usp=sharing</t>
  </si>
  <si>
    <t>https://drive.google.com/file/d/1LtQ7RDsUCPD-IY5sN0RtYACKy8c9nc11/view?usp=sharing</t>
  </si>
  <si>
    <t>https://drive.google.com/file/d/1LoQgePs8dRi4kWOODl1uRT2P3ndVNBx5/view?usp=sharing</t>
  </si>
  <si>
    <t>986fe792</t>
  </si>
  <si>
    <t>Sumsel United vs PSMS Medan - Pegadaian Championship</t>
  </si>
  <si>
    <t>https://www.vidio.com/live/19883-pegadaian-championship-2025-26?schedule_id=4727757</t>
  </si>
  <si>
    <t>https://drive.google.com/drive/folders/1x4McGaLfSab4QQHmcgdRA8I_LbwUJThn?usp=drive_link</t>
  </si>
  <si>
    <t>Sumsel United; psms medan; sports stream</t>
  </si>
  <si>
    <t>Nonton streaming pertandingan seru Sumsel United vs PSMS Medan - Pegadaian Championship. Saksikan aksi-aksi terbaik dari tim yang bersaing ketat untuk meraih kemenangan. Dapatkan informasi lengkap mengenai jadwal pertandingan dan hasil pertandingan terbaru hanya di Vidio.</t>
  </si>
  <si>
    <t>https://drive.google.com/file/d/1k_ZYM6_fjwNGIHt5lIfctoc5jevKxZz8/view?usp=sharing</t>
  </si>
  <si>
    <t>https://drive.google.com/file/d/15tnbHeKqHKkfcsDdGjKIbaOw6ab8OO5S/view?usp=sharing</t>
  </si>
  <si>
    <t>https://drive.google.com/file/d/1O4fW0A2jkk9j854fEC5GIg_W-iOiG442/view?usp=sharing</t>
  </si>
  <si>
    <t>44ad191b</t>
  </si>
  <si>
    <t>FC Bekasi City vs Persekat Tegal - Pegadaian Championship</t>
  </si>
  <si>
    <t>https://www.vidio.com/live/19541-pegadaian-championship-2025-26?schedule_id=4727623</t>
  </si>
  <si>
    <t>https://drive.google.com/drive/folders/1AATzr90M_AQExtfAi6j9K7oGaV9fCsx7?usp=drive_link</t>
  </si>
  <si>
    <t>fc bekasi city; persekat; sports stream</t>
  </si>
  <si>
    <t>Nonton streaming pertandingan seru FC Bekasi City vs Persekat Tegal - Pegadaian Championship. Saksikan aksi-aksi terbaik dari tim yang bersaing ketat untuk meraih kemenangan. Dapatkan informasi lengkap mengenai jadwal pertandingan dan hasil pertandingan terbaru hanya di Vidio.</t>
  </si>
  <si>
    <t>https://drive.google.com/file/d/1QVyFQ0ggbVBSD-RIWm09TZti-NweaEwh/view?usp=sharing</t>
  </si>
  <si>
    <t>https://drive.google.com/file/d/1tz_mx01WocrFROPQqt0izhPY-u1duzZt/view?usp=sharing</t>
  </si>
  <si>
    <t>https://drive.google.com/file/d/16Fth3nlRU0tfPG47SYTH3PREXpH1xFJz/view?usp=sharing</t>
  </si>
  <si>
    <t>60143a5f</t>
  </si>
  <si>
    <t>Persiraja Banda Aceh vs Sriwijaya FC - Pegadaian Championship</t>
  </si>
  <si>
    <t>https://www.vidio.com/live/19543-pegadaian-championship-2025-26?schedule_id=4727755</t>
  </si>
  <si>
    <t>https://drive.google.com/drive/folders/1kIFbAFIWza7o5FzpIUy20cBsZQQZBzje?usp=drive_link</t>
  </si>
  <si>
    <t>persiraja banda aceh; sriwijaya fc; sports stream</t>
  </si>
  <si>
    <t>Nonton streaming pertandingan seru Persiraja Banda Aceh vs Sriwijaya FC - Pegadaian Championship. Saksikan aksi-aksi terbaik dari tim yang bersaing ketat untuk meraih kemenangan. Dapatkan informasi lengkap mengenai jadwal pertandingan dan hasil pertandingan terbaru hanya di Vidio.</t>
  </si>
  <si>
    <t>https://drive.google.com/file/d/17OAVDeCHFdgP96A7FMtic7mhXehhkIIT/view?usp=sharing</t>
  </si>
  <si>
    <t>https://drive.google.com/file/d/186v62uIPIyRZETeWrz_SEFjlcAmElIZ1/view?usp=sharing</t>
  </si>
  <si>
    <t>https://drive.google.com/file/d/1d1YIncVl4FlRXFB_1crRxKZv4adCXRem/view?usp=sharing</t>
  </si>
  <si>
    <t>ae69672b</t>
  </si>
  <si>
    <t>https://www.vidio.com/live/19584-pegadaian-championship-2025-26?schedule_id=4725605</t>
  </si>
  <si>
    <t>https://drive.google.com/drive/folders/1R8xT1awaoQEdF7jW8zb1Gc3msC6p076_?usp=drive_link</t>
  </si>
  <si>
    <t>https://drive.google.com/file/d/1Cgb6aq51hMSXRwcEoc2itnl_xwrJIf-0/view?usp=sharing</t>
  </si>
  <si>
    <t>https://drive.google.com/file/d/1ZXYiMAjfeTlglI79l8lzqtN-Tlqh0qAz/view?usp=sharing</t>
  </si>
  <si>
    <t>https://drive.google.com/file/d/1ZUY5W7igNPbNvNoYnZEjGY0QMXupcMct/view?usp=sharing</t>
  </si>
  <si>
    <t>a8db56ec</t>
  </si>
  <si>
    <t>Al-Hilal vs Al-Shabab - ROSHN Saudi League</t>
  </si>
  <si>
    <t>https://www.vidio.com/live/17140-spotv-2?schedule_id=4674576</t>
  </si>
  <si>
    <t>https://drive.google.com/drive/folders/1SPyED8FTwEeSo4aLdQ9MvhcvIUuvEV-u</t>
  </si>
  <si>
    <t>Al-Shabab FC</t>
  </si>
  <si>
    <t>al-hilal; al-shabab fc; sports stream</t>
  </si>
  <si>
    <t>Nonton streaming pertandingan seru Al-Hilal vs Al-Shabab - ROSHN Saudi League. Saksikan aksi-aksi terbaik dari tim yang bersaing ketat untuk meraih kemenangan. Dapatkan informasi lengkap mengenai jadwal pertandingan dan hasil pertandingan terbaru hanya di Vidio.</t>
  </si>
  <si>
    <t>https://drive.google.com/file/d/1lSUwSrEhqV7UKpgenGlvKclXi2456YES/view?usp=sharing</t>
  </si>
  <si>
    <t>https://drive.google.com/file/d/1D81HArp6V6caEb2ITS-wHWaYSORfvOTn/view?usp=sharing</t>
  </si>
  <si>
    <t>4a72f647</t>
  </si>
  <si>
    <t>Al-Ahli vs Al-Riyadh - ROSHN Saudi League</t>
  </si>
  <si>
    <t>https://www.vidio.com/live/17140-spotv-2?schedule_id=4673224</t>
  </si>
  <si>
    <t>https://drive.google.com/drive/folders/1RGmuimaNmABqTy_OC1yY46N9zHyfZMM9</t>
  </si>
  <si>
    <t>al-ahli saudi fc; al-riyadh sc; sports stream</t>
  </si>
  <si>
    <t>Nonton streaming pertandingan seru Al-Ahli vs Al-Riyadh - ROSHN Saudi League. Saksikan aksi-aksi terbaik dari tim yang bersaing ketat untuk meraih kemenangan. Dapatkan informasi lengkap mengenai jadwal pertandingan dan hasil pertandingan terbaru hanya di Vidio.</t>
  </si>
  <si>
    <t>https://drive.google.com/file/d/1N9N92mgumEKMDpj3OVe4m5jTO-4XDZ6v/view?usp=sharing</t>
  </si>
  <si>
    <t>e918916c</t>
  </si>
  <si>
    <t xml:space="preserve"> vs  - FIFA Women's Matchday</t>
  </si>
  <si>
    <t>Nonton streaming pertandingan seru  vs  - FIFA Women's Matchday. Saksikan aksi-aksi terbaik dari tim yang bersaing ketat untuk meraih kemenangan. Dapatkan informasi lengkap mengenai jadwal pertandingan dan hasil pertandingan terbaru hanya di Vidio.</t>
  </si>
  <si>
    <t>0dbbdf1a</t>
  </si>
  <si>
    <t>Baltimore Ravens vs Miami Dolphins - NFL</t>
  </si>
  <si>
    <t>https://www.vidio.com/live/19623-national-football-league-2025-26?schedule_id=4675118</t>
  </si>
  <si>
    <t>https://drive.google.com/drive/folders/11_dHkhdsKML750kVv6mPg_ZwbFjbsUni?usp=drive_link</t>
  </si>
  <si>
    <t>Nonton streaming pertandingan seru Baltimore Ravens vs Miami Dolphins - NFL. Saksikan aksi-aksi terbaik dari tim yang bersaing ketat untuk meraih kemenangan. Dapatkan informasi lengkap mengenai jadwal pertandingan dan hasil pertandingan terbaru hanya di Vidio.</t>
  </si>
  <si>
    <t>https://drive.google.com/file/d/1as5OZp1YVDrqWEothba6IhBNFSNznA5g/view?usp=sharing</t>
  </si>
  <si>
    <t>https://drive.google.com/file/d/19VRMF7mBZUn2Nm0y6GA2aWa_pw3O5eST/view?usp=sharing</t>
  </si>
  <si>
    <t>a5275766</t>
  </si>
  <si>
    <t>Indianapolis Colts vs Pittsburgh Steelers - NFL</t>
  </si>
  <si>
    <t>https://www.vidio.com/live/19548-national-football-league-2025-26?schedule_id=4690714</t>
  </si>
  <si>
    <t>https://drive.google.com/drive/folders/1wpuVFlzLTPGkpDXH1rs-dlQNI9L12Bgx?usp=drive_link</t>
  </si>
  <si>
    <t>Nonton streaming pertandingan seru Indianapolis Colts vs Pittsburgh Steelers - NFL. Saksikan aksi-aksi terbaik dari tim yang bersaing ketat untuk meraih kemenangan. Dapatkan informasi lengkap mengenai jadwal pertandingan dan hasil pertandingan terbaru hanya di Vidio.</t>
  </si>
  <si>
    <t>https://drive.google.com/file/d/1fRjUAU6W9CgPhQwCFOCWEmKrlDSYBXae/view?usp=sharing</t>
  </si>
  <si>
    <t>https://drive.google.com/file/d/1bXKm60DYP9tgCwEYGm4Cv61pa20tkNhe/view?usp=sharing</t>
  </si>
  <si>
    <t>0b51257e</t>
  </si>
  <si>
    <t>Arizona Cardinals vs Dallas Cowboys - NFL</t>
  </si>
  <si>
    <t>https://www.vidio.com/live/19623-national-football-league-2025-26?schedule_id=4699977</t>
  </si>
  <si>
    <t>https://drive.google.com/drive/folders/1Q5TVfsLTJGt8GKFha9EuBAhTLhqS_WbD?usp=drive_link</t>
  </si>
  <si>
    <t>Nonton streaming pertandingan seru Arizona Cardinals vs Dallas Cowboys - NFL. Saksikan aksi-aksi terbaik dari tim yang bersaing ketat untuk meraih kemenangan. Dapatkan informasi lengkap mengenai jadwal pertandingan dan hasil pertandingan terbaru hanya di Vidio.</t>
  </si>
  <si>
    <t>https://drive.google.com/file/d/1LmVwN0ACYaCrEUTeLp9gLxNp6w3hLLFJ/view?usp=sharing</t>
  </si>
  <si>
    <t>https://drive.google.com/file/d/18m-GhikGcOGMT7OjAepqjJ1ZseHP7F1q/view?usp=sharing</t>
  </si>
  <si>
    <t>00c642b7</t>
  </si>
  <si>
    <t>Kansas City Chiefs vs Buffalo Bills - NFL</t>
  </si>
  <si>
    <t>https://www.vidio.com/live/19548-national-football-league-2025-26?schedule_id=4690715</t>
  </si>
  <si>
    <t>SUBHEADLINE , GRANDE , THUMBNAIL</t>
  </si>
  <si>
    <t>https://drive.google.com/drive/folders/1TrlT_rcXdUiqKRyaGaDfRhAcalgxoPep?usp=drive_link</t>
  </si>
  <si>
    <t>Nonton streaming pertandingan seru Kansas City Chiefs vs Buffalo Bills - NFL. Saksikan aksi-aksi terbaik dari tim yang bersaing ketat untuk meraih kemenangan. Dapatkan informasi lengkap mengenai jadwal pertandingan dan hasil pertandingan terbaru hanya di Vidio.</t>
  </si>
  <si>
    <t>SEO
Socmed (IGF + IGS)
CRM (PN + InApp)</t>
  </si>
  <si>
    <t>https://3.basecamp.com/4902751/buckets/36763424/card_tables/cards/9207245094</t>
  </si>
  <si>
    <t>https://drive.google.com/file/d/1awW8O8LoNdRq1NBXvH2FUIpUv63dz5e9/view?usp=sharing</t>
  </si>
  <si>
    <t>https://drive.google.com/file/d/1KOwBfVmGN_TqnnKccTwcqPa-dTasT6y7/view?usp=sharing</t>
  </si>
  <si>
    <t>eaf4cad9</t>
  </si>
  <si>
    <t>Seattle Seahawks vs Washington Commanders - NFL</t>
  </si>
  <si>
    <t>https://www.vidio.com/live/19623-national-football-league-2025-26?schedule_id=4690713</t>
  </si>
  <si>
    <t>https://drive.google.com/drive/folders/1ZsJ8EHmOlEndbPUvtCiVkDjJ5guer-xy?usp=drive_link</t>
  </si>
  <si>
    <t>Nonton streaming pertandingan seru Seattle Seahawks vs Washington Commanders - NFL. Saksikan aksi-aksi terbaik dari tim yang bersaing ketat untuk meraih kemenangan. Dapatkan informasi lengkap mengenai jadwal pertandingan dan hasil pertandingan terbaru hanya di Vidio.</t>
  </si>
  <si>
    <t>https://drive.google.com/file/d/1970ulQncEY5M93iYXi0RDdzHP5-6Go-C/view?usp=sharing</t>
  </si>
  <si>
    <t>https://drive.google.com/file/d/1MowvqPMU1c8rAhpPBaP7OuPk8SQ6KmhG/view?usp=sharing</t>
  </si>
  <si>
    <t>d19b0224</t>
  </si>
  <si>
    <t>https://www.vidio.com/live/6317-bein-3?schedule_id=4669421</t>
  </si>
  <si>
    <t>39068c1f</t>
  </si>
  <si>
    <t>Jelang Kick Off - PERSIJA vs PSBS Biak  - BRI Super League</t>
  </si>
  <si>
    <t>https://www.vidio.com/live/19355-bri-super-league?schedule_id=4674547</t>
  </si>
  <si>
    <t>Nonton streaming pertandingan seru Jelang Kick Off - PERSIJA vs PSBS Biak  - BRI Super League. Saksikan aksi-aksi terbaik dari tim yang bersaing ketat untuk meraih kemenangan. Dapatkan informasi lengkap mengenai jadwal pertandingan dan hasil pertandingan terbaru hanya di Vidio.</t>
  </si>
  <si>
    <t>https://drive.google.com/file/d/1U-19I0cnZXvy4MrjVUXjErFwSU8luica/view?usp=sharing</t>
  </si>
  <si>
    <t>34c9b085</t>
  </si>
  <si>
    <t>Jelang Kick Off - Bali United FC vs PERSIB - BRI Super League</t>
  </si>
  <si>
    <t>https://www.vidio.com/live/19355-bri-super-league?schedule_id=4674556</t>
  </si>
  <si>
    <t>https://drive.google.com/drive/folders/18D4p7q-Pa5CK3xI3OXVjLAkHhojdCzhC</t>
  </si>
  <si>
    <t>Nonton streaming pertandingan seru Jelang Kick Off - Bali United FC vs PERSIB - BRI Super League. Saksikan aksi-aksi terbaik dari tim yang bersaing ketat untuk meraih kemenangan. Dapatkan informasi lengkap mengenai jadwal pertandingan dan hasil pertandingan terbaru hanya di Vidio.</t>
  </si>
  <si>
    <t>https://drive.google.com/file/d/1r31Krz12sb0WsbylIDpSYMBsglmvXPU2/view?usp=drive_link</t>
  </si>
  <si>
    <t>62b2529a</t>
  </si>
  <si>
    <t>Jelang Kick Off - PERSEBAYA Surabaya vs PERSIS - BRI Super League</t>
  </si>
  <si>
    <t>https://www.vidio.com/live/19355-bri-super-league?schedule_id=4674557</t>
  </si>
  <si>
    <t>Nonton streaming pertandingan seru Jelang Kick Off - PERSEBAYA Surabaya vs PERSIS - BRI Super League. Saksikan aksi-aksi terbaik dari tim yang bersaing ketat untuk meraih kemenangan. Dapatkan informasi lengkap mengenai jadwal pertandingan dan hasil pertandingan terbaru hanya di Vidio.</t>
  </si>
  <si>
    <t>https://drive.google.com/file/d/1E6MjzZ2rfD_xBDtpYAB-AgJQ9QlslRym/view?usp=drive_link</t>
  </si>
  <si>
    <t>6616dae8</t>
  </si>
  <si>
    <t>(Data Zone) Arsenal vs Tottenham - Premier League</t>
  </si>
  <si>
    <t>https://www.vidio.com/live/9183-champions-tv-6?schedule_id=4726072</t>
  </si>
  <si>
    <t>Nonton streaming pertandingan seru (Data Zone) Arsenal vs Tottenham - Premier League. Saksikan aksi-aksi terbaik dari tim yang bersaing ketat untuk meraih kemenangan. Dapatkan informasi lengkap mengenai jadwal pertandingan dan hasil pertandingan terbaru hanya di Vidio.</t>
  </si>
  <si>
    <t>17b829b4</t>
  </si>
  <si>
    <t>Matchday 8 - Top Youth Premier League</t>
  </si>
  <si>
    <t>https://www.vidio.com/live/19745-top-youth-premier-league-2025-matchday-8</t>
  </si>
  <si>
    <t>Nonton streaming pertandingan seru Matchday 8 - Top Youth Premier League. Saksikan aksi-aksi terbaik dari tim yang bersaing ketat untuk meraih kemenangan. Dapatkan informasi lengkap mengenai jadwal pertandingan dan hasil pertandingan terbaru hanya di Vidio.</t>
  </si>
  <si>
    <t>3ffcaec0</t>
  </si>
  <si>
    <t>ASIOP BIRU vs FOLK FOOTBALL -  Top Youth Premier League 2025 U-9</t>
  </si>
  <si>
    <t>https://www.vidio.com/live/19745-top-youth-premier-league-2025-matchday-8?schedule_id=4670864</t>
  </si>
  <si>
    <t>Nonton streaming pertandingan seru ASIOP BIRU vs FOLK FOOTBALL -  Top Youth Premier League 2025 U-9. Saksikan aksi-aksi terbaik dari tim yang bersaing ketat untuk meraih kemenangan. Dapatkan informasi lengkap mengenai jadwal pertandingan dan hasil pertandingan terbaru hanya di Vidio.</t>
  </si>
  <si>
    <t>85a42063</t>
  </si>
  <si>
    <t>PUTRA NUSANTARA vs CS PRIVATE - Top Youth Premier League U-10</t>
  </si>
  <si>
    <t>https://www.vidio.com/live/19745-top-youth-premier-league-2025-matchday-8?schedule_id=4670867</t>
  </si>
  <si>
    <t>Nonton streaming pertandingan seru PUTRA NUSANTARA vs CS PRIVATE - Top Youth Premier League U-10. Saksikan aksi-aksi terbaik dari tim yang bersaing ketat untuk meraih kemenangan. Dapatkan informasi lengkap mengenai jadwal pertandingan dan hasil pertandingan terbaru hanya di Vidio.</t>
  </si>
  <si>
    <t>0ea39655</t>
  </si>
  <si>
    <t>CITRA MUDA BEKASI vs RAGA NEGERI - Top Youth Premier League 2025 U-12</t>
  </si>
  <si>
    <t>https://www.vidio.com/live/19745-top-youth-premier-league-2025-matchday-8?schedule_id=4670873</t>
  </si>
  <si>
    <t>Nonton streaming pertandingan seru CITRA MUDA BEKASI vs RAGA NEGERI - Top Youth Premier League 2025 U-12. Saksikan aksi-aksi terbaik dari tim yang bersaing ketat untuk meraih kemenangan. Dapatkan informasi lengkap mengenai jadwal pertandingan dan hasil pertandingan terbaru hanya di Vidio.</t>
  </si>
  <si>
    <t>aa4485a9</t>
  </si>
  <si>
    <t>YOUNG WARRIOR ACHILLES vs BINNA BANUA - Top Youth Premier League 2025 U-11</t>
  </si>
  <si>
    <t>https://www.vidio.com/live/19745-top-youth-premier-league-2025-matchday-8?schedule_id=4670870</t>
  </si>
  <si>
    <t>Nonton streaming pertandingan seru YOUNG WARRIOR ACHILLES vs BINNA BANUA - Top Youth Premier League 2025 U-11. Saksikan aksi-aksi terbaik dari tim yang bersaing ketat untuk meraih kemenangan. Dapatkan informasi lengkap mengenai jadwal pertandingan dan hasil pertandingan terbaru hanya di Vidio.</t>
  </si>
  <si>
    <t>f7ef78d9</t>
  </si>
  <si>
    <t>Borussia Academy vs Putra Nusantara - Top Youth Premier League 2025 U-10</t>
  </si>
  <si>
    <t>https://www.vidio.com/live/19745-top-youth-premier-league-2025-matchday-8?schedule_id=4670902</t>
  </si>
  <si>
    <t>Nonton streaming pertandingan seru Borussia Academy vs Putra Nusantara - Top Youth Premier League 2025 U-10. Saksikan aksi-aksi terbaik dari tim yang bersaing ketat untuk meraih kemenangan. Dapatkan informasi lengkap mengenai jadwal pertandingan dan hasil pertandingan terbaru hanya di Vidio.</t>
  </si>
  <si>
    <t>8dc3971b</t>
  </si>
  <si>
    <t>PRO DIRECT ACADEMY vs GRAND YOUNG KIDS SS - Top Youth Premier League U-9</t>
  </si>
  <si>
    <t>https://www.vidio.com/live/19745-top-youth-premier-league-2025-matchday-8?schedule_id=4670868</t>
  </si>
  <si>
    <t>Nonton streaming pertandingan seru PRO DIRECT ACADEMY vs GRAND YOUNG KIDS SS - Top Youth Premier League U-9. Saksikan aksi-aksi terbaik dari tim yang bersaing ketat untuk meraih kemenangan. Dapatkan informasi lengkap mengenai jadwal pertandingan dan hasil pertandingan terbaru hanya di Vidio.</t>
  </si>
  <si>
    <t>e1ea2b29</t>
  </si>
  <si>
    <t>NAWASENA vs APEX FOOTBALL - Top Youth Premier League 2025 U-11</t>
  </si>
  <si>
    <t>https://www.vidio.com/live/19745-top-youth-premier-league-2025-matchday-8?schedule_id=4670871</t>
  </si>
  <si>
    <t>Nonton streaming pertandingan seru NAWASENA vs APEX FOOTBALL - Top Youth Premier League 2025 U-11. Saksikan aksi-aksi terbaik dari tim yang bersaing ketat untuk meraih kemenangan. Dapatkan informasi lengkap mengenai jadwal pertandingan dan hasil pertandingan terbaru hanya di Vidio.</t>
  </si>
  <si>
    <t>f12e4997</t>
  </si>
  <si>
    <t>ASIOP MERAH vs MAESA -  Top Youth Premier League 2025 U-9</t>
  </si>
  <si>
    <t>https://www.vidio.com/live/19745-top-youth-premier-league-2025-matchday-8?schedule_id=4670866</t>
  </si>
  <si>
    <t>Nonton streaming pertandingan seru ASIOP MERAH vs MAESA -  Top Youth Premier League 2025 U-9. Saksikan aksi-aksi terbaik dari tim yang bersaing ketat untuk meraih kemenangan. Dapatkan informasi lengkap mengenai jadwal pertandingan dan hasil pertandingan terbaru hanya di Vidio.</t>
  </si>
  <si>
    <t>cf3225f7</t>
  </si>
  <si>
    <t>https://www.vidio.com/live/19745-top-youth-premier-league-2025-matchday-8?schedule_id=4670874</t>
  </si>
  <si>
    <t>30208b9c</t>
  </si>
  <si>
    <t>FFF WEST vs SUKMAJAYA - Top Youth Premier League U-11</t>
  </si>
  <si>
    <t>https://www.vidio.com/live/19745-top-youth-premier-league-2025-matchday-8?schedule_id=4670869</t>
  </si>
  <si>
    <t>Nonton streaming pertandingan seru FFF WEST vs SUKMAJAYA - Top Youth Premier League U-11. Saksikan aksi-aksi terbaik dari tim yang bersaing ketat untuk meraih kemenangan. Dapatkan informasi lengkap mengenai jadwal pertandingan dan hasil pertandingan terbaru hanya di Vidio.</t>
  </si>
  <si>
    <t>b9a1ad8f</t>
  </si>
  <si>
    <t>SSJ ARCAMANIK vs FU15FA - Top Youth Premier League 2025 U-11</t>
  </si>
  <si>
    <t>https://www.vidio.com/live/19745-top-youth-premier-league-2025-matchday-8?schedule_id=4670872</t>
  </si>
  <si>
    <t>Nonton streaming pertandingan seru SSJ ARCAMANIK vs FU15FA - Top Youth Premier League 2025 U-11. Saksikan aksi-aksi terbaik dari tim yang bersaing ketat untuk meraih kemenangan. Dapatkan informasi lengkap mengenai jadwal pertandingan dan hasil pertandingan terbaru hanya di Vidio.</t>
  </si>
  <si>
    <t>f77f2a89</t>
  </si>
  <si>
    <t>ASIOP BIRU vs MC UTAMA - Top Youth Premier League 2025 U-12</t>
  </si>
  <si>
    <t>https://www.vidio.com/live/19745-top-youth-premier-league-2025-matchday-8?schedule_id=4670875</t>
  </si>
  <si>
    <t>Nonton streaming pertandingan seru ASIOP BIRU vs MC UTAMA - Top Youth Premier League 2025 U-12. Saksikan aksi-aksi terbaik dari tim yang bersaing ketat untuk meraih kemenangan. Dapatkan informasi lengkap mengenai jadwal pertandingan dan hasil pertandingan terbaru hanya di Vidio.</t>
  </si>
  <si>
    <t>cedc78c0</t>
  </si>
  <si>
    <t>Spor Toto vs Akkus Bld - Turkish Men's Volleyball League</t>
  </si>
  <si>
    <t>https://www.vidio.com/live/19737-turkish-men-s-volleyball-league?schedule_id=4675261</t>
  </si>
  <si>
    <t>https://drive.google.com/drive/folders/1d6t8lkbvvrd5cZPWWDub0lu5OGdChhHT?usp=sharing</t>
  </si>
  <si>
    <t>Nonton streaming pertandingan seru Spor Toto vs Akkus Bld - Turkish Men's Volleyball League. Saksikan aksi-aksi terbaik dari tim yang bersaing ketat untuk meraih kemenangan. Dapatkan informasi lengkap mengenai jadwal pertandingan dan hasil pertandingan terbaru hanya di Vidio.</t>
  </si>
  <si>
    <t>https://drive.google.com/file/d/1_Onjmwurj1w7xAXRi_51bFmkyG0yLJ5P/view?usp=sharing</t>
  </si>
  <si>
    <t>00b312a8</t>
  </si>
  <si>
    <t>Rajadamnern 2025 Bantamweight Title</t>
  </si>
  <si>
    <t>https://www.vidio.com/live/19388-rws-muay-thai-2025?schedule_id=4675141</t>
  </si>
  <si>
    <t>https://drive.google.com/drive/folders/1tsqmnQzM2-0kzS7jYugbeKAXw542J_ka</t>
  </si>
  <si>
    <t>https://drive.google.com/drive/folders/1qf_y2HsE5m6GGl0tW7F6KEpGSg88zvzQ?usp=drive_link</t>
  </si>
  <si>
    <t>Nonton streaming pertandingan seru Rajadamnern 2025 Bantamweight Title. Saksikan aksi-aksi terbaik dari tim yang bersaing ketat untuk meraih kemenangan. Dapatkan informasi lengkap mengenai jadwal pertandingan dan hasil pertandingan terbaru hanya di Vidio.</t>
  </si>
  <si>
    <t>https://drive.google.com/file/d/1cFEzKX4BMPhD2irx_1Ac5LBs8VFeTcfX/view?usp=sharing</t>
  </si>
  <si>
    <t>https://drive.google.com/file/d/1IPQ43MiOuXCZ6erOx3xoQiDkFCQEYOWr/view?usp=sharing</t>
  </si>
  <si>
    <t>284abfdd</t>
  </si>
  <si>
    <t>Mary Spencer vs Mikaela Mayer - WBA Super Welterweight World Title</t>
  </si>
  <si>
    <t>https://www.vidio.com/live/6685-champions-tv-1?schedule_id=4678460</t>
  </si>
  <si>
    <t>https://drive.google.com/drive/folders/1voCB-Wb6DOpWG4mq3lw8v2aPp_z8_Ms5?usp=drive_link</t>
  </si>
  <si>
    <t>Nonton streaming pertandingan seru Mary Spencer vs Mikaela Mayer - WBA Super Welterweight World Title. Saksikan aksi-aksi terbaik dari tim yang bersaing ketat untuk meraih kemenangan. Dapatkan informasi lengkap mengenai jadwal pertandingan dan hasil pertandingan terbaru hanya di Vidio.</t>
  </si>
  <si>
    <t>https://drive.google.com/file/d/16fJULZOedYgAFBzOViv_i0OQGnEYzGGj/view?usp=sharing</t>
  </si>
  <si>
    <t>https://drive.google.com/file/d/1H-LUH1R0J3x3SQ3rCslFXWS-vj0TO2e-/view?usp=sharing</t>
  </si>
  <si>
    <t>14431dc2</t>
  </si>
  <si>
    <t>Changwon LG Sakers vs New Taipei Kings - EASL</t>
  </si>
  <si>
    <t>https://www.vidio.com/live/17926-easl?schedule_id=4677384</t>
  </si>
  <si>
    <t>https://drive.google.com/drive/folders/1Bj6aUZlzIfTN5w-AiOBEHibZCSHG6K_d?usp=drive_link</t>
  </si>
  <si>
    <t>Changwon LG Sakers</t>
  </si>
  <si>
    <t>Changwon LG Sakers; new taipei kings; sports stream</t>
  </si>
  <si>
    <t>Nonton streaming pertandingan seru Changwon LG Sakers vs New Taipei Kings - EASL. Saksikan aksi-aksi terbaik dari tim yang bersaing ketat untuk meraih kemenangan. Dapatkan informasi lengkap mengenai jadwal pertandingan dan hasil pertandingan terbaru hanya di Vidio.</t>
  </si>
  <si>
    <t>https://drive.google.com/file/d/1m80niy4RggwLJmqaxZyMbAqq6pZxLhWq/view?usp=sharing</t>
  </si>
  <si>
    <t>https://drive.google.com/file/d/19kxxACxrjz78eOV1zLcc5ESUfT1HKdFX/view?usp=sharing</t>
  </si>
  <si>
    <t>76bcd343</t>
  </si>
  <si>
    <t>Ulaanbaatar Xac Broncos vs New Taipei Kings - EASL</t>
  </si>
  <si>
    <t>https://www.vidio.com/live/17926-easl?schedule_id=4677638</t>
  </si>
  <si>
    <t>https://drive.google.com/drive/folders/1P26qjV_RdDoL181jh5scubcXC5IU8rgM?usp=drive_link</t>
  </si>
  <si>
    <t>Ulaanbaatar Xac Broncos; new taipei kings; sports stream</t>
  </si>
  <si>
    <t>Nonton streaming pertandingan seru Ulaanbaatar Xac Broncos vs New Taipei Kings - EASL. Saksikan aksi-aksi terbaik dari tim yang bersaing ketat untuk meraih kemenangan. Dapatkan informasi lengkap mengenai jadwal pertandingan dan hasil pertandingan terbaru hanya di Vidio.</t>
  </si>
  <si>
    <t>https://drive.google.com/file/d/1NS8fJUYFgkKj8UW3uzCAfsk1uWwNkGXW/view?usp=sharing</t>
  </si>
  <si>
    <t>https://drive.google.com/file/d/1ZtOsuVMYRivZYR5_soGaBbW0iTnQXjqP/view?usp=sharing</t>
  </si>
  <si>
    <t>c2a14512</t>
  </si>
  <si>
    <t>Taoyuan Pauian Pilots vs Meralco Bolts - EASL</t>
  </si>
  <si>
    <t>https://www.vidio.com/live/17926-easl?schedule_id=4677639</t>
  </si>
  <si>
    <t>https://drive.google.com/drive/folders/1QfvsC4o0qJOK23uLEPOrmQ1uKQAp7Bs7?usp=drive_link</t>
  </si>
  <si>
    <t>taoyuan pauian pilots; meralco bolts; sports stream</t>
  </si>
  <si>
    <t>Nonton streaming pertandingan seru Taoyuan Pauian Pilots vs Meralco Bolts - EASL. Saksikan aksi-aksi terbaik dari tim yang bersaing ketat untuk meraih kemenangan. Dapatkan informasi lengkap mengenai jadwal pertandingan dan hasil pertandingan terbaru hanya di Vidio.</t>
  </si>
  <si>
    <t>https://drive.google.com/file/d/1e5vrRE_sln-GkiQa7aRoy0xs_PdSWJgX/view?usp=sharing</t>
  </si>
  <si>
    <t>https://drive.google.com/file/d/17mAK1a7uN_84O47utJbSWH5Eq6umXFwZ/view?usp=sharing</t>
  </si>
  <si>
    <t>7dcdcfd7</t>
  </si>
  <si>
    <t>Ulaanbaatar Xac Broncos vs Changwon LG Sakers - EASL</t>
  </si>
  <si>
    <t>https://www.vidio.com/live/19672-easl?schedule_id=4684715</t>
  </si>
  <si>
    <t>https://drive.google.com/drive/folders/1SheZPpIntJIdG0IfKlryIhCN0JIgGMDM?usp=drive_link</t>
  </si>
  <si>
    <t>Ulaanbaatar Xac Broncos; Changwon LG Sakers; sports stream</t>
  </si>
  <si>
    <t>Nonton streaming pertandingan seru Ulaanbaatar Xac Broncos vs Changwon LG Sakers - EASL. Saksikan aksi-aksi terbaik dari tim yang bersaing ketat untuk meraih kemenangan. Dapatkan informasi lengkap mengenai jadwal pertandingan dan hasil pertandingan terbaru hanya di Vidio.</t>
  </si>
  <si>
    <t>https://drive.google.com/file/d/1XCxfnI1ioqfknLrlbaYJoKOLNR_OJ62N/view?usp=sharing</t>
  </si>
  <si>
    <t>https://drive.google.com/file/d/11Wo7MF0aJ_ohr-s5jF8SQPgi5Xcoxisk/view?usp=sharing</t>
  </si>
  <si>
    <t>78c413af</t>
  </si>
  <si>
    <t>Meralco Bolts vs Taoyuan Pauian Pilots - EASL</t>
  </si>
  <si>
    <t>https://www.vidio.com/live/19672-easl?schedule_id=4701948</t>
  </si>
  <si>
    <t>https://drive.google.com/drive/folders/11hrc9dSj3OEx18zXbwivYRxbAsNbNNwF?usp=drive_link</t>
  </si>
  <si>
    <t>meralco bolts; taoyuan pauian pilots; sports stream</t>
  </si>
  <si>
    <t>Nonton streaming pertandingan seru Meralco Bolts vs Taoyuan Pauian Pilots - EASL. Saksikan aksi-aksi terbaik dari tim yang bersaing ketat untuk meraih kemenangan. Dapatkan informasi lengkap mengenai jadwal pertandingan dan hasil pertandingan terbaru hanya di Vidio.</t>
  </si>
  <si>
    <t>https://drive.google.com/file/d/1LhXXNzQ4VSeyNzphoXTFHTY4lQjiRHkb/view?usp=sharing</t>
  </si>
  <si>
    <t>https://drive.google.com/file/d/1j3BdxBl14L7fhTKRUNDF7tInEYmdmBi-/view?usp=sharing</t>
  </si>
  <si>
    <t>adbb7cd9</t>
  </si>
  <si>
    <t>Seoul SK Knights vs Hong Kong Eastern - EASL</t>
  </si>
  <si>
    <t>https://www.vidio.com/live/19672-easl?schedule_id=4713705</t>
  </si>
  <si>
    <t>https://drive.google.com/drive/folders/18pUAOYFNtIuVxoldRVvoz_ru0dH6BVyr?usp=drive_link</t>
  </si>
  <si>
    <t>Hong Kong Eastern</t>
  </si>
  <si>
    <t>Seoul SK Knights; hong kong eastern; sports stream</t>
  </si>
  <si>
    <t>Nonton streaming pertandingan seru Seoul SK Knights vs Hong Kong Eastern - EASL. Saksikan aksi-aksi terbaik dari tim yang bersaing ketat untuk meraih kemenangan. Dapatkan informasi lengkap mengenai jadwal pertandingan dan hasil pertandingan terbaru hanya di Vidio.</t>
  </si>
  <si>
    <t>https://drive.google.com/file/d/1RqHy7bfSFGrnnPT6a7LChV7q2xEJLF0a/view?usp=sharing</t>
  </si>
  <si>
    <t>https://drive.google.com/file/d/10GpyZn5X8WAwGP4nKK4i0KX70aKRSZAO/view?usp=sharing</t>
  </si>
  <si>
    <t>f747c52e</t>
  </si>
  <si>
    <t>Meralco Bolts vs Macau Black Bears - EASL</t>
  </si>
  <si>
    <t>https://www.vidio.com/live/19672-easl?schedule_id=4714276</t>
  </si>
  <si>
    <t>https://drive.google.com/drive/folders/1DuOgzyd6ABgMW0v2fY6R2gfyKRE8THBD?usp=drive_link</t>
  </si>
  <si>
    <t>Macau Black Bears</t>
  </si>
  <si>
    <t>meralco bolts; macau black bears; sports stream</t>
  </si>
  <si>
    <t>Nonton streaming pertandingan seru Meralco Bolts vs Macau Black Bears - EASL. Saksikan aksi-aksi terbaik dari tim yang bersaing ketat untuk meraih kemenangan. Dapatkan informasi lengkap mengenai jadwal pertandingan dan hasil pertandingan terbaru hanya di Vidio.</t>
  </si>
  <si>
    <t>https://drive.google.com/file/d/1_w9SA_MdpXdp2UnZmGWBKOu4DZEmO1Cj/view?usp=sharing</t>
  </si>
  <si>
    <t>https://drive.google.com/file/d/1zRKZPDEsKwb9aE-xnT1JrYs3Ktrj3sdh/view?usp=sharing</t>
  </si>
  <si>
    <t>f1d4dfcd</t>
  </si>
  <si>
    <t>New Taipei Kings vs Changwon LG Sakers - EASL</t>
  </si>
  <si>
    <t>https://www.vidio.com/live/19672-easl?schedule_id=4720761</t>
  </si>
  <si>
    <t>https://drive.google.com/drive/folders/1J64CF5MlbKqe9SerfNUrf5Ys7UZsn1Xa?usp=drive_link</t>
  </si>
  <si>
    <t>new taipei kings; Changwon LG Sakers; sports stream</t>
  </si>
  <si>
    <t>Nonton streaming pertandingan seru New Taipei Kings vs Changwon LG Sakers - EASL. Saksikan aksi-aksi terbaik dari tim yang bersaing ketat untuk meraih kemenangan. Dapatkan informasi lengkap mengenai jadwal pertandingan dan hasil pertandingan terbaru hanya di Vidio.</t>
  </si>
  <si>
    <t>https://drive.google.com/file/d/1in3C58oMnDliU7myqIUPVHJn8kfyDynR/view?usp=sharing</t>
  </si>
  <si>
    <t>https://drive.google.com/file/d/1NkaHQwMfTD6-t_j4LzRWQkbXoStuVEqb/view?usp=sharing</t>
  </si>
  <si>
    <t>79789b41</t>
  </si>
  <si>
    <t>Arsenal vs Chelsea - Women's Super League</t>
  </si>
  <si>
    <t>https://www.vidio.com/live/17875-bein-2?schedule_id=4707851</t>
  </si>
  <si>
    <t>https://drive.google.com/drive/folders/1m3jI2vpiL1q21XqmUh3hC1fh9ka62CCD</t>
  </si>
  <si>
    <t>https://drive.google.com/drive/folders/1Lqggo2yol8Yqr0inT3BM87HkcihNTsMf?usp=drive_link</t>
  </si>
  <si>
    <t>Nonton streaming pertandingan seru Arsenal vs Chelsea - Women's Super League. Saksikan aksi-aksi terbaik dari tim yang bersaing ketat untuk meraih kemenangan. Dapatkan informasi lengkap mengenai jadwal pertandingan dan hasil pertandingan terbaru hanya di Vidio.</t>
  </si>
  <si>
    <t>Arsenal: Alessia Russo &amp; Mariona Caldentey
Chelsea: Sam Kerr &amp; Keira Walsh</t>
  </si>
  <si>
    <t>https://drive.google.com/file/d/18zIasyRq4L2oi2j8gIuS9ANQ8AvKTssI/view?usp=sharing</t>
  </si>
  <si>
    <t>https://drive.google.com/file/d/1f-8L6-Bh1znqN6YJTBxhHb6g7qZY6C6b/view?usp=drive_link</t>
  </si>
  <si>
    <t>https://drive.google.com/file/d/1nuU8NFE0mkU2aSmHZAtrX6WYvSYG-2B3/view?usp=sharing</t>
  </si>
  <si>
    <t>34a12b22</t>
  </si>
  <si>
    <t>Chelsea vs London City Lionesses - Women's Super League</t>
  </si>
  <si>
    <t>https://www.vidio.com/live/6317-bein-3?schedule_id=4684495</t>
  </si>
  <si>
    <t>https://drive.google.com/drive/folders/1eygIYKSfEJop6OQYwY9XDjykJH9Ilz0f</t>
  </si>
  <si>
    <t>London City Lionesses</t>
  </si>
  <si>
    <t>chelsea fc; London City Lionesses; sports stream</t>
  </si>
  <si>
    <t>Nonton streaming pertandingan seru Chelsea vs London City Lionesses - Women's Super League. Saksikan aksi-aksi terbaik dari tim yang bersaing ketat untuk meraih kemenangan. Dapatkan informasi lengkap mengenai jadwal pertandingan dan hasil pertandingan terbaru hanya di Vidio.</t>
  </si>
  <si>
    <t>Chelsea: Beever-Jones &amp; Sam Kerr
London: Asslani &amp; Nikita Parris</t>
  </si>
  <si>
    <t>https://drive.google.com/file/d/18RbrmUoJ9cfBvs6TChmpDYKyohZAMHiC/view?usp=sharing</t>
  </si>
  <si>
    <t>https://drive.google.com/file/d/1G3BAFT4pkNBmOe0VQvMimB_ZZrL-j3Gz/view?usp=sharing</t>
  </si>
  <si>
    <t>9650c316</t>
  </si>
  <si>
    <t>Leicester vs Arsenal - Women's Super League</t>
  </si>
  <si>
    <t>https://www.vidio.com/live/6317-bein-3?schedule_id=4684496</t>
  </si>
  <si>
    <t>https://drive.google.com/drive/folders/13ejZiJ1SzwX1008xz4i6I2VIeNTtZ7PM</t>
  </si>
  <si>
    <t>Leicester City Women</t>
  </si>
  <si>
    <t>leicester city fc; arsenal fc; sports stream</t>
  </si>
  <si>
    <t>Nonton streaming pertandingan seru Leicester vs Arsenal - Women's Super League. Saksikan aksi-aksi terbaik dari tim yang bersaing ketat untuk meraih kemenangan. Dapatkan informasi lengkap mengenai jadwal pertandingan dan hasil pertandingan terbaru hanya di Vidio.</t>
  </si>
  <si>
    <t>Leicester: Janice Cayman &amp; Asmita Ale
Arsenal: Chloe Kelly &amp; Emily Fox</t>
  </si>
  <si>
    <t>https://drive.google.com/file/d/1bOh03ZkBEsDPB_mFRIyndnVjVBpIVQmM/view?usp=sharing</t>
  </si>
  <si>
    <t>https://drive.google.com/file/d/1lWfv_DSSMEQnftyP8cqYxMAajm2ZyBr-/view?usp=sharing</t>
  </si>
  <si>
    <t>26ccd11e</t>
  </si>
  <si>
    <t>Liverpool vs Brighton - Women's Super League</t>
  </si>
  <si>
    <t>https://www.vidio.com/live/6317-bein-3?schedule_id=4708914</t>
  </si>
  <si>
    <t>https://drive.google.com/drive/folders/1fB5bHnkg54Pod5soA22MuWWNyFxMI5gw</t>
  </si>
  <si>
    <t>Nonton streaming pertandingan seru Liverpool vs Brighton - Women's Super League. Saksikan aksi-aksi terbaik dari tim yang bersaing ketat untuk meraih kemenangan. Dapatkan informasi lengkap mengenai jadwal pertandingan dan hasil pertandingan terbaru hanya di Vidio.</t>
  </si>
  <si>
    <t>Liverpool: Nagano &amp; Roman Haug
Brighton: Seike &amp; Sydmonds</t>
  </si>
  <si>
    <t>https://drive.google.com/file/d/13-mXxpjIF1dJWl3vNW2UHUNnmaUmkG1C/view?usp=sharing</t>
  </si>
  <si>
    <t>https://drive.google.com/file/d/1m2TtjWBi2pCUnATq8POY3-Z0_EVy2axQ/view?usp=drive_link</t>
  </si>
  <si>
    <t>https://drive.google.com/file/d/1QaSbZQjkYnRSzV9bcto11cI9W5Qb1few/view?usp=sharing</t>
  </si>
  <si>
    <t>46eb6bfd</t>
  </si>
  <si>
    <t>PSG vs Bayern - UEFA Youth League</t>
  </si>
  <si>
    <t>https://www.vidio.com/live/6299-bein-1?schedule_id=4700055</t>
  </si>
  <si>
    <t>https://drive.google.com/drive/folders/1v5_wS23YC64ngB9P4oU1KHtc3SsAAf9Z?usp=drive_link</t>
  </si>
  <si>
    <t>https://drive.google.com/drive/folders/1jnPtEFoItuGBNqN4PQqbKsrtrVDFZKmb?usp=drive_link</t>
  </si>
  <si>
    <t>Nonton streaming pertandingan seru PSG vs Bayern - UEFA Youth League. Saksikan aksi-aksi terbaik dari tim yang bersaing ketat untuk meraih kemenangan. Dapatkan informasi lengkap mengenai jadwal pertandingan dan hasil pertandingan terbaru hanya di Vidio.</t>
  </si>
  <si>
    <t>https://drive.google.com/file/d/1R5EhG0f7xvfu1dyxwKYJKpi7iCxNkVHC/view?usp=sharing</t>
  </si>
  <si>
    <t>https://drive.google.com/file/d/1IzN0PzjWX4F-pUnBbxQEqKxacbV8OFJW/view?usp=drive_link</t>
  </si>
  <si>
    <t>aee743e0</t>
  </si>
  <si>
    <t>Liverpool vs Real Madrid - UEFA Youth League</t>
  </si>
  <si>
    <t>https://www.vidio.com/live/6299-bein-1?schedule_id=4700056</t>
  </si>
  <si>
    <t>https://drive.google.com/drive/folders/1fQHbgYpu_BkMh2a1bpfWemX77pEvgKfX?usp=drive_link</t>
  </si>
  <si>
    <t>Nonton streaming pertandingan seru Liverpool vs Real Madrid - UEFA Youth League. Saksikan aksi-aksi terbaik dari tim yang bersaing ketat untuk meraih kemenangan. Dapatkan informasi lengkap mengenai jadwal pertandingan dan hasil pertandingan terbaru hanya di Vidio.</t>
  </si>
  <si>
    <t>https://drive.google.com/file/d/1PY1T5W5LTs_2sVnxuwRBpEbxcMsvyp5v/view?usp=sharing</t>
  </si>
  <si>
    <t>https://drive.google.com/file/d/1Pct3lbaN3G7iQK_zsRVfsRWMttBfDXit/view?usp=drive_link</t>
  </si>
  <si>
    <t>eb69e6db</t>
  </si>
  <si>
    <t>Ajax vs Galatasaray - UEFA Youth League</t>
  </si>
  <si>
    <t>https://www.vidio.com/live/6299-bein-1?schedule_id=4704667</t>
  </si>
  <si>
    <t>https://drive.google.com/drive/folders/10yTzYKhSzW-rIH5hVPYrsZDgfsWvHiqs?usp=drive_link</t>
  </si>
  <si>
    <t>Nonton streaming pertandingan seru Ajax vs Galatasaray - UEFA Youth League. Saksikan aksi-aksi terbaik dari tim yang bersaing ketat untuk meraih kemenangan. Dapatkan informasi lengkap mengenai jadwal pertandingan dan hasil pertandingan terbaru hanya di Vidio.</t>
  </si>
  <si>
    <t>https://drive.google.com/file/d/10jac34NofOg37G0KQkUfLHxw43J7-sB_/view?usp=sharing</t>
  </si>
  <si>
    <t>https://drive.google.com/file/d/1EbsWiiPOCJCVeVVNU3yWhN9rmyBxsmJN/view?usp=drive_link</t>
  </si>
  <si>
    <t>44dc0ee6</t>
  </si>
  <si>
    <t>Newcastle vs Athletic Club - UEFA Youth League</t>
  </si>
  <si>
    <t>https://www.vidio.com/live/6299-bein-1?schedule_id=4704668</t>
  </si>
  <si>
    <t>https://drive.google.com/drive/folders/1ykj1EUyteVRtDkupDIyYDBnCw5NYTOcH?usp=drive_link</t>
  </si>
  <si>
    <t>Nonton streaming pertandingan seru Newcastle vs Athletic Club - UEFA Youth League. Saksikan aksi-aksi terbaik dari tim yang bersaing ketat untuk meraih kemenangan. Dapatkan informasi lengkap mengenai jadwal pertandingan dan hasil pertandingan terbaru hanya di Vidio.</t>
  </si>
  <si>
    <t>https://drive.google.com/file/d/10sJmV1c_uNq2YQfGZU03m2ZnJhg0UPVE/view?usp=sharing</t>
  </si>
  <si>
    <t>https://drive.google.com/file/d/14Mws2idxJ1bP5riK_7F0PIvf4h3EZDfy/view?usp=drive_link</t>
  </si>
  <si>
    <t>0f21eb07</t>
  </si>
  <si>
    <t>https://www.vidio.com/live/19671-easl?schedule_id=4759263</t>
  </si>
  <si>
    <t>https://drive.google.com/drive/folders/1oQWGEFAdXC1dIbpalO6iQixjdKVlkp2v?usp=drive_link</t>
  </si>
  <si>
    <t>https://drive.google.com/file/d/1wIz0CzPljYDT7qke8xhSug1mTokQuopn/view?usp=sharing</t>
  </si>
  <si>
    <t>https://drive.google.com/file/d/1Qil8PuK_SzKLHKKpAN84Q8HQwTyDWzFB/view?usp=sharing</t>
  </si>
  <si>
    <t>6260d3e1</t>
  </si>
  <si>
    <t>Ulaanbaatar Xac Broncos vs Alvark Tokyo - EASL</t>
  </si>
  <si>
    <t>Ulaanbaatar Xac Broncos; Alvark Tokyo; sports stream</t>
  </si>
  <si>
    <t>Nonton streaming pertandingan seru Ulaanbaatar Xac Broncos vs Alvark Tokyo - EASL. Saksikan aksi-aksi terbaik dari tim yang bersaing ketat untuk meraih kemenangan. Dapatkan informasi lengkap mengenai jadwal pertandingan dan hasil pertandingan terbaru hanya di Vidio.</t>
  </si>
  <si>
    <t>akinla.omari@intern.vidio.com</t>
  </si>
  <si>
    <t>73c1e14d</t>
  </si>
  <si>
    <t>New Taipei Kings vs Ulaanbaatar Xac Broncos - EASL</t>
  </si>
  <si>
    <t>https://www.vidio.com/live/19672-easl?schedule_id=4759261</t>
  </si>
  <si>
    <t>https://drive.google.com/drive/folders/1FGSmAa78D1nx1uea9N9evDT9_3U9lNYX?usp=drive_link</t>
  </si>
  <si>
    <t>new taipei kings; Ulaanbaatar Xac Broncos; sports stream</t>
  </si>
  <si>
    <t>Nonton streaming pertandingan seru New Taipei Kings vs Ulaanbaatar Xac Broncos - EASL. Saksikan aksi-aksi terbaik dari tim yang bersaing ketat untuk meraih kemenangan. Dapatkan informasi lengkap mengenai jadwal pertandingan dan hasil pertandingan terbaru hanya di Vidio.</t>
  </si>
  <si>
    <t>https://drive.google.com/file/d/1OJxs8dzfUpomWF8MIH_WBOWKas2fyBLy/view?usp=sharing</t>
  </si>
  <si>
    <t>https://drive.google.com/file/d/1Xg4pj_ReQbrVXexWi0UZPQBHX8orxpcZ/view?usp=sharing</t>
  </si>
  <si>
    <t>ff993746</t>
  </si>
  <si>
    <t>Meralco Bolts vs Ryukyu Golden Kings - EASL</t>
  </si>
  <si>
    <t>meralco bolts; ryukyu golden kings; sports stream</t>
  </si>
  <si>
    <t>Nonton streaming pertandingan seru Meralco Bolts vs Ryukyu Golden Kings - EASL. Saksikan aksi-aksi terbaik dari tim yang bersaing ketat untuk meraih kemenangan. Dapatkan informasi lengkap mengenai jadwal pertandingan dan hasil pertandingan terbaru hanya di Vidio.</t>
  </si>
  <si>
    <t>33fc3d11</t>
  </si>
  <si>
    <t>Changwon LG Sakers vs Ulaanbaatar Xac Broncos - EASL</t>
  </si>
  <si>
    <t>https://www.vidio.com/live/19671-easl?schedule_id=4769284</t>
  </si>
  <si>
    <t>https://drive.google.com/drive/folders/1vbibJhFmDNOaXskQ1Ey0pt02On9Dc9D7?usp=drive_link</t>
  </si>
  <si>
    <t>Changwon LG Sakers; Ulaanbaatar Xac Broncos; sports stream</t>
  </si>
  <si>
    <t>Nonton streaming pertandingan seru Changwon LG Sakers vs Ulaanbaatar Xac Broncos - EASL. Saksikan aksi-aksi terbaik dari tim yang bersaing ketat untuk meraih kemenangan. Dapatkan informasi lengkap mengenai jadwal pertandingan dan hasil pertandingan terbaru hanya di Vidio.</t>
  </si>
  <si>
    <t>https://drive.google.com/file/d/1hreQrppdbh_QcKUd9FofLVTjEPs9XBFu/view?usp=sharing</t>
  </si>
  <si>
    <t>https://drive.google.com/file/d/1crJMrI200Z9kf32DY3tJgZFzBbxNBC5D/view?usp=sharing</t>
  </si>
  <si>
    <t>a034e5f3</t>
  </si>
  <si>
    <t>Taipei Fubon Brave vs Hong Kong Eastern - EASL</t>
  </si>
  <si>
    <t>https://www.vidio.com/live/19671-easl?schedule_id=4773714</t>
  </si>
  <si>
    <t>https://drive.google.com/drive/folders/1u5JAyQXZcjmzNW-CrtakFijgfN4kDfhj?usp=drive_link</t>
  </si>
  <si>
    <t>Taipei Fubon Brave; hong kong eastern; sports stream</t>
  </si>
  <si>
    <t>Nonton streaming pertandingan seru Taipei Fubon Brave vs Hong Kong Eastern - EASL. Saksikan aksi-aksi terbaik dari tim yang bersaing ketat untuk meraih kemenangan. Dapatkan informasi lengkap mengenai jadwal pertandingan dan hasil pertandingan terbaru hanya di Vidio.</t>
  </si>
  <si>
    <t>https://thumbor.prod.vidiocdn.com/Kc08rLDv1fOi65RnWtgR-KnMcqE=/filters:quality(70)/vidio-media-production/uploads/image/source/51901/3ab3f9.png</t>
  </si>
  <si>
    <t>https://drive.google.com/file/d/1VGXrrvu7VudfZrSBe8T2dYd0cFmPffZk/view?usp=sharing</t>
  </si>
  <si>
    <t>50335cb3</t>
  </si>
  <si>
    <t>Utsunomiya Brex vs Taipei Fubon Brave - EASL</t>
  </si>
  <si>
    <t>Utsunomiya Brex; Taipei Fubon Brave; sports stream</t>
  </si>
  <si>
    <t>Nonton streaming pertandingan seru Utsunomiya Brex vs Taipei Fubon Brave - EASL. Saksikan aksi-aksi terbaik dari tim yang bersaing ketat untuk meraih kemenangan. Dapatkan informasi lengkap mengenai jadwal pertandingan dan hasil pertandingan terbaru hanya di Vidio.</t>
  </si>
  <si>
    <t>281b26cc</t>
  </si>
  <si>
    <t>Taoyuan Pauian Pilots vs Macau Black Bears - EASL</t>
  </si>
  <si>
    <t>https://www.vidio.com/live/19671-easl?schedule_id=4773715</t>
  </si>
  <si>
    <t>https://drive.google.com/drive/folders/1bLZz0qNvdooYXm3hcACYJZZZqN-8PAtF?usp=drive_link</t>
  </si>
  <si>
    <t>taoyuan pauian pilots; macau black bears; sports stream</t>
  </si>
  <si>
    <t>Nonton streaming pertandingan seru Taoyuan Pauian Pilots vs Macau Black Bears - EASL. Saksikan aksi-aksi terbaik dari tim yang bersaing ketat untuk meraih kemenangan. Dapatkan informasi lengkap mengenai jadwal pertandingan dan hasil pertandingan terbaru hanya di Vidio.</t>
  </si>
  <si>
    <t>https://thumbor.prod.vidiocdn.com/xH6M5yrxozq85Dj9zuLqXQC8T98=/filters:quality(70)/vidio-media-production/uploads/image/source/51902/953abf.png</t>
  </si>
  <si>
    <t>https://drive.google.com/file/d/1CxWOYWWgTkRKWrI3zqXPCmojdqT5HQgy/view?usp=sharing</t>
  </si>
  <si>
    <t>26779a48</t>
  </si>
  <si>
    <t>Seoul SK Knights vs Utsunomiya Brex - EASL</t>
  </si>
  <si>
    <t>https://www.vidio.com/live/19671-easl?schedule_id=4779501</t>
  </si>
  <si>
    <t>https://drive.google.com/drive/folders/1Lx-0OvbVFB64sVr_HpFNekla_7G2woZ3?usp=drive_link</t>
  </si>
  <si>
    <t>Seoul SK Knights; Utsunomiya Brex; sports stream</t>
  </si>
  <si>
    <t>Nonton streaming pertandingan seru Seoul SK Knights vs Utsunomiya Brex - EASL. Saksikan aksi-aksi terbaik dari tim yang bersaing ketat untuk meraih kemenangan. Dapatkan informasi lengkap mengenai jadwal pertandingan dan hasil pertandingan terbaru hanya di Vidio.</t>
  </si>
  <si>
    <t>https://thumbor.prod.vidiocdn.com/Dyaa_MaDnL2CDgKioF_vOr-8P8U=/filters:quality(70)/vidio-media-production/uploads/image/source/51971/4b488c.png</t>
  </si>
  <si>
    <t>https://drive.google.com/file/d/1OkIhbmJjM3WYlLLcmw9jtGGhIU_3rEB9/view?usp=sharing</t>
  </si>
  <si>
    <t>53662082</t>
  </si>
  <si>
    <t>Alvark Tokyo vs New Taipei Kings - EASL</t>
  </si>
  <si>
    <t>Alvark Tokyo; new taipei kings; sports stream</t>
  </si>
  <si>
    <t>Nonton streaming pertandingan seru Alvark Tokyo vs New Taipei Kings - EASL. Saksikan aksi-aksi terbaik dari tim yang bersaing ketat untuk meraih kemenangan. Dapatkan informasi lengkap mengenai jadwal pertandingan dan hasil pertandingan terbaru hanya di Vidio.</t>
  </si>
  <si>
    <t>261230f3</t>
  </si>
  <si>
    <t>Ryukyu Golden Kings vs Macau Black Bears - EASL</t>
  </si>
  <si>
    <t>https://www.vidio.com/live/17926-easl?schedule_id=4779503</t>
  </si>
  <si>
    <t>https://drive.google.com/drive/folders/17bkdw_9XkXmFIckCAcIaMzkHVeTIbOlu?usp=drive_link</t>
  </si>
  <si>
    <t>ryukyu golden kings; macau black bears; sports stream</t>
  </si>
  <si>
    <t>Nonton streaming pertandingan seru Ryukyu Golden Kings vs Macau Black Bears - EASL. Saksikan aksi-aksi terbaik dari tim yang bersaing ketat untuk meraih kemenangan. Dapatkan informasi lengkap mengenai jadwal pertandingan dan hasil pertandingan terbaru hanya di Vidio.</t>
  </si>
  <si>
    <t>https://thumbor.prod.vidiocdn.com/2yZLH3OTmVwJqbmm3jnzrOWiswo=/filters:quality(70)/vidio-media-production/uploads/image/source/51972/d7d921.png</t>
  </si>
  <si>
    <t>https://drive.google.com/file/d/1U6VRY5i3kuarTLBN7CHB1Y5vOpnqSXs9/view?usp=sharing</t>
  </si>
  <si>
    <t>6fbeb3c4</t>
  </si>
  <si>
    <t>Ryukyu Golden Kings vs Taoyuan Pauian Pilots - EASL</t>
  </si>
  <si>
    <t>ryukyu golden kings; taoyuan pauian pilots; sports stream</t>
  </si>
  <si>
    <t>Nonton streaming pertandingan seru Ryukyu Golden Kings vs Taoyuan Pauian Pilots - EASL. Saksikan aksi-aksi terbaik dari tim yang bersaing ketat untuk meraih kemenangan. Dapatkan informasi lengkap mengenai jadwal pertandingan dan hasil pertandingan terbaru hanya di Vidio.</t>
  </si>
  <si>
    <t>908c82ef</t>
  </si>
  <si>
    <t>Alvark Tokyo vs Changwon LG Sakers - EASL</t>
  </si>
  <si>
    <t>https://www.vidio.com/live/19672-easl?schedule_id=4779500</t>
  </si>
  <si>
    <t>https://drive.google.com/drive/folders/16Znwn2-X8Nng80prmwU23MIIovPrdDjp?usp=drive_link</t>
  </si>
  <si>
    <t>Alvark Tokyo; Changwon LG Sakers; sports stream</t>
  </si>
  <si>
    <t>Nonton streaming pertandingan seru Alvark Tokyo vs Changwon LG Sakers - EASL. Saksikan aksi-aksi terbaik dari tim yang bersaing ketat untuk meraih kemenangan. Dapatkan informasi lengkap mengenai jadwal pertandingan dan hasil pertandingan terbaru hanya di Vidio.</t>
  </si>
  <si>
    <t>https://thumbor.prod.vidiocdn.com/cb3Xc3JvnJo5vG58nIoXXVBV338=/filters:quality(70)/vidio-media-production/uploads/image/source/51903/9d992e.png</t>
  </si>
  <si>
    <t>https://drive.google.com/file/d/1iEdqwTjvU3snCDn1rJ4e-uw1DnfE1YIj/view?usp=sharing</t>
  </si>
  <si>
    <t>fdf9fdf9</t>
  </si>
  <si>
    <t>Hong Kong Eastern vs Utsunomiya Brex - EASL</t>
  </si>
  <si>
    <t>hong kong eastern; Utsunomiya Brex; sports stream</t>
  </si>
  <si>
    <t>Nonton streaming pertandingan seru Hong Kong Eastern vs Utsunomiya Brex - EASL. Saksikan aksi-aksi terbaik dari tim yang bersaing ketat untuk meraih kemenangan. Dapatkan informasi lengkap mengenai jadwal pertandingan dan hasil pertandingan terbaru hanya di Vidio.</t>
  </si>
  <si>
    <t>a8303ebb</t>
  </si>
  <si>
    <t>Taipei Fubon Brave vs Seoul SK Knights - EASL</t>
  </si>
  <si>
    <t>https://www.vidio.com/live/17926-easl?schedule_id=4790738</t>
  </si>
  <si>
    <t>https://drive.google.com/drive/folders/1t5cTn_aJRLWV1yItmrXbUOM_1eiQ6hzA?usp=drive_link</t>
  </si>
  <si>
    <t>Taipei Fubon Brave; Seoul SK Knights; sports stream</t>
  </si>
  <si>
    <t>Nonton streaming pertandingan seru Taipei Fubon Brave vs Seoul SK Knights - EASL. Saksikan aksi-aksi terbaik dari tim yang bersaing ketat untuk meraih kemenangan. Dapatkan informasi lengkap mengenai jadwal pertandingan dan hasil pertandingan terbaru hanya di Vidio.</t>
  </si>
  <si>
    <t>https://thumbor.prod.vidiocdn.com/XA-TL3_7Ib63b9J_O0CegYb0d-4=/filters:quality(70)/vidio-media-production/uploads/image/source/52152/17c1db.png</t>
  </si>
  <si>
    <t>https://drive.google.com/file/d/1PZ06m6GyLODBdN7fOuk3Y39RYO9Ne1At/view?usp=sharing</t>
  </si>
  <si>
    <t>afce14e3</t>
  </si>
  <si>
    <t>Seoul SK Knights vs Taipei Fubon Brave - EASL</t>
  </si>
  <si>
    <t>Seoul SK Knights; Taipei Fubon Brave; sports stream</t>
  </si>
  <si>
    <t>Nonton streaming pertandingan seru Seoul SK Knights vs Taipei Fubon Brave - EASL. Saksikan aksi-aksi terbaik dari tim yang bersaing ketat untuk meraih kemenangan. Dapatkan informasi lengkap mengenai jadwal pertandingan dan hasil pertandingan terbaru hanya di Vidio.</t>
  </si>
  <si>
    <t>d82ae4ac</t>
  </si>
  <si>
    <t>Changwon LG Sakers vs Alvark Tokyo - EASL</t>
  </si>
  <si>
    <t>Changwon LG Sakers; Alvark Tokyo; sports stream</t>
  </si>
  <si>
    <t>Nonton streaming pertandingan seru Changwon LG Sakers vs Alvark Tokyo - EASL. Saksikan aksi-aksi terbaik dari tim yang bersaing ketat untuk meraih kemenangan. Dapatkan informasi lengkap mengenai jadwal pertandingan dan hasil pertandingan terbaru hanya di Vidio.</t>
  </si>
  <si>
    <t>233ed9d9</t>
  </si>
  <si>
    <t>Hong Kong Eastern vs Taipei Fubon Brave - EASL</t>
  </si>
  <si>
    <t>https://www.vidio.com/live/17926-easl?schedule_id=4797002</t>
  </si>
  <si>
    <t>https://drive.google.com/drive/folders/1Iyv1zMkN5E8_EHOjEohuYhTE5lmS6nof?usp=drive_link</t>
  </si>
  <si>
    <t>hong kong eastern; Taipei Fubon Brave; sports stream</t>
  </si>
  <si>
    <t>Nonton streaming pertandingan seru Hong Kong Eastern vs Taipei Fubon Brave - EASL. Saksikan aksi-aksi terbaik dari tim yang bersaing ketat untuk meraih kemenangan. Dapatkan informasi lengkap mengenai jadwal pertandingan dan hasil pertandingan terbaru hanya di Vidio.</t>
  </si>
  <si>
    <t>https://thumbor.prod.vidiocdn.com/PR0fIiKw04GNwMdO5B3ClBqL8RY=/filters:quality(70)/vidio-media-production/uploads/image/source/52156/61fba3.png</t>
  </si>
  <si>
    <t>https://drive.google.com/file/d/1cZb_dSQCeYPZNc9f97MNDcCAJ0Ebjof4/view?usp=sharing</t>
  </si>
  <si>
    <t>e2850bce</t>
  </si>
  <si>
    <t>Macau Black Bears vs Ryukyu Golden Kings - EASL</t>
  </si>
  <si>
    <t>macau black bears; ryukyu golden kings; sports stream</t>
  </si>
  <si>
    <t>Nonton streaming pertandingan seru Macau Black Bears vs Ryukyu Golden Kings - EASL. Saksikan aksi-aksi terbaik dari tim yang bersaing ketat untuk meraih kemenangan. Dapatkan informasi lengkap mengenai jadwal pertandingan dan hasil pertandingan terbaru hanya di Vidio.</t>
  </si>
  <si>
    <t>d03de398</t>
  </si>
  <si>
    <t>Macau Black Bears vs Taoyuan Pauian Pilots - EASL</t>
  </si>
  <si>
    <t>https://www.vidio.com/live/17926-easl?schedule_id=4823384</t>
  </si>
  <si>
    <t>https://drive.google.com/drive/folders/1sJs18oebV7WnqPH9rEROLL3bCvUBvOcP?usp=drive_link</t>
  </si>
  <si>
    <t>macau black bears; taoyuan pauian pilots; sports stream</t>
  </si>
  <si>
    <t>Nonton streaming pertandingan seru Macau Black Bears vs Taoyuan Pauian Pilots - EASL. Saksikan aksi-aksi terbaik dari tim yang bersaing ketat untuk meraih kemenangan. Dapatkan informasi lengkap mengenai jadwal pertandingan dan hasil pertandingan terbaru hanya di Vidio.</t>
  </si>
  <si>
    <t>https://thumbor.prod.vidiocdn.com/cX9Eib2XlveAh8jFzq8yUz1BHVE=/filters:quality(70)/vidio-media-production/uploads/image/source/52421/019256.png</t>
  </si>
  <si>
    <t>https://drive.google.com/file/d/1pN8s4m5grXL1IYr-RwvzfBq9_13AxRoH/view?usp=sharing</t>
  </si>
  <si>
    <t>bddbbfee</t>
  </si>
  <si>
    <t>Utsunomiya Brex vs Hong Kong Eastern - EASL</t>
  </si>
  <si>
    <t>Utsunomiya Brex; hong kong eastern; sports stream</t>
  </si>
  <si>
    <t>Nonton streaming pertandingan seru Utsunomiya Brex vs Hong Kong Eastern - EASL. Saksikan aksi-aksi terbaik dari tim yang bersaing ketat untuk meraih kemenangan. Dapatkan informasi lengkap mengenai jadwal pertandingan dan hasil pertandingan terbaru hanya di Vidio.</t>
  </si>
  <si>
    <t>5f32752e</t>
  </si>
  <si>
    <t>Hong Kong Eastern vs Seoul SK Knights - EASL</t>
  </si>
  <si>
    <t>hong kong eastern; Seoul SK Knights; sports stream</t>
  </si>
  <si>
    <t>Nonton streaming pertandingan seru Hong Kong Eastern vs Seoul SK Knights - EASL. Saksikan aksi-aksi terbaik dari tim yang bersaing ketat untuk meraih kemenangan. Dapatkan informasi lengkap mengenai jadwal pertandingan dan hasil pertandingan terbaru hanya di Vidio.</t>
  </si>
  <si>
    <t>hikmat.hakim@intern.vidio.com</t>
  </si>
  <si>
    <t>e902eea5</t>
  </si>
  <si>
    <t>https://www.vidio.com/live/19672-easl?schedule_id=4827850</t>
  </si>
  <si>
    <t>https://drive.google.com/drive/folders/1P6axdRemF9DwdX35GzoheSdSICjSMqB8?usp=drive_link</t>
  </si>
  <si>
    <t>https://thumbor.prod.vidiocdn.com/KI6e9g67Zf_1Oc8OYHAvl5SEmC4=/filters:quality(70)/vidio-media-production/uploads/image/source/52851/a79fdd.png</t>
  </si>
  <si>
    <t>https://drive.google.com/file/d/1IMVAzE-aLr4VrM_l5Cs3r5Ko0X7vm6FJ/view?usp=sharing</t>
  </si>
  <si>
    <t>eb16a5c8</t>
  </si>
  <si>
    <t>Persipura Jayapura vs Persela Lamongan - Pegadaian Championship</t>
  </si>
  <si>
    <t>https://www.vidio.com/live/19543-pegadaian-championship-2025-26?schedule_id=4790742</t>
  </si>
  <si>
    <t>https://drive.google.com/drive/folders/1W43WZcschOT2lWN0fjg4e0kG0GZxfxZo?usp=drive_link</t>
  </si>
  <si>
    <t>persipura; persela lamongan; sports stream</t>
  </si>
  <si>
    <t>Nonton streaming pertandingan seru Persipura Jayapura vs Persela Lamongan - Pegadaian Championship. Saksikan aksi-aksi terbaik dari tim yang bersaing ketat untuk meraih kemenangan. Dapatkan informasi lengkap mengenai jadwal pertandingan dan hasil pertandingan terbaru hanya di Vidio.</t>
  </si>
  <si>
    <t>https://thumbor.prod.vidiocdn.com/GNIJIyh-nhJQO7j96uXqwQ2ifZg=/filters:quality(70)/vidio-media-production/uploads/image/source/52022/fa8028.png</t>
  </si>
  <si>
    <t>https://thumbor.prod.vidiocdn.com/5hLP_6-f65611HBFE81aLvJseZw=/filters:quality(70)/vidio-media-production/uploads/image/source/52021/7e8d5f.png</t>
  </si>
  <si>
    <t>https://drive.google.com/file/d/17uzPTAGM91kv5UeaPB7Xd8NqwlTZanaY/view?usp=sharing</t>
  </si>
  <si>
    <t>9ca5620c</t>
  </si>
  <si>
    <t>Adhyaksa FC vs Persekat Tegal - Pegadaian Championship</t>
  </si>
  <si>
    <t>https://www.vidio.com/live/19542-pegadaian-championship-2025-26?schedule_id=4790743</t>
  </si>
  <si>
    <t>https://drive.google.com/drive/folders/1SM0RaNai188ovDZNGs8qC8H3aLX9t9lp?usp=drive_link</t>
  </si>
  <si>
    <t>Adhyaksa Farmel FC; persekat; sports stream</t>
  </si>
  <si>
    <t>Nonton streaming pertandingan seru Adhyaksa FC vs Persekat Tegal - Pegadaian Championship. Saksikan aksi-aksi terbaik dari tim yang bersaing ketat untuk meraih kemenangan. Dapatkan informasi lengkap mengenai jadwal pertandingan dan hasil pertandingan terbaru hanya di Vidio.</t>
  </si>
  <si>
    <t>https://thumbor.prod.vidiocdn.com/O2OHs89rrGjBEOhIN4GfpiKLwQc=/filters:quality(70)/vidio-media-production/uploads/image/source/52634/ec5a86.png</t>
  </si>
  <si>
    <t>https://thumbor.prod.vidiocdn.com/hxdJ-Wz0YZNGB4Llz4I46AjlO9w=/filters:quality(70)/vidio-media-production/uploads/image/source/52632/ea7988.png</t>
  </si>
  <si>
    <t>https://drive.google.com/file/d/1bLnBD0HFLzmV-USO5NJTUVeTxUm5bakw/view?usp=sharing</t>
  </si>
  <si>
    <t>fefca3af</t>
  </si>
  <si>
    <t>Sriwijaya FC vs PSMS Medan - Pegadaian Championship</t>
  </si>
  <si>
    <t>https://www.vidio.com/live/19541-pegadaian-championship-2025-26?schedule_id=4795163</t>
  </si>
  <si>
    <t>https://drive.google.com/drive/folders/1C8o0KEwSilmLce-x5ra1q_berpyj_kIm?usp=drive_link</t>
  </si>
  <si>
    <t>sriwijaya fc; psms medan; sports stream</t>
  </si>
  <si>
    <t>Nonton streaming pertandingan seru Sriwijaya FC vs PSMS Medan - Pegadaian Championship. Saksikan aksi-aksi terbaik dari tim yang bersaing ketat untuk meraih kemenangan. Dapatkan informasi lengkap mengenai jadwal pertandingan dan hasil pertandingan terbaru hanya di Vidio.</t>
  </si>
  <si>
    <t>https://thumbor.prod.vidiocdn.com/MCA0dEBC4lzTC4HqLhc8JvLRtGw=/filters:quality(70)/vidio-media-production/uploads/image/source/52635/be06bc.png</t>
  </si>
  <si>
    <t>https://thumbor.prod.vidiocdn.com/KXk26BnyhUwdf3AsaBIyeoBCzpQ=/filters:quality(70)/vidio-media-production/uploads/image/source/52633/fb1e4b.png</t>
  </si>
  <si>
    <t>https://drive.google.com/file/d/1PYkEREHSpGYO2Som5gKpQ9otjjeG0VxQ/view?usp=sharing</t>
  </si>
  <si>
    <t>abd7e2b1</t>
  </si>
  <si>
    <t>PSPS Pekanbaru vs Persikad - Pegadaian Championship</t>
  </si>
  <si>
    <t>https://www.vidio.com/live/19542-pegadaian-championship-2025-26?schedule_id=4790744</t>
  </si>
  <si>
    <t>https://drive.google.com/drive/folders/1M8BYCWKw6Ibbg1HrNnp0RNT5EIAKTcn2?usp=drive_link</t>
  </si>
  <si>
    <t>psps riau; Persikad; sports stream</t>
  </si>
  <si>
    <t>Nonton streaming pertandingan seru PSPS Pekanbaru vs Persikad - Pegadaian Championship. Saksikan aksi-aksi terbaik dari tim yang bersaing ketat untuk meraih kemenangan. Dapatkan informasi lengkap mengenai jadwal pertandingan dan hasil pertandingan terbaru hanya di Vidio.</t>
  </si>
  <si>
    <t>https://thumbor.prod.vidiocdn.com/3BUNngBIjILB6kzIC-yElw_Z8R8=/filters:quality(70)/vidio-media-production/uploads/image/source/52038/4204b3.png</t>
  </si>
  <si>
    <t>https://thumbor.prod.vidiocdn.com/zThDgPD-fW__XsKOXQ4ujpc62G8=/filters:quality(70)/vidio-media-production/uploads/image/source/52037/bb2dc5.png</t>
  </si>
  <si>
    <t>https://drive.google.com/file/d/1nfv08ycaPQhZmoJbSbgEDb-EbR3nRNLt/view?usp=sharing</t>
  </si>
  <si>
    <t>c9d1de3a</t>
  </si>
  <si>
    <t>PS. Barito Putera vs PSIS Semarang - Pegadaian Championship</t>
  </si>
  <si>
    <t>https://www.vidio.com/live/19543-pegadaian-championship-2025-26?schedule_id=4795161</t>
  </si>
  <si>
    <t>https://drive.google.com/drive/folders/1JnJE6qE3_stznFiDMzmdYEubSWkscMPh?usp=drive_link</t>
  </si>
  <si>
    <t>ps barito putera; psis semarang; sports stream</t>
  </si>
  <si>
    <t>Nonton streaming pertandingan seru PS. Barito Putera vs PSIS Semarang - Pegadaian Championship. Saksikan aksi-aksi terbaik dari tim yang bersaing ketat untuk meraih kemenangan. Dapatkan informasi lengkap mengenai jadwal pertandingan dan hasil pertandingan terbaru hanya di Vidio.</t>
  </si>
  <si>
    <t>https://thumbor.prod.vidiocdn.com/Rr47MSUbsnpFGwa6lBPI8E4YGx0=/filters:quality(70)/vidio-media-production/uploads/image/source/52638/7ec35b.png</t>
  </si>
  <si>
    <t>https://thumbor.prod.vidiocdn.com/5C5pQeLGeX5WDdNASX0PzwRGVzg=/filters:quality(70)/vidio-media-production/uploads/image/source/52636/13500a.png</t>
  </si>
  <si>
    <t>https://drive.google.com/file/d/1AZWAWvW3SgjgJuHlIfO5j-WY2l-TM4JB/view?usp=sharing</t>
  </si>
  <si>
    <t>cfc51588</t>
  </si>
  <si>
    <t>Persiku Kudus vs Deltras FC - Pegadaian Championship</t>
  </si>
  <si>
    <t>https://www.vidio.com/live/19541-pegadaian-championship-2025-26?schedule_id=4795167</t>
  </si>
  <si>
    <t>https://drive.google.com/drive/folders/11Jbu13PVfZLlwxG6vBEQbWAprco8ymIp?usp=drive_link</t>
  </si>
  <si>
    <t>persiku kudus; deltras sidoarjo; sports stream</t>
  </si>
  <si>
    <t>Nonton streaming pertandingan seru Persiku Kudus vs Deltras FC - Pegadaian Championship. Saksikan aksi-aksi terbaik dari tim yang bersaing ketat untuk meraih kemenangan. Dapatkan informasi lengkap mengenai jadwal pertandingan dan hasil pertandingan terbaru hanya di Vidio.</t>
  </si>
  <si>
    <t>https://thumbor.prod.vidiocdn.com/YvjKxPepQTDCR1qi6kWR81HXQ3M=/filters:quality(70)/vidio-media-production/uploads/image/source/52639/a1124f.png</t>
  </si>
  <si>
    <t>https://thumbor.prod.vidiocdn.com/LY6hs7oJzSB0PdbN_vUkg0d6-M0=/filters:quality(70)/vidio-media-production/uploads/image/source/52637/bf543d.png</t>
  </si>
  <si>
    <t>https://drive.google.com/file/d/1-vAS5PGm-_K-xjVzTlHPvgxKFq9WT7Fp/view?usp=sharing</t>
  </si>
  <si>
    <t>cacd1697</t>
  </si>
  <si>
    <t>Persiba Balikpapan vs Kendal Tornado FC - Pegadaian Championship</t>
  </si>
  <si>
    <t>https://www.vidio.com/live/19542-pegadaian-championship-2025-26?schedule_id=4795169</t>
  </si>
  <si>
    <t>https://drive.google.com/drive/folders/1Gw7qDZgjBpHyG3ykLyweJ77eM5Q1mWt9?usp=drive_link</t>
  </si>
  <si>
    <t>Persiba Balikpapan; Kendal Tornado FC; sports stream</t>
  </si>
  <si>
    <t>Nonton streaming pertandingan seru Persiba Balikpapan vs Kendal Tornado FC - Pegadaian Championship. Saksikan aksi-aksi terbaik dari tim yang bersaing ketat untuk meraih kemenangan. Dapatkan informasi lengkap mengenai jadwal pertandingan dan hasil pertandingan terbaru hanya di Vidio.</t>
  </si>
  <si>
    <t>https://thumbor.prod.vidiocdn.com/_a2EoRWQrbaAhSO0QJG-5U0elHw=/filters:quality(70)/vidio-media-production/uploads/image/source/52641/4e76cb.png</t>
  </si>
  <si>
    <t>https://thumbor.prod.vidiocdn.com/9Uyw8Fa8isaI4Dnfl3dNbzOxeR8=/filters:quality(70)/vidio-media-production/uploads/image/source/52640/107019.png</t>
  </si>
  <si>
    <t>https://drive.google.com/file/d/1zTYQIDdBeO7caO8egg52hIrRa7kuuatw/view?usp=sharing</t>
  </si>
  <si>
    <t>1b24827e</t>
  </si>
  <si>
    <t>PSS Sleman vs Persipal FC - Pegadaian Championship</t>
  </si>
  <si>
    <t>https://www.vidio.com/live/19543-pegadaian-championship-2025-26?schedule_id=4795170</t>
  </si>
  <si>
    <t>https://drive.google.com/drive/folders/1fjSetC_9DVIWTMUyhz1MwCmv0TJqCws8?usp=drive_link</t>
  </si>
  <si>
    <t>pss sleman; Persipal Palu; sports stream</t>
  </si>
  <si>
    <t>Nonton streaming pertandingan seru PSS Sleman vs Persipal FC - Pegadaian Championship. Saksikan aksi-aksi terbaik dari tim yang bersaing ketat untuk meraih kemenangan. Dapatkan informasi lengkap mengenai jadwal pertandingan dan hasil pertandingan terbaru hanya di Vidio.</t>
  </si>
  <si>
    <t>https://thumbor.prod.vidiocdn.com/VFTOQGZeMybEUhQ4ZGAuh4ZXUaI=/filters:quality(70)/vidio-media-production/uploads/image/source/52643/ddb9b7.png</t>
  </si>
  <si>
    <t>https://thumbor.prod.vidiocdn.com/qsW_P__6xmq_aNiWtKmRC-wE8do=/filters:quality(70)/vidio-media-production/uploads/image/source/52642/0fab5f.png</t>
  </si>
  <si>
    <t>https://drive.google.com/file/d/1FL8oozN4nlyk0kpRQGB1AgfbqxRlymCy/view?usp=sharing</t>
  </si>
  <si>
    <t>156c32a7</t>
  </si>
  <si>
    <t>Garudayaksa FC vs Persiraja Banda Aceh - Pegadaian Championship</t>
  </si>
  <si>
    <t>https://www.vidio.com/live/19543-pegadaian-championship-2025-26?schedule_id=4797266</t>
  </si>
  <si>
    <t>https://drive.google.com/drive/folders/1m6WTKRU73bInnTD0HmgHBWT-teaakLk-?usp=drive_link</t>
  </si>
  <si>
    <t>pskc cimahi; persiraja banda aceh; sports stream</t>
  </si>
  <si>
    <t>Nonton streaming pertandingan seru Garudayaksa FC vs Persiraja Banda Aceh - Pegadaian Championship. Saksikan aksi-aksi terbaik dari tim yang bersaing ketat untuk meraih kemenangan. Dapatkan informasi lengkap mengenai jadwal pertandingan dan hasil pertandingan terbaru hanya di Vidio.</t>
  </si>
  <si>
    <t>https://thumbor.prod.vidiocdn.com/zoje4RJ0sZ0VkvWHsIw7_rkFPcs=/filters:quality(70)/vidio-media-production/uploads/image/source/52552/72ae69.png</t>
  </si>
  <si>
    <t>https://thumbor.prod.vidiocdn.com/f9ERteEPM6KkWgO2_F785rpvMe0=/filters:quality(70)/vidio-media-production/uploads/image/source/52551/04324c.png</t>
  </si>
  <si>
    <t>9929199f</t>
  </si>
  <si>
    <t>Sumsel United vs FC Bekasi City - Pegadaian Championship</t>
  </si>
  <si>
    <t>https://www.vidio.com/live/19542-pegadaian-championship-2025-26?schedule_id=4797267</t>
  </si>
  <si>
    <t>https://drive.google.com/drive/folders/1OJ4ydsQmbKC3PXZx9d1nZLwim9hHOQWV?usp=drive_link</t>
  </si>
  <si>
    <t>Sumsel United; fc bekasi city; sports stream</t>
  </si>
  <si>
    <t>Nonton streaming pertandingan seru Sumsel United vs FC Bekasi City - Pegadaian Championship. Saksikan aksi-aksi terbaik dari tim yang bersaing ketat untuk meraih kemenangan. Dapatkan informasi lengkap mengenai jadwal pertandingan dan hasil pertandingan terbaru hanya di Vidio.</t>
  </si>
  <si>
    <t>https://thumbor.prod.vidiocdn.com/W4OnqpGkHOg5WgEiXzkkIkW3JzA=/filters:quality(70)/vidio-media-production/uploads/image/source/52683/cacddb.png</t>
  </si>
  <si>
    <t>https://thumbor.prod.vidiocdn.com/d98CBoa43E0xhJBlAn7k3DjZDh0=/filters:quality(70)/vidio-media-production/uploads/image/source/52682/41e253.png</t>
  </si>
  <si>
    <t>https://drive.google.com/file/d/1rLWEduZ1DPFMePengI6S6uf3kTKjozXG/view?usp=sharing</t>
  </si>
  <si>
    <t>5dc0b651</t>
  </si>
  <si>
    <t>Utrecht vs NEC Nijmegen - Eredivisie</t>
  </si>
  <si>
    <t>https://www.vidio.com/live/6685-champions-tv-1?schedule_id=4691062</t>
  </si>
  <si>
    <t>https://drive.google.com/drive/folders/1lONzINDA3Q1-foxW_l8o1XA-D1MSvMY9?usp=drive_link</t>
  </si>
  <si>
    <t>https://drive.google.com/file/d/1wpGOqbQBfQ-GKIVQLWq-Fdyc2SFhhTlx/view?usp=drive_link</t>
  </si>
  <si>
    <t>fc utrecht; nec nijmegen; sports stream</t>
  </si>
  <si>
    <t>Nonton streaming pertandingan seru Utrecht vs NEC Nijmegen - Eredivisie. Saksikan aksi-aksi terbaik dari tim yang bersaing ketat untuk meraih kemenangan. Dapatkan informasi lengkap mengenai jadwal pertandingan dan hasil pertandingan terbaru hanya di Vidio.</t>
  </si>
  <si>
    <t>Utrecht;Souffian El Karouani, David Min
NEC Nijmegen; Kodai Sano, Koki Ogawa</t>
  </si>
  <si>
    <t>https://drive.google.com/file/d/1X_x6zbbIJYAWdHuvXPXQ9lH32Bs90hgv/view?usp=sharing</t>
  </si>
  <si>
    <t>https://drive.google.com/file/d/1wpGOqbQBfQ-GKIVQLWq-Fdyc2SFhhTlx/view?usp=sharing</t>
  </si>
  <si>
    <t>https://drive.google.com/file/d/1TTFNqCbIUjvGt5fLQix-m5oOmI155j8r/view?usp=sharing</t>
  </si>
  <si>
    <t>542a9d3c</t>
  </si>
  <si>
    <t>Heracles vs Go Ahead Eagles - Eredivisie</t>
  </si>
  <si>
    <t>https://www.vidio.com/live/6685-champions-tv-1?schedule_id=4726074</t>
  </si>
  <si>
    <t>https://drive.google.com/drive/folders/1r2Qalw4LZAP9Q-t8-B9Cj0WOX7sVQ-n8</t>
  </si>
  <si>
    <t>heracles almelo; go ahead eagles; sports stream</t>
  </si>
  <si>
    <t>Nonton streaming pertandingan seru Heracles vs Go Ahead Eagles - Eredivisie. Saksikan aksi-aksi terbaik dari tim yang bersaing ketat untuk meraih kemenangan. Dapatkan informasi lengkap mengenai jadwal pertandingan dan hasil pertandingan terbaru hanya di Vidio.</t>
  </si>
  <si>
    <t>https://drive.google.com/file/d/11ntZfrL97kCOjVTE4E9p_OyqOkLENbs0/view?usp=sharing</t>
  </si>
  <si>
    <t>https://drive.google.com/file/d/1HRF976L3jASf7R4TZg81Jj3Fs7qZNf8a/view?usp=sharing</t>
  </si>
  <si>
    <t>https://drive.google.com/file/d/1b7Ih4wXTcfKFkw-vJ-8I7-qr6g_jfoKt/view?usp=sharing</t>
  </si>
  <si>
    <t>0eb39b42</t>
  </si>
  <si>
    <t>Fortuna Sittard vs Heracles - Eredivisie</t>
  </si>
  <si>
    <t>https://www.vidio.com/live/6685-champions-tv-1?schedule_id=4734875</t>
  </si>
  <si>
    <t>https://drive.google.com/drive/folders/1SayAI8jKYh6OFTEGNDl7fAElJvI2t2fq</t>
  </si>
  <si>
    <t>https://drive.google.com/file/d/1JRPyNft2hB8wE9SFDwu0NVdjn72-j8Oe/view?usp=sharing</t>
  </si>
  <si>
    <t>fortuna sittard; heracles almelo; sports stream</t>
  </si>
  <si>
    <t>Nonton streaming pertandingan seru Fortuna Sittard vs Heracles - Eredivisie. Saksikan aksi-aksi terbaik dari tim yang bersaing ketat untuk meraih kemenangan. Dapatkan informasi lengkap mengenai jadwal pertandingan dan hasil pertandingan terbaru hanya di Vidio.</t>
  </si>
  <si>
    <t>https://drive.google.com/file/d/1-6ApIiwVHJpBTOHxWTBR6ZIDb3nlBngv/view?usp=sharing</t>
  </si>
  <si>
    <t>https://drive.google.com/file/d/17DehloxrAD4D-PGH0oSQkKWN92XP5m9n/view?usp=sharing</t>
  </si>
  <si>
    <t>db04f200</t>
  </si>
  <si>
    <t>Al-Najma vs Al-Hilal - ROSHN Saudi League</t>
  </si>
  <si>
    <t>https://www.vidio.com/live/17139-spotv?schedule_id=4706720</t>
  </si>
  <si>
    <t>https://drive.google.com/drive/u/0/folders/1rmpSlos6aL3n0g69V27IylP0SrGEyKVe</t>
  </si>
  <si>
    <t>Al-Najma; al-hilal; sports stream</t>
  </si>
  <si>
    <t>Nonton streaming pertandingan seru Al-Najma vs Al-Hilal - ROSHN Saudi League. Saksikan aksi-aksi terbaik dari tim yang bersaing ketat untuk meraih kemenangan. Dapatkan informasi lengkap mengenai jadwal pertandingan dan hasil pertandingan terbaru hanya di Vidio.</t>
  </si>
  <si>
    <t>https://drive.google.com/file/d/1GKBdeGSPTkQJ8l-nYQz1KDEJfe27Rnx1/view?usp=sharing</t>
  </si>
  <si>
    <t>29ba2c15</t>
  </si>
  <si>
    <t>Al-Ittihad vs Al-Ahli - ROSHN Saudi League</t>
  </si>
  <si>
    <t>https://www.vidio.com/live/17139-spotv?schedule_id=4707260</t>
  </si>
  <si>
    <t>https://drive.google.com/drive/u/0/folders/1_fED_Anbf-EiPsrsXIlReAGW1wOsypOk</t>
  </si>
  <si>
    <t>al ittihad; al-ahli saudi fc; sports stream</t>
  </si>
  <si>
    <t>Nonton streaming pertandingan seru Al-Ittihad vs Al-Ahli - ROSHN Saudi League. Saksikan aksi-aksi terbaik dari tim yang bersaing ketat untuk meraih kemenangan. Dapatkan informasi lengkap mengenai jadwal pertandingan dan hasil pertandingan terbaru hanya di Vidio.</t>
  </si>
  <si>
    <t>Ittihad: Benzema &amp; Kante
Ahli: Mahrez &amp; Toney</t>
  </si>
  <si>
    <t>https://drive.google.com/file/d/1QDYpvKnUAhcWTz54x8Uvvu3tbgM8ING4/view?usp=sharing</t>
  </si>
  <si>
    <t>https://drive.google.com/file/d/1O2Hip1xGwsqah1A2KCT529gKPdNeydUH/view?usp=sharing</t>
  </si>
  <si>
    <t>c9a68b86</t>
  </si>
  <si>
    <t>Rajadamnern 2025 Interim Super Bantamweight Title</t>
  </si>
  <si>
    <t>https://www.vidio.com/live/19388-rws-muay-thai-2025?schedule_id=4707841</t>
  </si>
  <si>
    <t>https://drive.google.com/drive/folders/1I0XeW0c1hj02wVu6PvFvSmv_F-vecf-V</t>
  </si>
  <si>
    <t>https://drive.google.com/drive/folders/1wq-tX_6e-qhnUje4bi3T04HksARRZ5uo?usp=drive_link</t>
  </si>
  <si>
    <t>Nonton streaming pertandingan seru Rajadamnern 2025 Interim Super Bantamweight Title. Saksikan aksi-aksi terbaik dari tim yang bersaing ketat untuk meraih kemenangan. Dapatkan informasi lengkap mengenai jadwal pertandingan dan hasil pertandingan terbaru hanya di Vidio.</t>
  </si>
  <si>
    <t>https://drive.google.com/file/d/1opncwRXL4xb7blYmzXTnPRYxSJ0iO2lf/view?usp=sharing</t>
  </si>
  <si>
    <t>https://drive.google.com/file/d/1pJSpCBhvw_2KQONccuLD6ugTNBn1BvGQ/view?usp=sharing</t>
  </si>
  <si>
    <t>c1b6faf5</t>
  </si>
  <si>
    <t>Las Vegas Raiders vs Denver Broncos - NFL</t>
  </si>
  <si>
    <t>https://www.vidio.com/live/19623-national-football-league-2025-26?schedule_id=4706546</t>
  </si>
  <si>
    <t>https://drive.google.com/drive/folders/1mbesG1LS-Opx2a3JuZoXe9AppdSa4pSq</t>
  </si>
  <si>
    <t>Nonton streaming pertandingan seru Las Vegas Raiders vs Denver Broncos - NFL. Saksikan aksi-aksi terbaik dari tim yang bersaing ketat untuk meraih kemenangan. Dapatkan informasi lengkap mengenai jadwal pertandingan dan hasil pertandingan terbaru hanya di Vidio.</t>
  </si>
  <si>
    <t>https://drive.google.com/file/d/1jEF_okIQBRO-Yk0TS1zeLM4ArRcfhhAV/view?usp=sharing</t>
  </si>
  <si>
    <t>https://drive.google.com/file/d/1pU-Hq3ObL7lkOwkLiNf-GeAgszRNUlyJ/view?usp=sharing</t>
  </si>
  <si>
    <t>https://drive.google.com/file/d/16cEM8PnnHSYdS4M4HM4lt94rigvGGdT1/view?usp=sharing</t>
  </si>
  <si>
    <t>5ad560de</t>
  </si>
  <si>
    <t>New England Patriots vs Tampa Bay Buccaneers - NFL</t>
  </si>
  <si>
    <t>https://www.vidio.com/live/19548-national-football-league-2025-26?schedule_id=4708927</t>
  </si>
  <si>
    <t>https://drive.google.com/drive/folders/1zBnkRXL53TTWo4_2WGIBguuJwGclGfC-</t>
  </si>
  <si>
    <t>Nonton streaming pertandingan seru New England Patriots vs Tampa Bay Buccaneers - NFL. Saksikan aksi-aksi terbaik dari tim yang bersaing ketat untuk meraih kemenangan. Dapatkan informasi lengkap mengenai jadwal pertandingan dan hasil pertandingan terbaru hanya di Vidio.</t>
  </si>
  <si>
    <t>https://drive.google.com/file/d/1jS2nTWTsN8ZtVnxtgVKRzsj2qzUJDhs9/view?usp=sharing</t>
  </si>
  <si>
    <t>https://drive.google.com/file/d/1BGxV3TZnSkLj5A5rcyfbGu5paVz01_Yn/view?usp=sharing</t>
  </si>
  <si>
    <t>https://drive.google.com/file/d/1pBtCMn65EiN9qyKjASAKVSuwT43BKO35/view?usp=sharing</t>
  </si>
  <si>
    <t>edb127e2</t>
  </si>
  <si>
    <t>Los Angeles Rams vs San Francisco 49ers - NFL</t>
  </si>
  <si>
    <t>https://www.vidio.com/live/19548-national-football-league-2025-26?schedule_id=4708926</t>
  </si>
  <si>
    <t>https://drive.google.com/drive/folders/1wxKjOADfYXQSnlNxgY7uO24Pf6dvydKE</t>
  </si>
  <si>
    <t>Nonton streaming pertandingan seru Los Angeles Rams vs San Francisco 49ers - NFL. Saksikan aksi-aksi terbaik dari tim yang bersaing ketat untuk meraih kemenangan. Dapatkan informasi lengkap mengenai jadwal pertandingan dan hasil pertandingan terbaru hanya di Vidio.</t>
  </si>
  <si>
    <t>https://drive.google.com/file/d/1YH61aCDE08CVIOWlyzxz_vOD6RA-Ezl5/view?usp=sharing</t>
  </si>
  <si>
    <t>https://drive.google.com/file/d/1Wenwr_Uhf38EN8szS_BD4RamF7udr9Bp/view?usp=sharing</t>
  </si>
  <si>
    <t>https://drive.google.com/file/d/1aGfe01aa5NmSDs55--TMV0p_Wt7BZD7Y/view?usp=sharing</t>
  </si>
  <si>
    <t>0c81fe09</t>
  </si>
  <si>
    <t>Pittsburgh Steelers vs Los Angeles Chargers - NFL</t>
  </si>
  <si>
    <t>https://www.vidio.com/live/19623-national-football-league-2025-26?schedule_id=4708929</t>
  </si>
  <si>
    <t>https://drive.google.com/drive/folders/13pH7-HBiXR2NElkDe0GD1bgEyQ5mLZLU</t>
  </si>
  <si>
    <t>Nonton streaming pertandingan seru Pittsburgh Steelers vs Los Angeles Chargers - NFL. Saksikan aksi-aksi terbaik dari tim yang bersaing ketat untuk meraih kemenangan. Dapatkan informasi lengkap mengenai jadwal pertandingan dan hasil pertandingan terbaru hanya di Vidio.</t>
  </si>
  <si>
    <t>https://drive.google.com/file/d/1OAFW9HaCpLvPRm8sBbdq4hYrrQQxZ9UA/view?usp=sharing</t>
  </si>
  <si>
    <t>https://drive.google.com/file/d/1sYzUDnwISRXdgsmiOHhhbU7-Pn6YJAo6/view?usp=sharing</t>
  </si>
  <si>
    <t>https://drive.google.com/file/d/1vx-17TP4iRSNpxleS-Tno7p1RvGTUPh2/view?usp=sharing</t>
  </si>
  <si>
    <t>aaa5a694</t>
  </si>
  <si>
    <t>Philadelphia Eagles vs Green Bay Packers - NFL</t>
  </si>
  <si>
    <t>https://www.vidio.com/live/19623-national-football-league-2025-26?schedule_id=4709311</t>
  </si>
  <si>
    <t>https://drive.google.com/drive/folders/1IkaoUyJenYdvnTTgZAIoLD2Kaiec7PVW</t>
  </si>
  <si>
    <t>Nonton streaming pertandingan seru Philadelphia Eagles vs Green Bay Packers - NFL. Saksikan aksi-aksi terbaik dari tim yang bersaing ketat untuk meraih kemenangan. Dapatkan informasi lengkap mengenai jadwal pertandingan dan hasil pertandingan terbaru hanya di Vidio.</t>
  </si>
  <si>
    <t>https://drive.google.com/file/d/1OgMY8GzNK5DMGETt1Om6-fQAwirjw_Gj/view?usp=sharing</t>
  </si>
  <si>
    <t>https://drive.google.com/file/d/1cRNw0487n5q41tG1WTN0XSyAzGGLiPuc/view?usp=sharing</t>
  </si>
  <si>
    <t>https://drive.google.com/file/d/1g11pnzhWKpvFS0Oz7k-u04XrIX6ibaNl/view?usp=sharing</t>
  </si>
  <si>
    <t>84346fa7</t>
  </si>
  <si>
    <t>Man City vs Man United - Women's Super League</t>
  </si>
  <si>
    <t>https://www.vidio.com/live/6299-bein-1?schedule_id=4717655</t>
  </si>
  <si>
    <t>https://drive.google.com/drive/folders/1XYSUvqjeFIFP2HfziIuOneMG1bllQ74s?usp=drive_link</t>
  </si>
  <si>
    <t>https://drive.google.com/drive/folders/1-9pRUWdOz6YkJL8Tt7c4anjkJ1iLsG7K?usp=drive_link</t>
  </si>
  <si>
    <t>Nonton streaming pertandingan seru Man City vs Man United - Women's Super League. Saksikan aksi-aksi terbaik dari tim yang bersaing ketat untuk meraih kemenangan. Dapatkan informasi lengkap mengenai jadwal pertandingan dan hasil pertandingan terbaru hanya di Vidio.</t>
  </si>
  <si>
    <t>City: Yui Hasegawa &amp; Vivianne Miedema
United: Hinata Miyazawa &amp; Jess Park</t>
  </si>
  <si>
    <t>https://drive.google.com/file/d/1nm613TvL5jOX-3ILmuHs4l8qtBfSZaML/view?usp=sharing</t>
  </si>
  <si>
    <t>https://drive.google.com/file/d/1AMK6MjUI-Cc7EooHj7f_1BhzV-TDc4G2/view?usp=sharing</t>
  </si>
  <si>
    <t>https://drive.google.com/file/d/17mk6kcJ1r22g9X_3vzmxShKuH5KcHj-e/view?usp=sharing</t>
  </si>
  <si>
    <t>715c3621</t>
  </si>
  <si>
    <t>Liverpool vs Chelsea - Women's Super League</t>
  </si>
  <si>
    <t>https://www.vidio.com/live/6299-bein-1?schedule_id=4717741</t>
  </si>
  <si>
    <t>https://drive.google.com/drive/folders/1xfIQsRba-3Jaq62MoVKSNA-rqJut07dn?usp=drive_link</t>
  </si>
  <si>
    <t>liverpool fc; Chelsea F.C. Women; sports stream</t>
  </si>
  <si>
    <t>Nonton streaming pertandingan seru Liverpool vs Chelsea - Women's Super League. Saksikan aksi-aksi terbaik dari tim yang bersaing ketat untuk meraih kemenangan. Dapatkan informasi lengkap mengenai jadwal pertandingan dan hasil pertandingan terbaru hanya di Vidio.</t>
  </si>
  <si>
    <t>LIV: Fuka Nagano &amp; Grace Fisk
CHE: Beever-Jones &amp; Catarina Macario</t>
  </si>
  <si>
    <t>https://drive.google.com/file/d/1KzeUp172glUB2fFSwvBeVpDEhqgeP2Iw/view?usp=sharing</t>
  </si>
  <si>
    <t>https://drive.google.com/file/d/1KWlbkIMV01NrHY_CiWN7drblIfz-WJaX/view?usp=sharing</t>
  </si>
  <si>
    <t>https://drive.google.com/file/d/1jm6nDJZ4mm4tD0iZxjBDqZ-EcdPnTxAJ/view?usp=sharing</t>
  </si>
  <si>
    <t>8fea7a22</t>
  </si>
  <si>
    <t>Tottenham vs Arsenal - Women's Super League</t>
  </si>
  <si>
    <t>https://www.vidio.com/live/6317-bein-3?schedule_id=4717746</t>
  </si>
  <si>
    <t>https://drive.google.com/drive/folders/1Rmv4EiPSgOYRhm1_BeN2NvWweywvsG4y?usp=drive_link</t>
  </si>
  <si>
    <t>tottenham hotspur fc women; Arsenal W.F.C.; sports stream</t>
  </si>
  <si>
    <t>Nonton streaming pertandingan seru Tottenham vs Arsenal - Women's Super League. Saksikan aksi-aksi terbaik dari tim yang bersaing ketat untuk meraih kemenangan. Dapatkan informasi lengkap mengenai jadwal pertandingan dan hasil pertandingan terbaru hanya di Vidio.</t>
  </si>
  <si>
    <t>Tottenham: Olga Ahtinen &amp; Cathinka Tandberg
Arsenal: Emily Fox &amp; Stina Blackstenius</t>
  </si>
  <si>
    <t>https://drive.google.com/file/d/1QYIrZ2mcAuyb7Wy0iJRTju3Pyt7mqu69/view?usp=sharing</t>
  </si>
  <si>
    <t>https://drive.google.com/file/d/1Zwf8vGw2Ybm7oYIpOdiXLZjRUEFI0PRp/view?usp=sharing</t>
  </si>
  <si>
    <t>https://drive.google.com/file/d/1BnKaOeOGk-iLt8_tgYE153E_786c57vZ/view?usp=sharing</t>
  </si>
  <si>
    <t>8885c264</t>
  </si>
  <si>
    <t>Jelang Kick Off -  PERSIK Kediri vs PERSEBAYA Surabaya - BRI Super League</t>
  </si>
  <si>
    <t>https://www.vidio.com/live/19355-bri-super-league?schedule_id=4706175</t>
  </si>
  <si>
    <t>https://drive.google.com/drive/folders/1i3lJn8wWO6nSmpZB0zqPqXnPDLKgWVIH</t>
  </si>
  <si>
    <t>Nonton streaming pertandingan seru Jelang Kick Off -  PERSIK Kediri vs PERSEBAYA Surabaya - BRI Super League. Saksikan aksi-aksi terbaik dari tim yang bersaing ketat untuk meraih kemenangan. Dapatkan informasi lengkap mengenai jadwal pertandingan dan hasil pertandingan terbaru hanya di Vidio.</t>
  </si>
  <si>
    <t>https://drive.google.com/file/d/1X-onyD7Zbn27J7bk9mL9gKIXpGZCgmXz/view?usp=drive_link</t>
  </si>
  <si>
    <t>055f17ff</t>
  </si>
  <si>
    <t>Jelang Kick Off -  Arema FC vs PERSIJA - BRI Super League</t>
  </si>
  <si>
    <t>https://www.vidio.com/live/19355-bri-super-league?schedule_id=4706377</t>
  </si>
  <si>
    <t>https://drive.google.com/drive/folders/1hcLAVHg5nLu60DNqHpb4Vkacne4YeI4h</t>
  </si>
  <si>
    <t>Nonton streaming pertandingan seru Jelang Kick Off -  Arema FC vs PERSIJA - BRI Super League. Saksikan aksi-aksi terbaik dari tim yang bersaing ketat untuk meraih kemenangan. Dapatkan informasi lengkap mengenai jadwal pertandingan dan hasil pertandingan terbaru hanya di Vidio.</t>
  </si>
  <si>
    <t>https://drive.google.com/file/d/15ssmUAfbY8ZKOLvSBCVBmGgzZ7C0de3b/view?usp=drive_link</t>
  </si>
  <si>
    <t>6e68a26c</t>
  </si>
  <si>
    <t>Jelang Kick Off - Malut United FC vs PERSIB - BRI Super League</t>
  </si>
  <si>
    <t>https://www.vidio.com/live/19355-bri-super-league?schedule_id=4772129</t>
  </si>
  <si>
    <t>https://drive.google.com/file/d/1vLf-FgvxQctr1Wnpju28fY0ZzgOEaY2n/view?usp=drive_link</t>
  </si>
  <si>
    <t>Nonton streaming pertandingan seru Jelang Kick Off - Malut United FC vs PERSIB - BRI Super League. Saksikan aksi-aksi terbaik dari tim yang bersaing ketat untuk meraih kemenangan. Dapatkan informasi lengkap mengenai jadwal pertandingan dan hasil pertandingan terbaru hanya di Vidio.</t>
  </si>
  <si>
    <t>https://drive.google.com/file/d/1vLf-FgvxQctr1Wnpju28fY0ZzgOEaY2n/view?usp=sharing</t>
  </si>
  <si>
    <t>2881cd34</t>
  </si>
  <si>
    <t>Coventry City vs Sheffield United - EFL Championship</t>
  </si>
  <si>
    <t>https://www.vidio.com/live/6685-champions-tv-1?schedule_id=4702056</t>
  </si>
  <si>
    <t>https://drive.google.com/drive/folders/1UPJV_O8lyIUgnWdUj_L91uwZreflmjiT?usp=sharing</t>
  </si>
  <si>
    <t>coventry city fc; sheffield united; sports stream</t>
  </si>
  <si>
    <t>Nonton streaming pertandingan seru Coventry City vs Sheffield United - EFL Championship. Saksikan aksi-aksi terbaik dari tim yang bersaing ketat untuk meraih kemenangan. Dapatkan informasi lengkap mengenai jadwal pertandingan dan hasil pertandingan terbaru hanya di Vidio.</t>
  </si>
  <si>
    <t>https://drive.google.com/file/d/1bWi7C5kUqDMI7SXT8RQo-Tt9zE_IERFm/view?usp=sharing</t>
  </si>
  <si>
    <t>https://drive.google.com/file/d/1GyVPK1s8f0cYnGMgAOTR3mhe1JlP9dtQ/view?usp=drive_link</t>
  </si>
  <si>
    <t>c65a892c</t>
  </si>
  <si>
    <t>Indonesia vs Nepal - Women's International Friendly Match</t>
  </si>
  <si>
    <t>VIDIO - @vidiosports</t>
  </si>
  <si>
    <t>https://www.vidio.com/live/19960-women-s-international-friendly-match?schedule_id=4733547</t>
  </si>
  <si>
    <t>https://drive.google.com/drive/folders/1moOwzOn-fZz4fSr0GRc1VeyQA5my_EaF</t>
  </si>
  <si>
    <t>Indonesia</t>
  </si>
  <si>
    <t>Nepal</t>
  </si>
  <si>
    <t>Indonesia; Nepal; sports stream</t>
  </si>
  <si>
    <t>Nonton streaming pertandingan seru Indonesia vs Nepal - Women's International Friendly Match. Saksikan aksi-aksi terbaik dari tim yang bersaing ketat untuk meraih kemenangan. Dapatkan informasi lengkap mengenai jadwal pertandingan dan hasil pertandingan terbaru hanya di Vidio.</t>
  </si>
  <si>
    <t>Medium + NTC</t>
  </si>
  <si>
    <t>https://drive.google.com/file/d/1L13cvot06pgJRjW7OlNe34TUdFbXaKls/view?usp=sharing</t>
  </si>
  <si>
    <t>https://drive.google.com/file/d/1XXilUcyNxW8xAtqMjAqnGvtFlKsvFdcb/view?usp=sharing</t>
  </si>
  <si>
    <t>f4a80c04</t>
  </si>
  <si>
    <t>Indonesia vs Chinese Taipei - Women's International Friendly Match</t>
  </si>
  <si>
    <t>https://www.vidio.com/live/19960-women-s-international-friendly-match?schedule_id=4739856</t>
  </si>
  <si>
    <t>https://drive.google.com/drive/folders/1-o3ChGi5rojG447UV0XljvPb3M7IJv4-</t>
  </si>
  <si>
    <t>Chinese Taipei</t>
  </si>
  <si>
    <t>Indonesia; chinese taipei; sports stream</t>
  </si>
  <si>
    <t>Nonton streaming pertandingan seru Indonesia vs Chinese Taipei - Women's International Friendly Match. Saksikan aksi-aksi terbaik dari tim yang bersaing ketat untuk meraih kemenangan. Dapatkan informasi lengkap mengenai jadwal pertandingan dan hasil pertandingan terbaru hanya di Vidio.</t>
  </si>
  <si>
    <t>https://drive.google.com/file/d/1mQKZAewWZYPS16Lwd3pXecOSXRtgNaYu/view?usp=sharing</t>
  </si>
  <si>
    <t>https://drive.google.com/file/d/1UVrMLE0nzWMrLpgKS6XKAncleCwgHz8-/view?usp=sharing</t>
  </si>
  <si>
    <t>c462cd9b</t>
  </si>
  <si>
    <t>Galatasaray Daikin vs Bahcelievler Bld - Turkish Women's Volleyball League</t>
  </si>
  <si>
    <t>https://www.vidio.com/live/19738-turkish-women-s-volleyball-league?schedule_id=4717744</t>
  </si>
  <si>
    <t>https://drive.google.com/drive/folders/1uDNIHkMXewTAJsHvzYTg8s76h4OXacSn?usp=sharing</t>
  </si>
  <si>
    <t>galatasaray daikin; bahcelievler bld; sports stream</t>
  </si>
  <si>
    <t>Nonton streaming pertandingan seru Galatasaray Daikin vs Bahcelievler Bld - Turkish Women's Volleyball League. Saksikan aksi-aksi terbaik dari tim yang bersaing ketat untuk meraih kemenangan. Dapatkan informasi lengkap mengenai jadwal pertandingan dan hasil pertandingan terbaru hanya di Vidio.</t>
  </si>
  <si>
    <t>https://drive.google.com/file/d/1moyjg1JA2SI8TDFOL3h_T0Jzq_rhldzW/view?usp=sharing</t>
  </si>
  <si>
    <t>https://drive.google.com/file/d/1xNzCZFYTGkbHv_r7sDpUjFAmiaAGJRHb/view?usp=sharing</t>
  </si>
  <si>
    <t>060603dc</t>
  </si>
  <si>
    <t>Eczacibasi Dynavit vs Fenerbahce Medicana - Turkish Women's Volleyball League</t>
  </si>
  <si>
    <t>https://www.vidio.com/live/19738-turkish-women-s-volleyball-league?schedule_id=4717745</t>
  </si>
  <si>
    <t>https://drive.google.com/drive/folders/1W9Ci4wiQXTR4FG4CcDcHdXKUhq4rntoB?usp=sharing</t>
  </si>
  <si>
    <t>eczacibasi dynavit; fenerbahce medicana; sports stream</t>
  </si>
  <si>
    <t>Nonton streaming pertandingan seru Eczacibasi Dynavit vs Fenerbahce Medicana - Turkish Women's Volleyball League. Saksikan aksi-aksi terbaik dari tim yang bersaing ketat untuk meraih kemenangan. Dapatkan informasi lengkap mengenai jadwal pertandingan dan hasil pertandingan terbaru hanya di Vidio.</t>
  </si>
  <si>
    <t>https://drive.google.com/file/d/1qOLmKSdmbW_lW8isDCvhW1BBZaZuZPQl/view?usp=sharing</t>
  </si>
  <si>
    <t>https://drive.google.com/file/d/1Lk5qJKUWj-DuSpfIShnAHZe1GQmFqpso/view?usp=sharing</t>
  </si>
  <si>
    <t>05a420e3</t>
  </si>
  <si>
    <t>Aras Spor vs Besiktas Ayos - Turkish Women's Volleyball League</t>
  </si>
  <si>
    <t>aras kargo; besiktas ayos volleyball; sports stream</t>
  </si>
  <si>
    <t>Nonton streaming pertandingan seru Aras Spor vs Besiktas Ayos - Turkish Women's Volleyball League. Saksikan aksi-aksi terbaik dari tim yang bersaing ketat untuk meraih kemenangan. Dapatkan informasi lengkap mengenai jadwal pertandingan dan hasil pertandingan terbaru hanya di Vidio.</t>
  </si>
  <si>
    <t>a65f5f8b</t>
  </si>
  <si>
    <t>Fenerbahce Medicana vs Galatasaray Daikin - Turkish Women's Volleyball League</t>
  </si>
  <si>
    <t>https://www.vidio.com/live/19738-turkish-women-s-volleyball-league?schedule_id=4725598</t>
  </si>
  <si>
    <t>https://drive.google.com/drive/folders/1t2-vR-annuSym_PGDPunvt_mQPOCErTV?usp=drive_link</t>
  </si>
  <si>
    <t>fenerbahce medicana; galatasaray daikin; sports stream</t>
  </si>
  <si>
    <t>Nonton streaming pertandingan seru Fenerbahce Medicana vs Galatasaray Daikin - Turkish Women's Volleyball League. Saksikan aksi-aksi terbaik dari tim yang bersaing ketat untuk meraih kemenangan. Dapatkan informasi lengkap mengenai jadwal pertandingan dan hasil pertandingan terbaru hanya di Vidio.</t>
  </si>
  <si>
    <t>https://drive.google.com/file/d/1UMuW5Zc-ddtyBT514XJW4vNPhE2iK_wS/view?usp=sharing</t>
  </si>
  <si>
    <t>https://drive.google.com/file/d/1ie6RbjPQuj-AEJixet5qBpijgok0UwD8/view?usp=sharing</t>
  </si>
  <si>
    <t>094eb8fc</t>
  </si>
  <si>
    <t>Goztepe vs Zeren Spor - Turkish Women's Volleyball League</t>
  </si>
  <si>
    <t>https://www.vidio.com/live/19738-turkish-women-s-volleyball-league?schedule_id=4726062</t>
  </si>
  <si>
    <t>https://drive.google.com/drive/folders/1hbPFWLiv4NOku6xieEDLd1rz5RH_A_KF?usp=drive_link</t>
  </si>
  <si>
    <t>Goztepe; zerenspor; sports stream</t>
  </si>
  <si>
    <t>Nonton streaming pertandingan seru Goztepe vs Zeren Spor - Turkish Women's Volleyball League. Saksikan aksi-aksi terbaik dari tim yang bersaing ketat untuk meraih kemenangan. Dapatkan informasi lengkap mengenai jadwal pertandingan dan hasil pertandingan terbaru hanya di Vidio.</t>
  </si>
  <si>
    <t>https://drive.google.com/file/d/1QBZqGeOu1ZMQc4-kYz7Rw9rS8UPclXON/view?usp=sharing</t>
  </si>
  <si>
    <t>https://drive.google.com/file/d/1Msc_c5FsZpt-txfoD9d2CtMisT4lbGeb/view?usp=sharing</t>
  </si>
  <si>
    <t>7860a84c</t>
  </si>
  <si>
    <t>Cizre Bld vs Fenerbahce Medicana - Turkish Men's Volleyball League</t>
  </si>
  <si>
    <t>https://www.vidio.com/live/19737-turkish-men-s-volleyball-league?schedule_id=4712773</t>
  </si>
  <si>
    <t>https://drive.google.com/drive/folders/1rpSPjTqtlxLC8LqumacehEGZKv5Xflsm?usp=sharing</t>
  </si>
  <si>
    <t>cizre bld volleyball; Fenerbahce Medicana; sports stream</t>
  </si>
  <si>
    <t>Nonton streaming pertandingan seru Cizre Bld vs Fenerbahce Medicana - Turkish Men's Volleyball League. Saksikan aksi-aksi terbaik dari tim yang bersaing ketat untuk meraih kemenangan. Dapatkan informasi lengkap mengenai jadwal pertandingan dan hasil pertandingan terbaru hanya di Vidio.</t>
  </si>
  <si>
    <t>https://drive.google.com/file/d/1UQGPlepWF0nS_l1FEPzcI1Udg2xF9DsC/view?usp=sharing</t>
  </si>
  <si>
    <t>https://drive.google.com/file/d/1PJSIunqIgyDIHSVVW5AVhXFXvAxizd4V/view?usp=sharing</t>
  </si>
  <si>
    <t>841ea921</t>
  </si>
  <si>
    <t>Galatasaray Daikin vs Nilufer Belediyespor - Turkish Women's Volleyball League</t>
  </si>
  <si>
    <t>https://www.vidio.com/live/19738-turkish-women-s-volleyball-league?schedule_id=4726063</t>
  </si>
  <si>
    <t>https://drive.google.com/drive/folders/1Q1onfK-eNnl1YeesGLgeZDTJVgP1VtMD?usp=drive_link</t>
  </si>
  <si>
    <t>galatasaray daikin; nilufer belediyespor; sports stream</t>
  </si>
  <si>
    <t>Nonton streaming pertandingan seru Galatasaray Daikin vs Nilufer Belediyespor - Turkish Women's Volleyball League. Saksikan aksi-aksi terbaik dari tim yang bersaing ketat untuk meraih kemenangan. Dapatkan informasi lengkap mengenai jadwal pertandingan dan hasil pertandingan terbaru hanya di Vidio.</t>
  </si>
  <si>
    <t>https://drive.google.com/file/d/13Xz8HZJfur4BZny05u0TCo3rn3pUCFL0/view?usp=sharing</t>
  </si>
  <si>
    <t>https://drive.google.com/file/d/1dic0r0BhiZ5lFTruHwdtwS2-5w5YU-oI/view?usp=sharing</t>
  </si>
  <si>
    <t>6489038f</t>
  </si>
  <si>
    <t>Vakifbank vs Goztepe - Turkish Women's Volleyball League</t>
  </si>
  <si>
    <t>https://www.vidio.com/live/19738-turkish-women-s-volleyball-league?schedule_id=4739851</t>
  </si>
  <si>
    <t>https://drive.google.com/drive/folders/1aeKt2ivsr6nFCIfB_-ArDWPDZ_mMWFqG?usp=sharing</t>
  </si>
  <si>
    <t>vakifbank volleyball; Goztepe; sports stream</t>
  </si>
  <si>
    <t>Nonton streaming pertandingan seru Vakifbank vs Goztepe - Turkish Women's Volleyball League. Saksikan aksi-aksi terbaik dari tim yang bersaing ketat untuk meraih kemenangan. Dapatkan informasi lengkap mengenai jadwal pertandingan dan hasil pertandingan terbaru hanya di Vidio.</t>
  </si>
  <si>
    <t>https://drive.google.com/file/d/1PqYvrSsNUyhmMFv8hJXg90j4sx-pw1gK/view?usp=sharing</t>
  </si>
  <si>
    <t>https://drive.google.com/file/d/1-sYn1jdSQVsNL3_uR-ZHwK2rt5vddZwu/view?usp=sharing</t>
  </si>
  <si>
    <t>455d1bbc</t>
  </si>
  <si>
    <t>Fenerbahce Medicana vs Kuzeyboru - Turkish Women's Volleyball League</t>
  </si>
  <si>
    <t>https://www.vidio.com/live/19738-turkish-women-s-volleyball-league?schedule_id=4739852</t>
  </si>
  <si>
    <t>https://drive.google.com/drive/folders/1BPCDPXntLczgaeg6JX2fYNX45PXJonrh?usp=sharing</t>
  </si>
  <si>
    <t>fenerbahce medicana; Kuzeyboru; sports stream</t>
  </si>
  <si>
    <t>Nonton streaming pertandingan seru Fenerbahce Medicana vs Kuzeyboru - Turkish Women's Volleyball League. Saksikan aksi-aksi terbaik dari tim yang bersaing ketat untuk meraih kemenangan. Dapatkan informasi lengkap mengenai jadwal pertandingan dan hasil pertandingan terbaru hanya di Vidio.</t>
  </si>
  <si>
    <t>https://drive.google.com/file/d/1D0t2HAD4q7cIMHQen75L5XF65aHi9eqF/view?usp=sharing</t>
  </si>
  <si>
    <t>https://drive.google.com/file/d/1PeGCaHZuxXokx1iFpilcVvDec5-gItbv/view?usp=sharing</t>
  </si>
  <si>
    <t>f3eb1be0</t>
  </si>
  <si>
    <t>Turk Hava Yollari vs Eczacibasi Dynavit - Turkish Women's Volleyball League</t>
  </si>
  <si>
    <t>https://www.vidio.com/live/19738-turkish-women-s-volleyball-league?schedule_id=4739854</t>
  </si>
  <si>
    <t>https://drive.google.com/drive/folders/1b8_kP-VbWgKBE2Y3PCS1yA9HQfN8yTCX?usp=sharing</t>
  </si>
  <si>
    <t>turk hava yollari; eczacibasi dynavit; sports stream</t>
  </si>
  <si>
    <t>Nonton streaming pertandingan seru Turk Hava Yollari vs Eczacibasi Dynavit - Turkish Women's Volleyball League. Saksikan aksi-aksi terbaik dari tim yang bersaing ketat untuk meraih kemenangan. Dapatkan informasi lengkap mengenai jadwal pertandingan dan hasil pertandingan terbaru hanya di Vidio.</t>
  </si>
  <si>
    <t>https://drive.google.com/file/d/1dg7bZbZTSo3I1UpWhXaa0DLF2Ydog_X8/view?usp=sharing</t>
  </si>
  <si>
    <t>https://drive.google.com/file/d/1jq-YwaQhpVqJfvyob6hBQ3YexsxVzFbj/view?usp=sharing</t>
  </si>
  <si>
    <t>61333ab6</t>
  </si>
  <si>
    <t>Gebze Bld vs Cizre Bld - Turkish Men's Volleyball League</t>
  </si>
  <si>
    <t>https://www.vidio.com/live/19737-turkish-men-s-volleyball-league?schedule_id=4720875</t>
  </si>
  <si>
    <t>https://drive.google.com/drive/folders/1KnMG_4U9gYDKLfPJulAhR2oKiaJuU6xX?usp=sharing</t>
  </si>
  <si>
    <t>Gebze Bld; cizre bld volleyball; sports stream</t>
  </si>
  <si>
    <t>Nonton streaming pertandingan seru Gebze Bld vs Cizre Bld - Turkish Men's Volleyball League. Saksikan aksi-aksi terbaik dari tim yang bersaing ketat untuk meraih kemenangan. Dapatkan informasi lengkap mengenai jadwal pertandingan dan hasil pertandingan terbaru hanya di Vidio.</t>
  </si>
  <si>
    <t>https://drive.google.com/file/d/1NQdbKfAgbvekobMp2qKrWu5vc_aWptG8/view?usp=sharing</t>
  </si>
  <si>
    <t>7e79d70b</t>
  </si>
  <si>
    <t>Ziraat Bankkart vs Spor Toto - Turkish Men's Volleyball League</t>
  </si>
  <si>
    <t>https://www.vidio.com/live/19737-turkish-men-s-volleyball-league?schedule_id=4721180</t>
  </si>
  <si>
    <t>https://drive.google.com/drive/folders/1sF-zmngYmzZfFadD1fRG5Tfy6PdytPBS?usp=sharing</t>
  </si>
  <si>
    <t>ziraat bankkart; spor toto volleyball; sports stream</t>
  </si>
  <si>
    <t>Nonton streaming pertandingan seru Ziraat Bankkart vs Spor Toto - Turkish Men's Volleyball League. Saksikan aksi-aksi terbaik dari tim yang bersaing ketat untuk meraih kemenangan. Dapatkan informasi lengkap mengenai jadwal pertandingan dan hasil pertandingan terbaru hanya di Vidio.</t>
  </si>
  <si>
    <t>https://drive.google.com/file/d/1wTvyxb2PetqImZPzeklmPI3XAOmx_sn-/view?usp=sharing</t>
  </si>
  <si>
    <t>https://drive.google.com/file/d/1_3Rr6UXp_BtWEgK8Us4zgEl7JB9XS2pf/view?usp=sharing</t>
  </si>
  <si>
    <t>de84cf62</t>
  </si>
  <si>
    <t>On Hotels Alanya Bld vs Fenerbahce Medicana - Turkish Men's Volleyball League</t>
  </si>
  <si>
    <t>https://www.vidio.com/live/19737-turkish-men-s-volleyball-league?schedule_id=4726059</t>
  </si>
  <si>
    <t>https://drive.google.com/drive/folders/1CInfrd4P2hi_qpD4ZSpSa3I-qv-q1Oft?usp=sharing</t>
  </si>
  <si>
    <t>Alanya Belediyespor</t>
  </si>
  <si>
    <t>alanya belediyespor; Fenerbahce HDI Sigorta Volleyball; sports stream</t>
  </si>
  <si>
    <t>Nonton streaming pertandingan seru On Hotels Alanya Bld vs Fenerbahce Medicana - Turkish Men's Volleyball League. Saksikan aksi-aksi terbaik dari tim yang bersaing ketat untuk meraih kemenangan. Dapatkan informasi lengkap mengenai jadwal pertandingan dan hasil pertandingan terbaru hanya di Vidio.</t>
  </si>
  <si>
    <t>https://drive.google.com/file/d/1gR9FZuhvJGOh5flCyoFKdVkNt5ldEKqM/view?usp=sharing</t>
  </si>
  <si>
    <t>https://drive.google.com/file/d/1UIvbkyfh0nEb9fuga07Z-PZ42WfVK14m/view?usp=sharing</t>
  </si>
  <si>
    <t>9ca5ef4a</t>
  </si>
  <si>
    <t>Galatasaray HDI Sigorta vs Akkus Bld - Turkish Men's Volleyball League</t>
  </si>
  <si>
    <t>https://www.vidio.com/live/19737-turkish-men-s-volleyball-league?schedule_id=4726061</t>
  </si>
  <si>
    <t>https://drive.google.com/drive/folders/1UkPCOESpGcOQ3cVaD8MskjA1aoSNEJra?usp=sharing</t>
  </si>
  <si>
    <t>Galatasaray HDI Sigorta; akkus bld volleyball; sports stream</t>
  </si>
  <si>
    <t>Nonton streaming pertandingan seru Galatasaray HDI Sigorta vs Akkus Bld - Turkish Men's Volleyball League. Saksikan aksi-aksi terbaik dari tim yang bersaing ketat untuk meraih kemenangan. Dapatkan informasi lengkap mengenai jadwal pertandingan dan hasil pertandingan terbaru hanya di Vidio.</t>
  </si>
  <si>
    <t>https://drive.google.com/file/d/1FF1WCyvxp7azR9RBAWGR8IxvELy9uW2e/view?usp=sharing</t>
  </si>
  <si>
    <t>9f14f493</t>
  </si>
  <si>
    <t>Spor Toto vs Cizre Bld - Turkish Men's Volleyball League</t>
  </si>
  <si>
    <t>https://www.vidio.com/live/19737-turkish-men-s-volleyball-league?schedule_id=4727761</t>
  </si>
  <si>
    <t>https://drive.google.com/drive/folders/1z2wXobROK9c0AMZRSdW0QylZ4KEbdqCH?usp=sharing</t>
  </si>
  <si>
    <t>spor toto volleyball; cizre bld volleyball; sports stream</t>
  </si>
  <si>
    <t>Nonton streaming pertandingan seru Spor Toto vs Cizre Bld - Turkish Men's Volleyball League. Saksikan aksi-aksi terbaik dari tim yang bersaing ketat untuk meraih kemenangan. Dapatkan informasi lengkap mengenai jadwal pertandingan dan hasil pertandingan terbaru hanya di Vidio.</t>
  </si>
  <si>
    <t>https://drive.google.com/file/d/1RbySnhlC0EBr-YIEj-V5sw1sClnY8EHw/view?usp=sharing</t>
  </si>
  <si>
    <t>https://drive.google.com/file/d/1C5Oti3icTu0zCEfkE7buQGQ_868lhhuP/view?usp=sharing</t>
  </si>
  <si>
    <t>a6438191</t>
  </si>
  <si>
    <t>Ziraat Bankkart vs Istanbul Genclik Spor - Turkish Men's Volleyball League</t>
  </si>
  <si>
    <t>https://www.vidio.com/live/19737-turkish-men-s-volleyball-league?schedule_id=4733519</t>
  </si>
  <si>
    <t>https://drive.google.com/drive/folders/1hQvdUgB_nEnGXHuwj6WsEQE9g4Qhb4tu?usp=drive_link</t>
  </si>
  <si>
    <t>ziraat bankkart; istanbul genclik spor; sports stream</t>
  </si>
  <si>
    <t>Nonton streaming pertandingan seru Ziraat Bankkart vs Istanbul Genclik Spor - Turkish Men's Volleyball League. Saksikan aksi-aksi terbaik dari tim yang bersaing ketat untuk meraih kemenangan. Dapatkan informasi lengkap mengenai jadwal pertandingan dan hasil pertandingan terbaru hanya di Vidio.</t>
  </si>
  <si>
    <t>https://drive.google.com/file/d/1-e_43BJmVPaS0gIFydgJkDlmiqjyVrcX/view?usp=sharing</t>
  </si>
  <si>
    <t>https://drive.google.com/file/d/1U92ouovRupZOjERHAE_1fb0agwjdMCco/view?usp=sharing</t>
  </si>
  <si>
    <t>bf085e2d</t>
  </si>
  <si>
    <t>Fenerbahce Medicana vs Galatasaray HDI Sigorta - Turkish Men's Volleyball League</t>
  </si>
  <si>
    <t>https://www.vidio.com/live/19737-turkish-men-s-volleyball-league?schedule_id=4733544</t>
  </si>
  <si>
    <t>https://drive.google.com/drive/folders/1vREJuPlWEjXfLSWZEyikKuXxAIR4veMa?usp=drive_link</t>
  </si>
  <si>
    <t>Fenerbahce HDI Sigorta Volleyball; Galatasaray HDI Sigorta; sports stream</t>
  </si>
  <si>
    <t>Nonton streaming pertandingan seru Fenerbahce Medicana vs Galatasaray HDI Sigorta - Turkish Men's Volleyball League. Saksikan aksi-aksi terbaik dari tim yang bersaing ketat untuk meraih kemenangan. Dapatkan informasi lengkap mengenai jadwal pertandingan dan hasil pertandingan terbaru hanya di Vidio.</t>
  </si>
  <si>
    <t>https://drive.google.com/file/d/1u03r13J8GUeQqeCXKW6LGOMMiS2_GfJt/view?usp=sharing</t>
  </si>
  <si>
    <t>https://drive.google.com/file/d/1I5Kb37HR_R2xeFZl8045VkOBEasv61vH/view?usp=sharing</t>
  </si>
  <si>
    <t>f379da55</t>
  </si>
  <si>
    <t>On Hotels Alanya Bld vs Ziraat Bankkart - Turkish Men's Volleyball League</t>
  </si>
  <si>
    <t>https://www.vidio.com/live/19737-turkish-men-s-volleyball-league?schedule_id=4739850</t>
  </si>
  <si>
    <t>https://drive.google.com/drive/folders/1AeP5dqmyhLI9DRL-cn-DAqxVSVAmhf_j?usp=drive_link</t>
  </si>
  <si>
    <t>alanya belediyespor; ziraat bankkart; sports stream</t>
  </si>
  <si>
    <t>Nonton streaming pertandingan seru On Hotels Alanya Bld vs Ziraat Bankkart - Turkish Men's Volleyball League. Saksikan aksi-aksi terbaik dari tim yang bersaing ketat untuk meraih kemenangan. Dapatkan informasi lengkap mengenai jadwal pertandingan dan hasil pertandingan terbaru hanya di Vidio.</t>
  </si>
  <si>
    <t>https://drive.google.com/file/d/1wEC9_rGYesXPQMxzd3J7vK5be7dre2Zi/view?usp=sharing</t>
  </si>
  <si>
    <t>https://drive.google.com/file/d/1nQTPi3lZI4ofsP1xV-z9Q7pB_5x0sn1v/view?usp=sharing</t>
  </si>
  <si>
    <t>a846540e</t>
  </si>
  <si>
    <t>Bursa BBSK vs Cizre Bld - Turkish Men's Volleyball League</t>
  </si>
  <si>
    <t>bursa buyuksehir belediyespor; cizre bld volleyball; sports stream</t>
  </si>
  <si>
    <t>Nonton streaming pertandingan seru Bursa BBSK vs Cizre Bld - Turkish Men's Volleyball League. Saksikan aksi-aksi terbaik dari tim yang bersaing ketat untuk meraih kemenangan. Dapatkan informasi lengkap mengenai jadwal pertandingan dan hasil pertandingan terbaru hanya di Vidio.</t>
  </si>
  <si>
    <t>05b19da4</t>
  </si>
  <si>
    <t>F1H20 Sprint Race: F1H2O 2025 - Grand Prix of Jeddah, Saudi Arabia</t>
  </si>
  <si>
    <t>https://www.vidio.com/live/19431-f1h20-sprint-race-f1h2o-2025-grand-prix-of-jeddah-saudi-arabia?schedule_id=4739623</t>
  </si>
  <si>
    <t>https://drive.google.com/drive/folders/18r0S0JXWeav0p4hIjogzb_dLikUMicvY?usp=sharing</t>
  </si>
  <si>
    <t>Nonton streaming pertandingan seru F1H20 Sprint Race: F1H2O 2025 - Grand Prix of Jeddah, Saudi Arabia. Saksikan aksi-aksi terbaik dari tim yang bersaing ketat untuk meraih kemenangan. Dapatkan informasi lengkap mengenai jadwal pertandingan dan hasil pertandingan terbaru hanya di Vidio.</t>
  </si>
  <si>
    <t>https://drive.google.com/file/d/131zGq9ytuJN1xTK_ak3T2p5O9Olqq2_I/view?usp=sharing</t>
  </si>
  <si>
    <t>https://drive.google.com/file/d/1zD2wKQesC9_f4Q5LZ2b8qaVioDw2oWWw/view?usp=sharing</t>
  </si>
  <si>
    <t>ca2694dd</t>
  </si>
  <si>
    <t>F1H20 Race: F1H2O 2025 - Grand Prix of Jeddah, Saudi Arabia</t>
  </si>
  <si>
    <t>https://drive.google.com/drive/folders/1nw30QroeCiBnjwm2QvX2oKWvcXQGNXkB?usp=sharing</t>
  </si>
  <si>
    <t>Nonton streaming pertandingan seru F1H20 Race: F1H2O 2025 - Grand Prix of Jeddah, Saudi Arabia. Saksikan aksi-aksi terbaik dari tim yang bersaing ketat untuk meraih kemenangan. Dapatkan informasi lengkap mengenai jadwal pertandingan dan hasil pertandingan terbaru hanya di Vidio.</t>
  </si>
  <si>
    <t>https://drive.google.com/file/d/1xG9TsSOhoi8EyFOSNpc9YeM_0f0Bb10T/view?usp=sharing</t>
  </si>
  <si>
    <t>https://drive.google.com/file/d/1niEZWzdGvrdKtJKDSCPkZy1svxueoVVC/view?usp=sharing</t>
  </si>
  <si>
    <t>7579fb8b</t>
  </si>
  <si>
    <t>Man City vs Brentford - Carabao Cup</t>
  </si>
  <si>
    <t>https://www.vidio.com/live/19753-carabao-cup-2025-26?schedule_id=4779495</t>
  </si>
  <si>
    <t>https://drive.google.com/drive/folders/14UTiJDbpqwWMFWkFLV214UonubDxEizQ</t>
  </si>
  <si>
    <t>https://drive.google.com/file/d/10W03pOLcwCGLzk_ebnJgeYgAHDldv3aG/view?usp=sharing</t>
  </si>
  <si>
    <t>Nonton streaming pertandingan seru Man City vs Brentford - Carabao Cup. Saksikan aksi-aksi terbaik dari tim yang bersaing ketat untuk meraih kemenangan. Dapatkan informasi lengkap mengenai jadwal pertandingan dan hasil pertandingan terbaru hanya di Vidio.</t>
  </si>
  <si>
    <t>Quarter Final</t>
  </si>
  <si>
    <t>NTC Gabungan</t>
  </si>
  <si>
    <t>https://drive.google.com/file/d/1_YmOidI_KYHhdXh6M0uVwl9hdRMq6lII/view?usp=sharing</t>
  </si>
  <si>
    <t>https://drive.google.com/file/d/17EgcNw0TtNEtQmgfxO9p1beJ9NPNvHcb/view?usp=sharing</t>
  </si>
  <si>
    <t>92d865d4</t>
  </si>
  <si>
    <t>Cardiff City vs Chelsea - Carabao Cup</t>
  </si>
  <si>
    <t>https://www.vidio.com/live/19753-carabao-cup-2025-26?schedule_id=4779494</t>
  </si>
  <si>
    <t>https://drive.google.com/drive/folders/1e7T-U9Jjl-od9Twp0iDQwQD29a0MkSP7</t>
  </si>
  <si>
    <t>https://drive.google.com/file/d/1v-5yjWqxKtvOPkoLh6SOSHbmx_8gXGn8/view?usp=sharing</t>
  </si>
  <si>
    <t>cardiff city fc; chelsea fc; sports stream</t>
  </si>
  <si>
    <t>Nonton streaming pertandingan seru Cardiff City vs Chelsea - Carabao Cup. Saksikan aksi-aksi terbaik dari tim yang bersaing ketat untuk meraih kemenangan. Dapatkan informasi lengkap mengenai jadwal pertandingan dan hasil pertandingan terbaru hanya di Vidio.</t>
  </si>
  <si>
    <t>https://drive.google.com/file/d/1Bw6AzBALIjtp8dL_HgcM9G-CUuMWeF73/view?usp=sharing</t>
  </si>
  <si>
    <t>https://drive.google.com/file/d/12_MuCsv_mnliPmkwAfUmTMAycjr3kiHT/view?usp=sharing</t>
  </si>
  <si>
    <t>3b85f7e4</t>
  </si>
  <si>
    <t>Newcastle vs Fulham - Carabao Cup</t>
  </si>
  <si>
    <t>https://www.vidio.com/live/19370-carabao-cup-2025-26?schedule_id=4779497</t>
  </si>
  <si>
    <t>https://drive.google.com/drive/folders/1dTA5cSu7BJxDmPJ4fdU2u0MpuyF0wP-X</t>
  </si>
  <si>
    <t>https://drive.google.com/file/d/1FXL06sBKXw_7NE0WlB-Zko6NhE1HfDg-/view?usp=sharing</t>
  </si>
  <si>
    <t>Nonton streaming pertandingan seru Newcastle vs Fulham - Carabao Cup. Saksikan aksi-aksi terbaik dari tim yang bersaing ketat untuk meraih kemenangan. Dapatkan informasi lengkap mengenai jadwal pertandingan dan hasil pertandingan terbaru hanya di Vidio.</t>
  </si>
  <si>
    <t>https://drive.google.com/file/d/1ewduFNERJIKNE9VuQFV-JRMes7od2zmE/view?usp=sharing</t>
  </si>
  <si>
    <t>https://drive.google.com/file/d/1eu97__VpeGbHVY9Xge1Low3RXUGeohOR/view?usp=sharing</t>
  </si>
  <si>
    <t>c6fd3315</t>
  </si>
  <si>
    <t>Arsenal vs Crystal Palace - Carabao Cup</t>
  </si>
  <si>
    <t>https://www.vidio.com/live/6685-champions-tv-1?schedule_id=4792866</t>
  </si>
  <si>
    <t>https://drive.google.com/drive/folders/1ZSh9xykgYzT_UGJHyqKBxkWUs5rqeMBT</t>
  </si>
  <si>
    <t>https://drive.google.com/file/d/1dbzr0lo4pCFMkbqEeQ8RHdJViv7s-2ge/view?usp=sharing</t>
  </si>
  <si>
    <t>Nonton streaming pertandingan seru Arsenal vs Crystal Palace - Carabao Cup. Saksikan aksi-aksi terbaik dari tim yang bersaing ketat untuk meraih kemenangan. Dapatkan informasi lengkap mengenai jadwal pertandingan dan hasil pertandingan terbaru hanya di Vidio.</t>
  </si>
  <si>
    <t>https://drive.google.com/file/d/1OXm2B6lZvL2y5VusukzI_vTXS5lypsPK/view?usp=sharing</t>
  </si>
  <si>
    <t>https://drive.google.com/file/d/1AOfDKN410EAfsKbF-BJHXakMkDqBUdHw/view?usp=sharing</t>
  </si>
  <si>
    <t>98c232a1</t>
  </si>
  <si>
    <t>Rajadamnern 2025 Welterweight Title</t>
  </si>
  <si>
    <t>https://www.vidio.com/live/19388-rws-muay-thai-2025?schedule_id=4713734</t>
  </si>
  <si>
    <t>https://drive.google.com/drive/folders/1WrEboVtxuJcfzSvrJpzKhzUoi-K9AnTT</t>
  </si>
  <si>
    <t>https://drive.google.com/drive/folders/1xLMl4QxxEcob90MfCjWi9vA9WB1FRkgf?usp=drive_link</t>
  </si>
  <si>
    <t>Nonton streaming pertandingan seru Rajadamnern 2025 Welterweight Title. Saksikan aksi-aksi terbaik dari tim yang bersaing ketat untuk meraih kemenangan. Dapatkan informasi lengkap mengenai jadwal pertandingan dan hasil pertandingan terbaru hanya di Vidio.</t>
  </si>
  <si>
    <t>https://drive.google.com/file/d/1YdZCiCog_kXZevcEMhWVPXh0e99YwlFY/view?usp=sharing</t>
  </si>
  <si>
    <t>https://drive.google.com/file/d/19461o6MpeXOACse8OXNC3_PP-bwCPTMD/view?usp=sharing</t>
  </si>
  <si>
    <t>d0c1ea1d</t>
  </si>
  <si>
    <t>Chicago Bears vs Minnesota Vikings - NFL</t>
  </si>
  <si>
    <t>https://www.vidio.com/live/19748-national-football-league-2025-26?schedule_id=4717975</t>
  </si>
  <si>
    <t>https://drive.google.com/drive/u/0/folders/1-c4U1IHu-F-CJjpiqBVNZgY6mQvDYOOL</t>
  </si>
  <si>
    <t>Nonton streaming pertandingan seru Chicago Bears vs Minnesota Vikings - NFL. Saksikan aksi-aksi terbaik dari tim yang bersaing ketat untuk meraih kemenangan. Dapatkan informasi lengkap mengenai jadwal pertandingan dan hasil pertandingan terbaru hanya di Vidio.</t>
  </si>
  <si>
    <t>https://drive.google.com/file/d/1zI14GOVQW0_C0J8PyppqDwqdNEUMm66z/view?usp=sharing</t>
  </si>
  <si>
    <t>https://drive.google.com/file/d/1x9zYWDQc5p8x8n-AIC6znEzj1H4Qydyr/view?usp=sharing</t>
  </si>
  <si>
    <t>606c22b8</t>
  </si>
  <si>
    <t>New York Jets vs New England Patriots - NFL</t>
  </si>
  <si>
    <t>https://www.vidio.com/live/19748-national-football-league-2025-26?schedule_id=4716792</t>
  </si>
  <si>
    <t>https://drive.google.com/drive/u/0/folders/1v_9-R35BwEt1LVU66919P9aJXLk2m4Bo</t>
  </si>
  <si>
    <t>Nonton streaming pertandingan seru New York Jets vs New England Patriots - NFL. Saksikan aksi-aksi terbaik dari tim yang bersaing ketat untuk meraih kemenangan. Dapatkan informasi lengkap mengenai jadwal pertandingan dan hasil pertandingan terbaru hanya di Vidio.</t>
  </si>
  <si>
    <t>https://drive.google.com/file/d/1MzaXMd2R7OnpX4S0fqe_gh9xhxEJ4Utc/view?usp=sharing</t>
  </si>
  <si>
    <t>https://drive.google.com/file/d/1Ojk0VBIIkjM72MnHCMT6pYk3QvsDCRgb/view?usp=sharing</t>
  </si>
  <si>
    <t>91973ea8</t>
  </si>
  <si>
    <t>Kansas City Chiefs vs Denver Broncos - NFL</t>
  </si>
  <si>
    <t>https://www.vidio.com/live/19748-national-football-league-2025-26?schedule_id=4717977</t>
  </si>
  <si>
    <t>https://drive.google.com/drive/u/0/folders/1Hdj3pRfIOnVmfxXgqicBn124A100uFYY</t>
  </si>
  <si>
    <t>Nonton streaming pertandingan seru Kansas City Chiefs vs Denver Broncos - NFL. Saksikan aksi-aksi terbaik dari tim yang bersaing ketat untuk meraih kemenangan. Dapatkan informasi lengkap mengenai jadwal pertandingan dan hasil pertandingan terbaru hanya di Vidio.</t>
  </si>
  <si>
    <t>https://drive.google.com/file/d/108gjRkj1WTjNBOnTmljhAi1Il8xyfNIi/view?usp=sharing</t>
  </si>
  <si>
    <t>https://drive.google.com/file/d/1-U1q8GspCE3115V56nvmSsAXAJIMpffI/view?usp=sharing</t>
  </si>
  <si>
    <t>760562c9</t>
  </si>
  <si>
    <t>Detroit Lions vs Philadelphia Eagles - NFL</t>
  </si>
  <si>
    <t>https://www.vidio.com/live/19748-national-football-league-2025-26?schedule_id=4717978</t>
  </si>
  <si>
    <t>https://drive.google.com/drive/u/0/folders/1Y3lQ-2tCOtwz1v08MY9NDUqIZiFn_eY5</t>
  </si>
  <si>
    <t>Nonton streaming pertandingan seru Detroit Lions vs Philadelphia Eagles - NFL. Saksikan aksi-aksi terbaik dari tim yang bersaing ketat untuk meraih kemenangan. Dapatkan informasi lengkap mengenai jadwal pertandingan dan hasil pertandingan terbaru hanya di Vidio.</t>
  </si>
  <si>
    <t>https://drive.google.com/file/d/1TGWjDvtRyVIvPkzpJOzeGFb6Ss7t3BgN/view?usp=sharing</t>
  </si>
  <si>
    <t>https://drive.google.com/file/d/1EP8mhvrtnJCafh_UALKFQCJZCQC5m8Ch/view?usp=sharing</t>
  </si>
  <si>
    <t>1ab65fdf</t>
  </si>
  <si>
    <t>Dallas Cowboys vs Las Vegas Raiders - NFL</t>
  </si>
  <si>
    <t>https://www.vidio.com/live/19748-national-football-league-2025-26?schedule_id=4717991</t>
  </si>
  <si>
    <t>https://drive.google.com/drive/u/0/folders/1oREzaZt4ruI5MmWA3clsMroBuxUt2uP2</t>
  </si>
  <si>
    <t>Nonton streaming pertandingan seru Dallas Cowboys vs Las Vegas Raiders - NFL. Saksikan aksi-aksi terbaik dari tim yang bersaing ketat untuk meraih kemenangan. Dapatkan informasi lengkap mengenai jadwal pertandingan dan hasil pertandingan terbaru hanya di Vidio.</t>
  </si>
  <si>
    <t>https://drive.google.com/file/d/195_mM7rYJV6Rg83eXtUlrim2rM1E74mF/view?usp=sharing</t>
  </si>
  <si>
    <t>https://drive.google.com/file/d/1-fNtNqPwMS6GFLFtt7rYvda1olJU6LGY/view?usp=sharing</t>
  </si>
  <si>
    <t>93002985</t>
  </si>
  <si>
    <t>Matchday 10 - Top Youth Premier League</t>
  </si>
  <si>
    <t>https://www.vidio.com/live/19802-top-youth-premier-league-2025-matchday-10</t>
  </si>
  <si>
    <t>Nonton streaming pertandingan seru Matchday 10 - Top Youth Premier League. Saksikan aksi-aksi terbaik dari tim yang bersaing ketat untuk meraih kemenangan. Dapatkan informasi lengkap mengenai jadwal pertandingan dan hasil pertandingan terbaru hanya di Vidio.</t>
  </si>
  <si>
    <t>7c433f36</t>
  </si>
  <si>
    <t>PRO DIRECT ACADEMY vs MUTIARA 97 - Top Youth Premier League 2025 U-9</t>
  </si>
  <si>
    <t>https://www.vidio.com/live/19802-top-youth-premier-league-2025-matchday-10?schedule_id=4709312</t>
  </si>
  <si>
    <t>Nonton streaming pertandingan seru PRO DIRECT ACADEMY vs MUTIARA 97 - Top Youth Premier League 2025 U-9. Saksikan aksi-aksi terbaik dari tim yang bersaing ketat untuk meraih kemenangan. Dapatkan informasi lengkap mengenai jadwal pertandingan dan hasil pertandingan terbaru hanya di Vidio.</t>
  </si>
  <si>
    <t>f51bee49</t>
  </si>
  <si>
    <t>ASIOP BIRU vs RDC PRATAMA - Top Youth Premier League 2025 U-10</t>
  </si>
  <si>
    <t>https://www.vidio.com/live/19802-top-youth-premier-league-2025-matchday-10?schedule_id=4709313</t>
  </si>
  <si>
    <t>Nonton streaming pertandingan seru ASIOP BIRU vs RDC PRATAMA - Top Youth Premier League 2025 U-10. Saksikan aksi-aksi terbaik dari tim yang bersaing ketat untuk meraih kemenangan. Dapatkan informasi lengkap mengenai jadwal pertandingan dan hasil pertandingan terbaru hanya di Vidio.</t>
  </si>
  <si>
    <t>89f52233</t>
  </si>
  <si>
    <t>FOLK FOOTBALL vs MAESA PARARAIDERS - Top Youth Premier League 2025 U-9</t>
  </si>
  <si>
    <t>https://www.vidio.com/live/19802-top-youth-premier-league-2025-matchday-10?schedule_id=4709315</t>
  </si>
  <si>
    <t>Nonton streaming pertandingan seru FOLK FOOTBALL vs MAESA PARARAIDERS - Top Youth Premier League 2025 U-9. Saksikan aksi-aksi terbaik dari tim yang bersaing ketat untuk meraih kemenangan. Dapatkan informasi lengkap mengenai jadwal pertandingan dan hasil pertandingan terbaru hanya di Vidio.</t>
  </si>
  <si>
    <t>ae021d52</t>
  </si>
  <si>
    <t>MAVERICKS vs BINNA BANUA - Top Youth Premier League 2025 U-10</t>
  </si>
  <si>
    <t>https://www.vidio.com/live/19802-top-youth-premier-league-2025-matchday-10?schedule_id=4709317</t>
  </si>
  <si>
    <t>Nonton streaming pertandingan seru MAVERICKS vs BINNA BANUA - Top Youth Premier League 2025 U-10. Saksikan aksi-aksi terbaik dari tim yang bersaing ketat untuk meraih kemenangan. Dapatkan informasi lengkap mengenai jadwal pertandingan dan hasil pertandingan terbaru hanya di Vidio.</t>
  </si>
  <si>
    <t>4207ce95</t>
  </si>
  <si>
    <t>PONDOK BAMBU vs MUTIARA 97 - Top Youth Premier League 2025 U-9</t>
  </si>
  <si>
    <t>https://www.vidio.com/live/19802-top-youth-premier-league-2025-matchday-10?schedule_id=4709318</t>
  </si>
  <si>
    <t>Nonton streaming pertandingan seru PONDOK BAMBU vs MUTIARA 97 - Top Youth Premier League 2025 U-9. Saksikan aksi-aksi terbaik dari tim yang bersaing ketat untuk meraih kemenangan. Dapatkan informasi lengkap mengenai jadwal pertandingan dan hasil pertandingan terbaru hanya di Vidio.</t>
  </si>
  <si>
    <t>0048262c</t>
  </si>
  <si>
    <t>PRAHARA vs SUKMAJAYA - Top Youth Premier League 2025 U-11</t>
  </si>
  <si>
    <t>https://www.vidio.com/live/19802-top-youth-premier-league-2025-matchday-10?schedule_id=4709319</t>
  </si>
  <si>
    <t>Nonton streaming pertandingan seru PRAHARA vs SUKMAJAYA - Top Youth Premier League 2025 U-11. Saksikan aksi-aksi terbaik dari tim yang bersaing ketat untuk meraih kemenangan. Dapatkan informasi lengkap mengenai jadwal pertandingan dan hasil pertandingan terbaru hanya di Vidio.</t>
  </si>
  <si>
    <t>4f0f4e61</t>
  </si>
  <si>
    <t>TAJIMALELA vs YOUNG WARRIOR APOLLO - Top Youth Premier League 2025 U-11</t>
  </si>
  <si>
    <t>https://www.vidio.com/live/19802-top-youth-premier-league-2025-matchday-10?schedule_id=4709320</t>
  </si>
  <si>
    <t>Nonton streaming pertandingan seru TAJIMALELA vs YOUNG WARRIOR APOLLO - Top Youth Premier League 2025 U-11. Saksikan aksi-aksi terbaik dari tim yang bersaing ketat untuk meraih kemenangan. Dapatkan informasi lengkap mengenai jadwal pertandingan dan hasil pertandingan terbaru hanya di Vidio.</t>
  </si>
  <si>
    <t>3be97f7c</t>
  </si>
  <si>
    <t>BRILLIANT vs BINA TARUNA - Top Youth Premier League 2025 U-11</t>
  </si>
  <si>
    <t>https://www.vidio.com/live/19802-top-youth-premier-league-2025-matchday-10?schedule_id=4709322</t>
  </si>
  <si>
    <t>Nonton streaming pertandingan seru BRILLIANT vs BINA TARUNA - Top Youth Premier League 2025 U-11. Saksikan aksi-aksi terbaik dari tim yang bersaing ketat untuk meraih kemenangan. Dapatkan informasi lengkap mengenai jadwal pertandingan dan hasil pertandingan terbaru hanya di Vidio.</t>
  </si>
  <si>
    <t>9c987d4f</t>
  </si>
  <si>
    <t>FFF NORTH vs STEELFORD UNITED - Top Youth Premier League 2025 U-11</t>
  </si>
  <si>
    <t>https://www.vidio.com/live/19802-top-youth-premier-league-2025-matchday-10?schedule_id=4709323</t>
  </si>
  <si>
    <t>Nonton streaming pertandingan seru FFF NORTH vs STEELFORD UNITED - Top Youth Premier League 2025 U-11. Saksikan aksi-aksi terbaik dari tim yang bersaing ketat untuk meraih kemenangan. Dapatkan informasi lengkap mengenai jadwal pertandingan dan hasil pertandingan terbaru hanya di Vidio.</t>
  </si>
  <si>
    <t>9de0a050</t>
  </si>
  <si>
    <t>RFA F16 vs JAGAKARSA - Top Youth Premier League 2025 U-11</t>
  </si>
  <si>
    <t>https://www.vidio.com/live/19802-top-youth-premier-league-2025-matchday-10?schedule_id=4709324</t>
  </si>
  <si>
    <t>Nonton streaming pertandingan seru RFA F16 vs JAGAKARSA - Top Youth Premier League 2025 U-11. Saksikan aksi-aksi terbaik dari tim yang bersaing ketat untuk meraih kemenangan. Dapatkan informasi lengkap mengenai jadwal pertandingan dan hasil pertandingan terbaru hanya di Vidio.</t>
  </si>
  <si>
    <t>0e47e720</t>
  </si>
  <si>
    <t>CITRA MUDA BEKASI vs SOCCER FUTURELAB - Top Youth Premier League 2025 U-12</t>
  </si>
  <si>
    <t>https://www.vidio.com/live/19802-top-youth-premier-league-2025-matchday-10?schedule_id=4709325</t>
  </si>
  <si>
    <t>Nonton streaming pertandingan seru CITRA MUDA BEKASI vs SOCCER FUTURELAB - Top Youth Premier League 2025 U-12. Saksikan aksi-aksi terbaik dari tim yang bersaing ketat untuk meraih kemenangan. Dapatkan informasi lengkap mengenai jadwal pertandingan dan hasil pertandingan terbaru hanya di Vidio.</t>
  </si>
  <si>
    <t>8e753bde</t>
  </si>
  <si>
    <t>ASIOP BIRU vs RAGA NEGERI - Top Youth Premier League 2025 U-12</t>
  </si>
  <si>
    <t>https://www.vidio.com/live/19802-top-youth-premier-league-2025-matchday-10?schedule_id=4709326</t>
  </si>
  <si>
    <t>Nonton streaming pertandingan seru ASIOP BIRU vs RAGA NEGERI - Top Youth Premier League 2025 U-12. Saksikan aksi-aksi terbaik dari tim yang bersaing ketat untuk meraih kemenangan. Dapatkan informasi lengkap mengenai jadwal pertandingan dan hasil pertandingan terbaru hanya di Vidio.</t>
  </si>
  <si>
    <t>1f4eb031</t>
  </si>
  <si>
    <t>https://www.vidio.com/live/19802-top-youth-premier-league-2025-matchday-10?schedule_id=4709327</t>
  </si>
  <si>
    <t>cd7765ed</t>
  </si>
  <si>
    <t>https://www.vidio.com/live/19802-top-youth-premier-league-2025-matchday-10?schedule_id=4709328</t>
  </si>
  <si>
    <t>489bb0f1</t>
  </si>
  <si>
    <t>https://www.vidio.com/live/19802-top-youth-premier-league-2025-matchday-10?schedule_id=4709329</t>
  </si>
  <si>
    <t>aca29b4b</t>
  </si>
  <si>
    <t>Lap. Nagrak Trisakti: Babak Knockout - Top Soccer Championship U-15</t>
  </si>
  <si>
    <t>Top Soccer Championship 2025</t>
  </si>
  <si>
    <t>https://www.vidio.com/live/19810-top-soccer-championship-2025-u-15</t>
  </si>
  <si>
    <t>https://drive.google.com/file/d/1bGAtWdCSL-v2iZg1GvRoYwXZwXVqVH3x/view?usp=drive_link</t>
  </si>
  <si>
    <t>Sports &gt; Football &gt; Top Soccer Championship</t>
  </si>
  <si>
    <t>Top Soccer Championship; Top Soccer Championship 2025</t>
  </si>
  <si>
    <t>Nonton streaming pertandingan seru Lap. Nagrak Trisakti: Babak Knockout - Top Soccer Championship U-15. Saksikan aksi-aksi terbaik dari tim yang bersaing ketat untuk meraih kemenangan. Dapatkan informasi lengkap mengenai jadwal pertandingan dan hasil pertandingan terbaru hanya di Vidio.</t>
  </si>
  <si>
    <t>https://drive.google.com/file/d/1bGAtWdCSL-v2iZg1GvRoYwXZwXVqVH3x/view?usp=sharing</t>
  </si>
  <si>
    <t>b811db2b</t>
  </si>
  <si>
    <t>‎Lapangan Garam, Gn. Sindur: Babak Knockout - Top Soccer Championship U-17</t>
  </si>
  <si>
    <t>https://www.vidio.com/live/19811-top-soccer-championship-2025-u-17</t>
  </si>
  <si>
    <t>Nonton streaming pertandingan seru ‎Lapangan Garam, Gn. Sindur: Babak Knockout - Top Soccer Championship U-17. Saksikan aksi-aksi terbaik dari tim yang bersaing ketat untuk meraih kemenangan. Dapatkan informasi lengkap mengenai jadwal pertandingan dan hasil pertandingan terbaru hanya di Vidio.</t>
  </si>
  <si>
    <t>1d4e164b</t>
  </si>
  <si>
    <t>https://www.vidio.com/live/19812-top-soccer-championship-2025-u-15</t>
  </si>
  <si>
    <t>52568203</t>
  </si>
  <si>
    <t>‎Lapangan Garam, Gn. Sindur: Babak Knockout - Top Soccer Championship U-16</t>
  </si>
  <si>
    <t>https://www.vidio.com/live/19813-top-soccer-championship-2025-u-16</t>
  </si>
  <si>
    <t>Nonton streaming pertandingan seru ‎Lapangan Garam, Gn. Sindur: Babak Knockout - Top Soccer Championship U-16. Saksikan aksi-aksi terbaik dari tim yang bersaing ketat untuk meraih kemenangan. Dapatkan informasi lengkap mengenai jadwal pertandingan dan hasil pertandingan terbaru hanya di Vidio.</t>
  </si>
  <si>
    <t>80753d93</t>
  </si>
  <si>
    <t>HRC vs Red Phoenix – TSC 2025 U-15 (Plate)</t>
  </si>
  <si>
    <t>https://www.vidio.com/live/19810-top-soccer-championship-2025-u-15?schedule_id=4708362</t>
  </si>
  <si>
    <t>Nonton streaming pertandingan seru HRC vs Red Phoenix – TSC 2025 U-15 (Plate). Saksikan aksi-aksi terbaik dari tim yang bersaing ketat untuk meraih kemenangan. Dapatkan informasi lengkap mengenai jadwal pertandingan dan hasil pertandingan terbaru hanya di Vidio.</t>
  </si>
  <si>
    <t>9e13aaf3</t>
  </si>
  <si>
    <t>Tunas Prima vs Asiop Biru – TSC 2025 U-15 (Plate)</t>
  </si>
  <si>
    <t>https://www.vidio.com/live/19810-top-soccer-championship-2025-u-15?schedule_id=4708367</t>
  </si>
  <si>
    <t>Nonton streaming pertandingan seru Tunas Prima vs Asiop Biru – TSC 2025 U-15 (Plate). Saksikan aksi-aksi terbaik dari tim yang bersaing ketat untuk meraih kemenangan. Dapatkan informasi lengkap mengenai jadwal pertandingan dan hasil pertandingan terbaru hanya di Vidio.</t>
  </si>
  <si>
    <t>79e7b03e</t>
  </si>
  <si>
    <t>Bintang Jr vs Tajimalela – TSC 2025 U-15 (Plate)</t>
  </si>
  <si>
    <t>https://www.vidio.com/live/19810-top-soccer-championship-2025-u-15?schedule_id=4708363</t>
  </si>
  <si>
    <t>Nonton streaming pertandingan seru Bintang Jr vs Tajimalela – TSC 2025 U-15 (Plate). Saksikan aksi-aksi terbaik dari tim yang bersaing ketat untuk meraih kemenangan. Dapatkan informasi lengkap mengenai jadwal pertandingan dan hasil pertandingan terbaru hanya di Vidio.</t>
  </si>
  <si>
    <t>5706f072</t>
  </si>
  <si>
    <t>Young Tiger vs Bogor City – TSC 2025 U-15 (Plate)</t>
  </si>
  <si>
    <t>https://www.vidio.com/live/19810-top-soccer-championship-2025-u-15?schedule_id=4708364</t>
  </si>
  <si>
    <t>Nonton streaming pertandingan seru Young Tiger vs Bogor City – TSC 2025 U-15 (Plate). Saksikan aksi-aksi terbaik dari tim yang bersaing ketat untuk meraih kemenangan. Dapatkan informasi lengkap mengenai jadwal pertandingan dan hasil pertandingan terbaru hanya di Vidio.</t>
  </si>
  <si>
    <t>c7a1be5a</t>
  </si>
  <si>
    <t>Binna Banua vs Thisa Bekasi – TSC 2025 U-15 (Cup)</t>
  </si>
  <si>
    <t>https://www.vidio.com/live/19810-top-soccer-championship-2025-u-15?schedule_id=4708365</t>
  </si>
  <si>
    <t>Nonton streaming pertandingan seru Binna Banua vs Thisa Bekasi – TSC 2025 U-15 (Cup). Saksikan aksi-aksi terbaik dari tim yang bersaing ketat untuk meraih kemenangan. Dapatkan informasi lengkap mengenai jadwal pertandingan dan hasil pertandingan terbaru hanya di Vidio.</t>
  </si>
  <si>
    <t>667a5752</t>
  </si>
  <si>
    <t>Asiop Merah vs Bina Patra – TSC 2025 U-15 (Cup)</t>
  </si>
  <si>
    <t>https://www.vidio.com/live/19810-top-soccer-championship-2025-u-15?schedule_id=4708366</t>
  </si>
  <si>
    <t>Nonton streaming pertandingan seru Asiop Merah vs Bina Patra – TSC 2025 U-15 (Cup). Saksikan aksi-aksi terbaik dari tim yang bersaing ketat untuk meraih kemenangan. Dapatkan informasi lengkap mengenai jadwal pertandingan dan hasil pertandingan terbaru hanya di Vidio.</t>
  </si>
  <si>
    <t>325acee0</t>
  </si>
  <si>
    <t>Bogor City vs Serang City – TSC 2025 U-17</t>
  </si>
  <si>
    <t>https://www.vidio.com/live/19811-top-soccer-championship-2025-u-17?schedule_id=4708224</t>
  </si>
  <si>
    <t>Nonton streaming pertandingan seru Bogor City vs Serang City – TSC 2025 U-17. Saksikan aksi-aksi terbaik dari tim yang bersaing ketat untuk meraih kemenangan. Dapatkan informasi lengkap mengenai jadwal pertandingan dan hasil pertandingan terbaru hanya di Vidio.</t>
  </si>
  <si>
    <t>57ea0543</t>
  </si>
  <si>
    <t>Sparta 1979 vs Brazillian SS – TSC 2025 U-17</t>
  </si>
  <si>
    <t>https://www.vidio.com/live/19811-top-soccer-championship-2025-u-17?schedule_id=4708225</t>
  </si>
  <si>
    <t>Nonton streaming pertandingan seru Sparta 1979 vs Brazillian SS – TSC 2025 U-17. Saksikan aksi-aksi terbaik dari tim yang bersaing ketat untuk meraih kemenangan. Dapatkan informasi lengkap mengenai jadwal pertandingan dan hasil pertandingan terbaru hanya di Vidio.</t>
  </si>
  <si>
    <t>970baccc</t>
  </si>
  <si>
    <t>Padurenan vs SHD – TSC 2025 U-17</t>
  </si>
  <si>
    <t>https://www.vidio.com/live/19811-top-soccer-championship-2025-u-17?schedule_id=4708229</t>
  </si>
  <si>
    <t>Nonton streaming pertandingan seru Padurenan vs SHD – TSC 2025 U-17. Saksikan aksi-aksi terbaik dari tim yang bersaing ketat untuk meraih kemenangan. Dapatkan informasi lengkap mengenai jadwal pertandingan dan hasil pertandingan terbaru hanya di Vidio.</t>
  </si>
  <si>
    <t>6e7280d1</t>
  </si>
  <si>
    <t>Ganendra Satya vs OSSC – TSC 2025 U-17</t>
  </si>
  <si>
    <t>https://www.vidio.com/live/19811-top-soccer-championship-2025-u-17?schedule_id=4708226</t>
  </si>
  <si>
    <t>Nonton streaming pertandingan seru Ganendra Satya vs OSSC – TSC 2025 U-17. Saksikan aksi-aksi terbaik dari tim yang bersaing ketat untuk meraih kemenangan. Dapatkan informasi lengkap mengenai jadwal pertandingan dan hasil pertandingan terbaru hanya di Vidio.</t>
  </si>
  <si>
    <t>fb94b6f9</t>
  </si>
  <si>
    <t>PS Putra vs Arena Jr – TSC 2025 U-17</t>
  </si>
  <si>
    <t>https://www.vidio.com/live/19811-top-soccer-championship-2025-u-17?schedule_id=4708227</t>
  </si>
  <si>
    <t>Nonton streaming pertandingan seru PS Putra vs Arena Jr – TSC 2025 U-17. Saksikan aksi-aksi terbaik dari tim yang bersaing ketat untuk meraih kemenangan. Dapatkan informasi lengkap mengenai jadwal pertandingan dan hasil pertandingan terbaru hanya di Vidio.</t>
  </si>
  <si>
    <t>5fc4d89b</t>
  </si>
  <si>
    <t>Bina Taruna vs HRC FA – TSC 2025 U-17</t>
  </si>
  <si>
    <t>https://www.vidio.com/live/19811-top-soccer-championship-2025-u-17?schedule_id=4708228</t>
  </si>
  <si>
    <t>Nonton streaming pertandingan seru Bina Taruna vs HRC FA – TSC 2025 U-17. Saksikan aksi-aksi terbaik dari tim yang bersaing ketat untuk meraih kemenangan. Dapatkan informasi lengkap mengenai jadwal pertandingan dan hasil pertandingan terbaru hanya di Vidio.</t>
  </si>
  <si>
    <t>0fa7a546</t>
  </si>
  <si>
    <t>Bimba Aiueo vs Bina Taruna – TSC 2025 U-15 (Cup)</t>
  </si>
  <si>
    <t>https://www.vidio.com/live/19812-top-soccer-championship-2025-u-15?schedule_id=4708847</t>
  </si>
  <si>
    <t>Nonton streaming pertandingan seru Bimba Aiueo vs Bina Taruna – TSC 2025 U-15 (Cup). Saksikan aksi-aksi terbaik dari tim yang bersaing ketat untuk meraih kemenangan. Dapatkan informasi lengkap mengenai jadwal pertandingan dan hasil pertandingan terbaru hanya di Vidio.</t>
  </si>
  <si>
    <t>4b8b3e3e</t>
  </si>
  <si>
    <t>JAS vs Diklat Isa – TSC 2025 U-15 (Cup)</t>
  </si>
  <si>
    <t>https://www.vidio.com/live/19812-top-soccer-championship-2025-u-15?schedule_id=4708908</t>
  </si>
  <si>
    <t>Nonton streaming pertandingan seru JAS vs Diklat Isa – TSC 2025 U-15 (Cup). Saksikan aksi-aksi terbaik dari tim yang bersaing ketat untuk meraih kemenangan. Dapatkan informasi lengkap mengenai jadwal pertandingan dan hasil pertandingan terbaru hanya di Vidio.</t>
  </si>
  <si>
    <t>c1e64980</t>
  </si>
  <si>
    <t>FIFA Farmel vs Assa Pro – TSC 2025 U-15 (Cup)</t>
  </si>
  <si>
    <t>https://www.vidio.com/live/19812-top-soccer-championship-2025-u-15?schedule_id=4708909</t>
  </si>
  <si>
    <t>Nonton streaming pertandingan seru FIFA Farmel vs Assa Pro – TSC 2025 U-15 (Cup). Saksikan aksi-aksi terbaik dari tim yang bersaing ketat untuk meraih kemenangan. Dapatkan informasi lengkap mengenai jadwal pertandingan dan hasil pertandingan terbaru hanya di Vidio.</t>
  </si>
  <si>
    <t>08b6301c</t>
  </si>
  <si>
    <t>Abinaya SS vs Jawara Cilegon – TSC 2025 U-15 (Cup)</t>
  </si>
  <si>
    <t>https://www.vidio.com/live/19812-top-soccer-championship-2025-u-15?schedule_id=4708910</t>
  </si>
  <si>
    <t>Nonton streaming pertandingan seru Abinaya SS vs Jawara Cilegon – TSC 2025 U-15 (Cup). Saksikan aksi-aksi terbaik dari tim yang bersaing ketat untuk meraih kemenangan. Dapatkan informasi lengkap mengenai jadwal pertandingan dan hasil pertandingan terbaru hanya di Vidio.</t>
  </si>
  <si>
    <t>7a31b974</t>
  </si>
  <si>
    <t>TMP vs Bogor FS – TSC 2025 U-15 (Cup)</t>
  </si>
  <si>
    <t>https://www.vidio.com/live/19812-top-soccer-championship-2025-u-15?schedule_id=4708911</t>
  </si>
  <si>
    <t>Nonton streaming pertandingan seru TMP vs Bogor FS – TSC 2025 U-15 (Cup). Saksikan aksi-aksi terbaik dari tim yang bersaing ketat untuk meraih kemenangan. Dapatkan informasi lengkap mengenai jadwal pertandingan dan hasil pertandingan terbaru hanya di Vidio.</t>
  </si>
  <si>
    <t>5a86f9b3</t>
  </si>
  <si>
    <t>Serang City vs M'Private – TSC 2025 U-15 (Cup)</t>
  </si>
  <si>
    <t>https://www.vidio.com/live/19812-top-soccer-championship-2025-u-15?schedule_id=4708912</t>
  </si>
  <si>
    <t>Nonton streaming pertandingan seru Serang City vs M'Private – TSC 2025 U-15 (Cup). Saksikan aksi-aksi terbaik dari tim yang bersaing ketat untuk meraih kemenangan. Dapatkan informasi lengkap mengenai jadwal pertandingan dan hasil pertandingan terbaru hanya di Vidio.</t>
  </si>
  <si>
    <t>4a58cd3e</t>
  </si>
  <si>
    <t>HRC/Red Phoenix vs Nac Fenix – TSC 2025 U-15 (Plate)</t>
  </si>
  <si>
    <t>https://www.vidio.com/live/19812-top-soccer-championship-2025-u-15?schedule_id=4708913</t>
  </si>
  <si>
    <t>Nonton streaming pertandingan seru HRC/Red Phoenix vs Nac Fenix – TSC 2025 U-15 (Plate). Saksikan aksi-aksi terbaik dari tim yang bersaing ketat untuk meraih kemenangan. Dapatkan informasi lengkap mengenai jadwal pertandingan dan hasil pertandingan terbaru hanya di Vidio.</t>
  </si>
  <si>
    <t>b199c400</t>
  </si>
  <si>
    <t>Young Warrior vs Young Tiger – TSC 2025 U-16</t>
  </si>
  <si>
    <t>https://www.vidio.com/live/19813-top-soccer-championship-2025-u-16?schedule_id=4709124</t>
  </si>
  <si>
    <t>Nonton streaming pertandingan seru Young Warrior vs Young Tiger – TSC 2025 U-16. Saksikan aksi-aksi terbaik dari tim yang bersaing ketat untuk meraih kemenangan. Dapatkan informasi lengkap mengenai jadwal pertandingan dan hasil pertandingan terbaru hanya di Vidio.</t>
  </si>
  <si>
    <t>2d6956f4</t>
  </si>
  <si>
    <t>Erlangga FA vs Asiop Biru – TSC 2025 U-16</t>
  </si>
  <si>
    <t>https://www.vidio.com/live/19813-top-soccer-championship-2025-u-16?schedule_id=4709125</t>
  </si>
  <si>
    <t>Nonton streaming pertandingan seru Erlangga FA vs Asiop Biru – TSC 2025 U-16. Saksikan aksi-aksi terbaik dari tim yang bersaing ketat untuk meraih kemenangan. Dapatkan informasi lengkap mengenai jadwal pertandingan dan hasil pertandingan terbaru hanya di Vidio.</t>
  </si>
  <si>
    <t>a47b3040</t>
  </si>
  <si>
    <t>Asiop Merah vs Binna Banua – TSC 2025 U-16</t>
  </si>
  <si>
    <t>https://www.vidio.com/live/19813-top-soccer-championship-2025-u-16?schedule_id=4709126</t>
  </si>
  <si>
    <t>Nonton streaming pertandingan seru Asiop Merah vs Binna Banua – TSC 2025 U-16. Saksikan aksi-aksi terbaik dari tim yang bersaing ketat untuk meraih kemenangan. Dapatkan informasi lengkap mengenai jadwal pertandingan dan hasil pertandingan terbaru hanya di Vidio.</t>
  </si>
  <si>
    <t>41547826</t>
  </si>
  <si>
    <t>RMD vs Diklat Isa Putih – TSC 2025 U-16</t>
  </si>
  <si>
    <t>https://www.vidio.com/live/19813-top-soccer-championship-2025-u-16?schedule_id=4709127</t>
  </si>
  <si>
    <t>Nonton streaming pertandingan seru RMD vs Diklat Isa Putih – TSC 2025 U-16. Saksikan aksi-aksi terbaik dari tim yang bersaing ketat untuk meraih kemenangan. Dapatkan informasi lengkap mengenai jadwal pertandingan dan hasil pertandingan terbaru hanya di Vidio.</t>
  </si>
  <si>
    <t>fcad5a45</t>
  </si>
  <si>
    <t>Nawasena FC vs Diklat Isa Merah – TSC 2025 U-16</t>
  </si>
  <si>
    <t>https://www.vidio.com/live/19813-top-soccer-championship-2025-u-16?schedule_id=4709128</t>
  </si>
  <si>
    <t>Nonton streaming pertandingan seru Nawasena FC vs Diklat Isa Merah – TSC 2025 U-16. Saksikan aksi-aksi terbaik dari tim yang bersaing ketat untuk meraih kemenangan. Dapatkan informasi lengkap mengenai jadwal pertandingan dan hasil pertandingan terbaru hanya di Vidio.</t>
  </si>
  <si>
    <t>1fcfc41c</t>
  </si>
  <si>
    <t>Pro Direct vs Kancil Mas – TSC 2025 U-16</t>
  </si>
  <si>
    <t>https://www.vidio.com/live/19813-top-soccer-championship-2025-u-16?schedule_id=4709129</t>
  </si>
  <si>
    <t>Nonton streaming pertandingan seru Pro Direct vs Kancil Mas – TSC 2025 U-16. Saksikan aksi-aksi terbaik dari tim yang bersaing ketat untuk meraih kemenangan. Dapatkan informasi lengkap mengenai jadwal pertandingan dan hasil pertandingan terbaru hanya di Vidio.</t>
  </si>
  <si>
    <t>cad3b322</t>
  </si>
  <si>
    <t>Espinoza vs Arnold Khegai - World Featherweight Championship</t>
  </si>
  <si>
    <t>https://www.vidio.com/live/6685-champions-tv-1?schedule_id=4719209</t>
  </si>
  <si>
    <t>https://drive.google.com/drive/u/0/folders/1coWLzELkUEDH7rm8ZTFjfeQb9qN-dxh1</t>
  </si>
  <si>
    <t>https://drive.google.com/drive/folders/1jFewL7IpY-JIsTKq6HDnyp-v3ROiWGyY</t>
  </si>
  <si>
    <t>Nonton streaming pertandingan seru Espinoza vs Arnold Khegai - World Featherweight Championship. Saksikan aksi-aksi terbaik dari tim yang bersaing ketat untuk meraih kemenangan. Dapatkan informasi lengkap mengenai jadwal pertandingan dan hasil pertandingan terbaru hanya di Vidio.</t>
  </si>
  <si>
    <t>https://drive.google.com/file/d/1jYKMnXlLYL4aSGj-5oFYoBjxgddfAcOa/view?usp=sharing</t>
  </si>
  <si>
    <t>https://drive.google.com/file/d/17WX_a96RCyW5a5eb3QVI78-zFPlDumfw/view?usp=sharing</t>
  </si>
  <si>
    <t>e35c6122</t>
  </si>
  <si>
    <t>Sada Cruzeiro vs Osaka Bluteon - FIVB Men's Volleyball Club World Championship</t>
  </si>
  <si>
    <t>FIVB Men's Volleyball Club World Championship 2025</t>
  </si>
  <si>
    <t>VIDIO - @fivb</t>
  </si>
  <si>
    <t>https://www.vidio.com/live/20048-fivb-volleyball-club-world-championship-2025?schedule_id=4779489</t>
  </si>
  <si>
    <t>https://drive.google.com/drive/folders/1kqJkjH5sSUaK9hjOfBmNHR7fzE_cPXxP?usp=drive_link</t>
  </si>
  <si>
    <t>Sada Cruzeiro</t>
  </si>
  <si>
    <t>Osaka Bluteon</t>
  </si>
  <si>
    <t>Sports &gt; Volleyball &gt; FIVB Men's Volleyball Club World Championship</t>
  </si>
  <si>
    <t>FIVB Men's Club World Championship;  FIVB Men's Club World Championship 2025</t>
  </si>
  <si>
    <t>FIVB</t>
  </si>
  <si>
    <t>Sada Cruzeiro Volleyball; Osaka Bluteon; sports stream</t>
  </si>
  <si>
    <t>Nonton streaming pertandingan seru Sada Cruzeiro vs Osaka Bluteon - FIVB Men's Volleyball Club World Championship. Saksikan aksi-aksi terbaik dari tim yang bersaing ketat untuk meraih kemenangan. Dapatkan informasi lengkap mengenai jadwal pertandingan dan hasil pertandingan terbaru hanya di Vidio.</t>
  </si>
  <si>
    <t>https://drive.google.com/file/d/1UXpihWH_pE-sAHa9kr5bSbO9t-HpcC0q/view?usp=sharing</t>
  </si>
  <si>
    <t>https://drive.google.com/file/d/1g5gwOwb0P3Gm6X0GYzRMznj5scw-WBOz/view?usp=sharing</t>
  </si>
  <si>
    <t>a58697cb</t>
  </si>
  <si>
    <t>Sir Sicoma Monini Perugia vs Swehly Sports Club - FIVB Men's Volleyball Club World Championship</t>
  </si>
  <si>
    <t>https://www.vidio.com/live/20048-fivb-volleyball-club-world-championship-2025?schedule_id=4779491</t>
  </si>
  <si>
    <t>https://drive.google.com/drive/folders/1BlaTI8F8e-dP3pTZz0hzld2lUd1DyIZh?usp=drive_link</t>
  </si>
  <si>
    <t>Sir Sicoma Monini Perugia</t>
  </si>
  <si>
    <t>Swehly Sports Club</t>
  </si>
  <si>
    <t>SIR Safety SUSA Perugia; Swehly Sports Club; sports stream</t>
  </si>
  <si>
    <t>Nonton streaming pertandingan seru Sir Sicoma Monini Perugia vs Swehly Sports Club - FIVB Men's Volleyball Club World Championship. Saksikan aksi-aksi terbaik dari tim yang bersaing ketat untuk meraih kemenangan. Dapatkan informasi lengkap mengenai jadwal pertandingan dan hasil pertandingan terbaru hanya di Vidio.</t>
  </si>
  <si>
    <t>https://drive.google.com/file/d/1beg18EVsfzJ39jX83kCtCalns8qdoV5m/view?usp=sharing</t>
  </si>
  <si>
    <t>https://drive.google.com/file/d/1oGE3fNCgOG6hNFpRkT6Lpjjoh1_0PAww/view?usp=sharing</t>
  </si>
  <si>
    <t>84bef545</t>
  </si>
  <si>
    <t>Al-Rayyan Sports Club vs Praia Clube - FIVB Men's Volleyball Club World Championship</t>
  </si>
  <si>
    <t>https://www.vidio.com/live/20048-fivb-volleyball-club-world-championship-2025?schedule_id=4779492</t>
  </si>
  <si>
    <t>https://drive.google.com/drive/folders/1zXCo4_q8BoqWwQcWZTdsrNQyXKJvz5Kx?usp=drive_link</t>
  </si>
  <si>
    <t>Al-Rayyan Sports Club</t>
  </si>
  <si>
    <t>Praia Clube</t>
  </si>
  <si>
    <t>Al-Rayyan Sports Club; Praia Clube; sports stream</t>
  </si>
  <si>
    <t>Nonton streaming pertandingan seru Al-Rayyan Sports Club vs Praia Clube - FIVB Men's Volleyball Club World Championship. Saksikan aksi-aksi terbaik dari tim yang bersaing ketat untuk meraih kemenangan. Dapatkan informasi lengkap mengenai jadwal pertandingan dan hasil pertandingan terbaru hanya di Vidio.</t>
  </si>
  <si>
    <t>https://drive.google.com/file/d/1OBXtnUKm8JtAuEQGe8lzqO8wSWjddTQq/view?usp=sharing</t>
  </si>
  <si>
    <t>https://drive.google.com/file/d/1ho-Z5kIi4EI0we25ssuLXfJn4T-bSMsQ/view?usp=sharing</t>
  </si>
  <si>
    <t>bb6233b1</t>
  </si>
  <si>
    <t>Volei Renata vs Aluron CMC Warta Zawiercie - FIVB Men's Volleyball Club World Championship</t>
  </si>
  <si>
    <t>https://www.vidio.com/live/20048-fivb-volleyball-club-world-championship-2025?schedule_id=4779498</t>
  </si>
  <si>
    <t>https://drive.google.com/drive/folders/1xwiPsbe3kUIkvOpmcWxmOMc6uYN11uD_?usp=drive_link</t>
  </si>
  <si>
    <t>Volei Renata</t>
  </si>
  <si>
    <t>Aluron CMC Warta Zawiercie</t>
  </si>
  <si>
    <t>Vôlei Renata; Aluron CMC Warta Zawiercie; sports stream</t>
  </si>
  <si>
    <t>Nonton streaming pertandingan seru Volei Renata vs Aluron CMC Warta Zawiercie - FIVB Men's Volleyball Club World Championship. Saksikan aksi-aksi terbaik dari tim yang bersaing ketat untuk meraih kemenangan. Dapatkan informasi lengkap mengenai jadwal pertandingan dan hasil pertandingan terbaru hanya di Vidio.</t>
  </si>
  <si>
    <t>https://drive.google.com/file/d/159n5akhercRYCnHfnhDHEIFJFtRxlZsz/view?usp=sharing</t>
  </si>
  <si>
    <t>https://drive.google.com/file/d/1n_OXVqQYuyA1lmhKbffbP83kfGp6hDIF/view?usp=sharing</t>
  </si>
  <si>
    <t>37b83870</t>
  </si>
  <si>
    <t>Sada Cruzeiro vs Swehly Sports Club - FIVB Men's Volleyball Club World Championship</t>
  </si>
  <si>
    <t>https://www.vidio.com/live/20048-fivb-volleyball-club-world-championship-2025?schedule_id=4779507</t>
  </si>
  <si>
    <t>https://drive.google.com/drive/folders/1Ytr4BnRn-dIVMMoQF1HUPGFJjv1_aUQn?usp=drive_link</t>
  </si>
  <si>
    <t>Sada Cruzeiro Volleyball; Swehly Sports Club; sports stream</t>
  </si>
  <si>
    <t>Nonton streaming pertandingan seru Sada Cruzeiro vs Swehly Sports Club - FIVB Men's Volleyball Club World Championship. Saksikan aksi-aksi terbaik dari tim yang bersaing ketat untuk meraih kemenangan. Dapatkan informasi lengkap mengenai jadwal pertandingan dan hasil pertandingan terbaru hanya di Vidio.</t>
  </si>
  <si>
    <t>https://drive.google.com/file/d/1WSuba3PRatV1VQUCK_6gOUIG4E1HtCEr/view?usp=sharing</t>
  </si>
  <si>
    <t>https://drive.google.com/file/d/1oqV5AKgvZBt51mG8ZMqyqbXs8VLP6jIr/view?usp=sharing</t>
  </si>
  <si>
    <t>332bfc6c</t>
  </si>
  <si>
    <t>Sir Sicoma Monini Perugia vs Osaka Bluteon - FIVB Men's Volleyball Club World Championship</t>
  </si>
  <si>
    <t>https://www.vidio.com/live/20048-fivb-volleyball-club-world-championship-2025?schedule_id=4779508</t>
  </si>
  <si>
    <t>https://drive.google.com/drive/folders/1G7aUNhGHRIH2LkcTV3UJw-Il7DYrUFDZ?usp=drive_link</t>
  </si>
  <si>
    <t>SIR Safety SUSA Perugia; Osaka Bluteon; sports stream</t>
  </si>
  <si>
    <t>Nonton streaming pertandingan seru Sir Sicoma Monini Perugia vs Osaka Bluteon - FIVB Men's Volleyball Club World Championship. Saksikan aksi-aksi terbaik dari tim yang bersaing ketat untuk meraih kemenangan. Dapatkan informasi lengkap mengenai jadwal pertandingan dan hasil pertandingan terbaru hanya di Vidio.</t>
  </si>
  <si>
    <t>https://drive.google.com/file/d/1EDtfFSIyz-OxyV5UGuoSdRpoK9a0qMkn/view?usp=sharing</t>
  </si>
  <si>
    <t>https://drive.google.com/file/d/1zZ63W8DC5ZxbCoQWScnAzBNBi9VUruuU/view?usp=sharing</t>
  </si>
  <si>
    <t>fbef2ecd</t>
  </si>
  <si>
    <t>Al-Rayyan Sports Club vs Aluron CMC Warta Zawiercie - FIVB Men's Volleyball Club World Championship</t>
  </si>
  <si>
    <t>https://www.vidio.com/live/20048-fivb-volleyball-club-world-championship-2025?schedule_id=4783078</t>
  </si>
  <si>
    <t>https://drive.google.com/drive/folders/1UM6w2CElnx_uyEMHmCSGMtzbLp966DHV?usp=drive_link</t>
  </si>
  <si>
    <t>Al-Rayyan Sports Club; Aluron CMC Warta Zawiercie; sports stream</t>
  </si>
  <si>
    <t>Nonton streaming pertandingan seru Al-Rayyan Sports Club vs Aluron CMC Warta Zawiercie - FIVB Men's Volleyball Club World Championship. Saksikan aksi-aksi terbaik dari tim yang bersaing ketat untuk meraih kemenangan. Dapatkan informasi lengkap mengenai jadwal pertandingan dan hasil pertandingan terbaru hanya di Vidio.</t>
  </si>
  <si>
    <t>https://drive.google.com/file/d/1tZIko4UqVXuHOALvZ9l-7uFmPObDflxw/view?usp=sharing</t>
  </si>
  <si>
    <t>https://drive.google.com/file/d/1MBxSg1NEt7PZCmZ1fFmwgMfZun2ZrQGW/view?usp=sharing</t>
  </si>
  <si>
    <t>3261e34e</t>
  </si>
  <si>
    <t>Volei Renata vs Praia Clube - FIVB Men's Volleyball Club World Championship</t>
  </si>
  <si>
    <t>https://www.vidio.com/live/20048-fivb-volleyball-club-world-championship-2025?schedule_id=4783079</t>
  </si>
  <si>
    <t>https://drive.google.com/drive/folders/1coccKxBCf5_QOcp-Uc62HlB1d1Twk_1f?usp=drive_link</t>
  </si>
  <si>
    <t>Vôlei Renata; Praia Clube; sports stream</t>
  </si>
  <si>
    <t>Nonton streaming pertandingan seru Volei Renata vs Praia Clube - FIVB Men's Volleyball Club World Championship. Saksikan aksi-aksi terbaik dari tim yang bersaing ketat untuk meraih kemenangan. Dapatkan informasi lengkap mengenai jadwal pertandingan dan hasil pertandingan terbaru hanya di Vidio.</t>
  </si>
  <si>
    <t>https://drive.google.com/file/d/1RsG3DFwWwcwSUJgXhqoAB95DkLPacBTq/view?usp=sharing</t>
  </si>
  <si>
    <t>https://drive.google.com/file/d/18mQyDdT2fyILoKBn2DCAW8ALn2c2M1Bz/view?usp=sharing</t>
  </si>
  <si>
    <t>c647aba8</t>
  </si>
  <si>
    <t>Sada Cruzeiro vs Sir Sicoma Monini Perugia - FIVB Men's Volleyball Club World Championship</t>
  </si>
  <si>
    <t>https://www.vidio.com/live/20048-fivb-volleyball-club-world-championship-2025?schedule_id=4783080</t>
  </si>
  <si>
    <t>https://drive.google.com/drive/folders/126gGE-qLo4BJeOVcF3Bjf7u3CiMytLXR?usp=drive_link</t>
  </si>
  <si>
    <t>Sada Cruzeiro Volleyball; SIR Safety SUSA Perugia; sports stream</t>
  </si>
  <si>
    <t>Nonton streaming pertandingan seru Sada Cruzeiro vs Sir Sicoma Monini Perugia - FIVB Men's Volleyball Club World Championship. Saksikan aksi-aksi terbaik dari tim yang bersaing ketat untuk meraih kemenangan. Dapatkan informasi lengkap mengenai jadwal pertandingan dan hasil pertandingan terbaru hanya di Vidio.</t>
  </si>
  <si>
    <t>https://drive.google.com/file/d/1MWgYJiBTK1pwG7mWckOkqd8A_d3CbI_s/view?usp=sharing</t>
  </si>
  <si>
    <t>https://drive.google.com/file/d/120acGB7WBwpM5l0VxSi7EopxhCcFgHUd/view?usp=sharing</t>
  </si>
  <si>
    <t>47bc40b5</t>
  </si>
  <si>
    <t>Swehly Sports Club vs Osaka Bluteon - FIVB Men's Volleyball Club World Championship</t>
  </si>
  <si>
    <t>https://www.vidio.com/live/20048-fivb-volleyball-club-world-championship-2025?schedule_id=4783081</t>
  </si>
  <si>
    <t>https://drive.google.com/drive/folders/1nEAWuiYiCJ5lxVcsk3WwdURelvMb2TKf?usp=drive_link</t>
  </si>
  <si>
    <t>Swehly Sports Club; Osaka Bluteon; sports stream</t>
  </si>
  <si>
    <t>Nonton streaming pertandingan seru Swehly Sports Club vs Osaka Bluteon - FIVB Men's Volleyball Club World Championship. Saksikan aksi-aksi terbaik dari tim yang bersaing ketat untuk meraih kemenangan. Dapatkan informasi lengkap mengenai jadwal pertandingan dan hasil pertandingan terbaru hanya di Vidio.</t>
  </si>
  <si>
    <t>https://drive.google.com/file/d/1XVs3n2fBYRf-oxgL7YqluVFkwPcYGzjC/view?usp=sharing</t>
  </si>
  <si>
    <t>https://drive.google.com/file/d/1m2CEJg60E5vMBzgJkq__Xv5KhOjXP1Qn/view?usp=sharing</t>
  </si>
  <si>
    <t>aad96619</t>
  </si>
  <si>
    <t>Praia Clube vs Aluron CMC Warta Zawiercie - FIVB Men's Volleyball Club World Championship</t>
  </si>
  <si>
    <t>https://www.vidio.com/live/20048-fivb-volleyball-club-world-championship-2025?schedule_id=4783082</t>
  </si>
  <si>
    <t>https://drive.google.com/drive/folders/1AusARtD0O5ThfV9NJVsyda7HcmHEcDpv?usp=drive_link</t>
  </si>
  <si>
    <t>Praia Clube; Aluron CMC Warta Zawiercie; sports stream</t>
  </si>
  <si>
    <t>Nonton streaming pertandingan seru Praia Clube vs Aluron CMC Warta Zawiercie - FIVB Men's Volleyball Club World Championship. Saksikan aksi-aksi terbaik dari tim yang bersaing ketat untuk meraih kemenangan. Dapatkan informasi lengkap mengenai jadwal pertandingan dan hasil pertandingan terbaru hanya di Vidio.</t>
  </si>
  <si>
    <t>https://drive.google.com/file/d/1Uc1WjQnjo8sIIzx6rUeeUkpfzQ8onfCt/view?usp=sharing</t>
  </si>
  <si>
    <t>https://drive.google.com/file/d/1B_vKNjUC4-YcNcSGPHWZ00XfwPiC5IyB/view?usp=sharing</t>
  </si>
  <si>
    <t>9e51ae04</t>
  </si>
  <si>
    <t>Volei Renata vs Al-Rayyan Sports Club - FIVB Men's Volleyball Club World Championship</t>
  </si>
  <si>
    <t>https://www.vidio.com/live/20048-fivb-volleyball-club-world-championship-2025?schedule_id=4783083</t>
  </si>
  <si>
    <t>https://drive.google.com/drive/folders/1Oj0AuwDSsE5ct1oT-TlH4aPUK5_HAkOB?usp=drive_link</t>
  </si>
  <si>
    <t>Vôlei Renata; Al-Rayyan Sports Club; sports stream</t>
  </si>
  <si>
    <t>Nonton streaming pertandingan seru Volei Renata vs Al-Rayyan Sports Club - FIVB Men's Volleyball Club World Championship. Saksikan aksi-aksi terbaik dari tim yang bersaing ketat untuk meraih kemenangan. Dapatkan informasi lengkap mengenai jadwal pertandingan dan hasil pertandingan terbaru hanya di Vidio.</t>
  </si>
  <si>
    <t>https://drive.google.com/file/d/1AelB2ubQFe948cxRKjVjuZYaGuwDxA5p/view?usp=sharing</t>
  </si>
  <si>
    <t>https://drive.google.com/file/d/1SGrEGKkLPUq90EMK3wE9nEgiHm-Wicwq/view?usp=sharing</t>
  </si>
  <si>
    <t>bf07d7b7</t>
  </si>
  <si>
    <t>Salford City vs Leyton Orient - FA Cup</t>
  </si>
  <si>
    <t>https://www.vidio.com/live/19773-fa-cup-2025-26?schedule_id=4758893</t>
  </si>
  <si>
    <t>https://drive.google.com/drive/folders/1UMkAdyK3YHeJv_Go5go02m6Bf_qorw4i</t>
  </si>
  <si>
    <t>Salford City F.C.</t>
  </si>
  <si>
    <t>Salford City FC; leyton orient fc; sports stream</t>
  </si>
  <si>
    <t>Nonton streaming pertandingan seru Salford City vs Leyton Orient - FA Cup. Saksikan aksi-aksi terbaik dari tim yang bersaing ketat untuk meraih kemenangan. Dapatkan informasi lengkap mengenai jadwal pertandingan dan hasil pertandingan terbaru hanya di Vidio.</t>
  </si>
  <si>
    <t>https://drive.google.com/file/d/1Dd6e8irfDy9vKwEk3eG0OvdRXU4cj3Au/view?usp=sharing</t>
  </si>
  <si>
    <t>19d7c2a2</t>
  </si>
  <si>
    <t>Sutton United vs Shrewsbury - FA Cup</t>
  </si>
  <si>
    <t>https://www.vidio.com/live/19773-fa-cup-2025-26?schedule_id=4759283</t>
  </si>
  <si>
    <t>https://drive.google.com/drive/folders/1QkSIaxqylg6PMFkxvHki5USLkwcyzIqo</t>
  </si>
  <si>
    <t>Sutton United FC</t>
  </si>
  <si>
    <t>sutton united fc; Shrewsbury Town FC; sports stream</t>
  </si>
  <si>
    <t>Nonton streaming pertandingan seru Sutton United vs Shrewsbury - FA Cup. Saksikan aksi-aksi terbaik dari tim yang bersaing ketat untuk meraih kemenangan. Dapatkan informasi lengkap mengenai jadwal pertandingan dan hasil pertandingan terbaru hanya di Vidio.</t>
  </si>
  <si>
    <t>https://drive.google.com/file/d/19AXP_XRePVYWXDD4ZmJls47WY4VM4UBH/view?usp=sharing</t>
  </si>
  <si>
    <t>3ef9ffac</t>
  </si>
  <si>
    <t>Chesterfield vs Doncaster - FA Cup</t>
  </si>
  <si>
    <t>https://www.vidio.com/live/19774-fa-cup-2025-26?schedule_id=4759885</t>
  </si>
  <si>
    <t>https://drive.google.com/drive/folders/1GKNypnbUhP3WsQA4RrWsinIn_WgcTrIr</t>
  </si>
  <si>
    <t>Chesterfield FC</t>
  </si>
  <si>
    <t>Chesterfield FC; doncaster rovers fc; sports stream</t>
  </si>
  <si>
    <t>Nonton streaming pertandingan seru Chesterfield vs Doncaster - FA Cup. Saksikan aksi-aksi terbaik dari tim yang bersaing ketat untuk meraih kemenangan. Dapatkan informasi lengkap mengenai jadwal pertandingan dan hasil pertandingan terbaru hanya di Vidio.</t>
  </si>
  <si>
    <t>https://drive.google.com/file/d/1K7r_WQ0ZifGQ_clz7wbqcnYY9yeSYvCZ/view?usp=sharing</t>
  </si>
  <si>
    <t>1c78b2bb</t>
  </si>
  <si>
    <t>Slough Town vs Macclesfield - FA Cup</t>
  </si>
  <si>
    <t>https://www.vidio.com/live/19774-fa-cup-2025-26?schedule_id=4759886</t>
  </si>
  <si>
    <t>https://drive.google.com/drive/folders/1OX0KUlgt1OdpY57NGSQCk-Rxu83BNpZ4</t>
  </si>
  <si>
    <t>Slough Town FC</t>
  </si>
  <si>
    <t>Macclesfield FC</t>
  </si>
  <si>
    <t>Slough Town FC; Macclesfield FC; sports stream</t>
  </si>
  <si>
    <t>Nonton streaming pertandingan seru Slough Town vs Macclesfield - FA Cup. Saksikan aksi-aksi terbaik dari tim yang bersaing ketat untuk meraih kemenangan. Dapatkan informasi lengkap mengenai jadwal pertandingan dan hasil pertandingan terbaru hanya di Vidio.</t>
  </si>
  <si>
    <t>https://drive.google.com/file/d/11aMtaf_ziPSGMvb7AFpvoehsUesmPS4w/view?usp=sharing</t>
  </si>
  <si>
    <t>0182dece</t>
  </si>
  <si>
    <t>Boreham Wood vs Newport County - FA Cup</t>
  </si>
  <si>
    <t>https://www.vidio.com/live/19773-fa-cup-2025-26?schedule_id=4760163</t>
  </si>
  <si>
    <t>https://drive.google.com/drive/folders/1kbVmJjEuh5TT2Za364wVIPntEPfwQZu0</t>
  </si>
  <si>
    <t>Boreham Wood FC</t>
  </si>
  <si>
    <t>Newport County AFC</t>
  </si>
  <si>
    <t>boreham wood fc; Newport County AFC; sports stream</t>
  </si>
  <si>
    <t>Nonton streaming pertandingan seru Boreham Wood vs Newport County - FA Cup. Saksikan aksi-aksi terbaik dari tim yang bersaing ketat untuk meraih kemenangan. Dapatkan informasi lengkap mengenai jadwal pertandingan dan hasil pertandingan terbaru hanya di Vidio.</t>
  </si>
  <si>
    <t>https://drive.google.com/file/d/1dy03j60nCQiUzx_gioyQ1jO1Wjy8uSxJ/view?usp=sharing</t>
  </si>
  <si>
    <t>2adfc09d</t>
  </si>
  <si>
    <t>Gateshead vs Walsall - FA Cup</t>
  </si>
  <si>
    <t>https://www.vidio.com/live/19774-fa-cup-2025-26?schedule_id=4760164</t>
  </si>
  <si>
    <t>https://drive.google.com/drive/folders/1E1mo7iD8PwIjsqS8JQdoDD9aFdyqCqpH</t>
  </si>
  <si>
    <t>Gateshead FC</t>
  </si>
  <si>
    <t>Gateshead FC; walsall fc; sports stream</t>
  </si>
  <si>
    <t>Nonton streaming pertandingan seru Gateshead vs Walsall - FA Cup. Saksikan aksi-aksi terbaik dari tim yang bersaing ketat untuk meraih kemenangan. Dapatkan informasi lengkap mengenai jadwal pertandingan dan hasil pertandingan terbaru hanya di Vidio.</t>
  </si>
  <si>
    <t>https://drive.google.com/file/d/14Ob1Q-FIrPf5Aj0EyhjNb5vIrTK37OFz/view?usp=sharing</t>
  </si>
  <si>
    <t>c47d46bf</t>
  </si>
  <si>
    <t>Blackpool vs Carlisle - FA Cup</t>
  </si>
  <si>
    <t>https://www.vidio.com/live/19773-fa-cup-2025-26?schedule_id=4768731</t>
  </si>
  <si>
    <t>https://drive.google.com/drive/folders/1a76ywJg7ov_A2LozXT4ebBc3FludxSJg</t>
  </si>
  <si>
    <t>Blackpool FC</t>
  </si>
  <si>
    <t>Carlisle United FC</t>
  </si>
  <si>
    <t>blackpool fc; Carlisle United FC; sports stream</t>
  </si>
  <si>
    <t>Nonton streaming pertandingan seru Blackpool vs Carlisle - FA Cup. Saksikan aksi-aksi terbaik dari tim yang bersaing ketat untuk meraih kemenangan. Dapatkan informasi lengkap mengenai jadwal pertandingan dan hasil pertandingan terbaru hanya di Vidio.</t>
  </si>
  <si>
    <t>https://drive.google.com/file/d/1Zow_LyvGYP_Qi0fob5yMRaxvcaxKPO4w/view?usp=sharing</t>
  </si>
  <si>
    <t>b5813326</t>
  </si>
  <si>
    <t>Brackley Town vs Burton - FA Cup</t>
  </si>
  <si>
    <t>https://www.vidio.com/live/19773-fa-cup-2025-26?schedule_id=4768737</t>
  </si>
  <si>
    <t>https://drive.google.com/drive/folders/1s4jR84US1X09EKIcdt1CY42NJV8QgeZ7</t>
  </si>
  <si>
    <t>Burton Albion FC</t>
  </si>
  <si>
    <t>Brackley Town FC; burton albion fc; sports stream</t>
  </si>
  <si>
    <t>Nonton streaming pertandingan seru Brackley Town vs Burton - FA Cup. Saksikan aksi-aksi terbaik dari tim yang bersaing ketat untuk meraih kemenangan. Dapatkan informasi lengkap mengenai jadwal pertandingan dan hasil pertandingan terbaru hanya di Vidio.</t>
  </si>
  <si>
    <t>https://drive.google.com/file/d/1VNluIzXLmho16D1MjHfAnyuKEGPQFnGH/view?usp=sharing</t>
  </si>
  <si>
    <t>b2fdcfcb</t>
  </si>
  <si>
    <t>Rajadamnern 2025 Super Flyweight Title</t>
  </si>
  <si>
    <t>https://www.vidio.com/live/19388-rws-muay-thai-2025?schedule_id=4724852</t>
  </si>
  <si>
    <t>https://drive.google.com/drive/folders/1ujqD5L84Qrn8v5RX-w5SDYXFO3oL9van</t>
  </si>
  <si>
    <t>https://drive.google.com/drive/folders/1ozCMk7LRe_w8GArtIUs63IheoZ-yIj4P?usp=drive_link</t>
  </si>
  <si>
    <t>Nonton streaming pertandingan seru Rajadamnern 2025 Super Flyweight Title. Saksikan aksi-aksi terbaik dari tim yang bersaing ketat untuk meraih kemenangan. Dapatkan informasi lengkap mengenai jadwal pertandingan dan hasil pertandingan terbaru hanya di Vidio.</t>
  </si>
  <si>
    <t>https://drive.google.com/file/d/1ndsIeMCW5Tf22-5NeP-tbBPAvdmuDxzj/view?usp=sharing</t>
  </si>
  <si>
    <t>https://drive.google.com/file/d/1TOPj_ucA8bDaoBLkJ7MnxD-Z0YGYV37F/view?usp=sharing</t>
  </si>
  <si>
    <t>0157ae9d</t>
  </si>
  <si>
    <t>PSPS Pekanbaru vs Persekat Tegal - Pegadaian Championship</t>
  </si>
  <si>
    <t>psps riau; persekat; sports stream</t>
  </si>
  <si>
    <t>Nonton streaming pertandingan seru PSPS Pekanbaru vs Persekat Tegal - Pegadaian Championship. Saksikan aksi-aksi terbaik dari tim yang bersaing ketat untuk meraih kemenangan. Dapatkan informasi lengkap mengenai jadwal pertandingan dan hasil pertandingan terbaru hanya di Vidio.</t>
  </si>
  <si>
    <t>b492c9c5</t>
  </si>
  <si>
    <t>FC Bekasi City vs Persiraja Banda Aceh - Pegadaian Championship</t>
  </si>
  <si>
    <t>https://www.vidio.com/live/19543-pegadaian-championship-2025-26?schedule_id=4803416</t>
  </si>
  <si>
    <t>https://drive.google.com/drive/folders/1oMiI6GP7s9uyiH2fQMl2LahNncTb3iCs?usp=drive_link</t>
  </si>
  <si>
    <t>fc bekasi city; persiraja banda aceh; sports stream</t>
  </si>
  <si>
    <t>Nonton streaming pertandingan seru FC Bekasi City vs Persiraja Banda Aceh - Pegadaian Championship. Saksikan aksi-aksi terbaik dari tim yang bersaing ketat untuk meraih kemenangan. Dapatkan informasi lengkap mengenai jadwal pertandingan dan hasil pertandingan terbaru hanya di Vidio.</t>
  </si>
  <si>
    <t>arief.rahman@vidio.com</t>
  </si>
  <si>
    <t>https://thumbor.prod.vidiocdn.com/2pj52MSOfhQRfS2jlG9NvkD3APs=/filters:quality(70)/vidio-media-production/uploads/image/source/52556/cf311d.png</t>
  </si>
  <si>
    <t>https://thumbor.prod.vidiocdn.com/W6boQI0meJHT-kdHBUrZQMVBcEo=/filters:quality(70)/vidio-media-production/uploads/image/source/52555/4830e1.png</t>
  </si>
  <si>
    <t>https://drive.google.com/file/d/1Psadrs0serrw5gwZa147mxPrq9AFCeRi/view?usp=sharing</t>
  </si>
  <si>
    <t>212795d2</t>
  </si>
  <si>
    <t>Persikad vs PSMS Medan - Pegadaian Championship</t>
  </si>
  <si>
    <t>https://www.vidio.com/live/19542-pegadaian-championship-2025-26?schedule_id=4803418</t>
  </si>
  <si>
    <t>https://drive.google.com/drive/folders/1wh7GSmW2nTIEgYMBoJNhLa7tuXBs1eAB</t>
  </si>
  <si>
    <t>Persikad; psms medan; sports stream</t>
  </si>
  <si>
    <t>Nonton streaming pertandingan seru Persikad vs PSMS Medan - Pegadaian Championship. Saksikan aksi-aksi terbaik dari tim yang bersaing ketat untuk meraih kemenangan. Dapatkan informasi lengkap mengenai jadwal pertandingan dan hasil pertandingan terbaru hanya di Vidio.</t>
  </si>
  <si>
    <t>https://thumbor.prod.vidiocdn.com/gI5Bm9HuWRphW_C3_XrwDoTfiaQ=/filters:quality(70)/vidio-media-production/uploads/image/source/52758/7713c2.png</t>
  </si>
  <si>
    <t>https://thumbor.prod.vidiocdn.com/N3FyhSWav4K0M-ANuKKcNYlTFY0=/filters:quality(70)/vidio-media-production/uploads/image/source/52757/637d56.png</t>
  </si>
  <si>
    <t>https://drive.google.com/file/d/11gUKL8l1qcAWrcQjgcF9L2c961pdssB9/view?usp=sharing</t>
  </si>
  <si>
    <t>d5ca7706</t>
  </si>
  <si>
    <t>FC Bekasi City vs Sriwijaya FC - Pegadaian Championship</t>
  </si>
  <si>
    <t>fc bekasi city; sriwijaya fc; sports stream</t>
  </si>
  <si>
    <t>Nonton streaming pertandingan seru FC Bekasi City vs Sriwijaya FC - Pegadaian Championship. Saksikan aksi-aksi terbaik dari tim yang bersaing ketat untuk meraih kemenangan. Dapatkan informasi lengkap mengenai jadwal pertandingan dan hasil pertandingan terbaru hanya di Vidio.</t>
  </si>
  <si>
    <t>b9137222</t>
  </si>
  <si>
    <t>PSIS Semarang vs Persipal FC - Pegadaian Championship</t>
  </si>
  <si>
    <t>https://www.vidio.com/live/19584-pegadaian-championship-2025-26?schedule_id=4824948</t>
  </si>
  <si>
    <t>https://drive.google.com/drive/folders/1jvz8daBb8vQWQsP7qFMsbZ-2MgwDL-GC</t>
  </si>
  <si>
    <t>psis semarang; Persipal Palu; sports stream</t>
  </si>
  <si>
    <t>Nonton streaming pertandingan seru PSIS Semarang vs Persipal FC - Pegadaian Championship. Saksikan aksi-aksi terbaik dari tim yang bersaing ketat untuk meraih kemenangan. Dapatkan informasi lengkap mengenai jadwal pertandingan dan hasil pertandingan terbaru hanya di Vidio.</t>
  </si>
  <si>
    <t>https://thumbor.prod.vidiocdn.com/NZFQtN4d0eShIGm-mZ97bQYVOrg=/filters:quality(70)/vidio-media-production/uploads/image/source/52760/1d5331.png</t>
  </si>
  <si>
    <t>https://thumbor.prod.vidiocdn.com/7e80isV9IdqzcWa54-fa-eY8lFU=/filters:quality(70)/vidio-media-production/uploads/image/source/52759/a96049.png</t>
  </si>
  <si>
    <t>https://drive.google.com/file/d/1PHR9mJNxwuUQjfz6DpG9D46PKEMigGWZ/view?usp=sharing</t>
  </si>
  <si>
    <t>ff5df554</t>
  </si>
  <si>
    <t>Persekat Tegal vs Sumsel United - Pegadaian Championship</t>
  </si>
  <si>
    <t>https://www.vidio.com/live/19541-pegadaian-championship-2025-26?schedule_id=4803423</t>
  </si>
  <si>
    <t>https://drive.google.com/drive/folders/1iLfY_Xdz83dmxbSnP3Aj9DK0QDYHmFEP?usp=drive_link</t>
  </si>
  <si>
    <t>persekat; Sumsel United; sports stream</t>
  </si>
  <si>
    <t>Nonton streaming pertandingan seru Persekat Tegal vs Sumsel United - Pegadaian Championship. Saksikan aksi-aksi terbaik dari tim yang bersaing ketat untuk meraih kemenangan. Dapatkan informasi lengkap mengenai jadwal pertandingan dan hasil pertandingan terbaru hanya di Vidio.</t>
  </si>
  <si>
    <t>https://thumbor.prod.vidiocdn.com/n-le3MetRhakOSmlGaycdDE0zZU=/filters:quality(70)/vidio-media-production/uploads/image/source/52554/0fb57f.png</t>
  </si>
  <si>
    <t>https://thumbor.prod.vidiocdn.com/6Z6q4xuoyaHH1iRpo8wZXksNEDc=/filters:quality(70)/vidio-media-production/uploads/image/source/52553/5fa94c.png</t>
  </si>
  <si>
    <t>https://drive.google.com/file/d/1pfUwd13zfsVW4GJoAD1Y_AWP6Bx-avoo/view?usp=sharing</t>
  </si>
  <si>
    <t>5e76fdc2</t>
  </si>
  <si>
    <t>PS. Barito Putera vs Persipura Jayapura - Pegadaian Championship</t>
  </si>
  <si>
    <t>ps barito putera; persipura; sports stream</t>
  </si>
  <si>
    <t>Nonton streaming pertandingan seru PS. Barito Putera vs Persipura Jayapura - Pegadaian Championship. Saksikan aksi-aksi terbaik dari tim yang bersaing ketat untuk meraih kemenangan. Dapatkan informasi lengkap mengenai jadwal pertandingan dan hasil pertandingan terbaru hanya di Vidio.</t>
  </si>
  <si>
    <t>1c4db720</t>
  </si>
  <si>
    <t>Persekat Tegal vs Sriwijaya FC - Pegadaian Championship</t>
  </si>
  <si>
    <t>https://www.vidio.com/live/19541-pegadaian-championship-2025-26?schedule_id=4832278</t>
  </si>
  <si>
    <t>https://drive.google.com/drive/folders/16hXKyfzIqL_MvY93XwvBKLc9y3yt1WYP</t>
  </si>
  <si>
    <t>persekat; sriwijaya fc; sports stream</t>
  </si>
  <si>
    <t>Nonton streaming pertandingan seru Persekat Tegal vs Sriwijaya FC - Pegadaian Championship. Saksikan aksi-aksi terbaik dari tim yang bersaing ketat untuk meraih kemenangan. Dapatkan informasi lengkap mengenai jadwal pertandingan dan hasil pertandingan terbaru hanya di Vidio.</t>
  </si>
  <si>
    <t>https://thumbor.prod.vidiocdn.com/5iTqjtxTXWtQdsiA3tQhkF5UK1g=/filters:quality(70)/vidio-media-production/uploads/image/source/52969/910f0a.png</t>
  </si>
  <si>
    <t>https://thumbor.prod.vidiocdn.com/sYFLLpvxkUdqfXiyWlbMsAgauKY=/filters:quality(70)/vidio-media-production/uploads/image/source/52968/42c277.png</t>
  </si>
  <si>
    <t>https://drive.google.com/file/d/1wTtyHbppEpFjQHQkTDsigmmZeM1Pyex3/view?usp=sharing</t>
  </si>
  <si>
    <t>9164ead0</t>
  </si>
  <si>
    <t>Persipura Jayapura vs Deltras FC - Pegadaian Championship</t>
  </si>
  <si>
    <t>https://www.vidio.com/live/19543-pegadaian-championship-2025-26?schedule_id=4824482</t>
  </si>
  <si>
    <t>https://drive.google.com/drive/folders/1l_f1TpO80Q5Yg9HWZuRjq1Vj8DpVFLF1</t>
  </si>
  <si>
    <t>persipura; deltras sidoarjo; sports stream</t>
  </si>
  <si>
    <t>Nonton streaming pertandingan seru Persipura Jayapura vs Deltras FC - Pegadaian Championship. Saksikan aksi-aksi terbaik dari tim yang bersaing ketat untuk meraih kemenangan. Dapatkan informasi lengkap mengenai jadwal pertandingan dan hasil pertandingan terbaru hanya di Vidio.</t>
  </si>
  <si>
    <t>https://thumbor.prod.vidiocdn.com/5ut9qOR-Bj5JP7k1kvX166J0Ac4=/filters:quality(70)/vidio-media-production/uploads/image/source/52764/1220ba.png</t>
  </si>
  <si>
    <t>https://thumbor.prod.vidiocdn.com/ALCIt0AST9eCUf-C2MAOrqqqJOo=/filters:quality(70)/vidio-media-production/uploads/image/source/52762/3234e1.png</t>
  </si>
  <si>
    <t>https://drive.google.com/file/d/1ZZmBEMTd3TCN1adhc3TUYbluiD2jxKF2/view?usp=sharing</t>
  </si>
  <si>
    <t>94686955</t>
  </si>
  <si>
    <t>Persikad vs Garudayaksa FC - Pegadaian Championship</t>
  </si>
  <si>
    <t>Persikad; pskc cimahi; sports stream</t>
  </si>
  <si>
    <t>Nonton streaming pertandingan seru Persikad vs Garudayaksa FC - Pegadaian Championship. Saksikan aksi-aksi terbaik dari tim yang bersaing ketat untuk meraih kemenangan. Dapatkan informasi lengkap mengenai jadwal pertandingan dan hasil pertandingan terbaru hanya di Vidio.</t>
  </si>
  <si>
    <t>fd2a400b</t>
  </si>
  <si>
    <t>Adhyaksa FC vs Garudayaksa FC - Pegadaian Championship</t>
  </si>
  <si>
    <t>https://www.vidio.com/live/19541-pegadaian-championship-2025-26?schedule_id=4824484</t>
  </si>
  <si>
    <t>https://drive.google.com/drive/folders/1iWZ_hkl5Kyn479CjQ-IIFe6F84T9SIuY?usp=drive_link</t>
  </si>
  <si>
    <t>Adhyaksa Farmel FC; pskc cimahi; sports stream</t>
  </si>
  <si>
    <t>Nonton streaming pertandingan seru Adhyaksa FC vs Garudayaksa FC - Pegadaian Championship. Saksikan aksi-aksi terbaik dari tim yang bersaing ketat untuk meraih kemenangan. Dapatkan informasi lengkap mengenai jadwal pertandingan dan hasil pertandingan terbaru hanya di Vidio.</t>
  </si>
  <si>
    <t>https://thumbor.prod.vidiocdn.com/ZKoeEawiTtRMyH3614CHovnH85s=/filters:quality(70)/vidio-media-production/uploads/image/source/52558/0d34ae.png</t>
  </si>
  <si>
    <t>https://thumbor.prod.vidiocdn.com/D-9f9eX2Zz5nB0ezrfDJWdA57X8=/filters:quality(70)/vidio-media-production/uploads/image/source/52557/fbb22a.png</t>
  </si>
  <si>
    <t>https://drive.google.com/file/d/1BYM89SkLCjY3_3JCNNBHS5tJxorVkO6f/view?usp=sharing</t>
  </si>
  <si>
    <t>2190819d</t>
  </si>
  <si>
    <t>Adhyaksa FC vs Sumsel United - Pegadaian Championship</t>
  </si>
  <si>
    <t>Adhyaksa Farmel FC; Sumsel United; sports stream</t>
  </si>
  <si>
    <t>Nonton streaming pertandingan seru Adhyaksa FC vs Sumsel United - Pegadaian Championship. Saksikan aksi-aksi terbaik dari tim yang bersaing ketat untuk meraih kemenangan. Dapatkan informasi lengkap mengenai jadwal pertandingan dan hasil pertandingan terbaru hanya di Vidio.</t>
  </si>
  <si>
    <t>838d1851</t>
  </si>
  <si>
    <t>PSS Sleman vs PSIS Semarang - Pegadaian Championship</t>
  </si>
  <si>
    <t>https://www.vidio.com/live/19543-pegadaian-championship-2025-26?schedule_id=4832282</t>
  </si>
  <si>
    <t>https://drive.google.com/drive/folders/1Bnq7vTtrI2wm3as49HVM8J0HGPcIhQlN?usp=drive_link</t>
  </si>
  <si>
    <t>pss sleman; psis semarang; sports stream</t>
  </si>
  <si>
    <t>Nonton streaming pertandingan seru PSS Sleman vs PSIS Semarang - Pegadaian Championship. Saksikan aksi-aksi terbaik dari tim yang bersaing ketat untuk meraih kemenangan. Dapatkan informasi lengkap mengenai jadwal pertandingan dan hasil pertandingan terbaru hanya di Vidio.</t>
  </si>
  <si>
    <t>https://thumbor.prod.vidiocdn.com/Uf10c-4mdZEAEwlwfDc88T1nj58=/filters:quality(70)/vidio-media-production/uploads/image/source/52973/a0fad7.png</t>
  </si>
  <si>
    <t>https://thumbor.prod.vidiocdn.com/CiMPuGPvsjq_RMFr1IzUoY7dAYs=/filters:quality(70)/vidio-media-production/uploads/image/source/52972/2f9e6c.png</t>
  </si>
  <si>
    <t>https://drive.google.com/file/d/1kzTQWJt5QJXJ3THnFzMW1heyF1_w3LJc/view?usp=sharing</t>
  </si>
  <si>
    <t>9fc8e71a</t>
  </si>
  <si>
    <t>Sriwijaya FC vs PSPS Pekanbaru - Pegadaian Championship</t>
  </si>
  <si>
    <t>https://www.vidio.com/live/19542-pegadaian-championship-2025-26?schedule_id=4824946</t>
  </si>
  <si>
    <t>https://drive.google.com/drive/folders/1LIzcljilCHcBJ9smk_0-OD18JJvHyfG8</t>
  </si>
  <si>
    <t>sriwijaya fc; psps riau; sports stream</t>
  </si>
  <si>
    <t>Nonton streaming pertandingan seru Sriwijaya FC vs PSPS Pekanbaru - Pegadaian Championship. Saksikan aksi-aksi terbaik dari tim yang bersaing ketat untuk meraih kemenangan. Dapatkan informasi lengkap mengenai jadwal pertandingan dan hasil pertandingan terbaru hanya di Vidio.</t>
  </si>
  <si>
    <t>https://thumbor.prod.vidiocdn.com/RlBZLhMrSyMtwmDnSbX2qIBRHsA=/filters:quality(70)/vidio-media-production/uploads/image/source/52765/f3602c.png</t>
  </si>
  <si>
    <t>https://thumbor.prod.vidiocdn.com/AK8MssqUgepxx0v3zOwv_XbS0Ak=/filters:quality(70)/vidio-media-production/uploads/image/source/52763/b43547.png</t>
  </si>
  <si>
    <t>https://drive.google.com/file/d/1Ep9vyiNgDfWHQulk7-ZmNkkQ5aiUJeiU/view?usp=sharing</t>
  </si>
  <si>
    <t>12128bd3</t>
  </si>
  <si>
    <t>Sumsel United vs PSPS Pekanbaru - Pegadaian Championship</t>
  </si>
  <si>
    <t>https://www.vidio.com/live/19542-pegadaian-championship-2025-26?schedule_id=4832280</t>
  </si>
  <si>
    <t>https://drive.google.com/drive/folders/1nOqefdVRyx1EBpVKRm07bpQ3xPF13Qvt?usp=drive_link</t>
  </si>
  <si>
    <t>Sumsel United; psps riau; sports stream</t>
  </si>
  <si>
    <t>Nonton streaming pertandingan seru Sumsel United vs PSPS Pekanbaru - Pegadaian Championship. Saksikan aksi-aksi terbaik dari tim yang bersaing ketat untuk meraih kemenangan. Dapatkan informasi lengkap mengenai jadwal pertandingan dan hasil pertandingan terbaru hanya di Vidio.</t>
  </si>
  <si>
    <t>https://thumbor.prod.vidiocdn.com/wH8cWMnvfX0VI4l3C6NeEmazOf4=/filters:quality(70)/vidio-media-production/uploads/image/source/52932/15994e.png</t>
  </si>
  <si>
    <t>https://thumbor.prod.vidiocdn.com/CWtVzHFtitJPRqZBjqEoJ6yD5qA=/filters:quality(70)/vidio-media-production/uploads/image/source/52931/0845df.png</t>
  </si>
  <si>
    <t>https://drive.google.com/file/d/11n0cxUmnLRT475csMcK79YhK2OUn6TWu/view?usp=sharing</t>
  </si>
  <si>
    <t>abbfb8a9</t>
  </si>
  <si>
    <t>PSIS Semarang vs Deltras FC - Pegadaian Championship</t>
  </si>
  <si>
    <t>psis semarang; deltras sidoarjo; sports stream</t>
  </si>
  <si>
    <t>Nonton streaming pertandingan seru PSIS Semarang vs Deltras FC - Pegadaian Championship. Saksikan aksi-aksi terbaik dari tim yang bersaing ketat untuk meraih kemenangan. Dapatkan informasi lengkap mengenai jadwal pertandingan dan hasil pertandingan terbaru hanya di Vidio.</t>
  </si>
  <si>
    <t>9cd538fd</t>
  </si>
  <si>
    <t>Persela Lamongan vs Persiba Balikpapan - Pegadaian Championship</t>
  </si>
  <si>
    <t>https://www.vidio.com/live/19543-pegadaian-championship-2025-26?schedule_id=4824483</t>
  </si>
  <si>
    <t>https://drive.google.com/drive/folders/17_xu9YiD8FQ5qeBryjSRxJuHSUzamICp</t>
  </si>
  <si>
    <t>persela lamongan; Persiba Balikpapan; sports stream</t>
  </si>
  <si>
    <t>Nonton streaming pertandingan seru Persela Lamongan vs Persiba Balikpapan - Pegadaian Championship. Saksikan aksi-aksi terbaik dari tim yang bersaing ketat untuk meraih kemenangan. Dapatkan informasi lengkap mengenai jadwal pertandingan dan hasil pertandingan terbaru hanya di Vidio.</t>
  </si>
  <si>
    <t>https://thumbor.prod.vidiocdn.com/j9qxlNHdVaQzMWc7epVl9giSL3k=/filters:quality(70)/vidio-media-production/uploads/image/source/52769/fc580a.png</t>
  </si>
  <si>
    <t>https://thumbor.prod.vidiocdn.com/K3NixiIcK1SW9eXpYJBwC5B4rg8=/filters:quality(70)/vidio-media-production/uploads/image/source/52768/689401.png</t>
  </si>
  <si>
    <t>https://drive.google.com/file/d/1xGEsQNcOi1VHnlt8TRncM7VK8wvBXdxs/view?usp=sharing</t>
  </si>
  <si>
    <t>a7273c04</t>
  </si>
  <si>
    <t>Garudayaksa FC vs FC Bekasi City - Pegadaian Championship</t>
  </si>
  <si>
    <t>https://www.vidio.com/live/19541-pegadaian-championship-2025-26?schedule_id=4832286</t>
  </si>
  <si>
    <t>https://drive.google.com/drive/folders/1ok4Xqp2M8svKvDNeMNrIfn31oCKSaj_h?usp=drive_link</t>
  </si>
  <si>
    <t>pskc cimahi; fc bekasi city; sports stream</t>
  </si>
  <si>
    <t>Nonton streaming pertandingan seru Garudayaksa FC vs FC Bekasi City - Pegadaian Championship. Saksikan aksi-aksi terbaik dari tim yang bersaing ketat untuk meraih kemenangan. Dapatkan informasi lengkap mengenai jadwal pertandingan dan hasil pertandingan terbaru hanya di Vidio.</t>
  </si>
  <si>
    <t>https://thumbor.prod.vidiocdn.com/PYneuOE_CsRbvV7WpFvmq5uQP3A=/filters:quality(70)/vidio-media-production/uploads/image/source/52935/8da051.png</t>
  </si>
  <si>
    <t>https://thumbor.prod.vidiocdn.com/6QrBRmtxTJXnj-dAIWioRbWAmQo=/filters:quality(70)/vidio-media-production/uploads/image/source/52934/6a6998.png</t>
  </si>
  <si>
    <t>https://drive.google.com/file/d/1-aPdFdJvtu11XihRbWAttAU8D1hFfrRQ/view?usp=sharing</t>
  </si>
  <si>
    <t>5a3fde69</t>
  </si>
  <si>
    <t>Persela Lamongan vs PS. Barito Putera - Pegadaian Championship</t>
  </si>
  <si>
    <t>https://www.vidio.com/live/19584-pegadaian-championship-2025-26?schedule_id=4832523</t>
  </si>
  <si>
    <t>https://drive.google.com/drive/folders/1PFaEnY0vs3vgN27Yzb2pCkuaM5KQU2_r?usp=drive_link</t>
  </si>
  <si>
    <t>persela lamongan; ps barito putera; sports stream</t>
  </si>
  <si>
    <t>Nonton streaming pertandingan seru Persela Lamongan vs PS. Barito Putera - Pegadaian Championship. Saksikan aksi-aksi terbaik dari tim yang bersaing ketat untuk meraih kemenangan. Dapatkan informasi lengkap mengenai jadwal pertandingan dan hasil pertandingan terbaru hanya di Vidio.</t>
  </si>
  <si>
    <t>https://thumbor.prod.vidiocdn.com/zaaRwnQdVqPohBe3UV693ZRbRo4=/filters:quality(70)/vidio-media-production/uploads/image/source/52975/897a4e.png</t>
  </si>
  <si>
    <t>https://thumbor.prod.vidiocdn.com/ixqzhHXcbWDJvCfAcU4qvxnkOHI=/filters:quality(70)/vidio-media-production/uploads/image/source/52974/e1158b.png</t>
  </si>
  <si>
    <t>https://drive.google.com/file/d/1JhfpmyRfO94bcHtkIwaa9BeZDSZYF-vg/view?usp=sharing</t>
  </si>
  <si>
    <t>89e1b8a4</t>
  </si>
  <si>
    <t>PS. Barito Putera vs Persiku Kudus - Pegadaian Championship</t>
  </si>
  <si>
    <t>https://www.vidio.com/live/19543-pegadaian-championship-2025-26?schedule_id=4827314</t>
  </si>
  <si>
    <t>https://drive.google.com/drive/folders/1qJy4ZXdHsfMwC2yzk2pyoBLRBPhOCkb8</t>
  </si>
  <si>
    <t>ps barito putera; persiku kudus; sports stream</t>
  </si>
  <si>
    <t>Nonton streaming pertandingan seru PS. Barito Putera vs Persiku Kudus - Pegadaian Championship. Saksikan aksi-aksi terbaik dari tim yang bersaing ketat untuk meraih kemenangan. Dapatkan informasi lengkap mengenai jadwal pertandingan dan hasil pertandingan terbaru hanya di Vidio.</t>
  </si>
  <si>
    <t>https://thumbor.prod.vidiocdn.com/jfk-L2__J0rZKunAEVCcmz4WT0E=/filters:quality(70)/vidio-media-production/uploads/image/source/52767/5dcecf.png</t>
  </si>
  <si>
    <t>https://thumbor.prod.vidiocdn.com/UyFyHczvHTslgwlJwjWauOXKc00=/filters:quality(70)/vidio-media-production/uploads/image/source/52766/a78d3e.png</t>
  </si>
  <si>
    <t>https://drive.google.com/file/d/1zC96Rj8klpv4SPsC0jXk_PKJgqX9_-yx/view?usp=sharing</t>
  </si>
  <si>
    <t>5fe49788</t>
  </si>
  <si>
    <t>Persiku Kudus vs Persiba Balikpapan - Pegadaian Championship</t>
  </si>
  <si>
    <t>persiku kudus; Persiba Balikpapan; sports stream</t>
  </si>
  <si>
    <t>Nonton streaming pertandingan seru Persiku Kudus vs Persiba Balikpapan - Pegadaian Championship. Saksikan aksi-aksi terbaik dari tim yang bersaing ketat untuk meraih kemenangan. Dapatkan informasi lengkap mengenai jadwal pertandingan dan hasil pertandingan terbaru hanya di Vidio.</t>
  </si>
  <si>
    <t>2cfcdc1d</t>
  </si>
  <si>
    <t>PSMS Medan vs Adhyaksa FC - Pegadaian Championship</t>
  </si>
  <si>
    <t>https://www.vidio.com/live/19883-pegadaian-championship-2025-26?schedule_id=4832539</t>
  </si>
  <si>
    <t>https://drive.google.com/drive/folders/1UxuisFHhYE8bRMN2UC2t4LggxtnHloip?usp=drive_link</t>
  </si>
  <si>
    <t>psms medan; Adhyaksa Farmel FC; sports stream</t>
  </si>
  <si>
    <t>Nonton streaming pertandingan seru PSMS Medan vs Adhyaksa FC - Pegadaian Championship. Saksikan aksi-aksi terbaik dari tim yang bersaing ketat untuk meraih kemenangan. Dapatkan informasi lengkap mengenai jadwal pertandingan dan hasil pertandingan terbaru hanya di Vidio.</t>
  </si>
  <si>
    <t>https://thumbor.prod.vidiocdn.com/Nl_d023aDnV8_v7a2UY2poIZe0k=/filters:quality(70)/vidio-media-production/uploads/image/source/52977/a7a409.png</t>
  </si>
  <si>
    <t>https://thumbor.prod.vidiocdn.com/w1iT5kfus1dArq8NTRVf36mmd0A=/filters:quality(70)/vidio-media-production/uploads/image/source/52976/15bfb8.png</t>
  </si>
  <si>
    <t>https://drive.google.com/file/d/1iJTRzHN0NO9vCAWHJX7o_YMI6qjgz43w/view?usp=sharing</t>
  </si>
  <si>
    <t>4c850ed9</t>
  </si>
  <si>
    <t>Kendal Tornado FC vs PSS Sleman - Pegadaian Championship</t>
  </si>
  <si>
    <t>https://www.vidio.com/live/19543-pegadaian-championship-2025-26?schedule_id=4827315</t>
  </si>
  <si>
    <t>https://drive.google.com/drive/folders/1r_425QeeZBreo56xFZbfzXJ_hGE6PqjU?usp=drive_link</t>
  </si>
  <si>
    <t>Kendal Tornado FC; pss sleman; sports stream</t>
  </si>
  <si>
    <t>Nonton streaming pertandingan seru Kendal Tornado FC vs PSS Sleman - Pegadaian Championship. Saksikan aksi-aksi terbaik dari tim yang bersaing ketat untuk meraih kemenangan. Dapatkan informasi lengkap mengenai jadwal pertandingan dan hasil pertandingan terbaru hanya di Vidio.</t>
  </si>
  <si>
    <t>https://thumbor.prod.vidiocdn.com/dIzLcnAPNQIvx4WnwexnutzLKSw=/filters:quality(70)/vidio-media-production/uploads/image/source/52560/6c43d9.png</t>
  </si>
  <si>
    <t>https://thumbor.prod.vidiocdn.com/TFlBYlqLOYkvzQVSNOLKZ5RPoiE=/filters:quality(70)/vidio-media-production/uploads/image/source/52559/8a3c9a.png</t>
  </si>
  <si>
    <t>https://drive.google.com/file/d/1XkqUYerPpoVxJG-iqDT927PKLQwsXg4u/view?usp=sharing</t>
  </si>
  <si>
    <t>4f47bd85</t>
  </si>
  <si>
    <t>PSS Sleman vs Persela Lamongan - Pegadaian Championship</t>
  </si>
  <si>
    <t>pss sleman; persela lamongan; sports stream</t>
  </si>
  <si>
    <t>Nonton streaming pertandingan seru PSS Sleman vs Persela Lamongan - Pegadaian Championship. Saksikan aksi-aksi terbaik dari tim yang bersaing ketat untuk meraih kemenangan. Dapatkan informasi lengkap mengenai jadwal pertandingan dan hasil pertandingan terbaru hanya di Vidio.</t>
  </si>
  <si>
    <t>96f2aabb</t>
  </si>
  <si>
    <t>Deltras FC vs Kendal Tornado FC - Pegadaian Championship</t>
  </si>
  <si>
    <t>https://www.vidio.com/live/19883-pegadaian-championship-2025-26?schedule_id=4832540</t>
  </si>
  <si>
    <t>https://drive.google.com/drive/folders/1AW9l7FfZr-HwyHzwfgZfCxyPzvVPawGc?usp=drive_link</t>
  </si>
  <si>
    <t>deltras sidoarjo; Kendal Tornado FC; sports stream</t>
  </si>
  <si>
    <t>Nonton streaming pertandingan seru Deltras FC vs Kendal Tornado FC - Pegadaian Championship. Saksikan aksi-aksi terbaik dari tim yang bersaing ketat untuk meraih kemenangan. Dapatkan informasi lengkap mengenai jadwal pertandingan dan hasil pertandingan terbaru hanya di Vidio.</t>
  </si>
  <si>
    <t>https://thumbor.prod.vidiocdn.com/boFiqypWVl-yrLbcWCdxUhhWw98=/filters:quality(70)/vidio-media-production/uploads/image/source/53009/a2fca6.png</t>
  </si>
  <si>
    <t>https://thumbor.prod.vidiocdn.com/G10DpKR6SihwE6bcOZ2KgQawGEc=/filters:quality(70)/vidio-media-production/uploads/image/source/53008/0bc4bd.png</t>
  </si>
  <si>
    <t>https://drive.google.com/file/d/1GUyRo7PVjPqXKbhPGX5hPkulckZJmbEQ/view?usp=sharing</t>
  </si>
  <si>
    <t>ffe78039</t>
  </si>
  <si>
    <t>Persiraja Banda Aceh vs PSMS Medan - Pegadaian Championship</t>
  </si>
  <si>
    <t>persiraja banda aceh; psms medan; sports stream</t>
  </si>
  <si>
    <t>Nonton streaming pertandingan seru Persiraja Banda Aceh vs PSMS Medan - Pegadaian Championship. Saksikan aksi-aksi terbaik dari tim yang bersaing ketat untuk meraih kemenangan. Dapatkan informasi lengkap mengenai jadwal pertandingan dan hasil pertandingan terbaru hanya di Vidio.</t>
  </si>
  <si>
    <t>31daa19d</t>
  </si>
  <si>
    <t>Persiraja Banda Aceh vs Persikad - Pegadaian Championship</t>
  </si>
  <si>
    <t>https://www.vidio.com/live/19584-pegadaian-championship-2025-26?schedule_id=4832522</t>
  </si>
  <si>
    <t>https://drive.google.com/drive/folders/1l_ZTcfs3sci5hHw7GYH9pl3Og_Fs4Qrv?usp=drive_link</t>
  </si>
  <si>
    <t>persiraja banda aceh; Persikad; sports stream</t>
  </si>
  <si>
    <t>Nonton streaming pertandingan seru Persiraja Banda Aceh vs Persikad - Pegadaian Championship. Saksikan aksi-aksi terbaik dari tim yang bersaing ketat untuk meraih kemenangan. Dapatkan informasi lengkap mengenai jadwal pertandingan dan hasil pertandingan terbaru hanya di Vidio.</t>
  </si>
  <si>
    <t>https://thumbor.prod.vidiocdn.com/QFbII3bB4nXTkuwhKlUQVQ2hAaA=/filters:quality(70)/vidio-media-production/uploads/image/source/53011/12696f.png</t>
  </si>
  <si>
    <t>https://thumbor.prod.vidiocdn.com/PVHFrqsou9AH6UCnhduyqE5emz4=/filters:quality(70)/vidio-media-production/uploads/image/source/53010/7474e0.png</t>
  </si>
  <si>
    <t>https://drive.google.com/file/d/1sMsNza5GGdbbrRFQBfs_cV24jz52Iovd/view?usp=sharing</t>
  </si>
  <si>
    <t>b3e91c3e</t>
  </si>
  <si>
    <t>Kendal Tornado FC vs Persiku Kudus - Pegadaian Championship</t>
  </si>
  <si>
    <t>Kendal Tornado FC; persiku kudus; sports stream</t>
  </si>
  <si>
    <t>Nonton streaming pertandingan seru Kendal Tornado FC vs Persiku Kudus - Pegadaian Championship. Saksikan aksi-aksi terbaik dari tim yang bersaing ketat untuk meraih kemenangan. Dapatkan informasi lengkap mengenai jadwal pertandingan dan hasil pertandingan terbaru hanya di Vidio.</t>
  </si>
  <si>
    <t>1ccf7d36</t>
  </si>
  <si>
    <t>Persipal FC vs Persiku Kudus - Pegadaian Championship</t>
  </si>
  <si>
    <t>https://www.vidio.com/live/19883-pegadaian-championship-2025-26?schedule_id=4834092</t>
  </si>
  <si>
    <t>https://drive.google.com/drive/folders/1hgSBbO7rpQM37b-9xZ6EmidR_TKzm6h2</t>
  </si>
  <si>
    <t>Persipal Palu; persiku kudus; sports stream</t>
  </si>
  <si>
    <t>Nonton streaming pertandingan seru Persipal FC vs Persiku Kudus - Pegadaian Championship. Saksikan aksi-aksi terbaik dari tim yang bersaing ketat untuk meraih kemenangan. Dapatkan informasi lengkap mengenai jadwal pertandingan dan hasil pertandingan terbaru hanya di Vidio.</t>
  </si>
  <si>
    <t>https://thumbor.prod.vidiocdn.com/UWYqXfCeFAQAEvDEMU6OhPkQyFQ=/filters:quality(70)/vidio-media-production/uploads/image/source/53013/d678ec.png</t>
  </si>
  <si>
    <t>https://thumbor.prod.vidiocdn.com/_YRU7ruGPCa3yA1L_2Sjp3ApJa0=/filters:quality(70)/vidio-media-production/uploads/image/source/53012/ac4de6.png</t>
  </si>
  <si>
    <t>https://drive.google.com/file/d/1gdUCxisQhW4NHkc8DcD2inDTA8UBRVZB/view?usp=sharing</t>
  </si>
  <si>
    <t>6962389a</t>
  </si>
  <si>
    <t>Persiba Balikpapan vs Persipura Jayapura - Pegadaian Championship</t>
  </si>
  <si>
    <t>https://www.vidio.com/live/19584-pegadaian-championship-2025-26?schedule_id=4834095</t>
  </si>
  <si>
    <t>https://drive.google.com/drive/folders/1_Lx8JzMKbHfIeIAt0b8Q4CwafofySA3e</t>
  </si>
  <si>
    <t>Persiba Balikpapan; persipura; sports stream</t>
  </si>
  <si>
    <t>Nonton streaming pertandingan seru Persiba Balikpapan vs Persipura Jayapura - Pegadaian Championship. Saksikan aksi-aksi terbaik dari tim yang bersaing ketat untuk meraih kemenangan. Dapatkan informasi lengkap mengenai jadwal pertandingan dan hasil pertandingan terbaru hanya di Vidio.</t>
  </si>
  <si>
    <t>https://thumbor.prod.vidiocdn.com/W0OWvquLQZQq-XlQZlWHtocY3r8=/filters:quality(70)/vidio-media-production/uploads/image/source/53015/50b55f.png</t>
  </si>
  <si>
    <t>https://thumbor.prod.vidiocdn.com/jA5_xYAWBk432qQTcKdVmxPLbCE=/filters:quality(70)/vidio-media-production/uploads/image/source/53014/f6e75d.png</t>
  </si>
  <si>
    <t>https://drive.google.com/file/d/1T4a-lHIQWEEwQE4A9QnbhNgaS-G9ozOx/view?usp=sharing</t>
  </si>
  <si>
    <t>f9767d6f</t>
  </si>
  <si>
    <t>PSPS Pekanbaru vs Adhyaksa FC - Pegadaian Championship</t>
  </si>
  <si>
    <t>psps riau; Adhyaksa Farmel FC; sports stream</t>
  </si>
  <si>
    <t>Nonton streaming pertandingan seru PSPS Pekanbaru vs Adhyaksa FC - Pegadaian Championship. Saksikan aksi-aksi terbaik dari tim yang bersaing ketat untuk meraih kemenangan. Dapatkan informasi lengkap mengenai jadwal pertandingan dan hasil pertandingan terbaru hanya di Vidio.</t>
  </si>
  <si>
    <t>e4e30591</t>
  </si>
  <si>
    <t>Persikad vs FC Bekasi City - Pegadaian Championship</t>
  </si>
  <si>
    <t>Persikad; fc bekasi city; sports stream</t>
  </si>
  <si>
    <t>Nonton streaming pertandingan seru Persikad vs FC Bekasi City - Pegadaian Championship. Saksikan aksi-aksi terbaik dari tim yang bersaing ketat untuk meraih kemenangan. Dapatkan informasi lengkap mengenai jadwal pertandingan dan hasil pertandingan terbaru hanya di Vidio.</t>
  </si>
  <si>
    <t>ab3eb7ea</t>
  </si>
  <si>
    <t>Persipura Jayapura vs PSS Sleman - Pegadaian Championship</t>
  </si>
  <si>
    <t>persipura; pss sleman; sports stream</t>
  </si>
  <si>
    <t>Nonton streaming pertandingan seru Persipura Jayapura vs PSS Sleman - Pegadaian Championship. Saksikan aksi-aksi terbaik dari tim yang bersaing ketat untuk meraih kemenangan. Dapatkan informasi lengkap mengenai jadwal pertandingan dan hasil pertandingan terbaru hanya di Vidio.</t>
  </si>
  <si>
    <t>16d78c02</t>
  </si>
  <si>
    <t>Persekat Tegal vs Persiraja Banda Aceh - Pegadaian Championship</t>
  </si>
  <si>
    <t>persekat; persiraja banda aceh; sports stream</t>
  </si>
  <si>
    <t>Nonton streaming pertandingan seru Persekat Tegal vs Persiraja Banda Aceh - Pegadaian Championship. Saksikan aksi-aksi terbaik dari tim yang bersaing ketat untuk meraih kemenangan. Dapatkan informasi lengkap mengenai jadwal pertandingan dan hasil pertandingan terbaru hanya di Vidio.</t>
  </si>
  <si>
    <t>d66523ee</t>
  </si>
  <si>
    <t>Sriwijaya FC vs Sumsel United - Pegadaian Championship</t>
  </si>
  <si>
    <t>sriwijaya fc; Sumsel United; sports stream</t>
  </si>
  <si>
    <t>Nonton streaming pertandingan seru Sriwijaya FC vs Sumsel United - Pegadaian Championship. Saksikan aksi-aksi terbaik dari tim yang bersaing ketat untuk meraih kemenangan. Dapatkan informasi lengkap mengenai jadwal pertandingan dan hasil pertandingan terbaru hanya di Vidio.</t>
  </si>
  <si>
    <t>bdb00e3a</t>
  </si>
  <si>
    <t>Persiba Balikpapan vs PS. Barito Putera - Pegadaian Championship</t>
  </si>
  <si>
    <t>Persiba Balikpapan; ps barito putera; sports stream</t>
  </si>
  <si>
    <t>Nonton streaming pertandingan seru Persiba Balikpapan vs PS. Barito Putera - Pegadaian Championship. Saksikan aksi-aksi terbaik dari tim yang bersaing ketat untuk meraih kemenangan. Dapatkan informasi lengkap mengenai jadwal pertandingan dan hasil pertandingan terbaru hanya di Vidio.</t>
  </si>
  <si>
    <t>324c5f48</t>
  </si>
  <si>
    <t>Garudayaksa FC vs PSMS Medan - Pegadaian Championship</t>
  </si>
  <si>
    <t>pskc cimahi; psms medan; sports stream</t>
  </si>
  <si>
    <t>Nonton streaming pertandingan seru Garudayaksa FC vs PSMS Medan - Pegadaian Championship. Saksikan aksi-aksi terbaik dari tim yang bersaing ketat untuk meraih kemenangan. Dapatkan informasi lengkap mengenai jadwal pertandingan dan hasil pertandingan terbaru hanya di Vidio.</t>
  </si>
  <si>
    <t>9b09393d</t>
  </si>
  <si>
    <t>Deltras FC vs Persipal FC - Pegadaian Championship</t>
  </si>
  <si>
    <t>deltras sidoarjo; Persipal Palu; sports stream</t>
  </si>
  <si>
    <t>Nonton streaming pertandingan seru Deltras FC vs Persipal FC - Pegadaian Championship. Saksikan aksi-aksi terbaik dari tim yang bersaing ketat untuk meraih kemenangan. Dapatkan informasi lengkap mengenai jadwal pertandingan dan hasil pertandingan terbaru hanya di Vidio.</t>
  </si>
  <si>
    <t>7491f927</t>
  </si>
  <si>
    <t>8bc2e8e2</t>
  </si>
  <si>
    <t>57b28c6e</t>
  </si>
  <si>
    <t>Persekat Tegal vs Persikad - Pegadaian Championship</t>
  </si>
  <si>
    <t>persekat; Persikad; sports stream</t>
  </si>
  <si>
    <t>Nonton streaming pertandingan seru Persekat Tegal vs Persikad - Pegadaian Championship. Saksikan aksi-aksi terbaik dari tim yang bersaing ketat untuk meraih kemenangan. Dapatkan informasi lengkap mengenai jadwal pertandingan dan hasil pertandingan terbaru hanya di Vidio.</t>
  </si>
  <si>
    <t>af21563c</t>
  </si>
  <si>
    <t>Adhyaksa FC vs Sriwijaya FC - Pegadaian Championship</t>
  </si>
  <si>
    <t>Adhyaksa Farmel FC; sriwijaya fc; sports stream</t>
  </si>
  <si>
    <t>Nonton streaming pertandingan seru Adhyaksa FC vs Sriwijaya FC - Pegadaian Championship. Saksikan aksi-aksi terbaik dari tim yang bersaing ketat untuk meraih kemenangan. Dapatkan informasi lengkap mengenai jadwal pertandingan dan hasil pertandingan terbaru hanya di Vidio.</t>
  </si>
  <si>
    <t>c1e96c7a</t>
  </si>
  <si>
    <t>PSMS Medan vs FC Bekasi City - Pegadaian Championship</t>
  </si>
  <si>
    <t>psms medan; fc bekasi city; sports stream</t>
  </si>
  <si>
    <t>Nonton streaming pertandingan seru PSMS Medan vs FC Bekasi City - Pegadaian Championship. Saksikan aksi-aksi terbaik dari tim yang bersaing ketat untuk meraih kemenangan. Dapatkan informasi lengkap mengenai jadwal pertandingan dan hasil pertandingan terbaru hanya di Vidio.</t>
  </si>
  <si>
    <t>8622808c</t>
  </si>
  <si>
    <t>Persiku Kudus vs Persipura Jayapura - Pegadaian Championship</t>
  </si>
  <si>
    <t>persiku kudus; persipura; sports stream</t>
  </si>
  <si>
    <t>Nonton streaming pertandingan seru Persiku Kudus vs Persipura Jayapura - Pegadaian Championship. Saksikan aksi-aksi terbaik dari tim yang bersaing ketat untuk meraih kemenangan. Dapatkan informasi lengkap mengenai jadwal pertandingan dan hasil pertandingan terbaru hanya di Vidio.</t>
  </si>
  <si>
    <t>e601189a</t>
  </si>
  <si>
    <t>PSIS Semarang vs Kendal Tornado FC - Pegadaian Championship</t>
  </si>
  <si>
    <t>psis semarang; Kendal Tornado FC; sports stream</t>
  </si>
  <si>
    <t>Nonton streaming pertandingan seru PSIS Semarang vs Kendal Tornado FC - Pegadaian Championship. Saksikan aksi-aksi terbaik dari tim yang bersaing ketat untuk meraih kemenangan. Dapatkan informasi lengkap mengenai jadwal pertandingan dan hasil pertandingan terbaru hanya di Vidio.</t>
  </si>
  <si>
    <t>59bcf307</t>
  </si>
  <si>
    <t>Sumsel United vs Garudayaksa FC - Pegadaian Championship</t>
  </si>
  <si>
    <t>Sumsel United; pskc cimahi; sports stream</t>
  </si>
  <si>
    <t>Nonton streaming pertandingan seru Sumsel United vs Garudayaksa FC - Pegadaian Championship. Saksikan aksi-aksi terbaik dari tim yang bersaing ketat untuk meraih kemenangan. Dapatkan informasi lengkap mengenai jadwal pertandingan dan hasil pertandingan terbaru hanya di Vidio.</t>
  </si>
  <si>
    <t>1c487263</t>
  </si>
  <si>
    <t>Persipal FC vs Persela Lamongan - Pegadaian Championship</t>
  </si>
  <si>
    <t>Persipal Palu; persela lamongan; sports stream</t>
  </si>
  <si>
    <t>Nonton streaming pertandingan seru Persipal FC vs Persela Lamongan - Pegadaian Championship. Saksikan aksi-aksi terbaik dari tim yang bersaing ketat untuk meraih kemenangan. Dapatkan informasi lengkap mengenai jadwal pertandingan dan hasil pertandingan terbaru hanya di Vidio.</t>
  </si>
  <si>
    <t>7496a7fc</t>
  </si>
  <si>
    <t>PSS Sleman vs PS. Barito Putera - Pegadaian Championship</t>
  </si>
  <si>
    <t>pss sleman; ps barito putera; sports stream</t>
  </si>
  <si>
    <t>Nonton streaming pertandingan seru PSS Sleman vs PS. Barito Putera - Pegadaian Championship. Saksikan aksi-aksi terbaik dari tim yang bersaing ketat untuk meraih kemenangan. Dapatkan informasi lengkap mengenai jadwal pertandingan dan hasil pertandingan terbaru hanya di Vidio.</t>
  </si>
  <si>
    <t>6ef14daa</t>
  </si>
  <si>
    <t>Persiba Balikpapan vs Deltras FC - Pegadaian Championship</t>
  </si>
  <si>
    <t>Persiba Balikpapan; deltras sidoarjo; sports stream</t>
  </si>
  <si>
    <t>Nonton streaming pertandingan seru Persiba Balikpapan vs Deltras FC - Pegadaian Championship. Saksikan aksi-aksi terbaik dari tim yang bersaing ketat untuk meraih kemenangan. Dapatkan informasi lengkap mengenai jadwal pertandingan dan hasil pertandingan terbaru hanya di Vidio.</t>
  </si>
  <si>
    <t>96af0380</t>
  </si>
  <si>
    <t>Persiraja Banda Aceh vs PSPS Pekanbaru - Pegadaian Championship</t>
  </si>
  <si>
    <t>persiraja banda aceh; psps riau; sports stream</t>
  </si>
  <si>
    <t>Nonton streaming pertandingan seru Persiraja Banda Aceh vs PSPS Pekanbaru - Pegadaian Championship. Saksikan aksi-aksi terbaik dari tim yang bersaing ketat untuk meraih kemenangan. Dapatkan informasi lengkap mengenai jadwal pertandingan dan hasil pertandingan terbaru hanya di Vidio.</t>
  </si>
  <si>
    <t>2896a42e</t>
  </si>
  <si>
    <t>Al-Ahli vs Al-Qadsiah - ROSHN Saudi League</t>
  </si>
  <si>
    <t>https://www.vidio.com/live/17139-spotv?schedule_id=4726332</t>
  </si>
  <si>
    <t>https://drive.google.com/drive/folders/1uAVbWs9B3ZfxvBvzC0MJtHXvh4nrBMxI</t>
  </si>
  <si>
    <t>al-ahli saudi fc; al qadsiah fc; sports stream</t>
  </si>
  <si>
    <t>Nonton streaming pertandingan seru Al-Ahli vs Al-Qadsiah - ROSHN Saudi League. Saksikan aksi-aksi terbaik dari tim yang bersaing ketat untuk meraih kemenangan. Dapatkan informasi lengkap mengenai jadwal pertandingan dan hasil pertandingan terbaru hanya di Vidio.</t>
  </si>
  <si>
    <t>https://drive.google.com/file/d/1i9w6GHZuQDuGdV1Bq2LVVMipTLw4v_yZ/view?usp=sharing</t>
  </si>
  <si>
    <t>https://drive.google.com/file/d/1QAiu0PSanTkZ3-2pYKG2gSrAamHOSo4x/view?usp=sharing</t>
  </si>
  <si>
    <t>6c27a8fd</t>
  </si>
  <si>
    <t>Al-Hilal vs Al-Fateh - ROSHN Saudi League</t>
  </si>
  <si>
    <t>https://www.vidio.com/live/17139-spotv?schedule_id=4726333</t>
  </si>
  <si>
    <t>https://drive.google.com/drive/folders/1NQrWNHZ5lRrB8jKLl_Zfx-PGnyIFpeFx</t>
  </si>
  <si>
    <t>al-hilal; al fateh sc; sports stream</t>
  </si>
  <si>
    <t>Nonton streaming pertandingan seru Al-Hilal vs Al-Fateh - ROSHN Saudi League. Saksikan aksi-aksi terbaik dari tim yang bersaing ketat untuk meraih kemenangan. Dapatkan informasi lengkap mengenai jadwal pertandingan dan hasil pertandingan terbaru hanya di Vidio.</t>
  </si>
  <si>
    <t>https://drive.google.com/file/d/1NdM7dxtO8z9Y53ccb8sbJcY3ExXBvQVn/view?usp=sharing</t>
  </si>
  <si>
    <t>https://drive.google.com/file/d/19xCp2XiTav3N7RN_hofJ09zqtGDZ5ftt/view?usp=sharing</t>
  </si>
  <si>
    <t>ca30e9ab</t>
  </si>
  <si>
    <t>Galatasaray HDI Sigorta vs Gaziantep Genclik Spor - Turkish Men's Volleyball League</t>
  </si>
  <si>
    <t>https://www.vidio.com/live/19737-turkish-men-s-volleyball-league?schedule_id=4717740</t>
  </si>
  <si>
    <t>https://drive.google.com/drive/folders/1l2LG0AUligoRL6vgm4qB-4k_xexw9tad?usp=sharing</t>
  </si>
  <si>
    <t>Galatasaray Daikin; Gaziantep Genclik Spor; sports stream</t>
  </si>
  <si>
    <t>Nonton streaming pertandingan seru Galatasaray HDI Sigorta vs Gaziantep Genclik Spor - Turkish Men's Volleyball League. Saksikan aksi-aksi terbaik dari tim yang bersaing ketat untuk meraih kemenangan. Dapatkan informasi lengkap mengenai jadwal pertandingan dan hasil pertandingan terbaru hanya di Vidio.</t>
  </si>
  <si>
    <t>https://drive.google.com/file/d/1IyM8OYo8FKORQS8toyoQU8K9h8EAeout/view?usp=sharing</t>
  </si>
  <si>
    <t>9f8afe7f</t>
  </si>
  <si>
    <t>Arsenal vs Liverpool - Women's Super League</t>
  </si>
  <si>
    <t>Arsenal W.F.C.; Liverpool Women; sports stream</t>
  </si>
  <si>
    <t>Nonton streaming pertandingan seru Arsenal vs Liverpool - Women's Super League. Saksikan aksi-aksi terbaik dari tim yang bersaing ketat untuk meraih kemenangan. Dapatkan informasi lengkap mengenai jadwal pertandingan dan hasil pertandingan terbaru hanya di Vidio.</t>
  </si>
  <si>
    <t>Arsenal: Ale Russo &amp; Chloe Kelly
Liverpool: Sophie Haug &amp; Fuka Nagano</t>
  </si>
  <si>
    <t>9d944c0a</t>
  </si>
  <si>
    <t>Man United vs West Ham - Women's Super League</t>
  </si>
  <si>
    <t>https://www.vidio.com/live/6317-bein-3?schedule_id=4767992</t>
  </si>
  <si>
    <t>https://drive.google.com/drive/folders/1kyMR0bTjGUyD62lcR9P54Nb0xr6YXCP4?usp=drive_link</t>
  </si>
  <si>
    <t>https://drive.google.com/file/d/1Od7ahvJ5vUqA93QcTGf_w7HIhwKo_bHi/view?usp=drive_link</t>
  </si>
  <si>
    <t>manchester united w.f.c.; west ham united fc women; sports stream</t>
  </si>
  <si>
    <t>Nonton streaming pertandingan seru Man United vs West Ham - Women's Super League. Saksikan aksi-aksi terbaik dari tim yang bersaing ketat untuk meraih kemenangan. Dapatkan informasi lengkap mengenai jadwal pertandingan dan hasil pertandingan terbaru hanya di Vidio.</t>
  </si>
  <si>
    <t>Man United: Elisabeth Terland &amp; Hinata Miyazawa
West Ham: Anouk Denton &amp; Yu Endo</t>
  </si>
  <si>
    <t>https://drive.google.com/file/d/148L7MVKB_v-znD3KTa4CY2wacEfCKvTq/view?usp=sharing</t>
  </si>
  <si>
    <t>https://drive.google.com/file/d/1Od7ahvJ5vUqA93QcTGf_w7HIhwKo_bHi/view?usp=sharing</t>
  </si>
  <si>
    <t>https://drive.google.com/file/d/1rw5dyJqLt4YtR86bhoTWYSPWe6yHiFx1/view?usp=sharing</t>
  </si>
  <si>
    <t>aade3e28</t>
  </si>
  <si>
    <t>Chelsea vs Everton - Women's Super League</t>
  </si>
  <si>
    <t>https://www.vidio.com/live/6317-bein-3?schedule_id=4768858</t>
  </si>
  <si>
    <t>https://drive.google.com/drive/folders/1LrslWs3pdJUfLcna0cR2B9AUz25ynDTG?usp=drive_link</t>
  </si>
  <si>
    <t>https://drive.google.com/file/d/1ZpA43hHHlitWxBPU25V-UC_4U_uQpPUj/view?usp=drive_link</t>
  </si>
  <si>
    <t>Chelsea F.C. Women; Everton Women; sports stream</t>
  </si>
  <si>
    <t>Nonton streaming pertandingan seru Chelsea vs Everton - Women's Super League. Saksikan aksi-aksi terbaik dari tim yang bersaing ketat untuk meraih kemenangan. Dapatkan informasi lengkap mengenai jadwal pertandingan dan hasil pertandingan terbaru hanya di Vidio.</t>
  </si>
  <si>
    <t>Chelsea: Keira Walsh &amp; Sam Kerr
Everton: Ornella Vignola &amp; Rion Ishikawa</t>
  </si>
  <si>
    <t>https://drive.google.com/file/d/13nkNLQAj4-JZW32-41XJgOD21gSqxWaN/view?usp=sharing</t>
  </si>
  <si>
    <t>https://drive.google.com/file/d/1ZpA43hHHlitWxBPU25V-UC_4U_uQpPUj/view?usp=sharing</t>
  </si>
  <si>
    <t>https://drive.google.com/file/d/1p2aV85j6_giKgh-0YetEkdzxqIRtwiWk/view?usp=sharing</t>
  </si>
  <si>
    <t>92cb9fb1</t>
  </si>
  <si>
    <t>Everton vs Arsenal - Women's Super League</t>
  </si>
  <si>
    <t>https://www.vidio.com/live/6317-bein-3?schedule_id=4777388</t>
  </si>
  <si>
    <t>https://drive.google.com/drive/folders/17bWLAf8g7rS-Ne619B_yZrzO4fB_34bY?usp=drive_link</t>
  </si>
  <si>
    <t>https://drive.google.com/file/d/14MoP_R2XmKDRK5j9OvnviANe9UEjBldR/view?usp=drive_link</t>
  </si>
  <si>
    <t>Everton Women; Arsenal W.F.C.; sports stream</t>
  </si>
  <si>
    <t>Nonton streaming pertandingan seru Everton vs Arsenal - Women's Super League. Saksikan aksi-aksi terbaik dari tim yang bersaing ketat untuk meraih kemenangan. Dapatkan informasi lengkap mengenai jadwal pertandingan dan hasil pertandingan terbaru hanya di Vidio.</t>
  </si>
  <si>
    <t>Everton: Rosa van Gool &amp; Katja Snoeijs
Arsenal: Mariona Caldentey &amp; Olivia Smith</t>
  </si>
  <si>
    <t>https://drive.google.com/file/d/1HB3QPbaTzgslYHKhGXXnYf4Xxkq4-S-A/view?usp=sharing</t>
  </si>
  <si>
    <t>https://drive.google.com/file/d/14MoP_R2XmKDRK5j9OvnviANe9UEjBldR/view?usp=sharing</t>
  </si>
  <si>
    <t>https://drive.google.com/file/d/1Hq3WfZAMA9ldwbrxnbOE_dXt-VIxRg2j/view?usp=sharing</t>
  </si>
  <si>
    <t>50988fc6</t>
  </si>
  <si>
    <t>Brighton vs Chelsea - Women's Super League</t>
  </si>
  <si>
    <t>https://www.vidio.com/live/6317-bein-3?schedule_id=4777389</t>
  </si>
  <si>
    <t>https://drive.google.com/drive/folders/1NWtZoVZdOFyCMTqQYo-OBkpUrA6X6mAK?usp=drive_link</t>
  </si>
  <si>
    <t>https://drive.google.com/file/d/1xAXk5rZNVqHZn4N5kzFhxphKjJICTyi9/view?usp=drive_link</t>
  </si>
  <si>
    <t>Brighton &amp; Hove Albion WFC; Chelsea F.C. Women; sports stream</t>
  </si>
  <si>
    <t>Nonton streaming pertandingan seru Brighton vs Chelsea - Women's Super League. Saksikan aksi-aksi terbaik dari tim yang bersaing ketat untuk meraih kemenangan. Dapatkan informasi lengkap mengenai jadwal pertandingan dan hasil pertandingan terbaru hanya di Vidio.</t>
  </si>
  <si>
    <t>Brighton: Carla Camacho &amp; Charlie Rule
Chelsea: Catarina Macario &amp; Lucy Bronze</t>
  </si>
  <si>
    <t>https://drive.google.com/file/d/1oNajM0xSo0SZ6lxRdFbXqRdte3NuXQ-U/view?usp=sharing</t>
  </si>
  <si>
    <t>https://drive.google.com/file/d/1xAXk5rZNVqHZn4N5kzFhxphKjJICTyi9/view?usp=sharing</t>
  </si>
  <si>
    <t>https://drive.google.com/file/d/1lVg4xyy548LCH1pUOnc7HVAPXCXRpwod/view?usp=sharing</t>
  </si>
  <si>
    <t>b02ead98</t>
  </si>
  <si>
    <t>Man United vs Tottenham - Women's Super League</t>
  </si>
  <si>
    <t>https://www.vidio.com/live/6317-bein-3?schedule_id=4777390</t>
  </si>
  <si>
    <t>https://drive.google.com/drive/folders/1etnVTdjmUEVyMdkFfgdGIfZ-LWp7Of5g?usp=drive_link</t>
  </si>
  <si>
    <t>https://drive.google.com/file/d/1FkyVpqdiaUASQL7c0mqDAqHfCene23vQ/view?usp=drive_link</t>
  </si>
  <si>
    <t>manchester united w.f.c.; tottenham hotspur fc women; sports stream</t>
  </si>
  <si>
    <t>Nonton streaming pertandingan seru Man United vs Tottenham - Women's Super League. Saksikan aksi-aksi terbaik dari tim yang bersaing ketat untuk meraih kemenangan. Dapatkan informasi lengkap mengenai jadwal pertandingan dan hasil pertandingan terbaru hanya di Vidio.</t>
  </si>
  <si>
    <t>Man United: Jess Park &amp; Ella Toone
Tottenham: Bethany England &amp; Olivia Holdt</t>
  </si>
  <si>
    <t>https://drive.google.com/file/d/1EOy16kr0mw0gzkFeNq7-CeaG3Ogjah_-/view?usp=sharing</t>
  </si>
  <si>
    <t>https://drive.google.com/file/d/1FkyVpqdiaUASQL7c0mqDAqHfCene23vQ/view?usp=sharing</t>
  </si>
  <si>
    <t>https://drive.google.com/file/d/1dYulw0TjrKcBX6W7e2WaF1NiiAyQpd7H/view?usp=sharing</t>
  </si>
  <si>
    <t>42c920a8</t>
  </si>
  <si>
    <t>Buffalo Bills vs Houston Texans - NFL</t>
  </si>
  <si>
    <t>https://www.vidio.com/live/19748-national-football-league-2025-26?schedule_id=4724861</t>
  </si>
  <si>
    <t>https://drive.google.com/drive/folders/1eQjLCMZUIL6Mcvw70MZOl8QgzHSN8gbl</t>
  </si>
  <si>
    <t>Nonton streaming pertandingan seru Buffalo Bills vs Houston Texans - NFL. Saksikan aksi-aksi terbaik dari tim yang bersaing ketat untuk meraih kemenangan. Dapatkan informasi lengkap mengenai jadwal pertandingan dan hasil pertandingan terbaru hanya di Vidio.</t>
  </si>
  <si>
    <t>https://drive.google.com/file/d/1FwUbSPHnYyfcHgdxQGVkxlQOsUw28JTv/view?usp=sharing</t>
  </si>
  <si>
    <t>https://drive.google.com/file/d/1va6l948LWaGBW_hGzOoubPOhVy70iqxQ/view?usp=sharing</t>
  </si>
  <si>
    <t>835f1dcf</t>
  </si>
  <si>
    <t>Indianapolis Colts vs Kansas City Chiefs - NFL</t>
  </si>
  <si>
    <t>https://www.vidio.com/live/19623-national-football-league-2025-26?schedule_id=4733430</t>
  </si>
  <si>
    <t>https://drive.google.com/drive/folders/1euRDLdFGvr2VADKIMDBevBOuMp2lm_F7</t>
  </si>
  <si>
    <t>Nonton streaming pertandingan seru Indianapolis Colts vs Kansas City Chiefs - NFL. Saksikan aksi-aksi terbaik dari tim yang bersaing ketat untuk meraih kemenangan. Dapatkan informasi lengkap mengenai jadwal pertandingan dan hasil pertandingan terbaru hanya di Vidio.</t>
  </si>
  <si>
    <t>https://drive.google.com/file/d/1g8lUQxKxoG5mVuxaMY0hxnzJteYKQy7O/view?usp=sharing</t>
  </si>
  <si>
    <t>https://drive.google.com/file/d/19bBqKw00ZBcCuIPQH_TMQzHkclPP6plE/view?usp=sharing</t>
  </si>
  <si>
    <t>bc11ed5d</t>
  </si>
  <si>
    <t>Philadelphia Eagles vs Dallas Cowboys - NFL</t>
  </si>
  <si>
    <t>https://www.vidio.com/live/19623-national-football-league-2025-26?schedule_id=4733429</t>
  </si>
  <si>
    <t>https://drive.google.com/drive/folders/1ukKRMWtKLxl9DgBJZPia0C4NQMDwzs6T</t>
  </si>
  <si>
    <t>Nonton streaming pertandingan seru Philadelphia Eagles vs Dallas Cowboys - NFL. Saksikan aksi-aksi terbaik dari tim yang bersaing ketat untuk meraih kemenangan. Dapatkan informasi lengkap mengenai jadwal pertandingan dan hasil pertandingan terbaru hanya di Vidio.</t>
  </si>
  <si>
    <t>https://drive.google.com/file/d/1L88QxPGqBBzEFGfS4cN63b-MVCLYdfxe/view?usp=sharing</t>
  </si>
  <si>
    <t>https://drive.google.com/file/d/1caOeYBVyUM6jrciaO8qbqLcLnHQGsFEN/view?usp=sharing</t>
  </si>
  <si>
    <t>d11b4efa</t>
  </si>
  <si>
    <t>Tampa Bay Buccaneers vs Los Angeles Rams - NFL</t>
  </si>
  <si>
    <t>https://www.vidio.com/live/19748-national-football-league-2025-26?schedule_id=4727019</t>
  </si>
  <si>
    <t>https://drive.google.com/drive/folders/1KWWHE82aduwc6unbtA6YOcEOW4hOjvIz</t>
  </si>
  <si>
    <t>Nonton streaming pertandingan seru Tampa Bay Buccaneers vs Los Angeles Rams - NFL. Saksikan aksi-aksi terbaik dari tim yang bersaing ketat untuk meraih kemenangan. Dapatkan informasi lengkap mengenai jadwal pertandingan dan hasil pertandingan terbaru hanya di Vidio.</t>
  </si>
  <si>
    <t>https://drive.google.com/file/d/19gmxjoF4PF5VqMOyjf0Pyh4G6BJxqHwO/view?usp=sharing</t>
  </si>
  <si>
    <t>https://drive.google.com/file/d/12hj6-KGdy8TTSop-G13Tgo6eKSnGeHpI/view?usp=sharing</t>
  </si>
  <si>
    <t>965fe48d</t>
  </si>
  <si>
    <t>Carolina Panthers vs San Francisco 49ers - NFL</t>
  </si>
  <si>
    <t>https://www.vidio.com/live/19748-national-football-league-2025-26?schedule_id=4727759</t>
  </si>
  <si>
    <t>https://drive.google.com/drive/folders/1GM56U4ho6C62Jv0Ssb-v9b6FZ1MrbgrO</t>
  </si>
  <si>
    <t>Carolina Panthers</t>
  </si>
  <si>
    <t>Nonton streaming pertandingan seru Carolina Panthers vs San Francisco 49ers - NFL. Saksikan aksi-aksi terbaik dari tim yang bersaing ketat untuk meraih kemenangan. Dapatkan informasi lengkap mengenai jadwal pertandingan dan hasil pertandingan terbaru hanya di Vidio.</t>
  </si>
  <si>
    <t>https://drive.google.com/file/d/1HZZ0fhz36x4D3mROsPkmwepdaymAn_hi/view?usp=sharing</t>
  </si>
  <si>
    <t>https://drive.google.com/file/d/1n2ym_23B7Gfs7YwfK6tcHS2TIJIqrsOK/view?usp=sharing</t>
  </si>
  <si>
    <t>6c1286c5</t>
  </si>
  <si>
    <t>Lapangan Kehakiman, Bogor: Babak Play-off - Top Soccer Championship U-13 &amp; U-14</t>
  </si>
  <si>
    <t>https://www.vidio.com/live/19845-top-soccer-championship-2025-u-13-u-14</t>
  </si>
  <si>
    <t>https://drive.google.com/file/d/1bGAtWdCSL-v2iZg1GvRoYwXZwXVqVH3x/view</t>
  </si>
  <si>
    <t>Nonton streaming pertandingan seru Lapangan Kehakiman, Bogor: Babak Play-off - Top Soccer Championship U-13 &amp; U-14. Saksikan aksi-aksi terbaik dari tim yang bersaing ketat untuk meraih kemenangan. Dapatkan informasi lengkap mengenai jadwal pertandingan dan hasil pertandingan terbaru hanya di Vidio.</t>
  </si>
  <si>
    <t>732799c2</t>
  </si>
  <si>
    <t>https://www.vidio.com/live/19846-top-soccer-championship-2025-u-13-u-14</t>
  </si>
  <si>
    <t>ec13c135</t>
  </si>
  <si>
    <t>Mastabe vs ASTAM – TSC 2025 U-13 (Play-off 1 Plate)</t>
  </si>
  <si>
    <t>https://www.vidio.com/live/19845-top-soccer-championship-2025-u-13-u-14?schedule_id=4719203</t>
  </si>
  <si>
    <t>Nonton streaming pertandingan seru Mastabe vs ASTAM – TSC 2025 U-13 (Play-off 1 Plate). Saksikan aksi-aksi terbaik dari tim yang bersaing ketat untuk meraih kemenangan. Dapatkan informasi lengkap mengenai jadwal pertandingan dan hasil pertandingan terbaru hanya di Vidio.</t>
  </si>
  <si>
    <t>5c836fc5</t>
  </si>
  <si>
    <t>FIFA Farmel vs Pnb Cianjur - TSC 2025 U-13 (Play-off 1 Plate)</t>
  </si>
  <si>
    <t>https://www.vidio.com/live/19845-top-soccer-championship-2025-u-13-u-14?schedule_id=4719204</t>
  </si>
  <si>
    <t>Nonton streaming pertandingan seru FIFA Farmel vs Pnb Cianjur - TSC 2025 U-13 (Play-off 1 Plate). Saksikan aksi-aksi terbaik dari tim yang bersaing ketat untuk meraih kemenangan. Dapatkan informasi lengkap mengenai jadwal pertandingan dan hasil pertandingan terbaru hanya di Vidio.</t>
  </si>
  <si>
    <t>de6ac4c5</t>
  </si>
  <si>
    <t>Binna Banua vs Prodigy - TSC 2025 U-14 (Perempat Final)</t>
  </si>
  <si>
    <t>https://www.vidio.com/live/19845-top-soccer-championship-2025-u-13-u-14?schedule_id=4719216</t>
  </si>
  <si>
    <t>Nonton streaming pertandingan seru Binna Banua vs Prodigy - TSC 2025 U-14 (Perempat Final). Saksikan aksi-aksi terbaik dari tim yang bersaing ketat untuk meraih kemenangan. Dapatkan informasi lengkap mengenai jadwal pertandingan dan hasil pertandingan terbaru hanya di Vidio.</t>
  </si>
  <si>
    <t>9ee7a8d7</t>
  </si>
  <si>
    <t>Young Tiger vs JAS - TSC 2025 U-14 (Perempat Final)</t>
  </si>
  <si>
    <t>https://www.vidio.com/live/19845-top-soccer-championship-2025-u-13-u-14?schedule_id=4719217</t>
  </si>
  <si>
    <t>Nonton streaming pertandingan seru Young Tiger vs JAS - TSC 2025 U-14 (Perempat Final). Saksikan aksi-aksi terbaik dari tim yang bersaing ketat untuk meraih kemenangan. Dapatkan informasi lengkap mengenai jadwal pertandingan dan hasil pertandingan terbaru hanya di Vidio.</t>
  </si>
  <si>
    <t>95663ca8</t>
  </si>
  <si>
    <t>Asiana vs RMD - TSC 2025 U-14 (Perempat Final)</t>
  </si>
  <si>
    <t>https://www.vidio.com/live/19845-top-soccer-championship-2025-u-13-u-14?schedule_id=4719208</t>
  </si>
  <si>
    <t>Nonton streaming pertandingan seru Asiana vs RMD - TSC 2025 U-14 (Perempat Final). Saksikan aksi-aksi terbaik dari tim yang bersaing ketat untuk meraih kemenangan. Dapatkan informasi lengkap mengenai jadwal pertandingan dan hasil pertandingan terbaru hanya di Vidio.</t>
  </si>
  <si>
    <t>47d10f75</t>
  </si>
  <si>
    <t>SMPIT Taruma vs Bimba Aiueo - TSC 2025 U-13 (Play-off 1 Plate)</t>
  </si>
  <si>
    <t>https://www.vidio.com/live/19846-top-soccer-championship-2025-u-13-u-14?schedule_id=4719858</t>
  </si>
  <si>
    <t>Nonton streaming pertandingan seru SMPIT Taruma vs Bimba Aiueo - TSC 2025 U-13 (Play-off 1 Plate). Saksikan aksi-aksi terbaik dari tim yang bersaing ketat untuk meraih kemenangan. Dapatkan informasi lengkap mengenai jadwal pertandingan dan hasil pertandingan terbaru hanya di Vidio.</t>
  </si>
  <si>
    <t>77d1ffc0</t>
  </si>
  <si>
    <t>REMCI vs Padurenan - TSC 2025 U-13 (Play-off 1 Plate)</t>
  </si>
  <si>
    <t>https://www.vidio.com/live/19846-top-soccer-championship-2025-u-13-u-14?schedule_id=4719859</t>
  </si>
  <si>
    <t>Nonton streaming pertandingan seru REMCI vs Padurenan - TSC 2025 U-13 (Play-off 1 Plate). Saksikan aksi-aksi terbaik dari tim yang bersaing ketat untuk meraih kemenangan. Dapatkan informasi lengkap mengenai jadwal pertandingan dan hasil pertandingan terbaru hanya di Vidio.</t>
  </si>
  <si>
    <t>61b49646</t>
  </si>
  <si>
    <t>CS Private vs biMBA AIUEO - TSC 2025 U-14 (Perempat Final)</t>
  </si>
  <si>
    <t>https://www.vidio.com/live/19845-top-soccer-championship-2025-u-13-u-14?schedule_id=4719207</t>
  </si>
  <si>
    <t>Nonton streaming pertandingan seru CS Private vs biMBA AIUEO - TSC 2025 U-14 (Perempat Final). Saksikan aksi-aksi terbaik dari tim yang bersaing ketat untuk meraih kemenangan. Dapatkan informasi lengkap mengenai jadwal pertandingan dan hasil pertandingan terbaru hanya di Vidio.</t>
  </si>
  <si>
    <t>0beb6ec1</t>
  </si>
  <si>
    <t>PNB Cianjur vs Bogor City - TSC 2025 U-13 (Play-off 1 Plate)</t>
  </si>
  <si>
    <t>https://www.vidio.com/live/19846-top-soccer-championship-2025-u-13-u-14?schedule_id=4719860</t>
  </si>
  <si>
    <t>Nonton streaming pertandingan seru PNB Cianjur vs Bogor City - TSC 2025 U-13 (Play-off 1 Plate). Saksikan aksi-aksi terbaik dari tim yang bersaing ketat untuk meraih kemenangan. Dapatkan informasi lengkap mengenai jadwal pertandingan dan hasil pertandingan terbaru hanya di Vidio.</t>
  </si>
  <si>
    <t>64d73a49</t>
  </si>
  <si>
    <t>Mastabe vs ASIOP Biru - TSC 2025 U-13 (Play-off 1 Plate)</t>
  </si>
  <si>
    <t>https://www.vidio.com/live/19846-top-soccer-championship-2025-u-13-u-14?schedule_id=4719861</t>
  </si>
  <si>
    <t>Nonton streaming pertandingan seru Mastabe vs ASIOP Biru - TSC 2025 U-13 (Play-off 1 Plate). Saksikan aksi-aksi terbaik dari tim yang bersaing ketat untuk meraih kemenangan. Dapatkan informasi lengkap mengenai jadwal pertandingan dan hasil pertandingan terbaru hanya di Vidio.</t>
  </si>
  <si>
    <t>1861d6df</t>
  </si>
  <si>
    <t>Bina Patra FA vs M’Private - TSC 2025 U-14 (Play-off 1 Plate)</t>
  </si>
  <si>
    <t>https://www.vidio.com/live/19846-top-soccer-championship-2025-u-13-u-14?schedule_id=4719862</t>
  </si>
  <si>
    <t>Nonton streaming pertandingan seru Bina Patra FA vs M’Private - TSC 2025 U-14 (Play-off 1 Plate). Saksikan aksi-aksi terbaik dari tim yang bersaing ketat untuk meraih kemenangan. Dapatkan informasi lengkap mengenai jadwal pertandingan dan hasil pertandingan terbaru hanya di Vidio.</t>
  </si>
  <si>
    <t>9803699f</t>
  </si>
  <si>
    <t>Erlangga FA vs Mastabe FA - TSC 2025 U-14 (Play-off 1 Plate)</t>
  </si>
  <si>
    <t>https://www.vidio.com/live/19846-top-soccer-championship-2025-u-13-u-14?schedule_id=4719863</t>
  </si>
  <si>
    <t>Nonton streaming pertandingan seru Erlangga FA vs Mastabe FA - TSC 2025 U-14 (Play-off 1 Plate). Saksikan aksi-aksi terbaik dari tim yang bersaing ketat untuk meraih kemenangan. Dapatkan informasi lengkap mengenai jadwal pertandingan dan hasil pertandingan terbaru hanya di Vidio.</t>
  </si>
  <si>
    <t>e7107158</t>
  </si>
  <si>
    <t>Nilufer Belediyespor vs Eczacibasi Dynavit - Turkish Women's Volleyball League</t>
  </si>
  <si>
    <t>https://www.vidio.com/live/19738-turkish-women-s-volleyball-league?schedule_id=4725597</t>
  </si>
  <si>
    <t>https://drive.google.com/drive/folders/16feZVThQ5lJPPFexaNPduahVIpqbvyYX?usp=drive_link</t>
  </si>
  <si>
    <t>nilufer belediyespor; eczacibasi dynavit; sports stream</t>
  </si>
  <si>
    <t>Nonton streaming pertandingan seru Nilufer Belediyespor vs Eczacibasi Dynavit - Turkish Women's Volleyball League. Saksikan aksi-aksi terbaik dari tim yang bersaing ketat untuk meraih kemenangan. Dapatkan informasi lengkap mengenai jadwal pertandingan dan hasil pertandingan terbaru hanya di Vidio.</t>
  </si>
  <si>
    <t>https://drive.google.com/file/d/1U-CBfFVXXk2WyuRA_WTzpPUPopQN-FiN/view?usp=sharing</t>
  </si>
  <si>
    <t>https://drive.google.com/file/d/10fS89EXVjOBJA7tal4spITC8NdPRihbS/view?usp=sharing</t>
  </si>
  <si>
    <t>f7f80790</t>
  </si>
  <si>
    <t>Zeren Spor vs Besiktas Ayos - Turkish Women's Volleyball League</t>
  </si>
  <si>
    <t>https://www.vidio.com/live/19738-turkish-women-s-volleyball-league?schedule_id=4739853</t>
  </si>
  <si>
    <t>https://drive.google.com/drive/folders/1iDm-Beughgla-xmSwfuNsqrH33Maf-k5?usp=sharing</t>
  </si>
  <si>
    <t>zerenspor; besiktas ayos volleyball; sports stream</t>
  </si>
  <si>
    <t>Nonton streaming pertandingan seru Zeren Spor vs Besiktas Ayos - Turkish Women's Volleyball League. Saksikan aksi-aksi terbaik dari tim yang bersaing ketat untuk meraih kemenangan. Dapatkan informasi lengkap mengenai jadwal pertandingan dan hasil pertandingan terbaru hanya di Vidio.</t>
  </si>
  <si>
    <t>https://drive.google.com/file/d/1ULUW19hSz6rbk02o_qFTB3Fl-1Rz3_g0/view?usp=sharing</t>
  </si>
  <si>
    <t>https://drive.google.com/file/d/1HMWJ_lvTlPKcm8TYaJ5oVeBuYsBN5QLr/view?usp=sharing</t>
  </si>
  <si>
    <t>d9fc059f</t>
  </si>
  <si>
    <t>Chelsea vs Barcelona - UEFA Youth League</t>
  </si>
  <si>
    <t>https://www.vidio.com/live/6299-bein-1?schedule_id=4733788</t>
  </si>
  <si>
    <t>https://drive.google.com/drive/folders/1vam8oM94JVZGYCXdgCX3dTv8L0Rn_l-2</t>
  </si>
  <si>
    <t>https://drive.google.com/file/d/1yR0--53Y8rJIBJ7LxeHpOzeiMw0jn36t/view?usp=sharing</t>
  </si>
  <si>
    <t>Nonton streaming pertandingan seru Chelsea vs Barcelona - UEFA Youth League. Saksikan aksi-aksi terbaik dari tim yang bersaing ketat untuk meraih kemenangan. Dapatkan informasi lengkap mengenai jadwal pertandingan dan hasil pertandingan terbaru hanya di Vidio.</t>
  </si>
  <si>
    <t>https://drive.google.com/file/d/1rZf94MrGmvmyD3SSYOSeA5tJqjk4uU9Q/view?usp=sharing</t>
  </si>
  <si>
    <t>7596e02d</t>
  </si>
  <si>
    <t>Dortmund vs Villarreal - UEFA Youth League</t>
  </si>
  <si>
    <t>https://www.vidio.com/live/6299-bein-1?schedule_id=4733790</t>
  </si>
  <si>
    <t>https://drive.google.com/drive/folders/1MWaBj605sjOeEZEjnRTRHZ_imAZ5sNhi</t>
  </si>
  <si>
    <t>https://drive.google.com/file/d/16JC6a99eoSbYGsW72zg2srnowC4zCPBd/view?usp=sharing</t>
  </si>
  <si>
    <t>Nonton streaming pertandingan seru Dortmund vs Villarreal - UEFA Youth League. Saksikan aksi-aksi terbaik dari tim yang bersaing ketat untuk meraih kemenangan. Dapatkan informasi lengkap mengenai jadwal pertandingan dan hasil pertandingan terbaru hanya di Vidio.</t>
  </si>
  <si>
    <t>https://drive.google.com/file/d/1JM0RagzXO5BbiJ_77JwRrqOJzRDrbVJ3/view?usp=sharing</t>
  </si>
  <si>
    <t>d73f5dfd</t>
  </si>
  <si>
    <t>Arsenal vs Bayern - UEFA Youth League</t>
  </si>
  <si>
    <t>https://www.vidio.com/live/6299-bein-1?schedule_id=4733791</t>
  </si>
  <si>
    <t>https://drive.google.com/drive/folders/1cExgOukP_2G2QZh3A-AMEGCbnJvOMqUV</t>
  </si>
  <si>
    <t>https://drive.google.com/file/d/1E403njmlFLjLKjguu_-6h0Sv4ElpQgrQ/view?usp=sharing</t>
  </si>
  <si>
    <t>Nonton streaming pertandingan seru Arsenal vs Bayern - UEFA Youth League. Saksikan aksi-aksi terbaik dari tim yang bersaing ketat untuk meraih kemenangan. Dapatkan informasi lengkap mengenai jadwal pertandingan dan hasil pertandingan terbaru hanya di Vidio.</t>
  </si>
  <si>
    <t>https://drive.google.com/file/d/1uf2kc_ISXVgdITKCcXpSfhCR2VVKqUNM/view?usp=sharing</t>
  </si>
  <si>
    <t>6de806fe</t>
  </si>
  <si>
    <t>Eintracht Frankfurt vs Atalanta - UEFA Youth League</t>
  </si>
  <si>
    <t>https://www.vidio.com/live/6299-bein-1?schedule_id=4733792</t>
  </si>
  <si>
    <t>https://drive.google.com/drive/folders/1BYiDoYPB4kYER0ibldA4dZH1gyOLRuud</t>
  </si>
  <si>
    <t>https://drive.google.com/file/d/1TaDpjtCEfbKuoiAJ0_zMMzmH9yCjWhqv/view?usp=sharing</t>
  </si>
  <si>
    <t>Nonton streaming pertandingan seru Eintracht Frankfurt vs Atalanta - UEFA Youth League. Saksikan aksi-aksi terbaik dari tim yang bersaing ketat untuk meraih kemenangan. Dapatkan informasi lengkap mengenai jadwal pertandingan dan hasil pertandingan terbaru hanya di Vidio.</t>
  </si>
  <si>
    <t>https://drive.google.com/file/d/1YLfx7ySHfJisJP9X0qnNZafwiNGhXjoQ/view?usp=sharing</t>
  </si>
  <si>
    <t>ae7c0c8b</t>
  </si>
  <si>
    <t>Rangers vs Braga - UEFA Europa League</t>
  </si>
  <si>
    <t>https://www.vidio.com/live/19630-uefa-europa-league?schedule_id=4739858</t>
  </si>
  <si>
    <t>https://drive.google.com/drive/folders/1YFmHaUSkksQm8KbcSJwcSsOoTnlrIR5n?usp=drive_link</t>
  </si>
  <si>
    <t>rangers fc; sporting braga; sports stream</t>
  </si>
  <si>
    <t>Nonton streaming pertandingan seru Rangers vs Braga - UEFA Europa League. Saksikan aksi-aksi terbaik dari tim yang bersaing ketat untuk meraih kemenangan. Dapatkan informasi lengkap mengenai jadwal pertandingan dan hasil pertandingan terbaru hanya di Vidio.</t>
  </si>
  <si>
    <t>https://drive.google.com/file/d/1fE9Uxj3b7A-pnUkmbH9V_BRttb40HAMJ/view?usp=sharing</t>
  </si>
  <si>
    <t>https://drive.google.com/file/d/1KcD9IJI0ssAgT39uiekuMnSgHvt9rc7n/view?usp=sharing</t>
  </si>
  <si>
    <t>3e4d6422</t>
  </si>
  <si>
    <t>Rajadamnern 2025 Interim Super Lightweight Title</t>
  </si>
  <si>
    <t>https://www.vidio.com/live/19388-rws-muay-thai-2025?schedule_id=4739855</t>
  </si>
  <si>
    <t>https://drive.google.com/drive/folders/1cmtST7mxYJ82v3Dq6znmaYu2v_4q_BHD</t>
  </si>
  <si>
    <t>https://drive.google.com/drive/folders/17AhqFpASNsHX6qh8_mm0O8v2Lm4O_zTK?usp=drive_link</t>
  </si>
  <si>
    <t>Nonton streaming pertandingan seru Rajadamnern 2025 Interim Super Lightweight Title. Saksikan aksi-aksi terbaik dari tim yang bersaing ketat untuk meraih kemenangan. Dapatkan informasi lengkap mengenai jadwal pertandingan dan hasil pertandingan terbaru hanya di Vidio.</t>
  </si>
  <si>
    <t>https://drive.google.com/file/d/1Ro_I2NMFkdCDLq2Qhpq6xjWKOMLM9_lz/view?usp=sharing</t>
  </si>
  <si>
    <t>https://drive.google.com/file/d/1k706SYWjwsvjSrjYqJzHcCZfyProTQyi/view?usp=sharing</t>
  </si>
  <si>
    <t>bd0f8880</t>
  </si>
  <si>
    <t>Jelang Kick Off - PERSIJA vs PERSIK Kediri - BRI Super League</t>
  </si>
  <si>
    <t>https://www.vidio.com/live/19355-bri-super-league?schedule_id=4724838</t>
  </si>
  <si>
    <t>Nonton streaming pertandingan seru Jelang Kick Off - PERSIJA vs PERSIK Kediri - BRI Super League. Saksikan aksi-aksi terbaik dari tim yang bersaing ketat untuk meraih kemenangan. Dapatkan informasi lengkap mengenai jadwal pertandingan dan hasil pertandingan terbaru hanya di Vidio.</t>
  </si>
  <si>
    <t>7d48f072</t>
  </si>
  <si>
    <t>Jelang Kick Off - PERSIB vs Dewa United Banten FC - BRI Super League</t>
  </si>
  <si>
    <t>https://www.vidio.com/live/19355-bri-super-league?schedule_id=4724843</t>
  </si>
  <si>
    <t>Nonton streaming pertandingan seru Jelang Kick Off - PERSIB vs Dewa United Banten FC - BRI Super League. Saksikan aksi-aksi terbaik dari tim yang bersaing ketat untuk meraih kemenangan. Dapatkan informasi lengkap mengenai jadwal pertandingan dan hasil pertandingan terbaru hanya di Vidio.</t>
  </si>
  <si>
    <t>https://drive.google.com/file/d/1cD794htxOsiR0bvdMdiODHK5jfteUWk9/view?usp=sharing</t>
  </si>
  <si>
    <t>3a878b9a</t>
  </si>
  <si>
    <t>Jelang Kick Off - PERSEBAYA Surabaya vs Arema FC - BRI Super League</t>
  </si>
  <si>
    <t>https://www.vidio.com/live/19355-bri-super-league?schedule_id=4724845</t>
  </si>
  <si>
    <t>Nonton streaming pertandingan seru Jelang Kick Off - PERSEBAYA Surabaya vs Arema FC - BRI Super League. Saksikan aksi-aksi terbaik dari tim yang bersaing ketat untuk meraih kemenangan. Dapatkan informasi lengkap mengenai jadwal pertandingan dan hasil pertandingan terbaru hanya di Vidio.</t>
  </si>
  <si>
    <t>https://drive.google.com/file/d/1VBhh6ODfOuTidisa-hE5nJs3mggeZ2od/view?usp=sharing</t>
  </si>
  <si>
    <t>8b0ae274</t>
  </si>
  <si>
    <t>Dentil Praia Clube vs Zamalek Sporting Club - FIVB Women's Volleyball Club World Championship</t>
  </si>
  <si>
    <t>FIVB Women's Volleyball Club World Championship 2025</t>
  </si>
  <si>
    <t>https://www.vidio.com/live/20048-fivb-women-s-volleyball-club-world-championship-2025?schedule_id=4773123</t>
  </si>
  <si>
    <t>https://drive.google.com/drive/folders/1XDCeyNGCRsVhB2II4NCII9mFcUZjj0b8</t>
  </si>
  <si>
    <t>Dentil Praia Clube</t>
  </si>
  <si>
    <t>Zamalek Sporting Club</t>
  </si>
  <si>
    <t>Sports &gt; Volleyball &gt; FIVB Women's Volleyball Club World Championship</t>
  </si>
  <si>
    <t>FIVB Women's Club World Championship;  FIVB Women's Club World Championship 2025</t>
  </si>
  <si>
    <t>Dentil Praia Clube Volleyball; Zamalek Sporting Club; sports stream</t>
  </si>
  <si>
    <t>Nonton streaming pertandingan seru Dentil Praia Clube vs Zamalek Sporting Club - FIVB Women's Volleyball Club World Championship. Saksikan aksi-aksi terbaik dari tim yang bersaing ketat untuk meraih kemenangan. Dapatkan informasi lengkap mengenai jadwal pertandingan dan hasil pertandingan terbaru hanya di Vidio.</t>
  </si>
  <si>
    <t>https://drive.google.com/file/d/17YfVHn0PsKnIvbLg3Ab-CR9qgQSa2Lv2/view?usp=sharing</t>
  </si>
  <si>
    <t>https://drive.google.com/file/d/15DGvnJSshDGip7qefp9BJj4F9OxQKftJ/view?usp=sharing</t>
  </si>
  <si>
    <t>738ce67b</t>
  </si>
  <si>
    <t>Prosecco DOC Imoco Conegliana vs Orlando Valkyries - FIVB Women's Volleyball Club World Championship</t>
  </si>
  <si>
    <t>https://www.vidio.com/live/20048-fivb-women-s-volleyball-club-world-championship-2025?schedule_id=4773124</t>
  </si>
  <si>
    <t>https://drive.google.com/drive/folders/1axK8wZ1iEcwbM1IYOSt7DPW3ka3Q_A-x</t>
  </si>
  <si>
    <t>Prosecco DOC Imoco Conegliana</t>
  </si>
  <si>
    <t>Orlando Valkyries</t>
  </si>
  <si>
    <t>Prosecco DOC Imoco Conegliana; Orlando Valkyries; sports stream</t>
  </si>
  <si>
    <t>Nonton streaming pertandingan seru Prosecco DOC Imoco Conegliana vs Orlando Valkyries - FIVB Women's Volleyball Club World Championship. Saksikan aksi-aksi terbaik dari tim yang bersaing ketat untuk meraih kemenangan. Dapatkan informasi lengkap mengenai jadwal pertandingan dan hasil pertandingan terbaru hanya di Vidio.</t>
  </si>
  <si>
    <t>https://drive.google.com/file/d/16uj4uSWDdn_0rcGukbHOZE51sWU-veUN/view?usp=sharing</t>
  </si>
  <si>
    <t>https://drive.google.com/file/d/1TNt150I6yxwt4Kj_dvFg_pATKSPfPqeq/view?usp=sharing</t>
  </si>
  <si>
    <t>b6386e10</t>
  </si>
  <si>
    <t>Zhetysu VC vs Savino Del Bene Scandicci - FIVB Women's Volleyball Club World Championship</t>
  </si>
  <si>
    <t>https://www.vidio.com/live/20048-fivb-women-s-volleyball-club-world-championship-2025?schedule_id=4773280</t>
  </si>
  <si>
    <t>https://drive.google.com/drive/folders/1xNE4MjR9jQHc1garUq9AEKrZsKsSqpp6?usp=drive_link</t>
  </si>
  <si>
    <t>Zhetysu</t>
  </si>
  <si>
    <t>Savino Del Bene Scandicci</t>
  </si>
  <si>
    <t>Zhetysu VC; Savino Del Bene Scandicci; sports stream</t>
  </si>
  <si>
    <t>Nonton streaming pertandingan seru Zhetysu VC vs Savino Del Bene Scandicci - FIVB Women's Volleyball Club World Championship. Saksikan aksi-aksi terbaik dari tim yang bersaing ketat untuk meraih kemenangan. Dapatkan informasi lengkap mengenai jadwal pertandingan dan hasil pertandingan terbaru hanya di Vidio.</t>
  </si>
  <si>
    <t>https://drive.google.com/file/d/1AR7RfJymuIGQXmGxpIHanOfGCrZeM1lU/view?usp=sharing</t>
  </si>
  <si>
    <t>https://drive.google.com/file/d/13JoU9odkBMh3rIFqDDQwFWrSiJH1knJC/view?usp=sharing</t>
  </si>
  <si>
    <t>c20c98da</t>
  </si>
  <si>
    <t>Osasco Sao Cristovao Saude vs Club Alianza Lima - FIVB Women's Volleyball Club World Championship</t>
  </si>
  <si>
    <t>https://www.vidio.com/live/20048-fivb-women-s-volleyball-club-world-championship-2025?schedule_id=4773281</t>
  </si>
  <si>
    <t>https://drive.google.com/drive/folders/1XlBGZo1L_CRyvY39MCtvIn3Z6MfV0HyF?usp=drive_link</t>
  </si>
  <si>
    <t>Osasco Sao Cristovao Saude</t>
  </si>
  <si>
    <t>Club Alianza Lima</t>
  </si>
  <si>
    <t>Osasco Sao Cristovao Saude Volleybal; Club Alianza Lima; sports stream</t>
  </si>
  <si>
    <t>Nonton streaming pertandingan seru Osasco Sao Cristovao Saude vs Club Alianza Lima - FIVB Women's Volleyball Club World Championship. Saksikan aksi-aksi terbaik dari tim yang bersaing ketat untuk meraih kemenangan. Dapatkan informasi lengkap mengenai jadwal pertandingan dan hasil pertandingan terbaru hanya di Vidio.</t>
  </si>
  <si>
    <t>https://drive.google.com/file/d/1ZjmrLNtFTKwAU38OOqSpflXfFzjyzZjU/view?usp=sharing</t>
  </si>
  <si>
    <t>https://drive.google.com/file/d/1c6cKzmMPq_W-KL_gLULGPkyxq-ImwEzh/view?usp=sharing</t>
  </si>
  <si>
    <t>37934be8</t>
  </si>
  <si>
    <t>Dentil Praia Clube vs Orlando Valkyries - FIVB Women's Volleyball Club World Championship</t>
  </si>
  <si>
    <t>https://www.vidio.com/live/20048-fivb-women-s-volleyball-club-world-championship-2025?schedule_id=4773282</t>
  </si>
  <si>
    <t>https://drive.google.com/drive/folders/1kEwJJrbo61eVAQjFZOxW0n0gAPTGFJnO?usp=drive_link</t>
  </si>
  <si>
    <t>Dentil Praia Clube Volleyball; Orlando Valkyries; sports stream</t>
  </si>
  <si>
    <t>Nonton streaming pertandingan seru Dentil Praia Clube vs Orlando Valkyries - FIVB Women's Volleyball Club World Championship. Saksikan aksi-aksi terbaik dari tim yang bersaing ketat untuk meraih kemenangan. Dapatkan informasi lengkap mengenai jadwal pertandingan dan hasil pertandingan terbaru hanya di Vidio.</t>
  </si>
  <si>
    <t>https://drive.google.com/file/d/1KGRx5Y5Bg7qZQ9xCuYEnYT7pf4IVCuKa/view?usp=sharing</t>
  </si>
  <si>
    <t>https://drive.google.com/file/d/1yEwlz6KfSfwQb40dKy7eDhN3Quahkdn7/view?usp=sharing</t>
  </si>
  <si>
    <t>0b66cd35</t>
  </si>
  <si>
    <t>Zhetysu VC vs Club Alianza Lima - FIVB Women's Volleyball Club World Championship</t>
  </si>
  <si>
    <t>https://www.vidio.com/live/20048-fivb-women-s-volleyball-club-world-championship-2025?schedule_id=4773283</t>
  </si>
  <si>
    <t>https://drive.google.com/drive/folders/18bP5g-JuC9N2YrNhSfs2Er1ipRi9iTXD?usp=drive_link</t>
  </si>
  <si>
    <t>Zhetysu VC; Club Alianza Lima; sports stream</t>
  </si>
  <si>
    <t>Nonton streaming pertandingan seru Zhetysu VC vs Club Alianza Lima - FIVB Women's Volleyball Club World Championship. Saksikan aksi-aksi terbaik dari tim yang bersaing ketat untuk meraih kemenangan. Dapatkan informasi lengkap mengenai jadwal pertandingan dan hasil pertandingan terbaru hanya di Vidio.</t>
  </si>
  <si>
    <t>https://drive.google.com/file/d/1fYuMHR8WfvgKsf-yRGWdT6XMlJ9G-aba/view?usp=sharing</t>
  </si>
  <si>
    <t>https://drive.google.com/file/d/16oP8ksuP-vlSJeAzbbgbvRqP2EREXLPj/view?usp=sharing</t>
  </si>
  <si>
    <t>bfd3f950</t>
  </si>
  <si>
    <t>Prosecco DOC Imoco Conegliana vs Zamalek Sporting Club - FIVB Women's Volleyball Club World Championship</t>
  </si>
  <si>
    <t>https://www.vidio.com/live/20048-fivb-women-s-volleyball-club-world-championship-2025?schedule_id=4773528</t>
  </si>
  <si>
    <t>https://drive.google.com/drive/folders/1K-hKX78iwQnI1MpbYwwYwZ9o_KqESqgm?usp=drive_link</t>
  </si>
  <si>
    <t>Prosecco DOC Imoco Conegliana; Zamalek Sporting Club; sports stream</t>
  </si>
  <si>
    <t>Nonton streaming pertandingan seru Prosecco DOC Imoco Conegliana vs Zamalek Sporting Club - FIVB Women's Volleyball Club World Championship. Saksikan aksi-aksi terbaik dari tim yang bersaing ketat untuk meraih kemenangan. Dapatkan informasi lengkap mengenai jadwal pertandingan dan hasil pertandingan terbaru hanya di Vidio.</t>
  </si>
  <si>
    <t>https://drive.google.com/file/d/1nAZDn9aMRX3KYvphMUlQcXx9RzVch_JA/view?usp=sharing</t>
  </si>
  <si>
    <t>https://drive.google.com/file/d/1uHU_Dg-ZP-xqyGZvR1iqfeJwHcj3EBYj/view?usp=sharing</t>
  </si>
  <si>
    <t>a736c082</t>
  </si>
  <si>
    <t>Osasco Sao Cristovao Saude vs Savino Del Bene Scandicci - FIVB Women's Volleyball Club World Championship</t>
  </si>
  <si>
    <t>https://www.vidio.com/live/20048-fivb-women-s-volleyball-club-world-championship-2025?schedule_id=4773529</t>
  </si>
  <si>
    <t>https://drive.google.com/drive/folders/1Gxrw4aoX4YT7unECMoXYTSpJTwtj3Iy2?usp=drive_link</t>
  </si>
  <si>
    <t>Osasco Sao Cristovao Saude Volleybal; Savino Del Bene Scandicci; sports stream</t>
  </si>
  <si>
    <t>Nonton streaming pertandingan seru Osasco Sao Cristovao Saude vs Savino Del Bene Scandicci - FIVB Women's Volleyball Club World Championship. Saksikan aksi-aksi terbaik dari tim yang bersaing ketat untuk meraih kemenangan. Dapatkan informasi lengkap mengenai jadwal pertandingan dan hasil pertandingan terbaru hanya di Vidio.</t>
  </si>
  <si>
    <t>https://drive.google.com/file/d/1oePA0fLBi2kqJL-omIGekeJ_sD4023gO/view?usp=sharing</t>
  </si>
  <si>
    <t>https://drive.google.com/file/d/1O79ddyS-wkGwbVB1MlYgc2x-T81K72FT/view?usp=sharing</t>
  </si>
  <si>
    <t>7b440aef</t>
  </si>
  <si>
    <t>Zamalek Sporting Club vs Orlando Valkyries - FIVB Women's Volleyball Club World Championship</t>
  </si>
  <si>
    <t>https://www.vidio.com/live/20048-fivb-women-s-volleyball-club-world-championship-2025?schedule_id=4773530</t>
  </si>
  <si>
    <t>https://drive.google.com/drive/folders/1FR2xDCCopozKKRTNLUaan1pi2TbsNk0_?usp=drive_link</t>
  </si>
  <si>
    <t>Zamalek Sporting Club; Orlando Valkyries; sports stream</t>
  </si>
  <si>
    <t>Nonton streaming pertandingan seru Zamalek Sporting Club vs Orlando Valkyries - FIVB Women's Volleyball Club World Championship. Saksikan aksi-aksi terbaik dari tim yang bersaing ketat untuk meraih kemenangan. Dapatkan informasi lengkap mengenai jadwal pertandingan dan hasil pertandingan terbaru hanya di Vidio.</t>
  </si>
  <si>
    <t>https://drive.google.com/file/d/1w_JNKVx4Xey120S0scLk3Q4X_zeqfHYB/view?usp=sharing</t>
  </si>
  <si>
    <t>https://drive.google.com/file/d/1T2fwcOYR-xU74cGbHAhZIjrCa4hgwwKj/view?usp=sharing</t>
  </si>
  <si>
    <t>aa71040d</t>
  </si>
  <si>
    <t>Prosecco DOC Imoco Conegliana vs Dentil Praia Clube - FIVB Women's Volleyball Club World Championship</t>
  </si>
  <si>
    <t>https://www.vidio.com/live/20048-fivb-women-s-volleyball-club-world-championship-2025?schedule_id=4773531</t>
  </si>
  <si>
    <t>https://drive.google.com/drive/folders/1z8j4o42v3XhN_t0nTUEuJ4VhskpeeVKR?usp=drive_link</t>
  </si>
  <si>
    <t>Prosecco DOC Imoco Conegliana; Dentil Praia Clube Volleyball; sports stream</t>
  </si>
  <si>
    <t>Nonton streaming pertandingan seru Prosecco DOC Imoco Conegliana vs Dentil Praia Clube - FIVB Women's Volleyball Club World Championship. Saksikan aksi-aksi terbaik dari tim yang bersaing ketat untuk meraih kemenangan. Dapatkan informasi lengkap mengenai jadwal pertandingan dan hasil pertandingan terbaru hanya di Vidio.</t>
  </si>
  <si>
    <t>https://drive.google.com/file/d/1wdQi6Xt-uLhIPlGAY9PGL_PCFFT63_s7/view?usp=sharing</t>
  </si>
  <si>
    <t>https://drive.google.com/file/d/1oQfq-zNJktR8XFaCON-oGpnBvZthDwKs/view?usp=sharing</t>
  </si>
  <si>
    <t>d0a04c4c</t>
  </si>
  <si>
    <t>Savino Del Bene Scandicci vs Club Alianza Lima - FIVB Women's Volleyball Club World Championship</t>
  </si>
  <si>
    <t>https://www.vidio.com/live/20048-fivb-women-s-volleyball-club-world-championship-2025?schedule_id=4773608</t>
  </si>
  <si>
    <t>https://drive.google.com/drive/folders/1nhQVrqu25HryUJlrFtjtW10ag5Hwjl7C?usp=drive_link</t>
  </si>
  <si>
    <t>Savino Del Bene Scandicci; Club Alianza Lima; sports stream</t>
  </si>
  <si>
    <t>Nonton streaming pertandingan seru Savino Del Bene Scandicci vs Club Alianza Lima - FIVB Women's Volleyball Club World Championship. Saksikan aksi-aksi terbaik dari tim yang bersaing ketat untuk meraih kemenangan. Dapatkan informasi lengkap mengenai jadwal pertandingan dan hasil pertandingan terbaru hanya di Vidio.</t>
  </si>
  <si>
    <t>https://drive.google.com/file/d/17x8fRRdY1css7QkcL8ZJHr_5mJju7fS6/view?usp=sharing</t>
  </si>
  <si>
    <t>https://drive.google.com/file/d/1cL8kjPZKO4CzxON4GPGX-YHg8IrRGhHm/view?usp=sharing</t>
  </si>
  <si>
    <t>9eafbf64</t>
  </si>
  <si>
    <t>Osasco Sao Cristovao Saude vs Zhetysu VC - FIVB Women's Volleyball Club World Championship</t>
  </si>
  <si>
    <t>https://www.vidio.com/live/20048-fivb-women-s-volleyball-club-world-championship-2025?schedule_id=4773607</t>
  </si>
  <si>
    <t>https://drive.google.com/drive/folders/1_Ltlf9qK04jKHnvfUlPAH-G4fm4Cp0zw?usp=drive_link</t>
  </si>
  <si>
    <t>Osasco Sao Cristovao Saude Volleybal; Zhetysu VC; sports stream</t>
  </si>
  <si>
    <t>Nonton streaming pertandingan seru Osasco Sao Cristovao Saude vs Zhetysu VC - FIVB Women's Volleyball Club World Championship. Saksikan aksi-aksi terbaik dari tim yang bersaing ketat untuk meraih kemenangan. Dapatkan informasi lengkap mengenai jadwal pertandingan dan hasil pertandingan terbaru hanya di Vidio.</t>
  </si>
  <si>
    <t>https://drive.google.com/file/d/1WLgIawbUUvSzeVWXrERK85SZZ04e4P6c/view?usp=sharing</t>
  </si>
  <si>
    <t>https://drive.google.com/file/d/1AHVIruvraepByB6lUC2PehtfmmEKpCpU/view?usp=sharing</t>
  </si>
  <si>
    <t>5aec46ca</t>
  </si>
  <si>
    <t>Savino Del Bene Scandicci vs Dentil Praia Clube - FIVB Women's Volleyball Club World Championship</t>
  </si>
  <si>
    <t>https://www.vidio.com/live/20048-fivb-women-s-volleyball-club-world-championship-2025?schedule_id=4778376</t>
  </si>
  <si>
    <t>https://drive.google.com/drive/folders/1LJgs8Zlpw6Y3uTNlWaNofo_cAf6FKvAG?usp=drive_link</t>
  </si>
  <si>
    <t>Savino Del Bene Scandicci; Dentil Praia Clube Volleyball; sports stream</t>
  </si>
  <si>
    <t>Nonton streaming pertandingan seru Savino Del Bene Scandicci vs Dentil Praia Clube - FIVB Women's Volleyball Club World Championship. Saksikan aksi-aksi terbaik dari tim yang bersaing ketat untuk meraih kemenangan. Dapatkan informasi lengkap mengenai jadwal pertandingan dan hasil pertandingan terbaru hanya di Vidio.</t>
  </si>
  <si>
    <t>Savino Del Bene Scandicci: Ekaterina Antropova, Avery Skinner
Dentil Praia Club: Milka, Adenizia</t>
  </si>
  <si>
    <t>Semi Final</t>
  </si>
  <si>
    <t>https://drive.google.com/file/d/1KkYHbczRfP9h0qC_1gZA9ZeJdRjBUiDC/view?usp=sharing</t>
  </si>
  <si>
    <t>https://drive.google.com/file/d/1FlQyJloO5EoOo2mBRlM8FhwvlBatZ4KM/view?usp=sharing</t>
  </si>
  <si>
    <t>343a48a1</t>
  </si>
  <si>
    <t>Prosecco DOC Imoco Conegliana vs Osasco Sao Cristovao Saude - FIVB Women's Volleyball Club World Championship</t>
  </si>
  <si>
    <t>https://www.vidio.com/live/20048-fivb-women-s-volleyball-club-world-championship-2025?schedule_id=4778377</t>
  </si>
  <si>
    <t>https://drive.google.com/drive/folders/1BZ9VaTN5Rl2E9T2iAzzvwzZkdCVgQrhc?usp=drive_link</t>
  </si>
  <si>
    <t>Carraro Imoco Conegliano Volleyball; Osasco Sao Cristovao Saude Volleybal; sports stream</t>
  </si>
  <si>
    <t>Nonton streaming pertandingan seru Prosecco DOC Imoco Conegliana vs Osasco Sao Cristovao Saude - FIVB Women's Volleyball Club World Championship. Saksikan aksi-aksi terbaik dari tim yang bersaing ketat untuk meraih kemenangan. Dapatkan informasi lengkap mengenai jadwal pertandingan dan hasil pertandingan terbaru hanya di Vidio.</t>
  </si>
  <si>
    <t>Prosecco DOC Imoco Conegliana: Merit Chinenyenwa Adigwe, Isabelle Haak
Osasco Sao Cristovao Saude: Bianca Cugno, Caitlin Baird</t>
  </si>
  <si>
    <t>https://drive.google.com/file/d/1weAqQxUD_Mymz3bPceR02pITnGosqJNz/view?usp=sharing</t>
  </si>
  <si>
    <t>https://drive.google.com/file/d/1uq1XSwpB11XBBt9ggeHiYWbFWr2KO73Z/view?usp=sharing</t>
  </si>
  <si>
    <t>882ee6df</t>
  </si>
  <si>
    <t>3rd Place: Dentil Praia Clube vs Osasco Sao Cristovao Saude - FIVB Women's Volleyball Club World Championship</t>
  </si>
  <si>
    <t>https://www.vidio.com/live/20048-fivb-volleyball-club-world-championship-2025?schedule_id=4780667</t>
  </si>
  <si>
    <t>https://drive.google.com/drive/folders/115LAaN-77IyQkxAvDWKkzmaIg4vTCk_d</t>
  </si>
  <si>
    <t>Dentil Praia Clube Volleyball; Osasco Sao Cristovao Saude Volleybal; sports stream</t>
  </si>
  <si>
    <t>Nonton streaming pertandingan seru 3rd Place: Dentil Praia Clube vs Osasco Sao Cristovao Saude - FIVB Women's Volleyball Club World Championship. Saksikan aksi-aksi terbaik dari tim yang bersaing ketat untuk meraih kemenangan. Dapatkan informasi lengkap mengenai jadwal pertandingan dan hasil pertandingan terbaru hanya di Vidio.</t>
  </si>
  <si>
    <t>3rd Place Match</t>
  </si>
  <si>
    <t>https://drive.google.com/file/d/1HLI_bt0oRsIRiq0i60t1QkFmUE5fEpR-/view?usp=sharing</t>
  </si>
  <si>
    <t>https://drive.google.com/file/d/103VWIQLQ1AteroyvSzGF7kPOVlGpYCqS/view?usp=sharing</t>
  </si>
  <si>
    <t>93efc54c</t>
  </si>
  <si>
    <t>Final: Savino Del Bene Scandicci vs Prosecco DOC Imoco Conegliana - FIVB Women's Volleyball Club World Championship</t>
  </si>
  <si>
    <t>https://drive.google.com/drive/folders/1CctZSwlwrSGDOTvEMdOCqrdX13_NGbjC</t>
  </si>
  <si>
    <t>Savino Del Bene Scandicci; Carraro Imoco Conegliano Volleyball; sports stream</t>
  </si>
  <si>
    <t>Nonton streaming pertandingan seru Final: Savino Del Bene Scandicci vs Prosecco DOC Imoco Conegliana - FIVB Women's Volleyball Club World Championship. Saksikan aksi-aksi terbaik dari tim yang bersaing ketat untuk meraih kemenangan. Dapatkan informasi lengkap mengenai jadwal pertandingan dan hasil pertandingan terbaru hanya di Vidio.</t>
  </si>
  <si>
    <t>https://drive.google.com/file/d/1CJOyK7EGEN0dsNUEBdMwSxIA9F2KUl8p/view?usp=sharing</t>
  </si>
  <si>
    <t>https://drive.google.com/file/d/1Gsgel88OXQArjcinGPw-DKJ7Pxq9Xmf7/view?usp=sharing</t>
  </si>
  <si>
    <t>f58afedd</t>
  </si>
  <si>
    <t>Semifinal: Aluron CMC Warta Zawiercie vs Osaka Bluteon - FIVB Men's Volleyball Club World Championship</t>
  </si>
  <si>
    <t>https://www.vidio.com/live/20048-fivb-volleyball-club-world-championship-2025?schedule_id=4788325</t>
  </si>
  <si>
    <t>https://drive.google.com/drive/folders/1E3r6RR3OISOT0NDlWEcP0YTcLfBSwY01?usp=drive_link</t>
  </si>
  <si>
    <t>Aluron CMC Warta Zawiercie; Osaka Bluteon; sports stream</t>
  </si>
  <si>
    <t>Nonton streaming pertandingan seru Semifinal: Aluron CMC Warta Zawiercie vs Osaka Bluteon - FIVB Men's Volleyball Club World Championship. Saksikan aksi-aksi terbaik dari tim yang bersaing ketat untuk meraih kemenangan. Dapatkan informasi lengkap mengenai jadwal pertandingan dan hasil pertandingan terbaru hanya di Vidio.</t>
  </si>
  <si>
    <t>https://drive.google.com/file/d/1Dcen4EoS25FoUSAi80WRyQZmm7bGiBab/view?usp=sharing</t>
  </si>
  <si>
    <t>https://drive.google.com/file/d/11JqbqKhJ8FXTwUx-BqTyv3d7BsMG2067/view?usp=sharing</t>
  </si>
  <si>
    <t>19305a90</t>
  </si>
  <si>
    <t>Semifinal: Sir Sicoma Monini Perugia vs Volei Renata - FIVB Men's Volleyball Club World Championship</t>
  </si>
  <si>
    <t>https://www.vidio.com/live/20048-fivb-volleyball-club-world-championship-2025?schedule_id=4788324</t>
  </si>
  <si>
    <t>https://drive.google.com/drive/folders/1-ukWJGm7t18Ifmd7lOdLYPeHeBZw8r04</t>
  </si>
  <si>
    <t>SIR Safety SUSA Perugia; Vôlei Renata; sports stream</t>
  </si>
  <si>
    <t>Nonton streaming pertandingan seru Semifinal: Sir Sicoma Monini Perugia vs Volei Renata - FIVB Men's Volleyball Club World Championship. Saksikan aksi-aksi terbaik dari tim yang bersaing ketat untuk meraih kemenangan. Dapatkan informasi lengkap mengenai jadwal pertandingan dan hasil pertandingan terbaru hanya di Vidio.</t>
  </si>
  <si>
    <t>https://drive.google.com/file/d/1OqjLTvf9knqciY2DygjHz7xAN69MVilR/view?usp=sharing</t>
  </si>
  <si>
    <t>https://drive.google.com/file/d/1Q8BI7wr-oWzxG5JV6EkFG8gG1gcGtv3a/view?usp=sharing</t>
  </si>
  <si>
    <t>f18c80ae</t>
  </si>
  <si>
    <t>Third Place: Aluron CMC Warta Zawiercie vs Volei Renata - FIVB Men's Volleyball Club World Championship</t>
  </si>
  <si>
    <t>https://www.vidio.com/live/20048-fivb-volleyball-club-world-championship-2025?schedule_id=4789996</t>
  </si>
  <si>
    <t>https://drive.google.com/drive/folders/1WpNLo-l1kHLBgw-buv2Y0QGrPqRMD1Bd?usp=drive_link</t>
  </si>
  <si>
    <t>Aluron CMC Warta Zawiercie; Vôlei Renata; sports stream</t>
  </si>
  <si>
    <t>Nonton streaming pertandingan seru Third Place: Aluron CMC Warta Zawiercie vs Volei Renata - FIVB Men's Volleyball Club World Championship. Saksikan aksi-aksi terbaik dari tim yang bersaing ketat untuk meraih kemenangan. Dapatkan informasi lengkap mengenai jadwal pertandingan dan hasil pertandingan terbaru hanya di Vidio.</t>
  </si>
  <si>
    <t>https://drive.google.com/file/d/12d2KrOzTynLpntFLPRM-2ToMC9j3o6gX/view?usp=sharing</t>
  </si>
  <si>
    <t>https://drive.google.com/file/d/1D8HYejusOjweI8ndnDpuHfmWcrUZ-FXd/view?usp=sharing</t>
  </si>
  <si>
    <t>aa6ca30e</t>
  </si>
  <si>
    <t>Final: Osaka Bluteon vs Sir Sicoma Monini Perugia - FIVB Men's Volleyball Club World Championship</t>
  </si>
  <si>
    <t>https://www.vidio.com/live/20048-fivb-volleyball-club-world-championship-2025?schedule_id=4789997</t>
  </si>
  <si>
    <t>https://drive.google.com/drive/folders/1fjUlSZKSMeVb5kahSAXDwoE_i9JKPV0z?usp=drive_link</t>
  </si>
  <si>
    <t>Osaka Bluteon; SIR Safety SUSA Perugia; sports stream</t>
  </si>
  <si>
    <t>Nonton streaming pertandingan seru Final: Osaka Bluteon vs Sir Sicoma Monini Perugia - FIVB Men's Volleyball Club World Championship. Saksikan aksi-aksi terbaik dari tim yang bersaing ketat untuk meraih kemenangan. Dapatkan informasi lengkap mengenai jadwal pertandingan dan hasil pertandingan terbaru hanya di Vidio.</t>
  </si>
  <si>
    <t>https://drive.google.com/file/d/1lQm6hsYNy8mkU8lfSmb9KxOQC-ylOMDT/view?usp=sharing</t>
  </si>
  <si>
    <t>https://drive.google.com/file/d/1N2rRpWzZWeYznt-hr_lWqcQF1ImaAWp0/view?usp=sharing</t>
  </si>
  <si>
    <t>4d2de52e</t>
  </si>
  <si>
    <t>Al-Kholood vs Al-Khaleej - King's Cup</t>
  </si>
  <si>
    <t>King's Cup 2025/26</t>
  </si>
  <si>
    <t>https://www.vidio.com/live/17140-spotv-2?schedule_id=4736084</t>
  </si>
  <si>
    <t>https://drive.google.com/drive/folders/1Cj_94UaXdJ_1vPp8lmBYfc1c6mhCK8OY?usp=drive_link</t>
  </si>
  <si>
    <t>Al Khaleej</t>
  </si>
  <si>
    <t>Sports &gt; Football &gt; King's Cup</t>
  </si>
  <si>
    <t>King's Cup; King's Cup 2025/26</t>
  </si>
  <si>
    <t>al-kholood club; al khaleej; sports stream</t>
  </si>
  <si>
    <t>Nonton streaming pertandingan seru Al-Kholood vs Al-Khaleej - King's Cup. Saksikan aksi-aksi terbaik dari tim yang bersaing ketat untuk meraih kemenangan. Dapatkan informasi lengkap mengenai jadwal pertandingan dan hasil pertandingan terbaru hanya di Vidio.</t>
  </si>
  <si>
    <t>https://drive.google.com/file/d/1sSrxhUZnkRTZhRziPgW1i0v4KnLUI_yS/view?usp=sharing</t>
  </si>
  <si>
    <t>88b9f74f</t>
  </si>
  <si>
    <t>Al-Hilal vs Al-Fateh - King's Cup</t>
  </si>
  <si>
    <t>https://www.vidio.com/live/17140-spotv-2?schedule_id=4736085</t>
  </si>
  <si>
    <t>https://drive.google.com/drive/folders/1ZOliQ6CPQmVYVktdMzOPxlO1yOLHMPYz?usp=drive_link</t>
  </si>
  <si>
    <t>Nonton streaming pertandingan seru Al-Hilal vs Al-Fateh - King's Cup. Saksikan aksi-aksi terbaik dari tim yang bersaing ketat untuk meraih kemenangan. Dapatkan informasi lengkap mengenai jadwal pertandingan dan hasil pertandingan terbaru hanya di Vidio.</t>
  </si>
  <si>
    <t>https://drive.google.com/file/d/1YtQwfxLFRmzl_Tv9zDMTKWv2lFNZUd1T/view?usp=sharing</t>
  </si>
  <si>
    <t>c15b67dc</t>
  </si>
  <si>
    <t>Sheffield Wednesday vs Sheffield United - EFL Championship</t>
  </si>
  <si>
    <t>VIDIO - @efl</t>
  </si>
  <si>
    <t>https://www.vidio.com/live/18678-efl-championship-2024-25?schedule_id=4730522</t>
  </si>
  <si>
    <t>https://drive.google.com/drive/folders/15pNHq9CzZ32MaJmWg7p6v0VgLb0lLIS2</t>
  </si>
  <si>
    <t>sheffield wednesday fc; sheffield united; sports stream</t>
  </si>
  <si>
    <t>Nonton streaming pertandingan seru Sheffield Wednesday vs Sheffield United - EFL Championship. Saksikan aksi-aksi terbaik dari tim yang bersaing ketat untuk meraih kemenangan. Dapatkan informasi lengkap mengenai jadwal pertandingan dan hasil pertandingan terbaru hanya di Vidio.</t>
  </si>
  <si>
    <t>https://drive.google.com/file/d/1uenV67aT5s_WsfbidpXoU3mqzVeFFBuE/view?usp=sharing</t>
  </si>
  <si>
    <t>de4a8783</t>
  </si>
  <si>
    <t>ONE Friday Fights 136</t>
  </si>
  <si>
    <t>VIDIO - @onechampionship</t>
  </si>
  <si>
    <t>https://www.vidio.com/live/16890-one-championship?schedule_id=4773906</t>
  </si>
  <si>
    <t>GRANDE , SUBHEADLINE , THUMBNAIL , BREAKING BANNER</t>
  </si>
  <si>
    <t>https://onechampionship.box.com/s/bbji2f8rlhvquesn96ddhj52p0jdgzwn</t>
  </si>
  <si>
    <t>https://drive.google.com/drive/folders/1aSbJopQ5lCUURgAXIOXB7tkIej-fON0T</t>
  </si>
  <si>
    <t>Sports &gt; Martial Arts &gt; One Championship</t>
  </si>
  <si>
    <t>Martial Arts;Boxing</t>
  </si>
  <si>
    <t>ONE Fight Night; ONE Friday Fights 136</t>
  </si>
  <si>
    <t>One Championship</t>
  </si>
  <si>
    <t>Nonton streaming pertandingan seru ONE Friday Fights 136. Saksikan aksi-aksi terbaik dari tim yang bersaing ketat untuk meraih kemenangan. Dapatkan informasi lengkap mengenai jadwal pertandingan dan hasil pertandingan terbaru hanya di Vidio.</t>
  </si>
  <si>
    <t>Creative: ATK Bolanet dan Liputan6</t>
  </si>
  <si>
    <t>https://drive.google.com/file/d/13TCSLnlzyEaEYjZkYoTbFCrsR47k3MD9/view?usp=sharing</t>
  </si>
  <si>
    <t>https://drive.google.com/file/d/1T3OsUCbH-8GmO-zkUo7EGEwvZQGwpUav/view?usp=sharing</t>
  </si>
  <si>
    <t>aa0d1078</t>
  </si>
  <si>
    <t>ONE Friday Fights 137</t>
  </si>
  <si>
    <t>https://www.vidio.com/live/16890-one-championship?schedule_id=4783282</t>
  </si>
  <si>
    <t>https://onechampionship.box.com/s/vjqspuk2z98t2nvuq0jxxvkvplqyt2xr</t>
  </si>
  <si>
    <t>https://drive.google.com/drive/folders/1kI6exz2MdjsybqtzCys5pWntC3HG6veJ?usp=drive_link</t>
  </si>
  <si>
    <t>ONE Friday Fights; ONE Friday Fights 137</t>
  </si>
  <si>
    <t>Nonton streaming pertandingan seru ONE Friday Fights 137. Saksikan aksi-aksi terbaik dari tim yang bersaing ketat untuk meraih kemenangan. Dapatkan informasi lengkap mengenai jadwal pertandingan dan hasil pertandingan terbaru hanya di Vidio.</t>
  </si>
  <si>
    <t>https://drive.google.com/file/d/1B3vutVDWP6OkY2fmchQszNl-6UFR7w-Z/view?usp=sharing</t>
  </si>
  <si>
    <t>https://drive.google.com/file/d/1t2fXXLyJ4wvToAr7EhTaIFpMmBXz3nx2/view?usp=sharing</t>
  </si>
  <si>
    <t>d84d0903</t>
  </si>
  <si>
    <t>(Data Zone) Chelsea vs Arsenal - Premier League</t>
  </si>
  <si>
    <t>https://www.vidio.com/live/9183-champions-tv-6?schedule_id=4747061</t>
  </si>
  <si>
    <t>https://drive.google.com/file/d/1zyPtdPiEPq__1v94Lf9y-0FbULkHAHcs/view?usp=sharing</t>
  </si>
  <si>
    <t>Nonton streaming pertandingan seru (Data Zone) Chelsea vs Arsenal - Premier League. Saksikan aksi-aksi terbaik dari tim yang bersaing ketat untuk meraih kemenangan. Dapatkan informasi lengkap mengenai jadwal pertandingan dan hasil pertandingan terbaru hanya di Vidio.</t>
  </si>
  <si>
    <t>e6508d15</t>
  </si>
  <si>
    <t>NFL Thanksgiving: Green Bay Packers vs Detroit Lions - NFL</t>
  </si>
  <si>
    <t>https://www.vidio.com/live/19548-national-football-league-2025-26?schedule_id=4741017</t>
  </si>
  <si>
    <t>https://drive.google.com/drive/folders/1iYtYMtasSrGwkCIbgIFTr651djGmItP2?usp=drive_link</t>
  </si>
  <si>
    <t>https://drive.google.com/file/d/10rtusC4m42setKdn-T2E7CHw0jeDM5uk/view?usp=sharing</t>
  </si>
  <si>
    <t>Nonton streaming pertandingan seru NFL Thanksgiving: Green Bay Packers vs Detroit Lions - NFL. Saksikan aksi-aksi terbaik dari tim yang bersaing ketat untuk meraih kemenangan. Dapatkan informasi lengkap mengenai jadwal pertandingan dan hasil pertandingan terbaru hanya di Vidio.</t>
  </si>
  <si>
    <t>https://thumbor.prod.vidiocdn.com/NlkCZmVOhDBUYvGimVbjjKEczwI=/filters:quality(70)/vidio-media-production/uploads/image/source/51583/a9e229.png</t>
  </si>
  <si>
    <t>https://drive.google.com/file/d/10bHgDfO8nQ5yjzITNh1mlXxUs9EbBTom/view?usp=sharing</t>
  </si>
  <si>
    <t>e1d7351b</t>
  </si>
  <si>
    <t>NFL Thanksgiving: Kansas City Chiefs vs Dallas Cowboys - NFL</t>
  </si>
  <si>
    <t>https://www.vidio.com/live/19548-national-football-league-2025-26?schedule_id=4741018</t>
  </si>
  <si>
    <t>https://drive.google.com/drive/folders/1ZwAArqqWtOrc6qYx0P1000crS7DV1wT9?usp=drive_link</t>
  </si>
  <si>
    <t>https://drive.google.com/file/d/1idwRajSREKj8fWiHwDStqOZr-VTL_IFa/view?usp=sharing</t>
  </si>
  <si>
    <t>Nonton streaming pertandingan seru NFL Thanksgiving: Kansas City Chiefs vs Dallas Cowboys - NFL. Saksikan aksi-aksi terbaik dari tim yang bersaing ketat untuk meraih kemenangan. Dapatkan informasi lengkap mengenai jadwal pertandingan dan hasil pertandingan terbaru hanya di Vidio.</t>
  </si>
  <si>
    <t>https://drive.google.com/file/d/1k17qDYN1fppobSpPuckvO6b8ABu_Nsd7/view?usp=sharing</t>
  </si>
  <si>
    <t>https://drive.google.com/file/d/1OKQsQZ8uFVudbPRrvcMH2nV8RUsKQQSj/view?usp=sharing</t>
  </si>
  <si>
    <t>ae3edbfe</t>
  </si>
  <si>
    <t>NFL Thanksgiving: Cincinnati Bengals vs Baltimore Ravens - NFL</t>
  </si>
  <si>
    <t>https://www.vidio.com/live/19548-national-football-league-2025-26?schedule_id=4741019</t>
  </si>
  <si>
    <t>https://drive.google.com/drive/folders/1Jq1YFAWvih7agitPQnNBo7GwIy8SdGBw?usp=drive_link</t>
  </si>
  <si>
    <t>https://drive.google.com/file/d/1GlM96AFw9bFbhd2ddwpYwgpp5t2ngzbU/view?usp=drive_link</t>
  </si>
  <si>
    <t>Nonton streaming pertandingan seru NFL Thanksgiving: Cincinnati Bengals vs Baltimore Ravens - NFL. Saksikan aksi-aksi terbaik dari tim yang bersaing ketat untuk meraih kemenangan. Dapatkan informasi lengkap mengenai jadwal pertandingan dan hasil pertandingan terbaru hanya di Vidio.</t>
  </si>
  <si>
    <t>https://drive.google.com/file/d/1vK-Dw-WmmhbqGULxeV8UKk_85q_p5S6o/view?usp=sharing</t>
  </si>
  <si>
    <t>https://drive.google.com/file/d/1GlM96AFw9bFbhd2ddwpYwgpp5t2ngzbU/view?usp=sharing</t>
  </si>
  <si>
    <t>https://drive.google.com/file/d/132gdMCvU_E-GsHcZnAona4BPlyD3Okwe/view?usp=sharing</t>
  </si>
  <si>
    <t>32b323bc</t>
  </si>
  <si>
    <t>Los Angeles Rams vs Carolina Panthers - NFL</t>
  </si>
  <si>
    <t>https://www.vidio.com/live/19548-national-football-league-2025-26?schedule_id=4743719</t>
  </si>
  <si>
    <t>https://drive.google.com/drive/folders/1e0C3VZbipNWbDE8uwK29f2Be8EXnm2ax?usp=drive_link</t>
  </si>
  <si>
    <t>https://drive.google.com/file/d/1ndS33eft2OXcj8QLbyEVaRd_YY4ffG0U/view?usp=sharing</t>
  </si>
  <si>
    <t>Nonton streaming pertandingan seru Los Angeles Rams vs Carolina Panthers - NFL. Saksikan aksi-aksi terbaik dari tim yang bersaing ketat untuk meraih kemenangan. Dapatkan informasi lengkap mengenai jadwal pertandingan dan hasil pertandingan terbaru hanya di Vidio.</t>
  </si>
  <si>
    <t>https://thumbor.prod.vidiocdn.com/4QyXMyGSnM3W8sY8so9s54MbziY=/filters:quality(70)/vidio-media-production/uploads/image/source/51589/237630.png</t>
  </si>
  <si>
    <t>https://drive.google.com/file/d/1TDoZTezS7a2xxkjOgRewhLmrOquIFkhB/view?usp=sharing</t>
  </si>
  <si>
    <t>c0c8def5</t>
  </si>
  <si>
    <t>Buffalo Bills vs Pittsburgh Steelers - NFL</t>
  </si>
  <si>
    <t>https://www.vidio.com/live/19548-national-football-league-2025-26?schedule_id=4743718</t>
  </si>
  <si>
    <t>https://drive.google.com/drive/folders/1unjKYJplK0eAfnoDePhGaZn5Aj0lSNOx?usp=drive_link</t>
  </si>
  <si>
    <t>https://drive.google.com/file/d/1Uc9il0aDA7w_6m9AY605_kN260qHFh05/view?usp=drive_link</t>
  </si>
  <si>
    <t>Nonton streaming pertandingan seru Buffalo Bills vs Pittsburgh Steelers - NFL. Saksikan aksi-aksi terbaik dari tim yang bersaing ketat untuk meraih kemenangan. Dapatkan informasi lengkap mengenai jadwal pertandingan dan hasil pertandingan terbaru hanya di Vidio.</t>
  </si>
  <si>
    <t>https://thumbor.prod.vidiocdn.com/hMsH8Vi60pkQN4NJ3aHa5fuQIXU=/filters:quality(70)/vidio-media-production/uploads/image/source/51590/4d6378.png</t>
  </si>
  <si>
    <t>https://drive.google.com/file/d/1Uc9il0aDA7w_6m9AY605_kN260qHFh05/view?usp=sharing</t>
  </si>
  <si>
    <t>https://drive.google.com/file/d/1MSuPKBQZxGGL5yy8dqlABWlhKRP92uVd/view?usp=sharing</t>
  </si>
  <si>
    <t>27aab815</t>
  </si>
  <si>
    <t>Denver Broncos vs Washington Commanders - NFL</t>
  </si>
  <si>
    <t>https://www.vidio.com/live/19623-national-football-league-2025-26?schedule_id=4743720</t>
  </si>
  <si>
    <t>https://drive.google.com/drive/folders/1nE1DH_ljIVyInzZGOqLIe9eg5lFxHyDf?usp=drive_link</t>
  </si>
  <si>
    <t>https://drive.google.com/file/d/1jkh3XO-2vgl_UvzTDXAypfUBoo0oVJqc/view?usp=drive_link</t>
  </si>
  <si>
    <t>Nonton streaming pertandingan seru Denver Broncos vs Washington Commanders - NFL. Saksikan aksi-aksi terbaik dari tim yang bersaing ketat untuk meraih kemenangan. Dapatkan informasi lengkap mengenai jadwal pertandingan dan hasil pertandingan terbaru hanya di Vidio.</t>
  </si>
  <si>
    <t>https://thumbor.prod.vidiocdn.com/Wc3mAR4FAVVnBTND0FB3khJwGnE=/filters:quality(70)/vidio-media-production/uploads/image/source/51650/d97286.png</t>
  </si>
  <si>
    <t>https://drive.google.com/file/d/1jkh3XO-2vgl_UvzTDXAypfUBoo0oVJqc/view?usp=sharing</t>
  </si>
  <si>
    <t>https://drive.google.com/file/d/1Gcte_nVH2kCFipoo6vX6K3Du9Bd3KmLu/view?usp=sharing</t>
  </si>
  <si>
    <t>76fa4898</t>
  </si>
  <si>
    <t>New York Giants vs New England Patriots - NFL</t>
  </si>
  <si>
    <t>https://www.vidio.com/live/19623-national-football-league-2025-26?schedule_id=4743730</t>
  </si>
  <si>
    <t>https://drive.google.com/drive/folders/1Nc4a-cPvPf9Nob2Kr7b3lGBD6eNoHUIZ?usp=drive_link</t>
  </si>
  <si>
    <t>https://drive.google.com/file/d/1vy2NedGb2nrBfUOIy5euGpHPQO8JL3WK/view?usp=sharing</t>
  </si>
  <si>
    <t>Nonton streaming pertandingan seru New York Giants vs New England Patriots - NFL. Saksikan aksi-aksi terbaik dari tim yang bersaing ketat untuk meraih kemenangan. Dapatkan informasi lengkap mengenai jadwal pertandingan dan hasil pertandingan terbaru hanya di Vidio.</t>
  </si>
  <si>
    <t>https://thumbor.prod.vidiocdn.com/4gpn1ni-h0DndLk44hV0yO9E_Uo=/filters:quality(70)/vidio-media-production/uploads/image/source/51591/cb9b30.png</t>
  </si>
  <si>
    <t>https://drive.google.com/file/d/11CirMg2D1dfa5dFxbg0v0OyPdt0kILGT/view?usp=sharing</t>
  </si>
  <si>
    <t>882e863e</t>
  </si>
  <si>
    <t>Napoli vs Milan - EA Sports FC Supercup</t>
  </si>
  <si>
    <t>EA Sports FC Supercup 2025/26</t>
  </si>
  <si>
    <t>VIDIO - @supercoppaitaliana</t>
  </si>
  <si>
    <t>https://www.vidio.com/live/20084-ea-sports-fc-supercup-2025-26?schedule_id=4783414</t>
  </si>
  <si>
    <t>https://drive.google.com/drive/folders/1GX6vrxWJWysb8-Csvrv6A1zR8ToDjMms</t>
  </si>
  <si>
    <t>Sports &gt; Football &gt; Supercoppa Italiana</t>
  </si>
  <si>
    <t>Supercoppa Italiana; Supercoppa Italiana 2025/26</t>
  </si>
  <si>
    <t>Lega Nazionale Professionisti Serie A</t>
  </si>
  <si>
    <t>Nonton streaming pertandingan seru Napoli vs Milan - EA Sports FC Supercup. Saksikan aksi-aksi terbaik dari tim yang bersaing ketat untuk meraih kemenangan. Dapatkan informasi lengkap mengenai jadwal pertandingan dan hasil pertandingan terbaru hanya di Vidio.</t>
  </si>
  <si>
    <t>https://drive.google.com/file/d/10FBmrb0LggY823er9Uut5lEEgNTJnsKt/view?usp=sharing</t>
  </si>
  <si>
    <t>https://drive.google.com/file/d/1Fdpekkxo52hlLJylJ6NTPu4LR8Vp0wDz/view?usp=sharing</t>
  </si>
  <si>
    <t>10c86e55</t>
  </si>
  <si>
    <t>Bologna vs Inter - EA Sports FC Supercup</t>
  </si>
  <si>
    <t>https://www.vidio.com/live/20084-ea-sports-fc-supercup-2025-26?schedule_id=4783722</t>
  </si>
  <si>
    <t>https://drive.google.com/drive/folders/1DC1Tozy294_k-JbwL7msvV3jCR8Y1ONI</t>
  </si>
  <si>
    <t>Nonton streaming pertandingan seru Bologna vs Inter - EA Sports FC Supercup. Saksikan aksi-aksi terbaik dari tim yang bersaing ketat untuk meraih kemenangan. Dapatkan informasi lengkap mengenai jadwal pertandingan dan hasil pertandingan terbaru hanya di Vidio.</t>
  </si>
  <si>
    <t>https://drive.google.com/file/d/14fYiRk6TNERgjxu_-EqFJm102KrtFRDh/view?usp=sharing</t>
  </si>
  <si>
    <t>https://drive.google.com/file/d/1CuXmW4Fxr7n-k1wsRBFPr4yOp-3y6Glu/view?usp=sharing</t>
  </si>
  <si>
    <t>76cc6364</t>
  </si>
  <si>
    <t>FINAL: Napoli vs Bologna - EA Sports FC Supercup</t>
  </si>
  <si>
    <t>https://www.vidio.com/live/20084-ea-sports-fc-supercup-2025-26?schedule_id=4790669</t>
  </si>
  <si>
    <t>https://drive.google.com/drive/folders/1rPHY29UCGJ-L-vSHxqJ2gd5xheHme7Js?usp=drive_link</t>
  </si>
  <si>
    <t>Nonton streaming pertandingan seru FINAL: Napoli vs Bologna - EA Sports FC Supercup. Saksikan aksi-aksi terbaik dari tim yang bersaing ketat untuk meraih kemenangan. Dapatkan informasi lengkap mengenai jadwal pertandingan dan hasil pertandingan terbaru hanya di Vidio.</t>
  </si>
  <si>
    <t>https://drive.google.com/file/d/16Clrsw8Jhhh-TP2dPw105eVSzrwl_HUT/view?usp=sharing</t>
  </si>
  <si>
    <t>https://drive.google.com/file/d/19pHDFI-eENTvcFD5Iqpq4nFDegNvOUqk/view?usp=sharing</t>
  </si>
  <si>
    <t>0be25965</t>
  </si>
  <si>
    <t>Darts National Competition Series 06</t>
  </si>
  <si>
    <t>Darts National Competition 2025</t>
  </si>
  <si>
    <t>https://www.vidio.com/live/19184-darts-national-competition-2025?schedule_id=4731072</t>
  </si>
  <si>
    <t>https://drive.google.com/drive/folders/1H9vV6GHJscqN39bU0yiMsYBF5qHIQFbo?usp=drive_link</t>
  </si>
  <si>
    <t>Sports &gt; Darts</t>
  </si>
  <si>
    <t>Darts</t>
  </si>
  <si>
    <t>Darts National Competition</t>
  </si>
  <si>
    <t>Nonton streaming pertandingan seru Darts National Competition Series 06. Saksikan aksi-aksi terbaik dari tim yang bersaing ketat untuk meraih kemenangan. Dapatkan informasi lengkap mengenai jadwal pertandingan dan hasil pertandingan terbaru hanya di Vidio.</t>
  </si>
  <si>
    <t>https://drive.google.com/file/d/1Bl1EJVw9XLbJPjp6qEJGjXYQ2jcqWZaW/view?usp=sharing</t>
  </si>
  <si>
    <t>https://drive.google.com/file/d/1GOdcok987QIjFchWIEuR12Ignp-slSmT/view?usp=sharing</t>
  </si>
  <si>
    <t>a6e882dc</t>
  </si>
  <si>
    <t>Tenshin Nasukawa vs Takuma Inoue - Bantamweight World Championship</t>
  </si>
  <si>
    <t>https://www.vidio.com/live/6685-champions-tv-1?schedule_id=4732316</t>
  </si>
  <si>
    <t>https://drive.google.com/drive/folders/115cXxExU006M_faCCwTdb2DW6aKHo2NY</t>
  </si>
  <si>
    <t>https://drive.google.com/drive/folders/1lTNhEPDOFsTe7C828b0NZ1_c7-pX8HR5?usp=drive_link</t>
  </si>
  <si>
    <t>Nonton streaming pertandingan seru Tenshin Nasukawa vs Takuma Inoue - Bantamweight World Championship. Saksikan aksi-aksi terbaik dari tim yang bersaing ketat untuk meraih kemenangan. Dapatkan informasi lengkap mengenai jadwal pertandingan dan hasil pertandingan terbaru hanya di Vidio.</t>
  </si>
  <si>
    <t>rinaldy.alexander@vidio.com</t>
  </si>
  <si>
    <t>https://drive.google.com/file/d/1ptkS0XaHv0TOW8-lo2BUEP0SSNCP0tyf/view?usp=sharing</t>
  </si>
  <si>
    <t>https://drive.google.com/file/d/18EonP-iXpSCHTerLRDjal_cJcMYHyEdl/view?usp=sharing</t>
  </si>
  <si>
    <t>d600cf85</t>
  </si>
  <si>
    <t>Lapangan Kehakiman Gunung Sindur: Babak Play-off &amp; 16 Besar - Top Soccer Championship U-13 &amp; U-14</t>
  </si>
  <si>
    <t>https://www.vidio.com/live/19880-top-soccer-championship-2025-u-13-u-14</t>
  </si>
  <si>
    <t>Nonton streaming pertandingan seru Lapangan Kehakiman Gunung Sindur: Babak Play-off &amp; 16 Besar - Top Soccer Championship U-13 &amp; U-14. Saksikan aksi-aksi terbaik dari tim yang bersaing ketat untuk meraih kemenangan. Dapatkan informasi lengkap mengenai jadwal pertandingan dan hasil pertandingan terbaru hanya di Vidio.</t>
  </si>
  <si>
    <t>f544134d</t>
  </si>
  <si>
    <t>Lapangan Garam, Gunung Sindur: Babak Semifinal - Top Soccer Championship U-16 &amp; U-17</t>
  </si>
  <si>
    <t>https://www.vidio.com/live/19881-top-soccer-championship-2025-u-16-u-17-semifinal-plate</t>
  </si>
  <si>
    <t>Nonton streaming pertandingan seru Lapangan Garam, Gunung Sindur: Babak Semifinal - Top Soccer Championship U-16 &amp; U-17. Saksikan aksi-aksi terbaik dari tim yang bersaing ketat untuk meraih kemenangan. Dapatkan informasi lengkap mengenai jadwal pertandingan dan hasil pertandingan terbaru hanya di Vidio.</t>
  </si>
  <si>
    <t>c2e9e612</t>
  </si>
  <si>
    <t>Lap. Trisakti Nagrak, Cibubur: Babak 3rd Place &amp; Final - Top Soccer Championship U-16 &amp; U-17</t>
  </si>
  <si>
    <t>https://www.vidio.com/live/19882-top-soccer-championship-2025-u-16-u-17-final-cup</t>
  </si>
  <si>
    <t>Nonton streaming pertandingan seru Lap. Trisakti Nagrak, Cibubur: Babak 3rd Place &amp; Final - Top Soccer Championship U-16 &amp; U-17. Saksikan aksi-aksi terbaik dari tim yang bersaing ketat untuk meraih kemenangan. Dapatkan informasi lengkap mengenai jadwal pertandingan dan hasil pertandingan terbaru hanya di Vidio.</t>
  </si>
  <si>
    <t>5d9c88fb</t>
  </si>
  <si>
    <t>Prodigy vs Garuda Putra - TSC 2025 U-13 (16 Besar Cup)</t>
  </si>
  <si>
    <t>https://www.vidio.com/live/19880-top-soccer-championship-2025-u-13-u-14?schedule_id=4730505</t>
  </si>
  <si>
    <t>Nonton streaming pertandingan seru Prodigy vs Garuda Putra - TSC 2025 U-13 (16 Besar Cup). Saksikan aksi-aksi terbaik dari tim yang bersaing ketat untuk meraih kemenangan. Dapatkan informasi lengkap mengenai jadwal pertandingan dan hasil pertandingan terbaru hanya di Vidio.</t>
  </si>
  <si>
    <t>4c470648</t>
  </si>
  <si>
    <t>Tajimalela vs Jakarta Academy Soccer - TSC 2025 U-13 (16 Besar Cup)</t>
  </si>
  <si>
    <t>https://www.vidio.com/live/19880-top-soccer-championship-2025-u-13-u-14?schedule_id=4730506</t>
  </si>
  <si>
    <t>Nonton streaming pertandingan seru Tajimalela vs Jakarta Academy Soccer - TSC 2025 U-13 (16 Besar Cup). Saksikan aksi-aksi terbaik dari tim yang bersaing ketat untuk meraih kemenangan. Dapatkan informasi lengkap mengenai jadwal pertandingan dan hasil pertandingan terbaru hanya di Vidio.</t>
  </si>
  <si>
    <t>79e3b03e</t>
  </si>
  <si>
    <t>Banua vs NAC Fenix - TSC 2025 U-13 (16 Besar Cup)</t>
  </si>
  <si>
    <t>https://www.vidio.com/live/19880-top-soccer-championship-2025-u-13-u-14?schedule_id=4730507</t>
  </si>
  <si>
    <t>Nonton streaming pertandingan seru Banua vs NAC Fenix - TSC 2025 U-13 (16 Besar Cup). Saksikan aksi-aksi terbaik dari tim yang bersaing ketat untuk meraih kemenangan. Dapatkan informasi lengkap mengenai jadwal pertandingan dan hasil pertandingan terbaru hanya di Vidio.</t>
  </si>
  <si>
    <t>9eea3102</t>
  </si>
  <si>
    <t>Youth Tiger vs Young Tiger - TSC 2025 U-13 (16 Besar Cup)</t>
  </si>
  <si>
    <t>https://www.vidio.com/live/19880-top-soccer-championship-2025-u-13-u-14?schedule_id=4730508</t>
  </si>
  <si>
    <t>Nonton streaming pertandingan seru Youth Tiger vs Young Tiger - TSC 2025 U-13 (16 Besar Cup). Saksikan aksi-aksi terbaik dari tim yang bersaing ketat untuk meraih kemenangan. Dapatkan informasi lengkap mengenai jadwal pertandingan dan hasil pertandingan terbaru hanya di Vidio.</t>
  </si>
  <si>
    <t>f6ee6d7c</t>
  </si>
  <si>
    <t>Mastabe FA vs Diklat ISA - TSC 2025 U-14 (Play-Off Plate)</t>
  </si>
  <si>
    <t>https://www.vidio.com/live/19880-top-soccer-championship-2025-u-13-u-14?schedule_id=4730509</t>
  </si>
  <si>
    <t>Nonton streaming pertandingan seru Mastabe FA vs Diklat ISA - TSC 2025 U-14 (Play-Off Plate). Saksikan aksi-aksi terbaik dari tim yang bersaing ketat untuk meraih kemenangan. Dapatkan informasi lengkap mengenai jadwal pertandingan dan hasil pertandingan terbaru hanya di Vidio.</t>
  </si>
  <si>
    <t>49f4445c</t>
  </si>
  <si>
    <t>Bina Patra vs Asiop Merah - TSC 2025 U-14 (Play-Off Plate)</t>
  </si>
  <si>
    <t>https://www.vidio.com/live/19880-top-soccer-championship-2025-u-13-u-14?schedule_id=4730510</t>
  </si>
  <si>
    <t>Nonton streaming pertandingan seru Bina Patra vs Asiop Merah - TSC 2025 U-14 (Play-Off Plate). Saksikan aksi-aksi terbaik dari tim yang bersaing ketat untuk meraih kemenangan. Dapatkan informasi lengkap mengenai jadwal pertandingan dan hasil pertandingan terbaru hanya di Vidio.</t>
  </si>
  <si>
    <t>a0f4e1cb</t>
  </si>
  <si>
    <t>Binna Banua vs Diklat Isa Putih - TSC U-16 (Semifinal Plate)</t>
  </si>
  <si>
    <t>https://www.vidio.com/live/19881-top-soccer-championship-2025-u-16-u-17-semifinal-plate?schedule_id=4730511</t>
  </si>
  <si>
    <t>Nonton streaming pertandingan seru Binna Banua vs Diklat Isa Putih - TSC U-16 (Semifinal Plate). Saksikan aksi-aksi terbaik dari tim yang bersaing ketat untuk meraih kemenangan. Dapatkan informasi lengkap mengenai jadwal pertandingan dan hasil pertandingan terbaru hanya di Vidio.</t>
  </si>
  <si>
    <t>1cf0f032</t>
  </si>
  <si>
    <t>Tajimalela FA vs Nawasena FC - TSC U-16 (Semifinal Plate)</t>
  </si>
  <si>
    <t>https://www.vidio.com/live/19881-top-soccer-championship-2025-u-16-u-17-semifinal-plate?schedule_id=4730512</t>
  </si>
  <si>
    <t>Nonton streaming pertandingan seru Tajimalela FA vs Nawasena FC - TSC U-16 (Semifinal Plate). Saksikan aksi-aksi terbaik dari tim yang bersaing ketat untuk meraih kemenangan. Dapatkan informasi lengkap mengenai jadwal pertandingan dan hasil pertandingan terbaru hanya di Vidio.</t>
  </si>
  <si>
    <t>039e86da</t>
  </si>
  <si>
    <t>Ganendra Satya vs Bina Taruna - TSC U-17 (Semifinal Plate)</t>
  </si>
  <si>
    <t>https://www.vidio.com/live/19881-top-soccer-championship-2025-u-16-u-17-semifinal-plate?schedule_id=4730513</t>
  </si>
  <si>
    <t>Nonton streaming pertandingan seru Ganendra Satya vs Bina Taruna - TSC U-17 (Semifinal Plate). Saksikan aksi-aksi terbaik dari tim yang bersaing ketat untuk meraih kemenangan. Dapatkan informasi lengkap mengenai jadwal pertandingan dan hasil pertandingan terbaru hanya di Vidio.</t>
  </si>
  <si>
    <t>f3a8c732</t>
  </si>
  <si>
    <t>PS Putra vs Young Tiger - TSC U-17 (Semifinal Plate)</t>
  </si>
  <si>
    <t>https://www.vidio.com/live/19881-top-soccer-championship-2025-u-16-u-17-semifinal-plate?schedule_id=4730514</t>
  </si>
  <si>
    <t>Nonton streaming pertandingan seru PS Putra vs Young Tiger - TSC U-17 (Semifinal Plate). Saksikan aksi-aksi terbaik dari tim yang bersaing ketat untuk meraih kemenangan. Dapatkan informasi lengkap mengenai jadwal pertandingan dan hasil pertandingan terbaru hanya di Vidio.</t>
  </si>
  <si>
    <t>bb55e265</t>
  </si>
  <si>
    <t>Asiop Merah vs Young Warrior - TSC U-16 (3rd Place)</t>
  </si>
  <si>
    <t>https://www.vidio.com/live/19882-top-soccer-championship-2025-u-16-u-17-final-cup?schedule_id=4730515</t>
  </si>
  <si>
    <t>Nonton streaming pertandingan seru Asiop Merah vs Young Warrior - TSC U-16 (3rd Place). Saksikan aksi-aksi terbaik dari tim yang bersaing ketat untuk meraih kemenangan. Dapatkan informasi lengkap mengenai jadwal pertandingan dan hasil pertandingan terbaru hanya di Vidio.</t>
  </si>
  <si>
    <t>31111d4b</t>
  </si>
  <si>
    <t>Erlangga FA vs RMD - TSC U-16 (Final Cup)</t>
  </si>
  <si>
    <t>https://www.vidio.com/live/19882-top-soccer-championship-2025-u-16-u-17-final-cup?schedule_id=4730516</t>
  </si>
  <si>
    <t>Nonton streaming pertandingan seru Erlangga FA vs RMD - TSC U-16 (Final Cup). Saksikan aksi-aksi terbaik dari tim yang bersaing ketat untuk meraih kemenangan. Dapatkan informasi lengkap mengenai jadwal pertandingan dan hasil pertandingan terbaru hanya di Vidio.</t>
  </si>
  <si>
    <t>a23e60bb</t>
  </si>
  <si>
    <t>Sparta 1979 vs Bogor City - TSC U-17 (3rd Place)</t>
  </si>
  <si>
    <t>https://www.vidio.com/live/19882-top-soccer-championship-2025-u-16-u-17-final-cup?schedule_id=4730517</t>
  </si>
  <si>
    <t>Nonton streaming pertandingan seru Sparta 1979 vs Bogor City - TSC U-17 (3rd Place). Saksikan aksi-aksi terbaik dari tim yang bersaing ketat untuk meraih kemenangan. Dapatkan informasi lengkap mengenai jadwal pertandingan dan hasil pertandingan terbaru hanya di Vidio.</t>
  </si>
  <si>
    <t>7439fae0</t>
  </si>
  <si>
    <t>OSSC vs SHD Football - TSC U-17 (Final Cup)</t>
  </si>
  <si>
    <t>https://www.vidio.com/live/19882-top-soccer-championship-2025-u-16-u-17-final-cup?schedule_id=4730518</t>
  </si>
  <si>
    <t>Nonton streaming pertandingan seru OSSC vs SHD Football - TSC U-17 (Final Cup). Saksikan aksi-aksi terbaik dari tim yang bersaing ketat untuk meraih kemenangan. Dapatkan informasi lengkap mengenai jadwal pertandingan dan hasil pertandingan terbaru hanya di Vidio.</t>
  </si>
  <si>
    <t>903c4101</t>
  </si>
  <si>
    <t>Lapangan Kehakiman Gunung Sindur: Babak 16 Besar &amp; Play-off - Top Soccer Championship U-13 &amp; U-14</t>
  </si>
  <si>
    <t>https://www.vidio.com/live/19921-top-soccer-championship-2025-u-13-u-14</t>
  </si>
  <si>
    <t>Nonton streaming pertandingan seru Lapangan Kehakiman Gunung Sindur: Babak 16 Besar &amp; Play-off - Top Soccer Championship U-13 &amp; U-14. Saksikan aksi-aksi terbaik dari tim yang bersaing ketat untuk meraih kemenangan. Dapatkan informasi lengkap mengenai jadwal pertandingan dan hasil pertandingan terbaru hanya di Vidio.</t>
  </si>
  <si>
    <t>1971a0de</t>
  </si>
  <si>
    <t>Lapangan Garam, Gn Sindur: Semifinal &amp; Play-off - Top Soccer Championship U-14 &amp; U-15</t>
  </si>
  <si>
    <t>https://www.vidio.com/live/19922-top-soccer-championship-2025-u-14-u-15</t>
  </si>
  <si>
    <t>Nonton streaming pertandingan seru Lapangan Garam, Gn Sindur: Semifinal &amp; Play-off - Top Soccer Championship U-14 &amp; U-15. Saksikan aksi-aksi terbaik dari tim yang bersaing ketat untuk meraih kemenangan. Dapatkan informasi lengkap mengenai jadwal pertandingan dan hasil pertandingan terbaru hanya di Vidio.</t>
  </si>
  <si>
    <t>f8f9dc05</t>
  </si>
  <si>
    <t>Diklat ISA vs Bina Patra - TSC U-13 (16 Besar Cup)</t>
  </si>
  <si>
    <t>https://www.vidio.com/live/19921-top-soccer-championship-2025-u-13-u-14?schedule_id=4731887</t>
  </si>
  <si>
    <t>Nonton streaming pertandingan seru Diklat ISA vs Bina Patra - TSC U-13 (16 Besar Cup). Saksikan aksi-aksi terbaik dari tim yang bersaing ketat untuk meraih kemenangan. Dapatkan informasi lengkap mengenai jadwal pertandingan dan hasil pertandingan terbaru hanya di Vidio.</t>
  </si>
  <si>
    <t>6b09e15c</t>
  </si>
  <si>
    <t>RMD vs Abinaya - TSC U-13 (16 Besar Cup)</t>
  </si>
  <si>
    <t>https://www.vidio.com/live/19921-top-soccer-championship-2025-u-13-u-14?schedule_id=4731888</t>
  </si>
  <si>
    <t>Nonton streaming pertandingan seru RMD vs Abinaya - TSC U-13 (16 Besar Cup). Saksikan aksi-aksi terbaik dari tim yang bersaing ketat untuk meraih kemenangan. Dapatkan informasi lengkap mengenai jadwal pertandingan dan hasil pertandingan terbaru hanya di Vidio.</t>
  </si>
  <si>
    <t>1b64f446</t>
  </si>
  <si>
    <t>ASIOP Merah vs Jawara - TSC U-13 (16 Besar Cup)</t>
  </si>
  <si>
    <t>https://www.vidio.com/live/19921-top-soccer-championship-2025-u-13-u-14?schedule_id=4731889</t>
  </si>
  <si>
    <t>Nonton streaming pertandingan seru ASIOP Merah vs Jawara - TSC U-13 (16 Besar Cup). Saksikan aksi-aksi terbaik dari tim yang bersaing ketat untuk meraih kemenangan. Dapatkan informasi lengkap mengenai jadwal pertandingan dan hasil pertandingan terbaru hanya di Vidio.</t>
  </si>
  <si>
    <t>88b3cee4</t>
  </si>
  <si>
    <t>BINTANG JR vs BOGOR FS - TSC U-13 (16 Besar Cup)</t>
  </si>
  <si>
    <t>https://www.vidio.com/live/19921-top-soccer-championship-2025-u-13-u-14?schedule_id=4731890</t>
  </si>
  <si>
    <t>Nonton streaming pertandingan seru BINTANG JR vs BOGOR FS - TSC U-13 (16 Besar Cup). Saksikan aksi-aksi terbaik dari tim yang bersaing ketat untuk meraih kemenangan. Dapatkan informasi lengkap mengenai jadwal pertandingan dan hasil pertandingan terbaru hanya di Vidio.</t>
  </si>
  <si>
    <t>ce98cb82</t>
  </si>
  <si>
    <t>Pro:Direct vs Asiop Biru - TSC U-14 (Play-Off Plate)</t>
  </si>
  <si>
    <t>https://www.vidio.com/live/19921-top-soccer-championship-2025-u-13-u-14?schedule_id=4731891</t>
  </si>
  <si>
    <t>Nonton streaming pertandingan seru Pro:Direct vs Asiop Biru - TSC U-14 (Play-Off Plate). Saksikan aksi-aksi terbaik dari tim yang bersaing ketat untuk meraih kemenangan. Dapatkan informasi lengkap mengenai jadwal pertandingan dan hasil pertandingan terbaru hanya di Vidio.</t>
  </si>
  <si>
    <t>d8ae1587</t>
  </si>
  <si>
    <t>Putra Leuwiliang vs Arena Junior - TSC U-14 (Play-Off Plate)</t>
  </si>
  <si>
    <t>https://www.vidio.com/live/19921-top-soccer-championship-2025-u-13-u-14?schedule_id=4731892</t>
  </si>
  <si>
    <t>Nonton streaming pertandingan seru Putra Leuwiliang vs Arena Junior - TSC U-14 (Play-Off Plate). Saksikan aksi-aksi terbaik dari tim yang bersaing ketat untuk meraih kemenangan. Dapatkan informasi lengkap mengenai jadwal pertandingan dan hasil pertandingan terbaru hanya di Vidio.</t>
  </si>
  <si>
    <t>c68f8c12</t>
  </si>
  <si>
    <t>JAS vs biMBA AIUEO - TSC U-14 (Semifinal Cup)</t>
  </si>
  <si>
    <t>https://www.vidio.com/live/19922-top-soccer-championship-2025-u-14-u-15?schedule_id=4731878</t>
  </si>
  <si>
    <t>Nonton streaming pertandingan seru JAS vs biMBA AIUEO - TSC U-14 (Semifinal Cup). Saksikan aksi-aksi terbaik dari tim yang bersaing ketat untuk meraih kemenangan. Dapatkan informasi lengkap mengenai jadwal pertandingan dan hasil pertandingan terbaru hanya di Vidio.</t>
  </si>
  <si>
    <t>9f3864df</t>
  </si>
  <si>
    <t>Binna Banua vs Asiana - TSC U-14 (Semifinal Cup)</t>
  </si>
  <si>
    <t>https://www.vidio.com/live/19922-top-soccer-championship-2025-u-14-u-15?schedule_id=4731880</t>
  </si>
  <si>
    <t>Nonton streaming pertandingan seru Binna Banua vs Asiana - TSC U-14 (Semifinal Cup). Saksikan aksi-aksi terbaik dari tim yang bersaing ketat untuk meraih kemenangan. Dapatkan informasi lengkap mengenai jadwal pertandingan dan hasil pertandingan terbaru hanya di Vidio.</t>
  </si>
  <si>
    <t>82c4c02d</t>
  </si>
  <si>
    <t>Tunas Prima vs Bogor City - TSC U-15 (Play-off 3 Plate)</t>
  </si>
  <si>
    <t>https://www.vidio.com/live/19922-top-soccer-championship-2025-u-14-u-15?schedule_id=4731883</t>
  </si>
  <si>
    <t>Nonton streaming pertandingan seru Tunas Prima vs Bogor City - TSC U-15 (Play-off 3 Plate). Saksikan aksi-aksi terbaik dari tim yang bersaing ketat untuk meraih kemenangan. Dapatkan informasi lengkap mengenai jadwal pertandingan dan hasil pertandingan terbaru hanya di Vidio.</t>
  </si>
  <si>
    <t>4748c1e6</t>
  </si>
  <si>
    <t>Bintang Jr vs Bogor FS - TSC U-15 (Play-off 3 Plate)</t>
  </si>
  <si>
    <t>https://www.vidio.com/live/19922-top-soccer-championship-2025-u-14-u-15?schedule_id=4731884</t>
  </si>
  <si>
    <t>Nonton streaming pertandingan seru Bintang Jr vs Bogor FS - TSC U-15 (Play-off 3 Plate). Saksikan aksi-aksi terbaik dari tim yang bersaing ketat untuk meraih kemenangan. Dapatkan informasi lengkap mengenai jadwal pertandingan dan hasil pertandingan terbaru hanya di Vidio.</t>
  </si>
  <si>
    <t>7d579038</t>
  </si>
  <si>
    <t>Abinaya SS vs Thisa Bekasi - TSC U-15 (Play-off 3 Plate)</t>
  </si>
  <si>
    <t>https://www.vidio.com/live/19922-top-soccer-championship-2025-u-14-u-15?schedule_id=4731885</t>
  </si>
  <si>
    <t>Nonton streaming pertandingan seru Abinaya SS vs Thisa Bekasi - TSC U-15 (Play-off 3 Plate). Saksikan aksi-aksi terbaik dari tim yang bersaing ketat untuk meraih kemenangan. Dapatkan informasi lengkap mengenai jadwal pertandingan dan hasil pertandingan terbaru hanya di Vidio.</t>
  </si>
  <si>
    <t>896979a2</t>
  </si>
  <si>
    <t>Assa Pro vs Nac Fenix - TSC U-15 (Play-off 3 Plate)</t>
  </si>
  <si>
    <t>https://www.vidio.com/live/19922-top-soccer-championship-2025-u-14-u-15?schedule_id=4731886</t>
  </si>
  <si>
    <t>Nonton streaming pertandingan seru Assa Pro vs Nac Fenix - TSC U-15 (Play-off 3 Plate). Saksikan aksi-aksi terbaik dari tim yang bersaing ketat untuk meraih kemenangan. Dapatkan informasi lengkap mengenai jadwal pertandingan dan hasil pertandingan terbaru hanya di Vidio.</t>
  </si>
  <si>
    <t>c7c852c0</t>
  </si>
  <si>
    <t>(Data Zone) Newcastle vs Tottenham - Premier League</t>
  </si>
  <si>
    <t>https://www.vidio.com/live/18796-premier-league?schedule_id=4743727</t>
  </si>
  <si>
    <t>Nonton streaming pertandingan seru (Data Zone) Newcastle vs Tottenham - Premier League. Saksikan aksi-aksi terbaik dari tim yang bersaing ketat untuk meraih kemenangan. Dapatkan informasi lengkap mengenai jadwal pertandingan dan hasil pertandingan terbaru hanya di Vidio.</t>
  </si>
  <si>
    <t>https://drive.google.com/file/d/1n4r6o4SFWWZIJv_42cSeh51q995_7Y6J/view?usp=sharing</t>
  </si>
  <si>
    <t>1a9da26d</t>
  </si>
  <si>
    <t>(Data Zone) Aston Villa vs Arsenal - Premier League</t>
  </si>
  <si>
    <t>https://www.vidio.com/live/9183-champions-tv-6?schedule_id=4759268</t>
  </si>
  <si>
    <t>Nonton streaming pertandingan seru (Data Zone) Aston Villa vs Arsenal - Premier League. Saksikan aksi-aksi terbaik dari tim yang bersaing ketat untuk meraih kemenangan. Dapatkan informasi lengkap mengenai jadwal pertandingan dan hasil pertandingan terbaru hanya di Vidio.</t>
  </si>
  <si>
    <t>https://drive.google.com/file/d/1kXaxyvGPActxxWahjPRN_N6UepsjZYnG/view?usp=sharing</t>
  </si>
  <si>
    <t>9d0d829d</t>
  </si>
  <si>
    <t>Leicester vs Sheffield United - EFL Championship</t>
  </si>
  <si>
    <t>https://www.vidio.com/live/6686-champions-tv-2?schedule_id=4741288</t>
  </si>
  <si>
    <t>https://drive.google.com/drive/folders/1Bmp7CkLDn4_spaGoEDDAj2-xNqPy-CIl</t>
  </si>
  <si>
    <t>https://drive.google.com/file/d/1F2WOw4HkphG21ycRBYkbV_7H7z7hSClM/view?usp=sharing</t>
  </si>
  <si>
    <t>Leicester City</t>
  </si>
  <si>
    <t>leicester city fc; sheffield united; sports stream</t>
  </si>
  <si>
    <t>Nonton streaming pertandingan seru Leicester vs Sheffield United - EFL Championship. Saksikan aksi-aksi terbaik dari tim yang bersaing ketat untuk meraih kemenangan. Dapatkan informasi lengkap mengenai jadwal pertandingan dan hasil pertandingan terbaru hanya di Vidio.</t>
  </si>
  <si>
    <t>https://drive.google.com/file/d/16YmQvEykpIAb6f0JgZbcuAjUrFjn-8n3/view?usp=sharing</t>
  </si>
  <si>
    <t>144fb273</t>
  </si>
  <si>
    <t>https://www.vidio.com/live/19988-bri-super-league?schedule_id=4790745</t>
  </si>
  <si>
    <t>https://drive.google.com/drive/folders/1GCG_EGYXs3VmzEETbukghn3vDS_LJFZy</t>
  </si>
  <si>
    <t>Tag newsvod
Persik: Jose Enrique, Imanol Garcia (Jersey Home/Ungu)
Persis:Kodai Tanaka, Kastaneer (Jersey Home/Merah)</t>
  </si>
  <si>
    <t>https://thumbor.prod.vidiocdn.com/22UXKNt8KA8xwdqk4Rqg1Dvlxj4=/filters:quality(70)/vidio-media-production/uploads/image/source/52301/9147d1.png</t>
  </si>
  <si>
    <t>https://thumbor.prod.vidiocdn.com/Lyl_e5cpJfAorBQ_2UQwbh66Bp0=/filters:quality(70)/vidio-media-production/uploads/image/source/52302/27ed78.png</t>
  </si>
  <si>
    <t>https://drive.google.com/file/d/1srLBTCoxxAXFRl5FXFwQ4d0CLaVVpihc/view?usp=sharing</t>
  </si>
  <si>
    <t>5626cee7</t>
  </si>
  <si>
    <t>https://www.vidio.com/live/19988-bri-super-league?schedule_id=4790746</t>
  </si>
  <si>
    <t>https://drive.google.com/drive/folders/19isQZRQTK8TQoMmxZmu2vmXcbISm4vl0</t>
  </si>
  <si>
    <t>PERSIB: Ramon Tanque, Haye (Jersey Home)
PSM: Alex Tank, Akbar Tanjung (Jersey away/putih)</t>
  </si>
  <si>
    <t>https://thumbor.prod.vidiocdn.com/k1cdJI7IpsgpMs8mBHM6TYbt6tY=/filters:quality(70)/vidio-media-production/uploads/image/source/52305/8452d7.png</t>
  </si>
  <si>
    <t>https://thumbor.prod.vidiocdn.com/69ZuHFGEFaUlt6ilLbrtDihuV3w=/filters:quality(70)/vidio-media-production/uploads/image/source/52306/8deb67.png</t>
  </si>
  <si>
    <t>https://drive.google.com/file/d/1xgp0WcvOLfHbmT9Gd56Olw6TqB08GKJ7/view?usp=sharing</t>
  </si>
  <si>
    <t>b1f53619</t>
  </si>
  <si>
    <t>174d5d35</t>
  </si>
  <si>
    <t>https://www.vidio.com/live/19354-bri-super-league?schedule_id=4790748</t>
  </si>
  <si>
    <t>https://drive.google.com/drive/folders/1XzdBW9kmkD0LEGKiY9qOnAokESUpuirY</t>
  </si>
  <si>
    <t>persebaya surabaya; Persijap; sports stream</t>
  </si>
  <si>
    <t>Persibaya:Bruno Rivera, Milos (Jersey Home, Hijau)
PERSIJAP:Carlos Henrique Franca Freires, Rosalvo (Jersey Home/Merah)</t>
  </si>
  <si>
    <t>https://thumbor.prod.vidiocdn.com/_fYJcX6bQOXkZwjt-kG_HkiDFwA=/filters:quality(70)/vidio-media-production/uploads/image/source/52307/8abb7a.png</t>
  </si>
  <si>
    <t>https://thumbor.prod.vidiocdn.com/XAJ9YcZZcp6iGxhPjG6KmSfgD6E=/filters:quality(70)/vidio-media-production/uploads/image/source/52308/8a6b42.png</t>
  </si>
  <si>
    <t>https://drive.google.com/file/d/1G80VUhx176uHcgi6DM_r1VD9joqU4HBc/view?usp=sharing</t>
  </si>
  <si>
    <t>5238d99a</t>
  </si>
  <si>
    <t>https://www.vidio.com/live/19988-bri-super-league?schedule_id=4790747</t>
  </si>
  <si>
    <t>https://drive.google.com/drive/folders/1Dycc-7ZViaTidS27lynw0sK4zAAsB-8o?usp=drive_link</t>
  </si>
  <si>
    <t>Tag experimentsvod
Malut: Ciro, Yance (Jersey Home/Merah)
Borneo: Peralta, Kei Hirose (Jersey Away,Putih)</t>
  </si>
  <si>
    <t>https://thumbor.prod.vidiocdn.com/hVxvd42OwDAU3BFqnsUAr5OV27k=/filters:quality(70)/vidio-media-production/uploads/image/source/52309/baa2bc.png</t>
  </si>
  <si>
    <t>https://thumbor.prod.vidiocdn.com/NCXtqsnasZzwiFutDpnBf7baTCc=/filters:quality(70)/vidio-media-production/uploads/image/source/52310/5f30f2.png</t>
  </si>
  <si>
    <t>https://drive.google.com/file/d/1-UAo5XhUwwrUghrBpYw8XJQowdCpgplW/view?usp=sharing</t>
  </si>
  <si>
    <t>d854169a</t>
  </si>
  <si>
    <t>https://www.vidio.com/live/205-indosiar?schedule_id=4795168</t>
  </si>
  <si>
    <t>https://drive.google.com/drive/folders/1GDilir8aRrToiXr3Eqbjy43PgEAaIqir</t>
  </si>
  <si>
    <t>https://drive.google.com/file/d/1oiHtlthHZI5zLx6jLEsSvbdNk1THi4W5/view?usp=sharing</t>
  </si>
  <si>
    <t>Madura: Jordy Wehrmann, Taufany Muslihuddin (jersey home/merah)
Semen Padang: Bruno, Obet Oropa (Jersey Away/Hitam)</t>
  </si>
  <si>
    <t>https://drive.google.com/file/d/1XyAYIy3lxUnWmt_rvbD28-PERTZPW_dE/view?usp=sharing</t>
  </si>
  <si>
    <t>https://drive.google.com/file/d/13GQzga8hkBVEkPxRtBYamsN2x_Rs_JY9/view?usp=sharing</t>
  </si>
  <si>
    <t>c7a7a726</t>
  </si>
  <si>
    <t>https://www.vidio.com/live/19354-bri-super-league?schedule_id=4797261</t>
  </si>
  <si>
    <t>https://drive.google.com/drive/folders/1NjxkRcIjx8ezIy61ZQe9xYNtrDjzTtYc</t>
  </si>
  <si>
    <t>Bali: Boris Kopitovi, Thijmen Goppel (Jersey Home/merah)
Dewa:Ricky Kambuaya,Taisei Marukawa (Jersey Home/hitam)</t>
  </si>
  <si>
    <t>https://thumbor.prod.vidiocdn.com/smqvBDmCLYdzPhhjkQIf1j7U9kQ=/filters:quality(70)/vidio-media-production/uploads/image/source/52313/778404.png</t>
  </si>
  <si>
    <t>https://thumbor.prod.vidiocdn.com/Q_KPbz13Z8Gsw7WrdnoMRxxvTaE=/filters:quality(70)/vidio-media-production/uploads/image/source/52314/82d833.png</t>
  </si>
  <si>
    <t>https://drive.google.com/file/d/1NI7AkeQq0785Ro05WL6gBLkz5Whk6SKk/view?usp=sharing</t>
  </si>
  <si>
    <t>be8c0cc4</t>
  </si>
  <si>
    <t>https://www.vidio.com/live/19354-bri-super-league?schedule_id=4797262</t>
  </si>
  <si>
    <t>https://drive.google.com/drive/folders/1Oy9xPYBaViyQGYSWmqve8X5RAopZaCXK</t>
  </si>
  <si>
    <t>https://drive.google.com/file/d/1hIfJ992FoAErwewjCdZNLXVFd3PCDbE-/view?usp=drive_link</t>
  </si>
  <si>
    <t>Persija: Maxwell Souza De Lima, Allano (Jersey home/merah)
Bhayangkara:Dendi Sulistyawan, Firza Andika (Jersey home/kuning)</t>
  </si>
  <si>
    <t>https://drive.google.com/file/d/1P1qQVkno3EknVx97PewW_1r5FCA9tZUP/view?usp=sharing</t>
  </si>
  <si>
    <t>https://drive.google.com/file/d/1hIfJ992FoAErwewjCdZNLXVFd3PCDbE-/view?usp=sharing</t>
  </si>
  <si>
    <t>https://drive.google.com/file/d/1FrR_yHRAQsm1UpHUR59cqfW41s-u5fqO/view?usp=sharing</t>
  </si>
  <si>
    <t>3854d7de</t>
  </si>
  <si>
    <t>https://www.vidio.com/live/19354-bri-super-league?schedule_id=4797276</t>
  </si>
  <si>
    <t>https://drive.google.com/drive/folders/1A6wIhnk8Q9xqR6IIWWlE0sK5MILHJcfA</t>
  </si>
  <si>
    <t>https://thumbor.prod.vidiocdn.com/W9EeSxYvw2YwskCGsAHjJIzeu8w=/filters:quality(70)/vidio-media-production/uploads/image/source/52315/65b841.png</t>
  </si>
  <si>
    <t>https://thumbor.prod.vidiocdn.com/Qq3Swu9jc7Q3J14V6-EZDpJjqGI=/filters:quality(70)/vidio-media-production/uploads/image/source/52316/97431b.png</t>
  </si>
  <si>
    <t>https://drive.google.com/file/d/1Pxu3AhXIAbUTdt_cGnN7ndxRcNLNipyX/view?usp=sharing</t>
  </si>
  <si>
    <t>3967ce58</t>
  </si>
  <si>
    <t>https://www.vidio.com/live/19385-bri-super-league?schedule_id=4797265</t>
  </si>
  <si>
    <t>https://drive.google.com/drive/folders/1jLHjKu-_VhpGrnpNTLYY64Ka2I7ovkAV</t>
  </si>
  <si>
    <t>https://drive.google.com/file/d/1-52xJmZopcUrUdZnZ4LVf0SusYPUvpxt/view?usp=sharing</t>
  </si>
  <si>
    <t>PSIM: Ze Valente, Pulga Vidal (Jersey Home/Biru)
PSBS:  Nurhidayat, Pablo Andrade (Jersey Away/Hijau)</t>
  </si>
  <si>
    <t>https://drive.google.com/file/d/1cZoChFoPSHKDu5KDt_4PNoIDpBA3xkug/view?usp=sharing</t>
  </si>
  <si>
    <t>https://drive.google.com/file/d/16emLHlcuqdKCx5rb6RXOEzZs4ism07TB/view?usp=sharing</t>
  </si>
  <si>
    <t>3ed38c0a</t>
  </si>
  <si>
    <t>Al-Ittihad vs Al-Shabab - King's Cup</t>
  </si>
  <si>
    <t>https://www.vidio.com/live/17140-spotv-2?schedule_id=4736083</t>
  </si>
  <si>
    <t>https://drive.google.com/drive/folders/1ipONsNCS870YhhM5tyunsAGvYbhtjRJy?usp=drive_link</t>
  </si>
  <si>
    <t>al ittihad; al-shabab fc; sports stream</t>
  </si>
  <si>
    <t>Nonton streaming pertandingan seru Al-Ittihad vs Al-Shabab - King's Cup. Saksikan aksi-aksi terbaik dari tim yang bersaing ketat untuk meraih kemenangan. Dapatkan informasi lengkap mengenai jadwal pertandingan dan hasil pertandingan terbaru hanya di Vidio.</t>
  </si>
  <si>
    <t>https://drive.google.com/file/d/1qPx7i-FMhPyS9wWNX65qlTJtZAIfxDDf/view?usp=sharing</t>
  </si>
  <si>
    <t>dfb85a33</t>
  </si>
  <si>
    <t>Jelang Kick Off - PERSIJA vs PSIM Jogja - BRI Super League</t>
  </si>
  <si>
    <t>https://www.vidio.com/live/19355-bri-super-league?schedule_id=4739839</t>
  </si>
  <si>
    <t>Nonton streaming pertandingan seru Jelang Kick Off - PERSIJA vs PSIM Jogja - BRI Super League. Saksikan aksi-aksi terbaik dari tim yang bersaing ketat untuk meraih kemenangan. Dapatkan informasi lengkap mengenai jadwal pertandingan dan hasil pertandingan terbaru hanya di Vidio.</t>
  </si>
  <si>
    <t>e49c3991</t>
  </si>
  <si>
    <t>Jelang Kick Off - Bhayangkara Presisi Lampung FC vs PERSEBAYA Surabaya - BRI Super League</t>
  </si>
  <si>
    <t>https://www.vidio.com/live/19355-bri-super-league?schedule_id=4739838</t>
  </si>
  <si>
    <t>Nonton streaming pertandingan seru Jelang Kick Off - Bhayangkara Presisi Lampung FC vs PERSEBAYA Surabaya - BRI Super League. Saksikan aksi-aksi terbaik dari tim yang bersaing ketat untuk meraih kemenangan. Dapatkan informasi lengkap mengenai jadwal pertandingan dan hasil pertandingan terbaru hanya di Vidio.</t>
  </si>
  <si>
    <t>b785bc82</t>
  </si>
  <si>
    <t>Jelang Kick Off - Madura United FC vs PERSIB - BRI Super League</t>
  </si>
  <si>
    <t>https://www.vidio.com/live/19355-bri-super-league?schedule_id=4739845</t>
  </si>
  <si>
    <t>Nonton streaming pertandingan seru Jelang Kick Off - Madura United FC vs PERSIB - BRI Super League. Saksikan aksi-aksi terbaik dari tim yang bersaing ketat untuk meraih kemenangan. Dapatkan informasi lengkap mengenai jadwal pertandingan dan hasil pertandingan terbaru hanya di Vidio.</t>
  </si>
  <si>
    <t>281ee3d5</t>
  </si>
  <si>
    <t>Mali vs Zambia - TotalEnergies Africa Cup of Nations</t>
  </si>
  <si>
    <t>TotalEnergies Africa Cup of Nations 2025</t>
  </si>
  <si>
    <t>https://www.vidio.com/live/6299-bein-1?schedule_id=4790139</t>
  </si>
  <si>
    <t>https://drive.google.com/drive/folders/1eg05JA9VKwSfGOK1LJ6IbxoXmIUTPo4u?usp=drive_link</t>
  </si>
  <si>
    <t>Mali</t>
  </si>
  <si>
    <t>Zambia</t>
  </si>
  <si>
    <t>Sports &gt; Football &gt; Africa Cup of Nations</t>
  </si>
  <si>
    <t>Africa Cup of Nations; Africa Cup of Nations 2025</t>
  </si>
  <si>
    <t>FIFA; CAF</t>
  </si>
  <si>
    <t>mali; zambia; sports stream</t>
  </si>
  <si>
    <t>Nonton streaming pertandingan seru Mali vs Zambia - TotalEnergies Africa Cup of Nations. Saksikan aksi-aksi terbaik dari tim yang bersaing ketat untuk meraih kemenangan. Dapatkan informasi lengkap mengenai jadwal pertandingan dan hasil pertandingan terbaru hanya di Vidio.</t>
  </si>
  <si>
    <t>https://drive.google.com/file/d/1gd4I02zrDmkZTBRUMSeD_CcY2tN5_ANe/view?usp=sharing</t>
  </si>
  <si>
    <t>https://drive.google.com/file/d/13_YCaWf44wuEJ2fQkhodCJmf5wpH-3-o/view?usp=sharing</t>
  </si>
  <si>
    <t>b4ae1bf7</t>
  </si>
  <si>
    <t>South Africa vs Angola - TotalEnergies Africa Cup of Nations</t>
  </si>
  <si>
    <t>https://www.vidio.com/live/6299-bein-1?schedule_id=4790929</t>
  </si>
  <si>
    <t>https://drive.google.com/drive/folders/1yQmk0D4-IBn9yJlgli2mWK6dn_Xk8S-c?usp=drive_link</t>
  </si>
  <si>
    <t>South Africa</t>
  </si>
  <si>
    <t>Angola</t>
  </si>
  <si>
    <t>south africa; angola; sports stream</t>
  </si>
  <si>
    <t>Nonton streaming pertandingan seru South Africa vs Angola - TotalEnergies Africa Cup of Nations. Saksikan aksi-aksi terbaik dari tim yang bersaing ketat untuk meraih kemenangan. Dapatkan informasi lengkap mengenai jadwal pertandingan dan hasil pertandingan terbaru hanya di Vidio.</t>
  </si>
  <si>
    <t>https://drive.google.com/file/d/1wI52InKxkBbjCmDjIhmjVvZAzRyqbZlC/view?usp=sharing</t>
  </si>
  <si>
    <t>380027da</t>
  </si>
  <si>
    <t>Egypt vs Zimbabwe - TotalEnergies Africa Cup of Nations</t>
  </si>
  <si>
    <t>https://www.vidio.com/live/17875-bein-2?schedule_id=4790930</t>
  </si>
  <si>
    <t>https://drive.google.com/drive/folders/1jhK9RT1jh811o8JRF7UVagXKMaho_8L3?usp=drive_link</t>
  </si>
  <si>
    <t>Egypt</t>
  </si>
  <si>
    <t>Zimbabwe</t>
  </si>
  <si>
    <t>egypt; zimbabwe; sports stream</t>
  </si>
  <si>
    <t>Nonton streaming pertandingan seru Egypt vs Zimbabwe - TotalEnergies Africa Cup of Nations. Saksikan aksi-aksi terbaik dari tim yang bersaing ketat untuk meraih kemenangan. Dapatkan informasi lengkap mengenai jadwal pertandingan dan hasil pertandingan terbaru hanya di Vidio.</t>
  </si>
  <si>
    <t>https://drive.google.com/file/d/1J5-B3pPTc1x_jde1rv0yYr7iuPnFP7Pa/view?usp=sharing</t>
  </si>
  <si>
    <t>https://drive.google.com/file/d/129Sh_LkKvcw22UV_QNBHnGLNDXLNpOFj/view?usp=sharing</t>
  </si>
  <si>
    <t>59917c7c</t>
  </si>
  <si>
    <t>DR Congo vs Benin - TotalEnergies Africa Cup of Nations</t>
  </si>
  <si>
    <t>https://www.vidio.com/live/6299-bein-1?schedule_id=4790931</t>
  </si>
  <si>
    <t>https://drive.google.com/drive/folders/1M-60lCSvLZWF7iZd7Gl5K_CGrzxAwB7t?usp=drive_link</t>
  </si>
  <si>
    <t>DR Congo</t>
  </si>
  <si>
    <t>Benin</t>
  </si>
  <si>
    <t>dr congo; benin; sports stream</t>
  </si>
  <si>
    <t>Nonton streaming pertandingan seru DR Congo vs Benin - TotalEnergies Africa Cup of Nations. Saksikan aksi-aksi terbaik dari tim yang bersaing ketat untuk meraih kemenangan. Dapatkan informasi lengkap mengenai jadwal pertandingan dan hasil pertandingan terbaru hanya di Vidio.</t>
  </si>
  <si>
    <t>https://drive.google.com/file/d/1uTH4PjxHPYw6X2Zl7u6z4aBEzY83QXzi/view?usp=sharing</t>
  </si>
  <si>
    <t>92364ef6</t>
  </si>
  <si>
    <t>Senegal vs Botswana - TotalEnergies Africa Cup of Nations</t>
  </si>
  <si>
    <t>https://www.vidio.com/live/6299-bein-1?schedule_id=4790932</t>
  </si>
  <si>
    <t>https://drive.google.com/drive/folders/1Qx3vmwvwfL_edn1xvHzLz-IhMfS4hfxY?usp=drive_link</t>
  </si>
  <si>
    <t>Senegal</t>
  </si>
  <si>
    <t>Botswana</t>
  </si>
  <si>
    <t>senegal; botswana; sports stream</t>
  </si>
  <si>
    <t>Nonton streaming pertandingan seru Senegal vs Botswana - TotalEnergies Africa Cup of Nations. Saksikan aksi-aksi terbaik dari tim yang bersaing ketat untuk meraih kemenangan. Dapatkan informasi lengkap mengenai jadwal pertandingan dan hasil pertandingan terbaru hanya di Vidio.</t>
  </si>
  <si>
    <t>https://drive.google.com/file/d/16thJh0SZn-Qfg02GO-mVONREIUy7r3te/view?usp=sharing</t>
  </si>
  <si>
    <t>https://drive.google.com/file/d/1z2lfpz28EGZxCZFQI0usun0ISxQ4ZFEC/view?usp=sharing</t>
  </si>
  <si>
    <t>630c7851</t>
  </si>
  <si>
    <t>Nigeria vs Tanzania - TotalEnergies Africa Cup of Nations</t>
  </si>
  <si>
    <t>https://www.vidio.com/live/6299-bein-1?schedule_id=4792899</t>
  </si>
  <si>
    <t>https://drive.google.com/drive/folders/1fbGMh92LyF7w8A9LQP551mWGYISuE0GW?usp=drive_link</t>
  </si>
  <si>
    <t>Nigeria</t>
  </si>
  <si>
    <t>Tanzania</t>
  </si>
  <si>
    <t>nigeria; tanzania; sports stream</t>
  </si>
  <si>
    <t>Nonton streaming pertandingan seru Nigeria vs Tanzania - TotalEnergies Africa Cup of Nations. Saksikan aksi-aksi terbaik dari tim yang bersaing ketat untuk meraih kemenangan. Dapatkan informasi lengkap mengenai jadwal pertandingan dan hasil pertandingan terbaru hanya di Vidio.</t>
  </si>
  <si>
    <t>https://drive.google.com/file/d/1i_FrmSwP8TG66TWtMfClxFMPFKQS4Joa/view?usp=sharing</t>
  </si>
  <si>
    <t>https://drive.google.com/file/d/1-9FcrggTdMX2BtildkVWGvlLKYA143Wx/view?usp=sharing</t>
  </si>
  <si>
    <t>f2d0a9cb</t>
  </si>
  <si>
    <t>Tunisia vs Uganda - TotalEnergies Africa Cup of Nations</t>
  </si>
  <si>
    <t>https://www.vidio.com/live/6299-bein-1?schedule_id=4792900</t>
  </si>
  <si>
    <t>https://drive.google.com/drive/folders/1eT8RhLloTFSL1iEyYVZT66JarSorsoMk?usp=drive_linkvik</t>
  </si>
  <si>
    <t>Tunisia</t>
  </si>
  <si>
    <t>Uganda</t>
  </si>
  <si>
    <t>tunisia; Uganda; sports stream</t>
  </si>
  <si>
    <t>Nonton streaming pertandingan seru Tunisia vs Uganda - TotalEnergies Africa Cup of Nations. Saksikan aksi-aksi terbaik dari tim yang bersaing ketat untuk meraih kemenangan. Dapatkan informasi lengkap mengenai jadwal pertandingan dan hasil pertandingan terbaru hanya di Vidio.</t>
  </si>
  <si>
    <t>https://drive.google.com/file/d/1-OR1ayKF1ESPqr18Rir0DUko2fU7cn4G/view?usp=sharing</t>
  </si>
  <si>
    <t>713d5eeb</t>
  </si>
  <si>
    <t>Burkina Faso vs Equatorial Guinea - TotalEnergies Africa Cup of Nations</t>
  </si>
  <si>
    <t>https://www.vidio.com/live/6299-bein-1?schedule_id=4792901</t>
  </si>
  <si>
    <t>https://drive.google.com/drive/folders/142pK1m1bYZwRg6rb6aR7SCztX2m9sKo3?usp=drive_link</t>
  </si>
  <si>
    <t>Burkina Faso</t>
  </si>
  <si>
    <t>Equatorial Guinea</t>
  </si>
  <si>
    <t>burkina faso; equatorial guinea; sports stream</t>
  </si>
  <si>
    <t>Nonton streaming pertandingan seru Burkina Faso vs Equatorial Guinea - TotalEnergies Africa Cup of Nations. Saksikan aksi-aksi terbaik dari tim yang bersaing ketat untuk meraih kemenangan. Dapatkan informasi lengkap mengenai jadwal pertandingan dan hasil pertandingan terbaru hanya di Vidio.</t>
  </si>
  <si>
    <t>https://drive.google.com/file/d/1TEeQadNavDw6RvDtRIsZO-zUhWYyey51/view?usp=sharing</t>
  </si>
  <si>
    <t>825a9bfe</t>
  </si>
  <si>
    <t>Algeria vs Sudan - TotalEnergies Africa Cup of Nations</t>
  </si>
  <si>
    <t>https://www.vidio.com/live/6299-bein-1?schedule_id=4792902</t>
  </si>
  <si>
    <t>https://drive.google.com/drive/folders/1pbf4oX-N0zwKADOjsRO98huHJEon-ebF?usp=drive_link</t>
  </si>
  <si>
    <t>Algeria</t>
  </si>
  <si>
    <t>Sudan</t>
  </si>
  <si>
    <t>algeria; sudan; sports stream</t>
  </si>
  <si>
    <t>Nonton streaming pertandingan seru Algeria vs Sudan - TotalEnergies Africa Cup of Nations. Saksikan aksi-aksi terbaik dari tim yang bersaing ketat untuk meraih kemenangan. Dapatkan informasi lengkap mengenai jadwal pertandingan dan hasil pertandingan terbaru hanya di Vidio.</t>
  </si>
  <si>
    <t>https://drive.google.com/file/d/1gRcUxZAO5I_uLoVtciKhvSwkzxtPFmtj/view?usp=sharing</t>
  </si>
  <si>
    <t>https://drive.google.com/file/d/1ln1heOeK75M7_eHp5tQX67Md69mqLLHt/view?usp=sharing</t>
  </si>
  <si>
    <t>975e738c</t>
  </si>
  <si>
    <t>Angola vs Zimbabwe - TotalEnergies Africa Cup of Nations</t>
  </si>
  <si>
    <t>https://www.vidio.com/live/6299-bein-1?schedule_id=4794868</t>
  </si>
  <si>
    <t>https://drive.google.com/drive/folders/1Fv5imM61XSXIPehGL5WOxv13SKllwcHR?usp=drive_link</t>
  </si>
  <si>
    <t>angola; zimbabwe; sports stream</t>
  </si>
  <si>
    <t>Nonton streaming pertandingan seru Angola vs Zimbabwe - TotalEnergies Africa Cup of Nations. Saksikan aksi-aksi terbaik dari tim yang bersaing ketat untuk meraih kemenangan. Dapatkan informasi lengkap mengenai jadwal pertandingan dan hasil pertandingan terbaru hanya di Vidio.</t>
  </si>
  <si>
    <t>https://drive.google.com/file/d/1xkZklHHmNeJipt4jDkjrPL6vGEGXVQpj/view?usp=sharing</t>
  </si>
  <si>
    <t>0d7cbd9f</t>
  </si>
  <si>
    <t>Egypt vs South Africa - TotalEnergies Africa Cup of Nations</t>
  </si>
  <si>
    <t>https://www.vidio.com/live/6299-bein-1?schedule_id=4794869</t>
  </si>
  <si>
    <t>https://drive.google.com/drive/folders/1rSzfcjRYu7FCCmRwW9G9onk4cZI5VqqJ?usp=drive_link</t>
  </si>
  <si>
    <t>egypt; south africa; sports stream</t>
  </si>
  <si>
    <t>Nonton streaming pertandingan seru Egypt vs South Africa - TotalEnergies Africa Cup of Nations. Saksikan aksi-aksi terbaik dari tim yang bersaing ketat untuk meraih kemenangan. Dapatkan informasi lengkap mengenai jadwal pertandingan dan hasil pertandingan terbaru hanya di Vidio.</t>
  </si>
  <si>
    <t>https://drive.google.com/file/d/1iZ6ZtYriF21MQfyqjlGXsreK4COe93ki/view?usp=sharing</t>
  </si>
  <si>
    <t>https://drive.google.com/file/d/1TeauLj2_xUnNBSIsixKy-Xuqd6BuJqn9/view?usp=sharing</t>
  </si>
  <si>
    <t>b3eaab6a</t>
  </si>
  <si>
    <t>Zambia vs Comoros - TotalEnergies Africa Cup of Nations</t>
  </si>
  <si>
    <t>https://www.vidio.com/live/6299-bein-1?schedule_id=4794870</t>
  </si>
  <si>
    <t>https://drive.google.com/drive/folders/15RLZpzp9KbTFMA5M0wZnnHtgfcMkwhnR?usp=drive_link</t>
  </si>
  <si>
    <t>Comoros</t>
  </si>
  <si>
    <t>zambia; comoros; sports stream</t>
  </si>
  <si>
    <t>Nonton streaming pertandingan seru Zambia vs Comoros - TotalEnergies Africa Cup of Nations. Saksikan aksi-aksi terbaik dari tim yang bersaing ketat untuk meraih kemenangan. Dapatkan informasi lengkap mengenai jadwal pertandingan dan hasil pertandingan terbaru hanya di Vidio.</t>
  </si>
  <si>
    <t>https://drive.google.com/file/d/1-SBcYQh6U61anspHOTf1LLptPTy6kq_7/view?usp=sharing</t>
  </si>
  <si>
    <t>8a046d85</t>
  </si>
  <si>
    <t>Morocco vs Mali - TotalEnergies Africa Cup of Nations</t>
  </si>
  <si>
    <t>https://www.vidio.com/live/6299-bein-1?schedule_id=4794871</t>
  </si>
  <si>
    <t>https://drive.google.com/drive/folders/1lzAUAWIzcm_qZs4SifG6i_LyCnvg2mWP?usp=drive_link</t>
  </si>
  <si>
    <t>Morocco</t>
  </si>
  <si>
    <t>morocco; mali; sports stream</t>
  </si>
  <si>
    <t>Nonton streaming pertandingan seru Morocco vs Mali - TotalEnergies Africa Cup of Nations. Saksikan aksi-aksi terbaik dari tim yang bersaing ketat untuk meraih kemenangan. Dapatkan informasi lengkap mengenai jadwal pertandingan dan hasil pertandingan terbaru hanya di Vidio.</t>
  </si>
  <si>
    <t>https://drive.google.com/file/d/1I43rbkzp_vE_5khpoOH9lpIfiVe0d0r8/view?usp=sharing</t>
  </si>
  <si>
    <t>https://drive.google.com/file/d/14rDjqDnOIpb1oX_DJTEYdo2y1LtOV68-/view?usp=sharing</t>
  </si>
  <si>
    <t>38fae728</t>
  </si>
  <si>
    <t>Benin vs Botswana - TotalEnergies Africa Cup of Nations</t>
  </si>
  <si>
    <t>https://www.vidio.com/live/6299-bein-1?schedule_id=4794872</t>
  </si>
  <si>
    <t>https://drive.google.com/drive/folders/1rF7QIGkmSYeypvHsiU5zo9YuAXQQaZSu?usp=drive_link</t>
  </si>
  <si>
    <t>benin; botswana; sports stream</t>
  </si>
  <si>
    <t>Nonton streaming pertandingan seru Benin vs Botswana - TotalEnergies Africa Cup of Nations. Saksikan aksi-aksi terbaik dari tim yang bersaing ketat untuk meraih kemenangan. Dapatkan informasi lengkap mengenai jadwal pertandingan dan hasil pertandingan terbaru hanya di Vidio.</t>
  </si>
  <si>
    <t>https://drive.google.com/file/d/17pu4SF4XTcuNzi6JlVODhxUSLJ0zAgyv/view?usp=sharing</t>
  </si>
  <si>
    <t>e63af06a</t>
  </si>
  <si>
    <t>Senegal vs DR Congo - TotalEnergies Africa Cup of Nations</t>
  </si>
  <si>
    <t>https://www.vidio.com/live/6299-bein-1?schedule_id=4794873</t>
  </si>
  <si>
    <t>https://drive.google.com/drive/folders/1L_Tiyi5lN6WGgxcLY_rPlzX47jkmN7AX?usp=drive_link</t>
  </si>
  <si>
    <t>senegal; dr congo; sports stream</t>
  </si>
  <si>
    <t>Nonton streaming pertandingan seru Senegal vs DR Congo - TotalEnergies Africa Cup of Nations. Saksikan aksi-aksi terbaik dari tim yang bersaing ketat untuk meraih kemenangan. Dapatkan informasi lengkap mengenai jadwal pertandingan dan hasil pertandingan terbaru hanya di Vidio.</t>
  </si>
  <si>
    <t>https://drive.google.com/file/d/1W4KnfhABchcHDlLhY_FwAgXeljeYr_37/view?usp=sharing</t>
  </si>
  <si>
    <t>https://drive.google.com/file/d/1xiFW3T4X2etTAIHK7MQuMgRwGrdoRlfL/view?usp=sharing</t>
  </si>
  <si>
    <t>9e825e3c</t>
  </si>
  <si>
    <t>Uganda vs Tanzania - TotalEnergies Africa Cup of Nations</t>
  </si>
  <si>
    <t>https://www.vidio.com/live/6299-bein-1?schedule_id=4795172</t>
  </si>
  <si>
    <t>Uganda; tanzania; sports stream</t>
  </si>
  <si>
    <t>Nonton streaming pertandingan seru Uganda vs Tanzania - TotalEnergies Africa Cup of Nations. Saksikan aksi-aksi terbaik dari tim yang bersaing ketat untuk meraih kemenangan. Dapatkan informasi lengkap mengenai jadwal pertandingan dan hasil pertandingan terbaru hanya di Vidio.</t>
  </si>
  <si>
    <t>https://thumbor.prod.vidiocdn.com/HVr5tvMK5rp9FUnwd2JsJ1lywOo=/filters:quality(70)/vidio-media-production/uploads/image/source/52644/848456.png</t>
  </si>
  <si>
    <t>0b4ef69a</t>
  </si>
  <si>
    <t>Nigeria vs Tunisia - TotalEnergies Africa Cup of Nations</t>
  </si>
  <si>
    <t>https://www.vidio.com/live/6299-bein-1?schedule_id=4795173</t>
  </si>
  <si>
    <t>https://drive.google.com/drive/folders/149uY9O5r-EDtvFHh0O-BuV9HwpY-2dpR</t>
  </si>
  <si>
    <t>nigeria; tunisia; sports stream</t>
  </si>
  <si>
    <t>Nonton streaming pertandingan seru Nigeria vs Tunisia - TotalEnergies Africa Cup of Nations. Saksikan aksi-aksi terbaik dari tim yang bersaing ketat untuk meraih kemenangan. Dapatkan informasi lengkap mengenai jadwal pertandingan dan hasil pertandingan terbaru hanya di Vidio.</t>
  </si>
  <si>
    <t>https://thumbor.prod.vidiocdn.com/i2LoIZ-pcz6ZJj13xQ6CMRFn9_w=/filters:quality(70)/vidio-media-production/uploads/image/source/52646/847311.png</t>
  </si>
  <si>
    <t>https://drive.google.com/file/d/1x1yTli4JrkNN4NXl_S4RZrFaGGV4fjnN/view?usp=sharing</t>
  </si>
  <si>
    <t>478df807</t>
  </si>
  <si>
    <t>Gabon vs Mozambique - TotalEnergies Africa Cup of Nations</t>
  </si>
  <si>
    <t>https://www.vidio.com/live/6299-bein-1?schedule_id=4795174</t>
  </si>
  <si>
    <t>Gabon</t>
  </si>
  <si>
    <t>Mozambique</t>
  </si>
  <si>
    <t>gabon; mozambique; sports stream</t>
  </si>
  <si>
    <t>Nonton streaming pertandingan seru Gabon vs Mozambique - TotalEnergies Africa Cup of Nations. Saksikan aksi-aksi terbaik dari tim yang bersaing ketat untuk meraih kemenangan. Dapatkan informasi lengkap mengenai jadwal pertandingan dan hasil pertandingan terbaru hanya di Vidio.</t>
  </si>
  <si>
    <t>https://thumbor.prod.vidiocdn.com/5Ry40JBtl7p6zXsbF5sdMbGTHEQ=/filters:quality(70)/vidio-media-production/uploads/image/source/52647/82935a.png</t>
  </si>
  <si>
    <t>5ce00a76</t>
  </si>
  <si>
    <t>Equatorial Guinea vs Sudan - TotalEnergies Africa Cup of Nations</t>
  </si>
  <si>
    <t>https://www.vidio.com/live/6299-bein-1?schedule_id=4795175</t>
  </si>
  <si>
    <t>equatorial guinea; sudan; sports stream</t>
  </si>
  <si>
    <t>Nonton streaming pertandingan seru Equatorial Guinea vs Sudan - TotalEnergies Africa Cup of Nations. Saksikan aksi-aksi terbaik dari tim yang bersaing ketat untuk meraih kemenangan. Dapatkan informasi lengkap mengenai jadwal pertandingan dan hasil pertandingan terbaru hanya di Vidio.</t>
  </si>
  <si>
    <t>https://thumbor.prod.vidiocdn.com/NJaKZro2W7__D0gaPaeWd_gGciQ=/filters:quality(70)/vidio-media-production/uploads/image/source/52648/03d3c0.png</t>
  </si>
  <si>
    <t>1ff76477</t>
  </si>
  <si>
    <t>Algeria vs Burkina Faso - TotalEnergies Africa Cup of Nations</t>
  </si>
  <si>
    <t>https://www.vidio.com/live/6299-bein-1?schedule_id=4797268</t>
  </si>
  <si>
    <t>https://drive.google.com/drive/folders/1QYSUrBna7duHa8h4Kq3_5whAWdhHwYgK</t>
  </si>
  <si>
    <t>algeria; burkina faso; sports stream</t>
  </si>
  <si>
    <t>Nonton streaming pertandingan seru Algeria vs Burkina Faso - TotalEnergies Africa Cup of Nations. Saksikan aksi-aksi terbaik dari tim yang bersaing ketat untuk meraih kemenangan. Dapatkan informasi lengkap mengenai jadwal pertandingan dan hasil pertandingan terbaru hanya di Vidio.</t>
  </si>
  <si>
    <t>https://thumbor.prod.vidiocdn.com/EoRAsLavkbpsFZKW6mrjxD5oUpU=/filters:quality(70)/vidio-media-production/uploads/image/source/52649/cb3073.png</t>
  </si>
  <si>
    <t>https://drive.google.com/file/d/182FnCB-gxxmCash0tJ86f4-tg8EFmPKK/view?usp=sharing</t>
  </si>
  <si>
    <t>69b00130</t>
  </si>
  <si>
    <t>Ivory Coast vs Cameroon - TotalEnergies Africa Cup of Nations</t>
  </si>
  <si>
    <t>https://www.vidio.com/live/6299-bein-1?schedule_id=4797269</t>
  </si>
  <si>
    <t>https://drive.google.com/drive/folders/1yluQRAorHOpLAGE5x3nDEEiapx8bp7sF</t>
  </si>
  <si>
    <t>Ivory Coast</t>
  </si>
  <si>
    <t>Cameroon</t>
  </si>
  <si>
    <t>ivory coast; cameroon; sports stream</t>
  </si>
  <si>
    <t>Nonton streaming pertandingan seru Ivory Coast vs Cameroon - TotalEnergies Africa Cup of Nations. Saksikan aksi-aksi terbaik dari tim yang bersaing ketat untuk meraih kemenangan. Dapatkan informasi lengkap mengenai jadwal pertandingan dan hasil pertandingan terbaru hanya di Vidio.</t>
  </si>
  <si>
    <t>https://thumbor.prod.vidiocdn.com/nxFKyO7kFoUKCPlWyGYhpW9wijk=/filters:quality(70)/vidio-media-production/uploads/image/source/52650/2b58f0.png</t>
  </si>
  <si>
    <t>https://drive.google.com/file/d/14VzJ8iyGqAeTvwlrpVlnO6XKC9eei-Cj/view?usp=sharing</t>
  </si>
  <si>
    <t>6e6e8570</t>
  </si>
  <si>
    <t>Angola vs Egypt - TotalEnergies Africa Cup of Nations</t>
  </si>
  <si>
    <t>https://www.vidio.com/live/6299-bein-1?schedule_id=4797270</t>
  </si>
  <si>
    <t>angola; egypt; sports stream</t>
  </si>
  <si>
    <t>Nonton streaming pertandingan seru Angola vs Egypt - TotalEnergies Africa Cup of Nations. Saksikan aksi-aksi terbaik dari tim yang bersaing ketat untuk meraih kemenangan. Dapatkan informasi lengkap mengenai jadwal pertandingan dan hasil pertandingan terbaru hanya di Vidio.</t>
  </si>
  <si>
    <t>https://thumbor.prod.vidiocdn.com/CdLz_A2fMlt9iwc28kx_jLDT7xc=/filters:quality(70)/vidio-media-production/uploads/image/source/52651/4ffb88.png</t>
  </si>
  <si>
    <t>c1974733</t>
  </si>
  <si>
    <t>Zimbabwe vs South Africa - TotalEnergies Africa Cup of Nations</t>
  </si>
  <si>
    <t>https://www.vidio.com/live/6317-bein-3?schedule_id=4797271</t>
  </si>
  <si>
    <t>zimbabwe; south africa; sports stream</t>
  </si>
  <si>
    <t>Nonton streaming pertandingan seru Zimbabwe vs South Africa - TotalEnergies Africa Cup of Nations. Saksikan aksi-aksi terbaik dari tim yang bersaing ketat untuk meraih kemenangan. Dapatkan informasi lengkap mengenai jadwal pertandingan dan hasil pertandingan terbaru hanya di Vidio.</t>
  </si>
  <si>
    <t>https://thumbor.prod.vidiocdn.com/xyaZyhg_DC22r-jL1ojwKGQDY3o=/filters:quality(70)/vidio-media-production/uploads/image/source/52652/6ba164.png</t>
  </si>
  <si>
    <t>3774e54c</t>
  </si>
  <si>
    <t>Zambia vs Morocco - TotalEnergies Africa Cup of Nations</t>
  </si>
  <si>
    <t>https://www.vidio.com/live/6299-bein-1?schedule_id=4797277</t>
  </si>
  <si>
    <t>https://drive.google.com/drive/folders/1JgfAQOjn2WastQKiWTJNVcpxRZAfeThV</t>
  </si>
  <si>
    <t>zambia; morocco; sports stream</t>
  </si>
  <si>
    <t>Nonton streaming pertandingan seru Zambia vs Morocco - TotalEnergies Africa Cup of Nations. Saksikan aksi-aksi terbaik dari tim yang bersaing ketat untuk meraih kemenangan. Dapatkan informasi lengkap mengenai jadwal pertandingan dan hasil pertandingan terbaru hanya di Vidio.</t>
  </si>
  <si>
    <t>https://thumbor.prod.vidiocdn.com/Km91B9YSIVUat_xzn0JRavW-vtA=/filters:quality(70)/vidio-media-production/uploads/image/source/52654/235262.png</t>
  </si>
  <si>
    <t>https://drive.google.com/file/d/1nbMxL7yo4iVB9ReQwT9orOfJBtpr3p07/view?usp=sharing</t>
  </si>
  <si>
    <t>16483f15</t>
  </si>
  <si>
    <t>Comoros vs Mali - TotalEnergies Africa Cup of Nations</t>
  </si>
  <si>
    <t>https://www.vidio.com/live/6317-bein-3?schedule_id=4797278</t>
  </si>
  <si>
    <t>comoros; mali; sports stream</t>
  </si>
  <si>
    <t>Nonton streaming pertandingan seru Comoros vs Mali - TotalEnergies Africa Cup of Nations. Saksikan aksi-aksi terbaik dari tim yang bersaing ketat untuk meraih kemenangan. Dapatkan informasi lengkap mengenai jadwal pertandingan dan hasil pertandingan terbaru hanya di Vidio.</t>
  </si>
  <si>
    <t>https://thumbor.prod.vidiocdn.com/Zygg5P5BvGAQ4xdtuj4OSRFXe6c=/filters:quality(70)/vidio-media-production/uploads/image/source/52653/014a54.png</t>
  </si>
  <si>
    <t>4ace1da3</t>
  </si>
  <si>
    <t>Uganda vs Nigeria - TotalEnergies Africa Cup of Nations</t>
  </si>
  <si>
    <t>https://www.vidio.com/live/6299-bein-1?schedule_id=4797280</t>
  </si>
  <si>
    <t>Uganda; nigeria; sports stream</t>
  </si>
  <si>
    <t>Nonton streaming pertandingan seru Uganda vs Nigeria - TotalEnergies Africa Cup of Nations. Saksikan aksi-aksi terbaik dari tim yang bersaing ketat untuk meraih kemenangan. Dapatkan informasi lengkap mengenai jadwal pertandingan dan hasil pertandingan terbaru hanya di Vidio.</t>
  </si>
  <si>
    <t>https://thumbor.prod.vidiocdn.com/G4u_GiI9Zp-3T05Y7q2r4kcLozQ=/filters:quality(70)/vidio-media-production/uploads/image/source/52656/4524fa.png</t>
  </si>
  <si>
    <t>28749b82</t>
  </si>
  <si>
    <t>Tanzania vs Tunisia - TotalEnergies Africa Cup of Nations</t>
  </si>
  <si>
    <t>https://www.vidio.com/live/6317-bein-3?schedule_id=4797279</t>
  </si>
  <si>
    <t>tanzania; tunisia; sports stream</t>
  </si>
  <si>
    <t>Nonton streaming pertandingan seru Tanzania vs Tunisia - TotalEnergies Africa Cup of Nations. Saksikan aksi-aksi terbaik dari tim yang bersaing ketat untuk meraih kemenangan. Dapatkan informasi lengkap mengenai jadwal pertandingan dan hasil pertandingan terbaru hanya di Vidio.</t>
  </si>
  <si>
    <t>https://thumbor.prod.vidiocdn.com/N_LpdKjlM-SSJkni15xhmxIwyl0=/filters:quality(70)/vidio-media-production/uploads/image/source/52655/7811d3.png</t>
  </si>
  <si>
    <t>8089bddf</t>
  </si>
  <si>
    <t>Botswana vs DR Congo - TotalEnergies Africa Cup of Nations</t>
  </si>
  <si>
    <t>https://www.vidio.com/live/6317-bein-3?schedule_id=4802051</t>
  </si>
  <si>
    <t>botswana; dr congo; sports stream</t>
  </si>
  <si>
    <t>Nonton streaming pertandingan seru Botswana vs DR Congo - TotalEnergies Africa Cup of Nations. Saksikan aksi-aksi terbaik dari tim yang bersaing ketat untuk meraih kemenangan. Dapatkan informasi lengkap mengenai jadwal pertandingan dan hasil pertandingan terbaru hanya di Vidio.</t>
  </si>
  <si>
    <t>https://thumbor.prod.vidiocdn.com/MTGeTjE8eQp_Qcxxb7qlzOkjF4Y=/filters:quality(70)/vidio-media-production/uploads/image/source/52658/80a923.png</t>
  </si>
  <si>
    <t>7c0219e9</t>
  </si>
  <si>
    <t>Benin vs Senegal - TotalEnergies Africa Cup of Nations</t>
  </si>
  <si>
    <t>https://www.vidio.com/live/6299-bein-1?schedule_id=4802034</t>
  </si>
  <si>
    <t>https://drive.google.com/drive/folders/1o9_tQug4wIueMFKcGLjGvUwGCik6cXNR</t>
  </si>
  <si>
    <t>benin; senegal; sports stream</t>
  </si>
  <si>
    <t>Nonton streaming pertandingan seru Benin vs Senegal - TotalEnergies Africa Cup of Nations. Saksikan aksi-aksi terbaik dari tim yang bersaing ketat untuk meraih kemenangan. Dapatkan informasi lengkap mengenai jadwal pertandingan dan hasil pertandingan terbaru hanya di Vidio.</t>
  </si>
  <si>
    <t>https://thumbor.prod.vidiocdn.com/oV8x0U9aBQXHYpjdAzintiEYLR0=/filters:quality(70)/vidio-media-production/uploads/image/source/52657/e70bfd.png</t>
  </si>
  <si>
    <t>https://drive.google.com/file/d/1YWwUVg0E-gk768bKVpjewl2itA7iwVZG/view?usp=sharing</t>
  </si>
  <si>
    <t>2df503d5</t>
  </si>
  <si>
    <t>Equatorial Guinea vs Algeria - TotalEnergies Africa Cup of Nations</t>
  </si>
  <si>
    <t>https://www.vidio.com/live/6299-bein-1?schedule_id=4802035</t>
  </si>
  <si>
    <t>https://drive.google.com/drive/folders/1iKiQpV9kztJ9RJXz7unWELyQE9fc_Yqp</t>
  </si>
  <si>
    <t>equatorial guinea; algeria; sports stream</t>
  </si>
  <si>
    <t>Nonton streaming pertandingan seru Equatorial Guinea vs Algeria - TotalEnergies Africa Cup of Nations. Saksikan aksi-aksi terbaik dari tim yang bersaing ketat untuk meraih kemenangan. Dapatkan informasi lengkap mengenai jadwal pertandingan dan hasil pertandingan terbaru hanya di Vidio.</t>
  </si>
  <si>
    <t>https://thumbor.prod.vidiocdn.com/-VPHzRBp-Qa6qlTV5CpFFKlFKsU=/filters:quality(70)/vidio-media-production/uploads/image/source/52659/1aafee.png</t>
  </si>
  <si>
    <t>https://drive.google.com/file/d/1mRZYwKwPiemHUQkgIexlSsEqpOXo26kM/view?usp=sharing</t>
  </si>
  <si>
    <t>aa449588</t>
  </si>
  <si>
    <t>Sudan vs Burkina Faso - TotalEnergies Africa Cup of Nations</t>
  </si>
  <si>
    <t>https://www.vidio.com/live/6317-bein-3?schedule_id=4802062</t>
  </si>
  <si>
    <t>sudan; burkina faso; sports stream</t>
  </si>
  <si>
    <t>Nonton streaming pertandingan seru Sudan vs Burkina Faso - TotalEnergies Africa Cup of Nations. Saksikan aksi-aksi terbaik dari tim yang bersaing ketat untuk meraih kemenangan. Dapatkan informasi lengkap mengenai jadwal pertandingan dan hasil pertandingan terbaru hanya di Vidio.</t>
  </si>
  <si>
    <t>https://thumbor.prod.vidiocdn.com/bUUmshhUbQMDu7eLYvNIcQf5mVM=/filters:quality(70)/vidio-media-production/uploads/image/source/52660/380348.png</t>
  </si>
  <si>
    <t>1eb03f91</t>
  </si>
  <si>
    <t>INDONESIA , WORLDWIDE</t>
  </si>
  <si>
    <t>https://www.vidio.com/live/19354-bri-super-league?schedule_id=4758889</t>
  </si>
  <si>
    <t>https://drive.google.com/drive/folders/1H6Uu9UUrvnyeQUNrhfy1XhuNsli7UID4</t>
  </si>
  <si>
    <t>https://drive.google.com/file/d/1xkU8rOzY44lA0KIy3svNfhXNWh9awYvc/view?usp=sharing</t>
  </si>
  <si>
    <t>Persib: Beckham Putra, Marc Klok
Borneo: Nadeo, Kei Hirose</t>
  </si>
  <si>
    <t>https://drive.google.com/file/d/1DWPaQYmm5EUV25j9WrPj5GxiXp-OEOmW/view?usp=sharing</t>
  </si>
  <si>
    <t>https://drive.google.com/file/d/15vInW2SwCefRs724xVCTZDyDK61BJByy/view?usp=sharing</t>
  </si>
  <si>
    <t>4dfa4426</t>
  </si>
  <si>
    <t>https://www.vidio.com/live/19988-bri-super-league?schedule_id=4759266</t>
  </si>
  <si>
    <t>https://drive.google.com/drive/folders/1EWSC8Ug00VB0dbx-_GRslXtHOFx1GTZO</t>
  </si>
  <si>
    <t>https://drive.google.com/file/d/1XMWY2BNuMUarXxPmDXlktmyZkq5vtlHm/view?usp=sharing</t>
  </si>
  <si>
    <t>PSM: Yuran, Daisuke Sakai
Persebaya: Ernando, Gali Freitas</t>
  </si>
  <si>
    <t>https://drive.google.com/file/d/1NtrtWGieog2so9v-DI1SYHZvSwbIhxAG/view?usp=sharing</t>
  </si>
  <si>
    <t>https://drive.google.com/file/d/1hCS_VH_O1SArEqHo9AT6Sar7YMoW62wR/view?usp=sharing</t>
  </si>
  <si>
    <t>9b1d2e91</t>
  </si>
  <si>
    <t>Rajadamnern 2025 Interim Featherweight Title</t>
  </si>
  <si>
    <t>https://www.vidio.com/live/19388-rws-muay-thai-2025?schedule_id=4756442</t>
  </si>
  <si>
    <t>https://drive.google.com/drive/folders/1zJFNDK1oZf5H4p6NE_63ZaCzSORyHA_c</t>
  </si>
  <si>
    <t>https://drive.google.com/drive/folders/1KW8todaFYE6I3ejB8zI1Vje8BHfVvFBo?usp=drive_link</t>
  </si>
  <si>
    <t>Nonton streaming pertandingan seru Rajadamnern 2025 Interim Featherweight Title. Saksikan aksi-aksi terbaik dari tim yang bersaing ketat untuk meraih kemenangan. Dapatkan informasi lengkap mengenai jadwal pertandingan dan hasil pertandingan terbaru hanya di Vidio.</t>
  </si>
  <si>
    <t>https://drive.google.com/file/d/1aphUWLomngBfTg6-JByjbR_BsMY709dK/view?usp=sharing</t>
  </si>
  <si>
    <t>https://drive.google.com/file/d/1kLXbzR_iFIjn7oauoIW6RiWmrcsqC_2R/view?usp=sharing</t>
  </si>
  <si>
    <t>a115d00d</t>
  </si>
  <si>
    <t>Al-Ahli vs Al-Qadsiah - King's Cup</t>
  </si>
  <si>
    <t>https://www.vidio.com/live/17139-spotv?schedule_id=4741287</t>
  </si>
  <si>
    <t>https://drive.google.com/drive/folders/17E9FyaN4oCbJxj9riGlkYqrS5Q2vnnht?usp=drive_link</t>
  </si>
  <si>
    <t>Nonton streaming pertandingan seru Al-Ahli vs Al-Qadsiah - King's Cup. Saksikan aksi-aksi terbaik dari tim yang bersaing ketat untuk meraih kemenangan. Dapatkan informasi lengkap mengenai jadwal pertandingan dan hasil pertandingan terbaru hanya di Vidio.</t>
  </si>
  <si>
    <t>https://drive.google.com/file/d/1iN0cNxYgpfbNuPw4d4pnBWsajz1PctaO/view?usp=sharing</t>
  </si>
  <si>
    <t>649d7901</t>
  </si>
  <si>
    <t>Dallas Cowboys vs Detroit Lions - NFL</t>
  </si>
  <si>
    <t>https://www.vidio.com/live/19623-national-football-league-2025-26?schedule_id=4760893</t>
  </si>
  <si>
    <t>https://drive.google.com/drive/folders/1kFyewuYcrj8l_2fEv64QV5D4O9jh_Sii</t>
  </si>
  <si>
    <t>https://drive.google.com/file/d/1q65CuYvAa2qTvwBc4Yw9b6YXzefTlhT2/view?usp=drive_link</t>
  </si>
  <si>
    <t>Nonton streaming pertandingan seru Dallas Cowboys vs Detroit Lions - NFL. Saksikan aksi-aksi terbaik dari tim yang bersaing ketat untuk meraih kemenangan. Dapatkan informasi lengkap mengenai jadwal pertandingan dan hasil pertandingan terbaru hanya di Vidio.</t>
  </si>
  <si>
    <t>https://thumbor.prod.vidiocdn.com/xt2wn_0IqopQtcUPrXrxFnhe_Tk=/filters:quality(70)/vidio-media-production/uploads/image/source/51592/63efd7.png</t>
  </si>
  <si>
    <t>https://drive.google.com/file/d/1q65CuYvAa2qTvwBc4Yw9b6YXzefTlhT2/view?usp=sharing</t>
  </si>
  <si>
    <t>https://drive.google.com/file/d/1u4zL3RkJKtfItugmrPkDNGkvpILHElAf/view?usp=sharing</t>
  </si>
  <si>
    <t>5ab658f1</t>
  </si>
  <si>
    <t>Pittsburgh Steelers vs Baltimore Ravens - NFL</t>
  </si>
  <si>
    <t>https://www.vidio.com/live/19548-national-football-league-2025-26?schedule_id=4768866</t>
  </si>
  <si>
    <t>https://drive.google.com/drive/folders/16BJYwf9ZOTok4py0IOkHyPMzL3NprXZT?usp=drive_link</t>
  </si>
  <si>
    <t>Nonton streaming pertandingan seru Pittsburgh Steelers vs Baltimore Ravens - NFL. Saksikan aksi-aksi terbaik dari tim yang bersaing ketat untuk meraih kemenangan. Dapatkan informasi lengkap mengenai jadwal pertandingan dan hasil pertandingan terbaru hanya di Vidio.</t>
  </si>
  <si>
    <t>https://thumbor.prod.vidiocdn.com/P8kPC_RAL_Jw1UdgFmIoLFop9I4=/filters:quality(70)/vidio-media-production/uploads/image/source/51593/de114b.png</t>
  </si>
  <si>
    <t>https://drive.google.com/file/d/1gGll4Efdnrjri13xEPIBlY6XUINWoHwE/view?usp=sharing</t>
  </si>
  <si>
    <t>69fc1132</t>
  </si>
  <si>
    <t>Chicago Bears vs Green Bay Packers - NFL</t>
  </si>
  <si>
    <t>https://www.vidio.com/live/19548-national-football-league-2025-26?schedule_id=4768867</t>
  </si>
  <si>
    <t>https://drive.google.com/drive/folders/1xyYH9BxxPHKzmKTRHOphxdSr6FFDVEr7?usp=drive_link</t>
  </si>
  <si>
    <t>Nonton streaming pertandingan seru Chicago Bears vs Green Bay Packers - NFL. Saksikan aksi-aksi terbaik dari tim yang bersaing ketat untuk meraih kemenangan. Dapatkan informasi lengkap mengenai jadwal pertandingan dan hasil pertandingan terbaru hanya di Vidio.</t>
  </si>
  <si>
    <t>https://thumbor.prod.vidiocdn.com/a7ZKrTUjEyYYJ9wmBbFcnAVPDYY=/filters:quality(70)/vidio-media-production/uploads/image/source/51594/ebf46d.png</t>
  </si>
  <si>
    <t>https://drive.google.com/file/d/1KBDv1jPGiWvh8Ug_0XXDa0ZA-dognBRs/view?usp=sharing</t>
  </si>
  <si>
    <t>88ff7381</t>
  </si>
  <si>
    <t>Houston Texans vs Kansas City Chiefs - NFL</t>
  </si>
  <si>
    <t>https://www.vidio.com/live/19623-national-football-league-2025-26?schedule_id=4768869</t>
  </si>
  <si>
    <t>https://drive.google.com/drive/folders/1UI2Bj2GFnAi5hrm22osbKEiKYAyRLFUc?usp=drive_link</t>
  </si>
  <si>
    <t>Nonton streaming pertandingan seru Houston Texans vs Kansas City Chiefs - NFL. Saksikan aksi-aksi terbaik dari tim yang bersaing ketat untuk meraih kemenangan. Dapatkan informasi lengkap mengenai jadwal pertandingan dan hasil pertandingan terbaru hanya di Vidio.</t>
  </si>
  <si>
    <t>https://thumbor.prod.vidiocdn.com/BxC63N8hBks-yd9jEKzsjIVmqJo=/filters:quality(70)/vidio-media-production/uploads/image/source/51595/5746dc.png</t>
  </si>
  <si>
    <t>https://drive.google.com/file/d/1lLDje9jPEYJ6GVa6JHXz2Bf2DSNJcZZw/view?usp=sharing</t>
  </si>
  <si>
    <t>95d259b3</t>
  </si>
  <si>
    <t>Philadelphia Eagles vs Los Angeles Chargers - NFL</t>
  </si>
  <si>
    <t>https://www.vidio.com/live/19623-national-football-league-2025-26?schedule_id=4769282</t>
  </si>
  <si>
    <t>https://drive.google.com/drive/folders/1npdP_lK91Otwzr0kumBBIu8ZOXJUY9dA?usp=drive_link</t>
  </si>
  <si>
    <t>Nonton streaming pertandingan seru Philadelphia Eagles vs Los Angeles Chargers - NFL. Saksikan aksi-aksi terbaik dari tim yang bersaing ketat untuk meraih kemenangan. Dapatkan informasi lengkap mengenai jadwal pertandingan dan hasil pertandingan terbaru hanya di Vidio.</t>
  </si>
  <si>
    <t>https://thumbor.prod.vidiocdn.com/x98eUuQ1XFeq7EhZggtTNmZPt5A=/filters:quality(70)/vidio-media-production/uploads/image/source/51596/a2092f.png</t>
  </si>
  <si>
    <t>https://drive.google.com/file/d/1YuMdZ7CUg0o48tLRN_WpFL3Lq7nftYoM/view?usp=sharing</t>
  </si>
  <si>
    <t>2278ccb4</t>
  </si>
  <si>
    <t>Dundee United vs Rangers - Scottish Premiership</t>
  </si>
  <si>
    <t>Scottish Premiership 2025/26</t>
  </si>
  <si>
    <t>https://www.vidio.com/live/17139-spotv?schedule_id=4760851</t>
  </si>
  <si>
    <t>https://drive.google.com/drive/folders/1UkUvGmGoKwJ-a0tnTEJhOOt7zEsVWQeK?usp=drive_link</t>
  </si>
  <si>
    <t>Dundee United</t>
  </si>
  <si>
    <t>Sports &gt; Football &gt; Scottish Premiership</t>
  </si>
  <si>
    <t>Scottish Premiership; Scottish Premiership 2025/26</t>
  </si>
  <si>
    <t>FIFA; UEFA; European Leagues; Scottish Professional Football League</t>
  </si>
  <si>
    <t>Dundee United; rangers fc; sports stream</t>
  </si>
  <si>
    <t>Nonton streaming pertandingan seru Dundee United vs Rangers - Scottish Premiership. Saksikan aksi-aksi terbaik dari tim yang bersaing ketat untuk meraih kemenangan. Dapatkan informasi lengkap mengenai jadwal pertandingan dan hasil pertandingan terbaru hanya di Vidio.</t>
  </si>
  <si>
    <t>https://drive.google.com/file/d/1waxCpNtGyXWM-sxEAiyEsXT5kpW3iwkJ/view?usp=sharing</t>
  </si>
  <si>
    <t>0780c1d1</t>
  </si>
  <si>
    <t>Kilmarnock vs Rangers - Scottish Premiership</t>
  </si>
  <si>
    <t>https://www.vidio.com/live/17139-spotv?schedule_id=4760849</t>
  </si>
  <si>
    <t>https://drive.google.com/drive/folders/15yzUa-IOVFr4ar7SLgbiDirv9WsRs62A?usp=drive_link</t>
  </si>
  <si>
    <t>Kilmarnock</t>
  </si>
  <si>
    <t>Kilmarnock; rangers fc; sports stream</t>
  </si>
  <si>
    <t>Nonton streaming pertandingan seru Kilmarnock vs Rangers - Scottish Premiership. Saksikan aksi-aksi terbaik dari tim yang bersaing ketat untuk meraih kemenangan. Dapatkan informasi lengkap mengenai jadwal pertandingan dan hasil pertandingan terbaru hanya di Vidio.</t>
  </si>
  <si>
    <t>https://drive.google.com/file/d/1-2hkI2XHUlr8ualVIHepqVPrH6vbzZv4/view?usp=sharing</t>
  </si>
  <si>
    <t>3503ac5f</t>
  </si>
  <si>
    <t>Celtic vs Hearts - Scottish Premiership</t>
  </si>
  <si>
    <t>Heart of Midlothian</t>
  </si>
  <si>
    <t>celtic fc; heart of midlothian fc; sports stream</t>
  </si>
  <si>
    <t>Nonton streaming pertandingan seru Celtic vs Hearts - Scottish Premiership. Saksikan aksi-aksi terbaik dari tim yang bersaing ketat untuk meraih kemenangan. Dapatkan informasi lengkap mengenai jadwal pertandingan dan hasil pertandingan terbaru hanya di Vidio.</t>
  </si>
  <si>
    <t>4453f7db</t>
  </si>
  <si>
    <t>Hero World Challenge - Round 1</t>
  </si>
  <si>
    <t>Hero World Challenge 2025</t>
  </si>
  <si>
    <t>Champions Golf 1</t>
  </si>
  <si>
    <t>Champions Golf</t>
  </si>
  <si>
    <t>https://www.vidio.com/live/18189-champions-golf-1?schedule_id=4762158</t>
  </si>
  <si>
    <t>https://drive.google.com/drive/folders/1fZB-vW0dgh4bc35kaHiEWrpVfzXZbj5c?usp=sharing</t>
  </si>
  <si>
    <t>Sports &gt; Golf &gt; PGA Tour</t>
  </si>
  <si>
    <t>Golf</t>
  </si>
  <si>
    <t>PGA Tour; Hero World Challenge; Hero World Challenge 2025</t>
  </si>
  <si>
    <t>pga</t>
  </si>
  <si>
    <t>Nonton streaming pertandingan seru Hero World Challenge - Round 1. Saksikan aksi-aksi terbaik dari tim yang bersaing ketat untuk meraih kemenangan. Dapatkan informasi lengkap mengenai jadwal pertandingan dan hasil pertandingan terbaru hanya di Vidio.</t>
  </si>
  <si>
    <t>https://drive.google.com/file/d/1-G_36m9s762MRyDnUrqJef1NiXhnnQHd/view?usp=sharing</t>
  </si>
  <si>
    <t>https://drive.google.com/file/d/1geICbEK7l4MWELnej7eJPkqYvRFlUUUM/view?usp=sharing</t>
  </si>
  <si>
    <t>7907a139</t>
  </si>
  <si>
    <t>Hero World Challenge - Round 2</t>
  </si>
  <si>
    <t>https://www.vidio.com/live/18189-champions-golf-1?schedule_id=4761987</t>
  </si>
  <si>
    <t>https://drive.google.com/drive/folders/19a8n1lztRmUGfQlt5ROsQQ8qdzgdOl10?usp=sharing</t>
  </si>
  <si>
    <t>Nonton streaming pertandingan seru Hero World Challenge - Round 2. Saksikan aksi-aksi terbaik dari tim yang bersaing ketat untuk meraih kemenangan. Dapatkan informasi lengkap mengenai jadwal pertandingan dan hasil pertandingan terbaru hanya di Vidio.</t>
  </si>
  <si>
    <t>https://drive.google.com/file/d/11XuABBvG4KYgGTdJIVFTAyTUV6CQvprv/view?usp=sharing</t>
  </si>
  <si>
    <t>https://drive.google.com/file/d/1jfEkZwocrTDgLhL5rkCh_3EsLYL-9pcj/view?usp=sharing</t>
  </si>
  <si>
    <t>3cd833d6</t>
  </si>
  <si>
    <t>Hero World Challenge - Round 3</t>
  </si>
  <si>
    <t>https://www.vidio.com/live/18189-champions-golf-1?schedule_id=4762159</t>
  </si>
  <si>
    <t>https://drive.google.com/drive/folders/19S94soj0IesEmUFUm3RlH_HT-VYHUx9C?usp=sharing</t>
  </si>
  <si>
    <t>Nonton streaming pertandingan seru Hero World Challenge - Round 3. Saksikan aksi-aksi terbaik dari tim yang bersaing ketat untuk meraih kemenangan. Dapatkan informasi lengkap mengenai jadwal pertandingan dan hasil pertandingan terbaru hanya di Vidio.</t>
  </si>
  <si>
    <t>https://drive.google.com/file/d/1xGCEnun4Uw0B32p6ViwH62JL0iRw_jny/view?usp=sharing</t>
  </si>
  <si>
    <t>https://drive.google.com/file/d/1xFZEGjz8w4CXUWI23rEjAgVSCF0GHyP3/view?usp=sharing</t>
  </si>
  <si>
    <t>696f044e</t>
  </si>
  <si>
    <t>Hero World Challenge - Round 4</t>
  </si>
  <si>
    <t>https://www.vidio.com/live/18189-champions-golf-1?schedule_id=4762160</t>
  </si>
  <si>
    <t>https://drive.google.com/drive/folders/1eN1qMxGKv8mZjnUODy0sEWVEBuFiJhd1?usp=sharing</t>
  </si>
  <si>
    <t>Nonton streaming pertandingan seru Hero World Challenge - Round 4. Saksikan aksi-aksi terbaik dari tim yang bersaing ketat untuk meraih kemenangan. Dapatkan informasi lengkap mengenai jadwal pertandingan dan hasil pertandingan terbaru hanya di Vidio.</t>
  </si>
  <si>
    <t>https://drive.google.com/file/d/1s3CSyWiZGeAoLYpWZFB2H5zlqleMZ55c/view?usp=sharing</t>
  </si>
  <si>
    <t>https://drive.google.com/file/d/1ijHGr5afCz_LDYw4_0JOVuqj6Fc9hwJ8/view?usp=sharing</t>
  </si>
  <si>
    <t>bcb1a04d</t>
  </si>
  <si>
    <t>Lapangan Garam, Gn. Sindur: Babak Perempat Final - Top Soccer Championship U-14 &amp; U-15</t>
  </si>
  <si>
    <t>https://www.vidio.com/live/19995-top-soccer-championship-2025-u-14-u-15</t>
  </si>
  <si>
    <t>Nonton streaming pertandingan seru Lapangan Garam, Gn. Sindur: Babak Perempat Final - Top Soccer Championship U-14 &amp; U-15. Saksikan aksi-aksi terbaik dari tim yang bersaing ketat untuk meraih kemenangan. Dapatkan informasi lengkap mengenai jadwal pertandingan dan hasil pertandingan terbaru hanya di Vidio.</t>
  </si>
  <si>
    <t>9f47beb7</t>
  </si>
  <si>
    <t>Prodigy vs Pro:Direct - TSC U-14 (Perempat final Plate)</t>
  </si>
  <si>
    <t>https://www.vidio.com/live/19995-top-soccer-championship-2025-u-14-u-15?schedule_id=4743065</t>
  </si>
  <si>
    <t>Nonton streaming pertandingan seru Prodigy vs Pro:Direct - TSC U-14 (Perempat final Plate). Saksikan aksi-aksi terbaik dari tim yang bersaing ketat untuk meraih kemenangan. Dapatkan informasi lengkap mengenai jadwal pertandingan dan hasil pertandingan terbaru hanya di Vidio.</t>
  </si>
  <si>
    <t>6d7b6734</t>
  </si>
  <si>
    <t>RMD vs Mastabe - TSC U-14 (Perempat final Plate)</t>
  </si>
  <si>
    <t>https://www.vidio.com/live/19995-top-soccer-championship-2025-u-14-u-15?schedule_id=4743066</t>
  </si>
  <si>
    <t>Nonton streaming pertandingan seru RMD vs Mastabe - TSC U-14 (Perempat final Plate). Saksikan aksi-aksi terbaik dari tim yang bersaing ketat untuk meraih kemenangan. Dapatkan informasi lengkap mengenai jadwal pertandingan dan hasil pertandingan terbaru hanya di Vidio.</t>
  </si>
  <si>
    <t>1fc091ff</t>
  </si>
  <si>
    <t>CS Private vs Putra Leuwiliang - TSC U-14 (Perempat final Plate)</t>
  </si>
  <si>
    <t>https://www.vidio.com/live/19995-top-soccer-championship-2025-u-14-u-15?schedule_id=4743067</t>
  </si>
  <si>
    <t>Nonton streaming pertandingan seru CS Private vs Putra Leuwiliang - TSC U-14 (Perempat final Plate). Saksikan aksi-aksi terbaik dari tim yang bersaing ketat untuk meraih kemenangan. Dapatkan informasi lengkap mengenai jadwal pertandingan dan hasil pertandingan terbaru hanya di Vidio.</t>
  </si>
  <si>
    <t>4a53b9d5</t>
  </si>
  <si>
    <t>Young Tiger vs Asiop Merah - TSC U-14 (Perempat final Plate)</t>
  </si>
  <si>
    <t>https://www.vidio.com/live/19995-top-soccer-championship-2025-u-14-u-15?schedule_id=4743068</t>
  </si>
  <si>
    <t>Nonton streaming pertandingan seru Young Tiger vs Asiop Merah - TSC U-14 (Perempat final Plate). Saksikan aksi-aksi terbaik dari tim yang bersaing ketat untuk meraih kemenangan. Dapatkan informasi lengkap mengenai jadwal pertandingan dan hasil pertandingan terbaru hanya di Vidio.</t>
  </si>
  <si>
    <t>c3716c52</t>
  </si>
  <si>
    <t>Bogor FS vs Assa Pro - TSC U-15 (Perempat final Plate)</t>
  </si>
  <si>
    <t>https://www.vidio.com/live/19995-top-soccer-championship-2025-u-14-u-15?schedule_id=4743069</t>
  </si>
  <si>
    <t>Nonton streaming pertandingan seru Bogor FS vs Assa Pro - TSC U-15 (Perempat final Plate). Saksikan aksi-aksi terbaik dari tim yang bersaing ketat untuk meraih kemenangan. Dapatkan informasi lengkap mengenai jadwal pertandingan dan hasil pertandingan terbaru hanya di Vidio.</t>
  </si>
  <si>
    <t>8d0c0dac</t>
  </si>
  <si>
    <t>Lap. Trisakti Nagrak, Cibubur: Babak Perempat Final &amp; Final - Top Soccer Championship U-15, U-16, &amp; U-17</t>
  </si>
  <si>
    <t>https://www.vidio.com/live/19996</t>
  </si>
  <si>
    <t>Nonton streaming pertandingan seru Lap. Trisakti Nagrak, Cibubur: Babak Perempat Final &amp; Final - Top Soccer Championship U-15, U-16, &amp; U-17. Saksikan aksi-aksi terbaik dari tim yang bersaing ketat untuk meraih kemenangan. Dapatkan informasi lengkap mengenai jadwal pertandingan dan hasil pertandingan terbaru hanya di Vidio.</t>
  </si>
  <si>
    <t>6c555718</t>
  </si>
  <si>
    <t>Diklat ISA vs Nawasena FC - TSC U-16 (Final Plate)</t>
  </si>
  <si>
    <t>https://www.vidio.com/live/19996?schedule_id=4743070</t>
  </si>
  <si>
    <t>Nonton streaming pertandingan seru Diklat ISA vs Nawasena FC - TSC U-16 (Final Plate). Saksikan aksi-aksi terbaik dari tim yang bersaing ketat untuk meraih kemenangan. Dapatkan informasi lengkap mengenai jadwal pertandingan dan hasil pertandingan terbaru hanya di Vidio.</t>
  </si>
  <si>
    <t>7e44609b</t>
  </si>
  <si>
    <t>Ganendra Satya vs Young Tiger - TSC U-17 (Final Plate)</t>
  </si>
  <si>
    <t>https://www.vidio.com/live/19996?schedule_id=4743071</t>
  </si>
  <si>
    <t>Nonton streaming pertandingan seru Ganendra Satya vs Young Tiger - TSC U-17 (Final Plate). Saksikan aksi-aksi terbaik dari tim yang bersaing ketat untuk meraih kemenangan. Dapatkan informasi lengkap mengenai jadwal pertandingan dan hasil pertandingan terbaru hanya di Vidio.</t>
  </si>
  <si>
    <t>83e90df6</t>
  </si>
  <si>
    <t>Jawara Cilegon vs TMP - TSC U-15 (Perempat final Plate)</t>
  </si>
  <si>
    <t>https://www.vidio.com/live/19996?schedule_id=4743072</t>
  </si>
  <si>
    <t>Nonton streaming pertandingan seru Jawara Cilegon vs TMP - TSC U-15 (Perempat final Plate). Saksikan aksi-aksi terbaik dari tim yang bersaing ketat untuk meraih kemenangan. Dapatkan informasi lengkap mengenai jadwal pertandingan dan hasil pertandingan terbaru hanya di Vidio.</t>
  </si>
  <si>
    <t>d18cd677</t>
  </si>
  <si>
    <t>Farmel vs Diklat Isa - TSC U-15 (Perempat final Plate)</t>
  </si>
  <si>
    <t>https://www.vidio.com/live/19996?schedule_id=4743073</t>
  </si>
  <si>
    <t>Nonton streaming pertandingan seru Farmel vs Diklat Isa - TSC U-15 (Perempat final Plate). Saksikan aksi-aksi terbaik dari tim yang bersaing ketat untuk meraih kemenangan. Dapatkan informasi lengkap mengenai jadwal pertandingan dan hasil pertandingan terbaru hanya di Vidio.</t>
  </si>
  <si>
    <t>33f09904</t>
  </si>
  <si>
    <t>Bogor City vs Thisa Bekasi - TSC U-15 (Perempat final Plate)</t>
  </si>
  <si>
    <t>https://www.vidio.com/live/19996?schedule_id=4743074</t>
  </si>
  <si>
    <t>Nonton streaming pertandingan seru Bogor City vs Thisa Bekasi - TSC U-15 (Perempat final Plate). Saksikan aksi-aksi terbaik dari tim yang bersaing ketat untuk meraih kemenangan. Dapatkan informasi lengkap mengenai jadwal pertandingan dan hasil pertandingan terbaru hanya di Vidio.</t>
  </si>
  <si>
    <t>587f8930</t>
  </si>
  <si>
    <t>Lapangan Kehakiman Gunung Sindur: Babak 8 Besar Cup &amp; Semifinal - Top Soccer Championship U-13 &amp; U-14</t>
  </si>
  <si>
    <t>https://www.vidio.com/live/19997-top-soccer-championship-2025-u-13-u-14</t>
  </si>
  <si>
    <t>Nonton streaming pertandingan seru Lapangan Kehakiman Gunung Sindur: Babak 8 Besar Cup &amp; Semifinal - Top Soccer Championship U-13 &amp; U-14. Saksikan aksi-aksi terbaik dari tim yang bersaing ketat untuk meraih kemenangan. Dapatkan informasi lengkap mengenai jadwal pertandingan dan hasil pertandingan terbaru hanya di Vidio.</t>
  </si>
  <si>
    <t>d653c204</t>
  </si>
  <si>
    <t>Prodigy vs JAS - TSC U-13 (8 Besar CUP)</t>
  </si>
  <si>
    <t>https://www.vidio.com/live/19997-top-soccer-championship-2025-u-13-u-14?schedule_id=4743075</t>
  </si>
  <si>
    <t>Nonton streaming pertandingan seru Prodigy vs JAS - TSC U-13 (8 Besar CUP). Saksikan aksi-aksi terbaik dari tim yang bersaing ketat untuk meraih kemenangan. Dapatkan informasi lengkap mengenai jadwal pertandingan dan hasil pertandingan terbaru hanya di Vidio.</t>
  </si>
  <si>
    <t>4f32a8a2</t>
  </si>
  <si>
    <t>Binna Banua vs Young Tiger - TSC U-13 (8 Besar CUP)</t>
  </si>
  <si>
    <t>https://www.vidio.com/live/19997-top-soccer-championship-2025-u-13-u-14?schedule_id=4743076</t>
  </si>
  <si>
    <t>Nonton streaming pertandingan seru Binna Banua vs Young Tiger - TSC U-13 (8 Besar CUP). Saksikan aksi-aksi terbaik dari tim yang bersaing ketat untuk meraih kemenangan. Dapatkan informasi lengkap mengenai jadwal pertandingan dan hasil pertandingan terbaru hanya di Vidio.</t>
  </si>
  <si>
    <t>ff3022fa</t>
  </si>
  <si>
    <t>Abinaya vs Bina Patra - TSC U-13 (8 Besar CUP)</t>
  </si>
  <si>
    <t>https://www.vidio.com/live/19997-top-soccer-championship-2025-u-13-u-14?schedule_id=4743077</t>
  </si>
  <si>
    <t>Nonton streaming pertandingan seru Abinaya vs Bina Patra - TSC U-13 (8 Besar CUP). Saksikan aksi-aksi terbaik dari tim yang bersaing ketat untuk meraih kemenangan. Dapatkan informasi lengkap mengenai jadwal pertandingan dan hasil pertandingan terbaru hanya di Vidio.</t>
  </si>
  <si>
    <t>eed7a1e4</t>
  </si>
  <si>
    <t>ASIOP Merah vs Young Warrior - TSC U-13 (8 Besar CUP)</t>
  </si>
  <si>
    <t>https://www.vidio.com/live/19997-top-soccer-championship-2025-u-13-u-14?schedule_id=4743078</t>
  </si>
  <si>
    <t>Nonton streaming pertandingan seru ASIOP Merah vs Young Warrior - TSC U-13 (8 Besar CUP). Saksikan aksi-aksi terbaik dari tim yang bersaing ketat untuk meraih kemenangan. Dapatkan informasi lengkap mengenai jadwal pertandingan dan hasil pertandingan terbaru hanya di Vidio.</t>
  </si>
  <si>
    <t>ed3ab1b9</t>
  </si>
  <si>
    <t>TBC vs TBC - TSC U-14 (Semifinal Plate)</t>
  </si>
  <si>
    <t>https://www.vidio.com/live/19997-top-soccer-championship-2025-u-13-u-14?schedule_id=4743079</t>
  </si>
  <si>
    <t>Nonton streaming pertandingan seru TBC vs TBC - TSC U-14 (Semifinal Plate). Saksikan aksi-aksi terbaik dari tim yang bersaing ketat untuk meraih kemenangan. Dapatkan informasi lengkap mengenai jadwal pertandingan dan hasil pertandingan terbaru hanya di Vidio.</t>
  </si>
  <si>
    <t>292730ec</t>
  </si>
  <si>
    <t>https://www.vidio.com/live/19997-top-soccer-championship-2025-u-13-u-14?schedule_id=4743080</t>
  </si>
  <si>
    <t>4945d4b4</t>
  </si>
  <si>
    <t>Matchday 12 - Top Youth Premier League</t>
  </si>
  <si>
    <t>https://www.vidio.com/live/19998</t>
  </si>
  <si>
    <t>Nonton streaming pertandingan seru Matchday 12 - Top Youth Premier League. Saksikan aksi-aksi terbaik dari tim yang bersaing ketat untuk meraih kemenangan. Dapatkan informasi lengkap mengenai jadwal pertandingan dan hasil pertandingan terbaru hanya di Vidio.</t>
  </si>
  <si>
    <t>ff4aebd7</t>
  </si>
  <si>
    <t>MAVERICKS ACADEMY vs ASIOP MERAH - TYPL5 U-9</t>
  </si>
  <si>
    <t>https://www.vidio.com/live/19998?schedule_id=4743094</t>
  </si>
  <si>
    <t>Nonton streaming pertandingan seru MAVERICKS ACADEMY vs ASIOP MERAH - TYPL5 U-9. Saksikan aksi-aksi terbaik dari tim yang bersaing ketat untuk meraih kemenangan. Dapatkan informasi lengkap mengenai jadwal pertandingan dan hasil pertandingan terbaru hanya di Vidio.</t>
  </si>
  <si>
    <t>4b51ac12</t>
  </si>
  <si>
    <t>JAS vs CS PRIVATE - TYPL5 U-10</t>
  </si>
  <si>
    <t>https://www.vidio.com/live/19998?schedule_id=4743095</t>
  </si>
  <si>
    <t>Nonton streaming pertandingan seru JAS vs CS PRIVATE - TYPL5 U-10. Saksikan aksi-aksi terbaik dari tim yang bersaing ketat untuk meraih kemenangan. Dapatkan informasi lengkap mengenai jadwal pertandingan dan hasil pertandingan terbaru hanya di Vidio.</t>
  </si>
  <si>
    <t>05b0e937</t>
  </si>
  <si>
    <t>ASSA PRO SS vs ASIOP BIRU - TYPL5 U-9</t>
  </si>
  <si>
    <t>https://www.vidio.com/live/19998?schedule_id=4743096</t>
  </si>
  <si>
    <t>Nonton streaming pertandingan seru ASSA PRO SS vs ASIOP BIRU - TYPL5 U-9. Saksikan aksi-aksi terbaik dari tim yang bersaing ketat untuk meraih kemenangan. Dapatkan informasi lengkap mengenai jadwal pertandingan dan hasil pertandingan terbaru hanya di Vidio.</t>
  </si>
  <si>
    <t>e6267191</t>
  </si>
  <si>
    <t>BINNA BANUA vs ASIOP MERAH - TYPL5 U-10</t>
  </si>
  <si>
    <t>https://www.vidio.com/live/19998?schedule_id=4743097</t>
  </si>
  <si>
    <t>Nonton streaming pertandingan seru BINNA BANUA vs ASIOP MERAH - TYPL5 U-10. Saksikan aksi-aksi terbaik dari tim yang bersaing ketat untuk meraih kemenangan. Dapatkan informasi lengkap mengenai jadwal pertandingan dan hasil pertandingan terbaru hanya di Vidio.</t>
  </si>
  <si>
    <t>0bec5d12</t>
  </si>
  <si>
    <t>MAVERICKS ACADEMY vs MAESA PARARAIDERS - TYPL5 U-9</t>
  </si>
  <si>
    <t>https://www.vidio.com/live/19998?schedule_id=4743098</t>
  </si>
  <si>
    <t>Nonton streaming pertandingan seru MAVERICKS ACADEMY vs MAESA PARARAIDERS - TYPL5 U-9. Saksikan aksi-aksi terbaik dari tim yang bersaing ketat untuk meraih kemenangan. Dapatkan informasi lengkap mengenai jadwal pertandingan dan hasil pertandingan terbaru hanya di Vidio.</t>
  </si>
  <si>
    <t>ee04676d</t>
  </si>
  <si>
    <t>GANADOR vs ASIOP BIRU - TYPL5 U-10</t>
  </si>
  <si>
    <t>https://www.vidio.com/live/19998?schedule_id=4743099</t>
  </si>
  <si>
    <t>Nonton streaming pertandingan seru GANADOR vs ASIOP BIRU - TYPL5 U-10. Saksikan aksi-aksi terbaik dari tim yang bersaing ketat untuk meraih kemenangan. Dapatkan informasi lengkap mengenai jadwal pertandingan dan hasil pertandingan terbaru hanya di Vidio.</t>
  </si>
  <si>
    <t>15a2ff58</t>
  </si>
  <si>
    <t>ABINAYA SS vs TAJIMALELA - TYPL5 U-11</t>
  </si>
  <si>
    <t>https://www.vidio.com/live/19998?schedule_id=4743100</t>
  </si>
  <si>
    <t>Nonton streaming pertandingan seru ABINAYA SS vs TAJIMALELA - TYPL5 U-11. Saksikan aksi-aksi terbaik dari tim yang bersaing ketat untuk meraih kemenangan. Dapatkan informasi lengkap mengenai jadwal pertandingan dan hasil pertandingan terbaru hanya di Vidio.</t>
  </si>
  <si>
    <t>e7182f73</t>
  </si>
  <si>
    <t>BINA TARUNA vs FU15FA - TYPL5 U-11</t>
  </si>
  <si>
    <t>https://www.vidio.com/live/19998?schedule_id=4743101</t>
  </si>
  <si>
    <t>Nonton streaming pertandingan seru BINA TARUNA vs FU15FA - TYPL5 U-11. Saksikan aksi-aksi terbaik dari tim yang bersaing ketat untuk meraih kemenangan. Dapatkan informasi lengkap mengenai jadwal pertandingan dan hasil pertandingan terbaru hanya di Vidio.</t>
  </si>
  <si>
    <t>a80b129d</t>
  </si>
  <si>
    <t>FFF WEST vs SSJ ARCAMANIK - TYPL5 U-11</t>
  </si>
  <si>
    <t>https://www.vidio.com/live/19998?schedule_id=4743102</t>
  </si>
  <si>
    <t>Nonton streaming pertandingan seru FFF WEST vs SSJ ARCAMANIK - TYPL5 U-11. Saksikan aksi-aksi terbaik dari tim yang bersaing ketat untuk meraih kemenangan. Dapatkan informasi lengkap mengenai jadwal pertandingan dan hasil pertandingan terbaru hanya di Vidio.</t>
  </si>
  <si>
    <t>adb2eaaa</t>
  </si>
  <si>
    <t>RDC PRATAMA vs YOUNG WARRIOR - TYPL5 U-12</t>
  </si>
  <si>
    <t>https://www.vidio.com/live/19998?schedule_id=4743103</t>
  </si>
  <si>
    <t>Nonton streaming pertandingan seru RDC PRATAMA vs YOUNG WARRIOR - TYPL5 U-12. Saksikan aksi-aksi terbaik dari tim yang bersaing ketat untuk meraih kemenangan. Dapatkan informasi lengkap mengenai jadwal pertandingan dan hasil pertandingan terbaru hanya di Vidio.</t>
  </si>
  <si>
    <t>b8ac531f</t>
  </si>
  <si>
    <t>ASIOP BIRU vs BINNA BANUA - TYPL5 U-12</t>
  </si>
  <si>
    <t>https://www.vidio.com/live/19998?schedule_id=4743104</t>
  </si>
  <si>
    <t>Nonton streaming pertandingan seru ASIOP BIRU vs BINNA BANUA - TYPL5 U-12. Saksikan aksi-aksi terbaik dari tim yang bersaing ketat untuk meraih kemenangan. Dapatkan informasi lengkap mengenai jadwal pertandingan dan hasil pertandingan terbaru hanya di Vidio.</t>
  </si>
  <si>
    <t>23e9e6ce</t>
  </si>
  <si>
    <t>JAS vs RAGA NEGERI - TYPL5 U-12</t>
  </si>
  <si>
    <t>https://www.vidio.com/live/19998?schedule_id=4743105</t>
  </si>
  <si>
    <t>Nonton streaming pertandingan seru JAS vs RAGA NEGERI - TYPL5 U-12. Saksikan aksi-aksi terbaik dari tim yang bersaing ketat untuk meraih kemenangan. Dapatkan informasi lengkap mengenai jadwal pertandingan dan hasil pertandingan terbaru hanya di Vidio.</t>
  </si>
  <si>
    <t>639b3258</t>
  </si>
  <si>
    <t>Ziraat Bankkart vs Galatasaray HDI Sigorta - Turkish Men's Volleyball League</t>
  </si>
  <si>
    <t>https://www.vidio.com/live/19738-turkish-volleyball-league?schedule_id=4758874</t>
  </si>
  <si>
    <t>https://drive.google.com/drive/folders/1w08T4FxWiZyiWW32WdKm_o8aIv88HSST?usp=sharing</t>
  </si>
  <si>
    <t>ziraat bankkart; Galatasaray HDI Sigorta; sports stream</t>
  </si>
  <si>
    <t>Nonton streaming pertandingan seru Ziraat Bankkart vs Galatasaray HDI Sigorta - Turkish Men's Volleyball League. Saksikan aksi-aksi terbaik dari tim yang bersaing ketat untuk meraih kemenangan. Dapatkan informasi lengkap mengenai jadwal pertandingan dan hasil pertandingan terbaru hanya di Vidio.</t>
  </si>
  <si>
    <t>https://drive.google.com/file/d/1TWqXmIhn34fr7s0Ev2RsjcLllfpLmJg2/view?usp=sharing</t>
  </si>
  <si>
    <t>https://drive.google.com/file/d/1OSZMWTyxiDm9iHsLbcrM71tP6aUMSbId/view?usp=sharing</t>
  </si>
  <si>
    <t>c3a1a02e</t>
  </si>
  <si>
    <t>Fenerbahce Medicana vs Halkbank - Turkish Men's Volleyball League</t>
  </si>
  <si>
    <t>https://www.vidio.com/live/19737-turkish-volleyball-league?schedule_id=4758877</t>
  </si>
  <si>
    <t>https://drive.google.com/drive/folders/1uCTSJILU8w23PNk_REb1SShGykfBut6P?usp=sharing</t>
  </si>
  <si>
    <t>Fenerbahce HDI Sigorta Volleyball; halkbank; sports stream</t>
  </si>
  <si>
    <t>Nonton streaming pertandingan seru Fenerbahce Medicana vs Halkbank - Turkish Men's Volleyball League. Saksikan aksi-aksi terbaik dari tim yang bersaing ketat untuk meraih kemenangan. Dapatkan informasi lengkap mengenai jadwal pertandingan dan hasil pertandingan terbaru hanya di Vidio.</t>
  </si>
  <si>
    <t>https://drive.google.com/file/d/1pfrjaf8a0plBqGj3zwyWCA9qxOeKxcI2/view?usp=sharing</t>
  </si>
  <si>
    <t>https://drive.google.com/file/d/1LRKGu0XjwKckRKLOpon47U2i-ojLzKfO/view?usp=sharing</t>
  </si>
  <si>
    <t>bc549e5b</t>
  </si>
  <si>
    <t>Vakifbank vs Bahcelievler Bld - Turkish Women's Volleyball League</t>
  </si>
  <si>
    <t>https://www.vidio.com/live/19737-turkish-volleyball-league?schedule_id=4758890</t>
  </si>
  <si>
    <t>https://drive.google.com/drive/folders/1rtlc88G2NXU_xNM4l398B8Z0L-1izyJJ?usp=sharing</t>
  </si>
  <si>
    <t>vakifbank volleyball; bahcelievler bld; sports stream</t>
  </si>
  <si>
    <t>Nonton streaming pertandingan seru Vakifbank vs Bahcelievler Bld - Turkish Women's Volleyball League. Saksikan aksi-aksi terbaik dari tim yang bersaing ketat untuk meraih kemenangan. Dapatkan informasi lengkap mengenai jadwal pertandingan dan hasil pertandingan terbaru hanya di Vidio.</t>
  </si>
  <si>
    <t>https://drive.google.com/file/d/12i2jTA0swlu4q3LgyYHAFD09eTmqdNfV/view?usp=sharing</t>
  </si>
  <si>
    <t>https://drive.google.com/file/d/1AYnuoXmEVGfDbzXCERpf8Y_9FIVuMzAE/view?usp=sharing</t>
  </si>
  <si>
    <t>de5b2422</t>
  </si>
  <si>
    <t>Halkbank vs Gebze Bld - Turkish Men's Volleyball League</t>
  </si>
  <si>
    <t>https://www.vidio.com/live/19738-turkish-volleyball-league?schedule_id=4766499</t>
  </si>
  <si>
    <t>https://drive.google.com/drive/folders/14cGyI7lhZLUhT5WNx_yg9SHxnGeK9YjT?usp=sharing</t>
  </si>
  <si>
    <t>halkbank; Gebze Bld; sports stream</t>
  </si>
  <si>
    <t>Nonton streaming pertandingan seru Halkbank vs Gebze Bld - Turkish Men's Volleyball League. Saksikan aksi-aksi terbaik dari tim yang bersaing ketat untuk meraih kemenangan. Dapatkan informasi lengkap mengenai jadwal pertandingan dan hasil pertandingan terbaru hanya di Vidio.</t>
  </si>
  <si>
    <t>https://drive.google.com/file/d/1qA5fRxlPsACTBMYrszxCaIeyTA3lRyp5/view?usp=sharing</t>
  </si>
  <si>
    <t>https://drive.google.com/file/d/1Y4_Ocqhf4YpUFJRvHIPygf-gQbSWry0u/view?usp=sharing</t>
  </si>
  <si>
    <t>5d05a902</t>
  </si>
  <si>
    <t>Gaziantep Genclik Spor vs Fenerbahce Medicana - Turkish Men's Volleyball League</t>
  </si>
  <si>
    <t>https://www.vidio.com/live/19738-turkish-volleyball-league?schedule_id=4766500</t>
  </si>
  <si>
    <t>https://drive.google.com/drive/folders/1AHRNRRH_gaAoHTcaniZdIb1mLX4tcGLB?usp=sharing</t>
  </si>
  <si>
    <t>Gaziantep Genclik Spor; Fenerbahce HDI Sigorta Volleyball; sports stream</t>
  </si>
  <si>
    <t>Nonton streaming pertandingan seru Gaziantep Genclik Spor vs Fenerbahce Medicana - Turkish Men's Volleyball League. Saksikan aksi-aksi terbaik dari tim yang bersaing ketat untuk meraih kemenangan. Dapatkan informasi lengkap mengenai jadwal pertandingan dan hasil pertandingan terbaru hanya di Vidio.</t>
  </si>
  <si>
    <t>https://drive.google.com/file/d/1bJor6tveJDFcRn6bfWn4QQkL2yKiDeum/view?usp=sharing</t>
  </si>
  <si>
    <t>eefe8229</t>
  </si>
  <si>
    <t>ILBank vs Fenerbahce Medicana - Turkish Women's Volleyball League</t>
  </si>
  <si>
    <t>https://www.vidio.com/live/19737-turkish-volleyball-league?schedule_id=4766502</t>
  </si>
  <si>
    <t>https://drive.google.com/drive/folders/1zlgIRbjr7PDOO3EIIimyp5shnNvPytS-?usp=sharing</t>
  </si>
  <si>
    <t>ILBank; fenerbahce medicana; sports stream</t>
  </si>
  <si>
    <t>Nonton streaming pertandingan seru ILBank vs Fenerbahce Medicana - Turkish Women's Volleyball League. Saksikan aksi-aksi terbaik dari tim yang bersaing ketat untuk meraih kemenangan. Dapatkan informasi lengkap mengenai jadwal pertandingan dan hasil pertandingan terbaru hanya di Vidio.</t>
  </si>
  <si>
    <t>https://drive.google.com/file/d/1JIpiLFvCeyxndc6ojl-Vve2VFackZVWh/view?usp=sharing</t>
  </si>
  <si>
    <t>https://drive.google.com/file/d/1lJ3hEKVkdjjed1nLNxMFw0eQUIbowrpL/view?usp=sharing</t>
  </si>
  <si>
    <t>e07a656c</t>
  </si>
  <si>
    <t>Eczacibasi Dynavit vs Zeren Spor - Turkish Women's Volleyball League</t>
  </si>
  <si>
    <t>https://www.vidio.com/live/19737-turkish-volleyball-league?schedule_id=4766503</t>
  </si>
  <si>
    <t>https://drive.google.com/drive/folders/1fFuOdv3gAKxHtoDwWJZ_FlZSV2WgqOZK?usp=sharing</t>
  </si>
  <si>
    <t>eczacibasi dynavit; zerenspor; sports stream</t>
  </si>
  <si>
    <t>Nonton streaming pertandingan seru Eczacibasi Dynavit vs Zeren Spor - Turkish Women's Volleyball League. Saksikan aksi-aksi terbaik dari tim yang bersaing ketat untuk meraih kemenangan. Dapatkan informasi lengkap mengenai jadwal pertandingan dan hasil pertandingan terbaru hanya di Vidio.</t>
  </si>
  <si>
    <t>https://drive.google.com/file/d/17IHIXCf6UtgB1tYcf0G1mh_7ilDWjVMj/view?usp=sharing</t>
  </si>
  <si>
    <t>https://drive.google.com/file/d/1MlR17_b-3vTa05HWjjN5I37bF5vcIRWW/view?usp=sharing</t>
  </si>
  <si>
    <t>94729680</t>
  </si>
  <si>
    <t>Jelang Kick Off - PERSIB vs Borneo FC Samarinda - BRI Super League</t>
  </si>
  <si>
    <t>https://www.vidio.com/live/19355-bri-super-league?schedule_id=4758887</t>
  </si>
  <si>
    <t>Nonton streaming pertandingan seru Jelang Kick Off - PERSIB vs Borneo FC Samarinda - BRI Super League. Saksikan aksi-aksi terbaik dari tim yang bersaing ketat untuk meraih kemenangan. Dapatkan informasi lengkap mengenai jadwal pertandingan dan hasil pertandingan terbaru hanya di Vidio.</t>
  </si>
  <si>
    <t>cb1b8ba7</t>
  </si>
  <si>
    <t>Jelang Kick Off - PSM Makassar vs PERSEBAYA Surabaya - BRI Super League</t>
  </si>
  <si>
    <t>https://www.vidio.com/live/19355-bri-super-league?schedule_id=4759275</t>
  </si>
  <si>
    <t>Nonton streaming pertandingan seru Jelang Kick Off - PSM Makassar vs PERSEBAYA Surabaya - BRI Super League. Saksikan aksi-aksi terbaik dari tim yang bersaing ketat untuk meraih kemenangan. Dapatkan informasi lengkap mengenai jadwal pertandingan dan hasil pertandingan terbaru hanya di Vidio.</t>
  </si>
  <si>
    <t>89358c90</t>
  </si>
  <si>
    <t>PSV vs Atletico Madrid - UEFA Youth League</t>
  </si>
  <si>
    <t>https://www.vidio.com/live/6299-bein-1?schedule_id=4769285</t>
  </si>
  <si>
    <t>https://drive.google.com/drive/folders/1U9iSpf-e1i8LDVKRoVXn-FQrB1fOs370?usp=drive_link</t>
  </si>
  <si>
    <t>https://drive.google.com/file/d/1coH-j5GheS0kogoNwnAX_XFH_hTas_K9/view?usp=drive_link</t>
  </si>
  <si>
    <t>Nonton streaming pertandingan seru PSV vs Atletico Madrid - UEFA Youth League. Saksikan aksi-aksi terbaik dari tim yang bersaing ketat untuk meraih kemenangan. Dapatkan informasi lengkap mengenai jadwal pertandingan dan hasil pertandingan terbaru hanya di Vidio.</t>
  </si>
  <si>
    <t>https://drive.google.com/file/d/1s-Pi3_-eTVgpwkp8eOnD0y4YgEfC7imJ/view?usp=sharing</t>
  </si>
  <si>
    <t>https://drive.google.com/file/d/1coH-j5GheS0kogoNwnAX_XFH_hTas_K9/view?usp=sharing</t>
  </si>
  <si>
    <t>d746ecab</t>
  </si>
  <si>
    <t>Inter vs Liverpool - UEFA Youth League</t>
  </si>
  <si>
    <t>https://www.vidio.com/live/6299-bein-1?schedule_id=4769286</t>
  </si>
  <si>
    <t>https://drive.google.com/drive/folders/1953rggGD-tr8P-Gg7S1BaLprZL0UDg5u?usp=drive_link</t>
  </si>
  <si>
    <t>https://drive.google.com/file/d/1wHl_K26WnvJqZL7QE53N2j13uUnfa2xt/view?usp=drive_link</t>
  </si>
  <si>
    <t>Nonton streaming pertandingan seru Inter vs Liverpool - UEFA Youth League. Saksikan aksi-aksi terbaik dari tim yang bersaing ketat untuk meraih kemenangan. Dapatkan informasi lengkap mengenai jadwal pertandingan dan hasil pertandingan terbaru hanya di Vidio.</t>
  </si>
  <si>
    <t>https://drive.google.com/file/d/1bPoLWoS6uU0lATF8od6_0n_B8j1QxW6k/view?usp=sharing</t>
  </si>
  <si>
    <t>https://drive.google.com/file/d/1wHl_K26WnvJqZL7QE53N2j13uUnfa2xt/view?usp=sharing</t>
  </si>
  <si>
    <t>b19edcfc</t>
  </si>
  <si>
    <t>Club Brugge vs Arsenal - UEFA Youth League</t>
  </si>
  <si>
    <t>https://www.vidio.com/live/6299-bein-1?schedule_id=4769287</t>
  </si>
  <si>
    <t>https://drive.google.com/drive/folders/1hkhCrQDtHKpOOiNScK7TTwh-xXGeGCb7?usp=drive_link</t>
  </si>
  <si>
    <t>https://drive.google.com/file/d/1BLbyT_jhf9rrtbYljN-yB2FL91RJXrlh/view?usp=drive_link</t>
  </si>
  <si>
    <t>Nonton streaming pertandingan seru Club Brugge vs Arsenal - UEFA Youth League. Saksikan aksi-aksi terbaik dari tim yang bersaing ketat untuk meraih kemenangan. Dapatkan informasi lengkap mengenai jadwal pertandingan dan hasil pertandingan terbaru hanya di Vidio.</t>
  </si>
  <si>
    <t>https://drive.google.com/file/d/1Xlek_-yBt3Xk1m3xUhtcOBeDZWaP2BHC/view?usp=sharing</t>
  </si>
  <si>
    <t>https://drive.google.com/file/d/1BLbyT_jhf9rrtbYljN-yB2FL91RJXrlh/view?usp=sharing</t>
  </si>
  <si>
    <t>3540f9cc</t>
  </si>
  <si>
    <t>Real Madrid vs Man City - UEFA Youth League</t>
  </si>
  <si>
    <t>https://www.vidio.com/live/6299-bein-1?schedule_id=4769288</t>
  </si>
  <si>
    <t>https://drive.google.com/drive/folders/13EQXLtOLNt7QqGleJJTJMd8soizZfS8a?usp=drive_link</t>
  </si>
  <si>
    <t>https://drive.google.com/file/d/13ytwZ7TDXiImBTqOfwnjdCjGhc9CRcoT/view?usp=drive_link</t>
  </si>
  <si>
    <t>Nonton streaming pertandingan seru Real Madrid vs Man City - UEFA Youth League. Saksikan aksi-aksi terbaik dari tim yang bersaing ketat untuk meraih kemenangan. Dapatkan informasi lengkap mengenai jadwal pertandingan dan hasil pertandingan terbaru hanya di Vidio.</t>
  </si>
  <si>
    <t>https://drive.google.com/file/d/1SMzi9gN3AcE8Z1CvXfV12bogk4ANvYJ5/view?usp=sharing</t>
  </si>
  <si>
    <t>https://drive.google.com/file/d/13ytwZ7TDXiImBTqOfwnjdCjGhc9CRcoT/view?usp=sharing</t>
  </si>
  <si>
    <t>a9806755</t>
  </si>
  <si>
    <t>Ivory Coast vs Mozambique - TotalEnergies Africa Cup of Nations</t>
  </si>
  <si>
    <t>https://www.vidio.com/live/6299-bein-1?schedule_id=4792949</t>
  </si>
  <si>
    <t>https://drive.google.com/drive/folders/1EXGNurDmaHCPfaR7acUZjEkje6du3GXt?usp=drive_link</t>
  </si>
  <si>
    <t>ivory coast; mozambique; sports stream</t>
  </si>
  <si>
    <t>Nonton streaming pertandingan seru Ivory Coast vs Mozambique - TotalEnergies Africa Cup of Nations. Saksikan aksi-aksi terbaik dari tim yang bersaing ketat untuk meraih kemenangan. Dapatkan informasi lengkap mengenai jadwal pertandingan dan hasil pertandingan terbaru hanya di Vidio.</t>
  </si>
  <si>
    <t>https://drive.google.com/file/d/1lTTzkBS1Ow5WfZCHbX6QuacBQblN6Ajz/view?usp=sharing</t>
  </si>
  <si>
    <t>https://drive.google.com/file/d/1HrmZZ_qeTfNeppwjS6jYvdBwQOGVyxM0/view?usp=sharing</t>
  </si>
  <si>
    <t>860203f5</t>
  </si>
  <si>
    <t>Cameroon vs Gabon - TotalEnergies Africa Cup of Nations</t>
  </si>
  <si>
    <t>https://www.vidio.com/live/6299-bein-1?schedule_id=4792950</t>
  </si>
  <si>
    <t>https://drive.google.com/drive/folders/1GQDDwJW94VteyZjZ4RwNZHzLUTPCBcBy?usp=drive_link</t>
  </si>
  <si>
    <t>cameroon; gabon; sports stream</t>
  </si>
  <si>
    <t>Nonton streaming pertandingan seru Cameroon vs Gabon - TotalEnergies Africa Cup of Nations. Saksikan aksi-aksi terbaik dari tim yang bersaing ketat untuk meraih kemenangan. Dapatkan informasi lengkap mengenai jadwal pertandingan dan hasil pertandingan terbaru hanya di Vidio.</t>
  </si>
  <si>
    <t>https://drive.google.com/file/d/15xgqWWdx3c9ncJv0R-N9Mx8fgnqDqMna/view?usp=sharing</t>
  </si>
  <si>
    <t>https://drive.google.com/file/d/1w0h1oRhqiFs7EXTpatHtSsP30Cw2XDEP/view?usp=sharing</t>
  </si>
  <si>
    <t>506aa68b</t>
  </si>
  <si>
    <t>Rajadamnern 2025 Minimumweight &amp; Interim Bantamweight</t>
  </si>
  <si>
    <t>https://www.vidio.com/live/19388-rws-muay-thai-2025?schedule_id=4773339</t>
  </si>
  <si>
    <t>https://drive.google.com/drive/folders/1R6hv7r4e6srRgT7ukv0GJlYaTAqcUtBo</t>
  </si>
  <si>
    <t>https://drive.google.com/drive/folders/1vjm49-dhvHgjmHiWmQ2CgscsgtQFMOBQ?usp=drive_link</t>
  </si>
  <si>
    <t>Nonton streaming pertandingan seru Rajadamnern 2025 Minimumweight &amp; Interim Bantamweight. Saksikan aksi-aksi terbaik dari tim yang bersaing ketat untuk meraih kemenangan. Dapatkan informasi lengkap mengenai jadwal pertandingan dan hasil pertandingan terbaru hanya di Vidio.</t>
  </si>
  <si>
    <t>https://drive.google.com/file/d/1uGM6BEX9JFhkMyp7I2fL4J3VE4WiWt62/view?usp=sharing</t>
  </si>
  <si>
    <t>https://drive.google.com/file/d/1xLV0-myUge5cn09B4dmiSH0SSalHNzNk/view?usp=sharing</t>
  </si>
  <si>
    <t>e6269608</t>
  </si>
  <si>
    <t>F1H20 Sprint Race: F1H2O 2025 - Grand Prix of Sharjah, UAE</t>
  </si>
  <si>
    <t>https://www.vidio.com/live/19431-uim-f1h2o-world-champion-2025?schedule_id=4783412</t>
  </si>
  <si>
    <t>https://drive.google.com/drive/folders/1TDRNlsERG9DZbJaCHWxsOWkeA-rE2gci?usp=sharing</t>
  </si>
  <si>
    <t>Nonton streaming pertandingan seru F1H20 Sprint Race: F1H2O 2025 - Grand Prix of Sharjah, UAE. Saksikan aksi-aksi terbaik dari tim yang bersaing ketat untuk meraih kemenangan. Dapatkan informasi lengkap mengenai jadwal pertandingan dan hasil pertandingan terbaru hanya di Vidio.</t>
  </si>
  <si>
    <t>https://drive.google.com/file/d/1oz7MnAP7zgAG2PUQuLIK87Em-5QMCLBX/view?usp=sharing</t>
  </si>
  <si>
    <t>https://drive.google.com/file/d/1mPxoRj2wuWBoGMYeRsgjDoZKtRbMXCHG/view?usp=sharing</t>
  </si>
  <si>
    <t>8e83287a</t>
  </si>
  <si>
    <t>F1H20 Race: F1H2O 2025 - Grand Prix of Sharjah, UAE</t>
  </si>
  <si>
    <t>https://www.vidio.com/live/19431-uim-f1h2o-world-champion-2025?schedule_id=4783413</t>
  </si>
  <si>
    <t>https://drive.google.com/drive/folders/1bjX8PxRLsU40q7C54I2-OAKHjAgd4rno?usp=sharing</t>
  </si>
  <si>
    <t>Nonton streaming pertandingan seru F1H20 Race: F1H2O 2025 - Grand Prix of Sharjah, UAE. Saksikan aksi-aksi terbaik dari tim yang bersaing ketat untuk meraih kemenangan. Dapatkan informasi lengkap mengenai jadwal pertandingan dan hasil pertandingan terbaru hanya di Vidio.</t>
  </si>
  <si>
    <t>https://drive.google.com/file/d/1K56IkVzAVuZta7riF22dfeOlJrhQkgT_/view?usp=sharing</t>
  </si>
  <si>
    <t>https://drive.google.com/file/d/15igju4MvUKuNGD3UY1doqoaW8nUF9ykD/view?usp=sharing</t>
  </si>
  <si>
    <t>e6185bab</t>
  </si>
  <si>
    <t>Barcelona Finals Premier Padel 2025 - Quarter Final (Day 1)</t>
  </si>
  <si>
    <t>Barcelona Finals Premier Padel 2025</t>
  </si>
  <si>
    <t>https://www.vidio.com/live/17875-bein-2?schedule_id=4769290</t>
  </si>
  <si>
    <t>https://drive.google.com/drive/folders/1Fl4ne6nFtf6K1qliwlQaVj2h2PY6e6Ih?usp=drive_link</t>
  </si>
  <si>
    <t>Sports &gt; Padel &gt; Premier Padel</t>
  </si>
  <si>
    <t>Padel</t>
  </si>
  <si>
    <t>Premier Padel Tour; Premier Padel Finals; Barcelona Finals Premier Padel 2025</t>
  </si>
  <si>
    <t>International Padel Federation</t>
  </si>
  <si>
    <t>Nonton streaming pertandingan seru Barcelona Finals Premier Padel 2025 - Quarter Final (Day 1). Saksikan aksi-aksi terbaik dari tim yang bersaing ketat untuk meraih kemenangan. Dapatkan informasi lengkap mengenai jadwal pertandingan dan hasil pertandingan terbaru hanya di Vidio.</t>
  </si>
  <si>
    <t>https://drive.google.com/file/d/1hZV5Io7FGQto_AlaFYgqQlsM_-2D22Bb/view?usp=sharing</t>
  </si>
  <si>
    <t>https://drive.google.com/file/d/1J60Unq0JnW0mo1jPSybyrJANOgE-EURs/view?usp=sharing</t>
  </si>
  <si>
    <t>ab9c25c0</t>
  </si>
  <si>
    <t>Barcelona Finals Premier Padel 2025 - Quarter Final (Day 2)</t>
  </si>
  <si>
    <t>https://www.vidio.com/live/17875-bein-2?schedule_id=4773315</t>
  </si>
  <si>
    <t>https://drive.google.com/drive/folders/1BHX-4i6OE5dCa0qCicaVdB1j04ZkE79D?usp=drive_link</t>
  </si>
  <si>
    <t>Nonton streaming pertandingan seru Barcelona Finals Premier Padel 2025 - Quarter Final (Day 2). Saksikan aksi-aksi terbaik dari tim yang bersaing ketat untuk meraih kemenangan. Dapatkan informasi lengkap mengenai jadwal pertandingan dan hasil pertandingan terbaru hanya di Vidio.</t>
  </si>
  <si>
    <t>https://drive.google.com/file/d/1EbNPpbMX-RJVE8th6s_ZRFqz2OV6xU3z/view?usp=sharing</t>
  </si>
  <si>
    <t>https://drive.google.com/file/d/1uza080OZep1zZVvGAFOHHfQgbK4pPXzp/view?usp=sharing</t>
  </si>
  <si>
    <t>764cf9aa</t>
  </si>
  <si>
    <t>Barcelona Finals Premier Padel 2025 - Semifinal</t>
  </si>
  <si>
    <t>https://www.vidio.com/live/17875-bein-2?schedule_id=4773328</t>
  </si>
  <si>
    <t>https://drive.google.com/drive/folders/10bHRcs2lqm1X8OPBkc4zGr8jGmKsrJr_?usp=drive_link</t>
  </si>
  <si>
    <t>Nonton streaming pertandingan seru Barcelona Finals Premier Padel 2025 - Semifinal. Saksikan aksi-aksi terbaik dari tim yang bersaing ketat untuk meraih kemenangan. Dapatkan informasi lengkap mengenai jadwal pertandingan dan hasil pertandingan terbaru hanya di Vidio.</t>
  </si>
  <si>
    <t>https://drive.google.com/file/d/14N17eITXdvKS8QzpA8l-mR_TkZ_vWKVN/view?usp=sharing</t>
  </si>
  <si>
    <t>https://drive.google.com/file/d/1WFOYy6yNTd6LC0JU46Gk9l8De48UQHFy/view?usp=sharing</t>
  </si>
  <si>
    <t>71ffb205</t>
  </si>
  <si>
    <t>https://www.vidio.com/live/17875-bein-2?schedule_id=4773330</t>
  </si>
  <si>
    <t>https://drive.google.com/drive/folders/1J4BvlvwJR0CvvXc7ScbmCSpoT0wyDUqt?usp=drive_link</t>
  </si>
  <si>
    <t>https://drive.google.com/file/d/1Z8hap6nuNAN6WTZALsIa2FYhLvVpKMc6/view?usp=sharing</t>
  </si>
  <si>
    <t>https://drive.google.com/file/d/1cJp71dMjf7b4WK9Uw63t9iOvxjHEp1y0/view?usp=sharing</t>
  </si>
  <si>
    <t>6c677736</t>
  </si>
  <si>
    <t>Barcelona Finals Premier Padel 2025 - 3rd Place</t>
  </si>
  <si>
    <t>https://www.vidio.com/live/17875-bein-2?schedule_id=4773349</t>
  </si>
  <si>
    <t>https://drive.google.com/drive/folders/1pVGaI02-07fSD9NluU-dNxj281Ce1QkO?usp=drive_link</t>
  </si>
  <si>
    <t>Nonton streaming pertandingan seru Barcelona Finals Premier Padel 2025 - 3rd Place. Saksikan aksi-aksi terbaik dari tim yang bersaing ketat untuk meraih kemenangan. Dapatkan informasi lengkap mengenai jadwal pertandingan dan hasil pertandingan terbaru hanya di Vidio.</t>
  </si>
  <si>
    <t>https://drive.google.com/file/d/1Clu61PWgDSSBtqg9ERQuJ8gkSv7-CFl1/view?usp=sharing</t>
  </si>
  <si>
    <t>https://drive.google.com/file/d/14q8W_GnQ1WY8T7PEkKqi7B5OQsptOEM4/view?usp=sharing</t>
  </si>
  <si>
    <t>313b92d8</t>
  </si>
  <si>
    <t>Barcelona Finals Premier Padel 2025 - Final</t>
  </si>
  <si>
    <t>https://www.vidio.com/live/17875-bein-2?schedule_id=4773351</t>
  </si>
  <si>
    <t>https://drive.google.com/drive/folders/1NkddsS_lLZLw1LCQHvjHxjvsilYFPA76?usp=drive_link</t>
  </si>
  <si>
    <t>Nonton streaming pertandingan seru Barcelona Finals Premier Padel 2025 - Final. Saksikan aksi-aksi terbaik dari tim yang bersaing ketat untuk meraih kemenangan. Dapatkan informasi lengkap mengenai jadwal pertandingan dan hasil pertandingan terbaru hanya di Vidio.</t>
  </si>
  <si>
    <t>https://drive.google.com/file/d/1vvBF3j33vIcv0xRgdd2C26cKGhWkoksV/view?usp=sharing</t>
  </si>
  <si>
    <t>https://drive.google.com/file/d/1XaV0tyhHXHjjMpchV6GOm72CYWbOzQ2v/view?usp=sharing</t>
  </si>
  <si>
    <t>34368ad4</t>
  </si>
  <si>
    <t>Kejurnas PBSI 2025 - Malang: Final</t>
  </si>
  <si>
    <t>https://www.vidio.com/live/18832-sirkuit-nasional-bulutangkis-2025?schedule_id=4783362</t>
  </si>
  <si>
    <t>https://drive.google.com/drive/folders/1nlPYVw0heqoyESOWDG-aVccLFGUs3Ddu</t>
  </si>
  <si>
    <t>Nonton streaming pertandingan seru Kejurnas PBSI 2025 - Malang: Final. Saksikan aksi-aksi terbaik dari tim yang bersaing ketat untuk meraih kemenangan. Dapatkan informasi lengkap mengenai jadwal pertandingan dan hasil pertandingan terbaru hanya di Vidio.</t>
  </si>
  <si>
    <t>https://drive.google.com/file/d/1dWlV0PCODQ2QIUwPogBP2HreBdWiY7BV/view?usp=sharing</t>
  </si>
  <si>
    <t>https://drive.google.com/file/d/1Dvmuhp4pSGOBsJzNh_NISK6YGc9kG2s6/view?usp=sharing</t>
  </si>
  <si>
    <t>73fc2bfb</t>
  </si>
  <si>
    <t>PEC Zwolle vs Fortuna Sittard - Eredivisie</t>
  </si>
  <si>
    <t>https://www.vidio.com/live/6686-champions-tv-2?schedule_id=4773370</t>
  </si>
  <si>
    <t>https://drive.google.com/drive/folders/1-WgywefTTZdwX944xy251uCxCLmJJMKA</t>
  </si>
  <si>
    <t>pec zwolle; fortuna sittard; sports stream</t>
  </si>
  <si>
    <t>Nonton streaming pertandingan seru PEC Zwolle vs Fortuna Sittard - Eredivisie. Saksikan aksi-aksi terbaik dari tim yang bersaing ketat untuk meraih kemenangan. Dapatkan informasi lengkap mengenai jadwal pertandingan dan hasil pertandingan terbaru hanya di Vidio.</t>
  </si>
  <si>
    <t>https://thumbor.prod.vidiocdn.com/QV8Df8l23kWtfOF2I40jOYm0CSA=/filters:quality(70)/vidio-media-production/uploads/image/source/52055/d43ae7.png</t>
  </si>
  <si>
    <t>https://thumbor.prod.vidiocdn.com/okDlBS7GIEQAS_n-uNkhu4W1WZU=/filters:quality(70)/vidio-media-production/uploads/image/source/52054/3cd9dd.png</t>
  </si>
  <si>
    <t>https://drive.google.com/file/d/1wTKQDnNlJvAH6jeZCDFPjxCNYY5J8BLL/view?usp=sharing</t>
  </si>
  <si>
    <t>e6f03696</t>
  </si>
  <si>
    <t>Falkirk vs Hearts - Scottish Premiership</t>
  </si>
  <si>
    <t>https://www.vidio.com/live/17139-spotv?schedule_id=4773354</t>
  </si>
  <si>
    <t>https://drive.google.com/drive/folders/1rP_xQpFV33SNQUCuvRkFHzZmOUemtyX6</t>
  </si>
  <si>
    <t>Falkirk</t>
  </si>
  <si>
    <t>Falkirk; heart of midlothian fc; sports stream</t>
  </si>
  <si>
    <t>Nonton streaming pertandingan seru Falkirk vs Hearts - Scottish Premiership. Saksikan aksi-aksi terbaik dari tim yang bersaing ketat untuk meraih kemenangan. Dapatkan informasi lengkap mengenai jadwal pertandingan dan hasil pertandingan terbaru hanya di Vidio.</t>
  </si>
  <si>
    <t>https://drive.google.com/file/d/1pebBNXBvHIOO1vDQCU40xg4hFEDnC9gx/view?usp=sharing</t>
  </si>
  <si>
    <t>01634a04</t>
  </si>
  <si>
    <t>Trabzonspor vs Besiktas - Trendyol Super Lig</t>
  </si>
  <si>
    <t>Trendyol Super Lig 2025/26</t>
  </si>
  <si>
    <t>https://www.vidio.com/live/6317-bein-3?schedule_id=4779477</t>
  </si>
  <si>
    <t>https://drive.google.com/drive/folders/1QEjmJHQxNvEhIr--OePbZSXGeEENXPmE?usp=drive_link</t>
  </si>
  <si>
    <t>Trabzonspor Kulübü</t>
  </si>
  <si>
    <t>Beşiktaş J.K.</t>
  </si>
  <si>
    <t>Sports &gt; Football &gt; Super Lig</t>
  </si>
  <si>
    <t>Trendyol Super Lig; Trendyol Super Lig 2025/26</t>
  </si>
  <si>
    <t>FIFA; UEFA; European Leagues; Turkish Football Federation</t>
  </si>
  <si>
    <t>Trabzonspor Kulübü; besiktas; sports stream</t>
  </si>
  <si>
    <t>Nonton streaming pertandingan seru Trabzonspor vs Besiktas - Trendyol Super Lig. Saksikan aksi-aksi terbaik dari tim yang bersaing ketat untuk meraih kemenangan. Dapatkan informasi lengkap mengenai jadwal pertandingan dan hasil pertandingan terbaru hanya di Vidio.</t>
  </si>
  <si>
    <t>https://drive.google.com/file/d/1mlZXQC_8U91_FWQKvNN1uKuQ_a7Sa8-n/view?usp=sharing</t>
  </si>
  <si>
    <t>https://drive.google.com/file/d/1kCyeMQpwsUswwfby6iQt_VINJF6wgZXd/view?usp=sharing</t>
  </si>
  <si>
    <t>ea1b2a81</t>
  </si>
  <si>
    <t>Fenerbahce vs Konyaspor - Trendyol Super Lig</t>
  </si>
  <si>
    <t>https://www.vidio.com/live/6299-bein-1?schedule_id=4779484</t>
  </si>
  <si>
    <t>https://drive.google.com/drive/folders/12-O60hB05hsRQh3dB11B6FlC7aQS-OnK?usp=drive_link</t>
  </si>
  <si>
    <t>Konyaspor</t>
  </si>
  <si>
    <t>fenerbahce; Konyaspor; sports stream</t>
  </si>
  <si>
    <t>Nonton streaming pertandingan seru Fenerbahce vs Konyaspor - Trendyol Super Lig. Saksikan aksi-aksi terbaik dari tim yang bersaing ketat untuk meraih kemenangan. Dapatkan informasi lengkap mengenai jadwal pertandingan dan hasil pertandingan terbaru hanya di Vidio.</t>
  </si>
  <si>
    <t>https://drive.google.com/file/d/1oHaheBq4wrYXw7-V-SWGn0l6TBWAbBzX/view?usp=sharing</t>
  </si>
  <si>
    <t>5c542f0d</t>
  </si>
  <si>
    <t>Lapangan Kehakiman Gunung Sindur: Babak Play Off 3 - Top Soccer Championship U-13</t>
  </si>
  <si>
    <t>https://www.vidio.com/live/20024-top-soccer-championship-u-13-play-off-3</t>
  </si>
  <si>
    <t>https://drive.google.com/file/d/1bGAtWdCSL-v2iZg1GvRoYwXZwXVqVH3x/view?usp=drivesdk</t>
  </si>
  <si>
    <t>Nonton streaming pertandingan seru Lapangan Kehakiman Gunung Sindur: Babak Play Off 3 - Top Soccer Championship U-13. Saksikan aksi-aksi terbaik dari tim yang bersaing ketat untuk meraih kemenangan. Dapatkan informasi lengkap mengenai jadwal pertandingan dan hasil pertandingan terbaru hanya di Vidio.</t>
  </si>
  <si>
    <t>8b7e8163</t>
  </si>
  <si>
    <t>RMD vs Diklat ISA - TSC U-13 (Play Off 3)</t>
  </si>
  <si>
    <t>https://www.vidio.com/live/20024-top-soccer-championship-u-13-play-off-3?schedule_id=4761981</t>
  </si>
  <si>
    <t>Nonton streaming pertandingan seru RMD vs Diklat ISA - TSC U-13 (Play Off 3). Saksikan aksi-aksi terbaik dari tim yang bersaing ketat untuk meraih kemenangan. Dapatkan informasi lengkap mengenai jadwal pertandingan dan hasil pertandingan terbaru hanya di Vidio.</t>
  </si>
  <si>
    <t>b722b7ec</t>
  </si>
  <si>
    <t>NAC Fenix vs Padurenan - TSC U-13 (Play Off 3)</t>
  </si>
  <si>
    <t>https://www.vidio.com/live/20024-top-soccer-championship-u-13-play-off-3?schedule_id=4761982</t>
  </si>
  <si>
    <t>Nonton streaming pertandingan seru NAC Fenix vs Padurenan - TSC U-13 (Play Off 3). Saksikan aksi-aksi terbaik dari tim yang bersaing ketat untuk meraih kemenangan. Dapatkan informasi lengkap mengenai jadwal pertandingan dan hasil pertandingan terbaru hanya di Vidio.</t>
  </si>
  <si>
    <t>965e1bc5</t>
  </si>
  <si>
    <t>Bimba Aiueo vs Bogor City - TSC U-13 (Play Off 3)</t>
  </si>
  <si>
    <t>https://www.vidio.com/live/20024-top-soccer-championship-u-13-play-off-3?schedule_id=4761983</t>
  </si>
  <si>
    <t>Nonton streaming pertandingan seru Bimba Aiueo vs Bogor City - TSC U-13 (Play Off 3). Saksikan aksi-aksi terbaik dari tim yang bersaing ketat untuk meraih kemenangan. Dapatkan informasi lengkap mengenai jadwal pertandingan dan hasil pertandingan terbaru hanya di Vidio.</t>
  </si>
  <si>
    <t>799c539f</t>
  </si>
  <si>
    <t>Tajimalela vs Mastabe - TSC U-13 (Play Off 3)</t>
  </si>
  <si>
    <t>https://www.vidio.com/live/20024-top-soccer-championship-u-13-play-off-3?schedule_id=4761984</t>
  </si>
  <si>
    <t>Nonton streaming pertandingan seru Tajimalela vs Mastabe - TSC U-13 (Play Off 3). Saksikan aksi-aksi terbaik dari tim yang bersaing ketat untuk meraih kemenangan. Dapatkan informasi lengkap mengenai jadwal pertandingan dan hasil pertandingan terbaru hanya di Vidio.</t>
  </si>
  <si>
    <t>2e33c967</t>
  </si>
  <si>
    <t>Lapangan Kehakiman Gunung Sindur: Babak 8 Besar - Top Soccer Championship U-13</t>
  </si>
  <si>
    <t>https://www.vidio.com/live/20026</t>
  </si>
  <si>
    <t>Nonton streaming pertandingan seru Lapangan Kehakiman Gunung Sindur: Babak 8 Besar - Top Soccer Championship U-13. Saksikan aksi-aksi terbaik dari tim yang bersaing ketat untuk meraih kemenangan. Dapatkan informasi lengkap mengenai jadwal pertandingan dan hasil pertandingan terbaru hanya di Vidio.</t>
  </si>
  <si>
    <t>b1586acd</t>
  </si>
  <si>
    <t>Lapangan ATG, Sentul: Babak Semifinal Cup - Top Soccer Championship U-13</t>
  </si>
  <si>
    <t>https://www.vidio.com/live/20026-top-soccer-championship-2025-u-13-semifinal-cup</t>
  </si>
  <si>
    <t>Nonton streaming pertandingan seru Lapangan ATG, Sentul: Babak Semifinal Cup - Top Soccer Championship U-13. Saksikan aksi-aksi terbaik dari tim yang bersaing ketat untuk meraih kemenangan. Dapatkan informasi lengkap mengenai jadwal pertandingan dan hasil pertandingan terbaru hanya di Vidio.</t>
  </si>
  <si>
    <t>cbd14714</t>
  </si>
  <si>
    <t>Jakarta Academy Soccer vs Binna Banua - TSC U-13 (Semifinal Cup)</t>
  </si>
  <si>
    <t>https://www.vidio.com/live/20026-top-soccer-championship-2025-u-13-semifinal-cup?schedule_id=4765281</t>
  </si>
  <si>
    <t>Nonton streaming pertandingan seru Jakarta Academy Soccer vs Binna Banua - TSC U-13 (Semifinal Cup). Saksikan aksi-aksi terbaik dari tim yang bersaing ketat untuk meraih kemenangan. Dapatkan informasi lengkap mengenai jadwal pertandingan dan hasil pertandingan terbaru hanya di Vidio.</t>
  </si>
  <si>
    <t>cc56321c</t>
  </si>
  <si>
    <t>Abinaya vs ASIOP Merah - TSC U-13 (Semifinal Cup)</t>
  </si>
  <si>
    <t>https://www.vidio.com/live/20026-top-soccer-championship-2025-u-13-semifinal-cup?schedule_id=4765282</t>
  </si>
  <si>
    <t>Nonton streaming pertandingan seru Abinaya vs ASIOP Merah - TSC U-13 (Semifinal Cup). Saksikan aksi-aksi terbaik dari tim yang bersaing ketat untuk meraih kemenangan. Dapatkan informasi lengkap mengenai jadwal pertandingan dan hasil pertandingan terbaru hanya di Vidio.</t>
  </si>
  <si>
    <t>7a3e9aa1</t>
  </si>
  <si>
    <t>Lapangan BIG, Depok: Babak Semifinal - Top Soccer Championship U-15</t>
  </si>
  <si>
    <t>https://www.vidio.com/live/20027</t>
  </si>
  <si>
    <t>Nonton streaming pertandingan seru Lapangan BIG, Depok: Babak Semifinal - Top Soccer Championship U-15. Saksikan aksi-aksi terbaik dari tim yang bersaing ketat untuk meraih kemenangan. Dapatkan informasi lengkap mengenai jadwal pertandingan dan hasil pertandingan terbaru hanya di Vidio.</t>
  </si>
  <si>
    <t>c8b26bc6</t>
  </si>
  <si>
    <t>Binna Banua vs Serang City - TSC U-15 (Semifinal Cup)</t>
  </si>
  <si>
    <t>https://www.vidio.com/live/20027?schedule_id=4765277</t>
  </si>
  <si>
    <t>Nonton streaming pertandingan seru Binna Banua vs Serang City - TSC U-15 (Semifinal Cup). Saksikan aksi-aksi terbaik dari tim yang bersaing ketat untuk meraih kemenangan. Dapatkan informasi lengkap mengenai jadwal pertandingan dan hasil pertandingan terbaru hanya di Vidio.</t>
  </si>
  <si>
    <t>f5546962</t>
  </si>
  <si>
    <t>Asiop Merah vs Bimba AIUEO- TSC U-15 (Semifinal Cup)</t>
  </si>
  <si>
    <t>https://www.vidio.com/live/20027?schedule_id=4765278</t>
  </si>
  <si>
    <t>Nonton streaming pertandingan seru Asiop Merah vs Bimba AIUEO- TSC U-15 (Semifinal Cup). Saksikan aksi-aksi terbaik dari tim yang bersaing ketat untuk meraih kemenangan. Dapatkan informasi lengkap mengenai jadwal pertandingan dan hasil pertandingan terbaru hanya di Vidio.</t>
  </si>
  <si>
    <t>e499e254</t>
  </si>
  <si>
    <t>Bogor City vs Assa Pro - TSC U-15 (Semifinal Plate)</t>
  </si>
  <si>
    <t>https://www.vidio.com/live/20027?schedule_id=4765279</t>
  </si>
  <si>
    <t>Nonton streaming pertandingan seru Bogor City vs Assa Pro - TSC U-15 (Semifinal Plate). Saksikan aksi-aksi terbaik dari tim yang bersaing ketat untuk meraih kemenangan. Dapatkan informasi lengkap mengenai jadwal pertandingan dan hasil pertandingan terbaru hanya di Vidio.</t>
  </si>
  <si>
    <t>43eaead1</t>
  </si>
  <si>
    <t>TMP vs Diklat Isa - TSC U-15 (Semifinal Plate)</t>
  </si>
  <si>
    <t>https://www.vidio.com/live/20027?schedule_id=4765280</t>
  </si>
  <si>
    <t>Nonton streaming pertandingan seru TMP vs Diklat Isa - TSC U-15 (Semifinal Plate). Saksikan aksi-aksi terbaik dari tim yang bersaing ketat untuk meraih kemenangan. Dapatkan informasi lengkap mengenai jadwal pertandingan dan hasil pertandingan terbaru hanya di Vidio.</t>
  </si>
  <si>
    <t>f44a4f57</t>
  </si>
  <si>
    <t>Atlanta Falcons vs Tampa Bay Buccaneers - NFL</t>
  </si>
  <si>
    <t>https://www.vidio.com/live/19623-national-football-league-2025-26?schedule_id=4773713</t>
  </si>
  <si>
    <t>https://drive.google.com/drive/folders/1XAnYy3r1dFmRhKyMHLLa_PpE-eovia_V</t>
  </si>
  <si>
    <t>https://drive.google.com/file/d/10ntiR3itPNlC3Ey4hBsbxms1fV99JqMc/view?usp=sharing</t>
  </si>
  <si>
    <t>Nonton streaming pertandingan seru Atlanta Falcons vs Tampa Bay Buccaneers - NFL. Saksikan aksi-aksi terbaik dari tim yang bersaing ketat untuk meraih kemenangan. Dapatkan informasi lengkap mengenai jadwal pertandingan dan hasil pertandingan terbaru hanya di Vidio.</t>
  </si>
  <si>
    <t>https://thumbor.prod.vidiocdn.com/nP6h8hjKyoImSCD5Dr6ErztksE4=/filters:quality(70)/vidio-media-production/uploads/image/source/51870/2e86f0.png</t>
  </si>
  <si>
    <t>2a289090</t>
  </si>
  <si>
    <t>Baltimore Ravens vs Cincinnati Bengals - NFL</t>
  </si>
  <si>
    <t>https://www.vidio.com/live/19548-national-football-league-2025-26?schedule_id=4779480</t>
  </si>
  <si>
    <t>https://drive.google.com/drive/folders/14u1V-gXifzKtLiCh2UWPu_ZnoS0cRwYf?usp=drive_link</t>
  </si>
  <si>
    <t>https://drive.google.com/file/d/181R_IS50Uznq_t9MFidqWPetkgkN3xsr/view?usp=drive_link</t>
  </si>
  <si>
    <t>Nonton streaming pertandingan seru Baltimore Ravens vs Cincinnati Bengals - NFL. Saksikan aksi-aksi terbaik dari tim yang bersaing ketat untuk meraih kemenangan. Dapatkan informasi lengkap mengenai jadwal pertandingan dan hasil pertandingan terbaru hanya di Vidio.</t>
  </si>
  <si>
    <t>https://thumbor.prod.vidiocdn.com/ccmRHI87jOKKyIfJhRTehLCdI5c=/filters:quality(70)/vidio-media-production/uploads/image/source/51871/756765.png</t>
  </si>
  <si>
    <t>https://drive.google.com/file/d/181R_IS50Uznq_t9MFidqWPetkgkN3xsr/view?usp=sharing</t>
  </si>
  <si>
    <t>https://drive.google.com/file/d/1YPGUNWtAG13WQ0cLi4Sv9-v6frxO3Z3n/view?usp=sharing</t>
  </si>
  <si>
    <t>39b935ba</t>
  </si>
  <si>
    <t>Los Angeles Chargers vs Kansas City Chiefs - NFL</t>
  </si>
  <si>
    <t>https://drive.google.com/drive/folders/18Oha2p7Lqjd8nCR4nu28x1PUbjPt82jg</t>
  </si>
  <si>
    <t>https://drive.google.com/file/d/1qweE2XOQsYsADWkPQ5GFCgtweiE2nZB2/view?usp=drive_link</t>
  </si>
  <si>
    <t>Nonton streaming pertandingan seru Los Angeles Chargers vs Kansas City Chiefs - NFL. Saksikan aksi-aksi terbaik dari tim yang bersaing ketat untuk meraih kemenangan. Dapatkan informasi lengkap mengenai jadwal pertandingan dan hasil pertandingan terbaru hanya di Vidio.</t>
  </si>
  <si>
    <t>https://thumbor.prod.vidiocdn.com/yLo7HLtr_66RDIrsn2XI6PuKdUk=/filters:quality(70)/vidio-media-production/uploads/image/source/51874/b1e66f.png</t>
  </si>
  <si>
    <t>https://drive.google.com/file/d/1qweE2XOQsYsADWkPQ5GFCgtweiE2nZB2/view?usp=sharing</t>
  </si>
  <si>
    <t>https://drive.google.com/file/d/1g_ha1iehGW4-h1pe91pXy535SpvZhP8w/view?usp=sharing</t>
  </si>
  <si>
    <t>f6259c30</t>
  </si>
  <si>
    <t>Detroit Lions vs Los Angeles Rams - NFL</t>
  </si>
  <si>
    <t>https://www.vidio.com/live/19548-national-football-league-2025-26?schedule_id=4779481</t>
  </si>
  <si>
    <t>https://drive.google.com/drive/folders/1Qc_9wncbpynHrDbidU_t1rEjs0l54W7R</t>
  </si>
  <si>
    <t>https://drive.google.com/file/d/1FhjUREu6wcYSIJkJR50NB3FFjXqZgTsS/view?usp=drive_link</t>
  </si>
  <si>
    <t>Nonton streaming pertandingan seru Detroit Lions vs Los Angeles Rams - NFL. Saksikan aksi-aksi terbaik dari tim yang bersaing ketat untuk meraih kemenangan. Dapatkan informasi lengkap mengenai jadwal pertandingan dan hasil pertandingan terbaru hanya di Vidio.</t>
  </si>
  <si>
    <t>https://thumbor.prod.vidiocdn.com/D1VYSahnialBW5yWiX-tgDWDS_k=/filters:quality(70)/vidio-media-production/uploads/image/source/51873/159e18.png</t>
  </si>
  <si>
    <t>https://drive.google.com/file/d/1FhjUREu6wcYSIJkJR50NB3FFjXqZgTsS/view?usp=sharing</t>
  </si>
  <si>
    <t>https://drive.google.com/file/d/1MOAzFEiU8hziSQ4jjg3DLZTJZ7kvNXOH/view?usp=sharing</t>
  </si>
  <si>
    <t>2fab81ef</t>
  </si>
  <si>
    <t>Minnesota Vikings vs Dallas Cowboys - NFL</t>
  </si>
  <si>
    <t>https://www.vidio.com/live/19623-national-football-league-2025-26?schedule_id=4779483</t>
  </si>
  <si>
    <t>https://drive.google.com/drive/folders/1Am5z-zeGR2ldb1SWEbjBhOMlH93cHhJs</t>
  </si>
  <si>
    <t>https://drive.google.com/file/d/1i-TWOeqfFLUcyOFRgrwcnkOyS_hns1vV/view?usp=drive_link</t>
  </si>
  <si>
    <t>Nonton streaming pertandingan seru Minnesota Vikings vs Dallas Cowboys - NFL. Saksikan aksi-aksi terbaik dari tim yang bersaing ketat untuk meraih kemenangan. Dapatkan informasi lengkap mengenai jadwal pertandingan dan hasil pertandingan terbaru hanya di Vidio.</t>
  </si>
  <si>
    <t>https://thumbor.prod.vidiocdn.com/aBwxXL-OtyV2UOkVYYijDkpWQeo=/filters:quality(70)/vidio-media-production/uploads/image/source/51876/b101d1.png</t>
  </si>
  <si>
    <t>https://drive.google.com/file/d/1i-TWOeqfFLUcyOFRgrwcnkOyS_hns1vV/view?usp=sharing</t>
  </si>
  <si>
    <t>https://drive.google.com/file/d/1BJOz60VK36rKR3B-8BEyTjKvs5X4wyO3/view?usp=sharing</t>
  </si>
  <si>
    <t>66ce6c93</t>
  </si>
  <si>
    <t>Miami Dolphins vs Pittsburgh Steelers - NFL</t>
  </si>
  <si>
    <t>https://www.vidio.com/live/19623-national-football-league-2025-26?schedule_id=4779486</t>
  </si>
  <si>
    <t>https://drive.google.com/drive/folders/1z51LNxeP_wvZ8YdEOS-agYhrHrGB1MFT</t>
  </si>
  <si>
    <t>https://drive.google.com/file/d/1DiAQdLznuv7qQgrXP5qJGgotu01mmGeI/view?usp=drive_link</t>
  </si>
  <si>
    <t>Nonton streaming pertandingan seru Miami Dolphins vs Pittsburgh Steelers - NFL. Saksikan aksi-aksi terbaik dari tim yang bersaing ketat untuk meraih kemenangan. Dapatkan informasi lengkap mengenai jadwal pertandingan dan hasil pertandingan terbaru hanya di Vidio.</t>
  </si>
  <si>
    <t>https://thumbor.prod.vidiocdn.com/ZyDfMjg7neRv7iHa-SpZDr5tGB8=/filters:quality(70)/vidio-media-production/uploads/image/source/51875/16bc90.png</t>
  </si>
  <si>
    <t>https://drive.google.com/file/d/1DiAQdLznuv7qQgrXP5qJGgotu01mmGeI/view?usp=sharing</t>
  </si>
  <si>
    <t>https://drive.google.com/file/d/1hUnC5tVPdRHkP8uEhHLk9YEhn92aN4Qu/view?usp=sharing</t>
  </si>
  <si>
    <t>f85c5ff2</t>
  </si>
  <si>
    <t>HSBC BWF World Tour Finals 2025 - Group Stage (Court 1)</t>
  </si>
  <si>
    <t>HSBC BWF World Tour Finals 2025</t>
  </si>
  <si>
    <t>VIDIO - @bwf</t>
  </si>
  <si>
    <t>https://www.vidio.com/live/18249-hsbc-bwf-world-tour-finals-2025-group-stage-court-1</t>
  </si>
  <si>
    <t>https://drive.google.com/drive/folders/1k4rJrnBm1_a30mDdHHdCFokcDawyZlbu?usp=drive_link</t>
  </si>
  <si>
    <t>Sports &gt; Badminton &gt; BWF World Tour Finals</t>
  </si>
  <si>
    <t>BWF World Tour; BWF World Tour Finals; HSBC BWF World Tour Finals 2025</t>
  </si>
  <si>
    <t>BWF</t>
  </si>
  <si>
    <t>Nonton streaming pertandingan seru HSBC BWF World Tour Finals 2025 - Group Stage (Court 1). Saksikan aksi-aksi terbaik dari tim yang bersaing ketat untuk meraih kemenangan. Dapatkan informasi lengkap mengenai jadwal pertandingan dan hasil pertandingan terbaru hanya di Vidio.</t>
  </si>
  <si>
    <t>https://drive.google.com/file/d/1kWmbGVZDCuWO2mvA_fIN9yzCsbKOGbD1/view?usp=sharing</t>
  </si>
  <si>
    <t>https://drive.google.com/file/d/1ehPHlNfv24yKS4qwWvbp5EP5ggNmJREB/view?usp=sharing</t>
  </si>
  <si>
    <t>333b5c04</t>
  </si>
  <si>
    <t>HSBC BWF World Tour Finals 2025 - Group Stage (Court 2)</t>
  </si>
  <si>
    <t>https://www.vidio.com/live/18250-hsbc-bwf-world-tour-finals-2025-group-stage-court-2</t>
  </si>
  <si>
    <t>https://drive.google.com/drive/folders/1Ds-OhdHpsEyMbqMRA2jVZKCBk2hWPw0E?usp=drive_link</t>
  </si>
  <si>
    <t>Nonton streaming pertandingan seru HSBC BWF World Tour Finals 2025 - Group Stage (Court 2). Saksikan aksi-aksi terbaik dari tim yang bersaing ketat untuk meraih kemenangan. Dapatkan informasi lengkap mengenai jadwal pertandingan dan hasil pertandingan terbaru hanya di Vidio.</t>
  </si>
  <si>
    <t>https://drive.google.com/file/d/1lYrPS0Af4cgaNYxePJqaljCHwGOjPxyo/view?usp=sharing</t>
  </si>
  <si>
    <t>https://drive.google.com/file/d/1msluPEcX1IlImG9XyZKpU3Kg0JQSHXjz/view?usp=sharing</t>
  </si>
  <si>
    <t>3cfaf89f</t>
  </si>
  <si>
    <t>https://drive.google.com/drive/folders/1ZUR8E65KIw3NfssQ94eV8zxCCv5yvvYH?usp=drive_link</t>
  </si>
  <si>
    <t>https://drive.google.com/file/d/1jlez4JR07DSs3kvGWp_GphpWOxira2l8/view?usp=sharing</t>
  </si>
  <si>
    <t>https://drive.google.com/file/d/1pAgKr6kaIzEUwE0dwkzPh-b2u_H2ZUA9/view?usp=sharing</t>
  </si>
  <si>
    <t>86d2df05</t>
  </si>
  <si>
    <t>https://drive.google.com/drive/folders/1X_K1rfboRBqY0tWu7vscI7hGXzSb1Rta?usp=drive_link</t>
  </si>
  <si>
    <t>https://drive.google.com/file/d/1C4QqwsJKdpmgIskKFncjf1NyRNycjsQ-/view?usp=sharing</t>
  </si>
  <si>
    <t>https://drive.google.com/file/d/1pAo0QhcvNgMx24DDFRlD4hLKz5KAp759/view?usp=sharing</t>
  </si>
  <si>
    <t>767a7bc4</t>
  </si>
  <si>
    <t>https://drive.google.com/drive/folders/1tvjxvo3Z9U40bjdWOnfXzxHMgTUsDECs</t>
  </si>
  <si>
    <t>https://drive.google.com/file/d/18tEbasgwq_MXgr1JckS27JEejHZzKQjh/view?usp=sharing</t>
  </si>
  <si>
    <t>https://drive.google.com/file/d/1vSujjxl1DqBd-hytOhw51ET3ODXfYICA/view?usp=sharing</t>
  </si>
  <si>
    <t>adb6106d</t>
  </si>
  <si>
    <t>https://drive.google.com/drive/folders/1B_CpyZmnmZlHkjOa4CyokY-4DC1T2lX4</t>
  </si>
  <si>
    <t>https://drive.google.com/file/d/1-R1GXwqAiJezdAi5KNKX4MkT2UUxUbzn/view?usp=sharing</t>
  </si>
  <si>
    <t>https://drive.google.com/file/d/18BM1JvTZRD1UTIKaCt-jBUE-qYani_i8/view?usp=sharing</t>
  </si>
  <si>
    <t>fe7f064e</t>
  </si>
  <si>
    <t>https://drive.google.com/drive/folders/1ehBQImq5LJsocKNU7tGOwLzoxZOyVGKs</t>
  </si>
  <si>
    <t>F1 , F2</t>
  </si>
  <si>
    <t>https://drive.google.com/file/d/1yff9OvDcVdP9hqaNzTWmkcckxp4OqCvY/view?usp=sharing</t>
  </si>
  <si>
    <t>https://drive.google.com/file/d/1OiW_D2onhReVXEfYvy1INOQR1cRNo9oQ/view?usp=sharing</t>
  </si>
  <si>
    <t>5683b038</t>
  </si>
  <si>
    <t>https://drive.google.com/drive/folders/1wItNzZgKeZUL9zGbCQABqXKfKivIb5dZ</t>
  </si>
  <si>
    <t>https://drive.google.com/file/d/1BmpAp2opVxTF5W-CEHccONTu9dr6eT8v/view?usp=sharing</t>
  </si>
  <si>
    <t>https://drive.google.com/file/d/1MEaivbSHhdliXXeCqQ4lf3Y_pO3WJjI-/view?usp=sharing</t>
  </si>
  <si>
    <t>1caf219b</t>
  </si>
  <si>
    <t>https://drive.google.com/drive/folders/1pBL2Vu4TmsR7wzf0j8psh2JTh2hTX8Od</t>
  </si>
  <si>
    <t>https://drive.google.com/file/d/1lqvMQo-vu4LWbYx8EshSi5GatZX_ONR4/view?usp=sharing</t>
  </si>
  <si>
    <t>https://drive.google.com/file/d/1XqMCxzjpg0OUZ3ei5z0JVktGgOQhhvf4/view?usp=sharing</t>
  </si>
  <si>
    <t>589c86b5</t>
  </si>
  <si>
    <t>https://drive.google.com/drive/folders/1b5JtbrIF_jBtqB1WJ1qJUSGD9K07569q</t>
  </si>
  <si>
    <t>https://drive.google.com/file/d/1vzbuvhDnd7bmjyq0hoaElH3WJB4NEBgr/view?usp=sharing</t>
  </si>
  <si>
    <t>https://drive.google.com/file/d/16gWPIv2lV4jExFGUliSFDO0J34b5V9-n/view?usp=sharing</t>
  </si>
  <si>
    <t>8b500d8e</t>
  </si>
  <si>
    <t>https://drive.google.com/drive/folders/1QmPGJyfkUAeB_LgPBPbXsinI50fPu4_R</t>
  </si>
  <si>
    <t>https://drive.google.com/file/d/1yvNszx8Wuk5yMRRQUkivRossXrLsHzWT/view?usp=sharing</t>
  </si>
  <si>
    <t>https://drive.google.com/file/d/1jkio8kcnZyGbN-wJKENweOqx4lbWt1tu/view?usp=sharing</t>
  </si>
  <si>
    <t>c7411669</t>
  </si>
  <si>
    <t>https://drive.google.com/drive/folders/10p0361tp8EE62w4qfBku53TvwybfWsjx</t>
  </si>
  <si>
    <t>https://drive.google.com/file/d/1c9b37wfDcI90ywKK-eUuQb_lFkWKMT25/view?usp=sharing</t>
  </si>
  <si>
    <t>https://drive.google.com/file/d/1QmBbQ8tPMz4XKbhf9wvkMi9qq2SPfLeY/view?usp=sharing</t>
  </si>
  <si>
    <t>d20ec568</t>
  </si>
  <si>
    <t>HSBC BWF World Tour Finals 2025 - Semifinals</t>
  </si>
  <si>
    <t>https://www.vidio.com/live/18249-hsbc-bwf-world-tour-finals-2025-semifinals</t>
  </si>
  <si>
    <t>https://drive.google.com/drive/folders/1o1U6Xrma6-i_C__CorH7pl8eIMeOupbW</t>
  </si>
  <si>
    <t>Nonton streaming pertandingan seru HSBC BWF World Tour Finals 2025 - Semifinals. Saksikan aksi-aksi terbaik dari tim yang bersaing ketat untuk meraih kemenangan. Dapatkan informasi lengkap mengenai jadwal pertandingan dan hasil pertandingan terbaru hanya di Vidio.</t>
  </si>
  <si>
    <t>https://drive.google.com/file/d/1EqAGqndjsd7teOWXMTWpvVaNXNUriGIf/view?usp=sharing</t>
  </si>
  <si>
    <t>https://drive.google.com/file/d/1U2u8UShiFtPCDGB6mvK7GObwQ6DaczD2/view?usp=sharing</t>
  </si>
  <si>
    <t>01a29be6</t>
  </si>
  <si>
    <t>https://drive.google.com/drive/folders/1I-igJ0NWO5Sx5GCoAvrfPihncx24LqWP</t>
  </si>
  <si>
    <t>https://drive.google.com/file/d/1a0lH49vB7QpNrThlRTjgM4-RsXIdtbEO/view?usp=sharing</t>
  </si>
  <si>
    <t>https://drive.google.com/file/d/1_HFq8MOoppJCzo4J5dpuUDP_ZQCy_AEp/view?usp=sharing</t>
  </si>
  <si>
    <t>4581985f</t>
  </si>
  <si>
    <t>HSBC BWF World Tour Finals 2025 - Finals</t>
  </si>
  <si>
    <t>https://www.vidio.com/live/18249-hsbc-bwf-world-tour-finals-2025-finals</t>
  </si>
  <si>
    <t>https://drive.google.com/drive/folders/1Hl6PqKLZehwzOzCWj0sHzUtGdSkqOn4O</t>
  </si>
  <si>
    <t>Nonton streaming pertandingan seru HSBC BWF World Tour Finals 2025 - Finals. Saksikan aksi-aksi terbaik dari tim yang bersaing ketat untuk meraih kemenangan. Dapatkan informasi lengkap mengenai jadwal pertandingan dan hasil pertandingan terbaru hanya di Vidio.</t>
  </si>
  <si>
    <t>https://drive.google.com/file/d/1zzrmrF1Rr92kIpOE1jy9YBLa4Ii0OoIs/view?usp=sharing</t>
  </si>
  <si>
    <t>https://drive.google.com/file/d/1A_a1V6m39vtVyhpvsfAOV0cG8qQnuLQn/view?usp=sharing</t>
  </si>
  <si>
    <t>882bd042</t>
  </si>
  <si>
    <t>Bahcelievler Bld vs Goztepe - Turkish Women's Volleyball League</t>
  </si>
  <si>
    <t>https://www.vidio.com/live/19737-turkish-volleyball-league?schedule_id=4773374</t>
  </si>
  <si>
    <t>https://drive.google.com/drive/folders/15D4KJekrD_giIi40SsNmVaPe-rDixdzC?usp=sharing</t>
  </si>
  <si>
    <t>Nonton streaming pertandingan seru Bahcelievler Bld vs Goztepe - Turkish Women's Volleyball League. Saksikan aksi-aksi terbaik dari tim yang bersaing ketat untuk meraih kemenangan. Dapatkan informasi lengkap mengenai jadwal pertandingan dan hasil pertandingan terbaru hanya di Vidio.</t>
  </si>
  <si>
    <t>https://drive.google.com/file/d/1Tn2E3xcXjYh9lEXgNSK805ea3ASOTKYG/view?usp=sharing</t>
  </si>
  <si>
    <t>https://drive.google.com/file/d/1SURgrznmO54LoFnwQ5Jg2yv65v-v0RlC/view?usp=sharing</t>
  </si>
  <si>
    <t>63f31711</t>
  </si>
  <si>
    <t>Turk Hava Yollari vs Aydin B.Sehir Bld - Turkish Women's Volleyball League</t>
  </si>
  <si>
    <t>https://www.vidio.com/live/19737-turkish-volleyball-league?schedule_id=4773704</t>
  </si>
  <si>
    <t>https://drive.google.com/drive/folders/1nBPIF3b87wlxAmRp0DTgkBq4BqcJtX5B?usp=sharing</t>
  </si>
  <si>
    <t>turk hava yollari; Aydin B.Sehir Bld.Volleyball; sports stream</t>
  </si>
  <si>
    <t>Nonton streaming pertandingan seru Turk Hava Yollari vs Aydin B.Sehir Bld - Turkish Women's Volleyball League. Saksikan aksi-aksi terbaik dari tim yang bersaing ketat untuk meraih kemenangan. Dapatkan informasi lengkap mengenai jadwal pertandingan dan hasil pertandingan terbaru hanya di Vidio.</t>
  </si>
  <si>
    <t>https://drive.google.com/file/d/1rQg_5jK3iIPt0Tis_2Biged_kY4d6lFT/view?usp=sharing</t>
  </si>
  <si>
    <t>https://drive.google.com/file/d/1iRz24HvQtA6EyjyaszRTRdqFkqCqoNaP/view?usp=sharing</t>
  </si>
  <si>
    <t>72cbe71d</t>
  </si>
  <si>
    <t>Fenerbahce Medicana vs Vakifbank - Turkish Women's Volleyball League</t>
  </si>
  <si>
    <t>https://www.vidio.com/live/19737-turkish-volleyball-league?schedule_id=4773705</t>
  </si>
  <si>
    <t>https://drive.google.com/drive/folders/1T6Td0uzP1zfNXUOqShBjM2UsHGuRinHf?usp=sharing</t>
  </si>
  <si>
    <t>fenerbahce medicana; vakifbank volleyball; sports stream</t>
  </si>
  <si>
    <t>Nonton streaming pertandingan seru Fenerbahce Medicana vs Vakifbank - Turkish Women's Volleyball League. Saksikan aksi-aksi terbaik dari tim yang bersaing ketat untuk meraih kemenangan. Dapatkan informasi lengkap mengenai jadwal pertandingan dan hasil pertandingan terbaru hanya di Vidio.</t>
  </si>
  <si>
    <t>https://drive.google.com/file/d/1PV-Xx00H7YLM0HHe1Qk7zWBLqKMsGr5d/view?usp=sharing</t>
  </si>
  <si>
    <t>https://drive.google.com/file/d/1iOs1pXBVSLO-gNshfTDZMmdqmrRuEPNb/view?usp=sharing</t>
  </si>
  <si>
    <t>87028256</t>
  </si>
  <si>
    <t>Vakifbank vs Nilufer Belediyespor - Turkish Women's Volleyball League</t>
  </si>
  <si>
    <t>https://www.vidio.com/live/19737-turkish-volleyball-league?schedule_id=4773815</t>
  </si>
  <si>
    <t>https://drive.google.com/drive/folders/1hBCncu8vS5ZARQMZloRQ7_7bMGbkeYgm?usp=sharing</t>
  </si>
  <si>
    <t>vakifbank volleyball; nilufer belediyespor; sports stream</t>
  </si>
  <si>
    <t>Nonton streaming pertandingan seru Vakifbank vs Nilufer Belediyespor - Turkish Women's Volleyball League. Saksikan aksi-aksi terbaik dari tim yang bersaing ketat untuk meraih kemenangan. Dapatkan informasi lengkap mengenai jadwal pertandingan dan hasil pertandingan terbaru hanya di Vidio.</t>
  </si>
  <si>
    <t>https://drive.google.com/file/d/10U5JqS3p8a37YsYMutMicOZ4x783wbrV/view?usp=sharing</t>
  </si>
  <si>
    <t>https://drive.google.com/file/d/1ZYj2zR7kfgfkiwSMS-7dvwKNLoXCcRR0/view?usp=sharing</t>
  </si>
  <si>
    <t>4536da1c</t>
  </si>
  <si>
    <t>Goztepe vs Eczacibasi Dynavit - Turkish Women's Volleyball League</t>
  </si>
  <si>
    <t>Goztepe; eczacibasi dynavit; sports stream</t>
  </si>
  <si>
    <t>Nonton streaming pertandingan seru Goztepe vs Eczacibasi Dynavit - Turkish Women's Volleyball League. Saksikan aksi-aksi terbaik dari tim yang bersaing ketat untuk meraih kemenangan. Dapatkan informasi lengkap mengenai jadwal pertandingan dan hasil pertandingan terbaru hanya di Vidio.</t>
  </si>
  <si>
    <t>f3cfc6f7</t>
  </si>
  <si>
    <t>Galatasaray Daikin vs Besiktas Ayos - Turkish Women's Volleyball League</t>
  </si>
  <si>
    <t>https://www.vidio.com/live/19737-turkish-volleyball-league?schedule_id=4773818</t>
  </si>
  <si>
    <t>https://drive.google.com/drive/folders/1cJpz46YVGdj-i2g__fzwYJ7fk_eXDlY-?usp=sharing</t>
  </si>
  <si>
    <t>galatasaray daikin; besiktas ayos volleyball; sports stream</t>
  </si>
  <si>
    <t>Nonton streaming pertandingan seru Galatasaray Daikin vs Besiktas Ayos - Turkish Women's Volleyball League. Saksikan aksi-aksi terbaik dari tim yang bersaing ketat untuk meraih kemenangan. Dapatkan informasi lengkap mengenai jadwal pertandingan dan hasil pertandingan terbaru hanya di Vidio.</t>
  </si>
  <si>
    <t>https://drive.google.com/file/d/1fS-2CS6gmxAaS0oL7vEGibsqZMyxZg-c/view?usp=sharing</t>
  </si>
  <si>
    <t>https://drive.google.com/file/d/1cJgfWoFEILMSSxNJOusc-qzaE__ZcKM2/view?usp=sharing</t>
  </si>
  <si>
    <t>f9dd98f9</t>
  </si>
  <si>
    <t>Zeren Spor vs Kuzeyboru - Turkish Women's Volleyball League</t>
  </si>
  <si>
    <t>https://www.vidio.com/live/19737-turkish-volleyball-league?schedule_id=4783285</t>
  </si>
  <si>
    <t>https://drive.google.com/drive/folders/18A_eEUtosuFMOxV3uUIqXpMxPGtHT1w8?usp=sharing</t>
  </si>
  <si>
    <t>zerenspor; Kuzeyboru; sports stream</t>
  </si>
  <si>
    <t>Nonton streaming pertandingan seru Zeren Spor vs Kuzeyboru - Turkish Women's Volleyball League. Saksikan aksi-aksi terbaik dari tim yang bersaing ketat untuk meraih kemenangan. Dapatkan informasi lengkap mengenai jadwal pertandingan dan hasil pertandingan terbaru hanya di Vidio.</t>
  </si>
  <si>
    <t>https://drive.google.com/file/d/1vNsqojb6-EEi4l1981Fq_DQ929FWHoYP/view?usp=sharing</t>
  </si>
  <si>
    <t>https://drive.google.com/file/d/17hgB-XglbLDcR7Frmsw-0T8q5hqqgWUR/view?usp=sharing</t>
  </si>
  <si>
    <t>5988ca1d</t>
  </si>
  <si>
    <t>Eczacibasi Dynavit vs Galatasaray Daikin - Turkish Women's Volleyball League</t>
  </si>
  <si>
    <t>https://www.vidio.com/live/19738-turkish-volleyball-league?schedule_id=4783286</t>
  </si>
  <si>
    <t>https://drive.google.com/drive/folders/12XQG1kQAdstLQzjQqcB8rZMmTYvFTaO4?usp=sharing</t>
  </si>
  <si>
    <t>eczacibasi dynavit; galatasaray daikin; sports stream</t>
  </si>
  <si>
    <t>Nonton streaming pertandingan seru Eczacibasi Dynavit vs Galatasaray Daikin - Turkish Women's Volleyball League. Saksikan aksi-aksi terbaik dari tim yang bersaing ketat untuk meraih kemenangan. Dapatkan informasi lengkap mengenai jadwal pertandingan dan hasil pertandingan terbaru hanya di Vidio.</t>
  </si>
  <si>
    <t>https://drive.google.com/file/d/1BWYITEdYTaDGfTIuHQ2ikgIBHYcz7Dvi/view?usp=sharing</t>
  </si>
  <si>
    <t>https://drive.google.com/file/d/1PTR1H31AZnLqINQQTyZUjhK7LAbZPGs5/view?usp=sharing</t>
  </si>
  <si>
    <t>90a145ab</t>
  </si>
  <si>
    <t>Vakifbank vs Turk Hava Yollari - Turkish Women's Volleyball League</t>
  </si>
  <si>
    <t>https://www.vidio.com/live/19737-turkish-volleyball-league?schedule_id=4783610</t>
  </si>
  <si>
    <t>https://drive.google.com/drive/folders/1VeCia2ALFysHh8sdzHEPSY5s4ApJbe9X?usp=sharing</t>
  </si>
  <si>
    <t>vakifbank volleyball; turk hava yollari; sports stream</t>
  </si>
  <si>
    <t>Nonton streaming pertandingan seru Vakifbank vs Turk Hava Yollari - Turkish Women's Volleyball League. Saksikan aksi-aksi terbaik dari tim yang bersaing ketat untuk meraih kemenangan. Dapatkan informasi lengkap mengenai jadwal pertandingan dan hasil pertandingan terbaru hanya di Vidio.</t>
  </si>
  <si>
    <t>https://drive.google.com/file/d/1aE_QzpCtoSzI469_Qm9fPiYcmdGUiduV/view?usp=sharing</t>
  </si>
  <si>
    <t>https://drive.google.com/file/d/1CxlFkUPTSMvuLBpmAtvnAuVBladYbVAO/view?usp=sharing</t>
  </si>
  <si>
    <t>5e67a45c</t>
  </si>
  <si>
    <t>Goztepe vs Galatasaray Daikin - Turkish Women's Volleyball League</t>
  </si>
  <si>
    <t>https://www.vidio.com/live/19738-turkish-volleyball-league?schedule_id=4783612</t>
  </si>
  <si>
    <t>https://drive.google.com/drive/folders/1al1QVa9MbWPdvlNAwyu5gLNKYT6OgQZG?usp=sharing</t>
  </si>
  <si>
    <t>Goztepe; galatasaray daikin; sports stream</t>
  </si>
  <si>
    <t>Nonton streaming pertandingan seru Goztepe vs Galatasaray Daikin - Turkish Women's Volleyball League. Saksikan aksi-aksi terbaik dari tim yang bersaing ketat untuk meraih kemenangan. Dapatkan informasi lengkap mengenai jadwal pertandingan dan hasil pertandingan terbaru hanya di Vidio.</t>
  </si>
  <si>
    <t>https://drive.google.com/file/d/1Meo722xqh_mRWfprBmD_PGHQ_5owBGFn/view?usp=sharing</t>
  </si>
  <si>
    <t>https://drive.google.com/file/d/1b_ZAvTS80ia_0byqgafgCEevLqhZuBTY/view?usp=sharing</t>
  </si>
  <si>
    <t>e6fde02b</t>
  </si>
  <si>
    <t>Grant Thornton Invitational - Round 1</t>
  </si>
  <si>
    <t>Grant Thornton Invitational 2025</t>
  </si>
  <si>
    <t>https://www.vidio.com/live/18189-champions-golf-1?schedule_id=4773811</t>
  </si>
  <si>
    <t>https://drive.google.com/drive/folders/1GyxHUWoEb-Rk8rBomjHMA-bE7PT2GalI?usp=drive_link</t>
  </si>
  <si>
    <t>PGA Tour; Grant Thornton Invitational; Grant Thornton Invitational 2025</t>
  </si>
  <si>
    <t>Nonton streaming pertandingan seru Grant Thornton Invitational - Round 1. Saksikan aksi-aksi terbaik dari tim yang bersaing ketat untuk meraih kemenangan. Dapatkan informasi lengkap mengenai jadwal pertandingan dan hasil pertandingan terbaru hanya di Vidio.</t>
  </si>
  <si>
    <t>https://drive.google.com/file/d/1qs0U6SFxz69SQSH6Ndh0CnovyIzHYiNJ/view?usp=sharing</t>
  </si>
  <si>
    <t>https://drive.google.com/file/d/1NWmQHv5vU6ncHCBq1A3Ym-CU0DiTMUpa/view?usp=sharing</t>
  </si>
  <si>
    <t>65cad8ac</t>
  </si>
  <si>
    <t>Istanbul Genclik Spor vs On Hotels Alanya Bld - Turkish Men's Volleyball League</t>
  </si>
  <si>
    <t>https://www.vidio.com/live/19737-turkish-volleyball-league?schedule_id=4776029</t>
  </si>
  <si>
    <t>https://drive.google.com/drive/folders/1xFIvkiHYOtcHXfwR_S5cl4RxdqUtlPi6?usp=sharing</t>
  </si>
  <si>
    <t>istanbul genclik spor; alanya belediyespor; sports stream</t>
  </si>
  <si>
    <t>Nonton streaming pertandingan seru Istanbul Genclik Spor vs On Hotels Alanya Bld - Turkish Men's Volleyball League. Saksikan aksi-aksi terbaik dari tim yang bersaing ketat untuk meraih kemenangan. Dapatkan informasi lengkap mengenai jadwal pertandingan dan hasil pertandingan terbaru hanya di Vidio.</t>
  </si>
  <si>
    <t>https://drive.google.com/file/d/1VzJBJbKHSWcb7XBdyS-l3XF_OUjdIWMo/view?usp=sharing</t>
  </si>
  <si>
    <t>https://drive.google.com/file/d/1aIyw3qfd2xkM9HmksHEnIPaq_uDMkcr6/view?usp=sharing</t>
  </si>
  <si>
    <t>dde2eb85</t>
  </si>
  <si>
    <t>Grant Thornton Invitational - Round 2</t>
  </si>
  <si>
    <t>https://www.vidio.com/live/18189-champions-golf-1?schedule_id=4773813</t>
  </si>
  <si>
    <t>https://drive.google.com/drive/folders/1yc_u1cs2dBbdVX0yL3vW7qC87g19ZxDo?usp=drive_link</t>
  </si>
  <si>
    <t>Nonton streaming pertandingan seru Grant Thornton Invitational - Round 2. Saksikan aksi-aksi terbaik dari tim yang bersaing ketat untuk meraih kemenangan. Dapatkan informasi lengkap mengenai jadwal pertandingan dan hasil pertandingan terbaru hanya di Vidio.</t>
  </si>
  <si>
    <t>https://drive.google.com/file/d/1ORN_No6Tq4RCLkEVQlvqrRSeIKnx1Zm1/view?usp=sharing</t>
  </si>
  <si>
    <t>https://drive.google.com/file/d/1ArqQW8j4JrXw_6X7T8_Sj6kL_N_iU-xh/view?usp=sharing</t>
  </si>
  <si>
    <t>1a0fcc12</t>
  </si>
  <si>
    <t>Grant Thornton Invitational - Round 3</t>
  </si>
  <si>
    <t>https://www.vidio.com/live/18189-champions-golf-1?schedule_id=4779504</t>
  </si>
  <si>
    <t>https://drive.google.com/drive/folders/1sXf2_TrGpFVRZ9RErVPVau47T1jbHGMa?usp=drive_link</t>
  </si>
  <si>
    <t>Nonton streaming pertandingan seru Grant Thornton Invitational - Round 3. Saksikan aksi-aksi terbaik dari tim yang bersaing ketat untuk meraih kemenangan. Dapatkan informasi lengkap mengenai jadwal pertandingan dan hasil pertandingan terbaru hanya di Vidio.</t>
  </si>
  <si>
    <t>https://drive.google.com/file/d/1fdSfctyfo0VgpX9ohukx8VE1J7RH2M-R/view?usp=sharing</t>
  </si>
  <si>
    <t>https://drive.google.com/file/d/1N3m-unTBz9XI2shuLHFkAazQ_hnQhjrv/view?usp=sharing</t>
  </si>
  <si>
    <t>32a92238</t>
  </si>
  <si>
    <t>Spor Toto vs Altekma - Turkish Men's Volleyball League</t>
  </si>
  <si>
    <t>https://www.vidio.com/live/19738-turkish-volleyball-league?schedule_id=4776028</t>
  </si>
  <si>
    <t>https://drive.google.com/drive/folders/1OAYQDN1v1SP47cE15OQ8dPLuh7rGLkom?usp=sharing</t>
  </si>
  <si>
    <t>spor toto volleyball; Altekma; sports stream</t>
  </si>
  <si>
    <t>Nonton streaming pertandingan seru Spor Toto vs Altekma - Turkish Men's Volleyball League. Saksikan aksi-aksi terbaik dari tim yang bersaing ketat untuk meraih kemenangan. Dapatkan informasi lengkap mengenai jadwal pertandingan dan hasil pertandingan terbaru hanya di Vidio.</t>
  </si>
  <si>
    <t>https://drive.google.com/file/d/1UBnU2xXpbO4zroJPQTAyxfJZp93Ii23h/view?usp=sharing</t>
  </si>
  <si>
    <t>https://drive.google.com/file/d/1xzwYqbbg-pLbTLn7qpsjUM5ALGSxV0Qw/view?usp=sharing</t>
  </si>
  <si>
    <t>86a81867</t>
  </si>
  <si>
    <t>Ziraat Bankkart vs Halkbank - Turkish Men's Volleyball League</t>
  </si>
  <si>
    <t>https://www.vidio.com/live/19737-turkish-volleyball-league?schedule_id=4776030</t>
  </si>
  <si>
    <t>https://drive.google.com/drive/folders/1dzfnJNZN0WBGz3fw3ZIP1DJbjEyP-CTa?usp=sharing</t>
  </si>
  <si>
    <t>ziraat bankkart; halkbank; sports stream</t>
  </si>
  <si>
    <t>Nonton streaming pertandingan seru Ziraat Bankkart vs Halkbank - Turkish Men's Volleyball League. Saksikan aksi-aksi terbaik dari tim yang bersaing ketat untuk meraih kemenangan. Dapatkan informasi lengkap mengenai jadwal pertandingan dan hasil pertandingan terbaru hanya di Vidio.</t>
  </si>
  <si>
    <t>https://drive.google.com/file/d/1lV_TzbFQXRAVIVlbMOrvdj_GgoohEf3X/view?usp=sharing</t>
  </si>
  <si>
    <t>https://drive.google.com/file/d/15CpTi8eXQyf2fbuuoBpYQuRFJFKlvScS/view?usp=sharing</t>
  </si>
  <si>
    <t>a80752b1</t>
  </si>
  <si>
    <t>Gaziantep Genclik Spor vs Ziraat Bankkart - Turkish Men's Volleyball League</t>
  </si>
  <si>
    <t>https://www.vidio.com/live/19738-turkish-volleyball-league?schedule_id=4779487</t>
  </si>
  <si>
    <t>https://drive.google.com/drive/folders/1Yq-1V5a805ilQPm23kRHmQe6JOVdXDEi</t>
  </si>
  <si>
    <t>Gaziantep Genclik Spor; ziraat bankkart; sports stream</t>
  </si>
  <si>
    <t>Nonton streaming pertandingan seru Gaziantep Genclik Spor vs Ziraat Bankkart - Turkish Men's Volleyball League. Saksikan aksi-aksi terbaik dari tim yang bersaing ketat untuk meraih kemenangan. Dapatkan informasi lengkap mengenai jadwal pertandingan dan hasil pertandingan terbaru hanya di Vidio.</t>
  </si>
  <si>
    <t>https://drive.google.com/file/d/1c3ESVho-4Tz3VnTGnyY-m9S6cWcxaT-p/view?usp=sharing</t>
  </si>
  <si>
    <t>https://drive.google.com/file/d/1s7sc1WIXbEDRicCFWRPd7wc2kyW5x41Y/view?usp=sharing</t>
  </si>
  <si>
    <t>40052d56</t>
  </si>
  <si>
    <t>Halkbank vs Spor Toto - Turkish Men's Volleyball League</t>
  </si>
  <si>
    <t>https://www.vidio.com/live/19738-turkish-volleyball-league?schedule_id=4779490</t>
  </si>
  <si>
    <t>https://drive.google.com/drive/folders/12wff3C4Ps6730AAmNJFjKCEqA2VjAN4U</t>
  </si>
  <si>
    <t>halkbank; spor toto volleyball; sports stream</t>
  </si>
  <si>
    <t>Nonton streaming pertandingan seru Halkbank vs Spor Toto - Turkish Men's Volleyball League. Saksikan aksi-aksi terbaik dari tim yang bersaing ketat untuk meraih kemenangan. Dapatkan informasi lengkap mengenai jadwal pertandingan dan hasil pertandingan terbaru hanya di Vidio.</t>
  </si>
  <si>
    <t>https://drive.google.com/file/d/1Dq7miE3wT5OhozTJhKw3GqQB_rd6EN6H/view?usp=sharing</t>
  </si>
  <si>
    <t>https://drive.google.com/file/d/1Q8Vzk16ChqQTOm185BgNZqiwUlMCA-J4/view?usp=sharing</t>
  </si>
  <si>
    <t>269773f0</t>
  </si>
  <si>
    <t>On Hotels Alanya Bld vs Galatasaray HDI Sigorta - Turkish Men's Volleyball League</t>
  </si>
  <si>
    <t>https://www.vidio.com/live/19737-turkish-volleyball-league?schedule_id=4783609</t>
  </si>
  <si>
    <t>https://drive.google.com/drive/folders/1iKgRrxi4a41Tg6JES-gMADsqKYUcx5bt</t>
  </si>
  <si>
    <t>alanya belediyespor; Galatasaray HDI Sigorta; sports stream</t>
  </si>
  <si>
    <t>Nonton streaming pertandingan seru On Hotels Alanya Bld vs Galatasaray HDI Sigorta - Turkish Men's Volleyball League. Saksikan aksi-aksi terbaik dari tim yang bersaing ketat untuk meraih kemenangan. Dapatkan informasi lengkap mengenai jadwal pertandingan dan hasil pertandingan terbaru hanya di Vidio.</t>
  </si>
  <si>
    <t>https://drive.google.com/file/d/1WvDX6-0EcVaduZ9v8Z186Wid2RVBlDXT/view?usp=sharing</t>
  </si>
  <si>
    <t>https://drive.google.com/file/d/1fySy7Ic43gsH7YtWvMNg8xpj9bN-VVud/view?usp=sharing</t>
  </si>
  <si>
    <t>ab6bc22a</t>
  </si>
  <si>
    <t>Fenerbahce Medicana vs Bursa BBSK - Turkish Men's Volleyball League</t>
  </si>
  <si>
    <t>https://www.vidio.com/live/19738-turkish-volleyball-league?schedule_id=4783611</t>
  </si>
  <si>
    <t>https://drive.google.com/drive/folders/1O8-SBH_LfJy8ZC3pq4nizkYbKfP_5-gn</t>
  </si>
  <si>
    <t>Fenerbahce HDI Sigorta Volleyball; bursa buyuksehir belediyespor; sports stream</t>
  </si>
  <si>
    <t>Nonton streaming pertandingan seru Fenerbahce Medicana vs Bursa BBSK - Turkish Men's Volleyball League. Saksikan aksi-aksi terbaik dari tim yang bersaing ketat untuk meraih kemenangan. Dapatkan informasi lengkap mengenai jadwal pertandingan dan hasil pertandingan terbaru hanya di Vidio.</t>
  </si>
  <si>
    <t>https://drive.google.com/file/d/1SXD8c_wAeMYeaDTM1vsCpEebn76Y9iFz/view?usp=sharing</t>
  </si>
  <si>
    <t>https://drive.google.com/file/d/18qAFoqidzncQkrDQ5j_TzM_lePWU-JeR/view?usp=sharing</t>
  </si>
  <si>
    <t>32633016</t>
  </si>
  <si>
    <t>Halkbank vs Istanbul Genclik Spor - Turkish Men's Volleyball League</t>
  </si>
  <si>
    <t>https://www.vidio.com/live/19738-turkish-volleyball-league?schedule_id=4791216</t>
  </si>
  <si>
    <t>https://drive.google.com/drive/folders/1UARFkIUqJuBfubJxCfiR_LU3SLdbikQA</t>
  </si>
  <si>
    <t>halkbank; istanbul genclik spor; sports stream</t>
  </si>
  <si>
    <t>Nonton streaming pertandingan seru Halkbank vs Istanbul Genclik Spor - Turkish Men's Volleyball League. Saksikan aksi-aksi terbaik dari tim yang bersaing ketat untuk meraih kemenangan. Dapatkan informasi lengkap mengenai jadwal pertandingan dan hasil pertandingan terbaru hanya di Vidio.</t>
  </si>
  <si>
    <t>https://thumbor.prod.vidiocdn.com/1DY-hlyLg8KAPeGLIuJptUnJMy8=/filters:quality(70)/vidio-media-production/uploads/image/source/52358/03639c.png</t>
  </si>
  <si>
    <t>https://drive.google.com/file/d/1nF_U9KnyUYcTUQxyplEvLGjB0L27d6E8/view?usp=sharing</t>
  </si>
  <si>
    <t>328bdf5d</t>
  </si>
  <si>
    <t>Bursa BBSK vs Galatasaray HDI Sigorta - Turkish Men's Volleyball League</t>
  </si>
  <si>
    <t>https://www.vidio.com/live/19737-turkish-volleyball-league?schedule_id=4797281</t>
  </si>
  <si>
    <t>https://drive.google.com/drive/folders/1p945DZnl0SVtNCFlEcmqjdqlJLq8Me7r</t>
  </si>
  <si>
    <t>bursa buyuksehir belediyespor; Galatasaray HDI Sigorta; sports stream</t>
  </si>
  <si>
    <t>Nonton streaming pertandingan seru Bursa BBSK vs Galatasaray HDI Sigorta - Turkish Men's Volleyball League. Saksikan aksi-aksi terbaik dari tim yang bersaing ketat untuk meraih kemenangan. Dapatkan informasi lengkap mengenai jadwal pertandingan dan hasil pertandingan terbaru hanya di Vidio.</t>
  </si>
  <si>
    <t>https://drive.google.com/file/d/1wG_b0E7DWs5ZezAmNy9WMfV_y3JzMbtH/view?usp=sharing</t>
  </si>
  <si>
    <t>https://drive.google.com/file/d/1W7XyBJVeg_Re9pGtJY4jvlXP6SzlXQs2/view?usp=sharing</t>
  </si>
  <si>
    <t>24f780c0</t>
  </si>
  <si>
    <t>Matchday 13 - Top Youth Premier League</t>
  </si>
  <si>
    <t>https://www.vidio.com/live/20040-top-youth-premier-league-2025-pekan-ke-13</t>
  </si>
  <si>
    <t>Nonton streaming pertandingan seru Matchday 13 - Top Youth Premier League. Saksikan aksi-aksi terbaik dari tim yang bersaing ketat untuk meraih kemenangan. Dapatkan informasi lengkap mengenai jadwal pertandingan dan hasil pertandingan terbaru hanya di Vidio.</t>
  </si>
  <si>
    <t>79384145</t>
  </si>
  <si>
    <t>MUTIARA 97 vs ASSA PRO SS - TYPL5 U-9</t>
  </si>
  <si>
    <t>https://www.vidio.com/live/20040-top-youth-premier-league-2025-pekan-ke-13?schedule_id=4766504</t>
  </si>
  <si>
    <t>Nonton streaming pertandingan seru MUTIARA 97 vs ASSA PRO SS - TYPL5 U-9. Saksikan aksi-aksi terbaik dari tim yang bersaing ketat untuk meraih kemenangan. Dapatkan informasi lengkap mengenai jadwal pertandingan dan hasil pertandingan terbaru hanya di Vidio.</t>
  </si>
  <si>
    <t>912e7a14</t>
  </si>
  <si>
    <t>PUTRA NUSANTARA vs BINNA BANUA - TYPL5 U-10</t>
  </si>
  <si>
    <t>https://www.vidio.com/live/20040-top-youth-premier-league-2025-pekan-ke-13?schedule_id=4766505</t>
  </si>
  <si>
    <t>Nonton streaming pertandingan seru PUTRA NUSANTARA vs BINNA BANUA - TYPL5 U-10. Saksikan aksi-aksi terbaik dari tim yang bersaing ketat untuk meraih kemenangan. Dapatkan informasi lengkap mengenai jadwal pertandingan dan hasil pertandingan terbaru hanya di Vidio.</t>
  </si>
  <si>
    <t>4fc8bc3b</t>
  </si>
  <si>
    <t>FOLK FOOTBALL vs BOGOR UNITED SS - TYPL5 U-9</t>
  </si>
  <si>
    <t>https://www.vidio.com/live/20040-top-youth-premier-league-2025-pekan-ke-13?schedule_id=4766506</t>
  </si>
  <si>
    <t>Nonton streaming pertandingan seru FOLK FOOTBALL vs BOGOR UNITED SS - TYPL5 U-9. Saksikan aksi-aksi terbaik dari tim yang bersaing ketat untuk meraih kemenangan. Dapatkan informasi lengkap mengenai jadwal pertandingan dan hasil pertandingan terbaru hanya di Vidio.</t>
  </si>
  <si>
    <t>3df391a6</t>
  </si>
  <si>
    <t>ASIOP BIRU vs ASIOP MERAH - TYPL5 U-10</t>
  </si>
  <si>
    <t>https://www.vidio.com/live/20040-top-youth-premier-league-2025-pekan-ke-13?schedule_id=4766507</t>
  </si>
  <si>
    <t>Nonton streaming pertandingan seru ASIOP BIRU vs ASIOP MERAH - TYPL5 U-10. Saksikan aksi-aksi terbaik dari tim yang bersaing ketat untuk meraih kemenangan. Dapatkan informasi lengkap mengenai jadwal pertandingan dan hasil pertandingan terbaru hanya di Vidio.</t>
  </si>
  <si>
    <t>2160b90e</t>
  </si>
  <si>
    <t>TAJIMALELA vs GRAND YOUNG KIDS SS - TYPL5 U-9</t>
  </si>
  <si>
    <t>https://www.vidio.com/live/20040-top-youth-premier-league-2025-pekan-ke-13?schedule_id=4766508</t>
  </si>
  <si>
    <t>Nonton streaming pertandingan seru TAJIMALELA vs GRAND YOUNG KIDS SS - TYPL5 U-9. Saksikan aksi-aksi terbaik dari tim yang bersaing ketat untuk meraih kemenangan. Dapatkan informasi lengkap mengenai jadwal pertandingan dan hasil pertandingan terbaru hanya di Vidio.</t>
  </si>
  <si>
    <t>5a3ebbfc</t>
  </si>
  <si>
    <t>BORUSSIA ACADEMY IND vs TAJIMALELA - TYPL5 U-10</t>
  </si>
  <si>
    <t>https://www.vidio.com/live/20040-top-youth-premier-league-2025-pekan-ke-13?schedule_id=4766509</t>
  </si>
  <si>
    <t>Nonton streaming pertandingan seru BORUSSIA ACADEMY IND vs TAJIMALELA - TYPL5 U-10. Saksikan aksi-aksi terbaik dari tim yang bersaing ketat untuk meraih kemenangan. Dapatkan informasi lengkap mengenai jadwal pertandingan dan hasil pertandingan terbaru hanya di Vidio.</t>
  </si>
  <si>
    <t>daf412aa</t>
  </si>
  <si>
    <t>RDC PRATAMA vs GANADOR - TYPL5 U-10</t>
  </si>
  <si>
    <t>https://www.vidio.com/live/20040-top-youth-premier-league-2025-pekan-ke-13?schedule_id=4766510</t>
  </si>
  <si>
    <t>Nonton streaming pertandingan seru RDC PRATAMA vs GANADOR - TYPL5 U-10. Saksikan aksi-aksi terbaik dari tim yang bersaing ketat untuk meraih kemenangan. Dapatkan informasi lengkap mengenai jadwal pertandingan dan hasil pertandingan terbaru hanya di Vidio.</t>
  </si>
  <si>
    <t>34f0a658</t>
  </si>
  <si>
    <t>PUTRA NUSANTARA vs YOUNG WARRIOR APOLLO - TYPL5 U-11</t>
  </si>
  <si>
    <t>https://www.vidio.com/live/20040-top-youth-premier-league-2025-pekan-ke-13?schedule_id=4766511</t>
  </si>
  <si>
    <t>Nonton streaming pertandingan seru PUTRA NUSANTARA vs YOUNG WARRIOR APOLLO - TYPL5 U-11. Saksikan aksi-aksi terbaik dari tim yang bersaing ketat untuk meraih kemenangan. Dapatkan informasi lengkap mengenai jadwal pertandingan dan hasil pertandingan terbaru hanya di Vidio.</t>
  </si>
  <si>
    <t>3a4d96e2</t>
  </si>
  <si>
    <t>BINA TARUNA vs BINNA BANUA - TYPL5 U-11</t>
  </si>
  <si>
    <t>https://www.vidio.com/live/20040-top-youth-premier-league-2025-pekan-ke-13?schedule_id=4766514</t>
  </si>
  <si>
    <t>Nonton streaming pertandingan seru BINA TARUNA vs BINNA BANUA - TYPL5 U-11. Saksikan aksi-aksi terbaik dari tim yang bersaing ketat untuk meraih kemenangan. Dapatkan informasi lengkap mengenai jadwal pertandingan dan hasil pertandingan terbaru hanya di Vidio.</t>
  </si>
  <si>
    <t>4a72fc17</t>
  </si>
  <si>
    <t>RAGA NEGERI vs YOUNG WARRIOR BSD - TYPL5 U-12</t>
  </si>
  <si>
    <t>https://www.vidio.com/live/20040-top-youth-premier-league-2025-pekan-ke-13?schedule_id=4766512</t>
  </si>
  <si>
    <t>Nonton streaming pertandingan seru RAGA NEGERI vs YOUNG WARRIOR BSD - TYPL5 U-12. Saksikan aksi-aksi terbaik dari tim yang bersaing ketat untuk meraih kemenangan. Dapatkan informasi lengkap mengenai jadwal pertandingan dan hasil pertandingan terbaru hanya di Vidio.</t>
  </si>
  <si>
    <t>43e7ea07</t>
  </si>
  <si>
    <t>BORUSSIA ACADEMY vs ASIOP MERAH - TYPL5 U-12</t>
  </si>
  <si>
    <t>https://www.vidio.com/live/20040-top-youth-premier-league-2025-pekan-ke-13?schedule_id=4766513</t>
  </si>
  <si>
    <t>Nonton streaming pertandingan seru BORUSSIA ACADEMY vs ASIOP MERAH - TYPL5 U-12. Saksikan aksi-aksi terbaik dari tim yang bersaing ketat untuk meraih kemenangan. Dapatkan informasi lengkap mengenai jadwal pertandingan dan hasil pertandingan terbaru hanya di Vidio.</t>
  </si>
  <si>
    <t>c4b85086</t>
  </si>
  <si>
    <t>SULCATA vs RDC PRATAMA - TYPL5 U-12</t>
  </si>
  <si>
    <t>https://www.vidio.com/live/20040-top-youth-premier-league-2025-pekan-ke-13?schedule_id=4766515</t>
  </si>
  <si>
    <t>Nonton streaming pertandingan seru SULCATA vs RDC PRATAMA - TYPL5 U-12. Saksikan aksi-aksi terbaik dari tim yang bersaing ketat untuk meraih kemenangan. Dapatkan informasi lengkap mengenai jadwal pertandingan dan hasil pertandingan terbaru hanya di Vidio.</t>
  </si>
  <si>
    <t>9562d4f1</t>
  </si>
  <si>
    <t>Jelang Kick Off - PERSEBAYA Surabaya vs Borneo FC Samarinda  - BRI Super League</t>
  </si>
  <si>
    <t>https://www.vidio.com/live/19355-bri-super-league?schedule_id=4783343</t>
  </si>
  <si>
    <t>https://drive.google.com/file/d/1Q_L8GEiRMZYRhUU6SRmcPnW-47XkNiok/view</t>
  </si>
  <si>
    <t>Nonton streaming pertandingan seru Jelang Kick Off - PERSEBAYA Surabaya vs Borneo FC Samarinda  - BRI Super League. Saksikan aksi-aksi terbaik dari tim yang bersaing ketat untuk meraih kemenangan. Dapatkan informasi lengkap mengenai jadwal pertandingan dan hasil pertandingan terbaru hanya di Vidio.</t>
  </si>
  <si>
    <t>https://drive.google.com/file/d/1Q_L8GEiRMZYRhUU6SRmcPnW-47XkNiok/view?usp=sharing</t>
  </si>
  <si>
    <t>46522fee</t>
  </si>
  <si>
    <t>Jelang Kick Off - PERSIB vs Bhayangkara Presisi Lampung FC - BRI Super League</t>
  </si>
  <si>
    <t>https://www.vidio.com/live/19355-bri-super-league?schedule_id=4783344</t>
  </si>
  <si>
    <t>https://drive.google.com/drive/folders/1dlQ_z1DSasa6rp-qk9YLob6N0GlYlHB5</t>
  </si>
  <si>
    <t>Nonton streaming pertandingan seru Jelang Kick Off - PERSIB vs Bhayangkara Presisi Lampung FC - BRI Super League. Saksikan aksi-aksi terbaik dari tim yang bersaing ketat untuk meraih kemenangan. Dapatkan informasi lengkap mengenai jadwal pertandingan dan hasil pertandingan terbaru hanya di Vidio.</t>
  </si>
  <si>
    <t>https://drive.google.com/file/d/19JPsMAg9_H7lDOIGwQk9RcPuSfmErszU/view?usp=sharing</t>
  </si>
  <si>
    <t>80ec2223</t>
  </si>
  <si>
    <t>Jelang Kick Off - Semen Padang FC vs PERSIJA - BRI Super League</t>
  </si>
  <si>
    <t>https://www.vidio.com/live/19355-bri-super-league?schedule_id=4783772</t>
  </si>
  <si>
    <t>Nonton streaming pertandingan seru Jelang Kick Off - Semen Padang FC vs PERSIJA - BRI Super League. Saksikan aksi-aksi terbaik dari tim yang bersaing ketat untuk meraih kemenangan. Dapatkan informasi lengkap mengenai jadwal pertandingan dan hasil pertandingan terbaru hanya di Vidio.</t>
  </si>
  <si>
    <t>https://drive.google.com/file/d/1KWoCJ9bHqemVU_gPP9VYYN4znP0x6yH4/view?usp=sharing</t>
  </si>
  <si>
    <t>9a630405</t>
  </si>
  <si>
    <t>West Bromwich Albion vs Sheffield United - EFL Championship</t>
  </si>
  <si>
    <t>https://www.vidio.com/live/6685-champions-tv-1?schedule_id=4773907</t>
  </si>
  <si>
    <t>https://drive.google.com/drive/folders/1MaMuFvTp6hoODW9LEZw25qtGAaD6Vrxx?usp=drive_link</t>
  </si>
  <si>
    <t>https://drive.google.com/file/d/1s7aX3ImDyBc9YHBse5KcDlV0ZTP91VDp/view?usp=sharing</t>
  </si>
  <si>
    <t>west bromwich albion fc; sheffield united; sports stream</t>
  </si>
  <si>
    <t>Nonton streaming pertandingan seru West Bromwich Albion vs Sheffield United - EFL Championship. Saksikan aksi-aksi terbaik dari tim yang bersaing ketat untuk meraih kemenangan. Dapatkan informasi lengkap mengenai jadwal pertandingan dan hasil pertandingan terbaru hanya di Vidio.</t>
  </si>
  <si>
    <t>https://drive.google.com/file/d/1dNUXVp6lqU8iT871b8EBryawqJZH3W-V/view?usp=sharing</t>
  </si>
  <si>
    <t>ec7c0c99</t>
  </si>
  <si>
    <t>(Data Zone) Liverpool vs Brighton - Premier League</t>
  </si>
  <si>
    <t>https://www.vidio.com/live/19375-premier-league?schedule_id=4773610</t>
  </si>
  <si>
    <t>Nonton streaming pertandingan seru (Data Zone) Liverpool vs Brighton - Premier League. Saksikan aksi-aksi terbaik dari tim yang bersaing ketat untuk meraih kemenangan. Dapatkan informasi lengkap mengenai jadwal pertandingan dan hasil pertandingan terbaru hanya di Vidio.</t>
  </si>
  <si>
    <t>73270056</t>
  </si>
  <si>
    <t>ILBank vs Aras Spor - Turkish Women's Volleyball League</t>
  </si>
  <si>
    <t>https://www.vidio.com/live/19738-turkish-volleyball-league?schedule_id=4780157</t>
  </si>
  <si>
    <t>https://drive.google.com/drive/folders/1VogZr6vC4gfqBky5o1eV6YOH5jNvRqbG?usp=sharing</t>
  </si>
  <si>
    <t>ILBank; aras kargo; sports stream</t>
  </si>
  <si>
    <t>Nonton streaming pertandingan seru ILBank vs Aras Spor - Turkish Women's Volleyball League. Saksikan aksi-aksi terbaik dari tim yang bersaing ketat untuk meraih kemenangan. Dapatkan informasi lengkap mengenai jadwal pertandingan dan hasil pertandingan terbaru hanya di Vidio.</t>
  </si>
  <si>
    <t>https://drive.google.com/file/d/1E3TSAzpio2AHS879oM6Ej1S3wI8lDCZj/view?usp=sharing</t>
  </si>
  <si>
    <t>https://drive.google.com/file/d/1sirL8A0rG_st80YmOZP9VRUj_jh-rMWd/view?usp=sharing</t>
  </si>
  <si>
    <t>26b23bda</t>
  </si>
  <si>
    <t>United Cup 2026 - Day 1 (Day Session)</t>
  </si>
  <si>
    <t>United Cup 2026</t>
  </si>
  <si>
    <t>https://www.vidio.com/live/17875-bein-2?schedule_id=4803409</t>
  </si>
  <si>
    <t>https://drive.google.com/drive/folders/1JPjrnggfgvEKQeEhKhbMorITrRrZmtZa?usp=drive_link</t>
  </si>
  <si>
    <t>Sports &gt; Tennis &gt; United Cup</t>
  </si>
  <si>
    <t>Tennis</t>
  </si>
  <si>
    <t>united cup; United Cup 2026</t>
  </si>
  <si>
    <t>ITF</t>
  </si>
  <si>
    <t>Nonton streaming pertandingan seru United Cup 2026 - Day 1 (Day Session). Saksikan aksi-aksi terbaik dari tim yang bersaing ketat untuk meraih kemenangan. Dapatkan informasi lengkap mengenai jadwal pertandingan dan hasil pertandingan terbaru hanya di Vidio.</t>
  </si>
  <si>
    <t>https://drive.google.com/file/d/1Nnw2zcP_9HcsnS4yi1dAuKRsWQW1wu0j/view?usp=sharing</t>
  </si>
  <si>
    <t>https://drive.google.com/file/d/1O9eAd7qHH_Wjo_-KPgCTjx3aesIkkN8Z/view?usp=sharing</t>
  </si>
  <si>
    <t>b9b33e4b</t>
  </si>
  <si>
    <t>United Cup 2026 - Day 1 (Night Session)</t>
  </si>
  <si>
    <t>https://www.vidio.com/live/17875-bein-2?schedule_id=4803410</t>
  </si>
  <si>
    <t>https://drive.google.com/drive/folders/1NpYPVghbYDmnUJ-7SLm0eJdcrDWdi7mG?usp=drive_link</t>
  </si>
  <si>
    <t>Nonton streaming pertandingan seru United Cup 2026 - Day 1 (Night Session). Saksikan aksi-aksi terbaik dari tim yang bersaing ketat untuk meraih kemenangan. Dapatkan informasi lengkap mengenai jadwal pertandingan dan hasil pertandingan terbaru hanya di Vidio.</t>
  </si>
  <si>
    <t>https://drive.google.com/file/d/1FMCBbb8whoUIWUZMw17k0j4Ld0MANJs7/view?usp=sharing</t>
  </si>
  <si>
    <t>https://drive.google.com/file/d/1bKoMEUo5iltQ7tIZjYL3Ao77q8sZfUGd/view?usp=sharing</t>
  </si>
  <si>
    <t>c81c5955</t>
  </si>
  <si>
    <t>Al-Taawoun vs Al-Hilal - ROSHN Saudi League</t>
  </si>
  <si>
    <t>https://drive.google.com/drive/folders/1CsI7aa9t0y38yO7YIFqWnuGJqC6bNtVf?usp=drive_link</t>
  </si>
  <si>
    <t>Al-Taawoun FC</t>
  </si>
  <si>
    <t>al-taawoun fc; al-hilal; sports stream</t>
  </si>
  <si>
    <t>Nonton streaming pertandingan seru Al-Taawoun vs Al-Hilal - ROSHN Saudi League. Saksikan aksi-aksi terbaik dari tim yang bersaing ketat untuk meraih kemenangan. Dapatkan informasi lengkap mengenai jadwal pertandingan dan hasil pertandingan terbaru hanya di Vidio.</t>
  </si>
  <si>
    <t>Al Taawoun: Asset di Drive
Al Hilal: Darwin Nunez &amp; Milinkovic Savic</t>
  </si>
  <si>
    <t>38f75c9d</t>
  </si>
  <si>
    <t>Al-Hazem vs Al-Ittihad - ROSHN Saudi League</t>
  </si>
  <si>
    <t>Al-Hazem</t>
  </si>
  <si>
    <t>Al-Hazem; al ittihad; sports stream</t>
  </si>
  <si>
    <t>Nonton streaming pertandingan seru Al-Hazem vs Al-Ittihad - ROSHN Saudi League. Saksikan aksi-aksi terbaik dari tim yang bersaing ketat untuk meraih kemenangan. Dapatkan informasi lengkap mengenai jadwal pertandingan dan hasil pertandingan terbaru hanya di Vidio.</t>
  </si>
  <si>
    <t>480c8e0a</t>
  </si>
  <si>
    <t>Dundee United vs Celtic - Scottish Premiership</t>
  </si>
  <si>
    <t>https://www.vidio.com/live/17139-spotv?schedule_id=4783690</t>
  </si>
  <si>
    <t>https://drive.google.com/file/d/17Sw0tqvdooWbmGr0PPbZcS66fKtjSBgj/view?usp=drive_link</t>
  </si>
  <si>
    <t>Dundee United; celtic fc; sports stream</t>
  </si>
  <si>
    <t>Nonton streaming pertandingan seru Dundee United vs Celtic - Scottish Premiership. Saksikan aksi-aksi terbaik dari tim yang bersaing ketat untuk meraih kemenangan. Dapatkan informasi lengkap mengenai jadwal pertandingan dan hasil pertandingan terbaru hanya di Vidio.</t>
  </si>
  <si>
    <t>https://drive.google.com/file/d/17Sw0tqvdooWbmGr0PPbZcS66fKtjSBgj/view?usp=sharing</t>
  </si>
  <si>
    <t>04d467ef</t>
  </si>
  <si>
    <t>Hearts vs Rangers - Scottish Premiership</t>
  </si>
  <si>
    <t>https://www.vidio.com/live/17139-spotv?schedule_id=4783766</t>
  </si>
  <si>
    <t>https://drive.google.com/drive/folders/1-XGLAreYqs0xpzqU5EFyjfJr1MsJoO2L</t>
  </si>
  <si>
    <t>heart of midlothian fc; rangers fc; sports stream</t>
  </si>
  <si>
    <t>Nonton streaming pertandingan seru Hearts vs Rangers - Scottish Premiership. Saksikan aksi-aksi terbaik dari tim yang bersaing ketat untuk meraih kemenangan. Dapatkan informasi lengkap mengenai jadwal pertandingan dan hasil pertandingan terbaru hanya di Vidio.</t>
  </si>
  <si>
    <t>https://drive.google.com/file/d/1V7c8fQoY1OJNRnrvgNGgihTIz9c_u1RO/view?usp=sharing</t>
  </si>
  <si>
    <t>https://drive.google.com/file/d/1LzXrHWd5bNuCSN0X09-cqP7sFb0-VZd-/view?usp=sharing</t>
  </si>
  <si>
    <t>6f977460</t>
  </si>
  <si>
    <t>Darts National Competition - Final Series</t>
  </si>
  <si>
    <t>https://www.vidio.com/live/19184-darts-national-competition-2025?schedule_id=4776333</t>
  </si>
  <si>
    <t>https://drive.google.com/drive/folders/1eFOMut6GGWIavAzkp8ah772TtPTJX60l?usp=drive_link</t>
  </si>
  <si>
    <t>Nonton streaming pertandingan seru Darts National Competition - Final Series. Saksikan aksi-aksi terbaik dari tim yang bersaing ketat untuk meraih kemenangan. Dapatkan informasi lengkap mengenai jadwal pertandingan dan hasil pertandingan terbaru hanya di Vidio.</t>
  </si>
  <si>
    <t>https://drive.google.com/file/d/1o3Y6Mz5x2bKKd4RECK9G0ILQC9Aoi1nl/view?usp=sharing</t>
  </si>
  <si>
    <t>https://drive.google.com/file/d/1fGYwmFdJ3qhAoVNnJ9PH6mT8VdQnngc3/view?usp=sharing</t>
  </si>
  <si>
    <t>63a9fb3b</t>
  </si>
  <si>
    <t>United Cup 2026 - Day 2 (Day Session)</t>
  </si>
  <si>
    <t>https://www.vidio.com/live/17875-bein-2?schedule_id=4819765</t>
  </si>
  <si>
    <t>https://drive.google.com/drive/folders/1pBOGqvsTfp4t1uATNP-cNSD1bles5_AP?usp=drive_link</t>
  </si>
  <si>
    <t>Nonton streaming pertandingan seru United Cup 2026 - Day 2 (Day Session). Saksikan aksi-aksi terbaik dari tim yang bersaing ketat untuk meraih kemenangan. Dapatkan informasi lengkap mengenai jadwal pertandingan dan hasil pertandingan terbaru hanya di Vidio.</t>
  </si>
  <si>
    <t>https://drive.google.com/file/d/1g0zlLZp5H0g7Bc2bwwqy_S-z4GIYGcvX/view?usp=sharing</t>
  </si>
  <si>
    <t>https://drive.google.com/file/d/1iSqMY8dgWHUUv5Rb7Vy8ojEEyCtRlu-L/view?usp=sharing</t>
  </si>
  <si>
    <t>9eda44e0</t>
  </si>
  <si>
    <t>United Cup 2026 - Day 2 (Night Session)</t>
  </si>
  <si>
    <t>https://www.vidio.com/live/17875-bein-2?schedule_id=4819766</t>
  </si>
  <si>
    <t>https://drive.google.com/drive/folders/1I2xwOb3e5BOvHUQ1DDHgp7Hzf6_VHsOa?usp=drive_link</t>
  </si>
  <si>
    <t>Nonton streaming pertandingan seru United Cup 2026 - Day 2 (Night Session). Saksikan aksi-aksi terbaik dari tim yang bersaing ketat untuk meraih kemenangan. Dapatkan informasi lengkap mengenai jadwal pertandingan dan hasil pertandingan terbaru hanya di Vidio.</t>
  </si>
  <si>
    <t>https://drive.google.com/file/d/1aJF3YFeI73koFcNktlOG3ColDkD51nvw/view?usp=sharing</t>
  </si>
  <si>
    <t>https://drive.google.com/file/d/1PTFjHK55qjiv0UjJaI1W2Vpo6OH-Ewyq/view?usp=sharing</t>
  </si>
  <si>
    <t>3e794cf5</t>
  </si>
  <si>
    <t>United Cup 2026 - Day 3 (Day Session)</t>
  </si>
  <si>
    <t>https://www.vidio.com/live/17875-bein-2?schedule_id=4819779</t>
  </si>
  <si>
    <t>https://drive.google.com/drive/folders/1AOGGV72BJV2LfC3NlRstCgK8r-H_uBeN?usp=drive_link</t>
  </si>
  <si>
    <t>Nonton streaming pertandingan seru United Cup 2026 - Day 3 (Day Session). Saksikan aksi-aksi terbaik dari tim yang bersaing ketat untuk meraih kemenangan. Dapatkan informasi lengkap mengenai jadwal pertandingan dan hasil pertandingan terbaru hanya di Vidio.</t>
  </si>
  <si>
    <t>https://drive.google.com/file/d/1pkAkQ8aS-OvXjv_-gSn8MmFsRYLKnK1n/view?usp=sharing</t>
  </si>
  <si>
    <t>https://drive.google.com/file/d/12U9yOwQbWBpmnxMf6KhCuadKgiOg4M-1/view?usp=sharing</t>
  </si>
  <si>
    <t>2fd688f4</t>
  </si>
  <si>
    <t>United Cup 2026 - Day 3 (Night Session)</t>
  </si>
  <si>
    <t>https://www.vidio.com/live/17875-bein-2?schedule_id=4819780</t>
  </si>
  <si>
    <t>https://drive.google.com/drive/folders/1FEA8rDFAAm_5dvY93uVF8B3EW5ac0die?usp=drive_link</t>
  </si>
  <si>
    <t>Nonton streaming pertandingan seru United Cup 2026 - Day 3 (Night Session). Saksikan aksi-aksi terbaik dari tim yang bersaing ketat untuk meraih kemenangan. Dapatkan informasi lengkap mengenai jadwal pertandingan dan hasil pertandingan terbaru hanya di Vidio.</t>
  </si>
  <si>
    <t>https://drive.google.com/file/d/1CBudhMtUUIxNUQIzqHDwTGUPOUfL8Yfx/view?usp=sharing</t>
  </si>
  <si>
    <t>https://drive.google.com/file/d/1XSvuv99GUv81BOD7LbpR9DOy5EYQRTKq/view?usp=sharing</t>
  </si>
  <si>
    <t>d32d5181</t>
  </si>
  <si>
    <t>United Cup 2026 - Day 4 (Day Session)</t>
  </si>
  <si>
    <t>https://www.vidio.com/live/17875-bein-2?schedule_id=4827318</t>
  </si>
  <si>
    <t>https://drive.google.com/drive/folders/1DNMpR7OF9hXqSwGVNWqV-e_hbOftV7Bh?usp=drive_link</t>
  </si>
  <si>
    <t>Nonton streaming pertandingan seru United Cup 2026 - Day 4 (Day Session). Saksikan aksi-aksi terbaik dari tim yang bersaing ketat untuk meraih kemenangan. Dapatkan informasi lengkap mengenai jadwal pertandingan dan hasil pertandingan terbaru hanya di Vidio.</t>
  </si>
  <si>
    <t>https://drive.google.com/file/d/1weNq4DW5d0ShzrnFatNWSOoLIchiaHL_/view?usp=sharing</t>
  </si>
  <si>
    <t>https://drive.google.com/file/d/1mwNIwrl8HdzDwukgwpe5vPB75cy2bsqw/view?usp=sharing</t>
  </si>
  <si>
    <t>d1f80e48</t>
  </si>
  <si>
    <t>United Cup 2026 - Day 4 (Night Session)</t>
  </si>
  <si>
    <t>https://www.vidio.com/live/17875-bein-2?schedule_id=4827319</t>
  </si>
  <si>
    <t>https://drive.google.com/drive/folders/1lRpkKjL9vFkEPCJbfRl_WW1noWrxO-7z?usp=drive_link</t>
  </si>
  <si>
    <t>Nonton streaming pertandingan seru United Cup 2026 - Day 4 (Night Session). Saksikan aksi-aksi terbaik dari tim yang bersaing ketat untuk meraih kemenangan. Dapatkan informasi lengkap mengenai jadwal pertandingan dan hasil pertandingan terbaru hanya di Vidio.</t>
  </si>
  <si>
    <t>https://drive.google.com/file/d/1gNyfQZrnA8MrJwruibLz6AzXunwN_eJU/view?usp=sharing</t>
  </si>
  <si>
    <t>https://drive.google.com/file/d/1X349aXG5SLnksxTS2_ISuIZY_CD92oUm/view?usp=sharing</t>
  </si>
  <si>
    <t>6821ce83</t>
  </si>
  <si>
    <t>United Cup 2026 - Day 5 (Day Session)</t>
  </si>
  <si>
    <t>https://www.vidio.com/live/17875-bein-2?schedule_id=4827320</t>
  </si>
  <si>
    <t>https://drive.google.com/drive/folders/1pdms7fQymOriefG0NvUwlxATKcd6Ceh5?usp=drive_link</t>
  </si>
  <si>
    <t>Nonton streaming pertandingan seru United Cup 2026 - Day 5 (Day Session). Saksikan aksi-aksi terbaik dari tim yang bersaing ketat untuk meraih kemenangan. Dapatkan informasi lengkap mengenai jadwal pertandingan dan hasil pertandingan terbaru hanya di Vidio.</t>
  </si>
  <si>
    <t>https://drive.google.com/file/d/1KjRWV92Q_7zHJXI_3BRIuyCnLb7PoxNC/view?usp=sharing</t>
  </si>
  <si>
    <t>https://drive.google.com/file/d/16yfOe0eiJyBV_KauuYTB_v2do0woFyoz/view?usp=sharing</t>
  </si>
  <si>
    <t>48d91590</t>
  </si>
  <si>
    <t>United Cup 2026 - Day 5 (Night Session)</t>
  </si>
  <si>
    <t>https://www.vidio.com/live/17875-bein-2?schedule_id=4827321</t>
  </si>
  <si>
    <t>https://drive.google.com/drive/folders/1ETEenEv9f7GKl7kmIGNelKtldkht6EmQ?usp=drive_link</t>
  </si>
  <si>
    <t>Nonton streaming pertandingan seru United Cup 2026 - Day 5 (Night Session). Saksikan aksi-aksi terbaik dari tim yang bersaing ketat untuk meraih kemenangan. Dapatkan informasi lengkap mengenai jadwal pertandingan dan hasil pertandingan terbaru hanya di Vidio.</t>
  </si>
  <si>
    <t>https://drive.google.com/file/d/1TotC_vR2gB-u4dWTkTneRzJXQckGxn01/view?usp=sharing</t>
  </si>
  <si>
    <t>https://drive.google.com/file/d/1Ylpcy3oD417jCBgtBWhJF_r0pOag04OS/view?usp=sharing</t>
  </si>
  <si>
    <t>ec3f64e5</t>
  </si>
  <si>
    <t>United Cup 2026 - Day 6 (Day Session)</t>
  </si>
  <si>
    <t>https://www.vidio.com/live/17875-bein-2?schedule_id=4827337</t>
  </si>
  <si>
    <t>https://drive.google.com/drive/folders/1wkkSFDR-ShiOv5u26KFKOILSSuhhc2BI?usp=drive_link</t>
  </si>
  <si>
    <t>Nonton streaming pertandingan seru United Cup 2026 - Day 6 (Day Session). Saksikan aksi-aksi terbaik dari tim yang bersaing ketat untuk meraih kemenangan. Dapatkan informasi lengkap mengenai jadwal pertandingan dan hasil pertandingan terbaru hanya di Vidio.</t>
  </si>
  <si>
    <t>https://drive.google.com/file/d/1PnmfXrxDU8_ubJ96a0IZj5-yb7pbaklI/view?usp=sharing</t>
  </si>
  <si>
    <t>https://drive.google.com/file/d/18XmYRJkoxb5DoW20SkCVK_Y_XYInBNpE/view?usp=sharing</t>
  </si>
  <si>
    <t>3a300937</t>
  </si>
  <si>
    <t>United Cup 2026 - Day 6 (Night Session)</t>
  </si>
  <si>
    <t>https://drive.google.com/drive/folders/1Cqs8W9zGwMD4dwT33s-9fLW1UIAL2r9Q?usp=drive_link</t>
  </si>
  <si>
    <t>Nonton streaming pertandingan seru United Cup 2026 - Day 6 (Night Session). Saksikan aksi-aksi terbaik dari tim yang bersaing ketat untuk meraih kemenangan. Dapatkan informasi lengkap mengenai jadwal pertandingan dan hasil pertandingan terbaru hanya di Vidio.</t>
  </si>
  <si>
    <t>https://drive.google.com/file/d/16mGVBQCzDv7umITEMo_yNmcRYOUIKI9b/view?usp=sharing</t>
  </si>
  <si>
    <t>https://drive.google.com/file/d/1Vh5TXhDOsnHzDBV5VQ5WVFZckZDbfPLv/view?usp=sharing</t>
  </si>
  <si>
    <t>b5369637</t>
  </si>
  <si>
    <t>United Cup 2026 - Day 7 (Quarterfinals)</t>
  </si>
  <si>
    <t>https://www.vidio.com/live/17875-bein-2?schedule_id=4830787</t>
  </si>
  <si>
    <t>https://drive.google.com/drive/folders/1LfCh6bpWoGT5QxV52aDBe1cvLKhhRjM3?usp=drive_link</t>
  </si>
  <si>
    <t>Nonton streaming pertandingan seru United Cup 2026 - Day 7 (Quarterfinals). Saksikan aksi-aksi terbaik dari tim yang bersaing ketat untuk meraih kemenangan. Dapatkan informasi lengkap mengenai jadwal pertandingan dan hasil pertandingan terbaru hanya di Vidio.</t>
  </si>
  <si>
    <t>https://drive.google.com/file/d/1z_gHdJHDYlwB3jVxSiKSl5O76fsQn3LM/view?usp=sharing</t>
  </si>
  <si>
    <t>https://drive.google.com/file/d/1FrdJ8GxmzSWTO0ACHQjEF2aninTNOHQb/view?usp=sharing</t>
  </si>
  <si>
    <t>4efe0ba7</t>
  </si>
  <si>
    <t>United Cup 2026 - Day 8 (Quarterfinals)</t>
  </si>
  <si>
    <t>https://www.vidio.com/live/17875-bein-2?schedule_id=4832232</t>
  </si>
  <si>
    <t>https://drive.google.com/drive/folders/1UuH17m2SjDFKwwVAtFqlSvPeBIXur4tN?usp=drive_link</t>
  </si>
  <si>
    <t>Nonton streaming pertandingan seru United Cup 2026 - Day 8 (Quarterfinals). Saksikan aksi-aksi terbaik dari tim yang bersaing ketat untuk meraih kemenangan. Dapatkan informasi lengkap mengenai jadwal pertandingan dan hasil pertandingan terbaru hanya di Vidio.</t>
  </si>
  <si>
    <t>https://drive.google.com/file/d/1lkghXuASqSCRkgymGXgMTy-ExMxEF7aI/view?usp=sharing</t>
  </si>
  <si>
    <t>https://drive.google.com/file/d/1PBzBRmwtXocsGbuq-F4E06hWPQilme9N/view?usp=sharing</t>
  </si>
  <si>
    <t>78da48ed</t>
  </si>
  <si>
    <t>Semifinal: Switzerland vs Belgium - United Cup 2026</t>
  </si>
  <si>
    <t>https://www.vidio.com/live/17875</t>
  </si>
  <si>
    <t>https://drive.google.com/drive/folders/1H-VhIvk4CTQcIkLWaYxiwfOnSS9tiShN?usp=drive_link</t>
  </si>
  <si>
    <t>{"Url":"","LinkText":""}</t>
  </si>
  <si>
    <t>Nonton streaming pertandingan seru Semifinal: Switzerland vs Belgium - United Cup 2026. Saksikan aksi-aksi terbaik dari tim yang bersaing ketat untuk meraih kemenangan. Dapatkan informasi lengkap mengenai jadwal pertandingan dan hasil pertandingan terbaru hanya di Vidio.</t>
  </si>
  <si>
    <t>SWI: BELINDA BENCIC
BEL: ELISE MERTENS</t>
  </si>
  <si>
    <t>https://drive.google.com/file/d/1_KOYgy8wruuf-Hsy7J9ZtN-dgqfEJzNo/view?usp=sharing</t>
  </si>
  <si>
    <t>https://drive.google.com/file/d/19sEC844Ni8o9HRYQlgXx8nFeUEa1ohKe/view?usp=sharing</t>
  </si>
  <si>
    <t>e71c5fbb</t>
  </si>
  <si>
    <t>Semifinal: USA vs Poland - United Cup 2026</t>
  </si>
  <si>
    <t>https://www.vidio.com/live/17875-bein-2?schedule_id=4835441</t>
  </si>
  <si>
    <t>https://drive.google.com/drive/folders/1_Sne2OZpZ-4vdxfWXdkEP_lhzIEcuA8j?usp=drive_link</t>
  </si>
  <si>
    <t>Nonton streaming pertandingan seru Semifinal: USA vs Poland - United Cup 2026. Saksikan aksi-aksi terbaik dari tim yang bersaing ketat untuk meraih kemenangan. Dapatkan informasi lengkap mengenai jadwal pertandingan dan hasil pertandingan terbaru hanya di Vidio.</t>
  </si>
  <si>
    <t>USA: COCO GAUFF
POL: IGA SWIATEK</t>
  </si>
  <si>
    <t>https://drive.google.com/file/d/1gS_8tM2aOHz26fvLgOb-5NIp-k-fZ9Dx/view?usp=sharing</t>
  </si>
  <si>
    <t>https://drive.google.com/file/d/11HglbcbXfs_ZFwfvLzr4zEd4_IExFFEQ/view?usp=sharing</t>
  </si>
  <si>
    <t>000fbcb5</t>
  </si>
  <si>
    <t>Final: Switzerland vs Poland - United Cup 2026</t>
  </si>
  <si>
    <t>https://www.vidio.com/live/17875-bein-2?schedule_id=4835810</t>
  </si>
  <si>
    <t>https://drive.google.com/drive/folders/12xQbCiYHDWCuQgP_Vh5OuVzZW6qEtkgs</t>
  </si>
  <si>
    <t>Nonton streaming pertandingan seru Final: Switzerland vs Poland - United Cup 2026. Saksikan aksi-aksi terbaik dari tim yang bersaing ketat untuk meraih kemenangan. Dapatkan informasi lengkap mengenai jadwal pertandingan dan hasil pertandingan terbaru hanya di Vidio.</t>
  </si>
  <si>
    <t>SUI: Belinda Bencic
POL: Iga Swiatek</t>
  </si>
  <si>
    <t>https://drive.google.com/file/d/1SNxgIsnHGdzrz636epCxys-4zSfwAPgp/view?usp=sharing</t>
  </si>
  <si>
    <t>https://drive.google.com/file/d/1N3KkwStSXCrd1p6LtPqHAsoWz18aSqnv/view?usp=sharing</t>
  </si>
  <si>
    <t>986ad076</t>
  </si>
  <si>
    <t>Antalyaspor vs Galatasaray - Trendyol Super Lig</t>
  </si>
  <si>
    <t>https://www.vidio.com/live/17875-bein-2?schedule_id=4778138</t>
  </si>
  <si>
    <t>https://drive.google.com/drive/folders/1WFmrY34NFYI13LXjpiq9aGGV3nq9L8vK?usp=drive_link</t>
  </si>
  <si>
    <t>Antalyaspor</t>
  </si>
  <si>
    <t>Antalyaspor; galatasaray spor kulübü; sports stream</t>
  </si>
  <si>
    <t>Nonton streaming pertandingan seru Antalyaspor vs Galatasaray - Trendyol Super Lig. Saksikan aksi-aksi terbaik dari tim yang bersaing ketat untuk meraih kemenangan. Dapatkan informasi lengkap mengenai jadwal pertandingan dan hasil pertandingan terbaru hanya di Vidio.</t>
  </si>
  <si>
    <t>Antalyaspor: Bachir Gueye, Bunyamin Balci
Galatasaray: Sane, Icardi</t>
  </si>
  <si>
    <t>https://drive.google.com/file/d/1ATuMAnL2p65NNPb_ih5CRxyZhmML2Xn7/view?usp=sharing</t>
  </si>
  <si>
    <t>https://drive.google.com/file/d/1UXqSR6D4nS9orYy9dw9txViS7K92QLTM/view?usp=sharing</t>
  </si>
  <si>
    <t>e0efbaeb</t>
  </si>
  <si>
    <t>Lapangan Universitas Trisakti Nagrak: Babak Semifinal &amp; Final - Top Soccer Championship U-13 &amp; U-14</t>
  </si>
  <si>
    <t>https://www.vidio.com/live/20065-top-soccer-championship-semifinal-u-13-dan-final-u-14-plate</t>
  </si>
  <si>
    <t>Nonton streaming pertandingan seru Lapangan Universitas Trisakti Nagrak: Babak Semifinal &amp; Final - Top Soccer Championship U-13 &amp; U-14. Saksikan aksi-aksi terbaik dari tim yang bersaing ketat untuk meraih kemenangan. Dapatkan informasi lengkap mengenai jadwal pertandingan dan hasil pertandingan terbaru hanya di Vidio.</t>
  </si>
  <si>
    <t>cc7a7cb4</t>
  </si>
  <si>
    <t>Lapangan Universitas Trisakti Nagrak: Babak Final - Top Soccer Championship U-14 &amp; U-15</t>
  </si>
  <si>
    <t>https://www.vidio.com/live/20066-top-soccer-championship-2025-final-cup-dan-plate-u-14-dan-u-15</t>
  </si>
  <si>
    <t>Nonton streaming pertandingan seru Lapangan Universitas Trisakti Nagrak: Babak Final - Top Soccer Championship U-14 &amp; U-15. Saksikan aksi-aksi terbaik dari tim yang bersaing ketat untuk meraih kemenangan. Dapatkan informasi lengkap mengenai jadwal pertandingan dan hasil pertandingan terbaru hanya di Vidio.</t>
  </si>
  <si>
    <t>84fc9f2d</t>
  </si>
  <si>
    <t>Tajimalela vs Bina Patra - TSC U-13 (Semifinal Plate)</t>
  </si>
  <si>
    <t>https://www.vidio.com/live/20065-top-soccer-championship-semifinal-u-13-dan-final-u-14-plate?schedule_id=4776334</t>
  </si>
  <si>
    <t>Nonton streaming pertandingan seru Tajimalela vs Bina Patra - TSC U-13 (Semifinal Plate). Saksikan aksi-aksi terbaik dari tim yang bersaing ketat untuk meraih kemenangan. Dapatkan informasi lengkap mengenai jadwal pertandingan dan hasil pertandingan terbaru hanya di Vidio.</t>
  </si>
  <si>
    <t>8dc52396</t>
  </si>
  <si>
    <t>Padurenan vs Diklat ISA - TSC U-13 (Semifinal Plate)</t>
  </si>
  <si>
    <t>https://www.vidio.com/live/20065-top-soccer-championship-semifinal-u-13-dan-final-u-14-plate?schedule_id=4776335</t>
  </si>
  <si>
    <t>Nonton streaming pertandingan seru Padurenan vs Diklat ISA - TSC U-13 (Semifinal Plate). Saksikan aksi-aksi terbaik dari tim yang bersaing ketat untuk meraih kemenangan. Dapatkan informasi lengkap mengenai jadwal pertandingan dan hasil pertandingan terbaru hanya di Vidio.</t>
  </si>
  <si>
    <t>68e4d85f</t>
  </si>
  <si>
    <t>Mastabe vs Asiop Merah - TSC U-14 (Final Plate)</t>
  </si>
  <si>
    <t>https://www.vidio.com/live/20065-top-soccer-championship-semifinal-u-13-dan-final-u-14-plate?schedule_id=4776336</t>
  </si>
  <si>
    <t>Nonton streaming pertandingan seru Mastabe vs Asiop Merah - TSC U-14 (Final Plate). Saksikan aksi-aksi terbaik dari tim yang bersaing ketat untuk meraih kemenangan. Dapatkan informasi lengkap mengenai jadwal pertandingan dan hasil pertandingan terbaru hanya di Vidio.</t>
  </si>
  <si>
    <t>aff3d852</t>
  </si>
  <si>
    <t>Binna Banua vs Bimba AIUEO - TSC U-14 (Final Cup)</t>
  </si>
  <si>
    <t>https://www.vidio.com/live/20066-top-soccer-championship-2025-final-cup-dan-plate-u-14-dan-u-15?schedule_id=4776337</t>
  </si>
  <si>
    <t>Nonton streaming pertandingan seru Binna Banua vs Bimba AIUEO - TSC U-14 (Final Cup). Saksikan aksi-aksi terbaik dari tim yang bersaing ketat untuk meraih kemenangan. Dapatkan informasi lengkap mengenai jadwal pertandingan dan hasil pertandingan terbaru hanya di Vidio.</t>
  </si>
  <si>
    <t>d9032490</t>
  </si>
  <si>
    <t>World Tennis League 2025 - Day 1</t>
  </si>
  <si>
    <t>World Tennis League 2025</t>
  </si>
  <si>
    <t>https://www.vidio.com/live/6685-champions-tv-1?schedule_id=4780820</t>
  </si>
  <si>
    <t>https://drive.google.com/drive/folders/1udRH0wM2_kjto5siJfDsa3SKQLE9Z_gg</t>
  </si>
  <si>
    <t>Sports &gt; Tennis &gt; World Tennis League</t>
  </si>
  <si>
    <t>World Tennis League; World Tennis League 2025</t>
  </si>
  <si>
    <t>atp;wta</t>
  </si>
  <si>
    <t>Nonton streaming pertandingan seru World Tennis League 2025 - Day 1. Saksikan aksi-aksi terbaik dari tim yang bersaing ketat untuk meraih kemenangan. Dapatkan informasi lengkap mengenai jadwal pertandingan dan hasil pertandingan terbaru hanya di Vidio.</t>
  </si>
  <si>
    <t>https://drive.google.com/file/d/1KrvtmRSF0e-CZxxEZR7n6TOkqx4PUv9e/view?usp=sharing</t>
  </si>
  <si>
    <t>https://drive.google.com/file/d/1hVph3u9lsj4zsr1gfIkS5wa6aAxRPFu7/view?usp=sharing</t>
  </si>
  <si>
    <t>7a4ca779</t>
  </si>
  <si>
    <t>Asiana vs JAS - TSC U-14 (Final Cup)</t>
  </si>
  <si>
    <t>https://www.vidio.com/live/20066-top-soccer-championship-2025-final-cup-dan-plate-u-14-dan-u-15?schedule_id=4776340</t>
  </si>
  <si>
    <t>Nonton streaming pertandingan seru Asiana vs JAS - TSC U-14 (Final Cup). Saksikan aksi-aksi terbaik dari tim yang bersaing ketat untuk meraih kemenangan. Dapatkan informasi lengkap mengenai jadwal pertandingan dan hasil pertandingan terbaru hanya di Vidio.</t>
  </si>
  <si>
    <t>e386185f</t>
  </si>
  <si>
    <t>Assa Pro vs Diklat ISA - TSC U-15 (Final Plate)</t>
  </si>
  <si>
    <t>https://www.vidio.com/live/20066-top-soccer-championship-2025-final-cup-dan-plate-u-14-dan-u-15?schedule_id=4776338</t>
  </si>
  <si>
    <t>Nonton streaming pertandingan seru Assa Pro vs Diklat ISA - TSC U-15 (Final Plate). Saksikan aksi-aksi terbaik dari tim yang bersaing ketat untuk meraih kemenangan. Dapatkan informasi lengkap mengenai jadwal pertandingan dan hasil pertandingan terbaru hanya di Vidio.</t>
  </si>
  <si>
    <t>c5897a99</t>
  </si>
  <si>
    <t>Serang City vs Asiop Merah - TSC U-15 (Peringkat 3 &amp; 4)</t>
  </si>
  <si>
    <t>https://www.vidio.com/live/20066-top-soccer-championship-2025-final-cup-dan-plate-u-14-dan-u-15?schedule_id=4776339</t>
  </si>
  <si>
    <t>Nonton streaming pertandingan seru Serang City vs Asiop Merah - TSC U-15 (Peringkat 3 &amp; 4). Saksikan aksi-aksi terbaik dari tim yang bersaing ketat untuk meraih kemenangan. Dapatkan informasi lengkap mengenai jadwal pertandingan dan hasil pertandingan terbaru hanya di Vidio.</t>
  </si>
  <si>
    <t>875e9f66</t>
  </si>
  <si>
    <t>Binna Banua vs Bimba AIUEO - TSC U-15 (Peringkat 1 &amp; 2)</t>
  </si>
  <si>
    <t>https://www.vidio.com/live/20066-top-soccer-championship-2025-final-cup-dan-plate-u-14-dan-u-15?schedule_id=4776341</t>
  </si>
  <si>
    <t>Nonton streaming pertandingan seru Binna Banua vs Bimba AIUEO - TSC U-15 (Peringkat 1 &amp; 2). Saksikan aksi-aksi terbaik dari tim yang bersaing ketat untuk meraih kemenangan. Dapatkan informasi lengkap mengenai jadwal pertandingan dan hasil pertandingan terbaru hanya di Vidio.</t>
  </si>
  <si>
    <t>0f64edd1</t>
  </si>
  <si>
    <t>World Tennis League 2025 - Day 2</t>
  </si>
  <si>
    <t>https://www.vidio.com/live/6685-champions-tv-1?schedule_id=4780821</t>
  </si>
  <si>
    <t>https://drive.google.com/drive/folders/1vBWiarnb3ofQvuc-shhq7u1gNIhAzLLl</t>
  </si>
  <si>
    <t>Nonton streaming pertandingan seru World Tennis League 2025 - Day 2. Saksikan aksi-aksi terbaik dari tim yang bersaing ketat untuk meraih kemenangan. Dapatkan informasi lengkap mengenai jadwal pertandingan dan hasil pertandingan terbaru hanya di Vidio.</t>
  </si>
  <si>
    <t>https://drive.google.com/file/d/18khDvrMc9cVklJwGtCmuBrILQqwdlduQ/view?usp=sharing</t>
  </si>
  <si>
    <t>https://drive.google.com/file/d/1yEq98PrxAe47x4mfnuQjsgvKWRT4zZ9m/view?usp=sharing</t>
  </si>
  <si>
    <t>5024a259</t>
  </si>
  <si>
    <t>World Tennis League 2025 - Day 3</t>
  </si>
  <si>
    <t>https://www.vidio.com/live/6685-champions-tv-1?schedule_id=4780822</t>
  </si>
  <si>
    <t>https://drive.google.com/drive/folders/17SVMbiN82oET-usBdDaGP36mjZKojwNR</t>
  </si>
  <si>
    <t>Nonton streaming pertandingan seru World Tennis League 2025 - Day 3. Saksikan aksi-aksi terbaik dari tim yang bersaing ketat untuk meraih kemenangan. Dapatkan informasi lengkap mengenai jadwal pertandingan dan hasil pertandingan terbaru hanya di Vidio.</t>
  </si>
  <si>
    <t>https://drive.google.com/file/d/1h6XBfuaoLRTf-FDlOBgBxh7mxtLNqMZS/view?usp=sharing</t>
  </si>
  <si>
    <t>https://drive.google.com/file/d/1lQvLjUeLbzPHx8E4Hkai5yRZkRA-s60d/view?usp=sharing</t>
  </si>
  <si>
    <t>1439c93b</t>
  </si>
  <si>
    <t>Matchday 15 - Top Youth Premier League</t>
  </si>
  <si>
    <t>https://www.vidio.com/live/20067-top-youth-premier-league-pekan-ke-15</t>
  </si>
  <si>
    <t>Nonton streaming pertandingan seru Matchday 15 - Top Youth Premier League. Saksikan aksi-aksi terbaik dari tim yang bersaing ketat untuk meraih kemenangan. Dapatkan informasi lengkap mengenai jadwal pertandingan dan hasil pertandingan terbaru hanya di Vidio.</t>
  </si>
  <si>
    <t>dc6ba763</t>
  </si>
  <si>
    <t>ASSA PRO vs FOLK FOOTBALL - TYPL5 U-9</t>
  </si>
  <si>
    <t>https://www.vidio.com/live/20067-top-youth-premier-league-pekan-ke-15?schedule_id=4776347</t>
  </si>
  <si>
    <t>Nonton streaming pertandingan seru ASSA PRO vs FOLK FOOTBALL - TYPL5 U-9. Saksikan aksi-aksi terbaik dari tim yang bersaing ketat untuk meraih kemenangan. Dapatkan informasi lengkap mengenai jadwal pertandingan dan hasil pertandingan terbaru hanya di Vidio.</t>
  </si>
  <si>
    <t>4773ee90</t>
  </si>
  <si>
    <t>FFF ACADEMY vs PRO DIRECT ACDEMY - TYPL5 U-9</t>
  </si>
  <si>
    <t>https://www.vidio.com/live/20067-top-youth-premier-league-pekan-ke-15?schedule_id=4776348</t>
  </si>
  <si>
    <t>Nonton streaming pertandingan seru FFF ACADEMY vs PRO DIRECT ACDEMY - TYPL5 U-9. Saksikan aksi-aksi terbaik dari tim yang bersaing ketat untuk meraih kemenangan. Dapatkan informasi lengkap mengenai jadwal pertandingan dan hasil pertandingan terbaru hanya di Vidio.</t>
  </si>
  <si>
    <t>e2547d4d</t>
  </si>
  <si>
    <t>MAVERICK'S 5T vs RDC PRATAMA (VI) - TYPL5 U-10</t>
  </si>
  <si>
    <t>https://www.vidio.com/live/20067-top-youth-premier-league-pekan-ke-15?schedule_id=4776349</t>
  </si>
  <si>
    <t>Nonton streaming pertandingan seru MAVERICK'S 5T vs RDC PRATAMA (VI) - TYPL5 U-10. Saksikan aksi-aksi terbaik dari tim yang bersaing ketat untuk meraih kemenangan. Dapatkan informasi lengkap mengenai jadwal pertandingan dan hasil pertandingan terbaru hanya di Vidio.</t>
  </si>
  <si>
    <t>5cbfeb5d</t>
  </si>
  <si>
    <t>FU15FA vs TAJIMALELA - TYPL5 U-11</t>
  </si>
  <si>
    <t>https://www.vidio.com/live/20067-top-youth-premier-league-pekan-ke-15?schedule_id=4776350</t>
  </si>
  <si>
    <t>Nonton streaming pertandingan seru FU15FA vs TAJIMALELA - TYPL5 U-11. Saksikan aksi-aksi terbaik dari tim yang bersaing ketat untuk meraih kemenangan. Dapatkan informasi lengkap mengenai jadwal pertandingan dan hasil pertandingan terbaru hanya di Vidio.</t>
  </si>
  <si>
    <t>f69ab41e</t>
  </si>
  <si>
    <t>PONDOK BAMBU vs GRAND YOUNG KIDS - TYPL5 U-9</t>
  </si>
  <si>
    <t>https://www.vidio.com/live/20067-top-youth-premier-league-pekan-ke-15?schedule_id=4776342</t>
  </si>
  <si>
    <t>Nonton streaming pertandingan seru PONDOK BAMBU vs GRAND YOUNG KIDS - TYPL5 U-9. Saksikan aksi-aksi terbaik dari tim yang bersaing ketat untuk meraih kemenangan. Dapatkan informasi lengkap mengenai jadwal pertandingan dan hasil pertandingan terbaru hanya di Vidio.</t>
  </si>
  <si>
    <t>c847c3d2</t>
  </si>
  <si>
    <t>BINNA BANUA vs NAWASENA - TYPL5 U-11</t>
  </si>
  <si>
    <t>https://www.vidio.com/live/20067-top-youth-premier-league-pekan-ke-15?schedule_id=4776343</t>
  </si>
  <si>
    <t>Nonton streaming pertandingan seru BINNA BANUA vs NAWASENA - TYPL5 U-11. Saksikan aksi-aksi terbaik dari tim yang bersaing ketat untuk meraih kemenangan. Dapatkan informasi lengkap mengenai jadwal pertandingan dan hasil pertandingan terbaru hanya di Vidio.</t>
  </si>
  <si>
    <t>d4789aa7</t>
  </si>
  <si>
    <t>ASIOP MERAH WV vs WVI - TYPL5 U-9</t>
  </si>
  <si>
    <t>https://www.vidio.com/live/20067-top-youth-premier-league-pekan-ke-15?schedule_id=4776344</t>
  </si>
  <si>
    <t>Nonton streaming pertandingan seru ASIOP MERAH WV vs WVI - TYPL5 U-9. Saksikan aksi-aksi terbaik dari tim yang bersaing ketat untuk meraih kemenangan. Dapatkan informasi lengkap mengenai jadwal pertandingan dan hasil pertandingan terbaru hanya di Vidio.</t>
  </si>
  <si>
    <t>b08e0e9a</t>
  </si>
  <si>
    <t>ASIOP MERAH vs TAJIMALELA - TYPL5 U-11</t>
  </si>
  <si>
    <t>https://www.vidio.com/live/20067-top-youth-premier-league-pekan-ke-15?schedule_id=4776345</t>
  </si>
  <si>
    <t>Nonton streaming pertandingan seru ASIOP MERAH vs TAJIMALELA - TYPL5 U-11. Saksikan aksi-aksi terbaik dari tim yang bersaing ketat untuk meraih kemenangan. Dapatkan informasi lengkap mengenai jadwal pertandingan dan hasil pertandingan terbaru hanya di Vidio.</t>
  </si>
  <si>
    <t>6cc81827</t>
  </si>
  <si>
    <t>FFF WEST vs RFA F16 - TYPL5 U-11</t>
  </si>
  <si>
    <t>https://www.vidio.com/live/20067-top-youth-premier-league-pekan-ke-15?schedule_id=4776346</t>
  </si>
  <si>
    <t>Nonton streaming pertandingan seru FFF WEST vs RFA F16 - TYPL5 U-11. Saksikan aksi-aksi terbaik dari tim yang bersaing ketat untuk meraih kemenangan. Dapatkan informasi lengkap mengenai jadwal pertandingan dan hasil pertandingan terbaru hanya di Vidio.</t>
  </si>
  <si>
    <t>97c90263</t>
  </si>
  <si>
    <t>World Tennis League 2025 - Finals</t>
  </si>
  <si>
    <t>https://www.vidio.com/live/6685-champions-tv-1?schedule_id=4780823</t>
  </si>
  <si>
    <t>https://drive.google.com/drive/folders/1IBWPddWirNNCINwV4UreM_0nyERPh-yy</t>
  </si>
  <si>
    <t>Nonton streaming pertandingan seru World Tennis League 2025 - Finals. Saksikan aksi-aksi terbaik dari tim yang bersaing ketat untuk meraih kemenangan. Dapatkan informasi lengkap mengenai jadwal pertandingan dan hasil pertandingan terbaru hanya di Vidio.</t>
  </si>
  <si>
    <t>https://drive.google.com/file/d/15QKmUk7XFDBlnU84nkmNCj3uSdVmAb_s/view?usp=sharing</t>
  </si>
  <si>
    <t>https://drive.google.com/file/d/1RTjVaFgFgqrsMTEMBNeDPxImB6DPh7Fu/view?usp=sharing</t>
  </si>
  <si>
    <t>66070693</t>
  </si>
  <si>
    <t>AZ Alkmaar vs NEC Nijmegen - Eredivisie</t>
  </si>
  <si>
    <t>alkmaar zaanstreek; nec nijmegen; sports stream</t>
  </si>
  <si>
    <t>Nonton streaming pertandingan seru AZ Alkmaar vs NEC Nijmegen - Eredivisie. Saksikan aksi-aksi terbaik dari tim yang bersaing ketat untuk meraih kemenangan. Dapatkan informasi lengkap mengenai jadwal pertandingan dan hasil pertandingan terbaru hanya di Vidio.</t>
  </si>
  <si>
    <t>2bc84bba</t>
  </si>
  <si>
    <t>AZ Alkmaar vs FC Volendam - Eredivisie</t>
  </si>
  <si>
    <t>https://www.vidio.com/live/6686-champions-tv-2?schedule_id=4832300</t>
  </si>
  <si>
    <t>https://drive.google.com/drive/folders/11XHoZqviYK-AMC_6mniRd-N7DkBcB7Qq</t>
  </si>
  <si>
    <t>alkmaar zaanstreek; fc volendam; sports stream</t>
  </si>
  <si>
    <t>Nonton streaming pertandingan seru AZ Alkmaar vs FC Volendam - Eredivisie. Saksikan aksi-aksi terbaik dari tim yang bersaing ketat untuk meraih kemenangan. Dapatkan informasi lengkap mengenai jadwal pertandingan dan hasil pertandingan terbaru hanya di Vidio.</t>
  </si>
  <si>
    <t>https://thumbor.prod.vidiocdn.com/hlB-hSXSo27oPL06oPJmOn2Msjo=/filters:quality(70)/vidio-media-production/uploads/image/source/53045/910403.png</t>
  </si>
  <si>
    <t>https://thumbor.prod.vidiocdn.com/13ea6DUvNQAdiUc2Ep0Ko407qNo=/filters:quality(70)/vidio-media-production/uploads/image/source/53042/f9dfbd.png</t>
  </si>
  <si>
    <t>https://drive.google.com/file/d/1rI0Fzoaac70Rq6KJIDsaUhwX7jMfXg5c/view?usp=sharing</t>
  </si>
  <si>
    <t>14fe9323</t>
  </si>
  <si>
    <t>Sparta Rotterdam vs FC Groningen - Eredivisie</t>
  </si>
  <si>
    <t>sparta rotterdam; fc groningen; sports stream</t>
  </si>
  <si>
    <t>Nonton streaming pertandingan seru Sparta Rotterdam vs FC Groningen - Eredivisie. Saksikan aksi-aksi terbaik dari tim yang bersaing ketat untuk meraih kemenangan. Dapatkan informasi lengkap mengenai jadwal pertandingan dan hasil pertandingan terbaru hanya di Vidio.</t>
  </si>
  <si>
    <t>d30d2a3a</t>
  </si>
  <si>
    <t>PSV vs Excelsior - Eredivisie</t>
  </si>
  <si>
    <t>https://www.vidio.com/live/6685-champions-tv-1?schedule_id=4832528</t>
  </si>
  <si>
    <t>https://drive.google.com/drive/folders/1XfRGUjCbGSoJoUR9jZTFSxhFFhs2B_B2</t>
  </si>
  <si>
    <t>psv eindhoven; excelsior rotterdam; sports stream</t>
  </si>
  <si>
    <t>Nonton streaming pertandingan seru PSV vs Excelsior - Eredivisie. Saksikan aksi-aksi terbaik dari tim yang bersaing ketat untuk meraih kemenangan. Dapatkan informasi lengkap mengenai jadwal pertandingan dan hasil pertandingan terbaru hanya di Vidio.</t>
  </si>
  <si>
    <t>https://thumbor.prod.vidiocdn.com/vBRfgy4dmZlm_UOxdDu8P4_yrFg=/filters:quality(70)/vidio-media-production/uploads/image/source/53046/8a346c.png</t>
  </si>
  <si>
    <t>https://thumbor.prod.vidiocdn.com/6rcl1QIPIhUQU_NE4H3NU8bn3hk=/filters:quality(70)/vidio-media-production/uploads/image/source/53044/73d8db.png</t>
  </si>
  <si>
    <t>https://drive.google.com/file/d/1ItGAw2Vr3LbeISFAV10n3rCdf5eqqz91/view?usp=sharing</t>
  </si>
  <si>
    <t>786a4823</t>
  </si>
  <si>
    <t>Excelsior vs Ajax - Eredivisie</t>
  </si>
  <si>
    <t>excelsior rotterdam; afc ajax; sports stream</t>
  </si>
  <si>
    <t>Nonton streaming pertandingan seru Excelsior vs Ajax - Eredivisie. Saksikan aksi-aksi terbaik dari tim yang bersaing ketat untuk meraih kemenangan. Dapatkan informasi lengkap mengenai jadwal pertandingan dan hasil pertandingan terbaru hanya di Vidio.</t>
  </si>
  <si>
    <t>57dcbc0f</t>
  </si>
  <si>
    <t>Heerenveen vs Feyenoord - Eredivisie</t>
  </si>
  <si>
    <t>https://www.vidio.com/live/6685-champions-tv-1?schedule_id=4832530</t>
  </si>
  <si>
    <t>https://drive.google.com/drive/folders/1jf7OXszNFig1DGzGj3nhp8zG_lM_PPiC</t>
  </si>
  <si>
    <t>sc heerenveen; feyenoord rotterdam; sports stream</t>
  </si>
  <si>
    <t>Nonton streaming pertandingan seru Heerenveen vs Feyenoord - Eredivisie. Saksikan aksi-aksi terbaik dari tim yang bersaing ketat untuk meraih kemenangan. Dapatkan informasi lengkap mengenai jadwal pertandingan dan hasil pertandingan terbaru hanya di Vidio.</t>
  </si>
  <si>
    <t>https://thumbor.prod.vidiocdn.com/k61x1-F-_CAGeyWvMQJQj_m2zuE=/filters:quality(70)/vidio-media-production/uploads/image/source/53048/8f2599.png</t>
  </si>
  <si>
    <t>https://thumbor.prod.vidiocdn.com/sKhEVXE92RuBbMVoKTCavJFXQM8=/filters:quality(70)/vidio-media-production/uploads/image/source/53047/c5d99f.png</t>
  </si>
  <si>
    <t>https://drive.google.com/file/d/1fHGJBx2w9j4-hZRdhtcSaJAoUTtbsxCD/view?usp=sharing</t>
  </si>
  <si>
    <t>ae698179</t>
  </si>
  <si>
    <t>PSV vs Feyenoord - Eredivisie</t>
  </si>
  <si>
    <t>psv eindhoven; feyenoord rotterdam; sports stream</t>
  </si>
  <si>
    <t>Nonton streaming pertandingan seru PSV vs Feyenoord - Eredivisie. Saksikan aksi-aksi terbaik dari tim yang bersaing ketat untuk meraih kemenangan. Dapatkan informasi lengkap mengenai jadwal pertandingan dan hasil pertandingan terbaru hanya di Vidio.</t>
  </si>
  <si>
    <t>da8115a7</t>
  </si>
  <si>
    <t>Telstar vs Ajax - Eredivisie</t>
  </si>
  <si>
    <t>https://www.vidio.com/live/6685-champions-tv-1?schedule_id=4832532</t>
  </si>
  <si>
    <t>https://drive.google.com/drive/folders/13LIblcDpul7sOyeTMnzyiqpiPKBlFfhV</t>
  </si>
  <si>
    <t>sc telstar; afc ajax; sports stream</t>
  </si>
  <si>
    <t>Nonton streaming pertandingan seru Telstar vs Ajax - Eredivisie. Saksikan aksi-aksi terbaik dari tim yang bersaing ketat untuk meraih kemenangan. Dapatkan informasi lengkap mengenai jadwal pertandingan dan hasil pertandingan terbaru hanya di Vidio.</t>
  </si>
  <si>
    <t>https://thumbor.prod.vidiocdn.com/JhltZEEPepYiGJr3AaW_JeBUb_c=/filters:quality(70)/vidio-media-production/uploads/image/source/53050/444cd5.png</t>
  </si>
  <si>
    <t>https://thumbor.prod.vidiocdn.com/Iay-G7Xx65l3ODi2qu0XD_OC7yU=/filters:quality(70)/vidio-media-production/uploads/image/source/53049/2e161d.png</t>
  </si>
  <si>
    <t>https://drive.google.com/file/d/1P9FYjX94bVpmUCdxfvBB1k9VZ0qgMUgv/view?usp=sharing</t>
  </si>
  <si>
    <t>8ccd642d</t>
  </si>
  <si>
    <t>Ajax vs FC Volendam - Eredivisie</t>
  </si>
  <si>
    <t>afc ajax; fc volendam; sports stream</t>
  </si>
  <si>
    <t>Nonton streaming pertandingan seru Ajax vs FC Volendam - Eredivisie. Saksikan aksi-aksi terbaik dari tim yang bersaing ketat untuk meraih kemenangan. Dapatkan informasi lengkap mengenai jadwal pertandingan dan hasil pertandingan terbaru hanya di Vidio.</t>
  </si>
  <si>
    <t>b41889f9</t>
  </si>
  <si>
    <t>Ajax vs Go Ahead Eagles - Eredivisie</t>
  </si>
  <si>
    <t>afc ajax; go ahead eagles; sports stream</t>
  </si>
  <si>
    <t>Nonton streaming pertandingan seru Ajax vs Go Ahead Eagles - Eredivisie. Saksikan aksi-aksi terbaik dari tim yang bersaing ketat untuk meraih kemenangan. Dapatkan informasi lengkap mengenai jadwal pertandingan dan hasil pertandingan terbaru hanya di Vidio.</t>
  </si>
  <si>
    <t>c19a4bd3</t>
  </si>
  <si>
    <t>PSV vs NAC Breda - Eredivisie</t>
  </si>
  <si>
    <t>psv eindhoven; nac breda; sports stream</t>
  </si>
  <si>
    <t>Nonton streaming pertandingan seru PSV vs NAC Breda - Eredivisie. Saksikan aksi-aksi terbaik dari tim yang bersaing ketat untuk meraih kemenangan. Dapatkan informasi lengkap mengenai jadwal pertandingan dan hasil pertandingan terbaru hanya di Vidio.</t>
  </si>
  <si>
    <t>ba6afa4d</t>
  </si>
  <si>
    <t>PEC Zwolle vs AZ Alkmaar - Eredivisie</t>
  </si>
  <si>
    <t>pec zwolle; alkmaar zaanstreek; sports stream</t>
  </si>
  <si>
    <t>Nonton streaming pertandingan seru PEC Zwolle vs AZ Alkmaar - Eredivisie. Saksikan aksi-aksi terbaik dari tim yang bersaing ketat untuk meraih kemenangan. Dapatkan informasi lengkap mengenai jadwal pertandingan dan hasil pertandingan terbaru hanya di Vidio.</t>
  </si>
  <si>
    <t>3ae8293a</t>
  </si>
  <si>
    <t>Fortuna Sittard vs PSV - Eredivisie</t>
  </si>
  <si>
    <t>fortuna sittard; psv eindhoven; sports stream</t>
  </si>
  <si>
    <t>Nonton streaming pertandingan seru Fortuna Sittard vs PSV - Eredivisie. Saksikan aksi-aksi terbaik dari tim yang bersaing ketat untuk meraih kemenangan. Dapatkan informasi lengkap mengenai jadwal pertandingan dan hasil pertandingan terbaru hanya di Vidio.</t>
  </si>
  <si>
    <t>43bc3b3a</t>
  </si>
  <si>
    <t>Telstar vs AZ Alkmaar - Eredivisie</t>
  </si>
  <si>
    <t>sc telstar; alkmaar zaanstreek; sports stream</t>
  </si>
  <si>
    <t>Nonton streaming pertandingan seru Telstar vs AZ Alkmaar - Eredivisie. Saksikan aksi-aksi terbaik dari tim yang bersaing ketat untuk meraih kemenangan. Dapatkan informasi lengkap mengenai jadwal pertandingan dan hasil pertandingan terbaru hanya di Vidio.</t>
  </si>
  <si>
    <t>c37baaff</t>
  </si>
  <si>
    <t>Feyenoord vs Sparta Rotterdam - Eredivisie</t>
  </si>
  <si>
    <t>feyenoord rotterdam; sparta rotterdam; sports stream</t>
  </si>
  <si>
    <t>Nonton streaming pertandingan seru Feyenoord vs Sparta Rotterdam - Eredivisie. Saksikan aksi-aksi terbaik dari tim yang bersaing ketat untuk meraih kemenangan. Dapatkan informasi lengkap mengenai jadwal pertandingan dan hasil pertandingan terbaru hanya di Vidio.</t>
  </si>
  <si>
    <t>daa24875</t>
  </si>
  <si>
    <t>Feyenoord vs Heracles - Eredivisie</t>
  </si>
  <si>
    <t>feyenoord rotterdam; heracles almelo; sports stream</t>
  </si>
  <si>
    <t>Nonton streaming pertandingan seru Feyenoord vs Heracles - Eredivisie. Saksikan aksi-aksi terbaik dari tim yang bersaing ketat untuk meraih kemenangan. Dapatkan informasi lengkap mengenai jadwal pertandingan dan hasil pertandingan terbaru hanya di Vidio.</t>
  </si>
  <si>
    <t>4da9995d</t>
  </si>
  <si>
    <t>Sheffield United vs Leicester - EFL Championship</t>
  </si>
  <si>
    <t>https://www.vidio.com/live/6685-champions-tv-1?schedule_id=4819762</t>
  </si>
  <si>
    <t>sheffield united; leicester city fc; sports stream</t>
  </si>
  <si>
    <t>Nonton streaming pertandingan seru Sheffield United vs Leicester - EFL Championship. Saksikan aksi-aksi terbaik dari tim yang bersaing ketat untuk meraih kemenangan. Dapatkan informasi lengkap mengenai jadwal pertandingan dan hasil pertandingan terbaru hanya di Vidio.</t>
  </si>
  <si>
    <t>https://thumbor.prod.vidiocdn.com/Zg_26c1I_vBItchzBw7_ym0_QtU=/filters:quality(70)/vidio-media-production/uploads/image/source/52893/a714e6.png</t>
  </si>
  <si>
    <t>https://thumbor.prod.vidiocdn.com/xexiQL9VdMdEeQ60-XifpcpdA-M=/filters:quality(70)/vidio-media-production/uploads/image/source/52892/3abe41.png</t>
  </si>
  <si>
    <t>83d70924</t>
  </si>
  <si>
    <t>Birmingham vs Coventry City - EFL Championship</t>
  </si>
  <si>
    <t>https://www.vidio.com/live/6685-champions-tv-1?schedule_id=4819783</t>
  </si>
  <si>
    <t>birmingham city fc; coventry city fc; sports stream</t>
  </si>
  <si>
    <t>Nonton streaming pertandingan seru Birmingham vs Coventry City - EFL Championship. Saksikan aksi-aksi terbaik dari tim yang bersaing ketat untuk meraih kemenangan. Dapatkan informasi lengkap mengenai jadwal pertandingan dan hasil pertandingan terbaru hanya di Vidio.</t>
  </si>
  <si>
    <t>https://thumbor.prod.vidiocdn.com/i0GReaBBaAV0YRBWl9A4_FjkdeY=/filters:quality(70)/vidio-media-production/uploads/image/source/52689/26791e.png</t>
  </si>
  <si>
    <t>https://thumbor.prod.vidiocdn.com/V1a5D8ZLhMWS4b4oXKfbHAcMj5o=/filters:quality(70)/vidio-media-production/uploads/image/source/52688/22b09d.png</t>
  </si>
  <si>
    <t>ee24726d</t>
  </si>
  <si>
    <t>Coventry City vs Leicester - EFL Championship</t>
  </si>
  <si>
    <t>coventry city fc; leicester city fc; sports stream</t>
  </si>
  <si>
    <t>Nonton streaming pertandingan seru Coventry City vs Leicester - EFL Championship. Saksikan aksi-aksi terbaik dari tim yang bersaing ketat untuk meraih kemenangan. Dapatkan informasi lengkap mengenai jadwal pertandingan dan hasil pertandingan terbaru hanya di Vidio.</t>
  </si>
  <si>
    <t>https://thumbor.prod.vidiocdn.com/f173TfbIDarq59oFS0k4Fozg9H8=/filters:quality(70)/vidio-media-production/uploads/image/source/52895/5cebaf.png</t>
  </si>
  <si>
    <t>https://thumbor.prod.vidiocdn.com/LoQEP8ESyU4u7EburaNMClx1NSk=/filters:quality(70)/vidio-media-production/uploads/image/source/52894/38e60f.png</t>
  </si>
  <si>
    <t>79951edb</t>
  </si>
  <si>
    <t>Oxford United vs Bristol City - EFL Championship</t>
  </si>
  <si>
    <t>Bristol City FC</t>
  </si>
  <si>
    <t>oxford united fc; bristol city fc; sports stream</t>
  </si>
  <si>
    <t>Nonton streaming pertandingan seru Oxford United vs Bristol City - EFL Championship. Saksikan aksi-aksi terbaik dari tim yang bersaing ketat untuk meraih kemenangan. Dapatkan informasi lengkap mengenai jadwal pertandingan dan hasil pertandingan terbaru hanya di Vidio.</t>
  </si>
  <si>
    <t>https://thumbor.prod.vidiocdn.com/yqY0aDPoFFtbgx_TsD9ssmh5s04=/filters:quality(70)/vidio-media-production/uploads/image/source/52897/d4c1f3.png</t>
  </si>
  <si>
    <t>https://thumbor.prod.vidiocdn.com/1TktBXOm8MVtVp72WK1zm8QCUoY=/filters:quality(70)/vidio-media-production/uploads/image/source/52896/d64a7b.png</t>
  </si>
  <si>
    <t>27f65a9a</t>
  </si>
  <si>
    <t>Wrexham vs Leicester - EFL Championship</t>
  </si>
  <si>
    <t>wrexham fc; leicester city fc; sports stream</t>
  </si>
  <si>
    <t>Nonton streaming pertandingan seru Wrexham vs Leicester - EFL Championship. Saksikan aksi-aksi terbaik dari tim yang bersaing ketat untuk meraih kemenangan. Dapatkan informasi lengkap mengenai jadwal pertandingan dan hasil pertandingan terbaru hanya di Vidio.</t>
  </si>
  <si>
    <t>https://thumbor.prod.vidiocdn.com/cOUCAL6SUkpXzROPLTcJIqZPoeU=/filters:quality(70)/vidio-media-production/uploads/image/source/52899/9eec02.png</t>
  </si>
  <si>
    <t>https://thumbor.prod.vidiocdn.com/5uKZ7qfbulCmsa0RGjqUD3D2sGA=/filters:quality(70)/vidio-media-production/uploads/image/source/52898/c738e7.png</t>
  </si>
  <si>
    <t>b5db84d4</t>
  </si>
  <si>
    <t>Norwich City vs Coventry City - EFL Championship</t>
  </si>
  <si>
    <t>norwich city; coventry city fc; sports stream</t>
  </si>
  <si>
    <t>Nonton streaming pertandingan seru Norwich City vs Coventry City - EFL Championship. Saksikan aksi-aksi terbaik dari tim yang bersaing ketat untuk meraih kemenangan. Dapatkan informasi lengkap mengenai jadwal pertandingan dan hasil pertandingan terbaru hanya di Vidio.</t>
  </si>
  <si>
    <t>https://thumbor.prod.vidiocdn.com/_m2udDxNcAKrDG1iWbRCvy4OkeI=/filters:quality(70)/vidio-media-production/uploads/image/source/52901/d1b200.png</t>
  </si>
  <si>
    <t>https://thumbor.prod.vidiocdn.com/ugDoEzNZsokGEOK1eejg2pfRbo8=/filters:quality(70)/vidio-media-production/uploads/image/source/52900/4bfa98.png</t>
  </si>
  <si>
    <t>fa2a5ecb</t>
  </si>
  <si>
    <t>Derby County vs Ipswich - EFL Championship</t>
  </si>
  <si>
    <t>Derby County FC</t>
  </si>
  <si>
    <t>derby county fc; ipswich town fc; sports stream</t>
  </si>
  <si>
    <t>Nonton streaming pertandingan seru Derby County vs Ipswich - EFL Championship. Saksikan aksi-aksi terbaik dari tim yang bersaing ketat untuk meraih kemenangan. Dapatkan informasi lengkap mengenai jadwal pertandingan dan hasil pertandingan terbaru hanya di Vidio.</t>
  </si>
  <si>
    <t>edeecd03</t>
  </si>
  <si>
    <t>Coventry City vs Oxford United - EFL Championship</t>
  </si>
  <si>
    <t>coventry city fc; oxford united fc; sports stream</t>
  </si>
  <si>
    <t>Nonton streaming pertandingan seru Coventry City vs Oxford United - EFL Championship. Saksikan aksi-aksi terbaik dari tim yang bersaing ketat untuk meraih kemenangan. Dapatkan informasi lengkap mengenai jadwal pertandingan dan hasil pertandingan terbaru hanya di Vidio.</t>
  </si>
  <si>
    <t>3380574c</t>
  </si>
  <si>
    <t>Sheffield United vs Middlesbrough - EFL Championship</t>
  </si>
  <si>
    <t>sheffield united; Middlesbrough; sports stream</t>
  </si>
  <si>
    <t>Nonton streaming pertandingan seru Sheffield United vs Middlesbrough - EFL Championship. Saksikan aksi-aksi terbaik dari tim yang bersaing ketat untuk meraih kemenangan. Dapatkan informasi lengkap mengenai jadwal pertandingan dan hasil pertandingan terbaru hanya di Vidio.</t>
  </si>
  <si>
    <t>c0a57ebb</t>
  </si>
  <si>
    <t>Bristol City vs Wrexham - EFL Championship</t>
  </si>
  <si>
    <t>bristol city fc; wrexham fc; sports stream</t>
  </si>
  <si>
    <t>Nonton streaming pertandingan seru Bristol City vs Wrexham - EFL Championship. Saksikan aksi-aksi terbaik dari tim yang bersaing ketat untuk meraih kemenangan. Dapatkan informasi lengkap mengenai jadwal pertandingan dan hasil pertandingan terbaru hanya di Vidio.</t>
  </si>
  <si>
    <t>9fc7ed35</t>
  </si>
  <si>
    <t>Coventry City vs Middlesbrough - EFL Championship</t>
  </si>
  <si>
    <t>coventry city fc; Middlesbrough; sports stream</t>
  </si>
  <si>
    <t>Nonton streaming pertandingan seru Coventry City vs Middlesbrough - EFL Championship. Saksikan aksi-aksi terbaik dari tim yang bersaing ketat untuk meraih kemenangan. Dapatkan informasi lengkap mengenai jadwal pertandingan dan hasil pertandingan terbaru hanya di Vidio.</t>
  </si>
  <si>
    <t>8a99f3e1</t>
  </si>
  <si>
    <t>West Bromwich Albion vs Coventry City - EFL Championship</t>
  </si>
  <si>
    <t>west bromwich albion fc; coventry city fc; sports stream</t>
  </si>
  <si>
    <t>Nonton streaming pertandingan seru West Bromwich Albion vs Coventry City - EFL Championship. Saksikan aksi-aksi terbaik dari tim yang bersaing ketat untuk meraih kemenangan. Dapatkan informasi lengkap mengenai jadwal pertandingan dan hasil pertandingan terbaru hanya di Vidio.</t>
  </si>
  <si>
    <t>1e0ffd68</t>
  </si>
  <si>
    <t>Sheffield United vs Sheffield Wednesday - EFL Championship</t>
  </si>
  <si>
    <t>sheffield united; sheffield wednesday fc; sports stream</t>
  </si>
  <si>
    <t>Nonton streaming pertandingan seru Sheffield United vs Sheffield Wednesday - EFL Championship. Saksikan aksi-aksi terbaik dari tim yang bersaing ketat untuk meraih kemenangan. Dapatkan informasi lengkap mengenai jadwal pertandingan dan hasil pertandingan terbaru hanya di Vidio.</t>
  </si>
  <si>
    <t>aa562b4d</t>
  </si>
  <si>
    <t>Stoke City vs Oxford United - EFL Championship</t>
  </si>
  <si>
    <t>Stoke City FC</t>
  </si>
  <si>
    <t>stoke city fc; oxford united fc; sports stream</t>
  </si>
  <si>
    <t>Nonton streaming pertandingan seru Stoke City vs Oxford United - EFL Championship. Saksikan aksi-aksi terbaik dari tim yang bersaing ketat untuk meraih kemenangan. Dapatkan informasi lengkap mengenai jadwal pertandingan dan hasil pertandingan terbaru hanya di Vidio.</t>
  </si>
  <si>
    <t>52d80366</t>
  </si>
  <si>
    <t>R80 Rajadamnern Anniversary</t>
  </si>
  <si>
    <t>https://www.vidio.com/live/19388-rws-muay-thai-2025?schedule_id=4795160</t>
  </si>
  <si>
    <t>https://drive.google.com/drive/folders/11ugCu5VhRaXAt1n4BhiTlupI_oYA8d3P?usp=drive_link</t>
  </si>
  <si>
    <t>https://drive.google.com/drive/folders/1TX6uq8cOhmWgMwbNMlyuEsaLf24StaeE</t>
  </si>
  <si>
    <t>Nonton streaming pertandingan seru R80 Rajadamnern Anniversary. Saksikan aksi-aksi terbaik dari tim yang bersaing ketat untuk meraih kemenangan. Dapatkan informasi lengkap mengenai jadwal pertandingan dan hasil pertandingan terbaru hanya di Vidio.</t>
  </si>
  <si>
    <t>https://drive.google.com/file/d/160_ikUtMDEtr1Jx9GC86KwxVXN1imHIm/view?usp=sharing</t>
  </si>
  <si>
    <t>https://drive.google.com/file/d/1T_bR4WOr9NuJ-SR8pfWyhuauNbp7J-9s/view?usp=sharing</t>
  </si>
  <si>
    <t>2debb26c</t>
  </si>
  <si>
    <t>Morocco vs Comoros - TotalEnergies Africa Cup of Nations</t>
  </si>
  <si>
    <t>https://www.vidio.com/live/6317-bein-3?schedule_id=4789602</t>
  </si>
  <si>
    <t>https://drive.google.com/drive/folders/1SjB3HAQwz9Kp_L5cCn7RkdAXFN19MhbZ?usp=drive_link</t>
  </si>
  <si>
    <t>morocco; comoros; sports stream</t>
  </si>
  <si>
    <t>Nonton streaming pertandingan seru Morocco vs Comoros - TotalEnergies Africa Cup of Nations. Saksikan aksi-aksi terbaik dari tim yang bersaing ketat untuk meraih kemenangan. Dapatkan informasi lengkap mengenai jadwal pertandingan dan hasil pertandingan terbaru hanya di Vidio.</t>
  </si>
  <si>
    <t>https://drive.google.com/file/d/1lkz6hupM2VWV5Mw8RaZNXrhCZGmb0I5j/view?usp=sharing</t>
  </si>
  <si>
    <t>https://drive.google.com/file/d/1r_MRax4FB43Ko2r_jpEDG4C1UVXjg5t_/view?usp=sharing</t>
  </si>
  <si>
    <t>70625fb0</t>
  </si>
  <si>
    <t>Besiktas vs Rizespor - Trendyol Super Lig</t>
  </si>
  <si>
    <t>https://www.vidio.com/live/6317-bein-3?schedule_id=4783747</t>
  </si>
  <si>
    <t>https://drive.google.com/drive/folders/1ey13xavB7a9y3Kwz-9XdyAlLe3vzblcV?usp=drive_link</t>
  </si>
  <si>
    <t>Rizespor</t>
  </si>
  <si>
    <t>besiktas; Rizespor; sports stream</t>
  </si>
  <si>
    <t>Nonton streaming pertandingan seru Besiktas vs Rizespor - Trendyol Super Lig. Saksikan aksi-aksi terbaik dari tim yang bersaing ketat untuk meraih kemenangan. Dapatkan informasi lengkap mengenai jadwal pertandingan dan hasil pertandingan terbaru hanya di Vidio.</t>
  </si>
  <si>
    <t>https://drive.google.com/file/d/13ttEnfwztxpJF33y8W6ycmGRKpotXgE4/view?usp=sharing</t>
  </si>
  <si>
    <t>https://drive.google.com/file/d/1iaAsJQcNqzoXkFT0Zr923UdLwEDGEWZi/view?usp=sharing</t>
  </si>
  <si>
    <t>7626ee1d</t>
  </si>
  <si>
    <t>Flamengo vs Pyramids FC - FIFA Intercontinental Cup</t>
  </si>
  <si>
    <t>FIFA Intercontinental Cup 2025</t>
  </si>
  <si>
    <t>Flamengo</t>
  </si>
  <si>
    <t>Pyramids FC</t>
  </si>
  <si>
    <t>Sports &gt; Football &gt; FIFA Intercontinental Cup</t>
  </si>
  <si>
    <t>FIFA Intercontinental Cup; FIFA Intercontinental Cup 2025</t>
  </si>
  <si>
    <t>FIFA</t>
  </si>
  <si>
    <t>Flamengo; Pyramids FC; sports stream</t>
  </si>
  <si>
    <t>Nonton streaming pertandingan seru Flamengo vs Pyramids FC - FIFA Intercontinental Cup. Saksikan aksi-aksi terbaik dari tim yang bersaing ketat untuk meraih kemenangan. Dapatkan informasi lengkap mengenai jadwal pertandingan dan hasil pertandingan terbaru hanya di Vidio.</t>
  </si>
  <si>
    <t>fb64d85f</t>
  </si>
  <si>
    <t>Galatasaray vs Kasimpasa - Trendyol Super Lig</t>
  </si>
  <si>
    <t>https://www.vidio.com/live/6317-bein-3?schedule_id=4784750</t>
  </si>
  <si>
    <t>https://drive.google.com/drive/folders/1UY7l5OK5ZRVTA9ZyzmPfvZwEbfs_HMDm?usp=drive_link</t>
  </si>
  <si>
    <t>Kasimpasa</t>
  </si>
  <si>
    <t>galatasaray spor kulübü; Kasimpasa; sports stream</t>
  </si>
  <si>
    <t>Nonton streaming pertandingan seru Galatasaray vs Kasimpasa - Trendyol Super Lig. Saksikan aksi-aksi terbaik dari tim yang bersaing ketat untuk meraih kemenangan. Dapatkan informasi lengkap mengenai jadwal pertandingan dan hasil pertandingan terbaru hanya di Vidio.</t>
  </si>
  <si>
    <t>https://drive.google.com/file/d/1FRKhT9t7XCsC-gN8hAVXl1pAIokmOowQ/view?usp=sharing</t>
  </si>
  <si>
    <t>88ef28c1</t>
  </si>
  <si>
    <t>PSG vs Flamengo - FIFA Intercontinental Cup</t>
  </si>
  <si>
    <t>https://www.vidio.com/live/6299-bein-1?schedule_id=4783004</t>
  </si>
  <si>
    <t>https://drive.google.com/drive/folders/1P9aFZrpRXX8A_1UKyI54QxJAd6wEmHgp</t>
  </si>
  <si>
    <t>Paris Saint-Germain FC; Flamengo; sports stream</t>
  </si>
  <si>
    <t>Nonton streaming pertandingan seru PSG vs Flamengo - FIFA Intercontinental Cup. Saksikan aksi-aksi terbaik dari tim yang bersaing ketat untuk meraih kemenangan. Dapatkan informasi lengkap mengenai jadwal pertandingan dan hasil pertandingan terbaru hanya di Vidio.</t>
  </si>
  <si>
    <t>https://drive.google.com/file/d/1vLwF4uul5Kr4c3Q6Rk6BRvI-MVyYYKUS/view?usp=sharing</t>
  </si>
  <si>
    <t>https://drive.google.com/file/d/1-4umMsOwZNdKGY2SZPlsffOeAjSpICAS/view?usp=sharing</t>
  </si>
  <si>
    <t>69b7bc6c</t>
  </si>
  <si>
    <t>Rajadamnern 2025 Interim Middleweight, Flyweight, and Light Flyweight Title</t>
  </si>
  <si>
    <t>https://www.vidio.com/live/19388-rws-muay-thai-2025?schedule_id=4783422</t>
  </si>
  <si>
    <t>https://drive.google.com/drive/folders/1LMCZrmL3kmU1C7udFpOYuxwt6rZPYDGf?usp=sharing</t>
  </si>
  <si>
    <t>https://drive.google.com/drive/folders/1fOxf-Gk3Uc6MxXT7trRIyP1SBBmKX5aH?usp=drive_link</t>
  </si>
  <si>
    <t>Nonton streaming pertandingan seru Rajadamnern 2025 Interim Middleweight, Flyweight, and Light Flyweight Title. Saksikan aksi-aksi terbaik dari tim yang bersaing ketat untuk meraih kemenangan. Dapatkan informasi lengkap mengenai jadwal pertandingan dan hasil pertandingan terbaru hanya di Vidio.</t>
  </si>
  <si>
    <t>https://drive.google.com/file/d/1SKb_SXxEYgw0txOkly1bIqSI2M9yF2lk/view?usp=sharing</t>
  </si>
  <si>
    <t>https://drive.google.com/file/d/1YW4fztlrni5GRkjhBViO9QsHf6NL72bj/view?usp=sharing</t>
  </si>
  <si>
    <t>5ec885ee</t>
  </si>
  <si>
    <t>Putri: Jakarta Popsivo Polwan vs Medan Falcons - Proliga</t>
  </si>
  <si>
    <t>Proliga 2026</t>
  </si>
  <si>
    <t>VIDIO - @moji</t>
  </si>
  <si>
    <t>https://www.vidio.com/live/20240-proliga?schedule_id=4831743</t>
  </si>
  <si>
    <t>https://drive.google.com/drive/folders/1y94dD7G2Iql9OopsDdbDzKXhWL6YDzqX</t>
  </si>
  <si>
    <t>Jakarta Popsivo Polwan</t>
  </si>
  <si>
    <t>Yogya Falcons</t>
  </si>
  <si>
    <t>Sports &gt; Volleyball &gt; Proliga</t>
  </si>
  <si>
    <t>Proliga; Proliga 2026</t>
  </si>
  <si>
    <t>PBVSI</t>
  </si>
  <si>
    <t>Jakarta Popsivo Polwan; yogya falcons; sports stream</t>
  </si>
  <si>
    <t>Nonton streaming pertandingan seru Putri: Jakarta Popsivo Polwan vs Medan Falcons - Proliga. Saksikan aksi-aksi terbaik dari tim yang bersaing ketat untuk meraih kemenangan. Dapatkan informasi lengkap mengenai jadwal pertandingan dan hasil pertandingan terbaru hanya di Vidio.</t>
  </si>
  <si>
    <t>Popsivo: Chelsa Berliana Utomo (MB) &amp; Sania Clarissa (L)
Falcons: Adjani Zahra (MB) &amp; Sulastri Rahma (L)</t>
  </si>
  <si>
    <t>NTC Gabungan Opening Day</t>
  </si>
  <si>
    <t>https://drive.google.com/file/d/1kniGLOPDIDbRBJjn-5BJmtdTW5iNCmcj/view?usp=sharing</t>
  </si>
  <si>
    <t>https://drive.google.com/file/d/1s55r7MEsqqloLX4s5gjAx1egWzS_RPYP/view?usp=sharing</t>
  </si>
  <si>
    <t>78d1277b</t>
  </si>
  <si>
    <t>Putra: Jakarta Bhayangkara Presisi vs Medan Falcons Tirta Bhagasasi - Proliga</t>
  </si>
  <si>
    <t>https://www.vidio.com/live/20240-proliga?schedule_id=4832159</t>
  </si>
  <si>
    <t>https://drive.google.com/drive/folders/1_4NAtkA29AVjYVoP3iZkpknUZPzpMzvE</t>
  </si>
  <si>
    <t>Jakarta Bhayangkara Presisi</t>
  </si>
  <si>
    <t>Falcons Volleyball Club Putra</t>
  </si>
  <si>
    <t>Jakarta Bhayangkara Presisi; Falcons Volleyball Club Putra; sports stream</t>
  </si>
  <si>
    <t>Nonton streaming pertandingan seru Putra: Jakarta Bhayangkara Presisi vs Medan Falcons Tirta Bhagasasi - Proliga. Saksikan aksi-aksi terbaik dari tim yang bersaing ketat untuk meraih kemenangan. Dapatkan informasi lengkap mengenai jadwal pertandingan dan hasil pertandingan terbaru hanya di Vidio.</t>
  </si>
  <si>
    <t>Bhayangkara: Agil Angga (OH) &amp; Hernanda Zulfi (MB)
Bhagasasi: Fahri Septian (OH) &amp; Gunawan Saputra (MB)</t>
  </si>
  <si>
    <t>NTC Gabugan Opening Day</t>
  </si>
  <si>
    <t>https://drive.google.com/file/d/1oxkCqB0EQS4Ss2GXsjx9SiCGLrlPuwau/view?usp=sharing</t>
  </si>
  <si>
    <t>https://drive.google.com/file/d/1Ft6cbsMTt11OnH4Bkm6QJ3zBvqtLSul0/view?usp=sharing</t>
  </si>
  <si>
    <t>3413c5a3</t>
  </si>
  <si>
    <t>(Data Zone) Tottenham vs Liverpool - Premier League</t>
  </si>
  <si>
    <t>https://www.vidio.com/live/9183-champions-tv-6?schedule_id=4783749</t>
  </si>
  <si>
    <t>https://drive.google.com/file/d/1htggtsELM7Slqk4GJh4phqkOk98QXZ5Y/view?usp=drive_link</t>
  </si>
  <si>
    <t>Nonton streaming pertandingan seru (Data Zone) Tottenham vs Liverpool - Premier League. Saksikan aksi-aksi terbaik dari tim yang bersaing ketat untuk meraih kemenangan. Dapatkan informasi lengkap mengenai jadwal pertandingan dan hasil pertandingan terbaru hanya di Vidio.</t>
  </si>
  <si>
    <t>ba48a777</t>
  </si>
  <si>
    <t>(Data Zone) Chelsea vs Aston Villa - Premier League</t>
  </si>
  <si>
    <t>https://www.vidio.com/live/9183-champions-tv-6?schedule_id=4792898</t>
  </si>
  <si>
    <t>https://drive.google.com/drive/folders/1a_YcvapatfxldL8cz1Dz-6fUX6UZLmfb?usp=drive_link</t>
  </si>
  <si>
    <t>Nonton streaming pertandingan seru (Data Zone) Chelsea vs Aston Villa - Premier League. Saksikan aksi-aksi terbaik dari tim yang bersaing ketat untuk meraih kemenangan. Dapatkan informasi lengkap mengenai jadwal pertandingan dan hasil pertandingan terbaru hanya di Vidio.</t>
  </si>
  <si>
    <t>cornelius.setiawan@vidio.com</t>
  </si>
  <si>
    <t>https://drive.google.com/file/d/1O7UyJmQ2qbhKMd5Dv7nFzleJsUPqyQY9/view?usp=sharing</t>
  </si>
  <si>
    <t>aec40746</t>
  </si>
  <si>
    <t>Los Angeles Rams vs Seattle Seahawks - NFL</t>
  </si>
  <si>
    <t>https://www.vidio.com/live/19623-national-football-league-2025-26?schedule_id=4783277</t>
  </si>
  <si>
    <t>https://drive.google.com/drive/folders/1JXXd0dBN80a-DRjsnMwfQzOwKCM6jLHc?usp=drive_link</t>
  </si>
  <si>
    <t>Nonton streaming pertandingan seru Los Angeles Rams vs Seattle Seahawks - NFL. Saksikan aksi-aksi terbaik dari tim yang bersaing ketat untuk meraih kemenangan. Dapatkan informasi lengkap mengenai jadwal pertandingan dan hasil pertandingan terbaru hanya di Vidio.</t>
  </si>
  <si>
    <t>https://thumbor.prod.vidiocdn.com/8pkP4eZacQLdE4RgFOqKaaYlPio=/filters:quality(70)/vidio-media-production/uploads/image/source/52090/f70323.png</t>
  </si>
  <si>
    <t>https://thumbor.prod.vidiocdn.com/P91TwUwx2kr9va4NEHkGx2aQhqY=/filters:quality(70)/vidio-media-production/uploads/image/source/52086/a61872.png</t>
  </si>
  <si>
    <t>https://drive.google.com/file/d/1zL6p0WSZUK3SvJDGpR7Ffp3b0nMnAEUw/view?usp=sharing</t>
  </si>
  <si>
    <t>813880b0</t>
  </si>
  <si>
    <t>Philadelphia Eagles vs Washington Commanders - NFL</t>
  </si>
  <si>
    <t>https://www.vidio.com/live/19623-national-football-league-2025-26?schedule_id=4783761</t>
  </si>
  <si>
    <t>https://drive.google.com/drive/folders/1QESy9g78OHvydlWsKynPLUQopKVtQn5s</t>
  </si>
  <si>
    <t>Nonton streaming pertandingan seru Philadelphia Eagles vs Washington Commanders - NFL. Saksikan aksi-aksi terbaik dari tim yang bersaing ketat untuk meraih kemenangan. Dapatkan informasi lengkap mengenai jadwal pertandingan dan hasil pertandingan terbaru hanya di Vidio.</t>
  </si>
  <si>
    <t>https://drive.google.com/file/d/10x07eappWmOAg9Ewdw-tRuCk5sWGQ8VM/view?usp=sharing</t>
  </si>
  <si>
    <t>b24dcc31</t>
  </si>
  <si>
    <t>Green Bay Packers vs Chicago Bears - NFL</t>
  </si>
  <si>
    <t>https://www.vidio.com/live/19623-national-football-league-2025-26?schedule_id=4783760</t>
  </si>
  <si>
    <t>https://drive.google.com/drive/folders/1BDWOT9m9EV8r06ldH0xAxm1qsUsyve2V?usp=drive_link</t>
  </si>
  <si>
    <t>Nonton streaming pertandingan seru Green Bay Packers vs Chicago Bears - NFL. Saksikan aksi-aksi terbaik dari tim yang bersaing ketat untuk meraih kemenangan. Dapatkan informasi lengkap mengenai jadwal pertandingan dan hasil pertandingan terbaru hanya di Vidio.</t>
  </si>
  <si>
    <t>https://thumbor.prod.vidiocdn.com/CVg9kKGcV6BEES2Z2L-886ulQG4=/filters:quality(70)/vidio-media-production/uploads/image/source/52083/5db10c.png</t>
  </si>
  <si>
    <t>https://thumbor.prod.vidiocdn.com/0oT5xRAFlwIf9OxApB8opWwfi84=/filters:quality(70)/vidio-media-production/uploads/image/source/52081/827737.png</t>
  </si>
  <si>
    <t>https://drive.google.com/file/d/1e989U7PEqBEga9s9zKe1wiU70QaxVqWd/view?usp=sharing</t>
  </si>
  <si>
    <t>cb6f9492</t>
  </si>
  <si>
    <t>Los Angeles Chargers vs Dallas Cowboys - NFL</t>
  </si>
  <si>
    <t>https://www.vidio.com/live/19548-national-football-league-2025-26?schedule_id=4784754</t>
  </si>
  <si>
    <t>https://drive.google.com/drive/folders/1l_-j-ScTt8XT43Bekqor9PyIVNprFjeI?usp=drive_link</t>
  </si>
  <si>
    <t>Nonton streaming pertandingan seru Los Angeles Chargers vs Dallas Cowboys - NFL. Saksikan aksi-aksi terbaik dari tim yang bersaing ketat untuk meraih kemenangan. Dapatkan informasi lengkap mengenai jadwal pertandingan dan hasil pertandingan terbaru hanya di Vidio.</t>
  </si>
  <si>
    <t>https://thumbor.prod.vidiocdn.com/m-YCkTf2-7gWA-qLr008rBf5bZM=/filters:quality(70)/vidio-media-production/uploads/image/source/52084/4838bc.png</t>
  </si>
  <si>
    <t>https://thumbor.prod.vidiocdn.com/B_gytF4lQN4ZBWNhTcef7qQgLz4=/filters:quality(70)/vidio-media-production/uploads/image/source/52082/591178.png</t>
  </si>
  <si>
    <t>https://drive.google.com/file/d/1yXEU-e6hAyhmeq77OTdXVxrCc2Zv_0V-/view?usp=sharing</t>
  </si>
  <si>
    <t>bec1b53d</t>
  </si>
  <si>
    <t>Tampa Bay Buccaneers vs Carolina Panthers - NFL</t>
  </si>
  <si>
    <t>Nonton streaming pertandingan seru Tampa Bay Buccaneers vs Carolina Panthers - NFL. Saksikan aksi-aksi terbaik dari tim yang bersaing ketat untuk meraih kemenangan. Dapatkan informasi lengkap mengenai jadwal pertandingan dan hasil pertandingan terbaru hanya di Vidio.</t>
  </si>
  <si>
    <t>https://thumbor.prod.vidiocdn.com/NT50wjxdeK4EtUVZVy2aCkiDSow=/filters:quality(70)/vidio-media-production/uploads/image/source/52088/2aa5b1.png</t>
  </si>
  <si>
    <t>https://thumbor.prod.vidiocdn.com/n1AgI9Gljny09YpXFGoo2kp06zQ=/filters:quality(70)/vidio-media-production/uploads/image/source/52085/49df70.png</t>
  </si>
  <si>
    <t>d8ad8699</t>
  </si>
  <si>
    <t>Pittsburgh Steelers vs Detroit Lions - NFL</t>
  </si>
  <si>
    <t>https://www.vidio.com/live/19548-national-football-league-2025-26?schedule_id=4784755</t>
  </si>
  <si>
    <t>https://drive.google.com/drive/folders/1-50WB0GH_MTT4KdIxJdtW6ruBoJ5Hr7_?usp=drive_link</t>
  </si>
  <si>
    <t>Nonton streaming pertandingan seru Pittsburgh Steelers vs Detroit Lions - NFL. Saksikan aksi-aksi terbaik dari tim yang bersaing ketat untuk meraih kemenangan. Dapatkan informasi lengkap mengenai jadwal pertandingan dan hasil pertandingan terbaru hanya di Vidio.</t>
  </si>
  <si>
    <t>https://thumbor.prod.vidiocdn.com/hSB8WRlQdhYXisNIEf88z1iKFxM=/filters:quality(70)/vidio-media-production/uploads/image/source/52089/a5e83d.png</t>
  </si>
  <si>
    <t>https://thumbor.prod.vidiocdn.com/d3gByXlPf5y8auLoM1KFfquNPvI=/filters:quality(70)/vidio-media-production/uploads/image/source/52087/509e02.png</t>
  </si>
  <si>
    <t>https://drive.google.com/file/d/1UJkaLpq2uAoX6ZTafb--9DORrZUPV6hS/view?usp=sharing</t>
  </si>
  <si>
    <t>f2ca327d</t>
  </si>
  <si>
    <t>New England Patriots vs Baltimore Ravens - NFL</t>
  </si>
  <si>
    <t>https://www.vidio.com/live/19623-national-football-league-2025-26?schedule_id=4784947</t>
  </si>
  <si>
    <t>https://drive.google.com/drive/folders/1h90wA4ULleD8m3SEQLANM7FofEkfyMeS?usp=drive_link</t>
  </si>
  <si>
    <t>Nonton streaming pertandingan seru New England Patriots vs Baltimore Ravens - NFL. Saksikan aksi-aksi terbaik dari tim yang bersaing ketat untuk meraih kemenangan. Dapatkan informasi lengkap mengenai jadwal pertandingan dan hasil pertandingan terbaru hanya di Vidio.</t>
  </si>
  <si>
    <t>https://thumbor.prod.vidiocdn.com/yyFwmwpIFni8q60xIVAHCerfMcY=/filters:quality(70)/vidio-media-production/uploads/image/source/52093/428753.png</t>
  </si>
  <si>
    <t>https://thumbor.prod.vidiocdn.com/3nX0CQDwTGhowvt73NyJ20GyjqU=/filters:quality(70)/vidio-media-production/uploads/image/source/52091/c38253.png</t>
  </si>
  <si>
    <t>https://drive.google.com/file/d/12yaJn0EFBPUais_trR4bqEemxOqbWZTB/view?usp=sharing</t>
  </si>
  <si>
    <t>6c8f7750</t>
  </si>
  <si>
    <t>San Francisco 49ers vs Indianapolis Colts - NFL</t>
  </si>
  <si>
    <t>https://www.vidio.com/live/19623-national-football-league-2025-26?schedule_id=4784952</t>
  </si>
  <si>
    <t>https://drive.google.com/drive/folders/1E-CjoslWcB3Rw4bRvdCZJgChkKSBB3uC?usp=drive_link</t>
  </si>
  <si>
    <t>Nonton streaming pertandingan seru San Francisco 49ers vs Indianapolis Colts - NFL. Saksikan aksi-aksi terbaik dari tim yang bersaing ketat untuk meraih kemenangan. Dapatkan informasi lengkap mengenai jadwal pertandingan dan hasil pertandingan terbaru hanya di Vidio.</t>
  </si>
  <si>
    <t>https://thumbor.prod.vidiocdn.com/MdNcHwedgbuowaWeMMFCO1YaWSU=/filters:quality(70)/vidio-media-production/uploads/image/source/52094/583ac0.png</t>
  </si>
  <si>
    <t>https://thumbor.prod.vidiocdn.com/iSocpjZd3WMfSIISaWpzNxx1HUg=/filters:quality(70)/vidio-media-production/uploads/image/source/52092/7cbad8.png</t>
  </si>
  <si>
    <t>https://drive.google.com/file/d/19ow5FjwON3krg0xIeg-z9BaMtRqhnz6u/view?usp=sharing</t>
  </si>
  <si>
    <t>22b0127b</t>
  </si>
  <si>
    <t>Telstar vs NEC Nijmegen - Eredivisie</t>
  </si>
  <si>
    <t>https://www.vidio.com/live/6685-champions-tv-1?schedule_id=4778982</t>
  </si>
  <si>
    <t>https://thumbor.prod.vidiocdn.com/jk4ElYkYt_k-LHzsDIZx6u82D_0=/filters:quality(70)/vidio-media-production/uploads/image/source/52074/cd1a1c.png</t>
  </si>
  <si>
    <t>sc telstar; nec nijmegen; sports stream</t>
  </si>
  <si>
    <t>Nonton streaming pertandingan seru Telstar vs NEC Nijmegen - Eredivisie. Saksikan aksi-aksi terbaik dari tim yang bersaing ketat untuk meraih kemenangan. Dapatkan informasi lengkap mengenai jadwal pertandingan dan hasil pertandingan terbaru hanya di Vidio.</t>
  </si>
  <si>
    <t>https://thumbor.prod.vidiocdn.com/JWT2bSreEg8ev1BTmph5Ahne05o=/filters:quality(70)/vidio-media-production/uploads/image/source/52073/22b860.png</t>
  </si>
  <si>
    <t>561c1a8f</t>
  </si>
  <si>
    <t>Press Conference Proliga 2026</t>
  </si>
  <si>
    <t>VIDIO - @proliga</t>
  </si>
  <si>
    <t>https://www.vidio.com/live/20122-proliga?schedule_id=4789832</t>
  </si>
  <si>
    <t>https://drive.google.com/drive/folders/1hympjgDJ8l5ANElBKCdh7hgbTQBXLas5</t>
  </si>
  <si>
    <t>Nonton streaming pertandingan seru Press Conference Proliga 2026. Saksikan aksi-aksi terbaik dari tim yang bersaing ketat untuk meraih kemenangan. Dapatkan informasi lengkap mengenai jadwal pertandingan dan hasil pertandingan terbaru hanya di Vidio.</t>
  </si>
  <si>
    <t>https://drive.google.com/file/d/1Cn8XgnmnO8YvSwA_hcohCung9DFhAxSo/view?usp=sharing</t>
  </si>
  <si>
    <t>https://drive.google.com/file/d/1n07KE5bXBmF2APVloOCnnzRrjtpxLPJo/view?usp=sharing</t>
  </si>
  <si>
    <t>a85d03fc</t>
  </si>
  <si>
    <t>(Data Zone) Liverpool vs Leeds United - Premier League</t>
  </si>
  <si>
    <t>https://www.vidio.com/live/9183-champions-tv-6?schedule_id=4802191</t>
  </si>
  <si>
    <t>https://drive.google.com/file/d/1b-rVt-Us2kBUigOC-tfalfRxxxcAfC39/view?usp=sharing</t>
  </si>
  <si>
    <t>Nonton streaming pertandingan seru (Data Zone) Liverpool vs Leeds United - Premier League. Saksikan aksi-aksi terbaik dari tim yang bersaing ketat untuk meraih kemenangan. Dapatkan informasi lengkap mengenai jadwal pertandingan dan hasil pertandingan terbaru hanya di Vidio.</t>
  </si>
  <si>
    <t>f0971619</t>
  </si>
  <si>
    <t>Putri: Jakarta Pertamina Enduro vs Jakarta Electric PLN Mobile - Proliga</t>
  </si>
  <si>
    <t>https://www.vidio.com/live/20240-pln-mobile-proliga-2026?schedule_id=4832234</t>
  </si>
  <si>
    <t>https://drive.google.com/drive/folders/109MUAHc_rOv1g3YhSC0JKyahMywWxYpe</t>
  </si>
  <si>
    <t>Jakarta Pertamina</t>
  </si>
  <si>
    <t>Jakarta Electric PLN</t>
  </si>
  <si>
    <t>Jakarta Pertamina Fastron; jakarta elektrik pln; sports stream</t>
  </si>
  <si>
    <t>Nonton streaming pertandingan seru Putri: Jakarta Pertamina Enduro vs Jakarta Electric PLN Mobile - Proliga. Saksikan aksi-aksi terbaik dari tim yang bersaing ketat untuk meraih kemenangan. Dapatkan informasi lengkap mengenai jadwal pertandingan dan hasil pertandingan terbaru hanya di Vidio.</t>
  </si>
  <si>
    <t>Enduro: Megawati Hangestri (OP) &amp; Tisya Amallya (S)
Electric: Ersandrina Devega (OH) &amp; Khalisa Azilia (S)</t>
  </si>
  <si>
    <t>https://drive.google.com/file/d/1SnaiInp3XY_N1eITPYywKFlfB6Pu0Gqv/view?usp=sharing</t>
  </si>
  <si>
    <t>https://drive.google.com/file/d/1uIKVNvCdgfonASrV_u-btqJR4SRTyg3J/view?usp=sharing</t>
  </si>
  <si>
    <t>527bceae</t>
  </si>
  <si>
    <t>Putri: Bandung BJB Tandamata vs Jakarta Livin Mandiri - Proliga</t>
  </si>
  <si>
    <t>https://www.vidio.com/live/20240-proliga-2026?schedule_id=4833009</t>
  </si>
  <si>
    <t>https://drive.google.com/drive/u/0/folders/1VvSok_jYJ2q9sN586HVKTHeMzo4MZdCi</t>
  </si>
  <si>
    <t>Bandung BJB Tandamata</t>
  </si>
  <si>
    <t>Jakarta Livin Mandiri</t>
  </si>
  <si>
    <t>Bandung bjb Tandamata; jakarta livin mandiri; sports stream</t>
  </si>
  <si>
    <t>Nonton streaming pertandingan seru Putri: Bandung BJB Tandamata vs Jakarta Livin Mandiri - Proliga. Saksikan aksi-aksi terbaik dari tim yang bersaing ketat untuk meraih kemenangan. Dapatkan informasi lengkap mengenai jadwal pertandingan dan hasil pertandingan terbaru hanya di Vidio.</t>
  </si>
  <si>
    <t>BJB Tandamata: Shintia Alliva (MB) &amp; Calista Maya (OH)
Livin Mandiri: Yolla Yuliana (MB) &amp; Syelomitha (OH)</t>
  </si>
  <si>
    <t>https://drive.google.com/file/d/1_7dz0OL7rB4yUs1lz4QvCEi0uzA_psp-/view?usp=sharing</t>
  </si>
  <si>
    <t>https://drive.google.com/file/d/1X6FoWUKNvE2QJV8qGxMnle4Ucp0-PCoS/view?usp=sharing</t>
  </si>
  <si>
    <t>5482b633</t>
  </si>
  <si>
    <t>Putri: Medan Falcons vs Gresik Phonska Plus Pupuk Indonesia - Proliga</t>
  </si>
  <si>
    <t>https://www.vidio.com/live/20240-pln-mobile-proliga-2026?schedule_id=4832283</t>
  </si>
  <si>
    <t>https://drive.google.com/drive/folders/1E2iqHwpQkZ9UCtOEPXG1zeg49XoroxyL</t>
  </si>
  <si>
    <t>Gresik Petrokimia</t>
  </si>
  <si>
    <t>yogya falcons; gresik petrokimia; sports stream</t>
  </si>
  <si>
    <t>Nonton streaming pertandingan seru Putri: Medan Falcons vs Gresik Phonska Plus Pupuk Indonesia - Proliga. Saksikan aksi-aksi terbaik dari tim yang bersaing ketat untuk meraih kemenangan. Dapatkan informasi lengkap mengenai jadwal pertandingan dan hasil pertandingan terbaru hanya di Vidio.</t>
  </si>
  <si>
    <t>Falcons: Maya Indri (MB) &amp; Vi Thi Nhu Quynh (OH)
Phonska Plus: Shella Bernadetha (MB) &amp; Annie Mitchem (OH)</t>
  </si>
  <si>
    <t>https://drive.google.com/file/d/1gPw46VJhKmf2fl5eVkuiHohrgUxkGWyV/view?usp=sharing</t>
  </si>
  <si>
    <t>https://drive.google.com/file/d/1-RU8I6GwktQ6GukmhMDunV-_2gExiNu5/view?usp=sharing</t>
  </si>
  <si>
    <t>b4cd3672</t>
  </si>
  <si>
    <t>Putra: Jakarta Lavani Livin Transmedia vs Jakarta Garuda Jaya - Proliga</t>
  </si>
  <si>
    <t>https://www.vidio.com/live/20240-proliga-2026?schedule_id=4833014</t>
  </si>
  <si>
    <t>https://drive.google.com/drive/u/0/folders/18LciNSlqed1a3I6f-8aaVE-Y-MXFNSeK</t>
  </si>
  <si>
    <t>Jakarta Lavani Mandiri Transmart</t>
  </si>
  <si>
    <t>Jakarta Garuda Jaya</t>
  </si>
  <si>
    <t>bogor lavani; Jakarta Garuda Jaya; sports stream</t>
  </si>
  <si>
    <t>Nonton streaming pertandingan seru Putra: Jakarta Lavani Livin Transmedia vs Jakarta Garuda Jaya - Proliga. Saksikan aksi-aksi terbaik dari tim yang bersaing ketat untuk meraih kemenangan. Dapatkan informasi lengkap mengenai jadwal pertandingan dan hasil pertandingan terbaru hanya di Vidio.</t>
  </si>
  <si>
    <t>Lavani: Nato Dickinson (OP) &amp; Taylor Sander (OH)
Garuda Jaya: Dawuda (OP) &amp; Bagas Wijanarko (OH)</t>
  </si>
  <si>
    <t>https://drive.google.com/file/d/1nAdAOT1MfvJ-TpKdy8LEh0W-NsVgUxs8/view?usp=sharing</t>
  </si>
  <si>
    <t>https://drive.google.com/file/d/1B2eLa__r0MTgab2DRBwdXHuS596eAuZv/view?usp=sharing</t>
  </si>
  <si>
    <t>1ba3fc9a</t>
  </si>
  <si>
    <t>Putri: Jakarta Electric PLN Mobile vs Jakarta Livin Mandiri - Proliga</t>
  </si>
  <si>
    <t>https://www.vidio.com/live/20240-proliga-2026?schedule_id=4833788</t>
  </si>
  <si>
    <t>https://drive.google.com/drive/u/0/folders/1GB2PEtltvim588dqQLO3AESoEsbsWJf8</t>
  </si>
  <si>
    <t>jakarta elektrik pln; jakarta livin mandiri; sports stream</t>
  </si>
  <si>
    <t>Nonton streaming pertandingan seru Putri: Jakarta Electric PLN Mobile vs Jakarta Livin Mandiri - Proliga. Saksikan aksi-aksi terbaik dari tim yang bersaing ketat untuk meraih kemenangan. Dapatkan informasi lengkap mengenai jadwal pertandingan dan hasil pertandingan terbaru hanya di Vidio.</t>
  </si>
  <si>
    <t>Electric: Neriman Ozsoy (OH) &amp; Agustin Wulandari (MB)
Livin Mandiri: Ana Bjelica (OH) &amp; Myrasuci (MB)</t>
  </si>
  <si>
    <t>https://drive.google.com/file/d/1B8Z5qLTMC6QbABD8C0_DhfOxAQVKo-qg/view?usp=sharing</t>
  </si>
  <si>
    <t>https://drive.google.com/file/d/1sHhD2TDUgA7IzS3qu0dIab0BqEBIxKKa/view?usp=sharing</t>
  </si>
  <si>
    <t>f1253c5f</t>
  </si>
  <si>
    <t>Putri: Jakarta Popsivo Polwan vs Bandung BJB Tandamata - Proliga</t>
  </si>
  <si>
    <t>https://www.vidio.com/live/20240-proliga-2026?schedule_id=4832545</t>
  </si>
  <si>
    <t>https://drive.google.com/drive/folders/1cWMC61HN8n5f16GPNSH85Bn8ErWT12jT</t>
  </si>
  <si>
    <t>Jakarta Popsivo Polwan; Bandung bjb Tandamata; sports stream</t>
  </si>
  <si>
    <t>Nonton streaming pertandingan seru Putri: Jakarta Popsivo Polwan vs Bandung BJB Tandamata - Proliga. Saksikan aksi-aksi terbaik dari tim yang bersaing ketat untuk meraih kemenangan. Dapatkan informasi lengkap mengenai jadwal pertandingan dan hasil pertandingan terbaru hanya di Vidio.</t>
  </si>
  <si>
    <t>Popsivo: Gendis Azzahra (OH) &amp; Naysilla Wiedy (S)
BJB Tandamata: Cindy Tiara (OH) &amp; Tiara Sanger (S)</t>
  </si>
  <si>
    <t>https://drive.google.com/file/d/1ztp9wBaj2d2O8VNgY3kl1SeAd6H3vZ2o/view?usp=sharing</t>
  </si>
  <si>
    <t>https://drive.google.com/file/d/1jsTlBO9I8VyTTQH4m1Vwna-6rT2fQVjY/view?usp=sharing</t>
  </si>
  <si>
    <t>9d54d09b</t>
  </si>
  <si>
    <t>Putra: Jakarta Bhayangkara Presisi vs Surabaya Samator - Proliga</t>
  </si>
  <si>
    <t>https://www.vidio.com/live/20240-proliga-2026?schedule_id=4833789</t>
  </si>
  <si>
    <t>https://drive.google.com/drive/u/0/folders/1xbho-pfWB0mylopfX9E5doTdVQD8jaXB</t>
  </si>
  <si>
    <t>Surabaya Samator</t>
  </si>
  <si>
    <t>Jakarta Bhayangkara Presisi; SURABAYA BHAYANGKARA SAMATOR; sports stream</t>
  </si>
  <si>
    <t>Nonton streaming pertandingan seru Putra: Jakarta Bhayangkara Presisi vs Surabaya Samator - Proliga. Saksikan aksi-aksi terbaik dari tim yang bersaing ketat untuk meraih kemenangan. Dapatkan informasi lengkap mengenai jadwal pertandingan dan hasil pertandingan terbaru hanya di Vidio.</t>
  </si>
  <si>
    <t>Bhayangkara: Arjuna Mahendra (OP) &amp; Nizar Julfikar (S)
Samator: Rama Fazza (OP) &amp; Lyvan Taboada (S)</t>
  </si>
  <si>
    <t>https://drive.google.com/file/d/12s-59p0XXxtYsZhgvZMRTV8i6y_Ohzxi/view?usp=sharing</t>
  </si>
  <si>
    <t>https://drive.google.com/file/d/1IRtd7Iju_JzmPgQ-ScHIWxRZmH0UVcY0/view?usp=sharing</t>
  </si>
  <si>
    <t>9d787531</t>
  </si>
  <si>
    <t>Southampton vs Coventry City - EFL Championship</t>
  </si>
  <si>
    <t>https://www.vidio.com/live/6686-champions-tv-2?schedule_id=4783287</t>
  </si>
  <si>
    <t>southampton fc; coventry city fc; sports stream</t>
  </si>
  <si>
    <t>Nonton streaming pertandingan seru Southampton vs Coventry City - EFL Championship. Saksikan aksi-aksi terbaik dari tim yang bersaing ketat untuk meraih kemenangan. Dapatkan informasi lengkap mengenai jadwal pertandingan dan hasil pertandingan terbaru hanya di Vidio.</t>
  </si>
  <si>
    <t>https://thumbor.prod.vidiocdn.com/gdEGxYfv8QEarw17OE5M4iDBFBg=/filters:quality(70)/vidio-media-production/uploads/image/source/52127/04934c.png</t>
  </si>
  <si>
    <t>https://thumbor.prod.vidiocdn.com/b8Xdmr7LFXD56yxG1MypXqALyyo=/filters:quality(70)/vidio-media-production/uploads/image/source/52126/335633.png</t>
  </si>
  <si>
    <t>affc95c3</t>
  </si>
  <si>
    <t>Yuki Fukushima/Mayu Matsumoto (JPN) vs Rin Iwanaga/Kie Nakanishi (JPN) - Women's Doubles Group Stage | HSBC BWF World Tour Finals 2025</t>
  </si>
  <si>
    <t>https://www.vidio.com/live/18250-hsbc-bwf-world-tour-finals-2025-group-stage-court-2?schedule_id=4782023</t>
  </si>
  <si>
    <t>Nonton streaming pertandingan seru Yuki Fukushima/Mayu Matsumoto (JPN) vs Rin Iwanaga/Kie Nakanishi (JPN) - Women's Doubles Group Stage | HSBC BWF World Tour Finals 2025. Saksikan aksi-aksi terbaik dari tim yang bersaing ketat untuk meraih kemenangan. Dapatkan informasi lengkap mengenai jadwal pertandingan dan hasil pertandingan terbaru hanya di Vidio.</t>
  </si>
  <si>
    <t>1d0bbaa8</t>
  </si>
  <si>
    <t>Akane Yamaguchi (JPN) vs Tomoka Miyazaki (JPN) - Women's Singles Group Stage | HSBC BWF World Tour Finals 2025</t>
  </si>
  <si>
    <t>https://www.vidio.com/live/18250-hsbc-bwf-world-tour-finals-2025-group-stage-court-2?schedule_id=4782024</t>
  </si>
  <si>
    <t>Nonton streaming pertandingan seru Akane Yamaguchi (JPN) vs Tomoka Miyazaki (JPN) - Women's Singles Group Stage | HSBC BWF World Tour Finals 2025. Saksikan aksi-aksi terbaik dari tim yang bersaing ketat untuk meraih kemenangan. Dapatkan informasi lengkap mengenai jadwal pertandingan dan hasil pertandingan terbaru hanya di Vidio.</t>
  </si>
  <si>
    <t>5d10b69a</t>
  </si>
  <si>
    <t>Chen Tang Jie/Toh Ee Wei (MAS) vs Goh Soon Huat/Lai Shevon Jemie (MAS) - Mixed Doubles Group Stage | HSBC BWF World Tour Finals 2025</t>
  </si>
  <si>
    <t>https://www.vidio.com/live/18250-hsbc-bwf-world-tour-finals-2025-group-stage-court-2?schedule_id=4782025</t>
  </si>
  <si>
    <t>Nonton streaming pertandingan seru Chen Tang Jie/Toh Ee Wei (MAS) vs Goh Soon Huat/Lai Shevon Jemie (MAS) - Mixed Doubles Group Stage | HSBC BWF World Tour Finals 2025. Saksikan aksi-aksi terbaik dari tim yang bersaing ketat untuk meraih kemenangan. Dapatkan informasi lengkap mengenai jadwal pertandingan dan hasil pertandingan terbaru hanya di Vidio.</t>
  </si>
  <si>
    <t>d5b5fc8d</t>
  </si>
  <si>
    <t>Kunlavut Vitidsarn (THA) vs Jonatan Christie (INA) - Men's Singles Group Stage | HSBC BWF World Tour Finals 2025</t>
  </si>
  <si>
    <t>https://www.vidio.com/live/18250-hsbc-bwf-world-tour-finals-2025-group-stage-court-2?schedule_id=4782026</t>
  </si>
  <si>
    <t>Nonton streaming pertandingan seru Kunlavut Vitidsarn (THA) vs Jonatan Christie (INA) - Men's Singles Group Stage | HSBC BWF World Tour Finals 2025. Saksikan aksi-aksi terbaik dari tim yang bersaing ketat untuk meraih kemenangan. Dapatkan informasi lengkap mengenai jadwal pertandingan dan hasil pertandingan terbaru hanya di Vidio.</t>
  </si>
  <si>
    <t>cdf019cb</t>
  </si>
  <si>
    <t>Dechapol Puavaranukroh/Supissara Paewsampran (THA) vs Hiroki Midorikawa/Natsu Saito (JPN) - Mixed Doubles Group Stage | HSBC BWF World Tour Finals 2025</t>
  </si>
  <si>
    <t>https://www.vidio.com/live/18250-hsbc-bwf-world-tour-finals-2025-group-stage-court-2?schedule_id=4782027</t>
  </si>
  <si>
    <t>Nonton streaming pertandingan seru Dechapol Puavaranukroh/Supissara Paewsampran (THA) vs Hiroki Midorikawa/Natsu Saito (JPN) - Mixed Doubles Group Stage | HSBC BWF World Tour Finals 2025. Saksikan aksi-aksi terbaik dari tim yang bersaing ketat untuk meraih kemenangan. Dapatkan informasi lengkap mengenai jadwal pertandingan dan hasil pertandingan terbaru hanya di Vidio.</t>
  </si>
  <si>
    <t>d01d458e</t>
  </si>
  <si>
    <t>Pornpawee Chochuwong (THA) vs Ratchanok Intanon (THA) - Women's Singles Group Stage | HSBC BWF World Tour Finals 2025</t>
  </si>
  <si>
    <t>https://www.vidio.com/live/18250-hsbc-bwf-world-tour-finals-2025-group-stage-court-2?schedule_id=4782104</t>
  </si>
  <si>
    <t>Nonton streaming pertandingan seru Pornpawee Chochuwong (THA) vs Ratchanok Intanon (THA) - Women's Singles Group Stage | HSBC BWF World Tour Finals 2025. Saksikan aksi-aksi terbaik dari tim yang bersaing ketat untuk meraih kemenangan. Dapatkan informasi lengkap mengenai jadwal pertandingan dan hasil pertandingan terbaru hanya di Vidio.</t>
  </si>
  <si>
    <t>11090e9a</t>
  </si>
  <si>
    <t>Anders Antonsen (DEN) vs Christo Popov (FRA) - Men's Singles Group Stage | HSBC BWF World Tour Finals 2025</t>
  </si>
  <si>
    <t>https://www.vidio.com/live/18250-hsbc-bwf-world-tour-finals-2025-group-stage-court-2?schedule_id=4782105</t>
  </si>
  <si>
    <t>Nonton streaming pertandingan seru Anders Antonsen (DEN) vs Christo Popov (FRA) - Men's Singles Group Stage | HSBC BWF World Tour Finals 2025. Saksikan aksi-aksi terbaik dari tim yang bersaing ketat untuk meraih kemenangan. Dapatkan informasi lengkap mengenai jadwal pertandingan dan hasil pertandingan terbaru hanya di Vidio.</t>
  </si>
  <si>
    <t>b93c15ef</t>
  </si>
  <si>
    <t>Aaron Chia/Soh Wooi Yik (MAS) vs Fajar Alfian/Muhammad Shohibul Fikri (INA) - Men's Doubles Group Stage | HSBC BWF World Tour Finals 2025</t>
  </si>
  <si>
    <t>https://www.vidio.com/live/18250-hsbc-bwf-world-tour-finals-2025-group-stage-court-2?schedule_id=4782287</t>
  </si>
  <si>
    <t>Nonton streaming pertandingan seru Aaron Chia/Soh Wooi Yik (MAS) vs Fajar Alfian/Muhammad Shohibul Fikri (INA) - Men's Doubles Group Stage | HSBC BWF World Tour Finals 2025. Saksikan aksi-aksi terbaik dari tim yang bersaing ketat untuk meraih kemenangan. Dapatkan informasi lengkap mengenai jadwal pertandingan dan hasil pertandingan terbaru hanya di Vidio.</t>
  </si>
  <si>
    <t>d5a97833</t>
  </si>
  <si>
    <t>Chou Tien Chen (TPE) vs Kodai Naraoka (JPN) - Men's Singles Group Stage | HSBC BWF World Tour Finals 2025</t>
  </si>
  <si>
    <t>https://www.vidio.com/live/18250-hsbc-bwf-world-tour-finals-2025-group-stage-court-2?schedule_id=4782288</t>
  </si>
  <si>
    <t>Nonton streaming pertandingan seru Chou Tien Chen (TPE) vs Kodai Naraoka (JPN) - Men's Singles Group Stage | HSBC BWF World Tour Finals 2025. Saksikan aksi-aksi terbaik dari tim yang bersaing ketat untuk meraih kemenangan. Dapatkan informasi lengkap mengenai jadwal pertandingan dan hasil pertandingan terbaru hanya di Vidio.</t>
  </si>
  <si>
    <t>0b9ea17f</t>
  </si>
  <si>
    <t>An Se Young (KOR) vs Putri Kusuma Wardani (INA) - Women's Singles Group Stage | HSBC BWF World Tour Finals 2025</t>
  </si>
  <si>
    <t>https://www.vidio.com/live/18249-hsbc-bwf-world-tour-finals-2025-group-stage-court-1?schedule_id=4781705</t>
  </si>
  <si>
    <t>Nonton streaming pertandingan seru An Se Young (KOR) vs Putri Kusuma Wardani (INA) - Women's Singles Group Stage | HSBC BWF World Tour Finals 2025. Saksikan aksi-aksi terbaik dari tim yang bersaing ketat untuk meraih kemenangan. Dapatkan informasi lengkap mengenai jadwal pertandingan dan hasil pertandingan terbaru hanya di Vidio.</t>
  </si>
  <si>
    <t>342f1f49</t>
  </si>
  <si>
    <t>Kim Won Ho/Seo Seung Jae (KOR) vs Chiu Hsiang Chieh/Wang Chi-Lin (TPE) - Men's Doubles Group Stage | HSBC BWF World Tour Finals 2025</t>
  </si>
  <si>
    <t>https://www.vidio.com/live/18250-hsbc-bwf-world-tour-finals-2025-group-stage-court-2?schedule_id=4782289</t>
  </si>
  <si>
    <t>Nonton streaming pertandingan seru Kim Won Ho/Seo Seung Jae (KOR) vs Chiu Hsiang Chieh/Wang Chi-Lin (TPE) - Men's Doubles Group Stage | HSBC BWF World Tour Finals 2025. Saksikan aksi-aksi terbaik dari tim yang bersaing ketat untuk meraih kemenangan. Dapatkan informasi lengkap mengenai jadwal pertandingan dan hasil pertandingan terbaru hanya di Vidio.</t>
  </si>
  <si>
    <t>36ef2f25</t>
  </si>
  <si>
    <t>Feng Yan Zhe/Huang Dong Ping (CHN) vs Jafar Hidayatullah/Felisha Alberta Nathaniel Pasaribu (INA) - Mixed Doubles Group Stage | HSBC BWF World Tour Finals 2025</t>
  </si>
  <si>
    <t>https://www.vidio.com/live/18249-hsbc-bwf-world-tour-finals-2025-group-stage-court-1?schedule_id=4781706</t>
  </si>
  <si>
    <t>Nonton streaming pertandingan seru Feng Yan Zhe/Huang Dong Ping (CHN) vs Jafar Hidayatullah/Felisha Alberta Nathaniel Pasaribu (INA) - Mixed Doubles Group Stage | HSBC BWF World Tour Finals 2025. Saksikan aksi-aksi terbaik dari tim yang bersaing ketat untuk meraih kemenangan. Dapatkan informasi lengkap mengenai jadwal pertandingan dan hasil pertandingan terbaru hanya di Vidio.</t>
  </si>
  <si>
    <t>30dd52cc</t>
  </si>
  <si>
    <t>Pearly Tan/Thinaah Muralitharan (MAS) vs Jia Yi Fan/Zhang Shu Xian (CHN) - Women's Doubles Group Stage | HSBC BWF World Tour Finals 2025</t>
  </si>
  <si>
    <t>https://www.vidio.com/live/18249-hsbc-bwf-world-tour-finals-2025-group-stage-court-1?schedule_id=4781707</t>
  </si>
  <si>
    <t>Nonton streaming pertandingan seru Pearly Tan/Thinaah Muralitharan (MAS) vs Jia Yi Fan/Zhang Shu Xian (CHN) - Women's Doubles Group Stage | HSBC BWF World Tour Finals 2025. Saksikan aksi-aksi terbaik dari tim yang bersaing ketat untuk meraih kemenangan. Dapatkan informasi lengkap mengenai jadwal pertandingan dan hasil pertandingan terbaru hanya di Vidio.</t>
  </si>
  <si>
    <t>b03c92b8</t>
  </si>
  <si>
    <t>Kim Hye Jeong/Kong Hee Yong (KOR) vs Baek Ha Na/Lee So Hee (KOR) - Women's Doubles Group Stage | HSBC BWF World Tour Finals 2025</t>
  </si>
  <si>
    <t>https://www.vidio.com/live/18249-hsbc-bwf-world-tour-finals-2025-group-stage-court-1?schedule_id=4781709</t>
  </si>
  <si>
    <t>Nonton streaming pertandingan seru Kim Hye Jeong/Kong Hee Yong (KOR) vs Baek Ha Na/Lee So Hee (KOR) - Women's Doubles Group Stage | HSBC BWF World Tour Finals 2025. Saksikan aksi-aksi terbaik dari tim yang bersaing ketat untuk meraih kemenangan. Dapatkan informasi lengkap mengenai jadwal pertandingan dan hasil pertandingan terbaru hanya di Vidio.</t>
  </si>
  <si>
    <t>82444032</t>
  </si>
  <si>
    <t>Wang Zhi Yi (CHN) vs Han Yue (CHN) - Women's Singles Group Stage | HSBC BWF World Tour Finals 2025</t>
  </si>
  <si>
    <t>https://www.vidio.com/live/18249-hsbc-bwf-world-tour-finals-2025-group-stage-court-1?schedule_id=4781710</t>
  </si>
  <si>
    <t>Nonton streaming pertandingan seru Wang Zhi Yi (CHN) vs Han Yue (CHN) - Women's Singles Group Stage | HSBC BWF World Tour Finals 2025. Saksikan aksi-aksi terbaik dari tim yang bersaing ketat untuk meraih kemenangan. Dapatkan informasi lengkap mengenai jadwal pertandingan dan hasil pertandingan terbaru hanya di Vidio.</t>
  </si>
  <si>
    <t>8d5c2b7b</t>
  </si>
  <si>
    <t>Jiang Zhen Bang/Wei Ya Xin (CHN) vs Thom Gicquel/Delphine Delrue (FRA) - Mixed Doubles Group Stage | HSBC BWF World Tour Finals 2025</t>
  </si>
  <si>
    <t>https://www.vidio.com/live/18249-hsbc-bwf-world-tour-finals-2025-group-stage-court-1?schedule_id=4781725</t>
  </si>
  <si>
    <t>Nonton streaming pertandingan seru Jiang Zhen Bang/Wei Ya Xin (CHN) vs Thom Gicquel/Delphine Delrue (FRA) - Mixed Doubles Group Stage | HSBC BWF World Tour Finals 2025. Saksikan aksi-aksi terbaik dari tim yang bersaing ketat untuk meraih kemenangan. Dapatkan informasi lengkap mengenai jadwal pertandingan dan hasil pertandingan terbaru hanya di Vidio.</t>
  </si>
  <si>
    <t>897cf3ce</t>
  </si>
  <si>
    <t>Liu Sheng Shu/Tan Ning (CHN) vs Hsieh Pei Shan/Hung En-Tzu (TPE) - Women's Doubles Group Stage | HSBC BWF World Tour Finals 2025</t>
  </si>
  <si>
    <t>https://www.vidio.com/live/18249-hsbc-bwf-world-tour-finals-2025-group-stage-court-1?schedule_id=4781726</t>
  </si>
  <si>
    <t>Nonton streaming pertandingan seru Liu Sheng Shu/Tan Ning (CHN) vs Hsieh Pei Shan/Hung En-Tzu (TPE) - Women's Doubles Group Stage | HSBC BWF World Tour Finals 2025. Saksikan aksi-aksi terbaik dari tim yang bersaing ketat untuk meraih kemenangan. Dapatkan informasi lengkap mengenai jadwal pertandingan dan hasil pertandingan terbaru hanya di Vidio.</t>
  </si>
  <si>
    <t>30137301</t>
  </si>
  <si>
    <t>Li Shi Feng (CHN) vs Shi Yu Qi (CHN) - Men's Singles Group Stage | HSBC BWF World Tour Finals 2025</t>
  </si>
  <si>
    <t>https://www.vidio.com/live/18249-hsbc-bwf-world-tour-finals-2025-group-stage-court-1?schedule_id=4781727</t>
  </si>
  <si>
    <t>Nonton streaming pertandingan seru Li Shi Feng (CHN) vs Shi Yu Qi (CHN) - Men's Singles Group Stage | HSBC BWF World Tour Finals 2025. Saksikan aksi-aksi terbaik dari tim yang bersaing ketat untuk meraih kemenangan. Dapatkan informasi lengkap mengenai jadwal pertandingan dan hasil pertandingan terbaru hanya di Vidio.</t>
  </si>
  <si>
    <t>205a1c49</t>
  </si>
  <si>
    <t>Satwiksairaj Rankireddy/Chirag Shetty (IND) vs Liang Wei Keng/Wang Chang (CHN) - Men's Doubles Group Stage | HSBC BWF World Tour Finals 2025</t>
  </si>
  <si>
    <t>https://www.vidio.com/live/18249-hsbc-bwf-world-tour-finals-2025-group-stage-court-1?schedule_id=4781728</t>
  </si>
  <si>
    <t>Nonton streaming pertandingan seru Satwiksairaj Rankireddy/Chirag Shetty (IND) vs Liang Wei Keng/Wang Chang (CHN) - Men's Doubles Group Stage | HSBC BWF World Tour Finals 2025. Saksikan aksi-aksi terbaik dari tim yang bersaing ketat untuk meraih kemenangan. Dapatkan informasi lengkap mengenai jadwal pertandingan dan hasil pertandingan terbaru hanya di Vidio.</t>
  </si>
  <si>
    <t>f6923e6e</t>
  </si>
  <si>
    <t>Man Wei Chong/Kai Wun Tee (MAS) vs Sabar Karyaman Gutama/Moh Reza Pahlevi Isfahani (INA) - Men's Doubles Group Stage | HSBC BWF World Tour Finals 2025</t>
  </si>
  <si>
    <t>https://www.vidio.com/live/18249-hsbc-bwf-world-tour-finals-2025-group-stage-court-1?schedule_id=4781729</t>
  </si>
  <si>
    <t>Nonton streaming pertandingan seru Man Wei Chong/Kai Wun Tee (MAS) vs Sabar Karyaman Gutama/Moh Reza Pahlevi Isfahani (INA) - Men's Doubles Group Stage | HSBC BWF World Tour Finals 2025. Saksikan aksi-aksi terbaik dari tim yang bersaing ketat untuk meraih kemenangan. Dapatkan informasi lengkap mengenai jadwal pertandingan dan hasil pertandingan terbaru hanya di Vidio.</t>
  </si>
  <si>
    <t>218197df</t>
  </si>
  <si>
    <t>Akane Yamaguchi (JPN) vs Putri Kusuma Wardani (INA) - Women’s Singles Group Stage | HSBC BWF World Tour Finals 2025</t>
  </si>
  <si>
    <t>https://www.vidio.com/live/18249-hsbc-bwf-world-tour-finals-2025-group-stage-court-1?schedule_id=4783137</t>
  </si>
  <si>
    <t>Nonton streaming pertandingan seru Akane Yamaguchi (JPN) vs Putri Kusuma Wardani (INA) - Women’s Singles Group Stage | HSBC BWF World Tour Finals 2025. Saksikan aksi-aksi terbaik dari tim yang bersaing ketat untuk meraih kemenangan. Dapatkan informasi lengkap mengenai jadwal pertandingan dan hasil pertandingan terbaru hanya di Vidio.</t>
  </si>
  <si>
    <t>7af1984d</t>
  </si>
  <si>
    <t>An Se Young (KOR) vs Tomoka Miyazaki (JPN) - Women’s Singles Group Stage | HSBC BWF World Tour Finals 2025</t>
  </si>
  <si>
    <t>https://www.vidio.com/live/18249-hsbc-bwf-world-tour-finals-2025-group-stage-court-1?schedule_id=4783138</t>
  </si>
  <si>
    <t>Nonton streaming pertandingan seru An Se Young (KOR) vs Tomoka Miyazaki (JPN) - Women’s Singles Group Stage | HSBC BWF World Tour Finals 2025. Saksikan aksi-aksi terbaik dari tim yang bersaing ketat untuk meraih kemenangan. Dapatkan informasi lengkap mengenai jadwal pertandingan dan hasil pertandingan terbaru hanya di Vidio.</t>
  </si>
  <si>
    <t>f6a4448e</t>
  </si>
  <si>
    <t>Jia Yi Fan/Zhang Shu Xian (CHN) vs Yuki Fukushima/Mayu Matsumoto (JPN) - Women’s Doubles Group  Stage | HSBC BWF World Tour Finals 2025</t>
  </si>
  <si>
    <t>https://www.vidio.com/live/18249-hsbc-bwf-world-tour-finals-2025-group-stage-court-1?schedule_id=4783139</t>
  </si>
  <si>
    <t>Nonton streaming pertandingan seru Jia Yi Fan/Zhang Shu Xian (CHN) vs Yuki Fukushima/Mayu Matsumoto (JPN) - Women’s Doubles Group  Stage | HSBC BWF World Tour Finals 2025. Saksikan aksi-aksi terbaik dari tim yang bersaing ketat untuk meraih kemenangan. Dapatkan informasi lengkap mengenai jadwal pertandingan dan hasil pertandingan terbaru hanya di Vidio.</t>
  </si>
  <si>
    <t>dd653c0a</t>
  </si>
  <si>
    <t>Feng Yan Zhe/Huang Dong Ping (CHN) vs Goh Soon Huat/Lai Shevon Jemie (MAS) - Mixed Doubles Group Stage | HSBC BWF World Tour Finals 2025</t>
  </si>
  <si>
    <t>https://www.vidio.com/live/18249-hsbc-bwf-world-tour-finals-2025-group-stage-court-1?schedule_id=4783140</t>
  </si>
  <si>
    <t>Nonton streaming pertandingan seru Feng Yan Zhe/Huang Dong Ping (CHN) vs Goh Soon Huat/Lai Shevon Jemie (MAS) - Mixed Doubles Group Stage | HSBC BWF World Tour Finals 2025. Saksikan aksi-aksi terbaik dari tim yang bersaing ketat untuk meraih kemenangan. Dapatkan informasi lengkap mengenai jadwal pertandingan dan hasil pertandingan terbaru hanya di Vidio.</t>
  </si>
  <si>
    <t>f4c25263</t>
  </si>
  <si>
    <t>Li Shi Feng (CHN) vs Kodai Naraoka (JPN) - Men’s Singles Group Stage | HSBC BWF World Tour Finals 2025</t>
  </si>
  <si>
    <t>https://www.vidio.com/live/18249-hsbc-bwf-world-tour-finals-2025-group-stage-court-1?schedule_id=4783141</t>
  </si>
  <si>
    <t>Nonton streaming pertandingan seru Li Shi Feng (CHN) vs Kodai Naraoka (JPN) - Men’s Singles Group Stage | HSBC BWF World Tour Finals 2025. Saksikan aksi-aksi terbaik dari tim yang bersaing ketat untuk meraih kemenangan. Dapatkan informasi lengkap mengenai jadwal pertandingan dan hasil pertandingan terbaru hanya di Vidio.</t>
  </si>
  <si>
    <t>62ab8e7e</t>
  </si>
  <si>
    <t>Pearly Tan/Thinaah Muralitharan (MAS) vs Rin Iwanaga/Kie Nakanishi (JPN) - Women’s Doubles Group Stage | HSBC BWF World Tour Finals 2025</t>
  </si>
  <si>
    <t>https://www.vidio.com/live/18250-hsbc-bwf-world-tour-finals-2025-group-stage-court-2?schedule_id=4783192</t>
  </si>
  <si>
    <t>Nonton streaming pertandingan seru Pearly Tan/Thinaah Muralitharan (MAS) vs Rin Iwanaga/Kie Nakanishi (JPN) - Women’s Doubles Group Stage | HSBC BWF World Tour Finals 2025. Saksikan aksi-aksi terbaik dari tim yang bersaing ketat untuk meraih kemenangan. Dapatkan informasi lengkap mengenai jadwal pertandingan dan hasil pertandingan terbaru hanya di Vidio.</t>
  </si>
  <si>
    <t>680f299f</t>
  </si>
  <si>
    <t>Chen Tang Jie/Toh Ee Wei (MAS) vs Jafar Hidayatullah/Felisha Alberta Nathaniel Pasaribu (INA) - Mixed Doubles Group Stage | HSBC BWF World Tour Finals 2025</t>
  </si>
  <si>
    <t>https://www.vidio.com/live/18250-hsbc-bwf-world-tour-finals-2025-group-stage-court-2?schedule_id=4783193</t>
  </si>
  <si>
    <t>Nonton streaming pertandingan seru Chen Tang Jie/Toh Ee Wei (MAS) vs Jafar Hidayatullah/Felisha Alberta Nathaniel Pasaribu (INA) - Mixed Doubles Group Stage | HSBC BWF World Tour Finals 2025. Saksikan aksi-aksi terbaik dari tim yang bersaing ketat untuk meraih kemenangan. Dapatkan informasi lengkap mengenai jadwal pertandingan dan hasil pertandingan terbaru hanya di Vidio.</t>
  </si>
  <si>
    <t>065b3ebd</t>
  </si>
  <si>
    <t>Han Yue (CHN) vs Pornpawee Chochuwong (THA) - Women’s Singles Group Stage | HSBC BWF World Tour Finals 2025</t>
  </si>
  <si>
    <t>https://www.vidio.com/live/18250-hsbc-bwf-world-tour-finals-2025-group-stage-court-2?schedule_id=4783194</t>
  </si>
  <si>
    <t>Nonton streaming pertandingan seru Han Yue (CHN) vs Pornpawee Chochuwong (THA) - Women’s Singles Group Stage | HSBC BWF World Tour Finals 2025. Saksikan aksi-aksi terbaik dari tim yang bersaing ketat untuk meraih kemenangan. Dapatkan informasi lengkap mengenai jadwal pertandingan dan hasil pertandingan terbaru hanya di Vidio.</t>
  </si>
  <si>
    <t>5f506b10</t>
  </si>
  <si>
    <t>Kim Hye Jeong/Kong Hee Yong (KOR) vs Hsieh Pei Shan/Hung En-Tzu (TPE) - Women’s Doubles Group Stage | HSBC BWF World Tour Finals 2025</t>
  </si>
  <si>
    <t>https://www.vidio.com/live/18250-hsbc-bwf-world-tour-finals-2025-group-stage-court-2?schedule_id=4783195</t>
  </si>
  <si>
    <t>Nonton streaming pertandingan seru Kim Hye Jeong/Kong Hee Yong (KOR) vs Hsieh Pei Shan/Hung En-Tzu (TPE) - Women’s Doubles Group Stage | HSBC BWF World Tour Finals 2025. Saksikan aksi-aksi terbaik dari tim yang bersaing ketat untuk meraih kemenangan. Dapatkan informasi lengkap mengenai jadwal pertandingan dan hasil pertandingan terbaru hanya di Vidio.</t>
  </si>
  <si>
    <t>5210679f</t>
  </si>
  <si>
    <t>Kim Won Ho/Seo Seung Jae (KOR) vs Sabar Karyaman Gutama/Moh Reza Pahlevi Isfahani (INA) - Men’s Doubles Group Stage | HSBC BWF World Tour Finals 2025</t>
  </si>
  <si>
    <t>https://www.vidio.com/live/18250-hsbc-bwf-world-tour-finals-2025-group-stage-court-2?schedule_id=4783196</t>
  </si>
  <si>
    <t>Nonton streaming pertandingan seru Kim Won Ho/Seo Seung Jae (KOR) vs Sabar Karyaman Gutama/Moh Reza Pahlevi Isfahani (INA) - Men’s Doubles Group Stage | HSBC BWF World Tour Finals 2025. Saksikan aksi-aksi terbaik dari tim yang bersaing ketat untuk meraih kemenangan. Dapatkan informasi lengkap mengenai jadwal pertandingan dan hasil pertandingan terbaru hanya di Vidio.</t>
  </si>
  <si>
    <t>da74c948</t>
  </si>
  <si>
    <t>Wang Zhi Yi (CHN) vs Ratchanok Intanon (THA) - Women’s Singles Group Stage | HSBC BWF World Tour Finals 2025</t>
  </si>
  <si>
    <t>https://www.vidio.com/live/18249-hsbc-bwf-world-tour-finals-2025-group-stage-court-1?schedule_id=4783186</t>
  </si>
  <si>
    <t>Nonton streaming pertandingan seru Wang Zhi Yi (CHN) vs Ratchanok Intanon (THA) - Women’s Singles Group Stage | HSBC BWF World Tour Finals 2025. Saksikan aksi-aksi terbaik dari tim yang bersaing ketat untuk meraih kemenangan. Dapatkan informasi lengkap mengenai jadwal pertandingan dan hasil pertandingan terbaru hanya di Vidio.</t>
  </si>
  <si>
    <t>cbdf066d</t>
  </si>
  <si>
    <t>Liu Sheng Shu/Tan Ning (CHN) vs Baek Ha Na/Lee So Hee (KOR) - Women’s Doubles Group Stage | HSBC BWF World Tour Finals 2025</t>
  </si>
  <si>
    <t>https://www.vidio.com/live/18249-hsbc-bwf-world-tour-finals-2025-group-stage-court-1?schedule_id=4783187</t>
  </si>
  <si>
    <t>Nonton streaming pertandingan seru Liu Sheng Shu/Tan Ning (CHN) vs Baek Ha Na/Lee So Hee (KOR) - Women’s Doubles Group Stage | HSBC BWF World Tour Finals 2025. Saksikan aksi-aksi terbaik dari tim yang bersaing ketat untuk meraih kemenangan. Dapatkan informasi lengkap mengenai jadwal pertandingan dan hasil pertandingan terbaru hanya di Vidio.</t>
  </si>
  <si>
    <t>08f1d563</t>
  </si>
  <si>
    <t>Chou Tien Chen (TPE) vs Shi Yu Qi (CHN) - Men’s Singles Group Stage | HSBC BWF World Tour Finals 2025</t>
  </si>
  <si>
    <t>https://www.vidio.com/live/18249-hsbc-bwf-world-tour-finals-2025-group-stage-court-1?schedule_id=4783188</t>
  </si>
  <si>
    <t>Nonton streaming pertandingan seru Chou Tien Chen (TPE) vs Shi Yu Qi (CHN) - Men’s Singles Group Stage | HSBC BWF World Tour Finals 2025. Saksikan aksi-aksi terbaik dari tim yang bersaing ketat untuk meraih kemenangan. Dapatkan informasi lengkap mengenai jadwal pertandingan dan hasil pertandingan terbaru hanya di Vidio.</t>
  </si>
  <si>
    <t>f1e56113</t>
  </si>
  <si>
    <t>Aaron Chia/Soh Wooi Yik (MAS) vs Liang Wei Keng/Wang Chang (CHN) - Men's Doubles Group Stage | HSBC BWF World Tour Finals 2025</t>
  </si>
  <si>
    <t>https://www.vidio.com/live/18249-hsbc-bwf-world-tour-finals-2025-group-stage-court-1?schedule_id=4783189</t>
  </si>
  <si>
    <t>Nonton streaming pertandingan seru Aaron Chia/Soh Wooi Yik (MAS) vs Liang Wei Keng/Wang Chang (CHN) - Men's Doubles Group Stage | HSBC BWF World Tour Finals 2025. Saksikan aksi-aksi terbaik dari tim yang bersaing ketat untuk meraih kemenangan. Dapatkan informasi lengkap mengenai jadwal pertandingan dan hasil pertandingan terbaru hanya di Vidio.</t>
  </si>
  <si>
    <t>2e587a67</t>
  </si>
  <si>
    <t>Anders Antonsen (DEN) vs Jonatan Christie (INA) - Men’s Singles Group Stage | HSBC BWF World Tour Finals 2025</t>
  </si>
  <si>
    <t>https://www.vidio.com/live/18249-hsbc-bwf-world-tour-finals-2025-group-stage-court-1?schedule_id=4783190</t>
  </si>
  <si>
    <t>Nonton streaming pertandingan seru Anders Antonsen (DEN) vs Jonatan Christie (INA) - Men’s Singles Group Stage | HSBC BWF World Tour Finals 2025. Saksikan aksi-aksi terbaik dari tim yang bersaing ketat untuk meraih kemenangan. Dapatkan informasi lengkap mengenai jadwal pertandingan dan hasil pertandingan terbaru hanya di Vidio.</t>
  </si>
  <si>
    <t>161f273b</t>
  </si>
  <si>
    <t>Kunlavut Vitidsarn (THA) vs Christo Popov (FRA) - Men’s Singles Group Stage | HSBC BWF World Tour Finals 2025</t>
  </si>
  <si>
    <t>https://www.vidio.com/live/18250-hsbc-bwf-world-tour-finals-2025-group-stage-court-2?schedule_id=4783269</t>
  </si>
  <si>
    <t>Nonton streaming pertandingan seru Kunlavut Vitidsarn (THA) vs Christo Popov (FRA) - Men’s Singles Group Stage | HSBC BWF World Tour Finals 2025. Saksikan aksi-aksi terbaik dari tim yang bersaing ketat untuk meraih kemenangan. Dapatkan informasi lengkap mengenai jadwal pertandingan dan hasil pertandingan terbaru hanya di Vidio.</t>
  </si>
  <si>
    <t>2d36870c</t>
  </si>
  <si>
    <t>Dechapol Puavaranukroh/Supissara Paewsampran (THA) vs Thom Gicquel/Delphine Delrue (FRA) - Mixed Doubles Group Stage | HSBC BWF World Tour Finals 2025</t>
  </si>
  <si>
    <t>https://www.vidio.com/live/18250-hsbc-bwf-world-tour-finals-2025-group-stage-court-2?schedule_id=4783270</t>
  </si>
  <si>
    <t>Nonton streaming pertandingan seru Dechapol Puavaranukroh/Supissara Paewsampran (THA) vs Thom Gicquel/Delphine Delrue (FRA) - Mixed Doubles Group Stage | HSBC BWF World Tour Finals 2025. Saksikan aksi-aksi terbaik dari tim yang bersaing ketat untuk meraih kemenangan. Dapatkan informasi lengkap mengenai jadwal pertandingan dan hasil pertandingan terbaru hanya di Vidio.</t>
  </si>
  <si>
    <t>e9083faf</t>
  </si>
  <si>
    <t>Man Wei Chong/Kai Wun Tee (MAS) vs Chiu Hsiang Chieh/Wang Chi-Lin (TPE) - Men’s Doubles Group Stage | HSBC BWF World Tour Finals 2025</t>
  </si>
  <si>
    <t>https://www.vidio.com/live/18250-hsbc-bwf-world-tour-finals-2025-group-stage-court-2?schedule_id=4783271</t>
  </si>
  <si>
    <t>Nonton streaming pertandingan seru Man Wei Chong/Kai Wun Tee (MAS) vs Chiu Hsiang Chieh/Wang Chi-Lin (TPE) - Men’s Doubles Group Stage | HSBC BWF World Tour Finals 2025. Saksikan aksi-aksi terbaik dari tim yang bersaing ketat untuk meraih kemenangan. Dapatkan informasi lengkap mengenai jadwal pertandingan dan hasil pertandingan terbaru hanya di Vidio.</t>
  </si>
  <si>
    <t>497133eb</t>
  </si>
  <si>
    <t>Jiang Zhen Bang/Wei Ya Xin (CHN) vs Hiroki Midorikawa/Natsu Saito (JPN) - Mixed Doubles Group Stage | HSBC BWF World Tour Finals 2025</t>
  </si>
  <si>
    <t>https://www.vidio.com/live/18250-hsbc-bwf-world-tour-finals-2025-group-stage-court-2?schedule_id=4783272</t>
  </si>
  <si>
    <t>Nonton streaming pertandingan seru Jiang Zhen Bang/Wei Ya Xin (CHN) vs Hiroki Midorikawa/Natsu Saito (JPN) - Mixed Doubles Group Stage | HSBC BWF World Tour Finals 2025. Saksikan aksi-aksi terbaik dari tim yang bersaing ketat untuk meraih kemenangan. Dapatkan informasi lengkap mengenai jadwal pertandingan dan hasil pertandingan terbaru hanya di Vidio.</t>
  </si>
  <si>
    <t>5e4c0967</t>
  </si>
  <si>
    <t>Satwiksairaj Rankireddy/Chirag Shetty (IND) vs Fajar Alfian/Muhammad Shohibul Fikri (INA) - Men’s Doubles Group Stage | HSBC BWF World Tour Finals 2025</t>
  </si>
  <si>
    <t>https://www.vidio.com/live/18250-hsbc-bwf-world-tour-finals-2025-group-stage-court-2?schedule_id=4783273</t>
  </si>
  <si>
    <t>Nonton streaming pertandingan seru Satwiksairaj Rankireddy/Chirag Shetty (IND) vs Fajar Alfian/Muhammad Shohibul Fikri (INA) - Men’s Doubles Group Stage | HSBC BWF World Tour Finals 2025. Saksikan aksi-aksi terbaik dari tim yang bersaing ketat untuk meraih kemenangan. Dapatkan informasi lengkap mengenai jadwal pertandingan dan hasil pertandingan terbaru hanya di Vidio.</t>
  </si>
  <si>
    <t>e437491b</t>
  </si>
  <si>
    <t>PNC Championship - Round 1</t>
  </si>
  <si>
    <t>PNC Championship 2025</t>
  </si>
  <si>
    <t>https://www.vidio.com/live/18189-champions-golf-1?schedule_id=4783723</t>
  </si>
  <si>
    <t>https://drive.google.com/drive/folders/1Mh93Qpu-kyD-xgO2jBlXXaor8fBGuNg_?usp=drive_link</t>
  </si>
  <si>
    <t>PGA Tour; PNC Championship; PNC Championship 2025</t>
  </si>
  <si>
    <t>Nonton streaming pertandingan seru PNC Championship - Round 1. Saksikan aksi-aksi terbaik dari tim yang bersaing ketat untuk meraih kemenangan. Dapatkan informasi lengkap mengenai jadwal pertandingan dan hasil pertandingan terbaru hanya di Vidio.</t>
  </si>
  <si>
    <t>https://drive.google.com/file/d/1_2T2vD-T_8smEqm35TOtyYe3OPC5_b9e/view?usp=sharing</t>
  </si>
  <si>
    <t>https://drive.google.com/file/d/1PV_69nOMIQZdwlx1cGXNjkiZO7BFjJMF/view?usp=sharing</t>
  </si>
  <si>
    <t>714e2edf</t>
  </si>
  <si>
    <t>PNC Championship - Round 2</t>
  </si>
  <si>
    <t>https://www.vidio.com/live/18189-champions-golf-1?schedule_id=4783753</t>
  </si>
  <si>
    <t>https://drive.google.com/drive/folders/1VRjDJiOyErjMhQxqVExTwUyfyhC_vq8T?usp=drive_link</t>
  </si>
  <si>
    <t>Nonton streaming pertandingan seru PNC Championship - Round 2. Saksikan aksi-aksi terbaik dari tim yang bersaing ketat untuk meraih kemenangan. Dapatkan informasi lengkap mengenai jadwal pertandingan dan hasil pertandingan terbaru hanya di Vidio.</t>
  </si>
  <si>
    <t>https://drive.google.com/file/d/1dLzy02xaCMb5zpPCr9JnVBi8h97oi8N8/view?usp=sharing</t>
  </si>
  <si>
    <t>https://drive.google.com/file/d/1XOh5_RvnQc2Nzn2WYmdSpOv9S6ocHss0/view?usp=sharing</t>
  </si>
  <si>
    <t>c1388805</t>
  </si>
  <si>
    <t>PNC Championship - Round 3</t>
  </si>
  <si>
    <t>https://www.vidio.com/live/18189-champions-golf-1?schedule_id=4783771</t>
  </si>
  <si>
    <t>https://drive.google.com/drive/folders/1e85FZS14fQYaHcpJ8gpEJwIW9_d57bZP?usp=drive_link</t>
  </si>
  <si>
    <t>Nonton streaming pertandingan seru PNC Championship - Round 3. Saksikan aksi-aksi terbaik dari tim yang bersaing ketat untuk meraih kemenangan. Dapatkan informasi lengkap mengenai jadwal pertandingan dan hasil pertandingan terbaru hanya di Vidio.</t>
  </si>
  <si>
    <t>https://drive.google.com/file/d/19FG9CrkItovAzsbDtk4x9wZ3C3xOg5l2/view?usp=sharing</t>
  </si>
  <si>
    <t>https://drive.google.com/file/d/1DIhlSO6-QT4K77uTTkjIgsvkchIuhLVr/view?usp=sharing</t>
  </si>
  <si>
    <t>29253ea7</t>
  </si>
  <si>
    <t>Gabon vs Ivory Coast - TotalEnergies Africa Cup of Nations</t>
  </si>
  <si>
    <t>https://www.vidio.com/live/6299-bein-1?schedule_id=4803405</t>
  </si>
  <si>
    <t>https://drive.google.com/drive/folders/15EF27f8qaUT7UDAlQF85hjWW3I04Y_L3</t>
  </si>
  <si>
    <t>gabon; ivory coast; sports stream</t>
  </si>
  <si>
    <t>Nonton streaming pertandingan seru Gabon vs Ivory Coast - TotalEnergies Africa Cup of Nations. Saksikan aksi-aksi terbaik dari tim yang bersaing ketat untuk meraih kemenangan. Dapatkan informasi lengkap mengenai jadwal pertandingan dan hasil pertandingan terbaru hanya di Vidio.</t>
  </si>
  <si>
    <t>https://thumbor.prod.vidiocdn.com/TXvrSqLUWaBbSVzzQcgnIsjalj0=/filters:quality(70)/vidio-media-production/uploads/image/source/52661/2e802b.png</t>
  </si>
  <si>
    <t>https://drive.google.com/file/d/1OzVAkrpKBzoSaTB5pNNQSWFIfr5YdkAg/view?usp=sharing</t>
  </si>
  <si>
    <t>659d6516</t>
  </si>
  <si>
    <t>Mozambique vs Cameroon - TotalEnergies Africa Cup of Nations</t>
  </si>
  <si>
    <t>https://www.vidio.com/live/6317-bein-3?schedule_id=4803407</t>
  </si>
  <si>
    <t>mozambique; cameroon; sports stream</t>
  </si>
  <si>
    <t>Nonton streaming pertandingan seru Mozambique vs Cameroon - TotalEnergies Africa Cup of Nations. Saksikan aksi-aksi terbaik dari tim yang bersaing ketat untuk meraih kemenangan. Dapatkan informasi lengkap mengenai jadwal pertandingan dan hasil pertandingan terbaru hanya di Vidio.</t>
  </si>
  <si>
    <t>https://thumbor.prod.vidiocdn.com/MYf0A45tTJGBsmyMMaTVTO7c1RU=/filters:quality(70)/vidio-media-production/uploads/image/source/52662/c51b81.png</t>
  </si>
  <si>
    <t>c50c6fdb</t>
  </si>
  <si>
    <t>Wrexham vs Nottingham Forest - FA Cup</t>
  </si>
  <si>
    <t>https://www.vidio.com/live/20251-fa-cup-2025-26?schedule_id=4832270</t>
  </si>
  <si>
    <t>https://drive.google.com/drive/folders/18IujgBHwiQI-5PsxgSN3g-MmsR_myUK-?usp=drive_link</t>
  </si>
  <si>
    <t>wrexham fc; nottingham forest fc; sports stream</t>
  </si>
  <si>
    <t>Nonton streaming pertandingan seru Wrexham vs Nottingham Forest - FA Cup. Saksikan aksi-aksi terbaik dari tim yang bersaing ketat untuk meraih kemenangan. Dapatkan informasi lengkap mengenai jadwal pertandingan dan hasil pertandingan terbaru hanya di Vidio.</t>
  </si>
  <si>
    <t>https://thumbor.prod.vidiocdn.com/EfQdXY4jPW_Srvr9YxFaLavGpjA=/filters:quality(70)/vidio-media-production/uploads/image/source/53138/84f522.png</t>
  </si>
  <si>
    <t>https://thumbor.prod.vidiocdn.com/eQY4_AgES3aDYCLgHKSN2VzA5Nc=/filters:quality(70)/vidio-media-production/uploads/image/source/53137/330a2b.png</t>
  </si>
  <si>
    <t>https://drive.google.com/file/d/1MM-XIReoSdIaCaCr5fLmFhUhq2Ix6wxq/view?usp=sharing</t>
  </si>
  <si>
    <t>7bba7311</t>
  </si>
  <si>
    <t>MK Dons vs Oxford United - FA Cup</t>
  </si>
  <si>
    <t>https://www.vidio.com/live/19773-fa-cup-2025-26?schedule_id=4832263</t>
  </si>
  <si>
    <t>https://drive.google.com/drive/folders/1_Cqo48p-rMhfGSPJNUCcTIhAiQjaV36j?usp=drive_link</t>
  </si>
  <si>
    <t>Milton Keynes Dons FC</t>
  </si>
  <si>
    <t>Milton Keynes Dons FC; oxford united fc; sports stream</t>
  </si>
  <si>
    <t>Nonton streaming pertandingan seru MK Dons vs Oxford United - FA Cup. Saksikan aksi-aksi terbaik dari tim yang bersaing ketat untuk meraih kemenangan. Dapatkan informasi lengkap mengenai jadwal pertandingan dan hasil pertandingan terbaru hanya di Vidio.</t>
  </si>
  <si>
    <t>https://thumbor.prod.vidiocdn.com/eLkdkUw4PgrKTMiXH9i7CMYAKkQ=/filters:quality(70)/vidio-media-production/uploads/image/source/53130/09b733.png</t>
  </si>
  <si>
    <t>https://thumbor.prod.vidiocdn.com/QmDbug25_htBCx5X0lTCh7GSnhk=/filters:quality(70)/vidio-media-production/uploads/image/source/53129/a629a5.png</t>
  </si>
  <si>
    <t>https://drive.google.com/file/d/1nb0GGRZR7fX-fLQS5w6s84QUaMny4VCA/view?usp=sharing</t>
  </si>
  <si>
    <t>0527a31d</t>
  </si>
  <si>
    <t>Macclesfield vs Crystal Palace - FA Cup</t>
  </si>
  <si>
    <t>https://www.vidio.com/live/20249-fa-cup-2025-26?schedule_id=4832292</t>
  </si>
  <si>
    <t>https://drive.google.com/drive/folders/10-suFEcm6jhXSJM-RUvHeXumWf4vo3Lh?usp=drive_link</t>
  </si>
  <si>
    <t>Macclesfield FC; crystal palace fc; sports stream</t>
  </si>
  <si>
    <t>Nonton streaming pertandingan seru Macclesfield vs Crystal Palace - FA Cup. Saksikan aksi-aksi terbaik dari tim yang bersaing ketat untuk meraih kemenangan. Dapatkan informasi lengkap mengenai jadwal pertandingan dan hasil pertandingan terbaru hanya di Vidio.</t>
  </si>
  <si>
    <t>https://thumbor.prod.vidiocdn.com/tAzDE8j9ghzZFAZV_l0PYCYNCJo=/filters:quality(70)/vidio-media-production/uploads/image/source/53144/ca0be4.png</t>
  </si>
  <si>
    <t>https://thumbor.prod.vidiocdn.com/6XdxjZU-Y_5lXd6t12cUpK6wD-o=/filters:quality(70)/vidio-media-production/uploads/image/source/53143/8eb67c.png</t>
  </si>
  <si>
    <t>https://drive.google.com/file/d/1cPKhmHFCqL6vA_8TxB2Du70BTWC1B2s8/view?usp=sharing</t>
  </si>
  <si>
    <t>37e2ee55</t>
  </si>
  <si>
    <t>Everton vs Sunderland - FA Cup</t>
  </si>
  <si>
    <t>https://www.vidio.com/live/19774-fa-cup-2025-26?schedule_id=4832291</t>
  </si>
  <si>
    <t>https://drive.google.com/drive/folders/1HnPQUxhHD6KsSjEUyMSO1BLbMiI4v-8v?usp=drive_link</t>
  </si>
  <si>
    <t>Nonton streaming pertandingan seru Everton vs Sunderland - FA Cup. Saksikan aksi-aksi terbaik dari tim yang bersaing ketat untuk meraih kemenangan. Dapatkan informasi lengkap mengenai jadwal pertandingan dan hasil pertandingan terbaru hanya di Vidio.</t>
  </si>
  <si>
    <t>https://thumbor.prod.vidiocdn.com/yqXiva-zHEM_f44OdV3-9vdjoqI=/filters:quality(70)/vidio-media-production/uploads/image/source/53142/b71f6c.png</t>
  </si>
  <si>
    <t>https://thumbor.prod.vidiocdn.com/v3nniBc6XERQCXF3Y4eLZdH3wZo=/filters:quality(70)/vidio-media-production/uploads/image/source/53141/009029.png</t>
  </si>
  <si>
    <t>https://drive.google.com/file/d/1b-g49T5d8ewNgfdej5DHCtgJZbB4GX_b/view?usp=sharing</t>
  </si>
  <si>
    <t>bfbef5f5</t>
  </si>
  <si>
    <t>Wolves vs Shrewsbury - FA Cup</t>
  </si>
  <si>
    <t>https://www.vidio.com/live/20251-fa-cup-2025-26?schedule_id=4832293</t>
  </si>
  <si>
    <t>https://drive.google.com/drive/folders/17u9jzI2ZCPmfzp0xzVEB7cNmoRzsevFj?usp=drive_link</t>
  </si>
  <si>
    <t>wolverhampton wanderers fc; Shrewsbury Town FC; sports stream</t>
  </si>
  <si>
    <t>Nonton streaming pertandingan seru Wolves vs Shrewsbury - FA Cup. Saksikan aksi-aksi terbaik dari tim yang bersaing ketat untuk meraih kemenangan. Dapatkan informasi lengkap mengenai jadwal pertandingan dan hasil pertandingan terbaru hanya di Vidio.</t>
  </si>
  <si>
    <t>https://thumbor.prod.vidiocdn.com/dycm7AsFOntV8-Bnu8618ecpf8U=/filters:quality(70)/vidio-media-production/uploads/image/source/53146/d49924.png</t>
  </si>
  <si>
    <t>https://thumbor.prod.vidiocdn.com/giaobWsqMJfwle9cmy4FmoRemwY=/filters:quality(70)/vidio-media-production/uploads/image/source/53145/fadf0d.png</t>
  </si>
  <si>
    <t>https://drive.google.com/file/d/1Kd0yjktGJi95NeCGdICQD4UpWTLX3xr7/view?usp=sharing</t>
  </si>
  <si>
    <t>06a46e59</t>
  </si>
  <si>
    <t>Burnley vs Millwall - FA Cup</t>
  </si>
  <si>
    <t>https://www.vidio.com/live/20260</t>
  </si>
  <si>
    <t>https://drive.google.com/drive/folders/1EKXeoHRpumSB2G_puxcRYgggltZ2QlD0?usp=drive_link</t>
  </si>
  <si>
    <t>burnley fc; millwall fc; sports stream</t>
  </si>
  <si>
    <t>Nonton streaming pertandingan seru Burnley vs Millwall - FA Cup. Saksikan aksi-aksi terbaik dari tim yang bersaing ketat untuk meraih kemenangan. Dapatkan informasi lengkap mengenai jadwal pertandingan dan hasil pertandingan terbaru hanya di Vidio.</t>
  </si>
  <si>
    <t>https://thumbor.prod.vidiocdn.com/Dt1YsPZfIG8Fq_01WU9c80l0sYo=/filters:quality(70)/vidio-media-production/uploads/image/source/53150/273317.png</t>
  </si>
  <si>
    <t>https://thumbor.prod.vidiocdn.com/KcGAyZn2PE50tIsfNoGJe3rovCk=/filters:quality(70)/vidio-media-production/uploads/image/source/53149/56c5a2.png</t>
  </si>
  <si>
    <t>https://drive.google.com/file/d/16plLF-FgIity2h638MBtE4pER8mgFj_h/view?usp=sharing</t>
  </si>
  <si>
    <t>a970253c</t>
  </si>
  <si>
    <t>Fulham vs Middlesbrough - FA Cup</t>
  </si>
  <si>
    <t>https://www.vidio.com/live/20251-fa-cup-2025-26?schedule_id=4832305</t>
  </si>
  <si>
    <t>https://drive.google.com/drive/folders/1UWZcTS2w9z_xJJSiMUO56Imn3ZQZo9CV?usp=drive_link</t>
  </si>
  <si>
    <t>fulham fc; Middlesbrough; sports stream</t>
  </si>
  <si>
    <t>Nonton streaming pertandingan seru Fulham vs Middlesbrough - FA Cup. Saksikan aksi-aksi terbaik dari tim yang bersaing ketat untuk meraih kemenangan. Dapatkan informasi lengkap mengenai jadwal pertandingan dan hasil pertandingan terbaru hanya di Vidio.</t>
  </si>
  <si>
    <t>https://thumbor.prod.vidiocdn.com/G_7nnVQ1JrWJ1FXXS7W5KrZQVmk=/filters:quality(70)/vidio-media-production/uploads/image/source/53154/a4a07c.png</t>
  </si>
  <si>
    <t>https://thumbor.prod.vidiocdn.com/SD19h9HZZbgfEnhtsnI3LdJ2daU=/filters:quality(70)/vidio-media-production/uploads/image/source/53153/8a22b6.png</t>
  </si>
  <si>
    <t>https://drive.google.com/file/d/1dO_dWtiZD2U_uYSz0XLQ2mX7Jijod65z/view?usp=sharing</t>
  </si>
  <si>
    <t>0887d179</t>
  </si>
  <si>
    <t>Man City vs Exeter City - FA Cup</t>
  </si>
  <si>
    <t>https://www.vidio.com/live/20259-fa-cup-2025-26?schedule_id=4832318</t>
  </si>
  <si>
    <t>https://drive.google.com/drive/folders/1rYbXwFtnL2Q48D-65MjSaOtYQEcBnpLn?usp=drive_link</t>
  </si>
  <si>
    <t>Exeter City FC</t>
  </si>
  <si>
    <t>manchester city fc; Exeter City FC; sports stream</t>
  </si>
  <si>
    <t>Nonton streaming pertandingan seru Man City vs Exeter City - FA Cup. Saksikan aksi-aksi terbaik dari tim yang bersaing ketat untuk meraih kemenangan. Dapatkan informasi lengkap mengenai jadwal pertandingan dan hasil pertandingan terbaru hanya di Vidio.</t>
  </si>
  <si>
    <t>https://thumbor.prod.vidiocdn.com/XGrJeRmYg5dsBJHtAAXAp5VcV9w=/filters:quality(70)/vidio-media-production/uploads/image/source/53156/4187b8.png</t>
  </si>
  <si>
    <t>https://thumbor.prod.vidiocdn.com/OdqmATEbk0c9SopKyJOFzhTOJHI=/filters:quality(70)/vidio-media-production/uploads/image/source/53155/2027e2.png</t>
  </si>
  <si>
    <t>https://drive.google.com/file/d/17I8IAMtUHar2_cSwkciUm75_UMKsdCPU/view?usp=sharing</t>
  </si>
  <si>
    <t>c13fa3e2</t>
  </si>
  <si>
    <t>Newcastle vs Bournemouth - FA Cup</t>
  </si>
  <si>
    <t>https://www.vidio.com/live/20252-fa-cup-2025-26?schedule_id=4832307</t>
  </si>
  <si>
    <t>https://drive.google.com/drive/folders/1hGznrFz-5mNcwmn499U6u7w_xQ_XnLj7?usp=drive_link</t>
  </si>
  <si>
    <t>Nonton streaming pertandingan seru Newcastle vs Bournemouth - FA Cup. Saksikan aksi-aksi terbaik dari tim yang bersaing ketat untuk meraih kemenangan. Dapatkan informasi lengkap mengenai jadwal pertandingan dan hasil pertandingan terbaru hanya di Vidio.</t>
  </si>
  <si>
    <t>https://thumbor.prod.vidiocdn.com/rMXj7ExCrpESeFlkxPZzKZjsbIA=/filters:quality(70)/vidio-media-production/uploads/image/source/53158/5c1665.png</t>
  </si>
  <si>
    <t>https://thumbor.prod.vidiocdn.com/3QKn3BloHKVHSvT-G2fg3avYML8=/filters:quality(70)/vidio-media-production/uploads/image/source/53157/56a8f3.png</t>
  </si>
  <si>
    <t>https://drive.google.com/file/d/1sebHnYKTR-oRHkfxwZsAtd8cVWyH2UNr/view?usp=sharing</t>
  </si>
  <si>
    <t>b8b50b3d</t>
  </si>
  <si>
    <t>Sheffield Wednesday vs Brentford - FA Cup</t>
  </si>
  <si>
    <t>https://www.vidio.com/live/20253-fa-cup-2025-26?schedule_id=4832309</t>
  </si>
  <si>
    <t>https://drive.google.com/drive/u/0/folders/14V7OsweGfIqcHv33ADTze6Pc3OpL6KeH</t>
  </si>
  <si>
    <t>sheffield wednesday fc; brentford fc; sports stream</t>
  </si>
  <si>
    <t>Nonton streaming pertandingan seru Sheffield Wednesday vs Brentford - FA Cup. Saksikan aksi-aksi terbaik dari tim yang bersaing ketat untuk meraih kemenangan. Dapatkan informasi lengkap mengenai jadwal pertandingan dan hasil pertandingan terbaru hanya di Vidio.</t>
  </si>
  <si>
    <t>https://thumbor.prod.vidiocdn.com/NSXbAFYF92XOuoOAH_Ayjawryxg=/filters:quality(70)/vidio-media-production/uploads/image/source/53164/6691af.png</t>
  </si>
  <si>
    <t>https://thumbor.prod.vidiocdn.com/e-xd8zZmmfQXQ2LFeybMQKFd2Nk=/filters:quality(70)/vidio-media-production/uploads/image/source/53163/ddf9fe.png</t>
  </si>
  <si>
    <t>https://drive.google.com/file/d/1FoD2xNn7nOl1dxUr8rf_sov6f8WoFZxJ/view?usp=sharing</t>
  </si>
  <si>
    <t>291da4b3</t>
  </si>
  <si>
    <t>Tottenham vs Aston Villa - FA Cup</t>
  </si>
  <si>
    <t>https://www.vidio.com/live/20251-fa-cup-2025-26?schedule_id=4834090</t>
  </si>
  <si>
    <t>https://drive.google.com/drive/u/0/folders/1Vn7JCgbUUAe-CiyM8ywv1FbAsOZCMLT8</t>
  </si>
  <si>
    <t>Nonton streaming pertandingan seru Tottenham vs Aston Villa - FA Cup. Saksikan aksi-aksi terbaik dari tim yang bersaing ketat untuk meraih kemenangan. Dapatkan informasi lengkap mengenai jadwal pertandingan dan hasil pertandingan terbaru hanya di Vidio.</t>
  </si>
  <si>
    <t>https://thumbor.prod.vidiocdn.com/8U9QiV_W6s4-ntlM3ZLP5C2BSHI=/filters:quality(70)/vidio-media-production/uploads/image/source/53176/a96a5b.png</t>
  </si>
  <si>
    <t>https://thumbor.prod.vidiocdn.com/SDIgljcA8pYIIfgTjDT37dy-YYA=/filters:quality(70)/vidio-media-production/uploads/image/source/53175/bfc3c9.png</t>
  </si>
  <si>
    <t>https://drive.google.com/file/d/1vaJLv_r4VBZbj9I8hgVkrlWslTQMy_S0/view?usp=sharing</t>
  </si>
  <si>
    <t>7b168f7d</t>
  </si>
  <si>
    <t>Charlton Athletic FC vs Chelsea - FA Cup</t>
  </si>
  <si>
    <t>https://www.vidio.com/live/19773-fa-cup-2025-26?schedule_id=4833941</t>
  </si>
  <si>
    <t>https://drive.google.com/drive/u/0/folders/1AbIjM58oIDIznvifi57mZjmcJISL8tGB</t>
  </si>
  <si>
    <t>Charlton Athletic FC</t>
  </si>
  <si>
    <t>charlton athletic fc; chelsea fc; sports stream</t>
  </si>
  <si>
    <t>Nonton streaming pertandingan seru Charlton Athletic FC vs Chelsea - FA Cup. Saksikan aksi-aksi terbaik dari tim yang bersaing ketat untuk meraih kemenangan. Dapatkan informasi lengkap mengenai jadwal pertandingan dan hasil pertandingan terbaru hanya di Vidio.</t>
  </si>
  <si>
    <t>https://thumbor.prod.vidiocdn.com/X4hOUOiw_KrQpu2g_jnn825l6Zc=/filters:quality(70)/vidio-media-production/uploads/image/source/53180/6a5f33.png</t>
  </si>
  <si>
    <t>https://thumbor.prod.vidiocdn.com/eYvi8TXlpwqMqyb7SDIZbYNnpzA=/filters:quality(70)/vidio-media-production/uploads/image/source/53179/64571a.png</t>
  </si>
  <si>
    <t>https://drive.google.com/file/d/1SH4T1c7Vq_thqsRuVZCuo4VCObdd2F-o/view?usp=sharing</t>
  </si>
  <si>
    <t>8b75c7a7</t>
  </si>
  <si>
    <t>Derby County vs Leeds United - FA Cup</t>
  </si>
  <si>
    <t>https://www.vidio.com/live/19773-fa-cup-2025-26?schedule_id=4833934</t>
  </si>
  <si>
    <t>https://drive.google.com/drive/u/0/folders/11cg5piQtCjk634nUk4BDKBlKj1gfahJy</t>
  </si>
  <si>
    <t>derby county fc; leeds united fc; sports stream</t>
  </si>
  <si>
    <t>Nonton streaming pertandingan seru Derby County vs Leeds United - FA Cup. Saksikan aksi-aksi terbaik dari tim yang bersaing ketat untuk meraih kemenangan. Dapatkan informasi lengkap mengenai jadwal pertandingan dan hasil pertandingan terbaru hanya di Vidio.</t>
  </si>
  <si>
    <t>https://thumbor.prod.vidiocdn.com/i4MQHxHnfYzl_wmSrPRZm7G2VbI=/filters:quality(70)/vidio-media-production/uploads/image/source/53182/023107.png</t>
  </si>
  <si>
    <t>https://thumbor.prod.vidiocdn.com/IvPRsmt3-ScCIFREgUSaS-1aqyI=/filters:quality(70)/vidio-media-production/uploads/image/source/53181/4f71f9.png</t>
  </si>
  <si>
    <t>https://drive.google.com/file/d/1HPcjJA4Ev1L_HDOV0Yuf_5hlF9UW9mWR/view?usp=sharing</t>
  </si>
  <si>
    <t>ae0a2833</t>
  </si>
  <si>
    <t>Portsmouth vs Arsenal - FA Cup</t>
  </si>
  <si>
    <t>https://www.vidio.com/live/19774-fa-cup-2025-26?schedule_id=4833939</t>
  </si>
  <si>
    <t>https://drive.google.com/drive/u/0/folders/1Mb7spNYgBJJk0QpAgapw9oXBfExdWcV5</t>
  </si>
  <si>
    <t>portsmouth fc; arsenal fc; sports stream</t>
  </si>
  <si>
    <t>Nonton streaming pertandingan seru Portsmouth vs Arsenal - FA Cup. Saksikan aksi-aksi terbaik dari tim yang bersaing ketat untuk meraih kemenangan. Dapatkan informasi lengkap mengenai jadwal pertandingan dan hasil pertandingan terbaru hanya di Vidio.</t>
  </si>
  <si>
    <t>https://thumbor.prod.vidiocdn.com/32g28jW7SuaybEbdbkjoFVZEwbU=/filters:quality(70)/vidio-media-production/uploads/image/source/53184/52a2ae.png</t>
  </si>
  <si>
    <t>https://thumbor.prod.vidiocdn.com/1HvxEWXSD89HyUrzUJd-wBcCOVs=/filters:quality(70)/vidio-media-production/uploads/image/source/53183/0b2540.png</t>
  </si>
  <si>
    <t>https://drive.google.com/file/d/112tY2YAzt_O0Wgz9l59emoINiw43cUwo/view?usp=sharing</t>
  </si>
  <si>
    <t>5bcfa194</t>
  </si>
  <si>
    <t>West Ham vs QPR - FA Cup</t>
  </si>
  <si>
    <t>https://www.vidio.com/live/20254-fa-cup-2025-26?schedule_id=4834096</t>
  </si>
  <si>
    <t>https://drive.google.com/drive/u/0/folders/1-g3D7TaX761q0suHFU0Mmk3INnMgykSO</t>
  </si>
  <si>
    <t>west ham united fc; queens park rangers fc; sports stream</t>
  </si>
  <si>
    <t>Nonton streaming pertandingan seru West Ham vs QPR - FA Cup. Saksikan aksi-aksi terbaik dari tim yang bersaing ketat untuk meraih kemenangan. Dapatkan informasi lengkap mengenai jadwal pertandingan dan hasil pertandingan terbaru hanya di Vidio.</t>
  </si>
  <si>
    <t>https://thumbor.prod.vidiocdn.com/rgGAATlNOOgQKvxsEVRBaop5V7Q=/filters:quality(70)/vidio-media-production/uploads/image/source/53194/be7999.png</t>
  </si>
  <si>
    <t>https://thumbor.prod.vidiocdn.com/ImU1WDContBIuUyBWkI4yz0n2Hg=/filters:quality(70)/vidio-media-production/uploads/image/source/53193/57642e.png</t>
  </si>
  <si>
    <t>https://drive.google.com/file/d/1xyoCvCxeCc9_wmt5vH8VROFW0_KnxOzO/view?usp=sharing</t>
  </si>
  <si>
    <t>19bf583d</t>
  </si>
  <si>
    <t>Man United vs Brighton - FA Cup</t>
  </si>
  <si>
    <t>https://www.vidio.com/live/19773-fa-cup-2025-26?schedule_id=4833935</t>
  </si>
  <si>
    <t>https://drive.google.com/drive/u/0/folders/1p7a_qjl5SAE7egwmjgxX5Bgh6EmwMnrj</t>
  </si>
  <si>
    <t>Nonton streaming pertandingan seru Man United vs Brighton - FA Cup. Saksikan aksi-aksi terbaik dari tim yang bersaing ketat untuk meraih kemenangan. Dapatkan informasi lengkap mengenai jadwal pertandingan dan hasil pertandingan terbaru hanya di Vidio.</t>
  </si>
  <si>
    <t>https://thumbor.prod.vidiocdn.com/YZDvds-wQCnG_y50SbKDm1eQ-5Q=/filters:quality(70)/vidio-media-production/uploads/image/source/53196/04bc34.png</t>
  </si>
  <si>
    <t>https://thumbor.prod.vidiocdn.com/YCCX-kUKfqXT6tLVh4jM0Z9NoLA=/filters:quality(70)/vidio-media-production/uploads/image/source/53195/5873bf.png</t>
  </si>
  <si>
    <t>https://drive.google.com/file/d/1aBnFrejLlFvE6jKdaZb5KHT3O6DagSwj/view?usp=sharing</t>
  </si>
  <si>
    <t>c250bd47</t>
  </si>
  <si>
    <t>Liverpool vs Barnsley - FA Cup</t>
  </si>
  <si>
    <t>https://www.vidio.com/live/19773-fa-cup-2025-26?schedule_id=4833936</t>
  </si>
  <si>
    <t>https://drive.google.com/drive/u/0/folders/1z1rIxB1_FRAu03hiz7W3p7N18LXe2z7h</t>
  </si>
  <si>
    <t>liverpool fc; barnsley fc; sports stream</t>
  </si>
  <si>
    <t>Nonton streaming pertandingan seru Liverpool vs Barnsley - FA Cup. Saksikan aksi-aksi terbaik dari tim yang bersaing ketat untuk meraih kemenangan. Dapatkan informasi lengkap mengenai jadwal pertandingan dan hasil pertandingan terbaru hanya di Vidio.</t>
  </si>
  <si>
    <t>https://thumbor.prod.vidiocdn.com/c6W5tF6QjYQfGCALxUWYdo8Puq4=/filters:quality(70)/vidio-media-production/uploads/image/source/53198/2187e3.png</t>
  </si>
  <si>
    <t>https://thumbor.prod.vidiocdn.com/RHD81MfRwKEqdebDL0NNzp3ZGlc=/filters:quality(70)/vidio-media-production/uploads/image/source/53197/dcd224.png</t>
  </si>
  <si>
    <t>https://drive.google.com/file/d/1ZoPFsY9KhmPDkAban_hHPLg0rC8nN32F/view?usp=sharing</t>
  </si>
  <si>
    <t>b36fc382</t>
  </si>
  <si>
    <t>Hibernian vs Hearts - Scottish Premiership</t>
  </si>
  <si>
    <t>https://www.vidio.com/live/17139-spotv?schedule_id=4790740</t>
  </si>
  <si>
    <t>https://drive.google.com/file/d/1CXccdXwP4AhbuuaGN67gOI0bgjXv61ta/view?usp=drive_link</t>
  </si>
  <si>
    <t>Hibernian</t>
  </si>
  <si>
    <t>Hibernian; heart of midlothian fc; sports stream</t>
  </si>
  <si>
    <t>Nonton streaming pertandingan seru Hibernian vs Hearts - Scottish Premiership. Saksikan aksi-aksi terbaik dari tim yang bersaing ketat untuk meraih kemenangan. Dapatkan informasi lengkap mengenai jadwal pertandingan dan hasil pertandingan terbaru hanya di Vidio.</t>
  </si>
  <si>
    <t>https://drive.google.com/file/d/1CXccdXwP4AhbuuaGN67gOI0bgjXv61ta/view?usp=sharing</t>
  </si>
  <si>
    <t>ca4bbaae</t>
  </si>
  <si>
    <t>Livingston vs Celtic - Scottish Premiership</t>
  </si>
  <si>
    <t>https://www.vidio.com/live/17139-spotv?schedule_id=4790741</t>
  </si>
  <si>
    <t>https://drive.google.com/file/d/1CCwjPMwC9nhgDKtt9bFFc0WC_x5gWv7h/view?usp=drive_link</t>
  </si>
  <si>
    <t>Livingston</t>
  </si>
  <si>
    <t>Livingston; celtic fc; sports stream</t>
  </si>
  <si>
    <t>Nonton streaming pertandingan seru Livingston vs Celtic - Scottish Premiership. Saksikan aksi-aksi terbaik dari tim yang bersaing ketat untuk meraih kemenangan. Dapatkan informasi lengkap mengenai jadwal pertandingan dan hasil pertandingan terbaru hanya di Vidio.</t>
  </si>
  <si>
    <t>https://drive.google.com/file/d/1CCwjPMwC9nhgDKtt9bFFc0WC_x5gWv7h/view?usp=sharing</t>
  </si>
  <si>
    <t>a31d9156</t>
  </si>
  <si>
    <t>Genclerbirligi vs Trabzonspor - Trendyol Super Lig</t>
  </si>
  <si>
    <t>https://www.vidio.com/live/17875-bein-2?schedule_id=4790140</t>
  </si>
  <si>
    <t>https://drive.google.com/drive/folders/1rGrNiSVnQ56hwqiz-IUWcS36Ek0v2OE6?usp=drive_link</t>
  </si>
  <si>
    <t>Genclerbirligi</t>
  </si>
  <si>
    <t>Genclerbirligi; Trabzonspor Kulübü; sports stream</t>
  </si>
  <si>
    <t>Nonton streaming pertandingan seru Genclerbirligi vs Trabzonspor - Trendyol Super Lig. Saksikan aksi-aksi terbaik dari tim yang bersaing ketat untuk meraih kemenangan. Dapatkan informasi lengkap mengenai jadwal pertandingan dan hasil pertandingan terbaru hanya di Vidio.</t>
  </si>
  <si>
    <t>https://thumbor.prod.vidiocdn.com/5uyFicps2Aht9eWZs-T4pes75dI=/filters:quality(70)/vidio-media-production/uploads/image/source/52329/d6f2f2.png</t>
  </si>
  <si>
    <t>https://drive.google.com/file/d/12q0X-n66uyxGn5Xh4l5sj9gQshofwKCK/view?usp=sharing</t>
  </si>
  <si>
    <t>d2cc279c</t>
  </si>
  <si>
    <t>Denver Broncos vs Kansas City Chiefs - NFL</t>
  </si>
  <si>
    <t>https://www.vidio.com/live/19548-national-football-league-2025-26?schedule_id=4790927</t>
  </si>
  <si>
    <t>https://drive.google.com/drive/folders/1kOjlmzdpli7hK31zfQACHLmvuGf1yuyg?usp=drive_link</t>
  </si>
  <si>
    <t>Nonton streaming pertandingan seru Denver Broncos vs Kansas City Chiefs - NFL. Saksikan aksi-aksi terbaik dari tim yang bersaing ketat untuk meraih kemenangan. Dapatkan informasi lengkap mengenai jadwal pertandingan dan hasil pertandingan terbaru hanya di Vidio.</t>
  </si>
  <si>
    <t>https://thumbor.prod.vidiocdn.com/l4ac3lrO_ypCQ5ouv_05Umj96n8=/filters:quality(70)/vidio-media-production/uploads/image/source/52263/cb27b3.png</t>
  </si>
  <si>
    <t>https://thumbor.prod.vidiocdn.com/kT7b9akWbaa7psbFseYcpgKsYRc=/filters:quality(70)/vidio-media-production/uploads/image/source/52260/994411.png</t>
  </si>
  <si>
    <t>https://drive.google.com/file/d/1jEKR1T4RD4TDVRufO4-ylxhJLt11-Oer/view?usp=sharing</t>
  </si>
  <si>
    <t>89b0863b</t>
  </si>
  <si>
    <t>Houston Texans vs Los Angeles Chargers - NFL</t>
  </si>
  <si>
    <t>https://drive.google.com/drive/folders/1kgFW7rdHC2SZXIfz-I7xGD3NAU2tSBwS?usp=drive_link</t>
  </si>
  <si>
    <t>Nonton streaming pertandingan seru Houston Texans vs Los Angeles Chargers - NFL. Saksikan aksi-aksi terbaik dari tim yang bersaing ketat untuk meraih kemenangan. Dapatkan informasi lengkap mengenai jadwal pertandingan dan hasil pertandingan terbaru hanya di Vidio.</t>
  </si>
  <si>
    <t>https://thumbor.prod.vidiocdn.com/G2887J6n9uTzDXnlsiFfUvT8vKI=/filters:quality(70)/vidio-media-production/uploads/image/source/52264/8022fc.png</t>
  </si>
  <si>
    <t>https://thumbor.prod.vidiocdn.com/jVRdcwJMGyu6bQzT9m0SeSrPEdM=/filters:quality(70)/vidio-media-production/uploads/image/source/52261/38d795.png</t>
  </si>
  <si>
    <t>https://drive.google.com/file/d/1b7sg7qVtKK6rxgv8Y0gJOekk7HtKzahz/view?usp=sharing</t>
  </si>
  <si>
    <t>e01b6458</t>
  </si>
  <si>
    <t>Baltimore Ravens vs Green Bay Packers - NFL</t>
  </si>
  <si>
    <t>https://www.vidio.com/live/19623-national-football-league-2025-26?schedule_id=4794987</t>
  </si>
  <si>
    <t>https://drive.google.com/drive/folders/1AG6u0bNQsQ2LjdWCbPazv93VkRDI68xo?usp=drive_link</t>
  </si>
  <si>
    <t>Nonton streaming pertandingan seru Baltimore Ravens vs Green Bay Packers - NFL. Saksikan aksi-aksi terbaik dari tim yang bersaing ketat untuk meraih kemenangan. Dapatkan informasi lengkap mengenai jadwal pertandingan dan hasil pertandingan terbaru hanya di Vidio.</t>
  </si>
  <si>
    <t>https://thumbor.prod.vidiocdn.com/p8ElecCcxEEWQyzp1RqHJdwwRUw=/filters:quality(70)/vidio-media-production/uploads/image/source/52266/af5b77.png</t>
  </si>
  <si>
    <t>https://thumbor.prod.vidiocdn.com/FOmX01GPVgMEcULnV8uwF8Ykx6w=/filters:quality(70)/vidio-media-production/uploads/image/source/52262/2a7427.png</t>
  </si>
  <si>
    <t>https://drive.google.com/file/d/13EdEAWS0bYY0LIAGUGd0kh0IdY2y4FAq/view?usp=sharing</t>
  </si>
  <si>
    <t>97dc56bd</t>
  </si>
  <si>
    <t>Seattle Seahawks vs Carolina Panthers - NFL</t>
  </si>
  <si>
    <t>https://www.vidio.com/live/19623-national-football-league-2025-26?schedule_id=4797255</t>
  </si>
  <si>
    <t>https://drive.google.com/drive/folders/1LTZbif_Kqj26_2CIvHG-55X0LZeCTntI?usp=drive_link</t>
  </si>
  <si>
    <t>Nonton streaming pertandingan seru Seattle Seahawks vs Carolina Panthers - NFL. Saksikan aksi-aksi terbaik dari tim yang bersaing ketat untuk meraih kemenangan. Dapatkan informasi lengkap mengenai jadwal pertandingan dan hasil pertandingan terbaru hanya di Vidio.</t>
  </si>
  <si>
    <t>https://thumbor.prod.vidiocdn.com/kD0k1HMo_5RR6wYBpmwVEpnMtCo=/filters:quality(70)/vidio-media-production/uploads/image/source/52267/63fedc.png</t>
  </si>
  <si>
    <t>https://thumbor.prod.vidiocdn.com/aWY38EkqP2TvPU5zqHwUekr7jSA=/filters:quality(70)/vidio-media-production/uploads/image/source/52265/691c82.png</t>
  </si>
  <si>
    <t>https://drive.google.com/file/d/1HzyGClM9xXzqbvSSZtYcoh6pST7mX2mi/view?usp=sharing</t>
  </si>
  <si>
    <t>d2cbb19b</t>
  </si>
  <si>
    <t>Philadelphia Eagles vs Buffalo Bills - NFL</t>
  </si>
  <si>
    <t>https://www.vidio.com/live/19623-national-football-league-2025-26?schedule_id=4797259</t>
  </si>
  <si>
    <t>https://drive.google.com/drive/folders/1rD8dVddCCAQ2Vw_bnbED-BobKsSg6Lsu?usp=drive_link</t>
  </si>
  <si>
    <t>Nonton streaming pertandingan seru Philadelphia Eagles vs Buffalo Bills - NFL. Saksikan aksi-aksi terbaik dari tim yang bersaing ketat untuk meraih kemenangan. Dapatkan informasi lengkap mengenai jadwal pertandingan dan hasil pertandingan terbaru hanya di Vidio.</t>
  </si>
  <si>
    <t>https://thumbor.prod.vidiocdn.com/WmQ029V22bo5mTTwdOKtrBnBLUM=/filters:quality(70)/vidio-media-production/uploads/image/source/52269/61e75e.png</t>
  </si>
  <si>
    <t>https://thumbor.prod.vidiocdn.com/lgxROJOlDTbe7eJWo9CxPfcWYqA=/filters:quality(70)/vidio-media-production/uploads/image/source/52268/a06a17.png</t>
  </si>
  <si>
    <t>https://drive.google.com/file/d/1h9IyA-ix3PI4F6tI8ZFYITNA0JhiByx_/view?usp=sharing</t>
  </si>
  <si>
    <t>6808c353</t>
  </si>
  <si>
    <t>Chicago Bears vs San Francisco 49ers - NFL</t>
  </si>
  <si>
    <t>https://www.vidio.com/live/19548-national-football-league-2025-26?schedule_id=4797258</t>
  </si>
  <si>
    <t>https://drive.google.com/drive/folders/1N8BE3Xc8g42r0wrReWIgVyyJohHfvOB3?usp=drive_link</t>
  </si>
  <si>
    <t>Nonton streaming pertandingan seru Chicago Bears vs San Francisco 49ers - NFL. Saksikan aksi-aksi terbaik dari tim yang bersaing ketat untuk meraih kemenangan. Dapatkan informasi lengkap mengenai jadwal pertandingan dan hasil pertandingan terbaru hanya di Vidio.</t>
  </si>
  <si>
    <t>https://thumbor.prod.vidiocdn.com/oGzCwCQKoPFQo5Kk4yGB5yoG4pc=/filters:quality(70)/vidio-media-production/uploads/image/source/52272/215912.png</t>
  </si>
  <si>
    <t>https://thumbor.prod.vidiocdn.com/CzErZ28vsX53EgVkCxd0xHy1Lw0=/filters:quality(70)/vidio-media-production/uploads/image/source/52270/8a0e8b.png</t>
  </si>
  <si>
    <t>https://drive.google.com/file/d/1ar5LCy8aWZjObGtN8eF_q8xm0k7EReBk/view?usp=sharing</t>
  </si>
  <si>
    <t>b96aa37d</t>
  </si>
  <si>
    <t>Los Angeles Rams vs Atlanta Falcons - NFL</t>
  </si>
  <si>
    <t>https://www.vidio.com/live/19548-national-football-league-2025-26?schedule_id=4797275</t>
  </si>
  <si>
    <t>https://drive.google.com/drive/folders/1ZZQnrQswTSNB4Hg8SiaoFpeuUFEe5PXd?usp=drive_link</t>
  </si>
  <si>
    <t>Nonton streaming pertandingan seru Los Angeles Rams vs Atlanta Falcons - NFL. Saksikan aksi-aksi terbaik dari tim yang bersaing ketat untuk meraih kemenangan. Dapatkan informasi lengkap mengenai jadwal pertandingan dan hasil pertandingan terbaru hanya di Vidio.</t>
  </si>
  <si>
    <t>https://thumbor.prod.vidiocdn.com/p3L4HOA2xxHVFDr3LujD-kNg24o=/filters:quality(70)/vidio-media-production/uploads/image/source/52273/712304.png</t>
  </si>
  <si>
    <t>https://thumbor.prod.vidiocdn.com/BY3TaDcvNYuIRdLsShHFplN2l5E=/filters:quality(70)/vidio-media-production/uploads/image/source/52271/d8ad38.png</t>
  </si>
  <si>
    <t>https://drive.google.com/file/d/1O2nR633xmcfvYKd21Ggitl2MONP6wTDu/view?usp=sharing</t>
  </si>
  <si>
    <t>4f04110f</t>
  </si>
  <si>
    <t>Al-Hilal vs Al-Khaleej - ROSHN Saudi League</t>
  </si>
  <si>
    <t>https://www.vidio.com/live/17139-spotv?schedule_id=4795164</t>
  </si>
  <si>
    <t>al-hilal; al khaleej; sports stream</t>
  </si>
  <si>
    <t>Nonton streaming pertandingan seru Al-Hilal vs Al-Khaleej - ROSHN Saudi League. Saksikan aksi-aksi terbaik dari tim yang bersaing ketat untuk meraih kemenangan. Dapatkan informasi lengkap mengenai jadwal pertandingan dan hasil pertandingan terbaru hanya di Vidio.</t>
  </si>
  <si>
    <t>https://thumbor.prod.vidiocdn.com/yuh3xqS_vqOh2dfoRrp5qhpoVEA=/filters:quality(70)/vidio-media-production/uploads/image/source/52675/011c2d.png</t>
  </si>
  <si>
    <t>838d1d9b</t>
  </si>
  <si>
    <t>Al-Ittihad vs Al-Shabab - ROSHN Saudi League</t>
  </si>
  <si>
    <t>https://www.vidio.com/live/17140-spotv-2?schedule_id=4795181</t>
  </si>
  <si>
    <t>https://drive.google.com/drive/folders/1usVPhikQhYpR873Iex3Ya_f-wlCWLBib?usp=drive_link</t>
  </si>
  <si>
    <t>Nonton streaming pertandingan seru Al-Ittihad vs Al-Shabab - ROSHN Saudi League. Saksikan aksi-aksi terbaik dari tim yang bersaing ketat untuk meraih kemenangan. Dapatkan informasi lengkap mengenai jadwal pertandingan dan hasil pertandingan terbaru hanya di Vidio.</t>
  </si>
  <si>
    <t>https://thumbor.prod.vidiocdn.com/GoSYLAAFlezZiEoWFmjkmXqE6sI=/filters:quality(70)/vidio-media-production/uploads/image/source/52677/91c81a.png</t>
  </si>
  <si>
    <t>https://drive.google.com/file/d/1QVeyAbAHjpnvdM_Tbn6CXqof-YhET_GK/view?usp=sharing</t>
  </si>
  <si>
    <t>afbbcc0f</t>
  </si>
  <si>
    <t>Port Vale vs Fleetwood - FA Cup</t>
  </si>
  <si>
    <t>https://www.vidio.com/live/19774-fa-cup-2025-26?schedule_id=4832265</t>
  </si>
  <si>
    <t>Fleetwood Town FC</t>
  </si>
  <si>
    <t>Port Vale FC; Fleetwood Town FC; sports stream</t>
  </si>
  <si>
    <t>Nonton streaming pertandingan seru Port Vale vs Fleetwood - FA Cup. Saksikan aksi-aksi terbaik dari tim yang bersaing ketat untuk meraih kemenangan. Dapatkan informasi lengkap mengenai jadwal pertandingan dan hasil pertandingan terbaru hanya di Vidio.</t>
  </si>
  <si>
    <t>https://thumbor.prod.vidiocdn.com/8wQ45W9TAmnhvO63VI9HpoGuDV8=/filters:quality(70)/vidio-media-production/uploads/image/source/53132/9023c2.png</t>
  </si>
  <si>
    <t>https://thumbor.prod.vidiocdn.com/XOCnRkMIcdFDysoWQNdTsuswFxw=/filters:quality(70)/vidio-media-production/uploads/image/source/53131/374da0.png</t>
  </si>
  <si>
    <t>ddce88d2</t>
  </si>
  <si>
    <t>Preston vs Wigan Athletic - FA Cup</t>
  </si>
  <si>
    <t>https://www.vidio.com/live/20249-fa-cup-2025-26?schedule_id=4832268</t>
  </si>
  <si>
    <t>Wigan Athletic FC</t>
  </si>
  <si>
    <t>preston north end fc; Wigan Athletic FC; sports stream</t>
  </si>
  <si>
    <t>Nonton streaming pertandingan seru Preston vs Wigan Athletic - FA Cup. Saksikan aksi-aksi terbaik dari tim yang bersaing ketat untuk meraih kemenangan. Dapatkan informasi lengkap mengenai jadwal pertandingan dan hasil pertandingan terbaru hanya di Vidio.</t>
  </si>
  <si>
    <t>https://thumbor.prod.vidiocdn.com/tD1-41zWdP82v3wtBoEZuDYDzJI=/filters:quality(70)/vidio-media-production/uploads/image/source/53136/68cccd.png</t>
  </si>
  <si>
    <t>https://thumbor.prod.vidiocdn.com/4MgNvlrfD--V4zALfVZewr2TNtY=/filters:quality(70)/vidio-media-production/uploads/image/source/53135/1fdedc.png</t>
  </si>
  <si>
    <t>ce8855ce</t>
  </si>
  <si>
    <t>Cheltenham vs Leicester - FA Cup</t>
  </si>
  <si>
    <t>https://www.vidio.com/live/20252-fa-cup-2025-26?schedule_id=4832316</t>
  </si>
  <si>
    <t>Cheltenham Town FC</t>
  </si>
  <si>
    <t>Cheltenham Town FC; leicester city fc; sports stream</t>
  </si>
  <si>
    <t>Nonton streaming pertandingan seru Cheltenham vs Leicester - FA Cup. Saksikan aksi-aksi terbaik dari tim yang bersaing ketat untuk meraih kemenangan. Dapatkan informasi lengkap mengenai jadwal pertandingan dan hasil pertandingan terbaru hanya di Vidio.</t>
  </si>
  <si>
    <t>https://thumbor.prod.vidiocdn.com/Mr6QB453eEyYg7xrzBTu_rBeZew=/filters:quality(70)/vidio-media-production/uploads/image/source/53140/4159c7.png</t>
  </si>
  <si>
    <t>https://thumbor.prod.vidiocdn.com/CmQ1Oj9fkFoeraagQHT2tRRRUvY=/filters:quality(70)/vidio-media-production/uploads/image/source/53139/f7615c.png</t>
  </si>
  <si>
    <t>9d13855f</t>
  </si>
  <si>
    <t>Boreham Wood vs Burton - FA Cup</t>
  </si>
  <si>
    <t>https://www.vidio.com/live/19773-fa-cup-2025-26?schedule_id=4832302</t>
  </si>
  <si>
    <t>boreham wood fc; burton albion fc; sports stream</t>
  </si>
  <si>
    <t>Nonton streaming pertandingan seru Boreham Wood vs Burton - FA Cup. Saksikan aksi-aksi terbaik dari tim yang bersaing ketat untuk meraih kemenangan. Dapatkan informasi lengkap mengenai jadwal pertandingan dan hasil pertandingan terbaru hanya di Vidio.</t>
  </si>
  <si>
    <t>https://thumbor.prod.vidiocdn.com/SjH4y_cTRtTI8q3kFtl-qxpK34E=/filters:quality(70)/vidio-media-production/uploads/image/source/53148/ad48f6.png</t>
  </si>
  <si>
    <t>https://thumbor.prod.vidiocdn.com/mVk2u88WQBYr0RV2NyWj1tk_ONM=/filters:quality(70)/vidio-media-production/uploads/image/source/53147/f12c96.png</t>
  </si>
  <si>
    <t>b2a5964e</t>
  </si>
  <si>
    <t>Doncaster vs Southampton - FA Cup</t>
  </si>
  <si>
    <t>https://www.vidio.com/live/20249-fa-cup-2025-26?schedule_id=4832304</t>
  </si>
  <si>
    <t>doncaster rovers fc; southampton fc; sports stream</t>
  </si>
  <si>
    <t>Nonton streaming pertandingan seru Doncaster vs Southampton - FA Cup. Saksikan aksi-aksi terbaik dari tim yang bersaing ketat untuk meraih kemenangan. Dapatkan informasi lengkap mengenai jadwal pertandingan dan hasil pertandingan terbaru hanya di Vidio.</t>
  </si>
  <si>
    <t>https://thumbor.prod.vidiocdn.com/NBrINS2FgvKQGA9qbuqZuLXwGC8=/filters:quality(70)/vidio-media-production/uploads/image/source/53152/021505.png</t>
  </si>
  <si>
    <t>https://thumbor.prod.vidiocdn.com/MzJsTNpO06EycJij-0HtO5k4c0k=/filters:quality(70)/vidio-media-production/uploads/image/source/53151/7c62a9.png</t>
  </si>
  <si>
    <t>3590600f</t>
  </si>
  <si>
    <t>Salford City vs Swindon Town - FA Cup</t>
  </si>
  <si>
    <t>https://www.vidio.com/live/20260-fa-cup-2025-26?schedule_id=4832320</t>
  </si>
  <si>
    <t>Swindon Town FC</t>
  </si>
  <si>
    <t>Salford City FC; Swindon Town FC; sports stream</t>
  </si>
  <si>
    <t>Nonton streaming pertandingan seru Salford City vs Swindon Town - FA Cup. Saksikan aksi-aksi terbaik dari tim yang bersaing ketat untuk meraih kemenangan. Dapatkan informasi lengkap mengenai jadwal pertandingan dan hasil pertandingan terbaru hanya di Vidio.</t>
  </si>
  <si>
    <t>https://thumbor.prod.vidiocdn.com/jyR4kor-C1wMrmSSZeMYuoBqfMY=/filters:quality(70)/vidio-media-production/uploads/image/source/53162/11b47c.png</t>
  </si>
  <si>
    <t>https://thumbor.prod.vidiocdn.com/8XFyIk8nEANuLNbD9u4r6ZaSq0g=/filters:quality(70)/vidio-media-production/uploads/image/source/53161/bf3b44.png</t>
  </si>
  <si>
    <t>bcfb3e0a</t>
  </si>
  <si>
    <t>Stoke City vs Coventry City - FA Cup</t>
  </si>
  <si>
    <t>https://www.vidio.com/live/20254-fa-cup-2025-26?schedule_id=4832311</t>
  </si>
  <si>
    <t>stoke city fc; coventry city fc; sports stream</t>
  </si>
  <si>
    <t>Nonton streaming pertandingan seru Stoke City vs Coventry City - FA Cup. Saksikan aksi-aksi terbaik dari tim yang bersaing ketat untuk meraih kemenangan. Dapatkan informasi lengkap mengenai jadwal pertandingan dan hasil pertandingan terbaru hanya di Vidio.</t>
  </si>
  <si>
    <t>https://thumbor.prod.vidiocdn.com/dw-qOnd7Hz5oGU4k67SaWg9y-qI=/filters:quality(70)/vidio-media-production/uploads/image/source/53166/e3cdba.png</t>
  </si>
  <si>
    <t>https://thumbor.prod.vidiocdn.com/gPVO3MQ8OnGat9MpsFfam32Nn3A=/filters:quality(70)/vidio-media-production/uploads/image/source/53165/e2491b.png</t>
  </si>
  <si>
    <t>784f1a8e</t>
  </si>
  <si>
    <t>Bristol City vs Watford - FA Cup</t>
  </si>
  <si>
    <t>https://www.vidio.com/live/20288</t>
  </si>
  <si>
    <t>bristol city fc; Watford; sports stream</t>
  </si>
  <si>
    <t>Nonton streaming pertandingan seru Bristol City vs Watford - FA Cup. Saksikan aksi-aksi terbaik dari tim yang bersaing ketat untuk meraih kemenangan. Dapatkan informasi lengkap mengenai jadwal pertandingan dan hasil pertandingan terbaru hanya di Vidio.</t>
  </si>
  <si>
    <t>https://thumbor.prod.vidiocdn.com/8ZvMeXkK4gdQs6VzxQdXw2X2pf0=/filters:quality(70)/vidio-media-production/uploads/image/source/53281/6ffcc7.png</t>
  </si>
  <si>
    <t>https://thumbor.prod.vidiocdn.com/jBY19HX6HWlEivkJ9B41tt25aGg=/filters:quality(70)/vidio-media-production/uploads/image/source/53280/8fdda8.png</t>
  </si>
  <si>
    <t>d3847a15</t>
  </si>
  <si>
    <t>Cambridge United vs Birmingham - FA Cup</t>
  </si>
  <si>
    <t>https://www.vidio.com/live/19774-fa-cup-2025-26?schedule_id=4833944</t>
  </si>
  <si>
    <t>Cambridge United FC; birmingham city fc; sports stream</t>
  </si>
  <si>
    <t>Nonton streaming pertandingan seru Cambridge United vs Birmingham - FA Cup. Saksikan aksi-aksi terbaik dari tim yang bersaing ketat untuk meraih kemenangan. Dapatkan informasi lengkap mengenai jadwal pertandingan dan hasil pertandingan terbaru hanya di Vidio.</t>
  </si>
  <si>
    <t>https://thumbor.prod.vidiocdn.com/s_lb0-JEvxH8zfy1bM4YGOAJLk4=/filters:quality(70)/vidio-media-production/uploads/image/source/53283/5de3bc.png</t>
  </si>
  <si>
    <t>https://thumbor.prod.vidiocdn.com/1wCvl6o-te17rc4C8kCcntzwYm4=/filters:quality(70)/vidio-media-production/uploads/image/source/53282/ad8c88.png</t>
  </si>
  <si>
    <t>7498e08e</t>
  </si>
  <si>
    <t>Grimsby Town FC vs Weston-super-Mare - FA Cup</t>
  </si>
  <si>
    <t>https://www.vidio.com/live/20249-fa-cup-2025-26?schedule_id=4833945</t>
  </si>
  <si>
    <t>Weston-super-Mare AFC</t>
  </si>
  <si>
    <t>Grimsby Town FC; Weston-super-Mare AFC; sports stream</t>
  </si>
  <si>
    <t>Nonton streaming pertandingan seru Grimsby Town FC vs Weston-super-Mare - FA Cup. Saksikan aksi-aksi terbaik dari tim yang bersaing ketat untuk meraih kemenangan. Dapatkan informasi lengkap mengenai jadwal pertandingan dan hasil pertandingan terbaru hanya di Vidio.</t>
  </si>
  <si>
    <t>https://thumbor.prod.vidiocdn.com/vbffy7Wc7Db2hGLhquv7RvxfGSk=/filters:quality(70)/vidio-media-production/uploads/image/source/53285/59beee.png</t>
  </si>
  <si>
    <t>https://thumbor.prod.vidiocdn.com/EAssMmP7l-ThYczaeevnE54QOSE=/filters:quality(70)/vidio-media-production/uploads/image/source/53284/eb3f78.png</t>
  </si>
  <si>
    <t>587ca9f4</t>
  </si>
  <si>
    <t>Hull City vs Blackburn Rovers - FA Cup</t>
  </si>
  <si>
    <t>https://www.vidio.com/live/20249-fa-cup-2025-26?schedule_id=4833946</t>
  </si>
  <si>
    <t>hull city afc; blackburn rovers fc; sports stream</t>
  </si>
  <si>
    <t>Nonton streaming pertandingan seru Hull City vs Blackburn Rovers - FA Cup. Saksikan aksi-aksi terbaik dari tim yang bersaing ketat untuk meraih kemenangan. Dapatkan informasi lengkap mengenai jadwal pertandingan dan hasil pertandingan terbaru hanya di Vidio.</t>
  </si>
  <si>
    <t>https://thumbor.prod.vidiocdn.com/X-wXRoS82aptcOIAMx_bMhGEhJU=/filters:quality(70)/vidio-media-production/uploads/image/source/53289/f0cbf4.png</t>
  </si>
  <si>
    <t>https://thumbor.prod.vidiocdn.com/qpBQb2rOpsFUHvFfCFlJr7sKLvI=/filters:quality(70)/vidio-media-production/uploads/image/source/53288/e9f0c3.png</t>
  </si>
  <si>
    <t>ce212b53</t>
  </si>
  <si>
    <t>Norwich City vs Walsall - FA Cup</t>
  </si>
  <si>
    <t>https://www.vidio.com/live/20251-fa-cup-2025-26?schedule_id=4834091</t>
  </si>
  <si>
    <t>norwich city; walsall fc; sports stream</t>
  </si>
  <si>
    <t>Nonton streaming pertandingan seru Norwich City vs Walsall - FA Cup. Saksikan aksi-aksi terbaik dari tim yang bersaing ketat untuk meraih kemenangan. Dapatkan informasi lengkap mengenai jadwal pertandingan dan hasil pertandingan terbaru hanya di Vidio.</t>
  </si>
  <si>
    <t>https://thumbor.prod.vidiocdn.com/Lrk2dYAcIFaXG_h0jwM6kz9JsKc=/filters:quality(70)/vidio-media-production/uploads/image/source/53291/0611ad.png</t>
  </si>
  <si>
    <t>https://thumbor.prod.vidiocdn.com/kN_VUac7r9Rx5SmbvPm5dknOoPg=/filters:quality(70)/vidio-media-production/uploads/image/source/53290/e45c72.png</t>
  </si>
  <si>
    <t>0198d056</t>
  </si>
  <si>
    <t>Sheffield United vs Mansfield Town - FA Cup</t>
  </si>
  <si>
    <t>https://www.vidio.com/live/20253-fa-cup-2025-26?schedule_id=4834093</t>
  </si>
  <si>
    <t>Mansfield Town FC</t>
  </si>
  <si>
    <t>sheffield united; mansfield town fc; sports stream</t>
  </si>
  <si>
    <t>Nonton streaming pertandingan seru Sheffield United vs Mansfield Town - FA Cup. Saksikan aksi-aksi terbaik dari tim yang bersaing ketat untuk meraih kemenangan. Dapatkan informasi lengkap mengenai jadwal pertandingan dan hasil pertandingan terbaru hanya di Vidio.</t>
  </si>
  <si>
    <t>https://thumbor.prod.vidiocdn.com/4SVoyqbIjAsiVMsgQsNSNDIq88g=/filters:quality(70)/vidio-media-production/uploads/image/source/53293/d2bc41.png</t>
  </si>
  <si>
    <t>https://thumbor.prod.vidiocdn.com/AnHP9XTPDnu1y24gh33Ntui8CMo=/filters:quality(70)/vidio-media-production/uploads/image/source/53292/eb1fb6.png</t>
  </si>
  <si>
    <t>3633f66b</t>
  </si>
  <si>
    <t>Swansea City vs West Bromwich Albion - FA Cup</t>
  </si>
  <si>
    <t>https://www.vidio.com/live/20252-fa-cup-2025-26?schedule_id=4833938</t>
  </si>
  <si>
    <t>swansea city afc; west bromwich albion fc; sports stream</t>
  </si>
  <si>
    <t>Nonton streaming pertandingan seru Swansea City vs West Bromwich Albion - FA Cup. Saksikan aksi-aksi terbaik dari tim yang bersaing ketat untuk meraih kemenangan. Dapatkan informasi lengkap mengenai jadwal pertandingan dan hasil pertandingan terbaru hanya di Vidio.</t>
  </si>
  <si>
    <t>https://thumbor.prod.vidiocdn.com/HsS-BwfeS9SZrBzVFtVhUZV36EE=/filters:quality(70)/vidio-media-production/uploads/image/source/53295/79afa0.png</t>
  </si>
  <si>
    <t>https://thumbor.prod.vidiocdn.com/Bfh-NT8gE_mD7hmRehzcTQQChx4=/filters:quality(70)/vidio-media-production/uploads/image/source/53294/9cbe47.png</t>
  </si>
  <si>
    <t>5f4003cf</t>
  </si>
  <si>
    <t>Ipswich Town vs Blackpool - FA Cup</t>
  </si>
  <si>
    <t>https://www.vidio.com/live/20288-fa-cup-2025-26?schedule_id=4835420</t>
  </si>
  <si>
    <t>https://drive.google.com/drive/folders/14a0K-PpOEy-QDUgFvvBURKVTdf95M57B?usp=drive_link</t>
  </si>
  <si>
    <t>Ipswich</t>
  </si>
  <si>
    <t>Ipswich Town FC; blackpool fc; sports stream</t>
  </si>
  <si>
    <t>Nonton streaming pertandingan seru Ipswich Town vs Blackpool - FA Cup. Saksikan aksi-aksi terbaik dari tim yang bersaing ketat untuk meraih kemenangan. Dapatkan informasi lengkap mengenai jadwal pertandingan dan hasil pertandingan terbaru hanya di Vidio.</t>
  </si>
  <si>
    <t>https://thumbor.prod.vidiocdn.com/BwOasG6jWjGhvsNGCay0M9l_ZYM=/filters:quality(70)/vidio-media-production/uploads/image/source/53273/53e732.png</t>
  </si>
  <si>
    <t>https://thumbor.prod.vidiocdn.com/UHpLunZ998N9Qmv_OF2K6Q5Z14w=/filters:quality(70)/vidio-media-production/uploads/image/source/53272/cf0981.png</t>
  </si>
  <si>
    <t>https://drive.google.com/file/d/1SZsPw0QpZuSUuR2VXtXLN_-EpCQ7Qk8s/view?usp=sharing</t>
  </si>
  <si>
    <t>ccbf06c4</t>
  </si>
  <si>
    <t>Han Yue (CHN) vs Ratchanok Intanon (THA) - Women's Singles Group Stage | HSBC BWF World Tour Finals 2025</t>
  </si>
  <si>
    <t>https://www.vidio.com/live/18249-hsbc-bwf-world-tour-finals-2025-group-stage-court-1?schedule_id=4784597</t>
  </si>
  <si>
    <t>Nonton streaming pertandingan seru Han Yue (CHN) vs Ratchanok Intanon (THA) - Women's Singles Group Stage | HSBC BWF World Tour Finals 2025. Saksikan aksi-aksi terbaik dari tim yang bersaing ketat untuk meraih kemenangan. Dapatkan informasi lengkap mengenai jadwal pertandingan dan hasil pertandingan terbaru hanya di Vidio.</t>
  </si>
  <si>
    <t>1c078ba3</t>
  </si>
  <si>
    <t>Feng Yan Zhe/Huang Dong Ping (CHN) vs Chen Tang Jie/Toh Ee Wei (MAS) - Mixed Doubles Group Stage | HSBC BWF World Tour Finals 2025</t>
  </si>
  <si>
    <t>https://www.vidio.com/live/18249-hsbc-bwf-world-tour-finals-2025-group-stage-court-1?schedule_id=4784599</t>
  </si>
  <si>
    <t>Nonton streaming pertandingan seru Feng Yan Zhe/Huang Dong Ping (CHN) vs Chen Tang Jie/Toh Ee Wei (MAS) - Mixed Doubles Group Stage | HSBC BWF World Tour Finals 2025. Saksikan aksi-aksi terbaik dari tim yang bersaing ketat untuk meraih kemenangan. Dapatkan informasi lengkap mengenai jadwal pertandingan dan hasil pertandingan terbaru hanya di Vidio.</t>
  </si>
  <si>
    <t>8453eaa2</t>
  </si>
  <si>
    <t>Putri Kusuma Wardani (INA) vs Tomoka Miyazaki (JPN) - Women’s Singles Group Stage | HSBC BWF World Tour Finals 2025</t>
  </si>
  <si>
    <t>https://www.vidio.com/live/18250-hsbc-bwf-world-tour-finals-2025-group-stage-court-2?schedule_id=4784608</t>
  </si>
  <si>
    <t>Nonton streaming pertandingan seru Putri Kusuma Wardani (INA) vs Tomoka Miyazaki (JPN) - Women’s Singles Group Stage | HSBC BWF World Tour Finals 2025. Saksikan aksi-aksi terbaik dari tim yang bersaing ketat untuk meraih kemenangan. Dapatkan informasi lengkap mengenai jadwal pertandingan dan hasil pertandingan terbaru hanya di Vidio.</t>
  </si>
  <si>
    <t>d12ecd7d</t>
  </si>
  <si>
    <t>Goh Soon Huat/Lai Shevon Jemie (MAS) vs Jafar Hidayatullah/Felisha Alberta Nathaniel Pasaribu (INA) - Mixed Doubles Group Stage | HSBC BWF World Tour Finals 2025</t>
  </si>
  <si>
    <t>https://www.vidio.com/live/18249-hsbc-bwf-world-tour-finals-2025-group-stage-court-1?schedule_id=4784598</t>
  </si>
  <si>
    <t>Nonton streaming pertandingan seru Goh Soon Huat/Lai Shevon Jemie (MAS) vs Jafar Hidayatullah/Felisha Alberta Nathaniel Pasaribu (INA) - Mixed Doubles Group Stage | HSBC BWF World Tour Finals 2025. Saksikan aksi-aksi terbaik dari tim yang bersaing ketat untuk meraih kemenangan. Dapatkan informasi lengkap mengenai jadwal pertandingan dan hasil pertandingan terbaru hanya di Vidio.</t>
  </si>
  <si>
    <t>a3adeb0c</t>
  </si>
  <si>
    <t>An Se Young (KOR) vs Akane Yamaguchi (JPN) - Women’s Singles Group Stage | HSBC BWF World Tour Finals 2025</t>
  </si>
  <si>
    <t>https://www.vidio.com/live/18250-hsbc-bwf-world-tour-finals-2025-group-stage-court-2?schedule_id=4784607</t>
  </si>
  <si>
    <t>Nonton streaming pertandingan seru An Se Young (KOR) vs Akane Yamaguchi (JPN) - Women’s Singles Group Stage | HSBC BWF World Tour Finals 2025. Saksikan aksi-aksi terbaik dari tim yang bersaing ketat untuk meraih kemenangan. Dapatkan informasi lengkap mengenai jadwal pertandingan dan hasil pertandingan terbaru hanya di Vidio.</t>
  </si>
  <si>
    <t>c1fdf627</t>
  </si>
  <si>
    <t>Jia Yi Fan/Zhang Shu Xian (CHN) vs Rin Iwanaga/Kie Nakanishi (JPN) - Women's Doubles Group Stage | HSBC BWF World Tour Finals 2025</t>
  </si>
  <si>
    <t>https://www.vidio.com/live/18249-hsbc-bwf-world-tour-finals-2025-group-stage-court-1?schedule_id=4784600</t>
  </si>
  <si>
    <t>Nonton streaming pertandingan seru Jia Yi Fan/Zhang Shu Xian (CHN) vs Rin Iwanaga/Kie Nakanishi (JPN) - Women's Doubles Group Stage | HSBC BWF World Tour Finals 2025. Saksikan aksi-aksi terbaik dari tim yang bersaing ketat untuk meraih kemenangan. Dapatkan informasi lengkap mengenai jadwal pertandingan dan hasil pertandingan terbaru hanya di Vidio.</t>
  </si>
  <si>
    <t>3ff3292c</t>
  </si>
  <si>
    <t>Pearly Tan/Thinaah Muralitharan (MAS) vs Yuki Fukushima/Mayu Matsumoto (JPN) - Women’s Doubles Group Stage | HSBC BWF World Tour Finals 2025</t>
  </si>
  <si>
    <t>https://www.vidio.com/live/18250-hsbc-bwf-world-tour-finals-2025-group-stage-court-2?schedule_id=4784609</t>
  </si>
  <si>
    <t>Nonton streaming pertandingan seru Pearly Tan/Muralitharan Thinaah (MAS) vs Yuki Fukushima/Mayu Matsumoto (JPN) - Women’s Doubles Group Stage | HSBC BWF World Tour Finals 2025. Saksikan aksi-aksi terbaik dari tim yang bersaing ketat untuk meraih kemenangan. Dapatkan informasi lengkap mengenai jadwal pertandingan dan hasil pertandingan terbaru hanya di Vidio.</t>
  </si>
  <si>
    <t>ddbbc110</t>
  </si>
  <si>
    <t>Li Shi Feng (CHN) vs Chou Tien Chen (TPE) - Men's Singles Group Stage | HSBC BWF World Tour Finals 2025</t>
  </si>
  <si>
    <t>https://www.vidio.com/live/18249-hsbc-bwf-world-tour-finals-2025-group-stage-court-1?schedule_id=4784601</t>
  </si>
  <si>
    <t>Nonton streaming pertandingan seru Li Shi Feng (CHN) vs Chou Tien Chen (TPE) - Men's Singles Group Stage | HSBC BWF World Tour Finals 2025. Saksikan aksi-aksi terbaik dari tim yang bersaing ketat untuk meraih kemenangan. Dapatkan informasi lengkap mengenai jadwal pertandingan dan hasil pertandingan terbaru hanya di Vidio.</t>
  </si>
  <si>
    <t>4d26f991</t>
  </si>
  <si>
    <t>Baek Ha Na/Lee So Hee (KOR) vs Hsieh Pei Shan/Hung En-Tzu (TPE) - Women’s Doubles Group B Stage | HSBC BWF World Tour Finals 2025</t>
  </si>
  <si>
    <t>https://www.vidio.com/live/18250-hsbc-bwf-world-tour-finals-2025-group-stage-court-2?schedule_id=4784610</t>
  </si>
  <si>
    <t>Nonton streaming pertandingan seru Baek Ha Na/Lee So Hee (KOR) vs Hsieh Pei Shan/Hung En-Tzu (TPE) - Women’s Doubles Group B Stage | HSBC BWF World Tour Finals 2025. Saksikan aksi-aksi terbaik dari tim yang bersaing ketat untuk meraih kemenangan. Dapatkan informasi lengkap mengenai jadwal pertandingan dan hasil pertandingan terbaru hanya di Vidio.</t>
  </si>
  <si>
    <t>a34a79ce</t>
  </si>
  <si>
    <t>Thom Gicquel/Delphine Delrue (FRA) vs Hiroki Midorikawa/Natsu Saito (JPN) - Mixed Doubles Group Stage | HSBC BWF World Tour Finals 2025</t>
  </si>
  <si>
    <t>https://www.vidio.com/live/18250-hsbc-bwf-world-tour-finals-2025-group-stage-court-2?schedule_id=4784611</t>
  </si>
  <si>
    <t>Nonton streaming pertandingan seru Thom Gicquel/Delphine Delrue (FRA) vs Hiroki Midorikawa/Natsu Saito (JPN) - Mixed Doubles Group Stage | HSBC BWF World Tour Finals 2025. Saksikan aksi-aksi terbaik dari tim yang bersaing ketat untuk meraih kemenangan. Dapatkan informasi lengkap mengenai jadwal pertandingan dan hasil pertandingan terbaru hanya di Vidio.</t>
  </si>
  <si>
    <t>543ea94c</t>
  </si>
  <si>
    <t>Dechapol Puavaranukroh/Supissara Paewsampran (THA) vs Jiang Zhen Bang/Wei Ya Xin (CHN) - Mixed Doubles Group Stage | HSBC BWF World Tour Finals 2025</t>
  </si>
  <si>
    <t>https://www.vidio.com/live/18249-hsbc-bwf-world-tour-finals-2025-group-stage-court-1?schedule_id=4784602</t>
  </si>
  <si>
    <t>Nonton streaming pertandingan seru Dechapol Puavaranukroh/Supissara Paewsampran (THA) vs Jiang Zhen Bang/Wei Ya Xin (CHN) - Mixed Doubles Group Stage | HSBC BWF World Tour Finals 2025. Saksikan aksi-aksi terbaik dari tim yang bersaing ketat untuk meraih kemenangan. Dapatkan informasi lengkap mengenai jadwal pertandingan dan hasil pertandingan terbaru hanya di Vidio.</t>
  </si>
  <si>
    <t>4164c4b4</t>
  </si>
  <si>
    <t>Christo Popov (FRA) vs Jonatan Christie (INA) - Men’s Singles Group Stage | HSBC BWF World Tour Finals 2025</t>
  </si>
  <si>
    <t>https://www.vidio.com/live/18250-hsbc-bwf-world-tour-finals-2025-group-stage-court-2?schedule_id=4784612</t>
  </si>
  <si>
    <t>Nonton streaming pertandingan seru Christo Popov (FRA) vs Jonatan Christie (INA) - Men’s Singles Group Stage | HSBC BWF World Tour Finals 2025. Saksikan aksi-aksi terbaik dari tim yang bersaing ketat untuk meraih kemenangan. Dapatkan informasi lengkap mengenai jadwal pertandingan dan hasil pertandingan terbaru hanya di Vidio.</t>
  </si>
  <si>
    <t>3354be7d</t>
  </si>
  <si>
    <t>Kim Hye Jeong/Kong Hee Yong (KOR) vs Liu Sheng Shu/Tan Ning (CHN) - Women's Doubles Group Stage | HSBC BWF World Tour Finals 2025</t>
  </si>
  <si>
    <t>https://www.vidio.com/live/18249-hsbc-bwf-world-tour-finals-2025-group-stage-court-1?schedule_id=4784603</t>
  </si>
  <si>
    <t>Nonton streaming pertandingan seru Kim Hye Jeong/Kong Hee Yong (KOR) vs Liu Sheng Shu/Tan Ning (CHN) - Women's Doubles Group Stage | HSBC BWF World Tour Finals 2025. Saksikan aksi-aksi terbaik dari tim yang bersaing ketat untuk meraih kemenangan. Dapatkan informasi lengkap mengenai jadwal pertandingan dan hasil pertandingan terbaru hanya di Vidio.</t>
  </si>
  <si>
    <t>6c43ab70</t>
  </si>
  <si>
    <t>Sabar Karyaman Gutama/Moh Reza Pahlevi Isfahani (INA) vs Chiu Hsiang Chieh/Wang Chi-Lin (TPE) - Men’s Doubles Group Stage | HSBC BWF World Tour Finals 2025</t>
  </si>
  <si>
    <t>https://www.vidio.com/live/18250-hsbc-bwf-world-tour-finals-2025-group-stage-court-2?schedule_id=4784613</t>
  </si>
  <si>
    <t>Nonton streaming pertandingan seru Sabar Karyaman Gutama/Moh Reza Pahlevi Isfahani (INA) vs Chiu Hsiang Chieh/Wang Chi-Lin (TPE) - Men’s Doubles Group Stage | HSBC BWF World Tour Finals 2025. Saksikan aksi-aksi terbaik dari tim yang bersaing ketat untuk meraih kemenangan. Dapatkan informasi lengkap mengenai jadwal pertandingan dan hasil pertandingan terbaru hanya di Vidio.</t>
  </si>
  <si>
    <t>1575c1f7</t>
  </si>
  <si>
    <t>Shi Yu Qi (CHN) vs Kodai Naraoka (JPN) - Men's Singles Group Stage | HSBC BWF World Tour Finals 2025</t>
  </si>
  <si>
    <t>https://www.vidio.com/live/18249-hsbc-bwf-world-tour-finals-2025-group-stage-court-1?schedule_id=4784604</t>
  </si>
  <si>
    <t>Nonton streaming pertandingan seru Shi Yu Qi (CHN) vs Kodai Naraoka (JPN) - Men's Singles Group Stage | HSBC BWF World Tour Finals 2025. Saksikan aksi-aksi terbaik dari tim yang bersaing ketat untuk meraih kemenangan. Dapatkan informasi lengkap mengenai jadwal pertandingan dan hasil pertandingan terbaru hanya di Vidio.</t>
  </si>
  <si>
    <t>90e7d531</t>
  </si>
  <si>
    <t>Kunlavut Vitidsarn (THA) vs Anders Antonsen (DEN) - Men’s Singles Group Stage | HSBC BWF World Tour Finals 2025</t>
  </si>
  <si>
    <t>https://www.vidio.com/live/18250-hsbc-bwf-world-tour-finals-2025-group-stage-court-2?schedule_id=4784614</t>
  </si>
  <si>
    <t>Nonton streaming pertandingan seru Kunlavut Vitidsarn (THA) vs Anders Antonsen (DEN) - Men’s Singles Group Stage | HSBC BWF World Tour Finals 2025. Saksikan aksi-aksi terbaik dari tim yang bersaing ketat untuk meraih kemenangan. Dapatkan informasi lengkap mengenai jadwal pertandingan dan hasil pertandingan terbaru hanya di Vidio.</t>
  </si>
  <si>
    <t>efcce66c</t>
  </si>
  <si>
    <t>Liang Wei Keng/Wang Chang (CHN) vs Fajar Alfian/Muhammad Shohibul Fikri (INA) - Men's Doubles Group Stage | HSBC BWF World Tour Finals 2025</t>
  </si>
  <si>
    <t>https://www.vidio.com/live/18249-hsbc-bwf-world-tour-finals-2025-group-stage-court-1?schedule_id=4784605</t>
  </si>
  <si>
    <t>Nonton streaming pertandingan seru Liang Wei Keng/Wang Chang (CHN) vs Fajar Alfian/Muhammad Shohibul Fikri (INA) - Men's Doubles Group Stage | HSBC BWF World Tour Finals 2025. Saksikan aksi-aksi terbaik dari tim yang bersaing ketat untuk meraih kemenangan. Dapatkan informasi lengkap mengenai jadwal pertandingan dan hasil pertandingan terbaru hanya di Vidio.</t>
  </si>
  <si>
    <t>af1373e2</t>
  </si>
  <si>
    <t>Aaron Chia/Soh Wooi Yik (MAS) vs Satwiksairaj Rankireddy/Chirag Shetty (IND) - Men’s Doubles Group Stage | HSBC BWF World Tour Finals 2025</t>
  </si>
  <si>
    <t>https://www.vidio.com/live/18250-hsbc-bwf-world-tour-finals-2025-group-stage-court-2?schedule_id=4784615</t>
  </si>
  <si>
    <t>Nonton streaming pertandingan seru Aaron Chia/Soh Wooi Yik (MAS) vs Satwiksairaj Rankireddy/Chirag Shetty (IND) - Men’s Doubles Group Stage | HSBC BWF World Tour Finals 2025. Saksikan aksi-aksi terbaik dari tim yang bersaing ketat untuk meraih kemenangan. Dapatkan informasi lengkap mengenai jadwal pertandingan dan hasil pertandingan terbaru hanya di Vidio.</t>
  </si>
  <si>
    <t>103bc0d4</t>
  </si>
  <si>
    <t>Kim Won Ho/Seo Seung Jae (KOR) vs Man Wei Chong/Kai Wun Tee (MAS) - Men's Doubles Group Stage | HSBC BWF World Tour Finals 2025</t>
  </si>
  <si>
    <t>https://www.vidio.com/live/18249-hsbc-bwf-world-tour-finals-2025-group-stage-court-1?schedule_id=4784606</t>
  </si>
  <si>
    <t>Nonton streaming pertandingan seru Kim Won Ho/Seo Seung Jae (KOR) vs Man Wei Chong/Kai Wun Tee (MAS) - Men's Doubles Group Stage | HSBC BWF World Tour Finals 2025. Saksikan aksi-aksi terbaik dari tim yang bersaing ketat untuk meraih kemenangan. Dapatkan informasi lengkap mengenai jadwal pertandingan dan hasil pertandingan terbaru hanya di Vidio.</t>
  </si>
  <si>
    <t>3af247ec</t>
  </si>
  <si>
    <t>Motherwell vs Celtic - Scottish Premiership</t>
  </si>
  <si>
    <t>https://www.vidio.com/live/17139-spotv?schedule_id=4802060</t>
  </si>
  <si>
    <t>Motherwell</t>
  </si>
  <si>
    <t>Motherwell; celtic fc; sports stream</t>
  </si>
  <si>
    <t>Nonton streaming pertandingan seru Motherwell vs Celtic - Scottish Premiership. Saksikan aksi-aksi terbaik dari tim yang bersaing ketat untuk meraih kemenangan. Dapatkan informasi lengkap mengenai jadwal pertandingan dan hasil pertandingan terbaru hanya di Vidio.</t>
  </si>
  <si>
    <t>https://thumbor.prod.vidiocdn.com/V_iF-7oiplBK9ZSXeh_wEIaDadM=/filters:quality(70)/vidio-media-production/uploads/image/source/52350/e0501c.png</t>
  </si>
  <si>
    <t>7e53ca80</t>
  </si>
  <si>
    <t>Celtic vs Rangers - Scottish Premiership</t>
  </si>
  <si>
    <t>BWF + SPOTV , PLATINUM EXTRA</t>
  </si>
  <si>
    <t>https://www.vidio.com/live/17139-spotv?schedule_id=4819767</t>
  </si>
  <si>
    <t>https://drive.google.com/drive/folders/1A4WKliSRWIgRy9bEGePxxadiIuRWxR2N?usp=drive_link</t>
  </si>
  <si>
    <t>celtic fc; rangers fc; sports stream</t>
  </si>
  <si>
    <t>Nonton streaming pertandingan seru Celtic vs Rangers - Scottish Premiership. Saksikan aksi-aksi terbaik dari tim yang bersaing ketat untuk meraih kemenangan. Dapatkan informasi lengkap mengenai jadwal pertandingan dan hasil pertandingan terbaru hanya di Vidio.</t>
  </si>
  <si>
    <t>https://thumbor.prod.vidiocdn.com/wop1yipBGFx9FgdlxJDANMYBY7M=/filters:quality(70)/vidio-media-production/uploads/image/source/52352/a36570.png</t>
  </si>
  <si>
    <t>b192c0d6</t>
  </si>
  <si>
    <t>HSS Series 7</t>
  </si>
  <si>
    <t>VIDIO - @hss</t>
  </si>
  <si>
    <t>WORLDWIDE , INDONESIA</t>
  </si>
  <si>
    <t>Sports &gt; Boxing &gt; HSS</t>
  </si>
  <si>
    <t>Holywings Sport Show; HSS Series 7</t>
  </si>
  <si>
    <t>HW Group</t>
  </si>
  <si>
    <t>Nonton streaming pertandingan seru HSS Series 7. Saksikan aksi-aksi terbaik dari tim yang bersaing ketat untuk meraih kemenangan. Dapatkan informasi lengkap mengenai jadwal pertandingan dan hasil pertandingan terbaru hanya di Vidio.</t>
  </si>
  <si>
    <t>0df6d43e</t>
  </si>
  <si>
    <t>TVOD</t>
  </si>
  <si>
    <t>ad5d93a4</t>
  </si>
  <si>
    <t>Jelang Kick Off - PERSIB vs PSM Makassar - BRI Super League</t>
  </si>
  <si>
    <t>https://www.vidio.com/live/19355-bri-super-league?schedule_id=4797007</t>
  </si>
  <si>
    <t>https://drive.google.com/file/d/12Em_-qxoJTB6tZvq9BeDLfvBZ9VpbCb8/view?usp=drive_link</t>
  </si>
  <si>
    <t>Nonton streaming pertandingan seru Jelang Kick Off - PERSIB vs PSM Makassar - BRI Super League. Saksikan aksi-aksi terbaik dari tim yang bersaing ketat untuk meraih kemenangan. Dapatkan informasi lengkap mengenai jadwal pertandingan dan hasil pertandingan terbaru hanya di Vidio.</t>
  </si>
  <si>
    <t>https://drive.google.com/file/d/12Em_-qxoJTB6tZvq9BeDLfvBZ9VpbCb8/view?usp=sharing</t>
  </si>
  <si>
    <t>d6e8dc4e</t>
  </si>
  <si>
    <t>Jelang Kick Off - PERSEBAYA Surabaya vs PERSIJAP - BRI Super League</t>
  </si>
  <si>
    <t>https://www.vidio.com/live/19355-bri-super-league?schedule_id=4795165</t>
  </si>
  <si>
    <t>https://drive.google.com/drive/folders/1a7rEraRMfHQwBJqJwTsMoX8tDvnyKfoo?usp=drive_link</t>
  </si>
  <si>
    <t>Nonton streaming pertandingan seru Jelang Kick Off - PERSEBAYA Surabaya vs PERSIJAP - BRI Super League. Saksikan aksi-aksi terbaik dari tim yang bersaing ketat untuk meraih kemenangan. Dapatkan informasi lengkap mengenai jadwal pertandingan dan hasil pertandingan terbaru hanya di Vidio.</t>
  </si>
  <si>
    <t>https://drive.google.com/file/d/127FuEVcf1qQwqtsHanmm4o3KSWYLazwq/view?usp=sharing</t>
  </si>
  <si>
    <t>7c4620a8</t>
  </si>
  <si>
    <t>Jelang Kick Off - PERSIJA vs Bhayangkara Presisi Lampung FC - BRI Super League</t>
  </si>
  <si>
    <t>https://www.vidio.com/live/19355-bri-super-league?schedule_id=4797264</t>
  </si>
  <si>
    <t>https://drive.google.com/drive/folders/1rhOQ9bNXRJdNMGZElVEHLy7UCnlXno-S?usp=drive_link</t>
  </si>
  <si>
    <t>Nonton streaming pertandingan seru Jelang Kick Off - PERSIJA vs Bhayangkara Presisi Lampung FC - BRI Super League. Saksikan aksi-aksi terbaik dari tim yang bersaing ketat untuk meraih kemenangan. Dapatkan informasi lengkap mengenai jadwal pertandingan dan hasil pertandingan terbaru hanya di Vidio.</t>
  </si>
  <si>
    <t>https://drive.google.com/file/d/1Zjs2pxN66_VrlONe_FoqJgvpOTC5eNbu/view?usp=sharing</t>
  </si>
  <si>
    <t>0697875a</t>
  </si>
  <si>
    <t>Jelang Kick Off - Bali United FC vs Dewa United Banten FC - BRI Super League</t>
  </si>
  <si>
    <t>https://www.vidio.com/live/19355-bri-super-league?schedule_id=4797263</t>
  </si>
  <si>
    <t>https://drive.google.com/drive/folders/18p2G2pNu5TIqTUk1lFfq5dWyWo-2f_yj</t>
  </si>
  <si>
    <t>Nonton streaming pertandingan seru Jelang Kick Off - Bali United FC vs Dewa United Banten FC - BRI Super League. Saksikan aksi-aksi terbaik dari tim yang bersaing ketat untuk meraih kemenangan. Dapatkan informasi lengkap mengenai jadwal pertandingan dan hasil pertandingan terbaru hanya di Vidio.</t>
  </si>
  <si>
    <t>https://drive.google.com/file/d/1m73Ky1sdYHaqscUCzKHuytDiZPCiiha9/view?usp=sharing</t>
  </si>
  <si>
    <t>9380fc5c</t>
  </si>
  <si>
    <t>Putra: Medan Falcons Tirta Bhagasasi vs Jakarta Garuda Jaya - Proliga</t>
  </si>
  <si>
    <t>Falcons Volleyball Club Putra; Jakarta Garuda Jaya; sports stream</t>
  </si>
  <si>
    <t>Nonton streaming pertandingan seru Putra: Medan Falcons Tirta Bhagasasi vs Jakarta Garuda Jaya - Proliga. Saksikan aksi-aksi terbaik dari tim yang bersaing ketat untuk meraih kemenangan. Dapatkan informasi lengkap mengenai jadwal pertandingan dan hasil pertandingan terbaru hanya di Vidio.</t>
  </si>
  <si>
    <t>Bhagasasi: Hayun Muhammad (OH) &amp; Darda Mulya (MB)
Garuda Jaya: Fauzan Nibras (OP) &amp; Agustino (MB)</t>
  </si>
  <si>
    <t>c7b872ab</t>
  </si>
  <si>
    <t>Putri: Jakarta Popsivo Polwan vs Gresik Phonska Plus Pupuk Indonesia - Proliga</t>
  </si>
  <si>
    <t>Jakarta Popsivo Polwan; gresik petrokimia; sports stream</t>
  </si>
  <si>
    <t>Nonton streaming pertandingan seru Putri: Jakarta Popsivo Polwan vs Gresik Phonska Plus Pupuk Indonesia - Proliga. Saksikan aksi-aksi terbaik dari tim yang bersaing ketat untuk meraih kemenangan. Dapatkan informasi lengkap mengenai jadwal pertandingan dan hasil pertandingan terbaru hanya di Vidio.</t>
  </si>
  <si>
    <t>Popsivo: Agfarida Dessy (MB) &amp; Arsela Nuari (OH)
Phonska Plus: Shella Bernadetha (MB) &amp; Medi Yoku (OH)</t>
  </si>
  <si>
    <t>d0da78ca</t>
  </si>
  <si>
    <t>Putri: Medan Falcons vs Bandung BJB Tandamata - Proliga</t>
  </si>
  <si>
    <t>yogya falcons; Bandung bjb Tandamata; sports stream</t>
  </si>
  <si>
    <t>Nonton streaming pertandingan seru Putri: Medan Falcons vs Bandung BJB Tandamata - Proliga. Saksikan aksi-aksi terbaik dari tim yang bersaing ketat untuk meraih kemenangan. Dapatkan informasi lengkap mengenai jadwal pertandingan dan hasil pertandingan terbaru hanya di Vidio.</t>
  </si>
  <si>
    <t>Falcons: Mayhasta (OH) &amp; Adjani Zahra (MB)
BJB Tandamata: Calista Maya (OH) &amp; Maradanti Namira (MB)</t>
  </si>
  <si>
    <t>669f5823</t>
  </si>
  <si>
    <t>Putri: Jakarta Pertamina Enduro vs Jakarta Livin Mandiri - Proliga</t>
  </si>
  <si>
    <t>Jakarta Pertamina Fastron; jakarta livin mandiri; sports stream</t>
  </si>
  <si>
    <t>Nonton streaming pertandingan seru Putri: Jakarta Pertamina Enduro vs Jakarta Livin Mandiri - Proliga. Saksikan aksi-aksi terbaik dari tim yang bersaing ketat untuk meraih kemenangan. Dapatkan informasi lengkap mengenai jadwal pertandingan dan hasil pertandingan terbaru hanya di Vidio.</t>
  </si>
  <si>
    <t>Enduro: Megawati Hangestri (OP) &amp; Rissa Meiga (MB)
Livin Mandiri: Yolla Yuliana (MB) &amp; Salsabila Dara (OH)</t>
  </si>
  <si>
    <t>90eeb440</t>
  </si>
  <si>
    <t>Putri: Bandung BJB Tandamata vs Jakarta Electric PLN Mobile - Proliga</t>
  </si>
  <si>
    <t>Bandung bjb Tandamata; jakarta elektrik pln; sports stream</t>
  </si>
  <si>
    <t>Nonton streaming pertandingan seru Putri: Bandung BJB Tandamata vs Jakarta Electric PLN Mobile - Proliga. Saksikan aksi-aksi terbaik dari tim yang bersaing ketat untuk meraih kemenangan. Dapatkan informasi lengkap mengenai jadwal pertandingan dan hasil pertandingan terbaru hanya di Vidio.</t>
  </si>
  <si>
    <t>BJB Tandamata: Sonaly Cidrao (OH) &amp; Tiara Sanger (S)
Electric: Celeste Plak (OP) &amp; Khalisa Azilia (S)</t>
  </si>
  <si>
    <t>13d60467</t>
  </si>
  <si>
    <t>Putra: Medan Falcons Tirta Bhagasasi vs Surabaya Samator - Proliga</t>
  </si>
  <si>
    <t>Falcons Volleyball Club Putra; SURABAYA BHAYANGKARA SAMATOR; sports stream</t>
  </si>
  <si>
    <t>Nonton streaming pertandingan seru Putra: Medan Falcons Tirta Bhagasasi vs Surabaya Samator - Proliga. Saksikan aksi-aksi terbaik dari tim yang bersaing ketat untuk meraih kemenangan. Dapatkan informasi lengkap mengenai jadwal pertandingan dan hasil pertandingan terbaru hanya di Vidio.</t>
  </si>
  <si>
    <t>Bhagasasi: Liosbel Mendez (OP) &amp; Luvi Febrian (OH)
Samator: Lyvan Taboada (S) &amp; Krisna (OH)</t>
  </si>
  <si>
    <t>2c882478</t>
  </si>
  <si>
    <t>Putri: Jakarta Pertamina Enduro vs Gresik Phonska Plus Pupuk Indonesia - Proliga</t>
  </si>
  <si>
    <t>Jakarta Pertamina Fastron; gresik petrokimia; sports stream</t>
  </si>
  <si>
    <t>Nonton streaming pertandingan seru Putri: Jakarta Pertamina Enduro vs Gresik Phonska Plus Pupuk Indonesia - Proliga. Saksikan aksi-aksi terbaik dari tim yang bersaing ketat untuk meraih kemenangan. Dapatkan informasi lengkap mengenai jadwal pertandingan dan hasil pertandingan terbaru hanya di Vidio.</t>
  </si>
  <si>
    <t>Enduro: Iana Scherban (OH) &amp; Tisya Amallya (S)
Phonska Plus: Aleksandra Bytsenko (OH) &amp; Arneta Putri (S)</t>
  </si>
  <si>
    <t>a1db1682</t>
  </si>
  <si>
    <t>Putra: Jakarta Bhayangkara Presisi vs Jakarta Lavani Livin Transmedia - Proliga</t>
  </si>
  <si>
    <t>Jakarta Bhayangkara Presisi; bogor lavani; sports stream</t>
  </si>
  <si>
    <t>Nonton streaming pertandingan seru Putra: Jakarta Bhayangkara Presisi vs Jakarta Lavani Livin Transmedia - Proliga. Saksikan aksi-aksi terbaik dari tim yang bersaing ketat untuk meraih kemenangan. Dapatkan informasi lengkap mengenai jadwal pertandingan dan hasil pertandingan terbaru hanya di Vidio.</t>
  </si>
  <si>
    <t>Bhayangkara: Nizar Julfikar (S) &amp; Rendy Tamamilang (OH)
Lavani: Dio Zulfikri (S) &amp; Sigit Ardian (OH)</t>
  </si>
  <si>
    <t>415a104b</t>
  </si>
  <si>
    <t>Putri: Medan Falcons vs Jakarta Electric PLN Mobile - Proliga</t>
  </si>
  <si>
    <t>yogya falcons; jakarta elektrik pln; sports stream</t>
  </si>
  <si>
    <t>Nonton streaming pertandingan seru Putri: Medan Falcons vs Jakarta Electric PLN Mobile - Proliga. Saksikan aksi-aksi terbaik dari tim yang bersaing ketat untuk meraih kemenangan. Dapatkan informasi lengkap mengenai jadwal pertandingan dan hasil pertandingan terbaru hanya di Vidio.</t>
  </si>
  <si>
    <t>Falcons: Maya Indri (MB) &amp; Clarissa Maria (S)
Electric: Putri Andya (MB) &amp; Tasya Aprilia (L)</t>
  </si>
  <si>
    <t>b777ab17</t>
  </si>
  <si>
    <t>Putra: Medan Falcons Tirta Bhagasasi vs Jakarta Lavani Livin Transmedia - Proliga</t>
  </si>
  <si>
    <t>Falcons Volleyball Club Putra; bogor lavani; sports stream</t>
  </si>
  <si>
    <t>Nonton streaming pertandingan seru Putra: Medan Falcons Tirta Bhagasasi vs Jakarta Lavani Livin Transmedia - Proliga. Saksikan aksi-aksi terbaik dari tim yang bersaing ketat untuk meraih kemenangan. Dapatkan informasi lengkap mengenai jadwal pertandingan dan hasil pertandingan terbaru hanya di Vidio.</t>
  </si>
  <si>
    <t>a08d225d</t>
  </si>
  <si>
    <t>Putri: Bandung BJB Tandamata vs Jakarta Pertamina Enduro - Proliga</t>
  </si>
  <si>
    <t>Bandung bjb Tandamata; Jakarta Pertamina Fastron; sports stream</t>
  </si>
  <si>
    <t>Nonton streaming pertandingan seru Putri: Bandung BJB Tandamata vs Jakarta Pertamina Enduro - Proliga. Saksikan aksi-aksi terbaik dari tim yang bersaing ketat untuk meraih kemenangan. Dapatkan informasi lengkap mengenai jadwal pertandingan dan hasil pertandingan terbaru hanya di Vidio.</t>
  </si>
  <si>
    <t>adbe1080</t>
  </si>
  <si>
    <t>Putri: Medan Falcons vs Jakarta Livin Mandiri - Proliga</t>
  </si>
  <si>
    <t>yogya falcons; jakarta livin mandiri; sports stream</t>
  </si>
  <si>
    <t>Nonton streaming pertandingan seru Putri: Medan Falcons vs Jakarta Livin Mandiri - Proliga. Saksikan aksi-aksi terbaik dari tim yang bersaing ketat untuk meraih kemenangan. Dapatkan informasi lengkap mengenai jadwal pertandingan dan hasil pertandingan terbaru hanya di Vidio.</t>
  </si>
  <si>
    <t>ff9c5f8c</t>
  </si>
  <si>
    <t>Putri: Jakarta Popsivo Polwan vs Jakarta Pertamina Enduro - Proliga</t>
  </si>
  <si>
    <t>Jakarta Popsivo Polwan; Jakarta Pertamina Fastron; sports stream</t>
  </si>
  <si>
    <t>Nonton streaming pertandingan seru Putri: Jakarta Popsivo Polwan vs Jakarta Pertamina Enduro - Proliga. Saksikan aksi-aksi terbaik dari tim yang bersaing ketat untuk meraih kemenangan. Dapatkan informasi lengkap mengenai jadwal pertandingan dan hasil pertandingan terbaru hanya di Vidio.</t>
  </si>
  <si>
    <t>d3a0a788</t>
  </si>
  <si>
    <t>Putri: Jakarta Electric PLN Mobile vs Gresik Phonska Plus Pupuk Indonesia - Proliga</t>
  </si>
  <si>
    <t>jakarta elektrik pln; gresik petrokimia; sports stream</t>
  </si>
  <si>
    <t>Nonton streaming pertandingan seru Putri: Jakarta Electric PLN Mobile vs Gresik Phonska Plus Pupuk Indonesia - Proliga. Saksikan aksi-aksi terbaik dari tim yang bersaing ketat untuk meraih kemenangan. Dapatkan informasi lengkap mengenai jadwal pertandingan dan hasil pertandingan terbaru hanya di Vidio.</t>
  </si>
  <si>
    <t>a1910656</t>
  </si>
  <si>
    <t>Putra: Jakarta Bhayangkara Presisi vs Jakarta Garuda Jaya - Proliga</t>
  </si>
  <si>
    <t>Jakarta Bhayangkara Presisi; Jakarta Garuda Jaya; sports stream</t>
  </si>
  <si>
    <t>Nonton streaming pertandingan seru Putra: Jakarta Bhayangkara Presisi vs Jakarta Garuda Jaya - Proliga. Saksikan aksi-aksi terbaik dari tim yang bersaing ketat untuk meraih kemenangan. Dapatkan informasi lengkap mengenai jadwal pertandingan dan hasil pertandingan terbaru hanya di Vidio.</t>
  </si>
  <si>
    <t>5f29d6d6</t>
  </si>
  <si>
    <t>Putri: Jakarta Popsivo Polwan vs Jakarta Livin Mandiri - Proliga</t>
  </si>
  <si>
    <t>Jakarta Popsivo Polwan; jakarta livin mandiri; sports stream</t>
  </si>
  <si>
    <t>Nonton streaming pertandingan seru Putri: Jakarta Popsivo Polwan vs Jakarta Livin Mandiri - Proliga. Saksikan aksi-aksi terbaik dari tim yang bersaing ketat untuk meraih kemenangan. Dapatkan informasi lengkap mengenai jadwal pertandingan dan hasil pertandingan terbaru hanya di Vidio.</t>
  </si>
  <si>
    <t>5f4e0cc7</t>
  </si>
  <si>
    <t>Putra: Jakarta Lavani Livin Transmedia vs Surabaya Samator - Proliga</t>
  </si>
  <si>
    <t>bogor lavani; SURABAYA BHAYANGKARA SAMATOR; sports stream</t>
  </si>
  <si>
    <t>Nonton streaming pertandingan seru Putra: Jakarta Lavani Livin Transmedia vs Surabaya Samator - Proliga. Saksikan aksi-aksi terbaik dari tim yang bersaing ketat untuk meraih kemenangan. Dapatkan informasi lengkap mengenai jadwal pertandingan dan hasil pertandingan terbaru hanya di Vidio.</t>
  </si>
  <si>
    <t>8ac07109</t>
  </si>
  <si>
    <t>Putri: Bandung BJB Tandamata vs Gresik Phonska Plus Pupuk Indonesia - Proliga</t>
  </si>
  <si>
    <t>Bandung bjb Tandamata; gresik petrokimia; sports stream</t>
  </si>
  <si>
    <t>Nonton streaming pertandingan seru Putri: Bandung BJB Tandamata vs Gresik Phonska Plus Pupuk Indonesia - Proliga. Saksikan aksi-aksi terbaik dari tim yang bersaing ketat untuk meraih kemenangan. Dapatkan informasi lengkap mengenai jadwal pertandingan dan hasil pertandingan terbaru hanya di Vidio.</t>
  </si>
  <si>
    <t>5ded3f7c</t>
  </si>
  <si>
    <t>UFC 324: Gaethje vs Pimblett</t>
  </si>
  <si>
    <t>UFC 2026</t>
  </si>
  <si>
    <t>UFC</t>
  </si>
  <si>
    <t>https://www.dropbox.com/scl/fo/xczin0zk5cjvkh6p1il0n/AMeGWBSKksq98_U4ldsXx9c/06%20Asia%20Pacific%20(APAC)?dl=0&amp;rlkey=x51krecp90is4flhcu8zsn5yx</t>
  </si>
  <si>
    <t>Sports &gt; Martial Arts &gt; UFC</t>
  </si>
  <si>
    <t>Martial Arts; boxing</t>
  </si>
  <si>
    <t>UFC; UFC 2026</t>
  </si>
  <si>
    <t>-</t>
  </si>
  <si>
    <t>Nonton streaming pertandingan seru UFC 324: Gaethje vs Pimblett. Saksikan aksi-aksi terbaik dari tim yang bersaing ketat untuk meraih kemenangan. Dapatkan informasi lengkap mengenai jadwal pertandingan dan hasil pertandingan terbaru hanya di Vidio.</t>
  </si>
  <si>
    <t>NTC + TVC + SOCMED BOOST</t>
  </si>
  <si>
    <t>5d81d4a2</t>
  </si>
  <si>
    <t>Opening Ceremony Proliga 2026</t>
  </si>
  <si>
    <t>https://www.vidio.com/live/20240-proliga?schedule_id=4832163</t>
  </si>
  <si>
    <t>https://drive.google.com/drive/folders/1wQdNZes42bepOjWQqH4QRkaM642e53qP</t>
  </si>
  <si>
    <t>Nonton streaming pertandingan seru Opening Ceremony Proliga 2026. Saksikan aksi-aksi terbaik dari tim yang bersaing ketat untuk meraih kemenangan. Dapatkan informasi lengkap mengenai jadwal pertandingan dan hasil pertandingan terbaru hanya di Vidio.</t>
  </si>
  <si>
    <t>https://drive.google.com/file/d/1jPZlO0JliTfhnghfwH0LQt9R9RhD-NH5/view?usp=sharing</t>
  </si>
  <si>
    <t>https://drive.google.com/file/d/1-08xygwwnXke_OICyvx5ZiFspx2l4-eQ/view?usp=sharing</t>
  </si>
  <si>
    <t>bc1107d6</t>
  </si>
  <si>
    <t>Borneo FC Samarinda vs PSM Makassar - BRI Super League</t>
  </si>
  <si>
    <t>https://www.vidio.com/live/19988-bri-super-league?schedule_id=4803427</t>
  </si>
  <si>
    <t>https://drive.google.com/drive/folders/1ThYeDJRMZM0Dhd85rLwsPDKzLMssbKaf?usp=drive_link</t>
  </si>
  <si>
    <t>borneo fc; PSM Makassar; sports stream</t>
  </si>
  <si>
    <t>Nonton streaming pertandingan seru Borneo FC Samarinda vs PSM Makassar - BRI Super League. Saksikan aksi-aksi terbaik dari tim yang bersaing ketat untuk meraih kemenangan. Dapatkan informasi lengkap mengenai jadwal pertandingan dan hasil pertandingan terbaru hanya di Vidio.</t>
  </si>
  <si>
    <t>Tag experimentsvod
Borneo: Nadeo, Peralta (Jersey Home)
PSM: Daisuke Sakai, Alex Tank (Jersey Away/ Putih)</t>
  </si>
  <si>
    <t>https://thumbor.prod.vidiocdn.com/AANfFMfp78qFNwl_rXPsl4YPxaQ=/filters:quality(70)/vidio-media-production/uploads/image/source/52368/56d7e4.png</t>
  </si>
  <si>
    <t>https://thumbor.prod.vidiocdn.com/XuZygzFRyUNXOy-UHECj1Emxv1Q=/filters:quality(70)/vidio-media-production/uploads/image/source/52369/793e82.png</t>
  </si>
  <si>
    <t>https://drive.google.com/file/d/1Tm68xgnvsBl5Sdlyyw4inGHMbK8hMy4z/view?usp=sharing</t>
  </si>
  <si>
    <t>6fa747cf</t>
  </si>
  <si>
    <t>PERSIJA vs PERSIJAP - BRI Super League</t>
  </si>
  <si>
    <t>https://www.vidio.com/live/19384-bri-super-league?schedule_id=4803414</t>
  </si>
  <si>
    <t>https://drive.google.com/drive/folders/1CPNblAQgmTLyKgFj67zTUj-CHPWd3oYH?usp=drive_link</t>
  </si>
  <si>
    <t>PERSIJA Jakarta; Persijap; sports stream</t>
  </si>
  <si>
    <t>Nonton streaming pertandingan seru PERSIJA vs PERSIJAP - BRI Super League. Saksikan aksi-aksi terbaik dari tim yang bersaing ketat untuk meraih kemenangan. Dapatkan informasi lengkap mengenai jadwal pertandingan dan hasil pertandingan terbaru hanya di Vidio.</t>
  </si>
  <si>
    <t>Mohon dibuatkan thumbnail live delay tanpa logo IVM dan brand, terima kasih
Persija: Maxwell, Jordy Amat (Jersey Home/Merah)
Persijap: Carlos Henrique Franca Freires, Rosalvo (Jersey Away/Putih)</t>
  </si>
  <si>
    <t>https://thumbor.prod.vidiocdn.com/nIawrCH1bVB9xwmDJqJOy3NirIc=/filters:quality(70)/vidio-media-production/uploads/image/source/52452/fd4bcc.png</t>
  </si>
  <si>
    <t>https://thumbor.prod.vidiocdn.com/DHl3kuzeNJmzWzmCWlwlSyuQBOg=/filters:quality(70)/vidio-media-production/uploads/image/source/52453/1ab734.png</t>
  </si>
  <si>
    <t>https://drive.google.com/file/d/10-RuesjqqemDSDzNs1BxxN0LI3aoRDJJ/view?usp=sharing</t>
  </si>
  <si>
    <t>85d2d9d3</t>
  </si>
  <si>
    <t>Madura United FC vs PERSEBAYA Surabaya - BRI Super League</t>
  </si>
  <si>
    <t>https://www.vidio.com/live/19988-bri-super-league?schedule_id=4803421</t>
  </si>
  <si>
    <t>https://drive.google.com/drive/folders/1pOthccA_m63L5wVMU3ALrLUL_bLzuOZE?usp=drive_link</t>
  </si>
  <si>
    <t>madura united; persebaya surabaya; sports stream</t>
  </si>
  <si>
    <t>Nonton streaming pertandingan seru Madura United FC vs PERSEBAYA Surabaya - BRI Super League. Saksikan aksi-aksi terbaik dari tim yang bersaing ketat untuk meraih kemenangan. Dapatkan informasi lengkap mengenai jadwal pertandingan dan hasil pertandingan terbaru hanya di Vidio.</t>
  </si>
  <si>
    <t>Madura: Jordy Wehrmann, Ahmad Nufiandani (Jersey Home, merah)
Persibaya: Francisco Rivera, Gali Freitas (Jersey Home, Hijau)</t>
  </si>
  <si>
    <t>https://thumbor.prod.vidiocdn.com/qYS-s0VD0MmCcazDdgDT2Z-8kLw=/filters:quality(70)/vidio-media-production/uploads/image/source/52366/b41bd9.png</t>
  </si>
  <si>
    <t>https://thumbor.prod.vidiocdn.com/gLQfUmHxDhcEZg8xIim7GcIAUvM=/filters:quality(70)/vidio-media-production/uploads/image/source/52367/116d8a.png</t>
  </si>
  <si>
    <t>https://drive.google.com/file/d/1WEiFGsb0mskInb82O4DgPZ_bBgCgplgH/view?usp=sharing</t>
  </si>
  <si>
    <t>3d6d69cc</t>
  </si>
  <si>
    <t>PERSIS vs PERSITA - BRI Super League</t>
  </si>
  <si>
    <t>https://www.vidio.com/live/19353-bri-super-league?schedule_id=4824479</t>
  </si>
  <si>
    <t>https://drive.google.com/drive/folders/1lsJRQtae10fZV3PwcmgFoNWsigcZ6xbI?usp=drive_link</t>
  </si>
  <si>
    <t>persis solo; Persita Tangerang; sports stream</t>
  </si>
  <si>
    <t>Nonton streaming pertandingan seru PERSIS vs PERSITA - BRI Super League. Saksikan aksi-aksi terbaik dari tim yang bersaing ketat untuk meraih kemenangan. Dapatkan informasi lengkap mengenai jadwal pertandingan dan hasil pertandingan terbaru hanya di Vidio.</t>
  </si>
  <si>
    <t>Tag newsvod
PERSIS: Kastaneer, Gianluca 
Persita: Jack Brown , Hokky Caraka</t>
  </si>
  <si>
    <t>https://thumbor.prod.vidiocdn.com/lu7ofyjKgcF-Rw8Y0v3m5ke4MEc=/filters:quality(70)/vidio-media-production/uploads/image/source/52454/cb4455.png</t>
  </si>
  <si>
    <t>https://thumbor.prod.vidiocdn.com/ipMc2gUYQBm4LvJpAcuUfSX6ewM=/filters:quality(70)/vidio-media-production/uploads/image/source/52455/2191e5.png</t>
  </si>
  <si>
    <t>https://drive.google.com/file/d/1x4i9Q9Je5JQ6vvz3-KdmP6Z1BQVF3Dky/view?usp=sharing</t>
  </si>
  <si>
    <t>486da466</t>
  </si>
  <si>
    <t>PSIM Jogja vs Semen Padang FC - BRI Super League</t>
  </si>
  <si>
    <t>https://www.vidio.com/live/205-indosiar?schedule_id=4823385</t>
  </si>
  <si>
    <t>https://drive.google.com/drive/folders/1YlMRu1cROcPKnFNgfhqtVLYDGJVWk9EC?usp=drive_link</t>
  </si>
  <si>
    <t>psim yogyakarta; semen padang; sports stream</t>
  </si>
  <si>
    <t>Nonton streaming pertandingan seru PSIM Jogja vs Semen Padang FC - BRI Super League. Saksikan aksi-aksi terbaik dari tim yang bersaing ketat untuk meraih kemenangan. Dapatkan informasi lengkap mengenai jadwal pertandingan dan hasil pertandingan terbaru hanya di Vidio.</t>
  </si>
  <si>
    <t>PSIM: Ze Valente, Pulga Vidal (Jersey Home/Biru)
Semen Padang: Bruno Gomes, Conelius Stewart  (Jersey Home, Merah)</t>
  </si>
  <si>
    <t>https://thumbor.prod.vidiocdn.com/EkqiQBvYulRllcX0sYDbXeGkxN4=/filters:quality(70)/vidio-media-production/uploads/image/source/52456/ce0a21.png</t>
  </si>
  <si>
    <t>https://thumbor.prod.vidiocdn.com/6qmlekzjOG60hVkFLnIFph9crg0=/filters:quality(70)/vidio-media-production/uploads/image/source/52457/f7a74b.png</t>
  </si>
  <si>
    <t>https://drive.google.com/file/d/1UIjPL4Jn1Wwg6OBB59r9lfrcnlAmQnh6/view?usp=sharing</t>
  </si>
  <si>
    <t>d1204c01</t>
  </si>
  <si>
    <t>Malut United FC vs PSBS Biak - BRI Super League</t>
  </si>
  <si>
    <t>https://www.vidio.com/live/19384-bri-super-league?schedule_id=4825050</t>
  </si>
  <si>
    <t>https://drive.google.com/drive/folders/1NO-6bfdLZ6MpMkpweovCCcQL0GYtHtMG?usp=drive_link</t>
  </si>
  <si>
    <t>Malut United FC; PSBS Biak Numfor; sports stream</t>
  </si>
  <si>
    <t>Nonton streaming pertandingan seru Malut United FC vs PSBS Biak - BRI Super League. Saksikan aksi-aksi terbaik dari tim yang bersaing ketat untuk meraih kemenangan. Dapatkan informasi lengkap mengenai jadwal pertandingan dan hasil pertandingan terbaru hanya di Vidio.</t>
  </si>
  <si>
    <t>Tag newsvod
Mohon dibuatkan thumbnail live delay tanpa logo IVM dan brand, terima kasih
Malut: Ciro, David da Silva ( Jersey  Home)
PSBS: Nurhidayat, Pablo Andrade (Jersey Away/Hijau)</t>
  </si>
  <si>
    <t>https://thumbor.prod.vidiocdn.com/24v491FjZsay8QoXLSV8LEqpVM0=/filters:quality(70)/vidio-media-production/uploads/image/source/52458/77c54a.png</t>
  </si>
  <si>
    <t>https://thumbor.prod.vidiocdn.com/mKf06lDJ1xB8GfuoEqcItwwT47Q=/filters:quality(70)/vidio-media-production/uploads/image/source/52459/0d0a39.png</t>
  </si>
  <si>
    <t>https://drive.google.com/file/d/1JxsKBFUKmSgHQVBG0X6q8ZtGeR2GHbDM/view?usp=sharing</t>
  </si>
  <si>
    <t>ef2ae5c5</t>
  </si>
  <si>
    <t>Bali United FC vs Arema FC - BRI Super League</t>
  </si>
  <si>
    <t>https://www.vidio.com/live/19988-bri-super-league?schedule_id=4824481</t>
  </si>
  <si>
    <t>https://drive.google.com/drive/folders/1J_n_T3cSrDuoxCORhhYaPoe8Kc0xbp_B</t>
  </si>
  <si>
    <t>Bali United; arema fc; sports stream</t>
  </si>
  <si>
    <t>Nonton streaming pertandingan seru Bali United FC vs Arema FC - BRI Super League. Saksikan aksi-aksi terbaik dari tim yang bersaing ketat untuk meraih kemenangan. Dapatkan informasi lengkap mengenai jadwal pertandingan dan hasil pertandingan terbaru hanya di Vidio.</t>
  </si>
  <si>
    <t>Bali: Boris Kopitovic, Kadek Arel (Jersey Home/merah)
Arema: Dalbreto, Arkhan Fikri (Jersey Home/biru)</t>
  </si>
  <si>
    <t>https://thumbor.prod.vidiocdn.com/nUA6IQuYkW1q24NKPeNCCbbDJaQ=/filters:quality(70)/vidio-media-production/uploads/image/source/52370/f12b73.png</t>
  </si>
  <si>
    <t>https://thumbor.prod.vidiocdn.com/tRve0Mie_RmOf8WKDTPgO-rQmwU=/filters:quality(70)/vidio-media-production/uploads/image/source/52371/081a72.png</t>
  </si>
  <si>
    <t>https://drive.google.com/file/d/16tr6eZ9lQBMVOHJoMSRMw7kxqnGkAJ6u/view?usp=sharing</t>
  </si>
  <si>
    <t>41a6e7e1</t>
  </si>
  <si>
    <t>Bhayangkara Presisi Lampung FC vs Dewa United Banten FC - BRI Super League</t>
  </si>
  <si>
    <t>https://www.vidio.com/live/19354-bri-super-league?schedule_id=4827312</t>
  </si>
  <si>
    <t>https://drive.google.com/drive/folders/1JQJrsMfiLc-626Ntld5qA0OuKh9Ehu_W?usp=drive_link</t>
  </si>
  <si>
    <t>bhayangkara fc; dewa united; sports stream</t>
  </si>
  <si>
    <t>Nonton streaming pertandingan seru Bhayangkara Presisi Lampung FC vs Dewa United Banten FC - BRI Super League. Saksikan aksi-aksi terbaik dari tim yang bersaing ketat untuk meraih kemenangan. Dapatkan informasi lengkap mengenai jadwal pertandingan dan hasil pertandingan terbaru hanya di Vidio.</t>
  </si>
  <si>
    <t>Bhayangkara: Dendi Sulistyawan, Firza Andika
Dewa: Messidoro, Egy MV</t>
  </si>
  <si>
    <t>https://thumbor.prod.vidiocdn.com/zHiW4woAJlXphV4RODLmR4NTAms=/filters:quality(70)/vidio-media-production/uploads/image/source/52372/428c81.png</t>
  </si>
  <si>
    <t>https://thumbor.prod.vidiocdn.com/g5Fkizm6ozF2NNzHChNEq_My8eM=/filters:quality(70)/vidio-media-production/uploads/image/source/52373/f989c2.png</t>
  </si>
  <si>
    <t>https://drive.google.com/file/d/1uJeTFAd3aKVwvgO8iWJpmThSs8fKCrzt/view?usp=sharing</t>
  </si>
  <si>
    <t>7b713c97</t>
  </si>
  <si>
    <t>PERSIK Kediri vs PERSIB - BRI Super League</t>
  </si>
  <si>
    <t>https://www.vidio.com/live/19354-bri-super-league?schedule_id=4827313</t>
  </si>
  <si>
    <t>https://drive.google.com/drive/folders/1JWWnozu6Dj0aF0k2fC6jrHu2maFGfdnl</t>
  </si>
  <si>
    <t>persik kediri; persib bandung; sports stream</t>
  </si>
  <si>
    <t>Nonton streaming pertandingan seru PERSIK Kediri vs PERSIB - BRI Super League. Saksikan aksi-aksi terbaik dari tim yang bersaing ketat untuk meraih kemenangan. Dapatkan informasi lengkap mengenai jadwal pertandingan dan hasil pertandingan terbaru hanya di Vidio.</t>
  </si>
  <si>
    <t>PERSIK: Ezra, Henhen
PERSIB: Eliano, Beckham</t>
  </si>
  <si>
    <t>https://thumbor.prod.vidiocdn.com/ABunWLM60mDcpk3CrkS6RZu8pk8=/filters:quality(70)/vidio-media-production/uploads/image/source/52374/1ad296.png</t>
  </si>
  <si>
    <t>https://thumbor.prod.vidiocdn.com/iTkyi_BPKIkv5MNV-Sl3kDVURHE=/filters:quality(70)/vidio-media-production/uploads/image/source/52375/2058de.png</t>
  </si>
  <si>
    <t>https://drive.google.com/file/d/1FEMgPHR1wcQYnPEP7eWFqItXhGHTNOm8/view?usp=sharing</t>
  </si>
  <si>
    <t>3712ead1</t>
  </si>
  <si>
    <t>PERSITA vs Borneo FC Samarinda - BRI Super League</t>
  </si>
  <si>
    <t>https://www.vidio.com/live/205-indosiar?schedule_id=4832164</t>
  </si>
  <si>
    <t>https://drive.google.com/drive/folders/1LnhcYia5oVY3y4l7l8sxLDW4ukQpSXJm</t>
  </si>
  <si>
    <t>https://drive.google.com/file/d/1rqkImW1Q6IXpM7RiBxeJUImezqq3QhiV/view?usp=drive_link</t>
  </si>
  <si>
    <t>Persita Tangerang; borneo fc; sports stream</t>
  </si>
  <si>
    <t>Nonton streaming pertandingan seru PERSITA vs Borneo FC Samarinda - BRI Super League. Saksikan aksi-aksi terbaik dari tim yang bersaing ketat untuk meraih kemenangan. Dapatkan informasi lengkap mengenai jadwal pertandingan dan hasil pertandingan terbaru hanya di Vidio.</t>
  </si>
  <si>
    <t>https://drive.google.com/file/d/1VFd5gozgB6qOGRvc_zi6Fg8r4Coh6S9i/view?usp=sharing</t>
  </si>
  <si>
    <t>https://drive.google.com/file/d/1rqkImW1Q6IXpM7RiBxeJUImezqq3QhiV/view?usp=sharing</t>
  </si>
  <si>
    <t>https://drive.google.com/file/d/1ZLhq5LYftXDxN1vsDLHq-slY9XC32iJm/view?usp=sharing</t>
  </si>
  <si>
    <t>8ca8b701</t>
  </si>
  <si>
    <t>PSM Makassar vs Bali United FC - BRI Super League</t>
  </si>
  <si>
    <t>https://www.vidio.com/live/19354-bri-super-league?schedule_id=4832166</t>
  </si>
  <si>
    <t>https://drive.google.com/drive/folders/1qegx9jJPjYw06UwnvtHVhtX44irshfIa?usp=drive_link</t>
  </si>
  <si>
    <t>PSM Makassar; Bali United; sports stream</t>
  </si>
  <si>
    <t>Nonton streaming pertandingan seru PSM Makassar vs Bali United FC - BRI Super League. Saksikan aksi-aksi terbaik dari tim yang bersaing ketat untuk meraih kemenangan. Dapatkan informasi lengkap mengenai jadwal pertandingan dan hasil pertandingan terbaru hanya di Vidio.</t>
  </si>
  <si>
    <t>https://thumbor.prod.vidiocdn.com/UzESGtVNiRoxrWBJRWQ6f6-j5d4=/filters:quality(70)/vidio-media-production/uploads/image/source/53000/1587b4.png</t>
  </si>
  <si>
    <t>https://thumbor.prod.vidiocdn.com/OXSIJZStuALR-YcVcTepKi3RE1A=/filters:quality(70)/vidio-media-production/uploads/image/source/53001/56db80.png</t>
  </si>
  <si>
    <t>https://drive.google.com/file/d/1vyKPpSqyyMenUnQJ7BpH6XCNSAxTTOt8/view?usp=sharing</t>
  </si>
  <si>
    <t>10c5ed26</t>
  </si>
  <si>
    <t>PERSEBAYA Surabaya vs Malut United FC - BRI Super League</t>
  </si>
  <si>
    <t>https://www.vidio.com/live/19354-bri-super-league?schedule_id=4832276</t>
  </si>
  <si>
    <t>https://drive.google.com/drive/folders/1VQluEuvQKLgV24xZYFA0LZt2SHPfB3Wi</t>
  </si>
  <si>
    <t>persebaya surabaya; Malut United FC; sports stream</t>
  </si>
  <si>
    <t>Nonton streaming pertandingan seru PERSEBAYA Surabaya vs Malut United FC - BRI Super League. Saksikan aksi-aksi terbaik dari tim yang bersaing ketat untuk meraih kemenangan. Dapatkan informasi lengkap mengenai jadwal pertandingan dan hasil pertandingan terbaru hanya di Vidio.</t>
  </si>
  <si>
    <t>https://thumbor.prod.vidiocdn.com/twpAp9z15yvQUydalyb6Nid7178=/filters:quality(70)/vidio-media-production/uploads/image/source/53002/17ce31.png</t>
  </si>
  <si>
    <t>https://thumbor.prod.vidiocdn.com/0tZOlPA3OgMVvOL_lVMoN0XcMts=/filters:quality(70)/vidio-media-production/uploads/image/source/53003/2c754b.png</t>
  </si>
  <si>
    <t>https://drive.google.com/file/d/1oJ7HutmsUHYDwhGJAFQ3xyr3Gc8M538B/view?usp=sharing</t>
  </si>
  <si>
    <t>d5a96dd1</t>
  </si>
  <si>
    <t>Madura United FC vs PSIM Jogja - BRI Super League</t>
  </si>
  <si>
    <t>https://www.vidio.com/live/19385-bri-super-league?schedule_id=4832288</t>
  </si>
  <si>
    <t>https://drive.google.com/drive/folders/1EFN2vgGcKi1cbFBuZdcP1Wk3VIGrkG9S</t>
  </si>
  <si>
    <t>https://drive.google.com/file/d/1o_fjG4-DhrhfBnTbVJ1a5gYeGoU05azU/view?usp=drive_link</t>
  </si>
  <si>
    <t>madura united; psim yogyakarta; sports stream</t>
  </si>
  <si>
    <t>Nonton streaming pertandingan seru Madura United FC vs PSIM Jogja - BRI Super League. Saksikan aksi-aksi terbaik dari tim yang bersaing ketat untuk meraih kemenangan. Dapatkan informasi lengkap mengenai jadwal pertandingan dan hasil pertandingan terbaru hanya di Vidio.</t>
  </si>
  <si>
    <t>https://drive.google.com/file/d/1yhvbsixJmViJ1naVFG5dkClXX6xGHPFt/view?usp=sharing</t>
  </si>
  <si>
    <t>https://drive.google.com/file/d/1o_fjG4-DhrhfBnTbVJ1a5gYeGoU05azU/view?usp=sharing</t>
  </si>
  <si>
    <t>https://drive.google.com/file/d/17Fr4n6ZSkFL5B9SmcVzyn5Z6o8JkhRgQ/view?usp=sharing</t>
  </si>
  <si>
    <t>e4da79ea</t>
  </si>
  <si>
    <t>PERSIB vs PERSIJA - BRI Super League</t>
  </si>
  <si>
    <t>https://www.vidio.com/live/19988-bri-super-league?schedule_id=4832519</t>
  </si>
  <si>
    <t>https://drive.google.com/drive/folders/1IAbYO8hG1prPIFVhTKxTwBXJbDCep3JF</t>
  </si>
  <si>
    <t>persib bandung; PERSIJA Jakarta; sports stream</t>
  </si>
  <si>
    <t>Nonton streaming pertandingan seru PERSIB vs PERSIJA - BRI Super League. Saksikan aksi-aksi terbaik dari tim yang bersaing ketat untuk meraih kemenangan. Dapatkan informasi lengkap mengenai jadwal pertandingan dan hasil pertandingan terbaru hanya di Vidio.</t>
  </si>
  <si>
    <t>https://thumbor.prod.vidiocdn.com/wY7mnX-aGe8V049xYegGALz36To=/filters:quality(70)/vidio-media-production/uploads/image/source/53004/e92c58.png</t>
  </si>
  <si>
    <t>https://thumbor.prod.vidiocdn.com/Kn6mndvWeMo9OaVDNCq4l4L7lFs=/filters:quality(70)/vidio-media-production/uploads/image/source/53005/ee7393.png</t>
  </si>
  <si>
    <t>https://drive.google.com/file/d/1hnjcbjgeyv_v2Ke_It_u9qJALt4bOxdW/view?usp=sharing</t>
  </si>
  <si>
    <t>c3bdf444</t>
  </si>
  <si>
    <t>Arema FC vs PERSIK Kediri - BRI Super League</t>
  </si>
  <si>
    <t>https://www.vidio.com/live/19353-bri-super-league?schedule_id=4832536</t>
  </si>
  <si>
    <t>https://drive.google.com/drive/folders/11wHKMe7VjzCzToZTIngyuuozWN0JnPhX</t>
  </si>
  <si>
    <t>https://drive.google.com/file/d/1Eqg-InBXei6DjTSwuqtd1FnmYTTwS_6G/view?usp=drive_link</t>
  </si>
  <si>
    <t>arema fc; persik kediri; sports stream</t>
  </si>
  <si>
    <t>Nonton streaming pertandingan seru Arema FC vs PERSIK Kediri - BRI Super League. Saksikan aksi-aksi terbaik dari tim yang bersaing ketat untuk meraih kemenangan. Dapatkan informasi lengkap mengenai jadwal pertandingan dan hasil pertandingan terbaru hanya di Vidio.</t>
  </si>
  <si>
    <t>https://drive.google.com/file/d/1p36FCeh7gt8xphXMMu2FWqjt3iWc4_iC/view?usp=sharing</t>
  </si>
  <si>
    <t>https://drive.google.com/file/d/1Eqg-InBXei6DjTSwuqtd1FnmYTTwS_6G/view?usp=sharing</t>
  </si>
  <si>
    <t>https://drive.google.com/file/d/10dPM4P1L1b4F0U-_UWnjTdsJk524Gsun/view?usp=sharing</t>
  </si>
  <si>
    <t>e11df599</t>
  </si>
  <si>
    <t>Semen Padang FC vs PERSIS - BRI Super League</t>
  </si>
  <si>
    <t>https://www.vidio.com/live/19385-bri-super-league?schedule_id=4832537</t>
  </si>
  <si>
    <t>https://drive.google.com/drive/folders/1Ze7D4SqpUu1SehuNx4xITBpDRF4O3NQd</t>
  </si>
  <si>
    <t>https://drive.google.com/file/d/1MDTK-zh0WhiqcOfOLIpBD6WR5aQGyf-Z/view?usp=drive_link</t>
  </si>
  <si>
    <t>semen padang; persis solo; sports stream</t>
  </si>
  <si>
    <t>Nonton streaming pertandingan seru Semen Padang FC vs PERSIS - BRI Super League. Saksikan aksi-aksi terbaik dari tim yang bersaing ketat untuk meraih kemenangan. Dapatkan informasi lengkap mengenai jadwal pertandingan dan hasil pertandingan terbaru hanya di Vidio.</t>
  </si>
  <si>
    <t>https://drive.google.com/file/d/1xWoI5cfCiczASQ61IpvMJLhmo83ZWBkM/view?usp=sharing</t>
  </si>
  <si>
    <t>https://drive.google.com/file/d/1MDTK-zh0WhiqcOfOLIpBD6WR5aQGyf-Z/view?usp=sharing</t>
  </si>
  <si>
    <t>https://drive.google.com/file/d/1AnlkY1Pq8xSKwt8sr-pkegZyQZNrc9UF/view?usp=sharing</t>
  </si>
  <si>
    <t>3588b353</t>
  </si>
  <si>
    <t>PSBS Biak vs Bhayangkara Presisi Lampung FC - BRI Super League</t>
  </si>
  <si>
    <t>https://drive.google.com/drive/folders/1CmjVx9pwHHQrluhX1_cgYjphiqu6SrTG</t>
  </si>
  <si>
    <t>https://drive.google.com/file/d/1Du-gIahFDqcl8-doYMRIN6ZEHI1MFZo2/view?usp=drive_link</t>
  </si>
  <si>
    <t>PSBS Biak Numfor; bhayangkara fc; sports stream</t>
  </si>
  <si>
    <t>Nonton streaming pertandingan seru PSBS Biak vs Bhayangkara Presisi Lampung FC - BRI Super League. Saksikan aksi-aksi terbaik dari tim yang bersaing ketat untuk meraih kemenangan. Dapatkan informasi lengkap mengenai jadwal pertandingan dan hasil pertandingan terbaru hanya di Vidio.</t>
  </si>
  <si>
    <t>anindhita.utami@emtek.digital</t>
  </si>
  <si>
    <t>https://drive.google.com/file/d/1zyQmhN9ms8YwQ_Ukj1tgFl67fPUH72A8/view?usp=sharing</t>
  </si>
  <si>
    <t>https://drive.google.com/file/d/1Du-gIahFDqcl8-doYMRIN6ZEHI1MFZo2/view?usp=sharing</t>
  </si>
  <si>
    <t>https://drive.google.com/file/d/1YVW0rWQ-ahGBE-LCedntl2K1TyxcavkL/view?usp=sharing</t>
  </si>
  <si>
    <t>1799e7b9</t>
  </si>
  <si>
    <t>PERSIJAP vs Dewa United Banten FC - BRI Super League</t>
  </si>
  <si>
    <t>https://www.vidio.com/live/19988-bri-super-league?schedule_id=4834098</t>
  </si>
  <si>
    <t>https://drive.google.com/drive/folders/1vVG0JMaB44L_IJtX0fZV1HIq5k2MukSp?usp=drive_link</t>
  </si>
  <si>
    <t>Persijap; dewa united; sports stream</t>
  </si>
  <si>
    <t>Nonton streaming pertandingan seru PERSIJAP vs Dewa United Banten FC - BRI Super League. Saksikan aksi-aksi terbaik dari tim yang bersaing ketat untuk meraih kemenangan. Dapatkan informasi lengkap mengenai jadwal pertandingan dan hasil pertandingan terbaru hanya di Vidio.</t>
  </si>
  <si>
    <t>https://thumbor.prod.vidiocdn.com/vTJ9i2bZ5ljRx1E53wg6SYv1f0U=/filters:quality(70)/vidio-media-production/uploads/image/source/53028/6b4932.png</t>
  </si>
  <si>
    <t>https://thumbor.prod.vidiocdn.com/fgFw4NNuq0rwEl2VKP3NhVwkIko=/filters:quality(70)/vidio-media-production/uploads/image/source/53029/dc2c95.png</t>
  </si>
  <si>
    <t>https://drive.google.com/file/d/164CMpuvYrQnAeMgDFxU-AzhWj5ehyRHX/view?usp=sharing</t>
  </si>
  <si>
    <t>5c1cc8e4</t>
  </si>
  <si>
    <t>PERSIS vs Borneo FC Samarinda - BRI Super League</t>
  </si>
  <si>
    <t>persis solo; borneo fc; sports stream</t>
  </si>
  <si>
    <t>Nonton streaming pertandingan seru PERSIS vs Borneo FC Samarinda - BRI Super League. Saksikan aksi-aksi terbaik dari tim yang bersaing ketat untuk meraih kemenangan. Dapatkan informasi lengkap mengenai jadwal pertandingan dan hasil pertandingan terbaru hanya di Vidio.</t>
  </si>
  <si>
    <t>b13be6d9</t>
  </si>
  <si>
    <t>PERSIJA vs Madura United FC - BRI Super League</t>
  </si>
  <si>
    <t>PERSIJA Jakarta; madura united; sports stream</t>
  </si>
  <si>
    <t>Nonton streaming pertandingan seru PERSIJA vs Madura United FC - BRI Super League. Saksikan aksi-aksi terbaik dari tim yang bersaing ketat untuk meraih kemenangan. Dapatkan informasi lengkap mengenai jadwal pertandingan dan hasil pertandingan terbaru hanya di Vidio.</t>
  </si>
  <si>
    <t>7f5b116e</t>
  </si>
  <si>
    <t>216948cd</t>
  </si>
  <si>
    <t>Bali United FC vs Semen Padang FC - BRI Super League</t>
  </si>
  <si>
    <t>Bali United; semen padang; sports stream</t>
  </si>
  <si>
    <t>Nonton streaming pertandingan seru Bali United FC vs Semen Padang FC - BRI Super League. Saksikan aksi-aksi terbaik dari tim yang bersaing ketat untuk meraih kemenangan. Dapatkan informasi lengkap mengenai jadwal pertandingan dan hasil pertandingan terbaru hanya di Vidio.</t>
  </si>
  <si>
    <t>f0f674f2</t>
  </si>
  <si>
    <t>PERSIJAP vs PSM Makassar - BRI Super League</t>
  </si>
  <si>
    <t>Persijap; PSM Makassar; sports stream</t>
  </si>
  <si>
    <t>Nonton streaming pertandingan seru PERSIJAP vs PSM Makassar - BRI Super League. Saksikan aksi-aksi terbaik dari tim yang bersaing ketat untuk meraih kemenangan. Dapatkan informasi lengkap mengenai jadwal pertandingan dan hasil pertandingan terbaru hanya di Vidio.</t>
  </si>
  <si>
    <t>690a610f</t>
  </si>
  <si>
    <t>Malut United FC vs PERSIK Kediri - BRI Super League</t>
  </si>
  <si>
    <t>Malut United FC; persik kediri; sports stream</t>
  </si>
  <si>
    <t>Nonton streaming pertandingan seru Malut United FC vs PERSIK Kediri - BRI Super League. Saksikan aksi-aksi terbaik dari tim yang bersaing ketat untuk meraih kemenangan. Dapatkan informasi lengkap mengenai jadwal pertandingan dan hasil pertandingan terbaru hanya di Vidio.</t>
  </si>
  <si>
    <t>509027dc</t>
  </si>
  <si>
    <t>PSIM Jogja vs PERSEBAYA Surabaya - BRI Super League</t>
  </si>
  <si>
    <t>psim yogyakarta; persebaya surabaya; sports stream</t>
  </si>
  <si>
    <t>Nonton streaming pertandingan seru PSIM Jogja vs PERSEBAYA Surabaya - BRI Super League. Saksikan aksi-aksi terbaik dari tim yang bersaing ketat untuk meraih kemenangan. Dapatkan informasi lengkap mengenai jadwal pertandingan dan hasil pertandingan terbaru hanya di Vidio.</t>
  </si>
  <si>
    <t>4b6ea342</t>
  </si>
  <si>
    <t>PERSIB vs PSBS Biak - BRI Super League</t>
  </si>
  <si>
    <t>persib bandung; PSBS Biak Numfor; sports stream</t>
  </si>
  <si>
    <t>Nonton streaming pertandingan seru PERSIB vs PSBS Biak - BRI Super League. Saksikan aksi-aksi terbaik dari tim yang bersaing ketat untuk meraih kemenangan. Dapatkan informasi lengkap mengenai jadwal pertandingan dan hasil pertandingan terbaru hanya di Vidio.</t>
  </si>
  <si>
    <t>fa29b65e</t>
  </si>
  <si>
    <t>Dewa United Banten FC vs Arema FC - BRI Super League</t>
  </si>
  <si>
    <t>dewa united; arema fc; sports stream</t>
  </si>
  <si>
    <t>Nonton streaming pertandingan seru Dewa United Banten FC vs Arema FC - BRI Super League. Saksikan aksi-aksi terbaik dari tim yang bersaing ketat untuk meraih kemenangan. Dapatkan informasi lengkap mengenai jadwal pertandingan dan hasil pertandingan terbaru hanya di Vidio.</t>
  </si>
  <si>
    <t>a1f831fc</t>
  </si>
  <si>
    <t>PERSIK Kediri vs Bali United FC - BRI Super League</t>
  </si>
  <si>
    <t>persik kediri; Bali United; sports stream</t>
  </si>
  <si>
    <t>Nonton streaming pertandingan seru PERSIK Kediri vs Bali United FC - BRI Super League. Saksikan aksi-aksi terbaik dari tim yang bersaing ketat untuk meraih kemenangan. Dapatkan informasi lengkap mengenai jadwal pertandingan dan hasil pertandingan terbaru hanya di Vidio.</t>
  </si>
  <si>
    <t>a829f213</t>
  </si>
  <si>
    <t>PERSITA vs PERSIJA - BRI Super League</t>
  </si>
  <si>
    <t>Persita Tangerang; PERSIJA Jakarta; sports stream</t>
  </si>
  <si>
    <t>Nonton streaming pertandingan seru PERSITA vs PERSIJA - BRI Super League. Saksikan aksi-aksi terbaik dari tim yang bersaing ketat untuk meraih kemenangan. Dapatkan informasi lengkap mengenai jadwal pertandingan dan hasil pertandingan terbaru hanya di Vidio.</t>
  </si>
  <si>
    <t>bd1cfd08</t>
  </si>
  <si>
    <t>PERSIS vs PERSIB - BRI Super League</t>
  </si>
  <si>
    <t>persis solo; persib bandung; sports stream</t>
  </si>
  <si>
    <t>Nonton streaming pertandingan seru PERSIS vs PERSIB - BRI Super League. Saksikan aksi-aksi terbaik dari tim yang bersaing ketat untuk meraih kemenangan. Dapatkan informasi lengkap mengenai jadwal pertandingan dan hasil pertandingan terbaru hanya di Vidio.</t>
  </si>
  <si>
    <t>6c43060c</t>
  </si>
  <si>
    <t>Malut United FC vs Bhayangkara Presisi Lampung FC - BRI Super League</t>
  </si>
  <si>
    <t>Malut United FC; bhayangkara fc; sports stream</t>
  </si>
  <si>
    <t>Nonton streaming pertandingan seru Malut United FC vs Bhayangkara Presisi Lampung FC - BRI Super League. Saksikan aksi-aksi terbaik dari tim yang bersaing ketat untuk meraih kemenangan. Dapatkan informasi lengkap mengenai jadwal pertandingan dan hasil pertandingan terbaru hanya di Vidio.</t>
  </si>
  <si>
    <t>d05f32fc</t>
  </si>
  <si>
    <t>Madura United FC vs PSBS Biak - BRI Super League</t>
  </si>
  <si>
    <t>madura united; PSBS Biak Numfor; sports stream</t>
  </si>
  <si>
    <t>Nonton streaming pertandingan seru Madura United FC vs PSBS Biak - BRI Super League. Saksikan aksi-aksi terbaik dari tim yang bersaing ketat untuk meraih kemenangan. Dapatkan informasi lengkap mengenai jadwal pertandingan dan hasil pertandingan terbaru hanya di Vidio.</t>
  </si>
  <si>
    <t>b859eae9</t>
  </si>
  <si>
    <t>Borneo FC Samarinda vs PSIM Jogja - BRI Super League</t>
  </si>
  <si>
    <t>borneo fc; psim yogyakarta; sports stream</t>
  </si>
  <si>
    <t>Nonton streaming pertandingan seru Borneo FC Samarinda vs PSIM Jogja - BRI Super League. Saksikan aksi-aksi terbaik dari tim yang bersaing ketat untuk meraih kemenangan. Dapatkan informasi lengkap mengenai jadwal pertandingan dan hasil pertandingan terbaru hanya di Vidio.</t>
  </si>
  <si>
    <t>eb597f74</t>
  </si>
  <si>
    <t>PERSEBAYA Surabaya vs Dewa United Banten FC - BRI Super League</t>
  </si>
  <si>
    <t>persebaya surabaya; dewa united; sports stream</t>
  </si>
  <si>
    <t>Nonton streaming pertandingan seru PERSEBAYA Surabaya vs Dewa United Banten FC - BRI Super League. Saksikan aksi-aksi terbaik dari tim yang bersaing ketat untuk meraih kemenangan. Dapatkan informasi lengkap mengenai jadwal pertandingan dan hasil pertandingan terbaru hanya di Vidio.</t>
  </si>
  <si>
    <t>5f3641d0</t>
  </si>
  <si>
    <t>Arema FC vs PERSIJAP - BRI Super League</t>
  </si>
  <si>
    <t>arema fc; Persijap; sports stream</t>
  </si>
  <si>
    <t>Nonton streaming pertandingan seru Arema FC vs PERSIJAP - BRI Super League. Saksikan aksi-aksi terbaik dari tim yang bersaing ketat untuk meraih kemenangan. Dapatkan informasi lengkap mengenai jadwal pertandingan dan hasil pertandingan terbaru hanya di Vidio.</t>
  </si>
  <si>
    <t>f9ba4c22</t>
  </si>
  <si>
    <t>PSM Makassar vs Semen Padang FC - BRI Super League</t>
  </si>
  <si>
    <t>PSM Makassar; semen padang; sports stream</t>
  </si>
  <si>
    <t>Nonton streaming pertandingan seru PSM Makassar vs Semen Padang FC - BRI Super League. Saksikan aksi-aksi terbaik dari tim yang bersaing ketat untuk meraih kemenangan. Dapatkan informasi lengkap mengenai jadwal pertandingan dan hasil pertandingan terbaru hanya di Vidio.</t>
  </si>
  <si>
    <t>220d3bae</t>
  </si>
  <si>
    <t>PSIM Jogja vs PERSIS - BRI Super League</t>
  </si>
  <si>
    <t>psim yogyakarta; persis solo; sports stream</t>
  </si>
  <si>
    <t>Nonton streaming pertandingan seru PSIM Jogja vs PERSIS - BRI Super League. Saksikan aksi-aksi terbaik dari tim yang bersaing ketat untuk meraih kemenangan. Dapatkan informasi lengkap mengenai jadwal pertandingan dan hasil pertandingan terbaru hanya di Vidio.</t>
  </si>
  <si>
    <t>5a95bddf</t>
  </si>
  <si>
    <t>PERSIB vs Malut United FC - BRI Super League</t>
  </si>
  <si>
    <t>persib bandung; PUTRA DELTA SIDOARJO; sports stream</t>
  </si>
  <si>
    <t>Nonton streaming pertandingan seru PERSIB vs Malut United FC - BRI Super League. Saksikan aksi-aksi terbaik dari tim yang bersaing ketat untuk meraih kemenangan. Dapatkan informasi lengkap mengenai jadwal pertandingan dan hasil pertandingan terbaru hanya di Vidio.</t>
  </si>
  <si>
    <t>050ea9c9</t>
  </si>
  <si>
    <t>Bhayangkara Presisi Lampung FC vs Borneo FC Samarinda - BRI Super League</t>
  </si>
  <si>
    <t>bhayangkara fc; borneo fc; sports stream</t>
  </si>
  <si>
    <t>Nonton streaming pertandingan seru Bhayangkara Presisi Lampung FC vs Borneo FC Samarinda - BRI Super League. Saksikan aksi-aksi terbaik dari tim yang bersaing ketat untuk meraih kemenangan. Dapatkan informasi lengkap mengenai jadwal pertandingan dan hasil pertandingan terbaru hanya di Vidio.</t>
  </si>
  <si>
    <t>f313946b</t>
  </si>
  <si>
    <t>016b16a7</t>
  </si>
  <si>
    <t>PERSIJAP vs Madura United FC - BRI Super League</t>
  </si>
  <si>
    <t>Persijap; madura united; sports stream</t>
  </si>
  <si>
    <t>Nonton streaming pertandingan seru PERSIJAP vs Madura United FC - BRI Super League. Saksikan aksi-aksi terbaik dari tim yang bersaing ketat untuk meraih kemenangan. Dapatkan informasi lengkap mengenai jadwal pertandingan dan hasil pertandingan terbaru hanya di Vidio.</t>
  </si>
  <si>
    <t>b6ab1a88</t>
  </si>
  <si>
    <t>Bali United FC vs PERSEBAYA Surabaya - BRI Super League</t>
  </si>
  <si>
    <t>Bali United; persebaya surabaya; sports stream</t>
  </si>
  <si>
    <t>Nonton streaming pertandingan seru Bali United FC vs PERSEBAYA Surabaya - BRI Super League. Saksikan aksi-aksi terbaik dari tim yang bersaing ketat untuk meraih kemenangan. Dapatkan informasi lengkap mengenai jadwal pertandingan dan hasil pertandingan terbaru hanya di Vidio.</t>
  </si>
  <si>
    <t>c494ff94</t>
  </si>
  <si>
    <t>Semen Padang FC vs PERSITA - BRI Super League</t>
  </si>
  <si>
    <t>semen padang; Persita Tangerang; sports stream</t>
  </si>
  <si>
    <t>Nonton streaming pertandingan seru Semen Padang FC vs PERSITA - BRI Super League. Saksikan aksi-aksi terbaik dari tim yang bersaing ketat untuk meraih kemenangan. Dapatkan informasi lengkap mengenai jadwal pertandingan dan hasil pertandingan terbaru hanya di Vidio.</t>
  </si>
  <si>
    <t>97f57a49</t>
  </si>
  <si>
    <t>PSBS Biak vs PSM Makassar - BRI Super League</t>
  </si>
  <si>
    <t>PSBS Biak Numfor; PSM Makassar; sports stream</t>
  </si>
  <si>
    <t>Nonton streaming pertandingan seru PSBS Biak vs PSM Makassar - BRI Super League. Saksikan aksi-aksi terbaik dari tim yang bersaing ketat untuk meraih kemenangan. Dapatkan informasi lengkap mengenai jadwal pertandingan dan hasil pertandingan terbaru hanya di Vidio.</t>
  </si>
  <si>
    <t>76daf22c</t>
  </si>
  <si>
    <t>PERSIJA vs Arema FC - BRI Super League</t>
  </si>
  <si>
    <t>PERSIJA Jakarta; arema fc; sports stream</t>
  </si>
  <si>
    <t>Nonton streaming pertandingan seru PERSIJA vs Arema FC - BRI Super League. Saksikan aksi-aksi terbaik dari tim yang bersaing ketat untuk meraih kemenangan. Dapatkan informasi lengkap mengenai jadwal pertandingan dan hasil pertandingan terbaru hanya di Vidio.</t>
  </si>
  <si>
    <t>fe6f24c6</t>
  </si>
  <si>
    <t>PERSIS vs Madura United FC - BRI Super League</t>
  </si>
  <si>
    <t>persis solo; madura united; sports stream</t>
  </si>
  <si>
    <t>Nonton streaming pertandingan seru PERSIS vs Madura United FC - BRI Super League. Saksikan aksi-aksi terbaik dari tim yang bersaing ketat untuk meraih kemenangan. Dapatkan informasi lengkap mengenai jadwal pertandingan dan hasil pertandingan terbaru hanya di Vidio.</t>
  </si>
  <si>
    <t>a28c814a</t>
  </si>
  <si>
    <t>PERSIK Kediri vs PSIM Jogja - BRI Super League</t>
  </si>
  <si>
    <t>persik kediri; psim yogyakarta; sports stream</t>
  </si>
  <si>
    <t>Nonton streaming pertandingan seru PERSIK Kediri vs PSIM Jogja - BRI Super League. Saksikan aksi-aksi terbaik dari tim yang bersaing ketat untuk meraih kemenangan. Dapatkan informasi lengkap mengenai jadwal pertandingan dan hasil pertandingan terbaru hanya di Vidio.</t>
  </si>
  <si>
    <t>e20d2ea3</t>
  </si>
  <si>
    <t>Malut United FC vs PERSIJAP - BRI Super League</t>
  </si>
  <si>
    <t>PUTRA DELTA SIDOARJO; Persijap; sports stream</t>
  </si>
  <si>
    <t>Nonton streaming pertandingan seru Malut United FC vs PERSIJAP - BRI Super League. Saksikan aksi-aksi terbaik dari tim yang bersaing ketat untuk meraih kemenangan. Dapatkan informasi lengkap mengenai jadwal pertandingan dan hasil pertandingan terbaru hanya di Vidio.</t>
  </si>
  <si>
    <t>44331574</t>
  </si>
  <si>
    <t>PSM Makassar vs Dewa United Banten FC - BRI Super League</t>
  </si>
  <si>
    <t>PSM Makassar; dewa united; sports stream</t>
  </si>
  <si>
    <t>Nonton streaming pertandingan seru PSM Makassar vs Dewa United Banten FC - BRI Super League. Saksikan aksi-aksi terbaik dari tim yang bersaing ketat untuk meraih kemenangan. Dapatkan informasi lengkap mengenai jadwal pertandingan dan hasil pertandingan terbaru hanya di Vidio.</t>
  </si>
  <si>
    <t>cab5e6e7</t>
  </si>
  <si>
    <t>PERSEBAYA Surabaya vs Bhayangkara Presisi Lampung FC - BRI Super League</t>
  </si>
  <si>
    <t>persebaya surabaya; bhayangkara fc; sports stream</t>
  </si>
  <si>
    <t>Nonton streaming pertandingan seru PERSEBAYA Surabaya vs Bhayangkara Presisi Lampung FC - BRI Super League. Saksikan aksi-aksi terbaik dari tim yang bersaing ketat untuk meraih kemenangan. Dapatkan informasi lengkap mengenai jadwal pertandingan dan hasil pertandingan terbaru hanya di Vidio.</t>
  </si>
  <si>
    <t>eaa3ef20</t>
  </si>
  <si>
    <t>Arema FC vs Semen Padang FC - BRI Super League</t>
  </si>
  <si>
    <t>arema fc; semen padang; sports stream</t>
  </si>
  <si>
    <t>Nonton streaming pertandingan seru Arema FC vs Semen Padang FC - BRI Super League. Saksikan aksi-aksi terbaik dari tim yang bersaing ketat untuk meraih kemenangan. Dapatkan informasi lengkap mengenai jadwal pertandingan dan hasil pertandingan terbaru hanya di Vidio.</t>
  </si>
  <si>
    <t>ab2504d5</t>
  </si>
  <si>
    <t>Bali United FC vs PERSIJA - BRI Super League</t>
  </si>
  <si>
    <t>Bali United; PERSIJA Jakarta; sports stream</t>
  </si>
  <si>
    <t>Nonton streaming pertandingan seru Bali United FC vs PERSIJA - BRI Super League. Saksikan aksi-aksi terbaik dari tim yang bersaing ketat untuk meraih kemenangan. Dapatkan informasi lengkap mengenai jadwal pertandingan dan hasil pertandingan terbaru hanya di Vidio.</t>
  </si>
  <si>
    <t>780fbd9c</t>
  </si>
  <si>
    <t>PERSITA vs PSBS Biak - BRI Super League</t>
  </si>
  <si>
    <t>Persita Tangerang; PSBS Biak Numfor; sports stream</t>
  </si>
  <si>
    <t>Nonton streaming pertandingan seru PERSITA vs PSBS Biak - BRI Super League. Saksikan aksi-aksi terbaik dari tim yang bersaing ketat untuk meraih kemenangan. Dapatkan informasi lengkap mengenai jadwal pertandingan dan hasil pertandingan terbaru hanya di Vidio.</t>
  </si>
  <si>
    <t>5103d052</t>
  </si>
  <si>
    <t>Borneo FC Samarinda vs PERSIB - BRI Super League</t>
  </si>
  <si>
    <t>borneo fc; persib bandung; sports stream</t>
  </si>
  <si>
    <t>Nonton streaming pertandingan seru Borneo FC Samarinda vs PERSIB - BRI Super League. Saksikan aksi-aksi terbaik dari tim yang bersaing ketat untuk meraih kemenangan. Dapatkan informasi lengkap mengenai jadwal pertandingan dan hasil pertandingan terbaru hanya di Vidio.</t>
  </si>
  <si>
    <t>761fdfc6</t>
  </si>
  <si>
    <t>PERSIK Kediri vs Bhayangkara Presisi Lampung FC - BRI Super League</t>
  </si>
  <si>
    <t>persik kediri; bhayangkara fc; sports stream</t>
  </si>
  <si>
    <t>Nonton streaming pertandingan seru PERSIK Kediri vs Bhayangkara Presisi Lampung FC - BRI Super League. Saksikan aksi-aksi terbaik dari tim yang bersaing ketat untuk meraih kemenangan. Dapatkan informasi lengkap mengenai jadwal pertandingan dan hasil pertandingan terbaru hanya di Vidio.</t>
  </si>
  <si>
    <t>f2ffaacf</t>
  </si>
  <si>
    <t>PERSIJA vs PSM Makassar - BRI Super League</t>
  </si>
  <si>
    <t>PERSIJA Jakarta; PSM Makassar; sports stream</t>
  </si>
  <si>
    <t>Nonton streaming pertandingan seru PERSIJA vs PSM Makassar - BRI Super League. Saksikan aksi-aksi terbaik dari tim yang bersaing ketat untuk meraih kemenangan. Dapatkan informasi lengkap mengenai jadwal pertandingan dan hasil pertandingan terbaru hanya di Vidio.</t>
  </si>
  <si>
    <t>09c2d32b</t>
  </si>
  <si>
    <t>Semen Padang FC vs Malut United FC - BRI Super League</t>
  </si>
  <si>
    <t>semen padang; PUTRA DELTA SIDOARJO; sports stream</t>
  </si>
  <si>
    <t>Nonton streaming pertandingan seru Semen Padang FC vs Malut United FC - BRI Super League. Saksikan aksi-aksi terbaik dari tim yang bersaing ketat untuk meraih kemenangan. Dapatkan informasi lengkap mengenai jadwal pertandingan dan hasil pertandingan terbaru hanya di Vidio.</t>
  </si>
  <si>
    <t>08fb3a9b</t>
  </si>
  <si>
    <t>PERSIJAP vs PERSEBAYA Surabaya - BRI Super League</t>
  </si>
  <si>
    <t>Persijap; persebaya surabaya; sports stream</t>
  </si>
  <si>
    <t>Nonton streaming pertandingan seru PERSIJAP vs PERSEBAYA Surabaya - BRI Super League. Saksikan aksi-aksi terbaik dari tim yang bersaing ketat untuk meraih kemenangan. Dapatkan informasi lengkap mengenai jadwal pertandingan dan hasil pertandingan terbaru hanya di Vidio.</t>
  </si>
  <si>
    <t>2e90d130</t>
  </si>
  <si>
    <t>Madura United FC vs Arema FC - BRI Super League</t>
  </si>
  <si>
    <t>madura united; arema fc; sports stream</t>
  </si>
  <si>
    <t>Nonton streaming pertandingan seru Madura United FC vs Arema FC - BRI Super League. Saksikan aksi-aksi terbaik dari tim yang bersaing ketat untuk meraih kemenangan. Dapatkan informasi lengkap mengenai jadwal pertandingan dan hasil pertandingan terbaru hanya di Vidio.</t>
  </si>
  <si>
    <t>ca80bc52</t>
  </si>
  <si>
    <t>4ffc4485</t>
  </si>
  <si>
    <t>Dewa United Banten FC vs Borneo FC Samarinda - BRI Super League</t>
  </si>
  <si>
    <t>dewa united; borneo fc; sports stream</t>
  </si>
  <si>
    <t>Nonton streaming pertandingan seru Dewa United Banten FC vs Borneo FC Samarinda - BRI Super League. Saksikan aksi-aksi terbaik dari tim yang bersaing ketat untuk meraih kemenangan. Dapatkan informasi lengkap mengenai jadwal pertandingan dan hasil pertandingan terbaru hanya di Vidio.</t>
  </si>
  <si>
    <t>33bd604d</t>
  </si>
  <si>
    <t>PERSIB vs PERSITA - BRI Super League</t>
  </si>
  <si>
    <t>persib bandung; Persita Tangerang; sports stream</t>
  </si>
  <si>
    <t>Nonton streaming pertandingan seru PERSIB vs PERSITA - BRI Super League. Saksikan aksi-aksi terbaik dari tim yang bersaing ketat untuk meraih kemenangan. Dapatkan informasi lengkap mengenai jadwal pertandingan dan hasil pertandingan terbaru hanya di Vidio.</t>
  </si>
  <si>
    <t>9cd11bff</t>
  </si>
  <si>
    <t>PSIM Jogja vs Bali United FC - BRI Super League</t>
  </si>
  <si>
    <t>psim yogyakarta; Bali United; sports stream</t>
  </si>
  <si>
    <t>Nonton streaming pertandingan seru PSIM Jogja vs Bali United FC - BRI Super League. Saksikan aksi-aksi terbaik dari tim yang bersaing ketat untuk meraih kemenangan. Dapatkan informasi lengkap mengenai jadwal pertandingan dan hasil pertandingan terbaru hanya di Vidio.</t>
  </si>
  <si>
    <t>82dca836</t>
  </si>
  <si>
    <t>Malut United FC vs PERSIJA - BRI Super League</t>
  </si>
  <si>
    <t>PUTRA DELTA SIDOARJO; PERSIJA Jakarta; sports stream</t>
  </si>
  <si>
    <t>Nonton streaming pertandingan seru Malut United FC vs PERSIJA - BRI Super League. Saksikan aksi-aksi terbaik dari tim yang bersaing ketat untuk meraih kemenangan. Dapatkan informasi lengkap mengenai jadwal pertandingan dan hasil pertandingan terbaru hanya di Vidio.</t>
  </si>
  <si>
    <t>c85cc032</t>
  </si>
  <si>
    <t>Bhayangkara Presisi Lampung FC vs Semen Padang FC - BRI Super League</t>
  </si>
  <si>
    <t>bhayangkara fc; semen padang; sports stream</t>
  </si>
  <si>
    <t>Nonton streaming pertandingan seru Bhayangkara Presisi Lampung FC vs Semen Padang FC - BRI Super League. Saksikan aksi-aksi terbaik dari tim yang bersaing ketat untuk meraih kemenangan. Dapatkan informasi lengkap mengenai jadwal pertandingan dan hasil pertandingan terbaru hanya di Vidio.</t>
  </si>
  <si>
    <t>ee83c07b</t>
  </si>
  <si>
    <t>PERSEBAYA Surabaya vs PSM Makassar - BRI Super League</t>
  </si>
  <si>
    <t>Nonton streaming pertandingan seru PERSEBAYA Surabaya vs PSM Makassar - BRI Super League. Saksikan aksi-aksi terbaik dari tim yang bersaing ketat untuk meraih kemenangan. Dapatkan informasi lengkap mengenai jadwal pertandingan dan hasil pertandingan terbaru hanya di Vidio.</t>
  </si>
  <si>
    <t>17c34068</t>
  </si>
  <si>
    <t>PERSITA vs Dewa United Banten FC - BRI Super League</t>
  </si>
  <si>
    <t>Persita Tangerang; dewa united; sports stream</t>
  </si>
  <si>
    <t>Nonton streaming pertandingan seru PERSITA vs Dewa United Banten FC - BRI Super League. Saksikan aksi-aksi terbaik dari tim yang bersaing ketat untuk meraih kemenangan. Dapatkan informasi lengkap mengenai jadwal pertandingan dan hasil pertandingan terbaru hanya di Vidio.</t>
  </si>
  <si>
    <t>12a98d05</t>
  </si>
  <si>
    <t>PERSIB vs Madura United FC - BRI Super League</t>
  </si>
  <si>
    <t>persib bandung; madura united; sports stream</t>
  </si>
  <si>
    <t>Nonton streaming pertandingan seru PERSIB vs Madura United FC - BRI Super League. Saksikan aksi-aksi terbaik dari tim yang bersaing ketat untuk meraih kemenangan. Dapatkan informasi lengkap mengenai jadwal pertandingan dan hasil pertandingan terbaru hanya di Vidio.</t>
  </si>
  <si>
    <t>103de872</t>
  </si>
  <si>
    <t>Borneo FC Samarinda vs Arema FC - BRI Super League</t>
  </si>
  <si>
    <t>borneo fc; arema fc; sports stream</t>
  </si>
  <si>
    <t>Nonton streaming pertandingan seru Borneo FC Samarinda vs Arema FC - BRI Super League. Saksikan aksi-aksi terbaik dari tim yang bersaing ketat untuk meraih kemenangan. Dapatkan informasi lengkap mengenai jadwal pertandingan dan hasil pertandingan terbaru hanya di Vidio.</t>
  </si>
  <si>
    <t>911800dc</t>
  </si>
  <si>
    <t>PSBS Biak vs PSIM Jogja - BRI Super League</t>
  </si>
  <si>
    <t>PSBS Biak Numfor; psim yogyakarta; sports stream</t>
  </si>
  <si>
    <t>Nonton streaming pertandingan seru PSBS Biak vs PSIM Jogja - BRI Super League. Saksikan aksi-aksi terbaik dari tim yang bersaing ketat untuk meraih kemenangan. Dapatkan informasi lengkap mengenai jadwal pertandingan dan hasil pertandingan terbaru hanya di Vidio.</t>
  </si>
  <si>
    <t>9ef3d670</t>
  </si>
  <si>
    <t>Bali United FC vs PERSIJAP - BRI Super League</t>
  </si>
  <si>
    <t>Bali United; Persijap; sports stream</t>
  </si>
  <si>
    <t>Nonton streaming pertandingan seru Bali United FC vs PERSIJAP - BRI Super League. Saksikan aksi-aksi terbaik dari tim yang bersaing ketat untuk meraih kemenangan. Dapatkan informasi lengkap mengenai jadwal pertandingan dan hasil pertandingan terbaru hanya di Vidio.</t>
  </si>
  <si>
    <t>c558ea92</t>
  </si>
  <si>
    <t>PERSIS vs PERSIK Kediri - BRI Super League</t>
  </si>
  <si>
    <t>persis solo; persik kediri; sports stream</t>
  </si>
  <si>
    <t>Nonton streaming pertandingan seru PERSIS vs PERSIK Kediri - BRI Super League. Saksikan aksi-aksi terbaik dari tim yang bersaing ketat untuk meraih kemenangan. Dapatkan informasi lengkap mengenai jadwal pertandingan dan hasil pertandingan terbaru hanya di Vidio.</t>
  </si>
  <si>
    <t>aa33830e</t>
  </si>
  <si>
    <t>Dewa United Banten FC vs Bhayangkara Presisi Lampung FC - BRI Super League</t>
  </si>
  <si>
    <t>dewa united; bhayangkara fc; sports stream</t>
  </si>
  <si>
    <t>Nonton streaming pertandingan seru Dewa United Banten FC vs Bhayangkara Presisi Lampung FC - BRI Super League. Saksikan aksi-aksi terbaik dari tim yang bersaing ketat untuk meraih kemenangan. Dapatkan informasi lengkap mengenai jadwal pertandingan dan hasil pertandingan terbaru hanya di Vidio.</t>
  </si>
  <si>
    <t>ddda3932</t>
  </si>
  <si>
    <t>PSM Makassar vs PERSITA - BRI Super League</t>
  </si>
  <si>
    <t>PSM Makassar; Persita Tangerang; sports stream</t>
  </si>
  <si>
    <t>Nonton streaming pertandingan seru PSM Makassar vs PERSITA - BRI Super League. Saksikan aksi-aksi terbaik dari tim yang bersaing ketat untuk meraih kemenangan. Dapatkan informasi lengkap mengenai jadwal pertandingan dan hasil pertandingan terbaru hanya di Vidio.</t>
  </si>
  <si>
    <t>c6d618b2</t>
  </si>
  <si>
    <t>PERSEBAYA Surabaya vs PERSIB - BRI Super League</t>
  </si>
  <si>
    <t>persebaya surabaya; persib bandung; sports stream</t>
  </si>
  <si>
    <t>Nonton streaming pertandingan seru PERSEBAYA Surabaya vs PERSIB - BRI Super League. Saksikan aksi-aksi terbaik dari tim yang bersaing ketat untuk meraih kemenangan. Dapatkan informasi lengkap mengenai jadwal pertandingan dan hasil pertandingan terbaru hanya di Vidio.</t>
  </si>
  <si>
    <t>45defcf0</t>
  </si>
  <si>
    <t>Madura United FC vs Malut United FC - BRI Super League</t>
  </si>
  <si>
    <t>madura united; PUTRA DELTA SIDOARJO; sports stream</t>
  </si>
  <si>
    <t>Nonton streaming pertandingan seru Madura United FC vs Malut United FC - BRI Super League. Saksikan aksi-aksi terbaik dari tim yang bersaing ketat untuk meraih kemenangan. Dapatkan informasi lengkap mengenai jadwal pertandingan dan hasil pertandingan terbaru hanya di Vidio.</t>
  </si>
  <si>
    <t>90048139</t>
  </si>
  <si>
    <t>PERSIJA vs Borneo FC Samarinda - BRI Super League</t>
  </si>
  <si>
    <t>PERSIJA Jakarta; borneo fc; sports stream</t>
  </si>
  <si>
    <t>Nonton streaming pertandingan seru PERSIJA vs Borneo FC Samarinda - BRI Super League. Saksikan aksi-aksi terbaik dari tim yang bersaing ketat untuk meraih kemenangan. Dapatkan informasi lengkap mengenai jadwal pertandingan dan hasil pertandingan terbaru hanya di Vidio.</t>
  </si>
  <si>
    <t>da885fbe</t>
  </si>
  <si>
    <t>Semen Padang FC vs PSIM Jogja - BRI Super League</t>
  </si>
  <si>
    <t>semen padang; psim yogyakarta; sports stream</t>
  </si>
  <si>
    <t>Nonton streaming pertandingan seru Semen Padang FC vs PSIM Jogja - BRI Super League. Saksikan aksi-aksi terbaik dari tim yang bersaing ketat untuk meraih kemenangan. Dapatkan informasi lengkap mengenai jadwal pertandingan dan hasil pertandingan terbaru hanya di Vidio.</t>
  </si>
  <si>
    <t>d3050a02</t>
  </si>
  <si>
    <t>PERSIK Kediri vs PSBS Biak - BRI Super League</t>
  </si>
  <si>
    <t>persik kediri; PSBS Biak Numfor; sports stream</t>
  </si>
  <si>
    <t>Nonton streaming pertandingan seru PERSIK Kediri vs PSBS Biak - BRI Super League. Saksikan aksi-aksi terbaik dari tim yang bersaing ketat untuk meraih kemenangan. Dapatkan informasi lengkap mengenai jadwal pertandingan dan hasil pertandingan terbaru hanya di Vidio.</t>
  </si>
  <si>
    <t>66f71d56</t>
  </si>
  <si>
    <t>PERSIJAP vs PERSIS - BRI Super League</t>
  </si>
  <si>
    <t>Persijap; persis solo; sports stream</t>
  </si>
  <si>
    <t>Nonton streaming pertandingan seru PERSIJAP vs PERSIS - BRI Super League. Saksikan aksi-aksi terbaik dari tim yang bersaing ketat untuk meraih kemenangan. Dapatkan informasi lengkap mengenai jadwal pertandingan dan hasil pertandingan terbaru hanya di Vidio.</t>
  </si>
  <si>
    <t>76353daf</t>
  </si>
  <si>
    <t>Arema FC vs Bali United FC - BRI Super League</t>
  </si>
  <si>
    <t>arema fc; Bali United; sports stream</t>
  </si>
  <si>
    <t>Nonton streaming pertandingan seru Arema FC vs Bali United FC - BRI Super League. Saksikan aksi-aksi terbaik dari tim yang bersaing ketat untuk meraih kemenangan. Dapatkan informasi lengkap mengenai jadwal pertandingan dan hasil pertandingan terbaru hanya di Vidio.</t>
  </si>
  <si>
    <t>2aeb1620</t>
  </si>
  <si>
    <t>Malut United FC vs PSM Makassar - BRI Super League</t>
  </si>
  <si>
    <t>PUTRA DELTA SIDOARJO; PSM Makassar; sports stream</t>
  </si>
  <si>
    <t>Nonton streaming pertandingan seru Malut United FC vs PSM Makassar - BRI Super League. Saksikan aksi-aksi terbaik dari tim yang bersaing ketat untuk meraih kemenangan. Dapatkan informasi lengkap mengenai jadwal pertandingan dan hasil pertandingan terbaru hanya di Vidio.</t>
  </si>
  <si>
    <t>03a05e3d</t>
  </si>
  <si>
    <t>Borneo FC Samarinda vs PERSEBAYA Surabaya - BRI Super League</t>
  </si>
  <si>
    <t>borneo fc; persebaya surabaya; sports stream</t>
  </si>
  <si>
    <t>Nonton streaming pertandingan seru Borneo FC Samarinda vs PERSEBAYA Surabaya - BRI Super League. Saksikan aksi-aksi terbaik dari tim yang bersaing ketat untuk meraih kemenangan. Dapatkan informasi lengkap mengenai jadwal pertandingan dan hasil pertandingan terbaru hanya di Vidio.</t>
  </si>
  <si>
    <t>92117bdc</t>
  </si>
  <si>
    <t>PERSITA vs Madura United FC - BRI Super League</t>
  </si>
  <si>
    <t>Persita Tangerang; madura united; sports stream</t>
  </si>
  <si>
    <t>Nonton streaming pertandingan seru PERSITA vs Madura United FC - BRI Super League. Saksikan aksi-aksi terbaik dari tim yang bersaing ketat untuk meraih kemenangan. Dapatkan informasi lengkap mengenai jadwal pertandingan dan hasil pertandingan terbaru hanya di Vidio.</t>
  </si>
  <si>
    <t>bac0c42e</t>
  </si>
  <si>
    <t>PERSIJA vs Dewa United Banten FC - BRI Super League</t>
  </si>
  <si>
    <t>PERSIJA Jakarta; dewa united; sports stream</t>
  </si>
  <si>
    <t>Nonton streaming pertandingan seru PERSIJA vs Dewa United Banten FC - BRI Super League. Saksikan aksi-aksi terbaik dari tim yang bersaing ketat untuk meraih kemenangan. Dapatkan informasi lengkap mengenai jadwal pertandingan dan hasil pertandingan terbaru hanya di Vidio.</t>
  </si>
  <si>
    <t>5bc31b70</t>
  </si>
  <si>
    <t>PERSIB vs PERSIK Kediri - BRI Super League</t>
  </si>
  <si>
    <t>persib bandung; persik kediri; sports stream</t>
  </si>
  <si>
    <t>Nonton streaming pertandingan seru PERSIB vs PERSIK Kediri - BRI Super League. Saksikan aksi-aksi terbaik dari tim yang bersaing ketat untuk meraih kemenangan. Dapatkan informasi lengkap mengenai jadwal pertandingan dan hasil pertandingan terbaru hanya di Vidio.</t>
  </si>
  <si>
    <t>b72f3229</t>
  </si>
  <si>
    <t>PSBS Biak vs Semen Padang FC - BRI Super League</t>
  </si>
  <si>
    <t>PSBS Biak Numfor; semen padang; sports stream</t>
  </si>
  <si>
    <t>Nonton streaming pertandingan seru PSBS Biak vs Semen Padang FC - BRI Super League. Saksikan aksi-aksi terbaik dari tim yang bersaing ketat untuk meraih kemenangan. Dapatkan informasi lengkap mengenai jadwal pertandingan dan hasil pertandingan terbaru hanya di Vidio.</t>
  </si>
  <si>
    <t>1e9a2a82</t>
  </si>
  <si>
    <t>Bhayangkara Presisi Lampung FC vs Arema FC - BRI Super League</t>
  </si>
  <si>
    <t>bhayangkara fc; arema fc; sports stream</t>
  </si>
  <si>
    <t>Nonton streaming pertandingan seru Bhayangkara Presisi Lampung FC vs Arema FC - BRI Super League. Saksikan aksi-aksi terbaik dari tim yang bersaing ketat untuk meraih kemenangan. Dapatkan informasi lengkap mengenai jadwal pertandingan dan hasil pertandingan terbaru hanya di Vidio.</t>
  </si>
  <si>
    <t>6015c0dd</t>
  </si>
  <si>
    <t>PSIM Jogja vs PERSIJAP - BRI Super League</t>
  </si>
  <si>
    <t>psim yogyakarta; Persijap; sports stream</t>
  </si>
  <si>
    <t>Nonton streaming pertandingan seru PSIM Jogja vs PERSIJAP - BRI Super League. Saksikan aksi-aksi terbaik dari tim yang bersaing ketat untuk meraih kemenangan. Dapatkan informasi lengkap mengenai jadwal pertandingan dan hasil pertandingan terbaru hanya di Vidio.</t>
  </si>
  <si>
    <t>d67eaa43</t>
  </si>
  <si>
    <t>PERSIS vs Bali United FC - BRI Super League</t>
  </si>
  <si>
    <t>persis solo; Bali United; sports stream</t>
  </si>
  <si>
    <t>Nonton streaming pertandingan seru PERSIS vs Bali United FC - BRI Super League. Saksikan aksi-aksi terbaik dari tim yang bersaing ketat untuk meraih kemenangan. Dapatkan informasi lengkap mengenai jadwal pertandingan dan hasil pertandingan terbaru hanya di Vidio.</t>
  </si>
  <si>
    <t>113b55e0</t>
  </si>
  <si>
    <t>Arema FC vs Malut United FC - BRI Super League</t>
  </si>
  <si>
    <t>arema fc; PUTRA DELTA SIDOARJO; sports stream</t>
  </si>
  <si>
    <t>Nonton streaming pertandingan seru Arema FC vs Malut United FC - BRI Super League. Saksikan aksi-aksi terbaik dari tim yang bersaing ketat untuk meraih kemenangan. Dapatkan informasi lengkap mengenai jadwal pertandingan dan hasil pertandingan terbaru hanya di Vidio.</t>
  </si>
  <si>
    <t>34b70ca0</t>
  </si>
  <si>
    <t>Dewa United Banten FC vs PSIM Jogja - BRI Super League</t>
  </si>
  <si>
    <t>dewa united; psim yogyakarta; sports stream</t>
  </si>
  <si>
    <t>Nonton streaming pertandingan seru Dewa United Banten FC vs PSIM Jogja - BRI Super League. Saksikan aksi-aksi terbaik dari tim yang bersaing ketat untuk meraih kemenangan. Dapatkan informasi lengkap mengenai jadwal pertandingan dan hasil pertandingan terbaru hanya di Vidio.</t>
  </si>
  <si>
    <t>640097af</t>
  </si>
  <si>
    <t>PSM Makassar vs PERSIS - BRI Super League</t>
  </si>
  <si>
    <t>PSM Makassar; persis solo; sports stream</t>
  </si>
  <si>
    <t>Nonton streaming pertandingan seru PSM Makassar vs PERSIS - BRI Super League. Saksikan aksi-aksi terbaik dari tim yang bersaing ketat untuk meraih kemenangan. Dapatkan informasi lengkap mengenai jadwal pertandingan dan hasil pertandingan terbaru hanya di Vidio.</t>
  </si>
  <si>
    <t>7f2c78ea</t>
  </si>
  <si>
    <t>PERSEBAYA Surabaya vs PERSITA - BRI Super League</t>
  </si>
  <si>
    <t>persebaya surabaya; Persita Tangerang; sports stream</t>
  </si>
  <si>
    <t>Nonton streaming pertandingan seru PERSEBAYA Surabaya vs PERSITA - BRI Super League. Saksikan aksi-aksi terbaik dari tim yang bersaing ketat untuk meraih kemenangan. Dapatkan informasi lengkap mengenai jadwal pertandingan dan hasil pertandingan terbaru hanya di Vidio.</t>
  </si>
  <si>
    <t>2888c600</t>
  </si>
  <si>
    <t>Bhayangkara Presisi Lampung FC vs PERSIJA - BRI Super League</t>
  </si>
  <si>
    <t>bhayangkara fc; PERSIJA Jakarta; sports stream</t>
  </si>
  <si>
    <t>Nonton streaming pertandingan seru Bhayangkara Presisi Lampung FC vs PERSIJA - BRI Super League. Saksikan aksi-aksi terbaik dari tim yang bersaing ketat untuk meraih kemenangan. Dapatkan informasi lengkap mengenai jadwal pertandingan dan hasil pertandingan terbaru hanya di Vidio.</t>
  </si>
  <si>
    <t>ea8f1e8c</t>
  </si>
  <si>
    <t>Madura United FC vs Borneo FC Samarinda - BRI Super League</t>
  </si>
  <si>
    <t>madura united; borneo fc; sports stream</t>
  </si>
  <si>
    <t>Nonton streaming pertandingan seru Madura United FC vs Borneo FC Samarinda - BRI Super League. Saksikan aksi-aksi terbaik dari tim yang bersaing ketat untuk meraih kemenangan. Dapatkan informasi lengkap mengenai jadwal pertandingan dan hasil pertandingan terbaru hanya di Vidio.</t>
  </si>
  <si>
    <t>020212cb</t>
  </si>
  <si>
    <t>Semen Padang FC vs PERSIB - BRI Super League</t>
  </si>
  <si>
    <t>semen padang; persib bandung; sports stream</t>
  </si>
  <si>
    <t>Nonton streaming pertandingan seru Semen Padang FC vs PERSIB - BRI Super League. Saksikan aksi-aksi terbaik dari tim yang bersaing ketat untuk meraih kemenangan. Dapatkan informasi lengkap mengenai jadwal pertandingan dan hasil pertandingan terbaru hanya di Vidio.</t>
  </si>
  <si>
    <t>58acc082</t>
  </si>
  <si>
    <t>PERSIK Kediri vs PERSIJAP - BRI Super League</t>
  </si>
  <si>
    <t>persik kediri; Persijap; sports stream</t>
  </si>
  <si>
    <t>Nonton streaming pertandingan seru PERSIK Kediri vs PERSIJAP - BRI Super League. Saksikan aksi-aksi terbaik dari tim yang bersaing ketat untuk meraih kemenangan. Dapatkan informasi lengkap mengenai jadwal pertandingan dan hasil pertandingan terbaru hanya di Vidio.</t>
  </si>
  <si>
    <t>b047fbf1</t>
  </si>
  <si>
    <t>Bali United FC vs PSBS Biak - BRI Super League</t>
  </si>
  <si>
    <t>Bali United; PSBS Biak Numfor; sports stream</t>
  </si>
  <si>
    <t>Nonton streaming pertandingan seru Bali United FC vs PSBS Biak - BRI Super League. Saksikan aksi-aksi terbaik dari tim yang bersaing ketat untuk meraih kemenangan. Dapatkan informasi lengkap mengenai jadwal pertandingan dan hasil pertandingan terbaru hanya di Vidio.</t>
  </si>
  <si>
    <t>ae8c3180</t>
  </si>
  <si>
    <t>PSIM Jogja vs PSM Makassar - BRI Super League</t>
  </si>
  <si>
    <t>psim yogyakarta; PSM Makassar; sports stream</t>
  </si>
  <si>
    <t>Nonton streaming pertandingan seru PSIM Jogja vs PSM Makassar - BRI Super League. Saksikan aksi-aksi terbaik dari tim yang bersaing ketat untuk meraih kemenangan. Dapatkan informasi lengkap mengenai jadwal pertandingan dan hasil pertandingan terbaru hanya di Vidio.</t>
  </si>
  <si>
    <t>0d872339</t>
  </si>
  <si>
    <t>PERSITA vs Arema FC - BRI Super League</t>
  </si>
  <si>
    <t>Persita Tangerang; arema fc; sports stream</t>
  </si>
  <si>
    <t>Nonton streaming pertandingan seru PERSITA vs Arema FC - BRI Super League. Saksikan aksi-aksi terbaik dari tim yang bersaing ketat untuk meraih kemenangan. Dapatkan informasi lengkap mengenai jadwal pertandingan dan hasil pertandingan terbaru hanya di Vidio.</t>
  </si>
  <si>
    <t>f388c437</t>
  </si>
  <si>
    <t>Borneo FC Samarinda vs PSBS Biak - BRI Super League</t>
  </si>
  <si>
    <t>borneo fc; PSBS Biak Numfor; sports stream</t>
  </si>
  <si>
    <t>Nonton streaming pertandingan seru Borneo FC Samarinda vs PSBS Biak - BRI Super League. Saksikan aksi-aksi terbaik dari tim yang bersaing ketat untuk meraih kemenangan. Dapatkan informasi lengkap mengenai jadwal pertandingan dan hasil pertandingan terbaru hanya di Vidio.</t>
  </si>
  <si>
    <t>cb965289</t>
  </si>
  <si>
    <t>PERSIJAP vs Bhayangkara Presisi Lampung FC - BRI Super League</t>
  </si>
  <si>
    <t>Persijap; bhayangkara fc; sports stream</t>
  </si>
  <si>
    <t>Nonton streaming pertandingan seru PERSIJAP vs Bhayangkara Presisi Lampung FC - BRI Super League. Saksikan aksi-aksi terbaik dari tim yang bersaing ketat untuk meraih kemenangan. Dapatkan informasi lengkap mengenai jadwal pertandingan dan hasil pertandingan terbaru hanya di Vidio.</t>
  </si>
  <si>
    <t>28754d09</t>
  </si>
  <si>
    <t>PERSIJA vs PERSEBAYA Surabaya - BRI Super League</t>
  </si>
  <si>
    <t>PERSIJA Jakarta; persebaya surabaya; sports stream</t>
  </si>
  <si>
    <t>Nonton streaming pertandingan seru PERSIJA vs PERSEBAYA Surabaya - BRI Super League. Saksikan aksi-aksi terbaik dari tim yang bersaing ketat untuk meraih kemenangan. Dapatkan informasi lengkap mengenai jadwal pertandingan dan hasil pertandingan terbaru hanya di Vidio.</t>
  </si>
  <si>
    <t>deab660a</t>
  </si>
  <si>
    <t>Madura United FC vs PERSIK Kediri - BRI Super League</t>
  </si>
  <si>
    <t>madura united; persik kediri; sports stream</t>
  </si>
  <si>
    <t>Nonton streaming pertandingan seru Madura United FC vs PERSIK Kediri - BRI Super League. Saksikan aksi-aksi terbaik dari tim yang bersaing ketat untuk meraih kemenangan. Dapatkan informasi lengkap mengenai jadwal pertandingan dan hasil pertandingan terbaru hanya di Vidio.</t>
  </si>
  <si>
    <t>ef2b4d91</t>
  </si>
  <si>
    <t>PERSIS vs Semen Padang FC - BRI Super League</t>
  </si>
  <si>
    <t>persis solo; semen padang; sports stream</t>
  </si>
  <si>
    <t>Nonton streaming pertandingan seru PERSIS vs Semen Padang FC - BRI Super League. Saksikan aksi-aksi terbaik dari tim yang bersaing ketat untuk meraih kemenangan. Dapatkan informasi lengkap mengenai jadwal pertandingan dan hasil pertandingan terbaru hanya di Vidio.</t>
  </si>
  <si>
    <t>58181dbf</t>
  </si>
  <si>
    <t>Malut United FC vs Dewa United Banten FC - BRI Super League</t>
  </si>
  <si>
    <t>PUTRA DELTA SIDOARJO; dewa united; sports stream</t>
  </si>
  <si>
    <t>Nonton streaming pertandingan seru Malut United FC vs Dewa United Banten FC - BRI Super League. Saksikan aksi-aksi terbaik dari tim yang bersaing ketat untuk meraih kemenangan. Dapatkan informasi lengkap mengenai jadwal pertandingan dan hasil pertandingan terbaru hanya di Vidio.</t>
  </si>
  <si>
    <t>e3a7ddfe</t>
  </si>
  <si>
    <t>PERSIB vs Bali United FC - BRI Super League</t>
  </si>
  <si>
    <t>persib bandung; Bali United; sports stream</t>
  </si>
  <si>
    <t>Nonton streaming pertandingan seru PERSIB vs Bali United FC - BRI Super League. Saksikan aksi-aksi terbaik dari tim yang bersaing ketat untuk meraih kemenangan. Dapatkan informasi lengkap mengenai jadwal pertandingan dan hasil pertandingan terbaru hanya di Vidio.</t>
  </si>
  <si>
    <t>9bdcba11</t>
  </si>
  <si>
    <t>Bhayangkara Presisi Lampung FC vs PSIM Jogja - BRI Super League</t>
  </si>
  <si>
    <t>bhayangkara fc; psim yogyakarta; sports stream</t>
  </si>
  <si>
    <t>Nonton streaming pertandingan seru Bhayangkara Presisi Lampung FC vs PSIM Jogja - BRI Super League. Saksikan aksi-aksi terbaik dari tim yang bersaing ketat untuk meraih kemenangan. Dapatkan informasi lengkap mengenai jadwal pertandingan dan hasil pertandingan terbaru hanya di Vidio.</t>
  </si>
  <si>
    <t>5b8ebebc</t>
  </si>
  <si>
    <t>PERSEBAYA Surabaya vs Madura United FC - BRI Super League</t>
  </si>
  <si>
    <t>persebaya surabaya; madura united; sports stream</t>
  </si>
  <si>
    <t>Nonton streaming pertandingan seru PERSEBAYA Surabaya vs Madura United FC - BRI Super League. Saksikan aksi-aksi terbaik dari tim yang bersaing ketat untuk meraih kemenangan. Dapatkan informasi lengkap mengenai jadwal pertandingan dan hasil pertandingan terbaru hanya di Vidio.</t>
  </si>
  <si>
    <t>ec49c893</t>
  </si>
  <si>
    <t>Arema FC vs PERSIS - BRI Super League</t>
  </si>
  <si>
    <t>arema fc; persis solo; sports stream</t>
  </si>
  <si>
    <t>Nonton streaming pertandingan seru Arema FC vs PERSIS - BRI Super League. Saksikan aksi-aksi terbaik dari tim yang bersaing ketat untuk meraih kemenangan. Dapatkan informasi lengkap mengenai jadwal pertandingan dan hasil pertandingan terbaru hanya di Vidio.</t>
  </si>
  <si>
    <t>bb446ba8</t>
  </si>
  <si>
    <t>PSM Makassar vs Borneo FC Samarinda - BRI Super League</t>
  </si>
  <si>
    <t>PSM Makassar; borneo fc; sports stream</t>
  </si>
  <si>
    <t>Nonton streaming pertandingan seru PSM Makassar vs Borneo FC Samarinda - BRI Super League. Saksikan aksi-aksi terbaik dari tim yang bersaing ketat untuk meraih kemenangan. Dapatkan informasi lengkap mengenai jadwal pertandingan dan hasil pertandingan terbaru hanya di Vidio.</t>
  </si>
  <si>
    <t>41f93d04</t>
  </si>
  <si>
    <t>PSBS Biak vs PERSIJA - BRI Super League</t>
  </si>
  <si>
    <t>PSBS Biak Numfor; PERSIJA Jakarta; sports stream</t>
  </si>
  <si>
    <t>Nonton streaming pertandingan seru PSBS Biak vs PERSIJA - BRI Super League. Saksikan aksi-aksi terbaik dari tim yang bersaing ketat untuk meraih kemenangan. Dapatkan informasi lengkap mengenai jadwal pertandingan dan hasil pertandingan terbaru hanya di Vidio.</t>
  </si>
  <si>
    <t>81cce229</t>
  </si>
  <si>
    <t>PERSIK Kediri vs PERSITA - BRI Super League</t>
  </si>
  <si>
    <t>persik kediri; Persita Tangerang; sports stream</t>
  </si>
  <si>
    <t>Nonton streaming pertandingan seru PERSIK Kediri vs PERSITA - BRI Super League. Saksikan aksi-aksi terbaik dari tim yang bersaing ketat untuk meraih kemenangan. Dapatkan informasi lengkap mengenai jadwal pertandingan dan hasil pertandingan terbaru hanya di Vidio.</t>
  </si>
  <si>
    <t>1944ebfe</t>
  </si>
  <si>
    <t>Bali United FC vs Malut United FC - BRI Super League</t>
  </si>
  <si>
    <t>Bali United; PUTRA DELTA SIDOARJO; sports stream</t>
  </si>
  <si>
    <t>Nonton streaming pertandingan seru Bali United FC vs Malut United FC - BRI Super League. Saksikan aksi-aksi terbaik dari tim yang bersaing ketat untuk meraih kemenangan. Dapatkan informasi lengkap mengenai jadwal pertandingan dan hasil pertandingan terbaru hanya di Vidio.</t>
  </si>
  <si>
    <t>19315eca</t>
  </si>
  <si>
    <t>Semen Padang FC vs PERSIJAP - BRI Super League</t>
  </si>
  <si>
    <t>semen padang; Persijap; sports stream</t>
  </si>
  <si>
    <t>Nonton streaming pertandingan seru Semen Padang FC vs PERSIJAP - BRI Super League. Saksikan aksi-aksi terbaik dari tim yang bersaing ketat untuk meraih kemenangan. Dapatkan informasi lengkap mengenai jadwal pertandingan dan hasil pertandingan terbaru hanya di Vidio.</t>
  </si>
  <si>
    <t>3b6d5ba3</t>
  </si>
  <si>
    <t>Dewa United Banten FC vs PERSIB - BRI Super League</t>
  </si>
  <si>
    <t>dewa united; persib bandung; sports stream</t>
  </si>
  <si>
    <t>Nonton streaming pertandingan seru Dewa United Banten FC vs PERSIB - BRI Super League. Saksikan aksi-aksi terbaik dari tim yang bersaing ketat untuk meraih kemenangan. Dapatkan informasi lengkap mengenai jadwal pertandingan dan hasil pertandingan terbaru hanya di Vidio.</t>
  </si>
  <si>
    <t>db9f0177</t>
  </si>
  <si>
    <t>PERSIS vs Bhayangkara Presisi Lampung FC - BRI Super League</t>
  </si>
  <si>
    <t>persis solo; bhayangkara fc; sports stream</t>
  </si>
  <si>
    <t>Nonton streaming pertandingan seru PERSIS vs Bhayangkara Presisi Lampung FC - BRI Super League. Saksikan aksi-aksi terbaik dari tim yang bersaing ketat untuk meraih kemenangan. Dapatkan informasi lengkap mengenai jadwal pertandingan dan hasil pertandingan terbaru hanya di Vidio.</t>
  </si>
  <si>
    <t>a19711b9</t>
  </si>
  <si>
    <t>PSIM Jogja vs PERSIJA - BRI Super League</t>
  </si>
  <si>
    <t>psim yogyakarta; PERSIJA Jakarta; sports stream</t>
  </si>
  <si>
    <t>Nonton streaming pertandingan seru PSIM Jogja vs PERSIJA - BRI Super League. Saksikan aksi-aksi terbaik dari tim yang bersaing ketat untuk meraih kemenangan. Dapatkan informasi lengkap mengenai jadwal pertandingan dan hasil pertandingan terbaru hanya di Vidio.</t>
  </si>
  <si>
    <t>a60f9c62</t>
  </si>
  <si>
    <t>PSM Makassar vs PERSIK Kediri - BRI Super League</t>
  </si>
  <si>
    <t>PSM Makassar; persik kediri; sports stream</t>
  </si>
  <si>
    <t>Nonton streaming pertandingan seru PSM Makassar vs PERSIK Kediri - BRI Super League. Saksikan aksi-aksi terbaik dari tim yang bersaing ketat untuk meraih kemenangan. Dapatkan informasi lengkap mengenai jadwal pertandingan dan hasil pertandingan terbaru hanya di Vidio.</t>
  </si>
  <si>
    <t>d8f161b4</t>
  </si>
  <si>
    <t>PERSITA vs Bali United FC - BRI Super League</t>
  </si>
  <si>
    <t>Persita Tangerang; Bali United; sports stream</t>
  </si>
  <si>
    <t>Nonton streaming pertandingan seru PERSITA vs Bali United FC - BRI Super League. Saksikan aksi-aksi terbaik dari tim yang bersaing ketat untuk meraih kemenangan. Dapatkan informasi lengkap mengenai jadwal pertandingan dan hasil pertandingan terbaru hanya di Vidio.</t>
  </si>
  <si>
    <t>576142f4</t>
  </si>
  <si>
    <t>Malut United FC vs PERSEBAYA Surabaya - BRI Super League</t>
  </si>
  <si>
    <t>PUTRA DELTA SIDOARJO; persebaya surabaya; sports stream</t>
  </si>
  <si>
    <t>Nonton streaming pertandingan seru Malut United FC vs PERSEBAYA Surabaya - BRI Super League. Saksikan aksi-aksi terbaik dari tim yang bersaing ketat untuk meraih kemenangan. Dapatkan informasi lengkap mengenai jadwal pertandingan dan hasil pertandingan terbaru hanya di Vidio.</t>
  </si>
  <si>
    <t>2c9c9013</t>
  </si>
  <si>
    <t>PERSIJAP vs PSBS Biak - BRI Super League</t>
  </si>
  <si>
    <t>Persijap; PSBS Biak Numfor; sports stream</t>
  </si>
  <si>
    <t>Nonton streaming pertandingan seru PERSIJAP vs PSBS Biak - BRI Super League. Saksikan aksi-aksi terbaik dari tim yang bersaing ketat untuk meraih kemenangan. Dapatkan informasi lengkap mengenai jadwal pertandingan dan hasil pertandingan terbaru hanya di Vidio.</t>
  </si>
  <si>
    <t>1e42e1ec</t>
  </si>
  <si>
    <t>PERSIB vs Arema FC - BRI Super League</t>
  </si>
  <si>
    <t>persib bandung; arema fc; sports stream</t>
  </si>
  <si>
    <t>Nonton streaming pertandingan seru PERSIB vs Arema FC - BRI Super League. Saksikan aksi-aksi terbaik dari tim yang bersaing ketat untuk meraih kemenangan. Dapatkan informasi lengkap mengenai jadwal pertandingan dan hasil pertandingan terbaru hanya di Vidio.</t>
  </si>
  <si>
    <t>56b459be</t>
  </si>
  <si>
    <t>Borneo FC Samarinda vs Semen Padang FC - BRI Super League</t>
  </si>
  <si>
    <t>borneo fc; semen padang; sports stream</t>
  </si>
  <si>
    <t>Nonton streaming pertandingan seru Borneo FC Samarinda vs Semen Padang FC - BRI Super League. Saksikan aksi-aksi terbaik dari tim yang bersaing ketat untuk meraih kemenangan. Dapatkan informasi lengkap mengenai jadwal pertandingan dan hasil pertandingan terbaru hanya di Vidio.</t>
  </si>
  <si>
    <t>32e8077f</t>
  </si>
  <si>
    <t>Madura United FC vs Dewa United Banten FC - BRI Super League</t>
  </si>
  <si>
    <t>madura united; dewa united; sports stream</t>
  </si>
  <si>
    <t>Nonton streaming pertandingan seru Madura United FC vs Dewa United Banten FC - BRI Super League. Saksikan aksi-aksi terbaik dari tim yang bersaing ketat untuk meraih kemenangan. Dapatkan informasi lengkap mengenai jadwal pertandingan dan hasil pertandingan terbaru hanya di Vidio.</t>
  </si>
  <si>
    <t>2d65a236</t>
  </si>
  <si>
    <t>Bali United FC vs PSM Makassar - BRI Super League</t>
  </si>
  <si>
    <t>Bali United; PSM Makassar; sports stream</t>
  </si>
  <si>
    <t>Nonton streaming pertandingan seru Bali United FC vs PSM Makassar - BRI Super League. Saksikan aksi-aksi terbaik dari tim yang bersaing ketat untuk meraih kemenangan. Dapatkan informasi lengkap mengenai jadwal pertandingan dan hasil pertandingan terbaru hanya di Vidio.</t>
  </si>
  <si>
    <t>71f6c127</t>
  </si>
  <si>
    <t>PERSIJA vs PERSIS - BRI Super League</t>
  </si>
  <si>
    <t>PERSIJA Jakarta; persis solo; sports stream</t>
  </si>
  <si>
    <t>Nonton streaming pertandingan seru PERSIJA vs PERSIS - BRI Super League. Saksikan aksi-aksi terbaik dari tim yang bersaing ketat untuk meraih kemenangan. Dapatkan informasi lengkap mengenai jadwal pertandingan dan hasil pertandingan terbaru hanya di Vidio.</t>
  </si>
  <si>
    <t>dfafe5e9</t>
  </si>
  <si>
    <t>Arema FC vs PERSEBAYA Surabaya - BRI Super League</t>
  </si>
  <si>
    <t>arema fc; persebaya surabaya; sports stream</t>
  </si>
  <si>
    <t>Nonton streaming pertandingan seru Arema FC vs PERSEBAYA Surabaya - BRI Super League. Saksikan aksi-aksi terbaik dari tim yang bersaing ketat untuk meraih kemenangan. Dapatkan informasi lengkap mengenai jadwal pertandingan dan hasil pertandingan terbaru hanya di Vidio.</t>
  </si>
  <si>
    <t>92330f33</t>
  </si>
  <si>
    <t>PSBS Biak vs Malut United FC - BRI Super League</t>
  </si>
  <si>
    <t>PSBS Biak Numfor; PUTRA DELTA SIDOARJO; sports stream</t>
  </si>
  <si>
    <t>Nonton streaming pertandingan seru PSBS Biak vs Malut United FC - BRI Super League. Saksikan aksi-aksi terbaik dari tim yang bersaing ketat untuk meraih kemenangan. Dapatkan informasi lengkap mengenai jadwal pertandingan dan hasil pertandingan terbaru hanya di Vidio.</t>
  </si>
  <si>
    <t>5feb13da</t>
  </si>
  <si>
    <t>Semen Padang FC vs Madura United FC - BRI Super League</t>
  </si>
  <si>
    <t>semen padang; madura united; sports stream</t>
  </si>
  <si>
    <t>Nonton streaming pertandingan seru Semen Padang FC vs Madura United FC - BRI Super League. Saksikan aksi-aksi terbaik dari tim yang bersaing ketat untuk meraih kemenangan. Dapatkan informasi lengkap mengenai jadwal pertandingan dan hasil pertandingan terbaru hanya di Vidio.</t>
  </si>
  <si>
    <t>01c10a71</t>
  </si>
  <si>
    <t>PERSIK Kediri vs Borneo FC Samarinda - BRI Super League</t>
  </si>
  <si>
    <t>persik kediri; borneo fc; sports stream</t>
  </si>
  <si>
    <t>Nonton streaming pertandingan seru PERSIK Kediri vs Borneo FC Samarinda - BRI Super League. Saksikan aksi-aksi terbaik dari tim yang bersaing ketat untuk meraih kemenangan. Dapatkan informasi lengkap mengenai jadwal pertandingan dan hasil pertandingan terbaru hanya di Vidio.</t>
  </si>
  <si>
    <t>e2a0cee1</t>
  </si>
  <si>
    <t>Dewa United Banten FC vs PERSIJAP - BRI Super League</t>
  </si>
  <si>
    <t>dewa united; Persijap; sports stream</t>
  </si>
  <si>
    <t>Nonton streaming pertandingan seru Dewa United Banten FC vs PERSIJAP - BRI Super League. Saksikan aksi-aksi terbaik dari tim yang bersaing ketat untuk meraih kemenangan. Dapatkan informasi lengkap mengenai jadwal pertandingan dan hasil pertandingan terbaru hanya di Vidio.</t>
  </si>
  <si>
    <t>314e3eed</t>
  </si>
  <si>
    <t>PSIM Jogja vs PERSITA - BRI Super League</t>
  </si>
  <si>
    <t>psim yogyakarta; Persita Tangerang; sports stream</t>
  </si>
  <si>
    <t>Nonton streaming pertandingan seru PSIM Jogja vs PERSITA - BRI Super League. Saksikan aksi-aksi terbaik dari tim yang bersaing ketat untuk meraih kemenangan. Dapatkan informasi lengkap mengenai jadwal pertandingan dan hasil pertandingan terbaru hanya di Vidio.</t>
  </si>
  <si>
    <t>fbf2e6b8</t>
  </si>
  <si>
    <t>Bhayangkara Presisi Lampung FC vs PERSIB - BRI Super League</t>
  </si>
  <si>
    <t>bhayangkara fc; persib bandung; sports stream</t>
  </si>
  <si>
    <t>Nonton streaming pertandingan seru Bhayangkara Presisi Lampung FC vs PERSIB - BRI Super League. Saksikan aksi-aksi terbaik dari tim yang bersaing ketat untuk meraih kemenangan. Dapatkan informasi lengkap mengenai jadwal pertandingan dan hasil pertandingan terbaru hanya di Vidio.</t>
  </si>
  <si>
    <t>4286b612</t>
  </si>
  <si>
    <t>PERSEBAYA Surabaya vs PSBS Biak - BRI Super League</t>
  </si>
  <si>
    <t>persebaya surabaya; PSBS Biak Numfor; sports stream</t>
  </si>
  <si>
    <t>Nonton streaming pertandingan seru PERSEBAYA Surabaya vs PSBS Biak - BRI Super League. Saksikan aksi-aksi terbaik dari tim yang bersaing ketat untuk meraih kemenangan. Dapatkan informasi lengkap mengenai jadwal pertandingan dan hasil pertandingan terbaru hanya di Vidio.</t>
  </si>
  <si>
    <t>a6ca6b94</t>
  </si>
  <si>
    <t>Malut United FC vs PERSIS - BRI Super League</t>
  </si>
  <si>
    <t>PUTRA DELTA SIDOARJO; persis solo; sports stream</t>
  </si>
  <si>
    <t>Nonton streaming pertandingan seru Malut United FC vs PERSIS - BRI Super League. Saksikan aksi-aksi terbaik dari tim yang bersaing ketat untuk meraih kemenangan. Dapatkan informasi lengkap mengenai jadwal pertandingan dan hasil pertandingan terbaru hanya di Vidio.</t>
  </si>
  <si>
    <t>adbab06d</t>
  </si>
  <si>
    <t>PERSIK Kediri vs Arema FC - BRI Super League</t>
  </si>
  <si>
    <t>persik kediri; arema fc; sports stream</t>
  </si>
  <si>
    <t>Nonton streaming pertandingan seru PERSIK Kediri vs Arema FC - BRI Super League. Saksikan aksi-aksi terbaik dari tim yang bersaing ketat untuk meraih kemenangan. Dapatkan informasi lengkap mengenai jadwal pertandingan dan hasil pertandingan terbaru hanya di Vidio.</t>
  </si>
  <si>
    <t>9a853304</t>
  </si>
  <si>
    <t>Dewa United Banten FC vs Semen Padang FC - BRI Super League</t>
  </si>
  <si>
    <t>dewa united; semen padang; sports stream</t>
  </si>
  <si>
    <t>Nonton streaming pertandingan seru Dewa United Banten FC vs Semen Padang FC - BRI Super League. Saksikan aksi-aksi terbaik dari tim yang bersaing ketat untuk meraih kemenangan. Dapatkan informasi lengkap mengenai jadwal pertandingan dan hasil pertandingan terbaru hanya di Vidio.</t>
  </si>
  <si>
    <t>a30d5e13</t>
  </si>
  <si>
    <t>PSM Makassar vs Bhayangkara Presisi Lampung FC - BRI Super League</t>
  </si>
  <si>
    <t>PSM Makassar; bhayangkara fc; sports stream</t>
  </si>
  <si>
    <t>Nonton streaming pertandingan seru PSM Makassar vs Bhayangkara Presisi Lampung FC - BRI Super League. Saksikan aksi-aksi terbaik dari tim yang bersaing ketat untuk meraih kemenangan. Dapatkan informasi lengkap mengenai jadwal pertandingan dan hasil pertandingan terbaru hanya di Vidio.</t>
  </si>
  <si>
    <t>05ef5671</t>
  </si>
  <si>
    <t>PERSIB vs PSIM Jogja - BRI Super League</t>
  </si>
  <si>
    <t>persib bandung; psim yogyakarta; sports stream</t>
  </si>
  <si>
    <t>Nonton streaming pertandingan seru PERSIB vs PSIM Jogja - BRI Super League. Saksikan aksi-aksi terbaik dari tim yang bersaing ketat untuk meraih kemenangan. Dapatkan informasi lengkap mengenai jadwal pertandingan dan hasil pertandingan terbaru hanya di Vidio.</t>
  </si>
  <si>
    <t>c7b41f2c</t>
  </si>
  <si>
    <t>PERSIJAP vs PERSIJA - BRI Super League</t>
  </si>
  <si>
    <t>Persijap; PERSIJA Jakarta; sports stream</t>
  </si>
  <si>
    <t>Nonton streaming pertandingan seru PERSIJAP vs PERSIJA - BRI Super League. Saksikan aksi-aksi terbaik dari tim yang bersaing ketat untuk meraih kemenangan. Dapatkan informasi lengkap mengenai jadwal pertandingan dan hasil pertandingan terbaru hanya di Vidio.</t>
  </si>
  <si>
    <t>bd5380fb</t>
  </si>
  <si>
    <t>Borneo FC Samarinda vs PERSITA - BRI Super League</t>
  </si>
  <si>
    <t>borneo fc; Persita Tangerang; sports stream</t>
  </si>
  <si>
    <t>Nonton streaming pertandingan seru Borneo FC Samarinda vs PERSITA - BRI Super League. Saksikan aksi-aksi terbaik dari tim yang bersaing ketat untuk meraih kemenangan. Dapatkan informasi lengkap mengenai jadwal pertandingan dan hasil pertandingan terbaru hanya di Vidio.</t>
  </si>
  <si>
    <t>c076b20e</t>
  </si>
  <si>
    <t>Madura United FC vs Bali United FC - BRI Super League</t>
  </si>
  <si>
    <t>madura united; Bali United; sports stream</t>
  </si>
  <si>
    <t>Nonton streaming pertandingan seru Madura United FC vs Bali United FC - BRI Super League. Saksikan aksi-aksi terbaik dari tim yang bersaing ketat untuk meraih kemenangan. Dapatkan informasi lengkap mengenai jadwal pertandingan dan hasil pertandingan terbaru hanya di Vidio.</t>
  </si>
  <si>
    <t>d076dbd4</t>
  </si>
  <si>
    <t>Semen Padang FC vs PERSIK Kediri - BRI Super League</t>
  </si>
  <si>
    <t>semen padang; persik kediri; sports stream</t>
  </si>
  <si>
    <t>Nonton streaming pertandingan seru Semen Padang FC vs PERSIK Kediri - BRI Super League. Saksikan aksi-aksi terbaik dari tim yang bersaing ketat untuk meraih kemenangan. Dapatkan informasi lengkap mengenai jadwal pertandingan dan hasil pertandingan terbaru hanya di Vidio.</t>
  </si>
  <si>
    <t>7f7cc515</t>
  </si>
  <si>
    <t>PSBS Biak vs Dewa United Banten FC - BRI Super League</t>
  </si>
  <si>
    <t>PSBS Biak Numfor; dewa united; sports stream</t>
  </si>
  <si>
    <t>Nonton streaming pertandingan seru PSBS Biak vs Dewa United Banten FC - BRI Super League. Saksikan aksi-aksi terbaik dari tim yang bersaing ketat untuk meraih kemenangan. Dapatkan informasi lengkap mengenai jadwal pertandingan dan hasil pertandingan terbaru hanya di Vidio.</t>
  </si>
  <si>
    <t>b548eb92</t>
  </si>
  <si>
    <t>Arema FC vs PSM Makassar - BRI Super League</t>
  </si>
  <si>
    <t>arema fc; PSM Makassar; sports stream</t>
  </si>
  <si>
    <t>Nonton streaming pertandingan seru Arema FC vs PSM Makassar - BRI Super League. Saksikan aksi-aksi terbaik dari tim yang bersaing ketat untuk meraih kemenangan. Dapatkan informasi lengkap mengenai jadwal pertandingan dan hasil pertandingan terbaru hanya di Vidio.</t>
  </si>
  <si>
    <t>7e297c92</t>
  </si>
  <si>
    <t>PERSIS vs PERSEBAYA Surabaya - BRI Super League</t>
  </si>
  <si>
    <t>persis solo; persebaya surabaya; sports stream</t>
  </si>
  <si>
    <t>Nonton streaming pertandingan seru PERSIS vs PERSEBAYA Surabaya - BRI Super League. Saksikan aksi-aksi terbaik dari tim yang bersaing ketat untuk meraih kemenangan. Dapatkan informasi lengkap mengenai jadwal pertandingan dan hasil pertandingan terbaru hanya di Vidio.</t>
  </si>
  <si>
    <t>2af55853</t>
  </si>
  <si>
    <t>PERSIJA vs PERSIB - BRI Super League</t>
  </si>
  <si>
    <t>PERSIJA Jakarta; persib bandung; sports stream</t>
  </si>
  <si>
    <t>Nonton streaming pertandingan seru PERSIJA vs PERSIB - BRI Super League. Saksikan aksi-aksi terbaik dari tim yang bersaing ketat untuk meraih kemenangan. Dapatkan informasi lengkap mengenai jadwal pertandingan dan hasil pertandingan terbaru hanya di Vidio.</t>
  </si>
  <si>
    <t>51a432f1</t>
  </si>
  <si>
    <t>PERSITA vs PERSIJAP - BRI Super League</t>
  </si>
  <si>
    <t>Persita Tangerang; Persijap; sports stream</t>
  </si>
  <si>
    <t>Nonton streaming pertandingan seru PERSITA vs PERSIJAP - BRI Super League. Saksikan aksi-aksi terbaik dari tim yang bersaing ketat untuk meraih kemenangan. Dapatkan informasi lengkap mengenai jadwal pertandingan dan hasil pertandingan terbaru hanya di Vidio.</t>
  </si>
  <si>
    <t>75be04a7</t>
  </si>
  <si>
    <t>PSIM Jogja vs Malut United FC - BRI Super League</t>
  </si>
  <si>
    <t>psim yogyakarta; PUTRA DELTA SIDOARJO; sports stream</t>
  </si>
  <si>
    <t>Nonton streaming pertandingan seru PSIM Jogja vs Malut United FC - BRI Super League. Saksikan aksi-aksi terbaik dari tim yang bersaing ketat untuk meraih kemenangan. Dapatkan informasi lengkap mengenai jadwal pertandingan dan hasil pertandingan terbaru hanya di Vidio.</t>
  </si>
  <si>
    <t>f2695a46</t>
  </si>
  <si>
    <t>Bhayangkara Presisi Lampung FC vs Madura United FC - BRI Super League</t>
  </si>
  <si>
    <t>bhayangkara fc; madura united; sports stream</t>
  </si>
  <si>
    <t>Nonton streaming pertandingan seru Bhayangkara Presisi Lampung FC vs Madura United FC - BRI Super League. Saksikan aksi-aksi terbaik dari tim yang bersaing ketat untuk meraih kemenangan. Dapatkan informasi lengkap mengenai jadwal pertandingan dan hasil pertandingan terbaru hanya di Vidio.</t>
  </si>
  <si>
    <t>635275ca</t>
  </si>
  <si>
    <t>Bali United FC vs Borneo FC Samarinda - BRI Super League</t>
  </si>
  <si>
    <t>Bali United; borneo fc; sports stream</t>
  </si>
  <si>
    <t>Nonton streaming pertandingan seru Bali United FC vs Borneo FC Samarinda - BRI Super League. Saksikan aksi-aksi terbaik dari tim yang bersaing ketat untuk meraih kemenangan. Dapatkan informasi lengkap mengenai jadwal pertandingan dan hasil pertandingan terbaru hanya di Vidio.</t>
  </si>
  <si>
    <t>5da59f31</t>
  </si>
  <si>
    <t>Semen Padang FC vs PERSEBAYA Surabaya - BRI Super League</t>
  </si>
  <si>
    <t>semen padang; persebaya surabaya; sports stream</t>
  </si>
  <si>
    <t>Nonton streaming pertandingan seru Semen Padang FC vs PERSEBAYA Surabaya - BRI Super League. Saksikan aksi-aksi terbaik dari tim yang bersaing ketat untuk meraih kemenangan. Dapatkan informasi lengkap mengenai jadwal pertandingan dan hasil pertandingan terbaru hanya di Vidio.</t>
  </si>
  <si>
    <t>08c8f458</t>
  </si>
  <si>
    <t>PSBS Biak vs Arema FC - BRI Super League</t>
  </si>
  <si>
    <t>PSBS Biak Numfor; arema fc; sports stream</t>
  </si>
  <si>
    <t>Nonton streaming pertandingan seru PSBS Biak vs Arema FC - BRI Super League. Saksikan aksi-aksi terbaik dari tim yang bersaing ketat untuk meraih kemenangan. Dapatkan informasi lengkap mengenai jadwal pertandingan dan hasil pertandingan terbaru hanya di Vidio.</t>
  </si>
  <si>
    <t>28707433</t>
  </si>
  <si>
    <t>PERSIK Kediri vs PERSIJA - BRI Super League</t>
  </si>
  <si>
    <t>persik kediri; PERSIJA Jakarta; sports stream</t>
  </si>
  <si>
    <t>Nonton streaming pertandingan seru PERSIK Kediri vs PERSIJA - BRI Super League. Saksikan aksi-aksi terbaik dari tim yang bersaing ketat untuk meraih kemenangan. Dapatkan informasi lengkap mengenai jadwal pertandingan dan hasil pertandingan terbaru hanya di Vidio.</t>
  </si>
  <si>
    <t>9048d403</t>
  </si>
  <si>
    <t>PERSIS vs Dewa United Banten FC - BRI Super League</t>
  </si>
  <si>
    <t>persis solo; dewa united; sports stream</t>
  </si>
  <si>
    <t>Nonton streaming pertandingan seru PERSIS vs Dewa United Banten FC - BRI Super League. Saksikan aksi-aksi terbaik dari tim yang bersaing ketat untuk meraih kemenangan. Dapatkan informasi lengkap mengenai jadwal pertandingan dan hasil pertandingan terbaru hanya di Vidio.</t>
  </si>
  <si>
    <t>cdd6ec5d</t>
  </si>
  <si>
    <t>Malut United FC vs PERSITA - BRI Super League</t>
  </si>
  <si>
    <t>PUTRA DELTA SIDOARJO; Persita Tangerang; sports stream</t>
  </si>
  <si>
    <t>Nonton streaming pertandingan seru Malut United FC vs PERSITA - BRI Super League. Saksikan aksi-aksi terbaik dari tim yang bersaing ketat untuk meraih kemenangan. Dapatkan informasi lengkap mengenai jadwal pertandingan dan hasil pertandingan terbaru hanya di Vidio.</t>
  </si>
  <si>
    <t>43a74dcf</t>
  </si>
  <si>
    <t>Bali United FC vs Bhayangkara Presisi Lampung FC - BRI Super League</t>
  </si>
  <si>
    <t>Bali United; bhayangkara fc; sports stream</t>
  </si>
  <si>
    <t>Nonton streaming pertandingan seru Bali United FC vs Bhayangkara Presisi Lampung FC - BRI Super League. Saksikan aksi-aksi terbaik dari tim yang bersaing ketat untuk meraih kemenangan. Dapatkan informasi lengkap mengenai jadwal pertandingan dan hasil pertandingan terbaru hanya di Vidio.</t>
  </si>
  <si>
    <t>416da4b4</t>
  </si>
  <si>
    <t>PERSIJAP vs Borneo FC Samarinda - BRI Super League</t>
  </si>
  <si>
    <t>Persijap; borneo fc; sports stream</t>
  </si>
  <si>
    <t>Nonton streaming pertandingan seru PERSIJAP vs Borneo FC Samarinda - BRI Super League. Saksikan aksi-aksi terbaik dari tim yang bersaing ketat untuk meraih kemenangan. Dapatkan informasi lengkap mengenai jadwal pertandingan dan hasil pertandingan terbaru hanya di Vidio.</t>
  </si>
  <si>
    <t>1eb9bf33</t>
  </si>
  <si>
    <t>PSIM Jogja vs Madura United FC - BRI Super League</t>
  </si>
  <si>
    <t>psim yogyakarta; madura united; sports stream</t>
  </si>
  <si>
    <t>Nonton streaming pertandingan seru PSIM Jogja vs Madura United FC - BRI Super League. Saksikan aksi-aksi terbaik dari tim yang bersaing ketat untuk meraih kemenangan. Dapatkan informasi lengkap mengenai jadwal pertandingan dan hasil pertandingan terbaru hanya di Vidio.</t>
  </si>
  <si>
    <t>d12b06fd</t>
  </si>
  <si>
    <t>PSM Makassar vs PERSIB - BRI Super League</t>
  </si>
  <si>
    <t>PSM Makassar; persib bandung; sports stream</t>
  </si>
  <si>
    <t>Nonton streaming pertandingan seru PSM Makassar vs PERSIB - BRI Super League. Saksikan aksi-aksi terbaik dari tim yang bersaing ketat untuk meraih kemenangan. Dapatkan informasi lengkap mengenai jadwal pertandingan dan hasil pertandingan terbaru hanya di Vidio.</t>
  </si>
  <si>
    <t>748373f8</t>
  </si>
  <si>
    <t>Arema FC vs PSIM Jogja - BRI Super League</t>
  </si>
  <si>
    <t>arema fc; psim yogyakarta; sports stream</t>
  </si>
  <si>
    <t>Nonton streaming pertandingan seru Arema FC vs PSIM Jogja - BRI Super League. Saksikan aksi-aksi terbaik dari tim yang bersaing ketat untuk meraih kemenangan. Dapatkan informasi lengkap mengenai jadwal pertandingan dan hasil pertandingan terbaru hanya di Vidio.</t>
  </si>
  <si>
    <t>e134e256</t>
  </si>
  <si>
    <t>Bhayangkara Presisi Lampung FC vs PSBS Biak - BRI Super League</t>
  </si>
  <si>
    <t>bhayangkara fc; PSBS Biak Numfor; sports stream</t>
  </si>
  <si>
    <t>Nonton streaming pertandingan seru Bhayangkara Presisi Lampung FC vs PSBS Biak - BRI Super League. Saksikan aksi-aksi terbaik dari tim yang bersaing ketat untuk meraih kemenangan. Dapatkan informasi lengkap mengenai jadwal pertandingan dan hasil pertandingan terbaru hanya di Vidio.</t>
  </si>
  <si>
    <t>c8063a86</t>
  </si>
  <si>
    <t>Madura United FC vs PSM Makassar - BRI Super League</t>
  </si>
  <si>
    <t>madura united; PSM Makassar; sports stream</t>
  </si>
  <si>
    <t>Nonton streaming pertandingan seru Madura United FC vs PSM Makassar - BRI Super League. Saksikan aksi-aksi terbaik dari tim yang bersaing ketat untuk meraih kemenangan. Dapatkan informasi lengkap mengenai jadwal pertandingan dan hasil pertandingan terbaru hanya di Vidio.</t>
  </si>
  <si>
    <t>4cee1b2b</t>
  </si>
  <si>
    <t>Borneo FC Samarinda vs Malut United FC - BRI Super League</t>
  </si>
  <si>
    <t>borneo fc; PUTRA DELTA SIDOARJO; sports stream</t>
  </si>
  <si>
    <t>Nonton streaming pertandingan seru Borneo FC Samarinda vs Malut United FC - BRI Super League. Saksikan aksi-aksi terbaik dari tim yang bersaing ketat untuk meraih kemenangan. Dapatkan informasi lengkap mengenai jadwal pertandingan dan hasil pertandingan terbaru hanya di Vidio.</t>
  </si>
  <si>
    <t>4e19b680</t>
  </si>
  <si>
    <t>PERSITA vs PERSIS - BRI Super League</t>
  </si>
  <si>
    <t>Persita Tangerang; persis solo; sports stream</t>
  </si>
  <si>
    <t>Nonton streaming pertandingan seru PERSITA vs PERSIS - BRI Super League. Saksikan aksi-aksi terbaik dari tim yang bersaing ketat untuk meraih kemenangan. Dapatkan informasi lengkap mengenai jadwal pertandingan dan hasil pertandingan terbaru hanya di Vidio.</t>
  </si>
  <si>
    <t>4194dc7a</t>
  </si>
  <si>
    <t>Dewa United Banten FC vs Bali United FC - BRI Super League</t>
  </si>
  <si>
    <t>dewa united; Bali United; sports stream</t>
  </si>
  <si>
    <t>Nonton streaming pertandingan seru Dewa United Banten FC vs Bali United FC - BRI Super League. Saksikan aksi-aksi terbaik dari tim yang bersaing ketat untuk meraih kemenangan. Dapatkan informasi lengkap mengenai jadwal pertandingan dan hasil pertandingan terbaru hanya di Vidio.</t>
  </si>
  <si>
    <t>b2d3789b</t>
  </si>
  <si>
    <t>PERSIB vs PERSIJAP - BRI Super League</t>
  </si>
  <si>
    <t>persib bandung; Persijap; sports stream</t>
  </si>
  <si>
    <t>Nonton streaming pertandingan seru PERSIB vs PERSIJAP - BRI Super League. Saksikan aksi-aksi terbaik dari tim yang bersaing ketat untuk meraih kemenangan. Dapatkan informasi lengkap mengenai jadwal pertandingan dan hasil pertandingan terbaru hanya di Vidio.</t>
  </si>
  <si>
    <t>f20f4032</t>
  </si>
  <si>
    <t>PERSIJA vs Semen Padang FC - BRI Super League</t>
  </si>
  <si>
    <t>PERSIJA Jakarta; semen padang; sports stream</t>
  </si>
  <si>
    <t>Nonton streaming pertandingan seru PERSIJA vs Semen Padang FC - BRI Super League. Saksikan aksi-aksi terbaik dari tim yang bersaing ketat untuk meraih kemenangan. Dapatkan informasi lengkap mengenai jadwal pertandingan dan hasil pertandingan terbaru hanya di Vidio.</t>
  </si>
  <si>
    <t>cccadd73</t>
  </si>
  <si>
    <t>PERSEBAYA Surabaya vs PERSIK Kediri - BRI Super League</t>
  </si>
  <si>
    <t>persebaya surabaya; persik kediri; sports stream</t>
  </si>
  <si>
    <t>Nonton streaming pertandingan seru PERSEBAYA Surabaya vs PERSIK Kediri - BRI Super League. Saksikan aksi-aksi terbaik dari tim yang bersaing ketat untuk meraih kemenangan. Dapatkan informasi lengkap mengenai jadwal pertandingan dan hasil pertandingan terbaru hanya di Vidio.</t>
  </si>
  <si>
    <t>cbd668fd</t>
  </si>
  <si>
    <t>Asiop Training Ground: Perempat Final dan Semifinal  - Top Youth Premier League</t>
  </si>
  <si>
    <t>https://www.vidio.com/live/20106-top-youth-premier-league-perempat-final-dan-semifinal</t>
  </si>
  <si>
    <t>https://drive.google.com/file/d/1DNux4glLBnqI-DzUHKvsJVIQIe0fQ_QF/view?usp=drive_link</t>
  </si>
  <si>
    <t>https://drive.google.com/file/d/1DNux4glLBnqI-DzUHKvsJVIQIe0fQ_QF/view</t>
  </si>
  <si>
    <t>Nonton streaming pertandingan seru Asiop Training Ground: Perempat Final dan Semifinal  - Top Youth Premier League. Saksikan aksi-aksi terbaik dari tim yang bersaing ketat untuk meraih kemenangan. Dapatkan informasi lengkap mengenai jadwal pertandingan dan hasil pertandingan terbaru hanya di Vidio.</t>
  </si>
  <si>
    <t>ebe29a94</t>
  </si>
  <si>
    <t>ASIOP MERAH 3Y v 6T BOGOR UNITED - Top Youth Premier League</t>
  </si>
  <si>
    <t>https://www.vidio.com/live/20106-top-youth-premier-league-perempat-final-dan-semifinal?schedule_id=4786442</t>
  </si>
  <si>
    <t>Nonton streaming pertandingan seru ASIOP MERAH 3Y v 6T BOGOR UNITED - Top Youth Premier League. Saksikan aksi-aksi terbaik dari tim yang bersaing ketat untuk meraih kemenangan. Dapatkan informasi lengkap mengenai jadwal pertandingan dan hasil pertandingan terbaru hanya di Vidio.</t>
  </si>
  <si>
    <t>414d7f20</t>
  </si>
  <si>
    <t>ASIOP MERAH 1T v 4Y JAGAKARSA - Top Youth Premier League</t>
  </si>
  <si>
    <t>https://www.vidio.com/live/20106-top-youth-premier-league-perempat-final-dan-semifinal?schedule_id=4786443</t>
  </si>
  <si>
    <t>Nonton streaming pertandingan seru ASIOP MERAH 1T v 4Y JAGAKARSA - Top Youth Premier League. Saksikan aksi-aksi terbaik dari tim yang bersaing ketat untuk meraih kemenangan. Dapatkan informasi lengkap mengenai jadwal pertandingan dan hasil pertandingan terbaru hanya di Vidio.</t>
  </si>
  <si>
    <t>43bd08bf</t>
  </si>
  <si>
    <t>ABINAYA SS 5T v 8Y SSJ ARCAMANIK - Top Youth Premier League</t>
  </si>
  <si>
    <t>https://www.vidio.com/live/20106-top-youth-premier-league-perempat-final-dan-semifinal?schedule_id=4786444</t>
  </si>
  <si>
    <t>Nonton streaming pertandingan seru ABINAYA SS 5T v 8Y SSJ ARCAMANIK - Top Youth Premier League. Saksikan aksi-aksi terbaik dari tim yang bersaing ketat untuk meraih kemenangan. Dapatkan informasi lengkap mengenai jadwal pertandingan dan hasil pertandingan terbaru hanya di Vidio.</t>
  </si>
  <si>
    <t>710b3140</t>
  </si>
  <si>
    <t>WV v WVI - Top Youth Premier League</t>
  </si>
  <si>
    <t>https://www.vidio.com/live/20106-top-youth-premier-league-perempat-final-dan-semifinal?schedule_id=4786445</t>
  </si>
  <si>
    <t>Nonton streaming pertandingan seru WV v WVI - Top Youth Premier League. Saksikan aksi-aksi terbaik dari tim yang bersaing ketat untuk meraih kemenangan. Dapatkan informasi lengkap mengenai jadwal pertandingan dan hasil pertandingan terbaru hanya di Vidio.</t>
  </si>
  <si>
    <t>7906d278</t>
  </si>
  <si>
    <t>WI v LIV  - Top Youth Premier League</t>
  </si>
  <si>
    <t>https://www.vidio.com/live/20106-top-youth-premier-league-perempat-final-dan-semifinal?schedule_id=4786446</t>
  </si>
  <si>
    <t>Nonton streaming pertandingan seru WI v LIV  - Top Youth Premier League. Saksikan aksi-aksi terbaik dari tim yang bersaing ketat untuk meraih kemenangan. Dapatkan informasi lengkap mengenai jadwal pertandingan dan hasil pertandingan terbaru hanya di Vidio.</t>
  </si>
  <si>
    <t>ff754c1f</t>
  </si>
  <si>
    <t>BORUSSIA ACADEMY 14 v 11 SULCATA - Top Youth Premier League</t>
  </si>
  <si>
    <t>https://www.vidio.com/live/20106-top-youth-premier-league-perempat-final-dan-semifinal?schedule_id=4786447</t>
  </si>
  <si>
    <t>Nonton streaming pertandingan seru BORUSSIA ACADEMY 14 v 11 SULCATA - Top Youth Premier League. Saksikan aksi-aksi terbaik dari tim yang bersaing ketat untuk meraih kemenangan. Dapatkan informasi lengkap mengenai jadwal pertandingan dan hasil pertandingan terbaru hanya di Vidio.</t>
  </si>
  <si>
    <t>cf705852</t>
  </si>
  <si>
    <t>JAS 6 v WI  - Top Youth Premier League</t>
  </si>
  <si>
    <t>https://www.vidio.com/live/20106-top-youth-premier-league-perempat-final-dan-semifinal?schedule_id=4786448</t>
  </si>
  <si>
    <t>Nonton streaming pertandingan seru JAS 6 v WI  - Top Youth Premier League. Saksikan aksi-aksi terbaik dari tim yang bersaing ketat untuk meraih kemenangan. Dapatkan informasi lengkap mengenai jadwal pertandingan dan hasil pertandingan terbaru hanya di Vidio.</t>
  </si>
  <si>
    <t>b2c50a8f</t>
  </si>
  <si>
    <t>WIII v WV  - Top Youth Premier League</t>
  </si>
  <si>
    <t>https://www.vidio.com/live/20106-top-youth-premier-league-perempat-final-dan-semifinal?schedule_id=4786449</t>
  </si>
  <si>
    <t>Nonton streaming pertandingan seru WIII v WV  - Top Youth Premier League. Saksikan aksi-aksi terbaik dari tim yang bersaing ketat untuk meraih kemenangan. Dapatkan informasi lengkap mengenai jadwal pertandingan dan hasil pertandingan terbaru hanya di Vidio.</t>
  </si>
  <si>
    <t>1bc6c092</t>
  </si>
  <si>
    <t>Asiop Training Ground:  Semifinal Cup &amp; Final Cup Plate - Top Youth Premier League</t>
  </si>
  <si>
    <t>https://www.vidio.com/live/20107-top-youth-premier-league-semifinal-cup-final-cup-plate</t>
  </si>
  <si>
    <t>Nonton streaming pertandingan seru Asiop Training Ground:  Semifinal Cup &amp; Final Cup Plate - Top Youth Premier League. Saksikan aksi-aksi terbaik dari tim yang bersaing ketat untuk meraih kemenangan. Dapatkan informasi lengkap mengenai jadwal pertandingan dan hasil pertandingan terbaru hanya di Vidio.</t>
  </si>
  <si>
    <t>b25f2221</t>
  </si>
  <si>
    <t>FFF ACADEMY 1T v 2Y ASSA PRO SS  - Top Youth Premier League</t>
  </si>
  <si>
    <t>https://www.vidio.com/live/20107-top-youth-premier-league-semifinal-cup-final-cup-plate?schedule_id=4786452</t>
  </si>
  <si>
    <t>Nonton streaming pertandingan seru FFF ACADEMY 1T v 2Y ASSA PRO SS  - Top Youth Premier League. Saksikan aksi-aksi terbaik dari tim yang bersaing ketat untuk meraih kemenangan. Dapatkan informasi lengkap mengenai jadwal pertandingan dan hasil pertandingan terbaru hanya di Vidio.</t>
  </si>
  <si>
    <t>5a0b4fd4</t>
  </si>
  <si>
    <t>JAS 1T v 2Y GANADOR - Top Youth Premier League</t>
  </si>
  <si>
    <t>https://www.vidio.com/live/20107-top-youth-premier-league-semifinal-cup-final-cup-plate?schedule_id=4786451</t>
  </si>
  <si>
    <t>Nonton streaming pertandingan seru JAS 1T v 2Y GANADOR - Top Youth Premier League. Saksikan aksi-aksi terbaik dari tim yang bersaing ketat untuk meraih kemenangan. Dapatkan informasi lengkap mengenai jadwal pertandingan dan hasil pertandingan terbaru hanya di Vidio.</t>
  </si>
  <si>
    <t>8987a055</t>
  </si>
  <si>
    <t>WX v WY - Top Youth Premier League</t>
  </si>
  <si>
    <t>https://www.vidio.com/live/20107-top-youth-premier-league-semifinal-cup-final-cup-plate?schedule_id=4786453</t>
  </si>
  <si>
    <t>Nonton streaming pertandingan seru WX v WY - Top Youth Premier League. Saksikan aksi-aksi terbaik dari tim yang bersaing ketat untuk meraih kemenangan. Dapatkan informasi lengkap mengenai jadwal pertandingan dan hasil pertandingan terbaru hanya di Vidio.</t>
  </si>
  <si>
    <t>29b911d6</t>
  </si>
  <si>
    <t>https://www.vidio.com/live/20107-top-youth-premier-league-semifinal-cup-final-cup-plate?schedule_id=4786457</t>
  </si>
  <si>
    <t>ebf815ed</t>
  </si>
  <si>
    <t>https://www.vidio.com/live/20107-top-youth-premier-league-semifinal-cup-final-cup-plate?schedule_id=4786458</t>
  </si>
  <si>
    <t>77a27a37</t>
  </si>
  <si>
    <t>LX v LY 1 3-4: Final - Top Youth Premier League</t>
  </si>
  <si>
    <t>https://www.vidio.com/live/20107-top-youth-premier-league-semifinal-cup-final-cup-plate?schedule_id=4786459</t>
  </si>
  <si>
    <t>Nonton streaming pertandingan seru LX v LY 1 3-4: Final - Top Youth Premier League. Saksikan aksi-aksi terbaik dari tim yang bersaing ketat untuk meraih kemenangan. Dapatkan informasi lengkap mengenai jadwal pertandingan dan hasil pertandingan terbaru hanya di Vidio.</t>
  </si>
  <si>
    <t>9053b117</t>
  </si>
  <si>
    <t>WX v WY 1: Final - Top Youth Premier League</t>
  </si>
  <si>
    <t>https://www.vidio.com/live/20107-top-youth-premier-league-semifinal-cup-final-cup-plate?schedule_id=4786460</t>
  </si>
  <si>
    <t>Nonton streaming pertandingan seru WX v WY 1: Final - Top Youth Premier League. Saksikan aksi-aksi terbaik dari tim yang bersaing ketat untuk meraih kemenangan. Dapatkan informasi lengkap mengenai jadwal pertandingan dan hasil pertandingan terbaru hanya di Vidio.</t>
  </si>
  <si>
    <t>83ff0088</t>
  </si>
  <si>
    <t>Lapangan ATG SENTUL, Kab Bogor: Grand Final - Top Soccer Championship U-13</t>
  </si>
  <si>
    <t>https://www.vidio.com/live/20112-grand-final-top-soccer-championship-u-13</t>
  </si>
  <si>
    <t>Nonton streaming pertandingan seru Lapangan ATG SENTUL, Kab Bogor: Grand Final - Top Soccer Championship U-13. Saksikan aksi-aksi terbaik dari tim yang bersaing ketat untuk meraih kemenangan. Dapatkan informasi lengkap mengenai jadwal pertandingan dan hasil pertandingan terbaru hanya di Vidio.</t>
  </si>
  <si>
    <t>d961dfd4</t>
  </si>
  <si>
    <t>Tajimalela vs Padurenan: Final Kategori Plate - Top Soccer Championship U-13</t>
  </si>
  <si>
    <t>https://www.vidio.com/live/20112-grand-final-top-soccer-championship-u-13?schedule_id=4786462</t>
  </si>
  <si>
    <t>Nonton streaming pertandingan seru Tajimalela vs Padurenan: Final Kategori Plate - Top Soccer Championship U-13. Saksikan aksi-aksi terbaik dari tim yang bersaing ketat untuk meraih kemenangan. Dapatkan informasi lengkap mengenai jadwal pertandingan dan hasil pertandingan terbaru hanya di Vidio.</t>
  </si>
  <si>
    <t>4a8bfc3b</t>
  </si>
  <si>
    <t>Binna Banua vs Abinaya: Third Place Kategori Cup - Top Soccer Championship U-13</t>
  </si>
  <si>
    <t>https://www.vidio.com/live/20112-grand-final-top-soccer-championship-u-13?schedule_id=4786464</t>
  </si>
  <si>
    <t>Nonton streaming pertandingan seru Binna Banua vs Abinaya: Third Place Kategori Cup - Top Soccer Championship U-13. Saksikan aksi-aksi terbaik dari tim yang bersaing ketat untuk meraih kemenangan. Dapatkan informasi lengkap mengenai jadwal pertandingan dan hasil pertandingan terbaru hanya di Vidio.</t>
  </si>
  <si>
    <t>34c9e74b</t>
  </si>
  <si>
    <t>Jakarta Academy Soccer vs ASIOP Merah - Final Kategori Cup - Top Soccer Championship U-13</t>
  </si>
  <si>
    <t>https://www.vidio.com/live/20112-grand-final-top-soccer-championship-u-13?schedule_id=4786463</t>
  </si>
  <si>
    <t>Nonton streaming pertandingan seru Jakarta Academy Soccer vs ASIOP Merah - Final Kategori Cup - Top Soccer Championship U-13. Saksikan aksi-aksi terbaik dari tim yang bersaing ketat untuk meraih kemenangan. Dapatkan informasi lengkap mengenai jadwal pertandingan dan hasil pertandingan terbaru hanya di Vidio.</t>
  </si>
  <si>
    <t>e99ae079</t>
  </si>
  <si>
    <t>(Data Zone) Man City vs Chelsea - Premier League</t>
  </si>
  <si>
    <t>https://www.vidio.com/live/19536-premier-league?schedule_id=4827311</t>
  </si>
  <si>
    <t>https://drive.google.com/drive/folders/14f22sk7S9lXV3toIyrfX8QF5EuZvKN4I</t>
  </si>
  <si>
    <t>Nonton streaming pertandingan seru (Data Zone) Man City vs Chelsea - Premier League. Saksikan aksi-aksi terbaik dari tim yang bersaing ketat untuk meraih kemenangan. Dapatkan informasi lengkap mengenai jadwal pertandingan dan hasil pertandingan terbaru hanya di Vidio.</t>
  </si>
  <si>
    <t>https://drive.google.com/file/d/1qIezDESx2ve8eaSUkVUNPwRk3JWyB4Ya/view?usp=sharing</t>
  </si>
  <si>
    <t>f7f0b1bf</t>
  </si>
  <si>
    <t>923c62b9</t>
  </si>
  <si>
    <t>Paris FC vs Real Madrid - UEFA Women's Champions League</t>
  </si>
  <si>
    <t>Paris FC; real madrid femenino cf; sports stream</t>
  </si>
  <si>
    <t>Nonton streaming pertandingan seru Paris FC vs Real Madrid - UEFA Women's Champions League. Saksikan aksi-aksi terbaik dari tim yang bersaing ketat untuk meraih kemenangan. Dapatkan informasi lengkap mengenai jadwal pertandingan dan hasil pertandingan terbaru hanya di Vidio.</t>
  </si>
  <si>
    <t>444d5a53</t>
  </si>
  <si>
    <t>VfL Wolfsburg vs Juventus - UEFA Women's Champions League</t>
  </si>
  <si>
    <t>wolfsburg women; Juventus Women; sports stream</t>
  </si>
  <si>
    <t>Nonton streaming pertandingan seru VfL Wolfsburg vs Juventus - UEFA Women's Champions League. Saksikan aksi-aksi terbaik dari tim yang bersaing ketat untuk meraih kemenangan. Dapatkan informasi lengkap mengenai jadwal pertandingan dan hasil pertandingan terbaru hanya di Vidio.</t>
  </si>
  <si>
    <t>9b8e224e</t>
  </si>
  <si>
    <t>Atletico de Madrid Femenino; manchester united w.f.c.; sports stream</t>
  </si>
  <si>
    <t>5af35994</t>
  </si>
  <si>
    <t>real madrid femenino cf; Paris FC; sports stream</t>
  </si>
  <si>
    <t>6c144d9c</t>
  </si>
  <si>
    <t>Arsenal vs Oud-Heverlee Leuven - UEFA Women's Champions League</t>
  </si>
  <si>
    <t>Arsenal W.F.C.; Oud Heverlee Leuven Women; sports stream</t>
  </si>
  <si>
    <t>Nonton streaming pertandingan seru Arsenal vs Oud-Heverlee Leuven - UEFA Women's Champions League. Saksikan aksi-aksi terbaik dari tim yang bersaing ketat untuk meraih kemenangan. Dapatkan informasi lengkap mengenai jadwal pertandingan dan hasil pertandingan terbaru hanya di Vidio.</t>
  </si>
  <si>
    <t>https://thumbor.prod.vidiocdn.com/hpjjg1zOyujipSAP7cgTgCIhWUs=/filters:quality(70)/vidio-media-production/uploads/image/source/52357/132059.png</t>
  </si>
  <si>
    <t>https://thumbor.prod.vidiocdn.com/3Os72fHItnPKDmqa_41NashIJyI=/filters:quality(70)/vidio-media-production/uploads/image/source/52356/1fd1d8.png</t>
  </si>
  <si>
    <t>a40e2a8b</t>
  </si>
  <si>
    <t>Juventus vs VfL Wolfsburg - UEFA Women's Champions League</t>
  </si>
  <si>
    <t>Juventus Women; wolfsburg women; sports stream</t>
  </si>
  <si>
    <t>Nonton streaming pertandingan seru Juventus vs VfL Wolfsburg - UEFA Women's Champions League. Saksikan aksi-aksi terbaik dari tim yang bersaing ketat untuk meraih kemenangan. Dapatkan informasi lengkap mengenai jadwal pertandingan dan hasil pertandingan terbaru hanya di Vidio.</t>
  </si>
  <si>
    <t>77f665d0</t>
  </si>
  <si>
    <t>Man United vs Atletico Madrid - UEFA Women's Champions League</t>
  </si>
  <si>
    <t>manchester united w.f.c.; Atletico de Madrid Femenino; sports stream</t>
  </si>
  <si>
    <t>Nonton streaming pertandingan seru Man United vs Atletico Madrid - UEFA Women's Champions League. Saksikan aksi-aksi terbaik dari tim yang bersaing ketat untuk meraih kemenangan. Dapatkan informasi lengkap mengenai jadwal pertandingan dan hasil pertandingan terbaru hanya di Vidio.</t>
  </si>
  <si>
    <t>eb9122b2</t>
  </si>
  <si>
    <t>Jelang Kick Off - PERSIJA vs PERSIJAP - BRI Super League</t>
  </si>
  <si>
    <t>https://www.vidio.com/live/19383-bri-super-league?schedule_id=4803412</t>
  </si>
  <si>
    <t>https://drive.google.com/drive/folders/1YIyS3e1CL5Mlm3vAUcyvE-ZfodpxLF6P</t>
  </si>
  <si>
    <t>Nonton streaming pertandingan seru Jelang Kick Off - PERSIJA vs PERSIJAP - BRI Super League. Saksikan aksi-aksi terbaik dari tim yang bersaing ketat untuk meraih kemenangan. Dapatkan informasi lengkap mengenai jadwal pertandingan dan hasil pertandingan terbaru hanya di Vidio.</t>
  </si>
  <si>
    <t>https://drive.google.com/file/d/1UprpjEzrblX13BitbZcl5YCrjoI3g8XB/view?usp=sharing</t>
  </si>
  <si>
    <t>eed0315d</t>
  </si>
  <si>
    <t>Jelang Kick Off -  Madura United FC vs PERSEBAYA Surabaya - BRI Super League</t>
  </si>
  <si>
    <t>https://drive.google.com/drive/folders/1AkkY8LvZv5Pz2p9Fb9shCv9-Ls_HMnGa?usp=drive_link</t>
  </si>
  <si>
    <t>Nonton streaming pertandingan seru Jelang Kick Off -  Madura United FC vs PERSEBAYA Surabaya - BRI Super League. Saksikan aksi-aksi terbaik dari tim yang bersaing ketat untuk meraih kemenangan. Dapatkan informasi lengkap mengenai jadwal pertandingan dan hasil pertandingan terbaru hanya di Vidio.</t>
  </si>
  <si>
    <t>https://drive.google.com/file/d/1fL8-JexQmTRCR8uT2LBpwRv-zWvP_1e2/view?usp=sharing</t>
  </si>
  <si>
    <t>8760a8c8</t>
  </si>
  <si>
    <t>Jelang Kick Off - Bali United FC vs Arema FC - BRI Super League</t>
  </si>
  <si>
    <t>https://www.vidio.com/live/19383-bri-super-league?schedule_id=4824480</t>
  </si>
  <si>
    <t>Nonton streaming pertandingan seru Jelang Kick Off - Bali United FC vs Arema FC - BRI Super League. Saksikan aksi-aksi terbaik dari tim yang bersaing ketat untuk meraih kemenangan. Dapatkan informasi lengkap mengenai jadwal pertandingan dan hasil pertandingan terbaru hanya di Vidio.</t>
  </si>
  <si>
    <t>a25d10a7</t>
  </si>
  <si>
    <t>Jelang Kick Off - PERSIK Kediri vs PERSIB - BRI Super League</t>
  </si>
  <si>
    <t>https://www.vidio.com/live/19355-bri-super-league?schedule_id=4827681</t>
  </si>
  <si>
    <t>https://drive.google.com/drive/folders/1ErTUBE2YRkGcjNJs6UzIbspBkGIalvvc?usp=drive_link</t>
  </si>
  <si>
    <t>Nonton streaming pertandingan seru Jelang Kick Off - PERSIK Kediri vs PERSIB - BRI Super League. Saksikan aksi-aksi terbaik dari tim yang bersaing ketat untuk meraih kemenangan. Dapatkan informasi lengkap mengenai jadwal pertandingan dan hasil pertandingan terbaru hanya di Vidio.</t>
  </si>
  <si>
    <t>https://drive.google.com/file/d/1Ahd4x3lkSmNyaq6x7JBmSOSCYadxGRAz/view?usp=sharing</t>
  </si>
  <si>
    <t>733e9b94</t>
  </si>
  <si>
    <t>Eyupspor vs Fenerbahce - Trendyol Super Lig</t>
  </si>
  <si>
    <t>https://www.vidio.com/live/17875-bein-2?schedule_id=4788323</t>
  </si>
  <si>
    <t>Eyupspor</t>
  </si>
  <si>
    <t>Eyupspor; fenerbahce; sports stream</t>
  </si>
  <si>
    <t>Nonton streaming pertandingan seru Eyupspor vs Fenerbahce - Trendyol Super Lig. Saksikan aksi-aksi terbaik dari tim yang bersaing ketat untuk meraih kemenangan. Dapatkan informasi lengkap mengenai jadwal pertandingan dan hasil pertandingan terbaru hanya di Vidio.</t>
  </si>
  <si>
    <t>https://thumbor.prod.vidiocdn.com/BPSmxCp0oFamaYmVZDeWeW-gMX0=/filters:quality(70)/vidio-media-production/uploads/image/source/52328/a0c5ee.png</t>
  </si>
  <si>
    <t>b9f40aef</t>
  </si>
  <si>
    <t>An Se Young (KOR) vs Akane Yamaguchi (JPN) - Women's Singles Semifinals | HSBC BWF World Tour Finals 2025</t>
  </si>
  <si>
    <t>https://www.vidio.com/live/18249-hsbc-bwf-world-tour-finals-2025-semifinals?schedule_id=4788330</t>
  </si>
  <si>
    <t>Nonton streaming pertandingan seru An Se Young (KOR) vs Akane Yamaguchi (JPN) - Women's Singles Semifinals | HSBC BWF World Tour Finals 2025. Saksikan aksi-aksi terbaik dari tim yang bersaing ketat untuk meraih kemenangan. Dapatkan informasi lengkap mengenai jadwal pertandingan dan hasil pertandingan terbaru hanya di Vidio.</t>
  </si>
  <si>
    <t>19f43e39</t>
  </si>
  <si>
    <t>Ratchanok Intanon (THA) vs Wang Zhi Yi (CHN) - Women's Singles Semifinals | HSBC BWF World Tour Finals 2025</t>
  </si>
  <si>
    <t>https://www.vidio.com/live/18249-hsbc-bwf-world-tour-finals-2025-semifinals?schedule_id=4788329</t>
  </si>
  <si>
    <t>Nonton streaming pertandingan seru Ratchanok Intanon (THA) vs Wang Zhi Yi (CHN) - Women's Singles Semifinals | HSBC BWF World Tour Finals 2025. Saksikan aksi-aksi terbaik dari tim yang bersaing ketat untuk meraih kemenangan. Dapatkan informasi lengkap mengenai jadwal pertandingan dan hasil pertandingan terbaru hanya di Vidio.</t>
  </si>
  <si>
    <t>3ee1e8c8</t>
  </si>
  <si>
    <t>Hiroki Midorikawa/Natsu Saito (JPN) vs Feng Yan Zhe/Huang Dong Ping (CHN) - Mixed Doubles Semifinals | HSBC BWF World Tour Finals 2025</t>
  </si>
  <si>
    <t>https://www.vidio.com/live/18249-hsbc-bwf-world-tour-finals-2025-semifinals?schedule_id=4788328</t>
  </si>
  <si>
    <t>Nonton streaming pertandingan seru Hiroki Midorikawa/Natsu Saito (JPN) vs Feng Yan Zhe/Huang Dong Ping (CHN) - Mixed Doubles Semifinals | HSBC BWF World Tour Finals 2025. Saksikan aksi-aksi terbaik dari tim yang bersaing ketat untuk meraih kemenangan. Dapatkan informasi lengkap mengenai jadwal pertandingan dan hasil pertandingan terbaru hanya di Vidio.</t>
  </si>
  <si>
    <t>f15c973a</t>
  </si>
  <si>
    <t>Pearly Tan/Thinaah Muralitharan (MAS) vs Yuki Fukushima/Mayu Matsumoto (JPN) - Women's Doubles Semifinals | HSBC BWF World Tour Finals 2025</t>
  </si>
  <si>
    <t>https://www.vidio.com/live/18249-hsbc-bwf-world-tour-finals-2025-semifinals?schedule_id=4788327</t>
  </si>
  <si>
    <t>Nonton streaming pertandingan seru Tan Pearly/Thinaah Muralitharan (MAS) vs Yuki Fukushima/Mayu Matsumoto (JPN) - Women's Doubles Semifinals | HSBC BWF World Tour Finals 2025. Saksikan aksi-aksi terbaik dari tim yang bersaing ketat untuk meraih kemenangan. Dapatkan informasi lengkap mengenai jadwal pertandingan dan hasil pertandingan terbaru hanya di Vidio.</t>
  </si>
  <si>
    <t>a703d325</t>
  </si>
  <si>
    <t>Christo Popov (FRA) vs Kodai Naraoka (JPN) - Men's Singles Semifinals | HSBC BWF World Tour Finals 2025</t>
  </si>
  <si>
    <t>https://www.vidio.com/live/18249-hsbc-bwf-world-tour-finals-2025-semifinals?schedule_id=4788326</t>
  </si>
  <si>
    <t>Nonton streaming pertandingan seru Christo Popov (FRA) vs Kodai Naraoka (JPN) - Men's Singles Semifinals | HSBC BWF World Tour Finals 2025. Saksikan aksi-aksi terbaik dari tim yang bersaing ketat untuk meraih kemenangan. Dapatkan informasi lengkap mengenai jadwal pertandingan dan hasil pertandingan terbaru hanya di Vidio.</t>
  </si>
  <si>
    <t>a01a7a25</t>
  </si>
  <si>
    <t>Jiang Zhen Bang/Wei Ya Xin (CHN) vs Chen Tang Jie/Toh Ee Wei (MAS) - Mixed Doubles Semifinals | HSBC BWF World Tour Finals 2025</t>
  </si>
  <si>
    <t>https://www.vidio.com/live/18249-hsbc-bwf-world-tour-finals-2025-semifinals?schedule_id=4788336</t>
  </si>
  <si>
    <t>Nonton streaming pertandingan seru Jiang Zhen Bang/Wei Ya Xin (CHN) vs Chen Tang Jie/Toh Ee Wei (MAS) - Mixed Doubles Semifinals | HSBC BWF World Tour Finals 2025. Saksikan aksi-aksi terbaik dari tim yang bersaing ketat untuk meraih kemenangan. Dapatkan informasi lengkap mengenai jadwal pertandingan dan hasil pertandingan terbaru hanya di Vidio.</t>
  </si>
  <si>
    <t>003f4455</t>
  </si>
  <si>
    <t>Baek Ha Na/Lee So Hee (KOR) vs Liu Sheng Shu/Tan Ning (CHN) - Women's Doubles Semifinals | HSBC BWF World Tour Finals 2025</t>
  </si>
  <si>
    <t>https://www.vidio.com/live/18249-hsbc-bwf-world-tour-finals-2025-semifinals?schedule_id=4788335</t>
  </si>
  <si>
    <t>Nonton streaming pertandingan seru Baek Ha Na/Lee So Hee (KOR) vs Liu Sheng Shu/Tan Ning (CHN) - Women's Doubles Semifinals | HSBC BWF World Tour Finals 2025. Saksikan aksi-aksi terbaik dari tim yang bersaing ketat untuk meraih kemenangan. Dapatkan informasi lengkap mengenai jadwal pertandingan dan hasil pertandingan terbaru hanya di Vidio.</t>
  </si>
  <si>
    <t>f2f238a4</t>
  </si>
  <si>
    <t>Kunlavut Vitidsarn (THA) vs Shi Yu Qi (CHN) - Men's Singles Semifinals | HSBC BWF World Tour Finals 2025</t>
  </si>
  <si>
    <t>https://www.vidio.com/live/18249-hsbc-bwf-world-tour-finals-2025-semifinals?schedule_id=4788334</t>
  </si>
  <si>
    <t>Nonton streaming pertandingan seru Kunlavut Vitidsarn (THA) vs Shi Yu Qi (CHN) - Men's Singles Semifinals | HSBC BWF World Tour Finals 2025. Saksikan aksi-aksi terbaik dari tim yang bersaing ketat untuk meraih kemenangan. Dapatkan informasi lengkap mengenai jadwal pertandingan dan hasil pertandingan terbaru hanya di Vidio.</t>
  </si>
  <si>
    <t>e03e499b</t>
  </si>
  <si>
    <t>Kim Won Ho/Seo Seung Jae (KOR) vs Sabar Karyaman Gutama/Moh Reza Pahlevi Isfahani (INA) - Men's Doubles Semifinals | HSBC BWF World Tour Finals 2025</t>
  </si>
  <si>
    <t>https://www.vidio.com/live/18249-hsbc-bwf-world-tour-finals-2025-semifinals?schedule_id=4788333</t>
  </si>
  <si>
    <t>Nonton streaming pertandingan seru Kim Won Ho/Seo Seung Jae (KOR) vs Sabar Karyaman Gutama/Moh Reza Pahlevi Isfahani (INA) - Men's Doubles Semifinals | HSBC BWF World Tour Finals 2025. Saksikan aksi-aksi terbaik dari tim yang bersaing ketat untuk meraih kemenangan. Dapatkan informasi lengkap mengenai jadwal pertandingan dan hasil pertandingan terbaru hanya di Vidio.</t>
  </si>
  <si>
    <t>72b17022</t>
  </si>
  <si>
    <t>Liang Wei Keng/Wang Chang (CHN) vs Satwiksairaj Rankireddy/Chirag Shetty (IND) - Men's Doubles Semifinals | HSBC BWF World Tour Finals 2025</t>
  </si>
  <si>
    <t>https://www.vidio.com/live/18249-hsbc-bwf-world-tour-finals-2025-semifinals?schedule_id=4788331</t>
  </si>
  <si>
    <t>Nonton streaming pertandingan seru Liang Wei Keng/Wang Chang (CHN) vs Satwiksairaj Rankireddy/Chirag Shetty (IND) - Men's Doubles Semifinals | HSBC BWF World Tour Finals 2025. Saksikan aksi-aksi terbaik dari tim yang bersaing ketat untuk meraih kemenangan. Dapatkan informasi lengkap mengenai jadwal pertandingan dan hasil pertandingan terbaru hanya di Vidio.</t>
  </si>
  <si>
    <t>3901049d</t>
  </si>
  <si>
    <t>World Tennis Continental Cup 2025 - Day 2</t>
  </si>
  <si>
    <t>World Tennis Continental Cup 2025</t>
  </si>
  <si>
    <t>https://www.vidio.com/live/6685-champions-tv-1?schedule_id=4796999</t>
  </si>
  <si>
    <t>https://drive.google.com/drive/folders/1srROS9ifW9qLM6vPTaIrkrfuvIjTGQwm</t>
  </si>
  <si>
    <t>https://drive.google.com/drive/folders/1-3G60-ZlhXCiGmbUDWlPqWofGMOmwszR</t>
  </si>
  <si>
    <t>Sports &gt; Tennis &gt; World Tennis Continental Cup</t>
  </si>
  <si>
    <t>World Tennis Continental Cup;World Tennis Continental Cup 2025</t>
  </si>
  <si>
    <t>wta;atp</t>
  </si>
  <si>
    <t>Nonton streaming pertandingan seru World Tennis Continental Cup 2025 - Day 2. Saksikan aksi-aksi terbaik dari tim yang bersaing ketat untuk meraih kemenangan. Dapatkan informasi lengkap mengenai jadwal pertandingan dan hasil pertandingan terbaru hanya di Vidio.</t>
  </si>
  <si>
    <t>https://drive.google.com/file/d/1LZ1HAML-erYFmZJWZtyDCqUwDSM0uG1L/view?usp=sharing</t>
  </si>
  <si>
    <t>https://drive.google.com/file/d/1rnhlOUGv1XnHJwtoLhblHBMtq8uO2m1P/view?usp=sharing</t>
  </si>
  <si>
    <t>ec1428fd</t>
  </si>
  <si>
    <t>https://www.vidio.com/live/6685-champions-tv-1?schedule_id=4797000</t>
  </si>
  <si>
    <t>https://drive.google.com/drive/folders/1U3OVH8G2xnPmWupbsep_q0E3LKYH6A9I</t>
  </si>
  <si>
    <t>https://drive.google.com/file/d/1TTvHd_RVuSXIhGOQcSsR6CChuuYqWczI/view?usp=sharing</t>
  </si>
  <si>
    <t>https://drive.google.com/file/d/1QTJLPDpVtId8aUb81XDEJl0NiDCJZ4lV/view?usp=sharing</t>
  </si>
  <si>
    <t>119d0abd</t>
  </si>
  <si>
    <t>World Tennis Continental Cup 2025 - Day 3</t>
  </si>
  <si>
    <t>https://www.vidio.com/live/6685-champions-tv-1?schedule_id=4797003</t>
  </si>
  <si>
    <t>https://drive.google.com/drive/folders/1SbXcPx1Y0HDg3AUHE6ZO6FW6xpeNAJnU</t>
  </si>
  <si>
    <t>Nonton streaming pertandingan seru World Tennis Continental Cup 2025 - Day 3. Saksikan aksi-aksi terbaik dari tim yang bersaing ketat untuk meraih kemenangan. Dapatkan informasi lengkap mengenai jadwal pertandingan dan hasil pertandingan terbaru hanya di Vidio.</t>
  </si>
  <si>
    <t>https://drive.google.com/file/d/1Z4xlgvT5uH20MN2nt2EvEWPCNrII8c5g/view?usp=sharing</t>
  </si>
  <si>
    <t>https://drive.google.com/file/d/1Ez2iH4icoryW_hQ3Rd2UNi1DHs08jVSr/view?usp=sharing</t>
  </si>
  <si>
    <t>707c1733</t>
  </si>
  <si>
    <t>Jiang Zhen Bang/Wei Ya Xin (CHN) vs Feng Yan Zhe/Huang Dong Ping (CHN) - Mixed Doubles Final | HSBC BWF World Tour Finals 2025</t>
  </si>
  <si>
    <t>https://www.vidio.com/live/18249-hsbc-bwf-world-tour-finals-2025-finals?schedule_id=4789246</t>
  </si>
  <si>
    <t>Nonton streaming pertandingan seru Jiang Zhen Bang/Wei Ya Xin (CHN) vs Feng Yan Zhe/Huang Dong Ping (CHN) - Mixed Doubles Final | HSBC BWF World Tour Finals 2025. Saksikan aksi-aksi terbaik dari tim yang bersaing ketat untuk meraih kemenangan. Dapatkan informasi lengkap mengenai jadwal pertandingan dan hasil pertandingan terbaru hanya di Vidio.</t>
  </si>
  <si>
    <t>24167369</t>
  </si>
  <si>
    <t>Yuki Fukushima/Mayu Matsumoto (JPN) vs Baek Ha Na/Lee So Hee (KOR) - Women's Doubles Final | HSBC BWF World Tour Finals 2025</t>
  </si>
  <si>
    <t>https://www.vidio.com/live/18249-hsbc-bwf-world-tour-finals-2025-finals?schedule_id=4789245</t>
  </si>
  <si>
    <t>Nonton streaming pertandingan seru Yuki Fukushima/Mayu Matsumoto (JPN) vs Baek Ha Na/Lee So Hee (KOR) - Women's Doubles Final | HSBC BWF World Tour Finals 2025. Saksikan aksi-aksi terbaik dari tim yang bersaing ketat untuk meraih kemenangan. Dapatkan informasi lengkap mengenai jadwal pertandingan dan hasil pertandingan terbaru hanya di Vidio.</t>
  </si>
  <si>
    <t>42c82980</t>
  </si>
  <si>
    <t>An Se Young (KOR) vs Wang Zhi Yi (CHN) - Women's Singles Final | HSBC BWF World Tour Finals 2025</t>
  </si>
  <si>
    <t>https://www.vidio.com/live/18249-hsbc-bwf-world-tour-finals-2025-finals?schedule_id=4789244</t>
  </si>
  <si>
    <t>Nonton streaming pertandingan seru An Se Young (KOR) vs Wang Zhi Yi (CHN) - Women's Singles Final | HSBC BWF World Tour Finals 2025. Saksikan aksi-aksi terbaik dari tim yang bersaing ketat untuk meraih kemenangan. Dapatkan informasi lengkap mengenai jadwal pertandingan dan hasil pertandingan terbaru hanya di Vidio.</t>
  </si>
  <si>
    <t>df3ea6ed</t>
  </si>
  <si>
    <t>Christo Popov (FRA) vs Shi Yu Qi (CHN) - Men's Singles Final | HSBC BWF World Tour Finals 2025</t>
  </si>
  <si>
    <t>https://www.vidio.com/live/18249-hsbc-bwf-world-tour-finals-2025-finals?schedule_id=4789243</t>
  </si>
  <si>
    <t>Nonton streaming pertandingan seru Christo Popov (FRA) vs Shi Yu Qi (CHN) - Men's Singles Final | HSBC BWF World Tour Finals 2025. Saksikan aksi-aksi terbaik dari tim yang bersaing ketat untuk meraih kemenangan. Dapatkan informasi lengkap mengenai jadwal pertandingan dan hasil pertandingan terbaru hanya di Vidio.</t>
  </si>
  <si>
    <t>31371f21</t>
  </si>
  <si>
    <t>Kim Won Ho/Seo Seung Jae (KOR) vs Liang Wei Keng/Wang Chang (CHN) - Men's Doubles Final | HSBC BWF World Tour Finals 2025</t>
  </si>
  <si>
    <t>https://www.vidio.com/live/18249-hsbc-bwf-world-tour-finals-2025-finals?schedule_id=4789242</t>
  </si>
  <si>
    <t>Nonton streaming pertandingan seru Kim Won Ho/Seo Seung Jae (KOR) vs Liang Wei Keng/Wang Chang (CHN) - Men's Doubles Final | HSBC BWF World Tour Finals 2025. Saksikan aksi-aksi terbaik dari tim yang bersaing ketat untuk meraih kemenangan. Dapatkan informasi lengkap mengenai jadwal pertandingan dan hasil pertandingan terbaru hanya di Vidio.</t>
  </si>
  <si>
    <t>9e5b8d24</t>
  </si>
  <si>
    <t>https://www.vidio.com/live/6685-champions-tv-1?schedule_id=4797004</t>
  </si>
  <si>
    <t>https://drive.google.com/drive/folders/1L42QeC9Z7w5UGpR1z4-ZoLegP8dFblas</t>
  </si>
  <si>
    <t>https://drive.google.com/file/d/1_DnOTO5XbHNZvCabUDvxXTRtRDBIoQrD/view?usp=sharing</t>
  </si>
  <si>
    <t>https://drive.google.com/file/d/15vtIt79lCwzbXmfMoDSwDWxs1FMSPFf7/view?usp=sharing</t>
  </si>
  <si>
    <t>e72123c1</t>
  </si>
  <si>
    <t>https://drive.google.com/drive/folders/1F848qRA_HFf6LYjG9q9Nql9WqOs0Zao6?usp=drive_link</t>
  </si>
  <si>
    <t>https://drive.google.com/file/d/1Dv8EJaoMIx90v4wyFiF5d80D_uGoYI8U/view?usp=sharing</t>
  </si>
  <si>
    <t>https://drive.google.com/file/d/1gMj7eVX561MTl8BN6Y8deMKduoUsZUV-/view?usp=sharing</t>
  </si>
  <si>
    <t>8b88ccfd</t>
  </si>
  <si>
    <t>Kuzeyboru vs Eczacibasi Dynavit - Turkish Women's Volleyball League</t>
  </si>
  <si>
    <t>https://www.vidio.com/live/19737-turkish-volleyball-league?schedule_id=4803429</t>
  </si>
  <si>
    <t>https://drive.google.com/drive/folders/1N_T-wxA3A0512WL07eRzZZ20mdG7f-NM</t>
  </si>
  <si>
    <t>Kuzeyboru; eczacibasi dynavit; sports stream</t>
  </si>
  <si>
    <t>Nonton streaming pertandingan seru Kuzeyboru vs Eczacibasi Dynavit - Turkish Women's Volleyball League. Saksikan aksi-aksi terbaik dari tim yang bersaing ketat untuk meraih kemenangan. Dapatkan informasi lengkap mengenai jadwal pertandingan dan hasil pertandingan terbaru hanya di Vidio.</t>
  </si>
  <si>
    <t>https://thumbor.prod.vidiocdn.com/TjQwzGp14aq-Qyx0WcqniK1mNos=/filters:quality(70)/vidio-media-production/uploads/image/source/52471/27ad9c.png</t>
  </si>
  <si>
    <t>https://drive.google.com/file/d/1zxjhjSU85E5bguQYEKGBOdHz8Tay8hqX/view?usp=sharing</t>
  </si>
  <si>
    <t>69d112c2</t>
  </si>
  <si>
    <t>Fenerbahce Medicana vs Aras Spor - Turkish Women's Volleyball League</t>
  </si>
  <si>
    <t>https://www.vidio.com/live/19738-turkish-volleyball-league?schedule_id=4803432</t>
  </si>
  <si>
    <t>https://drive.google.com/drive/folders/1UnjgtoC6dP3SBTKbCbDLGo1TVO7zIxTn</t>
  </si>
  <si>
    <t>fenerbahce medicana; aras kargo; sports stream</t>
  </si>
  <si>
    <t>Nonton streaming pertandingan seru Fenerbahce Medicana vs Aras Spor - Turkish Women's Volleyball League. Saksikan aksi-aksi terbaik dari tim yang bersaing ketat untuk meraih kemenangan. Dapatkan informasi lengkap mengenai jadwal pertandingan dan hasil pertandingan terbaru hanya di Vidio.</t>
  </si>
  <si>
    <t>https://thumbor.prod.vidiocdn.com/z92BHPDY9nJxT_YTtrkQ_NLyRyE=/filters:quality(70)/vidio-media-production/uploads/image/source/52472/c46699.png</t>
  </si>
  <si>
    <t>https://drive.google.com/file/d/1WPkrCCHXq7DjewOix1QPCmGCzbAk04iY/view?usp=sharing</t>
  </si>
  <si>
    <t>3ae6cfd9</t>
  </si>
  <si>
    <t>Vakifbank vs Zeren Spor - Turkish Women's Volleyball League</t>
  </si>
  <si>
    <t>https://www.vidio.com/live/19737-turkish-volleyball-league?schedule_id=4824474</t>
  </si>
  <si>
    <t>https://drive.google.com/drive/folders/1PLQGhXTdpO2Dn16d_fQeh332rY_0ZgN1</t>
  </si>
  <si>
    <t>vakifbank volleyball; zerenspor; sports stream</t>
  </si>
  <si>
    <t>Nonton streaming pertandingan seru Vakifbank vs Zeren Spor - Turkish Women's Volleyball League. Saksikan aksi-aksi terbaik dari tim yang bersaing ketat untuk meraih kemenangan. Dapatkan informasi lengkap mengenai jadwal pertandingan dan hasil pertandingan terbaru hanya di Vidio.</t>
  </si>
  <si>
    <t>https://thumbor.prod.vidiocdn.com/KzVmB4spzgsyy5_oUhELGIruX6g=/filters:quality(70)/vidio-media-production/uploads/image/source/52473/91c9d0.png</t>
  </si>
  <si>
    <t>https://drive.google.com/file/d/1waAF11SPEBbFBYmVGbXCDTL6K-G2H4JI/view?usp=sharing</t>
  </si>
  <si>
    <t>a07479a2</t>
  </si>
  <si>
    <t>Turk Hava Yollari vs Fenerbahce Medicana - Turkish Women's Volleyball League</t>
  </si>
  <si>
    <t>https://www.vidio.com/live/19737-turkish-volleyball-league?schedule_id=4832285</t>
  </si>
  <si>
    <t>https://drive.google.com/drive/folders/1yLptcEKoFrBwvZ8Q75p9PWoM7N_ga1Mh</t>
  </si>
  <si>
    <t>turk hava yollari; fenerbahce medicana; sports stream</t>
  </si>
  <si>
    <t>Nonton streaming pertandingan seru Turk Hava Yollari vs Fenerbahce Medicana - Turkish Women's Volleyball League. Saksikan aksi-aksi terbaik dari tim yang bersaing ketat untuk meraih kemenangan. Dapatkan informasi lengkap mengenai jadwal pertandingan dan hasil pertandingan terbaru hanya di Vidio.</t>
  </si>
  <si>
    <t>B2 , E5</t>
  </si>
  <si>
    <t>https://thumbor.prod.vidiocdn.com/eOGn8JUtmXtuYRcJdJokM8GEtvE=/filters:quality(70)/vidio-media-production/uploads/image/source/52933/6ed8ba.png</t>
  </si>
  <si>
    <t>https://drive.google.com/file/d/1ApFlIggnto1OIrZbZ3cf7vaytgz1n05w/view?usp=sharing</t>
  </si>
  <si>
    <t>8adbb3b3</t>
  </si>
  <si>
    <t>Aras Spor vs Nilufer Belediyespor - Turkish Women's Volleyball League</t>
  </si>
  <si>
    <t>https://www.vidio.com/live/19737-turkish-volleyball-league?schedule_id=4832301</t>
  </si>
  <si>
    <t>https://drive.google.com/drive/folders/14zF63q1ANGbLLUtQZMmpDiLd7lc6FLtF</t>
  </si>
  <si>
    <t>Nonton streaming pertandingan seru Aras Spor vs Nilufer Belediyespor - Turkish Women's Volleyball League. Saksikan aksi-aksi terbaik dari tim yang bersaing ketat untuk meraih kemenangan. Dapatkan informasi lengkap mengenai jadwal pertandingan dan hasil pertandingan terbaru hanya di Vidio.</t>
  </si>
  <si>
    <t>https://thumbor.prod.vidiocdn.com/8xBpfwvXy7IOreE9UhOcK5EuVKE=/filters:quality(70)/vidio-media-production/uploads/image/source/53059/3ad1ce.png</t>
  </si>
  <si>
    <t>https://drive.google.com/file/d/1BjVd7K9HOwzLyuaAelwp4OBEM_ofGdG0/view?usp=sharing</t>
  </si>
  <si>
    <t>0f3bee48</t>
  </si>
  <si>
    <t>Besiktas Ayos vs Vakifbank - Turkish Women's Volleyball League</t>
  </si>
  <si>
    <t>https://www.vidio.com/live/19737-turkish-volleyball-league?schedule_id=4832831</t>
  </si>
  <si>
    <t>https://drive.google.com/drive/folders/1WKj9h-5X9CbdKBBswsG_o4Qhc5rGeA1L</t>
  </si>
  <si>
    <t>besiktas ayos volleyball; vakifbank volleyball; sports stream</t>
  </si>
  <si>
    <t>Nonton streaming pertandingan seru Besiktas Ayos vs Vakifbank - Turkish Women's Volleyball League. Saksikan aksi-aksi terbaik dari tim yang bersaing ketat untuk meraih kemenangan. Dapatkan informasi lengkap mengenai jadwal pertandingan dan hasil pertandingan terbaru hanya di Vidio.</t>
  </si>
  <si>
    <t>https://thumbor.prod.vidiocdn.com/3gfITL9BjS_o-Db-CfjiH34UUXU=/filters:quality(70)/vidio-media-production/uploads/image/source/53060/46f706.png</t>
  </si>
  <si>
    <t>https://drive.google.com/file/d/104sCiBPPf9jTrjKhsM8q64alTi8jZjVD/view?usp=sharing</t>
  </si>
  <si>
    <t>c097742f</t>
  </si>
  <si>
    <t>Fenerbahce Medicana vs Zeren Spor - Turkish Women's Volleyball League</t>
  </si>
  <si>
    <t>fenerbahce medicana; zerenspor; sports stream</t>
  </si>
  <si>
    <t>Nonton streaming pertandingan seru Fenerbahce Medicana vs Zeren Spor - Turkish Women's Volleyball League. Saksikan aksi-aksi terbaik dari tim yang bersaing ketat untuk meraih kemenangan. Dapatkan informasi lengkap mengenai jadwal pertandingan dan hasil pertandingan terbaru hanya di Vidio.</t>
  </si>
  <si>
    <t>https://thumbor.prod.vidiocdn.com/z8WlebtYGekzrvyJeqLF_2Jv5wM=/filters:quality(70)/vidio-media-production/uploads/image/source/53061/b2e6fd.png</t>
  </si>
  <si>
    <t>26c5ad2f</t>
  </si>
  <si>
    <t>Aras Spor vs Goztepe - Turkish Women's Volleyball League</t>
  </si>
  <si>
    <t>aras kargo; Goztepe; sports stream</t>
  </si>
  <si>
    <t>Nonton streaming pertandingan seru Aras Spor vs Goztepe - Turkish Women's Volleyball League. Saksikan aksi-aksi terbaik dari tim yang bersaing ketat untuk meraih kemenangan. Dapatkan informasi lengkap mengenai jadwal pertandingan dan hasil pertandingan terbaru hanya di Vidio.</t>
  </si>
  <si>
    <t>https://thumbor.prod.vidiocdn.com/t-68Un3472MOv7HIkyvxEHcWQ0M=/filters:quality(70)/vidio-media-production/uploads/image/source/53062/69ef06.png</t>
  </si>
  <si>
    <t>23fd0915</t>
  </si>
  <si>
    <t>Vakifbank vs Eczacibasi Dynavit - Turkish Women's Volleyball League</t>
  </si>
  <si>
    <t>vakifbank volleyball; eczacibasi dynavit; sports stream</t>
  </si>
  <si>
    <t>Nonton streaming pertandingan seru Vakifbank vs Eczacibasi Dynavit - Turkish Women's Volleyball League. Saksikan aksi-aksi terbaik dari tim yang bersaing ketat untuk meraih kemenangan. Dapatkan informasi lengkap mengenai jadwal pertandingan dan hasil pertandingan terbaru hanya di Vidio.</t>
  </si>
  <si>
    <t>https://thumbor.prod.vidiocdn.com/cQYrFJ5DhaQU4uXZFy30ko533bc=/filters:quality(70)/vidio-media-production/uploads/image/source/53063/a9a24c.png</t>
  </si>
  <si>
    <t>24257673</t>
  </si>
  <si>
    <t>Fenerbahce Medicana vs Ziraat Bankkart - Turkish Men's Volleyball League</t>
  </si>
  <si>
    <t>https://www.vidio.com/live/19738-turkish-volleyball-league?schedule_id=4832832</t>
  </si>
  <si>
    <t>https://drive.google.com/drive/folders/1LcnOE8QyAjs0sfRdAfF49n4wo8Nd4Rws</t>
  </si>
  <si>
    <t>Fenerbahce HDI Sigorta Volleyball; ziraat bankkart; sports stream</t>
  </si>
  <si>
    <t>Nonton streaming pertandingan seru Fenerbahce Medicana vs Ziraat Bankkart - Turkish Men's Volleyball League. Saksikan aksi-aksi terbaik dari tim yang bersaing ketat untuk meraih kemenangan. Dapatkan informasi lengkap mengenai jadwal pertandingan dan hasil pertandingan terbaru hanya di Vidio.</t>
  </si>
  <si>
    <t>https://thumbor.prod.vidiocdn.com/6_2nA-nn6YR8OoHiCs4T0kd-Kz0=/filters:quality(70)/vidio-media-production/uploads/image/source/53064/56355c.png</t>
  </si>
  <si>
    <t>https://drive.google.com/file/d/1x01iRLfAoy31ZoFmEaDIrfbM0fbiLyyX/view?usp=sharing</t>
  </si>
  <si>
    <t>f5b9a9fb</t>
  </si>
  <si>
    <t>Spor Toto vs Fenerbahce Medicana - Turkish Men's Volleyball League</t>
  </si>
  <si>
    <t>spor toto volleyball; Fenerbahce HDI Sigorta Volleyball; sports stream</t>
  </si>
  <si>
    <t>Nonton streaming pertandingan seru Spor Toto vs Fenerbahce Medicana - Turkish Men's Volleyball League. Saksikan aksi-aksi terbaik dari tim yang bersaing ketat untuk meraih kemenangan. Dapatkan informasi lengkap mengenai jadwal pertandingan dan hasil pertandingan terbaru hanya di Vidio.</t>
  </si>
  <si>
    <t>cc2c6989</t>
  </si>
  <si>
    <t>Galatasaray HDI Sigorta vs Halkbank - Turkish Men's Volleyball League</t>
  </si>
  <si>
    <t>Galatasaray HDI Sigorta; halkbank; sports stream</t>
  </si>
  <si>
    <t>Nonton streaming pertandingan seru Galatasaray HDI Sigorta vs Halkbank - Turkish Men's Volleyball League. Saksikan aksi-aksi terbaik dari tim yang bersaing ketat untuk meraih kemenangan. Dapatkan informasi lengkap mengenai jadwal pertandingan dan hasil pertandingan terbaru hanya di Vidio.</t>
  </si>
  <si>
    <t>1a89caca</t>
  </si>
  <si>
    <t>Press Conference HSS Series 7</t>
  </si>
  <si>
    <t>https://www.vidio.com/live/20287-press-conference</t>
  </si>
  <si>
    <t>https://drive.google.com/drive/folders/14VQ0LB4XYLrhKu4zCXcWghRmaCQmT_IB?usp=drive_link</t>
  </si>
  <si>
    <t>Nonton streaming pertandingan seru Press Conference HSS Series 7. Saksikan aksi-aksi terbaik dari tim yang bersaing ketat untuk meraih kemenangan. Dapatkan informasi lengkap mengenai jadwal pertandingan dan hasil pertandingan terbaru hanya di Vidio.</t>
  </si>
  <si>
    <t>https://drive.google.com/file/d/1En_74z_Q24baPbaYk7juej07HqA3kUml/view?usp=sharing</t>
  </si>
  <si>
    <t>https://drive.google.com/file/d/1-EQVix3rOA2FQvmlzNDV9Lpik85FRszn/view?usp=sharing</t>
  </si>
  <si>
    <t>cc69d4ae</t>
  </si>
  <si>
    <t>Arsenal vs Man United - Women's Super League</t>
  </si>
  <si>
    <t>https://www.vidio.com/live/6317-bein-3?schedule_id=4832294</t>
  </si>
  <si>
    <t>https://drive.google.com/drive/folders/16LI2IGQ-e_mp3J16HyG-fUJmgkr8re1X</t>
  </si>
  <si>
    <t>Arsenal W.F.C.; manchester united w.f.c.; sports stream</t>
  </si>
  <si>
    <t>Nonton streaming pertandingan seru Arsenal vs Man United - Women's Super League. Saksikan aksi-aksi terbaik dari tim yang bersaing ketat untuk meraih kemenangan. Dapatkan informasi lengkap mengenai jadwal pertandingan dan hasil pertandingan terbaru hanya di Vidio.</t>
  </si>
  <si>
    <t>Arsenal: Alessia Russo &amp; Olivia Smith
Man United: Hinata Miyazawa &amp; Elisabeth Terland</t>
  </si>
  <si>
    <t>https://thumbor.prod.vidiocdn.com/UjVAQR6tE0NmzdLZG2VD9kLFaD8=/filters:quality(70)/vidio-media-production/uploads/image/source/52572/912764.png</t>
  </si>
  <si>
    <t>https://thumbor.prod.vidiocdn.com/7cS9uWC9tcNLzzm6dvrHZqklGBw=/filters:quality(70)/vidio-media-production/uploads/image/source/52573/d8d244.png</t>
  </si>
  <si>
    <t>https://drive.google.com/file/d/1WHdSA18PUnQ8ystZ3wEpJtDjFIhyjMG2/view?usp=sharing</t>
  </si>
  <si>
    <t>cbdb0e37</t>
  </si>
  <si>
    <t>Chelsea vs West Ham - Women's Super League</t>
  </si>
  <si>
    <t>https://www.vidio.com/live/6317-bein-3?schedule_id=4833790</t>
  </si>
  <si>
    <t>https://drive.google.com/drive/folders/1XZtwcajI_lq7IcdTc6Fkx1_UrIJOs-XQ</t>
  </si>
  <si>
    <t>Chelsea F.C. Women; west ham united fc women; sports stream</t>
  </si>
  <si>
    <t>Nonton streaming pertandingan seru Chelsea vs West Ham - Women's Super League. Saksikan aksi-aksi terbaik dari tim yang bersaing ketat untuk meraih kemenangan. Dapatkan informasi lengkap mengenai jadwal pertandingan dan hasil pertandingan terbaru hanya di Vidio.</t>
  </si>
  <si>
    <t>Chelsea: Beever Jones &amp; Lucy Bronze
West Ham: Yu Endo &amp; Anouk Denton</t>
  </si>
  <si>
    <t>https://thumbor.prod.vidiocdn.com/hgijqhyqkFXolbt9dXYPWX4c-fQ=/filters:quality(70)/vidio-media-production/uploads/image/source/53258/c06f57.png</t>
  </si>
  <si>
    <t>https://thumbor.prod.vidiocdn.com/81gcRydkbhjUaSKOjbjiQWykSNs=/filters:quality(70)/vidio-media-production/uploads/image/source/53260/0cdbb7.png</t>
  </si>
  <si>
    <t>https://drive.google.com/file/d/1GaO9iE6XUDntRDFR2fx9zK-cpDwzaM7D/view?usp=sharing</t>
  </si>
  <si>
    <t>1321cdad</t>
  </si>
  <si>
    <t>Liverpool vs London City Lionesses - Women's Super League</t>
  </si>
  <si>
    <t>https://www.vidio.com/live/6317-bein-3?schedule_id=4833791</t>
  </si>
  <si>
    <t>https://drive.google.com/drive/folders/1Ib6AKRNZPtYf7AQKn3GtOtLLFu3IqwYD</t>
  </si>
  <si>
    <t>Liverpool Women; London City Lionesses; sports stream</t>
  </si>
  <si>
    <t>Nonton streaming pertandingan seru Liverpool vs London City Lionesses - Women's Super League. Saksikan aksi-aksi terbaik dari tim yang bersaing ketat untuk meraih kemenangan. Dapatkan informasi lengkap mengenai jadwal pertandingan dan hasil pertandingan terbaru hanya di Vidio.</t>
  </si>
  <si>
    <t>Liverpool: Fuka Nagano &amp; Cornelia Kapocs
London City: Nikita Parris &amp; Kosovare Asllani</t>
  </si>
  <si>
    <t>https://thumbor.prod.vidiocdn.com/8Ra81ZH3bLThg_qQiM-xjXCZQUM=/filters:quality(70)/vidio-media-production/uploads/image/source/53259/a4650b.png</t>
  </si>
  <si>
    <t>https://thumbor.prod.vidiocdn.com/pTiSO4pOXYRDGxzXnLHTWwZKoAo=/filters:quality(70)/vidio-media-production/uploads/image/source/53261/ac2244.png</t>
  </si>
  <si>
    <t>https://drive.google.com/file/d/1nsj73dSeb5zXV1LpDhZkJsSYo0o8oOXd/view?usp=sharing</t>
  </si>
  <si>
    <t>3a0ae92c</t>
  </si>
  <si>
    <t>Aston Villa vs Man United - Women's Super League</t>
  </si>
  <si>
    <t>Aston Villa Women</t>
  </si>
  <si>
    <t>aston villa women; manchester united w.f.c.; sports stream</t>
  </si>
  <si>
    <t>Nonton streaming pertandingan seru Aston Villa vs Man United - Women's Super League. Saksikan aksi-aksi terbaik dari tim yang bersaing ketat untuk meraih kemenangan. Dapatkan informasi lengkap mengenai jadwal pertandingan dan hasil pertandingan terbaru hanya di Vidio.</t>
  </si>
  <si>
    <t>Aston Villa: Rachel Maltby &amp; Oceane Deslandes
Man United: Jess Park &amp; Ella Toone</t>
  </si>
  <si>
    <t>https://thumbor.prod.vidiocdn.com/mZ02j13H4Lo163ccfa1ijt9tmyg=/filters:quality(70)/vidio-media-production/uploads/image/source/53262/e3c61d.png</t>
  </si>
  <si>
    <t>https://thumbor.prod.vidiocdn.com/h4eJLgiFTS7jGc89cZISoGYxjOY=/filters:quality(70)/vidio-media-production/uploads/image/source/53263/207100.png</t>
  </si>
  <si>
    <t>51b8225b</t>
  </si>
  <si>
    <t>Hilton Grand Vacations Tournament of Champions - Round 1</t>
  </si>
  <si>
    <t>Hilton Grand Vacations Tournament of Champions 2026</t>
  </si>
  <si>
    <t>Champions Golf 2</t>
  </si>
  <si>
    <t>Sports &gt; Golf &gt; LPGA Tour</t>
  </si>
  <si>
    <t>LPGA Tour; Hilton Grand Vacations Tournament of Champions; Hilton Grand Vacations Tournament of Champions 2026</t>
  </si>
  <si>
    <t>LPGA</t>
  </si>
  <si>
    <t>Nonton streaming pertandingan seru Hilton Grand Vacations Tournament of Champions - Round 1. Saksikan aksi-aksi terbaik dari tim yang bersaing ketat untuk meraih kemenangan. Dapatkan informasi lengkap mengenai jadwal pertandingan dan hasil pertandingan terbaru hanya di Vidio.</t>
  </si>
  <si>
    <t>b9125c6d</t>
  </si>
  <si>
    <t>Hilton Grand Vacations Tournament of Champions - Round 2</t>
  </si>
  <si>
    <t>Nonton streaming pertandingan seru Hilton Grand Vacations Tournament of Champions - Round 2. Saksikan aksi-aksi terbaik dari tim yang bersaing ketat untuk meraih kemenangan. Dapatkan informasi lengkap mengenai jadwal pertandingan dan hasil pertandingan terbaru hanya di Vidio.</t>
  </si>
  <si>
    <t>ed9861c2</t>
  </si>
  <si>
    <t>Hilton Grand Vacations Tournament of Champions - Round 3</t>
  </si>
  <si>
    <t>Nonton streaming pertandingan seru Hilton Grand Vacations Tournament of Champions - Round 3. Saksikan aksi-aksi terbaik dari tim yang bersaing ketat untuk meraih kemenangan. Dapatkan informasi lengkap mengenai jadwal pertandingan dan hasil pertandingan terbaru hanya di Vidio.</t>
  </si>
  <si>
    <t>211fd85e</t>
  </si>
  <si>
    <t>Hilton Grand Vacations Tournament of Champions - Round 4</t>
  </si>
  <si>
    <t>Nonton streaming pertandingan seru Hilton Grand Vacations Tournament of Champions - Round 4. Saksikan aksi-aksi terbaik dari tim yang bersaing ketat untuk meraih kemenangan. Dapatkan informasi lengkap mengenai jadwal pertandingan dan hasil pertandingan terbaru hanya di Vidio.</t>
  </si>
  <si>
    <t>216680c9</t>
  </si>
  <si>
    <t>Semifinal Leg 1: Newcastle vs Man City - Carabao Cup</t>
  </si>
  <si>
    <t>https://drive.google.com/drive/folders/1auDTntcAhOXTVvfM_HKdig60ftIxxRhT</t>
  </si>
  <si>
    <t>https://drive.google.com/file/d/1D5cHpKEDVQ2YTtQXutUCqFDZxtlwlpac/view?usp=sharing</t>
  </si>
  <si>
    <t>Nonton streaming pertandingan seru Semifinal Leg 1: Newcastle vs Man City - Carabao Cup. Saksikan aksi-aksi terbaik dari tim yang bersaing ketat untuk meraih kemenangan. Dapatkan informasi lengkap mengenai jadwal pertandingan dan hasil pertandingan terbaru hanya di Vidio.</t>
  </si>
  <si>
    <t>https://drive.google.com/file/d/1S7qOzHg9lSleLc9a9hOgTJ-G-31tK13c/view?usp=sharing</t>
  </si>
  <si>
    <t>https://drive.google.com/file/d/1Dmi8enOLn0ZlqgfVXDdIRD9d7UHA4xno/view?usp=sharing</t>
  </si>
  <si>
    <t>46ec43cd</t>
  </si>
  <si>
    <t>Semifinal Leg 1: Chelsea vs Arsenal - Carabao Cup</t>
  </si>
  <si>
    <t>https://drive.google.com/drive/folders/1YLphtwzF1Zbu8Bu5FnU5tE86E4dL3vnX</t>
  </si>
  <si>
    <t>https://drive.google.com/file/d/1Dard6MH7k78Swic8dWOgnfHf_kOn3XLq/view?usp=sharing</t>
  </si>
  <si>
    <t>Nonton streaming pertandingan seru Semifinal Leg 1: Chelsea vs Arsenal - Carabao Cup. Saksikan aksi-aksi terbaik dari tim yang bersaing ketat untuk meraih kemenangan. Dapatkan informasi lengkap mengenai jadwal pertandingan dan hasil pertandingan terbaru hanya di Vidio.</t>
  </si>
  <si>
    <t>https://drive.google.com/file/d/1Ku30o4myRM_iHIscTpg_y4UhF19NNB4J/view?usp=sharing</t>
  </si>
  <si>
    <t>https://drive.google.com/file/d/1LQRbQ9-ndxAqLzfs4bPUj2nPJWr_MCP3/view?usp=sharing</t>
  </si>
  <si>
    <t>d938db55</t>
  </si>
  <si>
    <t>Semifinal Leg 2: Arsenal vs Chelsea - Carabao Cup</t>
  </si>
  <si>
    <t>Nonton streaming pertandingan seru Semifinal Leg 2: Arsenal vs Chelsea - Carabao Cup. Saksikan aksi-aksi terbaik dari tim yang bersaing ketat untuk meraih kemenangan. Dapatkan informasi lengkap mengenai jadwal pertandingan dan hasil pertandingan terbaru hanya di Vidio.</t>
  </si>
  <si>
    <t>cc9d5e3c</t>
  </si>
  <si>
    <t>Semifinal Leg 2: Man City vs Newcastle - Carabao Cup</t>
  </si>
  <si>
    <t>Nonton streaming pertandingan seru Semifinal Leg 2: Man City vs Newcastle - Carabao Cup. Saksikan aksi-aksi terbaik dari tim yang bersaing ketat untuk meraih kemenangan. Dapatkan informasi lengkap mengenai jadwal pertandingan dan hasil pertandingan terbaru hanya di Vidio.</t>
  </si>
  <si>
    <t>8866299b</t>
  </si>
  <si>
    <t>Al-Kholood vs Al-Hilal - ROSHN Saudi League</t>
  </si>
  <si>
    <t>https://www.vidio.com/live/17139-spotv?schedule_id=4803404</t>
  </si>
  <si>
    <t>al-kholood club; al-hilal; sports stream</t>
  </si>
  <si>
    <t>Nonton streaming pertandingan seru Al-Kholood vs Al-Hilal - ROSHN Saudi League. Saksikan aksi-aksi terbaik dari tim yang bersaing ketat untuk meraih kemenangan. Dapatkan informasi lengkap mengenai jadwal pertandingan dan hasil pertandingan terbaru hanya di Vidio.</t>
  </si>
  <si>
    <t>https://thumbor.prod.vidiocdn.com/zc-d21yekpxOTlshJhk7xh5ttAA=/filters:quality(70)/vidio-media-production/uploads/image/source/52679/c030b4.png</t>
  </si>
  <si>
    <t>f4b1a54d</t>
  </si>
  <si>
    <t>Al-Ittihad vs Al-Taawoun - ROSHN Saudi League</t>
  </si>
  <si>
    <t>https://www.vidio.com/live/17139-spotv?schedule_id=4819781</t>
  </si>
  <si>
    <t>https://drive.google.com/drive/folders/1GHqviR4LdqURk7yDvcialuPQZaDLbqD7</t>
  </si>
  <si>
    <t>al ittihad; al-taawoun fc; sports stream</t>
  </si>
  <si>
    <t>Nonton streaming pertandingan seru Al-Ittihad vs Al-Taawoun - ROSHN Saudi League. Saksikan aksi-aksi terbaik dari tim yang bersaing ketat untuk meraih kemenangan. Dapatkan informasi lengkap mengenai jadwal pertandingan dan hasil pertandingan terbaru hanya di Vidio.</t>
  </si>
  <si>
    <t>https://thumbor.prod.vidiocdn.com/eAmM1N3ykRQmxYcPhsdNTYodHXE=/filters:quality(70)/vidio-media-production/uploads/image/source/52680/cde874.png</t>
  </si>
  <si>
    <t>https://drive.google.com/file/d/11Vi8juyQ5LipIxFkaWw95ZtlLkEnRLjy/view?usp=sharing</t>
  </si>
  <si>
    <t>81c600e6</t>
  </si>
  <si>
    <t>Damac vs Al-Hilal - ROSHN Saudi League</t>
  </si>
  <si>
    <t>https://www.vidio.com/live/17139-spotv?schedule_id=4827322</t>
  </si>
  <si>
    <t>Damac FC</t>
  </si>
  <si>
    <t>damac fc; al-hilal; sports stream</t>
  </si>
  <si>
    <t>Nonton streaming pertandingan seru Damac vs Al-Hilal - ROSHN Saudi League. Saksikan aksi-aksi terbaik dari tim yang bersaing ketat untuk meraih kemenangan. Dapatkan informasi lengkap mengenai jadwal pertandingan dan hasil pertandingan terbaru hanya di Vidio.</t>
  </si>
  <si>
    <t>https://thumbor.prod.vidiocdn.com/WnCqpVsR4mfr6sEVuEr1cnC7BLM=/filters:quality(70)/vidio-media-production/uploads/image/source/52681/bb6894.png</t>
  </si>
  <si>
    <t>75d1b6ef</t>
  </si>
  <si>
    <t>Dundee United vs Dundee - Scottish Premiership</t>
  </si>
  <si>
    <t>https://www.vidio.com/live/17139-spotv?schedule_id=4819769</t>
  </si>
  <si>
    <t>Dundee</t>
  </si>
  <si>
    <t>Dundee United; Dundee; sports stream</t>
  </si>
  <si>
    <t>Nonton streaming pertandingan seru Dundee United vs Dundee - Scottish Premiership. Saksikan aksi-aksi terbaik dari tim yang bersaing ketat untuk meraih kemenangan. Dapatkan informasi lengkap mengenai jadwal pertandingan dan hasil pertandingan terbaru hanya di Vidio.</t>
  </si>
  <si>
    <t>https://thumbor.prod.vidiocdn.com/qzl5ql7DI_zJBGHjvtIKVMh6Kn0=/filters:quality(70)/vidio-media-production/uploads/image/source/52761/147dc1.png</t>
  </si>
  <si>
    <t>e0bf4ecd</t>
  </si>
  <si>
    <t>NEOM SC vs Al-Ittihad - ROSHN Saudi League</t>
  </si>
  <si>
    <t>https://www.vidio.com/live/17140-spotv-2?schedule_id=4802061</t>
  </si>
  <si>
    <t>NEOM SC; al ittihad; sports stream</t>
  </si>
  <si>
    <t>Nonton streaming pertandingan seru NEOM SC vs Al-Ittihad - ROSHN Saudi League. Saksikan aksi-aksi terbaik dari tim yang bersaing ketat untuk meraih kemenangan. Dapatkan informasi lengkap mengenai jadwal pertandingan dan hasil pertandingan terbaru hanya di Vidio.</t>
  </si>
  <si>
    <t>https://thumbor.prod.vidiocdn.com/kZgGGRTA6xjBmSDG3i96sUQ3l68=/filters:quality(70)/vidio-media-production/uploads/image/source/52678/f8dad2.png</t>
  </si>
  <si>
    <t>f2b2d2b5</t>
  </si>
  <si>
    <t>ONE Friday Fights 138</t>
  </si>
  <si>
    <t>ONE Championship 2026</t>
  </si>
  <si>
    <t>One Championship 2026</t>
  </si>
  <si>
    <t>Nonton streaming pertandingan seru ONE Friday Fights 138. Saksikan aksi-aksi terbaik dari tim yang bersaing ketat untuk meraih kemenangan. Dapatkan informasi lengkap mengenai jadwal pertandingan dan hasil pertandingan terbaru hanya di Vidio.</t>
  </si>
  <si>
    <t>b64f2671</t>
  </si>
  <si>
    <t>ONE Friday Fights 139</t>
  </si>
  <si>
    <t>Nonton streaming pertandingan seru ONE Friday Fights 139. Saksikan aksi-aksi terbaik dari tim yang bersaing ketat untuk meraih kemenangan. Dapatkan informasi lengkap mengenai jadwal pertandingan dan hasil pertandingan terbaru hanya di Vidio.</t>
  </si>
  <si>
    <t>f1cb2dc1</t>
  </si>
  <si>
    <t>ONE Fight Night 39: Rambolek vs Dayakaev</t>
  </si>
  <si>
    <t>Nonton streaming pertandingan seru ONE Fight Night 39: Rambolek vs Dayakaev. Saksikan aksi-aksi terbaik dari tim yang bersaing ketat untuk meraih kemenangan. Dapatkan informasi lengkap mengenai jadwal pertandingan dan hasil pertandingan terbaru hanya di Vidio.</t>
  </si>
  <si>
    <t>9f3b65b3</t>
  </si>
  <si>
    <t>ONE Friday Fights 140</t>
  </si>
  <si>
    <t>Nonton streaming pertandingan seru ONE Friday Fights 140. Saksikan aksi-aksi terbaik dari tim yang bersaing ketat untuk meraih kemenangan. Dapatkan informasi lengkap mengenai jadwal pertandingan dan hasil pertandingan terbaru hanya di Vidio.</t>
  </si>
  <si>
    <t>229265ee</t>
  </si>
  <si>
    <t>Rajadamnern 2026 January 3rd Event</t>
  </si>
  <si>
    <t>RWS Muay Thai 2026</t>
  </si>
  <si>
    <t>https://www.vidio.com/live/19388-rws-muay-thai-2026?schedule_id=4824473</t>
  </si>
  <si>
    <t>https://drive.google.com/drive/u/0/folders/1kvB_wqNYPhjRmRzrtCoOmRf1ELxrdDB_</t>
  </si>
  <si>
    <t>https://drive.google.com/drive/folders/1kPaPtiM-tP8Bw7kbD6NoJZuDbUPMlkdc?usp=drive_link</t>
  </si>
  <si>
    <t>RWS Muay Thai; RWS Muay Thai 2026</t>
  </si>
  <si>
    <t>RWS</t>
  </si>
  <si>
    <t>Nonton streaming pertandingan seru Rajadamnern 2026 January 3rd Event. Saksikan aksi-aksi terbaik dari tim yang bersaing ketat untuk meraih kemenangan. Dapatkan informasi lengkap mengenai jadwal pertandingan dan hasil pertandingan terbaru hanya di Vidio.</t>
  </si>
  <si>
    <t>https://drive.google.com/file/d/1_ca2bAiCOO-T6qSMvHk6c1FaI20Hggou/view?usp=sharing</t>
  </si>
  <si>
    <t>https://drive.google.com/file/d/1Kc3FhSLOGGe6qt2k1ACkU_evPePBlVN9/view?usp=sharing</t>
  </si>
  <si>
    <t>cca3333e</t>
  </si>
  <si>
    <t>WTA 500: Brisbane International presented by ANZ 2026 - Day 1 Session 1</t>
  </si>
  <si>
    <t>WTA 500: Brisbane International presented by ANZ 2026</t>
  </si>
  <si>
    <t>https://www.vidio.com/live/6786-champions-tv-3?schedule_id=4831356</t>
  </si>
  <si>
    <t>https://drive.google.com/drive/folders/1r6RlMeCAUMvm34DuXkNyN1o41tpuVv81?usp=drive_link</t>
  </si>
  <si>
    <t>Sports &gt; Tennis &gt; WTA</t>
  </si>
  <si>
    <t>wta tour; wta 500;Brisbane International;Brisbane International 2026</t>
  </si>
  <si>
    <t>wta</t>
  </si>
  <si>
    <t>Nonton streaming pertandingan seru WTA 500: Brisbane International presented by ANZ 2026 - Day 1 Session 1. Saksikan aksi-aksi terbaik dari tim yang bersaing ketat untuk meraih kemenangan. Dapatkan informasi lengkap mengenai jadwal pertandingan dan hasil pertandingan terbaru hanya di Vidio.</t>
  </si>
  <si>
    <t>https://drive.google.com/file/d/1kumD8pzJSb4aUw9lY_8QBJUiXxTt8T7m/view?usp=sharing</t>
  </si>
  <si>
    <t>https://drive.google.com/file/d/1nf91O8vj_IULTK5OmudcLViEMJdhfWBs/view?usp=sharing</t>
  </si>
  <si>
    <t>4ac35cba</t>
  </si>
  <si>
    <t>WTA 500: Brisbane International presented by ANZ 2026 - Day 1 Session 2</t>
  </si>
  <si>
    <t>https://www.vidio.com/live/6786-champions-tv-3?schedule_id=4831357</t>
  </si>
  <si>
    <t>https://drive.google.com/drive/folders/1HJ-fb7qaG6PvGOmkJgMskIggbjpr0hI6?usp=drive_link</t>
  </si>
  <si>
    <t>Nonton streaming pertandingan seru WTA 500: Brisbane International presented by ANZ 2026 - Day 1 Session 2. Saksikan aksi-aksi terbaik dari tim yang bersaing ketat untuk meraih kemenangan. Dapatkan informasi lengkap mengenai jadwal pertandingan dan hasil pertandingan terbaru hanya di Vidio.</t>
  </si>
  <si>
    <t>https://drive.google.com/file/d/1UepkuOl6fQChjWHbfWxL9BftJXmx6I1I/view?usp=sharing</t>
  </si>
  <si>
    <t>https://drive.google.com/file/d/1nqpcVK3n8XX73wVasEcEjXIaPSthkxtF/view?usp=sharing</t>
  </si>
  <si>
    <t>c038f926</t>
  </si>
  <si>
    <t>WTA 500: Brisbane International presented by ANZ 2026 - Day 2</t>
  </si>
  <si>
    <t>https://www.vidio.com/live/6786-champions-tv-3?schedule_id=4831358</t>
  </si>
  <si>
    <t>https://drive.google.com/drive/folders/1SrPxA63GMYqcUH3Rfvs4rVrt33rDms7S?usp=drive_link</t>
  </si>
  <si>
    <t>Nonton streaming pertandingan seru WTA 500: Brisbane International presented by ANZ 2026 - Day 2. Saksikan aksi-aksi terbaik dari tim yang bersaing ketat untuk meraih kemenangan. Dapatkan informasi lengkap mengenai jadwal pertandingan dan hasil pertandingan terbaru hanya di Vidio.</t>
  </si>
  <si>
    <t>https://drive.google.com/file/d/1PmY3ypAVBISiS9URvU4Jy9tFsu2PTCi3/view?usp=sharing</t>
  </si>
  <si>
    <t>https://drive.google.com/file/d/1vn-dh6KkV4xiCu9R14CA6nzymSzc7cAz/view?usp=sharing</t>
  </si>
  <si>
    <t>575f08b7</t>
  </si>
  <si>
    <t>WTA 500: Brisbane International presented by ANZ 2026 - Day 3</t>
  </si>
  <si>
    <t>https://www.vidio.com/live/6786-champions-tv-3?schedule_id=4831359</t>
  </si>
  <si>
    <t>https://drive.google.com/drive/folders/1Cvq1LtqCzVof6J-FW4eaLLI1WxmvRtVP?usp=drive_link</t>
  </si>
  <si>
    <t>Nonton streaming pertandingan seru WTA 500: Brisbane International presented by ANZ 2026 - Day 3. Saksikan aksi-aksi terbaik dari tim yang bersaing ketat untuk meraih kemenangan. Dapatkan informasi lengkap mengenai jadwal pertandingan dan hasil pertandingan terbaru hanya di Vidio.</t>
  </si>
  <si>
    <t>https://drive.google.com/file/d/1VHIj02f3kbDmrpJpwQB0MpggHwIT4fXo/view?usp=sharing</t>
  </si>
  <si>
    <t>https://drive.google.com/file/d/1RtIj3pzERzMmEiV3q1auft-O344dS57m/view?usp=sharing</t>
  </si>
  <si>
    <t>5c708164</t>
  </si>
  <si>
    <t>WTA 500: Brisbane International presented by ANZ 2026 - Quarter Finals</t>
  </si>
  <si>
    <t>https://www.vidio.com/live/6786-champions-tv-3?schedule_id=4832230</t>
  </si>
  <si>
    <t>https://drive.google.com/drive/folders/1swmmoJVMeH02LVfS_mYSr2VkRY7SIqnN</t>
  </si>
  <si>
    <t>Nonton streaming pertandingan seru WTA 500: Brisbane International presented by ANZ 2026 - Quarter Finals. Saksikan aksi-aksi terbaik dari tim yang bersaing ketat untuk meraih kemenangan. Dapatkan informasi lengkap mengenai jadwal pertandingan dan hasil pertandingan terbaru hanya di Vidio.</t>
  </si>
  <si>
    <t>https://drive.google.com/file/d/1b0O8zvihrjohhRKGzxeeh6-oyRXHnpYr/view?usp=sharing</t>
  </si>
  <si>
    <t>https://drive.google.com/file/d/1m3qW9YfvKtkB7Tph7_WHeEEvZPV0Jasm/view?usp=sharing</t>
  </si>
  <si>
    <t>a9bbe344</t>
  </si>
  <si>
    <t>WTA 500: Brisbane International presented by ANZ 2026 - Semifinal</t>
  </si>
  <si>
    <t>https://www.vidio.com/live/6786-champions-tv-3?schedule_id=4832272</t>
  </si>
  <si>
    <t>https://drive.google.com/drive/folders/1pspI-7-iXqj2cuT-RWsKMIWZPH79Lld_</t>
  </si>
  <si>
    <t>Nonton streaming pertandingan seru WTA 500: Brisbane International presented by ANZ 2026 - Semifinal. Saksikan aksi-aksi terbaik dari tim yang bersaing ketat untuk meraih kemenangan. Dapatkan informasi lengkap mengenai jadwal pertandingan dan hasil pertandingan terbaru hanya di Vidio.</t>
  </si>
  <si>
    <t>https://drive.google.com/file/d/1LOtgKnE1Hqn3AxL302OTsk1sRqyYJARV/view?usp=sharing</t>
  </si>
  <si>
    <t>https://drive.google.com/file/d/10S_7C0wOIMpUsDhCWdtb4Hj_GzBcx83O/view?usp=sharing</t>
  </si>
  <si>
    <t>c9eadda1</t>
  </si>
  <si>
    <t>https://www.vidio.com/live/6786-champions-tv-3?schedule_id=4832274</t>
  </si>
  <si>
    <t>https://drive.google.com/drive/folders/1rNDUurDDF3zVZdoiBjQfc6Xvu3hhVjwO</t>
  </si>
  <si>
    <t>be3e8a35</t>
  </si>
  <si>
    <t>WTA 500: Brisbane International presented by ANZ 2026 - Final</t>
  </si>
  <si>
    <t>https://www.vidio.com/live/6786-champions-tv-3?schedule_id=4832534</t>
  </si>
  <si>
    <t>https://drive.google.com/drive/folders/1ikHWMMrNx1Nko_DhyMPrnJ7Dx8jFvc_p?usp=drive_link</t>
  </si>
  <si>
    <t>Nonton streaming pertandingan seru WTA 500: Brisbane International presented by ANZ 2026 - Final. Saksikan aksi-aksi terbaik dari tim yang bersaing ketat untuk meraih kemenangan. Dapatkan informasi lengkap mengenai jadwal pertandingan dan hasil pertandingan terbaru hanya di Vidio.</t>
  </si>
  <si>
    <t>https://drive.google.com/file/d/1iYX72uHHonfjxKsLyLgDusxKnjEZrzNu/view?usp=sharing</t>
  </si>
  <si>
    <t>https://drive.google.com/file/d/1Lh6_7FNEJYEZotlRmmBeXl-JXuF_lZL1/view?usp=sharing</t>
  </si>
  <si>
    <t>f7bea848</t>
  </si>
  <si>
    <t>WTA 250: ASB Classic 2026 - Day 1</t>
  </si>
  <si>
    <t>WTA 250: ASB Classic 2026</t>
  </si>
  <si>
    <t>https://www.vidio.com/live/6685-champions-tv-1?schedule_id=4832225</t>
  </si>
  <si>
    <t>https://drive.google.com/drive/folders/1gd7WkrHu1_a29LNFljU1jzkyvJCjGG_I?usp=drive_link</t>
  </si>
  <si>
    <t>wta tour; wta 250;asb classic;ASB Classic 2026</t>
  </si>
  <si>
    <t>Nonton streaming pertandingan seru WTA 250: ASB Classic 2026 - Day 1. Saksikan aksi-aksi terbaik dari tim yang bersaing ketat untuk meraih kemenangan. Dapatkan informasi lengkap mengenai jadwal pertandingan dan hasil pertandingan terbaru hanya di Vidio.</t>
  </si>
  <si>
    <t>https://drive.google.com/file/d/1tuLdnP2GYHnawWcVX3xRI8E6BqYjXqTm/view?usp=sharing</t>
  </si>
  <si>
    <t>6276581b</t>
  </si>
  <si>
    <t>WTA 250: ASB Classic 2026 - Quarter Finals</t>
  </si>
  <si>
    <t>https://www.vidio.com/live/6685-champions-tv-1?schedule_id=4832229</t>
  </si>
  <si>
    <t>https://drive.google.com/drive/folders/11HUdfPwFbjYy7A75MFVOg7wJgVL6UdwS?usp=drive_link</t>
  </si>
  <si>
    <t>Nonton streaming pertandingan seru WTA 250: ASB Classic 2026 - Quarter Finals. Saksikan aksi-aksi terbaik dari tim yang bersaing ketat untuk meraih kemenangan. Dapatkan informasi lengkap mengenai jadwal pertandingan dan hasil pertandingan terbaru hanya di Vidio.</t>
  </si>
  <si>
    <t>https://drive.google.com/file/d/1vVDz3VfABN_DXMylSDs9thbxiApfdN06/view?usp=sharing</t>
  </si>
  <si>
    <t>12af7330</t>
  </si>
  <si>
    <t>WTA 250: ASB Classic 2026 - Semifinal</t>
  </si>
  <si>
    <t>https://www.vidio.com/live/6685-champions-tv-1?schedule_id=4832273</t>
  </si>
  <si>
    <t>https://drive.google.com/drive/folders/1F-L6dKiKMxM32lw21yn5LriTy3v3JLOZ?usp=drive_link</t>
  </si>
  <si>
    <t>Nonton streaming pertandingan seru WTA 250: ASB Classic 2026 - Semifinal. Saksikan aksi-aksi terbaik dari tim yang bersaing ketat untuk meraih kemenangan. Dapatkan informasi lengkap mengenai jadwal pertandingan dan hasil pertandingan terbaru hanya di Vidio.</t>
  </si>
  <si>
    <t>https://drive.google.com/file/d/16uBdkuTLAWfJ3RgM_75hJMi1bGgBAB7I/view?usp=sharing</t>
  </si>
  <si>
    <t>d8abffb1</t>
  </si>
  <si>
    <t>WTA 250: ASB Classic 2026 - Final</t>
  </si>
  <si>
    <t>https://www.vidio.com/live/6685-champions-tv-1?schedule_id=4832529</t>
  </si>
  <si>
    <t>https://drive.google.com/drive/folders/1M9jlSLBwgHpe96gZsNgIznuyt4lWfw9j?usp=drive_link</t>
  </si>
  <si>
    <t>Nonton streaming pertandingan seru WTA 250: ASB Classic 2026 - Final. Saksikan aksi-aksi terbaik dari tim yang bersaing ketat untuk meraih kemenangan. Dapatkan informasi lengkap mengenai jadwal pertandingan dan hasil pertandingan terbaru hanya di Vidio.</t>
  </si>
  <si>
    <t>https://drive.google.com/file/d/1M4nNN4BTJbk00iY_HF76OTng6HlTO3hX/view?usp=sharing</t>
  </si>
  <si>
    <t>f647edc0</t>
  </si>
  <si>
    <t>First Fight Volume 2</t>
  </si>
  <si>
    <t>VIDIO - @firstfight</t>
  </si>
  <si>
    <t>Sports &gt; Boxing &gt; First Fight</t>
  </si>
  <si>
    <t>First Fight; First Fight Volume 2</t>
  </si>
  <si>
    <t>Nonton streaming pertandingan seru First Fight Volume 2. Saksikan aksi-aksi terbaik dari tim yang bersaing ketat untuk meraih kemenangan. Dapatkan informasi lengkap mengenai jadwal pertandingan dan hasil pertandingan terbaru hanya di Vidio.</t>
  </si>
  <si>
    <t>5769c38f</t>
  </si>
  <si>
    <t>3b78a675</t>
  </si>
  <si>
    <t>UFC 325: Volkanovski vs Lopes 2</t>
  </si>
  <si>
    <t>https://www.dropbox.com/scl/fo/pyup6kelyotq2jlv42i89/AIHumyjDnZV40Cfq-X3HMt4/06%20Asia%20Pacific%20(APAC)?dl=0&amp;rlkey=mcuhcpi5e7com2h8au830cl1c&amp;subfolder_nav_tracking=1</t>
  </si>
  <si>
    <t>Nonton streaming pertandingan seru UFC 325: Volkanovski vs Lopes 2. Saksikan aksi-aksi terbaik dari tim yang bersaing ketat untuk meraih kemenangan. Dapatkan informasi lengkap mengenai jadwal pertandingan dan hasil pertandingan terbaru hanya di Vidio.</t>
  </si>
  <si>
    <t>ec91867b</t>
  </si>
  <si>
    <t>Egypt vs Benin - TotalEnergies Africa Cup of Nations</t>
  </si>
  <si>
    <t>https://www.vidio.com/live/6299-bein-1?schedule_id=4827325</t>
  </si>
  <si>
    <t>https://drive.google.com/drive/folders/1EdQHfUMCUVpVYeHKdij8S45he4kfE2V9</t>
  </si>
  <si>
    <t>egypt; benin; sports stream</t>
  </si>
  <si>
    <t>Nonton streaming pertandingan seru Egypt vs Benin - TotalEnergies Africa Cup of Nations. Saksikan aksi-aksi terbaik dari tim yang bersaing ketat untuk meraih kemenangan. Dapatkan informasi lengkap mengenai jadwal pertandingan dan hasil pertandingan terbaru hanya di Vidio.</t>
  </si>
  <si>
    <t>Round of 16</t>
  </si>
  <si>
    <t>https://thumbor.prod.vidiocdn.com/_jRjE_7l016dYI07-n5PFaQTV74=/filters:quality(70)/vidio-media-production/uploads/image/source/52956/dc25a5.png</t>
  </si>
  <si>
    <t>https://drive.google.com/file/d/1D1ugUhTHkz686AP_v9q88m_7ViFdDANL/view?usp=sharing</t>
  </si>
  <si>
    <t>7ae8c63a</t>
  </si>
  <si>
    <t>Algeria vs DR Congo - TotalEnergies Africa Cup of Nations</t>
  </si>
  <si>
    <t>https://www.vidio.com/live/6299-bein-1?schedule_id=4827326</t>
  </si>
  <si>
    <t>https://drive.google.com/drive/folders/1anSmMHxlYrsOZsPCaIbaxKy2O3vn0GO9</t>
  </si>
  <si>
    <t>algeria; dr congo; sports stream</t>
  </si>
  <si>
    <t>Nonton streaming pertandingan seru Algeria vs DR Congo - TotalEnergies Africa Cup of Nations. Saksikan aksi-aksi terbaik dari tim yang bersaing ketat untuk meraih kemenangan. Dapatkan informasi lengkap mengenai jadwal pertandingan dan hasil pertandingan terbaru hanya di Vidio.</t>
  </si>
  <si>
    <t>https://thumbor.prod.vidiocdn.com/FfLcnwk0YZrj-Cg-JJx7B1DrmZI=/filters:quality(70)/vidio-media-production/uploads/image/source/52958/34a9c4.png</t>
  </si>
  <si>
    <t>https://drive.google.com/file/d/1LkVc3AtFokHbEUfZti8T06MwwqUgoLSg/view?usp=sharing</t>
  </si>
  <si>
    <t>8d53a382</t>
  </si>
  <si>
    <t>Ivory Coast vs Burkina Faso - TotalEnergies Africa Cup of Nations</t>
  </si>
  <si>
    <t>https://www.vidio.com/live/6299-bein-1?schedule_id=4827330</t>
  </si>
  <si>
    <t>https://drive.google.com/drive/folders/11zBt1RpRXGPRmzB9EcKSHMACvusZtoTC</t>
  </si>
  <si>
    <t>ivory coast; burkina faso; sports stream</t>
  </si>
  <si>
    <t>Nonton streaming pertandingan seru Ivory Coast vs Burkina Faso - TotalEnergies Africa Cup of Nations. Saksikan aksi-aksi terbaik dari tim yang bersaing ketat untuk meraih kemenangan. Dapatkan informasi lengkap mengenai jadwal pertandingan dan hasil pertandingan terbaru hanya di Vidio.</t>
  </si>
  <si>
    <t>nurhadi@vidio.com</t>
  </si>
  <si>
    <t>https://thumbor.prod.vidiocdn.com/xQWFfuwTIWYba-n2j0033Zaakew=/filters:quality(70)/vidio-media-production/uploads/image/source/53241/4900dc.png</t>
  </si>
  <si>
    <t>7a82c3e9</t>
  </si>
  <si>
    <t>Semifinal: TBA vs TBA - TotalEnergies Africa Cup of Nations</t>
  </si>
  <si>
    <t>Nonton streaming pertandingan seru Semifinal: TBA vs TBA - TotalEnergies Africa Cup of Nations. Saksikan aksi-aksi terbaik dari tim yang bersaing ketat untuk meraih kemenangan. Dapatkan informasi lengkap mengenai jadwal pertandingan dan hasil pertandingan terbaru hanya di Vidio.</t>
  </si>
  <si>
    <t>bac5220e</t>
  </si>
  <si>
    <t>a49b3258</t>
  </si>
  <si>
    <t>Senegal vs Sudan - TotalEnergies Africa Cup of Nations</t>
  </si>
  <si>
    <t>https://www.vidio.com/live/6317-bein-3?schedule_id=4825768</t>
  </si>
  <si>
    <t>https://drive.google.com/drive/folders/1ab9zU0Hq9CaFxpz9aAj-10ipuq2Qc6IL?usp=drive_link</t>
  </si>
  <si>
    <t>senegal; sudan; sports stream</t>
  </si>
  <si>
    <t>Nonton streaming pertandingan seru Senegal vs Sudan - TotalEnergies Africa Cup of Nations. Saksikan aksi-aksi terbaik dari tim yang bersaing ketat untuk meraih kemenangan. Dapatkan informasi lengkap mengenai jadwal pertandingan dan hasil pertandingan terbaru hanya di Vidio.</t>
  </si>
  <si>
    <t>https://thumbor.prod.vidiocdn.com/rcLeB-iGcmcWgKu7VJvBUpM29_0=/filters:quality(70)/vidio-media-production/uploads/image/source/52953/0723b0.png</t>
  </si>
  <si>
    <t>https://drive.google.com/file/d/1Nuf1U0yXwOeNimzCIKuAqXg7nJisHKF7/view?usp=sharing</t>
  </si>
  <si>
    <t>c22d089a</t>
  </si>
  <si>
    <t>Mali vs Tunisia - TotalEnergies Africa Cup of Nations</t>
  </si>
  <si>
    <t>https://www.vidio.com/live/6317-bein-3?schedule_id=4825769</t>
  </si>
  <si>
    <t>https://drive.google.com/drive/folders/1zf0qvRIv8hHawbGV3BgRaZLuLhB18gpa</t>
  </si>
  <si>
    <t>mali; tunisia; sports stream</t>
  </si>
  <si>
    <t>Nonton streaming pertandingan seru Mali vs Tunisia - TotalEnergies Africa Cup of Nations. Saksikan aksi-aksi terbaik dari tim yang bersaing ketat untuk meraih kemenangan. Dapatkan informasi lengkap mengenai jadwal pertandingan dan hasil pertandingan terbaru hanya di Vidio.</t>
  </si>
  <si>
    <t>https://thumbor.prod.vidiocdn.com/2HAswZzTsve8hAu4kxESOTf0_rY=/filters:quality(70)/vidio-media-production/uploads/image/source/52952/990a48.png</t>
  </si>
  <si>
    <t>https://drive.google.com/file/d/1nOEwY2ebvY_EahDEyABMKkTioy_Rzesk/view?usp=sharing</t>
  </si>
  <si>
    <t>8fa02678</t>
  </si>
  <si>
    <t>Morocco vs Tanzania - TotalEnergies Africa Cup of Nations</t>
  </si>
  <si>
    <t>https://www.vidio.com/live/6317-bein-3?schedule_id=4827327</t>
  </si>
  <si>
    <t>https://drive.google.com/drive/folders/15DM7cppiwc8NzwfjENBOA16nj0BBVszb</t>
  </si>
  <si>
    <t>morocco; tanzania; sports stream</t>
  </si>
  <si>
    <t>Nonton streaming pertandingan seru Morocco vs Tanzania - TotalEnergies Africa Cup of Nations. Saksikan aksi-aksi terbaik dari tim yang bersaing ketat untuk meraih kemenangan. Dapatkan informasi lengkap mengenai jadwal pertandingan dan hasil pertandingan terbaru hanya di Vidio.</t>
  </si>
  <si>
    <t>https://thumbor.prod.vidiocdn.com/7LPXoFte9Pu4gROUuMYHb5dKBew=/filters:quality(70)/vidio-media-production/uploads/image/source/52954/090b59.png</t>
  </si>
  <si>
    <t>https://drive.google.com/file/d/1F_wpyvZ40X3xiafdhBwDAzupxFDCxP4x/view?usp=sharing</t>
  </si>
  <si>
    <t>e5951a6e</t>
  </si>
  <si>
    <t>South Africa vs Cameroon - TotalEnergies Africa Cup of Nations</t>
  </si>
  <si>
    <t>https://www.vidio.com/live/6317-bein-3?schedule_id=4827328</t>
  </si>
  <si>
    <t>https://drive.google.com/drive/folders/1ItwonWlOEnV5LT4r9M5CG5pwSlf5Qoeo</t>
  </si>
  <si>
    <t>south africa; cameroon; sports stream</t>
  </si>
  <si>
    <t>Nonton streaming pertandingan seru South Africa vs Cameroon - TotalEnergies Africa Cup of Nations. Saksikan aksi-aksi terbaik dari tim yang bersaing ketat untuk meraih kemenangan. Dapatkan informasi lengkap mengenai jadwal pertandingan dan hasil pertandingan terbaru hanya di Vidio.</t>
  </si>
  <si>
    <t>https://thumbor.prod.vidiocdn.com/Wrma4PygjrJQ37YChCViXiEXhYM=/filters:quality(70)/vidio-media-production/uploads/image/source/52955/d3bbdd.png</t>
  </si>
  <si>
    <t>https://drive.google.com/file/d/1cdIdC_djTEAszdBGg80mddActxrFWR4I/view?usp=sharing</t>
  </si>
  <si>
    <t>5439e3e7</t>
  </si>
  <si>
    <t>Nigeria vs Mozambique - TotalEnergies Africa Cup of Nations</t>
  </si>
  <si>
    <t>https://www.vidio.com/live/6317-bein-3?schedule_id=4827329</t>
  </si>
  <si>
    <t>https://drive.google.com/drive/folders/1x_bDFW35Y8wUDt8crTACZStGh0WHoCVb</t>
  </si>
  <si>
    <t>nigeria; mozambique; sports stream</t>
  </si>
  <si>
    <t>Nonton streaming pertandingan seru Nigeria vs Mozambique - TotalEnergies Africa Cup of Nations. Saksikan aksi-aksi terbaik dari tim yang bersaing ketat untuk meraih kemenangan. Dapatkan informasi lengkap mengenai jadwal pertandingan dan hasil pertandingan terbaru hanya di Vidio.</t>
  </si>
  <si>
    <t>https://thumbor.prod.vidiocdn.com/UCzb3XcC_5lb_IWjqFXSMZR-7jk=/filters:quality(70)/vidio-media-production/uploads/image/source/52957/6ca9e0.png</t>
  </si>
  <si>
    <t>https://drive.google.com/file/d/12d4K_H2iFVGrbjY4-VerIHZabH1_voqe/view?usp=sharing</t>
  </si>
  <si>
    <t>321cf5ec</t>
  </si>
  <si>
    <t>Quarterfinal: Mali vs Senegal - TotalEnergies Africa Cup of Nations</t>
  </si>
  <si>
    <t>https://www.vidio.com/live/6317-bein-3?schedule_id=4833007</t>
  </si>
  <si>
    <t>https://drive.google.com/drive/folders/1lZpW0zKs3J0ltIgT2lODwpRhHJDpm96-</t>
  </si>
  <si>
    <t>mali; senegal; sports stream</t>
  </si>
  <si>
    <t>Nonton streaming pertandingan seru Quarterfinal: Mali vs Senegal - TotalEnergies Africa Cup of Nations. Saksikan aksi-aksi terbaik dari tim yang bersaing ketat untuk meraih kemenangan. Dapatkan informasi lengkap mengenai jadwal pertandingan dan hasil pertandingan terbaru hanya di Vidio.</t>
  </si>
  <si>
    <t>https://thumbor.prod.vidiocdn.com/RotQPWm5DXpYMsY1hrmJFFZ8f8U=/filters:quality(70)/vidio-media-production/uploads/image/source/53242/e9753f.png</t>
  </si>
  <si>
    <t>https://drive.google.com/file/d/1BQS3wJVnQUNgrsdp_8uNPmzd21JBdiOf/view?usp=sharing</t>
  </si>
  <si>
    <t>a0554f36</t>
  </si>
  <si>
    <t>Quarterfinal: Cameroon vs Morocco - TotalEnergies Africa Cup of Nations</t>
  </si>
  <si>
    <t>https://www.vidio.com/live/17875-bein-2?schedule_id=4833008</t>
  </si>
  <si>
    <t>https://drive.google.com/drive/folders/1AbcWr3MqZx4zlWlL-C99SQYLflJ2W2bo</t>
  </si>
  <si>
    <t>cameroon; morocco; sports stream</t>
  </si>
  <si>
    <t>Nonton streaming pertandingan seru Quarterfinal: Cameroon vs Morocco - TotalEnergies Africa Cup of Nations. Saksikan aksi-aksi terbaik dari tim yang bersaing ketat untuk meraih kemenangan. Dapatkan informasi lengkap mengenai jadwal pertandingan dan hasil pertandingan terbaru hanya di Vidio.</t>
  </si>
  <si>
    <t>https://thumbor.prod.vidiocdn.com/yQLd6JVZn1OiJEurOEjJkv9NKqY=/filters:quality(70)/vidio-media-production/uploads/image/source/53243/da1547.png</t>
  </si>
  <si>
    <t>https://drive.google.com/file/d/1W1NXcBzJLTyJ8C1_W7tFLCiV0XdRXkoD/view?usp=sharing</t>
  </si>
  <si>
    <t>48146396</t>
  </si>
  <si>
    <t>Quarterfinal: Egypt vs Ivory Coast - TotalEnergies Africa Cup of Nations</t>
  </si>
  <si>
    <t>https://www.vidio.com/live/17875-bein-2?schedule_id=4833012</t>
  </si>
  <si>
    <t>https://drive.google.com/drive/folders/1gax7yLMDKkZS_L30u1HZe5_uvC3oUnT2</t>
  </si>
  <si>
    <t>egypt; ivory coast; sports stream</t>
  </si>
  <si>
    <t>Nonton streaming pertandingan seru Quarterfinal: Egypt vs Ivory Coast - TotalEnergies Africa Cup of Nations. Saksikan aksi-aksi terbaik dari tim yang bersaing ketat untuk meraih kemenangan. Dapatkan informasi lengkap mengenai jadwal pertandingan dan hasil pertandingan terbaru hanya di Vidio.</t>
  </si>
  <si>
    <t>https://thumbor.prod.vidiocdn.com/jhZRd0tlBw_Dx3hJDILlM80I9Ps=/filters:quality(70)/vidio-media-production/uploads/image/source/53245/ea4ddf.png</t>
  </si>
  <si>
    <t>https://drive.google.com/file/d/1MeazDDmN9UF4y_NmJKi7_sY1pglmIQVM/view?usp=sharing</t>
  </si>
  <si>
    <t>f6d8c2b1</t>
  </si>
  <si>
    <t>3rd Place: TBA vs TBA - TotalEnergies Africa Cup of Nations</t>
  </si>
  <si>
    <t>Nonton streaming pertandingan seru 3rd Place: TBA vs TBA - TotalEnergies Africa Cup of Nations. Saksikan aksi-aksi terbaik dari tim yang bersaing ketat untuk meraih kemenangan. Dapatkan informasi lengkap mengenai jadwal pertandingan dan hasil pertandingan terbaru hanya di Vidio.</t>
  </si>
  <si>
    <t>fbd66280</t>
  </si>
  <si>
    <t>Final: TBA vs TBA - TotalEnergies Africa Cup of Nations</t>
  </si>
  <si>
    <t>Nonton streaming pertandingan seru Final: TBA vs TBA - TotalEnergies Africa Cup of Nations. Saksikan aksi-aksi terbaik dari tim yang bersaing ketat untuk meraih kemenangan. Dapatkan informasi lengkap mengenai jadwal pertandingan dan hasil pertandingan terbaru hanya di Vidio.</t>
  </si>
  <si>
    <t>4dcfaca4</t>
  </si>
  <si>
    <t>Quarterfinal: Algeria vs Nigeria - TotalEnergies Africa Cup of Nations</t>
  </si>
  <si>
    <t>https://www.vidio.com/live/17875-bein-2?schedule_id=4833010</t>
  </si>
  <si>
    <t>https://drive.google.com/drive/folders/1VcygSb3_jwrJx8bCGsbJ25gQAlk84SgQ</t>
  </si>
  <si>
    <t>algeria; nigeria; sports stream</t>
  </si>
  <si>
    <t>Nonton streaming pertandingan seru Quarterfinal: Algeria vs Nigeria - TotalEnergies Africa Cup of Nations. Saksikan aksi-aksi terbaik dari tim yang bersaing ketat untuk meraih kemenangan. Dapatkan informasi lengkap mengenai jadwal pertandingan dan hasil pertandingan terbaru hanya di Vidio.</t>
  </si>
  <si>
    <t>https://thumbor.prod.vidiocdn.com/HPkRuB2FJUJD6GfPDNBRAiC_JKM=/filters:quality(70)/vidio-media-production/uploads/image/source/53244/308278.png</t>
  </si>
  <si>
    <t>https://drive.google.com/file/d/1Ey0_lICYBuP0A_Up3epSdJzmyeS6bm5N/view?usp=sharing</t>
  </si>
  <si>
    <t>922b30ef</t>
  </si>
  <si>
    <t>NEC Nijmegen vs Utrecht - Eredivisie</t>
  </si>
  <si>
    <t>https://www.vidio.com/live/6685-champions-tv-1?schedule_id=4832261</t>
  </si>
  <si>
    <t>https://drive.google.com/drive/folders/183mxr27kJumxHDjZLkbF7foSp1c40rUG</t>
  </si>
  <si>
    <t>nec nijmegen; fc utrecht; sports stream</t>
  </si>
  <si>
    <t>Nonton streaming pertandingan seru NEC Nijmegen vs Utrecht - Eredivisie. Saksikan aksi-aksi terbaik dari tim yang bersaing ketat untuk meraih kemenangan. Dapatkan informasi lengkap mengenai jadwal pertandingan dan hasil pertandingan terbaru hanya di Vidio.</t>
  </si>
  <si>
    <t>https://thumbor.prod.vidiocdn.com/oR_9euxIbIUvbIzAIDO54ThEzWk=/filters:quality(70)/vidio-media-production/uploads/image/source/53043/bab5d9.png</t>
  </si>
  <si>
    <t>https://thumbor.prod.vidiocdn.com/fFbj7l54syiA_ETvB-jnmoTvtuQ=/filters:quality(70)/vidio-media-production/uploads/image/source/53041/05f034.png</t>
  </si>
  <si>
    <t>https://drive.google.com/file/d/1DLrY6QExzP6_lD3oHYMm2pWP_rDt_-kL/view?usp=sharing</t>
  </si>
  <si>
    <t>72abc647</t>
  </si>
  <si>
    <t>UFC 326: Holloway vs Oliveira 2</t>
  </si>
  <si>
    <t>Nonton streaming pertandingan seru UFC 326: Holloway vs Oliveira 2. Saksikan aksi-aksi terbaik dari tim yang bersaing ketat untuk meraih kemenangan. Dapatkan informasi lengkap mengenai jadwal pertandingan dan hasil pertandingan terbaru hanya di Vidio.</t>
  </si>
  <si>
    <t>9badbd95</t>
  </si>
  <si>
    <t>UFC Fight Night: Bautista vs Oliveira</t>
  </si>
  <si>
    <t>Nonton streaming pertandingan seru UFC Fight Night: Bautista vs Oliveira. Saksikan aksi-aksi terbaik dari tim yang bersaing ketat untuk meraih kemenangan. Dapatkan informasi lengkap mengenai jadwal pertandingan dan hasil pertandingan terbaru hanya di Vidio.</t>
  </si>
  <si>
    <t>6249b4c9</t>
  </si>
  <si>
    <t>UFC Fight Night: Strickland vs Hernandez</t>
  </si>
  <si>
    <t>Nonton streaming pertandingan seru UFC Fight Night: Strickland vs Hernandez. Saksikan aksi-aksi terbaik dari tim yang bersaing ketat untuk meraih kemenangan. Dapatkan informasi lengkap mengenai jadwal pertandingan dan hasil pertandingan terbaru hanya di Vidio.</t>
  </si>
  <si>
    <t>c65af355</t>
  </si>
  <si>
    <t>UFC Fight Night: Moreno vs Almabayev</t>
  </si>
  <si>
    <t>Nonton streaming pertandingan seru UFC Fight Night: Moreno vs Almabayev. Saksikan aksi-aksi terbaik dari tim yang bersaing ketat untuk meraih kemenangan. Dapatkan informasi lengkap mengenai jadwal pertandingan dan hasil pertandingan terbaru hanya di Vidio.</t>
  </si>
  <si>
    <t>d18a9adc</t>
  </si>
  <si>
    <t>Carolina Panthers vs Tampa Bay Buccaneers - NFL</t>
  </si>
  <si>
    <t>https://www.vidio.com/live/19623-national-football-league-2025-26?schedule_id=4825569</t>
  </si>
  <si>
    <t>https://drive.google.com/drive/folders/1wVFFdNmnrnRZwDP1FgKAoxuON7DHLnN3</t>
  </si>
  <si>
    <t>Nonton streaming pertandingan seru Carolina Panthers vs Tampa Bay Buccaneers - NFL. Saksikan aksi-aksi terbaik dari tim yang bersaing ketat untuk meraih kemenangan. Dapatkan informasi lengkap mengenai jadwal pertandingan dan hasil pertandingan terbaru hanya di Vidio.</t>
  </si>
  <si>
    <t>https://thumbor.prod.vidiocdn.com/L57Og-IPsu1PUehYaGYw7WcH1pQ=/filters:quality(70)/vidio-media-production/uploads/image/source/52879/cd46f4.png</t>
  </si>
  <si>
    <t>https://thumbor.prod.vidiocdn.com/R78ph6BoE2uBdl492sOIH68NL4s=/filters:quality(70)/vidio-media-production/uploads/image/source/52876/e7b2c7.png</t>
  </si>
  <si>
    <t>https://drive.google.com/file/d/1REHt24Ptxa-c1tvKKBdNvgZPQZWLCam_/view?usp=sharing</t>
  </si>
  <si>
    <t>9f72b9b9</t>
  </si>
  <si>
    <t>Seattle Seahawks vs San Francisco 49ers - NFL</t>
  </si>
  <si>
    <t>https://www.vidio.com/live/19548-national-football-league-2025-26?schedule_id=4825571</t>
  </si>
  <si>
    <t>https://drive.google.com/drive/folders/1trcocRH2JBa66jCb4yQSDw56-GfvLd39</t>
  </si>
  <si>
    <t>Nonton streaming pertandingan seru Seattle Seahawks vs San Francisco 49ers - NFL. Saksikan aksi-aksi terbaik dari tim yang bersaing ketat untuk meraih kemenangan. Dapatkan informasi lengkap mengenai jadwal pertandingan dan hasil pertandingan terbaru hanya di Vidio.</t>
  </si>
  <si>
    <t>https://thumbor.prod.vidiocdn.com/jaY5uklQVc35DIQd6rAxX1jCny8=/filters:quality(70)/vidio-media-production/uploads/image/source/52880/15dc1a.png</t>
  </si>
  <si>
    <t>https://thumbor.prod.vidiocdn.com/_Hvw8nTGKDBXEdeDC5sr-6Bbl8o=/filters:quality(70)/vidio-media-production/uploads/image/source/52877/c89a3e.png</t>
  </si>
  <si>
    <t>https://drive.google.com/file/d/1uqCS4NSkqjEvrLRwztyneHrZcEcUbsUy/view?usp=sharing</t>
  </si>
  <si>
    <t>103065c1</t>
  </si>
  <si>
    <t>Green Bay Packers vs Minnesota Vikings - NFL</t>
  </si>
  <si>
    <t>https://www.vidio.com/live/19623-national-football-league-2025-26?schedule_id=4827333</t>
  </si>
  <si>
    <t>https://drive.google.com/drive/folders/1HkVTmgvx90IAq9Gfv6ft_YJ4mXaoCyAK?usp=drive_link</t>
  </si>
  <si>
    <t>Nonton streaming pertandingan seru Green Bay Packers vs Minnesota Vikings - NFL. Saksikan aksi-aksi terbaik dari tim yang bersaing ketat untuk meraih kemenangan. Dapatkan informasi lengkap mengenai jadwal pertandingan dan hasil pertandingan terbaru hanya di Vidio.</t>
  </si>
  <si>
    <t>https://thumbor.prod.vidiocdn.com/C-XOR992hCEjxHsgvlRYeYiHNuo=/filters:quality(70)/vidio-media-production/uploads/image/source/52881/a77dd9.png</t>
  </si>
  <si>
    <t>https://thumbor.prod.vidiocdn.com/9q7TU8zmutJTWUk9-lfKhKhtmas=/filters:quality(70)/vidio-media-production/uploads/image/source/52878/35e2dc.png</t>
  </si>
  <si>
    <t>https://drive.google.com/file/d/13uA3WrHqTHZkLVq4pAyw5kaBpbBhq4pS/view?usp=sharing</t>
  </si>
  <si>
    <t>bca0f05d</t>
  </si>
  <si>
    <t>Los Angeles Chargers vs Denver Broncos - NFL</t>
  </si>
  <si>
    <t>https://www.vidio.com/live/19623-national-football-league-2025-26?schedule_id=4827334</t>
  </si>
  <si>
    <t>https://drive.google.com/drive/folders/1KGPH2bc-ECoWP8Z-8GRKQWcprQ05P6nc?usp=drive_link</t>
  </si>
  <si>
    <t>Nonton streaming pertandingan seru Los Angeles Chargers vs Denver Broncos - NFL. Saksikan aksi-aksi terbaik dari tim yang bersaing ketat untuk meraih kemenangan. Dapatkan informasi lengkap mengenai jadwal pertandingan dan hasil pertandingan terbaru hanya di Vidio.</t>
  </si>
  <si>
    <t>https://thumbor.prod.vidiocdn.com/9s6o3gZPSKC5tVpm1vjVMMB7PJI=/filters:quality(70)/vidio-media-production/uploads/image/source/52883/156e99.png</t>
  </si>
  <si>
    <t>https://thumbor.prod.vidiocdn.com/zcjHFY8yV2upztzTvK2lJe0QPxk=/filters:quality(70)/vidio-media-production/uploads/image/source/52882/358f21.png</t>
  </si>
  <si>
    <t>https://drive.google.com/file/d/1Aq9aE1cqm9Lqdx5IDlidmlPdvC39MnmO/view?usp=sharing</t>
  </si>
  <si>
    <t>c3f20169</t>
  </si>
  <si>
    <t>Baltimore Ravens vs Pittsburgh Steelers - NFL</t>
  </si>
  <si>
    <t>https://www.vidio.com/live/19548-national-football-league-2025-26?schedule_id=4827335</t>
  </si>
  <si>
    <t>https://drive.google.com/drive/folders/1L27gWXrUCmJQlIhIWFPF1T99NtqbZdhc?usp=drive_link</t>
  </si>
  <si>
    <t>Nonton streaming pertandingan seru Baltimore Ravens vs Pittsburgh Steelers - NFL. Saksikan aksi-aksi terbaik dari tim yang bersaing ketat untuk meraih kemenangan. Dapatkan informasi lengkap mengenai jadwal pertandingan dan hasil pertandingan terbaru hanya di Vidio.</t>
  </si>
  <si>
    <t>https://thumbor.prod.vidiocdn.com/0YN60il7FJ8mrki9oxPJL0-E41o=/filters:quality(70)/vidio-media-production/uploads/image/source/52885/141c74.png</t>
  </si>
  <si>
    <t>https://thumbor.prod.vidiocdn.com/LVXJeKiUY77JwqKE19Klh6ahpJs=/filters:quality(70)/vidio-media-production/uploads/image/source/52884/6235c3.png</t>
  </si>
  <si>
    <t>https://drive.google.com/file/d/1chPd1p6l_f0QKm0zaX6RGV3VqIE4KQkN/view?usp=sharing</t>
  </si>
  <si>
    <t>eed4dc46</t>
  </si>
  <si>
    <t>Rajadamnern 2026 Minimumweight Title</t>
  </si>
  <si>
    <t>https://www.vidio.com/live/19388-rws-muay-thai-2026?schedule_id=4832290</t>
  </si>
  <si>
    <t>https://drive.google.com/drive/u/0/folders/1uBzClyFJE2zT30mNu79Urx-cF8_z2TiC</t>
  </si>
  <si>
    <t>https://drive.google.com/drive/folders/1oI_ao60iLRryd09RL7PB0a3B-DCDBnC9?usp=drive_link</t>
  </si>
  <si>
    <t>Nonton streaming pertandingan seru Rajadamnern 2026 Minimumweight Title. Saksikan aksi-aksi terbaik dari tim yang bersaing ketat untuk meraih kemenangan. Dapatkan informasi lengkap mengenai jadwal pertandingan dan hasil pertandingan terbaru hanya di Vidio.</t>
  </si>
  <si>
    <t>https://drive.google.com/file/d/1Sqe2dRxrzzAzou2TCuAvEXu_5Qq9JWTv/view?usp=sharing</t>
  </si>
  <si>
    <t>https://drive.google.com/file/d/1pMdmfnPtopDdRl3_qH0DKf4MQxnyNGR4/view?usp=sharing</t>
  </si>
  <si>
    <t>7ffeb50d</t>
  </si>
  <si>
    <t>PETRONAS Malaysia Open 2026 - Round of 16 (Court 1)</t>
  </si>
  <si>
    <t>PETRONAS Malaysia Open 2026</t>
  </si>
  <si>
    <t>https://www.vidio.com/live/18249-petronas-malaysia-open-2026-round-of-16-court-1</t>
  </si>
  <si>
    <t>https://drive.google.com/drive/folders/10yZ6W25MsH1Gazyf6erLQ6feN5lXYViD</t>
  </si>
  <si>
    <t>Sports &gt; Badminton &gt; BWF Malaysia Open</t>
  </si>
  <si>
    <t>BWF World Tour; Petronas Malaysia Open; Petronas Malaysia Open 2026</t>
  </si>
  <si>
    <t>Nonton streaming pertandingan seru PETRONAS Malaysia Open 2026 - Round of 16 (Court 1). Saksikan aksi-aksi terbaik dari tim yang bersaing ketat untuk meraih kemenangan. Dapatkan informasi lengkap mengenai jadwal pertandingan dan hasil pertandingan terbaru hanya di Vidio.</t>
  </si>
  <si>
    <t>https://drive.google.com/file/d/1GSUWpYS1bKMQHpDirkh41aNW22dfhpEf/view?usp=sharing</t>
  </si>
  <si>
    <t>https://drive.google.com/file/d/1B4cBF3qrh1sMXG2gV5jmUKJx_gapQy02/view?usp=sharing</t>
  </si>
  <si>
    <t>2824bfc4</t>
  </si>
  <si>
    <t>PETRONAS Malaysia Open 2026 - Round of 32 (Court 1)</t>
  </si>
  <si>
    <t>Nonton streaming pertandingan seru PETRONAS Malaysia Open 2026 - Round of 32 (Court 1). Saksikan aksi-aksi terbaik dari tim yang bersaing ketat untuk meraih kemenangan. Dapatkan informasi lengkap mengenai jadwal pertandingan dan hasil pertandingan terbaru hanya di Vidio.</t>
  </si>
  <si>
    <t>e4f992ec</t>
  </si>
  <si>
    <t>PETRONAS Malaysia Open 2026 - Round of 16 (Court 2)</t>
  </si>
  <si>
    <t>https://www.vidio.com/live/18250-petronas-malaysia-open-2026-round-of-16-court-2</t>
  </si>
  <si>
    <t>https://drive.google.com/drive/folders/1j2A_bH-x2l04Qo4WA98rK5ys1iCEU3UZ</t>
  </si>
  <si>
    <t>Nonton streaming pertandingan seru PETRONAS Malaysia Open 2026 - Round of 16 (Court 2). Saksikan aksi-aksi terbaik dari tim yang bersaing ketat untuk meraih kemenangan. Dapatkan informasi lengkap mengenai jadwal pertandingan dan hasil pertandingan terbaru hanya di Vidio.</t>
  </si>
  <si>
    <t>https://drive.google.com/file/d/1NSS8caFvdZbwLM0rQ6xFjEA-VHdQ-0wz/view?usp=sharing</t>
  </si>
  <si>
    <t>https://drive.google.com/file/d/1khQrXXQF4DXWbEvpQ5PrFElQfRn5_sMl/view?usp=sharing</t>
  </si>
  <si>
    <t>8ecc078f</t>
  </si>
  <si>
    <t>PETRONAS Malaysia Open 2026 - Round of 32 (Court 2)</t>
  </si>
  <si>
    <t>Nonton streaming pertandingan seru PETRONAS Malaysia Open 2026 - Round of 32 (Court 2). Saksikan aksi-aksi terbaik dari tim yang bersaing ketat untuk meraih kemenangan. Dapatkan informasi lengkap mengenai jadwal pertandingan dan hasil pertandingan terbaru hanya di Vidio.</t>
  </si>
  <si>
    <t>4f124c8b</t>
  </si>
  <si>
    <t>PETRONAS Malaysia Open 2026 - Round of 16 (Court 3)</t>
  </si>
  <si>
    <t>https://www.vidio.com/live/18252-petronas-malaysia-open-2026-round-of-16-court-3</t>
  </si>
  <si>
    <t>https://drive.google.com/drive/folders/1y_mGPCoON9jW62Lb8x5K2d_YVzyt7dym</t>
  </si>
  <si>
    <t>Nonton streaming pertandingan seru PETRONAS Malaysia Open 2026 - Round of 16 (Court 3). Saksikan aksi-aksi terbaik dari tim yang bersaing ketat untuk meraih kemenangan. Dapatkan informasi lengkap mengenai jadwal pertandingan dan hasil pertandingan terbaru hanya di Vidio.</t>
  </si>
  <si>
    <t>https://drive.google.com/file/d/1xXRyTpjraFbbrHD2OOrzfOJmKS83JG2b/view?usp=sharing</t>
  </si>
  <si>
    <t>c041d13a</t>
  </si>
  <si>
    <t>PETRONAS Malaysia Open 2026 - Quarterfinals (Court 1)</t>
  </si>
  <si>
    <t>https://drive.google.com/drive/folders/1tni-eURfEFKRVxfoCHzmLE1mqpTQd2nq</t>
  </si>
  <si>
    <t>Nonton streaming pertandingan seru PETRONAS Malaysia Open 2026 - Quarterfinals (Court 1). Saksikan aksi-aksi terbaik dari tim yang bersaing ketat untuk meraih kemenangan. Dapatkan informasi lengkap mengenai jadwal pertandingan dan hasil pertandingan terbaru hanya di Vidio.</t>
  </si>
  <si>
    <t>NTC + Medium</t>
  </si>
  <si>
    <t>https://drive.google.com/file/d/1eYrHSZhFd95KyhXxrabgACyw4RU-iuHU/view?usp=sharing</t>
  </si>
  <si>
    <t>https://drive.google.com/file/d/15XWbtbUwFEgrO0Ju6sNJKkMPQkRxrMB0/view?usp=sharing</t>
  </si>
  <si>
    <t>521e1b60</t>
  </si>
  <si>
    <t>PETRONAS Malaysia Open 2026 - Quarterfinals (Court 2)</t>
  </si>
  <si>
    <t>https://drive.google.com/drive/folders/1b4k6Xd9bYzvR8tmKEmYOqigP2l0r7KIX</t>
  </si>
  <si>
    <t>Nonton streaming pertandingan seru PETRONAS Malaysia Open 2026 - Quarterfinals (Court 2). Saksikan aksi-aksi terbaik dari tim yang bersaing ketat untuk meraih kemenangan. Dapatkan informasi lengkap mengenai jadwal pertandingan dan hasil pertandingan terbaru hanya di Vidio.</t>
  </si>
  <si>
    <t>https://drive.google.com/file/d/1QU7f_kJOwoVWtAMjp7ybswNoG2DihFYJ/view?usp=sharing</t>
  </si>
  <si>
    <t>https://drive.google.com/file/d/1aerik-EGVX1bP7WoYaM_AMSCFqH9d2Jz/view?usp=sharing</t>
  </si>
  <si>
    <t>7f800ac0</t>
  </si>
  <si>
    <t>PETRONAS Malaysia Open 2026 - Quarterfinals (Court 3)</t>
  </si>
  <si>
    <t>https://drive.google.com/drive/folders/1JOgSZmNs1prxOeLrKVswIcYu029paKj4</t>
  </si>
  <si>
    <t>Nonton streaming pertandingan seru PETRONAS Malaysia Open 2026 - Quarterfinals (Court 3). Saksikan aksi-aksi terbaik dari tim yang bersaing ketat untuk meraih kemenangan. Dapatkan informasi lengkap mengenai jadwal pertandingan dan hasil pertandingan terbaru hanya di Vidio.</t>
  </si>
  <si>
    <t>https://drive.google.com/file/d/1U1_meG0oNnbcRUJR1xNlxfh5V54yAKy4/view?usp=sharing</t>
  </si>
  <si>
    <t>05a4ed4b</t>
  </si>
  <si>
    <t>PETRONAS Malaysia Open 2026 - Semifinals</t>
  </si>
  <si>
    <t>https://www.vidio.com/live/18249-petronas-malaysia-open-2026-semifinals</t>
  </si>
  <si>
    <t>https://drive.google.com/drive/folders/1QC3RBfvqjf9wzwCdRO0xNOrY_vNPmH1D</t>
  </si>
  <si>
    <t>Nonton streaming pertandingan seru PETRONAS Malaysia Open 2026 - Semifinals. Saksikan aksi-aksi terbaik dari tim yang bersaing ketat untuk meraih kemenangan. Dapatkan informasi lengkap mengenai jadwal pertandingan dan hasil pertandingan terbaru hanya di Vidio.</t>
  </si>
  <si>
    <t>https://drive.google.com/file/d/1sh_J8SeOoj5N7Iw7Onfj99XJnTpreC91/view?usp=sharing</t>
  </si>
  <si>
    <t>https://drive.google.com/file/d/1oHEGvCtVo8kiWBRrvJLCxMW_12PNW1-6/view?usp=sharing</t>
  </si>
  <si>
    <t>398f82e7</t>
  </si>
  <si>
    <t>PETRONAS Malaysia Open 2026 - Finals</t>
  </si>
  <si>
    <t>https://www.vidio.com/live/18249-petronas-malaysia-open-2026-finals</t>
  </si>
  <si>
    <t>https://drive.google.com/drive/folders/1pGbXKjbnaz5yjwIAOZTvywh6URbKMk2O</t>
  </si>
  <si>
    <t>Nonton streaming pertandingan seru PETRONAS Malaysia Open 2026 - Finals. Saksikan aksi-aksi terbaik dari tim yang bersaing ketat untuk meraih kemenangan. Dapatkan informasi lengkap mengenai jadwal pertandingan dan hasil pertandingan terbaru hanya di Vidio.</t>
  </si>
  <si>
    <t>https://drive.google.com/file/d/1CCLLH-0Yo1RKKf_PvOYtg-xLc0W-XnHj/view?usp=sharing</t>
  </si>
  <si>
    <t>https://drive.google.com/file/d/12QkKxLYE-k6gn_UtWjwb2YvlTrJtSN6r/view?usp=sharing</t>
  </si>
  <si>
    <t>cbb51e89</t>
  </si>
  <si>
    <t>(Data Zone) Arsenal vs Liverpool - Premier League</t>
  </si>
  <si>
    <t>https://www.vidio.com/live/19536-premier-league?schedule_id=4832227</t>
  </si>
  <si>
    <t>https://drive.google.com/drive/folders/1ORHpZWx6pdNEDX6lDr7U4SeoknFF1yjA</t>
  </si>
  <si>
    <t>Nonton streaming pertandingan seru (Data Zone) Arsenal vs Liverpool - Premier League. Saksikan aksi-aksi terbaik dari tim yang bersaing ketat untuk meraih kemenangan. Dapatkan informasi lengkap mengenai jadwal pertandingan dan hasil pertandingan terbaru hanya di Vidio.</t>
  </si>
  <si>
    <t>https://thumbor.prod.vidiocdn.com/mH8dD95IYkd4XvfRs2JjCqKuIQ8=/filters:quality(70)/vidio-media-production/uploads/image/source/53266/5b5143.png</t>
  </si>
  <si>
    <t>https://thumbor.prod.vidiocdn.com/guNGhhNRug-EoNVVpFd-mLmaM3g=/filters:quality(70)/vidio-media-production/uploads/image/source/53267/7c62a0.png</t>
  </si>
  <si>
    <t>c4bb48d9</t>
  </si>
  <si>
    <t>https://www.vidio.com/live/18249-petronas-malaysia-open-2026-round-of-32-court-1</t>
  </si>
  <si>
    <t>https://drive.google.com/drive/folders/1Ty2H_i_qk549qwdTHB8xBRYGJbtv8v5N?usp=drive_link</t>
  </si>
  <si>
    <t>C1 , C2 , C3</t>
  </si>
  <si>
    <t>https://drive.google.com/file/d/1RvpVSYEuxwkTup3qpzOCOplWtOxx9WK3/view?usp=sharing</t>
  </si>
  <si>
    <t>https://drive.google.com/file/d/1eJVJpUKAFNWxLxYTbZoZRYrCww0XILnT/view?usp=sharing</t>
  </si>
  <si>
    <t>e16289e8</t>
  </si>
  <si>
    <t>https://drive.google.com/drive/folders/1y_Ugo-fLuJ3I6gd2fEhcFUnYIrHGwHAG?usp=drive_link</t>
  </si>
  <si>
    <t>https://drive.google.com/file/d/10H0F1NCMOyY1qZ3uPfqQMNd90nmF_W1j/view?usp=sharing</t>
  </si>
  <si>
    <t>90585d51</t>
  </si>
  <si>
    <t>https://www.vidio.com/live/18250-petronas-malaysia-open-2026-round-of-32-court-2</t>
  </si>
  <si>
    <t>https://drive.google.com/drive/folders/1TYXj5i7Ik4SNEitV7mHoBo1u6CAR_kAQ?usp=drive_link</t>
  </si>
  <si>
    <t>https://drive.google.com/file/d/1_VFmtjeoa1jB6YMFl35R4XO6xs8PdX7H/view?usp=sharing</t>
  </si>
  <si>
    <t>ea22e5d4</t>
  </si>
  <si>
    <t>(Data Zone) Man United vs Man City - Premier League</t>
  </si>
  <si>
    <t>Nonton streaming pertandingan seru (Data Zone) Man United vs Man City - Premier League. Saksikan aksi-aksi terbaik dari tim yang bersaing ketat untuk meraih kemenangan. Dapatkan informasi lengkap mengenai jadwal pertandingan dan hasil pertandingan terbaru hanya di Vidio.</t>
  </si>
  <si>
    <t>c99cad38</t>
  </si>
  <si>
    <t>PETRONAS Malaysia Open 2026 - Round of 32 (Court 3)</t>
  </si>
  <si>
    <t>https://www.vidio.com/live/18252-petronas-malaysia-open-2026-round-of-32-court-3</t>
  </si>
  <si>
    <t>https://drive.google.com/drive/folders/1gqnmBiDc9HaK7fTi5sC9yJeePuPZJkd8?usp=drive_link</t>
  </si>
  <si>
    <t>Nonton streaming pertandingan seru PETRONAS Malaysia Open 2026 - Round of 32 (Court 3). Saksikan aksi-aksi terbaik dari tim yang bersaing ketat untuk meraih kemenangan. Dapatkan informasi lengkap mengenai jadwal pertandingan dan hasil pertandingan terbaru hanya di Vidio.</t>
  </si>
  <si>
    <t>https://drive.google.com/file/d/1I2QL-h1CAeZERs7B5O4XbiSnpFeGO68R/view?usp=sharing</t>
  </si>
  <si>
    <t>d0514ad6</t>
  </si>
  <si>
    <t>https://drive.google.com/drive/folders/1bdxQ1-iQMgDVTF9qxntm4rXkh856Un7p?usp=drive_link</t>
  </si>
  <si>
    <t>F1 , F2 , F3</t>
  </si>
  <si>
    <t>https://drive.google.com/file/d/14xnt8IVE_N3DTAp9HMMG8DT6xVgVYelu/view?usp=sharing</t>
  </si>
  <si>
    <t>https://drive.google.com/file/d/1ofXS074YwNle23QJsXH0LNvCM5zHoT2L/view?usp=sharing</t>
  </si>
  <si>
    <t>6cd85eb5</t>
  </si>
  <si>
    <t>aa263056</t>
  </si>
  <si>
    <t>https://www.vidio.com/live/18250-petronas-malaysia-open-2026-round-of-32-court-</t>
  </si>
  <si>
    <t>https://drive.google.com/drive/folders/1zl9WthQezZutJ0hkMj_K6nwWDIRMa8QT?usp=drive_link</t>
  </si>
  <si>
    <t>https://drive.google.com/file/d/1PEgOA8veY4A38Sg1OWJ6RyzDlJ6H3I7m/view?usp=sharing</t>
  </si>
  <si>
    <t>https://drive.google.com/file/d/1kmsSl_ApPiE0r39YCR1ch8nLbc80svFz/view?usp=sharing</t>
  </si>
  <si>
    <t>15e7ec35</t>
  </si>
  <si>
    <t>4af0592e</t>
  </si>
  <si>
    <t>https://drive.google.com/drive/folders/1YDoJzRVbITJy0AcI5OaDqDNaeTVYE0kX?usp=drive_link</t>
  </si>
  <si>
    <t>https://drive.google.com/file/d/1QcIWr_C4LcQjNXpfWd8mD0vhrZTAlQQ8/view?usp=sharing</t>
  </si>
  <si>
    <t>0bf48337</t>
  </si>
  <si>
    <t>Zheng v Rybakina - Australian Open Charity Match</t>
  </si>
  <si>
    <t>Australian Open 2026</t>
  </si>
  <si>
    <t>Sports &gt; Tennis &gt; Australian Open</t>
  </si>
  <si>
    <t>Grand Slam; Australian Open; Australian Open 2026</t>
  </si>
  <si>
    <t>Nonton streaming pertandingan seru Zheng v Rybakina - Australian Open Charity Match. Saksikan aksi-aksi terbaik dari tim yang bersaing ketat untuk meraih kemenangan. Dapatkan informasi lengkap mengenai jadwal pertandingan dan hasil pertandingan terbaru hanya di Vidio.</t>
  </si>
  <si>
    <t>e5ed2db4</t>
  </si>
  <si>
    <t>Zverev v Musetti - Australian Open Charity Match</t>
  </si>
  <si>
    <t>Nonton streaming pertandingan seru Zverev v Musetti - Australian Open Charity Match. Saksikan aksi-aksi terbaik dari tim yang bersaing ketat untuk meraih kemenangan. Dapatkan informasi lengkap mengenai jadwal pertandingan dan hasil pertandingan terbaru hanya di Vidio.</t>
  </si>
  <si>
    <t>c0209dc9</t>
  </si>
  <si>
    <t>Svitolina v Anisimova - Australian Open Charity Match</t>
  </si>
  <si>
    <t>Nonton streaming pertandingan seru Svitolina v Anisimova - Australian Open Charity Match. Saksikan aksi-aksi terbaik dari tim yang bersaing ketat untuk meraih kemenangan. Dapatkan informasi lengkap mengenai jadwal pertandingan dan hasil pertandingan terbaru hanya di Vidio.</t>
  </si>
  <si>
    <t>15a75ebc</t>
  </si>
  <si>
    <t>1 Point Slam - Australian Open 2026</t>
  </si>
  <si>
    <t>Nonton streaming pertandingan seru 1 Point Slam - Australian Open 2026. Saksikan aksi-aksi terbaik dari tim yang bersaing ketat untuk meraih kemenangan. Dapatkan informasi lengkap mengenai jadwal pertandingan dan hasil pertandingan terbaru hanya di Vidio.</t>
  </si>
  <si>
    <t>4c2ddf7e</t>
  </si>
  <si>
    <t>Australian Open 2026 Qualifying</t>
  </si>
  <si>
    <t>Nonton streaming pertandingan seru Australian Open 2026 Qualifying. Saksikan aksi-aksi terbaik dari tim yang bersaing ketat untuk meraih kemenangan. Dapatkan informasi lengkap mengenai jadwal pertandingan dan hasil pertandingan terbaru hanya di Vidio.</t>
  </si>
  <si>
    <t>60689098</t>
  </si>
  <si>
    <t>Australian Open Charity Match</t>
  </si>
  <si>
    <t>Nonton streaming pertandingan seru Australian Open Charity Match. Saksikan aksi-aksi terbaik dari tim yang bersaing ketat untuk meraih kemenangan. Dapatkan informasi lengkap mengenai jadwal pertandingan dan hasil pertandingan terbaru hanya di Vidio.</t>
  </si>
  <si>
    <t>bbf17cff</t>
  </si>
  <si>
    <t>Alcaraz v De Minaur - Australian Open Charity Match</t>
  </si>
  <si>
    <t>Nonton streaming pertandingan seru Alcaraz v De Minaur - Australian Open Charity Match. Saksikan aksi-aksi terbaik dari tim yang bersaing ketat untuk meraih kemenangan. Dapatkan informasi lengkap mengenai jadwal pertandingan dan hasil pertandingan terbaru hanya di Vidio.</t>
  </si>
  <si>
    <t>256f9515</t>
  </si>
  <si>
    <t>Sinner v Auger-Aliassime - Australian Open Charity Match</t>
  </si>
  <si>
    <t>Nonton streaming pertandingan seru Sinner v Auger-Aliassime - Australian Open Charity Match. Saksikan aksi-aksi terbaik dari tim yang bersaing ketat untuk meraih kemenangan. Dapatkan informasi lengkap mengenai jadwal pertandingan dan hasil pertandingan terbaru hanya di Vidio.</t>
  </si>
  <si>
    <t>1b3764d1</t>
  </si>
  <si>
    <t>Redbull Baseline - Australian Open 2026</t>
  </si>
  <si>
    <t>Nonton streaming pertandingan seru Redbull Baseline - Australian Open 2026. Saksikan aksi-aksi terbaik dari tim yang bersaing ketat untuk meraih kemenangan. Dapatkan informasi lengkap mengenai jadwal pertandingan dan hasil pertandingan terbaru hanya di Vidio.</t>
  </si>
  <si>
    <t>6dc3fd92</t>
  </si>
  <si>
    <t>Mixed Doubles Showdown - Australian Open 2026</t>
  </si>
  <si>
    <t>Nonton streaming pertandingan seru Mixed Doubles Showdown - Australian Open 2026. Saksikan aksi-aksi terbaik dari tim yang bersaing ketat untuk meraih kemenangan. Dapatkan informasi lengkap mengenai jadwal pertandingan dan hasil pertandingan terbaru hanya di Vidio.</t>
  </si>
  <si>
    <t>71f66000</t>
  </si>
  <si>
    <t>Australian Open 2026: Round 1 - Day 1 (Court 3)</t>
  </si>
  <si>
    <t>Nonton streaming pertandingan seru Australian Open 2026: Round 1 - Day 1 (Court 3). Saksikan aksi-aksi terbaik dari tim yang bersaing ketat untuk meraih kemenangan. Dapatkan informasi lengkap mengenai jadwal pertandingan dan hasil pertandingan terbaru hanya di Vidio.</t>
  </si>
  <si>
    <t>2c37ee99</t>
  </si>
  <si>
    <t>Australian Open 2026: Round 1 - Day 1 (Court 1)</t>
  </si>
  <si>
    <t>Nonton streaming pertandingan seru Australian Open 2026: Round 1 - Day 1 (Court 1). Saksikan aksi-aksi terbaik dari tim yang bersaing ketat untuk meraih kemenangan. Dapatkan informasi lengkap mengenai jadwal pertandingan dan hasil pertandingan terbaru hanya di Vidio.</t>
  </si>
  <si>
    <t>7a214c71</t>
  </si>
  <si>
    <t>Australian Open 2026: Round 1 - Day 1 (Court 2)</t>
  </si>
  <si>
    <t>Nonton streaming pertandingan seru Australian Open 2026: Round 1 - Day 1 (Court 2). Saksikan aksi-aksi terbaik dari tim yang bersaing ketat untuk meraih kemenangan. Dapatkan informasi lengkap mengenai jadwal pertandingan dan hasil pertandingan terbaru hanya di Vidio.</t>
  </si>
  <si>
    <t>b03c334a</t>
  </si>
  <si>
    <t>Australian Open 2026: Round 1 - Night 1 (Court 3)</t>
  </si>
  <si>
    <t>Nonton streaming pertandingan seru Australian Open 2026: Round 1 - Night 1 (Court 3). Saksikan aksi-aksi terbaik dari tim yang bersaing ketat untuk meraih kemenangan. Dapatkan informasi lengkap mengenai jadwal pertandingan dan hasil pertandingan terbaru hanya di Vidio.</t>
  </si>
  <si>
    <t>8630c940</t>
  </si>
  <si>
    <t>Australian Open 2026: Round 1 - Night 1 (Court 1)</t>
  </si>
  <si>
    <t>Nonton streaming pertandingan seru Australian Open 2026: Round 1 - Night 1 (Court 1). Saksikan aksi-aksi terbaik dari tim yang bersaing ketat untuk meraih kemenangan. Dapatkan informasi lengkap mengenai jadwal pertandingan dan hasil pertandingan terbaru hanya di Vidio.</t>
  </si>
  <si>
    <t>26cf6e78</t>
  </si>
  <si>
    <t>Australian Open 2026: Round 1 - Night 1 (Court 2)</t>
  </si>
  <si>
    <t>Nonton streaming pertandingan seru Australian Open 2026: Round 1 - Night 1 (Court 2). Saksikan aksi-aksi terbaik dari tim yang bersaing ketat untuk meraih kemenangan. Dapatkan informasi lengkap mengenai jadwal pertandingan dan hasil pertandingan terbaru hanya di Vidio.</t>
  </si>
  <si>
    <t>b701c11e</t>
  </si>
  <si>
    <t>Australian Open 2026: Round 1 - Day 2 (Court 3)</t>
  </si>
  <si>
    <t>Nonton streaming pertandingan seru Australian Open 2026: Round 1 - Day 2 (Court 3). Saksikan aksi-aksi terbaik dari tim yang bersaing ketat untuk meraih kemenangan. Dapatkan informasi lengkap mengenai jadwal pertandingan dan hasil pertandingan terbaru hanya di Vidio.</t>
  </si>
  <si>
    <t>875f71c2</t>
  </si>
  <si>
    <t>Australian Open 2026: Round 1 - Day 2 (Court 1)</t>
  </si>
  <si>
    <t>Nonton streaming pertandingan seru Australian Open 2026: Round 1 - Day 2 (Court 1). Saksikan aksi-aksi terbaik dari tim yang bersaing ketat untuk meraih kemenangan. Dapatkan informasi lengkap mengenai jadwal pertandingan dan hasil pertandingan terbaru hanya di Vidio.</t>
  </si>
  <si>
    <t>211a4575</t>
  </si>
  <si>
    <t>Australian Open 2026: Round 1 - Day 2 (Court 2)</t>
  </si>
  <si>
    <t>Nonton streaming pertandingan seru Australian Open 2026: Round 1 - Day 2 (Court 2). Saksikan aksi-aksi terbaik dari tim yang bersaing ketat untuk meraih kemenangan. Dapatkan informasi lengkap mengenai jadwal pertandingan dan hasil pertandingan terbaru hanya di Vidio.</t>
  </si>
  <si>
    <t>27d60256</t>
  </si>
  <si>
    <t>Australian Open 2026: Round 1 - Night 2 (Court 3)</t>
  </si>
  <si>
    <t>Nonton streaming pertandingan seru Australian Open 2026: Round 1 - Night 2 (Court 3). Saksikan aksi-aksi terbaik dari tim yang bersaing ketat untuk meraih kemenangan. Dapatkan informasi lengkap mengenai jadwal pertandingan dan hasil pertandingan terbaru hanya di Vidio.</t>
  </si>
  <si>
    <t>4b22c081</t>
  </si>
  <si>
    <t>Australian Open 2026: Round 1 - Night 2 (Court 1)</t>
  </si>
  <si>
    <t>Nonton streaming pertandingan seru Australian Open 2026: Round 1 - Night 2 (Court 1). Saksikan aksi-aksi terbaik dari tim yang bersaing ketat untuk meraih kemenangan. Dapatkan informasi lengkap mengenai jadwal pertandingan dan hasil pertandingan terbaru hanya di Vidio.</t>
  </si>
  <si>
    <t>ea1c4452</t>
  </si>
  <si>
    <t>Australian Open 2026: Round 1 - Night 2 (Court 2)</t>
  </si>
  <si>
    <t>Nonton streaming pertandingan seru Australian Open 2026: Round 1 - Night 2 (Court 2). Saksikan aksi-aksi terbaik dari tim yang bersaing ketat untuk meraih kemenangan. Dapatkan informasi lengkap mengenai jadwal pertandingan dan hasil pertandingan terbaru hanya di Vidio.</t>
  </si>
  <si>
    <t>a9e50b42</t>
  </si>
  <si>
    <t>Australian Open 2026: Round 1 - Day 3 (Court 3)</t>
  </si>
  <si>
    <t>Nonton streaming pertandingan seru Australian Open 2026: Round 1 - Day 3 (Court 3). Saksikan aksi-aksi terbaik dari tim yang bersaing ketat untuk meraih kemenangan. Dapatkan informasi lengkap mengenai jadwal pertandingan dan hasil pertandingan terbaru hanya di Vidio.</t>
  </si>
  <si>
    <t>6c80082e</t>
  </si>
  <si>
    <t>Galatasaray vs Gaziantep - Trendyol Super Lig</t>
  </si>
  <si>
    <t>Gaziantep</t>
  </si>
  <si>
    <t>galatasaray spor kulübü; Gaziantep; sports stream</t>
  </si>
  <si>
    <t>Nonton streaming pertandingan seru Galatasaray vs Gaziantep - Trendyol Super Lig. Saksikan aksi-aksi terbaik dari tim yang bersaing ketat untuk meraih kemenangan. Dapatkan informasi lengkap mengenai jadwal pertandingan dan hasil pertandingan terbaru hanya di Vidio.</t>
  </si>
  <si>
    <t>d26272c8</t>
  </si>
  <si>
    <t>Australian Open 2026: Round 1 - Day 3 (Court 1)</t>
  </si>
  <si>
    <t>Nonton streaming pertandingan seru Australian Open 2026: Round 1 - Day 3 (Court 1). Saksikan aksi-aksi terbaik dari tim yang bersaing ketat untuk meraih kemenangan. Dapatkan informasi lengkap mengenai jadwal pertandingan dan hasil pertandingan terbaru hanya di Vidio.</t>
  </si>
  <si>
    <t>7eaa0778</t>
  </si>
  <si>
    <t>Kocaelispor vs Trabzonspor - Trendyol Super Lig</t>
  </si>
  <si>
    <t>Kocaelispor</t>
  </si>
  <si>
    <t>Kocaelispor; Trabzonspor Kulübü; sports stream</t>
  </si>
  <si>
    <t>Nonton streaming pertandingan seru Kocaelispor vs Trabzonspor - Trendyol Super Lig. Saksikan aksi-aksi terbaik dari tim yang bersaing ketat untuk meraih kemenangan. Dapatkan informasi lengkap mengenai jadwal pertandingan dan hasil pertandingan terbaru hanya di Vidio.</t>
  </si>
  <si>
    <t>1bdc668f</t>
  </si>
  <si>
    <t>Australian Open 2026: Round 1 - Day 3 (Court 2)</t>
  </si>
  <si>
    <t>Nonton streaming pertandingan seru Australian Open 2026: Round 1 - Day 3 (Court 2). Saksikan aksi-aksi terbaik dari tim yang bersaing ketat untuk meraih kemenangan. Dapatkan informasi lengkap mengenai jadwal pertandingan dan hasil pertandingan terbaru hanya di Vidio.</t>
  </si>
  <si>
    <t>9eef883a</t>
  </si>
  <si>
    <t>Australian Open 2026: Round 1 - Night 3 (Court 3)</t>
  </si>
  <si>
    <t>Nonton streaming pertandingan seru Australian Open 2026: Round 1 - Night 3 (Court 3). Saksikan aksi-aksi terbaik dari tim yang bersaing ketat untuk meraih kemenangan. Dapatkan informasi lengkap mengenai jadwal pertandingan dan hasil pertandingan terbaru hanya di Vidio.</t>
  </si>
  <si>
    <t>adf08216</t>
  </si>
  <si>
    <t>Alanyaspor vs Fenerbahce - Trendyol Super Lig</t>
  </si>
  <si>
    <t>Alanyaspor</t>
  </si>
  <si>
    <t>Alanyaspor; fenerbahce; sports stream</t>
  </si>
  <si>
    <t>Nonton streaming pertandingan seru Alanyaspor vs Fenerbahce - Trendyol Super Lig. Saksikan aksi-aksi terbaik dari tim yang bersaing ketat untuk meraih kemenangan. Dapatkan informasi lengkap mengenai jadwal pertandingan dan hasil pertandingan terbaru hanya di Vidio.</t>
  </si>
  <si>
    <t>71d8a103</t>
  </si>
  <si>
    <t>Australian Open 2026: Round 1 - Night 3 (Court 1)</t>
  </si>
  <si>
    <t>Nonton streaming pertandingan seru Australian Open 2026: Round 1 - Night 3 (Court 1). Saksikan aksi-aksi terbaik dari tim yang bersaing ketat untuk meraih kemenangan. Dapatkan informasi lengkap mengenai jadwal pertandingan dan hasil pertandingan terbaru hanya di Vidio.</t>
  </si>
  <si>
    <t>b33d0096</t>
  </si>
  <si>
    <t>Australian Open 2026: Round 1 - Night 3 (Court 2)</t>
  </si>
  <si>
    <t>Nonton streaming pertandingan seru Australian Open 2026: Round 1 - Night 3 (Court 2). Saksikan aksi-aksi terbaik dari tim yang bersaing ketat untuk meraih kemenangan. Dapatkan informasi lengkap mengenai jadwal pertandingan dan hasil pertandingan terbaru hanya di Vidio.</t>
  </si>
  <si>
    <t>54574ab6</t>
  </si>
  <si>
    <t>Besiktas vs Kayserispor - Trendyol Super Lig</t>
  </si>
  <si>
    <t>Kayserispor</t>
  </si>
  <si>
    <t>besiktas; Kayserispor; sports stream</t>
  </si>
  <si>
    <t>Nonton streaming pertandingan seru Besiktas vs Kayserispor - Trendyol Super Lig. Saksikan aksi-aksi terbaik dari tim yang bersaing ketat untuk meraih kemenangan. Dapatkan informasi lengkap mengenai jadwal pertandingan dan hasil pertandingan terbaru hanya di Vidio.</t>
  </si>
  <si>
    <t>f13f7530</t>
  </si>
  <si>
    <t>Trabzonspor vs Kasimpasa - Trendyol Super Lig</t>
  </si>
  <si>
    <t>Trabzonspor Kulübü; Kasimpasa; sports stream</t>
  </si>
  <si>
    <t>Nonton streaming pertandingan seru Trabzonspor vs Kasimpasa - Trendyol Super Lig. Saksikan aksi-aksi terbaik dari tim yang bersaing ketat untuk meraih kemenangan. Dapatkan informasi lengkap mengenai jadwal pertandingan dan hasil pertandingan terbaru hanya di Vidio.</t>
  </si>
  <si>
    <t>18704215</t>
  </si>
  <si>
    <t>Fatih Karagumruk vs Galatasaray - Trendyol Super Lig</t>
  </si>
  <si>
    <t>Fatih Karagumruk</t>
  </si>
  <si>
    <t>Fatih Karagumruk; galatasaray spor kulübü; sports stream</t>
  </si>
  <si>
    <t>Nonton streaming pertandingan seru Fatih Karagumruk vs Galatasaray - Trendyol Super Lig. Saksikan aksi-aksi terbaik dari tim yang bersaing ketat untuk meraih kemenangan. Dapatkan informasi lengkap mengenai jadwal pertandingan dan hasil pertandingan terbaru hanya di Vidio.</t>
  </si>
  <si>
    <t>93bbca7e</t>
  </si>
  <si>
    <t>Fenerbahce vs Goztepe - Trendyol Super Lig</t>
  </si>
  <si>
    <t>Goztepe S.K.</t>
  </si>
  <si>
    <t>fenerbahce; Goztepe S.K.; sports stream</t>
  </si>
  <si>
    <t>Nonton streaming pertandingan seru Fenerbahce vs Goztepe - Trendyol Super Lig. Saksikan aksi-aksi terbaik dari tim yang bersaing ketat untuk meraih kemenangan. Dapatkan informasi lengkap mengenai jadwal pertandingan dan hasil pertandingan terbaru hanya di Vidio.</t>
  </si>
  <si>
    <t>edda7e85</t>
  </si>
  <si>
    <t>Eyupspor vs Besiktas - Trendyol Super Lig</t>
  </si>
  <si>
    <t>Eyupspor; besiktas; sports stream</t>
  </si>
  <si>
    <t>Nonton streaming pertandingan seru Eyupspor vs Besiktas - Trendyol Super Lig. Saksikan aksi-aksi terbaik dari tim yang bersaing ketat untuk meraih kemenangan. Dapatkan informasi lengkap mengenai jadwal pertandingan dan hasil pertandingan terbaru hanya di Vidio.</t>
  </si>
  <si>
    <t>b9c5b72d</t>
  </si>
  <si>
    <t>TBC vs TBC - Trendyol Super Lig</t>
  </si>
  <si>
    <t>Nonton streaming pertandingan seru TBC vs TBC - Trendyol Super Lig. Saksikan aksi-aksi terbaik dari tim yang bersaing ketat untuk meraih kemenangan. Dapatkan informasi lengkap mengenai jadwal pertandingan dan hasil pertandingan terbaru hanya di Vidio.</t>
  </si>
  <si>
    <t>54b9db75</t>
  </si>
  <si>
    <t>Rangers vs Aberdeen - Scottish Premiership</t>
  </si>
  <si>
    <t>https://www.vidio.com/live/17139-spotv?schedule_id=4831592</t>
  </si>
  <si>
    <t>rangers fc; aberdeen; sports stream</t>
  </si>
  <si>
    <t>Nonton streaming pertandingan seru Rangers vs Aberdeen - Scottish Premiership. Saksikan aksi-aksi terbaik dari tim yang bersaing ketat untuk meraih kemenangan. Dapatkan informasi lengkap mengenai jadwal pertandingan dan hasil pertandingan terbaru hanya di Vidio.</t>
  </si>
  <si>
    <t>https://thumbor.prod.vidiocdn.com/8ngniKscPb7Op8qP3BGojqXdH1M=/filters:quality(70)/vidio-media-production/uploads/image/source/52978/0a47d0.png</t>
  </si>
  <si>
    <t>024426a0</t>
  </si>
  <si>
    <t>Dundee vs Hearts - Scottish Premiership</t>
  </si>
  <si>
    <t>https://www.vidio.com/live/17139-spotv?schedule_id=4832543</t>
  </si>
  <si>
    <t>Dundee; heart of midlothian fc; sports stream</t>
  </si>
  <si>
    <t>Nonton streaming pertandingan seru Dundee vs Hearts - Scottish Premiership. Saksikan aksi-aksi terbaik dari tim yang bersaing ketat untuk meraih kemenangan. Dapatkan informasi lengkap mengenai jadwal pertandingan dan hasil pertandingan terbaru hanya di Vidio.</t>
  </si>
  <si>
    <t>https://thumbor.prod.vidiocdn.com/W6ZOzFXl3WeOC5yS6-D-G6uUxDA=/filters:quality(70)/vidio-media-production/uploads/image/source/52979/e20c60.png</t>
  </si>
  <si>
    <t>4c214b3f</t>
  </si>
  <si>
    <t>Al-Hilal vs Al-Hazem - ROSHN Saudi League</t>
  </si>
  <si>
    <t>https://www.vidio.com/live/17139-spotv?schedule_id=4830788</t>
  </si>
  <si>
    <t>al-hilal; Al-Hazem; sports stream</t>
  </si>
  <si>
    <t>Nonton streaming pertandingan seru Al-Hilal vs Al-Hazem - ROSHN Saudi League. Saksikan aksi-aksi terbaik dari tim yang bersaing ketat untuk meraih kemenangan. Dapatkan informasi lengkap mengenai jadwal pertandingan dan hasil pertandingan terbaru hanya di Vidio.</t>
  </si>
  <si>
    <t>https://thumbor.prod.vidiocdn.com/4ytmIPjUROxEuxiHB8NvLfDG9H4=/filters:quality(70)/vidio-media-production/uploads/image/source/52943/dda1f4.png</t>
  </si>
  <si>
    <t>ccf6dc8a</t>
  </si>
  <si>
    <t>Al-Kholood vs Al-Ittihad - ROSHN Saudi League</t>
  </si>
  <si>
    <t>https://www.vidio.com/live/17139-spotv?schedule_id=4832260</t>
  </si>
  <si>
    <t>al-kholood club; al ittihad; sports stream</t>
  </si>
  <si>
    <t>Nonton streaming pertandingan seru Al-Kholood vs Al-Ittihad - ROSHN Saudi League. Saksikan aksi-aksi terbaik dari tim yang bersaing ketat untuk meraih kemenangan. Dapatkan informasi lengkap mengenai jadwal pertandingan dan hasil pertandingan terbaru hanya di Vidio.</t>
  </si>
  <si>
    <t>https://thumbor.prod.vidiocdn.com/mx0Pfe2LLfGoKp3h-2QJ76jT02Y=/filters:quality(70)/vidio-media-production/uploads/image/source/52944/0bea0d.png</t>
  </si>
  <si>
    <t>da7dae4e</t>
  </si>
  <si>
    <t>Jelang Kick Off - PERSEBAYA Surabaya vs Malut United FC - BRI Super League</t>
  </si>
  <si>
    <t>https://www.vidio.com/live/19355-bri-super-league?schedule_id=4832275</t>
  </si>
  <si>
    <t>Nonton streaming pertandingan seru Jelang Kick Off - PERSEBAYA Surabaya vs Malut United FC - BRI Super League. Saksikan aksi-aksi terbaik dari tim yang bersaing ketat untuk meraih kemenangan. Dapatkan informasi lengkap mengenai jadwal pertandingan dan hasil pertandingan terbaru hanya di Vidio.</t>
  </si>
  <si>
    <t>https://drive.google.com/file/d/17HzZla6-sKugGOTiV5hquQ9-Al2AepBJ/view?usp=sharing</t>
  </si>
  <si>
    <t>ebabbe9e</t>
  </si>
  <si>
    <t>Jelang Kick Off - PERSIB vs PERSIJA - BRI Super League</t>
  </si>
  <si>
    <t>https://www.vidio.com/live/19355-bri-super-league?schedule_id=4832996</t>
  </si>
  <si>
    <t>https://drive.google.com/file/d/1tq10VqEAueiOje-CDYq35mhpWoBSDUZa/view?usp=drive_link</t>
  </si>
  <si>
    <t>Nonton streaming pertandingan seru Jelang Kick Off - PERSIB vs PERSIJA - BRI Super League. Saksikan aksi-aksi terbaik dari tim yang bersaing ketat untuk meraih kemenangan. Dapatkan informasi lengkap mengenai jadwal pertandingan dan hasil pertandingan terbaru hanya di Vidio.</t>
  </si>
  <si>
    <t>https://drive.google.com/file/d/1tq10VqEAueiOje-CDYq35mhpWoBSDUZa/view?usp=sharing</t>
  </si>
  <si>
    <t>9d895f3a</t>
  </si>
  <si>
    <t>https://www.vidio.com/live/6786-champions-tv-3?schedule_id=4832233</t>
  </si>
  <si>
    <t>https://drive.google.com/drive/folders/1GWNRo6VmCQFpb1liOFuv6o9liUzIhczV</t>
  </si>
  <si>
    <t>https://drive.google.com/file/d/1pc2eVg5Q1YEUMtl8mMltADFOTyCZSYxT/view?usp=sharing</t>
  </si>
  <si>
    <t>0718f775</t>
  </si>
  <si>
    <t>Putra: Surabaya Samator vs Jakarta Garuda Jaya - Proliga</t>
  </si>
  <si>
    <t>SURABAYA BHAYANGKARA SAMATOR; Jakarta Garuda Jaya; sports stream</t>
  </si>
  <si>
    <t>Nonton streaming pertandingan seru Putra: Surabaya Samator vs Jakarta Garuda Jaya - Proliga. Saksikan aksi-aksi terbaik dari tim yang bersaing ketat untuk meraih kemenangan. Dapatkan informasi lengkap mengenai jadwal pertandingan dan hasil pertandingan terbaru hanya di Vidio.</t>
  </si>
  <si>
    <t>ca335c42</t>
  </si>
  <si>
    <t>Putri: Gresik Phonska Plus Pupuk Indonesia vs Jakarta Livin Mandiri - Proliga</t>
  </si>
  <si>
    <t>gresik petrokimia; jakarta livin mandiri; sports stream</t>
  </si>
  <si>
    <t>Nonton streaming pertandingan seru Putri: Gresik Phonska Plus Pupuk Indonesia vs Jakarta Livin Mandiri - Proliga. Saksikan aksi-aksi terbaik dari tim yang bersaing ketat untuk meraih kemenangan. Dapatkan informasi lengkap mengenai jadwal pertandingan dan hasil pertandingan terbaru hanya di Vidio.</t>
  </si>
  <si>
    <t>d620111e</t>
  </si>
  <si>
    <t>Putri: Jakarta Popsivo Polwan vs Jakarta Electric PLN Mobile - Proliga</t>
  </si>
  <si>
    <t>Jakarta Popsivo Polwan; jakarta elektrik pln; sports stream</t>
  </si>
  <si>
    <t>Nonton streaming pertandingan seru Putri: Jakarta Popsivo Polwan vs Jakarta Electric PLN Mobile - Proliga. Saksikan aksi-aksi terbaik dari tim yang bersaing ketat untuk meraih kemenangan. Dapatkan informasi lengkap mengenai jadwal pertandingan dan hasil pertandingan terbaru hanya di Vidio.</t>
  </si>
  <si>
    <t>762fce50</t>
  </si>
  <si>
    <t>Putri: Medan Falcons vs Jakarta Pertamina Enduro - Proliga</t>
  </si>
  <si>
    <t>yogya falcons; Jakarta Pertamina Fastron; sports stream</t>
  </si>
  <si>
    <t>Nonton streaming pertandingan seru Putri: Medan Falcons vs Jakarta Pertamina Enduro - Proliga. Saksikan aksi-aksi terbaik dari tim yang bersaing ketat untuk meraih kemenangan. Dapatkan informasi lengkap mengenai jadwal pertandingan dan hasil pertandingan terbaru hanya di Vidio.</t>
  </si>
  <si>
    <t>6b370fb2</t>
  </si>
  <si>
    <t>Putri: Jakarta Livin Mandiri vs Jakarta Popsivo Polwan - Proliga</t>
  </si>
  <si>
    <t>jakarta livin mandiri; Jakarta Popsivo Polwan; sports stream</t>
  </si>
  <si>
    <t>Nonton streaming pertandingan seru Putri: Jakarta Livin Mandiri vs Jakarta Popsivo Polwan - Proliga. Saksikan aksi-aksi terbaik dari tim yang bersaing ketat untuk meraih kemenangan. Dapatkan informasi lengkap mengenai jadwal pertandingan dan hasil pertandingan terbaru hanya di Vidio.</t>
  </si>
  <si>
    <t>0b604839</t>
  </si>
  <si>
    <t>Putra: Jakarta Lavani Livin Transmedia vs Medan Falcons Tirta Bhagasasi - Proliga</t>
  </si>
  <si>
    <t>bogor lavani; Falcons Volleyball Club Putra; sports stream</t>
  </si>
  <si>
    <t>Nonton streaming pertandingan seru Putra: Jakarta Lavani Livin Transmedia vs Medan Falcons Tirta Bhagasasi - Proliga. Saksikan aksi-aksi terbaik dari tim yang bersaing ketat untuk meraih kemenangan. Dapatkan informasi lengkap mengenai jadwal pertandingan dan hasil pertandingan terbaru hanya di Vidio.</t>
  </si>
  <si>
    <t>0395b5ef</t>
  </si>
  <si>
    <t>Putri: Jakarta Pertamina Enduro vs Bandung BJB Tandamata - Proliga</t>
  </si>
  <si>
    <t>Jakarta Pertamina Fastron; Bandung bjb Tandamata; sports stream</t>
  </si>
  <si>
    <t>Nonton streaming pertandingan seru Putri: Jakarta Pertamina Enduro vs Bandung BJB Tandamata - Proliga. Saksikan aksi-aksi terbaik dari tim yang bersaing ketat untuk meraih kemenangan. Dapatkan informasi lengkap mengenai jadwal pertandingan dan hasil pertandingan terbaru hanya di Vidio.</t>
  </si>
  <si>
    <t>d0500c93</t>
  </si>
  <si>
    <t>Putra: Surabaya Samator vs Jakarta Bhayangkara Presisi - Proliga</t>
  </si>
  <si>
    <t>SURABAYA BHAYANGKARA SAMATOR; Jakarta Bhayangkara Presisi; sports stream</t>
  </si>
  <si>
    <t>Nonton streaming pertandingan seru Putra: Surabaya Samator vs Jakarta Bhayangkara Presisi - Proliga. Saksikan aksi-aksi terbaik dari tim yang bersaing ketat untuk meraih kemenangan. Dapatkan informasi lengkap mengenai jadwal pertandingan dan hasil pertandingan terbaru hanya di Vidio.</t>
  </si>
  <si>
    <t>69b8d587</t>
  </si>
  <si>
    <t>Putri: Gresik Phonska Plus Pupuk Indonesia vs Medan Falcons - Proliga</t>
  </si>
  <si>
    <t>gresik petrokimia; yogya falcons; sports stream</t>
  </si>
  <si>
    <t>Nonton streaming pertandingan seru Putri: Gresik Phonska Plus Pupuk Indonesia vs Medan Falcons - Proliga. Saksikan aksi-aksi terbaik dari tim yang bersaing ketat untuk meraih kemenangan. Dapatkan informasi lengkap mengenai jadwal pertandingan dan hasil pertandingan terbaru hanya di Vidio.</t>
  </si>
  <si>
    <t>5ec735c3</t>
  </si>
  <si>
    <t>Putra: Jakarta Lavani Livin Transmedia vs Jakarta Bhayangkara Presisi - Proliga</t>
  </si>
  <si>
    <t>bogor lavani; Jakarta Bhayangkara Presisi; sports stream</t>
  </si>
  <si>
    <t>Nonton streaming pertandingan seru Putra: Jakarta Lavani Livin Transmedia vs Jakarta Bhayangkara Presisi - Proliga. Saksikan aksi-aksi terbaik dari tim yang bersaing ketat untuk meraih kemenangan. Dapatkan informasi lengkap mengenai jadwal pertandingan dan hasil pertandingan terbaru hanya di Vidio.</t>
  </si>
  <si>
    <t>c5371fb4</t>
  </si>
  <si>
    <t>a9f76496</t>
  </si>
  <si>
    <t>Putri: Gresik Phonska Plus Pupuk Indonesia vs Jakarta Popsivo Polwan - Proliga</t>
  </si>
  <si>
    <t>gresik petrokimia; Jakarta Popsivo Polwan; sports stream</t>
  </si>
  <si>
    <t>Nonton streaming pertandingan seru Putri: Gresik Phonska Plus Pupuk Indonesia vs Jakarta Popsivo Polwan - Proliga. Saksikan aksi-aksi terbaik dari tim yang bersaing ketat untuk meraih kemenangan. Dapatkan informasi lengkap mengenai jadwal pertandingan dan hasil pertandingan terbaru hanya di Vidio.</t>
  </si>
  <si>
    <t>bd01a373</t>
  </si>
  <si>
    <t>Putri: Jakarta Livin Mandiri vs Medan Falcons - Proliga</t>
  </si>
  <si>
    <t>jakarta livin mandiri; yogya falcons; sports stream</t>
  </si>
  <si>
    <t>Nonton streaming pertandingan seru Putri: Jakarta Livin Mandiri vs Medan Falcons - Proliga. Saksikan aksi-aksi terbaik dari tim yang bersaing ketat untuk meraih kemenangan. Dapatkan informasi lengkap mengenai jadwal pertandingan dan hasil pertandingan terbaru hanya di Vidio.</t>
  </si>
  <si>
    <t>3956ae41</t>
  </si>
  <si>
    <t>Putri: Jakarta Electric PLN Mobile vs Bandung BJB Tandamata - Proliga</t>
  </si>
  <si>
    <t>jakarta elektrik pln; Bandung bjb Tandamata; sports stream</t>
  </si>
  <si>
    <t>Nonton streaming pertandingan seru Putri: Jakarta Electric PLN Mobile vs Bandung BJB Tandamata - Proliga. Saksikan aksi-aksi terbaik dari tim yang bersaing ketat untuk meraih kemenangan. Dapatkan informasi lengkap mengenai jadwal pertandingan dan hasil pertandingan terbaru hanya di Vidio.</t>
  </si>
  <si>
    <t>284a5f95</t>
  </si>
  <si>
    <t>a669dc2a</t>
  </si>
  <si>
    <t>88791440</t>
  </si>
  <si>
    <t>3ce3a44b</t>
  </si>
  <si>
    <t>Putri: Jakarta Pertamina Enduro vs Medan Falcons - Proliga</t>
  </si>
  <si>
    <t>Jakarta Pertamina Fastron; yogya falcons; sports stream</t>
  </si>
  <si>
    <t>Nonton streaming pertandingan seru Putri: Jakarta Pertamina Enduro vs Medan Falcons - Proliga. Saksikan aksi-aksi terbaik dari tim yang bersaing ketat untuk meraih kemenangan. Dapatkan informasi lengkap mengenai jadwal pertandingan dan hasil pertandingan terbaru hanya di Vidio.</t>
  </si>
  <si>
    <t>d02d1f50</t>
  </si>
  <si>
    <t>NFL Wild Card: Los Angeles Rams vs Carolina Panthers - NFL</t>
  </si>
  <si>
    <t>https://www.vidio.com/live/19548-national-football-league-2025-26?schedule_id=4834226</t>
  </si>
  <si>
    <t>https://drive.google.com/drive/folders/1kRXKbH_PtK3qjHyskEAUB35jHU6WxEfn?usp=drive_link</t>
  </si>
  <si>
    <t>https://drive.google.com/file/d/1BL_r47vuUPDeLnyCxu6_tb7PZ72k3cUh/view?usp=drive_link</t>
  </si>
  <si>
    <t>Nonton streaming pertandingan seru NFL Wild Card: Los Angeles Rams vs Carolina Panthers - NFL. Saksikan aksi-aksi terbaik dari tim yang bersaing ketat untuk meraih kemenangan. Dapatkan informasi lengkap mengenai jadwal pertandingan dan hasil pertandingan terbaru hanya di Vidio.</t>
  </si>
  <si>
    <t>https://drive.google.com/file/d/1EXQ8o_tpmzvXZ40Xjfw61-PTR9hFe55m/view?usp=sharing</t>
  </si>
  <si>
    <t>https://drive.google.com/file/d/1BL_r47vuUPDeLnyCxu6_tb7PZ72k3cUh/view?usp=sharing</t>
  </si>
  <si>
    <t>https://drive.google.com/file/d/1LY1lBjenXpZUUwoHvjIts7FRAtiMDXxY/view?usp=sharing</t>
  </si>
  <si>
    <t>f0a3d5c8</t>
  </si>
  <si>
    <t>NFL Wild Card: Green Bay Packers vs Chicago Bears - NFL</t>
  </si>
  <si>
    <t>https://www.vidio.com/live/19623-national-football-league-2025-26?schedule_id=4834800</t>
  </si>
  <si>
    <t>https://drive.google.com/drive/folders/1XzwxC7sTr-MUqbeP542SbeC2hyA-6OdW?usp=drive_link</t>
  </si>
  <si>
    <t>https://drive.google.com/file/d/1q_Pzn_UOTdq8L1ORZgwsetK40gTlpYu6/view?usp=drive_link</t>
  </si>
  <si>
    <t>Nonton streaming pertandingan seru NFL Wild Card: Green Bay Packers vs Chicago Bears - NFL. Saksikan aksi-aksi terbaik dari tim yang bersaing ketat untuk meraih kemenangan. Dapatkan informasi lengkap mengenai jadwal pertandingan dan hasil pertandingan terbaru hanya di Vidio.</t>
  </si>
  <si>
    <t>https://drive.google.com/file/d/1D9IDtKQgwius_ofdKB-0YCqJHxdAk0C5/view?usp=sharing</t>
  </si>
  <si>
    <t>https://drive.google.com/file/d/1q_Pzn_UOTdq8L1ORZgwsetK40gTlpYu6/view?usp=sharing</t>
  </si>
  <si>
    <t>https://drive.google.com/file/d/17nxrAYVinKABCZvFEYcOqzA9CwTs_JDy/view?usp=sharing</t>
  </si>
  <si>
    <t>1f9d8327</t>
  </si>
  <si>
    <t>NFL Wild Card: Buffalo Bills vs Jacksonville Jaguars - NFL</t>
  </si>
  <si>
    <t>https://www.vidio.com/live/19548-national-football-league-2025-26?schedule_id=4834232</t>
  </si>
  <si>
    <t>https://drive.google.com/drive/folders/1qkUU5jRv8TV-cu0ySUthf0stcl0hFGgs?usp=drive_link</t>
  </si>
  <si>
    <t>https://drive.google.com/file/d/1lMazJTnqsnGxNT5npfMho3ebIWrsQzsF/view?usp=drive_link</t>
  </si>
  <si>
    <t>Nonton streaming pertandingan seru NFL Wild Card: Buffalo Bills vs Jacksonville Jaguars - NFL. Saksikan aksi-aksi terbaik dari tim yang bersaing ketat untuk meraih kemenangan. Dapatkan informasi lengkap mengenai jadwal pertandingan dan hasil pertandingan terbaru hanya di Vidio.</t>
  </si>
  <si>
    <t>https://drive.google.com/file/d/10Dg19gxv8a0XxrxQRQbj0JWEF6PpsWUr/view?usp=sharing</t>
  </si>
  <si>
    <t>https://drive.google.com/file/d/1lMazJTnqsnGxNT5npfMho3ebIWrsQzsF/view?usp=sharing</t>
  </si>
  <si>
    <t>https://drive.google.com/file/d/1CWaLNszGBblCtMKuPMBf2A0Bt5EebwOa/view?usp=sharing</t>
  </si>
  <si>
    <t>24fb2f59</t>
  </si>
  <si>
    <t>NFL Wild Card: San Francisco 49ers vs Philadelphia Eagles - NFL</t>
  </si>
  <si>
    <t>https://www.vidio.com/live/19548-national-football-league-2025-26?schedule_id=4834234</t>
  </si>
  <si>
    <t>https://drive.google.com/drive/folders/18ulg8Uhgs3pN37oew1VXEUS_6rfmIHGq?usp=drive_link</t>
  </si>
  <si>
    <t>https://drive.google.com/file/d/1I2eIKrx-Pq6H1ClDLs6bhA1CkMHJUhF8/view?usp=drive_link</t>
  </si>
  <si>
    <t>Nonton streaming pertandingan seru NFL Wild Card: San Francisco 49ers vs Philadelphia Eagles - NFL. Saksikan aksi-aksi terbaik dari tim yang bersaing ketat untuk meraih kemenangan. Dapatkan informasi lengkap mengenai jadwal pertandingan dan hasil pertandingan terbaru hanya di Vidio.</t>
  </si>
  <si>
    <t>https://drive.google.com/file/d/13qnWr9Ign-ydDrUZgabzF2DTS9fm3B58/view?usp=sharing</t>
  </si>
  <si>
    <t>https://drive.google.com/file/d/1I2eIKrx-Pq6H1ClDLs6bhA1CkMHJUhF8/view?usp=sharing</t>
  </si>
  <si>
    <t>https://drive.google.com/file/d/1nH7sULRajO4R7vTslgwlwoRcl8JNedTr/view?usp=sharing</t>
  </si>
  <si>
    <t>db8f4674</t>
  </si>
  <si>
    <t>NFL Wild Card: Los Angeles Chargers vs New England Patriots - NFL</t>
  </si>
  <si>
    <t>https://www.vidio.com/live/19623-national-football-league-2025-26?schedule_id=4834801</t>
  </si>
  <si>
    <t>https://drive.google.com/drive/folders/1xvNuswFOEbiO71b4MpS3_3vDyhaO6Fzk?usp=drive_link</t>
  </si>
  <si>
    <t>https://drive.google.com/file/d/1dHtE4R6NvKLH1pAlLepns0ZPnoh33hSc/view?usp=drive_link</t>
  </si>
  <si>
    <t>Nonton streaming pertandingan seru NFL Wild Card: Los Angeles Chargers vs New England Patriots - NFL. Saksikan aksi-aksi terbaik dari tim yang bersaing ketat untuk meraih kemenangan. Dapatkan informasi lengkap mengenai jadwal pertandingan dan hasil pertandingan terbaru hanya di Vidio.</t>
  </si>
  <si>
    <t>https://drive.google.com/file/d/1deZAbfJVdgIn3PxMeZ4VDpCNDYarV7-x/view?usp=sharing</t>
  </si>
  <si>
    <t>https://drive.google.com/file/d/1dHtE4R6NvKLH1pAlLepns0ZPnoh33hSc/view?usp=sharing</t>
  </si>
  <si>
    <t>https://drive.google.com/file/d/11zJPl2tX7P1cB8C823dZ3WySN0bKoM5t/view?usp=sharing</t>
  </si>
  <si>
    <t>54a1417f</t>
  </si>
  <si>
    <t>NFL Wild Card: Houston Texans vs Pittsburgh Steelers - NFL</t>
  </si>
  <si>
    <t>https://www.vidio.com/live/19623-national-football-league-2025-26?schedule_id=4834972</t>
  </si>
  <si>
    <t>https://drive.google.com/drive/folders/1hUhPcCai5TdvrkD3vTkmYAVBj-YeV85B?usp=drive_link</t>
  </si>
  <si>
    <t>https://drive.google.com/file/d/1ygk7JrTwOvUiG2O43xSxnxCw0wHnTEEm/view?usp=drive_link</t>
  </si>
  <si>
    <t>Nonton streaming pertandingan seru NFL Wild Card: Houston Texans vs Pittsburgh Steelers - NFL. Saksikan aksi-aksi terbaik dari tim yang bersaing ketat untuk meraih kemenangan. Dapatkan informasi lengkap mengenai jadwal pertandingan dan hasil pertandingan terbaru hanya di Vidio.</t>
  </si>
  <si>
    <t>https://drive.google.com/file/d/1RIdu0rLRYY-CcEhNst79TGneBIY0eBo8/view?usp=sharing</t>
  </si>
  <si>
    <t>https://drive.google.com/file/d/1ygk7JrTwOvUiG2O43xSxnxCw0wHnTEEm/view?usp=sharing</t>
  </si>
  <si>
    <t>https://drive.google.com/file/d/1y71UmISfU1PEIgmcKd2G6dqcDfVhwjsQ/view?usp=sharing</t>
  </si>
  <si>
    <t>1c940ae2</t>
  </si>
  <si>
    <t>Arisa Igarashi/Chiharu Shida (JPN) vs Jeong Na Eun/Lee Yeon Woo (KOR) - Women's Doubles Round of 32 | PETRONAS Malaysia Open 2026</t>
  </si>
  <si>
    <t>https://www.vidio.com/live/18249-petronas-malaysia-open-2026-round-of-32-court-1?schedule_id=4831476</t>
  </si>
  <si>
    <t>Nonton streaming pertandingan seru Arisa Igarashi/Chiharu Shida (JPN) vs Jeong Na Eun/Lee Yeon Woo (KOR) - Women's Doubles Round of 32 | PETRONAS Malaysia Open 2026. Saksikan aksi-aksi terbaik dari tim yang bersaing ketat untuk meraih kemenangan. Dapatkan informasi lengkap mengenai jadwal pertandingan dan hasil pertandingan terbaru hanya di Vidio.</t>
  </si>
  <si>
    <t>aa974d2e</t>
  </si>
  <si>
    <t>An Se Young (KOR) vs Michelle Li (CAN) - Women's Singles Round of 32 | PETRONAS Malaysia Open 2026</t>
  </si>
  <si>
    <t>https://www.vidio.com/live/18249-petronas-malaysia-open-2026-round-of-32-court-1?schedule_id=4831477</t>
  </si>
  <si>
    <t>Nonton streaming pertandingan seru An Se Young (KOR) vs Michelle Li (CAN) - Women's Singles Round of 32 | PETRONAS Malaysia Open 2026. Saksikan aksi-aksi terbaik dari tim yang bersaing ketat untuk meraih kemenangan. Dapatkan informasi lengkap mengenai jadwal pertandingan dan hasil pertandingan terbaru hanya di Vidio.</t>
  </si>
  <si>
    <t>85a6027e</t>
  </si>
  <si>
    <t>Liang Wei Keng/Wang Chang (CHN) vs Takuro Hoki/Yugo Kobayashi (JPN) - Men's Doubles Round of 32 | PETRONAS Malaysia Open 2026</t>
  </si>
  <si>
    <t>https://www.vidio.com/live/18249-petronas-malaysia-open-2026-round-of-32-court-1?schedule_id=4831481</t>
  </si>
  <si>
    <t>Nonton streaming pertandingan seru Liang Wei Keng/Wang Chang (CHN) vs Takuro Hoki/Yugo Kobayashi (JPN) - Men's Doubles Round of 32 | PETRONAS Malaysia Open 2026. Saksikan aksi-aksi terbaik dari tim yang bersaing ketat untuk meraih kemenangan. Dapatkan informasi lengkap mengenai jadwal pertandingan dan hasil pertandingan terbaru hanya di Vidio.</t>
  </si>
  <si>
    <t>a05aa044</t>
  </si>
  <si>
    <t>Ratchanok Intanon (THA) vs Malvika Bansod (IND) - Women's Singles Round of 32 | PETRONAS Malaysia Open 2026</t>
  </si>
  <si>
    <t>https://www.vidio.com/live/18249-petronas-malaysia-open-2026-round-of-32-court-1?schedule_id=4831548</t>
  </si>
  <si>
    <t>Nonton streaming pertandingan seru Ratchanok Intanon (THA) vs Malvika Bansod (IND) - Women's Singles Round of 32 | PETRONAS Malaysia Open 2026. Saksikan aksi-aksi terbaik dari tim yang bersaing ketat untuk meraih kemenangan. Dapatkan informasi lengkap mengenai jadwal pertandingan dan hasil pertandingan terbaru hanya di Vidio.</t>
  </si>
  <si>
    <t>3a6f03ed</t>
  </si>
  <si>
    <t>Mathias Christiansen/Alexandra Boje (DEN) vs Hoo Pang Ron/Cheng Su Yin (MAS) - Mixed Doubles Round of 32 | PETRONAS Malaysia Open 2026</t>
  </si>
  <si>
    <t>Nonton streaming pertandingan seru Mathias Christiansen/Alexandra Boje (DEN) vs Hoo Pang Ron/Cheng Su Yin (MAS) - Mixed Doubles Round of 32 | PETRONAS Malaysia Open 2026. Saksikan aksi-aksi terbaik dari tim yang bersaing ketat untuk meraih kemenangan. Dapatkan informasi lengkap mengenai jadwal pertandingan dan hasil pertandingan terbaru hanya di Vidio.</t>
  </si>
  <si>
    <t>1f7beb03</t>
  </si>
  <si>
    <t>Christo Popov (FRA) vs Lee Cheuk Yiu (HKG) - Men's Singles Round of 32 | PETRONAS Malaysia Open 2026</t>
  </si>
  <si>
    <t>https://www.vidio.com/live/18249-petronas-malaysia-open-2026-round-of-32-court-1?schedule_id=4831550</t>
  </si>
  <si>
    <t>Nonton streaming pertandingan seru Christo Popov (FRA) vs Lee Cheuk Yiu (HKG) - Men's Singles Round of 32 | PETRONAS Malaysia Open 2026. Saksikan aksi-aksi terbaik dari tim yang bersaing ketat untuk meraih kemenangan. Dapatkan informasi lengkap mengenai jadwal pertandingan dan hasil pertandingan terbaru hanya di Vidio.</t>
  </si>
  <si>
    <t>3da8196f</t>
  </si>
  <si>
    <t>Chen Tang Jie/Toh Ee Wei (MAS) vs Jafar Hidayatullah/Felisha Alberta Nathaniel Pasaribu (INA) - Mixed Doubles Round of 32 | PETRONAS Malaysia Open 2026</t>
  </si>
  <si>
    <t>https://www.vidio.com/live/18249-petronas-malaysia-open-2026-round-of-32-court-1?schedule_id=4831551</t>
  </si>
  <si>
    <t>Nonton streaming pertandingan seru Chen Tang Jie/Toh Ee Wei (MAS) vs Jafar Hidayatullah/Felisha Alberta Nathaniel Pasaribu (INA) - Mixed Doubles Round of 32 | PETRONAS Malaysia Open 2026. Saksikan aksi-aksi terbaik dari tim yang bersaing ketat untuk meraih kemenangan. Dapatkan informasi lengkap mengenai jadwal pertandingan dan hasil pertandingan terbaru hanya di Vidio.</t>
  </si>
  <si>
    <t>5e4a612a</t>
  </si>
  <si>
    <t>Ayush Shetty (IND) vs Lee Zii Jia (MAS) - Men's Singles Round of 32 | PETRONAS Malaysia Open 2026</t>
  </si>
  <si>
    <t>https://www.vidio.com/live/18249-petronas-malaysia-open-2026-round-of-32-court-1?schedule_id=4831552</t>
  </si>
  <si>
    <t>Nonton streaming pertandingan seru Ayush Shetty (IND) vs Lee Zii Jia (MAS) - Men's Singles Round of 32 | PETRONAS Malaysia Open 2026. Saksikan aksi-aksi terbaik dari tim yang bersaing ketat untuk meraih kemenangan. Dapatkan informasi lengkap mengenai jadwal pertandingan dan hasil pertandingan terbaru hanya di Vidio.</t>
  </si>
  <si>
    <t>bdda9dd8</t>
  </si>
  <si>
    <t>Man Wei Chong/Kai Wun Tee (MAS) vs Kim Astrup/Anders Skaarup Rasmussen (DEN) - Men's Doubles Round of 32 | PETRONAS Malaysia Open 2026</t>
  </si>
  <si>
    <t>https://www.vidio.com/live/18249-petronas-malaysia-open-2026-round-of-32-court-1?schedule_id=4831553</t>
  </si>
  <si>
    <t>Nonton streaming pertandingan seru Man Wei Chong/Kai Wun Tee (MAS) vs Kim Astrup/Anders Skaarup Rasmussen (DEN) - Men's Doubles Round of 32 | PETRONAS Malaysia Open 2026. Saksikan aksi-aksi terbaik dari tim yang bersaing ketat untuk meraih kemenangan. Dapatkan informasi lengkap mengenai jadwal pertandingan dan hasil pertandingan terbaru hanya di Vidio.</t>
  </si>
  <si>
    <t>919b0bac</t>
  </si>
  <si>
    <t>Anders Antonsen (DEN) vs Loh Kean Yew (SGP) - Men's Singles Round of 32 | PETRONAS Malaysia Open 2026</t>
  </si>
  <si>
    <t>https://www.vidio.com/live/18249-petronas-malaysia-open-2026-round-of-32-court-1?schedule_id=4831554</t>
  </si>
  <si>
    <t>Nonton streaming pertandingan seru Anders Antonsen (DEN) vs Loh Kean Yew (SGP) - Men's Singles Round of 32 | PETRONAS Malaysia Open 2026. Saksikan aksi-aksi terbaik dari tim yang bersaing ketat untuk meraih kemenangan. Dapatkan informasi lengkap mengenai jadwal pertandingan dan hasil pertandingan terbaru hanya di Vidio.</t>
  </si>
  <si>
    <t>997bbf38</t>
  </si>
  <si>
    <t>Ben Lane/Sean Vendy (ENG) vs Choong Hon Jian/Haikal Muhammad (MAS) - Men's Doubles Round of 32 | PETRONAS Malaysia Open 2026</t>
  </si>
  <si>
    <t>https://www.vidio.com/live/18249-petronas-malaysia-open-2026-round-of-32-court-1?schedule_id=4831555</t>
  </si>
  <si>
    <t>Nonton streaming pertandingan seru Ben Lane/Sean Vendy (ENG) vs Choong Hon Jian/Muhammad Haikal (MAS) - Men's Doubles Round of 32 | PETRONAS Malaysia Open 2026. Saksikan aksi-aksi terbaik dari tim yang bersaing ketat untuk meraih kemenangan. Dapatkan informasi lengkap mengenai jadwal pertandingan dan hasil pertandingan terbaru hanya di Vidio.</t>
  </si>
  <si>
    <t>7cdf095b</t>
  </si>
  <si>
    <t>Yushi Tanaka (JPN) vs Victor Lai (CAN) - Men's Singles Round of 32 | PETRONAS Malaysia Open 2026</t>
  </si>
  <si>
    <t>https://www.vidio.com/live/18249-petronas-malaysia-open-2026-round-of-32-court-1?schedule_id=4831556</t>
  </si>
  <si>
    <t>Nonton streaming pertandingan seru Yushi Tanaka (JPN) vs Victor Lai (CAN) - Men's Singles Round of 32 | PETRONAS Malaysia Open 2026. Saksikan aksi-aksi terbaik dari tim yang bersaing ketat untuk meraih kemenangan. Dapatkan informasi lengkap mengenai jadwal pertandingan dan hasil pertandingan terbaru hanya di Vidio.</t>
  </si>
  <si>
    <t>242fc8a0</t>
  </si>
  <si>
    <t>Chen Yu Fei (CHN) vs Pitchamon Opatniputh (THA) - Women's Singles Round of 32 | PETRONAS Malaysia Open 2026</t>
  </si>
  <si>
    <t>https://www.vidio.com/live/18250-petronas-malaysia-open-2026-round-of-32-court-2?schedule_id=4832216</t>
  </si>
  <si>
    <t>Nonton streaming pertandingan seru Chen Yu Fei (CHN) vs Pitchamon Opatniputh (THA) - Women's Singles Round of 32 | PETRONAS Malaysia Open 2026. Saksikan aksi-aksi terbaik dari tim yang bersaing ketat untuk meraih kemenangan. Dapatkan informasi lengkap mengenai jadwal pertandingan dan hasil pertandingan terbaru hanya di Vidio.</t>
  </si>
  <si>
    <t>c79c5ceb</t>
  </si>
  <si>
    <t>Rajadamnern 2026 Super Flyweight Title</t>
  </si>
  <si>
    <t>https://drive.google.com/drive/u/0/folders/1rXXfKAkEGpcWyPjsXaVYD4C_-MzU729p</t>
  </si>
  <si>
    <t>Nonton streaming pertandingan seru Rajadamnern 2026 Super Flyweight Title. Saksikan aksi-aksi terbaik dari tim yang bersaing ketat untuk meraih kemenangan. Dapatkan informasi lengkap mengenai jadwal pertandingan dan hasil pertandingan terbaru hanya di Vidio.</t>
  </si>
  <si>
    <t>bbdcdb9c</t>
  </si>
  <si>
    <t>Nozomi Okuhara (JPN) vs Pai Yu Po (TPE) - Women's Singles Round of 32 | PETRONAS Malaysia Open 2026</t>
  </si>
  <si>
    <t>https://www.vidio.com/live/18250-petronas-malaysia-open-2026-round-of-32-court-2?schedule_id=4831559</t>
  </si>
  <si>
    <t>Nonton streaming pertandingan seru Nozomi Okuhara (JPN) vs Pai Yu Po (TPE) - Women's Singles Round of 32 | PETRONAS Malaysia Open 2026. Saksikan aksi-aksi terbaik dari tim yang bersaing ketat untuk meraih kemenangan. Dapatkan informasi lengkap mengenai jadwal pertandingan dan hasil pertandingan terbaru hanya di Vidio.</t>
  </si>
  <si>
    <t>721d1f4b</t>
  </si>
  <si>
    <t>Ong Xin Yee/Carmen Ting (MAS) vs Rui Hirokami/Sayaka Hobara (JPN) - Women's Doubles Round of 32 | PETRONAS Malaysia Open 2026</t>
  </si>
  <si>
    <t>https://www.vidio.com/live/18250-petronas-malaysia-open-2026-round-of-32-court-2?schedule_id=4831560</t>
  </si>
  <si>
    <t>Nonton streaming pertandingan seru Ong Xin Yee/Carmen Ting (MAS) vs Rui Hirokami/Sayaka Hobara (JPN) - Women's Doubles Round of 32 | PETRONAS Malaysia Open 2026. Saksikan aksi-aksi terbaik dari tim yang bersaing ketat untuk meraih kemenangan. Dapatkan informasi lengkap mengenai jadwal pertandingan dan hasil pertandingan terbaru hanya di Vidio.</t>
  </si>
  <si>
    <t>fda5f928</t>
  </si>
  <si>
    <t>Tang Chun Man/Tse Ying Suet (HKG) vs Jimmy Wong/Lai Pei Jing (MAS) - Mixed Doubles Round of 32 | PETRONAS Malaysia Open 2026</t>
  </si>
  <si>
    <t>https://www.vidio.com/live/18250-petronas-malaysia-open-2026-round-of-32-court-2?schedule_id=4831561</t>
  </si>
  <si>
    <t>Nonton streaming pertandingan seru Tang Chun Man/Tse Ying Suet (HKG) vs Jimmy Wong/Lai Pei Jing (MAS) - Mixed Doubles Round of 32 | PETRONAS Malaysia Open 2026. Saksikan aksi-aksi terbaik dari tim yang bersaing ketat untuk meraih kemenangan. Dapatkan informasi lengkap mengenai jadwal pertandingan dan hasil pertandingan terbaru hanya di Vidio.</t>
  </si>
  <si>
    <t>6e8da5d6</t>
  </si>
  <si>
    <t>Yeung Nga Ting/Yeung Pui Lam (HKG) vs Ornnicha Jongsathapornparn/Sukitta Suwachai (THA) - Women's Doubles Round of 32 | PETRONAS Malaysia Open 2026</t>
  </si>
  <si>
    <t>https://www.vidio.com/live/18250-petronas-malaysia-open-2026-round-of-32-court-2?schedule_id=4831563</t>
  </si>
  <si>
    <t>Nonton streaming pertandingan seru Yeung Nga Ting/Yeung Pui Lam (HKG) vs Ornnicha Jongsathapornparn/Sukitta Suwachai (THA) - Women's Doubles Round of 32 | PETRONAS Malaysia Open 2026. Saksikan aksi-aksi terbaik dari tim yang bersaing ketat untuk meraih kemenangan. Dapatkan informasi lengkap mengenai jadwal pertandingan dan hasil pertandingan terbaru hanya di Vidio.</t>
  </si>
  <si>
    <t>7b4006d0</t>
  </si>
  <si>
    <t>Kakeru Kumagai/Hiroki Nishi (JPN) vs Takumi Nomura/Yuichi Shimogami (JPN) - Men's Doubles Round of 32 | PETRONAS Malaysia Open 2026</t>
  </si>
  <si>
    <t>https://www.vidio.com/live/18250-petronas-malaysia-open-2026-round-of-32-court-2?schedule_id=4831562</t>
  </si>
  <si>
    <t>Nonton streaming pertandingan seru Kakeru Kumagai/Hiroki Nishi (JPN) vs Takumi Nomura/Yuichi Shimogami (JPN) - Men's Doubles Round of 32 | PETRONAS Malaysia Open 2026. Saksikan aksi-aksi terbaik dari tim yang bersaing ketat untuk meraih kemenangan. Dapatkan informasi lengkap mengenai jadwal pertandingan dan hasil pertandingan terbaru hanya di Vidio.</t>
  </si>
  <si>
    <t>fc4d6510</t>
  </si>
  <si>
    <t>Feng Yan Zhe/Huang Dong Ping (CHN) vs Wong Tien Ci/Lim Chiew Sien (MAS) - Mixed Doubles Round of 32 | PETRONAS Malaysia Open 2026</t>
  </si>
  <si>
    <t>https://www.vidio.com/live/18250-petronas-malaysia-open-2026-round-of-32-court-2?schedule_id=4831564</t>
  </si>
  <si>
    <t>Nonton streaming pertandingan seru Feng Yan Zhe/Huang Dong Ping (CHN) vs Wong Tien Ci/Lim Chiew Sien (MAS) - Mixed Doubles Round of 32 | PETRONAS Malaysia Open 2026. Saksikan aksi-aksi terbaik dari tim yang bersaing ketat untuk meraih kemenangan. Dapatkan informasi lengkap mengenai jadwal pertandingan dan hasil pertandingan terbaru hanya di Vidio.</t>
  </si>
  <si>
    <t>cb568a4a</t>
  </si>
  <si>
    <t>Kenta Nishimoto (JPN) vs Toma Junior Popov (FRA) - Men's Singles Round of 32 | PETRONAS Malaysia Open 2026</t>
  </si>
  <si>
    <t>https://www.vidio.com/live/18250-petronas-malaysia-open-2026-round-of-32-court-2?schedule_id=4831565</t>
  </si>
  <si>
    <t>Nonton streaming pertandingan seru Kenta Nishimoto (JPN) vs Toma Junior Popov (FRA) - Men's Singles Round of 32 | PETRONAS Malaysia Open 2026. Saksikan aksi-aksi terbaik dari tim yang bersaing ketat untuk meraih kemenangan. Dapatkan informasi lengkap mengenai jadwal pertandingan dan hasil pertandingan terbaru hanya di Vidio.</t>
  </si>
  <si>
    <t>029aba58</t>
  </si>
  <si>
    <t>Goh Sze Fei/Nur Izzuddin (MAS) vs Daniel Lundgaard/Mads Vestergaard (DEN) - Men's Doubles Round of 32 | PETRONAS Malaysia Open 2026</t>
  </si>
  <si>
    <t>https://www.vidio.com/live/18250-petronas-malaysia-open-2026-round-of-32-court-2?schedule_id=4831566</t>
  </si>
  <si>
    <t>Nonton streaming pertandingan seru Goh Sze Fei/Nur Izzuddin (MAS) vs Daniel Lundgaard/Mads Vestergaard (DEN) - Men's Doubles Round of 32 | PETRONAS Malaysia Open 2026. Saksikan aksi-aksi terbaik dari tim yang bersaing ketat untuk meraih kemenangan. Dapatkan informasi lengkap mengenai jadwal pertandingan dan hasil pertandingan terbaru hanya di Vidio.</t>
  </si>
  <si>
    <t>a331106d</t>
  </si>
  <si>
    <t>Shi Yu Qi (CHN) vs Rasmus Gemke (DEN) - Men's Singles Round of 32 | PETRONAS Malaysia Open 2026</t>
  </si>
  <si>
    <t>https://www.vidio.com/live/18250-petronas-malaysia-open-2026-round-of-32-court-2?schedule_id=4831567</t>
  </si>
  <si>
    <t>Nonton streaming pertandingan seru Shi Yu Qi (CHN) vs Rasmus Gemke (DEN) - Men's Singles Round of 32 | PETRONAS Malaysia Open 2026. Saksikan aksi-aksi terbaik dari tim yang bersaing ketat untuk meraih kemenangan. Dapatkan informasi lengkap mengenai jadwal pertandingan dan hasil pertandingan terbaru hanya di Vidio.</t>
  </si>
  <si>
    <t>4bcbad80</t>
  </si>
  <si>
    <t>Hiroki Midorikawa/Kyohei Yamashita (JPN) vs Hariharan Amsakarunan/M.R. Arjun (IND) - Men's Doubles Round of 32 | PETRONAS Malaysia Open 2026</t>
  </si>
  <si>
    <t>https://www.vidio.com/live/18250-petronas-malaysia-open-2026-round-of-32-court-2?schedule_id=4831568</t>
  </si>
  <si>
    <t>Nonton streaming pertandingan seru Hiroki Midorikawa/Kyohei Yamashita (JPN) vs Hariharan Amsakarunan/M.R. Arjun (IND) - Men's Doubles Round of 32 | PETRONAS Malaysia Open 2026. Saksikan aksi-aksi terbaik dari tim yang bersaing ketat untuk meraih kemenangan. Dapatkan informasi lengkap mengenai jadwal pertandingan dan hasil pertandingan terbaru hanya di Vidio.</t>
  </si>
  <si>
    <t>e7089137</t>
  </si>
  <si>
    <t>Lui Lok Lok/Tsang Hiu Yan (HKG) vs Ririna Hiramoto/Kokona Ishikawa (JPN) - Women's Doubles Round of 32 | PETRONAS Malaysia Open 2026</t>
  </si>
  <si>
    <t>https://www.vidio.com/live/18250-petronas-malaysia-open-2026-round-of-32-court-2?schedule_id=4831569</t>
  </si>
  <si>
    <t>Nonton streaming pertandingan seru Lui Lok Lok/Tsang Hiu Yan (HKG) vs Ririna Hiramoto/Kokona Ishikawa (JPN) - Women's Doubles Round of 32 | PETRONAS Malaysia Open 2026. Saksikan aksi-aksi terbaik dari tim yang bersaing ketat untuk meraih kemenangan. Dapatkan informasi lengkap mengenai jadwal pertandingan dan hasil pertandingan terbaru hanya di Vidio.</t>
  </si>
  <si>
    <t>9bec7174</t>
  </si>
  <si>
    <t>Huang Yu-Hsun (TPE) vs Line Hojmark Kjaersfeldt (DEN) - Women's Singles Round of 32 | PETRONAS Malaysia Open 2026</t>
  </si>
  <si>
    <t>https://www.vidio.com/live/18250-petronas-malaysia-open-2026-round-of-32-court-2?schedule_id=4831570</t>
  </si>
  <si>
    <t>Nonton streaming pertandingan seru Huang Yu-Hsun (TPE) vs Line Højmark Kjaersfeldt (DEN) - Women's Singles Round of 32 | PETRONAS Malaysia Open 2026. Saksikan aksi-aksi terbaik dari tim yang bersaing ketat untuk meraih kemenangan. Dapatkan informasi lengkap mengenai jadwal pertandingan dan hasil pertandingan terbaru hanya di Vidio.</t>
  </si>
  <si>
    <t>77176380</t>
  </si>
  <si>
    <t>Ong Yew Sin/Teo Ee Yi (MAS) vs Nur Mohd Azriyn Ayub Azriyn/Tan Wee Kiong (MAS) - Men's Doubles Round of 32 | PETRONAS Malaysia Open 2026</t>
  </si>
  <si>
    <t>https://www.vidio.com/live/18250-petronas-malaysia-open-2026-round-of-32-court-2?schedule_id=4831571</t>
  </si>
  <si>
    <t>Nonton streaming pertandingan seru Ong Yew Sin/Teo Ee Yi (MAS) vs Nur Mohd Azriyn Ayub Azriyn/Tan Wee Kiong (MAS) - Men's Doubles Round of 32 | PETRONAS Malaysia Open 2026. Saksikan aksi-aksi terbaik dari tim yang bersaing ketat untuk meraih kemenangan. Dapatkan informasi lengkap mengenai jadwal pertandingan dan hasil pertandingan terbaru hanya di Vidio.</t>
  </si>
  <si>
    <t>db0eff5e</t>
  </si>
  <si>
    <t>Chen Cheng Kuan/Hsu Yin-Hui (TPE) vs Mads Vestergaard/Christine Busch (DEN) - Mixed Doubles Round of 32 | PETRONAS Malaysia Open 2026</t>
  </si>
  <si>
    <t>https://www.vidio.com/live/18252-petronas-malaysia-open-2026-round-of-32-court-3?schedule_id=4831572</t>
  </si>
  <si>
    <t>Nonton streaming pertandingan seru Chen Cheng Kuan/Hsu Yin-Hui (TPE) vs Mads Vestergaard/Christine Busch (DEN) - Mixed Doubles Round of 32 | PETRONAS Malaysia Open 2026. Saksikan aksi-aksi terbaik dari tim yang bersaing ketat untuk meraih kemenangan. Dapatkan informasi lengkap mengenai jadwal pertandingan dan hasil pertandingan terbaru hanya di Vidio.</t>
  </si>
  <si>
    <t>c001ae9e</t>
  </si>
  <si>
    <t>Liu Sheng Shu/Tan Ning (CHN) vs Francesca Corbett/Jennie Gai (USA) - Women's Doubles Round of 32 | PETRONAS Malaysia Open 2026</t>
  </si>
  <si>
    <t>https://www.vidio.com/live/18252-petronas-malaysia-open-2026-round-of-32-court-3?schedule_id=4831573</t>
  </si>
  <si>
    <t>Nonton streaming pertandingan seru Liu Sheng Shu/Tan Ning (CHN) vs Francesca Corbett/Jennie Gai (USA) - Women's Doubles Round of 32 | PETRONAS Malaysia Open 2026. Saksikan aksi-aksi terbaik dari tim yang bersaing ketat untuk meraih kemenangan. Dapatkan informasi lengkap mengenai jadwal pertandingan dan hasil pertandingan terbaru hanya di Vidio.</t>
  </si>
  <si>
    <t>d07d0866</t>
  </si>
  <si>
    <t>Cheng Xing/Zhang Chi (CHN) vs Hiroki Midorikawa/Nami Matsuyama (JPN) - Mixed Doubles Round of 32 | PETRONAS Malaysia Open 2026</t>
  </si>
  <si>
    <t>https://www.vidio.com/live/18252-petronas-malaysia-open-2026-round-of-32-court-3?schedule_id=4831574</t>
  </si>
  <si>
    <t>Nonton streaming pertandingan seru Cheng Xing/Zhang Chi (CHN) vs Hiroki Midorikawa/Nami Matsuyama (JPN) - Mixed Doubles Round of 32 | PETRONAS Malaysia Open 2026. Saksikan aksi-aksi terbaik dari tim yang bersaing ketat untuk meraih kemenangan. Dapatkan informasi lengkap mengenai jadwal pertandingan dan hasil pertandingan terbaru hanya di Vidio.</t>
  </si>
  <si>
    <t>7407c882</t>
  </si>
  <si>
    <t>Lakshya Sen (IND) vs Jia Heng Jason Teh (SGP) - Men's Singles Round of 32 | PETRONAS Malaysia Open 2026</t>
  </si>
  <si>
    <t>https://www.vidio.com/live/18252-petronas-malaysia-open-2026-round-of-32-court-3?schedule_id=4831575</t>
  </si>
  <si>
    <t>Nonton streaming pertandingan seru Lakshya Sen (IND) vs Jia Heng Jason Teh (SGP) - Men's Singles Round of 32 | PETRONAS Malaysia Open 2026. Saksikan aksi-aksi terbaik dari tim yang bersaing ketat untuk meraih kemenangan. Dapatkan informasi lengkap mengenai jadwal pertandingan dan hasil pertandingan terbaru hanya di Vidio.</t>
  </si>
  <si>
    <t>3ef1b507</t>
  </si>
  <si>
    <t>Guo Xin Wa/Chen Fang Hui (CHN) vs Alexander Dunn/Julie MacPherson (SCO) - Mixed Doubles Round of 32 | PETRONAS Malaysia Open 2026</t>
  </si>
  <si>
    <t>https://www.vidio.com/live/18252-petronas-malaysia-open-2026-round-of-32-court-3?schedule_id=4831576</t>
  </si>
  <si>
    <t>Nonton streaming pertandingan seru Guo Xin Wa/Chen Fang Hui (CHN) vs Alexander Dunn/Julie MacPherson (SCO) - Mixed Doubles Round of 32 | PETRONAS Malaysia Open 2026. Saksikan aksi-aksi terbaik dari tim yang bersaing ketat untuk meraih kemenangan. Dapatkan informasi lengkap mengenai jadwal pertandingan dan hasil pertandingan terbaru hanya di Vidio.</t>
  </si>
  <si>
    <t>eb2137c6</t>
  </si>
  <si>
    <t>Mia Blichfeldt (DEN) vs Natsuki Nidaira (JPN) - Women's Singles Round of 32 | PETRONAS Malaysia Open 2026</t>
  </si>
  <si>
    <t>https://www.vidio.com/live/18252-petronas-malaysia-open-2026-round-of-32-court-3?schedule_id=4831577</t>
  </si>
  <si>
    <t>Nonton streaming pertandingan seru Mia Blichfeldt (DEN) vs Natsuki Nidaira (JPN) - Women's Singles Round of 32 | PETRONAS Malaysia Open 2026. Saksikan aksi-aksi terbaik dari tim yang bersaing ketat untuk meraih kemenangan. Dapatkan informasi lengkap mengenai jadwal pertandingan dan hasil pertandingan terbaru hanya di Vidio.</t>
  </si>
  <si>
    <t>77e362ac</t>
  </si>
  <si>
    <t>Marvin Seidel/Thuc Phuong Nguyen (GER) vs Yang Po-Hsuan/Hu Ling Fang (TPE) - Mixed Doubles Round of 32 | PETRONAS Malaysia Open 2026</t>
  </si>
  <si>
    <t>https://www.vidio.com/live/18252-petronas-malaysia-open-2026-round-of-32-court-3?schedule_id=4831578</t>
  </si>
  <si>
    <t>Nonton streaming pertandingan seru Marvin Seidel/Thuc Phuong Nguyen (GER) vs Yang Po-Hsuan/Hu Ling Fang (TPE) - Mixed Doubles Round of 32 | PETRONAS Malaysia Open 2026. Saksikan aksi-aksi terbaik dari tim yang bersaing ketat untuk meraih kemenangan. Dapatkan informasi lengkap mengenai jadwal pertandingan dan hasil pertandingan terbaru hanya di Vidio.</t>
  </si>
  <si>
    <t>ba5902b2</t>
  </si>
  <si>
    <t>Chou Tien Chen (TPE) vs Lin Chun-Yi (TPE) - Men's Singles Round of 32 | PETRONAS Malaysia Open 2026</t>
  </si>
  <si>
    <t>https://www.vidio.com/live/18252-petronas-malaysia-open-2026-round-of-32-court-3?schedule_id=4831579</t>
  </si>
  <si>
    <t>Nonton streaming pertandingan seru Chou Tien Chen (TPE) vs Lin Chun-Yi (TPE) - Men's Singles Round of 32 | PETRONAS Malaysia Open 2026. Saksikan aksi-aksi terbaik dari tim yang bersaing ketat untuk meraih kemenangan. Dapatkan informasi lengkap mengenai jadwal pertandingan dan hasil pertandingan terbaru hanya di Vidio.</t>
  </si>
  <si>
    <t>103f49a3</t>
  </si>
  <si>
    <t>Hsieh Pei Shan/Hung En-Tzu (TPE) vs Lin Xiao Min/Wang Yu Qiao (TPE) - Women's Doubles Round of 32 | PETRONAS Malaysia Open 2026</t>
  </si>
  <si>
    <t>https://www.vidio.com/live/18252-petronas-malaysia-open-2026-round-of-32-court-3?schedule_id=4831580</t>
  </si>
  <si>
    <t>Nonton streaming pertandingan seru Hsieh Pei Shan/Hung En-Tzu (TPE) vs Lin Xiao Min/Wang Yu Qiao (TPE) - Women's Doubles Round of 32 | PETRONAS Malaysia Open 2026. Saksikan aksi-aksi terbaik dari tim yang bersaing ketat untuk meraih kemenangan. Dapatkan informasi lengkap mengenai jadwal pertandingan dan hasil pertandingan terbaru hanya di Vidio.</t>
  </si>
  <si>
    <t>fa1eb66c</t>
  </si>
  <si>
    <t>Han Yue (CHN) vs Kim Ga Eun (KOR) - Women's Singles Round of 32 | PETRONAS Malaysia Open 2026</t>
  </si>
  <si>
    <t>https://www.vidio.com/live/18252-petronas-malaysia-open-2026-round-of-32-court-3?schedule_id=4831581</t>
  </si>
  <si>
    <t>Nonton streaming pertandingan seru Han Yue (CHN) vs Kim Ga Eun (KOR) - Women's Singles Round of 32 | PETRONAS Malaysia Open 2026. Saksikan aksi-aksi terbaik dari tim yang bersaing ketat untuk meraih kemenangan. Dapatkan informasi lengkap mengenai jadwal pertandingan dan hasil pertandingan terbaru hanya di Vidio.</t>
  </si>
  <si>
    <t>64989742</t>
  </si>
  <si>
    <t>Kim Hye Jeong/Kong Hee Yong (KOR) vs Julie MacPherson/Ciara Torrance (SCO) - Women's Doubles Round of 32 | PETRONAS Malaysia Open 2026</t>
  </si>
  <si>
    <t>https://www.vidio.com/live/18252-petronas-malaysia-open-2026-round-of-32-court-3?schedule_id=4831582</t>
  </si>
  <si>
    <t>Nonton streaming pertandingan seru Kim Hye Jeong/Kong Hee Yong (KOR) vs Julie MacPherson/Ciara Torrance (SCO) - Women's Doubles Round of 32 | PETRONAS Malaysia Open 2026. Saksikan aksi-aksi terbaik dari tim yang bersaing ketat untuk meraih kemenangan. Dapatkan informasi lengkap mengenai jadwal pertandingan dan hasil pertandingan terbaru hanya di Vidio.</t>
  </si>
  <si>
    <t>f1c130be</t>
  </si>
  <si>
    <t>Supanida Katethong (THA) vs Busanan Ongbamrungphan (THA) - Women's Singles Round of 32 | PETRONAS Malaysia Open 2026</t>
  </si>
  <si>
    <t>https://www.vidio.com/live/18252-petronas-malaysia-open-2026-round-of-32-court-3?schedule_id=4831583</t>
  </si>
  <si>
    <t>Nonton streaming pertandingan seru Supanida Katethong (THA) vs Busanan Ongbamrungphan (THA) - Women's Singles Round of 32 | PETRONAS Malaysia Open 2026. Saksikan aksi-aksi terbaik dari tim yang bersaing ketat untuk meraih kemenangan. Dapatkan informasi lengkap mengenai jadwal pertandingan dan hasil pertandingan terbaru hanya di Vidio.</t>
  </si>
  <si>
    <t>49d4d18f</t>
  </si>
  <si>
    <t>Chang Ching Hui/Yang Ching Tun (TPE) vs Kaho Osawa/Mai Tanabe (JPN) - Women's Doubles Round of 32 | PETRONAS Malaysia Open 2026</t>
  </si>
  <si>
    <t>https://www.vidio.com/live/18250-petronas-malaysia-open-2026-round-of-32-court-2?schedule_id=4832215</t>
  </si>
  <si>
    <t>Nonton streaming pertandingan seru Chang Ching Hui/Yang Ching Tun (TPE) vs Kaho Osawa/Mai Tanabe (JPN) - Women's Doubles Round of 32 | PETRONAS Malaysia Open 2026. Saksikan aksi-aksi terbaik dari tim yang bersaing ketat untuk meraih kemenangan. Dapatkan informasi lengkap mengenai jadwal pertandingan dan hasil pertandingan terbaru hanya di Vidio.</t>
  </si>
  <si>
    <t>7f5c3ee4</t>
  </si>
  <si>
    <t>Kim Won Ho/Seo Seung Jae (KOR) vs Chen Bo Yang/Liu Yi (CHN) - Men's Doubles Round of 32 | PETRONAS Malaysia Open 2026</t>
  </si>
  <si>
    <t>https://www.vidio.com/live/18252-petronas-malaysia-open-2026-round-of-32-court-3?schedule_id=4831585</t>
  </si>
  <si>
    <t>Nonton streaming pertandingan seru Kim Won Ho/Seo Seung Jae (KOR) vs Chen Bo Yang/Liu Yi (CHN) - Men's Doubles Round of 32 | PETRONAS Malaysia Open 2026. Saksikan aksi-aksi terbaik dari tim yang bersaing ketat untuk meraih kemenangan. Dapatkan informasi lengkap mengenai jadwal pertandingan dan hasil pertandingan terbaru hanya di Vidio.</t>
  </si>
  <si>
    <t>0c450635</t>
  </si>
  <si>
    <t>M Zikri Dinulhaq vs Madhava Yunus | First Fight Volume 2</t>
  </si>
  <si>
    <t>Nonton streaming pertandingan seru M Zikri Dinulhaq vs Madhava Yunus | First Fight Volume 2. Saksikan aksi-aksi terbaik dari tim yang bersaing ketat untuk meraih kemenangan. Dapatkan informasi lengkap mengenai jadwal pertandingan dan hasil pertandingan terbaru hanya di Vidio.</t>
  </si>
  <si>
    <t>a6466b8c</t>
  </si>
  <si>
    <t>Ryan Hidayat vs M Cessar Aldianto | First Fight Volume 2</t>
  </si>
  <si>
    <t>Nonton streaming pertandingan seru Ryan Hidayat vs M Cessar Aldianto | First Fight Volume 2. Saksikan aksi-aksi terbaik dari tim yang bersaing ketat untuk meraih kemenangan. Dapatkan informasi lengkap mengenai jadwal pertandingan dan hasil pertandingan terbaru hanya di Vidio.</t>
  </si>
  <si>
    <t>2431eaff</t>
  </si>
  <si>
    <t>Edowar Virnanda vs Sakti H. Simanullang | First Fight Volume 2</t>
  </si>
  <si>
    <t>Nonton streaming pertandingan seru Edowar Virnanda vs Sakti H. Simanullang | First Fight Volume 2. Saksikan aksi-aksi terbaik dari tim yang bersaing ketat untuk meraih kemenangan. Dapatkan informasi lengkap mengenai jadwal pertandingan dan hasil pertandingan terbaru hanya di Vidio.</t>
  </si>
  <si>
    <t>7e70a101</t>
  </si>
  <si>
    <t>Anggi Kurniawan vs Juan N. P. Munthe | First Fight Volume 2</t>
  </si>
  <si>
    <t>Nonton streaming pertandingan seru Anggi Kurniawan vs Juan N. P. Munthe | First Fight Volume 2. Saksikan aksi-aksi terbaik dari tim yang bersaing ketat untuk meraih kemenangan. Dapatkan informasi lengkap mengenai jadwal pertandingan dan hasil pertandingan terbaru hanya di Vidio.</t>
  </si>
  <si>
    <t>e1eb9d07</t>
  </si>
  <si>
    <t>Viktor Juan Musa Robo vs Maulana Arifin | First Fight Volume 2</t>
  </si>
  <si>
    <t>Nonton streaming pertandingan seru Viktor Juan Musa Robo vs Maulana Arifin | First Fight Volume 2. Saksikan aksi-aksi terbaik dari tim yang bersaing ketat untuk meraih kemenangan. Dapatkan informasi lengkap mengenai jadwal pertandingan dan hasil pertandingan terbaru hanya di Vidio.</t>
  </si>
  <si>
    <t>25e4e434</t>
  </si>
  <si>
    <t>Abdul Munir vs Angga Solahudin | First Fight Volume 2</t>
  </si>
  <si>
    <t>Nonton streaming pertandingan seru Abdul Munir vs Angga Solahudin | First Fight Volume 2. Saksikan aksi-aksi terbaik dari tim yang bersaing ketat untuk meraih kemenangan. Dapatkan informasi lengkap mengenai jadwal pertandingan dan hasil pertandingan terbaru hanya di Vidio.</t>
  </si>
  <si>
    <t>c9f17942</t>
  </si>
  <si>
    <t>Dedi Jonatan Simatupang vs Jimmy Dharmawan | First Fight Volume 2</t>
  </si>
  <si>
    <t>Nonton streaming pertandingan seru Dedi Jonatan Simatupang vs Jimmy Dharmawan | First Fight Volume 2. Saksikan aksi-aksi terbaik dari tim yang bersaing ketat untuk meraih kemenangan. Dapatkan informasi lengkap mengenai jadwal pertandingan dan hasil pertandingan terbaru hanya di Vidio.</t>
  </si>
  <si>
    <t>2bf4121e</t>
  </si>
  <si>
    <t>Bilqis Putri Robbiyalloh vs Sheril Aludia | First Fight Volume 2</t>
  </si>
  <si>
    <t>Nonton streaming pertandingan seru Bilqis Putri Robbiyalloh vs Sheril Aludia | First Fight Volume 2. Saksikan aksi-aksi terbaik dari tim yang bersaing ketat untuk meraih kemenangan. Dapatkan informasi lengkap mengenai jadwal pertandingan dan hasil pertandingan terbaru hanya di Vidio.</t>
  </si>
  <si>
    <t>515d7d28</t>
  </si>
  <si>
    <t>Rendi Singgih vs Mandala Simanjuntak | First Fight Volume 2</t>
  </si>
  <si>
    <t>Nonton streaming pertandingan seru Rendi Singgih vs Mandala Simanjuntak | First Fight Volume 2. Saksikan aksi-aksi terbaik dari tim yang bersaing ketat untuk meraih kemenangan. Dapatkan informasi lengkap mengenai jadwal pertandingan dan hasil pertandingan terbaru hanya di Vidio.</t>
  </si>
  <si>
    <t>f0eb3f16</t>
  </si>
  <si>
    <t>Mitra Edisyah P. Waruwu vs Muhammad Redja | First Fight Volume 2</t>
  </si>
  <si>
    <t>Nonton streaming pertandingan seru Mitra Edisyah P. Waruwu vs Muhammad Redja | First Fight Volume 2. Saksikan aksi-aksi terbaik dari tim yang bersaing ketat untuk meraih kemenangan. Dapatkan informasi lengkap mengenai jadwal pertandingan dan hasil pertandingan terbaru hanya di Vidio.</t>
  </si>
  <si>
    <t>d593a249</t>
  </si>
  <si>
    <t>Ode Arya Ibrahim vs Andirian Kunu | First Fight Volume 2</t>
  </si>
  <si>
    <t>Nonton streaming pertandingan seru Ode Arya Ibrahim vs Andirian Kunu | First Fight Volume 2. Saksikan aksi-aksi terbaik dari tim yang bersaing ketat untuk meraih kemenangan. Dapatkan informasi lengkap mengenai jadwal pertandingan dan hasil pertandingan terbaru hanya di Vidio.</t>
  </si>
  <si>
    <t>d3e520b0</t>
  </si>
  <si>
    <t>Yuda Renaldo vs Gusti Arya Asim | First Fight Volume 2</t>
  </si>
  <si>
    <t>Nonton streaming pertandingan seru Yuda Renaldo vs Gusti Arya Asim | First Fight Volume 2. Saksikan aksi-aksi terbaik dari tim yang bersaing ketat untuk meraih kemenangan. Dapatkan informasi lengkap mengenai jadwal pertandingan dan hasil pertandingan terbaru hanya di Vidio.</t>
  </si>
  <si>
    <t>30f1b44a</t>
  </si>
  <si>
    <t>Ferina Prisila vs Veronica Permatasari | First Fight Volume 2</t>
  </si>
  <si>
    <t>Nonton streaming pertandingan seru Ferina Prisila vs Veronica Permatasari | First Fight Volume 2. Saksikan aksi-aksi terbaik dari tim yang bersaing ketat untuk meraih kemenangan. Dapatkan informasi lengkap mengenai jadwal pertandingan dan hasil pertandingan terbaru hanya di Vidio.</t>
  </si>
  <si>
    <t>f2d5d916</t>
  </si>
  <si>
    <t>Billy Pasulatan vs Fatkur Rozi | First Fight Volume 2</t>
  </si>
  <si>
    <t>Nonton streaming pertandingan seru Billy Pasulatan vs Fatkur Rozi | First Fight Volume 2. Saksikan aksi-aksi terbaik dari tim yang bersaing ketat untuk meraih kemenangan. Dapatkan informasi lengkap mengenai jadwal pertandingan dan hasil pertandingan terbaru hanya di Vidio.</t>
  </si>
  <si>
    <t>8ba6c978</t>
  </si>
  <si>
    <t>Riko Chen vs Defry Palulu | First Fight Volume 2</t>
  </si>
  <si>
    <t>Nonton streaming pertandingan seru Riko Chen vs Defry Palulu | First Fight Volume 2. Saksikan aksi-aksi terbaik dari tim yang bersaing ketat untuk meraih kemenangan. Dapatkan informasi lengkap mengenai jadwal pertandingan dan hasil pertandingan terbaru hanya di Vidio.</t>
  </si>
  <si>
    <t>c00d2f69</t>
  </si>
  <si>
    <t>Anisa Tasya Amelia vs Ayu Mega Utami | First Fight Volume 2</t>
  </si>
  <si>
    <t>Nonton streaming pertandingan seru Anisa Tasya Amelia vs Ayu Mega Utami | First Fight Volume 2. Saksikan aksi-aksi terbaik dari tim yang bersaing ketat untuk meraih kemenangan. Dapatkan informasi lengkap mengenai jadwal pertandingan dan hasil pertandingan terbaru hanya di Vidio.</t>
  </si>
  <si>
    <t>8b365b00</t>
  </si>
  <si>
    <t>Yulianto vs Yandri/Andy/Ama | First Fight Volume 2</t>
  </si>
  <si>
    <t>Nonton streaming pertandingan seru Yulianto vs Yandri/Andy/Ama | First Fight Volume 2. Saksikan aksi-aksi terbaik dari tim yang bersaing ketat untuk meraih kemenangan. Dapatkan informasi lengkap mengenai jadwal pertandingan dan hasil pertandingan terbaru hanya di Vidio.</t>
  </si>
  <si>
    <t>12782c39</t>
  </si>
  <si>
    <t>Hendric Shinigami vs Armin Tan | First Fight Volume 2</t>
  </si>
  <si>
    <t>Nonton streaming pertandingan seru Hendric Shinigami vs Armin Tan | First Fight Volume 2. Saksikan aksi-aksi terbaik dari tim yang bersaing ketat untuk meraih kemenangan. Dapatkan informasi lengkap mengenai jadwal pertandingan dan hasil pertandingan terbaru hanya di Vidio.</t>
  </si>
  <si>
    <t>47a06f39</t>
  </si>
  <si>
    <t>Ruben Manakane vs Pangeran Februzio | First Fight Volume 2</t>
  </si>
  <si>
    <t>Nonton streaming pertandingan seru Ruben Manakane vs Pangeran Februzio | First Fight Volume 2. Saksikan aksi-aksi terbaik dari tim yang bersaing ketat untuk meraih kemenangan. Dapatkan informasi lengkap mengenai jadwal pertandingan dan hasil pertandingan terbaru hanya di Vidio.</t>
  </si>
  <si>
    <t>33aec8cf</t>
  </si>
  <si>
    <t>Wu Guan Xun/Lee Chia Hsin (TPE) vs Goh Soon Huat/Lai Shevon Jemie (MAS) - Mixed Doubles Round of 32 | PETRONAS Malaysia Open 2026</t>
  </si>
  <si>
    <t>https://www.vidio.com/live/18249-petronas-malaysia-open-2026-round-of-32-court-1?schedule_id=4832167</t>
  </si>
  <si>
    <t>Nonton streaming pertandingan seru Wu Guan Xun/Lee Chia Hsin (TPE) vs Goh Soon Huat/Lai Shevon Jemie (MAS) - Mixed Doubles Round of 32 | PETRONAS Malaysia Open 2026. Saksikan aksi-aksi terbaik dari tim yang bersaing ketat untuk meraih kemenangan. Dapatkan informasi lengkap mengenai jadwal pertandingan dan hasil pertandingan terbaru hanya di Vidio.</t>
  </si>
  <si>
    <t>441c888f</t>
  </si>
  <si>
    <t>Pusarla V. Sindhu (IND) vs Sung Shuo Yun (TPE) - Women's Singles Round of 32 | PETRONAS Malaysia Open 2026</t>
  </si>
  <si>
    <t>https://www.vidio.com/live/18249-petronas-malaysia-open-2026-round-of-32-court-1?schedule_id=4832168</t>
  </si>
  <si>
    <t>Nonton streaming pertandingan seru Pusarla V. Sindhu (IND) vs Sung Shuo Yun (TPE) - Women's Singles Round of 32 | PETRONAS Malaysia Open 2026. Saksikan aksi-aksi terbaik dari tim yang bersaing ketat untuk meraih kemenangan. Dapatkan informasi lengkap mengenai jadwal pertandingan dan hasil pertandingan terbaru hanya di Vidio.</t>
  </si>
  <si>
    <t>506bc5ba</t>
  </si>
  <si>
    <t>Wang Tzu Wei (TPE) vs Kunlavut Vitidsarn (THA) - Men's Singles Round of 32 | PETRONAS Malaysia Open 2026</t>
  </si>
  <si>
    <t>https://www.vidio.com/live/18249-petronas-malaysia-open-2026-round-of-32-court-1?schedule_id=4832169</t>
  </si>
  <si>
    <t>Nonton streaming pertandingan seru Wang Tzu Wei (TPE) vs Kunlavut Vitidsarn (THA) - Men's Singles Round of 32 | PETRONAS Malaysia Open 2026. Saksikan aksi-aksi terbaik dari tim yang bersaing ketat untuk meraih kemenangan. Dapatkan informasi lengkap mengenai jadwal pertandingan dan hasil pertandingan terbaru hanya di Vidio.</t>
  </si>
  <si>
    <t>220ec747</t>
  </si>
  <si>
    <t>Sim Yu Jin (KOR) vs Tomoka Miyazaki (JPN) - Women's Singles Round of 32 | PETRONAS Malaysia Open 2026</t>
  </si>
  <si>
    <t>https://www.vidio.com/live/18249-petronas-malaysia-open-2026-round-of-32-court-1?schedule_id=4832171</t>
  </si>
  <si>
    <t>Nonton streaming pertandingan seru Sim Yu Jin (KOR) vs Tomoka Miyazaki (JPN) - Women's Singles Round of 32 | PETRONAS Malaysia Open 2026. Saksikan aksi-aksi terbaik dari tim yang bersaing ketat untuk meraih kemenangan. Dapatkan informasi lengkap mengenai jadwal pertandingan dan hasil pertandingan terbaru hanya di Vidio.</t>
  </si>
  <si>
    <t>1a68d56e</t>
  </si>
  <si>
    <t>Treesa Jolly/Gayatri Gopichand Pullela (IND) vs Febriana Dwipuji Kusuma/Meilysa Trias Puspitasari (INA) - Women's Doubles Round of 32 | PETRONAS Malaysia Open 2026</t>
  </si>
  <si>
    <t>https://www.vidio.com/live/18249-petronas-malaysia-open-2026-round-of-32-court-1?schedule_id=4832170</t>
  </si>
  <si>
    <t>Nonton streaming pertandingan seru Treesa Jolly/Gayatri Gopichand Pullela (IND) vs Febriana Dwipuji Kusuma/Meilysa Trias Puspitasari (INA) - Women's Doubles Round of 32 | PETRONAS Malaysia Open 2026. Saksikan aksi-aksi terbaik dari tim yang bersaing ketat untuk meraih kemenangan. Dapatkan informasi lengkap mengenai jadwal pertandingan dan hasil pertandingan terbaru hanya di Vidio.</t>
  </si>
  <si>
    <t>3fcc43da</t>
  </si>
  <si>
    <t>Jesper Toft/Amalie Magelund (DEN) vs Thom Gicquel/Delphine Delrue (FRA) - Mixed Doubles Round of 32 | PETRONAS Malaysia Open 2026</t>
  </si>
  <si>
    <t>https://www.vidio.com/live/18249-petronas-malaysia-open-2026-round-of-32-court-1?schedule_id=4832172</t>
  </si>
  <si>
    <t>Nonton streaming pertandingan seru Jesper Toft/Amalie Magelund (DEN) vs Thom Gicquel/Delphine Delrue (FRA) - Mixed Doubles Round of 32 | PETRONAS Malaysia Open 2026. Saksikan aksi-aksi terbaik dari tim yang bersaing ketat untuk meraih kemenangan. Dapatkan informasi lengkap mengenai jadwal pertandingan dan hasil pertandingan terbaru hanya di Vidio.</t>
  </si>
  <si>
    <t>4dac45ce</t>
  </si>
  <si>
    <t>Junaidi Arif/Roy King Yap (MAS) vs Choi Sol Gyu (KOR)/Goh V Shem (MAS) - Men's Doubles Round of 32 | PETRONAS Malaysia Open 2026</t>
  </si>
  <si>
    <t>https://www.vidio.com/live/18249-petronas-malaysia-open-2026-round-of-32-court-1?schedule_id=4832173</t>
  </si>
  <si>
    <t>Nonton streaming pertandingan seru Junaidi Arif/Roy King Yap (MAS) vs Choi Sol Gyu/Goh V Shem (KOR/MAS) - Men's Doubles Round of 32 | PETRONAS Malaysia Open 2026. Saksikan aksi-aksi terbaik dari tim yang bersaing ketat untuk meraih kemenangan. Dapatkan informasi lengkap mengenai jadwal pertandingan dan hasil pertandingan terbaru hanya di Vidio.</t>
  </si>
  <si>
    <t>8c7692a1</t>
  </si>
  <si>
    <t>Lu Guang Zu (CHN) vs Ng Ka Long Angus (HKG) - Men's Singles Round of 32 | PETRONAS Malaysia Open 2026</t>
  </si>
  <si>
    <t>https://www.vidio.com/live/18250-petronas-malaysia-open-2026-round-of-32-court-?schedule_id=4832180</t>
  </si>
  <si>
    <t>Nonton streaming pertandingan seru Lu Guang Zu (CHN) vs Ng Ka Long Angus (HKG) - Men's Singles Round of 32 | PETRONAS Malaysia Open 2026. Saksikan aksi-aksi terbaik dari tim yang bersaing ketat untuk meraih kemenangan. Dapatkan informasi lengkap mengenai jadwal pertandingan dan hasil pertandingan terbaru hanya di Vidio.</t>
  </si>
  <si>
    <t>8b223de6</t>
  </si>
  <si>
    <t>Rutaparna Panda/Swetaparna Panda (IND) vs Pearly Tan/Thinaah Muralitharan (MAS) - Women's Doubles Round of 32 | PETRONAS Malaysia Open 2026</t>
  </si>
  <si>
    <t>https://www.vidio.com/live/18249-petronas-malaysia-open-2026-round-of-32-court-1?schedule_id=4832174</t>
  </si>
  <si>
    <t>Nonton streaming pertandingan seru Rutaparna Panda/Swetaparna Panda (IND) vs Pearly Tan/Thinaah Muralitharan (MAS) - Women's Doubles Round of 32 | PETRONAS Malaysia Open 2026. Saksikan aksi-aksi terbaik dari tim yang bersaing ketat untuk meraih kemenangan. Dapatkan informasi lengkap mengenai jadwal pertandingan dan hasil pertandingan terbaru hanya di Vidio.</t>
  </si>
  <si>
    <t>5daf7c4c</t>
  </si>
  <si>
    <t>Ye Hong Wei/Nicole Gonzales Chan (TPE) vs Dechapol Puavaranukroh/Supissara Paewsampran (THA) - Mixed Doubles Round of 32 | PETRONAS Malaysia Open 2026</t>
  </si>
  <si>
    <t>https://www.vidio.com/live/18250-petronas-malaysia-open-2026-round-of-32-court-?schedule_id=4832181</t>
  </si>
  <si>
    <t>Nonton streaming pertandingan seru Ye Hong Wei/Nicole Gonzales Chan (TPE) vs Dechapol Puavaranukroh/Supissara Paewsampran (THA) - Mixed Doubles Round of 32 | PETRONAS Malaysia Open 2026. Saksikan aksi-aksi terbaik dari tim yang bersaing ketat untuk meraih kemenangan. Dapatkan informasi lengkap mengenai jadwal pertandingan dan hasil pertandingan terbaru hanya di Vidio.</t>
  </si>
  <si>
    <t>600541f6</t>
  </si>
  <si>
    <t>Chen Zhi Yi/Presley Smith (USA) vs Aaron Chia/Soh Wooi Yik (MAS) - Men's Doubles Round of 32 | PETRONAS Malaysia Open 2026</t>
  </si>
  <si>
    <t>https://www.vidio.com/live/18249-petronas-malaysia-open-2026-round-of-32-court-1?schedule_id=4832175</t>
  </si>
  <si>
    <t>Nonton streaming pertandingan seru Chen Zhi Yi/Presley Smith (USA) vs Aaron Chia/Soh Wooi Yik (MAS) - Men's Doubles Round of 32 | PETRONAS Malaysia Open 2026. Saksikan aksi-aksi terbaik dari tim yang bersaing ketat untuk meraih kemenangan. Dapatkan informasi lengkap mengenai jadwal pertandingan dan hasil pertandingan terbaru hanya di Vidio.</t>
  </si>
  <si>
    <t>b7a4bfac</t>
  </si>
  <si>
    <t>Kang Min Hyuk/Ki Dong Ju (KOR) vs Huang Di/Ren Xiang Yu (CHN) - Men's Doubles Round of 32 | PETRONAS Malaysia Open 2026</t>
  </si>
  <si>
    <t>https://www.vidio.com/live/18250-petronas-malaysia-open-2026-round-of-32-court-?schedule_id=4832184</t>
  </si>
  <si>
    <t>Nonton streaming pertandingan seru Kang Min Hyuk/Ki Dong Ju (KOR) vs Huang Di/Ren Xiang Yu (CHN) - Men's Doubles Round of 32 | PETRONAS Malaysia Open 2026. Saksikan aksi-aksi terbaik dari tim yang bersaing ketat untuk meraih kemenangan. Dapatkan informasi lengkap mengenai jadwal pertandingan dan hasil pertandingan terbaru hanya di Vidio.</t>
  </si>
  <si>
    <t>4e425b8d</t>
  </si>
  <si>
    <t>Alwi Farhan (INA) vs Alex Lanier (FRA) - Men's Singles Round of 32 | PETRONAS Malaysia Open 2026</t>
  </si>
  <si>
    <t>https://www.vidio.com/live/18249-petronas-malaysia-open-2026-round-of-32-court-1?schedule_id=4832176</t>
  </si>
  <si>
    <t>Nonton streaming pertandingan seru Alwi Farhan (INA) vs Alex Lanier (FRA) - Men's Singles Round of 32 | PETRONAS Malaysia Open 2026. Saksikan aksi-aksi terbaik dari tim yang bersaing ketat untuk meraih kemenangan. Dapatkan informasi lengkap mengenai jadwal pertandingan dan hasil pertandingan terbaru hanya di Vidio.</t>
  </si>
  <si>
    <t>b8b91aae</t>
  </si>
  <si>
    <t>Hsu Ya Ching/Sung Yu-Hsuan (TPE) vs Jia Yi Fan/Zhang Shu Xian (CHN) - Women's Doubles Round of 32 | PETRONAS Malaysia Open 2026</t>
  </si>
  <si>
    <t>https://www.vidio.com/live/18250-petronas-malaysia-open-2026-round-of-32-court-?schedule_id=4832182</t>
  </si>
  <si>
    <t>Nonton streaming pertandingan seru Hsu Ya Ching/Sung Yu-Hsuan (TPE) vs Jia Yi Fan/Zhang Shu Xian (CHN) - Women's Doubles Round of 32 | PETRONAS Malaysia Open 2026. Saksikan aksi-aksi terbaik dari tim yang bersaing ketat untuk meraih kemenangan. Dapatkan informasi lengkap mengenai jadwal pertandingan dan hasil pertandingan terbaru hanya di Vidio.</t>
  </si>
  <si>
    <t>d4e60f67</t>
  </si>
  <si>
    <t>Phuwanat Horbanluekit/Benyapa Aimsaard (THA) vs Ashith Surya/Amrutha Pramuthesh (IND) - Mixed Doubles Round of 32 | PETRONAS Malaysia Open 2026</t>
  </si>
  <si>
    <t>https://www.vidio.com/live/18249-petronas-malaysia-open-2026-round-of-32-court-1?schedule_id=4832177</t>
  </si>
  <si>
    <t>Nonton streaming pertandingan seru Phuwanat Horbanluekit/Benyapa Aimsaard (THA) vs Ashith Surya/Amrutha Pramuthesh (IND) - Mixed Doubles Round of 32 | PETRONAS Malaysia Open 2026. Saksikan aksi-aksi terbaik dari tim yang bersaing ketat untuk meraih kemenangan. Dapatkan informasi lengkap mengenai jadwal pertandingan dan hasil pertandingan terbaru hanya di Vidio.</t>
  </si>
  <si>
    <t>19d3705b</t>
  </si>
  <si>
    <t>Fang-Chih Lee/Fang-Jen Lee (TPE) vs Fajar Alfian/Muhammad Shohibul Fikri (INA) - Men's Doubles Round of 32 | PETRONAS Malaysia Open 2026</t>
  </si>
  <si>
    <t>https://www.vidio.com/live/18250-petronas-malaysia-open-2026-round-of-32-court-?schedule_id=4832183</t>
  </si>
  <si>
    <t>Nonton streaming pertandingan seru Lee Fang-Chih/Lee Fang-Jen (TPE) vs Fajar Alfian/Muhammad Shohibul Fikri (INA) - Men's Doubles Round of 32 | PETRONAS Malaysia Open 2026. Saksikan aksi-aksi terbaik dari tim yang bersaing ketat untuk meraih kemenangan. Dapatkan informasi lengkap mengenai jadwal pertandingan dan hasil pertandingan terbaru hanya di Vidio.</t>
  </si>
  <si>
    <t>89c0855b</t>
  </si>
  <si>
    <t>Leong Jun Hao (MAS) vs Wang Zheng Xing (CHN) - Men's Singles Round of 32 | PETRONAS Malaysia Open 2026</t>
  </si>
  <si>
    <t>https://www.vidio.com/live/18250-petronas-malaysia-open-2026-round-of-32-court-?schedule_id=4832185</t>
  </si>
  <si>
    <t>Nonton streaming pertandingan seru Leong Jun Hao (MAS) vs Wang Zheng Xing (CHN) - Men's Singles Round of 32 | PETRONAS Malaysia Open 2026. Saksikan aksi-aksi terbaik dari tim yang bersaing ketat untuk meraih kemenangan. Dapatkan informasi lengkap mengenai jadwal pertandingan dan hasil pertandingan terbaru hanya di Vidio.</t>
  </si>
  <si>
    <t>68026400</t>
  </si>
  <si>
    <t>Wen Chi Hsu (TPE) vs Akane Yamaguchi (JPN) - Women's Singles Round of 32 | PETRONAS Malaysia Open 2026</t>
  </si>
  <si>
    <t>https://www.vidio.com/live/18249-petronas-malaysia-open-2026-round-of-32-court-1?schedule_id=4832178</t>
  </si>
  <si>
    <t>Nonton streaming pertandingan seru Wen Chi Hsu (TPE) vs Akane Yamaguchi (JPN) - Women's Singles Round of 32 | PETRONAS Malaysia Open 2026. Saksikan aksi-aksi terbaik dari tim yang bersaing ketat untuk meraih kemenangan. Dapatkan informasi lengkap mengenai jadwal pertandingan dan hasil pertandingan terbaru hanya di Vidio.</t>
  </si>
  <si>
    <t>c7039734</t>
  </si>
  <si>
    <t>Lee Jhe-Huei/Yang Po-Hsuan (TPE) vs Satwiksairaj Rankireddy/Chirag Shetty (IND) - Men's Doubles Round of 32 | PETRONAS Malaysia Open 2026</t>
  </si>
  <si>
    <t>https://www.vidio.com/live/18250-petronas-malaysia-open-2026-round-of-32-court-?schedule_id=4832187</t>
  </si>
  <si>
    <t>Nonton streaming pertandingan seru Lee Jhe-Huei/Yang Po-Hsuan (TPE) vs Satwiksairaj Rankireddy/Chirag Shetty (IND) - Men's Doubles Round of 32 | PETRONAS Malaysia Open 2026. Saksikan aksi-aksi terbaik dari tim yang bersaing ketat untuk meraih kemenangan. Dapatkan informasi lengkap mengenai jadwal pertandingan dan hasil pertandingan terbaru hanya di Vidio.</t>
  </si>
  <si>
    <t>a66e6871</t>
  </si>
  <si>
    <t>Kavipriya Selvam/Simran Singhi (IND) vs Yuki Fukushima/Mayu Matsumoto (JPN) - Women's Doubles Round of 32 | PETRONAS Malaysia Open 2026</t>
  </si>
  <si>
    <t>https://www.vidio.com/live/18249-petronas-malaysia-open-2026-round-of-32-court-1?schedule_id=4832179</t>
  </si>
  <si>
    <t>Nonton streaming pertandingan seru Kavipriya Selvam/Simran Singhi (IND) vs Yuki Fukushima/Mayu Matsumoto (JPN) - Women's Doubles Round of 32 | PETRONAS Malaysia Open 2026. Saksikan aksi-aksi terbaik dari tim yang bersaing ketat untuk meraih kemenangan. Dapatkan informasi lengkap mengenai jadwal pertandingan dan hasil pertandingan terbaru hanya di Vidio.</t>
  </si>
  <si>
    <t>2d27fb03</t>
  </si>
  <si>
    <t>Line Christophersen (DEN) vs Beiwen Zhang (USA) - Women's Singles Round of 32 | PETRONAS Malaysia Open 2026</t>
  </si>
  <si>
    <t>https://www.vidio.com/live/18250-petronas-malaysia-open-2026-round-of-32-court-?schedule_id=4832186</t>
  </si>
  <si>
    <t>Nonton streaming pertandingan seru Line Christophersen (DEN) vs Beiwen Zhang (USA) - Women's Singles Round of 32 | PETRONAS Malaysia Open 2026. Saksikan aksi-aksi terbaik dari tim yang bersaing ketat untuk meraih kemenangan. Dapatkan informasi lengkap mengenai jadwal pertandingan dan hasil pertandingan terbaru hanya di Vidio.</t>
  </si>
  <si>
    <t>8dfbdd9a</t>
  </si>
  <si>
    <t>Riko Gunji (JPN) vs Gao Fang Jie (CHN) - Women's Singles Round of 32 | PETRONAS Malaysia Open 2026</t>
  </si>
  <si>
    <t>https://www.vidio.com/live/18250-petronas-malaysia-open-2026-round-of-32-court-?schedule_id=4832188</t>
  </si>
  <si>
    <t>Nonton streaming pertandingan seru Riko Gunji (JPN) vs Gao Fang Jie (CHN) - Women's Singles Round of 32 | PETRONAS Malaysia Open 2026. Saksikan aksi-aksi terbaik dari tim yang bersaing ketat untuk meraih kemenangan. Dapatkan informasi lengkap mengenai jadwal pertandingan dan hasil pertandingan terbaru hanya di Vidio.</t>
  </si>
  <si>
    <t>25589c2e</t>
  </si>
  <si>
    <t>Rohan Kapoor/Gadde Ruthvika Shivani (IND) vs Jiang Zhen Bang/Wei Ya Xin (CHN) - Mixed Doubles Round of 32 | PETRONAS Malaysia Open 2026</t>
  </si>
  <si>
    <t>https://www.vidio.com/live/18250-petronas-malaysia-open-2026-round-of-32-court-?schedule_id=4832189</t>
  </si>
  <si>
    <t>Nonton streaming pertandingan seru Rohan Kapoor/Gadde Ruthvika Shivani (IND) vs Jiang Zhen Bang/Wei Ya Xin (CHN) - Mixed Doubles Round of 32 | PETRONAS Malaysia Open 2026. Saksikan aksi-aksi terbaik dari tim yang bersaing ketat untuk meraih kemenangan. Dapatkan informasi lengkap mengenai jadwal pertandingan dan hasil pertandingan terbaru hanya di Vidio.</t>
  </si>
  <si>
    <t>12cf2150</t>
  </si>
  <si>
    <t>Nhat Nguyen (IRL) vs Brian Yang (CAN) - Men's Singles Round of 32 | PETRONAS Malaysia Open 2026</t>
  </si>
  <si>
    <t>https://www.vidio.com/live/18250-petronas-malaysia-open-2026-round-of-32-court-?schedule_id=4832190</t>
  </si>
  <si>
    <t>Nonton streaming pertandingan seru Nhat Nguyen (IRL) vs Brian Yang (CAN) - Men's Singles Round of 32 | PETRONAS Malaysia Open 2026. Saksikan aksi-aksi terbaik dari tim yang bersaing ketat untuk meraih kemenangan. Dapatkan informasi lengkap mengenai jadwal pertandingan dan hasil pertandingan terbaru hanya di Vidio.</t>
  </si>
  <si>
    <t>08f35c1a</t>
  </si>
  <si>
    <t>Chen Xu Jun/Liu Yang (CHN) vs Liu Kuang Heng/Yang Po Han (TPE) - Men's Doubles Round of 32 | PETRONAS Malaysia Open 2026</t>
  </si>
  <si>
    <t>https://www.vidio.com/live/18250-petronas-malaysia-open-2026-round-of-32-court-?schedule_id=4832191</t>
  </si>
  <si>
    <t>Nonton streaming pertandingan seru Chen Xu Jun/Liu Yang (CHN) vs Liu Kuang Heng/Yang Po Han (TPE) - Men's Doubles Round of 32 | PETRONAS Malaysia Open 2026. Saksikan aksi-aksi terbaik dari tim yang bersaing ketat untuk meraih kemenangan. Dapatkan informasi lengkap mengenai jadwal pertandingan dan hasil pertandingan terbaru hanya di Vidio.</t>
  </si>
  <si>
    <t>6f825eb2</t>
  </si>
  <si>
    <t>Polina Buhrova/Yevheniia Kantemyr (UKR) vs Paulina Cybulska/Kornelia Marczak (POL) - Women's Doubles Round of 32 | PETRONAS Malaysia Open 2026</t>
  </si>
  <si>
    <t>https://www.vidio.com/live/18250-petronas-malaysia-open-2026-round-of-32-court-?schedule_id=4832192</t>
  </si>
  <si>
    <t>Nonton streaming pertandingan seru Polina Buhrova/Yevheniia Kantemyr (UKR) vs Paulina Cybulska/Kornelia Marczak (POL) - Women's Doubles Round of 32 | PETRONAS Malaysia Open 2026. Saksikan aksi-aksi terbaik dari tim yang bersaing ketat untuk meraih kemenangan. Dapatkan informasi lengkap mengenai jadwal pertandingan dan hasil pertandingan terbaru hanya di Vidio.</t>
  </si>
  <si>
    <t>4c6d5e7b</t>
  </si>
  <si>
    <t>Dhruv Kapila/Tanisha Crasto (IND) vs Presley Smith/Jennie Gai (USA) - Mixed Doubles Round of 32 | PETRONAS Malaysia Open 2026</t>
  </si>
  <si>
    <t>https://www.vidio.com/live/18252-petronas-malaysia-open-2026-round-of-32-court-3?schedule_id=4832193</t>
  </si>
  <si>
    <t>Nonton streaming pertandingan seru Dhruv Kapila/Tanisha Crasto (IND) vs Presley Smith/Jennie Gai (USA) - Mixed Doubles Round of 32 | PETRONAS Malaysia Open 2026. Saksikan aksi-aksi terbaik dari tim yang bersaing ketat untuk meraih kemenangan. Dapatkan informasi lengkap mengenai jadwal pertandingan dan hasil pertandingan terbaru hanya di Vidio.</t>
  </si>
  <si>
    <t>eba14a4e</t>
  </si>
  <si>
    <t>Chi Yu Jen (TPE) vs Kodai Naraoka (JPN) - Men's Singles Round of 32 | PETRONAS Malaysia Open 2026</t>
  </si>
  <si>
    <t>https://www.vidio.com/live/18252-petronas-malaysia-open-2026-round-of-32-court-3?schedule_id=4832194</t>
  </si>
  <si>
    <t>Nonton streaming pertandingan seru Chi Yu Jen (TPE) vs Kodai Naraoka (JPN) - Men's Singles Round of 32 | PETRONAS Malaysia Open 2026. Saksikan aksi-aksi terbaik dari tim yang bersaing ketat untuk meraih kemenangan. Dapatkan informasi lengkap mengenai jadwal pertandingan dan hasil pertandingan terbaru hanya di Vidio.</t>
  </si>
  <si>
    <t>9a089727</t>
  </si>
  <si>
    <t>Yuichi Shimogami/Sayaka Hobara (JPN) vs Akira Koga/Natsu Saito (JPN) - Mixed Doubles Round of 32 | PETRONAS Malaysia Open 2026</t>
  </si>
  <si>
    <t>https://www.vidio.com/live/18252-petronas-malaysia-open-2026-round-of-32-court-3?schedule_id=4832195</t>
  </si>
  <si>
    <t>Nonton streaming pertandingan seru Yuichi Shimogami/Sayaka Hobara (JPN) vs Akira Koga/Natsu Saito (JPN) - Mixed Doubles Round of 32 | PETRONAS Malaysia Open 2026. Saksikan aksi-aksi terbaik dari tim yang bersaing ketat untuk meraih kemenangan. Dapatkan informasi lengkap mengenai jadwal pertandingan dan hasil pertandingan terbaru hanya di Vidio.</t>
  </si>
  <si>
    <t>d95abf80</t>
  </si>
  <si>
    <t>Raymond Indra/Nikolaus Joaquin (INA) vs Sabar Karyaman Gutama/Moh Reza Pahlevi Isfahani (INA) - Men's Doubles Round of 32 | PETRONAS Malaysia Open 2026</t>
  </si>
  <si>
    <t>https://www.vidio.com/live/18252-petronas-malaysia-open-2026-round-of-32-court-3?schedule_id=4832196</t>
  </si>
  <si>
    <t>Nonton streaming pertandingan seru Raymond Indra/Nikolaus Joaquin (INA) vs Sabar Karyaman Gutama/Moh Reza Pahlevi Isfahani (INA) - Men's Doubles Round of 32 | PETRONAS Malaysia Open 2026. Saksikan aksi-aksi terbaik dari tim yang bersaing ketat untuk meraih kemenangan. Dapatkan informasi lengkap mengenai jadwal pertandingan dan hasil pertandingan terbaru hanya di Vidio.</t>
  </si>
  <si>
    <t>ffaee22e</t>
  </si>
  <si>
    <t>Jackie Dent/Crystal Lai (CAN) vs Hsu Yin-Hui/Lin Jhih Yun (TPE) - Women's Doubles Round of 32 | PETRONAS Malaysia Open 2026</t>
  </si>
  <si>
    <t>https://www.vidio.com/live/18252-petronas-malaysia-open-2026-round-of-32-court-3?schedule_id=4832197</t>
  </si>
  <si>
    <t>Nonton streaming pertandingan seru Jackie Dent/Crystal Lai (CAN) vs Hsu Yin-Hui/Lin Jhih Yun (TPE) - Women's Doubles Round of 32 | PETRONAS Malaysia Open 2026. Saksikan aksi-aksi terbaik dari tim yang bersaing ketat untuk meraih kemenangan. Dapatkan informasi lengkap mengenai jadwal pertandingan dan hasil pertandingan terbaru hanya di Vidio.</t>
  </si>
  <si>
    <t>c31651db</t>
  </si>
  <si>
    <t>Koki Watanabe (JPN) vs Weng Hong Yang (CHN) - Men's Singles Round of 32 | PETRONAS Malaysia Open 2026</t>
  </si>
  <si>
    <t>https://www.vidio.com/live/18252-petronas-malaysia-open-2026-round-of-32-court-3?schedule_id=4832198</t>
  </si>
  <si>
    <t>Nonton streaming pertandingan seru Koki Watanabe (JPN) vs Weng Hong Yang (CHN) - Men's Singles Round of 32 | PETRONAS Malaysia Open 2026. Saksikan aksi-aksi terbaik dari tim yang bersaing ketat untuk meraih kemenangan. Dapatkan informasi lengkap mengenai jadwal pertandingan dan hasil pertandingan terbaru hanya di Vidio.</t>
  </si>
  <si>
    <t>476d8506</t>
  </si>
  <si>
    <t>Chen Zhi Ray/Lin Yu Chieh (TPE) vs Christo Popov/Toma Junior Popov (FRA) - Men's Doubles Round of 32 | PETRONAS Malaysia Open 2026</t>
  </si>
  <si>
    <t>https://www.vidio.com/live/18252-petronas-malaysia-open-2026-round-of-32-court-3?schedule_id=4832199</t>
  </si>
  <si>
    <t>Nonton streaming pertandingan seru Chen Zhi Ray/Lin Yu Chieh (TPE) vs Christo Popov/Toma Junior Popov (FRA) - Men's Doubles Round of 32 | PETRONAS Malaysia Open 2026. Saksikan aksi-aksi terbaik dari tim yang bersaing ketat untuk meraih kemenangan. Dapatkan informasi lengkap mengenai jadwal pertandingan dan hasil pertandingan terbaru hanya di Vidio.</t>
  </si>
  <si>
    <t>88d3f6de</t>
  </si>
  <si>
    <t>Marwan Faza/Aisyah Salsabila Putri Pranata (INA) vs Julien Maio/Lea Palermo (FRA) - Mixed Doubles Round of 32 | PETRONAS Malaysia Open 2026</t>
  </si>
  <si>
    <t>https://www.vidio.com/live/18252-petronas-malaysia-open-2026-round-of-32-court-3?schedule_id=4832200</t>
  </si>
  <si>
    <t>Nonton streaming pertandingan seru Marwan Faza/Aisyah Salsabila Putri Pranata (INA) vs Julien Maio/Lea Palermo (FRA) - Mixed Doubles Round of 32 | PETRONAS Malaysia Open 2026. Saksikan aksi-aksi terbaik dari tim yang bersaing ketat untuk meraih kemenangan. Dapatkan informasi lengkap mengenai jadwal pertandingan dan hasil pertandingan terbaru hanya di Vidio.</t>
  </si>
  <si>
    <t>c33d7b2d</t>
  </si>
  <si>
    <t>Chia Hao Lee (TPE) vs Jonatan Christie (INA) - Men's Singles Round of 32 | PETRONAS Malaysia Open 2026</t>
  </si>
  <si>
    <t>https://www.vidio.com/live/18252-petronas-malaysia-open-2026-round-of-32-court-3?schedule_id=4832201</t>
  </si>
  <si>
    <t>Nonton streaming pertandingan seru Lee Chia Hao (TPE) vs Jonatan Christie (INA) - Men's Singles Round of 32 | PETRONAS Malaysia Open 2026. Saksikan aksi-aksi terbaik dari tim yang bersaing ketat untuk meraih kemenangan. Dapatkan informasi lengkap mengenai jadwal pertandingan dan hasil pertandingan terbaru hanya di Vidio.</t>
  </si>
  <si>
    <t>8d3533e9</t>
  </si>
  <si>
    <t>Manami Suizu (JPN) vs Putri Kusuma Wardani (INA) - Women's Singles Round of 32 | PETRONAS Malaysia Open 2026</t>
  </si>
  <si>
    <t>https://www.vidio.com/live/18252-petronas-malaysia-open-2026-round-of-32-court-3?schedule_id=4832202</t>
  </si>
  <si>
    <t>Nonton streaming pertandingan seru Manami Suizu (JPN) vs Putri Kusuma Wardani (INA) - Women's Singles Round of 32 | PETRONAS Malaysia Open 2026. Saksikan aksi-aksi terbaik dari tim yang bersaing ketat untuk meraih kemenangan. Dapatkan informasi lengkap mengenai jadwal pertandingan dan hasil pertandingan terbaru hanya di Vidio.</t>
  </si>
  <si>
    <t>060b521f</t>
  </si>
  <si>
    <t>Margot Lambert/Camille Pognante (FRA) vs Hu Ling Fang/Jheng Yu Chieh (TPE) - Women's Doubles Round of 32 | PETRONAS Malaysia Open 2026</t>
  </si>
  <si>
    <t>https://www.vidio.com/live/18252-petronas-malaysia-open-2026-round-of-32-court-3?schedule_id=4832203</t>
  </si>
  <si>
    <t>Nonton streaming pertandingan seru Margot Lambert/Camille Pognante (FRA) vs Hu Ling Fang/Jheng Yu Chieh (TPE) - Women's Doubles Round of 32 | PETRONAS Malaysia Open 2026. Saksikan aksi-aksi terbaik dari tim yang bersaing ketat untuk meraih kemenangan. Dapatkan informasi lengkap mengenai jadwal pertandingan dan hasil pertandingan terbaru hanya di Vidio.</t>
  </si>
  <si>
    <t>588fe430</t>
  </si>
  <si>
    <t>Kirsty Gilmour (SCO) vs Wang Zhi Yi (CHN) - Women's Singles Round of 32 | PETRONAS Malaysia Open 2026</t>
  </si>
  <si>
    <t>https://www.vidio.com/live/18252-petronas-malaysia-open-2026-round-of-32-court-3?schedule_id=4832204</t>
  </si>
  <si>
    <t>Nonton streaming pertandingan seru Kirsty Gilmour (SCO) vs Wang Zhi Yi (CHN) - Women's Singles Round of 32 | PETRONAS Malaysia Open 2026. Saksikan aksi-aksi terbaik dari tim yang bersaing ketat untuk meraih kemenangan. Dapatkan informasi lengkap mengenai jadwal pertandingan dan hasil pertandingan terbaru hanya di Vidio.</t>
  </si>
  <si>
    <t>503813cf</t>
  </si>
  <si>
    <t>Nanako Hara/Riko Kiyose (JPN) vs Baek Ha Na/Lee So Hee (KOR) - Women's Doubles Round of 32 | PETRONAS Malaysia Open 2026</t>
  </si>
  <si>
    <t>https://www.vidio.com/live/18252-petronas-malaysia-open-2026-round-of-32-court-3?schedule_id=4832205</t>
  </si>
  <si>
    <t>Nonton streaming pertandingan seru Nanako Hara/Riko Kiyose (JPN) vs Baek Ha Na/Lee So Hee (KOR) - Women's Doubles Round of 32 | PETRONAS Malaysia Open 2026. Saksikan aksi-aksi terbaik dari tim yang bersaing ketat untuk meraih kemenangan. Dapatkan informasi lengkap mengenai jadwal pertandingan dan hasil pertandingan terbaru hanya di Vidio.</t>
  </si>
  <si>
    <t>002e0c0a</t>
  </si>
  <si>
    <t>Lin Hsiang Ti (TPE) vs Chiu Pin-Chian (TPE) - Women's Singles Round of 32 | PETRONAS Malaysia Open 2026</t>
  </si>
  <si>
    <t>https://www.vidio.com/live/18249-petronas-malaysia-open-2026-round-of-32-court-1?schedule_id=4832321</t>
  </si>
  <si>
    <t>Nonton streaming pertandingan seru Lin Hsiang Ti (TPE) vs Chiu Pin-Chian (TPE) - Women's Singles Round of 32 | PETRONAS Malaysia Open 2026. Saksikan aksi-aksi terbaik dari tim yang bersaing ketat untuk meraih kemenangan. Dapatkan informasi lengkap mengenai jadwal pertandingan dan hasil pertandingan terbaru hanya di Vidio.</t>
  </si>
  <si>
    <t>6a64fa4c</t>
  </si>
  <si>
    <t>WTA 500: Adelaide International 2026 - Day 1</t>
  </si>
  <si>
    <t>WTA 500: Adelaide International 2026</t>
  </si>
  <si>
    <t>VIDIO - @wta</t>
  </si>
  <si>
    <t>wta tour;wta 500;adelaide international;Adelaide International 2026</t>
  </si>
  <si>
    <t>Nonton streaming pertandingan seru WTA 500: Adelaide International 2026 - Day 1. Saksikan aksi-aksi terbaik dari tim yang bersaing ketat untuk meraih kemenangan. Dapatkan informasi lengkap mengenai jadwal pertandingan dan hasil pertandingan terbaru hanya di Vidio.</t>
  </si>
  <si>
    <t>d7c97965</t>
  </si>
  <si>
    <t>c0303c8d</t>
  </si>
  <si>
    <t>WTA 500: Adelaide International 2026 - Day 2</t>
  </si>
  <si>
    <t>Nonton streaming pertandingan seru WTA 500: Adelaide International 2026 - Day 2. Saksikan aksi-aksi terbaik dari tim yang bersaing ketat untuk meraih kemenangan. Dapatkan informasi lengkap mengenai jadwal pertandingan dan hasil pertandingan terbaru hanya di Vidio.</t>
  </si>
  <si>
    <t>f891254e</t>
  </si>
  <si>
    <t>60ae6816</t>
  </si>
  <si>
    <t>Falkirk vs Celtic - Scottish Premiership</t>
  </si>
  <si>
    <t>Falkirk; celtic fc; sports stream</t>
  </si>
  <si>
    <t>Nonton streaming pertandingan seru Falkirk vs Celtic - Scottish Premiership. Saksikan aksi-aksi terbaik dari tim yang bersaing ketat untuk meraih kemenangan. Dapatkan informasi lengkap mengenai jadwal pertandingan dan hasil pertandingan terbaru hanya di Vidio.</t>
  </si>
  <si>
    <t>90f39785</t>
  </si>
  <si>
    <t>WTA 500: Adelaide International 2026 - Day 3</t>
  </si>
  <si>
    <t>Nonton streaming pertandingan seru WTA 500: Adelaide International 2026 - Day 3. Saksikan aksi-aksi terbaik dari tim yang bersaing ketat untuk meraih kemenangan. Dapatkan informasi lengkap mengenai jadwal pertandingan dan hasil pertandingan terbaru hanya di Vidio.</t>
  </si>
  <si>
    <t>f920ca4a</t>
  </si>
  <si>
    <t>31b68dc0</t>
  </si>
  <si>
    <t>WTA 500: Adelaide International 2026 - Quarter Finals</t>
  </si>
  <si>
    <t>Nonton streaming pertandingan seru WTA 500: Adelaide International 2026 - Quarter Finals. Saksikan aksi-aksi terbaik dari tim yang bersaing ketat untuk meraih kemenangan. Dapatkan informasi lengkap mengenai jadwal pertandingan dan hasil pertandingan terbaru hanya di Vidio.</t>
  </si>
  <si>
    <t>8fc3571d</t>
  </si>
  <si>
    <t>43a5a1c6</t>
  </si>
  <si>
    <t>TBA: Prime Kumite Championship 3</t>
  </si>
  <si>
    <t>Prime Kumite Championship 3</t>
  </si>
  <si>
    <t>Sports &gt; Martial Arts &gt; Prime Kumite Championship</t>
  </si>
  <si>
    <t>Prime Kumite Championship; Prime Kumite Championship 3</t>
  </si>
  <si>
    <t>Prime Kumite</t>
  </si>
  <si>
    <t>Nonton streaming pertandingan seru TBA: Prime Kumite Championship 3. Saksikan aksi-aksi terbaik dari tim yang bersaing ketat untuk meraih kemenangan. Dapatkan informasi lengkap mengenai jadwal pertandingan dan hasil pertandingan terbaru hanya di Vidio.</t>
  </si>
  <si>
    <t>b23fdb16</t>
  </si>
  <si>
    <t>WTA 500: Adelaide International 2026 - Semifinal</t>
  </si>
  <si>
    <t>Nonton streaming pertandingan seru WTA 500: Adelaide International 2026 - Semifinal. Saksikan aksi-aksi terbaik dari tim yang bersaing ketat untuk meraih kemenangan. Dapatkan informasi lengkap mengenai jadwal pertandingan dan hasil pertandingan terbaru hanya di Vidio.</t>
  </si>
  <si>
    <t>e9e4f8d9</t>
  </si>
  <si>
    <t>4c83a931</t>
  </si>
  <si>
    <t>WTA 500: Adelaide International 2026 - Final</t>
  </si>
  <si>
    <t>Nonton streaming pertandingan seru WTA 500: Adelaide International 2026 - Final. Saksikan aksi-aksi terbaik dari tim yang bersaing ketat untuk meraih kemenangan. Dapatkan informasi lengkap mengenai jadwal pertandingan dan hasil pertandingan terbaru hanya di Vidio.</t>
  </si>
  <si>
    <t>89e883b1</t>
  </si>
  <si>
    <t>WTA 250: Hobart International 2026 - Round of 16</t>
  </si>
  <si>
    <t>WTA 250: Hobart International 2026</t>
  </si>
  <si>
    <t>https://drive.google.com/drive/folders/1BIsiofA5dOL--wG5BElp-OgK1zGUTHR7</t>
  </si>
  <si>
    <t>wta tour; wta 250;Hobart International;Hobart International 2026</t>
  </si>
  <si>
    <t>Nonton streaming pertandingan seru WTA 250: Hobart International 2026 - Round of 16. Saksikan aksi-aksi terbaik dari tim yang bersaing ketat untuk meraih kemenangan. Dapatkan informasi lengkap mengenai jadwal pertandingan dan hasil pertandingan terbaru hanya di Vidio.</t>
  </si>
  <si>
    <t>https://drive.google.com/file/d/195vbuwhsQPt6iEJVlGrfDpTxgLD90doi/view?usp=sharing</t>
  </si>
  <si>
    <t>b7df8192</t>
  </si>
  <si>
    <t>b25f4297</t>
  </si>
  <si>
    <t>WTA 250: Hobart International 2026 - Quarter Finals</t>
  </si>
  <si>
    <t>https://drive.google.com/drive/folders/1IxSGTpgXXA2YfU36mojv9OzY4xHG8KCN</t>
  </si>
  <si>
    <t>Nonton streaming pertandingan seru WTA 250: Hobart International 2026 - Quarter Finals. Saksikan aksi-aksi terbaik dari tim yang bersaing ketat untuk meraih kemenangan. Dapatkan informasi lengkap mengenai jadwal pertandingan dan hasil pertandingan terbaru hanya di Vidio.</t>
  </si>
  <si>
    <t>https://drive.google.com/file/d/12WuJqznomMa-6-tKLNxnxtXrD5E5UqCg/view?usp=sharing</t>
  </si>
  <si>
    <t>91484dcd</t>
  </si>
  <si>
    <t>WTA 250: Hobart International 2026 - Semifinal</t>
  </si>
  <si>
    <t>https://drive.google.com/drive/folders/1j4c4gd4jAGDRlfSfArFxkwTBB2fQLVm9</t>
  </si>
  <si>
    <t>Nonton streaming pertandingan seru WTA 250: Hobart International 2026 - Semifinal. Saksikan aksi-aksi terbaik dari tim yang bersaing ketat untuk meraih kemenangan. Dapatkan informasi lengkap mengenai jadwal pertandingan dan hasil pertandingan terbaru hanya di Vidio.</t>
  </si>
  <si>
    <t>https://drive.google.com/file/d/1cQwbt9xMseUYhUL3E5PXiPJ5C30SqBH9/view?usp=sharing</t>
  </si>
  <si>
    <t>defeefb3</t>
  </si>
  <si>
    <t>WTA 250: Hobart International 2026 - Final</t>
  </si>
  <si>
    <t>https://drive.google.com/drive/folders/1onDXFJ9cikdvNniNRoNvLmpPBPuyQMz3</t>
  </si>
  <si>
    <t>Nonton streaming pertandingan seru WTA 250: Hobart International 2026 - Final. Saksikan aksi-aksi terbaik dari tim yang bersaing ketat untuk meraih kemenangan. Dapatkan informasi lengkap mengenai jadwal pertandingan dan hasil pertandingan terbaru hanya di Vidio.</t>
  </si>
  <si>
    <t>https://drive.google.com/file/d/1xBC95kgUCPH7mHVNNsdBzdNGfpQ0DSuZ/view?usp=sharing</t>
  </si>
  <si>
    <t>f9d6d26b</t>
  </si>
  <si>
    <t>Triumph Fight Uprising</t>
  </si>
  <si>
    <t>Sports &gt; Martial Arts &gt; Triumph Fight</t>
  </si>
  <si>
    <t>Triumph Fight; Triumph Fight Uprising</t>
  </si>
  <si>
    <t>Nonton streaming pertandingan seru Triumph Fight Uprising. Saksikan aksi-aksi terbaik dari tim yang bersaing ketat untuk meraih kemenangan. Dapatkan informasi lengkap mengenai jadwal pertandingan dan hasil pertandingan terbaru hanya di Vidio.</t>
  </si>
  <si>
    <t>a2a6a3e1</t>
  </si>
  <si>
    <t>24824b29</t>
  </si>
  <si>
    <t>One Pride 89</t>
  </si>
  <si>
    <t>VIDIO - @onepridemma</t>
  </si>
  <si>
    <t>Sports &gt; Martial Arts &gt; One Pride</t>
  </si>
  <si>
    <t>Martial Arts; Boxing</t>
  </si>
  <si>
    <t>One Pride MMA; One Pride 89</t>
  </si>
  <si>
    <t>One Pride</t>
  </si>
  <si>
    <t>Nonton streaming pertandingan seru One Pride 89. Saksikan aksi-aksi terbaik dari tim yang bersaing ketat untuk meraih kemenangan. Dapatkan informasi lengkap mengenai jadwal pertandingan dan hasil pertandingan terbaru hanya di Vidio.</t>
  </si>
  <si>
    <t>60494a86</t>
  </si>
  <si>
    <t>One Pride 90</t>
  </si>
  <si>
    <t>One Pride MMA; One Pride 90</t>
  </si>
  <si>
    <t>Nonton streaming pertandingan seru One Pride 90. Saksikan aksi-aksi terbaik dari tim yang bersaing ketat untuk meraih kemenangan. Dapatkan informasi lengkap mengenai jadwal pertandingan dan hasil pertandingan terbaru hanya di Vidio.</t>
  </si>
  <si>
    <t>e58b75ed</t>
  </si>
  <si>
    <t>New Year Bash</t>
  </si>
  <si>
    <t>Sports &gt; Martial Arts &gt; Soma Fight Club</t>
  </si>
  <si>
    <t>New Year Bash; New Year Bash 2026</t>
  </si>
  <si>
    <t>Nonton streaming pertandingan seru New Year Bash. Saksikan aksi-aksi terbaik dari tim yang bersaing ketat untuk meraih kemenangan. Dapatkan informasi lengkap mengenai jadwal pertandingan dan hasil pertandingan terbaru hanya di Vidio.</t>
  </si>
  <si>
    <t>b1bc6686</t>
  </si>
  <si>
    <t>43019a0f</t>
  </si>
  <si>
    <t>8f707f86</t>
  </si>
  <si>
    <t>10683e2c</t>
  </si>
  <si>
    <t>f91dabeb</t>
  </si>
  <si>
    <t>YONEX-SUNRISE India Open 2026 - Round of 16 (Court 4)</t>
  </si>
  <si>
    <t>YONEX-SUNRISE India Open 2026</t>
  </si>
  <si>
    <t>Sports &gt; Badminton &gt; BWF India Open</t>
  </si>
  <si>
    <t>BWF World Tour; YONEX-SUNRISE India  Open; YONEX-SUNRISE India  Open 2026</t>
  </si>
  <si>
    <t>Nonton streaming pertandingan seru YONEX-SUNRISE India Open 2026 - Round of 16 (Court 4). Saksikan aksi-aksi terbaik dari tim yang bersaing ketat untuk meraih kemenangan. Dapatkan informasi lengkap mengenai jadwal pertandingan dan hasil pertandingan terbaru hanya di Vidio.</t>
  </si>
  <si>
    <t>27ddd6c0</t>
  </si>
  <si>
    <t>YONEX-SUNRISE India Open 2026 - Quarterfinals (Court 1)</t>
  </si>
  <si>
    <t>Nonton streaming pertandingan seru YONEX-SUNRISE India Open 2026 - Quarterfinals (Court 1). Saksikan aksi-aksi terbaik dari tim yang bersaing ketat untuk meraih kemenangan. Dapatkan informasi lengkap mengenai jadwal pertandingan dan hasil pertandingan terbaru hanya di Vidio.</t>
  </si>
  <si>
    <t>e4b8afaa</t>
  </si>
  <si>
    <t>YONEX-SUNRISE India Open 2026 - Quarterfinals (Court 2)</t>
  </si>
  <si>
    <t>Nonton streaming pertandingan seru YONEX-SUNRISE India Open 2026 - Quarterfinals (Court 2). Saksikan aksi-aksi terbaik dari tim yang bersaing ketat untuk meraih kemenangan. Dapatkan informasi lengkap mengenai jadwal pertandingan dan hasil pertandingan terbaru hanya di Vidio.</t>
  </si>
  <si>
    <t>e2103d16</t>
  </si>
  <si>
    <t>YONEX-SUNRISE India Open 2026 - Quarterfinals (Court 3)</t>
  </si>
  <si>
    <t>Nonton streaming pertandingan seru YONEX-SUNRISE India Open 2026 - Quarterfinals (Court 3). Saksikan aksi-aksi terbaik dari tim yang bersaing ketat untuk meraih kemenangan. Dapatkan informasi lengkap mengenai jadwal pertandingan dan hasil pertandingan terbaru hanya di Vidio.</t>
  </si>
  <si>
    <t>c59433a4</t>
  </si>
  <si>
    <t>YONEX-SUNRISE India Open 2026 - Semifinals</t>
  </si>
  <si>
    <t>Nonton streaming pertandingan seru YONEX-SUNRISE India Open 2026 - Semifinals. Saksikan aksi-aksi terbaik dari tim yang bersaing ketat untuk meraih kemenangan. Dapatkan informasi lengkap mengenai jadwal pertandingan dan hasil pertandingan terbaru hanya di Vidio.</t>
  </si>
  <si>
    <t>7bc818e7</t>
  </si>
  <si>
    <t>YONEX-SUNRISE India Open 2026 - Finals</t>
  </si>
  <si>
    <t>Nonton streaming pertandingan seru YONEX-SUNRISE India Open 2026 - Finals. Saksikan aksi-aksi terbaik dari tim yang bersaing ketat untuk meraih kemenangan. Dapatkan informasi lengkap mengenai jadwal pertandingan dan hasil pertandingan terbaru hanya di Vidio.</t>
  </si>
  <si>
    <t>bec457f5</t>
  </si>
  <si>
    <t>YONEX-SUNRISE India Open 2026 - Round of 32 (Court 3)</t>
  </si>
  <si>
    <t>Nonton streaming pertandingan seru YONEX-SUNRISE India Open 2026 - Round of 32 (Court 3). Saksikan aksi-aksi terbaik dari tim yang bersaing ketat untuk meraih kemenangan. Dapatkan informasi lengkap mengenai jadwal pertandingan dan hasil pertandingan terbaru hanya di Vidio.</t>
  </si>
  <si>
    <t>8fcb968a</t>
  </si>
  <si>
    <t>YONEX-SUNRISE India Open 2026 - Round of 32 (Court 4)</t>
  </si>
  <si>
    <t>Nonton streaming pertandingan seru YONEX-SUNRISE India Open 2026 - Round of 32 (Court 4). Saksikan aksi-aksi terbaik dari tim yang bersaing ketat untuk meraih kemenangan. Dapatkan informasi lengkap mengenai jadwal pertandingan dan hasil pertandingan terbaru hanya di Vidio.</t>
  </si>
  <si>
    <t>4ec2eed9</t>
  </si>
  <si>
    <t>YONEX-SUNRISE India Open 2026 - Round of 16 (Court 1)</t>
  </si>
  <si>
    <t>Nonton streaming pertandingan seru YONEX-SUNRISE India Open 2026 - Round of 16 (Court 1). Saksikan aksi-aksi terbaik dari tim yang bersaing ketat untuk meraih kemenangan. Dapatkan informasi lengkap mengenai jadwal pertandingan dan hasil pertandingan terbaru hanya di Vidio.</t>
  </si>
  <si>
    <t>6acbd5d0</t>
  </si>
  <si>
    <t>YONEX-SUNRISE India Open 2026 - Round of 16 (Court 2)</t>
  </si>
  <si>
    <t>Nonton streaming pertandingan seru YONEX-SUNRISE India Open 2026 - Round of 16 (Court 2). Saksikan aksi-aksi terbaik dari tim yang bersaing ketat untuk meraih kemenangan. Dapatkan informasi lengkap mengenai jadwal pertandingan dan hasil pertandingan terbaru hanya di Vidio.</t>
  </si>
  <si>
    <t>a9886ff6</t>
  </si>
  <si>
    <t>YONEX-SUNRISE India Open 2026 - Round of 16 (Court 3)</t>
  </si>
  <si>
    <t>Nonton streaming pertandingan seru YONEX-SUNRISE India Open 2026 - Round of 16 (Court 3). Saksikan aksi-aksi terbaik dari tim yang bersaing ketat untuk meraih kemenangan. Dapatkan informasi lengkap mengenai jadwal pertandingan dan hasil pertandingan terbaru hanya di Vidio.</t>
  </si>
  <si>
    <t>f0eef5f7</t>
  </si>
  <si>
    <t>YONEX-SUNRISE India Open 2026 - Round of 32 (Court 1)</t>
  </si>
  <si>
    <t>Nonton streaming pertandingan seru YONEX-SUNRISE India Open 2026 - Round of 32 (Court 1). Saksikan aksi-aksi terbaik dari tim yang bersaing ketat untuk meraih kemenangan. Dapatkan informasi lengkap mengenai jadwal pertandingan dan hasil pertandingan terbaru hanya di Vidio.</t>
  </si>
  <si>
    <t>7f27697b</t>
  </si>
  <si>
    <t>YONEX-SUNRISE India Open 2026 - Round of 32 (Court 2)</t>
  </si>
  <si>
    <t>Nonton streaming pertandingan seru YONEX-SUNRISE India Open 2026 - Round of 32 (Court 2). Saksikan aksi-aksi terbaik dari tim yang bersaing ketat untuk meraih kemenangan. Dapatkan informasi lengkap mengenai jadwal pertandingan dan hasil pertandingan terbaru hanya di Vidio.</t>
  </si>
  <si>
    <t>6f746a66</t>
  </si>
  <si>
    <t>1655001e</t>
  </si>
  <si>
    <t>b96cf6ee</t>
  </si>
  <si>
    <t>27eef2c0</t>
  </si>
  <si>
    <t>c90d3412</t>
  </si>
  <si>
    <t>An Se Young (KOR) vs Nozomi Okuhara (JPN) - Women's Singles Round of 16 | PETRONAS Malaysia Open 2026</t>
  </si>
  <si>
    <t>https://www.vidio.com/live/18249-petronas-malaysia-open-2026-round-of-16-court-1?schedule_id=4832325</t>
  </si>
  <si>
    <t>Nonton streaming pertandingan seru An Se Young (KOR) vs Nozomi Okuhara (JPN) - Women's Singles Round of 16 | PETRONAS Malaysia Open 2026. Saksikan aksi-aksi terbaik dari tim yang bersaing ketat untuk meraih kemenangan. Dapatkan informasi lengkap mengenai jadwal pertandingan dan hasil pertandingan terbaru hanya di Vidio.</t>
  </si>
  <si>
    <t>6e761e6d</t>
  </si>
  <si>
    <t>Shi Yu Qi (CHN) vs Ayush Shetty (IND) - Men's Singles Round of 16 | PETRONAS Malaysia Open 2026</t>
  </si>
  <si>
    <t>https://www.vidio.com/live/18249-petronas-malaysia-open-2026-round-of-16-court-1?schedule_id=4832326</t>
  </si>
  <si>
    <t>Nonton streaming pertandingan seru Shi Yu Qi (CHN) vs Ayush Shetty (IND) - Men's Singles Round of 16 | PETRONAS Malaysia Open 2026. Saksikan aksi-aksi terbaik dari tim yang bersaing ketat untuk meraih kemenangan. Dapatkan informasi lengkap mengenai jadwal pertandingan dan hasil pertandingan terbaru hanya di Vidio.</t>
  </si>
  <si>
    <t>eb28578d</t>
  </si>
  <si>
    <t>Lee Cheuk Yiu (HKG) vs Lakshya Sen (IND) - Men's Singles Round of 16 | PETRONAS Malaysia Open 2026</t>
  </si>
  <si>
    <t>https://www.vidio.com/live/18249-petronas-malaysia-open-2026-round-of-16-court-1?schedule_id=4832327</t>
  </si>
  <si>
    <t>Nonton streaming pertandingan seru Lee Cheuk Yiu (HKG) vs Lakshya Sen (IND) - Men's Singles Round of 16 | PETRONAS Malaysia Open 2026. Saksikan aksi-aksi terbaik dari tim yang bersaing ketat untuk meraih kemenangan. Dapatkan informasi lengkap mengenai jadwal pertandingan dan hasil pertandingan terbaru hanya di Vidio.</t>
  </si>
  <si>
    <t>b86752db</t>
  </si>
  <si>
    <t>Akira Koga/Natsu Saito (JPN) vs Dechapol Puavaranukroh/Supissara Paewsampran (THA) - Mixed Doubles Round of 16 | PETRONAS Malaysia Open 2026</t>
  </si>
  <si>
    <t>https://www.vidio.com/live/18249-petronas-malaysia-open-2026-round-of-16-court-1?schedule_id=4832328</t>
  </si>
  <si>
    <t>Nonton streaming pertandingan seru Akira Koga/Natsu Saito (JPN) vs Dechapol Puavaranukroh/Supissara Paewsampran (THA) - Mixed Doubles Round of 16 | PETRONAS Malaysia Open 2026. Saksikan aksi-aksi terbaik dari tim yang bersaing ketat untuk meraih kemenangan. Dapatkan informasi lengkap mengenai jadwal pertandingan dan hasil pertandingan terbaru hanya di Vidio.</t>
  </si>
  <si>
    <t>ef4e05b1</t>
  </si>
  <si>
    <t>Febriana Dwipuji Kusuma/Meilysa Trias Puspitasari (INA) vs Pearly Tan/Thinaah Muralitharan (MAS) - Women's Doubles Round of 16 | PETRONAS Malaysia Open 2026</t>
  </si>
  <si>
    <t>https://www.vidio.com/live/18249-petronas-malaysia-open-2026-round-of-16-court-1?schedule_id=4832329</t>
  </si>
  <si>
    <t>Nonton streaming pertandingan seru Febriana Dwipuji Kusuma/Meilysa Trias Puspitasari (INA) vs Pearly Tan/Thinaah Muralitharan (MAS) - Women's Doubles Round of 16 | PETRONAS Malaysia Open 2026. Saksikan aksi-aksi terbaik dari tim yang bersaing ketat untuk meraih kemenangan. Dapatkan informasi lengkap mengenai jadwal pertandingan dan hasil pertandingan terbaru hanya di Vidio.</t>
  </si>
  <si>
    <t>2d2672f9</t>
  </si>
  <si>
    <t>Pusarla V. Sindhu (IND) vs Tomoka Miyazaki (JPN) - Women's Singles Round of 16 | PETRONAS Malaysia Open 2026</t>
  </si>
  <si>
    <t>https://www.vidio.com/live/18249-petronas-malaysia-open-2026-round-of-16-court-1?schedule_id=4832330</t>
  </si>
  <si>
    <t>Nonton streaming pertandingan seru Pusarla V. Sindhu (IND) vs Tomoka Miyazaki (JPN) - Women's Singles Round of 16 | PETRONAS Malaysia Open 2026. Saksikan aksi-aksi terbaik dari tim yang bersaing ketat untuk meraih kemenangan. Dapatkan informasi lengkap mengenai jadwal pertandingan dan hasil pertandingan terbaru hanya di Vidio.</t>
  </si>
  <si>
    <t>d241ca95</t>
  </si>
  <si>
    <t>Julien Maio/Lea Palermo (FRA) vs Jesper Toft/Amalie Magelund (DEN) - Mixed Doubles Round of 16 | PETRONAS Malaysia Open 2026</t>
  </si>
  <si>
    <t>https://www.vidio.com/live/18249-petronas-malaysia-open-2026-round-of-16-court-1?schedule_id=4832332</t>
  </si>
  <si>
    <t>Nonton streaming pertandingan seru Julien Maio/Lea Palermo (FRA) vs Jesper Toft/Amalie Magelund (DEN) - Mixed Doubles Round of 16 | PETRONAS Malaysia Open 2026. Saksikan aksi-aksi terbaik dari tim yang bersaing ketat untuk meraih kemenangan. Dapatkan informasi lengkap mengenai jadwal pertandingan dan hasil pertandingan terbaru hanya di Vidio.</t>
  </si>
  <si>
    <t>af4c672d</t>
  </si>
  <si>
    <t>Hu Ling Fang/Jheng Yu Chieh (TPE) vs Baek Ha Na/Lee So Hee (KOR) - Women's Doubles Round of 16 | PETRONAS Malaysia Open 2026</t>
  </si>
  <si>
    <t>https://www.vidio.com/live/18249-petronas-malaysia-open-2026-round-of-16-court-1?schedule_id=4832333</t>
  </si>
  <si>
    <t>Nonton streaming pertandingan seru Hu Ling Fang/Jheng Yu Chieh (TPE) vs Baek Ha Na/Lee So Hee (KOR) - Women's Doubles Round of 16 | PETRONAS Malaysia Open 2026. Saksikan aksi-aksi terbaik dari tim yang bersaing ketat untuk meraih kemenangan. Dapatkan informasi lengkap mengenai jadwal pertandingan dan hasil pertandingan terbaru hanya di Vidio.</t>
  </si>
  <si>
    <t>a1f04a0b</t>
  </si>
  <si>
    <t>Chen Xu Jun/Liu Yang (CHN) vs Aaron Chia/Soh Wooi Yik (MAS) - Men's Doubles Round of 16 | PETRONAS Malaysia Open 2026</t>
  </si>
  <si>
    <t>Nonton streaming pertandingan seru Chen Xu Jun/Liu Yang (CHN) vs Aaron Chia/Soh Wooi Yik (MAS) - Men's Doubles Round of 16 | PETRONAS Malaysia Open 2026. Saksikan aksi-aksi terbaik dari tim yang bersaing ketat untuk meraih kemenangan. Dapatkan informasi lengkap mengenai jadwal pertandingan dan hasil pertandingan terbaru hanya di Vidio.</t>
  </si>
  <si>
    <t>a0e97a9d</t>
  </si>
  <si>
    <t>Chen Zhi Ray/Lin Yu Chieh (TPE) vs Fajar Alfian/Muhammad Shohibul Fikri (INA) - Men's Doubles Round of 16 | PETRONAS Malaysia Open 2026</t>
  </si>
  <si>
    <t>https://www.vidio.com/live/18249-petronas-malaysia-open-2026-round-of-16-court-1?schedule_id=4832341</t>
  </si>
  <si>
    <t>Nonton streaming pertandingan seru Chen Zhi Ray/Lin Yu Chieh (TPE) vs Fajar Alfian/Muhammad Shohibul Fikri (INA) - Men's Doubles Round of 16 | PETRONAS Malaysia Open 2026. Saksikan aksi-aksi terbaik dari tim yang bersaing ketat untuk meraih kemenangan. Dapatkan informasi lengkap mengenai jadwal pertandingan dan hasil pertandingan terbaru hanya di Vidio.</t>
  </si>
  <si>
    <t>bb0e549e</t>
  </si>
  <si>
    <t>Beiwen Zhang (USA) vs Putri Kusuma Wardani (INA) - Women's Singles Round of 16 | PETRONAS Malaysia Open 2026</t>
  </si>
  <si>
    <t>https://www.vidio.com/live/18249-petronas-malaysia-open-2026-round-of-16-court-1?schedule_id=4832349</t>
  </si>
  <si>
    <t>Nonton streaming pertandingan seru Beiwen Zhang (USA) vs Putri Kusuma Wardani (INA) - Women's Singles Round of 16 | PETRONAS Malaysia Open 2026. Saksikan aksi-aksi terbaik dari tim yang bersaing ketat untuk meraih kemenangan. Dapatkan informasi lengkap mengenai jadwal pertandingan dan hasil pertandingan terbaru hanya di Vidio.</t>
  </si>
  <si>
    <t>d6f9ef4e</t>
  </si>
  <si>
    <t>Kang Min Hyuk/Ki Dong Ju (KOR) vs Sabar Karyaman Gutama/Moh Reza Pahlevi Isfahani (INA) - Men's Doubles Round of 16 | PETRONAS Malaysia Open 2026</t>
  </si>
  <si>
    <t>https://www.vidio.com/live/18249-petronas-malaysia-open-2026-round-of-16-court-1?schedule_id=4832351</t>
  </si>
  <si>
    <t>Nonton streaming pertandingan seru Kang Min Hyuk/Ki Dong Ju (KOR) vs Sabar Karyaman Gutama/Moh Reza Pahlevi Isfahani (INA) - Men's Doubles Round of 16 | PETRONAS Malaysia Open 2026. Saksikan aksi-aksi terbaik dari tim yang bersaing ketat untuk meraih kemenangan. Dapatkan informasi lengkap mengenai jadwal pertandingan dan hasil pertandingan terbaru hanya di Vidio.</t>
  </si>
  <si>
    <t>dec8579e</t>
  </si>
  <si>
    <t>Kim Won Ho/Seo Seung Jae (KOR) vs Nur Mohd Azriyn Ayub Azriyn/Tan Wee Kiong (MAS) - Men's Doubles Round of 16 | PETRONAS Malaysia Open 2026</t>
  </si>
  <si>
    <t>https://www.vidio.com/live/18249-petronas-malaysia-open-2026-round-of-16-court-1?schedule_id=4832350</t>
  </si>
  <si>
    <t>Nonton streaming pertandingan seru Kim Won Ho/Seo Seung Jae (KOR) vs Nur Mohd Azriyn Ayub Azriyn/Tan Wee Kiong (MAS) - Men's Doubles Round of 16 | PETRONAS Malaysia Open 2026. Saksikan aksi-aksi terbaik dari tim yang bersaing ketat untuk meraih kemenangan. Dapatkan informasi lengkap mengenai jadwal pertandingan dan hasil pertandingan terbaru hanya di Vidio.</t>
  </si>
  <si>
    <t>9a128319</t>
  </si>
  <si>
    <t>Tang Chun Man/Tse Ying Suet (HKG) vs Chen Cheng Kuan/Hsu Yin-Hui (TPE) - Mixed Doubles Round of 16 | PETRONAS Malaysia Open 2026</t>
  </si>
  <si>
    <t>https://www.vidio.com/live/18250-petronas-malaysia-open-2026-round-of-16-court-2?schedule_id=4832334</t>
  </si>
  <si>
    <t>Nonton streaming pertandingan seru Tang Chun Man/Tse Ying Suet (HKG) vs Chen Cheng Kuan/Hsu Yin-Hui (TPE) - Mixed Doubles Round of 16 | PETRONAS Malaysia Open 2026. Saksikan aksi-aksi terbaik dari tim yang bersaing ketat untuk meraih kemenangan. Dapatkan informasi lengkap mengenai jadwal pertandingan dan hasil pertandingan terbaru hanya di Vidio.</t>
  </si>
  <si>
    <t>abaaf9d0</t>
  </si>
  <si>
    <t>Ornnicha Jongsathapornparn/Sukitta Suwachai (THA) vs Jeong Na Eun/Lee Yeon Woo (KOR) - Women's Doubles Round of 16 | PETRONAS Malaysia Open 2026</t>
  </si>
  <si>
    <t>https://www.vidio.com/live/18250-petronas-malaysia-open-2026-round-of-16-court-2?schedule_id=4832335</t>
  </si>
  <si>
    <t>Nonton streaming pertandingan seru Ornnicha Jongsathapornparn/Sukitta Suwachai (THA) vs Jeong Na Eun/Lee Yeon Woo (KOR) - Women's Doubles Round of 16 | PETRONAS Malaysia Open 2026. Saksikan aksi-aksi terbaik dari tim yang bersaing ketat untuk meraih kemenangan. Dapatkan informasi lengkap mengenai jadwal pertandingan dan hasil pertandingan terbaru hanya di Vidio.</t>
  </si>
  <si>
    <t>ea31a32c</t>
  </si>
  <si>
    <t>Chen Yu Fei (CHN) vs Busanan Ongbamrungphan (THA) - Women's Singles Round of 16 | PETRONAS Malaysia Open 2026</t>
  </si>
  <si>
    <t>https://www.vidio.com/live/18250-petronas-malaysia-open-2026-round-of-16-court-2?schedule_id=4832336</t>
  </si>
  <si>
    <t>Nonton streaming pertandingan seru Chen Yu Fei (CHN) vs Busanan Ongbamrungphan (THA) - Women's Singles Round of 16 | PETRONAS Malaysia Open 2026. Saksikan aksi-aksi terbaik dari tim yang bersaing ketat untuk meraih kemenangan. Dapatkan informasi lengkap mengenai jadwal pertandingan dan hasil pertandingan terbaru hanya di Vidio.</t>
  </si>
  <si>
    <t>d139f20e</t>
  </si>
  <si>
    <t>Goh Sze Fei/Nur Izzuddin (MAS) vs Ben Lane/Sean Vendy (ENG) - Men's Doubles Round of 16 | PETRONAS Malaysia Open 2026</t>
  </si>
  <si>
    <t>https://www.vidio.com/live/18250-petronas-malaysia-open-2026-round-of-16-court-2?schedule_id=4832337</t>
  </si>
  <si>
    <t>Nonton streaming pertandingan seru Goh Sze Fei/Nur Izzuddin (MAS) vs Ben Lane/Sean Vendy (ENG) - Men's Doubles Round of 16 | PETRONAS Malaysia Open 2026. Saksikan aksi-aksi terbaik dari tim yang bersaing ketat untuk meraih kemenangan. Dapatkan informasi lengkap mengenai jadwal pertandingan dan hasil pertandingan terbaru hanya di Vidio.</t>
  </si>
  <si>
    <t>1db64a8b</t>
  </si>
  <si>
    <t>Leong Jun Hao (MAS) vs Jonatan Christie (INA) - Men's Singles Round of 16 | PETRONAS Malaysia Open 2026</t>
  </si>
  <si>
    <t>https://www.vidio.com/live/18250-petronas-malaysia-open-2026-round-of-16-court-2?schedule_id=4832338</t>
  </si>
  <si>
    <t>Nonton streaming pertandingan seru Leong Jun Hao (MAS) vs Jonatan Christie (INA) - Men's Singles Round of 16 | PETRONAS Malaysia Open 2026. Saksikan aksi-aksi terbaik dari tim yang bersaing ketat untuk meraih kemenangan. Dapatkan informasi lengkap mengenai jadwal pertandingan dan hasil pertandingan terbaru hanya di Vidio.</t>
  </si>
  <si>
    <t>f6a201a8</t>
  </si>
  <si>
    <t>Ratchanok Intanon (THA) vs Mia Blichfeldt (DEN) - Women's Singles Round of 16 | PETRONAS Malaysia Open 2026</t>
  </si>
  <si>
    <t>https://www.vidio.com/live/18250-petronas-malaysia-open-2026-round-of-16-court-2?schedule_id=4832339</t>
  </si>
  <si>
    <t>Nonton streaming pertandingan seru Ratchanok Intanon (THA) vs Mia Blichfeldt (DEN) - Women's Singles Round of 16 | PETRONAS Malaysia Open 2026. Saksikan aksi-aksi terbaik dari tim yang bersaing ketat untuk meraih kemenangan. Dapatkan informasi lengkap mengenai jadwal pertandingan dan hasil pertandingan terbaru hanya di Vidio.</t>
  </si>
  <si>
    <t>4a1b98a4</t>
  </si>
  <si>
    <t>Junaidi Arif/Roy King Yap (MAS) vs Satwiksairaj Rankireddy/Chirag Shetty (IND) - Men's Doubles Round of 16 | PETRONAS Malaysia Open 2026</t>
  </si>
  <si>
    <t>https://www.vidio.com/live/18250-petronas-malaysia-open-2026-round-of-16-court-2?schedule_id=4832340</t>
  </si>
  <si>
    <t>Nonton streaming pertandingan seru Junaidi Arif/Roy King Yap (MAS) vs Satwiksairaj Rankireddy/Chirag Shetty (IND) - Men's Doubles Round of 16 | PETRONAS Malaysia Open 2026. Saksikan aksi-aksi terbaik dari tim yang bersaing ketat untuk meraih kemenangan. Dapatkan informasi lengkap mengenai jadwal pertandingan dan hasil pertandingan terbaru hanya di Vidio.</t>
  </si>
  <si>
    <t>fd73cea2</t>
  </si>
  <si>
    <t>Anders Antonsen (DEN) vs Victor Lai (CAN) - Men's Singles Round of 16 | PETRONAS Malaysia Open 2026</t>
  </si>
  <si>
    <t>https://www.vidio.com/live/18250-petronas-malaysia-open-2026-round-of-16-court-2?schedule_id=4832342</t>
  </si>
  <si>
    <t>Nonton streaming pertandingan seru Anders Antonsen (DEN) vs Victor Lai (CAN) - Men's Singles Round of 16 | PETRONAS Malaysia Open 2026. Saksikan aksi-aksi terbaik dari tim yang bersaing ketat untuk meraih kemenangan. Dapatkan informasi lengkap mengenai jadwal pertandingan dan hasil pertandingan terbaru hanya di Vidio.</t>
  </si>
  <si>
    <t>c377b889</t>
  </si>
  <si>
    <t>Gao Fang Jie (CHN) vs Akane Yamaguchi (JPN) - Women's Singles Round of 16 | PETRONAS Malaysia Open 2026</t>
  </si>
  <si>
    <t>https://www.vidio.com/live/18250-petronas-malaysia-open-2026-round-of-16-court-2?schedule_id=4832343</t>
  </si>
  <si>
    <t>Nonton streaming pertandingan seru Gao Fang Jie (CHN) vs Akane Yamaguchi (JPN) - Women's Singles Round of 16 | PETRONAS Malaysia Open 2026. Saksikan aksi-aksi terbaik dari tim yang bersaing ketat untuk meraih kemenangan. Dapatkan informasi lengkap mengenai jadwal pertandingan dan hasil pertandingan terbaru hanya di Vidio.</t>
  </si>
  <si>
    <t>7149f17a</t>
  </si>
  <si>
    <t>Man Wei Chong/Kai Wun Tee (MAS) vs Hiroki Midorikawa/Kyohei Yamashita (JPN) - Men's Doubles Round of 16 | PETRONAS Malaysia Open 2026</t>
  </si>
  <si>
    <t>https://www.vidio.com/live/18250-petronas-malaysia-open-2026-round-of-16-court-2?schedule_id=4832344</t>
  </si>
  <si>
    <t>Nonton streaming pertandingan seru Man Wei Chong/Kai Wun Tee (MAS) vs Hiroki Midorikawa/Kyohei Yamashita (JPN) - Men's Doubles Round of 16 | PETRONAS Malaysia Open 2026. Saksikan aksi-aksi terbaik dari tim yang bersaing ketat untuk meraih kemenangan. Dapatkan informasi lengkap mengenai jadwal pertandingan dan hasil pertandingan terbaru hanya di Vidio.</t>
  </si>
  <si>
    <t>1ccd533b</t>
  </si>
  <si>
    <t>Hsu Yin-Hui/Lin Jhih Yun (TPE) vs Jia Yi Fan/Zhang Shu Xian (CHN) - Women's Doubles Round of 16 | PETRONAS Malaysia Open 2026</t>
  </si>
  <si>
    <t>https://www.vidio.com/live/18250-petronas-malaysia-open-2026-round-of-16-court-2?schedule_id=4832345</t>
  </si>
  <si>
    <t>Nonton streaming pertandingan seru Hsu Yin-Hui/Lin Jhih Yun (TPE) vs Jia Yi Fan/Zhang Shu Xian (CHN) - Women's Doubles Round of 16 | PETRONAS Malaysia Open 2026. Saksikan aksi-aksi terbaik dari tim yang bersaing ketat untuk meraih kemenangan. Dapatkan informasi lengkap mengenai jadwal pertandingan dan hasil pertandingan terbaru hanya di Vidio.</t>
  </si>
  <si>
    <t>a41f3c1c</t>
  </si>
  <si>
    <t>Presley Smith/Jennie Gai (USA) vs Goh Soon Huat/Lai Shevon Jemie (MAS) - Mixed Doubles Round of 16 | PETRONAS Malaysia Open 2026</t>
  </si>
  <si>
    <t>https://www.vidio.com/live/18252-petronas-malaysia-open-2026-round-of-16-court-3?schedule_id=4832353</t>
  </si>
  <si>
    <t>Nonton streaming pertandingan seru Presley Smith/Jennie Gai (USA) vs Goh Soon Huat/Lai Shevon Jemie (MAS) - Mixed Doubles Round of 16 | PETRONAS Malaysia Open 2026. Saksikan aksi-aksi terbaik dari tim yang bersaing ketat untuk meraih kemenangan. Dapatkan informasi lengkap mengenai jadwal pertandingan dan hasil pertandingan terbaru hanya di Vidio.</t>
  </si>
  <si>
    <t>671d7009</t>
  </si>
  <si>
    <t>Han Yue (CHN) vs Line Hojmark Kjaersfeldt (DEN) - Women's Singles Round of 16 | PETRONAS Malaysia Open 2026</t>
  </si>
  <si>
    <t>https://www.vidio.com/live/18252-petronas-malaysia-open-2026-round-of-16-court-3?schedule_id=4832354</t>
  </si>
  <si>
    <t>Nonton streaming pertandingan seru Han Yue (CHN) vs Line Højmark Kjaersfeldt (DEN) - Women's Singles Round of 16 | PETRONAS Malaysia Open 2026. Saksikan aksi-aksi terbaik dari tim yang bersaing ketat untuk meraih kemenangan. Dapatkan informasi lengkap mengenai jadwal pertandingan dan hasil pertandingan terbaru hanya di Vidio.</t>
  </si>
  <si>
    <t>2ccccd83</t>
  </si>
  <si>
    <t>Chen Tang Jie/Toh Ee Wei (MAS) vs Hoo Pang Ron/Cheng Su Yin (MAS) - Mixed Doubles Round of 16 | PETRONAS Malaysia Open 2026</t>
  </si>
  <si>
    <t>https://www.vidio.com/live/18252-petronas-malaysia-open-2026-round-of-16-court-3?schedule_id=4832355</t>
  </si>
  <si>
    <t>Nonton streaming pertandingan seru Chen Tang Jie/Toh Ee Wei (MAS) vs Hoo Pang Ron/Cheng Su Yin (MAS) - Mixed Doubles Round of 16 | PETRONAS Malaysia Open 2026. Saksikan aksi-aksi terbaik dari tim yang bersaing ketat untuk meraih kemenangan. Dapatkan informasi lengkap mengenai jadwal pertandingan dan hasil pertandingan terbaru hanya di Vidio.</t>
  </si>
  <si>
    <t>f0a48d14</t>
  </si>
  <si>
    <t>Phuwanat Horbanluekit/Benyapa Aimsaard (THA) vs Jiang Zhen Bang/Wei Ya Xin (CHN) - Mixed Doubles Round of 16 | PETRONAS Malaysia Open 2026</t>
  </si>
  <si>
    <t>https://www.vidio.com/live/18252-petronas-malaysia-open-2026-round-of-16-court-3?schedule_id=4832356</t>
  </si>
  <si>
    <t>Nonton streaming pertandingan seru Phuwanat Horbanluekit/Benyapa Aimsaard (THA) vs Jiang Zhen Bang/Wei Ya Xin (CHN) - Mixed Doubles Round of 16 | PETRONAS Malaysia Open 2026. Saksikan aksi-aksi terbaik dari tim yang bersaing ketat untuk meraih kemenangan. Dapatkan informasi lengkap mengenai jadwal pertandingan dan hasil pertandingan terbaru hanya di Vidio.</t>
  </si>
  <si>
    <t>61c5d503</t>
  </si>
  <si>
    <t>Kim Hye Jeong/Kong Hee Yong (KOR) vs Kaho Osawa/Mai Tanabe (JPN) - Women's Doubles Round of 16 | PETRONAS Malaysia Open 2026</t>
  </si>
  <si>
    <t>https://www.vidio.com/live/18252-petronas-malaysia-open-2026-round-of-16-court-3?schedule_id=4832357</t>
  </si>
  <si>
    <t>Nonton streaming pertandingan seru Kim Hye Jeong/Kong Hee Yong (KOR) vs Kaho Osawa/Mai Tanabe (JPN) - Women's Doubles Round of 16 | PETRONAS Malaysia Open 2026. Saksikan aksi-aksi terbaik dari tim yang bersaing ketat untuk meraih kemenangan. Dapatkan informasi lengkap mengenai jadwal pertandingan dan hasil pertandingan terbaru hanya di Vidio.</t>
  </si>
  <si>
    <t>3738c1c9</t>
  </si>
  <si>
    <t>Takuro Hoki/Yugo Kobayashi (JPN) vs Kakeru Kumagai/Hiroki Nishi (JPN) - Men's Doubles Round of 16 | PETRONAS Malaysia Open 2026</t>
  </si>
  <si>
    <t>https://www.vidio.com/live/18252-petronas-malaysia-open-2026-round-of-16-court-3?schedule_id=4832358</t>
  </si>
  <si>
    <t>Nonton streaming pertandingan seru Takuro Hoki/Yugo Kobayashi (JPN) vs Kakeru Kumagai/Hiroki Nishi (JPN) - Men's Doubles Round of 16 | PETRONAS Malaysia Open 2026. Saksikan aksi-aksi terbaik dari tim yang bersaing ketat untuk meraih kemenangan. Dapatkan informasi lengkap mengenai jadwal pertandingan dan hasil pertandingan terbaru hanya di Vidio.</t>
  </si>
  <si>
    <t>581de4ac</t>
  </si>
  <si>
    <t>Lu Guang Zu (CHN) vs Kodai Naraoka (JPN) - Men's Singles Round of 16 | PETRONAS Malaysia Open 2026</t>
  </si>
  <si>
    <t>https://www.vidio.com/live/18252-petronas-malaysia-open-2026-round-of-16-court-3?schedule_id=4832359</t>
  </si>
  <si>
    <t>Nonton streaming pertandingan seru Lu Guang Zu (CHN) vs Kodai Naraoka (JPN) - Men's Singles Round of 16 | PETRONAS Malaysia Open 2026. Saksikan aksi-aksi terbaik dari tim yang bersaing ketat untuk meraih kemenangan. Dapatkan informasi lengkap mengenai jadwal pertandingan dan hasil pertandingan terbaru hanya di Vidio.</t>
  </si>
  <si>
    <t>0fdfc73d</t>
  </si>
  <si>
    <t>Guo Xin Wa/Chen Fang Hui (CHN) vs Marvin Seidel/Thuc Phuong Nguyen (GER) - Mixed Doubles Round of 16 | PETRONAS Malaysia Open 2026</t>
  </si>
  <si>
    <t>https://www.vidio.com/live/18252-petronas-malaysia-open-2026-round-of-16-court-3?schedule_id=4832360</t>
  </si>
  <si>
    <t>Nonton streaming pertandingan seru Guo Xin Wa/Chen Fang Hui (CHN) vs Marvin Seidel/Thuc Phuong Nguyen (GER) - Mixed Doubles Round of 16 | PETRONAS Malaysia Open 2026. Saksikan aksi-aksi terbaik dari tim yang bersaing ketat untuk meraih kemenangan. Dapatkan informasi lengkap mengenai jadwal pertandingan dan hasil pertandingan terbaru hanya di Vidio.</t>
  </si>
  <si>
    <t>6a4f063d</t>
  </si>
  <si>
    <t>Feng Yan Zhe/Huang Dong Ping (CHN) vs Cheng Xing/Zhang Chi (CHN) - Mixed Doubles Round of 16 | PETRONAS Malaysia Open 2026</t>
  </si>
  <si>
    <t>https://www.vidio.com/live/18252-petronas-malaysia-open-2026-round-of-16-court-3?schedule_id=4832361</t>
  </si>
  <si>
    <t>Nonton streaming pertandingan seru Feng Yan Zhe/Huang Dong Ping (CHN) vs Cheng Xing/Zhang Chi (CHN) - Mixed Doubles Round of 16 | PETRONAS Malaysia Open 2026. Saksikan aksi-aksi terbaik dari tim yang bersaing ketat untuk meraih kemenangan. Dapatkan informasi lengkap mengenai jadwal pertandingan dan hasil pertandingan terbaru hanya di Vidio.</t>
  </si>
  <si>
    <t>dd42473c</t>
  </si>
  <si>
    <t>Nhat Nguyen (IRL) vs Alex Lanier (FRA) - Men's Singles Round of 16 | PETRONAS Malaysia Open 2026</t>
  </si>
  <si>
    <t>https://www.vidio.com/live/18252-petronas-malaysia-open-2026-round-of-16-court-3?schedule_id=4832362</t>
  </si>
  <si>
    <t>Nonton streaming pertandingan seru Nhat Nguyen (IRL) vs Alex Lanier (FRA) - Men's Singles Round of 16 | PETRONAS Malaysia Open 2026. Saksikan aksi-aksi terbaik dari tim yang bersaing ketat untuk meraih kemenangan. Dapatkan informasi lengkap mengenai jadwal pertandingan dan hasil pertandingan terbaru hanya di Vidio.</t>
  </si>
  <si>
    <t>96b69b6f</t>
  </si>
  <si>
    <t>Chou Tien Chen (TPE) vs Kenta Nishimoto (JPN) - Men's Singles Round of 16 | PETRONAS Malaysia Open 2026</t>
  </si>
  <si>
    <t>https://www.vidio.com/live/18252-petronas-malaysia-open-2026-round-of-16-court-3?schedule_id=4832363</t>
  </si>
  <si>
    <t>Nonton streaming pertandingan seru Chou Tien Chen (TPE) vs Kenta Nishimoto (JPN) - Men's Singles Round of 16 | PETRONAS Malaysia Open 2026. Saksikan aksi-aksi terbaik dari tim yang bersaing ketat untuk meraih kemenangan. Dapatkan informasi lengkap mengenai jadwal pertandingan dan hasil pertandingan terbaru hanya di Vidio.</t>
  </si>
  <si>
    <t>2c321b72</t>
  </si>
  <si>
    <t>Koki Watanabe (JPN) vs Kunlavut Vitidsarn (THA) - Men's Singles Round of 16 | PETRONAS Malaysia Open 2026</t>
  </si>
  <si>
    <t>https://www.vidio.com/live/18252-petronas-malaysia-open-2026-round-of-16-court-3?schedule_id=4832364</t>
  </si>
  <si>
    <t>Nonton streaming pertandingan seru Koki Watanabe (JPN) vs Kunlavut Vitidsarn (THA) - Men's Singles Round of 16 | PETRONAS Malaysia Open 2026. Saksikan aksi-aksi terbaik dari tim yang bersaing ketat untuk meraih kemenangan. Dapatkan informasi lengkap mengenai jadwal pertandingan dan hasil pertandingan terbaru hanya di Vidio.</t>
  </si>
  <si>
    <t>de279643</t>
  </si>
  <si>
    <t>Lin Hsiang Ti (TPE)  vs Wang Zhi Yi (CHN) - Women's Singles Round of 16 | PETRONAS Malaysia Open 2026</t>
  </si>
  <si>
    <t>https://www.vidio.com/live/18250-petronas-malaysia-open-2026-round-of-16-court-2?schedule_id=4833781</t>
  </si>
  <si>
    <t>Nonton streaming pertandingan seru Lin Hsiang Ti (TPE)  vs Wang Zhi Yi (CHN) - Women's Singles Round of 16 | PETRONAS Malaysia Open 2026. Saksikan aksi-aksi terbaik dari tim yang bersaing ketat untuk meraih kemenangan. Dapatkan informasi lengkap mengenai jadwal pertandingan dan hasil pertandingan terbaru hanya di Vidio.</t>
  </si>
  <si>
    <t>e67834e7</t>
  </si>
  <si>
    <t>Hsieh Pei Shan/Hung En-Tzu (TPE) vs Ririna Hiramoto/Kokona Ishikawa (JPN) - Women's Doubles Round of 16 | PETRONAS Malaysia Open 2026</t>
  </si>
  <si>
    <t>https://www.vidio.com/live/18252-petronas-malaysia-open-2026-round-of-16-court-3?schedule_id=4832366</t>
  </si>
  <si>
    <t>Nonton streaming pertandingan seru Hsieh Pei Shan/Hung En-Tzu (TPE) vs Ririna Hiramoto/Kokona Ishikawa (JPN) - Women's Doubles Round of 16 | PETRONAS Malaysia Open 2026. Saksikan aksi-aksi terbaik dari tim yang bersaing ketat untuk meraih kemenangan. Dapatkan informasi lengkap mengenai jadwal pertandingan dan hasil pertandingan terbaru hanya di Vidio.</t>
  </si>
  <si>
    <t>0bf8ac3b</t>
  </si>
  <si>
    <t>Paulina Cybulska/Kornelia Marczak (POL)  vs Yuki Fukushima/Mayu Matsumoto (JPN) - Women's Doubles Round of 16 | PETRONAS Malaysia Open 2026</t>
  </si>
  <si>
    <t>https://www.vidio.com/live/18250-petronas-malaysia-open-2026-round-of-16-court-2?schedule_id=4832346</t>
  </si>
  <si>
    <t>Nonton streaming pertandingan seru Paulina Cybulska/Kornelia Marczak (POL)  vs Yuki Fukushima/Mayu Matsumoto (JPN) - Women's Doubles Round of 16 | PETRONAS Malaysia Open 2026. Saksikan aksi-aksi terbaik dari tim yang bersaing ketat untuk meraih kemenangan. Dapatkan informasi lengkap mengenai jadwal pertandingan dan hasil pertandingan terbaru hanya di Vidio.</t>
  </si>
  <si>
    <t>21793478</t>
  </si>
  <si>
    <t>Liu Sheng Shu/Tan Ning (CHN) vs Rui Hirokami/Sayaka Hobara (JPN) - Women's Doubles Round of 16 | PETRONAS Malaysia Open 2026</t>
  </si>
  <si>
    <t>https://www.vidio.com/live/18250-petronas-malaysia-open-2026-round-of-16-court-2?schedule_id=4832347</t>
  </si>
  <si>
    <t>Nonton streaming pertandingan seru Liu Sheng Shu/Tan Ning (CHN) vs Rui Hirokami/Sayaka Hobara (JPN) - Women's Doubles Round of 16 | PETRONAS Malaysia Open 2026. Saksikan aksi-aksi terbaik dari tim yang bersaing ketat untuk meraih kemenangan. Dapatkan informasi lengkap mengenai jadwal pertandingan dan hasil pertandingan terbaru hanya di Vidio.</t>
  </si>
  <si>
    <t>7344aa25</t>
  </si>
  <si>
    <t>Damac vs Al-Ittihad - ROSHN Saudi League</t>
  </si>
  <si>
    <t>damac fc; al ittihad; sports stream</t>
  </si>
  <si>
    <t>Nonton streaming pertandingan seru Damac vs Al-Ittihad - ROSHN Saudi League. Saksikan aksi-aksi terbaik dari tim yang bersaing ketat untuk meraih kemenangan. Dapatkan informasi lengkap mengenai jadwal pertandingan dan hasil pertandingan terbaru hanya di Vidio.</t>
  </si>
  <si>
    <t>3bdc87cc</t>
  </si>
  <si>
    <t>Al-Ahli vs Al-Taawoun - ROSHN Saudi League</t>
  </si>
  <si>
    <t>al-ahli saudi fc; al-taawoun fc; sports stream</t>
  </si>
  <si>
    <t>Nonton streaming pertandingan seru Al-Ahli vs Al-Taawoun - ROSHN Saudi League. Saksikan aksi-aksi terbaik dari tim yang bersaing ketat untuk meraih kemenangan. Dapatkan informasi lengkap mengenai jadwal pertandingan dan hasil pertandingan terbaru hanya di Vidio.</t>
  </si>
  <si>
    <t>1473806e</t>
  </si>
  <si>
    <t>Lapangan B dan C Komplek GBK Matchday 1 - Liga Topskor Greater Jakarta U-13 &amp; U-15</t>
  </si>
  <si>
    <t>Liga Topskor Greater Jakarta 2026</t>
  </si>
  <si>
    <t>VIDIO - @skorindonesia</t>
  </si>
  <si>
    <t>https://www.vidio.com/live/20266</t>
  </si>
  <si>
    <t>https://drive.google.com/file/d/17nqJ8YbOWxi4DOQmMA4_VvY1qMuE4tM4/view?usp=drive_link</t>
  </si>
  <si>
    <t>Sports &gt; Football &gt; Liga Topskor Greater Jakarta</t>
  </si>
  <si>
    <t>Liga Topskor Greater Jakarta; Liga Topskor Greater Jakarta 2026</t>
  </si>
  <si>
    <t>Liga Topskor</t>
  </si>
  <si>
    <t>Nonton streaming pertandingan seru Lapangan B dan C Komplek GBK Matchday 1 - Liga Topskor Greater Jakarta U-13 &amp; U-15. Saksikan aksi-aksi terbaik dari tim yang bersaing ketat untuk meraih kemenangan. Dapatkan informasi lengkap mengenai jadwal pertandingan dan hasil pertandingan terbaru hanya di Vidio.</t>
  </si>
  <si>
    <t>https://drive.google.com/file/d/17nqJ8YbOWxi4DOQmMA4_VvY1qMuE4tM4/view?usp=sharing</t>
  </si>
  <si>
    <t>1acfe619</t>
  </si>
  <si>
    <t>LAP KOCHI Matchday 1 - Liga Topskor Greater Jakarta U-13</t>
  </si>
  <si>
    <t>https://www.vidio.com/live/20267-liga-topskor-greater-jakarta-pekan-pertama-u-13-lapangan-koci-depok</t>
  </si>
  <si>
    <t>Nonton streaming pertandingan seru LAP KOCHI Matchday 1 - Liga Topskor Greater Jakarta U-13. Saksikan aksi-aksi terbaik dari tim yang bersaing ketat untuk meraih kemenangan. Dapatkan informasi lengkap mengenai jadwal pertandingan dan hasil pertandingan terbaru hanya di Vidio.</t>
  </si>
  <si>
    <t>b1731534</t>
  </si>
  <si>
    <t>Lapangan BIG DEPOK Matchday 1 - Liga Topskor Greater Jakarta U-14</t>
  </si>
  <si>
    <t>https://www.vidio.com/live/20268-topskor-greater-jakarta-pekan-pertama-u-14-lapangan-big-depok</t>
  </si>
  <si>
    <t>Nonton streaming pertandingan seru Lapangan BIG DEPOK Matchday 1 - Liga Topskor Greater Jakarta U-14. Saksikan aksi-aksi terbaik dari tim yang bersaing ketat untuk meraih kemenangan. Dapatkan informasi lengkap mengenai jadwal pertandingan dan hasil pertandingan terbaru hanya di Vidio.</t>
  </si>
  <si>
    <t>9933ad65</t>
  </si>
  <si>
    <t>Lapangan BRIMOB Kedung Halang Matchday 1 - Liga Topskor Greater Jakarta U-14</t>
  </si>
  <si>
    <t>https://www.vidio.com/live/20269-liga-topskor-greater-jakarta-pekan-pertama-u-14-lapangan-kedung-halang</t>
  </si>
  <si>
    <t>Nonton streaming pertandingan seru Lapangan BRIMOB Kedung Halang Matchday 1 - Liga Topskor Greater Jakarta U-14. Saksikan aksi-aksi terbaik dari tim yang bersaing ketat untuk meraih kemenangan. Dapatkan informasi lengkap mengenai jadwal pertandingan dan hasil pertandingan terbaru hanya di Vidio.</t>
  </si>
  <si>
    <t>d84b7ebc</t>
  </si>
  <si>
    <t>Lapangan GMSB Kuningan Matchday 1 - Liga Topskor Greater Jakarta U-15</t>
  </si>
  <si>
    <t>https://www.vidio.com/live/20270</t>
  </si>
  <si>
    <t>Nonton streaming pertandingan seru Lapangan GMSB Kuningan Matchday 1 - Liga Topskor Greater Jakarta U-15. Saksikan aksi-aksi terbaik dari tim yang bersaing ketat untuk meraih kemenangan. Dapatkan informasi lengkap mengenai jadwal pertandingan dan hasil pertandingan terbaru hanya di Vidio.</t>
  </si>
  <si>
    <t>a17e9a41</t>
  </si>
  <si>
    <t>Lapangan ATG Matchday 1 - Liga Topskor Greater Jakarta U-16</t>
  </si>
  <si>
    <t>https://www.vidio.com/live/20271</t>
  </si>
  <si>
    <t>Nonton streaming pertandingan seru Lapangan ATG Matchday 1 - Liga Topskor Greater Jakarta U-16. Saksikan aksi-aksi terbaik dari tim yang bersaing ketat untuk meraih kemenangan. Dapatkan informasi lengkap mengenai jadwal pertandingan dan hasil pertandingan terbaru hanya di Vidio.</t>
  </si>
  <si>
    <t>31e2c06d</t>
  </si>
  <si>
    <t>Lap. Mabes AU Matchday 1 - Liga Topskor Greater Jakarta U-16</t>
  </si>
  <si>
    <t>https://www.vidio.com/live/20273</t>
  </si>
  <si>
    <t>Nonton streaming pertandingan seru Lap. Mabes AU Matchday 1 - Liga Topskor Greater Jakarta U-16. Saksikan aksi-aksi terbaik dari tim yang bersaing ketat untuk meraih kemenangan. Dapatkan informasi lengkap mengenai jadwal pertandingan dan hasil pertandingan terbaru hanya di Vidio.</t>
  </si>
  <si>
    <t>52794afa</t>
  </si>
  <si>
    <t>Lap. TNI Hambalang Matchday 1 - Liga Topskor Greater Jakarta U-17</t>
  </si>
  <si>
    <t>https://www.vidio.com/live/20274</t>
  </si>
  <si>
    <t>Nonton streaming pertandingan seru Lap. TNI Hambalang Matchday 1 - Liga Topskor Greater Jakarta U-17. Saksikan aksi-aksi terbaik dari tim yang bersaing ketat untuk meraih kemenangan. Dapatkan informasi lengkap mengenai jadwal pertandingan dan hasil pertandingan terbaru hanya di Vidio.</t>
  </si>
  <si>
    <t>e1af4019</t>
  </si>
  <si>
    <t>ASIOP Biru vs Java Soccer - Liga Topskor Greater Jakarta U-17</t>
  </si>
  <si>
    <t>https://www.vidio.com/live/20274?schedule_id=4833822</t>
  </si>
  <si>
    <t>Nonton streaming pertandingan seru ASIOP Biru vs Java Soccer - Liga Topskor Greater Jakarta U-17. Saksikan aksi-aksi terbaik dari tim yang bersaing ketat untuk meraih kemenangan. Dapatkan informasi lengkap mengenai jadwal pertandingan dan hasil pertandingan terbaru hanya di Vidio.</t>
  </si>
  <si>
    <t>742eadc7</t>
  </si>
  <si>
    <t>Ganendra Satya vs I M Utara - Liga Topskor Greater Jakarta U-17</t>
  </si>
  <si>
    <t>https://www.vidio.com/live/20274?schedule_id=4833821</t>
  </si>
  <si>
    <t>Nonton streaming pertandingan seru Ganendra Satya vs I M Utara - Liga Topskor Greater Jakarta U-17. Saksikan aksi-aksi terbaik dari tim yang bersaing ketat untuk meraih kemenangan. Dapatkan informasi lengkap mengenai jadwal pertandingan dan hasil pertandingan terbaru hanya di Vidio.</t>
  </si>
  <si>
    <t>bcc15ad4</t>
  </si>
  <si>
    <t>Erlangga vs Stellford United - Liga Topskor Greater Jakarta U-17</t>
  </si>
  <si>
    <t>https://www.vidio.com/live/20274?schedule_id=4833820</t>
  </si>
  <si>
    <t>Nonton streaming pertandingan seru Erlangga vs Stellford United - Liga Topskor Greater Jakarta U-17. Saksikan aksi-aksi terbaik dari tim yang bersaing ketat untuk meraih kemenangan. Dapatkan informasi lengkap mengenai jadwal pertandingan dan hasil pertandingan terbaru hanya di Vidio.</t>
  </si>
  <si>
    <t>f60d38ad</t>
  </si>
  <si>
    <t>Young Tiger vs Semen Padang - Liga Topskor Greater Jakarta U-17</t>
  </si>
  <si>
    <t>https://www.vidio.com/live/20274?schedule_id=4833819</t>
  </si>
  <si>
    <t>Nonton streaming pertandingan seru Young Tiger vs Semen Padang - Liga Topskor Greater Jakarta U-17. Saksikan aksi-aksi terbaik dari tim yang bersaing ketat untuk meraih kemenangan. Dapatkan informasi lengkap mengenai jadwal pertandingan dan hasil pertandingan terbaru hanya di Vidio.</t>
  </si>
  <si>
    <t>52b615a5</t>
  </si>
  <si>
    <t>Putra Sejati vs Nova Arianto - Liga Topskor Greater Jakarta U-17</t>
  </si>
  <si>
    <t>https://www.vidio.com/live/20274?schedule_id=4833818</t>
  </si>
  <si>
    <t>Nonton streaming pertandingan seru Putra Sejati vs Nova Arianto - Liga Topskor Greater Jakarta U-17. Saksikan aksi-aksi terbaik dari tim yang bersaing ketat untuk meraih kemenangan. Dapatkan informasi lengkap mengenai jadwal pertandingan dan hasil pertandingan terbaru hanya di Vidio.</t>
  </si>
  <si>
    <t>49b70902</t>
  </si>
  <si>
    <t>Nawasena vs Ricky Nelson - Liga Topskor Greater Jakarta U-17</t>
  </si>
  <si>
    <t>https://www.vidio.com/live/20274?schedule_id=4833823</t>
  </si>
  <si>
    <t>Nonton streaming pertandingan seru Nawasena vs Ricky Nelson - Liga Topskor Greater Jakarta U-17. Saksikan aksi-aksi terbaik dari tim yang bersaing ketat untuk meraih kemenangan. Dapatkan informasi lengkap mengenai jadwal pertandingan dan hasil pertandingan terbaru hanya di Vidio.</t>
  </si>
  <si>
    <t>9d98adaa</t>
  </si>
  <si>
    <t>Forsgi vs Samurai United - Liga Topskor Greater Jakarta U-14</t>
  </si>
  <si>
    <t>https://www.vidio.com/live/20269-liga-topskor-greater-jakarta-pekan-pertama-u-14-lapangan-kedung-halang?schedule_id=4833850</t>
  </si>
  <si>
    <t>Nonton streaming pertandingan seru Forsgi vs Samurai United - Liga Topskor Greater Jakarta U-14. Saksikan aksi-aksi terbaik dari tim yang bersaing ketat untuk meraih kemenangan. Dapatkan informasi lengkap mengenai jadwal pertandingan dan hasil pertandingan terbaru hanya di Vidio.</t>
  </si>
  <si>
    <t>feda6db4</t>
  </si>
  <si>
    <t>Prahara vs Labskills Jakarta - Liga Topskor Greater Jakarta U-14</t>
  </si>
  <si>
    <t>https://www.vidio.com/live/20269-liga-topskor-greater-jakarta-pekan-pertama-u-14-lapangan-kedung-halang?schedule_id=4833851</t>
  </si>
  <si>
    <t>Nonton streaming pertandingan seru Prahara vs Labskills Jakarta - Liga Topskor Greater Jakarta U-14. Saksikan aksi-aksi terbaik dari tim yang bersaing ketat untuk meraih kemenangan. Dapatkan informasi lengkap mengenai jadwal pertandingan dan hasil pertandingan terbaru hanya di Vidio.</t>
  </si>
  <si>
    <t>63383a15</t>
  </si>
  <si>
    <t>Diklat Isa vs Khenzi United - Liga Topskor Greater Jakarta U-13</t>
  </si>
  <si>
    <t>https://www.vidio.com/live/20267-liga-topskor-greater-jakarta-pekan-pertama-u-13-lapangan-koci-depok?schedule_id=4833824</t>
  </si>
  <si>
    <t>Nonton streaming pertandingan seru Diklat Isa vs Khenzi United - Liga Topskor Greater Jakarta U-13. Saksikan aksi-aksi terbaik dari tim yang bersaing ketat untuk meraih kemenangan. Dapatkan informasi lengkap mengenai jadwal pertandingan dan hasil pertandingan terbaru hanya di Vidio.</t>
  </si>
  <si>
    <t>5c0fcac3</t>
  </si>
  <si>
    <t>Mavericks vs M’Private - Liga Topskor Greater Jakarta U-14</t>
  </si>
  <si>
    <t>https://www.vidio.com/live/20269-liga-topskor-greater-jakarta-pekan-pertama-u-14-lapangan-kedung-halang?schedule_id=4833852</t>
  </si>
  <si>
    <t>Nonton streaming pertandingan seru Mavericks vs M’Private - Liga Topskor Greater Jakarta U-14. Saksikan aksi-aksi terbaik dari tim yang bersaing ketat untuk meraih kemenangan. Dapatkan informasi lengkap mengenai jadwal pertandingan dan hasil pertandingan terbaru hanya di Vidio.</t>
  </si>
  <si>
    <t>0875b38e</t>
  </si>
  <si>
    <t>Prahara Ciampea vs Erlangga FA - Liga Topskor Greater Jakarta U-13</t>
  </si>
  <si>
    <t>https://www.vidio.com/live/20267-liga-topskor-greater-jakarta-pekan-pertama-u-13-lapangan-koci-depok?schedule_id=4833825</t>
  </si>
  <si>
    <t>Nonton streaming pertandingan seru Prahara Ciampea vs Erlangga FA - Liga Topskor Greater Jakarta U-13. Saksikan aksi-aksi terbaik dari tim yang bersaing ketat untuk meraih kemenangan. Dapatkan informasi lengkap mengenai jadwal pertandingan dan hasil pertandingan terbaru hanya di Vidio.</t>
  </si>
  <si>
    <t>92040325</t>
  </si>
  <si>
    <t>Young Tiger vs FFF Academy - Liga Topskor Greater Jakarta U-13</t>
  </si>
  <si>
    <t>https://www.vidio.com/live/20267-liga-topskor-greater-jakarta-pekan-pertama-u-13-lapangan-koci-depok?schedule_id=4833826</t>
  </si>
  <si>
    <t>Nonton streaming pertandingan seru Young Tiger vs FFF Academy - Liga Topskor Greater Jakarta U-13. Saksikan aksi-aksi terbaik dari tim yang bersaing ketat untuk meraih kemenangan. Dapatkan informasi lengkap mengenai jadwal pertandingan dan hasil pertandingan terbaru hanya di Vidio.</t>
  </si>
  <si>
    <t>13b6916f</t>
  </si>
  <si>
    <t>Bina Taruna vs Golden Boy SS - Liga Topskor Greater Jakarta U-13</t>
  </si>
  <si>
    <t>https://www.vidio.com/live/20267-liga-topskor-greater-jakarta-pekan-pertama-u-13-lapangan-koci-depok?schedule_id=4833827</t>
  </si>
  <si>
    <t>Nonton streaming pertandingan seru Bina Taruna vs Golden Boy SS - Liga Topskor Greater Jakarta U-13. Saksikan aksi-aksi terbaik dari tim yang bersaing ketat untuk meraih kemenangan. Dapatkan informasi lengkap mengenai jadwal pertandingan dan hasil pertandingan terbaru hanya di Vidio.</t>
  </si>
  <si>
    <t>fd0487db</t>
  </si>
  <si>
    <t>Asad Purwakarta vs Kisen FC - Liga Topskor Greater Jakarta U-13</t>
  </si>
  <si>
    <t>https://www.vidio.com/live/20267-liga-topskor-greater-jakarta-pekan-pertama-u-13-lapangan-koci-depok?schedule_id=4833828</t>
  </si>
  <si>
    <t>Nonton streaming pertandingan seru Asad Purwakarta vs Kisen FC - Liga Topskor Greater Jakarta U-13. Saksikan aksi-aksi terbaik dari tim yang bersaing ketat untuk meraih kemenangan. Dapatkan informasi lengkap mengenai jadwal pertandingan dan hasil pertandingan terbaru hanya di Vidio.</t>
  </si>
  <si>
    <t>9cf13953</t>
  </si>
  <si>
    <t>Salfas Soccer vs Alaska Cikempong - Liga Topskor Greater Jakarta U-14</t>
  </si>
  <si>
    <t>https://www.vidio.com/live/20269-liga-topskor-greater-jakarta-pekan-pertama-u-14-lapangan-kedung-halang?schedule_id=4833853</t>
  </si>
  <si>
    <t>Nonton streaming pertandingan seru Salfas Soccer vs Alaska Cikempong - Liga Topskor Greater Jakarta U-14. Saksikan aksi-aksi terbaik dari tim yang bersaing ketat untuk meraih kemenangan. Dapatkan informasi lengkap mengenai jadwal pertandingan dan hasil pertandingan terbaru hanya di Vidio.</t>
  </si>
  <si>
    <t>a4b4223f</t>
  </si>
  <si>
    <t>Bimba AIUEO vs Bina Patra Fantasista - Liga Topskor Greater Jakarta U-13</t>
  </si>
  <si>
    <t>https://www.vidio.com/live/20267-liga-topskor-greater-jakarta-pekan-pertama-u-13-lapangan-koci-depok?schedule_id=4833829</t>
  </si>
  <si>
    <t>Nonton streaming pertandingan seru Bimba AIUEO vs Bina Patra Fantasista - Liga Topskor Greater Jakarta U-13. Saksikan aksi-aksi terbaik dari tim yang bersaing ketat untuk meraih kemenangan. Dapatkan informasi lengkap mengenai jadwal pertandingan dan hasil pertandingan terbaru hanya di Vidio.</t>
  </si>
  <si>
    <t>6a51949c</t>
  </si>
  <si>
    <t>Mastabe vs Asad Purwakarta - Liga Topskor Greater Jakarta U-14</t>
  </si>
  <si>
    <t>https://www.vidio.com/live/20269-liga-topskor-greater-jakarta-pekan-pertama-u-14-lapangan-kedung-halang?schedule_id=4833855</t>
  </si>
  <si>
    <t>Nonton streaming pertandingan seru Mastabe vs Asad Purwakarta - Liga Topskor Greater Jakarta U-14. Saksikan aksi-aksi terbaik dari tim yang bersaing ketat untuk meraih kemenangan. Dapatkan informasi lengkap mengenai jadwal pertandingan dan hasil pertandingan terbaru hanya di Vidio.</t>
  </si>
  <si>
    <t>5f40c852</t>
  </si>
  <si>
    <t>Tunas Cileungsi vs PNB Cianjur - Liga Topskor Greater Jakarta U-14</t>
  </si>
  <si>
    <t>https://www.vidio.com/live/20269-liga-topskor-greater-jakarta-pekan-pertama-u-14-lapangan-kedung-halang?schedule_id=4833859</t>
  </si>
  <si>
    <t>Nonton streaming pertandingan seru Tunas Cileungsi vs PNB Cianjur - Liga Topskor Greater Jakarta U-14. Saksikan aksi-aksi terbaik dari tim yang bersaing ketat untuk meraih kemenangan. Dapatkan informasi lengkap mengenai jadwal pertandingan dan hasil pertandingan terbaru hanya di Vidio.</t>
  </si>
  <si>
    <t>65d4e2c7</t>
  </si>
  <si>
    <t>ASIOP Merah vs Young Warrior - Liga Topskor Greater Jakarta U-14</t>
  </si>
  <si>
    <t>https://www.vidio.com/live/20268-topskor-greater-jakarta-pekan-pertama-u-14-lapangan-big-depok?schedule_id=4833864</t>
  </si>
  <si>
    <t>Nonton streaming pertandingan seru ASIOP Merah vs Young Warrior - Liga Topskor Greater Jakarta U-14. Saksikan aksi-aksi terbaik dari tim yang bersaing ketat untuk meraih kemenangan. Dapatkan informasi lengkap mengenai jadwal pertandingan dan hasil pertandingan terbaru hanya di Vidio.</t>
  </si>
  <si>
    <t>b972e074</t>
  </si>
  <si>
    <t>Cartoon RPJ vs Abinaya SS - Liga Topskor Greater Jakarta U-14</t>
  </si>
  <si>
    <t>https://www.vidio.com/live/20268-topskor-greater-jakarta-pekan-pertama-u-14-lapangan-big-depok?schedule_id=4833865</t>
  </si>
  <si>
    <t>Nonton streaming pertandingan seru Cartoon RPJ vs Abinaya SS - Liga Topskor Greater Jakarta U-14. Saksikan aksi-aksi terbaik dari tim yang bersaing ketat untuk meraih kemenangan. Dapatkan informasi lengkap mengenai jadwal pertandingan dan hasil pertandingan terbaru hanya di Vidio.</t>
  </si>
  <si>
    <t>3d727486</t>
  </si>
  <si>
    <t>Binna Banua vs Tunas Betawi - Liga Topskor Greater Jakarta U-15</t>
  </si>
  <si>
    <t>https://www.vidio.com/live/20270?schedule_id=4833861</t>
  </si>
  <si>
    <t>Nonton streaming pertandingan seru Binna Banua vs Tunas Betawi - Liga Topskor Greater Jakarta U-15. Saksikan aksi-aksi terbaik dari tim yang bersaing ketat untuk meraih kemenangan. Dapatkan informasi lengkap mengenai jadwal pertandingan dan hasil pertandingan terbaru hanya di Vidio.</t>
  </si>
  <si>
    <t>6bcee60a</t>
  </si>
  <si>
    <t>Kameha C4 vs Nawasena - Liga Topskor Greater Jakarta U-14</t>
  </si>
  <si>
    <t>https://www.vidio.com/live/20268-topskor-greater-jakarta-pekan-pertama-u-14-lapangan-big-depok?schedule_id=4833866</t>
  </si>
  <si>
    <t>Nonton streaming pertandingan seru Kameha C4 vs Nawasena - Liga Topskor Greater Jakarta U-14. Saksikan aksi-aksi terbaik dari tim yang bersaing ketat untuk meraih kemenangan. Dapatkan informasi lengkap mengenai jadwal pertandingan dan hasil pertandingan terbaru hanya di Vidio.</t>
  </si>
  <si>
    <t>d3593301</t>
  </si>
  <si>
    <t>Bimba AIUEO vs M Private - Liga Topskor Greater Jakarta U-15</t>
  </si>
  <si>
    <t>https://www.vidio.com/live/20270?schedule_id=4833860</t>
  </si>
  <si>
    <t>Nonton streaming pertandingan seru Bimba AIUEO vs M Private - Liga Topskor Greater Jakarta U-15. Saksikan aksi-aksi terbaik dari tim yang bersaing ketat untuk meraih kemenangan. Dapatkan informasi lengkap mengenai jadwal pertandingan dan hasil pertandingan terbaru hanya di Vidio.</t>
  </si>
  <si>
    <t>7b974cad</t>
  </si>
  <si>
    <t>JAS vs Diklat ISA - Liga Topskor Greater Jakarta U-14</t>
  </si>
  <si>
    <t>https://www.vidio.com/live/20268-topskor-greater-jakarta-pekan-pertama-u-14-lapangan-big-depok?schedule_id=4833867</t>
  </si>
  <si>
    <t>Nonton streaming pertandingan seru JAS vs Diklat ISA - Liga Topskor Greater Jakarta U-14. Saksikan aksi-aksi terbaik dari tim yang bersaing ketat untuk meraih kemenangan. Dapatkan informasi lengkap mengenai jadwal pertandingan dan hasil pertandingan terbaru hanya di Vidio.</t>
  </si>
  <si>
    <t>d8b2cf59</t>
  </si>
  <si>
    <t>Asiop vs Tajimalela - Liga Topskor Greater Jakarta U-16</t>
  </si>
  <si>
    <t>https://www.vidio.com/live/20271?schedule_id=4833835</t>
  </si>
  <si>
    <t>Nonton streaming pertandingan seru Asiop vs Tajimalela - Liga Topskor Greater Jakarta U-16. Saksikan aksi-aksi terbaik dari tim yang bersaing ketat untuk meraih kemenangan. Dapatkan informasi lengkap mengenai jadwal pertandingan dan hasil pertandingan terbaru hanya di Vidio.</t>
  </si>
  <si>
    <t>0f8f12c7</t>
  </si>
  <si>
    <t>Asiop FA vs Asiana - Liga Topskor Greater Jakarta U-15</t>
  </si>
  <si>
    <t>https://www.vidio.com/live/20270?schedule_id=4833858</t>
  </si>
  <si>
    <t>Nonton streaming pertandingan seru Asiop FA vs Asiana - Liga Topskor Greater Jakarta U-15. Saksikan aksi-aksi terbaik dari tim yang bersaing ketat untuk meraih kemenangan. Dapatkan informasi lengkap mengenai jadwal pertandingan dan hasil pertandingan terbaru hanya di Vidio.</t>
  </si>
  <si>
    <t>35c2d7c7</t>
  </si>
  <si>
    <t>Nawasena vs TMP Merah - Liga Topskor Greater Jakarta U-16</t>
  </si>
  <si>
    <t>https://www.vidio.com/live/20271?schedule_id=4833836</t>
  </si>
  <si>
    <t>Nonton streaming pertandingan seru Nawasena vs TMP Merah - Liga Topskor Greater Jakarta U-16. Saksikan aksi-aksi terbaik dari tim yang bersaing ketat untuk meraih kemenangan. Dapatkan informasi lengkap mengenai jadwal pertandingan dan hasil pertandingan terbaru hanya di Vidio.</t>
  </si>
  <si>
    <t>29ace2d3</t>
  </si>
  <si>
    <t>Fifa Farmel vs Newland - Liga Topskor Greater Jakarta U-15</t>
  </si>
  <si>
    <t>https://www.vidio.com/live/20270?schedule_id=4833857</t>
  </si>
  <si>
    <t>Nonton streaming pertandingan seru Fifa Farmel vs Newland - Liga Topskor Greater Jakarta U-15. Saksikan aksi-aksi terbaik dari tim yang bersaing ketat untuk meraih kemenangan. Dapatkan informasi lengkap mengenai jadwal pertandingan dan hasil pertandingan terbaru hanya di Vidio.</t>
  </si>
  <si>
    <t>692305fb</t>
  </si>
  <si>
    <t>Serang City vs Bimba - Liga Topskor Greater Jakarta U-16</t>
  </si>
  <si>
    <t>https://www.vidio.com/live/20271?schedule_id=4833837</t>
  </si>
  <si>
    <t>Nonton streaming pertandingan seru Serang City vs Bimba - Liga Topskor Greater Jakarta U-16. Saksikan aksi-aksi terbaik dari tim yang bersaing ketat untuk meraih kemenangan. Dapatkan informasi lengkap mengenai jadwal pertandingan dan hasil pertandingan terbaru hanya di Vidio.</t>
  </si>
  <si>
    <t>49e56fa4</t>
  </si>
  <si>
    <t>Young Tiger vs Diklat Isa - Liga Topskor Greater Jakarta U-15</t>
  </si>
  <si>
    <t>https://www.vidio.com/live/20270?schedule_id=4833856</t>
  </si>
  <si>
    <t>Nonton streaming pertandingan seru Young Tiger vs Diklat Isa - Liga Topskor Greater Jakarta U-15. Saksikan aksi-aksi terbaik dari tim yang bersaing ketat untuk meraih kemenangan. Dapatkan informasi lengkap mengenai jadwal pertandingan dan hasil pertandingan terbaru hanya di Vidio.</t>
  </si>
  <si>
    <t>910bef60</t>
  </si>
  <si>
    <t>Mastabe vs Tajimalela Biru - Liga Topskor Greater Jakarta U-15</t>
  </si>
  <si>
    <t>https://www.vidio.com/live/20270?schedule_id=4833854</t>
  </si>
  <si>
    <t>Nonton streaming pertandingan seru Mastabe vs Tajimalela Biru - Liga Topskor Greater Jakarta U-15. Saksikan aksi-aksi terbaik dari tim yang bersaing ketat untuk meraih kemenangan. Dapatkan informasi lengkap mengenai jadwal pertandingan dan hasil pertandingan terbaru hanya di Vidio.</t>
  </si>
  <si>
    <t>5c982ac5</t>
  </si>
  <si>
    <t>Diklat ISA vs Assa Pro - Liga Topskor Greater Jakarta U-16</t>
  </si>
  <si>
    <t>https://www.vidio.com/live/20271?schedule_id=4833838</t>
  </si>
  <si>
    <t>Nonton streaming pertandingan seru Diklat ISA vs Assa Pro - Liga Topskor Greater Jakarta U-16. Saksikan aksi-aksi terbaik dari tim yang bersaing ketat untuk meraih kemenangan. Dapatkan informasi lengkap mengenai jadwal pertandingan dan hasil pertandingan terbaru hanya di Vidio.</t>
  </si>
  <si>
    <t>a730d6bf</t>
  </si>
  <si>
    <t>Farmel vs Sukabumi FA - Liga Topskor Greater Jakarta U-16</t>
  </si>
  <si>
    <t>https://www.vidio.com/live/20271?schedule_id=4833839</t>
  </si>
  <si>
    <t>Nonton streaming pertandingan seru Farmel vs Sukabumi FA - Liga Topskor Greater Jakarta U-16. Saksikan aksi-aksi terbaik dari tim yang bersaing ketat untuk meraih kemenangan. Dapatkan informasi lengkap mengenai jadwal pertandingan dan hasil pertandingan terbaru hanya di Vidio.</t>
  </si>
  <si>
    <t>97aa2fce</t>
  </si>
  <si>
    <t>Ricky Nelson Academy vs Bogor Football School - Liga Topskor Greater Jakarta U-15</t>
  </si>
  <si>
    <t>https://www.vidio.com/live/20266?schedule_id=4833840</t>
  </si>
  <si>
    <t>Nonton streaming pertandingan seru Ricky Nelson Academy vs Bogor Football School - Liga Topskor Greater Jakarta U-15. Saksikan aksi-aksi terbaik dari tim yang bersaing ketat untuk meraih kemenangan. Dapatkan informasi lengkap mengenai jadwal pertandingan dan hasil pertandingan terbaru hanya di Vidio.</t>
  </si>
  <si>
    <t>5c4f49b4</t>
  </si>
  <si>
    <t>Prahara vs Asiop Biru - Liga Topskor Greater Jakarta U-15</t>
  </si>
  <si>
    <t>https://www.vidio.com/live/20266?schedule_id=4833841</t>
  </si>
  <si>
    <t>Nonton streaming pertandingan seru Prahara vs Asiop Biru - Liga Topskor Greater Jakarta U-15. Saksikan aksi-aksi terbaik dari tim yang bersaing ketat untuk meraih kemenangan. Dapatkan informasi lengkap mengenai jadwal pertandingan dan hasil pertandingan terbaru hanya di Vidio.</t>
  </si>
  <si>
    <t>ba1e0334</t>
  </si>
  <si>
    <t>Jakarta Academy Soccer vs Citra Muda - Liga Topskor Greater Jakarta U-13</t>
  </si>
  <si>
    <t>https://www.vidio.com/live/20266?schedule_id=4833842</t>
  </si>
  <si>
    <t>Nonton streaming pertandingan seru Jakarta Academy Soccer vs Citra Muda - Liga Topskor Greater Jakarta U-13. Saksikan aksi-aksi terbaik dari tim yang bersaing ketat untuk meraih kemenangan. Dapatkan informasi lengkap mengenai jadwal pertandingan dan hasil pertandingan terbaru hanya di Vidio.</t>
  </si>
  <si>
    <t>aa274bbb</t>
  </si>
  <si>
    <t>Binna Banua vs Fifa Farmel - Liga Topskor Greater Jakarta U-13</t>
  </si>
  <si>
    <t>https://www.vidio.com/live/20266?schedule_id=4833843</t>
  </si>
  <si>
    <t>Nonton streaming pertandingan seru Binna Banua vs Fifa Farmel - Liga Topskor Greater Jakarta U-13. Saksikan aksi-aksi terbaik dari tim yang bersaing ketat untuk meraih kemenangan. Dapatkan informasi lengkap mengenai jadwal pertandingan dan hasil pertandingan terbaru hanya di Vidio.</t>
  </si>
  <si>
    <t>ff2182b3</t>
  </si>
  <si>
    <t>Asiop Merah vs Asiop Biru - Liga Topskor Greater Jakarta U-13</t>
  </si>
  <si>
    <t>https://www.vidio.com/live/20266?schedule_id=4833844</t>
  </si>
  <si>
    <t>Nonton streaming pertandingan seru Asiop Merah vs Asiop Biru - Liga Topskor Greater Jakarta U-13. Saksikan aksi-aksi terbaik dari tim yang bersaing ketat untuk meraih kemenangan. Dapatkan informasi lengkap mengenai jadwal pertandingan dan hasil pertandingan terbaru hanya di Vidio.</t>
  </si>
  <si>
    <t>abddbd40</t>
  </si>
  <si>
    <t>LAPANGAN ATG SENTUL Matchday 1 - Liga Topskor Greater Jakarta  U-10, U-11, &amp; U-12</t>
  </si>
  <si>
    <t>https://www.vidio.com/live/20275</t>
  </si>
  <si>
    <t>Nonton streaming pertandingan seru LAPANGAN ATG SENTUL Matchday 1 - Liga Topskor Greater Jakarta  U-10, U-11, &amp; U-12. Saksikan aksi-aksi terbaik dari tim yang bersaing ketat untuk meraih kemenangan. Dapatkan informasi lengkap mengenai jadwal pertandingan dan hasil pertandingan terbaru hanya di Vidio.</t>
  </si>
  <si>
    <t>57df0193</t>
  </si>
  <si>
    <t>Asiop Biru vs Asiop Merah - Liga Topskor Greater Jakarta U-10</t>
  </si>
  <si>
    <t>https://www.vidio.com/live/20275?schedule_id=4833869</t>
  </si>
  <si>
    <t>Nonton streaming pertandingan seru Asiop Biru vs Asiop Merah - Liga Topskor Greater Jakarta U-10. Saksikan aksi-aksi terbaik dari tim yang bersaing ketat untuk meraih kemenangan. Dapatkan informasi lengkap mengenai jadwal pertandingan dan hasil pertandingan terbaru hanya di Vidio.</t>
  </si>
  <si>
    <t>b22675b8</t>
  </si>
  <si>
    <t>Asia FS vs Asiop Biru - Liga Topskor Greater Jakarta U-11</t>
  </si>
  <si>
    <t>https://www.vidio.com/live/20275?schedule_id=4833870</t>
  </si>
  <si>
    <t>Nonton streaming pertandingan seru Asia FS vs Asiop Biru - Liga Topskor Greater Jakarta U-11. Saksikan aksi-aksi terbaik dari tim yang bersaing ketat untuk meraih kemenangan. Dapatkan informasi lengkap mengenai jadwal pertandingan dan hasil pertandingan terbaru hanya di Vidio.</t>
  </si>
  <si>
    <t>f35cd1b7</t>
  </si>
  <si>
    <t>Cibinong Poetra vs Putra Sejati - Liga Topskor Greater Jakarta U-10</t>
  </si>
  <si>
    <t>https://www.vidio.com/live/20275?schedule_id=4833871</t>
  </si>
  <si>
    <t>Nonton streaming pertandingan seru Cibinong Poetra vs Putra Sejati - Liga Topskor Greater Jakarta U-10. Saksikan aksi-aksi terbaik dari tim yang bersaing ketat untuk meraih kemenangan. Dapatkan informasi lengkap mengenai jadwal pertandingan dan hasil pertandingan terbaru hanya di Vidio.</t>
  </si>
  <si>
    <t>ff55f204</t>
  </si>
  <si>
    <t>Batalyon vs Mavericks - Liga Topskor Greater Jakarta U-11</t>
  </si>
  <si>
    <t>https://www.vidio.com/live/20275?schedule_id=4833872</t>
  </si>
  <si>
    <t>Nonton streaming pertandingan seru Batalyon vs Mavericks - Liga Topskor Greater Jakarta U-11. Saksikan aksi-aksi terbaik dari tim yang bersaing ketat untuk meraih kemenangan. Dapatkan informasi lengkap mengenai jadwal pertandingan dan hasil pertandingan terbaru hanya di Vidio.</t>
  </si>
  <si>
    <t>cd115963</t>
  </si>
  <si>
    <t>Asiop Biru vs Bina Patra - Liga Topskor Greater Jakarta U-10</t>
  </si>
  <si>
    <t>https://www.vidio.com/live/20275?schedule_id=4833873</t>
  </si>
  <si>
    <t>Nonton streaming pertandingan seru Asiop Biru vs Bina Patra - Liga Topskor Greater Jakarta U-10. Saksikan aksi-aksi terbaik dari tim yang bersaing ketat untuk meraih kemenangan. Dapatkan informasi lengkap mengenai jadwal pertandingan dan hasil pertandingan terbaru hanya di Vidio.</t>
  </si>
  <si>
    <t>b08cd619</t>
  </si>
  <si>
    <t>Binna Banua vs Ganador - Liga Topskor Greater Jakarta U-11</t>
  </si>
  <si>
    <t>https://www.vidio.com/live/20275?schedule_id=4833874</t>
  </si>
  <si>
    <t>Nonton streaming pertandingan seru Binna Banua vs Ganador - Liga Topskor Greater Jakarta U-11. Saksikan aksi-aksi terbaik dari tim yang bersaing ketat untuk meraih kemenangan. Dapatkan informasi lengkap mengenai jadwal pertandingan dan hasil pertandingan terbaru hanya di Vidio.</t>
  </si>
  <si>
    <t>5b551d18</t>
  </si>
  <si>
    <t>Cibinong Poetra vs Assa Pro - Liga Topskor Greater Jakarta U-10</t>
  </si>
  <si>
    <t>https://www.vidio.com/live/20275?schedule_id=4833875</t>
  </si>
  <si>
    <t>Nonton streaming pertandingan seru Cibinong Poetra vs Assa Pro - Liga Topskor Greater Jakarta U-10. Saksikan aksi-aksi terbaik dari tim yang bersaing ketat untuk meraih kemenangan. Dapatkan informasi lengkap mengenai jadwal pertandingan dan hasil pertandingan terbaru hanya di Vidio.</t>
  </si>
  <si>
    <t>b2960b62</t>
  </si>
  <si>
    <t>Assa Pro vs Tajimalela - Liga Topskor Greater Jakarta U-11</t>
  </si>
  <si>
    <t>https://www.vidio.com/live/20275?schedule_id=4833876</t>
  </si>
  <si>
    <t>Nonton streaming pertandingan seru Assa Pro vs Tajimalela - Liga Topskor Greater Jakarta U-11. Saksikan aksi-aksi terbaik dari tim yang bersaing ketat untuk meraih kemenangan. Dapatkan informasi lengkap mengenai jadwal pertandingan dan hasil pertandingan terbaru hanya di Vidio.</t>
  </si>
  <si>
    <t>06c9c12f</t>
  </si>
  <si>
    <t>Binna Banua vs Gapura Academy - Liga Topskor Greater Jakarta U-10</t>
  </si>
  <si>
    <t>https://www.vidio.com/live/20275?schedule_id=4833877</t>
  </si>
  <si>
    <t>Nonton streaming pertandingan seru Binna Banua vs Gapura Academy - Liga Topskor Greater Jakarta U-10. Saksikan aksi-aksi terbaik dari tim yang bersaing ketat untuk meraih kemenangan. Dapatkan informasi lengkap mengenai jadwal pertandingan dan hasil pertandingan terbaru hanya di Vidio.</t>
  </si>
  <si>
    <t>d91d2b56</t>
  </si>
  <si>
    <t>Asiop Merah vs CS Private - Liga Topskor Greater Jakarta U-12</t>
  </si>
  <si>
    <t>https://www.vidio.com/live/20275?schedule_id=4833878</t>
  </si>
  <si>
    <t>Nonton streaming pertandingan seru Asiop Merah vs CS Private - Liga Topskor Greater Jakarta U-12. Saksikan aksi-aksi terbaik dari tim yang bersaing ketat untuk meraih kemenangan. Dapatkan informasi lengkap mengenai jadwal pertandingan dan hasil pertandingan terbaru hanya di Vidio.</t>
  </si>
  <si>
    <t>5c5f754f</t>
  </si>
  <si>
    <t>Bina Patra vs RDC Pratama - Liga Topskor Greater Jakarta U-12</t>
  </si>
  <si>
    <t>https://www.vidio.com/live/20275?schedule_id=4833879</t>
  </si>
  <si>
    <t>Nonton streaming pertandingan seru Bina Patra vs RDC Pratama - Liga Topskor Greater Jakarta U-12. Saksikan aksi-aksi terbaik dari tim yang bersaing ketat untuk meraih kemenangan. Dapatkan informasi lengkap mengenai jadwal pertandingan dan hasil pertandingan terbaru hanya di Vidio.</t>
  </si>
  <si>
    <t>0cc977a5</t>
  </si>
  <si>
    <t>Defenders vs Java Soccer Academy - Liga Topskor Greater Jakarta U-12</t>
  </si>
  <si>
    <t>https://www.vidio.com/live/20275?schedule_id=4833880</t>
  </si>
  <si>
    <t>Nonton streaming pertandingan seru Defenders vs Java Soccer Academy - Liga Topskor Greater Jakarta U-12. Saksikan aksi-aksi terbaik dari tim yang bersaing ketat untuk meraih kemenangan. Dapatkan informasi lengkap mengenai jadwal pertandingan dan hasil pertandingan terbaru hanya di Vidio.</t>
  </si>
  <si>
    <t>6dd807bc</t>
  </si>
  <si>
    <t>Asiop Merah vs Beringin Pratama - Liga Topskor Greater Jakarta U-12</t>
  </si>
  <si>
    <t>https://www.vidio.com/live/20275?schedule_id=4833881</t>
  </si>
  <si>
    <t>Nonton streaming pertandingan seru Asiop Merah vs Beringin Pratama - Liga Topskor Greater Jakarta U-12. Saksikan aksi-aksi terbaik dari tim yang bersaing ketat untuk meraih kemenangan. Dapatkan informasi lengkap mengenai jadwal pertandingan dan hasil pertandingan terbaru hanya di Vidio.</t>
  </si>
  <si>
    <t>130cd8ff</t>
  </si>
  <si>
    <t>Bina Patra vs Sahabat Muda Purwakar - Liga Topskor Greater Jakarta U-12</t>
  </si>
  <si>
    <t>https://www.vidio.com/live/20275?schedule_id=4833882</t>
  </si>
  <si>
    <t>Nonton streaming pertandingan seru Bina Patra vs Sahabat Muda Purwakar - Liga Topskor Greater Jakarta U-12. Saksikan aksi-aksi terbaik dari tim yang bersaing ketat untuk meraih kemenangan. Dapatkan informasi lengkap mengenai jadwal pertandingan dan hasil pertandingan terbaru hanya di Vidio.</t>
  </si>
  <si>
    <t>91ea450c</t>
  </si>
  <si>
    <t>Defenders vs Newland - Liga Topskor Greater Jakarta U-12</t>
  </si>
  <si>
    <t>https://www.vidio.com/live/20275?schedule_id=4833883</t>
  </si>
  <si>
    <t>Nonton streaming pertandingan seru Defenders vs Newland - Liga Topskor Greater Jakarta U-12. Saksikan aksi-aksi terbaik dari tim yang bersaing ketat untuk meraih kemenangan. Dapatkan informasi lengkap mengenai jadwal pertandingan dan hasil pertandingan terbaru hanya di Vidio.</t>
  </si>
  <si>
    <t>cd01039a</t>
  </si>
  <si>
    <t>LAPANGAN B Komplek GBK Matchday 1 - Liga Topskor Greater Jakarta U-13</t>
  </si>
  <si>
    <t>https://www.vidio.com/live/20277</t>
  </si>
  <si>
    <t>Nonton streaming pertandingan seru LAPANGAN B Komplek GBK Matchday 1 - Liga Topskor Greater Jakarta U-13. Saksikan aksi-aksi terbaik dari tim yang bersaing ketat untuk meraih kemenangan. Dapatkan informasi lengkap mengenai jadwal pertandingan dan hasil pertandingan terbaru hanya di Vidio.</t>
  </si>
  <si>
    <t>30b5d06e</t>
  </si>
  <si>
    <t>Nawasena FC vs Berlian Nusantara - Liga Topskor Greater Jakarta U-13</t>
  </si>
  <si>
    <t>https://www.vidio.com/live/20277?schedule_id=4833889</t>
  </si>
  <si>
    <t>Nonton streaming pertandingan seru Nawasena FC vs Berlian Nusantara - Liga Topskor Greater Jakarta U-13. Saksikan aksi-aksi terbaik dari tim yang bersaing ketat untuk meraih kemenangan. Dapatkan informasi lengkap mengenai jadwal pertandingan dan hasil pertandingan terbaru hanya di Vidio.</t>
  </si>
  <si>
    <t>2ae739fd</t>
  </si>
  <si>
    <t>Kabomania Muda SS vs Satria Sanggeni - Liga Topskor Greater Jakarta U-13</t>
  </si>
  <si>
    <t>https://www.vidio.com/live/20277?schedule_id=4833890</t>
  </si>
  <si>
    <t>Nonton streaming pertandingan seru Kabomania Muda SS vs Satria Sanggeni - Liga Topskor Greater Jakarta U-13. Saksikan aksi-aksi terbaik dari tim yang bersaing ketat untuk meraih kemenangan. Dapatkan informasi lengkap mengenai jadwal pertandingan dan hasil pertandingan terbaru hanya di Vidio.</t>
  </si>
  <si>
    <t>5e6d3de2</t>
  </si>
  <si>
    <t>Mavericks vs Khenzi United FA - Liga Topskor Greater Jakarta U-13</t>
  </si>
  <si>
    <t>https://www.vidio.com/live/20277?schedule_id=4833891</t>
  </si>
  <si>
    <t>Nonton streaming pertandingan seru Mavericks vs Khenzi United FA - Liga Topskor Greater Jakarta U-13. Saksikan aksi-aksi terbaik dari tim yang bersaing ketat untuk meraih kemenangan. Dapatkan informasi lengkap mengenai jadwal pertandingan dan hasil pertandingan terbaru hanya di Vidio.</t>
  </si>
  <si>
    <t>66b7d695</t>
  </si>
  <si>
    <t xml:space="preserve"> vs  - Liga Topskor Greater Jakarta</t>
  </si>
  <si>
    <t>Nonton streaming pertandingan seru  vs  - Liga Topskor Greater Jakarta. Saksikan aksi-aksi terbaik dari tim yang bersaing ketat untuk meraih kemenangan. Dapatkan informasi lengkap mengenai jadwal pertandingan dan hasil pertandingan terbaru hanya di Vidio.</t>
  </si>
  <si>
    <t>5ffc4dec</t>
  </si>
  <si>
    <t>Young Warrior vs Tajimalela Fa - Liga Topskor Greater Jakarta U-13</t>
  </si>
  <si>
    <t>Nonton streaming pertandingan seru Young Warrior vs Tajimalela Fa - Liga Topskor Greater Jakarta U-13. Saksikan aksi-aksi terbaik dari tim yang bersaing ketat untuk meraih kemenangan. Dapatkan informasi lengkap mengenai jadwal pertandingan dan hasil pertandingan terbaru hanya di Vidio.</t>
  </si>
  <si>
    <t>46375937</t>
  </si>
  <si>
    <t>Assa Bafo vs Cibinong Poetra - Liga Topskor Greater Jakarta U-13</t>
  </si>
  <si>
    <t>Nonton streaming pertandingan seru Assa Bafo vs Cibinong Poetra - Liga Topskor Greater Jakarta U-13. Saksikan aksi-aksi terbaik dari tim yang bersaing ketat untuk meraih kemenangan. Dapatkan informasi lengkap mengenai jadwal pertandingan dan hasil pertandingan terbaru hanya di Vidio.</t>
  </si>
  <si>
    <t>a72762b8</t>
  </si>
  <si>
    <t>Assa Pro vs Mc Utama - Liga Topskor Greater Jakarta U-13</t>
  </si>
  <si>
    <t>Nonton streaming pertandingan seru Assa Pro vs Mc Utama - Liga Topskor Greater Jakarta U-13. Saksikan aksi-aksi terbaik dari tim yang bersaing ketat untuk meraih kemenangan. Dapatkan informasi lengkap mengenai jadwal pertandingan dan hasil pertandingan terbaru hanya di Vidio.</t>
  </si>
  <si>
    <t>2a24b427</t>
  </si>
  <si>
    <t>LAPANGAN PSF 2 PANCORAN Matchday 1 - Liga Topskor Greater Jakarta U-14</t>
  </si>
  <si>
    <t>https://www.vidio.com/live/20278</t>
  </si>
  <si>
    <t>Nonton streaming pertandingan seru LAPANGAN PSF 2 PANCORAN Matchday 1 - Liga Topskor Greater Jakarta U-14. Saksikan aksi-aksi terbaik dari tim yang bersaing ketat untuk meraih kemenangan. Dapatkan informasi lengkap mengenai jadwal pertandingan dan hasil pertandingan terbaru hanya di Vidio.</t>
  </si>
  <si>
    <t>e6e4bb50</t>
  </si>
  <si>
    <t>Newland FA vs Padurenan SS - Liga Topskor Greater Jakarta U-14</t>
  </si>
  <si>
    <t>https://www.vidio.com/live/20278?schedule_id=4833912</t>
  </si>
  <si>
    <t>Nonton streaming pertandingan seru Newland FA vs Padurenan SS - Liga Topskor Greater Jakarta U-14. Saksikan aksi-aksi terbaik dari tim yang bersaing ketat untuk meraih kemenangan. Dapatkan informasi lengkap mengenai jadwal pertandingan dan hasil pertandingan terbaru hanya di Vidio.</t>
  </si>
  <si>
    <t>deec4249</t>
  </si>
  <si>
    <t>https://www.vidio.com/live/20280</t>
  </si>
  <si>
    <t>bd476172</t>
  </si>
  <si>
    <t>Tajimalela vs Fifa Farmel - Liga Topskor Greater Jakarta U-14</t>
  </si>
  <si>
    <t>https://www.vidio.com/live/20278?schedule_id=4833913</t>
  </si>
  <si>
    <t>Nonton streaming pertandingan seru Tajimalela vs Fifa Farmel - Liga Topskor Greater Jakarta U-14. Saksikan aksi-aksi terbaik dari tim yang bersaing ketat untuk meraih kemenangan. Dapatkan informasi lengkap mengenai jadwal pertandingan dan hasil pertandingan terbaru hanya di Vidio.</t>
  </si>
  <si>
    <t>23f9bd6f</t>
  </si>
  <si>
    <t>Bimba AIUEO vs Binna Banua - Liga Topskor Greater Jakarta U-14</t>
  </si>
  <si>
    <t>https://www.vidio.com/live/20278?schedule_id=4833914</t>
  </si>
  <si>
    <t>Nonton streaming pertandingan seru Bimba AIUEO vs Binna Banua - Liga Topskor Greater Jakarta U-14. Saksikan aksi-aksi terbaik dari tim yang bersaing ketat untuk meraih kemenangan. Dapatkan informasi lengkap mengenai jadwal pertandingan dan hasil pertandingan terbaru hanya di Vidio.</t>
  </si>
  <si>
    <t>95069d5d</t>
  </si>
  <si>
    <t>Erlangga FA vs CS Private - Liga Topskor Greater Jakarta U-15</t>
  </si>
  <si>
    <t>https://www.vidio.com/live/20280?schedule_id=4833892</t>
  </si>
  <si>
    <t>Nonton streaming pertandingan seru Erlangga FA vs CS Private - Liga Topskor Greater Jakarta U-15. Saksikan aksi-aksi terbaik dari tim yang bersaing ketat untuk meraih kemenangan. Dapatkan informasi lengkap mengenai jadwal pertandingan dan hasil pertandingan terbaru hanya di Vidio.</t>
  </si>
  <si>
    <t>950f96a4</t>
  </si>
  <si>
    <t>Mustika Jaya vs Gabus Putra - Liga Topskor Greater Jakarta U-15</t>
  </si>
  <si>
    <t>https://www.vidio.com/live/20280?schedule_id=4833893</t>
  </si>
  <si>
    <t>Nonton streaming pertandingan seru Mustika Jaya vs Gabus Putra - Liga Topskor Greater Jakarta U-15. Saksikan aksi-aksi terbaik dari tim yang bersaing ketat untuk meraih kemenangan. Dapatkan informasi lengkap mengenai jadwal pertandingan dan hasil pertandingan terbaru hanya di Vidio.</t>
  </si>
  <si>
    <t>d98f7e5b</t>
  </si>
  <si>
    <t>Lapangan Parigi Matchday 1 - Liga Topskor Greater Jakarta U-14</t>
  </si>
  <si>
    <t>https://www.vidio.com/live/20279</t>
  </si>
  <si>
    <t>Nonton streaming pertandingan seru Lapangan Parigi Matchday 1 - Liga Topskor Greater Jakarta U-14. Saksikan aksi-aksi terbaik dari tim yang bersaing ketat untuk meraih kemenangan. Dapatkan informasi lengkap mengenai jadwal pertandingan dan hasil pertandingan terbaru hanya di Vidio.</t>
  </si>
  <si>
    <t>4fe172d9</t>
  </si>
  <si>
    <t>Amdesta vs Khenzi United SS - Liga Topskor Greater Jakarta U-15</t>
  </si>
  <si>
    <t>https://www.vidio.com/live/20280?schedule_id=4833894</t>
  </si>
  <si>
    <t>Nonton streaming pertandingan seru Amdesta vs Khenzi United SS - Liga Topskor Greater Jakarta U-15. Saksikan aksi-aksi terbaik dari tim yang bersaing ketat untuk meraih kemenangan. Dapatkan informasi lengkap mengenai jadwal pertandingan dan hasil pertandingan terbaru hanya di Vidio.</t>
  </si>
  <si>
    <t>1e59c84b</t>
  </si>
  <si>
    <t>CTFD vs Satria Sanggeni - Liga Topskor Greater Jakarta U-15</t>
  </si>
  <si>
    <t>https://www.vidio.com/live/20280?schedule_id=4833895</t>
  </si>
  <si>
    <t>Nonton streaming pertandingan seru CTFD vs Satria Sanggeni - Liga Topskor Greater Jakarta U-15. Saksikan aksi-aksi terbaik dari tim yang bersaing ketat untuk meraih kemenangan. Dapatkan informasi lengkap mengenai jadwal pertandingan dan hasil pertandingan terbaru hanya di Vidio.</t>
  </si>
  <si>
    <t>65cf95bc</t>
  </si>
  <si>
    <t>Prakasa vs Cibinong Poetra - Liga Topskor Greater Jakarta U-15</t>
  </si>
  <si>
    <t>https://www.vidio.com/live/20280?schedule_id=4833896</t>
  </si>
  <si>
    <t>Nonton streaming pertandingan seru Prakasa vs Cibinong Poetra - Liga Topskor Greater Jakarta U-15. Saksikan aksi-aksi terbaik dari tim yang bersaing ketat untuk meraih kemenangan. Dapatkan informasi lengkap mengenai jadwal pertandingan dan hasil pertandingan terbaru hanya di Vidio.</t>
  </si>
  <si>
    <t>c511711a</t>
  </si>
  <si>
    <t>Raga Negeri vs Bandung Pro United - Liga Topskor Greater Jakarta U-15</t>
  </si>
  <si>
    <t>https://www.vidio.com/live/20280?schedule_id=4833897</t>
  </si>
  <si>
    <t>Nonton streaming pertandingan seru Raga Negeri vs Bandung Pro United - Liga Topskor Greater Jakarta U-15. Saksikan aksi-aksi terbaik dari tim yang bersaing ketat untuk meraih kemenangan. Dapatkan informasi lengkap mengenai jadwal pertandingan dan hasil pertandingan terbaru hanya di Vidio.</t>
  </si>
  <si>
    <t>aa4a2d61</t>
  </si>
  <si>
    <t>Kabomania Muda SS vs Prodigy FA - Liga Topskor Greater Jakarta U-14</t>
  </si>
  <si>
    <t>https://www.vidio.com/live/20279?schedule_id=4833903</t>
  </si>
  <si>
    <t>Nonton streaming pertandingan seru Kabomania Muda SS vs Prodigy FA - Liga Topskor Greater Jakarta U-14. Saksikan aksi-aksi terbaik dari tim yang bersaing ketat untuk meraih kemenangan. Dapatkan informasi lengkap mengenai jadwal pertandingan dan hasil pertandingan terbaru hanya di Vidio.</t>
  </si>
  <si>
    <t>3dcd77ad</t>
  </si>
  <si>
    <t>Sparta 1979 vs Diklat Pakujaya - Liga Topskor Greater Jakarta U-14</t>
  </si>
  <si>
    <t>https://www.vidio.com/live/20279?schedule_id=4833904</t>
  </si>
  <si>
    <t>Nonton streaming pertandingan seru Sparta 1979 vs Diklat Pakujaya - Liga Topskor Greater Jakarta U-14. Saksikan aksi-aksi terbaik dari tim yang bersaing ketat untuk meraih kemenangan. Dapatkan informasi lengkap mengenai jadwal pertandingan dan hasil pertandingan terbaru hanya di Vidio.</t>
  </si>
  <si>
    <t>621a907b</t>
  </si>
  <si>
    <t>Asiop Biru vs Djakarta Warriors Squad - Liga Topskor Greater Jakarta U-14</t>
  </si>
  <si>
    <t>https://www.vidio.com/live/20279?schedule_id=4833905</t>
  </si>
  <si>
    <t>Nonton streaming pertandingan seru Asiop Biru vs Djakarta Warriors Squad - Liga Topskor Greater Jakarta U-14. Saksikan aksi-aksi terbaik dari tim yang bersaing ketat untuk meraih kemenangan. Dapatkan informasi lengkap mengenai jadwal pertandingan dan hasil pertandingan terbaru hanya di Vidio.</t>
  </si>
  <si>
    <t>d17ac083</t>
  </si>
  <si>
    <t>Bekasi Permai United vs Bojong Gede Raya - Liga Topskor Greater Jakarta U-14</t>
  </si>
  <si>
    <t>https://www.vidio.com/live/20279?schedule_id=4833906</t>
  </si>
  <si>
    <t>Nonton streaming pertandingan seru Bekasi Permai United vs Bojong Gede Raya - Liga Topskor Greater Jakarta U-14. Saksikan aksi-aksi terbaik dari tim yang bersaing ketat untuk meraih kemenangan. Dapatkan informasi lengkap mengenai jadwal pertandingan dan hasil pertandingan terbaru hanya di Vidio.</t>
  </si>
  <si>
    <t>ca8ee1d8</t>
  </si>
  <si>
    <t>Garuda Putra vs Sulcata Racing SS - Liga Topskor Greater Jakarta U-14</t>
  </si>
  <si>
    <t>https://www.vidio.com/live/20279?schedule_id=4833907</t>
  </si>
  <si>
    <t>Nonton streaming pertandingan seru Garuda Putra vs Sulcata Racing SS - Liga Topskor Greater Jakarta U-14. Saksikan aksi-aksi terbaik dari tim yang bersaing ketat untuk meraih kemenangan. Dapatkan informasi lengkap mengenai jadwal pertandingan dan hasil pertandingan terbaru hanya di Vidio.</t>
  </si>
  <si>
    <t>42235542</t>
  </si>
  <si>
    <t>Royal Indonesia FA vs Jawara Cilegon - Liga Topskor Greater Jakarta U-14</t>
  </si>
  <si>
    <t>https://www.vidio.com/live/20279?schedule_id=4833908</t>
  </si>
  <si>
    <t>Nonton streaming pertandingan seru Royal Indonesia FA vs Jawara Cilegon - Liga Topskor Greater Jakarta U-14. Saksikan aksi-aksi terbaik dari tim yang bersaing ketat untuk meraih kemenangan. Dapatkan informasi lengkap mengenai jadwal pertandingan dan hasil pertandingan terbaru hanya di Vidio.</t>
  </si>
  <si>
    <t>b5eca3f5</t>
  </si>
  <si>
    <t>Lapangan Mabes, Cilangkap Matchday 1 - Liga Topskor Greater Jakarta U-16</t>
  </si>
  <si>
    <t>https://www.vidio.com/live/20281</t>
  </si>
  <si>
    <t>Nonton streaming pertandingan seru Lapangan Mabes, Cilangkap Matchday 1 - Liga Topskor Greater Jakarta U-16. Saksikan aksi-aksi terbaik dari tim yang bersaing ketat untuk meraih kemenangan. Dapatkan informasi lengkap mengenai jadwal pertandingan dan hasil pertandingan terbaru hanya di Vidio.</t>
  </si>
  <si>
    <t>6df71900</t>
  </si>
  <si>
    <t>Asiop Biru vs Young Warrior - Liga Topskor Greater Jakarta U-16</t>
  </si>
  <si>
    <t>https://www.vidio.com/live/20281?schedule_id=4833898</t>
  </si>
  <si>
    <t>Nonton streaming pertandingan seru Asiop Biru vs Young Warrior - Liga Topskor Greater Jakarta U-16. Saksikan aksi-aksi terbaik dari tim yang bersaing ketat untuk meraih kemenangan. Dapatkan informasi lengkap mengenai jadwal pertandingan dan hasil pertandingan terbaru hanya di Vidio.</t>
  </si>
  <si>
    <t>c4b9d41b</t>
  </si>
  <si>
    <t>Mavericks vs Telesandi - Liga Topskor Greater Jakarta U-16</t>
  </si>
  <si>
    <t>https://www.vidio.com/live/20281?schedule_id=4833899</t>
  </si>
  <si>
    <t>Nonton streaming pertandingan seru Mavericks vs Telesandi - Liga Topskor Greater Jakarta U-16. Saksikan aksi-aksi terbaik dari tim yang bersaing ketat untuk meraih kemenangan. Dapatkan informasi lengkap mengenai jadwal pertandingan dan hasil pertandingan terbaru hanya di Vidio.</t>
  </si>
  <si>
    <t>e9d70424</t>
  </si>
  <si>
    <t>Gagak Muda vs Bogor FS - Liga Topskor Greater Jakarta U-16</t>
  </si>
  <si>
    <t>https://www.vidio.com/live/20281?schedule_id=4833900</t>
  </si>
  <si>
    <t>Nonton streaming pertandingan seru Gagak Muda vs Bogor FS - Liga Topskor Greater Jakarta U-16. Saksikan aksi-aksi terbaik dari tim yang bersaing ketat untuk meraih kemenangan. Dapatkan informasi lengkap mengenai jadwal pertandingan dan hasil pertandingan terbaru hanya di Vidio.</t>
  </si>
  <si>
    <t>025c92b2</t>
  </si>
  <si>
    <t>Prakasa vs G Sky - Liga Topskor Greater Jakarta U-16</t>
  </si>
  <si>
    <t>https://www.vidio.com/live/20281?schedule_id=4833901</t>
  </si>
  <si>
    <t>Nonton streaming pertandingan seru Prakasa vs G Sky - Liga Topskor Greater Jakarta U-16. Saksikan aksi-aksi terbaik dari tim yang bersaing ketat untuk meraih kemenangan. Dapatkan informasi lengkap mengenai jadwal pertandingan dan hasil pertandingan terbaru hanya di Vidio.</t>
  </si>
  <si>
    <t>140865eb</t>
  </si>
  <si>
    <t>Bintang Junior vs Persikabo - Liga Topskor Greater Jakarta U-16</t>
  </si>
  <si>
    <t>https://www.vidio.com/live/20281?schedule_id=4833902</t>
  </si>
  <si>
    <t>Nonton streaming pertandingan seru Bintang Junior vs Persikabo - Liga Topskor Greater Jakarta U-16. Saksikan aksi-aksi terbaik dari tim yang bersaing ketat untuk meraih kemenangan. Dapatkan informasi lengkap mengenai jadwal pertandingan dan hasil pertandingan terbaru hanya di Vidio.</t>
  </si>
  <si>
    <t>117a80ab</t>
  </si>
  <si>
    <t>Lapangan PSF 1 Pancoran Matchday 1- Liga Topskor Greater Jakarta U-17</t>
  </si>
  <si>
    <t>https://www.vidio.com/live/20282</t>
  </si>
  <si>
    <t>Nonton streaming pertandingan seru Lapangan PSF 1 Pancoran Matchday 1- Liga Topskor Greater Jakarta U-17. Saksikan aksi-aksi terbaik dari tim yang bersaing ketat untuk meraih kemenangan. Dapatkan informasi lengkap mengenai jadwal pertandingan dan hasil pertandingan terbaru hanya di Vidio.</t>
  </si>
  <si>
    <t>e00cb435</t>
  </si>
  <si>
    <t>Jakarta City vs OSSC - Liga Topskor Greater Jakarta U-17</t>
  </si>
  <si>
    <t>https://www.vidio.com/live/20282?schedule_id=4833909</t>
  </si>
  <si>
    <t>Nonton streaming pertandingan seru Jakarta City vs OSSC - Liga Topskor Greater Jakarta U-17. Saksikan aksi-aksi terbaik dari tim yang bersaing ketat untuk meraih kemenangan. Dapatkan informasi lengkap mengenai jadwal pertandingan dan hasil pertandingan terbaru hanya di Vidio.</t>
  </si>
  <si>
    <t>01aede79</t>
  </si>
  <si>
    <t>PSF Academy vs Persikabo - Liga Topskor Greater Jakarta U-17</t>
  </si>
  <si>
    <t>https://www.vidio.com/live/20282?schedule_id=4833910</t>
  </si>
  <si>
    <t>Nonton streaming pertandingan seru PSF Academy vs Persikabo - Liga Topskor Greater Jakarta U-17. Saksikan aksi-aksi terbaik dari tim yang bersaing ketat untuk meraih kemenangan. Dapatkan informasi lengkap mengenai jadwal pertandingan dan hasil pertandingan terbaru hanya di Vidio.</t>
  </si>
  <si>
    <t>2285d6f9</t>
  </si>
  <si>
    <t>Cibinong Poetra vs Binna Banua - Liga Topskor Greater Jakarta U-17</t>
  </si>
  <si>
    <t>https://www.vidio.com/live/20282?schedule_id=4833911</t>
  </si>
  <si>
    <t>Nonton streaming pertandingan seru Cibinong Poetra vs Binna Banua - Liga Topskor Greater Jakarta U-17. Saksikan aksi-aksi terbaik dari tim yang bersaing ketat untuk meraih kemenangan. Dapatkan informasi lengkap mengenai jadwal pertandingan dan hasil pertandingan terbaru hanya di Vidio.</t>
  </si>
  <si>
    <t>b02c7ab8</t>
  </si>
  <si>
    <t>39d2c99e</t>
  </si>
  <si>
    <t>https://www.vidio.com/live/20266?schedule_id=4833884</t>
  </si>
  <si>
    <t>2acedcae</t>
  </si>
  <si>
    <t>https://www.vidio.com/live/20266?schedule_id=4833885</t>
  </si>
  <si>
    <t>f6d9c697</t>
  </si>
  <si>
    <t>https://www.vidio.com/live/20266?schedule_id=4833886</t>
  </si>
  <si>
    <t>428ef8fd</t>
  </si>
  <si>
    <t>https://www.vidio.com/live/20266?schedule_id=4833887</t>
  </si>
  <si>
    <t>6bafae54</t>
  </si>
  <si>
    <t>https://www.vidio.com/live/20266?schedule_id=4833888</t>
  </si>
  <si>
    <t>382d0d47</t>
  </si>
  <si>
    <t>Thisa Bekasi vs Putra Cianjur - Liga Topskor Greater Jakarta U-16</t>
  </si>
  <si>
    <t>vidio.com/live/20273?schedule_id=4833849</t>
  </si>
  <si>
    <t>Nonton streaming pertandingan seru Thisa Bekasi vs Putra Cianjur - Liga Topskor Greater Jakarta U-16. Saksikan aksi-aksi terbaik dari tim yang bersaing ketat untuk meraih kemenangan. Dapatkan informasi lengkap mengenai jadwal pertandingan dan hasil pertandingan terbaru hanya di Vidio.</t>
  </si>
  <si>
    <t>1b722ad2</t>
  </si>
  <si>
    <t>MH Soccer vs Sukabumi SS - Liga Topskor Greater Jakarta U-16</t>
  </si>
  <si>
    <t>vidio.com/live/20273?schedule_id=4833848</t>
  </si>
  <si>
    <t>Nonton streaming pertandingan seru MH Soccer vs Sukabumi SS - Liga Topskor Greater Jakarta U-16. Saksikan aksi-aksi terbaik dari tim yang bersaing ketat untuk meraih kemenangan. Dapatkan informasi lengkap mengenai jadwal pertandingan dan hasil pertandingan terbaru hanya di Vidio.</t>
  </si>
  <si>
    <t>eaa9e15f</t>
  </si>
  <si>
    <t>Khenzi United vs YKK Cibitung - Liga Topskor Greater Jakarta U-16</t>
  </si>
  <si>
    <t>vidio.com/live/20273?schedule_id=4833847</t>
  </si>
  <si>
    <t>Nonton streaming pertandingan seru Khenzi United vs YKK Cibitung - Liga Topskor Greater Jakarta U-16. Saksikan aksi-aksi terbaik dari tim yang bersaing ketat untuk meraih kemenangan. Dapatkan informasi lengkap mengenai jadwal pertandingan dan hasil pertandingan terbaru hanya di Vidio.</t>
  </si>
  <si>
    <t>d3f380f1</t>
  </si>
  <si>
    <t>Samurai United vs Royal Indonesia - Liga Topskor Greater Jakarta U-16</t>
  </si>
  <si>
    <t>vidio.com/live/20273?schedule_id=4833846</t>
  </si>
  <si>
    <t>Nonton streaming pertandingan seru Samurai United vs Royal Indonesia - Liga Topskor Greater Jakarta U-16. Saksikan aksi-aksi terbaik dari tim yang bersaing ketat untuk meraih kemenangan. Dapatkan informasi lengkap mengenai jadwal pertandingan dan hasil pertandingan terbaru hanya di Vidio.</t>
  </si>
  <si>
    <t>6e57d5c2</t>
  </si>
  <si>
    <t>Akademi Purwakarta vs Cibinong Poetra - Liga Topskor Greater Jakarta U-16</t>
  </si>
  <si>
    <t>vidio.com/live/20273?schedule_id=4833845</t>
  </si>
  <si>
    <t>Nonton streaming pertandingan seru Akademi Purwakarta vs Cibinong Poetra - Liga Topskor Greater Jakarta U-16. Saksikan aksi-aksi terbaik dari tim yang bersaing ketat untuk meraih kemenangan. Dapatkan informasi lengkap mengenai jadwal pertandingan dan hasil pertandingan terbaru hanya di Vidio.</t>
  </si>
  <si>
    <t>cb925ba8</t>
  </si>
  <si>
    <t>Liu Sheng Shu/Tan Ning (CHN) vs Ririna Hiramoto/Kokona Ishikawa (JPN) - Women's Doubles Quarterfinals | PETRONAS Malaysia Open 2026</t>
  </si>
  <si>
    <t>https://www.vidio.com/live/18252-petronas-malaysia-open-2026-round-of-16-court-3?schedule_id=4833802</t>
  </si>
  <si>
    <t>Nonton streaming pertandingan seru Liu Sheng Shu/Tan Ning (CHN) vs Ririna Hiramoto/Kokona Ishikawa (JPN) - Women's Doubles Quarterfinals | PETRONAS Malaysia Open 2026. Saksikan aksi-aksi terbaik dari tim yang bersaing ketat untuk meraih kemenangan. Dapatkan informasi lengkap mengenai jadwal pertandingan dan hasil pertandingan terbaru hanya di Vidio.</t>
  </si>
  <si>
    <t>7f16408e</t>
  </si>
  <si>
    <t>Feng Yan Zhe/Huang Dong Ping (CHN) vs Guo Xin Wa/Chen Fang Hui (CHN) - Mixed Doubles Quarter Final | PETRONAS Malaysia Open 2026</t>
  </si>
  <si>
    <t>https://www.vidio.com/live/18252-petronas-malaysia-open-2026-round-of-16-court-3?schedule_id=4833803</t>
  </si>
  <si>
    <t>Nonton streaming pertandingan seru Feng Yan Zhe/Huang Dong Ping (CHN) vs Guo Xin Wa/Chen Fang Hui (CHN) - Mixed Doubles Quarter Final | PETRONAS Malaysia Open 2026. Saksikan aksi-aksi terbaik dari tim yang bersaing ketat untuk meraih kemenangan. Dapatkan informasi lengkap mengenai jadwal pertandingan dan hasil pertandingan terbaru hanya di Vidio.</t>
  </si>
  <si>
    <t>9c0ca063</t>
  </si>
  <si>
    <t>Chen Yu Fei (CHN) vs Ratchanok Intanon (THA) - Women's Singles Quarter Final | PETRONAS Malaysia Open 2026</t>
  </si>
  <si>
    <t>https://www.vidio.com/live/18250-petronas-malaysia-open-2026-round-of-16-court-2?schedule_id=4833804</t>
  </si>
  <si>
    <t>Nonton streaming pertandingan seru Chen Yu Fei (CHN) vs Ratchanok Intanon (THA) - Women's Singles Quarter Final | PETRONAS Malaysia Open 2026. Saksikan aksi-aksi terbaik dari tim yang bersaing ketat untuk meraih kemenangan. Dapatkan informasi lengkap mengenai jadwal pertandingan dan hasil pertandingan terbaru hanya di Vidio.</t>
  </si>
  <si>
    <t>5d15f9c1</t>
  </si>
  <si>
    <t>Baek Ha Na/Lee So Hee (KOR) vs Febriana Dwipuji Kusuma/Meilysa Trias Puspitasari (INA) - Women's Doubles Quarter Final | PETRONAS Malaysia Open 2026</t>
  </si>
  <si>
    <t>https://www.vidio.com/live/18250-petronas-malaysia-open-2026-round-of-16-court-2?schedule_id=4833805</t>
  </si>
  <si>
    <t>Nonton streaming pertandingan seru Baek Ha Na/Lee So Hee (KOR) vs Febriana Dwipuji Kusuma/Meilysa Trias Puspitasari (INA) - Women's Doubles Quarter Final | PETRONAS Malaysia Open 2026. Saksikan aksi-aksi terbaik dari tim yang bersaing ketat untuk meraih kemenangan. Dapatkan informasi lengkap mengenai jadwal pertandingan dan hasil pertandingan terbaru hanya di Vidio.</t>
  </si>
  <si>
    <t>547be7ef</t>
  </si>
  <si>
    <t>Presley Smith/Jennie Gai (USA) vs Jiang Zhen Bang/Wei Ya Xin (CHN) - Mixed Doubles Quarter Final | PETRONAS Malaysia Open 2026</t>
  </si>
  <si>
    <t>https://www.vidio.com/live/18250-petronas-malaysia-open-2026-round-of-16-court-2?schedule_id=4833806</t>
  </si>
  <si>
    <t>Nonton streaming pertandingan seru Presley Smith/Jennie Gai (USA) vs Jiang Zhen Bang/Wei Ya Xin (CHN) - Mixed Doubles Quarter Final | PETRONAS Malaysia Open 2026. Saksikan aksi-aksi terbaik dari tim yang bersaing ketat untuk meraih kemenangan. Dapatkan informasi lengkap mengenai jadwal pertandingan dan hasil pertandingan terbaru hanya di Vidio.</t>
  </si>
  <si>
    <t>2e4aba98</t>
  </si>
  <si>
    <t>Putri Kusuma Wardani (INA) vs Wang Zhi Yi (CHN) - Women's Singles Quarterfinals | PETRONAS Malaysia Open 2026</t>
  </si>
  <si>
    <t>https://www.vidio.com/live/18250-petronas-malaysia-open-2026-round-of-16-court-2?schedule_id=4833807</t>
  </si>
  <si>
    <t>Nonton streaming pertandingan seru Putri Kusuma Wardani (INA) vs Wang Zhi Yi (CHN) - Women's Singles Quarterfinals | PETRONAS Malaysia Open 2026. Saksikan aksi-aksi terbaik dari tim yang bersaing ketat untuk meraih kemenangan. Dapatkan informasi lengkap mengenai jadwal pertandingan dan hasil pertandingan terbaru hanya di Vidio.</t>
  </si>
  <si>
    <t>9360f280</t>
  </si>
  <si>
    <t>Yuki Fukushima/Mayu Matsumoto (JPN) vs Hsu Yin-Hui/Lin Jhih Yun (TPE) - Women's Doubles Quarter Final | PETRONAS Malaysia Open 2026</t>
  </si>
  <si>
    <t>https://www.vidio.com/live/18250-petronas-malaysia-open-2026-round-of-16-court-2?schedule_id=4833808</t>
  </si>
  <si>
    <t>Nonton streaming pertandingan seru Yuki Fukushima/Mayu Matsumoto (JPN) vs Hsu Yin-Hui/Lin Jhih Yun (TPE) - Women's Doubles Quarter Final | PETRONAS Malaysia Open 2026. Saksikan aksi-aksi terbaik dari tim yang bersaing ketat untuk meraih kemenangan. Dapatkan informasi lengkap mengenai jadwal pertandingan dan hasil pertandingan terbaru hanya di Vidio.</t>
  </si>
  <si>
    <t>2658a037</t>
  </si>
  <si>
    <t>Kodai Naraoka (JPN) vs Jonatan Christie (INA) - Men's Singles Quarter Final | PETRONAS Malaysia Open 2026</t>
  </si>
  <si>
    <t>https://www.vidio.com/live/18250-petronas-malaysia-open-2026-round-of-16-court-2?schedule_id=4833809</t>
  </si>
  <si>
    <t>Nonton streaming pertandingan seru Kodai Naraoka (JPN) vs Jonatan Christie (INA) - Men's Singles Quarter Final | PETRONAS Malaysia Open 2026. Saksikan aksi-aksi terbaik dari tim yang bersaing ketat untuk meraih kemenangan. Dapatkan informasi lengkap mengenai jadwal pertandingan dan hasil pertandingan terbaru hanya di Vidio.</t>
  </si>
  <si>
    <t>e0299857</t>
  </si>
  <si>
    <t>Takuro Hoki/Yugo Kobayashi (JPN) vs Ben Lane/Sean Vendy (ENG) - Men's Doubles Quarter Final | PETRONAS Malaysia Open 2026</t>
  </si>
  <si>
    <t>https://www.vidio.com/live/18250-petronas-malaysia-open-2026-round-of-16-court-2?schedule_id=4833810</t>
  </si>
  <si>
    <t>Nonton streaming pertandingan seru Takuro Hoki/Yugo Kobayashi (JPN) vs Ben Lane/Sean Vendy (ENG) - Men's Doubles Quarter Final | PETRONAS Malaysia Open 2026. Saksikan aksi-aksi terbaik dari tim yang bersaing ketat untuk meraih kemenangan. Dapatkan informasi lengkap mengenai jadwal pertandingan dan hasil pertandingan terbaru hanya di Vidio.</t>
  </si>
  <si>
    <t>aa649b99</t>
  </si>
  <si>
    <t>Fajar Alfian/Muhammad Shohibul Fikri (INA) vs Satwiksairaj Rankireddy/Chirag Shetty (IND) - Men's Doubles Quarter Final | PETRONAS Malaysia Open 2026</t>
  </si>
  <si>
    <t>https://www.vidio.com/live/18250-petronas-malaysia-open-2026-round-of-16-court-2?schedule_id=4833811</t>
  </si>
  <si>
    <t>Nonton streaming pertandingan seru Fajar Alfian/Muhammad Shohibul Fikri (INA) vs Satwiksairaj Rankireddy/Chirag Shetty (IND) - Men's Doubles Quarter Final | PETRONAS Malaysia Open 2026. Saksikan aksi-aksi terbaik dari tim yang bersaing ketat untuk meraih kemenangan. Dapatkan informasi lengkap mengenai jadwal pertandingan dan hasil pertandingan terbaru hanya di Vidio.</t>
  </si>
  <si>
    <t>98aca8af</t>
  </si>
  <si>
    <t>An Se Young (KOR) vs Line Hojmark Kjaersfeldt (DEN) - Women's Singles Quarter Final | PETRONAS Malaysia Open 2026</t>
  </si>
  <si>
    <t>https://www.vidio.com/live/18249-petronas-malaysia-open-2026-round-of-16-court-1?schedule_id=4833792</t>
  </si>
  <si>
    <t>Nonton streaming pertandingan seru An Se Young (KOR) vs Line Højmark Kjaersfeldt (DEN) - Women's Singles Quarter Final | PETRONAS Malaysia Open 2026. Saksikan aksi-aksi terbaik dari tim yang bersaing ketat untuk meraih kemenangan. Dapatkan informasi lengkap mengenai jadwal pertandingan dan hasil pertandingan terbaru hanya di Vidio.</t>
  </si>
  <si>
    <t>c4734e3c</t>
  </si>
  <si>
    <t>Pusarla V. Sindhu (IND) vs Akane Yamaguchi (JPN) - Women's Singles Quarter Final | PETRONAS Malaysia Open 2026</t>
  </si>
  <si>
    <t>https://www.vidio.com/live/18249-petronas-malaysia-open-2026-round-of-16-court-1?schedule_id=4833793</t>
  </si>
  <si>
    <t>Nonton streaming pertandingan seru Pusarla V. Sindhu (IND) vs Akane Yamaguchi (JPN) - Women's Singles Quarter Final | PETRONAS Malaysia Open 2026. Saksikan aksi-aksi terbaik dari tim yang bersaing ketat untuk meraih kemenangan. Dapatkan informasi lengkap mengenai jadwal pertandingan dan hasil pertandingan terbaru hanya di Vidio.</t>
  </si>
  <si>
    <t>890eebbc</t>
  </si>
  <si>
    <t>Shi Yu Qi (CHN) vs Lee Cheuk Yiu (HKG) - Men's Singles Quarter Final | PETRONAS Malaysia Open 2026</t>
  </si>
  <si>
    <t>https://www.vidio.com/live/18249-petronas-malaysia-open-2026-round-of-16-court-1?schedule_id=4833794</t>
  </si>
  <si>
    <t>Nonton streaming pertandingan seru Shi Yu Qi (CHN) vs Lee Cheuk Yiu (HKG) - Men's Singles Quarter Final | PETRONAS Malaysia Open 2026. Saksikan aksi-aksi terbaik dari tim yang bersaing ketat untuk meraih kemenangan. Dapatkan informasi lengkap mengenai jadwal pertandingan dan hasil pertandingan terbaru hanya di Vidio.</t>
  </si>
  <si>
    <t>78277add</t>
  </si>
  <si>
    <t>Anders Antonsen (DEN) vs Kenta Nishimoto (JPN) - Men's Singles Quarter Final | PETRONAS Malaysia Open 2026</t>
  </si>
  <si>
    <t>https://www.vidio.com/live/18249-petronas-malaysia-open-2026-round-of-16-court-1?schedule_id=4833795</t>
  </si>
  <si>
    <t>Nonton streaming pertandingan seru Anders Antonsen (DEN) vs Kenta Nishimoto (JPN) - Men's Singles Quarter Final | PETRONAS Malaysia Open 2026. Saksikan aksi-aksi terbaik dari tim yang bersaing ketat untuk meraih kemenangan. Dapatkan informasi lengkap mengenai jadwal pertandingan dan hasil pertandingan terbaru hanya di Vidio.</t>
  </si>
  <si>
    <t>57945f4d</t>
  </si>
  <si>
    <t>Jesper Toft/Amalie Magelund (DEN) vs Dechapol Puavaranukroh/Supissara Paewsampran (THA) - Mixed Doubles Quarter Final | PETRONAS Malaysia Open 2026</t>
  </si>
  <si>
    <t>https://www.vidio.com/live/18249-petronas-malaysia-open-2026-round-of-16-court-1?schedule_id=4833796</t>
  </si>
  <si>
    <t>Nonton streaming pertandingan seru Jesper Toft/Amalie Magelund (DEN) vs Dechapol Puavaranukroh/Supissara Paewsampran (THA) - Mixed Doubles Quarter Final | PETRONAS Malaysia Open 2026. Saksikan aksi-aksi terbaik dari tim yang bersaing ketat untuk meraih kemenangan. Dapatkan informasi lengkap mengenai jadwal pertandingan dan hasil pertandingan terbaru hanya di Vidio.</t>
  </si>
  <si>
    <t>0cc30546</t>
  </si>
  <si>
    <t>Kaho Osawa/Mai Tanabe (JPN) vs Jeong Na Eun/Lee Yeon Woo (KOR) - Women's Doubles Quarter Final | PETRONAS Malaysia Open 2026</t>
  </si>
  <si>
    <t>https://www.vidio.com/live/18249-petronas-malaysia-open-2026-round-of-16-court-1?schedule_id=4833797</t>
  </si>
  <si>
    <t>Nonton streaming pertandingan seru Kaho Osawa/Mai Tanabe (JPN) vs Jeong Na Eun/Lee Yeon Woo (KOR) - Women's Doubles Quarter Final | PETRONAS Malaysia Open 2026. Saksikan aksi-aksi terbaik dari tim yang bersaing ketat untuk meraih kemenangan. Dapatkan informasi lengkap mengenai jadwal pertandingan dan hasil pertandingan terbaru hanya di Vidio.</t>
  </si>
  <si>
    <t>ca7dbbee</t>
  </si>
  <si>
    <t>Chen Tang Jie/Toh Ee Wei (MAS) vs Tang Chun Man/Tse Ying Suet (HKG) - Mixed Doubles Quarter Final | PETRONAS Malaysia Open 2026</t>
  </si>
  <si>
    <t>https://www.vidio.com/live/18249-petronas-malaysia-open-2026-round-of-16-court-1?schedule_id=4833798</t>
  </si>
  <si>
    <t>Nonton streaming pertandingan seru Chen Tang Jie/Toh Ee Wei (MAS) vs Tang Chun Man/Tse Ying Suet (HKG) - Mixed Doubles Quarter Final | PETRONAS Malaysia Open 2026. Saksikan aksi-aksi terbaik dari tim yang bersaing ketat untuk meraih kemenangan. Dapatkan informasi lengkap mengenai jadwal pertandingan dan hasil pertandingan terbaru hanya di Vidio.</t>
  </si>
  <si>
    <t>cd34bdf6</t>
  </si>
  <si>
    <t>Alex Lanier (FRA) vs Kunlavut Vitidsarn (THA) - Men's Singles Quarterfinals | PETRONAS Malaysia Open 2026</t>
  </si>
  <si>
    <t>https://www.vidio.com/live/18249-petronas-malaysia-open-2026-round-of-16-court-1?schedule_id=4833799</t>
  </si>
  <si>
    <t>Nonton streaming pertandingan seru Alex Lanier (FRA) vs Kunlavut Vitidsarn (THA) - Men's Singles Quarterfinals | PETRONAS Malaysia Open 2026. Saksikan aksi-aksi terbaik dari tim yang bersaing ketat untuk meraih kemenangan. Dapatkan informasi lengkap mengenai jadwal pertandingan dan hasil pertandingan terbaru hanya di Vidio.</t>
  </si>
  <si>
    <t>75ea414a</t>
  </si>
  <si>
    <t>Kim Won Ho/Seo Seung Jae (KOR) vs Man Wei Chong/Kai Wun Tee (MAS) - Men's Doubles Quarterfinals | PETRONAS Malaysia Open 2026</t>
  </si>
  <si>
    <t>https://www.vidio.com/live/18249-petronas-malaysia-open-2026-round-of-16-court-1?schedule_id=4833862</t>
  </si>
  <si>
    <t>Nonton streaming pertandingan seru Kim Won Ho/Seo Seung Jae (KOR) vs Man Wei Chong/Kai Wun Tee (MAS) - Men's Doubles Quarterfinals | PETRONAS Malaysia Open 2026. Saksikan aksi-aksi terbaik dari tim yang bersaing ketat untuk meraih kemenangan. Dapatkan informasi lengkap mengenai jadwal pertandingan dan hasil pertandingan terbaru hanya di Vidio.</t>
  </si>
  <si>
    <t>b42c4c3a</t>
  </si>
  <si>
    <t>Sabar Karyaman Gutama/Moh Reza Pahlevi Isfahani (INA) vs Aaron Chia/Soh Wooi Yik (MAS) - Men's Doubles Quarterfinals | PETRONAS Malaysia Open 2026</t>
  </si>
  <si>
    <t>https://www.vidio.com/live/18249-petronas-malaysia-open-2026-round-of-16-court-1?schedule_id=4833863</t>
  </si>
  <si>
    <t>Nonton streaming pertandingan seru Sabar Karyaman Gutama/Moh Reza Pahlevi Isfahani (INA) vs Aaron Chia/Soh Wooi Yik (MAS) - Men's Doubles Quarterfinals | PETRONAS Malaysia Open 2026. Saksikan aksi-aksi terbaik dari tim yang bersaing ketat untuk meraih kemenangan. Dapatkan informasi lengkap mengenai jadwal pertandingan dan hasil pertandingan terbaru hanya di Vidio.</t>
  </si>
  <si>
    <t>dc906b19</t>
  </si>
  <si>
    <t>Jelang Kick Off- PERSIJA vs Madura United FC  - BRI Super League</t>
  </si>
  <si>
    <t>Nonton streaming pertandingan seru Jelang Kick Off- PERSIJA vs Madura United FC  - BRI Super League. Saksikan aksi-aksi terbaik dari tim yang bersaing ketat untuk meraih kemenangan. Dapatkan informasi lengkap mengenai jadwal pertandingan dan hasil pertandingan terbaru hanya di Vidio.</t>
  </si>
  <si>
    <t>6f2a5bab</t>
  </si>
  <si>
    <t>Jelang Kick Off - PERSIS vs PERSIB  - BRI Super League</t>
  </si>
  <si>
    <t>Nonton streaming pertandingan seru Jelang Kick Off - PERSIS vs PERSIB  - BRI Super League. Saksikan aksi-aksi terbaik dari tim yang bersaing ketat untuk meraih kemenangan. Dapatkan informasi lengkap mengenai jadwal pertandingan dan hasil pertandingan terbaru hanya di Vidio.</t>
  </si>
  <si>
    <t>26fe4e4c</t>
  </si>
  <si>
    <t>Jelang Kick Off - PERSIB vs PSBS Biak - BRI Super League</t>
  </si>
  <si>
    <t>Nonton streaming pertandingan seru Jelang Kick Off - PERSIB vs PSBS Biak - BRI Super League. Saksikan aksi-aksi terbaik dari tim yang bersaing ketat untuk meraih kemenangan. Dapatkan informasi lengkap mengenai jadwal pertandingan dan hasil pertandingan terbaru hanya di Vidio.</t>
  </si>
  <si>
    <t>0f503b49</t>
  </si>
  <si>
    <t>Jelang Kick Off - Dewa United Banten FC vs Arema FC - BRI Super League</t>
  </si>
  <si>
    <t>Nonton streaming pertandingan seru Jelang Kick Off - Dewa United Banten FC vs Arema FC - BRI Super League. Saksikan aksi-aksi terbaik dari tim yang bersaing ketat untuk meraih kemenangan. Dapatkan informasi lengkap mengenai jadwal pertandingan dan hasil pertandingan terbaru hanya di Vidio.</t>
  </si>
  <si>
    <t>8cc9e40e</t>
  </si>
  <si>
    <t>Jelang Kick Off - PERSITA vs PERSIJA - BRI Super League</t>
  </si>
  <si>
    <t>Nonton streaming pertandingan seru Jelang Kick Off - PERSITA vs PERSIJA - BRI Super League. Saksikan aksi-aksi terbaik dari tim yang bersaing ketat untuk meraih kemenangan. Dapatkan informasi lengkap mengenai jadwal pertandingan dan hasil pertandingan terbaru hanya di Vidio.</t>
  </si>
  <si>
    <t>474946b9</t>
  </si>
  <si>
    <t>Jelang Kick Off - PERSEBAYA Surabaya vs Dewa United Banten FC - BRI Super League</t>
  </si>
  <si>
    <t>Nonton streaming pertandingan seru Jelang Kick Off - PERSEBAYA Surabaya vs Dewa United Banten FC - BRI Super League. Saksikan aksi-aksi terbaik dari tim yang bersaing ketat untuk meraih kemenangan. Dapatkan informasi lengkap mengenai jadwal pertandingan dan hasil pertandingan terbaru hanya di Vidio.</t>
  </si>
  <si>
    <t>7d680f4b</t>
  </si>
  <si>
    <t>Jelang Kick Off - PSIM Jogja vs PERSEBAYA Surabaya  - BRI Super League</t>
  </si>
  <si>
    <t>Nonton streaming pertandingan seru Jelang Kick Off - PSIM Jogja vs PERSEBAYA Surabaya  - BRI Super League. Saksikan aksi-aksi terbaik dari tim yang bersaing ketat untuk meraih kemenangan. Dapatkan informasi lengkap mengenai jadwal pertandingan dan hasil pertandingan terbaru hanya di Vidio.</t>
  </si>
  <si>
    <t>6ac9f228</t>
  </si>
  <si>
    <t>LAP. TNI HAMBALANG BOGOR Matchday 1 - Liga Topskor Greater Jakarta U-17</t>
  </si>
  <si>
    <t>https://www.vidio.com/live/20283</t>
  </si>
  <si>
    <t>https://drive.google.com/file/d/17nqJ8YbOWxi4DOQmMA4_VvY1qMuE4tM4/view</t>
  </si>
  <si>
    <t>Nonton streaming pertandingan seru LAP. TNI HAMBALANG BOGOR Matchday 1 - Liga Topskor Greater Jakarta U-17. Saksikan aksi-aksi terbaik dari tim yang bersaing ketat untuk meraih kemenangan. Dapatkan informasi lengkap mengenai jadwal pertandingan dan hasil pertandingan terbaru hanya di Vidio.</t>
  </si>
  <si>
    <t>dea666f3</t>
  </si>
  <si>
    <t>Asiop FA vs FFF Academy Indonesia - Liga Topskor Greater Jakarta U-17</t>
  </si>
  <si>
    <t>https://www.vidio.com/live/20283?schedule_id=4834227</t>
  </si>
  <si>
    <t>Nonton streaming pertandingan seru Asiop FA vs FFF Academy Indonesia - Liga Topskor Greater Jakarta U-17. Saksikan aksi-aksi terbaik dari tim yang bersaing ketat untuk meraih kemenangan. Dapatkan informasi lengkap mengenai jadwal pertandingan dan hasil pertandingan terbaru hanya di Vidio.</t>
  </si>
  <si>
    <t>dff42c87</t>
  </si>
  <si>
    <t>Fifa Farmel vs SHD Cianjur - Liga Topskor Greater Jakarta U-17</t>
  </si>
  <si>
    <t>https://www.vidio.com/live/20283?schedule_id=4834233</t>
  </si>
  <si>
    <t>Nonton streaming pertandingan seru Fifa Farmel vs SHD Cianjur - Liga Topskor Greater Jakarta U-17. Saksikan aksi-aksi terbaik dari tim yang bersaing ketat untuk meraih kemenangan. Dapatkan informasi lengkap mengenai jadwal pertandingan dan hasil pertandingan terbaru hanya di Vidio.</t>
  </si>
  <si>
    <t>33a54199</t>
  </si>
  <si>
    <t>Remaja Masa Depan vs Pakuan City - Liga Topskor Greater Jakarta U-17</t>
  </si>
  <si>
    <t>https://www.vidio.com/live/20283?schedule_id=4834231</t>
  </si>
  <si>
    <t>Nonton streaming pertandingan seru Remaja Masa Depan vs Pakuan City - Liga Topskor Greater Jakarta U-17. Saksikan aksi-aksi terbaik dari tim yang bersaing ketat untuk meraih kemenangan. Dapatkan informasi lengkap mengenai jadwal pertandingan dan hasil pertandingan terbaru hanya di Vidio.</t>
  </si>
  <si>
    <t>1e4d770f</t>
  </si>
  <si>
    <t>Batalyon FA vs PS Putra Nusantara - Liga Topskor Greater Jakarta U-17</t>
  </si>
  <si>
    <t>https://www.vidio.com/live/20283?schedule_id=4834230</t>
  </si>
  <si>
    <t>Nonton streaming pertandingan seru Batalyon FA vs PS Putra Nusantara - Liga Topskor Greater Jakarta U-17. Saksikan aksi-aksi terbaik dari tim yang bersaing ketat untuk meraih kemenangan. Dapatkan informasi lengkap mengenai jadwal pertandingan dan hasil pertandingan terbaru hanya di Vidio.</t>
  </si>
  <si>
    <t>d7c98a44</t>
  </si>
  <si>
    <t>Raga Negeri vs BTC - Liga Topskor Greater Jakarta U-17</t>
  </si>
  <si>
    <t>https://www.vidio.com/live/20283?schedule_id=4834229</t>
  </si>
  <si>
    <t>Nonton streaming pertandingan seru Raga Negeri vs BTC - Liga Topskor Greater Jakarta U-17. Saksikan aksi-aksi terbaik dari tim yang bersaing ketat untuk meraih kemenangan. Dapatkan informasi lengkap mengenai jadwal pertandingan dan hasil pertandingan terbaru hanya di Vidio.</t>
  </si>
  <si>
    <t>93adb8d5</t>
  </si>
  <si>
    <t>Brazillian SS vs Bogor City - Liga Topskor Greater Jakarta U-17</t>
  </si>
  <si>
    <t>https://www.vidio.com/live/20283?schedule_id=4834228</t>
  </si>
  <si>
    <t>Nonton streaming pertandingan seru Brazillian SS vs Bogor City - Liga Topskor Greater Jakarta U-17. Saksikan aksi-aksi terbaik dari tim yang bersaing ketat untuk meraih kemenangan. Dapatkan informasi lengkap mengenai jadwal pertandingan dan hasil pertandingan terbaru hanya di Vidio.</t>
  </si>
  <si>
    <t>796a8921</t>
  </si>
  <si>
    <t>Young Warrior vs Tajimalela FA - Liga Topskor Greater Jakarta U-13</t>
  </si>
  <si>
    <t>https://www.vidio.com/live/20277?schedule_id=4834235</t>
  </si>
  <si>
    <t>Nonton streaming pertandingan seru Young Warrior vs Tajimalela FA - Liga Topskor Greater Jakarta U-13. Saksikan aksi-aksi terbaik dari tim yang bersaing ketat untuk meraih kemenangan. Dapatkan informasi lengkap mengenai jadwal pertandingan dan hasil pertandingan terbaru hanya di Vidio.</t>
  </si>
  <si>
    <t>96906fb3</t>
  </si>
  <si>
    <t>https://www.vidio.com/live/20277?schedule_id=4834236</t>
  </si>
  <si>
    <t>b5adea7a</t>
  </si>
  <si>
    <t>https://www.vidio.com/live/20277?schedule_id=4834237</t>
  </si>
  <si>
    <t>8f852580</t>
  </si>
  <si>
    <t>(Data Zone) Tottenham vs Man City - Premier League</t>
  </si>
  <si>
    <t>Nonton streaming pertandingan seru (Data Zone) Tottenham vs Man City - Premier League. Saksikan aksi-aksi terbaik dari tim yang bersaing ketat untuk meraih kemenangan. Dapatkan informasi lengkap mengenai jadwal pertandingan dan hasil pertandingan terbaru hanya di Vidio.</t>
  </si>
  <si>
    <t>869c2e85</t>
  </si>
  <si>
    <t>NEOM SC vs Al-Hilal - ROSHN Saudi League</t>
  </si>
  <si>
    <t>NEOM SC; al-hilal; sports stream</t>
  </si>
  <si>
    <t>Nonton streaming pertandingan seru NEOM SC vs Al-Hilal - ROSHN Saudi League. Saksikan aksi-aksi terbaik dari tim yang bersaing ketat untuk meraih kemenangan. Dapatkan informasi lengkap mengenai jadwal pertandingan dan hasil pertandingan terbaru hanya di Vidio.</t>
  </si>
  <si>
    <t>d7f040ea</t>
  </si>
  <si>
    <t>Al-Ittihad vs Al-Ettifaq - ROSHN Saudi League</t>
  </si>
  <si>
    <t>al ittihad; al-ettifaq fc; sports stream</t>
  </si>
  <si>
    <t>Nonton streaming pertandingan seru Al-Ittihad vs Al-Ettifaq - ROSHN Saudi League. Saksikan aksi-aksi terbaik dari tim yang bersaing ketat untuk meraih kemenangan. Dapatkan informasi lengkap mengenai jadwal pertandingan dan hasil pertandingan terbaru hanya di Vidio.</t>
  </si>
  <si>
    <t>8e1b8ff3</t>
  </si>
  <si>
    <t>Ziraat Bankkart vs Bursa BBSK - Turkish Men's Volleyball League</t>
  </si>
  <si>
    <t>ziraat bankkart; bursa buyuksehir belediyespor; sports stream</t>
  </si>
  <si>
    <t>Nonton streaming pertandingan seru Ziraat Bankkart vs Bursa BBSK - Turkish Men's Volleyball League. Saksikan aksi-aksi terbaik dari tim yang bersaing ketat untuk meraih kemenangan. Dapatkan informasi lengkap mengenai jadwal pertandingan dan hasil pertandingan terbaru hanya di Vidio.</t>
  </si>
  <si>
    <t>b9918d03</t>
  </si>
  <si>
    <t>Gebze Bld vs Spor Toto - Turkish Men's Volleyball League</t>
  </si>
  <si>
    <t>Nonton streaming pertandingan seru Gebze Bld vs Spor Toto - Turkish Men's Volleyball League. Saksikan aksi-aksi terbaik dari tim yang bersaing ketat untuk meraih kemenangan. Dapatkan informasi lengkap mengenai jadwal pertandingan dan hasil pertandingan terbaru hanya di Vidio.</t>
  </si>
  <si>
    <t>2719212d</t>
  </si>
  <si>
    <t>Halkbank vs Altekma - Turkish Men's Volleyball League</t>
  </si>
  <si>
    <t>halkbank; Altekma; sports stream</t>
  </si>
  <si>
    <t>Nonton streaming pertandingan seru Halkbank vs Altekma - Turkish Men's Volleyball League. Saksikan aksi-aksi terbaik dari tim yang bersaing ketat untuk meraih kemenangan. Dapatkan informasi lengkap mengenai jadwal pertandingan dan hasil pertandingan terbaru hanya di Vidio.</t>
  </si>
  <si>
    <t>8e4c01ff</t>
  </si>
  <si>
    <t>Turk Hava Yollari vs Aras Spor - Turkish Women's Volleyball League</t>
  </si>
  <si>
    <t>Nonton streaming pertandingan seru Turk Hava Yollari vs Aras Spor - Turkish Women's Volleyball League. Saksikan aksi-aksi terbaik dari tim yang bersaing ketat untuk meraih kemenangan. Dapatkan informasi lengkap mengenai jadwal pertandingan dan hasil pertandingan terbaru hanya di Vidio.</t>
  </si>
  <si>
    <t>5c015aa5</t>
  </si>
  <si>
    <t>Galatasaray Daikin vs Vakifbank - Turkish Women's Volleyball League</t>
  </si>
  <si>
    <t>galatasaray daikin; vakifbank volleyball; sports stream</t>
  </si>
  <si>
    <t>Nonton streaming pertandingan seru Galatasaray Daikin vs Vakifbank - Turkish Women's Volleyball League. Saksikan aksi-aksi terbaik dari tim yang bersaing ketat untuk meraih kemenangan. Dapatkan informasi lengkap mengenai jadwal pertandingan dan hasil pertandingan terbaru hanya di Vidio.</t>
  </si>
  <si>
    <t>887e276c</t>
  </si>
  <si>
    <t>ILBank vs Kuzeyboru - Turkish Women's Volleyball League</t>
  </si>
  <si>
    <t>Nonton streaming pertandingan seru ILBank vs Kuzeyboru - Turkish Women's Volleyball League. Saksikan aksi-aksi terbaik dari tim yang bersaing ketat untuk meraih kemenangan. Dapatkan informasi lengkap mengenai jadwal pertandingan dan hasil pertandingan terbaru hanya di Vidio.</t>
  </si>
  <si>
    <t>d2f1ea99</t>
  </si>
  <si>
    <t>Fenerbahce Medicana vs Eczacibasi Dynavit - Turkish Women's Volleyball League</t>
  </si>
  <si>
    <t>fenerbahce medicana; eczacibasi dynavit; sports stream</t>
  </si>
  <si>
    <t>Nonton streaming pertandingan seru Fenerbahce Medicana vs Eczacibasi Dynavit - Turkish Women's Volleyball League. Saksikan aksi-aksi terbaik dari tim yang bersaing ketat untuk meraih kemenangan. Dapatkan informasi lengkap mengenai jadwal pertandingan dan hasil pertandingan terbaru hanya di Vidio.</t>
  </si>
  <si>
    <t>d81d7dc6</t>
  </si>
  <si>
    <t>Kuzeyboru vs Vakifbank - Turkish Women's Volleyball League</t>
  </si>
  <si>
    <t>Kuzeyboru; vakifbank volleyball; sports stream</t>
  </si>
  <si>
    <t>Nonton streaming pertandingan seru Kuzeyboru vs Vakifbank - Turkish Women's Volleyball League. Saksikan aksi-aksi terbaik dari tim yang bersaing ketat untuk meraih kemenangan. Dapatkan informasi lengkap mengenai jadwal pertandingan dan hasil pertandingan terbaru hanya di Vidio.</t>
  </si>
  <si>
    <t>f092aec8</t>
  </si>
  <si>
    <t>Zeren Spor vs Turk Hava Yollari - Turkish Women's Volleyball League</t>
  </si>
  <si>
    <t>zerenspor; turk hava yollari; sports stream</t>
  </si>
  <si>
    <t>Nonton streaming pertandingan seru Zeren Spor vs Turk Hava Yollari - Turkish Women's Volleyball League. Saksikan aksi-aksi terbaik dari tim yang bersaing ketat untuk meraih kemenangan. Dapatkan informasi lengkap mengenai jadwal pertandingan dan hasil pertandingan terbaru hanya di Vidio.</t>
  </si>
  <si>
    <t>1cdbd564</t>
  </si>
  <si>
    <t>Eczacibasi Dynavit vs Nilufer Belediyespor - Turkish Women's Volleyball League</t>
  </si>
  <si>
    <t>eczacibasi dynavit; nilufer belediyespor; sports stream</t>
  </si>
  <si>
    <t>Nonton streaming pertandingan seru Eczacibasi Dynavit vs Nilufer Belediyespor - Turkish Women's Volleyball League. Saksikan aksi-aksi terbaik dari tim yang bersaing ketat untuk meraih kemenangan. Dapatkan informasi lengkap mengenai jadwal pertandingan dan hasil pertandingan terbaru hanya di Vidio.</t>
  </si>
  <si>
    <t>0fe09ac9</t>
  </si>
  <si>
    <t>Galatasaray Daikin vs Fenerbahce Medicana - Turkish Women's Volleyball League</t>
  </si>
  <si>
    <t>galatasaray daikin; fenerbahce medicana; sports stream</t>
  </si>
  <si>
    <t>Nonton streaming pertandingan seru Galatasaray Daikin vs Fenerbahce Medicana - Turkish Women's Volleyball League. Saksikan aksi-aksi terbaik dari tim yang bersaing ketat untuk meraih kemenangan. Dapatkan informasi lengkap mengenai jadwal pertandingan dan hasil pertandingan terbaru hanya di Vidio.</t>
  </si>
  <si>
    <t>a9f88454</t>
  </si>
  <si>
    <t>An Se Young (KOR) vs Chen Yu Fei (CHN) - Women's Singles Semifinals | PETRONAS Malaysia Open 2026 (Status: Walkover)</t>
  </si>
  <si>
    <t>Nonton streaming pertandingan seru An Se Young (KOR) vs Chen Yu Fei (CHN) - Women's Singles Semifinals | PETRONAS Malaysia Open 2026 (Status: Walkover). Saksikan aksi-aksi terbaik dari tim yang bersaing ketat untuk meraih kemenangan. Dapatkan informasi lengkap mengenai jadwal pertandingan dan hasil pertandingan terbaru hanya di Vidio.</t>
  </si>
  <si>
    <t>6e477c82</t>
  </si>
  <si>
    <t>Pusarla V. Sindhu (IND) vs Wang Zhi Yi (CHN) - Women's Singles Semifinals | PETRONAS Malaysia Open 2026</t>
  </si>
  <si>
    <t>https://www.vidio.com/live/18249-petronas-malaysia-open-2026-semifinals?schedule_id=4835421</t>
  </si>
  <si>
    <t>Nonton streaming pertandingan seru Pusarla V. Sindhu (IND) vs Wang Zhi Yi (CHN) - Women's Singles Semifinals | PETRONAS Malaysia Open 2026. Saksikan aksi-aksi terbaik dari tim yang bersaing ketat untuk meraih kemenangan. Dapatkan informasi lengkap mengenai jadwal pertandingan dan hasil pertandingan terbaru hanya di Vidio.</t>
  </si>
  <si>
    <t>2be46578</t>
  </si>
  <si>
    <t>Yuki Fukushima/Mayu Matsumoto (JPN) vs Baek Ha Na/Lee So Hee (KOR) - Women's Doubles Semifinals | PETRONAS Malaysia Open 2026</t>
  </si>
  <si>
    <t>https://www.vidio.com/live/18249-petronas-malaysia-open-2026-semifinals?schedule_id=4835422</t>
  </si>
  <si>
    <t>Nonton streaming pertandingan seru Yuki Fukushima/Mayu Matsumoto (JPN) vs Baek Ha Na/Lee So Hee (KOR) - Women's Doubles Semifinals | PETRONAS Malaysia Open 2026. Saksikan aksi-aksi terbaik dari tim yang bersaing ketat untuk meraih kemenangan. Dapatkan informasi lengkap mengenai jadwal pertandingan dan hasil pertandingan terbaru hanya di Vidio.</t>
  </si>
  <si>
    <t>e85b9981</t>
  </si>
  <si>
    <t>Liu Sheng Shu/Tan Ning (CHN) vs Jeong Na Eun/Lee Yeon Woo (KOR) - Women's Doubles Semifinals | PETRONAS Malaysia Open 2026</t>
  </si>
  <si>
    <t>https://www.vidio.com/live/18249-petronas-malaysia-open-2026-semifinals?schedule_id=4835423</t>
  </si>
  <si>
    <t>Nonton streaming pertandingan seru Liu Sheng Shu/Tan Ning (CHN) vs Jeong Na Eun/Lee Yeon Woo (KOR) - Women's Doubles Semifinals | PETRONAS Malaysia Open 2026. Saksikan aksi-aksi terbaik dari tim yang bersaing ketat untuk meraih kemenangan. Dapatkan informasi lengkap mengenai jadwal pertandingan dan hasil pertandingan terbaru hanya di Vidio.</t>
  </si>
  <si>
    <t>23451025</t>
  </si>
  <si>
    <t>Feng Yan Zhe/Huang Dong Ping (CHN) vs Tang Chun Man/Tse Ying Suet (HKG) - Mixed Doubles Semifinals | PETRONAS Malaysia Open 2026</t>
  </si>
  <si>
    <t>https://www.vidio.com/live/18249-petronas-malaysia-open-2026-semifinals?schedule_id=4835424</t>
  </si>
  <si>
    <t>Nonton streaming pertandingan seru Feng Yan Zhe/Huang Dong Ping (CHN) vs Tang Chun Man/Tse Ying Suet (HKG) - Mixed Doubles Semifinals | PETRONAS Malaysia Open 2026. Saksikan aksi-aksi terbaik dari tim yang bersaing ketat untuk meraih kemenangan. Dapatkan informasi lengkap mengenai jadwal pertandingan dan hasil pertandingan terbaru hanya di Vidio.</t>
  </si>
  <si>
    <t>35dc923e</t>
  </si>
  <si>
    <t>Jesper Toft/Amalie Magelund (DEN) vs Jiang Zhen Bang/Wei Ya Xin (CHN) - Mixed Doubles Semifinals | PETRONAS Malaysia Open 2026</t>
  </si>
  <si>
    <t>https://www.vidio.com/live/18249-petronas-malaysia-open-2026-semifinals?schedule_id=4835425</t>
  </si>
  <si>
    <t>Nonton streaming pertandingan seru Jesper Toft/Amalie Magelund (DEN) vs Jiang Zhen Bang/Wei Ya Xin (CHN) - Mixed Doubles Semifinals | PETRONAS Malaysia Open 2026. Saksikan aksi-aksi terbaik dari tim yang bersaing ketat untuk meraih kemenangan. Dapatkan informasi lengkap mengenai jadwal pertandingan dan hasil pertandingan terbaru hanya di Vidio.</t>
  </si>
  <si>
    <t>5d499488</t>
  </si>
  <si>
    <t>Jonatan Christie (INA) vs Kunlavut Vitidsarn (THA) - Men's Singles Semifinals | PETRONAS Malaysia Open 2026</t>
  </si>
  <si>
    <t>https://www.vidio.com/live/18249-petronas-malaysia-open-2026-semifinals?schedule_id=4835429</t>
  </si>
  <si>
    <t>Nonton streaming pertandingan seru Jonatan Christie (INA) vs Kunlavut Vitidsarn (THA) - Men's Singles Semifinals | PETRONAS Malaysia Open 2026. Saksikan aksi-aksi terbaik dari tim yang bersaing ketat untuk meraih kemenangan. Dapatkan informasi lengkap mengenai jadwal pertandingan dan hasil pertandingan terbaru hanya di Vidio.</t>
  </si>
  <si>
    <t>e38f4e59</t>
  </si>
  <si>
    <t>Kim Won Ho/Seo Seung Jae (KOR) vs Ben Lane/Sean Vendy (ENG) - Men's Doubles Semifinals | PETRONAS Malaysia Open 2026</t>
  </si>
  <si>
    <t>https://www.vidio.com/live/18249-petronas-malaysia-open-2026-semifinals?schedule_id=4835428</t>
  </si>
  <si>
    <t>Nonton streaming pertandingan seru Kim Won Ho/Seo Seung Jae (KOR) vs Ben Lane/Sean Vendy (ENG) - Men's Doubles Semifinals | PETRONAS Malaysia Open 2026. Saksikan aksi-aksi terbaik dari tim yang bersaing ketat untuk meraih kemenangan. Dapatkan informasi lengkap mengenai jadwal pertandingan dan hasil pertandingan terbaru hanya di Vidio.</t>
  </si>
  <si>
    <t>ef68ce26</t>
  </si>
  <si>
    <t>Shi Yu Qi (CHN) vs Anders Antonsen (DEN) - Men's Singles Semifinals | PETRONAS Malaysia Open 2026</t>
  </si>
  <si>
    <t>https://www.vidio.com/live/18249-petronas-malaysia-open-2026-semifinals?schedule_id=4835427</t>
  </si>
  <si>
    <t>Nonton streaming pertandingan seru Shi Yu Qi (CHN) vs Anders Antonsen (DEN) - Men's Singles Semifinals | PETRONAS Malaysia Open 2026. Saksikan aksi-aksi terbaik dari tim yang bersaing ketat untuk meraih kemenangan. Dapatkan informasi lengkap mengenai jadwal pertandingan dan hasil pertandingan terbaru hanya di Vidio.</t>
  </si>
  <si>
    <t>33335845</t>
  </si>
  <si>
    <t>Fajar Alfian/Muhammad Shohibul Fikri (INA) vs Aaron Chia/Soh Wooi Yik (MAS) - Men's Doubles Semifinals | PETRONAS Malaysia Open 2026</t>
  </si>
  <si>
    <t>https://www.vidio.com/live/18249-petronas-malaysia-open-2026-semifinals?schedule_id=4835426</t>
  </si>
  <si>
    <t>Nonton streaming pertandingan seru Fajar Alfian/Muhammad Shohibul Fikri (INA) vs Aaron Chia/Soh Wooi Yik (MAS) - Men's Doubles Semifinals | PETRONAS Malaysia Open 2026. Saksikan aksi-aksi terbaik dari tim yang bersaing ketat untuk meraih kemenangan. Dapatkan informasi lengkap mengenai jadwal pertandingan dan hasil pertandingan terbaru hanya di Vidio.</t>
  </si>
  <si>
    <t>aea51e0a</t>
  </si>
  <si>
    <t>An Se Young (KOR) vs Wang Zhi Yi (CHN) - Women's Singles Final | PETRONAS Malaysia Open 2026</t>
  </si>
  <si>
    <t>https://www.vidio.com/live/18249-petronas-malaysia-open-2026-finals?schedule_id=4835805</t>
  </si>
  <si>
    <t>Nonton streaming pertandingan seru An Se Young (KOR) vs Wang Zhi Yi (CHN) - Women's Singles Final | PETRONAS Malaysia Open 2026. Saksikan aksi-aksi terbaik dari tim yang bersaing ketat untuk meraih kemenangan. Dapatkan informasi lengkap mengenai jadwal pertandingan dan hasil pertandingan terbaru hanya di Vidio.</t>
  </si>
  <si>
    <t>5e96a0fc</t>
  </si>
  <si>
    <t>Liu Sheng Shu/Tan Ning (CHN) vs Baek Ha Na/Lee So Hee (KOR) - Women's Doubles Final | PETRONAS Malaysia Open 2026</t>
  </si>
  <si>
    <t>https://www.vidio.com/live/18249-petronas-malaysia-open-2026-finals?schedule_id=4835804</t>
  </si>
  <si>
    <t>Nonton streaming pertandingan seru Liu Sheng Shu/Tan Ning (CHN) vs Baek Ha Na/Lee So Hee (KOR) - Women's Doubles Final | PETRONAS Malaysia Open 2026. Saksikan aksi-aksi terbaik dari tim yang bersaing ketat untuk meraih kemenangan. Dapatkan informasi lengkap mengenai jadwal pertandingan dan hasil pertandingan terbaru hanya di Vidio.</t>
  </si>
  <si>
    <t>f636675c</t>
  </si>
  <si>
    <t>Feng Yan Zhe/Huang Dong Ping (CHN) vs Zhen Bang Jiang/Ya Xin Wei (CHN) - Mixed Doubles Final | PETRONAS Malaysia Open 2026</t>
  </si>
  <si>
    <t>https://www.vidio.com/live/18249-petronas-malaysia-open-2026-finals?schedule_id=4835806</t>
  </si>
  <si>
    <t>Nonton streaming pertandingan seru Feng Yan Zhe/Huang Dong Ping (CHN) vs Zhen Bang Jiang/Ya Xin Wei (CHN) - Mixed Doubles Final | PETRONAS Malaysia Open 2026. Saksikan aksi-aksi terbaik dari tim yang bersaing ketat untuk meraih kemenangan. Dapatkan informasi lengkap mengenai jadwal pertandingan dan hasil pertandingan terbaru hanya di Vidio.</t>
  </si>
  <si>
    <t>dae9cd9d</t>
  </si>
  <si>
    <t>Shi Yu Qi (CHN) vs Kunlavut Vitidsarn (THA) - Men's Singles Final | PETRONAS Malaysia Open 2026</t>
  </si>
  <si>
    <t>https://www.vidio.com/live/18249-petronas-malaysia-open-2026-finals?schedule_id=4835807</t>
  </si>
  <si>
    <t>Nonton streaming pertandingan seru Shi Yu Qi (CHN) vs Kunlavut Vitidsarn (THA) - Men's Singles Final | PETRONAS Malaysia Open 2026. Saksikan aksi-aksi terbaik dari tim yang bersaing ketat untuk meraih kemenangan. Dapatkan informasi lengkap mengenai jadwal pertandingan dan hasil pertandingan terbaru hanya di Vidio.</t>
  </si>
  <si>
    <t>3d80f62d</t>
  </si>
  <si>
    <t>Kim Won Ho/Seo Seung Jae (KOR) vs Aaron Chia/Soh Wooi Yik (MAS) - Men's Doubles Final | PETRONAS Malaysia Open 2026</t>
  </si>
  <si>
    <t>https://www.vidio.com/live/18249-petronas-malaysia-open-2026-finals?schedule_id=4835808</t>
  </si>
  <si>
    <t>Nonton streaming pertandingan seru Kim Won Ho/Seo Seung Jae (KOR) vs Aaron Chia/Soh Wooi Yik (MAS) - Men's Doubles Final | PETRONAS Malaysia Open 2026. Saksikan aksi-aksi terbaik dari tim yang bersaing ketat untuk meraih kemenangan. Dapatkan informasi lengkap mengenai jadwal pertandingan dan hasil pertandingan terbaru hanya di Vidio.</t>
  </si>
  <si>
    <t>6a220109</t>
  </si>
  <si>
    <t>Rajadamnern 2026 Super Bantamweight Bout</t>
  </si>
  <si>
    <t>https://drive.google.com/drive/u/0/folders/1QlwBFlgLxde5HoyD-7iMtYPPuh8pB73y</t>
  </si>
  <si>
    <t>Nonton streaming pertandingan seru Rajadamnern 2026 Super Bantamweight Bout. Saksikan aksi-aksi terbaik dari tim yang bersaing ketat untuk meraih kemenangan. Dapatkan informasi lengkap mengenai jadwal pertandingan dan hasil pertandingan terbaru hanya di Vidio.</t>
  </si>
  <si>
    <t>No</t>
  </si>
  <si>
    <t>Nama Atribut</t>
  </si>
  <si>
    <t>Tipe Data</t>
  </si>
  <si>
    <t>Deskripsi</t>
  </si>
  <si>
    <t>Datetime</t>
  </si>
  <si>
    <t>Waktu mulai siaran live streaming</t>
  </si>
  <si>
    <t>Waktu berakhirnya siaran live streaming</t>
  </si>
  <si>
    <t>Numerical</t>
  </si>
  <si>
    <t>Durasi siaran live streaming (menit)</t>
  </si>
  <si>
    <t>match_date_start_time</t>
  </si>
  <si>
    <t>Jam mulai siaran untuk analisis prime time</t>
  </si>
  <si>
    <t>Categorical</t>
  </si>
  <si>
    <t>Nama atau jenis turnamen olahraga</t>
  </si>
  <si>
    <t>Jenis siaran (mis. live, replay)</t>
  </si>
  <si>
    <t>Cakupan siaran pertandingan</t>
  </si>
  <si>
    <t>Genre utama konten olahraga</t>
  </si>
  <si>
    <t>Genre spesifik konten</t>
  </si>
  <si>
    <t>Tipe konten live streaming</t>
  </si>
  <si>
    <t>Jenis event atau kompetisi</t>
  </si>
  <si>
    <t>Tahapan pertandingan (group, semifinal, final)</t>
  </si>
  <si>
    <t>Tim tuan rumah</t>
  </si>
  <si>
    <t>Tim tandang</t>
  </si>
  <si>
    <t>Kategori gender pertandingan</t>
  </si>
  <si>
    <t>Status eksklusivitas konten</t>
  </si>
  <si>
    <t>Jumlah pemutaran siaran</t>
  </si>
  <si>
    <t>Jumlah penonton</t>
  </si>
  <si>
    <t>Jumlah penonton serentak tertinggi</t>
  </si>
  <si>
    <t>Total durasi menonton</t>
  </si>
  <si>
    <t>Rata-rata durasi menonton</t>
  </si>
  <si>
    <t>Total pemutaran agregat</t>
  </si>
  <si>
    <t>Total penonton agregat</t>
  </si>
  <si>
    <t>Total durasi menonton agregat</t>
  </si>
  <si>
    <t>Jumlah akuisisi pengguna dari konten</t>
  </si>
  <si>
    <t>Total akuisisi pengguna agregat</t>
  </si>
  <si>
    <t>Skor performa konten</t>
  </si>
  <si>
    <t>Skor performa agregat</t>
  </si>
  <si>
    <t>Prioritas marketing internal</t>
  </si>
  <si>
    <t>Categorical (Target)</t>
  </si>
  <si>
    <t>Kategori prioritas konten (tinggi/sedang/rendah)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</si>
</sst>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&quot; &quot;mmm&quot; &quot;yyyy&quot; &quot;hh&quot;:&quot;mm"/>
    <numFmt numFmtId="165" formatCode="m/d/yyyy\ h:mm:ss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2" borderId="0" xfId="0" applyFont="1" applyFill="1" applyAlignment="1">
      <alignment vertical="center"/>
    </xf>
    <xf numFmtId="3" fontId="2" fillId="0" borderId="0" xfId="0" applyNumberFormat="1" applyFont="1" applyAlignment="1">
      <alignment vertical="center"/>
    </xf>
    <xf numFmtId="4" fontId="2" fillId="2" borderId="0" xfId="0" applyNumberFormat="1" applyFon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horizontal="right" vertical="center"/>
    </xf>
    <xf numFmtId="21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vertical="center"/>
    </xf>
    <xf numFmtId="4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3" fontId="3" fillId="0" borderId="0" xfId="0" applyNumberFormat="1" applyFont="1" applyAlignment="1">
      <alignment horizontal="center" vertical="center"/>
    </xf>
    <xf numFmtId="3" fontId="6" fillId="0" borderId="0" xfId="0" applyNumberFormat="1" applyFont="1"/>
    <xf numFmtId="0" fontId="6" fillId="0" borderId="0" xfId="0" applyFont="1"/>
    <xf numFmtId="165" fontId="3" fillId="0" borderId="0" xfId="0" applyNumberFormat="1" applyFont="1" applyAlignment="1">
      <alignment vertical="center"/>
    </xf>
    <xf numFmtId="165" fontId="3" fillId="0" borderId="0" xfId="0" applyNumberFormat="1" applyFont="1"/>
    <xf numFmtId="49" fontId="3" fillId="0" borderId="0" xfId="0" quotePrefix="1" applyNumberFormat="1" applyFont="1" applyAlignment="1">
      <alignment vertical="center"/>
    </xf>
    <xf numFmtId="0" fontId="3" fillId="0" borderId="0" xfId="0" applyFont="1"/>
    <xf numFmtId="0" fontId="5" fillId="0" borderId="0" xfId="0" applyFont="1"/>
    <xf numFmtId="3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vidio.com/live/6299-bein-1?schedule_id=4819776" TargetMode="External"/><Relationship Id="rId4233" Type="http://schemas.openxmlformats.org/officeDocument/2006/relationships/hyperlink" Target="https://3.basecamp.com/4902751/buckets/36763424/card_tables/cards/9129128012" TargetMode="External"/><Relationship Id="rId8854" Type="http://schemas.openxmlformats.org/officeDocument/2006/relationships/hyperlink" Target="https://drive.google.com/drive/folders/1Lx-0OvbVFB64sVr_HpFNekla_7G2woZ3?usp=drive_link" TargetMode="External"/><Relationship Id="rId9905" Type="http://schemas.openxmlformats.org/officeDocument/2006/relationships/hyperlink" Target="https://drive.google.com/file/d/1oiHtlthHZI5zLx6jLEsSvbdNk1THi4W5/view?usp=sharing" TargetMode="External"/><Relationship Id="rId7456" Type="http://schemas.openxmlformats.org/officeDocument/2006/relationships/hyperlink" Target="https://www.vidio.com/live/19587-top-youth-premier-league-2025-matchday-4?schedule_id=4585743" TargetMode="External"/><Relationship Id="rId8507" Type="http://schemas.openxmlformats.org/officeDocument/2006/relationships/hyperlink" Target="https://drive.google.com/drive/folders/1BPXvKxcoJ-1XmCLjAJonZMtaoH4RMXsA" TargetMode="External"/><Relationship Id="rId10784" Type="http://schemas.openxmlformats.org/officeDocument/2006/relationships/hyperlink" Target="https://drive.google.com/drive/u/0/folders/1GB2PEtltvim588dqQLO3AESoEsbsWJf8" TargetMode="External"/><Relationship Id="rId11835" Type="http://schemas.openxmlformats.org/officeDocument/2006/relationships/hyperlink" Target="https://drive.google.com/drive/folders/1Ty2H_i_qk549qwdTHB8xBRYGJbtv8v5N?usp=drive_link" TargetMode="External"/><Relationship Id="rId6058" Type="http://schemas.openxmlformats.org/officeDocument/2006/relationships/hyperlink" Target="https://drive.google.com/file/d/1MI5be2s3x1aUTzSWk_Vb4n_TEd-_ZVbU/view?usp=sharing" TargetMode="External"/><Relationship Id="rId7109" Type="http://schemas.openxmlformats.org/officeDocument/2006/relationships/hyperlink" Target="https://drive.google.com/file/d/1qZ7UcLVjyHDuWnnR5cYnu_RWl_ZeYZWM/view?usp=sharing" TargetMode="External"/><Relationship Id="rId10437" Type="http://schemas.openxmlformats.org/officeDocument/2006/relationships/hyperlink" Target="https://www.vidio.com/live/19738-turkish-volleyball-league?schedule_id=4779487" TargetMode="External"/><Relationship Id="rId987" Type="http://schemas.openxmlformats.org/officeDocument/2006/relationships/hyperlink" Target="https://drive.google.com/file/d/11iqwV9849U5Dtsx5RwWObJwn4WlwVdA3/view?usp=sharing" TargetMode="External"/><Relationship Id="rId2668" Type="http://schemas.openxmlformats.org/officeDocument/2006/relationships/hyperlink" Target="https://www.vidio.com/live/6317-bein-3?schedule_id=4626138" TargetMode="External"/><Relationship Id="rId3719" Type="http://schemas.openxmlformats.org/officeDocument/2006/relationships/hyperlink" Target="https://drive.google.com/file/d/11l_-rd6sRtUh4djFXRkMZQlTrwYQDbzw/view?usp=drive_link" TargetMode="External"/><Relationship Id="rId4090" Type="http://schemas.openxmlformats.org/officeDocument/2006/relationships/hyperlink" Target="https://drive.google.com/file/d/1Nrk4qMUbcQDr_8rVPZJdd-swsHIlr4Rx/view?usp=drive_link" TargetMode="External"/><Relationship Id="rId5141" Type="http://schemas.openxmlformats.org/officeDocument/2006/relationships/hyperlink" Target="https://drive.google.com/drive/folders/1UMM3qu-iL7YDFu8yDZKmNR2Cs9dzHmCY?usp=drive_link" TargetMode="External"/><Relationship Id="rId9762" Type="http://schemas.openxmlformats.org/officeDocument/2006/relationships/hyperlink" Target="https://www.vidio.com/live/20084-ea-sports-fc-supercup-2025-26?schedule_id=4783722" TargetMode="External"/><Relationship Id="rId11692" Type="http://schemas.openxmlformats.org/officeDocument/2006/relationships/hyperlink" Target="https://drive.google.com/drive/u/0/folders/1uBzClyFJE2zT30mNu79Urx-cF8_z2TiC" TargetMode="External"/><Relationship Id="rId1751" Type="http://schemas.openxmlformats.org/officeDocument/2006/relationships/hyperlink" Target="https://drive.google.com/file/d/1sjaaZjcsGoYfpX37YsJrMbWRpoYm5bcZ/view?usp=sharing" TargetMode="External"/><Relationship Id="rId2802" Type="http://schemas.openxmlformats.org/officeDocument/2006/relationships/hyperlink" Target="https://drive.google.com/file/d/1TH_QdF1aQXAXhVcP7YWjZP7S4rjqnhJA/view?usp=sharing" TargetMode="External"/><Relationship Id="rId8364" Type="http://schemas.openxmlformats.org/officeDocument/2006/relationships/hyperlink" Target="https://drive.google.com/file/d/15QfVXCIo6588Jg1JfsDTVeOMhFg4hx0Z/view?usp=sharing" TargetMode="External"/><Relationship Id="rId9415" Type="http://schemas.openxmlformats.org/officeDocument/2006/relationships/hyperlink" Target="https://www.vidio.com/live/19542-pegadaian-championship-2025-26?schedule_id=4832280" TargetMode="External"/><Relationship Id="rId10294" Type="http://schemas.openxmlformats.org/officeDocument/2006/relationships/hyperlink" Target="https://drive.google.com/drive/folders/18Oha2p7Lqjd8nCR4nu28x1PUbjPt82jg" TargetMode="External"/><Relationship Id="rId11345" Type="http://schemas.openxmlformats.org/officeDocument/2006/relationships/hyperlink" Target="https://www.vidio.com/live/19988-bri-super-league?schedule_id=4834098" TargetMode="External"/><Relationship Id="rId1404" Type="http://schemas.openxmlformats.org/officeDocument/2006/relationships/hyperlink" Target="https://drive.google.com/file/d/1l0wTCkH4qa92VFgQs_QZuV2ptURvU2Sv/view?usp=sharing" TargetMode="External"/><Relationship Id="rId8017" Type="http://schemas.openxmlformats.org/officeDocument/2006/relationships/hyperlink" Target="https://drive.google.com/file/d/1Np5L3ZUjbewdeEfUzlJiuHFVI3PF-aGU/view?usp=sharing" TargetMode="External"/><Relationship Id="rId3576" Type="http://schemas.openxmlformats.org/officeDocument/2006/relationships/hyperlink" Target="https://drive.google.com/drive/folders/1zRiXNzdklBWBR4GB59xDBaO2dsnWJNIb" TargetMode="External"/><Relationship Id="rId4627" Type="http://schemas.openxmlformats.org/officeDocument/2006/relationships/hyperlink" Target="https://drive.google.com/file/d/18Mfv5u9hB0mjM9XAbjMylC8u6s6tRpPO/view?usp=sharing" TargetMode="External"/><Relationship Id="rId4974" Type="http://schemas.openxmlformats.org/officeDocument/2006/relationships/hyperlink" Target="https://drive.google.com/file/d/1brfmYChvi7yGshHf3eG5P3I3-BwzOrRa/view?usp=sharing" TargetMode="External"/><Relationship Id="rId497" Type="http://schemas.openxmlformats.org/officeDocument/2006/relationships/hyperlink" Target="https://drive.google.com/file/d/1kRCcGq34YfocJOzRj-hili0JsTPuTaOf/view?usp=sharing" TargetMode="External"/><Relationship Id="rId2178" Type="http://schemas.openxmlformats.org/officeDocument/2006/relationships/hyperlink" Target="https://drive.google.com/file/d/1-CGWjtJ2XDNwjyhuFaMDMPNnMxByAU0w/view?usp=drive_link" TargetMode="External"/><Relationship Id="rId3229" Type="http://schemas.openxmlformats.org/officeDocument/2006/relationships/hyperlink" Target="https://thumbor.prod.vidiocdn.com/SI8DIdqZXAAFN458EKMgeSmktqg=/filters:quality(70)/vidio-media-production/uploads/image/source/53297/bd9985.png" TargetMode="External"/><Relationship Id="rId7100" Type="http://schemas.openxmlformats.org/officeDocument/2006/relationships/hyperlink" Target="https://www.vidio.com/live/19548-national-football-league-2025-26?schedule_id=4574018" TargetMode="External"/><Relationship Id="rId6799" Type="http://schemas.openxmlformats.org/officeDocument/2006/relationships/hyperlink" Target="https://drive.google.com/drive/folders/1oSjSQAaexR1szupumsDfbAURVNF67IQT?usp=drive_link" TargetMode="External"/><Relationship Id="rId3710" Type="http://schemas.openxmlformats.org/officeDocument/2006/relationships/hyperlink" Target="https://drive.google.com/drive/folders/1OmFqCyntOpvpa7IXLDQ16fCqtNR-zc1H" TargetMode="External"/><Relationship Id="rId9272" Type="http://schemas.openxmlformats.org/officeDocument/2006/relationships/hyperlink" Target="https://drive.google.com/file/d/1bGAtWdCSL-v2iZg1GvRoYwXZwXVqVH3x/view?usp=sharing" TargetMode="External"/><Relationship Id="rId12253" Type="http://schemas.openxmlformats.org/officeDocument/2006/relationships/hyperlink" Target="https://www.vidio.com/live/20266?schedule_id=4833842" TargetMode="External"/><Relationship Id="rId631" Type="http://schemas.openxmlformats.org/officeDocument/2006/relationships/hyperlink" Target="https://drive.google.com/drive/folders/1MdE7RqiAa1SQQKSEJtKIkAw0e4eQKPSe?usp=drive_link" TargetMode="External"/><Relationship Id="rId1261" Type="http://schemas.openxmlformats.org/officeDocument/2006/relationships/hyperlink" Target="https://drive.google.com/file/d/195iaSwQkFDeot63s8cVk4-If0zvAiyHN/view?usp=sharing" TargetMode="External"/><Relationship Id="rId2312" Type="http://schemas.openxmlformats.org/officeDocument/2006/relationships/hyperlink" Target="https://drive.google.com/file/d/14zF1kV6DMkL-kP2YuKAe_g318f31J13w/view?usp=sharing" TargetMode="External"/><Relationship Id="rId5882" Type="http://schemas.openxmlformats.org/officeDocument/2006/relationships/hyperlink" Target="https://www.vidio.com/live/19599-uefa-europa-league?schedule_id=4734914" TargetMode="External"/><Relationship Id="rId6933" Type="http://schemas.openxmlformats.org/officeDocument/2006/relationships/hyperlink" Target="https://drive.google.com/file/d/1Oa6d_QJKFjoiXHyfqIX_VbO58hACEDVb/view?usp=sharing" TargetMode="External"/><Relationship Id="rId4484" Type="http://schemas.openxmlformats.org/officeDocument/2006/relationships/hyperlink" Target="https://drive.google.com/file/d/1Ozc7xsb1n1w9qZ2ipyDeNqmlzbmhW2Ta/view?usp=sharing" TargetMode="External"/><Relationship Id="rId5535" Type="http://schemas.openxmlformats.org/officeDocument/2006/relationships/hyperlink" Target="https://drive.google.com/file/d/1pKkVTteb20TDT7383g_DADlsJg5wKE-V/view?usp=sharing" TargetMode="External"/><Relationship Id="rId3086" Type="http://schemas.openxmlformats.org/officeDocument/2006/relationships/hyperlink" Target="https://drive.google.com/file/d/14FLuT-AfJXVMNdPGnD7fXxEKnah-seh7/view?usp=sharing" TargetMode="External"/><Relationship Id="rId4137" Type="http://schemas.openxmlformats.org/officeDocument/2006/relationships/hyperlink" Target="https://drive.google.com/file/d/1WFVSNiIG8LPPb4Bo891LOvQyCX0iFovI/view?usp=sharing" TargetMode="External"/><Relationship Id="rId8758" Type="http://schemas.openxmlformats.org/officeDocument/2006/relationships/hyperlink" Target="https://drive.google.com/drive/folders/1voCB-Wb6DOpWG4mq3lw8v2aPp_z8_Ms5?usp=drive_link" TargetMode="External"/><Relationship Id="rId9809" Type="http://schemas.openxmlformats.org/officeDocument/2006/relationships/hyperlink" Target="https://www.vidio.com/live/19881-top-soccer-championship-2025-u-16-u-17-semifinal-plate?schedule_id=4730512" TargetMode="External"/><Relationship Id="rId10688" Type="http://schemas.openxmlformats.org/officeDocument/2006/relationships/hyperlink" Target="https://drive.google.com/drive/folders/1SjB3HAQwz9Kp_L5cCn7RkdAXFN19MhbZ?usp=drive_link" TargetMode="External"/><Relationship Id="rId11739" Type="http://schemas.openxmlformats.org/officeDocument/2006/relationships/hyperlink" Target="https://www.vidio.com/live/18252-petronas-malaysia-open-2026-round-of-32-court-3" TargetMode="External"/><Relationship Id="rId141" Type="http://schemas.openxmlformats.org/officeDocument/2006/relationships/hyperlink" Target="https://drive.google.com/file/d/1gU7zdm_HVZgCjxDgpTWrmnVlmTM1A6ka/view?usp=sharing" TargetMode="External"/><Relationship Id="rId3220" Type="http://schemas.openxmlformats.org/officeDocument/2006/relationships/hyperlink" Target="https://thumbor.prod.vidiocdn.com/VS-mOkajduWoejrEAUAuTfcnFA4=/filters:quality(70)/vidio-media-production/uploads/image/source/52772/b8ebbc.png" TargetMode="External"/><Relationship Id="rId6790" Type="http://schemas.openxmlformats.org/officeDocument/2006/relationships/hyperlink" Target="https://drive.google.com/drive/folders/1NepG6XT-FSa8Cs07sX3tPfQWLNpJfAxp" TargetMode="External"/><Relationship Id="rId7841" Type="http://schemas.openxmlformats.org/officeDocument/2006/relationships/hyperlink" Target="https://drive.google.com/drive/folders/1ZrHrVPrymz8sQIMLFbn1IgcUztyKyCBP?usp=sharing" TargetMode="External"/><Relationship Id="rId10822" Type="http://schemas.openxmlformats.org/officeDocument/2006/relationships/hyperlink" Target="https://www.vidio.com/live/18250-hsbc-bwf-world-tour-finals-2025-group-stage-court-2?schedule_id=4782105" TargetMode="External"/><Relationship Id="rId7" Type="http://schemas.openxmlformats.org/officeDocument/2006/relationships/hyperlink" Target="https://drive.google.com/drive/folders/17Oi7qfz-iB5iNNSQKbyCNx9iJ1a_npwB?usp=drive_link" TargetMode="External"/><Relationship Id="rId5392" Type="http://schemas.openxmlformats.org/officeDocument/2006/relationships/hyperlink" Target="https://drive.google.com/drive/folders/1ooLvffe-PW9H1Z7bbxTOJJoRFEib_FJ5" TargetMode="External"/><Relationship Id="rId6443" Type="http://schemas.openxmlformats.org/officeDocument/2006/relationships/hyperlink" Target="https://drive.google.com/drive/folders/1LCxIL4Za3mSNhkXjTNpVTBEHKHjw4LQj" TargetMode="External"/><Relationship Id="rId5045" Type="http://schemas.openxmlformats.org/officeDocument/2006/relationships/hyperlink" Target="https://drive.google.com/drive/folders/1iXXXI8AUN2qzP-l9i7Vb4Z_ch9sn0od-" TargetMode="External"/><Relationship Id="rId9666" Type="http://schemas.openxmlformats.org/officeDocument/2006/relationships/hyperlink" Target="https://www.vidio.com/live/20048-fivb-women-s-volleyball-club-world-championship-2025?schedule_id=4778377" TargetMode="External"/><Relationship Id="rId11596" Type="http://schemas.openxmlformats.org/officeDocument/2006/relationships/hyperlink" Target="https://drive.google.com/file/d/1LOtgKnE1Hqn3AxL302OTsk1sRqyYJARV/view?usp=sharing" TargetMode="External"/><Relationship Id="rId1655" Type="http://schemas.openxmlformats.org/officeDocument/2006/relationships/hyperlink" Target="https://drive.google.com/file/d/1S60jUHxhpt1aNGrfKIeGGrb7NB9ocsnB/view?usp=sharing" TargetMode="External"/><Relationship Id="rId2706" Type="http://schemas.openxmlformats.org/officeDocument/2006/relationships/hyperlink" Target="https://www.vidio.com/live/6299-bein-1?schedule_id=4660126" TargetMode="External"/><Relationship Id="rId8268" Type="http://schemas.openxmlformats.org/officeDocument/2006/relationships/hyperlink" Target="https://www.vidio.com/live/19692-top-youth-premier-league-2025-matchweek-6?schedule_id=4644429" TargetMode="External"/><Relationship Id="rId9319" Type="http://schemas.openxmlformats.org/officeDocument/2006/relationships/hyperlink" Target="https://drive.google.com/file/d/1tZIko4UqVXuHOALvZ9l-7uFmPObDflxw/view?usp=sharing" TargetMode="External"/><Relationship Id="rId10198" Type="http://schemas.openxmlformats.org/officeDocument/2006/relationships/hyperlink" Target="https://drive.google.com/drive/folders/1EXGNurDmaHCPfaR7acUZjEkje6du3GXt?usp=drive_link" TargetMode="External"/><Relationship Id="rId11249" Type="http://schemas.openxmlformats.org/officeDocument/2006/relationships/hyperlink" Target="https://drive.google.com/drive/folders/18p2G2pNu5TIqTUk1lFfq5dWyWo-2f_yj" TargetMode="External"/><Relationship Id="rId1308" Type="http://schemas.openxmlformats.org/officeDocument/2006/relationships/hyperlink" Target="https://drive.google.com/drive/folders/1LuxZ_sFvW4OpHLHwr_N1EPpdItPfXoCI?usp=drive_link" TargetMode="External"/><Relationship Id="rId4878" Type="http://schemas.openxmlformats.org/officeDocument/2006/relationships/hyperlink" Target="https://thumbor.prod.vidiocdn.com/ukL-tz4cF5nRn-L3WwuM6VNRm0c=/filters:quality(70)/vidio-media-production/uploads/image/source/52811/6421f7.png" TargetMode="External"/><Relationship Id="rId5929" Type="http://schemas.openxmlformats.org/officeDocument/2006/relationships/hyperlink" Target="https://drive.google.com/file/d/1x4iE4Sl_4uVVnPVUaxVEd0wyLj6qboQj/view?usp=sharing" TargetMode="External"/><Relationship Id="rId9800" Type="http://schemas.openxmlformats.org/officeDocument/2006/relationships/hyperlink" Target="https://www.vidio.com/live/19880-top-soccer-championship-2025-u-13-u-14?schedule_id=4730509" TargetMode="External"/><Relationship Id="rId11730" Type="http://schemas.openxmlformats.org/officeDocument/2006/relationships/hyperlink" Target="https://www.vidio.com/live/18249-petronas-malaysia-open-2026-round-of-32-court-1" TargetMode="External"/><Relationship Id="rId14" Type="http://schemas.openxmlformats.org/officeDocument/2006/relationships/hyperlink" Target="https://drive.google.com/file/d/1TdPhGH0sPIoaGXXGQj1fF17NGeRQMgS1/view?usp=sharing" TargetMode="External"/><Relationship Id="rId7004" Type="http://schemas.openxmlformats.org/officeDocument/2006/relationships/hyperlink" Target="https://drive.google.com/file/d/1ltysP6TCzGBeTSyMs3zirWAq7WwRE0pi/view?usp=sharing" TargetMode="External"/><Relationship Id="rId7351" Type="http://schemas.openxmlformats.org/officeDocument/2006/relationships/hyperlink" Target="https://drive.google.com/file/d/1eR1DuG0jL7uEBKjsIOwK-0uqupCn7cp3/view?usp=sharing" TargetMode="External"/><Relationship Id="rId8402" Type="http://schemas.openxmlformats.org/officeDocument/2006/relationships/hyperlink" Target="https://www.vidio.com/live/6685-champions-tv-1?schedule_id=4783762" TargetMode="External"/><Relationship Id="rId10332" Type="http://schemas.openxmlformats.org/officeDocument/2006/relationships/hyperlink" Target="https://drive.google.com/file/d/1pAo0QhcvNgMx24DDFRlD4hLKz5KAp759/view?usp=sharing" TargetMode="External"/><Relationship Id="rId3961" Type="http://schemas.openxmlformats.org/officeDocument/2006/relationships/hyperlink" Target="https://drive.google.com/file/d/1DNux4glLBnqI-DzUHKvsJVIQIe0fQ_QF/view?usp=sharing" TargetMode="External"/><Relationship Id="rId882" Type="http://schemas.openxmlformats.org/officeDocument/2006/relationships/hyperlink" Target="https://www.vidio.com/live/18797-premier-league?schedule_id=4743732" TargetMode="External"/><Relationship Id="rId2563" Type="http://schemas.openxmlformats.org/officeDocument/2006/relationships/hyperlink" Target="https://drive.google.com/file/d/1THAD11AL7fG5C95EhPE-MJ4Zm2OejU76/view?usp=sharing" TargetMode="External"/><Relationship Id="rId3614" Type="http://schemas.openxmlformats.org/officeDocument/2006/relationships/hyperlink" Target="https://drive.google.com/file/d/1JvubKZlvoFQTC7H0cGbGBE7AdxJEDyFy/view?usp=sharing" TargetMode="External"/><Relationship Id="rId9176" Type="http://schemas.openxmlformats.org/officeDocument/2006/relationships/hyperlink" Target="https://drive.google.com/file/d/1DNux4glLBnqI-DzUHKvsJVIQIe0fQ_QF/view?usp=sharing" TargetMode="External"/><Relationship Id="rId12157" Type="http://schemas.openxmlformats.org/officeDocument/2006/relationships/hyperlink" Target="https://www.vidio.com/live/20274" TargetMode="External"/><Relationship Id="rId535" Type="http://schemas.openxmlformats.org/officeDocument/2006/relationships/hyperlink" Target="https://drive.google.com/file/d/1YFv-4t8Qfe9sPp12cPgyeLDhCT_viJez/view?usp=sharing" TargetMode="External"/><Relationship Id="rId1165" Type="http://schemas.openxmlformats.org/officeDocument/2006/relationships/hyperlink" Target="https://www.vidio.com/live/19375-premier-league?schedule_id=4802059" TargetMode="External"/><Relationship Id="rId2216" Type="http://schemas.openxmlformats.org/officeDocument/2006/relationships/hyperlink" Target="https://www.vidio.com/live/18832-sirkuit-nasional-bulutangkis-2025?schedule_id=4523998" TargetMode="External"/><Relationship Id="rId5786" Type="http://schemas.openxmlformats.org/officeDocument/2006/relationships/hyperlink" Target="https://drive.google.com/file/d/1DkXhLrgwomiV0dX4k9QfLlxMNuTKKEnF/view?usp=sharing" TargetMode="External"/><Relationship Id="rId6837" Type="http://schemas.openxmlformats.org/officeDocument/2006/relationships/hyperlink" Target="https://drive.google.com/file/d/1usjdlWTRojA7uYoW6XFzL_dVoqj9DBjO/view?usp=sharing" TargetMode="External"/><Relationship Id="rId4388" Type="http://schemas.openxmlformats.org/officeDocument/2006/relationships/hyperlink" Target="https://drive.google.com/file/d/1MiN6OU86wDQ2Bo-iwYfE7XSdl9QW5WMj/view?usp=sharing" TargetMode="External"/><Relationship Id="rId5439" Type="http://schemas.openxmlformats.org/officeDocument/2006/relationships/hyperlink" Target="https://drive.google.com/file/d/1JEI2Txp6ztEzZj3FZW13scniwzjt_Jk7/view?usp=share_link" TargetMode="External"/><Relationship Id="rId9310" Type="http://schemas.openxmlformats.org/officeDocument/2006/relationships/hyperlink" Target="https://drive.google.com/drive/folders/1Ytr4BnRn-dIVMMoQF1HUPGFJjv1_aUQn?usp=drive_link" TargetMode="External"/><Relationship Id="rId11240" Type="http://schemas.openxmlformats.org/officeDocument/2006/relationships/hyperlink" Target="https://drive.google.com/file/d/12Em_-qxoJTB6tZvq9BeDLfvBZ9VpbCb8/view?usp=drive_link" TargetMode="External"/><Relationship Id="rId5920" Type="http://schemas.openxmlformats.org/officeDocument/2006/relationships/hyperlink" Target="https://drive.google.com/file/d/1QklgfECq-fywZ1HOL21y9oxcBksSnJ3Q/view?usp=sharing" TargetMode="External"/><Relationship Id="rId3471" Type="http://schemas.openxmlformats.org/officeDocument/2006/relationships/hyperlink" Target="https://drive.google.com/file/d/19K1_SvjcfJZZLeAtcklJCFR3E7Q7rgNV/view?usp=drive_link" TargetMode="External"/><Relationship Id="rId4522" Type="http://schemas.openxmlformats.org/officeDocument/2006/relationships/hyperlink" Target="https://drive.google.com/drive/folders/1DeJCScnPkkDeQ_R7vAEQkIx3Z9GGUNrT?usp=drive_link" TargetMode="External"/><Relationship Id="rId392" Type="http://schemas.openxmlformats.org/officeDocument/2006/relationships/hyperlink" Target="https://www.vidio.com/live/9182-champions-tv-5?schedule_id=4605162" TargetMode="External"/><Relationship Id="rId2073" Type="http://schemas.openxmlformats.org/officeDocument/2006/relationships/hyperlink" Target="https://drive.google.com/file/d/1MGga5VY8cH-Qt0dnTcjOqvUranRwc2fI/view?usp=sharing" TargetMode="External"/><Relationship Id="rId3124" Type="http://schemas.openxmlformats.org/officeDocument/2006/relationships/hyperlink" Target="https://thumbor.prod.vidiocdn.com/LGjjnx3WJHlidJCSD-arTOK1AwU=/filters:quality(70)/vidio-media-production/uploads/image/source/51762/784e98.png" TargetMode="External"/><Relationship Id="rId6694" Type="http://schemas.openxmlformats.org/officeDocument/2006/relationships/hyperlink" Target="https://www.vidio.com/live/6685-champions-tv-1?schedule_id=4593839" TargetMode="External"/><Relationship Id="rId7745" Type="http://schemas.openxmlformats.org/officeDocument/2006/relationships/hyperlink" Target="https://drive.google.com/file/d/1MuQegUOANHbPXjmLEQzN7pIdhqEADPKd/view?usp=drive_link" TargetMode="External"/><Relationship Id="rId5296" Type="http://schemas.openxmlformats.org/officeDocument/2006/relationships/hyperlink" Target="https://drive.google.com/drive/folders/1UJh6Ohrk8ICltqRuS2ZUbx-5nOk1lSCs" TargetMode="External"/><Relationship Id="rId6347" Type="http://schemas.openxmlformats.org/officeDocument/2006/relationships/hyperlink" Target="https://drive.google.com/drive/folders/1-1bvZY8pjYLAL1CNo8MwjvjulYvHWeH9" TargetMode="External"/><Relationship Id="rId10726" Type="http://schemas.openxmlformats.org/officeDocument/2006/relationships/hyperlink" Target="https://www.vidio.com/live/19623-national-football-league-2025-26?schedule_id=4783761" TargetMode="External"/><Relationship Id="rId2957" Type="http://schemas.openxmlformats.org/officeDocument/2006/relationships/hyperlink" Target="https://drive.google.com/file/d/1ADAOJcQM8duca3reoiC1EIvD3ZbEm3Dw/view?usp=sharing" TargetMode="External"/><Relationship Id="rId929" Type="http://schemas.openxmlformats.org/officeDocument/2006/relationships/hyperlink" Target="https://drive.google.com/file/d/1o2IVZQ8bv_ZcDQLJi62sT0OdPkmQ6Uv_/view?usp=sharing" TargetMode="External"/><Relationship Id="rId1559" Type="http://schemas.openxmlformats.org/officeDocument/2006/relationships/hyperlink" Target="https://drive.google.com/file/d/1m9MxFjMnxuSTVIS-FJO0QcLN5FiPo_nN/view?usp=sharing" TargetMode="External"/><Relationship Id="rId4032" Type="http://schemas.openxmlformats.org/officeDocument/2006/relationships/hyperlink" Target="https://drive.google.com/drive/folders/13M4xWzB9cuW0NWpDLmVXGsfXGzv6VRhT?usp=drive_link" TargetMode="External"/><Relationship Id="rId5430" Type="http://schemas.openxmlformats.org/officeDocument/2006/relationships/hyperlink" Target="https://drive.google.com/file/d/1XTdy27G3JsEYLc0pd-Rd6CUfctf6UGbD/view?usp=sharing" TargetMode="External"/><Relationship Id="rId11981" Type="http://schemas.openxmlformats.org/officeDocument/2006/relationships/hyperlink" Target="https://drive.google.com/file/d/195vbuwhsQPt6iEJVlGrfDpTxgLD90doi/view?usp=sharing" TargetMode="External"/><Relationship Id="rId8653" Type="http://schemas.openxmlformats.org/officeDocument/2006/relationships/hyperlink" Target="https://drive.google.com/file/d/1tz_mx01WocrFROPQqt0izhPY-u1duzZt/view?usp=sharing" TargetMode="External"/><Relationship Id="rId9704" Type="http://schemas.openxmlformats.org/officeDocument/2006/relationships/hyperlink" Target="https://onechampionship.box.com/s/bbji2f8rlhvquesn96ddhj52p0jdgzwn" TargetMode="External"/><Relationship Id="rId10583" Type="http://schemas.openxmlformats.org/officeDocument/2006/relationships/hyperlink" Target="https://drive.google.com/drive/folders/1LfCh6bpWoGT5QxV52aDBe1cvLKhhRjM3?usp=drive_link" TargetMode="External"/><Relationship Id="rId11634" Type="http://schemas.openxmlformats.org/officeDocument/2006/relationships/hyperlink" Target="https://drive.google.com/drive/folders/15DM7cppiwc8NzwfjENBOA16nj0BBVszb" TargetMode="External"/><Relationship Id="rId7255" Type="http://schemas.openxmlformats.org/officeDocument/2006/relationships/hyperlink" Target="https://drive.google.com/file/d/1GqgXyAREJmEH2keHljvBrpc0Mwu-lBLY/view?usp=sharing" TargetMode="External"/><Relationship Id="rId8306" Type="http://schemas.openxmlformats.org/officeDocument/2006/relationships/hyperlink" Target="https://thumbor.prod.vidiocdn.com/xpgWFHANg_RGyVBJZ0M9L2R_NJA=/filters:quality(70)/vidio-media-production/uploads/image/source/52160/90a45e.png" TargetMode="External"/><Relationship Id="rId10236" Type="http://schemas.openxmlformats.org/officeDocument/2006/relationships/hyperlink" Target="https://drive.google.com/file/d/1Clu61PWgDSSBtqg9ERQuJ8gkSv7-CFl1/view?usp=sharing" TargetMode="External"/><Relationship Id="rId3865" Type="http://schemas.openxmlformats.org/officeDocument/2006/relationships/hyperlink" Target="https://thumbor.prod.vidiocdn.com/GLve87Tjzj6lSw5jbDqlZQeperQ=/filters:quality(70)/vidio-media-production/uploads/image/source/52176/404ad1.png" TargetMode="External"/><Relationship Id="rId4916" Type="http://schemas.openxmlformats.org/officeDocument/2006/relationships/hyperlink" Target="https://thumbor.prod.vidiocdn.com/4vrfwNfqgfZO_wn442W4Roln6AU=/filters:quality(70)/vidio-media-production/uploads/image/source/53025/04cc9c.png" TargetMode="External"/><Relationship Id="rId786" Type="http://schemas.openxmlformats.org/officeDocument/2006/relationships/hyperlink" Target="https://www.vidio.com/live/9182-champions-tv-5?schedule_id=4739605" TargetMode="External"/><Relationship Id="rId2467" Type="http://schemas.openxmlformats.org/officeDocument/2006/relationships/hyperlink" Target="https://drive.google.com/file/d/1pnIMePWlXkruGuIqxme5rPMhs7f6FGhj/view?usp=drive_link" TargetMode="External"/><Relationship Id="rId3518" Type="http://schemas.openxmlformats.org/officeDocument/2006/relationships/hyperlink" Target="https://www.vidio.com/live/18739-liga-portugal?schedule_id=4674577" TargetMode="External"/><Relationship Id="rId439" Type="http://schemas.openxmlformats.org/officeDocument/2006/relationships/hyperlink" Target="https://drive.google.com/file/d/1bAdoxII7jBtfmj36kups87t7hVeAaKou/view?usp=sharing" TargetMode="External"/><Relationship Id="rId1069" Type="http://schemas.openxmlformats.org/officeDocument/2006/relationships/hyperlink" Target="https://drive.google.com/drive/folders/18JEVlYUn6zkOs6TAhdaYnSDQRH3wZNkG?usp=drive_link" TargetMode="External"/><Relationship Id="rId8163" Type="http://schemas.openxmlformats.org/officeDocument/2006/relationships/hyperlink" Target="https://drive.google.com/drive/folders/14rQQ9agBru1mhklawigZ5JfHreIGVATr" TargetMode="External"/><Relationship Id="rId9214" Type="http://schemas.openxmlformats.org/officeDocument/2006/relationships/hyperlink" Target="https://drive.google.com/file/d/1bGAtWdCSL-v2iZg1GvRoYwXZwXVqVH3x/view?usp=drive_link" TargetMode="External"/><Relationship Id="rId9561" Type="http://schemas.openxmlformats.org/officeDocument/2006/relationships/hyperlink" Target="https://www.vidio.com/live/19846-top-soccer-championship-2025-u-13-u-14?schedule_id=4719862" TargetMode="External"/><Relationship Id="rId11491" Type="http://schemas.openxmlformats.org/officeDocument/2006/relationships/hyperlink" Target="https://www.vidio.com/live/19737-turkish-volleyball-league?schedule_id=4803429" TargetMode="External"/><Relationship Id="rId920" Type="http://schemas.openxmlformats.org/officeDocument/2006/relationships/hyperlink" Target="https://drive.google.com/drive/folders/1OYaFEHUPP6WozxKecPCD55NZAI71A2Pz?usp=drive_link" TargetMode="External"/><Relationship Id="rId1550" Type="http://schemas.openxmlformats.org/officeDocument/2006/relationships/hyperlink" Target="https://www.vidio.com/live/19354-bri-super-league?schedule_id=4499141" TargetMode="External"/><Relationship Id="rId2601" Type="http://schemas.openxmlformats.org/officeDocument/2006/relationships/hyperlink" Target="https://drive.google.com/drive/folders/1Uvpyq7aJ9ziprM56s_j6IH8SMRpjNI4T?usp=drive_link" TargetMode="External"/><Relationship Id="rId10093" Type="http://schemas.openxmlformats.org/officeDocument/2006/relationships/hyperlink" Target="https://drive.google.com/drive/folders/19a8n1lztRmUGfQlt5ROsQQ8qdzgdOl10?usp=sharing" TargetMode="External"/><Relationship Id="rId11144" Type="http://schemas.openxmlformats.org/officeDocument/2006/relationships/hyperlink" Target="https://www.vidio.com/live/20251-fa-cup-2025-26?schedule_id=4834091" TargetMode="External"/><Relationship Id="rId1203" Type="http://schemas.openxmlformats.org/officeDocument/2006/relationships/hyperlink" Target="https://thumbor.prod.vidiocdn.com/RUwUUR75HHGpARIxbBGSHg2uO0I=/filters:quality(70)/vidio-media-production/uploads/image/source/52753/5ab029.png" TargetMode="External"/><Relationship Id="rId4773" Type="http://schemas.openxmlformats.org/officeDocument/2006/relationships/hyperlink" Target="https://thumbor.prod.vidiocdn.com/tXJeRQ4MQ3DOJbvifUNW1Prv1Hc=/filters:quality(70)/vidio-media-production/uploads/image/source/52133/5efe6e.png" TargetMode="External"/><Relationship Id="rId5824" Type="http://schemas.openxmlformats.org/officeDocument/2006/relationships/hyperlink" Target="https://drive.google.com/file/d/1mXlhV5I4LRswICvZTtwDjc4ERojWAcpq/view?usp=sharing" TargetMode="External"/><Relationship Id="rId3375" Type="http://schemas.openxmlformats.org/officeDocument/2006/relationships/hyperlink" Target="https://www.vidio.com/live/19355-bri-super-league?schedule_id=4516128" TargetMode="External"/><Relationship Id="rId4426" Type="http://schemas.openxmlformats.org/officeDocument/2006/relationships/hyperlink" Target="https://drive.google.com/drive/folders/1p-BBE4Q7WYsjaA6zRP-zbxNxOInOSBYU" TargetMode="External"/><Relationship Id="rId7996" Type="http://schemas.openxmlformats.org/officeDocument/2006/relationships/hyperlink" Target="https://www.vidio.com/live/6299-bein-1?schedule_id=4713688" TargetMode="External"/><Relationship Id="rId296" Type="http://schemas.openxmlformats.org/officeDocument/2006/relationships/hyperlink" Target="https://www.vidio.com/live/9182-champions-tv-5?schedule_id=4525571" TargetMode="External"/><Relationship Id="rId3028" Type="http://schemas.openxmlformats.org/officeDocument/2006/relationships/hyperlink" Target="https://drive.google.com/file/d/1aMmrOFBms-ChZMfuMc3Lxc1egOLzLiAm/view?usp=drive_link" TargetMode="External"/><Relationship Id="rId6598" Type="http://schemas.openxmlformats.org/officeDocument/2006/relationships/hyperlink" Target="https://drive.google.com/file/d/1WSRZFAxecajytMvT5Nt37580crzhbJZX/view?usp=drive_link" TargetMode="External"/><Relationship Id="rId7649" Type="http://schemas.openxmlformats.org/officeDocument/2006/relationships/hyperlink" Target="https://www.vidio.com/live/6686-champions-tv-2?schedule_id=4666458" TargetMode="External"/><Relationship Id="rId10977" Type="http://schemas.openxmlformats.org/officeDocument/2006/relationships/hyperlink" Target="https://drive.google.com/drive/folders/18IujgBHwiQI-5PsxgSN3g-MmsR_myUK-?usp=drive_link" TargetMode="External"/><Relationship Id="rId9071" Type="http://schemas.openxmlformats.org/officeDocument/2006/relationships/hyperlink" Target="https://drive.google.com/file/d/1wTvyxb2PetqImZPzeklmPI3XAOmx_sn-/view?usp=sharing" TargetMode="External"/><Relationship Id="rId12052" Type="http://schemas.openxmlformats.org/officeDocument/2006/relationships/hyperlink" Target="https://drive.google.com/file/d/1NSS8caFvdZbwLM0rQ6xFjEA-VHdQ-0wz/view?usp=sharing" TargetMode="External"/><Relationship Id="rId430" Type="http://schemas.openxmlformats.org/officeDocument/2006/relationships/hyperlink" Target="https://drive.google.com/drive/folders/1Vw5ULB3fjb8MiDjTT3Dib7EARuLaPv18" TargetMode="External"/><Relationship Id="rId1060" Type="http://schemas.openxmlformats.org/officeDocument/2006/relationships/hyperlink" Target="https://drive.google.com/file/d/1kTlAj4lTVzw8tsQ4aKCCRlYl34ObLrad/view?usp=sharing" TargetMode="External"/><Relationship Id="rId2111" Type="http://schemas.openxmlformats.org/officeDocument/2006/relationships/hyperlink" Target="https://drive.google.com/drive/folders/17Ta68m1v83kaRDQ1LBn97RanygaJbiqn?usp=drive_link" TargetMode="External"/><Relationship Id="rId5681" Type="http://schemas.openxmlformats.org/officeDocument/2006/relationships/hyperlink" Target="https://drive.google.com/file/d/12vV0_jp2K0Bl2QRDL897rhD2Xr81z7pL/view?usp=sharing" TargetMode="External"/><Relationship Id="rId6732" Type="http://schemas.openxmlformats.org/officeDocument/2006/relationships/hyperlink" Target="https://drive.google.com/drive/folders/1DPKxYCkqploXZ-iI2YnDdo_1SDvl8gOg?usp=drive_link" TargetMode="External"/><Relationship Id="rId4283" Type="http://schemas.openxmlformats.org/officeDocument/2006/relationships/hyperlink" Target="https://drive.google.com/file/d/1Zg_AkIbhHPGOLY_4UWHg2PztCENnoxDC/view?usp=sharing" TargetMode="External"/><Relationship Id="rId5334" Type="http://schemas.openxmlformats.org/officeDocument/2006/relationships/hyperlink" Target="https://drive.google.com/file/d/1XEkUUVKo1rJlglDhwV_DSKH_bfHVOQUD/view?usp=sharing" TargetMode="External"/><Relationship Id="rId9955" Type="http://schemas.openxmlformats.org/officeDocument/2006/relationships/hyperlink" Target="https://drive.google.com/drive/folders/1M-60lCSvLZWF7iZd7Gl5K_CGrzxAwB7t?usp=drive_link" TargetMode="External"/><Relationship Id="rId11885" Type="http://schemas.openxmlformats.org/officeDocument/2006/relationships/hyperlink" Target="https://drive.google.com/file/d/1_VFmtjeoa1jB6YMFl35R4XO6xs8PdX7H/view?usp=sharing" TargetMode="External"/><Relationship Id="rId1944" Type="http://schemas.openxmlformats.org/officeDocument/2006/relationships/hyperlink" Target="https://drive.google.com/drive/u/0/folders/1kGHtJTboMQzt_AXOEFOdRLfI5nrFLPAB" TargetMode="External"/><Relationship Id="rId8557" Type="http://schemas.openxmlformats.org/officeDocument/2006/relationships/hyperlink" Target="https://drive.google.com/drive/folders/1rV6iBF3BUVJGKbJLmmi7Oe55VA7Nav1A" TargetMode="External"/><Relationship Id="rId9608" Type="http://schemas.openxmlformats.org/officeDocument/2006/relationships/hyperlink" Target="https://www.vidio.com/live/19355-bri-super-league?schedule_id=4724843" TargetMode="External"/><Relationship Id="rId10487" Type="http://schemas.openxmlformats.org/officeDocument/2006/relationships/hyperlink" Target="https://drive.google.com/file/d/1DNux4glLBnqI-DzUHKvsJVIQIe0fQ_QF/view?usp=sharing" TargetMode="External"/><Relationship Id="rId11538" Type="http://schemas.openxmlformats.org/officeDocument/2006/relationships/hyperlink" Target="https://thumbor.prod.vidiocdn.com/8Ra81ZH3bLThg_qQiM-xjXCZQUM=/filters:quality(70)/vidio-media-production/uploads/image/source/53259/a4650b.png" TargetMode="External"/><Relationship Id="rId7159" Type="http://schemas.openxmlformats.org/officeDocument/2006/relationships/hyperlink" Target="https://drive.google.com/drive/folders/1o10CbVUMj0bJ5PTAHVYhpQ-wCwW5yDyr?usp=drive_link" TargetMode="External"/><Relationship Id="rId3769" Type="http://schemas.openxmlformats.org/officeDocument/2006/relationships/hyperlink" Target="https://drive.google.com/file/d/1F2lw6CXuo9UBik-lqGnTjsiAjjAZ73rX/view?usp=sharing" TargetMode="External"/><Relationship Id="rId5191" Type="http://schemas.openxmlformats.org/officeDocument/2006/relationships/hyperlink" Target="https://drive.google.com/file/d/1Z6r3WGTrGUk2uVM8fqSDhOla18bz46qW/view?usp=sharing" TargetMode="External"/><Relationship Id="rId6242" Type="http://schemas.openxmlformats.org/officeDocument/2006/relationships/hyperlink" Target="https://drive.google.com/file/d/1dMffmtRV8DawGIFzt_O0Liv532AKXUpI/view?usp=sharing" TargetMode="External"/><Relationship Id="rId7640" Type="http://schemas.openxmlformats.org/officeDocument/2006/relationships/hyperlink" Target="https://drive.google.com/drive/folders/1eE7-Q_l_n4Iw9Uvh2GnKjLpFvGD9Nlpy?usp=drive_link" TargetMode="External"/><Relationship Id="rId10621" Type="http://schemas.openxmlformats.org/officeDocument/2006/relationships/hyperlink" Target="https://www.vidio.com/live/20066-top-soccer-championship-2025-final-cup-dan-plate-u-14-dan-u-15?schedule_id=4776338" TargetMode="External"/><Relationship Id="rId2852" Type="http://schemas.openxmlformats.org/officeDocument/2006/relationships/hyperlink" Target="https://drive.google.com/file/d/1D70ugwLrFevgtLuKz555o6HgDmsOhy27/view?usp=sharing" TargetMode="External"/><Relationship Id="rId3903" Type="http://schemas.openxmlformats.org/officeDocument/2006/relationships/hyperlink" Target="https://drive.google.com/file/d/1HFRcJuj4TuCyDH-Xykl3vjzIbi1o9S23/view?usp=sharing" TargetMode="External"/><Relationship Id="rId9465" Type="http://schemas.openxmlformats.org/officeDocument/2006/relationships/hyperlink" Target="https://www.vidio.com/live/19584-pegadaian-championship-2025-26?schedule_id=4834095" TargetMode="External"/><Relationship Id="rId11395" Type="http://schemas.openxmlformats.org/officeDocument/2006/relationships/hyperlink" Target="https://www.vidio.com/live/19383-bri-super-league?schedule_id=4803412" TargetMode="External"/><Relationship Id="rId12446" Type="http://schemas.openxmlformats.org/officeDocument/2006/relationships/hyperlink" Target="https://www.vidio.com/live/18249-petronas-malaysia-open-2026-semifinals?schedule_id=4835422" TargetMode="External"/><Relationship Id="rId824" Type="http://schemas.openxmlformats.org/officeDocument/2006/relationships/hyperlink" Target="https://drive.google.com/file/d/1g1Y45hz35kWWO_TNVDeN7mDsPM2bktF9/view?usp=sharing" TargetMode="External"/><Relationship Id="rId1454" Type="http://schemas.openxmlformats.org/officeDocument/2006/relationships/hyperlink" Target="https://drive.google.com/drive/folders/1kg8jYex-u_BiG2VGm0Kyy9XnvHfl_RUo" TargetMode="External"/><Relationship Id="rId2505" Type="http://schemas.openxmlformats.org/officeDocument/2006/relationships/hyperlink" Target="https://drive.google.com/file/d/1t4PhdHce39OgNYQJ30Sd7vQBZTBikNaB/view?usp=sharing" TargetMode="External"/><Relationship Id="rId8067" Type="http://schemas.openxmlformats.org/officeDocument/2006/relationships/hyperlink" Target="https://drive.google.com/drive/folders/1e2SO3Y8DCZAWwgY6WZ4u-e5PFSoRM2gK?usp=drive_link" TargetMode="External"/><Relationship Id="rId9118" Type="http://schemas.openxmlformats.org/officeDocument/2006/relationships/hyperlink" Target="https://drive.google.com/file/d/1FXL06sBKXw_7NE0WlB-Zko6NhE1HfDg-/view?usp=sharing" TargetMode="External"/><Relationship Id="rId11048" Type="http://schemas.openxmlformats.org/officeDocument/2006/relationships/hyperlink" Target="https://thumbor.prod.vidiocdn.com/rgGAATlNOOgQKvxsEVRBaop5V7Q=/filters:quality(70)/vidio-media-production/uploads/image/source/53194/be7999.png" TargetMode="External"/><Relationship Id="rId1107" Type="http://schemas.openxmlformats.org/officeDocument/2006/relationships/hyperlink" Target="https://drive.google.com/file/d/1skfWfc3EuCpUyW2MqPdeBVBU2cGdU71T/view?usp=sharing" TargetMode="External"/><Relationship Id="rId4677" Type="http://schemas.openxmlformats.org/officeDocument/2006/relationships/hyperlink" Target="https://thumbor.prod.vidiocdn.com/2uTM7JVT4tZZfmVx5qJNo8vPjDE=/filters:quality(70)/vidio-media-production/uploads/image/source/51895/8a3531.png" TargetMode="External"/><Relationship Id="rId5728" Type="http://schemas.openxmlformats.org/officeDocument/2006/relationships/hyperlink" Target="https://drive.google.com/file/d/1RJ6TePG7tzbPd1Z1yrUDn_Jg828Vwhyw/view?usp=sharing" TargetMode="External"/><Relationship Id="rId3279" Type="http://schemas.openxmlformats.org/officeDocument/2006/relationships/hyperlink" Target="https://drive.google.com/drive/folders/1fiW3DeI1wXBuSFXbzAQLkii9N7cb44_V?usp=drive_link" TargetMode="External"/><Relationship Id="rId7150" Type="http://schemas.openxmlformats.org/officeDocument/2006/relationships/hyperlink" Target="https://drive.google.com/file/d/1XQeRFu0Fh83u_l9X-xlI1-D2dZwLod3l/view?usp=drive_link" TargetMode="External"/><Relationship Id="rId8201" Type="http://schemas.openxmlformats.org/officeDocument/2006/relationships/hyperlink" Target="https://www.vidio.com/live/17926-easl?schedule_id=4660166" TargetMode="External"/><Relationship Id="rId10131" Type="http://schemas.openxmlformats.org/officeDocument/2006/relationships/hyperlink" Target="https://drive.google.com/file/d/1DNux4glLBnqI-DzUHKvsJVIQIe0fQ_QF/view?usp=sharing" TargetMode="External"/><Relationship Id="rId3760" Type="http://schemas.openxmlformats.org/officeDocument/2006/relationships/hyperlink" Target="https://drive.google.com/drive/folders/1CaNPJD_NdCsR6Bmj7DBp5OYQjfdoh7Ti?usp=drive_link" TargetMode="External"/><Relationship Id="rId4811" Type="http://schemas.openxmlformats.org/officeDocument/2006/relationships/hyperlink" Target="https://drive.google.com/file/d/16YO7Ns_PHz2OP2kCAl-UZA41oZ0DqFi4/view?usp=sharing" TargetMode="External"/><Relationship Id="rId681" Type="http://schemas.openxmlformats.org/officeDocument/2006/relationships/hyperlink" Target="https://drive.google.com/file/d/14Ia3xFYggO43EWEGLkXaeHcRi1YPpuUQ/view?usp=sharing" TargetMode="External"/><Relationship Id="rId2362" Type="http://schemas.openxmlformats.org/officeDocument/2006/relationships/hyperlink" Target="https://drive.google.com/drive/folders/1fv4qIPrR5JEoKYVgoaUkNCEIASTYGAHl?usp=drive_link" TargetMode="External"/><Relationship Id="rId3413" Type="http://schemas.openxmlformats.org/officeDocument/2006/relationships/hyperlink" Target="https://drive.google.com/drive/u/1/folders/1eNW_NQ32jtAEtaxjt0jgUOkoWgnsOnS0" TargetMode="External"/><Relationship Id="rId6983" Type="http://schemas.openxmlformats.org/officeDocument/2006/relationships/hyperlink" Target="https://drive.google.com/drive/folders/1DrC8qLJsnWpWI-tZeb27fP__uEuayVNN?usp=drive_link" TargetMode="External"/><Relationship Id="rId334" Type="http://schemas.openxmlformats.org/officeDocument/2006/relationships/hyperlink" Target="https://drive.google.com/drive/folders/16KPsK9K0mVahy0NKMh1LLjDSdQ-qrIKf?usp=drive_link" TargetMode="External"/><Relationship Id="rId2015" Type="http://schemas.openxmlformats.org/officeDocument/2006/relationships/hyperlink" Target="https://drive.google.com/drive/folders/1gdUGQcJIKUDpzcq2Lk1AtQgeMQxs7RLJ" TargetMode="External"/><Relationship Id="rId5585" Type="http://schemas.openxmlformats.org/officeDocument/2006/relationships/hyperlink" Target="https://drive.google.com/file/d/12yPQ20DVUuQeVrc6PBFcUnmV_nFcJExq/view?usp=sharing" TargetMode="External"/><Relationship Id="rId6636" Type="http://schemas.openxmlformats.org/officeDocument/2006/relationships/hyperlink" Target="https://drive.google.com/file/d/1FSPfPFJQkwgnyzM1EK3rIDN1SD9lCXA9/view?usp=sharing" TargetMode="External"/><Relationship Id="rId4187" Type="http://schemas.openxmlformats.org/officeDocument/2006/relationships/hyperlink" Target="https://drive.google.com/file/d/1aGUmQo3MbgQd4XuoIhoQpP3mo9KCXZ0K/view?usp=drive_link" TargetMode="External"/><Relationship Id="rId5238" Type="http://schemas.openxmlformats.org/officeDocument/2006/relationships/hyperlink" Target="https://www.vidio.com/live/18303-uefa-champions-league?schedule_id=4680957" TargetMode="External"/><Relationship Id="rId9859" Type="http://schemas.openxmlformats.org/officeDocument/2006/relationships/hyperlink" Target="https://drive.google.com/file/d/1bGAtWdCSL-v2iZg1GvRoYwXZwXVqVH3x/view?usp=sharing" TargetMode="External"/><Relationship Id="rId11789" Type="http://schemas.openxmlformats.org/officeDocument/2006/relationships/hyperlink" Target="https://drive.google.com/drive/folders/18ulg8Uhgs3pN37oew1VXEUS_6rfmIHGq?usp=drive_link" TargetMode="External"/><Relationship Id="rId1848" Type="http://schemas.openxmlformats.org/officeDocument/2006/relationships/hyperlink" Target="https://drive.google.com/file/d/1rtbU7nnu5C7uR2zEnD0Xn7z4NACZE-7X/view?usp=drive_link" TargetMode="External"/><Relationship Id="rId3270" Type="http://schemas.openxmlformats.org/officeDocument/2006/relationships/hyperlink" Target="https://drive.google.com/file/d/1k_WekOCw_purS092bU_b7H185Er27edc/view?usp=sharing" TargetMode="External"/><Relationship Id="rId4321" Type="http://schemas.openxmlformats.org/officeDocument/2006/relationships/hyperlink" Target="https://drive.google.com/drive/folders/1INLwAxNv4NF52Ok0RB-t_-yRZggNJPtI?usp=drive_link" TargetMode="External"/><Relationship Id="rId191" Type="http://schemas.openxmlformats.org/officeDocument/2006/relationships/hyperlink" Target="https://drive.google.com/drive/folders/1XfBfIGZGyZzS0m-SV-iKfxwkHE7cFzrC?usp=drive_link" TargetMode="External"/><Relationship Id="rId7891" Type="http://schemas.openxmlformats.org/officeDocument/2006/relationships/hyperlink" Target="https://www.vidio.com/live/19677-turkish-volleyball-cup?schedule_id=4671768" TargetMode="External"/><Relationship Id="rId8942" Type="http://schemas.openxmlformats.org/officeDocument/2006/relationships/hyperlink" Target="https://www.vidio.com/live/6685-champions-tv-1?schedule_id=4734875" TargetMode="External"/><Relationship Id="rId10872" Type="http://schemas.openxmlformats.org/officeDocument/2006/relationships/hyperlink" Target="https://drive.google.com/file/d/1jlez4JR07DSs3kvGWp_GphpWOxira2l8/view?usp=sharing" TargetMode="External"/><Relationship Id="rId11923" Type="http://schemas.openxmlformats.org/officeDocument/2006/relationships/hyperlink" Target="https://drive.google.com/drive/folders/1gqnmBiDc9HaK7fTi5sC9yJeePuPZJkd8?usp=drive_link" TargetMode="External"/><Relationship Id="rId5095" Type="http://schemas.openxmlformats.org/officeDocument/2006/relationships/hyperlink" Target="https://drive.google.com/drive/folders/16nQ0cz_PHzgi56ykgcE5ZAsoLvmY3pFT" TargetMode="External"/><Relationship Id="rId6493" Type="http://schemas.openxmlformats.org/officeDocument/2006/relationships/hyperlink" Target="https://drive.google.com/file/d/150oODon5l0H6PNcjDL40M-wLm_GRa3l9/view?usp=sharing" TargetMode="External"/><Relationship Id="rId7544" Type="http://schemas.openxmlformats.org/officeDocument/2006/relationships/hyperlink" Target="https://www.vidio.com/live/19658-grand-prix-of-shanghai-china?schedule_id=4626708" TargetMode="External"/><Relationship Id="rId10525" Type="http://schemas.openxmlformats.org/officeDocument/2006/relationships/hyperlink" Target="https://www.vidio.com/live/17875-bein-2?schedule_id=4803410" TargetMode="External"/><Relationship Id="rId6146" Type="http://schemas.openxmlformats.org/officeDocument/2006/relationships/hyperlink" Target="https://drive.google.com/drive/folders/1UfBGLwyVYS5GZqLEtXO6RnOZowpoppJv?usp=drive_link" TargetMode="External"/><Relationship Id="rId2756" Type="http://schemas.openxmlformats.org/officeDocument/2006/relationships/hyperlink" Target="https://drive.google.com/file/d/1-UxJhBQ1ct9bvKfbqmI3RiTIMOlIzB61/view?usp=sharing" TargetMode="External"/><Relationship Id="rId3807" Type="http://schemas.openxmlformats.org/officeDocument/2006/relationships/hyperlink" Target="https://drive.google.com/drive/folders/1nTqkWGzBAfBTsqKuanQ0sjNhGry7vTgO?usp=sharing" TargetMode="External"/><Relationship Id="rId9369" Type="http://schemas.openxmlformats.org/officeDocument/2006/relationships/hyperlink" Target="https://drive.google.com/file/d/1TOPj_ucA8bDaoBLkJ7MnxD-Z0YGYV37F/view?usp=sharing" TargetMode="External"/><Relationship Id="rId11299" Type="http://schemas.openxmlformats.org/officeDocument/2006/relationships/hyperlink" Target="https://thumbor.prod.vidiocdn.com/iTkyi_BPKIkv5MNV-Sl3kDVURHE=/filters:quality(70)/vidio-media-production/uploads/image/source/52375/2058de.png" TargetMode="External"/><Relationship Id="rId728" Type="http://schemas.openxmlformats.org/officeDocument/2006/relationships/hyperlink" Target="https://drive.google.com/drive/folders/1uhJs0XWrw5MpjvNxq26-eXCSMR0UWHi-?usp=drive_link" TargetMode="External"/><Relationship Id="rId1358" Type="http://schemas.openxmlformats.org/officeDocument/2006/relationships/hyperlink" Target="https://www.vidio.com/live/19404-serie-a?schedule_id=4557259" TargetMode="External"/><Relationship Id="rId2409" Type="http://schemas.openxmlformats.org/officeDocument/2006/relationships/hyperlink" Target="https://drive.google.com/drive/folders/16nEL90_QYvb0T0nAN0Kx93YPJYbL3bWo?usp=drive_link" TargetMode="External"/><Relationship Id="rId5979" Type="http://schemas.openxmlformats.org/officeDocument/2006/relationships/hyperlink" Target="https://drive.google.com/file/d/1P44-yVHh8D_iZfLhU-M9zr5kpolEAOb-/view?usp=sharing" TargetMode="External"/><Relationship Id="rId64" Type="http://schemas.openxmlformats.org/officeDocument/2006/relationships/hyperlink" Target="https://drive.google.com/file/d/1lhWoPg8NFtHARS6jgtgVwOrwCfp0oCLK/view?usp=sharing" TargetMode="External"/><Relationship Id="rId8452" Type="http://schemas.openxmlformats.org/officeDocument/2006/relationships/hyperlink" Target="https://drive.google.com/file/d/1daCyy8kFRQmoW9ht9W-er2mv-8-3LznI/view?usp=sharing" TargetMode="External"/><Relationship Id="rId9503" Type="http://schemas.openxmlformats.org/officeDocument/2006/relationships/hyperlink" Target="https://drive.google.com/file/d/1xAXk5rZNVqHZn4N5kzFhxphKjJICTyi9/view?usp=sharing" TargetMode="External"/><Relationship Id="rId9850" Type="http://schemas.openxmlformats.org/officeDocument/2006/relationships/hyperlink" Target="https://drive.google.com/file/d/1bGAtWdCSL-v2iZg1GvRoYwXZwXVqVH3x/view?usp=sharing" TargetMode="External"/><Relationship Id="rId11780" Type="http://schemas.openxmlformats.org/officeDocument/2006/relationships/hyperlink" Target="https://drive.google.com/file/d/1q_Pzn_UOTdq8L1ORZgwsetK40gTlpYu6/view?usp=sharing" TargetMode="External"/><Relationship Id="rId7054" Type="http://schemas.openxmlformats.org/officeDocument/2006/relationships/hyperlink" Target="https://drive.google.com/file/d/1dqLTaxeZCBdx0O62Nx6jlpfz2I9Z3HQ6/view?usp=drive_link" TargetMode="External"/><Relationship Id="rId8105" Type="http://schemas.openxmlformats.org/officeDocument/2006/relationships/hyperlink" Target="https://drive.google.com/file/d/1TM1ovAlgNtl7onHwdNZzLmXgb1eNz3ZI/view?usp=sharing" TargetMode="External"/><Relationship Id="rId10382" Type="http://schemas.openxmlformats.org/officeDocument/2006/relationships/hyperlink" Target="https://drive.google.com/drive/folders/1nBPIF3b87wlxAmRp0DTgkBq4BqcJtX5B?usp=sharing" TargetMode="External"/><Relationship Id="rId11433" Type="http://schemas.openxmlformats.org/officeDocument/2006/relationships/hyperlink" Target="https://www.vidio.com/live/18249-hsbc-bwf-world-tour-finals-2025-semifinals?schedule_id=4788335" TargetMode="External"/><Relationship Id="rId10035" Type="http://schemas.openxmlformats.org/officeDocument/2006/relationships/hyperlink" Target="https://drive.google.com/drive/folders/1iKiQpV9kztJ9RJXz7unWELyQE9fc_Yqp" TargetMode="External"/><Relationship Id="rId3664" Type="http://schemas.openxmlformats.org/officeDocument/2006/relationships/hyperlink" Target="https://www.vidio.com/live/6686-champions-tv-2?schedule_id=4531741" TargetMode="External"/><Relationship Id="rId4715" Type="http://schemas.openxmlformats.org/officeDocument/2006/relationships/hyperlink" Target="https://drive.google.com/file/d/1kyhh7KpPKhQ2xg1oSgLNfbK9Us5NJzd3/view?usp=drive_link" TargetMode="External"/><Relationship Id="rId585" Type="http://schemas.openxmlformats.org/officeDocument/2006/relationships/hyperlink" Target="https://drive.google.com/drive/folders/14PTYozCV7Y38-XlW0PNoy4Y0KwJJEExI?usp=drive_link" TargetMode="External"/><Relationship Id="rId2266" Type="http://schemas.openxmlformats.org/officeDocument/2006/relationships/hyperlink" Target="https://drive.google.com/file/d/1Abf6cOJj3fm_ZBpk26zIug0A_RJk5Hgw/view?usp=drive_link" TargetMode="External"/><Relationship Id="rId3317" Type="http://schemas.openxmlformats.org/officeDocument/2006/relationships/hyperlink" Target="https://drive.google.com/file/d/162D0LDt9UJRsUGcyyUSBo6FETnVdeqKe/view?usp=sharing" TargetMode="External"/><Relationship Id="rId6887" Type="http://schemas.openxmlformats.org/officeDocument/2006/relationships/hyperlink" Target="https://www.vidio.com/live/19543-pegadaian-championship-2025-26?schedule_id=4579878" TargetMode="External"/><Relationship Id="rId7938" Type="http://schemas.openxmlformats.org/officeDocument/2006/relationships/hyperlink" Target="https://drive.google.com/file/d/1FZpmVoaoQEX6cRGzWE5S5YJcoMkPCqkc/view?usp=sharing" TargetMode="External"/><Relationship Id="rId238" Type="http://schemas.openxmlformats.org/officeDocument/2006/relationships/hyperlink" Target="https://www.vidio.com/live/9182-champions-tv-5?schedule_id=4496975" TargetMode="External"/><Relationship Id="rId5489" Type="http://schemas.openxmlformats.org/officeDocument/2006/relationships/hyperlink" Target="https://www.vidio.com/live/18303-uefa-champions-league?schedule_id=4773343" TargetMode="External"/><Relationship Id="rId9360" Type="http://schemas.openxmlformats.org/officeDocument/2006/relationships/hyperlink" Target="https://drive.google.com/drive/folders/1a76ywJg7ov_A2LozXT4ebBc3FludxSJg" TargetMode="External"/><Relationship Id="rId10919" Type="http://schemas.openxmlformats.org/officeDocument/2006/relationships/hyperlink" Target="https://drive.google.com/drive/folders/1ehBQImq5LJsocKNU7tGOwLzoxZOyVGKs" TargetMode="External"/><Relationship Id="rId11290" Type="http://schemas.openxmlformats.org/officeDocument/2006/relationships/hyperlink" Target="https://drive.google.com/file/d/16tr6eZ9lQBMVOHJoMSRMw7kxqnGkAJ6u/view?usp=sharing" TargetMode="External"/><Relationship Id="rId12341" Type="http://schemas.openxmlformats.org/officeDocument/2006/relationships/hyperlink" Target="https://drive.google.com/file/d/17nqJ8YbOWxi4DOQmMA4_VvY1qMuE4tM4/view?usp=drive_link" TargetMode="External"/><Relationship Id="rId2400" Type="http://schemas.openxmlformats.org/officeDocument/2006/relationships/hyperlink" Target="https://drive.google.com/file/d/1OBZl1H7JZFflgmzwD99InHqca06lmQc3/view?usp=sharing" TargetMode="External"/><Relationship Id="rId9013" Type="http://schemas.openxmlformats.org/officeDocument/2006/relationships/hyperlink" Target="https://drive.google.com/file/d/15ssmUAfbY8ZKOLvSBCVBmGgzZ7C0de3b/view?usp=drive_link" TargetMode="External"/><Relationship Id="rId1002" Type="http://schemas.openxmlformats.org/officeDocument/2006/relationships/hyperlink" Target="https://www.vidio.com/live/9183-champions-tv-6?schedule_id=4780175" TargetMode="External"/><Relationship Id="rId5970" Type="http://schemas.openxmlformats.org/officeDocument/2006/relationships/hyperlink" Target="https://www.vidio.com/live/19600-uefa-europa-league?schedule_id=4773543" TargetMode="External"/><Relationship Id="rId3174" Type="http://schemas.openxmlformats.org/officeDocument/2006/relationships/hyperlink" Target="https://www.vidio.com/live/6299-bein-1?schedule_id=4783738" TargetMode="External"/><Relationship Id="rId4572" Type="http://schemas.openxmlformats.org/officeDocument/2006/relationships/hyperlink" Target="https://drive.google.com/drive/folders/1ivvId9BDG1iiHTFDqCyG6cGF35-TUHa6?usp=drive_link" TargetMode="External"/><Relationship Id="rId5623" Type="http://schemas.openxmlformats.org/officeDocument/2006/relationships/hyperlink" Target="https://www.vidio.com/live/19601-uefa-europa-league?schedule_id=4610725" TargetMode="External"/><Relationship Id="rId4225" Type="http://schemas.openxmlformats.org/officeDocument/2006/relationships/hyperlink" Target="https://www.vidio.com/live/17939-serie-a?schedule_id=4653336" TargetMode="External"/><Relationship Id="rId7795" Type="http://schemas.openxmlformats.org/officeDocument/2006/relationships/hyperlink" Target="https://drive.google.com/drive/folders/1CK8Hd0BP54fc_1nAGdpkYGtHG7yBK92T?usp=drive_link" TargetMode="External"/><Relationship Id="rId8846" Type="http://schemas.openxmlformats.org/officeDocument/2006/relationships/hyperlink" Target="https://drive.google.com/drive/folders/1u5JAyQXZcjmzNW-CrtakFijgfN4kDfhj?usp=drive_link" TargetMode="External"/><Relationship Id="rId10776" Type="http://schemas.openxmlformats.org/officeDocument/2006/relationships/hyperlink" Target="https://drive.google.com/drive/folders/1E2iqHwpQkZ9UCtOEPXG1zeg49XoroxyL" TargetMode="External"/><Relationship Id="rId11827" Type="http://schemas.openxmlformats.org/officeDocument/2006/relationships/hyperlink" Target="https://drive.google.com/drive/folders/1Ty2H_i_qk549qwdTHB8xBRYGJbtv8v5N?usp=drive_link" TargetMode="External"/><Relationship Id="rId6397" Type="http://schemas.openxmlformats.org/officeDocument/2006/relationships/hyperlink" Target="https://drive.google.com/drive/folders/1J5n1ewgEBHDTRHH3MNZXDsBi_PufGYE1" TargetMode="External"/><Relationship Id="rId7448" Type="http://schemas.openxmlformats.org/officeDocument/2006/relationships/hyperlink" Target="https://drive.google.com/drive/folders/1NepG6XT-FSa8Cs07sX3tPfQWLNpJfAxp" TargetMode="External"/><Relationship Id="rId10429" Type="http://schemas.openxmlformats.org/officeDocument/2006/relationships/hyperlink" Target="https://www.vidio.com/live/19738-turkish-volleyball-league?schedule_id=4776028" TargetMode="External"/><Relationship Id="rId979" Type="http://schemas.openxmlformats.org/officeDocument/2006/relationships/hyperlink" Target="https://drive.google.com/drive/folders/1PGt41YfA-ZjEG8o9wzQucf9xfQlYC2MZ?usp=drive_link" TargetMode="External"/><Relationship Id="rId5480" Type="http://schemas.openxmlformats.org/officeDocument/2006/relationships/hyperlink" Target="https://drive.google.com/file/d/10qgqF2pBXXsHBcsFHCOQWqgM19x_xw3x/view?usp=sharing" TargetMode="External"/><Relationship Id="rId6531" Type="http://schemas.openxmlformats.org/officeDocument/2006/relationships/hyperlink" Target="https://drive.google.com/drive/folders/1gyn82rudp4mFP9m935mY9xv_KvnDaGKB?usp=drive_link" TargetMode="External"/><Relationship Id="rId10910" Type="http://schemas.openxmlformats.org/officeDocument/2006/relationships/hyperlink" Target="https://www.vidio.com/live/18250-hsbc-bwf-world-tour-finals-2025-group-stage-court-2?schedule_id=4783195" TargetMode="External"/><Relationship Id="rId4082" Type="http://schemas.openxmlformats.org/officeDocument/2006/relationships/hyperlink" Target="https://drive.google.com/drive/folders/1KEbcr6U_ZqEhtv_7d6qSImpjmWPCeGg3?usp=drive_link" TargetMode="External"/><Relationship Id="rId5133" Type="http://schemas.openxmlformats.org/officeDocument/2006/relationships/hyperlink" Target="https://drive.google.com/file/d/1xVV4E95Off_vPKGZtP0CHov6DhJddH96/view?usp=sharing" TargetMode="External"/><Relationship Id="rId9754" Type="http://schemas.openxmlformats.org/officeDocument/2006/relationships/hyperlink" Target="https://drive.google.com/file/d/1vy2NedGb2nrBfUOIy5euGpHPQO8JL3WK/view?usp=sharing" TargetMode="External"/><Relationship Id="rId11684" Type="http://schemas.openxmlformats.org/officeDocument/2006/relationships/hyperlink" Target="https://thumbor.prod.vidiocdn.com/zcjHFY8yV2upztzTvK2lJe0QPxk=/filters:quality(70)/vidio-media-production/uploads/image/source/52882/358f21.png" TargetMode="External"/><Relationship Id="rId1743" Type="http://schemas.openxmlformats.org/officeDocument/2006/relationships/hyperlink" Target="https://drive.google.com/drive/folders/1aABCJyj6sH94Hz51sEg2P0Md-PuDvlxL" TargetMode="External"/><Relationship Id="rId8009" Type="http://schemas.openxmlformats.org/officeDocument/2006/relationships/hyperlink" Target="https://drive.google.com/file/d/1OLAUbhyKPMG_GlcjT94EqmhK4kPAxpro/view?usp=sharing" TargetMode="External"/><Relationship Id="rId8356" Type="http://schemas.openxmlformats.org/officeDocument/2006/relationships/hyperlink" Target="https://drive.google.com/drive/folders/1sirTKTWbiPGXi6cHBk5W0JnlZw7CFw7Y?usp=drive_link" TargetMode="External"/><Relationship Id="rId9407" Type="http://schemas.openxmlformats.org/officeDocument/2006/relationships/hyperlink" Target="https://thumbor.prod.vidiocdn.com/Uf10c-4mdZEAEwlwfDc88T1nj58=/filters:quality(70)/vidio-media-production/uploads/image/source/52973/a0fad7.png" TargetMode="External"/><Relationship Id="rId10286" Type="http://schemas.openxmlformats.org/officeDocument/2006/relationships/hyperlink" Target="https://thumbor.prod.vidiocdn.com/nP6h8hjKyoImSCD5Dr6ErztksE4=/filters:quality(70)/vidio-media-production/uploads/image/source/51870/2e86f0.png" TargetMode="External"/><Relationship Id="rId11337" Type="http://schemas.openxmlformats.org/officeDocument/2006/relationships/hyperlink" Target="https://drive.google.com/file/d/1xWoI5cfCiczASQ61IpvMJLhmo83ZWBkM/view?usp=sharing" TargetMode="External"/><Relationship Id="rId4966" Type="http://schemas.openxmlformats.org/officeDocument/2006/relationships/hyperlink" Target="https://drive.google.com/file/d/1gbm0KKVKq6vrdhlVnXztYrgzD0WuA_3A/view?usp=sharing" TargetMode="External"/><Relationship Id="rId3568" Type="http://schemas.openxmlformats.org/officeDocument/2006/relationships/hyperlink" Target="https://thumbor.prod.vidiocdn.com/KIHhNxg-m3NU1tWfs_Rc8-cJZLo=/filters:quality(70)/vidio-media-production/uploads/image/source/52020/a05fcd.png" TargetMode="External"/><Relationship Id="rId4619" Type="http://schemas.openxmlformats.org/officeDocument/2006/relationships/hyperlink" Target="https://drive.google.com/drive/folders/1gHWqyjLjPOufW0iC77V3Lom1OyhH7SVI?usp=drive_link" TargetMode="External"/><Relationship Id="rId10420" Type="http://schemas.openxmlformats.org/officeDocument/2006/relationships/hyperlink" Target="https://drive.google.com/file/d/1aIyw3qfd2xkM9HmksHEnIPaq_uDMkcr6/view?usp=sharing" TargetMode="External"/><Relationship Id="rId489" Type="http://schemas.openxmlformats.org/officeDocument/2006/relationships/hyperlink" Target="https://drive.google.com/drive/folders/1_AvYCc7ivmse00iPy-pTuMmRNHb_v4dX?usp=drive_link" TargetMode="External"/><Relationship Id="rId6041" Type="http://schemas.openxmlformats.org/officeDocument/2006/relationships/hyperlink" Target="https://drive.google.com/file/d/17hjIYhUgh5L3FKARHAm69aJvDMbTwusv/view?usp=sharing" TargetMode="External"/><Relationship Id="rId9264" Type="http://schemas.openxmlformats.org/officeDocument/2006/relationships/hyperlink" Target="https://www.vidio.com/live/19812-top-soccer-championship-2025-u-15?schedule_id=4708912" TargetMode="External"/><Relationship Id="rId970" Type="http://schemas.openxmlformats.org/officeDocument/2006/relationships/hyperlink" Target="https://drive.google.com/file/d/1Xfh7gknVpny1rJ-FWMG84fnLQ0XCKIpM/view?usp=sharing" TargetMode="External"/><Relationship Id="rId1253" Type="http://schemas.openxmlformats.org/officeDocument/2006/relationships/hyperlink" Target="https://drive.google.com/drive/folders/1TMTKwhZh_skoFiJDE06sMS45970zWlM_?usp=drive_link" TargetMode="External"/><Relationship Id="rId2651" Type="http://schemas.openxmlformats.org/officeDocument/2006/relationships/hyperlink" Target="https://drive.google.com/drive/folders/1VnYsLZGWHjiqZJOKjTqQLsVX5dCzxBXp?usp=drive_link" TargetMode="External"/><Relationship Id="rId3702" Type="http://schemas.openxmlformats.org/officeDocument/2006/relationships/hyperlink" Target="https://drive.google.com/file/d/11FV5QJ9W2oSEqsPdQ5_eLqLAmb1Dinxh/view?usp=sharing" TargetMode="External"/><Relationship Id="rId11194" Type="http://schemas.openxmlformats.org/officeDocument/2006/relationships/hyperlink" Target="https://www.vidio.com/live/18250-hsbc-bwf-world-tour-finals-2025-group-stage-court-2?schedule_id=4784611" TargetMode="External"/><Relationship Id="rId12245" Type="http://schemas.openxmlformats.org/officeDocument/2006/relationships/hyperlink" Target="https://drive.google.com/file/d/17nqJ8YbOWxi4DOQmMA4_VvY1qMuE4tM4/view?usp=drive_link" TargetMode="External"/><Relationship Id="rId623" Type="http://schemas.openxmlformats.org/officeDocument/2006/relationships/hyperlink" Target="https://drive.google.com/file/d/1fjDWveiWwpOylvgpL9jP2rPULkpLrSCH/view?usp=sharing" TargetMode="External"/><Relationship Id="rId2304" Type="http://schemas.openxmlformats.org/officeDocument/2006/relationships/hyperlink" Target="https://drive.google.com/drive/folders/1o4lKa_54-DQzC8EKte4WvxPV8x3wx6Q4?usp=drive_link" TargetMode="External"/><Relationship Id="rId5874" Type="http://schemas.openxmlformats.org/officeDocument/2006/relationships/hyperlink" Target="https://drive.google.com/file/d/1KCNV_grQueKs4PL4bPAymu1w87IloW1_/view?usp=sharing" TargetMode="External"/><Relationship Id="rId6925" Type="http://schemas.openxmlformats.org/officeDocument/2006/relationships/hyperlink" Target="https://drive.google.com/file/d/1oADXmXYXw9qyE4BNZ9d0hGyXgTXiEYkm/view?usp=sharing" TargetMode="External"/><Relationship Id="rId4476" Type="http://schemas.openxmlformats.org/officeDocument/2006/relationships/hyperlink" Target="https://drive.google.com/file/d/1rELQG94zfnP1UmT33-GMxRYEwOs8y2Jq/view?usp=sharing" TargetMode="External"/><Relationship Id="rId5527" Type="http://schemas.openxmlformats.org/officeDocument/2006/relationships/hyperlink" Target="https://www.vidio.com/live/17875-bein-2?schedule_id=4591203" TargetMode="External"/><Relationship Id="rId3078" Type="http://schemas.openxmlformats.org/officeDocument/2006/relationships/hyperlink" Target="https://drive.google.com/file/d/1wI7djgY_iloDCxFqUosAzXWGwA1BufFu/view?usp=drive_link" TargetMode="External"/><Relationship Id="rId4129" Type="http://schemas.openxmlformats.org/officeDocument/2006/relationships/hyperlink" Target="https://drive.google.com/file/d/14fkmaKQFgTEezEk-0CDTtcO9-q_8aI5d/view?usp=sharing" TargetMode="External"/><Relationship Id="rId7699" Type="http://schemas.openxmlformats.org/officeDocument/2006/relationships/hyperlink" Target="https://www.vidio.com/live/19541-pegadaian-championship-2025-26?schedule_id=4665892" TargetMode="External"/><Relationship Id="rId8000" Type="http://schemas.openxmlformats.org/officeDocument/2006/relationships/hyperlink" Target="https://www.vidio.com/live/19543-pegadaian-championship-2025-26?schedule_id=4676979" TargetMode="External"/><Relationship Id="rId4610" Type="http://schemas.openxmlformats.org/officeDocument/2006/relationships/hyperlink" Target="https://drive.google.com/file/d/1vg7faTU1PA6h84Ykhk4dRZcwGwRKqStr/view?usp=sharing" TargetMode="External"/><Relationship Id="rId480" Type="http://schemas.openxmlformats.org/officeDocument/2006/relationships/hyperlink" Target="https://drive.google.com/file/d/15CN9hFICV7xIw_V_Bxc29D2mRfhF4vfu/view?usp=sharing" TargetMode="External"/><Relationship Id="rId2161" Type="http://schemas.openxmlformats.org/officeDocument/2006/relationships/hyperlink" Target="https://thumbor.prod.vidiocdn.com/-kwKyQ7dgGERTh8PKAxJnCjgNcw=/filters:quality(70)/vidio-media-production/uploads/image/source/52303/423eb3.png" TargetMode="External"/><Relationship Id="rId3212" Type="http://schemas.openxmlformats.org/officeDocument/2006/relationships/hyperlink" Target="https://drive.google.com/file/d/1b7jGTduAMnUzXvlSFDEjBGv6-jwJtPKf/view?usp=sharing" TargetMode="External"/><Relationship Id="rId133" Type="http://schemas.openxmlformats.org/officeDocument/2006/relationships/hyperlink" Target="https://drive.google.com/file/d/1r_C5UEF5z1ioAs0F9-gwz6qRZg4lCbmU/view?usp=sharing" TargetMode="External"/><Relationship Id="rId5384" Type="http://schemas.openxmlformats.org/officeDocument/2006/relationships/hyperlink" Target="https://drive.google.com/file/d/1_FZKKFOQNxQYNANBEVKDFzveEYqVR0wJ/view?usp=sharing" TargetMode="External"/><Relationship Id="rId6782" Type="http://schemas.openxmlformats.org/officeDocument/2006/relationships/hyperlink" Target="https://drive.google.com/file/d/1DNux4glLBnqI-DzUHKvsJVIQIe0fQ_QF/view?usp=sharing" TargetMode="External"/><Relationship Id="rId7833" Type="http://schemas.openxmlformats.org/officeDocument/2006/relationships/hyperlink" Target="https://www.vidio.com/live/19673-turkish-women-s-volleyball-cup?schedule_id=4636711" TargetMode="External"/><Relationship Id="rId10814" Type="http://schemas.openxmlformats.org/officeDocument/2006/relationships/hyperlink" Target="https://www.vidio.com/live/18250-hsbc-bwf-world-tour-finals-2025-group-stage-court-2?schedule_id=4782027" TargetMode="External"/><Relationship Id="rId5037" Type="http://schemas.openxmlformats.org/officeDocument/2006/relationships/hyperlink" Target="https://www.vidio.com/live/17875-bein-2?schedule_id=4602015" TargetMode="External"/><Relationship Id="rId6435" Type="http://schemas.openxmlformats.org/officeDocument/2006/relationships/hyperlink" Target="https://drive.google.com/file/d/1iSMEyVzGFvvhMB-J85dOUR3ClvCFEKTy/view?usp=sharing" TargetMode="External"/><Relationship Id="rId1994" Type="http://schemas.openxmlformats.org/officeDocument/2006/relationships/hyperlink" Target="https://drive.google.com/file/d/1vjzkrnRldI6fLWMRolEanXxuoA1YWI5C/view?usp=sharing" TargetMode="External"/><Relationship Id="rId9658" Type="http://schemas.openxmlformats.org/officeDocument/2006/relationships/hyperlink" Target="https://www.vidio.com/live/20048-fivb-women-s-volleyball-club-world-championship-2025?schedule_id=4773607" TargetMode="External"/><Relationship Id="rId11588" Type="http://schemas.openxmlformats.org/officeDocument/2006/relationships/hyperlink" Target="https://drive.google.com/file/d/1b0O8zvihrjohhRKGzxeeh6-oyRXHnpYr/view?usp=sharing" TargetMode="External"/><Relationship Id="rId1647" Type="http://schemas.openxmlformats.org/officeDocument/2006/relationships/hyperlink" Target="https://drive.google.com/drive/folders/1RePTimoXfMttdnKSy9XLQzlm3X8gCzz7" TargetMode="External"/><Relationship Id="rId4120" Type="http://schemas.openxmlformats.org/officeDocument/2006/relationships/hyperlink" Target="https://www.vidio.com/live/19404-serie-a?schedule_id=4598342" TargetMode="External"/><Relationship Id="rId7690" Type="http://schemas.openxmlformats.org/officeDocument/2006/relationships/hyperlink" Target="https://drive.google.com/drive/folders/1IValfbZ_FvAwe0kVsSnM9-kXUxr2piqq?usp=drive_link" TargetMode="External"/><Relationship Id="rId8741" Type="http://schemas.openxmlformats.org/officeDocument/2006/relationships/hyperlink" Target="https://drive.google.com/drive/folders/1NepG6XT-FSa8Cs07sX3tPfQWLNpJfAxp" TargetMode="External"/><Relationship Id="rId6292" Type="http://schemas.openxmlformats.org/officeDocument/2006/relationships/hyperlink" Target="https://drive.google.com/file/d/1GN9XQWigsI9DBbKButSwoatryCzl5143/view?usp=sharing" TargetMode="External"/><Relationship Id="rId7343" Type="http://schemas.openxmlformats.org/officeDocument/2006/relationships/hyperlink" Target="https://www.vidio.com/live/19355-bri-super-league?schedule_id=4596521" TargetMode="External"/><Relationship Id="rId10671" Type="http://schemas.openxmlformats.org/officeDocument/2006/relationships/hyperlink" Target="https://www.vidio.com/live/6685-champions-tv-1?schedule_id=4819783" TargetMode="External"/><Relationship Id="rId11722" Type="http://schemas.openxmlformats.org/officeDocument/2006/relationships/hyperlink" Target="https://www.vidio.com/live/18249-petronas-malaysia-open-2026-finals" TargetMode="External"/><Relationship Id="rId10324" Type="http://schemas.openxmlformats.org/officeDocument/2006/relationships/hyperlink" Target="https://drive.google.com/file/d/1msluPEcX1IlImG9XyZKpU3Kg0JQSHXjz/view?usp=sharing" TargetMode="External"/><Relationship Id="rId3953" Type="http://schemas.openxmlformats.org/officeDocument/2006/relationships/hyperlink" Target="https://www.vidio.com/live/19472?schedule_id=4534249" TargetMode="External"/><Relationship Id="rId9168" Type="http://schemas.openxmlformats.org/officeDocument/2006/relationships/hyperlink" Target="https://www.vidio.com/live/19802-top-youth-premier-league-2025-matchday-10?schedule_id=4709318" TargetMode="External"/><Relationship Id="rId874" Type="http://schemas.openxmlformats.org/officeDocument/2006/relationships/hyperlink" Target="https://drive.google.com/file/d/1fonzEpPXOdktBamrUtIVUgifdn65vRR3/view?usp=sharing" TargetMode="External"/><Relationship Id="rId2555" Type="http://schemas.openxmlformats.org/officeDocument/2006/relationships/hyperlink" Target="https://drive.google.com/drive/folders/1zFW0dpZ3myE1CnH0ovOrMS8pmr1Cu_Y8?usp=drive_link" TargetMode="External"/><Relationship Id="rId3606" Type="http://schemas.openxmlformats.org/officeDocument/2006/relationships/hyperlink" Target="https://www.vidio.com/live/9183-champions-tv-6?schedule_id=4536102" TargetMode="External"/><Relationship Id="rId11098" Type="http://schemas.openxmlformats.org/officeDocument/2006/relationships/hyperlink" Target="https://thumbor.prod.vidiocdn.com/CzErZ28vsX53EgVkCxd0xHy1Lw0=/filters:quality(70)/vidio-media-production/uploads/image/source/52270/8a0e8b.png" TargetMode="External"/><Relationship Id="rId12149" Type="http://schemas.openxmlformats.org/officeDocument/2006/relationships/hyperlink" Target="https://drive.google.com/file/d/17nqJ8YbOWxi4DOQmMA4_VvY1qMuE4tM4/view?usp=drive_link" TargetMode="External"/><Relationship Id="rId527" Type="http://schemas.openxmlformats.org/officeDocument/2006/relationships/hyperlink" Target="https://drive.google.com/file/d/19ufDM8OZ2vBpds-PE5CAaLWL8eUs4Z3x/view?usp=sharing" TargetMode="External"/><Relationship Id="rId1157" Type="http://schemas.openxmlformats.org/officeDocument/2006/relationships/hyperlink" Target="https://thumbor.prod.vidiocdn.com/ERVH2Wc-mTCU2Ve16aTrjS1m3JE=/filters:quality(70)/vidio-media-production/uploads/image/source/52543/725576.png" TargetMode="External"/><Relationship Id="rId2208" Type="http://schemas.openxmlformats.org/officeDocument/2006/relationships/hyperlink" Target="https://drive.google.com/file/d/1MxgQmcfXZsTIMr8JkA1ZqCRUFTX5CDnC/view?usp=drive_link" TargetMode="External"/><Relationship Id="rId5778" Type="http://schemas.openxmlformats.org/officeDocument/2006/relationships/hyperlink" Target="https://drive.google.com/drive/folders/13eQLR64HrKbyWDLlQsn3dQSDucgsN6sA?usp=drive_link" TargetMode="External"/><Relationship Id="rId6829" Type="http://schemas.openxmlformats.org/officeDocument/2006/relationships/hyperlink" Target="https://drive.google.com/drive/folders/1z6LnU3bko23vgUqrhD37Y_SkiDcJIOLD?usp=drive_link" TargetMode="External"/><Relationship Id="rId8251" Type="http://schemas.openxmlformats.org/officeDocument/2006/relationships/hyperlink" Target="https://drive.google.com/drive/folders/1NepG6XT-FSa8Cs07sX3tPfQWLNpJfAxp" TargetMode="External"/><Relationship Id="rId9302" Type="http://schemas.openxmlformats.org/officeDocument/2006/relationships/hyperlink" Target="https://drive.google.com/drive/folders/1zXCo4_q8BoqWwQcWZTdsrNQyXKJvz5Kx?usp=drive_link" TargetMode="External"/><Relationship Id="rId10181" Type="http://schemas.openxmlformats.org/officeDocument/2006/relationships/hyperlink" Target="https://drive.google.com/file/d/1coH-j5GheS0kogoNwnAX_XFH_hTas_K9/view?usp=sharing" TargetMode="External"/><Relationship Id="rId11232" Type="http://schemas.openxmlformats.org/officeDocument/2006/relationships/hyperlink" Target="https://drive.google.com/file/d/1yvNszx8Wuk5yMRRQUkivRossXrLsHzWT/view?usp=sharing" TargetMode="External"/><Relationship Id="rId3463" Type="http://schemas.openxmlformats.org/officeDocument/2006/relationships/hyperlink" Target="https://drive.google.com/drive/u/0/folders/1Yg42ihwWx0cHqIe3Kl4V0SmjTxuD_vrx" TargetMode="External"/><Relationship Id="rId4861" Type="http://schemas.openxmlformats.org/officeDocument/2006/relationships/hyperlink" Target="https://thumbor.prod.vidiocdn.com/KUsoxev1vEdd2zREOMoff2gtJO4=/filters:quality(70)/vidio-media-production/uploads/image/source/52890/c71c5b.png" TargetMode="External"/><Relationship Id="rId5912" Type="http://schemas.openxmlformats.org/officeDocument/2006/relationships/hyperlink" Target="https://drive.google.com/file/d/10iU-Jq7q1Aoyk6yFL1wGxGBmIGmiR2wk/view?usp=sharing" TargetMode="External"/><Relationship Id="rId384" Type="http://schemas.openxmlformats.org/officeDocument/2006/relationships/hyperlink" Target="https://drive.google.com/file/d/1a2_d3I5HP0ooTFCJ_CJN7vYkBxeLIM8K/view?usp=sharing" TargetMode="External"/><Relationship Id="rId2065" Type="http://schemas.openxmlformats.org/officeDocument/2006/relationships/hyperlink" Target="https://drive.google.com/file/d/1WWmWojKI_NKoiNBIpbOalM1sCohrm-FE/view?usp=sharing" TargetMode="External"/><Relationship Id="rId3116" Type="http://schemas.openxmlformats.org/officeDocument/2006/relationships/hyperlink" Target="https://drive.google.com/drive/folders/1KZ9eaK_cE4I20TiQE5JfaAyaq58dzaBM" TargetMode="External"/><Relationship Id="rId4514" Type="http://schemas.openxmlformats.org/officeDocument/2006/relationships/hyperlink" Target="https://www.vidio.com/live/19404-serie-a?schedule_id=4727016" TargetMode="External"/><Relationship Id="rId6686" Type="http://schemas.openxmlformats.org/officeDocument/2006/relationships/hyperlink" Target="https://drive.google.com/file/d/1JIRkUvQdXR783HouAqDhi8FEmwL7TyNu/view?usp=drive_link" TargetMode="External"/><Relationship Id="rId7737" Type="http://schemas.openxmlformats.org/officeDocument/2006/relationships/hyperlink" Target="https://drive.google.com/drive/folders/1-d7SElccr2N6xnWCuYB7bicvICq7mohq?usp=drive_link" TargetMode="External"/><Relationship Id="rId10718" Type="http://schemas.openxmlformats.org/officeDocument/2006/relationships/hyperlink" Target="https://www.vidio.com/live/9183-champions-tv-6?schedule_id=4792898" TargetMode="External"/><Relationship Id="rId5288" Type="http://schemas.openxmlformats.org/officeDocument/2006/relationships/hyperlink" Target="https://drive.google.com/file/d/1rkIgUoPHicYQ0v89bFBFROodoRKACrLV/view?usp=sharing" TargetMode="External"/><Relationship Id="rId6339" Type="http://schemas.openxmlformats.org/officeDocument/2006/relationships/hyperlink" Target="https://drive.google.com/file/d/17XRMdrcPXQeY0ybLF-S9iNNomnx8L34f/view?usp=sharing" TargetMode="External"/><Relationship Id="rId12140" Type="http://schemas.openxmlformats.org/officeDocument/2006/relationships/hyperlink" Target="https://drive.google.com/file/d/17nqJ8YbOWxi4DOQmMA4_VvY1qMuE4tM4/view?usp=drive_link" TargetMode="External"/><Relationship Id="rId1898" Type="http://schemas.openxmlformats.org/officeDocument/2006/relationships/hyperlink" Target="https://drive.google.com/drive/folders/1LGi9dLurk_Jo_59rg1c1WXWuzIKHgb6W" TargetMode="External"/><Relationship Id="rId2949" Type="http://schemas.openxmlformats.org/officeDocument/2006/relationships/hyperlink" Target="https://drive.google.com/drive/folders/1DPSndHg_Ftov32kfHVJYOFvCAsOr-mBg?usp=drive_link" TargetMode="External"/><Relationship Id="rId6820" Type="http://schemas.openxmlformats.org/officeDocument/2006/relationships/hyperlink" Target="https://drive.google.com/file/d/1Xn79dsTGpEd9hTvU3UAt-wvIg3VFr6uN/view?usp=drive_link" TargetMode="External"/><Relationship Id="rId4371" Type="http://schemas.openxmlformats.org/officeDocument/2006/relationships/hyperlink" Target="https://drive.google.com/file/d/1A_xWWrQcQHpdL0SvlXjMbpTrZdV2NLDz/view?usp=sharing" TargetMode="External"/><Relationship Id="rId5422" Type="http://schemas.openxmlformats.org/officeDocument/2006/relationships/hyperlink" Target="https://drive.google.com/file/d/1Gr6cSsPTHZvzNz5vonEQv8rmhlfcREWG/view?usp=share_link" TargetMode="External"/><Relationship Id="rId4024" Type="http://schemas.openxmlformats.org/officeDocument/2006/relationships/hyperlink" Target="https://drive.google.com/file/d/19bS8yZg4qIALyaNupCjLHOH0ujd2DbDE/view?usp=sharing" TargetMode="External"/><Relationship Id="rId7594" Type="http://schemas.openxmlformats.org/officeDocument/2006/relationships/hyperlink" Target="https://drive.google.com/file/d/1mfKIiXvPiaCmzFGtceBEVCkRAoyV8q_F/view?usp=sharing" TargetMode="External"/><Relationship Id="rId8992" Type="http://schemas.openxmlformats.org/officeDocument/2006/relationships/hyperlink" Target="https://drive.google.com/drive/folders/1-9pRUWdOz6YkJL8Tt7c4anjkJ1iLsG7K?usp=drive_link" TargetMode="External"/><Relationship Id="rId11973" Type="http://schemas.openxmlformats.org/officeDocument/2006/relationships/hyperlink" Target="https://www.vidio.com/live/18252-petronas-malaysia-open-2026-round-of-32-court-3?schedule_id=4832200" TargetMode="External"/><Relationship Id="rId6196" Type="http://schemas.openxmlformats.org/officeDocument/2006/relationships/hyperlink" Target="https://drive.google.com/file/d/1nkI4x85Yhelp2_GwAFdHxN2OeIzPOWzL/view?usp=drive_link" TargetMode="External"/><Relationship Id="rId7247" Type="http://schemas.openxmlformats.org/officeDocument/2006/relationships/hyperlink" Target="https://drive.google.com/file/d/1agFMsr4ANdaSaJGrLzENCyW-T__uyAu5/view?usp=sharing" TargetMode="External"/><Relationship Id="rId8645" Type="http://schemas.openxmlformats.org/officeDocument/2006/relationships/hyperlink" Target="https://drive.google.com/drive/folders/1rl5FGcq4AJPO8LOU0ioroZMKuxSSq8pn?usp=drive_link" TargetMode="External"/><Relationship Id="rId10575" Type="http://schemas.openxmlformats.org/officeDocument/2006/relationships/hyperlink" Target="https://drive.google.com/drive/folders/1wkkSFDR-ShiOv5u26KFKOILSSuhhc2BI?usp=drive_link" TargetMode="External"/><Relationship Id="rId11626" Type="http://schemas.openxmlformats.org/officeDocument/2006/relationships/hyperlink" Target="https://drive.google.com/drive/folders/1ab9zU0Hq9CaFxpz9aAj-10ipuq2Qc6IL?usp=drive_link" TargetMode="External"/><Relationship Id="rId10228" Type="http://schemas.openxmlformats.org/officeDocument/2006/relationships/hyperlink" Target="https://drive.google.com/file/d/14N17eITXdvKS8QzpA8l-mR_TkZ_vWKVN/view?usp=sharing" TargetMode="External"/><Relationship Id="rId3857" Type="http://schemas.openxmlformats.org/officeDocument/2006/relationships/hyperlink" Target="https://thumbor.prod.vidiocdn.com/znuBxg2iHLVsJ-0CRlyHlvoVlcc=/filters:quality(70)/vidio-media-production/uploads/image/source/52231/5c4193.png" TargetMode="External"/><Relationship Id="rId4908" Type="http://schemas.openxmlformats.org/officeDocument/2006/relationships/hyperlink" Target="https://thumbor.prod.vidiocdn.com/0w_hlsWqd4PrU-XlmkTbsy0CJ-s=/filters:quality(70)/vidio-media-production/uploads/image/source/53096/638cdc.png" TargetMode="External"/><Relationship Id="rId778" Type="http://schemas.openxmlformats.org/officeDocument/2006/relationships/hyperlink" Target="https://drive.google.com/file/d/1VOfjvUsYxDr2hflDpSuCGRH7tiE26tl1/view?usp=sharing" TargetMode="External"/><Relationship Id="rId2459" Type="http://schemas.openxmlformats.org/officeDocument/2006/relationships/hyperlink" Target="https://drive.google.com/drive/folders/1JwP4lJnLGyO-yaAeCCMSvIFrc0L0M03F?usp=drive_link" TargetMode="External"/><Relationship Id="rId6330" Type="http://schemas.openxmlformats.org/officeDocument/2006/relationships/hyperlink" Target="https://www.vidio.com/live/19645-uefa-conference-league?schedule_id=4700066" TargetMode="External"/><Relationship Id="rId9553" Type="http://schemas.openxmlformats.org/officeDocument/2006/relationships/hyperlink" Target="https://drive.google.com/file/d/1bGAtWdCSL-v2iZg1GvRoYwXZwXVqVH3x/view" TargetMode="External"/><Relationship Id="rId1542" Type="http://schemas.openxmlformats.org/officeDocument/2006/relationships/hyperlink" Target="https://drive.google.com/file/d/1Q8h9wFUv3X2Fz24oWHFGI5Ovgk76pBAh/view?usp=drive_link" TargetMode="External"/><Relationship Id="rId2940" Type="http://schemas.openxmlformats.org/officeDocument/2006/relationships/hyperlink" Target="https://drive.google.com/file/d/1OOmQAPC6AEG0D6Etj81tjlmpHZ6xdFDb/view?usp=sharing" TargetMode="External"/><Relationship Id="rId8155" Type="http://schemas.openxmlformats.org/officeDocument/2006/relationships/hyperlink" Target="https://drive.google.com/file/d/1Wzry2OfCDy4y9QWr2LfZ_OqCGS4JdXGV/view?usp=sharing" TargetMode="External"/><Relationship Id="rId9206" Type="http://schemas.openxmlformats.org/officeDocument/2006/relationships/hyperlink" Target="https://drive.google.com/file/d/1bGAtWdCSL-v2iZg1GvRoYwXZwXVqVH3x/view?usp=sharing" TargetMode="External"/><Relationship Id="rId10085" Type="http://schemas.openxmlformats.org/officeDocument/2006/relationships/hyperlink" Target="https://www.vidio.com/live/17139-spotv?schedule_id=4760849" TargetMode="External"/><Relationship Id="rId11136" Type="http://schemas.openxmlformats.org/officeDocument/2006/relationships/hyperlink" Target="https://thumbor.prod.vidiocdn.com/s_lb0-JEvxH8zfy1bM4YGOAJLk4=/filters:quality(70)/vidio-media-production/uploads/image/source/53283/5de3bc.png" TargetMode="External"/><Relationship Id="rId11483" Type="http://schemas.openxmlformats.org/officeDocument/2006/relationships/hyperlink" Target="https://drive.google.com/file/d/1A_a1V6m39vtVyhpvsfAOV0cG8qQnuLQn/view?usp=sharing" TargetMode="External"/><Relationship Id="rId912" Type="http://schemas.openxmlformats.org/officeDocument/2006/relationships/hyperlink" Target="https://www.vidio.com/live/9182-champions-tv-5?schedule_id=4759274" TargetMode="External"/><Relationship Id="rId4765" Type="http://schemas.openxmlformats.org/officeDocument/2006/relationships/hyperlink" Target="https://thumbor.prod.vidiocdn.com/gIPA8zl05O7X5BQFtjA4qY1LihU=/filters:quality(70)/vidio-media-production/uploads/image/source/52004/b88207.png" TargetMode="External"/><Relationship Id="rId5816" Type="http://schemas.openxmlformats.org/officeDocument/2006/relationships/hyperlink" Target="https://drive.google.com/drive/folders/1GyxARFFJPJr-B8K3m-XCZSfCXVqFhDFV?usp=drive_link" TargetMode="External"/><Relationship Id="rId288" Type="http://schemas.openxmlformats.org/officeDocument/2006/relationships/hyperlink" Target="https://drive.google.com/file/d/1vqwQBXTvRxjCpuDMolujPh78wOKYdtV8/view?usp=drive_link" TargetMode="External"/><Relationship Id="rId3367" Type="http://schemas.openxmlformats.org/officeDocument/2006/relationships/hyperlink" Target="https://drive.google.com/drive/folders/15OIwQqiQPIjTxKNpP5FdiPOTykA3o9ok" TargetMode="External"/><Relationship Id="rId4418" Type="http://schemas.openxmlformats.org/officeDocument/2006/relationships/hyperlink" Target="https://drive.google.com/file/d/1A7ZPhLRp_sHmXDYKoH0dq_AdWViFmcnV/view?usp=sharing" TargetMode="External"/><Relationship Id="rId7988" Type="http://schemas.openxmlformats.org/officeDocument/2006/relationships/hyperlink" Target="https://www.vidio.com/live/6299-bein-1?schedule_id=4713687" TargetMode="External"/><Relationship Id="rId10969" Type="http://schemas.openxmlformats.org/officeDocument/2006/relationships/hyperlink" Target="https://drive.google.com/file/d/1DIhlSO6-QT4K77uTTkjIgsvkchIuhLVr/view?usp=sharing" TargetMode="External"/><Relationship Id="rId12391" Type="http://schemas.openxmlformats.org/officeDocument/2006/relationships/hyperlink" Target="https://www.vidio.com/live/18249-petronas-malaysia-open-2026-round-of-16-court-1?schedule_id=4833793" TargetMode="External"/><Relationship Id="rId2450" Type="http://schemas.openxmlformats.org/officeDocument/2006/relationships/hyperlink" Target="https://drive.google.com/file/d/1M1JscjtpkF38aNRVqxDN4lqAAB2bWUn1/view?usp=sharing" TargetMode="External"/><Relationship Id="rId3501" Type="http://schemas.openxmlformats.org/officeDocument/2006/relationships/hyperlink" Target="https://drive.google.com/file/d/1jogYdrR3DvV19Uy9azedyc0QfT4t0YuF/view?usp=drive_link" TargetMode="External"/><Relationship Id="rId9063" Type="http://schemas.openxmlformats.org/officeDocument/2006/relationships/hyperlink" Target="https://drive.google.com/drive/folders/1b8_kP-VbWgKBE2Y3PCS1yA9HQfN8yTCX?usp=sharing" TargetMode="External"/><Relationship Id="rId12044" Type="http://schemas.openxmlformats.org/officeDocument/2006/relationships/hyperlink" Target="https://drive.google.com/file/d/1NSS8caFvdZbwLM0rQ6xFjEA-VHdQ-0wz/view?usp=sharing" TargetMode="External"/><Relationship Id="rId422" Type="http://schemas.openxmlformats.org/officeDocument/2006/relationships/hyperlink" Target="https://www.vidio.com/live/9182-champions-tv-5?schedule_id=4598338" TargetMode="External"/><Relationship Id="rId1052" Type="http://schemas.openxmlformats.org/officeDocument/2006/relationships/hyperlink" Target="https://drive.google.com/file/d/16Q3gD6Qxv6un5KccLlVSnph2I-cHi-fH/view?usp=drive_link" TargetMode="External"/><Relationship Id="rId2103" Type="http://schemas.openxmlformats.org/officeDocument/2006/relationships/hyperlink" Target="https://drive.google.com/file/d/188T5ATyACUlpS9Pg2QU8XGDrzXY4LMSG/view?usp=sharing" TargetMode="External"/><Relationship Id="rId5673" Type="http://schemas.openxmlformats.org/officeDocument/2006/relationships/hyperlink" Target="https://www.vidio.com/live/19631-uefa-europa-league?schedule_id=4614703" TargetMode="External"/><Relationship Id="rId4275" Type="http://schemas.openxmlformats.org/officeDocument/2006/relationships/hyperlink" Target="https://drive.google.com/file/d/1zZa6CV23aqaAQkS-YkymO3i9ZsSiU4nR/view?usp=sharing" TargetMode="External"/><Relationship Id="rId5326" Type="http://schemas.openxmlformats.org/officeDocument/2006/relationships/hyperlink" Target="https://drive.google.com/drive/folders/1jcGtNmPZVThelEYGNm71h7uQcooebqFa" TargetMode="External"/><Relationship Id="rId6724" Type="http://schemas.openxmlformats.org/officeDocument/2006/relationships/hyperlink" Target="https://www.vidio.com/live/19436-eredivisie?schedule_id=4599322" TargetMode="External"/><Relationship Id="rId8896" Type="http://schemas.openxmlformats.org/officeDocument/2006/relationships/hyperlink" Target="https://www.vidio.com/live/19542-pegadaian-championship-2025-26?schedule_id=4790744" TargetMode="External"/><Relationship Id="rId9947" Type="http://schemas.openxmlformats.org/officeDocument/2006/relationships/hyperlink" Target="https://www.vidio.com/live/6299-bein-1?schedule_id=4790929" TargetMode="External"/><Relationship Id="rId11877" Type="http://schemas.openxmlformats.org/officeDocument/2006/relationships/hyperlink" Target="https://www.vidio.com/live/18250-petronas-malaysia-open-2026-round-of-32-court-2?schedule_id=4831565" TargetMode="External"/><Relationship Id="rId1936" Type="http://schemas.openxmlformats.org/officeDocument/2006/relationships/hyperlink" Target="https://drive.google.com/file/d/1B7A3eWpkpchmJ_qsjBMTPxqrVJfUx_Mb/view?usp=sharing" TargetMode="External"/><Relationship Id="rId7498" Type="http://schemas.openxmlformats.org/officeDocument/2006/relationships/hyperlink" Target="https://drive.google.com/file/d/1iGrrSs9_ZqdVDufNNzwTFJpb1ud2ekAW/view?usp=sharing" TargetMode="External"/><Relationship Id="rId8549" Type="http://schemas.openxmlformats.org/officeDocument/2006/relationships/hyperlink" Target="https://www.vidio.com/live/19543-pegadaian-championship-2025-26?schedule_id=4717736" TargetMode="External"/><Relationship Id="rId10479" Type="http://schemas.openxmlformats.org/officeDocument/2006/relationships/hyperlink" Target="https://www.vidio.com/live/20040-top-youth-premier-league-2025-pekan-ke-13?schedule_id=4766509" TargetMode="External"/><Relationship Id="rId3011" Type="http://schemas.openxmlformats.org/officeDocument/2006/relationships/hyperlink" Target="https://drive.google.com/drive/folders/1hfcarZQQTW9iAZReqcSurlYy_boiq7jw?usp=drive_link" TargetMode="External"/><Relationship Id="rId6581" Type="http://schemas.openxmlformats.org/officeDocument/2006/relationships/hyperlink" Target="https://drive.google.com/drive/folders/1-NhxLyCrXONFXhsce1OLIPjC8U889Vzf?usp=drive_link" TargetMode="External"/><Relationship Id="rId7632" Type="http://schemas.openxmlformats.org/officeDocument/2006/relationships/hyperlink" Target="https://drive.google.com/file/d/15HZvXgbiHOm6WNmVW209RXRXCTIsWLRD/view?usp=sharing" TargetMode="External"/><Relationship Id="rId10960" Type="http://schemas.openxmlformats.org/officeDocument/2006/relationships/hyperlink" Target="https://drive.google.com/file/d/1_2T2vD-T_8smEqm35TOtyYe3OPC5_b9e/view?usp=sharing" TargetMode="External"/><Relationship Id="rId5183" Type="http://schemas.openxmlformats.org/officeDocument/2006/relationships/hyperlink" Target="https://drive.google.com/drive/u/0/folders/1zTyL-RgS6oJw1jgbTwyQaOjDJ3Qss-fE" TargetMode="External"/><Relationship Id="rId6234" Type="http://schemas.openxmlformats.org/officeDocument/2006/relationships/hyperlink" Target="https://drive.google.com/drive/folders/1Huu6bZDLV1RSvaW14aD4x-jv2pxmhtSC" TargetMode="External"/><Relationship Id="rId10613" Type="http://schemas.openxmlformats.org/officeDocument/2006/relationships/hyperlink" Target="https://www.vidio.com/live/20065-top-soccer-championship-semifinal-u-13-dan-final-u-14-plate?schedule_id=4776335" TargetMode="External"/><Relationship Id="rId9457" Type="http://schemas.openxmlformats.org/officeDocument/2006/relationships/hyperlink" Target="https://thumbor.prod.vidiocdn.com/QFbII3bB4nXTkuwhKlUQVQ2hAaA=/filters:quality(70)/vidio-media-production/uploads/image/source/53011/12696f.png" TargetMode="External"/><Relationship Id="rId1793" Type="http://schemas.openxmlformats.org/officeDocument/2006/relationships/hyperlink" Target="https://drive.google.com/file/d/1AxegON8hPoOyFo_r2DqXaYyfMGjyx4_P/view?usp=sharing" TargetMode="External"/><Relationship Id="rId2844" Type="http://schemas.openxmlformats.org/officeDocument/2006/relationships/hyperlink" Target="https://drive.google.com/drive/folders/1cA9KxSRTjbGHfV97cQx2X2tYvii98MF_?usp=drive_link" TargetMode="External"/><Relationship Id="rId8059" Type="http://schemas.openxmlformats.org/officeDocument/2006/relationships/hyperlink" Target="https://drive.google.com/file/d/1TVU2HmmIPSIou0tX94Qe7I58X2qSNSVj/view?usp=sharing" TargetMode="External"/><Relationship Id="rId11387" Type="http://schemas.openxmlformats.org/officeDocument/2006/relationships/hyperlink" Target="https://drive.google.com/file/d/1bGAtWdCSL-v2iZg1GvRoYwXZwXVqVH3x/view?usp=sharing" TargetMode="External"/><Relationship Id="rId12438" Type="http://schemas.openxmlformats.org/officeDocument/2006/relationships/hyperlink" Target="https://drive.google.com/file/d/17nqJ8YbOWxi4DOQmMA4_VvY1qMuE4tM4/view?usp=sharing" TargetMode="External"/><Relationship Id="rId816" Type="http://schemas.openxmlformats.org/officeDocument/2006/relationships/hyperlink" Target="https://www.vidio.com/live/9182-champions-tv-5?schedule_id=4739596" TargetMode="External"/><Relationship Id="rId1446" Type="http://schemas.openxmlformats.org/officeDocument/2006/relationships/hyperlink" Target="https://3.basecamp.com/4902751/buckets/36763424/card_tables/cards/8876941255" TargetMode="External"/><Relationship Id="rId4669" Type="http://schemas.openxmlformats.org/officeDocument/2006/relationships/hyperlink" Target="https://drive.google.com/drive/folders/11tY2G9PGtUIAD8CNkPCKqM0yYmnnfJpM?usp=drive_link" TargetMode="External"/><Relationship Id="rId8540" Type="http://schemas.openxmlformats.org/officeDocument/2006/relationships/hyperlink" Target="https://drive.google.com/drive/folders/1T6FqsmCHma4DohRRr9WTXFgaBYzw8psQ" TargetMode="External"/><Relationship Id="rId10470" Type="http://schemas.openxmlformats.org/officeDocument/2006/relationships/hyperlink" Target="https://www.vidio.com/live/20040-top-youth-premier-league-2025-pekan-ke-13?schedule_id=4766506" TargetMode="External"/><Relationship Id="rId11521" Type="http://schemas.openxmlformats.org/officeDocument/2006/relationships/hyperlink" Target="https://drive.google.com/file/d/1x01iRLfAoy31ZoFmEaDIrfbM0fbiLyyX/view?usp=sharing" TargetMode="External"/><Relationship Id="rId6091" Type="http://schemas.openxmlformats.org/officeDocument/2006/relationships/hyperlink" Target="https://drive.google.com/file/d/1PDcnt9l11gIjSS24I0ekLr0W-aR4vTYK/view?usp=drive_link" TargetMode="External"/><Relationship Id="rId7142" Type="http://schemas.openxmlformats.org/officeDocument/2006/relationships/hyperlink" Target="https://drive.google.com/drive/folders/1QuW8HGm8Gy5DKzFtp0IqY8763E-ORETq?usp=drive_link" TargetMode="External"/><Relationship Id="rId10123" Type="http://schemas.openxmlformats.org/officeDocument/2006/relationships/hyperlink" Target="https://www.vidio.com/live/19997-top-soccer-championship-2025-u-13-u-14?schedule_id=4743075" TargetMode="External"/><Relationship Id="rId3752" Type="http://schemas.openxmlformats.org/officeDocument/2006/relationships/hyperlink" Target="https://drive.google.com/file/d/1vt-GWxtUtZnpW1vlyQuOTFpMk4O0Itxs/view?usp=sharing" TargetMode="External"/><Relationship Id="rId12295" Type="http://schemas.openxmlformats.org/officeDocument/2006/relationships/hyperlink" Target="https://www.vidio.com/live/20278?schedule_id=4833913" TargetMode="External"/><Relationship Id="rId673" Type="http://schemas.openxmlformats.org/officeDocument/2006/relationships/hyperlink" Target="https://drive.google.com/drive/folders/1ZC_1HUY8isvkwtOeRFhw55uviKbH4h4u?usp=drive_link" TargetMode="External"/><Relationship Id="rId2354" Type="http://schemas.openxmlformats.org/officeDocument/2006/relationships/hyperlink" Target="https://drive.google.com/file/d/1y-Ksr6U4MgoS-RUUfevZkB2UybbiSHQY/view?usp=sharing" TargetMode="External"/><Relationship Id="rId3405" Type="http://schemas.openxmlformats.org/officeDocument/2006/relationships/hyperlink" Target="https://drive.google.com/file/d/19P45SGUuy4vZ2UJ6mBCNzIIwrEW3TXh8/view?usp=sharing" TargetMode="External"/><Relationship Id="rId4803" Type="http://schemas.openxmlformats.org/officeDocument/2006/relationships/hyperlink" Target="https://drive.google.com/drive/folders/1swyTFRO4eZ-wAr06Mijzt3aZIQO139Bz?usp=drive_link" TargetMode="External"/><Relationship Id="rId326" Type="http://schemas.openxmlformats.org/officeDocument/2006/relationships/hyperlink" Target="https://www.vidio.com/live/18796-premier-league?schedule_id=4579957" TargetMode="External"/><Relationship Id="rId2007" Type="http://schemas.openxmlformats.org/officeDocument/2006/relationships/hyperlink" Target="https://drive.google.com/file/d/1Z7UE3-0Pj1BznQuMFQCdLPuvpPaWtPbY/view?usp=sharing" TargetMode="External"/><Relationship Id="rId6975" Type="http://schemas.openxmlformats.org/officeDocument/2006/relationships/hyperlink" Target="https://www.vidio.com/live/19541-pegadaian-championship-2025-26?schedule_id=4599295" TargetMode="External"/><Relationship Id="rId4179" Type="http://schemas.openxmlformats.org/officeDocument/2006/relationships/hyperlink" Target="https://drive.google.com/drive/folders/1tia6v4elSjYt0ip0lAMMTPYagWB8TJZK?usp=drive_link" TargetMode="External"/><Relationship Id="rId5577" Type="http://schemas.openxmlformats.org/officeDocument/2006/relationships/hyperlink" Target="https://drive.google.com/drive/folders/19MjPnY45nunnDg-WG9VN6U3Z67v7Jq_w?usp=drive_link" TargetMode="External"/><Relationship Id="rId6628" Type="http://schemas.openxmlformats.org/officeDocument/2006/relationships/hyperlink" Target="https://drive.google.com/drive/folders/1gJaN4EJwF45MhU0qO-8pqT-cF3ON_E1p?usp=drive_link" TargetMode="External"/><Relationship Id="rId8050" Type="http://schemas.openxmlformats.org/officeDocument/2006/relationships/hyperlink" Target="https://drive.google.com/drive/folders/1a6uvNHIJHyFaZu_uP78TVstsa86wy3Sp?usp=drive_link" TargetMode="External"/><Relationship Id="rId9101" Type="http://schemas.openxmlformats.org/officeDocument/2006/relationships/hyperlink" Target="https://drive.google.com/drive/folders/1nw30QroeCiBnjwm2QvX2oKWvcXQGNXkB?usp=sharing" TargetMode="External"/><Relationship Id="rId11031" Type="http://schemas.openxmlformats.org/officeDocument/2006/relationships/hyperlink" Target="https://www.vidio.com/live/19773-fa-cup-2025-26?schedule_id=4833941" TargetMode="External"/><Relationship Id="rId4660" Type="http://schemas.openxmlformats.org/officeDocument/2006/relationships/hyperlink" Target="https://drive.google.com/file/d/1vmT_R9b2PI4zZCKCa1y4mPx09Uh5bfHW/view?usp=sharing" TargetMode="External"/><Relationship Id="rId5711" Type="http://schemas.openxmlformats.org/officeDocument/2006/relationships/hyperlink" Target="https://drive.google.com/drive/folders/1Xlp5aunryVlWR8atbAp6mL9dfJO63aR4?usp=drive_link" TargetMode="External"/><Relationship Id="rId3262" Type="http://schemas.openxmlformats.org/officeDocument/2006/relationships/hyperlink" Target="https://drive.google.com/file/d/1FeW1Uilp5EgWFKv19Qu6mDQaugrt5f8x/view?usp=sharing" TargetMode="External"/><Relationship Id="rId4313" Type="http://schemas.openxmlformats.org/officeDocument/2006/relationships/hyperlink" Target="https://drive.google.com/file/d/1_ML6mQnL8wCJSaIDIBudZ3iIejM-PMR0/view?usp=sharing" TargetMode="External"/><Relationship Id="rId7883" Type="http://schemas.openxmlformats.org/officeDocument/2006/relationships/hyperlink" Target="https://www.vidio.com/live/19677-turkish-women-s-volleyball-cup?schedule_id=4660169" TargetMode="External"/><Relationship Id="rId183" Type="http://schemas.openxmlformats.org/officeDocument/2006/relationships/hyperlink" Target="https://drive.google.com/file/d/15uynFHf9qXYefP7XF7spiyfBKhFToLzK/view?usp=sharing" TargetMode="External"/><Relationship Id="rId6485" Type="http://schemas.openxmlformats.org/officeDocument/2006/relationships/hyperlink" Target="https://drive.google.com/drive/folders/1WZpNWznEpkjb-xO2fMLaJaEvUsVHqZjm?usp=drive_link" TargetMode="External"/><Relationship Id="rId7536" Type="http://schemas.openxmlformats.org/officeDocument/2006/relationships/hyperlink" Target="https://drive.google.com/drive/folders/18B9e7Fh6fACiriKO27El2rmGlNxrEg50?usp=drive_link" TargetMode="External"/><Relationship Id="rId8934" Type="http://schemas.openxmlformats.org/officeDocument/2006/relationships/hyperlink" Target="https://drive.google.com/file/d/1wpGOqbQBfQ-GKIVQLWq-Fdyc2SFhhTlx/view?usp=sharing" TargetMode="External"/><Relationship Id="rId10864" Type="http://schemas.openxmlformats.org/officeDocument/2006/relationships/hyperlink" Target="https://drive.google.com/file/d/1jlez4JR07DSs3kvGWp_GphpWOxira2l8/view?usp=sharing" TargetMode="External"/><Relationship Id="rId11915" Type="http://schemas.openxmlformats.org/officeDocument/2006/relationships/hyperlink" Target="https://drive.google.com/file/d/1I2QL-h1CAeZERs7B5O4XbiSnpFeGO68R/view?usp=sharing" TargetMode="External"/><Relationship Id="rId5087" Type="http://schemas.openxmlformats.org/officeDocument/2006/relationships/hyperlink" Target="https://drive.google.com/file/d/1Gwg1tqIsAn6Xng_z7xQgXbmxc9i6yWdf/view?usp=sharing" TargetMode="External"/><Relationship Id="rId6138" Type="http://schemas.openxmlformats.org/officeDocument/2006/relationships/hyperlink" Target="https://drive.google.com/file/d/1TxBbEUbGhREM7XyVWiG-PCz5XskcDshW/view?usp=sharing" TargetMode="External"/><Relationship Id="rId10517" Type="http://schemas.openxmlformats.org/officeDocument/2006/relationships/hyperlink" Target="https://www.vidio.com/live/19738-turkish-volleyball-league?schedule_id=4780157" TargetMode="External"/><Relationship Id="rId1697" Type="http://schemas.openxmlformats.org/officeDocument/2006/relationships/hyperlink" Target="https://drive.google.com/file/d/1XtGM-02V0YQS4EfA9fzhgbD7tR9XCtSD/view?usp=drive_link" TargetMode="External"/><Relationship Id="rId2748" Type="http://schemas.openxmlformats.org/officeDocument/2006/relationships/hyperlink" Target="https://drive.google.com/drive/folders/1DHfg1OwqHDMVaCmrRrRtQTE_ubk6_lJ3?usp=drive_link" TargetMode="External"/><Relationship Id="rId4170" Type="http://schemas.openxmlformats.org/officeDocument/2006/relationships/hyperlink" Target="https://drive.google.com/file/d/1ZKFZ7Zmy9OFWAy8OtdpzmF1bM-TPG06o/view?usp=drive_link" TargetMode="External"/><Relationship Id="rId5221" Type="http://schemas.openxmlformats.org/officeDocument/2006/relationships/hyperlink" Target="https://www.vidio.com/live/6317-bein-3?schedule_id=4702164" TargetMode="External"/><Relationship Id="rId8791" Type="http://schemas.openxmlformats.org/officeDocument/2006/relationships/hyperlink" Target="https://drive.google.com/file/d/1in3C58oMnDliU7myqIUPVHJn8kfyDynR/view?usp=sharing" TargetMode="External"/><Relationship Id="rId9842" Type="http://schemas.openxmlformats.org/officeDocument/2006/relationships/hyperlink" Target="https://www.vidio.com/live/19921-top-soccer-championship-2025-u-13-u-14?schedule_id=4731889" TargetMode="External"/><Relationship Id="rId56" Type="http://schemas.openxmlformats.org/officeDocument/2006/relationships/hyperlink" Target="https://drive.google.com/file/d/1WkP7bPz9hd0sS5ej7hr6lIUKJEimrTT7/view?usp=sharing" TargetMode="External"/><Relationship Id="rId1831" Type="http://schemas.openxmlformats.org/officeDocument/2006/relationships/hyperlink" Target="https://drive.google.com/file/d/12XIpfKnPwW79iEwT3ApoKMXKzkputZJ3/view?usp=drive_link" TargetMode="External"/><Relationship Id="rId7393" Type="http://schemas.openxmlformats.org/officeDocument/2006/relationships/hyperlink" Target="https://www.vidio.com/live/6686-champions-tv-2?schedule_id=4652730" TargetMode="External"/><Relationship Id="rId8444" Type="http://schemas.openxmlformats.org/officeDocument/2006/relationships/hyperlink" Target="https://drive.google.com/file/d/1FW6QvbVnNvS9QEPfKpW-HyBiK5RS0KZI/view?usp=sharing" TargetMode="External"/><Relationship Id="rId10374" Type="http://schemas.openxmlformats.org/officeDocument/2006/relationships/hyperlink" Target="https://drive.google.com/drive/folders/1Hl6PqKLZehwzOzCWj0sHzUtGdSkqOn4O" TargetMode="External"/><Relationship Id="rId11425" Type="http://schemas.openxmlformats.org/officeDocument/2006/relationships/hyperlink" Target="https://www.vidio.com/live/18249-hsbc-bwf-world-tour-finals-2025-semifinals?schedule_id=4788326" TargetMode="External"/><Relationship Id="rId11772" Type="http://schemas.openxmlformats.org/officeDocument/2006/relationships/hyperlink" Target="https://drive.google.com/file/d/1BL_r47vuUPDeLnyCxu6_tb7PZ72k3cUh/view?usp=drive_link" TargetMode="External"/><Relationship Id="rId7046" Type="http://schemas.openxmlformats.org/officeDocument/2006/relationships/hyperlink" Target="https://drive.google.com/drive/folders/1MX84RU5rZmbIJdFqPDVJ1-8zszjjl40g?usp=drive_link" TargetMode="External"/><Relationship Id="rId10027" Type="http://schemas.openxmlformats.org/officeDocument/2006/relationships/hyperlink" Target="https://thumbor.prod.vidiocdn.com/N_LpdKjlM-SSJkni15xhmxIwyl0=/filters:quality(70)/vidio-media-production/uploads/image/source/52655/7811d3.png" TargetMode="External"/><Relationship Id="rId12199" Type="http://schemas.openxmlformats.org/officeDocument/2006/relationships/hyperlink" Target="https://drive.google.com/file/d/17nqJ8YbOWxi4DOQmMA4_VvY1qMuE4tM4/view?usp=sharing" TargetMode="External"/><Relationship Id="rId577" Type="http://schemas.openxmlformats.org/officeDocument/2006/relationships/hyperlink" Target="https://drive.google.com/drive/folders/1JxdtGeeOCHkdPaWte7qHMkdwD_c47KYI?usp=drive_link" TargetMode="External"/><Relationship Id="rId2258" Type="http://schemas.openxmlformats.org/officeDocument/2006/relationships/hyperlink" Target="https://drive.google.com/drive/folders/1967G-yoXL0Nd5utSHZoQnGK1p8MXmtGA?usp=drive_link" TargetMode="External"/><Relationship Id="rId3656" Type="http://schemas.openxmlformats.org/officeDocument/2006/relationships/hyperlink" Target="https://drive.google.com/file/d/1El69_3q5iWlY900qV8siL5-tEfjMA0r9/view?usp=sharing" TargetMode="External"/><Relationship Id="rId4707" Type="http://schemas.openxmlformats.org/officeDocument/2006/relationships/hyperlink" Target="https://www.vidio.com/live/19404-serie-a?schedule_id=4773707" TargetMode="External"/><Relationship Id="rId3309" Type="http://schemas.openxmlformats.org/officeDocument/2006/relationships/hyperlink" Target="https://www.vidio.com/live/19355-bri-super-league?schedule_id=4499124" TargetMode="External"/><Relationship Id="rId6879" Type="http://schemas.openxmlformats.org/officeDocument/2006/relationships/hyperlink" Target="https://drive.google.com/file/d/1MstMdpnpWkeaDIjWSlhgR0ETp_gx8sxF/view?usp=sharing" TargetMode="External"/><Relationship Id="rId9352" Type="http://schemas.openxmlformats.org/officeDocument/2006/relationships/hyperlink" Target="https://drive.google.com/file/d/11aMtaf_ziPSGMvb7AFpvoehsUesmPS4w/view?usp=sharing" TargetMode="External"/><Relationship Id="rId11282" Type="http://schemas.openxmlformats.org/officeDocument/2006/relationships/hyperlink" Target="https://drive.google.com/drive/folders/1NO-6bfdLZ6MpMkpweovCCcQL0GYtHtMG?usp=drive_link" TargetMode="External"/><Relationship Id="rId12333" Type="http://schemas.openxmlformats.org/officeDocument/2006/relationships/hyperlink" Target="https://www.vidio.com/live/20266?schedule_id=4833888" TargetMode="External"/><Relationship Id="rId711" Type="http://schemas.openxmlformats.org/officeDocument/2006/relationships/hyperlink" Target="https://drive.google.com/file/d/1LjoqhUvGdFFKj_W-ZC_i00D_U1rpu3oG/view?usp=sharing" TargetMode="External"/><Relationship Id="rId1341" Type="http://schemas.openxmlformats.org/officeDocument/2006/relationships/hyperlink" Target="https://www.vidio.com/live/19404-serie-a?schedule_id=4535797" TargetMode="External"/><Relationship Id="rId5962" Type="http://schemas.openxmlformats.org/officeDocument/2006/relationships/hyperlink" Target="https://drive.google.com/file/d/1rhGVADPuiEyPtblX-ZP2kKHZkroZhnDr/view?usp=sharing" TargetMode="External"/><Relationship Id="rId9005" Type="http://schemas.openxmlformats.org/officeDocument/2006/relationships/hyperlink" Target="https://drive.google.com/file/d/1QYIrZ2mcAuyb7Wy0iJRTju3Pyt7mqu69/view?usp=sharing" TargetMode="External"/><Relationship Id="rId4564" Type="http://schemas.openxmlformats.org/officeDocument/2006/relationships/hyperlink" Target="https://drive.google.com/file/d/1SqXRNAMN8pozmtRHcDJijTS_vcl6cyFs/view?usp=sharing" TargetMode="External"/><Relationship Id="rId5615" Type="http://schemas.openxmlformats.org/officeDocument/2006/relationships/hyperlink" Target="https://drive.google.com/file/d/1GioVYUbDraeE4FmfsiXgN0KwxtHvVN9V/view?usp=sharing" TargetMode="External"/><Relationship Id="rId3166" Type="http://schemas.openxmlformats.org/officeDocument/2006/relationships/hyperlink" Target="https://thumbor.prod.vidiocdn.com/U8zPwDfqtdQf7-LYjaIRP2uLu8o=/filters:quality(70)/vidio-media-production/uploads/image/source/52068/ea7179.png" TargetMode="External"/><Relationship Id="rId4217" Type="http://schemas.openxmlformats.org/officeDocument/2006/relationships/hyperlink" Target="https://drive.google.com/file/d/1xif9yUw4ATDyXteyDI6ofR-qCutWkSc4/view?usp=sharing" TargetMode="External"/><Relationship Id="rId6389" Type="http://schemas.openxmlformats.org/officeDocument/2006/relationships/hyperlink" Target="https://drive.google.com/file/d/1WipSI3Y116a0kYX6P5x0us3jL4fwFEvB/view?usp=drive_link" TargetMode="External"/><Relationship Id="rId7787" Type="http://schemas.openxmlformats.org/officeDocument/2006/relationships/hyperlink" Target="https://drive.google.com/file/d/1am5KMnKkSDVkyrD2dY2o-rdAJrJHYCQy/view?usp=sharing" TargetMode="External"/><Relationship Id="rId8838" Type="http://schemas.openxmlformats.org/officeDocument/2006/relationships/hyperlink" Target="https://drive.google.com/drive/folders/1FGSmAa78D1nx1uea9N9evDT9_3U9lNYX?usp=drive_link" TargetMode="External"/><Relationship Id="rId10768" Type="http://schemas.openxmlformats.org/officeDocument/2006/relationships/hyperlink" Target="https://drive.google.com/drive/folders/109MUAHc_rOv1g3YhSC0JKyahMywWxYpe" TargetMode="External"/><Relationship Id="rId11819" Type="http://schemas.openxmlformats.org/officeDocument/2006/relationships/hyperlink" Target="https://drive.google.com/drive/folders/1Ty2H_i_qk549qwdTHB8xBRYGJbtv8v5N?usp=drive_link" TargetMode="External"/><Relationship Id="rId12190" Type="http://schemas.openxmlformats.org/officeDocument/2006/relationships/hyperlink" Target="https://www.vidio.com/live/20267-liga-topskor-greater-jakarta-pekan-pertama-u-13-lapangan-koci-depok?schedule_id=4833827" TargetMode="External"/><Relationship Id="rId2999" Type="http://schemas.openxmlformats.org/officeDocument/2006/relationships/hyperlink" Target="https://drive.google.com/drive/folders/1gyUTMX-WE_IfgM0EnoUTGbHdWckaeJFo?usp=drive_link" TargetMode="External"/><Relationship Id="rId3300" Type="http://schemas.openxmlformats.org/officeDocument/2006/relationships/hyperlink" Target="https://www.vidio.com/live/19355-bri-super-league?schedule_id=4488484" TargetMode="External"/><Relationship Id="rId6870" Type="http://schemas.openxmlformats.org/officeDocument/2006/relationships/hyperlink" Target="https://drive.google.com/file/d/1Mr7wHuRAtuksaVpN38S79f5_LgkEeCvw/view?usp=sharing" TargetMode="External"/><Relationship Id="rId7921" Type="http://schemas.openxmlformats.org/officeDocument/2006/relationships/hyperlink" Target="https://drive.google.com/drive/folders/1D2YqaUseo8DXj-jx3oBorteYDInJZvZl?usp=drive_link" TargetMode="External"/><Relationship Id="rId221" Type="http://schemas.openxmlformats.org/officeDocument/2006/relationships/hyperlink" Target="https://drive.google.com/drive/folders/1IVguKp5EhKLbl1bFJE3lb5J_l83TUcxa?usp=drive_link" TargetMode="External"/><Relationship Id="rId5472" Type="http://schemas.openxmlformats.org/officeDocument/2006/relationships/hyperlink" Target="https://drive.google.com/drive/u/0/folders/1SBvfhjJSKPuBVE9qoYW9dGw2h8k0P0N5" TargetMode="External"/><Relationship Id="rId6523" Type="http://schemas.openxmlformats.org/officeDocument/2006/relationships/hyperlink" Target="https://drive.google.com/file/d/1H8wa9vrctzI_2P4Q18Vhb7V3kSu3Buxn/view?usp=sharing" TargetMode="External"/><Relationship Id="rId10902" Type="http://schemas.openxmlformats.org/officeDocument/2006/relationships/hyperlink" Target="https://www.vidio.com/live/18250-hsbc-bwf-world-tour-finals-2025-group-stage-court-2?schedule_id=4783193" TargetMode="External"/><Relationship Id="rId4074" Type="http://schemas.openxmlformats.org/officeDocument/2006/relationships/hyperlink" Target="https://drive.google.com/drive/folders/1gOGHPJYSlRkSmX5qSJ5RWzWqquZu00QX?usp=drive_link" TargetMode="External"/><Relationship Id="rId5125" Type="http://schemas.openxmlformats.org/officeDocument/2006/relationships/hyperlink" Target="https://drive.google.com/file/d/1764zkh1cxtqBXzybP8CZC4V0UYg-urqV/view?usp=sharing" TargetMode="External"/><Relationship Id="rId8695" Type="http://schemas.openxmlformats.org/officeDocument/2006/relationships/hyperlink" Target="https://www.vidio.com/live/6317-bein-3?schedule_id=4669421" TargetMode="External"/><Relationship Id="rId9746" Type="http://schemas.openxmlformats.org/officeDocument/2006/relationships/hyperlink" Target="https://www.vidio.com/live/19623-national-football-league-2025-26?schedule_id=4743720" TargetMode="External"/><Relationship Id="rId7297" Type="http://schemas.openxmlformats.org/officeDocument/2006/relationships/hyperlink" Target="https://drive.google.com/file/d/1hDi1vE5NId4s4LjVdMU__E0W-kbw4_yX/view?usp=sharing" TargetMode="External"/><Relationship Id="rId8348" Type="http://schemas.openxmlformats.org/officeDocument/2006/relationships/hyperlink" Target="https://drive.google.com/file/d/1XeyglBlV8ky-WJfGnemNQ6Qo68JsHJOj/view?usp=sharing" TargetMode="External"/><Relationship Id="rId10278" Type="http://schemas.openxmlformats.org/officeDocument/2006/relationships/hyperlink" Target="https://drive.google.com/file/d/1bGAtWdCSL-v2iZg1GvRoYwXZwXVqVH3x/view?usp=sharing" TargetMode="External"/><Relationship Id="rId11676" Type="http://schemas.openxmlformats.org/officeDocument/2006/relationships/hyperlink" Target="https://www.vidio.com/live/19623-national-football-league-2025-26?schedule_id=4827333" TargetMode="External"/><Relationship Id="rId1735" Type="http://schemas.openxmlformats.org/officeDocument/2006/relationships/hyperlink" Target="https://drive.google.com/file/d/1u4k9nFLXEoTu-ro-sz4y5sWrAC7xF1NI/view?usp=sharing" TargetMode="External"/><Relationship Id="rId11329" Type="http://schemas.openxmlformats.org/officeDocument/2006/relationships/hyperlink" Target="https://drive.google.com/drive/folders/11wHKMe7VjzCzToZTIngyuuozWN0JnPhX" TargetMode="External"/><Relationship Id="rId4958" Type="http://schemas.openxmlformats.org/officeDocument/2006/relationships/hyperlink" Target="https://www.vidio.com/live/17883-uefa-champions-league?schedule_id=4569288" TargetMode="External"/><Relationship Id="rId11810" Type="http://schemas.openxmlformats.org/officeDocument/2006/relationships/hyperlink" Target="https://www.vidio.com/live/18249-petronas-malaysia-open-2026-round-of-32-court-1?schedule_id=4831477" TargetMode="External"/><Relationship Id="rId6380" Type="http://schemas.openxmlformats.org/officeDocument/2006/relationships/hyperlink" Target="https://drive.google.com/file/d/1mMTL6JmHeFhqe6WNviZyfB7r2qsSc0Zo/view?usp=sharing" TargetMode="External"/><Relationship Id="rId7431" Type="http://schemas.openxmlformats.org/officeDocument/2006/relationships/hyperlink" Target="https://drive.google.com/file/d/1x39zai5_Pe61Efrswa0WoS0jwe6J6y_S/view?usp=drive_link" TargetMode="External"/><Relationship Id="rId10412" Type="http://schemas.openxmlformats.org/officeDocument/2006/relationships/hyperlink" Target="https://drive.google.com/file/d/1b_ZAvTS80ia_0byqgafgCEevLqhZuBTY/view?usp=sharing" TargetMode="External"/><Relationship Id="rId2990" Type="http://schemas.openxmlformats.org/officeDocument/2006/relationships/hyperlink" Target="https://drive.google.com/file/d/19A194wVTj3T73vtJveXp0uEiVrmfvPJE/view?usp=sharing" TargetMode="External"/><Relationship Id="rId6033" Type="http://schemas.openxmlformats.org/officeDocument/2006/relationships/hyperlink" Target="https://drive.google.com/file/d/1j0ZJdxTmZ1CcyAlNgpEABwoPMrb1ToC4/view?usp=drive_link" TargetMode="External"/><Relationship Id="rId962" Type="http://schemas.openxmlformats.org/officeDocument/2006/relationships/hyperlink" Target="https://drive.google.com/file/d/1KXyhCP4n0VCXWpsH4Hc4LCbSbsE68aH9/view?usp=drive_link" TargetMode="External"/><Relationship Id="rId1592" Type="http://schemas.openxmlformats.org/officeDocument/2006/relationships/hyperlink" Target="https://www.vidio.com/live/19384-bri-super-league?schedule_id=4510907" TargetMode="External"/><Relationship Id="rId2643" Type="http://schemas.openxmlformats.org/officeDocument/2006/relationships/hyperlink" Target="https://drive.google.com/file/d/15qKc52H2wY3Rr6ZrtWtiUz3NfjMRvcWj/view?usp=sharing" TargetMode="External"/><Relationship Id="rId9256" Type="http://schemas.openxmlformats.org/officeDocument/2006/relationships/hyperlink" Target="https://drive.google.com/file/d/1bGAtWdCSL-v2iZg1GvRoYwXZwXVqVH3x/view?usp=drive_link" TargetMode="External"/><Relationship Id="rId11186" Type="http://schemas.openxmlformats.org/officeDocument/2006/relationships/hyperlink" Target="https://www.vidio.com/live/18249-hsbc-bwf-world-tour-finals-2025-group-stage-court-1?schedule_id=4784601" TargetMode="External"/><Relationship Id="rId12237" Type="http://schemas.openxmlformats.org/officeDocument/2006/relationships/hyperlink" Target="https://drive.google.com/file/d/17nqJ8YbOWxi4DOQmMA4_VvY1qMuE4tM4/view?usp=sharing" TargetMode="External"/><Relationship Id="rId615" Type="http://schemas.openxmlformats.org/officeDocument/2006/relationships/hyperlink" Target="https://drive.google.com/file/d/1rrCBR-MTlKBK-Phg7rZt70VgNIz9h9F0/view?usp=sharing" TargetMode="External"/><Relationship Id="rId1245" Type="http://schemas.openxmlformats.org/officeDocument/2006/relationships/hyperlink" Target="https://thumbor.prod.vidiocdn.com/1szFQCPLLa-9tBgtc5w4NKxJap4=/filters:quality(70)/vidio-media-production/uploads/image/source/52838/7db5f8.png" TargetMode="External"/><Relationship Id="rId4468" Type="http://schemas.openxmlformats.org/officeDocument/2006/relationships/hyperlink" Target="https://drive.google.com/file/d/1Ycz_z_C4ZtTEZjQLkiBOnmVYQXrk-rUd/view?usp=sharing" TargetMode="External"/><Relationship Id="rId5866" Type="http://schemas.openxmlformats.org/officeDocument/2006/relationships/hyperlink" Target="https://www.vidio.com/live/19602-uefa-europa-league?schedule_id=4702070" TargetMode="External"/><Relationship Id="rId6917" Type="http://schemas.openxmlformats.org/officeDocument/2006/relationships/hyperlink" Target="https://drive.google.com/drive/folders/1Sj8RUEpBbV1fz2ZlWgP3ygNMwTDP-cFE" TargetMode="External"/><Relationship Id="rId5519" Type="http://schemas.openxmlformats.org/officeDocument/2006/relationships/hyperlink" Target="https://drive.google.com/file/d/1qXQ-0MteDjX1FbQocF6wlY0NsLp7K1I3/view?usp=sharing" TargetMode="External"/><Relationship Id="rId11320" Type="http://schemas.openxmlformats.org/officeDocument/2006/relationships/hyperlink" Target="https://drive.google.com/file/d/1yhvbsixJmViJ1naVFG5dkClXX6xGHPFt/view?usp=sharing" TargetMode="External"/><Relationship Id="rId3551" Type="http://schemas.openxmlformats.org/officeDocument/2006/relationships/hyperlink" Target="https://drive.google.com/file/d/1MuEZA65dzocGxV0zsg916E3yc8vZVrsw/view?usp=sharing" TargetMode="External"/><Relationship Id="rId4602" Type="http://schemas.openxmlformats.org/officeDocument/2006/relationships/hyperlink" Target="https://drive.google.com/file/d/1pglRFLgcP4BLGhzz6SSggoJcV1nThQ8X/view?usp=sharing" TargetMode="External"/><Relationship Id="rId12094" Type="http://schemas.openxmlformats.org/officeDocument/2006/relationships/hyperlink" Target="https://drive.google.com/file/d/1xXRyTpjraFbbrHD2OOrzfOJmKS83JG2b/view?usp=sharing" TargetMode="External"/><Relationship Id="rId472" Type="http://schemas.openxmlformats.org/officeDocument/2006/relationships/hyperlink" Target="https://drive.google.com/drive/folders/1Vw5ULB3fjb8MiDjTT3Dib7EARuLaPv18" TargetMode="External"/><Relationship Id="rId2153" Type="http://schemas.openxmlformats.org/officeDocument/2006/relationships/hyperlink" Target="https://drive.google.com/drive/folders/1wVodTyry9jS49-jk8XYa7pCQIum3FGS1?usp=drive_link" TargetMode="External"/><Relationship Id="rId3204" Type="http://schemas.openxmlformats.org/officeDocument/2006/relationships/hyperlink" Target="https://drive.google.com/drive/folders/1AHMl0rhcHN6Mgp0MmhMSp1_qdc8uAbj5" TargetMode="External"/><Relationship Id="rId6774" Type="http://schemas.openxmlformats.org/officeDocument/2006/relationships/hyperlink" Target="https://www.vidio.com/live/19519?schedule_id=4553303" TargetMode="External"/><Relationship Id="rId7825" Type="http://schemas.openxmlformats.org/officeDocument/2006/relationships/hyperlink" Target="https://drive.google.com/drive/folders/1FFXTLKCw9s2H3Em_iyqMc3vvk0pQKRck?usp=drive_link" TargetMode="External"/><Relationship Id="rId125" Type="http://schemas.openxmlformats.org/officeDocument/2006/relationships/hyperlink" Target="https://drive.google.com/drive/folders/1MJkjvMuVTlOATYZNQ8_L_xveeagaIpP-?usp=drive_link" TargetMode="External"/><Relationship Id="rId5376" Type="http://schemas.openxmlformats.org/officeDocument/2006/relationships/hyperlink" Target="https://drive.google.com/file/d/1Fv2rKOPG3M3XBGmDh7_pJviBY6m-bdsD/view?usp=sharing" TargetMode="External"/><Relationship Id="rId6427" Type="http://schemas.openxmlformats.org/officeDocument/2006/relationships/hyperlink" Target="https://drive.google.com/drive/folders/1BMCjD7dT7Q4pofDbbkazxBaXcOVAgDtf" TargetMode="External"/><Relationship Id="rId10806" Type="http://schemas.openxmlformats.org/officeDocument/2006/relationships/hyperlink" Target="https://www.vidio.com/live/18250-hsbc-bwf-world-tour-finals-2025-group-stage-court-2?schedule_id=4782025" TargetMode="External"/><Relationship Id="rId5029" Type="http://schemas.openxmlformats.org/officeDocument/2006/relationships/hyperlink" Target="https://drive.google.com/file/d/1WFe1lVGmGmMTunn4xZoOOjIgF-2wBgSx/view?usp=drive_link" TargetMode="External"/><Relationship Id="rId8599" Type="http://schemas.openxmlformats.org/officeDocument/2006/relationships/hyperlink" Target="https://drive.google.com/file/d/1drpyGbnuZ0hKsUTCJh3ME8UMPm6TdD2q/view?usp=sharing" TargetMode="External"/><Relationship Id="rId9997" Type="http://schemas.openxmlformats.org/officeDocument/2006/relationships/hyperlink" Target="https://thumbor.prod.vidiocdn.com/HVr5tvMK5rp9FUnwd2JsJ1lywOo=/filters:quality(70)/vidio-media-production/uploads/image/source/52644/848456.png" TargetMode="External"/><Relationship Id="rId1986" Type="http://schemas.openxmlformats.org/officeDocument/2006/relationships/hyperlink" Target="https://drive.google.com/drive/u/0/folders/1kGHtJTboMQzt_AXOEFOdRLfI5nrFLPAB" TargetMode="External"/><Relationship Id="rId1639" Type="http://schemas.openxmlformats.org/officeDocument/2006/relationships/hyperlink" Target="https://drive.google.com/file/d/1rgfL78XwT0sigkLhviwAD1tA87hQJ538/view?usp=drive_link" TargetMode="External"/><Relationship Id="rId3061" Type="http://schemas.openxmlformats.org/officeDocument/2006/relationships/hyperlink" Target="https://drive.google.com/file/d/1Jy2pUMWiaoQB_15IXlYqLaCOhdKrN8yO/view?usp=drive_link" TargetMode="External"/><Relationship Id="rId5510" Type="http://schemas.openxmlformats.org/officeDocument/2006/relationships/hyperlink" Target="https://drive.google.com/file/d/1D5NKHZ6bAba7p0M4Upb9dlexlLsBp3Xh/view?usp=drive_link" TargetMode="External"/><Relationship Id="rId4112" Type="http://schemas.openxmlformats.org/officeDocument/2006/relationships/hyperlink" Target="https://drive.google.com/file/d/1GZNI_QAoTiVuKY0ht9hXy8cYZ--c1PtQ/view?usp=drive_link" TargetMode="External"/><Relationship Id="rId7682" Type="http://schemas.openxmlformats.org/officeDocument/2006/relationships/hyperlink" Target="https://drive.google.com/drive/folders/1i6oV5NvhzsIa0N5CpdCNRPRpVadqiVFe?usp=drive_link" TargetMode="External"/><Relationship Id="rId8733" Type="http://schemas.openxmlformats.org/officeDocument/2006/relationships/hyperlink" Target="https://drive.google.com/file/d/1DNux4glLBnqI-DzUHKvsJVIQIe0fQ_QF/view?usp=sharing" TargetMode="External"/><Relationship Id="rId10663" Type="http://schemas.openxmlformats.org/officeDocument/2006/relationships/hyperlink" Target="https://www.vidio.com/live/6685-champions-tv-1?schedule_id=4832532" TargetMode="External"/><Relationship Id="rId11714" Type="http://schemas.openxmlformats.org/officeDocument/2006/relationships/hyperlink" Target="https://drive.google.com/file/d/1aerik-EGVX1bP7WoYaM_AMSCFqH9d2Jz/view?usp=sharing" TargetMode="External"/><Relationship Id="rId6284" Type="http://schemas.openxmlformats.org/officeDocument/2006/relationships/hyperlink" Target="https://www.vidio.com/live/19740-uefa-conference-league?schedule_id=4700068" TargetMode="External"/><Relationship Id="rId7335" Type="http://schemas.openxmlformats.org/officeDocument/2006/relationships/hyperlink" Target="https://drive.google.com/file/d/1YMxUpeVo4kWWxtK_SdUgWshTJObZ_4af/view?usp=sharing" TargetMode="External"/><Relationship Id="rId10316" Type="http://schemas.openxmlformats.org/officeDocument/2006/relationships/hyperlink" Target="https://drive.google.com/file/d/1hUnC5tVPdRHkP8uEhHLk9YEhn92aN4Qu/view?usp=sharing" TargetMode="External"/><Relationship Id="rId2894" Type="http://schemas.openxmlformats.org/officeDocument/2006/relationships/hyperlink" Target="https://drive.google.com/file/d/1wgqm5-RoD7bXCd4wHIrq-Tkb2Nx6ivNA/view?usp=sharing" TargetMode="External"/><Relationship Id="rId866" Type="http://schemas.openxmlformats.org/officeDocument/2006/relationships/hyperlink" Target="https://drive.google.com/drive/folders/1WB5RMrJafdkxgc0CdZvq6o2Z-yCqfWQu?usp=drive_link" TargetMode="External"/><Relationship Id="rId1496" Type="http://schemas.openxmlformats.org/officeDocument/2006/relationships/hyperlink" Target="https://drive.google.com/file/d/14vzABtYN6Y4FSqRrTYsFDfwuvzz5IjaS/view?usp=drive_link" TargetMode="External"/><Relationship Id="rId2547" Type="http://schemas.openxmlformats.org/officeDocument/2006/relationships/hyperlink" Target="https://drive.google.com/file/d/1g_L0ciJIgjCUZWVXL7TBkWetofv4QND9/view?usp=sharing" TargetMode="External"/><Relationship Id="rId3945" Type="http://schemas.openxmlformats.org/officeDocument/2006/relationships/hyperlink" Target="https://drive.google.com/drive/folders/1NepG6XT-FSa8Cs07sX3tPfQWLNpJfAxp" TargetMode="External"/><Relationship Id="rId519" Type="http://schemas.openxmlformats.org/officeDocument/2006/relationships/hyperlink" Target="https://drive.google.com/drive/folders/1dQiY62XnCnjpePR76zFijMQ4Ng34QB-v?usp=drive_link" TargetMode="External"/><Relationship Id="rId1149" Type="http://schemas.openxmlformats.org/officeDocument/2006/relationships/hyperlink" Target="https://drive.google.com/file/d/1F7mVh1TDDnyUkh9UxV1Gke3lb66kC90_/view?usp=sharing" TargetMode="External"/><Relationship Id="rId5020" Type="http://schemas.openxmlformats.org/officeDocument/2006/relationships/hyperlink" Target="https://drive.google.com/drive/folders/1jWa7tIElAOq2H4hgAkq7uSC8OyWA9vm9" TargetMode="External"/><Relationship Id="rId7192" Type="http://schemas.openxmlformats.org/officeDocument/2006/relationships/hyperlink" Target="https://drive.google.com/drive/folders/1NepG6XT-FSa8Cs07sX3tPfQWLNpJfAxp" TargetMode="External"/><Relationship Id="rId8590" Type="http://schemas.openxmlformats.org/officeDocument/2006/relationships/hyperlink" Target="https://drive.google.com/drive/folders/16VmHN-BRNoyorsvFZFz3nzYQ1Vwkww6O" TargetMode="External"/><Relationship Id="rId9641" Type="http://schemas.openxmlformats.org/officeDocument/2006/relationships/hyperlink" Target="https://drive.google.com/file/d/1uHU_Dg-ZP-xqyGZvR1iqfeJwHcj3EBYj/view?usp=sharing" TargetMode="External"/><Relationship Id="rId11571" Type="http://schemas.openxmlformats.org/officeDocument/2006/relationships/hyperlink" Target="https://drive.google.com/drive/folders/1r6RlMeCAUMvm34DuXkNyN1o41tpuVv81?usp=drive_link" TargetMode="External"/><Relationship Id="rId1630" Type="http://schemas.openxmlformats.org/officeDocument/2006/relationships/hyperlink" Target="https://drive.google.com/drive/folders/1MfSnQIhd9gXMICmCBRJSXYqjO1xvfX2J" TargetMode="External"/><Relationship Id="rId8243" Type="http://schemas.openxmlformats.org/officeDocument/2006/relationships/hyperlink" Target="https://drive.google.com/file/d/1DNux4glLBnqI-DzUHKvsJVIQIe0fQ_QF/view?usp=sharing" TargetMode="External"/><Relationship Id="rId10173" Type="http://schemas.openxmlformats.org/officeDocument/2006/relationships/hyperlink" Target="https://drive.google.com/file/d/1DWPaQYmm5EUV25j9WrPj5GxiXp-OEOmW/view?usp=sharing" TargetMode="External"/><Relationship Id="rId11224" Type="http://schemas.openxmlformats.org/officeDocument/2006/relationships/hyperlink" Target="https://drive.google.com/file/d/1yvNszx8Wuk5yMRRQUkivRossXrLsHzWT/view?usp=sharing" TargetMode="External"/><Relationship Id="rId4853" Type="http://schemas.openxmlformats.org/officeDocument/2006/relationships/hyperlink" Target="https://www.vidio.com/live/19404-serie-a?schedule_id=4831593" TargetMode="External"/><Relationship Id="rId5904" Type="http://schemas.openxmlformats.org/officeDocument/2006/relationships/hyperlink" Target="https://www.vidio.com/live/19602-uefa-europa-league?schedule_id=4734920" TargetMode="External"/><Relationship Id="rId3455" Type="http://schemas.openxmlformats.org/officeDocument/2006/relationships/hyperlink" Target="https://drive.google.com/file/d/1Y2rSruk6L6dalR1g9Gml-q5KGxtj25xF/view?usp=drive_link" TargetMode="External"/><Relationship Id="rId4506" Type="http://schemas.openxmlformats.org/officeDocument/2006/relationships/hyperlink" Target="https://drive.google.com/file/d/1Wc2JXOV5qDtwKgJqdWq5SNLt8M5A3tfX/view?usp=sharing" TargetMode="External"/><Relationship Id="rId376" Type="http://schemas.openxmlformats.org/officeDocument/2006/relationships/hyperlink" Target="https://drive.google.com/drive/folders/1HAHXgmpUJc29YOD8xWSMgQyRhfXuT8Vy" TargetMode="External"/><Relationship Id="rId2057" Type="http://schemas.openxmlformats.org/officeDocument/2006/relationships/hyperlink" Target="https://drive.google.com/drive/folders/12roleeDX6mRaxFtKMnSE31vbmk5YqdMZ" TargetMode="External"/><Relationship Id="rId3108" Type="http://schemas.openxmlformats.org/officeDocument/2006/relationships/hyperlink" Target="https://drive.google.com/file/d/1LQSF6u_001ZswikBdZMH_AdNEQLCpF2A/view?usp=drive_link" TargetMode="External"/><Relationship Id="rId6678" Type="http://schemas.openxmlformats.org/officeDocument/2006/relationships/hyperlink" Target="https://drive.google.com/drive/folders/1BHh5wPsnYmUU66j0vsOKMNDJmvhTzaOp?usp=drive_link" TargetMode="External"/><Relationship Id="rId7729" Type="http://schemas.openxmlformats.org/officeDocument/2006/relationships/hyperlink" Target="https://www.vidio.com/live/19584-pegadaian-championship-2025-26?schedule_id=4665899" TargetMode="External"/><Relationship Id="rId9151" Type="http://schemas.openxmlformats.org/officeDocument/2006/relationships/hyperlink" Target="https://drive.google.com/file/d/195_mM7rYJV6Rg83eXtUlrim2rM1E74mF/view?usp=sharing" TargetMode="External"/><Relationship Id="rId1140" Type="http://schemas.openxmlformats.org/officeDocument/2006/relationships/hyperlink" Target="https://drive.google.com/drive/folders/1LYxQ7stGXjs4_kL_SN_CduPNNoiNeu6Q" TargetMode="External"/><Relationship Id="rId11081" Type="http://schemas.openxmlformats.org/officeDocument/2006/relationships/hyperlink" Target="https://drive.google.com/drive/folders/1AG6u0bNQsQ2LjdWCbPazv93VkRDI68xo?usp=drive_link" TargetMode="External"/><Relationship Id="rId12132" Type="http://schemas.openxmlformats.org/officeDocument/2006/relationships/hyperlink" Target="https://www.vidio.com/live/18250-petronas-malaysia-open-2026-round-of-16-court-2?schedule_id=4832347" TargetMode="External"/><Relationship Id="rId510" Type="http://schemas.openxmlformats.org/officeDocument/2006/relationships/hyperlink" Target="https://drive.google.com/file/d/11AA-pVRopoU5WL7EAG-gDdq17iZQW7nM/view?usp=sharing" TargetMode="External"/><Relationship Id="rId5761" Type="http://schemas.openxmlformats.org/officeDocument/2006/relationships/hyperlink" Target="https://drive.google.com/drive/folders/1Xlp5aunryVlWR8atbAp6mL9dfJO63aR4?usp=drive_link" TargetMode="External"/><Relationship Id="rId6812" Type="http://schemas.openxmlformats.org/officeDocument/2006/relationships/hyperlink" Target="https://drive.google.com/drive/folders/1ucNoaH6qaYCBmETyhLgQ5RaF6B8eqX2W?usp=drive_link" TargetMode="External"/><Relationship Id="rId4363" Type="http://schemas.openxmlformats.org/officeDocument/2006/relationships/hyperlink" Target="https://drive.google.com/drive/folders/1lBlXFBl4TqP2MeqFN3Wx1uc1mDYkLzFG?usp=drive_link" TargetMode="External"/><Relationship Id="rId5414" Type="http://schemas.openxmlformats.org/officeDocument/2006/relationships/hyperlink" Target="https://www.vidio.com/live/18301-uefa-champions-league?schedule_id=4772716" TargetMode="External"/><Relationship Id="rId8984" Type="http://schemas.openxmlformats.org/officeDocument/2006/relationships/hyperlink" Target="https://www.vidio.com/live/19623-national-football-league-2025-26?schedule_id=4709311" TargetMode="External"/><Relationship Id="rId4016" Type="http://schemas.openxmlformats.org/officeDocument/2006/relationships/hyperlink" Target="https://drive.google.com/file/d/1Esg5Vc1AaCx5K6RPgkJZLd1xpcIL7i38/view?usp=drive_link" TargetMode="External"/><Relationship Id="rId7586" Type="http://schemas.openxmlformats.org/officeDocument/2006/relationships/hyperlink" Target="https://drive.google.com/drive/folders/1pZo1S6QLarDjRlpBIZJnvQx9x8GaRifW?usp=drive_link" TargetMode="External"/><Relationship Id="rId8637" Type="http://schemas.openxmlformats.org/officeDocument/2006/relationships/hyperlink" Target="https://www.vidio.com/live/19541-pegadaian-championship-2025-26?schedule_id=4727622" TargetMode="External"/><Relationship Id="rId10567" Type="http://schemas.openxmlformats.org/officeDocument/2006/relationships/hyperlink" Target="https://drive.google.com/drive/folders/1pdms7fQymOriefG0NvUwlxATKcd6Ceh5?usp=drive_link" TargetMode="External"/><Relationship Id="rId11965" Type="http://schemas.openxmlformats.org/officeDocument/2006/relationships/hyperlink" Target="https://www.vidio.com/live/18250-petronas-malaysia-open-2026-round-of-32-court-?schedule_id=4832192" TargetMode="External"/><Relationship Id="rId6188" Type="http://schemas.openxmlformats.org/officeDocument/2006/relationships/hyperlink" Target="https://drive.google.com/drive/folders/1WwKxpS3XuGBcv8bZnqO4-iCsadOi_wn1?usp=drive_link" TargetMode="External"/><Relationship Id="rId7239" Type="http://schemas.openxmlformats.org/officeDocument/2006/relationships/hyperlink" Target="https://drive.google.com/drive/folders/18UQlT0gPXwAKkLIPJJK0u8VcWrX9waA5?usp=drive_link" TargetMode="External"/><Relationship Id="rId11618" Type="http://schemas.openxmlformats.org/officeDocument/2006/relationships/hyperlink" Target="https://www.vidio.com/live/6299-bein-1?schedule_id=4827326" TargetMode="External"/><Relationship Id="rId2798" Type="http://schemas.openxmlformats.org/officeDocument/2006/relationships/hyperlink" Target="https://drive.google.com/drive/folders/1ZsBn3f-9iJuBxmPpFNr_RlHj1raXbtu9?usp=drive_link" TargetMode="External"/><Relationship Id="rId3849" Type="http://schemas.openxmlformats.org/officeDocument/2006/relationships/hyperlink" Target="https://drive.google.com/file/d/11vr0dfLyRTCqf8TOSlOuhR19jCanZAFH/view?usp=sharing" TargetMode="External"/><Relationship Id="rId5271" Type="http://schemas.openxmlformats.org/officeDocument/2006/relationships/hyperlink" Target="https://drive.google.com/file/d/1fLhkKs8NTonMF_-k_b1yXc9C8GjySmGm/view?usp=sharing" TargetMode="External"/><Relationship Id="rId7720" Type="http://schemas.openxmlformats.org/officeDocument/2006/relationships/hyperlink" Target="https://drive.google.com/file/d/1WP2Jq_H5yoXqgAZcfeemvvHGysgwan0B/view?usp=sharing" TargetMode="External"/><Relationship Id="rId10701" Type="http://schemas.openxmlformats.org/officeDocument/2006/relationships/hyperlink" Target="https://drive.google.com/file/d/1-4umMsOwZNdKGY2SZPlsffOeAjSpICAS/view?usp=sharing" TargetMode="External"/><Relationship Id="rId6322" Type="http://schemas.openxmlformats.org/officeDocument/2006/relationships/hyperlink" Target="https://drive.google.com/drive/folders/1_QyyUC0KxsA5I5XnGSR_moWG1pYIaeRU" TargetMode="External"/><Relationship Id="rId9892" Type="http://schemas.openxmlformats.org/officeDocument/2006/relationships/hyperlink" Target="https://drive.google.com/file/d/1xgp0WcvOLfHbmT9Gd56Olw6TqB08GKJ7/view?usp=sharing" TargetMode="External"/><Relationship Id="rId1881" Type="http://schemas.openxmlformats.org/officeDocument/2006/relationships/hyperlink" Target="https://drive.google.com/drive/folders/1GTB4yr7nPHOuG-YKM3_OccPAJBmdmL7H" TargetMode="External"/><Relationship Id="rId2932" Type="http://schemas.openxmlformats.org/officeDocument/2006/relationships/hyperlink" Target="https://drive.google.com/drive/folders/1DPSndHg_Ftov32kfHVJYOFvCAsOr-mBg?usp=drive_link" TargetMode="External"/><Relationship Id="rId8494" Type="http://schemas.openxmlformats.org/officeDocument/2006/relationships/hyperlink" Target="https://www.vidio.com/live/19355-bri-super-league?schedule_id=4667497" TargetMode="External"/><Relationship Id="rId9545" Type="http://schemas.openxmlformats.org/officeDocument/2006/relationships/hyperlink" Target="https://drive.google.com/file/d/1bGAtWdCSL-v2iZg1GvRoYwXZwXVqVH3x/view?usp=sharing" TargetMode="External"/><Relationship Id="rId11475" Type="http://schemas.openxmlformats.org/officeDocument/2006/relationships/hyperlink" Target="https://drive.google.com/file/d/1A_a1V6m39vtVyhpvsfAOV0cG8qQnuLQn/view?usp=sharing" TargetMode="External"/><Relationship Id="rId904" Type="http://schemas.openxmlformats.org/officeDocument/2006/relationships/hyperlink" Target="https://drive.google.com/file/d/1-cR07tUtTtoQN2K5uHlwaCTE_DXI0Ar2/view?usp=sharing" TargetMode="External"/><Relationship Id="rId1534" Type="http://schemas.openxmlformats.org/officeDocument/2006/relationships/hyperlink" Target="https://drive.google.com/drive/folders/1Ct8A8gjkdaJ-sEFUB_JwaxL4uuEs8CvQ" TargetMode="External"/><Relationship Id="rId7096" Type="http://schemas.openxmlformats.org/officeDocument/2006/relationships/hyperlink" Target="https://www.vidio.com/live/19548-national-football-league-2025-26?schedule_id=4574017" TargetMode="External"/><Relationship Id="rId8147" Type="http://schemas.openxmlformats.org/officeDocument/2006/relationships/hyperlink" Target="https://drive.google.com/file/d/17-VVbz_bHcC-KFahKKBDOTp_6dNmGmHu/view?usp=sharing" TargetMode="External"/><Relationship Id="rId10077" Type="http://schemas.openxmlformats.org/officeDocument/2006/relationships/hyperlink" Target="https://drive.google.com/file/d/1lLDje9jPEYJ6GVa6JHXz2Bf2DSNJcZZw/view?usp=sharing" TargetMode="External"/><Relationship Id="rId11128" Type="http://schemas.openxmlformats.org/officeDocument/2006/relationships/hyperlink" Target="https://thumbor.prod.vidiocdn.com/8XFyIk8nEANuLNbD9u4r6ZaSq0g=/filters:quality(70)/vidio-media-production/uploads/image/source/53161/bf3b44.png" TargetMode="External"/><Relationship Id="rId4757" Type="http://schemas.openxmlformats.org/officeDocument/2006/relationships/hyperlink" Target="https://drive.google.com/file/d/1GzdC7PecESR3vdRJOqLPUlWAdBi9WeFT/view?usp=sharing" TargetMode="External"/><Relationship Id="rId3359" Type="http://schemas.openxmlformats.org/officeDocument/2006/relationships/hyperlink" Target="https://drive.google.com/file/d/1miNl0J7rebI4ucjfcutW4eAbdicK0wH3/view?usp=sharing" TargetMode="External"/><Relationship Id="rId5808" Type="http://schemas.openxmlformats.org/officeDocument/2006/relationships/hyperlink" Target="https://drive.google.com/file/d/1E_APQym93D0Ifg7scwoP2m16y_4iqrkC/view?usp=sharing" TargetMode="External"/><Relationship Id="rId7230" Type="http://schemas.openxmlformats.org/officeDocument/2006/relationships/hyperlink" Target="https://drive.google.com/drive/folders/16gD2JVWzjp1xjoc6qJGzOhzQW2ddWfwt" TargetMode="External"/><Relationship Id="rId10211" Type="http://schemas.openxmlformats.org/officeDocument/2006/relationships/hyperlink" Target="https://drive.google.com/drive/folders/1TDRNlsERG9DZbJaCHWxsOWkeA-rE2gci?usp=sharing" TargetMode="External"/><Relationship Id="rId3840" Type="http://schemas.openxmlformats.org/officeDocument/2006/relationships/hyperlink" Target="https://drive.google.com/file/d/1jYwQ9aV7A2w9S1Ym9qcvYETq-rWsBrBj/view?usp=sharing" TargetMode="External"/><Relationship Id="rId9055" Type="http://schemas.openxmlformats.org/officeDocument/2006/relationships/hyperlink" Target="https://drive.google.com/drive/folders/1aeKt2ivsr6nFCIfB_-ArDWPDZ_mMWFqG?usp=sharing" TargetMode="External"/><Relationship Id="rId12383" Type="http://schemas.openxmlformats.org/officeDocument/2006/relationships/hyperlink" Target="https://www.vidio.com/live/18250-petronas-malaysia-open-2026-round-of-16-court-2?schedule_id=4833811" TargetMode="External"/><Relationship Id="rId761" Type="http://schemas.openxmlformats.org/officeDocument/2006/relationships/hyperlink" Target="https://drive.google.com/file/d/1lTMBRp4J2muE2Dgr_O5NZv8OQbUD7It1/view?usp=sharing" TargetMode="External"/><Relationship Id="rId1391" Type="http://schemas.openxmlformats.org/officeDocument/2006/relationships/hyperlink" Target="https://drive.google.com/file/d/1Zs5-L5TPmLr1D9nHVP2Z9mCxslmQxj1m/view?usp=sharing" TargetMode="External"/><Relationship Id="rId2442" Type="http://schemas.openxmlformats.org/officeDocument/2006/relationships/hyperlink" Target="https://www.vidio.com/live/6299-bein-1?schedule_id=4563089" TargetMode="External"/><Relationship Id="rId12036" Type="http://schemas.openxmlformats.org/officeDocument/2006/relationships/hyperlink" Target="https://drive.google.com/file/d/1GSUWpYS1bKMQHpDirkh41aNW22dfhpEf/view?usp=sharing" TargetMode="External"/><Relationship Id="rId414" Type="http://schemas.openxmlformats.org/officeDocument/2006/relationships/hyperlink" Target="https://drive.google.com/file/d/1YTXx_Qg37X8fGnuqapZys1pl-Cycvwik/view?usp=sharing" TargetMode="External"/><Relationship Id="rId1044" Type="http://schemas.openxmlformats.org/officeDocument/2006/relationships/hyperlink" Target="https://www.vidio.com/live/9182-champions-tv-5?schedule_id=4783743" TargetMode="External"/><Relationship Id="rId5665" Type="http://schemas.openxmlformats.org/officeDocument/2006/relationships/hyperlink" Target="https://drive.google.com/file/d/1Y9TbNaOmtx2yr-T3lIeI8cPrXaqKHjEo/view?usp=sharing" TargetMode="External"/><Relationship Id="rId6716" Type="http://schemas.openxmlformats.org/officeDocument/2006/relationships/hyperlink" Target="https://drive.google.com/file/d/10L1Q4yo2AmIIOaOUKeZA3xs3wc1bEwgC/view?usp=drive_link" TargetMode="External"/><Relationship Id="rId4267" Type="http://schemas.openxmlformats.org/officeDocument/2006/relationships/hyperlink" Target="https://drive.google.com/drive/folders/1yeQgCrZeU6dWQkA_vQvY7ebVLGi0HDen?usp=drive_link" TargetMode="External"/><Relationship Id="rId5318" Type="http://schemas.openxmlformats.org/officeDocument/2006/relationships/hyperlink" Target="https://drive.google.com/file/d/1_SbVYFEIon95mP26Eog-gTA_qNB7gYHi/view?usp=drive_link" TargetMode="External"/><Relationship Id="rId8888" Type="http://schemas.openxmlformats.org/officeDocument/2006/relationships/hyperlink" Target="https://thumbor.prod.vidiocdn.com/O2OHs89rrGjBEOhIN4GfpiKLwQc=/filters:quality(70)/vidio-media-production/uploads/image/source/52634/ec5a86.png" TargetMode="External"/><Relationship Id="rId9939" Type="http://schemas.openxmlformats.org/officeDocument/2006/relationships/hyperlink" Target="https://drive.google.com/file/d/1KmyY8bYrDvdio3neabLthDfm7ll0vgSm/view?usp=sharing" TargetMode="External"/><Relationship Id="rId11869" Type="http://schemas.openxmlformats.org/officeDocument/2006/relationships/hyperlink" Target="https://drive.google.com/drive/folders/1TYXj5i7Ik4SNEitV7mHoBo1u6CAR_kAQ?usp=drive_link" TargetMode="External"/><Relationship Id="rId1928" Type="http://schemas.openxmlformats.org/officeDocument/2006/relationships/hyperlink" Target="https://drive.google.com/drive/folders/1LGi9dLurk_Jo_59rg1c1WXWuzIKHgb6W" TargetMode="External"/><Relationship Id="rId3350" Type="http://schemas.openxmlformats.org/officeDocument/2006/relationships/hyperlink" Target="https://drive.google.com/drive/folders/1uGEWIVFshaL729WeMYS2T2f_fh7Fyb4b?usp=drive_link" TargetMode="External"/><Relationship Id="rId271" Type="http://schemas.openxmlformats.org/officeDocument/2006/relationships/hyperlink" Target="https://drive.google.com/file/d/10zWu7zNGdq1KI1NxHVM0ROfazwQ2KsMo/view?usp=sharing" TargetMode="External"/><Relationship Id="rId3003" Type="http://schemas.openxmlformats.org/officeDocument/2006/relationships/hyperlink" Target="https://drive.google.com/file/d/1970u8YQt9GMY_3CIG8rUZuXxUvKehS9r/view?usp=sharing" TargetMode="External"/><Relationship Id="rId4401" Type="http://schemas.openxmlformats.org/officeDocument/2006/relationships/hyperlink" Target="https://drive.google.com/file/d/11vig3ADGXnf_YW2BurzaxK6ubUMh96yJ/view?usp=sharing" TargetMode="External"/><Relationship Id="rId7971" Type="http://schemas.openxmlformats.org/officeDocument/2006/relationships/hyperlink" Target="https://drive.google.com/file/d/1fU-3OqwI-4kGK4Q_YW56KSpsHSkVJ9en/view?usp=sharing" TargetMode="External"/><Relationship Id="rId10952" Type="http://schemas.openxmlformats.org/officeDocument/2006/relationships/hyperlink" Target="https://drive.google.com/file/d/1BmpAp2opVxTF5W-CEHccONTu9dr6eT8v/view?usp=sharing" TargetMode="External"/><Relationship Id="rId6573" Type="http://schemas.openxmlformats.org/officeDocument/2006/relationships/hyperlink" Target="https://drive.google.com/file/d/1a6bRH5-788PM6QuHI5rLfW8pcWzFyEUZ/view?usp=sharing" TargetMode="External"/><Relationship Id="rId7624" Type="http://schemas.openxmlformats.org/officeDocument/2006/relationships/hyperlink" Target="https://drive.google.com/file/d/1NWdEcVItIO3Bwt-XdGWc8EFdsOXLkyFu/view?usp=sharing" TargetMode="External"/><Relationship Id="rId10605" Type="http://schemas.openxmlformats.org/officeDocument/2006/relationships/hyperlink" Target="https://drive.google.com/file/d/1UXqSR6D4nS9orYy9dw9txViS7K92QLTM/view?usp=sharing" TargetMode="External"/><Relationship Id="rId5175" Type="http://schemas.openxmlformats.org/officeDocument/2006/relationships/hyperlink" Target="https://drive.google.com/file/d/1RRMwUAlfCDryhOHJQgOWoko_HQVvzLyc/view?usp=sharing" TargetMode="External"/><Relationship Id="rId6226" Type="http://schemas.openxmlformats.org/officeDocument/2006/relationships/hyperlink" Target="https://drive.google.com/file/d/1chgxafYGCAk5K6Q671LXd31c8eb5SkNv/view?usp=drive_link" TargetMode="External"/><Relationship Id="rId9796" Type="http://schemas.openxmlformats.org/officeDocument/2006/relationships/hyperlink" Target="https://drive.google.com/file/d/1bGAtWdCSL-v2iZg1GvRoYwXZwXVqVH3x/view?usp=sharing" TargetMode="External"/><Relationship Id="rId1785" Type="http://schemas.openxmlformats.org/officeDocument/2006/relationships/hyperlink" Target="https://drive.google.com/drive/folders/1APSct6QfWzAsfYoPNNi-3tKmYH8i-3Wg" TargetMode="External"/><Relationship Id="rId2836" Type="http://schemas.openxmlformats.org/officeDocument/2006/relationships/hyperlink" Target="https://www.vidio.com/live/6299-bein-1?schedule_id=4677365" TargetMode="External"/><Relationship Id="rId8398" Type="http://schemas.openxmlformats.org/officeDocument/2006/relationships/hyperlink" Target="https://drive.google.com/drive/folders/1AnolPAu5B_3HKjEkWZzv-8NhhFejWIne" TargetMode="External"/><Relationship Id="rId9449" Type="http://schemas.openxmlformats.org/officeDocument/2006/relationships/hyperlink" Target="https://drive.google.com/file/d/1XkqUYerPpoVxJG-iqDT927PKLQwsXg4u/view?usp=sharing" TargetMode="External"/><Relationship Id="rId11379" Type="http://schemas.openxmlformats.org/officeDocument/2006/relationships/hyperlink" Target="https://drive.google.com/file/d/1DNux4glLBnqI-DzUHKvsJVIQIe0fQ_QF/view?usp=drive_link" TargetMode="External"/><Relationship Id="rId808" Type="http://schemas.openxmlformats.org/officeDocument/2006/relationships/hyperlink" Target="https://drive.google.com/file/d/1KITYE25Sy2a0uqVfbUyXMyA0FTVq9_Cr/view?usp=sharing" TargetMode="External"/><Relationship Id="rId1438" Type="http://schemas.openxmlformats.org/officeDocument/2006/relationships/hyperlink" Target="https://drive.google.com/drive/folders/1yfBuzh-jmFihBefXWBdkikllGGMuosSj?usp=drive_link" TargetMode="External"/><Relationship Id="rId7481" Type="http://schemas.openxmlformats.org/officeDocument/2006/relationships/hyperlink" Target="https://drive.google.com/drive/folders/1NepG6XT-FSa8Cs07sX3tPfQWLNpJfAxp" TargetMode="External"/><Relationship Id="rId9930" Type="http://schemas.openxmlformats.org/officeDocument/2006/relationships/hyperlink" Target="https://drive.google.com/file/d/16emLHlcuqdKCx5rb6RXOEzZs4ism07TB/view?usp=sharing" TargetMode="External"/><Relationship Id="rId11860" Type="http://schemas.openxmlformats.org/officeDocument/2006/relationships/hyperlink" Target="https://drive.google.com/drive/folders/1TYXj5i7Ik4SNEitV7mHoBo1u6CAR_kAQ?usp=drive_link" TargetMode="External"/><Relationship Id="rId6083" Type="http://schemas.openxmlformats.org/officeDocument/2006/relationships/hyperlink" Target="https://drive.google.com/drive/folders/1TwrocApk343Y_ir01u96dimMEIHnDWgZ?usp=drive_link" TargetMode="External"/><Relationship Id="rId7134" Type="http://schemas.openxmlformats.org/officeDocument/2006/relationships/hyperlink" Target="https://www.vidio.com/live/19662-pegadaian-championship-2025-26?schedule_id=4638535" TargetMode="External"/><Relationship Id="rId8532" Type="http://schemas.openxmlformats.org/officeDocument/2006/relationships/hyperlink" Target="https://drive.google.com/drive/folders/1GvVnR34vhGIe3vaILxmw-M4ViCm86963" TargetMode="External"/><Relationship Id="rId10462" Type="http://schemas.openxmlformats.org/officeDocument/2006/relationships/hyperlink" Target="https://drive.google.com/drive/folders/1NepG6XT-FSa8Cs07sX3tPfQWLNpJfAxp" TargetMode="External"/><Relationship Id="rId11513" Type="http://schemas.openxmlformats.org/officeDocument/2006/relationships/hyperlink" Target="https://thumbor.prod.vidiocdn.com/3gfITL9BjS_o-Db-CfjiH34UUXU=/filters:quality(70)/vidio-media-production/uploads/image/source/53060/46f706.png" TargetMode="External"/><Relationship Id="rId10115" Type="http://schemas.openxmlformats.org/officeDocument/2006/relationships/hyperlink" Target="https://www.vidio.com/live/19996?schedule_id=4743070" TargetMode="External"/><Relationship Id="rId2693" Type="http://schemas.openxmlformats.org/officeDocument/2006/relationships/hyperlink" Target="https://drive.google.com/file/d/1H5qoSZzfesJXz4egFkxy5Jsrb_40yyHj/view?usp=sharing" TargetMode="External"/><Relationship Id="rId3744" Type="http://schemas.openxmlformats.org/officeDocument/2006/relationships/hyperlink" Target="https://drive.google.com/drive/folders/1X9BbhMJBUFuh_nuc0xF8kvhDF5lQaOyK?usp=drive_link" TargetMode="External"/><Relationship Id="rId12287" Type="http://schemas.openxmlformats.org/officeDocument/2006/relationships/hyperlink" Target="https://drive.google.com/file/d/17nqJ8YbOWxi4DOQmMA4_VvY1qMuE4tM4/view?usp=sharing" TargetMode="External"/><Relationship Id="rId665" Type="http://schemas.openxmlformats.org/officeDocument/2006/relationships/hyperlink" Target="https://drive.google.com/file/d/1R611qw4VgeP6PM1GayxAyGHkGFtZk0ZF/view?usp=sharing" TargetMode="External"/><Relationship Id="rId1295" Type="http://schemas.openxmlformats.org/officeDocument/2006/relationships/hyperlink" Target="https://drive.google.com/file/d/18evoASsZfIS47Gd1O0sC4wg-EQBVhNWW/view?usp=sharing" TargetMode="External"/><Relationship Id="rId2346" Type="http://schemas.openxmlformats.org/officeDocument/2006/relationships/hyperlink" Target="https://drive.google.com/drive/folders/1vvJz14Jl4gIdV_iCTT5E3kf9dGSkmgZL?usp=drive_link" TargetMode="External"/><Relationship Id="rId6967" Type="http://schemas.openxmlformats.org/officeDocument/2006/relationships/hyperlink" Target="https://drive.google.com/file/d/1bKsHH3RGh3xY4dkGNTwMz3cbxvNVBSl3/view?usp=drive_link" TargetMode="External"/><Relationship Id="rId318" Type="http://schemas.openxmlformats.org/officeDocument/2006/relationships/hyperlink" Target="https://drive.google.com/file/d/1SXcVGg2vt70D1BuhpGIDDxWwzXgGJbqt/view?usp=drive_link" TargetMode="External"/><Relationship Id="rId5569" Type="http://schemas.openxmlformats.org/officeDocument/2006/relationships/hyperlink" Target="https://drive.google.com/file/d/1SMmvLCmgEIIRd2mwcnR2gzU-eCGMQlz9/view?usp=drive_link" TargetMode="External"/><Relationship Id="rId9440" Type="http://schemas.openxmlformats.org/officeDocument/2006/relationships/hyperlink" Target="https://www.vidio.com/live/19883-pegadaian-championship-2025-26?schedule_id=4832539" TargetMode="External"/><Relationship Id="rId8042" Type="http://schemas.openxmlformats.org/officeDocument/2006/relationships/hyperlink" Target="https://www.vidio.com/live/19549-pegadaian-championship-2025-26?schedule_id=4676991" TargetMode="External"/><Relationship Id="rId11370" Type="http://schemas.openxmlformats.org/officeDocument/2006/relationships/hyperlink" Target="https://www.vidio.com/live/20107-top-youth-premier-league-semifinal-cup-final-cup-plate?schedule_id=4786453" TargetMode="External"/><Relationship Id="rId12421" Type="http://schemas.openxmlformats.org/officeDocument/2006/relationships/hyperlink" Target="https://drive.google.com/file/d/1eYrHSZhFd95KyhXxrabgACyw4RU-iuHU/view?usp=sharing" TargetMode="External"/><Relationship Id="rId11023" Type="http://schemas.openxmlformats.org/officeDocument/2006/relationships/hyperlink" Target="https://thumbor.prod.vidiocdn.com/NSXbAFYF92XOuoOAH_Ayjawryxg=/filters:quality(70)/vidio-media-production/uploads/image/source/53164/6691af.png" TargetMode="External"/><Relationship Id="rId4652" Type="http://schemas.openxmlformats.org/officeDocument/2006/relationships/hyperlink" Target="https://www.vidio.com/live/19404-serie-a?schedule_id=4768861" TargetMode="External"/><Relationship Id="rId5703" Type="http://schemas.openxmlformats.org/officeDocument/2006/relationships/hyperlink" Target="https://drive.google.com/drive/folders/1mcmCW5ShtuM9VTju1uhoaBvD2gnrCfUV?usp=drive_link" TargetMode="External"/><Relationship Id="rId175" Type="http://schemas.openxmlformats.org/officeDocument/2006/relationships/hyperlink" Target="https://drive.google.com/file/d/1x2T76QjZIE362X0uTbEkl5LIYAHGq__K/view?usp=sharing" TargetMode="External"/><Relationship Id="rId3254" Type="http://schemas.openxmlformats.org/officeDocument/2006/relationships/hyperlink" Target="https://drive.google.com/file/d/1YC291YEBYXfukzJ0g9npdaSc41CAgMe_/view?usp=sharing" TargetMode="External"/><Relationship Id="rId4305" Type="http://schemas.openxmlformats.org/officeDocument/2006/relationships/hyperlink" Target="https://drive.google.com/drive/folders/16Bl17HWXMhrh4KxDo4VHI_qdd80PS8cL?usp=drive_link" TargetMode="External"/><Relationship Id="rId7875" Type="http://schemas.openxmlformats.org/officeDocument/2006/relationships/hyperlink" Target="https://www.vidio.com/live/19677-turkish-women-s-volleyball-cup?schedule_id=4652549" TargetMode="External"/><Relationship Id="rId8926" Type="http://schemas.openxmlformats.org/officeDocument/2006/relationships/hyperlink" Target="https://drive.google.com/drive/folders/1OJ4ydsQmbKC3PXZx9d1nZLwim9hHOQWV?usp=drive_link" TargetMode="External"/><Relationship Id="rId10856" Type="http://schemas.openxmlformats.org/officeDocument/2006/relationships/hyperlink" Target="https://drive.google.com/file/d/1kWmbGVZDCuWO2mvA_fIN9yzCsbKOGbD1/view?usp=sharing" TargetMode="External"/><Relationship Id="rId6477" Type="http://schemas.openxmlformats.org/officeDocument/2006/relationships/hyperlink" Target="https://drive.google.com/file/d/1To5byKMvQVXlDTTPcIK3PWLBlRviaBQL/view?usp=sharing" TargetMode="External"/><Relationship Id="rId7528" Type="http://schemas.openxmlformats.org/officeDocument/2006/relationships/hyperlink" Target="https://drive.google.com/file/d/1uuUzItR1vT4-noWnt1gSLyJgFRdrfQvm/view?usp=sharing" TargetMode="External"/><Relationship Id="rId10509" Type="http://schemas.openxmlformats.org/officeDocument/2006/relationships/hyperlink" Target="https://www.vidio.com/live/6685-champions-tv-1?schedule_id=4773907" TargetMode="External"/><Relationship Id="rId11907" Type="http://schemas.openxmlformats.org/officeDocument/2006/relationships/hyperlink" Target="https://www.vidio.com/live/18252-petronas-malaysia-open-2026-round-of-32-court-3?schedule_id=4831575" TargetMode="External"/><Relationship Id="rId5079" Type="http://schemas.openxmlformats.org/officeDocument/2006/relationships/hyperlink" Target="https://drive.google.com/drive/folders/1dW6DUvjNcYQ8hNdp1YtiL43cYwEYLPog" TargetMode="External"/><Relationship Id="rId1689" Type="http://schemas.openxmlformats.org/officeDocument/2006/relationships/hyperlink" Target="https://drive.google.com/drive/folders/1aIYrXwkB4_DceTm0Yp57BUYZ1QGYUt7f" TargetMode="External"/><Relationship Id="rId5560" Type="http://schemas.openxmlformats.org/officeDocument/2006/relationships/hyperlink" Target="https://www.vidio.com/live/19602-uefa-europa-league?schedule_id=4596298" TargetMode="External"/><Relationship Id="rId4162" Type="http://schemas.openxmlformats.org/officeDocument/2006/relationships/hyperlink" Target="https://drive.google.com/drive/folders/1bnMyiWmi2m9Xu2vYJVTftAAytgD_NGgj?usp=drive_link" TargetMode="External"/><Relationship Id="rId5213" Type="http://schemas.openxmlformats.org/officeDocument/2006/relationships/hyperlink" Target="https://drive.google.com/file/d/18DMq1SDwjdyq3GaRyane2yt7jFAYHJN0/view?usp=sharing" TargetMode="External"/><Relationship Id="rId6611" Type="http://schemas.openxmlformats.org/officeDocument/2006/relationships/hyperlink" Target="https://www.vidio.com/live/6299-bein-1?schedule_id=4783088" TargetMode="External"/><Relationship Id="rId8783" Type="http://schemas.openxmlformats.org/officeDocument/2006/relationships/hyperlink" Target="https://drive.google.com/file/d/1RqHy7bfSFGrnnPT6a7LChV7q2xEJLF0a/view?usp=sharing" TargetMode="External"/><Relationship Id="rId9834" Type="http://schemas.openxmlformats.org/officeDocument/2006/relationships/hyperlink" Target="https://drive.google.com/file/d/1bGAtWdCSL-v2iZg1GvRoYwXZwXVqVH3x/view" TargetMode="External"/><Relationship Id="rId11764" Type="http://schemas.openxmlformats.org/officeDocument/2006/relationships/hyperlink" Target="https://www.vidio.com/live/19355-bri-super-league?schedule_id=4832996" TargetMode="External"/><Relationship Id="rId48" Type="http://schemas.openxmlformats.org/officeDocument/2006/relationships/hyperlink" Target="https://drive.google.com/file/d/1YtiJbNWo-qCe0pkcpX60mqQA3DZjaacV/view?usp=sharing" TargetMode="External"/><Relationship Id="rId1823" Type="http://schemas.openxmlformats.org/officeDocument/2006/relationships/hyperlink" Target="https://drive.google.com/file/d/1b89gKHXmplKgjeGdNZnTFiyD_SvEbmrI/view?usp=drive_link" TargetMode="External"/><Relationship Id="rId7385" Type="http://schemas.openxmlformats.org/officeDocument/2006/relationships/hyperlink" Target="https://drive.google.com/file/d/1abZEUpV_KSsKGrcGt9A_hOR09qV9HhTB/view?usp=sharing" TargetMode="External"/><Relationship Id="rId8436" Type="http://schemas.openxmlformats.org/officeDocument/2006/relationships/hyperlink" Target="https://drive.google.com/drive/folders/1rF25M1sCfY2rKMUOJOjsFPUK8o2N4gCG?usp=drive_link" TargetMode="External"/><Relationship Id="rId10366" Type="http://schemas.openxmlformats.org/officeDocument/2006/relationships/hyperlink" Target="https://drive.google.com/drive/folders/1o1U6Xrma6-i_C__CorH7pl8eIMeOupbW" TargetMode="External"/><Relationship Id="rId11417" Type="http://schemas.openxmlformats.org/officeDocument/2006/relationships/hyperlink" Target="https://www.vidio.com/live/18249-hsbc-bwf-world-tour-finals-2025-semifinals?schedule_id=4788328" TargetMode="External"/><Relationship Id="rId3995" Type="http://schemas.openxmlformats.org/officeDocument/2006/relationships/hyperlink" Target="https://drive.google.com/drive/folders/1JBRHT9LwWNxhjvo0rAsFWe8X0wsZvXom" TargetMode="External"/><Relationship Id="rId7038" Type="http://schemas.openxmlformats.org/officeDocument/2006/relationships/hyperlink" Target="https://www.vidio.com/live/205-indosiar?schedule_id=4628661" TargetMode="External"/><Relationship Id="rId10019" Type="http://schemas.openxmlformats.org/officeDocument/2006/relationships/hyperlink" Target="https://drive.google.com/drive/folders/1JgfAQOjn2WastQKiWTJNVcpxRZAfeThV" TargetMode="External"/><Relationship Id="rId2597" Type="http://schemas.openxmlformats.org/officeDocument/2006/relationships/hyperlink" Target="https://drive.google.com/file/d/1xof1Z0HxDlDLo70L4Q64q0uu-UhHJtXe/view?usp=sharing" TargetMode="External"/><Relationship Id="rId3648" Type="http://schemas.openxmlformats.org/officeDocument/2006/relationships/hyperlink" Target="https://drive.google.com/drive/folders/1sanxGtMZ76CVdXTj0NtNc25j5HkqPSMG?usp=drive_link" TargetMode="External"/><Relationship Id="rId569" Type="http://schemas.openxmlformats.org/officeDocument/2006/relationships/hyperlink" Target="https://drive.google.com/drive/folders/17k-_7e7a9JxP2MovHIJG_MPjd7bClNL8?usp=drive_link" TargetMode="External"/><Relationship Id="rId1199" Type="http://schemas.openxmlformats.org/officeDocument/2006/relationships/hyperlink" Target="https://thumbor.prod.vidiocdn.com/yHV7h-qYPHDF7JocT6NIBsCCB9U=/filters:quality(70)/vidio-media-production/uploads/image/source/52748/9d93ee.png" TargetMode="External"/><Relationship Id="rId5070" Type="http://schemas.openxmlformats.org/officeDocument/2006/relationships/hyperlink" Target="https://drive.google.com/file/d/1vZEEgxUmKoML64j0G4WH1vXf1SL1hKfi/view?usp=drive_link" TargetMode="External"/><Relationship Id="rId6121" Type="http://schemas.openxmlformats.org/officeDocument/2006/relationships/hyperlink" Target="https://drive.google.com/file/d/1G4e4OYeNuTEaR6ZVbMLZg4A0L0uJqlwV/view?usp=sharing" TargetMode="External"/><Relationship Id="rId9691" Type="http://schemas.openxmlformats.org/officeDocument/2006/relationships/hyperlink" Target="https://drive.google.com/drive/folders/1fjUlSZKSMeVb5kahSAXDwoE_i9JKPV0z?usp=drive_link" TargetMode="External"/><Relationship Id="rId10500" Type="http://schemas.openxmlformats.org/officeDocument/2006/relationships/hyperlink" Target="https://www.vidio.com/live/19355-bri-super-league?schedule_id=4783343" TargetMode="External"/><Relationship Id="rId8293" Type="http://schemas.openxmlformats.org/officeDocument/2006/relationships/hyperlink" Target="https://www.vidio.com/live/6317-bein-3?schedule_id=4724818" TargetMode="External"/><Relationship Id="rId9344" Type="http://schemas.openxmlformats.org/officeDocument/2006/relationships/hyperlink" Target="https://www.vidio.com/live/19773-fa-cup-2025-26?schedule_id=4759283" TargetMode="External"/><Relationship Id="rId1680" Type="http://schemas.openxmlformats.org/officeDocument/2006/relationships/hyperlink" Target="https://drive.google.com/file/d/1HgXSlmE092K3SBY2FRxtWGct2xsYr0dL/view?usp=drive_link" TargetMode="External"/><Relationship Id="rId2731" Type="http://schemas.openxmlformats.org/officeDocument/2006/relationships/hyperlink" Target="https://drive.google.com/drive/folders/1kMnAUovIfqAZyRE7zHeYvNuw4YZstmZE?usp=drive_link" TargetMode="External"/><Relationship Id="rId11274" Type="http://schemas.openxmlformats.org/officeDocument/2006/relationships/hyperlink" Target="https://thumbor.prod.vidiocdn.com/ipMc2gUYQBm4LvJpAcuUfSX6ewM=/filters:quality(70)/vidio-media-production/uploads/image/source/52455/2191e5.png" TargetMode="External"/><Relationship Id="rId12325" Type="http://schemas.openxmlformats.org/officeDocument/2006/relationships/hyperlink" Target="https://www.vidio.com/live/20282?schedule_id=4833911" TargetMode="External"/><Relationship Id="rId703" Type="http://schemas.openxmlformats.org/officeDocument/2006/relationships/hyperlink" Target="https://drive.google.com/drive/folders/1JGHz358W6LUQT5ISqCLFsU5sd7SpP5sq?usp=drive_link" TargetMode="External"/><Relationship Id="rId1333" Type="http://schemas.openxmlformats.org/officeDocument/2006/relationships/hyperlink" Target="https://drive.google.com/file/d/1T6ofZKvaIgoME59QQc3ZNMh1meCnUYqE/view?usp=drive_link" TargetMode="External"/><Relationship Id="rId5954" Type="http://schemas.openxmlformats.org/officeDocument/2006/relationships/hyperlink" Target="https://drive.google.com/drive/folders/157kcTLmYqbHDLnzlFmEcm86jkbEOvl1s?usp=drive_link" TargetMode="External"/><Relationship Id="rId4556" Type="http://schemas.openxmlformats.org/officeDocument/2006/relationships/hyperlink" Target="https://drive.google.com/drive/folders/145IhwfqlcpfOLrMqkCkNQ3_RVW4boDzF?usp=drive_link" TargetMode="External"/><Relationship Id="rId5607" Type="http://schemas.openxmlformats.org/officeDocument/2006/relationships/hyperlink" Target="https://drive.google.com/drive/folders/1T_hSHTD_-KFACvzaLRkC99zsQTXxXMzF?usp=drive_link" TargetMode="External"/><Relationship Id="rId3158" Type="http://schemas.openxmlformats.org/officeDocument/2006/relationships/hyperlink" Target="https://www.vidio.com/live/6299-bein-1?schedule_id=4783758" TargetMode="External"/><Relationship Id="rId4209" Type="http://schemas.openxmlformats.org/officeDocument/2006/relationships/hyperlink" Target="https://drive.google.com/drive/folders/1ZvV_IkTV9f9BOY6RhwnkqwQ-9fji1J_-?usp=drive_link" TargetMode="External"/><Relationship Id="rId7779" Type="http://schemas.openxmlformats.org/officeDocument/2006/relationships/hyperlink" Target="https://drive.google.com/file/d/1sDIPW2JBm_aCvad_iOzY-MjZVQpJev6N/view?usp=sharing" TargetMode="External"/><Relationship Id="rId10010" Type="http://schemas.openxmlformats.org/officeDocument/2006/relationships/hyperlink" Target="https://www.vidio.com/live/6299-bein-1?schedule_id=4797269" TargetMode="External"/><Relationship Id="rId12182" Type="http://schemas.openxmlformats.org/officeDocument/2006/relationships/hyperlink" Target="https://drive.google.com/file/d/17nqJ8YbOWxi4DOQmMA4_VvY1qMuE4tM4/view?usp=sharing" TargetMode="External"/><Relationship Id="rId560" Type="http://schemas.openxmlformats.org/officeDocument/2006/relationships/hyperlink" Target="https://www.vidio.com/live/9182-champions-tv-5?schedule_id=4668362" TargetMode="External"/><Relationship Id="rId1190" Type="http://schemas.openxmlformats.org/officeDocument/2006/relationships/hyperlink" Target="https://drive.google.com/file/d/1Zkc5anlIxquhvd9bLZKjHbQwudoOznKR/view?usp=sharing" TargetMode="External"/><Relationship Id="rId2241" Type="http://schemas.openxmlformats.org/officeDocument/2006/relationships/hyperlink" Target="https://drive.google.com/drive/folders/1hRVqf1Dc9G09QQyeFjVrTlQfx2ffuWsW?usp=drive_link" TargetMode="External"/><Relationship Id="rId213" Type="http://schemas.openxmlformats.org/officeDocument/2006/relationships/hyperlink" Target="https://drive.google.com/file/d/1_0pPu7_hLwGnKKS6UES2a4x_Ud3SGGLO/view?usp=sharing" TargetMode="External"/><Relationship Id="rId6862" Type="http://schemas.openxmlformats.org/officeDocument/2006/relationships/hyperlink" Target="https://drive.google.com/drive/folders/1wLFxqBphMEqhEFKzx8h9tciSZSpsdcn2?usp=drive_link" TargetMode="External"/><Relationship Id="rId7913" Type="http://schemas.openxmlformats.org/officeDocument/2006/relationships/hyperlink" Target="https://drive.google.com/file/d/1u9sWcvVff8-Ci2DZivLJUcYch8lfaWkQ/view?usp=sharing" TargetMode="External"/><Relationship Id="rId4066" Type="http://schemas.openxmlformats.org/officeDocument/2006/relationships/hyperlink" Target="https://drive.google.com/file/d/1fpKUj3N2QIRgdCyErcwASFJgriFqQRJN/view?usp=sharing" TargetMode="External"/><Relationship Id="rId5464" Type="http://schemas.openxmlformats.org/officeDocument/2006/relationships/hyperlink" Target="https://drive.google.com/file/d/1T5WXvpB8cehfuJK88DEQ1hue9EE-c_4k/view?usp=sharing" TargetMode="External"/><Relationship Id="rId6515" Type="http://schemas.openxmlformats.org/officeDocument/2006/relationships/hyperlink" Target="https://drive.google.com/drive/folders/1d94_thrnk27Tjsa7N_77ZdoXnEz_v9SQ?usp=drive_link" TargetMode="External"/><Relationship Id="rId5117" Type="http://schemas.openxmlformats.org/officeDocument/2006/relationships/hyperlink" Target="https://drive.google.com/drive/folders/1TjYGg-jqTPUYZNauCocQbbXh2ua5fmPz?usp=drive_link" TargetMode="External"/><Relationship Id="rId8687" Type="http://schemas.openxmlformats.org/officeDocument/2006/relationships/hyperlink" Target="https://drive.google.com/drive/folders/1TrlT_rcXdUiqKRyaGaDfRhAcalgxoPep?usp=drive_link" TargetMode="External"/><Relationship Id="rId9738" Type="http://schemas.openxmlformats.org/officeDocument/2006/relationships/hyperlink" Target="https://drive.google.com/file/d/1ndS33eft2OXcj8QLbyEVaRd_YY4ffG0U/view?usp=sharing" TargetMode="External"/><Relationship Id="rId11668" Type="http://schemas.openxmlformats.org/officeDocument/2006/relationships/hyperlink" Target="https://thumbor.prod.vidiocdn.com/L57Og-IPsu1PUehYaGYw7WcH1pQ=/filters:quality(70)/vidio-media-production/uploads/image/source/52879/cd46f4.png" TargetMode="External"/><Relationship Id="rId1727" Type="http://schemas.openxmlformats.org/officeDocument/2006/relationships/hyperlink" Target="https://drive.google.com/file/d/1S54gS-8cXvKWMnaXxlU5uvMSIjJPYK9j/view?usp=sharing" TargetMode="External"/><Relationship Id="rId7289" Type="http://schemas.openxmlformats.org/officeDocument/2006/relationships/hyperlink" Target="https://drive.google.com/file/d/1DCFL8XWJMdHfwXymoD_ipheOSS7nh5qO/view?usp=sharing" TargetMode="External"/><Relationship Id="rId3899" Type="http://schemas.openxmlformats.org/officeDocument/2006/relationships/hyperlink" Target="https://www.vidio.com/live/19388-rajadamnern-2025-light-flyweight-title?schedule_id=4540899" TargetMode="External"/><Relationship Id="rId4200" Type="http://schemas.openxmlformats.org/officeDocument/2006/relationships/hyperlink" Target="https://drive.google.com/file/d/10Mizmo95Xp2AdmfK7z2NugcNHm_zvrpm/view?usp=sharing" TargetMode="External"/><Relationship Id="rId7770" Type="http://schemas.openxmlformats.org/officeDocument/2006/relationships/hyperlink" Target="https://www.vidio.com/live/19604-carabao-cup-2025-26?schedule_id=4673898" TargetMode="External"/><Relationship Id="rId6372" Type="http://schemas.openxmlformats.org/officeDocument/2006/relationships/hyperlink" Target="https://drive.google.com/drive/folders/1f1mtBnyHMvhTzJQ96AkQHyQ-WjlFWkVS" TargetMode="External"/><Relationship Id="rId7423" Type="http://schemas.openxmlformats.org/officeDocument/2006/relationships/hyperlink" Target="https://www.vidio.com/live/6685-champions-tv-1?schedule_id=4666462" TargetMode="External"/><Relationship Id="rId8821" Type="http://schemas.openxmlformats.org/officeDocument/2006/relationships/hyperlink" Target="https://drive.google.com/file/d/1PY1T5W5LTs_2sVnxuwRBpEbxcMsvyp5v/view?usp=sharing" TargetMode="External"/><Relationship Id="rId10751" Type="http://schemas.openxmlformats.org/officeDocument/2006/relationships/hyperlink" Target="https://www.vidio.com/live/19623-national-football-league-2025-26?schedule_id=4784952" TargetMode="External"/><Relationship Id="rId11802" Type="http://schemas.openxmlformats.org/officeDocument/2006/relationships/hyperlink" Target="https://drive.google.com/file/d/1ygk7JrTwOvUiG2O43xSxnxCw0wHnTEEm/view?usp=drive_link" TargetMode="External"/><Relationship Id="rId6025" Type="http://schemas.openxmlformats.org/officeDocument/2006/relationships/hyperlink" Target="https://www.vidio.com/live/6299-bein-1?schedule_id=4773334" TargetMode="External"/><Relationship Id="rId10404" Type="http://schemas.openxmlformats.org/officeDocument/2006/relationships/hyperlink" Target="https://drive.google.com/file/d/1PTR1H31AZnLqINQQTyZUjhK7LAbZPGs5/view?usp=sharing" TargetMode="External"/><Relationship Id="rId2982" Type="http://schemas.openxmlformats.org/officeDocument/2006/relationships/hyperlink" Target="https://drive.google.com/drive/folders/1kuh3F_7xT_Vjp4SplGyHotvMMBkMkXzH?usp=drive_link" TargetMode="External"/><Relationship Id="rId8197" Type="http://schemas.openxmlformats.org/officeDocument/2006/relationships/hyperlink" Target="https://www.vidio.com/live/19672-easl?schedule_id=4660162" TargetMode="External"/><Relationship Id="rId9595" Type="http://schemas.openxmlformats.org/officeDocument/2006/relationships/hyperlink" Target="https://www.vidio.com/live/19630-uefa-europa-league?schedule_id=4739858" TargetMode="External"/><Relationship Id="rId954" Type="http://schemas.openxmlformats.org/officeDocument/2006/relationships/hyperlink" Target="https://www.vidio.com/live/9182-champions-tv-5?schedule_id=4780158" TargetMode="External"/><Relationship Id="rId1584" Type="http://schemas.openxmlformats.org/officeDocument/2006/relationships/hyperlink" Target="https://drive.google.com/file/d/1Is3KRdEkacoErU5XBgrsi2D7KwFANSor/view?usp=drive_link" TargetMode="External"/><Relationship Id="rId2635" Type="http://schemas.openxmlformats.org/officeDocument/2006/relationships/hyperlink" Target="https://drive.google.com/drive/folders/1YD9WuJVeK114lO9UuRHuqQtnmc99ULu2?usp=drive_link" TargetMode="External"/><Relationship Id="rId9248" Type="http://schemas.openxmlformats.org/officeDocument/2006/relationships/hyperlink" Target="https://drive.google.com/file/d/1bGAtWdCSL-v2iZg1GvRoYwXZwXVqVH3x/view?usp=sharing" TargetMode="External"/><Relationship Id="rId11178" Type="http://schemas.openxmlformats.org/officeDocument/2006/relationships/hyperlink" Target="https://www.vidio.com/live/18249-hsbc-bwf-world-tour-finals-2025-group-stage-court-1?schedule_id=4784600" TargetMode="External"/><Relationship Id="rId12229" Type="http://schemas.openxmlformats.org/officeDocument/2006/relationships/hyperlink" Target="https://www.vidio.com/live/20270?schedule_id=4833857" TargetMode="External"/><Relationship Id="rId607" Type="http://schemas.openxmlformats.org/officeDocument/2006/relationships/hyperlink" Target="https://drive.google.com/drive/folders/1BbFzdgX0mB5aZnvrh3ebwoeNrz6Ybema?usp=drive_link" TargetMode="External"/><Relationship Id="rId1237" Type="http://schemas.openxmlformats.org/officeDocument/2006/relationships/hyperlink" Target="https://www.vidio.com/live/9183-champions-tv-6?schedule_id=4831823" TargetMode="External"/><Relationship Id="rId5858" Type="http://schemas.openxmlformats.org/officeDocument/2006/relationships/hyperlink" Target="https://drive.google.com/file/d/1oAIeS9QgdLkHDJd6luX3ChKPQOE25PPs/view?usp=sharing" TargetMode="External"/><Relationship Id="rId6909" Type="http://schemas.openxmlformats.org/officeDocument/2006/relationships/hyperlink" Target="https://drive.google.com/file/d/1Fmej62DrjwpCW6DF5en04i0rRd7CG9b_/view?usp=sharing" TargetMode="External"/><Relationship Id="rId7280" Type="http://schemas.openxmlformats.org/officeDocument/2006/relationships/hyperlink" Target="https://www.vidio.com/live/19543-pegadaian-championship-2025-26?schedule_id=4653433" TargetMode="External"/><Relationship Id="rId8331" Type="http://schemas.openxmlformats.org/officeDocument/2006/relationships/hyperlink" Target="https://drive.google.com/file/d/1IKxoxhjUwGd6SS57zgihmG4FAoJpBTiq/view?usp=sharing" TargetMode="External"/><Relationship Id="rId10261" Type="http://schemas.openxmlformats.org/officeDocument/2006/relationships/hyperlink" Target="https://www.vidio.com/live/20024-top-soccer-championship-u-13-play-off-3" TargetMode="External"/><Relationship Id="rId11312" Type="http://schemas.openxmlformats.org/officeDocument/2006/relationships/hyperlink" Target="https://www.vidio.com/live/19354-bri-super-league?schedule_id=4832276" TargetMode="External"/><Relationship Id="rId2492" Type="http://schemas.openxmlformats.org/officeDocument/2006/relationships/hyperlink" Target="https://drive.google.com/drive/folders/1NSBydGBKJr3vXHnRAVKRVr5xrnfJdecS?usp=drive_link" TargetMode="External"/><Relationship Id="rId3890" Type="http://schemas.openxmlformats.org/officeDocument/2006/relationships/hyperlink" Target="https://drive.google.com/file/d/1p04CUZ2zd_QRLyVfmmSqSaiFMSXOO13I/view?usp=sharing" TargetMode="External"/><Relationship Id="rId4941" Type="http://schemas.openxmlformats.org/officeDocument/2006/relationships/hyperlink" Target="https://drive.google.com/drive/folders/1ujbFUenfxeV6E2X36X9S8EGPmUBwOvAW" TargetMode="External"/><Relationship Id="rId464" Type="http://schemas.openxmlformats.org/officeDocument/2006/relationships/hyperlink" Target="https://www.vidio.com/live/9182-champions-tv-5?schedule_id=4626714" TargetMode="External"/><Relationship Id="rId1094" Type="http://schemas.openxmlformats.org/officeDocument/2006/relationships/hyperlink" Target="https://drive.google.com/drive/folders/1-fFWbXRe5yf7wiHJlCb4Xr_6xiGLUJhJ?usp=drive_link" TargetMode="External"/><Relationship Id="rId2145" Type="http://schemas.openxmlformats.org/officeDocument/2006/relationships/hyperlink" Target="https://drive.google.com/file/d/1sbT5M6TnnaP-ywrwf90tZpx7UHqLqF6p/view?usp=sharing" TargetMode="External"/><Relationship Id="rId3543" Type="http://schemas.openxmlformats.org/officeDocument/2006/relationships/hyperlink" Target="https://www.vidio.com/live/18739-liga-portugal?schedule_id=4741384" TargetMode="External"/><Relationship Id="rId12086" Type="http://schemas.openxmlformats.org/officeDocument/2006/relationships/hyperlink" Target="https://www.vidio.com/live/18252-petronas-malaysia-open-2026-round-of-16-court-3?schedule_id=4832353" TargetMode="External"/><Relationship Id="rId117" Type="http://schemas.openxmlformats.org/officeDocument/2006/relationships/hyperlink" Target="https://drive.google.com/file/d/1K2d-zigBwpW_F48uVXPO_F2V4Bf4NTjg/view?usp=sharing" TargetMode="External"/><Relationship Id="rId6766" Type="http://schemas.openxmlformats.org/officeDocument/2006/relationships/hyperlink" Target="https://drive.google.com/drive/folders/1NepG6XT-FSa8Cs07sX3tPfQWLNpJfAxp" TargetMode="External"/><Relationship Id="rId7817" Type="http://schemas.openxmlformats.org/officeDocument/2006/relationships/hyperlink" Target="https://drive.google.com/drive/folders/18pa30k7VXSESv0P6fZ97lEXrQ9iatGXT?usp=drive_link" TargetMode="External"/><Relationship Id="rId5368" Type="http://schemas.openxmlformats.org/officeDocument/2006/relationships/hyperlink" Target="https://www.vidio.com/live/18302-uefa-champions-league?schedule_id=4733549" TargetMode="External"/><Relationship Id="rId6419" Type="http://schemas.openxmlformats.org/officeDocument/2006/relationships/hyperlink" Target="https://drive.google.com/file/d/1cQlrNJfxhNKiNJ1L6dCMn9jo0s9dK2Fp/view?usp=sharing" TargetMode="External"/><Relationship Id="rId9989" Type="http://schemas.openxmlformats.org/officeDocument/2006/relationships/hyperlink" Target="https://www.vidio.com/live/6299-bein-1?schedule_id=4794872" TargetMode="External"/><Relationship Id="rId12220" Type="http://schemas.openxmlformats.org/officeDocument/2006/relationships/hyperlink" Target="https://www.vidio.com/live/20271?schedule_id=4833835" TargetMode="External"/><Relationship Id="rId1978" Type="http://schemas.openxmlformats.org/officeDocument/2006/relationships/hyperlink" Target="https://www.vidio.com/live/205-indosiar?schedule_id=4691252" TargetMode="External"/><Relationship Id="rId4451" Type="http://schemas.openxmlformats.org/officeDocument/2006/relationships/hyperlink" Target="https://drive.google.com/file/d/17OATDtsLW_hISmwC2XXfIQfD90aoXGbH/view?usp=sharing" TargetMode="External"/><Relationship Id="rId5502" Type="http://schemas.openxmlformats.org/officeDocument/2006/relationships/hyperlink" Target="https://drive.google.com/drive/folders/1tjIHYbD0JMfAAwmB8h_i0kF1TzTJeG-N?usp=drive_link" TargetMode="External"/><Relationship Id="rId6900" Type="http://schemas.openxmlformats.org/officeDocument/2006/relationships/hyperlink" Target="https://drive.google.com/drive/folders/1gquKUc4zxU9uTxjM6KQumT3Y6CrfxPPR?usp=drive_link" TargetMode="External"/><Relationship Id="rId3053" Type="http://schemas.openxmlformats.org/officeDocument/2006/relationships/hyperlink" Target="https://www.vidio.com/live/6317-bein-3?schedule_id=4762165" TargetMode="External"/><Relationship Id="rId4104" Type="http://schemas.openxmlformats.org/officeDocument/2006/relationships/hyperlink" Target="https://drive.google.com/drive/folders/1gld7hF_Ce_A3oVQk8cmaRf4XidPuBodS?usp=drive_link" TargetMode="External"/><Relationship Id="rId6276" Type="http://schemas.openxmlformats.org/officeDocument/2006/relationships/hyperlink" Target="https://drive.google.com/drive/folders/1tpehDgZcoR6pjuyLkBm5e-NKuXDigB5a" TargetMode="External"/><Relationship Id="rId7674" Type="http://schemas.openxmlformats.org/officeDocument/2006/relationships/hyperlink" Target="https://drive.google.com/file/d/1xmUHslDl_l0rdmdvLD3ji4wAVR_Jp4hl/view?usp=sharing" TargetMode="External"/><Relationship Id="rId8725" Type="http://schemas.openxmlformats.org/officeDocument/2006/relationships/hyperlink" Target="https://www.vidio.com/live/19745-top-youth-premier-league-2025-matchday-8?schedule_id=4670902" TargetMode="External"/><Relationship Id="rId10655" Type="http://schemas.openxmlformats.org/officeDocument/2006/relationships/hyperlink" Target="https://thumbor.prod.vidiocdn.com/vBRfgy4dmZlm_UOxdDu8P4_yrFg=/filters:quality(70)/vidio-media-production/uploads/image/source/53046/8a346c.png" TargetMode="External"/><Relationship Id="rId11706" Type="http://schemas.openxmlformats.org/officeDocument/2006/relationships/hyperlink" Target="https://drive.google.com/file/d/1xXRyTpjraFbbrHD2OOrzfOJmKS83JG2b/view?usp=sharing" TargetMode="External"/><Relationship Id="rId7327" Type="http://schemas.openxmlformats.org/officeDocument/2006/relationships/hyperlink" Target="https://drive.google.com/drive/folders/11dz9VfG5XcBK6dOCLIQtzN_RHWNq3soW?usp=drive_link" TargetMode="External"/><Relationship Id="rId10308" Type="http://schemas.openxmlformats.org/officeDocument/2006/relationships/hyperlink" Target="https://thumbor.prod.vidiocdn.com/aBwxXL-OtyV2UOkVYYijDkpWQeo=/filters:quality(70)/vidio-media-production/uploads/image/source/51876/b101d1.png" TargetMode="External"/><Relationship Id="rId2886" Type="http://schemas.openxmlformats.org/officeDocument/2006/relationships/hyperlink" Target="https://drive.google.com/file/d/15ifsDmWJ2h5dwgz2trh0xvsRrF9t7C1J/view?usp=sharing" TargetMode="External"/><Relationship Id="rId3937" Type="http://schemas.openxmlformats.org/officeDocument/2006/relationships/hyperlink" Target="https://drive.google.com/file/d/1fyL0VpjlQT8vRV2-7N6JRWmDrpoMbLSd/view?usp=sharing" TargetMode="External"/><Relationship Id="rId9499" Type="http://schemas.openxmlformats.org/officeDocument/2006/relationships/hyperlink" Target="https://www.vidio.com/live/6317-bein-3?schedule_id=4777389" TargetMode="External"/><Relationship Id="rId858" Type="http://schemas.openxmlformats.org/officeDocument/2006/relationships/hyperlink" Target="https://www.vidio.com/live/18796-premier-league?schedule_id=4743733" TargetMode="External"/><Relationship Id="rId1488" Type="http://schemas.openxmlformats.org/officeDocument/2006/relationships/hyperlink" Target="https://drive.google.com/file/d/1VZJ6JNzQ2fvCcOzito68xPTMuUMpfQBm/view?usp=sharing" TargetMode="External"/><Relationship Id="rId2539" Type="http://schemas.openxmlformats.org/officeDocument/2006/relationships/hyperlink" Target="https://drive.google.com/file/d/1sEnK9Cadn3-dwSa_XIaIdYubMYuAQ0kQ/view?usp=sharing" TargetMode="External"/><Relationship Id="rId6410" Type="http://schemas.openxmlformats.org/officeDocument/2006/relationships/hyperlink" Target="https://drive.google.com/file/d/14r3d6gt0iUlmfGuVAMyWzZZ-4pi_WmYQ/view?usp=sharing" TargetMode="External"/><Relationship Id="rId9980" Type="http://schemas.openxmlformats.org/officeDocument/2006/relationships/hyperlink" Target="https://drive.google.com/file/d/1iZ6ZtYriF21MQfyqjlGXsreK4COe93ki/view?usp=sharing" TargetMode="External"/><Relationship Id="rId5012" Type="http://schemas.openxmlformats.org/officeDocument/2006/relationships/hyperlink" Target="https://drive.google.com/file/d/1T_9upPzDiBx8WD_Jr60oFKQxiYKlKWvS/view?usp=drive_link" TargetMode="External"/><Relationship Id="rId8582" Type="http://schemas.openxmlformats.org/officeDocument/2006/relationships/hyperlink" Target="https://drive.google.com/file/d/1aBkbVQUx4ks3JsQCEkYbTxK3JlXbCsrt/view?usp=sharing" TargetMode="External"/><Relationship Id="rId9633" Type="http://schemas.openxmlformats.org/officeDocument/2006/relationships/hyperlink" Target="https://drive.google.com/file/d/1yEwlz6KfSfwQb40dKy7eDhN3Quahkdn7/view?usp=sharing" TargetMode="External"/><Relationship Id="rId7184" Type="http://schemas.openxmlformats.org/officeDocument/2006/relationships/hyperlink" Target="https://drive.google.com/file/d/1DNux4glLBnqI-DzUHKvsJVIQIe0fQ_QF/view?usp=sharing" TargetMode="External"/><Relationship Id="rId8235" Type="http://schemas.openxmlformats.org/officeDocument/2006/relationships/hyperlink" Target="https://www.vidio.com/live/19692-top-youth-premier-league-2025-matchweek-6?schedule_id=4644418" TargetMode="External"/><Relationship Id="rId11563" Type="http://schemas.openxmlformats.org/officeDocument/2006/relationships/hyperlink" Target="https://www.vidio.com/live/17140-spotv-2?schedule_id=4802061" TargetMode="External"/><Relationship Id="rId1622" Type="http://schemas.openxmlformats.org/officeDocument/2006/relationships/hyperlink" Target="https://www.vidio.com/live/19386-bri-super-league?schedule_id=4529534" TargetMode="External"/><Relationship Id="rId10165" Type="http://schemas.openxmlformats.org/officeDocument/2006/relationships/hyperlink" Target="https://drive.google.com/file/d/1JIpiLFvCeyxndc6ojl-Vve2VFackZVWh/view?usp=sharing" TargetMode="External"/><Relationship Id="rId11216" Type="http://schemas.openxmlformats.org/officeDocument/2006/relationships/hyperlink" Target="https://drive.google.com/file/d/1yvNszx8Wuk5yMRRQUkivRossXrLsHzWT/view?usp=sharing" TargetMode="External"/><Relationship Id="rId3794" Type="http://schemas.openxmlformats.org/officeDocument/2006/relationships/hyperlink" Target="https://drive.google.com/drive/folders/1Ht6Iu3-MKNZS4_pUOMz3HBAhlO_fYXq9?usp=sharing" TargetMode="External"/><Relationship Id="rId4845" Type="http://schemas.openxmlformats.org/officeDocument/2006/relationships/hyperlink" Target="https://thumbor.prod.vidiocdn.com/kzujDhJ7qtU8QhMU8gJPnPIp9I4=/filters:quality(70)/vidio-media-production/uploads/image/source/52873/26b4c7.png" TargetMode="External"/><Relationship Id="rId2396" Type="http://schemas.openxmlformats.org/officeDocument/2006/relationships/hyperlink" Target="https://drive.google.com/file/d/1_FmX8qqL8JPsRdT_Ryoh256fNEZ47TeD/view?usp=sharing" TargetMode="External"/><Relationship Id="rId3447" Type="http://schemas.openxmlformats.org/officeDocument/2006/relationships/hyperlink" Target="https://drive.google.com/drive/u/1/folders/1KgpkR9lbGtZQBDR7-Js1Asm7siS9iPo-" TargetMode="External"/><Relationship Id="rId368" Type="http://schemas.openxmlformats.org/officeDocument/2006/relationships/hyperlink" Target="https://www.vidio.com/live/9182-champions-tv-5?schedule_id=4598354" TargetMode="External"/><Relationship Id="rId2049" Type="http://schemas.openxmlformats.org/officeDocument/2006/relationships/hyperlink" Target="https://drive.google.com/file/d/1NbRUMpGY2vDzknwof3WcqpqBIHMq-9ka/view?usp=sharing" TargetMode="External"/><Relationship Id="rId9490" Type="http://schemas.openxmlformats.org/officeDocument/2006/relationships/hyperlink" Target="https://drive.google.com/file/d/13nkNLQAj4-JZW32-41XJgOD21gSqxWaN/view?usp=sharing" TargetMode="External"/><Relationship Id="rId2530" Type="http://schemas.openxmlformats.org/officeDocument/2006/relationships/hyperlink" Target="https://drive.google.com/file/d/1lBs-BmCvkaeJ1GI2hXmfjeq8edKUAeq0/view?usp=sharing" TargetMode="External"/><Relationship Id="rId8092" Type="http://schemas.openxmlformats.org/officeDocument/2006/relationships/hyperlink" Target="https://drive.google.com/drive/folders/10kjndzNuhAMWdTMs_l_jk8B84L4z3b2d?usp=drive_link" TargetMode="External"/><Relationship Id="rId9143" Type="http://schemas.openxmlformats.org/officeDocument/2006/relationships/hyperlink" Target="https://drive.google.com/file/d/108gjRkj1WTjNBOnTmljhAi1Il8xyfNIi/view?usp=sharing" TargetMode="External"/><Relationship Id="rId11073" Type="http://schemas.openxmlformats.org/officeDocument/2006/relationships/hyperlink" Target="https://thumbor.prod.vidiocdn.com/l4ac3lrO_ypCQ5ouv_05Umj96n8=/filters:quality(70)/vidio-media-production/uploads/image/source/52263/cb27b3.png" TargetMode="External"/><Relationship Id="rId12124" Type="http://schemas.openxmlformats.org/officeDocument/2006/relationships/hyperlink" Target="https://drive.google.com/file/d/1xXRyTpjraFbbrHD2OOrzfOJmKS83JG2b/view?usp=sharing" TargetMode="External"/><Relationship Id="rId502" Type="http://schemas.openxmlformats.org/officeDocument/2006/relationships/hyperlink" Target="https://drive.google.com/drive/folders/1TaP_vfs-hFJJkkXHSczErZfIfAt991tI" TargetMode="External"/><Relationship Id="rId1132" Type="http://schemas.openxmlformats.org/officeDocument/2006/relationships/hyperlink" Target="https://thumbor.prod.vidiocdn.com/BovRUBrekGktsFaypa9D1lrK9Ko=/filters:quality(70)/vidio-media-production/uploads/image/source/52538/0137a7.png" TargetMode="External"/><Relationship Id="rId4355" Type="http://schemas.openxmlformats.org/officeDocument/2006/relationships/hyperlink" Target="https://www.vidio.com/live/19404-serie-a?schedule_id=4674566" TargetMode="External"/><Relationship Id="rId5753" Type="http://schemas.openxmlformats.org/officeDocument/2006/relationships/hyperlink" Target="https://drive.google.com/file/d/1gUZy746XO5WhvnzsstQ2FkVGGxUorJPp/view?usp=sharing" TargetMode="External"/><Relationship Id="rId6804" Type="http://schemas.openxmlformats.org/officeDocument/2006/relationships/hyperlink" Target="https://www.vidio.com/live/19542-pegadaian-championship-2025-26?schedule_id=4567623" TargetMode="External"/><Relationship Id="rId4008" Type="http://schemas.openxmlformats.org/officeDocument/2006/relationships/hyperlink" Target="https://www.vidio.com/live/6685-champions-tv-1?schedule_id=4559067" TargetMode="External"/><Relationship Id="rId5406" Type="http://schemas.openxmlformats.org/officeDocument/2006/relationships/hyperlink" Target="https://drive.google.com/file/d/1UDxS_cfMma2T0bESnBM7jPu3yKRiPHKf/view?usp=sharing" TargetMode="External"/><Relationship Id="rId8976" Type="http://schemas.openxmlformats.org/officeDocument/2006/relationships/hyperlink" Target="https://drive.google.com/file/d/1Wenwr_Uhf38EN8szS_BD4RamF7udr9Bp/view?usp=sharing" TargetMode="External"/><Relationship Id="rId11957" Type="http://schemas.openxmlformats.org/officeDocument/2006/relationships/hyperlink" Target="https://www.vidio.com/live/18249-petronas-malaysia-open-2026-round-of-32-court-1?schedule_id=4832178" TargetMode="External"/><Relationship Id="rId7578" Type="http://schemas.openxmlformats.org/officeDocument/2006/relationships/hyperlink" Target="https://drive.google.com/drive/folders/1cAGd9_rdxTQC_LBDVNnOpayHH_744vte?usp=drive_link" TargetMode="External"/><Relationship Id="rId8629" Type="http://schemas.openxmlformats.org/officeDocument/2006/relationships/hyperlink" Target="https://drive.google.com/file/d/1WF2h6aBu-2ohw7-34QbFyYpsAew9dIe_/view?usp=sharing" TargetMode="External"/><Relationship Id="rId10559" Type="http://schemas.openxmlformats.org/officeDocument/2006/relationships/hyperlink" Target="https://drive.google.com/drive/folders/1DNMpR7OF9hXqSwGVNWqV-e_hbOftV7Bh?usp=drive_link" TargetMode="External"/><Relationship Id="rId2040" Type="http://schemas.openxmlformats.org/officeDocument/2006/relationships/hyperlink" Target="https://drive.google.com/drive/folders/1FgQomkPL3aq477Uy9GxWKenK60sBgbi9" TargetMode="External"/><Relationship Id="rId6661" Type="http://schemas.openxmlformats.org/officeDocument/2006/relationships/hyperlink" Target="https://drive.google.com/file/d/1uIG5DoJUoHIQlwjhiigxyAN1CSu4pfxG/view?usp=sharing" TargetMode="External"/><Relationship Id="rId7712" Type="http://schemas.openxmlformats.org/officeDocument/2006/relationships/hyperlink" Target="https://drive.google.com/drive/folders/1cXbNF-NYCRtz8ZxiQx20PpwPK_uXZ2k4?usp=drive_link" TargetMode="External"/><Relationship Id="rId5263" Type="http://schemas.openxmlformats.org/officeDocument/2006/relationships/hyperlink" Target="https://drive.google.com/file/d/1oz3bIh54JP0vxicwqK_f081ht9UAfCyj/view?usp=sharing" TargetMode="External"/><Relationship Id="rId6314" Type="http://schemas.openxmlformats.org/officeDocument/2006/relationships/hyperlink" Target="https://drive.google.com/file/d/1NRcRlwKNGhZbsYb9Aln32J-rZBnOdd2_/view?usp=sharing" TargetMode="External"/><Relationship Id="rId8486" Type="http://schemas.openxmlformats.org/officeDocument/2006/relationships/hyperlink" Target="https://www.vidio.com/live/9183-champions-tv-6?schedule_id=4707267" TargetMode="External"/><Relationship Id="rId9884" Type="http://schemas.openxmlformats.org/officeDocument/2006/relationships/hyperlink" Target="https://drive.google.com/drive/folders/1GCG_EGYXs3VmzEETbukghn3vDS_LJFZy" TargetMode="External"/><Relationship Id="rId98" Type="http://schemas.openxmlformats.org/officeDocument/2006/relationships/hyperlink" Target="https://www.vidio.com/live/9182-champions-tv-5?schedule_id=4501545" TargetMode="External"/><Relationship Id="rId1873" Type="http://schemas.openxmlformats.org/officeDocument/2006/relationships/hyperlink" Target="https://drive.google.com/file/d/16cK64F3tPBP_1mauVxu7TwSbdrCjh7qy/view?usp=sharing" TargetMode="External"/><Relationship Id="rId2924" Type="http://schemas.openxmlformats.org/officeDocument/2006/relationships/hyperlink" Target="https://www.vidio.com/live/6299-bein-1?schedule_id=4724317" TargetMode="External"/><Relationship Id="rId7088" Type="http://schemas.openxmlformats.org/officeDocument/2006/relationships/hyperlink" Target="https://www.vidio.com/live/19548-national-football-league-2025-26?schedule_id=4568492" TargetMode="External"/><Relationship Id="rId8139" Type="http://schemas.openxmlformats.org/officeDocument/2006/relationships/hyperlink" Target="https://drive.google.com/drive/u/0/folders/17hljSKetZpILmicI6kM_fJ9I2FmUQAaK" TargetMode="External"/><Relationship Id="rId9537" Type="http://schemas.openxmlformats.org/officeDocument/2006/relationships/hyperlink" Target="https://www.vidio.com/live/19845-top-soccer-championship-2025-u-13-u-14?schedule_id=4719203" TargetMode="External"/><Relationship Id="rId11467" Type="http://schemas.openxmlformats.org/officeDocument/2006/relationships/hyperlink" Target="https://drive.google.com/file/d/1A_a1V6m39vtVyhpvsfAOV0cG8qQnuLQn/view?usp=sharing" TargetMode="External"/><Relationship Id="rId1526" Type="http://schemas.openxmlformats.org/officeDocument/2006/relationships/hyperlink" Target="https://www.vidio.com/live/19385-bri-super-league?schedule_id=4501538" TargetMode="External"/><Relationship Id="rId10069" Type="http://schemas.openxmlformats.org/officeDocument/2006/relationships/hyperlink" Target="https://drive.google.com/file/d/1gGll4Efdnrjri13xEPIBlY6XUINWoHwE/view?usp=sharing" TargetMode="External"/><Relationship Id="rId3698" Type="http://schemas.openxmlformats.org/officeDocument/2006/relationships/hyperlink" Target="https://drive.google.com/drive/folders/1S08fpZc9NPmXK-Z1QU7oZwApQJP4czYm" TargetMode="External"/><Relationship Id="rId4749" Type="http://schemas.openxmlformats.org/officeDocument/2006/relationships/hyperlink" Target="https://www.vidio.com/live/20110-serie-a?schedule_id=4793942" TargetMode="External"/><Relationship Id="rId8620" Type="http://schemas.openxmlformats.org/officeDocument/2006/relationships/hyperlink" Target="https://drive.google.com/drive/folders/1BB-ZS7H6IWFbo99_WSWEba73RY6_GpkZ?usp=drive_link" TargetMode="External"/><Relationship Id="rId10550" Type="http://schemas.openxmlformats.org/officeDocument/2006/relationships/hyperlink" Target="https://www.vidio.com/live/17875-bein-2?schedule_id=4819779" TargetMode="External"/><Relationship Id="rId6171" Type="http://schemas.openxmlformats.org/officeDocument/2006/relationships/hyperlink" Target="https://www.vidio.com/live/19646-uefa-conference-league?schedule_id=4614696" TargetMode="External"/><Relationship Id="rId7222" Type="http://schemas.openxmlformats.org/officeDocument/2006/relationships/hyperlink" Target="https://drive.google.com/file/d/1KEMEtTnipT7qRNl5923A7auUD-0TSBcT/view?usp=sharing" TargetMode="External"/><Relationship Id="rId10203" Type="http://schemas.openxmlformats.org/officeDocument/2006/relationships/hyperlink" Target="https://drive.google.com/file/d/15xgqWWdx3c9ncJv0R-N9Mx8fgnqDqMna/view?usp=sharing" TargetMode="External"/><Relationship Id="rId11601" Type="http://schemas.openxmlformats.org/officeDocument/2006/relationships/hyperlink" Target="https://www.vidio.com/live/6685-champions-tv-1?schedule_id=4832225" TargetMode="External"/><Relationship Id="rId2781" Type="http://schemas.openxmlformats.org/officeDocument/2006/relationships/hyperlink" Target="https://drive.google.com/drive/folders/1qeL-o6mT1rTYcd3c01m2layrhrqUN4pM?usp=drive_link" TargetMode="External"/><Relationship Id="rId9394" Type="http://schemas.openxmlformats.org/officeDocument/2006/relationships/hyperlink" Target="https://drive.google.com/file/d/1wTtyHbppEpFjQHQkTDsigmmZeM1Pyex3/view?usp=sharing" TargetMode="External"/><Relationship Id="rId753" Type="http://schemas.openxmlformats.org/officeDocument/2006/relationships/hyperlink" Target="https://drive.google.com/file/d/1ZikDLdQIGu5SvY39yx0eMZeMve7Ip_ke/view?usp=sharing" TargetMode="External"/><Relationship Id="rId1383" Type="http://schemas.openxmlformats.org/officeDocument/2006/relationships/hyperlink" Target="https://drive.google.com/drive/folders/1tb9b4ZykBOEPgIUGjqmLvfJkqDg80Okv?usp=drive_link" TargetMode="External"/><Relationship Id="rId2434" Type="http://schemas.openxmlformats.org/officeDocument/2006/relationships/hyperlink" Target="https://drive.google.com/file/d/1TWjt75QqT4xGGig2IIz-HM0OfZutN3m1/view?usp=drive_link" TargetMode="External"/><Relationship Id="rId3832" Type="http://schemas.openxmlformats.org/officeDocument/2006/relationships/hyperlink" Target="https://drive.google.com/file/d/1m4pRFvL9YLXmwMiywsuoHb-NzJhWM4Nb/view?usp=sharing" TargetMode="External"/><Relationship Id="rId9047" Type="http://schemas.openxmlformats.org/officeDocument/2006/relationships/hyperlink" Target="https://drive.google.com/drive/folders/1rpSPjTqtlxLC8LqumacehEGZKv5Xflsm?usp=sharing" TargetMode="External"/><Relationship Id="rId12028" Type="http://schemas.openxmlformats.org/officeDocument/2006/relationships/hyperlink" Target="https://drive.google.com/file/d/1GSUWpYS1bKMQHpDirkh41aNW22dfhpEf/view?usp=sharing" TargetMode="External"/><Relationship Id="rId12375" Type="http://schemas.openxmlformats.org/officeDocument/2006/relationships/hyperlink" Target="https://www.vidio.com/live/18250-petronas-malaysia-open-2026-round-of-16-court-2?schedule_id=4833809" TargetMode="External"/><Relationship Id="rId406" Type="http://schemas.openxmlformats.org/officeDocument/2006/relationships/hyperlink" Target="https://drive.google.com/drive/folders/1HAHXgmpUJc29YOD8xWSMgQyRhfXuT8Vy" TargetMode="External"/><Relationship Id="rId1036" Type="http://schemas.openxmlformats.org/officeDocument/2006/relationships/hyperlink" Target="https://drive.google.com/file/d/13IYlm7qqsJ4A_BiIC9J2MPCZ75wc9bLW/view?usp=sharing" TargetMode="External"/><Relationship Id="rId5657" Type="http://schemas.openxmlformats.org/officeDocument/2006/relationships/hyperlink" Target="https://www.vidio.com/live/19601-uefa-europa-league?schedule_id=4614704" TargetMode="External"/><Relationship Id="rId6708" Type="http://schemas.openxmlformats.org/officeDocument/2006/relationships/hyperlink" Target="https://drive.google.com/drive/folders/1avxBDHOSpSGP6mC0dyYR2HlimraYRR3w" TargetMode="External"/><Relationship Id="rId4259" Type="http://schemas.openxmlformats.org/officeDocument/2006/relationships/hyperlink" Target="https://drive.google.com/file/d/1oXGoYj9jk5-7Ep_p_UVvbWpyiyZqP3EN/view?usp=sharing" TargetMode="External"/><Relationship Id="rId8130" Type="http://schemas.openxmlformats.org/officeDocument/2006/relationships/hyperlink" Target="https://drive.google.com/file/d/1gEZ_6Yh8iyV0oncbNsqCs2cKANU3DAMu/view?usp=sharing" TargetMode="External"/><Relationship Id="rId10060" Type="http://schemas.openxmlformats.org/officeDocument/2006/relationships/hyperlink" Target="https://www.vidio.com/live/19623-national-football-league-2025-26?schedule_id=4760893" TargetMode="External"/><Relationship Id="rId11111" Type="http://schemas.openxmlformats.org/officeDocument/2006/relationships/hyperlink" Target="https://www.vidio.com/live/19774-fa-cup-2025-26?schedule_id=4832265" TargetMode="External"/><Relationship Id="rId4740" Type="http://schemas.openxmlformats.org/officeDocument/2006/relationships/hyperlink" Target="https://drive.google.com/drive/folders/1mF2nHm6GNIJCbVCGIkjoYg677Qn-myLq?usp=drive_link" TargetMode="External"/><Relationship Id="rId2291" Type="http://schemas.openxmlformats.org/officeDocument/2006/relationships/hyperlink" Target="https://drive.google.com/file/d/14uvqnVsQVkjBfsfM_eRZ61BzaxrWwiJY/view?usp=sharing" TargetMode="External"/><Relationship Id="rId3342" Type="http://schemas.openxmlformats.org/officeDocument/2006/relationships/hyperlink" Target="https://drive.google.com/drive/folders/1qJurqRohVsogAKqqMeei_icgNdHCI4SV" TargetMode="External"/><Relationship Id="rId263" Type="http://schemas.openxmlformats.org/officeDocument/2006/relationships/hyperlink" Target="https://drive.google.com/drive/folders/17ebxzlwfjOx_VM3jRrnQt8VIR0E4VHCK?usp=drive_link" TargetMode="External"/><Relationship Id="rId6565" Type="http://schemas.openxmlformats.org/officeDocument/2006/relationships/hyperlink" Target="https://www.vidio.com/live/19649-uefa-conference-league?schedule_id=4783306" TargetMode="External"/><Relationship Id="rId7963" Type="http://schemas.openxmlformats.org/officeDocument/2006/relationships/hyperlink" Target="https://drive.google.com/file/d/1kggLgTZaRvCuJ4TnJr9VSz28Geek3PZO/view?usp=sharing" TargetMode="External"/><Relationship Id="rId10944" Type="http://schemas.openxmlformats.org/officeDocument/2006/relationships/hyperlink" Target="https://drive.google.com/file/d/1BmpAp2opVxTF5W-CEHccONTu9dr6eT8v/view?usp=sharing" TargetMode="External"/><Relationship Id="rId5167" Type="http://schemas.openxmlformats.org/officeDocument/2006/relationships/hyperlink" Target="https://drive.google.com/file/d/1Tpah3znsfMwofig9a9jaPUtHPyX8U6Ad/view?usp=sharing" TargetMode="External"/><Relationship Id="rId6218" Type="http://schemas.openxmlformats.org/officeDocument/2006/relationships/hyperlink" Target="https://drive.google.com/drive/folders/1xnnsiJ9rYozWCZ6NSPXvDcTJdEonQTNG" TargetMode="External"/><Relationship Id="rId7616" Type="http://schemas.openxmlformats.org/officeDocument/2006/relationships/hyperlink" Target="https://drive.google.com/file/d/1ZTCrwlJRfWVsGpjerd4aI70EC_Z3blWw/view?usp=sharing" TargetMode="External"/><Relationship Id="rId9788" Type="http://schemas.openxmlformats.org/officeDocument/2006/relationships/hyperlink" Target="https://www.vidio.com/live/19880-top-soccer-championship-2025-u-13-u-14?schedule_id=4730505" TargetMode="External"/><Relationship Id="rId1777" Type="http://schemas.openxmlformats.org/officeDocument/2006/relationships/hyperlink" Target="https://drive.google.com/file/d/1a0vd7Ky7tMapVbjDxivyxGJQj1u16etO/view?usp=sharing" TargetMode="External"/><Relationship Id="rId2828" Type="http://schemas.openxmlformats.org/officeDocument/2006/relationships/hyperlink" Target="https://drive.google.com/drive/folders/1cA9KxSRTjbGHfV97cQx2X2tYvii98MF_?usp=drive_link" TargetMode="External"/><Relationship Id="rId4250" Type="http://schemas.openxmlformats.org/officeDocument/2006/relationships/hyperlink" Target="https://drive.google.com/drive/folders/1ZvV_IkTV9f9BOY6RhwnkqwQ-9fji1J_-?usp=drive_link" TargetMode="External"/><Relationship Id="rId5301" Type="http://schemas.openxmlformats.org/officeDocument/2006/relationships/hyperlink" Target="https://drive.google.com/drive/folders/1eYjFc0tbWMgDvmk6JhS4pPeaLNq-zwuX" TargetMode="External"/><Relationship Id="rId8871" Type="http://schemas.openxmlformats.org/officeDocument/2006/relationships/hyperlink" Target="https://thumbor.prod.vidiocdn.com/PR0fIiKw04GNwMdO5B3ClBqL8RY=/filters:quality(70)/vidio-media-production/uploads/image/source/52156/61fba3.png" TargetMode="External"/><Relationship Id="rId9922" Type="http://schemas.openxmlformats.org/officeDocument/2006/relationships/hyperlink" Target="https://thumbor.prod.vidiocdn.com/W9EeSxYvw2YwskCGsAHjJIzeu8w=/filters:quality(70)/vidio-media-production/uploads/image/source/52315/65b841.png" TargetMode="External"/><Relationship Id="rId7473" Type="http://schemas.openxmlformats.org/officeDocument/2006/relationships/hyperlink" Target="https://drive.google.com/file/d/1DNux4glLBnqI-DzUHKvsJVIQIe0fQ_QF/view?usp=sharing" TargetMode="External"/><Relationship Id="rId8524" Type="http://schemas.openxmlformats.org/officeDocument/2006/relationships/hyperlink" Target="https://www.vidio.com/live/19773-fa-cup-2025-26?schedule_id=4678562" TargetMode="External"/><Relationship Id="rId11852" Type="http://schemas.openxmlformats.org/officeDocument/2006/relationships/hyperlink" Target="https://drive.google.com/file/d/1RvpVSYEuxwkTup3qpzOCOplWtOxx9WK3/view?usp=sharing" TargetMode="External"/><Relationship Id="rId1911" Type="http://schemas.openxmlformats.org/officeDocument/2006/relationships/hyperlink" Target="https://drive.google.com/file/d/1H5n8XXQO2_KpOW7D4iXIpZLxCUORQMin/view?usp=drive_link" TargetMode="External"/><Relationship Id="rId6075" Type="http://schemas.openxmlformats.org/officeDocument/2006/relationships/hyperlink" Target="https://www.vidio.com/live/6685-champions-tv-1?schedule_id=4575850" TargetMode="External"/><Relationship Id="rId7126" Type="http://schemas.openxmlformats.org/officeDocument/2006/relationships/hyperlink" Target="https://drive.google.com/file/d/1nD2-XzrwNu6XCLpVrYxZtK5xP97ZvgR-/view?usp=drive_link" TargetMode="External"/><Relationship Id="rId10454" Type="http://schemas.openxmlformats.org/officeDocument/2006/relationships/hyperlink" Target="https://drive.google.com/drive/folders/1UARFkIUqJuBfubJxCfiR_LU3SLdbikQA" TargetMode="External"/><Relationship Id="rId11505" Type="http://schemas.openxmlformats.org/officeDocument/2006/relationships/hyperlink" Target="https://thumbor.prod.vidiocdn.com/eOGn8JUtmXtuYRcJdJokM8GEtvE=/filters:quality(70)/vidio-media-production/uploads/image/source/52933/6ed8ba.png" TargetMode="External"/><Relationship Id="rId9298" Type="http://schemas.openxmlformats.org/officeDocument/2006/relationships/hyperlink" Target="https://drive.google.com/drive/folders/1BlaTI8F8e-dP3pTZz0hzld2lUd1DyIZh?usp=drive_link" TargetMode="External"/><Relationship Id="rId10107" Type="http://schemas.openxmlformats.org/officeDocument/2006/relationships/hyperlink" Target="https://www.vidio.com/live/19995-top-soccer-championship-2025-u-14-u-15?schedule_id=4743065" TargetMode="External"/><Relationship Id="rId1287" Type="http://schemas.openxmlformats.org/officeDocument/2006/relationships/hyperlink" Target="https://drive.google.com/file/d/17tN8-D69XJk84HSw-pEBLUyAMdx0dGR4/view?usp=sharing" TargetMode="External"/><Relationship Id="rId2685" Type="http://schemas.openxmlformats.org/officeDocument/2006/relationships/hyperlink" Target="https://drive.google.com/drive/folders/1bIkKXqqD_tU_csZzHy4sp9ISRRYQKZN0?usp=drive_link" TargetMode="External"/><Relationship Id="rId3736" Type="http://schemas.openxmlformats.org/officeDocument/2006/relationships/hyperlink" Target="https://drive.google.com/file/d/1CGblWRBCi0Pu5VM57VkTYFmK8oXl4aAs/view?usp=drive_link" TargetMode="External"/><Relationship Id="rId12279" Type="http://schemas.openxmlformats.org/officeDocument/2006/relationships/hyperlink" Target="https://www.vidio.com/live/20275?schedule_id=4833883" TargetMode="External"/><Relationship Id="rId657" Type="http://schemas.openxmlformats.org/officeDocument/2006/relationships/hyperlink" Target="https://drive.google.com/file/d/1UPjW1ZzZ1rk6vS0ateGyIvOoQTRf7Uv6/view?usp=sharing" TargetMode="External"/><Relationship Id="rId2338" Type="http://schemas.openxmlformats.org/officeDocument/2006/relationships/hyperlink" Target="https://drive.google.com/file/d/1VRZypW6cAwhhtpbT9A3RUeZ_P2h015-k/view?usp=sharing" TargetMode="External"/><Relationship Id="rId6959" Type="http://schemas.openxmlformats.org/officeDocument/2006/relationships/hyperlink" Target="https://drive.google.com/drive/folders/1DrC8qLJsnWpWI-tZeb27fP__uEuayVNN?usp=drive_link" TargetMode="External"/><Relationship Id="rId8381" Type="http://schemas.openxmlformats.org/officeDocument/2006/relationships/hyperlink" Target="https://drive.google.com/drive/folders/1AnolPAu5B_3HKjEkWZzv-8NhhFejWIne" TargetMode="External"/><Relationship Id="rId9432" Type="http://schemas.openxmlformats.org/officeDocument/2006/relationships/hyperlink" Target="https://thumbor.prod.vidiocdn.com/zaaRwnQdVqPohBe3UV693ZRbRo4=/filters:quality(70)/vidio-media-production/uploads/image/source/52975/897a4e.png" TargetMode="External"/><Relationship Id="rId11362" Type="http://schemas.openxmlformats.org/officeDocument/2006/relationships/hyperlink" Target="https://www.vidio.com/live/20107-top-youth-premier-league-semifinal-cup-final-cup-plate" TargetMode="External"/><Relationship Id="rId12413" Type="http://schemas.openxmlformats.org/officeDocument/2006/relationships/hyperlink" Target="https://drive.google.com/file/d/1eYrHSZhFd95KyhXxrabgACyw4RU-iuHU/view?usp=sharing" TargetMode="External"/><Relationship Id="rId1421" Type="http://schemas.openxmlformats.org/officeDocument/2006/relationships/hyperlink" Target="https://drive.google.com/file/d/10BwdWhE4TVVEOEri4SRi9lGhpUiXyozd/view?usp=sharing" TargetMode="External"/><Relationship Id="rId4991" Type="http://schemas.openxmlformats.org/officeDocument/2006/relationships/hyperlink" Target="https://drive.google.com/file/d/1ZB7YAVX5JT9ynjup4hm_ethnYXVGUO2n/view?usp=sharing" TargetMode="External"/><Relationship Id="rId8034" Type="http://schemas.openxmlformats.org/officeDocument/2006/relationships/hyperlink" Target="https://drive.google.com/file/d/1SP0e3tznZzd7kOsrMEyPXcLdUkuy_Op0/view?usp=drive_link" TargetMode="External"/><Relationship Id="rId11015" Type="http://schemas.openxmlformats.org/officeDocument/2006/relationships/hyperlink" Target="https://drive.google.com/file/d/17I8IAMtUHar2_cSwkciUm75_UMKsdCPU/view?usp=sharing" TargetMode="External"/><Relationship Id="rId3593" Type="http://schemas.openxmlformats.org/officeDocument/2006/relationships/hyperlink" Target="https://thumbor.prod.vidiocdn.com/y9pVK8Wn6Kr76G565DLTlf_v8tk=/filters:quality(70)/vidio-media-production/uploads/image/source/52016/b40702.png" TargetMode="External"/><Relationship Id="rId4644" Type="http://schemas.openxmlformats.org/officeDocument/2006/relationships/hyperlink" Target="https://drive.google.com/file/d/17wjkCUJQDeVKF4RGrMqoIAUWLyj3J3hH/view?usp=sharing" TargetMode="External"/><Relationship Id="rId2195" Type="http://schemas.openxmlformats.org/officeDocument/2006/relationships/hyperlink" Target="https://drive.google.com/drive/folders/1f3qIPWSaZZvaXVgN-ZudkCOFRe1Qx1pc" TargetMode="External"/><Relationship Id="rId3246" Type="http://schemas.openxmlformats.org/officeDocument/2006/relationships/hyperlink" Target="https://drive.google.com/file/d/1sSxX0hHJ_tWOjDtffkxi2Dn0QV5bqx_f/view?usp=sharing" TargetMode="External"/><Relationship Id="rId167" Type="http://schemas.openxmlformats.org/officeDocument/2006/relationships/hyperlink" Target="https://drive.google.com/drive/folders/1Eg1lyux5FaaAgQEjim-DkbtiN-O0ZYls?usp=drive_link" TargetMode="External"/><Relationship Id="rId7867" Type="http://schemas.openxmlformats.org/officeDocument/2006/relationships/hyperlink" Target="https://www.vidio.com/live/19677-turkish-women-s-volleyball-cup?schedule_id=4644775" TargetMode="External"/><Relationship Id="rId8918" Type="http://schemas.openxmlformats.org/officeDocument/2006/relationships/hyperlink" Target="https://thumbor.prod.vidiocdn.com/VFTOQGZeMybEUhQ4ZGAuh4ZXUaI=/filters:quality(70)/vidio-media-production/uploads/image/source/52643/ddb9b7.png" TargetMode="External"/><Relationship Id="rId10848" Type="http://schemas.openxmlformats.org/officeDocument/2006/relationships/hyperlink" Target="https://drive.google.com/file/d/1kWmbGVZDCuWO2mvA_fIN9yzCsbKOGbD1/view?usp=sharing" TargetMode="External"/><Relationship Id="rId6469" Type="http://schemas.openxmlformats.org/officeDocument/2006/relationships/hyperlink" Target="https://drive.google.com/drive/folders/1uHStg-kn62xkCvDPdvSWmQT0Qq34qMgB?usp=drive_link" TargetMode="External"/><Relationship Id="rId12270" Type="http://schemas.openxmlformats.org/officeDocument/2006/relationships/hyperlink" Target="https://www.vidio.com/live/20275?schedule_id=4833874" TargetMode="External"/><Relationship Id="rId6950" Type="http://schemas.openxmlformats.org/officeDocument/2006/relationships/hyperlink" Target="https://drive.google.com/file/d/13ISNMnB786b9_hDAV7sqRPyji4wgwbAV/view?usp=sharing" TargetMode="External"/><Relationship Id="rId301" Type="http://schemas.openxmlformats.org/officeDocument/2006/relationships/hyperlink" Target="https://drive.google.com/file/d/1_rui0ZHc0duAkqlhGpFpTVSDNYC5rsdb/view?usp=sharing" TargetMode="External"/><Relationship Id="rId5552" Type="http://schemas.openxmlformats.org/officeDocument/2006/relationships/hyperlink" Target="https://drive.google.com/file/d/1wPq63KKKkq6Vwp50-PR-U5oEJL6RNzHf/view?usp=sharing" TargetMode="External"/><Relationship Id="rId6603" Type="http://schemas.openxmlformats.org/officeDocument/2006/relationships/hyperlink" Target="https://drive.google.com/file/d/1naMvGS9zdPLm0HQOqnBkNBFfy7OEuNCW/view?usp=drive_link" TargetMode="External"/><Relationship Id="rId4154" Type="http://schemas.openxmlformats.org/officeDocument/2006/relationships/hyperlink" Target="https://drive.google.com/file/d/152rI25A_7Zce6RKrAWhcskgxmNpQyshR/view?usp=drive_link" TargetMode="External"/><Relationship Id="rId5205" Type="http://schemas.openxmlformats.org/officeDocument/2006/relationships/hyperlink" Target="https://www.vidio.com/live/6317-bein-3?schedule_id=4680038" TargetMode="External"/><Relationship Id="rId8775" Type="http://schemas.openxmlformats.org/officeDocument/2006/relationships/hyperlink" Target="https://drive.google.com/file/d/1XCxfnI1ioqfknLrlbaYJoKOLNR_OJ62N/view?usp=sharing" TargetMode="External"/><Relationship Id="rId7377" Type="http://schemas.openxmlformats.org/officeDocument/2006/relationships/hyperlink" Target="https://www.vidio.com/live/6685-champions-tv-1?schedule_id=4626141" TargetMode="External"/><Relationship Id="rId8428" Type="http://schemas.openxmlformats.org/officeDocument/2006/relationships/hyperlink" Target="https://drive.google.com/file/d/1O7-GpS1wzmS95zXeUYGFGii6qcLE5p3W/view?usp=sharing" TargetMode="External"/><Relationship Id="rId9826" Type="http://schemas.openxmlformats.org/officeDocument/2006/relationships/hyperlink" Target="https://drive.google.com/file/d/1bGAtWdCSL-v2iZg1GvRoYwXZwXVqVH3x/view?usp=sharing" TargetMode="External"/><Relationship Id="rId11756" Type="http://schemas.openxmlformats.org/officeDocument/2006/relationships/hyperlink" Target="https://thumbor.prod.vidiocdn.com/W6ZOzFXl3WeOC5yS6-D-G6uUxDA=/filters:quality(70)/vidio-media-production/uploads/image/source/52979/e20c60.png" TargetMode="External"/><Relationship Id="rId1815" Type="http://schemas.openxmlformats.org/officeDocument/2006/relationships/hyperlink" Target="https://drive.google.com/drive/folders/10-6Sloqk5tq4T8h_UOAvfxFHcju07jYI" TargetMode="External"/><Relationship Id="rId10358" Type="http://schemas.openxmlformats.org/officeDocument/2006/relationships/hyperlink" Target="https://drive.google.com/drive/folders/1QmPGJyfkUAeB_LgPBPbXsinI50fPu4_R" TargetMode="External"/><Relationship Id="rId11409" Type="http://schemas.openxmlformats.org/officeDocument/2006/relationships/hyperlink" Target="https://www.vidio.com/live/18249-hsbc-bwf-world-tour-finals-2025-semifinals?schedule_id=4788330" TargetMode="External"/><Relationship Id="rId3987" Type="http://schemas.openxmlformats.org/officeDocument/2006/relationships/hyperlink" Target="https://drive.google.com/drive/folders/1NepG6XT-FSa8Cs07sX3tPfQWLNpJfAxp" TargetMode="External"/><Relationship Id="rId2589" Type="http://schemas.openxmlformats.org/officeDocument/2006/relationships/hyperlink" Target="https://drive.google.com/drive/folders/1ied5I0xPfr9_sTGfU5UHo_w0_5M_DIcQ?usp=drive_link" TargetMode="External"/><Relationship Id="rId6460" Type="http://schemas.openxmlformats.org/officeDocument/2006/relationships/hyperlink" Target="https://drive.google.com/drive/folders/1F9lLmIvT4-3oh_Jbh-sne-zsyB6ey7v0" TargetMode="External"/><Relationship Id="rId7511" Type="http://schemas.openxmlformats.org/officeDocument/2006/relationships/hyperlink" Target="https://drive.google.com/drive/folders/1_NMA064ucO1Pdw_BiFXMHSmIWtAdDKEq?usp=drive_link" TargetMode="External"/><Relationship Id="rId5062" Type="http://schemas.openxmlformats.org/officeDocument/2006/relationships/hyperlink" Target="https://drive.google.com/drive/folders/1iXXXI8AUN2qzP-l9i7Vb4Z_ch9sn0od-" TargetMode="External"/><Relationship Id="rId6113" Type="http://schemas.openxmlformats.org/officeDocument/2006/relationships/hyperlink" Target="https://www.vidio.com/live/19646-uefa-conference-league?schedule_id=4614684" TargetMode="External"/><Relationship Id="rId9683" Type="http://schemas.openxmlformats.org/officeDocument/2006/relationships/hyperlink" Target="https://drive.google.com/drive/folders/1-ukWJGm7t18Ifmd7lOdLYPeHeBZw8r04" TargetMode="External"/><Relationship Id="rId1672" Type="http://schemas.openxmlformats.org/officeDocument/2006/relationships/hyperlink" Target="https://drive.google.com/drive/folders/1MfSnQIhd9gXMICmCBRJSXYqjO1xvfX2J" TargetMode="External"/><Relationship Id="rId2723" Type="http://schemas.openxmlformats.org/officeDocument/2006/relationships/hyperlink" Target="https://www.vidio.com/live/6299-bein-1?schedule_id=4655940" TargetMode="External"/><Relationship Id="rId8285" Type="http://schemas.openxmlformats.org/officeDocument/2006/relationships/hyperlink" Target="https://drive.google.com/drive/folders/15vHXVDcErXothJiI5vMBqzrOATtz5r7T" TargetMode="External"/><Relationship Id="rId9336" Type="http://schemas.openxmlformats.org/officeDocument/2006/relationships/hyperlink" Target="https://drive.google.com/file/d/1B_vKNjUC4-YcNcSGPHWZ00XfwPiC5IyB/view?usp=sharing" TargetMode="External"/><Relationship Id="rId11266" Type="http://schemas.openxmlformats.org/officeDocument/2006/relationships/hyperlink" Target="https://www.vidio.com/live/19988-bri-super-league?schedule_id=4803421" TargetMode="External"/><Relationship Id="rId12317" Type="http://schemas.openxmlformats.org/officeDocument/2006/relationships/hyperlink" Target="https://www.vidio.com/live/20281?schedule_id=4833900" TargetMode="External"/><Relationship Id="rId1325" Type="http://schemas.openxmlformats.org/officeDocument/2006/relationships/hyperlink" Target="https://drive.google.com/drive/folders/1LuxZ_sFvW4OpHLHwr_N1EPpdItPfXoCI?usp=drive_link" TargetMode="External"/><Relationship Id="rId3497" Type="http://schemas.openxmlformats.org/officeDocument/2006/relationships/hyperlink" Target="https://www.vidio.com/live/6686-champions-tv-2?schedule_id=4630480" TargetMode="External"/><Relationship Id="rId4895" Type="http://schemas.openxmlformats.org/officeDocument/2006/relationships/hyperlink" Target="https://drive.google.com/drive/folders/1fD4lc2oppAdo0ccwcAx1V-UnVveS8lg7?usp=drive_link" TargetMode="External"/><Relationship Id="rId5946" Type="http://schemas.openxmlformats.org/officeDocument/2006/relationships/hyperlink" Target="https://drive.google.com/file/d/1p1uyX4ZrxGBU0jcv9RilRFzkZ8PXXGsy/view?usp=sharing" TargetMode="External"/><Relationship Id="rId31" Type="http://schemas.openxmlformats.org/officeDocument/2006/relationships/hyperlink" Target="https://drive.google.com/file/d/1RTQ1RGWcCnHEwKO82Up4Z4wL8U8ieCha/view?usp=sharing" TargetMode="External"/><Relationship Id="rId2099" Type="http://schemas.openxmlformats.org/officeDocument/2006/relationships/hyperlink" Target="https://drive.google.com/drive/folders/1IUky76S0tQ6eSfib575XKKhlmUN-9qzJ" TargetMode="External"/><Relationship Id="rId4548" Type="http://schemas.openxmlformats.org/officeDocument/2006/relationships/hyperlink" Target="https://www.vidio.com/live/19404-serie-a?schedule_id=4741290" TargetMode="External"/><Relationship Id="rId7021" Type="http://schemas.openxmlformats.org/officeDocument/2006/relationships/hyperlink" Target="https://drive.google.com/drive/folders/1g6-UsvyWLbmFw0L25u4q38gef81qQrbT?usp=drive_link" TargetMode="External"/><Relationship Id="rId11400" Type="http://schemas.openxmlformats.org/officeDocument/2006/relationships/hyperlink" Target="https://drive.google.com/file/d/1fL8-JexQmTRCR8uT2LBpwRv-zWvP_1e2/view?usp=sharing" TargetMode="External"/><Relationship Id="rId10002" Type="http://schemas.openxmlformats.org/officeDocument/2006/relationships/hyperlink" Target="https://www.vidio.com/live/6299-bein-1?schedule_id=4795174" TargetMode="External"/><Relationship Id="rId2580" Type="http://schemas.openxmlformats.org/officeDocument/2006/relationships/hyperlink" Target="https://drive.google.com/drive/folders/1FRJ5EYNCKwo6K7TXyFQSRPaFlFgBJi2B?usp=drive_link" TargetMode="External"/><Relationship Id="rId3631" Type="http://schemas.openxmlformats.org/officeDocument/2006/relationships/hyperlink" Target="https://drive.google.com/drive/folders/1YExNoCffUe-dwScgBlxGhTe5w3vWPcKy?usp=drive_link" TargetMode="External"/><Relationship Id="rId9193" Type="http://schemas.openxmlformats.org/officeDocument/2006/relationships/hyperlink" Target="https://drive.google.com/drive/folders/1NepG6XT-FSa8Cs07sX3tPfQWLNpJfAxp" TargetMode="External"/><Relationship Id="rId12174" Type="http://schemas.openxmlformats.org/officeDocument/2006/relationships/hyperlink" Target="https://drive.google.com/file/d/17nqJ8YbOWxi4DOQmMA4_VvY1qMuE4tM4/view?usp=sharing" TargetMode="External"/><Relationship Id="rId552" Type="http://schemas.openxmlformats.org/officeDocument/2006/relationships/hyperlink" Target="https://www.vidio.com/live/9182-champions-tv-5?schedule_id=4672243" TargetMode="External"/><Relationship Id="rId1182" Type="http://schemas.openxmlformats.org/officeDocument/2006/relationships/hyperlink" Target="https://thumbor.prod.vidiocdn.com/tQg2tCObc9WrbHCzgXJmYllcwlU=/filters:quality(70)/vidio-media-production/uploads/image/source/52741/d8dab4.png" TargetMode="External"/><Relationship Id="rId2233" Type="http://schemas.openxmlformats.org/officeDocument/2006/relationships/hyperlink" Target="https://drive.google.com/file/d/1QIBtOHmn5ZUpan9T7V-A6zITi1134P6h/view?usp=drive_link" TargetMode="External"/><Relationship Id="rId6854" Type="http://schemas.openxmlformats.org/officeDocument/2006/relationships/hyperlink" Target="https://drive.google.com/file/d/1USWBvLmUrm7DosKxT_xBMiAy-eM9XDY4/view?usp=sharing" TargetMode="External"/><Relationship Id="rId205" Type="http://schemas.openxmlformats.org/officeDocument/2006/relationships/hyperlink" Target="https://drive.google.com/file/d/1Bt3P-zWVNzFSg3aTpXAS4mHpaOEdshK5/view?usp=sharing" TargetMode="External"/><Relationship Id="rId5456" Type="http://schemas.openxmlformats.org/officeDocument/2006/relationships/hyperlink" Target="https://drive.google.com/file/d/1hh_JM93Gh6k7ldnyh_wbUvPsoN4M79kI/view?usp=share_link" TargetMode="External"/><Relationship Id="rId6507" Type="http://schemas.openxmlformats.org/officeDocument/2006/relationships/hyperlink" Target="https://drive.google.com/file/d/1f7vDCL9_2Mjwvi2FCjFO4nswTBtF8P8P/view?usp=sharing" TargetMode="External"/><Relationship Id="rId7905" Type="http://schemas.openxmlformats.org/officeDocument/2006/relationships/hyperlink" Target="https://drive.google.com/file/d/18JW0Jca42breNtl6YS11Pwj1tykKvipt/view?usp=sharing" TargetMode="External"/><Relationship Id="rId4058" Type="http://schemas.openxmlformats.org/officeDocument/2006/relationships/hyperlink" Target="https://drive.google.com/file/d/1u2j10RPLrgFm9oIeWU4tFe8j0mDSTlYr/view?usp=sharing" TargetMode="External"/><Relationship Id="rId5109" Type="http://schemas.openxmlformats.org/officeDocument/2006/relationships/hyperlink" Target="https://drive.google.com/file/d/1u5Hq43JlmB-54JKgL3B6ijewNIxRwp8I/view?usp=sharing" TargetMode="External"/><Relationship Id="rId8679" Type="http://schemas.openxmlformats.org/officeDocument/2006/relationships/hyperlink" Target="https://drive.google.com/drive/folders/1wpuVFlzLTPGkpDXH1rs-dlQNI9L12Bgx?usp=drive_link" TargetMode="External"/><Relationship Id="rId1719" Type="http://schemas.openxmlformats.org/officeDocument/2006/relationships/hyperlink" Target="https://drive.google.com/drive/folders/1mW2AglSawIrph8ezppZpsqI_WgyDyl0I" TargetMode="External"/><Relationship Id="rId2090" Type="http://schemas.openxmlformats.org/officeDocument/2006/relationships/hyperlink" Target="https://drive.google.com/file/d/1MN3kcf6piTRO4Ihmte8krgc2niFlXNCG/view?usp=sharing" TargetMode="External"/><Relationship Id="rId3141" Type="http://schemas.openxmlformats.org/officeDocument/2006/relationships/hyperlink" Target="https://thumbor.prod.vidiocdn.com/VLP7sG3OHbXI3-h4tgAoGYpOtZM=/filters:quality(70)/vidio-media-production/uploads/image/source/52099/6ad5a8.png" TargetMode="External"/><Relationship Id="rId7762" Type="http://schemas.openxmlformats.org/officeDocument/2006/relationships/hyperlink" Target="https://drive.google.com/file/d/1eshAmLGeEeqhzRF_Q96Af81zUDB-cTYP/view?usp=sharing" TargetMode="External"/><Relationship Id="rId8813" Type="http://schemas.openxmlformats.org/officeDocument/2006/relationships/hyperlink" Target="https://www.vidio.com/live/6299-bein-1?schedule_id=4700055" TargetMode="External"/><Relationship Id="rId6364" Type="http://schemas.openxmlformats.org/officeDocument/2006/relationships/hyperlink" Target="https://drive.google.com/file/d/126MLTM6hVkYgEy1Ia7KGTXv2-htcpFQT/view?usp=sharing" TargetMode="External"/><Relationship Id="rId7415" Type="http://schemas.openxmlformats.org/officeDocument/2006/relationships/hyperlink" Target="https://drive.google.com/file/d/1MpOkEPq4yECBiVk7dobzT3dY6zsKsBnk/view?usp=sharing" TargetMode="External"/><Relationship Id="rId10743" Type="http://schemas.openxmlformats.org/officeDocument/2006/relationships/hyperlink" Target="https://thumbor.prod.vidiocdn.com/hSB8WRlQdhYXisNIEf88z1iKFxM=/filters:quality(70)/vidio-media-production/uploads/image/source/52089/a5e83d.png" TargetMode="External"/><Relationship Id="rId6017" Type="http://schemas.openxmlformats.org/officeDocument/2006/relationships/hyperlink" Target="https://drive.google.com/file/d/1Ybr4gZgJ5cQS-nuTaaY084zvs1iwiY6X/view?usp=sharing" TargetMode="External"/><Relationship Id="rId9587" Type="http://schemas.openxmlformats.org/officeDocument/2006/relationships/hyperlink" Target="https://drive.google.com/file/d/1E403njmlFLjLKjguu_-6h0Sv4ElpQgrQ/view?usp=sharing" TargetMode="External"/><Relationship Id="rId1576" Type="http://schemas.openxmlformats.org/officeDocument/2006/relationships/hyperlink" Target="https://drive.google.com/drive/folders/1nyKUUyr6kiqG4SFcbhStnCRfNhqct17a" TargetMode="External"/><Relationship Id="rId2974" Type="http://schemas.openxmlformats.org/officeDocument/2006/relationships/hyperlink" Target="https://drive.google.com/file/d/1IIYIE2F7c3GENBgD7NeFL9G_e-bXi27P/view?usp=sharing" TargetMode="External"/><Relationship Id="rId8189" Type="http://schemas.openxmlformats.org/officeDocument/2006/relationships/hyperlink" Target="https://drive.google.com/drive/folders/1S8Hf5sWMZG7etOyF9fWu4qtB3n8pftSZ?usp=drive_link" TargetMode="External"/><Relationship Id="rId946" Type="http://schemas.openxmlformats.org/officeDocument/2006/relationships/hyperlink" Target="https://drive.google.com/file/d/1JbwN6EJRRrNT1Ml1ggA9lkdVtbVUu60c/view?usp=sharing" TargetMode="External"/><Relationship Id="rId1229" Type="http://schemas.openxmlformats.org/officeDocument/2006/relationships/hyperlink" Target="https://thumbor.prod.vidiocdn.com/idWhDb3dC1w_kKUmwF9qJtRRcAY=/filters:quality(70)/vidio-media-production/uploads/image/source/52849/cbafb6.png" TargetMode="External"/><Relationship Id="rId2627" Type="http://schemas.openxmlformats.org/officeDocument/2006/relationships/hyperlink" Target="https://www.vidio.com/live/6317-bein-3?schedule_id=4614513" TargetMode="External"/><Relationship Id="rId5100" Type="http://schemas.openxmlformats.org/officeDocument/2006/relationships/hyperlink" Target="https://drive.google.com/drive/u/0/folders/1AVq_3AbGO01Kkt94HQX_sAGyZaF3aXo-" TargetMode="External"/><Relationship Id="rId4799" Type="http://schemas.openxmlformats.org/officeDocument/2006/relationships/hyperlink" Target="https://thumbor.prod.vidiocdn.com/4Xj92Pzacwauxq54ENXk-TLdLEs=/filters:quality(70)/vidio-media-production/uploads/image/source/52867/9dbea9.png" TargetMode="External"/><Relationship Id="rId8670" Type="http://schemas.openxmlformats.org/officeDocument/2006/relationships/hyperlink" Target="https://drive.google.com/file/d/1D81HArp6V6caEb2ITS-wHWaYSORfvOTn/view?usp=sharing" TargetMode="External"/><Relationship Id="rId9721" Type="http://schemas.openxmlformats.org/officeDocument/2006/relationships/hyperlink" Target="https://drive.google.com/file/d/10bHgDfO8nQ5yjzITNh1mlXxUs9EbBTom/view?usp=sharing" TargetMode="External"/><Relationship Id="rId11651" Type="http://schemas.openxmlformats.org/officeDocument/2006/relationships/hyperlink" Target="https://thumbor.prod.vidiocdn.com/yQLd6JVZn1OiJEurOEjJkv9NKqY=/filters:quality(70)/vidio-media-production/uploads/image/source/53243/da1547.png" TargetMode="External"/><Relationship Id="rId1710" Type="http://schemas.openxmlformats.org/officeDocument/2006/relationships/hyperlink" Target="https://drive.google.com/file/d/1wgrTOrt-2o6eqOAK_mc5QV0dCV8ZN0-W/view?usp=drive_link" TargetMode="External"/><Relationship Id="rId7272" Type="http://schemas.openxmlformats.org/officeDocument/2006/relationships/hyperlink" Target="https://drive.google.com/file/d/1MwU2QOQgCt_Cy2AoXNJaSBv6l2S6HSUr/view?usp=drive_link" TargetMode="External"/><Relationship Id="rId8323" Type="http://schemas.openxmlformats.org/officeDocument/2006/relationships/hyperlink" Target="https://drive.google.com/drive/folders/10s9ag0d75l4-Z8pY85QuGF7ZOoE_19vx?usp=drive_link" TargetMode="External"/><Relationship Id="rId10253" Type="http://schemas.openxmlformats.org/officeDocument/2006/relationships/hyperlink" Target="https://drive.google.com/file/d/1pebBNXBvHIOO1vDQCU40xg4hFEDnC9gx/view?usp=sharing" TargetMode="External"/><Relationship Id="rId11304" Type="http://schemas.openxmlformats.org/officeDocument/2006/relationships/hyperlink" Target="https://drive.google.com/file/d/1VFd5gozgB6qOGRvc_zi6Fg8r4Coh6S9i/view?usp=sharing" TargetMode="External"/><Relationship Id="rId3882" Type="http://schemas.openxmlformats.org/officeDocument/2006/relationships/hyperlink" Target="https://drive.google.com/drive/folders/1z2r5WZWyZXMuRGOOzxK-ZDZEDVdNk2pS" TargetMode="External"/><Relationship Id="rId4933" Type="http://schemas.openxmlformats.org/officeDocument/2006/relationships/hyperlink" Target="https://drive.google.com/drive/folders/1R96_t3ag-koPblqQQRos8QZxsN41wpHF" TargetMode="External"/><Relationship Id="rId2484" Type="http://schemas.openxmlformats.org/officeDocument/2006/relationships/hyperlink" Target="https://drive.google.com/file/d/189493pGYdl_Sowziv-Ad2V7LtgpUF9AR/view?usp=sharing" TargetMode="External"/><Relationship Id="rId3535" Type="http://schemas.openxmlformats.org/officeDocument/2006/relationships/hyperlink" Target="https://drive.google.com/drive/folders/1QgDcwVGAVF7itanmN-FPf50QKaOJD0cp" TargetMode="External"/><Relationship Id="rId9097" Type="http://schemas.openxmlformats.org/officeDocument/2006/relationships/hyperlink" Target="https://drive.google.com/drive/folders/18r0S0JXWeav0p4hIjogzb_dLikUMicvY?usp=sharing" TargetMode="External"/><Relationship Id="rId12078" Type="http://schemas.openxmlformats.org/officeDocument/2006/relationships/hyperlink" Target="https://www.vidio.com/live/18250-petronas-malaysia-open-2026-round-of-16-court-2?schedule_id=4832344" TargetMode="External"/><Relationship Id="rId456" Type="http://schemas.openxmlformats.org/officeDocument/2006/relationships/hyperlink" Target="https://drive.google.com/file/d/1BjkDyXdH3AJ1zEUP7oeMSHPdHv5aMEm0/view?usp=sharing" TargetMode="External"/><Relationship Id="rId1086" Type="http://schemas.openxmlformats.org/officeDocument/2006/relationships/hyperlink" Target="https://thumbor.prod.vidiocdn.com/JPjMg6ySuptlzxV52j4UYVkXmQ0=/filters:quality(70)/vidio-media-production/uploads/image/source/52495/08c7ab.png" TargetMode="External"/><Relationship Id="rId2137" Type="http://schemas.openxmlformats.org/officeDocument/2006/relationships/hyperlink" Target="https://drive.google.com/file/d/1VpLLujxfleus3ENx8c-szecmHnSDGyhX/view?usp=sharing" TargetMode="External"/><Relationship Id="rId109" Type="http://schemas.openxmlformats.org/officeDocument/2006/relationships/hyperlink" Target="https://drive.google.com/file/d/1mbtOiXrETy68VmD05h3Inj73DlhiJc5Q/view?usp=sharing" TargetMode="External"/><Relationship Id="rId6758" Type="http://schemas.openxmlformats.org/officeDocument/2006/relationships/hyperlink" Target="https://drive.google.com/file/d/1DNux4glLBnqI-DzUHKvsJVIQIe0fQ_QF/view?usp=sharing" TargetMode="External"/><Relationship Id="rId7809" Type="http://schemas.openxmlformats.org/officeDocument/2006/relationships/hyperlink" Target="https://drive.google.com/file/d/1e4V0x6jCI7nFXBSie6MhyuiRdyGNWml3/view?usp=drive_link" TargetMode="External"/><Relationship Id="rId8180" Type="http://schemas.openxmlformats.org/officeDocument/2006/relationships/hyperlink" Target="https://www.vidio.com/live/17140-spotv-2?schedule_id=4655167" TargetMode="External"/><Relationship Id="rId9231" Type="http://schemas.openxmlformats.org/officeDocument/2006/relationships/hyperlink" Target="https://www.vidio.com/live/19811-top-soccer-championship-2025-u-17?schedule_id=4708224" TargetMode="External"/><Relationship Id="rId11161" Type="http://schemas.openxmlformats.org/officeDocument/2006/relationships/hyperlink" Target="https://drive.google.com/file/d/1XqMCxzjpg0OUZ3ei5z0JVktGgOQhhvf4/view?usp=sharing" TargetMode="External"/><Relationship Id="rId12212" Type="http://schemas.openxmlformats.org/officeDocument/2006/relationships/hyperlink" Target="https://drive.google.com/file/d/17nqJ8YbOWxi4DOQmMA4_VvY1qMuE4tM4/view?usp=drive_link" TargetMode="External"/><Relationship Id="rId1220" Type="http://schemas.openxmlformats.org/officeDocument/2006/relationships/hyperlink" Target="https://thumbor.prod.vidiocdn.com/V6y4tTxANbqtCxP9O8BnnDw1Ut8=/filters:quality(70)/vidio-media-production/uploads/image/source/52744/cfd2c6.png" TargetMode="External"/><Relationship Id="rId4790" Type="http://schemas.openxmlformats.org/officeDocument/2006/relationships/hyperlink" Target="https://thumbor.prod.vidiocdn.com/wj0BHfa7Ub8hj4j5X5UMQ5hb714=/filters:quality(70)/vidio-media-production/uploads/image/source/52135/3a0f10.png" TargetMode="External"/><Relationship Id="rId5841" Type="http://schemas.openxmlformats.org/officeDocument/2006/relationships/hyperlink" Target="https://drive.google.com/file/d/1OWs5q-NzFqsxaivmrmcU1YzmsamtlKZk/view?usp=sharing" TargetMode="External"/><Relationship Id="rId3392" Type="http://schemas.openxmlformats.org/officeDocument/2006/relationships/hyperlink" Target="https://drive.google.com/file/d/1UFeCRoSzSmmt0_lPwPivLXKRhsnbtfVs/view?usp=sharing" TargetMode="External"/><Relationship Id="rId4443" Type="http://schemas.openxmlformats.org/officeDocument/2006/relationships/hyperlink" Target="https://www.vidio.com/live/19404-serie-a?schedule_id=4708390" TargetMode="External"/><Relationship Id="rId3045" Type="http://schemas.openxmlformats.org/officeDocument/2006/relationships/hyperlink" Target="https://thumbor.prod.vidiocdn.com/20mmkPTbTCXrS6C3pcMkVRwkIeQ=/filters:quality(70)/vidio-media-production/uploads/image/source/51609/c92488.png" TargetMode="External"/><Relationship Id="rId7666" Type="http://schemas.openxmlformats.org/officeDocument/2006/relationships/hyperlink" Target="https://drive.google.com/file/d/14Zwo2kNh5aeX2sVJGwSWduOD9Kl_rn6m/view?usp=sharing" TargetMode="External"/><Relationship Id="rId8717" Type="http://schemas.openxmlformats.org/officeDocument/2006/relationships/hyperlink" Target="https://drive.google.com/drive/folders/1NepG6XT-FSa8Cs07sX3tPfQWLNpJfAxp" TargetMode="External"/><Relationship Id="rId10994" Type="http://schemas.openxmlformats.org/officeDocument/2006/relationships/hyperlink" Target="https://thumbor.prod.vidiocdn.com/v3nniBc6XERQCXF3Y4eLZdH3wZo=/filters:quality(70)/vidio-media-production/uploads/image/source/53141/009029.png" TargetMode="External"/><Relationship Id="rId6268" Type="http://schemas.openxmlformats.org/officeDocument/2006/relationships/hyperlink" Target="https://drive.google.com/file/d/1Q_CJpBIKAp6kEEN8ilFFWR-O54KlMrXr/view?usp=sharing" TargetMode="External"/><Relationship Id="rId7319" Type="http://schemas.openxmlformats.org/officeDocument/2006/relationships/hyperlink" Target="https://drive.google.com/file/d/1SKx9yxHtjulTgFVrWx3WSg39vhzgD-lq/view?usp=sharing" TargetMode="External"/><Relationship Id="rId10647" Type="http://schemas.openxmlformats.org/officeDocument/2006/relationships/hyperlink" Target="https://drive.google.com/file/d/1RTjVaFgFgqrsMTEMBNeDPxImB6DPh7Fu/view?usp=sharing" TargetMode="External"/><Relationship Id="rId100" Type="http://schemas.openxmlformats.org/officeDocument/2006/relationships/hyperlink" Target="https://drive.google.com/drive/folders/1ZnBlExIc16jpQRJ5yiF_rjC2Vw5bQFo5?usp=drive_link" TargetMode="External"/><Relationship Id="rId2878" Type="http://schemas.openxmlformats.org/officeDocument/2006/relationships/hyperlink" Target="https://drive.google.com/drive/folders/1Z_EuYBbvMqbdStzbvT5eeRehj1qDtyX-?usp=drive_link" TargetMode="External"/><Relationship Id="rId3929" Type="http://schemas.openxmlformats.org/officeDocument/2006/relationships/hyperlink" Target="https://drive.google.com/file/d/1bz5pamftjg9Gye4yaE0zdh1__vn4S5Vc/view?usp=drive_link" TargetMode="External"/><Relationship Id="rId7800" Type="http://schemas.openxmlformats.org/officeDocument/2006/relationships/hyperlink" Target="https://www.vidio.com/live/6299-bein-1?schedule_id=4660172" TargetMode="External"/><Relationship Id="rId5351" Type="http://schemas.openxmlformats.org/officeDocument/2006/relationships/hyperlink" Target="https://drive.google.com/file/d/174luK_2B1vnrV5kbVRXRthj8Cw4uEi07/view?usp=sharing" TargetMode="External"/><Relationship Id="rId6402" Type="http://schemas.openxmlformats.org/officeDocument/2006/relationships/hyperlink" Target="https://drive.google.com/drive/folders/1Ty3grkHD7CNI_EWJ901745sgD4m5s_Ls" TargetMode="External"/><Relationship Id="rId9972" Type="http://schemas.openxmlformats.org/officeDocument/2006/relationships/hyperlink" Target="https://drive.google.com/drive/folders/1pbf4oX-N0zwKADOjsRO98huHJEon-ebF?usp=drive_link" TargetMode="External"/><Relationship Id="rId1961" Type="http://schemas.openxmlformats.org/officeDocument/2006/relationships/hyperlink" Target="https://drive.google.com/drive/folders/1GsEyuLcu019k_188kzOcGp4mNshBWP0F" TargetMode="External"/><Relationship Id="rId5004" Type="http://schemas.openxmlformats.org/officeDocument/2006/relationships/hyperlink" Target="https://drive.google.com/drive/folders/1VRrE0LQzFqsuL4B_o1W9yHopLRAqDZ5E" TargetMode="External"/><Relationship Id="rId8574" Type="http://schemas.openxmlformats.org/officeDocument/2006/relationships/hyperlink" Target="https://drive.google.com/drive/folders/1kuwlGQBwGJH-YZoV1ejYoVEcKqAgh0Im?usp=drive_link" TargetMode="External"/><Relationship Id="rId9625" Type="http://schemas.openxmlformats.org/officeDocument/2006/relationships/hyperlink" Target="https://drive.google.com/file/d/13JoU9odkBMh3rIFqDDQwFWrSiJH1knJC/view?usp=sharing" TargetMode="External"/><Relationship Id="rId11555" Type="http://schemas.openxmlformats.org/officeDocument/2006/relationships/hyperlink" Target="https://www.vidio.com/live/17139-spotv?schedule_id=4819781" TargetMode="External"/><Relationship Id="rId1614" Type="http://schemas.openxmlformats.org/officeDocument/2006/relationships/hyperlink" Target="https://drive.google.com/file/d/1dmLLMWDr4zyccdn7Qr-ZTzOTQ5reiTxY/view?usp=drive_link" TargetMode="External"/><Relationship Id="rId7176" Type="http://schemas.openxmlformats.org/officeDocument/2006/relationships/hyperlink" Target="https://www.vidio.com/live/19556-top-youth-premier-league-2025-matchday-3?schedule_id=4569320" TargetMode="External"/><Relationship Id="rId8227" Type="http://schemas.openxmlformats.org/officeDocument/2006/relationships/hyperlink" Target="https://drive.google.com/file/d/1kZu8YMi1xNrdrNGIq7TLXvs4s8VDxeYC/view?usp=sharing" TargetMode="External"/><Relationship Id="rId10157" Type="http://schemas.openxmlformats.org/officeDocument/2006/relationships/hyperlink" Target="https://drive.google.com/drive/folders/14cGyI7lhZLUhT5WNx_yg9SHxnGeK9YjT?usp=sharing" TargetMode="External"/><Relationship Id="rId11208" Type="http://schemas.openxmlformats.org/officeDocument/2006/relationships/hyperlink" Target="https://drive.google.com/file/d/1yvNszx8Wuk5yMRRQUkivRossXrLsHzWT/view?usp=sharing" TargetMode="External"/><Relationship Id="rId3786" Type="http://schemas.openxmlformats.org/officeDocument/2006/relationships/hyperlink" Target="https://drive.google.com/file/d/15_e7uQjs_bXktXtPq-cAwwSZa23xs5N0/view?usp=drive_link" TargetMode="External"/><Relationship Id="rId2388" Type="http://schemas.openxmlformats.org/officeDocument/2006/relationships/hyperlink" Target="https://drive.google.com/file/d/1tNTYu_iAjqUHAoOxKWRZwG8h2hRpnD4t/view?usp=sharing" TargetMode="External"/><Relationship Id="rId3439" Type="http://schemas.openxmlformats.org/officeDocument/2006/relationships/hyperlink" Target="https://drive.google.com/file/d/1FkIPpai5Sy7evPzTqyucugeZdz3TXN4u/view?usp=sharing" TargetMode="External"/><Relationship Id="rId4837" Type="http://schemas.openxmlformats.org/officeDocument/2006/relationships/hyperlink" Target="https://thumbor.prod.vidiocdn.com/E3dhEzEloRwlVyvO3xKcGnD_9o4=/filters:quality(70)/vidio-media-production/uploads/image/source/52602/6c1a06.png" TargetMode="External"/><Relationship Id="rId7310" Type="http://schemas.openxmlformats.org/officeDocument/2006/relationships/hyperlink" Target="https://drive.google.com/drive/folders/1GBFdpgWbU2am6tYKw_F13mzGRBsmN5uL?usp=drive_link" TargetMode="External"/><Relationship Id="rId3920" Type="http://schemas.openxmlformats.org/officeDocument/2006/relationships/hyperlink" Target="https://drive.google.com/drive/folders/1YffmZL1TJ3aRzEVQO3pWaDSzlT3l2pDI?usp=drive_link" TargetMode="External"/><Relationship Id="rId8084" Type="http://schemas.openxmlformats.org/officeDocument/2006/relationships/hyperlink" Target="https://www.vidio.com/live/19543-pegadaian-championship-2025-26?schedule_id=4704442" TargetMode="External"/><Relationship Id="rId9482" Type="http://schemas.openxmlformats.org/officeDocument/2006/relationships/hyperlink" Target="https://drive.google.com/drive/folders/1kyMR0bTjGUyD62lcR9P54Nb0xr6YXCP4?usp=drive_link" TargetMode="External"/><Relationship Id="rId841" Type="http://schemas.openxmlformats.org/officeDocument/2006/relationships/hyperlink" Target="https://drive.google.com/drive/folders/1jVaRPjBAiSsFGGCp5_M5NX_nXUUtfplL?usp=drive_link" TargetMode="External"/><Relationship Id="rId1471" Type="http://schemas.openxmlformats.org/officeDocument/2006/relationships/hyperlink" Target="https://drive.google.com/file/d/1OUGIMwWj5A3YRbCQV5sNBX_tIFkCuGrF/view?usp=sharing" TargetMode="External"/><Relationship Id="rId2522" Type="http://schemas.openxmlformats.org/officeDocument/2006/relationships/hyperlink" Target="https://drive.google.com/drive/folders/1vvJz14Jl4gIdV_iCTT5E3kf9dGSkmgZL?usp=drive_link" TargetMode="External"/><Relationship Id="rId9135" Type="http://schemas.openxmlformats.org/officeDocument/2006/relationships/hyperlink" Target="https://drive.google.com/file/d/1zI14GOVQW0_C0J8PyppqDwqdNEUMm66z/view?usp=sharing" TargetMode="External"/><Relationship Id="rId11065" Type="http://schemas.openxmlformats.org/officeDocument/2006/relationships/hyperlink" Target="https://drive.google.com/file/d/1CCwjPMwC9nhgDKtt9bFFc0WC_x5gWv7h/view?usp=drive_link" TargetMode="External"/><Relationship Id="rId12116" Type="http://schemas.openxmlformats.org/officeDocument/2006/relationships/hyperlink" Target="https://www.vidio.com/live/18252-petronas-malaysia-open-2026-round-of-16-court-3?schedule_id=4832363" TargetMode="External"/><Relationship Id="rId1124" Type="http://schemas.openxmlformats.org/officeDocument/2006/relationships/hyperlink" Target="https://drive.google.com/drive/folders/1uGbSfEyLPlP-SM40qcwqIDHALbGMG36h" TargetMode="External"/><Relationship Id="rId4694" Type="http://schemas.openxmlformats.org/officeDocument/2006/relationships/hyperlink" Target="https://drive.google.com/file/d/1YgbXrFFReBwViAoclUkNFQ9a5NFTKXBD/view?usp=sharing" TargetMode="External"/><Relationship Id="rId5745" Type="http://schemas.openxmlformats.org/officeDocument/2006/relationships/hyperlink" Target="https://drive.google.com/file/d/1KOdyo-6VMCSYymYkuMiMdjnLTF2YXJy2/view?usp=sharing" TargetMode="External"/><Relationship Id="rId3296" Type="http://schemas.openxmlformats.org/officeDocument/2006/relationships/hyperlink" Target="https://drive.google.com/file/d/1OUGIMwWj5A3YRbCQV5sNBX_tIFkCuGrF/view?usp=sharing" TargetMode="External"/><Relationship Id="rId4347" Type="http://schemas.openxmlformats.org/officeDocument/2006/relationships/hyperlink" Target="https://drive.google.com/file/d/1ZH_HNSX27trS0I7ZaL5O1A9a9LAqTcQ6/view?usp=sharing" TargetMode="External"/><Relationship Id="rId8968" Type="http://schemas.openxmlformats.org/officeDocument/2006/relationships/hyperlink" Target="https://drive.google.com/drive/folders/16gD2JVWzjp1xjoc6qJGzOhzQW2ddWfwt" TargetMode="External"/><Relationship Id="rId10898" Type="http://schemas.openxmlformats.org/officeDocument/2006/relationships/hyperlink" Target="https://www.vidio.com/live/18250-hsbc-bwf-world-tour-finals-2025-group-stage-court-2?schedule_id=4783192" TargetMode="External"/><Relationship Id="rId11949" Type="http://schemas.openxmlformats.org/officeDocument/2006/relationships/hyperlink" Target="https://www.vidio.com/live/18250-petronas-malaysia-open-2026-round-of-32-court-?schedule_id=4832181" TargetMode="External"/><Relationship Id="rId3430" Type="http://schemas.openxmlformats.org/officeDocument/2006/relationships/hyperlink" Target="https://www.vidio.com/live/19355-bri-super-league?schedule_id=4528586" TargetMode="External"/><Relationship Id="rId351" Type="http://schemas.openxmlformats.org/officeDocument/2006/relationships/hyperlink" Target="https://drive.google.com/drive/folders/1XzY4IMHmjuu_CF8bFGk-QAPf5VEHRo_X?usp=drive_link" TargetMode="External"/><Relationship Id="rId2032" Type="http://schemas.openxmlformats.org/officeDocument/2006/relationships/hyperlink" Target="https://www.vidio.com/live/19354-bri-super-league?schedule_id=4708214" TargetMode="External"/><Relationship Id="rId6653" Type="http://schemas.openxmlformats.org/officeDocument/2006/relationships/hyperlink" Target="https://www.vidio.com/live/19604-carabao-cup-2025-26?schedule_id=4592577" TargetMode="External"/><Relationship Id="rId7704" Type="http://schemas.openxmlformats.org/officeDocument/2006/relationships/hyperlink" Target="https://drive.google.com/file/d/19s5Fv6Uas1lt3SHVIZPNrm6uVPyoxeFM/view?usp=sharing" TargetMode="External"/><Relationship Id="rId5255" Type="http://schemas.openxmlformats.org/officeDocument/2006/relationships/hyperlink" Target="https://www.vidio.com/live/6317-bein-3?schedule_id=4683229" TargetMode="External"/><Relationship Id="rId6306" Type="http://schemas.openxmlformats.org/officeDocument/2006/relationships/hyperlink" Target="https://drive.google.com/drive/folders/1hy-LPqgLab1SuOm0wpVxxDC-t6W8pZHx" TargetMode="External"/><Relationship Id="rId9876" Type="http://schemas.openxmlformats.org/officeDocument/2006/relationships/hyperlink" Target="https://drive.google.com/drive/folders/1eeNyZJoBrXN5JV-bIY-Tm6sEAZkuoXHD?usp=drive_link" TargetMode="External"/><Relationship Id="rId1865" Type="http://schemas.openxmlformats.org/officeDocument/2006/relationships/hyperlink" Target="https://drive.google.com/file/d/1xhpQKDaXU2Hsv3V3MB0Wd-67cgr3cQzH/view?usp=drive_link" TargetMode="External"/><Relationship Id="rId8478" Type="http://schemas.openxmlformats.org/officeDocument/2006/relationships/hyperlink" Target="https://thumbor.prod.vidiocdn.com/xNVsR2-nkf33x4LFyBOrlxcPe3M=/filters:quality(70)/vidio-media-production/uploads/image/source/52057/0c6d3f.png" TargetMode="External"/><Relationship Id="rId9529" Type="http://schemas.openxmlformats.org/officeDocument/2006/relationships/hyperlink" Target="https://drive.google.com/file/d/1HZZ0fhz36x4D3mROsPkmwepdaymAn_hi/view?usp=sharing" TargetMode="External"/><Relationship Id="rId1518" Type="http://schemas.openxmlformats.org/officeDocument/2006/relationships/hyperlink" Target="https://drive.google.com/file/d/1SytjbekynIMVexWMFsA-6sQ_2slDZcnh/view?usp=drive_link" TargetMode="External"/><Relationship Id="rId2916" Type="http://schemas.openxmlformats.org/officeDocument/2006/relationships/hyperlink" Target="https://drive.google.com/file/d/1X8_96NH6h1AU8EzrAi9IJvo6GDUAderY/view?usp=sharing" TargetMode="External"/><Relationship Id="rId11459" Type="http://schemas.openxmlformats.org/officeDocument/2006/relationships/hyperlink" Target="https://www.vidio.com/live/6685-champions-tv-1?schedule_id=4797003" TargetMode="External"/><Relationship Id="rId11940" Type="http://schemas.openxmlformats.org/officeDocument/2006/relationships/hyperlink" Target="https://www.vidio.com/live/18249-petronas-malaysia-open-2026-round-of-32-court-1?schedule_id=4832167" TargetMode="External"/><Relationship Id="rId6163" Type="http://schemas.openxmlformats.org/officeDocument/2006/relationships/hyperlink" Target="https://drive.google.com/file/d/1gG0f5gVTl7-7p2ffzZb6wflsAoGiAVkW/view?usp=sharing" TargetMode="External"/><Relationship Id="rId7561" Type="http://schemas.openxmlformats.org/officeDocument/2006/relationships/hyperlink" Target="https://drive.google.com/drive/folders/1uFNiZggG_hzUecR9c8qI7KtUmBwbT3F9?usp=drive_link" TargetMode="External"/><Relationship Id="rId8612" Type="http://schemas.openxmlformats.org/officeDocument/2006/relationships/hyperlink" Target="https://drive.google.com/file/d/1jGRLKIqDM6hobP4FlcE4epTyZMBEbaux/view?usp=sharing" TargetMode="External"/><Relationship Id="rId10542" Type="http://schemas.openxmlformats.org/officeDocument/2006/relationships/hyperlink" Target="https://www.vidio.com/live/17875-bein-2?schedule_id=4819765" TargetMode="External"/><Relationship Id="rId7214" Type="http://schemas.openxmlformats.org/officeDocument/2006/relationships/hyperlink" Target="https://drive.google.com/file/d/1_iUmLDfS4QQ5c63HM2eYOqWdcmti3Llk/view?usp=sharing" TargetMode="External"/><Relationship Id="rId2773" Type="http://schemas.openxmlformats.org/officeDocument/2006/relationships/hyperlink" Target="https://drive.google.com/file/d/1EbUYxOoZQvyI9oyllu_fKGwEVXfzOftQ/view?usp=sharing" TargetMode="External"/><Relationship Id="rId3824" Type="http://schemas.openxmlformats.org/officeDocument/2006/relationships/hyperlink" Target="https://drive.google.com/drive/folders/1C-U1bDiVQpMSfuPH71DHddOFzlm0N-6N?usp=sharing" TargetMode="External"/><Relationship Id="rId9386" Type="http://schemas.openxmlformats.org/officeDocument/2006/relationships/hyperlink" Target="https://drive.google.com/drive/folders/1iLfY_Xdz83dmxbSnP3Aj9DK0QDYHmFEP?usp=drive_link" TargetMode="External"/><Relationship Id="rId12367" Type="http://schemas.openxmlformats.org/officeDocument/2006/relationships/hyperlink" Target="https://www.vidio.com/live/18250-petronas-malaysia-open-2026-round-of-16-court-2?schedule_id=4833807" TargetMode="External"/><Relationship Id="rId745" Type="http://schemas.openxmlformats.org/officeDocument/2006/relationships/hyperlink" Target="https://drive.google.com/drive/folders/1eug-9RIUSDmlcce31VfqlZd61dksSbkN?usp=drive_link" TargetMode="External"/><Relationship Id="rId1375" Type="http://schemas.openxmlformats.org/officeDocument/2006/relationships/hyperlink" Target="https://drive.google.com/file/d/1w_VTVXk94OtXnsflJ6QhFCmXWiHX1fqF/view?usp=sharing" TargetMode="External"/><Relationship Id="rId2426" Type="http://schemas.openxmlformats.org/officeDocument/2006/relationships/hyperlink" Target="https://drive.google.com/drive/folders/1JwP4lJnLGyO-yaAeCCMSvIFrc0L0M03F?usp=drive_link" TargetMode="External"/><Relationship Id="rId5996" Type="http://schemas.openxmlformats.org/officeDocument/2006/relationships/hyperlink" Target="https://drive.google.com/file/d/1zPEB3s1Ynb0eCBc8a17OA8rUPexnvMtc/view?usp=sharing" TargetMode="External"/><Relationship Id="rId9039" Type="http://schemas.openxmlformats.org/officeDocument/2006/relationships/hyperlink" Target="https://drive.google.com/drive/folders/1t2-vR-annuSym_PGDPunvt_mQPOCErTV?usp=drive_link" TargetMode="External"/><Relationship Id="rId81" Type="http://schemas.openxmlformats.org/officeDocument/2006/relationships/hyperlink" Target="https://drive.google.com/drive/folders/1ZnBlExIc16jpQRJ5yiF_rjC2Vw5bQFo5?usp=drive_link" TargetMode="External"/><Relationship Id="rId1028" Type="http://schemas.openxmlformats.org/officeDocument/2006/relationships/hyperlink" Target="https://drive.google.com/file/d/1veoICaSDT0qZuVd-aaGjmd85sFPS_NiY/view?usp=drive_link" TargetMode="External"/><Relationship Id="rId4598" Type="http://schemas.openxmlformats.org/officeDocument/2006/relationships/hyperlink" Target="https://drive.google.com/file/d/1_T8TXpL4zpueVGSwMZNhr11zYxZcyTz7/view?usp=sharing" TargetMode="External"/><Relationship Id="rId5649" Type="http://schemas.openxmlformats.org/officeDocument/2006/relationships/hyperlink" Target="https://drive.google.com/drive/folders/1-v2k9mkE5Wr7vtcZPt5z5lBJb1kpLRxM?usp=drive_link" TargetMode="External"/><Relationship Id="rId9520" Type="http://schemas.openxmlformats.org/officeDocument/2006/relationships/hyperlink" Target="https://drive.google.com/drive/folders/1ukKRMWtKLxl9DgBJZPia0C4NQMDwzs6T" TargetMode="External"/><Relationship Id="rId7071" Type="http://schemas.openxmlformats.org/officeDocument/2006/relationships/hyperlink" Target="https://drive.google.com/file/d/1HW6DjVIPnahU6WvCksZ4E3Zp3idChysB/view?usp=sharing" TargetMode="External"/><Relationship Id="rId8122" Type="http://schemas.openxmlformats.org/officeDocument/2006/relationships/hyperlink" Target="https://drive.google.com/drive/folders/1Ghj3z1_bCmQSKG6Tn4qEhXJLtRq1SxKA" TargetMode="External"/><Relationship Id="rId11450" Type="http://schemas.openxmlformats.org/officeDocument/2006/relationships/hyperlink" Target="https://drive.google.com/drive/folders/1srROS9ifW9qLM6vPTaIrkrfuvIjTGQwm" TargetMode="External"/><Relationship Id="rId10052" Type="http://schemas.openxmlformats.org/officeDocument/2006/relationships/hyperlink" Target="https://www.vidio.com/live/19388-rws-muay-thai-2025?schedule_id=4756442" TargetMode="External"/><Relationship Id="rId11103" Type="http://schemas.openxmlformats.org/officeDocument/2006/relationships/hyperlink" Target="https://thumbor.prod.vidiocdn.com/BY3TaDcvNYuIRdLsShHFplN2l5E=/filters:quality(70)/vidio-media-production/uploads/image/source/52271/d8ad38.png" TargetMode="External"/><Relationship Id="rId3681" Type="http://schemas.openxmlformats.org/officeDocument/2006/relationships/hyperlink" Target="https://drive.google.com/file/d/1ladC7L1VNXmPKJsgmzEs8U876bbihKfo/view?usp=sharing" TargetMode="External"/><Relationship Id="rId4732" Type="http://schemas.openxmlformats.org/officeDocument/2006/relationships/hyperlink" Target="https://thumbor.prod.vidiocdn.com/dcAK9k3czMR4y3yCmaSeKYGVUbw=/filters:quality(70)/vidio-media-production/uploads/image/source/52029/c5ed69.png" TargetMode="External"/><Relationship Id="rId2283" Type="http://schemas.openxmlformats.org/officeDocument/2006/relationships/hyperlink" Target="https://drive.google.com/file/d/1_VpTcbt9zjljp7skn85a35EwzAqYuIFf/view?usp=sharing" TargetMode="External"/><Relationship Id="rId3334" Type="http://schemas.openxmlformats.org/officeDocument/2006/relationships/hyperlink" Target="https://www.vidio.com/live/6685-champions-tv-1?schedule_id=4501324" TargetMode="External"/><Relationship Id="rId7955" Type="http://schemas.openxmlformats.org/officeDocument/2006/relationships/hyperlink" Target="https://drive.google.com/file/d/1ewSldVPvLuX1h_mIFlc5n1fAViK-UdKJ/view?usp=sharing" TargetMode="External"/><Relationship Id="rId255" Type="http://schemas.openxmlformats.org/officeDocument/2006/relationships/hyperlink" Target="https://drive.google.com/file/d/1pYSfGLOnhPWYhZIwekbRMDvJmLFwi_9j/view?usp=sharing" TargetMode="External"/><Relationship Id="rId6557" Type="http://schemas.openxmlformats.org/officeDocument/2006/relationships/hyperlink" Target="https://drive.google.com/file/d/1Ut7G5QSnZrMWoeH_2M8nrDyFErSnQqE5/view?usp=drive_link" TargetMode="External"/><Relationship Id="rId7608" Type="http://schemas.openxmlformats.org/officeDocument/2006/relationships/hyperlink" Target="https://drive.google.com/drive/folders/1vfYVqkFwsQzIQtBosvwbsrUNLQfCXZJv?usp=drive_link" TargetMode="External"/><Relationship Id="rId10936" Type="http://schemas.openxmlformats.org/officeDocument/2006/relationships/hyperlink" Target="https://drive.google.com/file/d/1yff9OvDcVdP9hqaNzTWmkcckxp4OqCvY/view?usp=sharing" TargetMode="External"/><Relationship Id="rId5159" Type="http://schemas.openxmlformats.org/officeDocument/2006/relationships/hyperlink" Target="https://www.vidio.com/live/6317-bein-3?schedule_id=4664041" TargetMode="External"/><Relationship Id="rId9030" Type="http://schemas.openxmlformats.org/officeDocument/2006/relationships/hyperlink" Target="https://www.vidio.com/live/19738-turkish-women-s-volleyball-league?schedule_id=4717744" TargetMode="External"/><Relationship Id="rId12011" Type="http://schemas.openxmlformats.org/officeDocument/2006/relationships/hyperlink" Target="https://drive.google.com/drive/folders/10yZ6W25MsH1Gazyf6erLQ6feN5lXYViD" TargetMode="External"/><Relationship Id="rId1769" Type="http://schemas.openxmlformats.org/officeDocument/2006/relationships/hyperlink" Target="https://drive.google.com/file/d/1qePoaKwJR__vhiZVokrLKQ8rYRe-ydVh/view?usp=sharing" TargetMode="External"/><Relationship Id="rId3191" Type="http://schemas.openxmlformats.org/officeDocument/2006/relationships/hyperlink" Target="https://drive.google.com/file/d/1HqVRsgMzdW3OgbMn8JZNEy4waDbM_yl2/view?usp=sharing" TargetMode="External"/><Relationship Id="rId4242" Type="http://schemas.openxmlformats.org/officeDocument/2006/relationships/hyperlink" Target="https://drive.google.com/file/d/12kAawCVNl2BHDwNCGP7vsFmOxaRZMxem/view?usp=sharing" TargetMode="External"/><Relationship Id="rId5640" Type="http://schemas.openxmlformats.org/officeDocument/2006/relationships/hyperlink" Target="https://drive.google.com/file/d/10_ts8YN0o77R1psIjn-CfNPGADFbEzj0/view?usp=drive_link" TargetMode="External"/><Relationship Id="rId8863" Type="http://schemas.openxmlformats.org/officeDocument/2006/relationships/hyperlink" Target="https://thumbor.prod.vidiocdn.com/cb3Xc3JvnJo5vG58nIoXXVBV338=/filters:quality(70)/vidio-media-production/uploads/image/source/51903/9d992e.png" TargetMode="External"/><Relationship Id="rId9914" Type="http://schemas.openxmlformats.org/officeDocument/2006/relationships/hyperlink" Target="https://www.vidio.com/live/19354-bri-super-league?schedule_id=4797262" TargetMode="External"/><Relationship Id="rId10793" Type="http://schemas.openxmlformats.org/officeDocument/2006/relationships/hyperlink" Target="https://drive.google.com/file/d/12s-59p0XXxtYsZhgvZMRTV8i6y_Ohzxi/view?usp=sharing" TargetMode="External"/><Relationship Id="rId11844" Type="http://schemas.openxmlformats.org/officeDocument/2006/relationships/hyperlink" Target="https://drive.google.com/file/d/1RvpVSYEuxwkTup3qpzOCOplWtOxx9WK3/view?usp=sharing" TargetMode="External"/><Relationship Id="rId1903" Type="http://schemas.openxmlformats.org/officeDocument/2006/relationships/hyperlink" Target="https://drive.google.com/drive/folders/1nylDRvjYrpwQYOyO_09-HRPDVFCCcf7m" TargetMode="External"/><Relationship Id="rId7465" Type="http://schemas.openxmlformats.org/officeDocument/2006/relationships/hyperlink" Target="https://www.vidio.com/live/19587-top-youth-premier-league-2025-matchday-4?schedule_id=4585746" TargetMode="External"/><Relationship Id="rId8516" Type="http://schemas.openxmlformats.org/officeDocument/2006/relationships/hyperlink" Target="https://drive.google.com/drive/folders/1geRuevMjXccwJzKtUKHuYzEKSAtQoszn" TargetMode="External"/><Relationship Id="rId10446" Type="http://schemas.openxmlformats.org/officeDocument/2006/relationships/hyperlink" Target="https://drive.google.com/drive/folders/1iKgRrxi4a41Tg6JES-gMADsqKYUcx5bt" TargetMode="External"/><Relationship Id="rId6067" Type="http://schemas.openxmlformats.org/officeDocument/2006/relationships/hyperlink" Target="https://drive.google.com/file/d/1REhWkgTBg1LTFjoRPNc5iBbppZQTo4sY/view?usp=sharing" TargetMode="External"/><Relationship Id="rId7118" Type="http://schemas.openxmlformats.org/officeDocument/2006/relationships/hyperlink" Target="https://drive.google.com/drive/folders/1QuW8HGm8Gy5DKzFtp0IqY8763E-ORETq" TargetMode="External"/><Relationship Id="rId996" Type="http://schemas.openxmlformats.org/officeDocument/2006/relationships/hyperlink" Target="https://www.vidio.com/live/18797-premier-league?schedule_id=4773371" TargetMode="External"/><Relationship Id="rId2677" Type="http://schemas.openxmlformats.org/officeDocument/2006/relationships/hyperlink" Target="https://drive.google.com/file/d/1WFf1CJu6jPzp9pv_zG51X985J6-TZaex/view?usp=drive_link" TargetMode="External"/><Relationship Id="rId3728" Type="http://schemas.openxmlformats.org/officeDocument/2006/relationships/hyperlink" Target="https://drive.google.com/file/d/1FU6Fja-teO5lVj3cPSIRFjS8zJAWP1db/view?usp=sharing" TargetMode="External"/><Relationship Id="rId649" Type="http://schemas.openxmlformats.org/officeDocument/2006/relationships/hyperlink" Target="https://drive.google.com/drive/folders/1uNgAHeuq_q_rjNlt2SA20dwbxJ6jWxwO?usp=drive_link" TargetMode="External"/><Relationship Id="rId1279" Type="http://schemas.openxmlformats.org/officeDocument/2006/relationships/hyperlink" Target="https://drive.google.com/file/d/1vgGfqp31RENNGCNsEMyrEOYfy5Tnn_nC/view?usp=sharing" TargetMode="External"/><Relationship Id="rId5150" Type="http://schemas.openxmlformats.org/officeDocument/2006/relationships/hyperlink" Target="https://drive.google.com/file/d/1VCv5STSK5UC7tarQlfQnjRjGrFh_A99-/view?usp=sharing" TargetMode="External"/><Relationship Id="rId6201" Type="http://schemas.openxmlformats.org/officeDocument/2006/relationships/hyperlink" Target="https://drive.google.com/file/d/1mQGz3ECnO311s1HkeudLd-0Gg1Z8Y1-I/view?usp=drive_link" TargetMode="External"/><Relationship Id="rId8373" Type="http://schemas.openxmlformats.org/officeDocument/2006/relationships/hyperlink" Target="https://www.vidio.com/live/19436-eredivisie?schedule_id=4708923" TargetMode="External"/><Relationship Id="rId9771" Type="http://schemas.openxmlformats.org/officeDocument/2006/relationships/hyperlink" Target="https://drive.google.com/drive/folders/1H9vV6GHJscqN39bU0yiMsYBF5qHIQFbo?usp=drive_link" TargetMode="External"/><Relationship Id="rId1760" Type="http://schemas.openxmlformats.org/officeDocument/2006/relationships/hyperlink" Target="https://www.vidio.com/live/205-indosiar?schedule_id=4578240" TargetMode="External"/><Relationship Id="rId2811" Type="http://schemas.openxmlformats.org/officeDocument/2006/relationships/hyperlink" Target="https://drive.google.com/drive/folders/1cA9KxSRTjbGHfV97cQx2X2tYvii98MF_?usp=drive_link" TargetMode="External"/><Relationship Id="rId8026" Type="http://schemas.openxmlformats.org/officeDocument/2006/relationships/hyperlink" Target="https://drive.google.com/drive/folders/1a6uvNHIJHyFaZu_uP78TVstsa86wy3Sp?usp=drive_link" TargetMode="External"/><Relationship Id="rId9424" Type="http://schemas.openxmlformats.org/officeDocument/2006/relationships/hyperlink" Target="https://drive.google.com/file/d/1xGEsQNcOi1VHnlt8TRncM7VK8wvBXdxs/view?usp=sharing" TargetMode="External"/><Relationship Id="rId11354" Type="http://schemas.openxmlformats.org/officeDocument/2006/relationships/hyperlink" Target="https://www.vidio.com/live/20106-top-youth-premier-league-perempat-final-dan-semifinal?schedule_id=4786442" TargetMode="External"/><Relationship Id="rId12405" Type="http://schemas.openxmlformats.org/officeDocument/2006/relationships/hyperlink" Target="https://drive.google.com/file/d/1eYrHSZhFd95KyhXxrabgACyw4RU-iuHU/view?usp=sharing" TargetMode="External"/><Relationship Id="rId1413" Type="http://schemas.openxmlformats.org/officeDocument/2006/relationships/hyperlink" Target="https://www.vidio.com/live/17939-serie-a?schedule_id=4558601" TargetMode="External"/><Relationship Id="rId4983" Type="http://schemas.openxmlformats.org/officeDocument/2006/relationships/hyperlink" Target="https://drive.google.com/drive/folders/1wcMy03IDL2biixluTc3YEosXAhVDEHZA" TargetMode="External"/><Relationship Id="rId11007" Type="http://schemas.openxmlformats.org/officeDocument/2006/relationships/hyperlink" Target="https://drive.google.com/drive/folders/1UWZcTS2w9z_xJJSiMUO56Imn3ZQZo9CV?usp=drive_link" TargetMode="External"/><Relationship Id="rId3585" Type="http://schemas.openxmlformats.org/officeDocument/2006/relationships/hyperlink" Target="https://www.vidio.com/live/6685-champions-tv-1?schedule_id=4803411" TargetMode="External"/><Relationship Id="rId4636" Type="http://schemas.openxmlformats.org/officeDocument/2006/relationships/hyperlink" Target="https://drive.google.com/drive/folders/1DGYfdbKwv2p4HtV_pnOjGEKIX92GbhDT?usp=drive_link" TargetMode="External"/><Relationship Id="rId2187" Type="http://schemas.openxmlformats.org/officeDocument/2006/relationships/hyperlink" Target="https://drive.google.com/file/d/1vZGS1Ym5Xh-9WV_E6WN8SFks_tz_Rglg/view?usp=sharing" TargetMode="External"/><Relationship Id="rId3238" Type="http://schemas.openxmlformats.org/officeDocument/2006/relationships/hyperlink" Target="https://drive.google.com/file/d/1mzkBNsXM9FmKh7D1VxjoOsb8MOeORgf-/view?usp=sharing" TargetMode="External"/><Relationship Id="rId7859" Type="http://schemas.openxmlformats.org/officeDocument/2006/relationships/hyperlink" Target="https://www.vidio.com/live/19673-turkish-women-s-volleyball-cup?schedule_id=4642281" TargetMode="External"/><Relationship Id="rId159" Type="http://schemas.openxmlformats.org/officeDocument/2006/relationships/hyperlink" Target="https://drive.google.com/file/d/1Mwxz9hQ697GBBYX2KzmGS6_fLWSFWAYw/view?usp=sharing" TargetMode="External"/><Relationship Id="rId9281" Type="http://schemas.openxmlformats.org/officeDocument/2006/relationships/hyperlink" Target="https://drive.google.com/file/d/1bGAtWdCSL-v2iZg1GvRoYwXZwXVqVH3x/view?usp=sharing" TargetMode="External"/><Relationship Id="rId1270" Type="http://schemas.openxmlformats.org/officeDocument/2006/relationships/hyperlink" Target="https://thumbor.prod.vidiocdn.com/xmnq6Xaotfl0T0jFlXzE_PTxnFM=/filters:quality(70)/vidio-media-production/uploads/image/source/52756/03d96a.png" TargetMode="External"/><Relationship Id="rId12262" Type="http://schemas.openxmlformats.org/officeDocument/2006/relationships/hyperlink" Target="https://www.vidio.com/live/20275" TargetMode="External"/><Relationship Id="rId640" Type="http://schemas.openxmlformats.org/officeDocument/2006/relationships/hyperlink" Target="https://drive.google.com/file/d/135JR7VTAeWJrrraxde6YSyixHK3AvF5H/view?usp=sharing" TargetMode="External"/><Relationship Id="rId2321" Type="http://schemas.openxmlformats.org/officeDocument/2006/relationships/hyperlink" Target="https://www.vidio.com/live/6317-bein-3?schedule_id=4514039" TargetMode="External"/><Relationship Id="rId5891" Type="http://schemas.openxmlformats.org/officeDocument/2006/relationships/hyperlink" Target="https://drive.google.com/file/d/1C4JJs9u1aNEMxy4piEHX9ctqilBL2y5S/view?usp=sharing" TargetMode="External"/><Relationship Id="rId6942" Type="http://schemas.openxmlformats.org/officeDocument/2006/relationships/hyperlink" Target="https://drive.google.com/file/d/1qrmyJ_h2su1_hRUja1W1bMiLiKJU9Rlz/view?usp=sharing" TargetMode="External"/><Relationship Id="rId4493" Type="http://schemas.openxmlformats.org/officeDocument/2006/relationships/hyperlink" Target="https://drive.google.com/drive/folders/1DeJCScnPkkDeQ_R7vAEQkIx3Z9GGUNrT?usp=drive_link" TargetMode="External"/><Relationship Id="rId5544" Type="http://schemas.openxmlformats.org/officeDocument/2006/relationships/hyperlink" Target="https://drive.google.com/drive/folders/1vs2NPBadTfe8mkFp1C94plFN9o2qZ3M8?usp=drive_link" TargetMode="External"/><Relationship Id="rId3095" Type="http://schemas.openxmlformats.org/officeDocument/2006/relationships/hyperlink" Target="https://drive.google.com/drive/folders/1pSXk761Vitto4TFik5MuRK13aFKKrsCT" TargetMode="External"/><Relationship Id="rId4146" Type="http://schemas.openxmlformats.org/officeDocument/2006/relationships/hyperlink" Target="https://drive.google.com/drive/folders/1tia6v4elSjYt0ip0lAMMTPYagWB8TJZK?usp=drive_link" TargetMode="External"/><Relationship Id="rId8767" Type="http://schemas.openxmlformats.org/officeDocument/2006/relationships/hyperlink" Target="https://drive.google.com/file/d/1NS8fJUYFgkKj8UW3uzCAfsk1uWwNkGXW/view?usp=sharing" TargetMode="External"/><Relationship Id="rId9818" Type="http://schemas.openxmlformats.org/officeDocument/2006/relationships/hyperlink" Target="https://www.vidio.com/live/19882-top-soccer-championship-2025-u-16-u-17-final-cup?schedule_id=4730515" TargetMode="External"/><Relationship Id="rId10697" Type="http://schemas.openxmlformats.org/officeDocument/2006/relationships/hyperlink" Target="https://drive.google.com/file/d/1FRKhT9t7XCsC-gN8hAVXl1pAIokmOowQ/view?usp=sharing" TargetMode="External"/><Relationship Id="rId1807" Type="http://schemas.openxmlformats.org/officeDocument/2006/relationships/hyperlink" Target="https://drive.google.com/file/d/1Bus-BffCib3V2XKA2ND5nKSRWQBhP1ch/view?usp=drive_link" TargetMode="External"/><Relationship Id="rId7369" Type="http://schemas.openxmlformats.org/officeDocument/2006/relationships/hyperlink" Target="https://www.vidio.com/live/6686-champions-tv-2?schedule_id=4626128" TargetMode="External"/><Relationship Id="rId11748" Type="http://schemas.openxmlformats.org/officeDocument/2006/relationships/hyperlink" Target="https://drive.google.com/file/d/1PEgOA8veY4A38Sg1OWJ6RyzDlJ6H3I7m/view?usp=sharing" TargetMode="External"/><Relationship Id="rId150" Type="http://schemas.openxmlformats.org/officeDocument/2006/relationships/hyperlink" Target="https://drive.google.com/drive/folders/1ZnBlExIc16jpQRJ5yiF_rjC2Vw5bQFo5?usp=drive_link" TargetMode="External"/><Relationship Id="rId3979" Type="http://schemas.openxmlformats.org/officeDocument/2006/relationships/hyperlink" Target="https://drive.google.com/file/d/1DNux4glLBnqI-DzUHKvsJVIQIe0fQ_QF/view?usp=sharing" TargetMode="External"/><Relationship Id="rId6452" Type="http://schemas.openxmlformats.org/officeDocument/2006/relationships/hyperlink" Target="https://drive.google.com/file/d/1TlBuhOB7MFMlqWJDAaso38M_rjP9zNwp/view?usp=sharing" TargetMode="External"/><Relationship Id="rId7850" Type="http://schemas.openxmlformats.org/officeDocument/2006/relationships/hyperlink" Target="https://www.vidio.com/live/19355-bri-super-league?schedule_id=4651621" TargetMode="External"/><Relationship Id="rId8901" Type="http://schemas.openxmlformats.org/officeDocument/2006/relationships/hyperlink" Target="https://www.vidio.com/live/19543-pegadaian-championship-2025-26?schedule_id=4795161" TargetMode="External"/><Relationship Id="rId10831" Type="http://schemas.openxmlformats.org/officeDocument/2006/relationships/hyperlink" Target="https://drive.google.com/drive/folders/1X_K1rfboRBqY0tWu7vscI7hGXzSb1Rta?usp=drive_link" TargetMode="External"/><Relationship Id="rId5054" Type="http://schemas.openxmlformats.org/officeDocument/2006/relationships/hyperlink" Target="https://www.vidio.com/live/6299-bein-1?schedule_id=4607563" TargetMode="External"/><Relationship Id="rId6105" Type="http://schemas.openxmlformats.org/officeDocument/2006/relationships/hyperlink" Target="https://drive.google.com/drive/folders/1z0QSLmNvSJyyT8FLEYRkw6ibg9dSBAVC" TargetMode="External"/><Relationship Id="rId7503" Type="http://schemas.openxmlformats.org/officeDocument/2006/relationships/hyperlink" Target="https://drive.google.com/file/d/10efR74hGlgDOJM4tF2SvkIqGo8bowF30/view?usp=sharing" TargetMode="External"/><Relationship Id="rId9675" Type="http://schemas.openxmlformats.org/officeDocument/2006/relationships/hyperlink" Target="https://drive.google.com/drive/folders/1CctZSwlwrSGDOTvEMdOCqrdX13_NGbjC" TargetMode="External"/><Relationship Id="rId1664" Type="http://schemas.openxmlformats.org/officeDocument/2006/relationships/hyperlink" Target="https://www.vidio.com/live/205-indosiar?schedule_id=4533792" TargetMode="External"/><Relationship Id="rId2715" Type="http://schemas.openxmlformats.org/officeDocument/2006/relationships/hyperlink" Target="https://drive.google.com/file/d/1TXCWzM9EXN8s5qrqprg6FaOQfhvRp63N/view?usp=sharing" TargetMode="External"/><Relationship Id="rId8277" Type="http://schemas.openxmlformats.org/officeDocument/2006/relationships/hyperlink" Target="https://www.vidio.com/live/19692-top-youth-premier-league-2025-matchweek-6?schedule_id=4644432" TargetMode="External"/><Relationship Id="rId9328" Type="http://schemas.openxmlformats.org/officeDocument/2006/relationships/hyperlink" Target="https://drive.google.com/file/d/120acGB7WBwpM5l0VxSi7EopxhCcFgHUd/view?usp=sharing" TargetMode="External"/><Relationship Id="rId11258" Type="http://schemas.openxmlformats.org/officeDocument/2006/relationships/hyperlink" Target="https://thumbor.prod.vidiocdn.com/AANfFMfp78qFNwl_rXPsl4YPxaQ=/filters:quality(70)/vidio-media-production/uploads/image/source/52368/56d7e4.png" TargetMode="External"/><Relationship Id="rId12309" Type="http://schemas.openxmlformats.org/officeDocument/2006/relationships/hyperlink" Target="https://www.vidio.com/live/20279?schedule_id=4833906" TargetMode="External"/><Relationship Id="rId1317" Type="http://schemas.openxmlformats.org/officeDocument/2006/relationships/hyperlink" Target="https://www.vidio.com/live/17938-serie-a?schedule_id=4527532" TargetMode="External"/><Relationship Id="rId4887" Type="http://schemas.openxmlformats.org/officeDocument/2006/relationships/hyperlink" Target="https://thumbor.prod.vidiocdn.com/tv1dOi5BwGIvwGYOi5c06nVSxIA=/filters:quality(70)/vidio-media-production/uploads/image/source/53030/150d14.png" TargetMode="External"/><Relationship Id="rId5938" Type="http://schemas.openxmlformats.org/officeDocument/2006/relationships/hyperlink" Target="https://drive.google.com/drive/folders/1OexfmihW7QKvKgt5WDYbPd_nh_JuEZLe?usp=drive_link" TargetMode="External"/><Relationship Id="rId23" Type="http://schemas.openxmlformats.org/officeDocument/2006/relationships/hyperlink" Target="https://www.vidio.com/live/6685-champions-tv-1?schedule_id=4178294" TargetMode="External"/><Relationship Id="rId3489" Type="http://schemas.openxmlformats.org/officeDocument/2006/relationships/hyperlink" Target="https://drive.google.com/drive/folders/1FA67rxsR_u0ZnRo6Sg5SBWDdO6yOpZmW" TargetMode="External"/><Relationship Id="rId7360" Type="http://schemas.openxmlformats.org/officeDocument/2006/relationships/hyperlink" Target="https://drive.google.com/drive/folders/1smrfyN7cRX_E5YJdYKT0pJPpDpSOnhaR?usp=drive_link" TargetMode="External"/><Relationship Id="rId8411" Type="http://schemas.openxmlformats.org/officeDocument/2006/relationships/hyperlink" Target="https://drive.google.com/file/d/1o1Vb6YZAgfPVMtV6WGuw2cTNQib67ZMf/view?usp=sharing" TargetMode="External"/><Relationship Id="rId7013" Type="http://schemas.openxmlformats.org/officeDocument/2006/relationships/hyperlink" Target="https://drive.google.com/file/d/1avpYQ29a13r__A-4f7ch8U6zB3WOCeUk/view?usp=sharing" TargetMode="External"/><Relationship Id="rId10341" Type="http://schemas.openxmlformats.org/officeDocument/2006/relationships/hyperlink" Target="https://www.vidio.com/live/18249-hsbc-bwf-world-tour-finals-2025-group-stage-court-1" TargetMode="External"/><Relationship Id="rId3970" Type="http://schemas.openxmlformats.org/officeDocument/2006/relationships/hyperlink" Target="https://drive.google.com/file/d/1DNux4glLBnqI-DzUHKvsJVIQIe0fQ_QF/view?usp=sharing" TargetMode="External"/><Relationship Id="rId9185" Type="http://schemas.openxmlformats.org/officeDocument/2006/relationships/hyperlink" Target="https://drive.google.com/file/d/1DNux4glLBnqI-DzUHKvsJVIQIe0fQ_QF/view?usp=sharing" TargetMode="External"/><Relationship Id="rId891" Type="http://schemas.openxmlformats.org/officeDocument/2006/relationships/hyperlink" Target="https://drive.google.com/file/d/19j_tjcipfLHXY6AHF8mtGr_G0OKnIINb/view?usp=sharing" TargetMode="External"/><Relationship Id="rId2572" Type="http://schemas.openxmlformats.org/officeDocument/2006/relationships/hyperlink" Target="https://www.vidio.com/live/6299-bein-1?schedule_id=4598332" TargetMode="External"/><Relationship Id="rId3623" Type="http://schemas.openxmlformats.org/officeDocument/2006/relationships/hyperlink" Target="https://drive.google.com/file/d/1a9bUTfsb5hpX1RP8qt2s0vGI8Q7HezcK/view?usp=sharing" TargetMode="External"/><Relationship Id="rId12166" Type="http://schemas.openxmlformats.org/officeDocument/2006/relationships/hyperlink" Target="https://www.vidio.com/live/20274?schedule_id=4833820" TargetMode="External"/><Relationship Id="rId544" Type="http://schemas.openxmlformats.org/officeDocument/2006/relationships/hyperlink" Target="https://drive.google.com/drive/folders/1TaP_vfs-hFJJkkXHSczErZfIfAt991tI" TargetMode="External"/><Relationship Id="rId1174" Type="http://schemas.openxmlformats.org/officeDocument/2006/relationships/hyperlink" Target="https://drive.google.com/file/d/1yoGhzQv7y01LkjPdeRW9U4DCkTM8uOgY/view?usp=sharing" TargetMode="External"/><Relationship Id="rId2225" Type="http://schemas.openxmlformats.org/officeDocument/2006/relationships/hyperlink" Target="https://www.vidio.com/live/6685-champions-tv-1?schedule_id=4484472" TargetMode="External"/><Relationship Id="rId5795" Type="http://schemas.openxmlformats.org/officeDocument/2006/relationships/hyperlink" Target="https://drive.google.com/drive/folders/13eQLR64HrKbyWDLlQsn3dQSDucgsN6sA?usp=drive_link" TargetMode="External"/><Relationship Id="rId6846" Type="http://schemas.openxmlformats.org/officeDocument/2006/relationships/hyperlink" Target="https://drive.google.com/drive/folders/133daYsRN70Ak8or05xr4JDPxG6zjg5G4?usp=drive_link" TargetMode="External"/><Relationship Id="rId4397" Type="http://schemas.openxmlformats.org/officeDocument/2006/relationships/hyperlink" Target="https://drive.google.com/drive/folders/1EhjFKDVL0rjEFJ-lZbmpDWaL1Fpou9Lo?usp=drive_link" TargetMode="External"/><Relationship Id="rId5448" Type="http://schemas.openxmlformats.org/officeDocument/2006/relationships/hyperlink" Target="https://drive.google.com/file/d/151zf_g-htD0Qa9FHEXqeOECiNpJU2jqE/view?usp=sharing" TargetMode="External"/><Relationship Id="rId12300" Type="http://schemas.openxmlformats.org/officeDocument/2006/relationships/hyperlink" Target="https://drive.google.com/file/d/17nqJ8YbOWxi4DOQmMA4_VvY1qMuE4tM4/view?usp=drive_link" TargetMode="External"/><Relationship Id="rId11999" Type="http://schemas.openxmlformats.org/officeDocument/2006/relationships/hyperlink" Target="https://drive.google.com/drive/folders/10yZ6W25MsH1Gazyf6erLQ6feN5lXYViD" TargetMode="External"/><Relationship Id="rId3480" Type="http://schemas.openxmlformats.org/officeDocument/2006/relationships/hyperlink" Target="https://drive.google.com/file/d/1v-SC6-KaJGmEvZQCsvUW03AZz-jL1cbW/view?usp=sharing" TargetMode="External"/><Relationship Id="rId4531" Type="http://schemas.openxmlformats.org/officeDocument/2006/relationships/hyperlink" Target="https://drive.google.com/file/d/1fHunLsKiGQjuJCYcu31w7vvfScDuePkr/view?usp=sharing" TargetMode="External"/><Relationship Id="rId2082" Type="http://schemas.openxmlformats.org/officeDocument/2006/relationships/hyperlink" Target="https://drive.google.com/drive/folders/1udcFYKRK0Vt1A7U77z0RyG9Rx-4PmJxr" TargetMode="External"/><Relationship Id="rId3133" Type="http://schemas.openxmlformats.org/officeDocument/2006/relationships/hyperlink" Target="https://drive.google.com/drive/folders/1pprnQKq2_ByRWkA-9iRJCt3CsGRP_KXo" TargetMode="External"/><Relationship Id="rId7754" Type="http://schemas.openxmlformats.org/officeDocument/2006/relationships/hyperlink" Target="https://drive.google.com/drive/folders/1mkt3OY2RTDjdMrQt8V_tF_4GP8mstHzs?usp=sharing" TargetMode="External"/><Relationship Id="rId8805" Type="http://schemas.openxmlformats.org/officeDocument/2006/relationships/hyperlink" Target="https://drive.google.com/file/d/1bOh03ZkBEsDPB_mFRIyndnVjVBpIVQmM/view?usp=sharing" TargetMode="External"/><Relationship Id="rId10735" Type="http://schemas.openxmlformats.org/officeDocument/2006/relationships/hyperlink" Target="https://drive.google.com/drive/folders/1l_-j-ScTt8XT43Bekqor9PyIVNprFjeI?usp=drive_link" TargetMode="External"/><Relationship Id="rId6356" Type="http://schemas.openxmlformats.org/officeDocument/2006/relationships/hyperlink" Target="https://www.vidio.com/live/19644-uefa-conference-league?schedule_id=4700073" TargetMode="External"/><Relationship Id="rId7407" Type="http://schemas.openxmlformats.org/officeDocument/2006/relationships/hyperlink" Target="https://drive.google.com/file/d/1xC1UlENcb7khJ9ZU_2UlmrUdeO5D0SiH/view?usp=drive_link" TargetMode="External"/><Relationship Id="rId2966" Type="http://schemas.openxmlformats.org/officeDocument/2006/relationships/hyperlink" Target="https://drive.google.com/drive/folders/1DPSndHg_Ftov32kfHVJYOFvCAsOr-mBg?usp=drive_link" TargetMode="External"/><Relationship Id="rId6009" Type="http://schemas.openxmlformats.org/officeDocument/2006/relationships/hyperlink" Target="https://drive.google.com/drive/folders/1o7RsP_AkGJ0LRigrlP54LmTnI_AhCVZk?usp=drive_link" TargetMode="External"/><Relationship Id="rId9579" Type="http://schemas.openxmlformats.org/officeDocument/2006/relationships/hyperlink" Target="https://drive.google.com/file/d/1yR0--53Y8rJIBJ7LxeHpOzeiMw0jn36t/view?usp=sharing" TargetMode="External"/><Relationship Id="rId938" Type="http://schemas.openxmlformats.org/officeDocument/2006/relationships/hyperlink" Target="https://drive.google.com/drive/folders/1OYaFEHUPP6WozxKecPCD55NZAI71A2Pz?usp=drive_link" TargetMode="External"/><Relationship Id="rId1568" Type="http://schemas.openxmlformats.org/officeDocument/2006/relationships/hyperlink" Target="https://www.vidio.com/live/19354-bri-super-league?schedule_id=4510710" TargetMode="External"/><Relationship Id="rId2619" Type="http://schemas.openxmlformats.org/officeDocument/2006/relationships/hyperlink" Target="https://drive.google.com/drive/folders/1FRJ5EYNCKwo6K7TXyFQSRPaFlFgBJi2B?usp=drive_link" TargetMode="External"/><Relationship Id="rId4041" Type="http://schemas.openxmlformats.org/officeDocument/2006/relationships/hyperlink" Target="https://drive.google.com/file/d/1ldBrZMRp9bRhkvBzu33i850toW8-3JIM/view?usp=drive_link" TargetMode="External"/><Relationship Id="rId8662" Type="http://schemas.openxmlformats.org/officeDocument/2006/relationships/hyperlink" Target="https://drive.google.com/drive/folders/1R8xT1awaoQEdF7jW8zb1Gc3msC6p076_?usp=drive_link" TargetMode="External"/><Relationship Id="rId11990" Type="http://schemas.openxmlformats.org/officeDocument/2006/relationships/hyperlink" Target="https://www.vidio.com/live/18249-petronas-malaysia-open-2026-round-of-16-court-1?schedule_id=4832325" TargetMode="External"/><Relationship Id="rId7264" Type="http://schemas.openxmlformats.org/officeDocument/2006/relationships/hyperlink" Target="https://drive.google.com/drive/folders/1LiqE1rSncMJjnxCNuQI_mD7A8eO4Lsag?usp=drive_link" TargetMode="External"/><Relationship Id="rId8315" Type="http://schemas.openxmlformats.org/officeDocument/2006/relationships/hyperlink" Target="https://www.vidio.com/live/6317-bein-3?schedule_id=4724821" TargetMode="External"/><Relationship Id="rId9713" Type="http://schemas.openxmlformats.org/officeDocument/2006/relationships/hyperlink" Target="https://www.vidio.com/live/9183-champions-tv-6?schedule_id=4747061" TargetMode="External"/><Relationship Id="rId10592" Type="http://schemas.openxmlformats.org/officeDocument/2006/relationships/hyperlink" Target="https://drive.google.com/file/d/1_KOYgy8wruuf-Hsy7J9ZtN-dgqfEJzNo/view?usp=sharing" TargetMode="External"/><Relationship Id="rId11643" Type="http://schemas.openxmlformats.org/officeDocument/2006/relationships/hyperlink" Target="https://thumbor.prod.vidiocdn.com/UCzb3XcC_5lb_IWjqFXSMZR-7jk=/filters:quality(70)/vidio-media-production/uploads/image/source/52957/6ca9e0.png" TargetMode="External"/><Relationship Id="rId1702" Type="http://schemas.openxmlformats.org/officeDocument/2006/relationships/hyperlink" Target="https://drive.google.com/drive/folders/1ujHQ4IbEycIeBiEJ6y7l69KXrMGhTzie" TargetMode="External"/><Relationship Id="rId10245" Type="http://schemas.openxmlformats.org/officeDocument/2006/relationships/hyperlink" Target="https://drive.google.com/file/d/1Dvmuhp4pSGOBsJzNh_NISK6YGc9kG2s6/view?usp=sharing" TargetMode="External"/><Relationship Id="rId3874" Type="http://schemas.openxmlformats.org/officeDocument/2006/relationships/hyperlink" Target="https://www.vidio.com/live/6685-champions-tv-1?schedule_id=4577332" TargetMode="External"/><Relationship Id="rId4925" Type="http://schemas.openxmlformats.org/officeDocument/2006/relationships/hyperlink" Target="https://thumbor.prod.vidiocdn.com/kUzDOUWzExd8JuKVaBn1M0fICEk=/filters:quality(70)/vidio-media-production/uploads/image/source/53091/40ac67.png" TargetMode="External"/><Relationship Id="rId9089" Type="http://schemas.openxmlformats.org/officeDocument/2006/relationships/hyperlink" Target="https://drive.google.com/drive/folders/1vREJuPlWEjXfLSWZEyikKuXxAIR4veMa?usp=drive_link" TargetMode="External"/><Relationship Id="rId795" Type="http://schemas.openxmlformats.org/officeDocument/2006/relationships/hyperlink" Target="https://drive.google.com/file/d/1cT5szcJDo-DXruIv1XpRKmErXxcrUc-5/view?usp=sharing" TargetMode="External"/><Relationship Id="rId2476" Type="http://schemas.openxmlformats.org/officeDocument/2006/relationships/hyperlink" Target="https://drive.google.com/drive/folders/1OaLIp6HFvH8TyaeVEqGxIV3HFrziJkWO?usp=drive_link" TargetMode="External"/><Relationship Id="rId3527" Type="http://schemas.openxmlformats.org/officeDocument/2006/relationships/hyperlink" Target="https://drive.google.com/file/d/1Awemwe_ggcpHm6Fbbpna97zOiuRMOiWE/view?usp=drive_link" TargetMode="External"/><Relationship Id="rId448" Type="http://schemas.openxmlformats.org/officeDocument/2006/relationships/hyperlink" Target="https://drive.google.com/drive/folders/1Vw5ULB3fjb8MiDjTT3Dib7EARuLaPv18" TargetMode="External"/><Relationship Id="rId1078" Type="http://schemas.openxmlformats.org/officeDocument/2006/relationships/hyperlink" Target="https://www.vidio.com/live/18796-premier-league?schedule_id=4792904" TargetMode="External"/><Relationship Id="rId2129" Type="http://schemas.openxmlformats.org/officeDocument/2006/relationships/hyperlink" Target="https://drive.google.com/drive/folders/1aAs8PZAGDKY8t-DtVu_xYLRAftJPs_nd?usp=drive_link" TargetMode="External"/><Relationship Id="rId5699" Type="http://schemas.openxmlformats.org/officeDocument/2006/relationships/hyperlink" Target="https://drive.google.com/drive/folders/1Xlp5aunryVlWR8atbAp6mL9dfJO63aR4?usp=drive_link" TargetMode="External"/><Relationship Id="rId6000" Type="http://schemas.openxmlformats.org/officeDocument/2006/relationships/hyperlink" Target="https://drive.google.com/file/d/1dbGKBgSaB4RhkYps-dVz1xoaBFVxnrwU/view?usp=sharing" TargetMode="External"/><Relationship Id="rId9570" Type="http://schemas.openxmlformats.org/officeDocument/2006/relationships/hyperlink" Target="https://drive.google.com/file/d/10fS89EXVjOBJA7tal4spITC8NdPRihbS/view?usp=sharing" TargetMode="External"/><Relationship Id="rId8172" Type="http://schemas.openxmlformats.org/officeDocument/2006/relationships/hyperlink" Target="https://drive.google.com/file/d/1zUPXl0pTijznYgTdl73KkdEJNLfhF1bD/view?usp=sharing" TargetMode="External"/><Relationship Id="rId9223" Type="http://schemas.openxmlformats.org/officeDocument/2006/relationships/hyperlink" Target="https://drive.google.com/file/d/1bGAtWdCSL-v2iZg1GvRoYwXZwXVqVH3x/view?usp=drive_link" TargetMode="External"/><Relationship Id="rId11153" Type="http://schemas.openxmlformats.org/officeDocument/2006/relationships/hyperlink" Target="https://www.vidio.com/live/20288-fa-cup-2025-26?schedule_id=4835420" TargetMode="External"/><Relationship Id="rId1212" Type="http://schemas.openxmlformats.org/officeDocument/2006/relationships/hyperlink" Target="https://www.vidio.com/live/9183-champions-tv-6?schedule_id=4802196" TargetMode="External"/><Relationship Id="rId2610" Type="http://schemas.openxmlformats.org/officeDocument/2006/relationships/hyperlink" Target="https://drive.google.com/file/d/1tk4AN4Qg8_ZOMFWzE5MzX_JptXbwdzJQ/view?usp=sharing" TargetMode="External"/><Relationship Id="rId12204" Type="http://schemas.openxmlformats.org/officeDocument/2006/relationships/hyperlink" Target="https://drive.google.com/file/d/17nqJ8YbOWxi4DOQmMA4_VvY1qMuE4tM4/view?usp=sharing" TargetMode="External"/><Relationship Id="rId4782" Type="http://schemas.openxmlformats.org/officeDocument/2006/relationships/hyperlink" Target="https://drive.google.com/drive/folders/16oHSQtwHumHTzNwxgNpFk0BB_vVJivI-?usp=drive_link" TargetMode="External"/><Relationship Id="rId5833" Type="http://schemas.openxmlformats.org/officeDocument/2006/relationships/hyperlink" Target="https://drive.google.com/drive/folders/13eQLR64HrKbyWDLlQsn3dQSDucgsN6sA?usp=drive_link" TargetMode="External"/><Relationship Id="rId3037" Type="http://schemas.openxmlformats.org/officeDocument/2006/relationships/hyperlink" Target="https://www.vidio.com/live/6299-bein-1?schedule_id=4768736" TargetMode="External"/><Relationship Id="rId3384" Type="http://schemas.openxmlformats.org/officeDocument/2006/relationships/hyperlink" Target="https://www.vidio.com/live/19355-bri-super-league?schedule_id=4525583" TargetMode="External"/><Relationship Id="rId4435" Type="http://schemas.openxmlformats.org/officeDocument/2006/relationships/hyperlink" Target="https://drive.google.com/file/d/1aNrW8crA7a5sVRXbGLweBawyJ3_fnznc/view?usp=sharing" TargetMode="External"/><Relationship Id="rId10986" Type="http://schemas.openxmlformats.org/officeDocument/2006/relationships/hyperlink" Target="https://www.vidio.com/live/20249-fa-cup-2025-26?schedule_id=4832292" TargetMode="External"/><Relationship Id="rId7658" Type="http://schemas.openxmlformats.org/officeDocument/2006/relationships/hyperlink" Target="https://drive.google.com/file/d/1Z1eHPDUBJTLAgzwiv3fyd8HJOVroStrM/view?usp=sharing" TargetMode="External"/><Relationship Id="rId8709" Type="http://schemas.openxmlformats.org/officeDocument/2006/relationships/hyperlink" Target="https://drive.google.com/file/d/1_dsc7m6CEBX7Jiwe4OZDGXQO8YYGXhYp/view?usp=sharing" TargetMode="External"/><Relationship Id="rId10639" Type="http://schemas.openxmlformats.org/officeDocument/2006/relationships/hyperlink" Target="https://www.vidio.com/live/20067-top-youth-premier-league-pekan-ke-15?schedule_id=4776342" TargetMode="External"/><Relationship Id="rId9080" Type="http://schemas.openxmlformats.org/officeDocument/2006/relationships/hyperlink" Target="https://www.vidio.com/live/19737-turkish-men-s-volleyball-league?schedule_id=4727761" TargetMode="External"/><Relationship Id="rId12061" Type="http://schemas.openxmlformats.org/officeDocument/2006/relationships/hyperlink" Target="https://drive.google.com/file/d/1khQrXXQF4DXWbEvpQ5PrFElQfRn5_sMl/view?usp=sharing" TargetMode="External"/><Relationship Id="rId2120" Type="http://schemas.openxmlformats.org/officeDocument/2006/relationships/hyperlink" Target="https://drive.google.com/file/d/1xB0xy7HkEIbSRlbQJJubrG5Q4XrOQCwp/view?usp=sharing" TargetMode="External"/><Relationship Id="rId5690" Type="http://schemas.openxmlformats.org/officeDocument/2006/relationships/hyperlink" Target="https://drive.google.com/file/d/1TKUu_SV3m7GHJbbcn5zBr-1PhIL7m0QL/view?usp=sharing" TargetMode="External"/><Relationship Id="rId6741" Type="http://schemas.openxmlformats.org/officeDocument/2006/relationships/hyperlink" Target="https://www.vidio.com/live/19355-bri-super-league?schedule_id=4581462" TargetMode="External"/><Relationship Id="rId4292" Type="http://schemas.openxmlformats.org/officeDocument/2006/relationships/hyperlink" Target="https://drive.google.com/drive/folders/1b4fOBdJ2eJvvXV7XXLmCLO_y6U0bTP5c?usp=drive_link" TargetMode="External"/><Relationship Id="rId5343" Type="http://schemas.openxmlformats.org/officeDocument/2006/relationships/hyperlink" Target="https://www.vidio.com/live/18304-uefa-champions-league?schedule_id=4733536" TargetMode="External"/><Relationship Id="rId9964" Type="http://schemas.openxmlformats.org/officeDocument/2006/relationships/hyperlink" Target="https://drive.google.com/file/d/1-9FcrggTdMX2BtildkVWGvlLKYA143Wx/view?usp=sharing" TargetMode="External"/><Relationship Id="rId11894" Type="http://schemas.openxmlformats.org/officeDocument/2006/relationships/hyperlink" Target="https://drive.google.com/file/d/1_VFmtjeoa1jB6YMFl35R4XO6xs8PdX7H/view?usp=sharing" TargetMode="External"/><Relationship Id="rId1953" Type="http://schemas.openxmlformats.org/officeDocument/2006/relationships/hyperlink" Target="https://drive.google.com/file/d/1FOH3uTiV8zPZNniotnj0m3UjU2ODe4Yf/view?usp=sharing" TargetMode="External"/><Relationship Id="rId7168" Type="http://schemas.openxmlformats.org/officeDocument/2006/relationships/hyperlink" Target="https://drive.google.com/drive/folders/1NepG6XT-FSa8Cs07sX3tPfQWLNpJfAxp" TargetMode="External"/><Relationship Id="rId8566" Type="http://schemas.openxmlformats.org/officeDocument/2006/relationships/hyperlink" Target="https://drive.google.com/file/d/1lxbce2nxUGaV1Y99T2ZhkB6v0Zphrcm0/view?usp=sharing" TargetMode="External"/><Relationship Id="rId9617" Type="http://schemas.openxmlformats.org/officeDocument/2006/relationships/hyperlink" Target="https://drive.google.com/file/d/15DGvnJSshDGip7qefp9BJj4F9OxQKftJ/view?usp=sharing" TargetMode="External"/><Relationship Id="rId10496" Type="http://schemas.openxmlformats.org/officeDocument/2006/relationships/hyperlink" Target="https://drive.google.com/file/d/1DNux4glLBnqI-DzUHKvsJVIQIe0fQ_QF/view?usp=sharing" TargetMode="External"/><Relationship Id="rId11547" Type="http://schemas.openxmlformats.org/officeDocument/2006/relationships/hyperlink" Target="https://drive.google.com/file/d/1Dmi8enOLn0ZlqgfVXDdIRD9d7UHA4xno/view?usp=sharing" TargetMode="External"/><Relationship Id="rId1606" Type="http://schemas.openxmlformats.org/officeDocument/2006/relationships/hyperlink" Target="https://drive.google.com/drive/folders/1nyKUUyr6kiqG4SFcbhStnCRfNhqct17a" TargetMode="External"/><Relationship Id="rId8219" Type="http://schemas.openxmlformats.org/officeDocument/2006/relationships/hyperlink" Target="https://drive.google.com/file/d/1G_SSDX1DPXNl2KaVXU2adZHIvYlVk_9H/view?usp=sharing" TargetMode="External"/><Relationship Id="rId10149" Type="http://schemas.openxmlformats.org/officeDocument/2006/relationships/hyperlink" Target="https://drive.google.com/drive/folders/1uCTSJILU8w23PNk_REb1SShGykfBut6P?usp=sharing" TargetMode="External"/><Relationship Id="rId3778" Type="http://schemas.openxmlformats.org/officeDocument/2006/relationships/hyperlink" Target="https://drive.google.com/drive/folders/1Q2HlmZMdDlrlS1UoYSFAhC4OK5bFJlmS" TargetMode="External"/><Relationship Id="rId4829" Type="http://schemas.openxmlformats.org/officeDocument/2006/relationships/hyperlink" Target="https://drive.google.com/file/d/1KcgLInhMxk5oGzoKPk0JVu3hyBxM3Zt0/view?usp=sharing" TargetMode="External"/><Relationship Id="rId8700" Type="http://schemas.openxmlformats.org/officeDocument/2006/relationships/hyperlink" Target="https://drive.google.com/file/d/1U-19I0cnZXvy4MrjVUXjErFwSU8luica/view?usp=sharing" TargetMode="External"/><Relationship Id="rId699" Type="http://schemas.openxmlformats.org/officeDocument/2006/relationships/hyperlink" Target="https://drive.google.com/file/d/1IGydeyquRMXVaGgKN_GZc59sn7oHu0jU/view?usp=sharing" TargetMode="External"/><Relationship Id="rId6251" Type="http://schemas.openxmlformats.org/officeDocument/2006/relationships/hyperlink" Target="https://drive.google.com/drive/folders/1vjOA9E-jOlhsRSh5NE7jSpcmcR5v41-E" TargetMode="External"/><Relationship Id="rId7302" Type="http://schemas.openxmlformats.org/officeDocument/2006/relationships/hyperlink" Target="https://www.vidio.com/live/19548-national-football-league-2025-26?schedule_id=4585759" TargetMode="External"/><Relationship Id="rId10630" Type="http://schemas.openxmlformats.org/officeDocument/2006/relationships/hyperlink" Target="https://drive.google.com/file/d/1h6XBfuaoLRTf-FDlOBgBxh7mxtLNqMZS/view?usp=sharing" TargetMode="External"/><Relationship Id="rId9474" Type="http://schemas.openxmlformats.org/officeDocument/2006/relationships/hyperlink" Target="https://www.vidio.com/live/17139-spotv?schedule_id=4726333" TargetMode="External"/><Relationship Id="rId2861" Type="http://schemas.openxmlformats.org/officeDocument/2006/relationships/hyperlink" Target="https://drive.google.com/drive/folders/1EjFTzZaElM_nUUnRO1yv537xq-gd78P_?usp=drive_link" TargetMode="External"/><Relationship Id="rId3912" Type="http://schemas.openxmlformats.org/officeDocument/2006/relationships/hyperlink" Target="https://drive.google.com/file/d/1V-PQ9bDcZK13W1ucm_iJbfDjpF8_UtyD/view?usp=sharing" TargetMode="External"/><Relationship Id="rId8076" Type="http://schemas.openxmlformats.org/officeDocument/2006/relationships/hyperlink" Target="https://drive.google.com/file/d/1OsxEBv7wR3_GuYt_SQRDomSiBv6yemU3/view?usp=drive_link" TargetMode="External"/><Relationship Id="rId9127" Type="http://schemas.openxmlformats.org/officeDocument/2006/relationships/hyperlink" Target="https://drive.google.com/file/d/1AOfDKN410EAfsKbF-BJHXakMkDqBUdHw/view?usp=sharing" TargetMode="External"/><Relationship Id="rId12455" Type="http://schemas.openxmlformats.org/officeDocument/2006/relationships/hyperlink" Target="https://www.vidio.com/live/18249-petronas-malaysia-open-2026-finals?schedule_id=4835804" TargetMode="External"/><Relationship Id="rId833" Type="http://schemas.openxmlformats.org/officeDocument/2006/relationships/hyperlink" Target="https://drive.google.com/file/d/1VCDoky6U_QrURGQAex8iO9hJsWH7oou8/view?usp=sharing" TargetMode="External"/><Relationship Id="rId1116" Type="http://schemas.openxmlformats.org/officeDocument/2006/relationships/hyperlink" Target="https://thumbor.prod.vidiocdn.com/pIwLxG8SJwAPm3JX8D4MYHe4lcw=/filters:quality(70)/vidio-media-production/uploads/image/source/52483/7be7d4.png" TargetMode="External"/><Relationship Id="rId1463" Type="http://schemas.openxmlformats.org/officeDocument/2006/relationships/hyperlink" Target="https://drive.google.com/drive/folders/1HVeIWwrGNGpuoo8yNqYxFesx2jUxyH0R" TargetMode="External"/><Relationship Id="rId2514" Type="http://schemas.openxmlformats.org/officeDocument/2006/relationships/hyperlink" Target="https://www.vidio.com/live/17323-laliga?schedule_id=4577359" TargetMode="External"/><Relationship Id="rId11057" Type="http://schemas.openxmlformats.org/officeDocument/2006/relationships/hyperlink" Target="https://drive.google.com/drive/u/0/folders/1z1rIxB1_FRAu03hiz7W3p7N18LXe2z7h" TargetMode="External"/><Relationship Id="rId12108" Type="http://schemas.openxmlformats.org/officeDocument/2006/relationships/hyperlink" Target="https://drive.google.com/drive/folders/1y_mGPCoON9jW62Lb8x5K2d_YVzyt7dym" TargetMode="External"/><Relationship Id="rId4686" Type="http://schemas.openxmlformats.org/officeDocument/2006/relationships/hyperlink" Target="https://thumbor.prod.vidiocdn.com/ezB71DESILlE9_q8NKNT6FNUV0c=/filters:quality(70)/vidio-media-production/uploads/image/source/51908/738294.png" TargetMode="External"/><Relationship Id="rId5737" Type="http://schemas.openxmlformats.org/officeDocument/2006/relationships/hyperlink" Target="https://www.vidio.com/live/19601-uefa-europa-league?schedule_id=4664115" TargetMode="External"/><Relationship Id="rId3288" Type="http://schemas.openxmlformats.org/officeDocument/2006/relationships/hyperlink" Target="https://www.vidio.com/live/19355-bri-super-league?schedule_id=4485271" TargetMode="External"/><Relationship Id="rId4339" Type="http://schemas.openxmlformats.org/officeDocument/2006/relationships/hyperlink" Target="https://drive.google.com/drive/folders/1jShZ9ZFfZOUGUlCVUwJnVIY9uNbweCVK?usp=drive_link" TargetMode="External"/><Relationship Id="rId8210" Type="http://schemas.openxmlformats.org/officeDocument/2006/relationships/hyperlink" Target="https://drive.google.com/drive/u/0/folders/1AXRoB4g6vd6Hf7aW-g0yy7ppkmm1ikWl" TargetMode="External"/><Relationship Id="rId10140" Type="http://schemas.openxmlformats.org/officeDocument/2006/relationships/hyperlink" Target="https://www.vidio.com/live/19998?schedule_id=4743102" TargetMode="External"/><Relationship Id="rId690" Type="http://schemas.openxmlformats.org/officeDocument/2006/relationships/hyperlink" Target="https://www.vidio.com/live/9182-champions-tv-5?schedule_id=4707258" TargetMode="External"/><Relationship Id="rId2371" Type="http://schemas.openxmlformats.org/officeDocument/2006/relationships/hyperlink" Target="https://drive.google.com/file/d/10KjztreDPoCcYT8iQcpKAEqFP2n5r-Ka/view?usp=drive_link" TargetMode="External"/><Relationship Id="rId3422" Type="http://schemas.openxmlformats.org/officeDocument/2006/relationships/hyperlink" Target="https://www.vidio.com/live/19371-carabao-cup-2025-26?schedule_id=4495121" TargetMode="External"/><Relationship Id="rId4820" Type="http://schemas.openxmlformats.org/officeDocument/2006/relationships/hyperlink" Target="https://www.vidio.com/live/19404-serie-a?schedule_id=4823382" TargetMode="External"/><Relationship Id="rId343" Type="http://schemas.openxmlformats.org/officeDocument/2006/relationships/hyperlink" Target="https://drive.google.com/file/d/1CI3_4eToEqW87zQB4IM1KjfdxaCX2iyw/view?usp=sharing" TargetMode="External"/><Relationship Id="rId2024" Type="http://schemas.openxmlformats.org/officeDocument/2006/relationships/hyperlink" Target="https://drive.google.com/file/d/1P-_xy2JJjzMO_lAi1JCSLtMG63WM6MBd/view?usp=sharing" TargetMode="External"/><Relationship Id="rId6992" Type="http://schemas.openxmlformats.org/officeDocument/2006/relationships/hyperlink" Target="https://drive.google.com/file/d/1p9tmG_mvTeRlx9AmbVb26BZ035o1APId/view?usp=sharing" TargetMode="External"/><Relationship Id="rId4196" Type="http://schemas.openxmlformats.org/officeDocument/2006/relationships/hyperlink" Target="https://drive.google.com/drive/folders/14wEDIL-yHMnLGzR418puzDacxvFAs3qp?usp=drive_link" TargetMode="External"/><Relationship Id="rId5247" Type="http://schemas.openxmlformats.org/officeDocument/2006/relationships/hyperlink" Target="https://drive.google.com/file/d/19KQMbN6Od02ykWBu52_tXG6O0J-ZcudD/view?usp=sharing" TargetMode="External"/><Relationship Id="rId5594" Type="http://schemas.openxmlformats.org/officeDocument/2006/relationships/hyperlink" Target="https://drive.google.com/drive/folders/1E4roLv8fwHjWcVblYrYghoLB_8x-dvtL?usp=drive_link" TargetMode="External"/><Relationship Id="rId6645" Type="http://schemas.openxmlformats.org/officeDocument/2006/relationships/hyperlink" Target="https://drive.google.com/file/d/1gSVP-0aSQSrYBoomAILpkubIilNJCIh3/view?usp=sharing" TargetMode="External"/><Relationship Id="rId9868" Type="http://schemas.openxmlformats.org/officeDocument/2006/relationships/hyperlink" Target="https://drive.google.com/file/d/1bGAtWdCSL-v2iZg1GvRoYwXZwXVqVH3x/view?usp=sharing" TargetMode="External"/><Relationship Id="rId11798" Type="http://schemas.openxmlformats.org/officeDocument/2006/relationships/hyperlink" Target="https://drive.google.com/file/d/1dHtE4R6NvKLH1pAlLepns0ZPnoh33hSc/view?usp=sharing" TargetMode="External"/><Relationship Id="rId1857" Type="http://schemas.openxmlformats.org/officeDocument/2006/relationships/hyperlink" Target="https://drive.google.com/drive/folders/1Cs7u5SPOQ8y3eaATozEGIsChjGqp-ABg" TargetMode="External"/><Relationship Id="rId2908" Type="http://schemas.openxmlformats.org/officeDocument/2006/relationships/hyperlink" Target="https://drive.google.com/drive/folders/1EjFTzZaElM_nUUnRO1yv537xq-gd78P_?usp=drive_link" TargetMode="External"/><Relationship Id="rId4330" Type="http://schemas.openxmlformats.org/officeDocument/2006/relationships/hyperlink" Target="https://drive.google.com/file/d/15zj2LiBgcSZQ4ZD903GEoVo0PlgnmLJn/view?usp=sharing" TargetMode="External"/><Relationship Id="rId8951" Type="http://schemas.openxmlformats.org/officeDocument/2006/relationships/hyperlink" Target="https://www.vidio.com/live/17139-spotv?schedule_id=4707260" TargetMode="External"/><Relationship Id="rId7553" Type="http://schemas.openxmlformats.org/officeDocument/2006/relationships/hyperlink" Target="https://drive.google.com/drive/folders/15R_ywRFCVLik3mhOUcAM2oRJwPyQDZ11?usp=sharing" TargetMode="External"/><Relationship Id="rId8604" Type="http://schemas.openxmlformats.org/officeDocument/2006/relationships/hyperlink" Target="https://drive.google.com/file/d/17GVOiTivRStjQ2j2o0SAXfpD37g1LWFa/view?usp=sharing" TargetMode="External"/><Relationship Id="rId10881" Type="http://schemas.openxmlformats.org/officeDocument/2006/relationships/hyperlink" Target="https://drive.google.com/file/d/1vSujjxl1DqBd-hytOhw51ET3ODXfYICA/view?usp=sharing" TargetMode="External"/><Relationship Id="rId11932" Type="http://schemas.openxmlformats.org/officeDocument/2006/relationships/hyperlink" Target="https://drive.google.com/drive/folders/1gqnmBiDc9HaK7fTi5sC9yJeePuPZJkd8?usp=drive_link" TargetMode="External"/><Relationship Id="rId6155" Type="http://schemas.openxmlformats.org/officeDocument/2006/relationships/hyperlink" Target="https://www.vidio.com/live/19648-uefa-conference-league?schedule_id=4614698" TargetMode="External"/><Relationship Id="rId7206" Type="http://schemas.openxmlformats.org/officeDocument/2006/relationships/hyperlink" Target="https://www.vidio.com/live/19556-top-youth-premier-league-2025-matchday-3?schedule_id=4569329" TargetMode="External"/><Relationship Id="rId10534" Type="http://schemas.openxmlformats.org/officeDocument/2006/relationships/hyperlink" Target="https://www.vidio.com/live/17139-spotv?schedule_id=4783766" TargetMode="External"/><Relationship Id="rId9378" Type="http://schemas.openxmlformats.org/officeDocument/2006/relationships/hyperlink" Target="https://thumbor.prod.vidiocdn.com/N3FyhSWav4K0M-ANuKKcNYlTFY0=/filters:quality(70)/vidio-media-production/uploads/image/source/52757/637d56.png" TargetMode="External"/><Relationship Id="rId2765" Type="http://schemas.openxmlformats.org/officeDocument/2006/relationships/hyperlink" Target="https://drive.google.com/file/d/1UctUmSiRS-hfW4vaRRnh5vkd7tUpfl-y/view?usp=sharing" TargetMode="External"/><Relationship Id="rId3816" Type="http://schemas.openxmlformats.org/officeDocument/2006/relationships/hyperlink" Target="https://drive.google.com/file/d/1bgJpMZlk-WhOq8VvZlXJu-k2AVNGmns7/view?usp=drive_link" TargetMode="External"/><Relationship Id="rId12359" Type="http://schemas.openxmlformats.org/officeDocument/2006/relationships/hyperlink" Target="https://www.vidio.com/live/18250-petronas-malaysia-open-2026-round-of-16-court-2?schedule_id=4833805" TargetMode="External"/><Relationship Id="rId737" Type="http://schemas.openxmlformats.org/officeDocument/2006/relationships/hyperlink" Target="https://drive.google.com/file/d/1nHUjk7iqZ2ziioJdtIm0DmJUye0vFiIW/view?usp=sharing" TargetMode="External"/><Relationship Id="rId1367" Type="http://schemas.openxmlformats.org/officeDocument/2006/relationships/hyperlink" Target="https://drive.google.com/file/d/1No3unrI_-B2D5Mc__oQmnkKhHfTuA1iF/view?usp=sharing" TargetMode="External"/><Relationship Id="rId2418" Type="http://schemas.openxmlformats.org/officeDocument/2006/relationships/hyperlink" Target="https://drive.google.com/file/d/1DOOxxqhHPV1u5uCW-RvMUWgktG2DijZZ/view?usp=sharing" TargetMode="External"/><Relationship Id="rId5988" Type="http://schemas.openxmlformats.org/officeDocument/2006/relationships/hyperlink" Target="https://drive.google.com/file/d/1CqJMIufcFgP7u43QaY--ZzAX9tf7_SMx/view?usp=drive_link" TargetMode="External"/><Relationship Id="rId73" Type="http://schemas.openxmlformats.org/officeDocument/2006/relationships/hyperlink" Target="https://www.vidio.com/live/9182-champions-tv-5?schedule_id=4496978" TargetMode="External"/><Relationship Id="rId8461" Type="http://schemas.openxmlformats.org/officeDocument/2006/relationships/hyperlink" Target="https://drive.google.com/file/d/1y6iaGRvIZtRTwIcewv6Fgzdl2qaNF7wO/view?usp=drive_link" TargetMode="External"/><Relationship Id="rId9512" Type="http://schemas.openxmlformats.org/officeDocument/2006/relationships/hyperlink" Target="https://drive.google.com/drive/folders/1eQjLCMZUIL6Mcvw70MZOl8QgzHSN8gbl" TargetMode="External"/><Relationship Id="rId10391" Type="http://schemas.openxmlformats.org/officeDocument/2006/relationships/hyperlink" Target="https://drive.google.com/file/d/10U5JqS3p8a37YsYMutMicOZ4x783wbrV/view?usp=sharing" TargetMode="External"/><Relationship Id="rId11442" Type="http://schemas.openxmlformats.org/officeDocument/2006/relationships/hyperlink" Target="https://drive.google.com/drive/folders/1I-igJ0NWO5Sx5GCoAvrfPihncx24LqWP" TargetMode="External"/><Relationship Id="rId1501" Type="http://schemas.openxmlformats.org/officeDocument/2006/relationships/hyperlink" Target="https://drive.google.com/file/d/1lehP8gjFxk9HUh41R5WwoUFQ9ZrKmuqU/view?usp=sharing" TargetMode="External"/><Relationship Id="rId7063" Type="http://schemas.openxmlformats.org/officeDocument/2006/relationships/hyperlink" Target="https://drive.google.com/drive/folders/1tbwdesMjF4FohV_yti5G5i1rfOwnrP6K?usp=drive_link" TargetMode="External"/><Relationship Id="rId8114" Type="http://schemas.openxmlformats.org/officeDocument/2006/relationships/hyperlink" Target="https://www.vidio.com/live/19542-pegadaian-championship-2025-26?schedule_id=4708842" TargetMode="External"/><Relationship Id="rId10044" Type="http://schemas.openxmlformats.org/officeDocument/2006/relationships/hyperlink" Target="https://drive.google.com/file/d/1xkU8rOzY44lA0KIy3svNfhXNWh9awYvc/view?usp=sharing" TargetMode="External"/><Relationship Id="rId594" Type="http://schemas.openxmlformats.org/officeDocument/2006/relationships/hyperlink" Target="https://www.vidio.com/live/9183-champions-tv-6?schedule_id=4678868" TargetMode="External"/><Relationship Id="rId2275" Type="http://schemas.openxmlformats.org/officeDocument/2006/relationships/hyperlink" Target="https://drive.google.com/drive/folders/1CVKWtKtmbBE61tgsYcWeNI-X-3yGZAc_?usp=drive_link" TargetMode="External"/><Relationship Id="rId3326" Type="http://schemas.openxmlformats.org/officeDocument/2006/relationships/hyperlink" Target="https://drive.google.com/file/d/1Camsho9HsMc8Y2CALIlYCSwt74cA8onM/view?usp=drive_link" TargetMode="External"/><Relationship Id="rId3673" Type="http://schemas.openxmlformats.org/officeDocument/2006/relationships/hyperlink" Target="https://drive.google.com/file/d/1zIYZIag_iZ9ysy6KzR_Cn_1377cQYhA8/view?usp=sharing" TargetMode="External"/><Relationship Id="rId4724" Type="http://schemas.openxmlformats.org/officeDocument/2006/relationships/hyperlink" Target="https://www.vidio.com/live/19404-serie-a?schedule_id=4784748" TargetMode="External"/><Relationship Id="rId247" Type="http://schemas.openxmlformats.org/officeDocument/2006/relationships/hyperlink" Target="https://drive.google.com/file/d/1DjR5degYDAv1jM8NGrC47qM_YpmE9hdA/view?usp=sharing" TargetMode="External"/><Relationship Id="rId6896" Type="http://schemas.openxmlformats.org/officeDocument/2006/relationships/hyperlink" Target="https://drive.google.com/file/d/1wPqjELSfcUkODkibB6_0AM0tQEW4QPyR/view?usp=sharing" TargetMode="External"/><Relationship Id="rId7947" Type="http://schemas.openxmlformats.org/officeDocument/2006/relationships/hyperlink" Target="https://www.vidio.com/live/6317-bein-3?schedule_id=4652733" TargetMode="External"/><Relationship Id="rId10928" Type="http://schemas.openxmlformats.org/officeDocument/2006/relationships/hyperlink" Target="https://drive.google.com/file/d/1yff9OvDcVdP9hqaNzTWmkcckxp4OqCvY/view?usp=sharing" TargetMode="External"/><Relationship Id="rId5498" Type="http://schemas.openxmlformats.org/officeDocument/2006/relationships/hyperlink" Target="https://drive.google.com/file/d/1lNGXTPY8cuSekmRHfwD53Fvlx8x1wjpi/view?usp=sharing" TargetMode="External"/><Relationship Id="rId6549" Type="http://schemas.openxmlformats.org/officeDocument/2006/relationships/hyperlink" Target="https://drive.google.com/file/d/1rPxmApAbowxHrHnu-OeoaqCj2mS4g49v/view?usp=sharing" TargetMode="External"/><Relationship Id="rId12350" Type="http://schemas.openxmlformats.org/officeDocument/2006/relationships/hyperlink" Target="https://drive.google.com/drive/folders/1JOgSZmNs1prxOeLrKVswIcYu029paKj4" TargetMode="External"/><Relationship Id="rId9022" Type="http://schemas.openxmlformats.org/officeDocument/2006/relationships/hyperlink" Target="https://www.vidio.com/live/19960-women-s-international-friendly-match?schedule_id=4733547" TargetMode="External"/><Relationship Id="rId12003" Type="http://schemas.openxmlformats.org/officeDocument/2006/relationships/hyperlink" Target="https://drive.google.com/drive/folders/10yZ6W25MsH1Gazyf6erLQ6feN5lXYViD" TargetMode="External"/><Relationship Id="rId1011" Type="http://schemas.openxmlformats.org/officeDocument/2006/relationships/hyperlink" Target="https://drive.google.com/file/d/1KqbdXzHOoDnX8dWnCmQ_938R-1_QmFoo/view?usp=sharing" TargetMode="External"/><Relationship Id="rId4581" Type="http://schemas.openxmlformats.org/officeDocument/2006/relationships/hyperlink" Target="https://drive.google.com/file/d/15Wa3rjDdrDd1hbCC6UQp3PnRSoFfFCPP/view?usp=sharing" TargetMode="External"/><Relationship Id="rId5632" Type="http://schemas.openxmlformats.org/officeDocument/2006/relationships/hyperlink" Target="https://drive.google.com/drive/folders/1-v2k9mkE5Wr7vtcZPt5z5lBJb1kpLRxM?usp=drive_link" TargetMode="External"/><Relationship Id="rId3183" Type="http://schemas.openxmlformats.org/officeDocument/2006/relationships/hyperlink" Target="https://drive.google.com/drive/folders/1n0nFQdVIwv8cTYmS34lEj71WHtmArXk9" TargetMode="External"/><Relationship Id="rId4234" Type="http://schemas.openxmlformats.org/officeDocument/2006/relationships/hyperlink" Target="https://drive.google.com/file/d/1jr_M6H5Q3dV-CadFbS09DOZ-SpQtB592/view?usp=sharing" TargetMode="External"/><Relationship Id="rId7457" Type="http://schemas.openxmlformats.org/officeDocument/2006/relationships/hyperlink" Target="https://drive.google.com/drive/folders/1NepG6XT-FSa8Cs07sX3tPfQWLNpJfAxp" TargetMode="External"/><Relationship Id="rId8855" Type="http://schemas.openxmlformats.org/officeDocument/2006/relationships/hyperlink" Target="https://thumbor.prod.vidiocdn.com/Dyaa_MaDnL2CDgKioF_vOr-8P8U=/filters:quality(70)/vidio-media-production/uploads/image/source/51971/4b488c.png" TargetMode="External"/><Relationship Id="rId9906" Type="http://schemas.openxmlformats.org/officeDocument/2006/relationships/hyperlink" Target="https://drive.google.com/file/d/1XyAYIy3lxUnWmt_rvbD28-PERTZPW_dE/view?usp=sharing" TargetMode="External"/><Relationship Id="rId10785" Type="http://schemas.openxmlformats.org/officeDocument/2006/relationships/hyperlink" Target="https://drive.google.com/file/d/1B8Z5qLTMC6QbABD8C0_DhfOxAQVKo-qg/view?usp=sharing" TargetMode="External"/><Relationship Id="rId11836" Type="http://schemas.openxmlformats.org/officeDocument/2006/relationships/hyperlink" Target="https://drive.google.com/file/d/1RvpVSYEuxwkTup3qpzOCOplWtOxx9WK3/view?usp=sharing" TargetMode="External"/><Relationship Id="rId6059" Type="http://schemas.openxmlformats.org/officeDocument/2006/relationships/hyperlink" Target="https://www.vidio.com/live/19631-uefa-europa-league?schedule_id=4773542" TargetMode="External"/><Relationship Id="rId8508" Type="http://schemas.openxmlformats.org/officeDocument/2006/relationships/hyperlink" Target="https://drive.google.com/file/d/1IuXtHsefzTWf2zSmSc-CTtYjaGQXyFkT/view?usp=sharing" TargetMode="External"/><Relationship Id="rId10438" Type="http://schemas.openxmlformats.org/officeDocument/2006/relationships/hyperlink" Target="https://drive.google.com/drive/folders/1Yq-1V5a805ilQPm23kRHmQe6JOVdXDEi" TargetMode="External"/><Relationship Id="rId988" Type="http://schemas.openxmlformats.org/officeDocument/2006/relationships/hyperlink" Target="https://drive.google.com/file/d/1YxzfgTTmTxlEVg-z8or-pxkL55D8Af-P/view?usp=sharing" TargetMode="External"/><Relationship Id="rId2669" Type="http://schemas.openxmlformats.org/officeDocument/2006/relationships/hyperlink" Target="https://drive.google.com/drive/folders/1cKXi_dhSRz4sJp9ln3A6kgdxeZYTmiLk?usp=drive_link" TargetMode="External"/><Relationship Id="rId6540" Type="http://schemas.openxmlformats.org/officeDocument/2006/relationships/hyperlink" Target="https://www.vidio.com/live/19736-uefa-conference-league?schedule_id=4771660" TargetMode="External"/><Relationship Id="rId4091" Type="http://schemas.openxmlformats.org/officeDocument/2006/relationships/hyperlink" Target="https://www.vidio.com/live/19404-serie-a?schedule_id=4598344" TargetMode="External"/><Relationship Id="rId5142" Type="http://schemas.openxmlformats.org/officeDocument/2006/relationships/hyperlink" Target="https://drive.google.com/drive/folders/1d8RfZ3AxKm4vcq0d__doqb5lGvVI-NuD" TargetMode="External"/><Relationship Id="rId9763" Type="http://schemas.openxmlformats.org/officeDocument/2006/relationships/hyperlink" Target="https://drive.google.com/drive/folders/1DC1Tozy294_k-JbwL7msvV3jCR8Y1ONI" TargetMode="External"/><Relationship Id="rId8365" Type="http://schemas.openxmlformats.org/officeDocument/2006/relationships/hyperlink" Target="https://drive.google.com/file/d/1wZAD4OEW78BK5I7PA_8FVRHXji3SLyur/view?usp=sharing" TargetMode="External"/><Relationship Id="rId9416" Type="http://schemas.openxmlformats.org/officeDocument/2006/relationships/hyperlink" Target="https://drive.google.com/drive/folders/1nOqefdVRyx1EBpVKRm07bpQ3xPF13Qvt?usp=drive_link" TargetMode="External"/><Relationship Id="rId10295" Type="http://schemas.openxmlformats.org/officeDocument/2006/relationships/hyperlink" Target="https://drive.google.com/file/d/1qweE2XOQsYsADWkPQ5GFCgtweiE2nZB2/view?usp=drive_link" TargetMode="External"/><Relationship Id="rId11693" Type="http://schemas.openxmlformats.org/officeDocument/2006/relationships/hyperlink" Target="https://drive.google.com/drive/folders/1oI_ao60iLRryd09RL7PB0a3B-DCDBnC9?usp=drive_link" TargetMode="External"/><Relationship Id="rId1405" Type="http://schemas.openxmlformats.org/officeDocument/2006/relationships/hyperlink" Target="https://drive.google.com/file/d/1IsJ7O8c0KmrVnlRMXsAeEvYZgQIEuLNt/view?usp=drive_link" TargetMode="External"/><Relationship Id="rId1752" Type="http://schemas.openxmlformats.org/officeDocument/2006/relationships/hyperlink" Target="https://drive.google.com/file/d/18rfDvWgR-QA9s2717WPyaALflPwlzNdR/view?usp=drive_link" TargetMode="External"/><Relationship Id="rId2803" Type="http://schemas.openxmlformats.org/officeDocument/2006/relationships/hyperlink" Target="https://www.vidio.com/live/6299-bein-1?schedule_id=4678458" TargetMode="External"/><Relationship Id="rId8018" Type="http://schemas.openxmlformats.org/officeDocument/2006/relationships/hyperlink" Target="https://www.vidio.com/live/19541-pegadaian-championship-2025-26?schedule_id=4676985" TargetMode="External"/><Relationship Id="rId11346" Type="http://schemas.openxmlformats.org/officeDocument/2006/relationships/hyperlink" Target="https://drive.google.com/drive/folders/1vVG0JMaB44L_IJtX0fZV1HIq5k2MukSp?usp=drive_link" TargetMode="External"/><Relationship Id="rId4975" Type="http://schemas.openxmlformats.org/officeDocument/2006/relationships/hyperlink" Target="https://www.vidio.com/live/6299-bein-1?schedule_id=4569290" TargetMode="External"/><Relationship Id="rId498" Type="http://schemas.openxmlformats.org/officeDocument/2006/relationships/hyperlink" Target="https://drive.google.com/file/d/1uhxPxu-TcPz1TVNLSj9YkMV16FboLFMQ/view?usp=sharing" TargetMode="External"/><Relationship Id="rId2179" Type="http://schemas.openxmlformats.org/officeDocument/2006/relationships/hyperlink" Target="https://drive.google.com/file/d/1e1PZLDjGO1tSoSBGW5CWMWCU0_JjE9U_/view?usp=sharing" TargetMode="External"/><Relationship Id="rId3577" Type="http://schemas.openxmlformats.org/officeDocument/2006/relationships/hyperlink" Target="https://drive.google.com/file/d/1Nismctnl5IZLABIsNtnN-l37nsPRVgkw/view?usp=share_link" TargetMode="External"/><Relationship Id="rId4628" Type="http://schemas.openxmlformats.org/officeDocument/2006/relationships/hyperlink" Target="https://drive.google.com/file/d/1X2uCjuHj_iBkxnFXQeqsf5mQGT8gsO-c/view?usp=sharing" TargetMode="External"/><Relationship Id="rId6050" Type="http://schemas.openxmlformats.org/officeDocument/2006/relationships/hyperlink" Target="https://drive.google.com/drive/folders/1boIYalhDMpQbqoXf0ZDkAnvcAMHtlRAG?usp=drive_link" TargetMode="External"/><Relationship Id="rId7101" Type="http://schemas.openxmlformats.org/officeDocument/2006/relationships/hyperlink" Target="https://drive.google.com/drive/folders/1LuDkAH0oaH-ODBe1fGRrz-qarvIF4FP2" TargetMode="External"/><Relationship Id="rId2660" Type="http://schemas.openxmlformats.org/officeDocument/2006/relationships/hyperlink" Target="https://drive.google.com/file/d/1ecmvFYv6ZZ7H932DBn0857ztvQxJKyX0/view?usp=drive_link" TargetMode="External"/><Relationship Id="rId3711" Type="http://schemas.openxmlformats.org/officeDocument/2006/relationships/hyperlink" Target="https://drive.google.com/file/d/18HUMFFQR1Tw3m2My4GG12-0S36ry1gef/view?usp=sharing" TargetMode="External"/><Relationship Id="rId9273" Type="http://schemas.openxmlformats.org/officeDocument/2006/relationships/hyperlink" Target="https://www.vidio.com/live/19813-top-soccer-championship-2025-u-16?schedule_id=4709125" TargetMode="External"/><Relationship Id="rId12254" Type="http://schemas.openxmlformats.org/officeDocument/2006/relationships/hyperlink" Target="https://drive.google.com/file/d/17nqJ8YbOWxi4DOQmMA4_VvY1qMuE4tM4/view?usp=drive_link" TargetMode="External"/><Relationship Id="rId632" Type="http://schemas.openxmlformats.org/officeDocument/2006/relationships/hyperlink" Target="https://drive.google.com/drive/folders/1reJgqrta8-x_LZOVIyNxF2oALmNOZ9ZP?usp=drive_link" TargetMode="External"/><Relationship Id="rId1262" Type="http://schemas.openxmlformats.org/officeDocument/2006/relationships/hyperlink" Target="https://www.vidio.com/live/20231-premier-league?schedule_id=4830786" TargetMode="External"/><Relationship Id="rId2313" Type="http://schemas.openxmlformats.org/officeDocument/2006/relationships/hyperlink" Target="https://drive.google.com/file/d/1N4OrM0nUD0I9T1ParCr7IzXSnQ9jd7FH/view?usp=sharing" TargetMode="External"/><Relationship Id="rId4485" Type="http://schemas.openxmlformats.org/officeDocument/2006/relationships/hyperlink" Target="https://www.vidio.com/live/19404-serie-a?schedule_id=4708921" TargetMode="External"/><Relationship Id="rId5536" Type="http://schemas.openxmlformats.org/officeDocument/2006/relationships/hyperlink" Target="https://drive.google.com/file/d/1fKsOyNrtCe-AJj4L7Jeryda8wRxnK1RP/view?usp=drive_link" TargetMode="External"/><Relationship Id="rId5883" Type="http://schemas.openxmlformats.org/officeDocument/2006/relationships/hyperlink" Target="https://drive.google.com/drive/folders/1O2R48yiiNUt0_Uk_UIji9iNIEpqtlv9t?usp=drive_link" TargetMode="External"/><Relationship Id="rId6934" Type="http://schemas.openxmlformats.org/officeDocument/2006/relationships/hyperlink" Target="https://www.vidio.com/live/19541-pegadaian-championship-2025-26?schedule_id=4585670" TargetMode="External"/><Relationship Id="rId3087" Type="http://schemas.openxmlformats.org/officeDocument/2006/relationships/hyperlink" Target="https://drive.google.com/file/d/1NktSdPrqzATyXQIUMsjRKpSJkokUckzU/view?usp=sharing" TargetMode="External"/><Relationship Id="rId4138" Type="http://schemas.openxmlformats.org/officeDocument/2006/relationships/hyperlink" Target="https://www.vidio.com/live/17939-serie-a?schedule_id=4599320" TargetMode="External"/><Relationship Id="rId8759" Type="http://schemas.openxmlformats.org/officeDocument/2006/relationships/hyperlink" Target="https://drive.google.com/file/d/16fJULZOedYgAFBzOViv_i0OQGnEYzGGj/view?usp=sharing" TargetMode="External"/><Relationship Id="rId10689" Type="http://schemas.openxmlformats.org/officeDocument/2006/relationships/hyperlink" Target="https://drive.google.com/file/d/1lkz6hupM2VWV5Mw8RaZNXrhCZGmb0I5j/view?usp=sharing" TargetMode="External"/><Relationship Id="rId2170" Type="http://schemas.openxmlformats.org/officeDocument/2006/relationships/hyperlink" Target="https://www.vidio.com/live/19353-bri-super-league?schedule_id=4783339" TargetMode="External"/><Relationship Id="rId3221" Type="http://schemas.openxmlformats.org/officeDocument/2006/relationships/hyperlink" Target="https://thumbor.prod.vidiocdn.com/BfHhH1SEumZ-hhTREOveK35M0CY=/filters:quality(70)/vidio-media-production/uploads/image/source/52770/f62125.png" TargetMode="External"/><Relationship Id="rId6791" Type="http://schemas.openxmlformats.org/officeDocument/2006/relationships/hyperlink" Target="https://drive.google.com/file/d/1DNux4glLBnqI-DzUHKvsJVIQIe0fQ_QF/view?usp=sharing" TargetMode="External"/><Relationship Id="rId7842" Type="http://schemas.openxmlformats.org/officeDocument/2006/relationships/hyperlink" Target="https://drive.google.com/file/d/1CWSyNDMvDyBnO4XYIODH0ex-YyKgtKsc/view?usp=sharing" TargetMode="External"/><Relationship Id="rId8" Type="http://schemas.openxmlformats.org/officeDocument/2006/relationships/hyperlink" Target="https://drive.google.com/file/d/1dAlP8Qa0B2DSqI1gIgQTx_t3qK--Cv6b/view?usp=sharing" TargetMode="External"/><Relationship Id="rId142" Type="http://schemas.openxmlformats.org/officeDocument/2006/relationships/hyperlink" Target="https://www.vidio.com/live/9182-champions-tv-5?schedule_id=4512815" TargetMode="External"/><Relationship Id="rId5393" Type="http://schemas.openxmlformats.org/officeDocument/2006/relationships/hyperlink" Target="https://drive.google.com/drive/folders/14Wb3x9yN298vTECYGS7G_yCO7LWjXAJK" TargetMode="External"/><Relationship Id="rId6444" Type="http://schemas.openxmlformats.org/officeDocument/2006/relationships/hyperlink" Target="https://drive.google.com/drive/folders/1F9lLmIvT4-3oh_Jbh-sne-zsyB6ey7v0" TargetMode="External"/><Relationship Id="rId10823" Type="http://schemas.openxmlformats.org/officeDocument/2006/relationships/hyperlink" Target="https://drive.google.com/drive/folders/1X_K1rfboRBqY0tWu7vscI7hGXzSb1Rta?usp=drive_link" TargetMode="External"/><Relationship Id="rId5046" Type="http://schemas.openxmlformats.org/officeDocument/2006/relationships/hyperlink" Target="https://drive.google.com/file/d/1JQnPs4f-hrzKse1tMw5datOgjoTdoIH6/view?usp=sharing" TargetMode="External"/><Relationship Id="rId9667" Type="http://schemas.openxmlformats.org/officeDocument/2006/relationships/hyperlink" Target="https://drive.google.com/drive/folders/1BZ9VaTN5Rl2E9T2iAzzvwzZkdCVgQrhc?usp=drive_link" TargetMode="External"/><Relationship Id="rId8269" Type="http://schemas.openxmlformats.org/officeDocument/2006/relationships/hyperlink" Target="https://drive.google.com/drive/folders/1NepG6XT-FSa8Cs07sX3tPfQWLNpJfAxp" TargetMode="External"/><Relationship Id="rId11597" Type="http://schemas.openxmlformats.org/officeDocument/2006/relationships/hyperlink" Target="https://www.vidio.com/live/6786-champions-tv-3?schedule_id=4832534" TargetMode="External"/><Relationship Id="rId1656" Type="http://schemas.openxmlformats.org/officeDocument/2006/relationships/hyperlink" Target="https://drive.google.com/file/d/191h0Pe76DccAhzjYmrCHK1yHaAkeuXCs/view?usp=drive_link" TargetMode="External"/><Relationship Id="rId2707" Type="http://schemas.openxmlformats.org/officeDocument/2006/relationships/hyperlink" Target="https://drive.google.com/drive/folders/1eCLW1yvTyQhIT6T-wlTx2licA9lxigJG" TargetMode="External"/><Relationship Id="rId10199" Type="http://schemas.openxmlformats.org/officeDocument/2006/relationships/hyperlink" Target="https://drive.google.com/file/d/1lTTzkBS1Ow5WfZCHbX6QuacBQblN6Ajz/view?usp=sharing" TargetMode="External"/><Relationship Id="rId1309" Type="http://schemas.openxmlformats.org/officeDocument/2006/relationships/hyperlink" Target="https://drive.google.com/file/d/1i4ok56rUP8GdFHVVGPJqZr8hMdgz4r4-/view?usp=sharing" TargetMode="External"/><Relationship Id="rId4879" Type="http://schemas.openxmlformats.org/officeDocument/2006/relationships/hyperlink" Target="https://thumbor.prod.vidiocdn.com/viCaY9bq-m2I7me3dhBwOZ5bUGo=/filters:quality(70)/vidio-media-production/uploads/image/source/52810/62d449.png" TargetMode="External"/><Relationship Id="rId8750" Type="http://schemas.openxmlformats.org/officeDocument/2006/relationships/hyperlink" Target="https://drive.google.com/drive/folders/1d6t8lkbvvrd5cZPWWDub0lu5OGdChhHT?usp=sharing" TargetMode="External"/><Relationship Id="rId9801" Type="http://schemas.openxmlformats.org/officeDocument/2006/relationships/hyperlink" Target="https://drive.google.com/file/d/1bGAtWdCSL-v2iZg1GvRoYwXZwXVqVH3x/view" TargetMode="External"/><Relationship Id="rId10680" Type="http://schemas.openxmlformats.org/officeDocument/2006/relationships/hyperlink" Target="https://thumbor.prod.vidiocdn.com/_m2udDxNcAKrDG1iWbRCvy4OkeI=/filters:quality(70)/vidio-media-production/uploads/image/source/52901/d1b200.png" TargetMode="External"/><Relationship Id="rId11731" Type="http://schemas.openxmlformats.org/officeDocument/2006/relationships/hyperlink" Target="https://drive.google.com/drive/folders/1Ty2H_i_qk549qwdTHB8xBRYGJbtv8v5N?usp=drive_link" TargetMode="External"/><Relationship Id="rId15" Type="http://schemas.openxmlformats.org/officeDocument/2006/relationships/hyperlink" Target="https://www.vidio.com/live/6685-champions-tv-1?schedule_id=4096136" TargetMode="External"/><Relationship Id="rId7352" Type="http://schemas.openxmlformats.org/officeDocument/2006/relationships/hyperlink" Target="https://drive.google.com/file/d/1LmJJKDSGqxHQBB4kSEp3Mv8UBXnUp66W/view?usp=sharing" TargetMode="External"/><Relationship Id="rId8403" Type="http://schemas.openxmlformats.org/officeDocument/2006/relationships/hyperlink" Target="https://drive.google.com/drive/folders/10XbCEapK7irmMELsgeJnar-CIA0GLUXc?usp=drive_link" TargetMode="External"/><Relationship Id="rId10333" Type="http://schemas.openxmlformats.org/officeDocument/2006/relationships/hyperlink" Target="https://www.vidio.com/live/18249-hsbc-bwf-world-tour-finals-2025-group-stage-court-1" TargetMode="External"/><Relationship Id="rId7005" Type="http://schemas.openxmlformats.org/officeDocument/2006/relationships/hyperlink" Target="https://www.vidio.com/live/19541-pegadaian-championship-2025-26?schedule_id=4564710" TargetMode="External"/><Relationship Id="rId883" Type="http://schemas.openxmlformats.org/officeDocument/2006/relationships/hyperlink" Target="https://drive.google.com/drive/folders/1ytoPL-DHdJ8n1-d6TQ6rH5T4lg0LTiJ1?usp=drive_link" TargetMode="External"/><Relationship Id="rId2564" Type="http://schemas.openxmlformats.org/officeDocument/2006/relationships/hyperlink" Target="https://drive.google.com/file/d/1plcpF7MsLMTa-DZ8L2wkPlUHIDz27di-/view?usp=drive_link" TargetMode="External"/><Relationship Id="rId3615" Type="http://schemas.openxmlformats.org/officeDocument/2006/relationships/hyperlink" Target="https://www.vidio.com/live/19431-f1h20-sprint-race-f1h2o-2025-grand-prix-of-indonesia?schedule_id=4515962" TargetMode="External"/><Relationship Id="rId3962" Type="http://schemas.openxmlformats.org/officeDocument/2006/relationships/hyperlink" Target="https://www.vidio.com/live/19472?schedule_id=4534252" TargetMode="External"/><Relationship Id="rId9177" Type="http://schemas.openxmlformats.org/officeDocument/2006/relationships/hyperlink" Target="https://www.vidio.com/live/19802-top-youth-premier-league-2025-matchday-10?schedule_id=4709322" TargetMode="External"/><Relationship Id="rId12158" Type="http://schemas.openxmlformats.org/officeDocument/2006/relationships/hyperlink" Target="https://drive.google.com/file/d/17nqJ8YbOWxi4DOQmMA4_VvY1qMuE4tM4/view?usp=drive_link" TargetMode="External"/><Relationship Id="rId536" Type="http://schemas.openxmlformats.org/officeDocument/2006/relationships/hyperlink" Target="https://www.vidio.com/live/9182-champions-tv-5?schedule_id=4653360" TargetMode="External"/><Relationship Id="rId1166" Type="http://schemas.openxmlformats.org/officeDocument/2006/relationships/hyperlink" Target="https://drive.google.com/drive/folders/1MtRjaT1j8C-2JOtrfjpmDE8GTUKyyGzp?usp=drive_link" TargetMode="External"/><Relationship Id="rId2217" Type="http://schemas.openxmlformats.org/officeDocument/2006/relationships/hyperlink" Target="https://drive.google.com/drive/folders/1NH318ZLnn0xlAw0MS39bbVJfZPoq9kdN" TargetMode="External"/><Relationship Id="rId4389" Type="http://schemas.openxmlformats.org/officeDocument/2006/relationships/hyperlink" Target="https://drive.google.com/file/d/1WKTa-jTsrTl4lKO4VR5ql0GoGs3zes9j/view?usp=sharing" TargetMode="External"/><Relationship Id="rId5787" Type="http://schemas.openxmlformats.org/officeDocument/2006/relationships/hyperlink" Target="https://www.vidio.com/live/6317-bein-3?schedule_id=4701938" TargetMode="External"/><Relationship Id="rId6838" Type="http://schemas.openxmlformats.org/officeDocument/2006/relationships/hyperlink" Target="https://drive.google.com/file/d/1k6-ZVZ9PF6qfQCK2SDr-yeLxz802Jnnm/view?usp=drive_link" TargetMode="External"/><Relationship Id="rId8260" Type="http://schemas.openxmlformats.org/officeDocument/2006/relationships/hyperlink" Target="https://drive.google.com/drive/folders/1NepG6XT-FSa8Cs07sX3tPfQWLNpJfAxp" TargetMode="External"/><Relationship Id="rId9311" Type="http://schemas.openxmlformats.org/officeDocument/2006/relationships/hyperlink" Target="https://drive.google.com/file/d/1WSuba3PRatV1VQUCK_6gOUIG4E1HtCEr/view?usp=sharing" TargetMode="External"/><Relationship Id="rId10190" Type="http://schemas.openxmlformats.org/officeDocument/2006/relationships/hyperlink" Target="https://drive.google.com/file/d/1Xlek_-yBt3Xk1m3xUhtcOBeDZWaP2BHC/view?usp=sharing" TargetMode="External"/><Relationship Id="rId11241" Type="http://schemas.openxmlformats.org/officeDocument/2006/relationships/hyperlink" Target="https://drive.google.com/file/d/12Em_-qxoJTB6tZvq9BeDLfvBZ9VpbCb8/view?usp=sharing" TargetMode="External"/><Relationship Id="rId1300" Type="http://schemas.openxmlformats.org/officeDocument/2006/relationships/hyperlink" Target="https://www.vidio.com/live/17938-serie-a?schedule_id=4525579" TargetMode="External"/><Relationship Id="rId4870" Type="http://schemas.openxmlformats.org/officeDocument/2006/relationships/hyperlink" Target="https://thumbor.prod.vidiocdn.com/n9TNyRvh8hkZ_2m2iK2YgSNxNdw=/filters:quality(70)/vidio-media-production/uploads/image/source/52869/c4e855.png" TargetMode="External"/><Relationship Id="rId5921" Type="http://schemas.openxmlformats.org/officeDocument/2006/relationships/hyperlink" Target="https://www.vidio.com/live/19629-uefa-europa-league?schedule_id=4734922" TargetMode="External"/><Relationship Id="rId3472" Type="http://schemas.openxmlformats.org/officeDocument/2006/relationships/hyperlink" Target="https://www.vidio.com/live/6686-champions-tv-2?schedule_id=4564944" TargetMode="External"/><Relationship Id="rId4523" Type="http://schemas.openxmlformats.org/officeDocument/2006/relationships/hyperlink" Target="https://drive.google.com/file/d/10vpd5__Wm2_JQMzq8WwvxM64Kvhua9Qp/view?usp=sharing" TargetMode="External"/><Relationship Id="rId393" Type="http://schemas.openxmlformats.org/officeDocument/2006/relationships/hyperlink" Target="https://drive.google.com/drive/folders/1BBPnciCmEhRmB3Mntys0ga4BRg4OTZki?usp=drive_link" TargetMode="External"/><Relationship Id="rId2074" Type="http://schemas.openxmlformats.org/officeDocument/2006/relationships/hyperlink" Target="https://www.vidio.com/live/19354-bri-super-league?schedule_id=4724844" TargetMode="External"/><Relationship Id="rId3125" Type="http://schemas.openxmlformats.org/officeDocument/2006/relationships/hyperlink" Target="https://drive.google.com/file/d/1sBgdglkHgYI10Tc8IR0ATdTY-V4_recI/view?usp=sharing" TargetMode="External"/><Relationship Id="rId6695" Type="http://schemas.openxmlformats.org/officeDocument/2006/relationships/hyperlink" Target="https://drive.google.com/drive/folders/1RUM3kd_o04HTtbZIN93QxLfzzr_pLCHL?usp=sharing" TargetMode="External"/><Relationship Id="rId7746" Type="http://schemas.openxmlformats.org/officeDocument/2006/relationships/hyperlink" Target="https://drive.google.com/file/d/1Km05YUqzFjwBqXr73xFjp3bo0A5p9979/view?usp=sharing" TargetMode="External"/><Relationship Id="rId5297" Type="http://schemas.openxmlformats.org/officeDocument/2006/relationships/hyperlink" Target="https://drive.google.com/file/d/1r9F2CMf3QXCMvk6KS8-E7SzVQvCEAwjL/view?usp=sharing" TargetMode="External"/><Relationship Id="rId6348" Type="http://schemas.openxmlformats.org/officeDocument/2006/relationships/hyperlink" Target="https://drive.google.com/drive/folders/1_QyyUC0KxsA5I5XnGSR_moWG1pYIaeRU" TargetMode="External"/><Relationship Id="rId10727" Type="http://schemas.openxmlformats.org/officeDocument/2006/relationships/hyperlink" Target="https://drive.google.com/drive/folders/1QESy9g78OHvydlWsKynPLUQopKVtQn5s" TargetMode="External"/><Relationship Id="rId2958" Type="http://schemas.openxmlformats.org/officeDocument/2006/relationships/hyperlink" Target="https://www.vidio.com/live/6299-bein-1?schedule_id=4726812" TargetMode="External"/><Relationship Id="rId4380" Type="http://schemas.openxmlformats.org/officeDocument/2006/relationships/hyperlink" Target="https://drive.google.com/drive/folders/1p-BBE4Q7WYsjaA6zRP-zbxNxOInOSBYU" TargetMode="External"/><Relationship Id="rId5431" Type="http://schemas.openxmlformats.org/officeDocument/2006/relationships/hyperlink" Target="https://www.vidio.com/live/17875-bein-2?schedule_id=4772714" TargetMode="External"/><Relationship Id="rId4033" Type="http://schemas.openxmlformats.org/officeDocument/2006/relationships/hyperlink" Target="https://drive.google.com/drive/folders/1KEbcr6U_ZqEhtv_7d6qSImpjmWPCeGg3?usp=drive_link" TargetMode="External"/><Relationship Id="rId8654" Type="http://schemas.openxmlformats.org/officeDocument/2006/relationships/hyperlink" Target="https://drive.google.com/file/d/16Fth3nlRU0tfPG47SYTH3PREXpH1xFJz/view?usp=sharing" TargetMode="External"/><Relationship Id="rId9705" Type="http://schemas.openxmlformats.org/officeDocument/2006/relationships/hyperlink" Target="https://drive.google.com/drive/folders/1aSbJopQ5lCUURgAXIOXB7tkIej-fON0T" TargetMode="External"/><Relationship Id="rId10584" Type="http://schemas.openxmlformats.org/officeDocument/2006/relationships/hyperlink" Target="https://drive.google.com/file/d/1z_gHdJHDYlwB3jVxSiKSl5O76fsQn3LM/view?usp=sharing" TargetMode="External"/><Relationship Id="rId11982" Type="http://schemas.openxmlformats.org/officeDocument/2006/relationships/hyperlink" Target="https://drive.google.com/drive/folders/1BIsiofA5dOL--wG5BElp-OgK1zGUTHR7" TargetMode="External"/><Relationship Id="rId7256" Type="http://schemas.openxmlformats.org/officeDocument/2006/relationships/hyperlink" Target="https://www.vidio.com/live/19541-pegadaian-championship-2025-26?schedule_id=4652405" TargetMode="External"/><Relationship Id="rId8307" Type="http://schemas.openxmlformats.org/officeDocument/2006/relationships/hyperlink" Target="https://thumbor.prod.vidiocdn.com/l2i1LEj3L-Hg6qY5mjQ34j785K0=/filters:quality(70)/vidio-media-production/uploads/image/source/52159/7715fd.png" TargetMode="External"/><Relationship Id="rId10237" Type="http://schemas.openxmlformats.org/officeDocument/2006/relationships/hyperlink" Target="https://drive.google.com/file/d/14q8W_GnQ1WY8T7PEkKqi7B5OQsptOEM4/view?usp=sharing" TargetMode="External"/><Relationship Id="rId11635" Type="http://schemas.openxmlformats.org/officeDocument/2006/relationships/hyperlink" Target="https://thumbor.prod.vidiocdn.com/7LPXoFte9Pu4gROUuMYHb5dKBew=/filters:quality(70)/vidio-media-production/uploads/image/source/52954/090b59.png" TargetMode="External"/><Relationship Id="rId3866" Type="http://schemas.openxmlformats.org/officeDocument/2006/relationships/hyperlink" Target="https://thumbor.prod.vidiocdn.com/0vByqvYpj4HZMJz9moBso5fCny8=/filters:quality(70)/vidio-media-production/uploads/image/source/52175/99388c.png" TargetMode="External"/><Relationship Id="rId4917" Type="http://schemas.openxmlformats.org/officeDocument/2006/relationships/hyperlink" Target="https://thumbor.prod.vidiocdn.com/V2wKeDTlEK4ztpW5JRE4QioCrjw=/filters:quality(70)/vidio-media-production/uploads/image/source/53024/cfb985.png" TargetMode="External"/><Relationship Id="rId787" Type="http://schemas.openxmlformats.org/officeDocument/2006/relationships/hyperlink" Target="https://drive.google.com/drive/folders/1IZ8sVeHw1CQIf4plGSYbg36lVxcdH8y0" TargetMode="External"/><Relationship Id="rId2468" Type="http://schemas.openxmlformats.org/officeDocument/2006/relationships/hyperlink" Target="https://www.vidio.com/live/6299-bein-1?schedule_id=4577356" TargetMode="External"/><Relationship Id="rId3519" Type="http://schemas.openxmlformats.org/officeDocument/2006/relationships/hyperlink" Target="https://drive.google.com/drive/folders/1i4VK-FHqsMotq_h5NJ4Q3ZyZGs6Kfi4t" TargetMode="External"/><Relationship Id="rId9562" Type="http://schemas.openxmlformats.org/officeDocument/2006/relationships/hyperlink" Target="https://drive.google.com/file/d/1bGAtWdCSL-v2iZg1GvRoYwXZwXVqVH3x/view" TargetMode="External"/><Relationship Id="rId11492" Type="http://schemas.openxmlformats.org/officeDocument/2006/relationships/hyperlink" Target="https://drive.google.com/drive/folders/1N_T-wxA3A0512WL07eRzZZ20mdG7f-NM" TargetMode="External"/><Relationship Id="rId921" Type="http://schemas.openxmlformats.org/officeDocument/2006/relationships/hyperlink" Target="https://drive.google.com/file/d/1irhToL1e9nTropGQd05Ii6UnQA3FHhAt/view?usp=sharing" TargetMode="External"/><Relationship Id="rId1551" Type="http://schemas.openxmlformats.org/officeDocument/2006/relationships/hyperlink" Target="https://drive.google.com/drive/folders/1gkehyjihyyKMCKYsEfWm_cqP5RLcODpt" TargetMode="External"/><Relationship Id="rId2602" Type="http://schemas.openxmlformats.org/officeDocument/2006/relationships/hyperlink" Target="https://drive.google.com/drive/folders/1FRJ5EYNCKwo6K7TXyFQSRPaFlFgBJi2B?usp=drive_link" TargetMode="External"/><Relationship Id="rId8164" Type="http://schemas.openxmlformats.org/officeDocument/2006/relationships/hyperlink" Target="https://drive.google.com/drive/folders/1Ghj3z1_bCmQSKG6Tn4qEhXJLtRq1SxKA" TargetMode="External"/><Relationship Id="rId9215" Type="http://schemas.openxmlformats.org/officeDocument/2006/relationships/hyperlink" Target="https://drive.google.com/file/d/1bGAtWdCSL-v2iZg1GvRoYwXZwXVqVH3x/view?usp=sharing" TargetMode="External"/><Relationship Id="rId10094" Type="http://schemas.openxmlformats.org/officeDocument/2006/relationships/hyperlink" Target="https://drive.google.com/file/d/11XuABBvG4KYgGTdJIVFTAyTUV6CQvprv/view?usp=sharing" TargetMode="External"/><Relationship Id="rId11145" Type="http://schemas.openxmlformats.org/officeDocument/2006/relationships/hyperlink" Target="https://thumbor.prod.vidiocdn.com/Lrk2dYAcIFaXG_h0jwM6kz9JsKc=/filters:quality(70)/vidio-media-production/uploads/image/source/53291/0611ad.png" TargetMode="External"/><Relationship Id="rId1204" Type="http://schemas.openxmlformats.org/officeDocument/2006/relationships/hyperlink" Target="https://thumbor.prod.vidiocdn.com/ft7N7fEBybBbj64vOmXx7XZG7cw=/filters:quality(70)/vidio-media-production/uploads/image/source/52754/b7f555.png" TargetMode="External"/><Relationship Id="rId4774" Type="http://schemas.openxmlformats.org/officeDocument/2006/relationships/hyperlink" Target="https://thumbor.prod.vidiocdn.com/d6OZggQIsfWumok6wemHSUrHHP0=/filters:quality(70)/vidio-media-production/uploads/image/source/52132/341088.png" TargetMode="External"/><Relationship Id="rId5825" Type="http://schemas.openxmlformats.org/officeDocument/2006/relationships/hyperlink" Target="https://drive.google.com/file/d/1DpbBZn3TW_NFMn_q4-qkF1mIGiemXF3q/view?usp=sharing" TargetMode="External"/><Relationship Id="rId3376" Type="http://schemas.openxmlformats.org/officeDocument/2006/relationships/hyperlink" Target="https://drive.google.com/drive/folders/1PFZnkY3szpnJyXdlB7yB3CoNLkrERl3T" TargetMode="External"/><Relationship Id="rId4427" Type="http://schemas.openxmlformats.org/officeDocument/2006/relationships/hyperlink" Target="https://drive.google.com/file/d/1-udjpe9xbX7AqxwX5UnEhlQO60QINuEh/view?usp=sharing" TargetMode="External"/><Relationship Id="rId297" Type="http://schemas.openxmlformats.org/officeDocument/2006/relationships/hyperlink" Target="https://drive.google.com/drive/folders/15hKAJ-hmFsfWnsXCW8XzA0Lg5nQl9F2o?usp=drive_link" TargetMode="External"/><Relationship Id="rId3029" Type="http://schemas.openxmlformats.org/officeDocument/2006/relationships/hyperlink" Target="https://thumbor.prod.vidiocdn.com/uBCfcBodjP6bVFqJI-z_50pBMbg=/filters:quality(70)/vidio-media-production/uploads/image/source/51618/416299.png" TargetMode="External"/><Relationship Id="rId6599" Type="http://schemas.openxmlformats.org/officeDocument/2006/relationships/hyperlink" Target="https://drive.google.com/file/d/1MYduVkYXav-TNHVAm7SSqd9LV1vpKuoe/view?usp=sharing" TargetMode="External"/><Relationship Id="rId7997" Type="http://schemas.openxmlformats.org/officeDocument/2006/relationships/hyperlink" Target="https://drive.google.com/drive/folders/1Sq--DkL3ibHmlzrJwcXDOUmQjw2PP4_e?usp=drive_link" TargetMode="External"/><Relationship Id="rId10978" Type="http://schemas.openxmlformats.org/officeDocument/2006/relationships/hyperlink" Target="https://thumbor.prod.vidiocdn.com/EfQdXY4jPW_Srvr9YxFaLavGpjA=/filters:quality(70)/vidio-media-production/uploads/image/source/53138/84f522.png" TargetMode="External"/><Relationship Id="rId9072" Type="http://schemas.openxmlformats.org/officeDocument/2006/relationships/hyperlink" Target="https://drive.google.com/file/d/1_3Rr6UXp_BtWEgK8Us4zgEl7JB9XS2pf/view?usp=sharing" TargetMode="External"/><Relationship Id="rId3510" Type="http://schemas.openxmlformats.org/officeDocument/2006/relationships/hyperlink" Target="https://drive.google.com/drive/folders/1Gf8rp1ZhIB8bwvt2XtBpsY77lEopUh6y" TargetMode="External"/><Relationship Id="rId12053" Type="http://schemas.openxmlformats.org/officeDocument/2006/relationships/hyperlink" Target="https://drive.google.com/file/d/1khQrXXQF4DXWbEvpQ5PrFElQfRn5_sMl/view?usp=sharing" TargetMode="External"/><Relationship Id="rId431" Type="http://schemas.openxmlformats.org/officeDocument/2006/relationships/hyperlink" Target="https://drive.google.com/file/d/1cUMXmnbQxK9dhL3TrRR2D-kvHte9yuth/view?usp=sharing" TargetMode="External"/><Relationship Id="rId1061" Type="http://schemas.openxmlformats.org/officeDocument/2006/relationships/hyperlink" Target="https://drive.google.com/file/d/1qa5Rrazx5iZn7rshk7pSosHvXo1kVlEE/view?usp=sharing" TargetMode="External"/><Relationship Id="rId2112" Type="http://schemas.openxmlformats.org/officeDocument/2006/relationships/hyperlink" Target="https://drive.google.com/drive/folders/1gCLKym8Niu3tY1xlBbPJwfhZ-ltZiBSX" TargetMode="External"/><Relationship Id="rId5682" Type="http://schemas.openxmlformats.org/officeDocument/2006/relationships/hyperlink" Target="https://drive.google.com/file/d/1MtDT9Keqtz_2NSfiG8wYK4N-hK_eoHd0/view?usp=drive_link" TargetMode="External"/><Relationship Id="rId6733" Type="http://schemas.openxmlformats.org/officeDocument/2006/relationships/hyperlink" Target="https://drive.google.com/file/d/1T6nSai9s2DuLCw2Mw9jX5vxPn20trQy0/view?usp=sharing" TargetMode="External"/><Relationship Id="rId4284" Type="http://schemas.openxmlformats.org/officeDocument/2006/relationships/hyperlink" Target="https://www.vidio.com/live/19404-serie-a?schedule_id=4666172" TargetMode="External"/><Relationship Id="rId5335" Type="http://schemas.openxmlformats.org/officeDocument/2006/relationships/hyperlink" Target="https://drive.google.com/file/d/1ndI1_FQaW4DYtp2rsaQX7JUKqtzwSK-g/view?usp=sharing" TargetMode="External"/><Relationship Id="rId9956" Type="http://schemas.openxmlformats.org/officeDocument/2006/relationships/hyperlink" Target="https://drive.google.com/file/d/1uTH4PjxHPYw6X2Zl7u6z4aBEzY83QXzi/view?usp=sharing" TargetMode="External"/><Relationship Id="rId8558" Type="http://schemas.openxmlformats.org/officeDocument/2006/relationships/hyperlink" Target="https://drive.google.com/file/d/12BQgN3wGer2Ixy-ZbwAWRpkvKdOnfPaG/view?usp=sharing" TargetMode="External"/><Relationship Id="rId9609" Type="http://schemas.openxmlformats.org/officeDocument/2006/relationships/hyperlink" Target="https://drive.google.com/drive/folders/10QiBVfQvVRrt8sA7ye8fYNCDXrrnDTHd" TargetMode="External"/><Relationship Id="rId11886" Type="http://schemas.openxmlformats.org/officeDocument/2006/relationships/hyperlink" Target="https://www.vidio.com/live/18250-petronas-malaysia-open-2026-round-of-32-court-2?schedule_id=4831568" TargetMode="External"/><Relationship Id="rId1945" Type="http://schemas.openxmlformats.org/officeDocument/2006/relationships/hyperlink" Target="https://drive.google.com/file/d/1M_l0ULN9nWoJjHivBgZUgBij6LCklfR_/view?usp=sharing" TargetMode="External"/><Relationship Id="rId10488" Type="http://schemas.openxmlformats.org/officeDocument/2006/relationships/hyperlink" Target="https://www.vidio.com/live/20040-top-youth-premier-league-2025-pekan-ke-13?schedule_id=4766514" TargetMode="External"/><Relationship Id="rId11539" Type="http://schemas.openxmlformats.org/officeDocument/2006/relationships/hyperlink" Target="https://thumbor.prod.vidiocdn.com/pTiSO4pOXYRDGxzXnLHTWwZKoAo=/filters:quality(70)/vidio-media-production/uploads/image/source/53261/ac2244.png" TargetMode="External"/><Relationship Id="rId3020" Type="http://schemas.openxmlformats.org/officeDocument/2006/relationships/hyperlink" Target="https://www.vidio.com/live/6299-bein-1?schedule_id=4736032" TargetMode="External"/><Relationship Id="rId6590" Type="http://schemas.openxmlformats.org/officeDocument/2006/relationships/hyperlink" Target="https://www.vidio.com/live/6317-bein-3?schedule_id=4783085" TargetMode="External"/><Relationship Id="rId7641" Type="http://schemas.openxmlformats.org/officeDocument/2006/relationships/hyperlink" Target="https://drive.google.com/file/d/1xeOGVzhtaQ_Lt-36_MeJtEuBj7uTKtom/view?usp=sharing" TargetMode="External"/><Relationship Id="rId10622" Type="http://schemas.openxmlformats.org/officeDocument/2006/relationships/hyperlink" Target="https://www.vidio.com/live/20066-top-soccer-championship-2025-final-cup-dan-plate-u-14-dan-u-15?schedule_id=4776339" TargetMode="External"/><Relationship Id="rId5192" Type="http://schemas.openxmlformats.org/officeDocument/2006/relationships/hyperlink" Target="https://drive.google.com/file/d/1aLgWdh-xRf7FWWS2ijbZyNw-ntqSN04o/view?usp=sharing" TargetMode="External"/><Relationship Id="rId6243" Type="http://schemas.openxmlformats.org/officeDocument/2006/relationships/hyperlink" Target="https://drive.google.com/file/d/1E0ai6Fg9zUXrjYGFuZKUjpG4t2Smp2n-/view?usp=drive_link" TargetMode="External"/><Relationship Id="rId2853" Type="http://schemas.openxmlformats.org/officeDocument/2006/relationships/hyperlink" Target="https://www.vidio.com/live/6317-bein-3?schedule_id=4704451" TargetMode="External"/><Relationship Id="rId3904" Type="http://schemas.openxmlformats.org/officeDocument/2006/relationships/hyperlink" Target="https://www.vidio.com/live/18389-uefa-europa-league?schedule_id=4525699" TargetMode="External"/><Relationship Id="rId9466" Type="http://schemas.openxmlformats.org/officeDocument/2006/relationships/hyperlink" Target="https://drive.google.com/drive/folders/1_Lx8JzMKbHfIeIAt0b8Q4CwafofySA3e" TargetMode="External"/><Relationship Id="rId11396" Type="http://schemas.openxmlformats.org/officeDocument/2006/relationships/hyperlink" Target="https://drive.google.com/drive/folders/1YIyS3e1CL5Mlm3vAUcyvE-ZfodpxLF6P" TargetMode="External"/><Relationship Id="rId12447" Type="http://schemas.openxmlformats.org/officeDocument/2006/relationships/hyperlink" Target="https://www.vidio.com/live/18249-petronas-malaysia-open-2026-semifinals?schedule_id=4835423" TargetMode="External"/><Relationship Id="rId825" Type="http://schemas.openxmlformats.org/officeDocument/2006/relationships/hyperlink" Target="https://drive.google.com/file/d/14eq4u4K2qCVG2ElxayKjn-d2BhEuiIvX/view?usp=sharing" TargetMode="External"/><Relationship Id="rId1455" Type="http://schemas.openxmlformats.org/officeDocument/2006/relationships/hyperlink" Target="https://drive.google.com/file/d/1t83QmeRNj52f9UmFaTv2Grnf5gkceVWt/view?usp=sharing" TargetMode="External"/><Relationship Id="rId2506" Type="http://schemas.openxmlformats.org/officeDocument/2006/relationships/hyperlink" Target="https://drive.google.com/file/d/1VCGkYcOM1DR3EzS0LvUvMtdKqaRHSo2B/view?usp=sharing" TargetMode="External"/><Relationship Id="rId8068" Type="http://schemas.openxmlformats.org/officeDocument/2006/relationships/hyperlink" Target="https://drive.google.com/drive/folders/10kjndzNuhAMWdTMs_l_jk8B84L4z3b2d?usp=drive_link" TargetMode="External"/><Relationship Id="rId9119" Type="http://schemas.openxmlformats.org/officeDocument/2006/relationships/hyperlink" Target="https://drive.google.com/file/d/1ewduFNERJIKNE9VuQFV-JRMes7od2zmE/view?usp=sharing" TargetMode="External"/><Relationship Id="rId11049" Type="http://schemas.openxmlformats.org/officeDocument/2006/relationships/hyperlink" Target="https://thumbor.prod.vidiocdn.com/ImU1WDContBIuUyBWkI4yz0n2Hg=/filters:quality(70)/vidio-media-production/uploads/image/source/53193/57642e.png" TargetMode="External"/><Relationship Id="rId1108" Type="http://schemas.openxmlformats.org/officeDocument/2006/relationships/hyperlink" Target="https://www.vidio.com/live/9182-champions-tv-5?schedule_id=4794245" TargetMode="External"/><Relationship Id="rId4678" Type="http://schemas.openxmlformats.org/officeDocument/2006/relationships/hyperlink" Target="https://drive.google.com/file/d/1JRQ0nlPrkL1sBreSPGNJ1_Jjfu5-fBLr/view?usp=sharing" TargetMode="External"/><Relationship Id="rId5729" Type="http://schemas.openxmlformats.org/officeDocument/2006/relationships/hyperlink" Target="https://drive.google.com/file/d/1v15LJb0L7pNXq4NzA8ELViPaYYWF8Jh5/view?usp=drive_link" TargetMode="External"/><Relationship Id="rId7151" Type="http://schemas.openxmlformats.org/officeDocument/2006/relationships/hyperlink" Target="https://drive.google.com/file/d/14TScaKrBW_2nVwXotdbIU5ynfXckeplf/view?usp=sharing" TargetMode="External"/><Relationship Id="rId8202" Type="http://schemas.openxmlformats.org/officeDocument/2006/relationships/hyperlink" Target="https://drive.google.com/drive/folders/17h9E1YSlek_VE2jCF7NGWNJzJHz_PqyO" TargetMode="External"/><Relationship Id="rId9600" Type="http://schemas.openxmlformats.org/officeDocument/2006/relationships/hyperlink" Target="https://www.vidio.com/live/19388-rws-muay-thai-2025?schedule_id=4739855" TargetMode="External"/><Relationship Id="rId11530" Type="http://schemas.openxmlformats.org/officeDocument/2006/relationships/hyperlink" Target="https://drive.google.com/file/d/1WHdSA18PUnQ8ystZ3wEpJtDjFIhyjMG2/view?usp=sharing" TargetMode="External"/><Relationship Id="rId10132" Type="http://schemas.openxmlformats.org/officeDocument/2006/relationships/hyperlink" Target="https://www.vidio.com/live/19998?schedule_id=4743094" TargetMode="External"/><Relationship Id="rId3761" Type="http://schemas.openxmlformats.org/officeDocument/2006/relationships/hyperlink" Target="https://drive.google.com/file/d/1K9tnEhOHv3ccBeL0YKfP8k_QklTNDXXr/view?usp=drive_link" TargetMode="External"/><Relationship Id="rId4812" Type="http://schemas.openxmlformats.org/officeDocument/2006/relationships/hyperlink" Target="https://www.vidio.com/live/17938-serie-a?schedule_id=4803378" TargetMode="External"/><Relationship Id="rId682" Type="http://schemas.openxmlformats.org/officeDocument/2006/relationships/hyperlink" Target="https://drive.google.com/file/d/1o-GiI7z7ZSan6-80KnBDVTmhIwYhtOe5/view?usp=sharing" TargetMode="External"/><Relationship Id="rId2363" Type="http://schemas.openxmlformats.org/officeDocument/2006/relationships/hyperlink" Target="https://drive.google.com/drive/folders/1jTpCxrE8bgpjQYW1oUGksG0BEWGOqt2M?usp=drive_link" TargetMode="External"/><Relationship Id="rId3414" Type="http://schemas.openxmlformats.org/officeDocument/2006/relationships/hyperlink" Target="https://drive.google.com/file/d/1MBWzAUq-lOqGeyi73ZuF_GBHizUemFZ0/view?usp=sharing" TargetMode="External"/><Relationship Id="rId6984" Type="http://schemas.openxmlformats.org/officeDocument/2006/relationships/hyperlink" Target="https://drive.google.com/file/d/1tQG8WGIY5rvSXTMzC0aRM4XITa1koEC7/view?usp=sharing" TargetMode="External"/><Relationship Id="rId335" Type="http://schemas.openxmlformats.org/officeDocument/2006/relationships/hyperlink" Target="https://drive.google.com/file/d/1mrw19AfgUFYHimcmd2ZLuUHVIklhC2Lv/view?usp=sharing" TargetMode="External"/><Relationship Id="rId2016" Type="http://schemas.openxmlformats.org/officeDocument/2006/relationships/hyperlink" Target="https://drive.google.com/drive/folders/1FgQomkPL3aq477Uy9GxWKenK60sBgbi9" TargetMode="External"/><Relationship Id="rId5586" Type="http://schemas.openxmlformats.org/officeDocument/2006/relationships/hyperlink" Target="https://drive.google.com/file/d/1oQOyRAFwx0eAAHrLkJUYIVQW-SyfUi_h/view?usp=drive_link" TargetMode="External"/><Relationship Id="rId6637" Type="http://schemas.openxmlformats.org/officeDocument/2006/relationships/hyperlink" Target="https://www.vidio.com/live/19642-uefa-conference-league?schedule_id=4783289" TargetMode="External"/><Relationship Id="rId4188" Type="http://schemas.openxmlformats.org/officeDocument/2006/relationships/hyperlink" Target="https://drive.google.com/file/d/1Mgq758fZdEOvgsVTws9rsEMvO3IZqubL/view?usp=sharing" TargetMode="External"/><Relationship Id="rId5239" Type="http://schemas.openxmlformats.org/officeDocument/2006/relationships/hyperlink" Target="https://drive.google.com/drive/folders/1iJL7uYyHfQ7cX_r1ZaclzppyhtJfMQjs" TargetMode="External"/><Relationship Id="rId9110" Type="http://schemas.openxmlformats.org/officeDocument/2006/relationships/hyperlink" Target="https://www.vidio.com/live/19753-carabao-cup-2025-26?schedule_id=4779494" TargetMode="External"/><Relationship Id="rId11040" Type="http://schemas.openxmlformats.org/officeDocument/2006/relationships/hyperlink" Target="https://drive.google.com/file/d/1HPcjJA4Ev1L_HDOV0Yuf_5hlF9UW9mWR/view?usp=sharing" TargetMode="External"/><Relationship Id="rId1849" Type="http://schemas.openxmlformats.org/officeDocument/2006/relationships/hyperlink" Target="https://drive.google.com/file/d/1dQI4IfMzerzWJxUzAhfnA1bzhDlmryle/view?usp=drive_link" TargetMode="External"/><Relationship Id="rId5720" Type="http://schemas.openxmlformats.org/officeDocument/2006/relationships/hyperlink" Target="https://www.vidio.com/live/19603-uefa-europa-league?schedule_id=4664106" TargetMode="External"/><Relationship Id="rId192" Type="http://schemas.openxmlformats.org/officeDocument/2006/relationships/hyperlink" Target="https://drive.google.com/drive/folders/1E-SiChHX8IFkkAWfrdcoH1SwbCWsIC_8?usp=drive_link" TargetMode="External"/><Relationship Id="rId3271" Type="http://schemas.openxmlformats.org/officeDocument/2006/relationships/hyperlink" Target="https://www.vidio.com/live/6299-bein-1?schedule_id=4835442" TargetMode="External"/><Relationship Id="rId4322" Type="http://schemas.openxmlformats.org/officeDocument/2006/relationships/hyperlink" Target="https://drive.google.com/drive/folders/1lBlXFBl4TqP2MeqFN3Wx1uc1mDYkLzFG?usp=drive_link" TargetMode="External"/><Relationship Id="rId7892" Type="http://schemas.openxmlformats.org/officeDocument/2006/relationships/hyperlink" Target="https://drive.google.com/drive/folders/1Gc50YcT3XoL2yLJFeenjy9ruXrCQZQFU?usp=sharing" TargetMode="External"/><Relationship Id="rId8943" Type="http://schemas.openxmlformats.org/officeDocument/2006/relationships/hyperlink" Target="https://drive.google.com/drive/folders/1SayAI8jKYh6OFTEGNDl7fAElJvI2t2fq" TargetMode="External"/><Relationship Id="rId10873" Type="http://schemas.openxmlformats.org/officeDocument/2006/relationships/hyperlink" Target="https://drive.google.com/file/d/1pAgKr6kaIzEUwE0dwkzPh-b2u_H2ZUA9/view?usp=sharing" TargetMode="External"/><Relationship Id="rId6494" Type="http://schemas.openxmlformats.org/officeDocument/2006/relationships/hyperlink" Target="https://www.vidio.com/live/19643-uefa-conference-league?schedule_id=4771649" TargetMode="External"/><Relationship Id="rId7545" Type="http://schemas.openxmlformats.org/officeDocument/2006/relationships/hyperlink" Target="https://drive.google.com/drive/folders/191A7-eHDgaE6RSSz30ywmOQK-XIZXgpQ?usp=sharing" TargetMode="External"/><Relationship Id="rId10526" Type="http://schemas.openxmlformats.org/officeDocument/2006/relationships/hyperlink" Target="https://drive.google.com/drive/folders/1NpYPVghbYDmnUJ-7SLm0eJdcrDWdi7mG?usp=drive_link" TargetMode="External"/><Relationship Id="rId11924" Type="http://schemas.openxmlformats.org/officeDocument/2006/relationships/hyperlink" Target="https://drive.google.com/file/d/1I2QL-h1CAeZERs7B5O4XbiSnpFeGO68R/view?usp=sharing" TargetMode="External"/><Relationship Id="rId5096" Type="http://schemas.openxmlformats.org/officeDocument/2006/relationships/hyperlink" Target="https://drive.google.com/drive/folders/1iXXXI8AUN2qzP-l9i7Vb4Z_ch9sn0od-" TargetMode="External"/><Relationship Id="rId6147" Type="http://schemas.openxmlformats.org/officeDocument/2006/relationships/hyperlink" Target="https://drive.google.com/drive/folders/1z0QSLmNvSJyyT8FLEYRkw6ibg9dSBAVC" TargetMode="External"/><Relationship Id="rId729" Type="http://schemas.openxmlformats.org/officeDocument/2006/relationships/hyperlink" Target="https://drive.google.com/file/d/1wQNvSyd1FbTfOYfhsWposeu4RU0C5zhe/view?usp=sharing" TargetMode="External"/><Relationship Id="rId1359" Type="http://schemas.openxmlformats.org/officeDocument/2006/relationships/hyperlink" Target="https://drive.google.com/drive/folders/1dkfMd29viVkPAfN_P5aVCebPfON31IJE?usp=drive_link" TargetMode="External"/><Relationship Id="rId2757" Type="http://schemas.openxmlformats.org/officeDocument/2006/relationships/hyperlink" Target="https://www.vidio.com/live/6317-bein-3?schedule_id=4671771" TargetMode="External"/><Relationship Id="rId3808" Type="http://schemas.openxmlformats.org/officeDocument/2006/relationships/hyperlink" Target="https://drive.google.com/drive/folders/1vwtkGbKtDgksbkNqQMOTrMoYYregjUqi?usp=sharing" TargetMode="External"/><Relationship Id="rId5230" Type="http://schemas.openxmlformats.org/officeDocument/2006/relationships/hyperlink" Target="https://drive.google.com/file/d/1995mi2K5sN4MOpMXLsKZxgLPKqhQlABd/view?usp=sharing" TargetMode="External"/><Relationship Id="rId9851" Type="http://schemas.openxmlformats.org/officeDocument/2006/relationships/hyperlink" Target="https://www.vidio.com/live/19921-top-soccer-championship-2025-u-13-u-14?schedule_id=4731892" TargetMode="External"/><Relationship Id="rId11781" Type="http://schemas.openxmlformats.org/officeDocument/2006/relationships/hyperlink" Target="https://drive.google.com/file/d/17nxrAYVinKABCZvFEYcOqzA9CwTs_JDy/view?usp=sharing" TargetMode="External"/><Relationship Id="rId65" Type="http://schemas.openxmlformats.org/officeDocument/2006/relationships/hyperlink" Target="https://drive.google.com/file/d/1bHEgxGBbB61iigDHs169VK_7U8ocq52g/view?usp=sharing" TargetMode="External"/><Relationship Id="rId1840" Type="http://schemas.openxmlformats.org/officeDocument/2006/relationships/hyperlink" Target="https://drive.google.com/drive/folders/1aexzNkyl8QGtRGJz1_l8iR7bOKhXX5tg" TargetMode="External"/><Relationship Id="rId8453" Type="http://schemas.openxmlformats.org/officeDocument/2006/relationships/hyperlink" Target="https://www.vidio.com/live/6685-champions-tv-1?schedule_id=4734874" TargetMode="External"/><Relationship Id="rId9504" Type="http://schemas.openxmlformats.org/officeDocument/2006/relationships/hyperlink" Target="https://drive.google.com/file/d/1lVg4xyy548LCH1pUOnc7HVAPXCXRpwod/view?usp=sharing" TargetMode="External"/><Relationship Id="rId10383" Type="http://schemas.openxmlformats.org/officeDocument/2006/relationships/hyperlink" Target="https://drive.google.com/file/d/1rQg_5jK3iIPt0Tis_2Biged_kY4d6lFT/view?usp=sharing" TargetMode="External"/><Relationship Id="rId11434" Type="http://schemas.openxmlformats.org/officeDocument/2006/relationships/hyperlink" Target="https://drive.google.com/drive/folders/1I-igJ0NWO5Sx5GCoAvrfPihncx24LqWP" TargetMode="External"/><Relationship Id="rId7055" Type="http://schemas.openxmlformats.org/officeDocument/2006/relationships/hyperlink" Target="https://drive.google.com/file/d/18iJxt-tQiuvkMFmlcfpZ-c0fl4RV9Txs/view?usp=sharing" TargetMode="External"/><Relationship Id="rId8106" Type="http://schemas.openxmlformats.org/officeDocument/2006/relationships/hyperlink" Target="https://drive.google.com/file/d/1-Ej3E9b1pCoJvFA-l5ooluSBPgu51NYI/view?usp=drive_link" TargetMode="External"/><Relationship Id="rId10036" Type="http://schemas.openxmlformats.org/officeDocument/2006/relationships/hyperlink" Target="https://thumbor.prod.vidiocdn.com/-VPHzRBp-Qa6qlTV5CpFFKlFKsU=/filters:quality(70)/vidio-media-production/uploads/image/source/52659/1aafee.png" TargetMode="External"/><Relationship Id="rId3665" Type="http://schemas.openxmlformats.org/officeDocument/2006/relationships/hyperlink" Target="https://drive.google.com/drive/folders/1Xsfj9wdolubrfupXnR-zi5g7d6sJXT_c?usp=drive_link" TargetMode="External"/><Relationship Id="rId4716" Type="http://schemas.openxmlformats.org/officeDocument/2006/relationships/hyperlink" Target="https://thumbor.prod.vidiocdn.com/XILMdCNL_t4jixFR8Z6rtHEOvzg=/filters:quality(70)/vidio-media-production/uploads/image/source/51913/cc5a8a.png" TargetMode="External"/><Relationship Id="rId586" Type="http://schemas.openxmlformats.org/officeDocument/2006/relationships/hyperlink" Target="https://drive.google.com/file/d/1SZy5iPAY__ICRPHkSPtVpTH-wGDLVcVK/view?usp=sharing" TargetMode="External"/><Relationship Id="rId2267" Type="http://schemas.openxmlformats.org/officeDocument/2006/relationships/hyperlink" Target="https://drive.google.com/file/d/1UKG05xvCjcO_KnYVoR7v7c4sf67jGCuo/view?usp=sharing" TargetMode="External"/><Relationship Id="rId3318" Type="http://schemas.openxmlformats.org/officeDocument/2006/relationships/hyperlink" Target="https://www.vidio.com/live/19383-bri-super-league?schedule_id=4501326" TargetMode="External"/><Relationship Id="rId6888" Type="http://schemas.openxmlformats.org/officeDocument/2006/relationships/hyperlink" Target="https://drive.google.com/drive/folders/1pIiGBVB0aQSg7Jmsng_SGI-CO86HttUy?usp=drive_link" TargetMode="External"/><Relationship Id="rId239" Type="http://schemas.openxmlformats.org/officeDocument/2006/relationships/hyperlink" Target="https://drive.google.com/drive/folders/1JOdXqN8t9EP8itZ_Jn4FVUNJQsC-zB6V" TargetMode="External"/><Relationship Id="rId7939" Type="http://schemas.openxmlformats.org/officeDocument/2006/relationships/hyperlink" Target="https://www.vidio.com/live/19548-national-football-league-2025-26?schedule_id=4650060" TargetMode="External"/><Relationship Id="rId9361" Type="http://schemas.openxmlformats.org/officeDocument/2006/relationships/hyperlink" Target="https://drive.google.com/file/d/1Zow_LyvGYP_Qi0fob5yMRaxvcaxKPO4w/view?usp=sharing" TargetMode="External"/><Relationship Id="rId9014" Type="http://schemas.openxmlformats.org/officeDocument/2006/relationships/hyperlink" Target="https://www.vidio.com/live/19355-bri-super-league?schedule_id=4772129" TargetMode="External"/><Relationship Id="rId11291" Type="http://schemas.openxmlformats.org/officeDocument/2006/relationships/hyperlink" Target="https://www.vidio.com/live/19354-bri-super-league?schedule_id=4827312" TargetMode="External"/><Relationship Id="rId12342" Type="http://schemas.openxmlformats.org/officeDocument/2006/relationships/hyperlink" Target="https://drive.google.com/file/d/17nqJ8YbOWxi4DOQmMA4_VvY1qMuE4tM4/view?usp=sharing" TargetMode="External"/><Relationship Id="rId720" Type="http://schemas.openxmlformats.org/officeDocument/2006/relationships/hyperlink" Target="https://www.vidio.com/live/19375-premier-league?schedule_id=4726328" TargetMode="External"/><Relationship Id="rId1350" Type="http://schemas.openxmlformats.org/officeDocument/2006/relationships/hyperlink" Target="https://drive.google.com/file/d/19YDy0DcxgvVHJ41CjbkNi510DegUbdjZ/view?usp=sharing" TargetMode="External"/><Relationship Id="rId2401" Type="http://schemas.openxmlformats.org/officeDocument/2006/relationships/hyperlink" Target="https://drive.google.com/file/d/1uZOMNOzYdpIKt98_NjvN2MPwu4_oyKQt/view?usp=sharing" TargetMode="External"/><Relationship Id="rId5971" Type="http://schemas.openxmlformats.org/officeDocument/2006/relationships/hyperlink" Target="https://drive.google.com/drive/folders/1o7FbkO8NZ9ypQcW5bsFRnr9W866noATd?usp=drive_link" TargetMode="External"/><Relationship Id="rId1003" Type="http://schemas.openxmlformats.org/officeDocument/2006/relationships/hyperlink" Target="https://drive.google.com/drive/folders/1dzZxd3nRN3_13lJxNVXdenR3Gc_tynjP?usp=drive_link" TargetMode="External"/><Relationship Id="rId4573" Type="http://schemas.openxmlformats.org/officeDocument/2006/relationships/hyperlink" Target="https://drive.google.com/drive/folders/145IhwfqlcpfOLrMqkCkNQ3_RVW4boDzF?usp=drive_link" TargetMode="External"/><Relationship Id="rId5624" Type="http://schemas.openxmlformats.org/officeDocument/2006/relationships/hyperlink" Target="https://drive.google.com/drive/folders/1oQECPeOMDNNW8eVS9M1zdKCMY8HRZSJ0?usp=drive_link" TargetMode="External"/><Relationship Id="rId3175" Type="http://schemas.openxmlformats.org/officeDocument/2006/relationships/hyperlink" Target="https://thumbor.prod.vidiocdn.com/VI3wO3bbdtZnwC0YvJTFhkQKaU4=/filters:quality(70)/vidio-media-production/uploads/image/source/52279/f4983f.png" TargetMode="External"/><Relationship Id="rId4226" Type="http://schemas.openxmlformats.org/officeDocument/2006/relationships/hyperlink" Target="https://drive.google.com/drive/folders/11myLPJ3T5eW-48mUUsjsnY6zm_uUPyon?usp=drive_link" TargetMode="External"/><Relationship Id="rId7796" Type="http://schemas.openxmlformats.org/officeDocument/2006/relationships/hyperlink" Target="https://drive.google.com/file/d/1mUg_nRYNoMvebnX4C6NEC-YPpJQQtnRT/view?usp=drive_link" TargetMode="External"/><Relationship Id="rId8847" Type="http://schemas.openxmlformats.org/officeDocument/2006/relationships/hyperlink" Target="https://thumbor.prod.vidiocdn.com/Kc08rLDv1fOi65RnWtgR-KnMcqE=/filters:quality(70)/vidio-media-production/uploads/image/source/51901/3ab3f9.png" TargetMode="External"/><Relationship Id="rId6398" Type="http://schemas.openxmlformats.org/officeDocument/2006/relationships/hyperlink" Target="https://drive.google.com/drive/folders/1F9lLmIvT4-3oh_Jbh-sne-zsyB6ey7v0" TargetMode="External"/><Relationship Id="rId7449" Type="http://schemas.openxmlformats.org/officeDocument/2006/relationships/hyperlink" Target="https://drive.google.com/file/d/1DNux4glLBnqI-DzUHKvsJVIQIe0fQ_QF/view?usp=sharing" TargetMode="External"/><Relationship Id="rId10777" Type="http://schemas.openxmlformats.org/officeDocument/2006/relationships/hyperlink" Target="https://drive.google.com/file/d/1gPw46VJhKmf2fl5eVkuiHohrgUxkGWyV/view?usp=sharing" TargetMode="External"/><Relationship Id="rId11828" Type="http://schemas.openxmlformats.org/officeDocument/2006/relationships/hyperlink" Target="https://drive.google.com/file/d/1RvpVSYEuxwkTup3qpzOCOplWtOxx9WK3/view?usp=sharing" TargetMode="External"/><Relationship Id="rId230" Type="http://schemas.openxmlformats.org/officeDocument/2006/relationships/hyperlink" Target="https://drive.google.com/file/d/1j2RRrwFgql_T_kzlAQrYOcKiLvpxHUk0/view?usp=drive_link" TargetMode="External"/><Relationship Id="rId7930" Type="http://schemas.openxmlformats.org/officeDocument/2006/relationships/hyperlink" Target="https://drive.google.com/file/d/1G5_2ZMy3L2ctR-RRSn2WA76V8ozU2u2u/view?usp=sharing" TargetMode="External"/><Relationship Id="rId10911" Type="http://schemas.openxmlformats.org/officeDocument/2006/relationships/hyperlink" Target="https://drive.google.com/drive/folders/1B_CpyZmnmZlHkjOa4CyokY-4DC1T2lX4" TargetMode="External"/><Relationship Id="rId4083" Type="http://schemas.openxmlformats.org/officeDocument/2006/relationships/hyperlink" Target="https://drive.google.com/file/d/1iTy-LsR0yBqEzeGMRq8cDZhlAHJJNCix/view?usp=sharing" TargetMode="External"/><Relationship Id="rId5481" Type="http://schemas.openxmlformats.org/officeDocument/2006/relationships/hyperlink" Target="https://drive.google.com/file/d/1MG9pelY7r2MPc9ALI0P-onbCUkElDLh8/view?usp=sharing" TargetMode="External"/><Relationship Id="rId6532" Type="http://schemas.openxmlformats.org/officeDocument/2006/relationships/hyperlink" Target="https://drive.google.com/file/d/1kbQpgzIxX6a6oFtAdhQN9sQ_EBWXTcpt/view?usp=drive_link" TargetMode="External"/><Relationship Id="rId5134" Type="http://schemas.openxmlformats.org/officeDocument/2006/relationships/hyperlink" Target="https://www.vidio.com/live/18302-uefa-champions-league?schedule_id=4663722" TargetMode="External"/><Relationship Id="rId9755" Type="http://schemas.openxmlformats.org/officeDocument/2006/relationships/hyperlink" Target="https://thumbor.prod.vidiocdn.com/4gpn1ni-h0DndLk44hV0yO9E_Uo=/filters:quality(70)/vidio-media-production/uploads/image/source/51591/cb9b30.png" TargetMode="External"/><Relationship Id="rId11685" Type="http://schemas.openxmlformats.org/officeDocument/2006/relationships/hyperlink" Target="https://drive.google.com/file/d/1Aq9aE1cqm9Lqdx5IDlidmlPdvC39MnmO/view?usp=sharing" TargetMode="External"/><Relationship Id="rId1744" Type="http://schemas.openxmlformats.org/officeDocument/2006/relationships/hyperlink" Target="https://drive.google.com/drive/folders/1vITpYa6owELhcaMUXLReRZ0syKZF3i6S" TargetMode="External"/><Relationship Id="rId8357" Type="http://schemas.openxmlformats.org/officeDocument/2006/relationships/hyperlink" Target="https://drive.google.com/file/d/11-G97DOB7ps97qpHQMhCo1LWo1mP8gFX/view?usp=drive_link" TargetMode="External"/><Relationship Id="rId9408" Type="http://schemas.openxmlformats.org/officeDocument/2006/relationships/hyperlink" Target="https://thumbor.prod.vidiocdn.com/CiMPuGPvsjq_RMFr1IzUoY7dAYs=/filters:quality(70)/vidio-media-production/uploads/image/source/52972/2f9e6c.png" TargetMode="External"/><Relationship Id="rId10287" Type="http://schemas.openxmlformats.org/officeDocument/2006/relationships/hyperlink" Target="https://drive.google.com/file/d/10ntiR3itPNlC3Ey4hBsbxms1fV99JqMc/view?usp=sharing" TargetMode="External"/><Relationship Id="rId11338" Type="http://schemas.openxmlformats.org/officeDocument/2006/relationships/hyperlink" Target="https://drive.google.com/file/d/1MDTK-zh0WhiqcOfOLIpBD6WR5aQGyf-Z/view?usp=sharing" TargetMode="External"/><Relationship Id="rId4967" Type="http://schemas.openxmlformats.org/officeDocument/2006/relationships/hyperlink" Target="https://www.vidio.com/live/18304-uefa-champions-league?schedule_id=4569284" TargetMode="External"/><Relationship Id="rId3569" Type="http://schemas.openxmlformats.org/officeDocument/2006/relationships/hyperlink" Target="https://thumbor.prod.vidiocdn.com/w4jVV5pMhu34dM9en1B0cp39nDY=/filters:quality(70)/vidio-media-production/uploads/image/source/52019/e55fc6.png" TargetMode="External"/><Relationship Id="rId7440" Type="http://schemas.openxmlformats.org/officeDocument/2006/relationships/hyperlink" Target="https://drive.google.com/file/d/1MdwEgh4cqI-S-9ZE0Lerrl4yGyIfYAnb/view?usp=sharing" TargetMode="External"/><Relationship Id="rId6042" Type="http://schemas.openxmlformats.org/officeDocument/2006/relationships/hyperlink" Target="https://drive.google.com/file/d/1EVIZnJo93y9nN0UB4D81MBXBnzKj-JX8/view?usp=sharing" TargetMode="External"/><Relationship Id="rId10421" Type="http://schemas.openxmlformats.org/officeDocument/2006/relationships/hyperlink" Target="https://www.vidio.com/live/18189-champions-golf-1?schedule_id=4773813" TargetMode="External"/><Relationship Id="rId971" Type="http://schemas.openxmlformats.org/officeDocument/2006/relationships/hyperlink" Target="https://drive.google.com/file/d/1fQhzOBlvqmL5WY9aLRFWfTyPUaccbRng/view?usp=sharing" TargetMode="External"/><Relationship Id="rId2652" Type="http://schemas.openxmlformats.org/officeDocument/2006/relationships/hyperlink" Target="https://drive.google.com/drive/folders/1YD9WuJVeK114lO9UuRHuqQtnmc99ULu2?usp=drive_link" TargetMode="External"/><Relationship Id="rId3703" Type="http://schemas.openxmlformats.org/officeDocument/2006/relationships/hyperlink" Target="https://www.vidio.com/live/17875-bein-2?schedule_id=4506544" TargetMode="External"/><Relationship Id="rId9265" Type="http://schemas.openxmlformats.org/officeDocument/2006/relationships/hyperlink" Target="https://drive.google.com/file/d/1bGAtWdCSL-v2iZg1GvRoYwXZwXVqVH3x/view?usp=drive_link" TargetMode="External"/><Relationship Id="rId11195" Type="http://schemas.openxmlformats.org/officeDocument/2006/relationships/hyperlink" Target="https://drive.google.com/drive/folders/10p0361tp8EE62w4qfBku53TvwybfWsjx" TargetMode="External"/><Relationship Id="rId12246" Type="http://schemas.openxmlformats.org/officeDocument/2006/relationships/hyperlink" Target="https://drive.google.com/file/d/17nqJ8YbOWxi4DOQmMA4_VvY1qMuE4tM4/view?usp=sharing" TargetMode="External"/><Relationship Id="rId624" Type="http://schemas.openxmlformats.org/officeDocument/2006/relationships/hyperlink" Target="https://www.vidio.com/live/9182-champions-tv-5?schedule_id=4678872" TargetMode="External"/><Relationship Id="rId1254" Type="http://schemas.openxmlformats.org/officeDocument/2006/relationships/hyperlink" Target="https://thumbor.prod.vidiocdn.com/_p19equFx5IAJEYL1p9UculCBHE=/filters:quality(70)/vidio-media-production/uploads/image/source/52841/4203aa.png" TargetMode="External"/><Relationship Id="rId2305" Type="http://schemas.openxmlformats.org/officeDocument/2006/relationships/hyperlink" Target="https://drive.google.com/drive/folders/1Pm5Jgmxh-aKl9hR8HYKc-wSUtGQ6816G?usp=drive_link" TargetMode="External"/><Relationship Id="rId5875" Type="http://schemas.openxmlformats.org/officeDocument/2006/relationships/hyperlink" Target="https://drive.google.com/file/d/1PD4Y4v4XTpcC_QPcol9aTFh9Dog2nv_k/view?usp=sharing" TargetMode="External"/><Relationship Id="rId6926" Type="http://schemas.openxmlformats.org/officeDocument/2006/relationships/hyperlink" Target="https://drive.google.com/file/d/1BvhA8CuUKJx6V6KSQcWFv7qq8lMR-EK_/view?usp=drive_link" TargetMode="External"/><Relationship Id="rId4477" Type="http://schemas.openxmlformats.org/officeDocument/2006/relationships/hyperlink" Target="https://drive.google.com/file/d/1O8t7Y4_D51gZOX4jCvbzMcU22-a5egac/view?usp=sharing" TargetMode="External"/><Relationship Id="rId5528" Type="http://schemas.openxmlformats.org/officeDocument/2006/relationships/hyperlink" Target="https://drive.google.com/drive/folders/1fNzMPGB7eRXrcTZ68eJ3s5lctySZJ7cG?usp=drive_link" TargetMode="External"/><Relationship Id="rId3079" Type="http://schemas.openxmlformats.org/officeDocument/2006/relationships/hyperlink" Target="https://drive.google.com/file/d/1F6uXTmr6YqHGd1vpzuEahSz8VtBLHJs8/view?usp=sharing" TargetMode="External"/><Relationship Id="rId8001" Type="http://schemas.openxmlformats.org/officeDocument/2006/relationships/hyperlink" Target="https://drive.google.com/drive/folders/1ZhY5utG1t0XsUFCROM2UExrColHjQy86?usp=drive_link" TargetMode="External"/><Relationship Id="rId481" Type="http://schemas.openxmlformats.org/officeDocument/2006/relationships/hyperlink" Target="https://drive.google.com/file/d/1jPqEsdoaVjcOocS2fZxiZC_PGoGk2CHt/view?usp=sharing" TargetMode="External"/><Relationship Id="rId2162" Type="http://schemas.openxmlformats.org/officeDocument/2006/relationships/hyperlink" Target="https://thumbor.prod.vidiocdn.com/teIuc_r9oS2DjPRAbOJXj-PS54s=/filters:quality(70)/vidio-media-production/uploads/image/source/52304/1304eb.png" TargetMode="External"/><Relationship Id="rId3560" Type="http://schemas.openxmlformats.org/officeDocument/2006/relationships/hyperlink" Target="https://www.vidio.com/live/18739-liga-portugal?schedule_id=4779534" TargetMode="External"/><Relationship Id="rId4611" Type="http://schemas.openxmlformats.org/officeDocument/2006/relationships/hyperlink" Target="https://www.vidio.com/live/19404-serie-a?schedule_id=4760846" TargetMode="External"/><Relationship Id="rId134" Type="http://schemas.openxmlformats.org/officeDocument/2006/relationships/hyperlink" Target="https://drive.google.com/file/d/1jmFqevS0wq7xl_4fLOPbDsByOoXtxoDl/view?usp=drive_link" TargetMode="External"/><Relationship Id="rId3213" Type="http://schemas.openxmlformats.org/officeDocument/2006/relationships/hyperlink" Target="https://www.vidio.com/live/6299-bein-1?schedule_id=4827324" TargetMode="External"/><Relationship Id="rId6783" Type="http://schemas.openxmlformats.org/officeDocument/2006/relationships/hyperlink" Target="https://www.vidio.com/live/19519?schedule_id=4553311" TargetMode="External"/><Relationship Id="rId7834" Type="http://schemas.openxmlformats.org/officeDocument/2006/relationships/hyperlink" Target="https://drive.google.com/drive/folders/1R3smfkL3mfIkj3XV9D-o1UdeUhCD13Pd" TargetMode="External"/><Relationship Id="rId10815" Type="http://schemas.openxmlformats.org/officeDocument/2006/relationships/hyperlink" Target="https://drive.google.com/drive/folders/1Ds-OhdHpsEyMbqMRA2jVZKCBk2hWPw0E?usp=drive_link" TargetMode="External"/><Relationship Id="rId5385" Type="http://schemas.openxmlformats.org/officeDocument/2006/relationships/hyperlink" Target="https://www.vidio.com/live/6299-bein-1?schedule_id=4733803" TargetMode="External"/><Relationship Id="rId6436" Type="http://schemas.openxmlformats.org/officeDocument/2006/relationships/hyperlink" Target="https://drive.google.com/file/d/1rJTNg7LixWBxbdHd8WibM7O1s2TVtAdC/view?usp=drive_link" TargetMode="External"/><Relationship Id="rId1995" Type="http://schemas.openxmlformats.org/officeDocument/2006/relationships/hyperlink" Target="https://drive.google.com/file/d/13HTzzq1JrTc_hSN8sGxGipKNhsMzvX54/view?usp=sharing" TargetMode="External"/><Relationship Id="rId5038" Type="http://schemas.openxmlformats.org/officeDocument/2006/relationships/hyperlink" Target="https://drive.google.com/drive/folders/1s9yFONSPE5Sl5pcnX8tg5WkCUgrCrh7m" TargetMode="External"/><Relationship Id="rId9659" Type="http://schemas.openxmlformats.org/officeDocument/2006/relationships/hyperlink" Target="https://drive.google.com/drive/folders/1_Ltlf9qK04jKHnvfUlPAH-G4fm4Cp0zw?usp=drive_link" TargetMode="External"/><Relationship Id="rId11589" Type="http://schemas.openxmlformats.org/officeDocument/2006/relationships/hyperlink" Target="https://drive.google.com/file/d/1m3qW9YfvKtkB7Tph7_WHeEEvZPV0Jasm/view?usp=sharing" TargetMode="External"/><Relationship Id="rId1648" Type="http://schemas.openxmlformats.org/officeDocument/2006/relationships/hyperlink" Target="https://drive.google.com/drive/folders/1MfSnQIhd9gXMICmCBRJSXYqjO1xvfX2J" TargetMode="External"/><Relationship Id="rId3070" Type="http://schemas.openxmlformats.org/officeDocument/2006/relationships/hyperlink" Target="https://www.vidio.com/live/6299-bein-1?schedule_id=4768732" TargetMode="External"/><Relationship Id="rId4121" Type="http://schemas.openxmlformats.org/officeDocument/2006/relationships/hyperlink" Target="https://drive.google.com/drive/folders/1vXAd45UVGvN5xm_XUvbzZLopjOuIRzN8?usp=drive_link" TargetMode="External"/><Relationship Id="rId6293" Type="http://schemas.openxmlformats.org/officeDocument/2006/relationships/hyperlink" Target="https://drive.google.com/file/d/1_g3kDg-Pw1kRgk9AwIaLqAOcLs-HrmWn/view?usp=sharing" TargetMode="External"/><Relationship Id="rId7691" Type="http://schemas.openxmlformats.org/officeDocument/2006/relationships/hyperlink" Target="https://drive.google.com/file/d/1nQeGU4rRSdh4DNDe_0k3YiUMdWsEL7rl/view?usp=sharing" TargetMode="External"/><Relationship Id="rId8742" Type="http://schemas.openxmlformats.org/officeDocument/2006/relationships/hyperlink" Target="https://drive.google.com/file/d/1DNux4glLBnqI-DzUHKvsJVIQIe0fQ_QF/view?usp=sharing" TargetMode="External"/><Relationship Id="rId10672" Type="http://schemas.openxmlformats.org/officeDocument/2006/relationships/hyperlink" Target="https://thumbor.prod.vidiocdn.com/i0GReaBBaAV0YRBWl9A4_FjkdeY=/filters:quality(70)/vidio-media-production/uploads/image/source/52689/26791e.png" TargetMode="External"/><Relationship Id="rId11723" Type="http://schemas.openxmlformats.org/officeDocument/2006/relationships/hyperlink" Target="https://drive.google.com/drive/folders/1pGbXKjbnaz5yjwIAOZTvywh6URbKMk2O" TargetMode="External"/><Relationship Id="rId7344" Type="http://schemas.openxmlformats.org/officeDocument/2006/relationships/hyperlink" Target="https://drive.google.com/drive/folders/1kW_zUjry1SevCOKE0vpcr8VtP_-RqDd_" TargetMode="External"/><Relationship Id="rId10325" Type="http://schemas.openxmlformats.org/officeDocument/2006/relationships/hyperlink" Target="https://www.vidio.com/live/18249-hsbc-bwf-world-tour-finals-2025-group-stage-court-1" TargetMode="External"/><Relationship Id="rId3954" Type="http://schemas.openxmlformats.org/officeDocument/2006/relationships/hyperlink" Target="https://drive.google.com/drive/folders/1NepG6XT-FSa8Cs07sX3tPfQWLNpJfAxp" TargetMode="External"/><Relationship Id="rId875" Type="http://schemas.openxmlformats.org/officeDocument/2006/relationships/hyperlink" Target="https://drive.google.com/file/d/1fpsIH9sE9f6GVvW9RRRPFWqIAUNa30Ui/view?usp=sharing" TargetMode="External"/><Relationship Id="rId2556" Type="http://schemas.openxmlformats.org/officeDocument/2006/relationships/hyperlink" Target="https://drive.google.com/drive/folders/1vvJz14Jl4gIdV_iCTT5E3kf9dGSkmgZL?usp=drive_link" TargetMode="External"/><Relationship Id="rId3607" Type="http://schemas.openxmlformats.org/officeDocument/2006/relationships/hyperlink" Target="https://drive.google.com/drive/folders/1lyXyGIdNbA9Jf7svWGBwuZW626Ji8iay?usp=drive_link" TargetMode="External"/><Relationship Id="rId9169" Type="http://schemas.openxmlformats.org/officeDocument/2006/relationships/hyperlink" Target="https://drive.google.com/drive/folders/1NepG6XT-FSa8Cs07sX3tPfQWLNpJfAxp" TargetMode="External"/><Relationship Id="rId11099" Type="http://schemas.openxmlformats.org/officeDocument/2006/relationships/hyperlink" Target="https://drive.google.com/file/d/1ar5LCy8aWZjObGtN8eF_q8xm0k7EReBk/view?usp=sharing" TargetMode="External"/><Relationship Id="rId528" Type="http://schemas.openxmlformats.org/officeDocument/2006/relationships/hyperlink" Target="https://drive.google.com/file/d/1h-B5OcHSwsLQqgbEEbobsJAhh6pu9gjh/view?usp=sharing" TargetMode="External"/><Relationship Id="rId1158" Type="http://schemas.openxmlformats.org/officeDocument/2006/relationships/hyperlink" Target="https://thumbor.prod.vidiocdn.com/jGvPf9nVJ6x0uqc870gsMivAqbo=/filters:quality(70)/vidio-media-production/uploads/image/source/52544/b7b669.png" TargetMode="External"/><Relationship Id="rId2209" Type="http://schemas.openxmlformats.org/officeDocument/2006/relationships/hyperlink" Target="https://drive.google.com/file/d/1NbYs7_16QjYjCMFLQhM-JWrrgxHk6qi2/view?usp=sharing" TargetMode="External"/><Relationship Id="rId5779" Type="http://schemas.openxmlformats.org/officeDocument/2006/relationships/hyperlink" Target="https://drive.google.com/file/d/1ZNl4yFu7Kit2LX1LUBdVNFZsqhQJDxFK/view?usp=sharing" TargetMode="External"/><Relationship Id="rId9650" Type="http://schemas.openxmlformats.org/officeDocument/2006/relationships/hyperlink" Target="https://www.vidio.com/live/20048-fivb-women-s-volleyball-club-world-championship-2025?schedule_id=4773531" TargetMode="External"/><Relationship Id="rId8252" Type="http://schemas.openxmlformats.org/officeDocument/2006/relationships/hyperlink" Target="https://drive.google.com/file/d/1DNux4glLBnqI-DzUHKvsJVIQIe0fQ_QF/view?usp=sharing" TargetMode="External"/><Relationship Id="rId9303" Type="http://schemas.openxmlformats.org/officeDocument/2006/relationships/hyperlink" Target="https://drive.google.com/file/d/1OBXtnUKm8JtAuEQGe8lzqO8wSWjddTQq/view?usp=sharing" TargetMode="External"/><Relationship Id="rId11580" Type="http://schemas.openxmlformats.org/officeDocument/2006/relationships/hyperlink" Target="https://drive.google.com/file/d/1PmY3ypAVBISiS9URvU4Jy9tFsu2PTCi3/view?usp=sharing" TargetMode="External"/><Relationship Id="rId10182" Type="http://schemas.openxmlformats.org/officeDocument/2006/relationships/hyperlink" Target="https://www.vidio.com/live/6299-bein-1?schedule_id=4769286" TargetMode="External"/><Relationship Id="rId11233" Type="http://schemas.openxmlformats.org/officeDocument/2006/relationships/hyperlink" Target="https://drive.google.com/file/d/1jkio8kcnZyGbN-wJKENweOqx4lbWt1tu/view?usp=sharing" TargetMode="External"/><Relationship Id="rId4862" Type="http://schemas.openxmlformats.org/officeDocument/2006/relationships/hyperlink" Target="https://drive.google.com/file/d/1Q-hjzRAgraRihwvYif0JkA60mowXsAqs/view?usp=sharing" TargetMode="External"/><Relationship Id="rId5913" Type="http://schemas.openxmlformats.org/officeDocument/2006/relationships/hyperlink" Target="https://drive.google.com/file/d/1pyNowVAwoZ47ZCaXALAb4_LVFcnNCZZ0/view?usp=sharing" TargetMode="External"/><Relationship Id="rId3464" Type="http://schemas.openxmlformats.org/officeDocument/2006/relationships/hyperlink" Target="https://drive.google.com/file/d/16-2bg1kWMkQ2wcLalzIZhltJ9l2zL2m7/view?usp=sharing" TargetMode="External"/><Relationship Id="rId4515" Type="http://schemas.openxmlformats.org/officeDocument/2006/relationships/hyperlink" Target="https://drive.google.com/drive/folders/1Zc2lN9WUKoQA8gw_75Or49871GtNJBy9?usp=drive_link" TargetMode="External"/><Relationship Id="rId385" Type="http://schemas.openxmlformats.org/officeDocument/2006/relationships/hyperlink" Target="https://drive.google.com/file/d/1PrHIsopVeUA7tCLi4ZOn5BVu1u_LSyFM/view?usp=sharing" TargetMode="External"/><Relationship Id="rId2066" Type="http://schemas.openxmlformats.org/officeDocument/2006/relationships/hyperlink" Target="https://drive.google.com/file/d/19_0GVMQdDIMYdY0eKE1bRxdArCUWKZf9/view?usp=sharing" TargetMode="External"/><Relationship Id="rId3117" Type="http://schemas.openxmlformats.org/officeDocument/2006/relationships/hyperlink" Target="https://drive.google.com/file/d/1PkApsGFDBWH2uUBZMnVC-LghCPo706Pp/view?usp=drive_link" TargetMode="External"/><Relationship Id="rId6687" Type="http://schemas.openxmlformats.org/officeDocument/2006/relationships/hyperlink" Target="https://drive.google.com/file/d/1Jc8np3myOm3YEJ_jA8RkxPGHRdK4YOtt/view?usp=sharing" TargetMode="External"/><Relationship Id="rId7738" Type="http://schemas.openxmlformats.org/officeDocument/2006/relationships/hyperlink" Target="https://drive.google.com/file/d/1xCGte071jYvFJdZmpMGb3SADCbgzIaAN/view?usp=sharing" TargetMode="External"/><Relationship Id="rId5289" Type="http://schemas.openxmlformats.org/officeDocument/2006/relationships/hyperlink" Target="https://www.vidio.com/live/18302-uefa-champions-league?schedule_id=4684722" TargetMode="External"/><Relationship Id="rId9160" Type="http://schemas.openxmlformats.org/officeDocument/2006/relationships/hyperlink" Target="https://drive.google.com/drive/folders/1NepG6XT-FSa8Cs07sX3tPfQWLNpJfAxp" TargetMode="External"/><Relationship Id="rId10719" Type="http://schemas.openxmlformats.org/officeDocument/2006/relationships/hyperlink" Target="https://drive.google.com/drive/folders/1a_YcvapatfxldL8cz1Dz-6fUX6UZLmfb?usp=drive_link" TargetMode="External"/><Relationship Id="rId11090" Type="http://schemas.openxmlformats.org/officeDocument/2006/relationships/hyperlink" Target="https://www.vidio.com/live/19623-national-football-league-2025-26?schedule_id=4797259" TargetMode="External"/><Relationship Id="rId12141" Type="http://schemas.openxmlformats.org/officeDocument/2006/relationships/hyperlink" Target="https://drive.google.com/file/d/17nqJ8YbOWxi4DOQmMA4_VvY1qMuE4tM4/view?usp=sharing" TargetMode="External"/><Relationship Id="rId2200" Type="http://schemas.openxmlformats.org/officeDocument/2006/relationships/hyperlink" Target="https://www.vidio.com/live/19354-bri-super-league?schedule_id=4790143" TargetMode="External"/><Relationship Id="rId1899" Type="http://schemas.openxmlformats.org/officeDocument/2006/relationships/hyperlink" Target="https://drive.google.com/file/d/1qJNp-gB40pZNrQigZnCsHj30Ys2PHA6n/view?usp=drive_link" TargetMode="External"/><Relationship Id="rId4372" Type="http://schemas.openxmlformats.org/officeDocument/2006/relationships/hyperlink" Target="https://www.vidio.com/live/17938-serie-a?schedule_id=4674571" TargetMode="External"/><Relationship Id="rId5770" Type="http://schemas.openxmlformats.org/officeDocument/2006/relationships/hyperlink" Target="https://www.vidio.com/live/19603-uefa-europa-league?schedule_id=4664116" TargetMode="External"/><Relationship Id="rId6821" Type="http://schemas.openxmlformats.org/officeDocument/2006/relationships/hyperlink" Target="https://drive.google.com/file/d/1e4PSLRXp711VsrhQPgdQdypY3gD6zkD2/view?usp=sharing" TargetMode="External"/><Relationship Id="rId4025" Type="http://schemas.openxmlformats.org/officeDocument/2006/relationships/hyperlink" Target="https://drive.google.com/file/d/1Q4uAotXLkA5YZ0Kw8_l01-WKgbqUO11L/view?usp=sharing" TargetMode="External"/><Relationship Id="rId5423" Type="http://schemas.openxmlformats.org/officeDocument/2006/relationships/hyperlink" Target="https://drive.google.com/file/d/1FTPORqi3L1uY1pZ-9KE3fDPC7R2DnDyK/view?usp=sharing" TargetMode="External"/><Relationship Id="rId8993" Type="http://schemas.openxmlformats.org/officeDocument/2006/relationships/hyperlink" Target="https://drive.google.com/file/d/1nm613TvL5jOX-3ILmuHs4l8qtBfSZaML/view?usp=sharing" TargetMode="External"/><Relationship Id="rId11974" Type="http://schemas.openxmlformats.org/officeDocument/2006/relationships/hyperlink" Target="https://www.vidio.com/live/18252-petronas-malaysia-open-2026-round-of-32-court-3?schedule_id=4832201" TargetMode="External"/><Relationship Id="rId7595" Type="http://schemas.openxmlformats.org/officeDocument/2006/relationships/hyperlink" Target="https://drive.google.com/file/d/1bCwsrnnY-9eA71aAxn-xrpskmQXCL14T/view?usp=drive_link" TargetMode="External"/><Relationship Id="rId8646" Type="http://schemas.openxmlformats.org/officeDocument/2006/relationships/hyperlink" Target="https://drive.google.com/file/d/1k_ZYM6_fjwNGIHt5lIfctoc5jevKxZz8/view?usp=sharing" TargetMode="External"/><Relationship Id="rId10576" Type="http://schemas.openxmlformats.org/officeDocument/2006/relationships/hyperlink" Target="https://drive.google.com/file/d/1PnmfXrxDU8_ubJ96a0IZj5-yb7pbaklI/view?usp=sharing" TargetMode="External"/><Relationship Id="rId11627" Type="http://schemas.openxmlformats.org/officeDocument/2006/relationships/hyperlink" Target="https://thumbor.prod.vidiocdn.com/rcLeB-iGcmcWgKu7VJvBUpM29_0=/filters:quality(70)/vidio-media-production/uploads/image/source/52953/0723b0.png" TargetMode="External"/><Relationship Id="rId6197" Type="http://schemas.openxmlformats.org/officeDocument/2006/relationships/hyperlink" Target="https://www.vidio.com/live/19645-uefa-conference-league?schedule_id=4664183" TargetMode="External"/><Relationship Id="rId7248" Type="http://schemas.openxmlformats.org/officeDocument/2006/relationships/hyperlink" Target="https://drive.google.com/file/d/1eZEfj9T_T8-94G3BXuCXBi4Xql28YuZu/view?usp=drive_link" TargetMode="External"/><Relationship Id="rId10229" Type="http://schemas.openxmlformats.org/officeDocument/2006/relationships/hyperlink" Target="https://drive.google.com/file/d/1WFOYy6yNTd6LC0JU46Gk9l8De48UQHFy/view?usp=sharing" TargetMode="External"/><Relationship Id="rId3858" Type="http://schemas.openxmlformats.org/officeDocument/2006/relationships/hyperlink" Target="https://thumbor.prod.vidiocdn.com/qXlt5P-4p70tYphyV2ZEEpSDArc=/filters:quality(70)/vidio-media-production/uploads/image/source/52230/399154.png" TargetMode="External"/><Relationship Id="rId4909" Type="http://schemas.openxmlformats.org/officeDocument/2006/relationships/hyperlink" Target="https://thumbor.prod.vidiocdn.com/7eGEjK_UDjV9ff666RPSKerOlGY=/filters:quality(70)/vidio-media-production/uploads/image/source/53095/98f22e.png" TargetMode="External"/><Relationship Id="rId779" Type="http://schemas.openxmlformats.org/officeDocument/2006/relationships/hyperlink" Target="https://drive.google.com/file/d/1fIb6w_PlrO2HUAxa3CAlSAEpfCgj4f9r/view?usp=sharing" TargetMode="External"/><Relationship Id="rId5280" Type="http://schemas.openxmlformats.org/officeDocument/2006/relationships/hyperlink" Target="https://drive.google.com/drive/folders/1UJh6Ohrk8ICltqRuS2ZUbx-5nOk1lSCs" TargetMode="External"/><Relationship Id="rId6331" Type="http://schemas.openxmlformats.org/officeDocument/2006/relationships/hyperlink" Target="https://drive.google.com/drive/folders/1gFsWMFPpQUKRllL3sY8LycYgKYZ2PZo_" TargetMode="External"/><Relationship Id="rId10710" Type="http://schemas.openxmlformats.org/officeDocument/2006/relationships/hyperlink" Target="https://drive.google.com/file/d/1s55r7MEsqqloLX4s5gjAx1egWzS_RPYP/view?usp=sharing" TargetMode="External"/><Relationship Id="rId1890" Type="http://schemas.openxmlformats.org/officeDocument/2006/relationships/hyperlink" Target="https://drive.google.com/file/d/1R0PcHjtPSL6WvwF-f1mNpON57utQNCNY/view?usp=drive_link" TargetMode="External"/><Relationship Id="rId2941" Type="http://schemas.openxmlformats.org/officeDocument/2006/relationships/hyperlink" Target="https://drive.google.com/file/d/12S2BmnQzOFBOUOKttw0OA7OLipXm0iXz/view?usp=sharing" TargetMode="External"/><Relationship Id="rId8156" Type="http://schemas.openxmlformats.org/officeDocument/2006/relationships/hyperlink" Target="https://www.vidio.com/live/19543-pegadaian-championship-2025-26?schedule_id=4709791" TargetMode="External"/><Relationship Id="rId9207" Type="http://schemas.openxmlformats.org/officeDocument/2006/relationships/hyperlink" Target="https://www.vidio.com/live/19812-top-soccer-championship-2025-u-15" TargetMode="External"/><Relationship Id="rId9554" Type="http://schemas.openxmlformats.org/officeDocument/2006/relationships/hyperlink" Target="https://drive.google.com/file/d/1bGAtWdCSL-v2iZg1GvRoYwXZwXVqVH3x/view?usp=sharing" TargetMode="External"/><Relationship Id="rId11484" Type="http://schemas.openxmlformats.org/officeDocument/2006/relationships/hyperlink" Target="https://www.vidio.com/live/6685-champions-tv-1?schedule_id=4797004" TargetMode="External"/><Relationship Id="rId913" Type="http://schemas.openxmlformats.org/officeDocument/2006/relationships/hyperlink" Target="https://drive.google.com/drive/folders/1DoIJJtJyDkFJfuaVz-HenJbf9k9rCmAy?usp=drive_link" TargetMode="External"/><Relationship Id="rId1543" Type="http://schemas.openxmlformats.org/officeDocument/2006/relationships/hyperlink" Target="https://drive.google.com/file/d/1k-PHEFdoJEoA-2oWttc-B2fJHPpB-YoD/view?usp=sharing" TargetMode="External"/><Relationship Id="rId10086" Type="http://schemas.openxmlformats.org/officeDocument/2006/relationships/hyperlink" Target="https://drive.google.com/drive/folders/15yzUa-IOVFr4ar7SLgbiDirv9WsRs62A?usp=drive_link" TargetMode="External"/><Relationship Id="rId11137" Type="http://schemas.openxmlformats.org/officeDocument/2006/relationships/hyperlink" Target="https://thumbor.prod.vidiocdn.com/1wCvl6o-te17rc4C8kCcntzwYm4=/filters:quality(70)/vidio-media-production/uploads/image/source/53282/ad8c88.png" TargetMode="External"/><Relationship Id="rId4766" Type="http://schemas.openxmlformats.org/officeDocument/2006/relationships/hyperlink" Target="https://www.vidio.com/live/20108-serie-a?schedule_id=4793938" TargetMode="External"/><Relationship Id="rId5817" Type="http://schemas.openxmlformats.org/officeDocument/2006/relationships/hyperlink" Target="https://drive.google.com/drive/folders/13eQLR64HrKbyWDLlQsn3dQSDucgsN6sA?usp=drive_link" TargetMode="External"/><Relationship Id="rId3368" Type="http://schemas.openxmlformats.org/officeDocument/2006/relationships/hyperlink" Target="https://drive.google.com/file/d/1wFR0Tj4hFlHeyrYeU_-1Ln3HOvnmqQ-f/view?usp=sharing" TargetMode="External"/><Relationship Id="rId4419" Type="http://schemas.openxmlformats.org/officeDocument/2006/relationships/hyperlink" Target="https://www.vidio.com/live/17939-serie-a?schedule_id=4691060" TargetMode="External"/><Relationship Id="rId7989" Type="http://schemas.openxmlformats.org/officeDocument/2006/relationships/hyperlink" Target="https://drive.google.com/drive/folders/1mSF8mO8R08vRjBOevJ5tgKPK0NEDbcxz?usp=drive_link" TargetMode="External"/><Relationship Id="rId10220" Type="http://schemas.openxmlformats.org/officeDocument/2006/relationships/hyperlink" Target="https://drive.google.com/file/d/1hZV5Io7FGQto_AlaFYgqQlsM_-2D22Bb/view?usp=sharing" TargetMode="External"/><Relationship Id="rId289" Type="http://schemas.openxmlformats.org/officeDocument/2006/relationships/hyperlink" Target="https://drive.google.com/file/d/1Bh28FNpduW4I0VEtmZUoeqqa4KBU8QD5/view?usp=sharing" TargetMode="External"/><Relationship Id="rId12392" Type="http://schemas.openxmlformats.org/officeDocument/2006/relationships/hyperlink" Target="https://drive.google.com/drive/folders/1tni-eURfEFKRVxfoCHzmLE1mqpTQd2nq" TargetMode="External"/><Relationship Id="rId770" Type="http://schemas.openxmlformats.org/officeDocument/2006/relationships/hyperlink" Target="https://drive.google.com/file/d/1upxxE7tA120zuoGLHUAfLoKMj-L_GW48/view?usp=sharing" TargetMode="External"/><Relationship Id="rId2451" Type="http://schemas.openxmlformats.org/officeDocument/2006/relationships/hyperlink" Target="https://drive.google.com/file/d/1teRtb5Fss7Ie5LTaEYICuq1IRnIoj4_z/view?usp=sharing" TargetMode="External"/><Relationship Id="rId4900" Type="http://schemas.openxmlformats.org/officeDocument/2006/relationships/hyperlink" Target="https://thumbor.prod.vidiocdn.com/AZe5xyLlnTq3vL41C8hrFWwV5ks=/filters:quality(70)/vidio-media-production/uploads/image/source/53085/f773cb.png" TargetMode="External"/><Relationship Id="rId9064" Type="http://schemas.openxmlformats.org/officeDocument/2006/relationships/hyperlink" Target="https://drive.google.com/file/d/1dg7bZbZTSo3I1UpWhXaa0DLF2Ydog_X8/view?usp=sharing" TargetMode="External"/><Relationship Id="rId12045" Type="http://schemas.openxmlformats.org/officeDocument/2006/relationships/hyperlink" Target="https://drive.google.com/file/d/1khQrXXQF4DXWbEvpQ5PrFElQfRn5_sMl/view?usp=sharing" TargetMode="External"/><Relationship Id="rId423" Type="http://schemas.openxmlformats.org/officeDocument/2006/relationships/hyperlink" Target="https://drive.google.com/drive/folders/1JuZigKEDE4dgjg3lc_u7N621E-Eoa2zx?usp=drive_link" TargetMode="External"/><Relationship Id="rId1053" Type="http://schemas.openxmlformats.org/officeDocument/2006/relationships/hyperlink" Target="https://drive.google.com/file/d/19_YOM2yP9Rt1h0aOGOh9FlhM1cU7nvag/view?usp=sharing" TargetMode="External"/><Relationship Id="rId2104" Type="http://schemas.openxmlformats.org/officeDocument/2006/relationships/hyperlink" Target="https://www.vidio.com/live/205-indosiar?schedule_id=4739602" TargetMode="External"/><Relationship Id="rId3502" Type="http://schemas.openxmlformats.org/officeDocument/2006/relationships/hyperlink" Target="https://drive.google.com/file/d/1MOEw7jYJyvCzE6K89LPDI3OlvOQ_Zs2G/view?usp=sharing" TargetMode="External"/><Relationship Id="rId5674" Type="http://schemas.openxmlformats.org/officeDocument/2006/relationships/hyperlink" Target="https://drive.google.com/drive/folders/1quDMF2O_CTp8fEbSvsmiaSbYNG8qTox_?usp=drive_link" TargetMode="External"/><Relationship Id="rId6725" Type="http://schemas.openxmlformats.org/officeDocument/2006/relationships/hyperlink" Target="https://drive.google.com/drive/folders/1vaxXusnx0ak8CEuWajxU91LvZrpO3FbO?usp=drive_link" TargetMode="External"/><Relationship Id="rId4276" Type="http://schemas.openxmlformats.org/officeDocument/2006/relationships/hyperlink" Target="https://drive.google.com/file/d/1V47OOUluZ1kWJjRyeK77Mrkoc69STFgM/view?usp=sharing" TargetMode="External"/><Relationship Id="rId5327" Type="http://schemas.openxmlformats.org/officeDocument/2006/relationships/hyperlink" Target="https://drive.google.com/drive/folders/14Wb3x9yN298vTECYGS7G_yCO7LWjXAJK" TargetMode="External"/><Relationship Id="rId8897" Type="http://schemas.openxmlformats.org/officeDocument/2006/relationships/hyperlink" Target="https://drive.google.com/drive/folders/1M8BYCWKw6Ibbg1HrNnp0RNT5EIAKTcn2?usp=drive_link" TargetMode="External"/><Relationship Id="rId9948" Type="http://schemas.openxmlformats.org/officeDocument/2006/relationships/hyperlink" Target="https://drive.google.com/drive/folders/1yQmk0D4-IBn9yJlgli2mWK6dn_Xk8S-c?usp=drive_link" TargetMode="External"/><Relationship Id="rId11878" Type="http://schemas.openxmlformats.org/officeDocument/2006/relationships/hyperlink" Target="https://drive.google.com/drive/folders/1TYXj5i7Ik4SNEitV7mHoBo1u6CAR_kAQ?usp=drive_link" TargetMode="External"/><Relationship Id="rId1937" Type="http://schemas.openxmlformats.org/officeDocument/2006/relationships/hyperlink" Target="https://drive.google.com/file/d/1fm5ZY97DAo1RGSXaxWThLKlFJBBDrOh8/view?usp=drive_link" TargetMode="External"/><Relationship Id="rId7499" Type="http://schemas.openxmlformats.org/officeDocument/2006/relationships/hyperlink" Target="https://drive.google.com/file/d/1CQQOvzMUG7cvTAB9tqoRSI2z9pcxqQfo/view?usp=sharing" TargetMode="External"/><Relationship Id="rId4410" Type="http://schemas.openxmlformats.org/officeDocument/2006/relationships/hyperlink" Target="https://drive.google.com/drive/folders/1p-BBE4Q7WYsjaA6zRP-zbxNxOInOSBYU" TargetMode="External"/><Relationship Id="rId280" Type="http://schemas.openxmlformats.org/officeDocument/2006/relationships/hyperlink" Target="https://drive.google.com/drive/folders/1ZnBlExIc16jpQRJ5yiF_rjC2Vw5bQFo5?usp=drive_link" TargetMode="External"/><Relationship Id="rId3012" Type="http://schemas.openxmlformats.org/officeDocument/2006/relationships/hyperlink" Target="https://thumbor.prod.vidiocdn.com/eIEhAPqy9rc82ZH_ZvqtcKXlSiw=/filters:quality(70)/vidio-media-production/uploads/image/source/51586/06ca03.png" TargetMode="External"/><Relationship Id="rId6582" Type="http://schemas.openxmlformats.org/officeDocument/2006/relationships/hyperlink" Target="https://drive.google.com/file/d/1iEAIw7iU3GZ1D8zHGqOZ5cJOqlje61PK/view?usp=drive_link" TargetMode="External"/><Relationship Id="rId7980" Type="http://schemas.openxmlformats.org/officeDocument/2006/relationships/hyperlink" Target="https://www.vidio.com/live/6299-bein-1?schedule_id=4713686" TargetMode="External"/><Relationship Id="rId10961" Type="http://schemas.openxmlformats.org/officeDocument/2006/relationships/hyperlink" Target="https://drive.google.com/file/d/1PV_69nOMIQZdwlx1cGXNjkiZO7BFjJMF/view?usp=sharing" TargetMode="External"/><Relationship Id="rId5184" Type="http://schemas.openxmlformats.org/officeDocument/2006/relationships/hyperlink" Target="https://drive.google.com/drive/folders/1d8RfZ3AxKm4vcq0d__doqb5lGvVI-NuD" TargetMode="External"/><Relationship Id="rId6235" Type="http://schemas.openxmlformats.org/officeDocument/2006/relationships/hyperlink" Target="https://drive.google.com/drive/folders/1vjOA9E-jOlhsRSh5NE7jSpcmcR5v41-E" TargetMode="External"/><Relationship Id="rId7633" Type="http://schemas.openxmlformats.org/officeDocument/2006/relationships/hyperlink" Target="https://www.vidio.com/live/6299-bein-1?schedule_id=4636585" TargetMode="External"/><Relationship Id="rId10614" Type="http://schemas.openxmlformats.org/officeDocument/2006/relationships/hyperlink" Target="https://www.vidio.com/live/20065-top-soccer-championship-semifinal-u-13-dan-final-u-14-plate?schedule_id=4776336" TargetMode="External"/><Relationship Id="rId1794" Type="http://schemas.openxmlformats.org/officeDocument/2006/relationships/hyperlink" Target="https://drive.google.com/file/d/1h7Za4WZ_R_4D1WGsg9wuTgiSJYTpi2XH/view?usp=drive_link" TargetMode="External"/><Relationship Id="rId2845" Type="http://schemas.openxmlformats.org/officeDocument/2006/relationships/hyperlink" Target="https://drive.google.com/file/d/1A6YfxBk7gwM1jZBViGDxb7JNF7Fq-Jh2/view?usp=sharing" TargetMode="External"/><Relationship Id="rId9458" Type="http://schemas.openxmlformats.org/officeDocument/2006/relationships/hyperlink" Target="https://thumbor.prod.vidiocdn.com/PVHFrqsou9AH6UCnhduyqE5emz4=/filters:quality(70)/vidio-media-production/uploads/image/source/53010/7474e0.png" TargetMode="External"/><Relationship Id="rId11388" Type="http://schemas.openxmlformats.org/officeDocument/2006/relationships/hyperlink" Target="https://www.vidio.com/live/20112-grand-final-top-soccer-championship-u-13?schedule_id=4786463" TargetMode="External"/><Relationship Id="rId12439" Type="http://schemas.openxmlformats.org/officeDocument/2006/relationships/hyperlink" Target="https://www.vidio.com/live/20277?schedule_id=4834236" TargetMode="External"/><Relationship Id="rId817" Type="http://schemas.openxmlformats.org/officeDocument/2006/relationships/hyperlink" Target="https://drive.google.com/drive/folders/1Ezizz6Ah2v1kvOpxVDTLJnpQTnUTTv_h" TargetMode="External"/><Relationship Id="rId1447" Type="http://schemas.openxmlformats.org/officeDocument/2006/relationships/hyperlink" Target="https://drive.google.com/file/d/1RyRGL5XYADp9uX1NZLtad5ZJep89695Y/view?usp=sharing" TargetMode="External"/><Relationship Id="rId7490" Type="http://schemas.openxmlformats.org/officeDocument/2006/relationships/hyperlink" Target="https://drive.google.com/drive/folders/1NepG6XT-FSa8Cs07sX3tPfQWLNpJfAxp" TargetMode="External"/><Relationship Id="rId8541" Type="http://schemas.openxmlformats.org/officeDocument/2006/relationships/hyperlink" Target="https://drive.google.com/drive/folders/1rV6iBF3BUVJGKbJLmmi7Oe55VA7Nav1A" TargetMode="External"/><Relationship Id="rId6092" Type="http://schemas.openxmlformats.org/officeDocument/2006/relationships/hyperlink" Target="https://www.vidio.com/live/19371-carabao-cup-2025-26?schedule_id=4591209" TargetMode="External"/><Relationship Id="rId7143" Type="http://schemas.openxmlformats.org/officeDocument/2006/relationships/hyperlink" Target="https://drive.google.com/file/d/1LmVLVis-o7MELPjr9xUQk8F6OSq_iedv/view?usp=sharing" TargetMode="External"/><Relationship Id="rId10124" Type="http://schemas.openxmlformats.org/officeDocument/2006/relationships/hyperlink" Target="https://www.vidio.com/live/19997-top-soccer-championship-2025-u-13-u-14?schedule_id=4743076" TargetMode="External"/><Relationship Id="rId10471" Type="http://schemas.openxmlformats.org/officeDocument/2006/relationships/hyperlink" Target="https://drive.google.com/drive/folders/1NepG6XT-FSa8Cs07sX3tPfQWLNpJfAxp" TargetMode="External"/><Relationship Id="rId11522" Type="http://schemas.openxmlformats.org/officeDocument/2006/relationships/hyperlink" Target="https://www.vidio.com/live/20287-press-conference" TargetMode="External"/><Relationship Id="rId3753" Type="http://schemas.openxmlformats.org/officeDocument/2006/relationships/hyperlink" Target="https://www.vidio.com/live/6685-champions-tv-1?schedule_id=4558877" TargetMode="External"/><Relationship Id="rId4804" Type="http://schemas.openxmlformats.org/officeDocument/2006/relationships/hyperlink" Target="https://thumbor.prod.vidiocdn.com/YLFQYWjdtLdwiS28p5JYwJ8xdRE=/filters:quality(70)/vidio-media-production/uploads/image/source/52576/096137.png" TargetMode="External"/><Relationship Id="rId12296" Type="http://schemas.openxmlformats.org/officeDocument/2006/relationships/hyperlink" Target="https://www.vidio.com/live/20278?schedule_id=4833914" TargetMode="External"/><Relationship Id="rId674" Type="http://schemas.openxmlformats.org/officeDocument/2006/relationships/hyperlink" Target="https://drive.google.com/drive/folders/1ds9PMo8hFSwSpLmEp1JSAss9vLnn8zkw" TargetMode="External"/><Relationship Id="rId2355" Type="http://schemas.openxmlformats.org/officeDocument/2006/relationships/hyperlink" Target="https://www.vidio.com/live/17323-laliga?schedule_id=4527595" TargetMode="External"/><Relationship Id="rId3406" Type="http://schemas.openxmlformats.org/officeDocument/2006/relationships/hyperlink" Target="https://www.vidio.com/live/6685-champions-tv-1?schedule_id=4480024" TargetMode="External"/><Relationship Id="rId6976" Type="http://schemas.openxmlformats.org/officeDocument/2006/relationships/hyperlink" Target="https://drive.google.com/drive/folders/1H8H4SZxyewAzVX-68E9CcS_8OzEokIHu?usp=drive_link" TargetMode="External"/><Relationship Id="rId327" Type="http://schemas.openxmlformats.org/officeDocument/2006/relationships/hyperlink" Target="https://drive.google.com/drive/folders/1e5HZcDS1KjQ---9ShCnwcyfcWesMaVK9?usp=drive_link" TargetMode="External"/><Relationship Id="rId2008" Type="http://schemas.openxmlformats.org/officeDocument/2006/relationships/hyperlink" Target="https://www.vidio.com/live/19354-bri-super-league?schedule_id=4706173" TargetMode="External"/><Relationship Id="rId5578" Type="http://schemas.openxmlformats.org/officeDocument/2006/relationships/hyperlink" Target="https://drive.google.com/drive/folders/1vs2NPBadTfe8mkFp1C94plFN9o2qZ3M8?usp=drive_link" TargetMode="External"/><Relationship Id="rId6629" Type="http://schemas.openxmlformats.org/officeDocument/2006/relationships/hyperlink" Target="https://drive.google.com/file/d/1LUGtTTjcpdDtiFzKIPozkrw2Q_FON_4o/view?usp=drive_link" TargetMode="External"/><Relationship Id="rId12430" Type="http://schemas.openxmlformats.org/officeDocument/2006/relationships/hyperlink" Target="https://www.vidio.com/live/20283?schedule_id=4834227" TargetMode="External"/><Relationship Id="rId8051" Type="http://schemas.openxmlformats.org/officeDocument/2006/relationships/hyperlink" Target="https://drive.google.com/file/d/1EO4C0qceIL3UQxfKIBZUXzfNnP-glshs/view?usp=sharing" TargetMode="External"/><Relationship Id="rId9102" Type="http://schemas.openxmlformats.org/officeDocument/2006/relationships/hyperlink" Target="https://drive.google.com/file/d/1xG9TsSOhoi8EyFOSNpc9YeM_0f0Bb10T/view?usp=sharing" TargetMode="External"/><Relationship Id="rId11032" Type="http://schemas.openxmlformats.org/officeDocument/2006/relationships/hyperlink" Target="https://drive.google.com/drive/u/0/folders/1AbIjM58oIDIznvifi57mZjmcJISL8tGB" TargetMode="External"/><Relationship Id="rId4661" Type="http://schemas.openxmlformats.org/officeDocument/2006/relationships/hyperlink" Target="https://drive.google.com/file/d/1DZvcoGqc38cY0_rrhJYWz_QhWK9SoLlJ/view?usp=sharing" TargetMode="External"/><Relationship Id="rId3263" Type="http://schemas.openxmlformats.org/officeDocument/2006/relationships/hyperlink" Target="https://thumbor.prod.vidiocdn.com/SNuJWAMroEnCZGAcmYBjJXQF7KM=/filters:quality(70)/vidio-media-production/uploads/image/source/51614/debc8e.png" TargetMode="External"/><Relationship Id="rId4314" Type="http://schemas.openxmlformats.org/officeDocument/2006/relationships/hyperlink" Target="https://drive.google.com/file/d/1VM3yM7yi0INxmfvOZUXDwOt3bo9hQTy_/view?usp=sharing" TargetMode="External"/><Relationship Id="rId5712" Type="http://schemas.openxmlformats.org/officeDocument/2006/relationships/hyperlink" Target="https://drive.google.com/file/d/1zEvHtyzbJQhXSp--LzKj7P63DauvTj4K/view?usp=sharing" TargetMode="External"/><Relationship Id="rId184" Type="http://schemas.openxmlformats.org/officeDocument/2006/relationships/hyperlink" Target="https://www.vidio.com/live/9183-champions-tv-6?schedule_id=4525589" TargetMode="External"/><Relationship Id="rId7884" Type="http://schemas.openxmlformats.org/officeDocument/2006/relationships/hyperlink" Target="https://drive.google.com/drive/folders/1hZUKUrkywmkbEzCNL5goVOFp11tVrJPr?usp=sharing" TargetMode="External"/><Relationship Id="rId8935" Type="http://schemas.openxmlformats.org/officeDocument/2006/relationships/hyperlink" Target="https://drive.google.com/file/d/1TTFNqCbIUjvGt5fLQix-m5oOmI155j8r/view?usp=sharing" TargetMode="External"/><Relationship Id="rId10865" Type="http://schemas.openxmlformats.org/officeDocument/2006/relationships/hyperlink" Target="https://drive.google.com/file/d/1pAgKr6kaIzEUwE0dwkzPh-b2u_H2ZUA9/view?usp=sharing" TargetMode="External"/><Relationship Id="rId11916" Type="http://schemas.openxmlformats.org/officeDocument/2006/relationships/hyperlink" Target="https://www.vidio.com/live/18252-petronas-malaysia-open-2026-round-of-32-court-3?schedule_id=4831578" TargetMode="External"/><Relationship Id="rId5088" Type="http://schemas.openxmlformats.org/officeDocument/2006/relationships/hyperlink" Target="https://drive.google.com/file/d/1IdrvyH-6tcE259HbOAyDxZNAqfJEkjs4/view?usp=drive_link" TargetMode="External"/><Relationship Id="rId6139" Type="http://schemas.openxmlformats.org/officeDocument/2006/relationships/hyperlink" Target="https://drive.google.com/file/d/1V0auGjmth1XZi4h40yhzJeky7PS6Mz7R/view?usp=sharing" TargetMode="External"/><Relationship Id="rId6486" Type="http://schemas.openxmlformats.org/officeDocument/2006/relationships/hyperlink" Target="https://drive.google.com/file/d/1UHqCvpptHdSS7eFvPX4wBjDyymMZ47Tc/view?usp=drive_link" TargetMode="External"/><Relationship Id="rId7537" Type="http://schemas.openxmlformats.org/officeDocument/2006/relationships/hyperlink" Target="https://drive.google.com/drive/folders/18pa30k7VXSESv0P6fZ97lEXrQ9iatGXT?usp=drive_link" TargetMode="External"/><Relationship Id="rId10518" Type="http://schemas.openxmlformats.org/officeDocument/2006/relationships/hyperlink" Target="https://drive.google.com/drive/folders/1VogZr6vC4gfqBky5o1eV6YOH5jNvRqbG?usp=sharing" TargetMode="External"/><Relationship Id="rId1698" Type="http://schemas.openxmlformats.org/officeDocument/2006/relationships/hyperlink" Target="https://drive.google.com/file/d/1oKBlCsvlvBdutXTVQvy0vLnorzhgBAq5/view?usp=drive_link" TargetMode="External"/><Relationship Id="rId2749" Type="http://schemas.openxmlformats.org/officeDocument/2006/relationships/hyperlink" Target="https://drive.google.com/drive/folders/1qeL-o6mT1rTYcd3c01m2layrhrqUN4pM?usp=drive_link" TargetMode="External"/><Relationship Id="rId6620" Type="http://schemas.openxmlformats.org/officeDocument/2006/relationships/hyperlink" Target="https://drive.google.com/file/d/1WiIkwpOVpxL4rBdqP8m3y7gl1UThQveX/view?usp=sharing" TargetMode="External"/><Relationship Id="rId4171" Type="http://schemas.openxmlformats.org/officeDocument/2006/relationships/hyperlink" Target="https://drive.google.com/file/d/13RudwPcxwn_VZJbM1HM7w_iKE54X0HWk/view?usp=sharing" TargetMode="External"/><Relationship Id="rId5222" Type="http://schemas.openxmlformats.org/officeDocument/2006/relationships/hyperlink" Target="https://drive.google.com/drive/folders/1NgWX8_G-iuUpfRmUmFsIoUimd8fDtWN_" TargetMode="External"/><Relationship Id="rId8792" Type="http://schemas.openxmlformats.org/officeDocument/2006/relationships/hyperlink" Target="https://drive.google.com/file/d/1NkaHQwMfTD6-t_j4LzRWQkbXoStuVEqb/view?usp=sharing" TargetMode="External"/><Relationship Id="rId57" Type="http://schemas.openxmlformats.org/officeDocument/2006/relationships/hyperlink" Target="https://drive.google.com/file/d/1i86dT8jHHqiSf9Xq_KIcHaGJ1hCENsh3/view?usp=sharing" TargetMode="External"/><Relationship Id="rId7394" Type="http://schemas.openxmlformats.org/officeDocument/2006/relationships/hyperlink" Target="https://drive.google.com/drive/folders/16ectDANBbpwe3SOK5vhJM0Jz-VBt3YWQ?usp=drive_link" TargetMode="External"/><Relationship Id="rId8445" Type="http://schemas.openxmlformats.org/officeDocument/2006/relationships/hyperlink" Target="https://drive.google.com/file/d/1M7DP0cHneB1ni-ljZc9LCMGsLC4FNlcW/view?usp=sharing" TargetMode="External"/><Relationship Id="rId9843" Type="http://schemas.openxmlformats.org/officeDocument/2006/relationships/hyperlink" Target="https://drive.google.com/file/d/1bGAtWdCSL-v2iZg1GvRoYwXZwXVqVH3x/view" TargetMode="External"/><Relationship Id="rId11773" Type="http://schemas.openxmlformats.org/officeDocument/2006/relationships/hyperlink" Target="https://drive.google.com/file/d/1EXQ8o_tpmzvXZ40Xjfw61-PTR9hFe55m/view?usp=sharing" TargetMode="External"/><Relationship Id="rId1832" Type="http://schemas.openxmlformats.org/officeDocument/2006/relationships/hyperlink" Target="https://www.vidio.com/live/19354-bri-super-league?schedule_id=4596520" TargetMode="External"/><Relationship Id="rId7047" Type="http://schemas.openxmlformats.org/officeDocument/2006/relationships/hyperlink" Target="https://drive.google.com/file/d/1DnHzKfFog4JQ0P40B7x6-1_ENikGvgrK/view?usp=sharing" TargetMode="External"/><Relationship Id="rId10375" Type="http://schemas.openxmlformats.org/officeDocument/2006/relationships/hyperlink" Target="https://drive.google.com/file/d/1zzrmrF1Rr92kIpOE1jy9YBLa4Ii0OoIs/view?usp=sharing" TargetMode="External"/><Relationship Id="rId11426" Type="http://schemas.openxmlformats.org/officeDocument/2006/relationships/hyperlink" Target="https://drive.google.com/drive/folders/1o1U6Xrma6-i_C__CorH7pl8eIMeOupbW" TargetMode="External"/><Relationship Id="rId10028" Type="http://schemas.openxmlformats.org/officeDocument/2006/relationships/hyperlink" Target="https://www.vidio.com/live/6317-bein-3?schedule_id=4802051" TargetMode="External"/><Relationship Id="rId3657" Type="http://schemas.openxmlformats.org/officeDocument/2006/relationships/hyperlink" Target="https://drive.google.com/file/d/1aXU9CiqATAxfKr6DhVfdvT4ELKxSP0P1/view?usp=sharing" TargetMode="External"/><Relationship Id="rId4708" Type="http://schemas.openxmlformats.org/officeDocument/2006/relationships/hyperlink" Target="https://drive.google.com/drive/folders/1kvE3H1UHlMmm1_EA1V4MxjpnkIwka-x8?usp=drive_link" TargetMode="External"/><Relationship Id="rId578" Type="http://schemas.openxmlformats.org/officeDocument/2006/relationships/hyperlink" Target="https://drive.google.com/file/d/1BYsd4EMl-oHAOebuXXZ098asBIZfhwBA/view?usp=sharing" TargetMode="External"/><Relationship Id="rId2259" Type="http://schemas.openxmlformats.org/officeDocument/2006/relationships/hyperlink" Target="https://drive.google.com/drive/folders/1qCcBp9HXryO0KKa5HH_MTnpOd8vRfd9G" TargetMode="External"/><Relationship Id="rId6130" Type="http://schemas.openxmlformats.org/officeDocument/2006/relationships/hyperlink" Target="https://drive.google.com/drive/folders/13wCY4debqs3dQilA3NgaHgkrqEq6bkzP?usp=drive_link" TargetMode="External"/><Relationship Id="rId2740" Type="http://schemas.openxmlformats.org/officeDocument/2006/relationships/hyperlink" Target="https://drive.google.com/file/d/1g7tcuTKEI_Bayd_ohVVFMMxd_2IqJtxX/view?usp=sharing" TargetMode="External"/><Relationship Id="rId9353" Type="http://schemas.openxmlformats.org/officeDocument/2006/relationships/hyperlink" Target="https://www.vidio.com/live/19773-fa-cup-2025-26?schedule_id=4760163" TargetMode="External"/><Relationship Id="rId11283" Type="http://schemas.openxmlformats.org/officeDocument/2006/relationships/hyperlink" Target="https://thumbor.prod.vidiocdn.com/24v491FjZsay8QoXLSV8LEqpVM0=/filters:quality(70)/vidio-media-production/uploads/image/source/52458/77c54a.png" TargetMode="External"/><Relationship Id="rId12334" Type="http://schemas.openxmlformats.org/officeDocument/2006/relationships/hyperlink" Target="http://vidio.com/live/20273?schedule_id=4833849" TargetMode="External"/><Relationship Id="rId712" Type="http://schemas.openxmlformats.org/officeDocument/2006/relationships/hyperlink" Target="https://drive.google.com/file/d/1G5LGUkwrS7U7RibW-aD1PnkU3s40rtjm/view?usp=sharing" TargetMode="External"/><Relationship Id="rId1342" Type="http://schemas.openxmlformats.org/officeDocument/2006/relationships/hyperlink" Target="https://drive.google.com/drive/folders/1FDHERpW24gk3GKG3SiIxPunVzLYJtzTr?usp=drive_link" TargetMode="External"/><Relationship Id="rId9006" Type="http://schemas.openxmlformats.org/officeDocument/2006/relationships/hyperlink" Target="https://drive.google.com/file/d/1Zwf8vGw2Ybm7oYIpOdiXLZjRUEFI0PRp/view?usp=sharing" TargetMode="External"/><Relationship Id="rId5963" Type="http://schemas.openxmlformats.org/officeDocument/2006/relationships/hyperlink" Target="https://drive.google.com/file/d/1z7X_ZoYF8f9T7Vbeiglm6UoD0P0MM0GS/view?usp=sharing" TargetMode="External"/><Relationship Id="rId3167" Type="http://schemas.openxmlformats.org/officeDocument/2006/relationships/hyperlink" Target="https://drive.google.com/file/d/18pC5ozf8Vbca7gkzWPtRK_sK2dkuSrjT/view?usp=sharing" TargetMode="External"/><Relationship Id="rId4565" Type="http://schemas.openxmlformats.org/officeDocument/2006/relationships/hyperlink" Target="https://drive.google.com/file/d/1u7GovhLEzdPYEfkBa5L8rUpoJRo_mpzz/view?usp=sharing" TargetMode="External"/><Relationship Id="rId5616" Type="http://schemas.openxmlformats.org/officeDocument/2006/relationships/hyperlink" Target="https://www.vidio.com/live/19599-uefa-europa-league?schedule_id=4610728" TargetMode="External"/><Relationship Id="rId4218" Type="http://schemas.openxmlformats.org/officeDocument/2006/relationships/hyperlink" Target="https://drive.google.com/file/d/11XGFxG1csGDvWU4apjB8yZRViF2IEKag/view?usp=sharing" TargetMode="External"/><Relationship Id="rId7788" Type="http://schemas.openxmlformats.org/officeDocument/2006/relationships/hyperlink" Target="https://www.vidio.com/live/19752-carabao-cup-2025-26?schedule_id=4673904" TargetMode="External"/><Relationship Id="rId8839" Type="http://schemas.openxmlformats.org/officeDocument/2006/relationships/hyperlink" Target="https://drive.google.com/file/d/1OJxs8dzfUpomWF8MIH_WBOWKas2fyBLy/view?usp=sharing" TargetMode="External"/><Relationship Id="rId10769" Type="http://schemas.openxmlformats.org/officeDocument/2006/relationships/hyperlink" Target="https://drive.google.com/file/d/1SnaiInp3XY_N1eITPYywKFlfB6Pu0Gqv/view?usp=sharing" TargetMode="External"/><Relationship Id="rId12191" Type="http://schemas.openxmlformats.org/officeDocument/2006/relationships/hyperlink" Target="https://drive.google.com/file/d/17nqJ8YbOWxi4DOQmMA4_VvY1qMuE4tM4/view?usp=drive_link" TargetMode="External"/><Relationship Id="rId2250" Type="http://schemas.openxmlformats.org/officeDocument/2006/relationships/hyperlink" Target="https://drive.google.com/file/d/1fJSccehTJygOPoiBVwrSs8AvwZaTGiSu/view?usp=sharing" TargetMode="External"/><Relationship Id="rId3301" Type="http://schemas.openxmlformats.org/officeDocument/2006/relationships/hyperlink" Target="https://drive.google.com/drive/folders/1baHCloC-n2vCVLRlhtkl94nIKlFwC4U6" TargetMode="External"/><Relationship Id="rId6871" Type="http://schemas.openxmlformats.org/officeDocument/2006/relationships/hyperlink" Target="https://www.vidio.com/live/6299-bein-1?schedule_id=4575861" TargetMode="External"/><Relationship Id="rId222" Type="http://schemas.openxmlformats.org/officeDocument/2006/relationships/hyperlink" Target="https://drive.google.com/drive/folders/1keBgYGAW2V9gleWyOBlIJnrRzNas7sPg?usp=drive_link" TargetMode="External"/><Relationship Id="rId5473" Type="http://schemas.openxmlformats.org/officeDocument/2006/relationships/hyperlink" Target="https://drive.google.com/file/d/1fTcCmC8CJN00uhXnsdooPBv4En_JOhcu/view?usp=share_link" TargetMode="External"/><Relationship Id="rId6524" Type="http://schemas.openxmlformats.org/officeDocument/2006/relationships/hyperlink" Target="https://drive.google.com/file/d/1qjGgpVuRnQXWkwpADHaz9e_Fu-kjXUFC/view?usp=sharing" TargetMode="External"/><Relationship Id="rId7922" Type="http://schemas.openxmlformats.org/officeDocument/2006/relationships/hyperlink" Target="https://drive.google.com/file/d/1hOdlV9OCWX2y81jJEstdV-2GUoQ6cERS/view?usp=sharing" TargetMode="External"/><Relationship Id="rId10903" Type="http://schemas.openxmlformats.org/officeDocument/2006/relationships/hyperlink" Target="https://drive.google.com/drive/folders/1B_CpyZmnmZlHkjOa4CyokY-4DC1T2lX4" TargetMode="External"/><Relationship Id="rId4075" Type="http://schemas.openxmlformats.org/officeDocument/2006/relationships/hyperlink" Target="https://drive.google.com/drive/folders/1KEbcr6U_ZqEhtv_7d6qSImpjmWPCeGg3?usp=drive_link" TargetMode="External"/><Relationship Id="rId5126" Type="http://schemas.openxmlformats.org/officeDocument/2006/relationships/hyperlink" Target="https://drive.google.com/file/d/1xkxMjGeUeLMrippT9h1RdTgqukMrxzeG/view?usp=sharing" TargetMode="External"/><Relationship Id="rId7298" Type="http://schemas.openxmlformats.org/officeDocument/2006/relationships/hyperlink" Target="https://www.vidio.com/live/19548-national-football-league-2025-26?schedule_id=4579920" TargetMode="External"/><Relationship Id="rId8349" Type="http://schemas.openxmlformats.org/officeDocument/2006/relationships/hyperlink" Target="https://www.vidio.com/live/19677-turkish-women-s-volleyball-cup?schedule_id=4662857" TargetMode="External"/><Relationship Id="rId8696" Type="http://schemas.openxmlformats.org/officeDocument/2006/relationships/hyperlink" Target="https://drive.google.com/drive/folders/1xnnsiJ9rYozWCZ6NSPXvDcTJdEonQTNG" TargetMode="External"/><Relationship Id="rId9747" Type="http://schemas.openxmlformats.org/officeDocument/2006/relationships/hyperlink" Target="https://drive.google.com/drive/folders/1nE1DH_ljIVyInzZGOqLIe9eg5lFxHyDf?usp=drive_link" TargetMode="External"/><Relationship Id="rId11677" Type="http://schemas.openxmlformats.org/officeDocument/2006/relationships/hyperlink" Target="https://drive.google.com/drive/folders/1HkVTmgvx90IAq9Gfv6ft_YJ4mXaoCyAK?usp=drive_link" TargetMode="External"/><Relationship Id="rId1736" Type="http://schemas.openxmlformats.org/officeDocument/2006/relationships/hyperlink" Target="https://www.vidio.com/live/19354-bri-super-league?schedule_id=4575841" TargetMode="External"/><Relationship Id="rId10279" Type="http://schemas.openxmlformats.org/officeDocument/2006/relationships/hyperlink" Target="https://www.vidio.com/live/20027?schedule_id=4765277" TargetMode="External"/><Relationship Id="rId4959" Type="http://schemas.openxmlformats.org/officeDocument/2006/relationships/hyperlink" Target="https://drive.google.com/drive/folders/1OQJuGHXuusMIq9Hjmo5c27rSXBz6la3u" TargetMode="External"/><Relationship Id="rId8830" Type="http://schemas.openxmlformats.org/officeDocument/2006/relationships/hyperlink" Target="https://drive.google.com/drive/folders/1jnPtEFoItuGBNqN4PQqbKsrtrVDFZKmb?usp=drive_link" TargetMode="External"/><Relationship Id="rId6381" Type="http://schemas.openxmlformats.org/officeDocument/2006/relationships/hyperlink" Target="https://www.vidio.com/live/19646-uefa-conference-league?schedule_id=4734889" TargetMode="External"/><Relationship Id="rId7432" Type="http://schemas.openxmlformats.org/officeDocument/2006/relationships/hyperlink" Target="https://drive.google.com/file/d/1XC6E8B_EpbLu_UzIO0UiE-wPgd3WPubo/view?usp=sharing" TargetMode="External"/><Relationship Id="rId10413" Type="http://schemas.openxmlformats.org/officeDocument/2006/relationships/hyperlink" Target="https://www.vidio.com/live/18189-champions-golf-1?schedule_id=4773811" TargetMode="External"/><Relationship Id="rId10760" Type="http://schemas.openxmlformats.org/officeDocument/2006/relationships/hyperlink" Target="https://www.vidio.com/live/20122-proliga?schedule_id=4789832" TargetMode="External"/><Relationship Id="rId11811" Type="http://schemas.openxmlformats.org/officeDocument/2006/relationships/hyperlink" Target="https://drive.google.com/drive/folders/1Ty2H_i_qk549qwdTHB8xBRYGJbtv8v5N?usp=drive_link" TargetMode="External"/><Relationship Id="rId6034" Type="http://schemas.openxmlformats.org/officeDocument/2006/relationships/hyperlink" Target="https://drive.google.com/file/d/1d5Ggb5meqeiNbO_nZ77OMt_N4U3A5zqu/view?usp=sharing" TargetMode="External"/><Relationship Id="rId1593" Type="http://schemas.openxmlformats.org/officeDocument/2006/relationships/hyperlink" Target="https://drive.google.com/drive/folders/11WUiVqyQbh3YTAzRmESYoujmHHJIa1Gm" TargetMode="External"/><Relationship Id="rId2991" Type="http://schemas.openxmlformats.org/officeDocument/2006/relationships/hyperlink" Target="https://drive.google.com/file/d/126VY0uw5n-OG1U9FrXuBDoYeA6XUNCvS/view?usp=sharing" TargetMode="External"/><Relationship Id="rId9257" Type="http://schemas.openxmlformats.org/officeDocument/2006/relationships/hyperlink" Target="https://drive.google.com/file/d/1bGAtWdCSL-v2iZg1GvRoYwXZwXVqVH3x/view?usp=sharing" TargetMode="External"/><Relationship Id="rId11187" Type="http://schemas.openxmlformats.org/officeDocument/2006/relationships/hyperlink" Target="https://drive.google.com/drive/folders/1pBL2Vu4TmsR7wzf0j8psh2JTh2hTX8Od" TargetMode="External"/><Relationship Id="rId963" Type="http://schemas.openxmlformats.org/officeDocument/2006/relationships/hyperlink" Target="https://drive.google.com/file/d/1wBMUg8Ru_AsZCGgYFNaThNEUr0OA1IZ-/view?usp=sharing" TargetMode="External"/><Relationship Id="rId1246" Type="http://schemas.openxmlformats.org/officeDocument/2006/relationships/hyperlink" Target="https://drive.google.com/file/d/1r7jghrFmDDS6Uz2_X1r-52ckKkffp2ml/view?usp=sharing" TargetMode="External"/><Relationship Id="rId2644" Type="http://schemas.openxmlformats.org/officeDocument/2006/relationships/hyperlink" Target="https://www.vidio.com/live/6299-bein-1?schedule_id=4626131" TargetMode="External"/><Relationship Id="rId12238" Type="http://schemas.openxmlformats.org/officeDocument/2006/relationships/hyperlink" Target="https://www.vidio.com/live/20270?schedule_id=4833854" TargetMode="External"/><Relationship Id="rId616" Type="http://schemas.openxmlformats.org/officeDocument/2006/relationships/hyperlink" Target="https://drive.google.com/file/d/1nvihvX9_ENRldt_ak0L6JwLzJ9XDVve_/view?usp=sharing" TargetMode="External"/><Relationship Id="rId5867" Type="http://schemas.openxmlformats.org/officeDocument/2006/relationships/hyperlink" Target="https://drive.google.com/drive/folders/1yHaAz3jyqssQqJL_BHWl1fmFiSY_qsC6?usp=drive_link" TargetMode="External"/><Relationship Id="rId6918" Type="http://schemas.openxmlformats.org/officeDocument/2006/relationships/hyperlink" Target="https://drive.google.com/drive/folders/1BhKJCwrQWMPmukRF_X1L_5IJlxac8Xp_?usp=drive_link" TargetMode="External"/><Relationship Id="rId4469" Type="http://schemas.openxmlformats.org/officeDocument/2006/relationships/hyperlink" Target="https://www.vidio.com/live/17938-serie-a?schedule_id=4706723" TargetMode="External"/><Relationship Id="rId8340" Type="http://schemas.openxmlformats.org/officeDocument/2006/relationships/hyperlink" Target="https://drive.google.com/file/d/1beEm1nTX_oPW1BjsW2BaSmP8v_9H1hoe/view?usp=sharing" TargetMode="External"/><Relationship Id="rId10270" Type="http://schemas.openxmlformats.org/officeDocument/2006/relationships/hyperlink" Target="https://drive.google.com/file/d/1bGAtWdCSL-v2iZg1GvRoYwXZwXVqVH3x/view?usp=sharing" TargetMode="External"/><Relationship Id="rId11321" Type="http://schemas.openxmlformats.org/officeDocument/2006/relationships/hyperlink" Target="https://drive.google.com/file/d/1o_fjG4-DhrhfBnTbVJ1a5gYeGoU05azU/view?usp=sharing" TargetMode="External"/><Relationship Id="rId4950" Type="http://schemas.openxmlformats.org/officeDocument/2006/relationships/hyperlink" Target="https://drive.google.com/file/d/1qmDQie1IXB282vyegifnA5UHWCAveHO4/view?usp=sharing" TargetMode="External"/><Relationship Id="rId3552" Type="http://schemas.openxmlformats.org/officeDocument/2006/relationships/hyperlink" Target="https://www.vidio.com/live/18739-liga-portugal?schedule_id=4768734" TargetMode="External"/><Relationship Id="rId4603" Type="http://schemas.openxmlformats.org/officeDocument/2006/relationships/hyperlink" Target="https://drive.google.com/file/d/1npZWNuglCf1zTJ2AqWXN8Tzic8pdTGHP/view?usp=sharing" TargetMode="External"/><Relationship Id="rId12095" Type="http://schemas.openxmlformats.org/officeDocument/2006/relationships/hyperlink" Target="https://www.vidio.com/live/18252-petronas-malaysia-open-2026-round-of-16-court-3?schedule_id=4832356" TargetMode="External"/><Relationship Id="rId473" Type="http://schemas.openxmlformats.org/officeDocument/2006/relationships/hyperlink" Target="https://drive.google.com/file/d/1xkcQ_EcFF-isIPF5MlIvk-xxpHHQBs3I/view?usp=sharing" TargetMode="External"/><Relationship Id="rId2154" Type="http://schemas.openxmlformats.org/officeDocument/2006/relationships/hyperlink" Target="https://drive.google.com/drive/folders/1gCLKym8Niu3tY1xlBbPJwfhZ-ltZiBSX" TargetMode="External"/><Relationship Id="rId3205" Type="http://schemas.openxmlformats.org/officeDocument/2006/relationships/hyperlink" Target="https://thumbor.prod.vidiocdn.com/6XmKOv93Ep5nTUE_mweeIl2Yzg0=/filters:quality(70)/vidio-media-production/uploads/image/source/52773/0badae.png" TargetMode="External"/><Relationship Id="rId126" Type="http://schemas.openxmlformats.org/officeDocument/2006/relationships/hyperlink" Target="https://drive.google.com/drive/folders/1ZnBlExIc16jpQRJ5yiF_rjC2Vw5bQFo5?usp=drive_link" TargetMode="External"/><Relationship Id="rId5377" Type="http://schemas.openxmlformats.org/officeDocument/2006/relationships/hyperlink" Target="https://drive.google.com/file/d/13y_Meev7-9rqRaxtXHuB2elEJUU3RUBu/view?usp=sharing" TargetMode="External"/><Relationship Id="rId6428" Type="http://schemas.openxmlformats.org/officeDocument/2006/relationships/hyperlink" Target="https://drive.google.com/drive/folders/1F9lLmIvT4-3oh_Jbh-sne-zsyB6ey7v0" TargetMode="External"/><Relationship Id="rId6775" Type="http://schemas.openxmlformats.org/officeDocument/2006/relationships/hyperlink" Target="https://drive.google.com/drive/folders/1NepG6XT-FSa8Cs07sX3tPfQWLNpJfAxp" TargetMode="External"/><Relationship Id="rId7826" Type="http://schemas.openxmlformats.org/officeDocument/2006/relationships/hyperlink" Target="https://drive.google.com/file/d/1LjKQluxTU2_OJDLOzGiRwyed8npWjhcO/view?usp=sharing" TargetMode="External"/><Relationship Id="rId10807" Type="http://schemas.openxmlformats.org/officeDocument/2006/relationships/hyperlink" Target="https://drive.google.com/drive/folders/1Ds-OhdHpsEyMbqMRA2jVZKCBk2hWPw0E?usp=drive_link" TargetMode="External"/><Relationship Id="rId9998" Type="http://schemas.openxmlformats.org/officeDocument/2006/relationships/hyperlink" Target="https://www.vidio.com/live/6299-bein-1?schedule_id=4795173" TargetMode="External"/><Relationship Id="rId1987" Type="http://schemas.openxmlformats.org/officeDocument/2006/relationships/hyperlink" Target="https://drive.google.com/file/d/1Ep6oLCtmf2Ea6a7QUw1JiAedhYKqH3B2/view?usp=sharing" TargetMode="External"/><Relationship Id="rId4460" Type="http://schemas.openxmlformats.org/officeDocument/2006/relationships/hyperlink" Target="https://drive.google.com/drive/folders/190yi0NXB7fqt8awvfrHzHYND0AcQ3r1-?usp=drive_link" TargetMode="External"/><Relationship Id="rId5511" Type="http://schemas.openxmlformats.org/officeDocument/2006/relationships/hyperlink" Target="https://www.vidio.com/live/19602-uefa-europa-league?schedule_id=4591194" TargetMode="External"/><Relationship Id="rId3062" Type="http://schemas.openxmlformats.org/officeDocument/2006/relationships/hyperlink" Target="https://thumbor.prod.vidiocdn.com/TySO3TGzT5mXmygl-NkaKV3Ui9o=/filters:quality(70)/vidio-media-production/uploads/image/source/51612/4ea21f.png" TargetMode="External"/><Relationship Id="rId4113" Type="http://schemas.openxmlformats.org/officeDocument/2006/relationships/hyperlink" Target="https://drive.google.com/file/d/1iZfeopsSlRSPSmCdAd3qTUm4V2RKQIFU/view?usp=sharing" TargetMode="External"/><Relationship Id="rId7683" Type="http://schemas.openxmlformats.org/officeDocument/2006/relationships/hyperlink" Target="https://drive.google.com/file/d/1J0FhKWUEg06Mc2VkLzF25OLQ4ZiZmwRx/view?usp=sharing" TargetMode="External"/><Relationship Id="rId8734" Type="http://schemas.openxmlformats.org/officeDocument/2006/relationships/hyperlink" Target="https://www.vidio.com/live/19745-top-youth-premier-league-2025-matchday-8?schedule_id=4670866" TargetMode="External"/><Relationship Id="rId6285" Type="http://schemas.openxmlformats.org/officeDocument/2006/relationships/hyperlink" Target="https://drive.google.com/drive/folders/1jB_LhJa6GT2zlhwdkunm-UuM97RXc3EC" TargetMode="External"/><Relationship Id="rId7336" Type="http://schemas.openxmlformats.org/officeDocument/2006/relationships/hyperlink" Target="https://drive.google.com/file/d/1n-gQI2av6eW-3XMKxkRckv5NIietE7Tg/view?usp=sharing" TargetMode="External"/><Relationship Id="rId10664" Type="http://schemas.openxmlformats.org/officeDocument/2006/relationships/hyperlink" Target="https://drive.google.com/drive/folders/13LIblcDpul7sOyeTMnzyiqpiPKBlFfhV" TargetMode="External"/><Relationship Id="rId11715" Type="http://schemas.openxmlformats.org/officeDocument/2006/relationships/hyperlink" Target="https://www.vidio.com/live/18252-petronas-malaysia-open-2026-round-of-16-court-3" TargetMode="External"/><Relationship Id="rId10317" Type="http://schemas.openxmlformats.org/officeDocument/2006/relationships/hyperlink" Target="https://www.vidio.com/live/18249-hsbc-bwf-world-tour-finals-2025-group-stage-court-1" TargetMode="External"/><Relationship Id="rId2895" Type="http://schemas.openxmlformats.org/officeDocument/2006/relationships/hyperlink" Target="https://www.vidio.com/live/6317-bein-3?schedule_id=4704452" TargetMode="External"/><Relationship Id="rId3946" Type="http://schemas.openxmlformats.org/officeDocument/2006/relationships/hyperlink" Target="https://drive.google.com/file/d/1DNux4glLBnqI-DzUHKvsJVIQIe0fQ_QF/view?usp=sharing" TargetMode="External"/><Relationship Id="rId867" Type="http://schemas.openxmlformats.org/officeDocument/2006/relationships/hyperlink" Target="https://drive.google.com/file/d/1DUoqYcqPCBKlujzhcMzWBFzF8Zzwhl6s/view?usp=sharing" TargetMode="External"/><Relationship Id="rId1497" Type="http://schemas.openxmlformats.org/officeDocument/2006/relationships/hyperlink" Target="https://drive.google.com/file/d/1WqloEAWryXSvFIbNfWjk-UD6cmZ2IP_1/view?usp=sharing" TargetMode="External"/><Relationship Id="rId2548" Type="http://schemas.openxmlformats.org/officeDocument/2006/relationships/hyperlink" Target="https://www.vidio.com/live/6317-bein-3?schedule_id=4592575" TargetMode="External"/><Relationship Id="rId5021" Type="http://schemas.openxmlformats.org/officeDocument/2006/relationships/hyperlink" Target="https://drive.google.com/drive/folders/1iXXXI8AUN2qzP-l9i7Vb4Z_ch9sn0od-" TargetMode="External"/><Relationship Id="rId8591" Type="http://schemas.openxmlformats.org/officeDocument/2006/relationships/hyperlink" Target="https://drive.google.com/drive/folders/1rV6iBF3BUVJGKbJLmmi7Oe55VA7Nav1A" TargetMode="External"/><Relationship Id="rId9642" Type="http://schemas.openxmlformats.org/officeDocument/2006/relationships/hyperlink" Target="https://www.vidio.com/live/20048-fivb-women-s-volleyball-club-world-championship-2025?schedule_id=4773529" TargetMode="External"/><Relationship Id="rId11572" Type="http://schemas.openxmlformats.org/officeDocument/2006/relationships/hyperlink" Target="https://drive.google.com/file/d/1kumD8pzJSb4aUw9lY_8QBJUiXxTt8T7m/view?usp=sharing" TargetMode="External"/><Relationship Id="rId1631" Type="http://schemas.openxmlformats.org/officeDocument/2006/relationships/hyperlink" Target="https://drive.google.com/file/d/1JqNOg-CPZ0D-lR7HdCk-lWYxA2h_Gp15/view?usp=sharing" TargetMode="External"/><Relationship Id="rId7193" Type="http://schemas.openxmlformats.org/officeDocument/2006/relationships/hyperlink" Target="https://drive.google.com/file/d/1DNux4glLBnqI-DzUHKvsJVIQIe0fQ_QF/view?usp=sharing" TargetMode="External"/><Relationship Id="rId8244" Type="http://schemas.openxmlformats.org/officeDocument/2006/relationships/hyperlink" Target="https://www.vidio.com/live/19692-top-youth-premier-league-2025-matchweek-6?schedule_id=4644421" TargetMode="External"/><Relationship Id="rId10174" Type="http://schemas.openxmlformats.org/officeDocument/2006/relationships/hyperlink" Target="https://www.vidio.com/live/19355-bri-super-league?schedule_id=4759275" TargetMode="External"/><Relationship Id="rId11225" Type="http://schemas.openxmlformats.org/officeDocument/2006/relationships/hyperlink" Target="https://drive.google.com/file/d/1jkio8kcnZyGbN-wJKENweOqx4lbWt1tu/view?usp=sharing" TargetMode="External"/><Relationship Id="rId3456" Type="http://schemas.openxmlformats.org/officeDocument/2006/relationships/hyperlink" Target="https://www.vidio.com/live/6686-champions-tv-2?schedule_id=4520323" TargetMode="External"/><Relationship Id="rId4854" Type="http://schemas.openxmlformats.org/officeDocument/2006/relationships/hyperlink" Target="https://drive.google.com/drive/folders/1QzsgLQgzlAlcd-oiQm-GCqO8Zi-CpwEv?usp=drive_link" TargetMode="External"/><Relationship Id="rId5905" Type="http://schemas.openxmlformats.org/officeDocument/2006/relationships/hyperlink" Target="https://drive.google.com/drive/folders/1L2gSP_uFMn8wwMnKIeloYMZM58i8rq91?usp=drive_link" TargetMode="External"/><Relationship Id="rId377" Type="http://schemas.openxmlformats.org/officeDocument/2006/relationships/hyperlink" Target="https://drive.google.com/file/d/10UhrockCIn0Mc112wYagCkB98AEqppNK/view?usp=sharing" TargetMode="External"/><Relationship Id="rId2058" Type="http://schemas.openxmlformats.org/officeDocument/2006/relationships/hyperlink" Target="https://drive.google.com/drive/folders/1udcFYKRK0Vt1A7U77z0RyG9Rx-4PmJxr" TargetMode="External"/><Relationship Id="rId3109" Type="http://schemas.openxmlformats.org/officeDocument/2006/relationships/hyperlink" Target="https://thumbor.prod.vidiocdn.com/Eti5wqQSUMPptCVktAqj6ptHROo=/filters:quality(70)/vidio-media-production/uploads/image/source/51872/74809e.png" TargetMode="External"/><Relationship Id="rId4507" Type="http://schemas.openxmlformats.org/officeDocument/2006/relationships/hyperlink" Target="https://drive.google.com/file/d/1i6g3huQ3Ve-hrSwaWFLyeW-WKmSJ2EaD/view?usp=sharing" TargetMode="External"/><Relationship Id="rId6679" Type="http://schemas.openxmlformats.org/officeDocument/2006/relationships/hyperlink" Target="https://drive.google.com/file/d/1Fz0JgjHoR8BSTelHQXSbXZX3Dg61KSB7/view?usp=sharing" TargetMode="External"/><Relationship Id="rId9152" Type="http://schemas.openxmlformats.org/officeDocument/2006/relationships/hyperlink" Target="https://drive.google.com/file/d/1-fNtNqPwMS6GFLFtt7rYvda1olJU6LGY/view?usp=sharing" TargetMode="External"/><Relationship Id="rId11082" Type="http://schemas.openxmlformats.org/officeDocument/2006/relationships/hyperlink" Target="https://thumbor.prod.vidiocdn.com/p8ElecCcxEEWQyzp1RqHJdwwRUw=/filters:quality(70)/vidio-media-production/uploads/image/source/52266/af5b77.png" TargetMode="External"/><Relationship Id="rId12133" Type="http://schemas.openxmlformats.org/officeDocument/2006/relationships/hyperlink" Target="https://drive.google.com/drive/folders/1j2A_bH-x2l04Qo4WA98rK5ys1iCEU3UZ" TargetMode="External"/><Relationship Id="rId511" Type="http://schemas.openxmlformats.org/officeDocument/2006/relationships/hyperlink" Target="https://drive.google.com/file/d/1x4mlgHyuGieZGQT2oPU52OMckAWsgsu-/view?usp=sharing" TargetMode="External"/><Relationship Id="rId1141" Type="http://schemas.openxmlformats.org/officeDocument/2006/relationships/hyperlink" Target="https://drive.google.com/file/d/1DKOi4ZcI83Aq5IFulWr5T3Ok1tmTKRzJ/view?usp=drive_link" TargetMode="External"/><Relationship Id="rId5762" Type="http://schemas.openxmlformats.org/officeDocument/2006/relationships/hyperlink" Target="https://drive.google.com/file/d/1mC7iH4mb88FAn6Ued_D87VcL_DU2Nqlf/view?usp=sharing" TargetMode="External"/><Relationship Id="rId6813" Type="http://schemas.openxmlformats.org/officeDocument/2006/relationships/hyperlink" Target="https://drive.google.com/file/d/1HBf8GkhpyCrIUAbt4Sc0RMQdRCIkPV95/view?usp=sharing" TargetMode="External"/><Relationship Id="rId4364" Type="http://schemas.openxmlformats.org/officeDocument/2006/relationships/hyperlink" Target="https://drive.google.com/file/d/1ZBJhEdTHN0GdvOZs3Da8TbSr3VK9l9gK/view?usp=sharing" TargetMode="External"/><Relationship Id="rId5415" Type="http://schemas.openxmlformats.org/officeDocument/2006/relationships/hyperlink" Target="https://drive.google.com/drive/u/0/folders/12hZnLJHI3t3skH4DR9k9Izyxbe8hPXR9" TargetMode="External"/><Relationship Id="rId4017" Type="http://schemas.openxmlformats.org/officeDocument/2006/relationships/hyperlink" Target="https://drive.google.com/file/d/1Ng_yqxC8z-Qcz7qsgOx5NVY9_vlWH8Dl/view?usp=drive_link" TargetMode="External"/><Relationship Id="rId7587" Type="http://schemas.openxmlformats.org/officeDocument/2006/relationships/hyperlink" Target="https://drive.google.com/file/d/1j6C68i3C6d_PkufqudBDxq5pGmNerzio/view?usp=sharing" TargetMode="External"/><Relationship Id="rId8638" Type="http://schemas.openxmlformats.org/officeDocument/2006/relationships/hyperlink" Target="https://drive.google.com/drive/folders/1zdQS4RIQEa9tz6pFr8X4C2kVmEy3RHOA?usp=drive_link" TargetMode="External"/><Relationship Id="rId8985" Type="http://schemas.openxmlformats.org/officeDocument/2006/relationships/hyperlink" Target="https://drive.google.com/drive/folders/1IkaoUyJenYdvnTTgZAIoLD2Kaiec7PVW" TargetMode="External"/><Relationship Id="rId11966" Type="http://schemas.openxmlformats.org/officeDocument/2006/relationships/hyperlink" Target="https://www.vidio.com/live/18252-petronas-malaysia-open-2026-round-of-32-court-3?schedule_id=4832193" TargetMode="External"/><Relationship Id="rId6189" Type="http://schemas.openxmlformats.org/officeDocument/2006/relationships/hyperlink" Target="https://drive.google.com/drive/folders/1z0QSLmNvSJyyT8FLEYRkw6ibg9dSBAVC" TargetMode="External"/><Relationship Id="rId10568" Type="http://schemas.openxmlformats.org/officeDocument/2006/relationships/hyperlink" Target="https://drive.google.com/file/d/1KjRWV92Q_7zHJXI_3BRIuyCnLb7PoxNC/view?usp=sharing" TargetMode="External"/><Relationship Id="rId11619" Type="http://schemas.openxmlformats.org/officeDocument/2006/relationships/hyperlink" Target="https://drive.google.com/drive/folders/1anSmMHxlYrsOZsPCaIbaxKy2O3vn0GO9" TargetMode="External"/><Relationship Id="rId2799" Type="http://schemas.openxmlformats.org/officeDocument/2006/relationships/hyperlink" Target="https://drive.google.com/drive/folders/1cA9KxSRTjbGHfV97cQx2X2tYvii98MF_?usp=drive_link" TargetMode="External"/><Relationship Id="rId3100" Type="http://schemas.openxmlformats.org/officeDocument/2006/relationships/hyperlink" Target="https://www.vidio.com/live/6299-bein-1?schedule_id=4779505" TargetMode="External"/><Relationship Id="rId6670" Type="http://schemas.openxmlformats.org/officeDocument/2006/relationships/hyperlink" Target="https://www.vidio.com/live/6685-champions-tv-1?schedule_id=4592569" TargetMode="External"/><Relationship Id="rId7721" Type="http://schemas.openxmlformats.org/officeDocument/2006/relationships/hyperlink" Target="https://drive.google.com/file/d/1pB7Nx1VCRFE1lr_wC72PpizXuh0YwvBX/view?usp=drive_link" TargetMode="External"/><Relationship Id="rId10702" Type="http://schemas.openxmlformats.org/officeDocument/2006/relationships/hyperlink" Target="https://www.vidio.com/live/19388-rws-muay-thai-2025?schedule_id=4783422" TargetMode="External"/><Relationship Id="rId5272" Type="http://schemas.openxmlformats.org/officeDocument/2006/relationships/hyperlink" Target="https://www.vidio.com/live/17875-bein-2?schedule_id=4684727" TargetMode="External"/><Relationship Id="rId6323" Type="http://schemas.openxmlformats.org/officeDocument/2006/relationships/hyperlink" Target="https://drive.google.com/file/d/1mMbCk9-0ZmQ6VYJKUmVKMjZnNDZ5QcVB/view?usp=sharing" TargetMode="External"/><Relationship Id="rId9893" Type="http://schemas.openxmlformats.org/officeDocument/2006/relationships/hyperlink" Target="https://www.vidio.com/live/19354-bri-super-league?schedule_id=4790748" TargetMode="External"/><Relationship Id="rId1882" Type="http://schemas.openxmlformats.org/officeDocument/2006/relationships/hyperlink" Target="https://drive.google.com/drive/folders/1aexzNkyl8QGtRGJz1_l8iR7bOKhXX5tg" TargetMode="External"/><Relationship Id="rId8495" Type="http://schemas.openxmlformats.org/officeDocument/2006/relationships/hyperlink" Target="https://drive.google.com/drive/folders/1x6zb-01rnkHnFQ_mhjX3Vtw3-BIgLz2r" TargetMode="External"/><Relationship Id="rId9546" Type="http://schemas.openxmlformats.org/officeDocument/2006/relationships/hyperlink" Target="https://www.vidio.com/live/19846-top-soccer-championship-2025-u-13-u-14?schedule_id=4719858" TargetMode="External"/><Relationship Id="rId11476" Type="http://schemas.openxmlformats.org/officeDocument/2006/relationships/hyperlink" Target="https://www.vidio.com/live/18249-hsbc-bwf-world-tour-finals-2025-finals?schedule_id=4789243" TargetMode="External"/><Relationship Id="rId1535" Type="http://schemas.openxmlformats.org/officeDocument/2006/relationships/hyperlink" Target="https://drive.google.com/file/d/1IXV7NxAoDtuvU6n96skRp6tMdtD_zzye/view?usp=sharing" TargetMode="External"/><Relationship Id="rId2933" Type="http://schemas.openxmlformats.org/officeDocument/2006/relationships/hyperlink" Target="https://drive.google.com/file/d/1q-55_yLBEkl9_fW0PwM8QKB2U72Bk6AY/view?usp=sharing" TargetMode="External"/><Relationship Id="rId7097" Type="http://schemas.openxmlformats.org/officeDocument/2006/relationships/hyperlink" Target="https://drive.google.com/drive/folders/17vkMu_oaUMDRrMCrPAeEUoNslxIz96_c" TargetMode="External"/><Relationship Id="rId8148" Type="http://schemas.openxmlformats.org/officeDocument/2006/relationships/hyperlink" Target="https://drive.google.com/file/d/1jeMpriJ2u69Kc9ZOnzhiwIg2ER92eSgW/view?usp=sharing" TargetMode="External"/><Relationship Id="rId10078" Type="http://schemas.openxmlformats.org/officeDocument/2006/relationships/hyperlink" Target="https://www.vidio.com/live/19623-national-football-league-2025-26?schedule_id=4769282" TargetMode="External"/><Relationship Id="rId11129" Type="http://schemas.openxmlformats.org/officeDocument/2006/relationships/hyperlink" Target="https://www.vidio.com/live/20254-fa-cup-2025-26?schedule_id=4832311" TargetMode="External"/><Relationship Id="rId905" Type="http://schemas.openxmlformats.org/officeDocument/2006/relationships/hyperlink" Target="https://drive.google.com/file/d/1GLe_vYCSSgH2z2oO5PY6IIOUNPVd6AbL/view?usp=sharing" TargetMode="External"/><Relationship Id="rId4758" Type="http://schemas.openxmlformats.org/officeDocument/2006/relationships/hyperlink" Target="https://www.vidio.com/live/20109-serie-a?schedule_id=4793940" TargetMode="External"/><Relationship Id="rId5809" Type="http://schemas.openxmlformats.org/officeDocument/2006/relationships/hyperlink" Target="https://drive.google.com/file/d/17BPzhnc2eQNYsYgWKj7ETu-hjNm7Ya10/view?usp=sharing" TargetMode="External"/><Relationship Id="rId6180" Type="http://schemas.openxmlformats.org/officeDocument/2006/relationships/hyperlink" Target="https://drive.google.com/file/d/1FuvT0m4Wm1VWZxVcVL6JBpV6w-wO5Cy6/view?usp=sharing" TargetMode="External"/><Relationship Id="rId11610" Type="http://schemas.openxmlformats.org/officeDocument/2006/relationships/hyperlink" Target="https://www.vidio.com/live/6685-champions-tv-1?schedule_id=4832529" TargetMode="External"/><Relationship Id="rId7231" Type="http://schemas.openxmlformats.org/officeDocument/2006/relationships/hyperlink" Target="https://drive.google.com/file/d/1xRJ6kwxAnhjyisoxpPcCcJTtFMHHFfYK/view?usp=sharing" TargetMode="External"/><Relationship Id="rId10212" Type="http://schemas.openxmlformats.org/officeDocument/2006/relationships/hyperlink" Target="https://drive.google.com/file/d/1oz7MnAP7zgAG2PUQuLIK87Em-5QMCLBX/view?usp=sharing" TargetMode="External"/><Relationship Id="rId2790" Type="http://schemas.openxmlformats.org/officeDocument/2006/relationships/hyperlink" Target="https://drive.google.com/file/d/1rn-HIJI2P18_eB2GBotczkk4R1kmf5wq/view?usp=sharing" TargetMode="External"/><Relationship Id="rId3841" Type="http://schemas.openxmlformats.org/officeDocument/2006/relationships/hyperlink" Target="https://drive.google.com/file/d/1am4vtXMg06j1CJkBzLWxhUQBBNsYAXjo/view?usp=sharing" TargetMode="External"/><Relationship Id="rId12384" Type="http://schemas.openxmlformats.org/officeDocument/2006/relationships/hyperlink" Target="https://drive.google.com/drive/folders/1b4k6Xd9bYzvR8tmKEmYOqigP2l0r7KIX" TargetMode="External"/><Relationship Id="rId762" Type="http://schemas.openxmlformats.org/officeDocument/2006/relationships/hyperlink" Target="https://www.vidio.com/live/18797-premier-league?schedule_id=4726408" TargetMode="External"/><Relationship Id="rId1392" Type="http://schemas.openxmlformats.org/officeDocument/2006/relationships/hyperlink" Target="https://www.vidio.com/live/17938-serie-a?schedule_id=4514279" TargetMode="External"/><Relationship Id="rId2443" Type="http://schemas.openxmlformats.org/officeDocument/2006/relationships/hyperlink" Target="https://drive.google.com/drive/folders/1R1Ug8NpqrGTawBb8UgwQtD0B1Rg-Ra5Y?usp=drive_link" TargetMode="External"/><Relationship Id="rId9056" Type="http://schemas.openxmlformats.org/officeDocument/2006/relationships/hyperlink" Target="https://drive.google.com/file/d/1PqYvrSsNUyhmMFv8hJXg90j4sx-pw1gK/view?usp=sharing" TargetMode="External"/><Relationship Id="rId12037" Type="http://schemas.openxmlformats.org/officeDocument/2006/relationships/hyperlink" Target="https://drive.google.com/file/d/1B4cBF3qrh1sMXG2gV5jmUKJx_gapQy02/view?usp=sharing" TargetMode="External"/><Relationship Id="rId415" Type="http://schemas.openxmlformats.org/officeDocument/2006/relationships/hyperlink" Target="https://drive.google.com/file/d/1G2ndV4s8qL8PlAJUENtYoHgRjgDftalT/view?usp=sharing" TargetMode="External"/><Relationship Id="rId1045" Type="http://schemas.openxmlformats.org/officeDocument/2006/relationships/hyperlink" Target="https://drive.google.com/drive/folders/14WxkEUPV32zs618JjB3C3D3oBUTAzmPV?usp=drive_link" TargetMode="External"/><Relationship Id="rId5666" Type="http://schemas.openxmlformats.org/officeDocument/2006/relationships/hyperlink" Target="https://drive.google.com/file/d/1OxR1Y4jAcBf6BJN80sTR1vf5nYnHO-xE/view?usp=drive_link" TargetMode="External"/><Relationship Id="rId4268" Type="http://schemas.openxmlformats.org/officeDocument/2006/relationships/hyperlink" Target="https://drive.google.com/drive/folders/15-II7ipKAoia1ddwRA92IJ21xrPGVpIb?usp=drive_link" TargetMode="External"/><Relationship Id="rId5319" Type="http://schemas.openxmlformats.org/officeDocument/2006/relationships/hyperlink" Target="https://drive.google.com/file/d/1N3QrICt3MPONHiIp-997Zjtct98oXIPr/view?usp=sharing" TargetMode="External"/><Relationship Id="rId6717" Type="http://schemas.openxmlformats.org/officeDocument/2006/relationships/hyperlink" Target="https://drive.google.com/file/d/1WxXsL-FrHQqfLPBsUCrUnT_-k12kzWNI/view?usp=sharing" TargetMode="External"/><Relationship Id="rId8889" Type="http://schemas.openxmlformats.org/officeDocument/2006/relationships/hyperlink" Target="https://thumbor.prod.vidiocdn.com/hxdJ-Wz0YZNGB4Llz4I46AjlO9w=/filters:quality(70)/vidio-media-production/uploads/image/source/52632/ea7988.png" TargetMode="External"/><Relationship Id="rId11120" Type="http://schemas.openxmlformats.org/officeDocument/2006/relationships/hyperlink" Target="https://www.vidio.com/live/19773-fa-cup-2025-26?schedule_id=4832302" TargetMode="External"/><Relationship Id="rId1929" Type="http://schemas.openxmlformats.org/officeDocument/2006/relationships/hyperlink" Target="https://drive.google.com/file/d/1wX3-T4bt2o8MR-LmF0hi5ktaO-1jJqrR/view?usp=drive_link" TargetMode="External"/><Relationship Id="rId5800" Type="http://schemas.openxmlformats.org/officeDocument/2006/relationships/hyperlink" Target="https://drive.google.com/drive/folders/1l0VFaKBYp14GnOEpNB_Ln9q5mmwxRMub?usp=drive_link" TargetMode="External"/><Relationship Id="rId3351" Type="http://schemas.openxmlformats.org/officeDocument/2006/relationships/hyperlink" Target="https://drive.google.com/drive/folders/1kditXM982QiCIUGvIu_AHbX7JX47i-wV?usp=drive_link" TargetMode="External"/><Relationship Id="rId4402" Type="http://schemas.openxmlformats.org/officeDocument/2006/relationships/hyperlink" Target="https://www.vidio.com/live/19404-serie-a?schedule_id=4678470" TargetMode="External"/><Relationship Id="rId7972" Type="http://schemas.openxmlformats.org/officeDocument/2006/relationships/hyperlink" Target="https://drive.google.com/file/d/10oHx9VDyfBpSxkPEFzfVJq4WnEMNJc6A/view?usp=sharing" TargetMode="External"/><Relationship Id="rId272" Type="http://schemas.openxmlformats.org/officeDocument/2006/relationships/hyperlink" Target="https://www.vidio.com/live/19536-premier-league?schedule_id=4563122" TargetMode="External"/><Relationship Id="rId3004" Type="http://schemas.openxmlformats.org/officeDocument/2006/relationships/hyperlink" Target="https://www.vidio.com/live/17875-bein-2?schedule_id=4736028" TargetMode="External"/><Relationship Id="rId6574" Type="http://schemas.openxmlformats.org/officeDocument/2006/relationships/hyperlink" Target="https://drive.google.com/file/d/1z3Q0LH6ZHpK6872LMSUOYF5CFShKEVp2/view?usp=sharing" TargetMode="External"/><Relationship Id="rId7625" Type="http://schemas.openxmlformats.org/officeDocument/2006/relationships/hyperlink" Target="https://drive.google.com/file/d/1_P4kbd5csTABjloMpcvncPlJtjaHuOcr/view?usp=sharing" TargetMode="External"/><Relationship Id="rId10953" Type="http://schemas.openxmlformats.org/officeDocument/2006/relationships/hyperlink" Target="https://drive.google.com/file/d/1MEaivbSHhdliXXeCqQ4lf3Y_pO3WJjI-/view?usp=sharing" TargetMode="External"/><Relationship Id="rId5176" Type="http://schemas.openxmlformats.org/officeDocument/2006/relationships/hyperlink" Target="https://drive.google.com/file/d/1vmbIme5hU50C6uvnJTFQYeyCcEypszc3/view?usp=sharing" TargetMode="External"/><Relationship Id="rId6227" Type="http://schemas.openxmlformats.org/officeDocument/2006/relationships/hyperlink" Target="https://drive.google.com/file/d/1_dVrjJHUN0-TMVwQlyuTs3hNS0CNC3Uo/view?usp=sharing" TargetMode="External"/><Relationship Id="rId9797" Type="http://schemas.openxmlformats.org/officeDocument/2006/relationships/hyperlink" Target="https://www.vidio.com/live/19880-top-soccer-championship-2025-u-13-u-14?schedule_id=4730508" TargetMode="External"/><Relationship Id="rId10606" Type="http://schemas.openxmlformats.org/officeDocument/2006/relationships/hyperlink" Target="https://www.vidio.com/live/20065-top-soccer-championship-semifinal-u-13-dan-final-u-14-plate" TargetMode="External"/><Relationship Id="rId8399" Type="http://schemas.openxmlformats.org/officeDocument/2006/relationships/hyperlink" Target="https://drive.google.com/file/d/1F8P4REazaTGF-IQsrNIQxPjo_nvB08Wi/view?usp=sharing" TargetMode="External"/><Relationship Id="rId1786" Type="http://schemas.openxmlformats.org/officeDocument/2006/relationships/hyperlink" Target="https://drive.google.com/drive/u/0/folders/1UK6JOYOJJ_5a5WEmGMrjKbPOe1Q5OO4u" TargetMode="External"/><Relationship Id="rId2837" Type="http://schemas.openxmlformats.org/officeDocument/2006/relationships/hyperlink" Target="https://drive.google.com/drive/folders/1Qw3DtXAN1t_qMw8BLCptlzs_xYy9FpGw?usp=drive_link" TargetMode="External"/><Relationship Id="rId809" Type="http://schemas.openxmlformats.org/officeDocument/2006/relationships/hyperlink" Target="https://drive.google.com/file/d/1Y_n9VObp_dr9AkcE5ivmN6YGC0pzULXc/view?usp=sharing" TargetMode="External"/><Relationship Id="rId1439" Type="http://schemas.openxmlformats.org/officeDocument/2006/relationships/hyperlink" Target="https://3.basecamp.com/4902751/buckets/36763424/card_tables/cards/8876951617" TargetMode="External"/><Relationship Id="rId5310" Type="http://schemas.openxmlformats.org/officeDocument/2006/relationships/hyperlink" Target="https://www.vidio.com/live/18301-uefa-champions-league?schedule_id=4733525" TargetMode="External"/><Relationship Id="rId8880" Type="http://schemas.openxmlformats.org/officeDocument/2006/relationships/hyperlink" Target="https://drive.google.com/file/d/1IMVAzE-aLr4VrM_l5Cs3r5Ko0X7vm6FJ/view?usp=sharing" TargetMode="External"/><Relationship Id="rId9931" Type="http://schemas.openxmlformats.org/officeDocument/2006/relationships/hyperlink" Target="https://www.vidio.com/live/17140-spotv-2?schedule_id=4736083" TargetMode="External"/><Relationship Id="rId11861" Type="http://schemas.openxmlformats.org/officeDocument/2006/relationships/hyperlink" Target="https://drive.google.com/file/d/1_VFmtjeoa1jB6YMFl35R4XO6xs8PdX7H/view?usp=sharing" TargetMode="External"/><Relationship Id="rId1920" Type="http://schemas.openxmlformats.org/officeDocument/2006/relationships/hyperlink" Target="https://www.vidio.com/live/19354-bri-super-league?schedule_id=4667502" TargetMode="External"/><Relationship Id="rId7482" Type="http://schemas.openxmlformats.org/officeDocument/2006/relationships/hyperlink" Target="https://drive.google.com/file/d/1DNux4glLBnqI-DzUHKvsJVIQIe0fQ_QF/view?usp=sharing" TargetMode="External"/><Relationship Id="rId8533" Type="http://schemas.openxmlformats.org/officeDocument/2006/relationships/hyperlink" Target="https://drive.google.com/file/d/13JmXpBG832rk8p0se1zVQCk_5Anj-wYI/view?usp=sharing" TargetMode="External"/><Relationship Id="rId10463" Type="http://schemas.openxmlformats.org/officeDocument/2006/relationships/hyperlink" Target="https://drive.google.com/file/d/1DNux4glLBnqI-DzUHKvsJVIQIe0fQ_QF/view?usp=sharing" TargetMode="External"/><Relationship Id="rId11514" Type="http://schemas.openxmlformats.org/officeDocument/2006/relationships/hyperlink" Target="https://drive.google.com/file/d/104sCiBPPf9jTrjKhsM8q64alTi8jZjVD/view?usp=sharing" TargetMode="External"/><Relationship Id="rId6084" Type="http://schemas.openxmlformats.org/officeDocument/2006/relationships/hyperlink" Target="https://drive.google.com/file/d/1dujxm8Sxyr1ODKwwxyoGi8GEgAACX8Dx/view?usp=sharing" TargetMode="External"/><Relationship Id="rId7135" Type="http://schemas.openxmlformats.org/officeDocument/2006/relationships/hyperlink" Target="https://drive.google.com/drive/folders/1-Jh_7pRetIbC7wHuDn9gtP-AsN5SKKNu?usp=drive_link" TargetMode="External"/><Relationship Id="rId10116" Type="http://schemas.openxmlformats.org/officeDocument/2006/relationships/hyperlink" Target="https://www.vidio.com/live/19996?schedule_id=4743071" TargetMode="External"/><Relationship Id="rId2694" Type="http://schemas.openxmlformats.org/officeDocument/2006/relationships/hyperlink" Target="https://drive.google.com/file/d/1xy1L9_OAEFtvmd9p2vwOvVOmjSQShQMK/view?usp=sharing" TargetMode="External"/><Relationship Id="rId3745" Type="http://schemas.openxmlformats.org/officeDocument/2006/relationships/hyperlink" Target="https://drive.google.com/drive/folders/1FUYVGFcWOBPvkAkkVI3fj_0oBsXNzTzB?usp=drive_link" TargetMode="External"/><Relationship Id="rId12288" Type="http://schemas.openxmlformats.org/officeDocument/2006/relationships/hyperlink" Target="https://www.vidio.com/live/20278" TargetMode="External"/><Relationship Id="rId666" Type="http://schemas.openxmlformats.org/officeDocument/2006/relationships/hyperlink" Target="https://www.vidio.com/live/9183-champions-tv-6?schedule_id=4707266" TargetMode="External"/><Relationship Id="rId1296" Type="http://schemas.openxmlformats.org/officeDocument/2006/relationships/hyperlink" Target="https://www.vidio.com/live/19404-serie-a?schedule_id=4523391" TargetMode="External"/><Relationship Id="rId2347" Type="http://schemas.openxmlformats.org/officeDocument/2006/relationships/hyperlink" Target="https://drive.google.com/file/d/1670JHV55mIAQopbk1md_4gemwXltSnFe/view?usp=sharing" TargetMode="External"/><Relationship Id="rId319" Type="http://schemas.openxmlformats.org/officeDocument/2006/relationships/hyperlink" Target="https://drive.google.com/file/d/18C7HTChytH1e3qrG90OEVjk2Tb2cr6sP/view?usp=sharing" TargetMode="External"/><Relationship Id="rId6968" Type="http://schemas.openxmlformats.org/officeDocument/2006/relationships/hyperlink" Target="https://drive.google.com/file/d/1auISIXd-f9QmVk2tKlsKMcHLGpPvR5w1/view?usp=sharing" TargetMode="External"/><Relationship Id="rId8390" Type="http://schemas.openxmlformats.org/officeDocument/2006/relationships/hyperlink" Target="https://drive.google.com/file/d/1HGJcqFT27C9Qpwh9sF2Zq0kEFReR372k/view?usp=sharing" TargetMode="External"/><Relationship Id="rId8043" Type="http://schemas.openxmlformats.org/officeDocument/2006/relationships/hyperlink" Target="https://drive.google.com/drive/folders/1MLktK8rweQ_BIkG6nwuF983pKt-qHVrV?usp=drive_link" TargetMode="External"/><Relationship Id="rId9441" Type="http://schemas.openxmlformats.org/officeDocument/2006/relationships/hyperlink" Target="https://drive.google.com/drive/folders/1UxuisFHhYE8bRMN2UC2t4LggxtnHloip?usp=drive_link" TargetMode="External"/><Relationship Id="rId11371" Type="http://schemas.openxmlformats.org/officeDocument/2006/relationships/hyperlink" Target="https://drive.google.com/file/d/1DNux4glLBnqI-DzUHKvsJVIQIe0fQ_QF/view?usp=drive_link" TargetMode="External"/><Relationship Id="rId12422" Type="http://schemas.openxmlformats.org/officeDocument/2006/relationships/hyperlink" Target="https://drive.google.com/file/d/15XWbtbUwFEgrO0Ju6sNJKkMPQkRxrMB0/view?usp=sharing" TargetMode="External"/><Relationship Id="rId800" Type="http://schemas.openxmlformats.org/officeDocument/2006/relationships/hyperlink" Target="https://drive.google.com/file/d/1u3XPtNKL0tMCe1GQirCC7igUVWdV_uGd/view?usp=sharing" TargetMode="External"/><Relationship Id="rId1430" Type="http://schemas.openxmlformats.org/officeDocument/2006/relationships/hyperlink" Target="https://www.vidio.com/live/19353-bri-super-league?schedule_id=4484474" TargetMode="External"/><Relationship Id="rId11024" Type="http://schemas.openxmlformats.org/officeDocument/2006/relationships/hyperlink" Target="https://thumbor.prod.vidiocdn.com/e-xd8zZmmfQXQ2LFeybMQKFd2Nk=/filters:quality(70)/vidio-media-production/uploads/image/source/53163/ddf9fe.png" TargetMode="External"/><Relationship Id="rId4653" Type="http://schemas.openxmlformats.org/officeDocument/2006/relationships/hyperlink" Target="https://drive.google.com/drive/folders/1uTLa4-23Hyj4enjT7nmeE5Z8SvRO5-UA?usp=drive_link" TargetMode="External"/><Relationship Id="rId5704" Type="http://schemas.openxmlformats.org/officeDocument/2006/relationships/hyperlink" Target="https://drive.google.com/drive/folders/1Xlp5aunryVlWR8atbAp6mL9dfJO63aR4?usp=drive_link" TargetMode="External"/><Relationship Id="rId3255" Type="http://schemas.openxmlformats.org/officeDocument/2006/relationships/hyperlink" Target="https://www.vidio.com/live/6299-bein-1?schedule_id=4832299" TargetMode="External"/><Relationship Id="rId4306" Type="http://schemas.openxmlformats.org/officeDocument/2006/relationships/hyperlink" Target="https://drive.google.com/drive/folders/15-II7ipKAoia1ddwRA92IJ21xrPGVpIb?usp=drive_link" TargetMode="External"/><Relationship Id="rId7876" Type="http://schemas.openxmlformats.org/officeDocument/2006/relationships/hyperlink" Target="https://drive.google.com/drive/folders/1tEXjV2SSVod2x4PkeYHsYFaoHFyCS-Uk" TargetMode="External"/><Relationship Id="rId8927" Type="http://schemas.openxmlformats.org/officeDocument/2006/relationships/hyperlink" Target="https://thumbor.prod.vidiocdn.com/W4OnqpGkHOg5WgEiXzkkIkW3JzA=/filters:quality(70)/vidio-media-production/uploads/image/source/52683/cacddb.png" TargetMode="External"/><Relationship Id="rId176" Type="http://schemas.openxmlformats.org/officeDocument/2006/relationships/hyperlink" Target="https://drive.google.com/file/d/1f_1db62-szpB0lA4_PnnHUmeBl6BQQ-J/view?usp=sharing" TargetMode="External"/><Relationship Id="rId6478" Type="http://schemas.openxmlformats.org/officeDocument/2006/relationships/hyperlink" Target="https://drive.google.com/file/d/1ZCtBQ42PBlTWoZ9TJyE6v_9npq2DUSP8/view?usp=sharing" TargetMode="External"/><Relationship Id="rId7529" Type="http://schemas.openxmlformats.org/officeDocument/2006/relationships/hyperlink" Target="https://drive.google.com/file/d/12uSOac87fZz-xKFPSyA2eWB2wqYAPEsn/view?usp=sharing" TargetMode="External"/><Relationship Id="rId10857" Type="http://schemas.openxmlformats.org/officeDocument/2006/relationships/hyperlink" Target="https://drive.google.com/file/d/1ehPHlNfv24yKS4qwWvbp5EP5ggNmJREB/view?usp=sharing" TargetMode="External"/><Relationship Id="rId11908" Type="http://schemas.openxmlformats.org/officeDocument/2006/relationships/hyperlink" Target="https://drive.google.com/drive/folders/1gqnmBiDc9HaK7fTi5sC9yJeePuPZJkd8?usp=drive_link" TargetMode="External"/><Relationship Id="rId310" Type="http://schemas.openxmlformats.org/officeDocument/2006/relationships/hyperlink" Target="https://drive.google.com/drive/folders/16KPsK9K0mVahy0NKMh1LLjDSdQ-qrIKf?usp=drive_link" TargetMode="External"/><Relationship Id="rId5561" Type="http://schemas.openxmlformats.org/officeDocument/2006/relationships/hyperlink" Target="https://drive.google.com/drive/folders/1YwCs2VF7_cwIoUfNnRQhkqsttHYfXf4Z?usp=drive_link" TargetMode="External"/><Relationship Id="rId6612" Type="http://schemas.openxmlformats.org/officeDocument/2006/relationships/hyperlink" Target="https://drive.google.com/drive/folders/1K521MMt9EZyrQG9c0qOyNqhN3e2Qx_IE?usp=drive_link" TargetMode="External"/><Relationship Id="rId4163" Type="http://schemas.openxmlformats.org/officeDocument/2006/relationships/hyperlink" Target="https://drive.google.com/drive/folders/1tia6v4elSjYt0ip0lAMMTPYagWB8TJZK?usp=drive_link" TargetMode="External"/><Relationship Id="rId5214" Type="http://schemas.openxmlformats.org/officeDocument/2006/relationships/hyperlink" Target="https://drive.google.com/file/d/10peZ2Yd-yQmWvJ-6LzQrFZUr4ePba5LC/view?usp=sharing" TargetMode="External"/><Relationship Id="rId8784" Type="http://schemas.openxmlformats.org/officeDocument/2006/relationships/hyperlink" Target="https://drive.google.com/file/d/10GpyZn5X8WAwGP4nKK4i0KX70aKRSZAO/view?usp=sharing" TargetMode="External"/><Relationship Id="rId9835" Type="http://schemas.openxmlformats.org/officeDocument/2006/relationships/hyperlink" Target="https://drive.google.com/file/d/1bGAtWdCSL-v2iZg1GvRoYwXZwXVqVH3x/view?usp=sharing" TargetMode="External"/><Relationship Id="rId11765" Type="http://schemas.openxmlformats.org/officeDocument/2006/relationships/hyperlink" Target="https://drive.google.com/file/d/1tq10VqEAueiOje-CDYq35mhpWoBSDUZa/view?usp=drive_link" TargetMode="External"/><Relationship Id="rId49" Type="http://schemas.openxmlformats.org/officeDocument/2006/relationships/hyperlink" Target="https://drive.google.com/file/d/1LNGhzPc7JlRNrd9Xd4EWlFlBc55YSgzs/view?usp=sharing" TargetMode="External"/><Relationship Id="rId1824" Type="http://schemas.openxmlformats.org/officeDocument/2006/relationships/hyperlink" Target="https://drive.google.com/file/d/1W04C1men-Jq3aPDSgvN1ROrd9Vk7nQQr/view?usp=drive_link" TargetMode="External"/><Relationship Id="rId7386" Type="http://schemas.openxmlformats.org/officeDocument/2006/relationships/hyperlink" Target="https://drive.google.com/file/d/1rODIPe-lJpNjbiTnZL3SZXrIRCRZEWjB/view?usp=sharing" TargetMode="External"/><Relationship Id="rId8437" Type="http://schemas.openxmlformats.org/officeDocument/2006/relationships/hyperlink" Target="https://drive.google.com/file/d/1p03t7DJ1OjYksp9QI9QjbmyNVmdkbl5k/view?usp=drive_link" TargetMode="External"/><Relationship Id="rId10367" Type="http://schemas.openxmlformats.org/officeDocument/2006/relationships/hyperlink" Target="https://drive.google.com/file/d/1EqAGqndjsd7teOWXMTWpvVaNXNUriGIf/view?usp=sharing" TargetMode="External"/><Relationship Id="rId11418" Type="http://schemas.openxmlformats.org/officeDocument/2006/relationships/hyperlink" Target="https://drive.google.com/drive/folders/1o1U6Xrma6-i_C__CorH7pl8eIMeOupbW" TargetMode="External"/><Relationship Id="rId7039" Type="http://schemas.openxmlformats.org/officeDocument/2006/relationships/hyperlink" Target="https://drive.google.com/drive/folders/1lYsUvIg3njXuOaf4UUt9Vr5QC8VS7lzn?usp=drive_link" TargetMode="External"/><Relationship Id="rId2598" Type="http://schemas.openxmlformats.org/officeDocument/2006/relationships/hyperlink" Target="https://drive.google.com/file/d/1_mN9mAIfdcgyZBG1lebluYVvK_IifGun/view?usp=drive_link" TargetMode="External"/><Relationship Id="rId3996" Type="http://schemas.openxmlformats.org/officeDocument/2006/relationships/hyperlink" Target="https://drive.google.com/file/d/18-vB-iLeeZgORqT5aKbzqQlEg4rxya2O/view?usp=sharing" TargetMode="External"/><Relationship Id="rId3649" Type="http://schemas.openxmlformats.org/officeDocument/2006/relationships/hyperlink" Target="https://drive.google.com/file/d/1Xs6z4jXYvieO87yRndQj4Jnou-3C45ZJ/view?usp=sharing" TargetMode="External"/><Relationship Id="rId5071" Type="http://schemas.openxmlformats.org/officeDocument/2006/relationships/hyperlink" Target="https://drive.google.com/file/d/10JXarEpssGG7V9ZuDBfCD5LX5Cm2fSOP/view?usp=sharing" TargetMode="External"/><Relationship Id="rId6122" Type="http://schemas.openxmlformats.org/officeDocument/2006/relationships/hyperlink" Target="https://drive.google.com/file/d/1Csi-QfOfxXWyJFYrOe9UC8DZDq6myNFH/view?usp=drive_link" TargetMode="External"/><Relationship Id="rId7520" Type="http://schemas.openxmlformats.org/officeDocument/2006/relationships/hyperlink" Target="https://drive.google.com/file/d/1MWtDaD778JPBHUQZ-kfqHP-eFs7UJdMU/view?usp=sharing" TargetMode="External"/><Relationship Id="rId10501" Type="http://schemas.openxmlformats.org/officeDocument/2006/relationships/hyperlink" Target="https://drive.google.com/file/d/1Q_L8GEiRMZYRhUU6SRmcPnW-47XkNiok/view" TargetMode="External"/><Relationship Id="rId9692" Type="http://schemas.openxmlformats.org/officeDocument/2006/relationships/hyperlink" Target="https://drive.google.com/file/d/1lQm6hsYNy8mkU8lfSmb9KxOQC-ylOMDT/view?usp=sharing" TargetMode="External"/><Relationship Id="rId1681" Type="http://schemas.openxmlformats.org/officeDocument/2006/relationships/hyperlink" Target="https://drive.google.com/file/d/116kurLWhy2gfoNullVXL-pbKCB3W7uoE/view?usp=drive_link" TargetMode="External"/><Relationship Id="rId2732" Type="http://schemas.openxmlformats.org/officeDocument/2006/relationships/hyperlink" Target="https://drive.google.com/file/d/1ic6B5r5RCA2V4CBympvPDAGNye6K6uQF/view?usp=sharing" TargetMode="External"/><Relationship Id="rId8294" Type="http://schemas.openxmlformats.org/officeDocument/2006/relationships/hyperlink" Target="https://drive.google.com/drive/folders/19UQfgJJkNn484H7S8bF4f8y0_TEHtLL1?usp=drive_link" TargetMode="External"/><Relationship Id="rId9345" Type="http://schemas.openxmlformats.org/officeDocument/2006/relationships/hyperlink" Target="https://drive.google.com/drive/folders/1QkSIaxqylg6PMFkxvHki5USLkwcyzIqo" TargetMode="External"/><Relationship Id="rId11275" Type="http://schemas.openxmlformats.org/officeDocument/2006/relationships/hyperlink" Target="https://drive.google.com/file/d/1x4i9Q9Je5JQ6vvz3-KdmP6Z1BQVF3Dky/view?usp=sharing" TargetMode="External"/><Relationship Id="rId12326" Type="http://schemas.openxmlformats.org/officeDocument/2006/relationships/hyperlink" Target="https://www.vidio.com/live/20266" TargetMode="External"/><Relationship Id="rId704" Type="http://schemas.openxmlformats.org/officeDocument/2006/relationships/hyperlink" Target="https://drive.google.com/drive/folders/1ds9PMo8hFSwSpLmEp1JSAss9vLnn8zkw" TargetMode="External"/><Relationship Id="rId1334" Type="http://schemas.openxmlformats.org/officeDocument/2006/relationships/hyperlink" Target="https://drive.google.com/file/d/1G88IYjO_nN6bBVGLSZehzhLANiwzcjgm/view?usp=sharing" TargetMode="External"/><Relationship Id="rId5955" Type="http://schemas.openxmlformats.org/officeDocument/2006/relationships/hyperlink" Target="https://drive.google.com/drive/folders/1pYi5qIT6QdvkfDRfWH0qsk97hfAPMoyN?usp=drive_link" TargetMode="External"/><Relationship Id="rId40" Type="http://schemas.openxmlformats.org/officeDocument/2006/relationships/hyperlink" Target="https://drive.google.com/file/d/1EDeZUYabUwMMSgJ9EPQvklVnwSuZFxmh/view?usp=sharing" TargetMode="External"/><Relationship Id="rId4557" Type="http://schemas.openxmlformats.org/officeDocument/2006/relationships/hyperlink" Target="https://drive.google.com/file/d/1uZKPABt7MQhreRMPzxlZ73Uye8nDJPn5/view?usp=sharing" TargetMode="External"/><Relationship Id="rId5608" Type="http://schemas.openxmlformats.org/officeDocument/2006/relationships/hyperlink" Target="https://drive.google.com/file/d/1-xHljgsdY6zlBknuyPh1QaMrC0H9fUj4/view?usp=sharing" TargetMode="External"/><Relationship Id="rId3159" Type="http://schemas.openxmlformats.org/officeDocument/2006/relationships/hyperlink" Target="https://drive.google.com/drive/folders/1FM-MDRvSiv1mxNDR2rKAB6EJvFSWljzr?usp=drive_link" TargetMode="External"/><Relationship Id="rId7030" Type="http://schemas.openxmlformats.org/officeDocument/2006/relationships/hyperlink" Target="https://drive.google.com/file/d/1YloZ2_2z2IfH49G_smvPuh2LWvI6CMj6/view?usp=drive_link" TargetMode="External"/><Relationship Id="rId10011" Type="http://schemas.openxmlformats.org/officeDocument/2006/relationships/hyperlink" Target="https://drive.google.com/drive/folders/1yluQRAorHOpLAGE5x3nDEEiapx8bp7sF" TargetMode="External"/><Relationship Id="rId1191" Type="http://schemas.openxmlformats.org/officeDocument/2006/relationships/hyperlink" Target="https://www.vidio.com/live/9182-champions-tv-5?schedule_id=4802202" TargetMode="External"/><Relationship Id="rId3640" Type="http://schemas.openxmlformats.org/officeDocument/2006/relationships/hyperlink" Target="https://www.vidio.com/live/6686-champions-tv-2?schedule_id=4516120" TargetMode="External"/><Relationship Id="rId12183" Type="http://schemas.openxmlformats.org/officeDocument/2006/relationships/hyperlink" Target="https://www.vidio.com/live/20269-liga-topskor-greater-jakarta-pekan-pertama-u-14-lapangan-kedung-halang?schedule_id=4833852" TargetMode="External"/><Relationship Id="rId561" Type="http://schemas.openxmlformats.org/officeDocument/2006/relationships/hyperlink" Target="https://drive.google.com/drive/folders/1OC7g93t90TA6YYBkiC5OD6adLpJGogRy?usp=drive_link" TargetMode="External"/><Relationship Id="rId2242" Type="http://schemas.openxmlformats.org/officeDocument/2006/relationships/hyperlink" Target="https://drive.google.com/drive/folders/1qCcBp9HXryO0KKa5HH_MTnpOd8vRfd9G" TargetMode="External"/><Relationship Id="rId6863" Type="http://schemas.openxmlformats.org/officeDocument/2006/relationships/hyperlink" Target="https://drive.google.com/drive/folders/1GAocAJfGoA9xqgoGyfcSL5u6SV_DlpCr?usp=drive_link" TargetMode="External"/><Relationship Id="rId7914" Type="http://schemas.openxmlformats.org/officeDocument/2006/relationships/hyperlink" Target="https://www.vidio.com/live/17923-men-s-turkish-volleyball-cup?schedule_id=4660159" TargetMode="External"/><Relationship Id="rId214" Type="http://schemas.openxmlformats.org/officeDocument/2006/relationships/hyperlink" Target="https://www.vidio.com/live/9182-champions-tv-5?schedule_id=4562504" TargetMode="External"/><Relationship Id="rId5465" Type="http://schemas.openxmlformats.org/officeDocument/2006/relationships/hyperlink" Target="https://www.vidio.com/live/6299-bein-1?schedule_id=4773128" TargetMode="External"/><Relationship Id="rId6516" Type="http://schemas.openxmlformats.org/officeDocument/2006/relationships/hyperlink" Target="https://drive.google.com/file/d/1UaSJ2YNoYkQxNzhYV8Yf6CkwT0JjLvdq/view?usp=drive_link" TargetMode="External"/><Relationship Id="rId4067" Type="http://schemas.openxmlformats.org/officeDocument/2006/relationships/hyperlink" Target="https://www.vidio.com/live/19404-serie-a?schedule_id=4579876" TargetMode="External"/><Relationship Id="rId5118" Type="http://schemas.openxmlformats.org/officeDocument/2006/relationships/hyperlink" Target="https://drive.google.com/drive/folders/1d8RfZ3AxKm4vcq0d__doqb5lGvVI-NuD" TargetMode="External"/><Relationship Id="rId8688" Type="http://schemas.openxmlformats.org/officeDocument/2006/relationships/hyperlink" Target="https://3.basecamp.com/4902751/buckets/36763424/card_tables/cards/9207245094" TargetMode="External"/><Relationship Id="rId9739" Type="http://schemas.openxmlformats.org/officeDocument/2006/relationships/hyperlink" Target="https://drive.google.com/file/d/1TDoZTezS7a2xxkjOgRewhLmrOquIFkhB/view?usp=sharing" TargetMode="External"/><Relationship Id="rId11669" Type="http://schemas.openxmlformats.org/officeDocument/2006/relationships/hyperlink" Target="https://thumbor.prod.vidiocdn.com/R78ph6BoE2uBdl492sOIH68NL4s=/filters:quality(70)/vidio-media-production/uploads/image/source/52876/e7b2c7.png" TargetMode="External"/><Relationship Id="rId1728" Type="http://schemas.openxmlformats.org/officeDocument/2006/relationships/hyperlink" Target="https://drive.google.com/file/d/1kwV2kAoeWcF_cy7J_HAMK4mqt6SnqGsu/view?usp=drive_link" TargetMode="External"/><Relationship Id="rId3150" Type="http://schemas.openxmlformats.org/officeDocument/2006/relationships/hyperlink" Target="https://thumbor.prod.vidiocdn.com/lUNB-E-JTGkFmmnKpUZUtvgxeYw=/filters:quality(70)/vidio-media-production/uploads/image/source/52104/147ab1.png" TargetMode="External"/><Relationship Id="rId4201" Type="http://schemas.openxmlformats.org/officeDocument/2006/relationships/hyperlink" Target="https://www.vidio.com/live/19404-serie-a?schedule_id=4652729" TargetMode="External"/><Relationship Id="rId7771" Type="http://schemas.openxmlformats.org/officeDocument/2006/relationships/hyperlink" Target="https://drive.google.com/drive/folders/1zTY2LLiEU4PNtRh2IP1fhOxssTdLTHbq?usp=drive_link" TargetMode="External"/><Relationship Id="rId8822" Type="http://schemas.openxmlformats.org/officeDocument/2006/relationships/hyperlink" Target="https://drive.google.com/file/d/1Pct3lbaN3G7iQK_zsRVfsRWMttBfDXit/view?usp=drive_link" TargetMode="External"/><Relationship Id="rId10752" Type="http://schemas.openxmlformats.org/officeDocument/2006/relationships/hyperlink" Target="https://drive.google.com/drive/folders/1E-CjoslWcB3Rw4bRvdCZJgChkKSBB3uC?usp=drive_link" TargetMode="External"/><Relationship Id="rId11803" Type="http://schemas.openxmlformats.org/officeDocument/2006/relationships/hyperlink" Target="https://drive.google.com/file/d/1RIdu0rLRYY-CcEhNst79TGneBIY0eBo8/view?usp=sharing" TargetMode="External"/><Relationship Id="rId6373" Type="http://schemas.openxmlformats.org/officeDocument/2006/relationships/hyperlink" Target="https://drive.google.com/drive/folders/1_QyyUC0KxsA5I5XnGSR_moWG1pYIaeRU" TargetMode="External"/><Relationship Id="rId7424" Type="http://schemas.openxmlformats.org/officeDocument/2006/relationships/hyperlink" Target="https://drive.google.com/drive/folders/1XgmPzX3jf5MYapNwgaFbfIcgKpx_haI3?usp=drive_link" TargetMode="External"/><Relationship Id="rId10405" Type="http://schemas.openxmlformats.org/officeDocument/2006/relationships/hyperlink" Target="https://www.vidio.com/live/19737-turkish-volleyball-league?schedule_id=4783610" TargetMode="External"/><Relationship Id="rId2983" Type="http://schemas.openxmlformats.org/officeDocument/2006/relationships/hyperlink" Target="https://drive.google.com/drive/folders/1hfcarZQQTW9iAZReqcSurlYy_boiq7jw?usp=drive_link" TargetMode="External"/><Relationship Id="rId6026" Type="http://schemas.openxmlformats.org/officeDocument/2006/relationships/hyperlink" Target="https://drive.google.com/drive/folders/1iMAxXLWEL2CIdG0m7-jx-6FB9XkHQpW-?usp=drive_link" TargetMode="External"/><Relationship Id="rId9596" Type="http://schemas.openxmlformats.org/officeDocument/2006/relationships/hyperlink" Target="https://drive.google.com/drive/folders/1YFmHaUSkksQm8KbcSJwcSsOoTnlrIR5n?usp=drive_link" TargetMode="External"/><Relationship Id="rId955" Type="http://schemas.openxmlformats.org/officeDocument/2006/relationships/hyperlink" Target="https://drive.google.com/drive/folders/1Yg3R9x1Az9k5IhLaWdqt200f3plZx8sF?usp=drive_link" TargetMode="External"/><Relationship Id="rId1585" Type="http://schemas.openxmlformats.org/officeDocument/2006/relationships/hyperlink" Target="https://drive.google.com/file/d/1LR9H1msmLZx5iMzN2Lu1508raFUlgmzI/view?usp=drive_link" TargetMode="External"/><Relationship Id="rId2636" Type="http://schemas.openxmlformats.org/officeDocument/2006/relationships/hyperlink" Target="https://drive.google.com/file/d/14W0K99pusM-lxZURPD6qutFO6fP52ucO/view?usp=sharing" TargetMode="External"/><Relationship Id="rId8198" Type="http://schemas.openxmlformats.org/officeDocument/2006/relationships/hyperlink" Target="https://drive.google.com/drive/folders/1Kwn6BvSlXU3JwgDMIGoaK3SdBt5Bb2pt" TargetMode="External"/><Relationship Id="rId9249" Type="http://schemas.openxmlformats.org/officeDocument/2006/relationships/hyperlink" Target="https://www.vidio.com/live/19812-top-soccer-championship-2025-u-15?schedule_id=4708847" TargetMode="External"/><Relationship Id="rId11179" Type="http://schemas.openxmlformats.org/officeDocument/2006/relationships/hyperlink" Target="https://drive.google.com/drive/folders/1pBL2Vu4TmsR7wzf0j8psh2JTh2hTX8Od" TargetMode="External"/><Relationship Id="rId608" Type="http://schemas.openxmlformats.org/officeDocument/2006/relationships/hyperlink" Target="https://drive.google.com/drive/folders/1reJgqrta8-x_LZOVIyNxF2oALmNOZ9ZP?usp=drive_link" TargetMode="External"/><Relationship Id="rId1238" Type="http://schemas.openxmlformats.org/officeDocument/2006/relationships/hyperlink" Target="https://drive.google.com/drive/folders/1YbRN6VX-D4nKwQK4N29Na8DapMGtUnsZ?usp=drive_link" TargetMode="External"/><Relationship Id="rId5859" Type="http://schemas.openxmlformats.org/officeDocument/2006/relationships/hyperlink" Target="https://drive.google.com/file/d/1un_3tcK6pTLxtH7SZkmHrDHY2qMCr7qY/view?usp=sharing" TargetMode="External"/><Relationship Id="rId7281" Type="http://schemas.openxmlformats.org/officeDocument/2006/relationships/hyperlink" Target="https://drive.google.com/drive/folders/1nLZG9RTono0OazMANAQudBP1FYZeNl2F?usp=drive_link" TargetMode="External"/><Relationship Id="rId8332" Type="http://schemas.openxmlformats.org/officeDocument/2006/relationships/hyperlink" Target="https://drive.google.com/file/d/1dTcWMY3cp7iEszx1v5teZ5NtUFPEjVtJ/view?usp=sharing" TargetMode="External"/><Relationship Id="rId9730" Type="http://schemas.openxmlformats.org/officeDocument/2006/relationships/hyperlink" Target="https://drive.google.com/file/d/1GlM96AFw9bFbhd2ddwpYwgpp5t2ngzbU/view?usp=drive_link" TargetMode="External"/><Relationship Id="rId11660" Type="http://schemas.openxmlformats.org/officeDocument/2006/relationships/hyperlink" Target="https://drive.google.com/file/d/1Ey0_lICYBuP0A_Up3epSdJzmyeS6bm5N/view?usp=sharing" TargetMode="External"/><Relationship Id="rId10262" Type="http://schemas.openxmlformats.org/officeDocument/2006/relationships/hyperlink" Target="https://drive.google.com/file/d/1bGAtWdCSL-v2iZg1GvRoYwXZwXVqVH3x/view?usp=drivesdk" TargetMode="External"/><Relationship Id="rId11313" Type="http://schemas.openxmlformats.org/officeDocument/2006/relationships/hyperlink" Target="https://drive.google.com/drive/folders/1VQluEuvQKLgV24xZYFA0LZt2SHPfB3Wi" TargetMode="External"/><Relationship Id="rId3891" Type="http://schemas.openxmlformats.org/officeDocument/2006/relationships/hyperlink" Target="https://drive.google.com/file/d/1qD2tnd8U-nL0yQrQPblmMFVgUo3SG24T/view?usp=sharing" TargetMode="External"/><Relationship Id="rId4942" Type="http://schemas.openxmlformats.org/officeDocument/2006/relationships/hyperlink" Target="https://drive.google.com/file/d/1xCmCpWdsFl5tvLFObf4lq_s6pSK1kKpx/view?usp=sharing" TargetMode="External"/><Relationship Id="rId2493" Type="http://schemas.openxmlformats.org/officeDocument/2006/relationships/hyperlink" Target="https://drive.google.com/drive/folders/1OaLIp6HFvH8TyaeVEqGxIV3HFrziJkWO?usp=drive_link" TargetMode="External"/><Relationship Id="rId3544" Type="http://schemas.openxmlformats.org/officeDocument/2006/relationships/hyperlink" Target="https://drive.google.com/drive/u/0/folders/14E44FWgsUzKcynDskX7ZAhT6ZIAANwKv" TargetMode="External"/><Relationship Id="rId12087" Type="http://schemas.openxmlformats.org/officeDocument/2006/relationships/hyperlink" Target="https://drive.google.com/drive/folders/1y_mGPCoON9jW62Lb8x5K2d_YVzyt7dym" TargetMode="External"/><Relationship Id="rId465" Type="http://schemas.openxmlformats.org/officeDocument/2006/relationships/hyperlink" Target="https://drive.google.com/drive/folders/1UFOUGRJi4XN-HSh9i2Q25uxvlSp2ZbD-?usp=drive_link" TargetMode="External"/><Relationship Id="rId1095" Type="http://schemas.openxmlformats.org/officeDocument/2006/relationships/hyperlink" Target="https://thumbor.prod.vidiocdn.com/61rU-bf7MY2PpA2qZ9rwo2kyWaU=/filters:quality(70)/vidio-media-production/uploads/image/source/52492/eee821.png" TargetMode="External"/><Relationship Id="rId2146" Type="http://schemas.openxmlformats.org/officeDocument/2006/relationships/hyperlink" Target="https://www.vidio.com/live/19354-bri-super-league?schedule_id=4739843" TargetMode="External"/><Relationship Id="rId6767" Type="http://schemas.openxmlformats.org/officeDocument/2006/relationships/hyperlink" Target="https://drive.google.com/file/d/1DNux4glLBnqI-DzUHKvsJVIQIe0fQ_QF/view?usp=sharing" TargetMode="External"/><Relationship Id="rId7818" Type="http://schemas.openxmlformats.org/officeDocument/2006/relationships/hyperlink" Target="https://drive.google.com/file/d/1mH9-KOyfEc8_Otrh6dWbrB36CWA_LN4i/view?usp=sharing" TargetMode="External"/><Relationship Id="rId118" Type="http://schemas.openxmlformats.org/officeDocument/2006/relationships/hyperlink" Target="https://www.vidio.com/live/9182-champions-tv-5?schedule_id=4512822" TargetMode="External"/><Relationship Id="rId5369" Type="http://schemas.openxmlformats.org/officeDocument/2006/relationships/hyperlink" Target="https://drive.google.com/drive/folders/1Zp5t-yvPd82g4l6Tx_Sm82qJhqcLfwOt" TargetMode="External"/><Relationship Id="rId9240" Type="http://schemas.openxmlformats.org/officeDocument/2006/relationships/hyperlink" Target="https://www.vidio.com/live/19811-top-soccer-championship-2025-u-17?schedule_id=4708226" TargetMode="External"/><Relationship Id="rId11170" Type="http://schemas.openxmlformats.org/officeDocument/2006/relationships/hyperlink" Target="https://www.vidio.com/live/18249-hsbc-bwf-world-tour-finals-2025-group-stage-court-1?schedule_id=4784598" TargetMode="External"/><Relationship Id="rId12221" Type="http://schemas.openxmlformats.org/officeDocument/2006/relationships/hyperlink" Target="https://drive.google.com/file/d/17nqJ8YbOWxi4DOQmMA4_VvY1qMuE4tM4/view?usp=drive_link" TargetMode="External"/><Relationship Id="rId1979" Type="http://schemas.openxmlformats.org/officeDocument/2006/relationships/hyperlink" Target="https://drive.google.com/drive/folders/1noMpjakpIsbay6t6OWnqGI0CYKHU5U2w?usp=drive_link" TargetMode="External"/><Relationship Id="rId5850" Type="http://schemas.openxmlformats.org/officeDocument/2006/relationships/hyperlink" Target="https://drive.google.com/drive/folders/19QFxmO-Wga2fGkY0L9wbYzlDmfWRmC-a?usp=drive_link" TargetMode="External"/><Relationship Id="rId6901" Type="http://schemas.openxmlformats.org/officeDocument/2006/relationships/hyperlink" Target="https://drive.google.com/drive/folders/1BhKJCwrQWMPmukRF_X1L_5IJlxac8Xp_?usp=drive_link" TargetMode="External"/><Relationship Id="rId3054" Type="http://schemas.openxmlformats.org/officeDocument/2006/relationships/hyperlink" Target="https://drive.google.com/drive/folders/1axZJr0zIs8_nMEhTSxXNoFlDUG6IaXYk" TargetMode="External"/><Relationship Id="rId4452" Type="http://schemas.openxmlformats.org/officeDocument/2006/relationships/hyperlink" Target="https://www.vidio.com/live/17939-serie-a?schedule_id=4708391" TargetMode="External"/><Relationship Id="rId5503" Type="http://schemas.openxmlformats.org/officeDocument/2006/relationships/hyperlink" Target="https://drive.google.com/drive/folders/1vs2NPBadTfe8mkFp1C94plFN9o2qZ3M8?usp=drive_link" TargetMode="External"/><Relationship Id="rId4105" Type="http://schemas.openxmlformats.org/officeDocument/2006/relationships/hyperlink" Target="https://drive.google.com/file/d/1tIrHY8RIrYbcxKrtiVS8dADMItWVKUqm/view?usp=sharing" TargetMode="External"/><Relationship Id="rId7675" Type="http://schemas.openxmlformats.org/officeDocument/2006/relationships/hyperlink" Target="https://www.vidio.com/live/19388-rajadamnern-2025?schedule_id=4637747" TargetMode="External"/><Relationship Id="rId8726" Type="http://schemas.openxmlformats.org/officeDocument/2006/relationships/hyperlink" Target="https://drive.google.com/drive/folders/1NepG6XT-FSa8Cs07sX3tPfQWLNpJfAxp" TargetMode="External"/><Relationship Id="rId10656" Type="http://schemas.openxmlformats.org/officeDocument/2006/relationships/hyperlink" Target="https://thumbor.prod.vidiocdn.com/6rcl1QIPIhUQU_NE4H3NU8bn3hk=/filters:quality(70)/vidio-media-production/uploads/image/source/53044/73d8db.png" TargetMode="External"/><Relationship Id="rId11707" Type="http://schemas.openxmlformats.org/officeDocument/2006/relationships/hyperlink" Target="https://www.vidio.com/live/18249-petronas-malaysia-open-2026-round-of-16-court-1" TargetMode="External"/><Relationship Id="rId6277" Type="http://schemas.openxmlformats.org/officeDocument/2006/relationships/hyperlink" Target="https://drive.google.com/file/d/1_SiNski0PSxMZ7kJkmApiaZdlV88lcw0/view?usp=sharing" TargetMode="External"/><Relationship Id="rId7328" Type="http://schemas.openxmlformats.org/officeDocument/2006/relationships/hyperlink" Target="https://drive.google.com/drive/folders/1dblMYfGxm8h1xEa0oQ8oHmGkYC2BMWtd?usp=drive_link" TargetMode="External"/><Relationship Id="rId10309" Type="http://schemas.openxmlformats.org/officeDocument/2006/relationships/hyperlink" Target="https://drive.google.com/file/d/1i-TWOeqfFLUcyOFRgrwcnkOyS_hns1vV/view?usp=sharing" TargetMode="External"/><Relationship Id="rId2887" Type="http://schemas.openxmlformats.org/officeDocument/2006/relationships/hyperlink" Target="https://drive.google.com/file/d/1MwAa85r_1ojlkf3Zhe1aoCjRCLc0bx87/view?usp=sharing" TargetMode="External"/><Relationship Id="rId859" Type="http://schemas.openxmlformats.org/officeDocument/2006/relationships/hyperlink" Target="https://drive.google.com/drive/folders/1O6M0PlBvbtWev4ofs9TP5HMbvxwqC7QI?usp=drive_link" TargetMode="External"/><Relationship Id="rId1489" Type="http://schemas.openxmlformats.org/officeDocument/2006/relationships/hyperlink" Target="https://drive.google.com/file/d/1lmVoc9RTaK1mi4BBUmp37yGC95iKLtrQ/view?usp=drive_link" TargetMode="External"/><Relationship Id="rId3938" Type="http://schemas.openxmlformats.org/officeDocument/2006/relationships/hyperlink" Target="https://www.vidio.com/live/6686-champions-tv-2?schedule_id=4533787" TargetMode="External"/><Relationship Id="rId5360" Type="http://schemas.openxmlformats.org/officeDocument/2006/relationships/hyperlink" Target="https://drive.google.com/drive/folders/1z9mrTP57q8tolWFGggPPZY_dU8OSxhQR" TargetMode="External"/><Relationship Id="rId6411" Type="http://schemas.openxmlformats.org/officeDocument/2006/relationships/hyperlink" Target="https://www.vidio.com/live/19645-uefa-conference-league?schedule_id=4734887" TargetMode="External"/><Relationship Id="rId5013" Type="http://schemas.openxmlformats.org/officeDocument/2006/relationships/hyperlink" Target="https://www.vidio.com/live/18304-uefa-champions-league?schedule_id=4602013" TargetMode="External"/><Relationship Id="rId9981" Type="http://schemas.openxmlformats.org/officeDocument/2006/relationships/hyperlink" Target="https://drive.google.com/file/d/1TeauLj2_xUnNBSIsixKy-Xuqd6BuJqn9/view?usp=sharing" TargetMode="External"/><Relationship Id="rId1970" Type="http://schemas.openxmlformats.org/officeDocument/2006/relationships/hyperlink" Target="https://drive.google.com/file/d/1yBcxXjUXPLwrE-6MvSRgmo_TzkPFF4_e/view?usp=sharing" TargetMode="External"/><Relationship Id="rId7185" Type="http://schemas.openxmlformats.org/officeDocument/2006/relationships/hyperlink" Target="https://www.vidio.com/live/19556-top-youth-premier-league-2025-matchday-3?schedule_id=4569321" TargetMode="External"/><Relationship Id="rId8583" Type="http://schemas.openxmlformats.org/officeDocument/2006/relationships/hyperlink" Target="https://www.vidio.com/live/19543-pegadaian-championship-2025-26?schedule_id=4719245" TargetMode="External"/><Relationship Id="rId9634" Type="http://schemas.openxmlformats.org/officeDocument/2006/relationships/hyperlink" Target="https://www.vidio.com/live/20048-fivb-women-s-volleyball-club-world-championship-2025?schedule_id=4773283" TargetMode="External"/><Relationship Id="rId11564" Type="http://schemas.openxmlformats.org/officeDocument/2006/relationships/hyperlink" Target="https://thumbor.prod.vidiocdn.com/kZgGGRTA6xjBmSDG3i96sUQ3l68=/filters:quality(70)/vidio-media-production/uploads/image/source/52678/f8dad2.png" TargetMode="External"/><Relationship Id="rId1623" Type="http://schemas.openxmlformats.org/officeDocument/2006/relationships/hyperlink" Target="https://drive.google.com/drive/folders/1baTBpqrQJ9UYMZjA0eKBtnMJ7Z1m9ruO" TargetMode="External"/><Relationship Id="rId8236" Type="http://schemas.openxmlformats.org/officeDocument/2006/relationships/hyperlink" Target="https://drive.google.com/drive/folders/1NepG6XT-FSa8Cs07sX3tPfQWLNpJfAxp" TargetMode="External"/><Relationship Id="rId10166" Type="http://schemas.openxmlformats.org/officeDocument/2006/relationships/hyperlink" Target="https://drive.google.com/file/d/1lJ3hEKVkdjjed1nLNxMFw0eQUIbowrpL/view?usp=sharing" TargetMode="External"/><Relationship Id="rId11217" Type="http://schemas.openxmlformats.org/officeDocument/2006/relationships/hyperlink" Target="https://drive.google.com/file/d/1jkio8kcnZyGbN-wJKENweOqx4lbWt1tu/view?usp=sharing" TargetMode="External"/><Relationship Id="rId3795" Type="http://schemas.openxmlformats.org/officeDocument/2006/relationships/hyperlink" Target="https://drive.google.com/file/d/1ytH2YGwBSf1ydcOZ0KhKbMOLRNUQUAkR/view?usp=sharing" TargetMode="External"/><Relationship Id="rId4846" Type="http://schemas.openxmlformats.org/officeDocument/2006/relationships/hyperlink" Target="https://thumbor.prod.vidiocdn.com/pP7uPDN4jAnB0sxBPjbHyVdzID8=/filters:quality(70)/vidio-media-production/uploads/image/source/52872/1d3c9a.png" TargetMode="External"/><Relationship Id="rId2397" Type="http://schemas.openxmlformats.org/officeDocument/2006/relationships/hyperlink" Target="https://www.vidio.com/live/6317-bein-3?schedule_id=4537169" TargetMode="External"/><Relationship Id="rId3448" Type="http://schemas.openxmlformats.org/officeDocument/2006/relationships/hyperlink" Target="https://drive.google.com/drive/u/1/folders/1Ae8xqesEgvRi5zl_E_y_OJuJpDQJDcTr" TargetMode="External"/><Relationship Id="rId369" Type="http://schemas.openxmlformats.org/officeDocument/2006/relationships/hyperlink" Target="https://drive.google.com/drive/folders/1h9xHnI21qscZNjf9mp-a7IxV5MwKOmIr?usp=drive_link" TargetMode="External"/><Relationship Id="rId9491" Type="http://schemas.openxmlformats.org/officeDocument/2006/relationships/hyperlink" Target="https://drive.google.com/file/d/1ZpA43hHHlitWxBPU25V-UC_4U_uQpPUj/view?usp=sharing" TargetMode="External"/><Relationship Id="rId10300" Type="http://schemas.openxmlformats.org/officeDocument/2006/relationships/hyperlink" Target="https://drive.google.com/drive/folders/1Qc_9wncbpynHrDbidU_t1rEjs0l54W7R" TargetMode="External"/><Relationship Id="rId1480" Type="http://schemas.openxmlformats.org/officeDocument/2006/relationships/hyperlink" Target="https://drive.google.com/drive/folders/1AMoXgUsWPgedrAMobm7FnsxQskXdhaxQ" TargetMode="External"/><Relationship Id="rId8093" Type="http://schemas.openxmlformats.org/officeDocument/2006/relationships/hyperlink" Target="https://drive.google.com/file/d/1POniG8AgxNaTKlZtO-3zoxzOYLxWysii/view?usp=sharing" TargetMode="External"/><Relationship Id="rId9144" Type="http://schemas.openxmlformats.org/officeDocument/2006/relationships/hyperlink" Target="https://drive.google.com/file/d/1-U1q8GspCE3115V56nvmSsAXAJIMpffI/view?usp=sharing" TargetMode="External"/><Relationship Id="rId850" Type="http://schemas.openxmlformats.org/officeDocument/2006/relationships/hyperlink" Target="https://drive.google.com/file/d/1rx9Oxl1jjphZXc79ymoYn2ilB7SYX4PD/view?usp=sharing" TargetMode="External"/><Relationship Id="rId1133" Type="http://schemas.openxmlformats.org/officeDocument/2006/relationships/hyperlink" Target="https://drive.google.com/file/d/1GmGu6Emz-2hpPM4M2QdOGx4u6HoEPPGp/view?usp=sharing" TargetMode="External"/><Relationship Id="rId2531" Type="http://schemas.openxmlformats.org/officeDocument/2006/relationships/hyperlink" Target="https://www.vidio.com/live/17323-laliga?schedule_id=4592583" TargetMode="External"/><Relationship Id="rId11074" Type="http://schemas.openxmlformats.org/officeDocument/2006/relationships/hyperlink" Target="https://thumbor.prod.vidiocdn.com/kT7b9akWbaa7psbFseYcpgKsYRc=/filters:quality(70)/vidio-media-production/uploads/image/source/52260/994411.png" TargetMode="External"/><Relationship Id="rId12125" Type="http://schemas.openxmlformats.org/officeDocument/2006/relationships/hyperlink" Target="https://www.vidio.com/live/18252-petronas-malaysia-open-2026-round-of-16-court-3?schedule_id=4832366" TargetMode="External"/><Relationship Id="rId503" Type="http://schemas.openxmlformats.org/officeDocument/2006/relationships/hyperlink" Target="https://drive.google.com/file/d/18f-YGZ1HJ2Uu5hjksJO87H_f67lVtRN5/view?usp=sharing" TargetMode="External"/><Relationship Id="rId5754" Type="http://schemas.openxmlformats.org/officeDocument/2006/relationships/hyperlink" Target="https://www.vidio.com/live/19631-uefa-europa-league?schedule_id=4664112" TargetMode="External"/><Relationship Id="rId6805" Type="http://schemas.openxmlformats.org/officeDocument/2006/relationships/hyperlink" Target="https://drive.google.com/drive/folders/11JI4YvQkJVGeSSPbCYMAZ4RCEtcTWnu6?usp=drive_link" TargetMode="External"/><Relationship Id="rId4356" Type="http://schemas.openxmlformats.org/officeDocument/2006/relationships/hyperlink" Target="https://drive.google.com/drive/folders/1K00JZBqRSrbwz3NxbP0MXf0to2vl9AnE?usp=drive_link" TargetMode="External"/><Relationship Id="rId5407" Type="http://schemas.openxmlformats.org/officeDocument/2006/relationships/hyperlink" Target="https://drive.google.com/file/d/1SHuWb2_dFyezTsV76gQYJjDydPmiQYpC/view?usp=sharing" TargetMode="External"/><Relationship Id="rId8977" Type="http://schemas.openxmlformats.org/officeDocument/2006/relationships/hyperlink" Target="https://drive.google.com/file/d/1aGfe01aa5NmSDs55--TMV0p_Wt7BZD7Y/view?usp=sharing" TargetMode="External"/><Relationship Id="rId4009" Type="http://schemas.openxmlformats.org/officeDocument/2006/relationships/hyperlink" Target="https://drive.google.com/drive/folders/1zhxz8AiSGzXFBcioMaknwkVEeReZ5ImB?usp=drive_link" TargetMode="External"/><Relationship Id="rId7579" Type="http://schemas.openxmlformats.org/officeDocument/2006/relationships/hyperlink" Target="https://drive.google.com/drive/folders/1pZo1S6QLarDjRlpBIZJnvQx9x8GaRifW?usp=drive_link" TargetMode="External"/><Relationship Id="rId11958" Type="http://schemas.openxmlformats.org/officeDocument/2006/relationships/hyperlink" Target="https://www.vidio.com/live/18250-petronas-malaysia-open-2026-round-of-32-court-?schedule_id=4832187" TargetMode="External"/><Relationship Id="rId360" Type="http://schemas.openxmlformats.org/officeDocument/2006/relationships/hyperlink" Target="https://drive.google.com/file/d/1sJLwhZNqEMinZONTfZKBSXtrGwCjQpy9/view?usp=drive_link" TargetMode="External"/><Relationship Id="rId2041" Type="http://schemas.openxmlformats.org/officeDocument/2006/relationships/hyperlink" Target="https://drive.google.com/file/d/11NISs1OTa9ky6G5nv5tf66cbZGvJhULE/view?usp=sharing" TargetMode="External"/><Relationship Id="rId5264" Type="http://schemas.openxmlformats.org/officeDocument/2006/relationships/hyperlink" Target="https://drive.google.com/file/d/1z2RGtq_uS0wTP2GLLxxWAg5Hk88PZ7JP/view?usp=drive_link" TargetMode="External"/><Relationship Id="rId6662" Type="http://schemas.openxmlformats.org/officeDocument/2006/relationships/hyperlink" Target="https://drive.google.com/file/d/1t-94E-rzUG5V1flQJC_mMz-ypCNuB7wo/view?usp=drive_link" TargetMode="External"/><Relationship Id="rId7713" Type="http://schemas.openxmlformats.org/officeDocument/2006/relationships/hyperlink" Target="https://drive.google.com/drive/folders/1-d7SElccr2N6xnWCuYB7bicvICq7mohq?usp=drive_link" TargetMode="External"/><Relationship Id="rId6315" Type="http://schemas.openxmlformats.org/officeDocument/2006/relationships/hyperlink" Target="https://www.vidio.com/live/19646-uefa-conference-league?schedule_id=4700069" TargetMode="External"/><Relationship Id="rId9885" Type="http://schemas.openxmlformats.org/officeDocument/2006/relationships/hyperlink" Target="https://thumbor.prod.vidiocdn.com/22UXKNt8KA8xwdqk4Rqg1Dvlxj4=/filters:quality(70)/vidio-media-production/uploads/image/source/52301/9147d1.png" TargetMode="External"/><Relationship Id="rId99" Type="http://schemas.openxmlformats.org/officeDocument/2006/relationships/hyperlink" Target="https://drive.google.com/drive/folders/129B1-_RQkaxTEk0QZDePyAcDXT_Aj2QE?usp=drive_link" TargetMode="External"/><Relationship Id="rId1874" Type="http://schemas.openxmlformats.org/officeDocument/2006/relationships/hyperlink" Target="https://www.vidio.com/live/19354-bri-super-league?schedule_id=4652394" TargetMode="External"/><Relationship Id="rId2925" Type="http://schemas.openxmlformats.org/officeDocument/2006/relationships/hyperlink" Target="https://drive.google.com/drive/folders/1cbKugP-Uq_k53LSvI0-hWyi70S7kf3MD?usp=drive_link" TargetMode="External"/><Relationship Id="rId8487" Type="http://schemas.openxmlformats.org/officeDocument/2006/relationships/hyperlink" Target="https://drive.google.com/drive/folders/1Z3R_whq7z-U5DOl42PA4hJdq0UVf0CCH?usp=drive_link" TargetMode="External"/><Relationship Id="rId9538" Type="http://schemas.openxmlformats.org/officeDocument/2006/relationships/hyperlink" Target="https://www.vidio.com/live/19845-top-soccer-championship-2025-u-13-u-14?schedule_id=4719204" TargetMode="External"/><Relationship Id="rId11468" Type="http://schemas.openxmlformats.org/officeDocument/2006/relationships/hyperlink" Target="https://www.vidio.com/live/18249-hsbc-bwf-world-tour-finals-2025-finals?schedule_id=4789245" TargetMode="External"/><Relationship Id="rId1527" Type="http://schemas.openxmlformats.org/officeDocument/2006/relationships/hyperlink" Target="https://drive.google.com/drive/folders/19hNgFv630D5-8AezLn4uX3Q1jRRutB0Q" TargetMode="External"/><Relationship Id="rId7089" Type="http://schemas.openxmlformats.org/officeDocument/2006/relationships/hyperlink" Target="https://drive.google.com/drive/folders/13P_FMFtbN_JvecV-pSKubuWYkZ8IxHQu" TargetMode="External"/><Relationship Id="rId3699" Type="http://schemas.openxmlformats.org/officeDocument/2006/relationships/hyperlink" Target="https://drive.google.com/file/d/1T5yfCotVoAdKEN2fqPhZ9fHUSjLp7Ip7/view?usp=sharing" TargetMode="External"/><Relationship Id="rId4000" Type="http://schemas.openxmlformats.org/officeDocument/2006/relationships/hyperlink" Target="https://www.vidio.com/live/19355?schedule_id=4570853" TargetMode="External"/><Relationship Id="rId7570" Type="http://schemas.openxmlformats.org/officeDocument/2006/relationships/hyperlink" Target="https://www.vidio.com/live/17875-bein-2?schedule_id=4627858" TargetMode="External"/><Relationship Id="rId8621" Type="http://schemas.openxmlformats.org/officeDocument/2006/relationships/hyperlink" Target="https://drive.google.com/drive/folders/1rl5FGcq4AJPO8LOU0ioroZMKuxSSq8pn?usp=drive_link" TargetMode="External"/><Relationship Id="rId6172" Type="http://schemas.openxmlformats.org/officeDocument/2006/relationships/hyperlink" Target="https://drive.google.com/drive/folders/1XuRY7_D8DAeauOlzZGw3-uUYGoVHwVFP?usp=drive_link" TargetMode="External"/><Relationship Id="rId7223" Type="http://schemas.openxmlformats.org/officeDocument/2006/relationships/hyperlink" Target="https://drive.google.com/file/d/1UtViaWcDgokp1a39fyC9kyjXtQH0qv3b/view?usp=sharing" TargetMode="External"/><Relationship Id="rId10551" Type="http://schemas.openxmlformats.org/officeDocument/2006/relationships/hyperlink" Target="https://drive.google.com/drive/folders/1AOGGV72BJV2LfC3NlRstCgK8r-H_uBeN?usp=drive_link" TargetMode="External"/><Relationship Id="rId11602" Type="http://schemas.openxmlformats.org/officeDocument/2006/relationships/hyperlink" Target="https://drive.google.com/drive/folders/1gd7WkrHu1_a29LNFljU1jzkyvJCjGG_I?usp=drive_link" TargetMode="External"/><Relationship Id="rId9395" Type="http://schemas.openxmlformats.org/officeDocument/2006/relationships/hyperlink" Target="https://www.vidio.com/live/19543-pegadaian-championship-2025-26?schedule_id=4824482" TargetMode="External"/><Relationship Id="rId10204" Type="http://schemas.openxmlformats.org/officeDocument/2006/relationships/hyperlink" Target="https://drive.google.com/file/d/1w0h1oRhqiFs7EXTpatHtSsP30Cw2XDEP/view?usp=sharing" TargetMode="External"/><Relationship Id="rId2782" Type="http://schemas.openxmlformats.org/officeDocument/2006/relationships/hyperlink" Target="https://drive.google.com/file/d/1Ayxma8VaWfEoFfqskFK69Bpo5MGPUwUo/view?usp=sharing" TargetMode="External"/><Relationship Id="rId3833" Type="http://schemas.openxmlformats.org/officeDocument/2006/relationships/hyperlink" Target="https://www.vidio.com/live/6685-champions-tv-1?schedule_id=4699715" TargetMode="External"/><Relationship Id="rId9048" Type="http://schemas.openxmlformats.org/officeDocument/2006/relationships/hyperlink" Target="https://drive.google.com/file/d/1UQGPlepWF0nS_l1FEPzcI1Udg2xF9DsC/view?usp=sharing" TargetMode="External"/><Relationship Id="rId12376" Type="http://schemas.openxmlformats.org/officeDocument/2006/relationships/hyperlink" Target="https://drive.google.com/drive/folders/1b4k6Xd9bYzvR8tmKEmYOqigP2l0r7KIX" TargetMode="External"/><Relationship Id="rId754" Type="http://schemas.openxmlformats.org/officeDocument/2006/relationships/hyperlink" Target="https://drive.google.com/file/d/1ZL3xKIS8-Y4anjjIwuI5O98kvvY1QWcM/view?usp=sharing" TargetMode="External"/><Relationship Id="rId1384" Type="http://schemas.openxmlformats.org/officeDocument/2006/relationships/hyperlink" Target="https://drive.google.com/drive/folders/13g-2xNYJ52g3CsquyDv4V9uUMoDq__RD?usp=drive_link" TargetMode="External"/><Relationship Id="rId2435" Type="http://schemas.openxmlformats.org/officeDocument/2006/relationships/hyperlink" Target="https://drive.google.com/file/d/1xOeYpIDt8THUGKEpJ3A3RSx5wSNJAi7s/view?usp=sharing" TargetMode="External"/><Relationship Id="rId12029" Type="http://schemas.openxmlformats.org/officeDocument/2006/relationships/hyperlink" Target="https://drive.google.com/file/d/1B4cBF3qrh1sMXG2gV5jmUKJx_gapQy02/view?usp=sharing" TargetMode="External"/><Relationship Id="rId90" Type="http://schemas.openxmlformats.org/officeDocument/2006/relationships/hyperlink" Target="https://drive.google.com/file/d/1dY1K8l_ymgiYmLwLQkCepsrs2HDufsxQ/view?usp=sharing" TargetMode="External"/><Relationship Id="rId407" Type="http://schemas.openxmlformats.org/officeDocument/2006/relationships/hyperlink" Target="https://drive.google.com/file/d/10-GYtlaiE6GHqPtSsDYrCsgjE-2miiT6/view?usp=sharing" TargetMode="External"/><Relationship Id="rId1037" Type="http://schemas.openxmlformats.org/officeDocument/2006/relationships/hyperlink" Target="https://drive.google.com/file/d/1sPzUnib045iiYOUpx_PQ2FfSnkJeI3Oh/view?usp=sharing" TargetMode="External"/><Relationship Id="rId5658" Type="http://schemas.openxmlformats.org/officeDocument/2006/relationships/hyperlink" Target="https://drive.google.com/drive/folders/1EEa9Q_4Ubs2GMTbhqnzMVONxyuE6VTvb?usp=drive_link" TargetMode="External"/><Relationship Id="rId6709" Type="http://schemas.openxmlformats.org/officeDocument/2006/relationships/hyperlink" Target="https://drive.google.com/file/d/1ApvMseuP0Y__trRsWsE3N5B9QRpBUrgr/view?usp=sharing" TargetMode="External"/><Relationship Id="rId7080" Type="http://schemas.openxmlformats.org/officeDocument/2006/relationships/hyperlink" Target="https://drive.google.com/file/d/1zLEku-YlVhIF9TnKxyi80PeeTBrOM_Ij/view?usp=sharing" TargetMode="External"/><Relationship Id="rId8131" Type="http://schemas.openxmlformats.org/officeDocument/2006/relationships/hyperlink" Target="https://drive.google.com/file/d/1VS6ujlXDWpsyUX88qmauKlo-gF-Rj0mG/view?usp=sharing" TargetMode="External"/><Relationship Id="rId10061" Type="http://schemas.openxmlformats.org/officeDocument/2006/relationships/hyperlink" Target="https://drive.google.com/drive/folders/1kFyewuYcrj8l_2fEv64QV5D4O9jh_Sii" TargetMode="External"/><Relationship Id="rId11112" Type="http://schemas.openxmlformats.org/officeDocument/2006/relationships/hyperlink" Target="https://thumbor.prod.vidiocdn.com/8wQ45W9TAmnhvO63VI9HpoGuDV8=/filters:quality(70)/vidio-media-production/uploads/image/source/53132/9023c2.png" TargetMode="External"/><Relationship Id="rId3690" Type="http://schemas.openxmlformats.org/officeDocument/2006/relationships/hyperlink" Target="https://drive.google.com/drive/folders/1cqK29lH31A_ffI68Dq9R_BjiNsOaaL9_?usp=drive_link" TargetMode="External"/><Relationship Id="rId2292" Type="http://schemas.openxmlformats.org/officeDocument/2006/relationships/hyperlink" Target="https://www.vidio.com/live/6299-bein-1?schedule_id=4512827" TargetMode="External"/><Relationship Id="rId3343" Type="http://schemas.openxmlformats.org/officeDocument/2006/relationships/hyperlink" Target="https://drive.google.com/drive/folders/1O2QixBg16utTeXR4xlWsIszQ0AYsswOZ?usp=drive_link" TargetMode="External"/><Relationship Id="rId4741" Type="http://schemas.openxmlformats.org/officeDocument/2006/relationships/hyperlink" Target="https://thumbor.prod.vidiocdn.com/wCe-xFc-vPK5F_o8cn1celsGc0c=/filters:quality(70)/vidio-media-production/uploads/image/source/52129/72b7ac.png" TargetMode="External"/><Relationship Id="rId264" Type="http://schemas.openxmlformats.org/officeDocument/2006/relationships/hyperlink" Target="https://drive.google.com/drive/folders/1keBgYGAW2V9gleWyOBlIJnrRzNas7sPg?usp=drive_link" TargetMode="External"/><Relationship Id="rId7964" Type="http://schemas.openxmlformats.org/officeDocument/2006/relationships/hyperlink" Target="https://drive.google.com/file/d/1uP1aOLkAAiGaqu3jNgKQp_ItSEu5Pwcx/view?usp=sharing" TargetMode="External"/><Relationship Id="rId10945" Type="http://schemas.openxmlformats.org/officeDocument/2006/relationships/hyperlink" Target="https://drive.google.com/file/d/1MEaivbSHhdliXXeCqQ4lf3Y_pO3WJjI-/view?usp=sharing" TargetMode="External"/><Relationship Id="rId6566" Type="http://schemas.openxmlformats.org/officeDocument/2006/relationships/hyperlink" Target="https://drive.google.com/drive/folders/1TN4apybNtWBhAglSvejpEnIO6MH-G5V_?usp=drive_link" TargetMode="External"/><Relationship Id="rId7617" Type="http://schemas.openxmlformats.org/officeDocument/2006/relationships/hyperlink" Target="https://drive.google.com/file/d/1xvj3awHOYi_HyuQjPSM9sShYgfyrC7_X/view?usp=sharing" TargetMode="External"/><Relationship Id="rId5168" Type="http://schemas.openxmlformats.org/officeDocument/2006/relationships/hyperlink" Target="https://drive.google.com/file/d/1WLh42FXL0F1aW3M0qyANRsEgXFu1K7Kh/view?usp=sharing" TargetMode="External"/><Relationship Id="rId6219" Type="http://schemas.openxmlformats.org/officeDocument/2006/relationships/hyperlink" Target="https://drive.google.com/drive/folders/1vjOA9E-jOlhsRSh5NE7jSpcmcR5v41-E" TargetMode="External"/><Relationship Id="rId9789" Type="http://schemas.openxmlformats.org/officeDocument/2006/relationships/hyperlink" Target="https://drive.google.com/file/d/1bGAtWdCSL-v2iZg1GvRoYwXZwXVqVH3x/view" TargetMode="External"/><Relationship Id="rId12020" Type="http://schemas.openxmlformats.org/officeDocument/2006/relationships/hyperlink" Target="https://drive.google.com/file/d/1GSUWpYS1bKMQHpDirkh41aNW22dfhpEf/view?usp=sharing" TargetMode="External"/><Relationship Id="rId1778" Type="http://schemas.openxmlformats.org/officeDocument/2006/relationships/hyperlink" Target="https://www.vidio.com/live/205-indosiar?schedule_id=4585681" TargetMode="External"/><Relationship Id="rId2829" Type="http://schemas.openxmlformats.org/officeDocument/2006/relationships/hyperlink" Target="https://drive.google.com/file/d/1t-zbWKqVNeeNRU8WobLlnaqPg9hriCAy/view?usp=sharing" TargetMode="External"/><Relationship Id="rId6700" Type="http://schemas.openxmlformats.org/officeDocument/2006/relationships/hyperlink" Target="https://www.vidio.com/live/6685-champions-tv-1?schedule_id=4599290" TargetMode="External"/><Relationship Id="rId4251" Type="http://schemas.openxmlformats.org/officeDocument/2006/relationships/hyperlink" Target="https://drive.google.com/file/d/1dLjfCJjtC1j169gZwD-AqvdgIYKLMJ5s/view?usp=sharing" TargetMode="External"/><Relationship Id="rId5302" Type="http://schemas.openxmlformats.org/officeDocument/2006/relationships/hyperlink" Target="https://drive.google.com/file/d/1akdHimQ-qONiqq3xrfIvrjrxDTltnvc8/view?usp=sharing" TargetMode="External"/><Relationship Id="rId7474" Type="http://schemas.openxmlformats.org/officeDocument/2006/relationships/hyperlink" Target="https://www.vidio.com/live/19587-top-youth-premier-league-2025-matchday-4?schedule_id=4585747" TargetMode="External"/><Relationship Id="rId8872" Type="http://schemas.openxmlformats.org/officeDocument/2006/relationships/hyperlink" Target="https://drive.google.com/file/d/1cZb_dSQCeYPZNc9f97MNDcCAJ0Ebjof4/view?usp=sharing" TargetMode="External"/><Relationship Id="rId9923" Type="http://schemas.openxmlformats.org/officeDocument/2006/relationships/hyperlink" Target="https://thumbor.prod.vidiocdn.com/Qq3Swu9jc7Q3J14V6-EZDpJjqGI=/filters:quality(70)/vidio-media-production/uploads/image/source/52316/97431b.png" TargetMode="External"/><Relationship Id="rId11853" Type="http://schemas.openxmlformats.org/officeDocument/2006/relationships/hyperlink" Target="https://drive.google.com/file/d/1eJVJpUKAFNWxLxYTbZoZRYrCww0XILnT/view?usp=sharing" TargetMode="External"/><Relationship Id="rId1912" Type="http://schemas.openxmlformats.org/officeDocument/2006/relationships/hyperlink" Target="https://drive.google.com/file/d/1KeUNFbTkiO4jUfTSwi9QjX5TM512_tZr/view?usp=sharing" TargetMode="External"/><Relationship Id="rId6076" Type="http://schemas.openxmlformats.org/officeDocument/2006/relationships/hyperlink" Target="https://drive.google.com/drive/folders/12HS9lD12A20ma3cyJiK_x9w7dVmgY4p3?usp=drive_link" TargetMode="External"/><Relationship Id="rId7127" Type="http://schemas.openxmlformats.org/officeDocument/2006/relationships/hyperlink" Target="https://drive.google.com/file/d/1rKCSV88w3RbLYEQcymaGauNsRT3yy1gr/view?usp=sharing" TargetMode="External"/><Relationship Id="rId8525" Type="http://schemas.openxmlformats.org/officeDocument/2006/relationships/hyperlink" Target="https://drive.google.com/drive/folders/14WwsFEJQZVhjDJt9K7PAO9TVgooBQr6e" TargetMode="External"/><Relationship Id="rId10455" Type="http://schemas.openxmlformats.org/officeDocument/2006/relationships/hyperlink" Target="https://thumbor.prod.vidiocdn.com/1DY-hlyLg8KAPeGLIuJptUnJMy8=/filters:quality(70)/vidio-media-production/uploads/image/source/52358/03639c.png" TargetMode="External"/><Relationship Id="rId11506" Type="http://schemas.openxmlformats.org/officeDocument/2006/relationships/hyperlink" Target="https://drive.google.com/file/d/1ApFlIggnto1OIrZbZ3cf7vaytgz1n05w/view?usp=sharing" TargetMode="External"/><Relationship Id="rId10108" Type="http://schemas.openxmlformats.org/officeDocument/2006/relationships/hyperlink" Target="https://www.vidio.com/live/19995-top-soccer-championship-2025-u-14-u-15?schedule_id=4743066" TargetMode="External"/><Relationship Id="rId2686" Type="http://schemas.openxmlformats.org/officeDocument/2006/relationships/hyperlink" Target="https://drive.google.com/drive/folders/1kMnAUovIfqAZyRE7zHeYvNuw4YZstmZE?usp=drive_link" TargetMode="External"/><Relationship Id="rId3737" Type="http://schemas.openxmlformats.org/officeDocument/2006/relationships/hyperlink" Target="https://drive.google.com/file/d/172X5RArl_7_jl7-Abn_PdN8dV-kHaycV/view?usp=sharing" TargetMode="External"/><Relationship Id="rId9299" Type="http://schemas.openxmlformats.org/officeDocument/2006/relationships/hyperlink" Target="https://drive.google.com/file/d/1beg18EVsfzJ39jX83kCtCalns8qdoV5m/view?usp=sharing" TargetMode="External"/><Relationship Id="rId658" Type="http://schemas.openxmlformats.org/officeDocument/2006/relationships/hyperlink" Target="https://drive.google.com/file/d/1nSNoaD9BiwdhhdBaeg7CfK08bxhzOjoH/view?usp=sharing" TargetMode="External"/><Relationship Id="rId1288" Type="http://schemas.openxmlformats.org/officeDocument/2006/relationships/hyperlink" Target="https://drive.google.com/file/d/1tS_hoxJ-z7Xd0OwgKIxKu9AChTEzFEAZ/view?usp=sharing" TargetMode="External"/><Relationship Id="rId2339" Type="http://schemas.openxmlformats.org/officeDocument/2006/relationships/hyperlink" Target="https://www.vidio.com/live/6299-bein-1?schedule_id=4520835" TargetMode="External"/><Relationship Id="rId6210" Type="http://schemas.openxmlformats.org/officeDocument/2006/relationships/hyperlink" Target="https://drive.google.com/file/d/1-ImXKvdRm5E99pz_iqadKA8thytyICy1/view?usp=sharing" TargetMode="External"/><Relationship Id="rId9780" Type="http://schemas.openxmlformats.org/officeDocument/2006/relationships/hyperlink" Target="https://drive.google.com/file/d/1bGAtWdCSL-v2iZg1GvRoYwXZwXVqVH3x/view" TargetMode="External"/><Relationship Id="rId8382" Type="http://schemas.openxmlformats.org/officeDocument/2006/relationships/hyperlink" Target="https://drive.google.com/file/d/1yT_nHmCq6DfDs8mu-HNrpaFbVW1HxOdD/view?usp=sharing" TargetMode="External"/><Relationship Id="rId9433" Type="http://schemas.openxmlformats.org/officeDocument/2006/relationships/hyperlink" Target="https://thumbor.prod.vidiocdn.com/ixqzhHXcbWDJvCfAcU4qvxnkOHI=/filters:quality(70)/vidio-media-production/uploads/image/source/52974/e1158b.png" TargetMode="External"/><Relationship Id="rId1422" Type="http://schemas.openxmlformats.org/officeDocument/2006/relationships/hyperlink" Target="https://drive.google.com/file/d/1zBGjnUlVxrn66iNxjZMjBTYHSYw-nIuf/view?usp=drive_link" TargetMode="External"/><Relationship Id="rId2820" Type="http://schemas.openxmlformats.org/officeDocument/2006/relationships/hyperlink" Target="https://www.vidio.com/live/6299-bein-1?schedule_id=4678459" TargetMode="External"/><Relationship Id="rId8035" Type="http://schemas.openxmlformats.org/officeDocument/2006/relationships/hyperlink" Target="https://drive.google.com/file/d/13DVpOuapADit-opjqgKFFCATxXtNQpgx/view?usp=sharing" TargetMode="External"/><Relationship Id="rId11016" Type="http://schemas.openxmlformats.org/officeDocument/2006/relationships/hyperlink" Target="https://www.vidio.com/live/20252-fa-cup-2025-26?schedule_id=4832307" TargetMode="External"/><Relationship Id="rId11363" Type="http://schemas.openxmlformats.org/officeDocument/2006/relationships/hyperlink" Target="https://drive.google.com/file/d/1DNux4glLBnqI-DzUHKvsJVIQIe0fQ_QF/view?usp=drive_link" TargetMode="External"/><Relationship Id="rId12414" Type="http://schemas.openxmlformats.org/officeDocument/2006/relationships/hyperlink" Target="https://drive.google.com/file/d/15XWbtbUwFEgrO0Ju6sNJKkMPQkRxrMB0/view?usp=sharing" TargetMode="External"/><Relationship Id="rId4992" Type="http://schemas.openxmlformats.org/officeDocument/2006/relationships/hyperlink" Target="https://www.vidio.com/live/6317-bein-3?schedule_id=4570942" TargetMode="External"/><Relationship Id="rId2196" Type="http://schemas.openxmlformats.org/officeDocument/2006/relationships/hyperlink" Target="https://drive.google.com/file/d/1EBQtL31iTi30zqLH87i86_E1_kTinsjO/view?usp=drive_link" TargetMode="External"/><Relationship Id="rId3594" Type="http://schemas.openxmlformats.org/officeDocument/2006/relationships/hyperlink" Target="https://thumbor.prod.vidiocdn.com/8q54yS_rqvI6yGr-KSnNbVZwvCU=/filters:quality(70)/vidio-media-production/uploads/image/source/52015/c8eb5a.png" TargetMode="External"/><Relationship Id="rId4645" Type="http://schemas.openxmlformats.org/officeDocument/2006/relationships/hyperlink" Target="https://drive.google.com/file/d/1IaCxRAyB31lTw9kbShooSTFEgITLFhZn/view?usp=sharing" TargetMode="External"/><Relationship Id="rId168" Type="http://schemas.openxmlformats.org/officeDocument/2006/relationships/hyperlink" Target="https://drive.google.com/drive/folders/1E-SiChHX8IFkkAWfrdcoH1SwbCWsIC_8?usp=drive_link" TargetMode="External"/><Relationship Id="rId3247" Type="http://schemas.openxmlformats.org/officeDocument/2006/relationships/hyperlink" Target="https://thumbor.prod.vidiocdn.com/EX67-df8OpqbsUe9hG6qiXURHMc=/filters:quality(70)/vidio-media-production/uploads/image/source/51601/197847.png" TargetMode="External"/><Relationship Id="rId7868" Type="http://schemas.openxmlformats.org/officeDocument/2006/relationships/hyperlink" Target="https://drive.google.com/drive/folders/1i5Nh_GLwdsjK0jEG33JCx6SU30V9HAiR" TargetMode="External"/><Relationship Id="rId8919" Type="http://schemas.openxmlformats.org/officeDocument/2006/relationships/hyperlink" Target="https://thumbor.prod.vidiocdn.com/qsW_P__6xmq_aNiWtKmRC-wE8do=/filters:quality(70)/vidio-media-production/uploads/image/source/52642/0fab5f.png" TargetMode="External"/><Relationship Id="rId10849" Type="http://schemas.openxmlformats.org/officeDocument/2006/relationships/hyperlink" Target="https://drive.google.com/file/d/1ehPHlNfv24yKS4qwWvbp5EP5ggNmJREB/view?usp=sharing" TargetMode="External"/><Relationship Id="rId9290" Type="http://schemas.openxmlformats.org/officeDocument/2006/relationships/hyperlink" Target="https://drive.google.com/drive/folders/1jFewL7IpY-JIsTKq6HDnyp-v3ROiWGyY" TargetMode="External"/><Relationship Id="rId12271" Type="http://schemas.openxmlformats.org/officeDocument/2006/relationships/hyperlink" Target="https://www.vidio.com/live/20275?schedule_id=4833875" TargetMode="External"/><Relationship Id="rId2330" Type="http://schemas.openxmlformats.org/officeDocument/2006/relationships/hyperlink" Target="https://drive.google.com/file/d/1hvjgC_oqnoE5GZPw3RClcDIHdNw9V790/view?usp=sharing" TargetMode="External"/><Relationship Id="rId302" Type="http://schemas.openxmlformats.org/officeDocument/2006/relationships/hyperlink" Target="https://www.vidio.com/live/19375-premier-league?schedule_id=4525573" TargetMode="External"/><Relationship Id="rId5553" Type="http://schemas.openxmlformats.org/officeDocument/2006/relationships/hyperlink" Target="https://drive.google.com/file/d/1i_rcDU5XpYwy9rq-xXB5txguoYjtViVn/view?usp=sharing" TargetMode="External"/><Relationship Id="rId6951" Type="http://schemas.openxmlformats.org/officeDocument/2006/relationships/hyperlink" Target="https://www.vidio.com/live/19584-pegadaian-championship-2025-26?schedule_id=4598359" TargetMode="External"/><Relationship Id="rId4155" Type="http://schemas.openxmlformats.org/officeDocument/2006/relationships/hyperlink" Target="https://drive.google.com/file/d/1oHFHMnI_KitWTaadgNyDGV4o27epf0GZ/view?usp=sharing" TargetMode="External"/><Relationship Id="rId5206" Type="http://schemas.openxmlformats.org/officeDocument/2006/relationships/hyperlink" Target="https://drive.google.com/drive/folders/1LQ-OE5Els_XHTxUA1znUvzhk-RjUA5nq" TargetMode="External"/><Relationship Id="rId6604" Type="http://schemas.openxmlformats.org/officeDocument/2006/relationships/hyperlink" Target="https://drive.google.com/file/d/1Ji16uVIIEN3rlEcFnw2iEBrHCPNTL4K3/view?usp=sharing" TargetMode="External"/><Relationship Id="rId8776" Type="http://schemas.openxmlformats.org/officeDocument/2006/relationships/hyperlink" Target="https://drive.google.com/file/d/11Wo7MF0aJ_ohr-s5jF8SQPgi5Xcoxisk/view?usp=sharing" TargetMode="External"/><Relationship Id="rId9827" Type="http://schemas.openxmlformats.org/officeDocument/2006/relationships/hyperlink" Target="https://www.vidio.com/live/19882-top-soccer-championship-2025-u-16-u-17-final-cup?schedule_id=4730518" TargetMode="External"/><Relationship Id="rId11757" Type="http://schemas.openxmlformats.org/officeDocument/2006/relationships/hyperlink" Target="https://www.vidio.com/live/17139-spotv?schedule_id=4830788" TargetMode="External"/><Relationship Id="rId1816" Type="http://schemas.openxmlformats.org/officeDocument/2006/relationships/hyperlink" Target="https://drive.google.com/drive/u/0/folders/1UK6JOYOJJ_5a5WEmGMrjKbPOe1Q5OO4u" TargetMode="External"/><Relationship Id="rId7378" Type="http://schemas.openxmlformats.org/officeDocument/2006/relationships/hyperlink" Target="https://drive.google.com/drive/folders/1zAo1b6qsRRXEQiQ6J14nmp1OenYuBlTQ?usp=drive_link" TargetMode="External"/><Relationship Id="rId8429" Type="http://schemas.openxmlformats.org/officeDocument/2006/relationships/hyperlink" Target="https://www.vidio.com/live/6685-champions-tv-1?schedule_id=4734872" TargetMode="External"/><Relationship Id="rId10359" Type="http://schemas.openxmlformats.org/officeDocument/2006/relationships/hyperlink" Target="https://drive.google.com/file/d/1yvNszx8Wuk5yMRRQUkivRossXrLsHzWT/view?usp=sharing" TargetMode="External"/><Relationship Id="rId3988" Type="http://schemas.openxmlformats.org/officeDocument/2006/relationships/hyperlink" Target="https://drive.google.com/file/d/1DNux4glLBnqI-DzUHKvsJVIQIe0fQ_QF/view?usp=sharing" TargetMode="External"/><Relationship Id="rId8910" Type="http://schemas.openxmlformats.org/officeDocument/2006/relationships/hyperlink" Target="https://drive.google.com/file/d/1-vAS5PGm-_K-xjVzTlHPvgxKFq9WT7Fp/view?usp=sharing" TargetMode="External"/><Relationship Id="rId6461" Type="http://schemas.openxmlformats.org/officeDocument/2006/relationships/hyperlink" Target="https://drive.google.com/file/d/1LAMH3hRPjPY46YrkrQaG5BJVkuUxpbU2/view?usp=sharing" TargetMode="External"/><Relationship Id="rId7512" Type="http://schemas.openxmlformats.org/officeDocument/2006/relationships/hyperlink" Target="https://drive.google.com/file/d/1cUmSmLHNcG8yJQT8Y68fwwBIhV-U48Zq/view?usp=sharing" TargetMode="External"/><Relationship Id="rId10840" Type="http://schemas.openxmlformats.org/officeDocument/2006/relationships/hyperlink" Target="https://drive.google.com/file/d/1C4QqwsJKdpmgIskKFncjf1NyRNycjsQ-/view?usp=sharing" TargetMode="External"/><Relationship Id="rId5063" Type="http://schemas.openxmlformats.org/officeDocument/2006/relationships/hyperlink" Target="https://drive.google.com/file/d/1guZ31NVjDSXXgsYJYjJPJoxpbMUp8Wby/view?usp=sharing" TargetMode="External"/><Relationship Id="rId6114" Type="http://schemas.openxmlformats.org/officeDocument/2006/relationships/hyperlink" Target="https://drive.google.com/drive/folders/1dS3vNNShD_4D8y9abBX9KcQ_5Be3Vs7d?usp=drive_link" TargetMode="External"/><Relationship Id="rId9684" Type="http://schemas.openxmlformats.org/officeDocument/2006/relationships/hyperlink" Target="https://drive.google.com/file/d/1OqjLTvf9knqciY2DygjHz7xAN69MVilR/view?usp=sharing" TargetMode="External"/><Relationship Id="rId8286" Type="http://schemas.openxmlformats.org/officeDocument/2006/relationships/hyperlink" Target="https://thumbor.prod.vidiocdn.com/wlKs-0HlIgmia5Sxs9zz1pUspwc=/filters:quality(70)/vidio-media-production/uploads/image/source/52499/834c95.png" TargetMode="External"/><Relationship Id="rId9337" Type="http://schemas.openxmlformats.org/officeDocument/2006/relationships/hyperlink" Target="https://www.vidio.com/live/20048-fivb-volleyball-club-world-championship-2025?schedule_id=4783083" TargetMode="External"/><Relationship Id="rId1673" Type="http://schemas.openxmlformats.org/officeDocument/2006/relationships/hyperlink" Target="https://drive.google.com/file/d/16hDFCxrcDTWayQWzOYb3BC6bFFH5gRw9/view?usp=sharing" TargetMode="External"/><Relationship Id="rId2724" Type="http://schemas.openxmlformats.org/officeDocument/2006/relationships/hyperlink" Target="https://drive.google.com/drive/folders/11n5u_0bkO3lHCz4UjJiRd089IHB2ycgF?usp=drive_link" TargetMode="External"/><Relationship Id="rId11267" Type="http://schemas.openxmlformats.org/officeDocument/2006/relationships/hyperlink" Target="https://drive.google.com/drive/folders/1pOthccA_m63L5wVMU3ALrLUL_bLzuOZE?usp=drive_link" TargetMode="External"/><Relationship Id="rId12318" Type="http://schemas.openxmlformats.org/officeDocument/2006/relationships/hyperlink" Target="https://www.vidio.com/live/20281?schedule_id=4833901" TargetMode="External"/><Relationship Id="rId1326" Type="http://schemas.openxmlformats.org/officeDocument/2006/relationships/hyperlink" Target="https://drive.google.com/file/d/1bmYF2xwUr0SOj5wd1Y_Jyq35CES-O9Rx/view?usp=sharing" TargetMode="External"/><Relationship Id="rId4896" Type="http://schemas.openxmlformats.org/officeDocument/2006/relationships/hyperlink" Target="https://thumbor.prod.vidiocdn.com/mlRQlAHrLurfwUtQh4vHg8wRT6w=/filters:quality(70)/vidio-media-production/uploads/image/source/53080/562b0a.png" TargetMode="External"/><Relationship Id="rId5947" Type="http://schemas.openxmlformats.org/officeDocument/2006/relationships/hyperlink" Target="https://drive.google.com/file/d/1IPtfFFRFh7UfbJcSGK1k9m0NEf2mYW87/view?usp=sharing" TargetMode="External"/><Relationship Id="rId32" Type="http://schemas.openxmlformats.org/officeDocument/2006/relationships/hyperlink" Target="https://drive.google.com/file/d/1bttJ8aEF9e2_T4F5pDI-YzBFR7wBy3p4/view?usp=sharing" TargetMode="External"/><Relationship Id="rId3498" Type="http://schemas.openxmlformats.org/officeDocument/2006/relationships/hyperlink" Target="https://drive.google.com/drive/u/0/folders/1Lalc2EPka3ytlAJifjPJ5DFopqXroIZW" TargetMode="External"/><Relationship Id="rId4549" Type="http://schemas.openxmlformats.org/officeDocument/2006/relationships/hyperlink" Target="https://drive.google.com/drive/folders/13VmsWYlmDaWpingv8XUWNTFqfRG4WZCp?usp=drive_link" TargetMode="External"/><Relationship Id="rId8420" Type="http://schemas.openxmlformats.org/officeDocument/2006/relationships/hyperlink" Target="https://thumbor.prod.vidiocdn.com/NkN1cKsWn45VBU9ChUMIKhnDdKk=/filters:quality(70)/vidio-media-production/uploads/image/source/52067/f21641.png" TargetMode="External"/><Relationship Id="rId10350" Type="http://schemas.openxmlformats.org/officeDocument/2006/relationships/hyperlink" Target="https://drive.google.com/drive/folders/1pBL2Vu4TmsR7wzf0j8psh2JTh2hTX8Od" TargetMode="External"/><Relationship Id="rId11401" Type="http://schemas.openxmlformats.org/officeDocument/2006/relationships/hyperlink" Target="https://www.vidio.com/live/19383-bri-super-league?schedule_id=4824480" TargetMode="External"/><Relationship Id="rId7022" Type="http://schemas.openxmlformats.org/officeDocument/2006/relationships/hyperlink" Target="https://drive.google.com/drive/folders/1MX84RU5rZmbIJdFqPDVJ1-8zszjjl40g?usp=drive_link" TargetMode="External"/><Relationship Id="rId10003" Type="http://schemas.openxmlformats.org/officeDocument/2006/relationships/hyperlink" Target="https://thumbor.prod.vidiocdn.com/5Ry40JBtl7p6zXsbF5sdMbGTHEQ=/filters:quality(70)/vidio-media-production/uploads/image/source/52647/82935a.png" TargetMode="External"/><Relationship Id="rId2581" Type="http://schemas.openxmlformats.org/officeDocument/2006/relationships/hyperlink" Target="https://drive.google.com/file/d/1qruh6PqwB5XL2WV3BT10vDqo1KmdT5aQ/view?usp=sharing" TargetMode="External"/><Relationship Id="rId3632" Type="http://schemas.openxmlformats.org/officeDocument/2006/relationships/hyperlink" Target="https://drive.google.com/file/d/1pWE19Sk0HH5CcOUs0MSwr13dQzX_gnH4/view?usp=sharing" TargetMode="External"/><Relationship Id="rId9194" Type="http://schemas.openxmlformats.org/officeDocument/2006/relationships/hyperlink" Target="https://drive.google.com/file/d/1DNux4glLBnqI-DzUHKvsJVIQIe0fQ_QF/view?usp=sharing" TargetMode="External"/><Relationship Id="rId12175" Type="http://schemas.openxmlformats.org/officeDocument/2006/relationships/hyperlink" Target="https://www.vidio.com/live/20274?schedule_id=4833823" TargetMode="External"/><Relationship Id="rId553" Type="http://schemas.openxmlformats.org/officeDocument/2006/relationships/hyperlink" Target="https://drive.google.com/drive/folders/1v0653U8kNBTNML4vVPf-l6eJaljsoJeo?usp=drive_link" TargetMode="External"/><Relationship Id="rId1183" Type="http://schemas.openxmlformats.org/officeDocument/2006/relationships/hyperlink" Target="https://thumbor.prod.vidiocdn.com/nS2YSB5MxLkkO-tqG4xzl6k43Ag=/filters:quality(70)/vidio-media-production/uploads/image/source/52742/263964.png" TargetMode="External"/><Relationship Id="rId2234" Type="http://schemas.openxmlformats.org/officeDocument/2006/relationships/hyperlink" Target="https://www.vidio.com/live/6299-bein-1?schedule_id=4499130" TargetMode="External"/><Relationship Id="rId206" Type="http://schemas.openxmlformats.org/officeDocument/2006/relationships/hyperlink" Target="https://drive.google.com/file/d/18h-byMerOdAjhH_LM7yGgENhtLVvKkWz/view?usp=sharing" TargetMode="External"/><Relationship Id="rId6855" Type="http://schemas.openxmlformats.org/officeDocument/2006/relationships/hyperlink" Target="https://drive.google.com/file/d/1YaMw7XNXL1NhpyYPVzMX88SD5Tqpe5k2/view?usp=sharing" TargetMode="External"/><Relationship Id="rId7906" Type="http://schemas.openxmlformats.org/officeDocument/2006/relationships/hyperlink" Target="https://drive.google.com/file/d/1kfvgCrDlTI7t0QZICdj1il4TcbTskQXN/view?usp=sharing" TargetMode="External"/><Relationship Id="rId4059" Type="http://schemas.openxmlformats.org/officeDocument/2006/relationships/hyperlink" Target="https://drive.google.com/file/d/1x2GcmlXryLBcErka2__iP6T9Py2pbEWT/view?usp=drive_link" TargetMode="External"/><Relationship Id="rId5457" Type="http://schemas.openxmlformats.org/officeDocument/2006/relationships/hyperlink" Target="https://drive.google.com/file/d/1EtGZdf7FqDnyAMbpMQHoj1LHtw55-5V0/view?usp=sharing" TargetMode="External"/><Relationship Id="rId6508" Type="http://schemas.openxmlformats.org/officeDocument/2006/relationships/hyperlink" Target="https://drive.google.com/file/d/138YU7uXhbtIdGybbuGTUOKNjZSTvbdpl/view?usp=sharing" TargetMode="External"/><Relationship Id="rId4540" Type="http://schemas.openxmlformats.org/officeDocument/2006/relationships/hyperlink" Target="https://drive.google.com/file/d/1_yeVERxsSIN9gM88ROoE3hLFBLs97emr/view?usp=sharing" TargetMode="External"/><Relationship Id="rId2091" Type="http://schemas.openxmlformats.org/officeDocument/2006/relationships/hyperlink" Target="https://drive.google.com/file/d/1PrFEDL2VbPIN-GSDPwCJj3-LAqumlzeW/view?usp=sharing" TargetMode="External"/><Relationship Id="rId3142" Type="http://schemas.openxmlformats.org/officeDocument/2006/relationships/hyperlink" Target="https://drive.google.com/file/d/1q_S147RXF7Lg-td2wnJ49QJVxN9zvJKt/view?usp=sharing" TargetMode="External"/><Relationship Id="rId7763" Type="http://schemas.openxmlformats.org/officeDocument/2006/relationships/hyperlink" Target="https://drive.google.com/file/d/1XRgw6sYiHCxiooHl1J9SR27o_dgSW5wm/view?usp=sharing" TargetMode="External"/><Relationship Id="rId6365" Type="http://schemas.openxmlformats.org/officeDocument/2006/relationships/hyperlink" Target="https://drive.google.com/file/d/1j_tXU0ThLZUsaETRhplmRn6vBdY0UEQn/view?usp=sharing" TargetMode="External"/><Relationship Id="rId7416" Type="http://schemas.openxmlformats.org/officeDocument/2006/relationships/hyperlink" Target="https://drive.google.com/file/d/11Im7RMdb0_sNQ3OQXeY8AB7edxoX_rvp/view?usp=sharing" TargetMode="External"/><Relationship Id="rId8814" Type="http://schemas.openxmlformats.org/officeDocument/2006/relationships/hyperlink" Target="https://drive.google.com/drive/folders/1v5_wS23YC64ngB9P4oU1KHtc3SsAAf9Z?usp=drive_link" TargetMode="External"/><Relationship Id="rId10744" Type="http://schemas.openxmlformats.org/officeDocument/2006/relationships/hyperlink" Target="https://thumbor.prod.vidiocdn.com/d3gByXlPf5y8auLoM1KFfquNPvI=/filters:quality(70)/vidio-media-production/uploads/image/source/52087/509e02.png" TargetMode="External"/><Relationship Id="rId6018" Type="http://schemas.openxmlformats.org/officeDocument/2006/relationships/hyperlink" Target="https://drive.google.com/file/d/19cIxRAWLjMKPlxOepvlKMkgqcw9HclI_/view?usp=sharing" TargetMode="External"/><Relationship Id="rId2975" Type="http://schemas.openxmlformats.org/officeDocument/2006/relationships/hyperlink" Target="https://www.vidio.com/live/17875-bein-2?schedule_id=4736023" TargetMode="External"/><Relationship Id="rId9588" Type="http://schemas.openxmlformats.org/officeDocument/2006/relationships/hyperlink" Target="https://drive.google.com/file/d/1uf2kc_ISXVgdITKCcXpSfhCR2VVKqUNM/view?usp=sharing" TargetMode="External"/><Relationship Id="rId947" Type="http://schemas.openxmlformats.org/officeDocument/2006/relationships/hyperlink" Target="https://drive.google.com/file/d/1ZcbrbbjJtS0PmimuudqBh2TIxRElua1E/view?usp=sharing" TargetMode="External"/><Relationship Id="rId1577" Type="http://schemas.openxmlformats.org/officeDocument/2006/relationships/hyperlink" Target="https://drive.google.com/file/d/196-y2CNCXRHQ2CtB3msingonzqwAniPY/view?usp=drive_link" TargetMode="External"/><Relationship Id="rId2628" Type="http://schemas.openxmlformats.org/officeDocument/2006/relationships/hyperlink" Target="https://drive.google.com/drive/folders/1QDZs4gwgreYGTmGeyd8ZPAO9bfPl-dQh?usp=drive_link" TargetMode="External"/><Relationship Id="rId4050" Type="http://schemas.openxmlformats.org/officeDocument/2006/relationships/hyperlink" Target="https://drive.google.com/drive/folders/16p1X3vVs7auMhUiWM34WHI5e6M_5JoC9?usp=drive_link" TargetMode="External"/><Relationship Id="rId5101" Type="http://schemas.openxmlformats.org/officeDocument/2006/relationships/hyperlink" Target="https://drive.google.com/drive/folders/1d8RfZ3AxKm4vcq0d__doqb5lGvVI-NuD" TargetMode="External"/><Relationship Id="rId8671" Type="http://schemas.openxmlformats.org/officeDocument/2006/relationships/hyperlink" Target="https://www.vidio.com/live/17140-spotv-2?schedule_id=4673224" TargetMode="External"/><Relationship Id="rId9722" Type="http://schemas.openxmlformats.org/officeDocument/2006/relationships/hyperlink" Target="https://www.vidio.com/live/19548-national-football-league-2025-26?schedule_id=4741018" TargetMode="External"/><Relationship Id="rId1711" Type="http://schemas.openxmlformats.org/officeDocument/2006/relationships/hyperlink" Target="https://drive.google.com/file/d/182wGKdOu1jc_FV-Vqnhw5thuUDc-vR8v/view?usp=drive_link" TargetMode="External"/><Relationship Id="rId7273" Type="http://schemas.openxmlformats.org/officeDocument/2006/relationships/hyperlink" Target="https://drive.google.com/file/d/1f3JHUTq-uZSqzhrHDrgBfU0bG4jZV8Z7/view?usp=sharing" TargetMode="External"/><Relationship Id="rId8324" Type="http://schemas.openxmlformats.org/officeDocument/2006/relationships/hyperlink" Target="https://drive.google.com/file/d/1Dq3Mjk-_uIoVEB8CPB9k6-Kzd2uevuKS/view?usp=sharing" TargetMode="External"/><Relationship Id="rId10254" Type="http://schemas.openxmlformats.org/officeDocument/2006/relationships/hyperlink" Target="https://www.vidio.com/live/6317-bein-3?schedule_id=4779477" TargetMode="External"/><Relationship Id="rId11652" Type="http://schemas.openxmlformats.org/officeDocument/2006/relationships/hyperlink" Target="https://drive.google.com/file/d/1W1NXcBzJLTyJ8C1_W7tFLCiV0XdRXkoD/view?usp=sharing" TargetMode="External"/><Relationship Id="rId11305" Type="http://schemas.openxmlformats.org/officeDocument/2006/relationships/hyperlink" Target="https://drive.google.com/file/d/1rqkImW1Q6IXpM7RiBxeJUImezqq3QhiV/view?usp=sharing" TargetMode="External"/><Relationship Id="rId2485" Type="http://schemas.openxmlformats.org/officeDocument/2006/relationships/hyperlink" Target="https://drive.google.com/file/d/1-kWx5ryv8zOEbzDSsxPGVX6rs1l-oQcy/view?usp=sharing" TargetMode="External"/><Relationship Id="rId3883" Type="http://schemas.openxmlformats.org/officeDocument/2006/relationships/hyperlink" Target="https://3.basecamp.com/4902751/buckets/36763424/card_tables/cards/9045257134" TargetMode="External"/><Relationship Id="rId4934" Type="http://schemas.openxmlformats.org/officeDocument/2006/relationships/hyperlink" Target="https://drive.google.com/file/d/19u3miBqFRwb0jHxoXIMh7UDxm9jRkcaE/view?usp=sharing" TargetMode="External"/><Relationship Id="rId9098" Type="http://schemas.openxmlformats.org/officeDocument/2006/relationships/hyperlink" Target="https://drive.google.com/file/d/131zGq9ytuJN1xTK_ak3T2p5O9Olqq2_I/view?usp=sharing" TargetMode="External"/><Relationship Id="rId457" Type="http://schemas.openxmlformats.org/officeDocument/2006/relationships/hyperlink" Target="https://drive.google.com/file/d/1-0n2eUIIbRPLS7zJISDt4-_3Iiwhr5bF/view?usp=sharing" TargetMode="External"/><Relationship Id="rId1087" Type="http://schemas.openxmlformats.org/officeDocument/2006/relationships/hyperlink" Target="https://drive.google.com/file/d/1HG642ate5jLorRnjjO-JdF_qUblxxFel/view?usp=sharing" TargetMode="External"/><Relationship Id="rId2138" Type="http://schemas.openxmlformats.org/officeDocument/2006/relationships/hyperlink" Target="https://drive.google.com/file/d/13LFWv5WSW4oD6Wk_1_LSvFUxxrV1g3yZ/view?usp=sharing" TargetMode="External"/><Relationship Id="rId3536" Type="http://schemas.openxmlformats.org/officeDocument/2006/relationships/hyperlink" Target="https://drive.google.com/file/d/14Xp4DzPQWH21O_aonRmZ6WR1cr7t-Ji4/view?usp=sharing" TargetMode="External"/><Relationship Id="rId12079" Type="http://schemas.openxmlformats.org/officeDocument/2006/relationships/hyperlink" Target="https://drive.google.com/drive/folders/1j2A_bH-x2l04Qo4WA98rK5ys1iCEU3UZ" TargetMode="External"/><Relationship Id="rId6759" Type="http://schemas.openxmlformats.org/officeDocument/2006/relationships/hyperlink" Target="https://www.vidio.com/live/19519?schedule_id=4553301" TargetMode="External"/><Relationship Id="rId8181" Type="http://schemas.openxmlformats.org/officeDocument/2006/relationships/hyperlink" Target="https://drive.google.com/drive/folders/1H45cfBDU3ieahaLy2cP4KkNQ4z4EzTCW" TargetMode="External"/><Relationship Id="rId9232" Type="http://schemas.openxmlformats.org/officeDocument/2006/relationships/hyperlink" Target="https://drive.google.com/file/d/1bGAtWdCSL-v2iZg1GvRoYwXZwXVqVH3x/view?usp=drive_link" TargetMode="External"/><Relationship Id="rId11162" Type="http://schemas.openxmlformats.org/officeDocument/2006/relationships/hyperlink" Target="https://www.vidio.com/live/18249-hsbc-bwf-world-tour-finals-2025-group-stage-court-1?schedule_id=4784599" TargetMode="External"/><Relationship Id="rId12213" Type="http://schemas.openxmlformats.org/officeDocument/2006/relationships/hyperlink" Target="https://drive.google.com/file/d/17nqJ8YbOWxi4DOQmMA4_VvY1qMuE4tM4/view?usp=sharing" TargetMode="External"/><Relationship Id="rId1221" Type="http://schemas.openxmlformats.org/officeDocument/2006/relationships/hyperlink" Target="https://drive.google.com/file/d/1LvYuQZkZij6YuDMxkYhh5-BjlIGoNSFZ/view?usp=sharing" TargetMode="External"/><Relationship Id="rId4791" Type="http://schemas.openxmlformats.org/officeDocument/2006/relationships/hyperlink" Target="https://thumbor.prod.vidiocdn.com/RkP_WtfLuDrbxtk955BuyTTIgjM=/filters:quality(70)/vidio-media-production/uploads/image/source/52134/2f10c4.png" TargetMode="External"/><Relationship Id="rId5842" Type="http://schemas.openxmlformats.org/officeDocument/2006/relationships/hyperlink" Target="https://drive.google.com/file/d/1zMbP4ROTK_0F-qEFRvcha3tiBKJRzgWU/view?usp=sharing" TargetMode="External"/><Relationship Id="rId3393" Type="http://schemas.openxmlformats.org/officeDocument/2006/relationships/hyperlink" Target="https://drive.google.com/file/d/1WtylJ_R6FNPP51KPjeTqonasHtSbJNFU/view?usp=sharing" TargetMode="External"/><Relationship Id="rId4444" Type="http://schemas.openxmlformats.org/officeDocument/2006/relationships/hyperlink" Target="https://drive.google.com/drive/folders/183CEXU6WQwKP4fnTqpt_CQM00h8pyoaT?usp=drive_link" TargetMode="External"/><Relationship Id="rId3046" Type="http://schemas.openxmlformats.org/officeDocument/2006/relationships/hyperlink" Target="https://drive.google.com/file/d/1ubj-NiYPPJARWrezZUBAGRJpGLQUU5LT/view?usp=sharing" TargetMode="External"/><Relationship Id="rId10995" Type="http://schemas.openxmlformats.org/officeDocument/2006/relationships/hyperlink" Target="https://drive.google.com/file/d/1b-g49T5d8ewNgfdej5DHCtgJZbB4GX_b/view?usp=sharing" TargetMode="External"/><Relationship Id="rId6269" Type="http://schemas.openxmlformats.org/officeDocument/2006/relationships/hyperlink" Target="https://drive.google.com/file/d/1tF63qTxqAnugLWcR2aLb1EENyXzWtzgF/view?usp=drive_link" TargetMode="External"/><Relationship Id="rId7667" Type="http://schemas.openxmlformats.org/officeDocument/2006/relationships/hyperlink" Target="https://www.vidio.com/live/19548-national-football-league-2025-26?schedule_id=4632529" TargetMode="External"/><Relationship Id="rId8718" Type="http://schemas.openxmlformats.org/officeDocument/2006/relationships/hyperlink" Target="https://drive.google.com/file/d/1DNux4glLBnqI-DzUHKvsJVIQIe0fQ_QF/view?usp=sharing" TargetMode="External"/><Relationship Id="rId10648" Type="http://schemas.openxmlformats.org/officeDocument/2006/relationships/hyperlink" Target="https://www.vidio.com/live/6686-champions-tv-2?schedule_id=4832300" TargetMode="External"/><Relationship Id="rId12070" Type="http://schemas.openxmlformats.org/officeDocument/2006/relationships/hyperlink" Target="https://www.vidio.com/live/18250-petronas-malaysia-open-2026-round-of-16-court-2?schedule_id=4832342" TargetMode="External"/><Relationship Id="rId2879" Type="http://schemas.openxmlformats.org/officeDocument/2006/relationships/hyperlink" Target="https://drive.google.com/drive/folders/1EjFTzZaElM_nUUnRO1yv537xq-gd78P_?usp=drive_link" TargetMode="External"/><Relationship Id="rId6750" Type="http://schemas.openxmlformats.org/officeDocument/2006/relationships/hyperlink" Target="https://www.vidio.com/live/19519?schedule_id=4553299" TargetMode="External"/><Relationship Id="rId7801" Type="http://schemas.openxmlformats.org/officeDocument/2006/relationships/hyperlink" Target="https://drive.google.com/drive/folders/13kAH2_cFEa46VcsvFmvsvCd7IBsiChYR?usp=drive_link" TargetMode="External"/><Relationship Id="rId101" Type="http://schemas.openxmlformats.org/officeDocument/2006/relationships/hyperlink" Target="https://3.basecamp.com/4902751/buckets/36763424/card_tables/cards/8914999283" TargetMode="External"/><Relationship Id="rId5352" Type="http://schemas.openxmlformats.org/officeDocument/2006/relationships/hyperlink" Target="https://drive.google.com/file/d/1Y5O8sFDf5R8Dp5LcyjWMWTNOpLRUMB0G/view?usp=sharing" TargetMode="External"/><Relationship Id="rId6403" Type="http://schemas.openxmlformats.org/officeDocument/2006/relationships/hyperlink" Target="https://drive.google.com/drive/folders/1F9lLmIvT4-3oh_Jbh-sne-zsyB6ey7v0" TargetMode="External"/><Relationship Id="rId9973" Type="http://schemas.openxmlformats.org/officeDocument/2006/relationships/hyperlink" Target="https://drive.google.com/file/d/1gRcUxZAO5I_uLoVtciKhvSwkzxtPFmtj/view?usp=sharing" TargetMode="External"/><Relationship Id="rId5005" Type="http://schemas.openxmlformats.org/officeDocument/2006/relationships/hyperlink" Target="https://drive.google.com/drive/folders/1iXXXI8AUN2qzP-l9i7Vb4Z_ch9sn0od-" TargetMode="External"/><Relationship Id="rId8575" Type="http://schemas.openxmlformats.org/officeDocument/2006/relationships/hyperlink" Target="https://drive.google.com/file/d/1SdfoaE_upRSavU1vepwFb-okkmmZsVC3/view?usp=sharing" TargetMode="External"/><Relationship Id="rId9626" Type="http://schemas.openxmlformats.org/officeDocument/2006/relationships/hyperlink" Target="https://www.vidio.com/live/20048-fivb-women-s-volleyball-club-world-championship-2025?schedule_id=4773281" TargetMode="External"/><Relationship Id="rId1962" Type="http://schemas.openxmlformats.org/officeDocument/2006/relationships/hyperlink" Target="https://drive.google.com/drive/u/0/folders/1kGHtJTboMQzt_AXOEFOdRLfI5nrFLPAB" TargetMode="External"/><Relationship Id="rId7177" Type="http://schemas.openxmlformats.org/officeDocument/2006/relationships/hyperlink" Target="https://drive.google.com/drive/folders/1NepG6XT-FSa8Cs07sX3tPfQWLNpJfAxp" TargetMode="External"/><Relationship Id="rId8228" Type="http://schemas.openxmlformats.org/officeDocument/2006/relationships/hyperlink" Target="https://drive.google.com/file/d/1uM9CelshPgnRuvuaD5gNzWh2tm4aR9-l/view?usp=drive_link" TargetMode="External"/><Relationship Id="rId11556" Type="http://schemas.openxmlformats.org/officeDocument/2006/relationships/hyperlink" Target="https://drive.google.com/drive/folders/1GHqviR4LdqURk7yDvcialuPQZaDLbqD7" TargetMode="External"/><Relationship Id="rId1615" Type="http://schemas.openxmlformats.org/officeDocument/2006/relationships/hyperlink" Target="https://drive.google.com/file/d/1It7Nyr0Wh0bPVeaNwaaOxLqsjdXsEz5F/view?usp=sharing" TargetMode="External"/><Relationship Id="rId10158" Type="http://schemas.openxmlformats.org/officeDocument/2006/relationships/hyperlink" Target="https://drive.google.com/file/d/1qA5fRxlPsACTBMYrszxCaIeyTA3lRyp5/view?usp=sharing" TargetMode="External"/><Relationship Id="rId11209" Type="http://schemas.openxmlformats.org/officeDocument/2006/relationships/hyperlink" Target="https://drive.google.com/file/d/1jkio8kcnZyGbN-wJKENweOqx4lbWt1tu/view?usp=sharing" TargetMode="External"/><Relationship Id="rId3787" Type="http://schemas.openxmlformats.org/officeDocument/2006/relationships/hyperlink" Target="https://www.vidio.com/live/6685-champions-tv-1?schedule_id=4558764" TargetMode="External"/><Relationship Id="rId4838" Type="http://schemas.openxmlformats.org/officeDocument/2006/relationships/hyperlink" Target="https://www.vidio.com/live/17938-serie-a?schedule_id=4831739" TargetMode="External"/><Relationship Id="rId2389" Type="http://schemas.openxmlformats.org/officeDocument/2006/relationships/hyperlink" Target="https://drive.google.com/file/d/1K4WAgsVqPeHsWwlpKuXTwMvGlQyStqoB/view?usp=drive_link" TargetMode="External"/><Relationship Id="rId6260" Type="http://schemas.openxmlformats.org/officeDocument/2006/relationships/hyperlink" Target="https://www.vidio.com/live/19647-uefa-conference-league?schedule_id=4664237" TargetMode="External"/><Relationship Id="rId7311" Type="http://schemas.openxmlformats.org/officeDocument/2006/relationships/hyperlink" Target="https://drive.google.com/file/d/19YBPvO_2l2DekCBJmnqPfhG3kr5zvSaJ/view?usp=sharing" TargetMode="External"/><Relationship Id="rId2870" Type="http://schemas.openxmlformats.org/officeDocument/2006/relationships/hyperlink" Target="https://drive.google.com/file/d/1Cd2Fg3e10X8Y5tZbmTQcVXs6sk_obvQl/view?usp=sharing" TargetMode="External"/><Relationship Id="rId3921" Type="http://schemas.openxmlformats.org/officeDocument/2006/relationships/hyperlink" Target="https://drive.google.com/drive/folders/1FUYVGFcWOBPvkAkkVI3fj_0oBsXNzTzB?usp=drive_link" TargetMode="External"/><Relationship Id="rId9483" Type="http://schemas.openxmlformats.org/officeDocument/2006/relationships/hyperlink" Target="https://drive.google.com/file/d/1Od7ahvJ5vUqA93QcTGf_w7HIhwKo_bHi/view?usp=drive_link" TargetMode="External"/><Relationship Id="rId842" Type="http://schemas.openxmlformats.org/officeDocument/2006/relationships/hyperlink" Target="https://drive.google.com/drive/folders/1WB5RMrJafdkxgc0CdZvq6o2Z-yCqfWQu?usp=drive_link" TargetMode="External"/><Relationship Id="rId1472" Type="http://schemas.openxmlformats.org/officeDocument/2006/relationships/hyperlink" Target="https://drive.google.com/file/d/1r2sevGLOxvwOClWzxuCrqg40HTkLmjbb/view?usp=sharing" TargetMode="External"/><Relationship Id="rId2523" Type="http://schemas.openxmlformats.org/officeDocument/2006/relationships/hyperlink" Target="https://drive.google.com/file/d/1WJcwVOhqKZDFNWd9Bm6hXdDQ4Icld1-b/view?usp=sharing" TargetMode="External"/><Relationship Id="rId8085" Type="http://schemas.openxmlformats.org/officeDocument/2006/relationships/hyperlink" Target="https://drive.google.com/drive/folders/112RzALDsWDMTVE0zr2UYlSB0bnemnXru?usp=drive_link" TargetMode="External"/><Relationship Id="rId9136" Type="http://schemas.openxmlformats.org/officeDocument/2006/relationships/hyperlink" Target="https://drive.google.com/file/d/1x9zYWDQc5p8x8n-AIC6znEzj1H4Qydyr/view?usp=sharing" TargetMode="External"/><Relationship Id="rId11066" Type="http://schemas.openxmlformats.org/officeDocument/2006/relationships/hyperlink" Target="https://drive.google.com/file/d/1CCwjPMwC9nhgDKtt9bFFc0WC_x5gWv7h/view?usp=sharing" TargetMode="External"/><Relationship Id="rId12117" Type="http://schemas.openxmlformats.org/officeDocument/2006/relationships/hyperlink" Target="https://drive.google.com/drive/folders/1y_mGPCoON9jW62Lb8x5K2d_YVzyt7dym" TargetMode="External"/><Relationship Id="rId1125" Type="http://schemas.openxmlformats.org/officeDocument/2006/relationships/hyperlink" Target="https://drive.google.com/file/d/1H6eu8uL0Snc2QUxhuqduYY7piseuu0Dk/view?usp=sharing" TargetMode="External"/><Relationship Id="rId4695" Type="http://schemas.openxmlformats.org/officeDocument/2006/relationships/hyperlink" Target="https://drive.google.com/file/d/1yEeTLdSz9LIheVsNPOKRZ849ZOAc5Mtu/view?usp=sharing" TargetMode="External"/><Relationship Id="rId3297" Type="http://schemas.openxmlformats.org/officeDocument/2006/relationships/hyperlink" Target="https://www.vidio.com/live/19355-bri-super-league?schedule_id=4488479" TargetMode="External"/><Relationship Id="rId4348" Type="http://schemas.openxmlformats.org/officeDocument/2006/relationships/hyperlink" Target="https://drive.google.com/file/d/1cjdLcPaMGUxVU4o1iByhLKyox1VzGQc7/view?usp=sharing" TargetMode="External"/><Relationship Id="rId5746" Type="http://schemas.openxmlformats.org/officeDocument/2006/relationships/hyperlink" Target="https://drive.google.com/file/d/1fuU0qcUNqrktkUqF71T0RbQ5Mp7JvqAT/view?usp=sharing" TargetMode="External"/><Relationship Id="rId8969" Type="http://schemas.openxmlformats.org/officeDocument/2006/relationships/hyperlink" Target="https://drive.google.com/file/d/1jS2nTWTsN8ZtVnxtgVKRzsj2qzUJDhs9/view?usp=sharing" TargetMode="External"/><Relationship Id="rId10899" Type="http://schemas.openxmlformats.org/officeDocument/2006/relationships/hyperlink" Target="https://drive.google.com/drive/folders/1B_CpyZmnmZlHkjOa4CyokY-4DC1T2lX4" TargetMode="External"/><Relationship Id="rId11200" Type="http://schemas.openxmlformats.org/officeDocument/2006/relationships/hyperlink" Target="https://drive.google.com/file/d/1yvNszx8Wuk5yMRRQUkivRossXrLsHzWT/view?usp=sharing" TargetMode="External"/><Relationship Id="rId2380" Type="http://schemas.openxmlformats.org/officeDocument/2006/relationships/hyperlink" Target="https://drive.google.com/drive/folders/10nidIR7F_zusl1NsC81mJtENC0yCMcmX?usp=drive_link" TargetMode="External"/><Relationship Id="rId3431" Type="http://schemas.openxmlformats.org/officeDocument/2006/relationships/hyperlink" Target="https://drive.google.com/drive/folders/1VKCIZ4dHV7o5FlPYNqN20rGWZtHE9ox6" TargetMode="External"/><Relationship Id="rId352" Type="http://schemas.openxmlformats.org/officeDocument/2006/relationships/hyperlink" Target="https://drive.google.com/drive/folders/16KPsK9K0mVahy0NKMh1LLjDSdQ-qrIKf?usp=drive_link" TargetMode="External"/><Relationship Id="rId2033" Type="http://schemas.openxmlformats.org/officeDocument/2006/relationships/hyperlink" Target="https://drive.google.com/drive/folders/1NpgGEBjO4YSs463svmLL47pk7jgA2mtD" TargetMode="External"/><Relationship Id="rId6654" Type="http://schemas.openxmlformats.org/officeDocument/2006/relationships/hyperlink" Target="https://drive.google.com/drive/folders/1xwYFzEyVtC6Lei-LAQ6_fAvZhoXffsm9?usp=drive_link" TargetMode="External"/><Relationship Id="rId7705" Type="http://schemas.openxmlformats.org/officeDocument/2006/relationships/hyperlink" Target="https://www.vidio.com/live/19543-pegadaian-championship-2025-26?schedule_id=4665895" TargetMode="External"/><Relationship Id="rId5256" Type="http://schemas.openxmlformats.org/officeDocument/2006/relationships/hyperlink" Target="https://drive.google.com/drive/folders/1tp-rfkZvYTP5LlBoH7IINM8UnA_YC36c" TargetMode="External"/><Relationship Id="rId6307" Type="http://schemas.openxmlformats.org/officeDocument/2006/relationships/hyperlink" Target="https://drive.google.com/drive/folders/1_QyyUC0KxsA5I5XnGSR_moWG1pYIaeRU" TargetMode="External"/><Relationship Id="rId8479" Type="http://schemas.openxmlformats.org/officeDocument/2006/relationships/hyperlink" Target="https://thumbor.prod.vidiocdn.com/AuDqiaaVeDbXpClTRo-DjPQDPe8=/filters:quality(70)/vidio-media-production/uploads/image/source/52056/1d6792.png" TargetMode="External"/><Relationship Id="rId9877" Type="http://schemas.openxmlformats.org/officeDocument/2006/relationships/hyperlink" Target="https://drive.google.com/file/d/1kXaxyvGPActxxWahjPRN_N6UepsjZYnG/view?usp=sharing" TargetMode="External"/><Relationship Id="rId1866" Type="http://schemas.openxmlformats.org/officeDocument/2006/relationships/hyperlink" Target="https://drive.google.com/file/d/1F3VGU3HuBdB7bSFD_dEssrmfKChrbivt/view?usp=drive_link" TargetMode="External"/><Relationship Id="rId2917" Type="http://schemas.openxmlformats.org/officeDocument/2006/relationships/hyperlink" Target="https://drive.google.com/file/d/1wcjQxwBDxoXcHWPr_j28TVwZ4M_429M4/view?usp=sharing" TargetMode="External"/><Relationship Id="rId1519" Type="http://schemas.openxmlformats.org/officeDocument/2006/relationships/hyperlink" Target="https://drive.google.com/file/d/12ZkpCUT6VTk2XtGig5jYmrMioVXfb8GE/view?usp=sharing" TargetMode="External"/><Relationship Id="rId8960" Type="http://schemas.openxmlformats.org/officeDocument/2006/relationships/hyperlink" Target="https://www.vidio.com/live/19623-national-football-league-2025-26?schedule_id=4706546" TargetMode="External"/><Relationship Id="rId10890" Type="http://schemas.openxmlformats.org/officeDocument/2006/relationships/hyperlink" Target="https://www.vidio.com/live/18249-hsbc-bwf-world-tour-finals-2025-group-stage-court-1?schedule_id=4783140" TargetMode="External"/><Relationship Id="rId7562" Type="http://schemas.openxmlformats.org/officeDocument/2006/relationships/hyperlink" Target="https://drive.google.com/drive/folders/18pa30k7VXSESv0P6fZ97lEXrQ9iatGXT?usp=drive_link" TargetMode="External"/><Relationship Id="rId8613" Type="http://schemas.openxmlformats.org/officeDocument/2006/relationships/hyperlink" Target="https://www.vidio.com/live/19584-pegadaian-championship-2025-26?schedule_id=4725604" TargetMode="External"/><Relationship Id="rId10543" Type="http://schemas.openxmlformats.org/officeDocument/2006/relationships/hyperlink" Target="https://drive.google.com/drive/folders/1pBOGqvsTfp4t1uATNP-cNSD1bles5_AP?usp=drive_link" TargetMode="External"/><Relationship Id="rId11941" Type="http://schemas.openxmlformats.org/officeDocument/2006/relationships/hyperlink" Target="https://www.vidio.com/live/18249-petronas-malaysia-open-2026-round-of-32-court-1?schedule_id=4832168" TargetMode="External"/><Relationship Id="rId6164" Type="http://schemas.openxmlformats.org/officeDocument/2006/relationships/hyperlink" Target="https://drive.google.com/file/d/1fduXWGHp-lL8YARjSVLKfNrYq1Z99YhI/view?usp=drive_link" TargetMode="External"/><Relationship Id="rId7215" Type="http://schemas.openxmlformats.org/officeDocument/2006/relationships/hyperlink" Target="https://drive.google.com/file/d/1MZFR3fN4oGH-30OhoEU6dIvF7iC5fjiG/view?usp=sharing" TargetMode="External"/><Relationship Id="rId2774" Type="http://schemas.openxmlformats.org/officeDocument/2006/relationships/hyperlink" Target="https://www.vidio.com/live/6299-bein-1?schedule_id=4665859" TargetMode="External"/><Relationship Id="rId9387" Type="http://schemas.openxmlformats.org/officeDocument/2006/relationships/hyperlink" Target="https://thumbor.prod.vidiocdn.com/n-le3MetRhakOSmlGaycdDE0zZU=/filters:quality(70)/vidio-media-production/uploads/image/source/52554/0fb57f.png" TargetMode="External"/><Relationship Id="rId746" Type="http://schemas.openxmlformats.org/officeDocument/2006/relationships/hyperlink" Target="https://drive.google.com/drive/folders/1uhJs0XWrw5MpjvNxq26-eXCSMR0UWHi-?usp=drive_link" TargetMode="External"/><Relationship Id="rId1376" Type="http://schemas.openxmlformats.org/officeDocument/2006/relationships/hyperlink" Target="https://www.vidio.com/live/19404-serie-a?schedule_id=4569293" TargetMode="External"/><Relationship Id="rId2427" Type="http://schemas.openxmlformats.org/officeDocument/2006/relationships/hyperlink" Target="https://drive.google.com/file/d/1bTrqMT_cR48JZcVpjfgdkbbi2XC6XgoD/view?usp=sharing" TargetMode="External"/><Relationship Id="rId3825" Type="http://schemas.openxmlformats.org/officeDocument/2006/relationships/hyperlink" Target="https://drive.google.com/file/d/1GSwOaEPtw4-AWs5ugqoMwW68ccr2ijoT/view?usp=sharing" TargetMode="External"/><Relationship Id="rId12368" Type="http://schemas.openxmlformats.org/officeDocument/2006/relationships/hyperlink" Target="https://drive.google.com/drive/folders/1b4k6Xd9bYzvR8tmKEmYOqigP2l0r7KIX" TargetMode="External"/><Relationship Id="rId1029" Type="http://schemas.openxmlformats.org/officeDocument/2006/relationships/hyperlink" Target="https://drive.google.com/file/d/1wevYsgnQwiNx5AUYGFyLwFL3IL3fp8fF/view?usp=sharing" TargetMode="External"/><Relationship Id="rId5997" Type="http://schemas.openxmlformats.org/officeDocument/2006/relationships/hyperlink" Target="https://www.vidio.com/live/19602-uefa-europa-league?schedule_id=4773535" TargetMode="External"/><Relationship Id="rId82" Type="http://schemas.openxmlformats.org/officeDocument/2006/relationships/hyperlink" Target="https://drive.google.com/file/d/1FhmvPGHyvD-PoTZGaumTJPX2F4lhdBhO/view?usp=sharing" TargetMode="External"/><Relationship Id="rId4599" Type="http://schemas.openxmlformats.org/officeDocument/2006/relationships/hyperlink" Target="https://www.vidio.com/live/19404-serie-a?schedule_id=4745539" TargetMode="External"/><Relationship Id="rId7072" Type="http://schemas.openxmlformats.org/officeDocument/2006/relationships/hyperlink" Target="https://www.vidio.com/live/6317-bein-3?schedule_id=4582514" TargetMode="External"/><Relationship Id="rId8470" Type="http://schemas.openxmlformats.org/officeDocument/2006/relationships/hyperlink" Target="https://drive.google.com/file/d/1fA0y30-Pk6NN8bGN9jJ_RsFtDTRHNG93/view?usp=sharing" TargetMode="External"/><Relationship Id="rId9521" Type="http://schemas.openxmlformats.org/officeDocument/2006/relationships/hyperlink" Target="https://drive.google.com/file/d/1L88QxPGqBBzEFGfS4cN63b-MVCLYdfxe/view?usp=sharing" TargetMode="External"/><Relationship Id="rId11451" Type="http://schemas.openxmlformats.org/officeDocument/2006/relationships/hyperlink" Target="https://drive.google.com/drive/folders/1-3G60-ZlhXCiGmbUDWlPqWofGMOmwszR" TargetMode="External"/><Relationship Id="rId1510" Type="http://schemas.openxmlformats.org/officeDocument/2006/relationships/hyperlink" Target="https://www.vidio.com/live/6686-champions-tv-2?schedule_id=4485991" TargetMode="External"/><Relationship Id="rId8123" Type="http://schemas.openxmlformats.org/officeDocument/2006/relationships/hyperlink" Target="https://drive.google.com/file/d/1ASvB3urlCIBYhCDnX6BGwh9wD8A-al4G/view?usp=sharing" TargetMode="External"/><Relationship Id="rId10053" Type="http://schemas.openxmlformats.org/officeDocument/2006/relationships/hyperlink" Target="https://drive.google.com/drive/folders/1zJFNDK1oZf5H4p6NE_63ZaCzSORyHA_c" TargetMode="External"/><Relationship Id="rId11104" Type="http://schemas.openxmlformats.org/officeDocument/2006/relationships/hyperlink" Target="https://drive.google.com/file/d/1O2nR633xmcfvYKd21Ggitl2MONP6wTDu/view?usp=sharing" TargetMode="External"/><Relationship Id="rId3682" Type="http://schemas.openxmlformats.org/officeDocument/2006/relationships/hyperlink" Target="https://www.vidio.com/live/6685-champions-tv-1?schedule_id=4535216" TargetMode="External"/><Relationship Id="rId4733" Type="http://schemas.openxmlformats.org/officeDocument/2006/relationships/hyperlink" Target="https://drive.google.com/file/d/1cXNaQW3SIjGZR4QNTNjC2XKZXR2Pp_FJ/view?usp=sharing" TargetMode="External"/><Relationship Id="rId2284" Type="http://schemas.openxmlformats.org/officeDocument/2006/relationships/hyperlink" Target="https://drive.google.com/file/d/1BezuLQ3SrMZ_VSK9xNVVyGflQUWE_6zr/view?usp=drive_link" TargetMode="External"/><Relationship Id="rId3335" Type="http://schemas.openxmlformats.org/officeDocument/2006/relationships/hyperlink" Target="https://drive.google.com/drive/folders/1qJurqRohVsogAKqqMeei_icgNdHCI4SV" TargetMode="External"/><Relationship Id="rId256" Type="http://schemas.openxmlformats.org/officeDocument/2006/relationships/hyperlink" Target="https://www.vidio.com/live/9182-champions-tv-5?schedule_id=4562505" TargetMode="External"/><Relationship Id="rId6558" Type="http://schemas.openxmlformats.org/officeDocument/2006/relationships/hyperlink" Target="https://drive.google.com/file/d/1icJZsRbm5l-JHxyYs2wg1t_fNii_-Aue/view?usp=sharing" TargetMode="External"/><Relationship Id="rId7956" Type="http://schemas.openxmlformats.org/officeDocument/2006/relationships/hyperlink" Target="https://drive.google.com/file/d/10Y2dWBSaaknHu2QHgH_inNGLyeYZmfeZ/view?usp=sharing" TargetMode="External"/><Relationship Id="rId10937" Type="http://schemas.openxmlformats.org/officeDocument/2006/relationships/hyperlink" Target="https://drive.google.com/file/d/1OiW_D2onhReVXEfYvy1INOQR1cRNo9oQ/view?usp=sharing" TargetMode="External"/><Relationship Id="rId7609" Type="http://schemas.openxmlformats.org/officeDocument/2006/relationships/hyperlink" Target="https://drive.google.com/file/d/1LzVj_suJAdNX60YcHNmPP1MY-95JCAhM/view?usp=sharing" TargetMode="External"/><Relationship Id="rId9031" Type="http://schemas.openxmlformats.org/officeDocument/2006/relationships/hyperlink" Target="https://drive.google.com/drive/folders/1uDNIHkMXewTAJsHvzYTg8s76h4OXacSn?usp=sharing" TargetMode="External"/><Relationship Id="rId12012" Type="http://schemas.openxmlformats.org/officeDocument/2006/relationships/hyperlink" Target="https://drive.google.com/file/d/1GSUWpYS1bKMQHpDirkh41aNW22dfhpEf/view?usp=sharing" TargetMode="External"/><Relationship Id="rId1020" Type="http://schemas.openxmlformats.org/officeDocument/2006/relationships/hyperlink" Target="https://www.vidio.com/live/9183-champions-tv-6?schedule_id=4783741" TargetMode="External"/><Relationship Id="rId4590" Type="http://schemas.openxmlformats.org/officeDocument/2006/relationships/hyperlink" Target="https://drive.google.com/drive/folders/145IhwfqlcpfOLrMqkCkNQ3_RVW4boDzF?usp=drive_link" TargetMode="External"/><Relationship Id="rId5641" Type="http://schemas.openxmlformats.org/officeDocument/2006/relationships/hyperlink" Target="https://drive.google.com/file/d/1iDOy9PwxzNbdNKv9ildpW8VvV7xOZ036/view?usp=sharing" TargetMode="External"/><Relationship Id="rId3192" Type="http://schemas.openxmlformats.org/officeDocument/2006/relationships/hyperlink" Target="https://www.vidio.com/live/6299-bein-1?schedule_id=4819764" TargetMode="External"/><Relationship Id="rId4243" Type="http://schemas.openxmlformats.org/officeDocument/2006/relationships/hyperlink" Target="https://www.vidio.com/live/17938-serie-a?schedule_id=4653335" TargetMode="External"/><Relationship Id="rId8864" Type="http://schemas.openxmlformats.org/officeDocument/2006/relationships/hyperlink" Target="https://drive.google.com/file/d/1iEdqwTjvU3snCDn1rJ4e-uw1DnfE1YIj/view?usp=sharing" TargetMode="External"/><Relationship Id="rId9915" Type="http://schemas.openxmlformats.org/officeDocument/2006/relationships/hyperlink" Target="https://drive.google.com/drive/folders/1Oy9xPYBaViyQGYSWmqve8X5RAopZaCXK" TargetMode="External"/><Relationship Id="rId7466" Type="http://schemas.openxmlformats.org/officeDocument/2006/relationships/hyperlink" Target="https://drive.google.com/drive/folders/1NepG6XT-FSa8Cs07sX3tPfQWLNpJfAxp" TargetMode="External"/><Relationship Id="rId8517" Type="http://schemas.openxmlformats.org/officeDocument/2006/relationships/hyperlink" Target="https://drive.google.com/file/d/1Y_-X5XuTXoKKbXs3zPw_SwVGUmKXHIY-/view?usp=sharing" TargetMode="External"/><Relationship Id="rId10794" Type="http://schemas.openxmlformats.org/officeDocument/2006/relationships/hyperlink" Target="https://drive.google.com/file/d/1IRtd7Iju_JzmPgQ-ScHIWxRZmH0UVcY0/view?usp=sharing" TargetMode="External"/><Relationship Id="rId11845" Type="http://schemas.openxmlformats.org/officeDocument/2006/relationships/hyperlink" Target="https://drive.google.com/file/d/1eJVJpUKAFNWxLxYTbZoZRYrCww0XILnT/view?usp=sharing" TargetMode="External"/><Relationship Id="rId1904" Type="http://schemas.openxmlformats.org/officeDocument/2006/relationships/hyperlink" Target="https://drive.google.com/drive/folders/1LGi9dLurk_Jo_59rg1c1WXWuzIKHgb6W" TargetMode="External"/><Relationship Id="rId6068" Type="http://schemas.openxmlformats.org/officeDocument/2006/relationships/hyperlink" Target="https://drive.google.com/file/d/1Sx13bYh-w1MUn-c9pdTlO0zuSthMX6hy/view?usp=sharing" TargetMode="External"/><Relationship Id="rId7119" Type="http://schemas.openxmlformats.org/officeDocument/2006/relationships/hyperlink" Target="https://drive.google.com/file/d/1DR91kw-6CsmCZ6Tr3W28W9R1DSEfGBMt/view?usp=sharing" TargetMode="External"/><Relationship Id="rId10447" Type="http://schemas.openxmlformats.org/officeDocument/2006/relationships/hyperlink" Target="https://drive.google.com/file/d/1WvDX6-0EcVaduZ9v8Z186Wid2RVBlDXT/view?usp=sharing" TargetMode="External"/><Relationship Id="rId997" Type="http://schemas.openxmlformats.org/officeDocument/2006/relationships/hyperlink" Target="https://drive.google.com/drive/folders/1BLdPCdPGQLpyXWrkANmB1MZuXDektmjP?usp=drive_link" TargetMode="External"/><Relationship Id="rId2678" Type="http://schemas.openxmlformats.org/officeDocument/2006/relationships/hyperlink" Target="https://www.vidio.com/live/6299-bein-1?schedule_id=4630481" TargetMode="External"/><Relationship Id="rId3729" Type="http://schemas.openxmlformats.org/officeDocument/2006/relationships/hyperlink" Target="https://www.vidio.com/live/6686-champions-tv-2?schedule_id=4512936" TargetMode="External"/><Relationship Id="rId5151" Type="http://schemas.openxmlformats.org/officeDocument/2006/relationships/hyperlink" Target="https://drive.google.com/file/d/10_AaHjSJZvyGkppRN5_QS1-CJr9_un_e/view?usp=sharing" TargetMode="External"/><Relationship Id="rId7600" Type="http://schemas.openxmlformats.org/officeDocument/2006/relationships/hyperlink" Target="https://drive.google.com/file/d/1PAxZ8OGE7W8oHStl2rvDKbcX-VML-J0g/view?usp=sharing" TargetMode="External"/><Relationship Id="rId6202" Type="http://schemas.openxmlformats.org/officeDocument/2006/relationships/hyperlink" Target="https://www.vidio.com/live/19649-uefa-conference-league?schedule_id=4664191" TargetMode="External"/><Relationship Id="rId9772" Type="http://schemas.openxmlformats.org/officeDocument/2006/relationships/hyperlink" Target="https://drive.google.com/file/d/1Bl1EJVw9XLbJPjp6qEJGjXYQ2jcqWZaW/view?usp=sharing" TargetMode="External"/><Relationship Id="rId1761" Type="http://schemas.openxmlformats.org/officeDocument/2006/relationships/hyperlink" Target="https://drive.google.com/drive/folders/13ZH8aZgkHBWjA49oRnOOWQcpkMl8jLVu" TargetMode="External"/><Relationship Id="rId2812" Type="http://schemas.openxmlformats.org/officeDocument/2006/relationships/hyperlink" Target="https://drive.google.com/file/d/1DIn-OZH3fQei28979jLJ-2AAsvrZ1YA-/view?usp=sharing" TargetMode="External"/><Relationship Id="rId8374" Type="http://schemas.openxmlformats.org/officeDocument/2006/relationships/hyperlink" Target="https://drive.google.com/drive/folders/1JDjgbi_7-bfby6Ix92ozhsw13QoJfUSu?usp=drive_link" TargetMode="External"/><Relationship Id="rId9425" Type="http://schemas.openxmlformats.org/officeDocument/2006/relationships/hyperlink" Target="https://www.vidio.com/live/19541-pegadaian-championship-2025-26?schedule_id=4832286" TargetMode="External"/><Relationship Id="rId11355" Type="http://schemas.openxmlformats.org/officeDocument/2006/relationships/hyperlink" Target="https://www.vidio.com/live/20106-top-youth-premier-league-perempat-final-dan-semifinal?schedule_id=4786443" TargetMode="External"/><Relationship Id="rId12406" Type="http://schemas.openxmlformats.org/officeDocument/2006/relationships/hyperlink" Target="https://drive.google.com/file/d/15XWbtbUwFEgrO0Ju6sNJKkMPQkRxrMB0/view?usp=sharing" TargetMode="External"/><Relationship Id="rId1414" Type="http://schemas.openxmlformats.org/officeDocument/2006/relationships/hyperlink" Target="https://drive.google.com/drive/folders/1y5usOOYQCHpnfbSfPm8Bh83Mda3dUt7m?usp=drive_link" TargetMode="External"/><Relationship Id="rId4984" Type="http://schemas.openxmlformats.org/officeDocument/2006/relationships/hyperlink" Target="https://drive.google.com/file/d/1uVFOSVmoSEh9AmIhp2c9FcwZNryp8jSV/view?usp=sharing" TargetMode="External"/><Relationship Id="rId8027" Type="http://schemas.openxmlformats.org/officeDocument/2006/relationships/hyperlink" Target="https://drive.google.com/file/d/1PdUFPx3wHdMgNSIWiCe8Hu0kXxdeJ6hy/view?usp=sharing" TargetMode="External"/><Relationship Id="rId11008" Type="http://schemas.openxmlformats.org/officeDocument/2006/relationships/hyperlink" Target="https://thumbor.prod.vidiocdn.com/G_7nnVQ1JrWJ1FXXS7W5KrZQVmk=/filters:quality(70)/vidio-media-production/uploads/image/source/53154/a4a07c.png" TargetMode="External"/><Relationship Id="rId3586" Type="http://schemas.openxmlformats.org/officeDocument/2006/relationships/hyperlink" Target="https://drive.google.com/drive/folders/1A-EekHhLb5KT37FZlYp3_SllnJT6sh07" TargetMode="External"/><Relationship Id="rId4637" Type="http://schemas.openxmlformats.org/officeDocument/2006/relationships/hyperlink" Target="https://drive.google.com/drive/folders/1gHWqyjLjPOufW0iC77V3Lom1OyhH7SVI?usp=drive_link" TargetMode="External"/><Relationship Id="rId2188" Type="http://schemas.openxmlformats.org/officeDocument/2006/relationships/hyperlink" Target="https://www.vidio.com/live/19354-bri-super-league?schedule_id=4783774" TargetMode="External"/><Relationship Id="rId3239" Type="http://schemas.openxmlformats.org/officeDocument/2006/relationships/hyperlink" Target="https://www.vidio.com/live/6299-bein-1?schedule_id=4832271" TargetMode="External"/><Relationship Id="rId7110" Type="http://schemas.openxmlformats.org/officeDocument/2006/relationships/hyperlink" Target="https://www.vidio.com/live/19542-pegadaian-championship-2025-26?schedule_id=4637940" TargetMode="External"/><Relationship Id="rId9282" Type="http://schemas.openxmlformats.org/officeDocument/2006/relationships/hyperlink" Target="https://www.vidio.com/live/19813-top-soccer-championship-2025-u-16?schedule_id=4709128" TargetMode="External"/><Relationship Id="rId3720" Type="http://schemas.openxmlformats.org/officeDocument/2006/relationships/hyperlink" Target="https://www.vidio.com/live/6686-champions-tv-2?schedule_id=4516122" TargetMode="External"/><Relationship Id="rId12263" Type="http://schemas.openxmlformats.org/officeDocument/2006/relationships/hyperlink" Target="https://drive.google.com/file/d/17nqJ8YbOWxi4DOQmMA4_VvY1qMuE4tM4/view?usp=drive_link" TargetMode="External"/><Relationship Id="rId641" Type="http://schemas.openxmlformats.org/officeDocument/2006/relationships/hyperlink" Target="https://drive.google.com/file/d/13pG49b4HXIuGTqnHt2SPo4UPyhZbrcpl/view?usp=sharing" TargetMode="External"/><Relationship Id="rId1271" Type="http://schemas.openxmlformats.org/officeDocument/2006/relationships/hyperlink" Target="https://drive.google.com/file/d/1NlCquGe2fDGRZRYdOWz3mYqf5Kvf6beS/view?usp=sharing" TargetMode="External"/><Relationship Id="rId2322" Type="http://schemas.openxmlformats.org/officeDocument/2006/relationships/hyperlink" Target="https://drive.google.com/drive/folders/1x_ps1cCr_Yu4yF1Y2sCUqA8E5FBEhlZM?usp=drive_link" TargetMode="External"/><Relationship Id="rId5892" Type="http://schemas.openxmlformats.org/officeDocument/2006/relationships/hyperlink" Target="https://drive.google.com/file/d/19y8a-eJgR_EdudyblF_exEJvOGUx9S-w/view?usp=drive_link" TargetMode="External"/><Relationship Id="rId6943" Type="http://schemas.openxmlformats.org/officeDocument/2006/relationships/hyperlink" Target="https://drive.google.com/file/d/1fvtYqNa_k6N1qntpSb5QARqfmvRo5Xdp/view?usp=drive_link" TargetMode="External"/><Relationship Id="rId4494" Type="http://schemas.openxmlformats.org/officeDocument/2006/relationships/hyperlink" Target="https://drive.google.com/file/d/1XbbReUGm_-YqE-27qutC_zVNAL7c7ewY/view?usp=sharing" TargetMode="External"/><Relationship Id="rId5545" Type="http://schemas.openxmlformats.org/officeDocument/2006/relationships/hyperlink" Target="https://drive.google.com/file/d/1Zl_qk9LdodXgb686bk-nTATiBq1m2KST/view?usp=sharing" TargetMode="External"/><Relationship Id="rId3096" Type="http://schemas.openxmlformats.org/officeDocument/2006/relationships/hyperlink" Target="https://drive.google.com/file/d/1y50YgRzIWAdMHIDe9jk9IWCPAtbNK_YE/view?usp=drive_link" TargetMode="External"/><Relationship Id="rId4147" Type="http://schemas.openxmlformats.org/officeDocument/2006/relationships/hyperlink" Target="https://drive.google.com/file/d/19qcQdjMopVjN1-3N40aAo82q5ZMyMnKK/view?usp=sharing" TargetMode="External"/><Relationship Id="rId8768" Type="http://schemas.openxmlformats.org/officeDocument/2006/relationships/hyperlink" Target="https://drive.google.com/file/d/1ZtOsuVMYRivZYR5_soGaBbW0iTnQXjqP/view?usp=sharing" TargetMode="External"/><Relationship Id="rId9819" Type="http://schemas.openxmlformats.org/officeDocument/2006/relationships/hyperlink" Target="https://drive.google.com/file/d/1bGAtWdCSL-v2iZg1GvRoYwXZwXVqVH3x/view" TargetMode="External"/><Relationship Id="rId10698" Type="http://schemas.openxmlformats.org/officeDocument/2006/relationships/hyperlink" Target="https://www.vidio.com/live/6299-bein-1?schedule_id=4783004" TargetMode="External"/><Relationship Id="rId11749" Type="http://schemas.openxmlformats.org/officeDocument/2006/relationships/hyperlink" Target="https://drive.google.com/file/d/1kmsSl_ApPiE0r39YCR1ch8nLbc80svFz/view?usp=sharing" TargetMode="External"/><Relationship Id="rId1808" Type="http://schemas.openxmlformats.org/officeDocument/2006/relationships/hyperlink" Target="https://www.vidio.com/live/205-indosiar?schedule_id=4596308" TargetMode="External"/><Relationship Id="rId151" Type="http://schemas.openxmlformats.org/officeDocument/2006/relationships/hyperlink" Target="https://drive.google.com/file/d/1bhFUo8ZXBY97LL7Sti9_OCmdgO831nle/view?usp=sharing" TargetMode="External"/><Relationship Id="rId3230" Type="http://schemas.openxmlformats.org/officeDocument/2006/relationships/hyperlink" Target="https://thumbor.prod.vidiocdn.com/-HAM2TrZ9KA9Cdvts7VfzdhOej0=/filters:quality(70)/vidio-media-production/uploads/image/source/53296/4f8089.png" TargetMode="External"/><Relationship Id="rId7851" Type="http://schemas.openxmlformats.org/officeDocument/2006/relationships/hyperlink" Target="https://drive.google.com/drive/folders/1eqDHhhM__SuKP_N0zXpYdj-0sdzprwVi" TargetMode="External"/><Relationship Id="rId8902" Type="http://schemas.openxmlformats.org/officeDocument/2006/relationships/hyperlink" Target="https://drive.google.com/drive/folders/1JnJE6qE3_stznFiDMzmdYEubSWkscMPh?usp=drive_link" TargetMode="External"/><Relationship Id="rId10832" Type="http://schemas.openxmlformats.org/officeDocument/2006/relationships/hyperlink" Target="https://drive.google.com/file/d/1C4QqwsJKdpmgIskKFncjf1NyRNycjsQ-/view?usp=sharing" TargetMode="External"/><Relationship Id="rId6453" Type="http://schemas.openxmlformats.org/officeDocument/2006/relationships/hyperlink" Target="https://www.vidio.com/live/19642-uefa-conference-league?schedule_id=4734906" TargetMode="External"/><Relationship Id="rId7504" Type="http://schemas.openxmlformats.org/officeDocument/2006/relationships/hyperlink" Target="https://drive.google.com/file/d/1pTBxJHJwcQ35FL4XruMHCItvHbnSkAgX/view?usp=sharing" TargetMode="External"/><Relationship Id="rId5055" Type="http://schemas.openxmlformats.org/officeDocument/2006/relationships/hyperlink" Target="https://drive.google.com/drive/folders/1nId1MBbUbwMi66lPlxv90WOzqsOij7AE" TargetMode="External"/><Relationship Id="rId6106" Type="http://schemas.openxmlformats.org/officeDocument/2006/relationships/hyperlink" Target="https://drive.google.com/file/d/1ksuiyEJgsHWmZws8a0zMAx4p1fq0RN5y/view?usp=sharing" TargetMode="External"/><Relationship Id="rId9676" Type="http://schemas.openxmlformats.org/officeDocument/2006/relationships/hyperlink" Target="https://drive.google.com/file/d/1CJOyK7EGEN0dsNUEBdMwSxIA9F2KUl8p/view?usp=sharing" TargetMode="External"/><Relationship Id="rId1665" Type="http://schemas.openxmlformats.org/officeDocument/2006/relationships/hyperlink" Target="https://drive.google.com/drive/folders/1HE22QyRJnEFHFgpYxsBQe23vKOkETIjN?usp=sharing" TargetMode="External"/><Relationship Id="rId2716" Type="http://schemas.openxmlformats.org/officeDocument/2006/relationships/hyperlink" Target="https://drive.google.com/file/d/1NbAol1iYUyKivzeJCryWMJXGtUsG3l8L/view?usp=sharing" TargetMode="External"/><Relationship Id="rId8278" Type="http://schemas.openxmlformats.org/officeDocument/2006/relationships/hyperlink" Target="https://drive.google.com/drive/folders/1NepG6XT-FSa8Cs07sX3tPfQWLNpJfAxp" TargetMode="External"/><Relationship Id="rId9329" Type="http://schemas.openxmlformats.org/officeDocument/2006/relationships/hyperlink" Target="https://www.vidio.com/live/20048-fivb-volleyball-club-world-championship-2025?schedule_id=4783081" TargetMode="External"/><Relationship Id="rId11259" Type="http://schemas.openxmlformats.org/officeDocument/2006/relationships/hyperlink" Target="https://thumbor.prod.vidiocdn.com/XuZygzFRyUNXOy-UHECj1Emxv1Q=/filters:quality(70)/vidio-media-production/uploads/image/source/52369/793e82.png" TargetMode="External"/><Relationship Id="rId1318" Type="http://schemas.openxmlformats.org/officeDocument/2006/relationships/hyperlink" Target="https://drive.google.com/drive/folders/1YNfM7nani-TbXEo4vH38yoa_ZIhRUIZA?usp=drive_link" TargetMode="External"/><Relationship Id="rId4888" Type="http://schemas.openxmlformats.org/officeDocument/2006/relationships/hyperlink" Target="https://drive.google.com/file/d/1U7wKh7W0MGc9JpI63x776cEh_u-9At_e/view?usp=sharing" TargetMode="External"/><Relationship Id="rId5939" Type="http://schemas.openxmlformats.org/officeDocument/2006/relationships/hyperlink" Target="https://drive.google.com/drive/folders/1pYi5qIT6QdvkfDRfWH0qsk97hfAPMoyN?usp=drive_link" TargetMode="External"/><Relationship Id="rId7361" Type="http://schemas.openxmlformats.org/officeDocument/2006/relationships/hyperlink" Target="https://drive.google.com/drive/folders/1dblMYfGxm8h1xEa0oQ8oHmGkYC2BMWtd?usp=drive_link" TargetMode="External"/><Relationship Id="rId9810" Type="http://schemas.openxmlformats.org/officeDocument/2006/relationships/hyperlink" Target="https://drive.google.com/file/d/1bGAtWdCSL-v2iZg1GvRoYwXZwXVqVH3x/view" TargetMode="External"/><Relationship Id="rId11740" Type="http://schemas.openxmlformats.org/officeDocument/2006/relationships/hyperlink" Target="https://drive.google.com/drive/folders/1gqnmBiDc9HaK7fTi5sC9yJeePuPZJkd8?usp=drive_link" TargetMode="External"/><Relationship Id="rId24" Type="http://schemas.openxmlformats.org/officeDocument/2006/relationships/hyperlink" Target="https://drive.google.com/drive/folders/1497gRY3A2mD-68yM72SF5WT_RKK3qq7q" TargetMode="External"/><Relationship Id="rId7014" Type="http://schemas.openxmlformats.org/officeDocument/2006/relationships/hyperlink" Target="https://www.vidio.com/live/19541-pegadaian-championship-2025-26?schedule_id=4626328" TargetMode="External"/><Relationship Id="rId8412" Type="http://schemas.openxmlformats.org/officeDocument/2006/relationships/hyperlink" Target="https://drive.google.com/file/d/1irYbB9n_YY1NOf9l-jCAlYPxppT6xx19/view?usp=sharing" TargetMode="External"/><Relationship Id="rId10342" Type="http://schemas.openxmlformats.org/officeDocument/2006/relationships/hyperlink" Target="https://drive.google.com/drive/folders/1ehBQImq5LJsocKNU7tGOwLzoxZOyVGKs" TargetMode="External"/><Relationship Id="rId3971" Type="http://schemas.openxmlformats.org/officeDocument/2006/relationships/hyperlink" Target="https://www.vidio.com/live/19472?schedule_id=4534256" TargetMode="External"/><Relationship Id="rId892" Type="http://schemas.openxmlformats.org/officeDocument/2006/relationships/hyperlink" Target="https://drive.google.com/file/d/14lqzddPO5lkPDdu61cXRmgDiK-lDUHop/view?usp=sharing" TargetMode="External"/><Relationship Id="rId2573" Type="http://schemas.openxmlformats.org/officeDocument/2006/relationships/hyperlink" Target="https://drive.google.com/drive/folders/1VhtpiY2xDs-JSpe6cBxOuvtFFMyl12ZM?usp=drive_link" TargetMode="External"/><Relationship Id="rId3624" Type="http://schemas.openxmlformats.org/officeDocument/2006/relationships/hyperlink" Target="https://www.vidio.com/live/19388-rajadamnern-2025-light-flyweight-title?schedule_id=4512819" TargetMode="External"/><Relationship Id="rId9186" Type="http://schemas.openxmlformats.org/officeDocument/2006/relationships/hyperlink" Target="https://www.vidio.com/live/19802-top-youth-premier-league-2025-matchday-10?schedule_id=4709325" TargetMode="External"/><Relationship Id="rId12167" Type="http://schemas.openxmlformats.org/officeDocument/2006/relationships/hyperlink" Target="https://drive.google.com/file/d/17nqJ8YbOWxi4DOQmMA4_VvY1qMuE4tM4/view?usp=drive_link" TargetMode="External"/><Relationship Id="rId545" Type="http://schemas.openxmlformats.org/officeDocument/2006/relationships/hyperlink" Target="https://drive.google.com/file/d/1p0dGDpIAB7ApQkF81a3sDLE8nS1ja98s/view?usp=sharing" TargetMode="External"/><Relationship Id="rId1175" Type="http://schemas.openxmlformats.org/officeDocument/2006/relationships/hyperlink" Target="https://www.vidio.com/live/9182-champions-tv-5?schedule_id=4802198" TargetMode="External"/><Relationship Id="rId2226" Type="http://schemas.openxmlformats.org/officeDocument/2006/relationships/hyperlink" Target="https://drive.google.com/drive/folders/1i5eKQbi3QNIUf6kBPPsGen79CT5rx2b6?usp=drive_link" TargetMode="External"/><Relationship Id="rId5796" Type="http://schemas.openxmlformats.org/officeDocument/2006/relationships/hyperlink" Target="https://drive.google.com/file/d/12w64Zuv_BudTxBqsDunF4AMoo8muTObA/view?usp=sharing" TargetMode="External"/><Relationship Id="rId6847" Type="http://schemas.openxmlformats.org/officeDocument/2006/relationships/hyperlink" Target="https://drive.google.com/drive/folders/1ucNoaH6qaYCBmETyhLgQ5RaF6B8eqX2W?usp=drive_link" TargetMode="External"/><Relationship Id="rId4398" Type="http://schemas.openxmlformats.org/officeDocument/2006/relationships/hyperlink" Target="https://drive.google.com/drive/folders/1p-BBE4Q7WYsjaA6zRP-zbxNxOInOSBYU" TargetMode="External"/><Relationship Id="rId5449" Type="http://schemas.openxmlformats.org/officeDocument/2006/relationships/hyperlink" Target="https://www.vidio.com/live/6299-bein-1?schedule_id=4773292" TargetMode="External"/><Relationship Id="rId9320" Type="http://schemas.openxmlformats.org/officeDocument/2006/relationships/hyperlink" Target="https://drive.google.com/file/d/1MBxSg1NEt7PZCmZ1fFmwgMfZun2ZrQGW/view?usp=sharing" TargetMode="External"/><Relationship Id="rId11250" Type="http://schemas.openxmlformats.org/officeDocument/2006/relationships/hyperlink" Target="https://drive.google.com/file/d/1m73Ky1sdYHaqscUCzKHuytDiZPCiiha9/view?usp=sharing" TargetMode="External"/><Relationship Id="rId12301" Type="http://schemas.openxmlformats.org/officeDocument/2006/relationships/hyperlink" Target="https://drive.google.com/file/d/17nqJ8YbOWxi4DOQmMA4_VvY1qMuE4tM4/view?usp=sharing" TargetMode="External"/><Relationship Id="rId5930" Type="http://schemas.openxmlformats.org/officeDocument/2006/relationships/hyperlink" Target="https://drive.google.com/file/d/1LSCphfAGp0UbuCbCeg28Liusjn3jVEMq/view?usp=sharing" TargetMode="External"/><Relationship Id="rId3481" Type="http://schemas.openxmlformats.org/officeDocument/2006/relationships/hyperlink" Target="https://drive.google.com/file/d/1-Gu85EWcwAS4R6kfWGhVqR89W06uPkH3/view?usp=drive_link" TargetMode="External"/><Relationship Id="rId4532" Type="http://schemas.openxmlformats.org/officeDocument/2006/relationships/hyperlink" Target="https://www.vidio.com/live/19404-serie-a?schedule_id=4728933" TargetMode="External"/><Relationship Id="rId2083" Type="http://schemas.openxmlformats.org/officeDocument/2006/relationships/hyperlink" Target="https://drive.google.com/file/d/1bBfOiNtGvtL80DNA7owYJZQeuO3DUmNM/view?usp=sharing" TargetMode="External"/><Relationship Id="rId3134" Type="http://schemas.openxmlformats.org/officeDocument/2006/relationships/hyperlink" Target="https://drive.google.com/file/d/1NaQy-0-ezDwkIugbGBVgx-rO7wVc6jZv/view?usp=drive_link" TargetMode="External"/><Relationship Id="rId7755" Type="http://schemas.openxmlformats.org/officeDocument/2006/relationships/hyperlink" Target="https://drive.google.com/file/d/1ZN9qzrX2Bj-y7gxo6CCJUC0kTEvbpns-/view?usp=sharing" TargetMode="External"/><Relationship Id="rId8806" Type="http://schemas.openxmlformats.org/officeDocument/2006/relationships/hyperlink" Target="https://drive.google.com/file/d/1lWfv_DSSMEQnftyP8cqYxMAajm2ZyBr-/view?usp=sharing" TargetMode="External"/><Relationship Id="rId6357" Type="http://schemas.openxmlformats.org/officeDocument/2006/relationships/hyperlink" Target="https://drive.google.com/drive/folders/177qWbOy2-tw5EVMbY8_uyHlQdaqOLa3i" TargetMode="External"/><Relationship Id="rId7408" Type="http://schemas.openxmlformats.org/officeDocument/2006/relationships/hyperlink" Target="https://drive.google.com/file/d/1lVZaNCAoFh-eVhRnytpOeREHS3icX6CB/view?usp=sharing" TargetMode="External"/><Relationship Id="rId10736" Type="http://schemas.openxmlformats.org/officeDocument/2006/relationships/hyperlink" Target="https://thumbor.prod.vidiocdn.com/m-YCkTf2-7gWA-qLr008rBf5bZM=/filters:quality(70)/vidio-media-production/uploads/image/source/52084/4838bc.png" TargetMode="External"/><Relationship Id="rId1569" Type="http://schemas.openxmlformats.org/officeDocument/2006/relationships/hyperlink" Target="https://drive.google.com/drive/folders/17kcPXkDl9LyESWe--TrlbiMruZGDiZic" TargetMode="External"/><Relationship Id="rId2967" Type="http://schemas.openxmlformats.org/officeDocument/2006/relationships/hyperlink" Target="https://drive.google.com/file/d/1Wo7YcQ13mU7J9Dax5I72CkGbv_m1uEpO/view?usp=sharing" TargetMode="External"/><Relationship Id="rId5440" Type="http://schemas.openxmlformats.org/officeDocument/2006/relationships/hyperlink" Target="https://drive.google.com/file/d/1RNj1hEeloeFxNlU7nve4hUjQvwAuOLcm/view?usp=sharing" TargetMode="External"/><Relationship Id="rId939" Type="http://schemas.openxmlformats.org/officeDocument/2006/relationships/hyperlink" Target="https://drive.google.com/file/d/1Jh9aBwQapRlSQIsqgvZkAgzY42UkalbN/view?usp=sharing" TargetMode="External"/><Relationship Id="rId4042" Type="http://schemas.openxmlformats.org/officeDocument/2006/relationships/hyperlink" Target="https://drive.google.com/file/d/1UsIQt_7rUHIIMXRaMRl4CSASf4rGVGsr/view?usp=sharing" TargetMode="External"/><Relationship Id="rId11991" Type="http://schemas.openxmlformats.org/officeDocument/2006/relationships/hyperlink" Target="https://drive.google.com/drive/folders/10yZ6W25MsH1Gazyf6erLQ6feN5lXYViD" TargetMode="External"/><Relationship Id="rId8663" Type="http://schemas.openxmlformats.org/officeDocument/2006/relationships/hyperlink" Target="https://drive.google.com/drive/folders/1rl5FGcq4AJPO8LOU0ioroZMKuxSSq8pn?usp=drive_link" TargetMode="External"/><Relationship Id="rId9714" Type="http://schemas.openxmlformats.org/officeDocument/2006/relationships/hyperlink" Target="https://drive.google.com/file/d/1zyPtdPiEPq__1v94Lf9y-0FbULkHAHcs/view?usp=sharing" TargetMode="External"/><Relationship Id="rId10593" Type="http://schemas.openxmlformats.org/officeDocument/2006/relationships/hyperlink" Target="https://drive.google.com/file/d/19sEC844Ni8o9HRYQlgXx8nFeUEa1ohKe/view?usp=sharing" TargetMode="External"/><Relationship Id="rId11644" Type="http://schemas.openxmlformats.org/officeDocument/2006/relationships/hyperlink" Target="https://drive.google.com/file/d/12d4K_H2iFVGrbjY4-VerIHZabH1_voqe/view?usp=sharing" TargetMode="External"/><Relationship Id="rId1703" Type="http://schemas.openxmlformats.org/officeDocument/2006/relationships/hyperlink" Target="https://drive.google.com/file/d/1FXwUfb0IOi_4tfJj2y0GgsFAhVPTljLB/view?usp=drive_link" TargetMode="External"/><Relationship Id="rId7265" Type="http://schemas.openxmlformats.org/officeDocument/2006/relationships/hyperlink" Target="https://drive.google.com/file/d/1YIFVGzSQ8GiVthe1ulLPoYWhhQr10Opq/view?usp=sharing" TargetMode="External"/><Relationship Id="rId8316" Type="http://schemas.openxmlformats.org/officeDocument/2006/relationships/hyperlink" Target="https://drive.google.com/drive/folders/1ZNS-NEFOvntwSHc1W_trmqZ-vJ8Owfmg?usp=drive_link" TargetMode="External"/><Relationship Id="rId10246" Type="http://schemas.openxmlformats.org/officeDocument/2006/relationships/hyperlink" Target="https://www.vidio.com/live/6686-champions-tv-2?schedule_id=4773370" TargetMode="External"/><Relationship Id="rId3875" Type="http://schemas.openxmlformats.org/officeDocument/2006/relationships/hyperlink" Target="https://drive.google.com/drive/folders/1rxDhlQottksnd8aY4NlQfb3Cj-lx3AJZ" TargetMode="External"/><Relationship Id="rId4926" Type="http://schemas.openxmlformats.org/officeDocument/2006/relationships/hyperlink" Target="https://drive.google.com/file/d/1WP4PiIrt59QQqohc2rVzOwkDfMfeJ18y/view?usp=sharing" TargetMode="External"/><Relationship Id="rId796" Type="http://schemas.openxmlformats.org/officeDocument/2006/relationships/hyperlink" Target="https://drive.google.com/file/d/1tOUBM5jg6D8lZc5BcmXewzD0rv7WIvjW/view?usp=sharing" TargetMode="External"/><Relationship Id="rId2477" Type="http://schemas.openxmlformats.org/officeDocument/2006/relationships/hyperlink" Target="https://drive.google.com/file/d/1mDLSsOkjs5rcegQakrl9zwZWBmUlFp_3/view?usp=sharing" TargetMode="External"/><Relationship Id="rId3528" Type="http://schemas.openxmlformats.org/officeDocument/2006/relationships/hyperlink" Target="https://www.vidio.com/live/6685-champions-tv-1?schedule_id=4706737" TargetMode="External"/><Relationship Id="rId449" Type="http://schemas.openxmlformats.org/officeDocument/2006/relationships/hyperlink" Target="https://drive.google.com/file/d/1YJ94g7wsosGzzvm5T-e-qulUfEcxocXB/view?usp=sharing" TargetMode="External"/><Relationship Id="rId1079" Type="http://schemas.openxmlformats.org/officeDocument/2006/relationships/hyperlink" Target="https://drive.google.com/drive/folders/1tneGMSboGxiZ0NqaMFZM0Apnr_zG4btx" TargetMode="External"/><Relationship Id="rId6001" Type="http://schemas.openxmlformats.org/officeDocument/2006/relationships/hyperlink" Target="https://drive.google.com/file/d/12LZ7eZX8zg_koR7a_Swaav_WMPk-Xm6U/view?usp=sharing" TargetMode="External"/><Relationship Id="rId9571" Type="http://schemas.openxmlformats.org/officeDocument/2006/relationships/hyperlink" Target="https://www.vidio.com/live/19738-turkish-women-s-volleyball-league?schedule_id=4739853" TargetMode="External"/><Relationship Id="rId8173" Type="http://schemas.openxmlformats.org/officeDocument/2006/relationships/hyperlink" Target="https://drive.google.com/file/d/1ID2tv5nFZo_Lxi8MgVe1qeUL-glKzPVV/view?usp=sharing" TargetMode="External"/><Relationship Id="rId9224" Type="http://schemas.openxmlformats.org/officeDocument/2006/relationships/hyperlink" Target="https://drive.google.com/file/d/1bGAtWdCSL-v2iZg1GvRoYwXZwXVqVH3x/view?usp=sharing" TargetMode="External"/><Relationship Id="rId930" Type="http://schemas.openxmlformats.org/officeDocument/2006/relationships/hyperlink" Target="https://www.vidio.com/live/18797-premier-league?schedule_id=4759284" TargetMode="External"/><Relationship Id="rId1560" Type="http://schemas.openxmlformats.org/officeDocument/2006/relationships/hyperlink" Target="https://drive.google.com/file/d/15bhuNaHqbZoc0b7n2dve3RaVHrJbhJ2N/view?usp=drive_link" TargetMode="External"/><Relationship Id="rId2611" Type="http://schemas.openxmlformats.org/officeDocument/2006/relationships/hyperlink" Target="https://www.vidio.com/live/6299-bein-1?schedule_id=4598334" TargetMode="External"/><Relationship Id="rId11154" Type="http://schemas.openxmlformats.org/officeDocument/2006/relationships/hyperlink" Target="https://drive.google.com/drive/folders/14a0K-PpOEy-QDUgFvvBURKVTdf95M57B?usp=drive_link" TargetMode="External"/><Relationship Id="rId12205" Type="http://schemas.openxmlformats.org/officeDocument/2006/relationships/hyperlink" Target="https://www.vidio.com/live/20268-topskor-greater-jakarta-pekan-pertama-u-14-lapangan-big-depok?schedule_id=4833865" TargetMode="External"/><Relationship Id="rId1213" Type="http://schemas.openxmlformats.org/officeDocument/2006/relationships/hyperlink" Target="https://drive.google.com/drive/folders/1ga50YWQVy3xHyLhwt5UqBz6pnBPvEpop" TargetMode="External"/><Relationship Id="rId4783" Type="http://schemas.openxmlformats.org/officeDocument/2006/relationships/hyperlink" Target="https://thumbor.prod.vidiocdn.com/_CD9qt5bzLuVay59YnmApGPVG4Y=/filters:quality(70)/vidio-media-production/uploads/image/source/52149/b7afcd.png" TargetMode="External"/><Relationship Id="rId5834" Type="http://schemas.openxmlformats.org/officeDocument/2006/relationships/hyperlink" Target="https://drive.google.com/file/d/1Ll0l1XzNysNkrIeBQu4h_ilL1AuP_q7t/view?usp=sharing" TargetMode="External"/><Relationship Id="rId3385" Type="http://schemas.openxmlformats.org/officeDocument/2006/relationships/hyperlink" Target="https://drive.google.com/drive/folders/1aniL7gVroEo_QxArJo8LCjVINZryn3Cf?usp=drive_link" TargetMode="External"/><Relationship Id="rId4436" Type="http://schemas.openxmlformats.org/officeDocument/2006/relationships/hyperlink" Target="https://drive.google.com/file/d/11kY4pRDX47SbV1hDUMJAjgfwM-5cE_Lx/view?usp=sharing" TargetMode="External"/><Relationship Id="rId3038" Type="http://schemas.openxmlformats.org/officeDocument/2006/relationships/hyperlink" Target="https://thumbor.prod.vidiocdn.com/O1bVZXU5qF5x8_lR03x5eeuLkmc=/filters:quality(70)/vidio-media-production/uploads/image/source/51620/2d1b82.png" TargetMode="External"/><Relationship Id="rId7659" Type="http://schemas.openxmlformats.org/officeDocument/2006/relationships/hyperlink" Target="https://www.vidio.com/live/19623-national-football-league-2025-26?schedule_id=4632527" TargetMode="External"/><Relationship Id="rId10987" Type="http://schemas.openxmlformats.org/officeDocument/2006/relationships/hyperlink" Target="https://drive.google.com/drive/folders/10-suFEcm6jhXSJM-RUvHeXumWf4vo3Lh?usp=drive_link" TargetMode="External"/><Relationship Id="rId9081" Type="http://schemas.openxmlformats.org/officeDocument/2006/relationships/hyperlink" Target="https://drive.google.com/drive/folders/1z2wXobROK9c0AMZRSdW0QylZ4KEbdqCH?usp=sharing" TargetMode="External"/><Relationship Id="rId12062" Type="http://schemas.openxmlformats.org/officeDocument/2006/relationships/hyperlink" Target="https://www.vidio.com/live/18250-petronas-malaysia-open-2026-round-of-16-court-2?schedule_id=4832339" TargetMode="External"/><Relationship Id="rId440" Type="http://schemas.openxmlformats.org/officeDocument/2006/relationships/hyperlink" Target="https://www.vidio.com/live/9182-champions-tv-5?schedule_id=4626719" TargetMode="External"/><Relationship Id="rId1070" Type="http://schemas.openxmlformats.org/officeDocument/2006/relationships/hyperlink" Target="https://thumbor.prod.vidiocdn.com/O756efHCX1weG2TT-fkPLyBVYdk=/filters:quality(70)/vidio-media-production/uploads/image/source/52362/c75088.png" TargetMode="External"/><Relationship Id="rId2121" Type="http://schemas.openxmlformats.org/officeDocument/2006/relationships/hyperlink" Target="https://drive.google.com/file/d/1ntctv3Ktmk_nEdUPNGE9zq-EAVjzfQNO/view?usp=sharing" TargetMode="External"/><Relationship Id="rId5691" Type="http://schemas.openxmlformats.org/officeDocument/2006/relationships/hyperlink" Target="https://drive.google.com/file/d/1m7gSEGQL8btBtkxgLA42N8M2j4QvAYaf/view?usp=sharing" TargetMode="External"/><Relationship Id="rId6742" Type="http://schemas.openxmlformats.org/officeDocument/2006/relationships/hyperlink" Target="https://drive.google.com/drive/folders/1YogofYcFUlliMvotiyj_ebVkfHsWbDBp" TargetMode="External"/><Relationship Id="rId4293" Type="http://schemas.openxmlformats.org/officeDocument/2006/relationships/hyperlink" Target="https://drive.google.com/drive/folders/15-II7ipKAoia1ddwRA92IJ21xrPGVpIb?usp=drive_link" TargetMode="External"/><Relationship Id="rId5344" Type="http://schemas.openxmlformats.org/officeDocument/2006/relationships/hyperlink" Target="https://drive.google.com/drive/folders/19Zsd0dSKcS_74LAZdtij9AjVzSPE00rn" TargetMode="External"/><Relationship Id="rId9965" Type="http://schemas.openxmlformats.org/officeDocument/2006/relationships/hyperlink" Target="https://www.vidio.com/live/6299-bein-1?schedule_id=4792900" TargetMode="External"/><Relationship Id="rId11895" Type="http://schemas.openxmlformats.org/officeDocument/2006/relationships/hyperlink" Target="https://www.vidio.com/live/18250-petronas-malaysia-open-2026-round-of-32-court-2?schedule_id=4831571" TargetMode="External"/><Relationship Id="rId1954" Type="http://schemas.openxmlformats.org/officeDocument/2006/relationships/hyperlink" Target="https://www.vidio.com/live/205-indosiar?schedule_id=4674558" TargetMode="External"/><Relationship Id="rId8567" Type="http://schemas.openxmlformats.org/officeDocument/2006/relationships/hyperlink" Target="https://www.vidio.com/live/19541-pegadaian-championship-2025-26?schedule_id=4719240" TargetMode="External"/><Relationship Id="rId9618" Type="http://schemas.openxmlformats.org/officeDocument/2006/relationships/hyperlink" Target="https://www.vidio.com/live/20048-fivb-women-s-volleyball-club-world-championship-2025?schedule_id=4773124" TargetMode="External"/><Relationship Id="rId10497" Type="http://schemas.openxmlformats.org/officeDocument/2006/relationships/hyperlink" Target="https://www.vidio.com/live/20040-top-youth-premier-league-2025-pekan-ke-13?schedule_id=4766515" TargetMode="External"/><Relationship Id="rId11548" Type="http://schemas.openxmlformats.org/officeDocument/2006/relationships/hyperlink" Target="https://drive.google.com/drive/folders/1YLphtwzF1Zbu8Bu5FnU5tE86E4dL3vnX" TargetMode="External"/><Relationship Id="rId1607" Type="http://schemas.openxmlformats.org/officeDocument/2006/relationships/hyperlink" Target="https://drive.google.com/file/d/1Xo-hnYi02_9XMO9fTZiLImHTh-zS9H5i/view?usp=sharing" TargetMode="External"/><Relationship Id="rId7169" Type="http://schemas.openxmlformats.org/officeDocument/2006/relationships/hyperlink" Target="https://drive.google.com/file/d/1DNux4glLBnqI-DzUHKvsJVIQIe0fQ_QF/view?usp=sharing" TargetMode="External"/><Relationship Id="rId3779" Type="http://schemas.openxmlformats.org/officeDocument/2006/relationships/hyperlink" Target="https://drive.google.com/drive/folders/1hcXyfJjP4JgLrBZnoVg5Gic1HReONsJm?usp=share_link" TargetMode="External"/><Relationship Id="rId7650" Type="http://schemas.openxmlformats.org/officeDocument/2006/relationships/hyperlink" Target="https://drive.google.com/drive/folders/1-6XvCBemKIQzN0X_AD8yzGVjYPLC_qYf?usp=drive_link" TargetMode="External"/><Relationship Id="rId6252" Type="http://schemas.openxmlformats.org/officeDocument/2006/relationships/hyperlink" Target="https://drive.google.com/file/d/176sgNq_LlvlyrANIIdFi73YCVUxI0uYV/view?usp=sharing" TargetMode="External"/><Relationship Id="rId7303" Type="http://schemas.openxmlformats.org/officeDocument/2006/relationships/hyperlink" Target="https://drive.google.com/drive/folders/1-7ogJoeBKFLH0o_2QGoCq1oQtRSKxQmu?usp=drive_link" TargetMode="External"/><Relationship Id="rId8701" Type="http://schemas.openxmlformats.org/officeDocument/2006/relationships/hyperlink" Target="https://www.vidio.com/live/19355-bri-super-league?schedule_id=4674556" TargetMode="External"/><Relationship Id="rId10631" Type="http://schemas.openxmlformats.org/officeDocument/2006/relationships/hyperlink" Target="https://drive.google.com/file/d/1lQvLjUeLbzPHx8E4Hkai5yRZkRA-s60d/view?usp=sharing" TargetMode="External"/><Relationship Id="rId2862" Type="http://schemas.openxmlformats.org/officeDocument/2006/relationships/hyperlink" Target="https://drive.google.com/file/d/1_catPIJtMieQYontAVNkboSFywnQRw6I/view?usp=sharing" TargetMode="External"/><Relationship Id="rId3913" Type="http://schemas.openxmlformats.org/officeDocument/2006/relationships/hyperlink" Target="https://www.vidio.com/live/6317-bein-3?schedule_id=4527607" TargetMode="External"/><Relationship Id="rId8077" Type="http://schemas.openxmlformats.org/officeDocument/2006/relationships/hyperlink" Target="https://drive.google.com/file/d/1dzTlzNR7H0CgeeCCdDrtCohE9CJ1njWh/view?usp=sharing" TargetMode="External"/><Relationship Id="rId9475" Type="http://schemas.openxmlformats.org/officeDocument/2006/relationships/hyperlink" Target="https://drive.google.com/drive/folders/1NQrWNHZ5lRrB8jKLl_Zfx-PGnyIFpeFx" TargetMode="External"/><Relationship Id="rId12456" Type="http://schemas.openxmlformats.org/officeDocument/2006/relationships/hyperlink" Target="https://www.vidio.com/live/18249-petronas-malaysia-open-2026-finals?schedule_id=4835806" TargetMode="External"/><Relationship Id="rId834" Type="http://schemas.openxmlformats.org/officeDocument/2006/relationships/hyperlink" Target="https://www.vidio.com/live/9182-champions-tv-5?schedule_id=4747191" TargetMode="External"/><Relationship Id="rId1464" Type="http://schemas.openxmlformats.org/officeDocument/2006/relationships/hyperlink" Target="https://drive.google.com/drive/folders/1MmLj4ViA3m75zKXLQrUWzeAEFP-5ZUlH" TargetMode="External"/><Relationship Id="rId2515" Type="http://schemas.openxmlformats.org/officeDocument/2006/relationships/hyperlink" Target="https://drive.google.com/drive/folders/17gefp1uNDMFeHF_l7Pi5XXPSXru9sdbj?usp=drive_link" TargetMode="External"/><Relationship Id="rId9128" Type="http://schemas.openxmlformats.org/officeDocument/2006/relationships/hyperlink" Target="https://www.vidio.com/live/19388-rws-muay-thai-2025?schedule_id=4713734" TargetMode="External"/><Relationship Id="rId11058" Type="http://schemas.openxmlformats.org/officeDocument/2006/relationships/hyperlink" Target="https://thumbor.prod.vidiocdn.com/c6W5tF6QjYQfGCALxUWYdo8Puq4=/filters:quality(70)/vidio-media-production/uploads/image/source/53198/2187e3.png" TargetMode="External"/><Relationship Id="rId12109" Type="http://schemas.openxmlformats.org/officeDocument/2006/relationships/hyperlink" Target="https://drive.google.com/file/d/1xXRyTpjraFbbrHD2OOrzfOJmKS83JG2b/view?usp=sharing" TargetMode="External"/><Relationship Id="rId1117" Type="http://schemas.openxmlformats.org/officeDocument/2006/relationships/hyperlink" Target="https://drive.google.com/file/d/19eW2n_T1ysHwciESmdGfCbzIezaKbQ1H/view?usp=sharing" TargetMode="External"/><Relationship Id="rId4687" Type="http://schemas.openxmlformats.org/officeDocument/2006/relationships/hyperlink" Target="https://drive.google.com/file/d/16vfE246Bf-kmCblJaJcblPqsZ_oAkIWI/view?usp=drive_link" TargetMode="External"/><Relationship Id="rId5738" Type="http://schemas.openxmlformats.org/officeDocument/2006/relationships/hyperlink" Target="https://drive.google.com/drive/folders/1N0Waenq-ZVzQvUFEWUJtXzvYHpnLJYCs?usp=drive_link" TargetMode="External"/><Relationship Id="rId3289" Type="http://schemas.openxmlformats.org/officeDocument/2006/relationships/hyperlink" Target="https://drive.google.com/drive/folders/1SI5lZTG1zXMimyux54FbTHn-35Mf1HJq" TargetMode="External"/><Relationship Id="rId7160" Type="http://schemas.openxmlformats.org/officeDocument/2006/relationships/hyperlink" Target="https://drive.google.com/drive/folders/1QuW8HGm8Gy5DKzFtp0IqY8763E-ORETq?usp=drive_link" TargetMode="External"/><Relationship Id="rId8211" Type="http://schemas.openxmlformats.org/officeDocument/2006/relationships/hyperlink" Target="https://drive.google.com/file/d/1GLnkUiDx64Gb0FMvxyPv3ol21PS9BRqS/view?usp=sharing" TargetMode="External"/><Relationship Id="rId10141" Type="http://schemas.openxmlformats.org/officeDocument/2006/relationships/hyperlink" Target="https://www.vidio.com/live/19998?schedule_id=4743103" TargetMode="External"/><Relationship Id="rId3770" Type="http://schemas.openxmlformats.org/officeDocument/2006/relationships/hyperlink" Target="https://drive.google.com/file/d/1g0annh8D2uRRb-KN4UbciSis4peNBzmZ/view?usp=sharing" TargetMode="External"/><Relationship Id="rId4821" Type="http://schemas.openxmlformats.org/officeDocument/2006/relationships/hyperlink" Target="https://drive.google.com/drive/folders/1HvFS03UjlBdSr-CqnM5z1wStW76bfNtK" TargetMode="External"/><Relationship Id="rId344" Type="http://schemas.openxmlformats.org/officeDocument/2006/relationships/hyperlink" Target="https://www.vidio.com/live/9182-champions-tv-5?schedule_id=4579887" TargetMode="External"/><Relationship Id="rId691" Type="http://schemas.openxmlformats.org/officeDocument/2006/relationships/hyperlink" Target="https://drive.google.com/drive/folders/1ZyJOlcveAiQCbmXQgxftyEzRM5IKe5K-?usp=drive_link" TargetMode="External"/><Relationship Id="rId2025" Type="http://schemas.openxmlformats.org/officeDocument/2006/relationships/hyperlink" Target="https://drive.google.com/file/d/1OnTTGcAqkvbJymsIiVDU_hWi-i8Fwn0r/view?usp=sharing" TargetMode="External"/><Relationship Id="rId2372" Type="http://schemas.openxmlformats.org/officeDocument/2006/relationships/hyperlink" Target="https://drive.google.com/file/d/1rJkFrxmumWRA5pkSHEikBJVYnrqimlfr/view?usp=sharing" TargetMode="External"/><Relationship Id="rId3423" Type="http://schemas.openxmlformats.org/officeDocument/2006/relationships/hyperlink" Target="https://drive.google.com/drive/folders/16kpfqFLTZTs4TXDBDPNm93_Q6M05pacO?usp=drive_link" TargetMode="External"/><Relationship Id="rId6993" Type="http://schemas.openxmlformats.org/officeDocument/2006/relationships/hyperlink" Target="https://www.vidio.com/live/19543-pegadaian-championship-2025-26?schedule_id=4602006" TargetMode="External"/><Relationship Id="rId5595" Type="http://schemas.openxmlformats.org/officeDocument/2006/relationships/hyperlink" Target="https://drive.google.com/drive/folders/1vs2NPBadTfe8mkFp1C94plFN9o2qZ3M8?usp=drive_link" TargetMode="External"/><Relationship Id="rId6646" Type="http://schemas.openxmlformats.org/officeDocument/2006/relationships/hyperlink" Target="https://drive.google.com/file/d/1_mpATT9zAYAuashDSlgyMI8LS_SWXjhN/view?usp=sharing" TargetMode="External"/><Relationship Id="rId4197" Type="http://schemas.openxmlformats.org/officeDocument/2006/relationships/hyperlink" Target="https://drive.google.com/drive/folders/1tia6v4elSjYt0ip0lAMMTPYagWB8TJZK?usp=drive_link" TargetMode="External"/><Relationship Id="rId5248" Type="http://schemas.openxmlformats.org/officeDocument/2006/relationships/hyperlink" Target="https://drive.google.com/file/d/1Bm1jdr1Supo1ji1itm_ZahJi4VqBVVvm/view?usp=sharing" TargetMode="External"/><Relationship Id="rId9869" Type="http://schemas.openxmlformats.org/officeDocument/2006/relationships/hyperlink" Target="https://www.vidio.com/live/19922-top-soccer-championship-2025-u-14-u-15?schedule_id=4731886" TargetMode="External"/><Relationship Id="rId12100" Type="http://schemas.openxmlformats.org/officeDocument/2006/relationships/hyperlink" Target="https://drive.google.com/file/d/1xXRyTpjraFbbrHD2OOrzfOJmKS83JG2b/view?usp=sharing" TargetMode="External"/><Relationship Id="rId1858" Type="http://schemas.openxmlformats.org/officeDocument/2006/relationships/hyperlink" Target="https://drive.google.com/drive/folders/1aexzNkyl8QGtRGJz1_l8iR7bOKhXX5tg" TargetMode="External"/><Relationship Id="rId11799" Type="http://schemas.openxmlformats.org/officeDocument/2006/relationships/hyperlink" Target="https://drive.google.com/file/d/11zJPl2tX7P1cB8C823dZ3WySN0bKoM5t/view?usp=sharing" TargetMode="External"/><Relationship Id="rId2909" Type="http://schemas.openxmlformats.org/officeDocument/2006/relationships/hyperlink" Target="https://drive.google.com/file/d/1pkLUmJ6TNtkyIIS4OTKPx3UmxIX6-7Fo/view?usp=sharing" TargetMode="External"/><Relationship Id="rId3280" Type="http://schemas.openxmlformats.org/officeDocument/2006/relationships/hyperlink" Target="https://drive.google.com/file/d/1ctrCTKdPVyT2xQugIKoZtZ3GDV8Ce468/view?usp=sharing" TargetMode="External"/><Relationship Id="rId4331" Type="http://schemas.openxmlformats.org/officeDocument/2006/relationships/hyperlink" Target="https://drive.google.com/file/d/17WfZNX-TkX9QXg4TvLtdJVKhRfFoS7cx/view?usp=sharing" TargetMode="External"/><Relationship Id="rId8952" Type="http://schemas.openxmlformats.org/officeDocument/2006/relationships/hyperlink" Target="https://drive.google.com/drive/u/0/folders/1_fED_Anbf-EiPsrsXIlReAGW1wOsypOk" TargetMode="External"/><Relationship Id="rId10882" Type="http://schemas.openxmlformats.org/officeDocument/2006/relationships/hyperlink" Target="https://www.vidio.com/live/18249-hsbc-bwf-world-tour-finals-2025-group-stage-court-1?schedule_id=4783138" TargetMode="External"/><Relationship Id="rId11933" Type="http://schemas.openxmlformats.org/officeDocument/2006/relationships/hyperlink" Target="https://drive.google.com/file/d/1I2QL-h1CAeZERs7B5O4XbiSnpFeGO68R/view?usp=sharing" TargetMode="External"/><Relationship Id="rId6156" Type="http://schemas.openxmlformats.org/officeDocument/2006/relationships/hyperlink" Target="https://drive.google.com/drive/folders/1EzyTInAt47ivRCFZmjpu47LLDjZ0LXJ9?usp=drive_link" TargetMode="External"/><Relationship Id="rId7554" Type="http://schemas.openxmlformats.org/officeDocument/2006/relationships/hyperlink" Target="https://drive.google.com/file/d/1bHuNCaDvfrmzdwK3IV89a1PCroqRq1ZZ/view?usp=sharing" TargetMode="External"/><Relationship Id="rId8605" Type="http://schemas.openxmlformats.org/officeDocument/2006/relationships/hyperlink" Target="https://drive.google.com/file/d/1BI4bxZA-L2fLLl_OMU6ScD_p3cbBpUU9/view?usp=sharing" TargetMode="External"/><Relationship Id="rId10535" Type="http://schemas.openxmlformats.org/officeDocument/2006/relationships/hyperlink" Target="https://drive.google.com/drive/folders/1-XGLAreYqs0xpzqU5EFyjfJr1MsJoO2L" TargetMode="External"/><Relationship Id="rId7207" Type="http://schemas.openxmlformats.org/officeDocument/2006/relationships/hyperlink" Target="https://drive.google.com/drive/folders/1NepG6XT-FSa8Cs07sX3tPfQWLNpJfAxp" TargetMode="External"/><Relationship Id="rId2766" Type="http://schemas.openxmlformats.org/officeDocument/2006/relationships/hyperlink" Target="https://drive.google.com/file/d/1mBRxb51ZehMwBclQuWeYmJ-gHBHMaLDi/view?usp=drive_link" TargetMode="External"/><Relationship Id="rId3817" Type="http://schemas.openxmlformats.org/officeDocument/2006/relationships/hyperlink" Target="https://drive.google.com/file/d/1GQnRMn6oFErKo7KtXdpcbC4SK4S1JXki/view?usp=sharing" TargetMode="External"/><Relationship Id="rId9379" Type="http://schemas.openxmlformats.org/officeDocument/2006/relationships/hyperlink" Target="https://drive.google.com/file/d/11gUKL8l1qcAWrcQjgcF9L2c961pdssB9/view?usp=sharing" TargetMode="External"/><Relationship Id="rId738" Type="http://schemas.openxmlformats.org/officeDocument/2006/relationships/hyperlink" Target="https://www.vidio.com/live/9182-champions-tv-5?schedule_id=4726069" TargetMode="External"/><Relationship Id="rId1368" Type="http://schemas.openxmlformats.org/officeDocument/2006/relationships/hyperlink" Target="https://drive.google.com/file/d/1kGucMrf-CF8mZ4vOyP_WpmjPPkv1o6r3/view?usp=drive_link" TargetMode="External"/><Relationship Id="rId2419" Type="http://schemas.openxmlformats.org/officeDocument/2006/relationships/hyperlink" Target="https://www.vidio.com/live/6299-bein-1?schedule_id=4563080" TargetMode="External"/><Relationship Id="rId5989" Type="http://schemas.openxmlformats.org/officeDocument/2006/relationships/hyperlink" Target="https://drive.google.com/file/d/1Hzx9cVZzZTMlO_4M1BvEwI_htMBGqQBY/view?usp=sharing" TargetMode="External"/><Relationship Id="rId9860" Type="http://schemas.openxmlformats.org/officeDocument/2006/relationships/hyperlink" Target="https://www.vidio.com/live/19922-top-soccer-championship-2025-u-14-u-15?schedule_id=4731883" TargetMode="External"/><Relationship Id="rId74" Type="http://schemas.openxmlformats.org/officeDocument/2006/relationships/hyperlink" Target="https://drive.google.com/drive/folders/18MXYpsZbNxwOri3Pqobk65w0svsAAGTl?usp=drive_link" TargetMode="External"/><Relationship Id="rId8462" Type="http://schemas.openxmlformats.org/officeDocument/2006/relationships/hyperlink" Target="https://drive.google.com/file/d/1yNAzEl_GyCNrjaDAh-lfwvJOnxgFIlBm/view?usp=sharing" TargetMode="External"/><Relationship Id="rId9513" Type="http://schemas.openxmlformats.org/officeDocument/2006/relationships/hyperlink" Target="https://drive.google.com/file/d/1FwUbSPHnYyfcHgdxQGVkxlQOsUw28JTv/view?usp=sharing" TargetMode="External"/><Relationship Id="rId11790" Type="http://schemas.openxmlformats.org/officeDocument/2006/relationships/hyperlink" Target="https://drive.google.com/file/d/1I2eIKrx-Pq6H1ClDLs6bhA1CkMHJUhF8/view?usp=drive_link" TargetMode="External"/><Relationship Id="rId2900" Type="http://schemas.openxmlformats.org/officeDocument/2006/relationships/hyperlink" Target="https://drive.google.com/file/d/1y6O-kcONRGf72avq5AZ3wacIfaAoQwsR/view?usp=sharing" TargetMode="External"/><Relationship Id="rId7064" Type="http://schemas.openxmlformats.org/officeDocument/2006/relationships/hyperlink" Target="https://drive.google.com/drive/folders/1MX84RU5rZmbIJdFqPDVJ1-8zszjjl40g?usp=drive_link" TargetMode="External"/><Relationship Id="rId8115" Type="http://schemas.openxmlformats.org/officeDocument/2006/relationships/hyperlink" Target="https://drive.google.com/drive/folders/1TikWJjFZRk5rpoIYpgiEEMua2DXCAzb3?usp=drive_link" TargetMode="External"/><Relationship Id="rId10392" Type="http://schemas.openxmlformats.org/officeDocument/2006/relationships/hyperlink" Target="https://drive.google.com/file/d/1ZYj2zR7kfgfkiwSMS-7dvwKNLoXCcRR0/view?usp=sharing" TargetMode="External"/><Relationship Id="rId11443" Type="http://schemas.openxmlformats.org/officeDocument/2006/relationships/hyperlink" Target="https://drive.google.com/file/d/1a0lH49vB7QpNrThlRTjgM4-RsXIdtbEO/view?usp=sharing" TargetMode="External"/><Relationship Id="rId1502" Type="http://schemas.openxmlformats.org/officeDocument/2006/relationships/hyperlink" Target="https://www.vidio.com/live/6685-champions-tv-1?schedule_id=4485989" TargetMode="External"/><Relationship Id="rId10045" Type="http://schemas.openxmlformats.org/officeDocument/2006/relationships/hyperlink" Target="https://drive.google.com/file/d/15vInW2SwCefRs724xVCTZDyDK61BJByy/view?usp=sharing" TargetMode="External"/><Relationship Id="rId3674" Type="http://schemas.openxmlformats.org/officeDocument/2006/relationships/hyperlink" Target="https://drive.google.com/file/d/1qYqWWZJQdKfb9MvNl2Dtc5gkp7Cns5GU/view?usp=drive_link" TargetMode="External"/><Relationship Id="rId4725" Type="http://schemas.openxmlformats.org/officeDocument/2006/relationships/hyperlink" Target="https://drive.google.com/drive/folders/1Fnd0NJZSpoCrpxs87v5C9GdOltSv0F-D?usp=drive_link" TargetMode="External"/><Relationship Id="rId595" Type="http://schemas.openxmlformats.org/officeDocument/2006/relationships/hyperlink" Target="https://drive.google.com/drive/folders/1wfiaCbXy-qmo0jfQgp4PIRmppUm12jWH?usp=drive_link" TargetMode="External"/><Relationship Id="rId2276" Type="http://schemas.openxmlformats.org/officeDocument/2006/relationships/hyperlink" Target="https://drive.google.com/drive/folders/1qCcBp9HXryO0KKa5HH_MTnpOd8vRfd9G" TargetMode="External"/><Relationship Id="rId3327" Type="http://schemas.openxmlformats.org/officeDocument/2006/relationships/hyperlink" Target="https://www.vidio.com/live/6686-champions-tv-2?schedule_id=4501323" TargetMode="External"/><Relationship Id="rId6897" Type="http://schemas.openxmlformats.org/officeDocument/2006/relationships/hyperlink" Target="https://drive.google.com/file/d/1jtRtphImviKljV97ZWTxs-mVkpgpxDYl/view?usp=drive_link" TargetMode="External"/><Relationship Id="rId7948" Type="http://schemas.openxmlformats.org/officeDocument/2006/relationships/hyperlink" Target="https://drive.google.com/drive/folders/1uoMltx5E8CnaZCO-GrSZ4ncvZoSyYvc0?usp=drive_link" TargetMode="External"/><Relationship Id="rId248" Type="http://schemas.openxmlformats.org/officeDocument/2006/relationships/hyperlink" Target="https://drive.google.com/file/d/1Kw2wC_7d4Vik0OI1LeD_MkRoyojAwSlv/view?usp=drive_link" TargetMode="External"/><Relationship Id="rId5499" Type="http://schemas.openxmlformats.org/officeDocument/2006/relationships/hyperlink" Target="https://drive.google.com/file/d/12hAadmWtAjDql8gn0wlcm1wmeYn5icfc/view?usp=sharing" TargetMode="External"/><Relationship Id="rId9370" Type="http://schemas.openxmlformats.org/officeDocument/2006/relationships/hyperlink" Target="https://www.vidio.com/live/19543-pegadaian-championship-2025-26?schedule_id=4803416" TargetMode="External"/><Relationship Id="rId10929" Type="http://schemas.openxmlformats.org/officeDocument/2006/relationships/hyperlink" Target="https://drive.google.com/file/d/1OiW_D2onhReVXEfYvy1INOQR1cRNo9oQ/view?usp=sharing" TargetMode="External"/><Relationship Id="rId12351" Type="http://schemas.openxmlformats.org/officeDocument/2006/relationships/hyperlink" Target="https://drive.google.com/file/d/1U1_meG0oNnbcRUJR1xNlxfh5V54yAKy4/view?usp=sharing" TargetMode="External"/><Relationship Id="rId2410" Type="http://schemas.openxmlformats.org/officeDocument/2006/relationships/hyperlink" Target="https://drive.google.com/drive/folders/1JwP4lJnLGyO-yaAeCCMSvIFrc0L0M03F?usp=drive_link" TargetMode="External"/><Relationship Id="rId9023" Type="http://schemas.openxmlformats.org/officeDocument/2006/relationships/hyperlink" Target="https://drive.google.com/drive/folders/1moOwzOn-fZz4fSr0GRc1VeyQA5my_EaF" TargetMode="External"/><Relationship Id="rId12004" Type="http://schemas.openxmlformats.org/officeDocument/2006/relationships/hyperlink" Target="https://drive.google.com/file/d/1GSUWpYS1bKMQHpDirkh41aNW22dfhpEf/view?usp=sharing" TargetMode="External"/><Relationship Id="rId1012" Type="http://schemas.openxmlformats.org/officeDocument/2006/relationships/hyperlink" Target="https://drive.google.com/file/d/1BoLz1zNREGdFez6dwVnzDWXeSHJ3T4VV/view?usp=sharing" TargetMode="External"/><Relationship Id="rId5980" Type="http://schemas.openxmlformats.org/officeDocument/2006/relationships/hyperlink" Target="https://drive.google.com/file/d/1HVFDVNHVlZzurp5b2VxoO5ZdKzFcU02q/view?usp=sharing" TargetMode="External"/><Relationship Id="rId3184" Type="http://schemas.openxmlformats.org/officeDocument/2006/relationships/hyperlink" Target="https://thumbor.prod.vidiocdn.com/iwK-WPYp3ogddFRfutwQcmq7iQE=/filters:quality(70)/vidio-media-production/uploads/image/source/52158/c5cff3.png" TargetMode="External"/><Relationship Id="rId4235" Type="http://schemas.openxmlformats.org/officeDocument/2006/relationships/hyperlink" Target="https://drive.google.com/file/d/1_JwfA1qtFtt2YbQCRJ_USxll5XmomYW7/view?usp=sharing" TargetMode="External"/><Relationship Id="rId4582" Type="http://schemas.openxmlformats.org/officeDocument/2006/relationships/hyperlink" Target="https://www.vidio.com/live/19404-serie-a?schedule_id=4741001" TargetMode="External"/><Relationship Id="rId5633" Type="http://schemas.openxmlformats.org/officeDocument/2006/relationships/hyperlink" Target="https://drive.google.com/file/d/1XZbHUJ-AjAl2yoqLX6lAbSwZcZcsWda1/view?usp=sharing" TargetMode="External"/><Relationship Id="rId8856" Type="http://schemas.openxmlformats.org/officeDocument/2006/relationships/hyperlink" Target="https://drive.google.com/file/d/1OkIhbmJjM3WYlLLcmw9jtGGhIU_3rEB9/view?usp=sharing" TargetMode="External"/><Relationship Id="rId9907" Type="http://schemas.openxmlformats.org/officeDocument/2006/relationships/hyperlink" Target="https://drive.google.com/file/d/1oiHtlthHZI5zLx6jLEsSvbdNk1THi4W5/view?usp=sharing" TargetMode="External"/><Relationship Id="rId10786" Type="http://schemas.openxmlformats.org/officeDocument/2006/relationships/hyperlink" Target="https://drive.google.com/file/d/1sHhD2TDUgA7IzS3qu0dIab0BqEBIxKKa/view?usp=sharing" TargetMode="External"/><Relationship Id="rId11837" Type="http://schemas.openxmlformats.org/officeDocument/2006/relationships/hyperlink" Target="https://drive.google.com/file/d/1eJVJpUKAFNWxLxYTbZoZRYrCww0XILnT/view?usp=sharing" TargetMode="External"/><Relationship Id="rId7458" Type="http://schemas.openxmlformats.org/officeDocument/2006/relationships/hyperlink" Target="https://drive.google.com/file/d/1DNux4glLBnqI-DzUHKvsJVIQIe0fQ_QF/view?usp=sharing" TargetMode="External"/><Relationship Id="rId8509" Type="http://schemas.openxmlformats.org/officeDocument/2006/relationships/hyperlink" Target="https://www.vidio.com/live/19773-fa-cup-2025-26?schedule_id=4678558" TargetMode="External"/><Relationship Id="rId10439" Type="http://schemas.openxmlformats.org/officeDocument/2006/relationships/hyperlink" Target="https://drive.google.com/file/d/1c3ESVho-4Tz3VnTGnyY-m9S6cWcxaT-p/view?usp=sharing" TargetMode="External"/><Relationship Id="rId989" Type="http://schemas.openxmlformats.org/officeDocument/2006/relationships/hyperlink" Target="https://drive.google.com/file/d/13mYasQiUD5kzVF-ARFyCKwXKroCmGQ3H/view?usp=sharing" TargetMode="External"/><Relationship Id="rId5490" Type="http://schemas.openxmlformats.org/officeDocument/2006/relationships/hyperlink" Target="https://drive.google.com/drive/u/0/folders/1c7ZQQTV5AbWEg_cK-N8lLguINghBWscA" TargetMode="External"/><Relationship Id="rId6541" Type="http://schemas.openxmlformats.org/officeDocument/2006/relationships/hyperlink" Target="https://drive.google.com/drive/folders/1PjL7J1M5kJLO_wSDCK5aYS8VAmQF7WyE?usp=drive_link" TargetMode="External"/><Relationship Id="rId10920" Type="http://schemas.openxmlformats.org/officeDocument/2006/relationships/hyperlink" Target="https://drive.google.com/file/d/1yff9OvDcVdP9hqaNzTWmkcckxp4OqCvY/view?usp=sharing" TargetMode="External"/><Relationship Id="rId4092" Type="http://schemas.openxmlformats.org/officeDocument/2006/relationships/hyperlink" Target="https://drive.google.com/drive/folders/1AT4Mj3aQd9b7fPdJYnfTvvWkp3HlZcwi?usp=drive_link" TargetMode="External"/><Relationship Id="rId5143" Type="http://schemas.openxmlformats.org/officeDocument/2006/relationships/hyperlink" Target="https://drive.google.com/file/d/1qF2izq1S7ccZeVv4NcAdQbGu40fT-wMK/view?usp=sharing" TargetMode="External"/><Relationship Id="rId8366" Type="http://schemas.openxmlformats.org/officeDocument/2006/relationships/hyperlink" Target="https://drive.google.com/file/d/12DEBmdCpD2eGaa5RUzoKt4MoCQwLrQRc/view?usp=sharing" TargetMode="External"/><Relationship Id="rId9764" Type="http://schemas.openxmlformats.org/officeDocument/2006/relationships/hyperlink" Target="https://drive.google.com/file/d/14fYiRk6TNERgjxu_-EqFJm102KrtFRDh/view?usp=sharing" TargetMode="External"/><Relationship Id="rId11694" Type="http://schemas.openxmlformats.org/officeDocument/2006/relationships/hyperlink" Target="https://drive.google.com/file/d/1Sqe2dRxrzzAzou2TCuAvEXu_5Qq9JWTv/view?usp=sharing" TargetMode="External"/><Relationship Id="rId1753" Type="http://schemas.openxmlformats.org/officeDocument/2006/relationships/hyperlink" Target="https://drive.google.com/file/d/1PUyVWYzfA-iOn-ZBV538Rl7yPzbxQY0Q/view?usp=sharing" TargetMode="External"/><Relationship Id="rId2804" Type="http://schemas.openxmlformats.org/officeDocument/2006/relationships/hyperlink" Target="https://drive.google.com/drive/folders/1oAYBiROnyMPBXqWYF9-olOqI4yiSeTuM?usp=drive_link" TargetMode="External"/><Relationship Id="rId8019" Type="http://schemas.openxmlformats.org/officeDocument/2006/relationships/hyperlink" Target="https://drive.google.com/drive/folders/1zOutgMQNU-s1I_PmdIucPqe6KNn3aiMy?usp=drive_link" TargetMode="External"/><Relationship Id="rId9417" Type="http://schemas.openxmlformats.org/officeDocument/2006/relationships/hyperlink" Target="https://thumbor.prod.vidiocdn.com/wH8cWMnvfX0VI4l3C6NeEmazOf4=/filters:quality(70)/vidio-media-production/uploads/image/source/52932/15994e.png" TargetMode="External"/><Relationship Id="rId10296" Type="http://schemas.openxmlformats.org/officeDocument/2006/relationships/hyperlink" Target="https://thumbor.prod.vidiocdn.com/yLo7HLtr_66RDIrsn2XI6PuKdUk=/filters:quality(70)/vidio-media-production/uploads/image/source/51874/b1e66f.png" TargetMode="External"/><Relationship Id="rId11347" Type="http://schemas.openxmlformats.org/officeDocument/2006/relationships/hyperlink" Target="https://thumbor.prod.vidiocdn.com/vTJ9i2bZ5ljRx1E53wg6SYv1f0U=/filters:quality(70)/vidio-media-production/uploads/image/source/53028/6b4932.png" TargetMode="External"/><Relationship Id="rId1406" Type="http://schemas.openxmlformats.org/officeDocument/2006/relationships/hyperlink" Target="https://drive.google.com/file/d/1MrgkaYnrvSjvzCZ1uiF3tbV5kgq9331G/view?usp=sharing" TargetMode="External"/><Relationship Id="rId4976" Type="http://schemas.openxmlformats.org/officeDocument/2006/relationships/hyperlink" Target="https://drive.google.com/drive/folders/1Yefby7fB065BQKSSW68JElpDLohNfwd3" TargetMode="External"/><Relationship Id="rId3578" Type="http://schemas.openxmlformats.org/officeDocument/2006/relationships/hyperlink" Target="https://thumbor.prod.vidiocdn.com/dgdHtCWdFGsTcRn8P0J-tjRB10c=/filters:quality(70)/vidio-media-production/uploads/image/source/52010/8983f7.png" TargetMode="External"/><Relationship Id="rId4629" Type="http://schemas.openxmlformats.org/officeDocument/2006/relationships/hyperlink" Target="https://www.vidio.com/live/19404-serie-a?schedule_id=4765133" TargetMode="External"/><Relationship Id="rId8500" Type="http://schemas.openxmlformats.org/officeDocument/2006/relationships/hyperlink" Target="https://www.vidio.com/live/19355-bri-super-league?schedule_id=4670654" TargetMode="External"/><Relationship Id="rId10430" Type="http://schemas.openxmlformats.org/officeDocument/2006/relationships/hyperlink" Target="https://drive.google.com/drive/folders/1OAYQDN1v1SP47cE15OQ8dPLuh7rGLkom?usp=sharing" TargetMode="External"/><Relationship Id="rId499" Type="http://schemas.openxmlformats.org/officeDocument/2006/relationships/hyperlink" Target="https://drive.google.com/file/d/1vuc5-RSimjQljc1aXWhWxqKGyl5dAEI6/view?usp=sharing" TargetMode="External"/><Relationship Id="rId6051" Type="http://schemas.openxmlformats.org/officeDocument/2006/relationships/hyperlink" Target="https://drive.google.com/file/d/1mAFdomg-dJswaukpvEiLDyibblfirAD_/view?usp=drive_link" TargetMode="External"/><Relationship Id="rId7102" Type="http://schemas.openxmlformats.org/officeDocument/2006/relationships/hyperlink" Target="https://drive.google.com/file/d/1GB_fdOvMOIswM_rDxnNajikSgoy_Gb_h/view?usp=sharing" TargetMode="External"/><Relationship Id="rId9274" Type="http://schemas.openxmlformats.org/officeDocument/2006/relationships/hyperlink" Target="https://drive.google.com/file/d/1bGAtWdCSL-v2iZg1GvRoYwXZwXVqVH3x/view?usp=drive_link" TargetMode="External"/><Relationship Id="rId633" Type="http://schemas.openxmlformats.org/officeDocument/2006/relationships/hyperlink" Target="https://drive.google.com/file/d/1WUfAGdC5dJn0kHJJ4RvBF2J7Ltz4X9tF/view?usp=sharing" TargetMode="External"/><Relationship Id="rId980" Type="http://schemas.openxmlformats.org/officeDocument/2006/relationships/hyperlink" Target="https://drive.google.com/file/d/1JTH7xNGU57vswNXPxSmxPfvrgr6FNXGA/view?usp=drive_link" TargetMode="External"/><Relationship Id="rId1263" Type="http://schemas.openxmlformats.org/officeDocument/2006/relationships/hyperlink" Target="https://drive.google.com/drive/folders/1zZVNWBgKAZUtQyzTLYKmxGqR6Wp-_0Jo?usp=drive_link" TargetMode="External"/><Relationship Id="rId2314" Type="http://schemas.openxmlformats.org/officeDocument/2006/relationships/hyperlink" Target="https://drive.google.com/file/d/13uUJnPboo4CXiHpqaZKzNiPIpgyb_Toz/view?usp=sharing" TargetMode="External"/><Relationship Id="rId2661" Type="http://schemas.openxmlformats.org/officeDocument/2006/relationships/hyperlink" Target="https://drive.google.com/file/d/17Tq0I06UPDaXq0NIrz1xZuhs5jqfac4w/view?usp=sharing" TargetMode="External"/><Relationship Id="rId3712" Type="http://schemas.openxmlformats.org/officeDocument/2006/relationships/hyperlink" Target="https://www.vidio.com/live/17875-bein-2?schedule_id=4525695" TargetMode="External"/><Relationship Id="rId12255" Type="http://schemas.openxmlformats.org/officeDocument/2006/relationships/hyperlink" Target="https://drive.google.com/file/d/17nqJ8YbOWxi4DOQmMA4_VvY1qMuE4tM4/view?usp=sharing" TargetMode="External"/><Relationship Id="rId5884" Type="http://schemas.openxmlformats.org/officeDocument/2006/relationships/hyperlink" Target="https://drive.google.com/drive/folders/1pYi5qIT6QdvkfDRfWH0qsk97hfAPMoyN?usp=drive_link" TargetMode="External"/><Relationship Id="rId6935" Type="http://schemas.openxmlformats.org/officeDocument/2006/relationships/hyperlink" Target="https://drive.google.com/drive/folders/13bZ7aAxXvQmEfebS7V1uc3rEzMIgKC61" TargetMode="External"/><Relationship Id="rId3088" Type="http://schemas.openxmlformats.org/officeDocument/2006/relationships/hyperlink" Target="https://www.vidio.com/live/6299-bein-1?schedule_id=4773609" TargetMode="External"/><Relationship Id="rId4486" Type="http://schemas.openxmlformats.org/officeDocument/2006/relationships/hyperlink" Target="https://drive.google.com/drive/folders/1EU3WgHzc1Ju7KAOON3wvBgnByQEOaCfh?usp=drive_link" TargetMode="External"/><Relationship Id="rId5537" Type="http://schemas.openxmlformats.org/officeDocument/2006/relationships/hyperlink" Target="https://www.vidio.com/live/19600-uefa-europa-league?schedule_id=4590798" TargetMode="External"/><Relationship Id="rId4139" Type="http://schemas.openxmlformats.org/officeDocument/2006/relationships/hyperlink" Target="https://drive.google.com/drive/folders/1rtdftpZ1F7mwNclUuCp8KHgtzyPMUNcg?usp=drive_link" TargetMode="External"/><Relationship Id="rId8010" Type="http://schemas.openxmlformats.org/officeDocument/2006/relationships/hyperlink" Target="https://drive.google.com/file/d/16-88ZFBzr8uqB34B5i4kGkaNTm6ZiyVp/view?usp=drive_link" TargetMode="External"/><Relationship Id="rId4620" Type="http://schemas.openxmlformats.org/officeDocument/2006/relationships/hyperlink" Target="https://drive.google.com/file/d/13OGrEHRxACgO2GOWrF0fwB80U8a_Q_-F/view?usp=sharing" TargetMode="External"/><Relationship Id="rId490" Type="http://schemas.openxmlformats.org/officeDocument/2006/relationships/hyperlink" Target="https://drive.google.com/drive/folders/1TaP_vfs-hFJJkkXHSczErZfIfAt991tI" TargetMode="External"/><Relationship Id="rId2171" Type="http://schemas.openxmlformats.org/officeDocument/2006/relationships/hyperlink" Target="https://drive.google.com/drive/folders/105Nh6a4ledWDrhTHElQAv7NWkHyK1v-I" TargetMode="External"/><Relationship Id="rId3222" Type="http://schemas.openxmlformats.org/officeDocument/2006/relationships/hyperlink" Target="https://drive.google.com/file/d/1p0-fI9c6Td8j9mEijNhCanzydcTMyHYB/view?usp=sharing" TargetMode="External"/><Relationship Id="rId143" Type="http://schemas.openxmlformats.org/officeDocument/2006/relationships/hyperlink" Target="https://drive.google.com/drive/folders/1qmqXnARKDD3W7MvHpWMS_z7oTIq9n9BO?usp=drive_link" TargetMode="External"/><Relationship Id="rId5394" Type="http://schemas.openxmlformats.org/officeDocument/2006/relationships/hyperlink" Target="https://drive.google.com/file/d/18ekcZY9m9HbQ31R9xxnHmUZPmzCJMpr0/view?usp=sharing" TargetMode="External"/><Relationship Id="rId6445" Type="http://schemas.openxmlformats.org/officeDocument/2006/relationships/hyperlink" Target="https://drive.google.com/file/d/1J1vZCfpZrejk97_3jv_jvXaVXeZbofd2/view?usp=drive_link" TargetMode="External"/><Relationship Id="rId6792" Type="http://schemas.openxmlformats.org/officeDocument/2006/relationships/hyperlink" Target="https://www.vidio.com/live/19542-pegadaian-championship-2025-26?schedule_id=4564712" TargetMode="External"/><Relationship Id="rId7843" Type="http://schemas.openxmlformats.org/officeDocument/2006/relationships/hyperlink" Target="https://drive.google.com/file/d/172XbW0ydQ-X0s-x0cfDCq3PVSNlrzHbf/view?usp=sharing" TargetMode="External"/><Relationship Id="rId10824" Type="http://schemas.openxmlformats.org/officeDocument/2006/relationships/hyperlink" Target="https://drive.google.com/file/d/1C4QqwsJKdpmgIskKFncjf1NyRNycjsQ-/view?usp=sharing" TargetMode="External"/><Relationship Id="rId9" Type="http://schemas.openxmlformats.org/officeDocument/2006/relationships/hyperlink" Target="https://www.vidio.com/live/18388-fifa-women-s-matchday?schedule_id=4086954" TargetMode="External"/><Relationship Id="rId5047" Type="http://schemas.openxmlformats.org/officeDocument/2006/relationships/hyperlink" Target="https://drive.google.com/file/d/10NxTVzXhuhmj10ehq5fGb_F1f5hcJUAz/view?usp=sharing" TargetMode="External"/><Relationship Id="rId9668" Type="http://schemas.openxmlformats.org/officeDocument/2006/relationships/hyperlink" Target="https://drive.google.com/file/d/1weAqQxUD_Mymz3bPceR02pITnGosqJNz/view?usp=sharing" TargetMode="External"/><Relationship Id="rId11598" Type="http://schemas.openxmlformats.org/officeDocument/2006/relationships/hyperlink" Target="https://drive.google.com/drive/folders/1ikHWMMrNx1Nko_DhyMPrnJ7Dx8jFvc_p?usp=drive_link" TargetMode="External"/><Relationship Id="rId1657" Type="http://schemas.openxmlformats.org/officeDocument/2006/relationships/hyperlink" Target="https://drive.google.com/file/d/1PVl6c2FlIg7620Ddsnvbx2pgEnV_y8j6/view?usp=sharing" TargetMode="External"/><Relationship Id="rId2708" Type="http://schemas.openxmlformats.org/officeDocument/2006/relationships/hyperlink" Target="https://drive.google.com/drive/folders/1kMnAUovIfqAZyRE7zHeYvNuw4YZstmZE?usp=drive_link" TargetMode="External"/><Relationship Id="rId4130" Type="http://schemas.openxmlformats.org/officeDocument/2006/relationships/hyperlink" Target="https://drive.google.com/file/d/1vMmHMBKOlWyaMYesenvsuT2y5zSpwV-n/view?usp=drive_link" TargetMode="External"/><Relationship Id="rId8751" Type="http://schemas.openxmlformats.org/officeDocument/2006/relationships/hyperlink" Target="https://drive.google.com/file/d/1_Onjmwurj1w7xAXRi_51bFmkyG0yLJ5P/view?usp=sharing" TargetMode="External"/><Relationship Id="rId9802" Type="http://schemas.openxmlformats.org/officeDocument/2006/relationships/hyperlink" Target="https://drive.google.com/file/d/1bGAtWdCSL-v2iZg1GvRoYwXZwXVqVH3x/view?usp=sharing" TargetMode="External"/><Relationship Id="rId16" Type="http://schemas.openxmlformats.org/officeDocument/2006/relationships/hyperlink" Target="https://app.box.com/s/4tugtowqeq3r3il2coczg4a8r53rxvyv" TargetMode="External"/><Relationship Id="rId7353" Type="http://schemas.openxmlformats.org/officeDocument/2006/relationships/hyperlink" Target="https://www.vidio.com/live/17140-spotv-2?schedule_id=4599296" TargetMode="External"/><Relationship Id="rId8404" Type="http://schemas.openxmlformats.org/officeDocument/2006/relationships/hyperlink" Target="https://thumbor.prod.vidiocdn.com/KD8ndUiGPS3QVhzhY-H-pljaH7g=/filters:quality(70)/vidio-media-production/uploads/image/source/52063/fbd9d8.png" TargetMode="External"/><Relationship Id="rId10681" Type="http://schemas.openxmlformats.org/officeDocument/2006/relationships/hyperlink" Target="https://thumbor.prod.vidiocdn.com/ugDoEzNZsokGEOK1eejg2pfRbo8=/filters:quality(70)/vidio-media-production/uploads/image/source/52900/4bfa98.png" TargetMode="External"/><Relationship Id="rId11732" Type="http://schemas.openxmlformats.org/officeDocument/2006/relationships/hyperlink" Target="https://drive.google.com/file/d/1RvpVSYEuxwkTup3qpzOCOplWtOxx9WK3/view?usp=sharing" TargetMode="External"/><Relationship Id="rId7006" Type="http://schemas.openxmlformats.org/officeDocument/2006/relationships/hyperlink" Target="https://drive.google.com/drive/folders/15mnXez-NbMkKamiC6_R-RbiEsLxK1xwg?usp=drive_link" TargetMode="External"/><Relationship Id="rId10334" Type="http://schemas.openxmlformats.org/officeDocument/2006/relationships/hyperlink" Target="https://drive.google.com/drive/folders/1tvjxvo3Z9U40bjdWOnfXzxHMgTUsDECs" TargetMode="External"/><Relationship Id="rId3963" Type="http://schemas.openxmlformats.org/officeDocument/2006/relationships/hyperlink" Target="https://drive.google.com/drive/folders/1NepG6XT-FSa8Cs07sX3tPfQWLNpJfAxp" TargetMode="External"/><Relationship Id="rId9178" Type="http://schemas.openxmlformats.org/officeDocument/2006/relationships/hyperlink" Target="https://drive.google.com/drive/folders/1NepG6XT-FSa8Cs07sX3tPfQWLNpJfAxp" TargetMode="External"/><Relationship Id="rId884" Type="http://schemas.openxmlformats.org/officeDocument/2006/relationships/hyperlink" Target="https://drive.google.com/drive/folders/1WB5RMrJafdkxgc0CdZvq6o2Z-yCqfWQu?usp=drive_link" TargetMode="External"/><Relationship Id="rId2565" Type="http://schemas.openxmlformats.org/officeDocument/2006/relationships/hyperlink" Target="https://drive.google.com/file/d/1jqg1tvHOzhrVwJ91hcgaObuZlChU3RuU/view?usp=sharing" TargetMode="External"/><Relationship Id="rId3616" Type="http://schemas.openxmlformats.org/officeDocument/2006/relationships/hyperlink" Target="https://drive.google.com/drive/folders/1MWvALIV40zeO3WjDHsI_EPdPcAEpMXMl?usp=sharing" TargetMode="External"/><Relationship Id="rId12159" Type="http://schemas.openxmlformats.org/officeDocument/2006/relationships/hyperlink" Target="https://drive.google.com/file/d/17nqJ8YbOWxi4DOQmMA4_VvY1qMuE4tM4/view?usp=sharing" TargetMode="External"/><Relationship Id="rId537" Type="http://schemas.openxmlformats.org/officeDocument/2006/relationships/hyperlink" Target="https://drive.google.com/drive/folders/1XMH4lu8qqORnllsJDUACns-vn7sGoE_e?usp=drive_link" TargetMode="External"/><Relationship Id="rId1167" Type="http://schemas.openxmlformats.org/officeDocument/2006/relationships/hyperlink" Target="https://thumbor.prod.vidiocdn.com/A5NJnnll54NzpjeXv9f--FnFCpw=/filters:quality(70)/vidio-media-production/uploads/image/source/52545/1ceaba.png" TargetMode="External"/><Relationship Id="rId2218" Type="http://schemas.openxmlformats.org/officeDocument/2006/relationships/hyperlink" Target="https://drive.google.com/file/d/1UffaPpymvmdFs2AdKMHNlCSe1_BHFWrx/view?usp=sharing" TargetMode="External"/><Relationship Id="rId5788" Type="http://schemas.openxmlformats.org/officeDocument/2006/relationships/hyperlink" Target="https://drive.google.com/drive/folders/1Xwm7e9uwvu4xSzAXHV8dN2T2KbeCWo4v?usp=drive_link" TargetMode="External"/><Relationship Id="rId6839" Type="http://schemas.openxmlformats.org/officeDocument/2006/relationships/hyperlink" Target="https://drive.google.com/file/d/1tkgGqq00tWwLkY_OgtbOqReJlY21tGmw/view?usp=sharing" TargetMode="External"/><Relationship Id="rId8261" Type="http://schemas.openxmlformats.org/officeDocument/2006/relationships/hyperlink" Target="https://drive.google.com/file/d/1DNux4glLBnqI-DzUHKvsJVIQIe0fQ_QF/view?usp=sharing" TargetMode="External"/><Relationship Id="rId9312" Type="http://schemas.openxmlformats.org/officeDocument/2006/relationships/hyperlink" Target="https://drive.google.com/file/d/1oqV5AKgvZBt51mG8ZMqyqbXs8VLP6jIr/view?usp=sharing" TargetMode="External"/><Relationship Id="rId10191" Type="http://schemas.openxmlformats.org/officeDocument/2006/relationships/hyperlink" Target="https://drive.google.com/file/d/1BLbyT_jhf9rrtbYljN-yB2FL91RJXrlh/view?usp=sharing" TargetMode="External"/><Relationship Id="rId11242" Type="http://schemas.openxmlformats.org/officeDocument/2006/relationships/hyperlink" Target="https://www.vidio.com/live/19355-bri-super-league?schedule_id=4795165" TargetMode="External"/><Relationship Id="rId1301" Type="http://schemas.openxmlformats.org/officeDocument/2006/relationships/hyperlink" Target="https://drive.google.com/drive/folders/1DaCa0c5kBygLyx2cDEenwV4RI3jRxoc7?usp=drive_link" TargetMode="External"/><Relationship Id="rId3473" Type="http://schemas.openxmlformats.org/officeDocument/2006/relationships/hyperlink" Target="https://drive.google.com/drive/folders/14RwjIwDRstBiXM-NJSTBxA4sfqY2miQ_" TargetMode="External"/><Relationship Id="rId4524" Type="http://schemas.openxmlformats.org/officeDocument/2006/relationships/hyperlink" Target="https://drive.google.com/file/d/1ajDNX583rMhIm03_cIMPXPTnKegaqQ3A/view?usp=sharing" TargetMode="External"/><Relationship Id="rId4871" Type="http://schemas.openxmlformats.org/officeDocument/2006/relationships/hyperlink" Target="https://thumbor.prod.vidiocdn.com/15Gpil_igZmI-EGzILn61tb7mJQ=/filters:quality(70)/vidio-media-production/uploads/image/source/52868/c0e4af.png" TargetMode="External"/><Relationship Id="rId5922" Type="http://schemas.openxmlformats.org/officeDocument/2006/relationships/hyperlink" Target="https://drive.google.com/drive/folders/1Lx5Q5h9tWALRAiHGHAe7UjRD8UHtmuai?usp=drive_link" TargetMode="External"/><Relationship Id="rId394" Type="http://schemas.openxmlformats.org/officeDocument/2006/relationships/hyperlink" Target="https://drive.google.com/drive/folders/1HAHXgmpUJc29YOD8xWSMgQyRhfXuT8Vy" TargetMode="External"/><Relationship Id="rId2075" Type="http://schemas.openxmlformats.org/officeDocument/2006/relationships/hyperlink" Target="https://drive.google.com/drive/folders/1_r3DEo2kka3mC_-00cHOS0XRgvSCbmfd" TargetMode="External"/><Relationship Id="rId3126" Type="http://schemas.openxmlformats.org/officeDocument/2006/relationships/hyperlink" Target="https://drive.google.com/file/d/1LhOaoWsMQQdvLMpZfYFfQh2HtJyJx6Xn/view?usp=sharing" TargetMode="External"/><Relationship Id="rId5298" Type="http://schemas.openxmlformats.org/officeDocument/2006/relationships/hyperlink" Target="https://drive.google.com/file/d/14n_7NhXQPftKs2ZMdzAxUETfy9euegSE/view?usp=sharing" TargetMode="External"/><Relationship Id="rId6696" Type="http://schemas.openxmlformats.org/officeDocument/2006/relationships/hyperlink" Target="https://drive.google.com/drive/folders/1BHh5wPsnYmUU66j0vsOKMNDJmvhTzaOp?usp=drive_link" TargetMode="External"/><Relationship Id="rId7747" Type="http://schemas.openxmlformats.org/officeDocument/2006/relationships/hyperlink" Target="https://www.vidio.com/live/19541-pegadaian-championship-2025-26?schedule_id=4665896" TargetMode="External"/><Relationship Id="rId10728" Type="http://schemas.openxmlformats.org/officeDocument/2006/relationships/hyperlink" Target="https://drive.google.com/file/d/10x07eappWmOAg9Ewdw-tRuCk5sWGQ8VM/view?usp=sharing" TargetMode="External"/><Relationship Id="rId6349" Type="http://schemas.openxmlformats.org/officeDocument/2006/relationships/hyperlink" Target="https://drive.google.com/file/d/1f9TaIZupDFlEu_Fy--JqWjNywdBP44E1/view?usp=sharing" TargetMode="External"/><Relationship Id="rId12150" Type="http://schemas.openxmlformats.org/officeDocument/2006/relationships/hyperlink" Target="https://drive.google.com/file/d/17nqJ8YbOWxi4DOQmMA4_VvY1qMuE4tM4/view?usp=sharing" TargetMode="External"/><Relationship Id="rId2959" Type="http://schemas.openxmlformats.org/officeDocument/2006/relationships/hyperlink" Target="https://drive.google.com/drive/folders/1pn4fgKAJlc0lJTab9_1EEGSH5koAKI0d?usp=drive_link" TargetMode="External"/><Relationship Id="rId6830" Type="http://schemas.openxmlformats.org/officeDocument/2006/relationships/hyperlink" Target="https://drive.google.com/drive/folders/1ucNoaH6qaYCBmETyhLgQ5RaF6B8eqX2W?usp=drive_link" TargetMode="External"/><Relationship Id="rId4381" Type="http://schemas.openxmlformats.org/officeDocument/2006/relationships/hyperlink" Target="https://drive.google.com/file/d/18XpWHtv-r-_AFuKz9rAjbUu69RNVGAnI/view?usp=sharing" TargetMode="External"/><Relationship Id="rId5432" Type="http://schemas.openxmlformats.org/officeDocument/2006/relationships/hyperlink" Target="https://drive.google.com/drive/u/0/folders/1xYnrNXHNxDvvuunTibEHd0g32xVCpb5a" TargetMode="External"/><Relationship Id="rId4034" Type="http://schemas.openxmlformats.org/officeDocument/2006/relationships/hyperlink" Target="https://drive.google.com/file/d/1mX0EbXAmA0dz_Uu2-2bHx_C0G-1UmOTI/view?usp=sharing" TargetMode="External"/><Relationship Id="rId8655" Type="http://schemas.openxmlformats.org/officeDocument/2006/relationships/hyperlink" Target="https://www.vidio.com/live/19543-pegadaian-championship-2025-26?schedule_id=4727755" TargetMode="External"/><Relationship Id="rId11983" Type="http://schemas.openxmlformats.org/officeDocument/2006/relationships/hyperlink" Target="https://drive.google.com/file/d/195vbuwhsQPt6iEJVlGrfDpTxgLD90doi/view?usp=sharing" TargetMode="External"/><Relationship Id="rId7257" Type="http://schemas.openxmlformats.org/officeDocument/2006/relationships/hyperlink" Target="https://drive.google.com/drive/folders/1qrOsNzIxO1lILxGpVXcAo9Fng0tOT5Ya?usp=drive_link" TargetMode="External"/><Relationship Id="rId8308" Type="http://schemas.openxmlformats.org/officeDocument/2006/relationships/hyperlink" Target="https://drive.google.com/file/d/1i5KsYGBnV5ZwokGrYYhDywkrKVQOzObC/view?usp=sharing" TargetMode="External"/><Relationship Id="rId9706" Type="http://schemas.openxmlformats.org/officeDocument/2006/relationships/hyperlink" Target="https://drive.google.com/file/d/13TCSLnlzyEaEYjZkYoTbFCrsR47k3MD9/view?usp=sharing" TargetMode="External"/><Relationship Id="rId10585" Type="http://schemas.openxmlformats.org/officeDocument/2006/relationships/hyperlink" Target="https://drive.google.com/file/d/1FrdJ8GxmzSWTO0ACHQjEF2aninTNOHQb/view?usp=sharing" TargetMode="External"/><Relationship Id="rId11636" Type="http://schemas.openxmlformats.org/officeDocument/2006/relationships/hyperlink" Target="https://drive.google.com/file/d/1F_wpyvZ40X3xiafdhBwDAzupxFDCxP4x/view?usp=sharing" TargetMode="External"/><Relationship Id="rId10238" Type="http://schemas.openxmlformats.org/officeDocument/2006/relationships/hyperlink" Target="https://www.vidio.com/live/17875-bein-2?schedule_id=4773351" TargetMode="External"/><Relationship Id="rId3867" Type="http://schemas.openxmlformats.org/officeDocument/2006/relationships/hyperlink" Target="https://drive.google.com/file/d/1Tv0wwwGn04v5f0nTWeNoXFdShnx4681S/view?usp=sharing" TargetMode="External"/><Relationship Id="rId4918" Type="http://schemas.openxmlformats.org/officeDocument/2006/relationships/hyperlink" Target="https://drive.google.com/file/d/10oXc2HHz_i4BJ12dRBHm04vbTwdeSGQ1/view?usp=sharing" TargetMode="External"/><Relationship Id="rId788" Type="http://schemas.openxmlformats.org/officeDocument/2006/relationships/hyperlink" Target="https://drive.google.com/drive/folders/1IZ8sVeHw1CQIf4plGSYbg36lVxcdH8y0" TargetMode="External"/><Relationship Id="rId2469" Type="http://schemas.openxmlformats.org/officeDocument/2006/relationships/hyperlink" Target="https://drive.google.com/drive/folders/1MJ4MaU0m5zLXE2TDoQvKnW9kxc14ksp8?usp=drive_link" TargetMode="External"/><Relationship Id="rId6340" Type="http://schemas.openxmlformats.org/officeDocument/2006/relationships/hyperlink" Target="https://www.vidio.com/live/6317-bein-3?schedule_id=4683975" TargetMode="External"/><Relationship Id="rId9563" Type="http://schemas.openxmlformats.org/officeDocument/2006/relationships/hyperlink" Target="https://drive.google.com/file/d/1bGAtWdCSL-v2iZg1GvRoYwXZwXVqVH3x/view?usp=sharing" TargetMode="External"/><Relationship Id="rId11493" Type="http://schemas.openxmlformats.org/officeDocument/2006/relationships/hyperlink" Target="https://thumbor.prod.vidiocdn.com/TjQwzGp14aq-Qyx0WcqniK1mNos=/filters:quality(70)/vidio-media-production/uploads/image/source/52471/27ad9c.png" TargetMode="External"/><Relationship Id="rId922" Type="http://schemas.openxmlformats.org/officeDocument/2006/relationships/hyperlink" Target="https://drive.google.com/file/d/1n9GmeJ8zcKMFj4jX6qwmRsUWAchr45UW/view?usp=sharing" TargetMode="External"/><Relationship Id="rId1552" Type="http://schemas.openxmlformats.org/officeDocument/2006/relationships/hyperlink" Target="https://drive.google.com/drive/folders/12yyq45BDDqYFrm7CiIUN2QmpjiPGs3lp" TargetMode="External"/><Relationship Id="rId2603" Type="http://schemas.openxmlformats.org/officeDocument/2006/relationships/hyperlink" Target="https://drive.google.com/file/d/1dm0bsfmmWlUUmjBTd-L1FI9DgnjRCzJd/view?usp=sharing" TargetMode="External"/><Relationship Id="rId2950" Type="http://schemas.openxmlformats.org/officeDocument/2006/relationships/hyperlink" Target="https://drive.google.com/file/d/1_LOVrTFxsO_nzspOm48LYnW6W0krJg08/view?usp=sharing" TargetMode="External"/><Relationship Id="rId8165" Type="http://schemas.openxmlformats.org/officeDocument/2006/relationships/hyperlink" Target="https://drive.google.com/file/d/1RAoydcef0dNkSl0y1asgQDrqTGk68CTO/view?usp=sharing" TargetMode="External"/><Relationship Id="rId9216" Type="http://schemas.openxmlformats.org/officeDocument/2006/relationships/hyperlink" Target="https://www.vidio.com/live/19810-top-soccer-championship-2025-u-15?schedule_id=4708367" TargetMode="External"/><Relationship Id="rId10095" Type="http://schemas.openxmlformats.org/officeDocument/2006/relationships/hyperlink" Target="https://drive.google.com/file/d/1jfEkZwocrTDgLhL5rkCh_3EsLYL-9pcj/view?usp=sharing" TargetMode="External"/><Relationship Id="rId11146" Type="http://schemas.openxmlformats.org/officeDocument/2006/relationships/hyperlink" Target="https://thumbor.prod.vidiocdn.com/kN_VUac7r9Rx5SmbvPm5dknOoPg=/filters:quality(70)/vidio-media-production/uploads/image/source/53290/e45c72.png" TargetMode="External"/><Relationship Id="rId1205" Type="http://schemas.openxmlformats.org/officeDocument/2006/relationships/hyperlink" Target="https://drive.google.com/file/d/1ZdQRc0CyETp4ZxRZsNl-VzcBDo4XH-vu/view?usp=sharing" TargetMode="External"/><Relationship Id="rId3377" Type="http://schemas.openxmlformats.org/officeDocument/2006/relationships/hyperlink" Target="https://drive.google.com/file/d/13NbQNA3rpHwBDK1YMR6KHW5ON21PcaS9/view?usp=sharing" TargetMode="External"/><Relationship Id="rId4775" Type="http://schemas.openxmlformats.org/officeDocument/2006/relationships/hyperlink" Target="https://drive.google.com/file/d/18-nq9m10BYqAjhmvrTGYfnvrqws6zfJs/view?usp=sharing" TargetMode="External"/><Relationship Id="rId5826" Type="http://schemas.openxmlformats.org/officeDocument/2006/relationships/hyperlink" Target="https://www.vidio.com/live/19631-uefa-europa-league?schedule_id=4702072" TargetMode="External"/><Relationship Id="rId298" Type="http://schemas.openxmlformats.org/officeDocument/2006/relationships/hyperlink" Target="https://drive.google.com/drive/folders/1E-SiChHX8IFkkAWfrdcoH1SwbCWsIC_8?usp=drive_link" TargetMode="External"/><Relationship Id="rId4428" Type="http://schemas.openxmlformats.org/officeDocument/2006/relationships/hyperlink" Target="https://drive.google.com/file/d/15ywPG-qFOlAI3hT447yjgi9gaoaZQnaY/view?usp=sharing" TargetMode="External"/><Relationship Id="rId7998" Type="http://schemas.openxmlformats.org/officeDocument/2006/relationships/hyperlink" Target="https://drive.google.com/file/d/15tOatGBVMamkPI9yHn-fH8Ma3xTe31m1/view?usp=sharing" TargetMode="External"/><Relationship Id="rId10979" Type="http://schemas.openxmlformats.org/officeDocument/2006/relationships/hyperlink" Target="https://thumbor.prod.vidiocdn.com/eQY4_AgES3aDYCLgHKSN2VzA5Nc=/filters:quality(70)/vidio-media-production/uploads/image/source/53137/330a2b.png" TargetMode="External"/><Relationship Id="rId2460" Type="http://schemas.openxmlformats.org/officeDocument/2006/relationships/hyperlink" Target="https://drive.google.com/file/d/1NAV2M9KHc5cVaFKPtn0w2-pUfdB085NU/view?usp=sharing" TargetMode="External"/><Relationship Id="rId3511" Type="http://schemas.openxmlformats.org/officeDocument/2006/relationships/hyperlink" Target="https://drive.google.com/file/d/1fy1qYqOh9Uy9jjQaTM5ihlwcTmpAsKNq/view?usp=sharing" TargetMode="External"/><Relationship Id="rId9073" Type="http://schemas.openxmlformats.org/officeDocument/2006/relationships/hyperlink" Target="https://www.vidio.com/live/19737-turkish-men-s-volleyball-league?schedule_id=4726059" TargetMode="External"/><Relationship Id="rId12054" Type="http://schemas.openxmlformats.org/officeDocument/2006/relationships/hyperlink" Target="https://www.vidio.com/live/18250-petronas-malaysia-open-2026-round-of-16-court-2?schedule_id=4832337" TargetMode="External"/><Relationship Id="rId432" Type="http://schemas.openxmlformats.org/officeDocument/2006/relationships/hyperlink" Target="https://drive.google.com/file/d/1z7albA6c1Z3TJRXY0kypNPJazYVa2jox/view?usp=sharing" TargetMode="External"/><Relationship Id="rId1062" Type="http://schemas.openxmlformats.org/officeDocument/2006/relationships/hyperlink" Target="https://www.vidio.com/live/18796-premier-league?schedule_id=4783745" TargetMode="External"/><Relationship Id="rId2113" Type="http://schemas.openxmlformats.org/officeDocument/2006/relationships/hyperlink" Target="https://drive.google.com/file/d/1AWRI3GQ7puvVgctfxr3LAaonX4rflVXw/view?usp=sharing" TargetMode="External"/><Relationship Id="rId5683" Type="http://schemas.openxmlformats.org/officeDocument/2006/relationships/hyperlink" Target="https://www.vidio.com/live/19599-uefa-europa-league?schedule_id=4664049" TargetMode="External"/><Relationship Id="rId6734" Type="http://schemas.openxmlformats.org/officeDocument/2006/relationships/hyperlink" Target="https://drive.google.com/file/d/11M2aJ_7i47DJMiVrpkKHZ8B1sd9j7Of_/view?usp=sharing" TargetMode="External"/><Relationship Id="rId4285" Type="http://schemas.openxmlformats.org/officeDocument/2006/relationships/hyperlink" Target="https://drive.google.com/drive/folders/1r6XHJbzbZOhAqaz1zxvgmQeni9-LAP0k?usp=drive_link" TargetMode="External"/><Relationship Id="rId5336" Type="http://schemas.openxmlformats.org/officeDocument/2006/relationships/hyperlink" Target="https://drive.google.com/file/d/1oTrbSPI1mctZwB80ruztFToUC03amIM7/view?usp=sharing" TargetMode="External"/><Relationship Id="rId9957" Type="http://schemas.openxmlformats.org/officeDocument/2006/relationships/hyperlink" Target="https://www.vidio.com/live/6299-bein-1?schedule_id=4790932" TargetMode="External"/><Relationship Id="rId11887" Type="http://schemas.openxmlformats.org/officeDocument/2006/relationships/hyperlink" Target="https://drive.google.com/drive/folders/1TYXj5i7Ik4SNEitV7mHoBo1u6CAR_kAQ?usp=drive_link" TargetMode="External"/><Relationship Id="rId1946" Type="http://schemas.openxmlformats.org/officeDocument/2006/relationships/hyperlink" Target="https://drive.google.com/file/d/1WftmjAiUulY3Pyf9nttc6maojjbQ2T5i/view?usp=sharing" TargetMode="External"/><Relationship Id="rId8559" Type="http://schemas.openxmlformats.org/officeDocument/2006/relationships/hyperlink" Target="https://drive.google.com/file/d/1PdpOAY82wvc1uvTsWAzPGVUHvGsrnMsc/view?usp=sharing" TargetMode="External"/><Relationship Id="rId10489" Type="http://schemas.openxmlformats.org/officeDocument/2006/relationships/hyperlink" Target="https://drive.google.com/drive/folders/1NepG6XT-FSa8Cs07sX3tPfQWLNpJfAxp" TargetMode="External"/><Relationship Id="rId3021" Type="http://schemas.openxmlformats.org/officeDocument/2006/relationships/hyperlink" Target="https://drive.google.com/drive/folders/1bduChG8vfP9A2nHGNQ48Mgvt5MXd2y12?usp=drive_link" TargetMode="External"/><Relationship Id="rId6591" Type="http://schemas.openxmlformats.org/officeDocument/2006/relationships/hyperlink" Target="https://drive.google.com/drive/folders/1s8wMOdOoqdQPpK_0hUcaBOWXNz-Q2qFr?usp=drive_link" TargetMode="External"/><Relationship Id="rId7642" Type="http://schemas.openxmlformats.org/officeDocument/2006/relationships/hyperlink" Target="https://www.vidio.com/live/18796-premier-league?schedule_id=4668359" TargetMode="External"/><Relationship Id="rId10970" Type="http://schemas.openxmlformats.org/officeDocument/2006/relationships/hyperlink" Target="https://www.vidio.com/live/6299-bein-1?schedule_id=4803405" TargetMode="External"/><Relationship Id="rId5193" Type="http://schemas.openxmlformats.org/officeDocument/2006/relationships/hyperlink" Target="https://www.vidio.com/live/17883-uefa-champions-league?schedule_id=4664040" TargetMode="External"/><Relationship Id="rId6244" Type="http://schemas.openxmlformats.org/officeDocument/2006/relationships/hyperlink" Target="https://www.vidio.com/live/19646-uefa-conference-league?schedule_id=4664236" TargetMode="External"/><Relationship Id="rId10623" Type="http://schemas.openxmlformats.org/officeDocument/2006/relationships/hyperlink" Target="https://www.vidio.com/live/20066-top-soccer-championship-2025-final-cup-dan-plate-u-14-dan-u-15?schedule_id=4776341" TargetMode="External"/><Relationship Id="rId9467" Type="http://schemas.openxmlformats.org/officeDocument/2006/relationships/hyperlink" Target="https://thumbor.prod.vidiocdn.com/W0OWvquLQZQq-XlQZlWHtocY3r8=/filters:quality(70)/vidio-media-production/uploads/image/source/53015/50b55f.png" TargetMode="External"/><Relationship Id="rId2854" Type="http://schemas.openxmlformats.org/officeDocument/2006/relationships/hyperlink" Target="https://drive.google.com/drive/folders/1aVU_siMCCgdGyENjqHz4SWCmHdXoMeyi?usp=drive_link" TargetMode="External"/><Relationship Id="rId3905" Type="http://schemas.openxmlformats.org/officeDocument/2006/relationships/hyperlink" Target="https://drive.google.com/drive/folders/1pJL2_7DUu56lIeVCQQwzIhA9hxjVk4Ff" TargetMode="External"/><Relationship Id="rId8069" Type="http://schemas.openxmlformats.org/officeDocument/2006/relationships/hyperlink" Target="https://drive.google.com/file/d/1K_-cqYsmAKIp-u8TFy9XQofGhorJ9hk3/view?usp=sharing" TargetMode="External"/><Relationship Id="rId11397" Type="http://schemas.openxmlformats.org/officeDocument/2006/relationships/hyperlink" Target="https://drive.google.com/file/d/1UprpjEzrblX13BitbZcl5YCrjoI3g8XB/view?usp=sharing" TargetMode="External"/><Relationship Id="rId12448" Type="http://schemas.openxmlformats.org/officeDocument/2006/relationships/hyperlink" Target="https://www.vidio.com/live/18249-petronas-malaysia-open-2026-semifinals?schedule_id=4835424" TargetMode="External"/><Relationship Id="rId826" Type="http://schemas.openxmlformats.org/officeDocument/2006/relationships/hyperlink" Target="https://drive.google.com/file/d/1g1Y45hz35kWWO_TNVDeN7mDsPM2bktF9/view?usp=sharing" TargetMode="External"/><Relationship Id="rId1109" Type="http://schemas.openxmlformats.org/officeDocument/2006/relationships/hyperlink" Target="https://drive.google.com/drive/folders/1AKgw4MqAvTypV3VDNWPTiN0hovfbkhrz?usp=drive_link" TargetMode="External"/><Relationship Id="rId1456" Type="http://schemas.openxmlformats.org/officeDocument/2006/relationships/hyperlink" Target="https://www.vidio.com/live/6299-bein-1?schedule_id=4525653" TargetMode="External"/><Relationship Id="rId2507" Type="http://schemas.openxmlformats.org/officeDocument/2006/relationships/hyperlink" Target="https://drive.google.com/file/d/1JdQKSRgVX1aSG7PPUiBhVq30LuAptQPh/view?usp=sharing" TargetMode="External"/><Relationship Id="rId4679" Type="http://schemas.openxmlformats.org/officeDocument/2006/relationships/hyperlink" Target="https://www.vidio.com/live/19404-serie-a?schedule_id=4779476" TargetMode="External"/><Relationship Id="rId8550" Type="http://schemas.openxmlformats.org/officeDocument/2006/relationships/hyperlink" Target="https://drive.google.com/drive/folders/1Hu9E9JFeqFbVxgljJxp1pUhoqw7bVPBz" TargetMode="External"/><Relationship Id="rId9601" Type="http://schemas.openxmlformats.org/officeDocument/2006/relationships/hyperlink" Target="https://drive.google.com/drive/folders/1cmtST7mxYJ82v3Dq6znmaYu2v_4q_BHD" TargetMode="External"/><Relationship Id="rId10480" Type="http://schemas.openxmlformats.org/officeDocument/2006/relationships/hyperlink" Target="https://drive.google.com/drive/folders/1NepG6XT-FSa8Cs07sX3tPfQWLNpJfAxp" TargetMode="External"/><Relationship Id="rId11531" Type="http://schemas.openxmlformats.org/officeDocument/2006/relationships/hyperlink" Target="https://www.vidio.com/live/6317-bein-3?schedule_id=4833790" TargetMode="External"/><Relationship Id="rId7152" Type="http://schemas.openxmlformats.org/officeDocument/2006/relationships/hyperlink" Target="https://www.vidio.com/live/19662-pegadaian-championship-2025-26?schedule_id=4640600" TargetMode="External"/><Relationship Id="rId8203" Type="http://schemas.openxmlformats.org/officeDocument/2006/relationships/hyperlink" Target="https://drive.google.com/file/d/11AgD_9CDSKWzLkvxt_skWYmKToC_Vp3T/view?usp=sharing" TargetMode="External"/><Relationship Id="rId10133" Type="http://schemas.openxmlformats.org/officeDocument/2006/relationships/hyperlink" Target="https://www.vidio.com/live/19998?schedule_id=4743095" TargetMode="External"/><Relationship Id="rId3762" Type="http://schemas.openxmlformats.org/officeDocument/2006/relationships/hyperlink" Target="https://drive.google.com/file/d/1PILyAVutSx-Dsj1F8glUf0qMkk_tEtgh/view?usp=sharing" TargetMode="External"/><Relationship Id="rId4813" Type="http://schemas.openxmlformats.org/officeDocument/2006/relationships/hyperlink" Target="https://thumbor.prod.vidiocdn.com/jtpFQm6felWQQYGc978WTqPbcmM=/filters:quality(70)/vidio-media-production/uploads/image/source/52467/41ed28.png" TargetMode="External"/><Relationship Id="rId683" Type="http://schemas.openxmlformats.org/officeDocument/2006/relationships/hyperlink" Target="https://drive.google.com/file/d/1YhNpjOjU3z0LJZy4AIH_DFoMK7dj9kFG/view?usp=sharing" TargetMode="External"/><Relationship Id="rId2364" Type="http://schemas.openxmlformats.org/officeDocument/2006/relationships/hyperlink" Target="https://drive.google.com/file/d/1lKGHrt6txsSvpL5PElBk_ZxrYVzsqA5U/view?usp=sharing" TargetMode="External"/><Relationship Id="rId3415" Type="http://schemas.openxmlformats.org/officeDocument/2006/relationships/hyperlink" Target="https://www.vidio.com/live/19370-carabao-cup-2025-26?schedule_id=4494864" TargetMode="External"/><Relationship Id="rId336" Type="http://schemas.openxmlformats.org/officeDocument/2006/relationships/hyperlink" Target="https://drive.google.com/file/d/1EhwdiPKPN5ChyfJfNbfAayE5bUzqtpbX/view?usp=sharing" TargetMode="External"/><Relationship Id="rId2017" Type="http://schemas.openxmlformats.org/officeDocument/2006/relationships/hyperlink" Target="https://drive.google.com/file/d/1Mcr2WwCZh2RZCW7wdAG9c0Adoc-f_hqb/view?usp=sharing" TargetMode="External"/><Relationship Id="rId5587" Type="http://schemas.openxmlformats.org/officeDocument/2006/relationships/hyperlink" Target="https://www.vidio.com/live/6299-bein-1?schedule_id=4595190" TargetMode="External"/><Relationship Id="rId6985" Type="http://schemas.openxmlformats.org/officeDocument/2006/relationships/hyperlink" Target="https://drive.google.com/file/d/1o1JdFROuUzmB6A3UpabxNb3JtxGEzCm4/view?usp=drive_link" TargetMode="External"/><Relationship Id="rId4189" Type="http://schemas.openxmlformats.org/officeDocument/2006/relationships/hyperlink" Target="https://www.vidio.com/live/19404-serie-a?schedule_id=4626135" TargetMode="External"/><Relationship Id="rId6638" Type="http://schemas.openxmlformats.org/officeDocument/2006/relationships/hyperlink" Target="https://drive.google.com/drive/folders/1BJbvEOEIh13FvaFvYCE0DN2h4ep2EGX4?usp=drive_link" TargetMode="External"/><Relationship Id="rId8060" Type="http://schemas.openxmlformats.org/officeDocument/2006/relationships/hyperlink" Target="https://www.vidio.com/live/19584-pegadaian-championship-2025-26?schedule_id=4704440" TargetMode="External"/><Relationship Id="rId9111" Type="http://schemas.openxmlformats.org/officeDocument/2006/relationships/hyperlink" Target="https://drive.google.com/drive/folders/1e7T-U9Jjl-od9Twp0iDQwQD29a0MkSP7" TargetMode="External"/><Relationship Id="rId11041" Type="http://schemas.openxmlformats.org/officeDocument/2006/relationships/hyperlink" Target="https://www.vidio.com/live/19774-fa-cup-2025-26?schedule_id=4833939" TargetMode="External"/><Relationship Id="rId1100" Type="http://schemas.openxmlformats.org/officeDocument/2006/relationships/hyperlink" Target="https://thumbor.prod.vidiocdn.com/bQ4awWl5V1xw8ANtZWAt0FGFJI4=/filters:quality(70)/vidio-media-production/uploads/image/source/52486/c5b7ac.png" TargetMode="External"/><Relationship Id="rId4670" Type="http://schemas.openxmlformats.org/officeDocument/2006/relationships/hyperlink" Target="https://drive.google.com/file/d/1YQ404xVURiQd4IW0oNl0Fur01K_4AIux/view?usp=drive_link" TargetMode="External"/><Relationship Id="rId5721" Type="http://schemas.openxmlformats.org/officeDocument/2006/relationships/hyperlink" Target="https://drive.google.com/drive/folders/1D0dzxM6IILbYXE2KR5vBp91UZFmXdC3i?usp=drive_link" TargetMode="External"/><Relationship Id="rId3272" Type="http://schemas.openxmlformats.org/officeDocument/2006/relationships/hyperlink" Target="https://drive.google.com/drive/folders/1UZlJUUtC7NjxS8BMkfF4nv6-fBomV7Nf?usp=drive_link" TargetMode="External"/><Relationship Id="rId4323" Type="http://schemas.openxmlformats.org/officeDocument/2006/relationships/hyperlink" Target="https://3.basecamp.com/4902751/buckets/36763424/card_tables/cards/9159495020" TargetMode="External"/><Relationship Id="rId7893" Type="http://schemas.openxmlformats.org/officeDocument/2006/relationships/hyperlink" Target="https://drive.google.com/file/d/1riCMhdstQPrqJmXScW74atgyxqKopgIt/view?usp=sharing" TargetMode="External"/><Relationship Id="rId8944" Type="http://schemas.openxmlformats.org/officeDocument/2006/relationships/hyperlink" Target="https://drive.google.com/file/d/1JRPyNft2hB8wE9SFDwu0NVdjn72-j8Oe/view?usp=sharing" TargetMode="External"/><Relationship Id="rId193" Type="http://schemas.openxmlformats.org/officeDocument/2006/relationships/hyperlink" Target="https://drive.google.com/file/d/1-sQvEWPLY8FYpeQ9id3COXZDiXwBIKo_/view?usp=sharing" TargetMode="External"/><Relationship Id="rId6495" Type="http://schemas.openxmlformats.org/officeDocument/2006/relationships/hyperlink" Target="https://drive.google.com/drive/folders/1pGVAHcA00EWwXT-deCphEHBVYXeIJdfc?usp=drive_link" TargetMode="External"/><Relationship Id="rId7546" Type="http://schemas.openxmlformats.org/officeDocument/2006/relationships/hyperlink" Target="https://drive.google.com/file/d/1xmBPFRozQRJbOrSi1ZjYvbHfvOCtUdM6/view?usp=sharing" TargetMode="External"/><Relationship Id="rId10874" Type="http://schemas.openxmlformats.org/officeDocument/2006/relationships/hyperlink" Target="https://www.vidio.com/live/18249-hsbc-bwf-world-tour-finals-2025-group-stage-court-1?schedule_id=4781729" TargetMode="External"/><Relationship Id="rId11925" Type="http://schemas.openxmlformats.org/officeDocument/2006/relationships/hyperlink" Target="https://www.vidio.com/live/18252-petronas-malaysia-open-2026-round-of-32-court-3?schedule_id=4831581" TargetMode="External"/><Relationship Id="rId5097" Type="http://schemas.openxmlformats.org/officeDocument/2006/relationships/hyperlink" Target="https://drive.google.com/file/d/1NEp9-1SfagM2ApviG4lRvmETkMIBGpFr/view?usp=sharing" TargetMode="External"/><Relationship Id="rId6148" Type="http://schemas.openxmlformats.org/officeDocument/2006/relationships/hyperlink" Target="https://drive.google.com/file/d/1rDAgxWgWMiw886yTso6rk0JRzwaFLXuh/view?usp=sharing" TargetMode="External"/><Relationship Id="rId10527" Type="http://schemas.openxmlformats.org/officeDocument/2006/relationships/hyperlink" Target="https://drive.google.com/file/d/1FMCBbb8whoUIWUZMw17k0j4Ld0MANJs7/view?usp=sharing" TargetMode="External"/><Relationship Id="rId2758" Type="http://schemas.openxmlformats.org/officeDocument/2006/relationships/hyperlink" Target="https://drive.google.com/drive/folders/1NPSmt8ZUIQkRrHRFKPB9stHkHCJkHChP?usp=drive_link" TargetMode="External"/><Relationship Id="rId3809" Type="http://schemas.openxmlformats.org/officeDocument/2006/relationships/hyperlink" Target="https://drive.google.com/file/d/1zg33DTZaVBAkoYiDdYS5ejvrdZGdN7_m/view?usp=sharing" TargetMode="External"/><Relationship Id="rId4180" Type="http://schemas.openxmlformats.org/officeDocument/2006/relationships/hyperlink" Target="https://drive.google.com/file/d/1nR-JgqH6UEv9sJL275Z8RdZnQRnXDIiJ/view?usp=sharing" TargetMode="External"/><Relationship Id="rId5231" Type="http://schemas.openxmlformats.org/officeDocument/2006/relationships/hyperlink" Target="https://drive.google.com/file/d/1STku9lZJRvRID9vT1FhrP5BcLNC42x-s/view?usp=sharing" TargetMode="External"/><Relationship Id="rId9852" Type="http://schemas.openxmlformats.org/officeDocument/2006/relationships/hyperlink" Target="https://drive.google.com/file/d/1bGAtWdCSL-v2iZg1GvRoYwXZwXVqVH3x/view" TargetMode="External"/><Relationship Id="rId11782" Type="http://schemas.openxmlformats.org/officeDocument/2006/relationships/hyperlink" Target="https://www.vidio.com/live/19548-national-football-league-2025-26?schedule_id=4834232" TargetMode="External"/><Relationship Id="rId66" Type="http://schemas.openxmlformats.org/officeDocument/2006/relationships/hyperlink" Target="https://www.vidio.com/live/9182-champions-tv-5?schedule_id=4496794" TargetMode="External"/><Relationship Id="rId1841" Type="http://schemas.openxmlformats.org/officeDocument/2006/relationships/hyperlink" Target="https://drive.google.com/file/d/1wL-ZscKcwcwmuXFBzKmldXLOgKxnVkCx/view?usp=sharing" TargetMode="External"/><Relationship Id="rId8454" Type="http://schemas.openxmlformats.org/officeDocument/2006/relationships/hyperlink" Target="https://drive.google.com/drive/folders/1LGSQCors6kYx3SOKTc3-gn4Sv26uzC8G" TargetMode="External"/><Relationship Id="rId9505" Type="http://schemas.openxmlformats.org/officeDocument/2006/relationships/hyperlink" Target="https://www.vidio.com/live/6317-bein-3?schedule_id=4777390" TargetMode="External"/><Relationship Id="rId10384" Type="http://schemas.openxmlformats.org/officeDocument/2006/relationships/hyperlink" Target="https://drive.google.com/file/d/1iRz24HvQtA6EyjyaszRTRdqFkqCqoNaP/view?usp=sharing" TargetMode="External"/><Relationship Id="rId11435" Type="http://schemas.openxmlformats.org/officeDocument/2006/relationships/hyperlink" Target="https://drive.google.com/file/d/1a0lH49vB7QpNrThlRTjgM4-RsXIdtbEO/view?usp=sharing" TargetMode="External"/><Relationship Id="rId7056" Type="http://schemas.openxmlformats.org/officeDocument/2006/relationships/hyperlink" Target="https://www.vidio.com/live/19542-pegadaian-championship-2025-26?schedule_id=4627667" TargetMode="External"/><Relationship Id="rId8107" Type="http://schemas.openxmlformats.org/officeDocument/2006/relationships/hyperlink" Target="https://drive.google.com/file/d/1_GkN6veb4AxHkO81Cgbi81LHC7hltBqE/view?usp=sharing" TargetMode="External"/><Relationship Id="rId10037" Type="http://schemas.openxmlformats.org/officeDocument/2006/relationships/hyperlink" Target="https://drive.google.com/file/d/1mRZYwKwPiemHUQkgIexlSsEqpOXo26kM/view?usp=sharing" TargetMode="External"/><Relationship Id="rId3666" Type="http://schemas.openxmlformats.org/officeDocument/2006/relationships/hyperlink" Target="https://drive.google.com/drive/folders/1cqK29lH31A_ffI68Dq9R_BjiNsOaaL9_?usp=drive_link" TargetMode="External"/><Relationship Id="rId587" Type="http://schemas.openxmlformats.org/officeDocument/2006/relationships/hyperlink" Target="https://drive.google.com/file/d/1bzfT1yZ2ouQ09Wj0L7AbHoxxApaz9ul-/view?usp=sharing" TargetMode="External"/><Relationship Id="rId2268" Type="http://schemas.openxmlformats.org/officeDocument/2006/relationships/hyperlink" Target="https://www.vidio.com/live/6299-bein-1?schedule_id=4499137" TargetMode="External"/><Relationship Id="rId3319" Type="http://schemas.openxmlformats.org/officeDocument/2006/relationships/hyperlink" Target="https://drive.google.com/drive/folders/1gjxF0wy8Jg9lTNxosAOhaeGhw1pERqdK" TargetMode="External"/><Relationship Id="rId4717" Type="http://schemas.openxmlformats.org/officeDocument/2006/relationships/hyperlink" Target="https://drive.google.com/file/d/1kyhh7KpPKhQ2xg1oSgLNfbK9Us5NJzd3/view?usp=sharing" TargetMode="External"/><Relationship Id="rId6889" Type="http://schemas.openxmlformats.org/officeDocument/2006/relationships/hyperlink" Target="https://drive.google.com/drive/folders/1BhKJCwrQWMPmukRF_X1L_5IJlxac8Xp_?usp=drive_link" TargetMode="External"/><Relationship Id="rId3800" Type="http://schemas.openxmlformats.org/officeDocument/2006/relationships/hyperlink" Target="https://drive.google.com/file/d/1kzuiRow5WMcJHkI4jgJj_41VsDhM3rhZ/view?usp=drive_link" TargetMode="External"/><Relationship Id="rId9362" Type="http://schemas.openxmlformats.org/officeDocument/2006/relationships/hyperlink" Target="https://www.vidio.com/live/19773-fa-cup-2025-26?schedule_id=4768737" TargetMode="External"/><Relationship Id="rId11292" Type="http://schemas.openxmlformats.org/officeDocument/2006/relationships/hyperlink" Target="https://drive.google.com/drive/folders/1JQJrsMfiLc-626Ntld5qA0OuKh9Ehu_W?usp=drive_link" TargetMode="External"/><Relationship Id="rId12343" Type="http://schemas.openxmlformats.org/officeDocument/2006/relationships/hyperlink" Target="http://vidio.com/live/20273?schedule_id=4833846" TargetMode="External"/><Relationship Id="rId721" Type="http://schemas.openxmlformats.org/officeDocument/2006/relationships/hyperlink" Target="https://drive.google.com/drive/folders/1mMcOAAQpVzr6-Z3yaw1H3bJ21Xg7yyuC?usp=drive_link" TargetMode="External"/><Relationship Id="rId1351" Type="http://schemas.openxmlformats.org/officeDocument/2006/relationships/hyperlink" Target="https://drive.google.com/file/d/1BNFoEGWsit3mzBSwb5dHpu0e-SlViI0j/view?usp=drive_link" TargetMode="External"/><Relationship Id="rId2402" Type="http://schemas.openxmlformats.org/officeDocument/2006/relationships/hyperlink" Target="https://www.vidio.com/live/17323-laliga?schedule_id=4527660" TargetMode="External"/><Relationship Id="rId5972" Type="http://schemas.openxmlformats.org/officeDocument/2006/relationships/hyperlink" Target="https://drive.google.com/file/d/1p9dQDnWB9El0yjAmwRsWYHpc1SLFQFkU/view?usp=drive_link" TargetMode="External"/><Relationship Id="rId9015" Type="http://schemas.openxmlformats.org/officeDocument/2006/relationships/hyperlink" Target="https://drive.google.com/file/d/1vLf-FgvxQctr1Wnpju28fY0ZzgOEaY2n/view?usp=drive_link" TargetMode="External"/><Relationship Id="rId1004" Type="http://schemas.openxmlformats.org/officeDocument/2006/relationships/hyperlink" Target="https://drive.google.com/file/d/17PeMjGIw3tWgqC3APWAOroibYWf9ayvT/view?usp=drive_link" TargetMode="External"/><Relationship Id="rId4574" Type="http://schemas.openxmlformats.org/officeDocument/2006/relationships/hyperlink" Target="https://drive.google.com/file/d/1mXxwrJpR92g-cy1ZQ7UugYKA3uuT0Ocy/view?usp=sharing" TargetMode="External"/><Relationship Id="rId5625" Type="http://schemas.openxmlformats.org/officeDocument/2006/relationships/hyperlink" Target="https://drive.google.com/file/d/1twt4wJ3cuVeOXoUPNCpzn8tFSMYfgdNB/view?usp=sharing" TargetMode="External"/><Relationship Id="rId3176" Type="http://schemas.openxmlformats.org/officeDocument/2006/relationships/hyperlink" Target="https://thumbor.prod.vidiocdn.com/FuoSmDEBRprKYmyOeZJnG0cynnc=/filters:quality(70)/vidio-media-production/uploads/image/source/52278/aef816.png" TargetMode="External"/><Relationship Id="rId4227" Type="http://schemas.openxmlformats.org/officeDocument/2006/relationships/hyperlink" Target="https://drive.google.com/drive/folders/1ZvV_IkTV9f9BOY6RhwnkqwQ-9fji1J_-?usp=drive_link" TargetMode="External"/><Relationship Id="rId7797" Type="http://schemas.openxmlformats.org/officeDocument/2006/relationships/hyperlink" Target="https://drive.google.com/file/d/1fAVxrJdX9qGW0hZNsEmP3lCMUr_G6LTv/view?usp=sharing" TargetMode="External"/><Relationship Id="rId6399" Type="http://schemas.openxmlformats.org/officeDocument/2006/relationships/hyperlink" Target="https://drive.google.com/file/d/1qC7OZExfQ0u-yOzNtFCUcKY2qVr22xJR/view?usp=drive_link" TargetMode="External"/><Relationship Id="rId8848" Type="http://schemas.openxmlformats.org/officeDocument/2006/relationships/hyperlink" Target="https://drive.google.com/file/d/1VGXrrvu7VudfZrSBe8T2dYd0cFmPffZk/view?usp=sharing" TargetMode="External"/><Relationship Id="rId10778" Type="http://schemas.openxmlformats.org/officeDocument/2006/relationships/hyperlink" Target="https://drive.google.com/file/d/1-RU8I6GwktQ6GukmhMDunV-_2gExiNu5/view?usp=sharing" TargetMode="External"/><Relationship Id="rId11829" Type="http://schemas.openxmlformats.org/officeDocument/2006/relationships/hyperlink" Target="https://drive.google.com/file/d/1eJVJpUKAFNWxLxYTbZoZRYrCww0XILnT/view?usp=sharing" TargetMode="External"/><Relationship Id="rId3310" Type="http://schemas.openxmlformats.org/officeDocument/2006/relationships/hyperlink" Target="https://drive.google.com/drive/folders/1KRU-skNPILdksBxZibVmOLQGS1VUJtJ3" TargetMode="External"/><Relationship Id="rId6880" Type="http://schemas.openxmlformats.org/officeDocument/2006/relationships/hyperlink" Target="https://www.vidio.com/live/17139-spotv?schedule_id=4585499" TargetMode="External"/><Relationship Id="rId7931" Type="http://schemas.openxmlformats.org/officeDocument/2006/relationships/hyperlink" Target="https://www.vidio.com/live/19548-national-football-league-2025-26?schedule_id=4645351" TargetMode="External"/><Relationship Id="rId231" Type="http://schemas.openxmlformats.org/officeDocument/2006/relationships/hyperlink" Target="https://drive.google.com/file/d/1fkMasoDU72p_xGY6YEHv35dxUMqFqp50/view?usp=sharing" TargetMode="External"/><Relationship Id="rId5482" Type="http://schemas.openxmlformats.org/officeDocument/2006/relationships/hyperlink" Target="https://drive.google.com/file/d/1XmO2xQG91sFzrkZVjmF0YbFDfnFKaOaT/view?usp=sharing" TargetMode="External"/><Relationship Id="rId6533" Type="http://schemas.openxmlformats.org/officeDocument/2006/relationships/hyperlink" Target="https://drive.google.com/file/d/1jZ6BFfUNpEEn_sCOhOKTCrg3KSRFedc8/view?usp=sharing" TargetMode="External"/><Relationship Id="rId10912" Type="http://schemas.openxmlformats.org/officeDocument/2006/relationships/hyperlink" Target="https://drive.google.com/file/d/1-R1GXwqAiJezdAi5KNKX4MkT2UUxUbzn/view?usp=sharing" TargetMode="External"/><Relationship Id="rId4084" Type="http://schemas.openxmlformats.org/officeDocument/2006/relationships/hyperlink" Target="https://drive.google.com/file/d/1MIbke4Cg86s27xrAQdJh6uq2FSkR4WSb/view?usp=drive_link" TargetMode="External"/><Relationship Id="rId5135" Type="http://schemas.openxmlformats.org/officeDocument/2006/relationships/hyperlink" Target="https://drive.google.com/drive/u/0/folders/1KqmYbjRLoQ8PPPZm2rXidxbkEWlVj19X" TargetMode="External"/><Relationship Id="rId9756" Type="http://schemas.openxmlformats.org/officeDocument/2006/relationships/hyperlink" Target="https://drive.google.com/file/d/1vy2NedGb2nrBfUOIy5euGpHPQO8JL3WK/view?usp=sharing" TargetMode="External"/><Relationship Id="rId8358" Type="http://schemas.openxmlformats.org/officeDocument/2006/relationships/hyperlink" Target="https://drive.google.com/file/d/1KDUfE-N_jBjLIEtSL3wYMwRAMNVjbUTU/view?usp=sharing" TargetMode="External"/><Relationship Id="rId9409" Type="http://schemas.openxmlformats.org/officeDocument/2006/relationships/hyperlink" Target="https://drive.google.com/file/d/1kzTQWJt5QJXJ3THnFzMW1heyF1_w3LJc/view?usp=sharing" TargetMode="External"/><Relationship Id="rId10288" Type="http://schemas.openxmlformats.org/officeDocument/2006/relationships/hyperlink" Target="https://www.vidio.com/live/19548-national-football-league-2025-26?schedule_id=4779480" TargetMode="External"/><Relationship Id="rId11686" Type="http://schemas.openxmlformats.org/officeDocument/2006/relationships/hyperlink" Target="https://www.vidio.com/live/19548-national-football-league-2025-26?schedule_id=4827335" TargetMode="External"/><Relationship Id="rId1745" Type="http://schemas.openxmlformats.org/officeDocument/2006/relationships/hyperlink" Target="https://drive.google.com/file/d/1pL1oRxnfSFYAtVppFxJctAy6YoG00hRv/view?usp=sharing" TargetMode="External"/><Relationship Id="rId11339" Type="http://schemas.openxmlformats.org/officeDocument/2006/relationships/hyperlink" Target="https://drive.google.com/file/d/1AnlkY1Pq8xSKwt8sr-pkegZyQZNrc9UF/view?usp=sharing" TargetMode="External"/><Relationship Id="rId4968" Type="http://schemas.openxmlformats.org/officeDocument/2006/relationships/hyperlink" Target="https://drive.google.com/drive/folders/1QwIpFpc5XzmXJLa9IdShWdyQtdaCHECL" TargetMode="External"/><Relationship Id="rId11820" Type="http://schemas.openxmlformats.org/officeDocument/2006/relationships/hyperlink" Target="https://drive.google.com/file/d/1RvpVSYEuxwkTup3qpzOCOplWtOxx9WK3/view?usp=sharing" TargetMode="External"/><Relationship Id="rId6390" Type="http://schemas.openxmlformats.org/officeDocument/2006/relationships/hyperlink" Target="https://drive.google.com/file/d/1eUyNILxh3AhdPHA12ob6eZjbnUcS9eJP/view?usp=sharing" TargetMode="External"/><Relationship Id="rId7441" Type="http://schemas.openxmlformats.org/officeDocument/2006/relationships/hyperlink" Target="https://www.vidio.com/live/6685-champions-tv-1?schedule_id=4678465" TargetMode="External"/><Relationship Id="rId10422" Type="http://schemas.openxmlformats.org/officeDocument/2006/relationships/hyperlink" Target="https://drive.google.com/drive/folders/1yc_u1cs2dBbdVX0yL3vW7qC87g19ZxDo?usp=drive_link" TargetMode="External"/><Relationship Id="rId6043" Type="http://schemas.openxmlformats.org/officeDocument/2006/relationships/hyperlink" Target="https://www.vidio.com/live/19601-uefa-europa-league?schedule_id=4773540" TargetMode="External"/><Relationship Id="rId972" Type="http://schemas.openxmlformats.org/officeDocument/2006/relationships/hyperlink" Target="https://www.vidio.com/live/9182-champions-tv-5?schedule_id=4773360" TargetMode="External"/><Relationship Id="rId2653" Type="http://schemas.openxmlformats.org/officeDocument/2006/relationships/hyperlink" Target="https://drive.google.com/file/d/138x3P6peUm0Mfe2PHVFjmk651RvcNOVa/view?usp=sharing" TargetMode="External"/><Relationship Id="rId3704" Type="http://schemas.openxmlformats.org/officeDocument/2006/relationships/hyperlink" Target="https://drive.google.com/drive/folders/1FnM5bD_CizG1b-nfla4c3Q7jh93l8qWy" TargetMode="External"/><Relationship Id="rId9266" Type="http://schemas.openxmlformats.org/officeDocument/2006/relationships/hyperlink" Target="https://drive.google.com/file/d/1bGAtWdCSL-v2iZg1GvRoYwXZwXVqVH3x/view?usp=sharing" TargetMode="External"/><Relationship Id="rId11196" Type="http://schemas.openxmlformats.org/officeDocument/2006/relationships/hyperlink" Target="https://drive.google.com/file/d/1c9b37wfDcI90ywKK-eUuQb_lFkWKMT25/view?usp=sharing" TargetMode="External"/><Relationship Id="rId12247" Type="http://schemas.openxmlformats.org/officeDocument/2006/relationships/hyperlink" Target="https://www.vidio.com/live/20266?schedule_id=4833840" TargetMode="External"/><Relationship Id="rId625" Type="http://schemas.openxmlformats.org/officeDocument/2006/relationships/hyperlink" Target="https://drive.google.com/drive/folders/1E3p-enMAC4sZp6Jkw8NDAQWa1PN3Pbgq?usp=drive_link" TargetMode="External"/><Relationship Id="rId1255" Type="http://schemas.openxmlformats.org/officeDocument/2006/relationships/hyperlink" Target="https://thumbor.prod.vidiocdn.com/yO08JIQBlrqA6B9-CGXWFPoVilg=/filters:quality(70)/vidio-media-production/uploads/image/source/52842/e006b2.png" TargetMode="External"/><Relationship Id="rId2306" Type="http://schemas.openxmlformats.org/officeDocument/2006/relationships/hyperlink" Target="https://drive.google.com/file/d/1p4sNdoBGM99meTmaKealAM-rJMDQyAc4/view?usp=sharing" TargetMode="External"/><Relationship Id="rId5876" Type="http://schemas.openxmlformats.org/officeDocument/2006/relationships/hyperlink" Target="https://www.vidio.com/live/6299-bein-1?schedule_id=4733541" TargetMode="External"/><Relationship Id="rId4478" Type="http://schemas.openxmlformats.org/officeDocument/2006/relationships/hyperlink" Target="https://drive.google.com/file/d/1qJph7SoMilB_Kq7oIWgnqsPiWiRXWLf_/view?usp=sharing" TargetMode="External"/><Relationship Id="rId5529" Type="http://schemas.openxmlformats.org/officeDocument/2006/relationships/hyperlink" Target="https://drive.google.com/drive/folders/1vs2NPBadTfe8mkFp1C94plFN9o2qZ3M8?usp=drive_link" TargetMode="External"/><Relationship Id="rId6927" Type="http://schemas.openxmlformats.org/officeDocument/2006/relationships/hyperlink" Target="https://drive.google.com/file/d/1OqnwyYQTO_e_A_swVKPXoxH1mqsBSukl/view?usp=sharing" TargetMode="External"/><Relationship Id="rId9400" Type="http://schemas.openxmlformats.org/officeDocument/2006/relationships/hyperlink" Target="https://www.vidio.com/live/19541-pegadaian-championship-2025-26?schedule_id=4824484" TargetMode="External"/><Relationship Id="rId8002" Type="http://schemas.openxmlformats.org/officeDocument/2006/relationships/hyperlink" Target="https://drive.google.com/drive/folders/1a6uvNHIJHyFaZu_uP78TVstsa86wy3Sp?usp=drive_link" TargetMode="External"/><Relationship Id="rId11330" Type="http://schemas.openxmlformats.org/officeDocument/2006/relationships/hyperlink" Target="https://drive.google.com/file/d/1Eqg-InBXei6DjTSwuqtd1FnmYTTwS_6G/view?usp=drive_link" TargetMode="External"/><Relationship Id="rId3561" Type="http://schemas.openxmlformats.org/officeDocument/2006/relationships/hyperlink" Target="https://drive.google.com/drive/folders/18h8x-2Kja_b1ncLfr8TWpthERmTVwNxM" TargetMode="External"/><Relationship Id="rId4612" Type="http://schemas.openxmlformats.org/officeDocument/2006/relationships/hyperlink" Target="https://drive.google.com/drive/folders/1WeS8xzbo0fa9aZuxprsu4_Zfvy4UhNVa?usp=drive_link" TargetMode="External"/><Relationship Id="rId482" Type="http://schemas.openxmlformats.org/officeDocument/2006/relationships/hyperlink" Target="https://www.vidio.com/live/19375-premier-league?schedule_id=4626726" TargetMode="External"/><Relationship Id="rId2163" Type="http://schemas.openxmlformats.org/officeDocument/2006/relationships/hyperlink" Target="https://drive.google.com/file/d/1RZNw8EH8WEpQiQU4-xkwp16v1pof46KV/view?usp=sharing" TargetMode="External"/><Relationship Id="rId3214" Type="http://schemas.openxmlformats.org/officeDocument/2006/relationships/hyperlink" Target="https://drive.google.com/drive/folders/17sx_tEy19JFDP5eM9qSRxnsHds9WBxEW" TargetMode="External"/><Relationship Id="rId6784" Type="http://schemas.openxmlformats.org/officeDocument/2006/relationships/hyperlink" Target="https://drive.google.com/drive/folders/1NepG6XT-FSa8Cs07sX3tPfQWLNpJfAxp" TargetMode="External"/><Relationship Id="rId7835" Type="http://schemas.openxmlformats.org/officeDocument/2006/relationships/hyperlink" Target="https://drive.google.com/file/d/14jeCax4fceVe3faKjj7GrUG5hMJBc_Bo/view?usp=sharing" TargetMode="External"/><Relationship Id="rId135" Type="http://schemas.openxmlformats.org/officeDocument/2006/relationships/hyperlink" Target="https://drive.google.com/file/d/1kx4Qf4tTb0u1cuMpnBYPNlDhrGHQiOy3/view?usp=sharing" TargetMode="External"/><Relationship Id="rId5386" Type="http://schemas.openxmlformats.org/officeDocument/2006/relationships/hyperlink" Target="https://drive.google.com/drive/folders/1Ufn4x8_V3gXwIBp6MYVahWIzAncBrbD_" TargetMode="External"/><Relationship Id="rId6437" Type="http://schemas.openxmlformats.org/officeDocument/2006/relationships/hyperlink" Target="https://www.vidio.com/live/19648-uefa-conference-league?schedule_id=4734912" TargetMode="External"/><Relationship Id="rId10816" Type="http://schemas.openxmlformats.org/officeDocument/2006/relationships/hyperlink" Target="https://drive.google.com/file/d/1lYrPS0Af4cgaNYxePJqaljCHwGOjPxyo/view?usp=sharing" TargetMode="External"/><Relationship Id="rId5039" Type="http://schemas.openxmlformats.org/officeDocument/2006/relationships/hyperlink" Target="https://drive.google.com/drive/folders/1iXXXI8AUN2qzP-l9i7Vb4Z_ch9sn0od-" TargetMode="External"/><Relationship Id="rId1996" Type="http://schemas.openxmlformats.org/officeDocument/2006/relationships/hyperlink" Target="https://www.vidio.com/live/205-indosiar?schedule_id=4704473" TargetMode="External"/><Relationship Id="rId1649" Type="http://schemas.openxmlformats.org/officeDocument/2006/relationships/hyperlink" Target="https://drive.google.com/file/d/1_h4_q_malYrAhNkrdcG3kmELbBCOcKXT/view?usp=drive_link" TargetMode="External"/><Relationship Id="rId3071" Type="http://schemas.openxmlformats.org/officeDocument/2006/relationships/hyperlink" Target="https://drive.google.com/drive/folders/1T58dJh-nQcvrQrbIODmcx8qeBWx8GyQ_" TargetMode="External"/><Relationship Id="rId5520" Type="http://schemas.openxmlformats.org/officeDocument/2006/relationships/hyperlink" Target="https://drive.google.com/file/d/1t-pgcz9TDDalVBwd3J4QdQOl2p6CKk6B/view?usp=drive_link" TargetMode="External"/><Relationship Id="rId4122" Type="http://schemas.openxmlformats.org/officeDocument/2006/relationships/hyperlink" Target="https://drive.google.com/drive/folders/1gld7hF_Ce_A3oVQk8cmaRf4XidPuBodS?usp=drive_link" TargetMode="External"/><Relationship Id="rId7692" Type="http://schemas.openxmlformats.org/officeDocument/2006/relationships/hyperlink" Target="https://drive.google.com/file/d/1Sf7iZYLMxtTHLZdvml8poamCe1ww3a8j/view?usp=sharing" TargetMode="External"/><Relationship Id="rId8743" Type="http://schemas.openxmlformats.org/officeDocument/2006/relationships/hyperlink" Target="https://www.vidio.com/live/19745-top-youth-premier-league-2025-matchday-8?schedule_id=4670872" TargetMode="External"/><Relationship Id="rId10673" Type="http://schemas.openxmlformats.org/officeDocument/2006/relationships/hyperlink" Target="https://thumbor.prod.vidiocdn.com/V1a5D8ZLhMWS4b4oXKfbHAcMj5o=/filters:quality(70)/vidio-media-production/uploads/image/source/52688/22b09d.png" TargetMode="External"/><Relationship Id="rId11724" Type="http://schemas.openxmlformats.org/officeDocument/2006/relationships/hyperlink" Target="https://drive.google.com/file/d/1CCLLH-0Yo1RKKf_PvOYtg-xLc0W-XnHj/view?usp=sharing" TargetMode="External"/><Relationship Id="rId6294" Type="http://schemas.openxmlformats.org/officeDocument/2006/relationships/hyperlink" Target="https://drive.google.com/file/d/1twccD1ZMP3qt261m9Ywr4sVJCLApwDJs/view?usp=sharing" TargetMode="External"/><Relationship Id="rId7345" Type="http://schemas.openxmlformats.org/officeDocument/2006/relationships/hyperlink" Target="https://drive.google.com/file/d/1PqbKtH8VmZ2S0zj35sogcXBRKMO88ieM/view?usp=sharing" TargetMode="External"/><Relationship Id="rId10326" Type="http://schemas.openxmlformats.org/officeDocument/2006/relationships/hyperlink" Target="https://drive.google.com/drive/folders/1ZUR8E65KIw3NfssQ94eV8zxCCv5yvvYH?usp=drive_link" TargetMode="External"/><Relationship Id="rId876" Type="http://schemas.openxmlformats.org/officeDocument/2006/relationships/hyperlink" Target="https://www.vidio.com/live/9183-champions-tv-6?schedule_id=4747178" TargetMode="External"/><Relationship Id="rId2557" Type="http://schemas.openxmlformats.org/officeDocument/2006/relationships/hyperlink" Target="https://drive.google.com/file/d/1v-vTnkNCqNCj1oipITzeAWAinz56I7_w/view?usp=sharing" TargetMode="External"/><Relationship Id="rId3608" Type="http://schemas.openxmlformats.org/officeDocument/2006/relationships/hyperlink" Target="https://drive.google.com/drive/folders/1E-SiChHX8IFkkAWfrdcoH1SwbCWsIC_8?usp=drive_link" TargetMode="External"/><Relationship Id="rId3955" Type="http://schemas.openxmlformats.org/officeDocument/2006/relationships/hyperlink" Target="https://drive.google.com/file/d/1DNux4glLBnqI-DzUHKvsJVIQIe0fQ_QF/view?usp=sharing" TargetMode="External"/><Relationship Id="rId529" Type="http://schemas.openxmlformats.org/officeDocument/2006/relationships/hyperlink" Target="https://drive.google.com/file/d/1C6m0Sg20P2gbwN8ozas9bpIcFEBGSj0R/view?usp=sharing" TargetMode="External"/><Relationship Id="rId1159" Type="http://schemas.openxmlformats.org/officeDocument/2006/relationships/hyperlink" Target="https://drive.google.com/file/d/10G1KC4c-Nk-2gXxUAOFi5DF31OzyaxNP/view?usp=sharing" TargetMode="External"/><Relationship Id="rId5030" Type="http://schemas.openxmlformats.org/officeDocument/2006/relationships/hyperlink" Target="https://drive.google.com/file/d/1CL18i-AHhEleUhWgje7MNw9C1FI6svRQ/view?usp=sharing" TargetMode="External"/><Relationship Id="rId9651" Type="http://schemas.openxmlformats.org/officeDocument/2006/relationships/hyperlink" Target="https://drive.google.com/drive/folders/1z8j4o42v3XhN_t0nTUEuJ4VhskpeeVKR?usp=drive_link" TargetMode="External"/><Relationship Id="rId11581" Type="http://schemas.openxmlformats.org/officeDocument/2006/relationships/hyperlink" Target="https://drive.google.com/file/d/1vn-dh6KkV4xiCu9R14CA6nzymSzc7cAz/view?usp=sharing" TargetMode="External"/><Relationship Id="rId1640" Type="http://schemas.openxmlformats.org/officeDocument/2006/relationships/hyperlink" Target="https://www.vidio.com/live/19354-bri-super-league?schedule_id=4525643" TargetMode="External"/><Relationship Id="rId8253" Type="http://schemas.openxmlformats.org/officeDocument/2006/relationships/hyperlink" Target="https://www.vidio.com/live/19692-top-youth-premier-league-2025-matchweek-6?schedule_id=4644424" TargetMode="External"/><Relationship Id="rId9304" Type="http://schemas.openxmlformats.org/officeDocument/2006/relationships/hyperlink" Target="https://drive.google.com/file/d/1ho-Z5kIi4EI0we25ssuLXfJn4T-bSMsQ/view?usp=sharing" TargetMode="External"/><Relationship Id="rId10183" Type="http://schemas.openxmlformats.org/officeDocument/2006/relationships/hyperlink" Target="https://drive.google.com/drive/folders/1953rggGD-tr8P-Gg7S1BaLprZL0UDg5u?usp=drive_link" TargetMode="External"/><Relationship Id="rId11234" Type="http://schemas.openxmlformats.org/officeDocument/2006/relationships/hyperlink" Target="https://www.vidio.com/live/17139-spotv?schedule_id=4802060" TargetMode="External"/><Relationship Id="rId4863" Type="http://schemas.openxmlformats.org/officeDocument/2006/relationships/hyperlink" Target="https://www.vidio.com/live/19404-serie-a?schedule_id=4831594" TargetMode="External"/><Relationship Id="rId5914" Type="http://schemas.openxmlformats.org/officeDocument/2006/relationships/hyperlink" Target="https://drive.google.com/file/d/1eA6IyEGkfWZw9EQ87Esd_FhAiT8DpQfV/view?usp=sharing" TargetMode="External"/><Relationship Id="rId3465" Type="http://schemas.openxmlformats.org/officeDocument/2006/relationships/hyperlink" Target="https://drive.google.com/file/d/1Gq8_huinTevGbOJWGCdWPXFmzOTl6Ypq/view?usp=drive_link" TargetMode="External"/><Relationship Id="rId4516" Type="http://schemas.openxmlformats.org/officeDocument/2006/relationships/hyperlink" Target="https://drive.google.com/drive/folders/1DeJCScnPkkDeQ_R7vAEQkIx3Z9GGUNrT?usp=drive_link" TargetMode="External"/><Relationship Id="rId386" Type="http://schemas.openxmlformats.org/officeDocument/2006/relationships/hyperlink" Target="https://www.vidio.com/live/9182-champions-tv-5?schedule_id=4598336" TargetMode="External"/><Relationship Id="rId2067" Type="http://schemas.openxmlformats.org/officeDocument/2006/relationships/hyperlink" Target="https://drive.google.com/file/d/1a8NS6AtOTACMUYLLtubtdCFQwImxQofH/view?usp=sharing" TargetMode="External"/><Relationship Id="rId3118" Type="http://schemas.openxmlformats.org/officeDocument/2006/relationships/hyperlink" Target="https://thumbor.prod.vidiocdn.com/Ajq3tITwnshTZuhdXDovP0rLDzA=/filters:quality(70)/vidio-media-production/uploads/image/source/51821/bd2377.png" TargetMode="External"/><Relationship Id="rId6688" Type="http://schemas.openxmlformats.org/officeDocument/2006/relationships/hyperlink" Target="https://www.vidio.com/live/19604-carabao-cup-2025-26?schedule_id=4594564" TargetMode="External"/><Relationship Id="rId7739" Type="http://schemas.openxmlformats.org/officeDocument/2006/relationships/hyperlink" Target="https://drive.google.com/file/d/1Omr02N8_z7d33gkU9kvIcIogCk76Dvur/view?usp=drive_link" TargetMode="External"/><Relationship Id="rId9161" Type="http://schemas.openxmlformats.org/officeDocument/2006/relationships/hyperlink" Target="https://drive.google.com/file/d/1DNux4glLBnqI-DzUHKvsJVIQIe0fQ_QF/view?usp=sharing" TargetMode="External"/><Relationship Id="rId11091" Type="http://schemas.openxmlformats.org/officeDocument/2006/relationships/hyperlink" Target="https://drive.google.com/drive/folders/1rD8dVddCCAQ2Vw_bnbED-BobKsSg6Lsu?usp=drive_link" TargetMode="External"/><Relationship Id="rId1150" Type="http://schemas.openxmlformats.org/officeDocument/2006/relationships/hyperlink" Target="https://www.vidio.com/live/9183-champions-tv-6?schedule_id=4802050" TargetMode="External"/><Relationship Id="rId12142" Type="http://schemas.openxmlformats.org/officeDocument/2006/relationships/hyperlink" Target="https://www.vidio.com/live/20268-topskor-greater-jakarta-pekan-pertama-u-14-lapangan-big-depok" TargetMode="External"/><Relationship Id="rId520" Type="http://schemas.openxmlformats.org/officeDocument/2006/relationships/hyperlink" Target="https://drive.google.com/drive/folders/1TaP_vfs-hFJJkkXHSczErZfIfAt991tI" TargetMode="External"/><Relationship Id="rId2201" Type="http://schemas.openxmlformats.org/officeDocument/2006/relationships/hyperlink" Target="https://drive.google.com/drive/folders/1SCgGCq-MLWwZUvp6DZXogNVFLAj_mSpq" TargetMode="External"/><Relationship Id="rId5771" Type="http://schemas.openxmlformats.org/officeDocument/2006/relationships/hyperlink" Target="https://drive.google.com/drive/folders/1Bq0MBuvW9IT2RuJ0xvxo8ROFtl6saaff?usp=drive_link" TargetMode="External"/><Relationship Id="rId6822" Type="http://schemas.openxmlformats.org/officeDocument/2006/relationships/hyperlink" Target="https://www.vidio.com/live/19543-pegadaian-championship-2025-26?schedule_id=4568462" TargetMode="External"/><Relationship Id="rId4373" Type="http://schemas.openxmlformats.org/officeDocument/2006/relationships/hyperlink" Target="https://drive.google.com/drive/folders/1rPTee3TgNGS2J2ZsGlu6-VVeUEaAGs9o?usp=drive_link" TargetMode="External"/><Relationship Id="rId5424" Type="http://schemas.openxmlformats.org/officeDocument/2006/relationships/hyperlink" Target="https://drive.google.com/file/d/1Gr6cSsPTHZvzNz5vonEQv8rmhlfcREWG/view?usp=sharing" TargetMode="External"/><Relationship Id="rId8994" Type="http://schemas.openxmlformats.org/officeDocument/2006/relationships/hyperlink" Target="https://drive.google.com/file/d/1AMK6MjUI-Cc7EooHj7f_1BhzV-TDc4G2/view?usp=sharing" TargetMode="External"/><Relationship Id="rId4026" Type="http://schemas.openxmlformats.org/officeDocument/2006/relationships/hyperlink" Target="https://www.vidio.com/live/19404-serie-a?schedule_id=4579874" TargetMode="External"/><Relationship Id="rId7596" Type="http://schemas.openxmlformats.org/officeDocument/2006/relationships/hyperlink" Target="https://drive.google.com/file/d/1At0HNNWhliE1PFRk6ILMin7VjQhGJUex/view?usp=sharing" TargetMode="External"/><Relationship Id="rId8647" Type="http://schemas.openxmlformats.org/officeDocument/2006/relationships/hyperlink" Target="https://drive.google.com/file/d/15tnbHeKqHKkfcsDdGjKIbaOw6ab8OO5S/view?usp=sharing" TargetMode="External"/><Relationship Id="rId10577" Type="http://schemas.openxmlformats.org/officeDocument/2006/relationships/hyperlink" Target="https://drive.google.com/file/d/18XmYRJkoxb5DoW20SkCVK_Y_XYInBNpE/view?usp=sharing" TargetMode="External"/><Relationship Id="rId11975" Type="http://schemas.openxmlformats.org/officeDocument/2006/relationships/hyperlink" Target="https://www.vidio.com/live/18252-petronas-malaysia-open-2026-round-of-32-court-3?schedule_id=4832202" TargetMode="External"/><Relationship Id="rId6198" Type="http://schemas.openxmlformats.org/officeDocument/2006/relationships/hyperlink" Target="https://drive.google.com/drive/folders/1LS51BJznXMlj0cQFfdzpsniLLFkiocC8" TargetMode="External"/><Relationship Id="rId7249" Type="http://schemas.openxmlformats.org/officeDocument/2006/relationships/hyperlink" Target="https://drive.google.com/file/d/1YtiN4Frj5uZ4kOTxCN58xfaIa9671nhp/view?usp=sharing" TargetMode="External"/><Relationship Id="rId11628" Type="http://schemas.openxmlformats.org/officeDocument/2006/relationships/hyperlink" Target="https://drive.google.com/file/d/1Nuf1U0yXwOeNimzCIKuAqXg7nJisHKF7/view?usp=sharing" TargetMode="External"/><Relationship Id="rId3859" Type="http://schemas.openxmlformats.org/officeDocument/2006/relationships/hyperlink" Target="https://drive.google.com/file/d/1IsHHkzXbxFPNk9Nc3MllyodQ2NeKwXMg/view?usp=sharing" TargetMode="External"/><Relationship Id="rId5281" Type="http://schemas.openxmlformats.org/officeDocument/2006/relationships/hyperlink" Target="https://drive.google.com/file/d/1hGgnKacSbf4w4I40TPiJ2IhjeSQnV6Iy/view?usp=sharing" TargetMode="External"/><Relationship Id="rId7730" Type="http://schemas.openxmlformats.org/officeDocument/2006/relationships/hyperlink" Target="https://drive.google.com/drive/folders/1D4hPoAD-vnq8B8Y5Udnq1cV66SFj8O-W?usp=drive_link" TargetMode="External"/><Relationship Id="rId10711" Type="http://schemas.openxmlformats.org/officeDocument/2006/relationships/hyperlink" Target="https://www.vidio.com/live/20240-proliga?schedule_id=4832159" TargetMode="External"/><Relationship Id="rId6332" Type="http://schemas.openxmlformats.org/officeDocument/2006/relationships/hyperlink" Target="https://drive.google.com/drive/folders/1_QyyUC0KxsA5I5XnGSR_moWG1pYIaeRU" TargetMode="External"/><Relationship Id="rId1891" Type="http://schemas.openxmlformats.org/officeDocument/2006/relationships/hyperlink" Target="https://drive.google.com/file/d/1jd3qQCjU11QYShZBBm_vUAbU8HS2v4kW/view?usp=drive_link" TargetMode="External"/><Relationship Id="rId2942" Type="http://schemas.openxmlformats.org/officeDocument/2006/relationships/hyperlink" Target="https://www.vidio.com/live/6299-bein-1?schedule_id=4724316" TargetMode="External"/><Relationship Id="rId9555" Type="http://schemas.openxmlformats.org/officeDocument/2006/relationships/hyperlink" Target="https://www.vidio.com/live/19846-top-soccer-championship-2025-u-13-u-14?schedule_id=4719860" TargetMode="External"/><Relationship Id="rId11485" Type="http://schemas.openxmlformats.org/officeDocument/2006/relationships/hyperlink" Target="https://drive.google.com/drive/folders/1L42QeC9Z7w5UGpR1z4-ZoLegP8dFblas" TargetMode="External"/><Relationship Id="rId914" Type="http://schemas.openxmlformats.org/officeDocument/2006/relationships/hyperlink" Target="https://drive.google.com/drive/folders/1OYaFEHUPP6WozxKecPCD55NZAI71A2Pz?usp=drive_link" TargetMode="External"/><Relationship Id="rId1544" Type="http://schemas.openxmlformats.org/officeDocument/2006/relationships/hyperlink" Target="https://www.vidio.com/live/19386-bri-super-league?schedule_id=4501347" TargetMode="External"/><Relationship Id="rId8157" Type="http://schemas.openxmlformats.org/officeDocument/2006/relationships/hyperlink" Target="https://drive.google.com/drive/u/0/folders/1niHIM11tk0pk_v-vXGhuXQhBt9qa7H1O" TargetMode="External"/><Relationship Id="rId9208" Type="http://schemas.openxmlformats.org/officeDocument/2006/relationships/hyperlink" Target="https://drive.google.com/file/d/1bGAtWdCSL-v2iZg1GvRoYwXZwXVqVH3x/view?usp=drive_link" TargetMode="External"/><Relationship Id="rId10087" Type="http://schemas.openxmlformats.org/officeDocument/2006/relationships/hyperlink" Target="https://drive.google.com/file/d/1-2hkI2XHUlr8ualVIHepqVPrH6vbzZv4/view?usp=sharing" TargetMode="External"/><Relationship Id="rId11138" Type="http://schemas.openxmlformats.org/officeDocument/2006/relationships/hyperlink" Target="https://www.vidio.com/live/20249-fa-cup-2025-26?schedule_id=4833945" TargetMode="External"/><Relationship Id="rId4767" Type="http://schemas.openxmlformats.org/officeDocument/2006/relationships/hyperlink" Target="https://drive.google.com/drive/folders/18S9PUe5cufwDDzyefD_fHMbOGfBpzUxO?usp=drive_link" TargetMode="External"/><Relationship Id="rId5818" Type="http://schemas.openxmlformats.org/officeDocument/2006/relationships/hyperlink" Target="https://drive.google.com/file/d/1BQ8CwIZbam44UDfOcN3xlgXqXOjxz0ID/view?usp=sharing" TargetMode="External"/><Relationship Id="rId3369" Type="http://schemas.openxmlformats.org/officeDocument/2006/relationships/hyperlink" Target="https://www.vidio.com/live/19355-bri-super-league?schedule_id=4515877" TargetMode="External"/><Relationship Id="rId7240" Type="http://schemas.openxmlformats.org/officeDocument/2006/relationships/hyperlink" Target="https://drive.google.com/drive/folders/1LiqE1rSncMJjnxCNuQI_mD7A8eO4Lsag?usp=drive_link" TargetMode="External"/><Relationship Id="rId10221" Type="http://schemas.openxmlformats.org/officeDocument/2006/relationships/hyperlink" Target="https://drive.google.com/file/d/1J60Unq0JnW0mo1jPSybyrJANOgE-EURs/view?usp=sharing" TargetMode="External"/><Relationship Id="rId3850" Type="http://schemas.openxmlformats.org/officeDocument/2006/relationships/hyperlink" Target="https://drive.google.com/file/d/11kE9JWUgOyEZjigF0ZbrDz6qa7lGXG-j/view?usp=sharing" TargetMode="External"/><Relationship Id="rId4901" Type="http://schemas.openxmlformats.org/officeDocument/2006/relationships/hyperlink" Target="https://www.vidio.com/live/20109-serie-a?schedule_id=4833783" TargetMode="External"/><Relationship Id="rId9065" Type="http://schemas.openxmlformats.org/officeDocument/2006/relationships/hyperlink" Target="https://drive.google.com/file/d/1jq-YwaQhpVqJfvyob6hBQ3YexsxVzFbj/view?usp=sharing" TargetMode="External"/><Relationship Id="rId12393" Type="http://schemas.openxmlformats.org/officeDocument/2006/relationships/hyperlink" Target="https://drive.google.com/file/d/1eYrHSZhFd95KyhXxrabgACyw4RU-iuHU/view?usp=sharing" TargetMode="External"/><Relationship Id="rId771" Type="http://schemas.openxmlformats.org/officeDocument/2006/relationships/hyperlink" Target="https://drive.google.com/file/d/1wAsXxCUY1MbSvJ8F9rutwb9u9MqysTg0/view?usp=sharing" TargetMode="External"/><Relationship Id="rId2452" Type="http://schemas.openxmlformats.org/officeDocument/2006/relationships/hyperlink" Target="https://www.vidio.com/live/6299-bein-1?schedule_id=4569125" TargetMode="External"/><Relationship Id="rId3503" Type="http://schemas.openxmlformats.org/officeDocument/2006/relationships/hyperlink" Target="https://www.vidio.com/live/18739-liga-portugal?schedule_id=4630482" TargetMode="External"/><Relationship Id="rId12046" Type="http://schemas.openxmlformats.org/officeDocument/2006/relationships/hyperlink" Target="https://www.vidio.com/live/18250-petronas-malaysia-open-2026-round-of-16-court-2?schedule_id=4832335" TargetMode="External"/><Relationship Id="rId424" Type="http://schemas.openxmlformats.org/officeDocument/2006/relationships/hyperlink" Target="https://drive.google.com/drive/folders/1HAHXgmpUJc29YOD8xWSMgQyRhfXuT8Vy" TargetMode="External"/><Relationship Id="rId1054" Type="http://schemas.openxmlformats.org/officeDocument/2006/relationships/hyperlink" Target="https://drive.google.com/file/d/16Q3gD6Qxv6un5KccLlVSnph2I-cHi-fH/view?usp=sharing" TargetMode="External"/><Relationship Id="rId2105" Type="http://schemas.openxmlformats.org/officeDocument/2006/relationships/hyperlink" Target="https://drive.google.com/drive/folders/1Qvp_51dZaxDUZY0OiL6lirqpxCn0VVeQ?usp=drive_link" TargetMode="External"/><Relationship Id="rId5675" Type="http://schemas.openxmlformats.org/officeDocument/2006/relationships/hyperlink" Target="https://drive.google.com/drive/folders/1-v2k9mkE5Wr7vtcZPt5z5lBJb1kpLRxM?usp=drive_link" TargetMode="External"/><Relationship Id="rId6726" Type="http://schemas.openxmlformats.org/officeDocument/2006/relationships/hyperlink" Target="https://drive.google.com/drive/folders/1avxBDHOSpSGP6mC0dyYR2HlimraYRR3w" TargetMode="External"/><Relationship Id="rId4277" Type="http://schemas.openxmlformats.org/officeDocument/2006/relationships/hyperlink" Target="https://drive.google.com/file/d/1D3uyHvcplUteF5A9hux_qWGECaTdsTKO/view?usp=sharing" TargetMode="External"/><Relationship Id="rId5328" Type="http://schemas.openxmlformats.org/officeDocument/2006/relationships/hyperlink" Target="https://drive.google.com/file/d/1LBn8o7SXQCjq64muzRyC28RybwLD_HiB/view?usp=sharing" TargetMode="External"/><Relationship Id="rId8898" Type="http://schemas.openxmlformats.org/officeDocument/2006/relationships/hyperlink" Target="https://thumbor.prod.vidiocdn.com/3BUNngBIjILB6kzIC-yElw_Z8R8=/filters:quality(70)/vidio-media-production/uploads/image/source/52038/4204b3.png" TargetMode="External"/><Relationship Id="rId9949" Type="http://schemas.openxmlformats.org/officeDocument/2006/relationships/hyperlink" Target="https://drive.google.com/file/d/1wI52InKxkBbjCmDjIhmjVvZAzRyqbZlC/view?usp=sharing" TargetMode="External"/><Relationship Id="rId11879" Type="http://schemas.openxmlformats.org/officeDocument/2006/relationships/hyperlink" Target="https://drive.google.com/file/d/1_VFmtjeoa1jB6YMFl35R4XO6xs8PdX7H/view?usp=sharing" TargetMode="External"/><Relationship Id="rId1938" Type="http://schemas.openxmlformats.org/officeDocument/2006/relationships/hyperlink" Target="https://www.vidio.com/live/19354-bri-super-league?schedule_id=4670655" TargetMode="External"/><Relationship Id="rId3360" Type="http://schemas.openxmlformats.org/officeDocument/2006/relationships/hyperlink" Target="https://drive.google.com/file/d/19MZz7jEXBIKoLc_4u5Ru8o4J-uugHGS4/view?usp=drive_link" TargetMode="External"/><Relationship Id="rId281" Type="http://schemas.openxmlformats.org/officeDocument/2006/relationships/hyperlink" Target="https://drive.google.com/file/d/1G0UKOEErxgJ5B7_2vz2IV3_XWa5jsO19/view?usp=sharing" TargetMode="External"/><Relationship Id="rId3013" Type="http://schemas.openxmlformats.org/officeDocument/2006/relationships/hyperlink" Target="https://drive.google.com/file/d/1pVPe84eDWAata9sJo5C8JYNX9oPlNAgu/view?usp=sharing" TargetMode="External"/><Relationship Id="rId4411" Type="http://schemas.openxmlformats.org/officeDocument/2006/relationships/hyperlink" Target="https://drive.google.com/file/d/1gdP72r-eC9DbAlR7RgobEDU-TcIGYdvI/view?usp=sharing" TargetMode="External"/><Relationship Id="rId7981" Type="http://schemas.openxmlformats.org/officeDocument/2006/relationships/hyperlink" Target="https://drive.google.com/drive/folders/1NavhdivPIHk-_4g-G4hE_gu9wPr8jwOl?usp=drive_link" TargetMode="External"/><Relationship Id="rId10962" Type="http://schemas.openxmlformats.org/officeDocument/2006/relationships/hyperlink" Target="https://www.vidio.com/live/18189-champions-golf-1?schedule_id=4783753" TargetMode="External"/><Relationship Id="rId6583" Type="http://schemas.openxmlformats.org/officeDocument/2006/relationships/hyperlink" Target="https://drive.google.com/file/d/12eS6Yy2Ut6erBdqS_4ALZqle6xQ4H6PH/view?usp=sharing" TargetMode="External"/><Relationship Id="rId7634" Type="http://schemas.openxmlformats.org/officeDocument/2006/relationships/hyperlink" Target="https://drive.google.com/drive/folders/1vcIMXA-qLuh5rc3lkbfax1Hnw_k7WAgC?usp=drive_link" TargetMode="External"/><Relationship Id="rId10615" Type="http://schemas.openxmlformats.org/officeDocument/2006/relationships/hyperlink" Target="https://www.vidio.com/live/20066-top-soccer-championship-2025-final-cup-dan-plate-u-14-dan-u-15?schedule_id=4776337" TargetMode="External"/><Relationship Id="rId5185" Type="http://schemas.openxmlformats.org/officeDocument/2006/relationships/hyperlink" Target="https://drive.google.com/file/d/1zLtUAsK7phKUQC4wkIcJNlSTMFDc3OsT/view?usp=sharing" TargetMode="External"/><Relationship Id="rId6236" Type="http://schemas.openxmlformats.org/officeDocument/2006/relationships/hyperlink" Target="https://drive.google.com/file/d/175-aD-wnCnV7TJ3seSIVXw-I9jjnGJM7/view?usp=sharing" TargetMode="External"/><Relationship Id="rId1795" Type="http://schemas.openxmlformats.org/officeDocument/2006/relationships/hyperlink" Target="https://drive.google.com/file/d/1CXoas7ll4RTjCmatzMERwMBlLFwcvB2x/view?usp=drive_link" TargetMode="External"/><Relationship Id="rId2846" Type="http://schemas.openxmlformats.org/officeDocument/2006/relationships/hyperlink" Target="https://drive.google.com/file/d/1odU7_jAyNfQS3-PTolECHjwuD5mN-map/view?usp=sharing" TargetMode="External"/><Relationship Id="rId9459" Type="http://schemas.openxmlformats.org/officeDocument/2006/relationships/hyperlink" Target="https://drive.google.com/file/d/1sMsNza5GGdbbrRFQBfs_cV24jz52Iovd/view?usp=sharing" TargetMode="External"/><Relationship Id="rId11389" Type="http://schemas.openxmlformats.org/officeDocument/2006/relationships/hyperlink" Target="https://drive.google.com/file/d/1bGAtWdCSL-v2iZg1GvRoYwXZwXVqVH3x/view?usp=sharing" TargetMode="External"/><Relationship Id="rId818" Type="http://schemas.openxmlformats.org/officeDocument/2006/relationships/hyperlink" Target="https://drive.google.com/file/d/1yMbn8ASwGmRgQtqwq6Su1oXUmwUhl3m4/view?usp=sharing" TargetMode="External"/><Relationship Id="rId1448" Type="http://schemas.openxmlformats.org/officeDocument/2006/relationships/hyperlink" Target="https://drive.google.com/file/d/1GCkaBSZeCeX3PKDab0mImH-nqPo8HRXS/view?usp=drive_link" TargetMode="External"/><Relationship Id="rId7491" Type="http://schemas.openxmlformats.org/officeDocument/2006/relationships/hyperlink" Target="https://drive.google.com/file/d/1DNux4glLBnqI-DzUHKvsJVIQIe0fQ_QF/view?usp=sharing" TargetMode="External"/><Relationship Id="rId9940" Type="http://schemas.openxmlformats.org/officeDocument/2006/relationships/hyperlink" Target="https://www.vidio.com/live/19355-bri-super-league?schedule_id=4739845" TargetMode="External"/><Relationship Id="rId11870" Type="http://schemas.openxmlformats.org/officeDocument/2006/relationships/hyperlink" Target="https://drive.google.com/file/d/1_VFmtjeoa1jB6YMFl35R4XO6xs8PdX7H/view?usp=sharing" TargetMode="External"/><Relationship Id="rId6093" Type="http://schemas.openxmlformats.org/officeDocument/2006/relationships/hyperlink" Target="https://drive.google.com/drive/folders/17NzBuUzKZDb7AwM-2Tnxet4E7NOesuxv?usp=drive_link" TargetMode="External"/><Relationship Id="rId7144" Type="http://schemas.openxmlformats.org/officeDocument/2006/relationships/hyperlink" Target="https://drive.google.com/file/d/1MefHN5AIMcMQf3GjZWpIzAB34--pIwTF/view?usp=drive_link" TargetMode="External"/><Relationship Id="rId8542" Type="http://schemas.openxmlformats.org/officeDocument/2006/relationships/hyperlink" Target="https://drive.google.com/file/d/10n0BK_Lz4nyquOGHRawKBnsy-GQVwHcY/view?usp=sharing" TargetMode="External"/><Relationship Id="rId10472" Type="http://schemas.openxmlformats.org/officeDocument/2006/relationships/hyperlink" Target="https://drive.google.com/file/d/1DNux4glLBnqI-DzUHKvsJVIQIe0fQ_QF/view?usp=sharing" TargetMode="External"/><Relationship Id="rId11523" Type="http://schemas.openxmlformats.org/officeDocument/2006/relationships/hyperlink" Target="https://drive.google.com/drive/folders/14VQ0LB4XYLrhKu4zCXcWghRmaCQmT_IB?usp=drive_link" TargetMode="External"/><Relationship Id="rId10125" Type="http://schemas.openxmlformats.org/officeDocument/2006/relationships/hyperlink" Target="https://www.vidio.com/live/19997-top-soccer-championship-2025-u-13-u-14?schedule_id=4743077" TargetMode="External"/><Relationship Id="rId3754" Type="http://schemas.openxmlformats.org/officeDocument/2006/relationships/hyperlink" Target="https://drive.google.com/drive/folders/1il2dpdnsjsOP_NtcK9Rtu9tVfsgNLDOB?usp=drive_link" TargetMode="External"/><Relationship Id="rId4805" Type="http://schemas.openxmlformats.org/officeDocument/2006/relationships/hyperlink" Target="https://thumbor.prod.vidiocdn.com/vGpci03qnn20WwVNn7BhvFXRmts=/filters:quality(70)/vidio-media-production/uploads/image/source/52575/da46ba.png" TargetMode="External"/><Relationship Id="rId12297" Type="http://schemas.openxmlformats.org/officeDocument/2006/relationships/hyperlink" Target="https://www.vidio.com/live/20280?schedule_id=4833892" TargetMode="External"/><Relationship Id="rId675" Type="http://schemas.openxmlformats.org/officeDocument/2006/relationships/hyperlink" Target="https://drive.google.com/file/d/1bnWiQZAE3DP6nN-h99KDYmjlug6it3dN/view?usp=sharing" TargetMode="External"/><Relationship Id="rId2356" Type="http://schemas.openxmlformats.org/officeDocument/2006/relationships/hyperlink" Target="https://drive.google.com/drive/folders/1-l7TMByftrPJUIF4VRNtXvTuxRcOk3lH?usp=drive_link" TargetMode="External"/><Relationship Id="rId3407" Type="http://schemas.openxmlformats.org/officeDocument/2006/relationships/hyperlink" Target="https://drive.google.com/drive/folders/1tRc6RYTjNNu4WrQSbkqea_gh3o1HB_wu" TargetMode="External"/><Relationship Id="rId6977" Type="http://schemas.openxmlformats.org/officeDocument/2006/relationships/hyperlink" Target="https://drive.google.com/drive/folders/1DrC8qLJsnWpWI-tZeb27fP__uEuayVNN?usp=drive_link" TargetMode="External"/><Relationship Id="rId328" Type="http://schemas.openxmlformats.org/officeDocument/2006/relationships/hyperlink" Target="https://drive.google.com/drive/folders/16KPsK9K0mVahy0NKMh1LLjDSdQ-qrIKf?usp=drive_link" TargetMode="External"/><Relationship Id="rId2009" Type="http://schemas.openxmlformats.org/officeDocument/2006/relationships/hyperlink" Target="https://drive.google.com/drive/folders/1optd-2RU3SbMQdA8VEa1i6idlXkstLVg" TargetMode="External"/><Relationship Id="rId5579" Type="http://schemas.openxmlformats.org/officeDocument/2006/relationships/hyperlink" Target="https://drive.google.com/file/d/1SOnHPrd25Ns-PCi2dMm20P8sIdmlsN-A/view?usp=sharing" TargetMode="External"/><Relationship Id="rId9450" Type="http://schemas.openxmlformats.org/officeDocument/2006/relationships/hyperlink" Target="https://www.vidio.com/live/19883-pegadaian-championship-2025-26?schedule_id=4832540" TargetMode="External"/><Relationship Id="rId8052" Type="http://schemas.openxmlformats.org/officeDocument/2006/relationships/hyperlink" Target="https://drive.google.com/file/d/1Ho7utgpjqh9bv6FElLjSa9yvL49IBU41/view?usp=drive_link" TargetMode="External"/><Relationship Id="rId9103" Type="http://schemas.openxmlformats.org/officeDocument/2006/relationships/hyperlink" Target="https://drive.google.com/file/d/1niEZWzdGvrdKtJKDSCPkZy1svxueoVVC/view?usp=sharing" TargetMode="External"/><Relationship Id="rId11033" Type="http://schemas.openxmlformats.org/officeDocument/2006/relationships/hyperlink" Target="https://thumbor.prod.vidiocdn.com/X4hOUOiw_KrQpu2g_jnn825l6Zc=/filters:quality(70)/vidio-media-production/uploads/image/source/53180/6a5f33.png" TargetMode="External"/><Relationship Id="rId11380" Type="http://schemas.openxmlformats.org/officeDocument/2006/relationships/hyperlink" Target="https://www.vidio.com/live/20112-grand-final-top-soccer-championship-u-13" TargetMode="External"/><Relationship Id="rId12431" Type="http://schemas.openxmlformats.org/officeDocument/2006/relationships/hyperlink" Target="https://www.vidio.com/live/20283?schedule_id=4834233" TargetMode="External"/><Relationship Id="rId4662" Type="http://schemas.openxmlformats.org/officeDocument/2006/relationships/hyperlink" Target="https://www.vidio.com/live/19404-serie-a?schedule_id=4773709" TargetMode="External"/><Relationship Id="rId5713" Type="http://schemas.openxmlformats.org/officeDocument/2006/relationships/hyperlink" Target="https://drive.google.com/file/d/1rzyhCx0_-eGBBQD69eLWJwLaP8zsx7VE/view?usp=drive_link" TargetMode="External"/><Relationship Id="rId185" Type="http://schemas.openxmlformats.org/officeDocument/2006/relationships/hyperlink" Target="https://drive.google.com/drive/folders/1_kBoeAgz8rQAHCZVqRAde3Uz_KVNqRHd?usp=drive_link" TargetMode="External"/><Relationship Id="rId3264" Type="http://schemas.openxmlformats.org/officeDocument/2006/relationships/hyperlink" Target="https://drive.google.com/file/d/1FeW1Uilp5EgWFKv19Qu6mDQaugrt5f8x/view?usp=sharing" TargetMode="External"/><Relationship Id="rId4315" Type="http://schemas.openxmlformats.org/officeDocument/2006/relationships/hyperlink" Target="https://www.vidio.com/live/17939-serie-a?schedule_id=4667523" TargetMode="External"/><Relationship Id="rId7885" Type="http://schemas.openxmlformats.org/officeDocument/2006/relationships/hyperlink" Target="https://drive.google.com/file/d/1Syk0enx09jcMmgxB9ObvgSNeyAsikGCF/view?usp=sharing" TargetMode="External"/><Relationship Id="rId8936" Type="http://schemas.openxmlformats.org/officeDocument/2006/relationships/hyperlink" Target="https://www.vidio.com/live/6685-champions-tv-1?schedule_id=4726074" TargetMode="External"/><Relationship Id="rId10866" Type="http://schemas.openxmlformats.org/officeDocument/2006/relationships/hyperlink" Target="https://www.vidio.com/live/18249-hsbc-bwf-world-tour-finals-2025-group-stage-court-1?schedule_id=4781727" TargetMode="External"/><Relationship Id="rId6487" Type="http://schemas.openxmlformats.org/officeDocument/2006/relationships/hyperlink" Target="https://drive.google.com/file/d/1DwLKndndXYFO_AqY165nqz7gdU60W4eg/view?usp=sharing" TargetMode="External"/><Relationship Id="rId7538" Type="http://schemas.openxmlformats.org/officeDocument/2006/relationships/hyperlink" Target="https://drive.google.com/file/d/132cRpI3M5tjHgOPzqBFXB3BtGTelZ-T0/view?usp=sharing" TargetMode="External"/><Relationship Id="rId10519" Type="http://schemas.openxmlformats.org/officeDocument/2006/relationships/hyperlink" Target="https://drive.google.com/file/d/1E3TSAzpio2AHS879oM6Ej1S3wI8lDCZj/view?usp=sharing" TargetMode="External"/><Relationship Id="rId11917" Type="http://schemas.openxmlformats.org/officeDocument/2006/relationships/hyperlink" Target="https://drive.google.com/drive/folders/1gqnmBiDc9HaK7fTi5sC9yJeePuPZJkd8?usp=drive_link" TargetMode="External"/><Relationship Id="rId5089" Type="http://schemas.openxmlformats.org/officeDocument/2006/relationships/hyperlink" Target="https://drive.google.com/file/d/1-4uixG2ingiRLIKbNVz6a6CCr8k9AWsR/view?usp=sharing" TargetMode="External"/><Relationship Id="rId1699" Type="http://schemas.openxmlformats.org/officeDocument/2006/relationships/hyperlink" Target="https://drive.google.com/file/d/1AYgnLk_P-0EZLEE0X8vpAvyAP1lsZoB9/view?usp=drive_link" TargetMode="External"/><Relationship Id="rId2000" Type="http://schemas.openxmlformats.org/officeDocument/2006/relationships/hyperlink" Target="https://drive.google.com/file/d/1gZHNSDYUKNirTIBHA-dJi2Ph8P739Btq/view?usp=sharing" TargetMode="External"/><Relationship Id="rId5570" Type="http://schemas.openxmlformats.org/officeDocument/2006/relationships/hyperlink" Target="https://drive.google.com/file/d/1y0uxRaeGqqhAudbmJUZ46Mtljx7ixFbw/view?usp=sharing" TargetMode="External"/><Relationship Id="rId4172" Type="http://schemas.openxmlformats.org/officeDocument/2006/relationships/hyperlink" Target="https://www.vidio.com/live/17939-serie-a?schedule_id=4626137" TargetMode="External"/><Relationship Id="rId5223" Type="http://schemas.openxmlformats.org/officeDocument/2006/relationships/hyperlink" Target="https://drive.google.com/drive/folders/1UJh6Ohrk8ICltqRuS2ZUbx-5nOk1lSCs" TargetMode="External"/><Relationship Id="rId6621" Type="http://schemas.openxmlformats.org/officeDocument/2006/relationships/hyperlink" Target="https://drive.google.com/file/d/1E5gkHNCHNfeo2-jBzMrIu8GX7ynx3a11/view?usp=sharing" TargetMode="External"/><Relationship Id="rId8793" Type="http://schemas.openxmlformats.org/officeDocument/2006/relationships/hyperlink" Target="https://www.vidio.com/live/17875-bein-2?schedule_id=4707851" TargetMode="External"/><Relationship Id="rId9844" Type="http://schemas.openxmlformats.org/officeDocument/2006/relationships/hyperlink" Target="https://drive.google.com/file/d/1bGAtWdCSL-v2iZg1GvRoYwXZwXVqVH3x/view?usp=sharing" TargetMode="External"/><Relationship Id="rId11774" Type="http://schemas.openxmlformats.org/officeDocument/2006/relationships/hyperlink" Target="https://drive.google.com/file/d/1BL_r47vuUPDeLnyCxu6_tb7PZ72k3cUh/view?usp=sharing" TargetMode="External"/><Relationship Id="rId58" Type="http://schemas.openxmlformats.org/officeDocument/2006/relationships/hyperlink" Target="https://www.vidio.com/live/18832-sirkuit-nasional-bulutangkis-2025-solo-final?schedule_id=4367069" TargetMode="External"/><Relationship Id="rId1833" Type="http://schemas.openxmlformats.org/officeDocument/2006/relationships/hyperlink" Target="https://drive.google.com/drive/folders/1RvmcsooJ69zU27M4FAMAu6T0D8bA8iL7" TargetMode="External"/><Relationship Id="rId7048" Type="http://schemas.openxmlformats.org/officeDocument/2006/relationships/hyperlink" Target="https://drive.google.com/file/d/1JWLs67Lo9wenvX8fFxMeeHjjRmLTQKDh/view?usp=drive_link" TargetMode="External"/><Relationship Id="rId7395" Type="http://schemas.openxmlformats.org/officeDocument/2006/relationships/hyperlink" Target="https://drive.google.com/file/d/1eeFcjlU2AxpsQrRnEjnpUIF_Fuqp9_86/view?usp=drive_link" TargetMode="External"/><Relationship Id="rId8446" Type="http://schemas.openxmlformats.org/officeDocument/2006/relationships/hyperlink" Target="https://drive.google.com/file/d/1XF3sIMop5vOREQihzYNw68d3vT6hRIOa/view?usp=sharing" TargetMode="External"/><Relationship Id="rId10376" Type="http://schemas.openxmlformats.org/officeDocument/2006/relationships/hyperlink" Target="https://drive.google.com/file/d/1A_a1V6m39vtVyhpvsfAOV0cG8qQnuLQn/view?usp=sharing" TargetMode="External"/><Relationship Id="rId11427" Type="http://schemas.openxmlformats.org/officeDocument/2006/relationships/hyperlink" Target="https://drive.google.com/file/d/1EqAGqndjsd7teOWXMTWpvVaNXNUriGIf/view?usp=sharing" TargetMode="External"/><Relationship Id="rId10029" Type="http://schemas.openxmlformats.org/officeDocument/2006/relationships/hyperlink" Target="https://thumbor.prod.vidiocdn.com/MTGeTjE8eQp_Qcxxb7qlzOkjF4Y=/filters:quality(70)/vidio-media-production/uploads/image/source/52658/80a923.png" TargetMode="External"/><Relationship Id="rId3658" Type="http://schemas.openxmlformats.org/officeDocument/2006/relationships/hyperlink" Target="https://www.vidio.com/live/19436-eredivisie?schedule_id=4516130" TargetMode="External"/><Relationship Id="rId4709" Type="http://schemas.openxmlformats.org/officeDocument/2006/relationships/hyperlink" Target="https://drive.google.com/file/d/1JeJYNCSuVD7pru_KZ-GZkMLSIj3Whv53/view?usp=drive_link" TargetMode="External"/><Relationship Id="rId579" Type="http://schemas.openxmlformats.org/officeDocument/2006/relationships/hyperlink" Target="https://drive.google.com/file/d/1_KIurZJvzMmm_F4NybbMIqRZeiBNdwxw/view?usp=sharing" TargetMode="External"/><Relationship Id="rId5080" Type="http://schemas.openxmlformats.org/officeDocument/2006/relationships/hyperlink" Target="https://drive.google.com/drive/folders/1iXXXI8AUN2qzP-l9i7Vb4Z_ch9sn0od-" TargetMode="External"/><Relationship Id="rId6131" Type="http://schemas.openxmlformats.org/officeDocument/2006/relationships/hyperlink" Target="https://drive.google.com/drive/folders/1z0QSLmNvSJyyT8FLEYRkw6ibg9dSBAVC" TargetMode="External"/><Relationship Id="rId10510" Type="http://schemas.openxmlformats.org/officeDocument/2006/relationships/hyperlink" Target="https://drive.google.com/drive/folders/1MaMuFvTp6hoODW9LEZw25qtGAaD6Vrxx?usp=drive_link" TargetMode="External"/><Relationship Id="rId9354" Type="http://schemas.openxmlformats.org/officeDocument/2006/relationships/hyperlink" Target="https://drive.google.com/drive/folders/1kbVmJjEuh5TT2Za364wVIPntEPfwQZu0" TargetMode="External"/><Relationship Id="rId1690" Type="http://schemas.openxmlformats.org/officeDocument/2006/relationships/hyperlink" Target="https://drive.google.com/drive/folders/1ujHQ4IbEycIeBiEJ6y7l69KXrMGhTzie" TargetMode="External"/><Relationship Id="rId2741" Type="http://schemas.openxmlformats.org/officeDocument/2006/relationships/hyperlink" Target="https://www.vidio.com/live/6317-bein-3?schedule_id=4665864" TargetMode="External"/><Relationship Id="rId9007" Type="http://schemas.openxmlformats.org/officeDocument/2006/relationships/hyperlink" Target="https://drive.google.com/file/d/1BnKaOeOGk-iLt8_tgYE153E_786c57vZ/view?usp=sharing" TargetMode="External"/><Relationship Id="rId11284" Type="http://schemas.openxmlformats.org/officeDocument/2006/relationships/hyperlink" Target="https://thumbor.prod.vidiocdn.com/mKf06lDJ1xB8GfuoEqcItwwT47Q=/filters:quality(70)/vidio-media-production/uploads/image/source/52459/0d0a39.png" TargetMode="External"/><Relationship Id="rId12335" Type="http://schemas.openxmlformats.org/officeDocument/2006/relationships/hyperlink" Target="https://drive.google.com/file/d/17nqJ8YbOWxi4DOQmMA4_VvY1qMuE4tM4/view?usp=drive_link" TargetMode="External"/><Relationship Id="rId713" Type="http://schemas.openxmlformats.org/officeDocument/2006/relationships/hyperlink" Target="https://drive.google.com/file/d/1g5bn27ViO4BrdGUpfYbgYd8ScewjDePn/view?usp=sharing" TargetMode="External"/><Relationship Id="rId1343" Type="http://schemas.openxmlformats.org/officeDocument/2006/relationships/hyperlink" Target="https://drive.google.com/drive/folders/1LuxZ_sFvW4OpHLHwr_N1EPpdItPfXoCI?usp=drive_link" TargetMode="External"/><Relationship Id="rId5964" Type="http://schemas.openxmlformats.org/officeDocument/2006/relationships/hyperlink" Target="https://www.vidio.com/live/19603-uefa-europa-league?schedule_id=4739857" TargetMode="External"/><Relationship Id="rId1410" Type="http://schemas.openxmlformats.org/officeDocument/2006/relationships/hyperlink" Target="https://drive.google.com/file/d/1naDbEVb8DIWioACbkKStcV6uzWqO7ydi/view?usp=sharing" TargetMode="External"/><Relationship Id="rId4566" Type="http://schemas.openxmlformats.org/officeDocument/2006/relationships/hyperlink" Target="https://www.vidio.com/live/17938-serie-a?schedule_id=4741004" TargetMode="External"/><Relationship Id="rId4980" Type="http://schemas.openxmlformats.org/officeDocument/2006/relationships/hyperlink" Target="https://drive.google.com/drive/folders/151A1-q01f6XVkW3iZk5ETsqG8LKnP8jZ" TargetMode="External"/><Relationship Id="rId5617" Type="http://schemas.openxmlformats.org/officeDocument/2006/relationships/hyperlink" Target="https://drive.google.com/drive/folders/1Pp9o6rKbO8i2pE96G69ohfDJtBgQ5Ci6?usp=drive_link" TargetMode="External"/><Relationship Id="rId8023" Type="http://schemas.openxmlformats.org/officeDocument/2006/relationships/hyperlink" Target="https://drive.google.com/file/d/1GUVhDckZ63ciw8DgeC44BaUs-R0m27Pe/view?usp=sharing" TargetMode="External"/><Relationship Id="rId11004" Type="http://schemas.openxmlformats.org/officeDocument/2006/relationships/hyperlink" Target="https://thumbor.prod.vidiocdn.com/KcGAyZn2PE50tIsfNoGJe3rovCk=/filters:quality(70)/vidio-media-production/uploads/image/source/53149/56c5a2.png" TargetMode="External"/><Relationship Id="rId3168" Type="http://schemas.openxmlformats.org/officeDocument/2006/relationships/hyperlink" Target="https://www.vidio.com/live/6299-bein-1?schedule_id=4784752" TargetMode="External"/><Relationship Id="rId3582" Type="http://schemas.openxmlformats.org/officeDocument/2006/relationships/hyperlink" Target="https://drive.google.com/file/d/1rOfZ78IJ9iu8948rYdRbKvd-C0_Ocw0u/view?usp=share_link" TargetMode="External"/><Relationship Id="rId4219" Type="http://schemas.openxmlformats.org/officeDocument/2006/relationships/hyperlink" Target="https://www.vidio.com/live/19404-serie-a?schedule_id=4660115" TargetMode="External"/><Relationship Id="rId4633" Type="http://schemas.openxmlformats.org/officeDocument/2006/relationships/hyperlink" Target="https://drive.google.com/file/d/1dWXjeOIxJU6XZmMa8IqgGdxtrBTd9_o3/view?usp=sharing" TargetMode="External"/><Relationship Id="rId7789" Type="http://schemas.openxmlformats.org/officeDocument/2006/relationships/hyperlink" Target="https://drive.google.com/drive/folders/1KXvq6Tj7YzC1kLe-iEMUr7IF6pw227p4?usp=drive_link" TargetMode="External"/><Relationship Id="rId10020" Type="http://schemas.openxmlformats.org/officeDocument/2006/relationships/hyperlink" Target="https://thumbor.prod.vidiocdn.com/Km91B9YSIVUat_xzn0JRavW-vtA=/filters:quality(70)/vidio-media-production/uploads/image/source/52654/235262.png" TargetMode="External"/><Relationship Id="rId2184" Type="http://schemas.openxmlformats.org/officeDocument/2006/relationships/hyperlink" Target="https://drive.google.com/file/d/1fx4aVH898TZ06obrjHmbNqR-te9U5S3V/view?usp=drive_link" TargetMode="External"/><Relationship Id="rId3235" Type="http://schemas.openxmlformats.org/officeDocument/2006/relationships/hyperlink" Target="https://drive.google.com/drive/folders/1YGaWS0t17BznBk04AlCiU6-dS0-Dy3ln?usp=drive_link" TargetMode="External"/><Relationship Id="rId7856" Type="http://schemas.openxmlformats.org/officeDocument/2006/relationships/hyperlink" Target="https://www.vidio.com/live/19355-bri-super-league?schedule_id=4653437" TargetMode="External"/><Relationship Id="rId12192" Type="http://schemas.openxmlformats.org/officeDocument/2006/relationships/hyperlink" Target="https://drive.google.com/file/d/17nqJ8YbOWxi4DOQmMA4_VvY1qMuE4tM4/view?usp=sharing" TargetMode="External"/><Relationship Id="rId156" Type="http://schemas.openxmlformats.org/officeDocument/2006/relationships/hyperlink" Target="https://drive.google.com/drive/folders/1ZnBlExIc16jpQRJ5yiF_rjC2Vw5bQFo5?usp=drive_link" TargetMode="External"/><Relationship Id="rId570" Type="http://schemas.openxmlformats.org/officeDocument/2006/relationships/hyperlink" Target="https://drive.google.com/file/d/1Dx3Alq39U89bPKu9R_s0uTxuYEv1-N1l/view?usp=sharing" TargetMode="External"/><Relationship Id="rId2251" Type="http://schemas.openxmlformats.org/officeDocument/2006/relationships/hyperlink" Target="https://www.vidio.com/live/6299-bein-1?schedule_id=4499131" TargetMode="External"/><Relationship Id="rId3302" Type="http://schemas.openxmlformats.org/officeDocument/2006/relationships/hyperlink" Target="https://drive.google.com/drive/folders/1AMoXgUsWPgedrAMobm7FnsxQskXdhaxQ?usp=drive_link" TargetMode="External"/><Relationship Id="rId4700" Type="http://schemas.openxmlformats.org/officeDocument/2006/relationships/hyperlink" Target="https://drive.google.com/file/d/18n2SrB4BQ0FTG77XVn8_O3RjTGdRTMMj/view?usp=sharing" TargetMode="External"/><Relationship Id="rId6458" Type="http://schemas.openxmlformats.org/officeDocument/2006/relationships/hyperlink" Target="https://www.vidio.com/live/19646-uefa-conference-league?schedule_id=4734910" TargetMode="External"/><Relationship Id="rId7509" Type="http://schemas.openxmlformats.org/officeDocument/2006/relationships/hyperlink" Target="https://drive.google.com/file/d/1GsglBd9LbMGpRx46UKG3tsRuzK5RA2_1/view?usp=sharing" TargetMode="External"/><Relationship Id="rId8907" Type="http://schemas.openxmlformats.org/officeDocument/2006/relationships/hyperlink" Target="https://drive.google.com/drive/folders/11Jbu13PVfZLlwxG6vBEQbWAprco8ymIp?usp=drive_link" TargetMode="External"/><Relationship Id="rId10837" Type="http://schemas.openxmlformats.org/officeDocument/2006/relationships/hyperlink" Target="https://drive.google.com/file/d/1ehPHlNfv24yKS4qwWvbp5EP5ggNmJREB/view?usp=sharing" TargetMode="External"/><Relationship Id="rId223" Type="http://schemas.openxmlformats.org/officeDocument/2006/relationships/hyperlink" Target="https://drive.google.com/file/d/1Go9WU5rxAyr_pw0usi7ApAWJy4irjxJY/view?usp=sharing" TargetMode="External"/><Relationship Id="rId6872" Type="http://schemas.openxmlformats.org/officeDocument/2006/relationships/hyperlink" Target="https://drive.google.com/drive/folders/1XYl_mn2rFhoLACkHt_pIdbhv4BxhaPDa?usp=drive_link" TargetMode="External"/><Relationship Id="rId7923" Type="http://schemas.openxmlformats.org/officeDocument/2006/relationships/hyperlink" Target="https://www.vidio.com/live/19623-national-football-league-2025-26?schedule_id=4640076" TargetMode="External"/><Relationship Id="rId10904" Type="http://schemas.openxmlformats.org/officeDocument/2006/relationships/hyperlink" Target="https://drive.google.com/file/d/1-R1GXwqAiJezdAi5KNKX4MkT2UUxUbzn/view?usp=sharing" TargetMode="External"/><Relationship Id="rId4076" Type="http://schemas.openxmlformats.org/officeDocument/2006/relationships/hyperlink" Target="https://3.basecamp.com/4902751/buckets/36763424/card_tables/cards/9034753519" TargetMode="External"/><Relationship Id="rId5474" Type="http://schemas.openxmlformats.org/officeDocument/2006/relationships/hyperlink" Target="https://drive.google.com/file/d/1Pwlht0LH_Gj_0Cti8aHbpyiEcgzDKOfm/view?usp=sharing" TargetMode="External"/><Relationship Id="rId6525" Type="http://schemas.openxmlformats.org/officeDocument/2006/relationships/hyperlink" Target="https://www.vidio.com/live/19643-uefa-conference-league?schedule_id=4771663" TargetMode="External"/><Relationship Id="rId4490" Type="http://schemas.openxmlformats.org/officeDocument/2006/relationships/hyperlink" Target="https://drive.google.com/file/d/1uYwMxYuWEWo1wzV3hF4qQlLCT-5iz3_d/view?usp=sharing" TargetMode="External"/><Relationship Id="rId5127" Type="http://schemas.openxmlformats.org/officeDocument/2006/relationships/hyperlink" Target="https://drive.google.com/file/d/173T1gSuExHQAuomtpNXnlfxpYI6YIKsv/view?usp=sharing" TargetMode="External"/><Relationship Id="rId5541" Type="http://schemas.openxmlformats.org/officeDocument/2006/relationships/hyperlink" Target="https://drive.google.com/file/d/1czBiUR_LD42Y0BanUgxTMuXfaCGWFwFT/view?usp=drive_link" TargetMode="External"/><Relationship Id="rId8697" Type="http://schemas.openxmlformats.org/officeDocument/2006/relationships/hyperlink" Target="https://drive.google.com/file/d/111hQPDdHJHzQ8NaqvJKWTUa3SQZo6UVF/view?usp=sharing" TargetMode="External"/><Relationship Id="rId9748" Type="http://schemas.openxmlformats.org/officeDocument/2006/relationships/hyperlink" Target="https://drive.google.com/file/d/1jkh3XO-2vgl_UvzTDXAypfUBoo0oVJqc/view?usp=drive_link" TargetMode="External"/><Relationship Id="rId11678" Type="http://schemas.openxmlformats.org/officeDocument/2006/relationships/hyperlink" Target="https://thumbor.prod.vidiocdn.com/C-XOR992hCEjxHsgvlRYeYiHNuo=/filters:quality(70)/vidio-media-production/uploads/image/source/52881/a77dd9.png" TargetMode="External"/><Relationship Id="rId1737" Type="http://schemas.openxmlformats.org/officeDocument/2006/relationships/hyperlink" Target="https://drive.google.com/drive/folders/17QmF-I_8VnXzZjfLJw-solPUxSebgNWg" TargetMode="External"/><Relationship Id="rId3092" Type="http://schemas.openxmlformats.org/officeDocument/2006/relationships/hyperlink" Target="https://drive.google.com/file/d/1ha03dUN3_1eKtEWsqcaH3nxqKfZt_-dj/view?usp=sharing" TargetMode="External"/><Relationship Id="rId4143" Type="http://schemas.openxmlformats.org/officeDocument/2006/relationships/hyperlink" Target="https://drive.google.com/file/d/1E5N27W7D0d0b8jIC-az2ZWDLLdORix1L/view?usp=sharing" TargetMode="External"/><Relationship Id="rId7299" Type="http://schemas.openxmlformats.org/officeDocument/2006/relationships/hyperlink" Target="https://drive.google.com/drive/folders/1J7Tb4S7tM3oRLoDyUyl2pGigbj1uk6la" TargetMode="External"/><Relationship Id="rId8764" Type="http://schemas.openxmlformats.org/officeDocument/2006/relationships/hyperlink" Target="https://drive.google.com/file/d/19kxxACxrjz78eOV1zLcc5ESUfT1HKdFX/view?usp=sharing" TargetMode="External"/><Relationship Id="rId9815" Type="http://schemas.openxmlformats.org/officeDocument/2006/relationships/hyperlink" Target="https://www.vidio.com/live/19881-top-soccer-championship-2025-u-16-u-17-semifinal-plate?schedule_id=4730514" TargetMode="External"/><Relationship Id="rId10694" Type="http://schemas.openxmlformats.org/officeDocument/2006/relationships/hyperlink" Target="https://drive.google.com/file/d/1iaAsJQcNqzoXkFT0Zr923UdLwEDGEWZi/view?usp=sharing" TargetMode="External"/><Relationship Id="rId29" Type="http://schemas.openxmlformats.org/officeDocument/2006/relationships/hyperlink" Target="https://drive.google.com/drive/folders/1497gRY3A2mD-68yM72SF5WT_RKK3qq7q" TargetMode="External"/><Relationship Id="rId4210" Type="http://schemas.openxmlformats.org/officeDocument/2006/relationships/hyperlink" Target="https://drive.google.com/file/d/1uypGn6TToeu7jYAUg7vyUQL3RynhTeVZ/view?usp=sharing" TargetMode="External"/><Relationship Id="rId7366" Type="http://schemas.openxmlformats.org/officeDocument/2006/relationships/hyperlink" Target="https://drive.google.com/drive/folders/1Mj76z6dFgTK2gJ5ZQgSY5tWwc0ff3dx2?usp=drive_link" TargetMode="External"/><Relationship Id="rId7780" Type="http://schemas.openxmlformats.org/officeDocument/2006/relationships/hyperlink" Target="https://drive.google.com/file/d/1rM_yQ0BIo2ha-oSyof3k4mPnICx2qwv1/view?usp=sharing" TargetMode="External"/><Relationship Id="rId8417" Type="http://schemas.openxmlformats.org/officeDocument/2006/relationships/hyperlink" Target="https://drive.google.com/file/d/1dnxggyy2ILxS8vKAUf7EjPOXEHtiojWk/view?usp=sharing" TargetMode="External"/><Relationship Id="rId10347" Type="http://schemas.openxmlformats.org/officeDocument/2006/relationships/hyperlink" Target="https://drive.google.com/file/d/1BmpAp2opVxTF5W-CEHccONTu9dr6eT8v/view?usp=sharing" TargetMode="External"/><Relationship Id="rId11745" Type="http://schemas.openxmlformats.org/officeDocument/2006/relationships/hyperlink" Target="https://drive.google.com/file/d/1ofXS074YwNle23QJsXH0LNvCM5zHoT2L/view?usp=sharing" TargetMode="External"/><Relationship Id="rId1804" Type="http://schemas.openxmlformats.org/officeDocument/2006/relationships/hyperlink" Target="https://drive.google.com/drive/u/0/folders/1UK6JOYOJJ_5a5WEmGMrjKbPOe1Q5OO4u" TargetMode="External"/><Relationship Id="rId6382" Type="http://schemas.openxmlformats.org/officeDocument/2006/relationships/hyperlink" Target="https://drive.google.com/drive/folders/1QTvyHHLqQ4P7EZDpwfMsgAXTwlcqa6xF" TargetMode="External"/><Relationship Id="rId7019" Type="http://schemas.openxmlformats.org/officeDocument/2006/relationships/hyperlink" Target="https://drive.google.com/file/d/11RCthlb3UfWNiaXAFRt2ZNrbcI7dAvN6/view?usp=sharing" TargetMode="External"/><Relationship Id="rId7433" Type="http://schemas.openxmlformats.org/officeDocument/2006/relationships/hyperlink" Target="https://drive.google.com/file/d/1x39zai5_Pe61Efrswa0WoS0jwe6J6y_S/view?usp=sharing" TargetMode="External"/><Relationship Id="rId8831" Type="http://schemas.openxmlformats.org/officeDocument/2006/relationships/hyperlink" Target="https://drive.google.com/file/d/10sJmV1c_uNq2YQfGZU03m2ZnJhg0UPVE/view?usp=sharing" TargetMode="External"/><Relationship Id="rId10761" Type="http://schemas.openxmlformats.org/officeDocument/2006/relationships/hyperlink" Target="https://drive.google.com/drive/folders/1hympjgDJ8l5ANElBKCdh7hgbTQBXLas5" TargetMode="External"/><Relationship Id="rId11812" Type="http://schemas.openxmlformats.org/officeDocument/2006/relationships/hyperlink" Target="https://drive.google.com/file/d/1RvpVSYEuxwkTup3qpzOCOplWtOxx9WK3/view?usp=sharing" TargetMode="External"/><Relationship Id="rId3976" Type="http://schemas.openxmlformats.org/officeDocument/2006/relationships/hyperlink" Target="https://drive.google.com/file/d/1DNux4glLBnqI-DzUHKvsJVIQIe0fQ_QF/view?usp=sharing" TargetMode="External"/><Relationship Id="rId6035" Type="http://schemas.openxmlformats.org/officeDocument/2006/relationships/hyperlink" Target="https://drive.google.com/file/d/1j0ZJdxTmZ1CcyAlNgpEABwoPMrb1ToC4/view?usp=sharing" TargetMode="External"/><Relationship Id="rId10414" Type="http://schemas.openxmlformats.org/officeDocument/2006/relationships/hyperlink" Target="https://drive.google.com/drive/folders/1GyxHUWoEb-Rk8rBomjHMA-bE7PT2GalI?usp=drive_link" TargetMode="External"/><Relationship Id="rId897" Type="http://schemas.openxmlformats.org/officeDocument/2006/relationships/hyperlink" Target="https://drive.google.com/file/d/1VLPZm1FPErTML4NvzuwookzAI02_FhBg/view?usp=drive_link" TargetMode="External"/><Relationship Id="rId2578" Type="http://schemas.openxmlformats.org/officeDocument/2006/relationships/hyperlink" Target="https://www.vidio.com/live/6299-bein-1?schedule_id=4597933" TargetMode="External"/><Relationship Id="rId2992" Type="http://schemas.openxmlformats.org/officeDocument/2006/relationships/hyperlink" Target="https://drive.google.com/file/d/1xg1z0Mj0RZXk2SNWLAulxhniYJ2i6Yjl/view?usp=sharing" TargetMode="External"/><Relationship Id="rId3629" Type="http://schemas.openxmlformats.org/officeDocument/2006/relationships/hyperlink" Target="https://www.vidio.com/live/6685-champions-tv-1?schedule_id=4501539" TargetMode="External"/><Relationship Id="rId5051" Type="http://schemas.openxmlformats.org/officeDocument/2006/relationships/hyperlink" Target="https://drive.google.com/drive/folders/1iXXXI8AUN2qzP-l9i7Vb4Z_ch9sn0od-" TargetMode="External"/><Relationship Id="rId7500" Type="http://schemas.openxmlformats.org/officeDocument/2006/relationships/hyperlink" Target="https://www.vidio.com/live/19436-eredivisie?schedule_id=4691064" TargetMode="External"/><Relationship Id="rId9258" Type="http://schemas.openxmlformats.org/officeDocument/2006/relationships/hyperlink" Target="https://www.vidio.com/live/19812-top-soccer-championship-2025-u-15?schedule_id=4708910" TargetMode="External"/><Relationship Id="rId964" Type="http://schemas.openxmlformats.org/officeDocument/2006/relationships/hyperlink" Target="https://drive.google.com/file/d/1KXyhCP4n0VCXWpsH4Hc4LCbSbsE68aH9/view?usp=sharing" TargetMode="External"/><Relationship Id="rId1594" Type="http://schemas.openxmlformats.org/officeDocument/2006/relationships/hyperlink" Target="https://drive.google.com/drive/folders/1nyKUUyr6kiqG4SFcbhStnCRfNhqct17a" TargetMode="External"/><Relationship Id="rId2645" Type="http://schemas.openxmlformats.org/officeDocument/2006/relationships/hyperlink" Target="https://drive.google.com/drive/folders/1iV6sR6pr6sWrCgxjJd8tw7r5WzNMYwvx?usp=drive_link" TargetMode="External"/><Relationship Id="rId6102" Type="http://schemas.openxmlformats.org/officeDocument/2006/relationships/hyperlink" Target="https://drive.google.com/file/d/1SWagsCMOHh0YbG_7Fte3nvo_mG77c5fb/view?usp=drive_link" TargetMode="External"/><Relationship Id="rId9672" Type="http://schemas.openxmlformats.org/officeDocument/2006/relationships/hyperlink" Target="https://drive.google.com/file/d/1HLI_bt0oRsIRiq0i60t1QkFmUE5fEpR-/view?usp=sharing" TargetMode="External"/><Relationship Id="rId11188" Type="http://schemas.openxmlformats.org/officeDocument/2006/relationships/hyperlink" Target="https://drive.google.com/file/d/1lqvMQo-vu4LWbYx8EshSi5GatZX_ONR4/view?usp=sharing" TargetMode="External"/><Relationship Id="rId12239" Type="http://schemas.openxmlformats.org/officeDocument/2006/relationships/hyperlink" Target="https://drive.google.com/file/d/17nqJ8YbOWxi4DOQmMA4_VvY1qMuE4tM4/view?usp=drive_link" TargetMode="External"/><Relationship Id="rId617" Type="http://schemas.openxmlformats.org/officeDocument/2006/relationships/hyperlink" Target="https://drive.google.com/file/d/1AtdJf_6YC-m8yrCcZrLVSY0lpffqqmNi/view?usp=sharing" TargetMode="External"/><Relationship Id="rId1247" Type="http://schemas.openxmlformats.org/officeDocument/2006/relationships/hyperlink" Target="https://www.vidio.com/live/20242-premier-league?schedule_id=4832158" TargetMode="External"/><Relationship Id="rId1661" Type="http://schemas.openxmlformats.org/officeDocument/2006/relationships/hyperlink" Target="https://drive.google.com/file/d/1o7eZ4QMF8c60P9_RBCj8wnA1NkHPaAnJ/view?usp=sharing" TargetMode="External"/><Relationship Id="rId2712" Type="http://schemas.openxmlformats.org/officeDocument/2006/relationships/hyperlink" Target="https://drive.google.com/drive/folders/1oXu2yW3GD_VFYgE9D4CRNIZilsIbf3t1?usp=drive_link" TargetMode="External"/><Relationship Id="rId5868" Type="http://schemas.openxmlformats.org/officeDocument/2006/relationships/hyperlink" Target="https://drive.google.com/drive/folders/13eQLR64HrKbyWDLlQsn3dQSDucgsN6sA?usp=drive_link" TargetMode="External"/><Relationship Id="rId6919" Type="http://schemas.openxmlformats.org/officeDocument/2006/relationships/hyperlink" Target="https://drive.google.com/file/d/10rMuYjjk0oRBZjhjCR2lY1ZJM-_ZUOPB/view?usp=sharing" TargetMode="External"/><Relationship Id="rId8274" Type="http://schemas.openxmlformats.org/officeDocument/2006/relationships/hyperlink" Target="https://www.vidio.com/live/19692-top-youth-premier-league-2025-matchweek-6?schedule_id=4644431" TargetMode="External"/><Relationship Id="rId9325" Type="http://schemas.openxmlformats.org/officeDocument/2006/relationships/hyperlink" Target="https://www.vidio.com/live/20048-fivb-volleyball-club-world-championship-2025?schedule_id=4783080" TargetMode="External"/><Relationship Id="rId11255" Type="http://schemas.openxmlformats.org/officeDocument/2006/relationships/hyperlink" Target="https://drive.google.com/file/d/1-08xygwwnXke_OICyvx5ZiFspx2l4-eQ/view?usp=sharing" TargetMode="External"/><Relationship Id="rId12306" Type="http://schemas.openxmlformats.org/officeDocument/2006/relationships/hyperlink" Target="https://www.vidio.com/live/20279?schedule_id=4833903" TargetMode="External"/><Relationship Id="rId1314" Type="http://schemas.openxmlformats.org/officeDocument/2006/relationships/hyperlink" Target="https://drive.google.com/file/d/13yaweIrGNhDlPwZk1zUM2cs3vrypH6bH/view?usp=sharing" TargetMode="External"/><Relationship Id="rId4884" Type="http://schemas.openxmlformats.org/officeDocument/2006/relationships/hyperlink" Target="https://www.vidio.com/live/19404-serie-a?schedule_id=4832828" TargetMode="External"/><Relationship Id="rId5935" Type="http://schemas.openxmlformats.org/officeDocument/2006/relationships/hyperlink" Target="https://drive.google.com/file/d/1iMn9XoRBb4drYeplbOlLWf0SawU3dGwS/view?usp=sharing" TargetMode="External"/><Relationship Id="rId7290" Type="http://schemas.openxmlformats.org/officeDocument/2006/relationships/hyperlink" Target="https://drive.google.com/file/d/1j5hqKMgor853nluxoMpeMngSy_3QLgic/view?usp=drive_link" TargetMode="External"/><Relationship Id="rId8341" Type="http://schemas.openxmlformats.org/officeDocument/2006/relationships/hyperlink" Target="https://www.vidio.com/live/19388-rws-muay-thai-2025?schedule_id=4665901" TargetMode="External"/><Relationship Id="rId10271" Type="http://schemas.openxmlformats.org/officeDocument/2006/relationships/hyperlink" Target="https://www.vidio.com/live/20026-top-soccer-championship-2025-u-13-semifinal-cup" TargetMode="External"/><Relationship Id="rId11322" Type="http://schemas.openxmlformats.org/officeDocument/2006/relationships/hyperlink" Target="https://drive.google.com/file/d/17Fr4n6ZSkFL5B9SmcVzyn5Z6o8JkhRgQ/view?usp=sharing" TargetMode="External"/><Relationship Id="rId3486" Type="http://schemas.openxmlformats.org/officeDocument/2006/relationships/hyperlink" Target="https://drive.google.com/file/d/15flQYQlin5WB5fkLICSqBIyCYIOzHfsK/view?usp=drive_link" TargetMode="External"/><Relationship Id="rId4537" Type="http://schemas.openxmlformats.org/officeDocument/2006/relationships/hyperlink" Target="https://www.vidio.com/live/19404-serie-a?schedule_id=4725607" TargetMode="External"/><Relationship Id="rId20" Type="http://schemas.openxmlformats.org/officeDocument/2006/relationships/hyperlink" Target="https://drive.google.com/drive/folders/11HrwHy44_YWaHUY26iszRpNqFvSfttuk" TargetMode="External"/><Relationship Id="rId2088" Type="http://schemas.openxmlformats.org/officeDocument/2006/relationships/hyperlink" Target="https://drive.google.com/drive/folders/1udcFYKRK0Vt1A7U77z0RyG9Rx-4PmJxr" TargetMode="External"/><Relationship Id="rId3139" Type="http://schemas.openxmlformats.org/officeDocument/2006/relationships/hyperlink" Target="https://drive.google.com/drive/folders/1ZtVy49ZJJGG2Cw87MvMKVvzjiKvqEO7t?usp=drive_link" TargetMode="External"/><Relationship Id="rId4951" Type="http://schemas.openxmlformats.org/officeDocument/2006/relationships/hyperlink" Target="https://drive.google.com/file/d/1ghCxayHKpyFAMCEvImzyXlYLatV6xJX3/view?usp=sharing" TargetMode="External"/><Relationship Id="rId7010" Type="http://schemas.openxmlformats.org/officeDocument/2006/relationships/hyperlink" Target="https://drive.google.com/drive/folders/1MX84RU5rZmbIJdFqPDVJ1-8zszjjl40g?usp=drive_link" TargetMode="External"/><Relationship Id="rId12096" Type="http://schemas.openxmlformats.org/officeDocument/2006/relationships/hyperlink" Target="https://drive.google.com/drive/folders/1y_mGPCoON9jW62Lb8x5K2d_YVzyt7dym" TargetMode="External"/><Relationship Id="rId474" Type="http://schemas.openxmlformats.org/officeDocument/2006/relationships/hyperlink" Target="https://drive.google.com/file/d/1KFO6DKh0CxBj5R_CrQXktaiCHVX8Qqci/view?usp=sharing" TargetMode="External"/><Relationship Id="rId2155" Type="http://schemas.openxmlformats.org/officeDocument/2006/relationships/hyperlink" Target="https://drive.google.com/file/d/1ynQdWdOOpOq1rnDi-LjucTQoPBeA8mTl/view?usp=sharing" TargetMode="External"/><Relationship Id="rId3553" Type="http://schemas.openxmlformats.org/officeDocument/2006/relationships/hyperlink" Target="https://drive.google.com/drive/u/0/folders/1Q7uSH2rJHBAHVDdQSkgfSNVcSutnHRcH" TargetMode="External"/><Relationship Id="rId4604" Type="http://schemas.openxmlformats.org/officeDocument/2006/relationships/hyperlink" Target="https://drive.google.com/file/d/1-nR8NthvmdQ1WAo-2eWWhrUdPYubUxCp/view?usp=sharing" TargetMode="External"/><Relationship Id="rId9182" Type="http://schemas.openxmlformats.org/officeDocument/2006/relationships/hyperlink" Target="https://drive.google.com/file/d/1DNux4glLBnqI-DzUHKvsJVIQIe0fQ_QF/view?usp=sharing" TargetMode="External"/><Relationship Id="rId127" Type="http://schemas.openxmlformats.org/officeDocument/2006/relationships/hyperlink" Target="https://drive.google.com/file/d/1iGKJqNKiUbgEM7I5AuhAiifN7MgAM4BH/view?usp=sharing" TargetMode="External"/><Relationship Id="rId3206" Type="http://schemas.openxmlformats.org/officeDocument/2006/relationships/hyperlink" Target="https://thumbor.prod.vidiocdn.com/vWTnI5Zi1nus8uxPgWQ6EiNLGqY=/filters:quality(70)/vidio-media-production/uploads/image/source/52771/5d00e6.png" TargetMode="External"/><Relationship Id="rId3620" Type="http://schemas.openxmlformats.org/officeDocument/2006/relationships/hyperlink" Target="https://drive.google.com/drive/u/0/folders/1isGclDDrXT2h3mL_mcdS8e53BiuMmrdB" TargetMode="External"/><Relationship Id="rId6776" Type="http://schemas.openxmlformats.org/officeDocument/2006/relationships/hyperlink" Target="https://drive.google.com/file/d/1DNux4glLBnqI-DzUHKvsJVIQIe0fQ_QF/view?usp=sharing" TargetMode="External"/><Relationship Id="rId7827" Type="http://schemas.openxmlformats.org/officeDocument/2006/relationships/hyperlink" Target="https://www.vidio.com/live/19673-women-s-turkish-volleyball-league?schedule_id=4636456" TargetMode="External"/><Relationship Id="rId10808" Type="http://schemas.openxmlformats.org/officeDocument/2006/relationships/hyperlink" Target="https://drive.google.com/file/d/1lYrPS0Af4cgaNYxePJqaljCHwGOjPxyo/view?usp=sharing" TargetMode="External"/><Relationship Id="rId12163" Type="http://schemas.openxmlformats.org/officeDocument/2006/relationships/hyperlink" Target="https://www.vidio.com/live/20274?schedule_id=4833821" TargetMode="External"/><Relationship Id="rId541" Type="http://schemas.openxmlformats.org/officeDocument/2006/relationships/hyperlink" Target="https://drive.google.com/file/d/1qSJcLbLfAkExacR2S6C-GVzGJ1xynN_R/view?usp=sharing" TargetMode="External"/><Relationship Id="rId1171" Type="http://schemas.openxmlformats.org/officeDocument/2006/relationships/hyperlink" Target="https://drive.google.com/drive/folders/1-0isYlWpCtdRmji65ydw6QbyXl6qhma3" TargetMode="External"/><Relationship Id="rId2222" Type="http://schemas.openxmlformats.org/officeDocument/2006/relationships/hyperlink" Target="https://drive.google.com/drive/folders/1S-cIN_GN2jHeZ4L0dHpenrico1KpmEeJ" TargetMode="External"/><Relationship Id="rId5378" Type="http://schemas.openxmlformats.org/officeDocument/2006/relationships/hyperlink" Target="https://drive.google.com/file/d/1JCSDDmanM2jbJB6M5l7suLeFS4mSkGbn/view?usp=sharing" TargetMode="External"/><Relationship Id="rId5792" Type="http://schemas.openxmlformats.org/officeDocument/2006/relationships/hyperlink" Target="https://drive.google.com/file/d/1UUbY7PFPOjk0L3UYttfeLf3u-ju0HuNW/view?usp=sharing" TargetMode="External"/><Relationship Id="rId6429" Type="http://schemas.openxmlformats.org/officeDocument/2006/relationships/hyperlink" Target="https://drive.google.com/file/d/1B43e5VhfSIZIMuLtgXVQiW0va1jiyaEh/view?usp=drive_link" TargetMode="External"/><Relationship Id="rId6843" Type="http://schemas.openxmlformats.org/officeDocument/2006/relationships/hyperlink" Target="https://drive.google.com/file/d/1t4O_V-6WKOpZt5OFHKJuTWmjWVsRzMeM/view?usp=sharing" TargetMode="External"/><Relationship Id="rId9999" Type="http://schemas.openxmlformats.org/officeDocument/2006/relationships/hyperlink" Target="https://drive.google.com/drive/folders/149uY9O5r-EDtvFHh0O-BuV9HwpY-2dpR" TargetMode="External"/><Relationship Id="rId12230" Type="http://schemas.openxmlformats.org/officeDocument/2006/relationships/hyperlink" Target="https://drive.google.com/file/d/17nqJ8YbOWxi4DOQmMA4_VvY1qMuE4tM4/view?usp=drive_link" TargetMode="External"/><Relationship Id="rId1988" Type="http://schemas.openxmlformats.org/officeDocument/2006/relationships/hyperlink" Target="https://drive.google.com/file/d/13AizdvYsOI30ik-ge-e52v-pquiNHJF5/view?usp=sharing" TargetMode="External"/><Relationship Id="rId4394" Type="http://schemas.openxmlformats.org/officeDocument/2006/relationships/hyperlink" Target="https://drive.google.com/file/d/1ZcrXU2D9sK51_NrMRAfOxEOX9plKjOTU/view?usp=sharing" TargetMode="External"/><Relationship Id="rId5445" Type="http://schemas.openxmlformats.org/officeDocument/2006/relationships/hyperlink" Target="https://drive.google.com/file/d/1FcsyXNitWbNW2DZoSC1Hi7ACoLliL4MG/view?usp=share_link" TargetMode="External"/><Relationship Id="rId4047" Type="http://schemas.openxmlformats.org/officeDocument/2006/relationships/hyperlink" Target="https://drive.google.com/file/d/10_3BnF4JkSmNVfj2jQ_QqPPlQx6pgY6Y/view?usp=drive_link" TargetMode="External"/><Relationship Id="rId4461" Type="http://schemas.openxmlformats.org/officeDocument/2006/relationships/hyperlink" Target="https://drive.google.com/file/d/1ARwYmMhrp-ywvt37LCk5O4yhVg3erXbv/view?usp=sharing" TargetMode="External"/><Relationship Id="rId5512" Type="http://schemas.openxmlformats.org/officeDocument/2006/relationships/hyperlink" Target="https://drive.google.com/drive/folders/1uzmwWKVAafbKGqAaq7rDEediFNiyENDA?usp=drive_link" TargetMode="External"/><Relationship Id="rId6910" Type="http://schemas.openxmlformats.org/officeDocument/2006/relationships/hyperlink" Target="https://www.vidio.com/live/19584-pegadaian-championship?schedule_id=4583215" TargetMode="External"/><Relationship Id="rId8668" Type="http://schemas.openxmlformats.org/officeDocument/2006/relationships/hyperlink" Target="https://drive.google.com/drive/folders/1SPyED8FTwEeSo4aLdQ9MvhcvIUuvEV-u" TargetMode="External"/><Relationship Id="rId9719" Type="http://schemas.openxmlformats.org/officeDocument/2006/relationships/hyperlink" Target="https://thumbor.prod.vidiocdn.com/NlkCZmVOhDBUYvGimVbjjKEczwI=/filters:quality(70)/vidio-media-production/uploads/image/source/51583/a9e229.png" TargetMode="External"/><Relationship Id="rId11996" Type="http://schemas.openxmlformats.org/officeDocument/2006/relationships/hyperlink" Target="https://drive.google.com/file/d/1GSUWpYS1bKMQHpDirkh41aNW22dfhpEf/view?usp=sharing" TargetMode="External"/><Relationship Id="rId3063" Type="http://schemas.openxmlformats.org/officeDocument/2006/relationships/hyperlink" Target="https://drive.google.com/file/d/1Jy2pUMWiaoQB_15IXlYqLaCOhdKrN8yO/view?usp=sharing" TargetMode="External"/><Relationship Id="rId4114" Type="http://schemas.openxmlformats.org/officeDocument/2006/relationships/hyperlink" Target="https://www.vidio.com/live/19404-serie-a?schedule_id=4598341" TargetMode="External"/><Relationship Id="rId10598" Type="http://schemas.openxmlformats.org/officeDocument/2006/relationships/hyperlink" Target="https://www.vidio.com/live/17875-bein-2?schedule_id=4835810" TargetMode="External"/><Relationship Id="rId11649" Type="http://schemas.openxmlformats.org/officeDocument/2006/relationships/hyperlink" Target="https://www.vidio.com/live/17875-bein-2?schedule_id=4833008" TargetMode="External"/><Relationship Id="rId1708" Type="http://schemas.openxmlformats.org/officeDocument/2006/relationships/hyperlink" Target="https://drive.google.com/drive/folders/1ujHQ4IbEycIeBiEJ6y7l69KXrMGhTzie" TargetMode="External"/><Relationship Id="rId3130" Type="http://schemas.openxmlformats.org/officeDocument/2006/relationships/hyperlink" Target="https://thumbor.prod.vidiocdn.com/uVMQFrByCluFMV3ICI06Kz3nwx8=/filters:quality(70)/vidio-media-production/uploads/image/source/51753/fa8a77.png" TargetMode="External"/><Relationship Id="rId6286" Type="http://schemas.openxmlformats.org/officeDocument/2006/relationships/hyperlink" Target="https://drive.google.com/drive/folders/1_QyyUC0KxsA5I5XnGSR_moWG1pYIaeRU" TargetMode="External"/><Relationship Id="rId7337" Type="http://schemas.openxmlformats.org/officeDocument/2006/relationships/hyperlink" Target="https://www.vidio.com/live/19355-bri-super-league?schedule_id=4596294" TargetMode="External"/><Relationship Id="rId7684" Type="http://schemas.openxmlformats.org/officeDocument/2006/relationships/hyperlink" Target="https://drive.google.com/file/d/1dG2B7ZFX618-dnDegb4S4tYCvkjeH1VD/view?usp=sharing" TargetMode="External"/><Relationship Id="rId8735" Type="http://schemas.openxmlformats.org/officeDocument/2006/relationships/hyperlink" Target="https://drive.google.com/drive/folders/1NepG6XT-FSa8Cs07sX3tPfQWLNpJfAxp" TargetMode="External"/><Relationship Id="rId10665" Type="http://schemas.openxmlformats.org/officeDocument/2006/relationships/hyperlink" Target="https://thumbor.prod.vidiocdn.com/JhltZEEPepYiGJr3AaW_JeBUb_c=/filters:quality(70)/vidio-media-production/uploads/image/source/53050/444cd5.png" TargetMode="External"/><Relationship Id="rId11716" Type="http://schemas.openxmlformats.org/officeDocument/2006/relationships/hyperlink" Target="https://drive.google.com/drive/folders/1JOgSZmNs1prxOeLrKVswIcYu029paKj4" TargetMode="External"/><Relationship Id="rId7751" Type="http://schemas.openxmlformats.org/officeDocument/2006/relationships/hyperlink" Target="https://drive.google.com/file/d/1byQnf0omPUzGleYxLg34MJSZoDTNCCM_/view?usp=drive_link" TargetMode="External"/><Relationship Id="rId8802" Type="http://schemas.openxmlformats.org/officeDocument/2006/relationships/hyperlink" Target="https://drive.google.com/file/d/1G3BAFT4pkNBmOe0VQvMimB_ZZrL-j3Gz/view?usp=sharing" TargetMode="External"/><Relationship Id="rId10318" Type="http://schemas.openxmlformats.org/officeDocument/2006/relationships/hyperlink" Target="https://drive.google.com/drive/folders/1k4rJrnBm1_a30mDdHHdCFokcDawyZlbu?usp=drive_link" TargetMode="External"/><Relationship Id="rId10732" Type="http://schemas.openxmlformats.org/officeDocument/2006/relationships/hyperlink" Target="https://thumbor.prod.vidiocdn.com/0oT5xRAFlwIf9OxApB8opWwfi84=/filters:quality(70)/vidio-media-production/uploads/image/source/52081/827737.png" TargetMode="External"/><Relationship Id="rId2896" Type="http://schemas.openxmlformats.org/officeDocument/2006/relationships/hyperlink" Target="https://drive.google.com/drive/folders/10kd1kclQSCd6beO9ht4dyG5_RgWiRnV9?usp=drive_link" TargetMode="External"/><Relationship Id="rId3947" Type="http://schemas.openxmlformats.org/officeDocument/2006/relationships/hyperlink" Target="https://www.vidio.com/live/19472?schedule_id=4534247" TargetMode="External"/><Relationship Id="rId6353" Type="http://schemas.openxmlformats.org/officeDocument/2006/relationships/hyperlink" Target="https://drive.google.com/drive/folders/1_QyyUC0KxsA5I5XnGSR_moWG1pYIaeRU" TargetMode="External"/><Relationship Id="rId7404" Type="http://schemas.openxmlformats.org/officeDocument/2006/relationships/hyperlink" Target="https://drive.google.com/file/d/1uKgxxijQX5HGxyGLx0a3C2UfhvpUP8vI/view?usp=sharing" TargetMode="External"/><Relationship Id="rId868" Type="http://schemas.openxmlformats.org/officeDocument/2006/relationships/hyperlink" Target="https://drive.google.com/file/d/1VfCfERrewTRPe916w7Y-L7iji8TTNmsr/view?usp=sharing" TargetMode="External"/><Relationship Id="rId1498" Type="http://schemas.openxmlformats.org/officeDocument/2006/relationships/hyperlink" Target="https://www.vidio.com/live/6685-champions-tv-1?schedule_id=4485888" TargetMode="External"/><Relationship Id="rId2549" Type="http://schemas.openxmlformats.org/officeDocument/2006/relationships/hyperlink" Target="https://drive.google.com/drive/folders/1ki3taczQMCnmkN0rS8XZ1J1cFh0qpt0f?usp=drive_link" TargetMode="External"/><Relationship Id="rId2963" Type="http://schemas.openxmlformats.org/officeDocument/2006/relationships/hyperlink" Target="https://drive.google.com/file/d/1pEYax6Nc_OQIhJ3uhZhhI2aH1stbnNI6/view?usp=sharing" TargetMode="External"/><Relationship Id="rId6006" Type="http://schemas.openxmlformats.org/officeDocument/2006/relationships/hyperlink" Target="https://drive.google.com/file/d/181Lp8HU2Q4yPm01bgxQXGhx8792aJoU8/view?usp=sharing" TargetMode="External"/><Relationship Id="rId6420" Type="http://schemas.openxmlformats.org/officeDocument/2006/relationships/hyperlink" Target="https://drive.google.com/file/d/1N7Bi7GBY4pukUpQ5DkdZ17QkGrV04fMT/view?usp=sharing" TargetMode="External"/><Relationship Id="rId9576" Type="http://schemas.openxmlformats.org/officeDocument/2006/relationships/hyperlink" Target="https://drive.google.com/drive/folders/1vam8oM94JVZGYCXdgCX3dTv8L0Rn_l-2" TargetMode="External"/><Relationship Id="rId9990" Type="http://schemas.openxmlformats.org/officeDocument/2006/relationships/hyperlink" Target="https://drive.google.com/drive/folders/1rF7QIGkmSYeypvHsiU5zo9YuAXQQaZSu?usp=drive_link" TargetMode="External"/><Relationship Id="rId935" Type="http://schemas.openxmlformats.org/officeDocument/2006/relationships/hyperlink" Target="https://drive.google.com/file/d/14Rhh0oPffN20f3pl-KfT5MHI8F_PKv4M/view?usp=sharing" TargetMode="External"/><Relationship Id="rId1565" Type="http://schemas.openxmlformats.org/officeDocument/2006/relationships/hyperlink" Target="https://drive.google.com/file/d/11H4wIcfF3oPuWKY5gYFrXUmA_0PXHA8q/view?usp=sharing" TargetMode="External"/><Relationship Id="rId2616" Type="http://schemas.openxmlformats.org/officeDocument/2006/relationships/hyperlink" Target="https://drive.google.com/file/d/1ROg1_Ejt74p6UGMFerAwlzmEtqe3y3OA/view?usp=sharing" TargetMode="External"/><Relationship Id="rId5022" Type="http://schemas.openxmlformats.org/officeDocument/2006/relationships/hyperlink" Target="https://drive.google.com/file/d/129a7dsin7vWa47QE89EEXqYIhIF9M_tx/view?usp=sharing" TargetMode="External"/><Relationship Id="rId8178" Type="http://schemas.openxmlformats.org/officeDocument/2006/relationships/hyperlink" Target="https://drive.google.com/file/d/1e7tOi3uFi-tF_mjQ9W2H0RFHYtHGsuOF/view?usp=sharing" TargetMode="External"/><Relationship Id="rId8592" Type="http://schemas.openxmlformats.org/officeDocument/2006/relationships/hyperlink" Target="https://drive.google.com/file/d/1xC1VT1z_t51l4KaWr4AlLWoCwX_ra9Td/view?usp=sharing" TargetMode="External"/><Relationship Id="rId9229" Type="http://schemas.openxmlformats.org/officeDocument/2006/relationships/hyperlink" Target="https://drive.google.com/file/d/1bGAtWdCSL-v2iZg1GvRoYwXZwXVqVH3x/view?usp=drive_link" TargetMode="External"/><Relationship Id="rId9643" Type="http://schemas.openxmlformats.org/officeDocument/2006/relationships/hyperlink" Target="https://drive.google.com/drive/folders/1Gxrw4aoX4YT7unECMoXYTSpJTwtj3Iy2?usp=drive_link" TargetMode="External"/><Relationship Id="rId11159" Type="http://schemas.openxmlformats.org/officeDocument/2006/relationships/hyperlink" Target="https://drive.google.com/drive/folders/1pBL2Vu4TmsR7wzf0j8psh2JTh2hTX8Od" TargetMode="External"/><Relationship Id="rId1218" Type="http://schemas.openxmlformats.org/officeDocument/2006/relationships/hyperlink" Target="https://drive.google.com/drive/folders/1vFdo7O_ET0vI3D4e80T8ngdSPdiHbvcP" TargetMode="External"/><Relationship Id="rId7194" Type="http://schemas.openxmlformats.org/officeDocument/2006/relationships/hyperlink" Target="https://www.vidio.com/live/19556-top-youth-premier-league-2025-matchday-3?schedule_id=4569327" TargetMode="External"/><Relationship Id="rId8245" Type="http://schemas.openxmlformats.org/officeDocument/2006/relationships/hyperlink" Target="https://drive.google.com/drive/folders/1NepG6XT-FSa8Cs07sX3tPfQWLNpJfAxp" TargetMode="External"/><Relationship Id="rId10175" Type="http://schemas.openxmlformats.org/officeDocument/2006/relationships/hyperlink" Target="https://drive.google.com/drive/folders/1EWSC8Ug00VB0dbx-_GRslXtHOFx1GTZO" TargetMode="External"/><Relationship Id="rId11573" Type="http://schemas.openxmlformats.org/officeDocument/2006/relationships/hyperlink" Target="https://drive.google.com/file/d/1nf91O8vj_IULTK5OmudcLViEMJdhfWBs/view?usp=sharing" TargetMode="External"/><Relationship Id="rId1632" Type="http://schemas.openxmlformats.org/officeDocument/2006/relationships/hyperlink" Target="https://drive.google.com/file/d/1c_Y0r2X_oBsvJDrBOr31IS1wfBi4mBHb/view?usp=drive_link" TargetMode="External"/><Relationship Id="rId4788" Type="http://schemas.openxmlformats.org/officeDocument/2006/relationships/hyperlink" Target="https://thumbor.prod.vidiocdn.com/yc6MK-IxEHKvw1A0stOt8BvCzV0=/filters:quality(70)/vidio-media-production/uploads/image/source/52696/140428.png" TargetMode="External"/><Relationship Id="rId5839" Type="http://schemas.openxmlformats.org/officeDocument/2006/relationships/hyperlink" Target="https://drive.google.com/drive/folders/13eQLR64HrKbyWDLlQsn3dQSDucgsN6sA?usp=drive_link" TargetMode="External"/><Relationship Id="rId7261" Type="http://schemas.openxmlformats.org/officeDocument/2006/relationships/hyperlink" Target="https://drive.google.com/file/d/14a1yP1szaF83VaZwyYOfLYqnKTx2o-mt/view?usp=sharing" TargetMode="External"/><Relationship Id="rId9710" Type="http://schemas.openxmlformats.org/officeDocument/2006/relationships/hyperlink" Target="https://drive.google.com/drive/folders/1kI6exz2MdjsybqtzCys5pWntC3HG6veJ?usp=drive_link" TargetMode="External"/><Relationship Id="rId11226" Type="http://schemas.openxmlformats.org/officeDocument/2006/relationships/hyperlink" Target="https://www.vidio.com/live/18250-hsbc-bwf-world-tour-finals-2025-group-stage-court-2?schedule_id=4784615" TargetMode="External"/><Relationship Id="rId11640" Type="http://schemas.openxmlformats.org/officeDocument/2006/relationships/hyperlink" Target="https://drive.google.com/file/d/1cdIdC_djTEAszdBGg80mddActxrFWR4I/view?usp=sharing" TargetMode="External"/><Relationship Id="rId4855" Type="http://schemas.openxmlformats.org/officeDocument/2006/relationships/hyperlink" Target="https://thumbor.prod.vidiocdn.com/f19FVxItnSbXBpvgdpVpH-96ItI=/filters:quality(70)/vidio-media-production/uploads/image/source/52809/845596.png" TargetMode="External"/><Relationship Id="rId5906" Type="http://schemas.openxmlformats.org/officeDocument/2006/relationships/hyperlink" Target="https://drive.google.com/drive/folders/1pYi5qIT6QdvkfDRfWH0qsk97hfAPMoyN?usp=drive_link" TargetMode="External"/><Relationship Id="rId8312" Type="http://schemas.openxmlformats.org/officeDocument/2006/relationships/hyperlink" Target="https://www.vidio.com/live/6317-bein-3?schedule_id=4724820" TargetMode="External"/><Relationship Id="rId10242" Type="http://schemas.openxmlformats.org/officeDocument/2006/relationships/hyperlink" Target="https://www.vidio.com/live/18832-sirkuit-nasional-bulutangkis-2025?schedule_id=4783362" TargetMode="External"/><Relationship Id="rId3457" Type="http://schemas.openxmlformats.org/officeDocument/2006/relationships/hyperlink" Target="https://drive.google.com/drive/u/0/folders/1H5eKlHLTH0fJec3EBYZSWgkbRqJrZ2qg" TargetMode="External"/><Relationship Id="rId3871" Type="http://schemas.openxmlformats.org/officeDocument/2006/relationships/hyperlink" Target="https://www.vidio.com/live/6685-champions-tv-1?schedule_id=4803408" TargetMode="External"/><Relationship Id="rId4508" Type="http://schemas.openxmlformats.org/officeDocument/2006/relationships/hyperlink" Target="https://www.vidio.com/live/19404-serie-a?schedule_id=4728932" TargetMode="External"/><Relationship Id="rId4922" Type="http://schemas.openxmlformats.org/officeDocument/2006/relationships/hyperlink" Target="https://www.vidio.com/live/19404-serie-a?schedule_id=4835817" TargetMode="External"/><Relationship Id="rId378" Type="http://schemas.openxmlformats.org/officeDocument/2006/relationships/hyperlink" Target="https://drive.google.com/file/d/1g3bXRQJSM7XrutRZrN-XvKEW035mzR3f/view?usp=sharing" TargetMode="External"/><Relationship Id="rId792" Type="http://schemas.openxmlformats.org/officeDocument/2006/relationships/hyperlink" Target="https://www.vidio.com/live/9182-champions-tv-5?schedule_id=4739597" TargetMode="External"/><Relationship Id="rId2059" Type="http://schemas.openxmlformats.org/officeDocument/2006/relationships/hyperlink" Target="https://drive.google.com/file/d/1I3mOZvWW9HXmjd6gD0p1qlH6tu3PaQoo/view?usp=sharing" TargetMode="External"/><Relationship Id="rId2473" Type="http://schemas.openxmlformats.org/officeDocument/2006/relationships/hyperlink" Target="https://drive.google.com/file/d/1Ys8yNCMMNV7pAImnA0s8J3Zuv8HAtwO4/view?usp=sharing" TargetMode="External"/><Relationship Id="rId3524" Type="http://schemas.openxmlformats.org/officeDocument/2006/relationships/hyperlink" Target="https://drive.google.com/drive/folders/1jh_xQK5yQprieeL75X5RcEZsYJQyZsP3" TargetMode="External"/><Relationship Id="rId9086" Type="http://schemas.openxmlformats.org/officeDocument/2006/relationships/hyperlink" Target="https://drive.google.com/file/d/1-e_43BJmVPaS0gIFydgJkDlmiqjyVrcX/view?usp=sharing" TargetMode="External"/><Relationship Id="rId12067" Type="http://schemas.openxmlformats.org/officeDocument/2006/relationships/hyperlink" Target="https://drive.google.com/drive/folders/1j2A_bH-x2l04Qo4WA98rK5ys1iCEU3UZ" TargetMode="External"/><Relationship Id="rId445" Type="http://schemas.openxmlformats.org/officeDocument/2006/relationships/hyperlink" Target="https://drive.google.com/file/d/15DHDO78xHocUuUeAe7VDEQzXxPiXC6RX/view?usp=sharing" TargetMode="External"/><Relationship Id="rId1075" Type="http://schemas.openxmlformats.org/officeDocument/2006/relationships/hyperlink" Target="https://thumbor.prod.vidiocdn.com/UEjfcmetXhdopMJM2uO9uNjlXDA=/filters:quality(70)/vidio-media-production/uploads/image/source/52484/d31e77.png" TargetMode="External"/><Relationship Id="rId2126" Type="http://schemas.openxmlformats.org/officeDocument/2006/relationships/hyperlink" Target="https://drive.google.com/file/d/1RpqR30uzdpPv6y10pc31k2-hO8UjbXrF/view?usp=sharing" TargetMode="External"/><Relationship Id="rId2540" Type="http://schemas.openxmlformats.org/officeDocument/2006/relationships/hyperlink" Target="https://drive.google.com/file/d/1qVSptyT2-IYL-7ONzd3WUfDcgYG7eN5M/view?usp=sharing" TargetMode="External"/><Relationship Id="rId5696" Type="http://schemas.openxmlformats.org/officeDocument/2006/relationships/hyperlink" Target="https://drive.google.com/file/d/1zTPDoKDuIASO5QWofNQZ2ilh83ctlPjC/view?usp=sharing" TargetMode="External"/><Relationship Id="rId6747" Type="http://schemas.openxmlformats.org/officeDocument/2006/relationships/hyperlink" Target="https://www.vidio.com/live/19519?schedule_id=4553298" TargetMode="External"/><Relationship Id="rId9153" Type="http://schemas.openxmlformats.org/officeDocument/2006/relationships/hyperlink" Target="https://www.vidio.com/live/19802-top-youth-premier-league-2025-matchday-10" TargetMode="External"/><Relationship Id="rId11083" Type="http://schemas.openxmlformats.org/officeDocument/2006/relationships/hyperlink" Target="https://thumbor.prod.vidiocdn.com/FOmX01GPVgMEcULnV8uwF8Ykx6w=/filters:quality(70)/vidio-media-production/uploads/image/source/52262/2a7427.png" TargetMode="External"/><Relationship Id="rId12134" Type="http://schemas.openxmlformats.org/officeDocument/2006/relationships/hyperlink" Target="https://drive.google.com/file/d/1NSS8caFvdZbwLM0rQ6xFjEA-VHdQ-0wz/view?usp=sharing" TargetMode="External"/><Relationship Id="rId512" Type="http://schemas.openxmlformats.org/officeDocument/2006/relationships/hyperlink" Target="https://www.vidio.com/live/9182-champions-tv-5?schedule_id=4653357" TargetMode="External"/><Relationship Id="rId1142" Type="http://schemas.openxmlformats.org/officeDocument/2006/relationships/hyperlink" Target="https://drive.google.com/file/d/1gH8GcB_-QTpiQF05I_wc42aicZgEDGBR/view?usp=sharing" TargetMode="External"/><Relationship Id="rId4298" Type="http://schemas.openxmlformats.org/officeDocument/2006/relationships/hyperlink" Target="https://drive.google.com/drive/folders/1u14rSoRvjbaWT5Tl8fNAvZ7tr2MP0MeV?usp=drive_link" TargetMode="External"/><Relationship Id="rId5349" Type="http://schemas.openxmlformats.org/officeDocument/2006/relationships/hyperlink" Target="https://drive.google.com/drive/folders/1EteUw7Z_J7DYo4k0Ef8BrJLbIfLGDSmc" TargetMode="External"/><Relationship Id="rId9220" Type="http://schemas.openxmlformats.org/officeDocument/2006/relationships/hyperlink" Target="https://drive.google.com/file/d/1bGAtWdCSL-v2iZg1GvRoYwXZwXVqVH3x/view?usp=drive_link" TargetMode="External"/><Relationship Id="rId4365" Type="http://schemas.openxmlformats.org/officeDocument/2006/relationships/hyperlink" Target="https://drive.google.com/file/d/1QcCgoKIa4BKV8CMH169VCZ4OzV5MmXfl/view?usp=sharing" TargetMode="External"/><Relationship Id="rId5763" Type="http://schemas.openxmlformats.org/officeDocument/2006/relationships/hyperlink" Target="https://drive.google.com/file/d/1kc-J8hRrKSY2nZvDmTyMfG2fi0WziOxR/view?usp=sharing" TargetMode="External"/><Relationship Id="rId6814" Type="http://schemas.openxmlformats.org/officeDocument/2006/relationships/hyperlink" Target="https://drive.google.com/file/d/1dHzKo9pizULD2ZH_TrrbSZONaG8RLiT_/view?usp=drive_link" TargetMode="External"/><Relationship Id="rId11150" Type="http://schemas.openxmlformats.org/officeDocument/2006/relationships/hyperlink" Target="https://www.vidio.com/live/20252-fa-cup-2025-26?schedule_id=4833938" TargetMode="External"/><Relationship Id="rId12201" Type="http://schemas.openxmlformats.org/officeDocument/2006/relationships/hyperlink" Target="https://www.vidio.com/live/20269-liga-topskor-greater-jakarta-pekan-pertama-u-14-lapangan-kedung-halang?schedule_id=4833859" TargetMode="External"/><Relationship Id="rId1959" Type="http://schemas.openxmlformats.org/officeDocument/2006/relationships/hyperlink" Target="https://drive.google.com/file/d/18Z8E2RoLEQWV4k0tTQIIBbSVHqgzqvV6/view?usp=sharing" TargetMode="External"/><Relationship Id="rId4018" Type="http://schemas.openxmlformats.org/officeDocument/2006/relationships/hyperlink" Target="https://www.vidio.com/live/17140-spotv-2?schedule_id=4567499" TargetMode="External"/><Relationship Id="rId5416" Type="http://schemas.openxmlformats.org/officeDocument/2006/relationships/hyperlink" Target="https://drive.google.com/file/d/1jD_vBjZWZtoN7auS4k5HJ5egBEboy-ag/view?usp=share_link" TargetMode="External"/><Relationship Id="rId5830" Type="http://schemas.openxmlformats.org/officeDocument/2006/relationships/hyperlink" Target="https://drive.google.com/file/d/1VM39SEQiVGtdQZeLl9vXYANvPSS2-IIg/view?usp=sharing" TargetMode="External"/><Relationship Id="rId8986" Type="http://schemas.openxmlformats.org/officeDocument/2006/relationships/hyperlink" Target="https://drive.google.com/drive/folders/16gD2JVWzjp1xjoc6qJGzOhzQW2ddWfwt" TargetMode="External"/><Relationship Id="rId11967" Type="http://schemas.openxmlformats.org/officeDocument/2006/relationships/hyperlink" Target="https://www.vidio.com/live/18252-petronas-malaysia-open-2026-round-of-32-court-3?schedule_id=4832194" TargetMode="External"/><Relationship Id="rId3381" Type="http://schemas.openxmlformats.org/officeDocument/2006/relationships/hyperlink" Target="https://www.vidio.com/live/19355-bri-super-league?schedule_id=4528734" TargetMode="External"/><Relationship Id="rId4432" Type="http://schemas.openxmlformats.org/officeDocument/2006/relationships/hyperlink" Target="https://drive.google.com/drive/folders/1p-BBE4Q7WYsjaA6zRP-zbxNxOInOSBYU" TargetMode="External"/><Relationship Id="rId7588" Type="http://schemas.openxmlformats.org/officeDocument/2006/relationships/hyperlink" Target="https://drive.google.com/file/d/1aIDGWM-XMP0vzXU8BhNTpwCtky0kxobo/view?usp=drive_link" TargetMode="External"/><Relationship Id="rId8639" Type="http://schemas.openxmlformats.org/officeDocument/2006/relationships/hyperlink" Target="https://drive.google.com/drive/folders/1rl5FGcq4AJPO8LOU0ioroZMKuxSSq8pn?usp=drive_link" TargetMode="External"/><Relationship Id="rId10569" Type="http://schemas.openxmlformats.org/officeDocument/2006/relationships/hyperlink" Target="https://drive.google.com/file/d/16yfOe0eiJyBV_KauuYTB_v2do0woFyoz/view?usp=sharing" TargetMode="External"/><Relationship Id="rId10983" Type="http://schemas.openxmlformats.org/officeDocument/2006/relationships/hyperlink" Target="https://thumbor.prod.vidiocdn.com/eLkdkUw4PgrKTMiXH9i7CMYAKkQ=/filters:quality(70)/vidio-media-production/uploads/image/source/53130/09b733.png" TargetMode="External"/><Relationship Id="rId3034" Type="http://schemas.openxmlformats.org/officeDocument/2006/relationships/hyperlink" Target="https://drive.google.com/file/d/1Sej9jaK-CgqpjEqUrR1aWWJXteh7MMYy/view?usp=sharing" TargetMode="External"/><Relationship Id="rId7655" Type="http://schemas.openxmlformats.org/officeDocument/2006/relationships/hyperlink" Target="https://www.vidio.com/live/19623-national-football-league-2025-26?schedule_id=4626326" TargetMode="External"/><Relationship Id="rId8706" Type="http://schemas.openxmlformats.org/officeDocument/2006/relationships/hyperlink" Target="https://drive.google.com/file/d/1E6MjzZ2rfD_xBDtpYAB-AgJQ9QlslRym/view?usp=drive_link" TargetMode="External"/><Relationship Id="rId10636" Type="http://schemas.openxmlformats.org/officeDocument/2006/relationships/hyperlink" Target="https://www.vidio.com/live/20067-top-youth-premier-league-pekan-ke-15?schedule_id=4776348" TargetMode="External"/><Relationship Id="rId2050" Type="http://schemas.openxmlformats.org/officeDocument/2006/relationships/hyperlink" Target="https://www.vidio.com/live/205-indosiar?schedule_id=4724834" TargetMode="External"/><Relationship Id="rId3101" Type="http://schemas.openxmlformats.org/officeDocument/2006/relationships/hyperlink" Target="https://drive.google.com/drive/folders/165NRzfs_yZiI3c-9NXuKNDEkrTLDm3Wy?usp=drive_link" TargetMode="External"/><Relationship Id="rId6257" Type="http://schemas.openxmlformats.org/officeDocument/2006/relationships/hyperlink" Target="https://drive.google.com/file/d/1OYogmsmwvYhk2d2HrH6Eiu_BQPG81F9C/view?usp=sharing" TargetMode="External"/><Relationship Id="rId6671" Type="http://schemas.openxmlformats.org/officeDocument/2006/relationships/hyperlink" Target="https://drive.google.com/drive/folders/1ohBCaK8DdzJ8IXvOxt-n4pizkPAsRKIc?usp=drive_link" TargetMode="External"/><Relationship Id="rId7308" Type="http://schemas.openxmlformats.org/officeDocument/2006/relationships/hyperlink" Target="https://www.vidio.com/live/19548-national-football-league-2025-26?schedule_id=4585760" TargetMode="External"/><Relationship Id="rId7722" Type="http://schemas.openxmlformats.org/officeDocument/2006/relationships/hyperlink" Target="https://drive.google.com/file/d/1csPssJRAusfRpynLE4Z_2OuyTEz-sIkk/view?usp=sharing" TargetMode="External"/><Relationship Id="rId5273" Type="http://schemas.openxmlformats.org/officeDocument/2006/relationships/hyperlink" Target="https://drive.google.com/drive/folders/1MHGqwy2QQrmGDNGWmmSsnJzPaNBDZt4j" TargetMode="External"/><Relationship Id="rId6324" Type="http://schemas.openxmlformats.org/officeDocument/2006/relationships/hyperlink" Target="https://drive.google.com/file/d/1FEF5BYI6ay9uCGpFZIAxy2KiNYCP7ZXG/view?usp=sharing" TargetMode="External"/><Relationship Id="rId10703" Type="http://schemas.openxmlformats.org/officeDocument/2006/relationships/hyperlink" Target="https://drive.google.com/drive/folders/1LMCZrmL3kmU1C7udFpOYuxwt6rZPYDGf?usp=sharing" TargetMode="External"/><Relationship Id="rId839" Type="http://schemas.openxmlformats.org/officeDocument/2006/relationships/hyperlink" Target="https://drive.google.com/file/d/1P8sz5qKD5nAj23nPPTxPm4ybPKFcpPRo/view?usp=sharing" TargetMode="External"/><Relationship Id="rId1469" Type="http://schemas.openxmlformats.org/officeDocument/2006/relationships/hyperlink" Target="https://drive.google.com/drive/folders/19Fn56tNDggBZj-3hThrvS6SeGKqiELN4?usp=drive_link" TargetMode="External"/><Relationship Id="rId2867" Type="http://schemas.openxmlformats.org/officeDocument/2006/relationships/hyperlink" Target="https://drive.google.com/drive/folders/1EjFTzZaElM_nUUnRO1yv537xq-gd78P_?usp=drive_link" TargetMode="External"/><Relationship Id="rId3918" Type="http://schemas.openxmlformats.org/officeDocument/2006/relationships/hyperlink" Target="https://drive.google.com/file/d/1QEulLw_Smpm6q6M5nFdmrFWKhS5ywnpm/view?usp=sharing" TargetMode="External"/><Relationship Id="rId5340" Type="http://schemas.openxmlformats.org/officeDocument/2006/relationships/hyperlink" Target="https://drive.google.com/file/d/1llYGEk-0rdqoMK1PWp291251U7IRmWO4/view?usp=sharing" TargetMode="External"/><Relationship Id="rId8496" Type="http://schemas.openxmlformats.org/officeDocument/2006/relationships/hyperlink" Target="https://drive.google.com/file/d/1bPRDLsVyzDdpb8zGWGzwkFF1-sIWP7N2/view?usp=drive_link" TargetMode="External"/><Relationship Id="rId9547" Type="http://schemas.openxmlformats.org/officeDocument/2006/relationships/hyperlink" Target="https://drive.google.com/file/d/1bGAtWdCSL-v2iZg1GvRoYwXZwXVqVH3x/view" TargetMode="External"/><Relationship Id="rId9894" Type="http://schemas.openxmlformats.org/officeDocument/2006/relationships/hyperlink" Target="https://drive.google.com/drive/folders/1XzdBW9kmkD0LEGKiY9qOnAokESUpuirY" TargetMode="External"/><Relationship Id="rId1883" Type="http://schemas.openxmlformats.org/officeDocument/2006/relationships/hyperlink" Target="https://drive.google.com/file/d/1cEtCE6EALFO2SghhdUnh1jR2CEnWvjP8/view?usp=sharing" TargetMode="External"/><Relationship Id="rId2934" Type="http://schemas.openxmlformats.org/officeDocument/2006/relationships/hyperlink" Target="https://drive.google.com/file/d/13k-lbNb2qWsfzbKqG7nzcd3qYP0pCyiL/view?usp=sharing" TargetMode="External"/><Relationship Id="rId7098" Type="http://schemas.openxmlformats.org/officeDocument/2006/relationships/hyperlink" Target="https://drive.google.com/file/d/1I8UpTnD_oYw6BX6C5kJgX-ZHx50ls0F1/view?usp=sharing" TargetMode="External"/><Relationship Id="rId8149" Type="http://schemas.openxmlformats.org/officeDocument/2006/relationships/hyperlink" Target="https://drive.google.com/file/d/1klh0iCov-m3744dCoL6hgowF44RTUeKU/view?usp=sharing" TargetMode="External"/><Relationship Id="rId9961" Type="http://schemas.openxmlformats.org/officeDocument/2006/relationships/hyperlink" Target="https://www.vidio.com/live/6299-bein-1?schedule_id=4792899" TargetMode="External"/><Relationship Id="rId11477" Type="http://schemas.openxmlformats.org/officeDocument/2006/relationships/hyperlink" Target="https://drive.google.com/drive/folders/1Hl6PqKLZehwzOzCWj0sHzUtGdSkqOn4O" TargetMode="External"/><Relationship Id="rId11891" Type="http://schemas.openxmlformats.org/officeDocument/2006/relationships/hyperlink" Target="https://drive.google.com/file/d/1_VFmtjeoa1jB6YMFl35R4XO6xs8PdX7H/view?usp=sharing" TargetMode="External"/><Relationship Id="rId906" Type="http://schemas.openxmlformats.org/officeDocument/2006/relationships/hyperlink" Target="https://www.vidio.com/live/18796-premier-league?schedule_id=4759282" TargetMode="External"/><Relationship Id="rId1536" Type="http://schemas.openxmlformats.org/officeDocument/2006/relationships/hyperlink" Target="https://drive.google.com/file/d/1IsDysgPdYofF-xcisMv7WquQ0x_B9s6a/view?usp=drive_link" TargetMode="External"/><Relationship Id="rId1950" Type="http://schemas.openxmlformats.org/officeDocument/2006/relationships/hyperlink" Target="https://drive.google.com/drive/u/0/folders/1kGHtJTboMQzt_AXOEFOdRLfI5nrFLPAB" TargetMode="External"/><Relationship Id="rId8563" Type="http://schemas.openxmlformats.org/officeDocument/2006/relationships/hyperlink" Target="https://drive.google.com/drive/folders/1rV6iBF3BUVJGKbJLmmi7Oe55VA7Nav1A" TargetMode="External"/><Relationship Id="rId9614" Type="http://schemas.openxmlformats.org/officeDocument/2006/relationships/hyperlink" Target="https://www.vidio.com/live/20048-fivb-women-s-volleyball-club-world-championship-2025?schedule_id=4773123" TargetMode="External"/><Relationship Id="rId10079" Type="http://schemas.openxmlformats.org/officeDocument/2006/relationships/hyperlink" Target="https://drive.google.com/drive/folders/1npdP_lK91Otwzr0kumBBIu8ZOXJUY9dA?usp=drive_link" TargetMode="External"/><Relationship Id="rId10493" Type="http://schemas.openxmlformats.org/officeDocument/2006/relationships/hyperlink" Target="https://drive.google.com/file/d/1DNux4glLBnqI-DzUHKvsJVIQIe0fQ_QF/view?usp=sharing" TargetMode="External"/><Relationship Id="rId11544" Type="http://schemas.openxmlformats.org/officeDocument/2006/relationships/hyperlink" Target="https://drive.google.com/file/d/1D5cHpKEDVQ2YTtQXutUCqFDZxtlwlpac/view?usp=sharing" TargetMode="External"/><Relationship Id="rId1603" Type="http://schemas.openxmlformats.org/officeDocument/2006/relationships/hyperlink" Target="https://drive.google.com/file/d/1K4T5sVdXG18pBJvLAvs9An0SSeniXj7A/view?usp=drive_link" TargetMode="External"/><Relationship Id="rId4759" Type="http://schemas.openxmlformats.org/officeDocument/2006/relationships/hyperlink" Target="https://drive.google.com/drive/folders/1WmGriRtxG_7m1Gdrl3sTpvwP18e4fJOb?usp=drive_link" TargetMode="External"/><Relationship Id="rId7165" Type="http://schemas.openxmlformats.org/officeDocument/2006/relationships/hyperlink" Target="https://drive.google.com/drive/folders/1NepG6XT-FSa8Cs07sX3tPfQWLNpJfAxp" TargetMode="External"/><Relationship Id="rId8216" Type="http://schemas.openxmlformats.org/officeDocument/2006/relationships/hyperlink" Target="https://drive.google.com/file/d/1wcJOTQ8ZXe2yrCzbuyikcB1JXdt6qkzY/view?usp=drive_link" TargetMode="External"/><Relationship Id="rId8630" Type="http://schemas.openxmlformats.org/officeDocument/2006/relationships/hyperlink" Target="https://drive.google.com/file/d/1ijxc-_zLMtQtQSL9WoegtEZ6LnagQFAH/view?usp=sharing" TargetMode="External"/><Relationship Id="rId10146" Type="http://schemas.openxmlformats.org/officeDocument/2006/relationships/hyperlink" Target="https://drive.google.com/file/d/1TWqXmIhn34fr7s0Ev2RsjcLllfpLmJg2/view?usp=sharing" TargetMode="External"/><Relationship Id="rId10560" Type="http://schemas.openxmlformats.org/officeDocument/2006/relationships/hyperlink" Target="https://drive.google.com/file/d/1weNq4DW5d0ShzrnFatNWSOoLIchiaHL_/view?usp=sharing" TargetMode="External"/><Relationship Id="rId11611" Type="http://schemas.openxmlformats.org/officeDocument/2006/relationships/hyperlink" Target="https://drive.google.com/drive/folders/1M9jlSLBwgHpe96gZsNgIznuyt4lWfw9j?usp=drive_link" TargetMode="External"/><Relationship Id="rId3775" Type="http://schemas.openxmlformats.org/officeDocument/2006/relationships/hyperlink" Target="https://drive.google.com/file/d/1tGyq2ECzuDqyHHnubPPlx4648Yuudg3H/view?usp=sharing" TargetMode="External"/><Relationship Id="rId4826" Type="http://schemas.openxmlformats.org/officeDocument/2006/relationships/hyperlink" Target="https://drive.google.com/drive/folders/1-QRSxTgQUjzxHcVuI3BnhxGmdrajAjwE?usp=drive_link" TargetMode="External"/><Relationship Id="rId6181" Type="http://schemas.openxmlformats.org/officeDocument/2006/relationships/hyperlink" Target="https://drive.google.com/file/d/1IcZ7qYU83U7z8sU4WS-yeZafydTZ8XgW/view?usp=sharing" TargetMode="External"/><Relationship Id="rId7232" Type="http://schemas.openxmlformats.org/officeDocument/2006/relationships/hyperlink" Target="https://drive.google.com/file/d/1K8BwTiSlPbFx7-CWvqhn7eY4O7PDkxXE/view?usp=sharing" TargetMode="External"/><Relationship Id="rId10213" Type="http://schemas.openxmlformats.org/officeDocument/2006/relationships/hyperlink" Target="https://drive.google.com/file/d/1mPxoRj2wuWBoGMYeRsgjDoZKtRbMXCHG/view?usp=sharing" TargetMode="External"/><Relationship Id="rId696" Type="http://schemas.openxmlformats.org/officeDocument/2006/relationships/hyperlink" Target="https://www.vidio.com/live/9182-champions-tv-5?schedule_id=4707255" TargetMode="External"/><Relationship Id="rId2377" Type="http://schemas.openxmlformats.org/officeDocument/2006/relationships/hyperlink" Target="https://drive.google.com/file/d/1-MUkt0mP4cebHqxA-SH-_fkDE3GUUmDN/view?usp=drive_link" TargetMode="External"/><Relationship Id="rId2791" Type="http://schemas.openxmlformats.org/officeDocument/2006/relationships/hyperlink" Target="https://www.vidio.com/live/6299-bein-1?schedule_id=4671775" TargetMode="External"/><Relationship Id="rId3428" Type="http://schemas.openxmlformats.org/officeDocument/2006/relationships/hyperlink" Target="https://drive.google.com/file/d/1UuIRNhOEvid_5DmgXxMp285uClRkiafN/view?usp=sharing" TargetMode="External"/><Relationship Id="rId12385" Type="http://schemas.openxmlformats.org/officeDocument/2006/relationships/hyperlink" Target="https://drive.google.com/file/d/1QU7f_kJOwoVWtAMjp7ybswNoG2DihFYJ/view?usp=sharing" TargetMode="External"/><Relationship Id="rId349" Type="http://schemas.openxmlformats.org/officeDocument/2006/relationships/hyperlink" Target="https://drive.google.com/file/d/1ctCFy3t9Af3wJSIKf5psNdiQjzRwBuU4/view?usp=sharing" TargetMode="External"/><Relationship Id="rId763" Type="http://schemas.openxmlformats.org/officeDocument/2006/relationships/hyperlink" Target="https://drive.google.com/drive/folders/1bCofipDob2S2_-RBI1cih-Mjl5YqeYlp?usp=drive_link" TargetMode="External"/><Relationship Id="rId1393" Type="http://schemas.openxmlformats.org/officeDocument/2006/relationships/hyperlink" Target="https://drive.google.com/drive/folders/1pgQR-dsLnbLdNZyyyr3lnOCBvJ-4mfby?usp=drive_link" TargetMode="External"/><Relationship Id="rId2444" Type="http://schemas.openxmlformats.org/officeDocument/2006/relationships/hyperlink" Target="https://drive.google.com/drive/folders/1JwP4lJnLGyO-yaAeCCMSvIFrc0L0M03F?usp=drive_link" TargetMode="External"/><Relationship Id="rId3842" Type="http://schemas.openxmlformats.org/officeDocument/2006/relationships/hyperlink" Target="https://www.vidio.com/live/6685-champions-tv-1?schedule_id=4769411" TargetMode="External"/><Relationship Id="rId6998" Type="http://schemas.openxmlformats.org/officeDocument/2006/relationships/hyperlink" Target="https://drive.google.com/file/d/1JKsgVwj7vlPzARDm0_bEZVwG9NP_xVla/view?usp=sharing" TargetMode="External"/><Relationship Id="rId9057" Type="http://schemas.openxmlformats.org/officeDocument/2006/relationships/hyperlink" Target="https://drive.google.com/file/d/1-sYn1jdSQVsNL3_uR-ZHwK2rt5vddZwu/view?usp=sharing" TargetMode="External"/><Relationship Id="rId9471" Type="http://schemas.openxmlformats.org/officeDocument/2006/relationships/hyperlink" Target="https://drive.google.com/drive/folders/1uAVbWs9B3ZfxvBvzC0MJtHXvh4nrBMxI" TargetMode="External"/><Relationship Id="rId12038" Type="http://schemas.openxmlformats.org/officeDocument/2006/relationships/hyperlink" Target="https://www.vidio.com/live/18249-petronas-malaysia-open-2026-round-of-16-court-1?schedule_id=4832350" TargetMode="External"/><Relationship Id="rId416" Type="http://schemas.openxmlformats.org/officeDocument/2006/relationships/hyperlink" Target="https://www.vidio.com/live/9182-champions-tv-5?schedule_id=4598337" TargetMode="External"/><Relationship Id="rId1046" Type="http://schemas.openxmlformats.org/officeDocument/2006/relationships/hyperlink" Target="https://drive.google.com/file/d/1phb8J3rMQd5hTBaldk32zeRzuRELZ4h2/view?usp=drive_link" TargetMode="External"/><Relationship Id="rId8073" Type="http://schemas.openxmlformats.org/officeDocument/2006/relationships/hyperlink" Target="https://drive.google.com/drive/folders/1IY63Pb3CkWjX5mQoMOZ4OJtKLtdRAQiM?usp=drive_link" TargetMode="External"/><Relationship Id="rId9124" Type="http://schemas.openxmlformats.org/officeDocument/2006/relationships/hyperlink" Target="https://drive.google.com/file/d/1dbzr0lo4pCFMkbqEeQ8RHdJViv7s-2ge/view?usp=sharing" TargetMode="External"/><Relationship Id="rId12452" Type="http://schemas.openxmlformats.org/officeDocument/2006/relationships/hyperlink" Target="https://www.vidio.com/live/18249-petronas-malaysia-open-2026-semifinals?schedule_id=4835427" TargetMode="External"/><Relationship Id="rId830" Type="http://schemas.openxmlformats.org/officeDocument/2006/relationships/hyperlink" Target="https://drive.google.com/drive/folders/1WB5RMrJafdkxgc0CdZvq6o2Z-yCqfWQu?usp=drive_link" TargetMode="External"/><Relationship Id="rId1460" Type="http://schemas.openxmlformats.org/officeDocument/2006/relationships/hyperlink" Target="https://drive.google.com/drive/folders/1B2krtiltW8d4yjvm4Tu2xTimMY39hmGC" TargetMode="External"/><Relationship Id="rId2511" Type="http://schemas.openxmlformats.org/officeDocument/2006/relationships/hyperlink" Target="https://drive.google.com/file/d/1RrQ-AdwJH3Ppi4gO2Z7FotKyUYk4ltgw/view?usp=sharing" TargetMode="External"/><Relationship Id="rId5667" Type="http://schemas.openxmlformats.org/officeDocument/2006/relationships/hyperlink" Target="https://www.vidio.com/live/6299-bein-1?schedule_id=4613305" TargetMode="External"/><Relationship Id="rId6718" Type="http://schemas.openxmlformats.org/officeDocument/2006/relationships/hyperlink" Target="https://www.vidio.com/live/6685-champions-tv-1?schedule_id=4596522" TargetMode="External"/><Relationship Id="rId11054" Type="http://schemas.openxmlformats.org/officeDocument/2006/relationships/hyperlink" Target="https://thumbor.prod.vidiocdn.com/YCCX-kUKfqXT6tLVh4jM0Z9NoLA=/filters:quality(70)/vidio-media-production/uploads/image/source/53195/5873bf.png" TargetMode="External"/><Relationship Id="rId12105" Type="http://schemas.openxmlformats.org/officeDocument/2006/relationships/hyperlink" Target="https://drive.google.com/drive/folders/1y_mGPCoON9jW62Lb8x5K2d_YVzyt7dym" TargetMode="External"/><Relationship Id="rId1113" Type="http://schemas.openxmlformats.org/officeDocument/2006/relationships/hyperlink" Target="https://www.vidio.com/live/19536-premier-league?schedule_id=4792905" TargetMode="External"/><Relationship Id="rId4269" Type="http://schemas.openxmlformats.org/officeDocument/2006/relationships/hyperlink" Target="https://drive.google.com/file/d/1Z8HYfEzEl0w3WPM5OusThvXVbAtxgOlg/view?usp=sharing" TargetMode="External"/><Relationship Id="rId4683" Type="http://schemas.openxmlformats.org/officeDocument/2006/relationships/hyperlink" Target="https://drive.google.com/file/d/1cu07KzP1uXCW9s8rjws_rTJWby2vFjc6/view?usp=sharing" TargetMode="External"/><Relationship Id="rId5734" Type="http://schemas.openxmlformats.org/officeDocument/2006/relationships/hyperlink" Target="https://drive.google.com/file/d/16Yisj8gK0bf8OdZVYJcSWzrxMWYWgQU5/view?usp=sharing" TargetMode="External"/><Relationship Id="rId8140" Type="http://schemas.openxmlformats.org/officeDocument/2006/relationships/hyperlink" Target="https://drive.google.com/drive/folders/1Ghj3z1_bCmQSKG6Tn4qEhXJLtRq1SxKA" TargetMode="External"/><Relationship Id="rId10070" Type="http://schemas.openxmlformats.org/officeDocument/2006/relationships/hyperlink" Target="https://www.vidio.com/live/19548-national-football-league-2025-26?schedule_id=4768867" TargetMode="External"/><Relationship Id="rId11121" Type="http://schemas.openxmlformats.org/officeDocument/2006/relationships/hyperlink" Target="https://thumbor.prod.vidiocdn.com/SjH4y_cTRtTI8q3kFtl-qxpK34E=/filters:quality(70)/vidio-media-production/uploads/image/source/53148/ad48f6.png" TargetMode="External"/><Relationship Id="rId3285" Type="http://schemas.openxmlformats.org/officeDocument/2006/relationships/hyperlink" Target="https://drive.google.com/drive/folders/1fiW3DeI1wXBuSFXbzAQLkii9N7cb44_V?usp=drive_link" TargetMode="External"/><Relationship Id="rId4336" Type="http://schemas.openxmlformats.org/officeDocument/2006/relationships/hyperlink" Target="https://drive.google.com/file/d/1ZQhQREWL8zqO8DXksP3ZRy_SP9WIwhYw/view?usp=sharing" TargetMode="External"/><Relationship Id="rId4750" Type="http://schemas.openxmlformats.org/officeDocument/2006/relationships/hyperlink" Target="https://drive.google.com/drive/folders/1424oga-yCcjZiRf3GyLJo12RZmw4TNVu?usp=drive_link" TargetMode="External"/><Relationship Id="rId5801" Type="http://schemas.openxmlformats.org/officeDocument/2006/relationships/hyperlink" Target="https://drive.google.com/drive/folders/13eQLR64HrKbyWDLlQsn3dQSDucgsN6sA?usp=drive_link" TargetMode="External"/><Relationship Id="rId8957" Type="http://schemas.openxmlformats.org/officeDocument/2006/relationships/hyperlink" Target="https://drive.google.com/drive/folders/1wq-tX_6e-qhnUje4bi3T04HksARRZ5uo?usp=drive_link" TargetMode="External"/><Relationship Id="rId3352" Type="http://schemas.openxmlformats.org/officeDocument/2006/relationships/hyperlink" Target="https://drive.google.com/file/d/1qfi4SYeew_nn_VXPlJAC3OPSMtXqKRNk/view?usp=sharing" TargetMode="External"/><Relationship Id="rId4403" Type="http://schemas.openxmlformats.org/officeDocument/2006/relationships/hyperlink" Target="https://drive.google.com/drive/folders/1BI4KzOAQRZf3h07WbWlLAvqLLpBcQ-K0?usp=drive_link" TargetMode="External"/><Relationship Id="rId7559" Type="http://schemas.openxmlformats.org/officeDocument/2006/relationships/hyperlink" Target="https://drive.google.com/file/d/1gBWnZypsbOITxbbsOZe-aMRMn3QwD6MX/view?usp=sharing" TargetMode="External"/><Relationship Id="rId10887" Type="http://schemas.openxmlformats.org/officeDocument/2006/relationships/hyperlink" Target="https://drive.google.com/drive/folders/1tvjxvo3Z9U40bjdWOnfXzxHMgTUsDECs" TargetMode="External"/><Relationship Id="rId11938" Type="http://schemas.openxmlformats.org/officeDocument/2006/relationships/hyperlink" Target="https://drive.google.com/drive/folders/1gqnmBiDc9HaK7fTi5sC9yJeePuPZJkd8?usp=drive_link" TargetMode="External"/><Relationship Id="rId273" Type="http://schemas.openxmlformats.org/officeDocument/2006/relationships/hyperlink" Target="https://drive.google.com/drive/folders/14yazf4KncpDzM8itz7pecYqY63sHEoXi?usp=drive_link" TargetMode="External"/><Relationship Id="rId3005" Type="http://schemas.openxmlformats.org/officeDocument/2006/relationships/hyperlink" Target="https://drive.google.com/drive/folders/1anXhNQzaFeO9Ot9w1CoZlx8PZoX53y3q?usp=drive_link" TargetMode="External"/><Relationship Id="rId6575" Type="http://schemas.openxmlformats.org/officeDocument/2006/relationships/hyperlink" Target="https://www.vidio.com/live/19648-uefa-conference-league?schedule_id=4783302" TargetMode="External"/><Relationship Id="rId7626" Type="http://schemas.openxmlformats.org/officeDocument/2006/relationships/hyperlink" Target="https://www.vidio.com/live/6317-bein-3?schedule_id=4636583" TargetMode="External"/><Relationship Id="rId7973" Type="http://schemas.openxmlformats.org/officeDocument/2006/relationships/hyperlink" Target="https://www.vidio.com/live/6317-bein-3?schedule_id=4713693" TargetMode="External"/><Relationship Id="rId10954" Type="http://schemas.openxmlformats.org/officeDocument/2006/relationships/hyperlink" Target="https://www.vidio.com/live/18250-hsbc-bwf-world-tour-finals-2025-group-stage-court-2?schedule_id=4783273" TargetMode="External"/><Relationship Id="rId340" Type="http://schemas.openxmlformats.org/officeDocument/2006/relationships/hyperlink" Target="https://drive.google.com/drive/folders/16KPsK9K0mVahy0NKMh1LLjDSdQ-qrIKf?usp=drive_link" TargetMode="External"/><Relationship Id="rId2021" Type="http://schemas.openxmlformats.org/officeDocument/2006/relationships/hyperlink" Target="https://drive.google.com/drive/folders/1YQ5FrD8p5mNbpJGi9-JGAoMPnDe3s9dJ" TargetMode="External"/><Relationship Id="rId5177" Type="http://schemas.openxmlformats.org/officeDocument/2006/relationships/hyperlink" Target="https://www.vidio.com/live/18305-uefa-champions-league?schedule_id=4664047" TargetMode="External"/><Relationship Id="rId6228" Type="http://schemas.openxmlformats.org/officeDocument/2006/relationships/hyperlink" Target="https://www.vidio.com/live/19643-uefa-conference-league?schedule_id=4664179" TargetMode="External"/><Relationship Id="rId10607" Type="http://schemas.openxmlformats.org/officeDocument/2006/relationships/hyperlink" Target="https://drive.google.com/file/d/1bGAtWdCSL-v2iZg1GvRoYwXZwXVqVH3x/view" TargetMode="External"/><Relationship Id="rId4193" Type="http://schemas.openxmlformats.org/officeDocument/2006/relationships/hyperlink" Target="https://drive.google.com/file/d/1FMm8vFOeYDcj0ve5ciSLhq6mySXpU6ns/view?usp=drive_link" TargetMode="External"/><Relationship Id="rId5591" Type="http://schemas.openxmlformats.org/officeDocument/2006/relationships/hyperlink" Target="https://drive.google.com/file/d/1wxwlC7tKSwFqVp9SfRb74tyXJV9Xu5Bk/view?usp=drive_link" TargetMode="External"/><Relationship Id="rId6642" Type="http://schemas.openxmlformats.org/officeDocument/2006/relationships/hyperlink" Target="https://www.vidio.com/live/19650-uefa-conference-league?schedule_id=4783310" TargetMode="External"/><Relationship Id="rId9798" Type="http://schemas.openxmlformats.org/officeDocument/2006/relationships/hyperlink" Target="https://drive.google.com/file/d/1bGAtWdCSL-v2iZg1GvRoYwXZwXVqVH3x/view" TargetMode="External"/><Relationship Id="rId1787" Type="http://schemas.openxmlformats.org/officeDocument/2006/relationships/hyperlink" Target="https://drive.google.com/file/d/14TGB1cmW93Ko0MOD3X0Am1IT0kOBTSDj/view?usp=drive_link" TargetMode="External"/><Relationship Id="rId2838" Type="http://schemas.openxmlformats.org/officeDocument/2006/relationships/hyperlink" Target="https://drive.google.com/drive/folders/1cA9KxSRTjbGHfV97cQx2X2tYvii98MF_?usp=drive_link" TargetMode="External"/><Relationship Id="rId5244" Type="http://schemas.openxmlformats.org/officeDocument/2006/relationships/hyperlink" Target="https://www.vidio.com/live/17883-uefa-champions-league?schedule_id=4680963" TargetMode="External"/><Relationship Id="rId9865" Type="http://schemas.openxmlformats.org/officeDocument/2006/relationships/hyperlink" Target="https://drive.google.com/file/d/1bGAtWdCSL-v2iZg1GvRoYwXZwXVqVH3x/view?usp=sharing" TargetMode="External"/><Relationship Id="rId11795" Type="http://schemas.openxmlformats.org/officeDocument/2006/relationships/hyperlink" Target="https://drive.google.com/drive/folders/1xvNuswFOEbiO71b4MpS3_3vDyhaO6Fzk?usp=drive_link" TargetMode="External"/><Relationship Id="rId79" Type="http://schemas.openxmlformats.org/officeDocument/2006/relationships/hyperlink" Target="https://www.vidio.com/live/9183-champions-tv-6?schedule_id=4496991" TargetMode="External"/><Relationship Id="rId1854" Type="http://schemas.openxmlformats.org/officeDocument/2006/relationships/hyperlink" Target="https://drive.google.com/file/d/1aY_RF9EP3vcgWBOP9JRkGs43E9reOVkD/view?usp=drive_link" TargetMode="External"/><Relationship Id="rId2905" Type="http://schemas.openxmlformats.org/officeDocument/2006/relationships/hyperlink" Target="https://drive.google.com/file/d/1wl1XqqpIJJ1yiYo3QBSBGkLr8nI7Cz_K/view?usp=sharing" TargetMode="External"/><Relationship Id="rId4260" Type="http://schemas.openxmlformats.org/officeDocument/2006/relationships/hyperlink" Target="https://www.vidio.com/live/19404-serie-a?schedule_id=4666187" TargetMode="External"/><Relationship Id="rId5311" Type="http://schemas.openxmlformats.org/officeDocument/2006/relationships/hyperlink" Target="https://drive.google.com/drive/folders/1UKCEqs5qbXkYPGFSd6cbyUVBJoP0Cif9" TargetMode="External"/><Relationship Id="rId8467" Type="http://schemas.openxmlformats.org/officeDocument/2006/relationships/hyperlink" Target="https://drive.google.com/file/d/1k2dcbp2T0GYl2Jxn4JWw0Ru6lKTFCOLv/view?usp=sharing" TargetMode="External"/><Relationship Id="rId8881" Type="http://schemas.openxmlformats.org/officeDocument/2006/relationships/hyperlink" Target="https://www.vidio.com/live/19543-pegadaian-championship-2025-26?schedule_id=4790742" TargetMode="External"/><Relationship Id="rId9518" Type="http://schemas.openxmlformats.org/officeDocument/2006/relationships/hyperlink" Target="https://drive.google.com/file/d/19bBqKw00ZBcCuIPQH_TMQzHkclPP6plE/view?usp=sharing" TargetMode="External"/><Relationship Id="rId9932" Type="http://schemas.openxmlformats.org/officeDocument/2006/relationships/hyperlink" Target="https://drive.google.com/drive/folders/1ipONsNCS870YhhM5tyunsAGvYbhtjRJy?usp=drive_link" TargetMode="External"/><Relationship Id="rId10397" Type="http://schemas.openxmlformats.org/officeDocument/2006/relationships/hyperlink" Target="https://www.vidio.com/live/19737-turkish-volleyball-league?schedule_id=4783285" TargetMode="External"/><Relationship Id="rId11448" Type="http://schemas.openxmlformats.org/officeDocument/2006/relationships/hyperlink" Target="https://drive.google.com/file/d/1_HFq8MOoppJCzo4J5dpuUDP_ZQCy_AEp/view?usp=sharing" TargetMode="External"/><Relationship Id="rId1507" Type="http://schemas.openxmlformats.org/officeDocument/2006/relationships/hyperlink" Target="https://drive.google.com/drive/folders/1qD0UCPIH6O186jVAyz8t1msncShYTz3T?usp=drive_link" TargetMode="External"/><Relationship Id="rId7069" Type="http://schemas.openxmlformats.org/officeDocument/2006/relationships/hyperlink" Target="https://drive.google.com/drive/folders/1T2gwiXNmprjsxmp6MI4HC1nICt8d6xi3?usp=drive_link" TargetMode="External"/><Relationship Id="rId7483" Type="http://schemas.openxmlformats.org/officeDocument/2006/relationships/hyperlink" Target="https://www.vidio.com/live/19587-top-youth-premier-league-2025-matchday-4?schedule_id=4585750" TargetMode="External"/><Relationship Id="rId8534" Type="http://schemas.openxmlformats.org/officeDocument/2006/relationships/hyperlink" Target="https://drive.google.com/file/d/1HI1BNsadX1IILN8cdlQtYuz13Uh-X9mG/view?usp=sharing" TargetMode="External"/><Relationship Id="rId10464" Type="http://schemas.openxmlformats.org/officeDocument/2006/relationships/hyperlink" Target="https://www.vidio.com/live/20040-top-youth-premier-league-2025-pekan-ke-13?schedule_id=4766504" TargetMode="External"/><Relationship Id="rId11862" Type="http://schemas.openxmlformats.org/officeDocument/2006/relationships/hyperlink" Target="https://www.vidio.com/live/18250-petronas-malaysia-open-2026-round-of-32-court-2?schedule_id=4831560" TargetMode="External"/><Relationship Id="rId1921" Type="http://schemas.openxmlformats.org/officeDocument/2006/relationships/hyperlink" Target="https://drive.google.com/drive/folders/1sWicJqoaSH9mlydQ6dcKIBz0rNXJ2bUv" TargetMode="External"/><Relationship Id="rId3679" Type="http://schemas.openxmlformats.org/officeDocument/2006/relationships/hyperlink" Target="https://drive.google.com/file/d/1s50WHPxMWJFwup5kpbN4GLczHxLmOZf2/view?usp=sharing" TargetMode="External"/><Relationship Id="rId6085" Type="http://schemas.openxmlformats.org/officeDocument/2006/relationships/hyperlink" Target="https://drive.google.com/file/d/1i2dJTB_YuX8PTEuM3BsiMvGXNp_uc3VS/view?usp=drive_link" TargetMode="External"/><Relationship Id="rId7136" Type="http://schemas.openxmlformats.org/officeDocument/2006/relationships/hyperlink" Target="https://drive.google.com/drive/folders/1QuW8HGm8Gy5DKzFtp0IqY8763E-ORETq?usp=drive_link" TargetMode="External"/><Relationship Id="rId7550" Type="http://schemas.openxmlformats.org/officeDocument/2006/relationships/hyperlink" Target="https://drive.google.com/file/d/17qnECYEeD2_bfO8dW_FdQnxJNaooQvVd/view?usp=sharing" TargetMode="External"/><Relationship Id="rId10117" Type="http://schemas.openxmlformats.org/officeDocument/2006/relationships/hyperlink" Target="https://www.vidio.com/live/19996?schedule_id=4743072" TargetMode="External"/><Relationship Id="rId11515" Type="http://schemas.openxmlformats.org/officeDocument/2006/relationships/hyperlink" Target="https://thumbor.prod.vidiocdn.com/z8WlebtYGekzrvyJeqLF_2Jv5wM=/filters:quality(70)/vidio-media-production/uploads/image/source/53061/b2e6fd.png" TargetMode="External"/><Relationship Id="rId6152" Type="http://schemas.openxmlformats.org/officeDocument/2006/relationships/hyperlink" Target="https://drive.google.com/drive/folders/1z0QSLmNvSJyyT8FLEYRkw6ibg9dSBAVC" TargetMode="External"/><Relationship Id="rId7203" Type="http://schemas.openxmlformats.org/officeDocument/2006/relationships/hyperlink" Target="https://www.vidio.com/live/19556-top-youth-premier-league-2025-matchday-3?schedule_id=4569328" TargetMode="External"/><Relationship Id="rId8601" Type="http://schemas.openxmlformats.org/officeDocument/2006/relationships/hyperlink" Target="https://www.vidio.com/live/19542-pegadaian-championship-2025-26?schedule_id=4720760" TargetMode="External"/><Relationship Id="rId10531" Type="http://schemas.openxmlformats.org/officeDocument/2006/relationships/hyperlink" Target="https://www.vidio.com/live/17139-spotv?schedule_id=4783690" TargetMode="External"/><Relationship Id="rId1297" Type="http://schemas.openxmlformats.org/officeDocument/2006/relationships/hyperlink" Target="https://drive.google.com/drive/folders/1y6YccXGwN3X0O3w78M3hEZUwBTx8p8lW?usp=drive_link" TargetMode="External"/><Relationship Id="rId2695" Type="http://schemas.openxmlformats.org/officeDocument/2006/relationships/hyperlink" Target="https://www.vidio.com/live/17323-laliga?schedule_id=4652438" TargetMode="External"/><Relationship Id="rId3746" Type="http://schemas.openxmlformats.org/officeDocument/2006/relationships/hyperlink" Target="https://drive.google.com/file/d/1dZDWo51DHt9H1PYRLIqiuwjktZ3cBoWr/view?usp=sharing" TargetMode="External"/><Relationship Id="rId12289" Type="http://schemas.openxmlformats.org/officeDocument/2006/relationships/hyperlink" Target="https://drive.google.com/file/d/17nqJ8YbOWxi4DOQmMA4_VvY1qMuE4tM4/view?usp=drive_link" TargetMode="External"/><Relationship Id="rId667" Type="http://schemas.openxmlformats.org/officeDocument/2006/relationships/hyperlink" Target="https://drive.google.com/drive/folders/1gxEa7UA58BK0GHAU5JaTwXT3eUV4xIs_?usp=drive_link" TargetMode="External"/><Relationship Id="rId2348" Type="http://schemas.openxmlformats.org/officeDocument/2006/relationships/hyperlink" Target="https://drive.google.com/file/d/1CsUsswOwrOi6VqMrlQuGR1nJ5cA63t6H/view?usp=drive_link" TargetMode="External"/><Relationship Id="rId2762" Type="http://schemas.openxmlformats.org/officeDocument/2006/relationships/hyperlink" Target="https://www.vidio.com/live/6317-bein-3?schedule_id=4665856" TargetMode="External"/><Relationship Id="rId3813" Type="http://schemas.openxmlformats.org/officeDocument/2006/relationships/hyperlink" Target="https://drive.google.com/drive/folders/1Hh3cUK0poqF_9g0K2jtcnDoDnGZKJBLF?usp=sharing" TargetMode="External"/><Relationship Id="rId6969" Type="http://schemas.openxmlformats.org/officeDocument/2006/relationships/hyperlink" Target="https://www.vidio.com/live/19541-pegadaian-chahttps:/www.vidio.com/live/19541-pegadaian-championship-2025-26?schedule_id=4599294mpionship-2025-26?schedule_id=4599294" TargetMode="External"/><Relationship Id="rId9028" Type="http://schemas.openxmlformats.org/officeDocument/2006/relationships/hyperlink" Target="https://drive.google.com/file/d/1mQKZAewWZYPS16Lwd3pXecOSXRtgNaYu/view?usp=sharing" TargetMode="External"/><Relationship Id="rId9375" Type="http://schemas.openxmlformats.org/officeDocument/2006/relationships/hyperlink" Target="https://www.vidio.com/live/19542-pegadaian-championship-2025-26?schedule_id=4803418" TargetMode="External"/><Relationship Id="rId12356" Type="http://schemas.openxmlformats.org/officeDocument/2006/relationships/hyperlink" Target="https://drive.google.com/drive/folders/1b4k6Xd9bYzvR8tmKEmYOqigP2l0r7KIX" TargetMode="External"/><Relationship Id="rId734" Type="http://schemas.openxmlformats.org/officeDocument/2006/relationships/hyperlink" Target="https://drive.google.com/drive/folders/1uhJs0XWrw5MpjvNxq26-eXCSMR0UWHi-?usp=drive_link" TargetMode="External"/><Relationship Id="rId1364" Type="http://schemas.openxmlformats.org/officeDocument/2006/relationships/hyperlink" Target="https://www.vidio.com/live/19404-serie-a?schedule_id=4557260" TargetMode="External"/><Relationship Id="rId2415" Type="http://schemas.openxmlformats.org/officeDocument/2006/relationships/hyperlink" Target="https://drive.google.com/drive/folders/1cc47CxbJTOLYm8ng6ZEvciQjh7Z79nTO?usp=drive_link" TargetMode="External"/><Relationship Id="rId5985" Type="http://schemas.openxmlformats.org/officeDocument/2006/relationships/hyperlink" Target="https://drive.google.com/file/d/1JJM0G7E2DlTHoSTEPAOZwwyClu5i52Hs/view?usp=sharing" TargetMode="External"/><Relationship Id="rId8391" Type="http://schemas.openxmlformats.org/officeDocument/2006/relationships/hyperlink" Target="https://www.vidio.com/live/6685-champions-tv-1?schedule_id=4783754" TargetMode="External"/><Relationship Id="rId9442" Type="http://schemas.openxmlformats.org/officeDocument/2006/relationships/hyperlink" Target="https://thumbor.prod.vidiocdn.com/Nl_d023aDnV8_v7a2UY2poIZe0k=/filters:quality(70)/vidio-media-production/uploads/image/source/52977/a7a409.png" TargetMode="External"/><Relationship Id="rId11372" Type="http://schemas.openxmlformats.org/officeDocument/2006/relationships/hyperlink" Target="https://www.vidio.com/live/20107-top-youth-premier-league-semifinal-cup-final-cup-plate?schedule_id=4786457" TargetMode="External"/><Relationship Id="rId12009" Type="http://schemas.openxmlformats.org/officeDocument/2006/relationships/hyperlink" Target="https://drive.google.com/file/d/1B4cBF3qrh1sMXG2gV5jmUKJx_gapQy02/view?usp=sharing" TargetMode="External"/><Relationship Id="rId12423" Type="http://schemas.openxmlformats.org/officeDocument/2006/relationships/hyperlink" Target="https://www.vidio.com/live/18249-petronas-malaysia-open-2026-round-of-16-court-1?schedule_id=4833863" TargetMode="External"/><Relationship Id="rId70" Type="http://schemas.openxmlformats.org/officeDocument/2006/relationships/hyperlink" Target="https://drive.google.com/file/d/14BWnSMkBDqfi-A06IvRX3C9t5Q7xZvQS/view?usp=sharing" TargetMode="External"/><Relationship Id="rId801" Type="http://schemas.openxmlformats.org/officeDocument/2006/relationships/hyperlink" Target="https://drive.google.com/file/d/12aNWR4Go4ALRS7lE_9QOmvNLwkG-QgVd/view?usp=sharing" TargetMode="External"/><Relationship Id="rId1017" Type="http://schemas.openxmlformats.org/officeDocument/2006/relationships/hyperlink" Target="https://drive.google.com/file/d/1-637tc6XfFvVYyiLQs9MvVA7vNwn2Mwe/view?usp=sharing" TargetMode="External"/><Relationship Id="rId1431" Type="http://schemas.openxmlformats.org/officeDocument/2006/relationships/hyperlink" Target="https://drive.google.com/drive/folders/1bRO223h7k1U54vnIpz7OTlr1TzfwXbYJ?usp=drive_link" TargetMode="External"/><Relationship Id="rId4587" Type="http://schemas.openxmlformats.org/officeDocument/2006/relationships/hyperlink" Target="https://drive.google.com/file/d/16tVT441S7CqUxgpP5_VM-PnBpx1DFImg/view?usp=sharing" TargetMode="External"/><Relationship Id="rId5638" Type="http://schemas.openxmlformats.org/officeDocument/2006/relationships/hyperlink" Target="https://drive.google.com/drive/folders/1-v2k9mkE5Wr7vtcZPt5z5lBJb1kpLRxM?usp=drive_link" TargetMode="External"/><Relationship Id="rId8044" Type="http://schemas.openxmlformats.org/officeDocument/2006/relationships/hyperlink" Target="https://drive.google.com/drive/folders/1a6uvNHIJHyFaZu_uP78TVstsa86wy3Sp?usp=drive_link" TargetMode="External"/><Relationship Id="rId11025" Type="http://schemas.openxmlformats.org/officeDocument/2006/relationships/hyperlink" Target="https://drive.google.com/file/d/1FoD2xNn7nOl1dxUr8rf_sov6f8WoFZxJ/view?usp=sharing" TargetMode="External"/><Relationship Id="rId3189" Type="http://schemas.openxmlformats.org/officeDocument/2006/relationships/hyperlink" Target="https://thumbor.prod.vidiocdn.com/DAWmD6ImbJV6jfgkBByuuAHHaqI=/filters:quality(70)/vidio-media-production/uploads/image/source/52779/a4cc2e.png" TargetMode="External"/><Relationship Id="rId4654" Type="http://schemas.openxmlformats.org/officeDocument/2006/relationships/hyperlink" Target="https://drive.google.com/drive/folders/1gHWqyjLjPOufW0iC77V3Lom1OyhH7SVI?usp=drive_link" TargetMode="External"/><Relationship Id="rId7060" Type="http://schemas.openxmlformats.org/officeDocument/2006/relationships/hyperlink" Target="https://drive.google.com/file/d/1r_NOvhNevPpCPMCA17hV0Phwiu9yATsH/view?usp=drive_link" TargetMode="External"/><Relationship Id="rId8111" Type="http://schemas.openxmlformats.org/officeDocument/2006/relationships/hyperlink" Target="https://drive.google.com/file/d/1se0UfVo6A3tSXIPvU9rD1vsgyDetWNeB/view?usp=sharing" TargetMode="External"/><Relationship Id="rId10041" Type="http://schemas.openxmlformats.org/officeDocument/2006/relationships/hyperlink" Target="https://drive.google.com/drive/folders/1H6Uu9UUrvnyeQUNrhfy1XhuNsli7UID4" TargetMode="External"/><Relationship Id="rId3256" Type="http://schemas.openxmlformats.org/officeDocument/2006/relationships/hyperlink" Target="https://drive.google.com/drive/folders/1ai_eRPf-pTofHrdjUYsh1FpJgI2MuP_s?usp=drive_link" TargetMode="External"/><Relationship Id="rId4307" Type="http://schemas.openxmlformats.org/officeDocument/2006/relationships/hyperlink" Target="https://drive.google.com/file/d/1CAT_IJZssP8jIMFB9mm57KkFmJXPKCzt/view?usp=sharing" TargetMode="External"/><Relationship Id="rId5705" Type="http://schemas.openxmlformats.org/officeDocument/2006/relationships/hyperlink" Target="https://3.basecamp.com/4902751/buckets/36763424/card_tables/cards/9149096917" TargetMode="External"/><Relationship Id="rId177" Type="http://schemas.openxmlformats.org/officeDocument/2006/relationships/hyperlink" Target="https://drive.google.com/file/d/165gfYgZ93e_g1DWb8mVPYUqXBmT1HfFQ/view?usp=sharing" TargetMode="External"/><Relationship Id="rId591" Type="http://schemas.openxmlformats.org/officeDocument/2006/relationships/hyperlink" Target="https://drive.google.com/file/d/1swmduHCk2KU4-qOFExGnFl2kTA3JcBDa/view?usp=sharing" TargetMode="External"/><Relationship Id="rId2272" Type="http://schemas.openxmlformats.org/officeDocument/2006/relationships/hyperlink" Target="https://drive.google.com/file/d/1qMFO39E9PVcNJXCHwXo2GeK_lAq9komu/view?usp=drive_link" TargetMode="External"/><Relationship Id="rId3670" Type="http://schemas.openxmlformats.org/officeDocument/2006/relationships/hyperlink" Target="https://www.vidio.com/live/19436-eredivisie?schedule_id=4533786" TargetMode="External"/><Relationship Id="rId4721" Type="http://schemas.openxmlformats.org/officeDocument/2006/relationships/hyperlink" Target="https://thumbor.prod.vidiocdn.com/aPIlYTjWC9g-wrMIl8_cP2uNE_E=/filters:quality(70)/vidio-media-production/uploads/image/source/52023/6a337c.png" TargetMode="External"/><Relationship Id="rId7877" Type="http://schemas.openxmlformats.org/officeDocument/2006/relationships/hyperlink" Target="https://drive.google.com/file/d/1qv5ljd97zWaclJQgkkFgUXwiePD9f6mf/view?usp=sharing" TargetMode="External"/><Relationship Id="rId8928" Type="http://schemas.openxmlformats.org/officeDocument/2006/relationships/hyperlink" Target="https://thumbor.prod.vidiocdn.com/d98CBoa43E0xhJBlAn7k3DjZDh0=/filters:quality(70)/vidio-media-production/uploads/image/source/52682/41e253.png" TargetMode="External"/><Relationship Id="rId10858" Type="http://schemas.openxmlformats.org/officeDocument/2006/relationships/hyperlink" Target="https://www.vidio.com/live/18249-hsbc-bwf-world-tour-finals-2025-group-stage-court-1?schedule_id=4781725" TargetMode="External"/><Relationship Id="rId11909" Type="http://schemas.openxmlformats.org/officeDocument/2006/relationships/hyperlink" Target="https://drive.google.com/file/d/1I2QL-h1CAeZERs7B5O4XbiSnpFeGO68R/view?usp=sharing" TargetMode="External"/><Relationship Id="rId244" Type="http://schemas.openxmlformats.org/officeDocument/2006/relationships/hyperlink" Target="https://www.vidio.com/live/9182-champions-tv-5?schedule_id=4562502" TargetMode="External"/><Relationship Id="rId3323" Type="http://schemas.openxmlformats.org/officeDocument/2006/relationships/hyperlink" Target="https://drive.google.com/file/d/1TKlBIFYw1YoQWN27oY0jIAkp2PEx-qSQ/view?usp=drive_link" TargetMode="External"/><Relationship Id="rId6479" Type="http://schemas.openxmlformats.org/officeDocument/2006/relationships/hyperlink" Target="https://www.vidio.com/live/19647-uefa-conference-league?schedule_id=4771657" TargetMode="External"/><Relationship Id="rId6893" Type="http://schemas.openxmlformats.org/officeDocument/2006/relationships/hyperlink" Target="https://www.vidio.com/live/19541-pegadaian-championship-2025-26?schedule_id=4579888" TargetMode="External"/><Relationship Id="rId7944" Type="http://schemas.openxmlformats.org/officeDocument/2006/relationships/hyperlink" Target="https://drive.google.com/drive/folders/14yHO4LFzvztvnRu_gFOsdIlEXZeznCSD" TargetMode="External"/><Relationship Id="rId10925" Type="http://schemas.openxmlformats.org/officeDocument/2006/relationships/hyperlink" Target="https://drive.google.com/file/d/1OiW_D2onhReVXEfYvy1INOQR1cRNo9oQ/view?usp=sharing" TargetMode="External"/><Relationship Id="rId12280" Type="http://schemas.openxmlformats.org/officeDocument/2006/relationships/hyperlink" Target="https://www.vidio.com/live/20277" TargetMode="External"/><Relationship Id="rId5495" Type="http://schemas.openxmlformats.org/officeDocument/2006/relationships/hyperlink" Target="https://www.vidio.com/live/18304-uefa-champions-league?schedule_id=4773342" TargetMode="External"/><Relationship Id="rId6546" Type="http://schemas.openxmlformats.org/officeDocument/2006/relationships/hyperlink" Target="https://drive.google.com/drive/folders/1xHdQMelwm1i5QdedfdeuWnCbJJQ0s3lA?usp=drive_link" TargetMode="External"/><Relationship Id="rId6960" Type="http://schemas.openxmlformats.org/officeDocument/2006/relationships/hyperlink" Target="https://drive.google.com/file/d/12wV_5wjsGkjAA9Ss6Rqz3aj_SwzJKPiT/view?usp=sharing" TargetMode="External"/><Relationship Id="rId311" Type="http://schemas.openxmlformats.org/officeDocument/2006/relationships/hyperlink" Target="https://drive.google.com/file/d/1fyL0VpjlQT8vRV2-7N6JRWmDrpoMbLSd/view?usp=sharing" TargetMode="External"/><Relationship Id="rId4097" Type="http://schemas.openxmlformats.org/officeDocument/2006/relationships/hyperlink" Target="https://drive.google.com/drive/folders/12z-R6IJH2xlD2AorXTYKGYkKr_0C0Rqq?usp=drive_link" TargetMode="External"/><Relationship Id="rId5148" Type="http://schemas.openxmlformats.org/officeDocument/2006/relationships/hyperlink" Target="https://drive.google.com/drive/folders/1d8RfZ3AxKm4vcq0d__doqb5lGvVI-NuD" TargetMode="External"/><Relationship Id="rId5562" Type="http://schemas.openxmlformats.org/officeDocument/2006/relationships/hyperlink" Target="https://drive.google.com/drive/folders/1vs2NPBadTfe8mkFp1C94plFN9o2qZ3M8?usp=drive_link" TargetMode="External"/><Relationship Id="rId6613" Type="http://schemas.openxmlformats.org/officeDocument/2006/relationships/hyperlink" Target="https://drive.google.com/file/d/1Kvhz-nIIZ7fUu1ukEyF1cVtyM6RuEB1f/view?usp=drive_link" TargetMode="External"/><Relationship Id="rId9769" Type="http://schemas.openxmlformats.org/officeDocument/2006/relationships/hyperlink" Target="https://drive.google.com/file/d/19pHDFI-eENTvcFD5Iqpq4nFDegNvOUqk/view?usp=sharing" TargetMode="External"/><Relationship Id="rId11699" Type="http://schemas.openxmlformats.org/officeDocument/2006/relationships/hyperlink" Target="https://drive.google.com/file/d/1B4cBF3qrh1sMXG2gV5jmUKJx_gapQy02/view?usp=sharing" TargetMode="External"/><Relationship Id="rId12000" Type="http://schemas.openxmlformats.org/officeDocument/2006/relationships/hyperlink" Target="https://drive.google.com/file/d/1GSUWpYS1bKMQHpDirkh41aNW22dfhpEf/view?usp=sharing" TargetMode="External"/><Relationship Id="rId1758" Type="http://schemas.openxmlformats.org/officeDocument/2006/relationships/hyperlink" Target="https://drive.google.com/file/d/14cWQXHVm8DnLaucfyHFS0siVlMoQjZNj/view?usp=drive_link" TargetMode="External"/><Relationship Id="rId2809" Type="http://schemas.openxmlformats.org/officeDocument/2006/relationships/hyperlink" Target="https://www.vidio.com/live/6299-bein-1?schedule_id=4677364" TargetMode="External"/><Relationship Id="rId4164" Type="http://schemas.openxmlformats.org/officeDocument/2006/relationships/hyperlink" Target="https://drive.google.com/file/d/1MaJDYblh8UqCYkUO_YeWjbWaR8wZHXuZ/view?usp=sharing" TargetMode="External"/><Relationship Id="rId5215" Type="http://schemas.openxmlformats.org/officeDocument/2006/relationships/hyperlink" Target="https://www.vidio.com/live/18301-uefa-champions-league?schedule_id=4680953" TargetMode="External"/><Relationship Id="rId8785" Type="http://schemas.openxmlformats.org/officeDocument/2006/relationships/hyperlink" Target="https://www.vidio.com/live/19672-easl?schedule_id=4714276" TargetMode="External"/><Relationship Id="rId9836" Type="http://schemas.openxmlformats.org/officeDocument/2006/relationships/hyperlink" Target="https://www.vidio.com/live/19921-top-soccer-championship-2025-u-13-u-14?schedule_id=4731887" TargetMode="External"/><Relationship Id="rId3180" Type="http://schemas.openxmlformats.org/officeDocument/2006/relationships/hyperlink" Target="https://thumbor.prod.vidiocdn.com/EkDiZrLRZla6yjUK1-2RNCGYHek=/filters:quality(70)/vidio-media-production/uploads/image/source/52101/6f0721.png" TargetMode="External"/><Relationship Id="rId4231" Type="http://schemas.openxmlformats.org/officeDocument/2006/relationships/hyperlink" Target="https://drive.google.com/drive/folders/1cB3xlNYAtSGyyA_ut97x01wvUeuIQTwx?usp=drive_link" TargetMode="External"/><Relationship Id="rId7387" Type="http://schemas.openxmlformats.org/officeDocument/2006/relationships/hyperlink" Target="https://www.vidio.com/live/6685-champions-tv-1?schedule_id=4652731" TargetMode="External"/><Relationship Id="rId8438" Type="http://schemas.openxmlformats.org/officeDocument/2006/relationships/hyperlink" Target="https://drive.google.com/file/d/13_9kIXx_SXv1mVUnmeN7QxkUOjrtQ6Hn/view?usp=sharing" TargetMode="External"/><Relationship Id="rId11766" Type="http://schemas.openxmlformats.org/officeDocument/2006/relationships/hyperlink" Target="https://drive.google.com/file/d/1tq10VqEAueiOje-CDYq35mhpWoBSDUZa/view?usp=sharing" TargetMode="External"/><Relationship Id="rId1825" Type="http://schemas.openxmlformats.org/officeDocument/2006/relationships/hyperlink" Target="https://drive.google.com/file/d/152TeYNl2hUr1mgiSZ_Sp1m6t_Z4HOwG-/view?usp=drive_link" TargetMode="External"/><Relationship Id="rId8852" Type="http://schemas.openxmlformats.org/officeDocument/2006/relationships/hyperlink" Target="https://drive.google.com/file/d/1CxWOYWWgTkRKWrI3zqXPCmojdqT5HQgy/view?usp=sharing" TargetMode="External"/><Relationship Id="rId9903" Type="http://schemas.openxmlformats.org/officeDocument/2006/relationships/hyperlink" Target="https://www.vidio.com/live/205-indosiar?schedule_id=4795168" TargetMode="External"/><Relationship Id="rId10368" Type="http://schemas.openxmlformats.org/officeDocument/2006/relationships/hyperlink" Target="https://drive.google.com/file/d/1U2u8UShiFtPCDGB6mvK7GObwQ6DaczD2/view?usp=sharing" TargetMode="External"/><Relationship Id="rId10782" Type="http://schemas.openxmlformats.org/officeDocument/2006/relationships/hyperlink" Target="https://drive.google.com/file/d/1B2eLa__r0MTgab2DRBwdXHuS596eAuZv/view?usp=sharing" TargetMode="External"/><Relationship Id="rId11419" Type="http://schemas.openxmlformats.org/officeDocument/2006/relationships/hyperlink" Target="https://drive.google.com/file/d/1EqAGqndjsd7teOWXMTWpvVaNXNUriGIf/view?usp=sharing" TargetMode="External"/><Relationship Id="rId11833" Type="http://schemas.openxmlformats.org/officeDocument/2006/relationships/hyperlink" Target="https://drive.google.com/file/d/1eJVJpUKAFNWxLxYTbZoZRYrCww0XILnT/view?usp=sharing" TargetMode="External"/><Relationship Id="rId3997" Type="http://schemas.openxmlformats.org/officeDocument/2006/relationships/hyperlink" Target="https://www.vidio.com/live/19355-bri-super-league?schedule_id=4567205" TargetMode="External"/><Relationship Id="rId6056" Type="http://schemas.openxmlformats.org/officeDocument/2006/relationships/hyperlink" Target="https://drive.google.com/file/d/1MI5be2s3x1aUTzSWk_Vb4n_TEd-_ZVbU/view?usp=drive_link" TargetMode="External"/><Relationship Id="rId7454" Type="http://schemas.openxmlformats.org/officeDocument/2006/relationships/hyperlink" Target="https://drive.google.com/drive/folders/1NepG6XT-FSa8Cs07sX3tPfQWLNpJfAxp" TargetMode="External"/><Relationship Id="rId8505" Type="http://schemas.openxmlformats.org/officeDocument/2006/relationships/hyperlink" Target="https://drive.google.com/file/d/1VGnY5XZATGrTgiCzwIfn_fXdN6Nvyvkk/view?usp=sharing" TargetMode="External"/><Relationship Id="rId10435" Type="http://schemas.openxmlformats.org/officeDocument/2006/relationships/hyperlink" Target="https://drive.google.com/file/d/1lV_TzbFQXRAVIVlbMOrvdj_GgoohEf3X/view?usp=sharing" TargetMode="External"/><Relationship Id="rId11900" Type="http://schemas.openxmlformats.org/officeDocument/2006/relationships/hyperlink" Target="https://drive.google.com/file/d/1I2QL-h1CAeZERs7B5O4XbiSnpFeGO68R/view?usp=sharing" TargetMode="External"/><Relationship Id="rId2599" Type="http://schemas.openxmlformats.org/officeDocument/2006/relationships/hyperlink" Target="https://drive.google.com/file/d/1GQx_kLJkT07-U89ZKsAY0tmWiaA5dQYM/view?usp=sharing" TargetMode="External"/><Relationship Id="rId6470" Type="http://schemas.openxmlformats.org/officeDocument/2006/relationships/hyperlink" Target="https://drive.google.com/file/d/1ED6lend_Oeue_UeG11OdNxiiBH4kRvSb/view?usp=drive_link" TargetMode="External"/><Relationship Id="rId7107" Type="http://schemas.openxmlformats.org/officeDocument/2006/relationships/hyperlink" Target="https://drive.google.com/file/d/14z4108sjBxXZf2-Eg46fx89oVWQslL9z/view?usp=sharing" TargetMode="External"/><Relationship Id="rId7521" Type="http://schemas.openxmlformats.org/officeDocument/2006/relationships/hyperlink" Target="https://drive.google.com/file/d/1ZH3qBIt2jpjUKJyMI6NtSpXaMY5sE8dA/view?usp=sharing" TargetMode="External"/><Relationship Id="rId10502" Type="http://schemas.openxmlformats.org/officeDocument/2006/relationships/hyperlink" Target="https://drive.google.com/file/d/1Q_L8GEiRMZYRhUU6SRmcPnW-47XkNiok/view?usp=sharing" TargetMode="External"/><Relationship Id="rId985" Type="http://schemas.openxmlformats.org/officeDocument/2006/relationships/hyperlink" Target="https://drive.google.com/drive/folders/1l1r3gza7UGGVF94B6qCgkp6OQi2Ikjbj?usp=drive_link" TargetMode="External"/><Relationship Id="rId2666" Type="http://schemas.openxmlformats.org/officeDocument/2006/relationships/hyperlink" Target="https://drive.google.com/file/d/1HRZL1TZSxfomFccgDWFFSaeIyuEt2BaW/view?usp=drive_link" TargetMode="External"/><Relationship Id="rId3717" Type="http://schemas.openxmlformats.org/officeDocument/2006/relationships/hyperlink" Target="https://drive.google.com/drive/folders/1keBgYGAW2V9gleWyOBlIJnrRzNas7sPg?usp=drive_link" TargetMode="External"/><Relationship Id="rId5072" Type="http://schemas.openxmlformats.org/officeDocument/2006/relationships/hyperlink" Target="https://www.vidio.com/live/18304-uefa-champions-league?schedule_id=4610716" TargetMode="External"/><Relationship Id="rId6123" Type="http://schemas.openxmlformats.org/officeDocument/2006/relationships/hyperlink" Target="https://drive.google.com/file/d/1qQK9oMV4MmII0j9cvFe2ILy6JVfmSCnX/view?usp=sharing" TargetMode="External"/><Relationship Id="rId9279" Type="http://schemas.openxmlformats.org/officeDocument/2006/relationships/hyperlink" Target="https://www.vidio.com/live/19813-top-soccer-championship-2025-u-16?schedule_id=4709127" TargetMode="External"/><Relationship Id="rId9693" Type="http://schemas.openxmlformats.org/officeDocument/2006/relationships/hyperlink" Target="https://drive.google.com/file/d/1N2rRpWzZWeYznt-hr_lWqcQF1ImaAWp0/view?usp=sharing" TargetMode="External"/><Relationship Id="rId638" Type="http://schemas.openxmlformats.org/officeDocument/2006/relationships/hyperlink" Target="https://drive.google.com/drive/folders/1reJgqrta8-x_LZOVIyNxF2oALmNOZ9ZP?usp=drive_link" TargetMode="External"/><Relationship Id="rId1268" Type="http://schemas.openxmlformats.org/officeDocument/2006/relationships/hyperlink" Target="https://drive.google.com/drive/folders/1lj82bji9_n1b0xEscOlXHruLrVh7jNb8?usp=drive_link" TargetMode="External"/><Relationship Id="rId1682" Type="http://schemas.openxmlformats.org/officeDocument/2006/relationships/hyperlink" Target="https://www.vidio.com/live/19353?schedule_id=4563118" TargetMode="External"/><Relationship Id="rId2319" Type="http://schemas.openxmlformats.org/officeDocument/2006/relationships/hyperlink" Target="https://drive.google.com/file/d/1DTJEMq2kTg7t4h0SNYrIr5347imrbtkc/view?usp=drive_link" TargetMode="External"/><Relationship Id="rId2733" Type="http://schemas.openxmlformats.org/officeDocument/2006/relationships/hyperlink" Target="https://drive.google.com/file/d/1oO30bYUCgPxRvUMyc99rc7p_4MpQmlIO/view?usp=drive_link" TargetMode="External"/><Relationship Id="rId5889" Type="http://schemas.openxmlformats.org/officeDocument/2006/relationships/hyperlink" Target="https://drive.google.com/drive/folders/18GrElP4c6qV79s9waC_tyrQb86ZwdmfR?usp=drive_link" TargetMode="External"/><Relationship Id="rId8295" Type="http://schemas.openxmlformats.org/officeDocument/2006/relationships/hyperlink" Target="https://drive.google.com/file/d/1fn1gSz7ZfkhZ_Xg2rNNs-h_B6oy1lHwB/view?usp=sharing" TargetMode="External"/><Relationship Id="rId9346" Type="http://schemas.openxmlformats.org/officeDocument/2006/relationships/hyperlink" Target="https://drive.google.com/file/d/19AXP_XRePVYWXDD4ZmJls47WY4VM4UBH/view?usp=sharing" TargetMode="External"/><Relationship Id="rId9760" Type="http://schemas.openxmlformats.org/officeDocument/2006/relationships/hyperlink" Target="https://drive.google.com/file/d/10FBmrb0LggY823er9Uut5lEEgNTJnsKt/view?usp=sharing" TargetMode="External"/><Relationship Id="rId11276" Type="http://schemas.openxmlformats.org/officeDocument/2006/relationships/hyperlink" Target="https://www.vidio.com/live/205-indosiar?schedule_id=4823385" TargetMode="External"/><Relationship Id="rId12327" Type="http://schemas.openxmlformats.org/officeDocument/2006/relationships/hyperlink" Target="https://drive.google.com/file/d/17nqJ8YbOWxi4DOQmMA4_VvY1qMuE4tM4/view?usp=sharing" TargetMode="External"/><Relationship Id="rId705" Type="http://schemas.openxmlformats.org/officeDocument/2006/relationships/hyperlink" Target="https://drive.google.com/file/d/1tw9KZZEezsUycUZZfqdY3LxMLb4utzI4/view?usp=sharing" TargetMode="External"/><Relationship Id="rId1335" Type="http://schemas.openxmlformats.org/officeDocument/2006/relationships/hyperlink" Target="https://www.vidio.com/live/17938-serie-a?schedule_id=4535796" TargetMode="External"/><Relationship Id="rId8362" Type="http://schemas.openxmlformats.org/officeDocument/2006/relationships/hyperlink" Target="https://drive.google.com/drive/folders/1v9uXWGcnMqIrrTBxmqSTCX3OhEvgef8G?usp=drive_link" TargetMode="External"/><Relationship Id="rId9413" Type="http://schemas.openxmlformats.org/officeDocument/2006/relationships/hyperlink" Target="https://thumbor.prod.vidiocdn.com/AK8MssqUgepxx0v3zOwv_XbS0Ak=/filters:quality(70)/vidio-media-production/uploads/image/source/52763/b43547.png" TargetMode="External"/><Relationship Id="rId11690" Type="http://schemas.openxmlformats.org/officeDocument/2006/relationships/hyperlink" Target="https://drive.google.com/file/d/1chPd1p6l_f0QKm0zaX6RGV3VqIE4KQkN/view?usp=sharing" TargetMode="External"/><Relationship Id="rId2800" Type="http://schemas.openxmlformats.org/officeDocument/2006/relationships/hyperlink" Target="https://drive.google.com/file/d/1DxlaPjP1-B6We10jKRSySfF4LbUP1eQI/view?usp=sharing" TargetMode="External"/><Relationship Id="rId5956" Type="http://schemas.openxmlformats.org/officeDocument/2006/relationships/hyperlink" Target="https://drive.google.com/file/d/1ahsABjoHP8evfy1EtjUMP6iTFUVY-cWE/view?usp=sharing" TargetMode="External"/><Relationship Id="rId8015" Type="http://schemas.openxmlformats.org/officeDocument/2006/relationships/hyperlink" Target="https://drive.google.com/file/d/1Wc6w2d3taHuMLV-R_PSh40Rm7M9XE_E1/view?usp=sharing" TargetMode="External"/><Relationship Id="rId10292" Type="http://schemas.openxmlformats.org/officeDocument/2006/relationships/hyperlink" Target="https://drive.google.com/file/d/181R_IS50Uznq_t9MFidqWPetkgkN3xsr/view?usp=sharing" TargetMode="External"/><Relationship Id="rId11343" Type="http://schemas.openxmlformats.org/officeDocument/2006/relationships/hyperlink" Target="https://drive.google.com/file/d/1Du-gIahFDqcl8-doYMRIN6ZEHI1MFZo2/view?usp=sharing" TargetMode="External"/><Relationship Id="rId41" Type="http://schemas.openxmlformats.org/officeDocument/2006/relationships/hyperlink" Target="https://drive.google.com/file/d/1wc8iRWW_rOwFcQS8SqE2_DKK-9Cj_SI0/view?usp=sharing" TargetMode="External"/><Relationship Id="rId1402" Type="http://schemas.openxmlformats.org/officeDocument/2006/relationships/hyperlink" Target="https://drive.google.com/drive/folders/17OeONrjYYRSfQCCHfmML-HflyrF1zGJx?usp=drive_link" TargetMode="External"/><Relationship Id="rId4558" Type="http://schemas.openxmlformats.org/officeDocument/2006/relationships/hyperlink" Target="https://drive.google.com/file/d/1fhB4ILVwJBw2GyFtGbBQbVSTuLmg70m2/view?usp=sharing" TargetMode="External"/><Relationship Id="rId4972" Type="http://schemas.openxmlformats.org/officeDocument/2006/relationships/hyperlink" Target="https://drive.google.com/drive/folders/1duKMfuUbN5aUkaXgMVTe-fsi5bmywO8a" TargetMode="External"/><Relationship Id="rId5609" Type="http://schemas.openxmlformats.org/officeDocument/2006/relationships/hyperlink" Target="https://www.vidio.com/live/19600-uefa-europa-league?schedule_id=4610730" TargetMode="External"/><Relationship Id="rId7031" Type="http://schemas.openxmlformats.org/officeDocument/2006/relationships/hyperlink" Target="https://drive.google.com/file/d/1MaQlgbRu5pn-rjg9oerMpr85ix6Moiqp/view?usp=sharing" TargetMode="External"/><Relationship Id="rId11410" Type="http://schemas.openxmlformats.org/officeDocument/2006/relationships/hyperlink" Target="https://drive.google.com/drive/folders/1o1U6Xrma6-i_C__CorH7pl8eIMeOupbW" TargetMode="External"/><Relationship Id="rId3574" Type="http://schemas.openxmlformats.org/officeDocument/2006/relationships/hyperlink" Target="https://thumbor.prod.vidiocdn.com/UCZcHER_oolGcz1m8fwDHwdDXq8=/filters:quality(70)/vidio-media-production/uploads/image/source/52111/1b3a42.png" TargetMode="External"/><Relationship Id="rId4625" Type="http://schemas.openxmlformats.org/officeDocument/2006/relationships/hyperlink" Target="https://drive.google.com/drive/folders/1gHWqyjLjPOufW0iC77V3Lom1OyhH7SVI?usp=drive_link" TargetMode="External"/><Relationship Id="rId10012" Type="http://schemas.openxmlformats.org/officeDocument/2006/relationships/hyperlink" Target="https://thumbor.prod.vidiocdn.com/nxFKyO7kFoUKCPlWyGYhpW9wijk=/filters:quality(70)/vidio-media-production/uploads/image/source/52650/2b58f0.png" TargetMode="External"/><Relationship Id="rId495" Type="http://schemas.openxmlformats.org/officeDocument/2006/relationships/hyperlink" Target="https://drive.google.com/drive/folders/1_jw7CKl2afi8czHfk4X7RSTce_NPZXpq?usp=drive_link" TargetMode="External"/><Relationship Id="rId2176" Type="http://schemas.openxmlformats.org/officeDocument/2006/relationships/hyperlink" Target="https://www.vidio.com/live/19354-bri-super-league?schedule_id=4783337" TargetMode="External"/><Relationship Id="rId2590" Type="http://schemas.openxmlformats.org/officeDocument/2006/relationships/hyperlink" Target="https://drive.google.com/drive/folders/1FRJ5EYNCKwo6K7TXyFQSRPaFlFgBJi2B?usp=drive_link" TargetMode="External"/><Relationship Id="rId3227" Type="http://schemas.openxmlformats.org/officeDocument/2006/relationships/hyperlink" Target="https://drive.google.com/file/d/1t7LJpUPlZmHpyO-IFtfCJoPRr1Q68CbX/view?usp=sharing" TargetMode="External"/><Relationship Id="rId3641" Type="http://schemas.openxmlformats.org/officeDocument/2006/relationships/hyperlink" Target="https://drive.google.com/drive/folders/1cCN-6lB1aNkiqA3d46FAOEvUxRF2pi9B?usp=drive_link" TargetMode="External"/><Relationship Id="rId6797" Type="http://schemas.openxmlformats.org/officeDocument/2006/relationships/hyperlink" Target="https://drive.google.com/file/d/1kCy8R8sbcKz9-QRM8B3BmLhryDggtOpt/view?usp=sharing" TargetMode="External"/><Relationship Id="rId7848" Type="http://schemas.openxmlformats.org/officeDocument/2006/relationships/hyperlink" Target="https://drive.google.com/drive/folders/1FsCtKrq-X08R7dVIvO1MW_nCePitobfk?usp=sharing" TargetMode="External"/><Relationship Id="rId12184" Type="http://schemas.openxmlformats.org/officeDocument/2006/relationships/hyperlink" Target="https://www.vidio.com/live/20267-liga-topskor-greater-jakarta-pekan-pertama-u-13-lapangan-koci-depok?schedule_id=4833825" TargetMode="External"/><Relationship Id="rId148" Type="http://schemas.openxmlformats.org/officeDocument/2006/relationships/hyperlink" Target="https://www.vidio.com/live/9182-champions-tv-5?schedule_id=4520832" TargetMode="External"/><Relationship Id="rId562" Type="http://schemas.openxmlformats.org/officeDocument/2006/relationships/hyperlink" Target="https://drive.google.com/file/d/1ITDN42HDCy4XWURPARiPkTf95qwA6sVG/view?usp=sharing" TargetMode="External"/><Relationship Id="rId1192" Type="http://schemas.openxmlformats.org/officeDocument/2006/relationships/hyperlink" Target="https://drive.google.com/drive/folders/1ctnIowzv5z51LbBFcXkwnj1c_lWAFS5n" TargetMode="External"/><Relationship Id="rId2243" Type="http://schemas.openxmlformats.org/officeDocument/2006/relationships/hyperlink" Target="https://drive.google.com/file/d/1S-a0cRSVvAnE8H100nzEz8K0VtNTNeY3/view?usp=sharing" TargetMode="External"/><Relationship Id="rId5399" Type="http://schemas.openxmlformats.org/officeDocument/2006/relationships/hyperlink" Target="https://drive.google.com/file/d/1lOncycuFYp5SKKecXMNaxOqOAAmnc-75/view?usp=share_link" TargetMode="External"/><Relationship Id="rId6864" Type="http://schemas.openxmlformats.org/officeDocument/2006/relationships/hyperlink" Target="https://drive.google.com/file/d/1_aBBBpO5s1TG8AaESKbxeZSylBjlgp40/view?usp=sharing" TargetMode="External"/><Relationship Id="rId7915" Type="http://schemas.openxmlformats.org/officeDocument/2006/relationships/hyperlink" Target="https://drive.google.com/drive/folders/19uwlLyiEI8MndD2RgiiF2T_OCZqgsBjJ?usp=drive_link" TargetMode="External"/><Relationship Id="rId9270" Type="http://schemas.openxmlformats.org/officeDocument/2006/relationships/hyperlink" Target="https://www.vidio.com/live/19813-top-soccer-championship-2025-u-16?schedule_id=4709124" TargetMode="External"/><Relationship Id="rId10829" Type="http://schemas.openxmlformats.org/officeDocument/2006/relationships/hyperlink" Target="https://drive.google.com/file/d/1pAo0QhcvNgMx24DDFRlD4hLKz5KAp759/view?usp=sharing" TargetMode="External"/><Relationship Id="rId12251" Type="http://schemas.openxmlformats.org/officeDocument/2006/relationships/hyperlink" Target="https://drive.google.com/file/d/17nqJ8YbOWxi4DOQmMA4_VvY1qMuE4tM4/view?usp=drive_link" TargetMode="External"/><Relationship Id="rId215" Type="http://schemas.openxmlformats.org/officeDocument/2006/relationships/hyperlink" Target="https://drive.google.com/drive/folders/1FuAt_guV4C3VtFl1E60HPBX9XTrRliU0?usp=drive_link" TargetMode="External"/><Relationship Id="rId2310" Type="http://schemas.openxmlformats.org/officeDocument/2006/relationships/hyperlink" Target="https://drive.google.com/drive/folders/1BuXen-zFqh07WkOkYn_yOSZnLlTfn-2t?usp=drive_link" TargetMode="External"/><Relationship Id="rId5466" Type="http://schemas.openxmlformats.org/officeDocument/2006/relationships/hyperlink" Target="https://drive.google.com/drive/u/0/folders/1t8rWiKbofguHSxwfkIdhTcIcnfWo6XC3" TargetMode="External"/><Relationship Id="rId6517" Type="http://schemas.openxmlformats.org/officeDocument/2006/relationships/hyperlink" Target="https://drive.google.com/file/d/1GgwmEk8fyj5vZFta0MbOWpoMd5zCQ64W/view?usp=sharing" TargetMode="External"/><Relationship Id="rId4068" Type="http://schemas.openxmlformats.org/officeDocument/2006/relationships/hyperlink" Target="https://drive.google.com/drive/folders/1DwOLLrBo_LeBfMDp_qtjhpjNbQlOFwgc?usp=drive_link" TargetMode="External"/><Relationship Id="rId4482" Type="http://schemas.openxmlformats.org/officeDocument/2006/relationships/hyperlink" Target="https://drive.google.com/file/d/1_lpQ5E1mfFUxAgoNrU8W8U0PDp1xRGeG/view?usp=sharing" TargetMode="External"/><Relationship Id="rId5119" Type="http://schemas.openxmlformats.org/officeDocument/2006/relationships/hyperlink" Target="https://drive.google.com/file/d/16MSnOpiSlzfoW3NVAMOGfNxeAeQG4kci/view?usp=sharing" TargetMode="External"/><Relationship Id="rId5880" Type="http://schemas.openxmlformats.org/officeDocument/2006/relationships/hyperlink" Target="https://drive.google.com/file/d/1hJXYZezmzWYAIsjEvr6Qn5q1wV9ugwz3/view?usp=sharing" TargetMode="External"/><Relationship Id="rId6931" Type="http://schemas.openxmlformats.org/officeDocument/2006/relationships/hyperlink" Target="https://drive.google.com/file/d/19OjAeCPn-Ivmlf97IMTBpsi51mJrc0ks/view?usp=sharing" TargetMode="External"/><Relationship Id="rId3084" Type="http://schemas.openxmlformats.org/officeDocument/2006/relationships/hyperlink" Target="https://drive.google.com/file/d/14FLuT-AfJXVMNdPGnD7fXxEKnah-seh7/view?usp=drive_link" TargetMode="External"/><Relationship Id="rId4135" Type="http://schemas.openxmlformats.org/officeDocument/2006/relationships/hyperlink" Target="https://drive.google.com/file/d/1-FdhIjeV4yRNBmq1QwPtfZozVdByKZY7/view?usp=sharing" TargetMode="External"/><Relationship Id="rId5533" Type="http://schemas.openxmlformats.org/officeDocument/2006/relationships/hyperlink" Target="https://drive.google.com/drive/folders/1cMFp9EdD-L-mp32_72kzHMjskr585Ie_?usp=drive_link" TargetMode="External"/><Relationship Id="rId8689" Type="http://schemas.openxmlformats.org/officeDocument/2006/relationships/hyperlink" Target="https://drive.google.com/file/d/1awW8O8LoNdRq1NBXvH2FUIpUv63dz5e9/view?usp=sharing" TargetMode="External"/><Relationship Id="rId1729" Type="http://schemas.openxmlformats.org/officeDocument/2006/relationships/hyperlink" Target="https://drive.google.com/file/d/1PWwkcKKlRuIi1NoklG6-4Jaw3wTiJC8z/view?usp=sharing" TargetMode="External"/><Relationship Id="rId5600" Type="http://schemas.openxmlformats.org/officeDocument/2006/relationships/hyperlink" Target="https://drive.google.com/file/d/1GYtWiGRrgusqkOpTp_4mxdje-5CwNYnB/view?usp=sharing" TargetMode="External"/><Relationship Id="rId8756" Type="http://schemas.openxmlformats.org/officeDocument/2006/relationships/hyperlink" Target="https://drive.google.com/file/d/1IPQ43MiOuXCZ6erOx3xoQiDkFCQEYOWr/view?usp=sharing" TargetMode="External"/><Relationship Id="rId9807" Type="http://schemas.openxmlformats.org/officeDocument/2006/relationships/hyperlink" Target="https://drive.google.com/file/d/1bGAtWdCSL-v2iZg1GvRoYwXZwXVqVH3x/view" TargetMode="External"/><Relationship Id="rId10686" Type="http://schemas.openxmlformats.org/officeDocument/2006/relationships/hyperlink" Target="https://drive.google.com/file/d/1T_bR4WOr9NuJ-SR8pfWyhuauNbp7J-9s/view?usp=sharing" TargetMode="External"/><Relationship Id="rId11737" Type="http://schemas.openxmlformats.org/officeDocument/2006/relationships/hyperlink" Target="https://drive.google.com/drive/folders/1TYXj5i7Ik4SNEitV7mHoBo1u6CAR_kAQ?usp=drive_link" TargetMode="External"/><Relationship Id="rId3151" Type="http://schemas.openxmlformats.org/officeDocument/2006/relationships/hyperlink" Target="https://thumbor.prod.vidiocdn.com/_8uDg-kk1a7LV4AnG8To6gNWwrM=/filters:quality(70)/vidio-media-production/uploads/image/source/52103/e60a3b.png" TargetMode="External"/><Relationship Id="rId4202" Type="http://schemas.openxmlformats.org/officeDocument/2006/relationships/hyperlink" Target="https://drive.google.com/drive/folders/1Xz-9I2wgOJ_VNYbCCk1uVB9sl0_L-2df?usp=drive_link" TargetMode="External"/><Relationship Id="rId7358" Type="http://schemas.openxmlformats.org/officeDocument/2006/relationships/hyperlink" Target="https://drive.google.com/file/d/1QQmMDNr4beGlGUGnCsk8JitBgFYiKZZp/view?usp=sharing" TargetMode="External"/><Relationship Id="rId7772" Type="http://schemas.openxmlformats.org/officeDocument/2006/relationships/hyperlink" Target="https://drive.google.com/file/d/12LYkXAIPbSEc2qJOpfxJfIj7TA8Zv4Vw/view?usp=drive_link" TargetMode="External"/><Relationship Id="rId8409" Type="http://schemas.openxmlformats.org/officeDocument/2006/relationships/hyperlink" Target="https://drive.google.com/drive/folders/1AnolPAu5B_3HKjEkWZzv-8NhhFejWIne" TargetMode="External"/><Relationship Id="rId8823" Type="http://schemas.openxmlformats.org/officeDocument/2006/relationships/hyperlink" Target="https://www.vidio.com/live/6299-bein-1?schedule_id=4704667" TargetMode="External"/><Relationship Id="rId10339" Type="http://schemas.openxmlformats.org/officeDocument/2006/relationships/hyperlink" Target="https://drive.google.com/file/d/1-R1GXwqAiJezdAi5KNKX4MkT2UUxUbzn/view?usp=sharing" TargetMode="External"/><Relationship Id="rId10753" Type="http://schemas.openxmlformats.org/officeDocument/2006/relationships/hyperlink" Target="https://thumbor.prod.vidiocdn.com/MdNcHwedgbuowaWeMMFCO1YaWSU=/filters:quality(70)/vidio-media-production/uploads/image/source/52094/583ac0.png" TargetMode="External"/><Relationship Id="rId3968" Type="http://schemas.openxmlformats.org/officeDocument/2006/relationships/hyperlink" Target="https://www.vidio.com/live/19472?schedule_id=4534254" TargetMode="External"/><Relationship Id="rId6374" Type="http://schemas.openxmlformats.org/officeDocument/2006/relationships/hyperlink" Target="https://drive.google.com/file/d/13Mh_BqBUVWLMTx2ZJAO2kgmYJOgzwk7n/view?usp=sharing" TargetMode="External"/><Relationship Id="rId7425" Type="http://schemas.openxmlformats.org/officeDocument/2006/relationships/hyperlink" Target="https://drive.google.com/file/d/1Z3i4Qtv4Fvw9qntx2ndeJ0e9H9evKqEj/view?usp=drive_link" TargetMode="External"/><Relationship Id="rId10406" Type="http://schemas.openxmlformats.org/officeDocument/2006/relationships/hyperlink" Target="https://drive.google.com/drive/folders/1VeCia2ALFysHh8sdzHEPSY5s4ApJbe9X?usp=sharing" TargetMode="External"/><Relationship Id="rId11804" Type="http://schemas.openxmlformats.org/officeDocument/2006/relationships/hyperlink" Target="https://drive.google.com/file/d/1ygk7JrTwOvUiG2O43xSxnxCw0wHnTEEm/view?usp=sharing" TargetMode="External"/><Relationship Id="rId5" Type="http://schemas.openxmlformats.org/officeDocument/2006/relationships/hyperlink" Target="https://www.vidio.com/live/6685-champions-tv-1?schedule_id=4075107" TargetMode="External"/><Relationship Id="rId889" Type="http://schemas.openxmlformats.org/officeDocument/2006/relationships/hyperlink" Target="https://drive.google.com/drive/folders/1AESETZjSnJyCPtMBD3qlBXofqJOR9CDC?usp=drive_link" TargetMode="External"/><Relationship Id="rId5390" Type="http://schemas.openxmlformats.org/officeDocument/2006/relationships/hyperlink" Target="https://drive.google.com/file/d/1sIhhe59kAiwWcWIPu1dcDromJI4oyycl/view?usp=sharing" TargetMode="External"/><Relationship Id="rId6027" Type="http://schemas.openxmlformats.org/officeDocument/2006/relationships/hyperlink" Target="https://drive.google.com/file/d/15BU6t6p7p-mDzmFyWDhoHPeS5yNx0Kun/view?usp=drive_link" TargetMode="External"/><Relationship Id="rId6441" Type="http://schemas.openxmlformats.org/officeDocument/2006/relationships/hyperlink" Target="https://drive.google.com/file/d/147qDBhGTD5FlDdwc_1Ml12Vz5rr7whiR/view?usp=sharing" TargetMode="External"/><Relationship Id="rId9597" Type="http://schemas.openxmlformats.org/officeDocument/2006/relationships/hyperlink" Target="https://drive.google.com/drive/folders/1pYi5qIT6QdvkfDRfWH0qsk97hfAPMoyN?usp=drive_link" TargetMode="External"/><Relationship Id="rId10820" Type="http://schemas.openxmlformats.org/officeDocument/2006/relationships/hyperlink" Target="https://drive.google.com/file/d/1C4QqwsJKdpmgIskKFncjf1NyRNycjsQ-/view?usp=sharing" TargetMode="External"/><Relationship Id="rId1586" Type="http://schemas.openxmlformats.org/officeDocument/2006/relationships/hyperlink" Target="https://www.vidio.com/live/19354-bri-super-league?schedule_id=4510901" TargetMode="External"/><Relationship Id="rId2984" Type="http://schemas.openxmlformats.org/officeDocument/2006/relationships/hyperlink" Target="https://drive.google.com/file/d/1IjSNl7SfKf0PImcxuJu8EFSOjk2HJjJ3/view?usp=sharing" TargetMode="External"/><Relationship Id="rId5043" Type="http://schemas.openxmlformats.org/officeDocument/2006/relationships/hyperlink" Target="https://www.vidio.com/live/18303-uefa-champions-league?schedule_id=4602011" TargetMode="External"/><Relationship Id="rId8199" Type="http://schemas.openxmlformats.org/officeDocument/2006/relationships/hyperlink" Target="https://drive.google.com/file/d/17n6vUiogdpba111tEJo66ycgmpsp35bI/view?usp=sharing" TargetMode="External"/><Relationship Id="rId609" Type="http://schemas.openxmlformats.org/officeDocument/2006/relationships/hyperlink" Target="https://drive.google.com/file/d/1R3M64X5vG1JNgtejbScvFar4sPiqK349/view?usp=sharing" TargetMode="External"/><Relationship Id="rId956" Type="http://schemas.openxmlformats.org/officeDocument/2006/relationships/hyperlink" Target="https://drive.google.com/file/d/18i-UqkJmQuXvwyIGvtq_-3hMHfmy01xE/view?usp=drive_link" TargetMode="External"/><Relationship Id="rId1239" Type="http://schemas.openxmlformats.org/officeDocument/2006/relationships/hyperlink" Target="https://thumbor.prod.vidiocdn.com/7kyUENZ7CIRPpaFxueBPgOUVi8Y=/filters:quality(70)/vidio-media-production/uploads/image/source/52845/ce14c5.png" TargetMode="External"/><Relationship Id="rId2637" Type="http://schemas.openxmlformats.org/officeDocument/2006/relationships/hyperlink" Target="https://drive.google.com/file/d/165MZcR8_1bHuVRAFdZcZjjDb7PYcJ8yA/view?usp=sharing" TargetMode="External"/><Relationship Id="rId5110" Type="http://schemas.openxmlformats.org/officeDocument/2006/relationships/hyperlink" Target="https://www.vidio.com/live/18303-uefa-champions-league?schedule_id=4663724" TargetMode="External"/><Relationship Id="rId8266" Type="http://schemas.openxmlformats.org/officeDocument/2006/relationships/hyperlink" Target="https://drive.google.com/drive/folders/1NepG6XT-FSa8Cs07sX3tPfQWLNpJfAxp" TargetMode="External"/><Relationship Id="rId9317" Type="http://schemas.openxmlformats.org/officeDocument/2006/relationships/hyperlink" Target="https://www.vidio.com/live/20048-fivb-volleyball-club-world-championship-2025?schedule_id=4783078" TargetMode="External"/><Relationship Id="rId9664" Type="http://schemas.openxmlformats.org/officeDocument/2006/relationships/hyperlink" Target="https://drive.google.com/file/d/1KkYHbczRfP9h0qC_1gZA9ZeJdRjBUiDC/view?usp=sharing" TargetMode="External"/><Relationship Id="rId11594" Type="http://schemas.openxmlformats.org/officeDocument/2006/relationships/hyperlink" Target="https://www.vidio.com/live/6786-champions-tv-3?schedule_id=4832274" TargetMode="External"/><Relationship Id="rId1653" Type="http://schemas.openxmlformats.org/officeDocument/2006/relationships/hyperlink" Target="https://drive.google.com/drive/folders/1gov3CkjjQgzNB3s4_GCSe9oPFLixRCKE?usp=drive_link" TargetMode="External"/><Relationship Id="rId2704" Type="http://schemas.openxmlformats.org/officeDocument/2006/relationships/hyperlink" Target="https://drive.google.com/file/d/1MTJfYQGxqAylQ843AFoMvnBaRHJ6OuBA/view?usp=drive_link" TargetMode="External"/><Relationship Id="rId8680" Type="http://schemas.openxmlformats.org/officeDocument/2006/relationships/hyperlink" Target="https://drive.google.com/file/d/1fRjUAU6W9CgPhQwCFOCWEmKrlDSYBXae/view?usp=sharing" TargetMode="External"/><Relationship Id="rId9731" Type="http://schemas.openxmlformats.org/officeDocument/2006/relationships/hyperlink" Target="https://drive.google.com/file/d/1vK-Dw-WmmhbqGULxeV8UKk_85q_p5S6o/view?usp=sharing" TargetMode="External"/><Relationship Id="rId10196" Type="http://schemas.openxmlformats.org/officeDocument/2006/relationships/hyperlink" Target="https://drive.google.com/file/d/13ytwZ7TDXiImBTqOfwnjdCjGhc9CRcoT/view?usp=sharing" TargetMode="External"/><Relationship Id="rId11247" Type="http://schemas.openxmlformats.org/officeDocument/2006/relationships/hyperlink" Target="https://drive.google.com/file/d/1Zjs2pxN66_VrlONe_FoqJgvpOTC5eNbu/view?usp=sharing" TargetMode="External"/><Relationship Id="rId11661" Type="http://schemas.openxmlformats.org/officeDocument/2006/relationships/hyperlink" Target="https://www.vidio.com/live/6685-champions-tv-1?schedule_id=4832261" TargetMode="External"/><Relationship Id="rId1306" Type="http://schemas.openxmlformats.org/officeDocument/2006/relationships/hyperlink" Target="https://www.vidio.com/live/17938-serie-a?schedule_id=4527528" TargetMode="External"/><Relationship Id="rId1720" Type="http://schemas.openxmlformats.org/officeDocument/2006/relationships/hyperlink" Target="https://drive.google.com/drive/folders/1ujHQ4IbEycIeBiEJ6y7l69KXrMGhTzie" TargetMode="External"/><Relationship Id="rId4876" Type="http://schemas.openxmlformats.org/officeDocument/2006/relationships/hyperlink" Target="https://www.vidio.com/live/20235-serie-a?schedule_id=4831587" TargetMode="External"/><Relationship Id="rId5927" Type="http://schemas.openxmlformats.org/officeDocument/2006/relationships/hyperlink" Target="https://drive.google.com/drive/folders/15ukCZhyA1B9-pmkdSC-F4tHcFkQgBooZ?usp=drive_link" TargetMode="External"/><Relationship Id="rId7282" Type="http://schemas.openxmlformats.org/officeDocument/2006/relationships/hyperlink" Target="https://drive.google.com/drive/folders/1LiqE1rSncMJjnxCNuQI_mD7A8eO4Lsag?usp=drive_link" TargetMode="External"/><Relationship Id="rId8333" Type="http://schemas.openxmlformats.org/officeDocument/2006/relationships/hyperlink" Target="https://www.vidio.com/live/17140-spotv-2?schedule_id=4667496" TargetMode="External"/><Relationship Id="rId10263" Type="http://schemas.openxmlformats.org/officeDocument/2006/relationships/hyperlink" Target="https://drive.google.com/file/d/1bGAtWdCSL-v2iZg1GvRoYwXZwXVqVH3x/view?usp=sharing" TargetMode="External"/><Relationship Id="rId11314" Type="http://schemas.openxmlformats.org/officeDocument/2006/relationships/hyperlink" Target="https://thumbor.prod.vidiocdn.com/twpAp9z15yvQUydalyb6Nid7178=/filters:quality(70)/vidio-media-production/uploads/image/source/53002/17ce31.png" TargetMode="External"/><Relationship Id="rId12" Type="http://schemas.openxmlformats.org/officeDocument/2006/relationships/hyperlink" Target="https://drive.google.com/file/d/1UTTPvP3dFUSZX6boZ_QqTkyqHHrU1yng/view?usp=sharing" TargetMode="External"/><Relationship Id="rId3478" Type="http://schemas.openxmlformats.org/officeDocument/2006/relationships/hyperlink" Target="https://drive.google.com/drive/u/0/folders/1_2m9CN4k5B1xwYSVXIf2X_IrwefrWkR1" TargetMode="External"/><Relationship Id="rId3892" Type="http://schemas.openxmlformats.org/officeDocument/2006/relationships/hyperlink" Target="https://drive.google.com/file/d/1hW8f6LFgB9hYHhJbuF9pga6GEk5n7x8y/view?usp=sharing" TargetMode="External"/><Relationship Id="rId4529" Type="http://schemas.openxmlformats.org/officeDocument/2006/relationships/hyperlink" Target="https://drive.google.com/file/d/1-cFIgepG-Q-jaaOyPzTurFq-hdJ2kXwF/view?usp=sharing" TargetMode="External"/><Relationship Id="rId4943" Type="http://schemas.openxmlformats.org/officeDocument/2006/relationships/hyperlink" Target="https://www.vidio.com/live/6317-bein-3?schedule_id=4569133" TargetMode="External"/><Relationship Id="rId8400" Type="http://schemas.openxmlformats.org/officeDocument/2006/relationships/hyperlink" Target="https://drive.google.com/file/d/1F-igKC2T5JNxxQf3S8k_0J39jKfQjGWp/view?usp=sharing" TargetMode="External"/><Relationship Id="rId10330" Type="http://schemas.openxmlformats.org/officeDocument/2006/relationships/hyperlink" Target="https://drive.google.com/drive/folders/1X_K1rfboRBqY0tWu7vscI7hGXzSb1Rta?usp=drive_link" TargetMode="External"/><Relationship Id="rId399" Type="http://schemas.openxmlformats.org/officeDocument/2006/relationships/hyperlink" Target="https://drive.google.com/drive/folders/1KAj-OGpDqc1_ExxRgEtLS45mO-l4CfL1?usp=drive_link" TargetMode="External"/><Relationship Id="rId2494" Type="http://schemas.openxmlformats.org/officeDocument/2006/relationships/hyperlink" Target="https://drive.google.com/file/d/1IDdnbSf5B14iKiuFvCMsRKuApLfquTC3/view?usp=sharing" TargetMode="External"/><Relationship Id="rId3545" Type="http://schemas.openxmlformats.org/officeDocument/2006/relationships/hyperlink" Target="https://drive.google.com/drive/folders/1uWbUC4hoA00dYNPse9fVbCEWFxiyczce" TargetMode="External"/><Relationship Id="rId7002" Type="http://schemas.openxmlformats.org/officeDocument/2006/relationships/hyperlink" Target="https://drive.google.com/file/d/1gkQwvVFwT3A4FsuXeGqaFPvv51go95ow/view?usp=sharing" TargetMode="External"/><Relationship Id="rId12088" Type="http://schemas.openxmlformats.org/officeDocument/2006/relationships/hyperlink" Target="https://drive.google.com/file/d/1xXRyTpjraFbbrHD2OOrzfOJmKS83JG2b/view?usp=sharing" TargetMode="External"/><Relationship Id="rId466" Type="http://schemas.openxmlformats.org/officeDocument/2006/relationships/hyperlink" Target="https://drive.google.com/drive/folders/1Vw5ULB3fjb8MiDjTT3Dib7EARuLaPv18" TargetMode="External"/><Relationship Id="rId880" Type="http://schemas.openxmlformats.org/officeDocument/2006/relationships/hyperlink" Target="https://drive.google.com/file/d/1Cef-oBiTEsyzRoYI7xCs6FqgilFv9pP-/view?usp=sharing" TargetMode="External"/><Relationship Id="rId1096" Type="http://schemas.openxmlformats.org/officeDocument/2006/relationships/hyperlink" Target="https://thumbor.prod.vidiocdn.com/vUV69MD2jZuJMmrANDuo8RgdOWs=/filters:quality(70)/vidio-media-production/uploads/image/source/52493/61281e.png" TargetMode="External"/><Relationship Id="rId2147" Type="http://schemas.openxmlformats.org/officeDocument/2006/relationships/hyperlink" Target="https://drive.google.com/drive/folders/14vCbBfVUH74MdycCd6eNNtWNfs6z7ims?usp=drive_link" TargetMode="External"/><Relationship Id="rId2561" Type="http://schemas.openxmlformats.org/officeDocument/2006/relationships/hyperlink" Target="https://drive.google.com/drive/folders/1Ct8WspLyRU4A-KAMniiyB5Oj5DiKAOCg?usp=drive_link" TargetMode="External"/><Relationship Id="rId9174" Type="http://schemas.openxmlformats.org/officeDocument/2006/relationships/hyperlink" Target="https://www.vidio.com/live/19802-top-youth-premier-league-2025-matchday-10?schedule_id=4709320" TargetMode="External"/><Relationship Id="rId12155" Type="http://schemas.openxmlformats.org/officeDocument/2006/relationships/hyperlink" Target="https://drive.google.com/file/d/17nqJ8YbOWxi4DOQmMA4_VvY1qMuE4tM4/view?usp=drive_link" TargetMode="External"/><Relationship Id="rId119" Type="http://schemas.openxmlformats.org/officeDocument/2006/relationships/hyperlink" Target="https://drive.google.com/drive/folders/1JtVEIt9L5k8er-6U09Zs9-01nczSloAr?usp=drive_link" TargetMode="External"/><Relationship Id="rId533" Type="http://schemas.openxmlformats.org/officeDocument/2006/relationships/hyperlink" Target="https://drive.google.com/file/d/15jQzKVmufLwCjg-DGSd5Jyl_hGDenTsB/view?usp=sharing" TargetMode="External"/><Relationship Id="rId1163" Type="http://schemas.openxmlformats.org/officeDocument/2006/relationships/hyperlink" Target="https://thumbor.prod.vidiocdn.com/lJLHrdl5PC71jaamOECxEa21D4w=/filters:quality(70)/vidio-media-production/uploads/image/source/52738/650416.png" TargetMode="External"/><Relationship Id="rId2214" Type="http://schemas.openxmlformats.org/officeDocument/2006/relationships/hyperlink" Target="https://drive.google.com/file/d/1RC2yQLzeIwROUAJwyvcYJ0st1vER2W-4/view?usp=sharing" TargetMode="External"/><Relationship Id="rId3612" Type="http://schemas.openxmlformats.org/officeDocument/2006/relationships/hyperlink" Target="https://drive.google.com/drive/folders/1YFpZ8zybN5IZBrXhBVCqM53PT5MKfA-6?usp=sharing" TargetMode="External"/><Relationship Id="rId6768" Type="http://schemas.openxmlformats.org/officeDocument/2006/relationships/hyperlink" Target="https://www.vidio.com/live/19519?schedule_id=4553305" TargetMode="External"/><Relationship Id="rId7819" Type="http://schemas.openxmlformats.org/officeDocument/2006/relationships/hyperlink" Target="https://drive.google.com/file/d/1ZVQzMteJXi7PL6Z5P1THvKc6eLsnzRqF/view?usp=drive_link" TargetMode="External"/><Relationship Id="rId8190" Type="http://schemas.openxmlformats.org/officeDocument/2006/relationships/hyperlink" Target="https://3.basecamp.com/4902751/buckets/36763424/card_tables/cards/9163761050" TargetMode="External"/><Relationship Id="rId9241" Type="http://schemas.openxmlformats.org/officeDocument/2006/relationships/hyperlink" Target="https://drive.google.com/file/d/1bGAtWdCSL-v2iZg1GvRoYwXZwXVqVH3x/view?usp=drive_link" TargetMode="External"/><Relationship Id="rId5784" Type="http://schemas.openxmlformats.org/officeDocument/2006/relationships/hyperlink" Target="https://drive.google.com/file/d/1jHkKW2gTtz3jkwYi_H1hNOyh_YCvyBWN/view?usp=sharing" TargetMode="External"/><Relationship Id="rId6835" Type="http://schemas.openxmlformats.org/officeDocument/2006/relationships/hyperlink" Target="https://drive.google.com/drive/folders/16XQNM0CNvBHC5qo_70qKN9qAU0Wt5oUI?usp=drive_link" TargetMode="External"/><Relationship Id="rId11171" Type="http://schemas.openxmlformats.org/officeDocument/2006/relationships/hyperlink" Target="https://drive.google.com/drive/folders/1pBL2Vu4TmsR7wzf0j8psh2JTh2hTX8Od" TargetMode="External"/><Relationship Id="rId12222" Type="http://schemas.openxmlformats.org/officeDocument/2006/relationships/hyperlink" Target="https://drive.google.com/file/d/17nqJ8YbOWxi4DOQmMA4_VvY1qMuE4tM4/view?usp=sharing" TargetMode="External"/><Relationship Id="rId600" Type="http://schemas.openxmlformats.org/officeDocument/2006/relationships/hyperlink" Target="https://www.vidio.com/live/19536-premier-league?schedule_id=4678869" TargetMode="External"/><Relationship Id="rId1230" Type="http://schemas.openxmlformats.org/officeDocument/2006/relationships/hyperlink" Target="https://thumbor.prod.vidiocdn.com/vhmki8fZmlT4r1hbDACWSDEbPSs=/filters:quality(70)/vidio-media-production/uploads/image/source/52850/c51f8f.png" TargetMode="External"/><Relationship Id="rId4386" Type="http://schemas.openxmlformats.org/officeDocument/2006/relationships/hyperlink" Target="https://drive.google.com/drive/folders/1p-BBE4Q7WYsjaA6zRP-zbxNxOInOSBYU" TargetMode="External"/><Relationship Id="rId5437" Type="http://schemas.openxmlformats.org/officeDocument/2006/relationships/hyperlink" Target="https://www.vidio.com/live/17883-uefa-champions-league?schedule_id=4772713" TargetMode="External"/><Relationship Id="rId5851" Type="http://schemas.openxmlformats.org/officeDocument/2006/relationships/hyperlink" Target="https://drive.google.com/drive/folders/13eQLR64HrKbyWDLlQsn3dQSDucgsN6sA?usp=drive_link" TargetMode="External"/><Relationship Id="rId6902" Type="http://schemas.openxmlformats.org/officeDocument/2006/relationships/hyperlink" Target="https://drive.google.com/file/d/1CgCpzqhT48DUZqY41lm4SlHMeZmGYi4B/view?usp=sharing" TargetMode="External"/><Relationship Id="rId11988" Type="http://schemas.openxmlformats.org/officeDocument/2006/relationships/hyperlink" Target="https://drive.google.com/drive/folders/1onDXFJ9cikdvNniNRoNvLmpPBPuyQMz3" TargetMode="External"/><Relationship Id="rId4039" Type="http://schemas.openxmlformats.org/officeDocument/2006/relationships/hyperlink" Target="https://drive.google.com/drive/folders/1KEbcr6U_ZqEhtv_7d6qSImpjmWPCeGg3?usp=drive_link" TargetMode="External"/><Relationship Id="rId4453" Type="http://schemas.openxmlformats.org/officeDocument/2006/relationships/hyperlink" Target="https://drive.google.com/drive/folders/19-FYGJ8AWIkP1X3cf04l-Zq6_VF17Nbs?usp=drive_link" TargetMode="External"/><Relationship Id="rId5504" Type="http://schemas.openxmlformats.org/officeDocument/2006/relationships/hyperlink" Target="https://drive.google.com/file/d/1YylV8mZTaeTe4mQJAUUTv0rLzieSpQtg/view?usp=sharing" TargetMode="External"/><Relationship Id="rId3055" Type="http://schemas.openxmlformats.org/officeDocument/2006/relationships/hyperlink" Target="https://drive.google.com/file/d/1UL7XCYst7K_2bW4rNrpHmTPkYKchJG-9/view?usp=drive_link" TargetMode="External"/><Relationship Id="rId4106" Type="http://schemas.openxmlformats.org/officeDocument/2006/relationships/hyperlink" Target="https://drive.google.com/file/d/17q2mxCvRX65Xv4nf62gxNkxCfPRUAFrk/view?usp=drive_link" TargetMode="External"/><Relationship Id="rId4520" Type="http://schemas.openxmlformats.org/officeDocument/2006/relationships/hyperlink" Target="https://www.vidio.com/live/19404-serie-a?schedule_id=4725609" TargetMode="External"/><Relationship Id="rId7676" Type="http://schemas.openxmlformats.org/officeDocument/2006/relationships/hyperlink" Target="https://drive.google.com/drive/folders/1ynBxGkVy-JxE7p-JHfBYbShRtALRofVb" TargetMode="External"/><Relationship Id="rId8727" Type="http://schemas.openxmlformats.org/officeDocument/2006/relationships/hyperlink" Target="https://drive.google.com/file/d/1DNux4glLBnqI-DzUHKvsJVIQIe0fQ_QF/view?usp=sharing" TargetMode="External"/><Relationship Id="rId390" Type="http://schemas.openxmlformats.org/officeDocument/2006/relationships/hyperlink" Target="https://drive.google.com/file/d/19MpbzowAKeVIufvchm7uoK3lIxdo9oJ_/view?usp=sharing" TargetMode="External"/><Relationship Id="rId2071" Type="http://schemas.openxmlformats.org/officeDocument/2006/relationships/hyperlink" Target="https://drive.google.com/file/d/1f4EiVeFvsF5TyIW5QWQ2RhItrOYoVJZU/view?usp=sharing" TargetMode="External"/><Relationship Id="rId3122" Type="http://schemas.openxmlformats.org/officeDocument/2006/relationships/hyperlink" Target="https://drive.google.com/drive/folders/1ICVNICXmYNRNPXmg4VhDAPanlOh3bxhe" TargetMode="External"/><Relationship Id="rId6278" Type="http://schemas.openxmlformats.org/officeDocument/2006/relationships/hyperlink" Target="https://drive.google.com/file/d/1_r5C8m0Nk9TuQKdDoxqO3SEMZO9HNxKA/view?usp=sharing" TargetMode="External"/><Relationship Id="rId6692" Type="http://schemas.openxmlformats.org/officeDocument/2006/relationships/hyperlink" Target="https://drive.google.com/file/d/17nRju6zQGePYz_tvXS46n2bpLGYCfd0W/view?usp=drive_link" TargetMode="External"/><Relationship Id="rId7329" Type="http://schemas.openxmlformats.org/officeDocument/2006/relationships/hyperlink" Target="https://drive.google.com/file/d/1Q-MpQOuk5sB9rlDla7TzGszkdjZoVNSa/view?usp=sharing" TargetMode="External"/><Relationship Id="rId10657" Type="http://schemas.openxmlformats.org/officeDocument/2006/relationships/hyperlink" Target="https://drive.google.com/file/d/1ItGAw2Vr3LbeISFAV10n3rCdf5eqqz91/view?usp=sharing" TargetMode="External"/><Relationship Id="rId11708" Type="http://schemas.openxmlformats.org/officeDocument/2006/relationships/hyperlink" Target="https://drive.google.com/drive/folders/1tni-eURfEFKRVxfoCHzmLE1mqpTQd2nq" TargetMode="External"/><Relationship Id="rId5294" Type="http://schemas.openxmlformats.org/officeDocument/2006/relationships/hyperlink" Target="https://www.vidio.com/live/18303-uefa-champions-league?schedule_id=4684724" TargetMode="External"/><Relationship Id="rId6345" Type="http://schemas.openxmlformats.org/officeDocument/2006/relationships/hyperlink" Target="https://drive.google.com/file/d/1tl_5JB40YjFM_CBGmPVVJk-1STDrcdkK/view?usp=sharing" TargetMode="External"/><Relationship Id="rId7743" Type="http://schemas.openxmlformats.org/officeDocument/2006/relationships/hyperlink" Target="https://drive.google.com/drive/folders/1-d7SElccr2N6xnWCuYB7bicvICq7mohq?usp=drive_link" TargetMode="External"/><Relationship Id="rId10724" Type="http://schemas.openxmlformats.org/officeDocument/2006/relationships/hyperlink" Target="https://thumbor.prod.vidiocdn.com/P91TwUwx2kr9va4NEHkGx2aQhqY=/filters:quality(70)/vidio-media-production/uploads/image/source/52086/a61872.png" TargetMode="External"/><Relationship Id="rId110" Type="http://schemas.openxmlformats.org/officeDocument/2006/relationships/hyperlink" Target="https://drive.google.com/file/d/1GSwKHslwonujuM80aZytmfNuYLAOcfr-/view?usp=drive_link" TargetMode="External"/><Relationship Id="rId2888" Type="http://schemas.openxmlformats.org/officeDocument/2006/relationships/hyperlink" Target="https://drive.google.com/file/d/1T9grvGoNUiZVXcEoLMm0tGGyrvhi_tKG/view?usp=sharing" TargetMode="External"/><Relationship Id="rId3939" Type="http://schemas.openxmlformats.org/officeDocument/2006/relationships/hyperlink" Target="https://drive.google.com/drive/folders/1rWNcw9KyEAeZ2clucZawrMqCiAqoV3iY?usp=drive_link" TargetMode="External"/><Relationship Id="rId7810" Type="http://schemas.openxmlformats.org/officeDocument/2006/relationships/hyperlink" Target="https://www.vidio.com/live/6299-bein-1?schedule_id=4660170" TargetMode="External"/><Relationship Id="rId2955" Type="http://schemas.openxmlformats.org/officeDocument/2006/relationships/hyperlink" Target="https://drive.google.com/drive/folders/1DPSndHg_Ftov32kfHVJYOFvCAsOr-mBg?usp=drive_link" TargetMode="External"/><Relationship Id="rId5361" Type="http://schemas.openxmlformats.org/officeDocument/2006/relationships/hyperlink" Target="https://drive.google.com/drive/folders/14Wb3x9yN298vTECYGS7G_yCO7LWjXAJK" TargetMode="External"/><Relationship Id="rId6412" Type="http://schemas.openxmlformats.org/officeDocument/2006/relationships/hyperlink" Target="https://drive.google.com/drive/folders/1WiVDuVIZsYPPh9yrAn_iSbUiUfRjh56l" TargetMode="External"/><Relationship Id="rId9568" Type="http://schemas.openxmlformats.org/officeDocument/2006/relationships/hyperlink" Target="https://drive.google.com/drive/folders/16feZVThQ5lJPPFexaNPduahVIpqbvyYX?usp=drive_link" TargetMode="External"/><Relationship Id="rId9982" Type="http://schemas.openxmlformats.org/officeDocument/2006/relationships/hyperlink" Target="https://www.vidio.com/live/6299-bein-1?schedule_id=4794870" TargetMode="External"/><Relationship Id="rId11498" Type="http://schemas.openxmlformats.org/officeDocument/2006/relationships/hyperlink" Target="https://drive.google.com/file/d/1WPkrCCHXq7DjewOix1QPCmGCzbAk04iY/view?usp=sharing" TargetMode="External"/><Relationship Id="rId927" Type="http://schemas.openxmlformats.org/officeDocument/2006/relationships/hyperlink" Target="https://drive.google.com/file/d/1COWtIcjP9rV4avL3dkjyuEAFhOz26J5A/view?usp=sharing" TargetMode="External"/><Relationship Id="rId1557" Type="http://schemas.openxmlformats.org/officeDocument/2006/relationships/hyperlink" Target="https://drive.google.com/drive/folders/1ePCnovNHu5OAu4TciURPWqRfKMfyQOCi?usp=drive_link" TargetMode="External"/><Relationship Id="rId1971" Type="http://schemas.openxmlformats.org/officeDocument/2006/relationships/hyperlink" Target="https://drive.google.com/file/d/1YQOLJJMFaRtvULW-5jJmoMlYOQFSRSRG/view?usp=sharing" TargetMode="External"/><Relationship Id="rId2608" Type="http://schemas.openxmlformats.org/officeDocument/2006/relationships/hyperlink" Target="https://drive.google.com/file/d/1Y6snsQRJwZHsUVeFxHETnv1LhjmRmDlS/view?usp=sharing" TargetMode="External"/><Relationship Id="rId5014" Type="http://schemas.openxmlformats.org/officeDocument/2006/relationships/hyperlink" Target="https://drive.google.com/drive/folders/1UFmhl0mSvRsn4iT54mad_srOatZqpCT6" TargetMode="External"/><Relationship Id="rId8584" Type="http://schemas.openxmlformats.org/officeDocument/2006/relationships/hyperlink" Target="https://drive.google.com/drive/folders/1s3mnVwYOdduBr4b8k75SOnr7wqHIYbhs" TargetMode="External"/><Relationship Id="rId9635" Type="http://schemas.openxmlformats.org/officeDocument/2006/relationships/hyperlink" Target="https://drive.google.com/drive/folders/18bP5g-JuC9N2YrNhSfs2Er1ipRi9iTXD?usp=drive_link" TargetMode="External"/><Relationship Id="rId11565" Type="http://schemas.openxmlformats.org/officeDocument/2006/relationships/hyperlink" Target="https://www.vidio.com/live/19388-rws-muay-thai-2026?schedule_id=4824473" TargetMode="External"/><Relationship Id="rId1624" Type="http://schemas.openxmlformats.org/officeDocument/2006/relationships/hyperlink" Target="https://drive.google.com/drive/folders/1MfSnQIhd9gXMICmCBRJSXYqjO1xvfX2J" TargetMode="External"/><Relationship Id="rId4030" Type="http://schemas.openxmlformats.org/officeDocument/2006/relationships/hyperlink" Target="https://drive.google.com/file/d/1AUJ8nGg04jnVGKYSWvmJFB7iDXBJY_Gn/view?usp=drive_link" TargetMode="External"/><Relationship Id="rId7186" Type="http://schemas.openxmlformats.org/officeDocument/2006/relationships/hyperlink" Target="https://drive.google.com/drive/folders/1NepG6XT-FSa8Cs07sX3tPfQWLNpJfAxp" TargetMode="External"/><Relationship Id="rId8237" Type="http://schemas.openxmlformats.org/officeDocument/2006/relationships/hyperlink" Target="https://drive.google.com/file/d/1DNux4glLBnqI-DzUHKvsJVIQIe0fQ_QF/view?usp=sharing" TargetMode="External"/><Relationship Id="rId8651" Type="http://schemas.openxmlformats.org/officeDocument/2006/relationships/hyperlink" Target="https://drive.google.com/drive/folders/1rl5FGcq4AJPO8LOU0ioroZMKuxSSq8pn?usp=drive_link" TargetMode="External"/><Relationship Id="rId9702" Type="http://schemas.openxmlformats.org/officeDocument/2006/relationships/hyperlink" Target="https://drive.google.com/file/d/1uenV67aT5s_WsfbidpXoU3mqzVeFFBuE/view?usp=sharing" TargetMode="External"/><Relationship Id="rId10167" Type="http://schemas.openxmlformats.org/officeDocument/2006/relationships/hyperlink" Target="https://www.vidio.com/live/19737-turkish-volleyball-league?schedule_id=4766503" TargetMode="External"/><Relationship Id="rId11218" Type="http://schemas.openxmlformats.org/officeDocument/2006/relationships/hyperlink" Target="https://www.vidio.com/live/18250-hsbc-bwf-world-tour-finals-2025-group-stage-court-2?schedule_id=4784614" TargetMode="External"/><Relationship Id="rId3796" Type="http://schemas.openxmlformats.org/officeDocument/2006/relationships/hyperlink" Target="https://www.vidio.com/live/6685-champions-tv-1?schedule_id=4614720" TargetMode="External"/><Relationship Id="rId7253" Type="http://schemas.openxmlformats.org/officeDocument/2006/relationships/hyperlink" Target="https://drive.google.com/file/d/18JhrhWUekua90Iz2ra8kaEXv67eb7KFk/view?usp=sharing" TargetMode="External"/><Relationship Id="rId8304" Type="http://schemas.openxmlformats.org/officeDocument/2006/relationships/hyperlink" Target="https://www.vidio.com/live/6317-bein-3?schedule_id=4783084" TargetMode="External"/><Relationship Id="rId10234" Type="http://schemas.openxmlformats.org/officeDocument/2006/relationships/hyperlink" Target="https://www.vidio.com/live/17875-bein-2?schedule_id=4773349" TargetMode="External"/><Relationship Id="rId10581" Type="http://schemas.openxmlformats.org/officeDocument/2006/relationships/hyperlink" Target="https://drive.google.com/file/d/1Vh5TXhDOsnHzDBV5VQ5WVFZckZDbfPLv/view?usp=sharing" TargetMode="External"/><Relationship Id="rId11632" Type="http://schemas.openxmlformats.org/officeDocument/2006/relationships/hyperlink" Target="https://drive.google.com/file/d/1nOEwY2ebvY_EahDEyABMKkTioy_Rzesk/view?usp=sharing" TargetMode="External"/><Relationship Id="rId2398" Type="http://schemas.openxmlformats.org/officeDocument/2006/relationships/hyperlink" Target="https://drive.google.com/drive/folders/1ZrE7icba5-LK7QkFFc-yxpXZDe9SYBGJ?usp=drive_link" TargetMode="External"/><Relationship Id="rId3449" Type="http://schemas.openxmlformats.org/officeDocument/2006/relationships/hyperlink" Target="https://drive.google.com/file/d/1WRYnOYVUm_FHKXX9aiwnRZBX-8BoR6s6/view?usp=sharing" TargetMode="External"/><Relationship Id="rId4847" Type="http://schemas.openxmlformats.org/officeDocument/2006/relationships/hyperlink" Target="https://drive.google.com/file/d/1_JK-tQyKhqaarX8l60NqI6AUau7pwe-d/view?usp=sharing" TargetMode="External"/><Relationship Id="rId7320" Type="http://schemas.openxmlformats.org/officeDocument/2006/relationships/hyperlink" Target="https://www.vidio.com/live/19548-national-football-league-2025-26?schedule_id=4587621" TargetMode="External"/><Relationship Id="rId3863" Type="http://schemas.openxmlformats.org/officeDocument/2006/relationships/hyperlink" Target="https://www.vidio.com/live/6685-champions-tv-1?schedule_id=4798222" TargetMode="External"/><Relationship Id="rId4914" Type="http://schemas.openxmlformats.org/officeDocument/2006/relationships/hyperlink" Target="https://www.vidio.com/live/19404-serie-a?schedule_id=4832827" TargetMode="External"/><Relationship Id="rId9078" Type="http://schemas.openxmlformats.org/officeDocument/2006/relationships/hyperlink" Target="https://drive.google.com/drive/folders/1UkPCOESpGcOQ3cVaD8MskjA1aoSNEJra?usp=sharing" TargetMode="External"/><Relationship Id="rId10301" Type="http://schemas.openxmlformats.org/officeDocument/2006/relationships/hyperlink" Target="https://drive.google.com/file/d/1FhjUREu6wcYSIJkJR50NB3FFjXqZgTsS/view?usp=drive_link" TargetMode="External"/><Relationship Id="rId784" Type="http://schemas.openxmlformats.org/officeDocument/2006/relationships/hyperlink" Target="https://drive.google.com/file/d/1yhrvDOCQhu7ddL3fLP1Y-ZDZkbMO-JR_/view?usp=sharing" TargetMode="External"/><Relationship Id="rId1067" Type="http://schemas.openxmlformats.org/officeDocument/2006/relationships/hyperlink" Target="https://drive.google.com/file/d/193aMAXVNeQv5KHTMu9clRamo2-43cJ2j/view?usp=sharing" TargetMode="External"/><Relationship Id="rId2465" Type="http://schemas.openxmlformats.org/officeDocument/2006/relationships/hyperlink" Target="https://drive.google.com/drive/folders/1OaLIp6HFvH8TyaeVEqGxIV3HFrziJkWO?usp=drive_link" TargetMode="External"/><Relationship Id="rId3516" Type="http://schemas.openxmlformats.org/officeDocument/2006/relationships/hyperlink" Target="https://drive.google.com/file/d/1hIzJNYYZViHy-qWz8ZZr6XMkMVlA4IZv/view?usp=sharing" TargetMode="External"/><Relationship Id="rId3930" Type="http://schemas.openxmlformats.org/officeDocument/2006/relationships/hyperlink" Target="https://drive.google.com/file/d/1e8QrbiN3Ddubc2zghmTAyD_q3ms2izfR/view?usp=sharing" TargetMode="External"/><Relationship Id="rId8094" Type="http://schemas.openxmlformats.org/officeDocument/2006/relationships/hyperlink" Target="https://drive.google.com/file/d/19S7BxjjUfgbwLshu5EpGEKnYrg36FxZD/view?usp=drive_link" TargetMode="External"/><Relationship Id="rId9492" Type="http://schemas.openxmlformats.org/officeDocument/2006/relationships/hyperlink" Target="https://drive.google.com/file/d/1p2aV85j6_giKgh-0YetEkdzxqIRtwiWk/view?usp=sharing" TargetMode="External"/><Relationship Id="rId12059" Type="http://schemas.openxmlformats.org/officeDocument/2006/relationships/hyperlink" Target="https://drive.google.com/drive/folders/1j2A_bH-x2l04Qo4WA98rK5ys1iCEU3UZ" TargetMode="External"/><Relationship Id="rId437" Type="http://schemas.openxmlformats.org/officeDocument/2006/relationships/hyperlink" Target="https://drive.google.com/file/d/1nGO8RCZs0RcuNxT7TFpw2Rp0aIHc-ZzE/view?usp=sharing" TargetMode="External"/><Relationship Id="rId851" Type="http://schemas.openxmlformats.org/officeDocument/2006/relationships/hyperlink" Target="https://drive.google.com/file/d/1XrargegNpcUfQaY2JllC920pJgdP7ywi/view?usp=sharing" TargetMode="External"/><Relationship Id="rId1481" Type="http://schemas.openxmlformats.org/officeDocument/2006/relationships/hyperlink" Target="https://drive.google.com/file/d/1XthfigRBeijfM-9lq2w3zsJddozIsX4y/view?usp=sharing" TargetMode="External"/><Relationship Id="rId2118" Type="http://schemas.openxmlformats.org/officeDocument/2006/relationships/hyperlink" Target="https://drive.google.com/drive/folders/1gCLKym8Niu3tY1xlBbPJwfhZ-ltZiBSX" TargetMode="External"/><Relationship Id="rId2532" Type="http://schemas.openxmlformats.org/officeDocument/2006/relationships/hyperlink" Target="https://drive.google.com/drive/folders/19UzO_tRCNzQTj3ebMZJXNBpvuDDPs3NW?usp=drive_link" TargetMode="External"/><Relationship Id="rId5688" Type="http://schemas.openxmlformats.org/officeDocument/2006/relationships/hyperlink" Target="https://drive.google.com/drive/folders/1Xlp5aunryVlWR8atbAp6mL9dfJO63aR4?usp=drive_link" TargetMode="External"/><Relationship Id="rId6739" Type="http://schemas.openxmlformats.org/officeDocument/2006/relationships/hyperlink" Target="https://drive.google.com/drive/folders/1bv6hM05HjG5FketVH4UW2T4B7j5Yd7j4" TargetMode="External"/><Relationship Id="rId9145" Type="http://schemas.openxmlformats.org/officeDocument/2006/relationships/hyperlink" Target="https://www.vidio.com/live/19748-national-football-league-2025-26?schedule_id=4717978" TargetMode="External"/><Relationship Id="rId11075" Type="http://schemas.openxmlformats.org/officeDocument/2006/relationships/hyperlink" Target="https://drive.google.com/file/d/1jEKR1T4RD4TDVRufO4-ylxhJLt11-Oer/view?usp=sharing" TargetMode="External"/><Relationship Id="rId12126" Type="http://schemas.openxmlformats.org/officeDocument/2006/relationships/hyperlink" Target="https://drive.google.com/drive/folders/1y_mGPCoON9jW62Lb8x5K2d_YVzyt7dym" TargetMode="External"/><Relationship Id="rId504" Type="http://schemas.openxmlformats.org/officeDocument/2006/relationships/hyperlink" Target="https://drive.google.com/file/d/1JGnb7iTJ-hmZKoVfzCdbi3nmYnbjPFq1/view?usp=sharing" TargetMode="External"/><Relationship Id="rId1134" Type="http://schemas.openxmlformats.org/officeDocument/2006/relationships/hyperlink" Target="https://www.vidio.com/live/19536-premier-league?schedule_id=4802057" TargetMode="External"/><Relationship Id="rId5755" Type="http://schemas.openxmlformats.org/officeDocument/2006/relationships/hyperlink" Target="https://drive.google.com/drive/folders/12tAc3vzCKfsqISDfU8jVphl3GNq_1Ocp?usp=drive_link" TargetMode="External"/><Relationship Id="rId6806" Type="http://schemas.openxmlformats.org/officeDocument/2006/relationships/hyperlink" Target="https://drive.google.com/drive/folders/1ucNoaH6qaYCBmETyhLgQ5RaF6B8eqX2W?usp=drive_link" TargetMode="External"/><Relationship Id="rId8161" Type="http://schemas.openxmlformats.org/officeDocument/2006/relationships/hyperlink" Target="https://drive.google.com/file/d/1nJi2i1U5-VdX0U1J3omJZpbud0MFRM63/view?usp=sharing" TargetMode="External"/><Relationship Id="rId9212" Type="http://schemas.openxmlformats.org/officeDocument/2006/relationships/hyperlink" Target="https://drive.google.com/file/d/1bGAtWdCSL-v2iZg1GvRoYwXZwXVqVH3x/view?usp=sharing" TargetMode="External"/><Relationship Id="rId10091" Type="http://schemas.openxmlformats.org/officeDocument/2006/relationships/hyperlink" Target="https://drive.google.com/file/d/1geICbEK7l4MWELnej7eJPkqYvRFlUUUM/view?usp=sharing" TargetMode="External"/><Relationship Id="rId11142" Type="http://schemas.openxmlformats.org/officeDocument/2006/relationships/hyperlink" Target="https://thumbor.prod.vidiocdn.com/X-wXRoS82aptcOIAMx_bMhGEhJU=/filters:quality(70)/vidio-media-production/uploads/image/source/53289/f0cbf4.png" TargetMode="External"/><Relationship Id="rId1201" Type="http://schemas.openxmlformats.org/officeDocument/2006/relationships/hyperlink" Target="https://www.vidio.com/live/9182-champions-tv-5?schedule_id=4827336" TargetMode="External"/><Relationship Id="rId4357" Type="http://schemas.openxmlformats.org/officeDocument/2006/relationships/hyperlink" Target="https://drive.google.com/drive/folders/1lBlXFBl4TqP2MeqFN3Wx1uc1mDYkLzFG?usp=drive_link" TargetMode="External"/><Relationship Id="rId4771" Type="http://schemas.openxmlformats.org/officeDocument/2006/relationships/hyperlink" Target="https://www.vidio.com/live/19404-serie-a?schedule_id=4790691" TargetMode="External"/><Relationship Id="rId5408" Type="http://schemas.openxmlformats.org/officeDocument/2006/relationships/hyperlink" Target="https://www.vidio.com/live/6317-bein-3?schedule_id=4772712" TargetMode="External"/><Relationship Id="rId3373" Type="http://schemas.openxmlformats.org/officeDocument/2006/relationships/hyperlink" Target="https://drive.google.com/drive/folders/1e5dmoZsYGg2MA8rqilJ7t7UQqfpd88Hq" TargetMode="External"/><Relationship Id="rId4424" Type="http://schemas.openxmlformats.org/officeDocument/2006/relationships/hyperlink" Target="https://www.vidio.com/live/19404-serie-a?schedule_id=4678469" TargetMode="External"/><Relationship Id="rId5822" Type="http://schemas.openxmlformats.org/officeDocument/2006/relationships/hyperlink" Target="https://drive.google.com/drive/folders/13eQLR64HrKbyWDLlQsn3dQSDucgsN6sA?usp=drive_link" TargetMode="External"/><Relationship Id="rId8978" Type="http://schemas.openxmlformats.org/officeDocument/2006/relationships/hyperlink" Target="https://www.vidio.com/live/19623-national-football-league-2025-26?schedule_id=4708929" TargetMode="External"/><Relationship Id="rId11959" Type="http://schemas.openxmlformats.org/officeDocument/2006/relationships/hyperlink" Target="https://www.vidio.com/live/18249-petronas-malaysia-open-2026-round-of-32-court-1?schedule_id=4832179" TargetMode="External"/><Relationship Id="rId294" Type="http://schemas.openxmlformats.org/officeDocument/2006/relationships/hyperlink" Target="https://drive.google.com/file/d/1MmNzAb-iUvwEIXwwNUELF6laLtHU4hMI/view?usp=drive_link" TargetMode="External"/><Relationship Id="rId3026" Type="http://schemas.openxmlformats.org/officeDocument/2006/relationships/hyperlink" Target="https://www.vidio.com/live/17875-bein-2?schedule_id=4768730" TargetMode="External"/><Relationship Id="rId7994" Type="http://schemas.openxmlformats.org/officeDocument/2006/relationships/hyperlink" Target="https://drive.google.com/file/d/1MGLC9_wac-n-Xkx9OjTOtkKoElHknsne/view?usp=sharing" TargetMode="External"/><Relationship Id="rId10975" Type="http://schemas.openxmlformats.org/officeDocument/2006/relationships/hyperlink" Target="https://thumbor.prod.vidiocdn.com/MYf0A45tTJGBsmyMMaTVTO7c1RU=/filters:quality(70)/vidio-media-production/uploads/image/source/52662/c51b81.png" TargetMode="External"/><Relationship Id="rId361" Type="http://schemas.openxmlformats.org/officeDocument/2006/relationships/hyperlink" Target="https://drive.google.com/file/d/1ixFQ0i3_CHMRm6ulyfwu1KzUaXU6T7yH/view?usp=sharing" TargetMode="External"/><Relationship Id="rId2042" Type="http://schemas.openxmlformats.org/officeDocument/2006/relationships/hyperlink" Target="https://drive.google.com/file/d/1toqQ-Ev_hiThAB1_fiuON_7H0gzFbRBO/view?usp=sharing" TargetMode="External"/><Relationship Id="rId3440" Type="http://schemas.openxmlformats.org/officeDocument/2006/relationships/hyperlink" Target="https://drive.google.com/file/d/1OHgB7pmLxkERuqqShpu_FkBVF8Fx-iGU/view?usp=drive_link" TargetMode="External"/><Relationship Id="rId5198" Type="http://schemas.openxmlformats.org/officeDocument/2006/relationships/hyperlink" Target="https://drive.google.com/file/d/1L4E9N3JOcKr096GGJ4wvKxRsm28-L4QI/view?usp=sharing" TargetMode="External"/><Relationship Id="rId6596" Type="http://schemas.openxmlformats.org/officeDocument/2006/relationships/hyperlink" Target="https://www.vidio.com/live/19740-uefa-conference-league?schedule_id=4783332" TargetMode="External"/><Relationship Id="rId7647" Type="http://schemas.openxmlformats.org/officeDocument/2006/relationships/hyperlink" Target="https://drive.google.com/file/d/1IgyILw1O69YdskXLZxY3eS98RN4SPU1I/view?usp=sharing" TargetMode="External"/><Relationship Id="rId10628" Type="http://schemas.openxmlformats.org/officeDocument/2006/relationships/hyperlink" Target="https://www.vidio.com/live/6685-champions-tv-1?schedule_id=4780822" TargetMode="External"/><Relationship Id="rId6249" Type="http://schemas.openxmlformats.org/officeDocument/2006/relationships/hyperlink" Target="https://www.vidio.com/live/19645-uefa-conference-league?schedule_id=4664235" TargetMode="External"/><Relationship Id="rId6663" Type="http://schemas.openxmlformats.org/officeDocument/2006/relationships/hyperlink" Target="https://drive.google.com/file/d/12mCAz5woERdcY6bMndKJyTCwHL08jI1f/view?usp=sharing" TargetMode="External"/><Relationship Id="rId7714" Type="http://schemas.openxmlformats.org/officeDocument/2006/relationships/hyperlink" Target="https://drive.google.com/file/d/1I4dR81QQoYfRqW_zEWMT0QOMJJk-utub/view?usp=sharing" TargetMode="External"/><Relationship Id="rId12050" Type="http://schemas.openxmlformats.org/officeDocument/2006/relationships/hyperlink" Target="https://www.vidio.com/live/18250-petronas-malaysia-open-2026-round-of-16-court-2?schedule_id=4832336" TargetMode="External"/><Relationship Id="rId2859" Type="http://schemas.openxmlformats.org/officeDocument/2006/relationships/hyperlink" Target="https://www.vidio.com/live/6317-bein-3?schedule_id=4704450" TargetMode="External"/><Relationship Id="rId5265" Type="http://schemas.openxmlformats.org/officeDocument/2006/relationships/hyperlink" Target="https://drive.google.com/file/d/1StHtLMbND9B_bkbD3sWL8rOv7AfwWWLD/view?usp=sharing" TargetMode="External"/><Relationship Id="rId6316" Type="http://schemas.openxmlformats.org/officeDocument/2006/relationships/hyperlink" Target="https://drive.google.com/drive/folders/1dYT1-_hkcXr6RajMgy_59xkFCUgGw19T" TargetMode="External"/><Relationship Id="rId6730" Type="http://schemas.openxmlformats.org/officeDocument/2006/relationships/hyperlink" Target="https://www.vidio.com/live/6685-champions-tv-1?schedule_id=4566540" TargetMode="External"/><Relationship Id="rId9886" Type="http://schemas.openxmlformats.org/officeDocument/2006/relationships/hyperlink" Target="https://thumbor.prod.vidiocdn.com/Lyl_e5cpJfAorBQ_2UQwbh66Bp0=/filters:quality(70)/vidio-media-production/uploads/image/source/52302/27ed78.png" TargetMode="External"/><Relationship Id="rId1875" Type="http://schemas.openxmlformats.org/officeDocument/2006/relationships/hyperlink" Target="https://drive.google.com/drive/folders/13Agq71m5YdllMjRcBM3jViBL4aeCrcV2" TargetMode="External"/><Relationship Id="rId4281" Type="http://schemas.openxmlformats.org/officeDocument/2006/relationships/hyperlink" Target="https://drive.google.com/file/d/1qkZbY6guo_DO628aSfhHHkk9NAzSCGAB/view?usp=sharing" TargetMode="External"/><Relationship Id="rId5332" Type="http://schemas.openxmlformats.org/officeDocument/2006/relationships/hyperlink" Target="https://drive.google.com/drive/folders/1p3ReKkwnykjl7GyAXZVG-Dm3OJQWs1E0" TargetMode="External"/><Relationship Id="rId8488" Type="http://schemas.openxmlformats.org/officeDocument/2006/relationships/hyperlink" Target="https://drive.google.com/file/d/14Ia3xFYggO43EWEGLkXaeHcRi1YPpuUQ/view?usp=sharing" TargetMode="External"/><Relationship Id="rId9539" Type="http://schemas.openxmlformats.org/officeDocument/2006/relationships/hyperlink" Target="https://www.vidio.com/live/19845-top-soccer-championship-2025-u-13-u-14?schedule_id=4719216" TargetMode="External"/><Relationship Id="rId11469" Type="http://schemas.openxmlformats.org/officeDocument/2006/relationships/hyperlink" Target="https://drive.google.com/drive/folders/1Hl6PqKLZehwzOzCWj0sHzUtGdSkqOn4O" TargetMode="External"/><Relationship Id="rId1528" Type="http://schemas.openxmlformats.org/officeDocument/2006/relationships/hyperlink" Target="https://drive.google.com/drive/folders/1Ct8A8gjkdaJ-sEFUB_JwaxL4uuEs8CvQ" TargetMode="External"/><Relationship Id="rId2926" Type="http://schemas.openxmlformats.org/officeDocument/2006/relationships/hyperlink" Target="https://drive.google.com/drive/folders/1DPSndHg_Ftov32kfHVJYOFvCAsOr-mBg?usp=drive_link" TargetMode="External"/><Relationship Id="rId8555" Type="http://schemas.openxmlformats.org/officeDocument/2006/relationships/hyperlink" Target="https://www.vidio.com/live/19541-pegadaian-championship-2025-26?schedule_id=4719238" TargetMode="External"/><Relationship Id="rId9606" Type="http://schemas.openxmlformats.org/officeDocument/2006/relationships/hyperlink" Target="https://drive.google.com/drive/folders/12roleeDX6mRaxFtKMnSE31vbmk5YqdMZ" TargetMode="External"/><Relationship Id="rId9953" Type="http://schemas.openxmlformats.org/officeDocument/2006/relationships/hyperlink" Target="https://drive.google.com/file/d/129Sh_LkKvcw22UV_QNBHnGLNDXLNpOFj/view?usp=sharing" TargetMode="External"/><Relationship Id="rId11883" Type="http://schemas.openxmlformats.org/officeDocument/2006/relationships/hyperlink" Target="https://www.vidio.com/live/18250-petronas-malaysia-open-2026-round-of-32-court-2?schedule_id=4831567" TargetMode="External"/><Relationship Id="rId1942" Type="http://schemas.openxmlformats.org/officeDocument/2006/relationships/hyperlink" Target="https://www.vidio.com/live/205-indosiar?schedule_id=4674546" TargetMode="External"/><Relationship Id="rId4001" Type="http://schemas.openxmlformats.org/officeDocument/2006/relationships/hyperlink" Target="https://drive.google.com/drive/folders/1PPfLTw6uCkUlARyy6ot-B6-GY_FW0YwK" TargetMode="External"/><Relationship Id="rId7157" Type="http://schemas.openxmlformats.org/officeDocument/2006/relationships/hyperlink" Target="https://drive.google.com/file/d/1SdgTrgsDzyRJIB7OBEL5Qt8jk6i_-Lp2/view?usp=sharing" TargetMode="External"/><Relationship Id="rId8208" Type="http://schemas.openxmlformats.org/officeDocument/2006/relationships/hyperlink" Target="https://drive.google.com/file/d/1JzASyRDZW5d-AEDev9RJ0RLS6gp-kDBs/view?usp=drive_link" TargetMode="External"/><Relationship Id="rId10485" Type="http://schemas.openxmlformats.org/officeDocument/2006/relationships/hyperlink" Target="https://www.vidio.com/live/20040-top-youth-premier-league-2025-pekan-ke-13?schedule_id=4766511" TargetMode="External"/><Relationship Id="rId11536" Type="http://schemas.openxmlformats.org/officeDocument/2006/relationships/hyperlink" Target="https://www.vidio.com/live/6317-bein-3?schedule_id=4833791" TargetMode="External"/><Relationship Id="rId11950" Type="http://schemas.openxmlformats.org/officeDocument/2006/relationships/hyperlink" Target="https://www.vidio.com/live/18249-petronas-malaysia-open-2026-round-of-32-court-1?schedule_id=4832175" TargetMode="External"/><Relationship Id="rId6173" Type="http://schemas.openxmlformats.org/officeDocument/2006/relationships/hyperlink" Target="https://drive.google.com/drive/folders/1z0QSLmNvSJyyT8FLEYRkw6ibg9dSBAVC" TargetMode="External"/><Relationship Id="rId7571" Type="http://schemas.openxmlformats.org/officeDocument/2006/relationships/hyperlink" Target="https://drive.google.com/drive/folders/17X2V1BcB89cijmSLW9hVrfMXmOZfvjjR?usp=drive_link" TargetMode="External"/><Relationship Id="rId8622" Type="http://schemas.openxmlformats.org/officeDocument/2006/relationships/hyperlink" Target="https://drive.google.com/file/d/1JapMhjWrrnxEXGBWy9wqrfpbQA4eJlTH/view?usp=sharing" TargetMode="External"/><Relationship Id="rId10138" Type="http://schemas.openxmlformats.org/officeDocument/2006/relationships/hyperlink" Target="https://www.vidio.com/live/19998?schedule_id=4743100" TargetMode="External"/><Relationship Id="rId10552" Type="http://schemas.openxmlformats.org/officeDocument/2006/relationships/hyperlink" Target="https://drive.google.com/file/d/1pkAkQ8aS-OvXjv_-gSn8MmFsRYLKnK1n/view?usp=sharing" TargetMode="External"/><Relationship Id="rId11603" Type="http://schemas.openxmlformats.org/officeDocument/2006/relationships/hyperlink" Target="https://drive.google.com/file/d/1tuLdnP2GYHnawWcVX3xRI8E6BqYjXqTm/view?usp=sharing" TargetMode="External"/><Relationship Id="rId3767" Type="http://schemas.openxmlformats.org/officeDocument/2006/relationships/hyperlink" Target="https://drive.google.com/file/d/1F2lw6CXuo9UBik-lqGnTjsiAjjAZ73rX/view?usp=drive_link" TargetMode="External"/><Relationship Id="rId4818" Type="http://schemas.openxmlformats.org/officeDocument/2006/relationships/hyperlink" Target="https://thumbor.prod.vidiocdn.com/tNR6d0r8X0oLsuJIwUR0s6ZHbHU=/filters:quality(70)/vidio-media-production/uploads/image/source/52628/99e105.png" TargetMode="External"/><Relationship Id="rId7224" Type="http://schemas.openxmlformats.org/officeDocument/2006/relationships/hyperlink" Target="https://www.vidio.com/live/19548-national-football-league-2025-26?schedule_id=4653439" TargetMode="External"/><Relationship Id="rId10205" Type="http://schemas.openxmlformats.org/officeDocument/2006/relationships/hyperlink" Target="https://www.vidio.com/live/19388-rws-muay-thai-2025?schedule_id=4773339" TargetMode="External"/><Relationship Id="rId688" Type="http://schemas.openxmlformats.org/officeDocument/2006/relationships/hyperlink" Target="https://drive.google.com/file/d/1M6pAM0sV2Z7HUvqBDqsZ060zfl5ZzwbN/view?usp=sharing" TargetMode="External"/><Relationship Id="rId2369" Type="http://schemas.openxmlformats.org/officeDocument/2006/relationships/hyperlink" Target="https://drive.google.com/drive/folders/1jTpCxrE8bgpjQYW1oUGksG0BEWGOqt2M?usp=drive_link" TargetMode="External"/><Relationship Id="rId2783" Type="http://schemas.openxmlformats.org/officeDocument/2006/relationships/hyperlink" Target="https://drive.google.com/file/d/1FM2DoEahGAPhXuQsnjSaOvnM2oI19nD2/view?usp=drive_link" TargetMode="External"/><Relationship Id="rId3834" Type="http://schemas.openxmlformats.org/officeDocument/2006/relationships/hyperlink" Target="https://drive.google.com/drive/folders/1JFH8NPU6L6pLKvskrZBAfnSZ7LA8vs7o?usp=sharing" TargetMode="External"/><Relationship Id="rId6240" Type="http://schemas.openxmlformats.org/officeDocument/2006/relationships/hyperlink" Target="https://drive.google.com/drive/folders/1XdGdDiHN_8U2biA98Gg_3L97oMsT8AYD" TargetMode="External"/><Relationship Id="rId9396" Type="http://schemas.openxmlformats.org/officeDocument/2006/relationships/hyperlink" Target="https://drive.google.com/drive/folders/1l_f1TpO80Q5Yg9HWZuRjq1Vj8DpVFLF1" TargetMode="External"/><Relationship Id="rId12377" Type="http://schemas.openxmlformats.org/officeDocument/2006/relationships/hyperlink" Target="https://drive.google.com/file/d/1QU7f_kJOwoVWtAMjp7ybswNoG2DihFYJ/view?usp=sharing" TargetMode="External"/><Relationship Id="rId755" Type="http://schemas.openxmlformats.org/officeDocument/2006/relationships/hyperlink" Target="https://drive.google.com/file/d/18tzkcVghr8RRpbC_zjfzkoclgdyueDT0/view?usp=sharing" TargetMode="External"/><Relationship Id="rId1385" Type="http://schemas.openxmlformats.org/officeDocument/2006/relationships/hyperlink" Target="https://drive.google.com/file/d/1qwqQY3d8YbT0eiwgErXfLo7gky5gzJ3r/view?usp=sharing" TargetMode="External"/><Relationship Id="rId2436" Type="http://schemas.openxmlformats.org/officeDocument/2006/relationships/hyperlink" Target="https://www.vidio.com/live/6299-bein-1?schedule_id=4563083" TargetMode="External"/><Relationship Id="rId2850" Type="http://schemas.openxmlformats.org/officeDocument/2006/relationships/hyperlink" Target="https://drive.google.com/drive/folders/1cA9KxSRTjbGHfV97cQx2X2tYvii98MF_?usp=drive_link" TargetMode="External"/><Relationship Id="rId9049" Type="http://schemas.openxmlformats.org/officeDocument/2006/relationships/hyperlink" Target="https://drive.google.com/file/d/1PJSIunqIgyDIHSVVW5AVhXFXvAxizd4V/view?usp=sharing" TargetMode="External"/><Relationship Id="rId9463" Type="http://schemas.openxmlformats.org/officeDocument/2006/relationships/hyperlink" Target="https://thumbor.prod.vidiocdn.com/_YRU7ruGPCa3yA1L_2Sjp3ApJa0=/filters:quality(70)/vidio-media-production/uploads/image/source/53012/ac4de6.png" TargetMode="External"/><Relationship Id="rId11393" Type="http://schemas.openxmlformats.org/officeDocument/2006/relationships/hyperlink" Target="https://thumbor.prod.vidiocdn.com/hpjjg1zOyujipSAP7cgTgCIhWUs=/filters:quality(70)/vidio-media-production/uploads/image/source/52357/132059.png" TargetMode="External"/><Relationship Id="rId12444" Type="http://schemas.openxmlformats.org/officeDocument/2006/relationships/hyperlink" Target="https://drive.google.com/file/d/17nqJ8YbOWxi4DOQmMA4_VvY1qMuE4tM4/view?usp=sharing" TargetMode="External"/><Relationship Id="rId91" Type="http://schemas.openxmlformats.org/officeDocument/2006/relationships/hyperlink" Target="https://www.vidio.com/live/9182-champions-tv-5?schedule_id=4496981" TargetMode="External"/><Relationship Id="rId408" Type="http://schemas.openxmlformats.org/officeDocument/2006/relationships/hyperlink" Target="https://drive.google.com/file/d/1e0aR8MWrwA4m4eeMgJ-pPkDu3N273HVI/view?usp=sharing" TargetMode="External"/><Relationship Id="rId822" Type="http://schemas.openxmlformats.org/officeDocument/2006/relationships/hyperlink" Target="https://www.vidio.com/live/9182-champions-tv-5?schedule_id=4739606" TargetMode="External"/><Relationship Id="rId1038" Type="http://schemas.openxmlformats.org/officeDocument/2006/relationships/hyperlink" Target="https://www.vidio.com/live/9183-champions-tv-6?schedule_id=4783757" TargetMode="External"/><Relationship Id="rId1452" Type="http://schemas.openxmlformats.org/officeDocument/2006/relationships/hyperlink" Target="https://drive.google.com/file/d/13Y57MNZYByPXbxdM_z_0ZRVFMp3bYaX9/view?usp=sharing" TargetMode="External"/><Relationship Id="rId2503" Type="http://schemas.openxmlformats.org/officeDocument/2006/relationships/hyperlink" Target="https://drive.google.com/drive/folders/1x-DtdaFTl98EhZL35ywQQyKwVU7bI0xE?usp=drive_link" TargetMode="External"/><Relationship Id="rId3901" Type="http://schemas.openxmlformats.org/officeDocument/2006/relationships/hyperlink" Target="https://drive.google.com/drive/folders/1qocNH1bky_XsJjyBm9Je8QR59gWfwxBO" TargetMode="External"/><Relationship Id="rId5659" Type="http://schemas.openxmlformats.org/officeDocument/2006/relationships/hyperlink" Target="https://drive.google.com/drive/folders/1-v2k9mkE5Wr7vtcZPt5z5lBJb1kpLRxM?usp=drive_link" TargetMode="External"/><Relationship Id="rId8065" Type="http://schemas.openxmlformats.org/officeDocument/2006/relationships/hyperlink" Target="https://drive.google.com/file/d/12oJKYI5D5ui4HEc5NnP8FrzrPN00POIK/view?usp=sharing" TargetMode="External"/><Relationship Id="rId9116" Type="http://schemas.openxmlformats.org/officeDocument/2006/relationships/hyperlink" Target="https://www.vidio.com/live/19370-carabao-cup-2025-26?schedule_id=4779497" TargetMode="External"/><Relationship Id="rId9530" Type="http://schemas.openxmlformats.org/officeDocument/2006/relationships/hyperlink" Target="https://drive.google.com/file/d/1n2ym_23B7Gfs7YwfK6tcHS2TIJIqrsOK/view?usp=sharing" TargetMode="External"/><Relationship Id="rId11046" Type="http://schemas.openxmlformats.org/officeDocument/2006/relationships/hyperlink" Target="https://www.vidio.com/live/20254-fa-cup-2025-26?schedule_id=4834096" TargetMode="External"/><Relationship Id="rId1105" Type="http://schemas.openxmlformats.org/officeDocument/2006/relationships/hyperlink" Target="https://thumbor.prod.vidiocdn.com/cywLQaEVAOfDYw7w0d_Y8R9gv7s=/filters:quality(70)/vidio-media-production/uploads/image/source/52488/c5a1f6.png" TargetMode="External"/><Relationship Id="rId7081" Type="http://schemas.openxmlformats.org/officeDocument/2006/relationships/hyperlink" Target="https://drive.google.com/file/d/1icLgl4XbEtesJGE6ambY44jZrGCmMPqU/view?usp=sharing" TargetMode="External"/><Relationship Id="rId8132" Type="http://schemas.openxmlformats.org/officeDocument/2006/relationships/hyperlink" Target="https://www.vidio.com/live/19541-pegadaian-championship-2025-26?schedule_id=4709331" TargetMode="External"/><Relationship Id="rId11460" Type="http://schemas.openxmlformats.org/officeDocument/2006/relationships/hyperlink" Target="https://drive.google.com/drive/folders/1srROS9ifW9qLM6vPTaIrkrfuvIjTGQwm" TargetMode="External"/><Relationship Id="rId3277" Type="http://schemas.openxmlformats.org/officeDocument/2006/relationships/hyperlink" Target="https://drive.google.com/drive/folders/1beFRlePMrZeY9yzuExbBj9uzQOFRb8d-?usp=drive_link" TargetMode="External"/><Relationship Id="rId4675" Type="http://schemas.openxmlformats.org/officeDocument/2006/relationships/hyperlink" Target="https://thumbor.prod.vidiocdn.com/2uTM7JVT4tZZfmVx5qJNo8vPjDE=/filters:quality(70)/vidio-media-production/uploads/image/source/51895/8a3531.png" TargetMode="External"/><Relationship Id="rId5726" Type="http://schemas.openxmlformats.org/officeDocument/2006/relationships/hyperlink" Target="https://drive.google.com/drive/folders/1v3ovVyE-WalYa59ZTkMU0owZ2GEy9xEo?usp=drive_link" TargetMode="External"/><Relationship Id="rId10062" Type="http://schemas.openxmlformats.org/officeDocument/2006/relationships/hyperlink" Target="https://drive.google.com/file/d/1q65CuYvAa2qTvwBc4Yw9b6YXzefTlhT2/view?usp=drive_link" TargetMode="External"/><Relationship Id="rId11113" Type="http://schemas.openxmlformats.org/officeDocument/2006/relationships/hyperlink" Target="https://thumbor.prod.vidiocdn.com/XOCnRkMIcdFDysoWQNdTsuswFxw=/filters:quality(70)/vidio-media-production/uploads/image/source/53131/374da0.png" TargetMode="External"/><Relationship Id="rId198" Type="http://schemas.openxmlformats.org/officeDocument/2006/relationships/hyperlink" Target="https://drive.google.com/drive/folders/1E-SiChHX8IFkkAWfrdcoH1SwbCWsIC_8?usp=drive_link" TargetMode="External"/><Relationship Id="rId3691" Type="http://schemas.openxmlformats.org/officeDocument/2006/relationships/hyperlink" Target="https://drive.google.com/file/d/1PMeL9H3es3ox53veajy0mhNOrW6Nln4E/view?usp=sharing" TargetMode="External"/><Relationship Id="rId4328" Type="http://schemas.openxmlformats.org/officeDocument/2006/relationships/hyperlink" Target="https://drive.google.com/drive/folders/1OsVeWUljy0iEIHeH_pOpT6B61eQCmCr-?usp=drive_link" TargetMode="External"/><Relationship Id="rId4742" Type="http://schemas.openxmlformats.org/officeDocument/2006/relationships/hyperlink" Target="https://thumbor.prod.vidiocdn.com/RdnJB2_bxalgmd-mFVaHbs_PYjY=/filters:quality(70)/vidio-media-production/uploads/image/source/52128/5677a8.png" TargetMode="External"/><Relationship Id="rId7898" Type="http://schemas.openxmlformats.org/officeDocument/2006/relationships/hyperlink" Target="https://drive.google.com/file/d/15HPt6gcbl0Bqdt9aQ4Ewo3inxsPrEBcw/view?usp=sharing" TargetMode="External"/><Relationship Id="rId8949" Type="http://schemas.openxmlformats.org/officeDocument/2006/relationships/hyperlink" Target="https://drive.google.com/drive/u/0/folders/1rmpSlos6aL3n0g69V27IylP0SrGEyKVe" TargetMode="External"/><Relationship Id="rId10879" Type="http://schemas.openxmlformats.org/officeDocument/2006/relationships/hyperlink" Target="https://drive.google.com/drive/folders/1tvjxvo3Z9U40bjdWOnfXzxHMgTUsDECs" TargetMode="External"/><Relationship Id="rId2293" Type="http://schemas.openxmlformats.org/officeDocument/2006/relationships/hyperlink" Target="https://drive.google.com/drive/folders/1af2I59xarThn5efeJ9Xj_SeKIkA0EZKo?usp=drive_link" TargetMode="External"/><Relationship Id="rId3344" Type="http://schemas.openxmlformats.org/officeDocument/2006/relationships/hyperlink" Target="https://drive.google.com/drive/folders/1kditXM982QiCIUGvIu_AHbX7JX47i-wV?usp=drive_link" TargetMode="External"/><Relationship Id="rId7965" Type="http://schemas.openxmlformats.org/officeDocument/2006/relationships/hyperlink" Target="https://www.vidio.com/live/6299-bein-1?schedule_id=4655149" TargetMode="External"/><Relationship Id="rId265" Type="http://schemas.openxmlformats.org/officeDocument/2006/relationships/hyperlink" Target="https://drive.google.com/file/d/1S3lG9q1s7EWPAEYuLIr7SOjUQB7mczX2/view?usp=sharing" TargetMode="External"/><Relationship Id="rId2360" Type="http://schemas.openxmlformats.org/officeDocument/2006/relationships/hyperlink" Target="https://drive.google.com/file/d/1j6C7c-KUl1rCxIdizz7f4q1GIZvA2vIp/view?usp=sharing" TargetMode="External"/><Relationship Id="rId3411" Type="http://schemas.openxmlformats.org/officeDocument/2006/relationships/hyperlink" Target="https://drive.google.com/file/d/1h54nZuGyy1k473lLG_2UdB6jnvcDOgjv/view?usp=sharing" TargetMode="External"/><Relationship Id="rId6567" Type="http://schemas.openxmlformats.org/officeDocument/2006/relationships/hyperlink" Target="https://drive.google.com/file/d/1Au0JzW8aEjWJ7JrB02uuZmdZyWFy-Ndk/view?usp=drive_link" TargetMode="External"/><Relationship Id="rId6981" Type="http://schemas.openxmlformats.org/officeDocument/2006/relationships/hyperlink" Target="https://www.vidio.com/live/19542-pegadaian-championship-2025-26?schedule_id=4602005" TargetMode="External"/><Relationship Id="rId7618" Type="http://schemas.openxmlformats.org/officeDocument/2006/relationships/hyperlink" Target="https://www.vidio.com/live/6317-bein-3?schedule_id=4636581" TargetMode="External"/><Relationship Id="rId10946" Type="http://schemas.openxmlformats.org/officeDocument/2006/relationships/hyperlink" Target="https://www.vidio.com/live/18250-hsbc-bwf-world-tour-finals-2025-group-stage-court-2?schedule_id=4783271" TargetMode="External"/><Relationship Id="rId332" Type="http://schemas.openxmlformats.org/officeDocument/2006/relationships/hyperlink" Target="https://www.vidio.com/live/9182-champions-tv-5?schedule_id=4579958" TargetMode="External"/><Relationship Id="rId2013" Type="http://schemas.openxmlformats.org/officeDocument/2006/relationships/hyperlink" Target="https://drive.google.com/file/d/10ehPvUFGbyN6fCWp4TnCEpOdgZex6Ne6/view?usp=sharing" TargetMode="External"/><Relationship Id="rId5169" Type="http://schemas.openxmlformats.org/officeDocument/2006/relationships/hyperlink" Target="https://drive.google.com/file/d/1u_DZJVsi7fYXmLrWQEkvcEjiwNtZyMnl/view?usp=sharing" TargetMode="External"/><Relationship Id="rId5583" Type="http://schemas.openxmlformats.org/officeDocument/2006/relationships/hyperlink" Target="https://drive.google.com/drive/folders/1-L_c2wKZb0UK1QjNzlHLpxvXKUpF-7lB?usp=drive_link" TargetMode="External"/><Relationship Id="rId6634" Type="http://schemas.openxmlformats.org/officeDocument/2006/relationships/hyperlink" Target="https://drive.google.com/file/d/1FSPfPFJQkwgnyzM1EK3rIDN1SD9lCXA9/view?usp=drive_link" TargetMode="External"/><Relationship Id="rId9040" Type="http://schemas.openxmlformats.org/officeDocument/2006/relationships/hyperlink" Target="https://drive.google.com/file/d/1UMuW5Zc-ddtyBT514XJW4vNPhE2iK_wS/view?usp=sharing" TargetMode="External"/><Relationship Id="rId12021" Type="http://schemas.openxmlformats.org/officeDocument/2006/relationships/hyperlink" Target="https://drive.google.com/file/d/1B4cBF3qrh1sMXG2gV5jmUKJx_gapQy02/view?usp=sharing" TargetMode="External"/><Relationship Id="rId4185" Type="http://schemas.openxmlformats.org/officeDocument/2006/relationships/hyperlink" Target="https://drive.google.com/drive/folders/1tia6v4elSjYt0ip0lAMMTPYagWB8TJZK?usp=drive_link" TargetMode="External"/><Relationship Id="rId5236" Type="http://schemas.openxmlformats.org/officeDocument/2006/relationships/hyperlink" Target="https://drive.google.com/file/d/1I_MH2v03jY1MCOlj1BUFrNMIY4iZ4jNH/view?usp=sharing" TargetMode="External"/><Relationship Id="rId1779" Type="http://schemas.openxmlformats.org/officeDocument/2006/relationships/hyperlink" Target="https://drive.google.com/drive/folders/1Bx063-ShxESNFZQAPv66M4oSBQsoB5ji" TargetMode="External"/><Relationship Id="rId4252" Type="http://schemas.openxmlformats.org/officeDocument/2006/relationships/hyperlink" Target="https://drive.google.com/file/d/1WzwXZaJ8gI6LBKDS5Z8ZAbVJXR8FZzVM/view?usp=sharing" TargetMode="External"/><Relationship Id="rId5650" Type="http://schemas.openxmlformats.org/officeDocument/2006/relationships/hyperlink" Target="https://drive.google.com/file/d/1ie_8N8wimkuPByDshvpZVq-_v8AMMqjD/view?usp=sharing" TargetMode="External"/><Relationship Id="rId6701" Type="http://schemas.openxmlformats.org/officeDocument/2006/relationships/hyperlink" Target="https://drive.google.com/drive/folders/1DxHl76ZS3VN1c0PpYYQuCub1zy1opOav?usp=drive_link" TargetMode="External"/><Relationship Id="rId9857" Type="http://schemas.openxmlformats.org/officeDocument/2006/relationships/hyperlink" Target="https://www.vidio.com/live/19922-top-soccer-championship-2025-u-14-u-15?schedule_id=4731880" TargetMode="External"/><Relationship Id="rId11787" Type="http://schemas.openxmlformats.org/officeDocument/2006/relationships/hyperlink" Target="https://drive.google.com/file/d/1CWaLNszGBblCtMKuPMBf2A0Bt5EebwOa/view?usp=sharing" TargetMode="External"/><Relationship Id="rId1846" Type="http://schemas.openxmlformats.org/officeDocument/2006/relationships/hyperlink" Target="https://drive.google.com/drive/folders/1aexzNkyl8QGtRGJz1_l8iR7bOKhXX5tg" TargetMode="External"/><Relationship Id="rId5303" Type="http://schemas.openxmlformats.org/officeDocument/2006/relationships/hyperlink" Target="https://www.vidio.com/live/17883-uefa-champions-league?schedule_id=4733520" TargetMode="External"/><Relationship Id="rId8459" Type="http://schemas.openxmlformats.org/officeDocument/2006/relationships/hyperlink" Target="https://www.vidio.com/live/6685-champions-tv-1?schedule_id=4760847" TargetMode="External"/><Relationship Id="rId8873" Type="http://schemas.openxmlformats.org/officeDocument/2006/relationships/hyperlink" Target="https://www.vidio.com/live/17926-easl?schedule_id=4823384" TargetMode="External"/><Relationship Id="rId9924" Type="http://schemas.openxmlformats.org/officeDocument/2006/relationships/hyperlink" Target="https://drive.google.com/file/d/1Pxu3AhXIAbUTdt_cGnN7ndxRcNLNipyX/view?usp=sharing" TargetMode="External"/><Relationship Id="rId10389" Type="http://schemas.openxmlformats.org/officeDocument/2006/relationships/hyperlink" Target="https://www.vidio.com/live/19737-turkish-volleyball-league?schedule_id=4773815" TargetMode="External"/><Relationship Id="rId11854" Type="http://schemas.openxmlformats.org/officeDocument/2006/relationships/hyperlink" Target="https://www.vidio.com/live/18250-petronas-malaysia-open-2026-round-of-32-court-2?schedule_id=4832216" TargetMode="External"/><Relationship Id="rId1913" Type="http://schemas.openxmlformats.org/officeDocument/2006/relationships/hyperlink" Target="https://drive.google.com/file/d/1ewi7wjdAAo5aRe8Ip2BRFLqRXjrHSVIz/view?usp=drive_link" TargetMode="External"/><Relationship Id="rId7475" Type="http://schemas.openxmlformats.org/officeDocument/2006/relationships/hyperlink" Target="https://drive.google.com/drive/folders/1NepG6XT-FSa8Cs07sX3tPfQWLNpJfAxp" TargetMode="External"/><Relationship Id="rId8526" Type="http://schemas.openxmlformats.org/officeDocument/2006/relationships/hyperlink" Target="https://drive.google.com/file/d/1wAJ5BFwggCq1g6nlR_Lg0otev_meXMzZ/view?usp=sharing" TargetMode="External"/><Relationship Id="rId8940" Type="http://schemas.openxmlformats.org/officeDocument/2006/relationships/hyperlink" Target="https://drive.google.com/file/d/1HRF976L3jASf7R4TZg81Jj3Fs7qZNf8a/view?usp=sharing" TargetMode="External"/><Relationship Id="rId10456" Type="http://schemas.openxmlformats.org/officeDocument/2006/relationships/hyperlink" Target="https://drive.google.com/file/d/1nF_U9KnyUYcTUQxyplEvLGjB0L27d6E8/view?usp=sharing" TargetMode="External"/><Relationship Id="rId11507" Type="http://schemas.openxmlformats.org/officeDocument/2006/relationships/hyperlink" Target="https://www.vidio.com/live/19737-turkish-volleyball-league?schedule_id=4832301" TargetMode="External"/><Relationship Id="rId6077" Type="http://schemas.openxmlformats.org/officeDocument/2006/relationships/hyperlink" Target="https://drive.google.com/drive/folders/1TwrocApk343Y_ir01u96dimMEIHnDWgZ?usp=drive_link" TargetMode="External"/><Relationship Id="rId6491" Type="http://schemas.openxmlformats.org/officeDocument/2006/relationships/hyperlink" Target="https://drive.google.com/file/d/150oODon5l0H6PNcjDL40M-wLm_GRa3l9/view?usp=drive_link" TargetMode="External"/><Relationship Id="rId7128" Type="http://schemas.openxmlformats.org/officeDocument/2006/relationships/hyperlink" Target="https://www.vidio.com/live/19541-pegadaian-championship-2025-26?schedule_id=4638544" TargetMode="External"/><Relationship Id="rId7542" Type="http://schemas.openxmlformats.org/officeDocument/2006/relationships/hyperlink" Target="https://drive.google.com/file/d/1AyBlyClL-tclsZmyFJV9QgQhkopv9dxl/view?usp=sharing" TargetMode="External"/><Relationship Id="rId10109" Type="http://schemas.openxmlformats.org/officeDocument/2006/relationships/hyperlink" Target="https://www.vidio.com/live/19995-top-soccer-championship-2025-u-14-u-15?schedule_id=4743067" TargetMode="External"/><Relationship Id="rId10523" Type="http://schemas.openxmlformats.org/officeDocument/2006/relationships/hyperlink" Target="https://drive.google.com/file/d/1Nnw2zcP_9HcsnS4yi1dAuKRsWQW1wu0j/view?usp=sharing" TargetMode="External"/><Relationship Id="rId10870" Type="http://schemas.openxmlformats.org/officeDocument/2006/relationships/hyperlink" Target="https://www.vidio.com/live/18249-hsbc-bwf-world-tour-finals-2025-group-stage-court-1?schedule_id=4781728" TargetMode="External"/><Relationship Id="rId11921" Type="http://schemas.openxmlformats.org/officeDocument/2006/relationships/hyperlink" Target="https://drive.google.com/file/d/1I2QL-h1CAeZERs7B5O4XbiSnpFeGO68R/view?usp=sharing" TargetMode="External"/><Relationship Id="rId2687" Type="http://schemas.openxmlformats.org/officeDocument/2006/relationships/hyperlink" Target="https://drive.google.com/file/d/1nhTD1hQJty0qY9jbeWRY0mOBUWV_cTB_/view?usp=sharing" TargetMode="External"/><Relationship Id="rId3738" Type="http://schemas.openxmlformats.org/officeDocument/2006/relationships/hyperlink" Target="https://www.vidio.com/live/6685-champions-tv-1?schedule_id=4525633" TargetMode="External"/><Relationship Id="rId5093" Type="http://schemas.openxmlformats.org/officeDocument/2006/relationships/hyperlink" Target="https://drive.google.com/file/d/1ZWxCbxCb1693jcYmR7X9gMKgge1gClqR/view?usp=sharing" TargetMode="External"/><Relationship Id="rId6144" Type="http://schemas.openxmlformats.org/officeDocument/2006/relationships/hyperlink" Target="https://drive.google.com/file/d/1jgrFCD9SQMO3yaNIPArQfANtnCaqH4Q4/view?usp=drive_link" TargetMode="External"/><Relationship Id="rId659" Type="http://schemas.openxmlformats.org/officeDocument/2006/relationships/hyperlink" Target="https://drive.google.com/file/d/1FQG0QtwuW73_Pz4XFdz56OBK-6h2RJ9o/view?usp=sharing" TargetMode="External"/><Relationship Id="rId1289" Type="http://schemas.openxmlformats.org/officeDocument/2006/relationships/hyperlink" Target="https://www.vidio.com/live/17938-serie-a?schedule_id=4520557" TargetMode="External"/><Relationship Id="rId5160" Type="http://schemas.openxmlformats.org/officeDocument/2006/relationships/hyperlink" Target="https://drive.google.com/drive/folders/1fGb_0SMYmLAvhStkZRANn_6UXtossyj3?usp=drive_link" TargetMode="External"/><Relationship Id="rId6211" Type="http://schemas.openxmlformats.org/officeDocument/2006/relationships/hyperlink" Target="https://drive.google.com/file/d/1Vq-IC56LJN5qQ7hRiDSfDG-twljVRS9i/view?usp=drive_link" TargetMode="External"/><Relationship Id="rId9367" Type="http://schemas.openxmlformats.org/officeDocument/2006/relationships/hyperlink" Target="https://drive.google.com/drive/folders/1ozCMk7LRe_w8GArtIUs63IheoZ-yIj4P?usp=drive_link" TargetMode="External"/><Relationship Id="rId1356" Type="http://schemas.openxmlformats.org/officeDocument/2006/relationships/hyperlink" Target="https://drive.google.com/file/d/1HpOVaksz6kKZpGqgqbQwd0cENnS8ms3T/view?usp=drive_link" TargetMode="External"/><Relationship Id="rId2754" Type="http://schemas.openxmlformats.org/officeDocument/2006/relationships/hyperlink" Target="https://drive.google.com/drive/folders/1qeL-o6mT1rTYcd3c01m2layrhrqUN4pM?usp=drive_link" TargetMode="External"/><Relationship Id="rId3805" Type="http://schemas.openxmlformats.org/officeDocument/2006/relationships/hyperlink" Target="https://drive.google.com/file/d/1Y-ZvltKU_2jN4CMh3xN-AcyncviXTjeH/view?usp=drive_link" TargetMode="External"/><Relationship Id="rId8383" Type="http://schemas.openxmlformats.org/officeDocument/2006/relationships/hyperlink" Target="https://drive.google.com/file/d/1CgsnCVWYyxXY5SZCn5rpJn0nrOIwMbII/view?usp=sharing" TargetMode="External"/><Relationship Id="rId9781" Type="http://schemas.openxmlformats.org/officeDocument/2006/relationships/hyperlink" Target="https://drive.google.com/file/d/1bGAtWdCSL-v2iZg1GvRoYwXZwXVqVH3x/view?usp=sharing" TargetMode="External"/><Relationship Id="rId11297" Type="http://schemas.openxmlformats.org/officeDocument/2006/relationships/hyperlink" Target="https://drive.google.com/drive/folders/1JWWnozu6Dj0aF0k2fC6jrHu2maFGfdnl" TargetMode="External"/><Relationship Id="rId12348" Type="http://schemas.openxmlformats.org/officeDocument/2006/relationships/hyperlink" Target="https://drive.google.com/file/d/17nqJ8YbOWxi4DOQmMA4_VvY1qMuE4tM4/view?usp=sharing" TargetMode="External"/><Relationship Id="rId726" Type="http://schemas.openxmlformats.org/officeDocument/2006/relationships/hyperlink" Target="https://www.vidio.com/live/9182-champions-tv-5?schedule_id=4726066" TargetMode="External"/><Relationship Id="rId1009" Type="http://schemas.openxmlformats.org/officeDocument/2006/relationships/hyperlink" Target="https://drive.google.com/drive/folders/12SvAuoCKRg56fw_wu0l5YeL-SIj4ZCgy?usp=drive_link" TargetMode="External"/><Relationship Id="rId1770" Type="http://schemas.openxmlformats.org/officeDocument/2006/relationships/hyperlink" Target="https://drive.google.com/file/d/1N0jyAv6z6uuYo_2LOA3M-ap4IvcZedSm/view?usp=drive_link" TargetMode="External"/><Relationship Id="rId2407" Type="http://schemas.openxmlformats.org/officeDocument/2006/relationships/hyperlink" Target="https://drive.google.com/file/d/1hVkbwPcUC9cwA6I61AX3YowHNgkDzqOg/view?usp=sharing" TargetMode="External"/><Relationship Id="rId2821" Type="http://schemas.openxmlformats.org/officeDocument/2006/relationships/hyperlink" Target="https://drive.google.com/drive/folders/1Jl1ZyWARSPmnDvTYl6jGCBf_ujuD_vOM?usp=drive_link" TargetMode="External"/><Relationship Id="rId5977" Type="http://schemas.openxmlformats.org/officeDocument/2006/relationships/hyperlink" Target="https://drive.google.com/drive/folders/1uv6R_Y03pcTtKFiubqX2kVy_OMhJLELN?usp=drive_link" TargetMode="External"/><Relationship Id="rId8036" Type="http://schemas.openxmlformats.org/officeDocument/2006/relationships/hyperlink" Target="https://www.vidio.com/live/19541-pegadaian-championship-2025-26?schedule_id=4676986" TargetMode="External"/><Relationship Id="rId9434" Type="http://schemas.openxmlformats.org/officeDocument/2006/relationships/hyperlink" Target="https://drive.google.com/file/d/1JhfpmyRfO94bcHtkIwaa9BeZDSZYF-vg/view?usp=sharing" TargetMode="External"/><Relationship Id="rId11364" Type="http://schemas.openxmlformats.org/officeDocument/2006/relationships/hyperlink" Target="https://drive.google.com/file/d/1DNux4glLBnqI-DzUHKvsJVIQIe0fQ_QF/view" TargetMode="External"/><Relationship Id="rId12415" Type="http://schemas.openxmlformats.org/officeDocument/2006/relationships/hyperlink" Target="https://www.vidio.com/live/18249-petronas-malaysia-open-2026-round-of-16-court-1?schedule_id=4833799" TargetMode="External"/><Relationship Id="rId62" Type="http://schemas.openxmlformats.org/officeDocument/2006/relationships/hyperlink" Target="https://www.vidio.com/live/18832-sirkuit-nasional-bulutangkis-2025?schedule_id=4378011" TargetMode="External"/><Relationship Id="rId1423" Type="http://schemas.openxmlformats.org/officeDocument/2006/relationships/hyperlink" Target="https://drive.google.com/file/d/1XlU1dvN9bBXr_2HTuugWQ_YbC9DohsM8/view?usp=sharing" TargetMode="External"/><Relationship Id="rId4579" Type="http://schemas.openxmlformats.org/officeDocument/2006/relationships/hyperlink" Target="https://drive.google.com/drive/folders/145IhwfqlcpfOLrMqkCkNQ3_RVW4boDzF?usp=drive_link" TargetMode="External"/><Relationship Id="rId4993" Type="http://schemas.openxmlformats.org/officeDocument/2006/relationships/hyperlink" Target="https://drive.google.com/drive/folders/1HtW-MoKeUDFl-bH_RhFEjaLCM1bgH_jr" TargetMode="External"/><Relationship Id="rId8450" Type="http://schemas.openxmlformats.org/officeDocument/2006/relationships/hyperlink" Target="https://drive.google.com/file/d/1kw5wb-QGWvlZ2X8lb8iLAlalWnzzs8bL/view?usp=sharing" TargetMode="External"/><Relationship Id="rId9501" Type="http://schemas.openxmlformats.org/officeDocument/2006/relationships/hyperlink" Target="https://drive.google.com/file/d/1xAXk5rZNVqHZn4N5kzFhxphKjJICTyi9/view?usp=drive_link" TargetMode="External"/><Relationship Id="rId10380" Type="http://schemas.openxmlformats.org/officeDocument/2006/relationships/hyperlink" Target="https://drive.google.com/file/d/1SURgrznmO54LoFnwQ5Jg2yv65v-v0RlC/view?usp=sharing" TargetMode="External"/><Relationship Id="rId11017" Type="http://schemas.openxmlformats.org/officeDocument/2006/relationships/hyperlink" Target="https://drive.google.com/drive/folders/1hGznrFz-5mNcwmn499U6u7w_xQ_XnLj7?usp=drive_link" TargetMode="External"/><Relationship Id="rId11431" Type="http://schemas.openxmlformats.org/officeDocument/2006/relationships/hyperlink" Target="https://drive.google.com/file/d/1a0lH49vB7QpNrThlRTjgM4-RsXIdtbEO/view?usp=sharing" TargetMode="External"/><Relationship Id="rId3595" Type="http://schemas.openxmlformats.org/officeDocument/2006/relationships/hyperlink" Target="https://thumbor.prod.vidiocdn.com/5AxUOBFl36UeKXYF9HZG4zS5YWs=/filters:quality(70)/vidio-media-production/uploads/image/source/53052/313785.png" TargetMode="External"/><Relationship Id="rId4646" Type="http://schemas.openxmlformats.org/officeDocument/2006/relationships/hyperlink" Target="https://www.vidio.com/live/19404-serie-a?schedule_id=4768862" TargetMode="External"/><Relationship Id="rId7052" Type="http://schemas.openxmlformats.org/officeDocument/2006/relationships/hyperlink" Target="https://drive.google.com/drive/folders/1MX84RU5rZmbIJdFqPDVJ1-8zszjjl40g?usp=drive_link" TargetMode="External"/><Relationship Id="rId8103" Type="http://schemas.openxmlformats.org/officeDocument/2006/relationships/hyperlink" Target="https://drive.google.com/drive/folders/1vu5I1UxJjYdEEGe0izu-CVgLJ9E4udox?usp=drive_link" TargetMode="External"/><Relationship Id="rId10033" Type="http://schemas.openxmlformats.org/officeDocument/2006/relationships/hyperlink" Target="https://drive.google.com/file/d/1YWwUVg0E-gk768bKVpjewl2itA7iwVZG/view?usp=sharing" TargetMode="External"/><Relationship Id="rId2197" Type="http://schemas.openxmlformats.org/officeDocument/2006/relationships/hyperlink" Target="https://drive.google.com/file/d/1rKBFgKMN086-hbIuz0Kkvv6TnQ9ZJbKl/view?usp=sharing" TargetMode="External"/><Relationship Id="rId3248" Type="http://schemas.openxmlformats.org/officeDocument/2006/relationships/hyperlink" Target="https://drive.google.com/file/d/1sSxX0hHJ_tWOjDtffkxi2Dn0QV5bqx_f/view?usp=sharing" TargetMode="External"/><Relationship Id="rId3662" Type="http://schemas.openxmlformats.org/officeDocument/2006/relationships/hyperlink" Target="https://drive.google.com/file/d/1hPej1k6n-hP6SjHee-KJPNEIlsm9ZOwo/view?usp=sharing" TargetMode="External"/><Relationship Id="rId4713" Type="http://schemas.openxmlformats.org/officeDocument/2006/relationships/hyperlink" Target="https://www.vidio.com/live/19404-serie-a?schedule_id=4773711" TargetMode="External"/><Relationship Id="rId7869" Type="http://schemas.openxmlformats.org/officeDocument/2006/relationships/hyperlink" Target="https://drive.google.com/file/d/1f69R6xWJT-6BkQOfZfLCGTaE1kcUO3fL/view?usp=sharing" TargetMode="External"/><Relationship Id="rId10100" Type="http://schemas.openxmlformats.org/officeDocument/2006/relationships/hyperlink" Target="https://www.vidio.com/live/18189-champions-golf-1?schedule_id=4762160" TargetMode="External"/><Relationship Id="rId169" Type="http://schemas.openxmlformats.org/officeDocument/2006/relationships/hyperlink" Target="https://drive.google.com/file/d/1AwnMiucx2M_xkjhQgoh3s3rX57S-E4Qp/view?usp=sharing" TargetMode="External"/><Relationship Id="rId583" Type="http://schemas.openxmlformats.org/officeDocument/2006/relationships/hyperlink" Target="https://drive.google.com/file/d/1238vWpi3fLtKx3Q0wpmEIUc8lHC6SdPE/view?usp=sharing" TargetMode="External"/><Relationship Id="rId2264" Type="http://schemas.openxmlformats.org/officeDocument/2006/relationships/hyperlink" Target="https://drive.google.com/drive/folders/1qCcBp9HXryO0KKa5HH_MTnpOd8vRfd9G" TargetMode="External"/><Relationship Id="rId3315" Type="http://schemas.openxmlformats.org/officeDocument/2006/relationships/hyperlink" Target="https://www.vidio.com/live/19355-bri-super-league?schedule_id=4499142" TargetMode="External"/><Relationship Id="rId9291" Type="http://schemas.openxmlformats.org/officeDocument/2006/relationships/hyperlink" Target="https://drive.google.com/file/d/1jYKMnXlLYL4aSGj-5oFYoBjxgddfAcOa/view?usp=sharing" TargetMode="External"/><Relationship Id="rId236" Type="http://schemas.openxmlformats.org/officeDocument/2006/relationships/hyperlink" Target="https://drive.google.com/file/d/11l_-rd6sRtUh4djFXRkMZQlTrwYQDbzw/view?usp=drive_link" TargetMode="External"/><Relationship Id="rId650" Type="http://schemas.openxmlformats.org/officeDocument/2006/relationships/hyperlink" Target="https://drive.google.com/drive/folders/1ds9PMo8hFSwSpLmEp1JSAss9vLnn8zkw" TargetMode="External"/><Relationship Id="rId1280" Type="http://schemas.openxmlformats.org/officeDocument/2006/relationships/hyperlink" Target="https://drive.google.com/file/d/11NR_v9QzBqR0hknVIreJkah8zPnpzNcL/view?usp=sharing" TargetMode="External"/><Relationship Id="rId2331" Type="http://schemas.openxmlformats.org/officeDocument/2006/relationships/hyperlink" Target="https://drive.google.com/file/d/1nH9GpfBogawUX4S-ktbWgHFwNIKudUVD/view?usp=drive_link" TargetMode="External"/><Relationship Id="rId5487" Type="http://schemas.openxmlformats.org/officeDocument/2006/relationships/hyperlink" Target="https://drive.google.com/file/d/1B-rqzBr6C3wKAhg8wJQkWN9FhyqbaDrW/view?usp=sharing" TargetMode="External"/><Relationship Id="rId6885" Type="http://schemas.openxmlformats.org/officeDocument/2006/relationships/hyperlink" Target="https://drive.google.com/drive/folders/1b9gRi2UzIFnfB69jVJSpAMXncw_dGBSL" TargetMode="External"/><Relationship Id="rId7936" Type="http://schemas.openxmlformats.org/officeDocument/2006/relationships/hyperlink" Target="https://drive.google.com/drive/folders/1o0oMeg_bzGvDlHachl7iFJ0CHpz-XtRo" TargetMode="External"/><Relationship Id="rId10917" Type="http://schemas.openxmlformats.org/officeDocument/2006/relationships/hyperlink" Target="https://drive.google.com/file/d/18BM1JvTZRD1UTIKaCt-jBUE-qYani_i8/view?usp=sharing" TargetMode="External"/><Relationship Id="rId12272" Type="http://schemas.openxmlformats.org/officeDocument/2006/relationships/hyperlink" Target="https://www.vidio.com/live/20275?schedule_id=4833876" TargetMode="External"/><Relationship Id="rId303" Type="http://schemas.openxmlformats.org/officeDocument/2006/relationships/hyperlink" Target="https://drive.google.com/drive/folders/1ky5IV2Ko2t3r5bXzPexZCAGOOVS5nnID?usp=drive_link" TargetMode="External"/><Relationship Id="rId4089" Type="http://schemas.openxmlformats.org/officeDocument/2006/relationships/hyperlink" Target="https://drive.google.com/file/d/1LJa7oSj5LS9eg_OPGWYPfQMihmC66EEQ/view?usp=sharing" TargetMode="External"/><Relationship Id="rId6538" Type="http://schemas.openxmlformats.org/officeDocument/2006/relationships/hyperlink" Target="https://drive.google.com/file/d/1QjCtJdU8h8tdd1kIEj-ST4evXD_z2Eid/view?usp=sharing" TargetMode="External"/><Relationship Id="rId6952" Type="http://schemas.openxmlformats.org/officeDocument/2006/relationships/hyperlink" Target="https://drive.google.com/drive/folders/1dh3zUjFanvVJHegcYOYHn2TFuktt8yJE?usp=drive_link" TargetMode="External"/><Relationship Id="rId9011" Type="http://schemas.openxmlformats.org/officeDocument/2006/relationships/hyperlink" Target="https://www.vidio.com/live/19355-bri-super-league?schedule_id=4706377" TargetMode="External"/><Relationship Id="rId5554" Type="http://schemas.openxmlformats.org/officeDocument/2006/relationships/hyperlink" Target="https://www.vidio.com/live/6299-bein-1?schedule_id=4592603" TargetMode="External"/><Relationship Id="rId6605" Type="http://schemas.openxmlformats.org/officeDocument/2006/relationships/hyperlink" Target="https://drive.google.com/file/d/1naMvGS9zdPLm0HQOqnBkNBFfy7OEuNCW/view?usp=sharing" TargetMode="External"/><Relationship Id="rId1000" Type="http://schemas.openxmlformats.org/officeDocument/2006/relationships/hyperlink" Target="https://drive.google.com/file/d/1jQwPI-Xqruw4MGSZfiBru4z9Y_erdaRe/view?usp=sharing" TargetMode="External"/><Relationship Id="rId4156" Type="http://schemas.openxmlformats.org/officeDocument/2006/relationships/hyperlink" Target="https://www.vidio.com/live/19404-serie-a?schedule_id=4626134" TargetMode="External"/><Relationship Id="rId4570" Type="http://schemas.openxmlformats.org/officeDocument/2006/relationships/hyperlink" Target="https://drive.google.com/file/d/1TTJcKbSiy3h1epZIoar4gxFjQkgqgP9J/view?usp=sharing" TargetMode="External"/><Relationship Id="rId5207" Type="http://schemas.openxmlformats.org/officeDocument/2006/relationships/hyperlink" Target="https://drive.google.com/drive/folders/1UJh6Ohrk8ICltqRuS2ZUbx-5nOk1lSCs" TargetMode="External"/><Relationship Id="rId5621" Type="http://schemas.openxmlformats.org/officeDocument/2006/relationships/hyperlink" Target="https://drive.google.com/drive/folders/1SXxEFumOiP1aygjIYyoXV_5fmAbZpJ9j?usp=drive_link" TargetMode="External"/><Relationship Id="rId8777" Type="http://schemas.openxmlformats.org/officeDocument/2006/relationships/hyperlink" Target="https://www.vidio.com/live/19672-easl?schedule_id=4701948" TargetMode="External"/><Relationship Id="rId9828" Type="http://schemas.openxmlformats.org/officeDocument/2006/relationships/hyperlink" Target="https://drive.google.com/file/d/1bGAtWdCSL-v2iZg1GvRoYwXZwXVqVH3x/view" TargetMode="External"/><Relationship Id="rId11758" Type="http://schemas.openxmlformats.org/officeDocument/2006/relationships/hyperlink" Target="https://thumbor.prod.vidiocdn.com/4ytmIPjUROxEuxiHB8NvLfDG9H4=/filters:quality(70)/vidio-media-production/uploads/image/source/52943/dda1f4.png" TargetMode="External"/><Relationship Id="rId1817" Type="http://schemas.openxmlformats.org/officeDocument/2006/relationships/hyperlink" Target="https://drive.google.com/file/d/1Dsu0bRMkRxj0Y69scKxlTth_x6oDfF0N/view?usp=drive_link" TargetMode="External"/><Relationship Id="rId3172" Type="http://schemas.openxmlformats.org/officeDocument/2006/relationships/hyperlink" Target="https://thumbor.prod.vidiocdn.com/EvNIF4yvOJ9DqPzwMDrDUdBRd6A=/filters:quality(70)/vidio-media-production/uploads/image/source/52034/54627e.png" TargetMode="External"/><Relationship Id="rId4223" Type="http://schemas.openxmlformats.org/officeDocument/2006/relationships/hyperlink" Target="https://drive.google.com/file/d/1IkVmlhcs4BBc7Hgw17mNRyEifpLyfzS7/view?usp=sharing" TargetMode="External"/><Relationship Id="rId7379" Type="http://schemas.openxmlformats.org/officeDocument/2006/relationships/hyperlink" Target="https://drive.google.com/file/d/13sOeTbSiMKosXDKYhHRT416-yQBao06P/view?usp=sharing" TargetMode="External"/><Relationship Id="rId7793" Type="http://schemas.openxmlformats.org/officeDocument/2006/relationships/hyperlink" Target="https://drive.google.com/file/d/1AHxnIQTHTbue1FxJf8NmLYG6V-wqoWdW/view?usp=sharing" TargetMode="External"/><Relationship Id="rId8844" Type="http://schemas.openxmlformats.org/officeDocument/2006/relationships/hyperlink" Target="https://drive.google.com/file/d/1crJMrI200Z9kf32DY3tJgZFzBbxNBC5D/view?usp=sharing" TargetMode="External"/><Relationship Id="rId6395" Type="http://schemas.openxmlformats.org/officeDocument/2006/relationships/hyperlink" Target="https://drive.google.com/file/d/1Bk_6mObb9dp-1ygFcv6eIP1WjOn5BAXZ/view?usp=sharing" TargetMode="External"/><Relationship Id="rId7446" Type="http://schemas.openxmlformats.org/officeDocument/2006/relationships/hyperlink" Target="https://drive.google.com/file/d/1p6t2baVhudu4bV6RrMNW4T3QCNTBJSRu/view?usp=sharing" TargetMode="External"/><Relationship Id="rId10774" Type="http://schemas.openxmlformats.org/officeDocument/2006/relationships/hyperlink" Target="https://drive.google.com/file/d/1X6FoWUKNvE2QJV8qGxMnle4Ucp0-PCoS/view?usp=sharing" TargetMode="External"/><Relationship Id="rId11825" Type="http://schemas.openxmlformats.org/officeDocument/2006/relationships/hyperlink" Target="https://drive.google.com/file/d/1eJVJpUKAFNWxLxYTbZoZRYrCww0XILnT/view?usp=sharing" TargetMode="External"/><Relationship Id="rId160" Type="http://schemas.openxmlformats.org/officeDocument/2006/relationships/hyperlink" Target="https://www.vidio.com/live/9182-champions-tv-5?schedule_id=4537277" TargetMode="External"/><Relationship Id="rId3989" Type="http://schemas.openxmlformats.org/officeDocument/2006/relationships/hyperlink" Target="https://www.vidio.com/live/19388-rajadamnern-2025-super-bantamweight-title?schedule_id=4564978" TargetMode="External"/><Relationship Id="rId6048" Type="http://schemas.openxmlformats.org/officeDocument/2006/relationships/hyperlink" Target="https://drive.google.com/file/d/14LT_1XyqbIwbsn-hAO8tmH7s70S6oLek/view?usp=sharing" TargetMode="External"/><Relationship Id="rId6462" Type="http://schemas.openxmlformats.org/officeDocument/2006/relationships/hyperlink" Target="https://drive.google.com/file/d/1obrnA3Y_XsYfx6Jjbr509g19JtItJkXP/view?usp=sharing" TargetMode="External"/><Relationship Id="rId7860" Type="http://schemas.openxmlformats.org/officeDocument/2006/relationships/hyperlink" Target="https://drive.google.com/drive/folders/1gbcMjlMhPT4AxXcSXGS2Y7Ye0LJyiauR?usp=sharing" TargetMode="External"/><Relationship Id="rId8911" Type="http://schemas.openxmlformats.org/officeDocument/2006/relationships/hyperlink" Target="https://www.vidio.com/live/19542-pegadaian-championship-2025-26?schedule_id=4795169" TargetMode="External"/><Relationship Id="rId10427" Type="http://schemas.openxmlformats.org/officeDocument/2006/relationships/hyperlink" Target="https://drive.google.com/file/d/1fdSfctyfo0VgpX9ohukx8VE1J7RH2M-R/view?usp=sharing" TargetMode="External"/><Relationship Id="rId10841" Type="http://schemas.openxmlformats.org/officeDocument/2006/relationships/hyperlink" Target="https://drive.google.com/file/d/1pAo0QhcvNgMx24DDFRlD4hLKz5KAp759/view?usp=sharing" TargetMode="External"/><Relationship Id="rId5064" Type="http://schemas.openxmlformats.org/officeDocument/2006/relationships/hyperlink" Target="https://drive.google.com/file/d/1HZ_i2qnSKpwm2vmvgZm2ibZIMEAE0XSn/view?usp=drive_link" TargetMode="External"/><Relationship Id="rId6115" Type="http://schemas.openxmlformats.org/officeDocument/2006/relationships/hyperlink" Target="https://drive.google.com/drive/folders/1z0QSLmNvSJyyT8FLEYRkw6ibg9dSBAVC" TargetMode="External"/><Relationship Id="rId7513" Type="http://schemas.openxmlformats.org/officeDocument/2006/relationships/hyperlink" Target="https://drive.google.com/file/d/1dczxBII2v2KErQAoyJtHOC7oWAwklPjt/view?usp=sharing" TargetMode="External"/><Relationship Id="rId977" Type="http://schemas.openxmlformats.org/officeDocument/2006/relationships/hyperlink" Target="https://drive.google.com/file/d/1e1JjSoJzBfyPiOspt8XAqlx45eygtrYc/view?usp=sharing" TargetMode="External"/><Relationship Id="rId2658" Type="http://schemas.openxmlformats.org/officeDocument/2006/relationships/hyperlink" Target="https://drive.google.com/drive/folders/1YD9WuJVeK114lO9UuRHuqQtnmc99ULu2?usp=drive_link" TargetMode="External"/><Relationship Id="rId3709" Type="http://schemas.openxmlformats.org/officeDocument/2006/relationships/hyperlink" Target="https://www.vidio.com/live/17875-bein-2?schedule_id=4525692" TargetMode="External"/><Relationship Id="rId4080" Type="http://schemas.openxmlformats.org/officeDocument/2006/relationships/hyperlink" Target="https://www.vidio.com/live/19404-serie-a?schedule_id=4585687" TargetMode="External"/><Relationship Id="rId9685" Type="http://schemas.openxmlformats.org/officeDocument/2006/relationships/hyperlink" Target="https://drive.google.com/file/d/1Q8BI7wr-oWzxG5JV6EkFG8gG1gcGtv3a/view?usp=sharing" TargetMode="External"/><Relationship Id="rId1674" Type="http://schemas.openxmlformats.org/officeDocument/2006/relationships/hyperlink" Target="https://drive.google.com/file/d/1Xei0Yz8S_NxHFvV5x2XUom7PKzxmU7E2/view?usp=drive_link" TargetMode="External"/><Relationship Id="rId2725" Type="http://schemas.openxmlformats.org/officeDocument/2006/relationships/hyperlink" Target="https://drive.google.com/drive/folders/1kMnAUovIfqAZyRE7zHeYvNuw4YZstmZE?usp=drive_link" TargetMode="External"/><Relationship Id="rId5131" Type="http://schemas.openxmlformats.org/officeDocument/2006/relationships/hyperlink" Target="https://drive.google.com/file/d/1uNCWan0oTt-W1L3VXKcEWU1gvfjwjdmG/view?usp=sharing" TargetMode="External"/><Relationship Id="rId8287" Type="http://schemas.openxmlformats.org/officeDocument/2006/relationships/hyperlink" Target="https://thumbor.prod.vidiocdn.com/A-E3xsmBScUW8QOxjx9nupXSyFY=/filters:quality(70)/vidio-media-production/uploads/image/source/52498/e938bf.png" TargetMode="External"/><Relationship Id="rId9338" Type="http://schemas.openxmlformats.org/officeDocument/2006/relationships/hyperlink" Target="https://drive.google.com/drive/folders/1Oj0AuwDSsE5ct1oT-TlH4aPUK5_HAkOB?usp=drive_link" TargetMode="External"/><Relationship Id="rId9752" Type="http://schemas.openxmlformats.org/officeDocument/2006/relationships/hyperlink" Target="https://www.vidio.com/live/19623-national-football-league-2025-26?schedule_id=4743730" TargetMode="External"/><Relationship Id="rId11268" Type="http://schemas.openxmlformats.org/officeDocument/2006/relationships/hyperlink" Target="https://thumbor.prod.vidiocdn.com/qYS-s0VD0MmCcazDdgDT2Z-8kLw=/filters:quality(70)/vidio-media-production/uploads/image/source/52366/b41bd9.png" TargetMode="External"/><Relationship Id="rId11682" Type="http://schemas.openxmlformats.org/officeDocument/2006/relationships/hyperlink" Target="https://drive.google.com/drive/folders/1KGPH2bc-ECoWP8Z-8GRKQWcprQ05P6nc?usp=drive_link" TargetMode="External"/><Relationship Id="rId12319" Type="http://schemas.openxmlformats.org/officeDocument/2006/relationships/hyperlink" Target="https://www.vidio.com/live/20281?schedule_id=4833902" TargetMode="External"/><Relationship Id="rId1327" Type="http://schemas.openxmlformats.org/officeDocument/2006/relationships/hyperlink" Target="https://drive.google.com/file/d/1XX5syD48DdFsR2byNzhj8_6dVOVfn6Kc/view?usp=drive_link" TargetMode="External"/><Relationship Id="rId1741" Type="http://schemas.openxmlformats.org/officeDocument/2006/relationships/hyperlink" Target="https://drive.google.com/file/d/1FvuV1iRFTtHrnEoaV3o_xR_-FEn-XAnF/view?usp=sharing" TargetMode="External"/><Relationship Id="rId4897" Type="http://schemas.openxmlformats.org/officeDocument/2006/relationships/hyperlink" Target="https://thumbor.prod.vidiocdn.com/tUzkd1HIhyPQQG_yO9MX1xtkvdQ=/filters:quality(70)/vidio-media-production/uploads/image/source/53079/642950.png" TargetMode="External"/><Relationship Id="rId5948" Type="http://schemas.openxmlformats.org/officeDocument/2006/relationships/hyperlink" Target="https://www.vidio.com/live/19602-uefa-europa-league?schedule_id=4734930" TargetMode="External"/><Relationship Id="rId8354" Type="http://schemas.openxmlformats.org/officeDocument/2006/relationships/hyperlink" Target="https://drive.google.com/file/d/1w5SsLBUhnJfjL-s-M4HcYaN_HiSb3ilM/view?usp=sharing" TargetMode="External"/><Relationship Id="rId9405" Type="http://schemas.openxmlformats.org/officeDocument/2006/relationships/hyperlink" Target="https://www.vidio.com/live/19543-pegadaian-championship-2025-26?schedule_id=4832282" TargetMode="External"/><Relationship Id="rId10284" Type="http://schemas.openxmlformats.org/officeDocument/2006/relationships/hyperlink" Target="https://drive.google.com/drive/folders/1XAnYy3r1dFmRhKyMHLLa_PpE-eovia_V" TargetMode="External"/><Relationship Id="rId11335" Type="http://schemas.openxmlformats.org/officeDocument/2006/relationships/hyperlink" Target="https://drive.google.com/drive/folders/1Ze7D4SqpUu1SehuNx4xITBpDRF4O3NQd" TargetMode="External"/><Relationship Id="rId33" Type="http://schemas.openxmlformats.org/officeDocument/2006/relationships/hyperlink" Target="https://www.vidio.com/live/6685-champions-tv-1?schedule_id=4260576" TargetMode="External"/><Relationship Id="rId3499" Type="http://schemas.openxmlformats.org/officeDocument/2006/relationships/hyperlink" Target="https://drive.google.com/drive/u/0/folders/1BZCIqVX3oI_62_v4XfXulhbZtOrHA66e" TargetMode="External"/><Relationship Id="rId7370" Type="http://schemas.openxmlformats.org/officeDocument/2006/relationships/hyperlink" Target="https://drive.google.com/drive/folders/1ee4FJgQPrJofyUppMBBk5YleNby7Kgsf?usp=drive_link" TargetMode="External"/><Relationship Id="rId8007" Type="http://schemas.openxmlformats.org/officeDocument/2006/relationships/hyperlink" Target="https://drive.google.com/drive/folders/1JXs53LQFNzwSfF2uaxt2zDNbPtE7_bUY?usp=drive_link" TargetMode="External"/><Relationship Id="rId8421" Type="http://schemas.openxmlformats.org/officeDocument/2006/relationships/hyperlink" Target="https://thumbor.prod.vidiocdn.com/F_lni9HEyQq6NP8HugXRotzEmOc=/filters:quality(70)/vidio-media-production/uploads/image/source/52065/5f8bd8.png" TargetMode="External"/><Relationship Id="rId3566" Type="http://schemas.openxmlformats.org/officeDocument/2006/relationships/hyperlink" Target="https://drive.google.com/drive/folders/1-ebg16a6fGQchK0Vb9OuXetW0zg10iLK" TargetMode="External"/><Relationship Id="rId4964" Type="http://schemas.openxmlformats.org/officeDocument/2006/relationships/hyperlink" Target="https://drive.google.com/drive/folders/1nDhG-uEhpsxKsF7c48CHu23htMoCCDUq" TargetMode="External"/><Relationship Id="rId7023" Type="http://schemas.openxmlformats.org/officeDocument/2006/relationships/hyperlink" Target="https://drive.google.com/file/d/1tfd4Oe64SVsbnTAMg7CfV8n-30TZDPWk/view?usp=sharing" TargetMode="External"/><Relationship Id="rId10351" Type="http://schemas.openxmlformats.org/officeDocument/2006/relationships/hyperlink" Target="https://drive.google.com/file/d/1lqvMQo-vu4LWbYx8EshSi5GatZX_ONR4/view?usp=sharing" TargetMode="External"/><Relationship Id="rId11402" Type="http://schemas.openxmlformats.org/officeDocument/2006/relationships/hyperlink" Target="https://drive.google.com/drive/folders/1AkkY8LvZv5Pz2p9Fb9shCv9-Ls_HMnGa?usp=drive_link" TargetMode="External"/><Relationship Id="rId487" Type="http://schemas.openxmlformats.org/officeDocument/2006/relationships/hyperlink" Target="https://drive.google.com/file/d/1I6N84YOEvk-dNURClon1Ft33wsqdVkjw/view?usp=sharing" TargetMode="External"/><Relationship Id="rId2168" Type="http://schemas.openxmlformats.org/officeDocument/2006/relationships/hyperlink" Target="https://drive.google.com/file/d/1sQNEMuhp4bHGINp8-IBf2w25Xs5V10S8/view?usp=sharing" TargetMode="External"/><Relationship Id="rId3219" Type="http://schemas.openxmlformats.org/officeDocument/2006/relationships/hyperlink" Target="https://drive.google.com/drive/folders/1DbuYVaI_mv5bik8kz-xQDnotSEwixz1c" TargetMode="External"/><Relationship Id="rId3980" Type="http://schemas.openxmlformats.org/officeDocument/2006/relationships/hyperlink" Target="https://www.vidio.com/live/19472?schedule_id=4534258" TargetMode="External"/><Relationship Id="rId4617" Type="http://schemas.openxmlformats.org/officeDocument/2006/relationships/hyperlink" Target="https://www.vidio.com/live/19404-serie-a?schedule_id=4759279" TargetMode="External"/><Relationship Id="rId9195" Type="http://schemas.openxmlformats.org/officeDocument/2006/relationships/hyperlink" Target="https://www.vidio.com/live/19802-top-youth-premier-league-2025-matchday-10?schedule_id=4709328" TargetMode="External"/><Relationship Id="rId10004" Type="http://schemas.openxmlformats.org/officeDocument/2006/relationships/hyperlink" Target="https://www.vidio.com/live/6299-bein-1?schedule_id=4795175" TargetMode="External"/><Relationship Id="rId1184" Type="http://schemas.openxmlformats.org/officeDocument/2006/relationships/hyperlink" Target="https://drive.google.com/file/d/1_7gATb13k-t1m4va67kVPglxkS78F-lT/view?usp=sharing" TargetMode="External"/><Relationship Id="rId2582" Type="http://schemas.openxmlformats.org/officeDocument/2006/relationships/hyperlink" Target="https://drive.google.com/file/d/11kFqAK7hm3Owzu6rbJHBPnyRHDrzQNbf/view?usp=drive_link" TargetMode="External"/><Relationship Id="rId3633" Type="http://schemas.openxmlformats.org/officeDocument/2006/relationships/hyperlink" Target="https://drive.google.com/file/d/1oukE8q-Ho2gkuT35fS97Wd7FQ30vn7wV/view?usp=drive_link" TargetMode="External"/><Relationship Id="rId6789" Type="http://schemas.openxmlformats.org/officeDocument/2006/relationships/hyperlink" Target="https://www.vidio.com/live/19519?schedule_id=4553308" TargetMode="External"/><Relationship Id="rId12176" Type="http://schemas.openxmlformats.org/officeDocument/2006/relationships/hyperlink" Target="https://drive.google.com/file/d/17nqJ8YbOWxi4DOQmMA4_VvY1qMuE4tM4/view?usp=drive_link" TargetMode="External"/><Relationship Id="rId554" Type="http://schemas.openxmlformats.org/officeDocument/2006/relationships/hyperlink" Target="https://drive.google.com/file/d/18q3mr2k3AOMn_OhJWfda9yB0bJiJ01s6/view?usp=sharing" TargetMode="External"/><Relationship Id="rId2235" Type="http://schemas.openxmlformats.org/officeDocument/2006/relationships/hyperlink" Target="https://drive.google.com/drive/folders/1F2k3JK8ORAbJPL_o4U6a3VTtNIqPHk8j" TargetMode="External"/><Relationship Id="rId3700" Type="http://schemas.openxmlformats.org/officeDocument/2006/relationships/hyperlink" Target="https://www.vidio.com/live/6317-bein-3?schedule_id=4525694" TargetMode="External"/><Relationship Id="rId6856" Type="http://schemas.openxmlformats.org/officeDocument/2006/relationships/hyperlink" Target="https://www.vidio.com/live/6299-bein-1?schedule_id=4574255" TargetMode="External"/><Relationship Id="rId7907" Type="http://schemas.openxmlformats.org/officeDocument/2006/relationships/hyperlink" Target="https://www.vidio.com/live/19737-turkish-men-s-volleyball-league?schedule_id=4675182" TargetMode="External"/><Relationship Id="rId9262" Type="http://schemas.openxmlformats.org/officeDocument/2006/relationships/hyperlink" Target="https://drive.google.com/file/d/1bGAtWdCSL-v2iZg1GvRoYwXZwXVqVH3x/view?usp=drive_link" TargetMode="External"/><Relationship Id="rId11192" Type="http://schemas.openxmlformats.org/officeDocument/2006/relationships/hyperlink" Target="https://drive.google.com/file/d/1vzbuvhDnd7bmjyq0hoaElH3WJB4NEBgr/view?usp=sharing" TargetMode="External"/><Relationship Id="rId12243" Type="http://schemas.openxmlformats.org/officeDocument/2006/relationships/hyperlink" Target="https://drive.google.com/file/d/17nqJ8YbOWxi4DOQmMA4_VvY1qMuE4tM4/view?usp=sharing" TargetMode="External"/><Relationship Id="rId207" Type="http://schemas.openxmlformats.org/officeDocument/2006/relationships/hyperlink" Target="https://drive.google.com/file/d/1SuHlR22r4CRs0StAqom2JCdtJF79Nepx/view?usp=sharing" TargetMode="External"/><Relationship Id="rId621" Type="http://schemas.openxmlformats.org/officeDocument/2006/relationships/hyperlink" Target="https://drive.google.com/file/d/1uAN0K9NMoQelIqwnYVtgPiQPaWPnIOJ2/view?usp=sharing" TargetMode="External"/><Relationship Id="rId1251" Type="http://schemas.openxmlformats.org/officeDocument/2006/relationships/hyperlink" Target="https://drive.google.com/file/d/1BzrUI0476ahwDCUFY_DJtkoTYdM74ZGI/view?usp=sharing" TargetMode="External"/><Relationship Id="rId2302" Type="http://schemas.openxmlformats.org/officeDocument/2006/relationships/hyperlink" Target="https://drive.google.com/file/d/1ByFfxGFOHl4CLQjFj3uWFRouixiwpcgK/view?usp=sharing" TargetMode="External"/><Relationship Id="rId5458" Type="http://schemas.openxmlformats.org/officeDocument/2006/relationships/hyperlink" Target="https://drive.google.com/file/d/1hh_JM93Gh6k7ldnyh_wbUvPsoN4M79kI/view?usp=sharing" TargetMode="External"/><Relationship Id="rId5872" Type="http://schemas.openxmlformats.org/officeDocument/2006/relationships/hyperlink" Target="https://drive.google.com/drive/folders/1RJBi5mls4tEXPkG0-l2yBEtJoBwpy6EV?usp=drive_link" TargetMode="External"/><Relationship Id="rId6509" Type="http://schemas.openxmlformats.org/officeDocument/2006/relationships/hyperlink" Target="https://www.vidio.com/live/19645-uefa-conference-league?schedule_id=4771653" TargetMode="External"/><Relationship Id="rId6923" Type="http://schemas.openxmlformats.org/officeDocument/2006/relationships/hyperlink" Target="https://drive.google.com/drive/folders/1n7ULeezT0PsVHI_5achs4j_Ptl5Psedo" TargetMode="External"/><Relationship Id="rId12310" Type="http://schemas.openxmlformats.org/officeDocument/2006/relationships/hyperlink" Target="https://www.vidio.com/live/20279?schedule_id=4833907" TargetMode="External"/><Relationship Id="rId4474" Type="http://schemas.openxmlformats.org/officeDocument/2006/relationships/hyperlink" Target="https://drive.google.com/drive/folders/1WtJ8Fo0drdwjIWbkTDlS25c-WHA_y2a3?usp=drive_link" TargetMode="External"/><Relationship Id="rId5525" Type="http://schemas.openxmlformats.org/officeDocument/2006/relationships/hyperlink" Target="https://drive.google.com/file/d/1iHe1cSaVGcZpKqXRg0WsYs-3rX6ZbU9M/view?usp=drive_link" TargetMode="External"/><Relationship Id="rId3076" Type="http://schemas.openxmlformats.org/officeDocument/2006/relationships/hyperlink" Target="https://www.vidio.com/live/17875-bein-2?schedule_id=4759280" TargetMode="External"/><Relationship Id="rId3490" Type="http://schemas.openxmlformats.org/officeDocument/2006/relationships/hyperlink" Target="https://drive.google.com/file/d/1Kjn5t6mrFC7cVennuByvmiZVwMgxMjjf/view?usp=sharing" TargetMode="External"/><Relationship Id="rId4127" Type="http://schemas.openxmlformats.org/officeDocument/2006/relationships/hyperlink" Target="https://drive.google.com/drive/folders/1sjk-h2AeRU25AIKj5bjiyjFCeZfEzYPG?usp=drive_link" TargetMode="External"/><Relationship Id="rId4541" Type="http://schemas.openxmlformats.org/officeDocument/2006/relationships/hyperlink" Target="https://drive.google.com/file/d/1OJFmwjk5okkEZ8F20FONtvkmH0A0c9-j/view?usp=sharing" TargetMode="External"/><Relationship Id="rId7697" Type="http://schemas.openxmlformats.org/officeDocument/2006/relationships/hyperlink" Target="https://drive.google.com/file/d/1kvNnpy6AksGp4ysvaMmgMxu9TIbDg-QT/view?usp=drive_link" TargetMode="External"/><Relationship Id="rId2092" Type="http://schemas.openxmlformats.org/officeDocument/2006/relationships/hyperlink" Target="https://www.vidio.com/live/19354-bri-super-league?schedule_id=4725594" TargetMode="External"/><Relationship Id="rId3143" Type="http://schemas.openxmlformats.org/officeDocument/2006/relationships/hyperlink" Target="https://www.vidio.com/live/6299-bein-1?schedule_id=4784948" TargetMode="External"/><Relationship Id="rId6299" Type="http://schemas.openxmlformats.org/officeDocument/2006/relationships/hyperlink" Target="https://drive.google.com/file/d/1TtG4lqLRQ6kPWSbOo_OGmQryJH6pE9Ax/view?usp=sharing" TargetMode="External"/><Relationship Id="rId8748" Type="http://schemas.openxmlformats.org/officeDocument/2006/relationships/hyperlink" Target="https://drive.google.com/file/d/1DNux4glLBnqI-DzUHKvsJVIQIe0fQ_QF/view?usp=sharing" TargetMode="External"/><Relationship Id="rId10678" Type="http://schemas.openxmlformats.org/officeDocument/2006/relationships/hyperlink" Target="https://thumbor.prod.vidiocdn.com/cOUCAL6SUkpXzROPLTcJIqZPoeU=/filters:quality(70)/vidio-media-production/uploads/image/source/52899/9eec02.png" TargetMode="External"/><Relationship Id="rId11729" Type="http://schemas.openxmlformats.org/officeDocument/2006/relationships/hyperlink" Target="https://thumbor.prod.vidiocdn.com/guNGhhNRug-EoNVVpFd-mLmaM3g=/filters:quality(70)/vidio-media-production/uploads/image/source/53267/7c62a0.png" TargetMode="External"/><Relationship Id="rId7764" Type="http://schemas.openxmlformats.org/officeDocument/2006/relationships/hyperlink" Target="https://drive.google.com/file/d/1Nzov-VkeEvUrtFCztK13nQiDhJJRzdjt/view?usp=sharing" TargetMode="External"/><Relationship Id="rId8815" Type="http://schemas.openxmlformats.org/officeDocument/2006/relationships/hyperlink" Target="https://drive.google.com/drive/folders/1jnPtEFoItuGBNqN4PQqbKsrtrVDFZKmb?usp=drive_link" TargetMode="External"/><Relationship Id="rId10745" Type="http://schemas.openxmlformats.org/officeDocument/2006/relationships/hyperlink" Target="https://drive.google.com/file/d/1UJkaLpq2uAoX6ZTafb--9DORrZUPV6hS/view?usp=sharing" TargetMode="External"/><Relationship Id="rId131" Type="http://schemas.openxmlformats.org/officeDocument/2006/relationships/hyperlink" Target="https://drive.google.com/drive/folders/1cNln3bBKjWgZFAm-mCkmmxPzc5gozIyw?usp=drive_link" TargetMode="External"/><Relationship Id="rId3210" Type="http://schemas.openxmlformats.org/officeDocument/2006/relationships/hyperlink" Target="https://thumbor.prod.vidiocdn.com/NIzVVkgltV6Bruy66TTYhfDQz_U=/filters:quality(70)/vidio-media-production/uploads/image/source/52784/840945.png" TargetMode="External"/><Relationship Id="rId6366" Type="http://schemas.openxmlformats.org/officeDocument/2006/relationships/hyperlink" Target="https://www.vidio.com/live/19649-uefa-conference-league?schedule_id=4700061" TargetMode="External"/><Relationship Id="rId6780" Type="http://schemas.openxmlformats.org/officeDocument/2006/relationships/hyperlink" Target="https://www.vidio.com/live/19519?schedule_id=4553310" TargetMode="External"/><Relationship Id="rId7417" Type="http://schemas.openxmlformats.org/officeDocument/2006/relationships/hyperlink" Target="https://www.vidio.com/live/6685-champions-tv-1?schedule_id=4671774" TargetMode="External"/><Relationship Id="rId7831" Type="http://schemas.openxmlformats.org/officeDocument/2006/relationships/hyperlink" Target="https://drive.google.com/drive/folders/1ELYf4MkI6r_X-iGAEHXT_soYvIF1YxOb" TargetMode="External"/><Relationship Id="rId2976" Type="http://schemas.openxmlformats.org/officeDocument/2006/relationships/hyperlink" Target="https://drive.google.com/drive/folders/1js-0GDla4L0NW3OCGGdGT1UR0JN67wjQ?usp=drive_link" TargetMode="External"/><Relationship Id="rId5382" Type="http://schemas.openxmlformats.org/officeDocument/2006/relationships/hyperlink" Target="https://drive.google.com/file/d/1XjHA6W00eYfIusQT22VEJly7b2l7wnCQ/view?usp=sharing" TargetMode="External"/><Relationship Id="rId6019" Type="http://schemas.openxmlformats.org/officeDocument/2006/relationships/hyperlink" Target="https://www.vidio.com/live/19602-uefa-europa-league?schedule_id=4773536" TargetMode="External"/><Relationship Id="rId6433" Type="http://schemas.openxmlformats.org/officeDocument/2006/relationships/hyperlink" Target="https://drive.google.com/drive/folders/1F9lLmIvT4-3oh_Jbh-sne-zsyB6ey7v0" TargetMode="External"/><Relationship Id="rId9589" Type="http://schemas.openxmlformats.org/officeDocument/2006/relationships/hyperlink" Target="https://drive.google.com/file/d/1E403njmlFLjLKjguu_-6h0Sv4ElpQgrQ/view?usp=sharing" TargetMode="External"/><Relationship Id="rId10812" Type="http://schemas.openxmlformats.org/officeDocument/2006/relationships/hyperlink" Target="https://drive.google.com/file/d/1lYrPS0Af4cgaNYxePJqaljCHwGOjPxyo/view?usp=sharing" TargetMode="External"/><Relationship Id="rId948" Type="http://schemas.openxmlformats.org/officeDocument/2006/relationships/hyperlink" Target="https://www.vidio.com/live/9182-champions-tv-5?schedule_id=4773359" TargetMode="External"/><Relationship Id="rId1578" Type="http://schemas.openxmlformats.org/officeDocument/2006/relationships/hyperlink" Target="https://drive.google.com/file/d/1u-JTOhRE8xuplM1SMDQlJDT2JN27c7lj/view?usp=drive_link" TargetMode="External"/><Relationship Id="rId1992" Type="http://schemas.openxmlformats.org/officeDocument/2006/relationships/hyperlink" Target="https://drive.google.com/drive/u/0/folders/1kGHtJTboMQzt_AXOEFOdRLfI5nrFLPAB" TargetMode="External"/><Relationship Id="rId2629" Type="http://schemas.openxmlformats.org/officeDocument/2006/relationships/hyperlink" Target="https://drive.google.com/drive/folders/1YD9WuJVeK114lO9UuRHuqQtnmc99ULu2?usp=drive_link" TargetMode="External"/><Relationship Id="rId5035" Type="http://schemas.openxmlformats.org/officeDocument/2006/relationships/hyperlink" Target="https://drive.google.com/file/d/1W3OLDAGVFFG-xoX1YIqTP9qiZ-xH4Ewf/view?usp=drive_link" TargetMode="External"/><Relationship Id="rId6500" Type="http://schemas.openxmlformats.org/officeDocument/2006/relationships/hyperlink" Target="https://drive.google.com/drive/folders/1k4XS8yAu9XT4ve4fpRc_-_iR5Ex7U-8b?usp=drive_link" TargetMode="External"/><Relationship Id="rId9656" Type="http://schemas.openxmlformats.org/officeDocument/2006/relationships/hyperlink" Target="https://drive.google.com/file/d/17x8fRRdY1css7QkcL8ZJHr_5mJju7fS6/view?usp=sharing" TargetMode="External"/><Relationship Id="rId1645" Type="http://schemas.openxmlformats.org/officeDocument/2006/relationships/hyperlink" Target="https://drive.google.com/file/d/1_oi4Tb3sM0zNG9ZIhGQFLDqhsjhpOL46/view?usp=drive_link" TargetMode="External"/><Relationship Id="rId4051" Type="http://schemas.openxmlformats.org/officeDocument/2006/relationships/hyperlink" Target="https://drive.google.com/drive/folders/1KEbcr6U_ZqEhtv_7d6qSImpjmWPCeGg3?usp=drive_link" TargetMode="External"/><Relationship Id="rId5102" Type="http://schemas.openxmlformats.org/officeDocument/2006/relationships/hyperlink" Target="https://drive.google.com/file/d/1XxaNpJoel6xBUaOgAg-bbmWOc_yb_lwj/view?usp=sharing" TargetMode="External"/><Relationship Id="rId8258" Type="http://schemas.openxmlformats.org/officeDocument/2006/relationships/hyperlink" Target="https://drive.google.com/file/d/1DNux4glLBnqI-DzUHKvsJVIQIe0fQ_QF/view?usp=sharing" TargetMode="External"/><Relationship Id="rId8672" Type="http://schemas.openxmlformats.org/officeDocument/2006/relationships/hyperlink" Target="https://drive.google.com/drive/folders/1RGmuimaNmABqTy_OC1yY46N9zHyfZMM9" TargetMode="External"/><Relationship Id="rId9309" Type="http://schemas.openxmlformats.org/officeDocument/2006/relationships/hyperlink" Target="https://www.vidio.com/live/20048-fivb-volleyball-club-world-championship-2025?schedule_id=4779507" TargetMode="External"/><Relationship Id="rId10188" Type="http://schemas.openxmlformats.org/officeDocument/2006/relationships/hyperlink" Target="https://drive.google.com/drive/folders/1hkhCrQDtHKpOOiNScK7TTwh-xXGeGCb7?usp=drive_link" TargetMode="External"/><Relationship Id="rId11239" Type="http://schemas.openxmlformats.org/officeDocument/2006/relationships/hyperlink" Target="https://www.vidio.com/live/19355-bri-super-league?schedule_id=4797007" TargetMode="External"/><Relationship Id="rId11586" Type="http://schemas.openxmlformats.org/officeDocument/2006/relationships/hyperlink" Target="https://www.vidio.com/live/6786-champions-tv-3?schedule_id=4832230" TargetMode="External"/><Relationship Id="rId7274" Type="http://schemas.openxmlformats.org/officeDocument/2006/relationships/hyperlink" Target="https://www.vidio.com/live/19542-pegadaian-championship-2025-26?schedule_id=4652409" TargetMode="External"/><Relationship Id="rId8325" Type="http://schemas.openxmlformats.org/officeDocument/2006/relationships/hyperlink" Target="https://drive.google.com/file/d/1pkS6787cn0TErK49QTuO0GbHVa7cJvUE/view?usp=sharing" TargetMode="External"/><Relationship Id="rId9723" Type="http://schemas.openxmlformats.org/officeDocument/2006/relationships/hyperlink" Target="https://drive.google.com/drive/folders/1ZwAArqqWtOrc6qYx0P1000crS7DV1wT9?usp=drive_link" TargetMode="External"/><Relationship Id="rId11653" Type="http://schemas.openxmlformats.org/officeDocument/2006/relationships/hyperlink" Target="https://www.vidio.com/live/17875-bein-2?schedule_id=4833012" TargetMode="External"/><Relationship Id="rId1712" Type="http://schemas.openxmlformats.org/officeDocument/2006/relationships/hyperlink" Target="https://www.vidio.com/live/205-indosiar?schedule_id=4568599" TargetMode="External"/><Relationship Id="rId4868" Type="http://schemas.openxmlformats.org/officeDocument/2006/relationships/hyperlink" Target="https://www.vidio.com/live/20236-serie-a?schedule_id=4831589" TargetMode="External"/><Relationship Id="rId5919" Type="http://schemas.openxmlformats.org/officeDocument/2006/relationships/hyperlink" Target="https://drive.google.com/file/d/1B835qkfswdUbsJScPWLFVvXqTtFidkcA/view?usp=drive_link" TargetMode="External"/><Relationship Id="rId6290" Type="http://schemas.openxmlformats.org/officeDocument/2006/relationships/hyperlink" Target="https://drive.google.com/drive/folders/1XziCf0zJYtHHC40tO9oz0hKsg4uKbJ8f" TargetMode="External"/><Relationship Id="rId10255" Type="http://schemas.openxmlformats.org/officeDocument/2006/relationships/hyperlink" Target="https://drive.google.com/drive/folders/1QEjmJHQxNvEhIr--OePbZSXGeEENXPmE?usp=drive_link" TargetMode="External"/><Relationship Id="rId11306" Type="http://schemas.openxmlformats.org/officeDocument/2006/relationships/hyperlink" Target="https://drive.google.com/file/d/1ZLhq5LYftXDxN1vsDLHq-slY9XC32iJm/view?usp=sharing" TargetMode="External"/><Relationship Id="rId11720" Type="http://schemas.openxmlformats.org/officeDocument/2006/relationships/hyperlink" Target="https://drive.google.com/file/d/1sh_J8SeOoj5N7Iw7Onfj99XJnTpreC91/view?usp=sharing" TargetMode="External"/><Relationship Id="rId3884" Type="http://schemas.openxmlformats.org/officeDocument/2006/relationships/hyperlink" Target="https://drive.google.com/file/d/1hAMHGutlvFnUYAp_rHkRYqxLRFWnzkFX/view?usp=sharing" TargetMode="External"/><Relationship Id="rId4935" Type="http://schemas.openxmlformats.org/officeDocument/2006/relationships/hyperlink" Target="https://drive.google.com/file/d/1E8HRrjpj8AG4_QYeO4KqRGrf1r7VJQIG/view?usp=sharing" TargetMode="External"/><Relationship Id="rId7341" Type="http://schemas.openxmlformats.org/officeDocument/2006/relationships/hyperlink" Target="https://drive.google.com/drive/folders/10-6Sloqk5tq4T8h_UOAvfxFHcju07jYI" TargetMode="External"/><Relationship Id="rId9099" Type="http://schemas.openxmlformats.org/officeDocument/2006/relationships/hyperlink" Target="https://drive.google.com/file/d/1zD2wKQesC9_f4Q5LZ2b8qaVioDw2oWWw/view?usp=sharing" TargetMode="External"/><Relationship Id="rId10322" Type="http://schemas.openxmlformats.org/officeDocument/2006/relationships/hyperlink" Target="https://drive.google.com/drive/folders/1Ds-OhdHpsEyMbqMRA2jVZKCBk2hWPw0E?usp=drive_link" TargetMode="External"/><Relationship Id="rId2486" Type="http://schemas.openxmlformats.org/officeDocument/2006/relationships/hyperlink" Target="https://www.vidio.com/live/6317-bein-3?schedule_id=4587616" TargetMode="External"/><Relationship Id="rId3537" Type="http://schemas.openxmlformats.org/officeDocument/2006/relationships/hyperlink" Target="https://drive.google.com/file/d/1AO5LAr8X98BjOT7Yqv8qG_N8bIuWk3CB/view?usp=drive_link" TargetMode="External"/><Relationship Id="rId3951" Type="http://schemas.openxmlformats.org/officeDocument/2006/relationships/hyperlink" Target="https://drive.google.com/drive/folders/1NepG6XT-FSa8Cs07sX3tPfQWLNpJfAxp" TargetMode="External"/><Relationship Id="rId458" Type="http://schemas.openxmlformats.org/officeDocument/2006/relationships/hyperlink" Target="https://www.vidio.com/live/9182-champions-tv-5?schedule_id=4626722" TargetMode="External"/><Relationship Id="rId872" Type="http://schemas.openxmlformats.org/officeDocument/2006/relationships/hyperlink" Target="https://drive.google.com/drive/folders/1WB5RMrJafdkxgc0CdZvq6o2Z-yCqfWQu?usp=drive_link" TargetMode="External"/><Relationship Id="rId1088" Type="http://schemas.openxmlformats.org/officeDocument/2006/relationships/hyperlink" Target="https://www.vidio.com/live/9182-champions-tv-5?schedule_id=4794246" TargetMode="External"/><Relationship Id="rId2139" Type="http://schemas.openxmlformats.org/officeDocument/2006/relationships/hyperlink" Target="https://drive.google.com/file/d/1uhyRcARfNRez5f0tuhJUBFZ5lM3NjBQq/view?usp=sharing" TargetMode="External"/><Relationship Id="rId2553" Type="http://schemas.openxmlformats.org/officeDocument/2006/relationships/hyperlink" Target="https://drive.google.com/file/d/1TOg2yh2jS6b-eExiygN4EDITx-OtdDaf/view?usp=sharing" TargetMode="External"/><Relationship Id="rId3604" Type="http://schemas.openxmlformats.org/officeDocument/2006/relationships/hyperlink" Target="https://drive.google.com/drive/folders/1wm_Gp-VfxVmH1mY42vNh4RV-63DittCG?usp=drive_link" TargetMode="External"/><Relationship Id="rId6010" Type="http://schemas.openxmlformats.org/officeDocument/2006/relationships/hyperlink" Target="https://drive.google.com/file/d/19X0_M2In9_xbBsbHY35dkUlvPHii8Vhx/view?usp=drive_link" TargetMode="External"/><Relationship Id="rId9166" Type="http://schemas.openxmlformats.org/officeDocument/2006/relationships/hyperlink" Target="https://drive.google.com/drive/folders/1NepG6XT-FSa8Cs07sX3tPfQWLNpJfAxp" TargetMode="External"/><Relationship Id="rId9580" Type="http://schemas.openxmlformats.org/officeDocument/2006/relationships/hyperlink" Target="https://www.vidio.com/live/6299-bein-1?schedule_id=4733790" TargetMode="External"/><Relationship Id="rId11096" Type="http://schemas.openxmlformats.org/officeDocument/2006/relationships/hyperlink" Target="https://drive.google.com/drive/folders/1N8BE3Xc8g42r0wrReWIgVyyJohHfvOB3?usp=drive_link" TargetMode="External"/><Relationship Id="rId12147" Type="http://schemas.openxmlformats.org/officeDocument/2006/relationships/hyperlink" Target="https://drive.google.com/file/d/17nqJ8YbOWxi4DOQmMA4_VvY1qMuE4tM4/view?usp=sharing" TargetMode="External"/><Relationship Id="rId525" Type="http://schemas.openxmlformats.org/officeDocument/2006/relationships/hyperlink" Target="https://drive.google.com/drive/folders/19DoqeQW7UAYMOxxteku17_ptQEvrlV-l?usp=drive_link" TargetMode="External"/><Relationship Id="rId1155" Type="http://schemas.openxmlformats.org/officeDocument/2006/relationships/hyperlink" Target="https://www.vidio.com/live/18796-premier-league?schedule_id=4802058" TargetMode="External"/><Relationship Id="rId2206" Type="http://schemas.openxmlformats.org/officeDocument/2006/relationships/hyperlink" Target="https://www.vidio.com/live/205-indosiar?schedule_id=4790144" TargetMode="External"/><Relationship Id="rId2620" Type="http://schemas.openxmlformats.org/officeDocument/2006/relationships/hyperlink" Target="https://drive.google.com/file/d/1r7ioDjFVBMqMZTjJ8VA-qHbIHSmzlXfS/view?usp=sharing" TargetMode="External"/><Relationship Id="rId5776" Type="http://schemas.openxmlformats.org/officeDocument/2006/relationships/hyperlink" Target="https://www.vidio.com/live/19599-uefa-europa-league?schedule_id=4701939" TargetMode="External"/><Relationship Id="rId8182" Type="http://schemas.openxmlformats.org/officeDocument/2006/relationships/hyperlink" Target="https://drive.google.com/file/d/1uMCmgUumqUHeqov2pguzpZ7-foYiAVUm/view?usp=sharing" TargetMode="External"/><Relationship Id="rId9233" Type="http://schemas.openxmlformats.org/officeDocument/2006/relationships/hyperlink" Target="https://drive.google.com/file/d/1bGAtWdCSL-v2iZg1GvRoYwXZwXVqVH3x/view?usp=sharing" TargetMode="External"/><Relationship Id="rId11163" Type="http://schemas.openxmlformats.org/officeDocument/2006/relationships/hyperlink" Target="https://drive.google.com/drive/folders/1pBL2Vu4TmsR7wzf0j8psh2JTh2hTX8Od" TargetMode="External"/><Relationship Id="rId12214" Type="http://schemas.openxmlformats.org/officeDocument/2006/relationships/hyperlink" Target="https://www.vidio.com/live/20270?schedule_id=4833860" TargetMode="External"/><Relationship Id="rId1222" Type="http://schemas.openxmlformats.org/officeDocument/2006/relationships/hyperlink" Target="https://www.vidio.com/live/19375-premier-league?schedule_id=4830774" TargetMode="External"/><Relationship Id="rId4378" Type="http://schemas.openxmlformats.org/officeDocument/2006/relationships/hyperlink" Target="https://www.vidio.com/live/19404-serie-a?schedule_id=4678471" TargetMode="External"/><Relationship Id="rId5429" Type="http://schemas.openxmlformats.org/officeDocument/2006/relationships/hyperlink" Target="https://drive.google.com/file/d/1c01BLJqKGaIUsQQTvvag1xCwgjjtvmYU/view?usp=sharing" TargetMode="External"/><Relationship Id="rId6827" Type="http://schemas.openxmlformats.org/officeDocument/2006/relationships/hyperlink" Target="https://drive.google.com/file/d/1bUYi1Y7KvQIixTj8oHPknuZVSkE1X3WO/view?usp=sharing" TargetMode="External"/><Relationship Id="rId9300" Type="http://schemas.openxmlformats.org/officeDocument/2006/relationships/hyperlink" Target="https://drive.google.com/file/d/1oGE3fNCgOG6hNFpRkT6Lpjjoh1_0PAww/view?usp=sharing" TargetMode="External"/><Relationship Id="rId3394" Type="http://schemas.openxmlformats.org/officeDocument/2006/relationships/hyperlink" Target="https://www.vidio.com/live/6685-champions-tv-1?schedule_id=4480018" TargetMode="External"/><Relationship Id="rId4792" Type="http://schemas.openxmlformats.org/officeDocument/2006/relationships/hyperlink" Target="https://www.vidio.com/live/19404-serie-a?schedule_id=4825572" TargetMode="External"/><Relationship Id="rId5843" Type="http://schemas.openxmlformats.org/officeDocument/2006/relationships/hyperlink" Target="https://www.vidio.com/live/19600-uefa-europa-league?schedule_id=4702075" TargetMode="External"/><Relationship Id="rId8999" Type="http://schemas.openxmlformats.org/officeDocument/2006/relationships/hyperlink" Target="https://drive.google.com/file/d/1KzeUp172glUB2fFSwvBeVpDEhqgeP2Iw/view?usp=sharing" TargetMode="External"/><Relationship Id="rId11230" Type="http://schemas.openxmlformats.org/officeDocument/2006/relationships/hyperlink" Target="https://www.vidio.com/live/18249-hsbc-bwf-world-tour-finals-2025-group-stage-court-1?schedule_id=4784606" TargetMode="External"/><Relationship Id="rId3047" Type="http://schemas.openxmlformats.org/officeDocument/2006/relationships/hyperlink" Target="https://www.vidio.com/live/6299-bein-1?schedule_id=4768735" TargetMode="External"/><Relationship Id="rId4445" Type="http://schemas.openxmlformats.org/officeDocument/2006/relationships/hyperlink" Target="https://drive.google.com/drive/folders/190yi0NXB7fqt8awvfrHzHYND0AcQ3r1-?usp=drive_link" TargetMode="External"/><Relationship Id="rId5910" Type="http://schemas.openxmlformats.org/officeDocument/2006/relationships/hyperlink" Target="https://drive.google.com/drive/folders/1DfJTDZQ7L5STk1OopCX9TuEeWl-KL9tm?usp=drive_link" TargetMode="External"/><Relationship Id="rId10996" Type="http://schemas.openxmlformats.org/officeDocument/2006/relationships/hyperlink" Target="https://www.vidio.com/live/20251-fa-cup-2025-26?schedule_id=4832293" TargetMode="External"/><Relationship Id="rId3461" Type="http://schemas.openxmlformats.org/officeDocument/2006/relationships/hyperlink" Target="https://www.vidio.com/live/18739-liga-portugal?schedule_id=4525585" TargetMode="External"/><Relationship Id="rId4512" Type="http://schemas.openxmlformats.org/officeDocument/2006/relationships/hyperlink" Target="https://drive.google.com/file/d/1KBxNq7ccJCjbW5e1m_AIM0nVanfPze7L/view?usp=sharing" TargetMode="External"/><Relationship Id="rId7668" Type="http://schemas.openxmlformats.org/officeDocument/2006/relationships/hyperlink" Target="https://drive.google.com/drive/folders/1y3lBPBslJoUGkB1UxkBWbPUeMMNVDUHp" TargetMode="External"/><Relationship Id="rId8719" Type="http://schemas.openxmlformats.org/officeDocument/2006/relationships/hyperlink" Target="https://www.vidio.com/live/19745-top-youth-premier-league-2025-matchday-8?schedule_id=4670873" TargetMode="External"/><Relationship Id="rId10649" Type="http://schemas.openxmlformats.org/officeDocument/2006/relationships/hyperlink" Target="https://drive.google.com/drive/folders/11XHoZqviYK-AMC_6mniRd-N7DkBcB7Qq" TargetMode="External"/><Relationship Id="rId382" Type="http://schemas.openxmlformats.org/officeDocument/2006/relationships/hyperlink" Target="https://drive.google.com/drive/folders/1HAHXgmpUJc29YOD8xWSMgQyRhfXuT8Vy" TargetMode="External"/><Relationship Id="rId2063" Type="http://schemas.openxmlformats.org/officeDocument/2006/relationships/hyperlink" Target="https://drive.google.com/drive/folders/1ecxDLMTXRDfyjnhDc5hGxdYk_JOLalxq" TargetMode="External"/><Relationship Id="rId3114" Type="http://schemas.openxmlformats.org/officeDocument/2006/relationships/hyperlink" Target="https://thumbor.prod.vidiocdn.com/hS8NDhNEk8gTLw-xZW2pmxvsWec=/filters:quality(70)/vidio-media-production/uploads/image/source/51760/3242b8.png" TargetMode="External"/><Relationship Id="rId6684" Type="http://schemas.openxmlformats.org/officeDocument/2006/relationships/hyperlink" Target="https://drive.google.com/drive/folders/1BHh5wPsnYmUU66j0vsOKMNDJmvhTzaOp?usp=drive_link" TargetMode="External"/><Relationship Id="rId7735" Type="http://schemas.openxmlformats.org/officeDocument/2006/relationships/hyperlink" Target="https://www.vidio.com/live/19541-pegadaian-championship-2025-26?schedule_id=4665894" TargetMode="External"/><Relationship Id="rId9090" Type="http://schemas.openxmlformats.org/officeDocument/2006/relationships/hyperlink" Target="https://drive.google.com/file/d/1u03r13J8GUeQqeCXKW6LGOMMiS2_GfJt/view?usp=sharing" TargetMode="External"/><Relationship Id="rId12071" Type="http://schemas.openxmlformats.org/officeDocument/2006/relationships/hyperlink" Target="https://drive.google.com/drive/folders/1j2A_bH-x2l04Qo4WA98rK5ys1iCEU3UZ" TargetMode="External"/><Relationship Id="rId2130" Type="http://schemas.openxmlformats.org/officeDocument/2006/relationships/hyperlink" Target="https://drive.google.com/drive/folders/1gCLKym8Niu3tY1xlBbPJwfhZ-ltZiBSX" TargetMode="External"/><Relationship Id="rId5286" Type="http://schemas.openxmlformats.org/officeDocument/2006/relationships/hyperlink" Target="https://drive.google.com/file/d/1tXoUYaCxQafTNfqbI-cEK15jugW4jZpM/view?usp=sharing" TargetMode="External"/><Relationship Id="rId6337" Type="http://schemas.openxmlformats.org/officeDocument/2006/relationships/hyperlink" Target="https://drive.google.com/drive/folders/1_QyyUC0KxsA5I5XnGSR_moWG1pYIaeRU" TargetMode="External"/><Relationship Id="rId6751" Type="http://schemas.openxmlformats.org/officeDocument/2006/relationships/hyperlink" Target="https://drive.google.com/drive/folders/1NepG6XT-FSa8Cs07sX3tPfQWLNpJfAxp" TargetMode="External"/><Relationship Id="rId10716" Type="http://schemas.openxmlformats.org/officeDocument/2006/relationships/hyperlink" Target="https://drive.google.com/file/d/1htggtsELM7Slqk4GJh4phqkOk98QXZ5Y/view?usp=drive_link" TargetMode="External"/><Relationship Id="rId102" Type="http://schemas.openxmlformats.org/officeDocument/2006/relationships/hyperlink" Target="https://drive.google.com/file/d/145lMauHKsNLbW5TjkSLNYmAnnu6Bu3C5/view?usp=sharing" TargetMode="External"/><Relationship Id="rId5353" Type="http://schemas.openxmlformats.org/officeDocument/2006/relationships/hyperlink" Target="https://drive.google.com/file/d/1r1O6LnVInyDYO6Urrs2AknaIwFmvAJJF/view?usp=sharing" TargetMode="External"/><Relationship Id="rId6404" Type="http://schemas.openxmlformats.org/officeDocument/2006/relationships/hyperlink" Target="https://drive.google.com/file/d/13NowfReSbm7fMRzss7OMBla2P9LjWPoe/view?usp=drive_link" TargetMode="External"/><Relationship Id="rId7802" Type="http://schemas.openxmlformats.org/officeDocument/2006/relationships/hyperlink" Target="https://drive.google.com/drive/folders/18pa30k7VXSESv0P6fZ97lEXrQ9iatGXT?usp=drive_link" TargetMode="External"/><Relationship Id="rId1896" Type="http://schemas.openxmlformats.org/officeDocument/2006/relationships/hyperlink" Target="https://www.vidio.com/live/19354-bri-super-league?schedule_id=4667499" TargetMode="External"/><Relationship Id="rId2947" Type="http://schemas.openxmlformats.org/officeDocument/2006/relationships/hyperlink" Target="https://www.vidio.com/live/6299-bein-1?schedule_id=4724319" TargetMode="External"/><Relationship Id="rId5006" Type="http://schemas.openxmlformats.org/officeDocument/2006/relationships/hyperlink" Target="https://drive.google.com/file/d/1LQqxipwr1EtEL-xT263jkWkoXXaFaFH7/view?usp=sharing" TargetMode="External"/><Relationship Id="rId9974" Type="http://schemas.openxmlformats.org/officeDocument/2006/relationships/hyperlink" Target="https://drive.google.com/file/d/1ln1heOeK75M7_eHp5tQX67Md69mqLLHt/view?usp=sharing" TargetMode="External"/><Relationship Id="rId919" Type="http://schemas.openxmlformats.org/officeDocument/2006/relationships/hyperlink" Target="https://drive.google.com/drive/folders/1MoGPIepMa82zejvStu63UI0WZ0aoLOkz?usp=drive_link" TargetMode="External"/><Relationship Id="rId1549" Type="http://schemas.openxmlformats.org/officeDocument/2006/relationships/hyperlink" Target="https://drive.google.com/file/d/1StNTvejILnSCLfRqtSEEGmaH_YiQki1q/view?usp=drive_link" TargetMode="External"/><Relationship Id="rId1963" Type="http://schemas.openxmlformats.org/officeDocument/2006/relationships/hyperlink" Target="https://drive.google.com/file/d/1hiIgtyzgyv4Y7P31h1vZVtvfsbFwKJCG/view?usp=sharing" TargetMode="External"/><Relationship Id="rId4022" Type="http://schemas.openxmlformats.org/officeDocument/2006/relationships/hyperlink" Target="https://www.vidio.com/live/17139-spotv?schedule_id=4570987" TargetMode="External"/><Relationship Id="rId5420" Type="http://schemas.openxmlformats.org/officeDocument/2006/relationships/hyperlink" Target="https://www.vidio.com/live/18304-uefa-champions-league?schedule_id=4772722" TargetMode="External"/><Relationship Id="rId7178" Type="http://schemas.openxmlformats.org/officeDocument/2006/relationships/hyperlink" Target="https://drive.google.com/file/d/1DNux4glLBnqI-DzUHKvsJVIQIe0fQ_QF/view?usp=sharing" TargetMode="External"/><Relationship Id="rId8576" Type="http://schemas.openxmlformats.org/officeDocument/2006/relationships/hyperlink" Target="https://drive.google.com/file/d/19YcwDLKSz_4gwpu3YKRWiPiUwRoV8jy5/view?usp=sharing" TargetMode="External"/><Relationship Id="rId8990" Type="http://schemas.openxmlformats.org/officeDocument/2006/relationships/hyperlink" Target="https://www.vidio.com/live/6299-bein-1?schedule_id=4717655" TargetMode="External"/><Relationship Id="rId9627" Type="http://schemas.openxmlformats.org/officeDocument/2006/relationships/hyperlink" Target="https://drive.google.com/drive/folders/1XlBGZo1L_CRyvY39MCtvIn3Z6MfV0HyF?usp=drive_link" TargetMode="External"/><Relationship Id="rId11557" Type="http://schemas.openxmlformats.org/officeDocument/2006/relationships/hyperlink" Target="https://thumbor.prod.vidiocdn.com/eAmM1N3ykRQmxYcPhsdNTYodHXE=/filters:quality(70)/vidio-media-production/uploads/image/source/52680/cde874.png" TargetMode="External"/><Relationship Id="rId11971" Type="http://schemas.openxmlformats.org/officeDocument/2006/relationships/hyperlink" Target="https://www.vidio.com/live/18252-petronas-malaysia-open-2026-round-of-32-court-3?schedule_id=4832198" TargetMode="External"/><Relationship Id="rId1616" Type="http://schemas.openxmlformats.org/officeDocument/2006/relationships/hyperlink" Target="https://www.vidio.com/live/19385-bri-super-league?schedule_id=4512889" TargetMode="External"/><Relationship Id="rId7592" Type="http://schemas.openxmlformats.org/officeDocument/2006/relationships/hyperlink" Target="https://drive.google.com/drive/folders/1hQZkZ8k58-fOka4wgIkaryNxaAeiyBot?usp=drive_link" TargetMode="External"/><Relationship Id="rId8229" Type="http://schemas.openxmlformats.org/officeDocument/2006/relationships/hyperlink" Target="https://www.vidio.com/live/18796-premier-league?schedule_id=4683228" TargetMode="External"/><Relationship Id="rId8643" Type="http://schemas.openxmlformats.org/officeDocument/2006/relationships/hyperlink" Target="https://www.vidio.com/live/19883-pegadaian-championship-2025-26?schedule_id=4727757" TargetMode="External"/><Relationship Id="rId10159" Type="http://schemas.openxmlformats.org/officeDocument/2006/relationships/hyperlink" Target="https://drive.google.com/file/d/1Y4_Ocqhf4YpUFJRvHIPygf-gQbSWry0u/view?usp=sharing" TargetMode="External"/><Relationship Id="rId10573" Type="http://schemas.openxmlformats.org/officeDocument/2006/relationships/hyperlink" Target="https://drive.google.com/file/d/1Ylpcy3oD417jCBgtBWhJF_r0pOag04OS/view?usp=sharing" TargetMode="External"/><Relationship Id="rId11624" Type="http://schemas.openxmlformats.org/officeDocument/2006/relationships/hyperlink" Target="https://thumbor.prod.vidiocdn.com/xQWFfuwTIWYba-n2j0033Zaakew=/filters:quality(70)/vidio-media-production/uploads/image/source/53241/4900dc.png" TargetMode="External"/><Relationship Id="rId3788" Type="http://schemas.openxmlformats.org/officeDocument/2006/relationships/hyperlink" Target="https://drive.google.com/drive/folders/1OEQ96Il5QmoTbCPz3h5cQCd5Zbvm_m_T?usp=drive_link" TargetMode="External"/><Relationship Id="rId4839" Type="http://schemas.openxmlformats.org/officeDocument/2006/relationships/hyperlink" Target="https://drive.google.com/drive/folders/1NgKOn97Rfnxtzb7-zE_dZHK89l-BZRIg?usp=drive_link" TargetMode="External"/><Relationship Id="rId6194" Type="http://schemas.openxmlformats.org/officeDocument/2006/relationships/hyperlink" Target="https://drive.google.com/drive/folders/1vjOA9E-jOlhsRSh5NE7jSpcmcR5v41-E" TargetMode="External"/><Relationship Id="rId7245" Type="http://schemas.openxmlformats.org/officeDocument/2006/relationships/hyperlink" Target="https://drive.google.com/drive/folders/1Z7oi_o5WYZZltWMitu9rXPBSVljBvdVE?usp=drive_link" TargetMode="External"/><Relationship Id="rId8710" Type="http://schemas.openxmlformats.org/officeDocument/2006/relationships/hyperlink" Target="https://www.vidio.com/live/19745-top-youth-premier-league-2025-matchday-8" TargetMode="External"/><Relationship Id="rId10226" Type="http://schemas.openxmlformats.org/officeDocument/2006/relationships/hyperlink" Target="https://www.vidio.com/live/17875-bein-2?schedule_id=4773328" TargetMode="External"/><Relationship Id="rId3855" Type="http://schemas.openxmlformats.org/officeDocument/2006/relationships/hyperlink" Target="https://www.vidio.com/live/6686-champions-tv-2?schedule_id=4783742" TargetMode="External"/><Relationship Id="rId6261" Type="http://schemas.openxmlformats.org/officeDocument/2006/relationships/hyperlink" Target="https://drive.google.com/drive/folders/1FoZEhcmuAKsxzNPhIi4uMvsOJ4TiQsV_" TargetMode="External"/><Relationship Id="rId7312" Type="http://schemas.openxmlformats.org/officeDocument/2006/relationships/hyperlink" Target="https://drive.google.com/file/d/1ogwdSpI_nNl9csem5smM9Xzzy9DUU2PY/view?usp=drive_link" TargetMode="External"/><Relationship Id="rId10640" Type="http://schemas.openxmlformats.org/officeDocument/2006/relationships/hyperlink" Target="https://www.vidio.com/live/20067-top-youth-premier-league-pekan-ke-15?schedule_id=4776343" TargetMode="External"/><Relationship Id="rId12398" Type="http://schemas.openxmlformats.org/officeDocument/2006/relationships/hyperlink" Target="https://drive.google.com/file/d/15XWbtbUwFEgrO0Ju6sNJKkMPQkRxrMB0/view?usp=sharing" TargetMode="External"/><Relationship Id="rId776" Type="http://schemas.openxmlformats.org/officeDocument/2006/relationships/hyperlink" Target="https://drive.google.com/file/d/1VOfjvUsYxDr2hflDpSuCGRH7tiE26tl1/view?usp=sharing" TargetMode="External"/><Relationship Id="rId2457" Type="http://schemas.openxmlformats.org/officeDocument/2006/relationships/hyperlink" Target="https://www.vidio.com/live/6299-bein-1?schedule_id=4568561" TargetMode="External"/><Relationship Id="rId3508" Type="http://schemas.openxmlformats.org/officeDocument/2006/relationships/hyperlink" Target="https://www.vidio.com/live/6685-champions-tv-1?schedule_id=4665902" TargetMode="External"/><Relationship Id="rId4906" Type="http://schemas.openxmlformats.org/officeDocument/2006/relationships/hyperlink" Target="https://www.vidio.com/live/20110-serie-a?schedule_id=4833785" TargetMode="External"/><Relationship Id="rId9484" Type="http://schemas.openxmlformats.org/officeDocument/2006/relationships/hyperlink" Target="https://drive.google.com/file/d/148L7MVKB_v-znD3KTa4CY2wacEfCKvTq/view?usp=sharing" TargetMode="External"/><Relationship Id="rId429" Type="http://schemas.openxmlformats.org/officeDocument/2006/relationships/hyperlink" Target="https://drive.google.com/drive/folders/1g0y8cpcE-UWWQ7K7Mk2j7VzibCzMqxZ3?usp=drive_link" TargetMode="External"/><Relationship Id="rId1059" Type="http://schemas.openxmlformats.org/officeDocument/2006/relationships/hyperlink" Target="https://drive.google.com/file/d/1htggtsELM7Slqk4GJh4phqkOk98QXZ5Y/view?usp=sharing" TargetMode="External"/><Relationship Id="rId1473" Type="http://schemas.openxmlformats.org/officeDocument/2006/relationships/hyperlink" Target="https://www.vidio.com/live/19353-bri-super-league?schedule_id=4484907" TargetMode="External"/><Relationship Id="rId2871" Type="http://schemas.openxmlformats.org/officeDocument/2006/relationships/hyperlink" Target="https://www.vidio.com/live/17323-laliga?schedule_id=4704446" TargetMode="External"/><Relationship Id="rId3922" Type="http://schemas.openxmlformats.org/officeDocument/2006/relationships/hyperlink" Target="https://drive.google.com/file/d/1xK8cM2CFODOUCa9_3vMtpxnRbrN1zw1F/view?usp=sharing" TargetMode="External"/><Relationship Id="rId8086" Type="http://schemas.openxmlformats.org/officeDocument/2006/relationships/hyperlink" Target="https://drive.google.com/drive/folders/10kjndzNuhAMWdTMs_l_jk8B84L4z3b2d?usp=drive_link" TargetMode="External"/><Relationship Id="rId9137" Type="http://schemas.openxmlformats.org/officeDocument/2006/relationships/hyperlink" Target="https://www.vidio.com/live/19748-national-football-league-2025-26?schedule_id=4716792" TargetMode="External"/><Relationship Id="rId843" Type="http://schemas.openxmlformats.org/officeDocument/2006/relationships/hyperlink" Target="https://drive.google.com/file/d/1KgYaMy_2_fUERF4OQcTgbm_tGioF_5pr/view?usp=sharing" TargetMode="External"/><Relationship Id="rId1126" Type="http://schemas.openxmlformats.org/officeDocument/2006/relationships/hyperlink" Target="https://drive.google.com/file/d/1M21LAPvjcNO3FQZTliXRibt_XHSnFsxV/view?usp=sharing" TargetMode="External"/><Relationship Id="rId2524" Type="http://schemas.openxmlformats.org/officeDocument/2006/relationships/hyperlink" Target="https://drive.google.com/file/d/1nxXdrtH5DaQ51g4YkHHPKLD99n5e-471/view?usp=sharing" TargetMode="External"/><Relationship Id="rId8153" Type="http://schemas.openxmlformats.org/officeDocument/2006/relationships/hyperlink" Target="https://drive.google.com/file/d/102K5vvwjVPQ4rQ_0F6sQI6xqIWenZMFp/view?usp=sharing" TargetMode="External"/><Relationship Id="rId9551" Type="http://schemas.openxmlformats.org/officeDocument/2006/relationships/hyperlink" Target="https://drive.google.com/file/d/1bGAtWdCSL-v2iZg1GvRoYwXZwXVqVH3x/view?usp=sharing" TargetMode="External"/><Relationship Id="rId11067" Type="http://schemas.openxmlformats.org/officeDocument/2006/relationships/hyperlink" Target="https://www.vidio.com/live/17875-bein-2?schedule_id=4790140" TargetMode="External"/><Relationship Id="rId11481" Type="http://schemas.openxmlformats.org/officeDocument/2006/relationships/hyperlink" Target="https://drive.google.com/drive/folders/1Hl6PqKLZehwzOzCWj0sHzUtGdSkqOn4O" TargetMode="External"/><Relationship Id="rId12118" Type="http://schemas.openxmlformats.org/officeDocument/2006/relationships/hyperlink" Target="https://drive.google.com/file/d/1xXRyTpjraFbbrHD2OOrzfOJmKS83JG2b/view?usp=sharing" TargetMode="External"/><Relationship Id="rId910" Type="http://schemas.openxmlformats.org/officeDocument/2006/relationships/hyperlink" Target="https://drive.google.com/file/d/13YUsmPUwEBLO3t2GXeymKg5ewooHkB8t/view?usp=sharing" TargetMode="External"/><Relationship Id="rId1540" Type="http://schemas.openxmlformats.org/officeDocument/2006/relationships/hyperlink" Target="https://drive.google.com/drive/folders/1Ct8A8gjkdaJ-sEFUB_JwaxL4uuEs8CvQ" TargetMode="External"/><Relationship Id="rId4696" Type="http://schemas.openxmlformats.org/officeDocument/2006/relationships/hyperlink" Target="https://www.vidio.com/live/19404-serie-a?schedule_id=4773708" TargetMode="External"/><Relationship Id="rId5747" Type="http://schemas.openxmlformats.org/officeDocument/2006/relationships/hyperlink" Target="https://www.vidio.com/live/19602-uefa-europa-league?schedule_id=4664117" TargetMode="External"/><Relationship Id="rId9204" Type="http://schemas.openxmlformats.org/officeDocument/2006/relationships/hyperlink" Target="https://www.vidio.com/live/19811-top-soccer-championship-2025-u-17" TargetMode="External"/><Relationship Id="rId10083" Type="http://schemas.openxmlformats.org/officeDocument/2006/relationships/hyperlink" Target="https://drive.google.com/drive/folders/1UkUvGmGoKwJ-a0tnTEJhOOt7zEsVWQeK?usp=drive_link" TargetMode="External"/><Relationship Id="rId11134" Type="http://schemas.openxmlformats.org/officeDocument/2006/relationships/hyperlink" Target="https://thumbor.prod.vidiocdn.com/jBY19HX6HWlEivkJ9B41tt25aGg=/filters:quality(70)/vidio-media-production/uploads/image/source/53280/8fdda8.png" TargetMode="External"/><Relationship Id="rId3298" Type="http://schemas.openxmlformats.org/officeDocument/2006/relationships/hyperlink" Target="https://drive.google.com/drive/folders/18bD7-F89IZXLpEfTzKURQJtXBHFQ0-g9" TargetMode="External"/><Relationship Id="rId4349" Type="http://schemas.openxmlformats.org/officeDocument/2006/relationships/hyperlink" Target="https://www.vidio.com/live/19404-serie-a?schedule_id=4674567" TargetMode="External"/><Relationship Id="rId4763" Type="http://schemas.openxmlformats.org/officeDocument/2006/relationships/hyperlink" Target="https://www.vidio.com/live/19404-serie-a?schedule_id=4790692" TargetMode="External"/><Relationship Id="rId5814" Type="http://schemas.openxmlformats.org/officeDocument/2006/relationships/hyperlink" Target="https://drive.google.com/file/d/1jyDAYZ9YLSy4SPNDiInsJQuqovY5d3Y2/view?usp=sharing" TargetMode="External"/><Relationship Id="rId8220" Type="http://schemas.openxmlformats.org/officeDocument/2006/relationships/hyperlink" Target="https://drive.google.com/file/d/1Qz8VY0RJaJgoMQLhF3qFhVFTU_I1D9Eh/view?usp=drive_link" TargetMode="External"/><Relationship Id="rId10150" Type="http://schemas.openxmlformats.org/officeDocument/2006/relationships/hyperlink" Target="https://drive.google.com/file/d/1pfrjaf8a0plBqGj3zwyWCA9qxOeKxcI2/view?usp=sharing" TargetMode="External"/><Relationship Id="rId11201" Type="http://schemas.openxmlformats.org/officeDocument/2006/relationships/hyperlink" Target="https://drive.google.com/file/d/1jkio8kcnZyGbN-wJKENweOqx4lbWt1tu/view?usp=sharing" TargetMode="External"/><Relationship Id="rId3365" Type="http://schemas.openxmlformats.org/officeDocument/2006/relationships/hyperlink" Target="https://drive.google.com/file/d/14J7orgerc9PBlL_r_VLlgOQuT2CklWE1/view?usp=drive_link" TargetMode="External"/><Relationship Id="rId4416" Type="http://schemas.openxmlformats.org/officeDocument/2006/relationships/hyperlink" Target="https://drive.google.com/file/d/1N_N_MlFmzr9296iOouGB9A6BRiNg42CP/view?usp=sharing" TargetMode="External"/><Relationship Id="rId4830" Type="http://schemas.openxmlformats.org/officeDocument/2006/relationships/hyperlink" Target="https://www.vidio.com/live/20109-serie-a?schedule_id=4819772" TargetMode="External"/><Relationship Id="rId7986" Type="http://schemas.openxmlformats.org/officeDocument/2006/relationships/hyperlink" Target="https://drive.google.com/file/d/1n6XFKOMdiXo-4E4jV_2MGyHY-oZhx5MW/view?usp=sharing" TargetMode="External"/><Relationship Id="rId286" Type="http://schemas.openxmlformats.org/officeDocument/2006/relationships/hyperlink" Target="https://drive.google.com/drive/folders/1ZnBlExIc16jpQRJ5yiF_rjC2Vw5bQFo5?usp=drive_link" TargetMode="External"/><Relationship Id="rId2381" Type="http://schemas.openxmlformats.org/officeDocument/2006/relationships/hyperlink" Target="https://drive.google.com/drive/folders/1jTpCxrE8bgpjQYW1oUGksG0BEWGOqt2M?usp=drive_link" TargetMode="External"/><Relationship Id="rId3018" Type="http://schemas.openxmlformats.org/officeDocument/2006/relationships/hyperlink" Target="https://drive.google.com/file/d/1M9oTtJY84tAVrA3BCWd2yc3geE1wQfnf/view?usp=sharing" TargetMode="External"/><Relationship Id="rId3432" Type="http://schemas.openxmlformats.org/officeDocument/2006/relationships/hyperlink" Target="https://drive.google.com/file/d/13QoGXJBY9vOksyOauL2JaVjdUJ3pjDA6/view?usp=drive_link" TargetMode="External"/><Relationship Id="rId6588" Type="http://schemas.openxmlformats.org/officeDocument/2006/relationships/hyperlink" Target="https://drive.google.com/file/d/1rYnNNxg-bkJJ77pqOvCIrR7HGdN344Xx/view?usp=sharing" TargetMode="External"/><Relationship Id="rId7639" Type="http://schemas.openxmlformats.org/officeDocument/2006/relationships/hyperlink" Target="https://www.vidio.com/live/9183-champions-tv-6?schedule_id=4653358" TargetMode="External"/><Relationship Id="rId10967" Type="http://schemas.openxmlformats.org/officeDocument/2006/relationships/hyperlink" Target="https://drive.google.com/drive/folders/1e85FZS14fQYaHcpJ8gpEJwIW9_d57bZP?usp=drive_link" TargetMode="External"/><Relationship Id="rId353" Type="http://schemas.openxmlformats.org/officeDocument/2006/relationships/hyperlink" Target="https://drive.google.com/file/d/1oMw1dgONPkxbGEHV_XjM76YKHDpQzHwX/view?usp=sharing" TargetMode="External"/><Relationship Id="rId2034" Type="http://schemas.openxmlformats.org/officeDocument/2006/relationships/hyperlink" Target="https://drive.google.com/drive/folders/1FgQomkPL3aq477Uy9GxWKenK60sBgbi9" TargetMode="External"/><Relationship Id="rId9061" Type="http://schemas.openxmlformats.org/officeDocument/2006/relationships/hyperlink" Target="https://drive.google.com/file/d/1PeGCaHZuxXokx1iFpilcVvDec5-gItbv/view?usp=sharing" TargetMode="External"/><Relationship Id="rId420" Type="http://schemas.openxmlformats.org/officeDocument/2006/relationships/hyperlink" Target="https://drive.google.com/file/d/1rDngRrDYEDTGY38kDVazS6faiWgNUn-X/view?usp=sharing" TargetMode="External"/><Relationship Id="rId1050" Type="http://schemas.openxmlformats.org/officeDocument/2006/relationships/hyperlink" Target="https://www.vidio.com/live/9182-champions-tv-5?schedule_id=4783737" TargetMode="External"/><Relationship Id="rId2101" Type="http://schemas.openxmlformats.org/officeDocument/2006/relationships/hyperlink" Target="https://drive.google.com/file/d/1z14fhXVEJU3oQ5qQNmDpRfXO5lYsTuGW/view?usp=sharing" TargetMode="External"/><Relationship Id="rId5257" Type="http://schemas.openxmlformats.org/officeDocument/2006/relationships/hyperlink" Target="https://drive.google.com/drive/folders/1UJh6Ohrk8ICltqRuS2ZUbx-5nOk1lSCs" TargetMode="External"/><Relationship Id="rId6655" Type="http://schemas.openxmlformats.org/officeDocument/2006/relationships/hyperlink" Target="https://drive.google.com/drive/folders/1BHh5wPsnYmUU66j0vsOKMNDJmvhTzaOp?usp=drive_link" TargetMode="External"/><Relationship Id="rId7706" Type="http://schemas.openxmlformats.org/officeDocument/2006/relationships/hyperlink" Target="https://drive.google.com/drive/folders/1nIJ4V2QhNVa5hzwpuIGRUrXKA8rzcZE8?usp=drive_link" TargetMode="External"/><Relationship Id="rId12042" Type="http://schemas.openxmlformats.org/officeDocument/2006/relationships/hyperlink" Target="https://www.vidio.com/live/18250-petronas-malaysia-open-2026-round-of-16-court-2?schedule_id=4832334" TargetMode="External"/><Relationship Id="rId5671" Type="http://schemas.openxmlformats.org/officeDocument/2006/relationships/hyperlink" Target="https://drive.google.com/file/d/1AzV-VV1FvAHrGzCooS_dxfU8DryoPUpp/view?usp=sharing" TargetMode="External"/><Relationship Id="rId6308" Type="http://schemas.openxmlformats.org/officeDocument/2006/relationships/hyperlink" Target="https://drive.google.com/file/d/1ZuLZcY5g_y96zNPSi_3Ssgz0LxED5vPA/view?usp=sharing" TargetMode="External"/><Relationship Id="rId6722" Type="http://schemas.openxmlformats.org/officeDocument/2006/relationships/hyperlink" Target="https://drive.google.com/file/d/1U09u_ywRU6HHGjQTF6DtuQbsx_VWIrBA/view?usp=sharing" TargetMode="External"/><Relationship Id="rId9878" Type="http://schemas.openxmlformats.org/officeDocument/2006/relationships/hyperlink" Target="https://www.vidio.com/live/6686-champions-tv-2?schedule_id=4741288" TargetMode="External"/><Relationship Id="rId1867" Type="http://schemas.openxmlformats.org/officeDocument/2006/relationships/hyperlink" Target="https://drive.google.com/file/d/19vqca_EiIe3jFdyf_YspiGyBdyNKvzzH/view?usp=drive_link" TargetMode="External"/><Relationship Id="rId2918" Type="http://schemas.openxmlformats.org/officeDocument/2006/relationships/hyperlink" Target="https://www.vidio.com/live/6299-bein-1?schedule_id=4726811" TargetMode="External"/><Relationship Id="rId4273" Type="http://schemas.openxmlformats.org/officeDocument/2006/relationships/hyperlink" Target="https://drive.google.com/drive/folders/1xagUHmq9kDhIt5Jh4U30gUzkADWN0OVJ?usp=drive_link" TargetMode="External"/><Relationship Id="rId5324" Type="http://schemas.openxmlformats.org/officeDocument/2006/relationships/hyperlink" Target="https://drive.google.com/file/d/1D6ivimFOJpQ_EbZ_t6V1UFqvrXU0aLTD/view?usp=sharing" TargetMode="External"/><Relationship Id="rId8894" Type="http://schemas.openxmlformats.org/officeDocument/2006/relationships/hyperlink" Target="https://thumbor.prod.vidiocdn.com/KXk26BnyhUwdf3AsaBIyeoBCzpQ=/filters:quality(70)/vidio-media-production/uploads/image/source/52633/fb1e4b.png" TargetMode="External"/><Relationship Id="rId9945" Type="http://schemas.openxmlformats.org/officeDocument/2006/relationships/hyperlink" Target="https://drive.google.com/file/d/1gd4I02zrDmkZTBRUMSeD_CcY2tN5_ANe/view?usp=sharing" TargetMode="External"/><Relationship Id="rId1934" Type="http://schemas.openxmlformats.org/officeDocument/2006/relationships/hyperlink" Target="https://drive.google.com/drive/folders/1LGi9dLurk_Jo_59rg1c1WXWuzIKHgb6W" TargetMode="External"/><Relationship Id="rId4340" Type="http://schemas.openxmlformats.org/officeDocument/2006/relationships/hyperlink" Target="https://drive.google.com/drive/folders/1lBlXFBl4TqP2MeqFN3Wx1uc1mDYkLzFG?usp=drive_link" TargetMode="External"/><Relationship Id="rId7496" Type="http://schemas.openxmlformats.org/officeDocument/2006/relationships/hyperlink" Target="https://drive.google.com/drive/u/0/folders/1AS6siU2Zs1xw-DHAi-0k9cmkEPL1l798" TargetMode="External"/><Relationship Id="rId8547" Type="http://schemas.openxmlformats.org/officeDocument/2006/relationships/hyperlink" Target="https://drive.google.com/file/d/1psqFUcBjn1cH1O1-hlQ1JjX_1s4oBHGj/view?usp=sharing" TargetMode="External"/><Relationship Id="rId8961" Type="http://schemas.openxmlformats.org/officeDocument/2006/relationships/hyperlink" Target="https://drive.google.com/drive/folders/1mbesG1LS-Opx2a3JuZoXe9AppdSa4pSq" TargetMode="External"/><Relationship Id="rId10477" Type="http://schemas.openxmlformats.org/officeDocument/2006/relationships/hyperlink" Target="https://drive.google.com/drive/folders/1NepG6XT-FSa8Cs07sX3tPfQWLNpJfAxp" TargetMode="External"/><Relationship Id="rId11528" Type="http://schemas.openxmlformats.org/officeDocument/2006/relationships/hyperlink" Target="https://thumbor.prod.vidiocdn.com/UjVAQR6tE0NmzdLZG2VD9kLFaD8=/filters:quality(70)/vidio-media-production/uploads/image/source/52572/912764.png" TargetMode="External"/><Relationship Id="rId11875" Type="http://schemas.openxmlformats.org/officeDocument/2006/relationships/hyperlink" Target="https://drive.google.com/drive/folders/1TYXj5i7Ik4SNEitV7mHoBo1u6CAR_kAQ?usp=drive_link" TargetMode="External"/><Relationship Id="rId6098" Type="http://schemas.openxmlformats.org/officeDocument/2006/relationships/hyperlink" Target="https://www.vidio.com/live/19643-uefa-conference-league?schedule_id=4614678" TargetMode="External"/><Relationship Id="rId7149" Type="http://schemas.openxmlformats.org/officeDocument/2006/relationships/hyperlink" Target="https://drive.google.com/file/d/1TOqIU1n5toXV3lFQdM343-zl3edT3xKX/view?usp=sharing" TargetMode="External"/><Relationship Id="rId7563" Type="http://schemas.openxmlformats.org/officeDocument/2006/relationships/hyperlink" Target="https://drive.google.com/file/d/1qPomc1vXUSuwo-fwlcjrs51Bbs1owuAW/view?usp=sharing" TargetMode="External"/><Relationship Id="rId8614" Type="http://schemas.openxmlformats.org/officeDocument/2006/relationships/hyperlink" Target="https://drive.google.com/drive/folders/1of2ltr6GTDxkstQPNZ6zJPj5eyUTDtUr?usp=drive_link" TargetMode="External"/><Relationship Id="rId10891" Type="http://schemas.openxmlformats.org/officeDocument/2006/relationships/hyperlink" Target="https://drive.google.com/drive/folders/1tvjxvo3Z9U40bjdWOnfXzxHMgTUsDECs" TargetMode="External"/><Relationship Id="rId11942" Type="http://schemas.openxmlformats.org/officeDocument/2006/relationships/hyperlink" Target="https://www.vidio.com/live/18249-petronas-malaysia-open-2026-round-of-32-court-1?schedule_id=4832169" TargetMode="External"/><Relationship Id="rId6165" Type="http://schemas.openxmlformats.org/officeDocument/2006/relationships/hyperlink" Target="https://drive.google.com/file/d/12tuMdHPEybQ91ih1xNV50P02st3D5XDb/view?usp=sharing" TargetMode="External"/><Relationship Id="rId7216" Type="http://schemas.openxmlformats.org/officeDocument/2006/relationships/hyperlink" Target="https://www.vidio.com/live/19623-national-football-league-2025-26?schedule_id=4628655" TargetMode="External"/><Relationship Id="rId10544" Type="http://schemas.openxmlformats.org/officeDocument/2006/relationships/hyperlink" Target="https://drive.google.com/file/d/1g0zlLZp5H0g7Bc2bwwqy_S-z4GIYGcvX/view?usp=sharing" TargetMode="External"/><Relationship Id="rId3759" Type="http://schemas.openxmlformats.org/officeDocument/2006/relationships/hyperlink" Target="https://www.vidio.com/live/6685-champions-tv-1?schedule_id=4559066" TargetMode="External"/><Relationship Id="rId5181" Type="http://schemas.openxmlformats.org/officeDocument/2006/relationships/hyperlink" Target="https://drive.google.com/file/d/1f87rHaq63jS0VxBvet9YXt_w_4KLGFu_/view?usp=sharing" TargetMode="External"/><Relationship Id="rId6232" Type="http://schemas.openxmlformats.org/officeDocument/2006/relationships/hyperlink" Target="https://drive.google.com/file/d/1ZXJDmoqLpLqXbPo2YykZHfR7-w15kqYh/view?usp=sharing" TargetMode="External"/><Relationship Id="rId7630" Type="http://schemas.openxmlformats.org/officeDocument/2006/relationships/hyperlink" Target="https://www.vidio.com/live/17875-bein-2?schedule_id=4636584" TargetMode="External"/><Relationship Id="rId9388" Type="http://schemas.openxmlformats.org/officeDocument/2006/relationships/hyperlink" Target="https://thumbor.prod.vidiocdn.com/6Z6q4xuoyaHH1iRpo8wZXksNEDc=/filters:quality(70)/vidio-media-production/uploads/image/source/52553/5fa94c.png" TargetMode="External"/><Relationship Id="rId10611" Type="http://schemas.openxmlformats.org/officeDocument/2006/relationships/hyperlink" Target="https://drive.google.com/file/d/1bGAtWdCSL-v2iZg1GvRoYwXZwXVqVH3x/view?usp=sharing" TargetMode="External"/><Relationship Id="rId2775" Type="http://schemas.openxmlformats.org/officeDocument/2006/relationships/hyperlink" Target="https://drive.google.com/drive/folders/1Zu3OAo0S2_pW7JebuZ1lawDm5yCgSaPG?usp=drive_link" TargetMode="External"/><Relationship Id="rId3826" Type="http://schemas.openxmlformats.org/officeDocument/2006/relationships/hyperlink" Target="https://drive.google.com/file/d/1QRfqiGCEhJTBh8r1OWDBzf-c8w3Be5Tc/view?usp=drive_link" TargetMode="External"/><Relationship Id="rId12369" Type="http://schemas.openxmlformats.org/officeDocument/2006/relationships/hyperlink" Target="https://drive.google.com/file/d/1QU7f_kJOwoVWtAMjp7ybswNoG2DihFYJ/view?usp=sharing" TargetMode="External"/><Relationship Id="rId747" Type="http://schemas.openxmlformats.org/officeDocument/2006/relationships/hyperlink" Target="https://drive.google.com/file/d/15BzfjWLmQ7GLDxlXp65mXtj_MsNMXZl5/view?usp=sharing" TargetMode="External"/><Relationship Id="rId1377" Type="http://schemas.openxmlformats.org/officeDocument/2006/relationships/hyperlink" Target="https://drive.google.com/drive/folders/1iAcTnY1Ht_PTu47P3_ivCM6Kg5F2BHXs?usp=drive_link" TargetMode="External"/><Relationship Id="rId1791" Type="http://schemas.openxmlformats.org/officeDocument/2006/relationships/hyperlink" Target="https://drive.google.com/drive/folders/1g6mhYlsxbtsKzXC0xP44Dk5FzKafl0Yv" TargetMode="External"/><Relationship Id="rId2428" Type="http://schemas.openxmlformats.org/officeDocument/2006/relationships/hyperlink" Target="https://drive.google.com/file/d/18Zckh4k6rSN7t3H7Amn64TW-xsDrQSmv/view?usp=drive_link" TargetMode="External"/><Relationship Id="rId2842" Type="http://schemas.openxmlformats.org/officeDocument/2006/relationships/hyperlink" Target="https://www.vidio.com/live/6299-bein-1?schedule_id=4677362" TargetMode="External"/><Relationship Id="rId5998" Type="http://schemas.openxmlformats.org/officeDocument/2006/relationships/hyperlink" Target="https://drive.google.com/drive/folders/1WUXTPowE338xl2DvEXEw2IgRg1QeoPhS?usp=drive_link" TargetMode="External"/><Relationship Id="rId9455" Type="http://schemas.openxmlformats.org/officeDocument/2006/relationships/hyperlink" Target="https://www.vidio.com/live/19584-pegadaian-championship-2025-26?schedule_id=4832522" TargetMode="External"/><Relationship Id="rId11385" Type="http://schemas.openxmlformats.org/officeDocument/2006/relationships/hyperlink" Target="https://drive.google.com/file/d/1bGAtWdCSL-v2iZg1GvRoYwXZwXVqVH3x/view?usp=sharing" TargetMode="External"/><Relationship Id="rId12436" Type="http://schemas.openxmlformats.org/officeDocument/2006/relationships/hyperlink" Target="https://www.vidio.com/live/20277?schedule_id=4834235" TargetMode="External"/><Relationship Id="rId83" Type="http://schemas.openxmlformats.org/officeDocument/2006/relationships/hyperlink" Target="https://drive.google.com/file/d/1u7urkJZO1vLHtTS-owvRJJO_htsx4PBv/view?usp=drive_link" TargetMode="External"/><Relationship Id="rId814" Type="http://schemas.openxmlformats.org/officeDocument/2006/relationships/hyperlink" Target="https://drive.google.com/file/d/1M-a4IUIcdXdYWQu-O92ArUmCdMTg03zk/view?usp=sharing" TargetMode="External"/><Relationship Id="rId1444" Type="http://schemas.openxmlformats.org/officeDocument/2006/relationships/hyperlink" Target="https://drive.google.com/drive/folders/1SI5lZTG1zXMimyux54FbTHn-35Mf1HJq" TargetMode="External"/><Relationship Id="rId8057" Type="http://schemas.openxmlformats.org/officeDocument/2006/relationships/hyperlink" Target="https://drive.google.com/file/d/1F3AcIa7b9U0lrSX1ab3NRv5xkmbGP5uX/view?usp=sharing" TargetMode="External"/><Relationship Id="rId8471" Type="http://schemas.openxmlformats.org/officeDocument/2006/relationships/hyperlink" Target="https://www.vidio.com/live/6685-champions-tv-1?schedule_id=4773367" TargetMode="External"/><Relationship Id="rId9108" Type="http://schemas.openxmlformats.org/officeDocument/2006/relationships/hyperlink" Target="https://drive.google.com/file/d/10W03pOLcwCGLzk_ebnJgeYgAHDldv3aG/view?usp=sharing" TargetMode="External"/><Relationship Id="rId9522" Type="http://schemas.openxmlformats.org/officeDocument/2006/relationships/hyperlink" Target="https://drive.google.com/file/d/1caOeYBVyUM6jrciaO8qbqLcLnHQGsFEN/view?usp=sharing" TargetMode="External"/><Relationship Id="rId11038" Type="http://schemas.openxmlformats.org/officeDocument/2006/relationships/hyperlink" Target="https://thumbor.prod.vidiocdn.com/i4MQHxHnfYzl_wmSrPRZm7G2VbI=/filters:quality(70)/vidio-media-production/uploads/image/source/53182/023107.png" TargetMode="External"/><Relationship Id="rId11452" Type="http://schemas.openxmlformats.org/officeDocument/2006/relationships/hyperlink" Target="https://drive.google.com/file/d/1LZ1HAML-erYFmZJWZtyDCqUwDSM0uG1L/view?usp=sharing" TargetMode="External"/><Relationship Id="rId1511" Type="http://schemas.openxmlformats.org/officeDocument/2006/relationships/hyperlink" Target="https://drive.google.com/drive/folders/1YOKEHKhscaIhYMf4-nkpR_1pvWz9YLbJ?usp=drive_link" TargetMode="External"/><Relationship Id="rId4667" Type="http://schemas.openxmlformats.org/officeDocument/2006/relationships/hyperlink" Target="https://drive.google.com/file/d/1j9Uv_y76cl9wiiLiwPc2ToG9nkLJHRD0/view?usp=sharing" TargetMode="External"/><Relationship Id="rId5718" Type="http://schemas.openxmlformats.org/officeDocument/2006/relationships/hyperlink" Target="https://drive.google.com/file/d/1RI_lPx-iGfxVi1F3or5nt8zY6uyUlzro/view?usp=sharing" TargetMode="External"/><Relationship Id="rId7073" Type="http://schemas.openxmlformats.org/officeDocument/2006/relationships/hyperlink" Target="https://drive.google.com/drive/folders/1CwHI3lG4k3avhZVD4Iyswyvmb5BT5Fpk?usp=drive_link" TargetMode="External"/><Relationship Id="rId8124" Type="http://schemas.openxmlformats.org/officeDocument/2006/relationships/hyperlink" Target="https://drive.google.com/file/d/1_ErHE5F9upKZ4yEVQTkOrpbTWDAdTe6S/view?usp=sharing" TargetMode="External"/><Relationship Id="rId10054" Type="http://schemas.openxmlformats.org/officeDocument/2006/relationships/hyperlink" Target="https://drive.google.com/drive/folders/1KW8todaFYE6I3ejB8zI1Vje8BHfVvFBo?usp=drive_link" TargetMode="External"/><Relationship Id="rId11105" Type="http://schemas.openxmlformats.org/officeDocument/2006/relationships/hyperlink" Target="https://www.vidio.com/live/17139-spotv?schedule_id=4795164" TargetMode="External"/><Relationship Id="rId3269" Type="http://schemas.openxmlformats.org/officeDocument/2006/relationships/hyperlink" Target="https://thumbor.prod.vidiocdn.com/rWn9RbR67qRUZRMHr2QabKsRo-E=/filters:quality(70)/vidio-media-production/uploads/image/source/53069/76773f.png" TargetMode="External"/><Relationship Id="rId3683" Type="http://schemas.openxmlformats.org/officeDocument/2006/relationships/hyperlink" Target="https://drive.google.com/drive/folders/1xadgbqyv_pt1g1nw9RBbRxvlOeAGX87J" TargetMode="External"/><Relationship Id="rId7140" Type="http://schemas.openxmlformats.org/officeDocument/2006/relationships/hyperlink" Target="https://www.vidio.com/live/19542-pegadaian-championship-2025-26?schedule_id=4640656" TargetMode="External"/><Relationship Id="rId2285" Type="http://schemas.openxmlformats.org/officeDocument/2006/relationships/hyperlink" Target="https://drive.google.com/file/d/14-kCa4Olz0KZ9sv78C40guK-8EboSsVu/view?usp=sharing" TargetMode="External"/><Relationship Id="rId3336" Type="http://schemas.openxmlformats.org/officeDocument/2006/relationships/hyperlink" Target="https://drive.google.com/drive/folders/1F_HwPVgaKrmybnG3fW_K9SePUpHwODVh?usp=drive_link" TargetMode="External"/><Relationship Id="rId4734" Type="http://schemas.openxmlformats.org/officeDocument/2006/relationships/hyperlink" Target="https://www.vidio.com/live/20109-serie-a?schedule_id=4786455" TargetMode="External"/><Relationship Id="rId10121" Type="http://schemas.openxmlformats.org/officeDocument/2006/relationships/hyperlink" Target="https://drive.google.com/file/d/1bGAtWdCSL-v2iZg1GvRoYwXZwXVqVH3x/view" TargetMode="External"/><Relationship Id="rId257" Type="http://schemas.openxmlformats.org/officeDocument/2006/relationships/hyperlink" Target="https://drive.google.com/drive/folders/1X9E8VLHsU7xeaMU596vlfQVDXAa6tTLM?usp=drive_link" TargetMode="External"/><Relationship Id="rId3750" Type="http://schemas.openxmlformats.org/officeDocument/2006/relationships/hyperlink" Target="https://drive.google.com/drive/folders/18OQYmbtjCT399wrsLbySBD__pP026VM1" TargetMode="External"/><Relationship Id="rId4801" Type="http://schemas.openxmlformats.org/officeDocument/2006/relationships/hyperlink" Target="https://drive.google.com/file/d/1j-15y-bZdDUxSZbsKmr4wMeA8UIOkQcO/view?usp=sharing" TargetMode="External"/><Relationship Id="rId7957" Type="http://schemas.openxmlformats.org/officeDocument/2006/relationships/hyperlink" Target="https://www.vidio.com/live/6317-bein-3?schedule_id=4653337" TargetMode="External"/><Relationship Id="rId10938" Type="http://schemas.openxmlformats.org/officeDocument/2006/relationships/hyperlink" Target="https://www.vidio.com/live/18250-hsbc-bwf-world-tour-finals-2025-group-stage-court-2?schedule_id=4783269" TargetMode="External"/><Relationship Id="rId12293" Type="http://schemas.openxmlformats.org/officeDocument/2006/relationships/hyperlink" Target="https://drive.google.com/file/d/17nqJ8YbOWxi4DOQmMA4_VvY1qMuE4tM4/view?usp=drive_link" TargetMode="External"/><Relationship Id="rId671" Type="http://schemas.openxmlformats.org/officeDocument/2006/relationships/hyperlink" Target="https://drive.google.com/file/d/1qCs-nYcPOzPvuVhMBdc_UBcDsKoX3Blw/view?usp=sharing" TargetMode="External"/><Relationship Id="rId2352" Type="http://schemas.openxmlformats.org/officeDocument/2006/relationships/hyperlink" Target="https://drive.google.com/drive/folders/1jTpCxrE8bgpjQYW1oUGksG0BEWGOqt2M?usp=drive_link" TargetMode="External"/><Relationship Id="rId3403" Type="http://schemas.openxmlformats.org/officeDocument/2006/relationships/hyperlink" Target="https://www.vidio.com/live/6685-champions-tv-1?schedule_id=4492758" TargetMode="External"/><Relationship Id="rId6559" Type="http://schemas.openxmlformats.org/officeDocument/2006/relationships/hyperlink" Target="https://drive.google.com/file/d/1Ut7G5QSnZrMWoeH_2M8nrDyFErSnQqE5/view?usp=sharing" TargetMode="External"/><Relationship Id="rId6973" Type="http://schemas.openxmlformats.org/officeDocument/2006/relationships/hyperlink" Target="https://drive.google.com/file/d/1BH2Om50heqzuNuZFK1ugv2mDdFIMlMqI/view?usp=drive_link" TargetMode="External"/><Relationship Id="rId12360" Type="http://schemas.openxmlformats.org/officeDocument/2006/relationships/hyperlink" Target="https://drive.google.com/drive/folders/1b4k6Xd9bYzvR8tmKEmYOqigP2l0r7KIX" TargetMode="External"/><Relationship Id="rId324" Type="http://schemas.openxmlformats.org/officeDocument/2006/relationships/hyperlink" Target="https://drive.google.com/file/d/1R0CDla6BydgOxM1gGCHk7sSpZDRVzwpG/view?usp=drive_link" TargetMode="External"/><Relationship Id="rId2005" Type="http://schemas.openxmlformats.org/officeDocument/2006/relationships/hyperlink" Target="https://drive.google.com/file/d/1xB6ZmqIVYvROrs_wssOkIUT6bF6_sibt/view?usp=sharing" TargetMode="External"/><Relationship Id="rId5575" Type="http://schemas.openxmlformats.org/officeDocument/2006/relationships/hyperlink" Target="https://drive.google.com/file/d/1B65N3urjuhKWqkpfMMIM6OnEv1h4ko0N/view?usp=sharing" TargetMode="External"/><Relationship Id="rId6626" Type="http://schemas.openxmlformats.org/officeDocument/2006/relationships/hyperlink" Target="https://drive.google.com/file/d/1QF8hHJFjqqAWcvJi2ST6T74xKWQxAkH0/view?usp=sharing" TargetMode="External"/><Relationship Id="rId9032" Type="http://schemas.openxmlformats.org/officeDocument/2006/relationships/hyperlink" Target="https://drive.google.com/file/d/1moyjg1JA2SI8TDFOL3h_T0Jzq_rhldzW/view?usp=sharing" TargetMode="External"/><Relationship Id="rId12013" Type="http://schemas.openxmlformats.org/officeDocument/2006/relationships/hyperlink" Target="https://drive.google.com/file/d/1B4cBF3qrh1sMXG2gV5jmUKJx_gapQy02/view?usp=sharing" TargetMode="External"/><Relationship Id="rId1021" Type="http://schemas.openxmlformats.org/officeDocument/2006/relationships/hyperlink" Target="https://drive.google.com/drive/folders/14SdAblwf3EuJ_hmiAmMBjv8FpKg-jGlB?usp=drive_link" TargetMode="External"/><Relationship Id="rId4177" Type="http://schemas.openxmlformats.org/officeDocument/2006/relationships/hyperlink" Target="https://www.vidio.com/live/19404-serie-a?schedule_id=4622520" TargetMode="External"/><Relationship Id="rId4591" Type="http://schemas.openxmlformats.org/officeDocument/2006/relationships/hyperlink" Target="https://drive.google.com/file/d/1Uzg6zetglxy65UVN9MwepvB-WnNRFNIn/view?usp=sharing" TargetMode="External"/><Relationship Id="rId5228" Type="http://schemas.openxmlformats.org/officeDocument/2006/relationships/hyperlink" Target="https://drive.google.com/drive/folders/1pA6Ow-1RKMYmzDDYdqBEb9k--v5U2JMg" TargetMode="External"/><Relationship Id="rId5642" Type="http://schemas.openxmlformats.org/officeDocument/2006/relationships/hyperlink" Target="https://www.vidio.com/live/19602-uefa-europa-league?schedule_id=4614705" TargetMode="External"/><Relationship Id="rId8798" Type="http://schemas.openxmlformats.org/officeDocument/2006/relationships/hyperlink" Target="https://drive.google.com/file/d/1nuU8NFE0mkU2aSmHZAtrX6WYvSYG-2B3/view?usp=sharing" TargetMode="External"/><Relationship Id="rId9849" Type="http://schemas.openxmlformats.org/officeDocument/2006/relationships/hyperlink" Target="https://drive.google.com/file/d/1bGAtWdCSL-v2iZg1GvRoYwXZwXVqVH3x/view" TargetMode="External"/><Relationship Id="rId3193" Type="http://schemas.openxmlformats.org/officeDocument/2006/relationships/hyperlink" Target="https://thumbor.prod.vidiocdn.com/6GBwK9eBVW7XC2FnUgvN9cJxvBg=/filters:quality(70)/vidio-media-production/uploads/image/source/52283/739f23.png" TargetMode="External"/><Relationship Id="rId4244" Type="http://schemas.openxmlformats.org/officeDocument/2006/relationships/hyperlink" Target="https://drive.google.com/drive/folders/1nozGzq6r48sEw9njnE7vdHUzQVf8iuOC?usp=drive_link" TargetMode="External"/><Relationship Id="rId11779" Type="http://schemas.openxmlformats.org/officeDocument/2006/relationships/hyperlink" Target="https://drive.google.com/file/d/1D9IDtKQgwius_ofdKB-0YCqJHxdAk0C5/view?usp=sharing" TargetMode="External"/><Relationship Id="rId1838" Type="http://schemas.openxmlformats.org/officeDocument/2006/relationships/hyperlink" Target="https://www.vidio.com/live/19354-bri-super-league?schedule_id=4651615" TargetMode="External"/><Relationship Id="rId3260" Type="http://schemas.openxmlformats.org/officeDocument/2006/relationships/hyperlink" Target="https://www.vidio.com/live/6299-bein-1?schedule_id=4758878" TargetMode="External"/><Relationship Id="rId4311" Type="http://schemas.openxmlformats.org/officeDocument/2006/relationships/hyperlink" Target="https://drive.google.com/drive/folders/1FbBeN9kM5xqnL1KVvI8LGTN8A8yfRdoH?usp=drive_link" TargetMode="External"/><Relationship Id="rId7467" Type="http://schemas.openxmlformats.org/officeDocument/2006/relationships/hyperlink" Target="https://drive.google.com/file/d/1DNux4glLBnqI-DzUHKvsJVIQIe0fQ_QF/view?usp=sharing" TargetMode="External"/><Relationship Id="rId8865" Type="http://schemas.openxmlformats.org/officeDocument/2006/relationships/hyperlink" Target="https://www.vidio.com/live/17926-easl?schedule_id=4790738" TargetMode="External"/><Relationship Id="rId9916" Type="http://schemas.openxmlformats.org/officeDocument/2006/relationships/hyperlink" Target="https://drive.google.com/file/d/1hIfJ992FoAErwewjCdZNLXVFd3PCDbE-/view?usp=drive_link" TargetMode="External"/><Relationship Id="rId10795" Type="http://schemas.openxmlformats.org/officeDocument/2006/relationships/hyperlink" Target="https://www.vidio.com/live/6686-champions-tv-2?schedule_id=4783287" TargetMode="External"/><Relationship Id="rId11846" Type="http://schemas.openxmlformats.org/officeDocument/2006/relationships/hyperlink" Target="https://www.vidio.com/live/18249-petronas-malaysia-open-2026-round-of-32-court-1?schedule_id=4831555" TargetMode="External"/><Relationship Id="rId181" Type="http://schemas.openxmlformats.org/officeDocument/2006/relationships/hyperlink" Target="https://drive.google.com/file/d/1nIyrHmtxDh4eCDPMfvlTlPNOTvXmQurt/view?usp=sharing" TargetMode="External"/><Relationship Id="rId1905" Type="http://schemas.openxmlformats.org/officeDocument/2006/relationships/hyperlink" Target="https://drive.google.com/file/d/1UfhqT-aFhoqP4fHzgS0ftp_hPun22Ih3/view?usp=drive_link" TargetMode="External"/><Relationship Id="rId6069" Type="http://schemas.openxmlformats.org/officeDocument/2006/relationships/hyperlink" Target="https://www.vidio.com/live/6686-champions-tv-2?schedule_id=4575851" TargetMode="External"/><Relationship Id="rId7881" Type="http://schemas.openxmlformats.org/officeDocument/2006/relationships/hyperlink" Target="https://drive.google.com/file/d/1BzY8bu8wsfEZfhUlLDxkthPMbIacM8Df/view?usp=sharing" TargetMode="External"/><Relationship Id="rId8518" Type="http://schemas.openxmlformats.org/officeDocument/2006/relationships/hyperlink" Target="https://www.vidio.com/live/19773-fa-cup-2025-26?schedule_id=4678560" TargetMode="External"/><Relationship Id="rId8932" Type="http://schemas.openxmlformats.org/officeDocument/2006/relationships/hyperlink" Target="https://drive.google.com/file/d/1wpGOqbQBfQ-GKIVQLWq-Fdyc2SFhhTlx/view?usp=drive_link" TargetMode="External"/><Relationship Id="rId10448" Type="http://schemas.openxmlformats.org/officeDocument/2006/relationships/hyperlink" Target="https://drive.google.com/file/d/1fySy7Ic43gsH7YtWvMNg8xpj9bN-VVud/view?usp=sharing" TargetMode="External"/><Relationship Id="rId10862" Type="http://schemas.openxmlformats.org/officeDocument/2006/relationships/hyperlink" Target="https://www.vidio.com/live/18249-hsbc-bwf-world-tour-finals-2025-group-stage-court-1?schedule_id=4781726" TargetMode="External"/><Relationship Id="rId11913" Type="http://schemas.openxmlformats.org/officeDocument/2006/relationships/hyperlink" Target="https://www.vidio.com/live/18252-petronas-malaysia-open-2026-round-of-32-court-3?schedule_id=4831577" TargetMode="External"/><Relationship Id="rId5085" Type="http://schemas.openxmlformats.org/officeDocument/2006/relationships/hyperlink" Target="https://drive.google.com/drive/folders/1LTdxPm4ZS659Pm5ZE48UZINffJVbEElL" TargetMode="External"/><Relationship Id="rId6483" Type="http://schemas.openxmlformats.org/officeDocument/2006/relationships/hyperlink" Target="https://drive.google.com/file/d/1fZbrSofp0yQhPZNk6LgqB8SU8kq6LKFw/view?usp=sharing" TargetMode="External"/><Relationship Id="rId7534" Type="http://schemas.openxmlformats.org/officeDocument/2006/relationships/hyperlink" Target="https://drive.google.com/file/d/1H0ddcjxgV_2cGuOrGVEOANYDk435LNh8/view?usp=drive_link" TargetMode="External"/><Relationship Id="rId10515" Type="http://schemas.openxmlformats.org/officeDocument/2006/relationships/hyperlink" Target="https://drive.google.com/drive/folders/1PGt41YfA-ZjEG8o9wzQucf9xfQlYC2MZ?usp=drive_link" TargetMode="External"/><Relationship Id="rId998" Type="http://schemas.openxmlformats.org/officeDocument/2006/relationships/hyperlink" Target="https://drive.google.com/file/d/1jQwPI-Xqruw4MGSZfiBru4z9Y_erdaRe/view?usp=drive_link" TargetMode="External"/><Relationship Id="rId2679" Type="http://schemas.openxmlformats.org/officeDocument/2006/relationships/hyperlink" Target="https://drive.google.com/drive/folders/1i3p3erad0owwHmWEPFQQWaBIRvN7TiyO?usp=drive_link" TargetMode="External"/><Relationship Id="rId6136" Type="http://schemas.openxmlformats.org/officeDocument/2006/relationships/hyperlink" Target="https://drive.google.com/drive/folders/1z0QSLmNvSJyyT8FLEYRkw6ibg9dSBAVC" TargetMode="External"/><Relationship Id="rId6550" Type="http://schemas.openxmlformats.org/officeDocument/2006/relationships/hyperlink" Target="https://www.vidio.com/live/19645-uefa-conference-league?schedule_id=4771665" TargetMode="External"/><Relationship Id="rId7601" Type="http://schemas.openxmlformats.org/officeDocument/2006/relationships/hyperlink" Target="https://drive.google.com/file/d/1v1bkRyBDUOZs5DzNNxQ3ymctwiCBEiHd/view?usp=drive_link" TargetMode="External"/><Relationship Id="rId1695" Type="http://schemas.openxmlformats.org/officeDocument/2006/relationships/hyperlink" Target="https://drive.google.com/drive/folders/1cdjk2fntTBYs6NMfk0oly2L8WBSVKJAe" TargetMode="External"/><Relationship Id="rId2746" Type="http://schemas.openxmlformats.org/officeDocument/2006/relationships/hyperlink" Target="https://drive.google.com/file/d/1FZDe-J1bY7IWOg2gTUH0QiS5FFGmSgLh/view?usp=sharing" TargetMode="External"/><Relationship Id="rId5152" Type="http://schemas.openxmlformats.org/officeDocument/2006/relationships/hyperlink" Target="https://drive.google.com/file/d/1nHlGbx1vorg17eCM11IEoBXcTuhptcHH/view?usp=sharing" TargetMode="External"/><Relationship Id="rId6203" Type="http://schemas.openxmlformats.org/officeDocument/2006/relationships/hyperlink" Target="https://drive.google.com/drive/folders/1E6T1j4uLOd3XpoV0F5aQBVo9PrP7ESmq" TargetMode="External"/><Relationship Id="rId9359" Type="http://schemas.openxmlformats.org/officeDocument/2006/relationships/hyperlink" Target="https://www.vidio.com/live/19773-fa-cup-2025-26?schedule_id=4768731" TargetMode="External"/><Relationship Id="rId9773" Type="http://schemas.openxmlformats.org/officeDocument/2006/relationships/hyperlink" Target="https://drive.google.com/file/d/1GOdcok987QIjFchWIEuR12Ignp-slSmT/view?usp=sharing" TargetMode="External"/><Relationship Id="rId11289" Type="http://schemas.openxmlformats.org/officeDocument/2006/relationships/hyperlink" Target="https://thumbor.prod.vidiocdn.com/tRve0Mie_RmOf8WKDTPgO-rQmwU=/filters:quality(70)/vidio-media-production/uploads/image/source/52371/081a72.png" TargetMode="External"/><Relationship Id="rId718" Type="http://schemas.openxmlformats.org/officeDocument/2006/relationships/hyperlink" Target="https://drive.google.com/file/d/1YDfL_UHFG8787h1Zp_hm-rlBiUjP9ZDt/view?usp=sharing" TargetMode="External"/><Relationship Id="rId1348" Type="http://schemas.openxmlformats.org/officeDocument/2006/relationships/hyperlink" Target="https://drive.google.com/drive/folders/1pwa2MvSN7UlrmLIATbJRHmlsNnBtZw3U?usp=drive_link" TargetMode="External"/><Relationship Id="rId1762" Type="http://schemas.openxmlformats.org/officeDocument/2006/relationships/hyperlink" Target="https://drive.google.com/drive/folders/1vITpYa6owELhcaMUXLReRZ0syKZF3i6S" TargetMode="External"/><Relationship Id="rId8375" Type="http://schemas.openxmlformats.org/officeDocument/2006/relationships/hyperlink" Target="https://drive.google.com/file/d/1d0b-ns7q_G-GhARNk8dc0BKhVSl55JIa/view?usp=drive_link" TargetMode="External"/><Relationship Id="rId9426" Type="http://schemas.openxmlformats.org/officeDocument/2006/relationships/hyperlink" Target="https://drive.google.com/drive/folders/1ok4Xqp2M8svKvDNeMNrIfn31oCKSaj_h?usp=drive_link" TargetMode="External"/><Relationship Id="rId1415" Type="http://schemas.openxmlformats.org/officeDocument/2006/relationships/hyperlink" Target="https://drive.google.com/drive/folders/13g-2xNYJ52g3CsquyDv4V9uUMoDq__RD?usp=drive_link" TargetMode="External"/><Relationship Id="rId2813" Type="http://schemas.openxmlformats.org/officeDocument/2006/relationships/hyperlink" Target="https://drive.google.com/file/d/1ah06hmJvULpyvW6MpapzVLbPQ6GsCYJX/view?usp=drive_link" TargetMode="External"/><Relationship Id="rId5969" Type="http://schemas.openxmlformats.org/officeDocument/2006/relationships/hyperlink" Target="https://drive.google.com/file/d/160_0EBz9Xy8MSbPocGyq7YLq_OgKvQok/view?usp=sharing" TargetMode="External"/><Relationship Id="rId7391" Type="http://schemas.openxmlformats.org/officeDocument/2006/relationships/hyperlink" Target="https://drive.google.com/file/d/1aJaKNogsH8t9F0Gf0eUzAyf2_1BQNdx7/view?usp=sharing" TargetMode="External"/><Relationship Id="rId8028" Type="http://schemas.openxmlformats.org/officeDocument/2006/relationships/hyperlink" Target="https://drive.google.com/file/d/1YB6SHSQxeGWC6mjmrH9HRx_853yYuhqA/view?usp=drive_link" TargetMode="External"/><Relationship Id="rId8442" Type="http://schemas.openxmlformats.org/officeDocument/2006/relationships/hyperlink" Target="https://drive.google.com/drive/folders/1HuS0dX4J7mrqKFjm1jkCaWFI-85S0sf4" TargetMode="External"/><Relationship Id="rId9840" Type="http://schemas.openxmlformats.org/officeDocument/2006/relationships/hyperlink" Target="https://drive.google.com/file/d/1bGAtWdCSL-v2iZg1GvRoYwXZwXVqVH3x/view" TargetMode="External"/><Relationship Id="rId11009" Type="http://schemas.openxmlformats.org/officeDocument/2006/relationships/hyperlink" Target="https://thumbor.prod.vidiocdn.com/SD19h9HZZbgfEnhtsnI3LdJ2daU=/filters:quality(70)/vidio-media-production/uploads/image/source/53153/8a22b6.png" TargetMode="External"/><Relationship Id="rId11356" Type="http://schemas.openxmlformats.org/officeDocument/2006/relationships/hyperlink" Target="https://www.vidio.com/live/20106-top-youth-premier-league-perempat-final-dan-semifinal?schedule_id=4786444" TargetMode="External"/><Relationship Id="rId11770" Type="http://schemas.openxmlformats.org/officeDocument/2006/relationships/hyperlink" Target="https://www.vidio.com/live/19548-national-football-league-2025-26?schedule_id=4834226" TargetMode="External"/><Relationship Id="rId12407" Type="http://schemas.openxmlformats.org/officeDocument/2006/relationships/hyperlink" Target="https://www.vidio.com/live/18249-petronas-malaysia-open-2026-round-of-16-court-1?schedule_id=4833797" TargetMode="External"/><Relationship Id="rId54" Type="http://schemas.openxmlformats.org/officeDocument/2006/relationships/hyperlink" Target="https://www.vidio.com/live/18388-fifa-women-s-matchday?schedule_id=4317069" TargetMode="External"/><Relationship Id="rId4985" Type="http://schemas.openxmlformats.org/officeDocument/2006/relationships/hyperlink" Target="https://www.vidio.com/live/18303-uefa-champions-league?schedule_id=4570946" TargetMode="External"/><Relationship Id="rId7044" Type="http://schemas.openxmlformats.org/officeDocument/2006/relationships/hyperlink" Target="https://www.vidio.com/live/19662-pegadaian-championship-2025-26?schedule_id=4628811" TargetMode="External"/><Relationship Id="rId10372" Type="http://schemas.openxmlformats.org/officeDocument/2006/relationships/hyperlink" Target="https://drive.google.com/file/d/1_HFq8MOoppJCzo4J5dpuUDP_ZQCy_AEp/view?usp=sharing" TargetMode="External"/><Relationship Id="rId11423" Type="http://schemas.openxmlformats.org/officeDocument/2006/relationships/hyperlink" Target="https://drive.google.com/file/d/1EqAGqndjsd7teOWXMTWpvVaNXNUriGIf/view?usp=sharing" TargetMode="External"/><Relationship Id="rId2189" Type="http://schemas.openxmlformats.org/officeDocument/2006/relationships/hyperlink" Target="https://drive.google.com/drive/folders/18CfN0saHDU8vx1AQIy4jEAMTUnvhSUDL" TargetMode="External"/><Relationship Id="rId3587" Type="http://schemas.openxmlformats.org/officeDocument/2006/relationships/hyperlink" Target="https://drive.google.com/file/d/15hahqtqIXcZV3W6JTh0qkN8k8iuSvtOI/view?usp=share_link" TargetMode="External"/><Relationship Id="rId4638" Type="http://schemas.openxmlformats.org/officeDocument/2006/relationships/hyperlink" Target="https://drive.google.com/file/d/1TM3f3ZXiOlgk-bSBTI_RZmw-QRKJiV_V/view?usp=sharing" TargetMode="External"/><Relationship Id="rId6060" Type="http://schemas.openxmlformats.org/officeDocument/2006/relationships/hyperlink" Target="https://drive.google.com/drive/folders/1f-KRTUM84_GY-U_SCKG0cpB9r7yqkRp5?usp=drive_link" TargetMode="External"/><Relationship Id="rId10025" Type="http://schemas.openxmlformats.org/officeDocument/2006/relationships/hyperlink" Target="https://thumbor.prod.vidiocdn.com/G4u_GiI9Zp-3T05Y7q2r4kcLozQ=/filters:quality(70)/vidio-media-production/uploads/image/source/52656/4524fa.png" TargetMode="External"/><Relationship Id="rId3654" Type="http://schemas.openxmlformats.org/officeDocument/2006/relationships/hyperlink" Target="https://drive.google.com/drive/folders/1avxBDHOSpSGP6mC0dyYR2HlimraYRR3w" TargetMode="External"/><Relationship Id="rId4705" Type="http://schemas.openxmlformats.org/officeDocument/2006/relationships/hyperlink" Target="https://drive.google.com/file/d/1lGOZxcY80T9N_otoatSGRtKna29xRd7x/view?usp=sharing" TargetMode="External"/><Relationship Id="rId7111" Type="http://schemas.openxmlformats.org/officeDocument/2006/relationships/hyperlink" Target="https://drive.google.com/drive/folders/1nkPmFdIBA49tzkO-RzMN_o_sUmRU-P6B?usp=drive_link" TargetMode="External"/><Relationship Id="rId12197" Type="http://schemas.openxmlformats.org/officeDocument/2006/relationships/hyperlink" Target="https://www.vidio.com/live/20267-liga-topskor-greater-jakarta-pekan-pertama-u-13-lapangan-koci-depok?schedule_id=4833829" TargetMode="External"/><Relationship Id="rId575" Type="http://schemas.openxmlformats.org/officeDocument/2006/relationships/hyperlink" Target="https://drive.google.com/file/d/1R0d8n5VEHVxsDENKFrojwigztPeYUm9P/view?usp=sharing" TargetMode="External"/><Relationship Id="rId2256" Type="http://schemas.openxmlformats.org/officeDocument/2006/relationships/hyperlink" Target="https://drive.google.com/file/d/1jmuX0sVEWRojPU-387xcLbNaALO9e94i/view?usp=sharing" TargetMode="External"/><Relationship Id="rId2670" Type="http://schemas.openxmlformats.org/officeDocument/2006/relationships/hyperlink" Target="https://drive.google.com/drive/folders/1YD9WuJVeK114lO9UuRHuqQtnmc99ULu2?usp=drive_link" TargetMode="External"/><Relationship Id="rId3307" Type="http://schemas.openxmlformats.org/officeDocument/2006/relationships/hyperlink" Target="https://drive.google.com/drive/folders/1XryPf_UfcJpvXtyfO0yI9lgSbI8qqKQH" TargetMode="External"/><Relationship Id="rId3721" Type="http://schemas.openxmlformats.org/officeDocument/2006/relationships/hyperlink" Target="https://drive.google.com/drive/folders/1ZD7UjxXK35RB2sCV05rLRT2a5OiVohuJ?usp=drive_link" TargetMode="External"/><Relationship Id="rId6877" Type="http://schemas.openxmlformats.org/officeDocument/2006/relationships/hyperlink" Target="https://drive.google.com/drive/folders/1f4WW350MaUwvVlRtrdT6xRbXYRo4QLpj" TargetMode="External"/><Relationship Id="rId7928" Type="http://schemas.openxmlformats.org/officeDocument/2006/relationships/hyperlink" Target="https://drive.google.com/drive/folders/1Y36srAjgTLy7JXr9CHTc6rs4jRNPobF9" TargetMode="External"/><Relationship Id="rId9283" Type="http://schemas.openxmlformats.org/officeDocument/2006/relationships/hyperlink" Target="https://drive.google.com/file/d/1bGAtWdCSL-v2iZg1GvRoYwXZwXVqVH3x/view?usp=drive_link" TargetMode="External"/><Relationship Id="rId12264" Type="http://schemas.openxmlformats.org/officeDocument/2006/relationships/hyperlink" Target="https://drive.google.com/file/d/17nqJ8YbOWxi4DOQmMA4_VvY1qMuE4tM4/view?usp=sharing" TargetMode="External"/><Relationship Id="rId228" Type="http://schemas.openxmlformats.org/officeDocument/2006/relationships/hyperlink" Target="https://drive.google.com/drive/folders/1ZnBlExIc16jpQRJ5yiF_rjC2Vw5bQFo5?usp=drive_link" TargetMode="External"/><Relationship Id="rId642" Type="http://schemas.openxmlformats.org/officeDocument/2006/relationships/hyperlink" Target="https://www.vidio.com/live/9182-champions-tv-5?schedule_id=4678875" TargetMode="External"/><Relationship Id="rId1272" Type="http://schemas.openxmlformats.org/officeDocument/2006/relationships/hyperlink" Target="https://thumbor.prod.vidiocdn.com/8zcLlS1goAAKXSqojFeCbQdOEms=/filters:quality(70)/vidio-media-production/uploads/image/source/53133/4b18f1.png" TargetMode="External"/><Relationship Id="rId2323" Type="http://schemas.openxmlformats.org/officeDocument/2006/relationships/hyperlink" Target="https://drive.google.com/drive/folders/1Pm5Jgmxh-aKl9hR8HYKc-wSUtGQ6816G?usp=drive_link" TargetMode="External"/><Relationship Id="rId5479" Type="http://schemas.openxmlformats.org/officeDocument/2006/relationships/hyperlink" Target="https://drive.google.com/file/d/1MG9pelY7r2MPc9ALI0P-onbCUkElDLh8/view?usp=share_link" TargetMode="External"/><Relationship Id="rId5893" Type="http://schemas.openxmlformats.org/officeDocument/2006/relationships/hyperlink" Target="https://www.vidio.com/live/6317-bein-3?schedule_id=4733518" TargetMode="External"/><Relationship Id="rId9350" Type="http://schemas.openxmlformats.org/officeDocument/2006/relationships/hyperlink" Target="https://www.vidio.com/live/19774-fa-cup-2025-26?schedule_id=4759886" TargetMode="External"/><Relationship Id="rId10909" Type="http://schemas.openxmlformats.org/officeDocument/2006/relationships/hyperlink" Target="https://drive.google.com/file/d/18BM1JvTZRD1UTIKaCt-jBUE-qYani_i8/view?usp=sharing" TargetMode="External"/><Relationship Id="rId11280" Type="http://schemas.openxmlformats.org/officeDocument/2006/relationships/hyperlink" Target="https://drive.google.com/file/d/1UIjPL4Jn1Wwg6OBB59r9lfrcnlAmQnh6/view?usp=sharing" TargetMode="External"/><Relationship Id="rId4495" Type="http://schemas.openxmlformats.org/officeDocument/2006/relationships/hyperlink" Target="https://drive.google.com/file/d/12MaC08Ow0uWjVegE2af2gafmkA5CsA2Q/view?usp=sharing" TargetMode="External"/><Relationship Id="rId5546" Type="http://schemas.openxmlformats.org/officeDocument/2006/relationships/hyperlink" Target="https://drive.google.com/file/d/1BaRQ1WnpJAiYWWi2kn2lF7rbWLLgUTNv/view?usp=drive_link" TargetMode="External"/><Relationship Id="rId6944" Type="http://schemas.openxmlformats.org/officeDocument/2006/relationships/hyperlink" Target="https://drive.google.com/file/d/11Nh4GM9Af0dGNUs4_EvNHchMpzVVaJ1X/view?usp=sharing" TargetMode="External"/><Relationship Id="rId9003" Type="http://schemas.openxmlformats.org/officeDocument/2006/relationships/hyperlink" Target="https://drive.google.com/drive/folders/1Rmv4EiPSgOYRhm1_BeN2NvWweywvsG4y?usp=drive_link" TargetMode="External"/><Relationship Id="rId12331" Type="http://schemas.openxmlformats.org/officeDocument/2006/relationships/hyperlink" Target="https://www.vidio.com/live/20266?schedule_id=4833886" TargetMode="External"/><Relationship Id="rId3097" Type="http://schemas.openxmlformats.org/officeDocument/2006/relationships/hyperlink" Target="https://thumbor.prod.vidiocdn.com/KX8vr1-wtBMu7V4pNKbHIgiouXU=/filters:quality(70)/vidio-media-production/uploads/image/source/51869/fc01e8.png" TargetMode="External"/><Relationship Id="rId4148" Type="http://schemas.openxmlformats.org/officeDocument/2006/relationships/hyperlink" Target="https://drive.google.com/file/d/1VYeY2WW1hEohjDxNm5JHt7ng3BezYSxX/view?usp=drive_link" TargetMode="External"/><Relationship Id="rId5960" Type="http://schemas.openxmlformats.org/officeDocument/2006/relationships/hyperlink" Target="https://drive.google.com/drive/folders/1ZjtomY5dw9dAFtO93bKaKqXzIADu6ouT?usp=drive_link" TargetMode="External"/><Relationship Id="rId3164" Type="http://schemas.openxmlformats.org/officeDocument/2006/relationships/hyperlink" Target="https://drive.google.com/drive/folders/1l7MD2lnIfkpkjjBybg501blTO-4ph86-?usp=drive_link" TargetMode="External"/><Relationship Id="rId4562" Type="http://schemas.openxmlformats.org/officeDocument/2006/relationships/hyperlink" Target="https://drive.google.com/drive/folders/145IhwfqlcpfOLrMqkCkNQ3_RVW4boDzF?usp=drive_link" TargetMode="External"/><Relationship Id="rId5613" Type="http://schemas.openxmlformats.org/officeDocument/2006/relationships/hyperlink" Target="https://www.vidio.com/live/19631-uefa-europa-league?schedule_id=4610736" TargetMode="External"/><Relationship Id="rId8769" Type="http://schemas.openxmlformats.org/officeDocument/2006/relationships/hyperlink" Target="https://www.vidio.com/live/17926-easl?schedule_id=4677639" TargetMode="External"/><Relationship Id="rId10699" Type="http://schemas.openxmlformats.org/officeDocument/2006/relationships/hyperlink" Target="https://drive.google.com/drive/folders/1P9aFZrpRXX8A_1UKyI54QxJAd6wEmHgp" TargetMode="External"/><Relationship Id="rId11000" Type="http://schemas.openxmlformats.org/officeDocument/2006/relationships/hyperlink" Target="https://drive.google.com/file/d/1Kd0yjktGJi95NeCGdICQD4UpWTLX3xr7/view?usp=sharing" TargetMode="External"/><Relationship Id="rId1809" Type="http://schemas.openxmlformats.org/officeDocument/2006/relationships/hyperlink" Target="https://drive.google.com/drive/folders/1yaCK0tnQ5d7Ymg-sZLzU-gx2M-hwNH4H" TargetMode="External"/><Relationship Id="rId4215" Type="http://schemas.openxmlformats.org/officeDocument/2006/relationships/hyperlink" Target="https://3.basecamp.com/4902751/buckets/36763424/card_tables/cards/9129123799" TargetMode="External"/><Relationship Id="rId7785" Type="http://schemas.openxmlformats.org/officeDocument/2006/relationships/hyperlink" Target="https://drive.google.com/file/d/1avatHjNIOzm3t6VYpORoRuFPVrFZut5S/view?usp=sharing" TargetMode="External"/><Relationship Id="rId8836" Type="http://schemas.openxmlformats.org/officeDocument/2006/relationships/hyperlink" Target="https://drive.google.com/file/d/1Qil8PuK_SzKLHKKpAN84Q8HQwTyDWzFB/view?usp=sharing" TargetMode="External"/><Relationship Id="rId10766" Type="http://schemas.openxmlformats.org/officeDocument/2006/relationships/hyperlink" Target="https://drive.google.com/file/d/1b-rVt-Us2kBUigOC-tfalfRxxxcAfC39/view?usp=sharing" TargetMode="External"/><Relationship Id="rId11817" Type="http://schemas.openxmlformats.org/officeDocument/2006/relationships/hyperlink" Target="https://drive.google.com/file/d/1eJVJpUKAFNWxLxYTbZoZRYrCww0XILnT/view?usp=sharing" TargetMode="External"/><Relationship Id="rId2180" Type="http://schemas.openxmlformats.org/officeDocument/2006/relationships/hyperlink" Target="https://drive.google.com/file/d/1-CGWjtJ2XDNwjyhuFaMDMPNnMxByAU0w/view?usp=sharing" TargetMode="External"/><Relationship Id="rId3231" Type="http://schemas.openxmlformats.org/officeDocument/2006/relationships/hyperlink" Target="https://www.vidio.com/live/6299-bein-1?schedule_id=4832531" TargetMode="External"/><Relationship Id="rId6387" Type="http://schemas.openxmlformats.org/officeDocument/2006/relationships/hyperlink" Target="https://drive.google.com/drive/folders/1M0kNQiFZuuLpLC-KfRhm83U5CSXQdjME" TargetMode="External"/><Relationship Id="rId7438" Type="http://schemas.openxmlformats.org/officeDocument/2006/relationships/hyperlink" Target="https://drive.google.com/file/d/14gWrkt_Kx14C0zf0AFUoRuXQiYT25aGl/view?usp=sharing" TargetMode="External"/><Relationship Id="rId7852" Type="http://schemas.openxmlformats.org/officeDocument/2006/relationships/hyperlink" Target="https://drive.google.com/file/d/1aB_D7R5UfUfeXVyCbQsRO86xGGbkeKcj/view?usp=drive_link" TargetMode="External"/><Relationship Id="rId8903" Type="http://schemas.openxmlformats.org/officeDocument/2006/relationships/hyperlink" Target="https://thumbor.prod.vidiocdn.com/Rr47MSUbsnpFGwa6lBPI8E4YGx0=/filters:quality(70)/vidio-media-production/uploads/image/source/52638/7ec35b.png" TargetMode="External"/><Relationship Id="rId10419" Type="http://schemas.openxmlformats.org/officeDocument/2006/relationships/hyperlink" Target="https://drive.google.com/file/d/1VzJBJbKHSWcb7XBdyS-l3XF_OUjdIWMo/view?usp=sharing" TargetMode="External"/><Relationship Id="rId152" Type="http://schemas.openxmlformats.org/officeDocument/2006/relationships/hyperlink" Target="https://drive.google.com/file/d/1zv-EaqyldCc1KC1jH1YTltY4hC6IIbOR/view?usp=drive_link" TargetMode="External"/><Relationship Id="rId2997" Type="http://schemas.openxmlformats.org/officeDocument/2006/relationships/hyperlink" Target="https://drive.google.com/file/d/1CwrVzx8e1pcNdUNxO3YOJyx-2SlRj5MU/view?usp=sharing" TargetMode="External"/><Relationship Id="rId6454" Type="http://schemas.openxmlformats.org/officeDocument/2006/relationships/hyperlink" Target="https://drive.google.com/drive/folders/1peI2Y5AyshZPRIwp8MViKBJOzifiZYSh" TargetMode="External"/><Relationship Id="rId7505" Type="http://schemas.openxmlformats.org/officeDocument/2006/relationships/hyperlink" Target="https://drive.google.com/file/d/1Q8k4iNgYVINV6AAg-9X87BwaEWRWUw8n/view?usp=sharing" TargetMode="External"/><Relationship Id="rId10833" Type="http://schemas.openxmlformats.org/officeDocument/2006/relationships/hyperlink" Target="https://drive.google.com/file/d/1pAo0QhcvNgMx24DDFRlD4hLKz5KAp759/view?usp=sharing" TargetMode="External"/><Relationship Id="rId969" Type="http://schemas.openxmlformats.org/officeDocument/2006/relationships/hyperlink" Target="https://drive.google.com/file/d/1cEf6_Sc86qgKbOS8FNM9WNf_hddVnB8e/view?usp=sharing" TargetMode="External"/><Relationship Id="rId1599" Type="http://schemas.openxmlformats.org/officeDocument/2006/relationships/hyperlink" Target="https://drive.google.com/drive/folders/1e5dmoZsYGg2MA8rqilJ7t7UQqfpd88Hq" TargetMode="External"/><Relationship Id="rId5056" Type="http://schemas.openxmlformats.org/officeDocument/2006/relationships/hyperlink" Target="https://drive.google.com/drive/folders/1iXXXI8AUN2qzP-l9i7Vb4Z_ch9sn0od-" TargetMode="External"/><Relationship Id="rId5470" Type="http://schemas.openxmlformats.org/officeDocument/2006/relationships/hyperlink" Target="https://drive.google.com/file/d/1gHsSstSjBoifsnfIao-QVJU5AIkTUA5I/view?usp=sharing" TargetMode="External"/><Relationship Id="rId6107" Type="http://schemas.openxmlformats.org/officeDocument/2006/relationships/hyperlink" Target="https://drive.google.com/file/d/1ByGNUI7uOn_eGT_1YlMX3xtnJeKawk0r/view?usp=drive_link" TargetMode="External"/><Relationship Id="rId6521" Type="http://schemas.openxmlformats.org/officeDocument/2006/relationships/hyperlink" Target="https://drive.google.com/drive/folders/12d2gTKeX3YX8yivvtPbNsliuKVjQ2NYm?usp=drive_link" TargetMode="External"/><Relationship Id="rId9677" Type="http://schemas.openxmlformats.org/officeDocument/2006/relationships/hyperlink" Target="https://drive.google.com/file/d/1Gsgel88OXQArjcinGPw-DKJ7Pxq9Xmf7/view?usp=sharing" TargetMode="External"/><Relationship Id="rId10900" Type="http://schemas.openxmlformats.org/officeDocument/2006/relationships/hyperlink" Target="https://drive.google.com/file/d/1-R1GXwqAiJezdAi5KNKX4MkT2UUxUbzn/view?usp=sharing" TargetMode="External"/><Relationship Id="rId4072" Type="http://schemas.openxmlformats.org/officeDocument/2006/relationships/hyperlink" Target="https://drive.google.com/file/d/1-D7MnhdOKsQe2YtbrXxwOvPjZcPmoDV2/view?usp=sharing" TargetMode="External"/><Relationship Id="rId5123" Type="http://schemas.openxmlformats.org/officeDocument/2006/relationships/hyperlink" Target="https://drive.google.com/drive/u/0/folders/1ILNilNp3tOb7SdRSPfvq7_F1KH79NUEb" TargetMode="External"/><Relationship Id="rId8279" Type="http://schemas.openxmlformats.org/officeDocument/2006/relationships/hyperlink" Target="https://drive.google.com/file/d/1DNux4glLBnqI-DzUHKvsJVIQIe0fQ_QF/view?usp=sharing" TargetMode="External"/><Relationship Id="rId1666" Type="http://schemas.openxmlformats.org/officeDocument/2006/relationships/hyperlink" Target="https://drive.google.com/drive/folders/1MfSnQIhd9gXMICmCBRJSXYqjO1xvfX2J" TargetMode="External"/><Relationship Id="rId2717" Type="http://schemas.openxmlformats.org/officeDocument/2006/relationships/hyperlink" Target="https://www.vidio.com/live/6317-bein-3?schedule_id=4655972" TargetMode="External"/><Relationship Id="rId7295" Type="http://schemas.openxmlformats.org/officeDocument/2006/relationships/hyperlink" Target="https://drive.google.com/file/d/1bZ8TTfQGCXDM8fPyIie9jvi7sS5elnAN/view?usp=sharing" TargetMode="External"/><Relationship Id="rId8693" Type="http://schemas.openxmlformats.org/officeDocument/2006/relationships/hyperlink" Target="https://drive.google.com/file/d/1970ulQncEY5M93iYXi0RDdzHP5-6Go-C/view?usp=sharing" TargetMode="External"/><Relationship Id="rId9744" Type="http://schemas.openxmlformats.org/officeDocument/2006/relationships/hyperlink" Target="https://drive.google.com/file/d/1Uc9il0aDA7w_6m9AY605_kN260qHFh05/view?usp=sharing" TargetMode="External"/><Relationship Id="rId11674" Type="http://schemas.openxmlformats.org/officeDocument/2006/relationships/hyperlink" Target="https://thumbor.prod.vidiocdn.com/_Hvw8nTGKDBXEdeDC5sr-6Bbl8o=/filters:quality(70)/vidio-media-production/uploads/image/source/52877/c89a3e.png" TargetMode="External"/><Relationship Id="rId1319" Type="http://schemas.openxmlformats.org/officeDocument/2006/relationships/hyperlink" Target="https://drive.google.com/drive/folders/1LuxZ_sFvW4OpHLHwr_N1EPpdItPfXoCI?usp=drive_link" TargetMode="External"/><Relationship Id="rId1733" Type="http://schemas.openxmlformats.org/officeDocument/2006/relationships/hyperlink" Target="https://drive.google.com/file/d/1lWTxj7nRgfAvwIwcgJO2kwG7RYmGIcA6/view?usp=sharing" TargetMode="External"/><Relationship Id="rId4889" Type="http://schemas.openxmlformats.org/officeDocument/2006/relationships/hyperlink" Target="https://www.vidio.com/live/19404-serie-a?schedule_id=4832297" TargetMode="External"/><Relationship Id="rId8346" Type="http://schemas.openxmlformats.org/officeDocument/2006/relationships/hyperlink" Target="https://www.vidio.com/live/19673-turkish-women-s-volleyball-cup?schedule_id=4655728" TargetMode="External"/><Relationship Id="rId8760" Type="http://schemas.openxmlformats.org/officeDocument/2006/relationships/hyperlink" Target="https://drive.google.com/file/d/1H-LUH1R0J3x3SQ3rCslFXWS-vj0TO2e-/view?usp=sharing" TargetMode="External"/><Relationship Id="rId9811" Type="http://schemas.openxmlformats.org/officeDocument/2006/relationships/hyperlink" Target="https://drive.google.com/file/d/1bGAtWdCSL-v2iZg1GvRoYwXZwXVqVH3x/view?usp=sharing" TargetMode="External"/><Relationship Id="rId10276" Type="http://schemas.openxmlformats.org/officeDocument/2006/relationships/hyperlink" Target="https://www.vidio.com/live/20027" TargetMode="External"/><Relationship Id="rId10690" Type="http://schemas.openxmlformats.org/officeDocument/2006/relationships/hyperlink" Target="https://drive.google.com/file/d/1r_MRax4FB43Ko2r_jpEDG4C1UVXjg5t_/view?usp=sharing" TargetMode="External"/><Relationship Id="rId11327" Type="http://schemas.openxmlformats.org/officeDocument/2006/relationships/hyperlink" Target="https://drive.google.com/file/d/1hnjcbjgeyv_v2Ke_It_u9qJALt4bOxdW/view?usp=sharing" TargetMode="External"/><Relationship Id="rId11741" Type="http://schemas.openxmlformats.org/officeDocument/2006/relationships/hyperlink" Target="https://drive.google.com/file/d/1I2QL-h1CAeZERs7B5O4XbiSnpFeGO68R/view?usp=sharing" TargetMode="External"/><Relationship Id="rId25" Type="http://schemas.openxmlformats.org/officeDocument/2006/relationships/hyperlink" Target="https://drive.google.com/drive/u/0/folders/1vzleFiqa5MrI7uKkL9wQIO_0JKV9nLxH" TargetMode="External"/><Relationship Id="rId1800" Type="http://schemas.openxmlformats.org/officeDocument/2006/relationships/hyperlink" Target="https://drive.google.com/file/d/1IrN33cFJBmF0rGe5NV5orrDLAH5VZ-Io/view?usp=drive_link" TargetMode="External"/><Relationship Id="rId4956" Type="http://schemas.openxmlformats.org/officeDocument/2006/relationships/hyperlink" Target="https://drive.google.com/drive/folders/1cHaTd-Ug1gK6F9zwItvbTyu0oUAzPuXP" TargetMode="External"/><Relationship Id="rId7362" Type="http://schemas.openxmlformats.org/officeDocument/2006/relationships/hyperlink" Target="https://drive.google.com/file/d/16oUao4Ac7G9GtIqghE0ZsTGmCWGPd-mj/view?usp=sharing" TargetMode="External"/><Relationship Id="rId8413" Type="http://schemas.openxmlformats.org/officeDocument/2006/relationships/hyperlink" Target="https://www.vidio.com/live/6685-champions-tv-1?schedule_id=4783765" TargetMode="External"/><Relationship Id="rId10343" Type="http://schemas.openxmlformats.org/officeDocument/2006/relationships/hyperlink" Target="https://drive.google.com/file/d/1yff9OvDcVdP9hqaNzTWmkcckxp4OqCvY/view?usp=sharing" TargetMode="External"/><Relationship Id="rId3558" Type="http://schemas.openxmlformats.org/officeDocument/2006/relationships/hyperlink" Target="https://thumbor.prod.vidiocdn.com/AYY50D3VrfMK1RSJFsT1VyEzlys=/filters:quality(70)/vidio-media-production/uploads/image/source/52032/91e9a7.png" TargetMode="External"/><Relationship Id="rId3972" Type="http://schemas.openxmlformats.org/officeDocument/2006/relationships/hyperlink" Target="https://drive.google.com/drive/folders/1NepG6XT-FSa8Cs07sX3tPfQWLNpJfAxp" TargetMode="External"/><Relationship Id="rId4609" Type="http://schemas.openxmlformats.org/officeDocument/2006/relationships/hyperlink" Target="https://drive.google.com/file/d/1EtOt9uDugAH4Fd_US2AyipqHqKYYiptM/view?usp=sharing" TargetMode="External"/><Relationship Id="rId7015" Type="http://schemas.openxmlformats.org/officeDocument/2006/relationships/hyperlink" Target="https://drive.google.com/drive/folders/1PWFYQppk3SUyyMNY8FoldMUY9fN4uKH-?usp=drive_link" TargetMode="External"/><Relationship Id="rId479" Type="http://schemas.openxmlformats.org/officeDocument/2006/relationships/hyperlink" Target="https://drive.google.com/file/d/1_Ko-0_D6bYgzrb7oUEdewzRsRBlHKKEF/view?usp=sharing" TargetMode="External"/><Relationship Id="rId893" Type="http://schemas.openxmlformats.org/officeDocument/2006/relationships/hyperlink" Target="https://drive.google.com/file/d/1yNIWPTyKyHLd4MHe8vm-gzTfmwP4wGjX/view?usp=sharing" TargetMode="External"/><Relationship Id="rId2574" Type="http://schemas.openxmlformats.org/officeDocument/2006/relationships/hyperlink" Target="https://drive.google.com/drive/folders/1FRJ5EYNCKwo6K7TXyFQSRPaFlFgBJi2B?usp=drive_link" TargetMode="External"/><Relationship Id="rId3625" Type="http://schemas.openxmlformats.org/officeDocument/2006/relationships/hyperlink" Target="https://drive.google.com/drive/u/0/folders/1isGclDDrXT2h3mL_mcdS8e53BiuMmrdB" TargetMode="External"/><Relationship Id="rId6031" Type="http://schemas.openxmlformats.org/officeDocument/2006/relationships/hyperlink" Target="https://www.vidio.com/live/19603-uefa-europa-league?schedule_id=4773546" TargetMode="External"/><Relationship Id="rId9187" Type="http://schemas.openxmlformats.org/officeDocument/2006/relationships/hyperlink" Target="https://drive.google.com/drive/folders/1NepG6XT-FSa8Cs07sX3tPfQWLNpJfAxp" TargetMode="External"/><Relationship Id="rId10410" Type="http://schemas.openxmlformats.org/officeDocument/2006/relationships/hyperlink" Target="https://drive.google.com/drive/folders/1al1QVa9MbWPdvlNAwyu5gLNKYT6OgQZG?usp=sharing" TargetMode="External"/><Relationship Id="rId12168" Type="http://schemas.openxmlformats.org/officeDocument/2006/relationships/hyperlink" Target="https://drive.google.com/file/d/17nqJ8YbOWxi4DOQmMA4_VvY1qMuE4tM4/view?usp=sharing" TargetMode="External"/><Relationship Id="rId546" Type="http://schemas.openxmlformats.org/officeDocument/2006/relationships/hyperlink" Target="https://drive.google.com/file/d/1XzP7BHYsOJKQaLHtcNtM2D-5I7gf8rJa/view?usp=sharing" TargetMode="External"/><Relationship Id="rId1176" Type="http://schemas.openxmlformats.org/officeDocument/2006/relationships/hyperlink" Target="https://drive.google.com/drive/folders/1dSqvKrKKpZ8Zv4QFRnlMtUu02LaCQeYB" TargetMode="External"/><Relationship Id="rId2227" Type="http://schemas.openxmlformats.org/officeDocument/2006/relationships/hyperlink" Target="https://drive.google.com/file/d/1yZWzYpogkFb_AQuJkYyRcTgqoYz_kwfj/view?usp=sharing" TargetMode="External"/><Relationship Id="rId9254" Type="http://schemas.openxmlformats.org/officeDocument/2006/relationships/hyperlink" Target="https://drive.google.com/file/d/1bGAtWdCSL-v2iZg1GvRoYwXZwXVqVH3x/view?usp=sharing" TargetMode="External"/><Relationship Id="rId960" Type="http://schemas.openxmlformats.org/officeDocument/2006/relationships/hyperlink" Target="https://www.vidio.com/live/9182-champions-tv-5?schedule_id=4773358" TargetMode="External"/><Relationship Id="rId1243" Type="http://schemas.openxmlformats.org/officeDocument/2006/relationships/hyperlink" Target="https://drive.google.com/drive/folders/15qLxMyC67YfCmJh8EfdoQg-u1gokZ0dx?usp=drive_link" TargetMode="External"/><Relationship Id="rId1590" Type="http://schemas.openxmlformats.org/officeDocument/2006/relationships/hyperlink" Target="https://drive.google.com/file/d/1mRRQ5ugDvogUaaUrdVerMI9ZUohWIwAN/view?usp=drive_link" TargetMode="External"/><Relationship Id="rId2641" Type="http://schemas.openxmlformats.org/officeDocument/2006/relationships/hyperlink" Target="https://drive.google.com/drive/folders/1YD9WuJVeK114lO9UuRHuqQtnmc99ULu2?usp=drive_link" TargetMode="External"/><Relationship Id="rId4399" Type="http://schemas.openxmlformats.org/officeDocument/2006/relationships/hyperlink" Target="https://drive.google.com/file/d/1eqLd1IsA70AvbW1IrZiiHRo5Mhpxmioz/view?usp=sharing" TargetMode="External"/><Relationship Id="rId5797" Type="http://schemas.openxmlformats.org/officeDocument/2006/relationships/hyperlink" Target="https://drive.google.com/file/d/1detIQ5VeOTwWnTBPJpjw7ZFe7V7mWSU-/view?usp=sharing" TargetMode="External"/><Relationship Id="rId6848" Type="http://schemas.openxmlformats.org/officeDocument/2006/relationships/hyperlink" Target="https://drive.google.com/file/d/1rd42sA4PYhnK3e8MK95B_LixSsVwJ8fc/view?usp=sharing" TargetMode="External"/><Relationship Id="rId8270" Type="http://schemas.openxmlformats.org/officeDocument/2006/relationships/hyperlink" Target="https://drive.google.com/file/d/1DNux4glLBnqI-DzUHKvsJVIQIe0fQ_QF/view?usp=sharing" TargetMode="External"/><Relationship Id="rId11184" Type="http://schemas.openxmlformats.org/officeDocument/2006/relationships/hyperlink" Target="https://drive.google.com/file/d/1vzbuvhDnd7bmjyq0hoaElH3WJB4NEBgr/view?usp=sharing" TargetMode="External"/><Relationship Id="rId12235" Type="http://schemas.openxmlformats.org/officeDocument/2006/relationships/hyperlink" Target="https://www.vidio.com/live/20270?schedule_id=4833856" TargetMode="External"/><Relationship Id="rId613" Type="http://schemas.openxmlformats.org/officeDocument/2006/relationships/hyperlink" Target="https://drive.google.com/drive/folders/177BHAf6wVme-gFz_aqKRqaO62fGYQpi7?usp=drive_link" TargetMode="External"/><Relationship Id="rId5864" Type="http://schemas.openxmlformats.org/officeDocument/2006/relationships/hyperlink" Target="https://drive.google.com/file/d/1K810hQU1_KUKT2PxYYda7FDi3iCpN0Zg/view?usp=drive_link" TargetMode="External"/><Relationship Id="rId6915" Type="http://schemas.openxmlformats.org/officeDocument/2006/relationships/hyperlink" Target="https://drive.google.com/file/d/1JRRJZ3JmrE0VRHxC1ZO4bj9JxhRRwhYK/view?usp=sharing" TargetMode="External"/><Relationship Id="rId9321" Type="http://schemas.openxmlformats.org/officeDocument/2006/relationships/hyperlink" Target="https://www.vidio.com/live/20048-fivb-volleyball-club-world-championship-2025?schedule_id=4783079" TargetMode="External"/><Relationship Id="rId11251" Type="http://schemas.openxmlformats.org/officeDocument/2006/relationships/hyperlink" Target="https://www.dropbox.com/scl/fo/xczin0zk5cjvkh6p1il0n/AMeGWBSKksq98_U4ldsXx9c/06%20Asia%20Pacific%20(APAC)?dl=0&amp;rlkey=x51krecp90is4flhcu8zsn5yx" TargetMode="External"/><Relationship Id="rId12302" Type="http://schemas.openxmlformats.org/officeDocument/2006/relationships/hyperlink" Target="https://www.vidio.com/live/20280?schedule_id=4833894" TargetMode="External"/><Relationship Id="rId1310" Type="http://schemas.openxmlformats.org/officeDocument/2006/relationships/hyperlink" Target="https://drive.google.com/file/d/1kBFscscFwqw7oIInktKA8H9iASH1qM27/view?usp=drive_link" TargetMode="External"/><Relationship Id="rId4466" Type="http://schemas.openxmlformats.org/officeDocument/2006/relationships/hyperlink" Target="https://3.basecamp.com/4902751/buckets/36763424/card_tables/cards/9230996924" TargetMode="External"/><Relationship Id="rId4880" Type="http://schemas.openxmlformats.org/officeDocument/2006/relationships/hyperlink" Target="https://drive.google.com/file/d/1fmMWCpMeIUgy7woNfoM1F28AzthrmWye/view?usp=sharing" TargetMode="External"/><Relationship Id="rId5517" Type="http://schemas.openxmlformats.org/officeDocument/2006/relationships/hyperlink" Target="https://drive.google.com/drive/folders/1AsqebdXWHiWlwen7Zb1TXB788ytFey4Q?usp=drive_link" TargetMode="External"/><Relationship Id="rId5931" Type="http://schemas.openxmlformats.org/officeDocument/2006/relationships/hyperlink" Target="https://drive.google.com/file/d/1eOFyOSy_e3bEKQReC5jmA5BctS-aNAdU/view?usp=sharing" TargetMode="External"/><Relationship Id="rId3068" Type="http://schemas.openxmlformats.org/officeDocument/2006/relationships/hyperlink" Target="https://drive.google.com/file/d/1Pn-BRisr5sno1zhHts2ONs3BSVsF3Gcm/view?usp=sharing" TargetMode="External"/><Relationship Id="rId3482" Type="http://schemas.openxmlformats.org/officeDocument/2006/relationships/hyperlink" Target="https://www.vidio.com/live/6686-champions-tv-2?schedule_id=4587742" TargetMode="External"/><Relationship Id="rId4119" Type="http://schemas.openxmlformats.org/officeDocument/2006/relationships/hyperlink" Target="https://drive.google.com/file/d/1cJzJ4sQhmAlzORO-RFWmqDVOI0XmXaaJ/view?usp=sharing" TargetMode="External"/><Relationship Id="rId4533" Type="http://schemas.openxmlformats.org/officeDocument/2006/relationships/hyperlink" Target="https://drive.google.com/drive/folders/1wLX56lOR5f1J9BtHmC0GiFiHxflTzEUl?usp=drive_link" TargetMode="External"/><Relationship Id="rId7689" Type="http://schemas.openxmlformats.org/officeDocument/2006/relationships/hyperlink" Target="https://www.vidio.com/live/19672-easl?schedule_id=4635908" TargetMode="External"/><Relationship Id="rId2084" Type="http://schemas.openxmlformats.org/officeDocument/2006/relationships/hyperlink" Target="https://drive.google.com/file/d/1LeyGv9KR-VQ0H1BwabD6CNK5e_4hLkEd/view?usp=sharing" TargetMode="External"/><Relationship Id="rId3135" Type="http://schemas.openxmlformats.org/officeDocument/2006/relationships/hyperlink" Target="https://thumbor.prod.vidiocdn.com/dLl6dsZPBl5NFzqKry_ssXaY-bw=/filters:quality(70)/vidio-media-production/uploads/image/source/51761/dfc54e.png" TargetMode="External"/><Relationship Id="rId4600" Type="http://schemas.openxmlformats.org/officeDocument/2006/relationships/hyperlink" Target="https://drive.google.com/drive/folders/1ReSAwd7Cm1GSLtFKa3dNS-oLeXqlnaoV?usp=drive_link" TargetMode="External"/><Relationship Id="rId7756" Type="http://schemas.openxmlformats.org/officeDocument/2006/relationships/hyperlink" Target="https://drive.google.com/file/d/18fjO-tSkVxIG_0yW8XwF6YTVh20xBUYh/view?usp=sharing" TargetMode="External"/><Relationship Id="rId12092" Type="http://schemas.openxmlformats.org/officeDocument/2006/relationships/hyperlink" Target="https://www.vidio.com/live/18252-petronas-malaysia-open-2026-round-of-16-court-3?schedule_id=4832355" TargetMode="External"/><Relationship Id="rId470" Type="http://schemas.openxmlformats.org/officeDocument/2006/relationships/hyperlink" Target="https://www.vidio.com/live/9182-champions-tv-5?schedule_id=4626715" TargetMode="External"/><Relationship Id="rId2151" Type="http://schemas.openxmlformats.org/officeDocument/2006/relationships/hyperlink" Target="https://drive.google.com/file/d/1i1Vis1o6CX7HyM5VbP1L7T4phEA-F-Ws/view?usp=sharing" TargetMode="External"/><Relationship Id="rId3202" Type="http://schemas.openxmlformats.org/officeDocument/2006/relationships/hyperlink" Target="https://thumbor.prod.vidiocdn.com/1ffedh2-rnAndzv28P2YmWSLay8=/filters:quality(70)/vidio-media-production/uploads/image/source/52780/222c58.png" TargetMode="External"/><Relationship Id="rId6358" Type="http://schemas.openxmlformats.org/officeDocument/2006/relationships/hyperlink" Target="https://drive.google.com/drive/folders/1_QyyUC0KxsA5I5XnGSR_moWG1pYIaeRU" TargetMode="External"/><Relationship Id="rId7409" Type="http://schemas.openxmlformats.org/officeDocument/2006/relationships/hyperlink" Target="https://drive.google.com/file/d/1xC1UlENcb7khJ9ZU_2UlmrUdeO5D0SiH/view?usp=sharing" TargetMode="External"/><Relationship Id="rId8807" Type="http://schemas.openxmlformats.org/officeDocument/2006/relationships/hyperlink" Target="https://www.vidio.com/live/6317-bein-3?schedule_id=4708914" TargetMode="External"/><Relationship Id="rId10737" Type="http://schemas.openxmlformats.org/officeDocument/2006/relationships/hyperlink" Target="https://thumbor.prod.vidiocdn.com/B_gytF4lQN4ZBWNhTcef7qQgLz4=/filters:quality(70)/vidio-media-production/uploads/image/source/52082/591178.png" TargetMode="External"/><Relationship Id="rId123" Type="http://schemas.openxmlformats.org/officeDocument/2006/relationships/hyperlink" Target="https://drive.google.com/file/d/1UP14FrUjioELRNg35KgMepgKsCAB-a4N/view?usp=sharing" TargetMode="External"/><Relationship Id="rId5374" Type="http://schemas.openxmlformats.org/officeDocument/2006/relationships/hyperlink" Target="https://drive.google.com/drive/folders/1WwNhD7gWJAmgX8IPubNDf7hgoizlm9gu" TargetMode="External"/><Relationship Id="rId6772" Type="http://schemas.openxmlformats.org/officeDocument/2006/relationships/hyperlink" Target="https://drive.google.com/drive/folders/1NepG6XT-FSa8Cs07sX3tPfQWLNpJfAxp" TargetMode="External"/><Relationship Id="rId7823" Type="http://schemas.openxmlformats.org/officeDocument/2006/relationships/hyperlink" Target="https://drive.google.com/file/d/1lpb43dL7n1AwXg8Md6VCShVoE6KTQtJM/view?usp=sharing" TargetMode="External"/><Relationship Id="rId10804" Type="http://schemas.openxmlformats.org/officeDocument/2006/relationships/hyperlink" Target="https://drive.google.com/file/d/1lYrPS0Af4cgaNYxePJqaljCHwGOjPxyo/view?usp=sharing" TargetMode="External"/><Relationship Id="rId2968" Type="http://schemas.openxmlformats.org/officeDocument/2006/relationships/hyperlink" Target="https://drive.google.com/file/d/1WfNgB9KrN18_IDENeX0s1pmaTFx9tpEx/view?usp=sharing" TargetMode="External"/><Relationship Id="rId5027" Type="http://schemas.openxmlformats.org/officeDocument/2006/relationships/hyperlink" Target="https://drive.google.com/drive/folders/1iXXXI8AUN2qzP-l9i7Vb4Z_ch9sn0od-" TargetMode="External"/><Relationship Id="rId6425" Type="http://schemas.openxmlformats.org/officeDocument/2006/relationships/hyperlink" Target="https://drive.google.com/file/d/1StvX9hkudLSRO4ALrL-dQswG11Tq2w5D/view?usp=sharing" TargetMode="External"/><Relationship Id="rId9995" Type="http://schemas.openxmlformats.org/officeDocument/2006/relationships/hyperlink" Target="https://drive.google.com/file/d/1xiFW3T4X2etTAIHK7MQuMgRwGrdoRlfL/view?usp=sharing" TargetMode="External"/><Relationship Id="rId1984" Type="http://schemas.openxmlformats.org/officeDocument/2006/relationships/hyperlink" Target="https://www.vidio.com/live/19354-bri-super-league?schedule_id=4678563" TargetMode="External"/><Relationship Id="rId4390" Type="http://schemas.openxmlformats.org/officeDocument/2006/relationships/hyperlink" Target="https://www.vidio.com/live/19404-serie-a?schedule_id=4695542" TargetMode="External"/><Relationship Id="rId5441" Type="http://schemas.openxmlformats.org/officeDocument/2006/relationships/hyperlink" Target="https://drive.google.com/file/d/1JEI2Txp6ztEzZj3FZW13scniwzjt_Jk7/view?usp=sharing" TargetMode="External"/><Relationship Id="rId8597" Type="http://schemas.openxmlformats.org/officeDocument/2006/relationships/hyperlink" Target="https://drive.google.com/drive/folders/1rV6iBF3BUVJGKbJLmmi7Oe55VA7Nav1A" TargetMode="External"/><Relationship Id="rId9648" Type="http://schemas.openxmlformats.org/officeDocument/2006/relationships/hyperlink" Target="https://drive.google.com/file/d/1w_JNKVx4Xey120S0scLk3Q4X_zeqfHYB/view?usp=sharing" TargetMode="External"/><Relationship Id="rId11578" Type="http://schemas.openxmlformats.org/officeDocument/2006/relationships/hyperlink" Target="https://www.vidio.com/live/6786-champions-tv-3?schedule_id=4831358" TargetMode="External"/><Relationship Id="rId1637" Type="http://schemas.openxmlformats.org/officeDocument/2006/relationships/hyperlink" Target="https://drive.google.com/file/d/12PViT-A4OhISVS9HJznchBP4kdjdDFsW/view?usp=drive_link" TargetMode="External"/><Relationship Id="rId4043" Type="http://schemas.openxmlformats.org/officeDocument/2006/relationships/hyperlink" Target="https://www.vidio.com/live/19404-serie-a?schedule_id=4583699" TargetMode="External"/><Relationship Id="rId7199" Type="http://schemas.openxmlformats.org/officeDocument/2006/relationships/hyperlink" Target="https://drive.google.com/file/d/1DNux4glLBnqI-DzUHKvsJVIQIe0fQ_QF/view?usp=sharing" TargetMode="External"/><Relationship Id="rId8664" Type="http://schemas.openxmlformats.org/officeDocument/2006/relationships/hyperlink" Target="https://drive.google.com/file/d/1Cgb6aq51hMSXRwcEoc2itnl_xwrJIf-0/view?usp=sharing" TargetMode="External"/><Relationship Id="rId9715" Type="http://schemas.openxmlformats.org/officeDocument/2006/relationships/hyperlink" Target="https://drive.google.com/file/d/1zyPtdPiEPq__1v94Lf9y-0FbULkHAHcs/view?usp=sharing" TargetMode="External"/><Relationship Id="rId10594" Type="http://schemas.openxmlformats.org/officeDocument/2006/relationships/hyperlink" Target="https://www.vidio.com/live/17875-bein-2?schedule_id=4835441" TargetMode="External"/><Relationship Id="rId11992" Type="http://schemas.openxmlformats.org/officeDocument/2006/relationships/hyperlink" Target="https://drive.google.com/file/d/1GSUWpYS1bKMQHpDirkh41aNW22dfhpEf/view?usp=sharing" TargetMode="External"/><Relationship Id="rId1704" Type="http://schemas.openxmlformats.org/officeDocument/2006/relationships/hyperlink" Target="https://drive.google.com/file/d/1_tq1uGpsHw7UwBOjwJXDZaDlTBKfrQIH/view?usp=drive_link" TargetMode="External"/><Relationship Id="rId4110" Type="http://schemas.openxmlformats.org/officeDocument/2006/relationships/hyperlink" Target="https://drive.google.com/drive/folders/1gld7hF_Ce_A3oVQk8cmaRf4XidPuBodS?usp=drive_link" TargetMode="External"/><Relationship Id="rId7266" Type="http://schemas.openxmlformats.org/officeDocument/2006/relationships/hyperlink" Target="https://drive.google.com/file/d/1hpFVeux1Mn9krwfJ5QJelBl6kudPmqFY/view?usp=drive_link" TargetMode="External"/><Relationship Id="rId7680" Type="http://schemas.openxmlformats.org/officeDocument/2006/relationships/hyperlink" Target="https://drive.google.com/file/d/16lB2p86RH5tEl-qzKweMw5VRkI_yqtIr/view?usp=sharing" TargetMode="External"/><Relationship Id="rId8317" Type="http://schemas.openxmlformats.org/officeDocument/2006/relationships/hyperlink" Target="https://drive.google.com/file/d/1K4wemQCtz65jZJMBcwu_jHSM4L4-GMGO/view?usp=sharing" TargetMode="External"/><Relationship Id="rId8731" Type="http://schemas.openxmlformats.org/officeDocument/2006/relationships/hyperlink" Target="https://www.vidio.com/live/19745-top-youth-premier-league-2025-matchday-8?schedule_id=4670871" TargetMode="External"/><Relationship Id="rId10247" Type="http://schemas.openxmlformats.org/officeDocument/2006/relationships/hyperlink" Target="https://drive.google.com/drive/folders/1-WgywefTTZdwX944xy251uCxCLmJJMKA" TargetMode="External"/><Relationship Id="rId11645" Type="http://schemas.openxmlformats.org/officeDocument/2006/relationships/hyperlink" Target="https://www.vidio.com/live/6317-bein-3?schedule_id=4833007" TargetMode="External"/><Relationship Id="rId6282" Type="http://schemas.openxmlformats.org/officeDocument/2006/relationships/hyperlink" Target="https://drive.google.com/file/d/1ZGw2lBwWc_-MAfQeIYI0zBBInPns-bZP/view?usp=sharing" TargetMode="External"/><Relationship Id="rId7333" Type="http://schemas.openxmlformats.org/officeDocument/2006/relationships/hyperlink" Target="https://drive.google.com/drive/folders/1mz7-dTRD9G2-U7Y0EDGbgw8PMZTz6qe7" TargetMode="External"/><Relationship Id="rId10661" Type="http://schemas.openxmlformats.org/officeDocument/2006/relationships/hyperlink" Target="https://thumbor.prod.vidiocdn.com/sKhEVXE92RuBbMVoKTCavJFXQM8=/filters:quality(70)/vidio-media-production/uploads/image/source/53047/c5d99f.png" TargetMode="External"/><Relationship Id="rId11712" Type="http://schemas.openxmlformats.org/officeDocument/2006/relationships/hyperlink" Target="https://drive.google.com/drive/folders/1b4k6Xd9bYzvR8tmKEmYOqigP2l0r7KIX" TargetMode="External"/><Relationship Id="rId797" Type="http://schemas.openxmlformats.org/officeDocument/2006/relationships/hyperlink" Target="https://drive.google.com/file/d/1-I1QjDH9wYV1zfdsJI7U-1BVAjitmra6/view?usp=sharing" TargetMode="External"/><Relationship Id="rId2478" Type="http://schemas.openxmlformats.org/officeDocument/2006/relationships/hyperlink" Target="https://drive.google.com/file/d/1cghVqeyH9qCv6-Jm5GIM-cD3HWFlYkSf/view?usp=drive_link" TargetMode="External"/><Relationship Id="rId3876" Type="http://schemas.openxmlformats.org/officeDocument/2006/relationships/hyperlink" Target="https://drive.google.com/drive/folders/1z2r5WZWyZXMuRGOOzxK-ZDZEDVdNk2pS" TargetMode="External"/><Relationship Id="rId4927" Type="http://schemas.openxmlformats.org/officeDocument/2006/relationships/hyperlink" Target="https://thumbor.prod.vidiocdn.com/-ln-lR76bFHOqensAnPh0j8alms=/filters:quality(70)/vidio-media-production/uploads/image/source/52220/9a7b67.png" TargetMode="External"/><Relationship Id="rId10314" Type="http://schemas.openxmlformats.org/officeDocument/2006/relationships/hyperlink" Target="https://thumbor.prod.vidiocdn.com/ZyDfMjg7neRv7iHa-SpZDr5tGB8=/filters:quality(70)/vidio-media-production/uploads/image/source/51875/16bc90.png" TargetMode="External"/><Relationship Id="rId2892" Type="http://schemas.openxmlformats.org/officeDocument/2006/relationships/hyperlink" Target="https://drive.google.com/file/d/1v-H-xw15FtUmXRs6N9ZCwsS8zZVADwfv/view?usp=sharing" TargetMode="External"/><Relationship Id="rId3529" Type="http://schemas.openxmlformats.org/officeDocument/2006/relationships/hyperlink" Target="https://drive.google.com/drive/folders/1Q3MjZIFesetBxu1AIPvsIJ060sDI2sww" TargetMode="External"/><Relationship Id="rId3943" Type="http://schemas.openxmlformats.org/officeDocument/2006/relationships/hyperlink" Target="https://drive.google.com/file/d/1Sss72-metCyAB9-xeHckxG23roLNFTGL/view?usp=sharing" TargetMode="External"/><Relationship Id="rId6002" Type="http://schemas.openxmlformats.org/officeDocument/2006/relationships/hyperlink" Target="https://www.vidio.com/live/19603-uefa-europa-league?schedule_id=4773545" TargetMode="External"/><Relationship Id="rId7400" Type="http://schemas.openxmlformats.org/officeDocument/2006/relationships/hyperlink" Target="https://drive.google.com/drive/folders/1Sc8cUJpaqtCJHTLmKOonDaGwx-PkAQX1?usp=drive_link" TargetMode="External"/><Relationship Id="rId9158" Type="http://schemas.openxmlformats.org/officeDocument/2006/relationships/hyperlink" Target="https://drive.google.com/file/d/1DNux4glLBnqI-DzUHKvsJVIQIe0fQ_QF/view?usp=sharing" TargetMode="External"/><Relationship Id="rId864" Type="http://schemas.openxmlformats.org/officeDocument/2006/relationships/hyperlink" Target="https://www.vidio.com/live/9183-champions-tv-6?schedule_id=4747179" TargetMode="External"/><Relationship Id="rId1494" Type="http://schemas.openxmlformats.org/officeDocument/2006/relationships/hyperlink" Target="https://3.basecamp.com/4902751/buckets/36763424/card_tables/cards/8876967776" TargetMode="External"/><Relationship Id="rId2545" Type="http://schemas.openxmlformats.org/officeDocument/2006/relationships/hyperlink" Target="https://drive.google.com/file/d/18klKbbMRFbmET__Wt8SOoByI96H44m5o/view?usp=sharing" TargetMode="External"/><Relationship Id="rId9572" Type="http://schemas.openxmlformats.org/officeDocument/2006/relationships/hyperlink" Target="https://drive.google.com/drive/folders/1iDm-Beughgla-xmSwfuNsqrH33Maf-k5?usp=sharing" TargetMode="External"/><Relationship Id="rId11088" Type="http://schemas.openxmlformats.org/officeDocument/2006/relationships/hyperlink" Target="https://thumbor.prod.vidiocdn.com/aWY38EkqP2TvPU5zqHwUekr7jSA=/filters:quality(70)/vidio-media-production/uploads/image/source/52265/691c82.png" TargetMode="External"/><Relationship Id="rId12139" Type="http://schemas.openxmlformats.org/officeDocument/2006/relationships/hyperlink" Target="https://www.vidio.com/live/20267-liga-topskor-greater-jakarta-pekan-pertama-u-13-lapangan-koci-depok" TargetMode="External"/><Relationship Id="rId517" Type="http://schemas.openxmlformats.org/officeDocument/2006/relationships/hyperlink" Target="https://drive.google.com/file/d/19IUegNwHMeS8oGuyw2LPL_PMuzeU_gVD/view?usp=sharing" TargetMode="External"/><Relationship Id="rId931" Type="http://schemas.openxmlformats.org/officeDocument/2006/relationships/hyperlink" Target="https://drive.google.com/drive/folders/1DYDqtnx0WvpShYVem12G-DMSv-zCr0-c?usp=drive_link" TargetMode="External"/><Relationship Id="rId1147" Type="http://schemas.openxmlformats.org/officeDocument/2006/relationships/hyperlink" Target="https://thumbor.prod.vidiocdn.com/i9Gjx2Rc87iy4nxXc72zFPkGPwo=/filters:quality(70)/vidio-media-production/uploads/image/source/52735/e92ccb.png" TargetMode="External"/><Relationship Id="rId1561" Type="http://schemas.openxmlformats.org/officeDocument/2006/relationships/hyperlink" Target="https://drive.google.com/file/d/1N-QmiBgRDQB7S6c5w4aOxL6PR0-GxfHo/view?usp=sharing" TargetMode="External"/><Relationship Id="rId2612" Type="http://schemas.openxmlformats.org/officeDocument/2006/relationships/hyperlink" Target="https://drive.google.com/drive/folders/1aqJvibgQ3bmLIRwW7urTW25nCN8Nz4JT?usp=drive_link" TargetMode="External"/><Relationship Id="rId5768" Type="http://schemas.openxmlformats.org/officeDocument/2006/relationships/hyperlink" Target="https://drive.google.com/file/d/18I56mzgwU1B88n0X5JWnBzthQp5gqpQh/view?usp=sharing" TargetMode="External"/><Relationship Id="rId6819" Type="http://schemas.openxmlformats.org/officeDocument/2006/relationships/hyperlink" Target="https://drive.google.com/file/d/1HgbbQaNYIODgvoZkDceEhoGc9hTDnSIH/view?usp=sharing" TargetMode="External"/><Relationship Id="rId8174" Type="http://schemas.openxmlformats.org/officeDocument/2006/relationships/hyperlink" Target="https://www.vidio.com/live/19541-pegadaian-championship-2025-26?schedule_id=4713690" TargetMode="External"/><Relationship Id="rId9225" Type="http://schemas.openxmlformats.org/officeDocument/2006/relationships/hyperlink" Target="https://www.vidio.com/live/19810-top-soccer-championship-2025-u-15?schedule_id=4708365" TargetMode="External"/><Relationship Id="rId11155" Type="http://schemas.openxmlformats.org/officeDocument/2006/relationships/hyperlink" Target="https://thumbor.prod.vidiocdn.com/BwOasG6jWjGhvsNGCay0M9l_ZYM=/filters:quality(70)/vidio-media-production/uploads/image/source/53273/53e732.png" TargetMode="External"/><Relationship Id="rId12206" Type="http://schemas.openxmlformats.org/officeDocument/2006/relationships/hyperlink" Target="https://drive.google.com/file/d/17nqJ8YbOWxi4DOQmMA4_VvY1qMuE4tM4/view?usp=drive_link" TargetMode="External"/><Relationship Id="rId1214" Type="http://schemas.openxmlformats.org/officeDocument/2006/relationships/hyperlink" Target="https://thumbor.prod.vidiocdn.com/9rDSkNQUY5RS8dK3yY2_Q4Faqjs=/filters:quality(70)/vidio-media-production/uploads/image/source/52751/55a9e5.png" TargetMode="External"/><Relationship Id="rId4784" Type="http://schemas.openxmlformats.org/officeDocument/2006/relationships/hyperlink" Target="https://thumbor.prod.vidiocdn.com/Ta4c9hpnTlmywhtCKyOqSdHVzP4=/filters:quality(70)/vidio-media-production/uploads/image/source/52148/7ae797.png" TargetMode="External"/><Relationship Id="rId5835" Type="http://schemas.openxmlformats.org/officeDocument/2006/relationships/hyperlink" Target="https://drive.google.com/file/d/1q--vvFIRyessJ8GoPb_4KIdyrd5u_MLX/view?usp=sharing" TargetMode="External"/><Relationship Id="rId7190" Type="http://schemas.openxmlformats.org/officeDocument/2006/relationships/hyperlink" Target="https://drive.google.com/file/d/1DNux4glLBnqI-DzUHKvsJVIQIe0fQ_QF/view?usp=sharing" TargetMode="External"/><Relationship Id="rId8241" Type="http://schemas.openxmlformats.org/officeDocument/2006/relationships/hyperlink" Target="https://www.vidio.com/live/19692-top-youth-premier-league-2025-matchweek-6?schedule_id=4644420" TargetMode="External"/><Relationship Id="rId10171" Type="http://schemas.openxmlformats.org/officeDocument/2006/relationships/hyperlink" Target="https://www.vidio.com/live/19355-bri-super-league?schedule_id=4758887" TargetMode="External"/><Relationship Id="rId11222" Type="http://schemas.openxmlformats.org/officeDocument/2006/relationships/hyperlink" Target="https://www.vidio.com/live/18249-hsbc-bwf-world-tour-finals-2025-group-stage-court-1?schedule_id=4784605" TargetMode="External"/><Relationship Id="rId3386" Type="http://schemas.openxmlformats.org/officeDocument/2006/relationships/hyperlink" Target="https://drive.google.com/file/d/1o7eZ4QMF8c60P9_RBCj8wnA1NkHPaAnJ/view?usp=sharing" TargetMode="External"/><Relationship Id="rId4437" Type="http://schemas.openxmlformats.org/officeDocument/2006/relationships/hyperlink" Target="https://www.vidio.com/live/19404-serie-a?schedule_id=4708389" TargetMode="External"/><Relationship Id="rId3039" Type="http://schemas.openxmlformats.org/officeDocument/2006/relationships/hyperlink" Target="https://drive.google.com/file/d/1SqWgmccgHNwVjmnjeVX4G-w2eNVaiB7W/view?usp=drive_link" TargetMode="External"/><Relationship Id="rId3453" Type="http://schemas.openxmlformats.org/officeDocument/2006/relationships/hyperlink" Target="https://drive.google.com/drive/u/1/folders/1Ae8xqesEgvRi5zl_E_y_OJuJpDQJDcTr" TargetMode="External"/><Relationship Id="rId4851" Type="http://schemas.openxmlformats.org/officeDocument/2006/relationships/hyperlink" Target="https://thumbor.prod.vidiocdn.com/sd5g73m1EZ5WtwR1tKKlmPcfnAQ=/filters:quality(70)/vidio-media-production/uploads/image/source/52904/c041de.png" TargetMode="External"/><Relationship Id="rId5902" Type="http://schemas.openxmlformats.org/officeDocument/2006/relationships/hyperlink" Target="https://drive.google.com/file/d/1P1xwfb_4-TynP2O1u4VZ6DU7nJm556da/view?usp=sharing" TargetMode="External"/><Relationship Id="rId10988" Type="http://schemas.openxmlformats.org/officeDocument/2006/relationships/hyperlink" Target="https://thumbor.prod.vidiocdn.com/tAzDE8j9ghzZFAZV_l0PYCYNCJo=/filters:quality(70)/vidio-media-production/uploads/image/source/53144/ca0be4.png" TargetMode="External"/><Relationship Id="rId374" Type="http://schemas.openxmlformats.org/officeDocument/2006/relationships/hyperlink" Target="https://www.vidio.com/live/9182-champions-tv-5?schedule_id=4598335" TargetMode="External"/><Relationship Id="rId2055" Type="http://schemas.openxmlformats.org/officeDocument/2006/relationships/hyperlink" Target="https://drive.google.com/file/d/1hCtPn3H3m46Nt9BZ1BclxaZEviQYnkTc/view?usp=sharing" TargetMode="External"/><Relationship Id="rId3106" Type="http://schemas.openxmlformats.org/officeDocument/2006/relationships/hyperlink" Target="https://www.vidio.com/live/6299-bein-1?schedule_id=4773363" TargetMode="External"/><Relationship Id="rId4504" Type="http://schemas.openxmlformats.org/officeDocument/2006/relationships/hyperlink" Target="https://drive.google.com/drive/folders/1DeJCScnPkkDeQ_R7vAEQkIx3Z9GGUNrT?usp=drive_link" TargetMode="External"/><Relationship Id="rId9082" Type="http://schemas.openxmlformats.org/officeDocument/2006/relationships/hyperlink" Target="https://drive.google.com/file/d/1RbySnhlC0EBr-YIEj-V5sw1sClnY8EHw/view?usp=sharing" TargetMode="External"/><Relationship Id="rId3520" Type="http://schemas.openxmlformats.org/officeDocument/2006/relationships/hyperlink" Target="https://drive.google.com/drive/folders/1ia2Jk20QOcKxQaHWIAsMMY_WFQkn-2uA" TargetMode="External"/><Relationship Id="rId6676" Type="http://schemas.openxmlformats.org/officeDocument/2006/relationships/hyperlink" Target="https://www.vidio.com/live/6686-champions-tv-2?schedule_id=4593838" TargetMode="External"/><Relationship Id="rId7727" Type="http://schemas.openxmlformats.org/officeDocument/2006/relationships/hyperlink" Target="https://drive.google.com/file/d/1-U-1ULSPHKwTJaqCG-onHCAStXiSb8WD/view?usp=drive_link" TargetMode="External"/><Relationship Id="rId10708" Type="http://schemas.openxmlformats.org/officeDocument/2006/relationships/hyperlink" Target="https://drive.google.com/drive/folders/1y94dD7G2Iql9OopsDdbDzKXhWL6YDzqX" TargetMode="External"/><Relationship Id="rId12063" Type="http://schemas.openxmlformats.org/officeDocument/2006/relationships/hyperlink" Target="https://drive.google.com/drive/folders/1j2A_bH-x2l04Qo4WA98rK5ys1iCEU3UZ" TargetMode="External"/><Relationship Id="rId441" Type="http://schemas.openxmlformats.org/officeDocument/2006/relationships/hyperlink" Target="https://drive.google.com/drive/folders/1hzxUd-Ey-cULuz3L2vPY3N7MBhM5qBvM?usp=drive_link" TargetMode="External"/><Relationship Id="rId1071" Type="http://schemas.openxmlformats.org/officeDocument/2006/relationships/hyperlink" Target="https://thumbor.prod.vidiocdn.com/L7nZmxk8RGoYT1I0zzcP6xbybUU=/filters:quality(70)/vidio-media-production/uploads/image/source/52363/b50f2b.png" TargetMode="External"/><Relationship Id="rId2122" Type="http://schemas.openxmlformats.org/officeDocument/2006/relationships/hyperlink" Target="https://www.vidio.com/live/19354-bri-super-league?schedule_id=4739841" TargetMode="External"/><Relationship Id="rId5278" Type="http://schemas.openxmlformats.org/officeDocument/2006/relationships/hyperlink" Target="https://www.vidio.com/live/18301-uefa-champions-league?schedule_id=4684721" TargetMode="External"/><Relationship Id="rId5692" Type="http://schemas.openxmlformats.org/officeDocument/2006/relationships/hyperlink" Target="https://www.vidio.com/live/19739?schedule_id=4668366" TargetMode="External"/><Relationship Id="rId6329" Type="http://schemas.openxmlformats.org/officeDocument/2006/relationships/hyperlink" Target="https://drive.google.com/file/d/1oPssk0air55kOLl1V3L1TN8rrn_nrCdP/view?usp=sharing" TargetMode="External"/><Relationship Id="rId6743" Type="http://schemas.openxmlformats.org/officeDocument/2006/relationships/hyperlink" Target="https://drive.google.com/file/d/1rE17H92VGRQjBjnBZlM8GPThmG49Q4gV/view?usp=sharing" TargetMode="External"/><Relationship Id="rId9899" Type="http://schemas.openxmlformats.org/officeDocument/2006/relationships/hyperlink" Target="https://drive.google.com/drive/folders/1Dycc-7ZViaTidS27lynw0sK4zAAsB-8o?usp=drive_link" TargetMode="External"/><Relationship Id="rId12130" Type="http://schemas.openxmlformats.org/officeDocument/2006/relationships/hyperlink" Target="https://drive.google.com/file/d/1NSS8caFvdZbwLM0rQ6xFjEA-VHdQ-0wz/view?usp=sharing" TargetMode="External"/><Relationship Id="rId1888" Type="http://schemas.openxmlformats.org/officeDocument/2006/relationships/hyperlink" Target="https://drive.google.com/drive/folders/1aexzNkyl8QGtRGJz1_l8iR7bOKhXX5tg" TargetMode="External"/><Relationship Id="rId2939" Type="http://schemas.openxmlformats.org/officeDocument/2006/relationships/hyperlink" Target="https://drive.google.com/file/d/1EL0DfoYAAwzTyGHNa55qsVSFW8_mhb2b/view?usp=sharing" TargetMode="External"/><Relationship Id="rId4294" Type="http://schemas.openxmlformats.org/officeDocument/2006/relationships/hyperlink" Target="https://drive.google.com/file/d/1AzbLuifZDXSwZxetjaNWuNAUuPFB4Yl0/view?usp=sharing" TargetMode="External"/><Relationship Id="rId5345" Type="http://schemas.openxmlformats.org/officeDocument/2006/relationships/hyperlink" Target="https://drive.google.com/drive/folders/14Wb3x9yN298vTECYGS7G_yCO7LWjXAJK" TargetMode="External"/><Relationship Id="rId6810" Type="http://schemas.openxmlformats.org/officeDocument/2006/relationships/hyperlink" Target="https://www.vidio.com/live/19543-pegadaian-championship-2025-26?schedule_id=4567624" TargetMode="External"/><Relationship Id="rId9966" Type="http://schemas.openxmlformats.org/officeDocument/2006/relationships/hyperlink" Target="https://drive.google.com/drive/folders/1eT8RhLloTFSL1iEyYVZT66JarSorsoMk?usp=drive_linkvik" TargetMode="External"/><Relationship Id="rId4361" Type="http://schemas.openxmlformats.org/officeDocument/2006/relationships/hyperlink" Target="https://www.vidio.com/live/19404-serie-a?schedule_id=4674562" TargetMode="External"/><Relationship Id="rId5412" Type="http://schemas.openxmlformats.org/officeDocument/2006/relationships/hyperlink" Target="https://drive.google.com/file/d/1UDxS_cfMma2T0bESnBM7jPu3yKRiPHKf/view?usp=sharing" TargetMode="External"/><Relationship Id="rId8568" Type="http://schemas.openxmlformats.org/officeDocument/2006/relationships/hyperlink" Target="https://drive.google.com/drive/folders/1Nzhge85fL3fhcKITS-BAclnXNVark1iL" TargetMode="External"/><Relationship Id="rId9619" Type="http://schemas.openxmlformats.org/officeDocument/2006/relationships/hyperlink" Target="https://drive.google.com/drive/folders/1axK8wZ1iEcwbM1IYOSt7DPW3ka3Q_A-x" TargetMode="External"/><Relationship Id="rId11896" Type="http://schemas.openxmlformats.org/officeDocument/2006/relationships/hyperlink" Target="https://drive.google.com/drive/folders/1TYXj5i7Ik4SNEitV7mHoBo1u6CAR_kAQ?usp=drive_link" TargetMode="External"/><Relationship Id="rId1955" Type="http://schemas.openxmlformats.org/officeDocument/2006/relationships/hyperlink" Target="https://drive.google.com/drive/folders/1vtVu1ZMQBLCMB8oQPnea56NinAUZVAc3" TargetMode="External"/><Relationship Id="rId4014" Type="http://schemas.openxmlformats.org/officeDocument/2006/relationships/hyperlink" Target="https://www.vidio.com/live/17139-spotv?schedule_id=4567067" TargetMode="External"/><Relationship Id="rId7584" Type="http://schemas.openxmlformats.org/officeDocument/2006/relationships/hyperlink" Target="https://drive.google.com/drive/folders/1igQzPxovpmGSxY8XFwt2UwJTo8Pr482L?usp=drive_link" TargetMode="External"/><Relationship Id="rId8982" Type="http://schemas.openxmlformats.org/officeDocument/2006/relationships/hyperlink" Target="https://drive.google.com/file/d/1sYzUDnwISRXdgsmiOHhhbU7-Pn6YJAo6/view?usp=sharing" TargetMode="External"/><Relationship Id="rId10498" Type="http://schemas.openxmlformats.org/officeDocument/2006/relationships/hyperlink" Target="https://drive.google.com/drive/folders/1NepG6XT-FSa8Cs07sX3tPfQWLNpJfAxp" TargetMode="External"/><Relationship Id="rId11549" Type="http://schemas.openxmlformats.org/officeDocument/2006/relationships/hyperlink" Target="https://drive.google.com/file/d/1Dard6MH7k78Swic8dWOgnfHf_kOn3XLq/view?usp=sharing" TargetMode="External"/><Relationship Id="rId11963" Type="http://schemas.openxmlformats.org/officeDocument/2006/relationships/hyperlink" Target="https://www.vidio.com/live/18250-petronas-malaysia-open-2026-round-of-32-court-?schedule_id=4832190" TargetMode="External"/><Relationship Id="rId1608" Type="http://schemas.openxmlformats.org/officeDocument/2006/relationships/hyperlink" Target="https://drive.google.com/file/d/12sglxu3-NHTg9TEBLhL0-nWsThn5A0Gg/view?usp=drive_link" TargetMode="External"/><Relationship Id="rId3030" Type="http://schemas.openxmlformats.org/officeDocument/2006/relationships/hyperlink" Target="https://drive.google.com/file/d/1aMmrOFBms-ChZMfuMc3Lxc1egOLzLiAm/view?usp=sharing" TargetMode="External"/><Relationship Id="rId6186" Type="http://schemas.openxmlformats.org/officeDocument/2006/relationships/hyperlink" Target="https://drive.google.com/file/d/1-4bIfahU5h8ODMmSAYu8HVjTNzpNSrL2/view?usp=drive_link" TargetMode="External"/><Relationship Id="rId7237" Type="http://schemas.openxmlformats.org/officeDocument/2006/relationships/hyperlink" Target="https://drive.google.com/file/d/1BK4pWI9-83VL9PgfQ3k1mu5MrkuI_FUx/view?usp=sharing" TargetMode="External"/><Relationship Id="rId8635" Type="http://schemas.openxmlformats.org/officeDocument/2006/relationships/hyperlink" Target="https://drive.google.com/file/d/14yFIso2a7YlOndVvyYZVOyKhCzCw4COW/view?usp=sharing" TargetMode="External"/><Relationship Id="rId10565" Type="http://schemas.openxmlformats.org/officeDocument/2006/relationships/hyperlink" Target="https://drive.google.com/file/d/1X349aXG5SLnksxTS2_ISuIZY_CD92oUm/view?usp=sharing" TargetMode="External"/><Relationship Id="rId11616" Type="http://schemas.openxmlformats.org/officeDocument/2006/relationships/hyperlink" Target="https://thumbor.prod.vidiocdn.com/_jRjE_7l016dYI07-n5PFaQTV74=/filters:quality(70)/vidio-media-production/uploads/image/source/52956/dc25a5.png" TargetMode="External"/><Relationship Id="rId7651" Type="http://schemas.openxmlformats.org/officeDocument/2006/relationships/hyperlink" Target="https://drive.google.com/file/d/1Sb-tN6RWJVqpLkwoVcvfte7zquaGpdaH/view?usp=drive_link" TargetMode="External"/><Relationship Id="rId8702" Type="http://schemas.openxmlformats.org/officeDocument/2006/relationships/hyperlink" Target="https://drive.google.com/drive/folders/18D4p7q-Pa5CK3xI3OXVjLAkHhojdCzhC" TargetMode="External"/><Relationship Id="rId10218" Type="http://schemas.openxmlformats.org/officeDocument/2006/relationships/hyperlink" Target="https://www.vidio.com/live/17875-bein-2?schedule_id=4769290" TargetMode="External"/><Relationship Id="rId10632" Type="http://schemas.openxmlformats.org/officeDocument/2006/relationships/hyperlink" Target="https://www.vidio.com/live/20067-top-youth-premier-league-pekan-ke-15" TargetMode="External"/><Relationship Id="rId2796" Type="http://schemas.openxmlformats.org/officeDocument/2006/relationships/hyperlink" Target="https://drive.google.com/file/d/1tEL-5fKV-pVbrmSEyArEgvajtcIqlvFD/view?usp=sharing" TargetMode="External"/><Relationship Id="rId3847" Type="http://schemas.openxmlformats.org/officeDocument/2006/relationships/hyperlink" Target="https://www.vidio.com/live/6686-champions-tv-2?schedule_id=4773337" TargetMode="External"/><Relationship Id="rId6253" Type="http://schemas.openxmlformats.org/officeDocument/2006/relationships/hyperlink" Target="https://drive.google.com/file/d/1_Ir3ppIe2jXCkz9xKJDKstVutQJyguAb/view?usp=drive_link" TargetMode="External"/><Relationship Id="rId7304" Type="http://schemas.openxmlformats.org/officeDocument/2006/relationships/hyperlink" Target="https://drive.google.com/drive/folders/1GBFdpgWbU2am6tYKw_F13mzGRBsmN5uL?usp=drive_link" TargetMode="External"/><Relationship Id="rId768" Type="http://schemas.openxmlformats.org/officeDocument/2006/relationships/hyperlink" Target="https://www.vidio.com/live/9183-champions-tv-6?schedule_id=4736101" TargetMode="External"/><Relationship Id="rId1398" Type="http://schemas.openxmlformats.org/officeDocument/2006/relationships/hyperlink" Target="https://drive.google.com/drive/folders/1SkxOZNZP34nBHkUqRVWEW1IYmlWUETAx?usp=drive_link" TargetMode="External"/><Relationship Id="rId2449" Type="http://schemas.openxmlformats.org/officeDocument/2006/relationships/hyperlink" Target="https://drive.google.com/drive/folders/1JwP4lJnLGyO-yaAeCCMSvIFrc0L0M03F?usp=drive_link" TargetMode="External"/><Relationship Id="rId2863" Type="http://schemas.openxmlformats.org/officeDocument/2006/relationships/hyperlink" Target="https://drive.google.com/file/d/1SnrB9a4Dbv-NFznUGsEABTTu1pN9mbye/view?usp=sharing" TargetMode="External"/><Relationship Id="rId3914" Type="http://schemas.openxmlformats.org/officeDocument/2006/relationships/hyperlink" Target="https://drive.google.com/drive/folders/1sKCsqGqtNc0oEahoeZGB1PUaWhmJiMor" TargetMode="External"/><Relationship Id="rId6320" Type="http://schemas.openxmlformats.org/officeDocument/2006/relationships/hyperlink" Target="https://www.vidio.com/live/19648-uefa-conference-league?schedule_id=4700075" TargetMode="External"/><Relationship Id="rId9476" Type="http://schemas.openxmlformats.org/officeDocument/2006/relationships/hyperlink" Target="https://drive.google.com/file/d/1NdM7dxtO8z9Y53ccb8sbJcY3ExXBvQVn/view?usp=sharing" TargetMode="External"/><Relationship Id="rId9890" Type="http://schemas.openxmlformats.org/officeDocument/2006/relationships/hyperlink" Target="https://thumbor.prod.vidiocdn.com/k1cdJI7IpsgpMs8mBHM6TYbt6tY=/filters:quality(70)/vidio-media-production/uploads/image/source/52305/8452d7.png" TargetMode="External"/><Relationship Id="rId12457" Type="http://schemas.openxmlformats.org/officeDocument/2006/relationships/hyperlink" Target="https://www.vidio.com/live/18249-petronas-malaysia-open-2026-finals?schedule_id=4835807" TargetMode="External"/><Relationship Id="rId835" Type="http://schemas.openxmlformats.org/officeDocument/2006/relationships/hyperlink" Target="https://drive.google.com/drive/folders/1BpYLG7bvjbyllQoh-1E3JZK0nRPiaPaQ?usp=drive_link" TargetMode="External"/><Relationship Id="rId1465" Type="http://schemas.openxmlformats.org/officeDocument/2006/relationships/hyperlink" Target="https://3.basecamp.com/4902751/buckets/36763424/card_tables/cards/8876955373" TargetMode="External"/><Relationship Id="rId2516" Type="http://schemas.openxmlformats.org/officeDocument/2006/relationships/hyperlink" Target="https://drive.google.com/drive/folders/1OaLIp6HFvH8TyaeVEqGxIV3HFrziJkWO?usp=drive_link" TargetMode="External"/><Relationship Id="rId8078" Type="http://schemas.openxmlformats.org/officeDocument/2006/relationships/hyperlink" Target="https://www.vidio.com/live/19541-pegadaian-championship-2025-26?schedule_id=4704438" TargetMode="External"/><Relationship Id="rId8492" Type="http://schemas.openxmlformats.org/officeDocument/2006/relationships/hyperlink" Target="https://drive.google.com/file/d/1ZxSjfIvclVTEkOd8F6EtKbbWl5TEe5ic/view?usp=sharing" TargetMode="External"/><Relationship Id="rId9129" Type="http://schemas.openxmlformats.org/officeDocument/2006/relationships/hyperlink" Target="https://drive.google.com/drive/folders/1WrEboVtxuJcfzSvrJpzKhzUoi-K9AnTT" TargetMode="External"/><Relationship Id="rId9543" Type="http://schemas.openxmlformats.org/officeDocument/2006/relationships/hyperlink" Target="https://www.vidio.com/live/19845-top-soccer-championship-2025-u-13-u-14?schedule_id=4719208" TargetMode="External"/><Relationship Id="rId11059" Type="http://schemas.openxmlformats.org/officeDocument/2006/relationships/hyperlink" Target="https://thumbor.prod.vidiocdn.com/RHD81MfRwKEqdebDL0NNzp3ZGlc=/filters:quality(70)/vidio-media-production/uploads/image/source/53197/dcd224.png" TargetMode="External"/><Relationship Id="rId1118" Type="http://schemas.openxmlformats.org/officeDocument/2006/relationships/hyperlink" Target="https://www.vidio.com/live/9182-champions-tv-5?schedule_id=4802036" TargetMode="External"/><Relationship Id="rId1532" Type="http://schemas.openxmlformats.org/officeDocument/2006/relationships/hyperlink" Target="https://www.vidio.com/live/19384-bri-super-league?schedule_id=4501329" TargetMode="External"/><Relationship Id="rId2930" Type="http://schemas.openxmlformats.org/officeDocument/2006/relationships/hyperlink" Target="https://www.vidio.com/live/6299-bein-1?schedule_id=4726813" TargetMode="External"/><Relationship Id="rId4688" Type="http://schemas.openxmlformats.org/officeDocument/2006/relationships/hyperlink" Target="https://thumbor.prod.vidiocdn.com/ezB71DESILlE9_q8NKNT6FNUV0c=/filters:quality(70)/vidio-media-production/uploads/image/source/51908/738294.png" TargetMode="External"/><Relationship Id="rId7094" Type="http://schemas.openxmlformats.org/officeDocument/2006/relationships/hyperlink" Target="https://drive.google.com/file/d/1lrKRmMrFxm6hMUM2n9Oo2Xrhr8l9WvQK/view?usp=sharing" TargetMode="External"/><Relationship Id="rId8145" Type="http://schemas.openxmlformats.org/officeDocument/2006/relationships/hyperlink" Target="https://drive.google.com/drive/u/0/folders/1POUFEBTuf60kEiiUoIYOs6fWT32xznvU" TargetMode="External"/><Relationship Id="rId10075" Type="http://schemas.openxmlformats.org/officeDocument/2006/relationships/hyperlink" Target="https://drive.google.com/drive/folders/1UI2Bj2GFnAi5hrm22osbKEiKYAyRLFUc?usp=drive_link" TargetMode="External"/><Relationship Id="rId11473" Type="http://schemas.openxmlformats.org/officeDocument/2006/relationships/hyperlink" Target="https://drive.google.com/drive/folders/1Hl6PqKLZehwzOzCWj0sHzUtGdSkqOn4O" TargetMode="External"/><Relationship Id="rId902" Type="http://schemas.openxmlformats.org/officeDocument/2006/relationships/hyperlink" Target="https://drive.google.com/drive/folders/1OYaFEHUPP6WozxKecPCD55NZAI71A2Pz?usp=drive_link" TargetMode="External"/><Relationship Id="rId5739" Type="http://schemas.openxmlformats.org/officeDocument/2006/relationships/hyperlink" Target="https://drive.google.com/drive/folders/1Xlp5aunryVlWR8atbAp6mL9dfJO63aR4?usp=drive_link" TargetMode="External"/><Relationship Id="rId7161" Type="http://schemas.openxmlformats.org/officeDocument/2006/relationships/hyperlink" Target="https://drive.google.com/file/d/1gW68gU4GexwYmB4ApXf7RlO7La4k0uHF/view?usp=sharing" TargetMode="External"/><Relationship Id="rId8212" Type="http://schemas.openxmlformats.org/officeDocument/2006/relationships/hyperlink" Target="https://drive.google.com/file/d/1AOCi4MuHkEptPkyqgFWQsWQcnJYEinCw/view?usp=drive_link" TargetMode="External"/><Relationship Id="rId9610" Type="http://schemas.openxmlformats.org/officeDocument/2006/relationships/hyperlink" Target="https://drive.google.com/file/d/1cD794htxOsiR0bvdMdiODHK5jfteUWk9/view?usp=sharing" TargetMode="External"/><Relationship Id="rId11126" Type="http://schemas.openxmlformats.org/officeDocument/2006/relationships/hyperlink" Target="https://www.vidio.com/live/20260-fa-cup-2025-26?schedule_id=4832320" TargetMode="External"/><Relationship Id="rId11540" Type="http://schemas.openxmlformats.org/officeDocument/2006/relationships/hyperlink" Target="https://drive.google.com/file/d/1nsj73dSeb5zXV1LpDhZkJsSYo0o8oOXd/view?usp=sharing" TargetMode="External"/><Relationship Id="rId4755" Type="http://schemas.openxmlformats.org/officeDocument/2006/relationships/hyperlink" Target="https://thumbor.prod.vidiocdn.com/W41eZPkgIsLFy8tRet7pn3nAurw=/filters:quality(70)/vidio-media-production/uploads/image/source/52145/af2a8c.png" TargetMode="External"/><Relationship Id="rId5806" Type="http://schemas.openxmlformats.org/officeDocument/2006/relationships/hyperlink" Target="https://drive.google.com/drive/folders/1dkc808NkPLA_8v4galu91qVhSA3xxNS-?usp=drive_link" TargetMode="External"/><Relationship Id="rId10142" Type="http://schemas.openxmlformats.org/officeDocument/2006/relationships/hyperlink" Target="https://www.vidio.com/live/19998?schedule_id=4743104" TargetMode="External"/><Relationship Id="rId278" Type="http://schemas.openxmlformats.org/officeDocument/2006/relationships/hyperlink" Target="https://www.vidio.com/live/9182-champions-tv-5?schedule_id=4512825" TargetMode="External"/><Relationship Id="rId3357" Type="http://schemas.openxmlformats.org/officeDocument/2006/relationships/hyperlink" Target="https://drive.google.com/drive/folders/1I4ErN_31g1MCKDcV7kyPaLdmEo1g6mqW?usp=drive_link" TargetMode="External"/><Relationship Id="rId3771" Type="http://schemas.openxmlformats.org/officeDocument/2006/relationships/hyperlink" Target="https://www.vidio.com/live/6685-champions-tv-1?schedule_id=4570988" TargetMode="External"/><Relationship Id="rId4408" Type="http://schemas.openxmlformats.org/officeDocument/2006/relationships/hyperlink" Target="https://www.vidio.com/live/19404-serie-a?schedule_id=4678474" TargetMode="External"/><Relationship Id="rId4822" Type="http://schemas.openxmlformats.org/officeDocument/2006/relationships/hyperlink" Target="https://thumbor.prod.vidiocdn.com/Q53fP1sRuICcs6gDyJzxgpBO7kw=/filters:quality(70)/vidio-media-production/uploads/image/source/52695/c798bf.png" TargetMode="External"/><Relationship Id="rId7978" Type="http://schemas.openxmlformats.org/officeDocument/2006/relationships/hyperlink" Target="https://drive.google.com/file/d/1-EOi73Nm3e3tFjk06wD-5tKGk36bD24f/view?usp=sharing" TargetMode="External"/><Relationship Id="rId10959" Type="http://schemas.openxmlformats.org/officeDocument/2006/relationships/hyperlink" Target="https://drive.google.com/drive/folders/1Mh93Qpu-kyD-xgO2jBlXXaor8fBGuNg_?usp=drive_link" TargetMode="External"/><Relationship Id="rId692" Type="http://schemas.openxmlformats.org/officeDocument/2006/relationships/hyperlink" Target="https://drive.google.com/drive/folders/1ds9PMo8hFSwSpLmEp1JSAss9vLnn8zkw" TargetMode="External"/><Relationship Id="rId2373" Type="http://schemas.openxmlformats.org/officeDocument/2006/relationships/hyperlink" Target="https://www.vidio.com/live/17323-laliga?schedule_id=4527598" TargetMode="External"/><Relationship Id="rId3424" Type="http://schemas.openxmlformats.org/officeDocument/2006/relationships/hyperlink" Target="https://drive.google.com/file/d/1oLd9vM-UlSElIa4vshYudXWgpCwsJsFp/view?usp=sharing" TargetMode="External"/><Relationship Id="rId6994" Type="http://schemas.openxmlformats.org/officeDocument/2006/relationships/hyperlink" Target="https://drive.google.com/drive/folders/1xDBykXhUZjk3tiEXtCQu8AsWG5XVBJyC?usp=drive_link" TargetMode="External"/><Relationship Id="rId12381" Type="http://schemas.openxmlformats.org/officeDocument/2006/relationships/hyperlink" Target="https://drive.google.com/file/d/1QU7f_kJOwoVWtAMjp7ybswNoG2DihFYJ/view?usp=sharing" TargetMode="External"/><Relationship Id="rId345" Type="http://schemas.openxmlformats.org/officeDocument/2006/relationships/hyperlink" Target="https://drive.google.com/drive/folders/1_p8cX4lDJPrVISVS5mqqd0UNNZkyDPHE?usp=drive_link" TargetMode="External"/><Relationship Id="rId2026" Type="http://schemas.openxmlformats.org/officeDocument/2006/relationships/hyperlink" Target="https://www.vidio.com/live/205-indosiar?schedule_id=4708915" TargetMode="External"/><Relationship Id="rId2440" Type="http://schemas.openxmlformats.org/officeDocument/2006/relationships/hyperlink" Target="https://drive.google.com/file/d/1kSIKG-4rP9lTOsI_scSzOPwsTzj2YdnP/view?usp=drive_link" TargetMode="External"/><Relationship Id="rId5596" Type="http://schemas.openxmlformats.org/officeDocument/2006/relationships/hyperlink" Target="https://drive.google.com/file/d/1zhdazW93KuvwHP0iK2g3xYkCpWNx-ooB/view?usp=sharing" TargetMode="External"/><Relationship Id="rId6647" Type="http://schemas.openxmlformats.org/officeDocument/2006/relationships/hyperlink" Target="https://drive.google.com/file/d/1tY9EDraOpQoyzCUi-MA1E0O3HmY2qpol/view?usp=sharing" TargetMode="External"/><Relationship Id="rId9053" Type="http://schemas.openxmlformats.org/officeDocument/2006/relationships/hyperlink" Target="https://drive.google.com/file/d/1dic0r0BhiZ5lFTruHwdtwS2-5w5YU-oI/view?usp=sharing" TargetMode="External"/><Relationship Id="rId12034" Type="http://schemas.openxmlformats.org/officeDocument/2006/relationships/hyperlink" Target="https://www.vidio.com/live/18249-petronas-malaysia-open-2026-round-of-16-court-1?schedule_id=4832351" TargetMode="External"/><Relationship Id="rId412" Type="http://schemas.openxmlformats.org/officeDocument/2006/relationships/hyperlink" Target="https://drive.google.com/drive/folders/1HAHXgmpUJc29YOD8xWSMgQyRhfXuT8Vy" TargetMode="External"/><Relationship Id="rId1042" Type="http://schemas.openxmlformats.org/officeDocument/2006/relationships/hyperlink" Target="https://drive.google.com/file/d/1VmLVShoZPmFn6mJN9LilI32dDOcYYoVv/view?usp=sharing" TargetMode="External"/><Relationship Id="rId4198" Type="http://schemas.openxmlformats.org/officeDocument/2006/relationships/hyperlink" Target="https://drive.google.com/file/d/14flWU8Rwmzl6LvoFIDn-O9Ots7VFS9da/view?usp=sharing" TargetMode="External"/><Relationship Id="rId5249" Type="http://schemas.openxmlformats.org/officeDocument/2006/relationships/hyperlink" Target="https://drive.google.com/file/d/1JNB1k0BbrB9t0d1Hh4wzZBVkv-MNcJDz/view?usp=sharing" TargetMode="External"/><Relationship Id="rId5663" Type="http://schemas.openxmlformats.org/officeDocument/2006/relationships/hyperlink" Target="https://drive.google.com/drive/folders/1szZTgmqpPzNjOVRzR9XzYGVfLJ9FkE7X?usp=drive_link" TargetMode="External"/><Relationship Id="rId9120" Type="http://schemas.openxmlformats.org/officeDocument/2006/relationships/hyperlink" Target="https://drive.google.com/file/d/1FXL06sBKXw_7NE0WlB-Zko6NhE1HfDg-/view?usp=sharing" TargetMode="External"/><Relationship Id="rId11050" Type="http://schemas.openxmlformats.org/officeDocument/2006/relationships/hyperlink" Target="https://drive.google.com/file/d/1xyoCvCxeCc9_wmt5vH8VROFW0_KnxOzO/view?usp=sharing" TargetMode="External"/><Relationship Id="rId4265" Type="http://schemas.openxmlformats.org/officeDocument/2006/relationships/hyperlink" Target="https://drive.google.com/file/d/10c4pckC8jKxVFoF32HwNgiafchuksspV/view?usp=sharing" TargetMode="External"/><Relationship Id="rId5316" Type="http://schemas.openxmlformats.org/officeDocument/2006/relationships/hyperlink" Target="https://drive.google.com/drive/folders/14Wb3x9yN298vTECYGS7G_yCO7LWjXAJK" TargetMode="External"/><Relationship Id="rId6714" Type="http://schemas.openxmlformats.org/officeDocument/2006/relationships/hyperlink" Target="https://drive.google.com/drive/folders/1avxBDHOSpSGP6mC0dyYR2HlimraYRR3w" TargetMode="External"/><Relationship Id="rId12101" Type="http://schemas.openxmlformats.org/officeDocument/2006/relationships/hyperlink" Target="https://www.vidio.com/live/18252-petronas-malaysia-open-2026-round-of-16-court-3?schedule_id=4832358" TargetMode="External"/><Relationship Id="rId1859" Type="http://schemas.openxmlformats.org/officeDocument/2006/relationships/hyperlink" Target="https://drive.google.com/file/d/12T39CM28vr47_lBDeEsPx3vGjQ2aD9LS/view?usp=drive_link" TargetMode="External"/><Relationship Id="rId5730" Type="http://schemas.openxmlformats.org/officeDocument/2006/relationships/hyperlink" Target="https://www.vidio.com/live/19599-uefa-europa-league?schedule_id=4664113" TargetMode="External"/><Relationship Id="rId8886" Type="http://schemas.openxmlformats.org/officeDocument/2006/relationships/hyperlink" Target="https://www.vidio.com/live/19542-pegadaian-championship-2025-26?schedule_id=4790743" TargetMode="External"/><Relationship Id="rId9937" Type="http://schemas.openxmlformats.org/officeDocument/2006/relationships/hyperlink" Target="https://www.vidio.com/live/19355-bri-super-league?schedule_id=4739838" TargetMode="External"/><Relationship Id="rId11867" Type="http://schemas.openxmlformats.org/officeDocument/2006/relationships/hyperlink" Target="https://drive.google.com/file/d/1_VFmtjeoa1jB6YMFl35R4XO6xs8PdX7H/view?usp=sharing" TargetMode="External"/><Relationship Id="rId1926" Type="http://schemas.openxmlformats.org/officeDocument/2006/relationships/hyperlink" Target="https://www.vidio.com/live/205-indosiar?schedule_id=4667504" TargetMode="External"/><Relationship Id="rId3281" Type="http://schemas.openxmlformats.org/officeDocument/2006/relationships/hyperlink" Target="https://drive.google.com/file/d/1wmOzMy5Gus1cQy5JoJ3bbGyaFyVNEcu6/view?usp=drive_link" TargetMode="External"/><Relationship Id="rId4332" Type="http://schemas.openxmlformats.org/officeDocument/2006/relationships/hyperlink" Target="https://www.vidio.com/live/19404-serie-a?schedule_id=4674569" TargetMode="External"/><Relationship Id="rId7488" Type="http://schemas.openxmlformats.org/officeDocument/2006/relationships/hyperlink" Target="https://drive.google.com/file/d/1DNux4glLBnqI-DzUHKvsJVIQIe0fQ_QF/view?usp=sharing" TargetMode="External"/><Relationship Id="rId8539" Type="http://schemas.openxmlformats.org/officeDocument/2006/relationships/hyperlink" Target="https://www.vidio.com/live/19543-pegadaian-championship-2025-26?schedule_id=4717735" TargetMode="External"/><Relationship Id="rId8953" Type="http://schemas.openxmlformats.org/officeDocument/2006/relationships/hyperlink" Target="https://drive.google.com/file/d/1QDYpvKnUAhcWTz54x8Uvvu3tbgM8ING4/view?usp=sharing" TargetMode="External"/><Relationship Id="rId10469" Type="http://schemas.openxmlformats.org/officeDocument/2006/relationships/hyperlink" Target="https://drive.google.com/file/d/1DNux4glLBnqI-DzUHKvsJVIQIe0fQ_QF/view?usp=sharing" TargetMode="External"/><Relationship Id="rId10883" Type="http://schemas.openxmlformats.org/officeDocument/2006/relationships/hyperlink" Target="https://drive.google.com/drive/folders/1tvjxvo3Z9U40bjdWOnfXzxHMgTUsDECs" TargetMode="External"/><Relationship Id="rId7555" Type="http://schemas.openxmlformats.org/officeDocument/2006/relationships/hyperlink" Target="https://drive.google.com/file/d/1j050Sq94AV4pdkw8-VGpRUlBq4sGFb6U/view?usp=sharing" TargetMode="External"/><Relationship Id="rId8606" Type="http://schemas.openxmlformats.org/officeDocument/2006/relationships/hyperlink" Target="https://drive.google.com/file/d/1QwcSnA-HiZzAHFMS8EwKxJPxUu9Fupj0/view?usp=sharing" TargetMode="External"/><Relationship Id="rId10536" Type="http://schemas.openxmlformats.org/officeDocument/2006/relationships/hyperlink" Target="https://drive.google.com/file/d/1V7c8fQoY1OJNRnrvgNGgihTIz9c_u1RO/view?usp=sharing" TargetMode="External"/><Relationship Id="rId11934" Type="http://schemas.openxmlformats.org/officeDocument/2006/relationships/hyperlink" Target="https://www.vidio.com/live/18250-petronas-malaysia-open-2026-round-of-32-court-2?schedule_id=4832215" TargetMode="External"/><Relationship Id="rId3001" Type="http://schemas.openxmlformats.org/officeDocument/2006/relationships/hyperlink" Target="https://drive.google.com/file/d/1EGDYby_Mrbov6ragN5FkffwMWWP4XqtO/view?usp=sharing" TargetMode="External"/><Relationship Id="rId6157" Type="http://schemas.openxmlformats.org/officeDocument/2006/relationships/hyperlink" Target="https://drive.google.com/drive/folders/1z0QSLmNvSJyyT8FLEYRkw6ibg9dSBAVC" TargetMode="External"/><Relationship Id="rId6571" Type="http://schemas.openxmlformats.org/officeDocument/2006/relationships/hyperlink" Target="https://drive.google.com/file/d/1a6bRH5-788PM6QuHI5rLfW8pcWzFyEUZ/view?usp=drive_link" TargetMode="External"/><Relationship Id="rId7208" Type="http://schemas.openxmlformats.org/officeDocument/2006/relationships/hyperlink" Target="https://drive.google.com/file/d/1DNux4glLBnqI-DzUHKvsJVIQIe0fQ_QF/view?usp=sharing" TargetMode="External"/><Relationship Id="rId7622" Type="http://schemas.openxmlformats.org/officeDocument/2006/relationships/hyperlink" Target="https://www.vidio.com/live/6299-bein-1?schedule_id=4636582" TargetMode="External"/><Relationship Id="rId10950" Type="http://schemas.openxmlformats.org/officeDocument/2006/relationships/hyperlink" Target="https://www.vidio.com/live/18250-hsbc-bwf-world-tour-finals-2025-group-stage-court-2?schedule_id=4783272" TargetMode="External"/><Relationship Id="rId2767" Type="http://schemas.openxmlformats.org/officeDocument/2006/relationships/hyperlink" Target="https://drive.google.com/file/d/1qUN-OSanfVadMo18aV2bWdZoTz45YG6o/view?usp=sharing" TargetMode="External"/><Relationship Id="rId5173" Type="http://schemas.openxmlformats.org/officeDocument/2006/relationships/hyperlink" Target="https://3.basecamp.com/4902751/buckets/36763424/card_tables/cards/9133974607" TargetMode="External"/><Relationship Id="rId6224" Type="http://schemas.openxmlformats.org/officeDocument/2006/relationships/hyperlink" Target="https://drive.google.com/drive/folders/1vjOA9E-jOlhsRSh5NE7jSpcmcR5v41-E" TargetMode="External"/><Relationship Id="rId9794" Type="http://schemas.openxmlformats.org/officeDocument/2006/relationships/hyperlink" Target="https://www.vidio.com/live/19880-top-soccer-championship-2025-u-13-u-14?schedule_id=4730507" TargetMode="External"/><Relationship Id="rId10603" Type="http://schemas.openxmlformats.org/officeDocument/2006/relationships/hyperlink" Target="https://drive.google.com/drive/folders/1WFmrY34NFYI13LXjpiq9aGGV3nq9L8vK?usp=drive_link" TargetMode="External"/><Relationship Id="rId739" Type="http://schemas.openxmlformats.org/officeDocument/2006/relationships/hyperlink" Target="https://drive.google.com/drive/folders/1mcyp3fHsA_pXzQijn6X0noz2iM_VLLjD?usp=drive_link" TargetMode="External"/><Relationship Id="rId1369" Type="http://schemas.openxmlformats.org/officeDocument/2006/relationships/hyperlink" Target="https://drive.google.com/file/d/1iML1xCp3ny_DU5S-OIwqB2skEuGb8jsz/view?usp=sharing" TargetMode="External"/><Relationship Id="rId3818" Type="http://schemas.openxmlformats.org/officeDocument/2006/relationships/hyperlink" Target="https://www.vidio.com/live/6686-champions-tv-2?schedule_id=4667506" TargetMode="External"/><Relationship Id="rId5240" Type="http://schemas.openxmlformats.org/officeDocument/2006/relationships/hyperlink" Target="https://drive.google.com/drive/folders/1UJh6Ohrk8ICltqRuS2ZUbx-5nOk1lSCs" TargetMode="External"/><Relationship Id="rId8396" Type="http://schemas.openxmlformats.org/officeDocument/2006/relationships/hyperlink" Target="https://www.vidio.com/live/6685-champions-tv-1?schedule_id=4726075" TargetMode="External"/><Relationship Id="rId9447" Type="http://schemas.openxmlformats.org/officeDocument/2006/relationships/hyperlink" Target="https://thumbor.prod.vidiocdn.com/dIzLcnAPNQIvx4WnwexnutzLKSw=/filters:quality(70)/vidio-media-production/uploads/image/source/52560/6c43d9.png" TargetMode="External"/><Relationship Id="rId1783" Type="http://schemas.openxmlformats.org/officeDocument/2006/relationships/hyperlink" Target="https://drive.google.com/file/d/1cziD_IBLeTgQT09JOd871u6LWoootSZF/view?usp=sharing" TargetMode="External"/><Relationship Id="rId2834" Type="http://schemas.openxmlformats.org/officeDocument/2006/relationships/hyperlink" Target="https://drive.google.com/file/d/1wWAPr_DB9i0fmX0fo9c8FRncy3QCGXo8/view?usp=sharing" TargetMode="External"/><Relationship Id="rId8049" Type="http://schemas.openxmlformats.org/officeDocument/2006/relationships/hyperlink" Target="https://drive.google.com/drive/folders/1mAS4FPnGCsmatH_1s68sBBmXyJswZk_u?usp=drive_link" TargetMode="External"/><Relationship Id="rId9861" Type="http://schemas.openxmlformats.org/officeDocument/2006/relationships/hyperlink" Target="https://drive.google.com/file/d/1bGAtWdCSL-v2iZg1GvRoYwXZwXVqVH3x/view" TargetMode="External"/><Relationship Id="rId11377" Type="http://schemas.openxmlformats.org/officeDocument/2006/relationships/hyperlink" Target="https://drive.google.com/file/d/1DNux4glLBnqI-DzUHKvsJVIQIe0fQ_QF/view?usp=drive_link" TargetMode="External"/><Relationship Id="rId11791" Type="http://schemas.openxmlformats.org/officeDocument/2006/relationships/hyperlink" Target="https://drive.google.com/file/d/13qnWr9Ign-ydDrUZgabzF2DTS9fm3B58/view?usp=sharing" TargetMode="External"/><Relationship Id="rId12428" Type="http://schemas.openxmlformats.org/officeDocument/2006/relationships/hyperlink" Target="https://drive.google.com/file/d/17nqJ8YbOWxi4DOQmMA4_VvY1qMuE4tM4/view" TargetMode="External"/><Relationship Id="rId75" Type="http://schemas.openxmlformats.org/officeDocument/2006/relationships/hyperlink" Target="https://drive.google.com/drive/folders/1ZnBlExIc16jpQRJ5yiF_rjC2Vw5bQFo5?usp=drive_link" TargetMode="External"/><Relationship Id="rId806" Type="http://schemas.openxmlformats.org/officeDocument/2006/relationships/hyperlink" Target="https://drive.google.com/file/d/1KITYE25Sy2a0uqVfbUyXMyA0FTVq9_Cr/view?usp=sharing" TargetMode="External"/><Relationship Id="rId1436" Type="http://schemas.openxmlformats.org/officeDocument/2006/relationships/hyperlink" Target="https://www.vidio.com/live/19353-bri-super-league?schedule_id=4485243" TargetMode="External"/><Relationship Id="rId1850" Type="http://schemas.openxmlformats.org/officeDocument/2006/relationships/hyperlink" Target="https://www.vidio.com/live/19354-bri-super-league?schedule_id=4651619" TargetMode="External"/><Relationship Id="rId2901" Type="http://schemas.openxmlformats.org/officeDocument/2006/relationships/hyperlink" Target="https://www.vidio.com/live/17323-laliga?schedule_id=4704466" TargetMode="External"/><Relationship Id="rId7065" Type="http://schemas.openxmlformats.org/officeDocument/2006/relationships/hyperlink" Target="https://drive.google.com/file/d/1txYuK0Y1SXfOIYTqF6hI-ThnItiUfGNl/view?usp=sharing" TargetMode="External"/><Relationship Id="rId8463" Type="http://schemas.openxmlformats.org/officeDocument/2006/relationships/hyperlink" Target="https://drive.google.com/file/d/1y6iaGRvIZtRTwIcewv6Fgzdl2qaNF7wO/view?usp=sharing" TargetMode="External"/><Relationship Id="rId9514" Type="http://schemas.openxmlformats.org/officeDocument/2006/relationships/hyperlink" Target="https://drive.google.com/file/d/1va6l948LWaGBW_hGzOoubPOhVy70iqxQ/view?usp=sharing" TargetMode="External"/><Relationship Id="rId10393" Type="http://schemas.openxmlformats.org/officeDocument/2006/relationships/hyperlink" Target="https://www.vidio.com/live/19737-turkish-volleyball-league?schedule_id=4773818" TargetMode="External"/><Relationship Id="rId11444" Type="http://schemas.openxmlformats.org/officeDocument/2006/relationships/hyperlink" Target="https://drive.google.com/file/d/1_HFq8MOoppJCzo4J5dpuUDP_ZQCy_AEp/view?usp=sharing" TargetMode="External"/><Relationship Id="rId1503" Type="http://schemas.openxmlformats.org/officeDocument/2006/relationships/hyperlink" Target="https://drive.google.com/drive/folders/1seARVBX0EHzYd9KdQovPKdWrDowwj0l5?usp=drive_link" TargetMode="External"/><Relationship Id="rId4659" Type="http://schemas.openxmlformats.org/officeDocument/2006/relationships/hyperlink" Target="https://drive.google.com/drive/folders/1gHWqyjLjPOufW0iC77V3Lom1OyhH7SVI?usp=drive_link" TargetMode="External"/><Relationship Id="rId8116" Type="http://schemas.openxmlformats.org/officeDocument/2006/relationships/hyperlink" Target="https://drive.google.com/drive/folders/10kjndzNuhAMWdTMs_l_jk8B84L4z3b2d?usp=drive_link" TargetMode="External"/><Relationship Id="rId8530" Type="http://schemas.openxmlformats.org/officeDocument/2006/relationships/hyperlink" Target="https://drive.google.com/file/d/1KK1WHko9qBFEhLT8PxPzsykD-oq8x_bq/view?usp=sharing" TargetMode="External"/><Relationship Id="rId10046" Type="http://schemas.openxmlformats.org/officeDocument/2006/relationships/hyperlink" Target="https://www.vidio.com/live/19988-bri-super-league?schedule_id=4759266" TargetMode="External"/><Relationship Id="rId10460" Type="http://schemas.openxmlformats.org/officeDocument/2006/relationships/hyperlink" Target="https://drive.google.com/file/d/1W7XyBJVeg_Re9pGtJY4jvlXP6SzlXQs2/view?usp=sharing" TargetMode="External"/><Relationship Id="rId11511" Type="http://schemas.openxmlformats.org/officeDocument/2006/relationships/hyperlink" Target="https://www.vidio.com/live/19737-turkish-volleyball-league?schedule_id=4832831" TargetMode="External"/><Relationship Id="rId3675" Type="http://schemas.openxmlformats.org/officeDocument/2006/relationships/hyperlink" Target="https://drive.google.com/file/d/1i1f6bqUoGDt5xReN4RzVk3yOqwwT63o7/view?usp=sharing" TargetMode="External"/><Relationship Id="rId4726" Type="http://schemas.openxmlformats.org/officeDocument/2006/relationships/hyperlink" Target="https://thumbor.prod.vidiocdn.com/sTBcic8focQhpPe8smGckipPSSw=/filters:quality(70)/vidio-media-production/uploads/image/source/52003/8991db.png" TargetMode="External"/><Relationship Id="rId6081" Type="http://schemas.openxmlformats.org/officeDocument/2006/relationships/hyperlink" Target="https://www.vidio.com/live/6686-champions-tv-2?schedule_id=4575949" TargetMode="External"/><Relationship Id="rId7132" Type="http://schemas.openxmlformats.org/officeDocument/2006/relationships/hyperlink" Target="https://drive.google.com/file/d/1UqFekA6Af9Fcsfx8KYX198N3fpfm-rzN/view?usp=drive_link" TargetMode="External"/><Relationship Id="rId10113" Type="http://schemas.openxmlformats.org/officeDocument/2006/relationships/hyperlink" Target="https://drive.google.com/file/d/1bGAtWdCSL-v2iZg1GvRoYwXZwXVqVH3x/view" TargetMode="External"/><Relationship Id="rId596" Type="http://schemas.openxmlformats.org/officeDocument/2006/relationships/hyperlink" Target="https://drive.google.com/drive/folders/1reJgqrta8-x_LZOVIyNxF2oALmNOZ9ZP?usp=drive_link" TargetMode="External"/><Relationship Id="rId2277" Type="http://schemas.openxmlformats.org/officeDocument/2006/relationships/hyperlink" Target="https://drive.google.com/file/d/1sePssV_hBZ1h2ifA_M_OUjPsONyBqORF/view?usp=sharing" TargetMode="External"/><Relationship Id="rId2691" Type="http://schemas.openxmlformats.org/officeDocument/2006/relationships/hyperlink" Target="https://drive.google.com/drive/folders/1A2irc02HrsxKfw1oHIyjbl7CA3_CZgxj?usp=drive_link" TargetMode="External"/><Relationship Id="rId3328" Type="http://schemas.openxmlformats.org/officeDocument/2006/relationships/hyperlink" Target="https://drive.google.com/drive/folders/1qJurqRohVsogAKqqMeei_icgNdHCI4SV" TargetMode="External"/><Relationship Id="rId3742" Type="http://schemas.openxmlformats.org/officeDocument/2006/relationships/hyperlink" Target="https://drive.google.com/file/d/1PK84NJsJx2j6UFP9t0iYmu-Imk6RHdlV/view?usp=drive_link" TargetMode="External"/><Relationship Id="rId6898" Type="http://schemas.openxmlformats.org/officeDocument/2006/relationships/hyperlink" Target="https://drive.google.com/file/d/1RVRQ9P6PGJp8OuvkiCRmgGa5EJTHmBJh/view?usp=sharing" TargetMode="External"/><Relationship Id="rId12285" Type="http://schemas.openxmlformats.org/officeDocument/2006/relationships/hyperlink" Target="https://www.vidio.com/live/20277?schedule_id=4833891" TargetMode="External"/><Relationship Id="rId249" Type="http://schemas.openxmlformats.org/officeDocument/2006/relationships/hyperlink" Target="https://drive.google.com/file/d/1xBf_MrH97XhlfkDJBVEF5yc-lgqr3Jms/view?usp=sharing" TargetMode="External"/><Relationship Id="rId663" Type="http://schemas.openxmlformats.org/officeDocument/2006/relationships/hyperlink" Target="https://drive.google.com/file/d/1w9jr3BOsxvtVcLIdqyn3FzSS3gi44ng-/view?usp=sharing" TargetMode="External"/><Relationship Id="rId1293" Type="http://schemas.openxmlformats.org/officeDocument/2006/relationships/hyperlink" Target="https://www.vidio.com/live/19404-serie-a?schedule_id=4520564" TargetMode="External"/><Relationship Id="rId2344" Type="http://schemas.openxmlformats.org/officeDocument/2006/relationships/hyperlink" Target="https://www.vidio.com/live/6299-bein-1?schedule_id=4527686" TargetMode="External"/><Relationship Id="rId7949" Type="http://schemas.openxmlformats.org/officeDocument/2006/relationships/hyperlink" Target="https://drive.google.com/file/d/15ANQoCDFgiK0k7Kndx5DlsW4gsaAKLk3/view?usp=sharing" TargetMode="External"/><Relationship Id="rId9371" Type="http://schemas.openxmlformats.org/officeDocument/2006/relationships/hyperlink" Target="https://drive.google.com/drive/folders/1oMiI6GP7s9uyiH2fQMl2LahNncTb3iCs?usp=drive_link" TargetMode="External"/><Relationship Id="rId316" Type="http://schemas.openxmlformats.org/officeDocument/2006/relationships/hyperlink" Target="https://drive.google.com/drive/folders/16KPsK9K0mVahy0NKMh1LLjDSdQ-qrIKf?usp=drive_link" TargetMode="External"/><Relationship Id="rId6965" Type="http://schemas.openxmlformats.org/officeDocument/2006/relationships/hyperlink" Target="https://drive.google.com/drive/folders/1DrC8qLJsnWpWI-tZeb27fP__uEuayVNN?usp=drive_link" TargetMode="External"/><Relationship Id="rId9024" Type="http://schemas.openxmlformats.org/officeDocument/2006/relationships/hyperlink" Target="https://drive.google.com/file/d/1L13cvot06pgJRjW7OlNe34TUdFbXaKls/view?usp=sharing" TargetMode="External"/><Relationship Id="rId12352" Type="http://schemas.openxmlformats.org/officeDocument/2006/relationships/hyperlink" Target="https://www.vidio.com/live/18252-petronas-malaysia-open-2026-round-of-16-court-3?schedule_id=4833803" TargetMode="External"/><Relationship Id="rId730" Type="http://schemas.openxmlformats.org/officeDocument/2006/relationships/hyperlink" Target="https://drive.google.com/file/d/1rJ0Up_i8wkUCICt2j2zYBBtEJSOdSDD7/view?usp=sharing" TargetMode="External"/><Relationship Id="rId1013" Type="http://schemas.openxmlformats.org/officeDocument/2006/relationships/hyperlink" Target="https://drive.google.com/file/d/1CZxHTkKY6xB7FJQoHPXlJ73d6w5_o0FC/view?usp=sharing" TargetMode="External"/><Relationship Id="rId1360" Type="http://schemas.openxmlformats.org/officeDocument/2006/relationships/hyperlink" Target="https://drive.google.com/drive/folders/13g-2xNYJ52g3CsquyDv4V9uUMoDq__RD?usp=drive_link" TargetMode="External"/><Relationship Id="rId2411" Type="http://schemas.openxmlformats.org/officeDocument/2006/relationships/hyperlink" Target="https://drive.google.com/file/d/1_PfyLoesHprbKpWX6TS-5SISXnmHwiy6/view?usp=sharing" TargetMode="External"/><Relationship Id="rId4169" Type="http://schemas.openxmlformats.org/officeDocument/2006/relationships/hyperlink" Target="https://drive.google.com/file/d/1KshznOhPkWFHTifr6bUPVjcptiZj8RiB/view?usp=sharing" TargetMode="External"/><Relationship Id="rId5567" Type="http://schemas.openxmlformats.org/officeDocument/2006/relationships/hyperlink" Target="https://drive.google.com/drive/folders/1vs2NPBadTfe8mkFp1C94plFN9o2qZ3M8?usp=drive_link" TargetMode="External"/><Relationship Id="rId5981" Type="http://schemas.openxmlformats.org/officeDocument/2006/relationships/hyperlink" Target="https://www.vidio.com/live/19630-uefa-europa-league?schedule_id=4773533" TargetMode="External"/><Relationship Id="rId6618" Type="http://schemas.openxmlformats.org/officeDocument/2006/relationships/hyperlink" Target="https://drive.google.com/drive/folders/1X2p01TU38XeUwmomo-OdXSw_DpSxkWfB?usp=drive_link" TargetMode="External"/><Relationship Id="rId8040" Type="http://schemas.openxmlformats.org/officeDocument/2006/relationships/hyperlink" Target="https://drive.google.com/file/d/12zPHvChpsECqIRx7ntYNWGFK4gqPgwYw/view?usp=drive_link" TargetMode="External"/><Relationship Id="rId12005" Type="http://schemas.openxmlformats.org/officeDocument/2006/relationships/hyperlink" Target="https://drive.google.com/file/d/1B4cBF3qrh1sMXG2gV5jmUKJx_gapQy02/view?usp=sharing" TargetMode="External"/><Relationship Id="rId4583" Type="http://schemas.openxmlformats.org/officeDocument/2006/relationships/hyperlink" Target="https://drive.google.com/drive/folders/1DrOFGg-2qsC-9AXoBMr1aWzeiosUOTGM?usp=drive_link" TargetMode="External"/><Relationship Id="rId5634" Type="http://schemas.openxmlformats.org/officeDocument/2006/relationships/hyperlink" Target="https://drive.google.com/file/d/1kKWKMXyzU4XU23Cw9CAZWYi-X1Zmfzlc/view?usp=drive_link" TargetMode="External"/><Relationship Id="rId11021" Type="http://schemas.openxmlformats.org/officeDocument/2006/relationships/hyperlink" Target="https://www.vidio.com/live/20253-fa-cup-2025-26?schedule_id=4832309" TargetMode="External"/><Relationship Id="rId3185" Type="http://schemas.openxmlformats.org/officeDocument/2006/relationships/hyperlink" Target="https://thumbor.prod.vidiocdn.com/zh6YUO7Zz7RD2_HnmRjQhANidBU=/filters:quality(70)/vidio-media-production/uploads/image/source/52157/09c953.png" TargetMode="External"/><Relationship Id="rId4236" Type="http://schemas.openxmlformats.org/officeDocument/2006/relationships/hyperlink" Target="https://drive.google.com/file/d/1EJcCQZ6lhk-JthWY4-S9SkLHun3m1i6o/view?usp=sharing" TargetMode="External"/><Relationship Id="rId4650" Type="http://schemas.openxmlformats.org/officeDocument/2006/relationships/hyperlink" Target="https://drive.google.com/file/d/1bjYZPyyNYzhYuwXoK2Vmp1ufgMCyIhXY/view?usp=sharing" TargetMode="External"/><Relationship Id="rId5701" Type="http://schemas.openxmlformats.org/officeDocument/2006/relationships/hyperlink" Target="https://drive.google.com/file/d/1xzwYrU5hiNqOtGYthwOMI_-loLNR-3Xn/view?usp=sharing" TargetMode="External"/><Relationship Id="rId8857" Type="http://schemas.openxmlformats.org/officeDocument/2006/relationships/hyperlink" Target="https://www.vidio.com/live/17926-easl?schedule_id=4779503" TargetMode="External"/><Relationship Id="rId9908" Type="http://schemas.openxmlformats.org/officeDocument/2006/relationships/hyperlink" Target="https://drive.google.com/file/d/13GQzga8hkBVEkPxRtBYamsN2x_Rs_JY9/view?usp=sharing" TargetMode="External"/><Relationship Id="rId3252" Type="http://schemas.openxmlformats.org/officeDocument/2006/relationships/hyperlink" Target="https://thumbor.prod.vidiocdn.com/ku7nyKoF-T2ZJc8Ap5O1vs7XLwk=/filters:quality(70)/vidio-media-production/uploads/image/source/53068/f9224d.png" TargetMode="External"/><Relationship Id="rId4303" Type="http://schemas.openxmlformats.org/officeDocument/2006/relationships/hyperlink" Target="https://drive.google.com/file/d/1-TXXrNwQbI8cHPX2CsWhAN6NGQBJkpSg/view?usp=sharing" TargetMode="External"/><Relationship Id="rId7459" Type="http://schemas.openxmlformats.org/officeDocument/2006/relationships/hyperlink" Target="https://www.vidio.com/live/19587-top-youth-premier-league-2025-matchday-4?schedule_id=4585742" TargetMode="External"/><Relationship Id="rId7873" Type="http://schemas.openxmlformats.org/officeDocument/2006/relationships/hyperlink" Target="https://drive.google.com/file/d/1g3D74bAki_6-SWTs-b0S4o7Va7mJQVnF/view?usp=sharing" TargetMode="External"/><Relationship Id="rId10787" Type="http://schemas.openxmlformats.org/officeDocument/2006/relationships/hyperlink" Target="https://www.vidio.com/live/20240-proliga-2026?schedule_id=4832545" TargetMode="External"/><Relationship Id="rId11838" Type="http://schemas.openxmlformats.org/officeDocument/2006/relationships/hyperlink" Target="https://www.vidio.com/live/18249-petronas-malaysia-open-2026-round-of-32-court-1?schedule_id=4831553" TargetMode="External"/><Relationship Id="rId173" Type="http://schemas.openxmlformats.org/officeDocument/2006/relationships/hyperlink" Target="https://drive.google.com/drive/folders/1IjHFFJ1T5AWli3B_VYQXyeW6U421WdF6?usp=drive_link" TargetMode="External"/><Relationship Id="rId6475" Type="http://schemas.openxmlformats.org/officeDocument/2006/relationships/hyperlink" Target="https://drive.google.com/drive/folders/1RCSbcgJ_UAdE-fYC-f0fjvWWgmn2dzsF?usp=drive_link" TargetMode="External"/><Relationship Id="rId7526" Type="http://schemas.openxmlformats.org/officeDocument/2006/relationships/hyperlink" Target="https://www.vidio.com/live/19548-national-football-league-2025-26?schedule_id=4606944" TargetMode="External"/><Relationship Id="rId8924" Type="http://schemas.openxmlformats.org/officeDocument/2006/relationships/hyperlink" Target="https://thumbor.prod.vidiocdn.com/f9ERteEPM6KkWgO2_F785rpvMe0=/filters:quality(70)/vidio-media-production/uploads/image/source/52551/04324c.png" TargetMode="External"/><Relationship Id="rId10854" Type="http://schemas.openxmlformats.org/officeDocument/2006/relationships/hyperlink" Target="https://www.vidio.com/live/18249-hsbc-bwf-world-tour-finals-2025-group-stage-court-1?schedule_id=4781710" TargetMode="External"/><Relationship Id="rId11905" Type="http://schemas.openxmlformats.org/officeDocument/2006/relationships/hyperlink" Target="https://drive.google.com/drive/folders/1gqnmBiDc9HaK7fTi5sC9yJeePuPZJkd8?usp=drive_link" TargetMode="External"/><Relationship Id="rId240" Type="http://schemas.openxmlformats.org/officeDocument/2006/relationships/hyperlink" Target="https://drive.google.com/drive/folders/1ZnBlExIc16jpQRJ5yiF_rjC2Vw5bQFo5?usp=drive_link" TargetMode="External"/><Relationship Id="rId5077" Type="http://schemas.openxmlformats.org/officeDocument/2006/relationships/hyperlink" Target="https://drive.google.com/file/d/1NmijXnRzKN4vXZoHKaY1P37sOovzeawm/view?usp=sharing" TargetMode="External"/><Relationship Id="rId6128" Type="http://schemas.openxmlformats.org/officeDocument/2006/relationships/hyperlink" Target="https://drive.google.com/file/d/1o2B3yBTcsF_si6j57e4EcJELB0juid9u/view?usp=drive_link" TargetMode="External"/><Relationship Id="rId7940" Type="http://schemas.openxmlformats.org/officeDocument/2006/relationships/hyperlink" Target="https://drive.google.com/drive/folders/11K_dRAqE13LVCKjR5a1pICznHuvYJRve" TargetMode="External"/><Relationship Id="rId10507" Type="http://schemas.openxmlformats.org/officeDocument/2006/relationships/hyperlink" Target="https://drive.google.com/drive/folders/1f3qIPWSaZZvaXVgN-ZudkCOFRe1Qx1pc" TargetMode="External"/><Relationship Id="rId10921" Type="http://schemas.openxmlformats.org/officeDocument/2006/relationships/hyperlink" Target="https://drive.google.com/file/d/1OiW_D2onhReVXEfYvy1INOQR1cRNo9oQ/view?usp=sharing" TargetMode="External"/><Relationship Id="rId4093" Type="http://schemas.openxmlformats.org/officeDocument/2006/relationships/hyperlink" Target="https://drive.google.com/drive/folders/1gld7hF_Ce_A3oVQk8cmaRf4XidPuBodS?usp=drive_link" TargetMode="External"/><Relationship Id="rId5144" Type="http://schemas.openxmlformats.org/officeDocument/2006/relationships/hyperlink" Target="https://drive.google.com/file/d/1LjDcvuTK3-FQfWiwoV6xoG1XtL4ypxDu/view?usp=sharing" TargetMode="External"/><Relationship Id="rId5491" Type="http://schemas.openxmlformats.org/officeDocument/2006/relationships/hyperlink" Target="https://drive.google.com/file/d/1Jg_SWpLgSXmlQO6FCw0DYsNk1ZalGhO1/view?usp=share_link" TargetMode="External"/><Relationship Id="rId6542" Type="http://schemas.openxmlformats.org/officeDocument/2006/relationships/hyperlink" Target="https://drive.google.com/file/d/1kAY7-BWi-OEFxDKuo2sN6Gq7FZof3zuw/view?usp=drive_link" TargetMode="External"/><Relationship Id="rId9698" Type="http://schemas.openxmlformats.org/officeDocument/2006/relationships/hyperlink" Target="https://drive.google.com/drive/folders/1ZOliQ6CPQmVYVktdMzOPxlO1yOLHMPYz?usp=drive_link" TargetMode="External"/><Relationship Id="rId1687" Type="http://schemas.openxmlformats.org/officeDocument/2006/relationships/hyperlink" Target="https://drive.google.com/file/d/1dgs4oeFBx77yJInUMgX5LFDHvpg2tgK9/view?usp=drive_link" TargetMode="External"/><Relationship Id="rId2738" Type="http://schemas.openxmlformats.org/officeDocument/2006/relationships/hyperlink" Target="https://drive.google.com/file/d/15w44ZmGs3QNpAssYsWipIMqOy7OQ2Xyp/view?usp=sharing" TargetMode="External"/><Relationship Id="rId9765" Type="http://schemas.openxmlformats.org/officeDocument/2006/relationships/hyperlink" Target="https://drive.google.com/file/d/1CuXmW4Fxr7n-k1wsRBFPr4yOp-3y6Glu/view?usp=sharing" TargetMode="External"/><Relationship Id="rId11695" Type="http://schemas.openxmlformats.org/officeDocument/2006/relationships/hyperlink" Target="https://drive.google.com/file/d/1pMdmfnPtopDdRl3_qH0DKf4MQxnyNGR4/view?usp=sharing" TargetMode="External"/><Relationship Id="rId1754" Type="http://schemas.openxmlformats.org/officeDocument/2006/relationships/hyperlink" Target="https://www.vidio.com/live/19354-bri-super-league?schedule_id=4578243" TargetMode="External"/><Relationship Id="rId2805" Type="http://schemas.openxmlformats.org/officeDocument/2006/relationships/hyperlink" Target="https://drive.google.com/drive/folders/1cA9KxSRTjbGHfV97cQx2X2tYvii98MF_?usp=drive_link" TargetMode="External"/><Relationship Id="rId4160" Type="http://schemas.openxmlformats.org/officeDocument/2006/relationships/hyperlink" Target="https://drive.google.com/file/d/1OTVhFKjaT-m3Is9MBoOBQDctWQBQvMKe/view?usp=drive_link" TargetMode="External"/><Relationship Id="rId5211" Type="http://schemas.openxmlformats.org/officeDocument/2006/relationships/hyperlink" Target="https://www.vidio.com/live/17883-uefa-champions-league?schedule_id=4680962" TargetMode="External"/><Relationship Id="rId8367" Type="http://schemas.openxmlformats.org/officeDocument/2006/relationships/hyperlink" Target="https://www.vidio.com/live/19436-eredivisie?schedule_id=4708919" TargetMode="External"/><Relationship Id="rId8781" Type="http://schemas.openxmlformats.org/officeDocument/2006/relationships/hyperlink" Target="https://www.vidio.com/live/19672-easl?schedule_id=4713705" TargetMode="External"/><Relationship Id="rId9418" Type="http://schemas.openxmlformats.org/officeDocument/2006/relationships/hyperlink" Target="https://thumbor.prod.vidiocdn.com/CWtVzHFtitJPRqZBjqEoJ6yD5qA=/filters:quality(70)/vidio-media-production/uploads/image/source/52931/0845df.png" TargetMode="External"/><Relationship Id="rId9832" Type="http://schemas.openxmlformats.org/officeDocument/2006/relationships/hyperlink" Target="https://drive.google.com/file/d/1bGAtWdCSL-v2iZg1GvRoYwXZwXVqVH3x/view?usp=sharing" TargetMode="External"/><Relationship Id="rId10297" Type="http://schemas.openxmlformats.org/officeDocument/2006/relationships/hyperlink" Target="https://drive.google.com/file/d/1qweE2XOQsYsADWkPQ5GFCgtweiE2nZB2/view?usp=sharing" TargetMode="External"/><Relationship Id="rId11348" Type="http://schemas.openxmlformats.org/officeDocument/2006/relationships/hyperlink" Target="https://thumbor.prod.vidiocdn.com/fgFw4NNuq0rwEl2VKP3NhVwkIko=/filters:quality(70)/vidio-media-production/uploads/image/source/53029/dc2c95.png" TargetMode="External"/><Relationship Id="rId46" Type="http://schemas.openxmlformats.org/officeDocument/2006/relationships/hyperlink" Target="https://www.vidio.com/live/18832-sirkuit-nasional-bulutangkis-2025-jakarta-final?schedule_id=4320531" TargetMode="External"/><Relationship Id="rId1407" Type="http://schemas.openxmlformats.org/officeDocument/2006/relationships/hyperlink" Target="https://www.vidio.com/live/19404-serie-a?schedule_id=4527533" TargetMode="External"/><Relationship Id="rId1821" Type="http://schemas.openxmlformats.org/officeDocument/2006/relationships/hyperlink" Target="https://drive.google.com/drive/folders/15GOZWf-FB8xQVStWW6AQpQQRdMAY0muV" TargetMode="External"/><Relationship Id="rId4977" Type="http://schemas.openxmlformats.org/officeDocument/2006/relationships/hyperlink" Target="https://drive.google.com/file/d/1ZSfu7c_VC2CAjk2hPlpTJq65SaocWuRT/view?usp=sharing" TargetMode="External"/><Relationship Id="rId7383" Type="http://schemas.openxmlformats.org/officeDocument/2006/relationships/hyperlink" Target="https://drive.google.com/file/d/1abZEUpV_KSsKGrcGt9A_hOR09qV9HhTB/view?usp=drive_link" TargetMode="External"/><Relationship Id="rId8434" Type="http://schemas.openxmlformats.org/officeDocument/2006/relationships/hyperlink" Target="https://drive.google.com/file/d/1HOGisjX94z9DcDwOQAm7erE98yCYWI9k/view?usp=sharing" TargetMode="External"/><Relationship Id="rId10364" Type="http://schemas.openxmlformats.org/officeDocument/2006/relationships/hyperlink" Target="https://drive.google.com/file/d/1QmBbQ8tPMz4XKbhf9wvkMi9qq2SPfLeY/view?usp=sharing" TargetMode="External"/><Relationship Id="rId11762" Type="http://schemas.openxmlformats.org/officeDocument/2006/relationships/hyperlink" Target="https://drive.google.com/drive/folders/1VQluEuvQKLgV24xZYFA0LZt2SHPfB3Wi" TargetMode="External"/><Relationship Id="rId3579" Type="http://schemas.openxmlformats.org/officeDocument/2006/relationships/hyperlink" Target="https://thumbor.prod.vidiocdn.com/dLyFNZGyojWnhGQK1WqB4tfa1Ss=/filters:quality(70)/vidio-media-production/uploads/image/source/52009/023c27.png" TargetMode="External"/><Relationship Id="rId7036" Type="http://schemas.openxmlformats.org/officeDocument/2006/relationships/hyperlink" Target="https://drive.google.com/file/d/1fQeqouOGu00iXNqOn_tYHVMEZNY0aRZt/view?usp=drive_link" TargetMode="External"/><Relationship Id="rId7450" Type="http://schemas.openxmlformats.org/officeDocument/2006/relationships/hyperlink" Target="https://www.vidio.com/live/19587-top-youth-premier-league-2025-matchday-4?schedule_id=4585740" TargetMode="External"/><Relationship Id="rId8501" Type="http://schemas.openxmlformats.org/officeDocument/2006/relationships/hyperlink" Target="https://drive.google.com/drive/folders/1sWicJqoaSH9mlydQ6dcKIBz0rNXJ2bUv" TargetMode="External"/><Relationship Id="rId10017" Type="http://schemas.openxmlformats.org/officeDocument/2006/relationships/hyperlink" Target="https://thumbor.prod.vidiocdn.com/xyaZyhg_DC22r-jL1ojwKGQDY3o=/filters:quality(70)/vidio-media-production/uploads/image/source/52652/6ba164.png" TargetMode="External"/><Relationship Id="rId11415" Type="http://schemas.openxmlformats.org/officeDocument/2006/relationships/hyperlink" Target="https://drive.google.com/file/d/1EqAGqndjsd7teOWXMTWpvVaNXNUriGIf/view?usp=sharing" TargetMode="External"/><Relationship Id="rId2595" Type="http://schemas.openxmlformats.org/officeDocument/2006/relationships/hyperlink" Target="https://drive.google.com/drive/folders/1yg9QHn6qJXCnlUZmg-LdsDKBs5A5HPtZ?usp=drive_link" TargetMode="External"/><Relationship Id="rId3993" Type="http://schemas.openxmlformats.org/officeDocument/2006/relationships/hyperlink" Target="https://drive.google.com/file/d/11eTHlr4NHnV8LCeZ4LvgV_m20Z-Fe494/view?usp=sharing" TargetMode="External"/><Relationship Id="rId6052" Type="http://schemas.openxmlformats.org/officeDocument/2006/relationships/hyperlink" Target="https://drive.google.com/file/d/1fhJI8v4CwiykpIQJAnqPN3fMVqvIW9r2/view?usp=sharing" TargetMode="External"/><Relationship Id="rId7103" Type="http://schemas.openxmlformats.org/officeDocument/2006/relationships/hyperlink" Target="https://drive.google.com/file/d/1Z22T5EDhjNgltM6pstQU_VdjGp7XPzkl/view?usp=drive_link" TargetMode="External"/><Relationship Id="rId10431" Type="http://schemas.openxmlformats.org/officeDocument/2006/relationships/hyperlink" Target="https://drive.google.com/file/d/1UBnU2xXpbO4zroJPQTAyxfJZp93Ii23h/view?usp=sharing" TargetMode="External"/><Relationship Id="rId567" Type="http://schemas.openxmlformats.org/officeDocument/2006/relationships/hyperlink" Target="https://drive.google.com/file/d/1DFmsnylru6D3ac3kJsFectnz8N4WXGG9/view?usp=sharing" TargetMode="External"/><Relationship Id="rId1197" Type="http://schemas.openxmlformats.org/officeDocument/2006/relationships/hyperlink" Target="https://drive.google.com/drive/folders/1MR7r718uUs0AELOAjxWrIkv56qOZxrB0" TargetMode="External"/><Relationship Id="rId2248" Type="http://schemas.openxmlformats.org/officeDocument/2006/relationships/hyperlink" Target="https://drive.google.com/file/d/1xHUD0KFD0XpaveJs8dt3dMZ7AQnE8OuK/view?usp=sharing" TargetMode="External"/><Relationship Id="rId3646" Type="http://schemas.openxmlformats.org/officeDocument/2006/relationships/hyperlink" Target="https://www.vidio.com/live/6686-champions-tv-2?schedule_id=4516118" TargetMode="External"/><Relationship Id="rId9275" Type="http://schemas.openxmlformats.org/officeDocument/2006/relationships/hyperlink" Target="https://drive.google.com/file/d/1bGAtWdCSL-v2iZg1GvRoYwXZwXVqVH3x/view?usp=sharing" TargetMode="External"/><Relationship Id="rId12189" Type="http://schemas.openxmlformats.org/officeDocument/2006/relationships/hyperlink" Target="https://drive.google.com/file/d/17nqJ8YbOWxi4DOQmMA4_VvY1qMuE4tM4/view?usp=sharing" TargetMode="External"/><Relationship Id="rId981" Type="http://schemas.openxmlformats.org/officeDocument/2006/relationships/hyperlink" Target="https://drive.google.com/file/d/168rYZ6rK8of-NyxI-gAEV9Hhp8Mn-h9U/view?usp=sharing" TargetMode="External"/><Relationship Id="rId2662" Type="http://schemas.openxmlformats.org/officeDocument/2006/relationships/hyperlink" Target="https://www.vidio.com/live/6299-bein-1?schedule_id=4626129" TargetMode="External"/><Relationship Id="rId3713" Type="http://schemas.openxmlformats.org/officeDocument/2006/relationships/hyperlink" Target="https://drive.google.com/drive/folders/1I_gIflnzWndFwzVSolNnn6oz6-mt4Jj2" TargetMode="External"/><Relationship Id="rId6869" Type="http://schemas.openxmlformats.org/officeDocument/2006/relationships/hyperlink" Target="https://drive.google.com/file/d/1gCy7BI-y1ezRBOp5dMoaRQLztRhWzK2Y/view?usp=sharing" TargetMode="External"/><Relationship Id="rId12256" Type="http://schemas.openxmlformats.org/officeDocument/2006/relationships/hyperlink" Target="https://www.vidio.com/live/20266?schedule_id=4833843" TargetMode="External"/><Relationship Id="rId634" Type="http://schemas.openxmlformats.org/officeDocument/2006/relationships/hyperlink" Target="https://drive.google.com/file/d/1sZKf-b5JKShiPfchgWooltl-mnK2OSuy/view?usp=sharing" TargetMode="External"/><Relationship Id="rId1264" Type="http://schemas.openxmlformats.org/officeDocument/2006/relationships/hyperlink" Target="https://thumbor.prod.vidiocdn.com/hkpABGhhkVJTbhp8Fc4Tg2f6EpU=/filters:quality(70)/vidio-media-production/uploads/image/source/52847/b9b6ad.png" TargetMode="External"/><Relationship Id="rId2315" Type="http://schemas.openxmlformats.org/officeDocument/2006/relationships/hyperlink" Target="https://www.vidio.com/live/6299-bein-1?schedule_id=4514038" TargetMode="External"/><Relationship Id="rId5885" Type="http://schemas.openxmlformats.org/officeDocument/2006/relationships/hyperlink" Target="https://drive.google.com/file/d/1XLbwFGr4ZSVdkbmTfyEjx9oU6EDgnJZZ/view?usp=sharing" TargetMode="External"/><Relationship Id="rId6936" Type="http://schemas.openxmlformats.org/officeDocument/2006/relationships/hyperlink" Target="https://drive.google.com/drive/folders/1BhKJCwrQWMPmukRF_X1L_5IJlxac8Xp_?usp=drive_link" TargetMode="External"/><Relationship Id="rId8291" Type="http://schemas.openxmlformats.org/officeDocument/2006/relationships/hyperlink" Target="https://drive.google.com/file/d/1I0zADP-823JX4mqALTMcOHnASfqZjH4_/view?usp=sharing" TargetMode="External"/><Relationship Id="rId9342" Type="http://schemas.openxmlformats.org/officeDocument/2006/relationships/hyperlink" Target="https://drive.google.com/drive/folders/1UMkAdyK3YHeJv_Go5go02m6Bf_qorw4i" TargetMode="External"/><Relationship Id="rId11272" Type="http://schemas.openxmlformats.org/officeDocument/2006/relationships/hyperlink" Target="https://drive.google.com/drive/folders/1lsJRQtae10fZV3PwcmgFoNWsigcZ6xbI?usp=drive_link" TargetMode="External"/><Relationship Id="rId12323" Type="http://schemas.openxmlformats.org/officeDocument/2006/relationships/hyperlink" Target="https://www.vidio.com/live/20282?schedule_id=4833909" TargetMode="External"/><Relationship Id="rId701" Type="http://schemas.openxmlformats.org/officeDocument/2006/relationships/hyperlink" Target="https://drive.google.com/file/d/1w9R5IDEzxivTvOkG9y_Mi6TEgiZQZN4T/view?usp=sharing" TargetMode="External"/><Relationship Id="rId1331" Type="http://schemas.openxmlformats.org/officeDocument/2006/relationships/hyperlink" Target="https://drive.google.com/drive/folders/1LuxZ_sFvW4OpHLHwr_N1EPpdItPfXoCI?usp=drive_link" TargetMode="External"/><Relationship Id="rId4487" Type="http://schemas.openxmlformats.org/officeDocument/2006/relationships/hyperlink" Target="https://drive.google.com/drive/folders/190yi0NXB7fqt8awvfrHzHYND0AcQ3r1-?usp=drive_link" TargetMode="External"/><Relationship Id="rId5538" Type="http://schemas.openxmlformats.org/officeDocument/2006/relationships/hyperlink" Target="https://drive.google.com/drive/folders/1E42hHs8pkrct5F83o3YOOHJkelVviP-L?usp=drive_link" TargetMode="External"/><Relationship Id="rId5952" Type="http://schemas.openxmlformats.org/officeDocument/2006/relationships/hyperlink" Target="https://drive.google.com/file/d/1le34T3C15TrdJjuIW2PsWG1fd49kY3lc/view?usp=sharing" TargetMode="External"/><Relationship Id="rId3089" Type="http://schemas.openxmlformats.org/officeDocument/2006/relationships/hyperlink" Target="https://drive.google.com/drive/folders/1FkRvPhiq1oH4WOdv7KaSVExRVjlyBb2x?usp=sharing" TargetMode="External"/><Relationship Id="rId4554" Type="http://schemas.openxmlformats.org/officeDocument/2006/relationships/hyperlink" Target="https://www.vidio.com/live/19404-serie-a?schedule_id=4747192" TargetMode="External"/><Relationship Id="rId5605" Type="http://schemas.openxmlformats.org/officeDocument/2006/relationships/hyperlink" Target="https://drive.google.com/file/d/1qAapOxrTcLif4-oln0diBwmfaevUW54r/view?usp=sharing" TargetMode="External"/><Relationship Id="rId8011" Type="http://schemas.openxmlformats.org/officeDocument/2006/relationships/hyperlink" Target="https://drive.google.com/file/d/1y5dae8XBzkh17xK4G1ctDEZja5QGoxBp/view?usp=sharing" TargetMode="External"/><Relationship Id="rId3156" Type="http://schemas.openxmlformats.org/officeDocument/2006/relationships/hyperlink" Target="https://thumbor.prod.vidiocdn.com/LfMGlTA0vy8KqZbC6VFi9FAEBHw=/filters:quality(70)/vidio-media-production/uploads/image/source/52107/432bd6.png" TargetMode="External"/><Relationship Id="rId4207" Type="http://schemas.openxmlformats.org/officeDocument/2006/relationships/hyperlink" Target="https://www.vidio.com/live/19404-serie-a?schedule_id=4652728" TargetMode="External"/><Relationship Id="rId491" Type="http://schemas.openxmlformats.org/officeDocument/2006/relationships/hyperlink" Target="https://drive.google.com/file/d/1qne5KSvFK_DdaxtWRzDUENTvbJ39lONt/view?usp=sharing" TargetMode="External"/><Relationship Id="rId2172" Type="http://schemas.openxmlformats.org/officeDocument/2006/relationships/hyperlink" Target="https://drive.google.com/file/d/1syW1srBk4BAQX80t9lYa3Z8uDV1-AjE-/view?usp=drive_link" TargetMode="External"/><Relationship Id="rId3223" Type="http://schemas.openxmlformats.org/officeDocument/2006/relationships/hyperlink" Target="https://www.vidio.com/live/6299-bein-1?schedule_id=4819774" TargetMode="External"/><Relationship Id="rId3570" Type="http://schemas.openxmlformats.org/officeDocument/2006/relationships/hyperlink" Target="https://www.vidio.com/live/6686-champions-tv-2?schedule_id=4790671" TargetMode="External"/><Relationship Id="rId4621" Type="http://schemas.openxmlformats.org/officeDocument/2006/relationships/hyperlink" Target="https://drive.google.com/file/d/12C6gsdoHzWierDAXqKwOpVMsWf4uIWA4/view?usp=sharing" TargetMode="External"/><Relationship Id="rId6379" Type="http://schemas.openxmlformats.org/officeDocument/2006/relationships/hyperlink" Target="https://drive.google.com/file/d/1F7q1AaToPDXdWSsTSvocQ2Z9rUcxFl52/view?usp=drive_link" TargetMode="External"/><Relationship Id="rId7777" Type="http://schemas.openxmlformats.org/officeDocument/2006/relationships/hyperlink" Target="https://drive.google.com/drive/folders/1F7zKN7oO94ySN0IJ1C5mtVvEtlrV7bGy?usp=drive_link" TargetMode="External"/><Relationship Id="rId8828" Type="http://schemas.openxmlformats.org/officeDocument/2006/relationships/hyperlink" Target="https://www.vidio.com/live/6299-bein-1?schedule_id=4704668" TargetMode="External"/><Relationship Id="rId10758" Type="http://schemas.openxmlformats.org/officeDocument/2006/relationships/hyperlink" Target="https://thumbor.prod.vidiocdn.com/jk4ElYkYt_k-LHzsDIZx6u82D_0=/filters:quality(70)/vidio-media-production/uploads/image/source/52074/cd1a1c.png" TargetMode="External"/><Relationship Id="rId11809" Type="http://schemas.openxmlformats.org/officeDocument/2006/relationships/hyperlink" Target="https://drive.google.com/file/d/1eJVJpUKAFNWxLxYTbZoZRYrCww0XILnT/view?usp=sharing" TargetMode="External"/><Relationship Id="rId144" Type="http://schemas.openxmlformats.org/officeDocument/2006/relationships/hyperlink" Target="https://drive.google.com/drive/folders/1ZnBlExIc16jpQRJ5yiF_rjC2Vw5bQFo5?usp=drive_link" TargetMode="External"/><Relationship Id="rId6793" Type="http://schemas.openxmlformats.org/officeDocument/2006/relationships/hyperlink" Target="https://drive.google.com/drive/folders/1JYqObXMNDInBDBGi7pbkQaxSk7XSvOMr?usp=drive_link" TargetMode="External"/><Relationship Id="rId7844" Type="http://schemas.openxmlformats.org/officeDocument/2006/relationships/hyperlink" Target="https://www.vidio.com/live/19677-turkish-women-s-volleyball-cup?schedule_id=4637935" TargetMode="External"/><Relationship Id="rId10825" Type="http://schemas.openxmlformats.org/officeDocument/2006/relationships/hyperlink" Target="https://drive.google.com/file/d/1pAo0QhcvNgMx24DDFRlD4hLKz5KAp759/view?usp=sharing" TargetMode="External"/><Relationship Id="rId12180" Type="http://schemas.openxmlformats.org/officeDocument/2006/relationships/hyperlink" Target="https://www.vidio.com/live/20267-liga-topskor-greater-jakarta-pekan-pertama-u-13-lapangan-koci-depok?schedule_id=4833824" TargetMode="External"/><Relationship Id="rId2989" Type="http://schemas.openxmlformats.org/officeDocument/2006/relationships/hyperlink" Target="https://drive.google.com/drive/folders/1hfcarZQQTW9iAZReqcSurlYy_boiq7jw?usp=drive_link" TargetMode="External"/><Relationship Id="rId5395" Type="http://schemas.openxmlformats.org/officeDocument/2006/relationships/hyperlink" Target="https://drive.google.com/file/d/14OSrqTx67EPPRd152P9zkIU8aRccas47/view?usp=sharing" TargetMode="External"/><Relationship Id="rId6446" Type="http://schemas.openxmlformats.org/officeDocument/2006/relationships/hyperlink" Target="https://drive.google.com/file/d/1xcsbVjQXagMka-QOZn9QPht7gtaf3yTq/view?usp=sharing" TargetMode="External"/><Relationship Id="rId6860" Type="http://schemas.openxmlformats.org/officeDocument/2006/relationships/hyperlink" Target="https://drive.google.com/file/d/1VdoAF3flfh5U3DlplAmBQ9hsD8BVwbWY/view?usp=drive_link" TargetMode="External"/><Relationship Id="rId7911" Type="http://schemas.openxmlformats.org/officeDocument/2006/relationships/hyperlink" Target="https://www.vidio.com/live/18385-men-s-turkish-volleyball-cup?schedule_id=4660157" TargetMode="External"/><Relationship Id="rId211" Type="http://schemas.openxmlformats.org/officeDocument/2006/relationships/hyperlink" Target="https://drive.google.com/file/d/1yMUKTH7FcYbVr0xISuwZnh2F4ENOMGp8/view?usp=sharing" TargetMode="External"/><Relationship Id="rId5048" Type="http://schemas.openxmlformats.org/officeDocument/2006/relationships/hyperlink" Target="https://drive.google.com/file/d/10uSFFo45GhHwufjPjHWPmHQO179Z-Z5T/view?usp=sharing" TargetMode="External"/><Relationship Id="rId5462" Type="http://schemas.openxmlformats.org/officeDocument/2006/relationships/hyperlink" Target="https://drive.google.com/file/d/1AroIcT2Zw7YbMDx1XYrD9GF3GOtLJXYR/view?usp=sharing" TargetMode="External"/><Relationship Id="rId6513" Type="http://schemas.openxmlformats.org/officeDocument/2006/relationships/hyperlink" Target="https://drive.google.com/file/d/1qnqn6NID8qg-QdmAUsg8-01Pjd0_SmpP/view?usp=sharing" TargetMode="External"/><Relationship Id="rId9669" Type="http://schemas.openxmlformats.org/officeDocument/2006/relationships/hyperlink" Target="https://drive.google.com/file/d/1uq1XSwpB11XBBt9ggeHiYWbFWr2KO73Z/view?usp=sharing" TargetMode="External"/><Relationship Id="rId11599" Type="http://schemas.openxmlformats.org/officeDocument/2006/relationships/hyperlink" Target="https://drive.google.com/file/d/1iYX72uHHonfjxKsLyLgDusxKnjEZrzNu/view?usp=sharing" TargetMode="External"/><Relationship Id="rId1658" Type="http://schemas.openxmlformats.org/officeDocument/2006/relationships/hyperlink" Target="https://www.vidio.com/live/19354-bri-super-league?schedule_id=4525581" TargetMode="External"/><Relationship Id="rId2709" Type="http://schemas.openxmlformats.org/officeDocument/2006/relationships/hyperlink" Target="https://drive.google.com/file/d/1ErSCelEFpmSvNJPwGI9bHR8aiTCafeuJ/view?usp=drive_link" TargetMode="External"/><Relationship Id="rId4064" Type="http://schemas.openxmlformats.org/officeDocument/2006/relationships/hyperlink" Target="https://drive.google.com/file/d/1xvcSMWKD66vsP63rr82xC83RhYWAPEjD/view?usp=sharing" TargetMode="External"/><Relationship Id="rId5115" Type="http://schemas.openxmlformats.org/officeDocument/2006/relationships/hyperlink" Target="https://drive.google.com/file/d/1l1jdFm_fKKTH9orKkdyjtw6pRzvM44Az/view?usp=sharing" TargetMode="External"/><Relationship Id="rId8685" Type="http://schemas.openxmlformats.org/officeDocument/2006/relationships/hyperlink" Target="https://drive.google.com/file/d/18m-GhikGcOGMT7OjAepqjJ1ZseHP7F1q/view?usp=sharing" TargetMode="External"/><Relationship Id="rId9736" Type="http://schemas.openxmlformats.org/officeDocument/2006/relationships/hyperlink" Target="https://drive.google.com/file/d/1ndS33eft2OXcj8QLbyEVaRd_YY4ffG0U/view?usp=sharing" TargetMode="External"/><Relationship Id="rId3080" Type="http://schemas.openxmlformats.org/officeDocument/2006/relationships/hyperlink" Target="https://drive.google.com/file/d/1wI7djgY_iloDCxFqUosAzXWGwA1BufFu/view?usp=sharing" TargetMode="External"/><Relationship Id="rId4131" Type="http://schemas.openxmlformats.org/officeDocument/2006/relationships/hyperlink" Target="https://drive.google.com/file/d/1JzRHzS29wlEX0dMt7uvg_Arwtfl2Wdj4/view?usp=sharing" TargetMode="External"/><Relationship Id="rId7287" Type="http://schemas.openxmlformats.org/officeDocument/2006/relationships/hyperlink" Target="https://drive.google.com/drive/folders/1UFEKQ0tXINM_sNokRF-raGFP0M8b4ngv?usp=drive_link" TargetMode="External"/><Relationship Id="rId8338" Type="http://schemas.openxmlformats.org/officeDocument/2006/relationships/hyperlink" Target="https://drive.google.com/drive/folders/1_KHY9baellS-EuOqic0y7F_fT5wxGzYs" TargetMode="External"/><Relationship Id="rId11666" Type="http://schemas.openxmlformats.org/officeDocument/2006/relationships/hyperlink" Target="https://www.vidio.com/live/19623-national-football-league-2025-26?schedule_id=4825569" TargetMode="External"/><Relationship Id="rId1725" Type="http://schemas.openxmlformats.org/officeDocument/2006/relationships/hyperlink" Target="https://drive.google.com/drive/folders/1ipY_NPXoyAIeyXmmkiRyjGKzPZ5GMSLj?usp=sharing" TargetMode="External"/><Relationship Id="rId7354" Type="http://schemas.openxmlformats.org/officeDocument/2006/relationships/hyperlink" Target="https://drive.google.com/drive/folders/136vTx0LqLFNKYot6XRiEvL102d5TTaHA" TargetMode="External"/><Relationship Id="rId8752" Type="http://schemas.openxmlformats.org/officeDocument/2006/relationships/hyperlink" Target="https://www.vidio.com/live/19388-rws-muay-thai-2025?schedule_id=4675141" TargetMode="External"/><Relationship Id="rId9803" Type="http://schemas.openxmlformats.org/officeDocument/2006/relationships/hyperlink" Target="https://www.vidio.com/live/19880-top-soccer-championship-2025-u-13-u-14?schedule_id=4730510" TargetMode="External"/><Relationship Id="rId10268" Type="http://schemas.openxmlformats.org/officeDocument/2006/relationships/hyperlink" Target="https://www.vidio.com/live/20026" TargetMode="External"/><Relationship Id="rId10682" Type="http://schemas.openxmlformats.org/officeDocument/2006/relationships/hyperlink" Target="https://www.vidio.com/live/19388-rws-muay-thai-2025?schedule_id=4795160" TargetMode="External"/><Relationship Id="rId11319" Type="http://schemas.openxmlformats.org/officeDocument/2006/relationships/hyperlink" Target="https://drive.google.com/file/d/1o_fjG4-DhrhfBnTbVJ1a5gYeGoU05azU/view?usp=drive_link" TargetMode="External"/><Relationship Id="rId11733" Type="http://schemas.openxmlformats.org/officeDocument/2006/relationships/hyperlink" Target="https://drive.google.com/file/d/1eJVJpUKAFNWxLxYTbZoZRYrCww0XILnT/view?usp=sharing" TargetMode="External"/><Relationship Id="rId17" Type="http://schemas.openxmlformats.org/officeDocument/2006/relationships/hyperlink" Target="https://drive.google.com/drive/folders/1d7xx308efQJuSloYvCFiOvwDWTCsaSAi?usp=drive_link" TargetMode="External"/><Relationship Id="rId3897" Type="http://schemas.openxmlformats.org/officeDocument/2006/relationships/hyperlink" Target="https://drive.google.com/file/d/1kTKI1efpG_yzoeDHlaBQZNEfIh5Yg7To/view?usp=sharing" TargetMode="External"/><Relationship Id="rId4948" Type="http://schemas.openxmlformats.org/officeDocument/2006/relationships/hyperlink" Target="https://drive.google.com/drive/folders/1fKz95zx_v0MR6TmrZlNFTrZvNJLLrIAO" TargetMode="External"/><Relationship Id="rId7007" Type="http://schemas.openxmlformats.org/officeDocument/2006/relationships/hyperlink" Target="https://drive.google.com/file/d/1W1N2faio7nO9aKOszz9KQKjvtFQuGltI/view?usp=sharing" TargetMode="External"/><Relationship Id="rId8405" Type="http://schemas.openxmlformats.org/officeDocument/2006/relationships/hyperlink" Target="https://thumbor.prod.vidiocdn.com/keJRdemXepgV10optVtcmZ0EVZg=/filters:quality(70)/vidio-media-production/uploads/image/source/52061/d20891.png" TargetMode="External"/><Relationship Id="rId10335" Type="http://schemas.openxmlformats.org/officeDocument/2006/relationships/hyperlink" Target="https://drive.google.com/file/d/18tEbasgwq_MXgr1JckS27JEejHZzKQjh/view?usp=sharing" TargetMode="External"/><Relationship Id="rId11800" Type="http://schemas.openxmlformats.org/officeDocument/2006/relationships/hyperlink" Target="https://www.vidio.com/live/19623-national-football-league-2025-26?schedule_id=4834972" TargetMode="External"/><Relationship Id="rId2499" Type="http://schemas.openxmlformats.org/officeDocument/2006/relationships/hyperlink" Target="https://drive.google.com/file/d/1TXWw_CmOqkrtAs6aho8Bi5FFhg2xF1xc/view?usp=sharing" TargetMode="External"/><Relationship Id="rId3964" Type="http://schemas.openxmlformats.org/officeDocument/2006/relationships/hyperlink" Target="https://drive.google.com/file/d/1DNux4glLBnqI-DzUHKvsJVIQIe0fQ_QF/view?usp=sharing" TargetMode="External"/><Relationship Id="rId6370" Type="http://schemas.openxmlformats.org/officeDocument/2006/relationships/hyperlink" Target="https://drive.google.com/file/d/1X44motussed22s5xKeBhQKDJLOKZ0Blv/view?usp=sharing" TargetMode="External"/><Relationship Id="rId7421" Type="http://schemas.openxmlformats.org/officeDocument/2006/relationships/hyperlink" Target="https://drive.google.com/file/d/199ZC9lMPURPOIH-kol_YUSZcaYjrYLLu/view?usp=sharing" TargetMode="External"/><Relationship Id="rId10402" Type="http://schemas.openxmlformats.org/officeDocument/2006/relationships/hyperlink" Target="https://drive.google.com/drive/folders/12XQG1kQAdstLQzjQqcB8rZMmTYvFTaO4?usp=sharing" TargetMode="External"/><Relationship Id="rId1" Type="http://schemas.openxmlformats.org/officeDocument/2006/relationships/hyperlink" Target="https://www.vidio.com/live/6685-champions-tv-1?schedule_id=4017120" TargetMode="External"/><Relationship Id="rId885" Type="http://schemas.openxmlformats.org/officeDocument/2006/relationships/hyperlink" Target="https://drive.google.com/file/d/1_Fc57uq9wYLxrIuhw97GscCwG0ugPsea/view?usp=sharing" TargetMode="External"/><Relationship Id="rId2566" Type="http://schemas.openxmlformats.org/officeDocument/2006/relationships/hyperlink" Target="https://www.vidio.com/live/6299-bein-1?schedule_id=4592571" TargetMode="External"/><Relationship Id="rId2980" Type="http://schemas.openxmlformats.org/officeDocument/2006/relationships/hyperlink" Target="https://drive.google.com/file/d/1krNmrlcB2Vyrv1jyxxh7G9eiFidPw6sL/view?usp=sharing" TargetMode="External"/><Relationship Id="rId3617" Type="http://schemas.openxmlformats.org/officeDocument/2006/relationships/hyperlink" Target="https://drive.google.com/file/d/1v7su6-T4WNQLNHDyZHgHQrAhGkokuBuI/view?usp=sharing" TargetMode="External"/><Relationship Id="rId6023" Type="http://schemas.openxmlformats.org/officeDocument/2006/relationships/hyperlink" Target="https://drive.google.com/file/d/1Ik0RYrPZ4EntkZjMalC4nv5eOR9u3XTA/view?usp=sharing" TargetMode="External"/><Relationship Id="rId9179" Type="http://schemas.openxmlformats.org/officeDocument/2006/relationships/hyperlink" Target="https://drive.google.com/file/d/1DNux4glLBnqI-DzUHKvsJVIQIe0fQ_QF/view?usp=sharing" TargetMode="External"/><Relationship Id="rId9593" Type="http://schemas.openxmlformats.org/officeDocument/2006/relationships/hyperlink" Target="https://drive.google.com/file/d/1YLfx7ySHfJisJP9X0qnNZafwiNGhXjoQ/view?usp=sharing" TargetMode="External"/><Relationship Id="rId538" Type="http://schemas.openxmlformats.org/officeDocument/2006/relationships/hyperlink" Target="https://drive.google.com/drive/folders/1TaP_vfs-hFJJkkXHSczErZfIfAt991tI" TargetMode="External"/><Relationship Id="rId952" Type="http://schemas.openxmlformats.org/officeDocument/2006/relationships/hyperlink" Target="https://drive.google.com/file/d/1j0rJzqFYBweP6BJdxY8ij8QH62dmP1vF/view?usp=sharing" TargetMode="External"/><Relationship Id="rId1168" Type="http://schemas.openxmlformats.org/officeDocument/2006/relationships/hyperlink" Target="https://thumbor.prod.vidiocdn.com/-6EKcMBeVbQHYZ495hcyVBN6DBs=/filters:quality(70)/vidio-media-production/uploads/image/source/52546/caf873.png" TargetMode="External"/><Relationship Id="rId1582" Type="http://schemas.openxmlformats.org/officeDocument/2006/relationships/hyperlink" Target="https://drive.google.com/drive/folders/1nyKUUyr6kiqG4SFcbhStnCRfNhqct17a" TargetMode="External"/><Relationship Id="rId2219" Type="http://schemas.openxmlformats.org/officeDocument/2006/relationships/hyperlink" Target="https://drive.google.com/file/d/1epXlLjeAmmbhpmh_8Ugcd8UScwUDJvuz/view?usp=sharing" TargetMode="External"/><Relationship Id="rId2633" Type="http://schemas.openxmlformats.org/officeDocument/2006/relationships/hyperlink" Target="https://www.vidio.com/live/6317-bein-3?schedule_id=4626139" TargetMode="External"/><Relationship Id="rId5789" Type="http://schemas.openxmlformats.org/officeDocument/2006/relationships/hyperlink" Target="https://drive.google.com/drive/folders/13eQLR64HrKbyWDLlQsn3dQSDucgsN6sA?usp=drive_link" TargetMode="External"/><Relationship Id="rId8195" Type="http://schemas.openxmlformats.org/officeDocument/2006/relationships/hyperlink" Target="https://drive.google.com/file/d/11vLnIb-5qlfqzLAIwsrugZ0clf3vl3ca/view?usp=sharing" TargetMode="External"/><Relationship Id="rId9246" Type="http://schemas.openxmlformats.org/officeDocument/2006/relationships/hyperlink" Target="https://www.vidio.com/live/19811-top-soccer-championship-2025-u-17?schedule_id=4708228" TargetMode="External"/><Relationship Id="rId9660" Type="http://schemas.openxmlformats.org/officeDocument/2006/relationships/hyperlink" Target="https://drive.google.com/file/d/1WLgIawbUUvSzeVWXrERK85SZZ04e4P6c/view?usp=sharing" TargetMode="External"/><Relationship Id="rId11176" Type="http://schemas.openxmlformats.org/officeDocument/2006/relationships/hyperlink" Target="https://drive.google.com/file/d/1vzbuvhDnd7bmjyq0hoaElH3WJB4NEBgr/view?usp=sharing" TargetMode="External"/><Relationship Id="rId12227" Type="http://schemas.openxmlformats.org/officeDocument/2006/relationships/hyperlink" Target="https://drive.google.com/file/d/17nqJ8YbOWxi4DOQmMA4_VvY1qMuE4tM4/view?usp=drive_link" TargetMode="External"/><Relationship Id="rId605" Type="http://schemas.openxmlformats.org/officeDocument/2006/relationships/hyperlink" Target="https://drive.google.com/file/d/1PzFaVpRl14e9MdP4YZy3j92P2b1z4Pge/view?usp=sharing" TargetMode="External"/><Relationship Id="rId1235" Type="http://schemas.openxmlformats.org/officeDocument/2006/relationships/hyperlink" Target="https://thumbor.prod.vidiocdn.com/jEC112qPM7-f15CXGStLLNieWcQ=/filters:quality(70)/vidio-media-production/uploads/image/source/52836/d9e75d.png" TargetMode="External"/><Relationship Id="rId8262" Type="http://schemas.openxmlformats.org/officeDocument/2006/relationships/hyperlink" Target="https://www.vidio.com/live/19692-top-youth-premier-league-2025-matchweek-6?schedule_id=4644427" TargetMode="External"/><Relationship Id="rId9313" Type="http://schemas.openxmlformats.org/officeDocument/2006/relationships/hyperlink" Target="https://www.vidio.com/live/20048-fivb-volleyball-club-world-championship-2025?schedule_id=4779508" TargetMode="External"/><Relationship Id="rId10192" Type="http://schemas.openxmlformats.org/officeDocument/2006/relationships/hyperlink" Target="https://www.vidio.com/live/6299-bein-1?schedule_id=4769288" TargetMode="External"/><Relationship Id="rId11590" Type="http://schemas.openxmlformats.org/officeDocument/2006/relationships/hyperlink" Target="https://www.vidio.com/live/6786-champions-tv-3?schedule_id=4832272" TargetMode="External"/><Relationship Id="rId1302" Type="http://schemas.openxmlformats.org/officeDocument/2006/relationships/hyperlink" Target="https://drive.google.com/drive/folders/1LuxZ_sFvW4OpHLHwr_N1EPpdItPfXoCI?usp=drive_link" TargetMode="External"/><Relationship Id="rId2700" Type="http://schemas.openxmlformats.org/officeDocument/2006/relationships/hyperlink" Target="https://www.vidio.com/live/6317-bein-3?schedule_id=4655969" TargetMode="External"/><Relationship Id="rId4458" Type="http://schemas.openxmlformats.org/officeDocument/2006/relationships/hyperlink" Target="https://www.vidio.com/live/19404-serie-a?schedule_id=4710008" TargetMode="External"/><Relationship Id="rId5856" Type="http://schemas.openxmlformats.org/officeDocument/2006/relationships/hyperlink" Target="https://drive.google.com/drive/folders/13eQLR64HrKbyWDLlQsn3dQSDucgsN6sA?usp=drive_link" TargetMode="External"/><Relationship Id="rId6907" Type="http://schemas.openxmlformats.org/officeDocument/2006/relationships/hyperlink" Target="https://drive.google.com/file/d/1GTyeOis7LPq-x9gJCITln-EpLj6FH_eD/view?usp=sharing" TargetMode="External"/><Relationship Id="rId11243" Type="http://schemas.openxmlformats.org/officeDocument/2006/relationships/hyperlink" Target="https://drive.google.com/drive/folders/1a7rEraRMfHQwBJqJwTsMoX8tDvnyKfoo?usp=drive_link" TargetMode="External"/><Relationship Id="rId4872" Type="http://schemas.openxmlformats.org/officeDocument/2006/relationships/hyperlink" Target="https://drive.google.com/file/d/1C4qQOIj1FczfAoTHJPqklTtFstWM64tI/view?usp=sharing" TargetMode="External"/><Relationship Id="rId5509" Type="http://schemas.openxmlformats.org/officeDocument/2006/relationships/hyperlink" Target="https://drive.google.com/file/d/17C82Q5Pb8O5UdyE76TU-qtRyeRQNuPvW/view?usp=sharing" TargetMode="External"/><Relationship Id="rId5923" Type="http://schemas.openxmlformats.org/officeDocument/2006/relationships/hyperlink" Target="https://drive.google.com/drive/folders/1pYi5qIT6QdvkfDRfWH0qsk97hfAPMoyN?usp=drive_link" TargetMode="External"/><Relationship Id="rId11310" Type="http://schemas.openxmlformats.org/officeDocument/2006/relationships/hyperlink" Target="https://thumbor.prod.vidiocdn.com/OXSIJZStuALR-YcVcTepKi3RE1A=/filters:quality(70)/vidio-media-production/uploads/image/source/53001/56db80.png" TargetMode="External"/><Relationship Id="rId395" Type="http://schemas.openxmlformats.org/officeDocument/2006/relationships/hyperlink" Target="https://drive.google.com/file/d/1G7aA7PeGKc3DAcBJ2UoxtypUyItWhTGp/view?usp=sharing" TargetMode="External"/><Relationship Id="rId2076" Type="http://schemas.openxmlformats.org/officeDocument/2006/relationships/hyperlink" Target="https://drive.google.com/drive/folders/1udcFYKRK0Vt1A7U77z0RyG9Rx-4PmJxr" TargetMode="External"/><Relationship Id="rId3474" Type="http://schemas.openxmlformats.org/officeDocument/2006/relationships/hyperlink" Target="https://drive.google.com/drive/folders/1uSLbtGKmSreKxiIh_xzoQjaRrF1MiJa2" TargetMode="External"/><Relationship Id="rId4525" Type="http://schemas.openxmlformats.org/officeDocument/2006/relationships/hyperlink" Target="https://drive.google.com/file/d/1NbKMFc7xL6n7nSR440tQPe8CrGyGDxf6/view?usp=sharing" TargetMode="External"/><Relationship Id="rId2490" Type="http://schemas.openxmlformats.org/officeDocument/2006/relationships/hyperlink" Target="https://drive.google.com/file/d/1Kxe3prfooDd6xb0_07q4_TlWYntcYs8B/view?usp=sharing" TargetMode="External"/><Relationship Id="rId3127" Type="http://schemas.openxmlformats.org/officeDocument/2006/relationships/hyperlink" Target="https://www.vidio.com/live/6299-bein-1?schedule_id=4773364" TargetMode="External"/><Relationship Id="rId3541" Type="http://schemas.openxmlformats.org/officeDocument/2006/relationships/hyperlink" Target="https://drive.google.com/file/d/1uhH4SmHFrHXu9dtVpdqTnKASkUhzhdE6/view?usp=sharing" TargetMode="External"/><Relationship Id="rId6697" Type="http://schemas.openxmlformats.org/officeDocument/2006/relationships/hyperlink" Target="https://drive.google.com/file/d/1mFOvt8_B28PRXuY3iCZ9dFs8bLns6DPN/view?usp=sharing" TargetMode="External"/><Relationship Id="rId7748" Type="http://schemas.openxmlformats.org/officeDocument/2006/relationships/hyperlink" Target="https://drive.google.com/drive/folders/1tyk9jeSt1j8RwGSMLLI-VtijrUi1DppA?usp=drive_link" TargetMode="External"/><Relationship Id="rId12084" Type="http://schemas.openxmlformats.org/officeDocument/2006/relationships/hyperlink" Target="https://drive.google.com/file/d/1NSS8caFvdZbwLM0rQ6xFjEA-VHdQ-0wz/view?usp=sharing" TargetMode="External"/><Relationship Id="rId462" Type="http://schemas.openxmlformats.org/officeDocument/2006/relationships/hyperlink" Target="https://drive.google.com/file/d/1KtnyJXydkx6QSGWerUnpVLCTD17dRahY/view?usp=sharing" TargetMode="External"/><Relationship Id="rId1092" Type="http://schemas.openxmlformats.org/officeDocument/2006/relationships/hyperlink" Target="https://drive.google.com/file/d/1rZH2IgFTzA_BTdhbvfhX7qnL47R7hl-r/view?usp=sharing" TargetMode="External"/><Relationship Id="rId2143" Type="http://schemas.openxmlformats.org/officeDocument/2006/relationships/hyperlink" Target="https://drive.google.com/file/d/1ZbsIPcVg3l1U8zbGufEKvDrR-FiU_uoj/view?usp=sharing" TargetMode="External"/><Relationship Id="rId5299" Type="http://schemas.openxmlformats.org/officeDocument/2006/relationships/hyperlink" Target="https://drive.google.com/file/d/1-8xyKZg64iELsnXBD6x9lNVq1SNzUdKA/view?usp=sharing" TargetMode="External"/><Relationship Id="rId6764" Type="http://schemas.openxmlformats.org/officeDocument/2006/relationships/hyperlink" Target="https://drive.google.com/file/d/1DNux4glLBnqI-DzUHKvsJVIQIe0fQ_QF/view?usp=sharing" TargetMode="External"/><Relationship Id="rId7815" Type="http://schemas.openxmlformats.org/officeDocument/2006/relationships/hyperlink" Target="https://www.vidio.com/live/6299-bein-1?schedule_id=4660171" TargetMode="External"/><Relationship Id="rId9170" Type="http://schemas.openxmlformats.org/officeDocument/2006/relationships/hyperlink" Target="https://drive.google.com/file/d/1DNux4glLBnqI-DzUHKvsJVIQIe0fQ_QF/view?usp=sharing" TargetMode="External"/><Relationship Id="rId10729" Type="http://schemas.openxmlformats.org/officeDocument/2006/relationships/hyperlink" Target="https://www.vidio.com/live/19623-national-football-league-2025-26?schedule_id=4783760" TargetMode="External"/><Relationship Id="rId12151" Type="http://schemas.openxmlformats.org/officeDocument/2006/relationships/hyperlink" Target="https://www.vidio.com/live/20271" TargetMode="External"/><Relationship Id="rId115" Type="http://schemas.openxmlformats.org/officeDocument/2006/relationships/hyperlink" Target="https://drive.google.com/file/d/1tG5UZe4FYs8BUudqykoGlk-WX_EG3kvF/view?usp=sharing" TargetMode="External"/><Relationship Id="rId2210" Type="http://schemas.openxmlformats.org/officeDocument/2006/relationships/hyperlink" Target="https://drive.google.com/file/d/1MxgQmcfXZsTIMr8JkA1ZqCRUFTX5CDnC/view?usp=sharing" TargetMode="External"/><Relationship Id="rId5366" Type="http://schemas.openxmlformats.org/officeDocument/2006/relationships/hyperlink" Target="https://drive.google.com/drive/folders/1KYWGKoh16BdjpjmqKsJdIhE72qbrSTmY" TargetMode="External"/><Relationship Id="rId6417" Type="http://schemas.openxmlformats.org/officeDocument/2006/relationships/hyperlink" Target="https://drive.google.com/drive/folders/1yimfYEBe5aMfP4IT5MfaP0Uwe82e2lOc" TargetMode="External"/><Relationship Id="rId4382" Type="http://schemas.openxmlformats.org/officeDocument/2006/relationships/hyperlink" Target="https://drive.google.com/file/d/1SRbioHVB-ZiOSEo8K0jG7yuam0V7mnf1/view?usp=sharing" TargetMode="External"/><Relationship Id="rId5019" Type="http://schemas.openxmlformats.org/officeDocument/2006/relationships/hyperlink" Target="https://www.vidio.com/live/6317-bein-3?schedule_id=4602542" TargetMode="External"/><Relationship Id="rId5433" Type="http://schemas.openxmlformats.org/officeDocument/2006/relationships/hyperlink" Target="https://drive.google.com/file/d/1FR2t3RyHfWk96A_u18w48BQ68UgGynqK/view?usp=share_link" TargetMode="External"/><Relationship Id="rId5780" Type="http://schemas.openxmlformats.org/officeDocument/2006/relationships/hyperlink" Target="https://drive.google.com/file/d/1YnVHDpfY-lBe8r0N1WG8j_yuqJlWHvjS/view?usp=sharing" TargetMode="External"/><Relationship Id="rId6831" Type="http://schemas.openxmlformats.org/officeDocument/2006/relationships/hyperlink" Target="https://drive.google.com/file/d/1QgS3YQsTdNsj-JO1TXw-k3v11-j1J8lv/view?usp=sharing" TargetMode="External"/><Relationship Id="rId8589" Type="http://schemas.openxmlformats.org/officeDocument/2006/relationships/hyperlink" Target="https://www.vidio.com/live/19541-pegadaian-championship-2025-26?schedule_id=4720758" TargetMode="External"/><Relationship Id="rId9987" Type="http://schemas.openxmlformats.org/officeDocument/2006/relationships/hyperlink" Target="https://drive.google.com/file/d/1I43rbkzp_vE_5khpoOH9lpIfiVe0d0r8/view?usp=sharing" TargetMode="External"/><Relationship Id="rId1976" Type="http://schemas.openxmlformats.org/officeDocument/2006/relationships/hyperlink" Target="https://drive.google.com/file/d/1FCGuht2g4rYwA18yiPO20w3SxKQgYKZF/view?usp=sharing" TargetMode="External"/><Relationship Id="rId4035" Type="http://schemas.openxmlformats.org/officeDocument/2006/relationships/hyperlink" Target="https://drive.google.com/file/d/1EmCtcn8ujvrWfa-ye-L02IkYjxAe649N/view?usp=drive_link" TargetMode="External"/><Relationship Id="rId11984" Type="http://schemas.openxmlformats.org/officeDocument/2006/relationships/hyperlink" Target="https://drive.google.com/drive/folders/1IxSGTpgXXA2YfU36mojv9OzY4xHG8KCN" TargetMode="External"/><Relationship Id="rId1629" Type="http://schemas.openxmlformats.org/officeDocument/2006/relationships/hyperlink" Target="https://drive.google.com/drive/folders/1kE0DDl25A-ieP7cGb4HtAyXXfM4wVkbN" TargetMode="External"/><Relationship Id="rId5500" Type="http://schemas.openxmlformats.org/officeDocument/2006/relationships/hyperlink" Target="https://drive.google.com/file/d/1LCZ51Ki-I6El1jZerwiabw516OHo1qy2/view?usp=sharing" TargetMode="External"/><Relationship Id="rId8656" Type="http://schemas.openxmlformats.org/officeDocument/2006/relationships/hyperlink" Target="https://drive.google.com/drive/folders/1kIFbAFIWza7o5FzpIUy20cBsZQQZBzje?usp=drive_link" TargetMode="External"/><Relationship Id="rId9707" Type="http://schemas.openxmlformats.org/officeDocument/2006/relationships/hyperlink" Target="https://drive.google.com/file/d/1T3OsUCbH-8GmO-zkUo7EGEwvZQGwpUav/view?usp=sharing" TargetMode="External"/><Relationship Id="rId10586" Type="http://schemas.openxmlformats.org/officeDocument/2006/relationships/hyperlink" Target="https://www.vidio.com/live/17875-bein-2?schedule_id=4832232" TargetMode="External"/><Relationship Id="rId11637" Type="http://schemas.openxmlformats.org/officeDocument/2006/relationships/hyperlink" Target="https://www.vidio.com/live/6317-bein-3?schedule_id=4827328" TargetMode="External"/><Relationship Id="rId3051" Type="http://schemas.openxmlformats.org/officeDocument/2006/relationships/hyperlink" Target="https://drive.google.com/file/d/1IdCLft-rd3uYf0wAtKql-_1jjFP2P3fV/view?usp=sharing" TargetMode="External"/><Relationship Id="rId4102" Type="http://schemas.openxmlformats.org/officeDocument/2006/relationships/hyperlink" Target="https://www.vidio.com/live/19404-serie-a?schedule_id=4598352" TargetMode="External"/><Relationship Id="rId7258" Type="http://schemas.openxmlformats.org/officeDocument/2006/relationships/hyperlink" Target="https://drive.google.com/drive/folders/1LiqE1rSncMJjnxCNuQI_mD7A8eO4Lsag?usp=drive_link" TargetMode="External"/><Relationship Id="rId7672" Type="http://schemas.openxmlformats.org/officeDocument/2006/relationships/hyperlink" Target="https://drive.google.com/drive/folders/1rvD5WEo5LtrOSdb4t4gP7a0Ced5BDYOs" TargetMode="External"/><Relationship Id="rId8309" Type="http://schemas.openxmlformats.org/officeDocument/2006/relationships/hyperlink" Target="https://www.vidio.com/live/17875-bein-2?schedule_id=4724826" TargetMode="External"/><Relationship Id="rId8723" Type="http://schemas.openxmlformats.org/officeDocument/2006/relationships/hyperlink" Target="https://drive.google.com/drive/folders/1NepG6XT-FSa8Cs07sX3tPfQWLNpJfAxp" TargetMode="External"/><Relationship Id="rId10239" Type="http://schemas.openxmlformats.org/officeDocument/2006/relationships/hyperlink" Target="https://drive.google.com/drive/folders/1NkddsS_lLZLw1LCQHvjHxjvsilYFPA76?usp=drive_link" TargetMode="External"/><Relationship Id="rId10653" Type="http://schemas.openxmlformats.org/officeDocument/2006/relationships/hyperlink" Target="https://www.vidio.com/live/6685-champions-tv-1?schedule_id=4832528" TargetMode="External"/><Relationship Id="rId3868" Type="http://schemas.openxmlformats.org/officeDocument/2006/relationships/hyperlink" Target="https://www.vidio.com/live/6686-champions-tv-2?schedule_id=4798225" TargetMode="External"/><Relationship Id="rId4919" Type="http://schemas.openxmlformats.org/officeDocument/2006/relationships/hyperlink" Target="https://www.vidio.com/live/17938-serie-a?schedule_id=4832298" TargetMode="External"/><Relationship Id="rId6274" Type="http://schemas.openxmlformats.org/officeDocument/2006/relationships/hyperlink" Target="https://drive.google.com/file/d/178z8fYW8G9S2anOSuxZMZUI9vXQKjRRo/view?usp=drive_link" TargetMode="External"/><Relationship Id="rId7325" Type="http://schemas.openxmlformats.org/officeDocument/2006/relationships/hyperlink" Target="https://drive.google.com/file/d/170z2hsDgplBe7PyyoHVv-ewyCWSNVJqc/view?usp=sharing" TargetMode="External"/><Relationship Id="rId10306" Type="http://schemas.openxmlformats.org/officeDocument/2006/relationships/hyperlink" Target="https://drive.google.com/drive/folders/1Am5z-zeGR2ldb1SWEbjBhOMlH93cHhJs" TargetMode="External"/><Relationship Id="rId11704" Type="http://schemas.openxmlformats.org/officeDocument/2006/relationships/hyperlink" Target="https://www.vidio.com/live/18252-petronas-malaysia-open-2026-round-of-16-court-3" TargetMode="External"/><Relationship Id="rId789" Type="http://schemas.openxmlformats.org/officeDocument/2006/relationships/hyperlink" Target="https://drive.google.com/file/d/1BFtbGYdz9Jp6AoRheqyv36H0bi3HS87c/view?usp=sharing" TargetMode="External"/><Relationship Id="rId2884" Type="http://schemas.openxmlformats.org/officeDocument/2006/relationships/hyperlink" Target="https://drive.google.com/drive/folders/1NNzUfomKy6Mk7do-nDCYTrESLGb4n7jL?usp=drive_link" TargetMode="External"/><Relationship Id="rId5290" Type="http://schemas.openxmlformats.org/officeDocument/2006/relationships/hyperlink" Target="https://drive.google.com/drive/folders/1w4rQb2CfebLRRj_hlz5mv1pHqP4DuLe0" TargetMode="External"/><Relationship Id="rId6341" Type="http://schemas.openxmlformats.org/officeDocument/2006/relationships/hyperlink" Target="https://drive.google.com/drive/folders/1PErijSECIvqSDKzYNc3pWrWkekLROTzT" TargetMode="External"/><Relationship Id="rId9497" Type="http://schemas.openxmlformats.org/officeDocument/2006/relationships/hyperlink" Target="https://drive.google.com/file/d/14MoP_R2XmKDRK5j9OvnviANe9UEjBldR/view?usp=sharing" TargetMode="External"/><Relationship Id="rId10720" Type="http://schemas.openxmlformats.org/officeDocument/2006/relationships/hyperlink" Target="https://drive.google.com/file/d/1O7UyJmQ2qbhKMd5Dv7nFzleJsUPqyQY9/view?usp=sharing" TargetMode="External"/><Relationship Id="rId856" Type="http://schemas.openxmlformats.org/officeDocument/2006/relationships/hyperlink" Target="https://drive.google.com/file/d/18LEJzeb8dI64Cw3AFlFwWeXZqOPXg8pg/view?usp=sharing" TargetMode="External"/><Relationship Id="rId1486" Type="http://schemas.openxmlformats.org/officeDocument/2006/relationships/hyperlink" Target="https://drive.google.com/drive/folders/1AMoXgUsWPgedrAMobm7FnsxQskXdhaxQ?usp=drive_link" TargetMode="External"/><Relationship Id="rId2537" Type="http://schemas.openxmlformats.org/officeDocument/2006/relationships/hyperlink" Target="https://drive.google.com/drive/folders/1zpT-GRbrd7ITt12agbngiedxVkC129Zj?usp=drive_link" TargetMode="External"/><Relationship Id="rId3935" Type="http://schemas.openxmlformats.org/officeDocument/2006/relationships/hyperlink" Target="https://www.vidio.com/live/9183-champions-tv-6?schedule_id=4579984" TargetMode="External"/><Relationship Id="rId8099" Type="http://schemas.openxmlformats.org/officeDocument/2006/relationships/hyperlink" Target="https://drive.google.com/file/d/19f6-GWFKBnUjOnSJ_ccOatBpyMimxhPY/view?usp=sharing" TargetMode="External"/><Relationship Id="rId9564" Type="http://schemas.openxmlformats.org/officeDocument/2006/relationships/hyperlink" Target="https://www.vidio.com/live/19846-top-soccer-championship-2025-u-13-u-14?schedule_id=4719863" TargetMode="External"/><Relationship Id="rId509" Type="http://schemas.openxmlformats.org/officeDocument/2006/relationships/hyperlink" Target="https://drive.google.com/file/d/1RkdvbmfjSNyukAhtASuniXgSZuWFF0pw/view?usp=sharing" TargetMode="External"/><Relationship Id="rId1139" Type="http://schemas.openxmlformats.org/officeDocument/2006/relationships/hyperlink" Target="https://www.vidio.com/live/19375-premier-league?schedule_id=4802189" TargetMode="External"/><Relationship Id="rId2951" Type="http://schemas.openxmlformats.org/officeDocument/2006/relationships/hyperlink" Target="https://drive.google.com/file/d/1UhS2FO4b16_yvwNjEzEUIJYdUdfxtR4N/view?usp=sharing" TargetMode="External"/><Relationship Id="rId5010" Type="http://schemas.openxmlformats.org/officeDocument/2006/relationships/hyperlink" Target="https://drive.google.com/drive/folders/1iXXXI8AUN2qzP-l9i7Vb4Z_ch9sn0od-" TargetMode="External"/><Relationship Id="rId8166" Type="http://schemas.openxmlformats.org/officeDocument/2006/relationships/hyperlink" Target="https://drive.google.com/file/d/1MMo0AYkWXJEmBeSoXiiLZt6d26ORlJt6/view?usp=sharing" TargetMode="External"/><Relationship Id="rId9217" Type="http://schemas.openxmlformats.org/officeDocument/2006/relationships/hyperlink" Target="https://drive.google.com/file/d/1bGAtWdCSL-v2iZg1GvRoYwXZwXVqVH3x/view?usp=drive_link" TargetMode="External"/><Relationship Id="rId11494" Type="http://schemas.openxmlformats.org/officeDocument/2006/relationships/hyperlink" Target="https://drive.google.com/file/d/1zxjhjSU85E5bguQYEKGBOdHz8Tay8hqX/view?usp=sharing" TargetMode="External"/><Relationship Id="rId923" Type="http://schemas.openxmlformats.org/officeDocument/2006/relationships/hyperlink" Target="https://drive.google.com/file/d/1ng24stXxAWmZFgxDzi1bt1FUFbR75Izu/view?usp=sharing" TargetMode="External"/><Relationship Id="rId1553" Type="http://schemas.openxmlformats.org/officeDocument/2006/relationships/hyperlink" Target="https://drive.google.com/file/d/162D0LDt9UJRsUGcyyUSBo6FETnVdeqKe/view?usp=sharing" TargetMode="External"/><Relationship Id="rId2604" Type="http://schemas.openxmlformats.org/officeDocument/2006/relationships/hyperlink" Target="https://drive.google.com/file/d/1d8c8GIGDREIj3SuGKp9CsNSCtpK71RZm/view?usp=sharing" TargetMode="External"/><Relationship Id="rId8580" Type="http://schemas.openxmlformats.org/officeDocument/2006/relationships/hyperlink" Target="https://drive.google.com/file/d/1Rnoz_PRXT5h5EBob_0FzyqMr__Kd8r0f/view?usp=sharing" TargetMode="External"/><Relationship Id="rId9631" Type="http://schemas.openxmlformats.org/officeDocument/2006/relationships/hyperlink" Target="https://drive.google.com/drive/folders/1kEwJJrbo61eVAQjFZOxW0n0gAPTGFJnO?usp=drive_link" TargetMode="External"/><Relationship Id="rId10096" Type="http://schemas.openxmlformats.org/officeDocument/2006/relationships/hyperlink" Target="https://www.vidio.com/live/18189-champions-golf-1?schedule_id=4762159" TargetMode="External"/><Relationship Id="rId11147" Type="http://schemas.openxmlformats.org/officeDocument/2006/relationships/hyperlink" Target="https://www.vidio.com/live/20253-fa-cup-2025-26?schedule_id=4834093" TargetMode="External"/><Relationship Id="rId11561" Type="http://schemas.openxmlformats.org/officeDocument/2006/relationships/hyperlink" Target="https://www.vidio.com/live/17139-spotv?schedule_id=4819769" TargetMode="External"/><Relationship Id="rId1206" Type="http://schemas.openxmlformats.org/officeDocument/2006/relationships/hyperlink" Target="https://www.vidio.com/live/18796-premier-league?schedule_id=4802194" TargetMode="External"/><Relationship Id="rId1620" Type="http://schemas.openxmlformats.org/officeDocument/2006/relationships/hyperlink" Target="https://drive.google.com/file/d/1yG17FpblJ5UptyBRNX0hyfyUWtxazjB5/view?usp=drive_link" TargetMode="External"/><Relationship Id="rId4776" Type="http://schemas.openxmlformats.org/officeDocument/2006/relationships/hyperlink" Target="https://www.vidio.com/live/19404-serie-a?schedule_id=4790694" TargetMode="External"/><Relationship Id="rId5827" Type="http://schemas.openxmlformats.org/officeDocument/2006/relationships/hyperlink" Target="https://drive.google.com/drive/folders/1_eQP-CmdICuSZtKfRRqg4YYplvV8jxVb?usp=drive_link" TargetMode="External"/><Relationship Id="rId7182" Type="http://schemas.openxmlformats.org/officeDocument/2006/relationships/hyperlink" Target="https://www.vidio.com/live/19556-top-youth-premier-league-2025-matchday-3?schedule_id=4569324" TargetMode="External"/><Relationship Id="rId8233" Type="http://schemas.openxmlformats.org/officeDocument/2006/relationships/hyperlink" Target="https://drive.google.com/drive/folders/1NepG6XT-FSa8Cs07sX3tPfQWLNpJfAxp" TargetMode="External"/><Relationship Id="rId10163" Type="http://schemas.openxmlformats.org/officeDocument/2006/relationships/hyperlink" Target="https://www.vidio.com/live/19737-turkish-volleyball-league?schedule_id=4766502" TargetMode="External"/><Relationship Id="rId11214" Type="http://schemas.openxmlformats.org/officeDocument/2006/relationships/hyperlink" Target="https://www.vidio.com/live/18249-hsbc-bwf-world-tour-finals-2025-group-stage-court-1?schedule_id=4784604" TargetMode="External"/><Relationship Id="rId3378" Type="http://schemas.openxmlformats.org/officeDocument/2006/relationships/hyperlink" Target="https://www.vidio.com/live/19355-bri-super-league?schedule_id=4528735" TargetMode="External"/><Relationship Id="rId3792" Type="http://schemas.openxmlformats.org/officeDocument/2006/relationships/hyperlink" Target="https://drive.google.com/file/d/1VDtn_Mz3-47ptTMV7yQfjrsmU8_NqQCQ/view?usp=sharing" TargetMode="External"/><Relationship Id="rId4429" Type="http://schemas.openxmlformats.org/officeDocument/2006/relationships/hyperlink" Target="https://drive.google.com/file/d/15uW195EEEvxBk_IXuS_fQR7-uij07x0X/view?usp=sharing" TargetMode="External"/><Relationship Id="rId4843" Type="http://schemas.openxmlformats.org/officeDocument/2006/relationships/hyperlink" Target="https://www.vidio.com/live/19404-serie-a?schedule_id=4832226" TargetMode="External"/><Relationship Id="rId7999" Type="http://schemas.openxmlformats.org/officeDocument/2006/relationships/hyperlink" Target="https://drive.google.com/file/d/14vMhLZlgPeq4GpC42uBYnikda4huZsTa/view?usp=sharing" TargetMode="External"/><Relationship Id="rId8300" Type="http://schemas.openxmlformats.org/officeDocument/2006/relationships/hyperlink" Target="https://drive.google.com/file/d/1VpqiCNJSD7uUwDUQqsIIZzzPJ5hAzgMI/view?usp=sharing" TargetMode="External"/><Relationship Id="rId10230" Type="http://schemas.openxmlformats.org/officeDocument/2006/relationships/hyperlink" Target="https://www.vidio.com/live/17875-bein-2?schedule_id=4773330" TargetMode="External"/><Relationship Id="rId299" Type="http://schemas.openxmlformats.org/officeDocument/2006/relationships/hyperlink" Target="https://drive.google.com/file/d/1m75-auz17ogSPn6TW4KGtM8VHxThMo9D/view?usp=sharing" TargetMode="External"/><Relationship Id="rId2394" Type="http://schemas.openxmlformats.org/officeDocument/2006/relationships/hyperlink" Target="https://drive.google.com/file/d/1KIovSSd7xmflSBhel_U1AsrRkWk56iyl/view?usp=sharing" TargetMode="External"/><Relationship Id="rId3445" Type="http://schemas.openxmlformats.org/officeDocument/2006/relationships/hyperlink" Target="https://drive.google.com/file/d/1b63r3Q4WK4I8C3_d1QRAsiMAjouKXGk_/view?usp=drive_link" TargetMode="External"/><Relationship Id="rId366" Type="http://schemas.openxmlformats.org/officeDocument/2006/relationships/hyperlink" Target="https://drive.google.com/file/d/1ZlBEgUJ3mdKViLGNqO1y0xhzhi3Oztjd/view?usp=drive_link" TargetMode="External"/><Relationship Id="rId780" Type="http://schemas.openxmlformats.org/officeDocument/2006/relationships/hyperlink" Target="https://www.vidio.com/live/9182-champions-tv-5?schedule_id=4740023" TargetMode="External"/><Relationship Id="rId2047" Type="http://schemas.openxmlformats.org/officeDocument/2006/relationships/hyperlink" Target="https://drive.google.com/file/d/1hM44p0QvMYxpM-HKdMNYY_Sxnh1reZaw/view?usp=sharing" TargetMode="External"/><Relationship Id="rId2461" Type="http://schemas.openxmlformats.org/officeDocument/2006/relationships/hyperlink" Target="https://drive.google.com/file/d/1X1ENdNmDsvVafmCDbfH5ENEqzuPWVu12/view?usp=sharing" TargetMode="External"/><Relationship Id="rId3512" Type="http://schemas.openxmlformats.org/officeDocument/2006/relationships/hyperlink" Target="https://drive.google.com/file/d/1K94s_1n53jNB57dODOzPpQJZPzN-0MrB/view?usp=drive_link" TargetMode="External"/><Relationship Id="rId4910" Type="http://schemas.openxmlformats.org/officeDocument/2006/relationships/hyperlink" Target="https://drive.google.com/file/d/16Jen6wugVSZJctGXrokVe1k6FHnqFpzk/view?usp=sharing" TargetMode="External"/><Relationship Id="rId6668" Type="http://schemas.openxmlformats.org/officeDocument/2006/relationships/hyperlink" Target="https://drive.google.com/file/d/1HrS4aY2qAvbiJjhlNmq7iCvk7FMinzU8/view?usp=drive_link" TargetMode="External"/><Relationship Id="rId9074" Type="http://schemas.openxmlformats.org/officeDocument/2006/relationships/hyperlink" Target="https://drive.google.com/drive/folders/1CInfrd4P2hi_qpD4ZSpSa3I-qv-q1Oft?usp=sharing" TargetMode="External"/><Relationship Id="rId12055" Type="http://schemas.openxmlformats.org/officeDocument/2006/relationships/hyperlink" Target="https://drive.google.com/drive/folders/1j2A_bH-x2l04Qo4WA98rK5ys1iCEU3UZ" TargetMode="External"/><Relationship Id="rId433" Type="http://schemas.openxmlformats.org/officeDocument/2006/relationships/hyperlink" Target="https://drive.google.com/file/d/19KhZqJb8GPQ7Gk1KULbhyT29o9DQbNPf/view?usp=sharing" TargetMode="External"/><Relationship Id="rId1063" Type="http://schemas.openxmlformats.org/officeDocument/2006/relationships/hyperlink" Target="https://drive.google.com/drive/folders/1yrOpXVmr9iHoN2YoxYABrQ9hwy8u-bsJ?usp=drive_link" TargetMode="External"/><Relationship Id="rId2114" Type="http://schemas.openxmlformats.org/officeDocument/2006/relationships/hyperlink" Target="https://drive.google.com/file/d/1dJvFhVjr_4Gb9HjTWJ39b2kTc7A1OL_v/view?usp=sharing" TargetMode="External"/><Relationship Id="rId7719" Type="http://schemas.openxmlformats.org/officeDocument/2006/relationships/hyperlink" Target="https://drive.google.com/drive/folders/1-d7SElccr2N6xnWCuYB7bicvICq7mohq?usp=drive_link" TargetMode="External"/><Relationship Id="rId8090" Type="http://schemas.openxmlformats.org/officeDocument/2006/relationships/hyperlink" Target="https://www.vidio.com/live/19584-pegadaian-championship-2025-26?schedule_id=4704443" TargetMode="External"/><Relationship Id="rId9141" Type="http://schemas.openxmlformats.org/officeDocument/2006/relationships/hyperlink" Target="https://www.vidio.com/live/19748-national-football-league-2025-26?schedule_id=4717977" TargetMode="External"/><Relationship Id="rId4286" Type="http://schemas.openxmlformats.org/officeDocument/2006/relationships/hyperlink" Target="https://drive.google.com/drive/folders/15-II7ipKAoia1ddwRA92IJ21xrPGVpIb?usp=drive_link" TargetMode="External"/><Relationship Id="rId5684" Type="http://schemas.openxmlformats.org/officeDocument/2006/relationships/hyperlink" Target="https://drive.google.com/drive/folders/1rG5nyXhTjXwXw5wVP3wznqAEIxWLwGfS" TargetMode="External"/><Relationship Id="rId6735" Type="http://schemas.openxmlformats.org/officeDocument/2006/relationships/hyperlink" Target="https://www.vidio.com/live/19355-bri-super-league?schedule_id=4579945" TargetMode="External"/><Relationship Id="rId11071" Type="http://schemas.openxmlformats.org/officeDocument/2006/relationships/hyperlink" Target="https://www.vidio.com/live/19548-national-football-league-2025-26?schedule_id=4790927" TargetMode="External"/><Relationship Id="rId12122" Type="http://schemas.openxmlformats.org/officeDocument/2006/relationships/hyperlink" Target="https://www.vidio.com/live/18250-petronas-malaysia-open-2026-round-of-16-court-2?schedule_id=4833781" TargetMode="External"/><Relationship Id="rId500" Type="http://schemas.openxmlformats.org/officeDocument/2006/relationships/hyperlink" Target="https://www.vidio.com/live/9183-champions-tv-6?schedule_id=4653354" TargetMode="External"/><Relationship Id="rId1130" Type="http://schemas.openxmlformats.org/officeDocument/2006/relationships/hyperlink" Target="https://drive.google.com/drive/folders/1DXgs0Oz1_yHq0LndzO4QJ7QLOqBCib7T?usp=drive_link" TargetMode="External"/><Relationship Id="rId5337" Type="http://schemas.openxmlformats.org/officeDocument/2006/relationships/hyperlink" Target="https://www.vidio.com/live/6317-bein-3?schedule_id=4733513" TargetMode="External"/><Relationship Id="rId5751" Type="http://schemas.openxmlformats.org/officeDocument/2006/relationships/hyperlink" Target="https://drive.google.com/file/d/1bLUHgAuq4JhFw7z4gDaaUjxLLcTKSu0T/view?usp=sharing" TargetMode="External"/><Relationship Id="rId6802" Type="http://schemas.openxmlformats.org/officeDocument/2006/relationships/hyperlink" Target="https://drive.google.com/file/d/1ETDVEnAZ-65Ybq1_So3EKVmQ42aFrzbC/view?usp=drive_link" TargetMode="External"/><Relationship Id="rId9958" Type="http://schemas.openxmlformats.org/officeDocument/2006/relationships/hyperlink" Target="https://drive.google.com/drive/folders/1Qx3vmwvwfL_edn1xvHzLz-IhMfS4hfxY?usp=drive_link" TargetMode="External"/><Relationship Id="rId11888" Type="http://schemas.openxmlformats.org/officeDocument/2006/relationships/hyperlink" Target="https://drive.google.com/file/d/1_VFmtjeoa1jB6YMFl35R4XO6xs8PdX7H/view?usp=sharing" TargetMode="External"/><Relationship Id="rId1947" Type="http://schemas.openxmlformats.org/officeDocument/2006/relationships/hyperlink" Target="https://drive.google.com/file/d/10OYwJvq7SlER-NOdH9y0GuSYZ6Iz_r_U/view?usp=sharing" TargetMode="External"/><Relationship Id="rId4353" Type="http://schemas.openxmlformats.org/officeDocument/2006/relationships/hyperlink" Target="https://drive.google.com/file/d/10hHtqo8dPufqa_aYdVj6TWApBLaYr7NI/view?usp=sharing" TargetMode="External"/><Relationship Id="rId5404" Type="http://schemas.openxmlformats.org/officeDocument/2006/relationships/hyperlink" Target="https://drive.google.com/file/d/1UDxS_cfMma2T0bESnBM7jPu3yKRiPHKf/view?usp=share_link" TargetMode="External"/><Relationship Id="rId8974" Type="http://schemas.openxmlformats.org/officeDocument/2006/relationships/hyperlink" Target="https://drive.google.com/drive/folders/16gD2JVWzjp1xjoc6qJGzOhzQW2ddWfwt" TargetMode="External"/><Relationship Id="rId4006" Type="http://schemas.openxmlformats.org/officeDocument/2006/relationships/hyperlink" Target="https://drive.google.com/file/d/1bOV-3ltBj-uk47dBVXsw7n7Qxxe0kKGo/view?usp=sharing" TargetMode="External"/><Relationship Id="rId4420" Type="http://schemas.openxmlformats.org/officeDocument/2006/relationships/hyperlink" Target="https://drive.google.com/drive/folders/1Ye0E50ZZ9Uzia0M-LCKsXs4bRIbHU60l?usp=drive_link" TargetMode="External"/><Relationship Id="rId7576" Type="http://schemas.openxmlformats.org/officeDocument/2006/relationships/hyperlink" Target="https://www.vidio.com/live/6299-bein-1?schedule_id=4644298" TargetMode="External"/><Relationship Id="rId7990" Type="http://schemas.openxmlformats.org/officeDocument/2006/relationships/hyperlink" Target="https://drive.google.com/file/d/1gQp6Bi_OeZWjk15lg27UFTN7wN2GAW10/view?usp=sharing" TargetMode="External"/><Relationship Id="rId8627" Type="http://schemas.openxmlformats.org/officeDocument/2006/relationships/hyperlink" Target="https://drive.google.com/drive/folders/1rl5FGcq4AJPO8LOU0ioroZMKuxSSq8pn?usp=drive_link" TargetMode="External"/><Relationship Id="rId11955" Type="http://schemas.openxmlformats.org/officeDocument/2006/relationships/hyperlink" Target="https://www.vidio.com/live/18250-petronas-malaysia-open-2026-round-of-32-court-?schedule_id=4832183" TargetMode="External"/><Relationship Id="rId290" Type="http://schemas.openxmlformats.org/officeDocument/2006/relationships/hyperlink" Target="https://www.vidio.com/live/9182-champions-tv-5?schedule_id=4525577" TargetMode="External"/><Relationship Id="rId3022" Type="http://schemas.openxmlformats.org/officeDocument/2006/relationships/hyperlink" Target="https://drive.google.com/drive/folders/1hfcarZQQTW9iAZReqcSurlYy_boiq7jw?usp=drive_link" TargetMode="External"/><Relationship Id="rId6178" Type="http://schemas.openxmlformats.org/officeDocument/2006/relationships/hyperlink" Target="https://drive.google.com/drive/folders/1z0QSLmNvSJyyT8FLEYRkw6ibg9dSBAVC" TargetMode="External"/><Relationship Id="rId6592" Type="http://schemas.openxmlformats.org/officeDocument/2006/relationships/hyperlink" Target="https://drive.google.com/file/d/1s5Nk_MFdv4DKSdZ0Hp8OEN3NYuvd2YR5/view?usp=drive_link" TargetMode="External"/><Relationship Id="rId7229" Type="http://schemas.openxmlformats.org/officeDocument/2006/relationships/hyperlink" Target="https://drive.google.com/drive/folders/1fzqOKBV3-Iybto6vVvNeaIHoSoYUklM_" TargetMode="External"/><Relationship Id="rId7643" Type="http://schemas.openxmlformats.org/officeDocument/2006/relationships/hyperlink" Target="https://drive.google.com/drive/folders/1v0653U8kNBTNML4vVPf-l6eJaljsoJeo?usp=drive_link" TargetMode="External"/><Relationship Id="rId10557" Type="http://schemas.openxmlformats.org/officeDocument/2006/relationships/hyperlink" Target="https://drive.google.com/file/d/1XSvuv99GUv81BOD7LbpR9DOy5EYQRTKq/view?usp=sharing" TargetMode="External"/><Relationship Id="rId10971" Type="http://schemas.openxmlformats.org/officeDocument/2006/relationships/hyperlink" Target="https://drive.google.com/drive/folders/15EF27f8qaUT7UDAlQF85hjWW3I04Y_L3" TargetMode="External"/><Relationship Id="rId11608" Type="http://schemas.openxmlformats.org/officeDocument/2006/relationships/hyperlink" Target="https://drive.google.com/drive/folders/1F-L6dKiKMxM32lw21yn5LriTy3v3JLOZ?usp=drive_link" TargetMode="External"/><Relationship Id="rId5194" Type="http://schemas.openxmlformats.org/officeDocument/2006/relationships/hyperlink" Target="https://drive.google.com/drive/u/0/folders/1ZPHMnCbgjG1qzh_a2mLVN7YeC2Py9dj3" TargetMode="External"/><Relationship Id="rId6245" Type="http://schemas.openxmlformats.org/officeDocument/2006/relationships/hyperlink" Target="https://drive.google.com/drive/folders/1Luc3jo1hEbb_fYdbzRRxSXhdK8NTX910" TargetMode="External"/><Relationship Id="rId10624" Type="http://schemas.openxmlformats.org/officeDocument/2006/relationships/hyperlink" Target="https://www.vidio.com/live/6685-champions-tv-1?schedule_id=4780821" TargetMode="External"/><Relationship Id="rId2788" Type="http://schemas.openxmlformats.org/officeDocument/2006/relationships/hyperlink" Target="https://drive.google.com/file/d/1n7hEqNIVYCeyeOSLItY4fzZRPqniQOLu/view?usp=sharing" TargetMode="External"/><Relationship Id="rId3839" Type="http://schemas.openxmlformats.org/officeDocument/2006/relationships/hyperlink" Target="https://drive.google.com/drive/folders/1TamBTnKSYyxYfhc3BC8cDUsxsWLWwq4o?usp=sharing" TargetMode="External"/><Relationship Id="rId7710" Type="http://schemas.openxmlformats.org/officeDocument/2006/relationships/hyperlink" Target="https://drive.google.com/file/d/1tHXdT-NytLIMCXcbtLY97f-3uPmFG10b/view?usp=sharing" TargetMode="External"/><Relationship Id="rId2855" Type="http://schemas.openxmlformats.org/officeDocument/2006/relationships/hyperlink" Target="https://drive.google.com/drive/folders/1EjFTzZaElM_nUUnRO1yv537xq-gd78P_?usp=drive_link" TargetMode="External"/><Relationship Id="rId3906" Type="http://schemas.openxmlformats.org/officeDocument/2006/relationships/hyperlink" Target="https://drive.google.com/file/d/1iTukX4niPWDex6wmHSSleJpN8wJn5vbe/view?usp=sharing" TargetMode="External"/><Relationship Id="rId5261" Type="http://schemas.openxmlformats.org/officeDocument/2006/relationships/hyperlink" Target="https://drive.google.com/drive/folders/1WYXWrLuHpxwtvtfNrHwoihEAfPxFliXP" TargetMode="External"/><Relationship Id="rId6312" Type="http://schemas.openxmlformats.org/officeDocument/2006/relationships/hyperlink" Target="https://drive.google.com/drive/folders/1_QyyUC0KxsA5I5XnGSR_moWG1pYIaeRU" TargetMode="External"/><Relationship Id="rId9468" Type="http://schemas.openxmlformats.org/officeDocument/2006/relationships/hyperlink" Target="https://thumbor.prod.vidiocdn.com/jA5_xYAWBk432qQTcKdVmxPLbCE=/filters:quality(70)/vidio-media-production/uploads/image/source/53014/f6e75d.png" TargetMode="External"/><Relationship Id="rId9882" Type="http://schemas.openxmlformats.org/officeDocument/2006/relationships/hyperlink" Target="https://drive.google.com/file/d/1F2WOw4HkphG21ycRBYkbV_7H7z7hSClM/view?usp=sharing" TargetMode="External"/><Relationship Id="rId11398" Type="http://schemas.openxmlformats.org/officeDocument/2006/relationships/hyperlink" Target="https://www.vidio.com/live/19383-bri-super-league?schedule_id=4803412" TargetMode="External"/><Relationship Id="rId12449" Type="http://schemas.openxmlformats.org/officeDocument/2006/relationships/hyperlink" Target="https://www.vidio.com/live/18249-petronas-malaysia-open-2026-semifinals?schedule_id=4835425" TargetMode="External"/><Relationship Id="rId96" Type="http://schemas.openxmlformats.org/officeDocument/2006/relationships/hyperlink" Target="https://drive.google.com/file/d/11Fkof9N6DdBfBRF4WqwYqHrFtcCDf9Rz/view?usp=drive_link" TargetMode="External"/><Relationship Id="rId827" Type="http://schemas.openxmlformats.org/officeDocument/2006/relationships/hyperlink" Target="https://drive.google.com/file/d/19gDLV907BhS0cIKlb8uS0Y0BBBIa0_Ld/view?usp=sharing" TargetMode="External"/><Relationship Id="rId1457" Type="http://schemas.openxmlformats.org/officeDocument/2006/relationships/hyperlink" Target="https://drive.google.com/drive/folders/1QxOS5_i9-qCvQm8ehTh0K183Ejrm5F5x" TargetMode="External"/><Relationship Id="rId1871" Type="http://schemas.openxmlformats.org/officeDocument/2006/relationships/hyperlink" Target="https://drive.google.com/file/d/1jUF1p_vjDwEo6LNBu822kFyMvpfIOAVl/view?usp=sharing" TargetMode="External"/><Relationship Id="rId2508" Type="http://schemas.openxmlformats.org/officeDocument/2006/relationships/hyperlink" Target="https://www.vidio.com/live/6299-bein-1?schedule_id=4577355" TargetMode="External"/><Relationship Id="rId2922" Type="http://schemas.openxmlformats.org/officeDocument/2006/relationships/hyperlink" Target="https://drive.google.com/file/d/1eS4KasaSWp-Cc7ngehjW9LHf1KoeLZwR/view?usp=sharing" TargetMode="External"/><Relationship Id="rId8484" Type="http://schemas.openxmlformats.org/officeDocument/2006/relationships/hyperlink" Target="https://thumbor.prod.vidiocdn.com/AGSL4ccuPnghNVLojtGC53kBR5I=/filters:quality(70)/vidio-media-production/uploads/image/source/52058/5bb0fc.png" TargetMode="External"/><Relationship Id="rId9535" Type="http://schemas.openxmlformats.org/officeDocument/2006/relationships/hyperlink" Target="https://drive.google.com/file/d/1bGAtWdCSL-v2iZg1GvRoYwXZwXVqVH3x/view" TargetMode="External"/><Relationship Id="rId11465" Type="http://schemas.openxmlformats.org/officeDocument/2006/relationships/hyperlink" Target="https://drive.google.com/drive/folders/1Hl6PqKLZehwzOzCWj0sHzUtGdSkqOn4O" TargetMode="External"/><Relationship Id="rId1524" Type="http://schemas.openxmlformats.org/officeDocument/2006/relationships/hyperlink" Target="https://drive.google.com/file/d/1LIbxCC6e-M3DsstOhJ1u6ODLkpFlKCzv/view?usp=drive_link" TargetMode="External"/><Relationship Id="rId7086" Type="http://schemas.openxmlformats.org/officeDocument/2006/relationships/hyperlink" Target="https://drive.google.com/file/d/1BaWYddLy5cBWUcmoU9I6GN4_PZ-rAUTm/view?usp=sharing" TargetMode="External"/><Relationship Id="rId8137" Type="http://schemas.openxmlformats.org/officeDocument/2006/relationships/hyperlink" Target="https://drive.google.com/file/d/1Q8Eetnq-ANZNK9aLGuBpQ1VTDVKgWxCJ/view?usp=sharing" TargetMode="External"/><Relationship Id="rId8551" Type="http://schemas.openxmlformats.org/officeDocument/2006/relationships/hyperlink" Target="https://drive.google.com/drive/folders/1rV6iBF3BUVJGKbJLmmi7Oe55VA7Nav1A" TargetMode="External"/><Relationship Id="rId9602" Type="http://schemas.openxmlformats.org/officeDocument/2006/relationships/hyperlink" Target="https://drive.google.com/drive/folders/17AhqFpASNsHX6qh8_mm0O8v2Lm4O_zTK?usp=drive_link" TargetMode="External"/><Relationship Id="rId10067" Type="http://schemas.openxmlformats.org/officeDocument/2006/relationships/hyperlink" Target="https://drive.google.com/drive/folders/16BJYwf9ZOTok4py0IOkHyPMzL3NprXZT?usp=drive_link" TargetMode="External"/><Relationship Id="rId10481" Type="http://schemas.openxmlformats.org/officeDocument/2006/relationships/hyperlink" Target="https://drive.google.com/file/d/1DNux4glLBnqI-DzUHKvsJVIQIe0fQ_QF/view?usp=sharing" TargetMode="External"/><Relationship Id="rId11118" Type="http://schemas.openxmlformats.org/officeDocument/2006/relationships/hyperlink" Target="https://thumbor.prod.vidiocdn.com/Mr6QB453eEyYg7xrzBTu_rBeZew=/filters:quality(70)/vidio-media-production/uploads/image/source/53140/4159c7.png" TargetMode="External"/><Relationship Id="rId3696" Type="http://schemas.openxmlformats.org/officeDocument/2006/relationships/hyperlink" Target="https://drive.google.com/file/d/1gB577vgF3rDCd1aYK5u2leyjNzXmNuaq/view?usp=sharing" TargetMode="External"/><Relationship Id="rId4747" Type="http://schemas.openxmlformats.org/officeDocument/2006/relationships/hyperlink" Target="https://thumbor.prod.vidiocdn.com/sExaOHrsPAi4AU7Ofbk7ly73cJg=/filters:quality(70)/vidio-media-production/uploads/image/source/52130/c6b801.png" TargetMode="External"/><Relationship Id="rId7153" Type="http://schemas.openxmlformats.org/officeDocument/2006/relationships/hyperlink" Target="https://drive.google.com/drive/folders/1BBq0u8Ub1Ue2ZQNQwWISJ24HM2qik-Fv?usp=drive_link" TargetMode="External"/><Relationship Id="rId8204" Type="http://schemas.openxmlformats.org/officeDocument/2006/relationships/hyperlink" Target="https://drive.google.com/file/d/1SPcDnDOCUT6z9fJyrJCqoQQPeh_4v2r7/view?usp=sharing" TargetMode="External"/><Relationship Id="rId10134" Type="http://schemas.openxmlformats.org/officeDocument/2006/relationships/hyperlink" Target="https://www.vidio.com/live/19998?schedule_id=4743096" TargetMode="External"/><Relationship Id="rId11532" Type="http://schemas.openxmlformats.org/officeDocument/2006/relationships/hyperlink" Target="https://drive.google.com/drive/folders/1XZtwcajI_lq7IcdTc6Fkx1_UrIJOs-XQ" TargetMode="External"/><Relationship Id="rId2298" Type="http://schemas.openxmlformats.org/officeDocument/2006/relationships/hyperlink" Target="https://drive.google.com/drive/folders/1AG2CIK1yBp3RWjsUVESRxBucv4b_ckYH?usp=drive_link" TargetMode="External"/><Relationship Id="rId3349" Type="http://schemas.openxmlformats.org/officeDocument/2006/relationships/hyperlink" Target="https://drive.google.com/drive/folders/1qJurqRohVsogAKqqMeei_icgNdHCI4SV" TargetMode="External"/><Relationship Id="rId7220" Type="http://schemas.openxmlformats.org/officeDocument/2006/relationships/hyperlink" Target="https://www.vidio.com/live/19548-national-football-league-2025-26?schedule_id=4638992" TargetMode="External"/><Relationship Id="rId684" Type="http://schemas.openxmlformats.org/officeDocument/2006/relationships/hyperlink" Target="https://www.vidio.com/live/19375-premier-league?schedule_id=4708206" TargetMode="External"/><Relationship Id="rId2365" Type="http://schemas.openxmlformats.org/officeDocument/2006/relationships/hyperlink" Target="https://drive.google.com/file/d/1HknncB0gSdlM7kvtQ2sBCXr-r3jm9yTc/view?usp=drive_link" TargetMode="External"/><Relationship Id="rId3763" Type="http://schemas.openxmlformats.org/officeDocument/2006/relationships/hyperlink" Target="https://drive.google.com/file/d/1K9tnEhOHv3ccBeL0YKfP8k_QklTNDXXr/view?usp=sharing" TargetMode="External"/><Relationship Id="rId4814" Type="http://schemas.openxmlformats.org/officeDocument/2006/relationships/hyperlink" Target="https://thumbor.prod.vidiocdn.com/jc4ZRSpODrx9W2qk1N8-FBABgBw=/filters:quality(70)/vidio-media-production/uploads/image/source/52466/67b68c.png" TargetMode="External"/><Relationship Id="rId9392" Type="http://schemas.openxmlformats.org/officeDocument/2006/relationships/hyperlink" Target="https://thumbor.prod.vidiocdn.com/5iTqjtxTXWtQdsiA3tQhkF5UK1g=/filters:quality(70)/vidio-media-production/uploads/image/source/52969/910f0a.png" TargetMode="External"/><Relationship Id="rId10201" Type="http://schemas.openxmlformats.org/officeDocument/2006/relationships/hyperlink" Target="https://www.vidio.com/live/6299-bein-1?schedule_id=4792950" TargetMode="External"/><Relationship Id="rId337" Type="http://schemas.openxmlformats.org/officeDocument/2006/relationships/hyperlink" Target="https://drive.google.com/file/d/1Kjuv-Wf7f1YIIbkOaKJOIhvgjDaZEKtf/view?usp=sharing" TargetMode="External"/><Relationship Id="rId2018" Type="http://schemas.openxmlformats.org/officeDocument/2006/relationships/hyperlink" Target="https://drive.google.com/file/d/17eVneGfzepfJHqD-tReHz-syGKzbtgGW/view?usp=sharing" TargetMode="External"/><Relationship Id="rId3416" Type="http://schemas.openxmlformats.org/officeDocument/2006/relationships/hyperlink" Target="https://drive.google.com/drive/folders/1Q5_KJmOEz9Exeep7uowv7Gx2rUghHLur?usp=drive_link" TargetMode="External"/><Relationship Id="rId3830" Type="http://schemas.openxmlformats.org/officeDocument/2006/relationships/hyperlink" Target="https://drive.google.com/file/d/1ckPS8LHzKhW7BOvvgiJ-v2f1nxY3BWDO/view?usp=sharing" TargetMode="External"/><Relationship Id="rId6986" Type="http://schemas.openxmlformats.org/officeDocument/2006/relationships/hyperlink" Target="https://drive.google.com/file/d/1ilYm_bpCWyvOrdNDzrbnxE7Ahwdnpgpl/view?usp=sharing" TargetMode="External"/><Relationship Id="rId9045" Type="http://schemas.openxmlformats.org/officeDocument/2006/relationships/hyperlink" Target="https://drive.google.com/file/d/1Msc_c5FsZpt-txfoD9d2CtMisT4lbGeb/view?usp=sharing" TargetMode="External"/><Relationship Id="rId12373" Type="http://schemas.openxmlformats.org/officeDocument/2006/relationships/hyperlink" Target="https://drive.google.com/file/d/1QU7f_kJOwoVWtAMjp7ybswNoG2DihFYJ/view?usp=sharing" TargetMode="External"/><Relationship Id="rId751" Type="http://schemas.openxmlformats.org/officeDocument/2006/relationships/hyperlink" Target="https://drive.google.com/drive/folders/10hIhbRFygMShyrZJOL0OwF7XpUXJR5Yr?usp=drive_link" TargetMode="External"/><Relationship Id="rId1381" Type="http://schemas.openxmlformats.org/officeDocument/2006/relationships/hyperlink" Target="https://drive.google.com/file/d/1vuemGCB7u6lmuuHvSJlitEZqspTCUkT5/view?usp=sharing" TargetMode="External"/><Relationship Id="rId2432" Type="http://schemas.openxmlformats.org/officeDocument/2006/relationships/hyperlink" Target="https://drive.google.com/drive/folders/1JwP4lJnLGyO-yaAeCCMSvIFrc0L0M03F?usp=drive_link" TargetMode="External"/><Relationship Id="rId5588" Type="http://schemas.openxmlformats.org/officeDocument/2006/relationships/hyperlink" Target="https://drive.google.com/drive/folders/1Q2rhLY694tpbPmegsqz9YDEDoLAENhXR?usp=drive_link" TargetMode="External"/><Relationship Id="rId6639" Type="http://schemas.openxmlformats.org/officeDocument/2006/relationships/hyperlink" Target="https://drive.google.com/file/d/1dARdf2upApttfT7eEyhiI3n8TXCrpTYI/view?usp=drive_link" TargetMode="External"/><Relationship Id="rId12026" Type="http://schemas.openxmlformats.org/officeDocument/2006/relationships/hyperlink" Target="https://www.vidio.com/live/18249-petronas-malaysia-open-2026-round-of-16-court-1?schedule_id=4832341" TargetMode="External"/><Relationship Id="rId12440" Type="http://schemas.openxmlformats.org/officeDocument/2006/relationships/hyperlink" Target="https://drive.google.com/file/d/17nqJ8YbOWxi4DOQmMA4_VvY1qMuE4tM4/view?usp=drive_link" TargetMode="External"/><Relationship Id="rId404" Type="http://schemas.openxmlformats.org/officeDocument/2006/relationships/hyperlink" Target="https://www.vidio.com/live/9183-champions-tv-6?schedule_id=4598339" TargetMode="External"/><Relationship Id="rId1034" Type="http://schemas.openxmlformats.org/officeDocument/2006/relationships/hyperlink" Target="https://drive.google.com/file/d/13IYlm7qqsJ4A_BiIC9J2MPCZ75wc9bLW/view?usp=drive_link" TargetMode="External"/><Relationship Id="rId5655" Type="http://schemas.openxmlformats.org/officeDocument/2006/relationships/hyperlink" Target="https://drive.google.com/file/d/13iSRkKAEiL1d3u5Zez4VsHLTbTCFHHO0/view?usp=sharing" TargetMode="External"/><Relationship Id="rId6706" Type="http://schemas.openxmlformats.org/officeDocument/2006/relationships/hyperlink" Target="https://www.vidio.com/live/6685-champions-tv-1?schedule_id=4599325" TargetMode="External"/><Relationship Id="rId8061" Type="http://schemas.openxmlformats.org/officeDocument/2006/relationships/hyperlink" Target="https://drive.google.com/drive/folders/1tFfvf6UnbDvqj2MO9Gh-7J33LT-FYkGP?usp=drive_link" TargetMode="External"/><Relationship Id="rId9112" Type="http://schemas.openxmlformats.org/officeDocument/2006/relationships/hyperlink" Target="https://drive.google.com/file/d/1v-5yjWqxKtvOPkoLh6SOSHbmx_8gXGn8/view?usp=sharing" TargetMode="External"/><Relationship Id="rId11042" Type="http://schemas.openxmlformats.org/officeDocument/2006/relationships/hyperlink" Target="https://drive.google.com/drive/u/0/folders/1Mb7spNYgBJJk0QpAgapw9oXBfExdWcV5" TargetMode="External"/><Relationship Id="rId1101" Type="http://schemas.openxmlformats.org/officeDocument/2006/relationships/hyperlink" Target="https://thumbor.prod.vidiocdn.com/HNlDJ1tuFHhZ1pDpGLycYPI73t0=/filters:quality(70)/vidio-media-production/uploads/image/source/52487/406180.png" TargetMode="External"/><Relationship Id="rId4257" Type="http://schemas.openxmlformats.org/officeDocument/2006/relationships/hyperlink" Target="https://drive.google.com/file/d/1nxPUDJCULt-nh3R65dPNOxUPPvpaOAbn/view?usp=sharing" TargetMode="External"/><Relationship Id="rId4671" Type="http://schemas.openxmlformats.org/officeDocument/2006/relationships/hyperlink" Target="https://thumbor.prod.vidiocdn.com/Hjglqui4kMMJPyyBsz2dNWJ5wR8=/filters:quality(70)/vidio-media-production/uploads/image/source/51919/6e99f5.png" TargetMode="External"/><Relationship Id="rId5308" Type="http://schemas.openxmlformats.org/officeDocument/2006/relationships/hyperlink" Target="https://drive.google.com/drive/folders/1BRsTMQ26V3WII-1KsCMiWoDbE_ghcEmz" TargetMode="External"/><Relationship Id="rId5722" Type="http://schemas.openxmlformats.org/officeDocument/2006/relationships/hyperlink" Target="https://drive.google.com/drive/folders/1Xlp5aunryVlWR8atbAp6mL9dfJO63aR4?usp=drive_link" TargetMode="External"/><Relationship Id="rId8878" Type="http://schemas.openxmlformats.org/officeDocument/2006/relationships/hyperlink" Target="https://drive.google.com/drive/folders/1P6axdRemF9DwdX35GzoheSdSICjSMqB8?usp=drive_link" TargetMode="External"/><Relationship Id="rId3273" Type="http://schemas.openxmlformats.org/officeDocument/2006/relationships/hyperlink" Target="https://thumbor.prod.vidiocdn.com/JRC5LiVCFMxs6FVIRmRcerRThCA=/filters:quality(70)/vidio-media-production/uploads/image/source/53277/d26678.png" TargetMode="External"/><Relationship Id="rId4324" Type="http://schemas.openxmlformats.org/officeDocument/2006/relationships/hyperlink" Target="https://drive.google.com/file/d/1T84jILiz1KkKO8a9_Y5H9wIWp-FDWgWm/view?usp=sharing" TargetMode="External"/><Relationship Id="rId9929" Type="http://schemas.openxmlformats.org/officeDocument/2006/relationships/hyperlink" Target="https://drive.google.com/file/d/1-52xJmZopcUrUdZnZ4LVf0SusYPUvpxt/view?usp=sharing" TargetMode="External"/><Relationship Id="rId11859" Type="http://schemas.openxmlformats.org/officeDocument/2006/relationships/hyperlink" Target="https://www.vidio.com/live/18250-petronas-malaysia-open-2026-round-of-32-court-2?schedule_id=4831559" TargetMode="External"/><Relationship Id="rId194" Type="http://schemas.openxmlformats.org/officeDocument/2006/relationships/hyperlink" Target="https://drive.google.com/file/d/1nOtrGrpqXTXJ_GQXxq1Z_9O0iHk_3Ye2/view?usp=drive_link" TargetMode="External"/><Relationship Id="rId1918" Type="http://schemas.openxmlformats.org/officeDocument/2006/relationships/hyperlink" Target="https://drive.google.com/file/d/1b4Aojp6p6PYIizpwigIfeUIKD7bFIVDK/view?usp=sharing" TargetMode="External"/><Relationship Id="rId6496" Type="http://schemas.openxmlformats.org/officeDocument/2006/relationships/hyperlink" Target="https://drive.google.com/file/d/1ZCtBQ42PBlTWoZ9TJyE6v_9npq2DUSP8/view?usp=drive_link" TargetMode="External"/><Relationship Id="rId7894" Type="http://schemas.openxmlformats.org/officeDocument/2006/relationships/hyperlink" Target="https://drive.google.com/file/d/1DHOXP3Il7UOWKIT6YKg1dyC3ApgjwIBX/view?usp=sharing" TargetMode="External"/><Relationship Id="rId8945" Type="http://schemas.openxmlformats.org/officeDocument/2006/relationships/hyperlink" Target="https://drive.google.com/file/d/1-6ApIiwVHJpBTOHxWTBR6ZIDb3nlBngv/view?usp=sharing" TargetMode="External"/><Relationship Id="rId10875" Type="http://schemas.openxmlformats.org/officeDocument/2006/relationships/hyperlink" Target="https://drive.google.com/drive/folders/1ZUR8E65KIw3NfssQ94eV8zxCCv5yvvYH?usp=drive_link" TargetMode="External"/><Relationship Id="rId11926" Type="http://schemas.openxmlformats.org/officeDocument/2006/relationships/hyperlink" Target="https://drive.google.com/drive/folders/1gqnmBiDc9HaK7fTi5sC9yJeePuPZJkd8?usp=drive_link" TargetMode="External"/><Relationship Id="rId261" Type="http://schemas.openxmlformats.org/officeDocument/2006/relationships/hyperlink" Target="https://drive.google.com/file/d/1tvhLuw_4UBsMv0PJqZr9SAB70ixT7dNP/view?usp=sharing" TargetMode="External"/><Relationship Id="rId3340" Type="http://schemas.openxmlformats.org/officeDocument/2006/relationships/hyperlink" Target="https://drive.google.com/file/d/1fuO0_JdvCjzR4RatuVdPRhNpBMr-Lloe/view?usp=sharing" TargetMode="External"/><Relationship Id="rId5098" Type="http://schemas.openxmlformats.org/officeDocument/2006/relationships/hyperlink" Target="https://drive.google.com/file/d/1m5YY2Y6Y3lvDtnZpwyEom97H-_CTUyTA/view?usp=drive_link" TargetMode="External"/><Relationship Id="rId6149" Type="http://schemas.openxmlformats.org/officeDocument/2006/relationships/hyperlink" Target="https://drive.google.com/file/d/1DUFGRK3NhNu78wKVm8ew8EcWHWw4YX_n/view?usp=drive_link" TargetMode="External"/><Relationship Id="rId7547" Type="http://schemas.openxmlformats.org/officeDocument/2006/relationships/hyperlink" Target="https://drive.google.com/file/d/1YnL7y_oCjzseUMHXbTgI15dtKIHrbiMF/view?usp=sharing" TargetMode="External"/><Relationship Id="rId7961" Type="http://schemas.openxmlformats.org/officeDocument/2006/relationships/hyperlink" Target="https://www.vidio.com/live/6317-bein-3?schedule_id=4653340" TargetMode="External"/><Relationship Id="rId10528" Type="http://schemas.openxmlformats.org/officeDocument/2006/relationships/hyperlink" Target="https://drive.google.com/file/d/1bKoMEUo5iltQ7tIZjYL3Ao77q8sZfUGd/view?usp=sharing" TargetMode="External"/><Relationship Id="rId10942" Type="http://schemas.openxmlformats.org/officeDocument/2006/relationships/hyperlink" Target="https://www.vidio.com/live/18250-hsbc-bwf-world-tour-finals-2025-group-stage-court-2?schedule_id=4783270" TargetMode="External"/><Relationship Id="rId6563" Type="http://schemas.openxmlformats.org/officeDocument/2006/relationships/hyperlink" Target="https://drive.google.com/file/d/1WEMa6djfPtHKloPtOIL5N4BfAk6jcyHH/view?usp=sharing" TargetMode="External"/><Relationship Id="rId7614" Type="http://schemas.openxmlformats.org/officeDocument/2006/relationships/hyperlink" Target="https://www.vidio.com/live/6317-bein-3?schedule_id=4636460" TargetMode="External"/><Relationship Id="rId2759" Type="http://schemas.openxmlformats.org/officeDocument/2006/relationships/hyperlink" Target="https://drive.google.com/drive/folders/1qeL-o6mT1rTYcd3c01m2layrhrqUN4pM?usp=drive_link" TargetMode="External"/><Relationship Id="rId5165" Type="http://schemas.openxmlformats.org/officeDocument/2006/relationships/hyperlink" Target="https://drive.google.com/drive/u/0/folders/1kr1hT-SpYkCngMPHmDPUz3-bL8XZA5pU" TargetMode="External"/><Relationship Id="rId6216" Type="http://schemas.openxmlformats.org/officeDocument/2006/relationships/hyperlink" Target="https://drive.google.com/file/d/1i96iX0ljLExdlswwNGY2FVbslYH-xbhv/view?usp=drive_link" TargetMode="External"/><Relationship Id="rId6630" Type="http://schemas.openxmlformats.org/officeDocument/2006/relationships/hyperlink" Target="https://drive.google.com/file/d/15qbd49F2ag5C3IRQWTgpqeJB5vfoCAah/view?usp=sharing" TargetMode="External"/><Relationship Id="rId9786" Type="http://schemas.openxmlformats.org/officeDocument/2006/relationships/hyperlink" Target="https://drive.google.com/file/d/1bGAtWdCSL-v2iZg1GvRoYwXZwXVqVH3x/view" TargetMode="External"/><Relationship Id="rId1775" Type="http://schemas.openxmlformats.org/officeDocument/2006/relationships/hyperlink" Target="https://drive.google.com/file/d/1rE17H92VGRQjBjnBZlM8GPThmG49Q4gV/view?usp=sharing" TargetMode="External"/><Relationship Id="rId2826" Type="http://schemas.openxmlformats.org/officeDocument/2006/relationships/hyperlink" Target="https://www.vidio.com/live/6299-bein-1?schedule_id=4679199" TargetMode="External"/><Relationship Id="rId4181" Type="http://schemas.openxmlformats.org/officeDocument/2006/relationships/hyperlink" Target="https://drive.google.com/file/d/127zTVr_Ynf5kx8xFAtwjPgI0USvhv-lD/view?usp=drive_link" TargetMode="External"/><Relationship Id="rId5232" Type="http://schemas.openxmlformats.org/officeDocument/2006/relationships/hyperlink" Target="https://drive.google.com/file/d/10gsISzPYZ43kKD_AgnQ48wE_mMuI5qvH/view?usp=sharing" TargetMode="External"/><Relationship Id="rId8388" Type="http://schemas.openxmlformats.org/officeDocument/2006/relationships/hyperlink" Target="https://drive.google.com/file/d/1TK7595KRwNwkrNW0WglwAIXzwCe1KvCn/view?usp=sharing" TargetMode="External"/><Relationship Id="rId9439" Type="http://schemas.openxmlformats.org/officeDocument/2006/relationships/hyperlink" Target="https://drive.google.com/file/d/1zC96Rj8klpv4SPsC0jXk_PKJgqX9_-yx/view?usp=sharing" TargetMode="External"/><Relationship Id="rId9853" Type="http://schemas.openxmlformats.org/officeDocument/2006/relationships/hyperlink" Target="https://drive.google.com/file/d/1bGAtWdCSL-v2iZg1GvRoYwXZwXVqVH3x/view?usp=sharing" TargetMode="External"/><Relationship Id="rId11369" Type="http://schemas.openxmlformats.org/officeDocument/2006/relationships/hyperlink" Target="https://drive.google.com/file/d/1DNux4glLBnqI-DzUHKvsJVIQIe0fQ_QF/view?usp=drive_link" TargetMode="External"/><Relationship Id="rId67" Type="http://schemas.openxmlformats.org/officeDocument/2006/relationships/hyperlink" Target="https://drive.google.com/drive/folders/1ygueBT-sIm7qR7y0rJG3V3JEkjNpWT3A?usp=drive_link" TargetMode="External"/><Relationship Id="rId1428" Type="http://schemas.openxmlformats.org/officeDocument/2006/relationships/hyperlink" Target="https://drive.google.com/file/d/1Ygmupuxaqpts_s8Vn4RAgS_MqKkWIa8h/view?usp=drive_link" TargetMode="External"/><Relationship Id="rId8455" Type="http://schemas.openxmlformats.org/officeDocument/2006/relationships/hyperlink" Target="https://drive.google.com/file/d/1TFK7ZxZexwNSVv-NKgrhjCnob7adKvK4/view?usp=sharing" TargetMode="External"/><Relationship Id="rId9506" Type="http://schemas.openxmlformats.org/officeDocument/2006/relationships/hyperlink" Target="https://drive.google.com/drive/folders/1etnVTdjmUEVyMdkFfgdGIfZ-LWp7Of5g?usp=drive_link" TargetMode="External"/><Relationship Id="rId11783" Type="http://schemas.openxmlformats.org/officeDocument/2006/relationships/hyperlink" Target="https://drive.google.com/drive/folders/1qkUU5jRv8TV-cu0ySUthf0stcl0hFGgs?usp=drive_link" TargetMode="External"/><Relationship Id="rId1842" Type="http://schemas.openxmlformats.org/officeDocument/2006/relationships/hyperlink" Target="https://drive.google.com/file/d/14Ch_ao1mvcJRdkRvW_2zLMUsjh_e82uf/view?usp=drive_link" TargetMode="External"/><Relationship Id="rId4998" Type="http://schemas.openxmlformats.org/officeDocument/2006/relationships/hyperlink" Target="https://drive.google.com/drive/folders/1drNJJZdnWdcJjyFwpIotYO9SPz7WCGcZ" TargetMode="External"/><Relationship Id="rId7057" Type="http://schemas.openxmlformats.org/officeDocument/2006/relationships/hyperlink" Target="https://drive.google.com/drive/folders/1fPDBwChnDpZ1K01_HZIL_df1WValAwZV?usp=drive_link" TargetMode="External"/><Relationship Id="rId8108" Type="http://schemas.openxmlformats.org/officeDocument/2006/relationships/hyperlink" Target="https://www.vidio.com/live/19543-pegadaian-championship-2025-26?schedule_id=4706379" TargetMode="External"/><Relationship Id="rId9920" Type="http://schemas.openxmlformats.org/officeDocument/2006/relationships/hyperlink" Target="https://www.vidio.com/live/19354-bri-super-league?schedule_id=4797276" TargetMode="External"/><Relationship Id="rId10385" Type="http://schemas.openxmlformats.org/officeDocument/2006/relationships/hyperlink" Target="https://www.vidio.com/live/19737-turkish-volleyball-league?schedule_id=4773705" TargetMode="External"/><Relationship Id="rId11436" Type="http://schemas.openxmlformats.org/officeDocument/2006/relationships/hyperlink" Target="https://drive.google.com/file/d/1_HFq8MOoppJCzo4J5dpuUDP_ZQCy_AEp/view?usp=sharing" TargetMode="External"/><Relationship Id="rId11850" Type="http://schemas.openxmlformats.org/officeDocument/2006/relationships/hyperlink" Target="https://www.vidio.com/live/18249-petronas-malaysia-open-2026-round-of-32-court-1?schedule_id=4831556" TargetMode="External"/><Relationship Id="rId6073" Type="http://schemas.openxmlformats.org/officeDocument/2006/relationships/hyperlink" Target="https://drive.google.com/file/d/1cSjTNAppv0FAqZ1Zqj_huaDol31c_T0V/view?usp=drive_link" TargetMode="External"/><Relationship Id="rId7124" Type="http://schemas.openxmlformats.org/officeDocument/2006/relationships/hyperlink" Target="https://drive.google.com/drive/folders/1QuW8HGm8Gy5DKzFtp0IqY8763E-ORETq?usp=drive_link" TargetMode="External"/><Relationship Id="rId7471" Type="http://schemas.openxmlformats.org/officeDocument/2006/relationships/hyperlink" Target="https://www.vidio.com/live/19587-top-youth-premier-league-2025-matchday-4?schedule_id=4585745" TargetMode="External"/><Relationship Id="rId8522" Type="http://schemas.openxmlformats.org/officeDocument/2006/relationships/hyperlink" Target="https://drive.google.com/drive/folders/1tGCOSWJ4_b1S7zcJ_M7Cc-OyUWFtExgR" TargetMode="External"/><Relationship Id="rId10038" Type="http://schemas.openxmlformats.org/officeDocument/2006/relationships/hyperlink" Target="https://www.vidio.com/live/6317-bein-3?schedule_id=4802062" TargetMode="External"/><Relationship Id="rId10452" Type="http://schemas.openxmlformats.org/officeDocument/2006/relationships/hyperlink" Target="https://drive.google.com/file/d/18qAFoqidzncQkrDQ5j_TzM_lePWU-JeR/view?usp=sharing" TargetMode="External"/><Relationship Id="rId11503" Type="http://schemas.openxmlformats.org/officeDocument/2006/relationships/hyperlink" Target="https://www.vidio.com/live/19737-turkish-volleyball-league?schedule_id=4832285" TargetMode="External"/><Relationship Id="rId3667" Type="http://schemas.openxmlformats.org/officeDocument/2006/relationships/hyperlink" Target="https://drive.google.com/file/d/1f7pv_V6EYJt71aXCLbAuVGxCSYFUR94F/view?usp=sharing" TargetMode="External"/><Relationship Id="rId4718" Type="http://schemas.openxmlformats.org/officeDocument/2006/relationships/hyperlink" Target="https://drive.google.com/file/d/1BHJ0MkSxntN-XOpCyV6QosNW4zvx8Y40/view?usp=sharing" TargetMode="External"/><Relationship Id="rId10105" Type="http://schemas.openxmlformats.org/officeDocument/2006/relationships/hyperlink" Target="https://drive.google.com/file/d/1bGAtWdCSL-v2iZg1GvRoYwXZwXVqVH3x/view" TargetMode="External"/><Relationship Id="rId588" Type="http://schemas.openxmlformats.org/officeDocument/2006/relationships/hyperlink" Target="https://www.vidio.com/live/19375-premier-league?schedule_id=4678867" TargetMode="External"/><Relationship Id="rId2269" Type="http://schemas.openxmlformats.org/officeDocument/2006/relationships/hyperlink" Target="https://drive.google.com/drive/folders/1hC3juAiF9EFHlcS5UztRCul2jEi-F3c-?usp=drive_link" TargetMode="External"/><Relationship Id="rId2683" Type="http://schemas.openxmlformats.org/officeDocument/2006/relationships/hyperlink" Target="https://drive.google.com/file/d/1DSpOq6_NT5pnd2kO2yt9SmVESGEgotwF/view?usp=sharing" TargetMode="External"/><Relationship Id="rId3734" Type="http://schemas.openxmlformats.org/officeDocument/2006/relationships/hyperlink" Target="https://drive.google.com/drive/folders/1FUYVGFcWOBPvkAkkVI3fj_0oBsXNzTzB?usp=drive_link" TargetMode="External"/><Relationship Id="rId6140" Type="http://schemas.openxmlformats.org/officeDocument/2006/relationships/hyperlink" Target="https://www.vidio.com/live/19644-uefa-conference-league?schedule_id=4614680" TargetMode="External"/><Relationship Id="rId9296" Type="http://schemas.openxmlformats.org/officeDocument/2006/relationships/hyperlink" Target="https://drive.google.com/file/d/1g5gwOwb0P3Gm6X0GYzRMznj5scw-WBOz/view?usp=sharing" TargetMode="External"/><Relationship Id="rId12277" Type="http://schemas.openxmlformats.org/officeDocument/2006/relationships/hyperlink" Target="https://www.vidio.com/live/20275?schedule_id=4833881" TargetMode="External"/><Relationship Id="rId655" Type="http://schemas.openxmlformats.org/officeDocument/2006/relationships/hyperlink" Target="https://drive.google.com/drive/folders/1Ed4i7IW9EdhEJjW_DtTjv3jVVgwIHWxK?usp=drive_link" TargetMode="External"/><Relationship Id="rId1285" Type="http://schemas.openxmlformats.org/officeDocument/2006/relationships/hyperlink" Target="https://www.vidio.com/live/17938-serie-a?schedule_id=4514312" TargetMode="External"/><Relationship Id="rId2336" Type="http://schemas.openxmlformats.org/officeDocument/2006/relationships/hyperlink" Target="https://drive.google.com/file/d/1pGVgVr6P2kSlZ5Kd3pHiXLdeK5F8UOvM/view?usp=sharing" TargetMode="External"/><Relationship Id="rId2750" Type="http://schemas.openxmlformats.org/officeDocument/2006/relationships/hyperlink" Target="https://drive.google.com/file/d/1poygA9-i8DtvdirgV5KqHnsFo6TvDEbT/view?usp=sharing" TargetMode="External"/><Relationship Id="rId3801" Type="http://schemas.openxmlformats.org/officeDocument/2006/relationships/hyperlink" Target="https://www.vidio.com/live/6685-champions-tv-1?schedule_id=4627661" TargetMode="External"/><Relationship Id="rId6957" Type="http://schemas.openxmlformats.org/officeDocument/2006/relationships/hyperlink" Target="https://www.vidio.com/live/19543-pegadaian-championship-2025-26?schedule_id=4598360" TargetMode="External"/><Relationship Id="rId9363" Type="http://schemas.openxmlformats.org/officeDocument/2006/relationships/hyperlink" Target="https://drive.google.com/drive/folders/1s4jR84US1X09EKIcdt1CY42NJV8QgeZ7" TargetMode="External"/><Relationship Id="rId11293" Type="http://schemas.openxmlformats.org/officeDocument/2006/relationships/hyperlink" Target="https://thumbor.prod.vidiocdn.com/zHiW4woAJlXphV4RODLmR4NTAms=/filters:quality(70)/vidio-media-production/uploads/image/source/52372/428c81.png" TargetMode="External"/><Relationship Id="rId12344" Type="http://schemas.openxmlformats.org/officeDocument/2006/relationships/hyperlink" Target="https://drive.google.com/file/d/17nqJ8YbOWxi4DOQmMA4_VvY1qMuE4tM4/view?usp=drive_link" TargetMode="External"/><Relationship Id="rId308" Type="http://schemas.openxmlformats.org/officeDocument/2006/relationships/hyperlink" Target="https://www.vidio.com/live/9182-champions-tv-5?schedule_id=4579969" TargetMode="External"/><Relationship Id="rId722" Type="http://schemas.openxmlformats.org/officeDocument/2006/relationships/hyperlink" Target="https://drive.google.com/drive/folders/1uhJs0XWrw5MpjvNxq26-eXCSMR0UWHi-?usp=drive_link" TargetMode="External"/><Relationship Id="rId1352" Type="http://schemas.openxmlformats.org/officeDocument/2006/relationships/hyperlink" Target="https://www.vidio.com/live/19404-serie-a?schedule_id=4557258" TargetMode="External"/><Relationship Id="rId2403" Type="http://schemas.openxmlformats.org/officeDocument/2006/relationships/hyperlink" Target="https://drive.google.com/drive/folders/16X9DlDR_ndC0TFNMp4-fKx3yCpa8jlp9?usp=drive_link" TargetMode="External"/><Relationship Id="rId5559" Type="http://schemas.openxmlformats.org/officeDocument/2006/relationships/hyperlink" Target="https://drive.google.com/file/d/1wMeOI37hoBMjlXBimSqXWPsmHoK6ZORk/view?usp=sharing" TargetMode="External"/><Relationship Id="rId9016" Type="http://schemas.openxmlformats.org/officeDocument/2006/relationships/hyperlink" Target="https://drive.google.com/file/d/1vLf-FgvxQctr1Wnpju28fY0ZzgOEaY2n/view?usp=sharing" TargetMode="External"/><Relationship Id="rId9430" Type="http://schemas.openxmlformats.org/officeDocument/2006/relationships/hyperlink" Target="https://www.vidio.com/live/19584-pegadaian-championship-2025-26?schedule_id=4832523" TargetMode="External"/><Relationship Id="rId1005" Type="http://schemas.openxmlformats.org/officeDocument/2006/relationships/hyperlink" Target="https://drive.google.com/file/d/1ogAxFsUYLjl0XHRtT4F-uzhSUvqa0KjP/view?usp=sharing" TargetMode="External"/><Relationship Id="rId4575" Type="http://schemas.openxmlformats.org/officeDocument/2006/relationships/hyperlink" Target="https://drive.google.com/file/d/1AUgQcx1l88atfIGprjYkoNY1xYKq08Oo/view?usp=sharing" TargetMode="External"/><Relationship Id="rId5973" Type="http://schemas.openxmlformats.org/officeDocument/2006/relationships/hyperlink" Target="https://drive.google.com/file/d/1ldpTqD69iB7drYWS-w-oqGxEoA3BhoeT/view?usp=sharing" TargetMode="External"/><Relationship Id="rId8032" Type="http://schemas.openxmlformats.org/officeDocument/2006/relationships/hyperlink" Target="https://drive.google.com/drive/folders/1a6uvNHIJHyFaZu_uP78TVstsa86wy3Sp?usp=drive_link" TargetMode="External"/><Relationship Id="rId11360" Type="http://schemas.openxmlformats.org/officeDocument/2006/relationships/hyperlink" Target="https://www.vidio.com/live/20106-top-youth-premier-league-perempat-final-dan-semifinal?schedule_id=4786448" TargetMode="External"/><Relationship Id="rId12411" Type="http://schemas.openxmlformats.org/officeDocument/2006/relationships/hyperlink" Target="https://www.vidio.com/live/18249-petronas-malaysia-open-2026-round-of-16-court-1?schedule_id=4833798" TargetMode="External"/><Relationship Id="rId3177" Type="http://schemas.openxmlformats.org/officeDocument/2006/relationships/hyperlink" Target="https://www.vidio.com/live/6299-bein-1?schedule_id=4783746" TargetMode="External"/><Relationship Id="rId4228" Type="http://schemas.openxmlformats.org/officeDocument/2006/relationships/hyperlink" Target="https://drive.google.com/file/d/1rCiqDY0YQXzzoUCIxqSgIXVHis39ltWE/view?usp=sharing" TargetMode="External"/><Relationship Id="rId5626" Type="http://schemas.openxmlformats.org/officeDocument/2006/relationships/hyperlink" Target="https://drive.google.com/file/d/1sDhZ8XmkAilqwo82i-wzsV7A1pAudkpi/view?usp=sharing" TargetMode="External"/><Relationship Id="rId11013" Type="http://schemas.openxmlformats.org/officeDocument/2006/relationships/hyperlink" Target="https://thumbor.prod.vidiocdn.com/XGrJeRmYg5dsBJHtAAXAp5VcV9w=/filters:quality(70)/vidio-media-production/uploads/image/source/53156/4187b8.png" TargetMode="External"/><Relationship Id="rId3591" Type="http://schemas.openxmlformats.org/officeDocument/2006/relationships/hyperlink" Target="https://drive.google.com/drive/folders/1KBDtDZvJxEuGHxdQxlQh4gaEntnKripI" TargetMode="External"/><Relationship Id="rId4642" Type="http://schemas.openxmlformats.org/officeDocument/2006/relationships/hyperlink" Target="https://drive.google.com/drive/folders/1gHWqyjLjPOufW0iC77V3Lom1OyhH7SVI?usp=drive_link" TargetMode="External"/><Relationship Id="rId7798" Type="http://schemas.openxmlformats.org/officeDocument/2006/relationships/hyperlink" Target="https://drive.google.com/file/d/1mUg_nRYNoMvebnX4C6NEC-YPpJQQtnRT/view?usp=sharing" TargetMode="External"/><Relationship Id="rId8849" Type="http://schemas.openxmlformats.org/officeDocument/2006/relationships/hyperlink" Target="https://www.vidio.com/live/19671-easl?schedule_id=4773715" TargetMode="External"/><Relationship Id="rId10779" Type="http://schemas.openxmlformats.org/officeDocument/2006/relationships/hyperlink" Target="https://www.vidio.com/live/20240-proliga-2026?schedule_id=4833014" TargetMode="External"/><Relationship Id="rId2193" Type="http://schemas.openxmlformats.org/officeDocument/2006/relationships/hyperlink" Target="https://drive.google.com/file/d/15ZUB6aGvL6Gubw5fTZ8Heg4F2HTiwCpL/view?usp=sharing" TargetMode="External"/><Relationship Id="rId3244" Type="http://schemas.openxmlformats.org/officeDocument/2006/relationships/hyperlink" Target="https://www.vidio.com/live/6299-bein-1?schedule_id=4758876" TargetMode="External"/><Relationship Id="rId7865" Type="http://schemas.openxmlformats.org/officeDocument/2006/relationships/hyperlink" Target="https://drive.google.com/file/d/1hrAryEflHvyoEPMeY8_g7OZ0Pevua-_Z/view?usp=sharing" TargetMode="External"/><Relationship Id="rId8916" Type="http://schemas.openxmlformats.org/officeDocument/2006/relationships/hyperlink" Target="https://www.vidio.com/live/19543-pegadaian-championship-2025-26?schedule_id=4795170" TargetMode="External"/><Relationship Id="rId165" Type="http://schemas.openxmlformats.org/officeDocument/2006/relationships/hyperlink" Target="https://drive.google.com/file/d/1nBjiBglDlIulLVfNGybljtrhehe5t8eF/view?usp=sharing" TargetMode="External"/><Relationship Id="rId2260" Type="http://schemas.openxmlformats.org/officeDocument/2006/relationships/hyperlink" Target="https://drive.google.com/file/d/11f0_HKhXarnwcRuWogtxvRUdaPOkYvbQ/view?usp=sharing" TargetMode="External"/><Relationship Id="rId3311" Type="http://schemas.openxmlformats.org/officeDocument/2006/relationships/hyperlink" Target="https://drive.google.com/file/d/1aZDewNXXPyPbnD0Ptrdhhq5OY-6CUy72/view?usp=drive_link" TargetMode="External"/><Relationship Id="rId6467" Type="http://schemas.openxmlformats.org/officeDocument/2006/relationships/hyperlink" Target="https://drive.google.com/file/d/1QONjOlqeMdmWsl_aPEw98dpjhCwS0-hM/view?usp=sharing" TargetMode="External"/><Relationship Id="rId6881" Type="http://schemas.openxmlformats.org/officeDocument/2006/relationships/hyperlink" Target="https://drive.google.com/drive/folders/1COfihR2CWAaF0Vap6mAvFgOOm2_TCUSj" TargetMode="External"/><Relationship Id="rId7518" Type="http://schemas.openxmlformats.org/officeDocument/2006/relationships/hyperlink" Target="https://www.vidio.com/live/19548-national-football-league-2025-26?schedule_id=4605161" TargetMode="External"/><Relationship Id="rId7932" Type="http://schemas.openxmlformats.org/officeDocument/2006/relationships/hyperlink" Target="https://drive.google.com/drive/folders/1bwhybzYCwdU9EvRKcgbX5JYoV0pDPfFP" TargetMode="External"/><Relationship Id="rId10846" Type="http://schemas.openxmlformats.org/officeDocument/2006/relationships/hyperlink" Target="https://www.vidio.com/live/18249-hsbc-bwf-world-tour-finals-2025-group-stage-court-1?schedule_id=4781707" TargetMode="External"/><Relationship Id="rId232" Type="http://schemas.openxmlformats.org/officeDocument/2006/relationships/hyperlink" Target="https://www.vidio.com/live/9182-champions-tv-5?schedule_id=4562506" TargetMode="External"/><Relationship Id="rId5069" Type="http://schemas.openxmlformats.org/officeDocument/2006/relationships/hyperlink" Target="https://drive.google.com/file/d/1aTj3Y-sgyMLlzCkgGPVY8Xq1Q-g6uhnv/view?usp=sharing" TargetMode="External"/><Relationship Id="rId5483" Type="http://schemas.openxmlformats.org/officeDocument/2006/relationships/hyperlink" Target="https://www.vidio.com/live/6317-bein-3?schedule_id=4773299" TargetMode="External"/><Relationship Id="rId6534" Type="http://schemas.openxmlformats.org/officeDocument/2006/relationships/hyperlink" Target="https://drive.google.com/file/d/1kbQpgzIxX6a6oFtAdhQN9sQ_EBWXTcpt/view?usp=sharing" TargetMode="External"/><Relationship Id="rId10913" Type="http://schemas.openxmlformats.org/officeDocument/2006/relationships/hyperlink" Target="https://drive.google.com/file/d/18BM1JvTZRD1UTIKaCt-jBUE-qYani_i8/view?usp=sharing" TargetMode="External"/><Relationship Id="rId1679" Type="http://schemas.openxmlformats.org/officeDocument/2006/relationships/hyperlink" Target="https://drive.google.com/file/d/1EXOQhXKKrQL3KsFNM2b3FbR4OOOiN3qz/view?usp=drive_link" TargetMode="External"/><Relationship Id="rId4085" Type="http://schemas.openxmlformats.org/officeDocument/2006/relationships/hyperlink" Target="https://drive.google.com/file/d/1wn2GVgmfmiTRxb9RCsghu65K1fIp610f/view?usp=sharing" TargetMode="External"/><Relationship Id="rId5136" Type="http://schemas.openxmlformats.org/officeDocument/2006/relationships/hyperlink" Target="https://drive.google.com/drive/folders/1d8RfZ3AxKm4vcq0d__doqb5lGvVI-NuD" TargetMode="External"/><Relationship Id="rId4152" Type="http://schemas.openxmlformats.org/officeDocument/2006/relationships/hyperlink" Target="https://drive.google.com/drive/folders/1tia6v4elSjYt0ip0lAMMTPYagWB8TJZK?usp=drive_link" TargetMode="External"/><Relationship Id="rId5203" Type="http://schemas.openxmlformats.org/officeDocument/2006/relationships/hyperlink" Target="https://drive.google.com/file/d/17SD_kj1oXCX5s6r5zKAyjD7HNNUrpVF5/view?usp=drive_link" TargetMode="External"/><Relationship Id="rId5550" Type="http://schemas.openxmlformats.org/officeDocument/2006/relationships/hyperlink" Target="https://drive.google.com/drive/folders/1vs2NPBadTfe8mkFp1C94plFN9o2qZ3M8?usp=drive_link" TargetMode="External"/><Relationship Id="rId6601" Type="http://schemas.openxmlformats.org/officeDocument/2006/relationships/hyperlink" Target="https://www.vidio.com/live/19645-uefa-conference-league?schedule_id=4783295" TargetMode="External"/><Relationship Id="rId8359" Type="http://schemas.openxmlformats.org/officeDocument/2006/relationships/hyperlink" Target="https://drive.google.com/file/d/11-G97DOB7ps97qpHQMhCo1LWo1mP8gFX/view?usp=sharing" TargetMode="External"/><Relationship Id="rId9757" Type="http://schemas.openxmlformats.org/officeDocument/2006/relationships/hyperlink" Target="https://drive.google.com/file/d/11CirMg2D1dfa5dFxbg0v0OyPdt0kILGT/view?usp=sharing" TargetMode="External"/><Relationship Id="rId11687" Type="http://schemas.openxmlformats.org/officeDocument/2006/relationships/hyperlink" Target="https://drive.google.com/drive/folders/1L27gWXrUCmJQlIhIWFPF1T99NtqbZdhc?usp=drive_link" TargetMode="External"/><Relationship Id="rId1746" Type="http://schemas.openxmlformats.org/officeDocument/2006/relationships/hyperlink" Target="https://drive.google.com/file/d/1Byjq3szP684Et-Tv2iKXdbiWfohktyrF/view?usp=drive_link" TargetMode="External"/><Relationship Id="rId8773" Type="http://schemas.openxmlformats.org/officeDocument/2006/relationships/hyperlink" Target="https://www.vidio.com/live/19672-easl?schedule_id=4684715" TargetMode="External"/><Relationship Id="rId9824" Type="http://schemas.openxmlformats.org/officeDocument/2006/relationships/hyperlink" Target="https://www.vidio.com/live/19882-top-soccer-championship-2025-u-16-u-17-final-cup?schedule_id=4730517" TargetMode="External"/><Relationship Id="rId10289" Type="http://schemas.openxmlformats.org/officeDocument/2006/relationships/hyperlink" Target="https://drive.google.com/drive/folders/14u1V-gXifzKtLiCh2UWPu_ZnoS0cRwYf?usp=drive_link" TargetMode="External"/><Relationship Id="rId11754" Type="http://schemas.openxmlformats.org/officeDocument/2006/relationships/hyperlink" Target="https://thumbor.prod.vidiocdn.com/8ngniKscPb7Op8qP3BGojqXdH1M=/filters:quality(70)/vidio-media-production/uploads/image/source/52978/0a47d0.png" TargetMode="External"/><Relationship Id="rId38" Type="http://schemas.openxmlformats.org/officeDocument/2006/relationships/hyperlink" Target="https://drive.google.com/drive/folders/1CBZ_erW2diG8L8rq1ybumdHKU2H2YsJO" TargetMode="External"/><Relationship Id="rId1813" Type="http://schemas.openxmlformats.org/officeDocument/2006/relationships/hyperlink" Target="https://drive.google.com/file/d/1Gwkh0R6yg1X1RS7brX1A_HZcGNN9rYWe/view?usp=drive_link" TargetMode="External"/><Relationship Id="rId4969" Type="http://schemas.openxmlformats.org/officeDocument/2006/relationships/hyperlink" Target="https://drive.google.com/file/d/14xDMuD04Ql8PEaKrWkzyaOnkfLR1xpwb/view?usp=sharing" TargetMode="External"/><Relationship Id="rId7375" Type="http://schemas.openxmlformats.org/officeDocument/2006/relationships/hyperlink" Target="https://drive.google.com/file/d/1h9O5W1YKsT54L-K8LG7dFCDcC4v2lRjD/view?usp=sharing" TargetMode="External"/><Relationship Id="rId8426" Type="http://schemas.openxmlformats.org/officeDocument/2006/relationships/hyperlink" Target="https://thumbor.prod.vidiocdn.com/mYzJxTb1_1sYGPC1cAQCS79GgZc=/filters:quality(70)/vidio-media-production/uploads/image/source/51747/b8fb36.png" TargetMode="External"/><Relationship Id="rId8840" Type="http://schemas.openxmlformats.org/officeDocument/2006/relationships/hyperlink" Target="https://drive.google.com/file/d/1Xg4pj_ReQbrVXexWi0UZPQBHX8orxpcZ/view?usp=sharing" TargetMode="External"/><Relationship Id="rId10356" Type="http://schemas.openxmlformats.org/officeDocument/2006/relationships/hyperlink" Target="https://drive.google.com/file/d/16gWPIv2lV4jExFGUliSFDO0J34b5V9-n/view?usp=sharing" TargetMode="External"/><Relationship Id="rId10770" Type="http://schemas.openxmlformats.org/officeDocument/2006/relationships/hyperlink" Target="https://drive.google.com/file/d/1uIKVNvCdgfonASrV_u-btqJR4SRTyg3J/view?usp=sharing" TargetMode="External"/><Relationship Id="rId11407" Type="http://schemas.openxmlformats.org/officeDocument/2006/relationships/hyperlink" Target="https://www.vidio.com/live/17875-bein-2?schedule_id=4788323" TargetMode="External"/><Relationship Id="rId3985" Type="http://schemas.openxmlformats.org/officeDocument/2006/relationships/hyperlink" Target="https://drive.google.com/file/d/1DNux4glLBnqI-DzUHKvsJVIQIe0fQ_QF/view?usp=sharing" TargetMode="External"/><Relationship Id="rId6391" Type="http://schemas.openxmlformats.org/officeDocument/2006/relationships/hyperlink" Target="https://www.vidio.com/live/19648-uefa-conference-league?schedule_id=4734893" TargetMode="External"/><Relationship Id="rId7028" Type="http://schemas.openxmlformats.org/officeDocument/2006/relationships/hyperlink" Target="https://drive.google.com/drive/folders/1MX84RU5rZmbIJdFqPDVJ1-8zszjjl40g?usp=drive_link" TargetMode="External"/><Relationship Id="rId7442" Type="http://schemas.openxmlformats.org/officeDocument/2006/relationships/hyperlink" Target="https://drive.google.com/drive/folders/1q0PwEI0nG0VsG-mmvB-kgSaTkO-_kkYN?usp=drive_link" TargetMode="External"/><Relationship Id="rId10009" Type="http://schemas.openxmlformats.org/officeDocument/2006/relationships/hyperlink" Target="https://drive.google.com/file/d/182FnCB-gxxmCash0tJ86f4-tg8EFmPKK/view?usp=sharing" TargetMode="External"/><Relationship Id="rId10423" Type="http://schemas.openxmlformats.org/officeDocument/2006/relationships/hyperlink" Target="https://drive.google.com/file/d/1ORN_No6Tq4RCLkEVQlvqrRSeIKnx1Zm1/view?usp=sharing" TargetMode="External"/><Relationship Id="rId11821" Type="http://schemas.openxmlformats.org/officeDocument/2006/relationships/hyperlink" Target="https://drive.google.com/file/d/1eJVJpUKAFNWxLxYTbZoZRYrCww0XILnT/view?usp=sharing" TargetMode="External"/><Relationship Id="rId2587" Type="http://schemas.openxmlformats.org/officeDocument/2006/relationships/hyperlink" Target="https://drive.google.com/file/d/1JlVx3B4B61JApTrOITNlPgn23aNEnX_-/view?usp=drive_link" TargetMode="External"/><Relationship Id="rId3638" Type="http://schemas.openxmlformats.org/officeDocument/2006/relationships/hyperlink" Target="https://drive.google.com/file/d/1asJdIwBIM29htiOnTc6sNJoRDVw2wf1q/view?usp=drive_link" TargetMode="External"/><Relationship Id="rId6044" Type="http://schemas.openxmlformats.org/officeDocument/2006/relationships/hyperlink" Target="https://drive.google.com/drive/folders/1En2uXwA9g2Bfp-H9E1GRkClj0S3sP6ZH?usp=drive_link" TargetMode="External"/><Relationship Id="rId559" Type="http://schemas.openxmlformats.org/officeDocument/2006/relationships/hyperlink" Target="https://drive.google.com/file/d/1V4EErLkyyZvBRGNVoLzsz4OnrZrPNEyk/view?usp=sharing" TargetMode="External"/><Relationship Id="rId1189" Type="http://schemas.openxmlformats.org/officeDocument/2006/relationships/hyperlink" Target="https://drive.google.com/file/d/16heabKnx9ejMlFJnknUg8pW1ZoLK0Zzc/view?usp=sharing" TargetMode="External"/><Relationship Id="rId5060" Type="http://schemas.openxmlformats.org/officeDocument/2006/relationships/hyperlink" Target="https://www.vidio.com/live/6317-bein-3?schedule_id=4607911" TargetMode="External"/><Relationship Id="rId6111" Type="http://schemas.openxmlformats.org/officeDocument/2006/relationships/hyperlink" Target="https://drive.google.com/file/d/1kxlYox98i8fXizd2m6-HiftYDh5MgAUD/view?usp=sharing" TargetMode="External"/><Relationship Id="rId9267" Type="http://schemas.openxmlformats.org/officeDocument/2006/relationships/hyperlink" Target="https://www.vidio.com/live/19812-top-soccer-championship-2025-u-15?schedule_id=4708913" TargetMode="External"/><Relationship Id="rId9681" Type="http://schemas.openxmlformats.org/officeDocument/2006/relationships/hyperlink" Target="https://drive.google.com/file/d/11JqbqKhJ8FXTwUx-BqTyv3d7BsMG2067/view?usp=sharing" TargetMode="External"/><Relationship Id="rId11197" Type="http://schemas.openxmlformats.org/officeDocument/2006/relationships/hyperlink" Target="https://drive.google.com/file/d/1QmBbQ8tPMz4XKbhf9wvkMi9qq2SPfLeY/view?usp=sharing" TargetMode="External"/><Relationship Id="rId626" Type="http://schemas.openxmlformats.org/officeDocument/2006/relationships/hyperlink" Target="https://drive.google.com/drive/folders/1reJgqrta8-x_LZOVIyNxF2oALmNOZ9ZP?usp=drive_link" TargetMode="External"/><Relationship Id="rId973" Type="http://schemas.openxmlformats.org/officeDocument/2006/relationships/hyperlink" Target="https://drive.google.com/drive/folders/1q0dPaV3-dK9Ot_NXZzIEddsXBnnRsM28?usp=drive_link" TargetMode="External"/><Relationship Id="rId1256" Type="http://schemas.openxmlformats.org/officeDocument/2006/relationships/hyperlink" Target="https://drive.google.com/file/d/1zU8QsDpNWll4vWt4z-NOv9h0N46Ze33d/view?usp=sharing" TargetMode="External"/><Relationship Id="rId2307" Type="http://schemas.openxmlformats.org/officeDocument/2006/relationships/hyperlink" Target="https://drive.google.com/file/d/10adErJMhuKXfEF0oYmjH0ZYex_0Sinys/view?usp=sharing" TargetMode="External"/><Relationship Id="rId2654" Type="http://schemas.openxmlformats.org/officeDocument/2006/relationships/hyperlink" Target="https://drive.google.com/file/d/1bxFYBUem-NWzWo34_SZsb32XdB7FXa6W/view?usp=drive_link" TargetMode="External"/><Relationship Id="rId3705" Type="http://schemas.openxmlformats.org/officeDocument/2006/relationships/hyperlink" Target="https://drive.google.com/file/d/1PJCWtokwGnYwx9t5_1iXlEJo4rzf0Gbp/view?usp=sharing" TargetMode="External"/><Relationship Id="rId8283" Type="http://schemas.openxmlformats.org/officeDocument/2006/relationships/hyperlink" Target="https://thumbor.prod.vidiocdn.com/BSEj6BWck5427VtETXPeDqJ002I=/filters:quality(70)/vidio-media-production/uploads/image/source/52161/86b928.png" TargetMode="External"/><Relationship Id="rId9334" Type="http://schemas.openxmlformats.org/officeDocument/2006/relationships/hyperlink" Target="https://drive.google.com/drive/folders/1AusARtD0O5ThfV9NJVsyda7HcmHEcDpv?usp=drive_link" TargetMode="External"/><Relationship Id="rId12248" Type="http://schemas.openxmlformats.org/officeDocument/2006/relationships/hyperlink" Target="https://drive.google.com/file/d/17nqJ8YbOWxi4DOQmMA4_VvY1qMuE4tM4/view?usp=drive_link" TargetMode="External"/><Relationship Id="rId1670" Type="http://schemas.openxmlformats.org/officeDocument/2006/relationships/hyperlink" Target="https://www.vidio.com/live/19354-bri-super-league?schedule_id=4527609" TargetMode="External"/><Relationship Id="rId2721" Type="http://schemas.openxmlformats.org/officeDocument/2006/relationships/hyperlink" Target="https://drive.google.com/file/d/1zEeRVrgnRN_A4SeCwx7xC1A5GUy-ZXgq/view?usp=drive_link" TargetMode="External"/><Relationship Id="rId5877" Type="http://schemas.openxmlformats.org/officeDocument/2006/relationships/hyperlink" Target="https://drive.google.com/drive/folders/1_ngBALsKugF5X258PuxT_8CgmY9f1Hjh?usp=drive_link" TargetMode="External"/><Relationship Id="rId6928" Type="http://schemas.openxmlformats.org/officeDocument/2006/relationships/hyperlink" Target="https://www.vidio.com/live/19542-pegadaian-championship-2025-26?schedule_id=4585671" TargetMode="External"/><Relationship Id="rId11264" Type="http://schemas.openxmlformats.org/officeDocument/2006/relationships/hyperlink" Target="https://thumbor.prod.vidiocdn.com/DHl3kuzeNJmzWzmCWlwlSyuQBOg=/filters:quality(70)/vidio-media-production/uploads/image/source/52453/1ab734.png" TargetMode="External"/><Relationship Id="rId12315" Type="http://schemas.openxmlformats.org/officeDocument/2006/relationships/hyperlink" Target="https://www.vidio.com/live/20281?schedule_id=4833898" TargetMode="External"/><Relationship Id="rId1323" Type="http://schemas.openxmlformats.org/officeDocument/2006/relationships/hyperlink" Target="https://www.vidio.com/live/17938-serie-a?schedule_id=4527536" TargetMode="External"/><Relationship Id="rId4479" Type="http://schemas.openxmlformats.org/officeDocument/2006/relationships/hyperlink" Target="https://www.vidio.com/live/19404-serie-a?schedule_id=4706549" TargetMode="External"/><Relationship Id="rId4893" Type="http://schemas.openxmlformats.org/officeDocument/2006/relationships/hyperlink" Target="https://drive.google.com/file/d/1MNMGLleP4QGD4co77VdJUsiba6glYTF5/view?usp=sharing" TargetMode="External"/><Relationship Id="rId5944" Type="http://schemas.openxmlformats.org/officeDocument/2006/relationships/hyperlink" Target="https://drive.google.com/drive/folders/1op8AbD5GPGWVNaiW1tcz9gF4KOWO0FqK?usp=drive_link" TargetMode="External"/><Relationship Id="rId8350" Type="http://schemas.openxmlformats.org/officeDocument/2006/relationships/hyperlink" Target="https://drive.google.com/drive/folders/1hoxrXsNt68SmijZFqY7_BHGL5yJHTexK?usp=drive_link" TargetMode="External"/><Relationship Id="rId9401" Type="http://schemas.openxmlformats.org/officeDocument/2006/relationships/hyperlink" Target="https://drive.google.com/drive/folders/1iWZ_hkl5Kyn479CjQ-IIFe6F84T9SIuY?usp=drive_link" TargetMode="External"/><Relationship Id="rId10280" Type="http://schemas.openxmlformats.org/officeDocument/2006/relationships/hyperlink" Target="https://www.vidio.com/live/20027?schedule_id=4765278" TargetMode="External"/><Relationship Id="rId11331" Type="http://schemas.openxmlformats.org/officeDocument/2006/relationships/hyperlink" Target="https://drive.google.com/file/d/1p36FCeh7gt8xphXMMu2FWqjt3iWc4_iC/view?usp=sharing" TargetMode="External"/><Relationship Id="rId3495" Type="http://schemas.openxmlformats.org/officeDocument/2006/relationships/hyperlink" Target="https://drive.google.com/file/d/1eJLGkyjP3mtVJfkxE2OWVQRZCuQKDcXX/view?usp=sharing" TargetMode="External"/><Relationship Id="rId4546" Type="http://schemas.openxmlformats.org/officeDocument/2006/relationships/hyperlink" Target="https://drive.google.com/file/d/1p_PlTuvyjlkpRYEZ-MBO59IIYaG37n4n/view?usp=sharing" TargetMode="External"/><Relationship Id="rId4960" Type="http://schemas.openxmlformats.org/officeDocument/2006/relationships/hyperlink" Target="https://3.basecamp.com/4902751/buckets/36763424/card_tables/cards/9025454575" TargetMode="External"/><Relationship Id="rId8003" Type="http://schemas.openxmlformats.org/officeDocument/2006/relationships/hyperlink" Target="https://drive.google.com/file/d/15_b72_04CqXxjscq-RLy2iZFmg9tULE5/view?usp=sharing" TargetMode="External"/><Relationship Id="rId2097" Type="http://schemas.openxmlformats.org/officeDocument/2006/relationships/hyperlink" Target="https://drive.google.com/file/d/12HsY3gznjgefAnjQYvUEij_aormEe2RO/view?usp=sharing" TargetMode="External"/><Relationship Id="rId3148" Type="http://schemas.openxmlformats.org/officeDocument/2006/relationships/hyperlink" Target="https://www.vidio.com/live/6299-bein-1?schedule_id=4783768" TargetMode="External"/><Relationship Id="rId3562" Type="http://schemas.openxmlformats.org/officeDocument/2006/relationships/hyperlink" Target="https://drive.google.com/file/d/10PLbtvoVvzvSeLhVVWaDezt-f3hctt6L/view?usp=share_link" TargetMode="External"/><Relationship Id="rId4613" Type="http://schemas.openxmlformats.org/officeDocument/2006/relationships/hyperlink" Target="https://drive.google.com/drive/folders/1gHWqyjLjPOufW0iC77V3Lom1OyhH7SVI?usp=drive_link" TargetMode="External"/><Relationship Id="rId7769" Type="http://schemas.openxmlformats.org/officeDocument/2006/relationships/hyperlink" Target="https://drive.google.com/file/d/19Zs8LXZ5UbYExOolTZ06W5PM1TmaPX0l/view?usp=sharing" TargetMode="External"/><Relationship Id="rId10000" Type="http://schemas.openxmlformats.org/officeDocument/2006/relationships/hyperlink" Target="https://thumbor.prod.vidiocdn.com/i2LoIZ-pcz6ZJj13xQ6CMRFn9_w=/filters:quality(70)/vidio-media-production/uploads/image/source/52646/847311.png" TargetMode="External"/><Relationship Id="rId483" Type="http://schemas.openxmlformats.org/officeDocument/2006/relationships/hyperlink" Target="https://drive.google.com/drive/folders/19nYfxxESpng045cZUVVwpDwL-53ycrp4?usp=drive_link" TargetMode="External"/><Relationship Id="rId2164" Type="http://schemas.openxmlformats.org/officeDocument/2006/relationships/hyperlink" Target="https://www.vidio.com/live/19354-bri-super-league?schedule_id=4783335" TargetMode="External"/><Relationship Id="rId3215" Type="http://schemas.openxmlformats.org/officeDocument/2006/relationships/hyperlink" Target="https://thumbor.prod.vidiocdn.com/nNCHlKYy3_Bn--pmJm9-_TA4fRI=/filters:quality(70)/vidio-media-production/uploads/image/source/52785/474f1c.png" TargetMode="External"/><Relationship Id="rId6785" Type="http://schemas.openxmlformats.org/officeDocument/2006/relationships/hyperlink" Target="https://drive.google.com/file/d/1DNux4glLBnqI-DzUHKvsJVIQIe0fQ_QF/view?usp=sharing" TargetMode="External"/><Relationship Id="rId9191" Type="http://schemas.openxmlformats.org/officeDocument/2006/relationships/hyperlink" Target="https://drive.google.com/file/d/1DNux4glLBnqI-DzUHKvsJVIQIe0fQ_QF/view?usp=sharing" TargetMode="External"/><Relationship Id="rId12172" Type="http://schemas.openxmlformats.org/officeDocument/2006/relationships/hyperlink" Target="https://www.vidio.com/live/20274?schedule_id=4833818" TargetMode="External"/><Relationship Id="rId136" Type="http://schemas.openxmlformats.org/officeDocument/2006/relationships/hyperlink" Target="https://www.vidio.com/live/9182-champions-tv-5?schedule_id=4512851" TargetMode="External"/><Relationship Id="rId550" Type="http://schemas.openxmlformats.org/officeDocument/2006/relationships/hyperlink" Target="https://drive.google.com/file/d/1ktP_peff13bwU9p0nVd63_MTl3jGrOiv/view?usp=sharing" TargetMode="External"/><Relationship Id="rId1180" Type="http://schemas.openxmlformats.org/officeDocument/2006/relationships/hyperlink" Target="https://www.vidio.com/live/9182-champions-tv-5?schedule_id=4802199" TargetMode="External"/><Relationship Id="rId2231" Type="http://schemas.openxmlformats.org/officeDocument/2006/relationships/hyperlink" Target="https://drive.google.com/drive/folders/1LPjzFbBTQFHsHkziHSf1mTMLYgOfWkU4" TargetMode="External"/><Relationship Id="rId5387" Type="http://schemas.openxmlformats.org/officeDocument/2006/relationships/hyperlink" Target="https://drive.google.com/drive/folders/14Wb3x9yN298vTECYGS7G_yCO7LWjXAJK" TargetMode="External"/><Relationship Id="rId6438" Type="http://schemas.openxmlformats.org/officeDocument/2006/relationships/hyperlink" Target="https://drive.google.com/drive/folders/1AJXKtVATAawHh7ObHSHAXf9eYAmdpHXf" TargetMode="External"/><Relationship Id="rId7836" Type="http://schemas.openxmlformats.org/officeDocument/2006/relationships/hyperlink" Target="https://www.vidio.com/live/19677-turkish-women-s-volleyball-cup?schedule_id=4636677" TargetMode="External"/><Relationship Id="rId10817" Type="http://schemas.openxmlformats.org/officeDocument/2006/relationships/hyperlink" Target="https://drive.google.com/file/d/1msluPEcX1IlImG9XyZKpU3Kg0JQSHXjz/view?usp=sharing" TargetMode="External"/><Relationship Id="rId203" Type="http://schemas.openxmlformats.org/officeDocument/2006/relationships/hyperlink" Target="https://drive.google.com/drive/folders/1qRXZMsmMk6oQ4bnzCIB3WT4OoxOZN0bg?usp=drive_link" TargetMode="External"/><Relationship Id="rId6852" Type="http://schemas.openxmlformats.org/officeDocument/2006/relationships/hyperlink" Target="https://drive.google.com/drive/folders/1JTqqz3ykdNiLL2mIJ5vJ_Hu9a4y-D-08?usp=drive_link" TargetMode="External"/><Relationship Id="rId7903" Type="http://schemas.openxmlformats.org/officeDocument/2006/relationships/hyperlink" Target="https://www.vidio.com/live/19677-turkish-volleyball-cup?schedule_id=4671776" TargetMode="External"/><Relationship Id="rId1997" Type="http://schemas.openxmlformats.org/officeDocument/2006/relationships/hyperlink" Target="https://drive.google.com/drive/folders/1sK5QhUzYL7az_k6myRsVTQq_AEcx8Hzc?usp=drive_link" TargetMode="External"/><Relationship Id="rId4056" Type="http://schemas.openxmlformats.org/officeDocument/2006/relationships/hyperlink" Target="https://drive.google.com/drive/folders/1A55nWw72-i-Zga8AGgXAjAvv1AYkSATj?usp=drive_link" TargetMode="External"/><Relationship Id="rId5454" Type="http://schemas.openxmlformats.org/officeDocument/2006/relationships/hyperlink" Target="https://www.vidio.com/live/17883-uefa-champions-league?schedule_id=4773126" TargetMode="External"/><Relationship Id="rId6505" Type="http://schemas.openxmlformats.org/officeDocument/2006/relationships/hyperlink" Target="https://drive.google.com/drive/folders/1522r8LHgvNLQ1dCTTpKuVzTNYKFort6J?usp=drive_link" TargetMode="External"/><Relationship Id="rId4470" Type="http://schemas.openxmlformats.org/officeDocument/2006/relationships/hyperlink" Target="https://drive.google.com/drive/folders/178fIl-QiFwp1u5iXcWAIplrZ4uIRWKcm?usp=drive_link" TargetMode="External"/><Relationship Id="rId5107" Type="http://schemas.openxmlformats.org/officeDocument/2006/relationships/hyperlink" Target="https://drive.google.com/drive/folders/1d8RfZ3AxKm4vcq0d__doqb5lGvVI-NuD" TargetMode="External"/><Relationship Id="rId5521" Type="http://schemas.openxmlformats.org/officeDocument/2006/relationships/hyperlink" Target="https://www.vidio.com/live/6299-bein-1?schedule_id=4591201" TargetMode="External"/><Relationship Id="rId8677" Type="http://schemas.openxmlformats.org/officeDocument/2006/relationships/hyperlink" Target="https://drive.google.com/file/d/19VRMF7mBZUn2Nm0y6GA2aWa_pw3O5eST/view?usp=sharing" TargetMode="External"/><Relationship Id="rId9728" Type="http://schemas.openxmlformats.org/officeDocument/2006/relationships/hyperlink" Target="https://www.vidio.com/live/19548-national-football-league-2025-26?schedule_id=4741019" TargetMode="External"/><Relationship Id="rId11658" Type="http://schemas.openxmlformats.org/officeDocument/2006/relationships/hyperlink" Target="https://drive.google.com/drive/folders/1VcygSb3_jwrJx8bCGsbJ25gQAlk84SgQ" TargetMode="External"/><Relationship Id="rId1717" Type="http://schemas.openxmlformats.org/officeDocument/2006/relationships/hyperlink" Target="https://drive.google.com/file/d/1iVlWmDJEofVTEyra3SZJvVsFqLKLLy4s/view?usp=drive_link" TargetMode="External"/><Relationship Id="rId3072" Type="http://schemas.openxmlformats.org/officeDocument/2006/relationships/hyperlink" Target="https://drive.google.com/file/d/1sFaUqK6iWUzUffaYh6uD4iUjyNRoy7mW/view?usp=drive_link" TargetMode="External"/><Relationship Id="rId4123" Type="http://schemas.openxmlformats.org/officeDocument/2006/relationships/hyperlink" Target="https://drive.google.com/file/d/143Io-_AiDMk7P2EtXF9_f36ygF5Wq4S6/view?usp=sharing" TargetMode="External"/><Relationship Id="rId7279" Type="http://schemas.openxmlformats.org/officeDocument/2006/relationships/hyperlink" Target="https://drive.google.com/file/d/1TW9CndB3e7rYBGN9wHjdtca4Vo43umER/view?usp=sharing" TargetMode="External"/><Relationship Id="rId7693" Type="http://schemas.openxmlformats.org/officeDocument/2006/relationships/hyperlink" Target="https://www.vidio.com/live/19541-pegadaian-championship-2025-26?schedule_id=4665891" TargetMode="External"/><Relationship Id="rId8744" Type="http://schemas.openxmlformats.org/officeDocument/2006/relationships/hyperlink" Target="https://drive.google.com/drive/folders/1NepG6XT-FSa8Cs07sX3tPfQWLNpJfAxp" TargetMode="External"/><Relationship Id="rId3889" Type="http://schemas.openxmlformats.org/officeDocument/2006/relationships/hyperlink" Target="https://drive.google.com/drive/folders/1z2r5WZWyZXMuRGOOzxK-ZDZEDVdNk2pS" TargetMode="External"/><Relationship Id="rId6295" Type="http://schemas.openxmlformats.org/officeDocument/2006/relationships/hyperlink" Target="https://www.vidio.com/live/19645-uefa-conference-league?schedule_id=4700063" TargetMode="External"/><Relationship Id="rId7346" Type="http://schemas.openxmlformats.org/officeDocument/2006/relationships/hyperlink" Target="https://www.vidio.com/live/17140-spotv-2?schedule_id=4594601" TargetMode="External"/><Relationship Id="rId10674" Type="http://schemas.openxmlformats.org/officeDocument/2006/relationships/hyperlink" Target="https://thumbor.prod.vidiocdn.com/f173TfbIDarq59oFS0k4Fozg9H8=/filters:quality(70)/vidio-media-production/uploads/image/source/52895/5cebaf.png" TargetMode="External"/><Relationship Id="rId11725" Type="http://schemas.openxmlformats.org/officeDocument/2006/relationships/hyperlink" Target="https://drive.google.com/file/d/12QkKxLYE-k6gn_UtWjwb2YvlTrJtSN6r/view?usp=sharing" TargetMode="External"/><Relationship Id="rId6362" Type="http://schemas.openxmlformats.org/officeDocument/2006/relationships/hyperlink" Target="https://drive.google.com/drive/folders/1WF1dJz6yU_gkQM8EAXaQbIjGORO6Nrdp" TargetMode="External"/><Relationship Id="rId7413" Type="http://schemas.openxmlformats.org/officeDocument/2006/relationships/hyperlink" Target="https://drive.google.com/file/d/1MpOkEPq4yECBiVk7dobzT3dY6zsKsBnk/view?usp=drive_link" TargetMode="External"/><Relationship Id="rId7760" Type="http://schemas.openxmlformats.org/officeDocument/2006/relationships/hyperlink" Target="https://drive.google.com/drive/folders/1NaSIoC1gN5xC6W29F8NjTPjo4rFbKFU8?usp=sharing" TargetMode="External"/><Relationship Id="rId8811" Type="http://schemas.openxmlformats.org/officeDocument/2006/relationships/hyperlink" Target="https://drive.google.com/file/d/1m2TtjWBi2pCUnATq8POY3-Z0_EVy2axQ/view?usp=drive_link" TargetMode="External"/><Relationship Id="rId10327" Type="http://schemas.openxmlformats.org/officeDocument/2006/relationships/hyperlink" Target="https://drive.google.com/file/d/1jlez4JR07DSs3kvGWp_GphpWOxira2l8/view?usp=sharing" TargetMode="External"/><Relationship Id="rId10741" Type="http://schemas.openxmlformats.org/officeDocument/2006/relationships/hyperlink" Target="https://www.vidio.com/live/19548-national-football-league-2025-26?schedule_id=4784755" TargetMode="External"/><Relationship Id="rId3956" Type="http://schemas.openxmlformats.org/officeDocument/2006/relationships/hyperlink" Target="https://www.vidio.com/live/19472?schedule_id=4534250" TargetMode="External"/><Relationship Id="rId6015" Type="http://schemas.openxmlformats.org/officeDocument/2006/relationships/hyperlink" Target="https://drive.google.com/file/d/1Ybr4gZgJ5cQS-nuTaaY084zvs1iwiY6X/view?usp=drive_link" TargetMode="External"/><Relationship Id="rId877" Type="http://schemas.openxmlformats.org/officeDocument/2006/relationships/hyperlink" Target="https://drive.google.com/drive/folders/1uDHO6mOPCSnpMax30Wbg76bkbDRZPmy_?usp=drive_link" TargetMode="External"/><Relationship Id="rId2558" Type="http://schemas.openxmlformats.org/officeDocument/2006/relationships/hyperlink" Target="https://drive.google.com/file/d/1J7xQDabRlLYhu_ic8uxmolWUWoQ7rNB8/view?usp=drive_link" TargetMode="External"/><Relationship Id="rId2972" Type="http://schemas.openxmlformats.org/officeDocument/2006/relationships/hyperlink" Target="https://drive.google.com/file/d/188-oyHcNYEWf0dEziJTTPqoO03_sGRvR/view?usp=sharing" TargetMode="External"/><Relationship Id="rId3609" Type="http://schemas.openxmlformats.org/officeDocument/2006/relationships/hyperlink" Target="https://drive.google.com/file/d/1nIyrHmtxDh4eCDPMfvlTlPNOTvXmQurt/view?usp=sharing" TargetMode="External"/><Relationship Id="rId8187" Type="http://schemas.openxmlformats.org/officeDocument/2006/relationships/hyperlink" Target="https://www.vidio.com/live/19388-rws-muay-thai-2025?schedule_id=4653334" TargetMode="External"/><Relationship Id="rId9585" Type="http://schemas.openxmlformats.org/officeDocument/2006/relationships/hyperlink" Target="https://www.vidio.com/live/6299-bein-1?schedule_id=4733791" TargetMode="External"/><Relationship Id="rId944" Type="http://schemas.openxmlformats.org/officeDocument/2006/relationships/hyperlink" Target="https://drive.google.com/drive/folders/1OYaFEHUPP6WozxKecPCD55NZAI71A2Pz?usp=drive_link" TargetMode="External"/><Relationship Id="rId1574" Type="http://schemas.openxmlformats.org/officeDocument/2006/relationships/hyperlink" Target="https://www.vidio.com/live/19385-bri-super-league?schedule_id=4510895" TargetMode="External"/><Relationship Id="rId2625" Type="http://schemas.openxmlformats.org/officeDocument/2006/relationships/hyperlink" Target="https://drive.google.com/file/d/1TvTTKSrEEbHRDAwUwQJhB4tlNEzSP5_k/view?usp=sharing" TargetMode="External"/><Relationship Id="rId5031" Type="http://schemas.openxmlformats.org/officeDocument/2006/relationships/hyperlink" Target="https://www.vidio.com/live/18302-uefa-champions-league?schedule_id=4602546" TargetMode="External"/><Relationship Id="rId9238" Type="http://schemas.openxmlformats.org/officeDocument/2006/relationships/hyperlink" Target="https://drive.google.com/file/d/1bGAtWdCSL-v2iZg1GvRoYwXZwXVqVH3x/view?usp=drive_link" TargetMode="External"/><Relationship Id="rId9652" Type="http://schemas.openxmlformats.org/officeDocument/2006/relationships/hyperlink" Target="https://drive.google.com/file/d/1wdQi6Xt-uLhIPlGAY9PGL_PCFFT63_s7/view?usp=sharing" TargetMode="External"/><Relationship Id="rId11168" Type="http://schemas.openxmlformats.org/officeDocument/2006/relationships/hyperlink" Target="https://drive.google.com/file/d/1vzbuvhDnd7bmjyq0hoaElH3WJB4NEBgr/view?usp=sharing" TargetMode="External"/><Relationship Id="rId11582" Type="http://schemas.openxmlformats.org/officeDocument/2006/relationships/hyperlink" Target="https://www.vidio.com/live/6786-champions-tv-3?schedule_id=4831359" TargetMode="External"/><Relationship Id="rId12219" Type="http://schemas.openxmlformats.org/officeDocument/2006/relationships/hyperlink" Target="https://drive.google.com/file/d/17nqJ8YbOWxi4DOQmMA4_VvY1qMuE4tM4/view?usp=sharing" TargetMode="External"/><Relationship Id="rId1227" Type="http://schemas.openxmlformats.org/officeDocument/2006/relationships/hyperlink" Target="https://www.vidio.com/live/9182-champions-tv-5?schedule_id=4832228" TargetMode="External"/><Relationship Id="rId1641" Type="http://schemas.openxmlformats.org/officeDocument/2006/relationships/hyperlink" Target="https://drive.google.com/drive/folders/15V2sfrS2PBp_4wxnJ06PpXdiWVlRNj3L" TargetMode="External"/><Relationship Id="rId4797" Type="http://schemas.openxmlformats.org/officeDocument/2006/relationships/hyperlink" Target="https://www.vidio.com/live/20108-serie-a?schedule_id=4819778" TargetMode="External"/><Relationship Id="rId5848" Type="http://schemas.openxmlformats.org/officeDocument/2006/relationships/hyperlink" Target="https://drive.google.com/file/d/1lor-_lNedyrZFySvBGMMvoDcYbRny-o9/view?usp=sharing" TargetMode="External"/><Relationship Id="rId8254" Type="http://schemas.openxmlformats.org/officeDocument/2006/relationships/hyperlink" Target="https://drive.google.com/drive/folders/1NepG6XT-FSa8Cs07sX3tPfQWLNpJfAxp" TargetMode="External"/><Relationship Id="rId9305" Type="http://schemas.openxmlformats.org/officeDocument/2006/relationships/hyperlink" Target="https://www.vidio.com/live/20048-fivb-volleyball-club-world-championship-2025?schedule_id=4779498" TargetMode="External"/><Relationship Id="rId10184" Type="http://schemas.openxmlformats.org/officeDocument/2006/relationships/hyperlink" Target="https://drive.google.com/file/d/1wHl_K26WnvJqZL7QE53N2j13uUnfa2xt/view?usp=drive_link" TargetMode="External"/><Relationship Id="rId11235" Type="http://schemas.openxmlformats.org/officeDocument/2006/relationships/hyperlink" Target="https://thumbor.prod.vidiocdn.com/V_iF-7oiplBK9ZSXeh_wEIaDadM=/filters:quality(70)/vidio-media-production/uploads/image/source/52350/e0501c.png" TargetMode="External"/><Relationship Id="rId3399" Type="http://schemas.openxmlformats.org/officeDocument/2006/relationships/hyperlink" Target="https://drive.google.com/file/d/1wXLp3VeSiYSm20NC4uQr_xlbyAMdczad/view?usp=sharing" TargetMode="External"/><Relationship Id="rId4864" Type="http://schemas.openxmlformats.org/officeDocument/2006/relationships/hyperlink" Target="https://drive.google.com/drive/folders/1kxqxZETVsQajGbYz9s3ZVMUV4IyN8nZx?usp=drive_link" TargetMode="External"/><Relationship Id="rId7270" Type="http://schemas.openxmlformats.org/officeDocument/2006/relationships/hyperlink" Target="https://drive.google.com/drive/folders/1LiqE1rSncMJjnxCNuQI_mD7A8eO4Lsag?usp=drive_link" TargetMode="External"/><Relationship Id="rId8321" Type="http://schemas.openxmlformats.org/officeDocument/2006/relationships/hyperlink" Target="https://drive.google.com/file/d/1CmwZm1hHHS07PlBultxHxOJhDzvo_Kg9/view?usp=sharing" TargetMode="External"/><Relationship Id="rId10251" Type="http://schemas.openxmlformats.org/officeDocument/2006/relationships/hyperlink" Target="https://www.vidio.com/live/17139-spotv?schedule_id=4773354" TargetMode="External"/><Relationship Id="rId3466" Type="http://schemas.openxmlformats.org/officeDocument/2006/relationships/hyperlink" Target="https://drive.google.com/file/d/17yzY1ySaWpPMz4hapiBfUsBLd4ew6ds5/view?usp=sharing" TargetMode="External"/><Relationship Id="rId4517" Type="http://schemas.openxmlformats.org/officeDocument/2006/relationships/hyperlink" Target="https://drive.google.com/file/d/1mbdCrYiNuEx0CLfRf1IquMsPCOv7stTo/view?usp=sharing" TargetMode="External"/><Relationship Id="rId5915" Type="http://schemas.openxmlformats.org/officeDocument/2006/relationships/hyperlink" Target="https://www.vidio.com/live/19601-uefa-europa-league?schedule_id=4734918" TargetMode="External"/><Relationship Id="rId11302" Type="http://schemas.openxmlformats.org/officeDocument/2006/relationships/hyperlink" Target="https://drive.google.com/drive/folders/1LnhcYia5oVY3y4l7l8sxLDW4ukQpSXJm" TargetMode="External"/><Relationship Id="rId387" Type="http://schemas.openxmlformats.org/officeDocument/2006/relationships/hyperlink" Target="https://drive.google.com/drive/folders/1PPstaVk_KO7Lzbu24wFrwVbSSJ8VZ36F?usp=drive_link" TargetMode="External"/><Relationship Id="rId2068" Type="http://schemas.openxmlformats.org/officeDocument/2006/relationships/hyperlink" Target="https://www.vidio.com/live/19354-bri-super-league?schedule_id=4724842" TargetMode="External"/><Relationship Id="rId3119" Type="http://schemas.openxmlformats.org/officeDocument/2006/relationships/hyperlink" Target="https://drive.google.com/file/d/1PkApsGFDBWH2uUBZMnVC-LghCPo706Pp/view?usp=sharing" TargetMode="External"/><Relationship Id="rId3880" Type="http://schemas.openxmlformats.org/officeDocument/2006/relationships/hyperlink" Target="https://www.vidio.com/live/6685-champions-tv-1?schedule_id=4577337" TargetMode="External"/><Relationship Id="rId4931" Type="http://schemas.openxmlformats.org/officeDocument/2006/relationships/hyperlink" Target="https://drive.google.com/file/d/18d6zylwCT9hK466Br9b3saxGD7Xso3iA/view?usp=sharing" TargetMode="External"/><Relationship Id="rId9095" Type="http://schemas.openxmlformats.org/officeDocument/2006/relationships/hyperlink" Target="https://drive.google.com/file/d/1nQTPi3lZI4ofsP1xV-z9Q7pB_5x0sn1v/view?usp=sharing" TargetMode="External"/><Relationship Id="rId1084" Type="http://schemas.openxmlformats.org/officeDocument/2006/relationships/hyperlink" Target="https://drive.google.com/drive/folders/17FCXFwX4aUG3EkkQ1euyhLk_QZn1fwe6?usp=drive_link" TargetMode="External"/><Relationship Id="rId2482" Type="http://schemas.openxmlformats.org/officeDocument/2006/relationships/hyperlink" Target="https://drive.google.com/drive/folders/1OaLIp6HFvH8TyaeVEqGxIV3HFrziJkWO?usp=drive_link" TargetMode="External"/><Relationship Id="rId3533" Type="http://schemas.openxmlformats.org/officeDocument/2006/relationships/hyperlink" Target="https://www.vidio.com/live/18739-liga-portugal?schedule_id=4708925" TargetMode="External"/><Relationship Id="rId6689" Type="http://schemas.openxmlformats.org/officeDocument/2006/relationships/hyperlink" Target="https://drive.google.com/drive/folders/1-WgJ2IEJ2UwJRhp40bAjV3dZLleidaEX?usp=drive_link" TargetMode="External"/><Relationship Id="rId9162" Type="http://schemas.openxmlformats.org/officeDocument/2006/relationships/hyperlink" Target="https://www.vidio.com/live/19802-top-youth-premier-league-2025-matchday-10?schedule_id=4709315" TargetMode="External"/><Relationship Id="rId12076" Type="http://schemas.openxmlformats.org/officeDocument/2006/relationships/hyperlink" Target="https://drive.google.com/file/d/1NSS8caFvdZbwLM0rQ6xFjEA-VHdQ-0wz/view?usp=sharing" TargetMode="External"/><Relationship Id="rId107" Type="http://schemas.openxmlformats.org/officeDocument/2006/relationships/hyperlink" Target="https://drive.google.com/drive/folders/1ZnBlExIc16jpQRJ5yiF_rjC2Vw5bQFo5?usp=drive_link" TargetMode="External"/><Relationship Id="rId454" Type="http://schemas.openxmlformats.org/officeDocument/2006/relationships/hyperlink" Target="https://drive.google.com/drive/folders/1Vw5ULB3fjb8MiDjTT3Dib7EARuLaPv18" TargetMode="External"/><Relationship Id="rId2135" Type="http://schemas.openxmlformats.org/officeDocument/2006/relationships/hyperlink" Target="https://drive.google.com/drive/folders/1ckhaC3e-mkZaT3BkusWqhax5Dg5W4qGb?usp=drive_link" TargetMode="External"/><Relationship Id="rId3600" Type="http://schemas.openxmlformats.org/officeDocument/2006/relationships/hyperlink" Target="https://thumbor.prod.vidiocdn.com/9d8wP51YvLUn2YDQ8uQVKfzw-ic=/filters:quality(70)/vidio-media-production/uploads/image/source/53056/3aa57a.png" TargetMode="External"/><Relationship Id="rId6756" Type="http://schemas.openxmlformats.org/officeDocument/2006/relationships/hyperlink" Target="https://www.vidio.com/live/19519?schedule_id=4553302" TargetMode="External"/><Relationship Id="rId7807" Type="http://schemas.openxmlformats.org/officeDocument/2006/relationships/hyperlink" Target="https://drive.google.com/drive/folders/1SJhqzDbKYD9SRePZy1O9Lac6FkTu5m69" TargetMode="External"/><Relationship Id="rId11092" Type="http://schemas.openxmlformats.org/officeDocument/2006/relationships/hyperlink" Target="https://thumbor.prod.vidiocdn.com/WmQ029V22bo5mTTwdOKtrBnBLUM=/filters:quality(70)/vidio-media-production/uploads/image/source/52269/61e75e.png" TargetMode="External"/><Relationship Id="rId12143" Type="http://schemas.openxmlformats.org/officeDocument/2006/relationships/hyperlink" Target="https://drive.google.com/file/d/17nqJ8YbOWxi4DOQmMA4_VvY1qMuE4tM4/view?usp=drive_link" TargetMode="External"/><Relationship Id="rId521" Type="http://schemas.openxmlformats.org/officeDocument/2006/relationships/hyperlink" Target="https://drive.google.com/file/d/1ah_G5mM-QnCimD48V0056jMghG5ip5rW/view?usp=sharing" TargetMode="External"/><Relationship Id="rId1151" Type="http://schemas.openxmlformats.org/officeDocument/2006/relationships/hyperlink" Target="https://drive.google.com/drive/folders/1jYtJuUAFym3DtUXBH2vGyQCXTalF3zzM?usp=drive_link" TargetMode="External"/><Relationship Id="rId2202" Type="http://schemas.openxmlformats.org/officeDocument/2006/relationships/hyperlink" Target="https://drive.google.com/file/d/1UbvFZnriaCldAIpmpE7hc-vTesDsGWYG/view?usp=drive_link" TargetMode="External"/><Relationship Id="rId5358" Type="http://schemas.openxmlformats.org/officeDocument/2006/relationships/hyperlink" Target="https://drive.google.com/file/d/1fJ6BSv-NYlWG-hf3y48OAOeOKLou3T99/view?usp=sharing" TargetMode="External"/><Relationship Id="rId5772" Type="http://schemas.openxmlformats.org/officeDocument/2006/relationships/hyperlink" Target="https://drive.google.com/drive/folders/1Xlp5aunryVlWR8atbAp6mL9dfJO63aR4?usp=drive_link" TargetMode="External"/><Relationship Id="rId6409" Type="http://schemas.openxmlformats.org/officeDocument/2006/relationships/hyperlink" Target="https://drive.google.com/file/d/1mp506nV8dY5GTcMzPQbGfGceGf_lvUIL/view?usp=drive_link" TargetMode="External"/><Relationship Id="rId6823" Type="http://schemas.openxmlformats.org/officeDocument/2006/relationships/hyperlink" Target="https://drive.google.com/drive/folders/1z_5gUpZASAxk6TCAxnr8pNKz0AFsx0hT?usp=drive_link" TargetMode="External"/><Relationship Id="rId9979" Type="http://schemas.openxmlformats.org/officeDocument/2006/relationships/hyperlink" Target="https://drive.google.com/drive/folders/1rSzfcjRYu7FCCmRwW9G9onk4cZI5VqqJ?usp=drive_link" TargetMode="External"/><Relationship Id="rId12210" Type="http://schemas.openxmlformats.org/officeDocument/2006/relationships/hyperlink" Target="https://drive.google.com/file/d/17nqJ8YbOWxi4DOQmMA4_VvY1qMuE4tM4/view?usp=sharing" TargetMode="External"/><Relationship Id="rId1968" Type="http://schemas.openxmlformats.org/officeDocument/2006/relationships/hyperlink" Target="https://drive.google.com/drive/u/0/folders/1kGHtJTboMQzt_AXOEFOdRLfI5nrFLPAB" TargetMode="External"/><Relationship Id="rId4374" Type="http://schemas.openxmlformats.org/officeDocument/2006/relationships/hyperlink" Target="https://drive.google.com/drive/folders/1lBlXFBl4TqP2MeqFN3Wx1uc1mDYkLzFG?usp=drive_link" TargetMode="External"/><Relationship Id="rId5425" Type="http://schemas.openxmlformats.org/officeDocument/2006/relationships/hyperlink" Target="https://www.vidio.com/live/18302-uefa-champions-league?schedule_id=4772718" TargetMode="External"/><Relationship Id="rId8995" Type="http://schemas.openxmlformats.org/officeDocument/2006/relationships/hyperlink" Target="https://drive.google.com/file/d/17mk6kcJ1r22g9X_3vzmxShKuH5KcHj-e/view?usp=sharing" TargetMode="External"/><Relationship Id="rId3390" Type="http://schemas.openxmlformats.org/officeDocument/2006/relationships/hyperlink" Target="https://www.vidio.com/live/19302-press-conference-bri-super-league-2025-26?schedule_id=4471932" TargetMode="External"/><Relationship Id="rId4027" Type="http://schemas.openxmlformats.org/officeDocument/2006/relationships/hyperlink" Target="https://drive.google.com/drive/folders/1UJbYv_cfBiYj-YD2BqmarfMOxN1ATALf?usp=drive_link" TargetMode="External"/><Relationship Id="rId4441" Type="http://schemas.openxmlformats.org/officeDocument/2006/relationships/hyperlink" Target="https://drive.google.com/file/d/1oOp0GFENPzmxef1IKebOZGF6nvImbBmi/view?usp=sharing" TargetMode="External"/><Relationship Id="rId7597" Type="http://schemas.openxmlformats.org/officeDocument/2006/relationships/hyperlink" Target="https://www.vidio.com/live/6317-bein-3?schedule_id=4644302" TargetMode="External"/><Relationship Id="rId8648" Type="http://schemas.openxmlformats.org/officeDocument/2006/relationships/hyperlink" Target="https://drive.google.com/file/d/1O4fW0A2jkk9j854fEC5GIg_W-iOiG442/view?usp=sharing" TargetMode="External"/><Relationship Id="rId11976" Type="http://schemas.openxmlformats.org/officeDocument/2006/relationships/hyperlink" Target="https://www.vidio.com/live/18252-petronas-malaysia-open-2026-round-of-32-court-3?schedule_id=4832203" TargetMode="External"/><Relationship Id="rId3043" Type="http://schemas.openxmlformats.org/officeDocument/2006/relationships/hyperlink" Target="https://thumbor.prod.vidiocdn.com/20mmkPTbTCXrS6C3pcMkVRwkIeQ=/filters:quality(70)/vidio-media-production/uploads/image/source/51609/c92488.png" TargetMode="External"/><Relationship Id="rId6199" Type="http://schemas.openxmlformats.org/officeDocument/2006/relationships/hyperlink" Target="https://drive.google.com/drive/folders/1vjOA9E-jOlhsRSh5NE7jSpcmcR5v41-E" TargetMode="External"/><Relationship Id="rId10578" Type="http://schemas.openxmlformats.org/officeDocument/2006/relationships/hyperlink" Target="https://www.vidio.com/live/17875-bein-2?schedule_id=4827337" TargetMode="External"/><Relationship Id="rId10992" Type="http://schemas.openxmlformats.org/officeDocument/2006/relationships/hyperlink" Target="https://drive.google.com/drive/folders/1HnPQUxhHD6KsSjEUyMSO1BLbMiI4v-8v?usp=drive_link" TargetMode="External"/><Relationship Id="rId11629" Type="http://schemas.openxmlformats.org/officeDocument/2006/relationships/hyperlink" Target="https://www.vidio.com/live/6317-bein-3?schedule_id=4825769" TargetMode="External"/><Relationship Id="rId6266" Type="http://schemas.openxmlformats.org/officeDocument/2006/relationships/hyperlink" Target="https://drive.google.com/drive/folders/1bJMtLBOf71PmHz1Fr5MB4PWW2L9OK1Ir" TargetMode="External"/><Relationship Id="rId7664" Type="http://schemas.openxmlformats.org/officeDocument/2006/relationships/hyperlink" Target="https://drive.google.com/drive/folders/1msZyWE5bzRu-MAuCrdRc9samFAtsHzLT" TargetMode="External"/><Relationship Id="rId8715" Type="http://schemas.openxmlformats.org/officeDocument/2006/relationships/hyperlink" Target="https://drive.google.com/file/d/1DNux4glLBnqI-DzUHKvsJVIQIe0fQ_QF/view?usp=sharing" TargetMode="External"/><Relationship Id="rId10645" Type="http://schemas.openxmlformats.org/officeDocument/2006/relationships/hyperlink" Target="https://drive.google.com/drive/folders/1IBWPddWirNNCINwV4UreM_0nyERPh-yy" TargetMode="External"/><Relationship Id="rId3110" Type="http://schemas.openxmlformats.org/officeDocument/2006/relationships/hyperlink" Target="https://drive.google.com/file/d/1LQSF6u_001ZswikBdZMH_AdNEQLCpF2A/view?usp=sharing" TargetMode="External"/><Relationship Id="rId6680" Type="http://schemas.openxmlformats.org/officeDocument/2006/relationships/hyperlink" Target="https://drive.google.com/file/d/1EmIUfl6l_NmxA2Ps0LJ5BA6XmLQ7oLXj/view?usp=drive_link" TargetMode="External"/><Relationship Id="rId7317" Type="http://schemas.openxmlformats.org/officeDocument/2006/relationships/hyperlink" Target="https://drive.google.com/file/d/1bERFmgdsmshrH8EnU0M56JSlVIiaF3MD/view?usp=sharing" TargetMode="External"/><Relationship Id="rId7731" Type="http://schemas.openxmlformats.org/officeDocument/2006/relationships/hyperlink" Target="https://drive.google.com/drive/folders/1-d7SElccr2N6xnWCuYB7bicvICq7mohq?usp=drive_link" TargetMode="External"/><Relationship Id="rId10712" Type="http://schemas.openxmlformats.org/officeDocument/2006/relationships/hyperlink" Target="https://drive.google.com/drive/folders/1_4NAtkA29AVjYVoP3iZkpknUZPzpMzvE" TargetMode="External"/><Relationship Id="rId2876" Type="http://schemas.openxmlformats.org/officeDocument/2006/relationships/hyperlink" Target="https://drive.google.com/file/d/1wl2Cy1tf-2HS0WSdXKpvSkL0GxJxn211/view?usp=sharing" TargetMode="External"/><Relationship Id="rId3927" Type="http://schemas.openxmlformats.org/officeDocument/2006/relationships/hyperlink" Target="https://drive.google.com/drive/folders/1FUYVGFcWOBPvkAkkVI3fj_0oBsXNzTzB?usp=drive_link" TargetMode="External"/><Relationship Id="rId5282" Type="http://schemas.openxmlformats.org/officeDocument/2006/relationships/hyperlink" Target="https://drive.google.com/file/d/1BFYH5Tndi9lxn3NG4CoJe6ByYVxRwU3U/view?usp=drive_link" TargetMode="External"/><Relationship Id="rId6333" Type="http://schemas.openxmlformats.org/officeDocument/2006/relationships/hyperlink" Target="https://drive.google.com/file/d/1fb0qc87cliysF5OWfRCB_umkwKdeMlsR/view?usp=sharing" TargetMode="External"/><Relationship Id="rId9489" Type="http://schemas.openxmlformats.org/officeDocument/2006/relationships/hyperlink" Target="https://drive.google.com/file/d/1ZpA43hHHlitWxBPU25V-UC_4U_uQpPUj/view?usp=drive_link" TargetMode="External"/><Relationship Id="rId848" Type="http://schemas.openxmlformats.org/officeDocument/2006/relationships/hyperlink" Target="https://drive.google.com/drive/folders/1WB5RMrJafdkxgc0CdZvq6o2Z-yCqfWQu?usp=drive_link" TargetMode="External"/><Relationship Id="rId1478" Type="http://schemas.openxmlformats.org/officeDocument/2006/relationships/hyperlink" Target="https://drive.google.com/drive/folders/1HVeIWwrGNGpuoo8yNqYxFesx2jUxyH0R" TargetMode="External"/><Relationship Id="rId1892" Type="http://schemas.openxmlformats.org/officeDocument/2006/relationships/hyperlink" Target="https://www.vidio.com/live/19354-bri-super-league?schedule_id=4665765" TargetMode="External"/><Relationship Id="rId2529" Type="http://schemas.openxmlformats.org/officeDocument/2006/relationships/hyperlink" Target="https://drive.google.com/file/d/1AT4hA2hzfJoSa_gEdfIafwSOaleA_rV-/view?usp=drive_link" TargetMode="External"/><Relationship Id="rId6400" Type="http://schemas.openxmlformats.org/officeDocument/2006/relationships/hyperlink" Target="https://drive.google.com/file/d/1ZRLy-mZCaV5uh_ujaNbxcYfWTO-zzBXX/view?usp=drive_link" TargetMode="External"/><Relationship Id="rId9556" Type="http://schemas.openxmlformats.org/officeDocument/2006/relationships/hyperlink" Target="https://drive.google.com/file/d/1bGAtWdCSL-v2iZg1GvRoYwXZwXVqVH3x/view" TargetMode="External"/><Relationship Id="rId9970" Type="http://schemas.openxmlformats.org/officeDocument/2006/relationships/hyperlink" Target="https://drive.google.com/file/d/1TEeQadNavDw6RvDtRIsZO-zUhWYyey51/view?usp=sharing" TargetMode="External"/><Relationship Id="rId11486" Type="http://schemas.openxmlformats.org/officeDocument/2006/relationships/hyperlink" Target="https://drive.google.com/file/d/1_DnOTO5XbHNZvCabUDvxXTRtRDBIoQrD/view?usp=sharing" TargetMode="External"/><Relationship Id="rId915" Type="http://schemas.openxmlformats.org/officeDocument/2006/relationships/hyperlink" Target="https://drive.google.com/file/d/1AFizf9CnXjqLBgTtEOMu7rFPNUBguze8/view?usp=sharing" TargetMode="External"/><Relationship Id="rId1545" Type="http://schemas.openxmlformats.org/officeDocument/2006/relationships/hyperlink" Target="https://drive.google.com/drive/folders/1Y71oCIxPpPyXqu3KkAEf-8tYeu_A4Hnn" TargetMode="External"/><Relationship Id="rId2943" Type="http://schemas.openxmlformats.org/officeDocument/2006/relationships/hyperlink" Target="https://drive.google.com/drive/folders/1sylcAIPXLoIGKMZg97Zq8fDhpqDBfptK?usp=drive_link" TargetMode="External"/><Relationship Id="rId5002" Type="http://schemas.openxmlformats.org/officeDocument/2006/relationships/hyperlink" Target="https://drive.google.com/file/d/1dWgb1thlY8Neevx9tLBvJkwbSpooQfnq/view?usp=sharing" TargetMode="External"/><Relationship Id="rId8158" Type="http://schemas.openxmlformats.org/officeDocument/2006/relationships/hyperlink" Target="https://drive.google.com/drive/folders/1Ghj3z1_bCmQSKG6Tn4qEhXJLtRq1SxKA" TargetMode="External"/><Relationship Id="rId8572" Type="http://schemas.openxmlformats.org/officeDocument/2006/relationships/hyperlink" Target="https://drive.google.com/file/d/1O-4VqYwnQzDmD42VZwZCzIYPrNOMeL_F/view?usp=sharing" TargetMode="External"/><Relationship Id="rId9209" Type="http://schemas.openxmlformats.org/officeDocument/2006/relationships/hyperlink" Target="https://drive.google.com/file/d/1bGAtWdCSL-v2iZg1GvRoYwXZwXVqVH3x/view?usp=sharing" TargetMode="External"/><Relationship Id="rId9623" Type="http://schemas.openxmlformats.org/officeDocument/2006/relationships/hyperlink" Target="https://drive.google.com/drive/folders/1xNE4MjR9jQHc1garUq9AEKrZsKsSqpp6?usp=drive_link" TargetMode="External"/><Relationship Id="rId10088" Type="http://schemas.openxmlformats.org/officeDocument/2006/relationships/hyperlink" Target="https://www.vidio.com/live/18189-champions-golf-1?schedule_id=4762158" TargetMode="External"/><Relationship Id="rId11139" Type="http://schemas.openxmlformats.org/officeDocument/2006/relationships/hyperlink" Target="https://thumbor.prod.vidiocdn.com/vbffy7Wc7Db2hGLhquv7RvxfGSk=/filters:quality(70)/vidio-media-production/uploads/image/source/53285/59beee.png" TargetMode="External"/><Relationship Id="rId7174" Type="http://schemas.openxmlformats.org/officeDocument/2006/relationships/hyperlink" Target="https://drive.google.com/drive/folders/1NepG6XT-FSa8Cs07sX3tPfQWLNpJfAxp" TargetMode="External"/><Relationship Id="rId8225" Type="http://schemas.openxmlformats.org/officeDocument/2006/relationships/hyperlink" Target="https://www.vidio.com/live/19623-national-football-league-2025-26?schedule_id=4660124" TargetMode="External"/><Relationship Id="rId11553" Type="http://schemas.openxmlformats.org/officeDocument/2006/relationships/hyperlink" Target="https://www.vidio.com/live/17139-spotv?schedule_id=4803404" TargetMode="External"/><Relationship Id="rId1612" Type="http://schemas.openxmlformats.org/officeDocument/2006/relationships/hyperlink" Target="https://drive.google.com/drive/folders/1nyKUUyr6kiqG4SFcbhStnCRfNhqct17a" TargetMode="External"/><Relationship Id="rId4768" Type="http://schemas.openxmlformats.org/officeDocument/2006/relationships/hyperlink" Target="https://thumbor.prod.vidiocdn.com/cGyuHHOTj8sGZbcpflk67A5FvUA=/filters:quality(70)/vidio-media-production/uploads/image/source/52141/3a34c9.png" TargetMode="External"/><Relationship Id="rId5819" Type="http://schemas.openxmlformats.org/officeDocument/2006/relationships/hyperlink" Target="https://drive.google.com/file/d/1FgY4M0mH4KFV5WVuANio7X3QPNbY-CKB/view?usp=drive_link" TargetMode="External"/><Relationship Id="rId6190" Type="http://schemas.openxmlformats.org/officeDocument/2006/relationships/hyperlink" Target="https://drive.google.com/file/d/1uiTmNYF5ERIvg37OibdDFlWDQRV2FzoZ/view?usp=sharing" TargetMode="External"/><Relationship Id="rId10155" Type="http://schemas.openxmlformats.org/officeDocument/2006/relationships/hyperlink" Target="https://drive.google.com/file/d/1AYnuoXmEVGfDbzXCERpf8Y_9FIVuMzAE/view?usp=sharing" TargetMode="External"/><Relationship Id="rId11206" Type="http://schemas.openxmlformats.org/officeDocument/2006/relationships/hyperlink" Target="https://www.vidio.com/live/18249-hsbc-bwf-world-tour-finals-2025-group-stage-court-1?schedule_id=4784603" TargetMode="External"/><Relationship Id="rId11620" Type="http://schemas.openxmlformats.org/officeDocument/2006/relationships/hyperlink" Target="https://thumbor.prod.vidiocdn.com/FfLcnwk0YZrj-Cg-JJx7B1DrmZI=/filters:quality(70)/vidio-media-production/uploads/image/source/52958/34a9c4.png" TargetMode="External"/><Relationship Id="rId3784" Type="http://schemas.openxmlformats.org/officeDocument/2006/relationships/hyperlink" Target="https://drive.google.com/drive/folders/10tLS2FpLRAnqDPXnCopRgley6XiOE5vw?usp=drive_link" TargetMode="External"/><Relationship Id="rId4835" Type="http://schemas.openxmlformats.org/officeDocument/2006/relationships/hyperlink" Target="https://www.vidio.com/live/19404-serie-a?schedule_id=4827331" TargetMode="External"/><Relationship Id="rId7241" Type="http://schemas.openxmlformats.org/officeDocument/2006/relationships/hyperlink" Target="https://drive.google.com/file/d/16haNnG85kXBylTZnbM9euPWh0sIjXsmC/view?usp=sharing" TargetMode="External"/><Relationship Id="rId10222" Type="http://schemas.openxmlformats.org/officeDocument/2006/relationships/hyperlink" Target="https://www.vidio.com/live/17875-bein-2?schedule_id=4773315" TargetMode="External"/><Relationship Id="rId2386" Type="http://schemas.openxmlformats.org/officeDocument/2006/relationships/hyperlink" Target="https://drive.google.com/drive/folders/1cG97doEJ6Q9vd3Ms2XRjEYILgSUAmFF4?usp=drive_link" TargetMode="External"/><Relationship Id="rId3437" Type="http://schemas.openxmlformats.org/officeDocument/2006/relationships/hyperlink" Target="https://drive.google.com/drive/u/1/folders/1JTyO2Te97UuKmpQaEIdjlbd0s-jEdRpz" TargetMode="External"/><Relationship Id="rId3851" Type="http://schemas.openxmlformats.org/officeDocument/2006/relationships/hyperlink" Target="https://drive.google.com/file/d/14zJE5hxBLVPtmZG5kb4rw1qA44LUZqw7/view?usp=sharing" TargetMode="External"/><Relationship Id="rId4902" Type="http://schemas.openxmlformats.org/officeDocument/2006/relationships/hyperlink" Target="https://drive.google.com/drive/folders/1kkcr59EtaTTE-pzLoBvOchBNVBJK3IkH?usp=drive_link" TargetMode="External"/><Relationship Id="rId12394" Type="http://schemas.openxmlformats.org/officeDocument/2006/relationships/hyperlink" Target="https://drive.google.com/file/d/15XWbtbUwFEgrO0Ju6sNJKkMPQkRxrMB0/view?usp=sharing" TargetMode="External"/><Relationship Id="rId358" Type="http://schemas.openxmlformats.org/officeDocument/2006/relationships/hyperlink" Target="https://drive.google.com/drive/folders/16KPsK9K0mVahy0NKMh1LLjDSdQ-qrIKf?usp=drive_link" TargetMode="External"/><Relationship Id="rId772" Type="http://schemas.openxmlformats.org/officeDocument/2006/relationships/hyperlink" Target="https://drive.google.com/file/d/1upxxE7tA120zuoGLHUAfLoKMj-L_GW48/view?usp=sharing" TargetMode="External"/><Relationship Id="rId2039" Type="http://schemas.openxmlformats.org/officeDocument/2006/relationships/hyperlink" Target="https://drive.google.com/drive/folders/1WBgbuQkU_2FDhmmhuvx-6nvibMO2lorG" TargetMode="External"/><Relationship Id="rId2453" Type="http://schemas.openxmlformats.org/officeDocument/2006/relationships/hyperlink" Target="https://drive.google.com/drive/folders/1JcWCl7DfjMzqlJ7RjmrtnHxQ1Owk1saL?usp=drive_link" TargetMode="External"/><Relationship Id="rId3504" Type="http://schemas.openxmlformats.org/officeDocument/2006/relationships/hyperlink" Target="https://drive.google.com/drive/u/0/folders/1UZmpcTBQGRbXBWqKITJ1SxwIBTRS03l7" TargetMode="External"/><Relationship Id="rId9066" Type="http://schemas.openxmlformats.org/officeDocument/2006/relationships/hyperlink" Target="https://www.vidio.com/live/19737-turkish-men-s-volleyball-league?schedule_id=4720875" TargetMode="External"/><Relationship Id="rId9480" Type="http://schemas.openxmlformats.org/officeDocument/2006/relationships/hyperlink" Target="https://drive.google.com/file/d/1IyM8OYo8FKORQS8toyoQU8K9h8EAeout/view?usp=sharing" TargetMode="External"/><Relationship Id="rId12047" Type="http://schemas.openxmlformats.org/officeDocument/2006/relationships/hyperlink" Target="https://drive.google.com/drive/folders/1j2A_bH-x2l04Qo4WA98rK5ys1iCEU3UZ" TargetMode="External"/><Relationship Id="rId425" Type="http://schemas.openxmlformats.org/officeDocument/2006/relationships/hyperlink" Target="https://drive.google.com/file/d/1jN5io_yCKnlmGc06HsJJomlb6bDH2zPX/view?usp=sharing" TargetMode="External"/><Relationship Id="rId1055" Type="http://schemas.openxmlformats.org/officeDocument/2006/relationships/hyperlink" Target="https://drive.google.com/file/d/1aSD7GdPPeL_o-OKRn8lT2KyaB-LQ_JyX/view?usp=sharing" TargetMode="External"/><Relationship Id="rId2106" Type="http://schemas.openxmlformats.org/officeDocument/2006/relationships/hyperlink" Target="https://drive.google.com/drive/folders/1gCLKym8Niu3tY1xlBbPJwfhZ-ltZiBSX" TargetMode="External"/><Relationship Id="rId2520" Type="http://schemas.openxmlformats.org/officeDocument/2006/relationships/hyperlink" Target="https://www.vidio.com/live/17323-laliga?schedule_id=4592586" TargetMode="External"/><Relationship Id="rId5676" Type="http://schemas.openxmlformats.org/officeDocument/2006/relationships/hyperlink" Target="https://drive.google.com/file/d/1lVWd5rtEZ6pLFEwBSMxsuJ92hx7G5meV/view?usp=sharing" TargetMode="External"/><Relationship Id="rId6727" Type="http://schemas.openxmlformats.org/officeDocument/2006/relationships/hyperlink" Target="https://drive.google.com/file/d/1uE89c_jwhRx3aSE3g7gYPyLa_QvrxyIA/view?usp=sharing" TargetMode="External"/><Relationship Id="rId8082" Type="http://schemas.openxmlformats.org/officeDocument/2006/relationships/hyperlink" Target="https://drive.google.com/file/d/1WJiBjYSuk52_LuOtrmADGlxkuU1pxvEO/view?usp=drive_link" TargetMode="External"/><Relationship Id="rId9133" Type="http://schemas.openxmlformats.org/officeDocument/2006/relationships/hyperlink" Target="https://www.vidio.com/live/19748-national-football-league-2025-26?schedule_id=4717975" TargetMode="External"/><Relationship Id="rId11063" Type="http://schemas.openxmlformats.org/officeDocument/2006/relationships/hyperlink" Target="https://drive.google.com/file/d/1CXccdXwP4AhbuuaGN67gOI0bgjXv61ta/view?usp=sharing" TargetMode="External"/><Relationship Id="rId12114" Type="http://schemas.openxmlformats.org/officeDocument/2006/relationships/hyperlink" Target="https://drive.google.com/drive/folders/1y_mGPCoON9jW62Lb8x5K2d_YVzyt7dym" TargetMode="External"/><Relationship Id="rId1122" Type="http://schemas.openxmlformats.org/officeDocument/2006/relationships/hyperlink" Target="https://drive.google.com/file/d/1ZA_7EuMOhl-1UANVoSItktwA3l9SbV0m/view?usp=sharing" TargetMode="External"/><Relationship Id="rId4278" Type="http://schemas.openxmlformats.org/officeDocument/2006/relationships/hyperlink" Target="https://www.vidio.com/live/19404-serie-a?schedule_id=4666168" TargetMode="External"/><Relationship Id="rId5329" Type="http://schemas.openxmlformats.org/officeDocument/2006/relationships/hyperlink" Target="https://drive.google.com/file/d/1T9vrqzI9C58Imcy1kwe-OizCRqizGcT1/view?usp=sharing" TargetMode="External"/><Relationship Id="rId9200" Type="http://schemas.openxmlformats.org/officeDocument/2006/relationships/hyperlink" Target="https://drive.google.com/file/d/1DNux4glLBnqI-DzUHKvsJVIQIe0fQ_QF/view?usp=sharing" TargetMode="External"/><Relationship Id="rId3294" Type="http://schemas.openxmlformats.org/officeDocument/2006/relationships/hyperlink" Target="https://www.vidio.com/live/19355-bri-super-league?schedule_id=4486137" TargetMode="External"/><Relationship Id="rId4345" Type="http://schemas.openxmlformats.org/officeDocument/2006/relationships/hyperlink" Target="https://drive.google.com/drive/folders/1lBlXFBl4TqP2MeqFN3Wx1uc1mDYkLzFG?usp=drive_link" TargetMode="External"/><Relationship Id="rId4692" Type="http://schemas.openxmlformats.org/officeDocument/2006/relationships/hyperlink" Target="https://drive.google.com/file/d/1YgbXrFFReBwViAoclUkNFQ9a5NFTKXBD/view?usp=drive_link" TargetMode="External"/><Relationship Id="rId5743" Type="http://schemas.openxmlformats.org/officeDocument/2006/relationships/hyperlink" Target="https://drive.google.com/drive/folders/1HeJsdzoZXm_LhatC4a62NSmi5rNVB83A?usp=drive_link" TargetMode="External"/><Relationship Id="rId8899" Type="http://schemas.openxmlformats.org/officeDocument/2006/relationships/hyperlink" Target="https://thumbor.prod.vidiocdn.com/zThDgPD-fW__XsKOXQ4ujpc62G8=/filters:quality(70)/vidio-media-production/uploads/image/source/52037/bb2dc5.png" TargetMode="External"/><Relationship Id="rId11130" Type="http://schemas.openxmlformats.org/officeDocument/2006/relationships/hyperlink" Target="https://thumbor.prod.vidiocdn.com/dw-qOnd7Hz5oGU4k67SaWg9y-qI=/filters:quality(70)/vidio-media-production/uploads/image/source/53166/e3cdba.png" TargetMode="External"/><Relationship Id="rId1939" Type="http://schemas.openxmlformats.org/officeDocument/2006/relationships/hyperlink" Target="https://drive.google.com/drive/folders/1gh_qpWXbmx0CXzQ8VxI_v5dLiwzdPbzz" TargetMode="External"/><Relationship Id="rId5810" Type="http://schemas.openxmlformats.org/officeDocument/2006/relationships/hyperlink" Target="https://www.vidio.com/live/19601-uefa-europa-league?schedule_id=4701941" TargetMode="External"/><Relationship Id="rId8966" Type="http://schemas.openxmlformats.org/officeDocument/2006/relationships/hyperlink" Target="https://www.vidio.com/live/19548-national-football-league-2025-26?schedule_id=4708927" TargetMode="External"/><Relationship Id="rId10896" Type="http://schemas.openxmlformats.org/officeDocument/2006/relationships/hyperlink" Target="https://drive.google.com/file/d/18tEbasgwq_MXgr1JckS27JEejHZzKQjh/view?usp=sharing" TargetMode="External"/><Relationship Id="rId11947" Type="http://schemas.openxmlformats.org/officeDocument/2006/relationships/hyperlink" Target="https://www.vidio.com/live/18250-petronas-malaysia-open-2026-round-of-32-court-?schedule_id=4832180" TargetMode="External"/><Relationship Id="rId3361" Type="http://schemas.openxmlformats.org/officeDocument/2006/relationships/hyperlink" Target="https://drive.google.com/file/d/1L7Fm9L1pWEuHIcXvzeeoMxxP3VwYEIcV/view?usp=sharing" TargetMode="External"/><Relationship Id="rId4412" Type="http://schemas.openxmlformats.org/officeDocument/2006/relationships/hyperlink" Target="https://drive.google.com/file/d/1KS4238ihvkEuRKNIo4jPjah18y8U77fX/view?usp=sharing" TargetMode="External"/><Relationship Id="rId7568" Type="http://schemas.openxmlformats.org/officeDocument/2006/relationships/hyperlink" Target="https://drive.google.com/file/d/1NWA-SA-7H1_f6x-GoLRDXuyquAV2cgr5/view?usp=sharing" TargetMode="External"/><Relationship Id="rId7982" Type="http://schemas.openxmlformats.org/officeDocument/2006/relationships/hyperlink" Target="https://drive.google.com/file/d/1tgN1spEzlW-CUsfNf5JTtMU1CU-0e0NY/view?usp=sharing" TargetMode="External"/><Relationship Id="rId8619" Type="http://schemas.openxmlformats.org/officeDocument/2006/relationships/hyperlink" Target="https://www.vidio.com/live/19584-pegadaian-championship-2025-26?schedule_id=4725620" TargetMode="External"/><Relationship Id="rId10549" Type="http://schemas.openxmlformats.org/officeDocument/2006/relationships/hyperlink" Target="https://drive.google.com/file/d/1PTFjHK55qjiv0UjJaI1W2Vpo6OH-Ewyq/view?usp=sharing" TargetMode="External"/><Relationship Id="rId282" Type="http://schemas.openxmlformats.org/officeDocument/2006/relationships/hyperlink" Target="https://drive.google.com/file/d/1C8tMmePMN8tx-GEFrSSbySS5K3Efu3Rx/view?usp=drive_link" TargetMode="External"/><Relationship Id="rId3014" Type="http://schemas.openxmlformats.org/officeDocument/2006/relationships/hyperlink" Target="https://www.vidio.com/live/17875-bein-2?schedule_id=4736022" TargetMode="External"/><Relationship Id="rId6584" Type="http://schemas.openxmlformats.org/officeDocument/2006/relationships/hyperlink" Target="https://drive.google.com/file/d/1iEAIw7iU3GZ1D8zHGqOZ5cJOqlje61PK/view?usp=sharing" TargetMode="External"/><Relationship Id="rId7635" Type="http://schemas.openxmlformats.org/officeDocument/2006/relationships/hyperlink" Target="https://drive.google.com/file/d/1aImSO6wMIlm9SgO-CglsR5dG8s7Em0Bv/view?usp=sharing" TargetMode="External"/><Relationship Id="rId10963" Type="http://schemas.openxmlformats.org/officeDocument/2006/relationships/hyperlink" Target="https://drive.google.com/drive/folders/1VRjDJiOyErjMhQxqVExTwUyfyhC_vq8T?usp=drive_link" TargetMode="External"/><Relationship Id="rId2030" Type="http://schemas.openxmlformats.org/officeDocument/2006/relationships/hyperlink" Target="https://drive.google.com/file/d/1zfVF3t1HA_tPejPXHfGpHyL6nkI18IrE/view?usp=sharing" TargetMode="External"/><Relationship Id="rId5186" Type="http://schemas.openxmlformats.org/officeDocument/2006/relationships/hyperlink" Target="https://drive.google.com/file/d/1WiwNqchMk5DPgmAbYdBRS2hESlwi8_Ai/view?usp=sharing" TargetMode="External"/><Relationship Id="rId6237" Type="http://schemas.openxmlformats.org/officeDocument/2006/relationships/hyperlink" Target="https://drive.google.com/file/d/1XvGC3dClJc0Ay_SDeJy8A3O3k-1k9FQr/view?usp=drive_link" TargetMode="External"/><Relationship Id="rId6651" Type="http://schemas.openxmlformats.org/officeDocument/2006/relationships/hyperlink" Target="https://drive.google.com/file/d/15GI9j_gsNTuTLZJ3JHeDRFORzEQ9xbq2/view?usp=sharing" TargetMode="External"/><Relationship Id="rId7702" Type="http://schemas.openxmlformats.org/officeDocument/2006/relationships/hyperlink" Target="https://drive.google.com/file/d/17zVMhSYrzPwKcAdobFa-OGjIJd7iQo-l/view?usp=sharing" TargetMode="External"/><Relationship Id="rId10616" Type="http://schemas.openxmlformats.org/officeDocument/2006/relationships/hyperlink" Target="https://www.vidio.com/live/6685-champions-tv-1?schedule_id=4780820" TargetMode="External"/><Relationship Id="rId5253" Type="http://schemas.openxmlformats.org/officeDocument/2006/relationships/hyperlink" Target="https://drive.google.com/file/d/1Rt3g4fDIdpXTSrLAotV7nlxCXeUyIS8S/view?usp=sharing" TargetMode="External"/><Relationship Id="rId6304" Type="http://schemas.openxmlformats.org/officeDocument/2006/relationships/hyperlink" Target="https://drive.google.com/file/d/1tTdIxOoCLlg3kM_gVBvUiE0Dce5iM9cp/view?usp=drive_link" TargetMode="External"/><Relationship Id="rId1449" Type="http://schemas.openxmlformats.org/officeDocument/2006/relationships/hyperlink" Target="https://drive.google.com/file/d/14cFvjZbEIZ_FufDGGDZlGeJWhwcjhh9z/view?usp=sharing" TargetMode="External"/><Relationship Id="rId1796" Type="http://schemas.openxmlformats.org/officeDocument/2006/relationships/hyperlink" Target="https://www.vidio.com/live/19354-bri-super-league?schedule_id=4594759" TargetMode="External"/><Relationship Id="rId2847" Type="http://schemas.openxmlformats.org/officeDocument/2006/relationships/hyperlink" Target="https://drive.google.com/file/d/1JQeHqeLy5WYbouShvoCmgJNnFdiefrU4/view?usp=sharing" TargetMode="External"/><Relationship Id="rId8476" Type="http://schemas.openxmlformats.org/officeDocument/2006/relationships/hyperlink" Target="https://www.vidio.com/live/6685-champions-tv-1?schedule_id=4773368" TargetMode="External"/><Relationship Id="rId9874" Type="http://schemas.openxmlformats.org/officeDocument/2006/relationships/hyperlink" Target="https://drive.google.com/file/d/1n4r6o4SFWWZIJv_42cSeh51q995_7Y6J/view?usp=sharing" TargetMode="External"/><Relationship Id="rId88" Type="http://schemas.openxmlformats.org/officeDocument/2006/relationships/hyperlink" Target="https://drive.google.com/file/d/1uXmyd0Cl7TtK9Ca97VQyNWyeKtc-oPsT/view?usp=sharing" TargetMode="External"/><Relationship Id="rId819" Type="http://schemas.openxmlformats.org/officeDocument/2006/relationships/hyperlink" Target="https://drive.google.com/file/d/1rhvEPHkVIP2SPR-tX2RFiDkOsW7IC5QV/view?usp=sharing" TargetMode="External"/><Relationship Id="rId1863" Type="http://schemas.openxmlformats.org/officeDocument/2006/relationships/hyperlink" Target="https://drive.google.com/drive/folders/1DnELMBJ-X1zy0fTvS9EVyLzMt3VAICZo" TargetMode="External"/><Relationship Id="rId2914" Type="http://schemas.openxmlformats.org/officeDocument/2006/relationships/hyperlink" Target="https://drive.google.com/drive/folders/1DPSndHg_Ftov32kfHVJYOFvCAsOr-mBg?usp=drive_link" TargetMode="External"/><Relationship Id="rId5320" Type="http://schemas.openxmlformats.org/officeDocument/2006/relationships/hyperlink" Target="https://www.vidio.com/live/17875-bein-2?schedule_id=4733538" TargetMode="External"/><Relationship Id="rId7078" Type="http://schemas.openxmlformats.org/officeDocument/2006/relationships/hyperlink" Target="https://www.vidio.com/live/19548-national-football-league-2025-26?schedule_id=4565718" TargetMode="External"/><Relationship Id="rId8129" Type="http://schemas.openxmlformats.org/officeDocument/2006/relationships/hyperlink" Target="https://drive.google.com/file/d/1csOT9irGZRDsYh4sFE224B1-L89V34nY/view?usp=sharing" TargetMode="External"/><Relationship Id="rId8890" Type="http://schemas.openxmlformats.org/officeDocument/2006/relationships/hyperlink" Target="https://drive.google.com/file/d/1bLnBD0HFLzmV-USO5NJTUVeTxUm5bakw/view?usp=sharing" TargetMode="External"/><Relationship Id="rId9527" Type="http://schemas.openxmlformats.org/officeDocument/2006/relationships/hyperlink" Target="https://www.vidio.com/live/19748-national-football-league-2025-26?schedule_id=4727759" TargetMode="External"/><Relationship Id="rId9941" Type="http://schemas.openxmlformats.org/officeDocument/2006/relationships/hyperlink" Target="https://drive.google.com/drive/folders/1wVodTyry9jS49-jk8XYa7pCQIum3FGS1?usp=drive_link" TargetMode="External"/><Relationship Id="rId11457" Type="http://schemas.openxmlformats.org/officeDocument/2006/relationships/hyperlink" Target="https://drive.google.com/file/d/1TTvHd_RVuSXIhGOQcSsR6CChuuYqWczI/view?usp=sharing" TargetMode="External"/><Relationship Id="rId11871" Type="http://schemas.openxmlformats.org/officeDocument/2006/relationships/hyperlink" Target="https://www.vidio.com/live/18250-petronas-malaysia-open-2026-round-of-32-court-2?schedule_id=4831562" TargetMode="External"/><Relationship Id="rId1516" Type="http://schemas.openxmlformats.org/officeDocument/2006/relationships/hyperlink" Target="https://drive.google.com/drive/folders/1Ct8A8gjkdaJ-sEFUB_JwaxL4uuEs8CvQ" TargetMode="External"/><Relationship Id="rId1930" Type="http://schemas.openxmlformats.org/officeDocument/2006/relationships/hyperlink" Target="https://drive.google.com/file/d/1rEnZhM4frQux94hOwvM-llWgtBPfqNRS/view?usp=sharing" TargetMode="External"/><Relationship Id="rId7492" Type="http://schemas.openxmlformats.org/officeDocument/2006/relationships/hyperlink" Target="https://www.vidio.com/live/19587-top-youth-premier-league-2025-matchday-4?schedule_id=4585753" TargetMode="External"/><Relationship Id="rId8543" Type="http://schemas.openxmlformats.org/officeDocument/2006/relationships/hyperlink" Target="https://drive.google.com/file/d/1rg3SzqclHZxKgU5pLX4XdaApwi7fWeel/view?usp=sharing" TargetMode="External"/><Relationship Id="rId10059" Type="http://schemas.openxmlformats.org/officeDocument/2006/relationships/hyperlink" Target="https://drive.google.com/file/d/1iN0cNxYgpfbNuPw4d4pnBWsajz1PctaO/view?usp=sharing" TargetMode="External"/><Relationship Id="rId10473" Type="http://schemas.openxmlformats.org/officeDocument/2006/relationships/hyperlink" Target="https://www.vidio.com/live/20040-top-youth-premier-league-2025-pekan-ke-13?schedule_id=4766507" TargetMode="External"/><Relationship Id="rId11524" Type="http://schemas.openxmlformats.org/officeDocument/2006/relationships/hyperlink" Target="https://drive.google.com/file/d/1En_74z_Q24baPbaYk7juej07HqA3kUml/view?usp=sharing" TargetMode="External"/><Relationship Id="rId3688" Type="http://schemas.openxmlformats.org/officeDocument/2006/relationships/hyperlink" Target="https://www.vidio.com/live/19436-eredivisie?schedule_id=4533794" TargetMode="External"/><Relationship Id="rId4739" Type="http://schemas.openxmlformats.org/officeDocument/2006/relationships/hyperlink" Target="https://www.vidio.com/live/20108-serie-a?schedule_id=4786454" TargetMode="External"/><Relationship Id="rId6094" Type="http://schemas.openxmlformats.org/officeDocument/2006/relationships/hyperlink" Target="https://drive.google.com/drive/folders/1BHh5wPsnYmUU66j0vsOKMNDJmvhTzaOp?usp=drive_link" TargetMode="External"/><Relationship Id="rId7145" Type="http://schemas.openxmlformats.org/officeDocument/2006/relationships/hyperlink" Target="https://drive.google.com/file/d/1L64UjJJFayiPTjFi9iNA-cZdW01gSSqe/view?usp=sharing" TargetMode="External"/><Relationship Id="rId8610" Type="http://schemas.openxmlformats.org/officeDocument/2006/relationships/hyperlink" Target="https://drive.google.com/file/d/1S1ad8OYt57kFmOAE0O9XgOkbZpGaBx1e/view?usp=sharing" TargetMode="External"/><Relationship Id="rId10126" Type="http://schemas.openxmlformats.org/officeDocument/2006/relationships/hyperlink" Target="https://www.vidio.com/live/19997-top-soccer-championship-2025-u-13-u-14?schedule_id=4743078" TargetMode="External"/><Relationship Id="rId10540" Type="http://schemas.openxmlformats.org/officeDocument/2006/relationships/hyperlink" Target="https://drive.google.com/file/d/1o3Y6Mz5x2bKKd4RECK9G0ILQC9Aoi1nl/view?usp=sharing" TargetMode="External"/><Relationship Id="rId3755" Type="http://schemas.openxmlformats.org/officeDocument/2006/relationships/hyperlink" Target="https://drive.google.com/file/d/10_XptfG8cNzt1Ud6RHOPODP7sIITiaLi/view?usp=drive_link" TargetMode="External"/><Relationship Id="rId4806" Type="http://schemas.openxmlformats.org/officeDocument/2006/relationships/hyperlink" Target="https://drive.google.com/file/d/1CEY0hp2qpTeWhUlb0L0UmclPzMVZHfwr/view?usp=sharing" TargetMode="External"/><Relationship Id="rId6161" Type="http://schemas.openxmlformats.org/officeDocument/2006/relationships/hyperlink" Target="https://drive.google.com/drive/folders/12d719n9NgYr5WmWiB9YwMI2T4ReuhY_0?usp=drive_link" TargetMode="External"/><Relationship Id="rId7212" Type="http://schemas.openxmlformats.org/officeDocument/2006/relationships/hyperlink" Target="https://www.vidio.com/live/19548-national-football-league-2025-26?schedule_id=4601998" TargetMode="External"/><Relationship Id="rId12298" Type="http://schemas.openxmlformats.org/officeDocument/2006/relationships/hyperlink" Target="https://www.vidio.com/live/20280?schedule_id=4833893" TargetMode="External"/><Relationship Id="rId676" Type="http://schemas.openxmlformats.org/officeDocument/2006/relationships/hyperlink" Target="https://drive.google.com/file/d/1oy8UQhY0aqDKK-fJ2LATgg1bUGz0nWYw/view?usp=sharing" TargetMode="External"/><Relationship Id="rId2357" Type="http://schemas.openxmlformats.org/officeDocument/2006/relationships/hyperlink" Target="https://drive.google.com/drive/folders/1jTpCxrE8bgpjQYW1oUGksG0BEWGOqt2M?usp=drive_link" TargetMode="External"/><Relationship Id="rId3408" Type="http://schemas.openxmlformats.org/officeDocument/2006/relationships/hyperlink" Target="https://drive.google.com/file/d/1eRt7s6mmMOR1yycc7giR3UUdH_M893ou/view?usp=sharing" TargetMode="External"/><Relationship Id="rId9384" Type="http://schemas.openxmlformats.org/officeDocument/2006/relationships/hyperlink" Target="https://drive.google.com/file/d/1PHR9mJNxwuUQjfz6DpG9D46PKEMigGWZ/view?usp=sharing" TargetMode="External"/><Relationship Id="rId329" Type="http://schemas.openxmlformats.org/officeDocument/2006/relationships/hyperlink" Target="https://drive.google.com/file/d/1SZ5B4zDECkN8jzjQOLSrvtrR7d2yrtD9/view?usp=sharing" TargetMode="External"/><Relationship Id="rId1373" Type="http://schemas.openxmlformats.org/officeDocument/2006/relationships/hyperlink" Target="https://drive.google.com/file/d/121byOKe7-t62s7NYZnFYozh4DS7JkNXP/view?usp=sharing" TargetMode="External"/><Relationship Id="rId2771" Type="http://schemas.openxmlformats.org/officeDocument/2006/relationships/hyperlink" Target="https://drive.google.com/file/d/1US_s7i5UWB0CHWZSoY6xXwSIILHaoA-b/view?usp=sharing" TargetMode="External"/><Relationship Id="rId3822" Type="http://schemas.openxmlformats.org/officeDocument/2006/relationships/hyperlink" Target="https://www.vidio.com/live/6686-champions-tv-2?schedule_id=4674578" TargetMode="External"/><Relationship Id="rId6978" Type="http://schemas.openxmlformats.org/officeDocument/2006/relationships/hyperlink" Target="https://drive.google.com/file/d/17QoZ_u65QEsUoVmKWRo7qdFtXuxhHvqo/view?usp=sharing" TargetMode="External"/><Relationship Id="rId9037" Type="http://schemas.openxmlformats.org/officeDocument/2006/relationships/hyperlink" Target="https://drive.google.com/file/d/1Lk5qJKUWj-DuSpfIShnAHZe1GQmFqpso/view?usp=sharing" TargetMode="External"/><Relationship Id="rId12365" Type="http://schemas.openxmlformats.org/officeDocument/2006/relationships/hyperlink" Target="https://drive.google.com/file/d/1QU7f_kJOwoVWtAMjp7ybswNoG2DihFYJ/view?usp=sharing" TargetMode="External"/><Relationship Id="rId743" Type="http://schemas.openxmlformats.org/officeDocument/2006/relationships/hyperlink" Target="https://drive.google.com/file/d/1LW-KCxNhNdXMVU_Iur7700UCY_QmJr3K/view?usp=sharing" TargetMode="External"/><Relationship Id="rId1026" Type="http://schemas.openxmlformats.org/officeDocument/2006/relationships/hyperlink" Target="https://www.vidio.com/live/9182-champions-tv-5?schedule_id=4783756" TargetMode="External"/><Relationship Id="rId2424" Type="http://schemas.openxmlformats.org/officeDocument/2006/relationships/hyperlink" Target="https://www.vidio.com/live/6299-bein-1?schedule_id=4563092" TargetMode="External"/><Relationship Id="rId5994" Type="http://schemas.openxmlformats.org/officeDocument/2006/relationships/hyperlink" Target="https://drive.google.com/file/d/1zPEB3s1Ynb0eCBc8a17OA8rUPexnvMtc/view?usp=drive_link" TargetMode="External"/><Relationship Id="rId8053" Type="http://schemas.openxmlformats.org/officeDocument/2006/relationships/hyperlink" Target="https://drive.google.com/file/d/1ocdxpG6Wd2LnjPCJftTh7qhKlnfELj8B/view?usp=sharing" TargetMode="External"/><Relationship Id="rId9104" Type="http://schemas.openxmlformats.org/officeDocument/2006/relationships/hyperlink" Target="https://www.vidio.com/live/19753-carabao-cup-2025-26?schedule_id=4779495" TargetMode="External"/><Relationship Id="rId9451" Type="http://schemas.openxmlformats.org/officeDocument/2006/relationships/hyperlink" Target="https://drive.google.com/drive/folders/1AW9l7FfZr-HwyHzwfgZfCxyPzvVPawGc?usp=drive_link" TargetMode="External"/><Relationship Id="rId11381" Type="http://schemas.openxmlformats.org/officeDocument/2006/relationships/hyperlink" Target="https://drive.google.com/file/d/1bGAtWdCSL-v2iZg1GvRoYwXZwXVqVH3x/view?usp=sharing" TargetMode="External"/><Relationship Id="rId12018" Type="http://schemas.openxmlformats.org/officeDocument/2006/relationships/hyperlink" Target="https://www.vidio.com/live/18249-petronas-malaysia-open-2026-round-of-16-court-1?schedule_id=4832333" TargetMode="External"/><Relationship Id="rId12432" Type="http://schemas.openxmlformats.org/officeDocument/2006/relationships/hyperlink" Target="https://www.vidio.com/live/20283?schedule_id=4834231" TargetMode="External"/><Relationship Id="rId810" Type="http://schemas.openxmlformats.org/officeDocument/2006/relationships/hyperlink" Target="https://www.vidio.com/live/9183-champions-tv-6?schedule_id=4736102" TargetMode="External"/><Relationship Id="rId1440" Type="http://schemas.openxmlformats.org/officeDocument/2006/relationships/hyperlink" Target="https://drive.google.com/file/d/1sXgBe0VUpQWu7R1Ehu8KdWZJxLQaxWdM/view?usp=sharing" TargetMode="External"/><Relationship Id="rId4596" Type="http://schemas.openxmlformats.org/officeDocument/2006/relationships/hyperlink" Target="https://drive.google.com/file/d/1AkTfH1rFhUSp4K2SkRZR31ac-nOT2oaN/view?usp=sharing" TargetMode="External"/><Relationship Id="rId5647" Type="http://schemas.openxmlformats.org/officeDocument/2006/relationships/hyperlink" Target="https://www.vidio.com/live/19629-uefa-europa-league?schedule_id=4614706" TargetMode="External"/><Relationship Id="rId11034" Type="http://schemas.openxmlformats.org/officeDocument/2006/relationships/hyperlink" Target="https://thumbor.prod.vidiocdn.com/eYvi8TXlpwqMqyb7SDIZbYNnpzA=/filters:quality(70)/vidio-media-production/uploads/image/source/53179/64571a.png" TargetMode="External"/><Relationship Id="rId3198" Type="http://schemas.openxmlformats.org/officeDocument/2006/relationships/hyperlink" Target="https://thumbor.prod.vidiocdn.com/M7nVjipJ4Y1TEmTJMpfZ-WUHUXo=/filters:quality(70)/vidio-media-production/uploads/image/source/52774/96eeb3.png" TargetMode="External"/><Relationship Id="rId4249" Type="http://schemas.openxmlformats.org/officeDocument/2006/relationships/hyperlink" Target="https://drive.google.com/drive/folders/1mmsmLV2Bid-S8PCPY_h3Ojl58hpqSV40?usp=drive_link" TargetMode="External"/><Relationship Id="rId4663" Type="http://schemas.openxmlformats.org/officeDocument/2006/relationships/hyperlink" Target="https://drive.google.com/drive/folders/1N71Pwwk6SzzRJ7-NFEOq-rsjs6k2uwO_?usp=drive_link" TargetMode="External"/><Relationship Id="rId5714" Type="http://schemas.openxmlformats.org/officeDocument/2006/relationships/hyperlink" Target="https://drive.google.com/file/d/12g2vfz6nPXou7G7pSsALyEAsurRRm1_Q/view?usp=sharing" TargetMode="External"/><Relationship Id="rId8120" Type="http://schemas.openxmlformats.org/officeDocument/2006/relationships/hyperlink" Target="https://www.vidio.com/live/19543-pegadaian-championship-2025-26?schedule_id=4709316" TargetMode="External"/><Relationship Id="rId10050" Type="http://schemas.openxmlformats.org/officeDocument/2006/relationships/hyperlink" Target="https://drive.google.com/file/d/1XMWY2BNuMUarXxPmDXlktmyZkq5vtlHm/view?usp=sharing" TargetMode="External"/><Relationship Id="rId11101" Type="http://schemas.openxmlformats.org/officeDocument/2006/relationships/hyperlink" Target="https://drive.google.com/drive/folders/1ZZQnrQswTSNB4Hg8SiaoFpeuUFEe5PXd?usp=drive_link" TargetMode="External"/><Relationship Id="rId3265" Type="http://schemas.openxmlformats.org/officeDocument/2006/relationships/hyperlink" Target="https://drive.google.com/file/d/1nGQoUh5XreV60SKriz2Jw3Ur9-Z5Crc7/view?usp=sharing" TargetMode="External"/><Relationship Id="rId4316" Type="http://schemas.openxmlformats.org/officeDocument/2006/relationships/hyperlink" Target="https://drive.google.com/drive/folders/1zySGwhbquDwstOiloUWo9avTXz43hZww?usp=drive_link" TargetMode="External"/><Relationship Id="rId4730" Type="http://schemas.openxmlformats.org/officeDocument/2006/relationships/hyperlink" Target="https://drive.google.com/drive/folders/1raQirBPTXY8s6OtwwhAxreIn6MS75KwW?usp=drive_link" TargetMode="External"/><Relationship Id="rId7886" Type="http://schemas.openxmlformats.org/officeDocument/2006/relationships/hyperlink" Target="https://drive.google.com/file/d/1_PVIiB7yHg5Cz2B2V3leL5o-FQQ0Lsks/view?usp=sharing" TargetMode="External"/><Relationship Id="rId8937" Type="http://schemas.openxmlformats.org/officeDocument/2006/relationships/hyperlink" Target="https://drive.google.com/drive/folders/1r2Qalw4LZAP9Q-t8-B9Cj0WOX7sVQ-n8" TargetMode="External"/><Relationship Id="rId186" Type="http://schemas.openxmlformats.org/officeDocument/2006/relationships/hyperlink" Target="https://drive.google.com/drive/folders/1E-SiChHX8IFkkAWfrdcoH1SwbCWsIC_8?usp=drive_link" TargetMode="External"/><Relationship Id="rId2281" Type="http://schemas.openxmlformats.org/officeDocument/2006/relationships/hyperlink" Target="https://drive.google.com/drive/folders/1XGmiNN7VLnGel2ADcYpKsebjK1z5sc6Y?usp=drive_link" TargetMode="External"/><Relationship Id="rId3332" Type="http://schemas.openxmlformats.org/officeDocument/2006/relationships/hyperlink" Target="https://drive.google.com/file/d/1aCkW9f6bBi7NAA1FMPFhiCis-spH3lhR/view?usp=drive_link" TargetMode="External"/><Relationship Id="rId6488" Type="http://schemas.openxmlformats.org/officeDocument/2006/relationships/hyperlink" Target="https://drive.google.com/file/d/1UHqCvpptHdSS7eFvPX4wBjDyymMZ47Tc/view?usp=sharing" TargetMode="External"/><Relationship Id="rId7539" Type="http://schemas.openxmlformats.org/officeDocument/2006/relationships/hyperlink" Target="https://drive.google.com/file/d/17VnNVIXfLEHlSwjRIxtI5g907OnQAM1D/view?usp=drive_link" TargetMode="External"/><Relationship Id="rId10867" Type="http://schemas.openxmlformats.org/officeDocument/2006/relationships/hyperlink" Target="https://drive.google.com/drive/folders/1ZUR8E65KIw3NfssQ94eV8zxCCv5yvvYH?usp=drive_link" TargetMode="External"/><Relationship Id="rId11918" Type="http://schemas.openxmlformats.org/officeDocument/2006/relationships/hyperlink" Target="https://drive.google.com/file/d/1I2QL-h1CAeZERs7B5O4XbiSnpFeGO68R/view?usp=sharing" TargetMode="External"/><Relationship Id="rId253" Type="http://schemas.openxmlformats.org/officeDocument/2006/relationships/hyperlink" Target="https://drive.google.com/file/d/1gVn1RZaM2roTvZ1AX6RY17CkUdHmwGCp/view?usp=sharing" TargetMode="External"/><Relationship Id="rId6555" Type="http://schemas.openxmlformats.org/officeDocument/2006/relationships/hyperlink" Target="https://www.vidio.com/live/19646-uefa-conference-league?schedule_id=4771666" TargetMode="External"/><Relationship Id="rId7953" Type="http://schemas.openxmlformats.org/officeDocument/2006/relationships/hyperlink" Target="https://www.vidio.com/live/6299-bein-1?schedule_id=4653338" TargetMode="External"/><Relationship Id="rId10934" Type="http://schemas.openxmlformats.org/officeDocument/2006/relationships/hyperlink" Target="https://www.vidio.com/live/18249-hsbc-bwf-world-tour-finals-2025-group-stage-court-1?schedule_id=4783190" TargetMode="External"/><Relationship Id="rId320" Type="http://schemas.openxmlformats.org/officeDocument/2006/relationships/hyperlink" Target="https://www.vidio.com/live/9182-champions-tv-5?schedule_id=4579890" TargetMode="External"/><Relationship Id="rId2001" Type="http://schemas.openxmlformats.org/officeDocument/2006/relationships/hyperlink" Target="https://drive.google.com/file/d/1Wy-1Ze8GtSW9ow4VTjYa5ik7gMAnNEaG/view?usp=sharing" TargetMode="External"/><Relationship Id="rId5157" Type="http://schemas.openxmlformats.org/officeDocument/2006/relationships/hyperlink" Target="https://drive.google.com/file/d/1fO7_oefCFPDLg2UDbENEOyBe7tK_rKLn/view?usp=drive_link" TargetMode="External"/><Relationship Id="rId6208" Type="http://schemas.openxmlformats.org/officeDocument/2006/relationships/hyperlink" Target="https://drive.google.com/drive/folders/1-Qv0MKSSdEO7rj47Ht-4yoGpChYjxfgX" TargetMode="External"/><Relationship Id="rId7606" Type="http://schemas.openxmlformats.org/officeDocument/2006/relationships/hyperlink" Target="https://drive.google.com/file/d/16RGTQdmMLKoX2gHtZ3LmWiAPbkHqyEqC/view?usp=sharing" TargetMode="External"/><Relationship Id="rId5571" Type="http://schemas.openxmlformats.org/officeDocument/2006/relationships/hyperlink" Target="https://www.vidio.com/live/17875-bein-2?schedule_id=4595218" TargetMode="External"/><Relationship Id="rId6622" Type="http://schemas.openxmlformats.org/officeDocument/2006/relationships/hyperlink" Target="https://www.vidio.com/live/20090-uefa-conference-league?schedule_id=4783336" TargetMode="External"/><Relationship Id="rId9778" Type="http://schemas.openxmlformats.org/officeDocument/2006/relationships/hyperlink" Target="https://drive.google.com/file/d/18EonP-iXpSCHTerLRDjal_cJcMYHyEdl/view?usp=sharing" TargetMode="External"/><Relationship Id="rId1767" Type="http://schemas.openxmlformats.org/officeDocument/2006/relationships/hyperlink" Target="https://drive.google.com/drive/folders/1bv6hM05HjG5FketVH4UW2T4B7j5Yd7j4" TargetMode="External"/><Relationship Id="rId2818" Type="http://schemas.openxmlformats.org/officeDocument/2006/relationships/hyperlink" Target="https://drive.google.com/file/d/1qYjrnatNpXa9STgorOTCOdw1ArkbCwyb/view?usp=sharing" TargetMode="External"/><Relationship Id="rId4173" Type="http://schemas.openxmlformats.org/officeDocument/2006/relationships/hyperlink" Target="https://drive.google.com/drive/folders/17bQK6XTMktpx_3XDvpr03L0R7oGkVhpu?usp=drive_link" TargetMode="External"/><Relationship Id="rId5224" Type="http://schemas.openxmlformats.org/officeDocument/2006/relationships/hyperlink" Target="https://drive.google.com/file/d/11BwX5fybHb-AA5X4xuHrUI89KqRma_uq/view?usp=sharing" TargetMode="External"/><Relationship Id="rId8794" Type="http://schemas.openxmlformats.org/officeDocument/2006/relationships/hyperlink" Target="https://drive.google.com/drive/folders/1m3jI2vpiL1q21XqmUh3hC1fh9ka62CCD" TargetMode="External"/><Relationship Id="rId9845" Type="http://schemas.openxmlformats.org/officeDocument/2006/relationships/hyperlink" Target="https://www.vidio.com/live/19921-top-soccer-championship-2025-u-13-u-14?schedule_id=4731890" TargetMode="External"/><Relationship Id="rId11775" Type="http://schemas.openxmlformats.org/officeDocument/2006/relationships/hyperlink" Target="https://drive.google.com/file/d/1LY1lBjenXpZUUwoHvjIts7FRAtiMDXxY/view?usp=sharing" TargetMode="External"/><Relationship Id="rId59" Type="http://schemas.openxmlformats.org/officeDocument/2006/relationships/hyperlink" Target="https://drive.google.com/drive/folders/1TEuY51wtoeVRszn29bhQoRty-eZXELk3" TargetMode="External"/><Relationship Id="rId1834" Type="http://schemas.openxmlformats.org/officeDocument/2006/relationships/hyperlink" Target="https://drive.google.com/drive/u/0/folders/1UK6JOYOJJ_5a5WEmGMrjKbPOe1Q5OO4u" TargetMode="External"/><Relationship Id="rId4240" Type="http://schemas.openxmlformats.org/officeDocument/2006/relationships/hyperlink" Target="https://drive.google.com/file/d/1eP-pkO6H7nGvk9a0Gko7OOQR9AFYZ6i1/view?usp=sharing" TargetMode="External"/><Relationship Id="rId7396" Type="http://schemas.openxmlformats.org/officeDocument/2006/relationships/hyperlink" Target="https://drive.google.com/file/d/18siG1-2Z8vWCIul1CvXvnmXleRS2ELNI/view?usp=sharing" TargetMode="External"/><Relationship Id="rId8447" Type="http://schemas.openxmlformats.org/officeDocument/2006/relationships/hyperlink" Target="https://www.vidio.com/live/6685-champions-tv-1?schedule_id=4760845" TargetMode="External"/><Relationship Id="rId8861" Type="http://schemas.openxmlformats.org/officeDocument/2006/relationships/hyperlink" Target="https://www.vidio.com/live/19672-easl?schedule_id=4779500" TargetMode="External"/><Relationship Id="rId9912" Type="http://schemas.openxmlformats.org/officeDocument/2006/relationships/hyperlink" Target="https://thumbor.prod.vidiocdn.com/Q_KPbz13Z8Gsw7WrdnoMRxxvTaE=/filters:quality(70)/vidio-media-production/uploads/image/source/52314/82d833.png" TargetMode="External"/><Relationship Id="rId10377" Type="http://schemas.openxmlformats.org/officeDocument/2006/relationships/hyperlink" Target="https://www.vidio.com/live/19737-turkish-volleyball-league?schedule_id=4773374" TargetMode="External"/><Relationship Id="rId11428" Type="http://schemas.openxmlformats.org/officeDocument/2006/relationships/hyperlink" Target="https://drive.google.com/file/d/1U2u8UShiFtPCDGB6mvK7GObwQ6DaczD2/view?usp=sharing" TargetMode="External"/><Relationship Id="rId7049" Type="http://schemas.openxmlformats.org/officeDocument/2006/relationships/hyperlink" Target="https://drive.google.com/file/d/1hMvNhv3o5cVvd9NQjpMtSMxIPVz0zvzJ/view?usp=sharing" TargetMode="External"/><Relationship Id="rId7463" Type="http://schemas.openxmlformats.org/officeDocument/2006/relationships/hyperlink" Target="https://drive.google.com/drive/folders/1NepG6XT-FSa8Cs07sX3tPfQWLNpJfAxp" TargetMode="External"/><Relationship Id="rId8514" Type="http://schemas.openxmlformats.org/officeDocument/2006/relationships/hyperlink" Target="https://drive.google.com/file/d/1bb3r-C5owWNz8xWlGIfGhFqtP4wjgmEl/view?usp=sharing" TargetMode="External"/><Relationship Id="rId10791" Type="http://schemas.openxmlformats.org/officeDocument/2006/relationships/hyperlink" Target="https://www.vidio.com/live/20240-proliga-2026?schedule_id=4833789" TargetMode="External"/><Relationship Id="rId11842" Type="http://schemas.openxmlformats.org/officeDocument/2006/relationships/hyperlink" Target="https://www.vidio.com/live/18249-petronas-malaysia-open-2026-round-of-32-court-1?schedule_id=4831554" TargetMode="External"/><Relationship Id="rId1901" Type="http://schemas.openxmlformats.org/officeDocument/2006/relationships/hyperlink" Target="https://drive.google.com/file/d/1y0QnLtqTYmzQRfZzCJS_mlYtB6WL4FDU/view?usp=drive_link" TargetMode="External"/><Relationship Id="rId3659" Type="http://schemas.openxmlformats.org/officeDocument/2006/relationships/hyperlink" Target="https://drive.google.com/drive/folders/1ywoyk41m1U0AdwLP8kPTfUamPNH_jpsR?usp=drive_link" TargetMode="External"/><Relationship Id="rId6065" Type="http://schemas.openxmlformats.org/officeDocument/2006/relationships/hyperlink" Target="https://drive.google.com/drive/folders/1t7s2Azn-cmPPWlR72gsfxZFj6vExLbdV?usp=drive_link" TargetMode="External"/><Relationship Id="rId7116" Type="http://schemas.openxmlformats.org/officeDocument/2006/relationships/hyperlink" Target="https://www.vidio.com/live/19543-pegadaian-championship-2025-26?schedule_id=4638543" TargetMode="External"/><Relationship Id="rId10444" Type="http://schemas.openxmlformats.org/officeDocument/2006/relationships/hyperlink" Target="https://drive.google.com/file/d/1Q8Vzk16ChqQTOm185BgNZqiwUlMCA-J4/view?usp=sharing" TargetMode="External"/><Relationship Id="rId5081" Type="http://schemas.openxmlformats.org/officeDocument/2006/relationships/hyperlink" Target="https://drive.google.com/file/d/1T7cGXhNzLUnncYHuN7kgHLe8sldZParp/view?usp=sharing" TargetMode="External"/><Relationship Id="rId6132" Type="http://schemas.openxmlformats.org/officeDocument/2006/relationships/hyperlink" Target="https://drive.google.com/file/d/1ATp4KZamBc2ynd0jtu7deoCz9CK2j0f_/view?usp=sharing" TargetMode="External"/><Relationship Id="rId7530" Type="http://schemas.openxmlformats.org/officeDocument/2006/relationships/hyperlink" Target="https://www.vidio.com/live/6299-bein-1?schedule_id=4610721" TargetMode="External"/><Relationship Id="rId9288" Type="http://schemas.openxmlformats.org/officeDocument/2006/relationships/hyperlink" Target="https://www.vidio.com/live/6685-champions-tv-1?schedule_id=4719209" TargetMode="External"/><Relationship Id="rId10511" Type="http://schemas.openxmlformats.org/officeDocument/2006/relationships/hyperlink" Target="https://drive.google.com/file/d/1s7aX3ImDyBc9YHBse5KcDlV0ZTP91VDp/view?usp=sharing" TargetMode="External"/><Relationship Id="rId994" Type="http://schemas.openxmlformats.org/officeDocument/2006/relationships/hyperlink" Target="https://drive.google.com/file/d/1nQn_g01vVlHFg1d5gB2fK2vvjpPUUYL2/view?usp=sharing" TargetMode="External"/><Relationship Id="rId2675" Type="http://schemas.openxmlformats.org/officeDocument/2006/relationships/hyperlink" Target="https://drive.google.com/drive/folders/1YD9WuJVeK114lO9UuRHuqQtnmc99ULu2?usp=drive_link" TargetMode="External"/><Relationship Id="rId3726" Type="http://schemas.openxmlformats.org/officeDocument/2006/relationships/hyperlink" Target="https://www.vidio.com/live/6685-champions-tv-1?schedule_id=4512935" TargetMode="External"/><Relationship Id="rId12269" Type="http://schemas.openxmlformats.org/officeDocument/2006/relationships/hyperlink" Target="https://www.vidio.com/live/20275?schedule_id=4833873" TargetMode="External"/><Relationship Id="rId647" Type="http://schemas.openxmlformats.org/officeDocument/2006/relationships/hyperlink" Target="https://drive.google.com/file/d/1kQY-mpGIXERhx-6jdNguuaJKjOQ7FCU8/view?usp=sharing" TargetMode="External"/><Relationship Id="rId1277" Type="http://schemas.openxmlformats.org/officeDocument/2006/relationships/hyperlink" Target="https://www.vidio.com/live/19404-serie-a?schedule_id=4514293" TargetMode="External"/><Relationship Id="rId1691" Type="http://schemas.openxmlformats.org/officeDocument/2006/relationships/hyperlink" Target="https://drive.google.com/file/d/18-vB-iLeeZgORqT5aKbzqQlEg4rxya2O/view?usp=drive_link" TargetMode="External"/><Relationship Id="rId2328" Type="http://schemas.openxmlformats.org/officeDocument/2006/relationships/hyperlink" Target="https://drive.google.com/drive/folders/17PCu5kPNlZJusVPz4W_gwhqO5M2j9zjT?usp=drive_link" TargetMode="External"/><Relationship Id="rId2742" Type="http://schemas.openxmlformats.org/officeDocument/2006/relationships/hyperlink" Target="https://drive.google.com/drive/folders/1BERMaoEtVJR9PKc4QEPi0pA-qf3sWWzu?usp=drive_link" TargetMode="External"/><Relationship Id="rId5898" Type="http://schemas.openxmlformats.org/officeDocument/2006/relationships/hyperlink" Target="https://drive.google.com/file/d/1nEsTL7IBj2wj1ynLNKOPE1jQjCcyFAGq/view?usp=sharing" TargetMode="External"/><Relationship Id="rId6949" Type="http://schemas.openxmlformats.org/officeDocument/2006/relationships/hyperlink" Target="https://drive.google.com/file/d/1zPtuRUUgGUAhr6Gnap5HRiNf-gjBrb4X/view?usp=drive_link" TargetMode="External"/><Relationship Id="rId9355" Type="http://schemas.openxmlformats.org/officeDocument/2006/relationships/hyperlink" Target="https://drive.google.com/file/d/1dy03j60nCQiUzx_gioyQ1jO1Wjy8uSxJ/view?usp=sharing" TargetMode="External"/><Relationship Id="rId11285" Type="http://schemas.openxmlformats.org/officeDocument/2006/relationships/hyperlink" Target="https://drive.google.com/file/d/1JxsKBFUKmSgHQVBG0X6q8ZtGeR2GHbDM/view?usp=sharing" TargetMode="External"/><Relationship Id="rId12336" Type="http://schemas.openxmlformats.org/officeDocument/2006/relationships/hyperlink" Target="https://drive.google.com/file/d/17nqJ8YbOWxi4DOQmMA4_VvY1qMuE4tM4/view?usp=sharing" TargetMode="External"/><Relationship Id="rId714" Type="http://schemas.openxmlformats.org/officeDocument/2006/relationships/hyperlink" Target="https://www.vidio.com/live/9182-champions-tv-5?schedule_id=4726070" TargetMode="External"/><Relationship Id="rId1344" Type="http://schemas.openxmlformats.org/officeDocument/2006/relationships/hyperlink" Target="https://drive.google.com/file/d/15uHYaloYgKuiv3Jdn89Uxswav1JU3VYj/view?usp=sharing" TargetMode="External"/><Relationship Id="rId5965" Type="http://schemas.openxmlformats.org/officeDocument/2006/relationships/hyperlink" Target="https://drive.google.com/drive/folders/18uh6lQEkBZuLqUHE1X6rO9xnyzShFLYk?usp=drive_link" TargetMode="External"/><Relationship Id="rId8371" Type="http://schemas.openxmlformats.org/officeDocument/2006/relationships/hyperlink" Target="https://drive.google.com/file/d/1y-1GC1iFtGGuu-bDCiXN-AKfEpZW5kUI/view?usp=sharing" TargetMode="External"/><Relationship Id="rId9008" Type="http://schemas.openxmlformats.org/officeDocument/2006/relationships/hyperlink" Target="https://www.vidio.com/live/19355-bri-super-league?schedule_id=4706175" TargetMode="External"/><Relationship Id="rId9422" Type="http://schemas.openxmlformats.org/officeDocument/2006/relationships/hyperlink" Target="https://thumbor.prod.vidiocdn.com/j9qxlNHdVaQzMWc7epVl9giSL3k=/filters:quality(70)/vidio-media-production/uploads/image/source/52769/fc580a.png" TargetMode="External"/><Relationship Id="rId11352" Type="http://schemas.openxmlformats.org/officeDocument/2006/relationships/hyperlink" Target="https://drive.google.com/file/d/1DNux4glLBnqI-DzUHKvsJVIQIe0fQ_QF/view" TargetMode="External"/><Relationship Id="rId12403" Type="http://schemas.openxmlformats.org/officeDocument/2006/relationships/hyperlink" Target="https://www.vidio.com/live/18249-petronas-malaysia-open-2026-round-of-16-court-1?schedule_id=4833796" TargetMode="External"/><Relationship Id="rId50" Type="http://schemas.openxmlformats.org/officeDocument/2006/relationships/hyperlink" Target="https://www.vidio.com/live/18832-sirkuit-nasional-bulutangkis-2025-pontianak-final?schedule_id=4353006" TargetMode="External"/><Relationship Id="rId1411" Type="http://schemas.openxmlformats.org/officeDocument/2006/relationships/hyperlink" Target="https://drive.google.com/file/d/1Rz1lGCJ4pgNO9f1_5C9-Z6FTSiQ5EtNF/view?usp=drive_link" TargetMode="External"/><Relationship Id="rId4567" Type="http://schemas.openxmlformats.org/officeDocument/2006/relationships/hyperlink" Target="https://drive.google.com/drive/folders/1JQUG3jmA-cToRQ_7dkvYEoNRdlE-81a4?usp=drive_link" TargetMode="External"/><Relationship Id="rId5618" Type="http://schemas.openxmlformats.org/officeDocument/2006/relationships/hyperlink" Target="https://drive.google.com/file/d/1hNt7HWeU0FouzxiXsEVCCGXs6B2UL8wL/view?usp=sharing" TargetMode="External"/><Relationship Id="rId8024" Type="http://schemas.openxmlformats.org/officeDocument/2006/relationships/hyperlink" Target="https://www.vidio.com/live/19542-pegadaian-championship-2025-26?schedule_id=4676988" TargetMode="External"/><Relationship Id="rId11005" Type="http://schemas.openxmlformats.org/officeDocument/2006/relationships/hyperlink" Target="https://drive.google.com/file/d/16plLF-FgIity2h638MBtE4pER8mgFj_h/view?usp=sharing" TargetMode="External"/><Relationship Id="rId3169" Type="http://schemas.openxmlformats.org/officeDocument/2006/relationships/hyperlink" Target="https://thumbor.prod.vidiocdn.com/J8EiYZ3snZYazNOkS76YWdYj37w=/filters:quality(70)/vidio-media-production/uploads/image/source/52106/b8aba9.png" TargetMode="External"/><Relationship Id="rId3583" Type="http://schemas.openxmlformats.org/officeDocument/2006/relationships/hyperlink" Target="https://thumbor.prod.vidiocdn.com/xzKX8QFY_ov-PQuRn8Ekkii5AFQ=/filters:quality(70)/vidio-media-production/uploads/image/source/52012/daa002.png" TargetMode="External"/><Relationship Id="rId4981" Type="http://schemas.openxmlformats.org/officeDocument/2006/relationships/hyperlink" Target="https://drive.google.com/file/d/15MN9mr1lxA7g3kZWKoZoPyHGTRmZr96A/view?usp=sharing" TargetMode="External"/><Relationship Id="rId7040" Type="http://schemas.openxmlformats.org/officeDocument/2006/relationships/hyperlink" Target="https://drive.google.com/drive/folders/1MX84RU5rZmbIJdFqPDVJ1-8zszjjl40g?usp=drive_link" TargetMode="External"/><Relationship Id="rId10021" Type="http://schemas.openxmlformats.org/officeDocument/2006/relationships/hyperlink" Target="https://drive.google.com/file/d/1nbMxL7yo4iVB9ReQwT9orOfJBtpr3p07/view?usp=sharing" TargetMode="External"/><Relationship Id="rId2185" Type="http://schemas.openxmlformats.org/officeDocument/2006/relationships/hyperlink" Target="https://drive.google.com/file/d/10oZVp14IHpjAvaAtN3y3nQTcmQ1jsXqn/view?usp=sharing" TargetMode="External"/><Relationship Id="rId3236" Type="http://schemas.openxmlformats.org/officeDocument/2006/relationships/hyperlink" Target="https://thumbor.prod.vidiocdn.com/QgihJ7JQW6sC0VyhUw69L_jwe2Q=/filters:quality(70)/vidio-media-production/uploads/image/source/52940/fa9271.png" TargetMode="External"/><Relationship Id="rId4634" Type="http://schemas.openxmlformats.org/officeDocument/2006/relationships/hyperlink" Target="https://drive.google.com/file/d/11gIJ4_WZOFClkPqH5emx2QE3s3CYRliZ/view?usp=sharing" TargetMode="External"/><Relationship Id="rId157" Type="http://schemas.openxmlformats.org/officeDocument/2006/relationships/hyperlink" Target="https://drive.google.com/file/d/1_a8pLpJfm5rbQpl5GCEhvi3st0j_j717/view?usp=sharing" TargetMode="External"/><Relationship Id="rId3650" Type="http://schemas.openxmlformats.org/officeDocument/2006/relationships/hyperlink" Target="https://drive.google.com/file/d/1KPw7FVXD7RESd3qkPsdqOQrf4pQGr6Rm/view?usp=sharing" TargetMode="External"/><Relationship Id="rId4701" Type="http://schemas.openxmlformats.org/officeDocument/2006/relationships/hyperlink" Target="https://www.vidio.com/live/19404-serie-a?schedule_id=4780171" TargetMode="External"/><Relationship Id="rId7857" Type="http://schemas.openxmlformats.org/officeDocument/2006/relationships/hyperlink" Target="https://drive.google.com/drive/folders/1G7_sjj_YcBoFeWU8cnWkbjVkCTJu3785" TargetMode="External"/><Relationship Id="rId8908" Type="http://schemas.openxmlformats.org/officeDocument/2006/relationships/hyperlink" Target="https://thumbor.prod.vidiocdn.com/YvjKxPepQTDCR1qi6kWR81HXQ3M=/filters:quality(70)/vidio-media-production/uploads/image/source/52639/a1124f.png" TargetMode="External"/><Relationship Id="rId10838" Type="http://schemas.openxmlformats.org/officeDocument/2006/relationships/hyperlink" Target="https://www.vidio.com/live/18250-hsbc-bwf-world-tour-finals-2025-group-stage-court-2?schedule_id=4782289" TargetMode="External"/><Relationship Id="rId12193" Type="http://schemas.openxmlformats.org/officeDocument/2006/relationships/hyperlink" Target="https://www.vidio.com/live/20267-liga-topskor-greater-jakarta-pekan-pertama-u-13-lapangan-koci-depok?schedule_id=4833828" TargetMode="External"/><Relationship Id="rId571" Type="http://schemas.openxmlformats.org/officeDocument/2006/relationships/hyperlink" Target="https://drive.google.com/file/d/1-GADhLiwqci4A0XfkssVj541cax59c84/view?usp=sharing" TargetMode="External"/><Relationship Id="rId2252" Type="http://schemas.openxmlformats.org/officeDocument/2006/relationships/hyperlink" Target="https://drive.google.com/drive/folders/1GWX8_yFzfoAmtEG9DH8GwSMephjALDVn?usp=drive_link" TargetMode="External"/><Relationship Id="rId3303" Type="http://schemas.openxmlformats.org/officeDocument/2006/relationships/hyperlink" Target="https://3.basecamp.com/4902751/buckets/36763424/card_tables/cards/8876964555" TargetMode="External"/><Relationship Id="rId6459" Type="http://schemas.openxmlformats.org/officeDocument/2006/relationships/hyperlink" Target="https://drive.google.com/drive/folders/1LPfEWkWWnzfCCAuGFyr-V-Z1YcZeZIva" TargetMode="External"/><Relationship Id="rId6873" Type="http://schemas.openxmlformats.org/officeDocument/2006/relationships/hyperlink" Target="https://drive.google.com/drive/folders/1GAocAJfGoA9xqgoGyfcSL5u6SV_DlpCr?usp=drive_link" TargetMode="External"/><Relationship Id="rId7924" Type="http://schemas.openxmlformats.org/officeDocument/2006/relationships/hyperlink" Target="https://drive.google.com/drive/folders/1399n8tsk0DrAS5KBPcuvykTIWPBVxCf_" TargetMode="External"/><Relationship Id="rId12260" Type="http://schemas.openxmlformats.org/officeDocument/2006/relationships/hyperlink" Target="https://drive.google.com/file/d/17nqJ8YbOWxi4DOQmMA4_VvY1qMuE4tM4/view?usp=drive_link" TargetMode="External"/><Relationship Id="rId224" Type="http://schemas.openxmlformats.org/officeDocument/2006/relationships/hyperlink" Target="https://drive.google.com/file/d/1VM49tVXmvHCkBugoICgRyH9GIKyS_0md/view?usp=sharing" TargetMode="External"/><Relationship Id="rId5475" Type="http://schemas.openxmlformats.org/officeDocument/2006/relationships/hyperlink" Target="https://drive.google.com/file/d/1fTcCmC8CJN00uhXnsdooPBv4En_JOhcu/view?usp=sharing" TargetMode="External"/><Relationship Id="rId6526" Type="http://schemas.openxmlformats.org/officeDocument/2006/relationships/hyperlink" Target="https://drive.google.com/drive/folders/1mfuzdUKFo2Z4Ta8IzOF3ZOXYs-jTM05C?usp=drive_link" TargetMode="External"/><Relationship Id="rId6940" Type="http://schemas.openxmlformats.org/officeDocument/2006/relationships/hyperlink" Target="https://drive.google.com/drive/folders/1lvKJWaEs5l7r8cOODfUgmU2MX7E28mi8" TargetMode="External"/><Relationship Id="rId10905" Type="http://schemas.openxmlformats.org/officeDocument/2006/relationships/hyperlink" Target="https://drive.google.com/file/d/18BM1JvTZRD1UTIKaCt-jBUE-qYani_i8/view?usp=sharing" TargetMode="External"/><Relationship Id="rId4077" Type="http://schemas.openxmlformats.org/officeDocument/2006/relationships/hyperlink" Target="https://drive.google.com/file/d/1B7AS-bs_dHKJkd6DwhaDmcOTdxNzqv8E/view?usp=sharing" TargetMode="External"/><Relationship Id="rId4491" Type="http://schemas.openxmlformats.org/officeDocument/2006/relationships/hyperlink" Target="https://www.vidio.com/live/17939-serie-a?schedule_id=4725606" TargetMode="External"/><Relationship Id="rId5128" Type="http://schemas.openxmlformats.org/officeDocument/2006/relationships/hyperlink" Target="https://www.vidio.com/live/18305-uefa-champions-league?schedule_id=4663728" TargetMode="External"/><Relationship Id="rId5542" Type="http://schemas.openxmlformats.org/officeDocument/2006/relationships/hyperlink" Target="https://www.vidio.com/live/19603-uefa-europa-league?schedule_id=4591200" TargetMode="External"/><Relationship Id="rId8698" Type="http://schemas.openxmlformats.org/officeDocument/2006/relationships/hyperlink" Target="https://www.vidio.com/live/19355-bri-super-league?schedule_id=4674547" TargetMode="External"/><Relationship Id="rId9749" Type="http://schemas.openxmlformats.org/officeDocument/2006/relationships/hyperlink" Target="https://thumbor.prod.vidiocdn.com/Wc3mAR4FAVVnBTND0FB3khJwGnE=/filters:quality(70)/vidio-media-production/uploads/image/source/51650/d97286.png" TargetMode="External"/><Relationship Id="rId1738" Type="http://schemas.openxmlformats.org/officeDocument/2006/relationships/hyperlink" Target="https://drive.google.com/drive/folders/1vITpYa6owELhcaMUXLReRZ0syKZF3i6S" TargetMode="External"/><Relationship Id="rId3093" Type="http://schemas.openxmlformats.org/officeDocument/2006/relationships/hyperlink" Target="https://drive.google.com/file/d/1yR2zWiaFHOnqQNF-AYd7jlYN84UWUPrB/view?usp=sharing" TargetMode="External"/><Relationship Id="rId4144" Type="http://schemas.openxmlformats.org/officeDocument/2006/relationships/hyperlink" Target="https://www.vidio.com/live/19404-serie-a?schedule_id=4626136" TargetMode="External"/><Relationship Id="rId8765" Type="http://schemas.openxmlformats.org/officeDocument/2006/relationships/hyperlink" Target="https://www.vidio.com/live/17926-easl?schedule_id=4677638" TargetMode="External"/><Relationship Id="rId11679" Type="http://schemas.openxmlformats.org/officeDocument/2006/relationships/hyperlink" Target="https://thumbor.prod.vidiocdn.com/9q7TU8zmutJTWUk9-lfKhKhtmas=/filters:quality(70)/vidio-media-production/uploads/image/source/52878/35e2dc.png" TargetMode="External"/><Relationship Id="rId3160" Type="http://schemas.openxmlformats.org/officeDocument/2006/relationships/hyperlink" Target="https://thumbor.prod.vidiocdn.com/aczaT-NvtH2BO6PksiYasHu3fGo=/filters:quality(70)/vidio-media-production/uploads/image/source/52036/41ba0f.png" TargetMode="External"/><Relationship Id="rId4211" Type="http://schemas.openxmlformats.org/officeDocument/2006/relationships/hyperlink" Target="https://drive.google.com/file/d/1hwkywgm56TKOuvxDgb_hAnpIsbGhwJ-j/view?usp=sharing" TargetMode="External"/><Relationship Id="rId7367" Type="http://schemas.openxmlformats.org/officeDocument/2006/relationships/hyperlink" Target="https://drive.google.com/file/d/1XSmzAAcHuUkcfaPxGZjh2J0_WFdco_ev/view?usp=sharing" TargetMode="External"/><Relationship Id="rId8418" Type="http://schemas.openxmlformats.org/officeDocument/2006/relationships/hyperlink" Target="https://www.vidio.com/live/6685-champions-tv-1?schedule_id=4790623" TargetMode="External"/><Relationship Id="rId9816" Type="http://schemas.openxmlformats.org/officeDocument/2006/relationships/hyperlink" Target="https://drive.google.com/file/d/1bGAtWdCSL-v2iZg1GvRoYwXZwXVqVH3x/view" TargetMode="External"/><Relationship Id="rId10695" Type="http://schemas.openxmlformats.org/officeDocument/2006/relationships/hyperlink" Target="https://www.vidio.com/live/6317-bein-3?schedule_id=4784750" TargetMode="External"/><Relationship Id="rId11746" Type="http://schemas.openxmlformats.org/officeDocument/2006/relationships/hyperlink" Target="https://www.vidio.com/live/18250-petronas-malaysia-open-2026-round-of-32-court-" TargetMode="External"/><Relationship Id="rId1805" Type="http://schemas.openxmlformats.org/officeDocument/2006/relationships/hyperlink" Target="https://drive.google.com/file/d/1gi5q9nn9AqhqfbhZG6ZH8K67vYpb43Q_/view?usp=drive_link" TargetMode="External"/><Relationship Id="rId7781" Type="http://schemas.openxmlformats.org/officeDocument/2006/relationships/hyperlink" Target="https://drive.google.com/file/d/1VexJEmQObruNM95mzMSr_H9WYfrPm8WO/view?usp=sharing" TargetMode="External"/><Relationship Id="rId8832" Type="http://schemas.openxmlformats.org/officeDocument/2006/relationships/hyperlink" Target="https://drive.google.com/file/d/14Mws2idxJ1bP5riK_7F0PIvf4h3EZDfy/view?usp=drive_link" TargetMode="External"/><Relationship Id="rId10348" Type="http://schemas.openxmlformats.org/officeDocument/2006/relationships/hyperlink" Target="https://drive.google.com/file/d/1MEaivbSHhdliXXeCqQ4lf3Y_pO3WJjI-/view?usp=sharing" TargetMode="External"/><Relationship Id="rId10762" Type="http://schemas.openxmlformats.org/officeDocument/2006/relationships/hyperlink" Target="https://drive.google.com/file/d/1Cn8XgnmnO8YvSwA_hcohCung9DFhAxSo/view?usp=sharing" TargetMode="External"/><Relationship Id="rId11813" Type="http://schemas.openxmlformats.org/officeDocument/2006/relationships/hyperlink" Target="https://drive.google.com/file/d/1eJVJpUKAFNWxLxYTbZoZRYrCww0XILnT/view?usp=sharing" TargetMode="External"/><Relationship Id="rId3977" Type="http://schemas.openxmlformats.org/officeDocument/2006/relationships/hyperlink" Target="https://www.vidio.com/live/19472?schedule_id=4534257" TargetMode="External"/><Relationship Id="rId6036" Type="http://schemas.openxmlformats.org/officeDocument/2006/relationships/hyperlink" Target="https://drive.google.com/file/d/154cZZJQRHAW-sZ2gTxvjwFsdJ9KIGIDp/view?usp=sharing" TargetMode="External"/><Relationship Id="rId6383" Type="http://schemas.openxmlformats.org/officeDocument/2006/relationships/hyperlink" Target="https://drive.google.com/drive/folders/1F9lLmIvT4-3oh_Jbh-sne-zsyB6ey7v0" TargetMode="External"/><Relationship Id="rId7434" Type="http://schemas.openxmlformats.org/officeDocument/2006/relationships/hyperlink" Target="https://drive.google.com/file/d/1jdE_P0vuv0yaFYWR2jPmU0VZ74d-LWXc/view?usp=sharing" TargetMode="External"/><Relationship Id="rId10415" Type="http://schemas.openxmlformats.org/officeDocument/2006/relationships/hyperlink" Target="https://drive.google.com/file/d/1qs0U6SFxz69SQSH6Ndh0CnovyIzHYiNJ/view?usp=sharing" TargetMode="External"/><Relationship Id="rId898" Type="http://schemas.openxmlformats.org/officeDocument/2006/relationships/hyperlink" Target="https://drive.google.com/file/d/1U-Alj7T1VHON-I695Z8Sy3eDwzRsi3nW/view?usp=sharing" TargetMode="External"/><Relationship Id="rId2579" Type="http://schemas.openxmlformats.org/officeDocument/2006/relationships/hyperlink" Target="https://drive.google.com/drive/folders/1YRHXpDPB9UtrjVJppW3RAMC7YOIeHlHs?usp=drive_link" TargetMode="External"/><Relationship Id="rId2993" Type="http://schemas.openxmlformats.org/officeDocument/2006/relationships/hyperlink" Target="https://www.vidio.com/live/17875-bein-2?schedule_id=4736031" TargetMode="External"/><Relationship Id="rId6450" Type="http://schemas.openxmlformats.org/officeDocument/2006/relationships/hyperlink" Target="https://drive.google.com/file/d/1yO7KFWSek1Ij1UKMDjzgwwTkfr4IjsH_/view?usp=sharing" TargetMode="External"/><Relationship Id="rId7501" Type="http://schemas.openxmlformats.org/officeDocument/2006/relationships/hyperlink" Target="https://drive.google.com/drive/folders/1OJmYxJj_ijLSsmC6YyH2MviJ7UrS9ZOd?usp=drive_link" TargetMode="External"/><Relationship Id="rId965" Type="http://schemas.openxmlformats.org/officeDocument/2006/relationships/hyperlink" Target="https://drive.google.com/file/d/1XJSv3gpCDzKZ5VgNBkx4IvjWk-GUovjm/view?usp=sharing" TargetMode="External"/><Relationship Id="rId1595" Type="http://schemas.openxmlformats.org/officeDocument/2006/relationships/hyperlink" Target="https://drive.google.com/file/d/1SzRjoWkUUFkV6RmTAJVItfaxc3ZbsBPr/view?usp=sharing" TargetMode="External"/><Relationship Id="rId2646" Type="http://schemas.openxmlformats.org/officeDocument/2006/relationships/hyperlink" Target="https://drive.google.com/drive/folders/1YD9WuJVeK114lO9UuRHuqQtnmc99ULu2?usp=drive_link" TargetMode="External"/><Relationship Id="rId5052" Type="http://schemas.openxmlformats.org/officeDocument/2006/relationships/hyperlink" Target="https://drive.google.com/file/d/1A45TuoEJ3NHJkRydZwnfWGjjC3VMtKbM/view?usp=sharing" TargetMode="External"/><Relationship Id="rId6103" Type="http://schemas.openxmlformats.org/officeDocument/2006/relationships/hyperlink" Target="https://www.vidio.com/live/19649-uefa-conference-league?schedule_id=4614690" TargetMode="External"/><Relationship Id="rId9259" Type="http://schemas.openxmlformats.org/officeDocument/2006/relationships/hyperlink" Target="https://drive.google.com/file/d/1bGAtWdCSL-v2iZg1GvRoYwXZwXVqVH3x/view?usp=drive_link" TargetMode="External"/><Relationship Id="rId9673" Type="http://schemas.openxmlformats.org/officeDocument/2006/relationships/hyperlink" Target="https://drive.google.com/file/d/103VWIQLQ1AteroyvSzGF7kPOVlGpYCqS/view?usp=sharing" TargetMode="External"/><Relationship Id="rId11189" Type="http://schemas.openxmlformats.org/officeDocument/2006/relationships/hyperlink" Target="https://drive.google.com/file/d/1XqMCxzjpg0OUZ3ei5z0JVktGgOQhhvf4/view?usp=sharing" TargetMode="External"/><Relationship Id="rId618" Type="http://schemas.openxmlformats.org/officeDocument/2006/relationships/hyperlink" Target="https://www.vidio.com/live/9182-champions-tv-5?schedule_id=4678876" TargetMode="External"/><Relationship Id="rId1248" Type="http://schemas.openxmlformats.org/officeDocument/2006/relationships/hyperlink" Target="https://drive.google.com/drive/folders/1WYevy_2Mwgh3iSSznit5zPGnrXD-kszU?usp=drive_link" TargetMode="External"/><Relationship Id="rId1662" Type="http://schemas.openxmlformats.org/officeDocument/2006/relationships/hyperlink" Target="https://drive.google.com/file/d/1nTd5bo-YR9mWh8-ECikMrXpX_aH9717h/view?usp=drive_link" TargetMode="External"/><Relationship Id="rId5869" Type="http://schemas.openxmlformats.org/officeDocument/2006/relationships/hyperlink" Target="https://drive.google.com/file/d/1MHkGAa8PO9XrN9Sk6-NDCchhdaFVFG_U/view?usp=sharing" TargetMode="External"/><Relationship Id="rId8275" Type="http://schemas.openxmlformats.org/officeDocument/2006/relationships/hyperlink" Target="https://drive.google.com/drive/folders/1NepG6XT-FSa8Cs07sX3tPfQWLNpJfAxp" TargetMode="External"/><Relationship Id="rId9326" Type="http://schemas.openxmlformats.org/officeDocument/2006/relationships/hyperlink" Target="https://drive.google.com/drive/folders/126gGE-qLo4BJeOVcF3Bjf7u3CiMytLXR?usp=drive_link" TargetMode="External"/><Relationship Id="rId11256" Type="http://schemas.openxmlformats.org/officeDocument/2006/relationships/hyperlink" Target="https://www.vidio.com/live/19988-bri-super-league?schedule_id=4803427" TargetMode="External"/><Relationship Id="rId1315" Type="http://schemas.openxmlformats.org/officeDocument/2006/relationships/hyperlink" Target="https://drive.google.com/file/d/1Ue20puZDOnyZSRdD3PxTAuunV2FECY4W/view?usp=drive_link" TargetMode="External"/><Relationship Id="rId2713" Type="http://schemas.openxmlformats.org/officeDocument/2006/relationships/hyperlink" Target="https://drive.google.com/drive/folders/1kMnAUovIfqAZyRE7zHeYvNuw4YZstmZE?usp=drive_link" TargetMode="External"/><Relationship Id="rId7291" Type="http://schemas.openxmlformats.org/officeDocument/2006/relationships/hyperlink" Target="https://drive.google.com/file/d/12qEMW_1TtNfz70520E33JHG_KF5L6305/view?usp=sharing" TargetMode="External"/><Relationship Id="rId8342" Type="http://schemas.openxmlformats.org/officeDocument/2006/relationships/hyperlink" Target="https://drive.google.com/drive/folders/1nHA8js1w61ZaFkr-v0omf4tizf453abz" TargetMode="External"/><Relationship Id="rId9740" Type="http://schemas.openxmlformats.org/officeDocument/2006/relationships/hyperlink" Target="https://www.vidio.com/live/19548-national-football-league-2025-26?schedule_id=4743718" TargetMode="External"/><Relationship Id="rId11670" Type="http://schemas.openxmlformats.org/officeDocument/2006/relationships/hyperlink" Target="https://drive.google.com/file/d/1REHt24Ptxa-c1tvKKBdNvgZPQZWLCam_/view?usp=sharing" TargetMode="External"/><Relationship Id="rId12307" Type="http://schemas.openxmlformats.org/officeDocument/2006/relationships/hyperlink" Target="https://www.vidio.com/live/20279?schedule_id=4833904" TargetMode="External"/><Relationship Id="rId4885" Type="http://schemas.openxmlformats.org/officeDocument/2006/relationships/hyperlink" Target="https://drive.google.com/drive/folders/1sFNJG_wRAgPOWiNbNBivP8KKNLWOuQK9?usp=drive_link" TargetMode="External"/><Relationship Id="rId5936" Type="http://schemas.openxmlformats.org/officeDocument/2006/relationships/hyperlink" Target="https://drive.google.com/file/d/1owAV2crv0Xc3S972qoseFzyPxXesQhhm/view?usp=sharing" TargetMode="External"/><Relationship Id="rId10272" Type="http://schemas.openxmlformats.org/officeDocument/2006/relationships/hyperlink" Target="https://drive.google.com/file/d/1bGAtWdCSL-v2iZg1GvRoYwXZwXVqVH3x/view?usp=drivesdk" TargetMode="External"/><Relationship Id="rId11323" Type="http://schemas.openxmlformats.org/officeDocument/2006/relationships/hyperlink" Target="https://www.vidio.com/live/19988-bri-super-league?schedule_id=4832519" TargetMode="External"/><Relationship Id="rId21" Type="http://schemas.openxmlformats.org/officeDocument/2006/relationships/hyperlink" Target="https://drive.google.com/file/d/1KaROuUIxxo92ua-wKbkQEibKmuQJw-Kx/view?usp=sharing" TargetMode="External"/><Relationship Id="rId2089" Type="http://schemas.openxmlformats.org/officeDocument/2006/relationships/hyperlink" Target="https://drive.google.com/file/d/1XBzJqJ5u7NHhWSY1AT1fcELxC9P_6CgK/view?usp=sharing" TargetMode="External"/><Relationship Id="rId3487" Type="http://schemas.openxmlformats.org/officeDocument/2006/relationships/hyperlink" Target="https://www.vidio.com/live/6686-champions-tv-2?schedule_id=4596468" TargetMode="External"/><Relationship Id="rId4538" Type="http://schemas.openxmlformats.org/officeDocument/2006/relationships/hyperlink" Target="https://drive.google.com/drive/folders/1CYOhianrRG1uDhwNM5_b28HKYYszDZZx?usp=drive_link" TargetMode="External"/><Relationship Id="rId4952" Type="http://schemas.openxmlformats.org/officeDocument/2006/relationships/hyperlink" Target="https://www.vidio.com/live/6299-bein-1?schedule_id=4569134" TargetMode="External"/><Relationship Id="rId3554" Type="http://schemas.openxmlformats.org/officeDocument/2006/relationships/hyperlink" Target="https://drive.google.com/file/d/1y6lzFXtR2MRYOOiTotKSJAGykSv7s3oQ/view?usp=sharing" TargetMode="External"/><Relationship Id="rId4605" Type="http://schemas.openxmlformats.org/officeDocument/2006/relationships/hyperlink" Target="https://www.vidio.com/live/19404-serie-a?schedule_id=4760848" TargetMode="External"/><Relationship Id="rId7011" Type="http://schemas.openxmlformats.org/officeDocument/2006/relationships/hyperlink" Target="https://drive.google.com/file/d/1boMWKxeaEORofCGtN9P0PG90JH7L7dDM/view?usp=sharing" TargetMode="External"/><Relationship Id="rId12097" Type="http://schemas.openxmlformats.org/officeDocument/2006/relationships/hyperlink" Target="https://drive.google.com/file/d/1xXRyTpjraFbbrHD2OOrzfOJmKS83JG2b/view?usp=sharing" TargetMode="External"/><Relationship Id="rId475" Type="http://schemas.openxmlformats.org/officeDocument/2006/relationships/hyperlink" Target="https://drive.google.com/file/d/1yseeZEitQODhKmF6kZKO79FbXx7NMkhJ/view?usp=sharing" TargetMode="External"/><Relationship Id="rId2156" Type="http://schemas.openxmlformats.org/officeDocument/2006/relationships/hyperlink" Target="https://drive.google.com/file/d/1YNzTHPmGyPXTmU9_OeUEuFsVUTMZa8V9/view?usp=sharing" TargetMode="External"/><Relationship Id="rId2570" Type="http://schemas.openxmlformats.org/officeDocument/2006/relationships/hyperlink" Target="https://drive.google.com/file/d/10SoMgjeOZOT_bPzp7ElKa9NO_6Uq2u70/view?usp=drive_link" TargetMode="External"/><Relationship Id="rId3207" Type="http://schemas.openxmlformats.org/officeDocument/2006/relationships/hyperlink" Target="https://drive.google.com/file/d/1o019GBIcUTEA6jcFRSUPFhQwv_sSsf5Y/view?usp=sharing" TargetMode="External"/><Relationship Id="rId3621" Type="http://schemas.openxmlformats.org/officeDocument/2006/relationships/hyperlink" Target="https://drive.google.com/drive/folders/1hJT44aRLin668W4jXDV0p7eD_OFtstel" TargetMode="External"/><Relationship Id="rId6777" Type="http://schemas.openxmlformats.org/officeDocument/2006/relationships/hyperlink" Target="https://www.vidio.com/live/19519?schedule_id=4553312" TargetMode="External"/><Relationship Id="rId7828" Type="http://schemas.openxmlformats.org/officeDocument/2006/relationships/hyperlink" Target="https://drive.google.com/drive/folders/10L0KOzrQ0M1IoA7KaQJJIq0fhJP87mGF?usp=drive_link" TargetMode="External"/><Relationship Id="rId9183" Type="http://schemas.openxmlformats.org/officeDocument/2006/relationships/hyperlink" Target="https://www.vidio.com/live/19802-top-youth-premier-league-2025-matchday-10?schedule_id=4709324" TargetMode="External"/><Relationship Id="rId12164" Type="http://schemas.openxmlformats.org/officeDocument/2006/relationships/hyperlink" Target="https://drive.google.com/file/d/17nqJ8YbOWxi4DOQmMA4_VvY1qMuE4tM4/view?usp=drive_link" TargetMode="External"/><Relationship Id="rId128" Type="http://schemas.openxmlformats.org/officeDocument/2006/relationships/hyperlink" Target="https://drive.google.com/file/d/1MafvTaElnZGTOhQlgEqOjCbyQwgl-Upb/view?usp=drive_link" TargetMode="External"/><Relationship Id="rId542" Type="http://schemas.openxmlformats.org/officeDocument/2006/relationships/hyperlink" Target="https://www.vidio.com/live/9182-champions-tv-5?schedule_id=4661414" TargetMode="External"/><Relationship Id="rId1172" Type="http://schemas.openxmlformats.org/officeDocument/2006/relationships/hyperlink" Target="https://thumbor.prod.vidiocdn.com/yPpVflj_Y_b-enS5MI-WMAbb5UE=/filters:quality(70)/vidio-media-production/uploads/image/source/52745/7fe2fb.png" TargetMode="External"/><Relationship Id="rId2223" Type="http://schemas.openxmlformats.org/officeDocument/2006/relationships/hyperlink" Target="https://drive.google.com/file/d/19eUdJGg26MHWcTAWqAOSNE5nv6Agtx2w/view?usp=sharing" TargetMode="External"/><Relationship Id="rId5379" Type="http://schemas.openxmlformats.org/officeDocument/2006/relationships/hyperlink" Target="https://www.vidio.com/live/18301-uefa-champions-league?schedule_id=4733548" TargetMode="External"/><Relationship Id="rId5793" Type="http://schemas.openxmlformats.org/officeDocument/2006/relationships/hyperlink" Target="https://www.vidio.com/live/19603-uefa-europa-league?schedule_id=4702067" TargetMode="External"/><Relationship Id="rId6844" Type="http://schemas.openxmlformats.org/officeDocument/2006/relationships/hyperlink" Target="https://drive.google.com/file/d/17qqif7FJNJxZi63nwSb5Rmj5kYm_7Ntc/view?usp=drive_link" TargetMode="External"/><Relationship Id="rId9250" Type="http://schemas.openxmlformats.org/officeDocument/2006/relationships/hyperlink" Target="https://drive.google.com/file/d/1bGAtWdCSL-v2iZg1GvRoYwXZwXVqVH3x/view?usp=drive_link" TargetMode="External"/><Relationship Id="rId10809" Type="http://schemas.openxmlformats.org/officeDocument/2006/relationships/hyperlink" Target="https://drive.google.com/file/d/1msluPEcX1IlImG9XyZKpU3Kg0JQSHXjz/view?usp=sharing" TargetMode="External"/><Relationship Id="rId11180" Type="http://schemas.openxmlformats.org/officeDocument/2006/relationships/hyperlink" Target="https://drive.google.com/file/d/1lqvMQo-vu4LWbYx8EshSi5GatZX_ONR4/view?usp=sharing" TargetMode="External"/><Relationship Id="rId12231" Type="http://schemas.openxmlformats.org/officeDocument/2006/relationships/hyperlink" Target="https://drive.google.com/file/d/17nqJ8YbOWxi4DOQmMA4_VvY1qMuE4tM4/view?usp=sharing" TargetMode="External"/><Relationship Id="rId4395" Type="http://schemas.openxmlformats.org/officeDocument/2006/relationships/hyperlink" Target="https://drive.google.com/file/d/1EekKWcrxQDVFEB9ZmlBMs8yhpdLB3mzf/view?usp=sharing" TargetMode="External"/><Relationship Id="rId5446" Type="http://schemas.openxmlformats.org/officeDocument/2006/relationships/hyperlink" Target="https://drive.google.com/file/d/1XuoxfE6qMseSbVy4UIJxNV4wdVjpvWCG/view?usp=sharing" TargetMode="External"/><Relationship Id="rId1989" Type="http://schemas.openxmlformats.org/officeDocument/2006/relationships/hyperlink" Target="https://drive.google.com/file/d/1bloUl56bKmESPIUsAk5VhJSlEXV4Fau7/view?usp=sharing" TargetMode="External"/><Relationship Id="rId4048" Type="http://schemas.openxmlformats.org/officeDocument/2006/relationships/hyperlink" Target="https://drive.google.com/file/d/1h1wjceYItA1c-aWQqkM0rplCWTZSGMZy/view?usp=sharing" TargetMode="External"/><Relationship Id="rId5860" Type="http://schemas.openxmlformats.org/officeDocument/2006/relationships/hyperlink" Target="https://www.vidio.com/live/19599-uefa-europa-league?schedule_id=4702073" TargetMode="External"/><Relationship Id="rId6911" Type="http://schemas.openxmlformats.org/officeDocument/2006/relationships/hyperlink" Target="https://drive.google.com/drive/folders/1r_u7enhTofrGiqKYufM5DChF7VHGRwdV" TargetMode="External"/><Relationship Id="rId11997" Type="http://schemas.openxmlformats.org/officeDocument/2006/relationships/hyperlink" Target="https://drive.google.com/file/d/1B4cBF3qrh1sMXG2gV5jmUKJx_gapQy02/view?usp=sharing" TargetMode="External"/><Relationship Id="rId3064" Type="http://schemas.openxmlformats.org/officeDocument/2006/relationships/hyperlink" Target="https://www.vidio.com/live/17875-bein-2?schedule_id=4762551" TargetMode="External"/><Relationship Id="rId4462" Type="http://schemas.openxmlformats.org/officeDocument/2006/relationships/hyperlink" Target="https://drive.google.com/file/d/1MUWM2GHTRJdKQhb_U4PXSiabYH0X0pfK/view?usp=sharing" TargetMode="External"/><Relationship Id="rId5513" Type="http://schemas.openxmlformats.org/officeDocument/2006/relationships/hyperlink" Target="https://drive.google.com/drive/folders/1vs2NPBadTfe8mkFp1C94plFN9o2qZ3M8?usp=drive_link" TargetMode="External"/><Relationship Id="rId8669" Type="http://schemas.openxmlformats.org/officeDocument/2006/relationships/hyperlink" Target="https://drive.google.com/file/d/1lSUwSrEhqV7UKpgenGlvKclXi2456YES/view?usp=sharing" TargetMode="External"/><Relationship Id="rId10599" Type="http://schemas.openxmlformats.org/officeDocument/2006/relationships/hyperlink" Target="https://drive.google.com/drive/folders/12xQbCiYHDWCuQgP_Vh5OuVzZW6qEtkgs" TargetMode="External"/><Relationship Id="rId1709" Type="http://schemas.openxmlformats.org/officeDocument/2006/relationships/hyperlink" Target="https://drive.google.com/file/d/1HzdaBVulQVXfH9azMcPbZVwEVMxTuVXM/view?usp=drive_link" TargetMode="External"/><Relationship Id="rId4115" Type="http://schemas.openxmlformats.org/officeDocument/2006/relationships/hyperlink" Target="https://drive.google.com/drive/folders/1SRm-rD9DaTiv0Q3piyuB4NiPdywQejdM?usp=drive_link" TargetMode="External"/><Relationship Id="rId7685" Type="http://schemas.openxmlformats.org/officeDocument/2006/relationships/hyperlink" Target="https://www.vidio.com/live/19672-easl?schedule_id=4635907" TargetMode="External"/><Relationship Id="rId8736" Type="http://schemas.openxmlformats.org/officeDocument/2006/relationships/hyperlink" Target="https://drive.google.com/file/d/1DNux4glLBnqI-DzUHKvsJVIQIe0fQ_QF/view?usp=sharing" TargetMode="External"/><Relationship Id="rId10666" Type="http://schemas.openxmlformats.org/officeDocument/2006/relationships/hyperlink" Target="https://thumbor.prod.vidiocdn.com/Iay-G7Xx65l3ODi2qu0XD_OC7yU=/filters:quality(70)/vidio-media-production/uploads/image/source/53049/2e161d.png" TargetMode="External"/><Relationship Id="rId11717" Type="http://schemas.openxmlformats.org/officeDocument/2006/relationships/hyperlink" Target="https://drive.google.com/file/d/1U1_meG0oNnbcRUJR1xNlxfh5V54yAKy4/view?usp=sharing" TargetMode="External"/><Relationship Id="rId2080" Type="http://schemas.openxmlformats.org/officeDocument/2006/relationships/hyperlink" Target="https://www.vidio.com/live/19353-bri-super-league?schedule_id=4724847" TargetMode="External"/><Relationship Id="rId3131" Type="http://schemas.openxmlformats.org/officeDocument/2006/relationships/hyperlink" Target="https://drive.google.com/file/d/16zVZRVbhghX1ciu1OfUljfHXtbbT1o_t/view?usp=sharing" TargetMode="External"/><Relationship Id="rId6287" Type="http://schemas.openxmlformats.org/officeDocument/2006/relationships/hyperlink" Target="https://drive.google.com/file/d/1U-xEz_lNLDKrer2yPsKvXQQVTMxG1p9y/view?usp=sharing" TargetMode="External"/><Relationship Id="rId7338" Type="http://schemas.openxmlformats.org/officeDocument/2006/relationships/hyperlink" Target="https://drive.google.com/drive/folders/1ysx7nv98nKYOLD0M9Bl3paZWisfom3vx" TargetMode="External"/><Relationship Id="rId7752" Type="http://schemas.openxmlformats.org/officeDocument/2006/relationships/hyperlink" Target="https://drive.google.com/file/d/1DIW6kPN3qtuYA0S7C1hr-cO-n6Z_yfG6/view?usp=sharing" TargetMode="External"/><Relationship Id="rId8803" Type="http://schemas.openxmlformats.org/officeDocument/2006/relationships/hyperlink" Target="https://www.vidio.com/live/6317-bein-3?schedule_id=4684496" TargetMode="External"/><Relationship Id="rId10319" Type="http://schemas.openxmlformats.org/officeDocument/2006/relationships/hyperlink" Target="https://drive.google.com/file/d/1kWmbGVZDCuWO2mvA_fIN9yzCsbKOGbD1/view?usp=sharing" TargetMode="External"/><Relationship Id="rId2897" Type="http://schemas.openxmlformats.org/officeDocument/2006/relationships/hyperlink" Target="https://drive.google.com/drive/folders/1EjFTzZaElM_nUUnRO1yv537xq-gd78P_?usp=drive_link" TargetMode="External"/><Relationship Id="rId3948" Type="http://schemas.openxmlformats.org/officeDocument/2006/relationships/hyperlink" Target="https://drive.google.com/drive/folders/1NepG6XT-FSa8Cs07sX3tPfQWLNpJfAxp" TargetMode="External"/><Relationship Id="rId6354" Type="http://schemas.openxmlformats.org/officeDocument/2006/relationships/hyperlink" Target="https://drive.google.com/file/d/15oTcquTSJiKwzMZHD001c0nF2sbyz4Tr/view?usp=sharing" TargetMode="External"/><Relationship Id="rId7405" Type="http://schemas.openxmlformats.org/officeDocument/2006/relationships/hyperlink" Target="https://www.vidio.com/live/6685-champions-tv-1?schedule_id=4666460" TargetMode="External"/><Relationship Id="rId10733" Type="http://schemas.openxmlformats.org/officeDocument/2006/relationships/hyperlink" Target="https://drive.google.com/file/d/1e989U7PEqBEga9s9zKe1wiU70QaxVqWd/view?usp=sharing" TargetMode="External"/><Relationship Id="rId869" Type="http://schemas.openxmlformats.org/officeDocument/2006/relationships/hyperlink" Target="https://drive.google.com/file/d/1toP4Yu7Wb8lK8lbJaYl_-cRIQQED83z8/view?usp=sharing" TargetMode="External"/><Relationship Id="rId1499" Type="http://schemas.openxmlformats.org/officeDocument/2006/relationships/hyperlink" Target="https://drive.google.com/drive/folders/1j7dUonmSYCRTNutf2HMvwJCmFVw6thX_?usp=drive_link" TargetMode="External"/><Relationship Id="rId5370" Type="http://schemas.openxmlformats.org/officeDocument/2006/relationships/hyperlink" Target="https://drive.google.com/drive/folders/14Wb3x9yN298vTECYGS7G_yCO7LWjXAJK" TargetMode="External"/><Relationship Id="rId6007" Type="http://schemas.openxmlformats.org/officeDocument/2006/relationships/hyperlink" Target="https://drive.google.com/file/d/1ocSFyrs5kRHiyOv5OwajANxHvhTSvoKp/view?usp=sharing" TargetMode="External"/><Relationship Id="rId6421" Type="http://schemas.openxmlformats.org/officeDocument/2006/relationships/hyperlink" Target="https://www.vidio.com/live/19647-uefa-conference-league?schedule_id=4734911" TargetMode="External"/><Relationship Id="rId9577" Type="http://schemas.openxmlformats.org/officeDocument/2006/relationships/hyperlink" Target="https://drive.google.com/file/d/1yR0--53Y8rJIBJ7LxeHpOzeiMw0jn36t/view?usp=sharing" TargetMode="External"/><Relationship Id="rId10800" Type="http://schemas.openxmlformats.org/officeDocument/2006/relationships/hyperlink" Target="https://drive.google.com/file/d/1lYrPS0Af4cgaNYxePJqaljCHwGOjPxyo/view?usp=sharing" TargetMode="External"/><Relationship Id="rId2964" Type="http://schemas.openxmlformats.org/officeDocument/2006/relationships/hyperlink" Target="https://www.vidio.com/live/6299-bein-1?schedule_id=4724315" TargetMode="External"/><Relationship Id="rId5023" Type="http://schemas.openxmlformats.org/officeDocument/2006/relationships/hyperlink" Target="https://drive.google.com/file/d/1xeWTXWPwTVk1DIFpRgz5W6-C-f0z5quU/view?usp=drive_link" TargetMode="External"/><Relationship Id="rId8179" Type="http://schemas.openxmlformats.org/officeDocument/2006/relationships/hyperlink" Target="https://drive.google.com/file/d/1Rta3B0gMNy-aKI85PeaCnlJTQjAZSyxU/view?usp=sharing" TargetMode="External"/><Relationship Id="rId9991" Type="http://schemas.openxmlformats.org/officeDocument/2006/relationships/hyperlink" Target="https://drive.google.com/file/d/17pu4SF4XTcuNzi6JlVODhxUSLJ0zAgyv/view?usp=sharing" TargetMode="External"/><Relationship Id="rId936" Type="http://schemas.openxmlformats.org/officeDocument/2006/relationships/hyperlink" Target="https://www.vidio.com/live/19375-premier-league?schedule_id=4759882" TargetMode="External"/><Relationship Id="rId1219" Type="http://schemas.openxmlformats.org/officeDocument/2006/relationships/hyperlink" Target="https://thumbor.prod.vidiocdn.com/qmMnK8ffnQxvLFx73rUjiKY_Gdw=/filters:quality(70)/vidio-media-production/uploads/image/source/52743/a27a5d.png" TargetMode="External"/><Relationship Id="rId1566" Type="http://schemas.openxmlformats.org/officeDocument/2006/relationships/hyperlink" Target="https://drive.google.com/file/d/16H_nscYwMHZ1z7TdunzqFvsN0qFRSryo/view?usp=drive_link" TargetMode="External"/><Relationship Id="rId1980" Type="http://schemas.openxmlformats.org/officeDocument/2006/relationships/hyperlink" Target="https://drive.google.com/drive/u/0/folders/1kGHtJTboMQzt_AXOEFOdRLfI5nrFLPAB" TargetMode="External"/><Relationship Id="rId2617" Type="http://schemas.openxmlformats.org/officeDocument/2006/relationships/hyperlink" Target="https://www.vidio.com/live/17323-laliga?schedule_id=4612071" TargetMode="External"/><Relationship Id="rId7195" Type="http://schemas.openxmlformats.org/officeDocument/2006/relationships/hyperlink" Target="https://drive.google.com/drive/folders/1NepG6XT-FSa8Cs07sX3tPfQWLNpJfAxp" TargetMode="External"/><Relationship Id="rId8246" Type="http://schemas.openxmlformats.org/officeDocument/2006/relationships/hyperlink" Target="https://drive.google.com/file/d/1DNux4glLBnqI-DzUHKvsJVIQIe0fQ_QF/view?usp=sharing" TargetMode="External"/><Relationship Id="rId8593" Type="http://schemas.openxmlformats.org/officeDocument/2006/relationships/hyperlink" Target="https://drive.google.com/file/d/1OIqeIPM1lqF8AJX68e_5YxpOLIIAAFHJ/view?usp=sharing" TargetMode="External"/><Relationship Id="rId9644" Type="http://schemas.openxmlformats.org/officeDocument/2006/relationships/hyperlink" Target="https://drive.google.com/file/d/1oePA0fLBi2kqJL-omIGekeJ_sD4023gO/view?usp=sharing" TargetMode="External"/><Relationship Id="rId11574" Type="http://schemas.openxmlformats.org/officeDocument/2006/relationships/hyperlink" Target="https://www.vidio.com/live/6786-champions-tv-3?schedule_id=4831357" TargetMode="External"/><Relationship Id="rId1633" Type="http://schemas.openxmlformats.org/officeDocument/2006/relationships/hyperlink" Target="https://drive.google.com/file/d/1GNLXa95OD039YfnxQd7Uj3CUvrEaRGCb/view?usp=drive_link" TargetMode="External"/><Relationship Id="rId4789" Type="http://schemas.openxmlformats.org/officeDocument/2006/relationships/hyperlink" Target="https://www.vidio.com/live/19404-serie-a?schedule_id=4790693" TargetMode="External"/><Relationship Id="rId8660" Type="http://schemas.openxmlformats.org/officeDocument/2006/relationships/hyperlink" Target="https://drive.google.com/file/d/1d1YIncVl4FlRXFB_1crRxKZv4adCXRem/view?usp=sharing" TargetMode="External"/><Relationship Id="rId9711" Type="http://schemas.openxmlformats.org/officeDocument/2006/relationships/hyperlink" Target="https://drive.google.com/file/d/1B3vutVDWP6OkY2fmchQszNl-6UFR7w-Z/view?usp=sharing" TargetMode="External"/><Relationship Id="rId10176" Type="http://schemas.openxmlformats.org/officeDocument/2006/relationships/hyperlink" Target="https://drive.google.com/file/d/1NtrtWGieog2so9v-DI1SYHZvSwbIhxAG/view?usp=sharing" TargetMode="External"/><Relationship Id="rId10590" Type="http://schemas.openxmlformats.org/officeDocument/2006/relationships/hyperlink" Target="https://www.vidio.com/live/17875" TargetMode="External"/><Relationship Id="rId11227" Type="http://schemas.openxmlformats.org/officeDocument/2006/relationships/hyperlink" Target="https://drive.google.com/drive/folders/10p0361tp8EE62w4qfBku53TvwybfWsjx" TargetMode="External"/><Relationship Id="rId11641" Type="http://schemas.openxmlformats.org/officeDocument/2006/relationships/hyperlink" Target="https://www.vidio.com/live/6317-bein-3?schedule_id=4827329" TargetMode="External"/><Relationship Id="rId1700" Type="http://schemas.openxmlformats.org/officeDocument/2006/relationships/hyperlink" Target="https://www.vidio.com/live/19384?schedule_id=4563124" TargetMode="External"/><Relationship Id="rId4856" Type="http://schemas.openxmlformats.org/officeDocument/2006/relationships/hyperlink" Target="https://thumbor.prod.vidiocdn.com/hKWNHX2AgzqJ2RFDNtcOP048YHY=/filters:quality(70)/vidio-media-production/uploads/image/source/52808/8a6189.png" TargetMode="External"/><Relationship Id="rId5907" Type="http://schemas.openxmlformats.org/officeDocument/2006/relationships/hyperlink" Target="https://drive.google.com/file/d/1eIWmUpQ_QMH3FND627fq1rxLa9P3Pbo2/view?usp=sharing" TargetMode="External"/><Relationship Id="rId7262" Type="http://schemas.openxmlformats.org/officeDocument/2006/relationships/hyperlink" Target="https://www.vidio.com/live/19543-pegadaian-championship-2025-26?schedule_id=4652408" TargetMode="External"/><Relationship Id="rId8313" Type="http://schemas.openxmlformats.org/officeDocument/2006/relationships/hyperlink" Target="https://drive.google.com/drive/folders/1-ZM03PlwXaU-yljVMe0FqVqeVs5MevC4?usp=drive_link" TargetMode="External"/><Relationship Id="rId10243" Type="http://schemas.openxmlformats.org/officeDocument/2006/relationships/hyperlink" Target="https://drive.google.com/drive/folders/1nlPYVw0heqoyESOWDG-aVccLFGUs3Ddu" TargetMode="External"/><Relationship Id="rId3458" Type="http://schemas.openxmlformats.org/officeDocument/2006/relationships/hyperlink" Target="https://drive.google.com/drive/u/0/folders/1Yg42ihwWx0cHqIe3Kl4V0SmjTxuD_vrx" TargetMode="External"/><Relationship Id="rId3872" Type="http://schemas.openxmlformats.org/officeDocument/2006/relationships/hyperlink" Target="https://thumbor.prod.vidiocdn.com/JjBoVvTbYahzWa47L3aj8fFTaQk=/filters:quality(70)/vidio-media-production/uploads/image/source/52687/660803.png" TargetMode="External"/><Relationship Id="rId4509" Type="http://schemas.openxmlformats.org/officeDocument/2006/relationships/hyperlink" Target="https://drive.google.com/drive/folders/1v4DPmotCIcKiPPk2AZ82r-uGVt2vLj0m?usp=drive_link" TargetMode="External"/><Relationship Id="rId10310" Type="http://schemas.openxmlformats.org/officeDocument/2006/relationships/hyperlink" Target="https://drive.google.com/file/d/1BJOz60VK36rKR3B-8BEyTjKvs5X4wyO3/view?usp=sharing" TargetMode="External"/><Relationship Id="rId379" Type="http://schemas.openxmlformats.org/officeDocument/2006/relationships/hyperlink" Target="https://drive.google.com/file/d/18TfDhAXrf-mAUbBQfXBUhfu073Rc-6XU/view?usp=sharing" TargetMode="External"/><Relationship Id="rId793" Type="http://schemas.openxmlformats.org/officeDocument/2006/relationships/hyperlink" Target="https://drive.google.com/drive/folders/1k7KcDE76XwJm6hzTdIq4X4WZsMF1TV_u" TargetMode="External"/><Relationship Id="rId2474" Type="http://schemas.openxmlformats.org/officeDocument/2006/relationships/hyperlink" Target="https://www.vidio.com/live/6317-bein-3?schedule_id=4577348" TargetMode="External"/><Relationship Id="rId3525" Type="http://schemas.openxmlformats.org/officeDocument/2006/relationships/hyperlink" Target="https://drive.google.com/drive/folders/1ia2Jk20QOcKxQaHWIAsMMY_WFQkn-2uA" TargetMode="External"/><Relationship Id="rId4923" Type="http://schemas.openxmlformats.org/officeDocument/2006/relationships/hyperlink" Target="https://drive.google.com/drive/folders/1HJtyI5W9_jAY6t0R8RExTugHumECOm3f?usp=drive_link" TargetMode="External"/><Relationship Id="rId9087" Type="http://schemas.openxmlformats.org/officeDocument/2006/relationships/hyperlink" Target="https://drive.google.com/file/d/1U92ouovRupZOjERHAE_1fb0agwjdMCco/view?usp=sharing" TargetMode="External"/><Relationship Id="rId12068" Type="http://schemas.openxmlformats.org/officeDocument/2006/relationships/hyperlink" Target="https://drive.google.com/file/d/1NSS8caFvdZbwLM0rQ6xFjEA-VHdQ-0wz/view?usp=sharing" TargetMode="External"/><Relationship Id="rId446" Type="http://schemas.openxmlformats.org/officeDocument/2006/relationships/hyperlink" Target="https://www.vidio.com/live/9182-champions-tv-5?schedule_id=4627660" TargetMode="External"/><Relationship Id="rId1076" Type="http://schemas.openxmlformats.org/officeDocument/2006/relationships/hyperlink" Target="https://thumbor.prod.vidiocdn.com/IgHQP0w4myZAmmlfpvrW1dub14k=/filters:quality(70)/vidio-media-production/uploads/image/source/52485/58cac2.png" TargetMode="External"/><Relationship Id="rId1490" Type="http://schemas.openxmlformats.org/officeDocument/2006/relationships/hyperlink" Target="https://drive.google.com/file/d/1vD8Sh64ty6HGlpiKDzQOVJt3c9m6UiPq/view?usp=sharing" TargetMode="External"/><Relationship Id="rId2127" Type="http://schemas.openxmlformats.org/officeDocument/2006/relationships/hyperlink" Target="https://drive.google.com/file/d/1-QmR2cf_D7bUEYlnvvABRtcXqWPHdgng/view?usp=sharing" TargetMode="External"/><Relationship Id="rId9154" Type="http://schemas.openxmlformats.org/officeDocument/2006/relationships/hyperlink" Target="https://drive.google.com/drive/folders/1NepG6XT-FSa8Cs07sX3tPfQWLNpJfAxp" TargetMode="External"/><Relationship Id="rId11084" Type="http://schemas.openxmlformats.org/officeDocument/2006/relationships/hyperlink" Target="https://drive.google.com/file/d/13EdEAWS0bYY0LIAGUGd0kh0IdY2y4FAq/view?usp=sharing" TargetMode="External"/><Relationship Id="rId860" Type="http://schemas.openxmlformats.org/officeDocument/2006/relationships/hyperlink" Target="https://drive.google.com/drive/folders/1WB5RMrJafdkxgc0CdZvq6o2Z-yCqfWQu?usp=drive_link" TargetMode="External"/><Relationship Id="rId1143" Type="http://schemas.openxmlformats.org/officeDocument/2006/relationships/hyperlink" Target="https://drive.google.com/file/d/1DKOi4ZcI83Aq5IFulWr5T3Ok1tmTKRzJ/view?usp=sharing" TargetMode="External"/><Relationship Id="rId2541" Type="http://schemas.openxmlformats.org/officeDocument/2006/relationships/hyperlink" Target="https://drive.google.com/file/d/1EDoqs15iO_8pFzbiQ71fN6Q2VLlyWdwU/view?usp=sharing" TargetMode="External"/><Relationship Id="rId4299" Type="http://schemas.openxmlformats.org/officeDocument/2006/relationships/hyperlink" Target="https://drive.google.com/drive/folders/15-II7ipKAoia1ddwRA92IJ21xrPGVpIb?usp=drive_link" TargetMode="External"/><Relationship Id="rId5697" Type="http://schemas.openxmlformats.org/officeDocument/2006/relationships/hyperlink" Target="https://www.vidio.com/live/19600-uefa-europa-league?schedule_id=4664051" TargetMode="External"/><Relationship Id="rId6748" Type="http://schemas.openxmlformats.org/officeDocument/2006/relationships/hyperlink" Target="https://drive.google.com/drive/folders/1NepG6XT-FSa8Cs07sX3tPfQWLNpJfAxp" TargetMode="External"/><Relationship Id="rId8170" Type="http://schemas.openxmlformats.org/officeDocument/2006/relationships/hyperlink" Target="https://drive.google.com/drive/folders/1Ghj3z1_bCmQSKG6Tn4qEhXJLtRq1SxKA" TargetMode="External"/><Relationship Id="rId12135" Type="http://schemas.openxmlformats.org/officeDocument/2006/relationships/hyperlink" Target="https://drive.google.com/file/d/1khQrXXQF4DXWbEvpQ5PrFElQfRn5_sMl/view?usp=sharing" TargetMode="External"/><Relationship Id="rId513" Type="http://schemas.openxmlformats.org/officeDocument/2006/relationships/hyperlink" Target="https://drive.google.com/drive/folders/1eE7-Q_l_n4Iw9Uvh2GnKjLpFvGD9Nlpy?usp=drive_link" TargetMode="External"/><Relationship Id="rId5764" Type="http://schemas.openxmlformats.org/officeDocument/2006/relationships/hyperlink" Target="https://www.vidio.com/live/6299-bein-1?schedule_id=4664039" TargetMode="External"/><Relationship Id="rId6815" Type="http://schemas.openxmlformats.org/officeDocument/2006/relationships/hyperlink" Target="https://drive.google.com/file/d/14aZB_dm5eAPg4sa4_Jdf_a5t82t5QFTp/view?usp=sharing" TargetMode="External"/><Relationship Id="rId9221" Type="http://schemas.openxmlformats.org/officeDocument/2006/relationships/hyperlink" Target="https://drive.google.com/file/d/1bGAtWdCSL-v2iZg1GvRoYwXZwXVqVH3x/view?usp=sharing" TargetMode="External"/><Relationship Id="rId11151" Type="http://schemas.openxmlformats.org/officeDocument/2006/relationships/hyperlink" Target="https://thumbor.prod.vidiocdn.com/HsS-BwfeS9SZrBzVFtVhUZV36EE=/filters:quality(70)/vidio-media-production/uploads/image/source/53295/79afa0.png" TargetMode="External"/><Relationship Id="rId12202" Type="http://schemas.openxmlformats.org/officeDocument/2006/relationships/hyperlink" Target="https://www.vidio.com/live/20268-topskor-greater-jakarta-pekan-pertama-u-14-lapangan-big-depok?schedule_id=4833864" TargetMode="External"/><Relationship Id="rId1210" Type="http://schemas.openxmlformats.org/officeDocument/2006/relationships/hyperlink" Target="https://drive.google.com/file/d/1jVeGF3PYNMKaluL4IkQtJJV9YCdigJX-/view?usp=sharing" TargetMode="External"/><Relationship Id="rId4366" Type="http://schemas.openxmlformats.org/officeDocument/2006/relationships/hyperlink" Target="https://drive.google.com/file/d/11DTxgh6XX3ZXPJKqJVKyZnpzkjEbQxR8/view?usp=sharing" TargetMode="External"/><Relationship Id="rId4780" Type="http://schemas.openxmlformats.org/officeDocument/2006/relationships/hyperlink" Target="https://drive.google.com/file/d/1hKRHJ2BD1FgsJINpll-Za0QOFRoD0lxc/view?usp=sharing" TargetMode="External"/><Relationship Id="rId5417" Type="http://schemas.openxmlformats.org/officeDocument/2006/relationships/hyperlink" Target="https://drive.google.com/file/d/1A2WXQt6dYKXDS5j_ua9NrHK_QCnVAKDQ/view?usp=sharing" TargetMode="External"/><Relationship Id="rId5831" Type="http://schemas.openxmlformats.org/officeDocument/2006/relationships/hyperlink" Target="https://www.vidio.com/live/6299-bein-1?schedule_id=4702066" TargetMode="External"/><Relationship Id="rId8987" Type="http://schemas.openxmlformats.org/officeDocument/2006/relationships/hyperlink" Target="https://drive.google.com/file/d/1OgMY8GzNK5DMGETt1Om6-fQAwirjw_Gj/view?usp=sharing" TargetMode="External"/><Relationship Id="rId3382" Type="http://schemas.openxmlformats.org/officeDocument/2006/relationships/hyperlink" Target="https://drive.google.com/drive/folders/1qITVfQuRLdDumn5yab_F2qFiO7G1Hftf" TargetMode="External"/><Relationship Id="rId4019" Type="http://schemas.openxmlformats.org/officeDocument/2006/relationships/hyperlink" Target="https://drive.google.com/drive/folders/1GiaGafjWrwv0DV11e0Asvp1k6IfG-skL" TargetMode="External"/><Relationship Id="rId4433" Type="http://schemas.openxmlformats.org/officeDocument/2006/relationships/hyperlink" Target="https://3.basecamp.com/4902751/buckets/36763424/card_tables/cards/9168731142" TargetMode="External"/><Relationship Id="rId7589" Type="http://schemas.openxmlformats.org/officeDocument/2006/relationships/hyperlink" Target="https://drive.google.com/file/d/1oE6WSL7LrnF9eK8PRNJaqYPIMsgvI79N/view?usp=sharing" TargetMode="External"/><Relationship Id="rId11968" Type="http://schemas.openxmlformats.org/officeDocument/2006/relationships/hyperlink" Target="https://www.vidio.com/live/18252-petronas-malaysia-open-2026-round-of-32-court-3?schedule_id=4832195" TargetMode="External"/><Relationship Id="rId3035" Type="http://schemas.openxmlformats.org/officeDocument/2006/relationships/hyperlink" Target="https://drive.google.com/file/d/1K3qBlsPWbh9DdKn5ZlQgRsQ4zYJAO5wQ/view?usp=sharing" TargetMode="External"/><Relationship Id="rId4500" Type="http://schemas.openxmlformats.org/officeDocument/2006/relationships/hyperlink" Target="https://drive.google.com/file/d/10rlygDvuDGAWyvPQq6JJTJgBVONlH9JH/view?usp=sharing" TargetMode="External"/><Relationship Id="rId7656" Type="http://schemas.openxmlformats.org/officeDocument/2006/relationships/hyperlink" Target="https://drive.google.com/drive/folders/1fjaZJlNvaCySR-UGtn3m2VrspM6Pa_6A" TargetMode="External"/><Relationship Id="rId8707" Type="http://schemas.openxmlformats.org/officeDocument/2006/relationships/hyperlink" Target="https://www.vidio.com/live/9183-champions-tv-6?schedule_id=4726072" TargetMode="External"/><Relationship Id="rId10984" Type="http://schemas.openxmlformats.org/officeDocument/2006/relationships/hyperlink" Target="https://thumbor.prod.vidiocdn.com/QmDbug25_htBCx5X0lTCh7GSnhk=/filters:quality(70)/vidio-media-production/uploads/image/source/53129/a629a5.png" TargetMode="External"/><Relationship Id="rId370" Type="http://schemas.openxmlformats.org/officeDocument/2006/relationships/hyperlink" Target="https://drive.google.com/drive/folders/1HAHXgmpUJc29YOD8xWSMgQyRhfXuT8Vy" TargetMode="External"/><Relationship Id="rId2051" Type="http://schemas.openxmlformats.org/officeDocument/2006/relationships/hyperlink" Target="https://drive.google.com/drive/folders/1dSSjszMnuASblSh5P-64Ux_M-MGy-R29" TargetMode="External"/><Relationship Id="rId3102" Type="http://schemas.openxmlformats.org/officeDocument/2006/relationships/hyperlink" Target="https://drive.google.com/file/d/1pSsUEiJ7dmQpbV1N-Mg_L88Tbx2a3P0T/view?usp=drive_link" TargetMode="External"/><Relationship Id="rId6258" Type="http://schemas.openxmlformats.org/officeDocument/2006/relationships/hyperlink" Target="https://drive.google.com/file/d/13uFxcWLc8Exn37Q4o6H1ONLzT2BSv6wM/view?usp=sharing" TargetMode="External"/><Relationship Id="rId7309" Type="http://schemas.openxmlformats.org/officeDocument/2006/relationships/hyperlink" Target="https://drive.google.com/drive/folders/1QbOVa2QXJ_OWJSHA3ZHM8xssZ9qKxNLq?usp=drive_link" TargetMode="External"/><Relationship Id="rId10637" Type="http://schemas.openxmlformats.org/officeDocument/2006/relationships/hyperlink" Target="https://www.vidio.com/live/20067-top-youth-premier-league-pekan-ke-15?schedule_id=4776349" TargetMode="External"/><Relationship Id="rId5274" Type="http://schemas.openxmlformats.org/officeDocument/2006/relationships/hyperlink" Target="https://drive.google.com/drive/folders/1UJh6Ohrk8ICltqRuS2ZUbx-5nOk1lSCs" TargetMode="External"/><Relationship Id="rId6325" Type="http://schemas.openxmlformats.org/officeDocument/2006/relationships/hyperlink" Target="https://www.vidio.com/live/19649-uefa-conference-league?schedule_id=4700060" TargetMode="External"/><Relationship Id="rId6672" Type="http://schemas.openxmlformats.org/officeDocument/2006/relationships/hyperlink" Target="https://drive.google.com/drive/folders/1BHh5wPsnYmUU66j0vsOKMNDJmvhTzaOp?usp=drive_link" TargetMode="External"/><Relationship Id="rId7723" Type="http://schemas.openxmlformats.org/officeDocument/2006/relationships/hyperlink" Target="https://www.vidio.com/live/19543-pegadaian-championship-2025-26?schedule_id=4665897" TargetMode="External"/><Relationship Id="rId10704" Type="http://schemas.openxmlformats.org/officeDocument/2006/relationships/hyperlink" Target="https://drive.google.com/drive/folders/1fOxf-Gk3Uc6MxXT7trRIyP1SBBmKX5aH?usp=drive_link" TargetMode="External"/><Relationship Id="rId2868" Type="http://schemas.openxmlformats.org/officeDocument/2006/relationships/hyperlink" Target="https://drive.google.com/file/d/1KAiD76MR5bqDdsbM40mfXvcKsbrLaFHy/view?usp=sharing" TargetMode="External"/><Relationship Id="rId3919" Type="http://schemas.openxmlformats.org/officeDocument/2006/relationships/hyperlink" Target="https://www.vidio.com/live/6686-champions-tv-2?schedule_id=4525634" TargetMode="External"/><Relationship Id="rId9895" Type="http://schemas.openxmlformats.org/officeDocument/2006/relationships/hyperlink" Target="https://thumbor.prod.vidiocdn.com/_fYJcX6bQOXkZwjt-kG_HkiDFwA=/filters:quality(70)/vidio-media-production/uploads/image/source/52307/8abb7a.png" TargetMode="External"/><Relationship Id="rId1884" Type="http://schemas.openxmlformats.org/officeDocument/2006/relationships/hyperlink" Target="https://drive.google.com/file/d/1tiumcWbKTdofS4H_l4hf7dyshuXlobYm/view?usp=drive_link" TargetMode="External"/><Relationship Id="rId2935" Type="http://schemas.openxmlformats.org/officeDocument/2006/relationships/hyperlink" Target="https://drive.google.com/file/d/1p0l6AyViUXK-1HdmZw95BJMOnC2YJCVJ/view?usp=sharing" TargetMode="External"/><Relationship Id="rId4290" Type="http://schemas.openxmlformats.org/officeDocument/2006/relationships/hyperlink" Target="https://drive.google.com/file/d/1NfSln4ZQ9JiBnEynqQIAWyoEqPb5rxx6/view?usp=sharing" TargetMode="External"/><Relationship Id="rId5341" Type="http://schemas.openxmlformats.org/officeDocument/2006/relationships/hyperlink" Target="https://drive.google.com/file/d/1qlh_mzFYRh4JfsRhUkaP5-9-ij9ydzmv/view?usp=sharing" TargetMode="External"/><Relationship Id="rId8497" Type="http://schemas.openxmlformats.org/officeDocument/2006/relationships/hyperlink" Target="https://www.vidio.com/live/19355-bri-super-league?schedule_id=4667498" TargetMode="External"/><Relationship Id="rId9548" Type="http://schemas.openxmlformats.org/officeDocument/2006/relationships/hyperlink" Target="https://drive.google.com/file/d/1bGAtWdCSL-v2iZg1GvRoYwXZwXVqVH3x/view?usp=sharing" TargetMode="External"/><Relationship Id="rId9962" Type="http://schemas.openxmlformats.org/officeDocument/2006/relationships/hyperlink" Target="https://drive.google.com/drive/folders/1fbGMh92LyF7w8A9LQP551mWGYISuE0GW?usp=drive_link" TargetMode="External"/><Relationship Id="rId11478" Type="http://schemas.openxmlformats.org/officeDocument/2006/relationships/hyperlink" Target="https://drive.google.com/file/d/1zzrmrF1Rr92kIpOE1jy9YBLa4Ii0OoIs/view?usp=sharing" TargetMode="External"/><Relationship Id="rId11892" Type="http://schemas.openxmlformats.org/officeDocument/2006/relationships/hyperlink" Target="https://www.vidio.com/live/18250-petronas-malaysia-open-2026-round-of-32-court-2?schedule_id=4831570" TargetMode="External"/><Relationship Id="rId907" Type="http://schemas.openxmlformats.org/officeDocument/2006/relationships/hyperlink" Target="https://drive.google.com/drive/folders/1K6lEj1Nm_p55ghJoBPH7QP-5-UvNZpN9?usp=drive_link" TargetMode="External"/><Relationship Id="rId1537" Type="http://schemas.openxmlformats.org/officeDocument/2006/relationships/hyperlink" Target="https://drive.google.com/file/d/1Ff_lThbHWr3Z7HUD4vK-lRJjFjnrSgXR/view?usp=drive_link" TargetMode="External"/><Relationship Id="rId1951" Type="http://schemas.openxmlformats.org/officeDocument/2006/relationships/hyperlink" Target="https://drive.google.com/file/d/1aJ5lYoIHgyx31YgNwxXPgMvgwqYX9Weh/view?usp=sharing" TargetMode="External"/><Relationship Id="rId7099" Type="http://schemas.openxmlformats.org/officeDocument/2006/relationships/hyperlink" Target="https://drive.google.com/file/d/1MqH0cVfzwgLKkC-loCvBIH0nl3JaRRVQ/view?usp=sharing" TargetMode="External"/><Relationship Id="rId8564" Type="http://schemas.openxmlformats.org/officeDocument/2006/relationships/hyperlink" Target="https://drive.google.com/file/d/15U2k0l9poCePAyITvnOlu9JKbE5EqP1q/view?usp=sharing" TargetMode="External"/><Relationship Id="rId9615" Type="http://schemas.openxmlformats.org/officeDocument/2006/relationships/hyperlink" Target="https://drive.google.com/drive/folders/1XDCeyNGCRsVhB2II4NCII9mFcUZjj0b8" TargetMode="External"/><Relationship Id="rId10494" Type="http://schemas.openxmlformats.org/officeDocument/2006/relationships/hyperlink" Target="https://www.vidio.com/live/20040-top-youth-premier-league-2025-pekan-ke-13?schedule_id=4766513" TargetMode="External"/><Relationship Id="rId11545" Type="http://schemas.openxmlformats.org/officeDocument/2006/relationships/hyperlink" Target="https://drive.google.com/file/d/1S7qOzHg9lSleLc9a9hOgTJ-G-31tK13c/view?usp=sharing" TargetMode="External"/><Relationship Id="rId1604" Type="http://schemas.openxmlformats.org/officeDocument/2006/relationships/hyperlink" Target="https://www.vidio.com/live/19385-bri-super-league?schedule_id=4512874" TargetMode="External"/><Relationship Id="rId4010" Type="http://schemas.openxmlformats.org/officeDocument/2006/relationships/hyperlink" Target="https://drive.google.com/file/d/1fWbNDd9NvhT0FkGeiILk2eoeiru9sueP/view?usp=drive_link" TargetMode="External"/><Relationship Id="rId7166" Type="http://schemas.openxmlformats.org/officeDocument/2006/relationships/hyperlink" Target="https://drive.google.com/file/d/1DNux4glLBnqI-DzUHKvsJVIQIe0fQ_QF/view?usp=sharing" TargetMode="External"/><Relationship Id="rId7580" Type="http://schemas.openxmlformats.org/officeDocument/2006/relationships/hyperlink" Target="https://drive.google.com/file/d/1-vkKCNGBwV4kCCYESBlNEdN5-EFgHNgh/view?usp=sharing" TargetMode="External"/><Relationship Id="rId8217" Type="http://schemas.openxmlformats.org/officeDocument/2006/relationships/hyperlink" Target="https://www.vidio.com/live/19623-national-football-league-2025-26?schedule_id=4660120" TargetMode="External"/><Relationship Id="rId8631" Type="http://schemas.openxmlformats.org/officeDocument/2006/relationships/hyperlink" Target="https://www.vidio.com/live/19542-pegadaian-championship-2025-26?schedule_id=4727624" TargetMode="External"/><Relationship Id="rId10147" Type="http://schemas.openxmlformats.org/officeDocument/2006/relationships/hyperlink" Target="https://drive.google.com/file/d/1OSZMWTyxiDm9iHsLbcrM71tP6aUMSbId/view?usp=sharing" TargetMode="External"/><Relationship Id="rId6182" Type="http://schemas.openxmlformats.org/officeDocument/2006/relationships/hyperlink" Target="https://www.vidio.com/live/19642-uefa-conference-league?schedule_id=4614691" TargetMode="External"/><Relationship Id="rId7233" Type="http://schemas.openxmlformats.org/officeDocument/2006/relationships/hyperlink" Target="https://drive.google.com/file/d/1DrqZzSh0xeOJCwYhh54yMUlWYI17ksVH/view?usp=sharing" TargetMode="External"/><Relationship Id="rId10561" Type="http://schemas.openxmlformats.org/officeDocument/2006/relationships/hyperlink" Target="https://drive.google.com/file/d/1mwNIwrl8HdzDwukgwpe5vPB75cy2bsqw/view?usp=sharing" TargetMode="External"/><Relationship Id="rId11612" Type="http://schemas.openxmlformats.org/officeDocument/2006/relationships/hyperlink" Target="https://drive.google.com/file/d/1M4nNN4BTJbk00iY_HF76OTng6HlTO3hX/view?usp=sharing" TargetMode="External"/><Relationship Id="rId697" Type="http://schemas.openxmlformats.org/officeDocument/2006/relationships/hyperlink" Target="https://drive.google.com/drive/folders/1HnS68TwFo7j1IqkphJM2laI71LEATjt1?usp=drive_link" TargetMode="External"/><Relationship Id="rId2378" Type="http://schemas.openxmlformats.org/officeDocument/2006/relationships/hyperlink" Target="https://drive.google.com/file/d/1UqkKZGq57JdK_4iyfoc0ze1Msenrl4Uz/view?usp=sharing" TargetMode="External"/><Relationship Id="rId3429" Type="http://schemas.openxmlformats.org/officeDocument/2006/relationships/hyperlink" Target="https://drive.google.com/file/d/1GSwKHslwonujuM80aZytmfNuYLAOcfr-/view?usp=drive_link" TargetMode="External"/><Relationship Id="rId3776" Type="http://schemas.openxmlformats.org/officeDocument/2006/relationships/hyperlink" Target="https://drive.google.com/file/d/1K7MMwIZ7chhh0cgZSfeZ6zrVmQg6UZvh/view?usp=sharing" TargetMode="External"/><Relationship Id="rId4827" Type="http://schemas.openxmlformats.org/officeDocument/2006/relationships/hyperlink" Target="https://thumbor.prod.vidiocdn.com/y_4vpKdnV1KXlqM2YOm6tklmnfg=/filters:quality(70)/vidio-media-production/uploads/image/source/52631/6b522c.png" TargetMode="External"/><Relationship Id="rId10214" Type="http://schemas.openxmlformats.org/officeDocument/2006/relationships/hyperlink" Target="https://www.vidio.com/live/19431-uim-f1h2o-world-champion-2025?schedule_id=4783413" TargetMode="External"/><Relationship Id="rId2792" Type="http://schemas.openxmlformats.org/officeDocument/2006/relationships/hyperlink" Target="https://drive.google.com/drive/folders/1bq3gyrmZ9JDYNLa_KMFXAjwEBni9okk1?usp=drive_link" TargetMode="External"/><Relationship Id="rId3843" Type="http://schemas.openxmlformats.org/officeDocument/2006/relationships/hyperlink" Target="https://drive.google.com/drive/folders/1Byxxj3E7_jxZcdKFpLNV18rY17cGXEiV" TargetMode="External"/><Relationship Id="rId6999" Type="http://schemas.openxmlformats.org/officeDocument/2006/relationships/hyperlink" Target="https://www.vidio.com/live/19543-pegadaian-championship-2025-26?schedule_id=4602007" TargetMode="External"/><Relationship Id="rId7300" Type="http://schemas.openxmlformats.org/officeDocument/2006/relationships/hyperlink" Target="https://drive.google.com/file/d/1cZFr8UrqwOH0qgJOFLajrIAiIdWXhmit/view?usp=sharing" TargetMode="External"/><Relationship Id="rId9058" Type="http://schemas.openxmlformats.org/officeDocument/2006/relationships/hyperlink" Target="https://www.vidio.com/live/19738-turkish-women-s-volleyball-league?schedule_id=4739852" TargetMode="External"/><Relationship Id="rId12386" Type="http://schemas.openxmlformats.org/officeDocument/2006/relationships/hyperlink" Target="https://drive.google.com/file/d/1aerik-EGVX1bP7WoYaM_AMSCFqH9d2Jz/view?usp=sharing" TargetMode="External"/><Relationship Id="rId764" Type="http://schemas.openxmlformats.org/officeDocument/2006/relationships/hyperlink" Target="https://drive.google.com/drive/folders/1uhJs0XWrw5MpjvNxq26-eXCSMR0UWHi-?usp=drive_link" TargetMode="External"/><Relationship Id="rId1394" Type="http://schemas.openxmlformats.org/officeDocument/2006/relationships/hyperlink" Target="https://3.basecamp.com/4902751/buckets/36763424/card_tables/cards/8967070160" TargetMode="External"/><Relationship Id="rId2445" Type="http://schemas.openxmlformats.org/officeDocument/2006/relationships/hyperlink" Target="https://drive.google.com/file/d/1ZtbyHgJZ9zrzGaf1CLCl4GniwiQm4VrH/view?usp=sharing" TargetMode="External"/><Relationship Id="rId3910" Type="http://schemas.openxmlformats.org/officeDocument/2006/relationships/hyperlink" Target="https://www.vidio.com/live/18012-uefa-conference-league?schedule_id=4527606" TargetMode="External"/><Relationship Id="rId9472" Type="http://schemas.openxmlformats.org/officeDocument/2006/relationships/hyperlink" Target="https://drive.google.com/file/d/1i9w6GHZuQDuGdV1Bq2LVVMipTLw4v_yZ/view?usp=sharing" TargetMode="External"/><Relationship Id="rId12039" Type="http://schemas.openxmlformats.org/officeDocument/2006/relationships/hyperlink" Target="https://drive.google.com/drive/folders/10yZ6W25MsH1Gazyf6erLQ6feN5lXYViD" TargetMode="External"/><Relationship Id="rId12453" Type="http://schemas.openxmlformats.org/officeDocument/2006/relationships/hyperlink" Target="https://www.vidio.com/live/18249-petronas-malaysia-open-2026-semifinals?schedule_id=4835426" TargetMode="External"/><Relationship Id="rId417" Type="http://schemas.openxmlformats.org/officeDocument/2006/relationships/hyperlink" Target="https://drive.google.com/drive/folders/11zcLCxtIDNFOFz7sgP0RjkZ7RTHC4707?usp=drive_link" TargetMode="External"/><Relationship Id="rId831" Type="http://schemas.openxmlformats.org/officeDocument/2006/relationships/hyperlink" Target="https://drive.google.com/file/d/1lQ1pL-k5-NG1jnLfYM1D0cyujx_8oHnm/view?usp=sharing" TargetMode="External"/><Relationship Id="rId1047" Type="http://schemas.openxmlformats.org/officeDocument/2006/relationships/hyperlink" Target="https://drive.google.com/file/d/1WEqhDyCWd7Q1lpmqz7Ad-1eSif0s91CL/view?usp=sharing" TargetMode="External"/><Relationship Id="rId1461" Type="http://schemas.openxmlformats.org/officeDocument/2006/relationships/hyperlink" Target="https://drive.google.com/file/d/1q0H1WO4GmCVbTdfrgBIHnEDeZ98dBEQs/view?usp=sharing" TargetMode="External"/><Relationship Id="rId2512" Type="http://schemas.openxmlformats.org/officeDocument/2006/relationships/hyperlink" Target="https://drive.google.com/file/d/10jn1_r-vUeWpY_hW3UZKgocO0xs7W_gQ/view?usp=drive_link" TargetMode="External"/><Relationship Id="rId5668" Type="http://schemas.openxmlformats.org/officeDocument/2006/relationships/hyperlink" Target="https://drive.google.com/drive/folders/1-WpySRsHniiRfG-sqP5sUW7axz1ecr9h?usp=drive_link" TargetMode="External"/><Relationship Id="rId6719" Type="http://schemas.openxmlformats.org/officeDocument/2006/relationships/hyperlink" Target="https://drive.google.com/drive/folders/1SFLjbumMEXtPmSrpnsbs8UvxuMlbfhsV?usp=drive_link" TargetMode="External"/><Relationship Id="rId8074" Type="http://schemas.openxmlformats.org/officeDocument/2006/relationships/hyperlink" Target="https://drive.google.com/drive/folders/10kjndzNuhAMWdTMs_l_jk8B84L4z3b2d?usp=drive_link" TargetMode="External"/><Relationship Id="rId9125" Type="http://schemas.openxmlformats.org/officeDocument/2006/relationships/hyperlink" Target="https://drive.google.com/file/d/1OXm2B6lZvL2y5VusukzI_vTXS5lypsPK/view?usp=sharing" TargetMode="External"/><Relationship Id="rId11055" Type="http://schemas.openxmlformats.org/officeDocument/2006/relationships/hyperlink" Target="https://drive.google.com/file/d/1aBnFrejLlFvE6jKdaZb5KHT3O6DagSwj/view?usp=sharing" TargetMode="External"/><Relationship Id="rId12106" Type="http://schemas.openxmlformats.org/officeDocument/2006/relationships/hyperlink" Target="https://drive.google.com/file/d/1xXRyTpjraFbbrHD2OOrzfOJmKS83JG2b/view?usp=sharing" TargetMode="External"/><Relationship Id="rId1114" Type="http://schemas.openxmlformats.org/officeDocument/2006/relationships/hyperlink" Target="https://drive.google.com/drive/folders/1y3nU3WsTvg3vjCH3bMT77Ub6visP5cN6?usp=drive_link" TargetMode="External"/><Relationship Id="rId4684" Type="http://schemas.openxmlformats.org/officeDocument/2006/relationships/hyperlink" Target="https://drive.google.com/file/d/1qyHtTinFNX8K0mSLaihrETgr8w_GO6pE/view?usp=sharing" TargetMode="External"/><Relationship Id="rId5735" Type="http://schemas.openxmlformats.org/officeDocument/2006/relationships/hyperlink" Target="https://drive.google.com/file/d/1f0B_vu4QT-H2B0w5J9-7bhtmHHhFZyjg/view?usp=drive_link" TargetMode="External"/><Relationship Id="rId7090" Type="http://schemas.openxmlformats.org/officeDocument/2006/relationships/hyperlink" Target="https://drive.google.com/file/d/175c33WpBwUiVtgdy9-yB3bB9jji78TUi/view?usp=sharing" TargetMode="External"/><Relationship Id="rId8141" Type="http://schemas.openxmlformats.org/officeDocument/2006/relationships/hyperlink" Target="https://drive.google.com/file/d/1RH9gZVB1ZpaBJN-l6sVP_KHBLBkhunhQ/view?usp=sharing" TargetMode="External"/><Relationship Id="rId10071" Type="http://schemas.openxmlformats.org/officeDocument/2006/relationships/hyperlink" Target="https://drive.google.com/drive/folders/1xyYH9BxxPHKzmKTRHOphxdSr6FFDVEr7?usp=drive_link" TargetMode="External"/><Relationship Id="rId11122" Type="http://schemas.openxmlformats.org/officeDocument/2006/relationships/hyperlink" Target="https://thumbor.prod.vidiocdn.com/mVk2u88WQBYr0RV2NyWj1tk_ONM=/filters:quality(70)/vidio-media-production/uploads/image/source/53147/f12c96.png" TargetMode="External"/><Relationship Id="rId3286" Type="http://schemas.openxmlformats.org/officeDocument/2006/relationships/hyperlink" Target="https://drive.google.com/file/d/1oQdBqGNIKLdzj4jl6wgAPah_fvVHDp8j/view?usp=sharing" TargetMode="External"/><Relationship Id="rId4337" Type="http://schemas.openxmlformats.org/officeDocument/2006/relationships/hyperlink" Target="https://drive.google.com/file/d/1recsG-KCJZKlh2OAdbEF5coVDFfIMbhj/view?usp=sharing" TargetMode="External"/><Relationship Id="rId3353" Type="http://schemas.openxmlformats.org/officeDocument/2006/relationships/hyperlink" Target="https://drive.google.com/file/d/10pVXcGNP_afc5gPYJerCq_qmKuOjyQzM/view?usp=drive_link" TargetMode="External"/><Relationship Id="rId4751" Type="http://schemas.openxmlformats.org/officeDocument/2006/relationships/hyperlink" Target="https://thumbor.prod.vidiocdn.com/HEQNcjWKIL9HbkFB1pLmSAjFVEs=/filters:quality(70)/vidio-media-production/uploads/image/source/52147/303f83.png" TargetMode="External"/><Relationship Id="rId5802" Type="http://schemas.openxmlformats.org/officeDocument/2006/relationships/hyperlink" Target="https://drive.google.com/file/d/14qhLfFkgJpwdaHacGqtCuO0oFId0Puu0/view?usp=sharing" TargetMode="External"/><Relationship Id="rId8958" Type="http://schemas.openxmlformats.org/officeDocument/2006/relationships/hyperlink" Target="https://drive.google.com/file/d/1opncwRXL4xb7blYmzXTnPRYxSJ0iO2lf/view?usp=sharing" TargetMode="External"/><Relationship Id="rId10888" Type="http://schemas.openxmlformats.org/officeDocument/2006/relationships/hyperlink" Target="https://drive.google.com/file/d/18tEbasgwq_MXgr1JckS27JEejHZzKQjh/view?usp=sharing" TargetMode="External"/><Relationship Id="rId11939" Type="http://schemas.openxmlformats.org/officeDocument/2006/relationships/hyperlink" Target="https://drive.google.com/file/d/1I2QL-h1CAeZERs7B5O4XbiSnpFeGO68R/view?usp=sharing" TargetMode="External"/><Relationship Id="rId274" Type="http://schemas.openxmlformats.org/officeDocument/2006/relationships/hyperlink" Target="https://drive.google.com/drive/folders/1keBgYGAW2V9gleWyOBlIJnrRzNas7sPg?usp=drive_link" TargetMode="External"/><Relationship Id="rId3006" Type="http://schemas.openxmlformats.org/officeDocument/2006/relationships/hyperlink" Target="https://drive.google.com/drive/folders/1hfcarZQQTW9iAZReqcSurlYy_boiq7jw?usp=drive_link" TargetMode="External"/><Relationship Id="rId4404" Type="http://schemas.openxmlformats.org/officeDocument/2006/relationships/hyperlink" Target="https://drive.google.com/drive/folders/1p-BBE4Q7WYsjaA6zRP-zbxNxOInOSBYU" TargetMode="External"/><Relationship Id="rId7974" Type="http://schemas.openxmlformats.org/officeDocument/2006/relationships/hyperlink" Target="https://drive.google.com/drive/folders/18lmvOsto8L9VpBkUM71oGHxjChDZxjHD" TargetMode="External"/><Relationship Id="rId10955" Type="http://schemas.openxmlformats.org/officeDocument/2006/relationships/hyperlink" Target="https://drive.google.com/drive/folders/1wItNzZgKeZUL9zGbCQABqXKfKivIb5dZ" TargetMode="External"/><Relationship Id="rId3420" Type="http://schemas.openxmlformats.org/officeDocument/2006/relationships/hyperlink" Target="https://drive.google.com/drive/folders/1JbpposkRJqcawvXgdz1cNbDQhhNLcGa1?usp=drive_link" TargetMode="External"/><Relationship Id="rId6576" Type="http://schemas.openxmlformats.org/officeDocument/2006/relationships/hyperlink" Target="https://drive.google.com/drive/folders/1L90jR54lBkLcICyTaz6T_nEKHIqvKwcz?usp=drive_link" TargetMode="External"/><Relationship Id="rId6990" Type="http://schemas.openxmlformats.org/officeDocument/2006/relationships/hyperlink" Target="https://drive.google.com/file/d/1JGSSzp2DmPUUF-u-fxKf1gdn18exGjXn/view?usp=sharing" TargetMode="External"/><Relationship Id="rId7627" Type="http://schemas.openxmlformats.org/officeDocument/2006/relationships/hyperlink" Target="https://drive.google.com/drive/folders/1lvkckdBqUAhVpQwi7ozZZ7GmOeTwOnF-?usp=drive_link" TargetMode="External"/><Relationship Id="rId10608" Type="http://schemas.openxmlformats.org/officeDocument/2006/relationships/hyperlink" Target="https://drive.google.com/file/d/1bGAtWdCSL-v2iZg1GvRoYwXZwXVqVH3x/view?usp=sharing" TargetMode="External"/><Relationship Id="rId341" Type="http://schemas.openxmlformats.org/officeDocument/2006/relationships/hyperlink" Target="https://drive.google.com/file/d/1gH7hNsvEAksge1CQdhPMiaOLWFgpTtVA/view?usp=sharing" TargetMode="External"/><Relationship Id="rId2022" Type="http://schemas.openxmlformats.org/officeDocument/2006/relationships/hyperlink" Target="https://drive.google.com/drive/folders/1FgQomkPL3aq477Uy9GxWKenK60sBgbi9" TargetMode="External"/><Relationship Id="rId5178" Type="http://schemas.openxmlformats.org/officeDocument/2006/relationships/hyperlink" Target="https://drive.google.com/drive/u/0/folders/1BS6AYdjwjNjIb6nywysvwlkkgRYIoFFJ" TargetMode="External"/><Relationship Id="rId5592" Type="http://schemas.openxmlformats.org/officeDocument/2006/relationships/hyperlink" Target="https://drive.google.com/file/d/1_HpID0AP9JlZb3_fEtc9KD6Yd1C190wg/view?usp=sharing" TargetMode="External"/><Relationship Id="rId6229" Type="http://schemas.openxmlformats.org/officeDocument/2006/relationships/hyperlink" Target="https://drive.google.com/drive/folders/1WJmeHSYZKgyKmFbriDuor1TgQ_6szMZT" TargetMode="External"/><Relationship Id="rId6643" Type="http://schemas.openxmlformats.org/officeDocument/2006/relationships/hyperlink" Target="https://drive.google.com/drive/folders/1XeJtTOdOlC18cJy46bBiG6-vjWVQWZ6-?usp=drive_link" TargetMode="External"/><Relationship Id="rId9799" Type="http://schemas.openxmlformats.org/officeDocument/2006/relationships/hyperlink" Target="https://drive.google.com/file/d/1bGAtWdCSL-v2iZg1GvRoYwXZwXVqVH3x/view?usp=sharing" TargetMode="External"/><Relationship Id="rId12030" Type="http://schemas.openxmlformats.org/officeDocument/2006/relationships/hyperlink" Target="https://www.vidio.com/live/18249-petronas-malaysia-open-2026-round-of-16-court-1?schedule_id=4832349" TargetMode="External"/><Relationship Id="rId1788" Type="http://schemas.openxmlformats.org/officeDocument/2006/relationships/hyperlink" Target="https://drive.google.com/file/d/10P63MiM17kL6KpcZP4WB7bRslWWrOX1l/view?usp=drive_link" TargetMode="External"/><Relationship Id="rId2839" Type="http://schemas.openxmlformats.org/officeDocument/2006/relationships/hyperlink" Target="https://drive.google.com/file/d/1VVOZyNs7d6Am5bjTyPZceGeCCRmmF5ac/view?usp=sharing" TargetMode="External"/><Relationship Id="rId4194" Type="http://schemas.openxmlformats.org/officeDocument/2006/relationships/hyperlink" Target="https://drive.google.com/file/d/1e7EUkzEvUipr-hKIv0cFosDmD2cEW9g3/view?usp=sharing" TargetMode="External"/><Relationship Id="rId5245" Type="http://schemas.openxmlformats.org/officeDocument/2006/relationships/hyperlink" Target="https://drive.google.com/drive/folders/1R00MiiNWcVQW4-ZvDyXEBWU6VXa9SoaC" TargetMode="External"/><Relationship Id="rId6710" Type="http://schemas.openxmlformats.org/officeDocument/2006/relationships/hyperlink" Target="https://drive.google.com/file/d/1K3rTNeEInjBQixjl3Ummg0n5UUJeF-SN/view?usp=sharing" TargetMode="External"/><Relationship Id="rId9866" Type="http://schemas.openxmlformats.org/officeDocument/2006/relationships/hyperlink" Target="https://www.vidio.com/live/19922-top-soccer-championship-2025-u-14-u-15?schedule_id=4731885" TargetMode="External"/><Relationship Id="rId4261" Type="http://schemas.openxmlformats.org/officeDocument/2006/relationships/hyperlink" Target="https://drive.google.com/drive/folders/1fHcAmXbN0bND8WCIQLlgOFUBXmcuD6DX?usp=drive_link" TargetMode="External"/><Relationship Id="rId5312" Type="http://schemas.openxmlformats.org/officeDocument/2006/relationships/hyperlink" Target="https://drive.google.com/file/d/1L7wgI14xiFrlAeXNsaadKAGfj8HkPo2P/view?usp=sharing" TargetMode="External"/><Relationship Id="rId8468" Type="http://schemas.openxmlformats.org/officeDocument/2006/relationships/hyperlink" Target="https://drive.google.com/file/d/1runhV2dvwiKgjDXkA9USWNRPBd_dBX5K/view?usp=sharing" TargetMode="External"/><Relationship Id="rId9519" Type="http://schemas.openxmlformats.org/officeDocument/2006/relationships/hyperlink" Target="https://www.vidio.com/live/19623-national-football-league-2025-26?schedule_id=4733429" TargetMode="External"/><Relationship Id="rId10398" Type="http://schemas.openxmlformats.org/officeDocument/2006/relationships/hyperlink" Target="https://drive.google.com/drive/folders/18A_eEUtosuFMOxV3uUIqXpMxPGtHT1w8?usp=sharing" TargetMode="External"/><Relationship Id="rId11796" Type="http://schemas.openxmlformats.org/officeDocument/2006/relationships/hyperlink" Target="https://drive.google.com/file/d/1dHtE4R6NvKLH1pAlLepns0ZPnoh33hSc/view?usp=drive_link" TargetMode="External"/><Relationship Id="rId1508" Type="http://schemas.openxmlformats.org/officeDocument/2006/relationships/hyperlink" Target="https://drive.google.com/file/d/18te4pCcNSieTtTfL81AQMTAy9UdaOtH4/view?usp=sharing" TargetMode="External"/><Relationship Id="rId1855" Type="http://schemas.openxmlformats.org/officeDocument/2006/relationships/hyperlink" Target="https://drive.google.com/file/d/15ERIx1a63IlWAgRNUKuiN_Bh-m5lKr9f/view?usp=drive_link" TargetMode="External"/><Relationship Id="rId2906" Type="http://schemas.openxmlformats.org/officeDocument/2006/relationships/hyperlink" Target="https://www.vidio.com/live/6317-bein-3?schedule_id=4704457" TargetMode="External"/><Relationship Id="rId7484" Type="http://schemas.openxmlformats.org/officeDocument/2006/relationships/hyperlink" Target="https://drive.google.com/drive/folders/1NepG6XT-FSa8Cs07sX3tPfQWLNpJfAxp" TargetMode="External"/><Relationship Id="rId8535" Type="http://schemas.openxmlformats.org/officeDocument/2006/relationships/hyperlink" Target="https://www.vidio.com/live/19748-national-football-league-2025-26?schedule_id=4672700" TargetMode="External"/><Relationship Id="rId8882" Type="http://schemas.openxmlformats.org/officeDocument/2006/relationships/hyperlink" Target="https://drive.google.com/drive/folders/1W43WZcschOT2lWN0fjg4e0kG0GZxfxZo?usp=drive_link" TargetMode="External"/><Relationship Id="rId9933" Type="http://schemas.openxmlformats.org/officeDocument/2006/relationships/hyperlink" Target="https://drive.google.com/file/d/1qPx7i-FMhPyS9wWNX65qlTJtZAIfxDDf/view?usp=sharing" TargetMode="External"/><Relationship Id="rId11449" Type="http://schemas.openxmlformats.org/officeDocument/2006/relationships/hyperlink" Target="https://www.vidio.com/live/6685-champions-tv-1?schedule_id=4796999" TargetMode="External"/><Relationship Id="rId11863" Type="http://schemas.openxmlformats.org/officeDocument/2006/relationships/hyperlink" Target="https://drive.google.com/drive/folders/1TYXj5i7Ik4SNEitV7mHoBo1u6CAR_kAQ?usp=drive_link" TargetMode="External"/><Relationship Id="rId1922" Type="http://schemas.openxmlformats.org/officeDocument/2006/relationships/hyperlink" Target="https://drive.google.com/drive/folders/1LGi9dLurk_Jo_59rg1c1WXWuzIKHgb6W" TargetMode="External"/><Relationship Id="rId6086" Type="http://schemas.openxmlformats.org/officeDocument/2006/relationships/hyperlink" Target="https://drive.google.com/file/d/1yyfr8dU4HOgH7ranIAYrte0_sJlHKvpo/view?usp=sharing" TargetMode="External"/><Relationship Id="rId7137" Type="http://schemas.openxmlformats.org/officeDocument/2006/relationships/hyperlink" Target="https://drive.google.com/file/d/1hnbCl1KA7oY6KAoHlTdT-HPMU0ixvvjV/view?usp=sharing" TargetMode="External"/><Relationship Id="rId10465" Type="http://schemas.openxmlformats.org/officeDocument/2006/relationships/hyperlink" Target="https://drive.google.com/drive/folders/1NepG6XT-FSa8Cs07sX3tPfQWLNpJfAxp" TargetMode="External"/><Relationship Id="rId11516" Type="http://schemas.openxmlformats.org/officeDocument/2006/relationships/hyperlink" Target="https://thumbor.prod.vidiocdn.com/t-68Un3472MOv7HIkyvxEHcWQ0M=/filters:quality(70)/vidio-media-production/uploads/image/source/53062/69ef06.png" TargetMode="External"/><Relationship Id="rId11930" Type="http://schemas.openxmlformats.org/officeDocument/2006/relationships/hyperlink" Target="https://drive.google.com/file/d/1I2QL-h1CAeZERs7B5O4XbiSnpFeGO68R/view?usp=sharing" TargetMode="External"/><Relationship Id="rId7551" Type="http://schemas.openxmlformats.org/officeDocument/2006/relationships/hyperlink" Target="https://drive.google.com/file/d/19k7xIFCSzDDo6bTIQgHhVsDaAe5FCwrH/view?usp=sharing" TargetMode="External"/><Relationship Id="rId8602" Type="http://schemas.openxmlformats.org/officeDocument/2006/relationships/hyperlink" Target="https://drive.google.com/drive/folders/1sCNwkVPXWZtEkACCwDCMcmT3RdPtFZpm" TargetMode="External"/><Relationship Id="rId10118" Type="http://schemas.openxmlformats.org/officeDocument/2006/relationships/hyperlink" Target="https://www.vidio.com/live/19996?schedule_id=4743073" TargetMode="External"/><Relationship Id="rId10532" Type="http://schemas.openxmlformats.org/officeDocument/2006/relationships/hyperlink" Target="https://drive.google.com/file/d/17Sw0tqvdooWbmGr0PPbZcS66fKtjSBgj/view?usp=drive_link" TargetMode="External"/><Relationship Id="rId2696" Type="http://schemas.openxmlformats.org/officeDocument/2006/relationships/hyperlink" Target="https://drive.google.com/drive/folders/1G49hUmdqtr84Zxgp7aQdUTKPb3306WtS?usp=drive_link" TargetMode="External"/><Relationship Id="rId3747" Type="http://schemas.openxmlformats.org/officeDocument/2006/relationships/hyperlink" Target="https://drive.google.com/file/d/1kRgCe5u25NIP5Mwws4ei7K2dii9W5YhE/view?usp=drive_link" TargetMode="External"/><Relationship Id="rId6153" Type="http://schemas.openxmlformats.org/officeDocument/2006/relationships/hyperlink" Target="https://drive.google.com/file/d/1FQSsvmnTvC5SBTCyow8Y0TRCtwW9Vu2J/view?usp=sharing" TargetMode="External"/><Relationship Id="rId7204" Type="http://schemas.openxmlformats.org/officeDocument/2006/relationships/hyperlink" Target="https://drive.google.com/drive/folders/1NepG6XT-FSa8Cs07sX3tPfQWLNpJfAxp" TargetMode="External"/><Relationship Id="rId668" Type="http://schemas.openxmlformats.org/officeDocument/2006/relationships/hyperlink" Target="https://drive.google.com/drive/folders/1ds9PMo8hFSwSpLmEp1JSAss9vLnn8zkw" TargetMode="External"/><Relationship Id="rId1298" Type="http://schemas.openxmlformats.org/officeDocument/2006/relationships/hyperlink" Target="https://drive.google.com/file/d/1p-6tBPvrVXDN8xxZJFlB1Exo5bnVf6kL/view?usp=sharing" TargetMode="External"/><Relationship Id="rId2349" Type="http://schemas.openxmlformats.org/officeDocument/2006/relationships/hyperlink" Target="https://drive.google.com/file/d/1YFjaEHqh0AknyrTKqdqiX69N86g4_HKh/view?usp=sharing" TargetMode="External"/><Relationship Id="rId2763" Type="http://schemas.openxmlformats.org/officeDocument/2006/relationships/hyperlink" Target="https://drive.google.com/drive/folders/1Dy4Zpa4afP6c-PxV3ajOwN687bfDHLoD?usp=drive_link" TargetMode="External"/><Relationship Id="rId3814" Type="http://schemas.openxmlformats.org/officeDocument/2006/relationships/hyperlink" Target="https://drive.google.com/drive/folders/1DCoBAP1xzHzxRSXIvHXF7JVWg6Me0YhD?usp=sharing" TargetMode="External"/><Relationship Id="rId6220" Type="http://schemas.openxmlformats.org/officeDocument/2006/relationships/hyperlink" Target="https://drive.google.com/file/d/111hQPDdHJHzQ8NaqvJKWTUa3SQZo6UVF/view?usp=sharing" TargetMode="External"/><Relationship Id="rId9376" Type="http://schemas.openxmlformats.org/officeDocument/2006/relationships/hyperlink" Target="https://drive.google.com/drive/folders/1wh7GSmW2nTIEgYMBoJNhLa7tuXBs1eAB" TargetMode="External"/><Relationship Id="rId9790" Type="http://schemas.openxmlformats.org/officeDocument/2006/relationships/hyperlink" Target="https://drive.google.com/file/d/1bGAtWdCSL-v2iZg1GvRoYwXZwXVqVH3x/view?usp=sharing" TargetMode="External"/><Relationship Id="rId12357" Type="http://schemas.openxmlformats.org/officeDocument/2006/relationships/hyperlink" Target="https://drive.google.com/file/d/1QU7f_kJOwoVWtAMjp7ybswNoG2DihFYJ/view?usp=sharing" TargetMode="External"/><Relationship Id="rId735" Type="http://schemas.openxmlformats.org/officeDocument/2006/relationships/hyperlink" Target="https://drive.google.com/file/d/1PLupnITOl7D_1RrvbSbaGsgeFkpvSib3/view?usp=sharing" TargetMode="External"/><Relationship Id="rId1365" Type="http://schemas.openxmlformats.org/officeDocument/2006/relationships/hyperlink" Target="https://drive.google.com/drive/folders/1Nwx_u8jmnq_TFppaPNR-UGjVqC0RGxeo?usp=drive_link" TargetMode="External"/><Relationship Id="rId2416" Type="http://schemas.openxmlformats.org/officeDocument/2006/relationships/hyperlink" Target="https://drive.google.com/drive/folders/1JwP4lJnLGyO-yaAeCCMSvIFrc0L0M03F?usp=drive_link" TargetMode="External"/><Relationship Id="rId8392" Type="http://schemas.openxmlformats.org/officeDocument/2006/relationships/hyperlink" Target="https://drive.google.com/drive/folders/1_nnbG4CokN3IaghoCTL53MZe2hoAzsO-?usp=drive_link" TargetMode="External"/><Relationship Id="rId9029" Type="http://schemas.openxmlformats.org/officeDocument/2006/relationships/hyperlink" Target="https://drive.google.com/file/d/1UVrMLE0nzWMrLpgKS6XKAncleCwgHz8-/view?usp=sharing" TargetMode="External"/><Relationship Id="rId9443" Type="http://schemas.openxmlformats.org/officeDocument/2006/relationships/hyperlink" Target="https://thumbor.prod.vidiocdn.com/w1iT5kfus1dArq8NTRVf36mmd0A=/filters:quality(70)/vidio-media-production/uploads/image/source/52976/15bfb8.png" TargetMode="External"/><Relationship Id="rId11373" Type="http://schemas.openxmlformats.org/officeDocument/2006/relationships/hyperlink" Target="https://drive.google.com/file/d/1DNux4glLBnqI-DzUHKvsJVIQIe0fQ_QF/view?usp=drive_link" TargetMode="External"/><Relationship Id="rId1018" Type="http://schemas.openxmlformats.org/officeDocument/2006/relationships/hyperlink" Target="https://drive.google.com/file/d/1VCC6YM0Wfci_vLOybxoAWAicUPqzPr_F/view?usp=sharing" TargetMode="External"/><Relationship Id="rId1432" Type="http://schemas.openxmlformats.org/officeDocument/2006/relationships/hyperlink" Target="https://drive.google.com/drive/folders/1yfBuzh-jmFihBefXWBdkikllGGMuosSj?usp=drive_link" TargetMode="External"/><Relationship Id="rId2830" Type="http://schemas.openxmlformats.org/officeDocument/2006/relationships/hyperlink" Target="https://drive.google.com/file/d/1OY6Rx4oUQEFGZfcBk-49NVCfvaanIZRc/view?usp=sharing" TargetMode="External"/><Relationship Id="rId4588" Type="http://schemas.openxmlformats.org/officeDocument/2006/relationships/hyperlink" Target="https://www.vidio.com/live/19404-serie-a?schedule_id=4740999" TargetMode="External"/><Relationship Id="rId5639" Type="http://schemas.openxmlformats.org/officeDocument/2006/relationships/hyperlink" Target="https://drive.google.com/file/d/1U4GjmM90kub3bYsz3cY78wfUml6FH-lX/view?usp=sharing" TargetMode="External"/><Relationship Id="rId5986" Type="http://schemas.openxmlformats.org/officeDocument/2006/relationships/hyperlink" Target="https://www.vidio.com/live/6317-bein-3?schedule_id=4773302" TargetMode="External"/><Relationship Id="rId8045" Type="http://schemas.openxmlformats.org/officeDocument/2006/relationships/hyperlink" Target="https://drive.google.com/file/d/1P2RR9hRIuQKDMPLk90WQdFK-BJexG0UC/view?usp=sharing" TargetMode="External"/><Relationship Id="rId11026" Type="http://schemas.openxmlformats.org/officeDocument/2006/relationships/hyperlink" Target="https://www.vidio.com/live/20251-fa-cup-2025-26?schedule_id=4834090" TargetMode="External"/><Relationship Id="rId12424" Type="http://schemas.openxmlformats.org/officeDocument/2006/relationships/hyperlink" Target="https://drive.google.com/drive/folders/1tni-eURfEFKRVxfoCHzmLE1mqpTQd2nq" TargetMode="External"/><Relationship Id="rId71" Type="http://schemas.openxmlformats.org/officeDocument/2006/relationships/hyperlink" Target="https://drive.google.com/file/d/14XCF4RqPFI3y1Ah-vqmkISKKaR6CIDmY/view?usp=drive_link" TargetMode="External"/><Relationship Id="rId802" Type="http://schemas.openxmlformats.org/officeDocument/2006/relationships/hyperlink" Target="https://drive.google.com/file/d/1u3XPtNKL0tMCe1GQirCC7igUVWdV_uGd/view?usp=sharing" TargetMode="External"/><Relationship Id="rId7061" Type="http://schemas.openxmlformats.org/officeDocument/2006/relationships/hyperlink" Target="https://drive.google.com/file/d/1Sz-Mh-v0kS81qyE0yWsX-PHBZFp9y3kS/view?usp=sharing" TargetMode="External"/><Relationship Id="rId8112" Type="http://schemas.openxmlformats.org/officeDocument/2006/relationships/hyperlink" Target="https://drive.google.com/file/d/1gm4JsKfOKIOFtFOiaNlx7uVYRQChtwkN/view?usp=drive_link" TargetMode="External"/><Relationship Id="rId9510" Type="http://schemas.openxmlformats.org/officeDocument/2006/relationships/hyperlink" Target="https://drive.google.com/file/d/1dYulw0TjrKcBX6W7e2WaF1NiiAyQpd7H/view?usp=sharing" TargetMode="External"/><Relationship Id="rId11440" Type="http://schemas.openxmlformats.org/officeDocument/2006/relationships/hyperlink" Target="https://drive.google.com/file/d/1_HFq8MOoppJCzo4J5dpuUDP_ZQCy_AEp/view?usp=sharing" TargetMode="External"/><Relationship Id="rId4655" Type="http://schemas.openxmlformats.org/officeDocument/2006/relationships/hyperlink" Target="https://drive.google.com/file/d/1fxUnDmLqju3da3q1qsfCylndDDE3ocCS/view?usp=sharing" TargetMode="External"/><Relationship Id="rId5706" Type="http://schemas.openxmlformats.org/officeDocument/2006/relationships/hyperlink" Target="https://drive.google.com/file/d/1wJ6pvVgcNMH1flKXTuvgB5OXyLUy88WQ/view?usp=sharing" TargetMode="External"/><Relationship Id="rId10042" Type="http://schemas.openxmlformats.org/officeDocument/2006/relationships/hyperlink" Target="https://drive.google.com/file/d/1xkU8rOzY44lA0KIy3svNfhXNWh9awYvc/view?usp=sharing" TargetMode="External"/><Relationship Id="rId178" Type="http://schemas.openxmlformats.org/officeDocument/2006/relationships/hyperlink" Target="https://www.vidio.com/live/9182-champions-tv-5?schedule_id=4525588" TargetMode="External"/><Relationship Id="rId3257" Type="http://schemas.openxmlformats.org/officeDocument/2006/relationships/hyperlink" Target="https://thumbor.prod.vidiocdn.com/ixvPtMmplo4NjcY1EzM2HwGiBQ4=/filters:quality(70)/vidio-media-production/uploads/image/source/53067/cc85e7.png" TargetMode="External"/><Relationship Id="rId3671" Type="http://schemas.openxmlformats.org/officeDocument/2006/relationships/hyperlink" Target="https://drive.google.com/drive/folders/1qmEicWMRHVoJ0WMawxQAMx08hP07f-wd?usp=drive_link" TargetMode="External"/><Relationship Id="rId4308" Type="http://schemas.openxmlformats.org/officeDocument/2006/relationships/hyperlink" Target="https://drive.google.com/file/d/17C9uvg0Tn3elXGCuPHePOYdCLyXOqshQ/view?usp=sharing" TargetMode="External"/><Relationship Id="rId4722" Type="http://schemas.openxmlformats.org/officeDocument/2006/relationships/hyperlink" Target="https://thumbor.prod.vidiocdn.com/npCKM9zFITYTMq7XGkUU_7X_pls=/filters:quality(70)/vidio-media-production/uploads/image/source/52026/20613b.png" TargetMode="External"/><Relationship Id="rId7878" Type="http://schemas.openxmlformats.org/officeDocument/2006/relationships/hyperlink" Target="https://drive.google.com/file/d/1iJHvdgVjV1NelosXr8-QJo8qWWqJ4gDz/view?usp=sharing" TargetMode="External"/><Relationship Id="rId8929" Type="http://schemas.openxmlformats.org/officeDocument/2006/relationships/hyperlink" Target="https://drive.google.com/file/d/1rLWEduZ1DPFMePengI6S6uf3kTKjozXG/view?usp=sharing" TargetMode="External"/><Relationship Id="rId10859" Type="http://schemas.openxmlformats.org/officeDocument/2006/relationships/hyperlink" Target="https://drive.google.com/drive/folders/1ZUR8E65KIw3NfssQ94eV8zxCCv5yvvYH?usp=drive_link" TargetMode="External"/><Relationship Id="rId592" Type="http://schemas.openxmlformats.org/officeDocument/2006/relationships/hyperlink" Target="https://drive.google.com/file/d/1LotVIgKrd6cZixQK3DVyGOsxVxa887b7/view?usp=sharing" TargetMode="External"/><Relationship Id="rId2273" Type="http://schemas.openxmlformats.org/officeDocument/2006/relationships/hyperlink" Target="https://drive.google.com/file/d/1wldI_j_raLTwV1TkUzt2mDF_FxJT2Fil/view?usp=sharing" TargetMode="External"/><Relationship Id="rId3324" Type="http://schemas.openxmlformats.org/officeDocument/2006/relationships/hyperlink" Target="https://www.vidio.com/live/19355-bri-super-league?schedule_id=4503850" TargetMode="External"/><Relationship Id="rId6894" Type="http://schemas.openxmlformats.org/officeDocument/2006/relationships/hyperlink" Target="https://drive.google.com/drive/folders/12LJyrz_fLenTbUbokVBvKZx926rhRUqX?usp=drive_link" TargetMode="External"/><Relationship Id="rId7945" Type="http://schemas.openxmlformats.org/officeDocument/2006/relationships/hyperlink" Target="https://drive.google.com/file/d/1vqlo1CM0sDO2bR_y08AaxsI1dz8ljZZT/view?usp=sharing" TargetMode="External"/><Relationship Id="rId12281" Type="http://schemas.openxmlformats.org/officeDocument/2006/relationships/hyperlink" Target="https://drive.google.com/file/d/17nqJ8YbOWxi4DOQmMA4_VvY1qMuE4tM4/view?usp=drive_link" TargetMode="External"/><Relationship Id="rId245" Type="http://schemas.openxmlformats.org/officeDocument/2006/relationships/hyperlink" Target="https://drive.google.com/drive/folders/1KKW-aIMVwK0y7H902H4DzgY0DEuFdwSO?usp=drive_link" TargetMode="External"/><Relationship Id="rId2340" Type="http://schemas.openxmlformats.org/officeDocument/2006/relationships/hyperlink" Target="https://drive.google.com/drive/folders/18Qmt263mvABXC5HHiDKX3AgCilltGVPi?usp=drive_link" TargetMode="External"/><Relationship Id="rId5496" Type="http://schemas.openxmlformats.org/officeDocument/2006/relationships/hyperlink" Target="https://drive.google.com/drive/u/0/folders/1ys-zgzV3tgsNIZwHVjEHLsvOTy_nx3tc" TargetMode="External"/><Relationship Id="rId6547" Type="http://schemas.openxmlformats.org/officeDocument/2006/relationships/hyperlink" Target="https://drive.google.com/file/d/1rPxmApAbowxHrHnu-OeoaqCj2mS4g49v/view?usp=drive_link" TargetMode="External"/><Relationship Id="rId10926" Type="http://schemas.openxmlformats.org/officeDocument/2006/relationships/hyperlink" Target="https://www.vidio.com/live/18249-hsbc-bwf-world-tour-finals-2025-group-stage-court-1?schedule_id=4783188" TargetMode="External"/><Relationship Id="rId312" Type="http://schemas.openxmlformats.org/officeDocument/2006/relationships/hyperlink" Target="https://drive.google.com/file/d/1emZSbI1dRnJz3DCP5aJqsUNhoLc3RiIj/view?usp=drive_link" TargetMode="External"/><Relationship Id="rId4098" Type="http://schemas.openxmlformats.org/officeDocument/2006/relationships/hyperlink" Target="https://drive.google.com/drive/folders/1gld7hF_Ce_A3oVQk8cmaRf4XidPuBodS?usp=drive_link" TargetMode="External"/><Relationship Id="rId5149" Type="http://schemas.openxmlformats.org/officeDocument/2006/relationships/hyperlink" Target="https://3.basecamp.com/4902751/buckets/36763424/card_tables/cards/9133970737" TargetMode="External"/><Relationship Id="rId5563" Type="http://schemas.openxmlformats.org/officeDocument/2006/relationships/hyperlink" Target="https://drive.google.com/file/d/181VAkxBLCImzUq1FNDtxJMy9fjwOop62/view?usp=sharing" TargetMode="External"/><Relationship Id="rId6961" Type="http://schemas.openxmlformats.org/officeDocument/2006/relationships/hyperlink" Target="https://drive.google.com/file/d/1qr_i9hbjaOI6-Nc3Oqr89hqNuCUqGPvw/view?usp=drive_link" TargetMode="External"/><Relationship Id="rId9020" Type="http://schemas.openxmlformats.org/officeDocument/2006/relationships/hyperlink" Target="https://drive.google.com/file/d/1bWi7C5kUqDMI7SXT8RQo-Tt9zE_IERFm/view?usp=sharing" TargetMode="External"/><Relationship Id="rId12001" Type="http://schemas.openxmlformats.org/officeDocument/2006/relationships/hyperlink" Target="https://drive.google.com/file/d/1B4cBF3qrh1sMXG2gV5jmUKJx_gapQy02/view?usp=sharing" TargetMode="External"/><Relationship Id="rId4165" Type="http://schemas.openxmlformats.org/officeDocument/2006/relationships/hyperlink" Target="https://drive.google.com/file/d/1oQqpJaRm7-wj7GvNHQk5GTFBcOqXVidO/view?usp=drive_link" TargetMode="External"/><Relationship Id="rId5216" Type="http://schemas.openxmlformats.org/officeDocument/2006/relationships/hyperlink" Target="https://drive.google.com/drive/folders/1ZMMUKefRyZ6fQpxtWt7K-E9cY8GVHtSb" TargetMode="External"/><Relationship Id="rId6614" Type="http://schemas.openxmlformats.org/officeDocument/2006/relationships/hyperlink" Target="https://drive.google.com/file/d/1vhEn4CpE8vo1z6hqY7Jf42I5s13bLKGL/view?usp=sharing" TargetMode="External"/><Relationship Id="rId1759" Type="http://schemas.openxmlformats.org/officeDocument/2006/relationships/hyperlink" Target="https://drive.google.com/file/d/14ngMC9CTKYdakA0Ed4nrmoWn8fyCnc64/view?usp=sharing" TargetMode="External"/><Relationship Id="rId3181" Type="http://schemas.openxmlformats.org/officeDocument/2006/relationships/hyperlink" Target="https://drive.google.com/file/d/13LShJ7eEhABntbzWUzqd19PA4K5WyjlF/view?usp=sharing" TargetMode="External"/><Relationship Id="rId5630" Type="http://schemas.openxmlformats.org/officeDocument/2006/relationships/hyperlink" Target="https://www.vidio.com/live/6317-bein-3?schedule_id=4613311" TargetMode="External"/><Relationship Id="rId8786" Type="http://schemas.openxmlformats.org/officeDocument/2006/relationships/hyperlink" Target="https://drive.google.com/drive/folders/1DuOgzyd6ABgMW0v2fY6R2gfyKRE8THBD?usp=drive_link" TargetMode="External"/><Relationship Id="rId9837" Type="http://schemas.openxmlformats.org/officeDocument/2006/relationships/hyperlink" Target="https://drive.google.com/file/d/1bGAtWdCSL-v2iZg1GvRoYwXZwXVqVH3x/view" TargetMode="External"/><Relationship Id="rId11767" Type="http://schemas.openxmlformats.org/officeDocument/2006/relationships/hyperlink" Target="https://www.vidio.com/live/6786-champions-tv-3?schedule_id=4832233" TargetMode="External"/><Relationship Id="rId1826" Type="http://schemas.openxmlformats.org/officeDocument/2006/relationships/hyperlink" Target="https://www.vidio.com/live/19354-bri-super-league?schedule_id=4596519" TargetMode="External"/><Relationship Id="rId4232" Type="http://schemas.openxmlformats.org/officeDocument/2006/relationships/hyperlink" Target="https://drive.google.com/drive/folders/1ZvV_IkTV9f9BOY6RhwnkqwQ-9fji1J_-?usp=drive_link" TargetMode="External"/><Relationship Id="rId7388" Type="http://schemas.openxmlformats.org/officeDocument/2006/relationships/hyperlink" Target="https://drive.google.com/drive/folders/13XlKTmv1meQ6-QQJ36XB3msJW0A3K-Aw?usp=drive_link" TargetMode="External"/><Relationship Id="rId8439" Type="http://schemas.openxmlformats.org/officeDocument/2006/relationships/hyperlink" Target="https://drive.google.com/file/d/1p03t7DJ1OjYksp9QI9QjbmyNVmdkbl5k/view?usp=sharing" TargetMode="External"/><Relationship Id="rId8853" Type="http://schemas.openxmlformats.org/officeDocument/2006/relationships/hyperlink" Target="https://www.vidio.com/live/19671-easl?schedule_id=4779501" TargetMode="External"/><Relationship Id="rId9904" Type="http://schemas.openxmlformats.org/officeDocument/2006/relationships/hyperlink" Target="https://drive.google.com/drive/folders/1GDilir8aRrToiXr3Eqbjy43PgEAaIqir" TargetMode="External"/><Relationship Id="rId10369" Type="http://schemas.openxmlformats.org/officeDocument/2006/relationships/hyperlink" Target="https://www.vidio.com/live/18249-hsbc-bwf-world-tour-finals-2025-semifinals" TargetMode="External"/><Relationship Id="rId10783" Type="http://schemas.openxmlformats.org/officeDocument/2006/relationships/hyperlink" Target="https://www.vidio.com/live/20240-proliga-2026?schedule_id=4833788" TargetMode="External"/><Relationship Id="rId11834" Type="http://schemas.openxmlformats.org/officeDocument/2006/relationships/hyperlink" Target="https://www.vidio.com/live/18249-petronas-malaysia-open-2026-round-of-32-court-1?schedule_id=4831552" TargetMode="External"/><Relationship Id="rId3998" Type="http://schemas.openxmlformats.org/officeDocument/2006/relationships/hyperlink" Target="https://drive.google.com/drive/folders/1lxrQ5Dn97NCWd13KAEvwIUiQ2q4Vfv-J" TargetMode="External"/><Relationship Id="rId7455" Type="http://schemas.openxmlformats.org/officeDocument/2006/relationships/hyperlink" Target="https://drive.google.com/file/d/1DNux4glLBnqI-DzUHKvsJVIQIe0fQ_QF/view?usp=sharing" TargetMode="External"/><Relationship Id="rId8506" Type="http://schemas.openxmlformats.org/officeDocument/2006/relationships/hyperlink" Target="https://www.vidio.com/live/19773-fa-cup-2025-26?schedule_id=4678555" TargetMode="External"/><Relationship Id="rId8920" Type="http://schemas.openxmlformats.org/officeDocument/2006/relationships/hyperlink" Target="https://drive.google.com/file/d/1FL8oozN4nlyk0kpRQGB1AgfbqxRlymCy/view?usp=sharing" TargetMode="External"/><Relationship Id="rId10436" Type="http://schemas.openxmlformats.org/officeDocument/2006/relationships/hyperlink" Target="https://drive.google.com/file/d/15CpTi8eXQyf2fbuuoBpYQuRFJFKlvScS/view?usp=sharing" TargetMode="External"/><Relationship Id="rId6057" Type="http://schemas.openxmlformats.org/officeDocument/2006/relationships/hyperlink" Target="https://drive.google.com/file/d/1zk7qz04F4iyBdCL-JjMPz8W9c_e9cviF/view?usp=sharing" TargetMode="External"/><Relationship Id="rId6471" Type="http://schemas.openxmlformats.org/officeDocument/2006/relationships/hyperlink" Target="https://drive.google.com/file/d/1rqkBg3sR0k7tdP_qB3Q4oS1lORgSkSru/view?usp=sharing" TargetMode="External"/><Relationship Id="rId7108" Type="http://schemas.openxmlformats.org/officeDocument/2006/relationships/hyperlink" Target="https://drive.google.com/file/d/1DNUet1eHQ8eoAq_9_SpGWTsMin1ii7Ie/view?usp=drive_link" TargetMode="External"/><Relationship Id="rId7522" Type="http://schemas.openxmlformats.org/officeDocument/2006/relationships/hyperlink" Target="https://www.vidio.com/live/19623-national-football-league-2025-26?schedule_id=4606943" TargetMode="External"/><Relationship Id="rId10850" Type="http://schemas.openxmlformats.org/officeDocument/2006/relationships/hyperlink" Target="https://www.vidio.com/live/18249-hsbc-bwf-world-tour-finals-2025-group-stage-court-1?schedule_id=4781709" TargetMode="External"/><Relationship Id="rId11901" Type="http://schemas.openxmlformats.org/officeDocument/2006/relationships/hyperlink" Target="https://www.vidio.com/live/18252-petronas-malaysia-open-2026-round-of-32-court-3?schedule_id=4831573" TargetMode="External"/><Relationship Id="rId986" Type="http://schemas.openxmlformats.org/officeDocument/2006/relationships/hyperlink" Target="https://drive.google.com/file/d/1YxzfgTTmTxlEVg-z8or-pxkL55D8Af-P/view?usp=drive_link" TargetMode="External"/><Relationship Id="rId2667" Type="http://schemas.openxmlformats.org/officeDocument/2006/relationships/hyperlink" Target="https://drive.google.com/file/d/1ynd99mR_3HZgFqnrwMkAS5lMIhVyBnaR/view?usp=sharing" TargetMode="External"/><Relationship Id="rId3718" Type="http://schemas.openxmlformats.org/officeDocument/2006/relationships/hyperlink" Target="https://drive.google.com/file/d/1WWKDqhz9St3OjtA_fvwdhrIcO7oESmQm/view?usp=sharing" TargetMode="External"/><Relationship Id="rId5073" Type="http://schemas.openxmlformats.org/officeDocument/2006/relationships/hyperlink" Target="https://drive.google.com/drive/folders/19EuDa5P4Oa8qiOQKsEw82nO4BgLZklnE" TargetMode="External"/><Relationship Id="rId6124" Type="http://schemas.openxmlformats.org/officeDocument/2006/relationships/hyperlink" Target="https://www.vidio.com/live/19642-uefa-conference-league?schedule_id=4614676" TargetMode="External"/><Relationship Id="rId9694" Type="http://schemas.openxmlformats.org/officeDocument/2006/relationships/hyperlink" Target="https://www.vidio.com/live/17140-spotv-2?schedule_id=4736084" TargetMode="External"/><Relationship Id="rId10503" Type="http://schemas.openxmlformats.org/officeDocument/2006/relationships/hyperlink" Target="https://www.vidio.com/live/19355-bri-super-league?schedule_id=4783344" TargetMode="External"/><Relationship Id="rId639" Type="http://schemas.openxmlformats.org/officeDocument/2006/relationships/hyperlink" Target="https://drive.google.com/file/d/1XP1IwIJqFOBicXSssH-9JW2ANEci4lc3/view?usp=sharing" TargetMode="External"/><Relationship Id="rId1269" Type="http://schemas.openxmlformats.org/officeDocument/2006/relationships/hyperlink" Target="https://thumbor.prod.vidiocdn.com/CEw4iDkLqrqjKIfkPU1PCz0nK2A=/filters:quality(70)/vidio-media-production/uploads/image/source/52755/259d26.png" TargetMode="External"/><Relationship Id="rId5140" Type="http://schemas.openxmlformats.org/officeDocument/2006/relationships/hyperlink" Target="https://www.vidio.com/live/18301-uefa-champions-league?schedule_id=4663731" TargetMode="External"/><Relationship Id="rId8296" Type="http://schemas.openxmlformats.org/officeDocument/2006/relationships/hyperlink" Target="https://drive.google.com/file/d/1wPWicfD92PtTo6jBlvtBp_SFWVi4tD1G/view?usp=sharing" TargetMode="External"/><Relationship Id="rId9347" Type="http://schemas.openxmlformats.org/officeDocument/2006/relationships/hyperlink" Target="https://www.vidio.com/live/19774-fa-cup-2025-26?schedule_id=4759885" TargetMode="External"/><Relationship Id="rId1683" Type="http://schemas.openxmlformats.org/officeDocument/2006/relationships/hyperlink" Target="https://drive.google.com/drive/folders/1phjjJgwPxOBO0xF4zsAqFcQSTYVzLy5C" TargetMode="External"/><Relationship Id="rId2734" Type="http://schemas.openxmlformats.org/officeDocument/2006/relationships/hyperlink" Target="https://drive.google.com/file/d/1zpc8OLrhufFsHP4Moy_61XA4VTlFagr7/view?usp=sharing" TargetMode="External"/><Relationship Id="rId9761" Type="http://schemas.openxmlformats.org/officeDocument/2006/relationships/hyperlink" Target="https://drive.google.com/file/d/1Fdpekkxo52hlLJylJ6NTPu4LR8Vp0wDz/view?usp=sharing" TargetMode="External"/><Relationship Id="rId11277" Type="http://schemas.openxmlformats.org/officeDocument/2006/relationships/hyperlink" Target="https://drive.google.com/drive/folders/1YlMRu1cROcPKnFNgfhqtVLYDGJVWk9EC?usp=drive_link" TargetMode="External"/><Relationship Id="rId11691" Type="http://schemas.openxmlformats.org/officeDocument/2006/relationships/hyperlink" Target="https://www.vidio.com/live/19388-rws-muay-thai-2026?schedule_id=4832290" TargetMode="External"/><Relationship Id="rId12328" Type="http://schemas.openxmlformats.org/officeDocument/2006/relationships/hyperlink" Target="https://drive.google.com/file/d/17nqJ8YbOWxi4DOQmMA4_VvY1qMuE4tM4/view?usp=sharing" TargetMode="External"/><Relationship Id="rId706" Type="http://schemas.openxmlformats.org/officeDocument/2006/relationships/hyperlink" Target="https://drive.google.com/file/d/1KcTwqupppOiUiw5vTfpAq4fy2zJveu8N/view?usp=sharing" TargetMode="External"/><Relationship Id="rId1336" Type="http://schemas.openxmlformats.org/officeDocument/2006/relationships/hyperlink" Target="https://drive.google.com/drive/folders/13DGbr3LsqI2gIkOWeRCyWFWrAxIpifFp?usp=drive_link" TargetMode="External"/><Relationship Id="rId1750" Type="http://schemas.openxmlformats.org/officeDocument/2006/relationships/hyperlink" Target="https://drive.google.com/drive/folders/1vITpYa6owELhcaMUXLReRZ0syKZF3i6S" TargetMode="External"/><Relationship Id="rId2801" Type="http://schemas.openxmlformats.org/officeDocument/2006/relationships/hyperlink" Target="https://drive.google.com/file/d/1pYPQUfTfrmjU-Ur-Q1R7iDyIW8w6aYM4/view?usp=sharing" TargetMode="External"/><Relationship Id="rId5957" Type="http://schemas.openxmlformats.org/officeDocument/2006/relationships/hyperlink" Target="https://drive.google.com/file/d/1G7Gb_Y_LRu_hTQMXCBN8I9DZC6-dFA5H/view?usp=drive_link" TargetMode="External"/><Relationship Id="rId8016" Type="http://schemas.openxmlformats.org/officeDocument/2006/relationships/hyperlink" Target="https://drive.google.com/file/d/1mZuJfNl2YK0slfI7ngQuY1a0CC2v-eDa/view?usp=drive_link" TargetMode="External"/><Relationship Id="rId8363" Type="http://schemas.openxmlformats.org/officeDocument/2006/relationships/hyperlink" Target="https://drive.google.com/file/d/1wZAD4OEW78BK5I7PA_8FVRHXji3SLyur/view?usp=drive_link" TargetMode="External"/><Relationship Id="rId9414" Type="http://schemas.openxmlformats.org/officeDocument/2006/relationships/hyperlink" Target="https://drive.google.com/file/d/1Ep9vyiNgDfWHQulk7-ZmNkkQ5aiUJeiU/view?usp=sharing" TargetMode="External"/><Relationship Id="rId10293" Type="http://schemas.openxmlformats.org/officeDocument/2006/relationships/hyperlink" Target="https://drive.google.com/file/d/1YPGUNWtAG13WQ0cLi4Sv9-v6frxO3Z3n/view?usp=sharing" TargetMode="External"/><Relationship Id="rId11344" Type="http://schemas.openxmlformats.org/officeDocument/2006/relationships/hyperlink" Target="https://drive.google.com/file/d/1YVW0rWQ-ahGBE-LCedntl2K1TyxcavkL/view?usp=sharing" TargetMode="External"/><Relationship Id="rId42" Type="http://schemas.openxmlformats.org/officeDocument/2006/relationships/hyperlink" Target="https://www.vidio.com/live/6685-champions-tv-1?schedule_id=4275198" TargetMode="External"/><Relationship Id="rId1403" Type="http://schemas.openxmlformats.org/officeDocument/2006/relationships/hyperlink" Target="https://drive.google.com/drive/folders/1LuxZ_sFvW4OpHLHwr_N1EPpdItPfXoCI?usp=drive_link" TargetMode="External"/><Relationship Id="rId4559" Type="http://schemas.openxmlformats.org/officeDocument/2006/relationships/hyperlink" Target="https://drive.google.com/file/d/1MN_QSJxEtVHbhHFa5CU9UBlUgZCzU-86/view?usp=sharing" TargetMode="External"/><Relationship Id="rId4973" Type="http://schemas.openxmlformats.org/officeDocument/2006/relationships/hyperlink" Target="https://drive.google.com/file/d/1LT5JuBUzV5TO84mHodr1HNbTvriMLD9C/view?usp=sharing" TargetMode="External"/><Relationship Id="rId8430" Type="http://schemas.openxmlformats.org/officeDocument/2006/relationships/hyperlink" Target="https://drive.google.com/drive/folders/1nMPzBAkhsJ1CuiOq01uTntjvNhp0-SMm" TargetMode="External"/><Relationship Id="rId10360" Type="http://schemas.openxmlformats.org/officeDocument/2006/relationships/hyperlink" Target="https://drive.google.com/file/d/1jkio8kcnZyGbN-wJKENweOqx4lbWt1tu/view?usp=sharing" TargetMode="External"/><Relationship Id="rId11411" Type="http://schemas.openxmlformats.org/officeDocument/2006/relationships/hyperlink" Target="https://drive.google.com/file/d/1EqAGqndjsd7teOWXMTWpvVaNXNUriGIf/view?usp=sharing" TargetMode="External"/><Relationship Id="rId3575" Type="http://schemas.openxmlformats.org/officeDocument/2006/relationships/hyperlink" Target="https://www.vidio.com/live/6686-champions-tv-2?schedule_id=4798634" TargetMode="External"/><Relationship Id="rId4626" Type="http://schemas.openxmlformats.org/officeDocument/2006/relationships/hyperlink" Target="https://drive.google.com/file/d/1gnWLj4ca4P_m49HEW1dOq0QydB-yQEoJ/view?usp=sharing" TargetMode="External"/><Relationship Id="rId7032" Type="http://schemas.openxmlformats.org/officeDocument/2006/relationships/hyperlink" Target="https://www.vidio.com/live/19584-pegadaian-championship-2025-26?schedule_id=4626334" TargetMode="External"/><Relationship Id="rId10013" Type="http://schemas.openxmlformats.org/officeDocument/2006/relationships/hyperlink" Target="https://drive.google.com/file/d/14VzJ8iyGqAeTvwlrpVlnO6XKC9eei-Cj/view?usp=sharing" TargetMode="External"/><Relationship Id="rId496" Type="http://schemas.openxmlformats.org/officeDocument/2006/relationships/hyperlink" Target="https://drive.google.com/drive/folders/1TaP_vfs-hFJJkkXHSczErZfIfAt991tI" TargetMode="External"/><Relationship Id="rId2177" Type="http://schemas.openxmlformats.org/officeDocument/2006/relationships/hyperlink" Target="https://drive.google.com/drive/folders/1mr4FuuFOWFwm0_q8Ei79p0U0kbHRvsB0" TargetMode="External"/><Relationship Id="rId2591" Type="http://schemas.openxmlformats.org/officeDocument/2006/relationships/hyperlink" Target="https://drive.google.com/file/d/1GlIAKYIOqMPVFMY6IEKZV4Ytiqcf4QbE/view?usp=sharing" TargetMode="External"/><Relationship Id="rId3228" Type="http://schemas.openxmlformats.org/officeDocument/2006/relationships/hyperlink" Target="https://www.vidio.com/live/6299-bein-1?schedule_id=4832533" TargetMode="External"/><Relationship Id="rId3642" Type="http://schemas.openxmlformats.org/officeDocument/2006/relationships/hyperlink" Target="https://drive.google.com/drive/folders/1sanxGtMZ76CVdXTj0NtNc25j5HkqPSMG?usp=drive_link" TargetMode="External"/><Relationship Id="rId6798" Type="http://schemas.openxmlformats.org/officeDocument/2006/relationships/hyperlink" Target="https://www.vidio.com/live/205-indosiar?schedule_id=4564766" TargetMode="External"/><Relationship Id="rId7849" Type="http://schemas.openxmlformats.org/officeDocument/2006/relationships/hyperlink" Target="https://drive.google.com/file/d/1F07tjo1zcttZiZQsm9i4v8RcQs0Wg8GE/view?usp=sharing" TargetMode="External"/><Relationship Id="rId12185" Type="http://schemas.openxmlformats.org/officeDocument/2006/relationships/hyperlink" Target="https://drive.google.com/file/d/17nqJ8YbOWxi4DOQmMA4_VvY1qMuE4tM4/view?usp=drive_link" TargetMode="External"/><Relationship Id="rId149" Type="http://schemas.openxmlformats.org/officeDocument/2006/relationships/hyperlink" Target="https://drive.google.com/drive/folders/11rIqRxDXkPac3xDvGJYCUSVxgdjz9hp7?usp=drive_link" TargetMode="External"/><Relationship Id="rId563" Type="http://schemas.openxmlformats.org/officeDocument/2006/relationships/hyperlink" Target="https://drive.google.com/file/d/1WQ-hF9iY9VPdHPHbu4Or6ItOLHp0pq3c/view?usp=sharing" TargetMode="External"/><Relationship Id="rId1193" Type="http://schemas.openxmlformats.org/officeDocument/2006/relationships/hyperlink" Target="https://thumbor.prod.vidiocdn.com/wgdFuesWagvdzm0LQYWz-xZuHpE=/filters:quality(70)/vidio-media-production/uploads/image/source/52749/0deae5.png" TargetMode="External"/><Relationship Id="rId2244" Type="http://schemas.openxmlformats.org/officeDocument/2006/relationships/hyperlink" Target="https://drive.google.com/file/d/1DeWFc4v4aaoDabht_eOHxJPzeWVpMaWY/view?usp=drive_link" TargetMode="External"/><Relationship Id="rId9271" Type="http://schemas.openxmlformats.org/officeDocument/2006/relationships/hyperlink" Target="https://drive.google.com/file/d/1bGAtWdCSL-v2iZg1GvRoYwXZwXVqVH3x/view?usp=drive_link" TargetMode="External"/><Relationship Id="rId216" Type="http://schemas.openxmlformats.org/officeDocument/2006/relationships/hyperlink" Target="https://drive.google.com/drive/folders/1keBgYGAW2V9gleWyOBlIJnrRzNas7sPg?usp=drive_link" TargetMode="External"/><Relationship Id="rId1260" Type="http://schemas.openxmlformats.org/officeDocument/2006/relationships/hyperlink" Target="https://thumbor.prod.vidiocdn.com/eNquQI02mq6S17jegcPeHwRjNJk=/filters:quality(70)/vidio-media-production/uploads/image/source/52844/0522f0.png" TargetMode="External"/><Relationship Id="rId6865" Type="http://schemas.openxmlformats.org/officeDocument/2006/relationships/hyperlink" Target="https://drive.google.com/file/d/1D6dPV4mfnoKDbNDmE6xbVhpAkBQ7M43j/view?usp=drive_link" TargetMode="External"/><Relationship Id="rId7916" Type="http://schemas.openxmlformats.org/officeDocument/2006/relationships/hyperlink" Target="https://drive.google.com/file/d/18ePRGdsNgjGteCjfciSG83OXj1KJt2m_/view?usp=sharing" TargetMode="External"/><Relationship Id="rId12252" Type="http://schemas.openxmlformats.org/officeDocument/2006/relationships/hyperlink" Target="https://drive.google.com/file/d/17nqJ8YbOWxi4DOQmMA4_VvY1qMuE4tM4/view?usp=sharing" TargetMode="External"/><Relationship Id="rId630" Type="http://schemas.openxmlformats.org/officeDocument/2006/relationships/hyperlink" Target="https://www.vidio.com/live/9182-champions-tv-5?schedule_id=4690947" TargetMode="External"/><Relationship Id="rId2311" Type="http://schemas.openxmlformats.org/officeDocument/2006/relationships/hyperlink" Target="https://drive.google.com/drive/folders/1Pm5Jgmxh-aKl9hR8HYKc-wSUtGQ6816G?usp=drive_link" TargetMode="External"/><Relationship Id="rId4069" Type="http://schemas.openxmlformats.org/officeDocument/2006/relationships/hyperlink" Target="https://drive.google.com/drive/folders/1KEbcr6U_ZqEhtv_7d6qSImpjmWPCeGg3?usp=drive_link" TargetMode="External"/><Relationship Id="rId5467" Type="http://schemas.openxmlformats.org/officeDocument/2006/relationships/hyperlink" Target="https://drive.google.com/file/d/1E6uX48kmry2jxrQZ97YSvds3EtnFIMJm/view?usp=share_link" TargetMode="External"/><Relationship Id="rId5881" Type="http://schemas.openxmlformats.org/officeDocument/2006/relationships/hyperlink" Target="https://drive.google.com/file/d/1eIwi6JXo92FH6i-9fMnS0-sTChvIrvc7/view?usp=sharing" TargetMode="External"/><Relationship Id="rId6518" Type="http://schemas.openxmlformats.org/officeDocument/2006/relationships/hyperlink" Target="https://drive.google.com/file/d/1UaSJ2YNoYkQxNzhYV8Yf6CkwT0JjLvdq/view?usp=sharing" TargetMode="External"/><Relationship Id="rId6932" Type="http://schemas.openxmlformats.org/officeDocument/2006/relationships/hyperlink" Target="https://drive.google.com/file/d/1zWbVeCiwSpkRieTjp1ZqGXPbRjH8_6c4/view?usp=drive_link" TargetMode="External"/><Relationship Id="rId4483" Type="http://schemas.openxmlformats.org/officeDocument/2006/relationships/hyperlink" Target="https://drive.google.com/file/d/16uSqqTMeSgdN6ZLCxP1GBjzosGowpcYP/view?usp=sharing" TargetMode="External"/><Relationship Id="rId5534" Type="http://schemas.openxmlformats.org/officeDocument/2006/relationships/hyperlink" Target="https://drive.google.com/drive/folders/1vs2NPBadTfe8mkFp1C94plFN9o2qZ3M8?usp=drive_link" TargetMode="External"/><Relationship Id="rId3085" Type="http://schemas.openxmlformats.org/officeDocument/2006/relationships/hyperlink" Target="https://drive.google.com/file/d/15IctWvDEuxEVdLPTArCqEZmNQ75ngBa1/view?usp=sharing" TargetMode="External"/><Relationship Id="rId4136" Type="http://schemas.openxmlformats.org/officeDocument/2006/relationships/hyperlink" Target="https://drive.google.com/file/d/105hY5C0hKre0Dz3V1J5ObV5Dr5Xm5rj_/view?usp=drive_link" TargetMode="External"/><Relationship Id="rId4550" Type="http://schemas.openxmlformats.org/officeDocument/2006/relationships/hyperlink" Target="https://drive.google.com/drive/folders/145IhwfqlcpfOLrMqkCkNQ3_RVW4boDzF?usp=drive_link" TargetMode="External"/><Relationship Id="rId5601" Type="http://schemas.openxmlformats.org/officeDocument/2006/relationships/hyperlink" Target="https://drive.google.com/file/d/1ZgRHMaZEj6TN3F193ZNKkWa6zgPikZjy/view?usp=sharing" TargetMode="External"/><Relationship Id="rId8757" Type="http://schemas.openxmlformats.org/officeDocument/2006/relationships/hyperlink" Target="https://www.vidio.com/live/6685-champions-tv-1?schedule_id=4678460" TargetMode="External"/><Relationship Id="rId9808" Type="http://schemas.openxmlformats.org/officeDocument/2006/relationships/hyperlink" Target="https://drive.google.com/file/d/1bGAtWdCSL-v2iZg1GvRoYwXZwXVqVH3x/view?usp=sharing" TargetMode="External"/><Relationship Id="rId10687" Type="http://schemas.openxmlformats.org/officeDocument/2006/relationships/hyperlink" Target="https://www.vidio.com/live/6317-bein-3?schedule_id=4789602" TargetMode="External"/><Relationship Id="rId3152" Type="http://schemas.openxmlformats.org/officeDocument/2006/relationships/hyperlink" Target="https://drive.google.com/file/d/1qSaVeO0ykZpIv-LVfArcMVOESD1uyUfi/view?usp=sharing" TargetMode="External"/><Relationship Id="rId4203" Type="http://schemas.openxmlformats.org/officeDocument/2006/relationships/hyperlink" Target="https://drive.google.com/drive/folders/1ZvV_IkTV9f9BOY6RhwnkqwQ-9fji1J_-?usp=drive_link" TargetMode="External"/><Relationship Id="rId7359" Type="http://schemas.openxmlformats.org/officeDocument/2006/relationships/hyperlink" Target="https://www.vidio.com/live/6317-bein-3?schedule_id=4603148" TargetMode="External"/><Relationship Id="rId7773" Type="http://schemas.openxmlformats.org/officeDocument/2006/relationships/hyperlink" Target="https://drive.google.com/file/d/1VpJyc-KhBsh7XAp0Si5K-WydDdSgkwzF/view?usp=sharing" TargetMode="External"/><Relationship Id="rId8824" Type="http://schemas.openxmlformats.org/officeDocument/2006/relationships/hyperlink" Target="https://drive.google.com/drive/folders/10yTzYKhSzW-rIH5hVPYrsZDgfsWvHiqs?usp=drive_link" TargetMode="External"/><Relationship Id="rId11738" Type="http://schemas.openxmlformats.org/officeDocument/2006/relationships/hyperlink" Target="https://drive.google.com/file/d/1_VFmtjeoa1jB6YMFl35R4XO6xs8PdX7H/view?usp=sharing" TargetMode="External"/><Relationship Id="rId6375" Type="http://schemas.openxmlformats.org/officeDocument/2006/relationships/hyperlink" Target="https://drive.google.com/file/d/1zJTIZvE8QYX0BoAcNUunlhXxwM6einFM/view?usp=sharing" TargetMode="External"/><Relationship Id="rId7426" Type="http://schemas.openxmlformats.org/officeDocument/2006/relationships/hyperlink" Target="https://drive.google.com/file/d/1r0-Z4CgHUDePG32AqKUj0L5696iCFVLf/view?usp=sharing" TargetMode="External"/><Relationship Id="rId10754" Type="http://schemas.openxmlformats.org/officeDocument/2006/relationships/hyperlink" Target="https://thumbor.prod.vidiocdn.com/iSocpjZd3WMfSIISaWpzNxx1HUg=/filters:quality(70)/vidio-media-production/uploads/image/source/52092/7cbad8.png" TargetMode="External"/><Relationship Id="rId11805" Type="http://schemas.openxmlformats.org/officeDocument/2006/relationships/hyperlink" Target="https://drive.google.com/file/d/1y71UmISfU1PEIgmcKd2G6dqcDfVhwjsQ/view?usp=sharing" TargetMode="External"/><Relationship Id="rId140" Type="http://schemas.openxmlformats.org/officeDocument/2006/relationships/hyperlink" Target="https://drive.google.com/file/d/1oEvJmZq_dF9XsPLWYq6gkOGMn2AbpVyD/view?usp=drive_link" TargetMode="External"/><Relationship Id="rId3969" Type="http://schemas.openxmlformats.org/officeDocument/2006/relationships/hyperlink" Target="https://drive.google.com/drive/folders/1NepG6XT-FSa8Cs07sX3tPfQWLNpJfAxp" TargetMode="External"/><Relationship Id="rId5391" Type="http://schemas.openxmlformats.org/officeDocument/2006/relationships/hyperlink" Target="https://www.vidio.com/live/6317-bein-3?schedule_id=4733804" TargetMode="External"/><Relationship Id="rId6028" Type="http://schemas.openxmlformats.org/officeDocument/2006/relationships/hyperlink" Target="https://drive.google.com/file/d/1EhCP1kg-M2CWQOrgPDifUo46Wlv9UUhf/view?usp=sharing" TargetMode="External"/><Relationship Id="rId7840" Type="http://schemas.openxmlformats.org/officeDocument/2006/relationships/hyperlink" Target="https://www.vidio.com/live/19673-turkish-women-s-volleyball-cup?schedule_id=4637934" TargetMode="External"/><Relationship Id="rId9598" Type="http://schemas.openxmlformats.org/officeDocument/2006/relationships/hyperlink" Target="https://drive.google.com/file/d/1fE9Uxj3b7A-pnUkmbH9V_BRttb40HAMJ/view?usp=sharing" TargetMode="External"/><Relationship Id="rId10407" Type="http://schemas.openxmlformats.org/officeDocument/2006/relationships/hyperlink" Target="https://drive.google.com/file/d/1aE_QzpCtoSzI469_Qm9fPiYcmdGUiduV/view?usp=sharing" TargetMode="External"/><Relationship Id="rId10821" Type="http://schemas.openxmlformats.org/officeDocument/2006/relationships/hyperlink" Target="https://drive.google.com/file/d/1pAo0QhcvNgMx24DDFRlD4hLKz5KAp759/view?usp=sharing" TargetMode="External"/><Relationship Id="rId6" Type="http://schemas.openxmlformats.org/officeDocument/2006/relationships/hyperlink" Target="https://drive.google.com/drive/folders/1wVQUb41xXAO8dnui_2ec9ife6JPpHbcr" TargetMode="External"/><Relationship Id="rId2985" Type="http://schemas.openxmlformats.org/officeDocument/2006/relationships/hyperlink" Target="https://drive.google.com/file/d/1ICxVIDBoDIZ9cQ_wW02oUSvxLgZQDYl6/view?usp=sharing" TargetMode="External"/><Relationship Id="rId5044" Type="http://schemas.openxmlformats.org/officeDocument/2006/relationships/hyperlink" Target="https://drive.google.com/drive/folders/18iZ72JdaKwsBKz6xiTb5-dX3IzhoSa98" TargetMode="External"/><Relationship Id="rId6442" Type="http://schemas.openxmlformats.org/officeDocument/2006/relationships/hyperlink" Target="https://www.vidio.com/live/19643-uefa-conference-league?schedule_id=4734904" TargetMode="External"/><Relationship Id="rId957" Type="http://schemas.openxmlformats.org/officeDocument/2006/relationships/hyperlink" Target="https://drive.google.com/file/d/1LwklXphhVupiY9h9s2YOFShofe48O9sI/view?usp=sharing" TargetMode="External"/><Relationship Id="rId1587" Type="http://schemas.openxmlformats.org/officeDocument/2006/relationships/hyperlink" Target="https://drive.google.com/drive/folders/1gh3C_O9syneweBNgDVBl9jsh_w32QaDu" TargetMode="External"/><Relationship Id="rId2638" Type="http://schemas.openxmlformats.org/officeDocument/2006/relationships/hyperlink" Target="https://drive.google.com/file/d/1R1je1Fjspv-3wUV7Wx8HpamAoNNmjxBZ/view?usp=sharing" TargetMode="External"/><Relationship Id="rId9665" Type="http://schemas.openxmlformats.org/officeDocument/2006/relationships/hyperlink" Target="https://drive.google.com/file/d/1FlQyJloO5EoOo2mBRlM8FhwvlBatZ4KM/view?usp=sharing" TargetMode="External"/><Relationship Id="rId11595" Type="http://schemas.openxmlformats.org/officeDocument/2006/relationships/hyperlink" Target="https://drive.google.com/drive/folders/1rNDUurDDF3zVZdoiBjQfc6Xvu3hhVjwO" TargetMode="External"/><Relationship Id="rId1654" Type="http://schemas.openxmlformats.org/officeDocument/2006/relationships/hyperlink" Target="https://drive.google.com/drive/folders/1MfSnQIhd9gXMICmCBRJSXYqjO1xvfX2J" TargetMode="External"/><Relationship Id="rId2705" Type="http://schemas.openxmlformats.org/officeDocument/2006/relationships/hyperlink" Target="https://drive.google.com/file/d/1KDZYmut1rIOmLVkkci_cWFpPTwiEYtQS/view?usp=sharing" TargetMode="External"/><Relationship Id="rId4060" Type="http://schemas.openxmlformats.org/officeDocument/2006/relationships/hyperlink" Target="https://www.vidio.com/live/19404-serie-a?schedule_id=4585686" TargetMode="External"/><Relationship Id="rId5111" Type="http://schemas.openxmlformats.org/officeDocument/2006/relationships/hyperlink" Target="https://drive.google.com/drive/u/0/folders/173J6ulLZWmP9PU8xR1cdA2k5lcenMZkU" TargetMode="External"/><Relationship Id="rId8267" Type="http://schemas.openxmlformats.org/officeDocument/2006/relationships/hyperlink" Target="https://drive.google.com/file/d/1DNux4glLBnqI-DzUHKvsJVIQIe0fQ_QF/view?usp=sharing" TargetMode="External"/><Relationship Id="rId8681" Type="http://schemas.openxmlformats.org/officeDocument/2006/relationships/hyperlink" Target="https://drive.google.com/file/d/1bXKm60DYP9tgCwEYGm4Cv61pa20tkNhe/view?usp=sharing" TargetMode="External"/><Relationship Id="rId9318" Type="http://schemas.openxmlformats.org/officeDocument/2006/relationships/hyperlink" Target="https://drive.google.com/drive/folders/1UM6w2CElnx_uyEMHmCSGMtzbLp966DHV?usp=drive_link" TargetMode="External"/><Relationship Id="rId9732" Type="http://schemas.openxmlformats.org/officeDocument/2006/relationships/hyperlink" Target="https://drive.google.com/file/d/1GlM96AFw9bFbhd2ddwpYwgpp5t2ngzbU/view?usp=sharing" TargetMode="External"/><Relationship Id="rId10197" Type="http://schemas.openxmlformats.org/officeDocument/2006/relationships/hyperlink" Target="https://www.vidio.com/live/6299-bein-1?schedule_id=4792949" TargetMode="External"/><Relationship Id="rId11248" Type="http://schemas.openxmlformats.org/officeDocument/2006/relationships/hyperlink" Target="https://www.vidio.com/live/19355-bri-super-league?schedule_id=4797263" TargetMode="External"/><Relationship Id="rId11662" Type="http://schemas.openxmlformats.org/officeDocument/2006/relationships/hyperlink" Target="https://drive.google.com/drive/folders/183mxr27kJumxHDjZLkbF7foSp1c40rUG" TargetMode="External"/><Relationship Id="rId1307" Type="http://schemas.openxmlformats.org/officeDocument/2006/relationships/hyperlink" Target="https://drive.google.com/drive/folders/1jcQESjFkQqi6_Y5docogJrNbFjMNfmkR?usp=drive_link" TargetMode="External"/><Relationship Id="rId1721" Type="http://schemas.openxmlformats.org/officeDocument/2006/relationships/hyperlink" Target="https://drive.google.com/file/d/1Ra9Y-SbGEm7EAKsvvIJCaq0PquqTxtar/view?usp=drive_link" TargetMode="External"/><Relationship Id="rId4877" Type="http://schemas.openxmlformats.org/officeDocument/2006/relationships/hyperlink" Target="https://drive.google.com/drive/folders/1vK8Ei0iY_2cj2YycXIHUSXhcCmyOS-86?usp=drive_link" TargetMode="External"/><Relationship Id="rId5928" Type="http://schemas.openxmlformats.org/officeDocument/2006/relationships/hyperlink" Target="https://drive.google.com/drive/folders/1pYi5qIT6QdvkfDRfWH0qsk97hfAPMoyN?usp=drive_link" TargetMode="External"/><Relationship Id="rId7283" Type="http://schemas.openxmlformats.org/officeDocument/2006/relationships/hyperlink" Target="https://drive.google.com/file/d/1F2bRuwaVbKsfANfIwmdq4l6S1iPMzXNk/view?usp=sharing" TargetMode="External"/><Relationship Id="rId8334" Type="http://schemas.openxmlformats.org/officeDocument/2006/relationships/hyperlink" Target="https://drive.google.com/drive/folders/1c5tANWiKhUBgJg2UrGh8V8zv0zt-t6Yn" TargetMode="External"/><Relationship Id="rId10264" Type="http://schemas.openxmlformats.org/officeDocument/2006/relationships/hyperlink" Target="https://www.vidio.com/live/20024-top-soccer-championship-u-13-play-off-3?schedule_id=4761981" TargetMode="External"/><Relationship Id="rId11315" Type="http://schemas.openxmlformats.org/officeDocument/2006/relationships/hyperlink" Target="https://thumbor.prod.vidiocdn.com/0tZOlPA3OgMVvOL_lVMoN0XcMts=/filters:quality(70)/vidio-media-production/uploads/image/source/53003/2c754b.png" TargetMode="External"/><Relationship Id="rId13" Type="http://schemas.openxmlformats.org/officeDocument/2006/relationships/hyperlink" Target="https://drive.google.com/file/d/1nP2GsyL8K3WAP-zsh-RUfq-UIK8sQUoC/view?usp=drive_link" TargetMode="External"/><Relationship Id="rId3479" Type="http://schemas.openxmlformats.org/officeDocument/2006/relationships/hyperlink" Target="https://drive.google.com/drive/folders/18QFxTlvxvZAHdTMh6rQDO0Zxttpbyefw" TargetMode="External"/><Relationship Id="rId7350" Type="http://schemas.openxmlformats.org/officeDocument/2006/relationships/hyperlink" Target="https://drive.google.com/drive/folders/1vdUW6vYj0M22doJy8XmS8FHXBSexMVvx" TargetMode="External"/><Relationship Id="rId8401" Type="http://schemas.openxmlformats.org/officeDocument/2006/relationships/hyperlink" Target="https://drive.google.com/file/d/1rf3gh_1V6j9elC4icvs1RATOxI2p1W-y/view?usp=sharing" TargetMode="External"/><Relationship Id="rId2495" Type="http://schemas.openxmlformats.org/officeDocument/2006/relationships/hyperlink" Target="https://drive.google.com/file/d/1GRU9DE4ynGU-VLlz5KfhLSbkUSdAYuzk/view?usp=drive_link" TargetMode="External"/><Relationship Id="rId3893" Type="http://schemas.openxmlformats.org/officeDocument/2006/relationships/hyperlink" Target="https://www.vidio.com/live/6685-champions-tv-1?schedule_id=4577341" TargetMode="External"/><Relationship Id="rId4944" Type="http://schemas.openxmlformats.org/officeDocument/2006/relationships/hyperlink" Target="https://drive.google.com/drive/folders/1x8PO-1YxhD__raMhXhhg_GHcWsb9dvGs" TargetMode="External"/><Relationship Id="rId7003" Type="http://schemas.openxmlformats.org/officeDocument/2006/relationships/hyperlink" Target="https://drive.google.com/file/d/1UcA6KDKvtmF3M9NtP6_FQrddD_6HBkzy/view?usp=drive_link" TargetMode="External"/><Relationship Id="rId10331" Type="http://schemas.openxmlformats.org/officeDocument/2006/relationships/hyperlink" Target="https://drive.google.com/file/d/1C4QqwsJKdpmgIskKFncjf1NyRNycjsQ-/view?usp=sharing" TargetMode="External"/><Relationship Id="rId12089" Type="http://schemas.openxmlformats.org/officeDocument/2006/relationships/hyperlink" Target="https://www.vidio.com/live/18252-petronas-malaysia-open-2026-round-of-16-court-3?schedule_id=4832354" TargetMode="External"/><Relationship Id="rId467" Type="http://schemas.openxmlformats.org/officeDocument/2006/relationships/hyperlink" Target="https://drive.google.com/file/d/1bA91D-9laCG2e0nrKvhsyUXf7yKeOMWr/view?usp=sharing" TargetMode="External"/><Relationship Id="rId1097" Type="http://schemas.openxmlformats.org/officeDocument/2006/relationships/hyperlink" Target="https://drive.google.com/file/d/1nrPCFGDW1PhI5cH1ejL_TpegD2Mq3luJ/view?usp=sharing" TargetMode="External"/><Relationship Id="rId2148" Type="http://schemas.openxmlformats.org/officeDocument/2006/relationships/hyperlink" Target="https://drive.google.com/drive/folders/1gCLKym8Niu3tY1xlBbPJwfhZ-ltZiBSX" TargetMode="External"/><Relationship Id="rId3546" Type="http://schemas.openxmlformats.org/officeDocument/2006/relationships/hyperlink" Target="https://drive.google.com/file/d/1nPhKBSU2SfojNjQf3E6z_SravVEKbvUD/view?usp=sharing" TargetMode="External"/><Relationship Id="rId3960" Type="http://schemas.openxmlformats.org/officeDocument/2006/relationships/hyperlink" Target="https://drive.google.com/drive/folders/1NepG6XT-FSa8Cs07sX3tPfQWLNpJfAxp" TargetMode="External"/><Relationship Id="rId9175" Type="http://schemas.openxmlformats.org/officeDocument/2006/relationships/hyperlink" Target="https://drive.google.com/drive/folders/1NepG6XT-FSa8Cs07sX3tPfQWLNpJfAxp" TargetMode="External"/><Relationship Id="rId881" Type="http://schemas.openxmlformats.org/officeDocument/2006/relationships/hyperlink" Target="https://drive.google.com/file/d/1A6_PMeQ-8x7NR0qqCNrcaFXd164JXNXz/view?usp=sharing" TargetMode="External"/><Relationship Id="rId2562" Type="http://schemas.openxmlformats.org/officeDocument/2006/relationships/hyperlink" Target="https://drive.google.com/drive/folders/1vvJz14Jl4gIdV_iCTT5E3kf9dGSkmgZL?usp=drive_link" TargetMode="External"/><Relationship Id="rId3613" Type="http://schemas.openxmlformats.org/officeDocument/2006/relationships/hyperlink" Target="https://drive.google.com/file/d/1nmi9x44JCO0LRDeWG4h-jiO4SY8kuyUl/view?usp=sharing" TargetMode="External"/><Relationship Id="rId6769" Type="http://schemas.openxmlformats.org/officeDocument/2006/relationships/hyperlink" Target="https://drive.google.com/drive/folders/1NepG6XT-FSa8Cs07sX3tPfQWLNpJfAxp" TargetMode="External"/><Relationship Id="rId12156" Type="http://schemas.openxmlformats.org/officeDocument/2006/relationships/hyperlink" Target="https://drive.google.com/file/d/17nqJ8YbOWxi4DOQmMA4_VvY1qMuE4tM4/view?usp=sharing" TargetMode="External"/><Relationship Id="rId534" Type="http://schemas.openxmlformats.org/officeDocument/2006/relationships/hyperlink" Target="https://drive.google.com/file/d/1NLhr9BhjgBnaHfER6u3HCgaop5IYMd1f/view?usp=sharing" TargetMode="External"/><Relationship Id="rId1164" Type="http://schemas.openxmlformats.org/officeDocument/2006/relationships/hyperlink" Target="https://drive.google.com/file/d/1zsnhL68DGZccU7GCg1k-dKfPArwfznqh/view?usp=sharing" TargetMode="External"/><Relationship Id="rId2215" Type="http://schemas.openxmlformats.org/officeDocument/2006/relationships/hyperlink" Target="https://drive.google.com/file/d/1hDE6wU9g1vOuHFV-CeRs9dUDw2u1vzYk/view?usp=sharing" TargetMode="External"/><Relationship Id="rId5785" Type="http://schemas.openxmlformats.org/officeDocument/2006/relationships/hyperlink" Target="https://drive.google.com/file/d/139uSXvHeJcDShelmd8FYfDAr3kzm6RkL/view?usp=drive_link" TargetMode="External"/><Relationship Id="rId6836" Type="http://schemas.openxmlformats.org/officeDocument/2006/relationships/hyperlink" Target="https://drive.google.com/drive/folders/1ucNoaH6qaYCBmETyhLgQ5RaF6B8eqX2W?usp=drive_link" TargetMode="External"/><Relationship Id="rId8191" Type="http://schemas.openxmlformats.org/officeDocument/2006/relationships/hyperlink" Target="https://drive.google.com/file/d/1DOUxoUt1e7QhGy_kR9PE4B_N3-gGiH8T/view?usp=sharing" TargetMode="External"/><Relationship Id="rId9242" Type="http://schemas.openxmlformats.org/officeDocument/2006/relationships/hyperlink" Target="https://drive.google.com/file/d/1bGAtWdCSL-v2iZg1GvRoYwXZwXVqVH3x/view?usp=sharing" TargetMode="External"/><Relationship Id="rId11172" Type="http://schemas.openxmlformats.org/officeDocument/2006/relationships/hyperlink" Target="https://drive.google.com/file/d/1lqvMQo-vu4LWbYx8EshSi5GatZX_ONR4/view?usp=sharing" TargetMode="External"/><Relationship Id="rId12223" Type="http://schemas.openxmlformats.org/officeDocument/2006/relationships/hyperlink" Target="https://www.vidio.com/live/20270?schedule_id=4833858" TargetMode="External"/><Relationship Id="rId601" Type="http://schemas.openxmlformats.org/officeDocument/2006/relationships/hyperlink" Target="https://drive.google.com/drive/folders/12gEIfG_VZxBOE-WAHvTaD2Xsjx-jsUYp?usp=drive_link" TargetMode="External"/><Relationship Id="rId1231" Type="http://schemas.openxmlformats.org/officeDocument/2006/relationships/hyperlink" Target="https://drive.google.com/file/d/1nobsyibfFQKOQpBZ__1uh3gKakZhNaLZ/view?usp=sharing" TargetMode="External"/><Relationship Id="rId4387" Type="http://schemas.openxmlformats.org/officeDocument/2006/relationships/hyperlink" Target="https://drive.google.com/file/d/1ptgdUfOCeMcESBMVT9xkiIFQvvtkOG30/view?usp=sharing" TargetMode="External"/><Relationship Id="rId5438" Type="http://schemas.openxmlformats.org/officeDocument/2006/relationships/hyperlink" Target="https://drive.google.com/drive/u/0/folders/11yQNRlg-UsrCVBUDxm1gRq_tg8LRIQOA" TargetMode="External"/><Relationship Id="rId5852" Type="http://schemas.openxmlformats.org/officeDocument/2006/relationships/hyperlink" Target="https://drive.google.com/file/d/1lTFgYFSMSnTWEYFwztUbEczvKWbqEiwt/view?usp=sharing" TargetMode="External"/><Relationship Id="rId4454" Type="http://schemas.openxmlformats.org/officeDocument/2006/relationships/hyperlink" Target="https://drive.google.com/drive/folders/190yi0NXB7fqt8awvfrHzHYND0AcQ3r1-?usp=drive_link" TargetMode="External"/><Relationship Id="rId5505" Type="http://schemas.openxmlformats.org/officeDocument/2006/relationships/hyperlink" Target="https://drive.google.com/file/d/1G7zV9GQxjvojOajnu7cYYH2EyEIYNF7k/view?usp=sharing" TargetMode="External"/><Relationship Id="rId6903" Type="http://schemas.openxmlformats.org/officeDocument/2006/relationships/hyperlink" Target="https://drive.google.com/file/d/1ElN4CpFiBHGbk6qXDMV2Slkv4HeT7Rfs/view?usp=drive_link" TargetMode="External"/><Relationship Id="rId11989" Type="http://schemas.openxmlformats.org/officeDocument/2006/relationships/hyperlink" Target="https://drive.google.com/file/d/1xBC95kgUCPH7mHVNNsdBzdNGfpQ0DSuZ/view?usp=sharing" TargetMode="External"/><Relationship Id="rId3056" Type="http://schemas.openxmlformats.org/officeDocument/2006/relationships/hyperlink" Target="https://thumbor.prod.vidiocdn.com/LFc37TeKdZOePLEBuF3KcDlaK2M=/filters:quality(70)/vidio-media-production/uploads/image/source/51607/8c8cc7.png" TargetMode="External"/><Relationship Id="rId3470" Type="http://schemas.openxmlformats.org/officeDocument/2006/relationships/hyperlink" Target="https://drive.google.com/file/d/1Q2jl275Tn_ju-ADngMSCIJbg8G5m7CPy/view?usp=sharing" TargetMode="External"/><Relationship Id="rId4107" Type="http://schemas.openxmlformats.org/officeDocument/2006/relationships/hyperlink" Target="https://drive.google.com/file/d/1xji8_eqefgbwGyGvzdv5XtUBdC4SmtjR/view?usp=sharing" TargetMode="External"/><Relationship Id="rId391" Type="http://schemas.openxmlformats.org/officeDocument/2006/relationships/hyperlink" Target="https://drive.google.com/file/d/1YA8k1jqusL-T7lBHuRkGdv52GJ9woPas/view?usp=sharing" TargetMode="External"/><Relationship Id="rId2072" Type="http://schemas.openxmlformats.org/officeDocument/2006/relationships/hyperlink" Target="https://drive.google.com/file/d/1uXefcN3M-TQosG-H8pEydIbe04Q7UJD0/view?usp=sharing" TargetMode="External"/><Relationship Id="rId3123" Type="http://schemas.openxmlformats.org/officeDocument/2006/relationships/hyperlink" Target="https://drive.google.com/file/d/1sBgdglkHgYI10Tc8IR0ATdTY-V4_recI/view?usp=drive_link" TargetMode="External"/><Relationship Id="rId4521" Type="http://schemas.openxmlformats.org/officeDocument/2006/relationships/hyperlink" Target="https://drive.google.com/drive/folders/109AtUO1pkkqmVRnOXIb622-VqJBbut0L?usp=drive_link" TargetMode="External"/><Relationship Id="rId6279" Type="http://schemas.openxmlformats.org/officeDocument/2006/relationships/hyperlink" Target="https://www.vidio.com/live/19643-uefa-conference-league?schedule_id=4664233" TargetMode="External"/><Relationship Id="rId7677" Type="http://schemas.openxmlformats.org/officeDocument/2006/relationships/hyperlink" Target="https://drive.google.com/drive/folders/1Tkv3JyLWDen5I9edG9S5YeGqZ7EIMWVe?usp=drive_link" TargetMode="External"/><Relationship Id="rId8728" Type="http://schemas.openxmlformats.org/officeDocument/2006/relationships/hyperlink" Target="https://www.vidio.com/live/19745-top-youth-premier-league-2025-matchday-8?schedule_id=4670868" TargetMode="External"/><Relationship Id="rId10658" Type="http://schemas.openxmlformats.org/officeDocument/2006/relationships/hyperlink" Target="https://www.vidio.com/live/6685-champions-tv-1?schedule_id=4832530" TargetMode="External"/><Relationship Id="rId11709" Type="http://schemas.openxmlformats.org/officeDocument/2006/relationships/hyperlink" Target="https://drive.google.com/file/d/1eYrHSZhFd95KyhXxrabgACyw4RU-iuHU/view?usp=sharing" TargetMode="External"/><Relationship Id="rId6693" Type="http://schemas.openxmlformats.org/officeDocument/2006/relationships/hyperlink" Target="https://drive.google.com/file/d/1M7C_eKT7h6L89xHEjkWnBb_sha7XRjmo/view?usp=sharing" TargetMode="External"/><Relationship Id="rId7744" Type="http://schemas.openxmlformats.org/officeDocument/2006/relationships/hyperlink" Target="https://drive.google.com/file/d/1LDvXUbhl_tlFWSzJIfjotEfaiNX-ymh6/view?usp=sharing" TargetMode="External"/><Relationship Id="rId10725" Type="http://schemas.openxmlformats.org/officeDocument/2006/relationships/hyperlink" Target="https://drive.google.com/file/d/1zL6p0WSZUK3SvJDGpR7Ffp3b0nMnAEUw/view?usp=sharing" TargetMode="External"/><Relationship Id="rId12080" Type="http://schemas.openxmlformats.org/officeDocument/2006/relationships/hyperlink" Target="https://drive.google.com/file/d/1NSS8caFvdZbwLM0rQ6xFjEA-VHdQ-0wz/view?usp=sharing" TargetMode="External"/><Relationship Id="rId2889" Type="http://schemas.openxmlformats.org/officeDocument/2006/relationships/hyperlink" Target="https://www.vidio.com/live/6299-bein-1?schedule_id=4704455" TargetMode="External"/><Relationship Id="rId5295" Type="http://schemas.openxmlformats.org/officeDocument/2006/relationships/hyperlink" Target="https://drive.google.com/drive/folders/1XRZnHN_iWGTEnjm-Vlxy9xoFugf1i86y" TargetMode="External"/><Relationship Id="rId6346" Type="http://schemas.openxmlformats.org/officeDocument/2006/relationships/hyperlink" Target="https://www.vidio.com/live/19740-uefa-conference-league?schedule_id=4700071" TargetMode="External"/><Relationship Id="rId6760" Type="http://schemas.openxmlformats.org/officeDocument/2006/relationships/hyperlink" Target="https://drive.google.com/drive/folders/1NepG6XT-FSa8Cs07sX3tPfQWLNpJfAxp" TargetMode="External"/><Relationship Id="rId7811" Type="http://schemas.openxmlformats.org/officeDocument/2006/relationships/hyperlink" Target="https://drive.google.com/drive/folders/1BZRdYnyHKi0FFaY1jPGxhXPd8jdHb9D8?usp=drive_link" TargetMode="External"/><Relationship Id="rId111" Type="http://schemas.openxmlformats.org/officeDocument/2006/relationships/hyperlink" Target="https://drive.google.com/file/d/10vqFrgpprIlQeGON_OJaXGSImB7uzfKP/view?usp=sharing" TargetMode="External"/><Relationship Id="rId2956" Type="http://schemas.openxmlformats.org/officeDocument/2006/relationships/hyperlink" Target="https://drive.google.com/file/d/1eFR1kk_jzsxOrZENqTXuPQmxyVqD_44T/view?usp=sharing" TargetMode="External"/><Relationship Id="rId5362" Type="http://schemas.openxmlformats.org/officeDocument/2006/relationships/hyperlink" Target="https://drive.google.com/file/d/170cZAJ-Wo96iHG0eZQf4kR36-F1jPDyL/view?usp=sharing" TargetMode="External"/><Relationship Id="rId6413" Type="http://schemas.openxmlformats.org/officeDocument/2006/relationships/hyperlink" Target="https://drive.google.com/drive/folders/1F9lLmIvT4-3oh_Jbh-sne-zsyB6ey7v0" TargetMode="External"/><Relationship Id="rId9569" Type="http://schemas.openxmlformats.org/officeDocument/2006/relationships/hyperlink" Target="https://drive.google.com/file/d/1U-CBfFVXXk2WyuRA_WTzpPUPopQN-FiN/view?usp=sharing" TargetMode="External"/><Relationship Id="rId9983" Type="http://schemas.openxmlformats.org/officeDocument/2006/relationships/hyperlink" Target="https://drive.google.com/drive/folders/15RLZpzp9KbTFMA5M0wZnnHtgfcMkwhnR?usp=drive_link" TargetMode="External"/><Relationship Id="rId11499" Type="http://schemas.openxmlformats.org/officeDocument/2006/relationships/hyperlink" Target="https://www.vidio.com/live/19737-turkish-volleyball-league?schedule_id=4824474" TargetMode="External"/><Relationship Id="rId928" Type="http://schemas.openxmlformats.org/officeDocument/2006/relationships/hyperlink" Target="https://drive.google.com/file/d/1pcjdLvAmqZnEl9o4ac5gkAdiL6ctiiKd/view?usp=sharing" TargetMode="External"/><Relationship Id="rId1558" Type="http://schemas.openxmlformats.org/officeDocument/2006/relationships/hyperlink" Target="https://drive.google.com/drive/folders/1Ct8A8gjkdaJ-sEFUB_JwaxL4uuEs8CvQ" TargetMode="External"/><Relationship Id="rId2609" Type="http://schemas.openxmlformats.org/officeDocument/2006/relationships/hyperlink" Target="https://drive.google.com/file/d/1Id5so7oASniY74_10dkJiimrKWHs6VgC/view?usp=drive_link" TargetMode="External"/><Relationship Id="rId5015" Type="http://schemas.openxmlformats.org/officeDocument/2006/relationships/hyperlink" Target="https://drive.google.com/drive/folders/1iXXXI8AUN2qzP-l9i7Vb4Z_ch9sn0od-" TargetMode="External"/><Relationship Id="rId8585" Type="http://schemas.openxmlformats.org/officeDocument/2006/relationships/hyperlink" Target="https://drive.google.com/drive/folders/1rV6iBF3BUVJGKbJLmmi7Oe55VA7Nav1A" TargetMode="External"/><Relationship Id="rId9636" Type="http://schemas.openxmlformats.org/officeDocument/2006/relationships/hyperlink" Target="https://drive.google.com/file/d/1fYuMHR8WfvgKsf-yRGWdT6XMlJ9G-aba/view?usp=sharing" TargetMode="External"/><Relationship Id="rId1972" Type="http://schemas.openxmlformats.org/officeDocument/2006/relationships/hyperlink" Target="https://www.vidio.com/live/19354-bri-super-league?schedule_id=4674560" TargetMode="External"/><Relationship Id="rId4031" Type="http://schemas.openxmlformats.org/officeDocument/2006/relationships/hyperlink" Target="https://www.vidio.com/live/19404-serie-a?schedule_id=4579879" TargetMode="External"/><Relationship Id="rId7187" Type="http://schemas.openxmlformats.org/officeDocument/2006/relationships/hyperlink" Target="https://drive.google.com/file/d/1DNux4glLBnqI-DzUHKvsJVIQIe0fQ_QF/view?usp=sharing" TargetMode="External"/><Relationship Id="rId8238" Type="http://schemas.openxmlformats.org/officeDocument/2006/relationships/hyperlink" Target="https://www.vidio.com/live/19692-top-youth-premier-league-2025-matchweek-6?schedule_id=4644419" TargetMode="External"/><Relationship Id="rId10168" Type="http://schemas.openxmlformats.org/officeDocument/2006/relationships/hyperlink" Target="https://drive.google.com/drive/folders/1fFuOdv3gAKxHtoDwWJZ_FlZSV2WgqOZK?usp=sharing" TargetMode="External"/><Relationship Id="rId11566" Type="http://schemas.openxmlformats.org/officeDocument/2006/relationships/hyperlink" Target="https://drive.google.com/drive/u/0/folders/1kvB_wqNYPhjRmRzrtCoOmRf1ELxrdDB_" TargetMode="External"/><Relationship Id="rId11980" Type="http://schemas.openxmlformats.org/officeDocument/2006/relationships/hyperlink" Target="https://drive.google.com/drive/folders/1BIsiofA5dOL--wG5BElp-OgK1zGUTHR7" TargetMode="External"/><Relationship Id="rId1625" Type="http://schemas.openxmlformats.org/officeDocument/2006/relationships/hyperlink" Target="https://drive.google.com/file/d/1AfcfwgEGRlmSmc9risvOQ2BKkJH2UpkK/view?usp=sharing" TargetMode="External"/><Relationship Id="rId7254" Type="http://schemas.openxmlformats.org/officeDocument/2006/relationships/hyperlink" Target="https://drive.google.com/file/d/145kdgzcCCZVN_IjFyvVMeonVQtwcpm39/view?usp=drive_link" TargetMode="External"/><Relationship Id="rId8305" Type="http://schemas.openxmlformats.org/officeDocument/2006/relationships/hyperlink" Target="https://drive.google.com/drive/folders/1qKFyFkEJJimKjpJ02Oq96NXW0TONhHbh?usp=drive_link" TargetMode="External"/><Relationship Id="rId8652" Type="http://schemas.openxmlformats.org/officeDocument/2006/relationships/hyperlink" Target="https://drive.google.com/file/d/1QVyFQ0ggbVBSD-RIWm09TZti-NweaEwh/view?usp=sharing" TargetMode="External"/><Relationship Id="rId9703" Type="http://schemas.openxmlformats.org/officeDocument/2006/relationships/hyperlink" Target="https://www.vidio.com/live/16890-one-championship?schedule_id=4773906" TargetMode="External"/><Relationship Id="rId10582" Type="http://schemas.openxmlformats.org/officeDocument/2006/relationships/hyperlink" Target="https://www.vidio.com/live/17875-bein-2?schedule_id=4830787" TargetMode="External"/><Relationship Id="rId11219" Type="http://schemas.openxmlformats.org/officeDocument/2006/relationships/hyperlink" Target="https://drive.google.com/drive/folders/10p0361tp8EE62w4qfBku53TvwybfWsjx" TargetMode="External"/><Relationship Id="rId11633" Type="http://schemas.openxmlformats.org/officeDocument/2006/relationships/hyperlink" Target="https://www.vidio.com/live/6317-bein-3?schedule_id=4827327" TargetMode="External"/><Relationship Id="rId3797" Type="http://schemas.openxmlformats.org/officeDocument/2006/relationships/hyperlink" Target="https://drive.google.com/drive/folders/1gUhKSj291ZHFnu2z9kKwNnXZnSkmB_sZ?usp=sharing" TargetMode="External"/><Relationship Id="rId4848" Type="http://schemas.openxmlformats.org/officeDocument/2006/relationships/hyperlink" Target="https://www.vidio.com/live/17938-serie-a?schedule_id=4831740" TargetMode="External"/><Relationship Id="rId10235" Type="http://schemas.openxmlformats.org/officeDocument/2006/relationships/hyperlink" Target="https://drive.google.com/drive/folders/1pVGaI02-07fSD9NluU-dNxj281Ce1QkO?usp=drive_link" TargetMode="External"/><Relationship Id="rId11700" Type="http://schemas.openxmlformats.org/officeDocument/2006/relationships/hyperlink" Target="https://www.vidio.com/live/18250-petronas-malaysia-open-2026-round-of-16-court-2" TargetMode="External"/><Relationship Id="rId2399" Type="http://schemas.openxmlformats.org/officeDocument/2006/relationships/hyperlink" Target="https://drive.google.com/drive/folders/1jTpCxrE8bgpjQYW1oUGksG0BEWGOqt2M?usp=drive_link" TargetMode="External"/><Relationship Id="rId3864" Type="http://schemas.openxmlformats.org/officeDocument/2006/relationships/hyperlink" Target="https://drive.google.com/drive/folders/1agaIckQIc2XPumj2t1jZNbQUPKJ_9OF2" TargetMode="External"/><Relationship Id="rId4915" Type="http://schemas.openxmlformats.org/officeDocument/2006/relationships/hyperlink" Target="https://drive.google.com/drive/folders/1u_8gzTkHFG8V9O6J8SJ9kYzCs1_u8BjA?usp=drive_link" TargetMode="External"/><Relationship Id="rId6270" Type="http://schemas.openxmlformats.org/officeDocument/2006/relationships/hyperlink" Target="https://www.vidio.com/live/19740-uefa-conference-league?schedule_id=4668407" TargetMode="External"/><Relationship Id="rId7321" Type="http://schemas.openxmlformats.org/officeDocument/2006/relationships/hyperlink" Target="https://drive.google.com/drive/folders/1WNbBSXJDOkoneIPAVHq9NEv7QsG3GjUD?usp=drive_link" TargetMode="External"/><Relationship Id="rId10302" Type="http://schemas.openxmlformats.org/officeDocument/2006/relationships/hyperlink" Target="https://thumbor.prod.vidiocdn.com/D1VYSahnialBW5yWiX-tgDWDS_k=/filters:quality(70)/vidio-media-production/uploads/image/source/51873/159e18.png" TargetMode="External"/><Relationship Id="rId785" Type="http://schemas.openxmlformats.org/officeDocument/2006/relationships/hyperlink" Target="https://drive.google.com/file/d/1QBdIxw-YiuU38T0NUjBLCFxCxal85ui_/view?usp=sharing" TargetMode="External"/><Relationship Id="rId2466" Type="http://schemas.openxmlformats.org/officeDocument/2006/relationships/hyperlink" Target="https://drive.google.com/file/d/1Jv27Bd4HtWwLpNU-1I9EusisoTIypfl6/view?usp=sharing" TargetMode="External"/><Relationship Id="rId2880" Type="http://schemas.openxmlformats.org/officeDocument/2006/relationships/hyperlink" Target="https://drive.google.com/file/d/1FH04BBSvQSsJriLqcPARUujtIZGsEfKE/view?usp=sharing" TargetMode="External"/><Relationship Id="rId3517" Type="http://schemas.openxmlformats.org/officeDocument/2006/relationships/hyperlink" Target="https://drive.google.com/file/d/1bCG1YClkxBwBJl4YW9Fxd5JKd4P4lnHM/view?usp=drive_link" TargetMode="External"/><Relationship Id="rId3931" Type="http://schemas.openxmlformats.org/officeDocument/2006/relationships/hyperlink" Target="https://www.vidio.com/live/18832-sirkuit-nasional-bulutangkis-2025?schedule_id=4637745" TargetMode="External"/><Relationship Id="rId9079" Type="http://schemas.openxmlformats.org/officeDocument/2006/relationships/hyperlink" Target="https://drive.google.com/file/d/1FF1WCyvxp7azR9RBAWGR8IxvELy9uW2e/view?usp=sharing" TargetMode="External"/><Relationship Id="rId9493" Type="http://schemas.openxmlformats.org/officeDocument/2006/relationships/hyperlink" Target="https://www.vidio.com/live/6317-bein-3?schedule_id=4777388" TargetMode="External"/><Relationship Id="rId438" Type="http://schemas.openxmlformats.org/officeDocument/2006/relationships/hyperlink" Target="https://drive.google.com/file/d/1AKulvA5IlbcKt-Cnlz4Y9gMB_b6uXVDF/view?usp=sharing" TargetMode="External"/><Relationship Id="rId852" Type="http://schemas.openxmlformats.org/officeDocument/2006/relationships/hyperlink" Target="https://www.vidio.com/live/9182-champions-tv-5?schedule_id=4747190" TargetMode="External"/><Relationship Id="rId1068" Type="http://schemas.openxmlformats.org/officeDocument/2006/relationships/hyperlink" Target="https://www.vidio.com/live/9183-champions-tv-6?schedule_id=4792897" TargetMode="External"/><Relationship Id="rId1482" Type="http://schemas.openxmlformats.org/officeDocument/2006/relationships/hyperlink" Target="https://drive.google.com/file/d/1Cfxb5eqXnKx-Ce03fPtW0mf--pEmZGR0/view?usp=drive_link" TargetMode="External"/><Relationship Id="rId2119" Type="http://schemas.openxmlformats.org/officeDocument/2006/relationships/hyperlink" Target="https://drive.google.com/file/d/1KmyY8bYrDvdio3neabLthDfm7ll0vgSm/view?usp=sharing" TargetMode="External"/><Relationship Id="rId2533" Type="http://schemas.openxmlformats.org/officeDocument/2006/relationships/hyperlink" Target="https://drive.google.com/drive/folders/1vvJz14Jl4gIdV_iCTT5E3kf9dGSkmgZL?usp=drive_link" TargetMode="External"/><Relationship Id="rId5689" Type="http://schemas.openxmlformats.org/officeDocument/2006/relationships/hyperlink" Target="https://drive.google.com/file/d/1mki3FoInQCq-mOjC-mTAos-ZLCJSiovY/view?usp=sharing" TargetMode="External"/><Relationship Id="rId8095" Type="http://schemas.openxmlformats.org/officeDocument/2006/relationships/hyperlink" Target="https://drive.google.com/file/d/1Q1jrPCwkik3Kg0PG80q8oeDXUfVsiRPh/view?usp=sharing" TargetMode="External"/><Relationship Id="rId9146" Type="http://schemas.openxmlformats.org/officeDocument/2006/relationships/hyperlink" Target="https://drive.google.com/drive/u/0/folders/1Y3lQ-2tCOtwz1v08MY9NDUqIZiFn_eY5" TargetMode="External"/><Relationship Id="rId9560" Type="http://schemas.openxmlformats.org/officeDocument/2006/relationships/hyperlink" Target="https://drive.google.com/file/d/1bGAtWdCSL-v2iZg1GvRoYwXZwXVqVH3x/view?usp=sharing" TargetMode="External"/><Relationship Id="rId11076" Type="http://schemas.openxmlformats.org/officeDocument/2006/relationships/hyperlink" Target="https://drive.google.com/drive/folders/1kgFW7rdHC2SZXIfz-I7xGD3NAU2tSBwS?usp=drive_link" TargetMode="External"/><Relationship Id="rId12127" Type="http://schemas.openxmlformats.org/officeDocument/2006/relationships/hyperlink" Target="https://drive.google.com/file/d/1xXRyTpjraFbbrHD2OOrzfOJmKS83JG2b/view?usp=sharing" TargetMode="External"/><Relationship Id="rId505" Type="http://schemas.openxmlformats.org/officeDocument/2006/relationships/hyperlink" Target="https://drive.google.com/file/d/1DNjBkEetOP3XYwpj5uABqUs3t3_cc3Py/view?usp=sharing" TargetMode="External"/><Relationship Id="rId1135" Type="http://schemas.openxmlformats.org/officeDocument/2006/relationships/hyperlink" Target="https://drive.google.com/drive/folders/1ZndxJb_AeVjqxtE6WWBdozzh0JFtyKED?usp=drive_link" TargetMode="External"/><Relationship Id="rId8162" Type="http://schemas.openxmlformats.org/officeDocument/2006/relationships/hyperlink" Target="https://www.vidio.com/live/19541-pegadaian-championship-2025-26?schedule_id=4713689" TargetMode="External"/><Relationship Id="rId9213" Type="http://schemas.openxmlformats.org/officeDocument/2006/relationships/hyperlink" Target="https://www.vidio.com/live/19810-top-soccer-championship-2025-u-15?schedule_id=4708362" TargetMode="External"/><Relationship Id="rId10092" Type="http://schemas.openxmlformats.org/officeDocument/2006/relationships/hyperlink" Target="https://www.vidio.com/live/18189-champions-golf-1?schedule_id=4761987" TargetMode="External"/><Relationship Id="rId11143" Type="http://schemas.openxmlformats.org/officeDocument/2006/relationships/hyperlink" Target="https://thumbor.prod.vidiocdn.com/qpBQb2rOpsFUHvFfCFlJr7sKLvI=/filters:quality(70)/vidio-media-production/uploads/image/source/53288/e9f0c3.png" TargetMode="External"/><Relationship Id="rId11490" Type="http://schemas.openxmlformats.org/officeDocument/2006/relationships/hyperlink" Target="https://drive.google.com/file/d/1gMj7eVX561MTl8BN6Y8deMKduoUsZUV-/view?usp=sharing" TargetMode="External"/><Relationship Id="rId1202" Type="http://schemas.openxmlformats.org/officeDocument/2006/relationships/hyperlink" Target="https://drive.google.com/drive/folders/1twSVxccybIlvSOAkc9mhl96LkHDo1Z2O" TargetMode="External"/><Relationship Id="rId2600" Type="http://schemas.openxmlformats.org/officeDocument/2006/relationships/hyperlink" Target="https://www.vidio.com/live/6299-bein-1?schedule_id=4597934" TargetMode="External"/><Relationship Id="rId4358" Type="http://schemas.openxmlformats.org/officeDocument/2006/relationships/hyperlink" Target="https://drive.google.com/file/d/1rCisb1QpYlp82YxDUucbLdyrQr_SBJfm/view?usp=sharing" TargetMode="External"/><Relationship Id="rId5409" Type="http://schemas.openxmlformats.org/officeDocument/2006/relationships/hyperlink" Target="https://drive.google.com/drive/u/0/folders/18-N3jlOaMZcdYXpiyW5KACywJV7oVMmX" TargetMode="External"/><Relationship Id="rId5756" Type="http://schemas.openxmlformats.org/officeDocument/2006/relationships/hyperlink" Target="https://drive.google.com/drive/folders/1Xlp5aunryVlWR8atbAp6mL9dfJO63aR4?usp=drive_link" TargetMode="External"/><Relationship Id="rId6807" Type="http://schemas.openxmlformats.org/officeDocument/2006/relationships/hyperlink" Target="https://drive.google.com/file/d/1klaYLD3n1SZkzlhxqJSt-JLlCoVevrxe/view?usp=sharing" TargetMode="External"/><Relationship Id="rId4772" Type="http://schemas.openxmlformats.org/officeDocument/2006/relationships/hyperlink" Target="https://drive.google.com/drive/folders/1qWlQu_LrIZMlh3ffiRHcdvSxdvTacHpV?usp=drive_link" TargetMode="External"/><Relationship Id="rId5823" Type="http://schemas.openxmlformats.org/officeDocument/2006/relationships/hyperlink" Target="https://drive.google.com/file/d/1u4cAsVgNQEfpX7V6fzGa8UHvrtInUDr7/view?usp=sharing" TargetMode="External"/><Relationship Id="rId8979" Type="http://schemas.openxmlformats.org/officeDocument/2006/relationships/hyperlink" Target="https://drive.google.com/drive/folders/13pH7-HBiXR2NElkDe0GD1bgEyQ5mLZLU" TargetMode="External"/><Relationship Id="rId11210" Type="http://schemas.openxmlformats.org/officeDocument/2006/relationships/hyperlink" Target="https://www.vidio.com/live/18250-hsbc-bwf-world-tour-finals-2025-group-stage-court-2?schedule_id=4784613" TargetMode="External"/><Relationship Id="rId295" Type="http://schemas.openxmlformats.org/officeDocument/2006/relationships/hyperlink" Target="https://drive.google.com/file/d/1xJbikSsRwArpRrYK-Stl5S8vuLV_eYxH/view?usp=sharing" TargetMode="External"/><Relationship Id="rId3374" Type="http://schemas.openxmlformats.org/officeDocument/2006/relationships/hyperlink" Target="https://drive.google.com/file/d/1wckJRMmNnytzhJ7Q18rOvqu-ATNa9R2m/view?usp=sharing" TargetMode="External"/><Relationship Id="rId4425" Type="http://schemas.openxmlformats.org/officeDocument/2006/relationships/hyperlink" Target="https://drive.google.com/drive/folders/1r4GbNGOIfdJvxT_39HLQFxA7Y77CzvkQ?usp=drive_link" TargetMode="External"/><Relationship Id="rId7995" Type="http://schemas.openxmlformats.org/officeDocument/2006/relationships/hyperlink" Target="https://drive.google.com/file/d/1pW71Ay8gw6q667smJMS4uNGF28MJA34t/view?usp=sharing" TargetMode="External"/><Relationship Id="rId10976" Type="http://schemas.openxmlformats.org/officeDocument/2006/relationships/hyperlink" Target="https://www.vidio.com/live/20251-fa-cup-2025-26?schedule_id=4832270" TargetMode="External"/><Relationship Id="rId2390" Type="http://schemas.openxmlformats.org/officeDocument/2006/relationships/hyperlink" Target="https://drive.google.com/file/d/19Eeb_FzarK6D3F0ZyQwXiflRK3INpd0c/view?usp=sharing" TargetMode="External"/><Relationship Id="rId3027" Type="http://schemas.openxmlformats.org/officeDocument/2006/relationships/hyperlink" Target="https://thumbor.prod.vidiocdn.com/uBCfcBodjP6bVFqJI-z_50pBMbg=/filters:quality(70)/vidio-media-production/uploads/image/source/51618/416299.png" TargetMode="External"/><Relationship Id="rId3441" Type="http://schemas.openxmlformats.org/officeDocument/2006/relationships/hyperlink" Target="https://www.vidio.com/live/6685-champions-tv-1?schedule_id=4505809" TargetMode="External"/><Relationship Id="rId6597" Type="http://schemas.openxmlformats.org/officeDocument/2006/relationships/hyperlink" Target="https://drive.google.com/drive/folders/1BtEoRTsvhILE1FSllOuip-_7gJEDgriw?usp=drive_link" TargetMode="External"/><Relationship Id="rId7648" Type="http://schemas.openxmlformats.org/officeDocument/2006/relationships/hyperlink" Target="https://drive.google.com/file/d/1tzOAiHKRAzuDyhbW1-i807Dmz6kQEMAx/view?usp=sharing" TargetMode="External"/><Relationship Id="rId10629" Type="http://schemas.openxmlformats.org/officeDocument/2006/relationships/hyperlink" Target="https://drive.google.com/drive/folders/17SVMbiN82oET-usBdDaGP36mjZKojwNR" TargetMode="External"/><Relationship Id="rId362" Type="http://schemas.openxmlformats.org/officeDocument/2006/relationships/hyperlink" Target="https://www.vidio.com/live/19536-premier-league?schedule_id=4579956" TargetMode="External"/><Relationship Id="rId2043" Type="http://schemas.openxmlformats.org/officeDocument/2006/relationships/hyperlink" Target="https://drive.google.com/file/d/1FeGoKuzRdimzkyhrJANsFlhy4AE15tc8/view?usp=sharing" TargetMode="External"/><Relationship Id="rId5199" Type="http://schemas.openxmlformats.org/officeDocument/2006/relationships/hyperlink" Target="https://www.vidio.com/live/18302-uefa-champions-league?schedule_id=4664044" TargetMode="External"/><Relationship Id="rId6664" Type="http://schemas.openxmlformats.org/officeDocument/2006/relationships/hyperlink" Target="https://www.vidio.com/live/6686-champions-tv-2?schedule_id=4592568" TargetMode="External"/><Relationship Id="rId7715" Type="http://schemas.openxmlformats.org/officeDocument/2006/relationships/hyperlink" Target="https://drive.google.com/file/d/1s80ZjKw2qUpGkF76y-_G_MqbX-CfISZ-/view?usp=drive_link" TargetMode="External"/><Relationship Id="rId9070" Type="http://schemas.openxmlformats.org/officeDocument/2006/relationships/hyperlink" Target="https://drive.google.com/drive/folders/1sF-zmngYmzZfFadD1fRG5Tfy6PdytPBS?usp=sharing" TargetMode="External"/><Relationship Id="rId12051" Type="http://schemas.openxmlformats.org/officeDocument/2006/relationships/hyperlink" Target="https://drive.google.com/drive/folders/1j2A_bH-x2l04Qo4WA98rK5ys1iCEU3UZ" TargetMode="External"/><Relationship Id="rId2110" Type="http://schemas.openxmlformats.org/officeDocument/2006/relationships/hyperlink" Target="https://www.vidio.com/live/19354-bri-super-league?schedule_id=4739600" TargetMode="External"/><Relationship Id="rId5266" Type="http://schemas.openxmlformats.org/officeDocument/2006/relationships/hyperlink" Target="https://www.vidio.com/live/17883-uefa-champions-league?schedule_id=4684725" TargetMode="External"/><Relationship Id="rId5680" Type="http://schemas.openxmlformats.org/officeDocument/2006/relationships/hyperlink" Target="https://drive.google.com/drive/folders/1Xlp5aunryVlWR8atbAp6mL9dfJO63aR4?usp=drive_link" TargetMode="External"/><Relationship Id="rId6317" Type="http://schemas.openxmlformats.org/officeDocument/2006/relationships/hyperlink" Target="https://drive.google.com/drive/folders/1_QyyUC0KxsA5I5XnGSR_moWG1pYIaeRU" TargetMode="External"/><Relationship Id="rId9887" Type="http://schemas.openxmlformats.org/officeDocument/2006/relationships/hyperlink" Target="https://drive.google.com/file/d/1srLBTCoxxAXFRl5FXFwQ4d0CLaVVpihc/view?usp=sharing" TargetMode="External"/><Relationship Id="rId4282" Type="http://schemas.openxmlformats.org/officeDocument/2006/relationships/hyperlink" Target="https://drive.google.com/file/d/1CvcIa-srNwgsWyKV5SILm0b8uU_iDSq5/view?usp=sharing" TargetMode="External"/><Relationship Id="rId5333" Type="http://schemas.openxmlformats.org/officeDocument/2006/relationships/hyperlink" Target="https://drive.google.com/drive/folders/14Wb3x9yN298vTECYGS7G_yCO7LWjXAJK" TargetMode="External"/><Relationship Id="rId6731" Type="http://schemas.openxmlformats.org/officeDocument/2006/relationships/hyperlink" Target="https://drive.google.com/drive/folders/1HfAu5uWHaGwNYYjUzBCiSU8ar9dKtEEy" TargetMode="External"/><Relationship Id="rId8489" Type="http://schemas.openxmlformats.org/officeDocument/2006/relationships/hyperlink" Target="https://www.vidio.com/live/6685-champions-tv-1?schedule_id=4667505" TargetMode="External"/><Relationship Id="rId1876" Type="http://schemas.openxmlformats.org/officeDocument/2006/relationships/hyperlink" Target="https://drive.google.com/drive/folders/1aexzNkyl8QGtRGJz1_l8iR7bOKhXX5tg" TargetMode="External"/><Relationship Id="rId2927" Type="http://schemas.openxmlformats.org/officeDocument/2006/relationships/hyperlink" Target="https://drive.google.com/file/d/13BqTu5AEJ2X8nfNAopFVYg2RBel3NLzk/view?usp=sharing" TargetMode="External"/><Relationship Id="rId9954" Type="http://schemas.openxmlformats.org/officeDocument/2006/relationships/hyperlink" Target="https://www.vidio.com/live/6299-bein-1?schedule_id=4790931" TargetMode="External"/><Relationship Id="rId11884" Type="http://schemas.openxmlformats.org/officeDocument/2006/relationships/hyperlink" Target="https://drive.google.com/drive/folders/1TYXj5i7Ik4SNEitV7mHoBo1u6CAR_kAQ?usp=drive_link" TargetMode="External"/><Relationship Id="rId1529" Type="http://schemas.openxmlformats.org/officeDocument/2006/relationships/hyperlink" Target="https://drive.google.com/file/d/10rh9ehZG6DDllqZBu-dutetVAPTAlxti/view?usp=sharing" TargetMode="External"/><Relationship Id="rId1943" Type="http://schemas.openxmlformats.org/officeDocument/2006/relationships/hyperlink" Target="https://drive.google.com/drive/folders/1dizg3kN2L1IOUj4twhY7tn4O8bGIijGw" TargetMode="External"/><Relationship Id="rId5400" Type="http://schemas.openxmlformats.org/officeDocument/2006/relationships/hyperlink" Target="https://drive.google.com/file/d/1s66G-8mciHBB-R6yQEQyc5scckLEpReA/view?usp=sharing" TargetMode="External"/><Relationship Id="rId8556" Type="http://schemas.openxmlformats.org/officeDocument/2006/relationships/hyperlink" Target="https://drive.google.com/drive/folders/1KEOTBaaYet7mlkmZGlQoxd4_Mt8-GzmJ" TargetMode="External"/><Relationship Id="rId8970" Type="http://schemas.openxmlformats.org/officeDocument/2006/relationships/hyperlink" Target="https://drive.google.com/file/d/1BGxV3TZnSkLj5A5rcyfbGu5paVz01_Yn/view?usp=sharing" TargetMode="External"/><Relationship Id="rId9607" Type="http://schemas.openxmlformats.org/officeDocument/2006/relationships/hyperlink" Target="https://drive.google.com/file/d/1I3mOZvWW9HXmjd6gD0p1qlH6tu3PaQoo/view?usp=sharing" TargetMode="External"/><Relationship Id="rId10486" Type="http://schemas.openxmlformats.org/officeDocument/2006/relationships/hyperlink" Target="https://drive.google.com/drive/folders/1NepG6XT-FSa8Cs07sX3tPfQWLNpJfAxp" TargetMode="External"/><Relationship Id="rId11537" Type="http://schemas.openxmlformats.org/officeDocument/2006/relationships/hyperlink" Target="https://drive.google.com/drive/folders/1Ib6AKRNZPtYf7AQKn3GtOtLLFu3IqwYD" TargetMode="External"/><Relationship Id="rId11951" Type="http://schemas.openxmlformats.org/officeDocument/2006/relationships/hyperlink" Target="https://www.vidio.com/live/18250-petronas-malaysia-open-2026-round-of-32-court-?schedule_id=4832184" TargetMode="External"/><Relationship Id="rId4002" Type="http://schemas.openxmlformats.org/officeDocument/2006/relationships/hyperlink" Target="https://drive.google.com/file/d/19pCrItHmbjQ2YuSXKKSb45RVgj1uobnQ/view?usp=drive_link" TargetMode="External"/><Relationship Id="rId7158" Type="http://schemas.openxmlformats.org/officeDocument/2006/relationships/hyperlink" Target="https://www.vidio.com/live/19685-pegadaian-championship-2025-26?schedule_id=4642148" TargetMode="External"/><Relationship Id="rId7572" Type="http://schemas.openxmlformats.org/officeDocument/2006/relationships/hyperlink" Target="https://drive.google.com/drive/folders/1jRAPC7p0nCSBU3xeVT3QEOMwRzJZXVvg?usp=drive_link" TargetMode="External"/><Relationship Id="rId8209" Type="http://schemas.openxmlformats.org/officeDocument/2006/relationships/hyperlink" Target="https://www.vidio.com/live/19548-national-football-league-2025-26?schedule_id=4659899" TargetMode="External"/><Relationship Id="rId8623" Type="http://schemas.openxmlformats.org/officeDocument/2006/relationships/hyperlink" Target="https://drive.google.com/file/d/1CMWLqjZyhg8gMbuQT7hExejt0yfSMbKG/view?usp=sharing" TargetMode="External"/><Relationship Id="rId10139" Type="http://schemas.openxmlformats.org/officeDocument/2006/relationships/hyperlink" Target="https://www.vidio.com/live/19998?schedule_id=4743101" TargetMode="External"/><Relationship Id="rId10553" Type="http://schemas.openxmlformats.org/officeDocument/2006/relationships/hyperlink" Target="https://drive.google.com/file/d/12U9yOwQbWBpmnxMf6KhCuadKgiOg4M-1/view?usp=sharing" TargetMode="External"/><Relationship Id="rId11604" Type="http://schemas.openxmlformats.org/officeDocument/2006/relationships/hyperlink" Target="https://www.vidio.com/live/6685-champions-tv-1?schedule_id=4832229" TargetMode="External"/><Relationship Id="rId3768" Type="http://schemas.openxmlformats.org/officeDocument/2006/relationships/hyperlink" Target="https://drive.google.com/file/d/1REmGmGSLC6YGSfmIWH79RXp5JycM371Y/view?usp=sharing" TargetMode="External"/><Relationship Id="rId4819" Type="http://schemas.openxmlformats.org/officeDocument/2006/relationships/hyperlink" Target="https://drive.google.com/file/d/1GlMLHKloWB4CFJfVv3vpSM9y52ILPWAz/view?usp=sharing" TargetMode="External"/><Relationship Id="rId6174" Type="http://schemas.openxmlformats.org/officeDocument/2006/relationships/hyperlink" Target="https://drive.google.com/file/d/157HQRt08sXmsUZdP3B4qZCoj79NIcAzo/view?usp=sharing" TargetMode="External"/><Relationship Id="rId7225" Type="http://schemas.openxmlformats.org/officeDocument/2006/relationships/hyperlink" Target="https://drive.google.com/drive/folders/14ZZka-T3cUk_Hg9AHhZ6say61oXaKo5_" TargetMode="External"/><Relationship Id="rId10206" Type="http://schemas.openxmlformats.org/officeDocument/2006/relationships/hyperlink" Target="https://drive.google.com/drive/folders/1R6hv7r4e6srRgT7ukv0GJlYaTAqcUtBo" TargetMode="External"/><Relationship Id="rId689" Type="http://schemas.openxmlformats.org/officeDocument/2006/relationships/hyperlink" Target="https://drive.google.com/file/d/1l0ZNbmrnd4nZEu-FZx7PBiSpoZp1c1Mi/view?usp=sharing" TargetMode="External"/><Relationship Id="rId2784" Type="http://schemas.openxmlformats.org/officeDocument/2006/relationships/hyperlink" Target="https://drive.google.com/file/d/1kLRoOR2wwE5vbTomFey7_fGLYt1G0tfb/view?usp=sharing" TargetMode="External"/><Relationship Id="rId5190" Type="http://schemas.openxmlformats.org/officeDocument/2006/relationships/hyperlink" Target="https://drive.google.com/drive/folders/1d8RfZ3AxKm4vcq0d__doqb5lGvVI-NuD" TargetMode="External"/><Relationship Id="rId6241" Type="http://schemas.openxmlformats.org/officeDocument/2006/relationships/hyperlink" Target="https://drive.google.com/drive/folders/1vjOA9E-jOlhsRSh5NE7jSpcmcR5v41-E" TargetMode="External"/><Relationship Id="rId9397" Type="http://schemas.openxmlformats.org/officeDocument/2006/relationships/hyperlink" Target="https://thumbor.prod.vidiocdn.com/5ut9qOR-Bj5JP7k1kvX166J0Ac4=/filters:quality(70)/vidio-media-production/uploads/image/source/52764/1220ba.png" TargetMode="External"/><Relationship Id="rId10620" Type="http://schemas.openxmlformats.org/officeDocument/2006/relationships/hyperlink" Target="https://www.vidio.com/live/20066-top-soccer-championship-2025-final-cup-dan-plate-u-14-dan-u-15?schedule_id=4776340" TargetMode="External"/><Relationship Id="rId12378" Type="http://schemas.openxmlformats.org/officeDocument/2006/relationships/hyperlink" Target="https://drive.google.com/file/d/1aerik-EGVX1bP7WoYaM_AMSCFqH9d2Jz/view?usp=sharing" TargetMode="External"/><Relationship Id="rId756" Type="http://schemas.openxmlformats.org/officeDocument/2006/relationships/hyperlink" Target="https://www.vidio.com/live/9182-champions-tv-5?schedule_id=4726068" TargetMode="External"/><Relationship Id="rId1386" Type="http://schemas.openxmlformats.org/officeDocument/2006/relationships/hyperlink" Target="https://drive.google.com/file/d/1eE7qK4K1-kAoozSSuv1ltB7isX_MWshb/view?usp=drive_link" TargetMode="External"/><Relationship Id="rId2437" Type="http://schemas.openxmlformats.org/officeDocument/2006/relationships/hyperlink" Target="https://drive.google.com/drive/folders/1bSyQyCs7nQ9frus6x2oAMgfeAdC0pVzN?usp=drive_link" TargetMode="External"/><Relationship Id="rId3835" Type="http://schemas.openxmlformats.org/officeDocument/2006/relationships/hyperlink" Target="https://drive.google.com/drive/folders/1JDw5cAPFw1bZIzvDc-PYinz_cmT13uiC?usp=sharing" TargetMode="External"/><Relationship Id="rId9464" Type="http://schemas.openxmlformats.org/officeDocument/2006/relationships/hyperlink" Target="https://drive.google.com/file/d/1gdUCxisQhW4NHkc8DcD2inDTA8UBRVZB/view?usp=sharing" TargetMode="External"/><Relationship Id="rId409" Type="http://schemas.openxmlformats.org/officeDocument/2006/relationships/hyperlink" Target="https://drive.google.com/file/d/1A6VT_U5ovZ-TuEo-DfkGKYTETO3kFxUt/view?usp=sharing" TargetMode="External"/><Relationship Id="rId1039" Type="http://schemas.openxmlformats.org/officeDocument/2006/relationships/hyperlink" Target="https://drive.google.com/drive/folders/197-3fIVTOkFkpajyILcxWqssu40-w-Bp?usp=drive_link" TargetMode="External"/><Relationship Id="rId2851" Type="http://schemas.openxmlformats.org/officeDocument/2006/relationships/hyperlink" Target="https://drive.google.com/file/d/1RB-KQO6kXjpWzHTLGpwxSxDuwFigQ32B/view?usp=sharing" TargetMode="External"/><Relationship Id="rId3902" Type="http://schemas.openxmlformats.org/officeDocument/2006/relationships/hyperlink" Target="https://drive.google.com/file/d/19RtZipbN2_E4e-rHkTX5VSpXPQ73jGyo/view?usp=sharing" TargetMode="External"/><Relationship Id="rId8066" Type="http://schemas.openxmlformats.org/officeDocument/2006/relationships/hyperlink" Target="https://www.vidio.com/live/19542-pegadaian-championship-2025-26?schedule_id=4704437" TargetMode="External"/><Relationship Id="rId9117" Type="http://schemas.openxmlformats.org/officeDocument/2006/relationships/hyperlink" Target="https://drive.google.com/drive/folders/1dTA5cSu7BJxDmPJ4fdU2u0MpuyF0wP-X" TargetMode="External"/><Relationship Id="rId11394" Type="http://schemas.openxmlformats.org/officeDocument/2006/relationships/hyperlink" Target="https://thumbor.prod.vidiocdn.com/3Os72fHItnPKDmqa_41NashIJyI=/filters:quality(70)/vidio-media-production/uploads/image/source/52356/1fd1d8.png" TargetMode="External"/><Relationship Id="rId12445" Type="http://schemas.openxmlformats.org/officeDocument/2006/relationships/hyperlink" Target="https://www.vidio.com/live/18249-petronas-malaysia-open-2026-semifinals?schedule_id=4835421" TargetMode="External"/><Relationship Id="rId92" Type="http://schemas.openxmlformats.org/officeDocument/2006/relationships/hyperlink" Target="https://drive.google.com/drive/folders/1mc7uEEOYbbizHvvQhOhkjDrQsaNsAIXZ" TargetMode="External"/><Relationship Id="rId823" Type="http://schemas.openxmlformats.org/officeDocument/2006/relationships/hyperlink" Target="https://drive.google.com/drive/folders/196BtBAss-xYXchYmt72RG1sSzYZrGmhv" TargetMode="External"/><Relationship Id="rId1453" Type="http://schemas.openxmlformats.org/officeDocument/2006/relationships/hyperlink" Target="https://www.vidio.com/live/6299-bein-1?schedule_id=4506554" TargetMode="External"/><Relationship Id="rId2504" Type="http://schemas.openxmlformats.org/officeDocument/2006/relationships/hyperlink" Target="https://drive.google.com/drive/folders/1OaLIp6HFvH8TyaeVEqGxIV3HFrziJkWO?usp=drive_link" TargetMode="External"/><Relationship Id="rId7082" Type="http://schemas.openxmlformats.org/officeDocument/2006/relationships/hyperlink" Target="https://drive.google.com/drive/folders/1HPNNm91EVLEH-0XQMHzjKDqHXIbqVd4j?usp=sharing" TargetMode="External"/><Relationship Id="rId8480" Type="http://schemas.openxmlformats.org/officeDocument/2006/relationships/hyperlink" Target="https://drive.google.com/file/d/1dkEsIKsZXJf7DK6p4sTX0tOUiRtoEI3U/view?usp=sharing" TargetMode="External"/><Relationship Id="rId9531" Type="http://schemas.openxmlformats.org/officeDocument/2006/relationships/hyperlink" Target="https://www.vidio.com/live/19845-top-soccer-championship-2025-u-13-u-14" TargetMode="External"/><Relationship Id="rId11047" Type="http://schemas.openxmlformats.org/officeDocument/2006/relationships/hyperlink" Target="https://drive.google.com/drive/u/0/folders/1-g3D7TaX761q0suHFU0Mmk3INnMgykSO" TargetMode="External"/><Relationship Id="rId11461" Type="http://schemas.openxmlformats.org/officeDocument/2006/relationships/hyperlink" Target="https://drive.google.com/drive/folders/1SbXcPx1Y0HDg3AUHE6ZO6FW6xpeNAJnU" TargetMode="External"/><Relationship Id="rId1106" Type="http://schemas.openxmlformats.org/officeDocument/2006/relationships/hyperlink" Target="https://thumbor.prod.vidiocdn.com/S7E-c4R5HW3tgshCJrV6xdlfS5g=/filters:quality(70)/vidio-media-production/uploads/image/source/52489/d8ebb0.png" TargetMode="External"/><Relationship Id="rId1520" Type="http://schemas.openxmlformats.org/officeDocument/2006/relationships/hyperlink" Target="https://www.vidio.com/live/19353-bri-super-league?schedule_id=4499133" TargetMode="External"/><Relationship Id="rId4676" Type="http://schemas.openxmlformats.org/officeDocument/2006/relationships/hyperlink" Target="https://drive.google.com/file/d/1JRQ0nlPrkL1sBreSPGNJ1_Jjfu5-fBLr/view?usp=drive_link" TargetMode="External"/><Relationship Id="rId5727" Type="http://schemas.openxmlformats.org/officeDocument/2006/relationships/hyperlink" Target="https://drive.google.com/drive/folders/1Xlp5aunryVlWR8atbAp6mL9dfJO63aR4?usp=drive_link" TargetMode="External"/><Relationship Id="rId8133" Type="http://schemas.openxmlformats.org/officeDocument/2006/relationships/hyperlink" Target="https://drive.google.com/drive/u/0/folders/1CP13bf12H8y8AFz7jwJD6k_AI3D9396Y" TargetMode="External"/><Relationship Id="rId10063" Type="http://schemas.openxmlformats.org/officeDocument/2006/relationships/hyperlink" Target="https://thumbor.prod.vidiocdn.com/xt2wn_0IqopQtcUPrXrxFnhe_Tk=/filters:quality(70)/vidio-media-production/uploads/image/source/51592/63efd7.png" TargetMode="External"/><Relationship Id="rId11114" Type="http://schemas.openxmlformats.org/officeDocument/2006/relationships/hyperlink" Target="https://www.vidio.com/live/20249-fa-cup-2025-26?schedule_id=4832268" TargetMode="External"/><Relationship Id="rId3278" Type="http://schemas.openxmlformats.org/officeDocument/2006/relationships/hyperlink" Target="https://drive.google.com/drive/folders/100yjPEJa5ZAFNVpzru5smfSnu9DrVol5?usp=drive_link" TargetMode="External"/><Relationship Id="rId3692" Type="http://schemas.openxmlformats.org/officeDocument/2006/relationships/hyperlink" Target="https://drive.google.com/file/d/1G8lh4xphaYqsIWJh3wXPTFxnqzh8PmS_/view?usp=sharing" TargetMode="External"/><Relationship Id="rId4329" Type="http://schemas.openxmlformats.org/officeDocument/2006/relationships/hyperlink" Target="https://drive.google.com/drive/folders/1lBlXFBl4TqP2MeqFN3Wx1uc1mDYkLzFG?usp=drive_link" TargetMode="External"/><Relationship Id="rId4743" Type="http://schemas.openxmlformats.org/officeDocument/2006/relationships/hyperlink" Target="https://drive.google.com/file/d/1Ig0eRy56QUtNTWrC7l8ibjc1mtipy4yO/view?usp=sharing" TargetMode="External"/><Relationship Id="rId7899" Type="http://schemas.openxmlformats.org/officeDocument/2006/relationships/hyperlink" Target="https://www.vidio.com/live/19737-turkish-men-s-volleyball-league?schedule_id=4667511" TargetMode="External"/><Relationship Id="rId8200" Type="http://schemas.openxmlformats.org/officeDocument/2006/relationships/hyperlink" Target="https://drive.google.com/file/d/1xTYtG-DyTC4YXA4si4f6yy4I1cbqAqYU/view?usp=sharing" TargetMode="External"/><Relationship Id="rId10130" Type="http://schemas.openxmlformats.org/officeDocument/2006/relationships/hyperlink" Target="https://drive.google.com/drive/folders/1NepG6XT-FSa8Cs07sX3tPfQWLNpJfAxp" TargetMode="External"/><Relationship Id="rId199" Type="http://schemas.openxmlformats.org/officeDocument/2006/relationships/hyperlink" Target="https://drive.google.com/file/d/1ggZdNtZUBB3tSFG9Rc8DkuRlGFAXa2xw/view?usp=sharing" TargetMode="External"/><Relationship Id="rId2294" Type="http://schemas.openxmlformats.org/officeDocument/2006/relationships/hyperlink" Target="https://drive.google.com/drive/folders/1Pm5Jgmxh-aKl9hR8HYKc-wSUtGQ6816G?usp=drive_link" TargetMode="External"/><Relationship Id="rId3345" Type="http://schemas.openxmlformats.org/officeDocument/2006/relationships/hyperlink" Target="https://drive.google.com/file/d/16mHDru4MYysmaa50C0zRH32ChdfTRFrQ/view?usp=sharing" TargetMode="External"/><Relationship Id="rId266" Type="http://schemas.openxmlformats.org/officeDocument/2006/relationships/hyperlink" Target="https://drive.google.com/file/d/1wH7qe0vKsdeLnPGKzVGJGTi0MKowrZ-Z/view?usp=drive_link" TargetMode="External"/><Relationship Id="rId680" Type="http://schemas.openxmlformats.org/officeDocument/2006/relationships/hyperlink" Target="https://drive.google.com/drive/folders/1ds9PMo8hFSwSpLmEp1JSAss9vLnn8zkw" TargetMode="External"/><Relationship Id="rId2361" Type="http://schemas.openxmlformats.org/officeDocument/2006/relationships/hyperlink" Target="https://www.vidio.com/live/6317-bein-3?schedule_id=4527527" TargetMode="External"/><Relationship Id="rId3412" Type="http://schemas.openxmlformats.org/officeDocument/2006/relationships/hyperlink" Target="https://www.vidio.com/live/6685-champions-tv-1?schedule_id=4490414" TargetMode="External"/><Relationship Id="rId4810" Type="http://schemas.openxmlformats.org/officeDocument/2006/relationships/hyperlink" Target="https://thumbor.prod.vidiocdn.com/jspmewL0J21UkrWO4_4qzqB4hYw=/filters:quality(70)/vidio-media-production/uploads/image/source/52626/03f9b0.png" TargetMode="External"/><Relationship Id="rId6568" Type="http://schemas.openxmlformats.org/officeDocument/2006/relationships/hyperlink" Target="https://drive.google.com/file/d/1u4-Mdwj8SBhLw6uqXlOwczW2VJiZ12M7/view?usp=sharing" TargetMode="External"/><Relationship Id="rId7619" Type="http://schemas.openxmlformats.org/officeDocument/2006/relationships/hyperlink" Target="https://drive.google.com/drive/folders/19fBb5eBaYGqN_8-1-ItmssVsgTnDu4A6?usp=drive_link" TargetMode="External"/><Relationship Id="rId7966" Type="http://schemas.openxmlformats.org/officeDocument/2006/relationships/hyperlink" Target="https://drive.google.com/drive/folders/1hhduB40tdpwGEhJbYM2g4CUGcauZU_1x" TargetMode="External"/><Relationship Id="rId10947" Type="http://schemas.openxmlformats.org/officeDocument/2006/relationships/hyperlink" Target="https://drive.google.com/drive/folders/1wItNzZgKeZUL9zGbCQABqXKfKivIb5dZ" TargetMode="External"/><Relationship Id="rId333" Type="http://schemas.openxmlformats.org/officeDocument/2006/relationships/hyperlink" Target="https://drive.google.com/drive/folders/17rj5PNxFl4rPo1zrJBroigAa-bx5Qzf3?usp=drive_link" TargetMode="External"/><Relationship Id="rId2014" Type="http://schemas.openxmlformats.org/officeDocument/2006/relationships/hyperlink" Target="https://www.vidio.com/live/19354-bri-super-league?schedule_id=4706378" TargetMode="External"/><Relationship Id="rId6982" Type="http://schemas.openxmlformats.org/officeDocument/2006/relationships/hyperlink" Target="https://drive.google.com/drive/folders/12Jt1mSVgPB6CUHSqhLxmYCTL_D5PBB8o?usp=drive_link" TargetMode="External"/><Relationship Id="rId9041" Type="http://schemas.openxmlformats.org/officeDocument/2006/relationships/hyperlink" Target="https://drive.google.com/file/d/1ie6RbjPQuj-AEJixet5qBpijgok0UwD8/view?usp=sharing" TargetMode="External"/><Relationship Id="rId1030" Type="http://schemas.openxmlformats.org/officeDocument/2006/relationships/hyperlink" Target="https://drive.google.com/file/d/1veoICaSDT0qZuVd-aaGjmd85sFPS_NiY/view?usp=sharing" TargetMode="External"/><Relationship Id="rId4186" Type="http://schemas.openxmlformats.org/officeDocument/2006/relationships/hyperlink" Target="https://drive.google.com/file/d/1bAdY9K6dxxfe3HbNah4pf9UHc2ulLRAR/view?usp=sharing" TargetMode="External"/><Relationship Id="rId5584" Type="http://schemas.openxmlformats.org/officeDocument/2006/relationships/hyperlink" Target="https://drive.google.com/drive/folders/1vs2NPBadTfe8mkFp1C94plFN9o2qZ3M8?usp=drive_link" TargetMode="External"/><Relationship Id="rId6635" Type="http://schemas.openxmlformats.org/officeDocument/2006/relationships/hyperlink" Target="https://drive.google.com/file/d/1nDfsYU4rdBv4hOQU651K5EfwTbP-npCT/view?usp=sharing" TargetMode="External"/><Relationship Id="rId12022" Type="http://schemas.openxmlformats.org/officeDocument/2006/relationships/hyperlink" Target="https://www.vidio.com/live/18249-petronas-malaysia-open-2026-round-of-16-court-1?schedule_id=4832333" TargetMode="External"/><Relationship Id="rId400" Type="http://schemas.openxmlformats.org/officeDocument/2006/relationships/hyperlink" Target="https://drive.google.com/drive/folders/1HAHXgmpUJc29YOD8xWSMgQyRhfXuT8Vy" TargetMode="External"/><Relationship Id="rId5237" Type="http://schemas.openxmlformats.org/officeDocument/2006/relationships/hyperlink" Target="https://drive.google.com/file/d/1sVLfd-24u-ruUKGEjkTiIkQoomejbKOj/view?usp=sharing" TargetMode="External"/><Relationship Id="rId5651" Type="http://schemas.openxmlformats.org/officeDocument/2006/relationships/hyperlink" Target="https://drive.google.com/file/d/1QDpoGe6GZZKpjwp-7UwGSq5vRmRxk4Ax/view?usp=drive_link" TargetMode="External"/><Relationship Id="rId6702" Type="http://schemas.openxmlformats.org/officeDocument/2006/relationships/hyperlink" Target="https://drive.google.com/drive/folders/1avxBDHOSpSGP6mC0dyYR2HlimraYRR3w" TargetMode="External"/><Relationship Id="rId9858" Type="http://schemas.openxmlformats.org/officeDocument/2006/relationships/hyperlink" Target="https://drive.google.com/file/d/1bGAtWdCSL-v2iZg1GvRoYwXZwXVqVH3x/view" TargetMode="External"/><Relationship Id="rId11788" Type="http://schemas.openxmlformats.org/officeDocument/2006/relationships/hyperlink" Target="https://www.vidio.com/live/19548-national-football-league-2025-26?schedule_id=4834234" TargetMode="External"/><Relationship Id="rId1847" Type="http://schemas.openxmlformats.org/officeDocument/2006/relationships/hyperlink" Target="https://drive.google.com/file/d/1xN0BZBa2mqHArm_xZ956ap_agUzP65xN/view?usp=sharing" TargetMode="External"/><Relationship Id="rId4253" Type="http://schemas.openxmlformats.org/officeDocument/2006/relationships/hyperlink" Target="https://drive.google.com/file/d/1jxUGNVcEYRLr9Z8SsgGDDcFybtZ3DpIy/view?usp=sharing" TargetMode="External"/><Relationship Id="rId5304" Type="http://schemas.openxmlformats.org/officeDocument/2006/relationships/hyperlink" Target="https://drive.google.com/drive/folders/19dPNo1HwvZZ77uzRHihf8LRh3N2heqeH" TargetMode="External"/><Relationship Id="rId8874" Type="http://schemas.openxmlformats.org/officeDocument/2006/relationships/hyperlink" Target="https://drive.google.com/drive/folders/1sJs18oebV7WnqPH9rEROLL3bCvUBvOcP?usp=drive_link" TargetMode="External"/><Relationship Id="rId9925" Type="http://schemas.openxmlformats.org/officeDocument/2006/relationships/hyperlink" Target="https://www.vidio.com/live/19385-bri-super-league?schedule_id=4797265" TargetMode="External"/><Relationship Id="rId4320" Type="http://schemas.openxmlformats.org/officeDocument/2006/relationships/hyperlink" Target="https://www.vidio.com/live/19404-serie-a?schedule_id=4674565" TargetMode="External"/><Relationship Id="rId7476" Type="http://schemas.openxmlformats.org/officeDocument/2006/relationships/hyperlink" Target="https://drive.google.com/file/d/1DNux4glLBnqI-DzUHKvsJVIQIe0fQ_QF/view?usp=sharing" TargetMode="External"/><Relationship Id="rId7890" Type="http://schemas.openxmlformats.org/officeDocument/2006/relationships/hyperlink" Target="https://drive.google.com/file/d/1gNkGPdrlJ8Jctqc8lODIeKO2CzSgO3Ka/view?usp=sharing" TargetMode="External"/><Relationship Id="rId8527" Type="http://schemas.openxmlformats.org/officeDocument/2006/relationships/hyperlink" Target="https://www.vidio.com/live/19623-national-football-league-2025-26?schedule_id=4667495" TargetMode="External"/><Relationship Id="rId10457" Type="http://schemas.openxmlformats.org/officeDocument/2006/relationships/hyperlink" Target="https://www.vidio.com/live/19737-turkish-volleyball-league?schedule_id=4797281" TargetMode="External"/><Relationship Id="rId11855" Type="http://schemas.openxmlformats.org/officeDocument/2006/relationships/hyperlink" Target="https://drive.google.com/drive/folders/1Ty2H_i_qk549qwdTHB8xBRYGJbtv8v5N?usp=drive_link" TargetMode="External"/><Relationship Id="rId190" Type="http://schemas.openxmlformats.org/officeDocument/2006/relationships/hyperlink" Target="https://www.vidio.com/live/9183-champions-tv-6?schedule_id=4525574" TargetMode="External"/><Relationship Id="rId1914" Type="http://schemas.openxmlformats.org/officeDocument/2006/relationships/hyperlink" Target="https://www.vidio.com/live/19354-bri-super-league?schedule_id=4667501" TargetMode="External"/><Relationship Id="rId6078" Type="http://schemas.openxmlformats.org/officeDocument/2006/relationships/hyperlink" Target="https://drive.google.com/file/d/1XR4e79actIbYWJX9uiL16QggSHIm48Jl/view?usp=sharing" TargetMode="External"/><Relationship Id="rId6492" Type="http://schemas.openxmlformats.org/officeDocument/2006/relationships/hyperlink" Target="https://drive.google.com/file/d/1K3KiPJmZR-4Rn1au-2dq1F8doX938lX-/view?usp=sharing" TargetMode="External"/><Relationship Id="rId7129" Type="http://schemas.openxmlformats.org/officeDocument/2006/relationships/hyperlink" Target="https://drive.google.com/drive/folders/1cQg30sPIlcgoCdSBmFrEJKvN_Zs1pLLl?usp=drive_link" TargetMode="External"/><Relationship Id="rId7543" Type="http://schemas.openxmlformats.org/officeDocument/2006/relationships/hyperlink" Target="https://drive.google.com/file/d/1leCnWUvY0slqF91ySbxrJSSpMHEqbCvi/view?usp=sharing" TargetMode="External"/><Relationship Id="rId8941" Type="http://schemas.openxmlformats.org/officeDocument/2006/relationships/hyperlink" Target="https://drive.google.com/file/d/1b7Ih4wXTcfKFkw-vJ-8I7-qr6g_jfoKt/view?usp=sharing" TargetMode="External"/><Relationship Id="rId10871" Type="http://schemas.openxmlformats.org/officeDocument/2006/relationships/hyperlink" Target="https://drive.google.com/drive/folders/1ZUR8E65KIw3NfssQ94eV8zxCCv5yvvYH?usp=drive_link" TargetMode="External"/><Relationship Id="rId11508" Type="http://schemas.openxmlformats.org/officeDocument/2006/relationships/hyperlink" Target="https://drive.google.com/drive/folders/14zF63q1ANGbLLUtQZMmpDiLd7lc6FLtF" TargetMode="External"/><Relationship Id="rId11922" Type="http://schemas.openxmlformats.org/officeDocument/2006/relationships/hyperlink" Target="https://www.vidio.com/live/18252-petronas-malaysia-open-2026-round-of-32-court-3?schedule_id=4831580" TargetMode="External"/><Relationship Id="rId5094" Type="http://schemas.openxmlformats.org/officeDocument/2006/relationships/hyperlink" Target="https://www.vidio.com/live/18305-uefa-champions-league?schedule_id=4610715" TargetMode="External"/><Relationship Id="rId6145" Type="http://schemas.openxmlformats.org/officeDocument/2006/relationships/hyperlink" Target="https://www.vidio.com/live/19650-uefa-conference-league?schedule_id=4614701" TargetMode="External"/><Relationship Id="rId10524" Type="http://schemas.openxmlformats.org/officeDocument/2006/relationships/hyperlink" Target="https://drive.google.com/file/d/1O9eAd7qHH_Wjo_-KPgCTjx3aesIkkN8Z/view?usp=sharing" TargetMode="External"/><Relationship Id="rId2688" Type="http://schemas.openxmlformats.org/officeDocument/2006/relationships/hyperlink" Target="https://drive.google.com/file/d/163bpfUmdwcohHyUkrGMelIujw4hMW2XT/view?usp=drive_link" TargetMode="External"/><Relationship Id="rId3739" Type="http://schemas.openxmlformats.org/officeDocument/2006/relationships/hyperlink" Target="https://drive.google.com/drive/folders/1YaRbPLtzQ1IR94w2SGNM_L4EA4Sr3kIF?usp=drive_link" TargetMode="External"/><Relationship Id="rId5161" Type="http://schemas.openxmlformats.org/officeDocument/2006/relationships/hyperlink" Target="https://drive.google.com/drive/folders/1d8RfZ3AxKm4vcq0d__doqb5lGvVI-NuD" TargetMode="External"/><Relationship Id="rId7610" Type="http://schemas.openxmlformats.org/officeDocument/2006/relationships/hyperlink" Target="https://www.vidio.com/live/6299-bein-1?schedule_id=4636461" TargetMode="External"/><Relationship Id="rId2755" Type="http://schemas.openxmlformats.org/officeDocument/2006/relationships/hyperlink" Target="https://drive.google.com/file/d/1c3vp-XJ5P-TsNCGNmBLImvIeJJHV71Vg/view?usp=sharing" TargetMode="External"/><Relationship Id="rId3806" Type="http://schemas.openxmlformats.org/officeDocument/2006/relationships/hyperlink" Target="https://www.vidio.com/live/6686-champions-tv-2?schedule_id=4627663" TargetMode="External"/><Relationship Id="rId6212" Type="http://schemas.openxmlformats.org/officeDocument/2006/relationships/hyperlink" Target="https://www.vidio.com/live/19650-uefa-conference-league?schedule_id=4664193" TargetMode="External"/><Relationship Id="rId9368" Type="http://schemas.openxmlformats.org/officeDocument/2006/relationships/hyperlink" Target="https://drive.google.com/file/d/1ndsIeMCW5Tf22-5NeP-tbBPAvdmuDxzj/view?usp=sharing" TargetMode="External"/><Relationship Id="rId9782" Type="http://schemas.openxmlformats.org/officeDocument/2006/relationships/hyperlink" Target="https://www.vidio.com/live/19881-top-soccer-championship-2025-u-16-u-17-semifinal-plate" TargetMode="External"/><Relationship Id="rId11298" Type="http://schemas.openxmlformats.org/officeDocument/2006/relationships/hyperlink" Target="https://thumbor.prod.vidiocdn.com/ABunWLM60mDcpk3CrkS6RZu8pk8=/filters:quality(70)/vidio-media-production/uploads/image/source/52374/1ad296.png" TargetMode="External"/><Relationship Id="rId12349" Type="http://schemas.openxmlformats.org/officeDocument/2006/relationships/hyperlink" Target="https://www.vidio.com/live/18252-petronas-malaysia-open-2026-round-of-16-court-3?schedule_id=4833802" TargetMode="External"/><Relationship Id="rId727" Type="http://schemas.openxmlformats.org/officeDocument/2006/relationships/hyperlink" Target="https://drive.google.com/drive/folders/18iRoPVyovSW4x8KvDTpk3ha_F0E9I_9y?usp=drive_link" TargetMode="External"/><Relationship Id="rId1357" Type="http://schemas.openxmlformats.org/officeDocument/2006/relationships/hyperlink" Target="https://drive.google.com/file/d/1QUyABmeg9CM7DaRt-ogJHgZu-IcxlafB/view?usp=sharing" TargetMode="External"/><Relationship Id="rId1771" Type="http://schemas.openxmlformats.org/officeDocument/2006/relationships/hyperlink" Target="https://drive.google.com/file/d/1BsXJmfO-P99J0ou-rua9X-rMIdTkQvuf/view?usp=sharing" TargetMode="External"/><Relationship Id="rId2408" Type="http://schemas.openxmlformats.org/officeDocument/2006/relationships/hyperlink" Target="https://www.vidio.com/live/6299-bein-1?schedule_id=4563084" TargetMode="External"/><Relationship Id="rId2822" Type="http://schemas.openxmlformats.org/officeDocument/2006/relationships/hyperlink" Target="https://drive.google.com/drive/folders/1cA9KxSRTjbGHfV97cQx2X2tYvii98MF_?usp=drive_link" TargetMode="External"/><Relationship Id="rId5978" Type="http://schemas.openxmlformats.org/officeDocument/2006/relationships/hyperlink" Target="https://drive.google.com/file/d/1HVFDVNHVlZzurp5b2VxoO5ZdKzFcU02q/view?usp=drive_link" TargetMode="External"/><Relationship Id="rId8384" Type="http://schemas.openxmlformats.org/officeDocument/2006/relationships/hyperlink" Target="https://drive.google.com/file/d/1f-e-1TBQvmAWxxUgrLa61f9BlwhZGziB/view?usp=sharing" TargetMode="External"/><Relationship Id="rId9435" Type="http://schemas.openxmlformats.org/officeDocument/2006/relationships/hyperlink" Target="https://www.vidio.com/live/19543-pegadaian-championship-2025-26?schedule_id=4827314" TargetMode="External"/><Relationship Id="rId11365" Type="http://schemas.openxmlformats.org/officeDocument/2006/relationships/hyperlink" Target="https://drive.google.com/file/d/1DNux4glLBnqI-DzUHKvsJVIQIe0fQ_QF/view?usp=sharing" TargetMode="External"/><Relationship Id="rId12416" Type="http://schemas.openxmlformats.org/officeDocument/2006/relationships/hyperlink" Target="https://drive.google.com/drive/folders/1tni-eURfEFKRVxfoCHzmLE1mqpTQd2nq" TargetMode="External"/><Relationship Id="rId63" Type="http://schemas.openxmlformats.org/officeDocument/2006/relationships/hyperlink" Target="https://drive.google.com/drive/folders/1QB8sCe6UFcqxfdYmhSsyJrw57iUPqJd5" TargetMode="External"/><Relationship Id="rId1424" Type="http://schemas.openxmlformats.org/officeDocument/2006/relationships/hyperlink" Target="https://www.vidio.com/live/19404-serie-a?schedule_id=4569294" TargetMode="External"/><Relationship Id="rId4994" Type="http://schemas.openxmlformats.org/officeDocument/2006/relationships/hyperlink" Target="https://3.basecamp.com/4902751/buckets/36763424/card_tables/cards/9025485209" TargetMode="External"/><Relationship Id="rId8037" Type="http://schemas.openxmlformats.org/officeDocument/2006/relationships/hyperlink" Target="https://drive.google.com/drive/folders/1EaLDZHQisuCIYb70wx1K6U3EF25av9jF?usp=drive_link" TargetMode="External"/><Relationship Id="rId8451" Type="http://schemas.openxmlformats.org/officeDocument/2006/relationships/hyperlink" Target="https://drive.google.com/file/d/18cTrE_lJ_VZN4GRwcxb6WZ5TzJY3GIsD/view?usp=sharing" TargetMode="External"/><Relationship Id="rId9502" Type="http://schemas.openxmlformats.org/officeDocument/2006/relationships/hyperlink" Target="https://drive.google.com/file/d/1oNajM0xSo0SZ6lxRdFbXqRdte3NuXQ-U/view?usp=sharing" TargetMode="External"/><Relationship Id="rId10381" Type="http://schemas.openxmlformats.org/officeDocument/2006/relationships/hyperlink" Target="https://www.vidio.com/live/19737-turkish-volleyball-league?schedule_id=4773704" TargetMode="External"/><Relationship Id="rId11018" Type="http://schemas.openxmlformats.org/officeDocument/2006/relationships/hyperlink" Target="https://thumbor.prod.vidiocdn.com/rMXj7ExCrpESeFlkxPZzKZjsbIA=/filters:quality(70)/vidio-media-production/uploads/image/source/53158/5c1665.png" TargetMode="External"/><Relationship Id="rId11432" Type="http://schemas.openxmlformats.org/officeDocument/2006/relationships/hyperlink" Target="https://drive.google.com/file/d/1_HFq8MOoppJCzo4J5dpuUDP_ZQCy_AEp/view?usp=sharing" TargetMode="External"/><Relationship Id="rId3596" Type="http://schemas.openxmlformats.org/officeDocument/2006/relationships/hyperlink" Target="https://thumbor.prod.vidiocdn.com/ktH_TI0WRi2wrqbd1oaE7FAHM88=/filters:quality(70)/vidio-media-production/uploads/image/source/53051/469107.png" TargetMode="External"/><Relationship Id="rId4647" Type="http://schemas.openxmlformats.org/officeDocument/2006/relationships/hyperlink" Target="https://drive.google.com/drive/folders/1goB9OCB4szXT-WKkECadbkvwi76Rcfeq?usp=drive_link" TargetMode="External"/><Relationship Id="rId7053" Type="http://schemas.openxmlformats.org/officeDocument/2006/relationships/hyperlink" Target="https://drive.google.com/file/d/1jICyNNE8m-2czHJ4OdAZK10H-STxhNYY/view?usp=sharing" TargetMode="External"/><Relationship Id="rId8104" Type="http://schemas.openxmlformats.org/officeDocument/2006/relationships/hyperlink" Target="https://drive.google.com/drive/folders/10kjndzNuhAMWdTMs_l_jk8B84L4z3b2d?usp=drive_link" TargetMode="External"/><Relationship Id="rId10034" Type="http://schemas.openxmlformats.org/officeDocument/2006/relationships/hyperlink" Target="https://www.vidio.com/live/6299-bein-1?schedule_id=4802035" TargetMode="External"/><Relationship Id="rId2198" Type="http://schemas.openxmlformats.org/officeDocument/2006/relationships/hyperlink" Target="https://drive.google.com/file/d/1EBQtL31iTi30zqLH87i86_E1_kTinsjO/view?usp=sharing" TargetMode="External"/><Relationship Id="rId3249" Type="http://schemas.openxmlformats.org/officeDocument/2006/relationships/hyperlink" Target="https://drive.google.com/file/d/163ITIft3IzwHwyqcpSZ9d9pHLSNsRWDM/view?usp=sharing" TargetMode="External"/><Relationship Id="rId7120" Type="http://schemas.openxmlformats.org/officeDocument/2006/relationships/hyperlink" Target="https://drive.google.com/file/d/17i4qBO_Vh_hMLDNdzRuJr-aQ2Ne2PaH_/view?usp=drive_link" TargetMode="External"/><Relationship Id="rId584" Type="http://schemas.openxmlformats.org/officeDocument/2006/relationships/hyperlink" Target="https://www.vidio.com/live/19536-premier-league?schedule_id=4668363" TargetMode="External"/><Relationship Id="rId2265" Type="http://schemas.openxmlformats.org/officeDocument/2006/relationships/hyperlink" Target="https://drive.google.com/file/d/1zDlOGcD86B1uL9nN6fl-EZb-1O5-uClM/view?usp=sharing" TargetMode="External"/><Relationship Id="rId3663" Type="http://schemas.openxmlformats.org/officeDocument/2006/relationships/hyperlink" Target="https://drive.google.com/file/d/10dk16H06K8K0ikAVcHAkSLJfZO2lARz7/view?usp=sharing" TargetMode="External"/><Relationship Id="rId4714" Type="http://schemas.openxmlformats.org/officeDocument/2006/relationships/hyperlink" Target="https://drive.google.com/drive/folders/1eVfzRwlUngbAOJzjD_6G2tOkWiMjEJzF?usp=drive_link" TargetMode="External"/><Relationship Id="rId9292" Type="http://schemas.openxmlformats.org/officeDocument/2006/relationships/hyperlink" Target="https://drive.google.com/file/d/17WX_a96RCyW5a5eb3QVI78-zFPlDumfw/view?usp=sharing" TargetMode="External"/><Relationship Id="rId10101" Type="http://schemas.openxmlformats.org/officeDocument/2006/relationships/hyperlink" Target="https://drive.google.com/drive/folders/1eN1qMxGKv8mZjnUODy0sEWVEBuFiJhd1?usp=sharing" TargetMode="External"/><Relationship Id="rId237" Type="http://schemas.openxmlformats.org/officeDocument/2006/relationships/hyperlink" Target="https://drive.google.com/file/d/1SCv_Vvtl4EPN7zQXZrwvhO-L4NvsU2uI/view?usp=sharing" TargetMode="External"/><Relationship Id="rId3316" Type="http://schemas.openxmlformats.org/officeDocument/2006/relationships/hyperlink" Target="https://drive.google.com/drive/folders/1gkehyjihyyKMCKYsEfWm_cqP5RLcODpt" TargetMode="External"/><Relationship Id="rId3730" Type="http://schemas.openxmlformats.org/officeDocument/2006/relationships/hyperlink" Target="https://drive.google.com/drive/folders/1zo2x4FrF4AKbZG91Ze2JyaQLZ43_BYbT" TargetMode="External"/><Relationship Id="rId6886" Type="http://schemas.openxmlformats.org/officeDocument/2006/relationships/hyperlink" Target="https://drive.google.com/file/d/1E_viy1qtqo48xUGK9l5UR5-IxIFPzg9k/view?usp=sharing" TargetMode="External"/><Relationship Id="rId7937" Type="http://schemas.openxmlformats.org/officeDocument/2006/relationships/hyperlink" Target="https://drive.google.com/file/d/1Ct530JQxN7BiSAQOwS2awnrCSyf6acII/view?usp=sharing" TargetMode="External"/><Relationship Id="rId10918" Type="http://schemas.openxmlformats.org/officeDocument/2006/relationships/hyperlink" Target="https://www.vidio.com/live/18249-hsbc-bwf-world-tour-finals-2025-group-stage-court-1?schedule_id=4783186" TargetMode="External"/><Relationship Id="rId12273" Type="http://schemas.openxmlformats.org/officeDocument/2006/relationships/hyperlink" Target="https://www.vidio.com/live/20275?schedule_id=4833877" TargetMode="External"/><Relationship Id="rId651" Type="http://schemas.openxmlformats.org/officeDocument/2006/relationships/hyperlink" Target="https://drive.google.com/file/d/1O37lbG_oKOaslBn5LC8Leb_8Rc0ZD0LB/view?usp=sharing" TargetMode="External"/><Relationship Id="rId1281" Type="http://schemas.openxmlformats.org/officeDocument/2006/relationships/hyperlink" Target="https://www.vidio.com/live/19404-serie-a?schedule_id=4520554" TargetMode="External"/><Relationship Id="rId2332" Type="http://schemas.openxmlformats.org/officeDocument/2006/relationships/hyperlink" Target="https://drive.google.com/file/d/1FLEV9rVgLjFrR8Rz5XnANaZOZ6aFeRqq/view?usp=sharing" TargetMode="External"/><Relationship Id="rId5488" Type="http://schemas.openxmlformats.org/officeDocument/2006/relationships/hyperlink" Target="https://drive.google.com/file/d/1P-ZlubfHRjgskyWqKeVfudUdIDEWBf-t/view?usp=sharing" TargetMode="External"/><Relationship Id="rId6539" Type="http://schemas.openxmlformats.org/officeDocument/2006/relationships/hyperlink" Target="https://drive.google.com/file/d/1n_rysZMOdDPgypafTerXIL3qiJYRN-N9/view?usp=sharing" TargetMode="External"/><Relationship Id="rId6953" Type="http://schemas.openxmlformats.org/officeDocument/2006/relationships/hyperlink" Target="https://drive.google.com/drive/folders/1DrC8qLJsnWpWI-tZeb27fP__uEuayVNN?usp=drive_link" TargetMode="External"/><Relationship Id="rId12340" Type="http://schemas.openxmlformats.org/officeDocument/2006/relationships/hyperlink" Target="http://vidio.com/live/20273?schedule_id=4833847" TargetMode="External"/><Relationship Id="rId304" Type="http://schemas.openxmlformats.org/officeDocument/2006/relationships/hyperlink" Target="https://drive.google.com/drive/folders/1E-SiChHX8IFkkAWfrdcoH1SwbCWsIC_8?usp=drive_link" TargetMode="External"/><Relationship Id="rId5555" Type="http://schemas.openxmlformats.org/officeDocument/2006/relationships/hyperlink" Target="https://drive.google.com/drive/folders/1G8ySxQ_Zq4cjpkJOl9nnu-ZBR2UR7ZEM?usp=drive_link" TargetMode="External"/><Relationship Id="rId6606" Type="http://schemas.openxmlformats.org/officeDocument/2006/relationships/hyperlink" Target="https://www.vidio.com/live/19647-uefa-conference-league?schedule_id=4783299" TargetMode="External"/><Relationship Id="rId9012" Type="http://schemas.openxmlformats.org/officeDocument/2006/relationships/hyperlink" Target="https://drive.google.com/drive/folders/1hcLAVHg5nLu60DNqHpb4Vkacne4YeI4h" TargetMode="External"/><Relationship Id="rId1001" Type="http://schemas.openxmlformats.org/officeDocument/2006/relationships/hyperlink" Target="https://drive.google.com/file/d/1k56bV1dQ_2DOzpFqzrFBQmI0oPe7n27B/view?usp=sharing" TargetMode="External"/><Relationship Id="rId4157" Type="http://schemas.openxmlformats.org/officeDocument/2006/relationships/hyperlink" Target="https://drive.google.com/drive/folders/1QMCjbYqwlaHucwZuFoz1QcLTFQsvBsxV?usp=drive_link" TargetMode="External"/><Relationship Id="rId4571" Type="http://schemas.openxmlformats.org/officeDocument/2006/relationships/hyperlink" Target="https://www.vidio.com/live/19404-serie-a?schedule_id=4741000" TargetMode="External"/><Relationship Id="rId5208" Type="http://schemas.openxmlformats.org/officeDocument/2006/relationships/hyperlink" Target="https://drive.google.com/file/d/1aP9Cv1OLo5DqFgwnl4__Yafm5J7Nt6Sc/view?usp=sharing" TargetMode="External"/><Relationship Id="rId5622" Type="http://schemas.openxmlformats.org/officeDocument/2006/relationships/hyperlink" Target="https://drive.google.com/file/d/1FiDLDs7e9Mrm76GfwDamJ3z9xeQnv6xP/view?usp=sharing" TargetMode="External"/><Relationship Id="rId8778" Type="http://schemas.openxmlformats.org/officeDocument/2006/relationships/hyperlink" Target="https://drive.google.com/drive/folders/11hrc9dSj3OEx18zXbwivYRxbAsNbNNwF?usp=drive_link" TargetMode="External"/><Relationship Id="rId9829" Type="http://schemas.openxmlformats.org/officeDocument/2006/relationships/hyperlink" Target="https://drive.google.com/file/d/1bGAtWdCSL-v2iZg1GvRoYwXZwXVqVH3x/view?usp=sharing" TargetMode="External"/><Relationship Id="rId3173" Type="http://schemas.openxmlformats.org/officeDocument/2006/relationships/hyperlink" Target="https://thumbor.prod.vidiocdn.com/8If2sjp8j3YrtSxotZsOZo0eLh4=/filters:quality(70)/vidio-media-production/uploads/image/source/52033/e190d5.png" TargetMode="External"/><Relationship Id="rId4224" Type="http://schemas.openxmlformats.org/officeDocument/2006/relationships/hyperlink" Target="https://drive.google.com/file/d/1gAEzMn5--S2poCfmiwTr_GwTaqh_-FDT/view?usp=sharing" TargetMode="External"/><Relationship Id="rId11759" Type="http://schemas.openxmlformats.org/officeDocument/2006/relationships/hyperlink" Target="https://www.vidio.com/live/17139-spotv?schedule_id=4832260" TargetMode="External"/><Relationship Id="rId1818" Type="http://schemas.openxmlformats.org/officeDocument/2006/relationships/hyperlink" Target="https://drive.google.com/file/d/1K76beV47yzuc0chnL6dqNNimBBPa1C1m/view?usp=drive_link" TargetMode="External"/><Relationship Id="rId3240" Type="http://schemas.openxmlformats.org/officeDocument/2006/relationships/hyperlink" Target="https://drive.google.com/drive/folders/1t-oriWWDrn7KWoWosV1vzukYx6QShR8K?usp=drive_link" TargetMode="External"/><Relationship Id="rId6396" Type="http://schemas.openxmlformats.org/officeDocument/2006/relationships/hyperlink" Target="https://www.vidio.com/live/19650-uefa-conference-league?schedule_id=4734898" TargetMode="External"/><Relationship Id="rId7794" Type="http://schemas.openxmlformats.org/officeDocument/2006/relationships/hyperlink" Target="https://www.vidio.com/live/19753-carabao-cup-2025-26?schedule_id=4673906" TargetMode="External"/><Relationship Id="rId8845" Type="http://schemas.openxmlformats.org/officeDocument/2006/relationships/hyperlink" Target="https://www.vidio.com/live/19671-easl?schedule_id=4773714" TargetMode="External"/><Relationship Id="rId10775" Type="http://schemas.openxmlformats.org/officeDocument/2006/relationships/hyperlink" Target="https://www.vidio.com/live/20240-pln-mobile-proliga-2026?schedule_id=4832283" TargetMode="External"/><Relationship Id="rId11826" Type="http://schemas.openxmlformats.org/officeDocument/2006/relationships/hyperlink" Target="https://www.vidio.com/live/18249-petronas-malaysia-open-2026-round-of-32-court-1?schedule_id=4831550" TargetMode="External"/><Relationship Id="rId161" Type="http://schemas.openxmlformats.org/officeDocument/2006/relationships/hyperlink" Target="https://drive.google.com/drive/folders/1ZFrh0RD8_hmRnH3lbBaBctVBBz1nB3Pc?usp=drive_link" TargetMode="External"/><Relationship Id="rId6049" Type="http://schemas.openxmlformats.org/officeDocument/2006/relationships/hyperlink" Target="https://www.vidio.com/live/19599-uefa-europa-league?schedule_id=4773538" TargetMode="External"/><Relationship Id="rId7447" Type="http://schemas.openxmlformats.org/officeDocument/2006/relationships/hyperlink" Target="https://www.vidio.com/live/19587-top-youth-premier-league-2025-matchday-4" TargetMode="External"/><Relationship Id="rId7861" Type="http://schemas.openxmlformats.org/officeDocument/2006/relationships/hyperlink" Target="https://drive.google.com/file/d/19pSesvRb49fsLAHpNgJR2NQaSIU_TuYw/view?usp=sharing" TargetMode="External"/><Relationship Id="rId8912" Type="http://schemas.openxmlformats.org/officeDocument/2006/relationships/hyperlink" Target="https://drive.google.com/drive/folders/1Gw7qDZgjBpHyG3ykLyweJ77eM5Q1mWt9?usp=drive_link" TargetMode="External"/><Relationship Id="rId10428" Type="http://schemas.openxmlformats.org/officeDocument/2006/relationships/hyperlink" Target="https://drive.google.com/file/d/1N3m-unTBz9XI2shuLHFkAazQ_hnQhjrv/view?usp=sharing" TargetMode="External"/><Relationship Id="rId10842" Type="http://schemas.openxmlformats.org/officeDocument/2006/relationships/hyperlink" Target="https://www.vidio.com/live/18249-hsbc-bwf-world-tour-finals-2025-group-stage-court-1?schedule_id=4781706" TargetMode="External"/><Relationship Id="rId6463" Type="http://schemas.openxmlformats.org/officeDocument/2006/relationships/hyperlink" Target="https://www.vidio.com/live/19645-uefa-conference-league?schedule_id=4734909" TargetMode="External"/><Relationship Id="rId7514" Type="http://schemas.openxmlformats.org/officeDocument/2006/relationships/hyperlink" Target="https://www.vidio.com/live/19548-national-football-league-2025-26?schedule_id=4605160" TargetMode="External"/><Relationship Id="rId978" Type="http://schemas.openxmlformats.org/officeDocument/2006/relationships/hyperlink" Target="https://www.vidio.com/live/9182-champions-tv-5?schedule_id=4773357" TargetMode="External"/><Relationship Id="rId2659" Type="http://schemas.openxmlformats.org/officeDocument/2006/relationships/hyperlink" Target="https://drive.google.com/file/d/1di44N78EFpfRI1i1hQ3_ifCxsyWSGiQy/view?usp=sharing" TargetMode="External"/><Relationship Id="rId5065" Type="http://schemas.openxmlformats.org/officeDocument/2006/relationships/hyperlink" Target="https://drive.google.com/file/d/1pFIF8ija42OLfH6IlvpbQb-OMCiBgbZS/view?usp=sharing" TargetMode="External"/><Relationship Id="rId6116" Type="http://schemas.openxmlformats.org/officeDocument/2006/relationships/hyperlink" Target="https://drive.google.com/file/d/1PkqjYdTmi5Ns103LaRkAEGFRuiLn7LWa/view?usp=sharing" TargetMode="External"/><Relationship Id="rId6530" Type="http://schemas.openxmlformats.org/officeDocument/2006/relationships/hyperlink" Target="https://www.vidio.com/live/19644-uefa-conference-league?schedule_id=4771664" TargetMode="External"/><Relationship Id="rId9686" Type="http://schemas.openxmlformats.org/officeDocument/2006/relationships/hyperlink" Target="https://www.vidio.com/live/20048-fivb-volleyball-club-world-championship-2025?schedule_id=4789996" TargetMode="External"/><Relationship Id="rId1675" Type="http://schemas.openxmlformats.org/officeDocument/2006/relationships/hyperlink" Target="https://drive.google.com/file/d/1HTolMOzl3LykNrq174M8m1Ya-Lp3AFi5/view?usp=sharing" TargetMode="External"/><Relationship Id="rId2726" Type="http://schemas.openxmlformats.org/officeDocument/2006/relationships/hyperlink" Target="https://drive.google.com/file/d/14cRLId3klEueRkFEX0MQHTnjRiwpB5Du/view?usp=sharing" TargetMode="External"/><Relationship Id="rId4081" Type="http://schemas.openxmlformats.org/officeDocument/2006/relationships/hyperlink" Target="https://drive.google.com/drive/folders/1Y1cP8mlBou8b9TsI9k42rHkSwsz4Yd50?usp=drive_link" TargetMode="External"/><Relationship Id="rId5132" Type="http://schemas.openxmlformats.org/officeDocument/2006/relationships/hyperlink" Target="https://drive.google.com/file/d/1CCRgrk3VJSJ_ddChzO7eDM7WPqqbgEJm/view?usp=sharing" TargetMode="External"/><Relationship Id="rId8288" Type="http://schemas.openxmlformats.org/officeDocument/2006/relationships/hyperlink" Target="https://drive.google.com/file/d/1C8y0UCmMWS45obCnsPSKqOqIFyoA0Ksl/view?usp=sharing" TargetMode="External"/><Relationship Id="rId9339" Type="http://schemas.openxmlformats.org/officeDocument/2006/relationships/hyperlink" Target="https://drive.google.com/file/d/1AelB2ubQFe948cxRKjVjuZYaGuwDxA5p/view?usp=sharing" TargetMode="External"/><Relationship Id="rId9753" Type="http://schemas.openxmlformats.org/officeDocument/2006/relationships/hyperlink" Target="https://drive.google.com/drive/folders/1Nc4a-cPvPf9Nob2Kr7b3lGBD6eNoHUIZ?usp=drive_link" TargetMode="External"/><Relationship Id="rId11269" Type="http://schemas.openxmlformats.org/officeDocument/2006/relationships/hyperlink" Target="https://thumbor.prod.vidiocdn.com/gLQfUmHxDhcEZg8xIim7GcIAUvM=/filters:quality(70)/vidio-media-production/uploads/image/source/52367/116d8a.png" TargetMode="External"/><Relationship Id="rId1328" Type="http://schemas.openxmlformats.org/officeDocument/2006/relationships/hyperlink" Target="https://drive.google.com/file/d/1i2r44C6M-i4oLLWPo_r5zw2nyuF3AYFa/view?usp=sharing" TargetMode="External"/><Relationship Id="rId8355" Type="http://schemas.openxmlformats.org/officeDocument/2006/relationships/hyperlink" Target="https://www.vidio.com/live/6685-champions-tv-1?schedule_id=4706724" TargetMode="External"/><Relationship Id="rId9406" Type="http://schemas.openxmlformats.org/officeDocument/2006/relationships/hyperlink" Target="https://drive.google.com/drive/folders/1Bnq7vTtrI2wm3as49HVM8J0HGPcIhQlN?usp=drive_link" TargetMode="External"/><Relationship Id="rId11683" Type="http://schemas.openxmlformats.org/officeDocument/2006/relationships/hyperlink" Target="https://thumbor.prod.vidiocdn.com/9s6o3gZPSKC5tVpm1vjVMMB7PJI=/filters:quality(70)/vidio-media-production/uploads/image/source/52883/156e99.png" TargetMode="External"/><Relationship Id="rId1742" Type="http://schemas.openxmlformats.org/officeDocument/2006/relationships/hyperlink" Target="https://www.vidio.com/live/19386-bri-super-league?schedule_id=4577335" TargetMode="External"/><Relationship Id="rId4898" Type="http://schemas.openxmlformats.org/officeDocument/2006/relationships/hyperlink" Target="https://drive.google.com/file/d/1pz3JdLipdUSP65O6O7ajEsBM0O91vg1c/view?usp=sharing" TargetMode="External"/><Relationship Id="rId5949" Type="http://schemas.openxmlformats.org/officeDocument/2006/relationships/hyperlink" Target="https://drive.google.com/drive/folders/1jpn-7zc53g7q67-jPektfjpE73MYEpc2?usp=drive_link" TargetMode="External"/><Relationship Id="rId7371" Type="http://schemas.openxmlformats.org/officeDocument/2006/relationships/hyperlink" Target="https://drive.google.com/file/d/1VhgqQ0stHfr3abBDgoQU47Gce-P1Vfc0/view?usp=sharing" TargetMode="External"/><Relationship Id="rId8008" Type="http://schemas.openxmlformats.org/officeDocument/2006/relationships/hyperlink" Target="https://drive.google.com/drive/folders/1a6uvNHIJHyFaZu_uP78TVstsa86wy3Sp?usp=drive_link" TargetMode="External"/><Relationship Id="rId9820" Type="http://schemas.openxmlformats.org/officeDocument/2006/relationships/hyperlink" Target="https://drive.google.com/file/d/1bGAtWdCSL-v2iZg1GvRoYwXZwXVqVH3x/view?usp=sharing" TargetMode="External"/><Relationship Id="rId10285" Type="http://schemas.openxmlformats.org/officeDocument/2006/relationships/hyperlink" Target="https://drive.google.com/file/d/10ntiR3itPNlC3Ey4hBsbxms1fV99JqMc/view?usp=sharing" TargetMode="External"/><Relationship Id="rId11336" Type="http://schemas.openxmlformats.org/officeDocument/2006/relationships/hyperlink" Target="https://drive.google.com/file/d/1MDTK-zh0WhiqcOfOLIpBD6WR5aQGyf-Z/view?usp=drive_link" TargetMode="External"/><Relationship Id="rId11750" Type="http://schemas.openxmlformats.org/officeDocument/2006/relationships/hyperlink" Target="https://www.vidio.com/live/18252-petronas-malaysia-open-2026-round-of-32-court-3" TargetMode="External"/><Relationship Id="rId34" Type="http://schemas.openxmlformats.org/officeDocument/2006/relationships/hyperlink" Target="https://drive.google.com/drive/folders/1OhRO-ci8P6Y9OR8ceupHTPmO87opyfnk" TargetMode="External"/><Relationship Id="rId4965" Type="http://schemas.openxmlformats.org/officeDocument/2006/relationships/hyperlink" Target="https://drive.google.com/file/d/1VceYYTxR-SwD8RwpUJ2N6gdIKuopPuim/view?usp=sharing" TargetMode="External"/><Relationship Id="rId7024" Type="http://schemas.openxmlformats.org/officeDocument/2006/relationships/hyperlink" Target="https://drive.google.com/file/d/16bXT8pYBKCCyap4S7ZAsmBGpFNJ6opVJ/view?usp=drive_link" TargetMode="External"/><Relationship Id="rId8422" Type="http://schemas.openxmlformats.org/officeDocument/2006/relationships/hyperlink" Target="https://drive.google.com/file/d/17NLtplLG5H5e-ow-UXfKbsHuEI11qxH3/view?usp=sharing" TargetMode="External"/><Relationship Id="rId10352" Type="http://schemas.openxmlformats.org/officeDocument/2006/relationships/hyperlink" Target="https://drive.google.com/file/d/1XqMCxzjpg0OUZ3ei5z0JVktGgOQhhvf4/view?usp=sharing" TargetMode="External"/><Relationship Id="rId11403" Type="http://schemas.openxmlformats.org/officeDocument/2006/relationships/hyperlink" Target="https://drive.google.com/file/d/1fL8-JexQmTRCR8uT2LBpwRv-zWvP_1e2/view?usp=sharing" TargetMode="External"/><Relationship Id="rId3567" Type="http://schemas.openxmlformats.org/officeDocument/2006/relationships/hyperlink" Target="https://drive.google.com/file/d/1NHgq4YW04Od4SSOL930GtvmYtJge8Wpv/view?usp=share_link" TargetMode="External"/><Relationship Id="rId3981" Type="http://schemas.openxmlformats.org/officeDocument/2006/relationships/hyperlink" Target="https://drive.google.com/drive/folders/1NepG6XT-FSa8Cs07sX3tPfQWLNpJfAxp" TargetMode="External"/><Relationship Id="rId4618" Type="http://schemas.openxmlformats.org/officeDocument/2006/relationships/hyperlink" Target="https://drive.google.com/drive/folders/1rhYWOcyiSWDsKsxWERewtZxwpXsg7J_W?usp=drive_link" TargetMode="External"/><Relationship Id="rId10005" Type="http://schemas.openxmlformats.org/officeDocument/2006/relationships/hyperlink" Target="https://thumbor.prod.vidiocdn.com/NJaKZro2W7__D0gaPaeWd_gGciQ=/filters:quality(70)/vidio-media-production/uploads/image/source/52648/03d3c0.png" TargetMode="External"/><Relationship Id="rId488" Type="http://schemas.openxmlformats.org/officeDocument/2006/relationships/hyperlink" Target="https://www.vidio.com/live/19536-premier-league?schedule_id=4653364" TargetMode="External"/><Relationship Id="rId2169" Type="http://schemas.openxmlformats.org/officeDocument/2006/relationships/hyperlink" Target="https://drive.google.com/file/d/1gRHlC5W-B006FG9d_GNnuom6mm77v1Oi/view?usp=sharing" TargetMode="External"/><Relationship Id="rId2583" Type="http://schemas.openxmlformats.org/officeDocument/2006/relationships/hyperlink" Target="https://www.vidio.com/live/6299-bein-1?schedule_id=4598207" TargetMode="External"/><Relationship Id="rId3634" Type="http://schemas.openxmlformats.org/officeDocument/2006/relationships/hyperlink" Target="https://www.vidio.com/live/6786-champions-tv-3?schedule_id=4501546" TargetMode="External"/><Relationship Id="rId6040" Type="http://schemas.openxmlformats.org/officeDocument/2006/relationships/hyperlink" Target="https://drive.google.com/file/d/1P3nKp195jTAbdYqm_ct7Ri9zIdEJMYbN/view?usp=sharing" TargetMode="External"/><Relationship Id="rId9196" Type="http://schemas.openxmlformats.org/officeDocument/2006/relationships/hyperlink" Target="https://drive.google.com/drive/folders/1NepG6XT-FSa8Cs07sX3tPfQWLNpJfAxp" TargetMode="External"/><Relationship Id="rId12177" Type="http://schemas.openxmlformats.org/officeDocument/2006/relationships/hyperlink" Target="https://drive.google.com/file/d/17nqJ8YbOWxi4DOQmMA4_VvY1qMuE4tM4/view?usp=sharing" TargetMode="External"/><Relationship Id="rId555" Type="http://schemas.openxmlformats.org/officeDocument/2006/relationships/hyperlink" Target="https://drive.google.com/file/d/1QtH5mRVz8c3zdSv3D33IU4XQSRFRRFJ2/view?usp=sharing" TargetMode="External"/><Relationship Id="rId1185" Type="http://schemas.openxmlformats.org/officeDocument/2006/relationships/hyperlink" Target="https://www.vidio.com/live/19375-premier-league?schedule_id=4802190" TargetMode="External"/><Relationship Id="rId2236" Type="http://schemas.openxmlformats.org/officeDocument/2006/relationships/hyperlink" Target="https://drive.google.com/drive/folders/1LPjzFbBTQFHsHkziHSf1mTMLYgOfWkU4" TargetMode="External"/><Relationship Id="rId2650" Type="http://schemas.openxmlformats.org/officeDocument/2006/relationships/hyperlink" Target="https://www.vidio.com/live/6317-bein-3?schedule_id=4626140" TargetMode="External"/><Relationship Id="rId3701" Type="http://schemas.openxmlformats.org/officeDocument/2006/relationships/hyperlink" Target="https://drive.google.com/drive/folders/1ONdDKL11Ad99tl6DCFEBoXcbz0k8cFjZ" TargetMode="External"/><Relationship Id="rId6857" Type="http://schemas.openxmlformats.org/officeDocument/2006/relationships/hyperlink" Target="https://drive.google.com/drive/folders/1USYaR8YhwHU19xWhxTcKrT2FVEfugtaE?usp=drive_link" TargetMode="External"/><Relationship Id="rId7908" Type="http://schemas.openxmlformats.org/officeDocument/2006/relationships/hyperlink" Target="https://drive.google.com/drive/folders/1Q3iAxu2I1UhLJJNcJwBbI6XOvxm9kYDQ?usp=sharing" TargetMode="External"/><Relationship Id="rId9263" Type="http://schemas.openxmlformats.org/officeDocument/2006/relationships/hyperlink" Target="https://drive.google.com/file/d/1bGAtWdCSL-v2iZg1GvRoYwXZwXVqVH3x/view?usp=sharing" TargetMode="External"/><Relationship Id="rId11193" Type="http://schemas.openxmlformats.org/officeDocument/2006/relationships/hyperlink" Target="https://drive.google.com/file/d/16gWPIv2lV4jExFGUliSFDO0J34b5V9-n/view?usp=sharing" TargetMode="External"/><Relationship Id="rId12244" Type="http://schemas.openxmlformats.org/officeDocument/2006/relationships/hyperlink" Target="https://www.vidio.com/live/20271?schedule_id=4833839" TargetMode="External"/><Relationship Id="rId208" Type="http://schemas.openxmlformats.org/officeDocument/2006/relationships/hyperlink" Target="https://www.vidio.com/live/19375-premier-league?schedule_id=4562507" TargetMode="External"/><Relationship Id="rId622" Type="http://schemas.openxmlformats.org/officeDocument/2006/relationships/hyperlink" Target="https://drive.google.com/file/d/1i5ppQ4ENRICub2Wrv5OkPYr9q-s8-47z/view?usp=sharing" TargetMode="External"/><Relationship Id="rId1252" Type="http://schemas.openxmlformats.org/officeDocument/2006/relationships/hyperlink" Target="https://www.vidio.com/live/18797-premier-league?schedule_id=4831837" TargetMode="External"/><Relationship Id="rId2303" Type="http://schemas.openxmlformats.org/officeDocument/2006/relationships/hyperlink" Target="https://www.vidio.com/live/6299-bein-1?schedule_id=4512873" TargetMode="External"/><Relationship Id="rId5459" Type="http://schemas.openxmlformats.org/officeDocument/2006/relationships/hyperlink" Target="https://www.vidio.com/live/18302-uefa-champions-league?schedule_id=4773345" TargetMode="External"/><Relationship Id="rId9330" Type="http://schemas.openxmlformats.org/officeDocument/2006/relationships/hyperlink" Target="https://drive.google.com/drive/folders/1nEAWuiYiCJ5lxVcsk3WwdURelvMb2TKf?usp=drive_link" TargetMode="External"/><Relationship Id="rId4475" Type="http://schemas.openxmlformats.org/officeDocument/2006/relationships/hyperlink" Target="https://drive.google.com/drive/folders/190yi0NXB7fqt8awvfrHzHYND0AcQ3r1-?usp=drive_link" TargetMode="External"/><Relationship Id="rId5873" Type="http://schemas.openxmlformats.org/officeDocument/2006/relationships/hyperlink" Target="https://drive.google.com/drive/folders/13eQLR64HrKbyWDLlQsn3dQSDucgsN6sA?usp=drive_link" TargetMode="External"/><Relationship Id="rId6924" Type="http://schemas.openxmlformats.org/officeDocument/2006/relationships/hyperlink" Target="https://drive.google.com/drive/folders/1BhKJCwrQWMPmukRF_X1L_5IJlxac8Xp_?usp=drive_link" TargetMode="External"/><Relationship Id="rId11260" Type="http://schemas.openxmlformats.org/officeDocument/2006/relationships/hyperlink" Target="https://drive.google.com/file/d/1Tm68xgnvsBl5Sdlyyw4inGHMbK8hMy4z/view?usp=sharing" TargetMode="External"/><Relationship Id="rId12311" Type="http://schemas.openxmlformats.org/officeDocument/2006/relationships/hyperlink" Target="https://www.vidio.com/live/20279?schedule_id=4833908" TargetMode="External"/><Relationship Id="rId3077" Type="http://schemas.openxmlformats.org/officeDocument/2006/relationships/hyperlink" Target="https://drive.google.com/drive/folders/1iP0vvCO-YIaYRdh0PtHHdrDol8AfrJsi?usp=drive_link" TargetMode="External"/><Relationship Id="rId4128" Type="http://schemas.openxmlformats.org/officeDocument/2006/relationships/hyperlink" Target="https://drive.google.com/drive/folders/1gld7hF_Ce_A3oVQk8cmaRf4XidPuBodS?usp=drive_link" TargetMode="External"/><Relationship Id="rId5526" Type="http://schemas.openxmlformats.org/officeDocument/2006/relationships/hyperlink" Target="https://drive.google.com/file/d/1wOjaSq3iRH190NiUoWIz-Jphpw_FfM2n/view?usp=sharing" TargetMode="External"/><Relationship Id="rId5940" Type="http://schemas.openxmlformats.org/officeDocument/2006/relationships/hyperlink" Target="https://drive.google.com/file/d/1OG1wMblYJOYDFOjsDeVzVO1dGc3Z7clW/view?usp=sharing" TargetMode="External"/><Relationship Id="rId2093" Type="http://schemas.openxmlformats.org/officeDocument/2006/relationships/hyperlink" Target="https://drive.google.com/drive/folders/1CXBAH_1PG9hCHMGRVCCE4v0Y2OOCibgO" TargetMode="External"/><Relationship Id="rId3491" Type="http://schemas.openxmlformats.org/officeDocument/2006/relationships/hyperlink" Target="https://drive.google.com/file/d/1x8-yoegQF7b9OSRP_7ofqMt_HMPUdSfi/view?usp=drive_link" TargetMode="External"/><Relationship Id="rId4542" Type="http://schemas.openxmlformats.org/officeDocument/2006/relationships/hyperlink" Target="https://drive.google.com/file/d/1JYL-EWaEEyWlIckRsT0zziBwtdaXhCei/view?usp=sharing" TargetMode="External"/><Relationship Id="rId7698" Type="http://schemas.openxmlformats.org/officeDocument/2006/relationships/hyperlink" Target="https://drive.google.com/file/d/12k4t87fto-rsWpwUZjspRJdTrj9Xhlv_/view?usp=sharing" TargetMode="External"/><Relationship Id="rId8749" Type="http://schemas.openxmlformats.org/officeDocument/2006/relationships/hyperlink" Target="https://www.vidio.com/live/19737-turkish-men-s-volleyball-league?schedule_id=4675261" TargetMode="External"/><Relationship Id="rId10679" Type="http://schemas.openxmlformats.org/officeDocument/2006/relationships/hyperlink" Target="https://thumbor.prod.vidiocdn.com/5uKZ7qfbulCmsa0RGjqUD3D2sGA=/filters:quality(70)/vidio-media-production/uploads/image/source/52898/c738e7.png" TargetMode="External"/><Relationship Id="rId3144" Type="http://schemas.openxmlformats.org/officeDocument/2006/relationships/hyperlink" Target="https://drive.google.com/drive/folders/1UyPYWCM7L9qXefwzKKmjeHi5mU2P4ohA?usp=drive_link" TargetMode="External"/><Relationship Id="rId7765" Type="http://schemas.openxmlformats.org/officeDocument/2006/relationships/hyperlink" Target="https://www.vidio.com/live/19757-carabao-cup-2025-26?schedule_id=4675256" TargetMode="External"/><Relationship Id="rId8816" Type="http://schemas.openxmlformats.org/officeDocument/2006/relationships/hyperlink" Target="https://drive.google.com/file/d/1R5EhG0f7xvfu1dyxwKYJKpi7iCxNkVHC/view?usp=sharing" TargetMode="External"/><Relationship Id="rId10746" Type="http://schemas.openxmlformats.org/officeDocument/2006/relationships/hyperlink" Target="https://www.vidio.com/live/19623-national-football-league-2025-26?schedule_id=4784947" TargetMode="External"/><Relationship Id="rId2160" Type="http://schemas.openxmlformats.org/officeDocument/2006/relationships/hyperlink" Target="https://drive.google.com/file/d/1U_0m5ZsJZf5MMismyX65JihNBPBPqN8Z/view?usp=drive_link" TargetMode="External"/><Relationship Id="rId3211" Type="http://schemas.openxmlformats.org/officeDocument/2006/relationships/hyperlink" Target="https://thumbor.prod.vidiocdn.com/ZS7cg30miMEV5hnLLKzagRkeWR4=/filters:quality(70)/vidio-media-production/uploads/image/source/52781/e63705.png" TargetMode="External"/><Relationship Id="rId6367" Type="http://schemas.openxmlformats.org/officeDocument/2006/relationships/hyperlink" Target="https://drive.google.com/drive/folders/1-6CVh3EmCJvOczxre7JXN2fYNjBEVDtQ" TargetMode="External"/><Relationship Id="rId6781" Type="http://schemas.openxmlformats.org/officeDocument/2006/relationships/hyperlink" Target="https://drive.google.com/drive/folders/1NepG6XT-FSa8Cs07sX3tPfQWLNpJfAxp" TargetMode="External"/><Relationship Id="rId7418" Type="http://schemas.openxmlformats.org/officeDocument/2006/relationships/hyperlink" Target="https://drive.google.com/drive/folders/1FJ2_SylaOJCCDdy4bgLR94vUpp4_RAtO?usp=drive_link" TargetMode="External"/><Relationship Id="rId7832" Type="http://schemas.openxmlformats.org/officeDocument/2006/relationships/hyperlink" Target="https://drive.google.com/file/d/1ivyQ2yqY6Rf3EyRJEt21ZvzDh60jKJMj/view?usp=sharing" TargetMode="External"/><Relationship Id="rId132" Type="http://schemas.openxmlformats.org/officeDocument/2006/relationships/hyperlink" Target="https://drive.google.com/drive/folders/1ZnBlExIc16jpQRJ5yiF_rjC2Vw5bQFo5?usp=drive_link" TargetMode="External"/><Relationship Id="rId5383" Type="http://schemas.openxmlformats.org/officeDocument/2006/relationships/hyperlink" Target="https://drive.google.com/file/d/1oGqPWEAFwz1NJQcFysZF6ImCiiStWMYv/view?usp=sharing" TargetMode="External"/><Relationship Id="rId6434" Type="http://schemas.openxmlformats.org/officeDocument/2006/relationships/hyperlink" Target="https://drive.google.com/file/d/1PNOs1_LklFjwjTtiaQahUwoWZloAICoH/view?usp=drive_link" TargetMode="External"/><Relationship Id="rId10813" Type="http://schemas.openxmlformats.org/officeDocument/2006/relationships/hyperlink" Target="https://drive.google.com/file/d/1msluPEcX1IlImG9XyZKpU3Kg0JQSHXjz/view?usp=sharing" TargetMode="External"/><Relationship Id="rId1579" Type="http://schemas.openxmlformats.org/officeDocument/2006/relationships/hyperlink" Target="https://drive.google.com/file/d/1Q6KTr4gx__EHYINTjPPh6dmbOZN2Csfi/view?usp=drive_link" TargetMode="External"/><Relationship Id="rId2977" Type="http://schemas.openxmlformats.org/officeDocument/2006/relationships/hyperlink" Target="https://drive.google.com/drive/folders/1hfcarZQQTW9iAZReqcSurlYy_boiq7jw?usp=drive_link" TargetMode="External"/><Relationship Id="rId5036" Type="http://schemas.openxmlformats.org/officeDocument/2006/relationships/hyperlink" Target="https://drive.google.com/file/d/1eK9tPSo-P1WSQMDOdVRuMz1FT3jH0uPH/view?usp=sharing" TargetMode="External"/><Relationship Id="rId5450" Type="http://schemas.openxmlformats.org/officeDocument/2006/relationships/hyperlink" Target="https://drive.google.com/drive/u/0/folders/12uAhRkPnv-R2qTqLIJMHtWzXJMXwGi7f" TargetMode="External"/><Relationship Id="rId949" Type="http://schemas.openxmlformats.org/officeDocument/2006/relationships/hyperlink" Target="https://drive.google.com/drive/folders/1IlioXGEkSsoLQZiZz4xD0LhHdfVYdvrj?usp=drive_link" TargetMode="External"/><Relationship Id="rId1993" Type="http://schemas.openxmlformats.org/officeDocument/2006/relationships/hyperlink" Target="https://drive.google.com/file/d/17lbJtiGNhnqrJaPzUAyDRS8g2WJ0jKxv/view?usp=sharing" TargetMode="External"/><Relationship Id="rId4052" Type="http://schemas.openxmlformats.org/officeDocument/2006/relationships/hyperlink" Target="https://drive.google.com/file/d/1DQC55HMgIxS_HGCeS1EjzeXJM1LBjW_5/view?usp=sharing" TargetMode="External"/><Relationship Id="rId5103" Type="http://schemas.openxmlformats.org/officeDocument/2006/relationships/hyperlink" Target="https://drive.google.com/file/d/1yvX3qGDARdv_eS37pnNuChUuH_zRlBqf/view?usp=sharing" TargetMode="External"/><Relationship Id="rId6501" Type="http://schemas.openxmlformats.org/officeDocument/2006/relationships/hyperlink" Target="https://drive.google.com/file/d/1rPxmApAbowxHrHnu-OeoaqCj2mS4g49v/view?usp=drive_link" TargetMode="External"/><Relationship Id="rId8259" Type="http://schemas.openxmlformats.org/officeDocument/2006/relationships/hyperlink" Target="https://www.vidio.com/live/19692-top-youth-premier-league-2025-matchweek-6?schedule_id=4644426" TargetMode="External"/><Relationship Id="rId9657" Type="http://schemas.openxmlformats.org/officeDocument/2006/relationships/hyperlink" Target="https://drive.google.com/file/d/1cL8kjPZKO4CzxON4GPGX-YHg8IrRGhHm/view?usp=sharing" TargetMode="External"/><Relationship Id="rId11587" Type="http://schemas.openxmlformats.org/officeDocument/2006/relationships/hyperlink" Target="https://drive.google.com/drive/folders/1swmmoJVMeH02LVfS_mYSr2VkRY7SIqnN" TargetMode="External"/><Relationship Id="rId1646" Type="http://schemas.openxmlformats.org/officeDocument/2006/relationships/hyperlink" Target="https://www.vidio.com/live/19353-bri-super-league?schedule_id=4525641" TargetMode="External"/><Relationship Id="rId8673" Type="http://schemas.openxmlformats.org/officeDocument/2006/relationships/hyperlink" Target="https://drive.google.com/file/d/1N9N92mgumEKMDpj3OVe4m5jTO-4XDZ6v/view?usp=sharing" TargetMode="External"/><Relationship Id="rId9724" Type="http://schemas.openxmlformats.org/officeDocument/2006/relationships/hyperlink" Target="https://drive.google.com/file/d/1idwRajSREKj8fWiHwDStqOZr-VTL_IFa/view?usp=sharing" TargetMode="External"/><Relationship Id="rId10189" Type="http://schemas.openxmlformats.org/officeDocument/2006/relationships/hyperlink" Target="https://drive.google.com/file/d/1BLbyT_jhf9rrtbYljN-yB2FL91RJXrlh/view?usp=drive_link" TargetMode="External"/><Relationship Id="rId11654" Type="http://schemas.openxmlformats.org/officeDocument/2006/relationships/hyperlink" Target="https://drive.google.com/drive/folders/1gax7yLMDKkZS_L30u1HZe5_uvC3oUnT2" TargetMode="External"/><Relationship Id="rId1713" Type="http://schemas.openxmlformats.org/officeDocument/2006/relationships/hyperlink" Target="https://drive.google.com/drive/folders/1MUVga_d6SOBxJph9KA7W64r1sy73jnF_" TargetMode="External"/><Relationship Id="rId4869" Type="http://schemas.openxmlformats.org/officeDocument/2006/relationships/hyperlink" Target="https://drive.google.com/drive/folders/1o3MGyFInQUWphHqSHd8ZBBACPKEX4-Ma?usp=drive_link" TargetMode="External"/><Relationship Id="rId7275" Type="http://schemas.openxmlformats.org/officeDocument/2006/relationships/hyperlink" Target="https://drive.google.com/drive/folders/1lROJIsYWSgr70PIjmQ9maIJ-JHvh3Onv?usp=drive_link" TargetMode="External"/><Relationship Id="rId8326" Type="http://schemas.openxmlformats.org/officeDocument/2006/relationships/hyperlink" Target="https://www.vidio.com/live/6317-bein-3?schedule_id=4773121" TargetMode="External"/><Relationship Id="rId8740" Type="http://schemas.openxmlformats.org/officeDocument/2006/relationships/hyperlink" Target="https://www.vidio.com/live/19745-top-youth-premier-league-2025-matchday-8?schedule_id=4670869" TargetMode="External"/><Relationship Id="rId10256" Type="http://schemas.openxmlformats.org/officeDocument/2006/relationships/hyperlink" Target="https://drive.google.com/file/d/1mlZXQC_8U91_FWQKvNN1uKuQ_a7Sa8-n/view?usp=sharing" TargetMode="External"/><Relationship Id="rId10670" Type="http://schemas.openxmlformats.org/officeDocument/2006/relationships/hyperlink" Target="https://thumbor.prod.vidiocdn.com/xexiQL9VdMdEeQ60-XifpcpdA-M=/filters:quality(70)/vidio-media-production/uploads/image/source/52892/3abe41.png" TargetMode="External"/><Relationship Id="rId11307" Type="http://schemas.openxmlformats.org/officeDocument/2006/relationships/hyperlink" Target="https://www.vidio.com/live/19354-bri-super-league?schedule_id=4832166" TargetMode="External"/><Relationship Id="rId11721" Type="http://schemas.openxmlformats.org/officeDocument/2006/relationships/hyperlink" Target="https://drive.google.com/file/d/1oHEGvCtVo8kiWBRrvJLCxMW_12PNW1-6/view?usp=sharing" TargetMode="External"/><Relationship Id="rId3885" Type="http://schemas.openxmlformats.org/officeDocument/2006/relationships/hyperlink" Target="https://drive.google.com/file/d/1CPRA5-CKSpm1azWy0G89D_U5_vdMsFC2/view?usp=sharing" TargetMode="External"/><Relationship Id="rId4936" Type="http://schemas.openxmlformats.org/officeDocument/2006/relationships/hyperlink" Target="https://www.vidio.com/live/17875-bein-2?schedule_id=4569131" TargetMode="External"/><Relationship Id="rId6291" Type="http://schemas.openxmlformats.org/officeDocument/2006/relationships/hyperlink" Target="https://drive.google.com/drive/folders/1_QyyUC0KxsA5I5XnGSR_moWG1pYIaeRU" TargetMode="External"/><Relationship Id="rId7342" Type="http://schemas.openxmlformats.org/officeDocument/2006/relationships/hyperlink" Target="https://drive.google.com/file/d/1Dsu0bRMkRxj0Y69scKxlTth_x6oDfF0N/view?usp=sharing" TargetMode="External"/><Relationship Id="rId10323" Type="http://schemas.openxmlformats.org/officeDocument/2006/relationships/hyperlink" Target="https://drive.google.com/file/d/1lYrPS0Af4cgaNYxePJqaljCHwGOjPxyo/view?usp=sharing" TargetMode="External"/><Relationship Id="rId2487" Type="http://schemas.openxmlformats.org/officeDocument/2006/relationships/hyperlink" Target="https://drive.google.com/drive/folders/1A9XZdcu0lfAziWrBVBOePDHOIEvjzIIS?usp=drive_link" TargetMode="External"/><Relationship Id="rId3538" Type="http://schemas.openxmlformats.org/officeDocument/2006/relationships/hyperlink" Target="https://www.vidio.com/live/6686-champions-tv-2?schedule_id=4741011" TargetMode="External"/><Relationship Id="rId459" Type="http://schemas.openxmlformats.org/officeDocument/2006/relationships/hyperlink" Target="https://drive.google.com/drive/folders/1RdX2WhbrBxsFRdjEGHWn63LxsqRmzWAE?usp=drive_link" TargetMode="External"/><Relationship Id="rId873" Type="http://schemas.openxmlformats.org/officeDocument/2006/relationships/hyperlink" Target="https://drive.google.com/file/d/1Y41anx1__b9j9F8ESQDrIr4oLKiPhJy7/view?usp=sharing" TargetMode="External"/><Relationship Id="rId1089" Type="http://schemas.openxmlformats.org/officeDocument/2006/relationships/hyperlink" Target="https://drive.google.com/drive/folders/148Id9lGiP2JFivmZSow84TXNlWa1srbS?usp=drive_link" TargetMode="External"/><Relationship Id="rId2554" Type="http://schemas.openxmlformats.org/officeDocument/2006/relationships/hyperlink" Target="https://www.vidio.com/live/6299-bein-1?schedule_id=4592570" TargetMode="External"/><Relationship Id="rId3952" Type="http://schemas.openxmlformats.org/officeDocument/2006/relationships/hyperlink" Target="https://drive.google.com/file/d/1DNux4glLBnqI-DzUHKvsJVIQIe0fQ_QF/view?usp=sharing" TargetMode="External"/><Relationship Id="rId6011" Type="http://schemas.openxmlformats.org/officeDocument/2006/relationships/hyperlink" Target="https://drive.google.com/file/d/1U2TowpF3BBNHuYOyy52OJobO6m0x8sQU/view?usp=sharing" TargetMode="External"/><Relationship Id="rId9167" Type="http://schemas.openxmlformats.org/officeDocument/2006/relationships/hyperlink" Target="https://drive.google.com/file/d/1DNux4glLBnqI-DzUHKvsJVIQIe0fQ_QF/view?usp=sharing" TargetMode="External"/><Relationship Id="rId9581" Type="http://schemas.openxmlformats.org/officeDocument/2006/relationships/hyperlink" Target="https://drive.google.com/drive/folders/1MWaBj605sjOeEZEjnRTRHZ_imAZ5sNhi" TargetMode="External"/><Relationship Id="rId11097" Type="http://schemas.openxmlformats.org/officeDocument/2006/relationships/hyperlink" Target="https://thumbor.prod.vidiocdn.com/oGzCwCQKoPFQo5Kk4yGB5yoG4pc=/filters:quality(70)/vidio-media-production/uploads/image/source/52272/215912.png" TargetMode="External"/><Relationship Id="rId12148" Type="http://schemas.openxmlformats.org/officeDocument/2006/relationships/hyperlink" Target="https://www.vidio.com/live/20270" TargetMode="External"/><Relationship Id="rId526" Type="http://schemas.openxmlformats.org/officeDocument/2006/relationships/hyperlink" Target="https://drive.google.com/drive/folders/1TaP_vfs-hFJJkkXHSczErZfIfAt991tI" TargetMode="External"/><Relationship Id="rId1156" Type="http://schemas.openxmlformats.org/officeDocument/2006/relationships/hyperlink" Target="https://drive.google.com/drive/folders/1idPl22bK_YmcvqL8o00wEUY-bOWHikZ5?usp=drive_link" TargetMode="External"/><Relationship Id="rId2207" Type="http://schemas.openxmlformats.org/officeDocument/2006/relationships/hyperlink" Target="https://drive.google.com/drive/folders/1E9ln_Ia2xM_GA-u_mbRassJpMth-XSMX" TargetMode="External"/><Relationship Id="rId3605" Type="http://schemas.openxmlformats.org/officeDocument/2006/relationships/hyperlink" Target="https://drive.google.com/file/d/106etoOVvVccMAvJlClP3yQzjYo3wEsGM/view?usp=sharing" TargetMode="External"/><Relationship Id="rId8183" Type="http://schemas.openxmlformats.org/officeDocument/2006/relationships/hyperlink" Target="https://drive.google.com/file/d/1HH6LyEApA_7AMQndsWvxB2AHWYk7jo76/view?usp=drive_link" TargetMode="External"/><Relationship Id="rId9234" Type="http://schemas.openxmlformats.org/officeDocument/2006/relationships/hyperlink" Target="https://www.vidio.com/live/19811-top-soccer-championship-2025-u-17?schedule_id=4708225" TargetMode="External"/><Relationship Id="rId940" Type="http://schemas.openxmlformats.org/officeDocument/2006/relationships/hyperlink" Target="https://drive.google.com/file/d/1p6r6PVTqjTfmDZcDsZkJZWTyWKf18BbN/view?usp=sharing" TargetMode="External"/><Relationship Id="rId1570" Type="http://schemas.openxmlformats.org/officeDocument/2006/relationships/hyperlink" Target="https://drive.google.com/drive/folders/1nyKUUyr6kiqG4SFcbhStnCRfNhqct17a" TargetMode="External"/><Relationship Id="rId2621" Type="http://schemas.openxmlformats.org/officeDocument/2006/relationships/hyperlink" Target="https://drive.google.com/file/d/1TOnFp3EwEEi2d6P5zfbmfWQlpjYeOcvP/view?usp=drive_link" TargetMode="External"/><Relationship Id="rId5777" Type="http://schemas.openxmlformats.org/officeDocument/2006/relationships/hyperlink" Target="https://drive.google.com/drive/folders/1CCSsFx0MzxfCi5Lh3rGhMYcNp959HXPL?usp=drive_link" TargetMode="External"/><Relationship Id="rId6828" Type="http://schemas.openxmlformats.org/officeDocument/2006/relationships/hyperlink" Target="https://www.vidio.com/live/19543-pegadaian-championship-2025-26?schedule_id=4564714" TargetMode="External"/><Relationship Id="rId11164" Type="http://schemas.openxmlformats.org/officeDocument/2006/relationships/hyperlink" Target="https://drive.google.com/file/d/1lqvMQo-vu4LWbYx8EshSi5GatZX_ONR4/view?usp=sharing" TargetMode="External"/><Relationship Id="rId12215" Type="http://schemas.openxmlformats.org/officeDocument/2006/relationships/hyperlink" Target="https://drive.google.com/file/d/17nqJ8YbOWxi4DOQmMA4_VvY1qMuE4tM4/view?usp=drive_link" TargetMode="External"/><Relationship Id="rId1223" Type="http://schemas.openxmlformats.org/officeDocument/2006/relationships/hyperlink" Target="https://drive.google.com/drive/folders/1lAXTwbK0UqbeTZ7r9gURkiPSBikYcQLJ?usp=drive_link" TargetMode="External"/><Relationship Id="rId4379" Type="http://schemas.openxmlformats.org/officeDocument/2006/relationships/hyperlink" Target="https://drive.google.com/drive/folders/1RR70yc2D4tNEQ9RkLh22XyRbNik2hCZW?usp=drive_link" TargetMode="External"/><Relationship Id="rId4793" Type="http://schemas.openxmlformats.org/officeDocument/2006/relationships/hyperlink" Target="https://drive.google.com/drive/folders/19sZRUQ7ZrbnlRUlJO1LvMLPHnqJcoX-c?usp=drive_link" TargetMode="External"/><Relationship Id="rId5844" Type="http://schemas.openxmlformats.org/officeDocument/2006/relationships/hyperlink" Target="https://drive.google.com/drive/folders/1-tzMnbSrhZHmww7kEy1XLlI1YFDxA9eH?usp=drive_link" TargetMode="External"/><Relationship Id="rId8250" Type="http://schemas.openxmlformats.org/officeDocument/2006/relationships/hyperlink" Target="https://www.vidio.com/live/19692-top-youth-premier-league-2025-matchweek-6?schedule_id=4644423" TargetMode="External"/><Relationship Id="rId9301" Type="http://schemas.openxmlformats.org/officeDocument/2006/relationships/hyperlink" Target="https://www.vidio.com/live/20048-fivb-volleyball-club-world-championship-2025?schedule_id=4779492" TargetMode="External"/><Relationship Id="rId10180" Type="http://schemas.openxmlformats.org/officeDocument/2006/relationships/hyperlink" Target="https://drive.google.com/file/d/1s-Pi3_-eTVgpwkp8eOnD0y4YgEfC7imJ/view?usp=sharing" TargetMode="External"/><Relationship Id="rId11231" Type="http://schemas.openxmlformats.org/officeDocument/2006/relationships/hyperlink" Target="https://drive.google.com/drive/folders/1QmPGJyfkUAeB_LgPBPbXsinI50fPu4_R" TargetMode="External"/><Relationship Id="rId3395" Type="http://schemas.openxmlformats.org/officeDocument/2006/relationships/hyperlink" Target="https://drive.google.com/drive/folders/1jymrIPkAN_QcTkAOacUJuElsTBAhgN0I" TargetMode="External"/><Relationship Id="rId4446" Type="http://schemas.openxmlformats.org/officeDocument/2006/relationships/hyperlink" Target="https://drive.google.com/file/d/1ZYBdsWWhz7cg-WenRc2TbjDXaYY-Y7cZ/view?usp=sharing" TargetMode="External"/><Relationship Id="rId4860" Type="http://schemas.openxmlformats.org/officeDocument/2006/relationships/hyperlink" Target="https://thumbor.prod.vidiocdn.com/7XRsLfICqv4Lo4x-QD_EmiloA48=/filters:quality(70)/vidio-media-production/uploads/image/source/52891/e72ed2.png" TargetMode="External"/><Relationship Id="rId5911" Type="http://schemas.openxmlformats.org/officeDocument/2006/relationships/hyperlink" Target="https://drive.google.com/drive/folders/1pYi5qIT6QdvkfDRfWH0qsk97hfAPMoyN?usp=drive_link" TargetMode="External"/><Relationship Id="rId3048" Type="http://schemas.openxmlformats.org/officeDocument/2006/relationships/hyperlink" Target="https://drive.google.com/drive/folders/1655C6yKFsmiEvHRyN4OB3pnaHur3bq1O?usp=drive_link" TargetMode="External"/><Relationship Id="rId3462" Type="http://schemas.openxmlformats.org/officeDocument/2006/relationships/hyperlink" Target="https://drive.google.com/drive/u/0/folders/1_m877JUFhSU4IAXDZFzadm31g6IlKO7R" TargetMode="External"/><Relationship Id="rId4513" Type="http://schemas.openxmlformats.org/officeDocument/2006/relationships/hyperlink" Target="https://drive.google.com/file/d/1tHMsk9VePKZig1kyh4NgYEsPvNy7liwQ/view?usp=sharing" TargetMode="External"/><Relationship Id="rId7669" Type="http://schemas.openxmlformats.org/officeDocument/2006/relationships/hyperlink" Target="https://drive.google.com/file/d/1JDV3crfrLjjOTEkR1QaPJnI31chfmkWW/view?usp=sharing" TargetMode="External"/><Relationship Id="rId10997" Type="http://schemas.openxmlformats.org/officeDocument/2006/relationships/hyperlink" Target="https://drive.google.com/drive/folders/17u9jzI2ZCPmfzp0xzVEB7cNmoRzsevFj?usp=drive_link" TargetMode="External"/><Relationship Id="rId383" Type="http://schemas.openxmlformats.org/officeDocument/2006/relationships/hyperlink" Target="https://drive.google.com/file/d/1fqnC3NARFQFK_vXIO2ZjgGLPrgElziOs/view?usp=sharing" TargetMode="External"/><Relationship Id="rId2064" Type="http://schemas.openxmlformats.org/officeDocument/2006/relationships/hyperlink" Target="https://drive.google.com/drive/folders/1udcFYKRK0Vt1A7U77z0RyG9Rx-4PmJxr" TargetMode="External"/><Relationship Id="rId3115" Type="http://schemas.openxmlformats.org/officeDocument/2006/relationships/hyperlink" Target="https://www.vidio.com/live/6299-bein-1?schedule_id=4773335" TargetMode="External"/><Relationship Id="rId6685" Type="http://schemas.openxmlformats.org/officeDocument/2006/relationships/hyperlink" Target="https://drive.google.com/file/d/1HtshB0T7GtT6DNmnV9vgKiHAo1V14hq9/view?usp=sharing" TargetMode="External"/><Relationship Id="rId9091" Type="http://schemas.openxmlformats.org/officeDocument/2006/relationships/hyperlink" Target="https://drive.google.com/file/d/1I5Kb37HR_R2xeFZl8045VkOBEasv61vH/view?usp=sharing" TargetMode="External"/><Relationship Id="rId12072" Type="http://schemas.openxmlformats.org/officeDocument/2006/relationships/hyperlink" Target="https://drive.google.com/file/d/1NSS8caFvdZbwLM0rQ6xFjEA-VHdQ-0wz/view?usp=sharing" TargetMode="External"/><Relationship Id="rId450" Type="http://schemas.openxmlformats.org/officeDocument/2006/relationships/hyperlink" Target="https://drive.google.com/file/d/1fuo6QD-keipNEPwHmpyCOuZkpbJj9g08/view?usp=sharing" TargetMode="External"/><Relationship Id="rId1080" Type="http://schemas.openxmlformats.org/officeDocument/2006/relationships/hyperlink" Target="https://thumbor.prod.vidiocdn.com/mHRydi-5nrUHZwpFWcqeaztiVTs=/filters:quality(70)/vidio-media-production/uploads/image/source/52490/5d0956.png" TargetMode="External"/><Relationship Id="rId2131" Type="http://schemas.openxmlformats.org/officeDocument/2006/relationships/hyperlink" Target="https://drive.google.com/file/d/1_ZE92aF93RXmJqvYb5iZxIXf2oDskAJL/view?usp=sharing" TargetMode="External"/><Relationship Id="rId5287" Type="http://schemas.openxmlformats.org/officeDocument/2006/relationships/hyperlink" Target="https://drive.google.com/file/d/1e_uA6B02WElBtLGXSgJ9tICqZJToK_Q0/view?usp=sharing" TargetMode="External"/><Relationship Id="rId6338" Type="http://schemas.openxmlformats.org/officeDocument/2006/relationships/hyperlink" Target="https://drive.google.com/file/d/1dWvnDJEIl-GjGzJIB3nl9sxq5E3OM5uR/view?usp=sharing" TargetMode="External"/><Relationship Id="rId7736" Type="http://schemas.openxmlformats.org/officeDocument/2006/relationships/hyperlink" Target="https://drive.google.com/drive/folders/1zxf8soryJZN8tBw4MgcRZqoHneVhahhm?usp=drive_link" TargetMode="External"/><Relationship Id="rId10717" Type="http://schemas.openxmlformats.org/officeDocument/2006/relationships/hyperlink" Target="https://drive.google.com/file/d/1htggtsELM7Slqk4GJh4phqkOk98QXZ5Y/view?usp=sharing" TargetMode="External"/><Relationship Id="rId103" Type="http://schemas.openxmlformats.org/officeDocument/2006/relationships/hyperlink" Target="https://drive.google.com/file/d/1toPT4tft2NvWR_AeRmxobUXLCjkBYwTV/view?usp=drive_link" TargetMode="External"/><Relationship Id="rId6752" Type="http://schemas.openxmlformats.org/officeDocument/2006/relationships/hyperlink" Target="https://drive.google.com/file/d/1DNux4glLBnqI-DzUHKvsJVIQIe0fQ_QF/view?usp=sharing" TargetMode="External"/><Relationship Id="rId7803" Type="http://schemas.openxmlformats.org/officeDocument/2006/relationships/hyperlink" Target="https://drive.google.com/file/d/1GYYCcwGmRxpVD_U_sFp-kXPpCLqTS-2a/view?usp=sharing" TargetMode="External"/><Relationship Id="rId1897" Type="http://schemas.openxmlformats.org/officeDocument/2006/relationships/hyperlink" Target="https://drive.google.com/drive/folders/1x6zb-01rnkHnFQ_mhjX3Vtw3-BIgLz2r" TargetMode="External"/><Relationship Id="rId2948" Type="http://schemas.openxmlformats.org/officeDocument/2006/relationships/hyperlink" Target="https://drive.google.com/drive/folders/1ZTwJ28DRsdEYhNRV55Q4rQwGddLwvT-_?usp=drive_link" TargetMode="External"/><Relationship Id="rId5354" Type="http://schemas.openxmlformats.org/officeDocument/2006/relationships/hyperlink" Target="https://www.vidio.com/live/6317-bein-3?schedule_id=4733515" TargetMode="External"/><Relationship Id="rId6405" Type="http://schemas.openxmlformats.org/officeDocument/2006/relationships/hyperlink" Target="https://drive.google.com/file/d/1sCF0UTaeSy0fK1M1vUal3yrhbHrftiX7/view?usp=sharing" TargetMode="External"/><Relationship Id="rId9975" Type="http://schemas.openxmlformats.org/officeDocument/2006/relationships/hyperlink" Target="https://www.vidio.com/live/6299-bein-1?schedule_id=4794868" TargetMode="External"/><Relationship Id="rId1964" Type="http://schemas.openxmlformats.org/officeDocument/2006/relationships/hyperlink" Target="https://drive.google.com/file/d/1JATAq8LqtW_c8c1JT9I9TFMfFTioYeiP/view?usp=sharing" TargetMode="External"/><Relationship Id="rId4370" Type="http://schemas.openxmlformats.org/officeDocument/2006/relationships/hyperlink" Target="https://drive.google.com/file/d/1axXemJxzh5rKlt4w6piAND3D_zBVZb-C/view?usp=sharing" TargetMode="External"/><Relationship Id="rId5007" Type="http://schemas.openxmlformats.org/officeDocument/2006/relationships/hyperlink" Target="https://drive.google.com/file/d/16dQnVqQD9xKFqbziLj4FXCRjbz1Z3lrK/view?usp=drive_link" TargetMode="External"/><Relationship Id="rId5421" Type="http://schemas.openxmlformats.org/officeDocument/2006/relationships/hyperlink" Target="https://drive.google.com/drive/u/0/folders/1_Fo4eUSG--R6uUpMjuvd5Z_Zg98xoybz" TargetMode="External"/><Relationship Id="rId8577" Type="http://schemas.openxmlformats.org/officeDocument/2006/relationships/hyperlink" Target="https://www.vidio.com/live/19584-pegadaian-championship-2025-26?schedule_id=4719243" TargetMode="External"/><Relationship Id="rId8991" Type="http://schemas.openxmlformats.org/officeDocument/2006/relationships/hyperlink" Target="https://drive.google.com/drive/folders/1XYSUvqjeFIFP2HfziIuOneMG1bllQ74s?usp=drive_link" TargetMode="External"/><Relationship Id="rId9628" Type="http://schemas.openxmlformats.org/officeDocument/2006/relationships/hyperlink" Target="https://drive.google.com/file/d/1ZjmrLNtFTKwAU38OOqSpflXfFzjyzZjU/view?usp=sharing" TargetMode="External"/><Relationship Id="rId11558" Type="http://schemas.openxmlformats.org/officeDocument/2006/relationships/hyperlink" Target="https://drive.google.com/file/d/11Vi8juyQ5LipIxFkaWw95ZtlLkEnRLjy/view?usp=sharing" TargetMode="External"/><Relationship Id="rId1617" Type="http://schemas.openxmlformats.org/officeDocument/2006/relationships/hyperlink" Target="https://drive.google.com/drive/folders/1eQlRJrC6oBkBPi0hfS5hlCggtYq6PmkH" TargetMode="External"/><Relationship Id="rId4023" Type="http://schemas.openxmlformats.org/officeDocument/2006/relationships/hyperlink" Target="https://drive.google.com/drive/folders/1Lf--VIoC5rNNy6QHyl6-qsQFyncfoo5E?usp=drive_link" TargetMode="External"/><Relationship Id="rId7179" Type="http://schemas.openxmlformats.org/officeDocument/2006/relationships/hyperlink" Target="https://www.vidio.com/live/19556-top-youth-premier-league-2025-matchday-3?schedule_id=4569319" TargetMode="External"/><Relationship Id="rId7593" Type="http://schemas.openxmlformats.org/officeDocument/2006/relationships/hyperlink" Target="https://drive.google.com/drive/folders/1pZo1S6QLarDjRlpBIZJnvQx9x8GaRifW?usp=drive_link" TargetMode="External"/><Relationship Id="rId8644" Type="http://schemas.openxmlformats.org/officeDocument/2006/relationships/hyperlink" Target="https://drive.google.com/drive/folders/1x4McGaLfSab4QQHmcgdRA8I_LbwUJThn?usp=drive_link" TargetMode="External"/><Relationship Id="rId11972" Type="http://schemas.openxmlformats.org/officeDocument/2006/relationships/hyperlink" Target="https://www.vidio.com/live/18252-petronas-malaysia-open-2026-round-of-32-court-3?schedule_id=4832199" TargetMode="External"/><Relationship Id="rId3789" Type="http://schemas.openxmlformats.org/officeDocument/2006/relationships/hyperlink" Target="https://drive.google.com/drive/folders/1PEJRjmh2WAp0pEdYDaqZ3PdD7_yQ9twU?usp=drive_link" TargetMode="External"/><Relationship Id="rId6195" Type="http://schemas.openxmlformats.org/officeDocument/2006/relationships/hyperlink" Target="https://drive.google.com/file/d/1sVnIlLnHEAYalqaao-h-Wbktqjz__OVp/view?usp=sharing" TargetMode="External"/><Relationship Id="rId7246" Type="http://schemas.openxmlformats.org/officeDocument/2006/relationships/hyperlink" Target="https://drive.google.com/drive/folders/1LiqE1rSncMJjnxCNuQI_mD7A8eO4Lsag?usp=drive_link" TargetMode="External"/><Relationship Id="rId7660" Type="http://schemas.openxmlformats.org/officeDocument/2006/relationships/hyperlink" Target="https://drive.google.com/drive/folders/1WtOYI4fgf0v6-0OsDcXHKsorIvgTM49N" TargetMode="External"/><Relationship Id="rId10227" Type="http://schemas.openxmlformats.org/officeDocument/2006/relationships/hyperlink" Target="https://drive.google.com/drive/folders/10bHRcs2lqm1X8OPBkc4zGr8jGmKsrJr_?usp=drive_link" TargetMode="External"/><Relationship Id="rId10574" Type="http://schemas.openxmlformats.org/officeDocument/2006/relationships/hyperlink" Target="https://www.vidio.com/live/17875-bein-2?schedule_id=4827337" TargetMode="External"/><Relationship Id="rId11625" Type="http://schemas.openxmlformats.org/officeDocument/2006/relationships/hyperlink" Target="https://www.vidio.com/live/6317-bein-3?schedule_id=4825768" TargetMode="External"/><Relationship Id="rId6262" Type="http://schemas.openxmlformats.org/officeDocument/2006/relationships/hyperlink" Target="https://drive.google.com/drive/folders/1vjOA9E-jOlhsRSh5NE7jSpcmcR5v41-E" TargetMode="External"/><Relationship Id="rId7313" Type="http://schemas.openxmlformats.org/officeDocument/2006/relationships/hyperlink" Target="https://drive.google.com/file/d/1iPFLAtA0WayrER6-GAbSi6rRnzv7a8Iz/view?usp=sharing" TargetMode="External"/><Relationship Id="rId8711" Type="http://schemas.openxmlformats.org/officeDocument/2006/relationships/hyperlink" Target="https://drive.google.com/drive/folders/1NepG6XT-FSa8Cs07sX3tPfQWLNpJfAxp" TargetMode="External"/><Relationship Id="rId10641" Type="http://schemas.openxmlformats.org/officeDocument/2006/relationships/hyperlink" Target="https://www.vidio.com/live/20067-top-youth-premier-league-pekan-ke-15?schedule_id=4776344" TargetMode="External"/><Relationship Id="rId3856" Type="http://schemas.openxmlformats.org/officeDocument/2006/relationships/hyperlink" Target="https://drive.google.com/drive/folders/1U6f0Ok3Bqx6kqDEFMor7j5wcppWLAHZr?usp=sharing" TargetMode="External"/><Relationship Id="rId4907" Type="http://schemas.openxmlformats.org/officeDocument/2006/relationships/hyperlink" Target="https://drive.google.com/drive/folders/1fAAB8m5I4MNe_awztCVf9fval3cboa-U?usp=drive_link" TargetMode="External"/><Relationship Id="rId12399" Type="http://schemas.openxmlformats.org/officeDocument/2006/relationships/hyperlink" Target="https://www.vidio.com/live/18249-petronas-malaysia-open-2026-round-of-16-court-1?schedule_id=4833795" TargetMode="External"/><Relationship Id="rId777" Type="http://schemas.openxmlformats.org/officeDocument/2006/relationships/hyperlink" Target="https://drive.google.com/file/d/1UxojIiEz7UbfR9ZftcyFce70-8Q6SLAe/view?usp=sharing" TargetMode="External"/><Relationship Id="rId2458" Type="http://schemas.openxmlformats.org/officeDocument/2006/relationships/hyperlink" Target="https://drive.google.com/drive/folders/1CoXh0RGGynq1XPBqY1gIgMEQKMlua2mi?usp=drive_link" TargetMode="External"/><Relationship Id="rId2872" Type="http://schemas.openxmlformats.org/officeDocument/2006/relationships/hyperlink" Target="https://drive.google.com/drive/folders/1mjFfSQ_blvkDyXbk7l5nF3GkltgQnlit?usp=drive_link" TargetMode="External"/><Relationship Id="rId3509" Type="http://schemas.openxmlformats.org/officeDocument/2006/relationships/hyperlink" Target="https://drive.google.com/drive/folders/13yOTaSsx5bXvrvIYakD3bAJCOYXhpdoQ" TargetMode="External"/><Relationship Id="rId3923" Type="http://schemas.openxmlformats.org/officeDocument/2006/relationships/hyperlink" Target="https://drive.google.com/file/d/1XFz6G-WHfMQ10Sz14ULldsmeryntJ0AE/view?usp=drive_link" TargetMode="External"/><Relationship Id="rId8087" Type="http://schemas.openxmlformats.org/officeDocument/2006/relationships/hyperlink" Target="https://drive.google.com/file/d/1FkPxH-4k79v7xZrCooegCU3xuEXBe9bv/view?usp=sharing" TargetMode="External"/><Relationship Id="rId9485" Type="http://schemas.openxmlformats.org/officeDocument/2006/relationships/hyperlink" Target="https://drive.google.com/file/d/1Od7ahvJ5vUqA93QcTGf_w7HIhwKo_bHi/view?usp=sharing" TargetMode="External"/><Relationship Id="rId844" Type="http://schemas.openxmlformats.org/officeDocument/2006/relationships/hyperlink" Target="https://drive.google.com/file/d/1oqxHTrqaC3uDRXr0zk6M1UHSFONNfdYH/view?usp=sharing" TargetMode="External"/><Relationship Id="rId1474" Type="http://schemas.openxmlformats.org/officeDocument/2006/relationships/hyperlink" Target="https://drive.google.com/drive/folders/1jCnR-H3pHHgHP4U1aQqRA58v2WFpgQQO?usp=drive_link" TargetMode="External"/><Relationship Id="rId2525" Type="http://schemas.openxmlformats.org/officeDocument/2006/relationships/hyperlink" Target="https://www.vidio.com/live/17321-laliga?schedule_id=4592585" TargetMode="External"/><Relationship Id="rId9138" Type="http://schemas.openxmlformats.org/officeDocument/2006/relationships/hyperlink" Target="https://drive.google.com/drive/u/0/folders/1v_9-R35BwEt1LVU66919P9aJXLk2m4Bo" TargetMode="External"/><Relationship Id="rId9552" Type="http://schemas.openxmlformats.org/officeDocument/2006/relationships/hyperlink" Target="https://www.vidio.com/live/19845-top-soccer-championship-2025-u-13-u-14?schedule_id=4719207" TargetMode="External"/><Relationship Id="rId11068" Type="http://schemas.openxmlformats.org/officeDocument/2006/relationships/hyperlink" Target="https://drive.google.com/drive/folders/1rGrNiSVnQ56hwqiz-IUWcS36Ek0v2OE6?usp=drive_link" TargetMode="External"/><Relationship Id="rId11482" Type="http://schemas.openxmlformats.org/officeDocument/2006/relationships/hyperlink" Target="https://drive.google.com/file/d/1zzrmrF1Rr92kIpOE1jy9YBLa4Ii0OoIs/view?usp=sharing" TargetMode="External"/><Relationship Id="rId12119" Type="http://schemas.openxmlformats.org/officeDocument/2006/relationships/hyperlink" Target="https://www.vidio.com/live/18252-petronas-malaysia-open-2026-round-of-16-court-3?schedule_id=4832364" TargetMode="External"/><Relationship Id="rId911" Type="http://schemas.openxmlformats.org/officeDocument/2006/relationships/hyperlink" Target="https://drive.google.com/file/d/1Uqp3LEjOkD5rTgqsvqupNZOkG9fUJPOS/view?usp=sharing" TargetMode="External"/><Relationship Id="rId1127" Type="http://schemas.openxmlformats.org/officeDocument/2006/relationships/hyperlink" Target="https://drive.google.com/file/d/1H6eu8uL0Snc2QUxhuqduYY7piseuu0Dk/view?usp=sharing" TargetMode="External"/><Relationship Id="rId1541" Type="http://schemas.openxmlformats.org/officeDocument/2006/relationships/hyperlink" Target="https://drive.google.com/file/d/1OeIcklnJS6wEF1jWULtc7hkn73Iko76X/view?usp=sharing" TargetMode="External"/><Relationship Id="rId4697" Type="http://schemas.openxmlformats.org/officeDocument/2006/relationships/hyperlink" Target="https://thumbor.prod.vidiocdn.com/wy1z3-tOedq8vJumuV15KDul2B4=/filters:quality(70)/vidio-media-production/uploads/image/source/51909/2fe029.png" TargetMode="External"/><Relationship Id="rId5748" Type="http://schemas.openxmlformats.org/officeDocument/2006/relationships/hyperlink" Target="https://drive.google.com/drive/folders/1w2Mz7i1kHME1ZIjzJ0USM9GXCoIyk2nV?usp=drive_link" TargetMode="External"/><Relationship Id="rId8154" Type="http://schemas.openxmlformats.org/officeDocument/2006/relationships/hyperlink" Target="https://drive.google.com/file/d/1FDnTLVjLfir_rtLJ74l-2oh1333piYCh/view?usp=sharing" TargetMode="External"/><Relationship Id="rId9205" Type="http://schemas.openxmlformats.org/officeDocument/2006/relationships/hyperlink" Target="https://drive.google.com/file/d/1bGAtWdCSL-v2iZg1GvRoYwXZwXVqVH3x/view?usp=drive_link" TargetMode="External"/><Relationship Id="rId10084" Type="http://schemas.openxmlformats.org/officeDocument/2006/relationships/hyperlink" Target="https://drive.google.com/file/d/1waxCpNtGyXWM-sxEAiyEsXT5kpW3iwkJ/view?usp=sharing" TargetMode="External"/><Relationship Id="rId11135" Type="http://schemas.openxmlformats.org/officeDocument/2006/relationships/hyperlink" Target="https://www.vidio.com/live/19774-fa-cup-2025-26?schedule_id=4833944" TargetMode="External"/><Relationship Id="rId3299" Type="http://schemas.openxmlformats.org/officeDocument/2006/relationships/hyperlink" Target="https://drive.google.com/file/d/1Bdg1Su080YpBRECjeQekr9eGuI36PmyU/view?usp=drive_link" TargetMode="External"/><Relationship Id="rId4764" Type="http://schemas.openxmlformats.org/officeDocument/2006/relationships/hyperlink" Target="https://thumbor.prod.vidiocdn.com/WKrxUSzbalwVkWaeTuX9mlmEUFU=/filters:quality(70)/vidio-media-production/uploads/image/source/52005/ca2693.png" TargetMode="External"/><Relationship Id="rId7170" Type="http://schemas.openxmlformats.org/officeDocument/2006/relationships/hyperlink" Target="https://www.vidio.com/live/19556-top-youth-premier-league-2025-matchday-3?schedule_id=4569317" TargetMode="External"/><Relationship Id="rId8221" Type="http://schemas.openxmlformats.org/officeDocument/2006/relationships/hyperlink" Target="https://www.vidio.com/live/19623-national-football-league-2025-26?schedule_id=4660123" TargetMode="External"/><Relationship Id="rId10151" Type="http://schemas.openxmlformats.org/officeDocument/2006/relationships/hyperlink" Target="https://drive.google.com/file/d/1LRKGu0XjwKckRKLOpon47U2i-ojLzKfO/view?usp=sharing" TargetMode="External"/><Relationship Id="rId11202" Type="http://schemas.openxmlformats.org/officeDocument/2006/relationships/hyperlink" Target="https://www.vidio.com/live/18250-hsbc-bwf-world-tour-finals-2025-group-stage-court-2?schedule_id=4784612" TargetMode="External"/><Relationship Id="rId3366" Type="http://schemas.openxmlformats.org/officeDocument/2006/relationships/hyperlink" Target="https://www.vidio.com/live/19355-bri-super-league?schedule_id=4515876" TargetMode="External"/><Relationship Id="rId4417" Type="http://schemas.openxmlformats.org/officeDocument/2006/relationships/hyperlink" Target="https://drive.google.com/file/d/1JHRpRwxJp0uwg62A16zBmIa0zvx62Fh2/view?usp=sharing" TargetMode="External"/><Relationship Id="rId5815" Type="http://schemas.openxmlformats.org/officeDocument/2006/relationships/hyperlink" Target="https://www.vidio.com/live/19602-uefa-europa-league?schedule_id=4701942" TargetMode="External"/><Relationship Id="rId287" Type="http://schemas.openxmlformats.org/officeDocument/2006/relationships/hyperlink" Target="https://drive.google.com/file/d/19BEN2mFNhvcnW63o6zdyemmol5sJSRPL/view?usp=sharing" TargetMode="External"/><Relationship Id="rId2382" Type="http://schemas.openxmlformats.org/officeDocument/2006/relationships/hyperlink" Target="https://drive.google.com/file/d/16rOHjPI4mGXHl6atvoO_MfYrMJjzR02I/view?usp=sharing" TargetMode="External"/><Relationship Id="rId3019" Type="http://schemas.openxmlformats.org/officeDocument/2006/relationships/hyperlink" Target="https://drive.google.com/file/d/1rH-hsndb9KzrzIO_IONHWz-tsc8rnv0c/view?usp=sharing" TargetMode="External"/><Relationship Id="rId3780" Type="http://schemas.openxmlformats.org/officeDocument/2006/relationships/hyperlink" Target="https://drive.google.com/file/d/19axu04jSYun0bSSUQzgZZNi4X0kRydYG/view?usp=sharing" TargetMode="External"/><Relationship Id="rId4831" Type="http://schemas.openxmlformats.org/officeDocument/2006/relationships/hyperlink" Target="https://drive.google.com/drive/folders/1ztrYgTR2tTXL_YoFwxDIB70vVUt9pnk2" TargetMode="External"/><Relationship Id="rId7987" Type="http://schemas.openxmlformats.org/officeDocument/2006/relationships/hyperlink" Target="https://drive.google.com/file/d/1Bg504kUOAdCnTF3mZV-FiZdE-Fq9_wZ-/view?usp=sharing" TargetMode="External"/><Relationship Id="rId10968" Type="http://schemas.openxmlformats.org/officeDocument/2006/relationships/hyperlink" Target="https://drive.google.com/file/d/19FG9CrkItovAzsbDtk4x9wZ3C3xOg5l2/view?usp=sharing" TargetMode="External"/><Relationship Id="rId354" Type="http://schemas.openxmlformats.org/officeDocument/2006/relationships/hyperlink" Target="https://drive.google.com/file/d/1daAl3DQ3B5-2_tHqE1nw0dzgbNdJS2Ol/view?usp=drive_link" TargetMode="External"/><Relationship Id="rId2035" Type="http://schemas.openxmlformats.org/officeDocument/2006/relationships/hyperlink" Target="https://drive.google.com/file/d/1dj9ZOzLeEWou0FMP-BHO1jZz-ce_Rbbg/view?usp=sharing" TargetMode="External"/><Relationship Id="rId3433" Type="http://schemas.openxmlformats.org/officeDocument/2006/relationships/hyperlink" Target="https://www.vidio.com/live/6685-champions-tv-1?schedule_id=4484055" TargetMode="External"/><Relationship Id="rId6589" Type="http://schemas.openxmlformats.org/officeDocument/2006/relationships/hyperlink" Target="https://drive.google.com/file/d/1sRgJHQX4djilRLfHMTAjLSWsWVt4nS3i/view?usp=sharing" TargetMode="External"/><Relationship Id="rId9062" Type="http://schemas.openxmlformats.org/officeDocument/2006/relationships/hyperlink" Target="https://www.vidio.com/live/19738-turkish-women-s-volleyball-league?schedule_id=4739854" TargetMode="External"/><Relationship Id="rId12390" Type="http://schemas.openxmlformats.org/officeDocument/2006/relationships/hyperlink" Target="https://drive.google.com/file/d/15XWbtbUwFEgrO0Ju6sNJKkMPQkRxrMB0/view?usp=sharing" TargetMode="External"/><Relationship Id="rId3500" Type="http://schemas.openxmlformats.org/officeDocument/2006/relationships/hyperlink" Target="https://drive.google.com/file/d/17IaFFEX6Q654EGtymP5s84h52YZ-2OIh/view?usp=sharing" TargetMode="External"/><Relationship Id="rId6656" Type="http://schemas.openxmlformats.org/officeDocument/2006/relationships/hyperlink" Target="https://drive.google.com/file/d/1xvRrRyhQ4EZRFdKZxqBz4Dll1xHqgudn/view?usp=sharing" TargetMode="External"/><Relationship Id="rId7707" Type="http://schemas.openxmlformats.org/officeDocument/2006/relationships/hyperlink" Target="https://drive.google.com/drive/folders/1-d7SElccr2N6xnWCuYB7bicvICq7mohq?usp=drive_link" TargetMode="External"/><Relationship Id="rId12043" Type="http://schemas.openxmlformats.org/officeDocument/2006/relationships/hyperlink" Target="https://drive.google.com/drive/folders/1j2A_bH-x2l04Qo4WA98rK5ys1iCEU3UZ" TargetMode="External"/><Relationship Id="rId421" Type="http://schemas.openxmlformats.org/officeDocument/2006/relationships/hyperlink" Target="https://drive.google.com/file/d/1FaxZ0EXbqDWmhk8IwihSE1hMePaTFF_5/view?usp=sharing" TargetMode="External"/><Relationship Id="rId1051" Type="http://schemas.openxmlformats.org/officeDocument/2006/relationships/hyperlink" Target="https://drive.google.com/drive/folders/19DPIzpHzt94yBU3l2qany80kmmm88dJA?usp=drive_link" TargetMode="External"/><Relationship Id="rId2102" Type="http://schemas.openxmlformats.org/officeDocument/2006/relationships/hyperlink" Target="https://drive.google.com/file/d/1u0MwprNA_ujOGjSDcrGMYrhl2JcATLV5/view?usp=sharing" TargetMode="External"/><Relationship Id="rId5258" Type="http://schemas.openxmlformats.org/officeDocument/2006/relationships/hyperlink" Target="https://drive.google.com/file/d/10FrvkOE5YiYkjv3yOl25Sadxs0TzkShi/view?usp=sharing" TargetMode="External"/><Relationship Id="rId5672" Type="http://schemas.openxmlformats.org/officeDocument/2006/relationships/hyperlink" Target="https://drive.google.com/file/d/1uIeTVD9YwI4QBRR0DD6T6OJe6KZMp_tP/view?usp=sharing" TargetMode="External"/><Relationship Id="rId6309" Type="http://schemas.openxmlformats.org/officeDocument/2006/relationships/hyperlink" Target="https://drive.google.com/file/d/1UJ7ao3h1K0AbgKoq85Ay7XJmigS-Ti3J/view?usp=sharing" TargetMode="External"/><Relationship Id="rId6723" Type="http://schemas.openxmlformats.org/officeDocument/2006/relationships/hyperlink" Target="https://drive.google.com/file/d/17fgledcxhxSxWUL9INig8fuSNWZkgT21/view?usp=sharing" TargetMode="External"/><Relationship Id="rId9879" Type="http://schemas.openxmlformats.org/officeDocument/2006/relationships/hyperlink" Target="https://drive.google.com/drive/folders/1Bmp7CkLDn4_spaGoEDDAj2-xNqPy-CIl" TargetMode="External"/><Relationship Id="rId12110" Type="http://schemas.openxmlformats.org/officeDocument/2006/relationships/hyperlink" Target="https://www.vidio.com/live/18252-petronas-malaysia-open-2026-round-of-16-court-3?schedule_id=4832361" TargetMode="External"/><Relationship Id="rId1868" Type="http://schemas.openxmlformats.org/officeDocument/2006/relationships/hyperlink" Target="https://www.vidio.com/live/19354-bri-super-league?schedule_id=4653438" TargetMode="External"/><Relationship Id="rId4274" Type="http://schemas.openxmlformats.org/officeDocument/2006/relationships/hyperlink" Target="https://drive.google.com/drive/folders/15-II7ipKAoia1ddwRA92IJ21xrPGVpIb?usp=drive_link" TargetMode="External"/><Relationship Id="rId5325" Type="http://schemas.openxmlformats.org/officeDocument/2006/relationships/hyperlink" Target="https://www.vidio.com/live/18302-uefa-champions-league?schedule_id=4733529" TargetMode="External"/><Relationship Id="rId8895" Type="http://schemas.openxmlformats.org/officeDocument/2006/relationships/hyperlink" Target="https://drive.google.com/file/d/1PYkEREHSpGYO2Som5gKpQ9otjjeG0VxQ/view?usp=sharing" TargetMode="External"/><Relationship Id="rId2919" Type="http://schemas.openxmlformats.org/officeDocument/2006/relationships/hyperlink" Target="https://drive.google.com/drive/folders/1EELPHjh_0eXwad8WPCf73nR8be3jvRf4?usp=drive_link" TargetMode="External"/><Relationship Id="rId3290" Type="http://schemas.openxmlformats.org/officeDocument/2006/relationships/hyperlink" Target="https://drive.google.com/file/d/1RyRGL5XYADp9uX1NZLtad5ZJep89695Y/view?usp=sharing" TargetMode="External"/><Relationship Id="rId4341" Type="http://schemas.openxmlformats.org/officeDocument/2006/relationships/hyperlink" Target="https://drive.google.com/file/d/1hBcVEpe4qffPeo-B9CUJzZ0yazP37JxM/view?usp=sharing" TargetMode="External"/><Relationship Id="rId7497" Type="http://schemas.openxmlformats.org/officeDocument/2006/relationships/hyperlink" Target="https://drive.google.com/drive/folders/1Ce0RjoJg4DaKfRkhvz_waXSYqojCV-GG?usp=drive_link" TargetMode="External"/><Relationship Id="rId8548" Type="http://schemas.openxmlformats.org/officeDocument/2006/relationships/hyperlink" Target="https://drive.google.com/file/d/1s7hU_MKABHuNfNFGrBeTXsM9r2lV89sL/view?usp=sharing" TargetMode="External"/><Relationship Id="rId9946" Type="http://schemas.openxmlformats.org/officeDocument/2006/relationships/hyperlink" Target="https://drive.google.com/file/d/13_YCaWf44wuEJ2fQkhodCJmf5wpH-3-o/view?usp=sharing" TargetMode="External"/><Relationship Id="rId11876" Type="http://schemas.openxmlformats.org/officeDocument/2006/relationships/hyperlink" Target="https://drive.google.com/file/d/1_VFmtjeoa1jB6YMFl35R4XO6xs8PdX7H/view?usp=sharing" TargetMode="External"/><Relationship Id="rId1935" Type="http://schemas.openxmlformats.org/officeDocument/2006/relationships/hyperlink" Target="https://drive.google.com/file/d/1vIpaK-bK3gNaYfIt9ze6qPvgmTMPPMhV/view?usp=sharing" TargetMode="External"/><Relationship Id="rId6099" Type="http://schemas.openxmlformats.org/officeDocument/2006/relationships/hyperlink" Target="https://drive.google.com/drive/folders/1kEYQSfbZXDCBt3kf6xsnMh9F_5iHYCge?usp=drive_link" TargetMode="External"/><Relationship Id="rId8962" Type="http://schemas.openxmlformats.org/officeDocument/2006/relationships/hyperlink" Target="https://drive.google.com/drive/folders/16gD2JVWzjp1xjoc6qJGzOhzQW2ddWfwt" TargetMode="External"/><Relationship Id="rId10478" Type="http://schemas.openxmlformats.org/officeDocument/2006/relationships/hyperlink" Target="https://drive.google.com/file/d/1DNux4glLBnqI-DzUHKvsJVIQIe0fQ_QF/view?usp=sharing" TargetMode="External"/><Relationship Id="rId10892" Type="http://schemas.openxmlformats.org/officeDocument/2006/relationships/hyperlink" Target="https://drive.google.com/file/d/18tEbasgwq_MXgr1JckS27JEejHZzKQjh/view?usp=sharing" TargetMode="External"/><Relationship Id="rId11529" Type="http://schemas.openxmlformats.org/officeDocument/2006/relationships/hyperlink" Target="https://thumbor.prod.vidiocdn.com/7cS9uWC9tcNLzzm6dvrHZqklGBw=/filters:quality(70)/vidio-media-production/uploads/image/source/52573/d8d244.png" TargetMode="External"/><Relationship Id="rId11943" Type="http://schemas.openxmlformats.org/officeDocument/2006/relationships/hyperlink" Target="https://www.vidio.com/live/18249-petronas-malaysia-open-2026-round-of-32-court-1?schedule_id=4832171" TargetMode="External"/><Relationship Id="rId3010" Type="http://schemas.openxmlformats.org/officeDocument/2006/relationships/hyperlink" Target="https://drive.google.com/drive/folders/1hePFTlYvYJ5wViFN3ABD4VDRBjZB4T8G?usp=drive_link" TargetMode="External"/><Relationship Id="rId6166" Type="http://schemas.openxmlformats.org/officeDocument/2006/relationships/hyperlink" Target="https://www.vidio.com/live/19644-uefa-conference-league?schedule_id=4614693" TargetMode="External"/><Relationship Id="rId7564" Type="http://schemas.openxmlformats.org/officeDocument/2006/relationships/hyperlink" Target="https://drive.google.com/file/d/1ua73Cn0njWz2MIjj-yEpBbgoz2mbgZbG/view?usp=drive_link" TargetMode="External"/><Relationship Id="rId8615" Type="http://schemas.openxmlformats.org/officeDocument/2006/relationships/hyperlink" Target="https://drive.google.com/drive/folders/1rl5FGcq4AJPO8LOU0ioroZMKuxSSq8pn?usp=drive_link" TargetMode="External"/><Relationship Id="rId10545" Type="http://schemas.openxmlformats.org/officeDocument/2006/relationships/hyperlink" Target="https://drive.google.com/file/d/1iSqMY8dgWHUUv5Rb7Vy8ojEEyCtRlu-L/view?usp=sharing" TargetMode="External"/><Relationship Id="rId6580" Type="http://schemas.openxmlformats.org/officeDocument/2006/relationships/hyperlink" Target="https://www.vidio.com/live/20094-uefa-conference-league?schedule_id=4783350" TargetMode="External"/><Relationship Id="rId7217" Type="http://schemas.openxmlformats.org/officeDocument/2006/relationships/hyperlink" Target="https://drive.google.com/drive/folders/1SbruS9ULEAsPCQ9MlUuYmbPZOG9KYKPI" TargetMode="External"/><Relationship Id="rId7631" Type="http://schemas.openxmlformats.org/officeDocument/2006/relationships/hyperlink" Target="https://drive.google.com/drive/folders/1dpZ8PhtxV7FqQNAiLQ_rMGpmLOG9dwN-?usp=drive_link" TargetMode="External"/><Relationship Id="rId10612" Type="http://schemas.openxmlformats.org/officeDocument/2006/relationships/hyperlink" Target="https://www.vidio.com/live/20065-top-soccer-championship-semifinal-u-13-dan-final-u-14-plate?schedule_id=4776334" TargetMode="External"/><Relationship Id="rId2776" Type="http://schemas.openxmlformats.org/officeDocument/2006/relationships/hyperlink" Target="https://drive.google.com/drive/folders/1qeL-o6mT1rTYcd3c01m2layrhrqUN4pM?usp=drive_link" TargetMode="External"/><Relationship Id="rId3827" Type="http://schemas.openxmlformats.org/officeDocument/2006/relationships/hyperlink" Target="https://www.vidio.com/live/6686-champions-tv-2?schedule_id=4674583" TargetMode="External"/><Relationship Id="rId5182" Type="http://schemas.openxmlformats.org/officeDocument/2006/relationships/hyperlink" Target="https://www.vidio.com/live/18304-uefa-champions-league?schedule_id=4664046" TargetMode="External"/><Relationship Id="rId6233" Type="http://schemas.openxmlformats.org/officeDocument/2006/relationships/hyperlink" Target="https://www.vidio.com/live/19646-uefa-conference-league?schedule_id=4664185" TargetMode="External"/><Relationship Id="rId9389" Type="http://schemas.openxmlformats.org/officeDocument/2006/relationships/hyperlink" Target="https://drive.google.com/file/d/1pfUwd13zfsVW4GJoAD1Y_AWP6Bx-avoo/view?usp=sharing" TargetMode="External"/><Relationship Id="rId748" Type="http://schemas.openxmlformats.org/officeDocument/2006/relationships/hyperlink" Target="https://drive.google.com/file/d/15BJTP6aImFuoxayyI7SQnmUlriTfcbAj/view?usp=sharing" TargetMode="External"/><Relationship Id="rId1378" Type="http://schemas.openxmlformats.org/officeDocument/2006/relationships/hyperlink" Target="https://drive.google.com/drive/folders/13g-2xNYJ52g3CsquyDv4V9uUMoDq__RD?usp=drive_link" TargetMode="External"/><Relationship Id="rId1792" Type="http://schemas.openxmlformats.org/officeDocument/2006/relationships/hyperlink" Target="https://drive.google.com/drive/u/0/folders/1UK6JOYOJJ_5a5WEmGMrjKbPOe1Q5OO4u" TargetMode="External"/><Relationship Id="rId2429" Type="http://schemas.openxmlformats.org/officeDocument/2006/relationships/hyperlink" Target="https://drive.google.com/file/d/1sq61VbSww0t_M0M3G5zvv9ZmSekXU8y3/view?usp=sharing" TargetMode="External"/><Relationship Id="rId2843" Type="http://schemas.openxmlformats.org/officeDocument/2006/relationships/hyperlink" Target="https://drive.google.com/drive/folders/1dprT1yJu2sNUQooyWXAVnCRfq-5RJFJn?usp=drive_link" TargetMode="External"/><Relationship Id="rId5999" Type="http://schemas.openxmlformats.org/officeDocument/2006/relationships/hyperlink" Target="https://drive.google.com/file/d/12LZ7eZX8zg_koR7a_Swaav_WMPk-Xm6U/view?usp=drive_link" TargetMode="External"/><Relationship Id="rId6300" Type="http://schemas.openxmlformats.org/officeDocument/2006/relationships/hyperlink" Target="https://www.vidio.com/live/19644-uefa-conference-league?schedule_id=4700072" TargetMode="External"/><Relationship Id="rId9456" Type="http://schemas.openxmlformats.org/officeDocument/2006/relationships/hyperlink" Target="https://drive.google.com/drive/folders/1l_ZTcfs3sci5hHw7GYH9pl3Og_Fs4Qrv?usp=drive_link" TargetMode="External"/><Relationship Id="rId9870" Type="http://schemas.openxmlformats.org/officeDocument/2006/relationships/hyperlink" Target="https://drive.google.com/file/d/1bGAtWdCSL-v2iZg1GvRoYwXZwXVqVH3x/view" TargetMode="External"/><Relationship Id="rId11386" Type="http://schemas.openxmlformats.org/officeDocument/2006/relationships/hyperlink" Target="https://www.vidio.com/live/20112-grand-final-top-soccer-championship-u-13?schedule_id=4786464" TargetMode="External"/><Relationship Id="rId12437" Type="http://schemas.openxmlformats.org/officeDocument/2006/relationships/hyperlink" Target="https://drive.google.com/file/d/17nqJ8YbOWxi4DOQmMA4_VvY1qMuE4tM4/view?usp=drive_link" TargetMode="External"/><Relationship Id="rId84" Type="http://schemas.openxmlformats.org/officeDocument/2006/relationships/hyperlink" Target="https://drive.google.com/file/d/1TSwARQLSL4TsOiL3Ir3opkULu5iHYddq/view?usp=sharing" TargetMode="External"/><Relationship Id="rId815" Type="http://schemas.openxmlformats.org/officeDocument/2006/relationships/hyperlink" Target="https://drive.google.com/file/d/1nWsr4AoYdVA6J6_s43P_pTa0t6-1ypDh/view?usp=sharing" TargetMode="External"/><Relationship Id="rId1445" Type="http://schemas.openxmlformats.org/officeDocument/2006/relationships/hyperlink" Target="https://drive.google.com/drive/folders/1yfBuzh-jmFihBefXWBdkikllGGMuosSj?usp=drive_link" TargetMode="External"/><Relationship Id="rId8058" Type="http://schemas.openxmlformats.org/officeDocument/2006/relationships/hyperlink" Target="https://drive.google.com/file/d/1YiwCq01BKtw9vZqR2SP0UUmHhoEziEWn/view?usp=drive_link" TargetMode="External"/><Relationship Id="rId8472" Type="http://schemas.openxmlformats.org/officeDocument/2006/relationships/hyperlink" Target="https://drive.google.com/drive/folders/18fQ0pYUEsTDAVw7m19OZLnpj70eLzfaM" TargetMode="External"/><Relationship Id="rId9109" Type="http://schemas.openxmlformats.org/officeDocument/2006/relationships/hyperlink" Target="https://drive.google.com/file/d/17EgcNw0TtNEtQmgfxO9p1beJ9NPNvHcb/view?usp=sharing" TargetMode="External"/><Relationship Id="rId9523" Type="http://schemas.openxmlformats.org/officeDocument/2006/relationships/hyperlink" Target="https://www.vidio.com/live/19748-national-football-league-2025-26?schedule_id=4727019" TargetMode="External"/><Relationship Id="rId11039" Type="http://schemas.openxmlformats.org/officeDocument/2006/relationships/hyperlink" Target="https://thumbor.prod.vidiocdn.com/IvPRsmt3-ScCIFREgUSaS-1aqyI=/filters:quality(70)/vidio-media-production/uploads/image/source/53181/4f71f9.png" TargetMode="External"/><Relationship Id="rId2910" Type="http://schemas.openxmlformats.org/officeDocument/2006/relationships/hyperlink" Target="https://drive.google.com/file/d/1CfDl-P4iAA0WuzXl0N7SAAQmtVfnd9v0/view?usp=sharing" TargetMode="External"/><Relationship Id="rId7074" Type="http://schemas.openxmlformats.org/officeDocument/2006/relationships/hyperlink" Target="https://drive.google.com/drive/folders/1CZBstAzuFk0s6lzezob_lw46kKvdyWMX?usp=drive_link" TargetMode="External"/><Relationship Id="rId8125" Type="http://schemas.openxmlformats.org/officeDocument/2006/relationships/hyperlink" Target="https://drive.google.com/file/d/1zPeQnaReYCCxhHkISvJ772VHXON5fRW6/view?usp=sharing" TargetMode="External"/><Relationship Id="rId11453" Type="http://schemas.openxmlformats.org/officeDocument/2006/relationships/hyperlink" Target="https://drive.google.com/file/d/1rnhlOUGv1XnHJwtoLhblHBMtq8uO2m1P/view?usp=sharing" TargetMode="External"/><Relationship Id="rId1512" Type="http://schemas.openxmlformats.org/officeDocument/2006/relationships/hyperlink" Target="https://drive.google.com/file/d/1v1nuHAec9sF8zYN4Q6Kz0bKMLRALXhRl/view?usp=sharing" TargetMode="External"/><Relationship Id="rId4668" Type="http://schemas.openxmlformats.org/officeDocument/2006/relationships/hyperlink" Target="https://www.vidio.com/live/19404-serie-a?schedule_id=4780170" TargetMode="External"/><Relationship Id="rId5719" Type="http://schemas.openxmlformats.org/officeDocument/2006/relationships/hyperlink" Target="https://drive.google.com/file/d/1U28W2tW39VrN4U6O5SwFQWdXZN9TNHMk/view?usp=sharing" TargetMode="External"/><Relationship Id="rId6090" Type="http://schemas.openxmlformats.org/officeDocument/2006/relationships/hyperlink" Target="https://drive.google.com/file/d/1Ca3ciFx-YJdlmR_Dgc-vYqf2jFkTpC15/view?usp=sharing" TargetMode="External"/><Relationship Id="rId7141" Type="http://schemas.openxmlformats.org/officeDocument/2006/relationships/hyperlink" Target="https://drive.google.com/drive/folders/1ziA7V6oedjq9DgPopAhhuHE9Ovz7Xks5?usp=drive_link" TargetMode="External"/><Relationship Id="rId10055" Type="http://schemas.openxmlformats.org/officeDocument/2006/relationships/hyperlink" Target="https://drive.google.com/file/d/1aphUWLomngBfTg6-JByjbR_BsMY709dK/view?usp=sharing" TargetMode="External"/><Relationship Id="rId11106" Type="http://schemas.openxmlformats.org/officeDocument/2006/relationships/hyperlink" Target="https://thumbor.prod.vidiocdn.com/yuh3xqS_vqOh2dfoRrp5qhpoVEA=/filters:quality(70)/vidio-media-production/uploads/image/source/52675/011c2d.png" TargetMode="External"/><Relationship Id="rId11520" Type="http://schemas.openxmlformats.org/officeDocument/2006/relationships/hyperlink" Target="https://thumbor.prod.vidiocdn.com/6_2nA-nn6YR8OoHiCs4T0kd-Kz0=/filters:quality(70)/vidio-media-production/uploads/image/source/53064/56355c.png" TargetMode="External"/><Relationship Id="rId3684" Type="http://schemas.openxmlformats.org/officeDocument/2006/relationships/hyperlink" Target="https://drive.google.com/drive/folders/1cqK29lH31A_ffI68Dq9R_BjiNsOaaL9_" TargetMode="External"/><Relationship Id="rId4735" Type="http://schemas.openxmlformats.org/officeDocument/2006/relationships/hyperlink" Target="https://drive.google.com/drive/folders/1zFd2kVCYuDKkL5BWFpOiIzmnyXHeSD8n?usp=drive_link" TargetMode="External"/><Relationship Id="rId10122" Type="http://schemas.openxmlformats.org/officeDocument/2006/relationships/hyperlink" Target="https://drive.google.com/file/d/1bGAtWdCSL-v2iZg1GvRoYwXZwXVqVH3x/view?usp=sharing" TargetMode="External"/><Relationship Id="rId2286" Type="http://schemas.openxmlformats.org/officeDocument/2006/relationships/hyperlink" Target="https://www.vidio.com/live/6299-bein-1?schedule_id=4512790" TargetMode="External"/><Relationship Id="rId3337" Type="http://schemas.openxmlformats.org/officeDocument/2006/relationships/hyperlink" Target="https://drive.google.com/drive/folders/1kditXM982QiCIUGvIu_AHbX7JX47i-wV?usp=drive_link" TargetMode="External"/><Relationship Id="rId3751" Type="http://schemas.openxmlformats.org/officeDocument/2006/relationships/hyperlink" Target="https://drive.google.com/file/d/1LF5rxwUCt4Nz83zFl-6TT_aZIWcxSBvE/view?usp=sharing" TargetMode="External"/><Relationship Id="rId4802" Type="http://schemas.openxmlformats.org/officeDocument/2006/relationships/hyperlink" Target="https://www.vidio.com/live/19404-serie-a?schedule_id=4803430" TargetMode="External"/><Relationship Id="rId7958" Type="http://schemas.openxmlformats.org/officeDocument/2006/relationships/hyperlink" Target="https://drive.google.com/drive/folders/1AGAXqZ7McjPPlW5nJONBwg7MBNaMa5op?usp=drive_link" TargetMode="External"/><Relationship Id="rId12294" Type="http://schemas.openxmlformats.org/officeDocument/2006/relationships/hyperlink" Target="https://drive.google.com/file/d/17nqJ8YbOWxi4DOQmMA4_VvY1qMuE4tM4/view?usp=sharing" TargetMode="External"/><Relationship Id="rId258" Type="http://schemas.openxmlformats.org/officeDocument/2006/relationships/hyperlink" Target="https://drive.google.com/drive/folders/1keBgYGAW2V9gleWyOBlIJnrRzNas7sPg?usp=drive_link" TargetMode="External"/><Relationship Id="rId672" Type="http://schemas.openxmlformats.org/officeDocument/2006/relationships/hyperlink" Target="https://www.vidio.com/live/9182-champions-tv-5?schedule_id=4707256" TargetMode="External"/><Relationship Id="rId2353" Type="http://schemas.openxmlformats.org/officeDocument/2006/relationships/hyperlink" Target="https://drive.google.com/file/d/1_XR-YSsWxdTIFxpnTkU6tuQ03PNjn6zF/view?usp=sharing" TargetMode="External"/><Relationship Id="rId3404" Type="http://schemas.openxmlformats.org/officeDocument/2006/relationships/hyperlink" Target="https://drive.google.com/drive/folders/19FYrg6F19MW3A5zQqyRCXLOGcpYXIuGp" TargetMode="External"/><Relationship Id="rId6974" Type="http://schemas.openxmlformats.org/officeDocument/2006/relationships/hyperlink" Target="https://drive.google.com/file/d/1X7EZM0YEPiyuJ_8yRwbZtUPQ3x3oNat3/view?usp=sharing" TargetMode="External"/><Relationship Id="rId9380" Type="http://schemas.openxmlformats.org/officeDocument/2006/relationships/hyperlink" Target="https://www.vidio.com/live/19584-pegadaian-championship-2025-26?schedule_id=4824948" TargetMode="External"/><Relationship Id="rId10939" Type="http://schemas.openxmlformats.org/officeDocument/2006/relationships/hyperlink" Target="https://drive.google.com/drive/folders/1wItNzZgKeZUL9zGbCQABqXKfKivIb5dZ" TargetMode="External"/><Relationship Id="rId12361" Type="http://schemas.openxmlformats.org/officeDocument/2006/relationships/hyperlink" Target="https://drive.google.com/file/d/1QU7f_kJOwoVWtAMjp7ybswNoG2DihFYJ/view?usp=sharing" TargetMode="External"/><Relationship Id="rId325" Type="http://schemas.openxmlformats.org/officeDocument/2006/relationships/hyperlink" Target="https://drive.google.com/file/d/1HakL-A6i3H2_WjxM-NlKf-ccoY_QZG4f/view?usp=sharing" TargetMode="External"/><Relationship Id="rId2006" Type="http://schemas.openxmlformats.org/officeDocument/2006/relationships/hyperlink" Target="https://drive.google.com/file/d/16tjYdVvumFUK-rjY67219NA0SUY2Wh86/view?usp=sharing" TargetMode="External"/><Relationship Id="rId2420" Type="http://schemas.openxmlformats.org/officeDocument/2006/relationships/hyperlink" Target="https://drive.google.com/drive/folders/1JYUxeFuCA_ysYN8Cm8MmSF4fdrcrTE5c?usp=drive_link" TargetMode="External"/><Relationship Id="rId5576" Type="http://schemas.openxmlformats.org/officeDocument/2006/relationships/hyperlink" Target="https://www.vidio.com/live/19600-uefa-europa-league?schedule_id=4596302" TargetMode="External"/><Relationship Id="rId6627" Type="http://schemas.openxmlformats.org/officeDocument/2006/relationships/hyperlink" Target="https://www.vidio.com/live/19644-uefa-conference-league?schedule_id=4783293" TargetMode="External"/><Relationship Id="rId9033" Type="http://schemas.openxmlformats.org/officeDocument/2006/relationships/hyperlink" Target="https://drive.google.com/file/d/1xNzCZFYTGkbHv_r7sDpUjFAmiaAGJRHb/view?usp=sharing" TargetMode="External"/><Relationship Id="rId12014" Type="http://schemas.openxmlformats.org/officeDocument/2006/relationships/hyperlink" Target="https://www.vidio.com/live/18249-petronas-malaysia-open-2026-round-of-16-court-1?schedule_id=4832332" TargetMode="External"/><Relationship Id="rId1022" Type="http://schemas.openxmlformats.org/officeDocument/2006/relationships/hyperlink" Target="https://drive.google.com/file/d/1DmnbBDoS9xYtGa1qI4lLITKiXwJLbt3A/view?usp=drive_link" TargetMode="External"/><Relationship Id="rId4178" Type="http://schemas.openxmlformats.org/officeDocument/2006/relationships/hyperlink" Target="https://drive.google.com/drive/folders/16nGGK2KOsHMVdbwK8SxT-zjQkcoZlqlz?usp=drive_link" TargetMode="External"/><Relationship Id="rId4592" Type="http://schemas.openxmlformats.org/officeDocument/2006/relationships/hyperlink" Target="https://drive.google.com/file/d/1CZNbD29rDpisdW6Sks44lDMM4aomuUOG/view?usp=sharing" TargetMode="External"/><Relationship Id="rId5229" Type="http://schemas.openxmlformats.org/officeDocument/2006/relationships/hyperlink" Target="https://drive.google.com/drive/folders/1UJh6Ohrk8ICltqRuS2ZUbx-5nOk1lSCs" TargetMode="External"/><Relationship Id="rId5990" Type="http://schemas.openxmlformats.org/officeDocument/2006/relationships/hyperlink" Target="https://drive.google.com/file/d/1CqJMIufcFgP7u43QaY--ZzAX9tf7_SMx/view?usp=sharing" TargetMode="External"/><Relationship Id="rId9100" Type="http://schemas.openxmlformats.org/officeDocument/2006/relationships/hyperlink" Target="https://www.vidio.com/live/19431-f1h20-sprint-race-f1h2o-2025-grand-prix-of-jeddah-saudi-arabia?schedule_id=4739623" TargetMode="External"/><Relationship Id="rId3194" Type="http://schemas.openxmlformats.org/officeDocument/2006/relationships/hyperlink" Target="https://thumbor.prod.vidiocdn.com/Wxpc_YT3ptB237fwzwtIMuxEQKQ=/filters:quality(70)/vidio-media-production/uploads/image/source/52282/ccec72.png" TargetMode="External"/><Relationship Id="rId4245" Type="http://schemas.openxmlformats.org/officeDocument/2006/relationships/hyperlink" Target="https://drive.google.com/drive/folders/1ZvV_IkTV9f9BOY6RhwnkqwQ-9fji1J_-?usp=drive_link" TargetMode="External"/><Relationship Id="rId5643" Type="http://schemas.openxmlformats.org/officeDocument/2006/relationships/hyperlink" Target="https://drive.google.com/drive/folders/1PPXkPhSGZLrfMpRGMDTH-do3Sc1ER3Ds?usp=drive_link" TargetMode="External"/><Relationship Id="rId8799" Type="http://schemas.openxmlformats.org/officeDocument/2006/relationships/hyperlink" Target="https://www.vidio.com/live/6317-bein-3?schedule_id=4684495" TargetMode="External"/><Relationship Id="rId11030" Type="http://schemas.openxmlformats.org/officeDocument/2006/relationships/hyperlink" Target="https://drive.google.com/file/d/1vaJLv_r4VBZbj9I8hgVkrlWslTQMy_S0/view?usp=sharing" TargetMode="External"/><Relationship Id="rId1839" Type="http://schemas.openxmlformats.org/officeDocument/2006/relationships/hyperlink" Target="https://drive.google.com/drive/folders/15MN6Hfi32dtR2giwqkz8k_s-HJFrv0Tf" TargetMode="External"/><Relationship Id="rId5710" Type="http://schemas.openxmlformats.org/officeDocument/2006/relationships/hyperlink" Target="https://drive.google.com/drive/folders/17QJUwMPvAF1rDSy5lNAm3XqUlisBSagD?usp=drive_link" TargetMode="External"/><Relationship Id="rId8866" Type="http://schemas.openxmlformats.org/officeDocument/2006/relationships/hyperlink" Target="https://drive.google.com/drive/folders/1t5cTn_aJRLWV1yItmrXbUOM_1eiQ6hzA?usp=drive_link" TargetMode="External"/><Relationship Id="rId9917" Type="http://schemas.openxmlformats.org/officeDocument/2006/relationships/hyperlink" Target="https://drive.google.com/file/d/1P1qQVkno3EknVx97PewW_1r5FCA9tZUP/view?usp=sharing" TargetMode="External"/><Relationship Id="rId10796" Type="http://schemas.openxmlformats.org/officeDocument/2006/relationships/hyperlink" Target="https://thumbor.prod.vidiocdn.com/gdEGxYfv8QEarw17OE5M4iDBFBg=/filters:quality(70)/vidio-media-production/uploads/image/source/52127/04934c.png" TargetMode="External"/><Relationship Id="rId11847" Type="http://schemas.openxmlformats.org/officeDocument/2006/relationships/hyperlink" Target="https://drive.google.com/drive/folders/1Ty2H_i_qk549qwdTHB8xBRYGJbtv8v5N?usp=drive_link" TargetMode="External"/><Relationship Id="rId182" Type="http://schemas.openxmlformats.org/officeDocument/2006/relationships/hyperlink" Target="https://drive.google.com/file/d/1PD8SgAKZnXgsnQ2pP7JL7iVQXcFRXDFP/view?usp=sharing" TargetMode="External"/><Relationship Id="rId1906" Type="http://schemas.openxmlformats.org/officeDocument/2006/relationships/hyperlink" Target="https://drive.google.com/file/d/12S5CCd9jJHHe2BLMl6Qbt7X7r0bQW0rN/view?usp=sharing" TargetMode="External"/><Relationship Id="rId3261" Type="http://schemas.openxmlformats.org/officeDocument/2006/relationships/hyperlink" Target="https://drive.google.com/drive/u/0/folders/1yx2bf6CELibSuDenDPngrVZpPln2F36Q" TargetMode="External"/><Relationship Id="rId4312" Type="http://schemas.openxmlformats.org/officeDocument/2006/relationships/hyperlink" Target="https://drive.google.com/drive/folders/15-II7ipKAoia1ddwRA92IJ21xrPGVpIb?usp=drive_link" TargetMode="External"/><Relationship Id="rId7468" Type="http://schemas.openxmlformats.org/officeDocument/2006/relationships/hyperlink" Target="https://www.vidio.com/live/19587-top-youth-premier-league-2025-matchday-4?schedule_id=4585744" TargetMode="External"/><Relationship Id="rId7882" Type="http://schemas.openxmlformats.org/officeDocument/2006/relationships/hyperlink" Target="https://drive.google.com/file/d/1uJKpOXBMzuVA825SLio3fRNAsbh2qcwf/view?usp=sharing" TargetMode="External"/><Relationship Id="rId8519" Type="http://schemas.openxmlformats.org/officeDocument/2006/relationships/hyperlink" Target="https://drive.google.com/drive/folders/11UqzSGuCyHfL3wVhHwlfo5LxqIxbFDiR" TargetMode="External"/><Relationship Id="rId8933" Type="http://schemas.openxmlformats.org/officeDocument/2006/relationships/hyperlink" Target="https://drive.google.com/file/d/1X_x6zbbIJYAWdHuvXPXQ9lH32Bs90hgv/view?usp=sharing" TargetMode="External"/><Relationship Id="rId10449" Type="http://schemas.openxmlformats.org/officeDocument/2006/relationships/hyperlink" Target="https://www.vidio.com/live/19738-turkish-volleyball-league?schedule_id=4783611" TargetMode="External"/><Relationship Id="rId6484" Type="http://schemas.openxmlformats.org/officeDocument/2006/relationships/hyperlink" Target="https://www.vidio.com/live/19740-uefa-conference-league?schedule_id=4771645" TargetMode="External"/><Relationship Id="rId7535" Type="http://schemas.openxmlformats.org/officeDocument/2006/relationships/hyperlink" Target="https://www.vidio.com/live/6299-bein-1?schedule_id=4610722" TargetMode="External"/><Relationship Id="rId10516" Type="http://schemas.openxmlformats.org/officeDocument/2006/relationships/hyperlink" Target="https://drive.google.com/file/d/168rYZ6rK8of-NyxI-gAEV9Hhp8Mn-h9U/view?usp=sharing" TargetMode="External"/><Relationship Id="rId10863" Type="http://schemas.openxmlformats.org/officeDocument/2006/relationships/hyperlink" Target="https://drive.google.com/drive/folders/1ZUR8E65KIw3NfssQ94eV8zxCCv5yvvYH?usp=drive_link" TargetMode="External"/><Relationship Id="rId11914" Type="http://schemas.openxmlformats.org/officeDocument/2006/relationships/hyperlink" Target="https://drive.google.com/drive/folders/1gqnmBiDc9HaK7fTi5sC9yJeePuPZJkd8?usp=drive_link" TargetMode="External"/><Relationship Id="rId999" Type="http://schemas.openxmlformats.org/officeDocument/2006/relationships/hyperlink" Target="https://drive.google.com/file/d/1dD164iYcCBr0YhJdhRw4DdTvilB_EMyU/view?usp=sharing" TargetMode="External"/><Relationship Id="rId5086" Type="http://schemas.openxmlformats.org/officeDocument/2006/relationships/hyperlink" Target="https://drive.google.com/drive/folders/1iXXXI8AUN2qzP-l9i7Vb4Z_ch9sn0od-" TargetMode="External"/><Relationship Id="rId6137" Type="http://schemas.openxmlformats.org/officeDocument/2006/relationships/hyperlink" Target="https://drive.google.com/file/d/1b8lWDpFdjTSsyqiA1Ua666jc86cDGhVg/view?usp=sharing" TargetMode="External"/><Relationship Id="rId6551" Type="http://schemas.openxmlformats.org/officeDocument/2006/relationships/hyperlink" Target="https://drive.google.com/drive/folders/1lBvC10sojEz04grqEl_2Kj48bZn5cD4x?usp=drive_link" TargetMode="External"/><Relationship Id="rId7602" Type="http://schemas.openxmlformats.org/officeDocument/2006/relationships/hyperlink" Target="https://drive.google.com/file/d/1U_QL50K1OlSF-6Ll8Zx44zipqOSFJnnD/view?usp=sharing" TargetMode="External"/><Relationship Id="rId10930" Type="http://schemas.openxmlformats.org/officeDocument/2006/relationships/hyperlink" Target="https://www.vidio.com/live/18249-hsbc-bwf-world-tour-finals-2025-group-stage-court-1?schedule_id=4783189" TargetMode="External"/><Relationship Id="rId1696" Type="http://schemas.openxmlformats.org/officeDocument/2006/relationships/hyperlink" Target="https://drive.google.com/drive/folders/1ujHQ4IbEycIeBiEJ6y7l69KXrMGhTzie" TargetMode="External"/><Relationship Id="rId5153" Type="http://schemas.openxmlformats.org/officeDocument/2006/relationships/hyperlink" Target="https://www.vidio.com/live/17883-uefa-champions-league?schedule_id=4664038" TargetMode="External"/><Relationship Id="rId6204" Type="http://schemas.openxmlformats.org/officeDocument/2006/relationships/hyperlink" Target="https://drive.google.com/drive/folders/1vjOA9E-jOlhsRSh5NE7jSpcmcR5v41-E" TargetMode="External"/><Relationship Id="rId1349" Type="http://schemas.openxmlformats.org/officeDocument/2006/relationships/hyperlink" Target="https://drive.google.com/drive/folders/13g-2xNYJ52g3CsquyDv4V9uUMoDq__RD?usp=drive_link" TargetMode="External"/><Relationship Id="rId2747" Type="http://schemas.openxmlformats.org/officeDocument/2006/relationships/hyperlink" Target="https://www.vidio.com/live/6317-bein-3?schedule_id=4671772" TargetMode="External"/><Relationship Id="rId5220" Type="http://schemas.openxmlformats.org/officeDocument/2006/relationships/hyperlink" Target="https://drive.google.com/file/d/16zneWjbKZ1MEHx5mpUMGtBbF8FdDuaSr/view?usp=sharing" TargetMode="External"/><Relationship Id="rId8376" Type="http://schemas.openxmlformats.org/officeDocument/2006/relationships/hyperlink" Target="https://drive.google.com/file/d/1pnMHpjOcQo8jd-6NyXG0I_J2YYFw2tlK/view?usp=sharing" TargetMode="External"/><Relationship Id="rId9774" Type="http://schemas.openxmlformats.org/officeDocument/2006/relationships/hyperlink" Target="https://www.vidio.com/live/6685-champions-tv-1?schedule_id=4732316" TargetMode="External"/><Relationship Id="rId719" Type="http://schemas.openxmlformats.org/officeDocument/2006/relationships/hyperlink" Target="https://drive.google.com/file/d/1DuhAaAVZB7xxxRQNg8pB_L2bPIh8h-cC/view?usp=sharing" TargetMode="External"/><Relationship Id="rId1763" Type="http://schemas.openxmlformats.org/officeDocument/2006/relationships/hyperlink" Target="https://drive.google.com/file/d/1oL4PWSiX-1tur9mcMrRY5cXaih3LVFla/view?usp=drive_link" TargetMode="External"/><Relationship Id="rId2814" Type="http://schemas.openxmlformats.org/officeDocument/2006/relationships/hyperlink" Target="https://www.vidio.com/live/6299-bein-1?schedule_id=4677360" TargetMode="External"/><Relationship Id="rId8029" Type="http://schemas.openxmlformats.org/officeDocument/2006/relationships/hyperlink" Target="https://drive.google.com/file/d/1ofA74Qb-ejtCU7hD5d3j-ZW-vtEujYDX/view?usp=sharing" TargetMode="External"/><Relationship Id="rId8790" Type="http://schemas.openxmlformats.org/officeDocument/2006/relationships/hyperlink" Target="https://drive.google.com/drive/folders/1J64CF5MlbKqe9SerfNUrf5Ys7UZsn1Xa?usp=drive_link" TargetMode="External"/><Relationship Id="rId9427" Type="http://schemas.openxmlformats.org/officeDocument/2006/relationships/hyperlink" Target="https://thumbor.prod.vidiocdn.com/PYneuOE_CsRbvV7WpFvmq5uQP3A=/filters:quality(70)/vidio-media-production/uploads/image/source/52935/8da051.png" TargetMode="External"/><Relationship Id="rId9841" Type="http://schemas.openxmlformats.org/officeDocument/2006/relationships/hyperlink" Target="https://drive.google.com/file/d/1bGAtWdCSL-v2iZg1GvRoYwXZwXVqVH3x/view?usp=sharing" TargetMode="External"/><Relationship Id="rId11357" Type="http://schemas.openxmlformats.org/officeDocument/2006/relationships/hyperlink" Target="https://www.vidio.com/live/20106-top-youth-premier-league-perempat-final-dan-semifinal?schedule_id=4786445" TargetMode="External"/><Relationship Id="rId11771" Type="http://schemas.openxmlformats.org/officeDocument/2006/relationships/hyperlink" Target="https://drive.google.com/drive/folders/1kRXKbH_PtK3qjHyskEAUB35jHU6WxEfn?usp=drive_link" TargetMode="External"/><Relationship Id="rId12408" Type="http://schemas.openxmlformats.org/officeDocument/2006/relationships/hyperlink" Target="https://drive.google.com/drive/folders/1tni-eURfEFKRVxfoCHzmLE1mqpTQd2nq" TargetMode="External"/><Relationship Id="rId55" Type="http://schemas.openxmlformats.org/officeDocument/2006/relationships/hyperlink" Target="https://drive.google.com/drive/folders/1eES5Ec-hG7PoBKezolhk7Qj4KMT9BUSF?usp=drive_link" TargetMode="External"/><Relationship Id="rId1416" Type="http://schemas.openxmlformats.org/officeDocument/2006/relationships/hyperlink" Target="https://drive.google.com/file/d/13aBvngE-KkouvqjrFs4aUbUbaXzjZqbB/view?usp=sharing" TargetMode="External"/><Relationship Id="rId1830" Type="http://schemas.openxmlformats.org/officeDocument/2006/relationships/hyperlink" Target="https://drive.google.com/file/d/1qxo5LEipCRWCOaCzcQNZSXxgF2PRMHeG/view?usp=drive_link" TargetMode="External"/><Relationship Id="rId4986" Type="http://schemas.openxmlformats.org/officeDocument/2006/relationships/hyperlink" Target="https://drive.google.com/drive/folders/1URPWVLoMi7F7J3rqe4SD3jpQ3OhcnJn7" TargetMode="External"/><Relationship Id="rId7392" Type="http://schemas.openxmlformats.org/officeDocument/2006/relationships/hyperlink" Target="https://drive.google.com/file/d/1xp_KRTx5mejVdedFuJwCFBGMUMOlu-02/view?usp=sharing" TargetMode="External"/><Relationship Id="rId8443" Type="http://schemas.openxmlformats.org/officeDocument/2006/relationships/hyperlink" Target="https://drive.google.com/file/d/1M7DP0cHneB1ni-ljZc9LCMGsLC4FNlcW/view?usp=sharing" TargetMode="External"/><Relationship Id="rId10373" Type="http://schemas.openxmlformats.org/officeDocument/2006/relationships/hyperlink" Target="https://www.vidio.com/live/18249-hsbc-bwf-world-tour-finals-2025-finals" TargetMode="External"/><Relationship Id="rId11424" Type="http://schemas.openxmlformats.org/officeDocument/2006/relationships/hyperlink" Target="https://drive.google.com/file/d/1U2u8UShiFtPCDGB6mvK7GObwQ6DaczD2/view?usp=sharing" TargetMode="External"/><Relationship Id="rId3588" Type="http://schemas.openxmlformats.org/officeDocument/2006/relationships/hyperlink" Target="https://thumbor.prod.vidiocdn.com/J85t9wsH3khmqLy1cGxRCSH85YU=/filters:quality(70)/vidio-media-production/uploads/image/source/52014/f12b3b.png" TargetMode="External"/><Relationship Id="rId4639" Type="http://schemas.openxmlformats.org/officeDocument/2006/relationships/hyperlink" Target="https://drive.google.com/file/d/116LgfPMAK7TjRpVWPTlkIjuczHaT-6d_/view?usp=sharing" TargetMode="External"/><Relationship Id="rId7045" Type="http://schemas.openxmlformats.org/officeDocument/2006/relationships/hyperlink" Target="https://drive.google.com/drive/folders/1_ogncL1wVguuOOevQu489qCFsFIrUkIj?usp=drive_link" TargetMode="External"/><Relationship Id="rId8510" Type="http://schemas.openxmlformats.org/officeDocument/2006/relationships/hyperlink" Target="https://drive.google.com/drive/folders/1oq4DVt_VoND3-_8-Xp7ywJ6rxUtguBe4" TargetMode="External"/><Relationship Id="rId10026" Type="http://schemas.openxmlformats.org/officeDocument/2006/relationships/hyperlink" Target="https://www.vidio.com/live/6317-bein-3?schedule_id=4797279" TargetMode="External"/><Relationship Id="rId10440" Type="http://schemas.openxmlformats.org/officeDocument/2006/relationships/hyperlink" Target="https://drive.google.com/file/d/1s7sc1WIXbEDRicCFWRPd7wc2kyW5x41Y/view?usp=sharing" TargetMode="External"/><Relationship Id="rId3655" Type="http://schemas.openxmlformats.org/officeDocument/2006/relationships/hyperlink" Target="https://drive.google.com/file/d/1CmrCbOBiL7_EuSuKMc5s6739igd6nUnp/view?usp=sharing" TargetMode="External"/><Relationship Id="rId4706" Type="http://schemas.openxmlformats.org/officeDocument/2006/relationships/hyperlink" Target="https://drive.google.com/file/d/1CqRFBrntqxcEVm_kXVLRYRd_fRiDAi_a/view?usp=sharing" TargetMode="External"/><Relationship Id="rId6061" Type="http://schemas.openxmlformats.org/officeDocument/2006/relationships/hyperlink" Target="https://drive.google.com/file/d/1NaoM0W4TYV3v6cWnCZa9TniVa6mUniOw/view?usp=drive_link" TargetMode="External"/><Relationship Id="rId7112" Type="http://schemas.openxmlformats.org/officeDocument/2006/relationships/hyperlink" Target="https://drive.google.com/drive/folders/1QuW8HGm8Gy5DKzFtp0IqY8763E-ORETq?usp=drive_link" TargetMode="External"/><Relationship Id="rId12198" Type="http://schemas.openxmlformats.org/officeDocument/2006/relationships/hyperlink" Target="https://drive.google.com/file/d/17nqJ8YbOWxi4DOQmMA4_VvY1qMuE4tM4/view?usp=drive_link" TargetMode="External"/><Relationship Id="rId576" Type="http://schemas.openxmlformats.org/officeDocument/2006/relationships/hyperlink" Target="https://www.vidio.com/live/9182-champions-tv-5?schedule_id=4668360" TargetMode="External"/><Relationship Id="rId990" Type="http://schemas.openxmlformats.org/officeDocument/2006/relationships/hyperlink" Target="https://www.vidio.com/live/18796-premier-league?schedule_id=4780174" TargetMode="External"/><Relationship Id="rId2257" Type="http://schemas.openxmlformats.org/officeDocument/2006/relationships/hyperlink" Target="https://www.vidio.com/live/6299-bein-1?schedule_id=4499135" TargetMode="External"/><Relationship Id="rId2671" Type="http://schemas.openxmlformats.org/officeDocument/2006/relationships/hyperlink" Target="https://drive.google.com/file/d/1oga9YyIBJUgAJdWM-Sdn5ESgLdFw54Ib/view?usp=sharing" TargetMode="External"/><Relationship Id="rId3308" Type="http://schemas.openxmlformats.org/officeDocument/2006/relationships/hyperlink" Target="https://drive.google.com/file/d/1gcz0LMTyqP3Fj9WatjNizMAwpZcq4YUY/view?usp=drive_link" TargetMode="External"/><Relationship Id="rId9284" Type="http://schemas.openxmlformats.org/officeDocument/2006/relationships/hyperlink" Target="https://drive.google.com/file/d/1bGAtWdCSL-v2iZg1GvRoYwXZwXVqVH3x/view?usp=sharing" TargetMode="External"/><Relationship Id="rId229" Type="http://schemas.openxmlformats.org/officeDocument/2006/relationships/hyperlink" Target="https://drive.google.com/file/d/1LZ1o0qTjWAUqiH5GtFiQB4fhKqTgpvLH/view?usp=sharing" TargetMode="External"/><Relationship Id="rId643" Type="http://schemas.openxmlformats.org/officeDocument/2006/relationships/hyperlink" Target="https://drive.google.com/drive/folders/1Ing0e3LR6Qa2Q0TXPIshKlUBKd9Wovb3?usp=drive_link" TargetMode="External"/><Relationship Id="rId1273" Type="http://schemas.openxmlformats.org/officeDocument/2006/relationships/hyperlink" Target="https://thumbor.prod.vidiocdn.com/gyJ9_wLIV7P2EIknJa4y3L_UnZo=/filters:quality(70)/vidio-media-production/uploads/image/source/53134/7b39a3.png" TargetMode="External"/><Relationship Id="rId2324" Type="http://schemas.openxmlformats.org/officeDocument/2006/relationships/hyperlink" Target="https://drive.google.com/file/d/1wHDBpEnt7hc3iKx4UQPhEDfjxus3tvMv/view?usp=sharing" TargetMode="External"/><Relationship Id="rId3722" Type="http://schemas.openxmlformats.org/officeDocument/2006/relationships/hyperlink" Target="https://drive.google.com/drive/folders/1sanxGtMZ76CVdXTj0NtNc25j5HkqPSMG?usp=drive_link" TargetMode="External"/><Relationship Id="rId6878" Type="http://schemas.openxmlformats.org/officeDocument/2006/relationships/hyperlink" Target="https://drive.google.com/file/d/1m-t0Fi51wkxf54HOK2Z-PTReBuxq41Va/view?usp=sharing" TargetMode="External"/><Relationship Id="rId7929" Type="http://schemas.openxmlformats.org/officeDocument/2006/relationships/hyperlink" Target="https://drive.google.com/file/d/1O-Az9XOlSxQZLvWoG1JIUIlQvQfV3eyu/view?usp=sharing" TargetMode="External"/><Relationship Id="rId9351" Type="http://schemas.openxmlformats.org/officeDocument/2006/relationships/hyperlink" Target="https://drive.google.com/drive/folders/1OX0KUlgt1OdpY57NGSQCk-Rxu83BNpZ4" TargetMode="External"/><Relationship Id="rId12265" Type="http://schemas.openxmlformats.org/officeDocument/2006/relationships/hyperlink" Target="https://www.vidio.com/live/20275?schedule_id=4833869" TargetMode="External"/><Relationship Id="rId5894" Type="http://schemas.openxmlformats.org/officeDocument/2006/relationships/hyperlink" Target="https://drive.google.com/drive/folders/1Q0HzBDSuHTdPbEueqht9ZwtDFqLKIoLL?usp=drive_link" TargetMode="External"/><Relationship Id="rId6945" Type="http://schemas.openxmlformats.org/officeDocument/2006/relationships/hyperlink" Target="https://www.vidio.com/live/19543-pegadaian-championship-2025-26?schedule_id=4598357" TargetMode="External"/><Relationship Id="rId9004" Type="http://schemas.openxmlformats.org/officeDocument/2006/relationships/hyperlink" Target="https://drive.google.com/drive/folders/1-9pRUWdOz6YkJL8Tt7c4anjkJ1iLsG7K?usp=drive_link" TargetMode="External"/><Relationship Id="rId11281" Type="http://schemas.openxmlformats.org/officeDocument/2006/relationships/hyperlink" Target="https://www.vidio.com/live/19384-bri-super-league?schedule_id=4825050" TargetMode="External"/><Relationship Id="rId12332" Type="http://schemas.openxmlformats.org/officeDocument/2006/relationships/hyperlink" Target="https://www.vidio.com/live/20266?schedule_id=4833887" TargetMode="External"/><Relationship Id="rId710" Type="http://schemas.openxmlformats.org/officeDocument/2006/relationships/hyperlink" Target="https://drive.google.com/drive/folders/1uhJs0XWrw5MpjvNxq26-eXCSMR0UWHi-?usp=drive_link" TargetMode="External"/><Relationship Id="rId1340" Type="http://schemas.openxmlformats.org/officeDocument/2006/relationships/hyperlink" Target="https://drive.google.com/file/d/1j2PrrPMCN8dq06AYMVsxylmfTD5oavXy/view?usp=sharing" TargetMode="External"/><Relationship Id="rId3098" Type="http://schemas.openxmlformats.org/officeDocument/2006/relationships/hyperlink" Target="https://drive.google.com/file/d/1y50YgRzIWAdMHIDe9jk9IWCPAtbNK_YE/view?usp=sharing" TargetMode="External"/><Relationship Id="rId4496" Type="http://schemas.openxmlformats.org/officeDocument/2006/relationships/hyperlink" Target="https://www.vidio.com/live/19404-serie-a?schedule_id=4725611" TargetMode="External"/><Relationship Id="rId5547" Type="http://schemas.openxmlformats.org/officeDocument/2006/relationships/hyperlink" Target="https://drive.google.com/file/d/1GULJXIOvJU3f6kd1ND1DxLRENyXGK_ey/view?usp=sharing" TargetMode="External"/><Relationship Id="rId5961" Type="http://schemas.openxmlformats.org/officeDocument/2006/relationships/hyperlink" Target="https://drive.google.com/drive/folders/1pYi5qIT6QdvkfDRfWH0qsk97hfAPMoyN?usp=drive_link" TargetMode="External"/><Relationship Id="rId4149" Type="http://schemas.openxmlformats.org/officeDocument/2006/relationships/hyperlink" Target="https://drive.google.com/file/d/1LtW07QPX8eJiOw6gzfBvDdo55Y40so3n/view?usp=sharing" TargetMode="External"/><Relationship Id="rId4563" Type="http://schemas.openxmlformats.org/officeDocument/2006/relationships/hyperlink" Target="https://drive.google.com/file/d/1fKxJpC0rWzXqU-Eprtrhtb6R-g8-B0zQ/view?usp=sharing" TargetMode="External"/><Relationship Id="rId5614" Type="http://schemas.openxmlformats.org/officeDocument/2006/relationships/hyperlink" Target="https://drive.google.com/drive/folders/1GnDR6e7P4hq6aU8Ha9Ky6rzpTyDOuO40?usp=drive_link" TargetMode="External"/><Relationship Id="rId8020" Type="http://schemas.openxmlformats.org/officeDocument/2006/relationships/hyperlink" Target="https://drive.google.com/drive/folders/1a6uvNHIJHyFaZu_uP78TVstsa86wy3Sp?usp=drive_link" TargetMode="External"/><Relationship Id="rId11001" Type="http://schemas.openxmlformats.org/officeDocument/2006/relationships/hyperlink" Target="https://www.vidio.com/live/20260" TargetMode="External"/><Relationship Id="rId3165" Type="http://schemas.openxmlformats.org/officeDocument/2006/relationships/hyperlink" Target="https://thumbor.prod.vidiocdn.com/M2dtDPxuSPAWVIngrE0PoEo6X2A=/filters:quality(70)/vidio-media-production/uploads/image/source/52069/f7d553.png" TargetMode="External"/><Relationship Id="rId4216" Type="http://schemas.openxmlformats.org/officeDocument/2006/relationships/hyperlink" Target="https://drive.google.com/file/d/1oBjY1j5X58SFEs26Cz_VpBSeZ8OgsgXV/view?usp=sharing" TargetMode="External"/><Relationship Id="rId4630" Type="http://schemas.openxmlformats.org/officeDocument/2006/relationships/hyperlink" Target="https://drive.google.com/drive/folders/105tebk0Bph2cbMNc_4fK6e3TX2CRJdgL?usp=drive_link" TargetMode="External"/><Relationship Id="rId7786" Type="http://schemas.openxmlformats.org/officeDocument/2006/relationships/hyperlink" Target="https://drive.google.com/file/d/10qT-LfD4Ojfhb8M3VXNdT4j8RDZ-CvLZ/view?usp=sharing" TargetMode="External"/><Relationship Id="rId8837" Type="http://schemas.openxmlformats.org/officeDocument/2006/relationships/hyperlink" Target="https://www.vidio.com/live/19672-easl?schedule_id=4759261" TargetMode="External"/><Relationship Id="rId2181" Type="http://schemas.openxmlformats.org/officeDocument/2006/relationships/hyperlink" Target="https://drive.google.com/file/d/1g28DBLIRi3Dkpknc-RdjsttchguqEHdI/view?usp=sharing" TargetMode="External"/><Relationship Id="rId3232" Type="http://schemas.openxmlformats.org/officeDocument/2006/relationships/hyperlink" Target="https://thumbor.prod.vidiocdn.com/Ey3b2W2YvLnOK1NMwBz3lpomgUs=/filters:quality(70)/vidio-media-production/uploads/image/source/53287/841ad0.png" TargetMode="External"/><Relationship Id="rId6388" Type="http://schemas.openxmlformats.org/officeDocument/2006/relationships/hyperlink" Target="https://drive.google.com/drive/folders/1F9lLmIvT4-3oh_Jbh-sne-zsyB6ey7v0" TargetMode="External"/><Relationship Id="rId7439" Type="http://schemas.openxmlformats.org/officeDocument/2006/relationships/hyperlink" Target="https://drive.google.com/file/d/1T-FmV8xuhWuflT4fHDpaPDjNwwXqTRnU/view?usp=sharing" TargetMode="External"/><Relationship Id="rId10767" Type="http://schemas.openxmlformats.org/officeDocument/2006/relationships/hyperlink" Target="https://www.vidio.com/live/20240-pln-mobile-proliga-2026?schedule_id=4832234" TargetMode="External"/><Relationship Id="rId11818" Type="http://schemas.openxmlformats.org/officeDocument/2006/relationships/hyperlink" Target="https://www.vidio.com/live/18249-petronas-malaysia-open-2026-round-of-32-court-1?schedule_id=4831548" TargetMode="External"/><Relationship Id="rId153" Type="http://schemas.openxmlformats.org/officeDocument/2006/relationships/hyperlink" Target="https://drive.google.com/file/d/1Vwnj244BDQh8BPk2eU744bgqGv1ZKCb3/view?usp=sharing" TargetMode="External"/><Relationship Id="rId6455" Type="http://schemas.openxmlformats.org/officeDocument/2006/relationships/hyperlink" Target="https://drive.google.com/drive/folders/1F9lLmIvT4-3oh_Jbh-sne-zsyB6ey7v0" TargetMode="External"/><Relationship Id="rId7853" Type="http://schemas.openxmlformats.org/officeDocument/2006/relationships/hyperlink" Target="https://www.vidio.com/live/19355-bri-super-league?schedule_id=4652410" TargetMode="External"/><Relationship Id="rId8904" Type="http://schemas.openxmlformats.org/officeDocument/2006/relationships/hyperlink" Target="https://thumbor.prod.vidiocdn.com/5C5pQeLGeX5WDdNASX0PzwRGVzg=/filters:quality(70)/vidio-media-production/uploads/image/source/52636/13500a.png" TargetMode="External"/><Relationship Id="rId10834" Type="http://schemas.openxmlformats.org/officeDocument/2006/relationships/hyperlink" Target="https://www.vidio.com/live/18249-hsbc-bwf-world-tour-finals-2025-group-stage-court-1?schedule_id=4781705" TargetMode="External"/><Relationship Id="rId220" Type="http://schemas.openxmlformats.org/officeDocument/2006/relationships/hyperlink" Target="https://www.vidio.com/live/9183-champions-tv-6?schedule_id=4562681" TargetMode="External"/><Relationship Id="rId2998" Type="http://schemas.openxmlformats.org/officeDocument/2006/relationships/hyperlink" Target="https://www.vidio.com/live/17875-bein-2?schedule_id=4736030" TargetMode="External"/><Relationship Id="rId5057" Type="http://schemas.openxmlformats.org/officeDocument/2006/relationships/hyperlink" Target="https://drive.google.com/file/d/1PIv7ndui4IFAxcdXwN1pvqMagubeI8VZ/view?usp=sharing" TargetMode="External"/><Relationship Id="rId6108" Type="http://schemas.openxmlformats.org/officeDocument/2006/relationships/hyperlink" Target="https://www.vidio.com/live/19648-uefa-conference-league?schedule_id=4614688" TargetMode="External"/><Relationship Id="rId7506" Type="http://schemas.openxmlformats.org/officeDocument/2006/relationships/hyperlink" Target="https://www.vidio.com/live/19548-national-football-league-2025-26?schedule_id=4596777" TargetMode="External"/><Relationship Id="rId7920" Type="http://schemas.openxmlformats.org/officeDocument/2006/relationships/hyperlink" Target="https://www.vidio.com/live/17923-men-s-turkish-volleyball-cup?schedule_id=4660168" TargetMode="External"/><Relationship Id="rId10901" Type="http://schemas.openxmlformats.org/officeDocument/2006/relationships/hyperlink" Target="https://drive.google.com/file/d/18BM1JvTZRD1UTIKaCt-jBUE-qYani_i8/view?usp=sharing" TargetMode="External"/><Relationship Id="rId4073" Type="http://schemas.openxmlformats.org/officeDocument/2006/relationships/hyperlink" Target="https://www.vidio.com/live/19589-serie-a?schedule_id=4587121" TargetMode="External"/><Relationship Id="rId5471" Type="http://schemas.openxmlformats.org/officeDocument/2006/relationships/hyperlink" Target="https://www.vidio.com/live/18305-uefa-champions-league?schedule_id=4773338" TargetMode="External"/><Relationship Id="rId6522" Type="http://schemas.openxmlformats.org/officeDocument/2006/relationships/hyperlink" Target="https://drive.google.com/file/d/1qjGgpVuRnQXWkwpADHaz9e_Fu-kjXUFC/view?usp=drive_link" TargetMode="External"/><Relationship Id="rId9678" Type="http://schemas.openxmlformats.org/officeDocument/2006/relationships/hyperlink" Target="https://www.vidio.com/live/20048-fivb-volleyball-club-world-championship-2025?schedule_id=4788325" TargetMode="External"/><Relationship Id="rId1667" Type="http://schemas.openxmlformats.org/officeDocument/2006/relationships/hyperlink" Target="https://drive.google.com/file/d/1p6pwV4oXWlbTEZ1NjAw0ZJtGrwX34eE3/view?usp=sharing" TargetMode="External"/><Relationship Id="rId2718" Type="http://schemas.openxmlformats.org/officeDocument/2006/relationships/hyperlink" Target="https://drive.google.com/drive/folders/1DJcbizQAwVczNDOxu7DKxUQq5S0C3h2_?usp=drive_link" TargetMode="External"/><Relationship Id="rId5124" Type="http://schemas.openxmlformats.org/officeDocument/2006/relationships/hyperlink" Target="https://drive.google.com/drive/folders/1d8RfZ3AxKm4vcq0d__doqb5lGvVI-NuD" TargetMode="External"/><Relationship Id="rId8694" Type="http://schemas.openxmlformats.org/officeDocument/2006/relationships/hyperlink" Target="https://drive.google.com/file/d/1MowvqPMU1c8rAhpPBaP7OuPk8SQ6KmhG/view?usp=sharing" TargetMode="External"/><Relationship Id="rId9745" Type="http://schemas.openxmlformats.org/officeDocument/2006/relationships/hyperlink" Target="https://drive.google.com/file/d/1MSuPKBQZxGGL5yy8dqlABWlhKRP92uVd/view?usp=sharing" TargetMode="External"/><Relationship Id="rId11675" Type="http://schemas.openxmlformats.org/officeDocument/2006/relationships/hyperlink" Target="https://drive.google.com/file/d/1uqCS4NSkqjEvrLRwztyneHrZcEcUbsUy/view?usp=sharing" TargetMode="External"/><Relationship Id="rId1734" Type="http://schemas.openxmlformats.org/officeDocument/2006/relationships/hyperlink" Target="https://drive.google.com/file/d/19y_7To2QohIPxwMvj_NjJ-X46iEWoXXy/view?usp=drive_link" TargetMode="External"/><Relationship Id="rId4140" Type="http://schemas.openxmlformats.org/officeDocument/2006/relationships/hyperlink" Target="https://drive.google.com/drive/folders/1gld7hF_Ce_A3oVQk8cmaRf4XidPuBodS?usp=drive_link" TargetMode="External"/><Relationship Id="rId7296" Type="http://schemas.openxmlformats.org/officeDocument/2006/relationships/hyperlink" Target="https://drive.google.com/file/d/1pNSk1D11EFCCG0LE3I5DJPuSXQ9sC6y_/view?usp=drive_link" TargetMode="External"/><Relationship Id="rId8347" Type="http://schemas.openxmlformats.org/officeDocument/2006/relationships/hyperlink" Target="https://drive.google.com/drive/folders/1OgLZsQ5l-WLpWfh7Fw0xSfd9MjJQS7Bs?usp=drive_link" TargetMode="External"/><Relationship Id="rId8761" Type="http://schemas.openxmlformats.org/officeDocument/2006/relationships/hyperlink" Target="https://www.vidio.com/live/17926-easl?schedule_id=4677384" TargetMode="External"/><Relationship Id="rId9812" Type="http://schemas.openxmlformats.org/officeDocument/2006/relationships/hyperlink" Target="https://www.vidio.com/live/19881-top-soccer-championship-2025-u-16-u-17-semifinal-plate?schedule_id=4730513" TargetMode="External"/><Relationship Id="rId10277" Type="http://schemas.openxmlformats.org/officeDocument/2006/relationships/hyperlink" Target="https://drive.google.com/file/d/1bGAtWdCSL-v2iZg1GvRoYwXZwXVqVH3x/view?usp=drivesdk" TargetMode="External"/><Relationship Id="rId11328" Type="http://schemas.openxmlformats.org/officeDocument/2006/relationships/hyperlink" Target="https://www.vidio.com/live/19353-bri-super-league?schedule_id=4832536" TargetMode="External"/><Relationship Id="rId26" Type="http://schemas.openxmlformats.org/officeDocument/2006/relationships/hyperlink" Target="https://drive.google.com/file/d/1RxCsb41CnmgDfRMjjoCTwyr4DwVPHb7K/view?usp=sharing" TargetMode="External"/><Relationship Id="rId7363" Type="http://schemas.openxmlformats.org/officeDocument/2006/relationships/hyperlink" Target="https://drive.google.com/file/d/1Fn4EuNxv3dFJ4zcZI9c-eCEtFsqgNgmf/view?usp=drive_link" TargetMode="External"/><Relationship Id="rId8414" Type="http://schemas.openxmlformats.org/officeDocument/2006/relationships/hyperlink" Target="https://drive.google.com/drive/folders/1mN7nX6KiwwJO11Zzg91-7s80jw66TtZR?usp=drive_link" TargetMode="External"/><Relationship Id="rId10691" Type="http://schemas.openxmlformats.org/officeDocument/2006/relationships/hyperlink" Target="https://www.vidio.com/live/6317-bein-3?schedule_id=4783747" TargetMode="External"/><Relationship Id="rId11742" Type="http://schemas.openxmlformats.org/officeDocument/2006/relationships/hyperlink" Target="https://www.vidio.com/live/18249-petronas-malaysia-open-2026-round-of-32-court-1" TargetMode="External"/><Relationship Id="rId1801" Type="http://schemas.openxmlformats.org/officeDocument/2006/relationships/hyperlink" Target="https://drive.google.com/file/d/1PJWaYLNQC67qDHSvYXN0a3S9gh5kIVOi/view?usp=drive_link" TargetMode="External"/><Relationship Id="rId3559" Type="http://schemas.openxmlformats.org/officeDocument/2006/relationships/hyperlink" Target="https://thumbor.prod.vidiocdn.com/PfY_jS3z6qWQ4znuw6ILGEPoPzI=/filters:quality(70)/vidio-media-production/uploads/image/source/52031/a57d12.png" TargetMode="External"/><Relationship Id="rId4957" Type="http://schemas.openxmlformats.org/officeDocument/2006/relationships/hyperlink" Target="https://drive.google.com/file/d/1VcZ66oyLrRVfyq_h7AmseLPryBHxso6q/view?usp=sharing" TargetMode="External"/><Relationship Id="rId7016" Type="http://schemas.openxmlformats.org/officeDocument/2006/relationships/hyperlink" Target="https://drive.google.com/drive/folders/1MX84RU5rZmbIJdFqPDVJ1-8zszjjl40g?usp=drive_link" TargetMode="External"/><Relationship Id="rId7430" Type="http://schemas.openxmlformats.org/officeDocument/2006/relationships/hyperlink" Target="https://drive.google.com/drive/folders/1AWYaJcfOboqUMJMQObHtVEI-stXvHSQ0?usp=drive_link" TargetMode="External"/><Relationship Id="rId10344" Type="http://schemas.openxmlformats.org/officeDocument/2006/relationships/hyperlink" Target="https://drive.google.com/file/d/1OiW_D2onhReVXEfYvy1INOQR1cRNo9oQ/view?usp=sharing" TargetMode="External"/><Relationship Id="rId3973" Type="http://schemas.openxmlformats.org/officeDocument/2006/relationships/hyperlink" Target="https://drive.google.com/file/d/1DNux4glLBnqI-DzUHKvsJVIQIe0fQ_QF/view?usp=sharing" TargetMode="External"/><Relationship Id="rId6032" Type="http://schemas.openxmlformats.org/officeDocument/2006/relationships/hyperlink" Target="https://drive.google.com/drive/folders/17192Gj5Pt4TiS4FZhbKHM8UdTLZmUKHw?usp=drive_link" TargetMode="External"/><Relationship Id="rId9188" Type="http://schemas.openxmlformats.org/officeDocument/2006/relationships/hyperlink" Target="https://drive.google.com/file/d/1DNux4glLBnqI-DzUHKvsJVIQIe0fQ_QF/view?usp=sharing" TargetMode="External"/><Relationship Id="rId10411" Type="http://schemas.openxmlformats.org/officeDocument/2006/relationships/hyperlink" Target="https://drive.google.com/file/d/1Meo722xqh_mRWfprBmD_PGHQ_5owBGFn/view?usp=sharing" TargetMode="External"/><Relationship Id="rId894" Type="http://schemas.openxmlformats.org/officeDocument/2006/relationships/hyperlink" Target="https://www.vidio.com/live/9182-champions-tv-5?schedule_id=4759270" TargetMode="External"/><Relationship Id="rId1177" Type="http://schemas.openxmlformats.org/officeDocument/2006/relationships/hyperlink" Target="https://thumbor.prod.vidiocdn.com/zFEeuWuxRWeP71zrbhL04UnoHJo=/filters:quality(70)/vidio-media-production/uploads/image/source/52739/0cd6fa.png" TargetMode="External"/><Relationship Id="rId2575" Type="http://schemas.openxmlformats.org/officeDocument/2006/relationships/hyperlink" Target="https://drive.google.com/file/d/1Ou2jguDhA6dsdj8Y1IKzm49DFZM46k8M/view?usp=sharing" TargetMode="External"/><Relationship Id="rId3626" Type="http://schemas.openxmlformats.org/officeDocument/2006/relationships/hyperlink" Target="https://drive.google.com/drive/folders/1UwpKJpRsvRnLijvgqr96Os-kh8Og7coW?usp=drive_link" TargetMode="External"/><Relationship Id="rId12169" Type="http://schemas.openxmlformats.org/officeDocument/2006/relationships/hyperlink" Target="https://www.vidio.com/live/20274?schedule_id=4833819" TargetMode="External"/><Relationship Id="rId547" Type="http://schemas.openxmlformats.org/officeDocument/2006/relationships/hyperlink" Target="https://drive.google.com/file/d/17tnrnxOLIKlZP-esN-RtaTnV9QeaNvQG/view?usp=sharing" TargetMode="External"/><Relationship Id="rId961" Type="http://schemas.openxmlformats.org/officeDocument/2006/relationships/hyperlink" Target="https://drive.google.com/drive/folders/1ljKio07Z1V-kwg8n4Zg_dqoLKgXW3A0h?usp=drive_link" TargetMode="External"/><Relationship Id="rId1591" Type="http://schemas.openxmlformats.org/officeDocument/2006/relationships/hyperlink" Target="https://drive.google.com/file/d/1473RGtR5mlbP702EnuvmoJJMzWUkUN6j/view?usp=sharing" TargetMode="External"/><Relationship Id="rId2228" Type="http://schemas.openxmlformats.org/officeDocument/2006/relationships/hyperlink" Target="https://drive.google.com/file/d/1CQP1eOi0o56iD7QbTpFp8MAnmnky9F4n/view?usp=sharing" TargetMode="External"/><Relationship Id="rId2642" Type="http://schemas.openxmlformats.org/officeDocument/2006/relationships/hyperlink" Target="https://drive.google.com/file/d/1lbMK83Gy8jBIuFCGF2QS2-89B63iV082/view?usp=sharing" TargetMode="External"/><Relationship Id="rId5798" Type="http://schemas.openxmlformats.org/officeDocument/2006/relationships/hyperlink" Target="https://drive.google.com/file/d/1ndL493fM9vhV3YqPwWy7Kq7SAXXH9CqX/view?usp=sharing" TargetMode="External"/><Relationship Id="rId6849" Type="http://schemas.openxmlformats.org/officeDocument/2006/relationships/hyperlink" Target="https://drive.google.com/file/d/1XLLmZmXsjAMYgzu1l0OuiVX-yEyc1-kU/view?usp=drive_link" TargetMode="External"/><Relationship Id="rId9255" Type="http://schemas.openxmlformats.org/officeDocument/2006/relationships/hyperlink" Target="https://www.vidio.com/live/19812-top-soccer-championship-2025-u-15?schedule_id=4708909" TargetMode="External"/><Relationship Id="rId11185" Type="http://schemas.openxmlformats.org/officeDocument/2006/relationships/hyperlink" Target="https://drive.google.com/file/d/16gWPIv2lV4jExFGUliSFDO0J34b5V9-n/view?usp=sharing" TargetMode="External"/><Relationship Id="rId12236" Type="http://schemas.openxmlformats.org/officeDocument/2006/relationships/hyperlink" Target="https://drive.google.com/file/d/17nqJ8YbOWxi4DOQmMA4_VvY1qMuE4tM4/view?usp=drive_link" TargetMode="External"/><Relationship Id="rId614" Type="http://schemas.openxmlformats.org/officeDocument/2006/relationships/hyperlink" Target="https://drive.google.com/drive/folders/1reJgqrta8-x_LZOVIyNxF2oALmNOZ9ZP?usp=drive_link" TargetMode="External"/><Relationship Id="rId1244" Type="http://schemas.openxmlformats.org/officeDocument/2006/relationships/hyperlink" Target="https://thumbor.prod.vidiocdn.com/r4gL4mhtiO76IxpQYW00D3Q8Ry0=/filters:quality(70)/vidio-media-production/uploads/image/source/52837/ed247f.png" TargetMode="External"/><Relationship Id="rId5865" Type="http://schemas.openxmlformats.org/officeDocument/2006/relationships/hyperlink" Target="https://drive.google.com/file/d/1pZDUdXf2hTmYS7Ynw4UeHtZ0pBtxa4-0/view?usp=sharing" TargetMode="External"/><Relationship Id="rId6916" Type="http://schemas.openxmlformats.org/officeDocument/2006/relationships/hyperlink" Target="https://www.vidio.com/live/19543-pegadaian-championship-2025-26?schedule_id=4583213" TargetMode="External"/><Relationship Id="rId8271" Type="http://schemas.openxmlformats.org/officeDocument/2006/relationships/hyperlink" Target="https://www.vidio.com/live/19692-top-youth-premier-league-2025-matchweek-6?schedule_id=4644430" TargetMode="External"/><Relationship Id="rId9322" Type="http://schemas.openxmlformats.org/officeDocument/2006/relationships/hyperlink" Target="https://drive.google.com/drive/folders/1coccKxBCf5_QOcp-Uc62HlB1d1Twk_1f?usp=drive_link" TargetMode="External"/><Relationship Id="rId11252" Type="http://schemas.openxmlformats.org/officeDocument/2006/relationships/hyperlink" Target="https://www.vidio.com/live/20240-proliga?schedule_id=4832163" TargetMode="External"/><Relationship Id="rId12303" Type="http://schemas.openxmlformats.org/officeDocument/2006/relationships/hyperlink" Target="https://www.vidio.com/live/20280?schedule_id=4833895" TargetMode="External"/><Relationship Id="rId1311" Type="http://schemas.openxmlformats.org/officeDocument/2006/relationships/hyperlink" Target="https://www.vidio.com/live/19404-serie-a?schedule_id=4527529" TargetMode="External"/><Relationship Id="rId4467" Type="http://schemas.openxmlformats.org/officeDocument/2006/relationships/hyperlink" Target="https://drive.google.com/file/d/1JoOMdjmg69Sy0EuPy9Emmj-fJ5FlV1eC/view?usp=sharing" TargetMode="External"/><Relationship Id="rId4881" Type="http://schemas.openxmlformats.org/officeDocument/2006/relationships/hyperlink" Target="https://www.vidio.com/live/17939-serie-a?schedule_id=4831741" TargetMode="External"/><Relationship Id="rId5518" Type="http://schemas.openxmlformats.org/officeDocument/2006/relationships/hyperlink" Target="https://drive.google.com/drive/folders/1vs2NPBadTfe8mkFp1C94plFN9o2qZ3M8?usp=drive_link" TargetMode="External"/><Relationship Id="rId3069" Type="http://schemas.openxmlformats.org/officeDocument/2006/relationships/hyperlink" Target="https://drive.google.com/file/d/1EOPmTc9W9B1zIrPndqJmYdhmtM7p9Bv1/view?usp=sharing" TargetMode="External"/><Relationship Id="rId3483" Type="http://schemas.openxmlformats.org/officeDocument/2006/relationships/hyperlink" Target="https://drive.google.com/drive/u/0/folders/1DshvwjcFXhdvn0yf_NQap7_BH36uFqUZ" TargetMode="External"/><Relationship Id="rId4534" Type="http://schemas.openxmlformats.org/officeDocument/2006/relationships/hyperlink" Target="https://drive.google.com/drive/folders/1DeJCScnPkkDeQ_R7vAEQkIx3Z9GGUNrT?usp=drive_link" TargetMode="External"/><Relationship Id="rId5932" Type="http://schemas.openxmlformats.org/officeDocument/2006/relationships/hyperlink" Target="https://www.vidio.com/live/19599-uefa-europa-league?schedule_id=4734927" TargetMode="External"/><Relationship Id="rId2085" Type="http://schemas.openxmlformats.org/officeDocument/2006/relationships/hyperlink" Target="https://drive.google.com/file/d/1egMa_r5psKwU4229lX1uahzVMvnCDw4U/view?usp=sharing" TargetMode="External"/><Relationship Id="rId3136" Type="http://schemas.openxmlformats.org/officeDocument/2006/relationships/hyperlink" Target="https://drive.google.com/file/d/1NaQy-0-ezDwkIugbGBVgx-rO7wVc6jZv/view?usp=sharing" TargetMode="External"/><Relationship Id="rId471" Type="http://schemas.openxmlformats.org/officeDocument/2006/relationships/hyperlink" Target="https://drive.google.com/drive/folders/1XSxZcXqNMI03rsrhVI_Kkv0Ep9ayp-IQ?usp=drive_link" TargetMode="External"/><Relationship Id="rId2152" Type="http://schemas.openxmlformats.org/officeDocument/2006/relationships/hyperlink" Target="https://www.vidio.com/live/19354-bri-super-league?schedule_id=4739844" TargetMode="External"/><Relationship Id="rId3550" Type="http://schemas.openxmlformats.org/officeDocument/2006/relationships/hyperlink" Target="https://drive.google.com/file/d/1RizxjdupglcXycE5FuNUqbLL3SQACzVD/view?usp=sharing" TargetMode="External"/><Relationship Id="rId4601" Type="http://schemas.openxmlformats.org/officeDocument/2006/relationships/hyperlink" Target="https://drive.google.com/drive/folders/145IhwfqlcpfOLrMqkCkNQ3_RVW4boDzF?usp=drive_link" TargetMode="External"/><Relationship Id="rId7757" Type="http://schemas.openxmlformats.org/officeDocument/2006/relationships/hyperlink" Target="https://drive.google.com/file/d/1ZN9qzrX2Bj-y7gxo6CCJUC0kTEvbpns-/view?usp=sharing" TargetMode="External"/><Relationship Id="rId8808" Type="http://schemas.openxmlformats.org/officeDocument/2006/relationships/hyperlink" Target="https://drive.google.com/drive/folders/1fB5bHnkg54Pod5soA22MuWWNyFxMI5gw" TargetMode="External"/><Relationship Id="rId10738" Type="http://schemas.openxmlformats.org/officeDocument/2006/relationships/hyperlink" Target="https://drive.google.com/file/d/1yXEU-e6hAyhmeq77OTdXVxrCc2Zv_0V-/view?usp=sharing" TargetMode="External"/><Relationship Id="rId12093" Type="http://schemas.openxmlformats.org/officeDocument/2006/relationships/hyperlink" Target="https://drive.google.com/drive/folders/1y_mGPCoON9jW62Lb8x5K2d_YVzyt7dym" TargetMode="External"/><Relationship Id="rId124" Type="http://schemas.openxmlformats.org/officeDocument/2006/relationships/hyperlink" Target="https://www.vidio.com/live/9182-champions-tv-5?schedule_id=4512849" TargetMode="External"/><Relationship Id="rId3203" Type="http://schemas.openxmlformats.org/officeDocument/2006/relationships/hyperlink" Target="https://www.vidio.com/live/6299-bein-1?schedule_id=4819771" TargetMode="External"/><Relationship Id="rId6359" Type="http://schemas.openxmlformats.org/officeDocument/2006/relationships/hyperlink" Target="https://drive.google.com/file/d/1TH18zH9liJjl0s-cVJyFXq0XtUllvGkB/view?usp=sharing" TargetMode="External"/><Relationship Id="rId6773" Type="http://schemas.openxmlformats.org/officeDocument/2006/relationships/hyperlink" Target="https://drive.google.com/file/d/1DNux4glLBnqI-DzUHKvsJVIQIe0fQ_QF/view?usp=sharing" TargetMode="External"/><Relationship Id="rId7824" Type="http://schemas.openxmlformats.org/officeDocument/2006/relationships/hyperlink" Target="https://www.vidio.com/live/19677-turkish-women-s-volleyball-cup?schedule_id=4636644" TargetMode="External"/><Relationship Id="rId10805" Type="http://schemas.openxmlformats.org/officeDocument/2006/relationships/hyperlink" Target="https://drive.google.com/file/d/1msluPEcX1IlImG9XyZKpU3Kg0JQSHXjz/view?usp=sharing" TargetMode="External"/><Relationship Id="rId12160" Type="http://schemas.openxmlformats.org/officeDocument/2006/relationships/hyperlink" Target="https://www.vidio.com/live/20274?schedule_id=4833822" TargetMode="External"/><Relationship Id="rId2969" Type="http://schemas.openxmlformats.org/officeDocument/2006/relationships/hyperlink" Target="https://www.vidio.com/live/17875-bein-2?schedule_id=4736024" TargetMode="External"/><Relationship Id="rId5375" Type="http://schemas.openxmlformats.org/officeDocument/2006/relationships/hyperlink" Target="https://drive.google.com/drive/folders/14Wb3x9yN298vTECYGS7G_yCO7LWjXAJK" TargetMode="External"/><Relationship Id="rId6426" Type="http://schemas.openxmlformats.org/officeDocument/2006/relationships/hyperlink" Target="https://www.vidio.com/live/19740-uefa-conference-league?schedule_id=4734905" TargetMode="External"/><Relationship Id="rId6840" Type="http://schemas.openxmlformats.org/officeDocument/2006/relationships/hyperlink" Target="https://www.vidio.com/live/19542-pegadaian-championship-2025-26?schedule_id=4564769" TargetMode="External"/><Relationship Id="rId9996" Type="http://schemas.openxmlformats.org/officeDocument/2006/relationships/hyperlink" Target="https://www.vidio.com/live/6299-bein-1?schedule_id=4795172" TargetMode="External"/><Relationship Id="rId1985" Type="http://schemas.openxmlformats.org/officeDocument/2006/relationships/hyperlink" Target="https://drive.google.com/drive/folders/1XhT4xxiowwNEnudWxBI0e_lnjDvPmpAY?usp=drive_link" TargetMode="External"/><Relationship Id="rId4391" Type="http://schemas.openxmlformats.org/officeDocument/2006/relationships/hyperlink" Target="https://drive.google.com/drive/folders/1sYqrBx4IJfrNeSAracb1R3iFk7o545-x?usp=drive_link" TargetMode="External"/><Relationship Id="rId5028" Type="http://schemas.openxmlformats.org/officeDocument/2006/relationships/hyperlink" Target="https://drive.google.com/file/d/1XuDoLaevaThfzmGX4bLcBKa22E-1ahJi/view?usp=sharing" TargetMode="External"/><Relationship Id="rId5442" Type="http://schemas.openxmlformats.org/officeDocument/2006/relationships/hyperlink" Target="https://drive.google.com/file/d/1Lbucw5VdoFBr0196tOnKTtFTbrDEizh3/view?usp=sharing" TargetMode="External"/><Relationship Id="rId8598" Type="http://schemas.openxmlformats.org/officeDocument/2006/relationships/hyperlink" Target="https://drive.google.com/file/d/1-GgFuWwixBInRHJhTufUk9qhqWGgZHoo/view?usp=sharing" TargetMode="External"/><Relationship Id="rId9649" Type="http://schemas.openxmlformats.org/officeDocument/2006/relationships/hyperlink" Target="https://drive.google.com/file/d/1T2fwcOYR-xU74cGbHAhZIjrCa4hgwwKj/view?usp=sharing" TargetMode="External"/><Relationship Id="rId11579" Type="http://schemas.openxmlformats.org/officeDocument/2006/relationships/hyperlink" Target="https://drive.google.com/drive/folders/1SrPxA63GMYqcUH3Rfvs4rVrt33rDms7S?usp=drive_link" TargetMode="External"/><Relationship Id="rId1638" Type="http://schemas.openxmlformats.org/officeDocument/2006/relationships/hyperlink" Target="https://drive.google.com/file/d/1YE5zBNLmqCbmZzZcgJ-QdskWDb-1lC6w/view?usp=drive_link" TargetMode="External"/><Relationship Id="rId4044" Type="http://schemas.openxmlformats.org/officeDocument/2006/relationships/hyperlink" Target="https://drive.google.com/drive/folders/1FYJaVF0AmdQvybdPtnQJf7a7trB1JcGF?usp=drive_link" TargetMode="External"/><Relationship Id="rId8665" Type="http://schemas.openxmlformats.org/officeDocument/2006/relationships/hyperlink" Target="https://drive.google.com/file/d/1ZXYiMAjfeTlglI79l8lzqtN-Tlqh0qAz/view?usp=sharing" TargetMode="External"/><Relationship Id="rId11993" Type="http://schemas.openxmlformats.org/officeDocument/2006/relationships/hyperlink" Target="https://drive.google.com/file/d/1B4cBF3qrh1sMXG2gV5jmUKJx_gapQy02/view?usp=sharing" TargetMode="External"/><Relationship Id="rId3060" Type="http://schemas.openxmlformats.org/officeDocument/2006/relationships/hyperlink" Target="https://drive.google.com/drive/folders/1qRLLsWl7Qh_dT9e_eq7HQRrZKsb94pw8" TargetMode="External"/><Relationship Id="rId4111" Type="http://schemas.openxmlformats.org/officeDocument/2006/relationships/hyperlink" Target="https://drive.google.com/file/d/1V74vODpgc4SqASovzOHDqXCBYWYKGY1q/view?usp=sharing" TargetMode="External"/><Relationship Id="rId7267" Type="http://schemas.openxmlformats.org/officeDocument/2006/relationships/hyperlink" Target="https://drive.google.com/file/d/1Ec3YAODbNyTxEb18SfiCSqcgXNLFZKzA/view?usp=sharing" TargetMode="External"/><Relationship Id="rId8318" Type="http://schemas.openxmlformats.org/officeDocument/2006/relationships/hyperlink" Target="https://drive.google.com/file/d/1ScV_zPrrYrpDFsnpLP4tMKzrNVYYsln5/view?usp=sharing" TargetMode="External"/><Relationship Id="rId9716" Type="http://schemas.openxmlformats.org/officeDocument/2006/relationships/hyperlink" Target="https://www.vidio.com/live/19548-national-football-league-2025-26?schedule_id=4741017" TargetMode="External"/><Relationship Id="rId10595" Type="http://schemas.openxmlformats.org/officeDocument/2006/relationships/hyperlink" Target="https://drive.google.com/drive/folders/1_Sne2OZpZ-4vdxfWXdkEP_lhzIEcuA8j?usp=drive_link" TargetMode="External"/><Relationship Id="rId11646" Type="http://schemas.openxmlformats.org/officeDocument/2006/relationships/hyperlink" Target="https://drive.google.com/drive/folders/1lZpW0zKs3J0ltIgT2lODwpRhHJDpm96-" TargetMode="External"/><Relationship Id="rId1705" Type="http://schemas.openxmlformats.org/officeDocument/2006/relationships/hyperlink" Target="https://drive.google.com/file/d/1h_ndAErfLKKFIZNG2qlT1ezdcezyDU5y/view?usp=drive_link" TargetMode="External"/><Relationship Id="rId6283" Type="http://schemas.openxmlformats.org/officeDocument/2006/relationships/hyperlink" Target="https://drive.google.com/file/d/1xqij95UY6RbifXKSjJzAe6pi5izXMHEv/view?usp=drive_link" TargetMode="External"/><Relationship Id="rId7681" Type="http://schemas.openxmlformats.org/officeDocument/2006/relationships/hyperlink" Target="https://www.vidio.com/live/19671-easl?schedule_id=4635905" TargetMode="External"/><Relationship Id="rId8732" Type="http://schemas.openxmlformats.org/officeDocument/2006/relationships/hyperlink" Target="https://drive.google.com/drive/folders/1NepG6XT-FSa8Cs07sX3tPfQWLNpJfAxp" TargetMode="External"/><Relationship Id="rId10248" Type="http://schemas.openxmlformats.org/officeDocument/2006/relationships/hyperlink" Target="https://thumbor.prod.vidiocdn.com/QV8Df8l23kWtfOF2I40jOYm0CSA=/filters:quality(70)/vidio-media-production/uploads/image/source/52055/d43ae7.png" TargetMode="External"/><Relationship Id="rId10662" Type="http://schemas.openxmlformats.org/officeDocument/2006/relationships/hyperlink" Target="https://drive.google.com/file/d/1fHGJBx2w9j4-hZRdhtcSaJAoUTtbsxCD/view?usp=sharing" TargetMode="External"/><Relationship Id="rId11713" Type="http://schemas.openxmlformats.org/officeDocument/2006/relationships/hyperlink" Target="https://drive.google.com/file/d/1QU7f_kJOwoVWtAMjp7ybswNoG2DihFYJ/view?usp=sharing" TargetMode="External"/><Relationship Id="rId3877" Type="http://schemas.openxmlformats.org/officeDocument/2006/relationships/hyperlink" Target="https://drive.google.com/file/d/15Endlam2OaFZBVC_RqVMnLmUWyfen97l/view?usp=sharing" TargetMode="External"/><Relationship Id="rId4928" Type="http://schemas.openxmlformats.org/officeDocument/2006/relationships/hyperlink" Target="https://thumbor.prod.vidiocdn.com/J686FfXf3HX-0lkgISVvmBZOqW8=/filters:quality(70)/vidio-media-production/uploads/image/source/52219/62f1ee.png" TargetMode="External"/><Relationship Id="rId7334" Type="http://schemas.openxmlformats.org/officeDocument/2006/relationships/hyperlink" Target="https://drive.google.com/drive/folders/1stCxmPKnRpvyDH7ESAYevN1uwHKM0H00?usp=drive_link" TargetMode="External"/><Relationship Id="rId10315" Type="http://schemas.openxmlformats.org/officeDocument/2006/relationships/hyperlink" Target="https://drive.google.com/file/d/1DiAQdLznuv7qQgrXP5qJGgotu01mmGeI/view?usp=sharing" TargetMode="External"/><Relationship Id="rId798" Type="http://schemas.openxmlformats.org/officeDocument/2006/relationships/hyperlink" Target="https://www.vidio.com/live/9182-champions-tv-5?schedule_id=4739598" TargetMode="External"/><Relationship Id="rId2479" Type="http://schemas.openxmlformats.org/officeDocument/2006/relationships/hyperlink" Target="https://drive.google.com/file/d/13Rw9x9KmaASH72CKDsdOWhuR_8SAAX1o/view?usp=sharing" TargetMode="External"/><Relationship Id="rId2893" Type="http://schemas.openxmlformats.org/officeDocument/2006/relationships/hyperlink" Target="https://drive.google.com/file/d/1lce2y90A0sCQIyaG4_HYEOjruhQKhBU7/view?usp=sharing" TargetMode="External"/><Relationship Id="rId3944" Type="http://schemas.openxmlformats.org/officeDocument/2006/relationships/hyperlink" Target="https://www.vidio.com/live/19472" TargetMode="External"/><Relationship Id="rId6350" Type="http://schemas.openxmlformats.org/officeDocument/2006/relationships/hyperlink" Target="https://drive.google.com/file/d/1x-bdH9QTu9PAwgzYLoexmq8vjASNCHSY/view?usp=sharing" TargetMode="External"/><Relationship Id="rId7401" Type="http://schemas.openxmlformats.org/officeDocument/2006/relationships/hyperlink" Target="https://drive.google.com/file/d/1cNGZJ2Di2k9upjW6QW3nUK4SNS4SrJ7x/view?usp=drive_link" TargetMode="External"/><Relationship Id="rId865" Type="http://schemas.openxmlformats.org/officeDocument/2006/relationships/hyperlink" Target="https://drive.google.com/drive/folders/1NeNg6Y-VuvcNdztAswjj1591JHWN7O88?usp=drive_link" TargetMode="External"/><Relationship Id="rId1495" Type="http://schemas.openxmlformats.org/officeDocument/2006/relationships/hyperlink" Target="https://drive.google.com/file/d/1baxFtE-2mM4CuRDE7BC7zhnDMcC6RcCp/view?usp=sharing" TargetMode="External"/><Relationship Id="rId2546" Type="http://schemas.openxmlformats.org/officeDocument/2006/relationships/hyperlink" Target="https://drive.google.com/file/d/1Nrx7Svu2mNrTMOInWbMyIVd6xK9pxKNH/view?usp=sharing" TargetMode="External"/><Relationship Id="rId2960" Type="http://schemas.openxmlformats.org/officeDocument/2006/relationships/hyperlink" Target="https://drive.google.com/drive/folders/1DPSndHg_Ftov32kfHVJYOFvCAsOr-mBg?usp=drive_link" TargetMode="External"/><Relationship Id="rId6003" Type="http://schemas.openxmlformats.org/officeDocument/2006/relationships/hyperlink" Target="https://drive.google.com/drive/folders/1QRxSIeLRcw55BpFluAJYSvy3G--E5QvG?usp=drive_link" TargetMode="External"/><Relationship Id="rId9159" Type="http://schemas.openxmlformats.org/officeDocument/2006/relationships/hyperlink" Target="https://www.vidio.com/live/19802-top-youth-premier-league-2025-matchday-10?schedule_id=4709313" TargetMode="External"/><Relationship Id="rId9573" Type="http://schemas.openxmlformats.org/officeDocument/2006/relationships/hyperlink" Target="https://drive.google.com/file/d/1ULUW19hSz6rbk02o_qFTB3Fl-1Rz3_g0/view?usp=sharing" TargetMode="External"/><Relationship Id="rId11089" Type="http://schemas.openxmlformats.org/officeDocument/2006/relationships/hyperlink" Target="https://drive.google.com/file/d/1HzyGClM9xXzqbvSSZtYcoh6pST7mX2mi/view?usp=sharing" TargetMode="External"/><Relationship Id="rId518" Type="http://schemas.openxmlformats.org/officeDocument/2006/relationships/hyperlink" Target="https://www.vidio.com/live/9182-champions-tv-5?schedule_id=4653356" TargetMode="External"/><Relationship Id="rId932" Type="http://schemas.openxmlformats.org/officeDocument/2006/relationships/hyperlink" Target="https://drive.google.com/file/d/17tPCee6fFdXU-hzRWEfM6BMfVnMOp41a/view?usp=sharing" TargetMode="External"/><Relationship Id="rId1148" Type="http://schemas.openxmlformats.org/officeDocument/2006/relationships/hyperlink" Target="https://thumbor.prod.vidiocdn.com/zWk64OkJi_9igAQfU5YA1hj53DU=/filters:quality(70)/vidio-media-production/uploads/image/source/52736/5aff39.png" TargetMode="External"/><Relationship Id="rId1562" Type="http://schemas.openxmlformats.org/officeDocument/2006/relationships/hyperlink" Target="https://www.vidio.com/live/19354-bri-super-league?schedule_id=4503851" TargetMode="External"/><Relationship Id="rId2613" Type="http://schemas.openxmlformats.org/officeDocument/2006/relationships/hyperlink" Target="https://drive.google.com/drive/folders/1FRJ5EYNCKwo6K7TXyFQSRPaFlFgBJi2B?usp=drive_link" TargetMode="External"/><Relationship Id="rId5769" Type="http://schemas.openxmlformats.org/officeDocument/2006/relationships/hyperlink" Target="https://drive.google.com/file/d/1npxPae4NnOOCo-el_E4Q0co46y4bTRLR/view?usp=sharing" TargetMode="External"/><Relationship Id="rId8175" Type="http://schemas.openxmlformats.org/officeDocument/2006/relationships/hyperlink" Target="https://drive.google.com/drive/folders/1f1pQwIbTI-iT0HBo8vpGWDOq7ewIo0yx" TargetMode="External"/><Relationship Id="rId9226" Type="http://schemas.openxmlformats.org/officeDocument/2006/relationships/hyperlink" Target="https://drive.google.com/file/d/1bGAtWdCSL-v2iZg1GvRoYwXZwXVqVH3x/view?usp=drive_link" TargetMode="External"/><Relationship Id="rId9640" Type="http://schemas.openxmlformats.org/officeDocument/2006/relationships/hyperlink" Target="https://drive.google.com/file/d/1nAZDn9aMRX3KYvphMUlQcXx9RzVch_JA/view?usp=sharing" TargetMode="External"/><Relationship Id="rId11156" Type="http://schemas.openxmlformats.org/officeDocument/2006/relationships/hyperlink" Target="https://thumbor.prod.vidiocdn.com/UHpLunZ998N9Qmv_OF2K6Q5Z14w=/filters:quality(70)/vidio-media-production/uploads/image/source/53272/cf0981.png" TargetMode="External"/><Relationship Id="rId12207" Type="http://schemas.openxmlformats.org/officeDocument/2006/relationships/hyperlink" Target="https://drive.google.com/file/d/17nqJ8YbOWxi4DOQmMA4_VvY1qMuE4tM4/view?usp=sharing" TargetMode="External"/><Relationship Id="rId1215" Type="http://schemas.openxmlformats.org/officeDocument/2006/relationships/hyperlink" Target="https://thumbor.prod.vidiocdn.com/Qc4vRWnCgPcZOXeKHKVHzZ98vEU=/filters:quality(70)/vidio-media-production/uploads/image/source/52752/09f61e.png" TargetMode="External"/><Relationship Id="rId7191" Type="http://schemas.openxmlformats.org/officeDocument/2006/relationships/hyperlink" Target="https://www.vidio.com/live/19556-top-youth-premier-league-2025-matchday-3?schedule_id=4569326" TargetMode="External"/><Relationship Id="rId8242" Type="http://schemas.openxmlformats.org/officeDocument/2006/relationships/hyperlink" Target="https://drive.google.com/drive/folders/1NepG6XT-FSa8Cs07sX3tPfQWLNpJfAxp" TargetMode="External"/><Relationship Id="rId11570" Type="http://schemas.openxmlformats.org/officeDocument/2006/relationships/hyperlink" Target="https://www.vidio.com/live/6786-champions-tv-3?schedule_id=4831356" TargetMode="External"/><Relationship Id="rId3387" Type="http://schemas.openxmlformats.org/officeDocument/2006/relationships/hyperlink" Target="https://www.vidio.com/live/19355-bri-super-league?schedule_id=4529461" TargetMode="External"/><Relationship Id="rId4785" Type="http://schemas.openxmlformats.org/officeDocument/2006/relationships/hyperlink" Target="https://drive.google.com/file/d/1OV0TWQNeHo0UphlM4y7T-N087prpm7M9/view?usp=sharing" TargetMode="External"/><Relationship Id="rId5836" Type="http://schemas.openxmlformats.org/officeDocument/2006/relationships/hyperlink" Target="https://drive.google.com/file/d/1GoXgEhS5vnhZdzUkOVzPGe1HkjKHm4dU/view?usp=sharing" TargetMode="External"/><Relationship Id="rId10172" Type="http://schemas.openxmlformats.org/officeDocument/2006/relationships/hyperlink" Target="https://drive.google.com/drive/folders/1H6Uu9UUrvnyeQUNrhfy1XhuNsli7UID4" TargetMode="External"/><Relationship Id="rId11223" Type="http://schemas.openxmlformats.org/officeDocument/2006/relationships/hyperlink" Target="https://drive.google.com/drive/folders/1QmPGJyfkUAeB_LgPBPbXsinI50fPu4_R" TargetMode="External"/><Relationship Id="rId4438" Type="http://schemas.openxmlformats.org/officeDocument/2006/relationships/hyperlink" Target="https://drive.google.com/drive/folders/1tOkxXN-nVCrJuImKLK1Qr3xhd80JexTo?usp=drive_link" TargetMode="External"/><Relationship Id="rId4852" Type="http://schemas.openxmlformats.org/officeDocument/2006/relationships/hyperlink" Target="https://drive.google.com/file/d/1UdHmtuTxQQCUsnO4rc5PsrjH1zaplq2t/view?usp=sharing" TargetMode="External"/><Relationship Id="rId5903" Type="http://schemas.openxmlformats.org/officeDocument/2006/relationships/hyperlink" Target="https://drive.google.com/file/d/1-SXgK7iBQsAiA6rnQLt4kaKogoRr5_1K/view?usp=sharing" TargetMode="External"/><Relationship Id="rId10989" Type="http://schemas.openxmlformats.org/officeDocument/2006/relationships/hyperlink" Target="https://thumbor.prod.vidiocdn.com/6XdxjZU-Y_5lXd6t12cUpK6wD-o=/filters:quality(70)/vidio-media-production/uploads/image/source/53143/8eb67c.png" TargetMode="External"/><Relationship Id="rId3454" Type="http://schemas.openxmlformats.org/officeDocument/2006/relationships/hyperlink" Target="https://drive.google.com/file/d/1AzItDAqENkw2LinMLmLWk7_AaVFBTJJW/view?usp=sharing" TargetMode="External"/><Relationship Id="rId4505" Type="http://schemas.openxmlformats.org/officeDocument/2006/relationships/hyperlink" Target="https://drive.google.com/file/d/1x2zYgM70tAZQsX9yp5_bX7Y62C8znfJc/view?usp=sharing" TargetMode="External"/><Relationship Id="rId375" Type="http://schemas.openxmlformats.org/officeDocument/2006/relationships/hyperlink" Target="https://drive.google.com/drive/folders/19OcRLTU2r16eWdHLDF_-bl18XJG-3WAb?usp=drive_link" TargetMode="External"/><Relationship Id="rId2056" Type="http://schemas.openxmlformats.org/officeDocument/2006/relationships/hyperlink" Target="https://www.vidio.com/live/19354-bri-super-league?schedule_id=4724836" TargetMode="External"/><Relationship Id="rId2470" Type="http://schemas.openxmlformats.org/officeDocument/2006/relationships/hyperlink" Target="https://drive.google.com/drive/folders/1OaLIp6HFvH8TyaeVEqGxIV3HFrziJkWO?usp=drive_link" TargetMode="External"/><Relationship Id="rId3107" Type="http://schemas.openxmlformats.org/officeDocument/2006/relationships/hyperlink" Target="https://drive.google.com/drive/folders/1feBsqAGxUAiAJOPro7vQOB3BqUy41cpa" TargetMode="External"/><Relationship Id="rId3521" Type="http://schemas.openxmlformats.org/officeDocument/2006/relationships/hyperlink" Target="https://drive.google.com/file/d/1mws9Ze0KxWmYhDmPzHUL-oQ-bL_VGwrj/view?usp=sharing" TargetMode="External"/><Relationship Id="rId6677" Type="http://schemas.openxmlformats.org/officeDocument/2006/relationships/hyperlink" Target="https://drive.google.com/drive/folders/12-gUlRro4HJuYnfXvgteKq1B2dXw0rYg?usp=drive_link" TargetMode="External"/><Relationship Id="rId7728" Type="http://schemas.openxmlformats.org/officeDocument/2006/relationships/hyperlink" Target="https://drive.google.com/file/d/1vL12ugaKvfcEkP6ROMsLVPYaGaAb2Nxe/view?usp=sharing" TargetMode="External"/><Relationship Id="rId9083" Type="http://schemas.openxmlformats.org/officeDocument/2006/relationships/hyperlink" Target="https://drive.google.com/file/d/1C5Oti3icTu0zCEfkE7buQGQ_868lhhuP/view?usp=sharing" TargetMode="External"/><Relationship Id="rId12064" Type="http://schemas.openxmlformats.org/officeDocument/2006/relationships/hyperlink" Target="https://drive.google.com/file/d/1NSS8caFvdZbwLM0rQ6xFjEA-VHdQ-0wz/view?usp=sharing" TargetMode="External"/><Relationship Id="rId442" Type="http://schemas.openxmlformats.org/officeDocument/2006/relationships/hyperlink" Target="https://drive.google.com/drive/folders/1Vw5ULB3fjb8MiDjTT3Dib7EARuLaPv18" TargetMode="External"/><Relationship Id="rId1072" Type="http://schemas.openxmlformats.org/officeDocument/2006/relationships/hyperlink" Target="https://drive.google.com/file/d/1yGnCVTeuAXeRAya3XoJ24eT0Jm73D7c9/view?usp=sharing" TargetMode="External"/><Relationship Id="rId2123" Type="http://schemas.openxmlformats.org/officeDocument/2006/relationships/hyperlink" Target="https://drive.google.com/drive/folders/1NJrD56F5JAPSqQe-g0_LJ7AVaA1VzvXI?usp=drive_link" TargetMode="External"/><Relationship Id="rId5279" Type="http://schemas.openxmlformats.org/officeDocument/2006/relationships/hyperlink" Target="https://drive.google.com/drive/folders/1oVAAXsyEYuD7_rxTUbMSlKcVvsNmwine" TargetMode="External"/><Relationship Id="rId5693" Type="http://schemas.openxmlformats.org/officeDocument/2006/relationships/hyperlink" Target="https://drive.google.com/drive/folders/1MMCjZuPN7KFK1jKVM0xuEzd4R4H2D8G1?usp=drive_link" TargetMode="External"/><Relationship Id="rId6744" Type="http://schemas.openxmlformats.org/officeDocument/2006/relationships/hyperlink" Target="https://www.vidio.com/live/19519" TargetMode="External"/><Relationship Id="rId9150" Type="http://schemas.openxmlformats.org/officeDocument/2006/relationships/hyperlink" Target="https://drive.google.com/drive/u/0/folders/1oREzaZt4ruI5MmWA3clsMroBuxUt2uP2" TargetMode="External"/><Relationship Id="rId10709" Type="http://schemas.openxmlformats.org/officeDocument/2006/relationships/hyperlink" Target="https://drive.google.com/file/d/1kniGLOPDIDbRBJjn-5BJmtdTW5iNCmcj/view?usp=sharing" TargetMode="External"/><Relationship Id="rId11080" Type="http://schemas.openxmlformats.org/officeDocument/2006/relationships/hyperlink" Target="https://www.vidio.com/live/19623-national-football-league-2025-26?schedule_id=4794987" TargetMode="External"/><Relationship Id="rId12131" Type="http://schemas.openxmlformats.org/officeDocument/2006/relationships/hyperlink" Target="https://drive.google.com/file/d/1khQrXXQF4DXWbEvpQ5PrFElQfRn5_sMl/view?usp=sharing" TargetMode="External"/><Relationship Id="rId4295" Type="http://schemas.openxmlformats.org/officeDocument/2006/relationships/hyperlink" Target="https://drive.google.com/file/d/1ngPhf0WsgJYzwUiPJpbHbXFrg7lbgkvy/view?usp=sharing" TargetMode="External"/><Relationship Id="rId5346" Type="http://schemas.openxmlformats.org/officeDocument/2006/relationships/hyperlink" Target="https://drive.google.com/file/d/1AsN1kbZ3a8i2GJdYrJBPuFv8CtZyniSO/view?usp=sharing" TargetMode="External"/><Relationship Id="rId1889" Type="http://schemas.openxmlformats.org/officeDocument/2006/relationships/hyperlink" Target="https://drive.google.com/file/d/1vh_zFs7DXKbGeAu1wSRRwZhW6EPXu_3Z/view?usp=sharing" TargetMode="External"/><Relationship Id="rId4362" Type="http://schemas.openxmlformats.org/officeDocument/2006/relationships/hyperlink" Target="https://drive.google.com/drive/folders/1VBRBzYiVdcYd03LbeGKXbIHC_Z19hKR-?usp=drive_link" TargetMode="External"/><Relationship Id="rId5760" Type="http://schemas.openxmlformats.org/officeDocument/2006/relationships/hyperlink" Target="https://drive.google.com/drive/folders/19VPjS4waXfxMUqWY9ZUoPXBj8h2_azS4?usp=drive_link" TargetMode="External"/><Relationship Id="rId6811" Type="http://schemas.openxmlformats.org/officeDocument/2006/relationships/hyperlink" Target="https://drive.google.com/drive/folders/1jAKXKZwJI0BVmGP79QAC3_k519w3dbsU?usp=drive_link" TargetMode="External"/><Relationship Id="rId9967" Type="http://schemas.openxmlformats.org/officeDocument/2006/relationships/hyperlink" Target="https://drive.google.com/file/d/1-OR1ayKF1ESPqr18Rir0DUko2fU7cn4G/view?usp=sharing" TargetMode="External"/><Relationship Id="rId11897" Type="http://schemas.openxmlformats.org/officeDocument/2006/relationships/hyperlink" Target="https://drive.google.com/file/d/1_VFmtjeoa1jB6YMFl35R4XO6xs8PdX7H/view?usp=sharing" TargetMode="External"/><Relationship Id="rId1956" Type="http://schemas.openxmlformats.org/officeDocument/2006/relationships/hyperlink" Target="https://drive.google.com/drive/u/0/folders/1kGHtJTboMQzt_AXOEFOdRLfI5nrFLPAB" TargetMode="External"/><Relationship Id="rId4015" Type="http://schemas.openxmlformats.org/officeDocument/2006/relationships/hyperlink" Target="https://drive.google.com/drive/folders/1Yfk8OIgP8lW6sZCVmdvXJffvMPL3yyjo" TargetMode="External"/><Relationship Id="rId5413" Type="http://schemas.openxmlformats.org/officeDocument/2006/relationships/hyperlink" Target="https://drive.google.com/file/d/1o71wvpOUCeQlLfKV71uxlRFCCaHiOCAC/view?usp=sharing" TargetMode="External"/><Relationship Id="rId8569" Type="http://schemas.openxmlformats.org/officeDocument/2006/relationships/hyperlink" Target="https://drive.google.com/drive/folders/1rV6iBF3BUVJGKbJLmmi7Oe55VA7Nav1A" TargetMode="External"/><Relationship Id="rId8983" Type="http://schemas.openxmlformats.org/officeDocument/2006/relationships/hyperlink" Target="https://drive.google.com/file/d/1vx-17TP4iRSNpxleS-Tno7p1RvGTUPh2/view?usp=sharing" TargetMode="External"/><Relationship Id="rId10499" Type="http://schemas.openxmlformats.org/officeDocument/2006/relationships/hyperlink" Target="https://drive.google.com/file/d/1DNux4glLBnqI-DzUHKvsJVIQIe0fQ_QF/view?usp=sharing" TargetMode="External"/><Relationship Id="rId11964" Type="http://schemas.openxmlformats.org/officeDocument/2006/relationships/hyperlink" Target="https://www.vidio.com/live/18250-petronas-malaysia-open-2026-round-of-32-court-?schedule_id=4832191" TargetMode="External"/><Relationship Id="rId1609" Type="http://schemas.openxmlformats.org/officeDocument/2006/relationships/hyperlink" Target="https://drive.google.com/file/d/1B5DQYbH_HoHBpLsWEMyCE6OEQnKMRcOa/view?usp=sharing" TargetMode="External"/><Relationship Id="rId7585" Type="http://schemas.openxmlformats.org/officeDocument/2006/relationships/hyperlink" Target="https://drive.google.com/drive/folders/1qUUaDgqiGwDoza_iYGMW1_2mYFT0vZpr?usp=drive_link" TargetMode="External"/><Relationship Id="rId8636" Type="http://schemas.openxmlformats.org/officeDocument/2006/relationships/hyperlink" Target="https://drive.google.com/file/d/1W4rHbw6UKmqVEs__xef8YkFlVmfhjx1L/view?usp=sharing" TargetMode="External"/><Relationship Id="rId10566" Type="http://schemas.openxmlformats.org/officeDocument/2006/relationships/hyperlink" Target="https://www.vidio.com/live/17875-bein-2?schedule_id=4827320" TargetMode="External"/><Relationship Id="rId11617" Type="http://schemas.openxmlformats.org/officeDocument/2006/relationships/hyperlink" Target="https://drive.google.com/file/d/1D1ugUhTHkz686AP_v9q88m_7ViFdDANL/view?usp=sharing" TargetMode="External"/><Relationship Id="rId3031" Type="http://schemas.openxmlformats.org/officeDocument/2006/relationships/hyperlink" Target="https://www.vidio.com/live/17875-bein-2?schedule_id=4759277" TargetMode="External"/><Relationship Id="rId6187" Type="http://schemas.openxmlformats.org/officeDocument/2006/relationships/hyperlink" Target="https://www.vidio.com/live/19649-uefa-conference-league?schedule_id=4614699" TargetMode="External"/><Relationship Id="rId7238" Type="http://schemas.openxmlformats.org/officeDocument/2006/relationships/hyperlink" Target="https://www.vidio.com/live/19541-pegadaian-championship-2025-26?schedule_id=4652401" TargetMode="External"/><Relationship Id="rId7652" Type="http://schemas.openxmlformats.org/officeDocument/2006/relationships/hyperlink" Target="https://drive.google.com/file/d/1H4aQGemO-dDqeHl1b6CBzvlq9rgaeg01/view?usp=sharing" TargetMode="External"/><Relationship Id="rId8703" Type="http://schemas.openxmlformats.org/officeDocument/2006/relationships/hyperlink" Target="https://drive.google.com/file/d/1r31Krz12sb0WsbylIDpSYMBsglmvXPU2/view?usp=drive_link" TargetMode="External"/><Relationship Id="rId10219" Type="http://schemas.openxmlformats.org/officeDocument/2006/relationships/hyperlink" Target="https://drive.google.com/drive/folders/1Fl4ne6nFtf6K1qliwlQaVj2h2PY6e6Ih?usp=drive_link" TargetMode="External"/><Relationship Id="rId10980" Type="http://schemas.openxmlformats.org/officeDocument/2006/relationships/hyperlink" Target="https://drive.google.com/file/d/1MM-XIReoSdIaCaCr5fLmFhUhq2Ix6wxq/view?usp=sharing" TargetMode="External"/><Relationship Id="rId2797" Type="http://schemas.openxmlformats.org/officeDocument/2006/relationships/hyperlink" Target="https://www.vidio.com/live/6299-bein-1?schedule_id=4677361" TargetMode="External"/><Relationship Id="rId3848" Type="http://schemas.openxmlformats.org/officeDocument/2006/relationships/hyperlink" Target="https://drive.google.com/drive/folders/16xaFRvX28pknNTlgp4-9hMFGHfDiAMcB" TargetMode="External"/><Relationship Id="rId6254" Type="http://schemas.openxmlformats.org/officeDocument/2006/relationships/hyperlink" Target="https://www.vidio.com/live/6317-bein-3?schedule_id=4664157" TargetMode="External"/><Relationship Id="rId7305" Type="http://schemas.openxmlformats.org/officeDocument/2006/relationships/hyperlink" Target="https://drive.google.com/file/d/1i0R_t0yFkuRAMFMbZyWCjSKprp9UNYkT/view?usp=sharing" TargetMode="External"/><Relationship Id="rId10633" Type="http://schemas.openxmlformats.org/officeDocument/2006/relationships/hyperlink" Target="https://drive.google.com/drive/folders/1NepG6XT-FSa8Cs07sX3tPfQWLNpJfAxp" TargetMode="External"/><Relationship Id="rId769" Type="http://schemas.openxmlformats.org/officeDocument/2006/relationships/hyperlink" Target="https://drive.google.com/drive/folders/1zWOuxrGAN0CsuQzg1zyVcAXHYA6oB90E" TargetMode="External"/><Relationship Id="rId1399" Type="http://schemas.openxmlformats.org/officeDocument/2006/relationships/hyperlink" Target="https://drive.google.com/file/d/1EYDZ7PvQ_EzDvWgvsl6ys5NxqRKKtnIX/view?usp=sharing" TargetMode="External"/><Relationship Id="rId5270" Type="http://schemas.openxmlformats.org/officeDocument/2006/relationships/hyperlink" Target="https://drive.google.com/file/d/1gWzqVkhN25r6SuujbCETCHqwLlc8MSnb/view?usp=sharing" TargetMode="External"/><Relationship Id="rId6321" Type="http://schemas.openxmlformats.org/officeDocument/2006/relationships/hyperlink" Target="https://drive.google.com/drive/folders/1AMCLAWYUUv1lR88Zm82mT_pYSvwZsSiE" TargetMode="External"/><Relationship Id="rId9477" Type="http://schemas.openxmlformats.org/officeDocument/2006/relationships/hyperlink" Target="https://drive.google.com/file/d/19xCp2XiTav3N7RN_hofJ09zqtGDZ5ftt/view?usp=sharing" TargetMode="External"/><Relationship Id="rId10700" Type="http://schemas.openxmlformats.org/officeDocument/2006/relationships/hyperlink" Target="https://drive.google.com/file/d/1vLwF4uul5Kr4c3Q6Rk6BRvI-MVyYYKUS/view?usp=sharing" TargetMode="External"/><Relationship Id="rId1466" Type="http://schemas.openxmlformats.org/officeDocument/2006/relationships/hyperlink" Target="https://drive.google.com/file/d/1xkYe5f4mQJYT9zeFfdtMwvTMoeVTPErW/view?usp=sharing" TargetMode="External"/><Relationship Id="rId2864" Type="http://schemas.openxmlformats.org/officeDocument/2006/relationships/hyperlink" Target="https://drive.google.com/file/d/1EH5o4LcKeKM-zX3NqPb_Hr8EAkqsiSb9/view?usp=sharing" TargetMode="External"/><Relationship Id="rId3915" Type="http://schemas.openxmlformats.org/officeDocument/2006/relationships/hyperlink" Target="https://drive.google.com/file/d/1tYD6nUmpQJWj0SZ_z7aHsZ13WQImBM7Q/view?usp=sharing" TargetMode="External"/><Relationship Id="rId8079" Type="http://schemas.openxmlformats.org/officeDocument/2006/relationships/hyperlink" Target="https://drive.google.com/drive/folders/1WGi9jEn6uHHTgkrQwTAAb8XGr9Ee57ui?usp=drive_link" TargetMode="External"/><Relationship Id="rId8493" Type="http://schemas.openxmlformats.org/officeDocument/2006/relationships/hyperlink" Target="https://drive.google.com/file/d/1wbw_dsO89WVxh1wM8cjCe_NeVF4v_riq/view?usp=drive_link" TargetMode="External"/><Relationship Id="rId9891" Type="http://schemas.openxmlformats.org/officeDocument/2006/relationships/hyperlink" Target="https://thumbor.prod.vidiocdn.com/69ZuHFGEFaUlt6ilLbrtDihuV3w=/filters:quality(70)/vidio-media-production/uploads/image/source/52306/8deb67.png" TargetMode="External"/><Relationship Id="rId12458" Type="http://schemas.openxmlformats.org/officeDocument/2006/relationships/hyperlink" Target="https://www.vidio.com/live/18249-petronas-malaysia-open-2026-finals?schedule_id=4835808" TargetMode="External"/><Relationship Id="rId836" Type="http://schemas.openxmlformats.org/officeDocument/2006/relationships/hyperlink" Target="https://drive.google.com/drive/folders/1WB5RMrJafdkxgc0CdZvq6o2Z-yCqfWQu?usp=drive_link" TargetMode="External"/><Relationship Id="rId1119" Type="http://schemas.openxmlformats.org/officeDocument/2006/relationships/hyperlink" Target="https://drive.google.com/drive/folders/1yDJhUNZH_xXqBNMrxWH0bnJX8Qepj5Rq?usp=drive_link" TargetMode="External"/><Relationship Id="rId1880" Type="http://schemas.openxmlformats.org/officeDocument/2006/relationships/hyperlink" Target="https://www.vidio.com/live/205-indosiar?schedule_id=4660726" TargetMode="External"/><Relationship Id="rId2517" Type="http://schemas.openxmlformats.org/officeDocument/2006/relationships/hyperlink" Target="https://drive.google.com/file/d/1AnqfXu_3v4fl9qYdZl9cOZ1qyLpzp6gB/view?usp=sharing" TargetMode="External"/><Relationship Id="rId2931" Type="http://schemas.openxmlformats.org/officeDocument/2006/relationships/hyperlink" Target="https://drive.google.com/drive/folders/1_vamNXXo6w3RGXCVVzz_20dYnKvgOIju?usp=drive_link" TargetMode="External"/><Relationship Id="rId7095" Type="http://schemas.openxmlformats.org/officeDocument/2006/relationships/hyperlink" Target="https://drive.google.com/file/d/1PaFVLJo6Xzv5TcQjg7aIwiRj4Yf2lv2P/view?usp=sharing" TargetMode="External"/><Relationship Id="rId8146" Type="http://schemas.openxmlformats.org/officeDocument/2006/relationships/hyperlink" Target="https://drive.google.com/drive/folders/1Ghj3z1_bCmQSKG6Tn4qEhXJLtRq1SxKA" TargetMode="External"/><Relationship Id="rId9544" Type="http://schemas.openxmlformats.org/officeDocument/2006/relationships/hyperlink" Target="https://drive.google.com/file/d/1bGAtWdCSL-v2iZg1GvRoYwXZwXVqVH3x/view" TargetMode="External"/><Relationship Id="rId11474" Type="http://schemas.openxmlformats.org/officeDocument/2006/relationships/hyperlink" Target="https://drive.google.com/file/d/1zzrmrF1Rr92kIpOE1jy9YBLa4Ii0OoIs/view?usp=sharing" TargetMode="External"/><Relationship Id="rId903" Type="http://schemas.openxmlformats.org/officeDocument/2006/relationships/hyperlink" Target="https://drive.google.com/file/d/1GURhMKKpdvjpnf3HYzHofdLPXHCYYwST/view?usp=sharing" TargetMode="External"/><Relationship Id="rId1533" Type="http://schemas.openxmlformats.org/officeDocument/2006/relationships/hyperlink" Target="https://drive.google.com/drive/folders/1gjxF0wy8Jg9lTNxosAOhaeGhw1pERqdK" TargetMode="External"/><Relationship Id="rId4689" Type="http://schemas.openxmlformats.org/officeDocument/2006/relationships/hyperlink" Target="https://drive.google.com/file/d/16vfE246Bf-kmCblJaJcblPqsZ_oAkIWI/view?usp=sharing" TargetMode="External"/><Relationship Id="rId8560" Type="http://schemas.openxmlformats.org/officeDocument/2006/relationships/hyperlink" Target="https://drive.google.com/file/d/1CDmZG46R_zahpAZ0suzf4pZmmLqpF4NX/view?usp=sharing" TargetMode="External"/><Relationship Id="rId9611" Type="http://schemas.openxmlformats.org/officeDocument/2006/relationships/hyperlink" Target="https://www.vidio.com/live/19355-bri-super-league?schedule_id=4724845" TargetMode="External"/><Relationship Id="rId10076" Type="http://schemas.openxmlformats.org/officeDocument/2006/relationships/hyperlink" Target="https://thumbor.prod.vidiocdn.com/BxC63N8hBks-yd9jEKzsjIVmqJo=/filters:quality(70)/vidio-media-production/uploads/image/source/51595/5746dc.png" TargetMode="External"/><Relationship Id="rId10490" Type="http://schemas.openxmlformats.org/officeDocument/2006/relationships/hyperlink" Target="https://drive.google.com/file/d/1DNux4glLBnqI-DzUHKvsJVIQIe0fQ_QF/view?usp=sharing" TargetMode="External"/><Relationship Id="rId11127" Type="http://schemas.openxmlformats.org/officeDocument/2006/relationships/hyperlink" Target="https://thumbor.prod.vidiocdn.com/jyR4kor-C1wMrmSSZeMYuoBqfMY=/filters:quality(70)/vidio-media-production/uploads/image/source/53162/11b47c.png" TargetMode="External"/><Relationship Id="rId11541" Type="http://schemas.openxmlformats.org/officeDocument/2006/relationships/hyperlink" Target="https://thumbor.prod.vidiocdn.com/mZ02j13H4Lo163ccfa1ijt9tmyg=/filters:quality(70)/vidio-media-production/uploads/image/source/53262/e3c61d.png" TargetMode="External"/><Relationship Id="rId1600" Type="http://schemas.openxmlformats.org/officeDocument/2006/relationships/hyperlink" Target="https://drive.google.com/drive/folders/1nyKUUyr6kiqG4SFcbhStnCRfNhqct17a" TargetMode="External"/><Relationship Id="rId4756" Type="http://schemas.openxmlformats.org/officeDocument/2006/relationships/hyperlink" Target="https://thumbor.prod.vidiocdn.com/AiEOAp7-HgCDuG4R3IEHqQv6BPA=/filters:quality(70)/vidio-media-production/uploads/image/source/52144/0ee516.png" TargetMode="External"/><Relationship Id="rId5807" Type="http://schemas.openxmlformats.org/officeDocument/2006/relationships/hyperlink" Target="https://drive.google.com/drive/folders/13eQLR64HrKbyWDLlQsn3dQSDucgsN6sA?usp=drive_link" TargetMode="External"/><Relationship Id="rId7162" Type="http://schemas.openxmlformats.org/officeDocument/2006/relationships/hyperlink" Target="https://drive.google.com/file/d/1rwI1zdGJsTL3w57aE1baINYHx4TF3-Qa/view?usp=drive_link" TargetMode="External"/><Relationship Id="rId8213" Type="http://schemas.openxmlformats.org/officeDocument/2006/relationships/hyperlink" Target="https://www.vidio.com/live/19548-national-football-league-2025-26?schedule_id=4659900" TargetMode="External"/><Relationship Id="rId10143" Type="http://schemas.openxmlformats.org/officeDocument/2006/relationships/hyperlink" Target="https://www.vidio.com/live/19998?schedule_id=4743105" TargetMode="External"/><Relationship Id="rId3358" Type="http://schemas.openxmlformats.org/officeDocument/2006/relationships/hyperlink" Target="https://drive.google.com/drive/folders/1kditXM982QiCIUGvIu_AHbX7JX47i-wV?usp=drive_link" TargetMode="External"/><Relationship Id="rId3772" Type="http://schemas.openxmlformats.org/officeDocument/2006/relationships/hyperlink" Target="https://drive.google.com/drive/folders/1WYfYUO2Eybe6GpL6Eb2yPDZNvixATlU8?usp=drive_link" TargetMode="External"/><Relationship Id="rId4409" Type="http://schemas.openxmlformats.org/officeDocument/2006/relationships/hyperlink" Target="https://drive.google.com/drive/folders/18qGi9kuIZ7IuNM0ubJxIEpr9mcxi_L8g?usp=drive_link" TargetMode="External"/><Relationship Id="rId4823" Type="http://schemas.openxmlformats.org/officeDocument/2006/relationships/hyperlink" Target="https://thumbor.prod.vidiocdn.com/yCZzHoVKQ1luG4R2ysEZZITNo8I=/filters:quality(70)/vidio-media-production/uploads/image/source/52694/8ec11e.png" TargetMode="External"/><Relationship Id="rId7979" Type="http://schemas.openxmlformats.org/officeDocument/2006/relationships/hyperlink" Target="https://drive.google.com/file/d/1bOP54wCTK2Ksr-y5KcO5kJDCnVExTxh3/view?usp=sharing" TargetMode="External"/><Relationship Id="rId10210" Type="http://schemas.openxmlformats.org/officeDocument/2006/relationships/hyperlink" Target="https://www.vidio.com/live/19431-uim-f1h2o-world-champion-2025?schedule_id=4783412" TargetMode="External"/><Relationship Id="rId279" Type="http://schemas.openxmlformats.org/officeDocument/2006/relationships/hyperlink" Target="https://drive.google.com/drive/folders/1rPb1dWdkXi8Sp0Fi6zSQly7NUSuuHoHQ?usp=drive_link" TargetMode="External"/><Relationship Id="rId693" Type="http://schemas.openxmlformats.org/officeDocument/2006/relationships/hyperlink" Target="https://drive.google.com/file/d/1MWlgTVncjklIKOA_1Pwvn2umdICqjIZe/view?usp=sharing" TargetMode="External"/><Relationship Id="rId2374" Type="http://schemas.openxmlformats.org/officeDocument/2006/relationships/hyperlink" Target="https://drive.google.com/drive/folders/1X1BIO85eFZRnHdE84X38OTeIVaNQkJMd?usp=drive_link" TargetMode="External"/><Relationship Id="rId3425" Type="http://schemas.openxmlformats.org/officeDocument/2006/relationships/hyperlink" Target="https://www.vidio.com/live/9183-champions-tv-6?schedule_id=4499270" TargetMode="External"/><Relationship Id="rId346" Type="http://schemas.openxmlformats.org/officeDocument/2006/relationships/hyperlink" Target="https://drive.google.com/drive/folders/16KPsK9K0mVahy0NKMh1LLjDSdQ-qrIKf?usp=drive_link" TargetMode="External"/><Relationship Id="rId760" Type="http://schemas.openxmlformats.org/officeDocument/2006/relationships/hyperlink" Target="https://drive.google.com/file/d/1ui7xe03-W59UETW_QLceH37yH9Ii568h/view?usp=sharing" TargetMode="External"/><Relationship Id="rId1390" Type="http://schemas.openxmlformats.org/officeDocument/2006/relationships/hyperlink" Target="https://drive.google.com/file/d/1O5MejWgT6HD_nu6NQIubpPeDXXDTiN1v/view?usp=sharing" TargetMode="External"/><Relationship Id="rId2027" Type="http://schemas.openxmlformats.org/officeDocument/2006/relationships/hyperlink" Target="https://drive.google.com/drive/folders/1dOWeiuFcnL2axB2QA5iIly0d-HkyP-qK" TargetMode="External"/><Relationship Id="rId2441" Type="http://schemas.openxmlformats.org/officeDocument/2006/relationships/hyperlink" Target="https://drive.google.com/file/d/1-URXaNrcWmjqPmHeeATkbLu1zYMKdGUa/view?usp=sharing" TargetMode="External"/><Relationship Id="rId5597" Type="http://schemas.openxmlformats.org/officeDocument/2006/relationships/hyperlink" Target="https://drive.google.com/file/d/1D0g3vmZeHQUyKmc_Jd6FDMzzKsBl_DJ1/view?usp=drive_link" TargetMode="External"/><Relationship Id="rId6995" Type="http://schemas.openxmlformats.org/officeDocument/2006/relationships/hyperlink" Target="https://drive.google.com/drive/folders/1DrC8qLJsnWpWI-tZeb27fP__uEuayVNN?usp=drive_link" TargetMode="External"/><Relationship Id="rId9054" Type="http://schemas.openxmlformats.org/officeDocument/2006/relationships/hyperlink" Target="https://www.vidio.com/live/19738-turkish-women-s-volleyball-league?schedule_id=4739851" TargetMode="External"/><Relationship Id="rId12382" Type="http://schemas.openxmlformats.org/officeDocument/2006/relationships/hyperlink" Target="https://drive.google.com/file/d/1aerik-EGVX1bP7WoYaM_AMSCFqH9d2Jz/view?usp=sharing" TargetMode="External"/><Relationship Id="rId413" Type="http://schemas.openxmlformats.org/officeDocument/2006/relationships/hyperlink" Target="https://drive.google.com/file/d/1QQmMDNr4beGlGUGnCsk8JitBgFYiKZZp/view?usp=sharing" TargetMode="External"/><Relationship Id="rId1043" Type="http://schemas.openxmlformats.org/officeDocument/2006/relationships/hyperlink" Target="https://drive.google.com/file/d/1YqduAOlNROpVb9Ysjrx2gWyPc7Bnc1sG/view?usp=sharing" TargetMode="External"/><Relationship Id="rId4199" Type="http://schemas.openxmlformats.org/officeDocument/2006/relationships/hyperlink" Target="https://drive.google.com/file/d/1yQYmOHNV4kMd6IwZXzbzbzLTq2ivvMHa/view?usp=drive_link" TargetMode="External"/><Relationship Id="rId6648" Type="http://schemas.openxmlformats.org/officeDocument/2006/relationships/hyperlink" Target="https://www.vidio.com/live/19736-uefa-conference-league?schedule_id=4783330" TargetMode="External"/><Relationship Id="rId8070" Type="http://schemas.openxmlformats.org/officeDocument/2006/relationships/hyperlink" Target="https://drive.google.com/file/d/1ZbDgBfrihWvPBvTQT8iRRVvV20vougUS/view?usp=drive_link" TargetMode="External"/><Relationship Id="rId9121" Type="http://schemas.openxmlformats.org/officeDocument/2006/relationships/hyperlink" Target="https://drive.google.com/file/d/1eu97__VpeGbHVY9Xge1Low3RXUGeohOR/view?usp=sharing" TargetMode="External"/><Relationship Id="rId12035" Type="http://schemas.openxmlformats.org/officeDocument/2006/relationships/hyperlink" Target="https://drive.google.com/drive/folders/10yZ6W25MsH1Gazyf6erLQ6feN5lXYViD" TargetMode="External"/><Relationship Id="rId5664" Type="http://schemas.openxmlformats.org/officeDocument/2006/relationships/hyperlink" Target="https://drive.google.com/drive/folders/1-v2k9mkE5Wr7vtcZPt5z5lBJb1kpLRxM?usp=drive_link" TargetMode="External"/><Relationship Id="rId6715" Type="http://schemas.openxmlformats.org/officeDocument/2006/relationships/hyperlink" Target="https://drive.google.com/file/d/13fJFyIAajNpPA2T8V9kohMBa1IoV6CUM/view?usp=sharing" TargetMode="External"/><Relationship Id="rId11051" Type="http://schemas.openxmlformats.org/officeDocument/2006/relationships/hyperlink" Target="https://www.vidio.com/live/19773-fa-cup-2025-26?schedule_id=4833935" TargetMode="External"/><Relationship Id="rId12102" Type="http://schemas.openxmlformats.org/officeDocument/2006/relationships/hyperlink" Target="https://drive.google.com/drive/folders/1y_mGPCoON9jW62Lb8x5K2d_YVzyt7dym" TargetMode="External"/><Relationship Id="rId1110" Type="http://schemas.openxmlformats.org/officeDocument/2006/relationships/hyperlink" Target="https://thumbor.prod.vidiocdn.com/LgGuMgLrs6sUR4dcYMTbV6yYEVo=/filters:quality(70)/vidio-media-production/uploads/image/source/52496/8c41f6.png" TargetMode="External"/><Relationship Id="rId4266" Type="http://schemas.openxmlformats.org/officeDocument/2006/relationships/hyperlink" Target="https://www.vidio.com/live/19404-serie-a?schedule_id=4671767" TargetMode="External"/><Relationship Id="rId4680" Type="http://schemas.openxmlformats.org/officeDocument/2006/relationships/hyperlink" Target="https://drive.google.com/drive/folders/1N-6StK55mreegrJ-zXW0DknMDVm25LkQ?usp=drive_link" TargetMode="External"/><Relationship Id="rId5317" Type="http://schemas.openxmlformats.org/officeDocument/2006/relationships/hyperlink" Target="https://drive.google.com/file/d/1Q_NHkn6Y_HiJBIBzPRCt3M2CY4-F0UGO/view?usp=sharing" TargetMode="External"/><Relationship Id="rId5731" Type="http://schemas.openxmlformats.org/officeDocument/2006/relationships/hyperlink" Target="https://drive.google.com/drive/folders/1oqnk8AP8NWOHr_POlAk35_kGNn9rkW22?usp=drive_link" TargetMode="External"/><Relationship Id="rId8887" Type="http://schemas.openxmlformats.org/officeDocument/2006/relationships/hyperlink" Target="https://drive.google.com/drive/folders/1SM0RaNai188ovDZNGs8qC8H3aLX9t9lp?usp=drive_link" TargetMode="External"/><Relationship Id="rId9938" Type="http://schemas.openxmlformats.org/officeDocument/2006/relationships/hyperlink" Target="https://drive.google.com/drive/folders/1LGfMbuy889p4O1HTKinZlwOmKdQggfqp?usp=drive_link" TargetMode="External"/><Relationship Id="rId11868" Type="http://schemas.openxmlformats.org/officeDocument/2006/relationships/hyperlink" Target="https://www.vidio.com/live/18250-petronas-malaysia-open-2026-round-of-32-court-2?schedule_id=4831563" TargetMode="External"/><Relationship Id="rId1927" Type="http://schemas.openxmlformats.org/officeDocument/2006/relationships/hyperlink" Target="https://drive.google.com/drive/folders/1sWicJqoaSH9mlydQ6dcKIBz0rNXJ2bUv" TargetMode="External"/><Relationship Id="rId3282" Type="http://schemas.openxmlformats.org/officeDocument/2006/relationships/hyperlink" Target="https://drive.google.com/file/d/1omwZllO7PU-0fETYNLXsV74kkxeP1ZrE/view?usp=sharing" TargetMode="External"/><Relationship Id="rId4333" Type="http://schemas.openxmlformats.org/officeDocument/2006/relationships/hyperlink" Target="https://drive.google.com/drive/folders/1dBW7PP1fR3zq24JFC8RVKfHGeL0ym10y?usp=drive_link" TargetMode="External"/><Relationship Id="rId7489" Type="http://schemas.openxmlformats.org/officeDocument/2006/relationships/hyperlink" Target="https://www.vidio.com/live/19587-top-youth-premier-league-2025-matchday-4?schedule_id=4585752" TargetMode="External"/><Relationship Id="rId8954" Type="http://schemas.openxmlformats.org/officeDocument/2006/relationships/hyperlink" Target="https://drive.google.com/file/d/1O2Hip1xGwsqah1A2KCT529gKPdNeydUH/view?usp=sharing" TargetMode="External"/><Relationship Id="rId4400" Type="http://schemas.openxmlformats.org/officeDocument/2006/relationships/hyperlink" Target="https://drive.google.com/file/d/1TG2LUf8j3_HtFr8k_j4SNf2vm65kd6_p/view?usp=sharing" TargetMode="External"/><Relationship Id="rId7556" Type="http://schemas.openxmlformats.org/officeDocument/2006/relationships/hyperlink" Target="https://www.vidio.com/live/19658-f1h2o-2025-grand-prix-of-zhengzhou-china?schedule_id=4636605" TargetMode="External"/><Relationship Id="rId8607" Type="http://schemas.openxmlformats.org/officeDocument/2006/relationships/hyperlink" Target="https://www.vidio.com/live/19543-pegadaian-championship-2025-26?schedule_id=4725602" TargetMode="External"/><Relationship Id="rId10884" Type="http://schemas.openxmlformats.org/officeDocument/2006/relationships/hyperlink" Target="https://drive.google.com/file/d/18tEbasgwq_MXgr1JckS27JEejHZzKQjh/view?usp=sharing" TargetMode="External"/><Relationship Id="rId11935" Type="http://schemas.openxmlformats.org/officeDocument/2006/relationships/hyperlink" Target="https://drive.google.com/drive/folders/1gqnmBiDc9HaK7fTi5sC9yJeePuPZJkd8?usp=drive_link" TargetMode="External"/><Relationship Id="rId270" Type="http://schemas.openxmlformats.org/officeDocument/2006/relationships/hyperlink" Target="https://drive.google.com/file/d/1XGUa45cfEzvQRFyyXiLAhk6l79BoN33b/view?usp=sharing" TargetMode="External"/><Relationship Id="rId3002" Type="http://schemas.openxmlformats.org/officeDocument/2006/relationships/hyperlink" Target="https://drive.google.com/file/d/1Mo_9U8GPvb5ZXVJw6LFSLncDw7uIyoVU/view?usp=sharing" TargetMode="External"/><Relationship Id="rId6158" Type="http://schemas.openxmlformats.org/officeDocument/2006/relationships/hyperlink" Target="https://drive.google.com/file/d/1Jg1brezbs7zKBWTu4Eb9sd8axeawo6pY/view?usp=sharing" TargetMode="External"/><Relationship Id="rId6572" Type="http://schemas.openxmlformats.org/officeDocument/2006/relationships/hyperlink" Target="https://drive.google.com/file/d/1z3Q0LH6ZHpK6872LMSUOYF5CFShKEVp2/view?usp=drive_link" TargetMode="External"/><Relationship Id="rId7209" Type="http://schemas.openxmlformats.org/officeDocument/2006/relationships/hyperlink" Target="https://www.vidio.com/live/19556-top-youth-premier-league-2025-matchday-3?schedule_id=4569325" TargetMode="External"/><Relationship Id="rId7970" Type="http://schemas.openxmlformats.org/officeDocument/2006/relationships/hyperlink" Target="https://drive.google.com/drive/folders/164PhhbgtKf1cUd3X79y56uPDiZqyvj1S?usp=drive_link" TargetMode="External"/><Relationship Id="rId10537" Type="http://schemas.openxmlformats.org/officeDocument/2006/relationships/hyperlink" Target="https://drive.google.com/file/d/1LzXrHWd5bNuCSN0X09-cqP7sFb0-VZd-/view?usp=sharing" TargetMode="External"/><Relationship Id="rId10951" Type="http://schemas.openxmlformats.org/officeDocument/2006/relationships/hyperlink" Target="https://drive.google.com/drive/folders/1wItNzZgKeZUL9zGbCQABqXKfKivIb5dZ" TargetMode="External"/><Relationship Id="rId5174" Type="http://schemas.openxmlformats.org/officeDocument/2006/relationships/hyperlink" Target="https://drive.google.com/file/d/1OFXnWntHRH4obDcMAczANAo5mNr6nc_C/view?usp=sharing" TargetMode="External"/><Relationship Id="rId6225" Type="http://schemas.openxmlformats.org/officeDocument/2006/relationships/hyperlink" Target="https://drive.google.com/file/d/1ezaXOdOC0MesdjJiXO0B9GazNvKLqmRQ/view?usp=sharing" TargetMode="External"/><Relationship Id="rId7623" Type="http://schemas.openxmlformats.org/officeDocument/2006/relationships/hyperlink" Target="https://drive.google.com/drive/folders/1HdNEZ6RW5c8njsqn9tW-umxo5xs7bWqg?usp=drive_link" TargetMode="External"/><Relationship Id="rId10604" Type="http://schemas.openxmlformats.org/officeDocument/2006/relationships/hyperlink" Target="https://drive.google.com/file/d/1ATuMAnL2p65NNPb_ih5CRxyZhmML2Xn7/view?usp=sharing" TargetMode="External"/><Relationship Id="rId2768" Type="http://schemas.openxmlformats.org/officeDocument/2006/relationships/hyperlink" Target="https://www.vidio.com/live/6317-bein-3?schedule_id=4665863" TargetMode="External"/><Relationship Id="rId3819" Type="http://schemas.openxmlformats.org/officeDocument/2006/relationships/hyperlink" Target="https://drive.google.com/drive/folders/1cO1kcp2clPUL2JZtSH4yWNANj-19InAD?usp=sharing" TargetMode="External"/><Relationship Id="rId9795" Type="http://schemas.openxmlformats.org/officeDocument/2006/relationships/hyperlink" Target="https://drive.google.com/file/d/1bGAtWdCSL-v2iZg1GvRoYwXZwXVqVH3x/view" TargetMode="External"/><Relationship Id="rId1784" Type="http://schemas.openxmlformats.org/officeDocument/2006/relationships/hyperlink" Target="https://www.vidio.com/live/205-indosiar?schedule_id=4594600" TargetMode="External"/><Relationship Id="rId2835" Type="http://schemas.openxmlformats.org/officeDocument/2006/relationships/hyperlink" Target="https://drive.google.com/file/d/1yt-p44tdOiT2O88IK6mIhxNMY2iVr54q/view?usp=sharing" TargetMode="External"/><Relationship Id="rId4190" Type="http://schemas.openxmlformats.org/officeDocument/2006/relationships/hyperlink" Target="https://drive.google.com/drive/folders/1ZzoI335r_2Zc1hHbABOvc33TZpx66nya?usp=drive_link" TargetMode="External"/><Relationship Id="rId5241" Type="http://schemas.openxmlformats.org/officeDocument/2006/relationships/hyperlink" Target="https://drive.google.com/file/d/1oihjP77z8phmofbe0Z9xGxb1HQV7E9Tx/view?usp=sharing" TargetMode="External"/><Relationship Id="rId8397" Type="http://schemas.openxmlformats.org/officeDocument/2006/relationships/hyperlink" Target="https://drive.google.com/drive/folders/1nDWNgJ17RfRZUcYaLDuG-xJGO9tV6q75" TargetMode="External"/><Relationship Id="rId9448" Type="http://schemas.openxmlformats.org/officeDocument/2006/relationships/hyperlink" Target="https://thumbor.prod.vidiocdn.com/TFlBYlqLOYkvzQVSNOLKZ5RPoiE=/filters:quality(70)/vidio-media-production/uploads/image/source/52559/8a3c9a.png" TargetMode="External"/><Relationship Id="rId9862" Type="http://schemas.openxmlformats.org/officeDocument/2006/relationships/hyperlink" Target="https://drive.google.com/file/d/1bGAtWdCSL-v2iZg1GvRoYwXZwXVqVH3x/view?usp=sharing" TargetMode="External"/><Relationship Id="rId11378" Type="http://schemas.openxmlformats.org/officeDocument/2006/relationships/hyperlink" Target="https://www.vidio.com/live/20107-top-youth-premier-league-semifinal-cup-final-cup-plate?schedule_id=4786460" TargetMode="External"/><Relationship Id="rId11792" Type="http://schemas.openxmlformats.org/officeDocument/2006/relationships/hyperlink" Target="https://drive.google.com/file/d/1I2eIKrx-Pq6H1ClDLs6bhA1CkMHJUhF8/view?usp=sharing" TargetMode="External"/><Relationship Id="rId12429" Type="http://schemas.openxmlformats.org/officeDocument/2006/relationships/hyperlink" Target="https://drive.google.com/file/d/17nqJ8YbOWxi4DOQmMA4_VvY1qMuE4tM4/view?usp=sharing" TargetMode="External"/><Relationship Id="rId76" Type="http://schemas.openxmlformats.org/officeDocument/2006/relationships/hyperlink" Target="https://drive.google.com/file/d/1CqGi9swzIHv0kZeW4XqqoxJ0Fx-18ejx/view?usp=sharing" TargetMode="External"/><Relationship Id="rId807" Type="http://schemas.openxmlformats.org/officeDocument/2006/relationships/hyperlink" Target="https://drive.google.com/file/d/1k6PCTEDC-Jjc7dP5LQ1gZK0dBNFWpN5S/view?usp=sharing" TargetMode="External"/><Relationship Id="rId1437" Type="http://schemas.openxmlformats.org/officeDocument/2006/relationships/hyperlink" Target="https://drive.google.com/drive/folders/14Km-18fBqY61qtZ5AbodOoJ3psulCie4" TargetMode="External"/><Relationship Id="rId1851" Type="http://schemas.openxmlformats.org/officeDocument/2006/relationships/hyperlink" Target="https://drive.google.com/drive/folders/13COnqdICEcZ8Zczgcd7eqX7WHcjZJz_q" TargetMode="External"/><Relationship Id="rId2902" Type="http://schemas.openxmlformats.org/officeDocument/2006/relationships/hyperlink" Target="https://drive.google.com/drive/folders/1nUrUnRUluOVHcCTMUZcWyZenbZQDiKfU?usp=drive_link" TargetMode="External"/><Relationship Id="rId8464" Type="http://schemas.openxmlformats.org/officeDocument/2006/relationships/hyperlink" Target="https://drive.google.com/file/d/1fkdpZaTGNhz8jma7OW_dNieKG46FAWN6/view?usp=sharing" TargetMode="External"/><Relationship Id="rId9515" Type="http://schemas.openxmlformats.org/officeDocument/2006/relationships/hyperlink" Target="https://www.vidio.com/live/19623-national-football-league-2025-26?schedule_id=4733430" TargetMode="External"/><Relationship Id="rId10394" Type="http://schemas.openxmlformats.org/officeDocument/2006/relationships/hyperlink" Target="https://drive.google.com/drive/folders/1cJpz46YVGdj-i2g__fzwYJ7fk_eXDlY-?usp=sharing" TargetMode="External"/><Relationship Id="rId11445" Type="http://schemas.openxmlformats.org/officeDocument/2006/relationships/hyperlink" Target="https://www.vidio.com/live/18249-hsbc-bwf-world-tour-finals-2025-semifinals?schedule_id=4788331" TargetMode="External"/><Relationship Id="rId1504" Type="http://schemas.openxmlformats.org/officeDocument/2006/relationships/hyperlink" Target="https://drive.google.com/file/d/1aLlwUNJbE3oCAwiKL3t42pzogRFSOIzC/view?usp=sharing" TargetMode="External"/><Relationship Id="rId7066" Type="http://schemas.openxmlformats.org/officeDocument/2006/relationships/hyperlink" Target="https://drive.google.com/file/d/19eIi7P3nJv8Na2w9izxvVhWMWlSH38OA/view?usp=drive_link" TargetMode="External"/><Relationship Id="rId7480" Type="http://schemas.openxmlformats.org/officeDocument/2006/relationships/hyperlink" Target="https://www.vidio.com/live/19587-top-youth-premier-league-2025-matchday-4?schedule_id=4585749" TargetMode="External"/><Relationship Id="rId8117" Type="http://schemas.openxmlformats.org/officeDocument/2006/relationships/hyperlink" Target="https://drive.google.com/file/d/1OHRB3h4L1nlj8fHH6jDBJhSH6uVmcidM/view?usp=sharing" TargetMode="External"/><Relationship Id="rId8531" Type="http://schemas.openxmlformats.org/officeDocument/2006/relationships/hyperlink" Target="https://www.vidio.com/live/19748-national-football-league-2025-26?schedule_id=4672152" TargetMode="External"/><Relationship Id="rId10047" Type="http://schemas.openxmlformats.org/officeDocument/2006/relationships/hyperlink" Target="https://drive.google.com/drive/folders/1EWSC8Ug00VB0dbx-_GRslXtHOFx1GTZO" TargetMode="External"/><Relationship Id="rId3676" Type="http://schemas.openxmlformats.org/officeDocument/2006/relationships/hyperlink" Target="https://www.vidio.com/live/6686-champions-tv-2?schedule_id=4533793" TargetMode="External"/><Relationship Id="rId6082" Type="http://schemas.openxmlformats.org/officeDocument/2006/relationships/hyperlink" Target="https://drive.google.com/drive/folders/1JPP3jA4rBxek9tlbw3S5jjOt-GnJT0kN?usp=drive_link" TargetMode="External"/><Relationship Id="rId7133" Type="http://schemas.openxmlformats.org/officeDocument/2006/relationships/hyperlink" Target="https://drive.google.com/file/d/1ahflV6sXtkPJG8PxU1Tu97fxiIuV78pE/view?usp=sharing" TargetMode="External"/><Relationship Id="rId10461" Type="http://schemas.openxmlformats.org/officeDocument/2006/relationships/hyperlink" Target="https://www.vidio.com/live/20040-top-youth-premier-league-2025-pekan-ke-13" TargetMode="External"/><Relationship Id="rId11512" Type="http://schemas.openxmlformats.org/officeDocument/2006/relationships/hyperlink" Target="https://drive.google.com/drive/folders/1WKj9h-5X9CbdKBBswsG_o4Qhc5rGeA1L" TargetMode="External"/><Relationship Id="rId597" Type="http://schemas.openxmlformats.org/officeDocument/2006/relationships/hyperlink" Target="https://drive.google.com/file/d/1SBQTfbAU1JbsGT3YKccXojXz03rykDdq/view?usp=sharing" TargetMode="External"/><Relationship Id="rId2278" Type="http://schemas.openxmlformats.org/officeDocument/2006/relationships/hyperlink" Target="https://drive.google.com/file/d/1jIcE1_wFgB9QzZcB4_LBaCEMGNPc4dzR/view?usp=drive_link" TargetMode="External"/><Relationship Id="rId3329" Type="http://schemas.openxmlformats.org/officeDocument/2006/relationships/hyperlink" Target="https://drive.google.com/drive/folders/12tASaUJChpzmgzz66lr9UYGZGHn7GF0z?usp=drive_link" TargetMode="External"/><Relationship Id="rId4727" Type="http://schemas.openxmlformats.org/officeDocument/2006/relationships/hyperlink" Target="https://thumbor.prod.vidiocdn.com/qkSr4KbZJdBAabReapdRJ1sC6YQ=/filters:quality(70)/vidio-media-production/uploads/image/source/52002/b3d63c.png" TargetMode="External"/><Relationship Id="rId7200" Type="http://schemas.openxmlformats.org/officeDocument/2006/relationships/hyperlink" Target="https://www.vidio.com/live/19556-top-youth-premier-league-2025-matchday-3?schedule_id=4569330" TargetMode="External"/><Relationship Id="rId10114" Type="http://schemas.openxmlformats.org/officeDocument/2006/relationships/hyperlink" Target="https://drive.google.com/file/d/1bGAtWdCSL-v2iZg1GvRoYwXZwXVqVH3x/view?usp=sharing" TargetMode="External"/><Relationship Id="rId1294" Type="http://schemas.openxmlformats.org/officeDocument/2006/relationships/hyperlink" Target="https://drive.google.com/drive/folders/1E30m_TwFv67kbxNGDkQXVPtM1E5qd4x1?usp=drive_link" TargetMode="External"/><Relationship Id="rId2692" Type="http://schemas.openxmlformats.org/officeDocument/2006/relationships/hyperlink" Target="https://drive.google.com/drive/folders/1kMnAUovIfqAZyRE7zHeYvNuw4YZstmZE?usp=drive_link" TargetMode="External"/><Relationship Id="rId3743" Type="http://schemas.openxmlformats.org/officeDocument/2006/relationships/hyperlink" Target="https://www.vidio.com/live/6685-champions-tv-1?schedule_id=4525697" TargetMode="External"/><Relationship Id="rId6899" Type="http://schemas.openxmlformats.org/officeDocument/2006/relationships/hyperlink" Target="https://www.vidio.com/live/19542-pegadaian-championship-2025-26?schedule_id=4579886" TargetMode="External"/><Relationship Id="rId12286" Type="http://schemas.openxmlformats.org/officeDocument/2006/relationships/hyperlink" Target="https://drive.google.com/file/d/17nqJ8YbOWxi4DOQmMA4_VvY1qMuE4tM4/view?usp=drive_link" TargetMode="External"/><Relationship Id="rId664" Type="http://schemas.openxmlformats.org/officeDocument/2006/relationships/hyperlink" Target="https://drive.google.com/file/d/1HNOvnQsF9MiSG1A9jpk7DOp-mE2XGbNx/view?usp=sharing" TargetMode="External"/><Relationship Id="rId2345" Type="http://schemas.openxmlformats.org/officeDocument/2006/relationships/hyperlink" Target="https://drive.google.com/drive/folders/1bUssvdHr_p7vCHm_Xp11ac7O0AFTdjau?usp=drive_link" TargetMode="External"/><Relationship Id="rId3810" Type="http://schemas.openxmlformats.org/officeDocument/2006/relationships/hyperlink" Target="https://drive.google.com/file/d/1FY7WlVrM6dojOh2fDZHHNvmdfX_dwYuU/view?usp=drive_link" TargetMode="External"/><Relationship Id="rId6966" Type="http://schemas.openxmlformats.org/officeDocument/2006/relationships/hyperlink" Target="https://drive.google.com/file/d/1DAyeajDFnTBD7OqZfndFVzp-Wp-JMuda/view?usp=sharing" TargetMode="External"/><Relationship Id="rId9372" Type="http://schemas.openxmlformats.org/officeDocument/2006/relationships/hyperlink" Target="https://thumbor.prod.vidiocdn.com/2pj52MSOfhQRfS2jlG9NvkD3APs=/filters:quality(70)/vidio-media-production/uploads/image/source/52556/cf311d.png" TargetMode="External"/><Relationship Id="rId12353" Type="http://schemas.openxmlformats.org/officeDocument/2006/relationships/hyperlink" Target="https://drive.google.com/drive/folders/1JOgSZmNs1prxOeLrKVswIcYu029paKj4" TargetMode="External"/><Relationship Id="rId317" Type="http://schemas.openxmlformats.org/officeDocument/2006/relationships/hyperlink" Target="https://drive.google.com/file/d/1cezuKySoF0EjAPmUHMwiwEY_2H3ELHEX/view?usp=sharing" TargetMode="External"/><Relationship Id="rId731" Type="http://schemas.openxmlformats.org/officeDocument/2006/relationships/hyperlink" Target="https://drive.google.com/file/d/1SaTkhLVLUg9hqPQKiKecu3H2DDdLIFdV/view?usp=sharing" TargetMode="External"/><Relationship Id="rId1361" Type="http://schemas.openxmlformats.org/officeDocument/2006/relationships/hyperlink" Target="https://drive.google.com/file/d/1kCXHvx2JYZQVcca3PViOLVc8thLZVBri/view?usp=sharing" TargetMode="External"/><Relationship Id="rId2412" Type="http://schemas.openxmlformats.org/officeDocument/2006/relationships/hyperlink" Target="https://drive.google.com/file/d/1C8td5YmKBKhgoW_fou841OplAWugFlZ6/view?usp=drive_link" TargetMode="External"/><Relationship Id="rId5568" Type="http://schemas.openxmlformats.org/officeDocument/2006/relationships/hyperlink" Target="https://drive.google.com/file/d/1R-DfGugGuUe3N34r8RdjIqEnsEvfw55o/view?usp=sharing" TargetMode="External"/><Relationship Id="rId5982" Type="http://schemas.openxmlformats.org/officeDocument/2006/relationships/hyperlink" Target="https://drive.google.com/drive/folders/165sCcf_oc2ukN566edD1dtFbMW1W5ucV?usp=drive_link" TargetMode="External"/><Relationship Id="rId6619" Type="http://schemas.openxmlformats.org/officeDocument/2006/relationships/hyperlink" Target="https://drive.google.com/file/d/1E5gkHNCHNfeo2-jBzMrIu8GX7ynx3a11/view?usp=drive_link" TargetMode="External"/><Relationship Id="rId9025" Type="http://schemas.openxmlformats.org/officeDocument/2006/relationships/hyperlink" Target="https://drive.google.com/file/d/1XXilUcyNxW8xAtqMjAqnGvtFlKsvFdcb/view?usp=sharing" TargetMode="External"/><Relationship Id="rId12006" Type="http://schemas.openxmlformats.org/officeDocument/2006/relationships/hyperlink" Target="https://www.vidio.com/live/18249-petronas-malaysia-open-2026-round-of-16-court-1?schedule_id=4832329" TargetMode="External"/><Relationship Id="rId12420" Type="http://schemas.openxmlformats.org/officeDocument/2006/relationships/hyperlink" Target="https://drive.google.com/drive/folders/1tni-eURfEFKRVxfoCHzmLE1mqpTQd2nq" TargetMode="External"/><Relationship Id="rId1014" Type="http://schemas.openxmlformats.org/officeDocument/2006/relationships/hyperlink" Target="https://www.vidio.com/live/9182-champions-tv-5?schedule_id=4783770" TargetMode="External"/><Relationship Id="rId4584" Type="http://schemas.openxmlformats.org/officeDocument/2006/relationships/hyperlink" Target="https://drive.google.com/drive/folders/145IhwfqlcpfOLrMqkCkNQ3_RVW4boDzF?usp=drive_link" TargetMode="External"/><Relationship Id="rId5635" Type="http://schemas.openxmlformats.org/officeDocument/2006/relationships/hyperlink" Target="https://drive.google.com/file/d/1fUl2MTk6-IJ08r32kBe_9BNm3DCC1TZM/view?usp=sharing" TargetMode="External"/><Relationship Id="rId8041" Type="http://schemas.openxmlformats.org/officeDocument/2006/relationships/hyperlink" Target="https://drive.google.com/file/d/1Aj-2uRZAvH9Nb7cq2J-DB2he0iuCcATS/view?usp=sharing" TargetMode="External"/><Relationship Id="rId11022" Type="http://schemas.openxmlformats.org/officeDocument/2006/relationships/hyperlink" Target="https://drive.google.com/drive/u/0/folders/14V7OsweGfIqcHv33ADTze6Pc3OpL6KeH" TargetMode="External"/><Relationship Id="rId3186" Type="http://schemas.openxmlformats.org/officeDocument/2006/relationships/hyperlink" Target="https://drive.google.com/file/d/1HDqNVLPFo3Mb5BJS6PhVk9oh5cEc8ye1/view?usp=sharing" TargetMode="External"/><Relationship Id="rId4237" Type="http://schemas.openxmlformats.org/officeDocument/2006/relationships/hyperlink" Target="https://www.vidio.com/live/19404-serie-a?schedule_id=4660112" TargetMode="External"/><Relationship Id="rId4651" Type="http://schemas.openxmlformats.org/officeDocument/2006/relationships/hyperlink" Target="https://drive.google.com/file/d/1fjoLRZ1_GSPBBWCO65fjw-D5wDUWLepz/view?usp=sharing" TargetMode="External"/><Relationship Id="rId3253" Type="http://schemas.openxmlformats.org/officeDocument/2006/relationships/hyperlink" Target="https://thumbor.prod.vidiocdn.com/4qJp6xAvSTv1XfPTyyMGmJKfCMw=/filters:quality(70)/vidio-media-production/uploads/image/source/53066/56ee44.png" TargetMode="External"/><Relationship Id="rId4304" Type="http://schemas.openxmlformats.org/officeDocument/2006/relationships/hyperlink" Target="https://www.vidio.com/live/19404-serie-a?schedule_id=4667521" TargetMode="External"/><Relationship Id="rId5702" Type="http://schemas.openxmlformats.org/officeDocument/2006/relationships/hyperlink" Target="https://www.vidio.com/live/6299-bein-1?schedule_id=4664037" TargetMode="External"/><Relationship Id="rId8858" Type="http://schemas.openxmlformats.org/officeDocument/2006/relationships/hyperlink" Target="https://drive.google.com/drive/folders/17bkdw_9XkXmFIckCAcIaMzkHVeTIbOlu?usp=drive_link" TargetMode="External"/><Relationship Id="rId9909" Type="http://schemas.openxmlformats.org/officeDocument/2006/relationships/hyperlink" Target="https://www.vidio.com/live/19354-bri-super-league?schedule_id=4797261" TargetMode="External"/><Relationship Id="rId10788" Type="http://schemas.openxmlformats.org/officeDocument/2006/relationships/hyperlink" Target="https://drive.google.com/drive/folders/1cWMC61HN8n5f16GPNSH85Bn8ErWT12jT" TargetMode="External"/><Relationship Id="rId11839" Type="http://schemas.openxmlformats.org/officeDocument/2006/relationships/hyperlink" Target="https://drive.google.com/drive/folders/1Ty2H_i_qk549qwdTHB8xBRYGJbtv8v5N?usp=drive_link" TargetMode="External"/><Relationship Id="rId174" Type="http://schemas.openxmlformats.org/officeDocument/2006/relationships/hyperlink" Target="https://drive.google.com/drive/folders/1E-SiChHX8IFkkAWfrdcoH1SwbCWsIC_8?usp=drive_link" TargetMode="External"/><Relationship Id="rId7874" Type="http://schemas.openxmlformats.org/officeDocument/2006/relationships/hyperlink" Target="https://drive.google.com/file/d/1fK2HrWDO_XZ47rSb2RSXJ5K_PLMp89mZ/view?usp=sharing" TargetMode="External"/><Relationship Id="rId8925" Type="http://schemas.openxmlformats.org/officeDocument/2006/relationships/hyperlink" Target="https://www.vidio.com/live/19542-pegadaian-championship-2025-26?schedule_id=4797267" TargetMode="External"/><Relationship Id="rId10855" Type="http://schemas.openxmlformats.org/officeDocument/2006/relationships/hyperlink" Target="https://drive.google.com/drive/folders/1k4rJrnBm1_a30mDdHHdCFokcDawyZlbu?usp=drive_link" TargetMode="External"/><Relationship Id="rId11906" Type="http://schemas.openxmlformats.org/officeDocument/2006/relationships/hyperlink" Target="https://drive.google.com/file/d/1I2QL-h1CAeZERs7B5O4XbiSnpFeGO68R/view?usp=sharing" TargetMode="External"/><Relationship Id="rId241" Type="http://schemas.openxmlformats.org/officeDocument/2006/relationships/hyperlink" Target="https://drive.google.com/file/d/1tlpFdD4wcPgkijJHiaNXrVC7dKWKs2yy/view?usp=sharing" TargetMode="External"/><Relationship Id="rId3320" Type="http://schemas.openxmlformats.org/officeDocument/2006/relationships/hyperlink" Target="https://drive.google.com/file/d/1IXV7NxAoDtuvU6n96skRp6tMdtD_zzye/view?usp=sharing" TargetMode="External"/><Relationship Id="rId5078" Type="http://schemas.openxmlformats.org/officeDocument/2006/relationships/hyperlink" Target="https://www.vidio.com/live/18303-uefa-champions-league?schedule_id=4610719" TargetMode="External"/><Relationship Id="rId6476" Type="http://schemas.openxmlformats.org/officeDocument/2006/relationships/hyperlink" Target="https://drive.google.com/file/d/1ZCtBQ42PBlTWoZ9TJyE6v_9npq2DUSP8/view?usp=drive_link" TargetMode="External"/><Relationship Id="rId6890" Type="http://schemas.openxmlformats.org/officeDocument/2006/relationships/hyperlink" Target="https://drive.google.com/file/d/1_UrPocv7jPo86sgNJlCdwAkFB61hpOAu/view?usp=sharing" TargetMode="External"/><Relationship Id="rId7527" Type="http://schemas.openxmlformats.org/officeDocument/2006/relationships/hyperlink" Target="https://drive.google.com/drive/folders/1M_BVl5tluvtIGopClGpS0RZ3V9w5zT0f?usp=drive_link" TargetMode="External"/><Relationship Id="rId7941" Type="http://schemas.openxmlformats.org/officeDocument/2006/relationships/hyperlink" Target="https://drive.google.com/file/d/1OPblcHFOO0TnZ-texc30jacgdlqnLjN8/view?usp=sharing" TargetMode="External"/><Relationship Id="rId10508" Type="http://schemas.openxmlformats.org/officeDocument/2006/relationships/hyperlink" Target="https://drive.google.com/file/d/1KWoCJ9bHqemVU_gPP9VYYN4znP0x6yH4/view?usp=sharing" TargetMode="External"/><Relationship Id="rId5492" Type="http://schemas.openxmlformats.org/officeDocument/2006/relationships/hyperlink" Target="https://drive.google.com/file/d/1PyPwJCRWpb4-Y04nj2eRqqkk3i1aJrCe/view?usp=sharing" TargetMode="External"/><Relationship Id="rId6129" Type="http://schemas.openxmlformats.org/officeDocument/2006/relationships/hyperlink" Target="https://www.vidio.com/live/19645-uefa-conference-league?schedule_id=4614682" TargetMode="External"/><Relationship Id="rId6543" Type="http://schemas.openxmlformats.org/officeDocument/2006/relationships/hyperlink" Target="https://drive.google.com/file/d/1uhL1P0plBSnF5VvSxPJtQ1WzUcMwrjNH/view?usp=sharing" TargetMode="External"/><Relationship Id="rId9699" Type="http://schemas.openxmlformats.org/officeDocument/2006/relationships/hyperlink" Target="https://drive.google.com/file/d/1YtQwfxLFRmzl_Tv9zDMTKWv2lFNZUd1T/view?usp=sharing" TargetMode="External"/><Relationship Id="rId10922" Type="http://schemas.openxmlformats.org/officeDocument/2006/relationships/hyperlink" Target="https://www.vidio.com/live/18249-hsbc-bwf-world-tour-finals-2025-group-stage-court-1?schedule_id=4783187" TargetMode="External"/><Relationship Id="rId1688" Type="http://schemas.openxmlformats.org/officeDocument/2006/relationships/hyperlink" Target="https://www.vidio.com/live/19354?schedule_id=4563121" TargetMode="External"/><Relationship Id="rId2739" Type="http://schemas.openxmlformats.org/officeDocument/2006/relationships/hyperlink" Target="https://drive.google.com/file/d/166wbCwqFE_JEZ62Oim7zAXD-nHMYoTQ5/view?usp=sharing" TargetMode="External"/><Relationship Id="rId4094" Type="http://schemas.openxmlformats.org/officeDocument/2006/relationships/hyperlink" Target="https://drive.google.com/file/d/1eT4VVKq6mBaS-AOmFrbZEJGzvF6ah6xG/view?usp=sharing" TargetMode="External"/><Relationship Id="rId5145" Type="http://schemas.openxmlformats.org/officeDocument/2006/relationships/hyperlink" Target="https://drive.google.com/file/d/1rf_V6dTYIFHYy_0qgK5DBvErhyOK39HI/view?usp=sharing" TargetMode="External"/><Relationship Id="rId6610" Type="http://schemas.openxmlformats.org/officeDocument/2006/relationships/hyperlink" Target="https://drive.google.com/file/d/19TGsLXf2GWXVfy-WZArFOsx2Bztlf5xp/view?usp=sharing" TargetMode="External"/><Relationship Id="rId9766" Type="http://schemas.openxmlformats.org/officeDocument/2006/relationships/hyperlink" Target="https://www.vidio.com/live/20084-ea-sports-fc-supercup-2025-26?schedule_id=4790669" TargetMode="External"/><Relationship Id="rId1755" Type="http://schemas.openxmlformats.org/officeDocument/2006/relationships/hyperlink" Target="https://drive.google.com/drive/folders/1ewiRiZNMgnA4O79E35xxPr5Tr4fOyslM" TargetMode="External"/><Relationship Id="rId4161" Type="http://schemas.openxmlformats.org/officeDocument/2006/relationships/hyperlink" Target="https://www.vidio.com/live/17939-serie-a?schedule_id=4622568" TargetMode="External"/><Relationship Id="rId5212" Type="http://schemas.openxmlformats.org/officeDocument/2006/relationships/hyperlink" Target="https://drive.google.com/drive/folders/1cyuRQ0e5gkhERPAAl_WFnFMRJez43mol" TargetMode="External"/><Relationship Id="rId8368" Type="http://schemas.openxmlformats.org/officeDocument/2006/relationships/hyperlink" Target="https://drive.google.com/drive/folders/1Y2cySpqTcL0QSe1AkPHPuQ_E1MKwhLin?usp=drive_link" TargetMode="External"/><Relationship Id="rId8782" Type="http://schemas.openxmlformats.org/officeDocument/2006/relationships/hyperlink" Target="https://drive.google.com/drive/folders/18pUAOYFNtIuVxoldRVvoz_ru0dH6BVyr?usp=drive_link" TargetMode="External"/><Relationship Id="rId9419" Type="http://schemas.openxmlformats.org/officeDocument/2006/relationships/hyperlink" Target="https://drive.google.com/file/d/11n0cxUmnLRT475csMcK79YhK2OUn6TWu/view?usp=sharing" TargetMode="External"/><Relationship Id="rId10298" Type="http://schemas.openxmlformats.org/officeDocument/2006/relationships/hyperlink" Target="https://drive.google.com/file/d/1g_ha1iehGW4-h1pe91pXy535SpvZhP8w/view?usp=sharing" TargetMode="External"/><Relationship Id="rId11349" Type="http://schemas.openxmlformats.org/officeDocument/2006/relationships/hyperlink" Target="https://drive.google.com/file/d/164CMpuvYrQnAeMgDFxU-AzhWj5ehyRHX/view?usp=sharing" TargetMode="External"/><Relationship Id="rId11696" Type="http://schemas.openxmlformats.org/officeDocument/2006/relationships/hyperlink" Target="https://www.vidio.com/live/18249-petronas-malaysia-open-2026-round-of-16-court-1" TargetMode="External"/><Relationship Id="rId1408" Type="http://schemas.openxmlformats.org/officeDocument/2006/relationships/hyperlink" Target="https://drive.google.com/drive/folders/1x3JlmR1IHra-NmY5WNK_iiqo9RJZRXTT?usp=drive_link" TargetMode="External"/><Relationship Id="rId2806" Type="http://schemas.openxmlformats.org/officeDocument/2006/relationships/hyperlink" Target="https://drive.google.com/file/d/1oIAha9yBrMODs0vCw6urGtXcUsorCx5t/view?usp=sharing" TargetMode="External"/><Relationship Id="rId7384" Type="http://schemas.openxmlformats.org/officeDocument/2006/relationships/hyperlink" Target="https://drive.google.com/file/d/1gV4XQc2VaznFaqQAzTGDzDNkxzj2_GNA/view?usp=sharing" TargetMode="External"/><Relationship Id="rId8435" Type="http://schemas.openxmlformats.org/officeDocument/2006/relationships/hyperlink" Target="https://www.vidio.com/live/6685-champions-tv-1?schedule_id=4760844" TargetMode="External"/><Relationship Id="rId9833" Type="http://schemas.openxmlformats.org/officeDocument/2006/relationships/hyperlink" Target="https://www.vidio.com/live/19922-top-soccer-championship-2025-u-14-u-15" TargetMode="External"/><Relationship Id="rId11763" Type="http://schemas.openxmlformats.org/officeDocument/2006/relationships/hyperlink" Target="https://drive.google.com/file/d/17HzZla6-sKugGOTiV5hquQ9-Al2AepBJ/view?usp=sharing" TargetMode="External"/><Relationship Id="rId47" Type="http://schemas.openxmlformats.org/officeDocument/2006/relationships/hyperlink" Target="https://drive.google.com/drive/folders/1mvSV5QEQqsjXtz9K4IZTJMMRamr1sMpm?usp=drive_link" TargetMode="External"/><Relationship Id="rId1822" Type="http://schemas.openxmlformats.org/officeDocument/2006/relationships/hyperlink" Target="https://drive.google.com/drive/u/0/folders/1UK6JOYOJJ_5a5WEmGMrjKbPOe1Q5OO4u" TargetMode="External"/><Relationship Id="rId4978" Type="http://schemas.openxmlformats.org/officeDocument/2006/relationships/hyperlink" Target="https://drive.google.com/file/d/1-IWoS2wbuuroZI4_IJP4dqw1YnPfTqD2/view?usp=sharing" TargetMode="External"/><Relationship Id="rId7037" Type="http://schemas.openxmlformats.org/officeDocument/2006/relationships/hyperlink" Target="https://drive.google.com/file/d/1_fQnnmaWspwblp8VL-uJAKPaPMLI1elW/view?usp=sharing" TargetMode="External"/><Relationship Id="rId9900" Type="http://schemas.openxmlformats.org/officeDocument/2006/relationships/hyperlink" Target="https://thumbor.prod.vidiocdn.com/hVxvd42OwDAU3BFqnsUAr5OV27k=/filters:quality(70)/vidio-media-production/uploads/image/source/52309/baa2bc.png" TargetMode="External"/><Relationship Id="rId10365" Type="http://schemas.openxmlformats.org/officeDocument/2006/relationships/hyperlink" Target="https://www.vidio.com/live/18249-hsbc-bwf-world-tour-finals-2025-semifinals" TargetMode="External"/><Relationship Id="rId11416" Type="http://schemas.openxmlformats.org/officeDocument/2006/relationships/hyperlink" Target="https://drive.google.com/file/d/1U2u8UShiFtPCDGB6mvK7GObwQ6DaczD2/view?usp=sharing" TargetMode="External"/><Relationship Id="rId11830" Type="http://schemas.openxmlformats.org/officeDocument/2006/relationships/hyperlink" Target="https://www.vidio.com/live/18249-petronas-malaysia-open-2026-round-of-32-court-1?schedule_id=4831551" TargetMode="External"/><Relationship Id="rId3994" Type="http://schemas.openxmlformats.org/officeDocument/2006/relationships/hyperlink" Target="https://www.vidio.com/live/19355-bri-super-league?schedule_id=4564970" TargetMode="External"/><Relationship Id="rId6053" Type="http://schemas.openxmlformats.org/officeDocument/2006/relationships/hyperlink" Target="https://drive.google.com/file/d/1mAFdomg-dJswaukpvEiLDyibblfirAD_/view?usp=sharing" TargetMode="External"/><Relationship Id="rId7451" Type="http://schemas.openxmlformats.org/officeDocument/2006/relationships/hyperlink" Target="https://drive.google.com/drive/folders/1NepG6XT-FSa8Cs07sX3tPfQWLNpJfAxp" TargetMode="External"/><Relationship Id="rId8502" Type="http://schemas.openxmlformats.org/officeDocument/2006/relationships/hyperlink" Target="https://drive.google.com/file/d/1mgf8PeAcmaF8NSW_KUV4Zv52JIUx3l2O/view?usp=drive_link" TargetMode="External"/><Relationship Id="rId10018" Type="http://schemas.openxmlformats.org/officeDocument/2006/relationships/hyperlink" Target="https://www.vidio.com/live/6299-bein-1?schedule_id=4797277" TargetMode="External"/><Relationship Id="rId10432" Type="http://schemas.openxmlformats.org/officeDocument/2006/relationships/hyperlink" Target="https://drive.google.com/file/d/1xzwYqbbg-pLbTLn7qpsjUM5ALGSxV0Qw/view?usp=sharing" TargetMode="External"/><Relationship Id="rId2596" Type="http://schemas.openxmlformats.org/officeDocument/2006/relationships/hyperlink" Target="https://drive.google.com/drive/folders/1FRJ5EYNCKwo6K7TXyFQSRPaFlFgBJi2B?usp=drive_link" TargetMode="External"/><Relationship Id="rId3647" Type="http://schemas.openxmlformats.org/officeDocument/2006/relationships/hyperlink" Target="https://drive.google.com/drive/folders/1VAkWJWHiumkLBeIU26ccu8FDzvqzun5K?usp=drive_link" TargetMode="External"/><Relationship Id="rId7104" Type="http://schemas.openxmlformats.org/officeDocument/2006/relationships/hyperlink" Target="https://www.vidio.com/live/19543-pegadaian-championship-2025-26?schedule_id=4637938" TargetMode="External"/><Relationship Id="rId568" Type="http://schemas.openxmlformats.org/officeDocument/2006/relationships/hyperlink" Target="https://www.vidio.com/live/9182-champions-tv-5?schedule_id=4672242" TargetMode="External"/><Relationship Id="rId982" Type="http://schemas.openxmlformats.org/officeDocument/2006/relationships/hyperlink" Target="https://drive.google.com/file/d/1JTH7xNGU57vswNXPxSmxPfvrgr6FNXGA/view?usp=sharing" TargetMode="External"/><Relationship Id="rId1198" Type="http://schemas.openxmlformats.org/officeDocument/2006/relationships/hyperlink" Target="https://thumbor.prod.vidiocdn.com/nr4i9EURQYNr3pc7toGMPonycDs=/filters:quality(70)/vidio-media-production/uploads/image/source/52747/83a689.png" TargetMode="External"/><Relationship Id="rId2249" Type="http://schemas.openxmlformats.org/officeDocument/2006/relationships/hyperlink" Target="https://drive.google.com/file/d/1lOok-K6GDAx0I7J8ASI4n9SeW3kE632x/view?usp=drive_link" TargetMode="External"/><Relationship Id="rId2663" Type="http://schemas.openxmlformats.org/officeDocument/2006/relationships/hyperlink" Target="https://drive.google.com/drive/folders/1jne8p7sPc99qFJHVWdfokzQhK3t5erEM?usp=drive_link" TargetMode="External"/><Relationship Id="rId3714" Type="http://schemas.openxmlformats.org/officeDocument/2006/relationships/hyperlink" Target="https://drive.google.com/file/d/1y4wckJwdUxehdkAYgTZ9f0Xx3-1v2Xb2/view?usp=sharing" TargetMode="External"/><Relationship Id="rId6120" Type="http://schemas.openxmlformats.org/officeDocument/2006/relationships/hyperlink" Target="https://drive.google.com/drive/folders/1z0QSLmNvSJyyT8FLEYRkw6ibg9dSBAVC" TargetMode="External"/><Relationship Id="rId9276" Type="http://schemas.openxmlformats.org/officeDocument/2006/relationships/hyperlink" Target="https://www.vidio.com/live/19813-top-soccer-championship-2025-u-16?schedule_id=4709126" TargetMode="External"/><Relationship Id="rId9690" Type="http://schemas.openxmlformats.org/officeDocument/2006/relationships/hyperlink" Target="https://www.vidio.com/live/20048-fivb-volleyball-club-world-championship-2025?schedule_id=4789997" TargetMode="External"/><Relationship Id="rId12257" Type="http://schemas.openxmlformats.org/officeDocument/2006/relationships/hyperlink" Target="https://drive.google.com/file/d/17nqJ8YbOWxi4DOQmMA4_VvY1qMuE4tM4/view?usp=drive_link" TargetMode="External"/><Relationship Id="rId635" Type="http://schemas.openxmlformats.org/officeDocument/2006/relationships/hyperlink" Target="https://drive.google.com/file/d/1wUJfQSUFmTlG-QwEtsW6Ayg4WRskfwQX/view?usp=sharing" TargetMode="External"/><Relationship Id="rId1265" Type="http://schemas.openxmlformats.org/officeDocument/2006/relationships/hyperlink" Target="https://thumbor.prod.vidiocdn.com/2z3kmlm7uYIFYTqSu6mCbTgTcoA=/filters:quality(70)/vidio-media-production/uploads/image/source/52848/fd9212.png" TargetMode="External"/><Relationship Id="rId2316" Type="http://schemas.openxmlformats.org/officeDocument/2006/relationships/hyperlink" Target="https://drive.google.com/drive/folders/1aX3asrmELhjlLuRdhVpLmpF_a-3cYpX8?usp=drive_link" TargetMode="External"/><Relationship Id="rId2730" Type="http://schemas.openxmlformats.org/officeDocument/2006/relationships/hyperlink" Target="https://drive.google.com/drive/folders/1pp91uif7fsz95e7aizrncKR7752SK7xq?usp=drive_link" TargetMode="External"/><Relationship Id="rId5886" Type="http://schemas.openxmlformats.org/officeDocument/2006/relationships/hyperlink" Target="https://drive.google.com/file/d/1H9Wfb4X2X0tnvf5dltwJaMlCBRzdS1sN/view?usp=drive_link" TargetMode="External"/><Relationship Id="rId8292" Type="http://schemas.openxmlformats.org/officeDocument/2006/relationships/hyperlink" Target="https://drive.google.com/file/d/1wayhwRBCLvcU57vp3qLl1DUudbfPEngy/view?usp=sharing" TargetMode="External"/><Relationship Id="rId9343" Type="http://schemas.openxmlformats.org/officeDocument/2006/relationships/hyperlink" Target="https://drive.google.com/file/d/1Dd6e8irfDy9vKwEk3eG0OvdRXU4cj3Au/view?usp=sharing" TargetMode="External"/><Relationship Id="rId11273" Type="http://schemas.openxmlformats.org/officeDocument/2006/relationships/hyperlink" Target="https://thumbor.prod.vidiocdn.com/lu7ofyjKgcF-Rw8Y0v3m5ke4MEc=/filters:quality(70)/vidio-media-production/uploads/image/source/52454/cb4455.png" TargetMode="External"/><Relationship Id="rId702" Type="http://schemas.openxmlformats.org/officeDocument/2006/relationships/hyperlink" Target="https://www.vidio.com/live/9183-champions-tv-6?schedule_id=4707257" TargetMode="External"/><Relationship Id="rId1332" Type="http://schemas.openxmlformats.org/officeDocument/2006/relationships/hyperlink" Target="https://drive.google.com/file/d/1aSiS0uO0eMZFrRqUA_r68hr8VsxPSCjZ/view?usp=sharing" TargetMode="External"/><Relationship Id="rId4488" Type="http://schemas.openxmlformats.org/officeDocument/2006/relationships/hyperlink" Target="https://drive.google.com/file/d/13tqO4op5wMSBMASqF64XPdR018xmQ7BO/view?usp=sharing" TargetMode="External"/><Relationship Id="rId5539" Type="http://schemas.openxmlformats.org/officeDocument/2006/relationships/hyperlink" Target="https://drive.google.com/drive/folders/1vs2NPBadTfe8mkFp1C94plFN9o2qZ3M8?usp=drive_link" TargetMode="External"/><Relationship Id="rId6937" Type="http://schemas.openxmlformats.org/officeDocument/2006/relationships/hyperlink" Target="https://drive.google.com/file/d/1kX01NhZwWZm0Z1rq_v3z72S32FNiekRZ/view?usp=sharing" TargetMode="External"/><Relationship Id="rId9410" Type="http://schemas.openxmlformats.org/officeDocument/2006/relationships/hyperlink" Target="https://www.vidio.com/live/19542-pegadaian-championship-2025-26?schedule_id=4824946" TargetMode="External"/><Relationship Id="rId12324" Type="http://schemas.openxmlformats.org/officeDocument/2006/relationships/hyperlink" Target="https://www.vidio.com/live/20282?schedule_id=4833910" TargetMode="External"/><Relationship Id="rId5953" Type="http://schemas.openxmlformats.org/officeDocument/2006/relationships/hyperlink" Target="https://www.vidio.com/live/6299-bein-1?schedule_id=4733542" TargetMode="External"/><Relationship Id="rId8012" Type="http://schemas.openxmlformats.org/officeDocument/2006/relationships/hyperlink" Target="https://www.vidio.com/live/19549-pegadaian-championship-2025-26?schedule_id=4676990" TargetMode="External"/><Relationship Id="rId11340" Type="http://schemas.openxmlformats.org/officeDocument/2006/relationships/hyperlink" Target="https://drive.google.com/drive/folders/1CmjVx9pwHHQrluhX1_cgYjphiqu6SrTG" TargetMode="External"/><Relationship Id="rId3157" Type="http://schemas.openxmlformats.org/officeDocument/2006/relationships/hyperlink" Target="https://drive.google.com/file/d/1gL11lbkdshD6YmxTKllqQ32G9NaytYiq/view?usp=sharing" TargetMode="External"/><Relationship Id="rId4555" Type="http://schemas.openxmlformats.org/officeDocument/2006/relationships/hyperlink" Target="https://drive.google.com/drive/folders/1dcpxuFBvvLyW1PyerusOLpABl3gkhzEq?usp=drive_link" TargetMode="External"/><Relationship Id="rId5606" Type="http://schemas.openxmlformats.org/officeDocument/2006/relationships/hyperlink" Target="https://www.vidio.com/live/19629-uefa-europa-league?schedule_id=4610732" TargetMode="External"/><Relationship Id="rId3571" Type="http://schemas.openxmlformats.org/officeDocument/2006/relationships/hyperlink" Target="https://drive.google.com/drive/folders/19v2dPBsSFtHAlBJsw9MNUpM5G4iXCEDX" TargetMode="External"/><Relationship Id="rId4208" Type="http://schemas.openxmlformats.org/officeDocument/2006/relationships/hyperlink" Target="https://drive.google.com/drive/folders/1N3nsS8GnfEtxDnmlameVzBvyMQKvaQvu?usp=drive_link" TargetMode="External"/><Relationship Id="rId4622" Type="http://schemas.openxmlformats.org/officeDocument/2006/relationships/hyperlink" Target="https://drive.google.com/file/d/1YxKLnfIj8eGfVtOBuff6v4hmfFvMQe90/view?usp=sharing" TargetMode="External"/><Relationship Id="rId7778" Type="http://schemas.openxmlformats.org/officeDocument/2006/relationships/hyperlink" Target="https://drive.google.com/file/d/1rM_yQ0BIo2ha-oSyof3k4mPnICx2qwv1/view?usp=drive_link" TargetMode="External"/><Relationship Id="rId8829" Type="http://schemas.openxmlformats.org/officeDocument/2006/relationships/hyperlink" Target="https://drive.google.com/drive/folders/1ykj1EUyteVRtDkupDIyYDBnCw5NYTOcH?usp=drive_link" TargetMode="External"/><Relationship Id="rId10759" Type="http://schemas.openxmlformats.org/officeDocument/2006/relationships/hyperlink" Target="https://thumbor.prod.vidiocdn.com/JWT2bSreEg8ev1BTmph5Ahne05o=/filters:quality(70)/vidio-media-production/uploads/image/source/52073/22b860.png" TargetMode="External"/><Relationship Id="rId492" Type="http://schemas.openxmlformats.org/officeDocument/2006/relationships/hyperlink" Target="https://drive.google.com/file/d/1zW90DhMkdSRjbu4LRyLDJ0YBvU3MLWwE/view?usp=sharing" TargetMode="External"/><Relationship Id="rId2173" Type="http://schemas.openxmlformats.org/officeDocument/2006/relationships/hyperlink" Target="https://drive.google.com/file/d/158MSow8QmrD-o8RW21ybDdrZTSEJm48c/view?usp=sharing" TargetMode="External"/><Relationship Id="rId3224" Type="http://schemas.openxmlformats.org/officeDocument/2006/relationships/hyperlink" Target="https://drive.google.com/drive/folders/1v9b2Mn25dcpw5z70REcCen6bfmQ87OLC" TargetMode="External"/><Relationship Id="rId6794" Type="http://schemas.openxmlformats.org/officeDocument/2006/relationships/hyperlink" Target="https://drive.google.com/drive/folders/1ucNoaH6qaYCBmETyhLgQ5RaF6B8eqX2W?usp=drive_link" TargetMode="External"/><Relationship Id="rId7845" Type="http://schemas.openxmlformats.org/officeDocument/2006/relationships/hyperlink" Target="https://drive.google.com/drive/folders/1CaS03d4H7rjVWZiucVeDcy6jZWoGGaJS?usp=sharing" TargetMode="External"/><Relationship Id="rId12181" Type="http://schemas.openxmlformats.org/officeDocument/2006/relationships/hyperlink" Target="https://drive.google.com/file/d/17nqJ8YbOWxi4DOQmMA4_VvY1qMuE4tM4/view?usp=drive_link" TargetMode="External"/><Relationship Id="rId145" Type="http://schemas.openxmlformats.org/officeDocument/2006/relationships/hyperlink" Target="https://drive.google.com/file/d/1SDS75hZeTbFUIXx0iKsSSS9saOKvKTNb/view?usp=sharing" TargetMode="External"/><Relationship Id="rId2240" Type="http://schemas.openxmlformats.org/officeDocument/2006/relationships/hyperlink" Target="https://www.vidio.com/live/6317-bein-3?schedule_id=4499134" TargetMode="External"/><Relationship Id="rId5396" Type="http://schemas.openxmlformats.org/officeDocument/2006/relationships/hyperlink" Target="https://drive.google.com/file/d/1bx4sRNdbBtnfXA21W9-UHjgWS_Zm-puL/view?usp=sharing" TargetMode="External"/><Relationship Id="rId6447" Type="http://schemas.openxmlformats.org/officeDocument/2006/relationships/hyperlink" Target="https://www.vidio.com/live/19644-uefa-conference-league?schedule_id=4734908" TargetMode="External"/><Relationship Id="rId6861" Type="http://schemas.openxmlformats.org/officeDocument/2006/relationships/hyperlink" Target="https://www.vidio.com/live/6299-bein-1?schedule_id=4574256" TargetMode="External"/><Relationship Id="rId10826" Type="http://schemas.openxmlformats.org/officeDocument/2006/relationships/hyperlink" Target="https://www.vidio.com/live/18250-hsbc-bwf-world-tour-finals-2025-group-stage-court-2?schedule_id=4782287" TargetMode="External"/><Relationship Id="rId212" Type="http://schemas.openxmlformats.org/officeDocument/2006/relationships/hyperlink" Target="https://drive.google.com/file/d/1rzqHEr24Z8HStPEs1URIw1G71JMQfclO/view?usp=drive_link" TargetMode="External"/><Relationship Id="rId5049" Type="http://schemas.openxmlformats.org/officeDocument/2006/relationships/hyperlink" Target="https://www.vidio.com/live/6317-bein-3?schedule_id=4606950" TargetMode="External"/><Relationship Id="rId5463" Type="http://schemas.openxmlformats.org/officeDocument/2006/relationships/hyperlink" Target="https://drive.google.com/file/d/1OXhBA_rRblmzwt7NK-BZyKgym5YPlliW/view?usp=sharing" TargetMode="External"/><Relationship Id="rId6514" Type="http://schemas.openxmlformats.org/officeDocument/2006/relationships/hyperlink" Target="https://www.vidio.com/live/17875-bein-2?schedule_id=4771668" TargetMode="External"/><Relationship Id="rId7912" Type="http://schemas.openxmlformats.org/officeDocument/2006/relationships/hyperlink" Target="https://drive.google.com/drive/folders/1wxQvc-ABO_xLU_u7jmCqhM1N6gMLRgwl?usp=drive_link" TargetMode="External"/><Relationship Id="rId4065" Type="http://schemas.openxmlformats.org/officeDocument/2006/relationships/hyperlink" Target="https://drive.google.com/file/d/1SklU0ob9g2bwXs-97xbYF83yRE8doF_j/view?usp=drive_link" TargetMode="External"/><Relationship Id="rId5116" Type="http://schemas.openxmlformats.org/officeDocument/2006/relationships/hyperlink" Target="https://www.vidio.com/live/18304-uefa-champions-league?schedule_id=4663726" TargetMode="External"/><Relationship Id="rId1659" Type="http://schemas.openxmlformats.org/officeDocument/2006/relationships/hyperlink" Target="https://drive.google.com/drive/folders/1aniL7gVroEo_QxArJo8LCjVINZryn3Cf?usp=drive_link" TargetMode="External"/><Relationship Id="rId3081" Type="http://schemas.openxmlformats.org/officeDocument/2006/relationships/hyperlink" Target="https://drive.google.com/file/d/1L091O4_-fM-iO_AzxHwergzMOrSi_DBi/view?usp=sharing" TargetMode="External"/><Relationship Id="rId4132" Type="http://schemas.openxmlformats.org/officeDocument/2006/relationships/hyperlink" Target="https://www.vidio.com/live/19404-serie-a?schedule_id=4602001" TargetMode="External"/><Relationship Id="rId5530" Type="http://schemas.openxmlformats.org/officeDocument/2006/relationships/hyperlink" Target="https://drive.google.com/file/d/1R-048SS_PvsFC1_eukuZqm-Gs2Kd5ZZg/view?usp=sharing" TargetMode="External"/><Relationship Id="rId7288" Type="http://schemas.openxmlformats.org/officeDocument/2006/relationships/hyperlink" Target="https://drive.google.com/drive/folders/1LiqE1rSncMJjnxCNuQI_mD7A8eO4Lsag?usp=drive_link" TargetMode="External"/><Relationship Id="rId8686" Type="http://schemas.openxmlformats.org/officeDocument/2006/relationships/hyperlink" Target="https://www.vidio.com/live/19548-national-football-league-2025-26?schedule_id=4690715" TargetMode="External"/><Relationship Id="rId9737" Type="http://schemas.openxmlformats.org/officeDocument/2006/relationships/hyperlink" Target="https://thumbor.prod.vidiocdn.com/4QyXMyGSnM3W8sY8so9s54MbziY=/filters:quality(70)/vidio-media-production/uploads/image/source/51589/237630.png" TargetMode="External"/><Relationship Id="rId11667" Type="http://schemas.openxmlformats.org/officeDocument/2006/relationships/hyperlink" Target="https://drive.google.com/drive/folders/1wVFFdNmnrnRZwDP1FgKAoxuON7DHLnN3" TargetMode="External"/><Relationship Id="rId1726" Type="http://schemas.openxmlformats.org/officeDocument/2006/relationships/hyperlink" Target="https://drive.google.com/drive/folders/1ujHQ4IbEycIeBiEJ6y7l69KXrMGhTzie" TargetMode="External"/><Relationship Id="rId8339" Type="http://schemas.openxmlformats.org/officeDocument/2006/relationships/hyperlink" Target="https://drive.google.com/file/d/1zcXSX7Ok_7ITaOtKkHMJFqPOBPxQWlmQ/view?usp=sharing" TargetMode="External"/><Relationship Id="rId8753" Type="http://schemas.openxmlformats.org/officeDocument/2006/relationships/hyperlink" Target="https://drive.google.com/drive/folders/1tsqmnQzM2-0kzS7jYugbeKAXw542J_ka" TargetMode="External"/><Relationship Id="rId9804" Type="http://schemas.openxmlformats.org/officeDocument/2006/relationships/hyperlink" Target="https://drive.google.com/file/d/1bGAtWdCSL-v2iZg1GvRoYwXZwXVqVH3x/view" TargetMode="External"/><Relationship Id="rId10269" Type="http://schemas.openxmlformats.org/officeDocument/2006/relationships/hyperlink" Target="https://drive.google.com/file/d/1bGAtWdCSL-v2iZg1GvRoYwXZwXVqVH3x/view?usp=drivesdk" TargetMode="External"/><Relationship Id="rId10683" Type="http://schemas.openxmlformats.org/officeDocument/2006/relationships/hyperlink" Target="https://drive.google.com/drive/folders/11ugCu5VhRaXAt1n4BhiTlupI_oYA8d3P?usp=drive_link" TargetMode="External"/><Relationship Id="rId11734" Type="http://schemas.openxmlformats.org/officeDocument/2006/relationships/hyperlink" Target="https://drive.google.com/drive/folders/1y_Ugo-fLuJ3I6gd2fEhcFUnYIrHGwHAG?usp=drive_link" TargetMode="External"/><Relationship Id="rId18" Type="http://schemas.openxmlformats.org/officeDocument/2006/relationships/hyperlink" Target="https://drive.google.com/file/d/1eOfv0QppiSVpEbyy9xEDp4f_B53pIMmB/view?usp=sharing" TargetMode="External"/><Relationship Id="rId3898" Type="http://schemas.openxmlformats.org/officeDocument/2006/relationships/hyperlink" Target="https://drive.google.com/file/d/1u-F2YX6s7Lb61QW918jadySvXkrVVnf3/view?usp=sharing" TargetMode="External"/><Relationship Id="rId4949" Type="http://schemas.openxmlformats.org/officeDocument/2006/relationships/hyperlink" Target="https://3.basecamp.com/4902751/buckets/36763424/card_tables/cards/9025503651" TargetMode="External"/><Relationship Id="rId7355" Type="http://schemas.openxmlformats.org/officeDocument/2006/relationships/hyperlink" Target="https://drive.google.com/file/d/1uOkJjja2JxqCFeb3W48iopGwIhdNVD-I/view?usp=sharing" TargetMode="External"/><Relationship Id="rId8406" Type="http://schemas.openxmlformats.org/officeDocument/2006/relationships/hyperlink" Target="https://drive.google.com/file/d/1BE9HE92VzwhovndsB0SKe4syCwVEfhHT/view?usp=sharing" TargetMode="External"/><Relationship Id="rId8820" Type="http://schemas.openxmlformats.org/officeDocument/2006/relationships/hyperlink" Target="https://drive.google.com/drive/folders/1jnPtEFoItuGBNqN4PQqbKsrtrVDFZKmb?usp=drive_link" TargetMode="External"/><Relationship Id="rId10336" Type="http://schemas.openxmlformats.org/officeDocument/2006/relationships/hyperlink" Target="https://drive.google.com/file/d/1vSujjxl1DqBd-hytOhw51ET3ODXfYICA/view?usp=sharing" TargetMode="External"/><Relationship Id="rId3965" Type="http://schemas.openxmlformats.org/officeDocument/2006/relationships/hyperlink" Target="https://www.vidio.com/live/19472?schedule_id=4534253" TargetMode="External"/><Relationship Id="rId6371" Type="http://schemas.openxmlformats.org/officeDocument/2006/relationships/hyperlink" Target="https://www.vidio.com/live/19646-uefa-conference-league?schedule_id=4700070" TargetMode="External"/><Relationship Id="rId7008" Type="http://schemas.openxmlformats.org/officeDocument/2006/relationships/hyperlink" Target="https://www.vidio.com/live/19542-pegadaian-championship-2025-26?schedule_id=4626330" TargetMode="External"/><Relationship Id="rId7422" Type="http://schemas.openxmlformats.org/officeDocument/2006/relationships/hyperlink" Target="https://drive.google.com/file/d/1W-ZBXwKPEhDHYToYWUHF4McmiNY52ZtC/view?usp=sharing" TargetMode="External"/><Relationship Id="rId10750" Type="http://schemas.openxmlformats.org/officeDocument/2006/relationships/hyperlink" Target="https://drive.google.com/file/d/12yaJn0EFBPUais_trR4bqEemxOqbWZTB/view?usp=sharing" TargetMode="External"/><Relationship Id="rId11801" Type="http://schemas.openxmlformats.org/officeDocument/2006/relationships/hyperlink" Target="https://drive.google.com/drive/folders/1hUhPcCai5TdvrkD3vTkmYAVBj-YeV85B?usp=drive_link" TargetMode="External"/><Relationship Id="rId886" Type="http://schemas.openxmlformats.org/officeDocument/2006/relationships/hyperlink" Target="https://drive.google.com/file/d/1QMx2mDKM-m6gSZznx1Y-GLNHPZrKPgSh/view?usp=sharing" TargetMode="External"/><Relationship Id="rId2567" Type="http://schemas.openxmlformats.org/officeDocument/2006/relationships/hyperlink" Target="https://drive.google.com/drive/folders/1ND6PXst2bhNhc1OxwBdXRxVFVIhFpi7z?usp=drive_link" TargetMode="External"/><Relationship Id="rId3618" Type="http://schemas.openxmlformats.org/officeDocument/2006/relationships/hyperlink" Target="https://drive.google.com/file/d/1vaUJNidO_I68DBLUsZHmIgDaWiEjDv0J/view?usp=sharing" TargetMode="External"/><Relationship Id="rId6024" Type="http://schemas.openxmlformats.org/officeDocument/2006/relationships/hyperlink" Target="https://drive.google.com/file/d/1-UZlnov4Eo-P8cjf0YmGl2NOl42fR6G3/view?usp=sharing" TargetMode="External"/><Relationship Id="rId9594" Type="http://schemas.openxmlformats.org/officeDocument/2006/relationships/hyperlink" Target="https://drive.google.com/file/d/1TaDpjtCEfbKuoiAJ0_zMMzmH9yCjWhqv/view?usp=sharing" TargetMode="External"/><Relationship Id="rId10403" Type="http://schemas.openxmlformats.org/officeDocument/2006/relationships/hyperlink" Target="https://drive.google.com/file/d/1BWYITEdYTaDGfTIuHQ2ikgIBHYcz7Dvi/view?usp=sharing" TargetMode="External"/><Relationship Id="rId2" Type="http://schemas.openxmlformats.org/officeDocument/2006/relationships/hyperlink" Target="https://drive.google.com/drive/folders/1DUdtkLNpEeAmiwMjMVyoJ5qSPRFBQapG" TargetMode="External"/><Relationship Id="rId539" Type="http://schemas.openxmlformats.org/officeDocument/2006/relationships/hyperlink" Target="https://drive.google.com/file/d/1XlDar2Jmye6AeLJACUaW-2U8md4YYRTT/view?usp=sharing" TargetMode="External"/><Relationship Id="rId1169" Type="http://schemas.openxmlformats.org/officeDocument/2006/relationships/hyperlink" Target="https://drive.google.com/file/d/1cs-unz005vDeWLd7ztlFJBI_vmWEhYYO/view?usp=sharing" TargetMode="External"/><Relationship Id="rId1583" Type="http://schemas.openxmlformats.org/officeDocument/2006/relationships/hyperlink" Target="https://drive.google.com/file/d/1wFR0Tj4hFlHeyrYeU_-1Ln3HOvnmqQ-f/view?usp=drive_link" TargetMode="External"/><Relationship Id="rId2981" Type="http://schemas.openxmlformats.org/officeDocument/2006/relationships/hyperlink" Target="https://www.vidio.com/live/17875-bein-2?schedule_id=4736025" TargetMode="External"/><Relationship Id="rId5040" Type="http://schemas.openxmlformats.org/officeDocument/2006/relationships/hyperlink" Target="https://drive.google.com/file/d/1p2iLMSLnmh2XLpo-eWHR02FOQcCUS0AW/view?usp=sharing" TargetMode="External"/><Relationship Id="rId8196" Type="http://schemas.openxmlformats.org/officeDocument/2006/relationships/hyperlink" Target="https://drive.google.com/file/d/1NH0Tvbz7GfREGMD7JhE1HondbyOzBSi9/view?usp=sharing" TargetMode="External"/><Relationship Id="rId9247" Type="http://schemas.openxmlformats.org/officeDocument/2006/relationships/hyperlink" Target="https://drive.google.com/file/d/1bGAtWdCSL-v2iZg1GvRoYwXZwXVqVH3x/view?usp=drive_link" TargetMode="External"/><Relationship Id="rId953" Type="http://schemas.openxmlformats.org/officeDocument/2006/relationships/hyperlink" Target="https://drive.google.com/file/d/1A91282rHQ-owGUqDPd4dzJB5xEzuwwj7/view?usp=sharing" TargetMode="External"/><Relationship Id="rId1236" Type="http://schemas.openxmlformats.org/officeDocument/2006/relationships/hyperlink" Target="https://drive.google.com/file/d/1ZIAnbSDfTjrRhFRHMbAWpIFEXrxZPgaX/view?usp=sharing" TargetMode="External"/><Relationship Id="rId2634" Type="http://schemas.openxmlformats.org/officeDocument/2006/relationships/hyperlink" Target="https://drive.google.com/drive/folders/1Tzim0QCsSKyaOZMi_dlvIlpQTxEMjp51?usp=drive_link" TargetMode="External"/><Relationship Id="rId8263" Type="http://schemas.openxmlformats.org/officeDocument/2006/relationships/hyperlink" Target="https://drive.google.com/drive/folders/1NepG6XT-FSa8Cs07sX3tPfQWLNpJfAxp" TargetMode="External"/><Relationship Id="rId9661" Type="http://schemas.openxmlformats.org/officeDocument/2006/relationships/hyperlink" Target="https://drive.google.com/file/d/1AHVIruvraepByB6lUC2PehtfmmEKpCpU/view?usp=sharing" TargetMode="External"/><Relationship Id="rId11177" Type="http://schemas.openxmlformats.org/officeDocument/2006/relationships/hyperlink" Target="https://drive.google.com/file/d/16gWPIv2lV4jExFGUliSFDO0J34b5V9-n/view?usp=sharing" TargetMode="External"/><Relationship Id="rId11591" Type="http://schemas.openxmlformats.org/officeDocument/2006/relationships/hyperlink" Target="https://drive.google.com/drive/folders/1pspI-7-iXqj2cuT-RWsKMIWZPH79Lld_" TargetMode="External"/><Relationship Id="rId12228" Type="http://schemas.openxmlformats.org/officeDocument/2006/relationships/hyperlink" Target="https://drive.google.com/file/d/17nqJ8YbOWxi4DOQmMA4_VvY1qMuE4tM4/view?usp=sharing" TargetMode="External"/><Relationship Id="rId606" Type="http://schemas.openxmlformats.org/officeDocument/2006/relationships/hyperlink" Target="https://www.vidio.com/live/18796-premier-league?schedule_id=4684492" TargetMode="External"/><Relationship Id="rId1650" Type="http://schemas.openxmlformats.org/officeDocument/2006/relationships/hyperlink" Target="https://drive.google.com/file/d/14FYOcoRa_27EZSFGtkeD4OoT0i_33dxf/view?usp=drive_link" TargetMode="External"/><Relationship Id="rId2701" Type="http://schemas.openxmlformats.org/officeDocument/2006/relationships/hyperlink" Target="https://drive.google.com/drive/folders/1O1E44x1vbPwwwj0gqmae9XV64wBjjwud?usp=drive_link" TargetMode="External"/><Relationship Id="rId5857" Type="http://schemas.openxmlformats.org/officeDocument/2006/relationships/hyperlink" Target="https://drive.google.com/file/d/10UmFI8RTYIYi0HLShkQGRC9fAWUtWh79/view?usp=sharing" TargetMode="External"/><Relationship Id="rId6908" Type="http://schemas.openxmlformats.org/officeDocument/2006/relationships/hyperlink" Target="https://drive.google.com/file/d/12eP0NvRFSqdHOKjwUXLRN8zlGNr0sK1X/view?usp=drive_link" TargetMode="External"/><Relationship Id="rId9314" Type="http://schemas.openxmlformats.org/officeDocument/2006/relationships/hyperlink" Target="https://drive.google.com/drive/folders/1G7aUNhGHRIH2LkcTV3UJw-Il7DYrUFDZ?usp=drive_link" TargetMode="External"/><Relationship Id="rId10193" Type="http://schemas.openxmlformats.org/officeDocument/2006/relationships/hyperlink" Target="https://drive.google.com/drive/folders/13EQXLtOLNt7QqGleJJTJMd8soizZfS8a?usp=drive_link" TargetMode="External"/><Relationship Id="rId11244" Type="http://schemas.openxmlformats.org/officeDocument/2006/relationships/hyperlink" Target="https://drive.google.com/file/d/127FuEVcf1qQwqtsHanmm4o3KSWYLazwq/view?usp=sharing" TargetMode="External"/><Relationship Id="rId1303" Type="http://schemas.openxmlformats.org/officeDocument/2006/relationships/hyperlink" Target="https://drive.google.com/file/d/1Miv6MWWZkb-yFENpjtOfW5B1zmPBfRMt/view?usp=sharing" TargetMode="External"/><Relationship Id="rId4459" Type="http://schemas.openxmlformats.org/officeDocument/2006/relationships/hyperlink" Target="https://drive.google.com/drive/folders/1sc5pyjqdg0ROtXiErGYSfZh6JM35eQgA?usp=drive_link" TargetMode="External"/><Relationship Id="rId4873" Type="http://schemas.openxmlformats.org/officeDocument/2006/relationships/hyperlink" Target="https://www.vidio.com/live/19404-serie-a?schedule_id=4827703" TargetMode="External"/><Relationship Id="rId5924" Type="http://schemas.openxmlformats.org/officeDocument/2006/relationships/hyperlink" Target="https://drive.google.com/file/d/1rl3x3QQDOs1j6F3FUeIwybMfi3jVxgIR/view?usp=sharing" TargetMode="External"/><Relationship Id="rId8330" Type="http://schemas.openxmlformats.org/officeDocument/2006/relationships/hyperlink" Target="https://drive.google.com/drive/folders/1AiSw0Qh3t20gjozRXXjziHa1WHof-ue4?usp=drive_link" TargetMode="External"/><Relationship Id="rId10260" Type="http://schemas.openxmlformats.org/officeDocument/2006/relationships/hyperlink" Target="https://drive.google.com/file/d/1oHaheBq4wrYXw7-V-SWGn0l6TBWAbBzX/view?usp=sharing" TargetMode="External"/><Relationship Id="rId11311" Type="http://schemas.openxmlformats.org/officeDocument/2006/relationships/hyperlink" Target="https://drive.google.com/file/d/1vyKPpSqyyMenUnQJ7BpH6XCNSAxTTOt8/view?usp=sharing" TargetMode="External"/><Relationship Id="rId3475" Type="http://schemas.openxmlformats.org/officeDocument/2006/relationships/hyperlink" Target="https://drive.google.com/file/d/10egJPExncTTTpvsjBn48s350mqw2GgsA/view?usp=sharing" TargetMode="External"/><Relationship Id="rId4526" Type="http://schemas.openxmlformats.org/officeDocument/2006/relationships/hyperlink" Target="https://www.vidio.com/live/19404-serie-a?schedule_id=4728934" TargetMode="External"/><Relationship Id="rId4940" Type="http://schemas.openxmlformats.org/officeDocument/2006/relationships/hyperlink" Target="https://www.vidio.com/live/18305-uefa-champions-league?schedule_id=4569130" TargetMode="External"/><Relationship Id="rId396" Type="http://schemas.openxmlformats.org/officeDocument/2006/relationships/hyperlink" Target="https://drive.google.com/file/d/1jhfwlcJgJT-16jVZ9d9P4VLGJYOQbm5B/view?usp=sharing" TargetMode="External"/><Relationship Id="rId2077" Type="http://schemas.openxmlformats.org/officeDocument/2006/relationships/hyperlink" Target="https://drive.google.com/file/d/1OzV8G6jdzriY32nF2DYia-pSOzmrbSF2/view?usp=sharing" TargetMode="External"/><Relationship Id="rId2491" Type="http://schemas.openxmlformats.org/officeDocument/2006/relationships/hyperlink" Target="https://www.vidio.com/live/6299-bein-1?schedule_id=4577357" TargetMode="External"/><Relationship Id="rId3128" Type="http://schemas.openxmlformats.org/officeDocument/2006/relationships/hyperlink" Target="https://thumbor.prod.vidiocdn.com/uVMQFrByCluFMV3ICI06Kz3nwx8=/filters:quality(70)/vidio-media-production/uploads/image/source/51753/fa8a77.png" TargetMode="External"/><Relationship Id="rId3542" Type="http://schemas.openxmlformats.org/officeDocument/2006/relationships/hyperlink" Target="https://drive.google.com/file/d/1I774-MACZ9rbvSJyPDl4JzuWvrrCPrKZ/view?usp=drive_link" TargetMode="External"/><Relationship Id="rId6698" Type="http://schemas.openxmlformats.org/officeDocument/2006/relationships/hyperlink" Target="https://drive.google.com/file/d/1jnD1RxWreZT2fU5L8luinwWz8aCQBMCZ/view?usp=drive_link" TargetMode="External"/><Relationship Id="rId7749" Type="http://schemas.openxmlformats.org/officeDocument/2006/relationships/hyperlink" Target="https://drive.google.com/drive/folders/1-d7SElccr2N6xnWCuYB7bicvICq7mohq?usp=drive_link" TargetMode="External"/><Relationship Id="rId12085" Type="http://schemas.openxmlformats.org/officeDocument/2006/relationships/hyperlink" Target="https://drive.google.com/file/d/1khQrXXQF4DXWbEvpQ5PrFElQfRn5_sMl/view?usp=sharing" TargetMode="External"/><Relationship Id="rId463" Type="http://schemas.openxmlformats.org/officeDocument/2006/relationships/hyperlink" Target="https://drive.google.com/file/d/1wVqIg0nI9CsqyvyJCVYB4d-3SahhcXxi/view?usp=sharing" TargetMode="External"/><Relationship Id="rId1093" Type="http://schemas.openxmlformats.org/officeDocument/2006/relationships/hyperlink" Target="https://www.vidio.com/live/9182-champions-tv-5?schedule_id=4793085" TargetMode="External"/><Relationship Id="rId2144" Type="http://schemas.openxmlformats.org/officeDocument/2006/relationships/hyperlink" Target="https://drive.google.com/file/d/1vh2C2M5jNrSGDRpHkV5xNL42EAMPCful/view?usp=sharing" TargetMode="External"/><Relationship Id="rId9171" Type="http://schemas.openxmlformats.org/officeDocument/2006/relationships/hyperlink" Target="https://www.vidio.com/live/19802-top-youth-premier-league-2025-matchday-10?schedule_id=4709319" TargetMode="External"/><Relationship Id="rId116" Type="http://schemas.openxmlformats.org/officeDocument/2006/relationships/hyperlink" Target="https://drive.google.com/file/d/1zKp7zw5GsjIORLTRUY_bhUetGEbpdnh1/view?usp=drive_link" TargetMode="External"/><Relationship Id="rId530" Type="http://schemas.openxmlformats.org/officeDocument/2006/relationships/hyperlink" Target="https://www.vidio.com/live/18796-premier-league?schedule_id=4653370" TargetMode="External"/><Relationship Id="rId1160" Type="http://schemas.openxmlformats.org/officeDocument/2006/relationships/hyperlink" Target="https://www.vidio.com/live/9183-champions-tv-6?schedule_id=4802192" TargetMode="External"/><Relationship Id="rId2211" Type="http://schemas.openxmlformats.org/officeDocument/2006/relationships/hyperlink" Target="https://drive.google.com/file/d/1yb-w8cKoW973h0GggQEVP0XR-ASs3OUc/view?usp=sharing" TargetMode="External"/><Relationship Id="rId5367" Type="http://schemas.openxmlformats.org/officeDocument/2006/relationships/hyperlink" Target="https://drive.google.com/file/d/1kasW6CGfxdx5Y9cn5YaO3F1Aiem5nLa8/view?usp=sharing" TargetMode="External"/><Relationship Id="rId6765" Type="http://schemas.openxmlformats.org/officeDocument/2006/relationships/hyperlink" Target="https://www.vidio.com/live/19519?schedule_id=4553307" TargetMode="External"/><Relationship Id="rId7816" Type="http://schemas.openxmlformats.org/officeDocument/2006/relationships/hyperlink" Target="https://drive.google.com/drive/folders/1rRfiKKJ3PS3ezDGucrqT5TAQLFq1sPGz?usp=drive_link" TargetMode="External"/><Relationship Id="rId12152" Type="http://schemas.openxmlformats.org/officeDocument/2006/relationships/hyperlink" Target="https://drive.google.com/file/d/17nqJ8YbOWxi4DOQmMA4_VvY1qMuE4tM4/view?usp=drive_link" TargetMode="External"/><Relationship Id="rId5781" Type="http://schemas.openxmlformats.org/officeDocument/2006/relationships/hyperlink" Target="https://www.vidio.com/live/19631-uefa-europa-league?schedule_id=4701940" TargetMode="External"/><Relationship Id="rId6418" Type="http://schemas.openxmlformats.org/officeDocument/2006/relationships/hyperlink" Target="https://drive.google.com/drive/folders/1F9lLmIvT4-3oh_Jbh-sne-zsyB6ey7v0" TargetMode="External"/><Relationship Id="rId6832" Type="http://schemas.openxmlformats.org/officeDocument/2006/relationships/hyperlink" Target="https://drive.google.com/file/d/1vcw68LNFkCcy4ixPBZO32QalT-Q6T3tL/view?usp=drive_link" TargetMode="External"/><Relationship Id="rId9988" Type="http://schemas.openxmlformats.org/officeDocument/2006/relationships/hyperlink" Target="https://drive.google.com/file/d/14rDjqDnOIpb1oX_DJTEYdo2y1LtOV68-/view?usp=sharing" TargetMode="External"/><Relationship Id="rId1977" Type="http://schemas.openxmlformats.org/officeDocument/2006/relationships/hyperlink" Target="https://drive.google.com/file/d/14f2kcHwr33jy3o7lClec73JZOtHbfz6v/view?usp=sharing" TargetMode="External"/><Relationship Id="rId4383" Type="http://schemas.openxmlformats.org/officeDocument/2006/relationships/hyperlink" Target="https://drive.google.com/file/d/14sgHb93-vqk_xnUpaU7ZFJHGf0VZ6nNK/view?usp=sharing" TargetMode="External"/><Relationship Id="rId5434" Type="http://schemas.openxmlformats.org/officeDocument/2006/relationships/hyperlink" Target="https://drive.google.com/file/d/1BdGjJMrH0T8c7BXhFWBUc6OFzkJe75LF/view?usp=sharing" TargetMode="External"/><Relationship Id="rId4036" Type="http://schemas.openxmlformats.org/officeDocument/2006/relationships/hyperlink" Target="https://drive.google.com/file/d/1ogPbQH1tRktvSS2KgUL4HMAxaagGbK1C/view?usp=sharing" TargetMode="External"/><Relationship Id="rId4450" Type="http://schemas.openxmlformats.org/officeDocument/2006/relationships/hyperlink" Target="https://drive.google.com/drive/folders/1fO9bVAQv8x3cAQdu0pOfnPgk3Vr_tSlW?usp=drive_link" TargetMode="External"/><Relationship Id="rId5501" Type="http://schemas.openxmlformats.org/officeDocument/2006/relationships/hyperlink" Target="https://www.vidio.com/live/6299-bein-1?schedule_id=4591197" TargetMode="External"/><Relationship Id="rId8657" Type="http://schemas.openxmlformats.org/officeDocument/2006/relationships/hyperlink" Target="https://drive.google.com/drive/folders/1rl5FGcq4AJPO8LOU0ioroZMKuxSSq8pn?usp=drive_link" TargetMode="External"/><Relationship Id="rId9708" Type="http://schemas.openxmlformats.org/officeDocument/2006/relationships/hyperlink" Target="https://www.vidio.com/live/16890-one-championship?schedule_id=4783282" TargetMode="External"/><Relationship Id="rId10587" Type="http://schemas.openxmlformats.org/officeDocument/2006/relationships/hyperlink" Target="https://drive.google.com/drive/folders/1UuH17m2SjDFKwwVAtFqlSvPeBIXur4tN?usp=drive_link" TargetMode="External"/><Relationship Id="rId11638" Type="http://schemas.openxmlformats.org/officeDocument/2006/relationships/hyperlink" Target="https://drive.google.com/drive/folders/1ItwonWlOEnV5LT4r9M5CG5pwSlf5Qoeo" TargetMode="External"/><Relationship Id="rId11985" Type="http://schemas.openxmlformats.org/officeDocument/2006/relationships/hyperlink" Target="https://drive.google.com/file/d/12WuJqznomMa-6-tKLNxnxtXrD5E5UqCg/view?usp=sharing" TargetMode="External"/><Relationship Id="rId3052" Type="http://schemas.openxmlformats.org/officeDocument/2006/relationships/hyperlink" Target="https://drive.google.com/file/d/1h8SQn5v27tPOLzZwp8V9CnwuYm0B4HrF/view?usp=sharing" TargetMode="External"/><Relationship Id="rId4103" Type="http://schemas.openxmlformats.org/officeDocument/2006/relationships/hyperlink" Target="https://drive.google.com/drive/folders/1tNLsFSYU66pDaEtTeaKJGUwFR-7S0dtZ?usp=drive_link" TargetMode="External"/><Relationship Id="rId7259" Type="http://schemas.openxmlformats.org/officeDocument/2006/relationships/hyperlink" Target="https://drive.google.com/file/d/1NiYob0-znlcFaFtbPP7nJAAzdl23AQoT/view?usp=sharing" TargetMode="External"/><Relationship Id="rId7673" Type="http://schemas.openxmlformats.org/officeDocument/2006/relationships/hyperlink" Target="https://drive.google.com/file/d/17__UtT_RdmoVhe1KqApUxIslJPsMiBdr/view?usp=sharing" TargetMode="External"/><Relationship Id="rId8724" Type="http://schemas.openxmlformats.org/officeDocument/2006/relationships/hyperlink" Target="https://drive.google.com/file/d/1DNux4glLBnqI-DzUHKvsJVIQIe0fQ_QF/view?usp=sharing" TargetMode="External"/><Relationship Id="rId6275" Type="http://schemas.openxmlformats.org/officeDocument/2006/relationships/hyperlink" Target="https://www.vidio.com/live/19736-uefa-conference-league?schedule_id=4667494" TargetMode="External"/><Relationship Id="rId7326" Type="http://schemas.openxmlformats.org/officeDocument/2006/relationships/hyperlink" Target="https://www.vidio.com/live/6317-bein-3?schedule_id=4599344" TargetMode="External"/><Relationship Id="rId10654" Type="http://schemas.openxmlformats.org/officeDocument/2006/relationships/hyperlink" Target="https://drive.google.com/drive/folders/1XfRGUjCbGSoJoUR9jZTFSxhFFhs2B_B2" TargetMode="External"/><Relationship Id="rId11705" Type="http://schemas.openxmlformats.org/officeDocument/2006/relationships/hyperlink" Target="https://drive.google.com/drive/folders/1y_mGPCoON9jW62Lb8x5K2d_YVzyt7dym" TargetMode="External"/><Relationship Id="rId3869" Type="http://schemas.openxmlformats.org/officeDocument/2006/relationships/hyperlink" Target="https://thumbor.prod.vidiocdn.com/Pu_8U5shI8AqKKPOtmfKjD4G5QU=/filters:quality(70)/vidio-media-production/uploads/image/source/52323/f16654.png" TargetMode="External"/><Relationship Id="rId5291" Type="http://schemas.openxmlformats.org/officeDocument/2006/relationships/hyperlink" Target="https://drive.google.com/drive/folders/1UJh6Ohrk8ICltqRuS2ZUbx-5nOk1lSCs" TargetMode="External"/><Relationship Id="rId6342" Type="http://schemas.openxmlformats.org/officeDocument/2006/relationships/hyperlink" Target="https://drive.google.com/drive/folders/1_QyyUC0KxsA5I5XnGSR_moWG1pYIaeRU" TargetMode="External"/><Relationship Id="rId7740" Type="http://schemas.openxmlformats.org/officeDocument/2006/relationships/hyperlink" Target="https://drive.google.com/file/d/17k7AU_ai7qNXYuAHbLFs4Ovs3XflQs5A/view?usp=sharing" TargetMode="External"/><Relationship Id="rId9498" Type="http://schemas.openxmlformats.org/officeDocument/2006/relationships/hyperlink" Target="https://drive.google.com/file/d/1Hq3WfZAMA9ldwbrxnbOE_dXt-VIxRg2j/view?usp=sharing" TargetMode="External"/><Relationship Id="rId10307" Type="http://schemas.openxmlformats.org/officeDocument/2006/relationships/hyperlink" Target="https://drive.google.com/file/d/1i-TWOeqfFLUcyOFRgrwcnkOyS_hns1vV/view?usp=drive_link" TargetMode="External"/><Relationship Id="rId10721" Type="http://schemas.openxmlformats.org/officeDocument/2006/relationships/hyperlink" Target="https://www.vidio.com/live/19623-national-football-league-2025-26?schedule_id=4783277" TargetMode="External"/><Relationship Id="rId2885" Type="http://schemas.openxmlformats.org/officeDocument/2006/relationships/hyperlink" Target="https://drive.google.com/drive/folders/1EjFTzZaElM_nUUnRO1yv537xq-gd78P_?usp=drive_link" TargetMode="External"/><Relationship Id="rId3936" Type="http://schemas.openxmlformats.org/officeDocument/2006/relationships/hyperlink" Target="https://drive.google.com/drive/folders/1RB2EQXZHqIJHbC86UuUYdYFNYRZyGXGt?usp=drive_link" TargetMode="External"/><Relationship Id="rId857" Type="http://schemas.openxmlformats.org/officeDocument/2006/relationships/hyperlink" Target="https://drive.google.com/file/d/1a1OWPB1ex3RQljUxhnlWDrqnvyVXWFi7/view?usp=sharing" TargetMode="External"/><Relationship Id="rId1487" Type="http://schemas.openxmlformats.org/officeDocument/2006/relationships/hyperlink" Target="https://3.basecamp.com/4902751/buckets/36763424/card_tables/cards/8876959514" TargetMode="External"/><Relationship Id="rId2538" Type="http://schemas.openxmlformats.org/officeDocument/2006/relationships/hyperlink" Target="https://drive.google.com/drive/folders/1vvJz14Jl4gIdV_iCTT5E3kf9dGSkmgZL?usp=drive_link" TargetMode="External"/><Relationship Id="rId2952" Type="http://schemas.openxmlformats.org/officeDocument/2006/relationships/hyperlink" Target="https://drive.google.com/file/d/1MsvIMMfMY5Fu3fEZthfbHVoDyOcfeMGq/view?usp=sharing" TargetMode="External"/><Relationship Id="rId9565" Type="http://schemas.openxmlformats.org/officeDocument/2006/relationships/hyperlink" Target="https://drive.google.com/file/d/1bGAtWdCSL-v2iZg1GvRoYwXZwXVqVH3x/view" TargetMode="External"/><Relationship Id="rId11495" Type="http://schemas.openxmlformats.org/officeDocument/2006/relationships/hyperlink" Target="https://www.vidio.com/live/19738-turkish-volleyball-league?schedule_id=4803432" TargetMode="External"/><Relationship Id="rId924" Type="http://schemas.openxmlformats.org/officeDocument/2006/relationships/hyperlink" Target="https://www.vidio.com/live/9182-champions-tv-5?schedule_id=4759271" TargetMode="External"/><Relationship Id="rId1554" Type="http://schemas.openxmlformats.org/officeDocument/2006/relationships/hyperlink" Target="https://drive.google.com/file/d/1E3uwDkf4mDIsi7KcyIIAGMFRVF351ojH/view?usp=sharing" TargetMode="External"/><Relationship Id="rId2605" Type="http://schemas.openxmlformats.org/officeDocument/2006/relationships/hyperlink" Target="https://www.vidio.com/live/6299-bein-1?schedule_id=4598124" TargetMode="External"/><Relationship Id="rId5011" Type="http://schemas.openxmlformats.org/officeDocument/2006/relationships/hyperlink" Target="https://drive.google.com/file/d/1p2pgVl_3-Dv8Exvzh0iJBr6-8pAjemTe/view?usp=sharing" TargetMode="External"/><Relationship Id="rId8167" Type="http://schemas.openxmlformats.org/officeDocument/2006/relationships/hyperlink" Target="https://drive.google.com/file/d/1SPURqLwIt7bfgFf4mzHzA5sJ93mAGXvf/view?usp=sharing" TargetMode="External"/><Relationship Id="rId8581" Type="http://schemas.openxmlformats.org/officeDocument/2006/relationships/hyperlink" Target="https://drive.google.com/file/d/1J2zeugWnf9VCMveGwcTRSLLOBBfgoXUV/view?usp=sharing" TargetMode="External"/><Relationship Id="rId9218" Type="http://schemas.openxmlformats.org/officeDocument/2006/relationships/hyperlink" Target="https://drive.google.com/file/d/1bGAtWdCSL-v2iZg1GvRoYwXZwXVqVH3x/view?usp=sharing" TargetMode="External"/><Relationship Id="rId9632" Type="http://schemas.openxmlformats.org/officeDocument/2006/relationships/hyperlink" Target="https://drive.google.com/file/d/1KGRx5Y5Bg7qZQ9xCuYEnYT7pf4IVCuKa/view?usp=sharing" TargetMode="External"/><Relationship Id="rId10097" Type="http://schemas.openxmlformats.org/officeDocument/2006/relationships/hyperlink" Target="https://drive.google.com/drive/folders/19S94soj0IesEmUFUm3RlH_HT-VYHUx9C?usp=sharing" TargetMode="External"/><Relationship Id="rId11148" Type="http://schemas.openxmlformats.org/officeDocument/2006/relationships/hyperlink" Target="https://thumbor.prod.vidiocdn.com/4SVoyqbIjAsiVMsgQsNSNDIq88g=/filters:quality(70)/vidio-media-production/uploads/image/source/53293/d2bc41.png" TargetMode="External"/><Relationship Id="rId11562" Type="http://schemas.openxmlformats.org/officeDocument/2006/relationships/hyperlink" Target="https://thumbor.prod.vidiocdn.com/qzl5ql7DI_zJBGHjvtIKVMh6Kn0=/filters:quality(70)/vidio-media-production/uploads/image/source/52761/147dc1.png" TargetMode="External"/><Relationship Id="rId1207" Type="http://schemas.openxmlformats.org/officeDocument/2006/relationships/hyperlink" Target="https://drive.google.com/drive/folders/1sdYzLzODNmTmL7ht2wbGCF8i_TMGTNbE" TargetMode="External"/><Relationship Id="rId1621" Type="http://schemas.openxmlformats.org/officeDocument/2006/relationships/hyperlink" Target="https://drive.google.com/file/d/1Un4IEj8yloimpAML5Yjb4wx8iuKT3Rzi/view?usp=sharing" TargetMode="External"/><Relationship Id="rId4777" Type="http://schemas.openxmlformats.org/officeDocument/2006/relationships/hyperlink" Target="https://drive.google.com/drive/folders/17sNf31qt3vB_tdYVR5Mc4V0Cd_30Lvoy?usp=drive_link" TargetMode="External"/><Relationship Id="rId5828" Type="http://schemas.openxmlformats.org/officeDocument/2006/relationships/hyperlink" Target="https://drive.google.com/drive/folders/13eQLR64HrKbyWDLlQsn3dQSDucgsN6sA?usp=drive_link" TargetMode="External"/><Relationship Id="rId7183" Type="http://schemas.openxmlformats.org/officeDocument/2006/relationships/hyperlink" Target="https://drive.google.com/drive/folders/1NepG6XT-FSa8Cs07sX3tPfQWLNpJfAxp" TargetMode="External"/><Relationship Id="rId8234" Type="http://schemas.openxmlformats.org/officeDocument/2006/relationships/hyperlink" Target="https://drive.google.com/file/d/1DNux4glLBnqI-DzUHKvsJVIQIe0fQ_QF/view?usp=sharing" TargetMode="External"/><Relationship Id="rId10164" Type="http://schemas.openxmlformats.org/officeDocument/2006/relationships/hyperlink" Target="https://drive.google.com/drive/folders/1zlgIRbjr7PDOO3EIIimyp5shnNvPytS-?usp=sharing" TargetMode="External"/><Relationship Id="rId11215" Type="http://schemas.openxmlformats.org/officeDocument/2006/relationships/hyperlink" Target="https://drive.google.com/drive/folders/1QmPGJyfkUAeB_LgPBPbXsinI50fPu4_R" TargetMode="External"/><Relationship Id="rId3379" Type="http://schemas.openxmlformats.org/officeDocument/2006/relationships/hyperlink" Target="https://drive.google.com/drive/folders/1Xxt4M-BKY_wrdq8shTMzvAom-IgPylgQ" TargetMode="External"/><Relationship Id="rId3793" Type="http://schemas.openxmlformats.org/officeDocument/2006/relationships/hyperlink" Target="https://www.vidio.com/live/6685-champions-tv-1?schedule_id=4614694" TargetMode="External"/><Relationship Id="rId7250" Type="http://schemas.openxmlformats.org/officeDocument/2006/relationships/hyperlink" Target="https://www.vidio.com/live/19541-pegadaian-championship-2025-26?schedule_id=4652402" TargetMode="External"/><Relationship Id="rId8301" Type="http://schemas.openxmlformats.org/officeDocument/2006/relationships/hyperlink" Target="https://www.vidio.com/live/6317-bein-3?schedule_id=4724819" TargetMode="External"/><Relationship Id="rId2395" Type="http://schemas.openxmlformats.org/officeDocument/2006/relationships/hyperlink" Target="https://drive.google.com/file/d/1dEHjuBQZSyVd6c1E8hDf1VJUJntsUzJI/view?usp=drive_link" TargetMode="External"/><Relationship Id="rId3446" Type="http://schemas.openxmlformats.org/officeDocument/2006/relationships/hyperlink" Target="https://www.vidio.com/live/18739-liga-portugal?schedule_id=4512831" TargetMode="External"/><Relationship Id="rId4844" Type="http://schemas.openxmlformats.org/officeDocument/2006/relationships/hyperlink" Target="https://drive.google.com/drive/folders/1Uvz5tyATDSf7dMesvMIEhzn1r4_ML28d?usp=drive_link" TargetMode="External"/><Relationship Id="rId10231" Type="http://schemas.openxmlformats.org/officeDocument/2006/relationships/hyperlink" Target="https://drive.google.com/drive/folders/1J4BvlvwJR0CvvXc7ScbmCSpoT0wyDUqt?usp=drive_link" TargetMode="External"/><Relationship Id="rId367" Type="http://schemas.openxmlformats.org/officeDocument/2006/relationships/hyperlink" Target="https://drive.google.com/file/d/13W7GJJkPRH-HC2ocxKAwbQT7ywKWdSFH/view?usp=sharing" TargetMode="External"/><Relationship Id="rId2048" Type="http://schemas.openxmlformats.org/officeDocument/2006/relationships/hyperlink" Target="https://drive.google.com/file/d/1_a3S6To-5iF-CiTbXc_h0E0GYbsdgO0d/view?usp=sharing" TargetMode="External"/><Relationship Id="rId3860" Type="http://schemas.openxmlformats.org/officeDocument/2006/relationships/hyperlink" Target="https://www.vidio.com/live/6685-champions-tv-1?schedule_id=4790739" TargetMode="External"/><Relationship Id="rId4911" Type="http://schemas.openxmlformats.org/officeDocument/2006/relationships/hyperlink" Target="https://www.vidio.com/live/19404-serie-a?schedule_id=4832829" TargetMode="External"/><Relationship Id="rId9075" Type="http://schemas.openxmlformats.org/officeDocument/2006/relationships/hyperlink" Target="https://drive.google.com/file/d/1gR9FZuhvJGOh5flCyoFKdVkNt5ldEKqM/view?usp=sharing" TargetMode="External"/><Relationship Id="rId781" Type="http://schemas.openxmlformats.org/officeDocument/2006/relationships/hyperlink" Target="https://drive.google.com/drive/folders/1FtQEhTqILsGqoH1wdvnfAgTcoCi5cdxK" TargetMode="External"/><Relationship Id="rId2462" Type="http://schemas.openxmlformats.org/officeDocument/2006/relationships/hyperlink" Target="https://drive.google.com/file/d/1yATdTweONzu4AseirvIp_0yPUa4UpZgH/view?usp=sharing" TargetMode="External"/><Relationship Id="rId3513" Type="http://schemas.openxmlformats.org/officeDocument/2006/relationships/hyperlink" Target="https://www.vidio.com/live/18739-liga-portugal?schedule_id=4670653" TargetMode="External"/><Relationship Id="rId6669" Type="http://schemas.openxmlformats.org/officeDocument/2006/relationships/hyperlink" Target="https://drive.google.com/file/d/1U4-dxY67Rybe8JqAUw19kYPUA_FLSEJY/view?usp=sharing" TargetMode="External"/><Relationship Id="rId8091" Type="http://schemas.openxmlformats.org/officeDocument/2006/relationships/hyperlink" Target="https://drive.google.com/drive/folders/1Ac_DkQGqAypGdYUqmDwqH8BAKWu6rqkn?usp=drive_link" TargetMode="External"/><Relationship Id="rId12056" Type="http://schemas.openxmlformats.org/officeDocument/2006/relationships/hyperlink" Target="https://drive.google.com/file/d/1NSS8caFvdZbwLM0rQ6xFjEA-VHdQ-0wz/view?usp=sharing" TargetMode="External"/><Relationship Id="rId434" Type="http://schemas.openxmlformats.org/officeDocument/2006/relationships/hyperlink" Target="https://www.vidio.com/live/19536-premier-league?schedule_id=4626721" TargetMode="External"/><Relationship Id="rId1064" Type="http://schemas.openxmlformats.org/officeDocument/2006/relationships/hyperlink" Target="https://drive.google.com/file/d/11sHjjo-EHhILE95G9KxWdJ-tDdluKJrT/view?usp=drive_link" TargetMode="External"/><Relationship Id="rId2115" Type="http://schemas.openxmlformats.org/officeDocument/2006/relationships/hyperlink" Target="https://drive.google.com/file/d/1YqVCI0ALOLrCZWsTdwQR9t8eydAOs_-H/view?usp=sharing" TargetMode="External"/><Relationship Id="rId5685" Type="http://schemas.openxmlformats.org/officeDocument/2006/relationships/hyperlink" Target="https://drive.google.com/file/d/143rieyIo-ZjpeBUYOc__bTceTnd5FBHy/view?usp=sharing" TargetMode="External"/><Relationship Id="rId6736" Type="http://schemas.openxmlformats.org/officeDocument/2006/relationships/hyperlink" Target="https://drive.google.com/drive/folders/1WY756q2b0RRnCp5pRM5QRXPy9-B01Nf9" TargetMode="External"/><Relationship Id="rId9142" Type="http://schemas.openxmlformats.org/officeDocument/2006/relationships/hyperlink" Target="https://drive.google.com/drive/u/0/folders/1Hdj3pRfIOnVmfxXgqicBn124A100uFYY" TargetMode="External"/><Relationship Id="rId11072" Type="http://schemas.openxmlformats.org/officeDocument/2006/relationships/hyperlink" Target="https://drive.google.com/drive/folders/1kOjlmzdpli7hK31zfQACHLmvuGf1yuyg?usp=drive_link" TargetMode="External"/><Relationship Id="rId12123" Type="http://schemas.openxmlformats.org/officeDocument/2006/relationships/hyperlink" Target="https://drive.google.com/drive/folders/1y_mGPCoON9jW62Lb8x5K2d_YVzyt7dym" TargetMode="External"/><Relationship Id="rId501" Type="http://schemas.openxmlformats.org/officeDocument/2006/relationships/hyperlink" Target="https://drive.google.com/drive/folders/1BSpntnlOM5COjmOg1WKk1wBvjrshbNcX?usp=drive_link" TargetMode="External"/><Relationship Id="rId1131" Type="http://schemas.openxmlformats.org/officeDocument/2006/relationships/hyperlink" Target="https://thumbor.prod.vidiocdn.com/p4L3KSCAjum8F6Wn6e8pLE87B64=/filters:quality(70)/vidio-media-production/uploads/image/source/52537/bc4afa.png" TargetMode="External"/><Relationship Id="rId4287" Type="http://schemas.openxmlformats.org/officeDocument/2006/relationships/hyperlink" Target="https://3.basecamp.com/4902751/buckets/36763424/card_tables/cards/9130047100" TargetMode="External"/><Relationship Id="rId5338" Type="http://schemas.openxmlformats.org/officeDocument/2006/relationships/hyperlink" Target="https://drive.google.com/drive/folders/1Y0YLP8WWFqmP4Zxlkjud4e7rFyk0dgZJ" TargetMode="External"/><Relationship Id="rId5752" Type="http://schemas.openxmlformats.org/officeDocument/2006/relationships/hyperlink" Target="https://drive.google.com/file/d/1eyjkcrUYkOOM2f8b6-glShD4YrDMV1uN/view?usp=sharing" TargetMode="External"/><Relationship Id="rId6803" Type="http://schemas.openxmlformats.org/officeDocument/2006/relationships/hyperlink" Target="https://drive.google.com/file/d/1pUTb-M1nS-Qrt-xwPMK88DIv-neyd_fT/view?usp=sharing" TargetMode="External"/><Relationship Id="rId9959" Type="http://schemas.openxmlformats.org/officeDocument/2006/relationships/hyperlink" Target="https://drive.google.com/file/d/16thJh0SZn-Qfg02GO-mVONREIUy7r3te/view?usp=sharing" TargetMode="External"/><Relationship Id="rId4354" Type="http://schemas.openxmlformats.org/officeDocument/2006/relationships/hyperlink" Target="https://drive.google.com/file/d/1Wg7ijGYgFocc1TBtZBF4N92KJw3RM4oi/view?usp=sharing" TargetMode="External"/><Relationship Id="rId5405" Type="http://schemas.openxmlformats.org/officeDocument/2006/relationships/hyperlink" Target="https://drive.google.com/file/d/1_1Jy3WoBLMMd7AJHHX9WJJSL-71_oGF_/view?usp=sharing" TargetMode="External"/><Relationship Id="rId11889" Type="http://schemas.openxmlformats.org/officeDocument/2006/relationships/hyperlink" Target="https://www.vidio.com/live/18250-petronas-malaysia-open-2026-round-of-32-court-2?schedule_id=4831569" TargetMode="External"/><Relationship Id="rId1948" Type="http://schemas.openxmlformats.org/officeDocument/2006/relationships/hyperlink" Target="https://www.vidio.com/live/19354-bri-super-league?schedule_id=4674553" TargetMode="External"/><Relationship Id="rId3370" Type="http://schemas.openxmlformats.org/officeDocument/2006/relationships/hyperlink" Target="https://drive.google.com/drive/folders/1gh3C_O9syneweBNgDVBl9jsh_w32QaDu" TargetMode="External"/><Relationship Id="rId4007" Type="http://schemas.openxmlformats.org/officeDocument/2006/relationships/hyperlink" Target="https://drive.google.com/file/d/1_b9JlDHtnXQ8-GCc810GLjetgjhRmX7Y/view?usp=sharing" TargetMode="External"/><Relationship Id="rId4421" Type="http://schemas.openxmlformats.org/officeDocument/2006/relationships/hyperlink" Target="https://drive.google.com/drive/folders/1p-BBE4Q7WYsjaA6zRP-zbxNxOInOSBYU" TargetMode="External"/><Relationship Id="rId7577" Type="http://schemas.openxmlformats.org/officeDocument/2006/relationships/hyperlink" Target="https://drive.google.com/drive/folders/1igQzPxovpmGSxY8XFwt2UwJTo8Pr482L?usp=drive_link" TargetMode="External"/><Relationship Id="rId8975" Type="http://schemas.openxmlformats.org/officeDocument/2006/relationships/hyperlink" Target="https://drive.google.com/file/d/1YH61aCDE08CVIOWlyzxz_vOD6RA-Ezl5/view?usp=sharing" TargetMode="External"/><Relationship Id="rId11956" Type="http://schemas.openxmlformats.org/officeDocument/2006/relationships/hyperlink" Target="https://www.vidio.com/live/18250-petronas-malaysia-open-2026-round-of-32-court-?schedule_id=4832185" TargetMode="External"/><Relationship Id="rId291" Type="http://schemas.openxmlformats.org/officeDocument/2006/relationships/hyperlink" Target="https://drive.google.com/drive/folders/16IIH3H7dpG4FXN0a3cO6x1Db195EnLai?usp=drive_link" TargetMode="External"/><Relationship Id="rId3023" Type="http://schemas.openxmlformats.org/officeDocument/2006/relationships/hyperlink" Target="https://drive.google.com/file/d/1MdrVkF6PqBIXO4Qc-TLB4C-YziGHEhWW/view?usp=sharing" TargetMode="External"/><Relationship Id="rId6179" Type="http://schemas.openxmlformats.org/officeDocument/2006/relationships/hyperlink" Target="https://drive.google.com/file/d/1ROp4RbrNpuMJ7QMQHkNHCBSY_5NMQ4F9/view?usp=sharing" TargetMode="External"/><Relationship Id="rId7991" Type="http://schemas.openxmlformats.org/officeDocument/2006/relationships/hyperlink" Target="https://drive.google.com/file/d/1K2mnIgpt7MrE4phPrYXaiBNqLl4fJmAU/view?usp=sharing" TargetMode="External"/><Relationship Id="rId8628" Type="http://schemas.openxmlformats.org/officeDocument/2006/relationships/hyperlink" Target="https://drive.google.com/file/d/1rGfbLYAg7EgzNxVAqE_cuOW9zCEGs5nq/view?usp=sharing" TargetMode="External"/><Relationship Id="rId10558" Type="http://schemas.openxmlformats.org/officeDocument/2006/relationships/hyperlink" Target="https://www.vidio.com/live/17875-bein-2?schedule_id=4827318" TargetMode="External"/><Relationship Id="rId10972" Type="http://schemas.openxmlformats.org/officeDocument/2006/relationships/hyperlink" Target="https://thumbor.prod.vidiocdn.com/TXvrSqLUWaBbSVzzQcgnIsjalj0=/filters:quality(70)/vidio-media-production/uploads/image/source/52661/2e802b.png" TargetMode="External"/><Relationship Id="rId11609" Type="http://schemas.openxmlformats.org/officeDocument/2006/relationships/hyperlink" Target="https://drive.google.com/file/d/16uBdkuTLAWfJ3RgM_75hJMi1bGgBAB7I/view?usp=sharing" TargetMode="External"/><Relationship Id="rId5195" Type="http://schemas.openxmlformats.org/officeDocument/2006/relationships/hyperlink" Target="https://drive.google.com/drive/folders/1d8RfZ3AxKm4vcq0d__doqb5lGvVI-NuD" TargetMode="External"/><Relationship Id="rId6593" Type="http://schemas.openxmlformats.org/officeDocument/2006/relationships/hyperlink" Target="https://drive.google.com/file/d/14u5gYowCQ_fylBWUwWE7kzIY9l719SPs/view?usp=sharing" TargetMode="External"/><Relationship Id="rId7644" Type="http://schemas.openxmlformats.org/officeDocument/2006/relationships/hyperlink" Target="https://drive.google.com/file/d/18q3mr2k3AOMn_OhJWfda9yB0bJiJ01s6/view?usp=sharing" TargetMode="External"/><Relationship Id="rId10625" Type="http://schemas.openxmlformats.org/officeDocument/2006/relationships/hyperlink" Target="https://drive.google.com/drive/folders/1vBWiarnb3ofQvuc-shhq7u1gNIhAzLLl" TargetMode="External"/><Relationship Id="rId2789" Type="http://schemas.openxmlformats.org/officeDocument/2006/relationships/hyperlink" Target="https://drive.google.com/file/d/1VVZ4qo26RiaPcj3IqdaSc9nZBFOef4tn/view?usp=drive_link" TargetMode="External"/><Relationship Id="rId6246" Type="http://schemas.openxmlformats.org/officeDocument/2006/relationships/hyperlink" Target="https://drive.google.com/drive/folders/1vjOA9E-jOlhsRSh5NE7jSpcmcR5v41-E" TargetMode="External"/><Relationship Id="rId6660" Type="http://schemas.openxmlformats.org/officeDocument/2006/relationships/hyperlink" Target="https://drive.google.com/drive/folders/1BHh5wPsnYmUU66j0vsOKMNDJmvhTzaOp?usp=drive_link" TargetMode="External"/><Relationship Id="rId7711" Type="http://schemas.openxmlformats.org/officeDocument/2006/relationships/hyperlink" Target="https://www.vidio.com/live/19584-pegadaian-championship-2025-26?schedule_id=4665898" TargetMode="External"/><Relationship Id="rId2856" Type="http://schemas.openxmlformats.org/officeDocument/2006/relationships/hyperlink" Target="https://drive.google.com/file/d/1cdkkskbpEg_eG4pcciknJ9IZf5BHgFSI/view?usp=sharing" TargetMode="External"/><Relationship Id="rId3907" Type="http://schemas.openxmlformats.org/officeDocument/2006/relationships/hyperlink" Target="https://www.vidio.com/live/18013-uefa-conference-league?schedule_id=4527604" TargetMode="External"/><Relationship Id="rId5262" Type="http://schemas.openxmlformats.org/officeDocument/2006/relationships/hyperlink" Target="https://drive.google.com/drive/folders/1UJh6Ohrk8ICltqRuS2ZUbx-5nOk1lSCs" TargetMode="External"/><Relationship Id="rId6313" Type="http://schemas.openxmlformats.org/officeDocument/2006/relationships/hyperlink" Target="https://drive.google.com/file/d/1b-y90K9itoU-XTpgoRWHIKYTfY4J3EOB/view?usp=sharing" TargetMode="External"/><Relationship Id="rId9469" Type="http://schemas.openxmlformats.org/officeDocument/2006/relationships/hyperlink" Target="https://drive.google.com/file/d/1T4a-lHIQWEEwQE4A9QnbhNgaS-G9ozOx/view?usp=sharing" TargetMode="External"/><Relationship Id="rId9883" Type="http://schemas.openxmlformats.org/officeDocument/2006/relationships/hyperlink" Target="https://www.vidio.com/live/19988-bri-super-league?schedule_id=4790745" TargetMode="External"/><Relationship Id="rId11399" Type="http://schemas.openxmlformats.org/officeDocument/2006/relationships/hyperlink" Target="https://drive.google.com/drive/folders/1AkkY8LvZv5Pz2p9Fb9shCv9-Ls_HMnGa?usp=drive_link" TargetMode="External"/><Relationship Id="rId97" Type="http://schemas.openxmlformats.org/officeDocument/2006/relationships/hyperlink" Target="https://drive.google.com/file/d/1Z01DY8iY8vb3rs7q_U9635PZWFPbqUBA/view?usp=sharing" TargetMode="External"/><Relationship Id="rId828" Type="http://schemas.openxmlformats.org/officeDocument/2006/relationships/hyperlink" Target="https://www.vidio.com/live/18797-premier-league?schedule_id=4743725" TargetMode="External"/><Relationship Id="rId1458" Type="http://schemas.openxmlformats.org/officeDocument/2006/relationships/hyperlink" Target="https://drive.google.com/file/d/1TnQaUqw3ftsl0roQK2CNddEYhfMrpB5f/view?usp=sharing" TargetMode="External"/><Relationship Id="rId1872" Type="http://schemas.openxmlformats.org/officeDocument/2006/relationships/hyperlink" Target="https://drive.google.com/file/d/1TKCDMggj8GrZ6h4iXlNXpDCiiy397L_8/view?usp=drive_link" TargetMode="External"/><Relationship Id="rId2509" Type="http://schemas.openxmlformats.org/officeDocument/2006/relationships/hyperlink" Target="https://drive.google.com/drive/folders/1UKDLw8JqPHNVWPx7BMKdavFsmG8TTFV8?usp=drive_link" TargetMode="External"/><Relationship Id="rId8485" Type="http://schemas.openxmlformats.org/officeDocument/2006/relationships/hyperlink" Target="https://drive.google.com/file/d/1RwsrRLAAsd4vEOoFbFSx0KWRIlVkuUwC/view?usp=sharing" TargetMode="External"/><Relationship Id="rId9536" Type="http://schemas.openxmlformats.org/officeDocument/2006/relationships/hyperlink" Target="https://drive.google.com/file/d/1bGAtWdCSL-v2iZg1GvRoYwXZwXVqVH3x/view?usp=sharing" TargetMode="External"/><Relationship Id="rId1525" Type="http://schemas.openxmlformats.org/officeDocument/2006/relationships/hyperlink" Target="https://drive.google.com/file/d/1Q6GRXa_xKIMvrxlJ1nXSty8Hqgql2jL6/view?usp=sharing" TargetMode="External"/><Relationship Id="rId2923" Type="http://schemas.openxmlformats.org/officeDocument/2006/relationships/hyperlink" Target="https://drive.google.com/file/d/1mmw4Aonbj6v937hOJo4vu9FfdiCs-F2q/view?usp=sharing" TargetMode="External"/><Relationship Id="rId7087" Type="http://schemas.openxmlformats.org/officeDocument/2006/relationships/hyperlink" Target="https://drive.google.com/file/d/1Cza7HDEHnRflSTzp8WmlUn4FOMHKT4LV/view?usp=sharing" TargetMode="External"/><Relationship Id="rId8138" Type="http://schemas.openxmlformats.org/officeDocument/2006/relationships/hyperlink" Target="https://www.vidio.com/live/19584-pegadaian-championship-2025-26?schedule_id=4709789" TargetMode="External"/><Relationship Id="rId8552" Type="http://schemas.openxmlformats.org/officeDocument/2006/relationships/hyperlink" Target="https://drive.google.com/file/d/18ooohP8ZDpF8K5oumTuEwghciBN59ayo/view?usp=sharing" TargetMode="External"/><Relationship Id="rId9950" Type="http://schemas.openxmlformats.org/officeDocument/2006/relationships/hyperlink" Target="https://www.vidio.com/live/17875-bein-2?schedule_id=4790930" TargetMode="External"/><Relationship Id="rId10068" Type="http://schemas.openxmlformats.org/officeDocument/2006/relationships/hyperlink" Target="https://thumbor.prod.vidiocdn.com/P8kPC_RAL_Jw1UdgFmIoLFop9I4=/filters:quality(70)/vidio-media-production/uploads/image/source/51593/de114b.png" TargetMode="External"/><Relationship Id="rId11466" Type="http://schemas.openxmlformats.org/officeDocument/2006/relationships/hyperlink" Target="https://drive.google.com/file/d/1zzrmrF1Rr92kIpOE1jy9YBLa4Ii0OoIs/view?usp=sharing" TargetMode="External"/><Relationship Id="rId11880" Type="http://schemas.openxmlformats.org/officeDocument/2006/relationships/hyperlink" Target="https://www.vidio.com/live/18250-petronas-malaysia-open-2026-round-of-32-court-2?schedule_id=4831566" TargetMode="External"/><Relationship Id="rId7154" Type="http://schemas.openxmlformats.org/officeDocument/2006/relationships/hyperlink" Target="https://drive.google.com/drive/folders/1QuW8HGm8Gy5DKzFtp0IqY8763E-ORETq?usp=drive_link" TargetMode="External"/><Relationship Id="rId8205" Type="http://schemas.openxmlformats.org/officeDocument/2006/relationships/hyperlink" Target="https://www.vidio.com/live/19623-national-football-league-2025-26?schedule_id=4651618" TargetMode="External"/><Relationship Id="rId9603" Type="http://schemas.openxmlformats.org/officeDocument/2006/relationships/hyperlink" Target="https://drive.google.com/file/d/1Ro_I2NMFkdCDLq2Qhpq6xjWKOMLM9_lz/view?usp=sharing" TargetMode="External"/><Relationship Id="rId10482" Type="http://schemas.openxmlformats.org/officeDocument/2006/relationships/hyperlink" Target="https://www.vidio.com/live/20040-top-youth-premier-league-2025-pekan-ke-13?schedule_id=4766510" TargetMode="External"/><Relationship Id="rId11119" Type="http://schemas.openxmlformats.org/officeDocument/2006/relationships/hyperlink" Target="https://thumbor.prod.vidiocdn.com/CmQ1Oj9fkFoeraagQHT2tRRRUvY=/filters:quality(70)/vidio-media-production/uploads/image/source/53139/f7615c.png" TargetMode="External"/><Relationship Id="rId11533" Type="http://schemas.openxmlformats.org/officeDocument/2006/relationships/hyperlink" Target="https://thumbor.prod.vidiocdn.com/hgijqhyqkFXolbt9dXYPWX4c-fQ=/filters:quality(70)/vidio-media-production/uploads/image/source/53258/c06f57.png" TargetMode="External"/><Relationship Id="rId2299" Type="http://schemas.openxmlformats.org/officeDocument/2006/relationships/hyperlink" Target="https://drive.google.com/drive/folders/1Pm5Jgmxh-aKl9hR8HYKc-wSUtGQ6816G?usp=drive_link" TargetMode="External"/><Relationship Id="rId3697" Type="http://schemas.openxmlformats.org/officeDocument/2006/relationships/hyperlink" Target="https://www.vidio.com/live/6317-bein-3?schedule_id=4525693" TargetMode="External"/><Relationship Id="rId4748" Type="http://schemas.openxmlformats.org/officeDocument/2006/relationships/hyperlink" Target="https://drive.google.com/file/d/1H63ghfD6cITp9w7SLdy-A0Q6aoZ7fZzb/view?usp=sharing" TargetMode="External"/><Relationship Id="rId10135" Type="http://schemas.openxmlformats.org/officeDocument/2006/relationships/hyperlink" Target="https://www.vidio.com/live/19998?schedule_id=4743097" TargetMode="External"/><Relationship Id="rId11600" Type="http://schemas.openxmlformats.org/officeDocument/2006/relationships/hyperlink" Target="https://drive.google.com/file/d/1Lh6_7FNEJYEZotlRmmBeXl-JXuF_lZL1/view?usp=sharing" TargetMode="External"/><Relationship Id="rId3764" Type="http://schemas.openxmlformats.org/officeDocument/2006/relationships/hyperlink" Target="https://drive.google.com/file/d/1ovGpruGlaODN-HchUubyhzB083YR3Vvw/view?usp=sharing" TargetMode="External"/><Relationship Id="rId4815" Type="http://schemas.openxmlformats.org/officeDocument/2006/relationships/hyperlink" Target="https://www.vidio.com/live/20110-serie-a?schedule_id=4820639" TargetMode="External"/><Relationship Id="rId6170" Type="http://schemas.openxmlformats.org/officeDocument/2006/relationships/hyperlink" Target="https://drive.google.com/file/d/1IbpjeXvjUeDULjrC-vcV05iE7agSwee8/view?usp=drive_link" TargetMode="External"/><Relationship Id="rId7221" Type="http://schemas.openxmlformats.org/officeDocument/2006/relationships/hyperlink" Target="https://drive.google.com/drive/folders/1r-5RhXu3h-v7gYwcjqjOHPEugcUE-bKe" TargetMode="External"/><Relationship Id="rId10202" Type="http://schemas.openxmlformats.org/officeDocument/2006/relationships/hyperlink" Target="https://drive.google.com/drive/folders/1GQDDwJW94VteyZjZ4RwNZHzLUTPCBcBy?usp=drive_link" TargetMode="External"/><Relationship Id="rId685" Type="http://schemas.openxmlformats.org/officeDocument/2006/relationships/hyperlink" Target="https://drive.google.com/drive/folders/1tADlDDZDsZczMcqHfj4AAbdpkQwFYHN5?usp=drive_link" TargetMode="External"/><Relationship Id="rId2366" Type="http://schemas.openxmlformats.org/officeDocument/2006/relationships/hyperlink" Target="https://drive.google.com/file/d/1O3CvBU6MSOIbRNIz8zgAlKbNK3wqtTDV/view?usp=sharing" TargetMode="External"/><Relationship Id="rId2780" Type="http://schemas.openxmlformats.org/officeDocument/2006/relationships/hyperlink" Target="https://drive.google.com/drive/folders/10kmXh5mqLGkmCBtTYcu_tWdRmlZcgwFj?usp=drive_link" TargetMode="External"/><Relationship Id="rId3417" Type="http://schemas.openxmlformats.org/officeDocument/2006/relationships/hyperlink" Target="https://drive.google.com/file/d/1Xgc-ejgciMx3te19eenHT5Q3eBptTBZa/view?usp=sharing" TargetMode="External"/><Relationship Id="rId3831" Type="http://schemas.openxmlformats.org/officeDocument/2006/relationships/hyperlink" Target="https://drive.google.com/file/d/1gRo2M7rACFj4v9cCOkZHTKxMr7iMqlwo/view?usp=drive_link" TargetMode="External"/><Relationship Id="rId6987" Type="http://schemas.openxmlformats.org/officeDocument/2006/relationships/hyperlink" Target="https://www.vidio.com/live/19541-pegadaian-championship-2025-26?schedule_id=4602003" TargetMode="External"/><Relationship Id="rId9393" Type="http://schemas.openxmlformats.org/officeDocument/2006/relationships/hyperlink" Target="https://thumbor.prod.vidiocdn.com/sYFLLpvxkUdqfXiyWlbMsAgauKY=/filters:quality(70)/vidio-media-production/uploads/image/source/52968/42c277.png" TargetMode="External"/><Relationship Id="rId12374" Type="http://schemas.openxmlformats.org/officeDocument/2006/relationships/hyperlink" Target="https://drive.google.com/file/d/1aerik-EGVX1bP7WoYaM_AMSCFqH9d2Jz/view?usp=sharing" TargetMode="External"/><Relationship Id="rId338" Type="http://schemas.openxmlformats.org/officeDocument/2006/relationships/hyperlink" Target="https://www.vidio.com/live/9182-champions-tv-5?schedule_id=4579893" TargetMode="External"/><Relationship Id="rId752" Type="http://schemas.openxmlformats.org/officeDocument/2006/relationships/hyperlink" Target="https://drive.google.com/drive/folders/1uhJs0XWrw5MpjvNxq26-eXCSMR0UWHi-?usp=drive_link" TargetMode="External"/><Relationship Id="rId1382" Type="http://schemas.openxmlformats.org/officeDocument/2006/relationships/hyperlink" Target="https://www.vidio.com/live/19404-serie-a?schedule_id=4573413" TargetMode="External"/><Relationship Id="rId2019" Type="http://schemas.openxmlformats.org/officeDocument/2006/relationships/hyperlink" Target="https://drive.google.com/file/d/10sbg6SdrUu0J1nPBmMaa2kQjZvsG1BGL/view?usp=sharing" TargetMode="External"/><Relationship Id="rId2433" Type="http://schemas.openxmlformats.org/officeDocument/2006/relationships/hyperlink" Target="https://drive.google.com/file/d/1xRs3SaigcfVXd0FCCqhjDs9RLS3l6e2S/view?usp=sharing" TargetMode="External"/><Relationship Id="rId5589" Type="http://schemas.openxmlformats.org/officeDocument/2006/relationships/hyperlink" Target="https://drive.google.com/drive/folders/1vs2NPBadTfe8mkFp1C94plFN9o2qZ3M8?usp=drive_link" TargetMode="External"/><Relationship Id="rId9046" Type="http://schemas.openxmlformats.org/officeDocument/2006/relationships/hyperlink" Target="https://www.vidio.com/live/19737-turkish-men-s-volleyball-league?schedule_id=4712773" TargetMode="External"/><Relationship Id="rId9460" Type="http://schemas.openxmlformats.org/officeDocument/2006/relationships/hyperlink" Target="https://www.vidio.com/live/19883-pegadaian-championship-2025-26?schedule_id=4834092" TargetMode="External"/><Relationship Id="rId11390" Type="http://schemas.openxmlformats.org/officeDocument/2006/relationships/hyperlink" Target="https://www.vidio.com/live/19536-premier-league?schedule_id=4827311" TargetMode="External"/><Relationship Id="rId12027" Type="http://schemas.openxmlformats.org/officeDocument/2006/relationships/hyperlink" Target="https://drive.google.com/drive/folders/10yZ6W25MsH1Gazyf6erLQ6feN5lXYViD" TargetMode="External"/><Relationship Id="rId405" Type="http://schemas.openxmlformats.org/officeDocument/2006/relationships/hyperlink" Target="https://drive.google.com/drive/folders/1pAoPRneWjxwrbmOjB6Y7P9oUVA1Ivv8o?usp=drive_link" TargetMode="External"/><Relationship Id="rId1035" Type="http://schemas.openxmlformats.org/officeDocument/2006/relationships/hyperlink" Target="https://drive.google.com/file/d/1bjOJ4EWpqByPzqwX89nYZ2Zmwv6Jj5gl/view?usp=sharing" TargetMode="External"/><Relationship Id="rId2500" Type="http://schemas.openxmlformats.org/officeDocument/2006/relationships/hyperlink" Target="https://drive.google.com/file/d/1A3yNSrhqrnU4He4EX14XZHqSPq5btpJ_/view?usp=drive_link" TargetMode="External"/><Relationship Id="rId5656" Type="http://schemas.openxmlformats.org/officeDocument/2006/relationships/hyperlink" Target="https://drive.google.com/file/d/1UssFNLm9y1nDzF_SGJuuN4orGAdzDRKK/view?usp=drive_link" TargetMode="External"/><Relationship Id="rId8062" Type="http://schemas.openxmlformats.org/officeDocument/2006/relationships/hyperlink" Target="https://drive.google.com/drive/folders/10kjndzNuhAMWdTMs_l_jk8B84L4z3b2d?usp=drive_link" TargetMode="External"/><Relationship Id="rId9113" Type="http://schemas.openxmlformats.org/officeDocument/2006/relationships/hyperlink" Target="https://drive.google.com/file/d/1Bw6AzBALIjtp8dL_HgcM9G-CUuMWeF73/view?usp=sharing" TargetMode="External"/><Relationship Id="rId11043" Type="http://schemas.openxmlformats.org/officeDocument/2006/relationships/hyperlink" Target="https://thumbor.prod.vidiocdn.com/32g28jW7SuaybEbdbkjoFVZEwbU=/filters:quality(70)/vidio-media-production/uploads/image/source/53184/52a2ae.png" TargetMode="External"/><Relationship Id="rId12441" Type="http://schemas.openxmlformats.org/officeDocument/2006/relationships/hyperlink" Target="https://drive.google.com/file/d/17nqJ8YbOWxi4DOQmMA4_VvY1qMuE4tM4/view?usp=sharing" TargetMode="External"/><Relationship Id="rId1102" Type="http://schemas.openxmlformats.org/officeDocument/2006/relationships/hyperlink" Target="https://drive.google.com/file/d/1x_VIn5gtvXtR_0ldPNugBSNYYChEMuWQ/view?usp=sharing" TargetMode="External"/><Relationship Id="rId4258" Type="http://schemas.openxmlformats.org/officeDocument/2006/relationships/hyperlink" Target="https://drive.google.com/file/d/1xUlgJJf7p37gZ4xNZPyAg2D6cy6pUScK/view?usp=sharing" TargetMode="External"/><Relationship Id="rId5309" Type="http://schemas.openxmlformats.org/officeDocument/2006/relationships/hyperlink" Target="https://drive.google.com/file/d/1PsFGVyiNQ2MC1tw1BLQvhi4od7Qck5QA/view?usp=sharing" TargetMode="External"/><Relationship Id="rId6707" Type="http://schemas.openxmlformats.org/officeDocument/2006/relationships/hyperlink" Target="https://drive.google.com/drive/folders/1Ituu9djD__FqTfQ7HHqLd21nzoyhOXSj?usp=drive_link" TargetMode="External"/><Relationship Id="rId3274" Type="http://schemas.openxmlformats.org/officeDocument/2006/relationships/hyperlink" Target="https://thumbor.prod.vidiocdn.com/d7B1qvfvL_2uSQG1QejzILtPsMI=/filters:quality(70)/vidio-media-production/uploads/image/source/53276/52f622.png" TargetMode="External"/><Relationship Id="rId4672" Type="http://schemas.openxmlformats.org/officeDocument/2006/relationships/hyperlink" Target="https://drive.google.com/file/d/1YQ404xVURiQd4IW0oNl0Fur01K_4AIux/view?usp=sharing" TargetMode="External"/><Relationship Id="rId5723" Type="http://schemas.openxmlformats.org/officeDocument/2006/relationships/hyperlink" Target="https://drive.google.com/file/d/1B8EL8vg9mqJNtrUbu8S20RbUxnGCHSjN/view?usp=sharing" TargetMode="External"/><Relationship Id="rId8879" Type="http://schemas.openxmlformats.org/officeDocument/2006/relationships/hyperlink" Target="https://thumbor.prod.vidiocdn.com/KI6e9g67Zf_1Oc8OYHAvl5SEmC4=/filters:quality(70)/vidio-media-production/uploads/image/source/52851/a79fdd.png" TargetMode="External"/><Relationship Id="rId11110" Type="http://schemas.openxmlformats.org/officeDocument/2006/relationships/hyperlink" Target="https://drive.google.com/file/d/1QVeyAbAHjpnvdM_Tbn6CXqof-YhET_GK/view?usp=sharing" TargetMode="External"/><Relationship Id="rId195" Type="http://schemas.openxmlformats.org/officeDocument/2006/relationships/hyperlink" Target="https://drive.google.com/file/d/1rzarO8q4anpgqs5qKvVh7nY61oXykKbP/view?usp=sharing" TargetMode="External"/><Relationship Id="rId1919" Type="http://schemas.openxmlformats.org/officeDocument/2006/relationships/hyperlink" Target="https://drive.google.com/file/d/1KUjGRFEjQAn7VLCm-Xpvv14qrhhwOGFG/view?usp=drive_link" TargetMode="External"/><Relationship Id="rId4325" Type="http://schemas.openxmlformats.org/officeDocument/2006/relationships/hyperlink" Target="https://drive.google.com/file/d/1hEUGA1ULZbdJdYjWDPOqZZnU8TwmUAzu/view?usp=sharing" TargetMode="External"/><Relationship Id="rId7895" Type="http://schemas.openxmlformats.org/officeDocument/2006/relationships/hyperlink" Target="https://www.vidio.com/live/19737-turkish-men-s-volleyball-league?schedule_id=4667512" TargetMode="External"/><Relationship Id="rId8946" Type="http://schemas.openxmlformats.org/officeDocument/2006/relationships/hyperlink" Target="https://drive.google.com/file/d/1JRPyNft2hB8wE9SFDwu0NVdjn72-j8Oe/view?usp=sharing" TargetMode="External"/><Relationship Id="rId10876" Type="http://schemas.openxmlformats.org/officeDocument/2006/relationships/hyperlink" Target="https://drive.google.com/file/d/1jlez4JR07DSs3kvGWp_GphpWOxira2l8/view?usp=sharing" TargetMode="External"/><Relationship Id="rId11927" Type="http://schemas.openxmlformats.org/officeDocument/2006/relationships/hyperlink" Target="https://drive.google.com/file/d/1I2QL-h1CAeZERs7B5O4XbiSnpFeGO68R/view?usp=sharing" TargetMode="External"/><Relationship Id="rId2290" Type="http://schemas.openxmlformats.org/officeDocument/2006/relationships/hyperlink" Target="https://drive.google.com/file/d/1MQdAnMslS4w8koeH2OjhcNZ7MBOkIK_W/view?usp=drive_link" TargetMode="External"/><Relationship Id="rId3341" Type="http://schemas.openxmlformats.org/officeDocument/2006/relationships/hyperlink" Target="https://www.vidio.com/live/6685-champions-tv-1?schedule_id=4499440" TargetMode="External"/><Relationship Id="rId6497" Type="http://schemas.openxmlformats.org/officeDocument/2006/relationships/hyperlink" Target="https://drive.google.com/file/d/1hYxjFaeZ7SBFcp0b1_pkAOB3ckJfNW-I/view?usp=sharing" TargetMode="External"/><Relationship Id="rId7548" Type="http://schemas.openxmlformats.org/officeDocument/2006/relationships/hyperlink" Target="https://www.vidio.com/live/19658-grand-prix-of-shanghai-china?schedule_id=4626709" TargetMode="External"/><Relationship Id="rId7962" Type="http://schemas.openxmlformats.org/officeDocument/2006/relationships/hyperlink" Target="https://drive.google.com/drive/folders/1TWQSk5DIjbMjzL_d56I7188gEc3FFA4o?usp=drive_link" TargetMode="External"/><Relationship Id="rId10529" Type="http://schemas.openxmlformats.org/officeDocument/2006/relationships/hyperlink" Target="https://drive.google.com/drive/folders/1CsI7aa9t0y38yO7YIFqWnuGJqC6bNtVf?usp=drive_link" TargetMode="External"/><Relationship Id="rId262" Type="http://schemas.openxmlformats.org/officeDocument/2006/relationships/hyperlink" Target="https://www.vidio.com/live/18796-premier-league?schedule_id=4562541" TargetMode="External"/><Relationship Id="rId5099" Type="http://schemas.openxmlformats.org/officeDocument/2006/relationships/hyperlink" Target="https://www.vidio.com/live/17883-uefa-champions-league?schedule_id=4663718" TargetMode="External"/><Relationship Id="rId6564" Type="http://schemas.openxmlformats.org/officeDocument/2006/relationships/hyperlink" Target="https://drive.google.com/file/d/1AxzuUhJbiiuwaxcG1KwN5Wq6mzGES-dL/view?usp=sharing" TargetMode="External"/><Relationship Id="rId7615" Type="http://schemas.openxmlformats.org/officeDocument/2006/relationships/hyperlink" Target="https://drive.google.com/drive/folders/19cWQ0D2d-MukImvz_CEfwdEbJcEG_9tw?usp=drive_link" TargetMode="External"/><Relationship Id="rId10943" Type="http://schemas.openxmlformats.org/officeDocument/2006/relationships/hyperlink" Target="https://drive.google.com/drive/folders/1wItNzZgKeZUL9zGbCQABqXKfKivIb5dZ" TargetMode="External"/><Relationship Id="rId2010" Type="http://schemas.openxmlformats.org/officeDocument/2006/relationships/hyperlink" Target="https://drive.google.com/drive/folders/1FgQomkPL3aq477Uy9GxWKenK60sBgbi9" TargetMode="External"/><Relationship Id="rId5166" Type="http://schemas.openxmlformats.org/officeDocument/2006/relationships/hyperlink" Target="https://drive.google.com/drive/folders/1d8RfZ3AxKm4vcq0d__doqb5lGvVI-NuD" TargetMode="External"/><Relationship Id="rId5580" Type="http://schemas.openxmlformats.org/officeDocument/2006/relationships/hyperlink" Target="https://drive.google.com/file/d/1oDHRgD5-0iiNpjQ1CfbQc_29gtEZI6tp/view?usp=drive_link" TargetMode="External"/><Relationship Id="rId6217" Type="http://schemas.openxmlformats.org/officeDocument/2006/relationships/hyperlink" Target="https://www.vidio.com/live/19648-uefa-conference-league?schedule_id=4664189" TargetMode="External"/><Relationship Id="rId6631" Type="http://schemas.openxmlformats.org/officeDocument/2006/relationships/hyperlink" Target="https://drive.google.com/file/d/1LUGtTTjcpdDtiFzKIPozkrw2Q_FON_4o/view?usp=sharing" TargetMode="External"/><Relationship Id="rId9787" Type="http://schemas.openxmlformats.org/officeDocument/2006/relationships/hyperlink" Target="https://drive.google.com/file/d/1bGAtWdCSL-v2iZg1GvRoYwXZwXVqVH3x/view?usp=sharing" TargetMode="External"/><Relationship Id="rId4182" Type="http://schemas.openxmlformats.org/officeDocument/2006/relationships/hyperlink" Target="https://drive.google.com/file/d/1HbOqQfjTj99MDc03QnaNNME9XSBbSBMP/view?usp=sharing" TargetMode="External"/><Relationship Id="rId5233" Type="http://schemas.openxmlformats.org/officeDocument/2006/relationships/hyperlink" Target="https://www.vidio.com/live/18304-uefa-champions-league?schedule_id=4680960" TargetMode="External"/><Relationship Id="rId8389" Type="http://schemas.openxmlformats.org/officeDocument/2006/relationships/hyperlink" Target="https://drive.google.com/file/d/1ZObPnahywr51_kWkz8ZLVCbwAQvi6HAd/view?usp=sharing" TargetMode="External"/><Relationship Id="rId1776" Type="http://schemas.openxmlformats.org/officeDocument/2006/relationships/hyperlink" Target="https://drive.google.com/file/d/1NotcBn4fncKatOe7k554dQxBTu0XJWsL/view?usp=drive_link" TargetMode="External"/><Relationship Id="rId2827" Type="http://schemas.openxmlformats.org/officeDocument/2006/relationships/hyperlink" Target="https://drive.google.com/drive/folders/1LXE4LapHq0ayoLQcZJfynwb2IgQA94bd?usp=drive_link" TargetMode="External"/><Relationship Id="rId9854" Type="http://schemas.openxmlformats.org/officeDocument/2006/relationships/hyperlink" Target="https://www.vidio.com/live/19922-top-soccer-championship-2025-u-14-u-15?schedule_id=4731878" TargetMode="External"/><Relationship Id="rId11784" Type="http://schemas.openxmlformats.org/officeDocument/2006/relationships/hyperlink" Target="https://drive.google.com/file/d/1lMazJTnqsnGxNT5npfMho3ebIWrsQzsF/view?usp=drive_link" TargetMode="External"/><Relationship Id="rId68" Type="http://schemas.openxmlformats.org/officeDocument/2006/relationships/hyperlink" Target="https://drive.google.com/drive/folders/1ZnBlExIc16jpQRJ5yiF_rjC2Vw5bQFo5?usp=drive_link" TargetMode="External"/><Relationship Id="rId1429" Type="http://schemas.openxmlformats.org/officeDocument/2006/relationships/hyperlink" Target="https://drive.google.com/file/d/1hrx8xk0DKHFySPhaSBlXXWpNSDPW3jdE/view?usp=sharing" TargetMode="External"/><Relationship Id="rId1843" Type="http://schemas.openxmlformats.org/officeDocument/2006/relationships/hyperlink" Target="https://drive.google.com/file/d/1ZpOu_CXk5G8yFkGSCV0eLHFYtlzjUwgy/view?usp=drive_link" TargetMode="External"/><Relationship Id="rId4999" Type="http://schemas.openxmlformats.org/officeDocument/2006/relationships/hyperlink" Target="https://drive.google.com/drive/folders/1iXXXI8AUN2qzP-l9i7Vb4Z_ch9sn0od-" TargetMode="External"/><Relationship Id="rId5300" Type="http://schemas.openxmlformats.org/officeDocument/2006/relationships/hyperlink" Target="https://www.vidio.com/live/18304-uefa-champions-league?schedule_id=4684726" TargetMode="External"/><Relationship Id="rId7058" Type="http://schemas.openxmlformats.org/officeDocument/2006/relationships/hyperlink" Target="https://drive.google.com/drive/folders/1MX84RU5rZmbIJdFqPDVJ1-8zszjjl40g?usp=drive_link" TargetMode="External"/><Relationship Id="rId8456" Type="http://schemas.openxmlformats.org/officeDocument/2006/relationships/hyperlink" Target="https://drive.google.com/file/d/1WZfAlGlLwqsrXpphQgjY2zBAVRIxhTAh/view?usp=sharing" TargetMode="External"/><Relationship Id="rId8870" Type="http://schemas.openxmlformats.org/officeDocument/2006/relationships/hyperlink" Target="https://drive.google.com/drive/folders/1Iyv1zMkN5E8_EHOjEohuYhTE5lmS6nof?usp=drive_link" TargetMode="External"/><Relationship Id="rId9507" Type="http://schemas.openxmlformats.org/officeDocument/2006/relationships/hyperlink" Target="https://drive.google.com/file/d/1FkyVpqdiaUASQL7c0mqDAqHfCene23vQ/view?usp=drive_link" TargetMode="External"/><Relationship Id="rId9921" Type="http://schemas.openxmlformats.org/officeDocument/2006/relationships/hyperlink" Target="https://drive.google.com/drive/folders/1A6wIhnk8Q9xqR6IIWWlE0sK5MILHJcfA" TargetMode="External"/><Relationship Id="rId10386" Type="http://schemas.openxmlformats.org/officeDocument/2006/relationships/hyperlink" Target="https://drive.google.com/drive/folders/1T6Td0uzP1zfNXUOqShBjM2UsHGuRinHf?usp=sharing" TargetMode="External"/><Relationship Id="rId11437" Type="http://schemas.openxmlformats.org/officeDocument/2006/relationships/hyperlink" Target="https://www.vidio.com/live/18249-hsbc-bwf-world-tour-finals-2025-semifinals?schedule_id=4788334" TargetMode="External"/><Relationship Id="rId11851" Type="http://schemas.openxmlformats.org/officeDocument/2006/relationships/hyperlink" Target="https://drive.google.com/drive/folders/1Ty2H_i_qk549qwdTHB8xBRYGJbtv8v5N?usp=drive_link" TargetMode="External"/><Relationship Id="rId1910" Type="http://schemas.openxmlformats.org/officeDocument/2006/relationships/hyperlink" Target="https://drive.google.com/drive/folders/1LGi9dLurk_Jo_59rg1c1WXWuzIKHgb6W" TargetMode="External"/><Relationship Id="rId7472" Type="http://schemas.openxmlformats.org/officeDocument/2006/relationships/hyperlink" Target="https://drive.google.com/drive/folders/1NepG6XT-FSa8Cs07sX3tPfQWLNpJfAxp" TargetMode="External"/><Relationship Id="rId8109" Type="http://schemas.openxmlformats.org/officeDocument/2006/relationships/hyperlink" Target="https://drive.google.com/drive/folders/1Or9nbKc9oHurnmWVTNSCETMJd9J4uS5B?usp=drive_link" TargetMode="External"/><Relationship Id="rId8523" Type="http://schemas.openxmlformats.org/officeDocument/2006/relationships/hyperlink" Target="https://drive.google.com/file/d/1POHS_plEvv3vbvphA5vSIz2zle252KMn/view?usp=sharing" TargetMode="External"/><Relationship Id="rId10039" Type="http://schemas.openxmlformats.org/officeDocument/2006/relationships/hyperlink" Target="https://thumbor.prod.vidiocdn.com/bUUmshhUbQMDu7eLYvNIcQf5mVM=/filters:quality(70)/vidio-media-production/uploads/image/source/52660/380348.png" TargetMode="External"/><Relationship Id="rId10453" Type="http://schemas.openxmlformats.org/officeDocument/2006/relationships/hyperlink" Target="https://www.vidio.com/live/19738-turkish-volleyball-league?schedule_id=4791216" TargetMode="External"/><Relationship Id="rId11504" Type="http://schemas.openxmlformats.org/officeDocument/2006/relationships/hyperlink" Target="https://drive.google.com/drive/folders/1yLptcEKoFrBwvZ8Q75p9PWoM7N_ga1Mh" TargetMode="External"/><Relationship Id="rId3668" Type="http://schemas.openxmlformats.org/officeDocument/2006/relationships/hyperlink" Target="https://drive.google.com/file/d/1p9ZyFnqOXQ3FHpgjnHs5tr14WcNPI15O/view?usp=sharing" TargetMode="External"/><Relationship Id="rId4719" Type="http://schemas.openxmlformats.org/officeDocument/2006/relationships/hyperlink" Target="https://www.vidio.com/live/19404-serie-a?schedule_id=4783763" TargetMode="External"/><Relationship Id="rId6074" Type="http://schemas.openxmlformats.org/officeDocument/2006/relationships/hyperlink" Target="https://drive.google.com/file/d/165EGsuubT6noq9WSvjBiYOYF7JWBdoKT/view?usp=sharing" TargetMode="External"/><Relationship Id="rId7125" Type="http://schemas.openxmlformats.org/officeDocument/2006/relationships/hyperlink" Target="https://drive.google.com/file/d/1mJlS8LHPyuwhhECIOXbrNjtZanrRlJOB/view?usp=sharing" TargetMode="External"/><Relationship Id="rId10106" Type="http://schemas.openxmlformats.org/officeDocument/2006/relationships/hyperlink" Target="https://drive.google.com/file/d/1bGAtWdCSL-v2iZg1GvRoYwXZwXVqVH3x/view?usp=sharing" TargetMode="External"/><Relationship Id="rId589" Type="http://schemas.openxmlformats.org/officeDocument/2006/relationships/hyperlink" Target="https://drive.google.com/drive/folders/1-a1WqPS3TPoZ404BZObcteybhGQE_H4R?usp=drive_link" TargetMode="External"/><Relationship Id="rId2684" Type="http://schemas.openxmlformats.org/officeDocument/2006/relationships/hyperlink" Target="https://www.vidio.com/live/6299-bein-1?schedule_id=4655939" TargetMode="External"/><Relationship Id="rId3735" Type="http://schemas.openxmlformats.org/officeDocument/2006/relationships/hyperlink" Target="https://drive.google.com/file/d/13I_l-IxlAKvMQBP4VC3CtmCzPJSTi85U/view?usp=sharing" TargetMode="External"/><Relationship Id="rId5090" Type="http://schemas.openxmlformats.org/officeDocument/2006/relationships/hyperlink" Target="https://www.vidio.com/live/6299-bein-1?schedule_id=4607910" TargetMode="External"/><Relationship Id="rId6141" Type="http://schemas.openxmlformats.org/officeDocument/2006/relationships/hyperlink" Target="https://drive.google.com/drive/folders/1fbFWL0Q9HhFTtHG6kECADQkCN3LEs37y?usp=drive_link" TargetMode="External"/><Relationship Id="rId9297" Type="http://schemas.openxmlformats.org/officeDocument/2006/relationships/hyperlink" Target="https://www.vidio.com/live/20048-fivb-volleyball-club-world-championship-2025?schedule_id=4779491" TargetMode="External"/><Relationship Id="rId10520" Type="http://schemas.openxmlformats.org/officeDocument/2006/relationships/hyperlink" Target="https://drive.google.com/file/d/1sirL8A0rG_st80YmOZP9VRUj_jh-rMWd/view?usp=sharing" TargetMode="External"/><Relationship Id="rId12278" Type="http://schemas.openxmlformats.org/officeDocument/2006/relationships/hyperlink" Target="https://www.vidio.com/live/20275?schedule_id=4833882" TargetMode="External"/><Relationship Id="rId656" Type="http://schemas.openxmlformats.org/officeDocument/2006/relationships/hyperlink" Target="https://drive.google.com/drive/folders/1ds9PMo8hFSwSpLmEp1JSAss9vLnn8zkw" TargetMode="External"/><Relationship Id="rId1286" Type="http://schemas.openxmlformats.org/officeDocument/2006/relationships/hyperlink" Target="https://drive.google.com/drive/folders/1uVP92lptHqeiG93w4ngIwQ1kmERUzjc9?usp=drive_link" TargetMode="External"/><Relationship Id="rId2337" Type="http://schemas.openxmlformats.org/officeDocument/2006/relationships/hyperlink" Target="https://drive.google.com/file/d/1smAnO33Qf0sHGeix4jHM69GxkwwHVGY6/view?usp=drive_link" TargetMode="External"/><Relationship Id="rId9364" Type="http://schemas.openxmlformats.org/officeDocument/2006/relationships/hyperlink" Target="https://drive.google.com/file/d/1VNluIzXLmho16D1MjHfAnyuKEGPQFnGH/view?usp=sharing" TargetMode="External"/><Relationship Id="rId309" Type="http://schemas.openxmlformats.org/officeDocument/2006/relationships/hyperlink" Target="https://drive.google.com/drive/folders/1RB2EQXZHqIJHbC86UuUYdYFNYRZyGXGt?usp=drive_link" TargetMode="External"/><Relationship Id="rId2751" Type="http://schemas.openxmlformats.org/officeDocument/2006/relationships/hyperlink" Target="https://drive.google.com/file/d/111Ign6wkZKM1rjNbtuRfQPwmR-p3OqSr/view?usp=drive_link" TargetMode="External"/><Relationship Id="rId3802" Type="http://schemas.openxmlformats.org/officeDocument/2006/relationships/hyperlink" Target="https://drive.google.com/drive/folders/1OX2UNfH6PkXIRqpgHuuKo-Yi96KVwcAx?usp=sharing" TargetMode="External"/><Relationship Id="rId6958" Type="http://schemas.openxmlformats.org/officeDocument/2006/relationships/hyperlink" Target="https://drive.google.com/drive/folders/1cX8reCWG4FRLcbKQcsqU14xZnZ9amgWX?usp=drive_link" TargetMode="External"/><Relationship Id="rId8380" Type="http://schemas.openxmlformats.org/officeDocument/2006/relationships/hyperlink" Target="https://drive.google.com/drive/folders/13xw3bAgeHVBCqG9W46bQ4aImcicD3iIn" TargetMode="External"/><Relationship Id="rId9017" Type="http://schemas.openxmlformats.org/officeDocument/2006/relationships/hyperlink" Target="https://www.vidio.com/live/6685-champions-tv-1?schedule_id=4702056" TargetMode="External"/><Relationship Id="rId11294" Type="http://schemas.openxmlformats.org/officeDocument/2006/relationships/hyperlink" Target="https://thumbor.prod.vidiocdn.com/g5Fkizm6ozF2NNzHChNEq_My8eM=/filters:quality(70)/vidio-media-production/uploads/image/source/52373/f989c2.png" TargetMode="External"/><Relationship Id="rId12345" Type="http://schemas.openxmlformats.org/officeDocument/2006/relationships/hyperlink" Target="https://drive.google.com/file/d/17nqJ8YbOWxi4DOQmMA4_VvY1qMuE4tM4/view?usp=sharing" TargetMode="External"/><Relationship Id="rId723" Type="http://schemas.openxmlformats.org/officeDocument/2006/relationships/hyperlink" Target="https://drive.google.com/file/d/1RRHSjdwU2onO8HSsrmNzCiTbeDWiS5_1/view?usp=sharing" TargetMode="External"/><Relationship Id="rId1006" Type="http://schemas.openxmlformats.org/officeDocument/2006/relationships/hyperlink" Target="https://drive.google.com/file/d/17PeMjGIw3tWgqC3APWAOroibYWf9ayvT/view?usp=sharing" TargetMode="External"/><Relationship Id="rId1353" Type="http://schemas.openxmlformats.org/officeDocument/2006/relationships/hyperlink" Target="https://drive.google.com/drive/folders/14lITpxGmHzzxnGvjrFWYqT0BlTbY96DF?usp=drive_link" TargetMode="External"/><Relationship Id="rId2404" Type="http://schemas.openxmlformats.org/officeDocument/2006/relationships/hyperlink" Target="https://drive.google.com/drive/folders/1jTpCxrE8bgpjQYW1oUGksG0BEWGOqt2M?usp=drive_link" TargetMode="External"/><Relationship Id="rId5974" Type="http://schemas.openxmlformats.org/officeDocument/2006/relationships/hyperlink" Target="https://drive.google.com/file/d/1p9dQDnWB9El0yjAmwRsWYHpc1SLFQFkU/view?usp=sharing" TargetMode="External"/><Relationship Id="rId8033" Type="http://schemas.openxmlformats.org/officeDocument/2006/relationships/hyperlink" Target="https://drive.google.com/file/d/12vfEU6EIa30-OJt_YxRgIxbhpPCVxKLG/view?usp=sharing" TargetMode="External"/><Relationship Id="rId9431" Type="http://schemas.openxmlformats.org/officeDocument/2006/relationships/hyperlink" Target="https://drive.google.com/drive/folders/1PFaEnY0vs3vgN27Yzb2pCkuaM5KQU2_r?usp=drive_link" TargetMode="External"/><Relationship Id="rId11361" Type="http://schemas.openxmlformats.org/officeDocument/2006/relationships/hyperlink" Target="https://www.vidio.com/live/20106-top-youth-premier-league-perempat-final-dan-semifinal?schedule_id=4786449" TargetMode="External"/><Relationship Id="rId12412" Type="http://schemas.openxmlformats.org/officeDocument/2006/relationships/hyperlink" Target="https://drive.google.com/drive/folders/1tni-eURfEFKRVxfoCHzmLE1mqpTQd2nq" TargetMode="External"/><Relationship Id="rId1420" Type="http://schemas.openxmlformats.org/officeDocument/2006/relationships/hyperlink" Target="https://drive.google.com/drive/folders/13g-2xNYJ52g3CsquyDv4V9uUMoDq__RD?usp=drive_link" TargetMode="External"/><Relationship Id="rId4576" Type="http://schemas.openxmlformats.org/officeDocument/2006/relationships/hyperlink" Target="https://drive.google.com/file/d/12m6mJZQJZx2kcw3UZYjuCFXSZQ-Tkw6J/view?usp=sharing" TargetMode="External"/><Relationship Id="rId4990" Type="http://schemas.openxmlformats.org/officeDocument/2006/relationships/hyperlink" Target="https://drive.google.com/file/d/15tMMRhvq37w2gcu8HYCtHQ7qYVNIUyXx/view?usp=sharing" TargetMode="External"/><Relationship Id="rId5627" Type="http://schemas.openxmlformats.org/officeDocument/2006/relationships/hyperlink" Target="https://www.vidio.com/live/19602-uefa-europa-league?schedule_id=4610726" TargetMode="External"/><Relationship Id="rId11014" Type="http://schemas.openxmlformats.org/officeDocument/2006/relationships/hyperlink" Target="https://thumbor.prod.vidiocdn.com/OdqmATEbk0c9SopKyJOFzhTOJHI=/filters:quality(70)/vidio-media-production/uploads/image/source/53155/2027e2.png" TargetMode="External"/><Relationship Id="rId3178" Type="http://schemas.openxmlformats.org/officeDocument/2006/relationships/hyperlink" Target="https://drive.google.com/drive/folders/1vh74zlIVcvvzTsRqwNdCYa-GDTzGfb_H?usp=drive_link" TargetMode="External"/><Relationship Id="rId3592" Type="http://schemas.openxmlformats.org/officeDocument/2006/relationships/hyperlink" Target="https://drive.google.com/file/d/1gCek7dsSq2q11MZUEy7VDzCvISVQ-5dM/view?usp=share_link" TargetMode="External"/><Relationship Id="rId4229" Type="http://schemas.openxmlformats.org/officeDocument/2006/relationships/hyperlink" Target="https://drive.google.com/file/d/1Oq_1SeNkkSjXYgMjh5zmrSheTAMHIoDA/view?usp=sharing" TargetMode="External"/><Relationship Id="rId4643" Type="http://schemas.openxmlformats.org/officeDocument/2006/relationships/hyperlink" Target="https://drive.google.com/file/d/1mj739T0UXMYLo1ikBqeUAxhuccW0Vphp/view?usp=sharing" TargetMode="External"/><Relationship Id="rId7799" Type="http://schemas.openxmlformats.org/officeDocument/2006/relationships/hyperlink" Target="https://drive.google.com/file/d/1eDmM8WFI8xgxSDymT4SxxxVVi6-1oCkt/view?usp=sharing" TargetMode="External"/><Relationship Id="rId8100" Type="http://schemas.openxmlformats.org/officeDocument/2006/relationships/hyperlink" Target="https://drive.google.com/file/d/19hr7rkTOmfyzM_jWF5w-t7iieVfc4qLD/view?usp=drive_link" TargetMode="External"/><Relationship Id="rId10030" Type="http://schemas.openxmlformats.org/officeDocument/2006/relationships/hyperlink" Target="https://www.vidio.com/live/6299-bein-1?schedule_id=4802034" TargetMode="External"/><Relationship Id="rId2194" Type="http://schemas.openxmlformats.org/officeDocument/2006/relationships/hyperlink" Target="https://www.vidio.com/live/19354-bri-super-league?schedule_id=4783773" TargetMode="External"/><Relationship Id="rId3245" Type="http://schemas.openxmlformats.org/officeDocument/2006/relationships/hyperlink" Target="https://drive.google.com/drive/u/0/folders/1yyXXL-WeRnwGDn4docNyXioGnl-A7h6V" TargetMode="External"/><Relationship Id="rId4710" Type="http://schemas.openxmlformats.org/officeDocument/2006/relationships/hyperlink" Target="https://thumbor.prod.vidiocdn.com/2ZlCb5XfnDbgh6z4OV8x9yJThog=/filters:quality(70)/vidio-media-production/uploads/image/source/51907/9f989f.png" TargetMode="External"/><Relationship Id="rId7866" Type="http://schemas.openxmlformats.org/officeDocument/2006/relationships/hyperlink" Target="https://drive.google.com/file/d/1nNOi57uU_uE4wIUlhAAlEOjUDokDm3Rx/view?usp=sharing" TargetMode="External"/><Relationship Id="rId166" Type="http://schemas.openxmlformats.org/officeDocument/2006/relationships/hyperlink" Target="https://www.vidio.com/live/9182-champions-tv-5?schedule_id=4525587" TargetMode="External"/><Relationship Id="rId580" Type="http://schemas.openxmlformats.org/officeDocument/2006/relationships/hyperlink" Target="https://www.vidio.com/live/9183-champions-tv-6?schedule_id=4668356" TargetMode="External"/><Relationship Id="rId2261" Type="http://schemas.openxmlformats.org/officeDocument/2006/relationships/hyperlink" Target="https://drive.google.com/file/d/1z96ZJ8NAW3Oh0ft7cAKVlFvngdP6Eh8J/view?usp=drive_link" TargetMode="External"/><Relationship Id="rId3312" Type="http://schemas.openxmlformats.org/officeDocument/2006/relationships/hyperlink" Target="https://www.vidio.com/live/19355-bri-super-league?schedule_id=4499126" TargetMode="External"/><Relationship Id="rId6468" Type="http://schemas.openxmlformats.org/officeDocument/2006/relationships/hyperlink" Target="https://www.vidio.com/live/19642-uefa-conference-league?schedule_id=4771647" TargetMode="External"/><Relationship Id="rId7519" Type="http://schemas.openxmlformats.org/officeDocument/2006/relationships/hyperlink" Target="https://drive.google.com/drive/folders/1WBASI4zqRa0yUpouO2VnhNbr7Cdcfp4m?usp=drive_link" TargetMode="External"/><Relationship Id="rId8917" Type="http://schemas.openxmlformats.org/officeDocument/2006/relationships/hyperlink" Target="https://drive.google.com/drive/folders/1fjSetC_9DVIWTMUyhz1MwCmv0TJqCws8?usp=drive_link" TargetMode="External"/><Relationship Id="rId10847" Type="http://schemas.openxmlformats.org/officeDocument/2006/relationships/hyperlink" Target="https://drive.google.com/drive/folders/1k4rJrnBm1_a30mDdHHdCFokcDawyZlbu?usp=drive_link" TargetMode="External"/><Relationship Id="rId233" Type="http://schemas.openxmlformats.org/officeDocument/2006/relationships/hyperlink" Target="https://drive.google.com/drive/folders/1x5oltw504lEKKuBsjIzep5zSRWPnmfqn?usp=drive_link" TargetMode="External"/><Relationship Id="rId5484" Type="http://schemas.openxmlformats.org/officeDocument/2006/relationships/hyperlink" Target="https://drive.google.com/drive/u/0/folders/1GSp0-HCF23O8imnHm_X7cF5dh-BE2gAX" TargetMode="External"/><Relationship Id="rId6882" Type="http://schemas.openxmlformats.org/officeDocument/2006/relationships/hyperlink" Target="https://drive.google.com/file/d/13aHXhar24VLUcN4hTQaSbYYB95UC0yu4/view?usp=sharing" TargetMode="External"/><Relationship Id="rId7933" Type="http://schemas.openxmlformats.org/officeDocument/2006/relationships/hyperlink" Target="https://drive.google.com/file/d/1pd1eTovKnbdz54xRAzkPesCiV-sU096x/view?usp=sharing" TargetMode="External"/><Relationship Id="rId10914" Type="http://schemas.openxmlformats.org/officeDocument/2006/relationships/hyperlink" Target="https://www.vidio.com/live/18250-hsbc-bwf-world-tour-finals-2025-group-stage-court-2?schedule_id=4783196" TargetMode="External"/><Relationship Id="rId300" Type="http://schemas.openxmlformats.org/officeDocument/2006/relationships/hyperlink" Target="https://drive.google.com/file/d/15G7suiCsaWeL2VKTZ51iXttAa-BqKQfA/view?usp=drive_link" TargetMode="External"/><Relationship Id="rId4086" Type="http://schemas.openxmlformats.org/officeDocument/2006/relationships/hyperlink" Target="https://www.vidio.com/live/19404-serie-a?schedule_id=4602002" TargetMode="External"/><Relationship Id="rId5137" Type="http://schemas.openxmlformats.org/officeDocument/2006/relationships/hyperlink" Target="https://drive.google.com/file/d/1YrImrMmzhB3UpRHSgqNExAK5uFFFGzVO/view?usp=sharing" TargetMode="External"/><Relationship Id="rId6535" Type="http://schemas.openxmlformats.org/officeDocument/2006/relationships/hyperlink" Target="https://www.vidio.com/live/19647-uefa-conference-league?schedule_id=4771667" TargetMode="External"/><Relationship Id="rId5551" Type="http://schemas.openxmlformats.org/officeDocument/2006/relationships/hyperlink" Target="https://drive.google.com/file/d/1NnCEPbw2onp1MKqij4UNPoq0IS59k6qE/view?usp=sharing" TargetMode="External"/><Relationship Id="rId6602" Type="http://schemas.openxmlformats.org/officeDocument/2006/relationships/hyperlink" Target="https://drive.google.com/drive/folders/1P-F-hbRUdC6iLSiOVF4yTTg9VV8259uM?usp=drive_link" TargetMode="External"/><Relationship Id="rId9758" Type="http://schemas.openxmlformats.org/officeDocument/2006/relationships/hyperlink" Target="https://www.vidio.com/live/20084-ea-sports-fc-supercup-2025-26?schedule_id=4783414" TargetMode="External"/><Relationship Id="rId11688" Type="http://schemas.openxmlformats.org/officeDocument/2006/relationships/hyperlink" Target="https://thumbor.prod.vidiocdn.com/0YN60il7FJ8mrki9oxPJL0-E41o=/filters:quality(70)/vidio-media-production/uploads/image/source/52885/141c74.png" TargetMode="External"/><Relationship Id="rId1747" Type="http://schemas.openxmlformats.org/officeDocument/2006/relationships/hyperlink" Target="https://drive.google.com/file/d/1G1407pU3GBIVimHDSm7CeK2KhbICrjig/view?usp=sharing" TargetMode="External"/><Relationship Id="rId4153" Type="http://schemas.openxmlformats.org/officeDocument/2006/relationships/hyperlink" Target="https://drive.google.com/file/d/1bnnIhsLk3VzqSeurUjQ0M-Y46xRNzG2I/view?usp=sharing" TargetMode="External"/><Relationship Id="rId5204" Type="http://schemas.openxmlformats.org/officeDocument/2006/relationships/hyperlink" Target="https://drive.google.com/file/d/1F9BFptzRapuwrpeLfbxcCX8wMfo62V9_/view?usp=sharing" TargetMode="External"/><Relationship Id="rId8774" Type="http://schemas.openxmlformats.org/officeDocument/2006/relationships/hyperlink" Target="https://drive.google.com/drive/folders/1SheZPpIntJIdG0IfKlryIhCN0JIgGMDM?usp=drive_link" TargetMode="External"/><Relationship Id="rId9825" Type="http://schemas.openxmlformats.org/officeDocument/2006/relationships/hyperlink" Target="https://drive.google.com/file/d/1bGAtWdCSL-v2iZg1GvRoYwXZwXVqVH3x/view" TargetMode="External"/><Relationship Id="rId39" Type="http://schemas.openxmlformats.org/officeDocument/2006/relationships/hyperlink" Target="https://drive.google.com/drive/folders/1TKcB-v6pU56l7KiZ3TesuJZkbZaIJnOX?usp=drive_link" TargetMode="External"/><Relationship Id="rId1814" Type="http://schemas.openxmlformats.org/officeDocument/2006/relationships/hyperlink" Target="https://www.vidio.com/live/19354-bri-super-league?schedule_id=4596462" TargetMode="External"/><Relationship Id="rId4220" Type="http://schemas.openxmlformats.org/officeDocument/2006/relationships/hyperlink" Target="https://drive.google.com/drive/folders/1q8mUYwCZfHj-8Gtb7COBnChnqgX9rpxm?usp=drive_link" TargetMode="External"/><Relationship Id="rId7376" Type="http://schemas.openxmlformats.org/officeDocument/2006/relationships/hyperlink" Target="https://drive.google.com/file/d/1dhD5DyODLK9zr1j2Oo5yXUkj9BmMxgMq/view?usp=sharing" TargetMode="External"/><Relationship Id="rId7790" Type="http://schemas.openxmlformats.org/officeDocument/2006/relationships/hyperlink" Target="https://drive.google.com/file/d/1mn707SYUBMBS8FO3xMa7J1q-UShTki_M/view?usp=drive_link" TargetMode="External"/><Relationship Id="rId8427" Type="http://schemas.openxmlformats.org/officeDocument/2006/relationships/hyperlink" Target="https://drive.google.com/file/d/1Y1jKGYUMyJXOTQ-9Zs2d-JS0PvCyYppL/view?usp=sharing" TargetMode="External"/><Relationship Id="rId8841" Type="http://schemas.openxmlformats.org/officeDocument/2006/relationships/hyperlink" Target="https://www.vidio.com/live/19671-easl?schedule_id=4769284" TargetMode="External"/><Relationship Id="rId10357" Type="http://schemas.openxmlformats.org/officeDocument/2006/relationships/hyperlink" Target="https://www.vidio.com/live/18249-hsbc-bwf-world-tour-finals-2025-group-stage-court-1" TargetMode="External"/><Relationship Id="rId11755" Type="http://schemas.openxmlformats.org/officeDocument/2006/relationships/hyperlink" Target="https://www.vidio.com/live/17139-spotv?schedule_id=4832543" TargetMode="External"/><Relationship Id="rId6392" Type="http://schemas.openxmlformats.org/officeDocument/2006/relationships/hyperlink" Target="https://drive.google.com/drive/folders/1tPKJOVfHK5ncUaCl8d_oI2L8tB1y5_jR" TargetMode="External"/><Relationship Id="rId7029" Type="http://schemas.openxmlformats.org/officeDocument/2006/relationships/hyperlink" Target="https://drive.google.com/file/d/18GBmJVJRiYYjGmnLd76rcEQj9Q08VvVv/view?usp=sharing" TargetMode="External"/><Relationship Id="rId7443" Type="http://schemas.openxmlformats.org/officeDocument/2006/relationships/hyperlink" Target="https://drive.google.com/file/d/1AxBpheseSWY77H5Yyu6lvGjyxK6YWv0c/view?usp=drive_link" TargetMode="External"/><Relationship Id="rId10771" Type="http://schemas.openxmlformats.org/officeDocument/2006/relationships/hyperlink" Target="https://www.vidio.com/live/20240-proliga-2026?schedule_id=4833009" TargetMode="External"/><Relationship Id="rId11408" Type="http://schemas.openxmlformats.org/officeDocument/2006/relationships/hyperlink" Target="https://thumbor.prod.vidiocdn.com/BPSmxCp0oFamaYmVZDeWeW-gMX0=/filters:quality(70)/vidio-media-production/uploads/image/source/52328/a0c5ee.png" TargetMode="External"/><Relationship Id="rId11822" Type="http://schemas.openxmlformats.org/officeDocument/2006/relationships/hyperlink" Target="https://www.vidio.com/live/18249-petronas-malaysia-open-2026-round-of-32-court-1?schedule_id=4831548" TargetMode="External"/><Relationship Id="rId2588" Type="http://schemas.openxmlformats.org/officeDocument/2006/relationships/hyperlink" Target="https://www.vidio.com/live/6299-bein-1?schedule_id=4601999" TargetMode="External"/><Relationship Id="rId3986" Type="http://schemas.openxmlformats.org/officeDocument/2006/relationships/hyperlink" Target="https://www.vidio.com/live/19472?schedule_id=4534260" TargetMode="External"/><Relationship Id="rId6045" Type="http://schemas.openxmlformats.org/officeDocument/2006/relationships/hyperlink" Target="https://drive.google.com/file/d/1934uOIBxDllqnTNRVHzijGexKZ_CrR5k/view?usp=drive_link" TargetMode="External"/><Relationship Id="rId10424" Type="http://schemas.openxmlformats.org/officeDocument/2006/relationships/hyperlink" Target="https://drive.google.com/file/d/1ArqQW8j4JrXw_6X7T8_Sj6kL_N_iU-xh/view?usp=sharing" TargetMode="External"/><Relationship Id="rId3639" Type="http://schemas.openxmlformats.org/officeDocument/2006/relationships/hyperlink" Target="https://drive.google.com/file/d/1ScPS0oCzZ7Zc-2R0Au5C4EPpuV2PYhJt/view?usp=sharing" TargetMode="External"/><Relationship Id="rId5061" Type="http://schemas.openxmlformats.org/officeDocument/2006/relationships/hyperlink" Target="https://drive.google.com/drive/folders/1I15jp9S33cs2EtKR-QXvd7O78e1f409k" TargetMode="External"/><Relationship Id="rId6112" Type="http://schemas.openxmlformats.org/officeDocument/2006/relationships/hyperlink" Target="https://drive.google.com/file/d/1p-QgFWe2snsPpZlIKhTJgZ3GEleQtmm7/view?usp=drive_link" TargetMode="External"/><Relationship Id="rId7510" Type="http://schemas.openxmlformats.org/officeDocument/2006/relationships/hyperlink" Target="https://www.vidio.com/live/19548-national-football-league-2025-26?schedule_id=4605159" TargetMode="External"/><Relationship Id="rId9268" Type="http://schemas.openxmlformats.org/officeDocument/2006/relationships/hyperlink" Target="https://drive.google.com/file/d/1bGAtWdCSL-v2iZg1GvRoYwXZwXVqVH3x/view?usp=drive_link" TargetMode="External"/><Relationship Id="rId974" Type="http://schemas.openxmlformats.org/officeDocument/2006/relationships/hyperlink" Target="https://drive.google.com/file/d/1gH-8ssCyeheaaVbQOj1kLOjEGmmNJgzo/view?usp=drive_link" TargetMode="External"/><Relationship Id="rId2655" Type="http://schemas.openxmlformats.org/officeDocument/2006/relationships/hyperlink" Target="https://drive.google.com/file/d/1VSs4Y2s_NqIU6LVsngW8o9hflz-0WI_Y/view?usp=sharing" TargetMode="External"/><Relationship Id="rId3706" Type="http://schemas.openxmlformats.org/officeDocument/2006/relationships/hyperlink" Target="https://www.vidio.com/live/17875-bein-2?schedule_id=4506545" TargetMode="External"/><Relationship Id="rId9682" Type="http://schemas.openxmlformats.org/officeDocument/2006/relationships/hyperlink" Target="https://www.vidio.com/live/20048-fivb-volleyball-club-world-championship-2025?schedule_id=4788324" TargetMode="External"/><Relationship Id="rId11198" Type="http://schemas.openxmlformats.org/officeDocument/2006/relationships/hyperlink" Target="https://www.vidio.com/live/18249-hsbc-bwf-world-tour-finals-2025-group-stage-court-1?schedule_id=4784602" TargetMode="External"/><Relationship Id="rId12249" Type="http://schemas.openxmlformats.org/officeDocument/2006/relationships/hyperlink" Target="https://drive.google.com/file/d/17nqJ8YbOWxi4DOQmMA4_VvY1qMuE4tM4/view?usp=sharing" TargetMode="External"/><Relationship Id="rId627" Type="http://schemas.openxmlformats.org/officeDocument/2006/relationships/hyperlink" Target="https://drive.google.com/file/d/1oVPvx97cUPjYWrsfK_aWL2oqJ6fuDvLQ/view?usp=sharing" TargetMode="External"/><Relationship Id="rId1257" Type="http://schemas.openxmlformats.org/officeDocument/2006/relationships/hyperlink" Target="https://www.vidio.com/live/9182-champions-tv-5?schedule_id=4831827" TargetMode="External"/><Relationship Id="rId1671" Type="http://schemas.openxmlformats.org/officeDocument/2006/relationships/hyperlink" Target="https://drive.google.com/drive/folders/1C2kKi9nAP9kZYRRktTFe_Ds8JKfL68FU?usp=sharing" TargetMode="External"/><Relationship Id="rId2308" Type="http://schemas.openxmlformats.org/officeDocument/2006/relationships/hyperlink" Target="https://drive.google.com/file/d/1ba7gwXvcfnLe6XRNuUNa0Sg3eCfLUZak/view?usp=sharing" TargetMode="External"/><Relationship Id="rId2722" Type="http://schemas.openxmlformats.org/officeDocument/2006/relationships/hyperlink" Target="https://drive.google.com/file/d/1baB1m--sNklPlltQrHayOuUMA9YEIUVP/view?usp=sharing" TargetMode="External"/><Relationship Id="rId5878" Type="http://schemas.openxmlformats.org/officeDocument/2006/relationships/hyperlink" Target="https://drive.google.com/drive/folders/1pYi5qIT6QdvkfDRfWH0qsk97hfAPMoyN?usp=drive_link" TargetMode="External"/><Relationship Id="rId6929" Type="http://schemas.openxmlformats.org/officeDocument/2006/relationships/hyperlink" Target="https://drive.google.com/drive/folders/1b1mJeWGoti729HDLkUXYtkhhPOnnra56" TargetMode="External"/><Relationship Id="rId8284" Type="http://schemas.openxmlformats.org/officeDocument/2006/relationships/hyperlink" Target="https://drive.google.com/file/d/1F7ABirx37n_IVNXcd6BT-1qL9mCPhY-a/view?usp=sharing" TargetMode="External"/><Relationship Id="rId9335" Type="http://schemas.openxmlformats.org/officeDocument/2006/relationships/hyperlink" Target="https://drive.google.com/file/d/1Uc1WjQnjo8sIIzx6rUeeUkpfzQ8onfCt/view?usp=sharing" TargetMode="External"/><Relationship Id="rId11265" Type="http://schemas.openxmlformats.org/officeDocument/2006/relationships/hyperlink" Target="https://drive.google.com/file/d/10-RuesjqqemDSDzNs1BxxN0LI3aoRDJJ/view?usp=sharing" TargetMode="External"/><Relationship Id="rId12316" Type="http://schemas.openxmlformats.org/officeDocument/2006/relationships/hyperlink" Target="https://www.vidio.com/live/20281?schedule_id=4833899" TargetMode="External"/><Relationship Id="rId1324" Type="http://schemas.openxmlformats.org/officeDocument/2006/relationships/hyperlink" Target="https://drive.google.com/drive/folders/1a2mFNTh5TJV_YPpfQpom1jrrvkq9zLSR?usp=drive_link" TargetMode="External"/><Relationship Id="rId4894" Type="http://schemas.openxmlformats.org/officeDocument/2006/relationships/hyperlink" Target="https://www.vidio.com/live/20108-serie-a?schedule_id=4832830" TargetMode="External"/><Relationship Id="rId5945" Type="http://schemas.openxmlformats.org/officeDocument/2006/relationships/hyperlink" Target="https://drive.google.com/drive/folders/1pYi5qIT6QdvkfDRfWH0qsk97hfAPMoyN?usp=drive_link" TargetMode="External"/><Relationship Id="rId8351" Type="http://schemas.openxmlformats.org/officeDocument/2006/relationships/hyperlink" Target="https://drive.google.com/file/d/1WwnYwSPemPhDExoFUNomPIhXQssX1a81/view?usp=sharing" TargetMode="External"/><Relationship Id="rId9402" Type="http://schemas.openxmlformats.org/officeDocument/2006/relationships/hyperlink" Target="https://thumbor.prod.vidiocdn.com/ZKoeEawiTtRMyH3614CHovnH85s=/filters:quality(70)/vidio-media-production/uploads/image/source/52558/0d34ae.png" TargetMode="External"/><Relationship Id="rId10281" Type="http://schemas.openxmlformats.org/officeDocument/2006/relationships/hyperlink" Target="https://www.vidio.com/live/20027?schedule_id=4765279" TargetMode="External"/><Relationship Id="rId11332" Type="http://schemas.openxmlformats.org/officeDocument/2006/relationships/hyperlink" Target="https://drive.google.com/file/d/1Eqg-InBXei6DjTSwuqtd1FnmYTTwS_6G/view?usp=sharing" TargetMode="External"/><Relationship Id="rId30" Type="http://schemas.openxmlformats.org/officeDocument/2006/relationships/hyperlink" Target="https://drive.google.com/drive/folders/1Efupir26sUywCSDF76rnpkfjVpsiFaeT" TargetMode="External"/><Relationship Id="rId3496" Type="http://schemas.openxmlformats.org/officeDocument/2006/relationships/hyperlink" Target="https://drive.google.com/file/d/1iVovPIT7eFL7Uy8PX1yq5BjdwGJ7nqgx/view?usp=drive_link" TargetMode="External"/><Relationship Id="rId4547" Type="http://schemas.openxmlformats.org/officeDocument/2006/relationships/hyperlink" Target="https://drive.google.com/file/d/14SerWscfcarBkKkFpR9KnDFQagDw_i11/view?usp=sharing" TargetMode="External"/><Relationship Id="rId8004" Type="http://schemas.openxmlformats.org/officeDocument/2006/relationships/hyperlink" Target="https://drive.google.com/file/d/15L7018DPh5HSnHlm5EQG2qc88u5MMcyx/view?usp=drive_link" TargetMode="External"/><Relationship Id="rId2098" Type="http://schemas.openxmlformats.org/officeDocument/2006/relationships/hyperlink" Target="https://www.vidio.com/live/19354-bri-super-league?schedule_id=4725595" TargetMode="External"/><Relationship Id="rId3149" Type="http://schemas.openxmlformats.org/officeDocument/2006/relationships/hyperlink" Target="https://drive.google.com/drive/folders/1vP_JIU68RvPZwnWGiZQu_HJyWpG1ph8s?usp=drive_link" TargetMode="External"/><Relationship Id="rId3563" Type="http://schemas.openxmlformats.org/officeDocument/2006/relationships/hyperlink" Target="https://thumbor.prod.vidiocdn.com/uUCNtYY5FsSCGHj3uFbxHpfRjyk=/filters:quality(70)/vidio-media-production/uploads/image/source/52865/047f8c.png" TargetMode="External"/><Relationship Id="rId4961" Type="http://schemas.openxmlformats.org/officeDocument/2006/relationships/hyperlink" Target="https://drive.google.com/file/d/1Ihj3sl8K4Y43yf05QLu_wgNm2UluFG8E/view?usp=sharing" TargetMode="External"/><Relationship Id="rId7020" Type="http://schemas.openxmlformats.org/officeDocument/2006/relationships/hyperlink" Target="https://www.vidio.com/live/19543-pegadaian-championship-2025-26?schedule_id=4626332" TargetMode="External"/><Relationship Id="rId484" Type="http://schemas.openxmlformats.org/officeDocument/2006/relationships/hyperlink" Target="https://drive.google.com/drive/folders/1Vw5ULB3fjb8MiDjTT3Dib7EARuLaPv18" TargetMode="External"/><Relationship Id="rId2165" Type="http://schemas.openxmlformats.org/officeDocument/2006/relationships/hyperlink" Target="https://drive.google.com/drive/folders/1r03lXJNY4APnbN7jMHEGtYKY6Gov7wjh" TargetMode="External"/><Relationship Id="rId3216" Type="http://schemas.openxmlformats.org/officeDocument/2006/relationships/hyperlink" Target="https://thumbor.prod.vidiocdn.com/2SSEqagm-L2KyBFpoQ9mJkhBVXM=/filters:quality(70)/vidio-media-production/uploads/image/source/52783/dab8ce.png" TargetMode="External"/><Relationship Id="rId4614" Type="http://schemas.openxmlformats.org/officeDocument/2006/relationships/hyperlink" Target="https://drive.google.com/file/d/1VbKglIFnYSLKcmGBMKZ2H0XzFn8kWLaq/view?usp=sharing" TargetMode="External"/><Relationship Id="rId9192" Type="http://schemas.openxmlformats.org/officeDocument/2006/relationships/hyperlink" Target="https://www.vidio.com/live/19802-top-youth-premier-league-2025-matchday-10?schedule_id=4709327" TargetMode="External"/><Relationship Id="rId10001" Type="http://schemas.openxmlformats.org/officeDocument/2006/relationships/hyperlink" Target="https://drive.google.com/file/d/1x1yTli4JrkNN4NXl_S4RZrFaGGV4fjnN/view?usp=sharing" TargetMode="External"/><Relationship Id="rId137" Type="http://schemas.openxmlformats.org/officeDocument/2006/relationships/hyperlink" Target="https://drive.google.com/drive/folders/1MyGNNsN6sJa9OnJZ6GrPJgcQIeFJnDos?usp=drive_link" TargetMode="External"/><Relationship Id="rId3630" Type="http://schemas.openxmlformats.org/officeDocument/2006/relationships/hyperlink" Target="https://drive.google.com/drive/folders/1TnF-EG4ftgLIH92VE18j7vrxX4mA-Up3?usp=drive_link" TargetMode="External"/><Relationship Id="rId6786" Type="http://schemas.openxmlformats.org/officeDocument/2006/relationships/hyperlink" Target="https://www.vidio.com/live/19519?schedule_id=4553309" TargetMode="External"/><Relationship Id="rId7837" Type="http://schemas.openxmlformats.org/officeDocument/2006/relationships/hyperlink" Target="https://drive.google.com/drive/folders/1uTCyWq7YuqsEe4qeTR9VXln0Zh3TKjT7" TargetMode="External"/><Relationship Id="rId10818" Type="http://schemas.openxmlformats.org/officeDocument/2006/relationships/hyperlink" Target="https://www.vidio.com/live/18250-hsbc-bwf-world-tour-finals-2025-group-stage-court-2?schedule_id=4782104" TargetMode="External"/><Relationship Id="rId12173" Type="http://schemas.openxmlformats.org/officeDocument/2006/relationships/hyperlink" Target="https://drive.google.com/file/d/17nqJ8YbOWxi4DOQmMA4_VvY1qMuE4tM4/view?usp=drive_link" TargetMode="External"/><Relationship Id="rId551" Type="http://schemas.openxmlformats.org/officeDocument/2006/relationships/hyperlink" Target="https://drive.google.com/file/d/1YQ_uEKmqf3zGXJ9c8OdWVsGAc9qY-FvN/view?usp=sharing" TargetMode="External"/><Relationship Id="rId1181" Type="http://schemas.openxmlformats.org/officeDocument/2006/relationships/hyperlink" Target="https://drive.google.com/drive/folders/181u7o0b6PTF94_T1b0FFkBswMffAlc_7" TargetMode="External"/><Relationship Id="rId2232" Type="http://schemas.openxmlformats.org/officeDocument/2006/relationships/hyperlink" Target="https://drive.google.com/file/d/1czWkIB1drzvndBeoL31Fwnm46pSG8sMh/view?usp=sharing" TargetMode="External"/><Relationship Id="rId5388" Type="http://schemas.openxmlformats.org/officeDocument/2006/relationships/hyperlink" Target="https://drive.google.com/file/d/1xwPE8HRB0VWqt00ACcz0JmO3bsOUX2W6/view?usp=sharing" TargetMode="External"/><Relationship Id="rId6439" Type="http://schemas.openxmlformats.org/officeDocument/2006/relationships/hyperlink" Target="https://drive.google.com/drive/folders/1F9lLmIvT4-3oh_Jbh-sne-zsyB6ey7v0" TargetMode="External"/><Relationship Id="rId6853" Type="http://schemas.openxmlformats.org/officeDocument/2006/relationships/hyperlink" Target="https://drive.google.com/drive/u/0/folders/13qmkcEhqQefaPDQC9V0s5EWGJ3il9m9L" TargetMode="External"/><Relationship Id="rId7904" Type="http://schemas.openxmlformats.org/officeDocument/2006/relationships/hyperlink" Target="https://drive.google.com/drive/folders/1AYtbYHGQEb9yZlsP2MaABbs8gdNud9Yx?usp=sharing" TargetMode="External"/><Relationship Id="rId12240" Type="http://schemas.openxmlformats.org/officeDocument/2006/relationships/hyperlink" Target="https://drive.google.com/file/d/17nqJ8YbOWxi4DOQmMA4_VvY1qMuE4tM4/view?usp=sharing" TargetMode="External"/><Relationship Id="rId204" Type="http://schemas.openxmlformats.org/officeDocument/2006/relationships/hyperlink" Target="https://drive.google.com/drive/folders/1keBgYGAW2V9gleWyOBlIJnrRzNas7sPg?usp=drive_link" TargetMode="External"/><Relationship Id="rId1998" Type="http://schemas.openxmlformats.org/officeDocument/2006/relationships/hyperlink" Target="https://drive.google.com/drive/folders/1FgQomkPL3aq477Uy9GxWKenK60sBgbi9" TargetMode="External"/><Relationship Id="rId5455" Type="http://schemas.openxmlformats.org/officeDocument/2006/relationships/hyperlink" Target="https://drive.google.com/drive/u/0/folders/1UIWEOCXX5o43J6RgqacA4Mc1SRddx318" TargetMode="External"/><Relationship Id="rId6506" Type="http://schemas.openxmlformats.org/officeDocument/2006/relationships/hyperlink" Target="https://drive.google.com/file/d/138YU7uXhbtIdGybbuGTUOKNjZSTvbdpl/view?usp=drive_link" TargetMode="External"/><Relationship Id="rId6920" Type="http://schemas.openxmlformats.org/officeDocument/2006/relationships/hyperlink" Target="https://drive.google.com/file/d/1DVfdp90O1jg_nE4mCEprDlZb7EkMLXX-/view?usp=drive_link" TargetMode="External"/><Relationship Id="rId4057" Type="http://schemas.openxmlformats.org/officeDocument/2006/relationships/hyperlink" Target="https://drive.google.com/drive/folders/1KEbcr6U_ZqEhtv_7d6qSImpjmWPCeGg3?usp=drive_link" TargetMode="External"/><Relationship Id="rId4471" Type="http://schemas.openxmlformats.org/officeDocument/2006/relationships/hyperlink" Target="https://drive.google.com/file/d/1xGBl4gDKaaAsRT7iS5fPyNC3HtkLr7hL/view?usp=sharing" TargetMode="External"/><Relationship Id="rId5108" Type="http://schemas.openxmlformats.org/officeDocument/2006/relationships/hyperlink" Target="https://drive.google.com/file/d/1qjZ7mKmz1EKPtYGJMy_-CHSfABREOyGU/view?usp=sharing" TargetMode="External"/><Relationship Id="rId5522" Type="http://schemas.openxmlformats.org/officeDocument/2006/relationships/hyperlink" Target="https://drive.google.com/drive/folders/1SoKs279Rr3Qs_rQHjvkGxuWrEqobwSd7?usp=drive_link" TargetMode="External"/><Relationship Id="rId8678" Type="http://schemas.openxmlformats.org/officeDocument/2006/relationships/hyperlink" Target="https://www.vidio.com/live/19548-national-football-league-2025-26?schedule_id=4690714" TargetMode="External"/><Relationship Id="rId9729" Type="http://schemas.openxmlformats.org/officeDocument/2006/relationships/hyperlink" Target="https://drive.google.com/drive/folders/1Jq1YFAWvih7agitPQnNBo7GwIy8SdGBw?usp=drive_link" TargetMode="External"/><Relationship Id="rId3073" Type="http://schemas.openxmlformats.org/officeDocument/2006/relationships/hyperlink" Target="https://thumbor.prod.vidiocdn.com/tDdN0we9r2_zvGv5Qru6zz8wtCI=/filters:quality(70)/vidio-media-production/uploads/image/source/51608/23a804.png" TargetMode="External"/><Relationship Id="rId4124" Type="http://schemas.openxmlformats.org/officeDocument/2006/relationships/hyperlink" Target="https://drive.google.com/file/d/1cIQ1g_90_LxCWA-yS7DUwjua7izJdXqD/view?usp=drive_link" TargetMode="External"/><Relationship Id="rId7694" Type="http://schemas.openxmlformats.org/officeDocument/2006/relationships/hyperlink" Target="https://drive.google.com/drive/folders/1Ot7yfiOQe0JnNXYSo3xTHhzITdBMH2pK?usp=drive_link" TargetMode="External"/><Relationship Id="rId11659" Type="http://schemas.openxmlformats.org/officeDocument/2006/relationships/hyperlink" Target="https://thumbor.prod.vidiocdn.com/HPkRuB2FJUJD6GfPDNBRAiC_JKM=/filters:quality(70)/vidio-media-production/uploads/image/source/53244/308278.png" TargetMode="External"/><Relationship Id="rId1718" Type="http://schemas.openxmlformats.org/officeDocument/2006/relationships/hyperlink" Target="https://www.vidio.com/live/205-indosiar?schedule_id=4570984" TargetMode="External"/><Relationship Id="rId3140" Type="http://schemas.openxmlformats.org/officeDocument/2006/relationships/hyperlink" Target="https://thumbor.prod.vidiocdn.com/xItkECwfxzRAiw7RAg7gaYSZPkU=/filters:quality(70)/vidio-media-production/uploads/image/source/52100/20997b.png" TargetMode="External"/><Relationship Id="rId6296" Type="http://schemas.openxmlformats.org/officeDocument/2006/relationships/hyperlink" Target="https://drive.google.com/drive/folders/19XT07hU5FrUvjHivWvV_3lyv7jL33LXs" TargetMode="External"/><Relationship Id="rId7347" Type="http://schemas.openxmlformats.org/officeDocument/2006/relationships/hyperlink" Target="https://drive.google.com/drive/folders/1_gCJxyWHSSj9xK2s52SDujXZPAF6sw6k" TargetMode="External"/><Relationship Id="rId8745" Type="http://schemas.openxmlformats.org/officeDocument/2006/relationships/hyperlink" Target="https://drive.google.com/file/d/1DNux4glLBnqI-DzUHKvsJVIQIe0fQ_QF/view?usp=sharing" TargetMode="External"/><Relationship Id="rId10675" Type="http://schemas.openxmlformats.org/officeDocument/2006/relationships/hyperlink" Target="https://thumbor.prod.vidiocdn.com/LoQEP8ESyU4u7EburaNMClx1NSk=/filters:quality(70)/vidio-media-production/uploads/image/source/52894/38e60f.png" TargetMode="External"/><Relationship Id="rId11726" Type="http://schemas.openxmlformats.org/officeDocument/2006/relationships/hyperlink" Target="https://www.vidio.com/live/19536-premier-league?schedule_id=4832227" TargetMode="External"/><Relationship Id="rId7761" Type="http://schemas.openxmlformats.org/officeDocument/2006/relationships/hyperlink" Target="https://drive.google.com/file/d/1XRgw6sYiHCxiooHl1J9SR27o_dgSW5wm/view?usp=sharing" TargetMode="External"/><Relationship Id="rId8812" Type="http://schemas.openxmlformats.org/officeDocument/2006/relationships/hyperlink" Target="https://drive.google.com/file/d/1QaSbZQjkYnRSzV9bcto11cI9W5Qb1few/view?usp=sharing" TargetMode="External"/><Relationship Id="rId10328" Type="http://schemas.openxmlformats.org/officeDocument/2006/relationships/hyperlink" Target="https://drive.google.com/file/d/1pAgKr6kaIzEUwE0dwkzPh-b2u_H2ZUA9/view?usp=sharing" TargetMode="External"/><Relationship Id="rId10742" Type="http://schemas.openxmlformats.org/officeDocument/2006/relationships/hyperlink" Target="https://drive.google.com/drive/folders/1-50WB0GH_MTT4KdIxJdtW6ruBoJ5Hr7_?usp=drive_link" TargetMode="External"/><Relationship Id="rId3957" Type="http://schemas.openxmlformats.org/officeDocument/2006/relationships/hyperlink" Target="https://drive.google.com/drive/folders/1NepG6XT-FSa8Cs07sX3tPfQWLNpJfAxp" TargetMode="External"/><Relationship Id="rId6363" Type="http://schemas.openxmlformats.org/officeDocument/2006/relationships/hyperlink" Target="https://drive.google.com/drive/folders/1_QyyUC0KxsA5I5XnGSR_moWG1pYIaeRU" TargetMode="External"/><Relationship Id="rId7414" Type="http://schemas.openxmlformats.org/officeDocument/2006/relationships/hyperlink" Target="https://drive.google.com/file/d/1k5rrS5WfJJgjotWtqZQPbT8hQdKVsGCh/view?usp=sharing" TargetMode="External"/><Relationship Id="rId878" Type="http://schemas.openxmlformats.org/officeDocument/2006/relationships/hyperlink" Target="https://drive.google.com/drive/folders/1WB5RMrJafdkxgc0CdZvq6o2Z-yCqfWQu?usp=drive_link" TargetMode="External"/><Relationship Id="rId2559" Type="http://schemas.openxmlformats.org/officeDocument/2006/relationships/hyperlink" Target="https://drive.google.com/file/d/1skgetRXT-uw9yX5UAx0qbjqbJ4lnd31_/view?usp=sharing" TargetMode="External"/><Relationship Id="rId2973" Type="http://schemas.openxmlformats.org/officeDocument/2006/relationships/hyperlink" Target="https://drive.google.com/file/d/1YMcKCspkAI89ydvFw7BE7T8TFmRyyQ7A/view?usp=sharing" TargetMode="External"/><Relationship Id="rId6016" Type="http://schemas.openxmlformats.org/officeDocument/2006/relationships/hyperlink" Target="https://drive.google.com/file/d/1kquvFrMOG6gzmmTv8BWI9Vv5o0zrKJmY/view?usp=sharing" TargetMode="External"/><Relationship Id="rId6430" Type="http://schemas.openxmlformats.org/officeDocument/2006/relationships/hyperlink" Target="https://drive.google.com/file/d/1zqAsUnGDNvfS0lVIsYPEeagOGrtTkIPC/view?usp=sharing" TargetMode="External"/><Relationship Id="rId9586" Type="http://schemas.openxmlformats.org/officeDocument/2006/relationships/hyperlink" Target="https://drive.google.com/drive/folders/1cExgOukP_2G2QZh3A-AMEGCbnJvOMqUV" TargetMode="External"/><Relationship Id="rId945" Type="http://schemas.openxmlformats.org/officeDocument/2006/relationships/hyperlink" Target="https://drive.google.com/file/d/16yvPrgZYp15dVhvuzKhp_iKD0YTHd4Dr/view?usp=sharing" TargetMode="External"/><Relationship Id="rId1575" Type="http://schemas.openxmlformats.org/officeDocument/2006/relationships/hyperlink" Target="https://drive.google.com/drive/folders/14V1BGhJj6mWb2eLAu27XfjQao8N7SJ53" TargetMode="External"/><Relationship Id="rId2626" Type="http://schemas.openxmlformats.org/officeDocument/2006/relationships/hyperlink" Target="https://drive.google.com/file/d/1FU4FoylGP6rYKSLUjovaqO-arPOpHk5a/view?usp=sharing" TargetMode="External"/><Relationship Id="rId5032" Type="http://schemas.openxmlformats.org/officeDocument/2006/relationships/hyperlink" Target="https://drive.google.com/drive/folders/194xyYMPLG1487kgruipg6P9_U9iX4y_Q" TargetMode="External"/><Relationship Id="rId8188" Type="http://schemas.openxmlformats.org/officeDocument/2006/relationships/hyperlink" Target="https://drive.google.com/drive/u/0/folders/1m01Q6VB4daUhbn0IAtjhW9IaUd59FFT6" TargetMode="External"/><Relationship Id="rId9239" Type="http://schemas.openxmlformats.org/officeDocument/2006/relationships/hyperlink" Target="https://drive.google.com/file/d/1bGAtWdCSL-v2iZg1GvRoYwXZwXVqVH3x/view?usp=sharing" TargetMode="External"/><Relationship Id="rId9653" Type="http://schemas.openxmlformats.org/officeDocument/2006/relationships/hyperlink" Target="https://drive.google.com/file/d/1oQfq-zNJktR8XFaCON-oGpnBvZthDwKs/view?usp=sharing" TargetMode="External"/><Relationship Id="rId11169" Type="http://schemas.openxmlformats.org/officeDocument/2006/relationships/hyperlink" Target="https://drive.google.com/file/d/16gWPIv2lV4jExFGUliSFDO0J34b5V9-n/view?usp=sharing" TargetMode="External"/><Relationship Id="rId1228" Type="http://schemas.openxmlformats.org/officeDocument/2006/relationships/hyperlink" Target="https://drive.google.com/drive/folders/1RSBXOqJul6as4GglFtyc4x8gmDKZFMWx?usp=drive_link" TargetMode="External"/><Relationship Id="rId4798" Type="http://schemas.openxmlformats.org/officeDocument/2006/relationships/hyperlink" Target="https://drive.google.com/drive/folders/1XVSA4DniyOo1HfXRGz0ceWGPiPLTkYlG?usp=drive_link" TargetMode="External"/><Relationship Id="rId8255" Type="http://schemas.openxmlformats.org/officeDocument/2006/relationships/hyperlink" Target="https://drive.google.com/file/d/1DNux4glLBnqI-DzUHKvsJVIQIe0fQ_QF/view?usp=sharing" TargetMode="External"/><Relationship Id="rId9306" Type="http://schemas.openxmlformats.org/officeDocument/2006/relationships/hyperlink" Target="https://drive.google.com/drive/folders/1xwiPsbe3kUIkvOpmcWxmOMc6uYN11uD_?usp=drive_link" TargetMode="External"/><Relationship Id="rId10185" Type="http://schemas.openxmlformats.org/officeDocument/2006/relationships/hyperlink" Target="https://drive.google.com/file/d/1bPoLWoS6uU0lATF8od6_0n_B8j1QxW6k/view?usp=sharing" TargetMode="External"/><Relationship Id="rId11583" Type="http://schemas.openxmlformats.org/officeDocument/2006/relationships/hyperlink" Target="https://drive.google.com/drive/folders/1Cvq1LtqCzVof6J-FW4eaLLI1WxmvRtVP?usp=drive_link" TargetMode="External"/><Relationship Id="rId1642" Type="http://schemas.openxmlformats.org/officeDocument/2006/relationships/hyperlink" Target="https://drive.google.com/drive/folders/1MfSnQIhd9gXMICmCBRJSXYqjO1xvfX2J" TargetMode="External"/><Relationship Id="rId5849" Type="http://schemas.openxmlformats.org/officeDocument/2006/relationships/hyperlink" Target="https://www.vidio.com/live/19601-uefa-europa-league?schedule_id=4702071" TargetMode="External"/><Relationship Id="rId7271" Type="http://schemas.openxmlformats.org/officeDocument/2006/relationships/hyperlink" Target="https://drive.google.com/file/d/1DDlNQn7Dyeu0hrdqnNPhawCYgrZ7MtuI/view?usp=sharing" TargetMode="External"/><Relationship Id="rId8322" Type="http://schemas.openxmlformats.org/officeDocument/2006/relationships/hyperlink" Target="https://www.vidio.com/live/6299-bein-1?schedule_id=4724824" TargetMode="External"/><Relationship Id="rId9720" Type="http://schemas.openxmlformats.org/officeDocument/2006/relationships/hyperlink" Target="https://drive.google.com/file/d/10rtusC4m42setKdn-T2E7CHw0jeDM5uk/view?usp=sharing" TargetMode="External"/><Relationship Id="rId11236" Type="http://schemas.openxmlformats.org/officeDocument/2006/relationships/hyperlink" Target="https://www.vidio.com/live/17139-spotv?schedule_id=4819767" TargetMode="External"/><Relationship Id="rId11650" Type="http://schemas.openxmlformats.org/officeDocument/2006/relationships/hyperlink" Target="https://drive.google.com/drive/folders/1AbcWr3MqZx4zlWlL-C99SQYLflJ2W2bo" TargetMode="External"/><Relationship Id="rId4865" Type="http://schemas.openxmlformats.org/officeDocument/2006/relationships/hyperlink" Target="https://thumbor.prod.vidiocdn.com/EVWqAQ2RtKIwnUnTwoYHQFwF3KU=/filters:quality(70)/vidio-media-production/uploads/image/source/52815/a6c8f0.png" TargetMode="External"/><Relationship Id="rId5916" Type="http://schemas.openxmlformats.org/officeDocument/2006/relationships/hyperlink" Target="https://drive.google.com/drive/folders/10h4Nl-VUautkpUGmoOhLfNT2HjSyewDn?usp=drive_link" TargetMode="External"/><Relationship Id="rId10252" Type="http://schemas.openxmlformats.org/officeDocument/2006/relationships/hyperlink" Target="https://drive.google.com/drive/folders/1rP_xQpFV33SNQUCuvRkFHzZmOUemtyX6" TargetMode="External"/><Relationship Id="rId11303" Type="http://schemas.openxmlformats.org/officeDocument/2006/relationships/hyperlink" Target="https://drive.google.com/file/d/1rqkImW1Q6IXpM7RiBxeJUImezqq3QhiV/view?usp=drive_link" TargetMode="External"/><Relationship Id="rId388" Type="http://schemas.openxmlformats.org/officeDocument/2006/relationships/hyperlink" Target="https://drive.google.com/drive/folders/1HAHXgmpUJc29YOD8xWSMgQyRhfXuT8Vy" TargetMode="External"/><Relationship Id="rId2069" Type="http://schemas.openxmlformats.org/officeDocument/2006/relationships/hyperlink" Target="https://drive.google.com/drive/folders/10QiBVfQvVRrt8sA7ye8fYNCDXrrnDTHd" TargetMode="External"/><Relationship Id="rId3467" Type="http://schemas.openxmlformats.org/officeDocument/2006/relationships/hyperlink" Target="https://www.vidio.com/live/6686-champions-tv-2?schedule_id=4564945" TargetMode="External"/><Relationship Id="rId3881" Type="http://schemas.openxmlformats.org/officeDocument/2006/relationships/hyperlink" Target="https://drive.google.com/drive/folders/12OBkAntBP61SFwmxEnr8es4eoZ0sRF1r" TargetMode="External"/><Relationship Id="rId4518" Type="http://schemas.openxmlformats.org/officeDocument/2006/relationships/hyperlink" Target="https://drive.google.com/file/d/1nnSJuWA5rxKPeBTYLYv-B7w09BDPIQih/view?usp=sharing" TargetMode="External"/><Relationship Id="rId4932" Type="http://schemas.openxmlformats.org/officeDocument/2006/relationships/hyperlink" Target="https://www.vidio.com/live/6299-bein-1?schedule_id=4569126" TargetMode="External"/><Relationship Id="rId9096" Type="http://schemas.openxmlformats.org/officeDocument/2006/relationships/hyperlink" Target="https://www.vidio.com/live/19431-f1h20-sprint-race-f1h2o-2025-grand-prix-of-jeddah-saudi-arabia?schedule_id=4739623" TargetMode="External"/><Relationship Id="rId2483" Type="http://schemas.openxmlformats.org/officeDocument/2006/relationships/hyperlink" Target="https://drive.google.com/file/d/1ieMzjwSp4nJ3tGhrIqshgt7bIINYABCi/view?usp=sharing" TargetMode="External"/><Relationship Id="rId3534" Type="http://schemas.openxmlformats.org/officeDocument/2006/relationships/hyperlink" Target="https://drive.google.com/drive/folders/1Tt2qLeNePjV3RaaCT5rKhqjBhM_e1b9_" TargetMode="External"/><Relationship Id="rId12077" Type="http://schemas.openxmlformats.org/officeDocument/2006/relationships/hyperlink" Target="https://drive.google.com/file/d/1khQrXXQF4DXWbEvpQ5PrFElQfRn5_sMl/view?usp=sharing" TargetMode="External"/><Relationship Id="rId455" Type="http://schemas.openxmlformats.org/officeDocument/2006/relationships/hyperlink" Target="https://drive.google.com/file/d/1XLPDordbRxBJaZfkNyDiNU4Yo_U4Tf-5/view?usp=sharing" TargetMode="External"/><Relationship Id="rId1085" Type="http://schemas.openxmlformats.org/officeDocument/2006/relationships/hyperlink" Target="https://thumbor.prod.vidiocdn.com/DKoGZrv81k7eiksP_UUPH_E4p-c=/filters:quality(70)/vidio-media-production/uploads/image/source/52494/8a04f8.png" TargetMode="External"/><Relationship Id="rId2136" Type="http://schemas.openxmlformats.org/officeDocument/2006/relationships/hyperlink" Target="https://drive.google.com/drive/folders/1gCLKym8Niu3tY1xlBbPJwfhZ-ltZiBSX" TargetMode="External"/><Relationship Id="rId2550" Type="http://schemas.openxmlformats.org/officeDocument/2006/relationships/hyperlink" Target="https://drive.google.com/drive/folders/1vvJz14Jl4gIdV_iCTT5E3kf9dGSkmgZL?usp=drive_link" TargetMode="External"/><Relationship Id="rId3601" Type="http://schemas.openxmlformats.org/officeDocument/2006/relationships/hyperlink" Target="https://thumbor.prod.vidiocdn.com/1w1r5U5NWpG2VLGI-GLguf4fFI0=/filters:quality(70)/vidio-media-production/uploads/image/source/53057/6463be.png" TargetMode="External"/><Relationship Id="rId6757" Type="http://schemas.openxmlformats.org/officeDocument/2006/relationships/hyperlink" Target="https://drive.google.com/drive/folders/1NepG6XT-FSa8Cs07sX3tPfQWLNpJfAxp" TargetMode="External"/><Relationship Id="rId7808" Type="http://schemas.openxmlformats.org/officeDocument/2006/relationships/hyperlink" Target="https://drive.google.com/file/d/1s5kqg5QWionOk7A1gFISWbaumtfm0Haa/view?usp=sharing" TargetMode="External"/><Relationship Id="rId9163" Type="http://schemas.openxmlformats.org/officeDocument/2006/relationships/hyperlink" Target="https://drive.google.com/drive/folders/1NepG6XT-FSa8Cs07sX3tPfQWLNpJfAxp" TargetMode="External"/><Relationship Id="rId11093" Type="http://schemas.openxmlformats.org/officeDocument/2006/relationships/hyperlink" Target="https://thumbor.prod.vidiocdn.com/lgxROJOlDTbe7eJWo9CxPfcWYqA=/filters:quality(70)/vidio-media-production/uploads/image/source/52268/a06a17.png" TargetMode="External"/><Relationship Id="rId12144" Type="http://schemas.openxmlformats.org/officeDocument/2006/relationships/hyperlink" Target="https://drive.google.com/file/d/17nqJ8YbOWxi4DOQmMA4_VvY1qMuE4tM4/view?usp=sharing" TargetMode="External"/><Relationship Id="rId108" Type="http://schemas.openxmlformats.org/officeDocument/2006/relationships/hyperlink" Target="https://3.basecamp.com/4902751/buckets/36763424/card_tables/cards/8915029235" TargetMode="External"/><Relationship Id="rId522" Type="http://schemas.openxmlformats.org/officeDocument/2006/relationships/hyperlink" Target="https://drive.google.com/file/d/1qO6wtI05PVDYzIrp6bDOC_yO2B1-l6ip/view?usp=sharing" TargetMode="External"/><Relationship Id="rId1152" Type="http://schemas.openxmlformats.org/officeDocument/2006/relationships/hyperlink" Target="https://thumbor.prod.vidiocdn.com/MD9IGV3TcoFtwIrV1XxCxkDim-s=/filters:quality(70)/vidio-media-production/uploads/image/source/52549/9c2682.png" TargetMode="External"/><Relationship Id="rId2203" Type="http://schemas.openxmlformats.org/officeDocument/2006/relationships/hyperlink" Target="https://drive.google.com/file/d/14B6SP72vn1lw7M-GZFHuFLS3WejUwRPU/view?usp=sharing" TargetMode="External"/><Relationship Id="rId5359" Type="http://schemas.openxmlformats.org/officeDocument/2006/relationships/hyperlink" Target="https://www.vidio.com/live/18303-uefa-champions-league?schedule_id=4733550" TargetMode="External"/><Relationship Id="rId5773" Type="http://schemas.openxmlformats.org/officeDocument/2006/relationships/hyperlink" Target="https://drive.google.com/file/d/1WHwp07wxjl4OZhwYTeWs5ktxwC4hesov/view?usp=sharing" TargetMode="External"/><Relationship Id="rId9230" Type="http://schemas.openxmlformats.org/officeDocument/2006/relationships/hyperlink" Target="https://drive.google.com/file/d/1bGAtWdCSL-v2iZg1GvRoYwXZwXVqVH3x/view?usp=sharing" TargetMode="External"/><Relationship Id="rId11160" Type="http://schemas.openxmlformats.org/officeDocument/2006/relationships/hyperlink" Target="https://drive.google.com/file/d/1lqvMQo-vu4LWbYx8EshSi5GatZX_ONR4/view?usp=sharing" TargetMode="External"/><Relationship Id="rId4375" Type="http://schemas.openxmlformats.org/officeDocument/2006/relationships/hyperlink" Target="https://drive.google.com/file/d/1gdgwoT0UQDECtb96w8QOS2AYnWgRnWtp/view?usp=sharing" TargetMode="External"/><Relationship Id="rId5426" Type="http://schemas.openxmlformats.org/officeDocument/2006/relationships/hyperlink" Target="https://drive.google.com/drive/u/0/folders/1Ll6jcCijjUecC3RplhywLKJdBByNgT0K" TargetMode="External"/><Relationship Id="rId6824" Type="http://schemas.openxmlformats.org/officeDocument/2006/relationships/hyperlink" Target="https://drive.google.com/drive/folders/1ucNoaH6qaYCBmETyhLgQ5RaF6B8eqX2W?usp=drive_link" TargetMode="External"/><Relationship Id="rId12211" Type="http://schemas.openxmlformats.org/officeDocument/2006/relationships/hyperlink" Target="https://www.vidio.com/live/20268-topskor-greater-jakarta-pekan-pertama-u-14-lapangan-big-depok?schedule_id=4833866" TargetMode="External"/><Relationship Id="rId1969" Type="http://schemas.openxmlformats.org/officeDocument/2006/relationships/hyperlink" Target="https://drive.google.com/file/d/1ALaG2sXl4dBkD0Io_X7dsV91k9k4fdBM/view?usp=sharing" TargetMode="External"/><Relationship Id="rId4028" Type="http://schemas.openxmlformats.org/officeDocument/2006/relationships/hyperlink" Target="https://drive.google.com/drive/folders/1KEbcr6U_ZqEhtv_7d6qSImpjmWPCeGg3?usp=drive_link" TargetMode="External"/><Relationship Id="rId5840" Type="http://schemas.openxmlformats.org/officeDocument/2006/relationships/hyperlink" Target="https://drive.google.com/file/d/1HzSnU-IkY88a50iRVbBPa2_XWTu1OIll/view?usp=sharing" TargetMode="External"/><Relationship Id="rId8996" Type="http://schemas.openxmlformats.org/officeDocument/2006/relationships/hyperlink" Target="https://www.vidio.com/live/6299-bein-1?schedule_id=4717741" TargetMode="External"/><Relationship Id="rId11977" Type="http://schemas.openxmlformats.org/officeDocument/2006/relationships/hyperlink" Target="https://www.vidio.com/live/18252-petronas-malaysia-open-2026-round-of-32-court-3?schedule_id=4832204" TargetMode="External"/><Relationship Id="rId3391" Type="http://schemas.openxmlformats.org/officeDocument/2006/relationships/hyperlink" Target="https://drive.google.com/drive/folders/1GqjQbzOkCz8vyEnqDb-s_Jcp77QvmTb1" TargetMode="External"/><Relationship Id="rId4442" Type="http://schemas.openxmlformats.org/officeDocument/2006/relationships/hyperlink" Target="https://drive.google.com/file/d/1cO-izSbjapnX4Xo9Ydwrt5jUGaGmr0un/view?usp=sharing" TargetMode="External"/><Relationship Id="rId7598" Type="http://schemas.openxmlformats.org/officeDocument/2006/relationships/hyperlink" Target="https://drive.google.com/drive/folders/1OWnsLRd--GIe0r_FOitp0lsVbpAP_v3w?usp=drive_link" TargetMode="External"/><Relationship Id="rId8649" Type="http://schemas.openxmlformats.org/officeDocument/2006/relationships/hyperlink" Target="https://www.vidio.com/live/19541-pegadaian-championship-2025-26?schedule_id=4727623" TargetMode="External"/><Relationship Id="rId10579" Type="http://schemas.openxmlformats.org/officeDocument/2006/relationships/hyperlink" Target="https://drive.google.com/drive/folders/1Cqs8W9zGwMD4dwT33s-9fLW1UIAL2r9Q?usp=drive_link" TargetMode="External"/><Relationship Id="rId10993" Type="http://schemas.openxmlformats.org/officeDocument/2006/relationships/hyperlink" Target="https://thumbor.prod.vidiocdn.com/yqXiva-zHEM_f44OdV3-9vdjoqI=/filters:quality(70)/vidio-media-production/uploads/image/source/53142/b71f6c.png" TargetMode="External"/><Relationship Id="rId3044" Type="http://schemas.openxmlformats.org/officeDocument/2006/relationships/hyperlink" Target="https://drive.google.com/file/d/1ubj-NiYPPJARWrezZUBAGRJpGLQUU5LT/view?usp=drive_link" TargetMode="External"/><Relationship Id="rId7665" Type="http://schemas.openxmlformats.org/officeDocument/2006/relationships/hyperlink" Target="https://drive.google.com/file/d/1yihNIK4E08YFVjgpg0T63u9Z8rrzsDVh/view?usp=sharing" TargetMode="External"/><Relationship Id="rId8716" Type="http://schemas.openxmlformats.org/officeDocument/2006/relationships/hyperlink" Target="https://www.vidio.com/live/19745-top-youth-premier-league-2025-matchday-8?schedule_id=4670867" TargetMode="External"/><Relationship Id="rId10646" Type="http://schemas.openxmlformats.org/officeDocument/2006/relationships/hyperlink" Target="https://drive.google.com/file/d/15QKmUk7XFDBlnU84nkmNCj3uSdVmAb_s/view?usp=sharing" TargetMode="External"/><Relationship Id="rId2060" Type="http://schemas.openxmlformats.org/officeDocument/2006/relationships/hyperlink" Target="https://drive.google.com/file/d/1ztB-mIh77sOan0mFwjIIhRk7alDmcF6w/view?usp=sharing" TargetMode="External"/><Relationship Id="rId3111" Type="http://schemas.openxmlformats.org/officeDocument/2006/relationships/hyperlink" Target="https://drive.google.com/file/d/1dsI3fpOfqGsNLiG9wFQHo3UpsP-Ivy6D/view?usp=sharing" TargetMode="External"/><Relationship Id="rId6267" Type="http://schemas.openxmlformats.org/officeDocument/2006/relationships/hyperlink" Target="https://drive.google.com/drive/folders/1vjOA9E-jOlhsRSh5NE7jSpcmcR5v41-E" TargetMode="External"/><Relationship Id="rId6681" Type="http://schemas.openxmlformats.org/officeDocument/2006/relationships/hyperlink" Target="https://drive.google.com/file/d/1VvMuRxouXdDUoMf-9tvxS6ugPkaGra1b/view?usp=sharing" TargetMode="External"/><Relationship Id="rId7318" Type="http://schemas.openxmlformats.org/officeDocument/2006/relationships/hyperlink" Target="https://drive.google.com/file/d/1SF-KBlUU1PvPATuUXnfXFhKZW-kDJGdw/view?usp=drive_link" TargetMode="External"/><Relationship Id="rId7732" Type="http://schemas.openxmlformats.org/officeDocument/2006/relationships/hyperlink" Target="https://drive.google.com/file/d/1m8mrB4A3SUrELTEpdz1WHP0Xwb2MRn6p/view?usp=sharing" TargetMode="External"/><Relationship Id="rId2877" Type="http://schemas.openxmlformats.org/officeDocument/2006/relationships/hyperlink" Target="https://www.vidio.com/live/6317-bein-3?schedule_id=4704456" TargetMode="External"/><Relationship Id="rId5283" Type="http://schemas.openxmlformats.org/officeDocument/2006/relationships/hyperlink" Target="https://www.vidio.com/live/6299-bein-1?schedule_id=4684723" TargetMode="External"/><Relationship Id="rId6334" Type="http://schemas.openxmlformats.org/officeDocument/2006/relationships/hyperlink" Target="https://drive.google.com/file/d/1y9oSvGxUcQJxJpE-Vysu2cYahkdu-4j3/view?usp=sharing" TargetMode="External"/><Relationship Id="rId10713" Type="http://schemas.openxmlformats.org/officeDocument/2006/relationships/hyperlink" Target="https://drive.google.com/file/d/1oxkCqB0EQS4Ss2GXsjx9SiCGLrlPuwau/view?usp=sharing" TargetMode="External"/><Relationship Id="rId849" Type="http://schemas.openxmlformats.org/officeDocument/2006/relationships/hyperlink" Target="https://drive.google.com/file/d/15AQoCU1dCbJmBBC4S5lJMfKhLD2z1azc/view?usp=sharing" TargetMode="External"/><Relationship Id="rId1479" Type="http://schemas.openxmlformats.org/officeDocument/2006/relationships/hyperlink" Target="https://drive.google.com/drive/folders/1n1tGDRlFkkfp0lsIL8hHxCcZCS7cmJ1v" TargetMode="External"/><Relationship Id="rId3928" Type="http://schemas.openxmlformats.org/officeDocument/2006/relationships/hyperlink" Target="https://drive.google.com/file/d/1-YondXpO3Jv07utWFJLbVr6fPJuscsMe/view?usp=sharing" TargetMode="External"/><Relationship Id="rId5350" Type="http://schemas.openxmlformats.org/officeDocument/2006/relationships/hyperlink" Target="https://drive.google.com/drive/folders/14Wb3x9yN298vTECYGS7G_yCO7LWjXAJK" TargetMode="External"/><Relationship Id="rId6401" Type="http://schemas.openxmlformats.org/officeDocument/2006/relationships/hyperlink" Target="https://www.vidio.com/live/19649-uefa-conference-league?schedule_id=4734895" TargetMode="External"/><Relationship Id="rId9557" Type="http://schemas.openxmlformats.org/officeDocument/2006/relationships/hyperlink" Target="https://drive.google.com/file/d/1bGAtWdCSL-v2iZg1GvRoYwXZwXVqVH3x/view?usp=sharing" TargetMode="External"/><Relationship Id="rId1893" Type="http://schemas.openxmlformats.org/officeDocument/2006/relationships/hyperlink" Target="https://drive.google.com/drive/folders/1Nu3mOOEoRAGtnJH4NNkAWCCUJDbo-SXi" TargetMode="External"/><Relationship Id="rId2944" Type="http://schemas.openxmlformats.org/officeDocument/2006/relationships/hyperlink" Target="https://drive.google.com/drive/folders/1DPSndHg_Ftov32kfHVJYOFvCAsOr-mBg?usp=drive_link" TargetMode="External"/><Relationship Id="rId5003" Type="http://schemas.openxmlformats.org/officeDocument/2006/relationships/hyperlink" Target="https://www.vidio.com/live/6317-bein-3?schedule_id=4604765" TargetMode="External"/><Relationship Id="rId8159" Type="http://schemas.openxmlformats.org/officeDocument/2006/relationships/hyperlink" Target="https://drive.google.com/file/d/15EqQy57kszUzYhlCkPBqGXbuNviVnixc/view?usp=sharing" TargetMode="External"/><Relationship Id="rId9971" Type="http://schemas.openxmlformats.org/officeDocument/2006/relationships/hyperlink" Target="https://www.vidio.com/live/6299-bein-1?schedule_id=4792902" TargetMode="External"/><Relationship Id="rId11487" Type="http://schemas.openxmlformats.org/officeDocument/2006/relationships/hyperlink" Target="https://drive.google.com/file/d/15vtIt79lCwzbXmfMoDSwDWxs1FMSPFf7/view?usp=sharing" TargetMode="External"/><Relationship Id="rId916" Type="http://schemas.openxmlformats.org/officeDocument/2006/relationships/hyperlink" Target="https://drive.google.com/file/d/1DOo0ti_mUhA0AHkt2_l1tfQ6O9-EGQyV/view?usp=sharing" TargetMode="External"/><Relationship Id="rId1546" Type="http://schemas.openxmlformats.org/officeDocument/2006/relationships/hyperlink" Target="https://drive.google.com/drive/folders/1Ct8A8gjkdaJ-sEFUB_JwaxL4uuEs8CvQ" TargetMode="External"/><Relationship Id="rId1960" Type="http://schemas.openxmlformats.org/officeDocument/2006/relationships/hyperlink" Target="https://www.vidio.com/live/19354-bri-super-league?schedule_id=4674559" TargetMode="External"/><Relationship Id="rId7175" Type="http://schemas.openxmlformats.org/officeDocument/2006/relationships/hyperlink" Target="https://drive.google.com/file/d/1DNux4glLBnqI-DzUHKvsJVIQIe0fQ_QF/view?usp=sharing" TargetMode="External"/><Relationship Id="rId8573" Type="http://schemas.openxmlformats.org/officeDocument/2006/relationships/hyperlink" Target="https://www.vidio.com/live/19623-national-football-league-2025-26?schedule_id=4673099" TargetMode="External"/><Relationship Id="rId9624" Type="http://schemas.openxmlformats.org/officeDocument/2006/relationships/hyperlink" Target="https://drive.google.com/file/d/1AR7RfJymuIGQXmGxpIHanOfGCrZeM1lU/view?usp=sharing" TargetMode="External"/><Relationship Id="rId10089" Type="http://schemas.openxmlformats.org/officeDocument/2006/relationships/hyperlink" Target="https://drive.google.com/drive/folders/1fZB-vW0dgh4bc35kaHiEWrpVfzXZbj5c?usp=sharing" TargetMode="External"/><Relationship Id="rId11554" Type="http://schemas.openxmlformats.org/officeDocument/2006/relationships/hyperlink" Target="https://thumbor.prod.vidiocdn.com/zc-d21yekpxOTlshJhk7xh5ttAA=/filters:quality(70)/vidio-media-production/uploads/image/source/52679/c030b4.png" TargetMode="External"/><Relationship Id="rId1613" Type="http://schemas.openxmlformats.org/officeDocument/2006/relationships/hyperlink" Target="https://drive.google.com/file/d/13NbQNA3rpHwBDK1YMR6KHW5ON21PcaS9/view?usp=sharing" TargetMode="External"/><Relationship Id="rId4769" Type="http://schemas.openxmlformats.org/officeDocument/2006/relationships/hyperlink" Target="https://thumbor.prod.vidiocdn.com/uXOKiAJZxTYJ6wSYXgofygaHkPY=/filters:quality(70)/vidio-media-production/uploads/image/source/52140/0729ce.png" TargetMode="External"/><Relationship Id="rId8226" Type="http://schemas.openxmlformats.org/officeDocument/2006/relationships/hyperlink" Target="https://drive.google.com/drive/u/0/folders/1L3wFqAWM_x5mXvugP-qKLV9UPJs3aR9i" TargetMode="External"/><Relationship Id="rId8640" Type="http://schemas.openxmlformats.org/officeDocument/2006/relationships/hyperlink" Target="https://drive.google.com/file/d/1Qvbwm3K261vmf1Ruq2G_DNYts1RQv9rr/view?usp=sharing" TargetMode="External"/><Relationship Id="rId10156" Type="http://schemas.openxmlformats.org/officeDocument/2006/relationships/hyperlink" Target="https://www.vidio.com/live/19738-turkish-volleyball-league?schedule_id=4766499" TargetMode="External"/><Relationship Id="rId10570" Type="http://schemas.openxmlformats.org/officeDocument/2006/relationships/hyperlink" Target="https://www.vidio.com/live/17875-bein-2?schedule_id=4827321" TargetMode="External"/><Relationship Id="rId11207" Type="http://schemas.openxmlformats.org/officeDocument/2006/relationships/hyperlink" Target="https://drive.google.com/drive/folders/1QmPGJyfkUAeB_LgPBPbXsinI50fPu4_R" TargetMode="External"/><Relationship Id="rId11621" Type="http://schemas.openxmlformats.org/officeDocument/2006/relationships/hyperlink" Target="https://drive.google.com/file/d/1LkVc3AtFokHbEUfZti8T06MwwqUgoLSg/view?usp=sharing" TargetMode="External"/><Relationship Id="rId3785" Type="http://schemas.openxmlformats.org/officeDocument/2006/relationships/hyperlink" Target="https://drive.google.com/file/d/1ePWTUPuqJAFxj9JYSrukUt_8oaoTKidX/view?usp=sharing" TargetMode="External"/><Relationship Id="rId4836" Type="http://schemas.openxmlformats.org/officeDocument/2006/relationships/hyperlink" Target="https://thumbor.prod.vidiocdn.com/X1g23u_9spLF5HoxiLRZU4j6N7E=/filters:quality(70)/vidio-media-production/uploads/image/source/52603/307328.png" TargetMode="External"/><Relationship Id="rId6191" Type="http://schemas.openxmlformats.org/officeDocument/2006/relationships/hyperlink" Target="https://drive.google.com/file/d/1BEAGvl42vs1rCgPWTI9Odnaiqed-KYZ5/view?usp=drive_link" TargetMode="External"/><Relationship Id="rId7242" Type="http://schemas.openxmlformats.org/officeDocument/2006/relationships/hyperlink" Target="https://drive.google.com/file/d/1lni_zDd0s9K5p_dyypluIv4ljkXdsNJi/view?usp=drive_link" TargetMode="External"/><Relationship Id="rId10223" Type="http://schemas.openxmlformats.org/officeDocument/2006/relationships/hyperlink" Target="https://drive.google.com/drive/folders/1BHX-4i6OE5dCa0qCicaVdB1j04ZkE79D?usp=drive_link" TargetMode="External"/><Relationship Id="rId2387" Type="http://schemas.openxmlformats.org/officeDocument/2006/relationships/hyperlink" Target="https://drive.google.com/drive/folders/1jTpCxrE8bgpjQYW1oUGksG0BEWGOqt2M?usp=drive_link" TargetMode="External"/><Relationship Id="rId3438" Type="http://schemas.openxmlformats.org/officeDocument/2006/relationships/hyperlink" Target="https://drive.google.com/drive/u/1/folders/1ATsg8fpH-Wd9EIs_srMtbvsUeJvdeMW3" TargetMode="External"/><Relationship Id="rId3852" Type="http://schemas.openxmlformats.org/officeDocument/2006/relationships/hyperlink" Target="https://www.vidio.com/live/6686-champions-tv-2?schedule_id=4783283" TargetMode="External"/><Relationship Id="rId12395" Type="http://schemas.openxmlformats.org/officeDocument/2006/relationships/hyperlink" Target="https://www.vidio.com/live/18249-petronas-malaysia-open-2026-round-of-16-court-1?schedule_id=4833794" TargetMode="External"/><Relationship Id="rId359" Type="http://schemas.openxmlformats.org/officeDocument/2006/relationships/hyperlink" Target="https://drive.google.com/file/d/14LXB2UivJns0x8zknZtNgxV0drGg_19w/view?usp=sharing" TargetMode="External"/><Relationship Id="rId773" Type="http://schemas.openxmlformats.org/officeDocument/2006/relationships/hyperlink" Target="https://drive.google.com/file/d/1_EU80jY2QICc6-UqgShMcQScG5lVVAFl/view?usp=sharing" TargetMode="External"/><Relationship Id="rId2454" Type="http://schemas.openxmlformats.org/officeDocument/2006/relationships/hyperlink" Target="https://drive.google.com/drive/folders/1JwP4lJnLGyO-yaAeCCMSvIFrc0L0M03F?usp=drive_link" TargetMode="External"/><Relationship Id="rId3505" Type="http://schemas.openxmlformats.org/officeDocument/2006/relationships/hyperlink" Target="https://drive.google.com/drive/u/0/folders/1BZCIqVX3oI_62_v4XfXulhbZtOrHA66e" TargetMode="External"/><Relationship Id="rId4903" Type="http://schemas.openxmlformats.org/officeDocument/2006/relationships/hyperlink" Target="https://thumbor.prod.vidiocdn.com/2UT__C-9bexc3YNR1cFjutcYvAY=/filters:quality(70)/vidio-media-production/uploads/image/source/53094/aa4bef.png" TargetMode="External"/><Relationship Id="rId9067" Type="http://schemas.openxmlformats.org/officeDocument/2006/relationships/hyperlink" Target="https://drive.google.com/drive/folders/1KnMG_4U9gYDKLfPJulAhR2oKiaJuU6xX?usp=sharing" TargetMode="External"/><Relationship Id="rId9481" Type="http://schemas.openxmlformats.org/officeDocument/2006/relationships/hyperlink" Target="https://www.vidio.com/live/6317-bein-3?schedule_id=4767992" TargetMode="External"/><Relationship Id="rId12048" Type="http://schemas.openxmlformats.org/officeDocument/2006/relationships/hyperlink" Target="https://drive.google.com/file/d/1NSS8caFvdZbwLM0rQ6xFjEA-VHdQ-0wz/view?usp=sharing" TargetMode="External"/><Relationship Id="rId426" Type="http://schemas.openxmlformats.org/officeDocument/2006/relationships/hyperlink" Target="https://drive.google.com/file/d/1mTsCJ8diIPsRogG5Ed1jrEXUJDOym7-C/view?usp=sharing" TargetMode="External"/><Relationship Id="rId1056" Type="http://schemas.openxmlformats.org/officeDocument/2006/relationships/hyperlink" Target="https://www.vidio.com/live/9182-champions-tv-5?schedule_id=4783751" TargetMode="External"/><Relationship Id="rId2107" Type="http://schemas.openxmlformats.org/officeDocument/2006/relationships/hyperlink" Target="https://drive.google.com/file/d/1Dp0Bc7Egwncf8S7_swJrMy96k9LnTNxn/view?usp=sharing" TargetMode="External"/><Relationship Id="rId8083" Type="http://schemas.openxmlformats.org/officeDocument/2006/relationships/hyperlink" Target="https://drive.google.com/file/d/1muYZORrT6XORncNFlmvEKDh_0-msroFP/view?usp=sharing" TargetMode="External"/><Relationship Id="rId9134" Type="http://schemas.openxmlformats.org/officeDocument/2006/relationships/hyperlink" Target="https://drive.google.com/drive/u/0/folders/1-c4U1IHu-F-CJjpiqBVNZgY6mQvDYOOL" TargetMode="External"/><Relationship Id="rId840" Type="http://schemas.openxmlformats.org/officeDocument/2006/relationships/hyperlink" Target="https://www.vidio.com/live/19536-premier-league?schedule_id=4743729" TargetMode="External"/><Relationship Id="rId1470" Type="http://schemas.openxmlformats.org/officeDocument/2006/relationships/hyperlink" Target="https://3.basecamp.com/4902751/buckets/36763424/card_tables/cards/8876968900" TargetMode="External"/><Relationship Id="rId2521" Type="http://schemas.openxmlformats.org/officeDocument/2006/relationships/hyperlink" Target="https://drive.google.com/drive/folders/1SBHHNDlvQsVcRdWIHNJIaAs41VHZaRt4?usp=drive_link" TargetMode="External"/><Relationship Id="rId4279" Type="http://schemas.openxmlformats.org/officeDocument/2006/relationships/hyperlink" Target="https://drive.google.com/drive/folders/1eSfZq_cgzTscPWHNrS4hWGbQ9liOlV1S?usp=drive_link" TargetMode="External"/><Relationship Id="rId5677" Type="http://schemas.openxmlformats.org/officeDocument/2006/relationships/hyperlink" Target="https://drive.google.com/file/d/1YfNNovhQ4oc6Fo3o1ro6KfqHC4eLZMvF/view?usp=drive_link" TargetMode="External"/><Relationship Id="rId6728" Type="http://schemas.openxmlformats.org/officeDocument/2006/relationships/hyperlink" Target="https://drive.google.com/file/d/1EkBKxg__U0zSz0--Y_TwIvB3qWReSnHl/view?usp=sharing" TargetMode="External"/><Relationship Id="rId11064" Type="http://schemas.openxmlformats.org/officeDocument/2006/relationships/hyperlink" Target="https://www.vidio.com/live/17139-spotv?schedule_id=4790741" TargetMode="External"/><Relationship Id="rId12115" Type="http://schemas.openxmlformats.org/officeDocument/2006/relationships/hyperlink" Target="https://drive.google.com/file/d/1xXRyTpjraFbbrHD2OOrzfOJmKS83JG2b/view?usp=sharing" TargetMode="External"/><Relationship Id="rId1123" Type="http://schemas.openxmlformats.org/officeDocument/2006/relationships/hyperlink" Target="https://www.vidio.com/live/18796-premier-league?schedule_id=4802193" TargetMode="External"/><Relationship Id="rId4693" Type="http://schemas.openxmlformats.org/officeDocument/2006/relationships/hyperlink" Target="https://thumbor.prod.vidiocdn.com/xpxfsQiSbug93fKglM86xLJ9vr0=/filters:quality(70)/vidio-media-production/uploads/image/source/51911/c997f5.png" TargetMode="External"/><Relationship Id="rId5744" Type="http://schemas.openxmlformats.org/officeDocument/2006/relationships/hyperlink" Target="https://drive.google.com/drive/folders/1Xlp5aunryVlWR8atbAp6mL9dfJO63aR4?usp=drive_link" TargetMode="External"/><Relationship Id="rId8150" Type="http://schemas.openxmlformats.org/officeDocument/2006/relationships/hyperlink" Target="https://www.vidio.com/live/19584-pegadaian-championship-2025-26?schedule_id=4709790" TargetMode="External"/><Relationship Id="rId9201" Type="http://schemas.openxmlformats.org/officeDocument/2006/relationships/hyperlink" Target="https://www.vidio.com/live/19810-top-soccer-championship-2025-u-15" TargetMode="External"/><Relationship Id="rId10080" Type="http://schemas.openxmlformats.org/officeDocument/2006/relationships/hyperlink" Target="https://thumbor.prod.vidiocdn.com/x98eUuQ1XFeq7EhZggtTNmZPt5A=/filters:quality(70)/vidio-media-production/uploads/image/source/51596/a2092f.png" TargetMode="External"/><Relationship Id="rId11131" Type="http://schemas.openxmlformats.org/officeDocument/2006/relationships/hyperlink" Target="https://thumbor.prod.vidiocdn.com/gPVO3MQ8OnGat9MpsFfam32Nn3A=/filters:quality(70)/vidio-media-production/uploads/image/source/53165/e2491b.png" TargetMode="External"/><Relationship Id="rId3295" Type="http://schemas.openxmlformats.org/officeDocument/2006/relationships/hyperlink" Target="https://drive.google.com/drive/folders/19Fn56tNDggBZj-3hThrvS6SeGKqiELN4" TargetMode="External"/><Relationship Id="rId4346" Type="http://schemas.openxmlformats.org/officeDocument/2006/relationships/hyperlink" Target="https://drive.google.com/file/d/1HGmaHYKfSy58Q06N1WMXZ1BhBfD_YqRm/view?usp=sharing" TargetMode="External"/><Relationship Id="rId4760" Type="http://schemas.openxmlformats.org/officeDocument/2006/relationships/hyperlink" Target="https://thumbor.prod.vidiocdn.com/5To2rm-SXss94UXl5m7Zf6K3IW0=/filters:quality(70)/vidio-media-production/uploads/image/source/52143/4ae29b.png" TargetMode="External"/><Relationship Id="rId5811" Type="http://schemas.openxmlformats.org/officeDocument/2006/relationships/hyperlink" Target="https://drive.google.com/drive/folders/1T92mtk4aVgu-647_k-FtlLi4-bxCAsIa?usp=drive_link" TargetMode="External"/><Relationship Id="rId8967" Type="http://schemas.openxmlformats.org/officeDocument/2006/relationships/hyperlink" Target="https://drive.google.com/drive/folders/1zBnkRXL53TTWo4_2WGIBguuJwGclGfC-" TargetMode="External"/><Relationship Id="rId3362" Type="http://schemas.openxmlformats.org/officeDocument/2006/relationships/hyperlink" Target="https://www.vidio.com/live/19355-bri-super-league?schedule_id=4515029" TargetMode="External"/><Relationship Id="rId4413" Type="http://schemas.openxmlformats.org/officeDocument/2006/relationships/hyperlink" Target="https://www.vidio.com/live/19404-serie-a?schedule_id=4695541" TargetMode="External"/><Relationship Id="rId7569" Type="http://schemas.openxmlformats.org/officeDocument/2006/relationships/hyperlink" Target="https://drive.google.com/file/d/1LluqgwtMubTaPQgPpxWeaLHqw8n2LZIl/view?usp=drive_link" TargetMode="External"/><Relationship Id="rId7983" Type="http://schemas.openxmlformats.org/officeDocument/2006/relationships/hyperlink" Target="https://drive.google.com/file/d/14oVHeGhSlc1clfK20nwJQ4aRbSxWclZL/view?usp=sharing" TargetMode="External"/><Relationship Id="rId10897" Type="http://schemas.openxmlformats.org/officeDocument/2006/relationships/hyperlink" Target="https://drive.google.com/file/d/1vSujjxl1DqBd-hytOhw51ET3ODXfYICA/view?usp=sharing" TargetMode="External"/><Relationship Id="rId11948" Type="http://schemas.openxmlformats.org/officeDocument/2006/relationships/hyperlink" Target="https://www.vidio.com/live/18249-petronas-malaysia-open-2026-round-of-32-court-1?schedule_id=4832174" TargetMode="External"/><Relationship Id="rId283" Type="http://schemas.openxmlformats.org/officeDocument/2006/relationships/hyperlink" Target="https://drive.google.com/file/d/1quz6lvVT3RyblhMxZfXrpVuNOXNbhvRL/view?usp=sharing" TargetMode="External"/><Relationship Id="rId3015" Type="http://schemas.openxmlformats.org/officeDocument/2006/relationships/hyperlink" Target="https://drive.google.com/drive/folders/1vBBPc57SvgR3wuPIQMEmV8wvyS_o3c8U?usp=drive_link" TargetMode="External"/><Relationship Id="rId6585" Type="http://schemas.openxmlformats.org/officeDocument/2006/relationships/hyperlink" Target="https://www.vidio.com/live/20093-uefa-conference-league?schedule_id=4783348" TargetMode="External"/><Relationship Id="rId7636" Type="http://schemas.openxmlformats.org/officeDocument/2006/relationships/hyperlink" Target="https://www.vidio.com/live/9183-champions-tv-6?schedule_id=4626717" TargetMode="External"/><Relationship Id="rId10964" Type="http://schemas.openxmlformats.org/officeDocument/2006/relationships/hyperlink" Target="https://drive.google.com/file/d/1dLzy02xaCMb5zpPCr9JnVBi8h97oi8N8/view?usp=sharing" TargetMode="External"/><Relationship Id="rId350" Type="http://schemas.openxmlformats.org/officeDocument/2006/relationships/hyperlink" Target="https://www.vidio.com/live/9183-champions-tv-6?schedule_id=4587130" TargetMode="External"/><Relationship Id="rId2031" Type="http://schemas.openxmlformats.org/officeDocument/2006/relationships/hyperlink" Target="https://drive.google.com/file/d/1FkCZLjNqVWViw1WUOBUxQKjunAe24SDe/view?usp=sharing" TargetMode="External"/><Relationship Id="rId5187" Type="http://schemas.openxmlformats.org/officeDocument/2006/relationships/hyperlink" Target="https://drive.google.com/file/d/1o8PZcevV_FxU_RCNNWHvPQuv3RD917o9/view?usp=sharing" TargetMode="External"/><Relationship Id="rId6238" Type="http://schemas.openxmlformats.org/officeDocument/2006/relationships/hyperlink" Target="https://drive.google.com/file/d/1ht5SERxuxTGtUI1K0IZcwq4XRjUUQxG9/view?usp=sharing" TargetMode="External"/><Relationship Id="rId10617" Type="http://schemas.openxmlformats.org/officeDocument/2006/relationships/hyperlink" Target="https://drive.google.com/drive/folders/1udRH0wM2_kjto5siJfDsa3SKQLE9Z_gg" TargetMode="External"/><Relationship Id="rId5254" Type="http://schemas.openxmlformats.org/officeDocument/2006/relationships/hyperlink" Target="https://drive.google.com/file/d/1nCV07e_rVGYNETztglzliKKqSgRlSKE9/view?usp=drive_link" TargetMode="External"/><Relationship Id="rId6652" Type="http://schemas.openxmlformats.org/officeDocument/2006/relationships/hyperlink" Target="https://drive.google.com/file/d/1BpBUdU04AHH9vipWrcpLOdWhLRtP6Wby/view?usp=sharing" TargetMode="External"/><Relationship Id="rId7703" Type="http://schemas.openxmlformats.org/officeDocument/2006/relationships/hyperlink" Target="https://drive.google.com/file/d/1efNyxQALVc0CbcK5P_9zPQvZkT56zkDP/view?usp=drive_link" TargetMode="External"/><Relationship Id="rId1797" Type="http://schemas.openxmlformats.org/officeDocument/2006/relationships/hyperlink" Target="https://drive.google.com/drive/folders/1kNKivbMCUTu7AzzisD9_cMyPJ4aKKnDp" TargetMode="External"/><Relationship Id="rId2848" Type="http://schemas.openxmlformats.org/officeDocument/2006/relationships/hyperlink" Target="https://www.vidio.com/live/6299-bein-1?schedule_id=4677359" TargetMode="External"/><Relationship Id="rId6305" Type="http://schemas.openxmlformats.org/officeDocument/2006/relationships/hyperlink" Target="https://www.vidio.com/live/19736-uefa-conference-league?schedule_id=4700080" TargetMode="External"/><Relationship Id="rId9875" Type="http://schemas.openxmlformats.org/officeDocument/2006/relationships/hyperlink" Target="https://www.vidio.com/live/9183-champions-tv-6?schedule_id=4759268" TargetMode="External"/><Relationship Id="rId89" Type="http://schemas.openxmlformats.org/officeDocument/2006/relationships/hyperlink" Target="https://drive.google.com/file/d/1crkmtZlo7KKVZs4ocxZluh8XJ03UPvFD/view?usp=drive_link" TargetMode="External"/><Relationship Id="rId1864" Type="http://schemas.openxmlformats.org/officeDocument/2006/relationships/hyperlink" Target="https://drive.google.com/drive/folders/1aexzNkyl8QGtRGJz1_l8iR7bOKhXX5tg" TargetMode="External"/><Relationship Id="rId2915" Type="http://schemas.openxmlformats.org/officeDocument/2006/relationships/hyperlink" Target="https://drive.google.com/file/d/1DocDzOx4d2Vzva5Xxq4FTWaIli2mT8pk/view?usp=sharing" TargetMode="External"/><Relationship Id="rId4270" Type="http://schemas.openxmlformats.org/officeDocument/2006/relationships/hyperlink" Target="https://drive.google.com/file/d/1djUsAF_iHs4ALkg9r3bjdbhsG963W5Vh/view?usp=sharing" TargetMode="External"/><Relationship Id="rId5321" Type="http://schemas.openxmlformats.org/officeDocument/2006/relationships/hyperlink" Target="https://drive.google.com/drive/folders/1a-3y6sGdFMusbwdXLdCQeuBKomX9wcce" TargetMode="External"/><Relationship Id="rId8477" Type="http://schemas.openxmlformats.org/officeDocument/2006/relationships/hyperlink" Target="https://drive.google.com/drive/folders/1ptfECo4M4bD0SWZ26VOxIBpTCgJncQdI" TargetMode="External"/><Relationship Id="rId8891" Type="http://schemas.openxmlformats.org/officeDocument/2006/relationships/hyperlink" Target="https://www.vidio.com/live/19541-pegadaian-championship-2025-26?schedule_id=4795163" TargetMode="External"/><Relationship Id="rId9528" Type="http://schemas.openxmlformats.org/officeDocument/2006/relationships/hyperlink" Target="https://drive.google.com/drive/folders/1GM56U4ho6C62Jv0Ssb-v9b6FZ1MrbgrO" TargetMode="External"/><Relationship Id="rId9942" Type="http://schemas.openxmlformats.org/officeDocument/2006/relationships/hyperlink" Target="https://drive.google.com/file/d/1ynQdWdOOpOq1rnDi-LjucTQoPBeA8mTl/view?usp=sharing" TargetMode="External"/><Relationship Id="rId11458" Type="http://schemas.openxmlformats.org/officeDocument/2006/relationships/hyperlink" Target="https://drive.google.com/file/d/1QTJLPDpVtId8aUb81XDEJl0NiDCJZ4lV/view?usp=sharing" TargetMode="External"/><Relationship Id="rId1517" Type="http://schemas.openxmlformats.org/officeDocument/2006/relationships/hyperlink" Target="https://drive.google.com/file/d/1bUjcpykVGGwPTCDb5hHtNk2FEVQyj0AK/view?usp=sharing" TargetMode="External"/><Relationship Id="rId7079" Type="http://schemas.openxmlformats.org/officeDocument/2006/relationships/hyperlink" Target="https://drive.google.com/drive/folders/1HPNNm91EVLEH-0XQMHzjKDqHXIbqVd4j?usp=sharing" TargetMode="External"/><Relationship Id="rId7493" Type="http://schemas.openxmlformats.org/officeDocument/2006/relationships/hyperlink" Target="https://drive.google.com/drive/folders/1NepG6XT-FSa8Cs07sX3tPfQWLNpJfAxp" TargetMode="External"/><Relationship Id="rId8544" Type="http://schemas.openxmlformats.org/officeDocument/2006/relationships/hyperlink" Target="https://drive.google.com/file/d/1UxJaI7pF9lxmq7BKN8y848qNIcbaMPkP/view?usp=sharing" TargetMode="External"/><Relationship Id="rId10474" Type="http://schemas.openxmlformats.org/officeDocument/2006/relationships/hyperlink" Target="https://drive.google.com/drive/folders/1NepG6XT-FSa8Cs07sX3tPfQWLNpJfAxp" TargetMode="External"/><Relationship Id="rId11872" Type="http://schemas.openxmlformats.org/officeDocument/2006/relationships/hyperlink" Target="https://drive.google.com/drive/folders/1TYXj5i7Ik4SNEitV7mHoBo1u6CAR_kAQ?usp=drive_link" TargetMode="External"/><Relationship Id="rId1931" Type="http://schemas.openxmlformats.org/officeDocument/2006/relationships/hyperlink" Target="https://drive.google.com/file/d/1UVX3UlyiwKHVpBEUAFNIoeIdRxvz0iSN/view?usp=drive_link" TargetMode="External"/><Relationship Id="rId3689" Type="http://schemas.openxmlformats.org/officeDocument/2006/relationships/hyperlink" Target="https://drive.google.com/drive/folders/1gGexFtskslJy6ETSMvggdM9luQJ8F9nF?usp=drive_link" TargetMode="External"/><Relationship Id="rId6095" Type="http://schemas.openxmlformats.org/officeDocument/2006/relationships/hyperlink" Target="https://drive.google.com/file/d/1saSGIdyGGHAT6JFQ9sI4aAIijrDN16Qa/view?usp=sharing" TargetMode="External"/><Relationship Id="rId7146" Type="http://schemas.openxmlformats.org/officeDocument/2006/relationships/hyperlink" Target="https://www.vidio.com/live/19543-pegadaian-championship-2025-26?schedule_id=4640614" TargetMode="External"/><Relationship Id="rId7560" Type="http://schemas.openxmlformats.org/officeDocument/2006/relationships/hyperlink" Target="https://www.vidio.com/live/6299-bein-1?schedule_id=4613303" TargetMode="External"/><Relationship Id="rId8611" Type="http://schemas.openxmlformats.org/officeDocument/2006/relationships/hyperlink" Target="https://drive.google.com/file/d/1H0r-C88fnSQfoqeUF9W7KGRw2CwRy0H8/view?usp=sharing" TargetMode="External"/><Relationship Id="rId10127" Type="http://schemas.openxmlformats.org/officeDocument/2006/relationships/hyperlink" Target="https://www.vidio.com/live/19997-top-soccer-championship-2025-u-13-u-14?schedule_id=4743079" TargetMode="External"/><Relationship Id="rId11525" Type="http://schemas.openxmlformats.org/officeDocument/2006/relationships/hyperlink" Target="https://drive.google.com/file/d/1-EQVix3rOA2FQvmlzNDV9Lpik85FRszn/view?usp=sharing" TargetMode="External"/><Relationship Id="rId6162" Type="http://schemas.openxmlformats.org/officeDocument/2006/relationships/hyperlink" Target="https://drive.google.com/drive/folders/1z0QSLmNvSJyyT8FLEYRkw6ibg9dSBAVC" TargetMode="External"/><Relationship Id="rId7213" Type="http://schemas.openxmlformats.org/officeDocument/2006/relationships/hyperlink" Target="https://drive.google.com/drive/folders/1GBOSUP4tU1bzQ6qHQUq2WAVP4qmQFvcb" TargetMode="External"/><Relationship Id="rId10541" Type="http://schemas.openxmlformats.org/officeDocument/2006/relationships/hyperlink" Target="https://drive.google.com/file/d/1fGYwmFdJ3qhAoVNnJ9PH6mT8VdQnngc3/view?usp=sharing" TargetMode="External"/><Relationship Id="rId677" Type="http://schemas.openxmlformats.org/officeDocument/2006/relationships/hyperlink" Target="https://drive.google.com/file/d/1_6ZNNslZCZ5aLdkJhOge0nq8xDaFUvbW/view?usp=sharing" TargetMode="External"/><Relationship Id="rId2358" Type="http://schemas.openxmlformats.org/officeDocument/2006/relationships/hyperlink" Target="https://drive.google.com/file/d/1VxMpB6YtR9laCtzvbKVkWDCAd7A7f4Xg/view?usp=sharing" TargetMode="External"/><Relationship Id="rId3756" Type="http://schemas.openxmlformats.org/officeDocument/2006/relationships/hyperlink" Target="https://drive.google.com/file/d/1gaxDevwR6NGvlUFVi-9hw9PTt_JBlxdL/view?usp=sharing" TargetMode="External"/><Relationship Id="rId4807" Type="http://schemas.openxmlformats.org/officeDocument/2006/relationships/hyperlink" Target="https://www.vidio.com/live/19404-serie-a?schedule_id=4825574" TargetMode="External"/><Relationship Id="rId9385" Type="http://schemas.openxmlformats.org/officeDocument/2006/relationships/hyperlink" Target="https://www.vidio.com/live/19541-pegadaian-championship-2025-26?schedule_id=4803423" TargetMode="External"/><Relationship Id="rId12299" Type="http://schemas.openxmlformats.org/officeDocument/2006/relationships/hyperlink" Target="https://www.vidio.com/live/20279" TargetMode="External"/><Relationship Id="rId2772" Type="http://schemas.openxmlformats.org/officeDocument/2006/relationships/hyperlink" Target="https://drive.google.com/file/d/1YCcxJH9iHQL3CbZSnZQPd85pAyVMCjUd/view?usp=drive_link" TargetMode="External"/><Relationship Id="rId3409" Type="http://schemas.openxmlformats.org/officeDocument/2006/relationships/hyperlink" Target="https://www.vidio.com/live/6786-champions-tv-3?schedule_id=4486634" TargetMode="External"/><Relationship Id="rId3823" Type="http://schemas.openxmlformats.org/officeDocument/2006/relationships/hyperlink" Target="https://drive.google.com/drive/folders/1MbIQuTQ12cHKWbkA0yKvdLqJ7oVA_-VT?usp=sharing" TargetMode="External"/><Relationship Id="rId6979" Type="http://schemas.openxmlformats.org/officeDocument/2006/relationships/hyperlink" Target="https://drive.google.com/file/d/1II1CtAhIqBZ8ImcFH_FbPHaJv6X8tQyI/view?usp=drive_link" TargetMode="External"/><Relationship Id="rId9038" Type="http://schemas.openxmlformats.org/officeDocument/2006/relationships/hyperlink" Target="https://www.vidio.com/live/19738-turkish-women-s-volleyball-league?schedule_id=4725598" TargetMode="External"/><Relationship Id="rId12366" Type="http://schemas.openxmlformats.org/officeDocument/2006/relationships/hyperlink" Target="https://drive.google.com/file/d/1aerik-EGVX1bP7WoYaM_AMSCFqH9d2Jz/view?usp=sharing" TargetMode="External"/><Relationship Id="rId744" Type="http://schemas.openxmlformats.org/officeDocument/2006/relationships/hyperlink" Target="https://www.vidio.com/live/9182-champions-tv-5?schedule_id=4726067" TargetMode="External"/><Relationship Id="rId1374" Type="http://schemas.openxmlformats.org/officeDocument/2006/relationships/hyperlink" Target="https://drive.google.com/file/d/1XHwuGfHVHWIOjjqPKl26FbvcGmyEf4ii/view?usp=drive_link" TargetMode="External"/><Relationship Id="rId2425" Type="http://schemas.openxmlformats.org/officeDocument/2006/relationships/hyperlink" Target="https://drive.google.com/drive/folders/13M3MAqJPsXLw4clFiJiI0vJXqeMQxQhJ?usp=drive_link" TargetMode="External"/><Relationship Id="rId5995" Type="http://schemas.openxmlformats.org/officeDocument/2006/relationships/hyperlink" Target="https://drive.google.com/file/d/1ECaJsyKzNrHoBW6f2k6BfLoMzFeFOFfs/view?usp=sharing" TargetMode="External"/><Relationship Id="rId9452" Type="http://schemas.openxmlformats.org/officeDocument/2006/relationships/hyperlink" Target="https://thumbor.prod.vidiocdn.com/boFiqypWVl-yrLbcWCdxUhhWw98=/filters:quality(70)/vidio-media-production/uploads/image/source/53009/a2fca6.png" TargetMode="External"/><Relationship Id="rId11382" Type="http://schemas.openxmlformats.org/officeDocument/2006/relationships/hyperlink" Target="https://drive.google.com/file/d/1bGAtWdCSL-v2iZg1GvRoYwXZwXVqVH3x/view" TargetMode="External"/><Relationship Id="rId12019" Type="http://schemas.openxmlformats.org/officeDocument/2006/relationships/hyperlink" Target="https://drive.google.com/drive/folders/10yZ6W25MsH1Gazyf6erLQ6feN5lXYViD" TargetMode="External"/><Relationship Id="rId12433" Type="http://schemas.openxmlformats.org/officeDocument/2006/relationships/hyperlink" Target="https://www.vidio.com/live/20283?schedule_id=4834230" TargetMode="External"/><Relationship Id="rId80" Type="http://schemas.openxmlformats.org/officeDocument/2006/relationships/hyperlink" Target="https://drive.google.com/drive/folders/1Nsf__N9nJx4NHnVVXcJPlrKEBEUKuRtJ?usp=drive_link" TargetMode="External"/><Relationship Id="rId811" Type="http://schemas.openxmlformats.org/officeDocument/2006/relationships/hyperlink" Target="https://drive.google.com/drive/folders/1Cmuf8qtRzIX9nRaBXUKasoD0JBp41y7q" TargetMode="External"/><Relationship Id="rId1027" Type="http://schemas.openxmlformats.org/officeDocument/2006/relationships/hyperlink" Target="https://drive.google.com/drive/folders/1s7KPB_DJ17VOF_WjqTWbOu7v1AfifRS-?usp=drive_link" TargetMode="External"/><Relationship Id="rId1441" Type="http://schemas.openxmlformats.org/officeDocument/2006/relationships/hyperlink" Target="https://drive.google.com/file/d/1q-23VkIkeypfruye-R4N9R2A8rnUI--t/view?usp=drive_link" TargetMode="External"/><Relationship Id="rId4597" Type="http://schemas.openxmlformats.org/officeDocument/2006/relationships/hyperlink" Target="https://drive.google.com/file/d/1JTFvVrWsp_AT1Z__2LT7mOG4pXcqYGfT/view?usp=sharing" TargetMode="External"/><Relationship Id="rId5648" Type="http://schemas.openxmlformats.org/officeDocument/2006/relationships/hyperlink" Target="https://drive.google.com/drive/folders/1un4EiqS6wgwVrMEmsexLykre_KMqAibN?usp=drive_link" TargetMode="External"/><Relationship Id="rId8054" Type="http://schemas.openxmlformats.org/officeDocument/2006/relationships/hyperlink" Target="https://www.vidio.com/live/19584-pegadaian-championship-2025-26?schedule_id=4676983" TargetMode="External"/><Relationship Id="rId9105" Type="http://schemas.openxmlformats.org/officeDocument/2006/relationships/hyperlink" Target="https://drive.google.com/drive/folders/14UTiJDbpqwWMFWkFLV214UonubDxEizQ" TargetMode="External"/><Relationship Id="rId11035" Type="http://schemas.openxmlformats.org/officeDocument/2006/relationships/hyperlink" Target="https://drive.google.com/file/d/1SH4T1c7Vq_thqsRuVZCuo4VCObdd2F-o/view?usp=sharing" TargetMode="External"/><Relationship Id="rId3199" Type="http://schemas.openxmlformats.org/officeDocument/2006/relationships/hyperlink" Target="https://drive.google.com/file/d/1JYnQ3h_b_hL-KRc3uStCftUq7mB6TVoT/view?usp=sharing" TargetMode="External"/><Relationship Id="rId4664" Type="http://schemas.openxmlformats.org/officeDocument/2006/relationships/hyperlink" Target="https://drive.google.com/file/d/1nOxPPA20RmOj0AUz2AJvR96GZGmDtC6L/view?usp=drive_link" TargetMode="External"/><Relationship Id="rId5715" Type="http://schemas.openxmlformats.org/officeDocument/2006/relationships/hyperlink" Target="https://www.vidio.com/live/19601-uefa-europa-league?schedule_id=4664053" TargetMode="External"/><Relationship Id="rId7070" Type="http://schemas.openxmlformats.org/officeDocument/2006/relationships/hyperlink" Target="https://drive.google.com/file/d/1CUtmQtJQ2RaWNB-fBF3lXMwq2fQt_0Yr/view?usp=sharing" TargetMode="External"/><Relationship Id="rId8121" Type="http://schemas.openxmlformats.org/officeDocument/2006/relationships/hyperlink" Target="https://drive.google.com/drive/u/0/folders/1I3IEHJF3rY3ulQ1TphSYn3JnVZ8GjTYg" TargetMode="External"/><Relationship Id="rId10051" Type="http://schemas.openxmlformats.org/officeDocument/2006/relationships/hyperlink" Target="https://drive.google.com/file/d/1hCS_VH_O1SArEqHo9AT6Sar7YMoW62wR/view?usp=sharing" TargetMode="External"/><Relationship Id="rId11102" Type="http://schemas.openxmlformats.org/officeDocument/2006/relationships/hyperlink" Target="https://thumbor.prod.vidiocdn.com/p3L4HOA2xxHVFDr3LujD-kNg24o=/filters:quality(70)/vidio-media-production/uploads/image/source/52273/712304.png" TargetMode="External"/><Relationship Id="rId3266" Type="http://schemas.openxmlformats.org/officeDocument/2006/relationships/hyperlink" Target="https://www.vidio.com/live/6299-bein-1?schedule_id=4832527" TargetMode="External"/><Relationship Id="rId4317" Type="http://schemas.openxmlformats.org/officeDocument/2006/relationships/hyperlink" Target="https://drive.google.com/drive/folders/15-II7ipKAoia1ddwRA92IJ21xrPGVpIb?usp=drive_link" TargetMode="External"/><Relationship Id="rId187" Type="http://schemas.openxmlformats.org/officeDocument/2006/relationships/hyperlink" Target="https://drive.google.com/file/d/1ush37STaR01g3dtdApcOeFQCisgmqy0-/view?usp=sharing" TargetMode="External"/><Relationship Id="rId2282" Type="http://schemas.openxmlformats.org/officeDocument/2006/relationships/hyperlink" Target="https://drive.google.com/drive/folders/1LPjzFbBTQFHsHkziHSf1mTMLYgOfWkU4" TargetMode="External"/><Relationship Id="rId3680" Type="http://schemas.openxmlformats.org/officeDocument/2006/relationships/hyperlink" Target="https://drive.google.com/file/d/1Kyd9BjoM_DuCRLXl1DPXsBk26G3TiL6e/view?usp=sharing" TargetMode="External"/><Relationship Id="rId4731" Type="http://schemas.openxmlformats.org/officeDocument/2006/relationships/hyperlink" Target="https://thumbor.prod.vidiocdn.com/ENrgXDQ2DYHjg6Cu3RhQj2eAunc=/filters:quality(70)/vidio-media-production/uploads/image/source/52030/eaad8a.png" TargetMode="External"/><Relationship Id="rId6489" Type="http://schemas.openxmlformats.org/officeDocument/2006/relationships/hyperlink" Target="https://www.vidio.com/live/19648-uefa-conference-league?schedule_id=4771659" TargetMode="External"/><Relationship Id="rId7887" Type="http://schemas.openxmlformats.org/officeDocument/2006/relationships/hyperlink" Target="https://www.vidio.com/live/19738-turkish-women-s-volleyball-league?schedule_id=4667516" TargetMode="External"/><Relationship Id="rId8938" Type="http://schemas.openxmlformats.org/officeDocument/2006/relationships/hyperlink" Target="https://drive.google.com/drive/folders/1AnolPAu5B_3HKjEkWZzv-8NhhFejWIne" TargetMode="External"/><Relationship Id="rId10868" Type="http://schemas.openxmlformats.org/officeDocument/2006/relationships/hyperlink" Target="https://drive.google.com/file/d/1jlez4JR07DSs3kvGWp_GphpWOxira2l8/view?usp=sharing" TargetMode="External"/><Relationship Id="rId11919" Type="http://schemas.openxmlformats.org/officeDocument/2006/relationships/hyperlink" Target="https://www.vidio.com/live/18252-petronas-malaysia-open-2026-round-of-32-court-3?schedule_id=4831579" TargetMode="External"/><Relationship Id="rId254" Type="http://schemas.openxmlformats.org/officeDocument/2006/relationships/hyperlink" Target="https://drive.google.com/file/d/1gSCW2qQejMJ-whRxMwgBwRMqJl_ywvzh/view?usp=drive_link" TargetMode="External"/><Relationship Id="rId3333" Type="http://schemas.openxmlformats.org/officeDocument/2006/relationships/hyperlink" Target="https://drive.google.com/file/d/1q_ASlEzpoCNgxBwLGTptl6TsSwoXe8iZ/view?usp=sharing" TargetMode="External"/><Relationship Id="rId7954" Type="http://schemas.openxmlformats.org/officeDocument/2006/relationships/hyperlink" Target="https://drive.google.com/drive/folders/1MUdCaPTlhhsYzeDKGBUphYNipw9h4Szr?usp=drive_link" TargetMode="External"/><Relationship Id="rId10935" Type="http://schemas.openxmlformats.org/officeDocument/2006/relationships/hyperlink" Target="https://drive.google.com/drive/folders/1ehBQImq5LJsocKNU7tGOwLzoxZOyVGKs" TargetMode="External"/><Relationship Id="rId12290" Type="http://schemas.openxmlformats.org/officeDocument/2006/relationships/hyperlink" Target="https://drive.google.com/file/d/17nqJ8YbOWxi4DOQmMA4_VvY1qMuE4tM4/view?usp=sharing" TargetMode="External"/><Relationship Id="rId3400" Type="http://schemas.openxmlformats.org/officeDocument/2006/relationships/hyperlink" Target="https://www.vidio.com/live/19327-uefa-champions-league-third-qualifying-round?schedule_id=4492762" TargetMode="External"/><Relationship Id="rId6556" Type="http://schemas.openxmlformats.org/officeDocument/2006/relationships/hyperlink" Target="https://drive.google.com/drive/folders/1ewnqsIIhPFw3RobnPD8iPkAo0clhVVC1?usp=drive_link" TargetMode="External"/><Relationship Id="rId6970" Type="http://schemas.openxmlformats.org/officeDocument/2006/relationships/hyperlink" Target="https://drive.google.com/drive/folders/1vR7Jh6SZu4nQm4TSS5oEHbHY_36bNoYm?usp=drive_link" TargetMode="External"/><Relationship Id="rId7607" Type="http://schemas.openxmlformats.org/officeDocument/2006/relationships/hyperlink" Target="https://www.vidio.com/live/17875-bein-2?schedule_id=4636462" TargetMode="External"/><Relationship Id="rId321" Type="http://schemas.openxmlformats.org/officeDocument/2006/relationships/hyperlink" Target="https://drive.google.com/drive/folders/16Rito2Lzn6lovqF6twHBJ2qrsr5gTQSr?usp=drive_link" TargetMode="External"/><Relationship Id="rId2002" Type="http://schemas.openxmlformats.org/officeDocument/2006/relationships/hyperlink" Target="https://www.vidio.com/live/19354-bri-super-league?schedule_id=4706172" TargetMode="External"/><Relationship Id="rId5158" Type="http://schemas.openxmlformats.org/officeDocument/2006/relationships/hyperlink" Target="https://drive.google.com/file/d/18BW6TKGlR3g6r4C8ekEbwFK_KcEa6IC9/view?usp=sharing" TargetMode="External"/><Relationship Id="rId5572" Type="http://schemas.openxmlformats.org/officeDocument/2006/relationships/hyperlink" Target="https://drive.google.com/drive/folders/1Pa0qfataln1fT9yxKWP8qXxkoy19fvHy?usp=drive_link" TargetMode="External"/><Relationship Id="rId6209" Type="http://schemas.openxmlformats.org/officeDocument/2006/relationships/hyperlink" Target="https://drive.google.com/drive/folders/1vjOA9E-jOlhsRSh5NE7jSpcmcR5v41-E" TargetMode="External"/><Relationship Id="rId6623" Type="http://schemas.openxmlformats.org/officeDocument/2006/relationships/hyperlink" Target="https://drive.google.com/drive/folders/1QpWRJLjjRJ2KlVPMHXCu1aoa5-UYVZC_?usp=drive_link" TargetMode="External"/><Relationship Id="rId9779" Type="http://schemas.openxmlformats.org/officeDocument/2006/relationships/hyperlink" Target="https://www.vidio.com/live/19880-top-soccer-championship-2025-u-13-u-14" TargetMode="External"/><Relationship Id="rId12010" Type="http://schemas.openxmlformats.org/officeDocument/2006/relationships/hyperlink" Target="https://www.vidio.com/live/18249-petronas-malaysia-open-2026-round-of-16-court-1?schedule_id=4832330" TargetMode="External"/><Relationship Id="rId1768" Type="http://schemas.openxmlformats.org/officeDocument/2006/relationships/hyperlink" Target="https://drive.google.com/drive/folders/1vITpYa6owELhcaMUXLReRZ0syKZF3i6S" TargetMode="External"/><Relationship Id="rId2819" Type="http://schemas.openxmlformats.org/officeDocument/2006/relationships/hyperlink" Target="https://drive.google.com/file/d/1hG6MrxFjOUmsnxJuwzKiSXA6kyR6Mpsr/view?usp=sharing" TargetMode="External"/><Relationship Id="rId4174" Type="http://schemas.openxmlformats.org/officeDocument/2006/relationships/hyperlink" Target="https://drive.google.com/drive/folders/1tia6v4elSjYt0ip0lAMMTPYagWB8TJZK?usp=drive_link" TargetMode="External"/><Relationship Id="rId5225" Type="http://schemas.openxmlformats.org/officeDocument/2006/relationships/hyperlink" Target="https://drive.google.com/file/d/13IieaVaCw0trk42lh4iTes0M_uovNhJj/view?usp=sharing" TargetMode="External"/><Relationship Id="rId8795" Type="http://schemas.openxmlformats.org/officeDocument/2006/relationships/hyperlink" Target="https://drive.google.com/drive/folders/1Lqggo2yol8Yqr0inT3BM87HkcihNTsMf?usp=drive_link" TargetMode="External"/><Relationship Id="rId9846" Type="http://schemas.openxmlformats.org/officeDocument/2006/relationships/hyperlink" Target="https://drive.google.com/file/d/1bGAtWdCSL-v2iZg1GvRoYwXZwXVqVH3x/view" TargetMode="External"/><Relationship Id="rId3190" Type="http://schemas.openxmlformats.org/officeDocument/2006/relationships/hyperlink" Target="https://thumbor.prod.vidiocdn.com/HdPQ2ukvCg8F0V1ish5p_nG_Sbg=/filters:quality(70)/vidio-media-production/uploads/image/source/52778/2f9748.png" TargetMode="External"/><Relationship Id="rId4241" Type="http://schemas.openxmlformats.org/officeDocument/2006/relationships/hyperlink" Target="https://drive.google.com/file/d/1VW2IkO70JC5V6BSvGtfR_W2AZpt5GrTh/view?usp=sharing" TargetMode="External"/><Relationship Id="rId7397" Type="http://schemas.openxmlformats.org/officeDocument/2006/relationships/hyperlink" Target="https://drive.google.com/file/d/1eeFcjlU2AxpsQrRnEjnpUIF_Fuqp9_86/view?usp=sharing" TargetMode="External"/><Relationship Id="rId8448" Type="http://schemas.openxmlformats.org/officeDocument/2006/relationships/hyperlink" Target="https://drive.google.com/drive/folders/1LB63kpifaJWvOmDyJH3aWMms4lW8jcIX?usp=drive_link" TargetMode="External"/><Relationship Id="rId11776" Type="http://schemas.openxmlformats.org/officeDocument/2006/relationships/hyperlink" Target="https://www.vidio.com/live/19623-national-football-league-2025-26?schedule_id=4834800" TargetMode="External"/><Relationship Id="rId1835" Type="http://schemas.openxmlformats.org/officeDocument/2006/relationships/hyperlink" Target="https://drive.google.com/file/d/1PqbKtH8VmZ2S0zj35sogcXBRKMO88ieM/view?usp=drive_link" TargetMode="External"/><Relationship Id="rId7464" Type="http://schemas.openxmlformats.org/officeDocument/2006/relationships/hyperlink" Target="https://drive.google.com/file/d/1DNux4glLBnqI-DzUHKvsJVIQIe0fQ_QF/view?usp=sharing" TargetMode="External"/><Relationship Id="rId8862" Type="http://schemas.openxmlformats.org/officeDocument/2006/relationships/hyperlink" Target="https://drive.google.com/drive/folders/16Znwn2-X8Nng80prmwU23MIIovPrdDjp?usp=drive_link" TargetMode="External"/><Relationship Id="rId9913" Type="http://schemas.openxmlformats.org/officeDocument/2006/relationships/hyperlink" Target="https://drive.google.com/file/d/1NI7AkeQq0785Ro05WL6gBLkz5Whk6SKk/view?usp=sharing" TargetMode="External"/><Relationship Id="rId10378" Type="http://schemas.openxmlformats.org/officeDocument/2006/relationships/hyperlink" Target="https://drive.google.com/drive/folders/15D4KJekrD_giIi40SsNmVaPe-rDixdzC?usp=sharing" TargetMode="External"/><Relationship Id="rId10792" Type="http://schemas.openxmlformats.org/officeDocument/2006/relationships/hyperlink" Target="https://drive.google.com/drive/u/0/folders/1xbho-pfWB0mylopfX9E5doTdVQD8jaXB" TargetMode="External"/><Relationship Id="rId11429" Type="http://schemas.openxmlformats.org/officeDocument/2006/relationships/hyperlink" Target="https://www.vidio.com/live/18249-hsbc-bwf-world-tour-finals-2025-semifinals?schedule_id=4788336" TargetMode="External"/><Relationship Id="rId11843" Type="http://schemas.openxmlformats.org/officeDocument/2006/relationships/hyperlink" Target="https://drive.google.com/drive/folders/1Ty2H_i_qk549qwdTHB8xBRYGJbtv8v5N?usp=drive_link" TargetMode="External"/><Relationship Id="rId1902" Type="http://schemas.openxmlformats.org/officeDocument/2006/relationships/hyperlink" Target="https://www.vidio.com/live/19354-bri-super-league?schedule_id=4667500" TargetMode="External"/><Relationship Id="rId6066" Type="http://schemas.openxmlformats.org/officeDocument/2006/relationships/hyperlink" Target="https://drive.google.com/file/d/1Sx13bYh-w1MUn-c9pdTlO0zuSthMX6hy/view?usp=drive_link" TargetMode="External"/><Relationship Id="rId7117" Type="http://schemas.openxmlformats.org/officeDocument/2006/relationships/hyperlink" Target="https://drive.google.com/drive/folders/1iYBRE0gQIRA1omlPPSnvaq9HB1kjvC9U" TargetMode="External"/><Relationship Id="rId8515" Type="http://schemas.openxmlformats.org/officeDocument/2006/relationships/hyperlink" Target="https://www.vidio.com/live/19774-fa-cup-2025-26?schedule_id=4678557" TargetMode="External"/><Relationship Id="rId10445" Type="http://schemas.openxmlformats.org/officeDocument/2006/relationships/hyperlink" Target="https://www.vidio.com/live/19737-turkish-volleyball-league?schedule_id=4783609" TargetMode="External"/><Relationship Id="rId11910" Type="http://schemas.openxmlformats.org/officeDocument/2006/relationships/hyperlink" Target="https://www.vidio.com/live/18252-petronas-malaysia-open-2026-round-of-32-court-3?schedule_id=4831576" TargetMode="External"/><Relationship Id="rId6480" Type="http://schemas.openxmlformats.org/officeDocument/2006/relationships/hyperlink" Target="https://drive.google.com/drive/folders/1o_ATp6I_YNAl0q6N0CFaRZvLZb7KpuYF?usp=drive_link" TargetMode="External"/><Relationship Id="rId7531" Type="http://schemas.openxmlformats.org/officeDocument/2006/relationships/hyperlink" Target="https://drive.google.com/drive/folders/1lGfzAeOHeAMZdS37DygDX4R_yPEXkW3U?usp=drive_link" TargetMode="External"/><Relationship Id="rId10512" Type="http://schemas.openxmlformats.org/officeDocument/2006/relationships/hyperlink" Target="https://drive.google.com/file/d/1dNUXVp6lqU8iT871b8EBryawqJZH3W-V/view?usp=sharing" TargetMode="External"/><Relationship Id="rId995" Type="http://schemas.openxmlformats.org/officeDocument/2006/relationships/hyperlink" Target="https://drive.google.com/file/d/1g7RRCG8_tAZXPzC67IB28d-7HuZvqutg/view?usp=sharing" TargetMode="External"/><Relationship Id="rId2676" Type="http://schemas.openxmlformats.org/officeDocument/2006/relationships/hyperlink" Target="https://drive.google.com/file/d/13SKkv59TmwPRuJ6yCosrcjdfpRiPs3UN/view?usp=sharing" TargetMode="External"/><Relationship Id="rId3727" Type="http://schemas.openxmlformats.org/officeDocument/2006/relationships/hyperlink" Target="https://drive.google.com/drive/folders/1OSVFKfFrePdy-ZzRYwAQfqh4oN9Sth1b" TargetMode="External"/><Relationship Id="rId5082" Type="http://schemas.openxmlformats.org/officeDocument/2006/relationships/hyperlink" Target="https://drive.google.com/file/d/1K4NBJKHjRmKHt1EOuQErcaED5qP6YcvU/view?usp=drive_link" TargetMode="External"/><Relationship Id="rId6133" Type="http://schemas.openxmlformats.org/officeDocument/2006/relationships/hyperlink" Target="https://drive.google.com/file/d/1UZKl7Xu2PSKVDcavUflOGSl3DPv-clUF/view?usp=drive_link" TargetMode="External"/><Relationship Id="rId9289" Type="http://schemas.openxmlformats.org/officeDocument/2006/relationships/hyperlink" Target="https://drive.google.com/drive/u/0/folders/1coWLzELkUEDH7rm8ZTFjfeQb9qN-dxh1" TargetMode="External"/><Relationship Id="rId648" Type="http://schemas.openxmlformats.org/officeDocument/2006/relationships/hyperlink" Target="https://www.vidio.com/live/9182-champions-tv-5?schedule_id=4707261" TargetMode="External"/><Relationship Id="rId1278" Type="http://schemas.openxmlformats.org/officeDocument/2006/relationships/hyperlink" Target="https://drive.google.com/drive/folders/1tSwA1Ih4OEMYvWyqdXu4Qrf08mBNDO2a?usp=drive_link" TargetMode="External"/><Relationship Id="rId1692" Type="http://schemas.openxmlformats.org/officeDocument/2006/relationships/hyperlink" Target="https://drive.google.com/file/d/1pwha-Y6J5ua0zwskxNFMQZUSVyJPshXJ/view?usp=drive_link" TargetMode="External"/><Relationship Id="rId2329" Type="http://schemas.openxmlformats.org/officeDocument/2006/relationships/hyperlink" Target="https://drive.google.com/drive/folders/1Pm5Jgmxh-aKl9hR8HYKc-wSUtGQ6816G?usp=drive_link" TargetMode="External"/><Relationship Id="rId2743" Type="http://schemas.openxmlformats.org/officeDocument/2006/relationships/hyperlink" Target="https://drive.google.com/drive/folders/1qeL-o6mT1rTYcd3c01m2layrhrqUN4pM?usp=drive_link" TargetMode="External"/><Relationship Id="rId5899" Type="http://schemas.openxmlformats.org/officeDocument/2006/relationships/hyperlink" Target="https://www.vidio.com/live/19600-uefa-europa-league?schedule_id=4734916" TargetMode="External"/><Relationship Id="rId6200" Type="http://schemas.openxmlformats.org/officeDocument/2006/relationships/hyperlink" Target="https://drive.google.com/file/d/1zO_FrELo0febSiGQRH2CirpKw0yG5RmM/view?usp=sharing" TargetMode="External"/><Relationship Id="rId9356" Type="http://schemas.openxmlformats.org/officeDocument/2006/relationships/hyperlink" Target="https://www.vidio.com/live/19774-fa-cup-2025-26?schedule_id=4760164" TargetMode="External"/><Relationship Id="rId9770" Type="http://schemas.openxmlformats.org/officeDocument/2006/relationships/hyperlink" Target="https://www.vidio.com/live/19184-darts-national-competition-2025?schedule_id=4731072" TargetMode="External"/><Relationship Id="rId11286" Type="http://schemas.openxmlformats.org/officeDocument/2006/relationships/hyperlink" Target="https://www.vidio.com/live/19988-bri-super-league?schedule_id=4824481" TargetMode="External"/><Relationship Id="rId12337" Type="http://schemas.openxmlformats.org/officeDocument/2006/relationships/hyperlink" Target="http://vidio.com/live/20273?schedule_id=4833848" TargetMode="External"/><Relationship Id="rId715" Type="http://schemas.openxmlformats.org/officeDocument/2006/relationships/hyperlink" Target="https://drive.google.com/drive/folders/1hgdnKSdpuy1aG_VdduYRqzJ0hQ_vFl6i?usp=drive_link" TargetMode="External"/><Relationship Id="rId1345" Type="http://schemas.openxmlformats.org/officeDocument/2006/relationships/hyperlink" Target="https://drive.google.com/file/d/1q_XqVa1vtjm9R9YPfz1DBEiBctLiYIkv/view?usp=drive_link" TargetMode="External"/><Relationship Id="rId8372" Type="http://schemas.openxmlformats.org/officeDocument/2006/relationships/hyperlink" Target="https://drive.google.com/file/d/1Wop2gWP6S4_DCNn8bCkkTg-rJnB9qZDG/view?usp=sharing" TargetMode="External"/><Relationship Id="rId9009" Type="http://schemas.openxmlformats.org/officeDocument/2006/relationships/hyperlink" Target="https://drive.google.com/drive/folders/1i3lJn8wWO6nSmpZB0zqPqXnPDLKgWVIH" TargetMode="External"/><Relationship Id="rId9423" Type="http://schemas.openxmlformats.org/officeDocument/2006/relationships/hyperlink" Target="https://thumbor.prod.vidiocdn.com/K3NixiIcK1SW9eXpYJBwC5B4rg8=/filters:quality(70)/vidio-media-production/uploads/image/source/52768/689401.png" TargetMode="External"/><Relationship Id="rId2810" Type="http://schemas.openxmlformats.org/officeDocument/2006/relationships/hyperlink" Target="https://drive.google.com/drive/folders/1nrNL2s6LY52u8rkzHHMJ8BTA64ITmMoG?usp=drive_link" TargetMode="External"/><Relationship Id="rId4568" Type="http://schemas.openxmlformats.org/officeDocument/2006/relationships/hyperlink" Target="https://drive.google.com/drive/folders/145IhwfqlcpfOLrMqkCkNQ3_RVW4boDzF?usp=drive_link" TargetMode="External"/><Relationship Id="rId5966" Type="http://schemas.openxmlformats.org/officeDocument/2006/relationships/hyperlink" Target="https://drive.google.com/drive/folders/1pYi5qIT6QdvkfDRfWH0qsk97hfAPMoyN?usp=drive_link" TargetMode="External"/><Relationship Id="rId8025" Type="http://schemas.openxmlformats.org/officeDocument/2006/relationships/hyperlink" Target="https://drive.google.com/drive/folders/1HLpQdRvOp_rRpSRcotb4GCbvkP36sV2A?usp=drive_link" TargetMode="External"/><Relationship Id="rId11353" Type="http://schemas.openxmlformats.org/officeDocument/2006/relationships/hyperlink" Target="https://drive.google.com/file/d/1DNux4glLBnqI-DzUHKvsJVIQIe0fQ_QF/view?usp=sharing" TargetMode="External"/><Relationship Id="rId12404" Type="http://schemas.openxmlformats.org/officeDocument/2006/relationships/hyperlink" Target="https://drive.google.com/drive/folders/1tni-eURfEFKRVxfoCHzmLE1mqpTQd2nq" TargetMode="External"/><Relationship Id="rId51" Type="http://schemas.openxmlformats.org/officeDocument/2006/relationships/hyperlink" Target="https://drive.google.com/drive/folders/1YSKPa2awgi9TkFqbCdidx_w9LayZQ5LO?usp=drive_link" TargetMode="External"/><Relationship Id="rId1412" Type="http://schemas.openxmlformats.org/officeDocument/2006/relationships/hyperlink" Target="https://drive.google.com/file/d/1-0PPSdx4QADee9PYLf5vUf7Qk0tQL64S/view?usp=sharing" TargetMode="External"/><Relationship Id="rId4982" Type="http://schemas.openxmlformats.org/officeDocument/2006/relationships/hyperlink" Target="https://www.vidio.com/live/17875-bein-2?schedule_id=4570941" TargetMode="External"/><Relationship Id="rId5619" Type="http://schemas.openxmlformats.org/officeDocument/2006/relationships/hyperlink" Target="https://drive.google.com/file/d/1_g-84cu3_7uLNzhfVvsiXnEj-Id6DsDm/view?usp=sharing" TargetMode="External"/><Relationship Id="rId7041" Type="http://schemas.openxmlformats.org/officeDocument/2006/relationships/hyperlink" Target="https://drive.google.com/file/d/1qpBoMLuQJ4vjTQM6E6_svJUQSzCyy_CQ/view?usp=sharing" TargetMode="External"/><Relationship Id="rId11006" Type="http://schemas.openxmlformats.org/officeDocument/2006/relationships/hyperlink" Target="https://www.vidio.com/live/20251-fa-cup-2025-26?schedule_id=4832305" TargetMode="External"/><Relationship Id="rId11420" Type="http://schemas.openxmlformats.org/officeDocument/2006/relationships/hyperlink" Target="https://drive.google.com/file/d/1U2u8UShiFtPCDGB6mvK7GObwQ6DaczD2/view?usp=sharing" TargetMode="External"/><Relationship Id="rId3584" Type="http://schemas.openxmlformats.org/officeDocument/2006/relationships/hyperlink" Target="https://thumbor.prod.vidiocdn.com/QcNKzpAHbJG7zXHdm8Icshrx6_4=/filters:quality(70)/vidio-media-production/uploads/image/source/52011/f14a72.png" TargetMode="External"/><Relationship Id="rId4635" Type="http://schemas.openxmlformats.org/officeDocument/2006/relationships/hyperlink" Target="https://www.vidio.com/live/19404-serie-a?schedule_id=4768860" TargetMode="External"/><Relationship Id="rId10022" Type="http://schemas.openxmlformats.org/officeDocument/2006/relationships/hyperlink" Target="https://www.vidio.com/live/6317-bein-3?schedule_id=4797278" TargetMode="External"/><Relationship Id="rId158" Type="http://schemas.openxmlformats.org/officeDocument/2006/relationships/hyperlink" Target="https://drive.google.com/file/d/1oLFSrHudB0oz584uWGsjro_vP8ZTY8pU/view?usp=drive_link" TargetMode="External"/><Relationship Id="rId2186" Type="http://schemas.openxmlformats.org/officeDocument/2006/relationships/hyperlink" Target="https://drive.google.com/file/d/1fx4aVH898TZ06obrjHmbNqR-te9U5S3V/view?usp=sharing" TargetMode="External"/><Relationship Id="rId3237" Type="http://schemas.openxmlformats.org/officeDocument/2006/relationships/hyperlink" Target="https://thumbor.prod.vidiocdn.com/6k9EVEc_fqUc4xBNoM4GcxdDm2w=/filters:quality(70)/vidio-media-production/uploads/image/source/52939/1b1441.png" TargetMode="External"/><Relationship Id="rId3651" Type="http://schemas.openxmlformats.org/officeDocument/2006/relationships/hyperlink" Target="https://drive.google.com/file/d/17iGj7ZUs1_YbzThG7sVtnYZ7gTLFnclm/view?usp=sharing" TargetMode="External"/><Relationship Id="rId4702" Type="http://schemas.openxmlformats.org/officeDocument/2006/relationships/hyperlink" Target="https://drive.google.com/drive/folders/1D_HtEEjzcSCTMpY8iI6ajeuQYekdUHp5?usp=drive_link" TargetMode="External"/><Relationship Id="rId7858" Type="http://schemas.openxmlformats.org/officeDocument/2006/relationships/hyperlink" Target="https://drive.google.com/file/d/1jUF1p_vjDwEo6LNBu822kFyMvpfIOAVl/view?usp=sharing" TargetMode="External"/><Relationship Id="rId8909" Type="http://schemas.openxmlformats.org/officeDocument/2006/relationships/hyperlink" Target="https://thumbor.prod.vidiocdn.com/LY6hs7oJzSB0PdbN_vUkg0d6-M0=/filters:quality(70)/vidio-media-production/uploads/image/source/52637/bf543d.png" TargetMode="External"/><Relationship Id="rId12194" Type="http://schemas.openxmlformats.org/officeDocument/2006/relationships/hyperlink" Target="https://drive.google.com/file/d/17nqJ8YbOWxi4DOQmMA4_VvY1qMuE4tM4/view?usp=drive_link" TargetMode="External"/><Relationship Id="rId572" Type="http://schemas.openxmlformats.org/officeDocument/2006/relationships/hyperlink" Target="https://www.vidio.com/live/9182-champions-tv-5?schedule_id=4668387" TargetMode="External"/><Relationship Id="rId2253" Type="http://schemas.openxmlformats.org/officeDocument/2006/relationships/hyperlink" Target="https://drive.google.com/drive/folders/1qCcBp9HXryO0KKa5HH_MTnpOd8vRfd9G" TargetMode="External"/><Relationship Id="rId3304" Type="http://schemas.openxmlformats.org/officeDocument/2006/relationships/hyperlink" Target="https://drive.google.com/file/d/17jRc6LK6460uMO8Ek3iXw4y9s6baTUy0/view?usp=drive_link" TargetMode="External"/><Relationship Id="rId6874" Type="http://schemas.openxmlformats.org/officeDocument/2006/relationships/hyperlink" Target="https://drive.google.com/file/d/1xECdIi1w_24TA-5s39zJcuNlC1ftSP2Y/view?usp=sharing" TargetMode="External"/><Relationship Id="rId7925" Type="http://schemas.openxmlformats.org/officeDocument/2006/relationships/hyperlink" Target="https://drive.google.com/file/d/1J_MZl8EaNNA7Hrx5coF-UhSrjVngK0PG/view?usp=sharing" TargetMode="External"/><Relationship Id="rId9280" Type="http://schemas.openxmlformats.org/officeDocument/2006/relationships/hyperlink" Target="https://drive.google.com/file/d/1bGAtWdCSL-v2iZg1GvRoYwXZwXVqVH3x/view?usp=drive_link" TargetMode="External"/><Relationship Id="rId10839" Type="http://schemas.openxmlformats.org/officeDocument/2006/relationships/hyperlink" Target="https://drive.google.com/drive/folders/1X_K1rfboRBqY0tWu7vscI7hGXzSb1Rta?usp=drive_link" TargetMode="External"/><Relationship Id="rId12261" Type="http://schemas.openxmlformats.org/officeDocument/2006/relationships/hyperlink" Target="https://drive.google.com/file/d/17nqJ8YbOWxi4DOQmMA4_VvY1qMuE4tM4/view?usp=sharing" TargetMode="External"/><Relationship Id="rId225" Type="http://schemas.openxmlformats.org/officeDocument/2006/relationships/hyperlink" Target="https://drive.google.com/file/d/1JgVLYQ0RO7ZurFqxOPCSc7-B79S_jrsq/view?usp=sharing" TargetMode="External"/><Relationship Id="rId2320" Type="http://schemas.openxmlformats.org/officeDocument/2006/relationships/hyperlink" Target="https://drive.google.com/file/d/1Zpi6vDghdJduJM6T7wz2kk37YZ4wUgnd/view?usp=sharing" TargetMode="External"/><Relationship Id="rId5476" Type="http://schemas.openxmlformats.org/officeDocument/2006/relationships/hyperlink" Target="https://drive.google.com/file/d/11slbtkDFgpo-p80fxLQcgXNL9vkLKZCc/view?usp=sharing" TargetMode="External"/><Relationship Id="rId6527" Type="http://schemas.openxmlformats.org/officeDocument/2006/relationships/hyperlink" Target="https://drive.google.com/file/d/1Sjp075QubaXd6n7PFO9pC2-vVzZ-Ccsb/view?usp=drive_link" TargetMode="External"/><Relationship Id="rId10906" Type="http://schemas.openxmlformats.org/officeDocument/2006/relationships/hyperlink" Target="https://www.vidio.com/live/18250-hsbc-bwf-world-tour-finals-2025-group-stage-court-2?schedule_id=4783194" TargetMode="External"/><Relationship Id="rId4078" Type="http://schemas.openxmlformats.org/officeDocument/2006/relationships/hyperlink" Target="https://drive.google.com/file/d/1hnbu6gVEzvc4LvIdNIoACT6c0C_m9EZ7/view?usp=drive_link" TargetMode="External"/><Relationship Id="rId4492" Type="http://schemas.openxmlformats.org/officeDocument/2006/relationships/hyperlink" Target="https://drive.google.com/drive/folders/1CNmRInOzczzN9D7iENYVh3ibDHQjNbGs?usp=drive_link" TargetMode="External"/><Relationship Id="rId5129" Type="http://schemas.openxmlformats.org/officeDocument/2006/relationships/hyperlink" Target="https://drive.google.com/drive/folders/1SptMgGVrRUcFGFnaPy9oupJ8FwyXN3h2?usp=drive_link" TargetMode="External"/><Relationship Id="rId5543" Type="http://schemas.openxmlformats.org/officeDocument/2006/relationships/hyperlink" Target="https://drive.google.com/drive/folders/1JZ9Ndpn5EquIUv8qM_lx_mY9MfWSwFE7?usp=drive_link" TargetMode="External"/><Relationship Id="rId5890" Type="http://schemas.openxmlformats.org/officeDocument/2006/relationships/hyperlink" Target="https://drive.google.com/drive/folders/1pYi5qIT6QdvkfDRfWH0qsk97hfAPMoyN?usp=drive_link" TargetMode="External"/><Relationship Id="rId6941" Type="http://schemas.openxmlformats.org/officeDocument/2006/relationships/hyperlink" Target="https://drive.google.com/drive/folders/1BhKJCwrQWMPmukRF_X1L_5IJlxac8Xp_?usp=drive_link" TargetMode="External"/><Relationship Id="rId8699" Type="http://schemas.openxmlformats.org/officeDocument/2006/relationships/hyperlink" Target="https://drive.google.com/drive/folders/1CwWccpWqZzu4td1JA8r9KVnAVufyWtUZ" TargetMode="External"/><Relationship Id="rId9000" Type="http://schemas.openxmlformats.org/officeDocument/2006/relationships/hyperlink" Target="https://drive.google.com/file/d/1KWlbkIMV01NrHY_CiWN7drblIfz-WJaX/view?usp=sharing" TargetMode="External"/><Relationship Id="rId3094" Type="http://schemas.openxmlformats.org/officeDocument/2006/relationships/hyperlink" Target="https://www.vidio.com/live/6299-bein-1?schedule_id=4779478" TargetMode="External"/><Relationship Id="rId4145" Type="http://schemas.openxmlformats.org/officeDocument/2006/relationships/hyperlink" Target="https://drive.google.com/drive/folders/1toQ1MNI2FzJq6sshekG3RIAdD0CD7L34?usp=drive_link" TargetMode="External"/><Relationship Id="rId1739" Type="http://schemas.openxmlformats.org/officeDocument/2006/relationships/hyperlink" Target="https://drive.google.com/file/d/1MVz6urCC0O_8dLAjHQgH6NW5o5o3a23y/view?usp=sharing" TargetMode="External"/><Relationship Id="rId5610" Type="http://schemas.openxmlformats.org/officeDocument/2006/relationships/hyperlink" Target="https://drive.google.com/drive/folders/110pochU2vjRu0inywDWO9HBdrAIQf4ao?usp=drive_link" TargetMode="External"/><Relationship Id="rId8766" Type="http://schemas.openxmlformats.org/officeDocument/2006/relationships/hyperlink" Target="https://drive.google.com/drive/folders/1P26qjV_RdDoL181jh5scubcXC5IU8rgM?usp=drive_link" TargetMode="External"/><Relationship Id="rId9817" Type="http://schemas.openxmlformats.org/officeDocument/2006/relationships/hyperlink" Target="https://drive.google.com/file/d/1bGAtWdCSL-v2iZg1GvRoYwXZwXVqVH3x/view?usp=sharing" TargetMode="External"/><Relationship Id="rId10696" Type="http://schemas.openxmlformats.org/officeDocument/2006/relationships/hyperlink" Target="https://drive.google.com/drive/folders/1UY7l5OK5ZRVTA9ZyzmPfvZwEbfs_HMDm?usp=drive_link" TargetMode="External"/><Relationship Id="rId11747" Type="http://schemas.openxmlformats.org/officeDocument/2006/relationships/hyperlink" Target="https://drive.google.com/drive/folders/1zl9WthQezZutJ0hkMj_K6nwWDIRMa8QT?usp=drive_link" TargetMode="External"/><Relationship Id="rId1806" Type="http://schemas.openxmlformats.org/officeDocument/2006/relationships/hyperlink" Target="https://drive.google.com/file/d/10QpVLNTwj7WwDur05DokjiHLNmTKMKWy/view?usp=drive_link" TargetMode="External"/><Relationship Id="rId3161" Type="http://schemas.openxmlformats.org/officeDocument/2006/relationships/hyperlink" Target="https://thumbor.prod.vidiocdn.com/dusCp5No7kUqWPFb3XsWBHq0F7U=/filters:quality(70)/vidio-media-production/uploads/image/source/52035/8d6944.png" TargetMode="External"/><Relationship Id="rId4212" Type="http://schemas.openxmlformats.org/officeDocument/2006/relationships/hyperlink" Target="https://www.vidio.com/live/19404-serie-a?schedule_id=4652727" TargetMode="External"/><Relationship Id="rId7368" Type="http://schemas.openxmlformats.org/officeDocument/2006/relationships/hyperlink" Target="https://drive.google.com/file/d/1bC1Pirhf37K9xwlOAn_RU-DbfPFnSt8O/view?usp=sharing" TargetMode="External"/><Relationship Id="rId7782" Type="http://schemas.openxmlformats.org/officeDocument/2006/relationships/hyperlink" Target="https://www.vidio.com/live/6686-champions-tv-2?schedule_id=4675196" TargetMode="External"/><Relationship Id="rId8419" Type="http://schemas.openxmlformats.org/officeDocument/2006/relationships/hyperlink" Target="https://drive.google.com/drive/folders/14mY2v60NlIZL6uqZQFUTf-qeh2pTAciA?usp=drive_link" TargetMode="External"/><Relationship Id="rId8833" Type="http://schemas.openxmlformats.org/officeDocument/2006/relationships/hyperlink" Target="https://www.vidio.com/live/19671-easl?schedule_id=4759263" TargetMode="External"/><Relationship Id="rId10349" Type="http://schemas.openxmlformats.org/officeDocument/2006/relationships/hyperlink" Target="https://www.vidio.com/live/18249-hsbc-bwf-world-tour-finals-2025-group-stage-court-1" TargetMode="External"/><Relationship Id="rId10763" Type="http://schemas.openxmlformats.org/officeDocument/2006/relationships/hyperlink" Target="https://drive.google.com/file/d/1n07KE5bXBmF2APVloOCnnzRrjtpxLPJo/view?usp=sharing" TargetMode="External"/><Relationship Id="rId3978" Type="http://schemas.openxmlformats.org/officeDocument/2006/relationships/hyperlink" Target="https://drive.google.com/drive/folders/1NepG6XT-FSa8Cs07sX3tPfQWLNpJfAxp" TargetMode="External"/><Relationship Id="rId6384" Type="http://schemas.openxmlformats.org/officeDocument/2006/relationships/hyperlink" Target="https://drive.google.com/file/d/1Ei0kI8i05dvgelQJZLnaDGz6knnsixKm/view?usp=drive_link" TargetMode="External"/><Relationship Id="rId7435" Type="http://schemas.openxmlformats.org/officeDocument/2006/relationships/hyperlink" Target="https://www.vidio.com/live/6685-champions-tv-1?schedule_id=4678466" TargetMode="External"/><Relationship Id="rId8900" Type="http://schemas.openxmlformats.org/officeDocument/2006/relationships/hyperlink" Target="https://drive.google.com/file/d/1nfv08ycaPQhZmoJbSbgEDb-EbR3nRNLt/view?usp=sharing" TargetMode="External"/><Relationship Id="rId10416" Type="http://schemas.openxmlformats.org/officeDocument/2006/relationships/hyperlink" Target="https://drive.google.com/file/d/1NWmQHv5vU6ncHCBq1A3Ym-CU0DiTMUpa/view?usp=sharing" TargetMode="External"/><Relationship Id="rId11814" Type="http://schemas.openxmlformats.org/officeDocument/2006/relationships/hyperlink" Target="https://www.vidio.com/live/18249-petronas-malaysia-open-2026-round-of-32-court-1?schedule_id=4831481" TargetMode="External"/><Relationship Id="rId899" Type="http://schemas.openxmlformats.org/officeDocument/2006/relationships/hyperlink" Target="https://drive.google.com/file/d/1FqYGg8WGXEPFkihvmO749a8gysZ0tHQz/view?usp=sharing" TargetMode="External"/><Relationship Id="rId6037" Type="http://schemas.openxmlformats.org/officeDocument/2006/relationships/hyperlink" Target="https://www.vidio.com/live/19600-uefa-europa-league?schedule_id=4773544" TargetMode="External"/><Relationship Id="rId6451" Type="http://schemas.openxmlformats.org/officeDocument/2006/relationships/hyperlink" Target="https://drive.google.com/file/d/1YMXb3waY82-_0Fqj1A_W2rQZR2fIQd2J/view?usp=sharing" TargetMode="External"/><Relationship Id="rId7502" Type="http://schemas.openxmlformats.org/officeDocument/2006/relationships/hyperlink" Target="https://drive.google.com/file/d/1pTBxJHJwcQ35FL4XruMHCItvHbnSkAgX/view?usp=drive_link" TargetMode="External"/><Relationship Id="rId10830" Type="http://schemas.openxmlformats.org/officeDocument/2006/relationships/hyperlink" Target="https://www.vidio.com/live/18250-hsbc-bwf-world-tour-finals-2025-group-stage-court-2?schedule_id=4782288" TargetMode="External"/><Relationship Id="rId966" Type="http://schemas.openxmlformats.org/officeDocument/2006/relationships/hyperlink" Target="https://www.vidio.com/live/9183-champions-tv-6?schedule_id=4773355" TargetMode="External"/><Relationship Id="rId1596" Type="http://schemas.openxmlformats.org/officeDocument/2006/relationships/hyperlink" Target="https://drive.google.com/file/d/1pK3ABHEQ7wI8XvIGt5As13be98aIMRq_/view?usp=drive_link" TargetMode="External"/><Relationship Id="rId2647" Type="http://schemas.openxmlformats.org/officeDocument/2006/relationships/hyperlink" Target="https://drive.google.com/file/d/1MxvTHZi6hztVkW7QaBaeOHxOfAf0VaNf/view?usp=sharing" TargetMode="External"/><Relationship Id="rId2994" Type="http://schemas.openxmlformats.org/officeDocument/2006/relationships/hyperlink" Target="https://drive.google.com/drive/folders/18HO-iWx_1wKxqwEjYoRe1rUujW-_8Q3c?usp=drive_link" TargetMode="External"/><Relationship Id="rId5053" Type="http://schemas.openxmlformats.org/officeDocument/2006/relationships/hyperlink" Target="https://drive.google.com/file/d/10pysGCt4CJvG7SJmV6OIF6K_eQDdQm9u/view?usp=drive_link" TargetMode="External"/><Relationship Id="rId6104" Type="http://schemas.openxmlformats.org/officeDocument/2006/relationships/hyperlink" Target="https://drive.google.com/drive/folders/1d7zsia9EQU5u8fuVp5HkjoTPfPd5CMEJ?usp=drive_link" TargetMode="External"/><Relationship Id="rId9674" Type="http://schemas.openxmlformats.org/officeDocument/2006/relationships/hyperlink" Target="https://www.vidio.com/live/20048-fivb-volleyball-club-world-championship-2025?schedule_id=4780667" TargetMode="External"/><Relationship Id="rId619" Type="http://schemas.openxmlformats.org/officeDocument/2006/relationships/hyperlink" Target="https://drive.google.com/drive/folders/1QINWgblNhtzwUHgvA_NkYIlkfjDFc6LQ?usp=drive_link" TargetMode="External"/><Relationship Id="rId1249" Type="http://schemas.openxmlformats.org/officeDocument/2006/relationships/hyperlink" Target="https://thumbor.prod.vidiocdn.com/_g5o0jUVspWaul7FHuL0Fv03RFs=/filters:quality(70)/vidio-media-production/uploads/image/source/52839/4bef07.png" TargetMode="External"/><Relationship Id="rId5120" Type="http://schemas.openxmlformats.org/officeDocument/2006/relationships/hyperlink" Target="https://drive.google.com/file/d/1cAT3Cs_-VwucyJ-boL2Gd-L_Gf71LU53/view?usp=sharing" TargetMode="External"/><Relationship Id="rId8276" Type="http://schemas.openxmlformats.org/officeDocument/2006/relationships/hyperlink" Target="https://drive.google.com/file/d/1DNux4glLBnqI-DzUHKvsJVIQIe0fQ_QF/view?usp=sharing" TargetMode="External"/><Relationship Id="rId9327" Type="http://schemas.openxmlformats.org/officeDocument/2006/relationships/hyperlink" Target="https://drive.google.com/file/d/1MWgYJiBTK1pwG7mWckOkqd8A_d3CbI_s/view?usp=sharing" TargetMode="External"/><Relationship Id="rId1663" Type="http://schemas.openxmlformats.org/officeDocument/2006/relationships/hyperlink" Target="https://drive.google.com/file/d/18ZcXKj0AlewrNFHBpYxmAtWgmjirqE_F/view?usp=sharing" TargetMode="External"/><Relationship Id="rId2714" Type="http://schemas.openxmlformats.org/officeDocument/2006/relationships/hyperlink" Target="https://drive.google.com/file/d/1i8KxUYofq6aWTrEQSeWmte4jSItx-8Px/view?usp=sharing" TargetMode="External"/><Relationship Id="rId8690" Type="http://schemas.openxmlformats.org/officeDocument/2006/relationships/hyperlink" Target="https://drive.google.com/file/d/1KOwBfVmGN_TqnnKccTwcqPa-dTasT6y7/view?usp=sharing" TargetMode="External"/><Relationship Id="rId9741" Type="http://schemas.openxmlformats.org/officeDocument/2006/relationships/hyperlink" Target="https://drive.google.com/drive/folders/1unjKYJplK0eAfnoDePhGaZn5Aj0lSNOx?usp=drive_link" TargetMode="External"/><Relationship Id="rId11257" Type="http://schemas.openxmlformats.org/officeDocument/2006/relationships/hyperlink" Target="https://drive.google.com/drive/folders/1ThYeDJRMZM0Dhd85rLwsPDKzLMssbKaf?usp=drive_link" TargetMode="External"/><Relationship Id="rId11671" Type="http://schemas.openxmlformats.org/officeDocument/2006/relationships/hyperlink" Target="https://www.vidio.com/live/19548-national-football-league-2025-26?schedule_id=4825571" TargetMode="External"/><Relationship Id="rId12308" Type="http://schemas.openxmlformats.org/officeDocument/2006/relationships/hyperlink" Target="https://www.vidio.com/live/20279?schedule_id=4833905" TargetMode="External"/><Relationship Id="rId1316" Type="http://schemas.openxmlformats.org/officeDocument/2006/relationships/hyperlink" Target="https://drive.google.com/file/d/1N-pq6WnhrtErmzUkACQD5vPf2c_V4K14/view?usp=sharing" TargetMode="External"/><Relationship Id="rId1730" Type="http://schemas.openxmlformats.org/officeDocument/2006/relationships/hyperlink" Target="https://www.vidio.com/live/205-indosiar?schedule_id=4575839" TargetMode="External"/><Relationship Id="rId4886" Type="http://schemas.openxmlformats.org/officeDocument/2006/relationships/hyperlink" Target="https://thumbor.prod.vidiocdn.com/uvWsPIsD9oWMs7CsEcYPf0ikMp8=/filters:quality(70)/vidio-media-production/uploads/image/source/53031/c44983.png" TargetMode="External"/><Relationship Id="rId5937" Type="http://schemas.openxmlformats.org/officeDocument/2006/relationships/hyperlink" Target="https://www.vidio.com/live/19600-uefa-europa-league?schedule_id=4734928" TargetMode="External"/><Relationship Id="rId7292" Type="http://schemas.openxmlformats.org/officeDocument/2006/relationships/hyperlink" Target="https://www.vidio.com/live/19543-pegadaian-championship-2025-26?schedule_id=4653436" TargetMode="External"/><Relationship Id="rId8343" Type="http://schemas.openxmlformats.org/officeDocument/2006/relationships/hyperlink" Target="https://drive.google.com/drive/folders/15Jx1iWHrAxslG4L2W7IonLVK5jlMMVG4?usp=drive_link" TargetMode="External"/><Relationship Id="rId10273" Type="http://schemas.openxmlformats.org/officeDocument/2006/relationships/hyperlink" Target="https://drive.google.com/file/d/1bGAtWdCSL-v2iZg1GvRoYwXZwXVqVH3x/view?usp=sharing" TargetMode="External"/><Relationship Id="rId11324" Type="http://schemas.openxmlformats.org/officeDocument/2006/relationships/hyperlink" Target="https://drive.google.com/drive/folders/1IAbYO8hG1prPIFVhTKxTwBXJbDCep3JF" TargetMode="External"/><Relationship Id="rId22" Type="http://schemas.openxmlformats.org/officeDocument/2006/relationships/hyperlink" Target="https://drive.google.com/file/d/1DUdRkj4-M_JID6CsqXEXzXGEWRkDke-p/view?usp=sharing" TargetMode="External"/><Relationship Id="rId3488" Type="http://schemas.openxmlformats.org/officeDocument/2006/relationships/hyperlink" Target="https://drive.google.com/drive/u/0/folders/1CltZ-tqR8X7JfZa6mlCmP8luG4IVI2OP" TargetMode="External"/><Relationship Id="rId4539" Type="http://schemas.openxmlformats.org/officeDocument/2006/relationships/hyperlink" Target="https://drive.google.com/drive/folders/1DeJCScnPkkDeQ_R7vAEQkIx3Z9GGUNrT?usp=drive_link" TargetMode="External"/><Relationship Id="rId4953" Type="http://schemas.openxmlformats.org/officeDocument/2006/relationships/hyperlink" Target="https://drive.google.com/drive/folders/1emJpojVOcYDLYpR7GYuMrRDrTPiF36jv" TargetMode="External"/><Relationship Id="rId8410" Type="http://schemas.openxmlformats.org/officeDocument/2006/relationships/hyperlink" Target="https://drive.google.com/file/d/1iB11PpreCMWiN0crpAgj7wUVSujt7vd-/view?usp=sharing" TargetMode="External"/><Relationship Id="rId10340" Type="http://schemas.openxmlformats.org/officeDocument/2006/relationships/hyperlink" Target="https://drive.google.com/file/d/18BM1JvTZRD1UTIKaCt-jBUE-qYani_i8/view?usp=sharing" TargetMode="External"/><Relationship Id="rId3555" Type="http://schemas.openxmlformats.org/officeDocument/2006/relationships/hyperlink" Target="https://www.vidio.com/live/18739-liga-portugal?schedule_id=4773352" TargetMode="External"/><Relationship Id="rId4606" Type="http://schemas.openxmlformats.org/officeDocument/2006/relationships/hyperlink" Target="https://drive.google.com/drive/folders/16we-uLcrtPzrxPRMSIesQ9W2OMlbV0cm?usp=drive_link" TargetMode="External"/><Relationship Id="rId7012" Type="http://schemas.openxmlformats.org/officeDocument/2006/relationships/hyperlink" Target="https://drive.google.com/file/d/1n51d2JiIiYQKer5DfCBXevwfsbmL58fm/view?usp=drive_link" TargetMode="External"/><Relationship Id="rId12098" Type="http://schemas.openxmlformats.org/officeDocument/2006/relationships/hyperlink" Target="https://www.vidio.com/live/18252-petronas-malaysia-open-2026-round-of-16-court-3?schedule_id=4832357" TargetMode="External"/><Relationship Id="rId476" Type="http://schemas.openxmlformats.org/officeDocument/2006/relationships/hyperlink" Target="https://www.vidio.com/live/9183-champions-tv-6?schedule_id=4626724" TargetMode="External"/><Relationship Id="rId890" Type="http://schemas.openxmlformats.org/officeDocument/2006/relationships/hyperlink" Target="https://drive.google.com/drive/folders/1OYaFEHUPP6WozxKecPCD55NZAI71A2Pz?usp=drive_link" TargetMode="External"/><Relationship Id="rId2157" Type="http://schemas.openxmlformats.org/officeDocument/2006/relationships/hyperlink" Target="https://drive.google.com/file/d/1Stm8p3oVJE8NK4a8eDA8Bk4TXLL2hbtv/view?usp=sharing" TargetMode="External"/><Relationship Id="rId2571" Type="http://schemas.openxmlformats.org/officeDocument/2006/relationships/hyperlink" Target="https://drive.google.com/file/d/1ztd9xhdjaCPa4AQFLlAs_pyFB3fTuoMM/view?usp=sharing" TargetMode="External"/><Relationship Id="rId3208" Type="http://schemas.openxmlformats.org/officeDocument/2006/relationships/hyperlink" Target="https://www.vidio.com/live/6299-bein-1?schedule_id=4827323" TargetMode="External"/><Relationship Id="rId6778" Type="http://schemas.openxmlformats.org/officeDocument/2006/relationships/hyperlink" Target="https://drive.google.com/drive/folders/1NepG6XT-FSa8Cs07sX3tPfQWLNpJfAxp" TargetMode="External"/><Relationship Id="rId9184" Type="http://schemas.openxmlformats.org/officeDocument/2006/relationships/hyperlink" Target="https://drive.google.com/drive/folders/1NepG6XT-FSa8Cs07sX3tPfQWLNpJfAxp" TargetMode="External"/><Relationship Id="rId12165" Type="http://schemas.openxmlformats.org/officeDocument/2006/relationships/hyperlink" Target="https://drive.google.com/file/d/17nqJ8YbOWxi4DOQmMA4_VvY1qMuE4tM4/view?usp=sharing" TargetMode="External"/><Relationship Id="rId129" Type="http://schemas.openxmlformats.org/officeDocument/2006/relationships/hyperlink" Target="https://drive.google.com/file/d/1qUVACm8FMC3IuYiRk0giArLRC03mAQmd/view?usp=sharing" TargetMode="External"/><Relationship Id="rId543" Type="http://schemas.openxmlformats.org/officeDocument/2006/relationships/hyperlink" Target="https://drive.google.com/drive/folders/18my8r00wn1VXKAfZnfKLXt-_AqrBdCHr?usp=drive_link" TargetMode="External"/><Relationship Id="rId1173" Type="http://schemas.openxmlformats.org/officeDocument/2006/relationships/hyperlink" Target="https://thumbor.prod.vidiocdn.com/IXbUoWuxJTnBUltgLfpK4ilPmqc=/filters:quality(70)/vidio-media-production/uploads/image/source/52746/1abdbd.png" TargetMode="External"/><Relationship Id="rId2224" Type="http://schemas.openxmlformats.org/officeDocument/2006/relationships/hyperlink" Target="https://drive.google.com/file/d/1DiS-6R7r80T1Yx4hn8C5mauGZJSu5E1i/view?usp=sharing" TargetMode="External"/><Relationship Id="rId3622" Type="http://schemas.openxmlformats.org/officeDocument/2006/relationships/hyperlink" Target="https://drive.google.com/file/d/1ZiFfPoiE3-A6ExgqvoU3grKhnmMdO8qL/view?usp=sharing" TargetMode="External"/><Relationship Id="rId7829" Type="http://schemas.openxmlformats.org/officeDocument/2006/relationships/hyperlink" Target="https://drive.google.com/file/d/1-tWFypLS7PluxFTQV0XNM5c-QfxPtf_R/view?usp=sharing" TargetMode="External"/><Relationship Id="rId9251" Type="http://schemas.openxmlformats.org/officeDocument/2006/relationships/hyperlink" Target="https://drive.google.com/file/d/1bGAtWdCSL-v2iZg1GvRoYwXZwXVqVH3x/view?usp=sharing" TargetMode="External"/><Relationship Id="rId5794" Type="http://schemas.openxmlformats.org/officeDocument/2006/relationships/hyperlink" Target="https://drive.google.com/drive/folders/13sxAFhJVfmQdVlKs-1LeMmHSdqnfPT9u?usp=drive_link" TargetMode="External"/><Relationship Id="rId6845" Type="http://schemas.openxmlformats.org/officeDocument/2006/relationships/hyperlink" Target="https://www.vidio.com/live/19543-pegadaian-championship-2025-26?schedule_id=4564771" TargetMode="External"/><Relationship Id="rId11181" Type="http://schemas.openxmlformats.org/officeDocument/2006/relationships/hyperlink" Target="https://drive.google.com/file/d/1XqMCxzjpg0OUZ3ei5z0JVktGgOQhhvf4/view?usp=sharing" TargetMode="External"/><Relationship Id="rId12232" Type="http://schemas.openxmlformats.org/officeDocument/2006/relationships/hyperlink" Target="https://www.vidio.com/live/20271?schedule_id=4833837" TargetMode="External"/><Relationship Id="rId610" Type="http://schemas.openxmlformats.org/officeDocument/2006/relationships/hyperlink" Target="https://drive.google.com/file/d/1-wEYXO3N5oYcZEiMVd3gUefF4dODsgpW/view?usp=sharing" TargetMode="External"/><Relationship Id="rId1240" Type="http://schemas.openxmlformats.org/officeDocument/2006/relationships/hyperlink" Target="https://thumbor.prod.vidiocdn.com/4aVUnTvF77eVZdxQoE67JLFI8qY=/filters:quality(70)/vidio-media-production/uploads/image/source/52846/9444c4.png" TargetMode="External"/><Relationship Id="rId4049" Type="http://schemas.openxmlformats.org/officeDocument/2006/relationships/hyperlink" Target="https://www.vidio.com/live/19404-serie-a?schedule_id=4579875" TargetMode="External"/><Relationship Id="rId4396" Type="http://schemas.openxmlformats.org/officeDocument/2006/relationships/hyperlink" Target="https://www.vidio.com/live/19404-serie-a?schedule_id=4691065" TargetMode="External"/><Relationship Id="rId5447" Type="http://schemas.openxmlformats.org/officeDocument/2006/relationships/hyperlink" Target="https://drive.google.com/file/d/1FcsyXNitWbNW2DZoSC1Hi7ACoLliL4MG/view?usp=sharing" TargetMode="External"/><Relationship Id="rId5861" Type="http://schemas.openxmlformats.org/officeDocument/2006/relationships/hyperlink" Target="https://drive.google.com/drive/folders/1_seEnNWFWZD1aaOzKJuld6_I-Aif6uja?usp=drive_link" TargetMode="External"/><Relationship Id="rId6912" Type="http://schemas.openxmlformats.org/officeDocument/2006/relationships/hyperlink" Target="https://drive.google.com/drive/folders/1BhKJCwrQWMPmukRF_X1L_5IJlxac8Xp_?usp=drive_link" TargetMode="External"/><Relationship Id="rId11998" Type="http://schemas.openxmlformats.org/officeDocument/2006/relationships/hyperlink" Target="https://www.vidio.com/live/18249-petronas-malaysia-open-2026-round-of-16-court-1?schedule_id=4832327" TargetMode="External"/><Relationship Id="rId4463" Type="http://schemas.openxmlformats.org/officeDocument/2006/relationships/hyperlink" Target="https://drive.google.com/file/d/1Wpk_cjAu5b4lqDC4lJwVxZqM2GxmXj5f/view?usp=sharing" TargetMode="External"/><Relationship Id="rId5514" Type="http://schemas.openxmlformats.org/officeDocument/2006/relationships/hyperlink" Target="https://drive.google.com/file/d/1aoyp8WERXAVTo4RF5D1XcE1U5DAu37Ro/view?usp=sharing" TargetMode="External"/><Relationship Id="rId3065" Type="http://schemas.openxmlformats.org/officeDocument/2006/relationships/hyperlink" Target="https://drive.google.com/drive/folders/1atMGs8mPCqTdKkephFNF6_c_JFcb5VUw" TargetMode="External"/><Relationship Id="rId4116" Type="http://schemas.openxmlformats.org/officeDocument/2006/relationships/hyperlink" Target="https://drive.google.com/drive/folders/1gld7hF_Ce_A3oVQk8cmaRf4XidPuBodS?usp=drive_link" TargetMode="External"/><Relationship Id="rId4530" Type="http://schemas.openxmlformats.org/officeDocument/2006/relationships/hyperlink" Target="https://drive.google.com/file/d/1_F7BKRBj7T3ygAhTNLJRT8VV6GRLrKpO/view?usp=sharing" TargetMode="External"/><Relationship Id="rId7686" Type="http://schemas.openxmlformats.org/officeDocument/2006/relationships/hyperlink" Target="https://drive.google.com/drive/folders/1_Htp3VCslF4vq0QppT07euOMrVKiZ2Mx?usp=drive_link" TargetMode="External"/><Relationship Id="rId8737" Type="http://schemas.openxmlformats.org/officeDocument/2006/relationships/hyperlink" Target="https://www.vidio.com/live/19745-top-youth-premier-league-2025-matchday-8?schedule_id=4670874" TargetMode="External"/><Relationship Id="rId2081" Type="http://schemas.openxmlformats.org/officeDocument/2006/relationships/hyperlink" Target="https://drive.google.com/drive/folders/1srfFnDIKpeXGGXZk0IA-o7PzmeGkOIXD" TargetMode="External"/><Relationship Id="rId3132" Type="http://schemas.openxmlformats.org/officeDocument/2006/relationships/hyperlink" Target="https://www.vidio.com/live/6299-bein-1?schedule_id=4773365" TargetMode="External"/><Relationship Id="rId6288" Type="http://schemas.openxmlformats.org/officeDocument/2006/relationships/hyperlink" Target="https://drive.google.com/file/d/1LxClL_pRhNRJkAwHOywAHxaP-vUqiEF8/view?usp=sharing" TargetMode="External"/><Relationship Id="rId7339" Type="http://schemas.openxmlformats.org/officeDocument/2006/relationships/hyperlink" Target="https://drive.google.com/file/d/1gi5q9nn9AqhqfbhZG6ZH8K67vYpb43Q_/view?usp=sharing" TargetMode="External"/><Relationship Id="rId7753" Type="http://schemas.openxmlformats.org/officeDocument/2006/relationships/hyperlink" Target="https://www.vidio.com/live/6685-champions-tv-1?schedule_id=4676376" TargetMode="External"/><Relationship Id="rId10667" Type="http://schemas.openxmlformats.org/officeDocument/2006/relationships/hyperlink" Target="https://drive.google.com/file/d/1P9FYjX94bVpmUCdxfvBB1k9VZ0qgMUgv/view?usp=sharing" TargetMode="External"/><Relationship Id="rId11718" Type="http://schemas.openxmlformats.org/officeDocument/2006/relationships/hyperlink" Target="https://www.vidio.com/live/18249-petronas-malaysia-open-2026-semifinals" TargetMode="External"/><Relationship Id="rId6355" Type="http://schemas.openxmlformats.org/officeDocument/2006/relationships/hyperlink" Target="https://drive.google.com/file/d/1zm8--cC2vB_I_H_wKrVKk-0dO68gA77u/view?usp=sharing" TargetMode="External"/><Relationship Id="rId7406" Type="http://schemas.openxmlformats.org/officeDocument/2006/relationships/hyperlink" Target="https://drive.google.com/drive/folders/1B_Csor6GrDik3CYnj3T9aEAMY_gHMDlO?usp=drive_link" TargetMode="External"/><Relationship Id="rId8804" Type="http://schemas.openxmlformats.org/officeDocument/2006/relationships/hyperlink" Target="https://drive.google.com/drive/folders/13ejZiJ1SzwX1008xz4i6I2VIeNTtZ7PM" TargetMode="External"/><Relationship Id="rId10734" Type="http://schemas.openxmlformats.org/officeDocument/2006/relationships/hyperlink" Target="https://www.vidio.com/live/19548-national-football-league-2025-26?schedule_id=4784754" TargetMode="External"/><Relationship Id="rId120" Type="http://schemas.openxmlformats.org/officeDocument/2006/relationships/hyperlink" Target="https://drive.google.com/drive/folders/1ZnBlExIc16jpQRJ5yiF_rjC2Vw5bQFo5?usp=drive_link" TargetMode="External"/><Relationship Id="rId2898" Type="http://schemas.openxmlformats.org/officeDocument/2006/relationships/hyperlink" Target="https://drive.google.com/file/d/1jnnj4Bah7xK3IgkQy4-80_1ghlZhffoF/view?usp=sharing" TargetMode="External"/><Relationship Id="rId3949" Type="http://schemas.openxmlformats.org/officeDocument/2006/relationships/hyperlink" Target="https://drive.google.com/file/d/1DNux4glLBnqI-DzUHKvsJVIQIe0fQ_QF/view?usp=sharing" TargetMode="External"/><Relationship Id="rId6008" Type="http://schemas.openxmlformats.org/officeDocument/2006/relationships/hyperlink" Target="https://www.vidio.com/live/19599-uefa-europa-league?schedule_id=4773537" TargetMode="External"/><Relationship Id="rId7820" Type="http://schemas.openxmlformats.org/officeDocument/2006/relationships/hyperlink" Target="https://www.vidio.com/live/19673-women-s-turkish-volleyball-league?schedule_id=4636454" TargetMode="External"/><Relationship Id="rId10801" Type="http://schemas.openxmlformats.org/officeDocument/2006/relationships/hyperlink" Target="https://drive.google.com/file/d/1msluPEcX1IlImG9XyZKpU3Kg0JQSHXjz/view?usp=sharing" TargetMode="External"/><Relationship Id="rId2965" Type="http://schemas.openxmlformats.org/officeDocument/2006/relationships/hyperlink" Target="https://drive.google.com/drive/folders/1plQv_JEz5778Cauu-EUrwzPM9LVMp2-L?usp=drive_link" TargetMode="External"/><Relationship Id="rId5024" Type="http://schemas.openxmlformats.org/officeDocument/2006/relationships/hyperlink" Target="https://drive.google.com/file/d/1oNE_f0sJY1xgBNxjp8JP859RIGHtIt7B/view?usp=sharing" TargetMode="External"/><Relationship Id="rId5371" Type="http://schemas.openxmlformats.org/officeDocument/2006/relationships/hyperlink" Target="https://drive.google.com/file/d/1ZqROH5HoKxeK1RWprMLQWKrTGIr7UN0v/view?usp=sharing" TargetMode="External"/><Relationship Id="rId6422" Type="http://schemas.openxmlformats.org/officeDocument/2006/relationships/hyperlink" Target="https://drive.google.com/drive/folders/15-kJGe6H8ndaBDhD8HtDfXj31CjQX5yu" TargetMode="External"/><Relationship Id="rId9578" Type="http://schemas.openxmlformats.org/officeDocument/2006/relationships/hyperlink" Target="https://drive.google.com/file/d/1rZf94MrGmvmyD3SSYOSeA5tJqjk4uU9Q/view?usp=sharing" TargetMode="External"/><Relationship Id="rId9992" Type="http://schemas.openxmlformats.org/officeDocument/2006/relationships/hyperlink" Target="https://www.vidio.com/live/6299-bein-1?schedule_id=4794873" TargetMode="External"/><Relationship Id="rId937" Type="http://schemas.openxmlformats.org/officeDocument/2006/relationships/hyperlink" Target="https://drive.google.com/drive/folders/1AWYzdJQFtyDummE43nqq-5gJoG6rKEoQ?usp=drive_link" TargetMode="External"/><Relationship Id="rId1567" Type="http://schemas.openxmlformats.org/officeDocument/2006/relationships/hyperlink" Target="https://drive.google.com/file/d/1R5NptViI2dNG1Bmqh2znUd5VB0hbG6A0/view?usp=sharing" TargetMode="External"/><Relationship Id="rId1981" Type="http://schemas.openxmlformats.org/officeDocument/2006/relationships/hyperlink" Target="https://drive.google.com/file/d/1NoxfECdR7n2gA5f8G-dMLYwyAMqR4qwN/view?usp=sharing" TargetMode="External"/><Relationship Id="rId2618" Type="http://schemas.openxmlformats.org/officeDocument/2006/relationships/hyperlink" Target="https://drive.google.com/drive/folders/1gtr6P7ehpCBDzBfQYT9-rcq4UrF9_-hh?usp=drive_link" TargetMode="External"/><Relationship Id="rId8594" Type="http://schemas.openxmlformats.org/officeDocument/2006/relationships/hyperlink" Target="https://drive.google.com/file/d/1wrBIhO4-1xR3SLsBp8IfRc0QVjdZX8qc/view?usp=sharing" TargetMode="External"/><Relationship Id="rId9645" Type="http://schemas.openxmlformats.org/officeDocument/2006/relationships/hyperlink" Target="https://drive.google.com/file/d/1O79ddyS-wkGwbVB1MlYgc2x-T81K72FT/view?usp=sharing" TargetMode="External"/><Relationship Id="rId11575" Type="http://schemas.openxmlformats.org/officeDocument/2006/relationships/hyperlink" Target="https://drive.google.com/drive/folders/1HJ-fb7qaG6PvGOmkJgMskIggbjpr0hI6?usp=drive_link" TargetMode="External"/><Relationship Id="rId1634" Type="http://schemas.openxmlformats.org/officeDocument/2006/relationships/hyperlink" Target="https://www.vidio.com/live/19354-bri-super-league?schedule_id=4525644" TargetMode="External"/><Relationship Id="rId4040" Type="http://schemas.openxmlformats.org/officeDocument/2006/relationships/hyperlink" Target="https://drive.google.com/file/d/1QbUUa4KeKaDmx4OrCCsCFkEOfSJYZ8fR/view?usp=sharing" TargetMode="External"/><Relationship Id="rId7196" Type="http://schemas.openxmlformats.org/officeDocument/2006/relationships/hyperlink" Target="https://drive.google.com/file/d/1DNux4glLBnqI-DzUHKvsJVIQIe0fQ_QF/view?usp=sharing" TargetMode="External"/><Relationship Id="rId8247" Type="http://schemas.openxmlformats.org/officeDocument/2006/relationships/hyperlink" Target="https://www.vidio.com/live/19692-top-youth-premier-league-2025-matchweek-6?schedule_id=4644422" TargetMode="External"/><Relationship Id="rId8661" Type="http://schemas.openxmlformats.org/officeDocument/2006/relationships/hyperlink" Target="https://www.vidio.com/live/19584-pegadaian-championship-2025-26?schedule_id=4725605" TargetMode="External"/><Relationship Id="rId9712" Type="http://schemas.openxmlformats.org/officeDocument/2006/relationships/hyperlink" Target="https://drive.google.com/file/d/1t2fXXLyJ4wvToAr7EhTaIFpMmBXz3nx2/view?usp=sharing" TargetMode="External"/><Relationship Id="rId10177" Type="http://schemas.openxmlformats.org/officeDocument/2006/relationships/hyperlink" Target="https://www.vidio.com/live/6299-bein-1?schedule_id=4769285" TargetMode="External"/><Relationship Id="rId10591" Type="http://schemas.openxmlformats.org/officeDocument/2006/relationships/hyperlink" Target="https://drive.google.com/drive/folders/1H-VhIvk4CTQcIkLWaYxiwfOnSS9tiShN?usp=drive_link" TargetMode="External"/><Relationship Id="rId11228" Type="http://schemas.openxmlformats.org/officeDocument/2006/relationships/hyperlink" Target="https://drive.google.com/file/d/1c9b37wfDcI90ywKK-eUuQb_lFkWKMT25/view?usp=sharing" TargetMode="External"/><Relationship Id="rId4857" Type="http://schemas.openxmlformats.org/officeDocument/2006/relationships/hyperlink" Target="https://drive.google.com/file/d/1HSlA7MRaXjekN0h3u0yg85R6uMk25zW0/view?usp=sharing" TargetMode="External"/><Relationship Id="rId7263" Type="http://schemas.openxmlformats.org/officeDocument/2006/relationships/hyperlink" Target="https://drive.google.com/drive/folders/1JEi3tkDBiexV6p9WTHTmCOCNn_4i34e3?usp=drive_link" TargetMode="External"/><Relationship Id="rId8314" Type="http://schemas.openxmlformats.org/officeDocument/2006/relationships/hyperlink" Target="https://drive.google.com/file/d/1dEOZfQs8YzqCv3vypM6QLpNY4xrQqx0E/view?usp=sharing" TargetMode="External"/><Relationship Id="rId10244" Type="http://schemas.openxmlformats.org/officeDocument/2006/relationships/hyperlink" Target="https://drive.google.com/file/d/1dWlV0PCODQ2QIUwPogBP2HreBdWiY7BV/view?usp=sharing" TargetMode="External"/><Relationship Id="rId11642" Type="http://schemas.openxmlformats.org/officeDocument/2006/relationships/hyperlink" Target="https://drive.google.com/drive/folders/1x_bDFW35Y8wUDt8crTACZStGh0WHoCVb" TargetMode="External"/><Relationship Id="rId1701" Type="http://schemas.openxmlformats.org/officeDocument/2006/relationships/hyperlink" Target="https://drive.google.com/drive/folders/1aqiOMnmr_a2PkIbh343Stds4fn4ZqHP8" TargetMode="External"/><Relationship Id="rId3459" Type="http://schemas.openxmlformats.org/officeDocument/2006/relationships/hyperlink" Target="https://drive.google.com/file/d/1QfdXf2713ulFYoOFJHmK23G66Til7-y3/view?usp=sharing" TargetMode="External"/><Relationship Id="rId5908" Type="http://schemas.openxmlformats.org/officeDocument/2006/relationships/hyperlink" Target="https://drive.google.com/file/d/1uG3201AFOKQzRBl4Y200DLuMyLXutIST/view?usp=sharing" TargetMode="External"/><Relationship Id="rId7330" Type="http://schemas.openxmlformats.org/officeDocument/2006/relationships/hyperlink" Target="https://drive.google.com/file/d/1xuqQW9bi0BVvj3VmqCE3gRjFN9QAHQE_/view?usp=drive_link" TargetMode="External"/><Relationship Id="rId3873" Type="http://schemas.openxmlformats.org/officeDocument/2006/relationships/hyperlink" Target="https://thumbor.prod.vidiocdn.com/UotBF9GocFX2qfX465fEmqQcIBY=/filters:quality(70)/vidio-media-production/uploads/image/source/52686/e1bafc.png" TargetMode="External"/><Relationship Id="rId4924" Type="http://schemas.openxmlformats.org/officeDocument/2006/relationships/hyperlink" Target="https://thumbor.prod.vidiocdn.com/RVtfGA9VOJjPQiYz2wlNIMKTE6Y=/filters:quality(70)/vidio-media-production/uploads/image/source/53092/a3a70f.png" TargetMode="External"/><Relationship Id="rId9088" Type="http://schemas.openxmlformats.org/officeDocument/2006/relationships/hyperlink" Target="https://www.vidio.com/live/19737-turkish-men-s-volleyball-league?schedule_id=4733544" TargetMode="External"/><Relationship Id="rId10311" Type="http://schemas.openxmlformats.org/officeDocument/2006/relationships/hyperlink" Target="https://www.vidio.com/live/19623-national-football-league-2025-26?schedule_id=4779486" TargetMode="External"/><Relationship Id="rId447" Type="http://schemas.openxmlformats.org/officeDocument/2006/relationships/hyperlink" Target="https://drive.google.com/drive/folders/1i7foYO2E3UrOgBnjb8Kx12ycvt8jYyOl?usp=drive_link" TargetMode="External"/><Relationship Id="rId794" Type="http://schemas.openxmlformats.org/officeDocument/2006/relationships/hyperlink" Target="https://drive.google.com/drive/folders/1lPofVJnsxkRN34Om0EftSbrcWLjRHkv5" TargetMode="External"/><Relationship Id="rId1077" Type="http://schemas.openxmlformats.org/officeDocument/2006/relationships/hyperlink" Target="https://drive.google.com/file/d/1MAuEUMVa4FlmvhJyyOwQfE3rN8RDp9gG/view?usp=sharing" TargetMode="External"/><Relationship Id="rId2128" Type="http://schemas.openxmlformats.org/officeDocument/2006/relationships/hyperlink" Target="https://www.vidio.com/live/19988-bri-super-league?schedule_id=4741025" TargetMode="External"/><Relationship Id="rId2475" Type="http://schemas.openxmlformats.org/officeDocument/2006/relationships/hyperlink" Target="https://drive.google.com/drive/folders/13ujjvseSigm4aoHc2i3vx1bVgtF1TxsY?usp=drive_link" TargetMode="External"/><Relationship Id="rId3526" Type="http://schemas.openxmlformats.org/officeDocument/2006/relationships/hyperlink" Target="https://drive.google.com/file/d/1UgAbBjOy6uRQiQdhhNfSKjzdSl_aBNk5/view?usp=sharing" TargetMode="External"/><Relationship Id="rId3940" Type="http://schemas.openxmlformats.org/officeDocument/2006/relationships/hyperlink" Target="https://drive.google.com/drive/folders/1cqK29lH31A_ffI68Dq9R_BjiNsOaaL9_?usp=drive_link" TargetMode="External"/><Relationship Id="rId9155" Type="http://schemas.openxmlformats.org/officeDocument/2006/relationships/hyperlink" Target="https://drive.google.com/file/d/1DNux4glLBnqI-DzUHKvsJVIQIe0fQ_QF/view?usp=sharing" TargetMode="External"/><Relationship Id="rId12069" Type="http://schemas.openxmlformats.org/officeDocument/2006/relationships/hyperlink" Target="https://drive.google.com/file/d/1khQrXXQF4DXWbEvpQ5PrFElQfRn5_sMl/view?usp=sharing" TargetMode="External"/><Relationship Id="rId861" Type="http://schemas.openxmlformats.org/officeDocument/2006/relationships/hyperlink" Target="https://drive.google.com/file/d/1Sl2-NHud10iawRrqs84cj7rqTSQsEwmL/view?usp=sharing" TargetMode="External"/><Relationship Id="rId1491" Type="http://schemas.openxmlformats.org/officeDocument/2006/relationships/hyperlink" Target="https://www.vidio.com/live/19354-bri-super-league?schedule_id=4488446" TargetMode="External"/><Relationship Id="rId2542" Type="http://schemas.openxmlformats.org/officeDocument/2006/relationships/hyperlink" Target="https://www.vidio.com/live/17324-laliga?schedule_id=4592584" TargetMode="External"/><Relationship Id="rId5698" Type="http://schemas.openxmlformats.org/officeDocument/2006/relationships/hyperlink" Target="https://drive.google.com/drive/folders/1zGzW7mypDiA6SJuxdlGaBqHXHqKiPHyP?usp=drive_link" TargetMode="External"/><Relationship Id="rId6749" Type="http://schemas.openxmlformats.org/officeDocument/2006/relationships/hyperlink" Target="https://drive.google.com/file/d/1DNux4glLBnqI-DzUHKvsJVIQIe0fQ_QF/view?usp=sharing" TargetMode="External"/><Relationship Id="rId11085" Type="http://schemas.openxmlformats.org/officeDocument/2006/relationships/hyperlink" Target="https://www.vidio.com/live/19623-national-football-league-2025-26?schedule_id=4797255" TargetMode="External"/><Relationship Id="rId12136" Type="http://schemas.openxmlformats.org/officeDocument/2006/relationships/hyperlink" Target="https://www.vidio.com/live/20266" TargetMode="External"/><Relationship Id="rId514" Type="http://schemas.openxmlformats.org/officeDocument/2006/relationships/hyperlink" Target="https://drive.google.com/drive/folders/1TaP_vfs-hFJJkkXHSczErZfIfAt991tI" TargetMode="External"/><Relationship Id="rId1144" Type="http://schemas.openxmlformats.org/officeDocument/2006/relationships/hyperlink" Target="https://drive.google.com/file/d/1X4Rk0cyYE_gTOPM0_ZDYpJvNTWI-BXvr/view?usp=sharing" TargetMode="External"/><Relationship Id="rId5765" Type="http://schemas.openxmlformats.org/officeDocument/2006/relationships/hyperlink" Target="https://drive.google.com/drive/folders/1VmmqwEjtx9xFop0CA4WBTHDvv1sqJI0J?usp=drive_link" TargetMode="External"/><Relationship Id="rId6816" Type="http://schemas.openxmlformats.org/officeDocument/2006/relationships/hyperlink" Target="https://www.vidio.com/live/19543-pegadaian-championship-2025-26?schedule_id=4568442" TargetMode="External"/><Relationship Id="rId8171" Type="http://schemas.openxmlformats.org/officeDocument/2006/relationships/hyperlink" Target="https://drive.google.com/file/d/1wROCU9FXqLCJzLAATOBKCBM5mda2ZDeO/view?usp=sharing" TargetMode="External"/><Relationship Id="rId9222" Type="http://schemas.openxmlformats.org/officeDocument/2006/relationships/hyperlink" Target="https://www.vidio.com/live/19810-top-soccer-championship-2025-u-15?schedule_id=4708364" TargetMode="External"/><Relationship Id="rId11152" Type="http://schemas.openxmlformats.org/officeDocument/2006/relationships/hyperlink" Target="https://thumbor.prod.vidiocdn.com/Bfh-NT8gE_mD7hmRehzcTQQChx4=/filters:quality(70)/vidio-media-production/uploads/image/source/53294/9cbe47.png" TargetMode="External"/><Relationship Id="rId12203" Type="http://schemas.openxmlformats.org/officeDocument/2006/relationships/hyperlink" Target="https://drive.google.com/file/d/17nqJ8YbOWxi4DOQmMA4_VvY1qMuE4tM4/view?usp=drive_link" TargetMode="External"/><Relationship Id="rId1211" Type="http://schemas.openxmlformats.org/officeDocument/2006/relationships/hyperlink" Target="https://drive.google.com/file/d/1li8hvH5XxQa_-APmExHDE6G8HQE_ASfH/view?usp=sharing" TargetMode="External"/><Relationship Id="rId4367" Type="http://schemas.openxmlformats.org/officeDocument/2006/relationships/hyperlink" Target="https://www.vidio.com/live/19404-serie-a?schedule_id=4674570" TargetMode="External"/><Relationship Id="rId4781" Type="http://schemas.openxmlformats.org/officeDocument/2006/relationships/hyperlink" Target="https://www.vidio.com/live/19404-serie-a?schedule_id=4799190" TargetMode="External"/><Relationship Id="rId5418" Type="http://schemas.openxmlformats.org/officeDocument/2006/relationships/hyperlink" Target="https://drive.google.com/file/d/1jD_vBjZWZtoN7auS4k5HJ5egBEboy-ag/view?usp=sharing" TargetMode="External"/><Relationship Id="rId5832" Type="http://schemas.openxmlformats.org/officeDocument/2006/relationships/hyperlink" Target="https://drive.google.com/drive/folders/1l5ZLo6Mbegb3rAo86XQoGMzS__MxU8Oy?usp=drive_link" TargetMode="External"/><Relationship Id="rId8988" Type="http://schemas.openxmlformats.org/officeDocument/2006/relationships/hyperlink" Target="https://drive.google.com/file/d/1cRNw0487n5q41tG1WTN0XSyAzGGLiPuc/view?usp=sharing" TargetMode="External"/><Relationship Id="rId3383" Type="http://schemas.openxmlformats.org/officeDocument/2006/relationships/hyperlink" Target="https://drive.google.com/file/d/1D5MLs2DCdSytYUEsqG4SJPBOX48xQ0CN/view?usp=drive_link" TargetMode="External"/><Relationship Id="rId4434" Type="http://schemas.openxmlformats.org/officeDocument/2006/relationships/hyperlink" Target="https://drive.google.com/file/d/1wOXmJYVHZs9BlwQJ4rccUMnyfNfvzm3e/view?usp=sharing" TargetMode="External"/><Relationship Id="rId11969" Type="http://schemas.openxmlformats.org/officeDocument/2006/relationships/hyperlink" Target="https://www.vidio.com/live/18252-petronas-malaysia-open-2026-round-of-32-court-3?schedule_id=4832196" TargetMode="External"/><Relationship Id="rId3036" Type="http://schemas.openxmlformats.org/officeDocument/2006/relationships/hyperlink" Target="https://drive.google.com/file/d/18noYodZX6POkFCwjUhYyWYJ4y2WZ7I4E/view?usp=sharing" TargetMode="External"/><Relationship Id="rId10985" Type="http://schemas.openxmlformats.org/officeDocument/2006/relationships/hyperlink" Target="https://drive.google.com/file/d/1nb0GGRZR7fX-fLQS5w6s84QUaMny4VCA/view?usp=sharing" TargetMode="External"/><Relationship Id="rId371" Type="http://schemas.openxmlformats.org/officeDocument/2006/relationships/hyperlink" Target="https://drive.google.com/file/d/1WSvL8wRzMuy6SfIM5f6ScP20_-BIKpVX/view?usp=sharing" TargetMode="External"/><Relationship Id="rId2052" Type="http://schemas.openxmlformats.org/officeDocument/2006/relationships/hyperlink" Target="https://drive.google.com/drive/folders/1udcFYKRK0Vt1A7U77z0RyG9Rx-4PmJxr" TargetMode="External"/><Relationship Id="rId3450" Type="http://schemas.openxmlformats.org/officeDocument/2006/relationships/hyperlink" Target="https://drive.google.com/file/d/1-9NRiGC_D8qYAU65DbXKwqzhDXRUSosX/view?usp=drive_link" TargetMode="External"/><Relationship Id="rId4501" Type="http://schemas.openxmlformats.org/officeDocument/2006/relationships/hyperlink" Target="https://drive.google.com/file/d/1IBBeKv-3M6QWacsg9-ifNlLeOZDfo_SG/view?usp=sharing" TargetMode="External"/><Relationship Id="rId6259" Type="http://schemas.openxmlformats.org/officeDocument/2006/relationships/hyperlink" Target="https://drive.google.com/file/d/14AwNG9A2zIF923TwYxYWuSo1QBGHMt0O/view?usp=sharing" TargetMode="External"/><Relationship Id="rId7657" Type="http://schemas.openxmlformats.org/officeDocument/2006/relationships/hyperlink" Target="https://drive.google.com/file/d/175C8CfIv-7XGxTbvuozVTQjMcnQYVvyf/view?usp=sharing" TargetMode="External"/><Relationship Id="rId8708" Type="http://schemas.openxmlformats.org/officeDocument/2006/relationships/hyperlink" Target="https://drive.google.com/drive/folders/1hgdnKSdpuy1aG_VdduYRqzJ0hQ_vFl6i?usp=drive_link" TargetMode="External"/><Relationship Id="rId10638" Type="http://schemas.openxmlformats.org/officeDocument/2006/relationships/hyperlink" Target="https://www.vidio.com/live/20067-top-youth-premier-league-pekan-ke-15?schedule_id=4776350" TargetMode="External"/><Relationship Id="rId3103" Type="http://schemas.openxmlformats.org/officeDocument/2006/relationships/hyperlink" Target="https://thumbor.prod.vidiocdn.com/q5UzkOCulgezllgkOZNp3VYTWIE=/filters:quality(70)/vidio-media-production/uploads/image/source/52006/6ff38e.png" TargetMode="External"/><Relationship Id="rId6673" Type="http://schemas.openxmlformats.org/officeDocument/2006/relationships/hyperlink" Target="https://drive.google.com/file/d/1yW9MzejK_MJ4qWgiGhnLjYQpENbbFo9M/view?usp=sharing" TargetMode="External"/><Relationship Id="rId7724" Type="http://schemas.openxmlformats.org/officeDocument/2006/relationships/hyperlink" Target="https://drive.google.com/drive/folders/15zwlPKhRTe7DArO7dpSh-q4Qy8ET27CR?usp=drive_link" TargetMode="External"/><Relationship Id="rId10705" Type="http://schemas.openxmlformats.org/officeDocument/2006/relationships/hyperlink" Target="https://drive.google.com/file/d/1SKb_SXxEYgw0txOkly1bIqSI2M9yF2lk/view?usp=sharing" TargetMode="External"/><Relationship Id="rId12060" Type="http://schemas.openxmlformats.org/officeDocument/2006/relationships/hyperlink" Target="https://drive.google.com/file/d/1NSS8caFvdZbwLM0rQ6xFjEA-VHdQ-0wz/view?usp=sharing" TargetMode="External"/><Relationship Id="rId2869" Type="http://schemas.openxmlformats.org/officeDocument/2006/relationships/hyperlink" Target="https://drive.google.com/file/d/16fURSYJhMx30dowmx2oMf4DLc4PzCWfV/view?usp=drive_link" TargetMode="External"/><Relationship Id="rId5275" Type="http://schemas.openxmlformats.org/officeDocument/2006/relationships/hyperlink" Target="https://drive.google.com/file/d/1C71Clj5toxNRJvjJTU_cE1dVZE5YFFWo/view?usp=sharing" TargetMode="External"/><Relationship Id="rId6326" Type="http://schemas.openxmlformats.org/officeDocument/2006/relationships/hyperlink" Target="https://drive.google.com/drive/folders/1mDCoe0S7UberoWQGT8i-ZyfvEDPbFHIV" TargetMode="External"/><Relationship Id="rId6740" Type="http://schemas.openxmlformats.org/officeDocument/2006/relationships/hyperlink" Target="https://drive.google.com/file/d/1qePoaKwJR__vhiZVokrLKQ8rYRe-ydVh/view?usp=sharing" TargetMode="External"/><Relationship Id="rId9896" Type="http://schemas.openxmlformats.org/officeDocument/2006/relationships/hyperlink" Target="https://thumbor.prod.vidiocdn.com/XAJ9YcZZcp6iGxhPjG6KmSfgD6E=/filters:quality(70)/vidio-media-production/uploads/image/source/52308/8a6b42.png" TargetMode="External"/><Relationship Id="rId1885" Type="http://schemas.openxmlformats.org/officeDocument/2006/relationships/hyperlink" Target="https://drive.google.com/file/d/1EKAYd-2bTVaRc146P-qEt08Ued91D6BW/view?usp=drive_link" TargetMode="External"/><Relationship Id="rId2936" Type="http://schemas.openxmlformats.org/officeDocument/2006/relationships/hyperlink" Target="https://www.vidio.com/live/6299-bein-1?schedule_id=4724321" TargetMode="External"/><Relationship Id="rId4291" Type="http://schemas.openxmlformats.org/officeDocument/2006/relationships/hyperlink" Target="https://www.vidio.com/live/19404-serie-a?schedule_id=4666171" TargetMode="External"/><Relationship Id="rId5342" Type="http://schemas.openxmlformats.org/officeDocument/2006/relationships/hyperlink" Target="https://drive.google.com/file/d/1iQdilgkhJdPkwcMI6cST2zCyrdsGUtW8/view?usp=sharing" TargetMode="External"/><Relationship Id="rId8498" Type="http://schemas.openxmlformats.org/officeDocument/2006/relationships/hyperlink" Target="https://drive.google.com/drive/folders/1sWicJqoaSH9mlydQ6dcKIBz0rNXJ2bUv" TargetMode="External"/><Relationship Id="rId9549" Type="http://schemas.openxmlformats.org/officeDocument/2006/relationships/hyperlink" Target="https://www.vidio.com/live/19846-top-soccer-championship-2025-u-13-u-14?schedule_id=4719859" TargetMode="External"/><Relationship Id="rId9963" Type="http://schemas.openxmlformats.org/officeDocument/2006/relationships/hyperlink" Target="https://drive.google.com/file/d/1i_FrmSwP8TG66TWtMfClxFMPFKQS4Joa/view?usp=sharing" TargetMode="External"/><Relationship Id="rId11479" Type="http://schemas.openxmlformats.org/officeDocument/2006/relationships/hyperlink" Target="https://drive.google.com/file/d/1A_a1V6m39vtVyhpvsfAOV0cG8qQnuLQn/view?usp=sharing" TargetMode="External"/><Relationship Id="rId908" Type="http://schemas.openxmlformats.org/officeDocument/2006/relationships/hyperlink" Target="https://drive.google.com/drive/folders/1OYaFEHUPP6WozxKecPCD55NZAI71A2Pz?usp=drive_link" TargetMode="External"/><Relationship Id="rId1538" Type="http://schemas.openxmlformats.org/officeDocument/2006/relationships/hyperlink" Target="https://www.vidio.com/live/19354-bri-super-league?schedule_id=4501933" TargetMode="External"/><Relationship Id="rId8565" Type="http://schemas.openxmlformats.org/officeDocument/2006/relationships/hyperlink" Target="https://drive.google.com/file/d/1febuyIez6GZsdHoqPR7NUuIBDI81kjgc/view?usp=sharing" TargetMode="External"/><Relationship Id="rId9616" Type="http://schemas.openxmlformats.org/officeDocument/2006/relationships/hyperlink" Target="https://drive.google.com/file/d/17YfVHn0PsKnIvbLg3Ab-CR9qgQSa2Lv2/view?usp=sharing" TargetMode="External"/><Relationship Id="rId11893" Type="http://schemas.openxmlformats.org/officeDocument/2006/relationships/hyperlink" Target="https://drive.google.com/drive/folders/1TYXj5i7Ik4SNEitV7mHoBo1u6CAR_kAQ?usp=drive_link" TargetMode="External"/><Relationship Id="rId1952" Type="http://schemas.openxmlformats.org/officeDocument/2006/relationships/hyperlink" Target="https://drive.google.com/file/d/1vbwIiVupVPbBiXiKY3F_65FsQeq62uzE/view?usp=sharing" TargetMode="External"/><Relationship Id="rId4011" Type="http://schemas.openxmlformats.org/officeDocument/2006/relationships/hyperlink" Target="https://drive.google.com/file/d/1ooWNYek8ZwMlOrs_hEqM5HLqn-YSA-G6/view?usp=sharing" TargetMode="External"/><Relationship Id="rId7167" Type="http://schemas.openxmlformats.org/officeDocument/2006/relationships/hyperlink" Target="https://www.vidio.com/live/19556-top-youth-premier-league-2025-matchday-3?schedule_id=4569316" TargetMode="External"/><Relationship Id="rId8218" Type="http://schemas.openxmlformats.org/officeDocument/2006/relationships/hyperlink" Target="https://drive.google.com/drive/u/0/folders/1hCrQ1GZtd6TJEaQrbA3m4p5BAdgCSVoB" TargetMode="External"/><Relationship Id="rId10495" Type="http://schemas.openxmlformats.org/officeDocument/2006/relationships/hyperlink" Target="https://drive.google.com/drive/folders/1NepG6XT-FSa8Cs07sX3tPfQWLNpJfAxp" TargetMode="External"/><Relationship Id="rId11546" Type="http://schemas.openxmlformats.org/officeDocument/2006/relationships/hyperlink" Target="https://drive.google.com/file/d/1D5cHpKEDVQ2YTtQXutUCqFDZxtlwlpac/view?usp=sharing" TargetMode="External"/><Relationship Id="rId11960" Type="http://schemas.openxmlformats.org/officeDocument/2006/relationships/hyperlink" Target="https://www.vidio.com/live/18250-petronas-malaysia-open-2026-round-of-32-court-?schedule_id=4832186" TargetMode="External"/><Relationship Id="rId1605" Type="http://schemas.openxmlformats.org/officeDocument/2006/relationships/hyperlink" Target="https://drive.google.com/drive/folders/1mvnRSrV7_vMb5TrAQ1gNlzJTl-7AUGGN" TargetMode="External"/><Relationship Id="rId6183" Type="http://schemas.openxmlformats.org/officeDocument/2006/relationships/hyperlink" Target="https://drive.google.com/drive/folders/1Rz7pj0GL7HzuT_QQieUiQ06FHzCdHPaO?usp=drive_link" TargetMode="External"/><Relationship Id="rId7234" Type="http://schemas.openxmlformats.org/officeDocument/2006/relationships/hyperlink" Target="https://www.vidio.com/live/19748-national-football-league-2025-26?schedule_id=4717952" TargetMode="External"/><Relationship Id="rId7581" Type="http://schemas.openxmlformats.org/officeDocument/2006/relationships/hyperlink" Target="https://drive.google.com/file/d/1EqYoAPmmrUkOiV73hQr8Elp5K3c9Z26f/view?usp=drive_link" TargetMode="External"/><Relationship Id="rId8632" Type="http://schemas.openxmlformats.org/officeDocument/2006/relationships/hyperlink" Target="https://drive.google.com/drive/folders/1_ubGbYK9n4YqAfn5gTtDTA_MgAy1yK99?usp=drive_link" TargetMode="External"/><Relationship Id="rId10148" Type="http://schemas.openxmlformats.org/officeDocument/2006/relationships/hyperlink" Target="https://www.vidio.com/live/19737-turkish-volleyball-league?schedule_id=4758877" TargetMode="External"/><Relationship Id="rId10562" Type="http://schemas.openxmlformats.org/officeDocument/2006/relationships/hyperlink" Target="https://www.vidio.com/live/17875-bein-2?schedule_id=4827319" TargetMode="External"/><Relationship Id="rId11613" Type="http://schemas.openxmlformats.org/officeDocument/2006/relationships/hyperlink" Target="https://www.dropbox.com/scl/fo/pyup6kelyotq2jlv42i89/AIHumyjDnZV40Cfq-X3HMt4/06%20Asia%20Pacific%20(APAC)?dl=0&amp;rlkey=mcuhcpi5e7com2h8au830cl1c&amp;subfolder_nav_tracking=1" TargetMode="External"/><Relationship Id="rId3777" Type="http://schemas.openxmlformats.org/officeDocument/2006/relationships/hyperlink" Target="https://www.vidio.com/live/19388-rajadamnern-2025-light-flyweight-title?schedule_id=4525601" TargetMode="External"/><Relationship Id="rId4828" Type="http://schemas.openxmlformats.org/officeDocument/2006/relationships/hyperlink" Target="https://thumbor.prod.vidiocdn.com/BskyInr-NdQkYKFYlzkdqvxu82E=/filters:quality(70)/vidio-media-production/uploads/image/source/52630/55e539.png" TargetMode="External"/><Relationship Id="rId10215" Type="http://schemas.openxmlformats.org/officeDocument/2006/relationships/hyperlink" Target="https://drive.google.com/drive/folders/1bjX8PxRLsU40q7C54I2-OAKHjAgd4rno?usp=sharing" TargetMode="External"/><Relationship Id="rId698" Type="http://schemas.openxmlformats.org/officeDocument/2006/relationships/hyperlink" Target="https://drive.google.com/drive/folders/1ds9PMo8hFSwSpLmEp1JSAss9vLnn8zkw" TargetMode="External"/><Relationship Id="rId2379" Type="http://schemas.openxmlformats.org/officeDocument/2006/relationships/hyperlink" Target="https://www.vidio.com/live/17324-laliga?schedule_id=4527601" TargetMode="External"/><Relationship Id="rId2793" Type="http://schemas.openxmlformats.org/officeDocument/2006/relationships/hyperlink" Target="https://drive.google.com/drive/folders/1qeL-o6mT1rTYcd3c01m2layrhrqUN4pM?usp=drive_link" TargetMode="External"/><Relationship Id="rId3844" Type="http://schemas.openxmlformats.org/officeDocument/2006/relationships/hyperlink" Target="https://drive.google.com/file/d/1ORanwTfGxsq0caww5xY0p3RXmizSVOz2/view?usp=sharing" TargetMode="External"/><Relationship Id="rId6250" Type="http://schemas.openxmlformats.org/officeDocument/2006/relationships/hyperlink" Target="https://drive.google.com/drive/folders/1wHqDEFNb49Ehq90BKHILri0XojFuFUVU" TargetMode="External"/><Relationship Id="rId7301" Type="http://schemas.openxmlformats.org/officeDocument/2006/relationships/hyperlink" Target="https://drive.google.com/file/d/1Yc5YK7fDGtTpKhDNpvLh8eJyLN3WXrce/view?usp=sharing" TargetMode="External"/><Relationship Id="rId12387" Type="http://schemas.openxmlformats.org/officeDocument/2006/relationships/hyperlink" Target="https://www.vidio.com/live/18249-petronas-malaysia-open-2026-round-of-16-court-1?schedule_id=4833792" TargetMode="External"/><Relationship Id="rId765" Type="http://schemas.openxmlformats.org/officeDocument/2006/relationships/hyperlink" Target="https://drive.google.com/file/d/1v_g2--PaPKdVYXlP2tYkH35WURFsc7Gu/view?usp=sharing" TargetMode="External"/><Relationship Id="rId1395" Type="http://schemas.openxmlformats.org/officeDocument/2006/relationships/hyperlink" Target="https://drive.google.com/file/d/1qKgEiNDu19eT958wNVqJg5pgVpfADrOL/view?usp=sharing" TargetMode="External"/><Relationship Id="rId2446" Type="http://schemas.openxmlformats.org/officeDocument/2006/relationships/hyperlink" Target="https://drive.google.com/file/d/1INkhoBc7srngij2M31cEyWZtSAx-ke2m/view?usp=drive_link" TargetMode="External"/><Relationship Id="rId2860" Type="http://schemas.openxmlformats.org/officeDocument/2006/relationships/hyperlink" Target="https://drive.google.com/drive/folders/1y6_YTjb-uDahkhFHn_p6AhwygxrAw4oD?usp=drive_link" TargetMode="External"/><Relationship Id="rId9059" Type="http://schemas.openxmlformats.org/officeDocument/2006/relationships/hyperlink" Target="https://drive.google.com/drive/folders/1BPCDPXntLczgaeg6JX2fYNX45PXJonrh?usp=sharing" TargetMode="External"/><Relationship Id="rId9473" Type="http://schemas.openxmlformats.org/officeDocument/2006/relationships/hyperlink" Target="https://drive.google.com/file/d/1QAiu0PSanTkZ3-2pYKG2gSrAamHOSo4x/view?usp=sharing" TargetMode="External"/><Relationship Id="rId12454" Type="http://schemas.openxmlformats.org/officeDocument/2006/relationships/hyperlink" Target="https://www.vidio.com/live/18249-petronas-malaysia-open-2026-finals?schedule_id=4835805" TargetMode="External"/><Relationship Id="rId418" Type="http://schemas.openxmlformats.org/officeDocument/2006/relationships/hyperlink" Target="https://drive.google.com/drive/folders/1HAHXgmpUJc29YOD8xWSMgQyRhfXuT8Vy" TargetMode="External"/><Relationship Id="rId832" Type="http://schemas.openxmlformats.org/officeDocument/2006/relationships/hyperlink" Target="https://drive.google.com/file/d/1VgsQJeAHApzHvNjUGd9CG0AepXJ_Zcui/view?usp=sharing" TargetMode="External"/><Relationship Id="rId1048" Type="http://schemas.openxmlformats.org/officeDocument/2006/relationships/hyperlink" Target="https://drive.google.com/file/d/1phb8J3rMQd5hTBaldk32zeRzuRELZ4h2/view?usp=sharing" TargetMode="External"/><Relationship Id="rId1462" Type="http://schemas.openxmlformats.org/officeDocument/2006/relationships/hyperlink" Target="https://www.vidio.com/live/19354-bri-super-league?schedule_id=4486633" TargetMode="External"/><Relationship Id="rId2513" Type="http://schemas.openxmlformats.org/officeDocument/2006/relationships/hyperlink" Target="https://drive.google.com/file/d/10vVcAI-kDVCTEKmsOj8_bDHoNiBecmPl/view?usp=sharing" TargetMode="External"/><Relationship Id="rId3911" Type="http://schemas.openxmlformats.org/officeDocument/2006/relationships/hyperlink" Target="https://drive.google.com/drive/folders/1ff_g6uOrDUq4gYjr8iS9vH4_GQ0Qq1MG" TargetMode="External"/><Relationship Id="rId5669" Type="http://schemas.openxmlformats.org/officeDocument/2006/relationships/hyperlink" Target="https://drive.google.com/drive/folders/1-v2k9mkE5Wr7vtcZPt5z5lBJb1kpLRxM?usp=drive_link" TargetMode="External"/><Relationship Id="rId8075" Type="http://schemas.openxmlformats.org/officeDocument/2006/relationships/hyperlink" Target="https://drive.google.com/file/d/11vUQIPjkoS3i9v_l3k-YkFTZkT2CsODj/view?usp=sharing" TargetMode="External"/><Relationship Id="rId9126" Type="http://schemas.openxmlformats.org/officeDocument/2006/relationships/hyperlink" Target="https://drive.google.com/file/d/10W03pOLcwCGLzk_ebnJgeYgAHDldv3aG/view?usp=sharing" TargetMode="External"/><Relationship Id="rId9540" Type="http://schemas.openxmlformats.org/officeDocument/2006/relationships/hyperlink" Target="https://www.vidio.com/live/19845-top-soccer-championship-2025-u-13-u-14?schedule_id=4719217" TargetMode="External"/><Relationship Id="rId11056" Type="http://schemas.openxmlformats.org/officeDocument/2006/relationships/hyperlink" Target="https://www.vidio.com/live/19773-fa-cup-2025-26?schedule_id=4833936" TargetMode="External"/><Relationship Id="rId12107" Type="http://schemas.openxmlformats.org/officeDocument/2006/relationships/hyperlink" Target="https://www.vidio.com/live/18252-petronas-malaysia-open-2026-round-of-16-court-3?schedule_id=4832360" TargetMode="External"/><Relationship Id="rId1115" Type="http://schemas.openxmlformats.org/officeDocument/2006/relationships/hyperlink" Target="https://thumbor.prod.vidiocdn.com/9cxkm942hZPtuyTBYBqNxANiINw=/filters:quality(70)/vidio-media-production/uploads/image/source/52482/b9b024.png" TargetMode="External"/><Relationship Id="rId7091" Type="http://schemas.openxmlformats.org/officeDocument/2006/relationships/hyperlink" Target="https://drive.google.com/file/d/1NmQCjmcpklin4mR_HWNuILasCKDqVpQQ/view?usp=sharing" TargetMode="External"/><Relationship Id="rId8142" Type="http://schemas.openxmlformats.org/officeDocument/2006/relationships/hyperlink" Target="https://drive.google.com/file/d/1xbamZgUfPp2UYliVCRZquAOzN6reWdsf/view?usp=sharing" TargetMode="External"/><Relationship Id="rId10072" Type="http://schemas.openxmlformats.org/officeDocument/2006/relationships/hyperlink" Target="https://thumbor.prod.vidiocdn.com/a7ZKrTUjEyYYJ9wmBbFcnAVPDYY=/filters:quality(70)/vidio-media-production/uploads/image/source/51594/ebf46d.png" TargetMode="External"/><Relationship Id="rId11470" Type="http://schemas.openxmlformats.org/officeDocument/2006/relationships/hyperlink" Target="https://drive.google.com/file/d/1zzrmrF1Rr92kIpOE1jy9YBLa4Ii0OoIs/view?usp=sharing" TargetMode="External"/><Relationship Id="rId3287" Type="http://schemas.openxmlformats.org/officeDocument/2006/relationships/hyperlink" Target="https://drive.google.com/file/d/1s0S1zkZSqX-hH6WMPlCtCeTMecaSkLVj/view?usp=drive_link" TargetMode="External"/><Relationship Id="rId4338" Type="http://schemas.openxmlformats.org/officeDocument/2006/relationships/hyperlink" Target="https://www.vidio.com/live/17939-serie-a?schedule_id=4674573" TargetMode="External"/><Relationship Id="rId4685" Type="http://schemas.openxmlformats.org/officeDocument/2006/relationships/hyperlink" Target="https://www.vidio.com/live/19404-serie-a?schedule_id=4773706" TargetMode="External"/><Relationship Id="rId5736" Type="http://schemas.openxmlformats.org/officeDocument/2006/relationships/hyperlink" Target="https://drive.google.com/file/d/1AQ5G3K18C3cDISy0woEJKlkBvNgoucxz/view?usp=sharing" TargetMode="External"/><Relationship Id="rId11123" Type="http://schemas.openxmlformats.org/officeDocument/2006/relationships/hyperlink" Target="https://www.vidio.com/live/20249-fa-cup-2025-26?schedule_id=4832304" TargetMode="External"/><Relationship Id="rId4752" Type="http://schemas.openxmlformats.org/officeDocument/2006/relationships/hyperlink" Target="https://thumbor.prod.vidiocdn.com/4_Y8mKUqZdJZK3Nx56FFDs81EUM=/filters:quality(70)/vidio-media-production/uploads/image/source/52146/7bee04.png" TargetMode="External"/><Relationship Id="rId5803" Type="http://schemas.openxmlformats.org/officeDocument/2006/relationships/hyperlink" Target="https://drive.google.com/file/d/1vJIMetYwcX1zrewlGSISDsoyhm_V8HZz/view?usp=sharing" TargetMode="External"/><Relationship Id="rId8959" Type="http://schemas.openxmlformats.org/officeDocument/2006/relationships/hyperlink" Target="https://drive.google.com/file/d/1pJSpCBhvw_2KQONccuLD6ugTNBn1BvGQ/view?usp=sharing" TargetMode="External"/><Relationship Id="rId10889" Type="http://schemas.openxmlformats.org/officeDocument/2006/relationships/hyperlink" Target="https://drive.google.com/file/d/1vSujjxl1DqBd-hytOhw51ET3ODXfYICA/view?usp=sharing" TargetMode="External"/><Relationship Id="rId3354" Type="http://schemas.openxmlformats.org/officeDocument/2006/relationships/hyperlink" Target="https://drive.google.com/file/d/1H0BSRNqYbmulGiRovJ-yRMNt7NXmhJZ-/view?usp=sharing" TargetMode="External"/><Relationship Id="rId4405" Type="http://schemas.openxmlformats.org/officeDocument/2006/relationships/hyperlink" Target="https://drive.google.com/file/d/1nZ725oYBgoNvJsnzIhQmmpnMiM7OGbGV/view?usp=sharing" TargetMode="External"/><Relationship Id="rId7975" Type="http://schemas.openxmlformats.org/officeDocument/2006/relationships/hyperlink" Target="https://drive.google.com/file/d/1ctzX_MCEIvk0ccKGa70OvcvRJZAzGMwd/view?usp=sharing" TargetMode="External"/><Relationship Id="rId275" Type="http://schemas.openxmlformats.org/officeDocument/2006/relationships/hyperlink" Target="https://drive.google.com/file/d/1rTzzEM-IKE2XnD5zcyz8v7EwY-dIiq8k/view?usp=sharing" TargetMode="External"/><Relationship Id="rId2370" Type="http://schemas.openxmlformats.org/officeDocument/2006/relationships/hyperlink" Target="https://drive.google.com/file/d/1KtOotgeQv8ZZkujt0Fra4CsNVfkFNwQL/view?usp=sharing" TargetMode="External"/><Relationship Id="rId3007" Type="http://schemas.openxmlformats.org/officeDocument/2006/relationships/hyperlink" Target="https://drive.google.com/file/d/1WztCgeYHR7VillyuxXM3nd4Fejx0dzOV/view?usp=sharing" TargetMode="External"/><Relationship Id="rId3421" Type="http://schemas.openxmlformats.org/officeDocument/2006/relationships/hyperlink" Target="https://drive.google.com/file/d/1alR2VTE6se0bBQcxLf0brJ2ANNMTHYuW/view?usp=sharing" TargetMode="External"/><Relationship Id="rId6577" Type="http://schemas.openxmlformats.org/officeDocument/2006/relationships/hyperlink" Target="https://drive.google.com/file/d/1vHWRe1rcW0gMLptZrRXlCwdOE84oCKp6/view?usp=drive_link" TargetMode="External"/><Relationship Id="rId6991" Type="http://schemas.openxmlformats.org/officeDocument/2006/relationships/hyperlink" Target="https://drive.google.com/file/d/1Hjp_Jlz3y7S72pO0IlDchCYZDBG6QH1z/view?usp=drive_link" TargetMode="External"/><Relationship Id="rId7628" Type="http://schemas.openxmlformats.org/officeDocument/2006/relationships/hyperlink" Target="https://drive.google.com/file/d/1K_wNV_GuV2KnoTgGoZ0qR7AxIfHyF5xR/view?usp=sharing" TargetMode="External"/><Relationship Id="rId10956" Type="http://schemas.openxmlformats.org/officeDocument/2006/relationships/hyperlink" Target="https://drive.google.com/file/d/1BmpAp2opVxTF5W-CEHccONTu9dr6eT8v/view?usp=sharing" TargetMode="External"/><Relationship Id="rId342" Type="http://schemas.openxmlformats.org/officeDocument/2006/relationships/hyperlink" Target="https://drive.google.com/file/d/1H1l9IZ0qpnZfF_yhMWpmBL_P21cV9vVa/view?usp=sharing" TargetMode="External"/><Relationship Id="rId2023" Type="http://schemas.openxmlformats.org/officeDocument/2006/relationships/hyperlink" Target="https://drive.google.com/file/d/16KFv3yr4NIqOb93fPDNoV0EqR2m0kQTZ/view?usp=sharing" TargetMode="External"/><Relationship Id="rId5179" Type="http://schemas.openxmlformats.org/officeDocument/2006/relationships/hyperlink" Target="https://drive.google.com/drive/folders/1d8RfZ3AxKm4vcq0d__doqb5lGvVI-NuD" TargetMode="External"/><Relationship Id="rId5593" Type="http://schemas.openxmlformats.org/officeDocument/2006/relationships/hyperlink" Target="https://www.vidio.com/live/19599-uefa-europa-league?schedule_id=4596304" TargetMode="External"/><Relationship Id="rId6644" Type="http://schemas.openxmlformats.org/officeDocument/2006/relationships/hyperlink" Target="https://drive.google.com/file/d/1_mpATT9zAYAuashDSlgyMI8LS_SWXjhN/view?usp=drive_link" TargetMode="External"/><Relationship Id="rId9050" Type="http://schemas.openxmlformats.org/officeDocument/2006/relationships/hyperlink" Target="https://www.vidio.com/live/19738-turkish-women-s-volleyball-league?schedule_id=4726063" TargetMode="External"/><Relationship Id="rId10609" Type="http://schemas.openxmlformats.org/officeDocument/2006/relationships/hyperlink" Target="https://www.vidio.com/live/20066-top-soccer-championship-2025-final-cup-dan-plate-u-14-dan-u-15" TargetMode="External"/><Relationship Id="rId12031" Type="http://schemas.openxmlformats.org/officeDocument/2006/relationships/hyperlink" Target="https://drive.google.com/drive/folders/10yZ6W25MsH1Gazyf6erLQ6feN5lXYViD" TargetMode="External"/><Relationship Id="rId4195" Type="http://schemas.openxmlformats.org/officeDocument/2006/relationships/hyperlink" Target="https://www.vidio.com/live/19404-serie-a?schedule_id=4622093" TargetMode="External"/><Relationship Id="rId5246" Type="http://schemas.openxmlformats.org/officeDocument/2006/relationships/hyperlink" Target="https://drive.google.com/drive/folders/1UJh6Ohrk8ICltqRuS2ZUbx-5nOk1lSCs" TargetMode="External"/><Relationship Id="rId1789" Type="http://schemas.openxmlformats.org/officeDocument/2006/relationships/hyperlink" Target="https://drive.google.com/file/d/1NZjQBKoLgCJw6j2k_WhkwpwiRLRoUDRV/view?usp=drive_link" TargetMode="External"/><Relationship Id="rId4262" Type="http://schemas.openxmlformats.org/officeDocument/2006/relationships/hyperlink" Target="https://drive.google.com/drive/folders/15-II7ipKAoia1ddwRA92IJ21xrPGVpIb?usp=drive_link" TargetMode="External"/><Relationship Id="rId5660" Type="http://schemas.openxmlformats.org/officeDocument/2006/relationships/hyperlink" Target="https://drive.google.com/file/d/1pLKKGLO_YRLSbbZOuQ9d1ezhawC-1LyB/view?usp=sharing" TargetMode="External"/><Relationship Id="rId6711" Type="http://schemas.openxmlformats.org/officeDocument/2006/relationships/hyperlink" Target="https://drive.google.com/file/d/1R75MyITpYC5sMowOtacR8bp8OR9jTDs7/view?usp=sharing" TargetMode="External"/><Relationship Id="rId8469" Type="http://schemas.openxmlformats.org/officeDocument/2006/relationships/hyperlink" Target="https://drive.google.com/file/d/1k2dcbp2T0GYl2Jxn4JWw0Ru6lKTFCOLv/view?usp=sharing" TargetMode="External"/><Relationship Id="rId9867" Type="http://schemas.openxmlformats.org/officeDocument/2006/relationships/hyperlink" Target="https://drive.google.com/file/d/1bGAtWdCSL-v2iZg1GvRoYwXZwXVqVH3x/view" TargetMode="External"/><Relationship Id="rId11797" Type="http://schemas.openxmlformats.org/officeDocument/2006/relationships/hyperlink" Target="https://drive.google.com/file/d/1deZAbfJVdgIn3PxMeZ4VDpCNDYarV7-x/view?usp=sharing" TargetMode="External"/><Relationship Id="rId1856" Type="http://schemas.openxmlformats.org/officeDocument/2006/relationships/hyperlink" Target="https://www.vidio.com/live/205-indosiar?schedule_id=4652392" TargetMode="External"/><Relationship Id="rId2907" Type="http://schemas.openxmlformats.org/officeDocument/2006/relationships/hyperlink" Target="https://drive.google.com/drive/folders/1Blbq_hJqkb7VCBuCZX3D9bGrv02HkpXv?usp=drive_link" TargetMode="External"/><Relationship Id="rId5313" Type="http://schemas.openxmlformats.org/officeDocument/2006/relationships/hyperlink" Target="https://drive.google.com/file/d/1qHUKe9jklqvZQc-wPczwWYT8mjg8SyVi/view?usp=sharing" TargetMode="External"/><Relationship Id="rId8883" Type="http://schemas.openxmlformats.org/officeDocument/2006/relationships/hyperlink" Target="https://thumbor.prod.vidiocdn.com/GNIJIyh-nhJQO7j96uXqwQ2ifZg=/filters:quality(70)/vidio-media-production/uploads/image/source/52022/fa8028.png" TargetMode="External"/><Relationship Id="rId9934" Type="http://schemas.openxmlformats.org/officeDocument/2006/relationships/hyperlink" Target="https://www.vidio.com/live/19355-bri-super-league?schedule_id=4739839" TargetMode="External"/><Relationship Id="rId10399" Type="http://schemas.openxmlformats.org/officeDocument/2006/relationships/hyperlink" Target="https://drive.google.com/file/d/1vNsqojb6-EEi4l1981Fq_DQ929FWHoYP/view?usp=sharing" TargetMode="External"/><Relationship Id="rId11864" Type="http://schemas.openxmlformats.org/officeDocument/2006/relationships/hyperlink" Target="https://drive.google.com/file/d/1_VFmtjeoa1jB6YMFl35R4XO6xs8PdX7H/view?usp=sharing" TargetMode="External"/><Relationship Id="rId1509" Type="http://schemas.openxmlformats.org/officeDocument/2006/relationships/hyperlink" Target="https://drive.google.com/file/d/19dz0ehC81hYaZmHcTL2UciNtda2ksGcv/view?usp=sharing" TargetMode="External"/><Relationship Id="rId1923" Type="http://schemas.openxmlformats.org/officeDocument/2006/relationships/hyperlink" Target="https://drive.google.com/file/d/1TOoGPpCPg-T4BVibtH7M76RBYYjO_eyJ/view?usp=drive_link" TargetMode="External"/><Relationship Id="rId7485" Type="http://schemas.openxmlformats.org/officeDocument/2006/relationships/hyperlink" Target="https://drive.google.com/file/d/1DNux4glLBnqI-DzUHKvsJVIQIe0fQ_QF/view?usp=sharing" TargetMode="External"/><Relationship Id="rId8536" Type="http://schemas.openxmlformats.org/officeDocument/2006/relationships/hyperlink" Target="https://drive.google.com/drive/folders/1eckRlZeqCr_2syNjwt5boFROoK-yfhI8" TargetMode="External"/><Relationship Id="rId8950" Type="http://schemas.openxmlformats.org/officeDocument/2006/relationships/hyperlink" Target="https://drive.google.com/file/d/1GKBdeGSPTkQJ8l-nYQz1KDEJfe27Rnx1/view?usp=sharing" TargetMode="External"/><Relationship Id="rId10466" Type="http://schemas.openxmlformats.org/officeDocument/2006/relationships/hyperlink" Target="https://drive.google.com/file/d/1DNux4glLBnqI-DzUHKvsJVIQIe0fQ_QF/view?usp=sharing" TargetMode="External"/><Relationship Id="rId10880" Type="http://schemas.openxmlformats.org/officeDocument/2006/relationships/hyperlink" Target="https://drive.google.com/file/d/18tEbasgwq_MXgr1JckS27JEejHZzKQjh/view?usp=sharing" TargetMode="External"/><Relationship Id="rId11517" Type="http://schemas.openxmlformats.org/officeDocument/2006/relationships/hyperlink" Target="https://thumbor.prod.vidiocdn.com/cQYrFJ5DhaQU4uXZFy30ko533bc=/filters:quality(70)/vidio-media-production/uploads/image/source/53063/a9a24c.png" TargetMode="External"/><Relationship Id="rId6087" Type="http://schemas.openxmlformats.org/officeDocument/2006/relationships/hyperlink" Target="https://www.vidio.com/live/19370-carabao-cup-2025-26?schedule_id=4592573" TargetMode="External"/><Relationship Id="rId7138" Type="http://schemas.openxmlformats.org/officeDocument/2006/relationships/hyperlink" Target="https://drive.google.com/file/d/1abIluG2KWv4Tg9D7AcVBPTcIlAzhcEJd/view?usp=drive_link" TargetMode="External"/><Relationship Id="rId7552" Type="http://schemas.openxmlformats.org/officeDocument/2006/relationships/hyperlink" Target="https://www.vidio.com/live/19658-f1h2o-2025-grand-prix-of-zhengzhou-china?schedule_id=4636604" TargetMode="External"/><Relationship Id="rId8603" Type="http://schemas.openxmlformats.org/officeDocument/2006/relationships/hyperlink" Target="https://drive.google.com/drive/folders/1rV6iBF3BUVJGKbJLmmi7Oe55VA7Nav1A" TargetMode="External"/><Relationship Id="rId10119" Type="http://schemas.openxmlformats.org/officeDocument/2006/relationships/hyperlink" Target="https://www.vidio.com/live/19996?schedule_id=4743074" TargetMode="External"/><Relationship Id="rId10533" Type="http://schemas.openxmlformats.org/officeDocument/2006/relationships/hyperlink" Target="https://drive.google.com/file/d/17Sw0tqvdooWbmGr0PPbZcS66fKtjSBgj/view?usp=sharing" TargetMode="External"/><Relationship Id="rId11931" Type="http://schemas.openxmlformats.org/officeDocument/2006/relationships/hyperlink" Target="https://www.vidio.com/live/18252-petronas-malaysia-open-2026-round-of-32-court-3?schedule_id=4831583" TargetMode="External"/><Relationship Id="rId2697" Type="http://schemas.openxmlformats.org/officeDocument/2006/relationships/hyperlink" Target="https://drive.google.com/drive/folders/1kMnAUovIfqAZyRE7zHeYvNuw4YZstmZE?usp=drive_link" TargetMode="External"/><Relationship Id="rId3748" Type="http://schemas.openxmlformats.org/officeDocument/2006/relationships/hyperlink" Target="https://drive.google.com/file/d/1GWD9XdSWFjjwM-0E8lPPY4jBZytr2D41/view?usp=sharing" TargetMode="External"/><Relationship Id="rId6154" Type="http://schemas.openxmlformats.org/officeDocument/2006/relationships/hyperlink" Target="https://drive.google.com/file/d/1zwMyvOZNcDIOIlR9jAgvpzj95WCc9ep6/view?usp=drive_link" TargetMode="External"/><Relationship Id="rId7205" Type="http://schemas.openxmlformats.org/officeDocument/2006/relationships/hyperlink" Target="https://drive.google.com/file/d/1DNux4glLBnqI-DzUHKvsJVIQIe0fQ_QF/view?usp=sharing" TargetMode="External"/><Relationship Id="rId669" Type="http://schemas.openxmlformats.org/officeDocument/2006/relationships/hyperlink" Target="https://drive.google.com/file/d/1-ZLeDIL4dd02diiHuwLxL3LTh9aXeTHx/view?usp=sharing" TargetMode="External"/><Relationship Id="rId1299" Type="http://schemas.openxmlformats.org/officeDocument/2006/relationships/hyperlink" Target="https://drive.google.com/file/d/1cNKW_y9XqMtr1WI03RYYsvrS1qYM5q05/view?usp=sharing" TargetMode="External"/><Relationship Id="rId5170" Type="http://schemas.openxmlformats.org/officeDocument/2006/relationships/hyperlink" Target="https://www.vidio.com/live/6299-bein-1?schedule_id=4664036" TargetMode="External"/><Relationship Id="rId6221" Type="http://schemas.openxmlformats.org/officeDocument/2006/relationships/hyperlink" Target="https://drive.google.com/file/d/10b281aHZ41pJk51n0VEH-wV-ZfHU4Exr/view?usp=drive_link%22" TargetMode="External"/><Relationship Id="rId9377" Type="http://schemas.openxmlformats.org/officeDocument/2006/relationships/hyperlink" Target="https://thumbor.prod.vidiocdn.com/gI5Bm9HuWRphW_C3_XrwDoTfiaQ=/filters:quality(70)/vidio-media-production/uploads/image/source/52758/7713c2.png" TargetMode="External"/><Relationship Id="rId10600" Type="http://schemas.openxmlformats.org/officeDocument/2006/relationships/hyperlink" Target="https://drive.google.com/file/d/1SNxgIsnHGdzrz636epCxys-4zSfwAPgp/view?usp=sharing" TargetMode="External"/><Relationship Id="rId736" Type="http://schemas.openxmlformats.org/officeDocument/2006/relationships/hyperlink" Target="https://drive.google.com/file/d/15BKfaddFtA8dZTalRCW8yIoKbOOXWLbx/view?usp=sharing" TargetMode="External"/><Relationship Id="rId1366" Type="http://schemas.openxmlformats.org/officeDocument/2006/relationships/hyperlink" Target="https://drive.google.com/drive/folders/13g-2xNYJ52g3CsquyDv4V9uUMoDq__RD?usp=drive_link" TargetMode="External"/><Relationship Id="rId2417" Type="http://schemas.openxmlformats.org/officeDocument/2006/relationships/hyperlink" Target="https://drive.google.com/file/d/16wdx6TXz4kLJXQZ4fl60_9Mm3No688A0/view?usp=sharing" TargetMode="External"/><Relationship Id="rId2764" Type="http://schemas.openxmlformats.org/officeDocument/2006/relationships/hyperlink" Target="https://drive.google.com/drive/folders/1qeL-o6mT1rTYcd3c01m2layrhrqUN4pM?usp=drive_link" TargetMode="External"/><Relationship Id="rId3815" Type="http://schemas.openxmlformats.org/officeDocument/2006/relationships/hyperlink" Target="https://drive.google.com/file/d/1kzVHw7nq_JshjSkvQACkqhTdMBQjxx4B/view?usp=sharing" TargetMode="External"/><Relationship Id="rId8393" Type="http://schemas.openxmlformats.org/officeDocument/2006/relationships/hyperlink" Target="https://thumbor.prod.vidiocdn.com/3NXnon7qRIq4asAcjY5Pcgg13Tg=/filters:quality(70)/vidio-media-production/uploads/image/source/52062/5a7a66.png" TargetMode="External"/><Relationship Id="rId9444" Type="http://schemas.openxmlformats.org/officeDocument/2006/relationships/hyperlink" Target="https://drive.google.com/file/d/1iJTRzHN0NO9vCAWHJX7o_YMI6qjgz43w/view?usp=sharing" TargetMode="External"/><Relationship Id="rId9791" Type="http://schemas.openxmlformats.org/officeDocument/2006/relationships/hyperlink" Target="https://www.vidio.com/live/19880-top-soccer-championship-2025-u-13-u-14?schedule_id=4730506" TargetMode="External"/><Relationship Id="rId12358" Type="http://schemas.openxmlformats.org/officeDocument/2006/relationships/hyperlink" Target="https://drive.google.com/file/d/1aerik-EGVX1bP7WoYaM_AMSCFqH9d2Jz/view?usp=sharing" TargetMode="External"/><Relationship Id="rId1019" Type="http://schemas.openxmlformats.org/officeDocument/2006/relationships/hyperlink" Target="https://drive.google.com/file/d/1WCHYq56J8P3Y8PP5IYNrMKjoqimcvxGL/view?usp=sharing" TargetMode="External"/><Relationship Id="rId1780" Type="http://schemas.openxmlformats.org/officeDocument/2006/relationships/hyperlink" Target="https://drive.google.com/drive/folders/1vITpYa6owELhcaMUXLReRZ0syKZF3i6S" TargetMode="External"/><Relationship Id="rId2831" Type="http://schemas.openxmlformats.org/officeDocument/2006/relationships/hyperlink" Target="https://www.vidio.com/live/6299-bein-1?schedule_id=4677363" TargetMode="External"/><Relationship Id="rId5987" Type="http://schemas.openxmlformats.org/officeDocument/2006/relationships/hyperlink" Target="https://drive.google.com/drive/folders/1UnKgAoT9yOh9ZyEOR-ZB5JtGYPaQoUos?usp=drive_link" TargetMode="External"/><Relationship Id="rId8046" Type="http://schemas.openxmlformats.org/officeDocument/2006/relationships/hyperlink" Target="https://drive.google.com/file/d/1MUZ3OxQAGI-kEGni1mRiiwE-SAr8UsrZ/view?usp=drive_link" TargetMode="External"/><Relationship Id="rId11374" Type="http://schemas.openxmlformats.org/officeDocument/2006/relationships/hyperlink" Target="https://www.vidio.com/live/20107-top-youth-premier-league-semifinal-cup-final-cup-plate?schedule_id=4786458" TargetMode="External"/><Relationship Id="rId12425" Type="http://schemas.openxmlformats.org/officeDocument/2006/relationships/hyperlink" Target="https://drive.google.com/file/d/1eYrHSZhFd95KyhXxrabgACyw4RU-iuHU/view?usp=sharing" TargetMode="External"/><Relationship Id="rId72" Type="http://schemas.openxmlformats.org/officeDocument/2006/relationships/hyperlink" Target="https://drive.google.com/file/d/1XctpZpP10t2jKQEuwIhrN7vBwX3fTJce/view?usp=sharing" TargetMode="External"/><Relationship Id="rId803" Type="http://schemas.openxmlformats.org/officeDocument/2006/relationships/hyperlink" Target="https://drive.google.com/file/d/1nrGPFkTtlOeddgPhLIpGIde8wnqdmYKu/view?usp=sharing" TargetMode="External"/><Relationship Id="rId1433" Type="http://schemas.openxmlformats.org/officeDocument/2006/relationships/hyperlink" Target="https://drive.google.com/file/d/1RYDgUmlcUz1h9F9lt6KkT4d6aAZ1821Q/view?usp=sharing" TargetMode="External"/><Relationship Id="rId4589" Type="http://schemas.openxmlformats.org/officeDocument/2006/relationships/hyperlink" Target="https://drive.google.com/drive/folders/12Dg2RHhdS5t1aw5fc97r2eebHvgBHzGk?usp=drive_link" TargetMode="External"/><Relationship Id="rId8460" Type="http://schemas.openxmlformats.org/officeDocument/2006/relationships/hyperlink" Target="https://drive.google.com/drive/folders/1f3XxPYvXpR_XYo4I8W_D0o07EoA4ZuUh?usp=drive_link" TargetMode="External"/><Relationship Id="rId9511" Type="http://schemas.openxmlformats.org/officeDocument/2006/relationships/hyperlink" Target="https://www.vidio.com/live/19748-national-football-league-2025-26?schedule_id=4724861" TargetMode="External"/><Relationship Id="rId10390" Type="http://schemas.openxmlformats.org/officeDocument/2006/relationships/hyperlink" Target="https://drive.google.com/drive/folders/1hBCncu8vS5ZARQMZloRQ7_7bMGbkeYgm?usp=sharing" TargetMode="External"/><Relationship Id="rId11027" Type="http://schemas.openxmlformats.org/officeDocument/2006/relationships/hyperlink" Target="https://drive.google.com/drive/u/0/folders/1Vn7JCgbUUAe-CiyM8ywv1FbAsOZCMLT8" TargetMode="External"/><Relationship Id="rId11441" Type="http://schemas.openxmlformats.org/officeDocument/2006/relationships/hyperlink" Target="https://www.vidio.com/live/18249-hsbc-bwf-world-tour-finals-2025-semifinals?schedule_id=4788333" TargetMode="External"/><Relationship Id="rId1500" Type="http://schemas.openxmlformats.org/officeDocument/2006/relationships/hyperlink" Target="https://drive.google.com/file/d/15AQ0qHDe4pb1kiboY7BWPmlM9H-_aqxM/view?usp=sharing" TargetMode="External"/><Relationship Id="rId4656" Type="http://schemas.openxmlformats.org/officeDocument/2006/relationships/hyperlink" Target="https://drive.google.com/file/d/19hRetUZWTDOJzJoUtcz9RRUGkPF3BkIv/view?usp=sharing" TargetMode="External"/><Relationship Id="rId5707" Type="http://schemas.openxmlformats.org/officeDocument/2006/relationships/hyperlink" Target="https://drive.google.com/file/d/1Kon4nvFEAKqIXfqCWP4w2c5NmQaM61VS/view?usp=sharing" TargetMode="External"/><Relationship Id="rId7062" Type="http://schemas.openxmlformats.org/officeDocument/2006/relationships/hyperlink" Target="https://www.vidio.com/live/19543-pegadaian-championship-2025-26?schedule_id=4627668" TargetMode="External"/><Relationship Id="rId8113" Type="http://schemas.openxmlformats.org/officeDocument/2006/relationships/hyperlink" Target="https://drive.google.com/file/d/1LeT_WMcJJqfvqiw-uXsSmjMRbkW7jXfn/view?usp=sharing" TargetMode="External"/><Relationship Id="rId10043" Type="http://schemas.openxmlformats.org/officeDocument/2006/relationships/hyperlink" Target="https://drive.google.com/file/d/1DWPaQYmm5EUV25j9WrPj5GxiXp-OEOmW/view?usp=sharing" TargetMode="External"/><Relationship Id="rId3258" Type="http://schemas.openxmlformats.org/officeDocument/2006/relationships/hyperlink" Target="https://thumbor.prod.vidiocdn.com/3uzcP8eOOwi04-iUoKWlvPptPyI=/filters:quality(70)/vidio-media-production/uploads/image/source/53065/7555bc.png" TargetMode="External"/><Relationship Id="rId3672" Type="http://schemas.openxmlformats.org/officeDocument/2006/relationships/hyperlink" Target="https://drive.google.com/drive/folders/1cqK29lH31A_ffI68Dq9R_BjiNsOaaL9_?usp=drive_link" TargetMode="External"/><Relationship Id="rId4309" Type="http://schemas.openxmlformats.org/officeDocument/2006/relationships/hyperlink" Target="https://drive.google.com/file/d/161qXnGDSKy5jl4JvENzYDGUwEShAOMf1/view?usp=sharing" TargetMode="External"/><Relationship Id="rId4723" Type="http://schemas.openxmlformats.org/officeDocument/2006/relationships/hyperlink" Target="https://thumbor.prod.vidiocdn.com/EbLiW1J99zTQB-tJ1PUn9Dh9Sok=/filters:quality(70)/vidio-media-production/uploads/image/source/52025/7dcb76.png" TargetMode="External"/><Relationship Id="rId7879" Type="http://schemas.openxmlformats.org/officeDocument/2006/relationships/hyperlink" Target="https://www.vidio.com/live/19673-turkish-women-s-volleyball-cup?schedule_id=4654976" TargetMode="External"/><Relationship Id="rId10110" Type="http://schemas.openxmlformats.org/officeDocument/2006/relationships/hyperlink" Target="https://www.vidio.com/live/19995-top-soccer-championship-2025-u-14-u-15?schedule_id=4743068" TargetMode="External"/><Relationship Id="rId179" Type="http://schemas.openxmlformats.org/officeDocument/2006/relationships/hyperlink" Target="https://drive.google.com/drive/folders/1lyXyGIdNbA9Jf7svWGBwuZW626Ji8iay?usp=drive_link" TargetMode="External"/><Relationship Id="rId593" Type="http://schemas.openxmlformats.org/officeDocument/2006/relationships/hyperlink" Target="https://drive.google.com/file/d/1YhNi7zNJ1UMKeoS5O05qySiC4YKAQxGh/view?usp=sharing" TargetMode="External"/><Relationship Id="rId2274" Type="http://schemas.openxmlformats.org/officeDocument/2006/relationships/hyperlink" Target="https://www.vidio.com/live/6299-bein-1?schedule_id=4499140" TargetMode="External"/><Relationship Id="rId3325" Type="http://schemas.openxmlformats.org/officeDocument/2006/relationships/hyperlink" Target="https://drive.google.com/drive/folders/1YROK8A7qYkIBn9ihFaL4qdhY_otnwsOq?usp=drive_link" TargetMode="External"/><Relationship Id="rId12282" Type="http://schemas.openxmlformats.org/officeDocument/2006/relationships/hyperlink" Target="https://drive.google.com/file/d/17nqJ8YbOWxi4DOQmMA4_VvY1qMuE4tM4/view?usp=sharing" TargetMode="External"/><Relationship Id="rId246" Type="http://schemas.openxmlformats.org/officeDocument/2006/relationships/hyperlink" Target="https://drive.google.com/drive/folders/1keBgYGAW2V9gleWyOBlIJnrRzNas7sPg?usp=drive_link" TargetMode="External"/><Relationship Id="rId660" Type="http://schemas.openxmlformats.org/officeDocument/2006/relationships/hyperlink" Target="https://www.vidio.com/live/9182-champions-tv-5?schedule_id=4707259" TargetMode="External"/><Relationship Id="rId1290" Type="http://schemas.openxmlformats.org/officeDocument/2006/relationships/hyperlink" Target="https://drive.google.com/drive/folders/1rDddGfX0y2b6-pLO4LNmqeMK3sCSHoFa?usp=drive_link" TargetMode="External"/><Relationship Id="rId2341" Type="http://schemas.openxmlformats.org/officeDocument/2006/relationships/hyperlink" Target="https://drive.google.com/drive/folders/1Pm5Jgmxh-aKl9hR8HYKc-wSUtGQ6816G?usp=drive_link" TargetMode="External"/><Relationship Id="rId5497" Type="http://schemas.openxmlformats.org/officeDocument/2006/relationships/hyperlink" Target="https://drive.google.com/file/d/12hAadmWtAjDql8gn0wlcm1wmeYn5icfc/view?usp=share_link" TargetMode="External"/><Relationship Id="rId6548" Type="http://schemas.openxmlformats.org/officeDocument/2006/relationships/hyperlink" Target="https://drive.google.com/file/d/1gAAmbkY39ahfw2L3WLiVFSdX-AxhbNpw/view?usp=sharing" TargetMode="External"/><Relationship Id="rId6895" Type="http://schemas.openxmlformats.org/officeDocument/2006/relationships/hyperlink" Target="https://drive.google.com/drive/folders/1BhKJCwrQWMPmukRF_X1L_5IJlxac8Xp_?usp=drive_link" TargetMode="External"/><Relationship Id="rId7946" Type="http://schemas.openxmlformats.org/officeDocument/2006/relationships/hyperlink" Target="https://drive.google.com/file/d/1Q6v9xifdK8Sm1qge3cvkM2O_-4fRB_-x/view?usp=sharing" TargetMode="External"/><Relationship Id="rId10927" Type="http://schemas.openxmlformats.org/officeDocument/2006/relationships/hyperlink" Target="https://drive.google.com/drive/folders/1ehBQImq5LJsocKNU7tGOwLzoxZOyVGKs" TargetMode="External"/><Relationship Id="rId313" Type="http://schemas.openxmlformats.org/officeDocument/2006/relationships/hyperlink" Target="https://drive.google.com/file/d/1ylgpTotiu35yZRyaPmCsgFNM0NeOddVN/view?usp=sharing" TargetMode="External"/><Relationship Id="rId4099" Type="http://schemas.openxmlformats.org/officeDocument/2006/relationships/hyperlink" Target="https://drive.google.com/file/d/1-pZtkT30K6SvdH9c9JKz7XJ1iNd0Kh3x/view?usp=sharing" TargetMode="External"/><Relationship Id="rId6962" Type="http://schemas.openxmlformats.org/officeDocument/2006/relationships/hyperlink" Target="https://drive.google.com/file/d/11pJvAWzLJh8qsPayMf4GEfqCMI8Rj7JN/view?usp=sharing" TargetMode="External"/><Relationship Id="rId9021" Type="http://schemas.openxmlformats.org/officeDocument/2006/relationships/hyperlink" Target="https://drive.google.com/file/d/1GyVPK1s8f0cYnGMgAOTR3mhe1JlP9dtQ/view?usp=drive_link" TargetMode="External"/><Relationship Id="rId5564" Type="http://schemas.openxmlformats.org/officeDocument/2006/relationships/hyperlink" Target="https://drive.google.com/file/d/1q8L5OWMmKAnOB32a_3cSBaYMeKgpMnul/view?usp=drive_link" TargetMode="External"/><Relationship Id="rId6615" Type="http://schemas.openxmlformats.org/officeDocument/2006/relationships/hyperlink" Target="https://drive.google.com/file/d/1Kvhz-nIIZ7fUu1ukEyF1cVtyM6RuEB1f/view?usp=sharing" TargetMode="External"/><Relationship Id="rId12002" Type="http://schemas.openxmlformats.org/officeDocument/2006/relationships/hyperlink" Target="https://www.vidio.com/live/18249-petronas-malaysia-open-2026-round-of-16-court-1?schedule_id=4832328" TargetMode="External"/><Relationship Id="rId1010" Type="http://schemas.openxmlformats.org/officeDocument/2006/relationships/hyperlink" Target="https://drive.google.com/file/d/1BoLz1zNREGdFez6dwVnzDWXeSHJ3T4VV/view?usp=drive_link" TargetMode="External"/><Relationship Id="rId4166" Type="http://schemas.openxmlformats.org/officeDocument/2006/relationships/hyperlink" Target="https://www.vidio.com/live/19404-serie-a?schedule_id=4622536" TargetMode="External"/><Relationship Id="rId4580" Type="http://schemas.openxmlformats.org/officeDocument/2006/relationships/hyperlink" Target="https://drive.google.com/file/d/1a44nB01j4nr_C4Mww-K0tyrYREqUjGW8/view?usp=sharing" TargetMode="External"/><Relationship Id="rId5217" Type="http://schemas.openxmlformats.org/officeDocument/2006/relationships/hyperlink" Target="https://drive.google.com/drive/folders/1UJh6Ohrk8ICltqRuS2ZUbx-5nOk1lSCs" TargetMode="External"/><Relationship Id="rId5631" Type="http://schemas.openxmlformats.org/officeDocument/2006/relationships/hyperlink" Target="https://drive.google.com/drive/folders/1EsrUkKF4K0r6UIFqIUGdnHi1aC-RnYX7?usp=drive_link" TargetMode="External"/><Relationship Id="rId8787" Type="http://schemas.openxmlformats.org/officeDocument/2006/relationships/hyperlink" Target="https://drive.google.com/file/d/1_w9SA_MdpXdp2UnZmGWBKOu4DZEmO1Cj/view?usp=sharing" TargetMode="External"/><Relationship Id="rId9838" Type="http://schemas.openxmlformats.org/officeDocument/2006/relationships/hyperlink" Target="https://drive.google.com/file/d/1bGAtWdCSL-v2iZg1GvRoYwXZwXVqVH3x/view?usp=sharing" TargetMode="External"/><Relationship Id="rId11768" Type="http://schemas.openxmlformats.org/officeDocument/2006/relationships/hyperlink" Target="https://drive.google.com/drive/folders/1GWNRo6VmCQFpb1liOFuv6o9liUzIhczV" TargetMode="External"/><Relationship Id="rId1827" Type="http://schemas.openxmlformats.org/officeDocument/2006/relationships/hyperlink" Target="https://drive.google.com/drive/folders/1TRVWM1VyWcM_CIOjOPEBkn-UGu_rKzBj" TargetMode="External"/><Relationship Id="rId7389" Type="http://schemas.openxmlformats.org/officeDocument/2006/relationships/hyperlink" Target="https://drive.google.com/file/d/1aJaKNogsH8t9F0Gf0eUzAyf2_1BQNdx7/view?usp=drive_link" TargetMode="External"/><Relationship Id="rId3999" Type="http://schemas.openxmlformats.org/officeDocument/2006/relationships/hyperlink" Target="https://drive.google.com/file/d/1Ulr2eaSV9a2ikggT2QjStENN7ncts1gF/view?usp=sharing" TargetMode="External"/><Relationship Id="rId4300" Type="http://schemas.openxmlformats.org/officeDocument/2006/relationships/hyperlink" Target="https://3.basecamp.com/4902751/buckets/36763424/card_tables/cards/9130024263" TargetMode="External"/><Relationship Id="rId170" Type="http://schemas.openxmlformats.org/officeDocument/2006/relationships/hyperlink" Target="https://drive.google.com/file/d/19Rcol8plcmjwWYmQVLPiDECzzHwUxkJ_/view?usp=drive_link" TargetMode="External"/><Relationship Id="rId6472" Type="http://schemas.openxmlformats.org/officeDocument/2006/relationships/hyperlink" Target="https://drive.google.com/file/d/1ED6lend_Oeue_UeG11OdNxiiBH4kRvSb/view?usp=sharing" TargetMode="External"/><Relationship Id="rId7523" Type="http://schemas.openxmlformats.org/officeDocument/2006/relationships/hyperlink" Target="https://drive.google.com/drive/folders/1Kh_meiAby2_6bThQLNQ9ptUC3EE4JkUl?usp=drive_link" TargetMode="External"/><Relationship Id="rId7870" Type="http://schemas.openxmlformats.org/officeDocument/2006/relationships/hyperlink" Target="https://drive.google.com/file/d/19IRwfXX2wavN5DxeES-Kotb5dJfMc7F0/view?usp=sharing" TargetMode="External"/><Relationship Id="rId8921" Type="http://schemas.openxmlformats.org/officeDocument/2006/relationships/hyperlink" Target="https://www.vidio.com/live/19543-pegadaian-championship-2025-26?schedule_id=4797266" TargetMode="External"/><Relationship Id="rId10851" Type="http://schemas.openxmlformats.org/officeDocument/2006/relationships/hyperlink" Target="https://drive.google.com/drive/folders/1k4rJrnBm1_a30mDdHHdCFokcDawyZlbu?usp=drive_link" TargetMode="External"/><Relationship Id="rId11902" Type="http://schemas.openxmlformats.org/officeDocument/2006/relationships/hyperlink" Target="https://drive.google.com/drive/folders/1gqnmBiDc9HaK7fTi5sC9yJeePuPZJkd8?usp=drive_link" TargetMode="External"/><Relationship Id="rId5074" Type="http://schemas.openxmlformats.org/officeDocument/2006/relationships/hyperlink" Target="https://drive.google.com/drive/folders/1iXXXI8AUN2qzP-l9i7Vb4Z_ch9sn0od-" TargetMode="External"/><Relationship Id="rId6125" Type="http://schemas.openxmlformats.org/officeDocument/2006/relationships/hyperlink" Target="https://drive.google.com/drive/folders/1Nyy39xr4wh74bSl36YwhN8qAtyPo9bUl?usp=drive_link" TargetMode="External"/><Relationship Id="rId10504" Type="http://schemas.openxmlformats.org/officeDocument/2006/relationships/hyperlink" Target="https://drive.google.com/drive/folders/1dlQ_z1DSasa6rp-qk9YLob6N0GlYlHB5" TargetMode="External"/><Relationship Id="rId8297" Type="http://schemas.openxmlformats.org/officeDocument/2006/relationships/hyperlink" Target="https://www.vidio.com/live/6299-bein-1?schedule_id=4724823" TargetMode="External"/><Relationship Id="rId9695" Type="http://schemas.openxmlformats.org/officeDocument/2006/relationships/hyperlink" Target="https://drive.google.com/drive/folders/1Cj_94UaXdJ_1vPp8lmBYfc1c6mhCK8OY?usp=drive_link" TargetMode="External"/><Relationship Id="rId1684" Type="http://schemas.openxmlformats.org/officeDocument/2006/relationships/hyperlink" Target="https://drive.google.com/drive/folders/1ujHQ4IbEycIeBiEJ6y7l69KXrMGhTzie" TargetMode="External"/><Relationship Id="rId2735" Type="http://schemas.openxmlformats.org/officeDocument/2006/relationships/hyperlink" Target="https://www.vidio.com/live/6299-bein-1?schedule_id=4655938" TargetMode="External"/><Relationship Id="rId9348" Type="http://schemas.openxmlformats.org/officeDocument/2006/relationships/hyperlink" Target="https://drive.google.com/drive/folders/1GKNypnbUhP3WsQA4RrWsinIn_WgcTrIr" TargetMode="External"/><Relationship Id="rId11278" Type="http://schemas.openxmlformats.org/officeDocument/2006/relationships/hyperlink" Target="https://thumbor.prod.vidiocdn.com/EkqiQBvYulRllcX0sYDbXeGkxN4=/filters:quality(70)/vidio-media-production/uploads/image/source/52456/ce0a21.png" TargetMode="External"/><Relationship Id="rId12329" Type="http://schemas.openxmlformats.org/officeDocument/2006/relationships/hyperlink" Target="https://www.vidio.com/live/20266?schedule_id=4833884" TargetMode="External"/><Relationship Id="rId707" Type="http://schemas.openxmlformats.org/officeDocument/2006/relationships/hyperlink" Target="https://drive.google.com/file/d/1mS57ESPMvVSf-uLR61Apmjwhn9lWad0x/view?usp=sharing" TargetMode="External"/><Relationship Id="rId1337" Type="http://schemas.openxmlformats.org/officeDocument/2006/relationships/hyperlink" Target="https://drive.google.com/drive/folders/1LuxZ_sFvW4OpHLHwr_N1EPpdItPfXoCI?usp=drive_link" TargetMode="External"/><Relationship Id="rId5958" Type="http://schemas.openxmlformats.org/officeDocument/2006/relationships/hyperlink" Target="https://drive.google.com/file/d/13fnkPU3lE-ruX8_jIs4cyS4pCt3RDJiP/view?usp=sharing" TargetMode="External"/><Relationship Id="rId43" Type="http://schemas.openxmlformats.org/officeDocument/2006/relationships/hyperlink" Target="https://drive.google.com/drive/folders/1L80LpJglVG6kTpmObnYluOoaHfnbgHmU" TargetMode="External"/><Relationship Id="rId7380" Type="http://schemas.openxmlformats.org/officeDocument/2006/relationships/hyperlink" Target="https://drive.google.com/file/d/1Q8TMZYD6UFuEcQ5gQ69uSvThSBxEbuDP/view?usp=sharing" TargetMode="External"/><Relationship Id="rId8431" Type="http://schemas.openxmlformats.org/officeDocument/2006/relationships/hyperlink" Target="https://drive.google.com/file/d/1w3N03MWHMidIYLSaBOZzzoNpneOgxO0s/view?usp=sharing" TargetMode="External"/><Relationship Id="rId10361" Type="http://schemas.openxmlformats.org/officeDocument/2006/relationships/hyperlink" Target="https://www.vidio.com/live/18250-hsbc-bwf-world-tour-finals-2025-group-stage-court-2" TargetMode="External"/><Relationship Id="rId7033" Type="http://schemas.openxmlformats.org/officeDocument/2006/relationships/hyperlink" Target="https://drive.google.com/drive/folders/1sT7cPa-0wqGD1Egd-aImc5zNNFuNjnGM?usp=drive_link" TargetMode="External"/><Relationship Id="rId10014" Type="http://schemas.openxmlformats.org/officeDocument/2006/relationships/hyperlink" Target="https://www.vidio.com/live/6299-bein-1?schedule_id=4797270" TargetMode="External"/><Relationship Id="rId11412" Type="http://schemas.openxmlformats.org/officeDocument/2006/relationships/hyperlink" Target="https://drive.google.com/file/d/1U2u8UShiFtPCDGB6mvK7GObwQ6DaczD2/view?usp=sharing" TargetMode="External"/><Relationship Id="rId3990" Type="http://schemas.openxmlformats.org/officeDocument/2006/relationships/hyperlink" Target="https://drive.google.com/drive/u/0/folders/11djpA7dxS51-HPr1jcjeRXI_3QAdKXZv" TargetMode="External"/><Relationship Id="rId1194" Type="http://schemas.openxmlformats.org/officeDocument/2006/relationships/hyperlink" Target="https://thumbor.prod.vidiocdn.com/9WgTg2BJ2lnyN0TpuOcGt4yGawA=/filters:quality(70)/vidio-media-production/uploads/image/source/52750/4bcc8f.png" TargetMode="External"/><Relationship Id="rId2592" Type="http://schemas.openxmlformats.org/officeDocument/2006/relationships/hyperlink" Target="https://drive.google.com/file/d/1RdXOF6l7fUIJmsCvHN0jFdxN5w42txFk/view?usp=drive_link" TargetMode="External"/><Relationship Id="rId3643" Type="http://schemas.openxmlformats.org/officeDocument/2006/relationships/hyperlink" Target="https://drive.google.com/file/d/1ptd4AvnxmDp7fcGnJv4gl3xu_5_Lppgn/view?usp=sharing" TargetMode="External"/><Relationship Id="rId12186" Type="http://schemas.openxmlformats.org/officeDocument/2006/relationships/hyperlink" Target="https://drive.google.com/file/d/17nqJ8YbOWxi4DOQmMA4_VvY1qMuE4tM4/view?usp=sharing" TargetMode="External"/><Relationship Id="rId217" Type="http://schemas.openxmlformats.org/officeDocument/2006/relationships/hyperlink" Target="https://drive.google.com/file/d/1sY9tZz1bxDjcanlS8sEeM9Zd63RI8Gl1/view?usp=sharing" TargetMode="External"/><Relationship Id="rId564" Type="http://schemas.openxmlformats.org/officeDocument/2006/relationships/hyperlink" Target="https://www.vidio.com/live/9182-champions-tv-5?schedule_id=4668355" TargetMode="External"/><Relationship Id="rId2245" Type="http://schemas.openxmlformats.org/officeDocument/2006/relationships/hyperlink" Target="https://www.vidio.com/live/6299-bein-1?schedule_id=4499127" TargetMode="External"/><Relationship Id="rId6866" Type="http://schemas.openxmlformats.org/officeDocument/2006/relationships/hyperlink" Target="https://www.vidio.com/live/6299-bein-1?schedule_id=4575832" TargetMode="External"/><Relationship Id="rId7917" Type="http://schemas.openxmlformats.org/officeDocument/2006/relationships/hyperlink" Target="https://www.vidio.com/live/18385-men-s-turkish-volleyball-cup?schedule_id=4660167" TargetMode="External"/><Relationship Id="rId5468" Type="http://schemas.openxmlformats.org/officeDocument/2006/relationships/hyperlink" Target="https://drive.google.com/file/d/1TfT1lcErqlNB1ye1iXrPBvHjzRJX4n4Z/view?usp=sharing" TargetMode="External"/><Relationship Id="rId6519" Type="http://schemas.openxmlformats.org/officeDocument/2006/relationships/hyperlink" Target="https://drive.google.com/file/d/184qeAD8aTl2XAnMv8U8_6YBcDZYTMvYw/view?usp=sharing" TargetMode="External"/><Relationship Id="rId12320" Type="http://schemas.openxmlformats.org/officeDocument/2006/relationships/hyperlink" Target="https://www.vidio.com/live/20282" TargetMode="External"/><Relationship Id="rId4551" Type="http://schemas.openxmlformats.org/officeDocument/2006/relationships/hyperlink" Target="https://drive.google.com/file/d/1PPc7Cz29DMyL0zttwCaUvHyUyIp_H5Ij/view?usp=sharing" TargetMode="External"/><Relationship Id="rId3153" Type="http://schemas.openxmlformats.org/officeDocument/2006/relationships/hyperlink" Target="https://www.vidio.com/live/6299-bein-1?schedule_id=4784756" TargetMode="External"/><Relationship Id="rId4204" Type="http://schemas.openxmlformats.org/officeDocument/2006/relationships/hyperlink" Target="https://drive.google.com/file/d/1qwg4jisDRWf06obi7YEm81XHTAN0biIA/view?usp=sharing" TargetMode="External"/><Relationship Id="rId5602" Type="http://schemas.openxmlformats.org/officeDocument/2006/relationships/hyperlink" Target="https://www.vidio.com/live/19603-uefa-europa-league?schedule_id=4610724" TargetMode="External"/><Relationship Id="rId7774" Type="http://schemas.openxmlformats.org/officeDocument/2006/relationships/hyperlink" Target="https://drive.google.com/file/d/12LYkXAIPbSEc2qJOpfxJfIj7TA8Zv4Vw/view?usp=sharing" TargetMode="External"/><Relationship Id="rId8825" Type="http://schemas.openxmlformats.org/officeDocument/2006/relationships/hyperlink" Target="https://drive.google.com/drive/folders/1jnPtEFoItuGBNqN4PQqbKsrtrVDFZKmb?usp=drive_link" TargetMode="External"/><Relationship Id="rId10755" Type="http://schemas.openxmlformats.org/officeDocument/2006/relationships/hyperlink" Target="https://drive.google.com/file/d/19ow5FjwON3krg0xIeg-z9BaMtRqhnz6u/view?usp=sharing" TargetMode="External"/><Relationship Id="rId11806" Type="http://schemas.openxmlformats.org/officeDocument/2006/relationships/hyperlink" Target="https://www.vidio.com/live/18249-petronas-malaysia-open-2026-round-of-32-court-1?schedule_id=4831476" TargetMode="External"/><Relationship Id="rId6029" Type="http://schemas.openxmlformats.org/officeDocument/2006/relationships/hyperlink" Target="https://drive.google.com/file/d/15BU6t6p7p-mDzmFyWDhoHPeS5yNx0Kun/view?usp=sharing" TargetMode="External"/><Relationship Id="rId6376" Type="http://schemas.openxmlformats.org/officeDocument/2006/relationships/hyperlink" Target="https://www.vidio.com/live/19736-uefa-conference-league?schedule_id=4734902" TargetMode="External"/><Relationship Id="rId7427" Type="http://schemas.openxmlformats.org/officeDocument/2006/relationships/hyperlink" Target="https://drive.google.com/file/d/1Z3i4Qtv4Fvw9qntx2ndeJ0e9H9evKqEj/view?usp=sharing" TargetMode="External"/><Relationship Id="rId10408" Type="http://schemas.openxmlformats.org/officeDocument/2006/relationships/hyperlink" Target="https://drive.google.com/file/d/1CxlFkUPTSMvuLBpmAtvnAuVBladYbVAO/view?usp=sharing" TargetMode="External"/><Relationship Id="rId2986" Type="http://schemas.openxmlformats.org/officeDocument/2006/relationships/hyperlink" Target="https://drive.google.com/file/d/1AxUVS1tHZZ8bchNqVSdkXtcs9RqqlSl-/view?usp=sharing" TargetMode="External"/><Relationship Id="rId9599" Type="http://schemas.openxmlformats.org/officeDocument/2006/relationships/hyperlink" Target="https://drive.google.com/file/d/1KcD9IJI0ssAgT39uiekuMnSgHvt9rc7n/view?usp=sharing" TargetMode="External"/><Relationship Id="rId958" Type="http://schemas.openxmlformats.org/officeDocument/2006/relationships/hyperlink" Target="https://drive.google.com/file/d/18i-UqkJmQuXvwyIGvtq_-3hMHfmy01xE/view?usp=sharing" TargetMode="External"/><Relationship Id="rId1588" Type="http://schemas.openxmlformats.org/officeDocument/2006/relationships/hyperlink" Target="https://drive.google.com/drive/folders/1nyKUUyr6kiqG4SFcbhStnCRfNhqct17a" TargetMode="External"/><Relationship Id="rId2639" Type="http://schemas.openxmlformats.org/officeDocument/2006/relationships/hyperlink" Target="https://www.vidio.com/live/6299-bein-1?schedule_id=4614507" TargetMode="External"/><Relationship Id="rId6510" Type="http://schemas.openxmlformats.org/officeDocument/2006/relationships/hyperlink" Target="https://drive.google.com/drive/folders/1Pun9JSy0iaX5_FNAH4SHDXiQ97bVBonD?usp=drive_link" TargetMode="External"/><Relationship Id="rId4061" Type="http://schemas.openxmlformats.org/officeDocument/2006/relationships/hyperlink" Target="https://drive.google.com/drive/folders/1ku6hwmdUETrOrnAwSPExynxrK4Gzh26B?usp=drive_link" TargetMode="External"/><Relationship Id="rId5112" Type="http://schemas.openxmlformats.org/officeDocument/2006/relationships/hyperlink" Target="https://drive.google.com/drive/folders/1d8RfZ3AxKm4vcq0d__doqb5lGvVI-NuD" TargetMode="External"/><Relationship Id="rId8682" Type="http://schemas.openxmlformats.org/officeDocument/2006/relationships/hyperlink" Target="https://www.vidio.com/live/19623-national-football-league-2025-26?schedule_id=4699977" TargetMode="External"/><Relationship Id="rId9733" Type="http://schemas.openxmlformats.org/officeDocument/2006/relationships/hyperlink" Target="https://drive.google.com/file/d/132gdMCvU_E-GsHcZnAona4BPlyD3Okwe/view?usp=sharing" TargetMode="External"/><Relationship Id="rId7284" Type="http://schemas.openxmlformats.org/officeDocument/2006/relationships/hyperlink" Target="https://drive.google.com/file/d/1GhEPVzl15jUbCxmc_PKSJwE5i9DdNzh-/view?usp=drive_link" TargetMode="External"/><Relationship Id="rId8335" Type="http://schemas.openxmlformats.org/officeDocument/2006/relationships/hyperlink" Target="https://drive.google.com/file/d/1GK1XwU_d2xmlpGV57XblxHfqJaC38YTo/view?usp=sharing" TargetMode="External"/><Relationship Id="rId11663" Type="http://schemas.openxmlformats.org/officeDocument/2006/relationships/hyperlink" Target="https://thumbor.prod.vidiocdn.com/oR_9euxIbIUvbIzAIDO54ThEzWk=/filters:quality(70)/vidio-media-production/uploads/image/source/53043/bab5d9.png" TargetMode="External"/><Relationship Id="rId1722" Type="http://schemas.openxmlformats.org/officeDocument/2006/relationships/hyperlink" Target="https://drive.google.com/file/d/1h43WZgSXO3pV9wKQ5TIcpPMABoc-bSG4/view?usp=drive_link" TargetMode="External"/><Relationship Id="rId10265" Type="http://schemas.openxmlformats.org/officeDocument/2006/relationships/hyperlink" Target="https://www.vidio.com/live/20024-top-soccer-championship-u-13-play-off-3?schedule_id=4761982" TargetMode="External"/><Relationship Id="rId11316" Type="http://schemas.openxmlformats.org/officeDocument/2006/relationships/hyperlink" Target="https://drive.google.com/file/d/1oJ7HutmsUHYDwhGJAFQ3xyr3Gc8M538B/view?usp=sharing" TargetMode="External"/><Relationship Id="rId3894" Type="http://schemas.openxmlformats.org/officeDocument/2006/relationships/hyperlink" Target="https://drive.google.com/drive/folders/1irrqxKK4fnjPAhWG2Vlz4hJkG12o8N-o" TargetMode="External"/><Relationship Id="rId4945" Type="http://schemas.openxmlformats.org/officeDocument/2006/relationships/hyperlink" Target="https://drive.google.com/file/d/1mfpKquK55Atw9va2LyEs0JqmQ3CvhnCM/view?usp=sharing" TargetMode="External"/><Relationship Id="rId2496" Type="http://schemas.openxmlformats.org/officeDocument/2006/relationships/hyperlink" Target="https://www.vidio.com/live/6317-bein-3?schedule_id=4577342" TargetMode="External"/><Relationship Id="rId3547" Type="http://schemas.openxmlformats.org/officeDocument/2006/relationships/hyperlink" Target="https://drive.google.com/file/d/1E1_bZdzU5irm5pi-kdfcSWS89WhPV67L/view?usp=drive_link" TargetMode="External"/><Relationship Id="rId468" Type="http://schemas.openxmlformats.org/officeDocument/2006/relationships/hyperlink" Target="https://drive.google.com/file/d/1AizNUI6wC76l6AVBWBs8UM_kHlNTcGKI/view?usp=sharing" TargetMode="External"/><Relationship Id="rId1098" Type="http://schemas.openxmlformats.org/officeDocument/2006/relationships/hyperlink" Target="https://www.vidio.com/live/9182-champions-tv-5?schedule_id=4792893" TargetMode="External"/><Relationship Id="rId2149" Type="http://schemas.openxmlformats.org/officeDocument/2006/relationships/hyperlink" Target="https://drive.google.com/file/d/1xAJ22KS_e0zPlxaW5amc7Smd_ioE5795/view?usp=sharing" TargetMode="External"/><Relationship Id="rId6020" Type="http://schemas.openxmlformats.org/officeDocument/2006/relationships/hyperlink" Target="https://drive.google.com/drive/folders/10ZO2R0DDn-NgXwB3cfxJUs5yGLlEs8mh?usp=drive_link" TargetMode="External"/><Relationship Id="rId9590" Type="http://schemas.openxmlformats.org/officeDocument/2006/relationships/hyperlink" Target="https://www.vidio.com/live/6299-bein-1?schedule_id=4733792" TargetMode="External"/><Relationship Id="rId2630" Type="http://schemas.openxmlformats.org/officeDocument/2006/relationships/hyperlink" Target="https://drive.google.com/file/d/1DO90MfPFeOT4f9mLr8wqifFPY3GHTR8P/view?usp=sharing" TargetMode="External"/><Relationship Id="rId8192" Type="http://schemas.openxmlformats.org/officeDocument/2006/relationships/hyperlink" Target="https://drive.google.com/file/d/1l1zcpv7U8lf-yLLtIbVCLtz3ivJBEX78/view?usp=sharing" TargetMode="External"/><Relationship Id="rId9243" Type="http://schemas.openxmlformats.org/officeDocument/2006/relationships/hyperlink" Target="https://www.vidio.com/live/19811-top-soccer-championship-2025-u-17?schedule_id=4708227" TargetMode="External"/><Relationship Id="rId11173" Type="http://schemas.openxmlformats.org/officeDocument/2006/relationships/hyperlink" Target="https://drive.google.com/file/d/1XqMCxzjpg0OUZ3ei5z0JVktGgOQhhvf4/view?usp=sharing" TargetMode="External"/><Relationship Id="rId12224" Type="http://schemas.openxmlformats.org/officeDocument/2006/relationships/hyperlink" Target="https://drive.google.com/file/d/17nqJ8YbOWxi4DOQmMA4_VvY1qMuE4tM4/view?usp=drive_link" TargetMode="External"/><Relationship Id="rId602" Type="http://schemas.openxmlformats.org/officeDocument/2006/relationships/hyperlink" Target="https://drive.google.com/drive/folders/1reJgqrta8-x_LZOVIyNxF2oALmNOZ9ZP?usp=drive_link" TargetMode="External"/><Relationship Id="rId1232" Type="http://schemas.openxmlformats.org/officeDocument/2006/relationships/hyperlink" Target="https://www.vidio.com/live/19536-premier-league?schedule_id=4830779" TargetMode="External"/><Relationship Id="rId5853" Type="http://schemas.openxmlformats.org/officeDocument/2006/relationships/hyperlink" Target="https://drive.google.com/file/d/1yMBELVMPVVabfpa-6bb1fLGSnZPwTO2A/view?usp=drive_link" TargetMode="External"/><Relationship Id="rId6904" Type="http://schemas.openxmlformats.org/officeDocument/2006/relationships/hyperlink" Target="https://www.vidio.com/live/19543-pegadaian-championship-2025-26?schedule_id=4582511" TargetMode="External"/><Relationship Id="rId3057" Type="http://schemas.openxmlformats.org/officeDocument/2006/relationships/hyperlink" Target="https://drive.google.com/file/d/1UL7XCYst7K_2bW4rNrpHmTPkYKchJG-9/view?usp=sharing" TargetMode="External"/><Relationship Id="rId4108" Type="http://schemas.openxmlformats.org/officeDocument/2006/relationships/hyperlink" Target="https://www.vidio.com/live/19404-serie-a?schedule_id=4602004" TargetMode="External"/><Relationship Id="rId4455" Type="http://schemas.openxmlformats.org/officeDocument/2006/relationships/hyperlink" Target="https://drive.google.com/file/d/1gsXspxRq9A63c-NIvLk4nZxJVpgSv2TR/view?usp=sharing" TargetMode="External"/><Relationship Id="rId5506" Type="http://schemas.openxmlformats.org/officeDocument/2006/relationships/hyperlink" Target="https://www.vidio.com/live/6317-bein-3?schedule_id=4591196" TargetMode="External"/><Relationship Id="rId7678" Type="http://schemas.openxmlformats.org/officeDocument/2006/relationships/hyperlink" Target="https://3.basecamp.com/4902751/buckets/36763424/card_tables/cards/9124306475" TargetMode="External"/><Relationship Id="rId8729" Type="http://schemas.openxmlformats.org/officeDocument/2006/relationships/hyperlink" Target="https://drive.google.com/drive/folders/1NepG6XT-FSa8Cs07sX3tPfQWLNpJfAxp" TargetMode="External"/><Relationship Id="rId10659" Type="http://schemas.openxmlformats.org/officeDocument/2006/relationships/hyperlink" Target="https://drive.google.com/drive/folders/1jf7OXszNFig1DGzGj3nhp8zG_lM_PPiC" TargetMode="External"/><Relationship Id="rId12081" Type="http://schemas.openxmlformats.org/officeDocument/2006/relationships/hyperlink" Target="https://drive.google.com/file/d/1khQrXXQF4DXWbEvpQ5PrFElQfRn5_sMl/view?usp=sharing" TargetMode="External"/><Relationship Id="rId2140" Type="http://schemas.openxmlformats.org/officeDocument/2006/relationships/hyperlink" Target="https://www.vidio.com/live/19354-bri-super-league?schedule_id=4739842" TargetMode="External"/><Relationship Id="rId6761" Type="http://schemas.openxmlformats.org/officeDocument/2006/relationships/hyperlink" Target="https://drive.google.com/file/d/1DNux4glLBnqI-DzUHKvsJVIQIe0fQ_QF/view?usp=sharing" TargetMode="External"/><Relationship Id="rId7812" Type="http://schemas.openxmlformats.org/officeDocument/2006/relationships/hyperlink" Target="https://drive.google.com/drive/folders/18pa30k7VXSESv0P6fZ97lEXrQ9iatGXT?usp=drive_link" TargetMode="External"/><Relationship Id="rId112" Type="http://schemas.openxmlformats.org/officeDocument/2006/relationships/hyperlink" Target="https://www.vidio.com/live/9183-champions-tv-6?schedule_id=4512821" TargetMode="External"/><Relationship Id="rId5363" Type="http://schemas.openxmlformats.org/officeDocument/2006/relationships/hyperlink" Target="https://drive.google.com/file/d/1qHbg0ybH5_xQ1EztCqfzNbKP68PMIIq8/view?usp=sharing" TargetMode="External"/><Relationship Id="rId6414" Type="http://schemas.openxmlformats.org/officeDocument/2006/relationships/hyperlink" Target="https://drive.google.com/file/d/15eqjKjl-vXCmccwwavs39bjnK36wF3hA/view?usp=drive_link" TargetMode="External"/><Relationship Id="rId5016" Type="http://schemas.openxmlformats.org/officeDocument/2006/relationships/hyperlink" Target="https://drive.google.com/file/d/1RgjxEDIxVcK5quJZqbo26Ldoysa4O86O/view?usp=sharing" TargetMode="External"/><Relationship Id="rId9984" Type="http://schemas.openxmlformats.org/officeDocument/2006/relationships/hyperlink" Target="https://drive.google.com/file/d/1-SBcYQh6U61anspHOTf1LLptPTy6kq_7/view?usp=sharing" TargetMode="External"/><Relationship Id="rId1973" Type="http://schemas.openxmlformats.org/officeDocument/2006/relationships/hyperlink" Target="https://drive.google.com/drive/folders/1mdJZMb572tIkhqGrpCUb6tPMPrCGt10s" TargetMode="External"/><Relationship Id="rId7188" Type="http://schemas.openxmlformats.org/officeDocument/2006/relationships/hyperlink" Target="https://www.vidio.com/live/19556-top-youth-premier-league-2025-matchday-3?schedule_id=4569323" TargetMode="External"/><Relationship Id="rId8239" Type="http://schemas.openxmlformats.org/officeDocument/2006/relationships/hyperlink" Target="https://drive.google.com/drive/folders/1NepG6XT-FSa8Cs07sX3tPfQWLNpJfAxp" TargetMode="External"/><Relationship Id="rId8586" Type="http://schemas.openxmlformats.org/officeDocument/2006/relationships/hyperlink" Target="https://drive.google.com/file/d/1CXA9quBO-LLqNesFwpVDoc6Q6RU24PCF/view?usp=sharing" TargetMode="External"/><Relationship Id="rId9637" Type="http://schemas.openxmlformats.org/officeDocument/2006/relationships/hyperlink" Target="https://drive.google.com/file/d/16oP8ksuP-vlSJeAzbbgbvRqP2EREXLPj/view?usp=sharing" TargetMode="External"/><Relationship Id="rId11567" Type="http://schemas.openxmlformats.org/officeDocument/2006/relationships/hyperlink" Target="https://drive.google.com/drive/folders/1kPaPtiM-tP8Bw7kbD6NoJZuDbUPMlkdc?usp=drive_link" TargetMode="External"/><Relationship Id="rId1626" Type="http://schemas.openxmlformats.org/officeDocument/2006/relationships/hyperlink" Target="https://drive.google.com/file/d/1Hu3mN_HHqp9kjYA7YfEo8liGKYOvSA3x/view?usp=drive_link" TargetMode="External"/><Relationship Id="rId10169" Type="http://schemas.openxmlformats.org/officeDocument/2006/relationships/hyperlink" Target="https://drive.google.com/file/d/17IHIXCf6UtgB1tYcf0G1mh_7ilDWjVMj/view?usp=sharing" TargetMode="External"/><Relationship Id="rId3798" Type="http://schemas.openxmlformats.org/officeDocument/2006/relationships/hyperlink" Target="https://drive.google.com/drive/folders/1vwtkGbKtDgksbkNqQMOTrMoYYregjUqi?usp=sharing" TargetMode="External"/><Relationship Id="rId4849" Type="http://schemas.openxmlformats.org/officeDocument/2006/relationships/hyperlink" Target="https://drive.google.com/drive/folders/17q7WEjEuVjE-tSvgReUZtpNqhzJ0ZTx0?usp=drive_link" TargetMode="External"/><Relationship Id="rId8720" Type="http://schemas.openxmlformats.org/officeDocument/2006/relationships/hyperlink" Target="https://drive.google.com/drive/folders/1NepG6XT-FSa8Cs07sX3tPfQWLNpJfAxp" TargetMode="External"/><Relationship Id="rId10650" Type="http://schemas.openxmlformats.org/officeDocument/2006/relationships/hyperlink" Target="https://thumbor.prod.vidiocdn.com/hlB-hSXSo27oPL06oPJmOn2Msjo=/filters:quality(70)/vidio-media-production/uploads/image/source/53045/910403.png" TargetMode="External"/><Relationship Id="rId6271" Type="http://schemas.openxmlformats.org/officeDocument/2006/relationships/hyperlink" Target="https://drive.google.com/drive/folders/1m1hx_WVmaokUQPLjCiMqksxTYZHOzJgf" TargetMode="External"/><Relationship Id="rId7322" Type="http://schemas.openxmlformats.org/officeDocument/2006/relationships/hyperlink" Target="https://drive.google.com/drive/folders/1GBFdpgWbU2am6tYKw_F13mzGRBsmN5uL?usp=drive_link" TargetMode="External"/><Relationship Id="rId10303" Type="http://schemas.openxmlformats.org/officeDocument/2006/relationships/hyperlink" Target="https://drive.google.com/file/d/1FhjUREu6wcYSIJkJR50NB3FFjXqZgTsS/view?usp=sharing" TargetMode="External"/><Relationship Id="rId11701" Type="http://schemas.openxmlformats.org/officeDocument/2006/relationships/hyperlink" Target="https://drive.google.com/drive/folders/1j2A_bH-x2l04Qo4WA98rK5ys1iCEU3UZ" TargetMode="External"/><Relationship Id="rId9494" Type="http://schemas.openxmlformats.org/officeDocument/2006/relationships/hyperlink" Target="https://drive.google.com/drive/folders/17bWLAf8g7rS-Ne619B_yZrzO4fB_34bY?usp=drive_link" TargetMode="External"/><Relationship Id="rId1483" Type="http://schemas.openxmlformats.org/officeDocument/2006/relationships/hyperlink" Target="https://drive.google.com/file/d/1vLSpJowll9JU6iZ1sUTINx7Wl3HAZonu/view?usp=sharing" TargetMode="External"/><Relationship Id="rId2881" Type="http://schemas.openxmlformats.org/officeDocument/2006/relationships/hyperlink" Target="https://drive.google.com/file/d/1vegHOK06xIB9dzGtrfEvpQL875NS06H4/view?usp=sharing" TargetMode="External"/><Relationship Id="rId3932" Type="http://schemas.openxmlformats.org/officeDocument/2006/relationships/hyperlink" Target="https://drive.google.com/drive/folders/14W_Q5Wi8rD17K7MKNI_Qh3O04ZJOvXK7?usp=drive_link" TargetMode="External"/><Relationship Id="rId8096" Type="http://schemas.openxmlformats.org/officeDocument/2006/relationships/hyperlink" Target="https://www.vidio.com/live/19584-pegadaian-championship-2025-26?schedule_id=4706380" TargetMode="External"/><Relationship Id="rId9147" Type="http://schemas.openxmlformats.org/officeDocument/2006/relationships/hyperlink" Target="https://drive.google.com/file/d/1TGWjDvtRyVIvPkzpJOzeGFb6Ss7t3BgN/view?usp=sharing" TargetMode="External"/><Relationship Id="rId11077" Type="http://schemas.openxmlformats.org/officeDocument/2006/relationships/hyperlink" Target="https://thumbor.prod.vidiocdn.com/G2887J6n9uTzDXnlsiFfUvT8vKI=/filters:quality(70)/vidio-media-production/uploads/image/source/52264/8022fc.png" TargetMode="External"/><Relationship Id="rId506" Type="http://schemas.openxmlformats.org/officeDocument/2006/relationships/hyperlink" Target="https://www.vidio.com/live/9182-champions-tv-5?schedule_id=4653355" TargetMode="External"/><Relationship Id="rId853" Type="http://schemas.openxmlformats.org/officeDocument/2006/relationships/hyperlink" Target="https://drive.google.com/drive/folders/1EpZ1kd4Bzkc4RoCiXUr5wZ9zr8ycrgxm?usp=drive_link" TargetMode="External"/><Relationship Id="rId1136" Type="http://schemas.openxmlformats.org/officeDocument/2006/relationships/hyperlink" Target="https://thumbor.prod.vidiocdn.com/jPcz6cbp2HTW5U2OJaDhVCPomZ0=/filters:quality(70)/vidio-media-production/uploads/image/source/52541/c05223.png" TargetMode="External"/><Relationship Id="rId2534" Type="http://schemas.openxmlformats.org/officeDocument/2006/relationships/hyperlink" Target="https://drive.google.com/file/d/1IO4bMRsbiIUCbV-GUKD_5aVFpJXLaAGK/view?usp=sharing" TargetMode="External"/><Relationship Id="rId12128" Type="http://schemas.openxmlformats.org/officeDocument/2006/relationships/hyperlink" Target="https://www.vidio.com/live/18250-petronas-malaysia-open-2026-round-of-16-court-2?schedule_id=4832346" TargetMode="External"/><Relationship Id="rId5757" Type="http://schemas.openxmlformats.org/officeDocument/2006/relationships/hyperlink" Target="https://drive.google.com/file/d/1ztIJkaP1vczv3NJou6NdCa0Z3AQkuxrw/view?usp=sharing" TargetMode="External"/><Relationship Id="rId6808" Type="http://schemas.openxmlformats.org/officeDocument/2006/relationships/hyperlink" Target="https://drive.google.com/file/d/1nGT_8FCT8Pz7e1H9gUjlwQQdb_UQMok1/view?usp=drive_link" TargetMode="External"/><Relationship Id="rId4359" Type="http://schemas.openxmlformats.org/officeDocument/2006/relationships/hyperlink" Target="https://drive.google.com/file/d/1hA7te-6c6XF3bLXPKPfS-DnZ7bRVY-Fi/view?usp=sharing" TargetMode="External"/><Relationship Id="rId8230" Type="http://schemas.openxmlformats.org/officeDocument/2006/relationships/hyperlink" Target="https://drive.google.com/file/d/1XP1IwIJqFOBicXSssH-9JW2ANEci4lc3/view?usp=drive_link" TargetMode="External"/><Relationship Id="rId10160" Type="http://schemas.openxmlformats.org/officeDocument/2006/relationships/hyperlink" Target="https://www.vidio.com/live/19738-turkish-volleyball-league?schedule_id=4766500" TargetMode="External"/><Relationship Id="rId11211" Type="http://schemas.openxmlformats.org/officeDocument/2006/relationships/hyperlink" Target="https://drive.google.com/drive/folders/10p0361tp8EE62w4qfBku53TvwybfWsjx" TargetMode="External"/><Relationship Id="rId4840" Type="http://schemas.openxmlformats.org/officeDocument/2006/relationships/hyperlink" Target="https://thumbor.prod.vidiocdn.com/9CeyIkY5BLaSHjlIJRbRCaDj2xE=/filters:quality(70)/vidio-media-production/uploads/image/source/52813/8c164a.png" TargetMode="External"/><Relationship Id="rId2391" Type="http://schemas.openxmlformats.org/officeDocument/2006/relationships/hyperlink" Target="https://www.vidio.com/live/17324-laliga?schedule_id=4527659" TargetMode="External"/><Relationship Id="rId3442" Type="http://schemas.openxmlformats.org/officeDocument/2006/relationships/hyperlink" Target="https://drive.google.com/drive/u/1/folders/1tsObtFDCZ4j1o9Yr7sLYnZXnGShlBPCK" TargetMode="External"/><Relationship Id="rId363" Type="http://schemas.openxmlformats.org/officeDocument/2006/relationships/hyperlink" Target="https://drive.google.com/drive/folders/18cvPy5isiopnc5zQJScVZsQLy6Vj3xct?usp=drive_link" TargetMode="External"/><Relationship Id="rId2044" Type="http://schemas.openxmlformats.org/officeDocument/2006/relationships/hyperlink" Target="https://www.vidio.com/live/19354-bri-super-league?schedule_id=4772127" TargetMode="External"/><Relationship Id="rId5267" Type="http://schemas.openxmlformats.org/officeDocument/2006/relationships/hyperlink" Target="https://drive.google.com/drive/folders/1bXn8mE7s7O-9XjtYWHM52ou51fS6J11M" TargetMode="External"/><Relationship Id="rId6318" Type="http://schemas.openxmlformats.org/officeDocument/2006/relationships/hyperlink" Target="https://drive.google.com/file/d/1y0q7UcakclMQWgWcdG5vYpHUjMqwAEgC/view?usp=sharing" TargetMode="External"/><Relationship Id="rId6665" Type="http://schemas.openxmlformats.org/officeDocument/2006/relationships/hyperlink" Target="https://drive.google.com/drive/folders/1vCRulHZWBCBVQ3BJ3CdZUg7qmslKVWcD?usp=drive_link" TargetMode="External"/><Relationship Id="rId7716" Type="http://schemas.openxmlformats.org/officeDocument/2006/relationships/hyperlink" Target="https://drive.google.com/file/d/1l40OYct2QGw3rzx1KF7TaWWY9z0_CodR/view?usp=sharing" TargetMode="External"/><Relationship Id="rId9888" Type="http://schemas.openxmlformats.org/officeDocument/2006/relationships/hyperlink" Target="https://www.vidio.com/live/19988-bri-super-league?schedule_id=4790746" TargetMode="External"/><Relationship Id="rId1877" Type="http://schemas.openxmlformats.org/officeDocument/2006/relationships/hyperlink" Target="https://drive.google.com/file/d/1ennJX2XkqPkwOvWMPNngyeDLJ0Bd8lQm/view?usp=sharing" TargetMode="External"/><Relationship Id="rId2928" Type="http://schemas.openxmlformats.org/officeDocument/2006/relationships/hyperlink" Target="https://drive.google.com/file/d/1d1yblbbTAq9B0LePy5e5vONQ593SloId/view?usp=sharing" TargetMode="External"/><Relationship Id="rId4350" Type="http://schemas.openxmlformats.org/officeDocument/2006/relationships/hyperlink" Target="https://drive.google.com/drive/folders/1QozQJGaOlAVAtMeSTlZfSk7UMM7BcGel?usp=drive_link" TargetMode="External"/><Relationship Id="rId5401" Type="http://schemas.openxmlformats.org/officeDocument/2006/relationships/hyperlink" Target="https://drive.google.com/file/d/1lOncycuFYp5SKKecXMNaxOqOAAmnc-75/view?usp=sharing" TargetMode="External"/><Relationship Id="rId8971" Type="http://schemas.openxmlformats.org/officeDocument/2006/relationships/hyperlink" Target="https://drive.google.com/file/d/1pBtCMn65EiN9qyKjASAKVSuwT43BKO35/view?usp=sharing" TargetMode="External"/><Relationship Id="rId4003" Type="http://schemas.openxmlformats.org/officeDocument/2006/relationships/hyperlink" Target="https://www.vidio.com/live/6685-champions-tv-1?schedule_id=4550612" TargetMode="External"/><Relationship Id="rId7573" Type="http://schemas.openxmlformats.org/officeDocument/2006/relationships/hyperlink" Target="https://drive.google.com/file/d/1yzxgjym-X9bgorGbSKgZ5R4p8Lbyjzm5/view?usp=sharing" TargetMode="External"/><Relationship Id="rId8624" Type="http://schemas.openxmlformats.org/officeDocument/2006/relationships/hyperlink" Target="https://drive.google.com/file/d/1yNRiAmWP72bH_v2zCkL6HDIuz51gvpjr/view?usp=sharing" TargetMode="External"/><Relationship Id="rId11952" Type="http://schemas.openxmlformats.org/officeDocument/2006/relationships/hyperlink" Target="https://www.vidio.com/live/18249-petronas-malaysia-open-2026-round-of-32-court-1?schedule_id=4832176" TargetMode="External"/><Relationship Id="rId6175" Type="http://schemas.openxmlformats.org/officeDocument/2006/relationships/hyperlink" Target="https://drive.google.com/file/d/1-zFtnhPp6xU2jVdQo84GFgqLezOOfumu/view?usp=drive_link" TargetMode="External"/><Relationship Id="rId7226" Type="http://schemas.openxmlformats.org/officeDocument/2006/relationships/hyperlink" Target="https://drive.google.com/file/d/1O7ZVerMy8ayh7llmVmg-w4KUtT0qFjSD/view?usp=sharing" TargetMode="External"/><Relationship Id="rId10554" Type="http://schemas.openxmlformats.org/officeDocument/2006/relationships/hyperlink" Target="https://www.vidio.com/live/17875-bein-2?schedule_id=4819780" TargetMode="External"/><Relationship Id="rId11605" Type="http://schemas.openxmlformats.org/officeDocument/2006/relationships/hyperlink" Target="https://drive.google.com/drive/folders/11HUdfPwFbjYy7A75MFVOg7wJgVL6UdwS?usp=drive_link" TargetMode="External"/><Relationship Id="rId9398" Type="http://schemas.openxmlformats.org/officeDocument/2006/relationships/hyperlink" Target="https://thumbor.prod.vidiocdn.com/ALCIt0AST9eCUf-C2MAOrqqqJOo=/filters:quality(70)/vidio-media-production/uploads/image/source/52762/3234e1.png" TargetMode="External"/><Relationship Id="rId10207" Type="http://schemas.openxmlformats.org/officeDocument/2006/relationships/hyperlink" Target="https://drive.google.com/drive/folders/1vjm49-dhvHgjmHiWmQ2CgscsgtQFMOBQ?usp=drive_link" TargetMode="External"/><Relationship Id="rId2785" Type="http://schemas.openxmlformats.org/officeDocument/2006/relationships/hyperlink" Target="https://www.vidio.com/live/6299-bein-1?schedule_id=4665860" TargetMode="External"/><Relationship Id="rId3836" Type="http://schemas.openxmlformats.org/officeDocument/2006/relationships/hyperlink" Target="https://drive.google.com/file/d/1P2CSFB7jvHFJxnpKGdS7FAVlSevsCMZ-/view?usp=sharing" TargetMode="External"/><Relationship Id="rId12379" Type="http://schemas.openxmlformats.org/officeDocument/2006/relationships/hyperlink" Target="https://www.vidio.com/live/18250-petronas-malaysia-open-2026-round-of-16-court-2?schedule_id=4833810" TargetMode="External"/><Relationship Id="rId757" Type="http://schemas.openxmlformats.org/officeDocument/2006/relationships/hyperlink" Target="https://drive.google.com/drive/folders/1AB5GUMNY-1Pc0RYw7N5ncFv9yUnJAFRd?usp=drive_link" TargetMode="External"/><Relationship Id="rId1387" Type="http://schemas.openxmlformats.org/officeDocument/2006/relationships/hyperlink" Target="https://www.vidio.com/live/17938-serie-a?schedule_id=4514274" TargetMode="External"/><Relationship Id="rId2438" Type="http://schemas.openxmlformats.org/officeDocument/2006/relationships/hyperlink" Target="https://drive.google.com/drive/folders/1JwP4lJnLGyO-yaAeCCMSvIFrc0L0M03F?usp=drive_link" TargetMode="External"/><Relationship Id="rId93" Type="http://schemas.openxmlformats.org/officeDocument/2006/relationships/hyperlink" Target="https://drive.google.com/drive/folders/1ZnBlExIc16jpQRJ5yiF_rjC2Vw5bQFo5?usp=drive_link" TargetMode="External"/><Relationship Id="rId8481" Type="http://schemas.openxmlformats.org/officeDocument/2006/relationships/hyperlink" Target="https://www.vidio.com/live/6685-champions-tv-1?schedule_id=4773369" TargetMode="External"/><Relationship Id="rId9532" Type="http://schemas.openxmlformats.org/officeDocument/2006/relationships/hyperlink" Target="https://drive.google.com/file/d/1bGAtWdCSL-v2iZg1GvRoYwXZwXVqVH3x/view" TargetMode="External"/><Relationship Id="rId11462" Type="http://schemas.openxmlformats.org/officeDocument/2006/relationships/hyperlink" Target="https://drive.google.com/file/d/1Z4xlgvT5uH20MN2nt2EvEWPCNrII8c5g/view?usp=sharing" TargetMode="External"/><Relationship Id="rId1521" Type="http://schemas.openxmlformats.org/officeDocument/2006/relationships/hyperlink" Target="https://drive.google.com/drive/folders/1EiW6NIp2MjpSFYrqlQ8Rm33gnCEW_brP" TargetMode="External"/><Relationship Id="rId7083" Type="http://schemas.openxmlformats.org/officeDocument/2006/relationships/hyperlink" Target="https://drive.google.com/file/d/1zLEku-YlVhIF9TnKxyi80PeeTBrOM_Ij/view?usp=sharing" TargetMode="External"/><Relationship Id="rId8134" Type="http://schemas.openxmlformats.org/officeDocument/2006/relationships/hyperlink" Target="https://drive.google.com/drive/folders/1Ghj3z1_bCmQSKG6Tn4qEhXJLtRq1SxKA" TargetMode="External"/><Relationship Id="rId10064" Type="http://schemas.openxmlformats.org/officeDocument/2006/relationships/hyperlink" Target="https://drive.google.com/file/d/1q65CuYvAa2qTvwBc4Yw9b6YXzefTlhT2/view?usp=sharing" TargetMode="External"/><Relationship Id="rId11115" Type="http://schemas.openxmlformats.org/officeDocument/2006/relationships/hyperlink" Target="https://thumbor.prod.vidiocdn.com/tD1-41zWdP82v3wtBoEZuDYDzJI=/filters:quality(70)/vidio-media-production/uploads/image/source/53136/68cccd.png" TargetMode="External"/><Relationship Id="rId3693" Type="http://schemas.openxmlformats.org/officeDocument/2006/relationships/hyperlink" Target="https://drive.google.com/file/d/1n5tZJjWFpqTQhiVQ8Ks8Ydo7qqYvGKq7/view?usp=sharing" TargetMode="External"/><Relationship Id="rId2295" Type="http://schemas.openxmlformats.org/officeDocument/2006/relationships/hyperlink" Target="https://drive.google.com/file/d/19Lvq5u1knV5QOCiUVOiuWV5Qj7hioASq/view?usp=sharing" TargetMode="External"/><Relationship Id="rId3346" Type="http://schemas.openxmlformats.org/officeDocument/2006/relationships/hyperlink" Target="https://drive.google.com/file/d/10ATSpwIqAzgGtcMRPvvEZNws2pyiD2s_/view?usp=drive_link" TargetMode="External"/><Relationship Id="rId4744" Type="http://schemas.openxmlformats.org/officeDocument/2006/relationships/hyperlink" Target="https://www.vidio.com/live/20110-serie-a?schedule_id=4786456" TargetMode="External"/><Relationship Id="rId267" Type="http://schemas.openxmlformats.org/officeDocument/2006/relationships/hyperlink" Target="https://drive.google.com/file/d/1AiAAHjz5pIH6tRI8agR7RQYEiZu81Ut0/view?usp=sharing" TargetMode="External"/><Relationship Id="rId7967" Type="http://schemas.openxmlformats.org/officeDocument/2006/relationships/hyperlink" Target="https://drive.google.com/file/d/1Nfd8BYqTLRQq5tY9waWUzqhOIbjqgYr4/view?usp=sharing" TargetMode="External"/><Relationship Id="rId10948" Type="http://schemas.openxmlformats.org/officeDocument/2006/relationships/hyperlink" Target="https://drive.google.com/file/d/1BmpAp2opVxTF5W-CEHccONTu9dr6eT8v/view?usp=sharing" TargetMode="External"/><Relationship Id="rId6569" Type="http://schemas.openxmlformats.org/officeDocument/2006/relationships/hyperlink" Target="https://drive.google.com/file/d/1Au0JzW8aEjWJ7JrB02uuZmdZyWFy-Ndk/view?usp=sharing" TargetMode="External"/><Relationship Id="rId12370" Type="http://schemas.openxmlformats.org/officeDocument/2006/relationships/hyperlink" Target="https://drive.google.com/file/d/1aerik-EGVX1bP7WoYaM_AMSCFqH9d2Jz/view?usp=sharing" TargetMode="External"/><Relationship Id="rId9042" Type="http://schemas.openxmlformats.org/officeDocument/2006/relationships/hyperlink" Target="https://www.vidio.com/live/19738-turkish-women-s-volleyball-league?schedule_id=4726062" TargetMode="External"/><Relationship Id="rId12023" Type="http://schemas.openxmlformats.org/officeDocument/2006/relationships/hyperlink" Target="https://drive.google.com/drive/folders/10yZ6W25MsH1Gazyf6erLQ6feN5lXYViD" TargetMode="External"/><Relationship Id="rId401" Type="http://schemas.openxmlformats.org/officeDocument/2006/relationships/hyperlink" Target="https://drive.google.com/file/d/1r3JRZTY4ISs3oOYAhS8GRbXElomf41pL/view?usp=sharing" TargetMode="External"/><Relationship Id="rId1031" Type="http://schemas.openxmlformats.org/officeDocument/2006/relationships/hyperlink" Target="https://drive.google.com/file/d/1Ug9qmxr-KiK1aXYKRnOXkphT_w3RrR5D/view?usp=sharing" TargetMode="External"/><Relationship Id="rId5652" Type="http://schemas.openxmlformats.org/officeDocument/2006/relationships/hyperlink" Target="https://www.vidio.com/live/19600-uefa-europa-league?schedule_id=4614708" TargetMode="External"/><Relationship Id="rId6703" Type="http://schemas.openxmlformats.org/officeDocument/2006/relationships/hyperlink" Target="https://drive.google.com/file/d/1YEu3m5QJi1AOWp-EUSreYzF8BWhwuwTD/view?usp=sharing" TargetMode="External"/><Relationship Id="rId4254" Type="http://schemas.openxmlformats.org/officeDocument/2006/relationships/hyperlink" Target="https://www.vidio.com/live/19404-serie-a?schedule_id=4652724" TargetMode="External"/><Relationship Id="rId5305" Type="http://schemas.openxmlformats.org/officeDocument/2006/relationships/hyperlink" Target="https://drive.google.com/file/d/19vd_d7uqp8BzeQ2mYsmcN_P6VJeEaC8s/view?usp=sharing" TargetMode="External"/><Relationship Id="rId7477" Type="http://schemas.openxmlformats.org/officeDocument/2006/relationships/hyperlink" Target="https://www.vidio.com/live/19587-top-youth-premier-league-2025-matchday-4?schedule_id=4585748" TargetMode="External"/><Relationship Id="rId8528" Type="http://schemas.openxmlformats.org/officeDocument/2006/relationships/hyperlink" Target="https://drive.google.com/drive/folders/1FSIGXYUd_NaFc4WbpjomrdIkGeedg4vh" TargetMode="External"/><Relationship Id="rId8875" Type="http://schemas.openxmlformats.org/officeDocument/2006/relationships/hyperlink" Target="https://thumbor.prod.vidiocdn.com/cX9Eib2XlveAh8jFzq8yUz1BHVE=/filters:quality(70)/vidio-media-production/uploads/image/source/52421/019256.png" TargetMode="External"/><Relationship Id="rId9926" Type="http://schemas.openxmlformats.org/officeDocument/2006/relationships/hyperlink" Target="https://drive.google.com/drive/folders/1jLHjKu-_VhpGrnpNTLYY64Ka2I7ovkAV" TargetMode="External"/><Relationship Id="rId11856" Type="http://schemas.openxmlformats.org/officeDocument/2006/relationships/hyperlink" Target="https://drive.google.com/file/d/1RvpVSYEuxwkTup3qpzOCOplWtOxx9WK3/view?usp=sharing" TargetMode="External"/><Relationship Id="rId1915" Type="http://schemas.openxmlformats.org/officeDocument/2006/relationships/hyperlink" Target="https://drive.google.com/drive/folders/1sWicJqoaSH9mlydQ6dcKIBz0rNXJ2bUv" TargetMode="External"/><Relationship Id="rId6079" Type="http://schemas.openxmlformats.org/officeDocument/2006/relationships/hyperlink" Target="https://drive.google.com/file/d/1O8edaMNK66eaUkh5sgnirr0zYFWmdtvC/view?usp=sharing" TargetMode="External"/><Relationship Id="rId10458" Type="http://schemas.openxmlformats.org/officeDocument/2006/relationships/hyperlink" Target="https://drive.google.com/drive/folders/1p945DZnl0SVtNCFlEcmqjdqlJLq8Me7r" TargetMode="External"/><Relationship Id="rId11509" Type="http://schemas.openxmlformats.org/officeDocument/2006/relationships/hyperlink" Target="https://thumbor.prod.vidiocdn.com/8xBpfwvXy7IOreE9UhOcK5EuVKE=/filters:quality(70)/vidio-media-production/uploads/image/source/53059/3ad1ce.png" TargetMode="External"/><Relationship Id="rId2689" Type="http://schemas.openxmlformats.org/officeDocument/2006/relationships/hyperlink" Target="https://drive.google.com/file/d/1aCgrJg2nq8YQTLOxh1OxmlmZ8avov4Ow/view?usp=sharing" TargetMode="External"/><Relationship Id="rId6560" Type="http://schemas.openxmlformats.org/officeDocument/2006/relationships/hyperlink" Target="https://www.vidio.com/live/19646-uefa-conference-league?schedule_id=4783297" TargetMode="External"/><Relationship Id="rId7611" Type="http://schemas.openxmlformats.org/officeDocument/2006/relationships/hyperlink" Target="https://drive.google.com/drive/folders/1A9cLyJ-lGEDL-a5e0_V6P0TIg1VLQrAD?usp=drive_link" TargetMode="External"/><Relationship Id="rId5162" Type="http://schemas.openxmlformats.org/officeDocument/2006/relationships/hyperlink" Target="https://drive.google.com/file/d/1yyti3QLhea07nEMqJS5L67Uu9NSV3fhk/view?usp=sharing" TargetMode="External"/><Relationship Id="rId6213" Type="http://schemas.openxmlformats.org/officeDocument/2006/relationships/hyperlink" Target="https://drive.google.com/drive/folders/1dWTqcUOCz6-GmPIA8KXirmhWI6BU_7-W" TargetMode="External"/><Relationship Id="rId9783" Type="http://schemas.openxmlformats.org/officeDocument/2006/relationships/hyperlink" Target="https://drive.google.com/file/d/1bGAtWdCSL-v2iZg1GvRoYwXZwXVqVH3x/view" TargetMode="External"/><Relationship Id="rId1772" Type="http://schemas.openxmlformats.org/officeDocument/2006/relationships/hyperlink" Target="https://www.vidio.com/live/19354-bri-super-league?schedule_id=4581463" TargetMode="External"/><Relationship Id="rId8385" Type="http://schemas.openxmlformats.org/officeDocument/2006/relationships/hyperlink" Target="https://www.vidio.com/live/6685-champions-tv-1?schedule_id=4726073" TargetMode="External"/><Relationship Id="rId9436" Type="http://schemas.openxmlformats.org/officeDocument/2006/relationships/hyperlink" Target="https://drive.google.com/drive/folders/1qJy4ZXdHsfMwC2yzk2pyoBLRBPhOCkb8" TargetMode="External"/><Relationship Id="rId11366" Type="http://schemas.openxmlformats.org/officeDocument/2006/relationships/hyperlink" Target="https://www.vidio.com/live/20107-top-youth-premier-league-semifinal-cup-final-cup-plate?schedule_id=4786452" TargetMode="External"/><Relationship Id="rId1425" Type="http://schemas.openxmlformats.org/officeDocument/2006/relationships/hyperlink" Target="https://drive.google.com/drive/folders/142Z4qo59_7QAEcv4N1eoxgvDFY5NKuYR?usp=drive_link" TargetMode="External"/><Relationship Id="rId2823" Type="http://schemas.openxmlformats.org/officeDocument/2006/relationships/hyperlink" Target="https://drive.google.com/file/d/1o07x3QX7ZqGJRZoS75uz-R7cf3zEeu62/view?usp=sharing" TargetMode="External"/><Relationship Id="rId8038" Type="http://schemas.openxmlformats.org/officeDocument/2006/relationships/hyperlink" Target="https://drive.google.com/drive/folders/1a6uvNHIJHyFaZu_uP78TVstsa86wy3Sp?usp=drive_link" TargetMode="External"/><Relationship Id="rId11019" Type="http://schemas.openxmlformats.org/officeDocument/2006/relationships/hyperlink" Target="https://thumbor.prod.vidiocdn.com/3QKn3BloHKVHSvT-G2fg3avYML8=/filters:quality(70)/vidio-media-production/uploads/image/source/53157/56a8f3.png" TargetMode="External"/><Relationship Id="rId12417" Type="http://schemas.openxmlformats.org/officeDocument/2006/relationships/hyperlink" Target="https://drive.google.com/file/d/1eYrHSZhFd95KyhXxrabgACyw4RU-iuHU/view?usp=sharing" TargetMode="External"/><Relationship Id="rId4995" Type="http://schemas.openxmlformats.org/officeDocument/2006/relationships/hyperlink" Target="https://drive.google.com/file/d/1jVZ3L-0l95I7binyLF60g6VHTLsXVutE/view?usp=sharing" TargetMode="External"/><Relationship Id="rId2199" Type="http://schemas.openxmlformats.org/officeDocument/2006/relationships/hyperlink" Target="https://drive.google.com/file/d/1_5LSdE0bZ6PirhvOSUDRJ4O61szeAkgD/view?usp=sharing" TargetMode="External"/><Relationship Id="rId3597" Type="http://schemas.openxmlformats.org/officeDocument/2006/relationships/hyperlink" Target="https://thumbor.prod.vidiocdn.com/mlV0n8O2R2Dry_5Z4GaX6gmoOCU=/filters:quality(70)/vidio-media-production/uploads/image/source/53055/9ba4bd.png" TargetMode="External"/><Relationship Id="rId4648" Type="http://schemas.openxmlformats.org/officeDocument/2006/relationships/hyperlink" Target="https://drive.google.com/drive/folders/1gHWqyjLjPOufW0iC77V3Lom1OyhH7SVI?usp=drive_link" TargetMode="External"/><Relationship Id="rId6070" Type="http://schemas.openxmlformats.org/officeDocument/2006/relationships/hyperlink" Target="https://drive.google.com/drive/folders/12pF6BAB_02dvjUiIQGQi5_X0ijiNGbUU?usp=drive_link" TargetMode="External"/><Relationship Id="rId11500" Type="http://schemas.openxmlformats.org/officeDocument/2006/relationships/hyperlink" Target="https://drive.google.com/drive/folders/1PLQGhXTdpO2Dn16d_fQeh332rY_0ZgN1" TargetMode="External"/><Relationship Id="rId7121" Type="http://schemas.openxmlformats.org/officeDocument/2006/relationships/hyperlink" Target="https://drive.google.com/file/d/1TfrFZS2_zitM7GXroEIV7_PxrXAeHzNX/view?usp=sharing" TargetMode="External"/><Relationship Id="rId10102" Type="http://schemas.openxmlformats.org/officeDocument/2006/relationships/hyperlink" Target="https://drive.google.com/file/d/1s3CSyWiZGeAoLYpWZFB2H5zlqleMZ55c/view?usp=sharing" TargetMode="External"/><Relationship Id="rId2680" Type="http://schemas.openxmlformats.org/officeDocument/2006/relationships/hyperlink" Target="https://drive.google.com/drive/folders/1YD9WuJVeK114lO9UuRHuqQtnmc99ULu2?usp=drive_link" TargetMode="External"/><Relationship Id="rId3731" Type="http://schemas.openxmlformats.org/officeDocument/2006/relationships/hyperlink" Target="https://drive.google.com/file/d/1RiD11A7sJiC5jbY6i5ItVQai4RYwzHC0/view?usp=sharing" TargetMode="External"/><Relationship Id="rId9293" Type="http://schemas.openxmlformats.org/officeDocument/2006/relationships/hyperlink" Target="https://www.vidio.com/live/20048-fivb-volleyball-club-world-championship-2025?schedule_id=4779489" TargetMode="External"/><Relationship Id="rId12274" Type="http://schemas.openxmlformats.org/officeDocument/2006/relationships/hyperlink" Target="https://www.vidio.com/live/20275?schedule_id=4833878" TargetMode="External"/><Relationship Id="rId652" Type="http://schemas.openxmlformats.org/officeDocument/2006/relationships/hyperlink" Target="https://drive.google.com/file/d/1DxtGHIuDvSFF1oVOLOxUTCEWiPFOjBMB/view?usp=sharing" TargetMode="External"/><Relationship Id="rId1282" Type="http://schemas.openxmlformats.org/officeDocument/2006/relationships/hyperlink" Target="https://drive.google.com/drive/folders/176HpTEUVF7Zi14WLW8aAh9WnDt_jAAS1?usp=drive_link" TargetMode="External"/><Relationship Id="rId2333" Type="http://schemas.openxmlformats.org/officeDocument/2006/relationships/hyperlink" Target="https://www.vidio.com/live/6299-bein-1?schedule_id=4520817" TargetMode="External"/><Relationship Id="rId305" Type="http://schemas.openxmlformats.org/officeDocument/2006/relationships/hyperlink" Target="https://drive.google.com/file/d/1BnglplFFv3tXP7F3bdNyRNQAjKZXjRlc/view?usp=sharing" TargetMode="External"/><Relationship Id="rId5556" Type="http://schemas.openxmlformats.org/officeDocument/2006/relationships/hyperlink" Target="https://drive.google.com/drive/folders/1vs2NPBadTfe8mkFp1C94plFN9o2qZ3M8?usp=drive_link" TargetMode="External"/><Relationship Id="rId6607" Type="http://schemas.openxmlformats.org/officeDocument/2006/relationships/hyperlink" Target="https://drive.google.com/drive/folders/1X1GpDTrFLzM2hQL5Iy1RnLJqV5QF-dQt?usp=drive_link" TargetMode="External"/><Relationship Id="rId6954" Type="http://schemas.openxmlformats.org/officeDocument/2006/relationships/hyperlink" Target="https://drive.google.com/file/d/1jBS8aMTg2VmiZ8ngOHFjrTSGsp-tHZ2n/view?usp=sharing" TargetMode="External"/><Relationship Id="rId4158" Type="http://schemas.openxmlformats.org/officeDocument/2006/relationships/hyperlink" Target="https://drive.google.com/drive/folders/1tia6v4elSjYt0ip0lAMMTPYagWB8TJZK?usp=drive_link" TargetMode="External"/><Relationship Id="rId5209" Type="http://schemas.openxmlformats.org/officeDocument/2006/relationships/hyperlink" Target="https://drive.google.com/file/d/1JsRK-ZJtu2N-cp7sPEk8fkTf1Kt4EzXl/view?usp=sharing" TargetMode="External"/><Relationship Id="rId8779" Type="http://schemas.openxmlformats.org/officeDocument/2006/relationships/hyperlink" Target="https://drive.google.com/file/d/1LhXXNzQ4VSeyNzphoXTFHTY4lQjiRHkb/view?usp=sharing" TargetMode="External"/><Relationship Id="rId11010" Type="http://schemas.openxmlformats.org/officeDocument/2006/relationships/hyperlink" Target="https://drive.google.com/file/d/1dO_dWtiZD2U_uYSz0XLQ2mX7Jijod65z/view?usp=sharing" TargetMode="External"/><Relationship Id="rId1819" Type="http://schemas.openxmlformats.org/officeDocument/2006/relationships/hyperlink" Target="https://drive.google.com/file/d/1tsldBbQ_TmUKiKq5TompJ0MgLeQo00A8/view?usp=drive_link" TargetMode="External"/><Relationship Id="rId2190" Type="http://schemas.openxmlformats.org/officeDocument/2006/relationships/hyperlink" Target="https://drive.google.com/file/d/1FDxe52AXYu5bbKNVOTvLV0UPmcRV8BI2/view?usp=drive_link" TargetMode="External"/><Relationship Id="rId3241" Type="http://schemas.openxmlformats.org/officeDocument/2006/relationships/hyperlink" Target="https://thumbor.prod.vidiocdn.com/HMjZ2pqgHny9U9hkQ41JBs7z-Eg=/filters:quality(70)/vidio-media-production/uploads/image/source/52926/465880.png" TargetMode="External"/><Relationship Id="rId7862" Type="http://schemas.openxmlformats.org/officeDocument/2006/relationships/hyperlink" Target="https://drive.google.com/file/d/1kE7P8v49dOUXpWj0Qqw-_f-sgVTbm6yK/view?usp=sharing" TargetMode="External"/><Relationship Id="rId8913" Type="http://schemas.openxmlformats.org/officeDocument/2006/relationships/hyperlink" Target="https://thumbor.prod.vidiocdn.com/_a2EoRWQrbaAhSO0QJG-5U0elHw=/filters:quality(70)/vidio-media-production/uploads/image/source/52641/4e76cb.png" TargetMode="External"/><Relationship Id="rId162" Type="http://schemas.openxmlformats.org/officeDocument/2006/relationships/hyperlink" Target="https://drive.google.com/drive/folders/1E-SiChHX8IFkkAWfrdcoH1SwbCWsIC_8?usp=drive_link" TargetMode="External"/><Relationship Id="rId6464" Type="http://schemas.openxmlformats.org/officeDocument/2006/relationships/hyperlink" Target="https://drive.google.com/drive/folders/1eUJRDZGuVQrCpj6_hI3BNJkYMqNOjnfl" TargetMode="External"/><Relationship Id="rId7515" Type="http://schemas.openxmlformats.org/officeDocument/2006/relationships/hyperlink" Target="https://drive.google.com/drive/folders/1JOlrqzLxa4Yf4ShYfiIJmUJZaOzTOhAy?usp=drive_link" TargetMode="External"/><Relationship Id="rId10843" Type="http://schemas.openxmlformats.org/officeDocument/2006/relationships/hyperlink" Target="https://drive.google.com/drive/folders/1k4rJrnBm1_a30mDdHHdCFokcDawyZlbu?usp=drive_link" TargetMode="External"/><Relationship Id="rId5066" Type="http://schemas.openxmlformats.org/officeDocument/2006/relationships/hyperlink" Target="https://www.vidio.com/live/18302-uefa-champions-league?schedule_id=4610342" TargetMode="External"/><Relationship Id="rId6117" Type="http://schemas.openxmlformats.org/officeDocument/2006/relationships/hyperlink" Target="https://drive.google.com/file/d/1qf7vd_5WXBrP7nHmKkXyH3BwRffOfQ2d/view?usp=drive_link" TargetMode="External"/><Relationship Id="rId9687" Type="http://schemas.openxmlformats.org/officeDocument/2006/relationships/hyperlink" Target="https://drive.google.com/drive/folders/1WpNLo-l1kHLBgw-buv2Y0QGrPqRMD1Bd?usp=drive_link" TargetMode="External"/><Relationship Id="rId8289" Type="http://schemas.openxmlformats.org/officeDocument/2006/relationships/hyperlink" Target="https://www.vidio.com/live/6299-bein-1?schedule_id=4724822" TargetMode="External"/><Relationship Id="rId1676" Type="http://schemas.openxmlformats.org/officeDocument/2006/relationships/hyperlink" Target="https://www.vidio.com/live/205-indosiar?schedule_id=4563113" TargetMode="External"/><Relationship Id="rId2727" Type="http://schemas.openxmlformats.org/officeDocument/2006/relationships/hyperlink" Target="https://drive.google.com/file/d/1N8K2DkyOBGqPzCm7LgfnKCZRh4yY6GYP/view?usp=drive_link" TargetMode="External"/><Relationship Id="rId1329" Type="http://schemas.openxmlformats.org/officeDocument/2006/relationships/hyperlink" Target="https://www.vidio.com/live/19404-serie-a?schedule_id=4527538" TargetMode="External"/><Relationship Id="rId4899" Type="http://schemas.openxmlformats.org/officeDocument/2006/relationships/hyperlink" Target="https://thumbor.prod.vidiocdn.com/RSgQqp10GUTVDD_7hhAlxUlpWkE=/filters:quality(70)/vidio-media-production/uploads/image/source/53086/99f854.png" TargetMode="External"/><Relationship Id="rId5200" Type="http://schemas.openxmlformats.org/officeDocument/2006/relationships/hyperlink" Target="https://drive.google.com/drive/u/0/folders/12JodSjATUl4_KldB7rWT1Z4Z5c1sehnY" TargetMode="External"/><Relationship Id="rId8770" Type="http://schemas.openxmlformats.org/officeDocument/2006/relationships/hyperlink" Target="https://drive.google.com/drive/folders/1QfvsC4o0qJOK23uLEPOrmQ1uKQAp7Bs7?usp=drive_link" TargetMode="External"/><Relationship Id="rId9821" Type="http://schemas.openxmlformats.org/officeDocument/2006/relationships/hyperlink" Target="https://www.vidio.com/live/19882-top-soccer-championship-2025-u-16-u-17-final-cup?schedule_id=4730516" TargetMode="External"/><Relationship Id="rId11751" Type="http://schemas.openxmlformats.org/officeDocument/2006/relationships/hyperlink" Target="https://drive.google.com/drive/folders/1YDoJzRVbITJy0AcI5OaDqDNaeTVYE0kX?usp=drive_link" TargetMode="External"/><Relationship Id="rId35" Type="http://schemas.openxmlformats.org/officeDocument/2006/relationships/hyperlink" Target="https://drive.google.com/file/d/1hT0Uysbiq4NNm9tCdq34lqQvf39Q2gxs/view?usp=sharing" TargetMode="External"/><Relationship Id="rId1810" Type="http://schemas.openxmlformats.org/officeDocument/2006/relationships/hyperlink" Target="https://drive.google.com/drive/u/0/folders/1UK6JOYOJJ_5a5WEmGMrjKbPOe1Q5OO4u" TargetMode="External"/><Relationship Id="rId7372" Type="http://schemas.openxmlformats.org/officeDocument/2006/relationships/hyperlink" Target="https://drive.google.com/file/d/1I5EYJsNIGtKAPL32LoMWAIV3I2zfr0zZ/view?usp=sharing" TargetMode="External"/><Relationship Id="rId8423" Type="http://schemas.openxmlformats.org/officeDocument/2006/relationships/hyperlink" Target="https://www.vidio.com/live/6685-champions-tv-1?schedule_id=4760843" TargetMode="External"/><Relationship Id="rId10353" Type="http://schemas.openxmlformats.org/officeDocument/2006/relationships/hyperlink" Target="https://www.vidio.com/live/18250-hsbc-bwf-world-tour-finals-2025-group-stage-court-2" TargetMode="External"/><Relationship Id="rId11404" Type="http://schemas.openxmlformats.org/officeDocument/2006/relationships/hyperlink" Target="https://www.vidio.com/live/19355-bri-super-league?schedule_id=4827681" TargetMode="External"/><Relationship Id="rId3982" Type="http://schemas.openxmlformats.org/officeDocument/2006/relationships/hyperlink" Target="https://drive.google.com/file/d/1DNux4glLBnqI-DzUHKvsJVIQIe0fQ_QF/view?usp=sharing" TargetMode="External"/><Relationship Id="rId7025" Type="http://schemas.openxmlformats.org/officeDocument/2006/relationships/hyperlink" Target="https://drive.google.com/file/d/1QC0MoRruJIEy6iiZ7HwSgwysemtW4_pA/view?usp=sharing" TargetMode="External"/><Relationship Id="rId10006" Type="http://schemas.openxmlformats.org/officeDocument/2006/relationships/hyperlink" Target="https://www.vidio.com/live/6299-bein-1?schedule_id=4797268" TargetMode="External"/><Relationship Id="rId2584" Type="http://schemas.openxmlformats.org/officeDocument/2006/relationships/hyperlink" Target="https://drive.google.com/drive/folders/1bd909U8uWdLemeb7w46_eoDn8yt4QcD2?usp=drive_link" TargetMode="External"/><Relationship Id="rId3635" Type="http://schemas.openxmlformats.org/officeDocument/2006/relationships/hyperlink" Target="https://drive.google.com/drive/folders/18ygFeeb6Rr-x_BhmMovGq5r_Fqt6yTUV?usp=drive_link" TargetMode="External"/><Relationship Id="rId9197" Type="http://schemas.openxmlformats.org/officeDocument/2006/relationships/hyperlink" Target="https://drive.google.com/file/d/1DNux4glLBnqI-DzUHKvsJVIQIe0fQ_QF/view?usp=sharing" TargetMode="External"/><Relationship Id="rId12178" Type="http://schemas.openxmlformats.org/officeDocument/2006/relationships/hyperlink" Target="https://www.vidio.com/live/20269-liga-topskor-greater-jakarta-pekan-pertama-u-14-lapangan-kedung-halang?schedule_id=4833850" TargetMode="External"/><Relationship Id="rId556" Type="http://schemas.openxmlformats.org/officeDocument/2006/relationships/hyperlink" Target="https://www.vidio.com/live/9183-champions-tv-6?schedule_id=4668357" TargetMode="External"/><Relationship Id="rId1186" Type="http://schemas.openxmlformats.org/officeDocument/2006/relationships/hyperlink" Target="https://drive.google.com/drive/folders/1dQ7NSik-maqKOofMQmQrDwpw5JEpUSu8" TargetMode="External"/><Relationship Id="rId2237" Type="http://schemas.openxmlformats.org/officeDocument/2006/relationships/hyperlink" Target="https://drive.google.com/file/d/12mDMJN8XMxRKwmB7Wfm3hflTk-fGb_7Z/view?usp=sharing" TargetMode="External"/><Relationship Id="rId209" Type="http://schemas.openxmlformats.org/officeDocument/2006/relationships/hyperlink" Target="https://drive.google.com/drive/folders/1L_WUbrEvccKwGovTfhSxbJBA1FSbeRjM?usp=drive_link" TargetMode="External"/><Relationship Id="rId6858" Type="http://schemas.openxmlformats.org/officeDocument/2006/relationships/hyperlink" Target="https://drive.google.com/drive/folders/1GAocAJfGoA9xqgoGyfcSL5u6SV_DlpCr?usp=drive_link" TargetMode="External"/><Relationship Id="rId7909" Type="http://schemas.openxmlformats.org/officeDocument/2006/relationships/hyperlink" Target="https://drive.google.com/file/d/1sTU_1SS3J5CPMlBcuF2ZN5m0w_JgL-Aw/view?usp=sharing" TargetMode="External"/><Relationship Id="rId8280" Type="http://schemas.openxmlformats.org/officeDocument/2006/relationships/hyperlink" Target="https://www.vidio.com/live/6299-bein-1?schedule_id=4783086" TargetMode="External"/><Relationship Id="rId9331" Type="http://schemas.openxmlformats.org/officeDocument/2006/relationships/hyperlink" Target="https://drive.google.com/file/d/1XVs3n2fBYRf-oxgL7YqluVFkwPcYGzjC/view?usp=sharing" TargetMode="External"/><Relationship Id="rId11261" Type="http://schemas.openxmlformats.org/officeDocument/2006/relationships/hyperlink" Target="https://www.vidio.com/live/19384-bri-super-league?schedule_id=4803414" TargetMode="External"/><Relationship Id="rId12312" Type="http://schemas.openxmlformats.org/officeDocument/2006/relationships/hyperlink" Target="https://www.vidio.com/live/20281" TargetMode="External"/><Relationship Id="rId1320" Type="http://schemas.openxmlformats.org/officeDocument/2006/relationships/hyperlink" Target="https://drive.google.com/file/d/1Wo8GSCeyn1zHcSuCDdAEKdcAkPCTMMEr/view?usp=sharing" TargetMode="External"/><Relationship Id="rId4890" Type="http://schemas.openxmlformats.org/officeDocument/2006/relationships/hyperlink" Target="https://drive.google.com/drive/folders/1j-4yHacXxbrkT2sYuie5pMw434AEh1wN?usp=drive_link" TargetMode="External"/><Relationship Id="rId5941" Type="http://schemas.openxmlformats.org/officeDocument/2006/relationships/hyperlink" Target="https://drive.google.com/file/d/1ar3Fyd3J7FyWUEALKt08gd42RdfiPVSH/view?usp=sharing" TargetMode="External"/><Relationship Id="rId3492" Type="http://schemas.openxmlformats.org/officeDocument/2006/relationships/hyperlink" Target="https://www.vidio.com/live/6686-champions-tv-2?schedule_id=4589893" TargetMode="External"/><Relationship Id="rId4543" Type="http://schemas.openxmlformats.org/officeDocument/2006/relationships/hyperlink" Target="https://www.vidio.com/live/19404-serie-a?schedule_id=4725610" TargetMode="External"/><Relationship Id="rId2094" Type="http://schemas.openxmlformats.org/officeDocument/2006/relationships/hyperlink" Target="https://drive.google.com/drive/folders/1udcFYKRK0Vt1A7U77z0RyG9Rx-4PmJxr" TargetMode="External"/><Relationship Id="rId3145" Type="http://schemas.openxmlformats.org/officeDocument/2006/relationships/hyperlink" Target="https://thumbor.prod.vidiocdn.com/dm5M9JLV5FK8n2tSTZ5aqeUoYiw=/filters:quality(70)/vidio-media-production/uploads/image/source/52110/a2e253.png" TargetMode="External"/><Relationship Id="rId7766" Type="http://schemas.openxmlformats.org/officeDocument/2006/relationships/hyperlink" Target="https://drive.google.com/drive/folders/10_XKUcGbjMO64-XVLJGx-hgasUasf_gX?usp=sharing" TargetMode="External"/><Relationship Id="rId8817" Type="http://schemas.openxmlformats.org/officeDocument/2006/relationships/hyperlink" Target="https://drive.google.com/file/d/1IzN0PzjWX4F-pUnBbxQEqKxacbV8OFJW/view?usp=drive_link" TargetMode="External"/><Relationship Id="rId6368" Type="http://schemas.openxmlformats.org/officeDocument/2006/relationships/hyperlink" Target="https://drive.google.com/drive/folders/1_QyyUC0KxsA5I5XnGSR_moWG1pYIaeRU" TargetMode="External"/><Relationship Id="rId7419" Type="http://schemas.openxmlformats.org/officeDocument/2006/relationships/hyperlink" Target="https://drive.google.com/file/d/199ZC9lMPURPOIH-kol_YUSZcaYjrYLLu/view?usp=drive_link" TargetMode="External"/><Relationship Id="rId10747" Type="http://schemas.openxmlformats.org/officeDocument/2006/relationships/hyperlink" Target="https://drive.google.com/drive/folders/1h90wA4ULleD8m3SEQLANM7FofEkfyMeS?usp=drive_link" TargetMode="External"/><Relationship Id="rId200" Type="http://schemas.openxmlformats.org/officeDocument/2006/relationships/hyperlink" Target="https://drive.google.com/file/d/1cTHoG3AT6xao0eNZcjgT6JeCJmD9aIfP/view?usp=drive_link" TargetMode="External"/><Relationship Id="rId2978" Type="http://schemas.openxmlformats.org/officeDocument/2006/relationships/hyperlink" Target="https://drive.google.com/file/d/1inbCxm7bYWPx0B2qrnWDFqHbTgK4uVE1/view?usp=sharing" TargetMode="External"/><Relationship Id="rId7900" Type="http://schemas.openxmlformats.org/officeDocument/2006/relationships/hyperlink" Target="https://drive.google.com/drive/folders/1T_wPhgW-XCeuJL38eJt3-L5I4--Zah8F?usp=sharing" TargetMode="External"/><Relationship Id="rId5451" Type="http://schemas.openxmlformats.org/officeDocument/2006/relationships/hyperlink" Target="https://drive.google.com/file/d/1hOF_sIPADZvhGIHlfJyj3UhY8tlkcYDQ/view?usp=share_link" TargetMode="External"/><Relationship Id="rId6502" Type="http://schemas.openxmlformats.org/officeDocument/2006/relationships/hyperlink" Target="https://drive.google.com/file/d/1JTxryD4n4i8Vvdmxz_P9cLQ7X-e1JSuu/view?usp=sharing" TargetMode="External"/><Relationship Id="rId4053" Type="http://schemas.openxmlformats.org/officeDocument/2006/relationships/hyperlink" Target="https://drive.google.com/file/d/1lRuFyMzcu3p1SUFOgypntqYpiKUYVHMk/view?usp=drive_link" TargetMode="External"/><Relationship Id="rId5104" Type="http://schemas.openxmlformats.org/officeDocument/2006/relationships/hyperlink" Target="https://drive.google.com/file/d/1tEJ-Po4_xRscKJWeXJBSQSS4ZMiYh_Qm/view?usp=sharing" TargetMode="External"/><Relationship Id="rId8674" Type="http://schemas.openxmlformats.org/officeDocument/2006/relationships/hyperlink" Target="https://www.vidio.com/live/19623-national-football-league-2025-26?schedule_id=4675118" TargetMode="External"/><Relationship Id="rId9725" Type="http://schemas.openxmlformats.org/officeDocument/2006/relationships/hyperlink" Target="https://drive.google.com/file/d/1k17qDYN1fppobSpPuckvO6b8ABu_Nsd7/view?usp=sharing" TargetMode="External"/><Relationship Id="rId11655" Type="http://schemas.openxmlformats.org/officeDocument/2006/relationships/hyperlink" Target="https://thumbor.prod.vidiocdn.com/jhZRd0tlBw_Dx3hJDILlM80I9Ps=/filters:quality(70)/vidio-media-production/uploads/image/source/53245/ea4ddf.png" TargetMode="External"/><Relationship Id="rId1714" Type="http://schemas.openxmlformats.org/officeDocument/2006/relationships/hyperlink" Target="https://drive.google.com/drive/folders/1ujHQ4IbEycIeBiEJ6y7l69KXrMGhTzie" TargetMode="External"/><Relationship Id="rId7276" Type="http://schemas.openxmlformats.org/officeDocument/2006/relationships/hyperlink" Target="https://drive.google.com/drive/folders/1LiqE1rSncMJjnxCNuQI_mD7A8eO4Lsag?usp=drive_link" TargetMode="External"/><Relationship Id="rId8327" Type="http://schemas.openxmlformats.org/officeDocument/2006/relationships/hyperlink" Target="https://drive.google.com/drive/folders/10z9DSdiOSEcizFFrpqe7m_VdCg537UEN?usp=drive_link" TargetMode="External"/><Relationship Id="rId10257" Type="http://schemas.openxmlformats.org/officeDocument/2006/relationships/hyperlink" Target="https://drive.google.com/file/d/1kCyeMQpwsUswwfby6iQt_VINJF6wgZXd/view?usp=sharing" TargetMode="External"/><Relationship Id="rId11308" Type="http://schemas.openxmlformats.org/officeDocument/2006/relationships/hyperlink" Target="https://drive.google.com/drive/folders/1qegx9jJPjYw06UwnvtHVhtX44irshfIa?usp=drive_link" TargetMode="External"/><Relationship Id="rId2488" Type="http://schemas.openxmlformats.org/officeDocument/2006/relationships/hyperlink" Target="https://drive.google.com/drive/folders/1OaLIp6HFvH8TyaeVEqGxIV3HFrziJkWO?usp=drive_link" TargetMode="External"/><Relationship Id="rId3886" Type="http://schemas.openxmlformats.org/officeDocument/2006/relationships/hyperlink" Target="https://drive.google.com/file/d/1AEoslGA0gRFYu574rwMzHOLuKdm3vfTH/view?usp=sharing" TargetMode="External"/><Relationship Id="rId4937" Type="http://schemas.openxmlformats.org/officeDocument/2006/relationships/hyperlink" Target="https://drive.google.com/drive/folders/1uxBYsnz0cBzIxuk4k_-zFC7O-JZhmG0k" TargetMode="External"/><Relationship Id="rId3539" Type="http://schemas.openxmlformats.org/officeDocument/2006/relationships/hyperlink" Target="https://drive.google.com/drive/u/0/folders/1B70p9yJk_Pvq-T4M45WD9u5eSsILgbrz" TargetMode="External"/><Relationship Id="rId6012" Type="http://schemas.openxmlformats.org/officeDocument/2006/relationships/hyperlink" Target="https://drive.google.com/file/d/19X0_M2In9_xbBsbHY35dkUlvPHii8Vhx/view?usp=sharing" TargetMode="External"/><Relationship Id="rId7410" Type="http://schemas.openxmlformats.org/officeDocument/2006/relationships/hyperlink" Target="https://drive.google.com/file/d/1MkVLoRI5nzPV_MZlYM7Evu7WQeFIMpl1/view?usp=sharing" TargetMode="External"/><Relationship Id="rId9582" Type="http://schemas.openxmlformats.org/officeDocument/2006/relationships/hyperlink" Target="https://drive.google.com/file/d/16JC6a99eoSbYGsW72zg2srnowC4zCPBd/view?usp=sharing" TargetMode="External"/><Relationship Id="rId941" Type="http://schemas.openxmlformats.org/officeDocument/2006/relationships/hyperlink" Target="https://drive.google.com/file/d/1fyPH-b0IrNqv-VWGfdU1CK-aP6FppJ_0/view?usp=sharing" TargetMode="External"/><Relationship Id="rId1571" Type="http://schemas.openxmlformats.org/officeDocument/2006/relationships/hyperlink" Target="https://drive.google.com/file/d/1KULemMHmH_1XBpkwNino2tQhdHmblVgq/view?usp=sharing" TargetMode="External"/><Relationship Id="rId2622" Type="http://schemas.openxmlformats.org/officeDocument/2006/relationships/hyperlink" Target="https://www.vidio.com/live/6299-bein-1?schedule_id=4598333" TargetMode="External"/><Relationship Id="rId8184" Type="http://schemas.openxmlformats.org/officeDocument/2006/relationships/hyperlink" Target="https://www.vidio.com/live/17139-spotv?schedule_id=4655725" TargetMode="External"/><Relationship Id="rId9235" Type="http://schemas.openxmlformats.org/officeDocument/2006/relationships/hyperlink" Target="https://drive.google.com/file/d/1bGAtWdCSL-v2iZg1GvRoYwXZwXVqVH3x/view?usp=drive_link" TargetMode="External"/><Relationship Id="rId11165" Type="http://schemas.openxmlformats.org/officeDocument/2006/relationships/hyperlink" Target="https://drive.google.com/file/d/1XqMCxzjpg0OUZ3ei5z0JVktGgOQhhvf4/view?usp=sharing" TargetMode="External"/><Relationship Id="rId12216" Type="http://schemas.openxmlformats.org/officeDocument/2006/relationships/hyperlink" Target="https://drive.google.com/file/d/17nqJ8YbOWxi4DOQmMA4_VvY1qMuE4tM4/view?usp=sharing" TargetMode="External"/><Relationship Id="rId1224" Type="http://schemas.openxmlformats.org/officeDocument/2006/relationships/hyperlink" Target="https://thumbor.prod.vidiocdn.com/ZE1Q16Ds5XsDdyjv6_Sozeof4d0=/filters:quality(70)/vidio-media-production/uploads/image/source/52833/f77e3c.png" TargetMode="External"/><Relationship Id="rId4794" Type="http://schemas.openxmlformats.org/officeDocument/2006/relationships/hyperlink" Target="https://thumbor.prod.vidiocdn.com/r2xFMO0yScG3dZLbB_d46vIRoAk=/filters:quality(70)/vidio-media-production/uploads/image/source/52625/b13318.png" TargetMode="External"/><Relationship Id="rId5845" Type="http://schemas.openxmlformats.org/officeDocument/2006/relationships/hyperlink" Target="https://drive.google.com/drive/folders/13eQLR64HrKbyWDLlQsn3dQSDucgsN6sA?usp=drive_link" TargetMode="External"/><Relationship Id="rId3396" Type="http://schemas.openxmlformats.org/officeDocument/2006/relationships/hyperlink" Target="https://drive.google.com/file/d/1AzkOeUMQSwypYl3-S3CbWI4ZYQv0WsVI/view?usp=sharing" TargetMode="External"/><Relationship Id="rId4447" Type="http://schemas.openxmlformats.org/officeDocument/2006/relationships/hyperlink" Target="https://drive.google.com/file/d/1FXuHJ4Lnb986Hc3piJhvT6YyYD7O0l1V/view?usp=sharing" TargetMode="External"/><Relationship Id="rId3049" Type="http://schemas.openxmlformats.org/officeDocument/2006/relationships/hyperlink" Target="https://drive.google.com/file/d/1IdCLft-rd3uYf0wAtKql-_1jjFP2P3fV/view?usp=drive_link" TargetMode="External"/><Relationship Id="rId10998" Type="http://schemas.openxmlformats.org/officeDocument/2006/relationships/hyperlink" Target="https://thumbor.prod.vidiocdn.com/dycm7AsFOntV8-Bnu8618ecpf8U=/filters:quality(70)/vidio-media-production/uploads/image/source/53146/d49924.png" TargetMode="External"/><Relationship Id="rId9092" Type="http://schemas.openxmlformats.org/officeDocument/2006/relationships/hyperlink" Target="https://www.vidio.com/live/19737-turkish-men-s-volleyball-league?schedule_id=4739850" TargetMode="External"/><Relationship Id="rId1081" Type="http://schemas.openxmlformats.org/officeDocument/2006/relationships/hyperlink" Target="https://thumbor.prod.vidiocdn.com/EUpEduB6OQm9w7MfZtazwgYURM0=/filters:quality(70)/vidio-media-production/uploads/image/source/52491/d744fa.png" TargetMode="External"/><Relationship Id="rId3530" Type="http://schemas.openxmlformats.org/officeDocument/2006/relationships/hyperlink" Target="https://drive.google.com/drive/folders/1QgDcwVGAVF7itanmN-FPf50QKaOJD0cp" TargetMode="External"/><Relationship Id="rId12073" Type="http://schemas.openxmlformats.org/officeDocument/2006/relationships/hyperlink" Target="https://drive.google.com/file/d/1khQrXXQF4DXWbEvpQ5PrFElQfRn5_sMl/view?usp=sharing" TargetMode="External"/><Relationship Id="rId451" Type="http://schemas.openxmlformats.org/officeDocument/2006/relationships/hyperlink" Target="https://drive.google.com/file/d/1nGc2ERwrHfbwwot8E2qFe6Daue5GQiPs/view?usp=sharing" TargetMode="External"/><Relationship Id="rId2132" Type="http://schemas.openxmlformats.org/officeDocument/2006/relationships/hyperlink" Target="https://drive.google.com/file/d/1EWoZF8eYYBMzCqyj-mKM3H7Sw7di8TU8/view?usp=sharing" TargetMode="External"/><Relationship Id="rId6753" Type="http://schemas.openxmlformats.org/officeDocument/2006/relationships/hyperlink" Target="https://www.vidio.com/live/19519?schedule_id=4553300" TargetMode="External"/><Relationship Id="rId7804" Type="http://schemas.openxmlformats.org/officeDocument/2006/relationships/hyperlink" Target="https://drive.google.com/file/d/1xvt5PHrtHru2fvFXmFzTmWmDKqnSCLwe/view?usp=drive_link" TargetMode="External"/><Relationship Id="rId104" Type="http://schemas.openxmlformats.org/officeDocument/2006/relationships/hyperlink" Target="https://drive.google.com/file/d/1QTYKjmpKnlfaKwF8meFJh8X80gr8JwcA/view?usp=sharing" TargetMode="External"/><Relationship Id="rId5355" Type="http://schemas.openxmlformats.org/officeDocument/2006/relationships/hyperlink" Target="https://drive.google.com/drive/folders/1yTvBoXWIIwY7e3pv4pr0Y6_mPBiYOZwc" TargetMode="External"/><Relationship Id="rId6406" Type="http://schemas.openxmlformats.org/officeDocument/2006/relationships/hyperlink" Target="https://www.vidio.com/live/19647-uefa-conference-league?schedule_id=4734891" TargetMode="External"/><Relationship Id="rId9976" Type="http://schemas.openxmlformats.org/officeDocument/2006/relationships/hyperlink" Target="https://drive.google.com/drive/folders/1Fv5imM61XSXIPehGL5WOxv13SKllwcHR?usp=drive_link" TargetMode="External"/><Relationship Id="rId5008" Type="http://schemas.openxmlformats.org/officeDocument/2006/relationships/hyperlink" Target="https://www.vidio.com/live/18305-uefa-champions-league?schedule_id=4602544" TargetMode="External"/><Relationship Id="rId8578" Type="http://schemas.openxmlformats.org/officeDocument/2006/relationships/hyperlink" Target="https://drive.google.com/drive/folders/1igDHmbA4Mjk7Fc7GThQEN_dZo09OH-Ls" TargetMode="External"/><Relationship Id="rId9629" Type="http://schemas.openxmlformats.org/officeDocument/2006/relationships/hyperlink" Target="https://drive.google.com/file/d/1c6cKzmMPq_W-KL_gLULGPkyxq-ImwEzh/view?usp=sharing" TargetMode="External"/><Relationship Id="rId1965" Type="http://schemas.openxmlformats.org/officeDocument/2006/relationships/hyperlink" Target="https://drive.google.com/file/d/1qIBFgX8av1JV_NrZxboKpc6V_B-WWZUt/view?usp=sharing" TargetMode="External"/><Relationship Id="rId11559" Type="http://schemas.openxmlformats.org/officeDocument/2006/relationships/hyperlink" Target="https://www.vidio.com/live/17139-spotv?schedule_id=4827322" TargetMode="External"/><Relationship Id="rId1618" Type="http://schemas.openxmlformats.org/officeDocument/2006/relationships/hyperlink" Target="https://drive.google.com/drive/folders/1nyKUUyr6kiqG4SFcbhStnCRfNhqct17a" TargetMode="External"/><Relationship Id="rId3040" Type="http://schemas.openxmlformats.org/officeDocument/2006/relationships/hyperlink" Target="https://thumbor.prod.vidiocdn.com/O1bVZXU5qF5x8_lR03x5eeuLkmc=/filters:quality(70)/vidio-media-production/uploads/image/source/51620/2d1b82.png" TargetMode="External"/><Relationship Id="rId7661" Type="http://schemas.openxmlformats.org/officeDocument/2006/relationships/hyperlink" Target="https://drive.google.com/file/d/1vv9g3MzzLSkxiY6-Mjca8iyfffRPKmzg/view?usp=sharing" TargetMode="External"/><Relationship Id="rId8712" Type="http://schemas.openxmlformats.org/officeDocument/2006/relationships/hyperlink" Target="https://drive.google.com/file/d/1DNux4glLBnqI-DzUHKvsJVIQIe0fQ_QF/view?usp=sharing" TargetMode="External"/><Relationship Id="rId10642" Type="http://schemas.openxmlformats.org/officeDocument/2006/relationships/hyperlink" Target="https://www.vidio.com/live/20067-top-youth-premier-league-pekan-ke-15?schedule_id=4776345" TargetMode="External"/><Relationship Id="rId6263" Type="http://schemas.openxmlformats.org/officeDocument/2006/relationships/hyperlink" Target="https://drive.google.com/file/d/1L12oRKUaLFmqvNP5ZOJ5o1m-3G4Sg6H2/view?usp=sharing" TargetMode="External"/><Relationship Id="rId7314" Type="http://schemas.openxmlformats.org/officeDocument/2006/relationships/hyperlink" Target="https://www.vidio.com/live/19548-national-football-league-2025-26?schedule_id=4587127" TargetMode="External"/><Relationship Id="rId2873" Type="http://schemas.openxmlformats.org/officeDocument/2006/relationships/hyperlink" Target="https://drive.google.com/drive/folders/1EjFTzZaElM_nUUnRO1yv537xq-gd78P_?usp=drive_link" TargetMode="External"/><Relationship Id="rId3924" Type="http://schemas.openxmlformats.org/officeDocument/2006/relationships/hyperlink" Target="https://drive.google.com/file/d/14MVyT4I99iYsUGEwa8obT6nY5Hye5qqX/view?usp=sharing" TargetMode="External"/><Relationship Id="rId9486" Type="http://schemas.openxmlformats.org/officeDocument/2006/relationships/hyperlink" Target="https://drive.google.com/file/d/1rw5dyJqLt4YtR86bhoTWYSPWe6yHiFx1/view?usp=sharing" TargetMode="External"/><Relationship Id="rId845" Type="http://schemas.openxmlformats.org/officeDocument/2006/relationships/hyperlink" Target="https://drive.google.com/file/d/1EAGaju6RSQ5iHJoNAkkOEiafWaZ_OEp0/view?usp=sharing" TargetMode="External"/><Relationship Id="rId1475" Type="http://schemas.openxmlformats.org/officeDocument/2006/relationships/hyperlink" Target="https://drive.google.com/file/d/1vjfWmYFiTMjZWHRqUnAqnAFtMrALWzAV/view?usp=sharing" TargetMode="External"/><Relationship Id="rId2526" Type="http://schemas.openxmlformats.org/officeDocument/2006/relationships/hyperlink" Target="https://drive.google.com/drive/folders/1IdoUJJ6vD2gHL0b6O0VDsYZifzuJA5EY?usp=drive_link" TargetMode="External"/><Relationship Id="rId8088" Type="http://schemas.openxmlformats.org/officeDocument/2006/relationships/hyperlink" Target="https://drive.google.com/file/d/1rRsrma4nlP_BIrJmGTJzTbmWlYb9XQTj/view?usp=drive_link" TargetMode="External"/><Relationship Id="rId9139" Type="http://schemas.openxmlformats.org/officeDocument/2006/relationships/hyperlink" Target="https://drive.google.com/file/d/1MzaXMd2R7OnpX4S0fqe_gh9xhxEJ4Utc/view?usp=sharing" TargetMode="External"/><Relationship Id="rId11069" Type="http://schemas.openxmlformats.org/officeDocument/2006/relationships/hyperlink" Target="https://thumbor.prod.vidiocdn.com/5uyFicps2Aht9eWZs-T4pes75dI=/filters:quality(70)/vidio-media-production/uploads/image/source/52329/d6f2f2.png" TargetMode="External"/><Relationship Id="rId1128" Type="http://schemas.openxmlformats.org/officeDocument/2006/relationships/hyperlink" Target="https://drive.google.com/file/d/1lCctFsrHOVjXagUZcxlkPaJblBQKPcuS/view?usp=sharing" TargetMode="External"/><Relationship Id="rId4698" Type="http://schemas.openxmlformats.org/officeDocument/2006/relationships/hyperlink" Target="https://drive.google.com/file/d/18n2SrB4BQ0FTG77XVn8_O3RjTGdRTMMj/view?usp=drive_link" TargetMode="External"/><Relationship Id="rId5749" Type="http://schemas.openxmlformats.org/officeDocument/2006/relationships/hyperlink" Target="https://drive.google.com/drive/folders/1Xlp5aunryVlWR8atbAp6mL9dfJO63aR4?usp=drive_link" TargetMode="External"/><Relationship Id="rId7171" Type="http://schemas.openxmlformats.org/officeDocument/2006/relationships/hyperlink" Target="https://drive.google.com/drive/folders/1NepG6XT-FSa8Cs07sX3tPfQWLNpJfAxp" TargetMode="External"/><Relationship Id="rId8222" Type="http://schemas.openxmlformats.org/officeDocument/2006/relationships/hyperlink" Target="https://drive.google.com/drive/u/0/folders/1qNgC7SfICmkoPXWcUwDTU_8m9lKg89-2" TargetMode="External"/><Relationship Id="rId9620" Type="http://schemas.openxmlformats.org/officeDocument/2006/relationships/hyperlink" Target="https://drive.google.com/file/d/16uj4uSWDdn_0rcGukbHOZE51sWU-veUN/view?usp=sharing" TargetMode="External"/><Relationship Id="rId11550" Type="http://schemas.openxmlformats.org/officeDocument/2006/relationships/hyperlink" Target="https://drive.google.com/file/d/1Ku30o4myRM_iHIscTpg_y4UhF19NNB4J/view?usp=sharing" TargetMode="External"/><Relationship Id="rId10152" Type="http://schemas.openxmlformats.org/officeDocument/2006/relationships/hyperlink" Target="https://www.vidio.com/live/19737-turkish-volleyball-league?schedule_id=4758890" TargetMode="External"/><Relationship Id="rId11203" Type="http://schemas.openxmlformats.org/officeDocument/2006/relationships/hyperlink" Target="https://drive.google.com/drive/folders/10p0361tp8EE62w4qfBku53TvwybfWsjx" TargetMode="External"/><Relationship Id="rId3781" Type="http://schemas.openxmlformats.org/officeDocument/2006/relationships/hyperlink" Target="https://drive.google.com/file/d/1O5jpeEt50_R8nvJ0Sms3T3N3o6O1jlDM/view?usp=sharing" TargetMode="External"/><Relationship Id="rId4832" Type="http://schemas.openxmlformats.org/officeDocument/2006/relationships/hyperlink" Target="https://thumbor.prod.vidiocdn.com/atcFspQJhb0304qRZ27nF8w21Q0=/filters:quality(70)/vidio-media-production/uploads/image/source/52693/8a25e9.png" TargetMode="External"/><Relationship Id="rId2383" Type="http://schemas.openxmlformats.org/officeDocument/2006/relationships/hyperlink" Target="https://drive.google.com/file/d/1RNp9_3l7IvXWjwke9ato9E5yrW5xgv8o/view?usp=drive_link" TargetMode="External"/><Relationship Id="rId3434" Type="http://schemas.openxmlformats.org/officeDocument/2006/relationships/hyperlink" Target="https://drive.google.com/drive/folders/1uYdXOxlMAm5kbsog6UgqfrB_lgK-t141?usp=drive_link" TargetMode="External"/><Relationship Id="rId355" Type="http://schemas.openxmlformats.org/officeDocument/2006/relationships/hyperlink" Target="https://drive.google.com/file/d/11IgM4P84SVvOvfzBaqstMlOlMA9Laus_/view?usp=sharing" TargetMode="External"/><Relationship Id="rId2036" Type="http://schemas.openxmlformats.org/officeDocument/2006/relationships/hyperlink" Target="https://drive.google.com/file/d/1GcVV-O_dLikm7BqhiX_Qxw8U-wzpSbQ8/view?usp=sharing" TargetMode="External"/><Relationship Id="rId6657" Type="http://schemas.openxmlformats.org/officeDocument/2006/relationships/hyperlink" Target="https://drive.google.com/file/d/1PFFFp6NxFmneqdc1z8EWo2vYzvwf1y3e/view?usp=sharing" TargetMode="External"/><Relationship Id="rId7708" Type="http://schemas.openxmlformats.org/officeDocument/2006/relationships/hyperlink" Target="https://drive.google.com/file/d/1ZGRTj6fj5DvCbA8qUB9u_nrBS7OAZzHC/view?usp=sharing" TargetMode="External"/><Relationship Id="rId5259" Type="http://schemas.openxmlformats.org/officeDocument/2006/relationships/hyperlink" Target="https://drive.google.com/file/d/1hxgpFTMe7pU5kQ9wEXz6H33jtkDkcDMJ/view?usp=sharing" TargetMode="External"/><Relationship Id="rId9130" Type="http://schemas.openxmlformats.org/officeDocument/2006/relationships/hyperlink" Target="https://drive.google.com/drive/folders/1xLMl4QxxEcob90MfCjWi9vA9WB1FRkgf?usp=drive_link" TargetMode="External"/><Relationship Id="rId11060" Type="http://schemas.openxmlformats.org/officeDocument/2006/relationships/hyperlink" Target="https://drive.google.com/file/d/1ZoPFsY9KhmPDkAban_hHPLg0rC8nN32F/view?usp=sharing" TargetMode="External"/><Relationship Id="rId12111" Type="http://schemas.openxmlformats.org/officeDocument/2006/relationships/hyperlink" Target="https://drive.google.com/drive/folders/1y_mGPCoON9jW62Lb8x5K2d_YVzyt7dym" TargetMode="External"/><Relationship Id="rId1869" Type="http://schemas.openxmlformats.org/officeDocument/2006/relationships/hyperlink" Target="https://drive.google.com/drive/folders/1G7_sjj_YcBoFeWU8cnWkbjVkCTJu3785" TargetMode="External"/><Relationship Id="rId3291" Type="http://schemas.openxmlformats.org/officeDocument/2006/relationships/hyperlink" Target="https://www.vidio.com/live/19355-bri-super-league?schedule_id=4486136" TargetMode="External"/><Relationship Id="rId5740" Type="http://schemas.openxmlformats.org/officeDocument/2006/relationships/hyperlink" Target="https://drive.google.com/file/d/1jNFH_PHk6g-zIs556_eUwu5dyai0ROSz/view?usp=sharing" TargetMode="External"/><Relationship Id="rId4342" Type="http://schemas.openxmlformats.org/officeDocument/2006/relationships/hyperlink" Target="https://drive.google.com/file/d/1DcFurb9K-RIVkqq0CbxTL8mZbAe4SOVV/view?usp=sharing" TargetMode="External"/><Relationship Id="rId8963" Type="http://schemas.openxmlformats.org/officeDocument/2006/relationships/hyperlink" Target="https://drive.google.com/file/d/1jEF_okIQBRO-Yk0TS1zeLM4ArRcfhhAV/view?usp=sharing" TargetMode="External"/><Relationship Id="rId10893" Type="http://schemas.openxmlformats.org/officeDocument/2006/relationships/hyperlink" Target="https://drive.google.com/file/d/1vSujjxl1DqBd-hytOhw51ET3ODXfYICA/view?usp=sharing" TargetMode="External"/><Relationship Id="rId11944" Type="http://schemas.openxmlformats.org/officeDocument/2006/relationships/hyperlink" Target="https://www.vidio.com/live/18249-petronas-malaysia-open-2026-round-of-32-court-1?schedule_id=4832170" TargetMode="External"/><Relationship Id="rId7565" Type="http://schemas.openxmlformats.org/officeDocument/2006/relationships/hyperlink" Target="https://www.vidio.com/live/6299-bein-1?schedule_id=4613304" TargetMode="External"/><Relationship Id="rId8616" Type="http://schemas.openxmlformats.org/officeDocument/2006/relationships/hyperlink" Target="https://drive.google.com/file/d/1iXGzb4oQocowhKHXAN5PhF1OTO00gXWK/view?usp=sharing" TargetMode="External"/><Relationship Id="rId10546" Type="http://schemas.openxmlformats.org/officeDocument/2006/relationships/hyperlink" Target="https://www.vidio.com/live/17875-bein-2?schedule_id=4819766" TargetMode="External"/><Relationship Id="rId6167" Type="http://schemas.openxmlformats.org/officeDocument/2006/relationships/hyperlink" Target="https://drive.google.com/drive/folders/1Cfqaz2Mue3fIL8QPF5vYTBm7vPubIscb?usp=drive_link" TargetMode="External"/><Relationship Id="rId7218" Type="http://schemas.openxmlformats.org/officeDocument/2006/relationships/hyperlink" Target="https://drive.google.com/file/d/1WNfJdBZg5GRBaiDLqYZZ9LRBnuzrdNYW/view?usp=sharing" TargetMode="External"/><Relationship Id="rId2777" Type="http://schemas.openxmlformats.org/officeDocument/2006/relationships/hyperlink" Target="https://drive.google.com/file/d/1wkmvEz1Whe1SazYK6nALkb5R-4Ro2KfJ/view?usp=sharing" TargetMode="External"/><Relationship Id="rId749" Type="http://schemas.openxmlformats.org/officeDocument/2006/relationships/hyperlink" Target="https://drive.google.com/file/d/1AkWM1lCkX1FnBcGUTLL55__Wll8kBlPQ/view?usp=sharing" TargetMode="External"/><Relationship Id="rId1379" Type="http://schemas.openxmlformats.org/officeDocument/2006/relationships/hyperlink" Target="https://drive.google.com/file/d/1ZIIF2LphRAZI81Af2xQ-KC2ALHcoYfvj/view?usp=sharing" TargetMode="External"/><Relationship Id="rId3828" Type="http://schemas.openxmlformats.org/officeDocument/2006/relationships/hyperlink" Target="https://drive.google.com/drive/folders/1wknfx6iQM6ud81YofECkS9DM6xhqn2eV?usp=sharing" TargetMode="External"/><Relationship Id="rId5250" Type="http://schemas.openxmlformats.org/officeDocument/2006/relationships/hyperlink" Target="https://www.vidio.com/live/18302-uefa-champions-league?schedule_id=4680955" TargetMode="External"/><Relationship Id="rId6301" Type="http://schemas.openxmlformats.org/officeDocument/2006/relationships/hyperlink" Target="https://drive.google.com/drive/folders/1RWM0eQg2NZfyi3wU9vOg76HlJbjSmKhe" TargetMode="External"/><Relationship Id="rId9871" Type="http://schemas.openxmlformats.org/officeDocument/2006/relationships/hyperlink" Target="https://drive.google.com/file/d/1bGAtWdCSL-v2iZg1GvRoYwXZwXVqVH3x/view?usp=sharing" TargetMode="External"/><Relationship Id="rId85" Type="http://schemas.openxmlformats.org/officeDocument/2006/relationships/hyperlink" Target="https://www.vidio.com/live/9183-champions-tv-6?schedule_id=4499322" TargetMode="External"/><Relationship Id="rId1860" Type="http://schemas.openxmlformats.org/officeDocument/2006/relationships/hyperlink" Target="https://drive.google.com/file/d/10l10NeQaR1TR56eM9Nlv2aKD11CVCHR-/view?usp=drive_link" TargetMode="External"/><Relationship Id="rId2911" Type="http://schemas.openxmlformats.org/officeDocument/2006/relationships/hyperlink" Target="https://drive.google.com/file/d/1XGF7-FGGFbRJaU-QFnCHrqfIZszu1i72/view?usp=sharing" TargetMode="External"/><Relationship Id="rId7075" Type="http://schemas.openxmlformats.org/officeDocument/2006/relationships/hyperlink" Target="https://drive.google.com/file/d/1kKsQ8XKmzHAXN0AVaQsXXGZ9RAkFcqLF/view?usp=sharing" TargetMode="External"/><Relationship Id="rId8473" Type="http://schemas.openxmlformats.org/officeDocument/2006/relationships/hyperlink" Target="https://thumbor.prod.vidiocdn.com/rICfhj5M7L8pz2L20wjkgUldMTk=/filters:quality(70)/vidio-media-production/uploads/image/source/52053/7991f3.png" TargetMode="External"/><Relationship Id="rId9524" Type="http://schemas.openxmlformats.org/officeDocument/2006/relationships/hyperlink" Target="https://drive.google.com/drive/folders/1KWWHE82aduwc6unbtA6YOcEOW4hOjvIz" TargetMode="External"/><Relationship Id="rId11454" Type="http://schemas.openxmlformats.org/officeDocument/2006/relationships/hyperlink" Target="https://www.vidio.com/live/6685-champions-tv-1?schedule_id=4797000" TargetMode="External"/><Relationship Id="rId1513" Type="http://schemas.openxmlformats.org/officeDocument/2006/relationships/hyperlink" Target="https://drive.google.com/file/d/10BgMYo4tgdAs5Hq4CpAMn7qQsQv7iUJo/view?usp=sharing" TargetMode="External"/><Relationship Id="rId8126" Type="http://schemas.openxmlformats.org/officeDocument/2006/relationships/hyperlink" Target="https://www.vidio.com/live/19543-pegadaian-championship-2025-26?schedule_id=4709321" TargetMode="External"/><Relationship Id="rId10056" Type="http://schemas.openxmlformats.org/officeDocument/2006/relationships/hyperlink" Target="https://drive.google.com/file/d/1kLXbzR_iFIjn7oauoIW6RiWmrcsqC_2R/view?usp=sharing" TargetMode="External"/><Relationship Id="rId11107" Type="http://schemas.openxmlformats.org/officeDocument/2006/relationships/hyperlink" Target="https://www.vidio.com/live/17140-spotv-2?schedule_id=4795181" TargetMode="External"/><Relationship Id="rId3685" Type="http://schemas.openxmlformats.org/officeDocument/2006/relationships/hyperlink" Target="https://drive.google.com/file/d/1slLokRhaN3XTKy8b_X91PkoCuateeJCX/view?usp=sharing" TargetMode="External"/><Relationship Id="rId4736" Type="http://schemas.openxmlformats.org/officeDocument/2006/relationships/hyperlink" Target="https://thumbor.prod.vidiocdn.com/kZo8L1erXnLa6MaODDqAiBcB1sk=/filters:quality(70)/vidio-media-production/uploads/image/source/52028/83e34c.png" TargetMode="External"/><Relationship Id="rId2287" Type="http://schemas.openxmlformats.org/officeDocument/2006/relationships/hyperlink" Target="https://drive.google.com/drive/folders/11sR2YqpDZ3WzLf7FDC0vqtDwA-ROB9Kc?usp=drive_link" TargetMode="External"/><Relationship Id="rId3338" Type="http://schemas.openxmlformats.org/officeDocument/2006/relationships/hyperlink" Target="https://drive.google.com/file/d/1r1LgDGVCb1WjK6pEdtDlikEDqdrfxg9o/view?usp=sharing" TargetMode="External"/><Relationship Id="rId7959" Type="http://schemas.openxmlformats.org/officeDocument/2006/relationships/hyperlink" Target="https://drive.google.com/file/d/1VGpXnupDiPDW6U0-SV8tl-3I9gLDmhZ4/view?usp=sharing" TargetMode="External"/><Relationship Id="rId259" Type="http://schemas.openxmlformats.org/officeDocument/2006/relationships/hyperlink" Target="https://drive.google.com/file/d/1p6GUVcF4JKymV2NtKpz3lpm46rH9edaQ/view?usp=sharing" TargetMode="External"/><Relationship Id="rId9381" Type="http://schemas.openxmlformats.org/officeDocument/2006/relationships/hyperlink" Target="https://drive.google.com/drive/folders/1jvz8daBb8vQWQsP7qFMsbZ-2MgwDL-GC" TargetMode="External"/><Relationship Id="rId1370" Type="http://schemas.openxmlformats.org/officeDocument/2006/relationships/hyperlink" Target="https://www.vidio.com/live/19404-serie-a?schedule_id=4557261" TargetMode="External"/><Relationship Id="rId9034" Type="http://schemas.openxmlformats.org/officeDocument/2006/relationships/hyperlink" Target="https://www.vidio.com/live/19738-turkish-women-s-volleyball-league?schedule_id=4717745" TargetMode="External"/><Relationship Id="rId12362" Type="http://schemas.openxmlformats.org/officeDocument/2006/relationships/hyperlink" Target="https://drive.google.com/file/d/1aerik-EGVX1bP7WoYaM_AMSCFqH9d2Jz/view?usp=sharing" TargetMode="External"/><Relationship Id="rId740" Type="http://schemas.openxmlformats.org/officeDocument/2006/relationships/hyperlink" Target="https://drive.google.com/drive/folders/1uhJs0XWrw5MpjvNxq26-eXCSMR0UWHi-?usp=drive_link" TargetMode="External"/><Relationship Id="rId1023" Type="http://schemas.openxmlformats.org/officeDocument/2006/relationships/hyperlink" Target="https://drive.google.com/file/d/1DEe9p0A6xxRnje21YTktXvU9VL6n5P2q/view?usp=sharing" TargetMode="External"/><Relationship Id="rId2421" Type="http://schemas.openxmlformats.org/officeDocument/2006/relationships/hyperlink" Target="https://drive.google.com/drive/folders/1JwP4lJnLGyO-yaAeCCMSvIFrc0L0M03F?usp=drive_link" TargetMode="External"/><Relationship Id="rId5991" Type="http://schemas.openxmlformats.org/officeDocument/2006/relationships/hyperlink" Target="https://drive.google.com/file/d/1jVzDndGiHg6NQNIT7ai_uX0QA-rEFPiK/view?usp=sharing" TargetMode="External"/><Relationship Id="rId12015" Type="http://schemas.openxmlformats.org/officeDocument/2006/relationships/hyperlink" Target="https://drive.google.com/drive/folders/10yZ6W25MsH1Gazyf6erLQ6feN5lXYViD" TargetMode="External"/><Relationship Id="rId4593" Type="http://schemas.openxmlformats.org/officeDocument/2006/relationships/hyperlink" Target="https://www.vidio.com/live/19404-serie-a?schedule_id=4741003" TargetMode="External"/><Relationship Id="rId5644" Type="http://schemas.openxmlformats.org/officeDocument/2006/relationships/hyperlink" Target="https://drive.google.com/drive/folders/1-v2k9mkE5Wr7vtcZPt5z5lBJb1kpLRxM?usp=drive_link" TargetMode="External"/><Relationship Id="rId3195" Type="http://schemas.openxmlformats.org/officeDocument/2006/relationships/hyperlink" Target="https://www.vidio.com/live/6299-bein-1?schedule_id=4819773" TargetMode="External"/><Relationship Id="rId4246" Type="http://schemas.openxmlformats.org/officeDocument/2006/relationships/hyperlink" Target="https://drive.google.com/file/d/1ozGnTYRSj4x5YbFx8Y3MsS3SkTs4QfS_/view?usp=sharing" TargetMode="External"/><Relationship Id="rId8867" Type="http://schemas.openxmlformats.org/officeDocument/2006/relationships/hyperlink" Target="https://thumbor.prod.vidiocdn.com/XA-TL3_7Ib63b9J_O0CegYb0d-4=/filters:quality(70)/vidio-media-production/uploads/image/source/52152/17c1db.png" TargetMode="External"/><Relationship Id="rId9918" Type="http://schemas.openxmlformats.org/officeDocument/2006/relationships/hyperlink" Target="https://drive.google.com/file/d/1hIfJ992FoAErwewjCdZNLXVFd3PCDbE-/view?usp=sharing" TargetMode="External"/><Relationship Id="rId10797" Type="http://schemas.openxmlformats.org/officeDocument/2006/relationships/hyperlink" Target="https://thumbor.prod.vidiocdn.com/b8Xdmr7LFXD56yxG1MypXqALyyo=/filters:quality(70)/vidio-media-production/uploads/image/source/52126/335633.png" TargetMode="External"/><Relationship Id="rId7469" Type="http://schemas.openxmlformats.org/officeDocument/2006/relationships/hyperlink" Target="https://drive.google.com/drive/folders/1NepG6XT-FSa8Cs07sX3tPfQWLNpJfAxp" TargetMode="External"/><Relationship Id="rId11848" Type="http://schemas.openxmlformats.org/officeDocument/2006/relationships/hyperlink" Target="https://drive.google.com/file/d/1RvpVSYEuxwkTup3qpzOCOplWtOxx9WK3/view?usp=sharing" TargetMode="External"/><Relationship Id="rId1907" Type="http://schemas.openxmlformats.org/officeDocument/2006/relationships/hyperlink" Target="https://drive.google.com/file/d/1bCxEhCfXI4GmOQ7zaou-n8hWmzrZMqfs/view?usp=drive_link" TargetMode="External"/><Relationship Id="rId250" Type="http://schemas.openxmlformats.org/officeDocument/2006/relationships/hyperlink" Target="https://www.vidio.com/live/9182-champions-tv-5?schedule_id=4562503" TargetMode="External"/><Relationship Id="rId7950" Type="http://schemas.openxmlformats.org/officeDocument/2006/relationships/hyperlink" Target="https://www.vidio.com/live/6299-bein-1?schedule_id=4652732" TargetMode="External"/><Relationship Id="rId10931" Type="http://schemas.openxmlformats.org/officeDocument/2006/relationships/hyperlink" Target="https://drive.google.com/drive/folders/1ehBQImq5LJsocKNU7tGOwLzoxZOyVGKs" TargetMode="External"/><Relationship Id="rId5154" Type="http://schemas.openxmlformats.org/officeDocument/2006/relationships/hyperlink" Target="https://drive.google.com/drive/folders/1ljiOVnu7KXt-zb5QV6P8ZQr6vK6DRqcf?usp=drive_link" TargetMode="External"/><Relationship Id="rId6552" Type="http://schemas.openxmlformats.org/officeDocument/2006/relationships/hyperlink" Target="https://drive.google.com/file/d/1AA_oClNOWJANj-Lk8_p5PLOY4W4af6CT/view?usp=drive_link" TargetMode="External"/><Relationship Id="rId7603" Type="http://schemas.openxmlformats.org/officeDocument/2006/relationships/hyperlink" Target="https://www.vidio.com/live/6317-bein-3?schedule_id=4636459" TargetMode="External"/><Relationship Id="rId6205" Type="http://schemas.openxmlformats.org/officeDocument/2006/relationships/hyperlink" Target="https://drive.google.com/file/d/10wbMMHA8_t0fwt8qQE3IX7VFYkYY2c_7/view?usp=sharing" TargetMode="External"/><Relationship Id="rId9775" Type="http://schemas.openxmlformats.org/officeDocument/2006/relationships/hyperlink" Target="https://drive.google.com/drive/folders/115cXxExU006M_faCCwTdb2DW6aKHo2NY" TargetMode="External"/><Relationship Id="rId1764" Type="http://schemas.openxmlformats.org/officeDocument/2006/relationships/hyperlink" Target="https://drive.google.com/file/d/1atckdjUMI-pdjmutk6tqfE0i4TOrtB-k/view?usp=drive_link" TargetMode="External"/><Relationship Id="rId2815" Type="http://schemas.openxmlformats.org/officeDocument/2006/relationships/hyperlink" Target="https://drive.google.com/drive/folders/1PxHGtduuVDsv9_kch9IlA3tBN6Q4ZYBD?usp=drive_link" TargetMode="External"/><Relationship Id="rId8377" Type="http://schemas.openxmlformats.org/officeDocument/2006/relationships/hyperlink" Target="https://drive.google.com/file/d/1d0b-ns7q_G-GhARNk8dc0BKhVSl55JIa/view?usp=sharing" TargetMode="External"/><Relationship Id="rId9428" Type="http://schemas.openxmlformats.org/officeDocument/2006/relationships/hyperlink" Target="https://thumbor.prod.vidiocdn.com/6QrBRmtxTJXnj-dAIWioRbWAmQo=/filters:quality(70)/vidio-media-production/uploads/image/source/52934/6a6998.png" TargetMode="External"/><Relationship Id="rId11358" Type="http://schemas.openxmlformats.org/officeDocument/2006/relationships/hyperlink" Target="https://www.vidio.com/live/20106-top-youth-premier-league-perempat-final-dan-semifinal?schedule_id=4786446" TargetMode="External"/><Relationship Id="rId12409" Type="http://schemas.openxmlformats.org/officeDocument/2006/relationships/hyperlink" Target="https://drive.google.com/file/d/1eYrHSZhFd95KyhXxrabgACyw4RU-iuHU/view?usp=sharing" TargetMode="External"/><Relationship Id="rId1417" Type="http://schemas.openxmlformats.org/officeDocument/2006/relationships/hyperlink" Target="https://drive.google.com/file/d/1YTYtJWGEcu9EItWhWJnHFf31Wi6q2s1g/view?usp=drive_link" TargetMode="External"/><Relationship Id="rId4987" Type="http://schemas.openxmlformats.org/officeDocument/2006/relationships/hyperlink" Target="https://drive.google.com/file/d/1Sh4rVpFkZOBfL55dUZVUBJ1HAXoGZar9/view?usp=sharing" TargetMode="External"/><Relationship Id="rId3589" Type="http://schemas.openxmlformats.org/officeDocument/2006/relationships/hyperlink" Target="https://thumbor.prod.vidiocdn.com/QomiN9Mz00JUPPwp4eLMn3Yx-bA=/filters:quality(70)/vidio-media-production/uploads/image/source/52013/a968f9.png" TargetMode="External"/><Relationship Id="rId7460" Type="http://schemas.openxmlformats.org/officeDocument/2006/relationships/hyperlink" Target="https://drive.google.com/drive/folders/1NepG6XT-FSa8Cs07sX3tPfQWLNpJfAxp" TargetMode="External"/><Relationship Id="rId8511" Type="http://schemas.openxmlformats.org/officeDocument/2006/relationships/hyperlink" Target="https://drive.google.com/file/d/1CimtZln6rVJqScRwpI4GGfLDV62nVFf5/view?usp=sharing" TargetMode="External"/><Relationship Id="rId6062" Type="http://schemas.openxmlformats.org/officeDocument/2006/relationships/hyperlink" Target="https://drive.google.com/file/d/13X-6xUsrbFTTPUCvYOcPtUoJ2XtlWqeT/view?usp=sharing" TargetMode="External"/><Relationship Id="rId7113" Type="http://schemas.openxmlformats.org/officeDocument/2006/relationships/hyperlink" Target="https://drive.google.com/file/d/1oBpU6XecVXnmBkB5EBN7TIXsC04dSvss/view?usp=sharing" TargetMode="External"/><Relationship Id="rId10441" Type="http://schemas.openxmlformats.org/officeDocument/2006/relationships/hyperlink" Target="https://www.vidio.com/live/19738-turkish-volleyball-league?schedule_id=4779490" TargetMode="External"/><Relationship Id="rId9285" Type="http://schemas.openxmlformats.org/officeDocument/2006/relationships/hyperlink" Target="https://www.vidio.com/live/19813-top-soccer-championship-2025-u-16?schedule_id=4709129" TargetMode="External"/><Relationship Id="rId991" Type="http://schemas.openxmlformats.org/officeDocument/2006/relationships/hyperlink" Target="https://drive.google.com/drive/folders/1oFJkKE_j6fQ-TuWhOXavULeSB9k0M227?usp=drive_link" TargetMode="External"/><Relationship Id="rId2672" Type="http://schemas.openxmlformats.org/officeDocument/2006/relationships/hyperlink" Target="https://drive.google.com/file/d/1MRoeSbM1lbAE5Q7n5hEvwfCYryy-xAAV/view?usp=drive_link" TargetMode="External"/><Relationship Id="rId3723" Type="http://schemas.openxmlformats.org/officeDocument/2006/relationships/hyperlink" Target="https://drive.google.com/file/d/1FijHSCwkToDL0jCgbzMWEyWD8vx-_KVk/view?usp=sharing" TargetMode="External"/><Relationship Id="rId12266" Type="http://schemas.openxmlformats.org/officeDocument/2006/relationships/hyperlink" Target="https://www.vidio.com/live/20275?schedule_id=4833870" TargetMode="External"/><Relationship Id="rId644" Type="http://schemas.openxmlformats.org/officeDocument/2006/relationships/hyperlink" Target="https://drive.google.com/drive/folders/1reJgqrta8-x_LZOVIyNxF2oALmNOZ9ZP?usp=drive_link" TargetMode="External"/><Relationship Id="rId1274" Type="http://schemas.openxmlformats.org/officeDocument/2006/relationships/hyperlink" Target="https://www.vidio.com/live/19404-serie-a?schedule_id=4514272" TargetMode="External"/><Relationship Id="rId2325" Type="http://schemas.openxmlformats.org/officeDocument/2006/relationships/hyperlink" Target="https://drive.google.com/file/d/1DB23yeFS9WuyuOXNwCg6Tzfj01_4nqRV/view?usp=drive_link" TargetMode="External"/><Relationship Id="rId5895" Type="http://schemas.openxmlformats.org/officeDocument/2006/relationships/hyperlink" Target="https://drive.google.com/drive/folders/1pYi5qIT6QdvkfDRfWH0qsk97hfAPMoyN?usp=drive_link" TargetMode="External"/><Relationship Id="rId6946" Type="http://schemas.openxmlformats.org/officeDocument/2006/relationships/hyperlink" Target="https://drive.google.com/drive/folders/16LaIPhcQxhyVbIjtMhRFLI9CaiHvfk0X?usp=drive_link" TargetMode="External"/><Relationship Id="rId4497" Type="http://schemas.openxmlformats.org/officeDocument/2006/relationships/hyperlink" Target="https://drive.google.com/drive/folders/18PxhSye1wJE1eiGiSyR0VnarZjIYY8LI?usp=drive_link" TargetMode="External"/><Relationship Id="rId5548" Type="http://schemas.openxmlformats.org/officeDocument/2006/relationships/hyperlink" Target="https://www.vidio.com/live/6317-bein-3?schedule_id=4591205" TargetMode="External"/><Relationship Id="rId12400" Type="http://schemas.openxmlformats.org/officeDocument/2006/relationships/hyperlink" Target="https://drive.google.com/drive/folders/1tni-eURfEFKRVxfoCHzmLE1mqpTQd2nq" TargetMode="External"/><Relationship Id="rId3099" Type="http://schemas.openxmlformats.org/officeDocument/2006/relationships/hyperlink" Target="https://drive.google.com/file/d/1mNTtrQIIS1AQ2Le8KJyQmWARkTJEgoPc/view?usp=sharing" TargetMode="External"/><Relationship Id="rId8021" Type="http://schemas.openxmlformats.org/officeDocument/2006/relationships/hyperlink" Target="https://drive.google.com/file/d/1v3nJosOvnW98QmTmzdpwTe2aHZtshLwM/view?usp=sharing" TargetMode="External"/><Relationship Id="rId11002" Type="http://schemas.openxmlformats.org/officeDocument/2006/relationships/hyperlink" Target="https://drive.google.com/drive/folders/1EKXeoHRpumSB2G_puxcRYgggltZ2QlD0?usp=drive_link" TargetMode="External"/><Relationship Id="rId3580" Type="http://schemas.openxmlformats.org/officeDocument/2006/relationships/hyperlink" Target="https://www.vidio.com/live/6686-champions-tv-2?schedule_id=4798635" TargetMode="External"/><Relationship Id="rId2182" Type="http://schemas.openxmlformats.org/officeDocument/2006/relationships/hyperlink" Target="https://www.vidio.com/live/19354-bri-super-league?schedule_id=4786953" TargetMode="External"/><Relationship Id="rId3233" Type="http://schemas.openxmlformats.org/officeDocument/2006/relationships/hyperlink" Target="https://thumbor.prod.vidiocdn.com/qX9tLBpKAU_waFsaRqp69ermX34=/filters:quality(70)/vidio-media-production/uploads/image/source/53286/114859.png" TargetMode="External"/><Relationship Id="rId4631" Type="http://schemas.openxmlformats.org/officeDocument/2006/relationships/hyperlink" Target="https://drive.google.com/drive/folders/1gHWqyjLjPOufW0iC77V3Lom1OyhH7SVI?usp=drive_link" TargetMode="External"/><Relationship Id="rId154" Type="http://schemas.openxmlformats.org/officeDocument/2006/relationships/hyperlink" Target="https://www.vidio.com/live/9182-champions-tv-5?schedule_id=4512789" TargetMode="External"/><Relationship Id="rId7854" Type="http://schemas.openxmlformats.org/officeDocument/2006/relationships/hyperlink" Target="https://drive.google.com/drive/folders/1eqDHhhM__SuKP_N0zXpYdj-0sdzprwVi" TargetMode="External"/><Relationship Id="rId8905" Type="http://schemas.openxmlformats.org/officeDocument/2006/relationships/hyperlink" Target="https://drive.google.com/file/d/1AZWAWvW3SgjgJuHlIfO5j-WY2l-TM4JB/view?usp=sharing" TargetMode="External"/><Relationship Id="rId10835" Type="http://schemas.openxmlformats.org/officeDocument/2006/relationships/hyperlink" Target="https://drive.google.com/drive/folders/1k4rJrnBm1_a30mDdHHdCFokcDawyZlbu?usp=drive_link" TargetMode="External"/><Relationship Id="rId6456" Type="http://schemas.openxmlformats.org/officeDocument/2006/relationships/hyperlink" Target="https://drive.google.com/file/d/1FyvmPdc15GmqwXtLFKvr71snNUKqPQFR/view?usp=sharing" TargetMode="External"/><Relationship Id="rId7507" Type="http://schemas.openxmlformats.org/officeDocument/2006/relationships/hyperlink" Target="https://drive.google.com/drive/folders/1hdNR-ijiuE0T84G4QejJ2yenbKAnuG7N" TargetMode="External"/><Relationship Id="rId5058" Type="http://schemas.openxmlformats.org/officeDocument/2006/relationships/hyperlink" Target="https://drive.google.com/file/d/169zj797yMdNwqQO0c1DBPAOcL8JOrqzc/view?usp=drive_link" TargetMode="External"/><Relationship Id="rId6109" Type="http://schemas.openxmlformats.org/officeDocument/2006/relationships/hyperlink" Target="https://drive.google.com/drive/folders/1FKabCU1MxMmNpkcXP4QqHCghffE2YRU-?usp=drive_link" TargetMode="External"/><Relationship Id="rId9679" Type="http://schemas.openxmlformats.org/officeDocument/2006/relationships/hyperlink" Target="https://drive.google.com/drive/folders/1E3r6RR3OISOT0NDlWEcP0YTcLfBSwY01?usp=drive_link" TargetMode="External"/><Relationship Id="rId1668" Type="http://schemas.openxmlformats.org/officeDocument/2006/relationships/hyperlink" Target="https://drive.google.com/file/d/1p3nG28TjzXnd45cehtWrKBp-xxm0Z0TM/view?usp=drive_link" TargetMode="External"/><Relationship Id="rId2719" Type="http://schemas.openxmlformats.org/officeDocument/2006/relationships/hyperlink" Target="https://drive.google.com/drive/folders/1kMnAUovIfqAZyRE7zHeYvNuw4YZstmZE?usp=drive_link" TargetMode="External"/><Relationship Id="rId3090" Type="http://schemas.openxmlformats.org/officeDocument/2006/relationships/hyperlink" Target="https://drive.google.com/file/d/1ha03dUN3_1eKtEWsqcaH3nxqKfZt_-dj/view?usp=drive_link" TargetMode="External"/><Relationship Id="rId4141" Type="http://schemas.openxmlformats.org/officeDocument/2006/relationships/hyperlink" Target="https://drive.google.com/file/d/1gXtHBVzO06vdlIeiS3XkYDOPT0De2WyS/view?usp=sharing" TargetMode="External"/><Relationship Id="rId7364" Type="http://schemas.openxmlformats.org/officeDocument/2006/relationships/hyperlink" Target="https://drive.google.com/file/d/1GSMEKjQbJCTNjlyXZEPJyuSCE99sR-_B/view?usp=sharing" TargetMode="External"/><Relationship Id="rId8762" Type="http://schemas.openxmlformats.org/officeDocument/2006/relationships/hyperlink" Target="https://drive.google.com/drive/folders/1Bj6aUZlzIfTN5w-AiOBEHibZCSHG6K_d?usp=drive_link" TargetMode="External"/><Relationship Id="rId9813" Type="http://schemas.openxmlformats.org/officeDocument/2006/relationships/hyperlink" Target="https://drive.google.com/file/d/1bGAtWdCSL-v2iZg1GvRoYwXZwXVqVH3x/view" TargetMode="External"/><Relationship Id="rId10692" Type="http://schemas.openxmlformats.org/officeDocument/2006/relationships/hyperlink" Target="https://drive.google.com/drive/folders/1ey13xavB7a9y3Kwz-9XdyAlLe3vzblcV?usp=drive_link" TargetMode="External"/><Relationship Id="rId11743" Type="http://schemas.openxmlformats.org/officeDocument/2006/relationships/hyperlink" Target="https://drive.google.com/drive/folders/1bdxQ1-iQMgDVTF9qxntm4rXkh856Un7p?usp=drive_link" TargetMode="External"/><Relationship Id="rId27" Type="http://schemas.openxmlformats.org/officeDocument/2006/relationships/hyperlink" Target="https://drive.google.com/file/d/11LqeKThq8BB38alNtrFkxkhPxl2pSpFi/view?usp=sharing" TargetMode="External"/><Relationship Id="rId1802" Type="http://schemas.openxmlformats.org/officeDocument/2006/relationships/hyperlink" Target="https://www.vidio.com/live/19354-bri-super-league?schedule_id=4594758" TargetMode="External"/><Relationship Id="rId7017" Type="http://schemas.openxmlformats.org/officeDocument/2006/relationships/hyperlink" Target="https://drive.google.com/file/d/1wbVS9oylomTQBWofD8Pa21E8SRt3BYKt/view?usp=sharing" TargetMode="External"/><Relationship Id="rId8415" Type="http://schemas.openxmlformats.org/officeDocument/2006/relationships/hyperlink" Target="https://thumbor.prod.vidiocdn.com/i5VS5vjc-kANZbHE9EAM5sTewuY=/filters:quality(70)/vidio-media-production/uploads/image/source/52066/2b7029.png" TargetMode="External"/><Relationship Id="rId10345" Type="http://schemas.openxmlformats.org/officeDocument/2006/relationships/hyperlink" Target="https://www.vidio.com/live/18250-hsbc-bwf-world-tour-finals-2025-group-stage-court-2" TargetMode="External"/><Relationship Id="rId3974" Type="http://schemas.openxmlformats.org/officeDocument/2006/relationships/hyperlink" Target="https://www.vidio.com/live/19472?schedule_id=4534255" TargetMode="External"/><Relationship Id="rId895" Type="http://schemas.openxmlformats.org/officeDocument/2006/relationships/hyperlink" Target="https://drive.google.com/drive/folders/1eeNyZJoBrXN5JV-bIY-Tm6sEAZkuoXHD?usp=drive_link" TargetMode="External"/><Relationship Id="rId2576" Type="http://schemas.openxmlformats.org/officeDocument/2006/relationships/hyperlink" Target="https://drive.google.com/file/d/12fN7cZd7K666tKFzSmPDOinCY6MY9SDN/view?usp=sharing" TargetMode="External"/><Relationship Id="rId3627" Type="http://schemas.openxmlformats.org/officeDocument/2006/relationships/hyperlink" Target="https://drive.google.com/file/d/1zSKPhlSwTvdAcEZPke0sj9WKTfkV25xg/view?usp=sharing" TargetMode="External"/><Relationship Id="rId9189" Type="http://schemas.openxmlformats.org/officeDocument/2006/relationships/hyperlink" Target="https://www.vidio.com/live/19802-top-youth-premier-league-2025-matchday-10?schedule_id=4709326" TargetMode="External"/><Relationship Id="rId548" Type="http://schemas.openxmlformats.org/officeDocument/2006/relationships/hyperlink" Target="https://www.vidio.com/live/19375-premier-league?schedule_id=4668361" TargetMode="External"/><Relationship Id="rId1178" Type="http://schemas.openxmlformats.org/officeDocument/2006/relationships/hyperlink" Target="https://thumbor.prod.vidiocdn.com/FcRVDJgYLlu8bpWmzguR4s8AOms=/filters:quality(70)/vidio-media-production/uploads/image/source/52740/3bace2.png" TargetMode="External"/><Relationship Id="rId2229" Type="http://schemas.openxmlformats.org/officeDocument/2006/relationships/hyperlink" Target="https://www.vidio.com/live/6299-bein-1?schedule_id=4499122" TargetMode="External"/><Relationship Id="rId5799" Type="http://schemas.openxmlformats.org/officeDocument/2006/relationships/hyperlink" Target="https://www.vidio.com/live/19629-uefa-europa-league?schedule_id=4701944" TargetMode="External"/><Relationship Id="rId6100" Type="http://schemas.openxmlformats.org/officeDocument/2006/relationships/hyperlink" Target="https://drive.google.com/drive/folders/1z0QSLmNvSJyyT8FLEYRkw6ibg9dSBAVC" TargetMode="External"/><Relationship Id="rId9670" Type="http://schemas.openxmlformats.org/officeDocument/2006/relationships/hyperlink" Target="https://www.vidio.com/live/20048-fivb-volleyball-club-world-championship-2025?schedule_id=4780667" TargetMode="External"/><Relationship Id="rId8272" Type="http://schemas.openxmlformats.org/officeDocument/2006/relationships/hyperlink" Target="https://drive.google.com/drive/folders/1NepG6XT-FSa8Cs07sX3tPfQWLNpJfAxp" TargetMode="External"/><Relationship Id="rId9323" Type="http://schemas.openxmlformats.org/officeDocument/2006/relationships/hyperlink" Target="https://drive.google.com/file/d/1RsG3DFwWwcwSUJgXhqoAB95DkLPacBTq/view?usp=sharing" TargetMode="External"/><Relationship Id="rId1312" Type="http://schemas.openxmlformats.org/officeDocument/2006/relationships/hyperlink" Target="https://drive.google.com/drive/folders/1_BNKPouqvItE8H9Ug48jEjMj8xl2hMnA?usp=drive_link" TargetMode="External"/><Relationship Id="rId2710" Type="http://schemas.openxmlformats.org/officeDocument/2006/relationships/hyperlink" Target="https://drive.google.com/file/d/1dvLn_iie1vD5pI3jbPJXvCmvBFvqCuCw/view?usp=drive_link" TargetMode="External"/><Relationship Id="rId11253" Type="http://schemas.openxmlformats.org/officeDocument/2006/relationships/hyperlink" Target="https://drive.google.com/drive/folders/1wQdNZes42bepOjWQqH4QRkaM642e53qP" TargetMode="External"/><Relationship Id="rId12304" Type="http://schemas.openxmlformats.org/officeDocument/2006/relationships/hyperlink" Target="https://www.vidio.com/live/20280?schedule_id=4833896" TargetMode="External"/><Relationship Id="rId4882" Type="http://schemas.openxmlformats.org/officeDocument/2006/relationships/hyperlink" Target="https://thumbor.prod.vidiocdn.com/QRfYGkaUOwEFxCvh-wUSlSJ5uvk=/filters:quality(70)/vidio-media-production/uploads/image/source/52799/491486.png" TargetMode="External"/><Relationship Id="rId5933" Type="http://schemas.openxmlformats.org/officeDocument/2006/relationships/hyperlink" Target="https://drive.google.com/drive/folders/1nYitgF9BsQpX3Rfg9oA_vezIZpOzkDQF?usp=drive_link" TargetMode="External"/><Relationship Id="rId2086" Type="http://schemas.openxmlformats.org/officeDocument/2006/relationships/hyperlink" Target="https://www.vidio.com/live/19354-bri-super-league?schedule_id=4724849" TargetMode="External"/><Relationship Id="rId3484" Type="http://schemas.openxmlformats.org/officeDocument/2006/relationships/hyperlink" Target="https://drive.google.com/drive/folders/18QFxTlvxvZAHdTMh6rQDO0Zxttpbyefw" TargetMode="External"/><Relationship Id="rId4535" Type="http://schemas.openxmlformats.org/officeDocument/2006/relationships/hyperlink" Target="https://drive.google.com/file/d/1JuCW3dQMvyTGl1qNqCC1qV5KHbaq7dPt/view?usp=sharing" TargetMode="External"/><Relationship Id="rId3137" Type="http://schemas.openxmlformats.org/officeDocument/2006/relationships/hyperlink" Target="https://drive.google.com/file/d/1cb-6gHTl3njTF4rhiXmbG_T-NNtL29MR/view?usp=sharing" TargetMode="External"/><Relationship Id="rId7758" Type="http://schemas.openxmlformats.org/officeDocument/2006/relationships/hyperlink" Target="https://drive.google.com/file/d/1hUG0HGWuJ9cwrBt38yZLYR2qboan6vYU/view?usp=sharing" TargetMode="External"/><Relationship Id="rId8809" Type="http://schemas.openxmlformats.org/officeDocument/2006/relationships/hyperlink" Target="https://drive.google.com/drive/folders/1Lqggo2yol8Yqr0inT3BM87HkcihNTsMf?usp=drive_link" TargetMode="External"/><Relationship Id="rId10739" Type="http://schemas.openxmlformats.org/officeDocument/2006/relationships/hyperlink" Target="https://thumbor.prod.vidiocdn.com/NT50wjxdeK4EtUVZVy2aCkiDSow=/filters:quality(70)/vidio-media-production/uploads/image/source/52088/2aa5b1.png" TargetMode="External"/><Relationship Id="rId9180" Type="http://schemas.openxmlformats.org/officeDocument/2006/relationships/hyperlink" Target="https://www.vidio.com/live/19802-top-youth-premier-league-2025-matchday-10?schedule_id=4709323" TargetMode="External"/><Relationship Id="rId12161" Type="http://schemas.openxmlformats.org/officeDocument/2006/relationships/hyperlink" Target="https://drive.google.com/file/d/17nqJ8YbOWxi4DOQmMA4_VvY1qMuE4tM4/view?usp=drive_link" TargetMode="External"/><Relationship Id="rId2220" Type="http://schemas.openxmlformats.org/officeDocument/2006/relationships/hyperlink" Target="https://www.vidio.com/live/6685-champions-tv-1?schedules_id=4452180" TargetMode="External"/><Relationship Id="rId5790" Type="http://schemas.openxmlformats.org/officeDocument/2006/relationships/hyperlink" Target="https://drive.google.com/file/d/1BxeoqTKOFHNwh0edICTX6n0zoN8WlmBF/view?usp=sharing" TargetMode="External"/><Relationship Id="rId4392" Type="http://schemas.openxmlformats.org/officeDocument/2006/relationships/hyperlink" Target="https://drive.google.com/drive/folders/1p-BBE4Q7WYsjaA6zRP-zbxNxOInOSBYU" TargetMode="External"/><Relationship Id="rId5443" Type="http://schemas.openxmlformats.org/officeDocument/2006/relationships/hyperlink" Target="https://www.vidio.com/live/18303-uefa-champions-league?schedule_id=4772720" TargetMode="External"/><Relationship Id="rId6841" Type="http://schemas.openxmlformats.org/officeDocument/2006/relationships/hyperlink" Target="https://drive.google.com/drive/folders/1RKL5lYgFuirYeYsYCorcydL_9uMHbtzy?usp=drive_link" TargetMode="External"/><Relationship Id="rId4045" Type="http://schemas.openxmlformats.org/officeDocument/2006/relationships/hyperlink" Target="https://drive.google.com/drive/folders/1KEbcr6U_ZqEhtv_7d6qSImpjmWPCeGg3?usp=drive_link" TargetMode="External"/><Relationship Id="rId11994" Type="http://schemas.openxmlformats.org/officeDocument/2006/relationships/hyperlink" Target="https://www.vidio.com/live/18249-petronas-malaysia-open-2026-round-of-16-court-1?schedule_id=4832326" TargetMode="External"/><Relationship Id="rId8666" Type="http://schemas.openxmlformats.org/officeDocument/2006/relationships/hyperlink" Target="https://drive.google.com/file/d/1ZUY5W7igNPbNvNoYnZEjGY0QMXupcMct/view?usp=sharing" TargetMode="External"/><Relationship Id="rId9717" Type="http://schemas.openxmlformats.org/officeDocument/2006/relationships/hyperlink" Target="https://drive.google.com/drive/folders/1iYtYMtasSrGwkCIbgIFTr651djGmItP2?usp=drive_link" TargetMode="External"/><Relationship Id="rId10596" Type="http://schemas.openxmlformats.org/officeDocument/2006/relationships/hyperlink" Target="https://drive.google.com/file/d/1gS_8tM2aOHz26fvLgOb-5NIp-k-fZ9Dx/view?usp=sharing" TargetMode="External"/><Relationship Id="rId11647" Type="http://schemas.openxmlformats.org/officeDocument/2006/relationships/hyperlink" Target="https://thumbor.prod.vidiocdn.com/RotQPWm5DXpYMsY1hrmJFFZ8f8U=/filters:quality(70)/vidio-media-production/uploads/image/source/53242/e9753f.png" TargetMode="External"/><Relationship Id="rId1706" Type="http://schemas.openxmlformats.org/officeDocument/2006/relationships/hyperlink" Target="https://www.vidio.com/live/19354?schedule_id=4563138" TargetMode="External"/><Relationship Id="rId7268" Type="http://schemas.openxmlformats.org/officeDocument/2006/relationships/hyperlink" Target="https://www.vidio.com/live/19542-pegadaian-championship-2025-26?schedule_id=4652406" TargetMode="External"/><Relationship Id="rId8319" Type="http://schemas.openxmlformats.org/officeDocument/2006/relationships/hyperlink" Target="https://www.vidio.com/live/17875-bein-2?schedule_id=4724827" TargetMode="External"/><Relationship Id="rId10249" Type="http://schemas.openxmlformats.org/officeDocument/2006/relationships/hyperlink" Target="https://thumbor.prod.vidiocdn.com/okDlBS7GIEQAS_n-uNkhu4W1WZU=/filters:quality(70)/vidio-media-production/uploads/image/source/52054/3cd9dd.png" TargetMode="External"/><Relationship Id="rId3878" Type="http://schemas.openxmlformats.org/officeDocument/2006/relationships/hyperlink" Target="https://drive.google.com/file/d/1YU4MB2XAmYQ60ALbSZE-VzAlwtLhdvGt/view?usp=sharing" TargetMode="External"/><Relationship Id="rId4929" Type="http://schemas.openxmlformats.org/officeDocument/2006/relationships/hyperlink" Target="https://www.vidio.com/live/6317-bein-3?schedule_id=4569128" TargetMode="External"/><Relationship Id="rId8800" Type="http://schemas.openxmlformats.org/officeDocument/2006/relationships/hyperlink" Target="https://drive.google.com/drive/folders/1eygIYKSfEJop6OQYwY9XDjykJH9Ilz0f" TargetMode="External"/><Relationship Id="rId799" Type="http://schemas.openxmlformats.org/officeDocument/2006/relationships/hyperlink" Target="https://drive.google.com/drive/folders/1FsGOc0wx88n5RPmMFvYoh_n-Q6b-PpbI" TargetMode="External"/><Relationship Id="rId6351" Type="http://schemas.openxmlformats.org/officeDocument/2006/relationships/hyperlink" Target="https://www.vidio.com/live/19643-uefa-conference-league?schedule_id=4700065" TargetMode="External"/><Relationship Id="rId7402" Type="http://schemas.openxmlformats.org/officeDocument/2006/relationships/hyperlink" Target="https://drive.google.com/file/d/178spJJvNrbfvX54_ge16Lesu620YyACg/view?usp=sharing" TargetMode="External"/><Relationship Id="rId10730" Type="http://schemas.openxmlformats.org/officeDocument/2006/relationships/hyperlink" Target="https://drive.google.com/drive/folders/1BDWOT9m9EV8r06ldH0xAxm1qsUsyve2V?usp=drive_link" TargetMode="External"/><Relationship Id="rId6004" Type="http://schemas.openxmlformats.org/officeDocument/2006/relationships/hyperlink" Target="https://drive.google.com/file/d/181Lp8HU2Q4yPm01bgxQXGhx8792aJoU8/view?usp=drive_link" TargetMode="External"/><Relationship Id="rId9574" Type="http://schemas.openxmlformats.org/officeDocument/2006/relationships/hyperlink" Target="https://drive.google.com/file/d/1HMWJ_lvTlPKcm8TYaJ5oVeBuYsBN5QLr/view?usp=sharing" TargetMode="External"/><Relationship Id="rId2961" Type="http://schemas.openxmlformats.org/officeDocument/2006/relationships/hyperlink" Target="https://drive.google.com/file/d/1ie5JLY6Fft3_8trxqB-hKbBMCjhVn_gw/view?usp=sharing" TargetMode="External"/><Relationship Id="rId8176" Type="http://schemas.openxmlformats.org/officeDocument/2006/relationships/hyperlink" Target="https://drive.google.com/drive/folders/1Ghj3z1_bCmQSKG6Tn4qEhXJLtRq1SxKA" TargetMode="External"/><Relationship Id="rId9227" Type="http://schemas.openxmlformats.org/officeDocument/2006/relationships/hyperlink" Target="https://drive.google.com/file/d/1bGAtWdCSL-v2iZg1GvRoYwXZwXVqVH3x/view?usp=sharing" TargetMode="External"/><Relationship Id="rId933" Type="http://schemas.openxmlformats.org/officeDocument/2006/relationships/hyperlink" Target="https://drive.google.com/file/d/1KOTc7YU0jVLdHovIU5ow62o6ybBIeLhn/view?usp=sharing" TargetMode="External"/><Relationship Id="rId1563" Type="http://schemas.openxmlformats.org/officeDocument/2006/relationships/hyperlink" Target="https://drive.google.com/drive/folders/1cRvCMn5Ix4WfBU0-K5aHq9YAtAKecQcs?usp=drive_link" TargetMode="External"/><Relationship Id="rId2614" Type="http://schemas.openxmlformats.org/officeDocument/2006/relationships/hyperlink" Target="https://drive.google.com/file/d/14Bmh2iEncz4UHug2zOAPFRDpfkSxmXz5/view?usp=sharing" TargetMode="External"/><Relationship Id="rId11157" Type="http://schemas.openxmlformats.org/officeDocument/2006/relationships/hyperlink" Target="https://drive.google.com/file/d/1SZsPw0QpZuSUuR2VXtXLN_-EpCQ7Qk8s/view?usp=sharing" TargetMode="External"/><Relationship Id="rId12208" Type="http://schemas.openxmlformats.org/officeDocument/2006/relationships/hyperlink" Target="https://www.vidio.com/live/20270?schedule_id=4833861" TargetMode="External"/><Relationship Id="rId1216" Type="http://schemas.openxmlformats.org/officeDocument/2006/relationships/hyperlink" Target="https://drive.google.com/file/d/1Of5HS5HeY_N33PjqE3LCwxFc9w4-2Mym/view?usp=sharing" TargetMode="External"/><Relationship Id="rId4786" Type="http://schemas.openxmlformats.org/officeDocument/2006/relationships/hyperlink" Target="https://www.vidio.com/live/17939-serie-a?schedule_id=4790725" TargetMode="External"/><Relationship Id="rId5837" Type="http://schemas.openxmlformats.org/officeDocument/2006/relationships/hyperlink" Target="https://www.vidio.com/live/19630-uefa-europa-league?schedule_id=4702074" TargetMode="External"/><Relationship Id="rId3388" Type="http://schemas.openxmlformats.org/officeDocument/2006/relationships/hyperlink" Target="https://drive.google.com/drive/folders/1C2kKi9nAP9kZYRRktTFe_Ds8JKfL68FU" TargetMode="External"/><Relationship Id="rId4439" Type="http://schemas.openxmlformats.org/officeDocument/2006/relationships/hyperlink" Target="https://drive.google.com/drive/folders/190yi0NXB7fqt8awvfrHzHYND0AcQ3r1-?usp=drive_link" TargetMode="External"/><Relationship Id="rId8310" Type="http://schemas.openxmlformats.org/officeDocument/2006/relationships/hyperlink" Target="https://drive.google.com/drive/folders/1NigEZyPd3vDf45yVtpYx0csPSOhL4LtH?usp=drive_link" TargetMode="External"/><Relationship Id="rId10240" Type="http://schemas.openxmlformats.org/officeDocument/2006/relationships/hyperlink" Target="https://drive.google.com/file/d/1vvBF3j33vIcv0xRgdd2C26cKGhWkoksV/view?usp=sharing" TargetMode="External"/><Relationship Id="rId790" Type="http://schemas.openxmlformats.org/officeDocument/2006/relationships/hyperlink" Target="https://drive.google.com/file/d/171_WFC31lI43ArS0uBbIvFID4nsQdjtO/view?usp=sharing" TargetMode="External"/><Relationship Id="rId2471" Type="http://schemas.openxmlformats.org/officeDocument/2006/relationships/hyperlink" Target="https://drive.google.com/file/d/1Ndg6zGrQ3KsPj7fkpz_juNAAVQR9bQ8r/view?usp=sharing" TargetMode="External"/><Relationship Id="rId3522" Type="http://schemas.openxmlformats.org/officeDocument/2006/relationships/hyperlink" Target="https://drive.google.com/file/d/1UP-JBd3WG585T5frAx69WMU0a1ZUmUYs/view?usp=drive_link" TargetMode="External"/><Relationship Id="rId4920" Type="http://schemas.openxmlformats.org/officeDocument/2006/relationships/hyperlink" Target="https://thumbor.prod.vidiocdn.com/x43HtjUS6tXMs_RGBe1Yi1CLt3E=/filters:quality(70)/vidio-media-production/uploads/image/source/53017/7cf8ce.png" TargetMode="External"/><Relationship Id="rId9084" Type="http://schemas.openxmlformats.org/officeDocument/2006/relationships/hyperlink" Target="https://www.vidio.com/live/19737-turkish-men-s-volleyball-league?schedule_id=4733519" TargetMode="External"/><Relationship Id="rId12065" Type="http://schemas.openxmlformats.org/officeDocument/2006/relationships/hyperlink" Target="https://drive.google.com/file/d/1khQrXXQF4DXWbEvpQ5PrFElQfRn5_sMl/view?usp=sharing" TargetMode="External"/><Relationship Id="rId443" Type="http://schemas.openxmlformats.org/officeDocument/2006/relationships/hyperlink" Target="https://drive.google.com/file/d/1bQjnWamv-HFCLXaw74zzzdzcJSW61pGu/view?usp=sharing" TargetMode="External"/><Relationship Id="rId1073" Type="http://schemas.openxmlformats.org/officeDocument/2006/relationships/hyperlink" Target="https://www.vidio.com/live/18797-premier-league?schedule_id=4792903" TargetMode="External"/><Relationship Id="rId2124" Type="http://schemas.openxmlformats.org/officeDocument/2006/relationships/hyperlink" Target="https://drive.google.com/drive/folders/1gCLKym8Niu3tY1xlBbPJwfhZ-ltZiBSX" TargetMode="External"/><Relationship Id="rId4296" Type="http://schemas.openxmlformats.org/officeDocument/2006/relationships/hyperlink" Target="https://drive.google.com/file/d/1haJ0o-3DrNFTYOhxMsZuYpW1OuvKEpNT/view?usp=sharing" TargetMode="External"/><Relationship Id="rId5694" Type="http://schemas.openxmlformats.org/officeDocument/2006/relationships/hyperlink" Target="https://drive.google.com/drive/folders/1Xlp5aunryVlWR8atbAp6mL9dfJO63aR4?usp=drive_link" TargetMode="External"/><Relationship Id="rId6745" Type="http://schemas.openxmlformats.org/officeDocument/2006/relationships/hyperlink" Target="https://drive.google.com/drive/folders/1NepG6XT-FSa8Cs07sX3tPfQWLNpJfAxp" TargetMode="External"/><Relationship Id="rId5347" Type="http://schemas.openxmlformats.org/officeDocument/2006/relationships/hyperlink" Target="https://drive.google.com/file/d/10JYEVwzq8_eJx1HRqh5Qa5micfdwRJ8p/view?usp=sharing" TargetMode="External"/><Relationship Id="rId9968" Type="http://schemas.openxmlformats.org/officeDocument/2006/relationships/hyperlink" Target="https://www.vidio.com/live/6299-bein-1?schedule_id=4792901" TargetMode="External"/><Relationship Id="rId11898" Type="http://schemas.openxmlformats.org/officeDocument/2006/relationships/hyperlink" Target="https://www.vidio.com/live/18252-petronas-malaysia-open-2026-round-of-32-court-3?schedule_id=4831572" TargetMode="External"/><Relationship Id="rId1957" Type="http://schemas.openxmlformats.org/officeDocument/2006/relationships/hyperlink" Target="https://drive.google.com/file/d/1FV1byufs267imXUs8Rn7Ah6pI9B7sPRw/view?usp=sharing" TargetMode="External"/><Relationship Id="rId4430" Type="http://schemas.openxmlformats.org/officeDocument/2006/relationships/hyperlink" Target="https://www.vidio.com/live/19404-serie-a?schedule_id=4678472" TargetMode="External"/><Relationship Id="rId3032" Type="http://schemas.openxmlformats.org/officeDocument/2006/relationships/hyperlink" Target="https://drive.google.com/drive/folders/1zgVe-yKl3p_j2wAGBMSvuZodedNPuwtj?usp=drive_link" TargetMode="External"/><Relationship Id="rId7653" Type="http://schemas.openxmlformats.org/officeDocument/2006/relationships/hyperlink" Target="https://drive.google.com/file/d/1Sb-tN6RWJVqpLkwoVcvfte7zquaGpdaH/view?usp=sharing" TargetMode="External"/><Relationship Id="rId10981" Type="http://schemas.openxmlformats.org/officeDocument/2006/relationships/hyperlink" Target="https://www.vidio.com/live/19773-fa-cup-2025-26?schedule_id=4832263" TargetMode="External"/><Relationship Id="rId6255" Type="http://schemas.openxmlformats.org/officeDocument/2006/relationships/hyperlink" Target="https://drive.google.com/drive/folders/1fGJ0dsEp2wyCjpgRDLXUntjG99VddwX4" TargetMode="External"/><Relationship Id="rId7306" Type="http://schemas.openxmlformats.org/officeDocument/2006/relationships/hyperlink" Target="https://drive.google.com/file/d/12KhPFw8hhyK6S79IrBAfdVV75aEG2q4L/view?usp=drive_link" TargetMode="External"/><Relationship Id="rId8704" Type="http://schemas.openxmlformats.org/officeDocument/2006/relationships/hyperlink" Target="https://www.vidio.com/live/19355-bri-super-league?schedule_id=4674557" TargetMode="External"/><Relationship Id="rId10634" Type="http://schemas.openxmlformats.org/officeDocument/2006/relationships/hyperlink" Target="https://drive.google.com/file/d/1DNux4glLBnqI-DzUHKvsJVIQIe0fQ_QF/view?usp=sharing" TargetMode="External"/><Relationship Id="rId2865" Type="http://schemas.openxmlformats.org/officeDocument/2006/relationships/hyperlink" Target="https://www.vidio.com/live/6317-bein-3?schedule_id=4704449" TargetMode="External"/><Relationship Id="rId3916" Type="http://schemas.openxmlformats.org/officeDocument/2006/relationships/hyperlink" Target="https://www.vidio.com/live/6317-bein-3?schedule_id=4527608" TargetMode="External"/><Relationship Id="rId9478" Type="http://schemas.openxmlformats.org/officeDocument/2006/relationships/hyperlink" Target="https://www.vidio.com/live/19737-turkish-men-s-volleyball-league?schedule_id=4717740" TargetMode="External"/><Relationship Id="rId12459" Type="http://schemas.openxmlformats.org/officeDocument/2006/relationships/hyperlink" Target="https://drive.google.com/drive/u/0/folders/1QlwBFlgLxde5HoyD-7iMtYPPuh8pB73y" TargetMode="External"/><Relationship Id="rId837" Type="http://schemas.openxmlformats.org/officeDocument/2006/relationships/hyperlink" Target="https://drive.google.com/file/d/117znV7qEYhwMW7VJaZ5oJnHvYBPHBqWa/view?usp=sharing" TargetMode="External"/><Relationship Id="rId1467" Type="http://schemas.openxmlformats.org/officeDocument/2006/relationships/hyperlink" Target="https://drive.google.com/file/d/13Uw_un-__WDoUpMr5KhXEVEf6dirpoN2/view?usp=sharing" TargetMode="External"/><Relationship Id="rId2518" Type="http://schemas.openxmlformats.org/officeDocument/2006/relationships/hyperlink" Target="https://drive.google.com/file/d/18Q8yDox-2jmrD2fpE2kbHXYJvrrIW1kF/view?usp=drive_link" TargetMode="External"/><Relationship Id="rId8561" Type="http://schemas.openxmlformats.org/officeDocument/2006/relationships/hyperlink" Target="https://www.vidio.com/live/19584-pegadaian-championship-2025-26?schedule_id=4719239" TargetMode="External"/><Relationship Id="rId9612" Type="http://schemas.openxmlformats.org/officeDocument/2006/relationships/hyperlink" Target="https://drive.google.com/drive/folders/1_r3DEo2kka3mC_-00cHOS0XRgvSCbmfd" TargetMode="External"/><Relationship Id="rId10491" Type="http://schemas.openxmlformats.org/officeDocument/2006/relationships/hyperlink" Target="https://www.vidio.com/live/20040-top-youth-premier-league-2025-pekan-ke-13?schedule_id=4766512" TargetMode="External"/><Relationship Id="rId1601" Type="http://schemas.openxmlformats.org/officeDocument/2006/relationships/hyperlink" Target="https://drive.google.com/file/d/1wckJRMmNnytzhJ7Q18rOvqu-ATNa9R2m/view?usp=sharing" TargetMode="External"/><Relationship Id="rId7163" Type="http://schemas.openxmlformats.org/officeDocument/2006/relationships/hyperlink" Target="https://drive.google.com/file/d/1GXMZSu5PFmWQL0Fyxn0-eGz6X9w-rjum/view?usp=sharing" TargetMode="External"/><Relationship Id="rId8214" Type="http://schemas.openxmlformats.org/officeDocument/2006/relationships/hyperlink" Target="https://drive.google.com/drive/u/0/folders/1ALP4U1YWuurS5tAeCDzwAhxH7kmLTrIl" TargetMode="External"/><Relationship Id="rId10144" Type="http://schemas.openxmlformats.org/officeDocument/2006/relationships/hyperlink" Target="https://www.vidio.com/live/19738-turkish-volleyball-league?schedule_id=4758874" TargetMode="External"/><Relationship Id="rId11542" Type="http://schemas.openxmlformats.org/officeDocument/2006/relationships/hyperlink" Target="https://thumbor.prod.vidiocdn.com/h4eJLgiFTS7jGc89cZISoGYxjOY=/filters:quality(70)/vidio-media-production/uploads/image/source/53263/207100.png" TargetMode="External"/><Relationship Id="rId694" Type="http://schemas.openxmlformats.org/officeDocument/2006/relationships/hyperlink" Target="https://drive.google.com/file/d/1-QXl-vrlLrcHhvLFtYciWqe4Ry8V9pZl/view?usp=sharing" TargetMode="External"/><Relationship Id="rId2375" Type="http://schemas.openxmlformats.org/officeDocument/2006/relationships/hyperlink" Target="https://drive.google.com/drive/folders/1jTpCxrE8bgpjQYW1oUGksG0BEWGOqt2M?usp=drive_link" TargetMode="External"/><Relationship Id="rId3773" Type="http://schemas.openxmlformats.org/officeDocument/2006/relationships/hyperlink" Target="https://drive.google.com/file/d/1tGyq2ECzuDqyHHnubPPlx4648Yuudg3H/view?usp=drive_link" TargetMode="External"/><Relationship Id="rId4824" Type="http://schemas.openxmlformats.org/officeDocument/2006/relationships/hyperlink" Target="https://drive.google.com/file/d/1uSlE8Wlqxz1ru4w0nIPNYzVjV5NfFndz/view?usp=sharing" TargetMode="External"/><Relationship Id="rId347" Type="http://schemas.openxmlformats.org/officeDocument/2006/relationships/hyperlink" Target="https://drive.google.com/file/d/1axKsQBNGe4NqRS0fYSSJBMHcaqbGl6_a/view?usp=sharing" TargetMode="External"/><Relationship Id="rId2028" Type="http://schemas.openxmlformats.org/officeDocument/2006/relationships/hyperlink" Target="https://drive.google.com/drive/folders/1FgQomkPL3aq477Uy9GxWKenK60sBgbi9" TargetMode="External"/><Relationship Id="rId3426" Type="http://schemas.openxmlformats.org/officeDocument/2006/relationships/hyperlink" Target="https://drive.google.com/drive/folders/1WTDwCDdZykcbcQDtlTJfHtXAR79GDF8n?usp=drive_link" TargetMode="External"/><Relationship Id="rId6996" Type="http://schemas.openxmlformats.org/officeDocument/2006/relationships/hyperlink" Target="https://drive.google.com/file/d/13-FOvR3ilhMeWZyIzyr7r_3DgRLO2Gzv/view?usp=sharing" TargetMode="External"/><Relationship Id="rId5598" Type="http://schemas.openxmlformats.org/officeDocument/2006/relationships/hyperlink" Target="https://www.vidio.com/live/19630-uefa-europa-league?schedule_id=4610734" TargetMode="External"/><Relationship Id="rId6649" Type="http://schemas.openxmlformats.org/officeDocument/2006/relationships/hyperlink" Target="https://drive.google.com/drive/folders/1jQmkG20WiDH588flUNtFIfNUFW2pT9SW?usp=drive_link" TargetMode="External"/><Relationship Id="rId12450" Type="http://schemas.openxmlformats.org/officeDocument/2006/relationships/hyperlink" Target="https://www.vidio.com/live/18249-petronas-malaysia-open-2026-semifinals?schedule_id=4835429" TargetMode="External"/><Relationship Id="rId8071" Type="http://schemas.openxmlformats.org/officeDocument/2006/relationships/hyperlink" Target="https://drive.google.com/file/d/1sdwxAk4EeyCiCswKdhljUCI-_wTdmkqR/view?usp=sharing" TargetMode="External"/><Relationship Id="rId9122" Type="http://schemas.openxmlformats.org/officeDocument/2006/relationships/hyperlink" Target="https://www.vidio.com/live/6685-champions-tv-1?schedule_id=4792866" TargetMode="External"/><Relationship Id="rId11052" Type="http://schemas.openxmlformats.org/officeDocument/2006/relationships/hyperlink" Target="https://drive.google.com/drive/u/0/folders/1p7a_qjl5SAE7egwmjgxX5Bgh6EmwMnrj" TargetMode="External"/><Relationship Id="rId12103" Type="http://schemas.openxmlformats.org/officeDocument/2006/relationships/hyperlink" Target="https://drive.google.com/file/d/1xXRyTpjraFbbrHD2OOrzfOJmKS83JG2b/view?usp=sharing" TargetMode="External"/><Relationship Id="rId1111" Type="http://schemas.openxmlformats.org/officeDocument/2006/relationships/hyperlink" Target="https://thumbor.prod.vidiocdn.com/M0aEZ95MFn6mHpYv95tVDfeLZVE=/filters:quality(70)/vidio-media-production/uploads/image/source/52497/ea4444.png" TargetMode="External"/><Relationship Id="rId4681" Type="http://schemas.openxmlformats.org/officeDocument/2006/relationships/hyperlink" Target="https://drive.google.com/file/d/1cu07KzP1uXCW9s8rjws_rTJWby2vFjc6/view?usp=drive_link" TargetMode="External"/><Relationship Id="rId5732" Type="http://schemas.openxmlformats.org/officeDocument/2006/relationships/hyperlink" Target="https://drive.google.com/drive/folders/1Xlp5aunryVlWR8atbAp6mL9dfJO63aR4?usp=drive_link" TargetMode="External"/><Relationship Id="rId3283" Type="http://schemas.openxmlformats.org/officeDocument/2006/relationships/hyperlink" Target="https://www.vidio.com/live/6685-champions-tv-1?schedule_id=4486106" TargetMode="External"/><Relationship Id="rId4334" Type="http://schemas.openxmlformats.org/officeDocument/2006/relationships/hyperlink" Target="https://drive.google.com/drive/folders/1lBlXFBl4TqP2MeqFN3Wx1uc1mDYkLzFG?usp=drive_link" TargetMode="External"/><Relationship Id="rId8955" Type="http://schemas.openxmlformats.org/officeDocument/2006/relationships/hyperlink" Target="https://www.vidio.com/live/19388-rws-muay-thai-2025?schedule_id=4707841" TargetMode="External"/><Relationship Id="rId10885" Type="http://schemas.openxmlformats.org/officeDocument/2006/relationships/hyperlink" Target="https://drive.google.com/file/d/1vSujjxl1DqBd-hytOhw51ET3ODXfYICA/view?usp=sharing" TargetMode="External"/><Relationship Id="rId11936" Type="http://schemas.openxmlformats.org/officeDocument/2006/relationships/hyperlink" Target="https://drive.google.com/file/d/1I2QL-h1CAeZERs7B5O4XbiSnpFeGO68R/view?usp=sharing" TargetMode="External"/><Relationship Id="rId6159" Type="http://schemas.openxmlformats.org/officeDocument/2006/relationships/hyperlink" Target="https://drive.google.com/file/d/1-GFsWc4Z02r5a38_yiBvPHCrHXEeueQ6/view?usp=drive_link" TargetMode="External"/><Relationship Id="rId7557" Type="http://schemas.openxmlformats.org/officeDocument/2006/relationships/hyperlink" Target="https://drive.google.com/drive/folders/1dAJNXpSckqCzGNZBFflylaakz7CTYtRg?usp=sharing" TargetMode="External"/><Relationship Id="rId8608" Type="http://schemas.openxmlformats.org/officeDocument/2006/relationships/hyperlink" Target="https://drive.google.com/drive/folders/1I47Jy3u9cEYKc_en5g4BoKqaSTyKDpS6?usp=drive_link" TargetMode="External"/><Relationship Id="rId10538" Type="http://schemas.openxmlformats.org/officeDocument/2006/relationships/hyperlink" Target="https://www.vidio.com/live/19184-darts-national-competition-2025?schedule_id=4776333" TargetMode="External"/><Relationship Id="rId2769" Type="http://schemas.openxmlformats.org/officeDocument/2006/relationships/hyperlink" Target="https://drive.google.com/drive/folders/1knY_wnTbCzq5m4PGXqyr3T28iAT4Z46q?usp=drive_link" TargetMode="External"/><Relationship Id="rId6640" Type="http://schemas.openxmlformats.org/officeDocument/2006/relationships/hyperlink" Target="https://drive.google.com/file/d/1kvTJkKwIVZOqK1PcKBjIvrS_3iASvyzW/view?usp=sharing" TargetMode="External"/><Relationship Id="rId4191" Type="http://schemas.openxmlformats.org/officeDocument/2006/relationships/hyperlink" Target="https://drive.google.com/drive/folders/1tia6v4elSjYt0ip0lAMMTPYagWB8TJZK?usp=drive_link" TargetMode="External"/><Relationship Id="rId5242" Type="http://schemas.openxmlformats.org/officeDocument/2006/relationships/hyperlink" Target="https://drive.google.com/file/d/1bR6ZQ0FE3eEZoVvalahpHNuuzk07Y_Kd/view?usp=sharing" TargetMode="External"/><Relationship Id="rId9863" Type="http://schemas.openxmlformats.org/officeDocument/2006/relationships/hyperlink" Target="https://www.vidio.com/live/19922-top-soccer-championship-2025-u-14-u-15?schedule_id=4731884" TargetMode="External"/><Relationship Id="rId77" Type="http://schemas.openxmlformats.org/officeDocument/2006/relationships/hyperlink" Target="https://drive.google.com/file/d/1CTkCdJpm5uonpYgDXsjYQjQvvR1y0LPo/view?usp=drive_link" TargetMode="External"/><Relationship Id="rId8465" Type="http://schemas.openxmlformats.org/officeDocument/2006/relationships/hyperlink" Target="https://www.vidio.com/live/19436-eredivisie?schedule_id=4758797" TargetMode="External"/><Relationship Id="rId9516" Type="http://schemas.openxmlformats.org/officeDocument/2006/relationships/hyperlink" Target="https://drive.google.com/drive/folders/1euRDLdFGvr2VADKIMDBevBOuMp2lm_F7" TargetMode="External"/><Relationship Id="rId11793" Type="http://schemas.openxmlformats.org/officeDocument/2006/relationships/hyperlink" Target="https://drive.google.com/file/d/1nH7sULRajO4R7vTslgwlwoRcl8JNedTr/view?usp=sharing" TargetMode="External"/><Relationship Id="rId1852" Type="http://schemas.openxmlformats.org/officeDocument/2006/relationships/hyperlink" Target="https://drive.google.com/drive/folders/1aexzNkyl8QGtRGJz1_l8iR7bOKhXX5tg" TargetMode="External"/><Relationship Id="rId2903" Type="http://schemas.openxmlformats.org/officeDocument/2006/relationships/hyperlink" Target="https://drive.google.com/drive/folders/1EjFTzZaElM_nUUnRO1yv537xq-gd78P_?usp=drive_link" TargetMode="External"/><Relationship Id="rId7067" Type="http://schemas.openxmlformats.org/officeDocument/2006/relationships/hyperlink" Target="https://drive.google.com/file/d/1S9YH28wi96W6Iog3qq69u9aI_i7zBuHf/view?usp=sharing" TargetMode="External"/><Relationship Id="rId8118" Type="http://schemas.openxmlformats.org/officeDocument/2006/relationships/hyperlink" Target="https://drive.google.com/file/d/1f9JILb82LtvIaZ5u_iAf8n5EBZ8NS1mb/view?usp=drive_link" TargetMode="External"/><Relationship Id="rId10048" Type="http://schemas.openxmlformats.org/officeDocument/2006/relationships/hyperlink" Target="https://drive.google.com/file/d/1XMWY2BNuMUarXxPmDXlktmyZkq5vtlHm/view?usp=sharing" TargetMode="External"/><Relationship Id="rId10395" Type="http://schemas.openxmlformats.org/officeDocument/2006/relationships/hyperlink" Target="https://drive.google.com/file/d/1fS-2CS6gmxAaS0oL7vEGibsqZMyxZg-c/view?usp=sharing" TargetMode="External"/><Relationship Id="rId11446" Type="http://schemas.openxmlformats.org/officeDocument/2006/relationships/hyperlink" Target="https://drive.google.com/drive/folders/1I-igJ0NWO5Sx5GCoAvrfPihncx24LqWP" TargetMode="External"/><Relationship Id="rId1505" Type="http://schemas.openxmlformats.org/officeDocument/2006/relationships/hyperlink" Target="https://drive.google.com/file/d/1bLqNbRXRWaR35vREByIZIONU1wK7yOb3/view?usp=sharing" TargetMode="External"/><Relationship Id="rId3677" Type="http://schemas.openxmlformats.org/officeDocument/2006/relationships/hyperlink" Target="https://drive.google.com/drive/folders/1JgPY66_avzl9mHSrA65PQbeynAze__sW?usp=drive_link" TargetMode="External"/><Relationship Id="rId4728" Type="http://schemas.openxmlformats.org/officeDocument/2006/relationships/hyperlink" Target="https://drive.google.com/file/d/1lQI9-0_iIrG0Mv0UJVlwy5umGoV-wlYy/view?usp=sharing" TargetMode="External"/><Relationship Id="rId598" Type="http://schemas.openxmlformats.org/officeDocument/2006/relationships/hyperlink" Target="https://drive.google.com/file/d/1KcS-emKRrc86RQUh2ch7ss_u9g_dvbqz/view?usp=sharing" TargetMode="External"/><Relationship Id="rId2279" Type="http://schemas.openxmlformats.org/officeDocument/2006/relationships/hyperlink" Target="https://drive.google.com/file/d/11KQn0sg-pYixbWqUdfQPcSkM4n24HjWS/view?usp=sharing" TargetMode="External"/><Relationship Id="rId6150" Type="http://schemas.openxmlformats.org/officeDocument/2006/relationships/hyperlink" Target="https://www.vidio.com/live/19647-uefa-conference-league?schedule_id=4614697" TargetMode="External"/><Relationship Id="rId7201" Type="http://schemas.openxmlformats.org/officeDocument/2006/relationships/hyperlink" Target="https://drive.google.com/drive/folders/1NepG6XT-FSa8Cs07sX3tPfQWLNpJfAxp" TargetMode="External"/><Relationship Id="rId2760" Type="http://schemas.openxmlformats.org/officeDocument/2006/relationships/hyperlink" Target="https://drive.google.com/file/d/17XQnxtF9IAsJacyyVmqxB8QDiUnYMqod/view?usp=sharing" TargetMode="External"/><Relationship Id="rId3811" Type="http://schemas.openxmlformats.org/officeDocument/2006/relationships/hyperlink" Target="https://drive.google.com/file/d/1q-kcM5BvB0E8vVlMJoe-ke1-yVSe4Szf/view?usp=sharing" TargetMode="External"/><Relationship Id="rId9373" Type="http://schemas.openxmlformats.org/officeDocument/2006/relationships/hyperlink" Target="https://thumbor.prod.vidiocdn.com/W6boQI0meJHT-kdHBUrZQMVBcEo=/filters:quality(70)/vidio-media-production/uploads/image/source/52555/4830e1.png" TargetMode="External"/><Relationship Id="rId12354" Type="http://schemas.openxmlformats.org/officeDocument/2006/relationships/hyperlink" Target="https://drive.google.com/file/d/1U1_meG0oNnbcRUJR1xNlxfh5V54yAKy4/view?usp=sharing" TargetMode="External"/><Relationship Id="rId732" Type="http://schemas.openxmlformats.org/officeDocument/2006/relationships/hyperlink" Target="https://www.vidio.com/live/9183-champions-tv-6?schedule_id=4726071" TargetMode="External"/><Relationship Id="rId1362" Type="http://schemas.openxmlformats.org/officeDocument/2006/relationships/hyperlink" Target="https://drive.google.com/file/d/1qmnm44KoSE99kVS6-KaM5Kn3Yd9LAz0Z/view?usp=drive_link" TargetMode="External"/><Relationship Id="rId2413" Type="http://schemas.openxmlformats.org/officeDocument/2006/relationships/hyperlink" Target="https://drive.google.com/file/d/1NTwa9wQ10DX2P8d9iloSfcfE5zfXDykE/view?usp=sharing" TargetMode="External"/><Relationship Id="rId9026" Type="http://schemas.openxmlformats.org/officeDocument/2006/relationships/hyperlink" Target="https://www.vidio.com/live/19960-women-s-international-friendly-match?schedule_id=4739856" TargetMode="External"/><Relationship Id="rId12007" Type="http://schemas.openxmlformats.org/officeDocument/2006/relationships/hyperlink" Target="https://drive.google.com/drive/folders/10yZ6W25MsH1Gazyf6erLQ6feN5lXYViD" TargetMode="External"/><Relationship Id="rId1015" Type="http://schemas.openxmlformats.org/officeDocument/2006/relationships/hyperlink" Target="https://drive.google.com/drive/folders/1q9ilIRHVzzt1fJMgzpGbajsNbX-SHGQ9?usp=drive_link" TargetMode="External"/><Relationship Id="rId4585" Type="http://schemas.openxmlformats.org/officeDocument/2006/relationships/hyperlink" Target="https://drive.google.com/file/d/1j8_zydbIzmj984UN0eot79rD9rBuVAk4/view?usp=sharing" TargetMode="External"/><Relationship Id="rId5983" Type="http://schemas.openxmlformats.org/officeDocument/2006/relationships/hyperlink" Target="https://drive.google.com/file/d/1JJM0G7E2DlTHoSTEPAOZwwyClu5i52Hs/view?usp=drive_link" TargetMode="External"/><Relationship Id="rId3187" Type="http://schemas.openxmlformats.org/officeDocument/2006/relationships/hyperlink" Target="https://www.vidio.com/live/6299-bein-1?schedule_id=4819775" TargetMode="External"/><Relationship Id="rId4238" Type="http://schemas.openxmlformats.org/officeDocument/2006/relationships/hyperlink" Target="https://drive.google.com/drive/folders/1Srxjct19OSrUpOkgGjPoH99g60Yp-pLn?usp=drive_link" TargetMode="External"/><Relationship Id="rId5636" Type="http://schemas.openxmlformats.org/officeDocument/2006/relationships/hyperlink" Target="https://www.vidio.com/live/19603-uefa-europa-league?schedule_id=4614702" TargetMode="External"/><Relationship Id="rId8859" Type="http://schemas.openxmlformats.org/officeDocument/2006/relationships/hyperlink" Target="https://thumbor.prod.vidiocdn.com/2yZLH3OTmVwJqbmm3jnzrOWiswo=/filters:quality(70)/vidio-media-production/uploads/image/source/51972/d7d921.png" TargetMode="External"/><Relationship Id="rId10789" Type="http://schemas.openxmlformats.org/officeDocument/2006/relationships/hyperlink" Target="https://drive.google.com/file/d/1ztp9wBaj2d2O8VNgY3kl1SeAd6H3vZ2o/view?usp=sharing" TargetMode="External"/><Relationship Id="rId2270" Type="http://schemas.openxmlformats.org/officeDocument/2006/relationships/hyperlink" Target="https://drive.google.com/drive/folders/1qCcBp9HXryO0KKa5HH_MTnpOd8vRfd9G" TargetMode="External"/><Relationship Id="rId3321" Type="http://schemas.openxmlformats.org/officeDocument/2006/relationships/hyperlink" Target="https://www.vidio.com/live/19355-bri-super-league?schedule_id=4502154" TargetMode="External"/><Relationship Id="rId6891" Type="http://schemas.openxmlformats.org/officeDocument/2006/relationships/hyperlink" Target="https://drive.google.com/file/d/10ma79NQqZjR4iW-33JuvXNYlKPlHM8X9/view?usp=drive_link" TargetMode="External"/><Relationship Id="rId7942" Type="http://schemas.openxmlformats.org/officeDocument/2006/relationships/hyperlink" Target="https://drive.google.com/file/d/1VjxDQCaKtGXd7XEmAWv7ovdCoxQyWhd1/view?usp=sharing" TargetMode="External"/><Relationship Id="rId242" Type="http://schemas.openxmlformats.org/officeDocument/2006/relationships/hyperlink" Target="https://drive.google.com/file/d/1iasf9-W_2lJGV6nDG0uiaF6FPjTbogAL/view?usp=drive_link" TargetMode="External"/><Relationship Id="rId5493" Type="http://schemas.openxmlformats.org/officeDocument/2006/relationships/hyperlink" Target="https://drive.google.com/file/d/1Jg_SWpLgSXmlQO6FCw0DYsNk1ZalGhO1/view?usp=sharing" TargetMode="External"/><Relationship Id="rId6544" Type="http://schemas.openxmlformats.org/officeDocument/2006/relationships/hyperlink" Target="https://drive.google.com/file/d/1kAY7-BWi-OEFxDKuo2sN6Gq7FZof3zuw/view?usp=sharing" TargetMode="External"/><Relationship Id="rId10923" Type="http://schemas.openxmlformats.org/officeDocument/2006/relationships/hyperlink" Target="https://drive.google.com/drive/folders/1ehBQImq5LJsocKNU7tGOwLzoxZOyVGKs" TargetMode="External"/><Relationship Id="rId4095" Type="http://schemas.openxmlformats.org/officeDocument/2006/relationships/hyperlink" Target="https://drive.google.com/file/d/1Qa6RGo-r2HrHPUrA5aCh7ooB5KYbC3gy/view?usp=drive_link" TargetMode="External"/><Relationship Id="rId5146" Type="http://schemas.openxmlformats.org/officeDocument/2006/relationships/hyperlink" Target="https://www.vidio.com/live/17883-uefa-champions-league?schedule_id=4663719" TargetMode="External"/><Relationship Id="rId8369" Type="http://schemas.openxmlformats.org/officeDocument/2006/relationships/hyperlink" Target="https://drive.google.com/file/d/1y-1GC1iFtGGuu-bDCiXN-AKfEpZW5kUI/view?usp=drive_link" TargetMode="External"/><Relationship Id="rId9767" Type="http://schemas.openxmlformats.org/officeDocument/2006/relationships/hyperlink" Target="https://drive.google.com/drive/folders/1rPHY29UCGJ-L-vSHxqJ2gd5xheHme7Js?usp=drive_link" TargetMode="External"/><Relationship Id="rId11697" Type="http://schemas.openxmlformats.org/officeDocument/2006/relationships/hyperlink" Target="https://drive.google.com/drive/folders/10yZ6W25MsH1Gazyf6erLQ6feN5lXYViD" TargetMode="External"/><Relationship Id="rId1756" Type="http://schemas.openxmlformats.org/officeDocument/2006/relationships/hyperlink" Target="https://drive.google.com/drive/folders/1vITpYa6owELhcaMUXLReRZ0syKZF3i6S" TargetMode="External"/><Relationship Id="rId2807" Type="http://schemas.openxmlformats.org/officeDocument/2006/relationships/hyperlink" Target="https://drive.google.com/file/d/1dphA8KcSI_jOGPFZHVQxU1aQZWvYlDvc/view?usp=sharing" TargetMode="External"/><Relationship Id="rId10299" Type="http://schemas.openxmlformats.org/officeDocument/2006/relationships/hyperlink" Target="https://www.vidio.com/live/19548-national-football-league-2025-26?schedule_id=4779481" TargetMode="External"/><Relationship Id="rId1409" Type="http://schemas.openxmlformats.org/officeDocument/2006/relationships/hyperlink" Target="https://drive.google.com/drive/folders/1LuxZ_sFvW4OpHLHwr_N1EPpdItPfXoCI?usp=drive_link" TargetMode="External"/><Relationship Id="rId4979" Type="http://schemas.openxmlformats.org/officeDocument/2006/relationships/hyperlink" Target="https://www.vidio.com/live/6317-bein-3?schedule_id=4569289" TargetMode="External"/><Relationship Id="rId8850" Type="http://schemas.openxmlformats.org/officeDocument/2006/relationships/hyperlink" Target="https://drive.google.com/drive/folders/1bLZz0qNvdooYXm3hcACYJZZZqN-8PAtF?usp=drive_link" TargetMode="External"/><Relationship Id="rId9901" Type="http://schemas.openxmlformats.org/officeDocument/2006/relationships/hyperlink" Target="https://thumbor.prod.vidiocdn.com/NCXtqsnasZzwiFutDpnBf7baTCc=/filters:quality(70)/vidio-media-production/uploads/image/source/52310/5f30f2.png" TargetMode="External"/><Relationship Id="rId10780" Type="http://schemas.openxmlformats.org/officeDocument/2006/relationships/hyperlink" Target="https://drive.google.com/drive/u/0/folders/18LciNSlqed1a3I6f-8aaVE-Y-MXFNSeK" TargetMode="External"/><Relationship Id="rId7452" Type="http://schemas.openxmlformats.org/officeDocument/2006/relationships/hyperlink" Target="https://drive.google.com/file/d/1DNux4glLBnqI-DzUHKvsJVIQIe0fQ_QF/view?usp=sharing" TargetMode="External"/><Relationship Id="rId8503" Type="http://schemas.openxmlformats.org/officeDocument/2006/relationships/hyperlink" Target="https://www.vidio.com/live/19773-fa-cup-2025-26?schedule_id=4678554" TargetMode="External"/><Relationship Id="rId10433" Type="http://schemas.openxmlformats.org/officeDocument/2006/relationships/hyperlink" Target="https://www.vidio.com/live/19737-turkish-volleyball-league?schedule_id=4776030" TargetMode="External"/><Relationship Id="rId11831" Type="http://schemas.openxmlformats.org/officeDocument/2006/relationships/hyperlink" Target="https://drive.google.com/drive/folders/1Ty2H_i_qk549qwdTHB8xBRYGJbtv8v5N?usp=drive_link" TargetMode="External"/><Relationship Id="rId6054" Type="http://schemas.openxmlformats.org/officeDocument/2006/relationships/hyperlink" Target="https://www.vidio.com/live/19629-uefa-europa-league?schedule_id=4773547" TargetMode="External"/><Relationship Id="rId7105" Type="http://schemas.openxmlformats.org/officeDocument/2006/relationships/hyperlink" Target="https://drive.google.com/drive/folders/1Gc7iBqianW636MwmdwE4DiBJRLnUPtET?usp=drive_link" TargetMode="External"/><Relationship Id="rId983" Type="http://schemas.openxmlformats.org/officeDocument/2006/relationships/hyperlink" Target="https://drive.google.com/file/d/1JduwOuMwCmPrWHQN1qaiGuHXCPRgCLCL/view?usp=sharing" TargetMode="External"/><Relationship Id="rId2664" Type="http://schemas.openxmlformats.org/officeDocument/2006/relationships/hyperlink" Target="https://drive.google.com/drive/folders/1YD9WuJVeK114lO9UuRHuqQtnmc99ULu2?usp=drive_link" TargetMode="External"/><Relationship Id="rId9277" Type="http://schemas.openxmlformats.org/officeDocument/2006/relationships/hyperlink" Target="https://drive.google.com/file/d/1bGAtWdCSL-v2iZg1GvRoYwXZwXVqVH3x/view?usp=drive_link" TargetMode="External"/><Relationship Id="rId12258" Type="http://schemas.openxmlformats.org/officeDocument/2006/relationships/hyperlink" Target="https://drive.google.com/file/d/17nqJ8YbOWxi4DOQmMA4_VvY1qMuE4tM4/view?usp=sharing" TargetMode="External"/><Relationship Id="rId636" Type="http://schemas.openxmlformats.org/officeDocument/2006/relationships/hyperlink" Target="https://www.vidio.com/live/9182-champions-tv-5?schedule_id=4678873" TargetMode="External"/><Relationship Id="rId1266" Type="http://schemas.openxmlformats.org/officeDocument/2006/relationships/hyperlink" Target="https://drive.google.com/file/d/1r0r_eVLL_N2CTt92R3twVIut2tNBxigF/view?usp=sharing" TargetMode="External"/><Relationship Id="rId2317" Type="http://schemas.openxmlformats.org/officeDocument/2006/relationships/hyperlink" Target="https://drive.google.com/drive/folders/1Pm5Jgmxh-aKl9hR8HYKc-wSUtGQ6816G?usp=drive_link" TargetMode="External"/><Relationship Id="rId3715" Type="http://schemas.openxmlformats.org/officeDocument/2006/relationships/hyperlink" Target="https://www.vidio.com/live/9183-champions-tv-6?schedule_id=4562682" TargetMode="External"/><Relationship Id="rId5887" Type="http://schemas.openxmlformats.org/officeDocument/2006/relationships/hyperlink" Target="https://drive.google.com/file/d/1IXfQW2DLxTz-hFf9ZaShKtnb8hEW9q5M/view?usp=sharing" TargetMode="External"/><Relationship Id="rId6938" Type="http://schemas.openxmlformats.org/officeDocument/2006/relationships/hyperlink" Target="https://drive.google.com/file/d/1BBZfnhc07lIVkcSKPvwLiI6Vse_GqWz4/view?usp=drive_link" TargetMode="External"/><Relationship Id="rId4489" Type="http://schemas.openxmlformats.org/officeDocument/2006/relationships/hyperlink" Target="https://drive.google.com/file/d/1JIoR2Ij7sCU3q7_taTQNJSmXs8YqOTzZ/view?usp=sharing" TargetMode="External"/><Relationship Id="rId8360" Type="http://schemas.openxmlformats.org/officeDocument/2006/relationships/hyperlink" Target="https://drive.google.com/file/d/1C2iCMFy_aMBetyLC6Y-n8eG9EkkAUcqZ/view?usp=sharing" TargetMode="External"/><Relationship Id="rId9411" Type="http://schemas.openxmlformats.org/officeDocument/2006/relationships/hyperlink" Target="https://drive.google.com/drive/folders/1LIzcljilCHcBJ9smk_0-OD18JJvHyfG8" TargetMode="External"/><Relationship Id="rId10290" Type="http://schemas.openxmlformats.org/officeDocument/2006/relationships/hyperlink" Target="https://drive.google.com/file/d/181R_IS50Uznq_t9MFidqWPetkgkN3xsr/view?usp=drive_link" TargetMode="External"/><Relationship Id="rId11341" Type="http://schemas.openxmlformats.org/officeDocument/2006/relationships/hyperlink" Target="https://drive.google.com/file/d/1Du-gIahFDqcl8-doYMRIN6ZEHI1MFZo2/view?usp=drive_link" TargetMode="External"/><Relationship Id="rId1400" Type="http://schemas.openxmlformats.org/officeDocument/2006/relationships/hyperlink" Target="https://drive.google.com/file/d/1dTrD-W54PUL9iI1SROrSMn0ZBEstzUc0/view?usp=sharing" TargetMode="External"/><Relationship Id="rId4970" Type="http://schemas.openxmlformats.org/officeDocument/2006/relationships/hyperlink" Target="https://drive.google.com/file/d/1mVDyMlaFgZ2_6eQYHkpreJM6xdS5Zv8r/view?usp=sharing" TargetMode="External"/><Relationship Id="rId8013" Type="http://schemas.openxmlformats.org/officeDocument/2006/relationships/hyperlink" Target="https://drive.google.com/drive/folders/1zsVDyJmpN6qEIgg_j407Iji-wn8nBJqf?usp=drive_link" TargetMode="External"/><Relationship Id="rId3572" Type="http://schemas.openxmlformats.org/officeDocument/2006/relationships/hyperlink" Target="https://drive.google.com/file/d/1MbwaP224bBc2v6NapLP1WfW77G2T_hip/view?usp=share_link" TargetMode="External"/><Relationship Id="rId4623" Type="http://schemas.openxmlformats.org/officeDocument/2006/relationships/hyperlink" Target="https://www.vidio.com/live/19404-serie-a?schedule_id=4763985" TargetMode="External"/><Relationship Id="rId493" Type="http://schemas.openxmlformats.org/officeDocument/2006/relationships/hyperlink" Target="https://drive.google.com/file/d/1aTkSzvWvufgaTZu63hkCBPCYvS0CYsz2/view?usp=sharing" TargetMode="External"/><Relationship Id="rId2174" Type="http://schemas.openxmlformats.org/officeDocument/2006/relationships/hyperlink" Target="https://drive.google.com/file/d/1syW1srBk4BAQX80t9lYa3Z8uDV1-AjE-/view?usp=sharing" TargetMode="External"/><Relationship Id="rId3225" Type="http://schemas.openxmlformats.org/officeDocument/2006/relationships/hyperlink" Target="https://thumbor.prod.vidiocdn.com/tooNU9H2jrAs2ZypN7rs8mnlOlU=/filters:quality(70)/vidio-media-production/uploads/image/source/52777/59771b.png" TargetMode="External"/><Relationship Id="rId6795" Type="http://schemas.openxmlformats.org/officeDocument/2006/relationships/hyperlink" Target="https://drive.google.com/file/d/1FisMumEfBKvbHc6F3E7fgrJZlxXYvx_F/view?usp=sharing" TargetMode="External"/><Relationship Id="rId146" Type="http://schemas.openxmlformats.org/officeDocument/2006/relationships/hyperlink" Target="https://drive.google.com/file/d/1vPXGvzAIifIj7Gj4IO4GV_yc4sH3Ot1z/view?usp=drive_link" TargetMode="External"/><Relationship Id="rId5397" Type="http://schemas.openxmlformats.org/officeDocument/2006/relationships/hyperlink" Target="https://www.vidio.com/live/6317-bein-3?schedule_id=4772709" TargetMode="External"/><Relationship Id="rId6448" Type="http://schemas.openxmlformats.org/officeDocument/2006/relationships/hyperlink" Target="https://drive.google.com/drive/folders/139SZv-XUPr6ZxXmpELMKiCIkHNhDySlT" TargetMode="External"/><Relationship Id="rId7846" Type="http://schemas.openxmlformats.org/officeDocument/2006/relationships/hyperlink" Target="https://drive.google.com/file/d/1L0jag9pXBvFHGGsc3PGtU7JJy_H30hzw/view?usp=sharing" TargetMode="External"/><Relationship Id="rId10827" Type="http://schemas.openxmlformats.org/officeDocument/2006/relationships/hyperlink" Target="https://drive.google.com/drive/folders/1X_K1rfboRBqY0tWu7vscI7hGXzSb1Rta?usp=drive_link" TargetMode="External"/><Relationship Id="rId4480" Type="http://schemas.openxmlformats.org/officeDocument/2006/relationships/hyperlink" Target="https://drive.google.com/drive/folders/1eHzART56W1SRjAgZEXSCmAoRF6XqNq7l?usp=drive_link" TargetMode="External"/><Relationship Id="rId5531" Type="http://schemas.openxmlformats.org/officeDocument/2006/relationships/hyperlink" Target="https://drive.google.com/file/d/1scJakN_KPvq_lrx5LvlYvG-SugKeHixc/view?usp=drive_link" TargetMode="External"/><Relationship Id="rId3082" Type="http://schemas.openxmlformats.org/officeDocument/2006/relationships/hyperlink" Target="https://www.vidio.com/live/6299-bein-1?schedule_id=4779485" TargetMode="External"/><Relationship Id="rId4133" Type="http://schemas.openxmlformats.org/officeDocument/2006/relationships/hyperlink" Target="https://drive.google.com/drive/folders/1IVx2X6tFMT4coEdNmA3zHA3ZIfr8Mx19?usp=drive_link" TargetMode="External"/><Relationship Id="rId8754" Type="http://schemas.openxmlformats.org/officeDocument/2006/relationships/hyperlink" Target="https://drive.google.com/drive/folders/1qf_y2HsE5m6GGl0tW7F6KEpGSg88zvzQ?usp=drive_link" TargetMode="External"/><Relationship Id="rId9805" Type="http://schemas.openxmlformats.org/officeDocument/2006/relationships/hyperlink" Target="https://drive.google.com/file/d/1bGAtWdCSL-v2iZg1GvRoYwXZwXVqVH3x/view?usp=sharing" TargetMode="External"/><Relationship Id="rId19" Type="http://schemas.openxmlformats.org/officeDocument/2006/relationships/hyperlink" Target="https://www.vidio.com/live/6685-champions-tv-1?schedule_id=4137962" TargetMode="External"/><Relationship Id="rId7356" Type="http://schemas.openxmlformats.org/officeDocument/2006/relationships/hyperlink" Target="https://www.vidio.com/live/9183-champions-tv-6?schedule_id=4606676" TargetMode="External"/><Relationship Id="rId8407" Type="http://schemas.openxmlformats.org/officeDocument/2006/relationships/hyperlink" Target="https://www.vidio.com/live/6686-champions-tv-2?schedule_id=4726077" TargetMode="External"/><Relationship Id="rId10337" Type="http://schemas.openxmlformats.org/officeDocument/2006/relationships/hyperlink" Target="https://www.vidio.com/live/18250-hsbc-bwf-world-tour-finals-2025-group-stage-court-2" TargetMode="External"/><Relationship Id="rId10684" Type="http://schemas.openxmlformats.org/officeDocument/2006/relationships/hyperlink" Target="https://drive.google.com/drive/folders/1TX6uq8cOhmWgMwbNMlyuEsaLf24StaeE" TargetMode="External"/><Relationship Id="rId11735" Type="http://schemas.openxmlformats.org/officeDocument/2006/relationships/hyperlink" Target="https://drive.google.com/file/d/10H0F1NCMOyY1qZ3uPfqQMNd90nmF_W1j/view?usp=sharing" TargetMode="External"/><Relationship Id="rId7009" Type="http://schemas.openxmlformats.org/officeDocument/2006/relationships/hyperlink" Target="https://drive.google.com/drive/folders/1xFOmxkk6jYBE_lTVa9neAUvEsm8Sv4fa?usp=drive_link" TargetMode="External"/><Relationship Id="rId3966" Type="http://schemas.openxmlformats.org/officeDocument/2006/relationships/hyperlink" Target="https://drive.google.com/drive/folders/1NepG6XT-FSa8Cs07sX3tPfQWLNpJfAxp" TargetMode="External"/><Relationship Id="rId3" Type="http://schemas.openxmlformats.org/officeDocument/2006/relationships/hyperlink" Target="https://drive.google.com/drive/folders/1VyOjcObh3o7rmCXJ21FBKYbAaSK3SCW2" TargetMode="External"/><Relationship Id="rId887" Type="http://schemas.openxmlformats.org/officeDocument/2006/relationships/hyperlink" Target="https://drive.google.com/file/d/1XAzsbz3yOaAPu_sWKJCBYk9gDEPICFLI/view?usp=sharing" TargetMode="External"/><Relationship Id="rId2568" Type="http://schemas.openxmlformats.org/officeDocument/2006/relationships/hyperlink" Target="https://drive.google.com/drive/folders/1vvJz14Jl4gIdV_iCTT5E3kf9dGSkmgZL?usp=drive_link" TargetMode="External"/><Relationship Id="rId3619" Type="http://schemas.openxmlformats.org/officeDocument/2006/relationships/hyperlink" Target="https://www.vidio.com/live/19388-rajadamnern-2025-vacant-bantamweight-title?schedule_id=4501537" TargetMode="External"/><Relationship Id="rId5041" Type="http://schemas.openxmlformats.org/officeDocument/2006/relationships/hyperlink" Target="https://drive.google.com/file/d/1k2saIEg0Lag0GzZJu4tcUoFS8Eav28t6/view?usp=drive_link" TargetMode="External"/><Relationship Id="rId9662" Type="http://schemas.openxmlformats.org/officeDocument/2006/relationships/hyperlink" Target="https://www.vidio.com/live/20048-fivb-women-s-volleyball-club-world-championship-2025?schedule_id=4778376" TargetMode="External"/><Relationship Id="rId11592" Type="http://schemas.openxmlformats.org/officeDocument/2006/relationships/hyperlink" Target="https://drive.google.com/file/d/1LOtgKnE1Hqn3AxL302OTsk1sRqyYJARV/view?usp=sharing" TargetMode="External"/><Relationship Id="rId1651" Type="http://schemas.openxmlformats.org/officeDocument/2006/relationships/hyperlink" Target="https://drive.google.com/file/d/1USIwv0byF3a1xlgavrAMW44sbcW_eb4F/view?usp=drive_link" TargetMode="External"/><Relationship Id="rId2702" Type="http://schemas.openxmlformats.org/officeDocument/2006/relationships/hyperlink" Target="https://drive.google.com/drive/folders/1kMnAUovIfqAZyRE7zHeYvNuw4YZstmZE?usp=drive_link" TargetMode="External"/><Relationship Id="rId8264" Type="http://schemas.openxmlformats.org/officeDocument/2006/relationships/hyperlink" Target="https://drive.google.com/file/d/1DNux4glLBnqI-DzUHKvsJVIQIe0fQ_QF/view?usp=sharing" TargetMode="External"/><Relationship Id="rId9315" Type="http://schemas.openxmlformats.org/officeDocument/2006/relationships/hyperlink" Target="https://drive.google.com/file/d/1EDtfFSIyz-OxyV5UGuoSdRpoK9a0qMkn/view?usp=sharing" TargetMode="External"/><Relationship Id="rId10194" Type="http://schemas.openxmlformats.org/officeDocument/2006/relationships/hyperlink" Target="https://drive.google.com/file/d/13ytwZ7TDXiImBTqOfwnjdCjGhc9CRcoT/view?usp=drive_link" TargetMode="External"/><Relationship Id="rId11245" Type="http://schemas.openxmlformats.org/officeDocument/2006/relationships/hyperlink" Target="https://www.vidio.com/live/19355-bri-super-league?schedule_id=4797264" TargetMode="External"/><Relationship Id="rId1304" Type="http://schemas.openxmlformats.org/officeDocument/2006/relationships/hyperlink" Target="https://drive.google.com/file/d/1G4has4h51RFFMNj8RetEUnbj4OxaQbTB/view?usp=drive_link" TargetMode="External"/><Relationship Id="rId4874" Type="http://schemas.openxmlformats.org/officeDocument/2006/relationships/hyperlink" Target="https://thumbor.prod.vidiocdn.com/O9SN6W1XN5RyAxcl6Qrvl4aJfA4=/filters:quality(70)/vidio-media-production/uploads/image/source/52578/fa3f81.png" TargetMode="External"/><Relationship Id="rId3476" Type="http://schemas.openxmlformats.org/officeDocument/2006/relationships/hyperlink" Target="https://drive.google.com/file/d/1Vl2OEIU7QFxOEZTKteUY_x4hD9x0CySh/view?usp=drive_link" TargetMode="External"/><Relationship Id="rId4527" Type="http://schemas.openxmlformats.org/officeDocument/2006/relationships/hyperlink" Target="https://drive.google.com/drive/folders/1Tx0zh8zfbB4j3oND_VN2iAMoVlCZTXOa?usp=drive_link" TargetMode="External"/><Relationship Id="rId5925" Type="http://schemas.openxmlformats.org/officeDocument/2006/relationships/hyperlink" Target="https://drive.google.com/file/d/1RxHtujmwHlk4IgE4bdOXoS5HVd8GiZv4/view?usp=sharing" TargetMode="External"/><Relationship Id="rId10" Type="http://schemas.openxmlformats.org/officeDocument/2006/relationships/hyperlink" Target="https://drive.google.com/drive/folders/15Tcv9uZDWo5ajrkTm9wh-dbGXpnvM4VQ" TargetMode="External"/><Relationship Id="rId397" Type="http://schemas.openxmlformats.org/officeDocument/2006/relationships/hyperlink" Target="https://drive.google.com/file/d/1r6K45AmX33i4zlPHiIc6soV-elwraE_I/view?usp=sharing" TargetMode="External"/><Relationship Id="rId2078" Type="http://schemas.openxmlformats.org/officeDocument/2006/relationships/hyperlink" Target="https://drive.google.com/file/d/1bwUd13kwwW1o8nPo3CsrArmocLxTFayO/view?usp=sharing" TargetMode="External"/><Relationship Id="rId3129" Type="http://schemas.openxmlformats.org/officeDocument/2006/relationships/hyperlink" Target="https://drive.google.com/file/d/16zVZRVbhghX1ciu1OfUljfHXtbbT1o_t/view?usp=drive_link" TargetMode="External"/><Relationship Id="rId7000" Type="http://schemas.openxmlformats.org/officeDocument/2006/relationships/hyperlink" Target="https://drive.google.com/drive/folders/1J2RCz8fgzRETB7P8TALfWSV-P8a0pE0Q?usp=drive_link" TargetMode="External"/><Relationship Id="rId6699" Type="http://schemas.openxmlformats.org/officeDocument/2006/relationships/hyperlink" Target="https://drive.google.com/file/d/1uISixxE1szKt2sFcQrd6bAP5h0_ZMEhA/view?usp=sharing" TargetMode="External"/><Relationship Id="rId9172" Type="http://schemas.openxmlformats.org/officeDocument/2006/relationships/hyperlink" Target="https://drive.google.com/drive/folders/1NepG6XT-FSa8Cs07sX3tPfQWLNpJfAxp" TargetMode="External"/><Relationship Id="rId3610" Type="http://schemas.openxmlformats.org/officeDocument/2006/relationships/hyperlink" Target="https://drive.google.com/file/d/1PD8SgAKZnXgsnQ2pP7JL7iVQXcFRXDFP/view?usp=sharing" TargetMode="External"/><Relationship Id="rId12153" Type="http://schemas.openxmlformats.org/officeDocument/2006/relationships/hyperlink" Target="https://drive.google.com/file/d/17nqJ8YbOWxi4DOQmMA4_VvY1qMuE4tM4/view?usp=sharing" TargetMode="External"/><Relationship Id="rId531" Type="http://schemas.openxmlformats.org/officeDocument/2006/relationships/hyperlink" Target="https://drive.google.com/drive/folders/1IzZPAc0_qTxDIZqKv76pm8GpxS0FcSTi?usp=drive_link" TargetMode="External"/><Relationship Id="rId1161" Type="http://schemas.openxmlformats.org/officeDocument/2006/relationships/hyperlink" Target="https://drive.google.com/drive/folders/14S_yM80-WvpmqXACafz0GKA5urFm8gtc" TargetMode="External"/><Relationship Id="rId2212" Type="http://schemas.openxmlformats.org/officeDocument/2006/relationships/hyperlink" Target="https://www.vidio.com/live/18832-sirkuit-nasional-bulutangkis-2025?schedule_id=4494860" TargetMode="External"/><Relationship Id="rId5782" Type="http://schemas.openxmlformats.org/officeDocument/2006/relationships/hyperlink" Target="https://drive.google.com/drive/folders/1beyycasvZY6YHUx0IiR2mdvQGXbhv-kg?usp=drive_link" TargetMode="External"/><Relationship Id="rId6833" Type="http://schemas.openxmlformats.org/officeDocument/2006/relationships/hyperlink" Target="https://drive.google.com/file/d/1S8WUkl-Tdt_83dfZTFAUju9UcQL-5gt6/view?usp=sharing" TargetMode="External"/><Relationship Id="rId4384" Type="http://schemas.openxmlformats.org/officeDocument/2006/relationships/hyperlink" Target="https://www.vidio.com/live/19404-serie-a?schedule_id=4678473" TargetMode="External"/><Relationship Id="rId5435" Type="http://schemas.openxmlformats.org/officeDocument/2006/relationships/hyperlink" Target="https://drive.google.com/file/d/1FR2t3RyHfWk96A_u18w48BQ68UgGynqK/view?usp=sharing" TargetMode="External"/><Relationship Id="rId4037" Type="http://schemas.openxmlformats.org/officeDocument/2006/relationships/hyperlink" Target="https://www.vidio.com/live/19404-serie-a?schedule_id=4579877" TargetMode="External"/><Relationship Id="rId8658" Type="http://schemas.openxmlformats.org/officeDocument/2006/relationships/hyperlink" Target="https://drive.google.com/file/d/17OAVDeCHFdgP96A7FMtic7mhXehhkIIT/view?usp=sharing" TargetMode="External"/><Relationship Id="rId9709" Type="http://schemas.openxmlformats.org/officeDocument/2006/relationships/hyperlink" Target="https://onechampionship.box.com/s/vjqspuk2z98t2nvuq0jxxvkvplqyt2xr" TargetMode="External"/><Relationship Id="rId11986" Type="http://schemas.openxmlformats.org/officeDocument/2006/relationships/hyperlink" Target="https://drive.google.com/drive/folders/1j4c4gd4jAGDRlfSfArFxkwTBB2fQLVm9" TargetMode="External"/><Relationship Id="rId10588" Type="http://schemas.openxmlformats.org/officeDocument/2006/relationships/hyperlink" Target="https://drive.google.com/file/d/1lkghXuASqSCRkgymGXgMTy-ExMxEF7aI/view?usp=sharing" TargetMode="External"/><Relationship Id="rId11639" Type="http://schemas.openxmlformats.org/officeDocument/2006/relationships/hyperlink" Target="https://thumbor.prod.vidiocdn.com/Wrma4PygjrJQ37YChCViXiEXhYM=/filters:quality(70)/vidio-media-production/uploads/image/source/52955/d3bbdd.png" TargetMode="External"/><Relationship Id="rId3120" Type="http://schemas.openxmlformats.org/officeDocument/2006/relationships/hyperlink" Target="https://drive.google.com/file/d/11dqnNPWmK2F0Lg_5e_xjufa8fM4MQK1y/view?usp=sharing" TargetMode="External"/><Relationship Id="rId6690" Type="http://schemas.openxmlformats.org/officeDocument/2006/relationships/hyperlink" Target="https://drive.google.com/drive/folders/1BHh5wPsnYmUU66j0vsOKMNDJmvhTzaOp?usp=drive_link" TargetMode="External"/><Relationship Id="rId7741" Type="http://schemas.openxmlformats.org/officeDocument/2006/relationships/hyperlink" Target="https://www.vidio.com/live/19542-pegadaian-championship-2025-26?schedule_id=4665900" TargetMode="External"/><Relationship Id="rId10722" Type="http://schemas.openxmlformats.org/officeDocument/2006/relationships/hyperlink" Target="https://drive.google.com/drive/folders/1JXXd0dBN80a-DRjsnMwfQzOwKCM6jLHc?usp=drive_link" TargetMode="External"/><Relationship Id="rId5292" Type="http://schemas.openxmlformats.org/officeDocument/2006/relationships/hyperlink" Target="https://drive.google.com/file/d/1IwnPHE6_FPXw7MLkMnEDj4mG_VylQ89m/view?usp=sharing" TargetMode="External"/><Relationship Id="rId6343" Type="http://schemas.openxmlformats.org/officeDocument/2006/relationships/hyperlink" Target="https://drive.google.com/file/d/1Gw_eYO2RxN_poJUyPp8OHwlxG0nTkqbc/view?usp=sharing" TargetMode="External"/><Relationship Id="rId2953" Type="http://schemas.openxmlformats.org/officeDocument/2006/relationships/hyperlink" Target="https://www.vidio.com/live/6299-bein-1?schedule_id=4724320" TargetMode="External"/><Relationship Id="rId9566" Type="http://schemas.openxmlformats.org/officeDocument/2006/relationships/hyperlink" Target="https://drive.google.com/file/d/1bGAtWdCSL-v2iZg1GvRoYwXZwXVqVH3x/view?usp=sharing" TargetMode="External"/><Relationship Id="rId11496" Type="http://schemas.openxmlformats.org/officeDocument/2006/relationships/hyperlink" Target="https://drive.google.com/drive/folders/1UnjgtoC6dP3SBTKbCbDLGo1TVO7zIxTn" TargetMode="External"/><Relationship Id="rId925" Type="http://schemas.openxmlformats.org/officeDocument/2006/relationships/hyperlink" Target="https://drive.google.com/drive/folders/10V6Y7oyUbxc_ip9uZDt5aR7SCzgNFZIH?usp=drive_link" TargetMode="External"/><Relationship Id="rId1555" Type="http://schemas.openxmlformats.org/officeDocument/2006/relationships/hyperlink" Target="https://drive.google.com/file/d/1lkCCcAZaHhFUeColQ10t0n28imRCYtkY/view?usp=drive_link" TargetMode="External"/><Relationship Id="rId2606" Type="http://schemas.openxmlformats.org/officeDocument/2006/relationships/hyperlink" Target="https://drive.google.com/drive/folders/1Voz3jSsJWUJV446PaEXTaIL-PqExtdfF?usp=drive_link" TargetMode="External"/><Relationship Id="rId8168" Type="http://schemas.openxmlformats.org/officeDocument/2006/relationships/hyperlink" Target="https://www.vidio.com/live/19542-pegadaian-championship-2025-26?schedule_id=4713691" TargetMode="External"/><Relationship Id="rId9219" Type="http://schemas.openxmlformats.org/officeDocument/2006/relationships/hyperlink" Target="https://www.vidio.com/live/19810-top-soccer-championship-2025-u-15?schedule_id=4708363" TargetMode="External"/><Relationship Id="rId10098" Type="http://schemas.openxmlformats.org/officeDocument/2006/relationships/hyperlink" Target="https://drive.google.com/file/d/1xGCEnun4Uw0B32p6ViwH62JL0iRw_jny/view?usp=sharing" TargetMode="External"/><Relationship Id="rId11149" Type="http://schemas.openxmlformats.org/officeDocument/2006/relationships/hyperlink" Target="https://thumbor.prod.vidiocdn.com/AnHP9XTPDnu1y24gh33Ntui8CMo=/filters:quality(70)/vidio-media-production/uploads/image/source/53292/eb1fb6.png" TargetMode="External"/><Relationship Id="rId1208" Type="http://schemas.openxmlformats.org/officeDocument/2006/relationships/hyperlink" Target="https://drive.google.com/file/d/1jVeGF3PYNMKaluL4IkQtJJV9YCdigJX-/view?usp=sharing" TargetMode="External"/><Relationship Id="rId4778" Type="http://schemas.openxmlformats.org/officeDocument/2006/relationships/hyperlink" Target="https://thumbor.prod.vidiocdn.com/suDW1s6dbWk2UP2O50iN60bGYME=/filters:quality(70)/vidio-media-production/uploads/image/source/52204/eb45bc.png" TargetMode="External"/><Relationship Id="rId5829" Type="http://schemas.openxmlformats.org/officeDocument/2006/relationships/hyperlink" Target="https://drive.google.com/file/d/1R-OzDXHtxYGu8Lwkh7E0GPGtEY_l3rDG/view?usp=sharing" TargetMode="External"/><Relationship Id="rId7251" Type="http://schemas.openxmlformats.org/officeDocument/2006/relationships/hyperlink" Target="https://drive.google.com/drive/folders/1nciDjIDyLHjf-XScdXF1mnClsd2u-fHE?usp=drive_link" TargetMode="External"/><Relationship Id="rId9700" Type="http://schemas.openxmlformats.org/officeDocument/2006/relationships/hyperlink" Target="https://www.vidio.com/live/18678-efl-championship-2024-25?schedule_id=4730522" TargetMode="External"/><Relationship Id="rId11630" Type="http://schemas.openxmlformats.org/officeDocument/2006/relationships/hyperlink" Target="https://drive.google.com/drive/folders/1zf0qvRIv8hHawbGV3BgRaZLuLhB18gpa" TargetMode="External"/><Relationship Id="rId8302" Type="http://schemas.openxmlformats.org/officeDocument/2006/relationships/hyperlink" Target="https://drive.google.com/drive/folders/1kpJtMwNNDhhBfcdEdUUJbFPjqc-gEStF?usp=drive_link" TargetMode="External"/><Relationship Id="rId10232" Type="http://schemas.openxmlformats.org/officeDocument/2006/relationships/hyperlink" Target="https://drive.google.com/file/d/1Z8hap6nuNAN6WTZALsIa2FYhLvVpKMc6/view?usp=sharing" TargetMode="External"/><Relationship Id="rId3861" Type="http://schemas.openxmlformats.org/officeDocument/2006/relationships/hyperlink" Target="https://thumbor.prod.vidiocdn.com/bGpD9hlBtXQISew_NmhIvo2xVLU=/filters:quality(70)/vidio-media-production/uploads/image/source/52138/9f1d01.png" TargetMode="External"/><Relationship Id="rId4912" Type="http://schemas.openxmlformats.org/officeDocument/2006/relationships/hyperlink" Target="https://thumbor.prod.vidiocdn.com/xqSImPchs3ZtsXf7ojpSsCuwFTk=/filters:quality(70)/vidio-media-production/uploads/image/source/53033/0e9159.png" TargetMode="External"/><Relationship Id="rId782" Type="http://schemas.openxmlformats.org/officeDocument/2006/relationships/hyperlink" Target="https://drive.google.com/file/d/1yhrvDOCQhu7ddL3fLP1Y-ZDZkbMO-JR_/view?usp=sharing" TargetMode="External"/><Relationship Id="rId2463" Type="http://schemas.openxmlformats.org/officeDocument/2006/relationships/hyperlink" Target="https://www.vidio.com/live/6317-bein-3?schedule_id=4577347" TargetMode="External"/><Relationship Id="rId3514" Type="http://schemas.openxmlformats.org/officeDocument/2006/relationships/hyperlink" Target="https://drive.google.com/drive/folders/1y3FJCNlo7RZ8GikL8dQL5t10SiBG89xQ" TargetMode="External"/><Relationship Id="rId9076" Type="http://schemas.openxmlformats.org/officeDocument/2006/relationships/hyperlink" Target="https://drive.google.com/file/d/1UIvbkyfh0nEb9fuga07Z-PZ42WfVK14m/view?usp=sharing" TargetMode="External"/><Relationship Id="rId12057" Type="http://schemas.openxmlformats.org/officeDocument/2006/relationships/hyperlink" Target="https://drive.google.com/file/d/1khQrXXQF4DXWbEvpQ5PrFElQfRn5_sMl/view?usp=sharing" TargetMode="External"/><Relationship Id="rId435" Type="http://schemas.openxmlformats.org/officeDocument/2006/relationships/hyperlink" Target="https://drive.google.com/drive/folders/1ZoiVTfzJ3065iJgnVDPRIElUqpcWy71r?usp=drive_link" TargetMode="External"/><Relationship Id="rId1065" Type="http://schemas.openxmlformats.org/officeDocument/2006/relationships/hyperlink" Target="https://drive.google.com/file/d/17GYQoWjvVs8Pa7zQD2a6U9PMbzI97ccQ/view?usp=sharing" TargetMode="External"/><Relationship Id="rId2116" Type="http://schemas.openxmlformats.org/officeDocument/2006/relationships/hyperlink" Target="https://www.vidio.com/live/19354-bri-super-league?schedule_id=4739840" TargetMode="External"/><Relationship Id="rId5686" Type="http://schemas.openxmlformats.org/officeDocument/2006/relationships/hyperlink" Target="https://www.vidio.com/live/6317-bein-3?schedule_id=4664042" TargetMode="External"/><Relationship Id="rId6737" Type="http://schemas.openxmlformats.org/officeDocument/2006/relationships/hyperlink" Target="https://drive.google.com/file/d/1CZv1arP8jTapbZtMFVT7R1Zq27Biju0x/view?usp=drive_link" TargetMode="External"/><Relationship Id="rId4288" Type="http://schemas.openxmlformats.org/officeDocument/2006/relationships/hyperlink" Target="https://drive.google.com/file/d/1QZK8hbCMrRUl2iISzcmu6i37xzovc2Jc/view?usp=sharing" TargetMode="External"/><Relationship Id="rId5339" Type="http://schemas.openxmlformats.org/officeDocument/2006/relationships/hyperlink" Target="https://drive.google.com/drive/folders/14Wb3x9yN298vTECYGS7G_yCO7LWjXAJK" TargetMode="External"/><Relationship Id="rId9210" Type="http://schemas.openxmlformats.org/officeDocument/2006/relationships/hyperlink" Target="https://www.vidio.com/live/19813-top-soccer-championship-2025-u-16" TargetMode="External"/><Relationship Id="rId11140" Type="http://schemas.openxmlformats.org/officeDocument/2006/relationships/hyperlink" Target="https://thumbor.prod.vidiocdn.com/EAssMmP7l-ThYczaeevnE54QOSE=/filters:quality(70)/vidio-media-production/uploads/image/source/53284/eb3f78.png" TargetMode="External"/><Relationship Id="rId1949" Type="http://schemas.openxmlformats.org/officeDocument/2006/relationships/hyperlink" Target="https://drive.google.com/drive/folders/1CwWccpWqZzu4td1JA8r9KVnAVufyWtUZ" TargetMode="External"/><Relationship Id="rId5820" Type="http://schemas.openxmlformats.org/officeDocument/2006/relationships/hyperlink" Target="https://www.vidio.com/live/6299-bein-1?schedule_id=4702065" TargetMode="External"/><Relationship Id="rId292" Type="http://schemas.openxmlformats.org/officeDocument/2006/relationships/hyperlink" Target="https://drive.google.com/drive/folders/1E-SiChHX8IFkkAWfrdcoH1SwbCWsIC_8?usp=drive_link" TargetMode="External"/><Relationship Id="rId3371" Type="http://schemas.openxmlformats.org/officeDocument/2006/relationships/hyperlink" Target="https://drive.google.com/file/d/1QzNdKOyhZFJrxx8ktH6h9RBV6fRMcPoH/view?usp=sharing" TargetMode="External"/><Relationship Id="rId4422" Type="http://schemas.openxmlformats.org/officeDocument/2006/relationships/hyperlink" Target="https://drive.google.com/file/d/1HJb4q__MyuwTUN_qMEeUuzS2Wn4lng9X/view?usp=sharing" TargetMode="External"/><Relationship Id="rId7992" Type="http://schemas.openxmlformats.org/officeDocument/2006/relationships/hyperlink" Target="https://www.vidio.com/live/6317-bein-3?schedule_id=4713685" TargetMode="External"/><Relationship Id="rId3024" Type="http://schemas.openxmlformats.org/officeDocument/2006/relationships/hyperlink" Target="https://drive.google.com/file/d/1avEiZNtDZ_IAlxeGvQRCdLWmZ8FwiXAv/view?usp=sharing" TargetMode="External"/><Relationship Id="rId6594" Type="http://schemas.openxmlformats.org/officeDocument/2006/relationships/hyperlink" Target="https://drive.google.com/file/d/1s5Nk_MFdv4DKSdZ0Hp8OEN3NYuvd2YR5/view?usp=sharing" TargetMode="External"/><Relationship Id="rId7645" Type="http://schemas.openxmlformats.org/officeDocument/2006/relationships/hyperlink" Target="https://www.vidio.com/live/6686-champions-tv-2?schedule_id=4630479" TargetMode="External"/><Relationship Id="rId10973" Type="http://schemas.openxmlformats.org/officeDocument/2006/relationships/hyperlink" Target="https://drive.google.com/file/d/1OzVAkrpKBzoSaTB5pNNQSWFIfr5YdkAg/view?usp=sharing" TargetMode="External"/><Relationship Id="rId5196" Type="http://schemas.openxmlformats.org/officeDocument/2006/relationships/hyperlink" Target="https://drive.google.com/file/d/12MlI0weoC0dpOKbeZQgaNL13JYsL7B7e/view?usp=sharing" TargetMode="External"/><Relationship Id="rId6247" Type="http://schemas.openxmlformats.org/officeDocument/2006/relationships/hyperlink" Target="https://drive.google.com/file/d/1qKH6Az41C61OqmHkjbk0ZOmvE0hQimNL/view?usp=sharing" TargetMode="External"/><Relationship Id="rId10626" Type="http://schemas.openxmlformats.org/officeDocument/2006/relationships/hyperlink" Target="https://drive.google.com/file/d/18khDvrMc9cVklJwGtCmuBrILQqwdlduQ/view?usp=sharing" TargetMode="External"/><Relationship Id="rId1459" Type="http://schemas.openxmlformats.org/officeDocument/2006/relationships/hyperlink" Target="https://www.vidio.com/live/6299-bein-1?schedule_id=4527682" TargetMode="External"/><Relationship Id="rId2857" Type="http://schemas.openxmlformats.org/officeDocument/2006/relationships/hyperlink" Target="https://drive.google.com/file/d/1OChIL5PY3GLNNw3YTttk0WMa7Jjh8V-k/view?usp=sharing" TargetMode="External"/><Relationship Id="rId3908" Type="http://schemas.openxmlformats.org/officeDocument/2006/relationships/hyperlink" Target="https://drive.google.com/drive/folders/1K8vowht2vTJzQU9wMFrrV-BWGtKlPUsJ" TargetMode="External"/><Relationship Id="rId5330" Type="http://schemas.openxmlformats.org/officeDocument/2006/relationships/hyperlink" Target="https://drive.google.com/file/d/1k1OlxWst6hRl_OxvmneiFmWIkqnRehaW/view?usp=sharing" TargetMode="External"/><Relationship Id="rId829" Type="http://schemas.openxmlformats.org/officeDocument/2006/relationships/hyperlink" Target="https://drive.google.com/drive/folders/1UZYrMypLkMeOmoGy-ys63XYpcG3Q9K2l?usp=drive_link" TargetMode="External"/><Relationship Id="rId9951" Type="http://schemas.openxmlformats.org/officeDocument/2006/relationships/hyperlink" Target="https://drive.google.com/drive/folders/1jhK9RT1jh811o8JRF7UVagXKMaho_8L3?usp=drive_link" TargetMode="External"/><Relationship Id="rId11881" Type="http://schemas.openxmlformats.org/officeDocument/2006/relationships/hyperlink" Target="https://drive.google.com/drive/folders/1TYXj5i7Ik4SNEitV7mHoBo1u6CAR_kAQ?usp=drive_link" TargetMode="External"/><Relationship Id="rId1940" Type="http://schemas.openxmlformats.org/officeDocument/2006/relationships/hyperlink" Target="https://drive.google.com/file/d/1qAUhXWf0LC-RqKSqg06PmoTs4pUcGYPH/view?usp=sharing" TargetMode="External"/><Relationship Id="rId8553" Type="http://schemas.openxmlformats.org/officeDocument/2006/relationships/hyperlink" Target="https://drive.google.com/file/d/1fL5l2ZxXvE3LKGIbEye9JoW0KkFg32K-/view?usp=sharing" TargetMode="External"/><Relationship Id="rId9604" Type="http://schemas.openxmlformats.org/officeDocument/2006/relationships/hyperlink" Target="https://drive.google.com/file/d/1k706SYWjwsvjSrjYqJzHcCZfyProTQyi/view?usp=sharing" TargetMode="External"/><Relationship Id="rId10483" Type="http://schemas.openxmlformats.org/officeDocument/2006/relationships/hyperlink" Target="https://drive.google.com/drive/folders/1NepG6XT-FSa8Cs07sX3tPfQWLNpJfAxp" TargetMode="External"/><Relationship Id="rId11534" Type="http://schemas.openxmlformats.org/officeDocument/2006/relationships/hyperlink" Target="https://thumbor.prod.vidiocdn.com/81gcRydkbhjUaSKOjbjiQWykSNs=/filters:quality(70)/vidio-media-production/uploads/image/source/53260/0cdbb7.png" TargetMode="External"/><Relationship Id="rId7155" Type="http://schemas.openxmlformats.org/officeDocument/2006/relationships/hyperlink" Target="https://drive.google.com/file/d/1pgdh8iNElXkwHMj29vFvYnx_EaQZ5OCN/view?usp=sharing" TargetMode="External"/><Relationship Id="rId8206" Type="http://schemas.openxmlformats.org/officeDocument/2006/relationships/hyperlink" Target="https://drive.google.com/drive/folders/1pSGm0bHkzrJhOS0KLEe-F_yW026zG1au" TargetMode="External"/><Relationship Id="rId10136" Type="http://schemas.openxmlformats.org/officeDocument/2006/relationships/hyperlink" Target="https://www.vidio.com/live/19998?schedule_id=4743098" TargetMode="External"/><Relationship Id="rId3765" Type="http://schemas.openxmlformats.org/officeDocument/2006/relationships/hyperlink" Target="https://www.vidio.com/live/6685-champions-tv-1?schedule_id=4558878" TargetMode="External"/><Relationship Id="rId4816" Type="http://schemas.openxmlformats.org/officeDocument/2006/relationships/hyperlink" Target="https://drive.google.com/drive/folders/1JjpkTpJl13AZ5egil4VyBo7tnKkB_oKC?usp=drive_link" TargetMode="External"/><Relationship Id="rId686" Type="http://schemas.openxmlformats.org/officeDocument/2006/relationships/hyperlink" Target="https://drive.google.com/drive/folders/1ds9PMo8hFSwSpLmEp1JSAss9vLnn8zkw" TargetMode="External"/><Relationship Id="rId2367" Type="http://schemas.openxmlformats.org/officeDocument/2006/relationships/hyperlink" Target="https://www.vidio.com/live/6317-bein-3?schedule_id=4527530" TargetMode="External"/><Relationship Id="rId3418" Type="http://schemas.openxmlformats.org/officeDocument/2006/relationships/hyperlink" Target="https://drive.google.com/file/d/103GRCYoFkHeNAdXfO9NnyK4xnK3Uf2js/view?usp=sharing" TargetMode="External"/><Relationship Id="rId339" Type="http://schemas.openxmlformats.org/officeDocument/2006/relationships/hyperlink" Target="https://drive.google.com/drive/folders/1FsV7XFKpA5jbtxswcBAoNg_QQf6iIY2I?usp=drive_link" TargetMode="External"/><Relationship Id="rId6988" Type="http://schemas.openxmlformats.org/officeDocument/2006/relationships/hyperlink" Target="https://drive.google.com/drive/folders/1fGx7TdNZRKFIGDmpJmqS67sVm8lWgXAH?usp=drive_link" TargetMode="External"/><Relationship Id="rId9461" Type="http://schemas.openxmlformats.org/officeDocument/2006/relationships/hyperlink" Target="https://drive.google.com/drive/folders/1hgSBbO7rpQM37b-9xZ6EmidR_TKzm6h2" TargetMode="External"/><Relationship Id="rId8063" Type="http://schemas.openxmlformats.org/officeDocument/2006/relationships/hyperlink" Target="https://drive.google.com/file/d/1tF3ZYgVLC056YzVBDofrAfyRHE_i8li_/view?usp=sharing" TargetMode="External"/><Relationship Id="rId9114" Type="http://schemas.openxmlformats.org/officeDocument/2006/relationships/hyperlink" Target="https://drive.google.com/file/d/1v-5yjWqxKtvOPkoLh6SOSHbmx_8gXGn8/view?usp=sharing" TargetMode="External"/><Relationship Id="rId11391" Type="http://schemas.openxmlformats.org/officeDocument/2006/relationships/hyperlink" Target="https://drive.google.com/drive/folders/14f22sk7S9lXV3toIyrfX8QF5EuZvKN4I" TargetMode="External"/><Relationship Id="rId12442" Type="http://schemas.openxmlformats.org/officeDocument/2006/relationships/hyperlink" Target="https://www.vidio.com/live/20277?schedule_id=4834237" TargetMode="External"/><Relationship Id="rId820" Type="http://schemas.openxmlformats.org/officeDocument/2006/relationships/hyperlink" Target="https://drive.google.com/file/d/1yMbn8ASwGmRgQtqwq6Su1oXUmwUhl3m4/view?usp=sharing" TargetMode="External"/><Relationship Id="rId1450" Type="http://schemas.openxmlformats.org/officeDocument/2006/relationships/hyperlink" Target="https://www.vidio.com/live/6317-bein-3?schedule_id=4506552" TargetMode="External"/><Relationship Id="rId2501" Type="http://schemas.openxmlformats.org/officeDocument/2006/relationships/hyperlink" Target="https://drive.google.com/file/d/1q1ZMUrH4pGPhM2wrYfESaeGSPPBnlHYb/view?usp=sharing" TargetMode="External"/><Relationship Id="rId11044" Type="http://schemas.openxmlformats.org/officeDocument/2006/relationships/hyperlink" Target="https://thumbor.prod.vidiocdn.com/1HvxEWXSD89HyUrzUJd-wBcCOVs=/filters:quality(70)/vidio-media-production/uploads/image/source/53183/0b2540.png" TargetMode="External"/><Relationship Id="rId1103" Type="http://schemas.openxmlformats.org/officeDocument/2006/relationships/hyperlink" Target="https://www.vidio.com/live/9182-champions-tv-5?schedule_id=4792894" TargetMode="External"/><Relationship Id="rId4673" Type="http://schemas.openxmlformats.org/officeDocument/2006/relationships/hyperlink" Target="https://drive.google.com/file/d/1RK926h2vqSOyGRnufYFemcy_yhWuUSDd/view?usp=sharing" TargetMode="External"/><Relationship Id="rId5724" Type="http://schemas.openxmlformats.org/officeDocument/2006/relationships/hyperlink" Target="https://drive.google.com/file/d/1eckIiKD9gxYH8_5tnUv_1rEoxYsi7YW5/view?usp=sharing" TargetMode="External"/><Relationship Id="rId3275" Type="http://schemas.openxmlformats.org/officeDocument/2006/relationships/hyperlink" Target="https://drive.google.com/file/d/1IzCrHO3uGKa046TNohjVvFiJCECsD0SE/view?usp=sharing" TargetMode="External"/><Relationship Id="rId4326" Type="http://schemas.openxmlformats.org/officeDocument/2006/relationships/hyperlink" Target="https://drive.google.com/file/d/1vrg_Yzt43QHxHvifjHiDHimsDgTkTfjk/view?usp=sharing" TargetMode="External"/><Relationship Id="rId7896" Type="http://schemas.openxmlformats.org/officeDocument/2006/relationships/hyperlink" Target="https://drive.google.com/drive/folders/14MVylt0CsJlNgVIXwShyfe4rds0Ms4H1?usp=sharing" TargetMode="External"/><Relationship Id="rId8947" Type="http://schemas.openxmlformats.org/officeDocument/2006/relationships/hyperlink" Target="https://drive.google.com/file/d/17DehloxrAD4D-PGH0oSQkKWN92XP5m9n/view?usp=sharing" TargetMode="External"/><Relationship Id="rId196" Type="http://schemas.openxmlformats.org/officeDocument/2006/relationships/hyperlink" Target="https://www.vidio.com/live/18796-premier-league?schedule_id=4525576" TargetMode="External"/><Relationship Id="rId6498" Type="http://schemas.openxmlformats.org/officeDocument/2006/relationships/hyperlink" Target="https://drive.google.com/file/d/1ZCtBQ42PBlTWoZ9TJyE6v_9npq2DUSP8/view?usp=sharing" TargetMode="External"/><Relationship Id="rId7549" Type="http://schemas.openxmlformats.org/officeDocument/2006/relationships/hyperlink" Target="https://drive.google.com/drive/folders/16HhOHCUbBfazmuxvGxTleVVPL42clfR6?usp=sharing" TargetMode="External"/><Relationship Id="rId10877" Type="http://schemas.openxmlformats.org/officeDocument/2006/relationships/hyperlink" Target="https://drive.google.com/file/d/1pAgKr6kaIzEUwE0dwkzPh-b2u_H2ZUA9/view?usp=sharing" TargetMode="External"/><Relationship Id="rId11928" Type="http://schemas.openxmlformats.org/officeDocument/2006/relationships/hyperlink" Target="https://www.vidio.com/live/18252-petronas-malaysia-open-2026-round-of-32-court-3?schedule_id=4831582" TargetMode="External"/><Relationship Id="rId330" Type="http://schemas.openxmlformats.org/officeDocument/2006/relationships/hyperlink" Target="https://drive.google.com/file/d/1M4cmhgE6iOqW7DNvghA-emxwPppGYMNB/view?usp=drive_link" TargetMode="External"/><Relationship Id="rId2011" Type="http://schemas.openxmlformats.org/officeDocument/2006/relationships/hyperlink" Target="https://drive.google.com/file/d/1X-onyD7Zbn27J7bk9mL9gKIXpGZCgmXz/view?usp=sharing" TargetMode="External"/><Relationship Id="rId4183" Type="http://schemas.openxmlformats.org/officeDocument/2006/relationships/hyperlink" Target="https://www.vidio.com/live/19404-serie-a?schedule_id=4631510" TargetMode="External"/><Relationship Id="rId5581" Type="http://schemas.openxmlformats.org/officeDocument/2006/relationships/hyperlink" Target="https://drive.google.com/file/d/1PQVRFVHEtB-c1XLZdCp2FFwgXJUZUelb/view?usp=sharing" TargetMode="External"/><Relationship Id="rId6632" Type="http://schemas.openxmlformats.org/officeDocument/2006/relationships/hyperlink" Target="https://www.vidio.com/live/20092-uefa-conference-league?schedule_id=4783346" TargetMode="External"/><Relationship Id="rId5234" Type="http://schemas.openxmlformats.org/officeDocument/2006/relationships/hyperlink" Target="https://drive.google.com/drive/folders/1txm4DYNZUdd57VRoWuQTCSeSIlIkLr13" TargetMode="External"/><Relationship Id="rId9855" Type="http://schemas.openxmlformats.org/officeDocument/2006/relationships/hyperlink" Target="https://drive.google.com/file/d/1bGAtWdCSL-v2iZg1GvRoYwXZwXVqVH3x/view" TargetMode="External"/><Relationship Id="rId11785" Type="http://schemas.openxmlformats.org/officeDocument/2006/relationships/hyperlink" Target="https://drive.google.com/file/d/10Dg19gxv8a0XxrxQRQbj0JWEF6PpsWUr/view?usp=sharing" TargetMode="External"/><Relationship Id="rId69" Type="http://schemas.openxmlformats.org/officeDocument/2006/relationships/hyperlink" Target="https://3.basecamp.com/4902751/buckets/36763424/card_tables/cards/8911568443" TargetMode="External"/><Relationship Id="rId1844" Type="http://schemas.openxmlformats.org/officeDocument/2006/relationships/hyperlink" Target="https://www.vidio.com/live/205-indosiar?schedule_id=4651622" TargetMode="External"/><Relationship Id="rId8457" Type="http://schemas.openxmlformats.org/officeDocument/2006/relationships/hyperlink" Target="https://drive.google.com/file/d/1TFK7ZxZexwNSVv-NKgrhjCnob7adKvK4/view?usp=sharing" TargetMode="External"/><Relationship Id="rId9508" Type="http://schemas.openxmlformats.org/officeDocument/2006/relationships/hyperlink" Target="https://drive.google.com/file/d/1EOy16kr0mw0gzkFeNq7-CeaG3Ogjah_-/view?usp=sharing" TargetMode="External"/><Relationship Id="rId10387" Type="http://schemas.openxmlformats.org/officeDocument/2006/relationships/hyperlink" Target="https://drive.google.com/file/d/1PV-Xx00H7YLM0HHe1Qk7zWBLqKMsGr5d/view?usp=sharing" TargetMode="External"/><Relationship Id="rId11438" Type="http://schemas.openxmlformats.org/officeDocument/2006/relationships/hyperlink" Target="https://drive.google.com/drive/folders/1I-igJ0NWO5Sx5GCoAvrfPihncx24LqWP" TargetMode="External"/><Relationship Id="rId7059" Type="http://schemas.openxmlformats.org/officeDocument/2006/relationships/hyperlink" Target="https://drive.google.com/file/d/1G_jv5-hhcTFTb9iyG8bz1KjEBbgu9sXt/view?usp=sharing" TargetMode="External"/><Relationship Id="rId3669" Type="http://schemas.openxmlformats.org/officeDocument/2006/relationships/hyperlink" Target="https://drive.google.com/file/d/1z5aa-L4GTtlorHn7k6vSV3pR-46C5uWI/view?usp=sharing" TargetMode="External"/><Relationship Id="rId7540" Type="http://schemas.openxmlformats.org/officeDocument/2006/relationships/hyperlink" Target="https://www.vidio.com/live/205-indosiar?schedule_id=4626711" TargetMode="External"/><Relationship Id="rId5091" Type="http://schemas.openxmlformats.org/officeDocument/2006/relationships/hyperlink" Target="https://drive.google.com/drive/folders/1XVB-t5i2LgqKmA0ueqJ58SsvPlWBFjwT" TargetMode="External"/><Relationship Id="rId6142" Type="http://schemas.openxmlformats.org/officeDocument/2006/relationships/hyperlink" Target="https://drive.google.com/drive/folders/1z0QSLmNvSJyyT8FLEYRkw6ibg9dSBAVC" TargetMode="External"/><Relationship Id="rId10521" Type="http://schemas.openxmlformats.org/officeDocument/2006/relationships/hyperlink" Target="https://www.vidio.com/live/17875-bein-2?schedule_id=4803409" TargetMode="External"/><Relationship Id="rId2752" Type="http://schemas.openxmlformats.org/officeDocument/2006/relationships/hyperlink" Target="https://www.vidio.com/live/6299-bein-1?schedule_id=4665858" TargetMode="External"/><Relationship Id="rId3803" Type="http://schemas.openxmlformats.org/officeDocument/2006/relationships/hyperlink" Target="https://drive.google.com/drive/folders/1vwtkGbKtDgksbkNqQMOTrMoYYregjUqi?usp=sharing" TargetMode="External"/><Relationship Id="rId9365" Type="http://schemas.openxmlformats.org/officeDocument/2006/relationships/hyperlink" Target="https://www.vidio.com/live/19388-rws-muay-thai-2025?schedule_id=4724852" TargetMode="External"/><Relationship Id="rId11295" Type="http://schemas.openxmlformats.org/officeDocument/2006/relationships/hyperlink" Target="https://drive.google.com/file/d/1uJeTFAd3aKVwvgO8iWJpmThSs8fKCrzt/view?usp=sharing" TargetMode="External"/><Relationship Id="rId12346" Type="http://schemas.openxmlformats.org/officeDocument/2006/relationships/hyperlink" Target="http://vidio.com/live/20273?schedule_id=4833845" TargetMode="External"/><Relationship Id="rId724" Type="http://schemas.openxmlformats.org/officeDocument/2006/relationships/hyperlink" Target="https://drive.google.com/file/d/1lJUoAEO3hDrjyInEVaB8d2eqt-ydQKB2/view?usp=sharing" TargetMode="External"/><Relationship Id="rId1354" Type="http://schemas.openxmlformats.org/officeDocument/2006/relationships/hyperlink" Target="https://drive.google.com/drive/folders/13g-2xNYJ52g3CsquyDv4V9uUMoDq__RD?usp=drive_link" TargetMode="External"/><Relationship Id="rId2405" Type="http://schemas.openxmlformats.org/officeDocument/2006/relationships/hyperlink" Target="https://drive.google.com/file/d/1C0QScxd4cKiFyem64ahnN-CnagzE4LWd/view?usp=sharing" TargetMode="External"/><Relationship Id="rId5975" Type="http://schemas.openxmlformats.org/officeDocument/2006/relationships/hyperlink" Target="https://drive.google.com/file/d/1LqGtUxFvbvyhdRjOwiWnG4BOfkp3-Mi3/view?usp=sharing" TargetMode="External"/><Relationship Id="rId9018" Type="http://schemas.openxmlformats.org/officeDocument/2006/relationships/hyperlink" Target="https://drive.google.com/drive/folders/1UPJV_O8lyIUgnWdUj_L91uwZreflmjiT?usp=sharing" TargetMode="External"/><Relationship Id="rId60" Type="http://schemas.openxmlformats.org/officeDocument/2006/relationships/hyperlink" Target="https://drive.google.com/file/d/1zt03pESkCne3OHxs9JmBosVPO9-z61fJ/view?usp=sharing" TargetMode="External"/><Relationship Id="rId1007" Type="http://schemas.openxmlformats.org/officeDocument/2006/relationships/hyperlink" Target="https://drive.google.com/file/d/1-Tihw8jyS1qh1rrxycDCxFsMRJ80i18s/view?usp=sharing" TargetMode="External"/><Relationship Id="rId4577" Type="http://schemas.openxmlformats.org/officeDocument/2006/relationships/hyperlink" Target="https://www.vidio.com/live/19404-serie-a?schedule_id=4741002" TargetMode="External"/><Relationship Id="rId5628" Type="http://schemas.openxmlformats.org/officeDocument/2006/relationships/hyperlink" Target="https://drive.google.com/drive/folders/1vfcMBwcK4QrBLigrafrrvuCBo9z79PYW?usp=drive_link" TargetMode="External"/><Relationship Id="rId3179" Type="http://schemas.openxmlformats.org/officeDocument/2006/relationships/hyperlink" Target="https://thumbor.prod.vidiocdn.com/HhfJCa3uscF46Ai6StrwKvVhBTI=/filters:quality(70)/vidio-media-production/uploads/image/source/52102/5b9e5c.png" TargetMode="External"/><Relationship Id="rId7050" Type="http://schemas.openxmlformats.org/officeDocument/2006/relationships/hyperlink" Target="https://www.vidio.com/live/19541-pegadaian-championship-2025-26?schedule_id=4627666" TargetMode="External"/><Relationship Id="rId8101" Type="http://schemas.openxmlformats.org/officeDocument/2006/relationships/hyperlink" Target="https://drive.google.com/file/d/1tLHHfViNrxwa9SVCZY4I37cgk1usKbct/view?usp=sharing" TargetMode="External"/><Relationship Id="rId10031" Type="http://schemas.openxmlformats.org/officeDocument/2006/relationships/hyperlink" Target="https://drive.google.com/drive/folders/1o9_tQug4wIueMFKcGLjGvUwGCik6cXNR" TargetMode="External"/><Relationship Id="rId581" Type="http://schemas.openxmlformats.org/officeDocument/2006/relationships/hyperlink" Target="https://drive.google.com/drive/folders/1BaKEAksWphtk0rg17S496F_Eh3hUVNcj?usp=drive_link" TargetMode="External"/><Relationship Id="rId2262" Type="http://schemas.openxmlformats.org/officeDocument/2006/relationships/hyperlink" Target="https://www.vidio.com/live/6299-bein-1?schedule_id=4499136" TargetMode="External"/><Relationship Id="rId3660" Type="http://schemas.openxmlformats.org/officeDocument/2006/relationships/hyperlink" Target="https://drive.google.com/drive/folders/1sanxGtMZ76CVdXTj0NtNc25j5HkqPSMG?usp=drive_link" TargetMode="External"/><Relationship Id="rId4711" Type="http://schemas.openxmlformats.org/officeDocument/2006/relationships/hyperlink" Target="https://drive.google.com/file/d/1JeJYNCSuVD7pru_KZ-GZkMLSIj3Whv53/view?usp=sharing" TargetMode="External"/><Relationship Id="rId234" Type="http://schemas.openxmlformats.org/officeDocument/2006/relationships/hyperlink" Target="https://drive.google.com/drive/folders/1keBgYGAW2V9gleWyOBlIJnrRzNas7sPg?usp=drive_link" TargetMode="External"/><Relationship Id="rId3313" Type="http://schemas.openxmlformats.org/officeDocument/2006/relationships/hyperlink" Target="https://drive.google.com/drive/folders/1EiW6NIp2MjpSFYrqlQ8Rm33gnCEW_brP" TargetMode="External"/><Relationship Id="rId6883" Type="http://schemas.openxmlformats.org/officeDocument/2006/relationships/hyperlink" Target="https://drive.google.com/file/d/1RdyoYyFWC7-08PHFjLaY0uqjjvi6WN23/view?usp=sharing" TargetMode="External"/><Relationship Id="rId7934" Type="http://schemas.openxmlformats.org/officeDocument/2006/relationships/hyperlink" Target="https://drive.google.com/file/d/1bywtVM_SXo9wsg7NNt16mIc_rP_jX2P2/view?usp=sharing" TargetMode="External"/><Relationship Id="rId5485" Type="http://schemas.openxmlformats.org/officeDocument/2006/relationships/hyperlink" Target="https://drive.google.com/file/d/1B-rqzBr6C3wKAhg8wJQkWN9FhyqbaDrW/view?usp=share_link" TargetMode="External"/><Relationship Id="rId6536" Type="http://schemas.openxmlformats.org/officeDocument/2006/relationships/hyperlink" Target="https://drive.google.com/drive/folders/1LKS2on6xqVgy3nEVDHlKrw7X-lhifqqr?usp=drive_link" TargetMode="External"/><Relationship Id="rId10915" Type="http://schemas.openxmlformats.org/officeDocument/2006/relationships/hyperlink" Target="https://drive.google.com/drive/folders/1B_CpyZmnmZlHkjOa4CyokY-4DC1T2lX4" TargetMode="External"/><Relationship Id="rId4087" Type="http://schemas.openxmlformats.org/officeDocument/2006/relationships/hyperlink" Target="https://drive.google.com/drive/folders/1DvMQV9NlVYoo20E4-F_Oa1Fu7tcwX-j1?usp=drive_link" TargetMode="External"/><Relationship Id="rId5138" Type="http://schemas.openxmlformats.org/officeDocument/2006/relationships/hyperlink" Target="https://drive.google.com/file/d/1Fg9Wd3iAnBIzDbmJLXi8hipwmtNH4JQy/view?usp=sharing" TargetMode="External"/><Relationship Id="rId9759" Type="http://schemas.openxmlformats.org/officeDocument/2006/relationships/hyperlink" Target="https://drive.google.com/drive/folders/1GX6vrxWJWysb8-Csvrv6A1zR8ToDjMms" TargetMode="External"/><Relationship Id="rId1748" Type="http://schemas.openxmlformats.org/officeDocument/2006/relationships/hyperlink" Target="https://www.vidio.com/live/19354-bri-super-league?schedule_id=4578242" TargetMode="External"/><Relationship Id="rId11689" Type="http://schemas.openxmlformats.org/officeDocument/2006/relationships/hyperlink" Target="https://thumbor.prod.vidiocdn.com/LVXJeKiUY77JwqKE19Klh6ahpJs=/filters:quality(70)/vidio-media-production/uploads/image/source/52884/6235c3.png" TargetMode="External"/><Relationship Id="rId3170" Type="http://schemas.openxmlformats.org/officeDocument/2006/relationships/hyperlink" Target="https://thumbor.prod.vidiocdn.com/YXuXidkkspasX1tNmUG0Oj20hRQ=/filters:quality(70)/vidio-media-production/uploads/image/source/52105/ad39ff.png" TargetMode="External"/><Relationship Id="rId4221" Type="http://schemas.openxmlformats.org/officeDocument/2006/relationships/hyperlink" Target="https://drive.google.com/drive/folders/1ZvV_IkTV9f9BOY6RhwnkqwQ-9fji1J_-?usp=drive_link" TargetMode="External"/><Relationship Id="rId6393" Type="http://schemas.openxmlformats.org/officeDocument/2006/relationships/hyperlink" Target="https://drive.google.com/drive/folders/1F9lLmIvT4-3oh_Jbh-sne-zsyB6ey7v0" TargetMode="External"/><Relationship Id="rId7791" Type="http://schemas.openxmlformats.org/officeDocument/2006/relationships/hyperlink" Target="https://drive.google.com/file/d/1Qrmtizg5lc4abZf9nXQx0_2uJ1Xig8LV/view?usp=sharing" TargetMode="External"/><Relationship Id="rId8842" Type="http://schemas.openxmlformats.org/officeDocument/2006/relationships/hyperlink" Target="https://drive.google.com/drive/folders/1vbibJhFmDNOaXskQ1Ey0pt02On9Dc9D7?usp=drive_link" TargetMode="External"/><Relationship Id="rId10772" Type="http://schemas.openxmlformats.org/officeDocument/2006/relationships/hyperlink" Target="https://drive.google.com/drive/u/0/folders/1VvSok_jYJ2q9sN586HVKTHeMzo4MZdCi" TargetMode="External"/><Relationship Id="rId11823" Type="http://schemas.openxmlformats.org/officeDocument/2006/relationships/hyperlink" Target="https://drive.google.com/drive/folders/1Ty2H_i_qk549qwdTHB8xBRYGJbtv8v5N?usp=drive_link" TargetMode="External"/><Relationship Id="rId6046" Type="http://schemas.openxmlformats.org/officeDocument/2006/relationships/hyperlink" Target="https://drive.google.com/file/d/1RJ7AA1Hvo9HYfs5Ee8vrbqgL6-L4kp6s/view?usp=sharing" TargetMode="External"/><Relationship Id="rId7444" Type="http://schemas.openxmlformats.org/officeDocument/2006/relationships/hyperlink" Target="https://drive.google.com/file/d/1bpCqNnVWX-oA2ANULKpxZ5ZC2PijWLxd/view?usp=sharing" TargetMode="External"/><Relationship Id="rId10425" Type="http://schemas.openxmlformats.org/officeDocument/2006/relationships/hyperlink" Target="https://www.vidio.com/live/18189-champions-golf-1?schedule_id=4779504" TargetMode="External"/><Relationship Id="rId975" Type="http://schemas.openxmlformats.org/officeDocument/2006/relationships/hyperlink" Target="https://drive.google.com/file/d/1sCGvll78vwQjS2rMofObklmdHJGW4_I7/view?usp=sharing" TargetMode="External"/><Relationship Id="rId2656" Type="http://schemas.openxmlformats.org/officeDocument/2006/relationships/hyperlink" Target="https://www.vidio.com/live/6299-bein-1?schedule_id=4614515" TargetMode="External"/><Relationship Id="rId3707" Type="http://schemas.openxmlformats.org/officeDocument/2006/relationships/hyperlink" Target="https://drive.google.com/drive/folders/1q9Nm3AfGYCUbb-YDbORLo0Jcd2orbjDx" TargetMode="External"/><Relationship Id="rId9269" Type="http://schemas.openxmlformats.org/officeDocument/2006/relationships/hyperlink" Target="https://drive.google.com/file/d/1bGAtWdCSL-v2iZg1GvRoYwXZwXVqVH3x/view?usp=sharing" TargetMode="External"/><Relationship Id="rId11199" Type="http://schemas.openxmlformats.org/officeDocument/2006/relationships/hyperlink" Target="https://drive.google.com/drive/folders/1QmPGJyfkUAeB_LgPBPbXsinI50fPu4_R" TargetMode="External"/><Relationship Id="rId628" Type="http://schemas.openxmlformats.org/officeDocument/2006/relationships/hyperlink" Target="https://drive.google.com/file/d/193NbVPx9A2V63wUOwrP_EtC3M5HUNpvi/view?usp=sharing" TargetMode="External"/><Relationship Id="rId1258" Type="http://schemas.openxmlformats.org/officeDocument/2006/relationships/hyperlink" Target="https://drive.google.com/drive/folders/1-ngCkmebiikLCT-rZrRHFYIEMyyV3A3Y?usp=drive_link" TargetMode="External"/><Relationship Id="rId2309" Type="http://schemas.openxmlformats.org/officeDocument/2006/relationships/hyperlink" Target="https://www.vidio.com/live/6299-bein-1?schedule_id=4514012" TargetMode="External"/><Relationship Id="rId5879" Type="http://schemas.openxmlformats.org/officeDocument/2006/relationships/hyperlink" Target="https://drive.google.com/file/d/1jiH2L9FHDHCSFrblxn5pPqJVU_-5wOhM/view?usp=sharing" TargetMode="External"/><Relationship Id="rId9750" Type="http://schemas.openxmlformats.org/officeDocument/2006/relationships/hyperlink" Target="https://drive.google.com/file/d/1jkh3XO-2vgl_UvzTDXAypfUBoo0oVJqc/view?usp=sharing" TargetMode="External"/><Relationship Id="rId8352" Type="http://schemas.openxmlformats.org/officeDocument/2006/relationships/hyperlink" Target="https://www.vidio.com/live/19673-turkish-women-s-volleyball-cup?schedule_id=4655730" TargetMode="External"/><Relationship Id="rId9403" Type="http://schemas.openxmlformats.org/officeDocument/2006/relationships/hyperlink" Target="https://thumbor.prod.vidiocdn.com/D-9f9eX2Zz5nB0ezrfDJWdA57X8=/filters:quality(70)/vidio-media-production/uploads/image/source/52557/fbb22a.png" TargetMode="External"/><Relationship Id="rId11680" Type="http://schemas.openxmlformats.org/officeDocument/2006/relationships/hyperlink" Target="https://drive.google.com/file/d/13uA3WrHqTHZkLVq4pAyw5kaBpbBhq4pS/view?usp=sharing" TargetMode="External"/><Relationship Id="rId8005" Type="http://schemas.openxmlformats.org/officeDocument/2006/relationships/hyperlink" Target="https://drive.google.com/file/d/1zjNjJ9liFTItGGCTvVMthwBD6F6V38PU/view?usp=sharing" TargetMode="External"/><Relationship Id="rId10282" Type="http://schemas.openxmlformats.org/officeDocument/2006/relationships/hyperlink" Target="https://www.vidio.com/live/20027?schedule_id=4765280" TargetMode="External"/><Relationship Id="rId11333" Type="http://schemas.openxmlformats.org/officeDocument/2006/relationships/hyperlink" Target="https://drive.google.com/file/d/10dPM4P1L1b4F0U-_UWnjTdsJk524Gsun/view?usp=sharing" TargetMode="External"/><Relationship Id="rId4962" Type="http://schemas.openxmlformats.org/officeDocument/2006/relationships/hyperlink" Target="https://drive.google.com/file/d/1S2oVWKSVB1f81Cn5ZpQSH74DhelP2dkJ/view?usp=sharing" TargetMode="External"/><Relationship Id="rId3564" Type="http://schemas.openxmlformats.org/officeDocument/2006/relationships/hyperlink" Target="https://thumbor.prod.vidiocdn.com/hV-aWzU9wcsP6AHLiFqxDC90_uc=/filters:quality(70)/vidio-media-production/uploads/image/source/52864/a694bb.png" TargetMode="External"/><Relationship Id="rId4615" Type="http://schemas.openxmlformats.org/officeDocument/2006/relationships/hyperlink" Target="https://drive.google.com/file/d/1444Bqwauy_h2XdA-FOuLzvyDyyMJFsSI/view?usp=sharing" TargetMode="External"/><Relationship Id="rId485" Type="http://schemas.openxmlformats.org/officeDocument/2006/relationships/hyperlink" Target="https://drive.google.com/file/d/1R-ZblOd0yDSQBIuo90i1Wz0i9gRbdcfC/view?usp=sharing" TargetMode="External"/><Relationship Id="rId2166" Type="http://schemas.openxmlformats.org/officeDocument/2006/relationships/hyperlink" Target="https://drive.google.com/file/d/1sQNEMuhp4bHGINp8-IBf2w25Xs5V10S8/view?usp=drive_link" TargetMode="External"/><Relationship Id="rId3217" Type="http://schemas.openxmlformats.org/officeDocument/2006/relationships/hyperlink" Target="https://drive.google.com/file/d/1CwY-Vza6Q6Hn1KIl5y9ZeSrJeJ9FBenc/view?usp=sharing" TargetMode="External"/><Relationship Id="rId6787" Type="http://schemas.openxmlformats.org/officeDocument/2006/relationships/hyperlink" Target="https://drive.google.com/drive/folders/1NepG6XT-FSa8Cs07sX3tPfQWLNpJfAxp" TargetMode="External"/><Relationship Id="rId7838" Type="http://schemas.openxmlformats.org/officeDocument/2006/relationships/hyperlink" Target="https://drive.google.com/file/d/1RzQmUIJUmFoABjv0_z5QjFxDB5u62U6I/view?usp=sharing" TargetMode="External"/><Relationship Id="rId138" Type="http://schemas.openxmlformats.org/officeDocument/2006/relationships/hyperlink" Target="https://drive.google.com/drive/folders/1ZnBlExIc16jpQRJ5yiF_rjC2Vw5bQFo5?usp=drive_link" TargetMode="External"/><Relationship Id="rId5389" Type="http://schemas.openxmlformats.org/officeDocument/2006/relationships/hyperlink" Target="https://drive.google.com/file/d/1-hvqEOWki9dHjXmhoqQj48PLCgWCrGdo/view?usp=sharing" TargetMode="External"/><Relationship Id="rId9260" Type="http://schemas.openxmlformats.org/officeDocument/2006/relationships/hyperlink" Target="https://drive.google.com/file/d/1bGAtWdCSL-v2iZg1GvRoYwXZwXVqVH3x/view?usp=sharing" TargetMode="External"/><Relationship Id="rId10819" Type="http://schemas.openxmlformats.org/officeDocument/2006/relationships/hyperlink" Target="https://drive.google.com/drive/folders/1X_K1rfboRBqY0tWu7vscI7hGXzSb1Rta?usp=drive_link" TargetMode="External"/><Relationship Id="rId11190" Type="http://schemas.openxmlformats.org/officeDocument/2006/relationships/hyperlink" Target="https://www.vidio.com/live/18250-hsbc-bwf-world-tour-finals-2025-group-stage-court-2?schedule_id=4784610" TargetMode="External"/><Relationship Id="rId12241" Type="http://schemas.openxmlformats.org/officeDocument/2006/relationships/hyperlink" Target="https://www.vidio.com/live/20271?schedule_id=4833838" TargetMode="External"/><Relationship Id="rId2300" Type="http://schemas.openxmlformats.org/officeDocument/2006/relationships/hyperlink" Target="https://drive.google.com/file/d/1yTdSsNo-xYodnudZMFkeCDIVmURJD3rM/view?usp=sharing" TargetMode="External"/><Relationship Id="rId1999" Type="http://schemas.openxmlformats.org/officeDocument/2006/relationships/hyperlink" Target="https://drive.google.com/file/d/1UkN_eu7W2uR2mSZwB4cSAkUI157Jmg5P/view?usp=sharing" TargetMode="External"/><Relationship Id="rId4472" Type="http://schemas.openxmlformats.org/officeDocument/2006/relationships/hyperlink" Target="https://drive.google.com/file/d/1yoCp0amejvn3qjFrro7DEehDKXipmZyb/view?usp=sharing" TargetMode="External"/><Relationship Id="rId5870" Type="http://schemas.openxmlformats.org/officeDocument/2006/relationships/hyperlink" Target="https://drive.google.com/file/d/1I2Ex13HU8qy8SwBEg3jrKDI5xlOKC14l/view?usp=sharing" TargetMode="External"/><Relationship Id="rId6921" Type="http://schemas.openxmlformats.org/officeDocument/2006/relationships/hyperlink" Target="https://drive.google.com/file/d/10nOaz5ipUgiO-j8Fsr7rZI4BA7ckT3tj/view?usp=sharing" TargetMode="External"/><Relationship Id="rId3074" Type="http://schemas.openxmlformats.org/officeDocument/2006/relationships/hyperlink" Target="https://drive.google.com/file/d/1sFaUqK6iWUzUffaYh6uD4iUjyNRoy7mW/view?usp=sharing" TargetMode="External"/><Relationship Id="rId4125" Type="http://schemas.openxmlformats.org/officeDocument/2006/relationships/hyperlink" Target="https://drive.google.com/file/d/1tbfuwx6QjHH5_08OromfuMBNrAcoxU5X/view?usp=sharing" TargetMode="External"/><Relationship Id="rId5523" Type="http://schemas.openxmlformats.org/officeDocument/2006/relationships/hyperlink" Target="https://drive.google.com/drive/folders/1vs2NPBadTfe8mkFp1C94plFN9o2qZ3M8?usp=drive_link" TargetMode="External"/><Relationship Id="rId7695" Type="http://schemas.openxmlformats.org/officeDocument/2006/relationships/hyperlink" Target="https://drive.google.com/drive/folders/1-d7SElccr2N6xnWCuYB7bicvICq7mohq?usp=drive_link" TargetMode="External"/><Relationship Id="rId8746" Type="http://schemas.openxmlformats.org/officeDocument/2006/relationships/hyperlink" Target="https://www.vidio.com/live/19745-top-youth-premier-league-2025-matchday-8?schedule_id=4670875" TargetMode="External"/><Relationship Id="rId10676" Type="http://schemas.openxmlformats.org/officeDocument/2006/relationships/hyperlink" Target="https://thumbor.prod.vidiocdn.com/yqY0aDPoFFtbgx_TsD9ssmh5s04=/filters:quality(70)/vidio-media-production/uploads/image/source/52897/d4c1f3.png" TargetMode="External"/><Relationship Id="rId11727" Type="http://schemas.openxmlformats.org/officeDocument/2006/relationships/hyperlink" Target="https://drive.google.com/drive/folders/1ORHpZWx6pdNEDX6lDr7U4SeoknFF1yjA" TargetMode="External"/><Relationship Id="rId6297" Type="http://schemas.openxmlformats.org/officeDocument/2006/relationships/hyperlink" Target="https://drive.google.com/drive/folders/1_QyyUC0KxsA5I5XnGSR_moWG1pYIaeRU" TargetMode="External"/><Relationship Id="rId7348" Type="http://schemas.openxmlformats.org/officeDocument/2006/relationships/hyperlink" Target="https://drive.google.com/file/d/1LUfiQBQObrzLq0FQaIWp8iaYJarQBa_O/view?usp=sharing" TargetMode="External"/><Relationship Id="rId10329" Type="http://schemas.openxmlformats.org/officeDocument/2006/relationships/hyperlink" Target="https://www.vidio.com/live/18250-hsbc-bwf-world-tour-finals-2025-group-stage-court-2" TargetMode="External"/><Relationship Id="rId3958" Type="http://schemas.openxmlformats.org/officeDocument/2006/relationships/hyperlink" Target="https://drive.google.com/file/d/1DNux4glLBnqI-DzUHKvsJVIQIe0fQ_QF/view?usp=sharing" TargetMode="External"/><Relationship Id="rId879" Type="http://schemas.openxmlformats.org/officeDocument/2006/relationships/hyperlink" Target="https://drive.google.com/file/d/1FKg8zIKrmzI18w4olKuorM9wrOb1GFju/view?usp=drive_link" TargetMode="External"/><Relationship Id="rId5380" Type="http://schemas.openxmlformats.org/officeDocument/2006/relationships/hyperlink" Target="https://drive.google.com/drive/folders/1lcoVv8YsrfVdRJNMJbCVT8a8R_zRhucl" TargetMode="External"/><Relationship Id="rId6431" Type="http://schemas.openxmlformats.org/officeDocument/2006/relationships/hyperlink" Target="https://www.vidio.com/live/6317-bein-3?schedule_id=4734870" TargetMode="External"/><Relationship Id="rId10810" Type="http://schemas.openxmlformats.org/officeDocument/2006/relationships/hyperlink" Target="https://www.vidio.com/live/18250-hsbc-bwf-world-tour-finals-2025-group-stage-court-2?schedule_id=4782026" TargetMode="External"/><Relationship Id="rId5033" Type="http://schemas.openxmlformats.org/officeDocument/2006/relationships/hyperlink" Target="https://drive.google.com/drive/folders/1iXXXI8AUN2qzP-l9i7Vb4Z_ch9sn0od-" TargetMode="External"/><Relationship Id="rId1990" Type="http://schemas.openxmlformats.org/officeDocument/2006/relationships/hyperlink" Target="https://www.vidio.com/live/19384-bri-super-league?schedule_id=4684718" TargetMode="External"/><Relationship Id="rId8256" Type="http://schemas.openxmlformats.org/officeDocument/2006/relationships/hyperlink" Target="https://www.vidio.com/live/19692-top-youth-premier-league-2025-matchweek-6?schedule_id=4644425" TargetMode="External"/><Relationship Id="rId9654" Type="http://schemas.openxmlformats.org/officeDocument/2006/relationships/hyperlink" Target="https://www.vidio.com/live/20048-fivb-women-s-volleyball-club-world-championship-2025?schedule_id=4773608" TargetMode="External"/><Relationship Id="rId11584" Type="http://schemas.openxmlformats.org/officeDocument/2006/relationships/hyperlink" Target="https://drive.google.com/file/d/1VHIj02f3kbDmrpJpwQB0MpggHwIT4fXo/view?usp=sharing" TargetMode="External"/><Relationship Id="rId1643" Type="http://schemas.openxmlformats.org/officeDocument/2006/relationships/hyperlink" Target="https://drive.google.com/file/d/1cyxNocV4QrWwj65QzFbvZOzdMq0Wt59u/view?usp=drive_link" TargetMode="External"/><Relationship Id="rId9307" Type="http://schemas.openxmlformats.org/officeDocument/2006/relationships/hyperlink" Target="https://drive.google.com/file/d/159n5akhercRYCnHfnhDHEIFJFtRxlZsz/view?usp=sharing" TargetMode="External"/><Relationship Id="rId10186" Type="http://schemas.openxmlformats.org/officeDocument/2006/relationships/hyperlink" Target="https://drive.google.com/file/d/1wHl_K26WnvJqZL7QE53N2j13uUnfa2xt/view?usp=sharing" TargetMode="External"/><Relationship Id="rId11237" Type="http://schemas.openxmlformats.org/officeDocument/2006/relationships/hyperlink" Target="https://drive.google.com/drive/folders/1A4WKliSRWIgRy9bEGePxxadiIuRWxR2N?usp=drive_link" TargetMode="External"/><Relationship Id="rId4866" Type="http://schemas.openxmlformats.org/officeDocument/2006/relationships/hyperlink" Target="https://thumbor.prod.vidiocdn.com/6dJZ231XvdGNQekyjvfezU9T52I=/filters:quality(70)/vidio-media-production/uploads/image/source/52814/ac4fb0.png" TargetMode="External"/><Relationship Id="rId5917" Type="http://schemas.openxmlformats.org/officeDocument/2006/relationships/hyperlink" Target="https://drive.google.com/drive/folders/1pYi5qIT6QdvkfDRfWH0qsk97hfAPMoyN?usp=drive_link" TargetMode="External"/><Relationship Id="rId3468" Type="http://schemas.openxmlformats.org/officeDocument/2006/relationships/hyperlink" Target="https://drive.google.com/drive/folders/1HS8I3KhAPphNjtql2iAGdhjr4brYuVwu" TargetMode="External"/><Relationship Id="rId4519" Type="http://schemas.openxmlformats.org/officeDocument/2006/relationships/hyperlink" Target="https://drive.google.com/file/d/1Niu3Zoi15XIajb5D6Rr5hu_wu9tThHZL/view?usp=sharing" TargetMode="External"/><Relationship Id="rId10320" Type="http://schemas.openxmlformats.org/officeDocument/2006/relationships/hyperlink" Target="https://drive.google.com/file/d/1ehPHlNfv24yKS4qwWvbp5EP5ggNmJREB/view?usp=sharing" TargetMode="External"/><Relationship Id="rId389" Type="http://schemas.openxmlformats.org/officeDocument/2006/relationships/hyperlink" Target="https://drive.google.com/file/d/1d-PZPOhYAZI-WGdlSFM5kLhuu5-E0ulJ/view?usp=sharing" TargetMode="External"/><Relationship Id="rId870" Type="http://schemas.openxmlformats.org/officeDocument/2006/relationships/hyperlink" Target="https://www.vidio.com/live/9182-champions-tv-5?schedule_id=4747193" TargetMode="External"/><Relationship Id="rId2551" Type="http://schemas.openxmlformats.org/officeDocument/2006/relationships/hyperlink" Target="https://drive.google.com/file/d/17ldsLAVGzI0ecjf5dy6Wk9FZ5iof0a9V/view?usp=sharing" TargetMode="External"/><Relationship Id="rId9164" Type="http://schemas.openxmlformats.org/officeDocument/2006/relationships/hyperlink" Target="https://drive.google.com/file/d/1DNux4glLBnqI-DzUHKvsJVIQIe0fQ_QF/view?usp=sharing" TargetMode="External"/><Relationship Id="rId11094" Type="http://schemas.openxmlformats.org/officeDocument/2006/relationships/hyperlink" Target="https://drive.google.com/file/d/1h9IyA-ix3PI4F6tI8ZFYITNA0JhiByx_/view?usp=sharing" TargetMode="External"/><Relationship Id="rId523" Type="http://schemas.openxmlformats.org/officeDocument/2006/relationships/hyperlink" Target="https://drive.google.com/file/d/1tdfzXES8nmwUzdspepTfoSyo-qMC4bk_/view?usp=sharing" TargetMode="External"/><Relationship Id="rId1153" Type="http://schemas.openxmlformats.org/officeDocument/2006/relationships/hyperlink" Target="https://thumbor.prod.vidiocdn.com/2vjutuzyM3Ncb_qiiMsOGRwMklA=/filters:quality(70)/vidio-media-production/uploads/image/source/52550/ad78d4.png" TargetMode="External"/><Relationship Id="rId2204" Type="http://schemas.openxmlformats.org/officeDocument/2006/relationships/hyperlink" Target="https://drive.google.com/file/d/1UbvFZnriaCldAIpmpE7hc-vTesDsGWYG/view?usp=sharing" TargetMode="External"/><Relationship Id="rId3602" Type="http://schemas.openxmlformats.org/officeDocument/2006/relationships/hyperlink" Target="https://thumbor.prod.vidiocdn.com/6xEmdEJ-oYp7H81jixHsUXoO12E=/filters:quality(70)/vidio-media-production/uploads/image/source/53054/952f17.png" TargetMode="External"/><Relationship Id="rId12145" Type="http://schemas.openxmlformats.org/officeDocument/2006/relationships/hyperlink" Target="https://www.vidio.com/live/20269-liga-topskor-greater-jakarta-pekan-pertama-u-14-lapangan-kedung-halang" TargetMode="External"/><Relationship Id="rId5774" Type="http://schemas.openxmlformats.org/officeDocument/2006/relationships/hyperlink" Target="https://drive.google.com/file/d/1JNxWsJz2MXRwMLXENwhy3LtxrBQcKIVF/view?usp=drive_link" TargetMode="External"/><Relationship Id="rId6825" Type="http://schemas.openxmlformats.org/officeDocument/2006/relationships/hyperlink" Target="https://drive.google.com/file/d/1tukBiZm92z37dqmcOWPFqUvuSmqlRJdH/view?usp=sharing" TargetMode="External"/><Relationship Id="rId4376" Type="http://schemas.openxmlformats.org/officeDocument/2006/relationships/hyperlink" Target="https://drive.google.com/file/d/1I5w-K1NaM5kY2kCqmQksIrztsL39Pfh5/view?usp=sharing" TargetMode="External"/><Relationship Id="rId5427" Type="http://schemas.openxmlformats.org/officeDocument/2006/relationships/hyperlink" Target="https://drive.google.com/file/d/1c01BLJqKGaIUsQQTvvag1xCwgjjtvmYU/view?usp=share_link" TargetMode="External"/><Relationship Id="rId8997" Type="http://schemas.openxmlformats.org/officeDocument/2006/relationships/hyperlink" Target="https://drive.google.com/drive/folders/1xfIQsRba-3Jaq62MoVKSNA-rqJut07dn?usp=drive_link" TargetMode="External"/><Relationship Id="rId4029" Type="http://schemas.openxmlformats.org/officeDocument/2006/relationships/hyperlink" Target="https://drive.google.com/file/d/1iKLkricbS-bEN6-yUQrTKdW-YxLZfRbW/view?usp=sharing" TargetMode="External"/><Relationship Id="rId7599" Type="http://schemas.openxmlformats.org/officeDocument/2006/relationships/hyperlink" Target="https://drive.google.com/drive/folders/1pZo1S6QLarDjRlpBIZJnvQx9x8GaRifW?usp=drive_link" TargetMode="External"/><Relationship Id="rId11978" Type="http://schemas.openxmlformats.org/officeDocument/2006/relationships/hyperlink" Target="https://www.vidio.com/live/18252-petronas-malaysia-open-2026-round-of-32-court-3?schedule_id=4832205" TargetMode="External"/><Relationship Id="rId4510" Type="http://schemas.openxmlformats.org/officeDocument/2006/relationships/hyperlink" Target="https://drive.google.com/drive/folders/1DeJCScnPkkDeQ_R7vAEQkIx3Z9GGUNrT?usp=drive_link" TargetMode="External"/><Relationship Id="rId380" Type="http://schemas.openxmlformats.org/officeDocument/2006/relationships/hyperlink" Target="https://www.vidio.com/live/19375-premier-league?schedule_id=4598348" TargetMode="External"/><Relationship Id="rId2061" Type="http://schemas.openxmlformats.org/officeDocument/2006/relationships/hyperlink" Target="https://drive.google.com/file/d/1HoWK3FhHmcyoJzHXmIos_c-nr1cqomhP/view?usp=sharing" TargetMode="External"/><Relationship Id="rId3112" Type="http://schemas.openxmlformats.org/officeDocument/2006/relationships/hyperlink" Target="https://www.vidio.com/live/6299-bein-1?schedule_id=4773336" TargetMode="External"/><Relationship Id="rId6682" Type="http://schemas.openxmlformats.org/officeDocument/2006/relationships/hyperlink" Target="https://www.vidio.com/live/6786-champions-tv-3?schedule_id=4593641" TargetMode="External"/><Relationship Id="rId5284" Type="http://schemas.openxmlformats.org/officeDocument/2006/relationships/hyperlink" Target="https://drive.google.com/drive/folders/1c1Y6Ucd4nZMNcJ6WM4TUnwjfcKeEKLZf" TargetMode="External"/><Relationship Id="rId6335" Type="http://schemas.openxmlformats.org/officeDocument/2006/relationships/hyperlink" Target="https://www.vidio.com/live/19648-uefa-conference-league?schedule_id=4700076" TargetMode="External"/><Relationship Id="rId7733" Type="http://schemas.openxmlformats.org/officeDocument/2006/relationships/hyperlink" Target="https://drive.google.com/file/d/1WF9jg-V8SYfEXsP9VxZLo58LHLlTS965/view?usp=drive_link" TargetMode="External"/><Relationship Id="rId10714" Type="http://schemas.openxmlformats.org/officeDocument/2006/relationships/hyperlink" Target="https://drive.google.com/file/d/1Ft6cbsMTt11OnH4Bkm6QJ3zBvqtLSul0/view?usp=sharing" TargetMode="External"/><Relationship Id="rId1894" Type="http://schemas.openxmlformats.org/officeDocument/2006/relationships/hyperlink" Target="https://drive.google.com/file/d/1eUpperqdqpUXe5n4D9GKLqz3Rrcd6Cf7/view?usp=sharing" TargetMode="External"/><Relationship Id="rId2945" Type="http://schemas.openxmlformats.org/officeDocument/2006/relationships/hyperlink" Target="https://drive.google.com/file/d/1k-jvHXGF_qZVnWucgz4yN9wLMtgvl_Zh/view?usp=sharing" TargetMode="External"/><Relationship Id="rId9558" Type="http://schemas.openxmlformats.org/officeDocument/2006/relationships/hyperlink" Target="https://www.vidio.com/live/19846-top-soccer-championship-2025-u-13-u-14?schedule_id=4719861" TargetMode="External"/><Relationship Id="rId11488" Type="http://schemas.openxmlformats.org/officeDocument/2006/relationships/hyperlink" Target="https://drive.google.com/drive/folders/1F848qRA_HFf6LYjG9q9Nql9WqOs0Zao6?usp=drive_link" TargetMode="External"/><Relationship Id="rId917" Type="http://schemas.openxmlformats.org/officeDocument/2006/relationships/hyperlink" Target="https://drive.google.com/file/d/1P2hueXD2rALq8T4I2Vr2cjJy4PW-JX2E/view?usp=sharing" TargetMode="External"/><Relationship Id="rId1547" Type="http://schemas.openxmlformats.org/officeDocument/2006/relationships/hyperlink" Target="https://drive.google.com/file/d/1OcgHA8vvbPoN_zomDqI6hiJZ0JVk0mrf/view?usp=sharing" TargetMode="External"/><Relationship Id="rId4020" Type="http://schemas.openxmlformats.org/officeDocument/2006/relationships/hyperlink" Target="https://drive.google.com/file/d/1QXpXGayPHA7tRvPwMcltkYHAKMsfTmRn/view?usp=drive_link" TargetMode="External"/><Relationship Id="rId7590" Type="http://schemas.openxmlformats.org/officeDocument/2006/relationships/hyperlink" Target="https://www.vidio.com/live/6317-bein-3?schedule_id=4644301" TargetMode="External"/><Relationship Id="rId8641" Type="http://schemas.openxmlformats.org/officeDocument/2006/relationships/hyperlink" Target="https://drive.google.com/file/d/1LtQ7RDsUCPD-IY5sN0RtYACKy8c9nc11/view?usp=sharing" TargetMode="External"/><Relationship Id="rId6192" Type="http://schemas.openxmlformats.org/officeDocument/2006/relationships/hyperlink" Target="https://www.vidio.com/live/19644-uefa-conference-league?schedule_id=4664181" TargetMode="External"/><Relationship Id="rId7243" Type="http://schemas.openxmlformats.org/officeDocument/2006/relationships/hyperlink" Target="https://drive.google.com/file/d/1Q2OrWbUAMh9bJOphmpVXxVuqGO6SmubJ/view?usp=sharing" TargetMode="External"/><Relationship Id="rId10571" Type="http://schemas.openxmlformats.org/officeDocument/2006/relationships/hyperlink" Target="https://drive.google.com/drive/folders/1ETEenEv9f7GKl7kmIGNelKtldkht6EmQ?usp=drive_link" TargetMode="External"/><Relationship Id="rId11622" Type="http://schemas.openxmlformats.org/officeDocument/2006/relationships/hyperlink" Target="https://www.vidio.com/live/6299-bein-1?schedule_id=4827330" TargetMode="External"/><Relationship Id="rId10224" Type="http://schemas.openxmlformats.org/officeDocument/2006/relationships/hyperlink" Target="https://drive.google.com/file/d/1EbNPpbMX-RJVE8th6s_ZRFqz2OV6xU3z/view?usp=sharing" TargetMode="External"/><Relationship Id="rId3853" Type="http://schemas.openxmlformats.org/officeDocument/2006/relationships/hyperlink" Target="https://thumbor.prod.vidiocdn.com/zZBNj2mZMz8Cx3sVRsq4spkGMXQ=/filters:quality(70)/vidio-media-production/uploads/image/source/52125/764e68.png" TargetMode="External"/><Relationship Id="rId4904" Type="http://schemas.openxmlformats.org/officeDocument/2006/relationships/hyperlink" Target="https://thumbor.prod.vidiocdn.com/_mczsb7YaZLx8Zig2GQ11uZk7Bc=/filters:quality(70)/vidio-media-production/uploads/image/source/53093/ab4bb7.png" TargetMode="External"/><Relationship Id="rId9068" Type="http://schemas.openxmlformats.org/officeDocument/2006/relationships/hyperlink" Target="https://drive.google.com/file/d/1NQdbKfAgbvekobMp2qKrWu5vc_aWptG8/view?usp=sharing" TargetMode="External"/><Relationship Id="rId12396" Type="http://schemas.openxmlformats.org/officeDocument/2006/relationships/hyperlink" Target="https://drive.google.com/drive/folders/1tni-eURfEFKRVxfoCHzmLE1mqpTQd2nq" TargetMode="External"/><Relationship Id="rId774" Type="http://schemas.openxmlformats.org/officeDocument/2006/relationships/hyperlink" Target="https://www.vidio.com/live/18797-premier-league?schedule_id=4736092" TargetMode="External"/><Relationship Id="rId1057" Type="http://schemas.openxmlformats.org/officeDocument/2006/relationships/hyperlink" Target="https://drive.google.com/drive/folders/18RR-gOFJBR78gBSR4JcnrTR1TTK1qz6C?usp=drive_link" TargetMode="External"/><Relationship Id="rId2455" Type="http://schemas.openxmlformats.org/officeDocument/2006/relationships/hyperlink" Target="https://drive.google.com/file/d/1yfwEZbRS9JwRUQU9tAI9ye7tDfILCSoD/view?usp=sharing" TargetMode="External"/><Relationship Id="rId3506" Type="http://schemas.openxmlformats.org/officeDocument/2006/relationships/hyperlink" Target="https://drive.google.com/file/d/17F8ARhIXySICGRzLzfE3ODmFASErNGvG/view?usp=sharing" TargetMode="External"/><Relationship Id="rId12049" Type="http://schemas.openxmlformats.org/officeDocument/2006/relationships/hyperlink" Target="https://drive.google.com/file/d/1khQrXXQF4DXWbEvpQ5PrFElQfRn5_sMl/view?usp=sharing" TargetMode="External"/><Relationship Id="rId427" Type="http://schemas.openxmlformats.org/officeDocument/2006/relationships/hyperlink" Target="https://drive.google.com/file/d/1GGFgnAk9bRuKBTWcnBDFUMnPdPZbzhfB/view?usp=sharing" TargetMode="External"/><Relationship Id="rId2108" Type="http://schemas.openxmlformats.org/officeDocument/2006/relationships/hyperlink" Target="https://drive.google.com/file/d/162zlrsByIJDum5y7XHAKuL5Xkv8ylyl5/view?usp=sharing" TargetMode="External"/><Relationship Id="rId5678" Type="http://schemas.openxmlformats.org/officeDocument/2006/relationships/hyperlink" Target="https://www.vidio.com/live/19630-uefa-europa-league?schedule_id=4664110" TargetMode="External"/><Relationship Id="rId6729" Type="http://schemas.openxmlformats.org/officeDocument/2006/relationships/hyperlink" Target="https://drive.google.com/file/d/1HD4SCYA-ddVkXsmUIAY1jRwban_6bdui/view?usp=sharing" TargetMode="External"/><Relationship Id="rId8151" Type="http://schemas.openxmlformats.org/officeDocument/2006/relationships/hyperlink" Target="https://drive.google.com/drive/u/0/folders/1hmnylMdOn7-TGwqaa_LND65IM_CDgbKk" TargetMode="External"/><Relationship Id="rId9202" Type="http://schemas.openxmlformats.org/officeDocument/2006/relationships/hyperlink" Target="https://drive.google.com/file/d/1bGAtWdCSL-v2iZg1GvRoYwXZwXVqVH3x/view?usp=drive_link" TargetMode="External"/><Relationship Id="rId10081" Type="http://schemas.openxmlformats.org/officeDocument/2006/relationships/hyperlink" Target="https://drive.google.com/file/d/1YuMdZ7CUg0o48tLRN_WpFL3Lq7nftYoM/view?usp=sharing" TargetMode="External"/><Relationship Id="rId11132" Type="http://schemas.openxmlformats.org/officeDocument/2006/relationships/hyperlink" Target="https://www.vidio.com/live/20288" TargetMode="External"/><Relationship Id="rId4761" Type="http://schemas.openxmlformats.org/officeDocument/2006/relationships/hyperlink" Target="https://thumbor.prod.vidiocdn.com/bCBmVzLC3v2WT-AKA6ko98zP4X4=/filters:quality(70)/vidio-media-production/uploads/image/source/52142/d99355.png" TargetMode="External"/><Relationship Id="rId3363" Type="http://schemas.openxmlformats.org/officeDocument/2006/relationships/hyperlink" Target="https://drive.google.com/drive/folders/17kcPXkDl9LyESWe--TrlbiMruZGDiZic" TargetMode="External"/><Relationship Id="rId4414" Type="http://schemas.openxmlformats.org/officeDocument/2006/relationships/hyperlink" Target="https://drive.google.com/drive/folders/15j0X7UHsUWVqKsrTRVKk5zHN8USY7zgy?usp=drive_link" TargetMode="External"/><Relationship Id="rId5812" Type="http://schemas.openxmlformats.org/officeDocument/2006/relationships/hyperlink" Target="https://drive.google.com/drive/folders/13eQLR64HrKbyWDLlQsn3dQSDucgsN6sA?usp=drive_link" TargetMode="External"/><Relationship Id="rId284" Type="http://schemas.openxmlformats.org/officeDocument/2006/relationships/hyperlink" Target="https://www.vidio.com/live/19375-premier-league?schedule_id=4512824" TargetMode="External"/><Relationship Id="rId3016" Type="http://schemas.openxmlformats.org/officeDocument/2006/relationships/hyperlink" Target="https://drive.google.com/drive/folders/1hfcarZQQTW9iAZReqcSurlYy_boiq7jw?usp=drive_link" TargetMode="External"/><Relationship Id="rId7984" Type="http://schemas.openxmlformats.org/officeDocument/2006/relationships/hyperlink" Target="https://www.vidio.com/live/6317-bein-3?schedule_id=4713684" TargetMode="External"/><Relationship Id="rId10965" Type="http://schemas.openxmlformats.org/officeDocument/2006/relationships/hyperlink" Target="https://drive.google.com/file/d/1XOh5_RvnQc2Nzn2WYmdSpOv9S6ocHss0/view?usp=sharing" TargetMode="External"/><Relationship Id="rId5188" Type="http://schemas.openxmlformats.org/officeDocument/2006/relationships/hyperlink" Target="https://www.vidio.com/live/18301-uefa-champions-league?schedule_id=4664043" TargetMode="External"/><Relationship Id="rId6586" Type="http://schemas.openxmlformats.org/officeDocument/2006/relationships/hyperlink" Target="https://drive.google.com/drive/folders/1mM76GqDOdBY70mgNm6VyVj-_GU3do1SW?usp=drive_link" TargetMode="External"/><Relationship Id="rId7637" Type="http://schemas.openxmlformats.org/officeDocument/2006/relationships/hyperlink" Target="https://drive.google.com/drive/folders/1EhM_sfKqcYD8FSB_IsJ4MNNt9KXnol8L?usp=drive_link" TargetMode="External"/><Relationship Id="rId10618" Type="http://schemas.openxmlformats.org/officeDocument/2006/relationships/hyperlink" Target="https://drive.google.com/file/d/1KrvtmRSF0e-CZxxEZR7n6TOkqx4PUv9e/view?usp=sharing" TargetMode="External"/><Relationship Id="rId6239" Type="http://schemas.openxmlformats.org/officeDocument/2006/relationships/hyperlink" Target="https://www.vidio.com/live/19644-uefa-conference-league?schedule_id=4664234" TargetMode="External"/><Relationship Id="rId12040" Type="http://schemas.openxmlformats.org/officeDocument/2006/relationships/hyperlink" Target="https://drive.google.com/file/d/1GSUWpYS1bKMQHpDirkh41aNW22dfhpEf/view?usp=sharing" TargetMode="External"/><Relationship Id="rId1798" Type="http://schemas.openxmlformats.org/officeDocument/2006/relationships/hyperlink" Target="https://drive.google.com/drive/u/0/folders/1UK6JOYOJJ_5a5WEmGMrjKbPOe1Q5OO4u" TargetMode="External"/><Relationship Id="rId2849" Type="http://schemas.openxmlformats.org/officeDocument/2006/relationships/hyperlink" Target="https://drive.google.com/drive/folders/17BtuJiLPAib7ZafwyAHwEZDign_s4NTe?usp=drive_link" TargetMode="External"/><Relationship Id="rId6720" Type="http://schemas.openxmlformats.org/officeDocument/2006/relationships/hyperlink" Target="https://drive.google.com/drive/folders/1avxBDHOSpSGP6mC0dyYR2HlimraYRR3w" TargetMode="External"/><Relationship Id="rId4271" Type="http://schemas.openxmlformats.org/officeDocument/2006/relationships/hyperlink" Target="https://drive.google.com/file/d/1s4kaWwkSGHfAe2j7TZItdlY4wdtThXzx/view?usp=sharing" TargetMode="External"/><Relationship Id="rId5322" Type="http://schemas.openxmlformats.org/officeDocument/2006/relationships/hyperlink" Target="https://drive.google.com/drive/folders/14Wb3x9yN298vTECYGS7G_yCO7LWjXAJK" TargetMode="External"/><Relationship Id="rId8892" Type="http://schemas.openxmlformats.org/officeDocument/2006/relationships/hyperlink" Target="https://drive.google.com/drive/folders/1C8o0KEwSilmLce-x5ra1q_berpyj_kIm?usp=drive_link" TargetMode="External"/><Relationship Id="rId7494" Type="http://schemas.openxmlformats.org/officeDocument/2006/relationships/hyperlink" Target="https://drive.google.com/file/d/1DNux4glLBnqI-DzUHKvsJVIQIe0fQ_QF/view?usp=sharing" TargetMode="External"/><Relationship Id="rId8545" Type="http://schemas.openxmlformats.org/officeDocument/2006/relationships/hyperlink" Target="https://www.vidio.com/live/19748-national-football-league-2025-26?schedule_id=4672701" TargetMode="External"/><Relationship Id="rId9943" Type="http://schemas.openxmlformats.org/officeDocument/2006/relationships/hyperlink" Target="https://www.vidio.com/live/6299-bein-1?schedule_id=4790139" TargetMode="External"/><Relationship Id="rId11873" Type="http://schemas.openxmlformats.org/officeDocument/2006/relationships/hyperlink" Target="https://drive.google.com/file/d/1_VFmtjeoa1jB6YMFl35R4XO6xs8PdX7H/view?usp=sharing" TargetMode="External"/><Relationship Id="rId1932" Type="http://schemas.openxmlformats.org/officeDocument/2006/relationships/hyperlink" Target="https://www.vidio.com/live/205-indosiar?schedule_id=4671804" TargetMode="External"/><Relationship Id="rId6096" Type="http://schemas.openxmlformats.org/officeDocument/2006/relationships/hyperlink" Target="https://drive.google.com/file/d/12lQdODVh2dRubMQIBE9rTd3TmEXy_zKb/view?usp=drive_link" TargetMode="External"/><Relationship Id="rId7147" Type="http://schemas.openxmlformats.org/officeDocument/2006/relationships/hyperlink" Target="https://drive.google.com/drive/folders/1jUxFi3GSICK96cV3jNN7WHx5-aTKaRGk?usp=drive_link" TargetMode="External"/><Relationship Id="rId10475" Type="http://schemas.openxmlformats.org/officeDocument/2006/relationships/hyperlink" Target="https://drive.google.com/file/d/1DNux4glLBnqI-DzUHKvsJVIQIe0fQ_QF/view?usp=sharing" TargetMode="External"/><Relationship Id="rId11526" Type="http://schemas.openxmlformats.org/officeDocument/2006/relationships/hyperlink" Target="https://www.vidio.com/live/6317-bein-3?schedule_id=4832294" TargetMode="External"/><Relationship Id="rId10128" Type="http://schemas.openxmlformats.org/officeDocument/2006/relationships/hyperlink" Target="https://www.vidio.com/live/19997-top-soccer-championship-2025-u-13-u-14?schedule_id=4743080" TargetMode="External"/><Relationship Id="rId3757" Type="http://schemas.openxmlformats.org/officeDocument/2006/relationships/hyperlink" Target="https://drive.google.com/file/d/10_XptfG8cNzt1Ud6RHOPODP7sIITiaLi/view?usp=sharing" TargetMode="External"/><Relationship Id="rId4808" Type="http://schemas.openxmlformats.org/officeDocument/2006/relationships/hyperlink" Target="https://drive.google.com/drive/folders/11fFlHI6M8wyAn2P8PTD_nDONFclvI527?usp=drive_link" TargetMode="External"/><Relationship Id="rId678" Type="http://schemas.openxmlformats.org/officeDocument/2006/relationships/hyperlink" Target="https://www.vidio.com/live/9182-champions-tv-5?schedule_id=4707264" TargetMode="External"/><Relationship Id="rId2359" Type="http://schemas.openxmlformats.org/officeDocument/2006/relationships/hyperlink" Target="https://drive.google.com/file/d/1SOvTPqe_387EVer-JshIN7xL4HgMp24w/view?usp=sharing" TargetMode="External"/><Relationship Id="rId6230" Type="http://schemas.openxmlformats.org/officeDocument/2006/relationships/hyperlink" Target="https://drive.google.com/drive/folders/1vjOA9E-jOlhsRSh5NE7jSpcmcR5v41-E" TargetMode="External"/><Relationship Id="rId9453" Type="http://schemas.openxmlformats.org/officeDocument/2006/relationships/hyperlink" Target="https://thumbor.prod.vidiocdn.com/G10DpKR6SihwE6bcOZ2KgQawGEc=/filters:quality(70)/vidio-media-production/uploads/image/source/53008/0bc4bd.png" TargetMode="External"/><Relationship Id="rId11383" Type="http://schemas.openxmlformats.org/officeDocument/2006/relationships/hyperlink" Target="https://drive.google.com/file/d/1bGAtWdCSL-v2iZg1GvRoYwXZwXVqVH3x/view?usp=sharing" TargetMode="External"/><Relationship Id="rId812" Type="http://schemas.openxmlformats.org/officeDocument/2006/relationships/hyperlink" Target="https://drive.google.com/file/d/1M-a4IUIcdXdYWQu-O92ArUmCdMTg03zk/view?usp=sharing" TargetMode="External"/><Relationship Id="rId1442" Type="http://schemas.openxmlformats.org/officeDocument/2006/relationships/hyperlink" Target="https://drive.google.com/file/d/1_yu_BjALRGeulVA8tugNZgv8qV9y30x2/view?usp=sharing" TargetMode="External"/><Relationship Id="rId2840" Type="http://schemas.openxmlformats.org/officeDocument/2006/relationships/hyperlink" Target="https://drive.google.com/file/d/1mvPpZCyO7FL5pQaRz07zolVhtcWdf04I/view?usp=sharing" TargetMode="External"/><Relationship Id="rId8055" Type="http://schemas.openxmlformats.org/officeDocument/2006/relationships/hyperlink" Target="https://drive.google.com/drive/folders/1NG-TFukqMhlC2YyBzTLOiH44zMCY7CoN?usp=drive_link" TargetMode="External"/><Relationship Id="rId9106" Type="http://schemas.openxmlformats.org/officeDocument/2006/relationships/hyperlink" Target="https://drive.google.com/file/d/10W03pOLcwCGLzk_ebnJgeYgAHDldv3aG/view?usp=sharing" TargetMode="External"/><Relationship Id="rId11036" Type="http://schemas.openxmlformats.org/officeDocument/2006/relationships/hyperlink" Target="https://www.vidio.com/live/19773-fa-cup-2025-26?schedule_id=4833934" TargetMode="External"/><Relationship Id="rId12434" Type="http://schemas.openxmlformats.org/officeDocument/2006/relationships/hyperlink" Target="https://www.vidio.com/live/20283?schedule_id=4834229" TargetMode="External"/><Relationship Id="rId3267" Type="http://schemas.openxmlformats.org/officeDocument/2006/relationships/hyperlink" Target="https://drive.google.com/drive/folders/11KiH4dSDC_3ewlYmtcub84vh5R5V4cG4?usp=drive_link" TargetMode="External"/><Relationship Id="rId4665" Type="http://schemas.openxmlformats.org/officeDocument/2006/relationships/hyperlink" Target="https://thumbor.prod.vidiocdn.com/DTofw3VLDoVuPHBtI0FAk2Td0Y0=/filters:quality(70)/vidio-media-production/uploads/image/source/51910/e57218.png" TargetMode="External"/><Relationship Id="rId5716" Type="http://schemas.openxmlformats.org/officeDocument/2006/relationships/hyperlink" Target="https://drive.google.com/drive/folders/1xOqI68JYyHOaWtRlAjF6kfRPYo2CWgHf?usp=drive_link" TargetMode="External"/><Relationship Id="rId188" Type="http://schemas.openxmlformats.org/officeDocument/2006/relationships/hyperlink" Target="https://drive.google.com/file/d/1Wpvv_aXk9v7WAZle6JG8S6BouI4jHdOm/view?usp=drive_link" TargetMode="External"/><Relationship Id="rId4318" Type="http://schemas.openxmlformats.org/officeDocument/2006/relationships/hyperlink" Target="https://drive.google.com/file/d/1C9G6ckx96qUjfp9ChwUkXT35kzzsiUTP/view?usp=sharing" TargetMode="External"/><Relationship Id="rId7888" Type="http://schemas.openxmlformats.org/officeDocument/2006/relationships/hyperlink" Target="https://drive.google.com/drive/folders/1PPlTvI2ReyelpdT9si3sBKt3TWXv_c6M?usp=sharing" TargetMode="External"/><Relationship Id="rId8939" Type="http://schemas.openxmlformats.org/officeDocument/2006/relationships/hyperlink" Target="https://drive.google.com/file/d/11ntZfrL97kCOjVTE4E9p_OyqOkLENbs0/view?usp=sharing" TargetMode="External"/><Relationship Id="rId10869" Type="http://schemas.openxmlformats.org/officeDocument/2006/relationships/hyperlink" Target="https://drive.google.com/file/d/1pAgKr6kaIzEUwE0dwkzPh-b2u_H2ZUA9/view?usp=sharing" TargetMode="External"/><Relationship Id="rId12291" Type="http://schemas.openxmlformats.org/officeDocument/2006/relationships/hyperlink" Target="https://www.vidio.com/live/20278?schedule_id=4833912" TargetMode="External"/><Relationship Id="rId2350" Type="http://schemas.openxmlformats.org/officeDocument/2006/relationships/hyperlink" Target="https://www.vidio.com/live/6317-bein-3?schedule_id=4525631" TargetMode="External"/><Relationship Id="rId3401" Type="http://schemas.openxmlformats.org/officeDocument/2006/relationships/hyperlink" Target="https://drive.google.com/drive/folders/1apIMnT3oD5YyA7ZW5Ypa9v1RKYOWZoZ0" TargetMode="External"/><Relationship Id="rId6971" Type="http://schemas.openxmlformats.org/officeDocument/2006/relationships/hyperlink" Target="https://drive.google.com/drive/folders/1DrC8qLJsnWpWI-tZeb27fP__uEuayVNN?usp=drive_link" TargetMode="External"/><Relationship Id="rId322" Type="http://schemas.openxmlformats.org/officeDocument/2006/relationships/hyperlink" Target="https://drive.google.com/drive/folders/16KPsK9K0mVahy0NKMh1LLjDSdQ-qrIKf?usp=drive_link" TargetMode="External"/><Relationship Id="rId2003" Type="http://schemas.openxmlformats.org/officeDocument/2006/relationships/hyperlink" Target="https://drive.google.com/drive/folders/1gleydcVXUbnuvSVnYLeq5jppL5VmV9mL" TargetMode="External"/><Relationship Id="rId5573" Type="http://schemas.openxmlformats.org/officeDocument/2006/relationships/hyperlink" Target="https://drive.google.com/drive/folders/1vs2NPBadTfe8mkFp1C94plFN9o2qZ3M8?usp=drive_link" TargetMode="External"/><Relationship Id="rId6624" Type="http://schemas.openxmlformats.org/officeDocument/2006/relationships/hyperlink" Target="https://drive.google.com/file/d/1QF8hHJFjqqAWcvJi2ST6T74xKWQxAkH0/view?usp=drive_link" TargetMode="External"/><Relationship Id="rId4175" Type="http://schemas.openxmlformats.org/officeDocument/2006/relationships/hyperlink" Target="https://drive.google.com/file/d/1yHmwS53TVGQtLsoFfGb66ukMolSm9w-j/view?usp=sharing" TargetMode="External"/><Relationship Id="rId5226" Type="http://schemas.openxmlformats.org/officeDocument/2006/relationships/hyperlink" Target="https://drive.google.com/file/d/1HAV1kuHBWRePjnac92evC1UMWIRDJTHt/view?usp=sharing" TargetMode="External"/><Relationship Id="rId7398" Type="http://schemas.openxmlformats.org/officeDocument/2006/relationships/hyperlink" Target="https://drive.google.com/file/d/1NOnZ3tN4-izLxq48tiPiX7PY1P7CbeUo/view?usp=sharing" TargetMode="External"/><Relationship Id="rId8796" Type="http://schemas.openxmlformats.org/officeDocument/2006/relationships/hyperlink" Target="https://drive.google.com/file/d/18zIasyRq4L2oi2j8gIuS9ANQ8AvKTssI/view?usp=sharing" TargetMode="External"/><Relationship Id="rId9847" Type="http://schemas.openxmlformats.org/officeDocument/2006/relationships/hyperlink" Target="https://drive.google.com/file/d/1bGAtWdCSL-v2iZg1GvRoYwXZwXVqVH3x/view?usp=sharing" TargetMode="External"/><Relationship Id="rId11777" Type="http://schemas.openxmlformats.org/officeDocument/2006/relationships/hyperlink" Target="https://drive.google.com/drive/folders/1XzwxC7sTr-MUqbeP542SbeC2hyA-6OdW?usp=drive_link" TargetMode="External"/><Relationship Id="rId1836" Type="http://schemas.openxmlformats.org/officeDocument/2006/relationships/hyperlink" Target="https://drive.google.com/file/d/1cUeUSy6cDsxp9M5Q4mtJqz9dl2I4canx/view?usp=drive_link" TargetMode="External"/><Relationship Id="rId8449" Type="http://schemas.openxmlformats.org/officeDocument/2006/relationships/hyperlink" Target="https://drive.google.com/file/d/18cTrE_lJ_VZN4GRwcxb6WZ5TzJY3GIsD/view?usp=drive_link" TargetMode="External"/><Relationship Id="rId10379" Type="http://schemas.openxmlformats.org/officeDocument/2006/relationships/hyperlink" Target="https://drive.google.com/file/d/1Tn2E3xcXjYh9lEXgNSK805ea3ASOTKYG/view?usp=sharing" TargetMode="External"/><Relationship Id="rId8930" Type="http://schemas.openxmlformats.org/officeDocument/2006/relationships/hyperlink" Target="https://www.vidio.com/live/6685-champions-tv-1?schedule_id=4691062" TargetMode="External"/><Relationship Id="rId6481" Type="http://schemas.openxmlformats.org/officeDocument/2006/relationships/hyperlink" Target="https://drive.google.com/file/d/1fZbrSofp0yQhPZNk6LgqB8SU8kq6LKFw/view?usp=drive_link" TargetMode="External"/><Relationship Id="rId7532" Type="http://schemas.openxmlformats.org/officeDocument/2006/relationships/hyperlink" Target="https://drive.google.com/drive/folders/18pa30k7VXSESv0P6fZ97lEXrQ9iatGXT?usp=drive_link" TargetMode="External"/><Relationship Id="rId10860" Type="http://schemas.openxmlformats.org/officeDocument/2006/relationships/hyperlink" Target="https://drive.google.com/file/d/1jlez4JR07DSs3kvGWp_GphpWOxira2l8/view?usp=sharing" TargetMode="External"/><Relationship Id="rId11911" Type="http://schemas.openxmlformats.org/officeDocument/2006/relationships/hyperlink" Target="https://drive.google.com/drive/folders/1gqnmBiDc9HaK7fTi5sC9yJeePuPZJkd8?usp=drive_link" TargetMode="External"/><Relationship Id="rId5083" Type="http://schemas.openxmlformats.org/officeDocument/2006/relationships/hyperlink" Target="https://drive.google.com/file/d/1ZZgLLmmBuNPUYr_PLoYijsOhIMknoPso/view?usp=sharing" TargetMode="External"/><Relationship Id="rId6134" Type="http://schemas.openxmlformats.org/officeDocument/2006/relationships/hyperlink" Target="https://www.vidio.com/live/6317-bein-3?schedule_id=4614502" TargetMode="External"/><Relationship Id="rId10513" Type="http://schemas.openxmlformats.org/officeDocument/2006/relationships/hyperlink" Target="https://drive.google.com/file/d/1s7aX3ImDyBc9YHBse5KcDlV0ZTP91VDp/view?usp=sharing" TargetMode="External"/><Relationship Id="rId9357" Type="http://schemas.openxmlformats.org/officeDocument/2006/relationships/hyperlink" Target="https://drive.google.com/drive/folders/1E1mo7iD8PwIjsqS8JQdoDD9aFdyqCqpH" TargetMode="External"/><Relationship Id="rId1346" Type="http://schemas.openxmlformats.org/officeDocument/2006/relationships/hyperlink" Target="https://drive.google.com/file/d/1w79pFHM3I3cgvNTU65k-xim3yCc2AhiW/view?usp=sharing" TargetMode="External"/><Relationship Id="rId1693" Type="http://schemas.openxmlformats.org/officeDocument/2006/relationships/hyperlink" Target="https://drive.google.com/file/d/1wgTskjTSP2_oddo0tWylNP2m1ogMYg-x/view?usp=drive_link" TargetMode="External"/><Relationship Id="rId2744" Type="http://schemas.openxmlformats.org/officeDocument/2006/relationships/hyperlink" Target="https://drive.google.com/file/d/1hBwN234SkbnVL4lfwXGT35btIui6monk/view?usp=sharing" TargetMode="External"/><Relationship Id="rId11287" Type="http://schemas.openxmlformats.org/officeDocument/2006/relationships/hyperlink" Target="https://drive.google.com/drive/folders/1J_n_T3cSrDuoxCORhhYaPoe8Kc0xbp_B" TargetMode="External"/><Relationship Id="rId12338" Type="http://schemas.openxmlformats.org/officeDocument/2006/relationships/hyperlink" Target="https://drive.google.com/file/d/17nqJ8YbOWxi4DOQmMA4_VvY1qMuE4tM4/view?usp=drive_link" TargetMode="External"/><Relationship Id="rId716" Type="http://schemas.openxmlformats.org/officeDocument/2006/relationships/hyperlink" Target="https://drive.google.com/drive/folders/1uhJs0XWrw5MpjvNxq26-eXCSMR0UWHi-?usp=drive_link" TargetMode="External"/><Relationship Id="rId5967" Type="http://schemas.openxmlformats.org/officeDocument/2006/relationships/hyperlink" Target="https://drive.google.com/file/d/1nc0CC77MfyEf0uY_j5QE16ECs2LfFsrN/view?usp=sharing" TargetMode="External"/><Relationship Id="rId52" Type="http://schemas.openxmlformats.org/officeDocument/2006/relationships/hyperlink" Target="https://drive.google.com/file/d/1FJnF0q1zAF86xayxGvIB9DSJOfzjRf6c/view?usp=sharing" TargetMode="External"/><Relationship Id="rId4569" Type="http://schemas.openxmlformats.org/officeDocument/2006/relationships/hyperlink" Target="https://drive.google.com/file/d/1o07taey8-UsSPZXzfSeQH2LNePEVsJb6/view?usp=sharing" TargetMode="External"/><Relationship Id="rId8440" Type="http://schemas.openxmlformats.org/officeDocument/2006/relationships/hyperlink" Target="https://drive.google.com/file/d/10VDqgWwVyVmWTI-o1xDDVkPpPQk6KdvP/view?usp=sharing" TargetMode="External"/><Relationship Id="rId10370" Type="http://schemas.openxmlformats.org/officeDocument/2006/relationships/hyperlink" Target="https://drive.google.com/drive/folders/1I-igJ0NWO5Sx5GCoAvrfPihncx24LqWP" TargetMode="External"/><Relationship Id="rId11421" Type="http://schemas.openxmlformats.org/officeDocument/2006/relationships/hyperlink" Target="https://www.vidio.com/live/18249-hsbc-bwf-world-tour-finals-2025-semifinals?schedule_id=4788327" TargetMode="External"/><Relationship Id="rId7042" Type="http://schemas.openxmlformats.org/officeDocument/2006/relationships/hyperlink" Target="https://drive.google.com/file/d/1l58fGpJD9TlW5Qy59PfgxHVYPwcr_ZnQ/view?usp=drive_link" TargetMode="External"/><Relationship Id="rId10023" Type="http://schemas.openxmlformats.org/officeDocument/2006/relationships/hyperlink" Target="https://thumbor.prod.vidiocdn.com/Zygg5P5BvGAQ4xdtuj4OSRFXe6c=/filters:quality(70)/vidio-media-production/uploads/image/source/52653/014a54.png" TargetMode="External"/><Relationship Id="rId3652" Type="http://schemas.openxmlformats.org/officeDocument/2006/relationships/hyperlink" Target="https://www.vidio.com/live/19436-eredivisie?schedule_id=4590186" TargetMode="External"/><Relationship Id="rId4703" Type="http://schemas.openxmlformats.org/officeDocument/2006/relationships/hyperlink" Target="https://drive.google.com/file/d/1lGOZxcY80T9N_otoatSGRtKna29xRd7x/view?usp=drive_link" TargetMode="External"/><Relationship Id="rId12195" Type="http://schemas.openxmlformats.org/officeDocument/2006/relationships/hyperlink" Target="https://drive.google.com/file/d/17nqJ8YbOWxi4DOQmMA4_VvY1qMuE4tM4/view?usp=sharing" TargetMode="External"/><Relationship Id="rId573" Type="http://schemas.openxmlformats.org/officeDocument/2006/relationships/hyperlink" Target="https://drive.google.com/drive/folders/1fGsyrDHmcfbfy6U_5al0QhojJqf7UhG2?usp=drive_link" TargetMode="External"/><Relationship Id="rId2254" Type="http://schemas.openxmlformats.org/officeDocument/2006/relationships/hyperlink" Target="https://drive.google.com/file/d/11-BAQ1jRiNaNMTQKZS_fXNXCv05aIg5H/view?usp=sharing" TargetMode="External"/><Relationship Id="rId3305" Type="http://schemas.openxmlformats.org/officeDocument/2006/relationships/hyperlink" Target="https://drive.google.com/file/d/1Cfxb5eqXnKx-Ce03fPtW0mf--pEmZGR0/view?usp=drive_link" TargetMode="External"/><Relationship Id="rId226" Type="http://schemas.openxmlformats.org/officeDocument/2006/relationships/hyperlink" Target="https://www.vidio.com/live/19375-premier-league?schedule_id=4497025" TargetMode="External"/><Relationship Id="rId5477" Type="http://schemas.openxmlformats.org/officeDocument/2006/relationships/hyperlink" Target="https://www.vidio.com/live/17883-uefa-champions-league?schedule_id=4773127" TargetMode="External"/><Relationship Id="rId6875" Type="http://schemas.openxmlformats.org/officeDocument/2006/relationships/hyperlink" Target="https://drive.google.com/file/d/1SjlPMgvEbjN37Hs2HBZ9PYcejSe76GFy/view?usp=drive_link" TargetMode="External"/><Relationship Id="rId7926" Type="http://schemas.openxmlformats.org/officeDocument/2006/relationships/hyperlink" Target="https://drive.google.com/file/d/1PBxfVNtJlp7K-yKhXy4m8sST9B-ygvIF/view?usp=sharing" TargetMode="External"/><Relationship Id="rId10907" Type="http://schemas.openxmlformats.org/officeDocument/2006/relationships/hyperlink" Target="https://drive.google.com/drive/folders/1B_CpyZmnmZlHkjOa4CyokY-4DC1T2lX4" TargetMode="External"/><Relationship Id="rId4079" Type="http://schemas.openxmlformats.org/officeDocument/2006/relationships/hyperlink" Target="https://drive.google.com/file/d/1FDMGx8ZNPeCIAhhK2SXfX326NwwogQxd/view?usp=sharing" TargetMode="External"/><Relationship Id="rId6528" Type="http://schemas.openxmlformats.org/officeDocument/2006/relationships/hyperlink" Target="https://drive.google.com/file/d/1jNBL5GDgajrld7qnaxGk_b22vK5zykdQ/view?usp=sharing" TargetMode="External"/><Relationship Id="rId9001" Type="http://schemas.openxmlformats.org/officeDocument/2006/relationships/hyperlink" Target="https://drive.google.com/file/d/1jm6nDJZ4mm4tD0iZxjBDqZ-EcdPnTxAJ/view?usp=sharing" TargetMode="External"/><Relationship Id="rId4560" Type="http://schemas.openxmlformats.org/officeDocument/2006/relationships/hyperlink" Target="https://www.vidio.com/live/19404-serie-a?schedule_id=4740998" TargetMode="External"/><Relationship Id="rId5611" Type="http://schemas.openxmlformats.org/officeDocument/2006/relationships/hyperlink" Target="https://drive.google.com/file/d/13l57W2XRo6bbqWYpsgjyJ1I6oe8VGrZZ/view?usp=sharing" TargetMode="External"/><Relationship Id="rId3162" Type="http://schemas.openxmlformats.org/officeDocument/2006/relationships/hyperlink" Target="https://drive.google.com/file/d/1XC7aHV4pF5U_hTh3G10J04rpoOIu_apQ/view?usp=sharing" TargetMode="External"/><Relationship Id="rId4213" Type="http://schemas.openxmlformats.org/officeDocument/2006/relationships/hyperlink" Target="https://drive.google.com/drive/folders/1eumwo6L6ivSr9LYsCxg2r_qOIMLR7vE8?usp=drive_link" TargetMode="External"/><Relationship Id="rId7783" Type="http://schemas.openxmlformats.org/officeDocument/2006/relationships/hyperlink" Target="https://drive.google.com/drive/folders/1vq0ZvyXdSCgfBuC7Go6pn31DL-cZGwV_?usp=drive_link" TargetMode="External"/><Relationship Id="rId8834" Type="http://schemas.openxmlformats.org/officeDocument/2006/relationships/hyperlink" Target="https://drive.google.com/drive/folders/1oQWGEFAdXC1dIbpalO6iQixjdKVlkp2v?usp=drive_link" TargetMode="External"/><Relationship Id="rId6385" Type="http://schemas.openxmlformats.org/officeDocument/2006/relationships/hyperlink" Target="https://drive.google.com/file/d/1QffJ8C8Uk9JnHb3OF67FsHcNCgtveAUf/view?usp=sharing" TargetMode="External"/><Relationship Id="rId7436" Type="http://schemas.openxmlformats.org/officeDocument/2006/relationships/hyperlink" Target="https://drive.google.com/drive/folders/1mTnNV8TKLCJk01JopcMmciFLdD0BYVjF?usp=drive_link" TargetMode="External"/><Relationship Id="rId10764" Type="http://schemas.openxmlformats.org/officeDocument/2006/relationships/hyperlink" Target="https://www.vidio.com/live/9183-champions-tv-6?schedule_id=4802191" TargetMode="External"/><Relationship Id="rId11815" Type="http://schemas.openxmlformats.org/officeDocument/2006/relationships/hyperlink" Target="https://drive.google.com/drive/folders/1Ty2H_i_qk549qwdTHB8xBRYGJbtv8v5N?usp=drive_link" TargetMode="External"/><Relationship Id="rId6038" Type="http://schemas.openxmlformats.org/officeDocument/2006/relationships/hyperlink" Target="https://drive.google.com/drive/folders/1CRb3LxZ620xdhsg3GDsrB1iaXkwuFp0X?usp=drive_link" TargetMode="External"/><Relationship Id="rId10417" Type="http://schemas.openxmlformats.org/officeDocument/2006/relationships/hyperlink" Target="https://www.vidio.com/live/19737-turkish-volleyball-league?schedule_id=4776029" TargetMode="External"/><Relationship Id="rId2995" Type="http://schemas.openxmlformats.org/officeDocument/2006/relationships/hyperlink" Target="https://drive.google.com/drive/folders/1hfcarZQQTW9iAZReqcSurlYy_boiq7jw?usp=drive_link" TargetMode="External"/><Relationship Id="rId967" Type="http://schemas.openxmlformats.org/officeDocument/2006/relationships/hyperlink" Target="https://drive.google.com/drive/folders/1rE1V4zNWQtzd9bIVBFYIT0ebFsVywI0t?usp=drive_link" TargetMode="External"/><Relationship Id="rId1597" Type="http://schemas.openxmlformats.org/officeDocument/2006/relationships/hyperlink" Target="https://drive.google.com/file/d/1MK8md4xKFUrY6-MIKy9e3jaXzlFvtEXO/view?usp=sharing" TargetMode="External"/><Relationship Id="rId2648" Type="http://schemas.openxmlformats.org/officeDocument/2006/relationships/hyperlink" Target="https://drive.google.com/file/d/1ITY2IQWQK0Eiwg3bPsdds5KTX00FAxkX/view?usp=drive_link" TargetMode="External"/><Relationship Id="rId4070" Type="http://schemas.openxmlformats.org/officeDocument/2006/relationships/hyperlink" Target="https://drive.google.com/file/d/1ZEwMOAqbzNnCSAYYiLVYPSLIFNxx77W-/view?usp=sharing" TargetMode="External"/><Relationship Id="rId5121" Type="http://schemas.openxmlformats.org/officeDocument/2006/relationships/hyperlink" Target="https://drive.google.com/file/d/1Xb67f7MazQvczNNF1f7wn-4HjjfT9Zkg/view?usp=sharing" TargetMode="External"/><Relationship Id="rId8691" Type="http://schemas.openxmlformats.org/officeDocument/2006/relationships/hyperlink" Target="https://www.vidio.com/live/19623-national-football-league-2025-26?schedule_id=4690713" TargetMode="External"/><Relationship Id="rId9742" Type="http://schemas.openxmlformats.org/officeDocument/2006/relationships/hyperlink" Target="https://drive.google.com/file/d/1Uc9il0aDA7w_6m9AY605_kN260qHFh05/view?usp=drive_link" TargetMode="External"/><Relationship Id="rId11672" Type="http://schemas.openxmlformats.org/officeDocument/2006/relationships/hyperlink" Target="https://drive.google.com/drive/folders/1trcocRH2JBa66jCb4yQSDw56-GfvLd39" TargetMode="External"/><Relationship Id="rId1731" Type="http://schemas.openxmlformats.org/officeDocument/2006/relationships/hyperlink" Target="https://drive.google.com/drive/folders/1lSEKbF9JhnPApLcjwAsdYoT3Rc1vOeqT" TargetMode="External"/><Relationship Id="rId7293" Type="http://schemas.openxmlformats.org/officeDocument/2006/relationships/hyperlink" Target="https://drive.google.com/drive/folders/1InAj2eNUjD4enrGqYUnPt2yLgZfxG2pI?usp=drive_link" TargetMode="External"/><Relationship Id="rId8344" Type="http://schemas.openxmlformats.org/officeDocument/2006/relationships/hyperlink" Target="https://drive.google.com/file/d/1E2ebIu3Wh851qZJa4Cnyd5imwS2BTLjU/view?usp=sharing" TargetMode="External"/><Relationship Id="rId10274" Type="http://schemas.openxmlformats.org/officeDocument/2006/relationships/hyperlink" Target="https://www.vidio.com/live/20026-top-soccer-championship-2025-u-13-semifinal-cup?schedule_id=4765281" TargetMode="External"/><Relationship Id="rId11325" Type="http://schemas.openxmlformats.org/officeDocument/2006/relationships/hyperlink" Target="https://thumbor.prod.vidiocdn.com/wY7mnX-aGe8V049xYegGALz36To=/filters:quality(70)/vidio-media-production/uploads/image/source/53004/e92c58.png" TargetMode="External"/><Relationship Id="rId3556" Type="http://schemas.openxmlformats.org/officeDocument/2006/relationships/hyperlink" Target="https://drive.google.com/drive/folders/1h11IfY_EQHYH6EZGwwMG7cjcvezrRNZg" TargetMode="External"/><Relationship Id="rId4954" Type="http://schemas.openxmlformats.org/officeDocument/2006/relationships/hyperlink" Target="https://drive.google.com/file/d/1tscf90cfTLNdg_SgOdt9A7q9-QA5vSEY/view?usp=sharing" TargetMode="External"/><Relationship Id="rId12099" Type="http://schemas.openxmlformats.org/officeDocument/2006/relationships/hyperlink" Target="https://drive.google.com/drive/folders/1y_mGPCoON9jW62Lb8x5K2d_YVzyt7dym" TargetMode="External"/><Relationship Id="rId477" Type="http://schemas.openxmlformats.org/officeDocument/2006/relationships/hyperlink" Target="https://drive.google.com/drive/folders/1OMgaPNHIYky4awKq5iKtXlxY0La6WHK8?usp=drive_link" TargetMode="External"/><Relationship Id="rId2158" Type="http://schemas.openxmlformats.org/officeDocument/2006/relationships/hyperlink" Target="https://www.vidio.com/live/19354-bri-super-league?schedule_id=4783334" TargetMode="External"/><Relationship Id="rId3209" Type="http://schemas.openxmlformats.org/officeDocument/2006/relationships/hyperlink" Target="https://drive.google.com/drive/folders/1Ni6vCeGsLPTBuQyVX1NKzo871KSBnJka" TargetMode="External"/><Relationship Id="rId4607" Type="http://schemas.openxmlformats.org/officeDocument/2006/relationships/hyperlink" Target="https://drive.google.com/drive/folders/1gHWqyjLjPOufW0iC77V3Lom1OyhH7SVI?usp=drive_link" TargetMode="External"/><Relationship Id="rId6779" Type="http://schemas.openxmlformats.org/officeDocument/2006/relationships/hyperlink" Target="https://drive.google.com/file/d/1DNux4glLBnqI-DzUHKvsJVIQIe0fQ_QF/view?usp=sharing" TargetMode="External"/><Relationship Id="rId9252" Type="http://schemas.openxmlformats.org/officeDocument/2006/relationships/hyperlink" Target="https://www.vidio.com/live/19812-top-soccer-championship-2025-u-15?schedule_id=4708908" TargetMode="External"/><Relationship Id="rId11182" Type="http://schemas.openxmlformats.org/officeDocument/2006/relationships/hyperlink" Target="https://www.vidio.com/live/18250-hsbc-bwf-world-tour-finals-2025-group-stage-court-2?schedule_id=4784609" TargetMode="External"/><Relationship Id="rId12233" Type="http://schemas.openxmlformats.org/officeDocument/2006/relationships/hyperlink" Target="https://drive.google.com/file/d/17nqJ8YbOWxi4DOQmMA4_VvY1qMuE4tM4/view?usp=drive_link" TargetMode="External"/><Relationship Id="rId611" Type="http://schemas.openxmlformats.org/officeDocument/2006/relationships/hyperlink" Target="https://drive.google.com/file/d/12S_005Qtra_XZ5nVTW3Vh-uASNHB9ath/view?usp=sharing" TargetMode="External"/><Relationship Id="rId1241" Type="http://schemas.openxmlformats.org/officeDocument/2006/relationships/hyperlink" Target="https://drive.google.com/file/d/1I3nYBFMq6_G4rOTr9ovTc2BNuYqpM6Wg/view?usp=sharing" TargetMode="External"/><Relationship Id="rId5862" Type="http://schemas.openxmlformats.org/officeDocument/2006/relationships/hyperlink" Target="https://drive.google.com/drive/folders/13eQLR64HrKbyWDLlQsn3dQSDucgsN6sA?usp=drive_link" TargetMode="External"/><Relationship Id="rId6913" Type="http://schemas.openxmlformats.org/officeDocument/2006/relationships/hyperlink" Target="https://drive.google.com/file/d/19Rq71fO2WHZP5P0Yoj6UAkhNl5aVEfTP/view?usp=sharing" TargetMode="External"/><Relationship Id="rId4464" Type="http://schemas.openxmlformats.org/officeDocument/2006/relationships/hyperlink" Target="https://www.vidio.com/live/19404-serie-a?schedule_id=4706738" TargetMode="External"/><Relationship Id="rId5515" Type="http://schemas.openxmlformats.org/officeDocument/2006/relationships/hyperlink" Target="https://drive.google.com/file/d/1hrx0rPD__LGYcJMsSKD_S_LzmpYHJIQ7/view?usp=drive_link" TargetMode="External"/><Relationship Id="rId3066" Type="http://schemas.openxmlformats.org/officeDocument/2006/relationships/hyperlink" Target="https://drive.google.com/file/d/1Pn-BRisr5sno1zhHts2ONs3BSVsF3Gcm/view?usp=drive_link" TargetMode="External"/><Relationship Id="rId4117" Type="http://schemas.openxmlformats.org/officeDocument/2006/relationships/hyperlink" Target="https://drive.google.com/file/d/1LbIn1bF51apSjFGkNo2Ut9KEH34lYx4Z/view?usp=sharing" TargetMode="External"/><Relationship Id="rId7687" Type="http://schemas.openxmlformats.org/officeDocument/2006/relationships/hyperlink" Target="https://drive.google.com/file/d/17ey3-5TUxCVXQNMl6KTu946q-GoCcMVx/view?usp=sharing" TargetMode="External"/><Relationship Id="rId6289" Type="http://schemas.openxmlformats.org/officeDocument/2006/relationships/hyperlink" Target="https://www.vidio.com/live/19647-uefa-conference-league?schedule_id=4700077" TargetMode="External"/><Relationship Id="rId8738" Type="http://schemas.openxmlformats.org/officeDocument/2006/relationships/hyperlink" Target="https://drive.google.com/drive/folders/1NepG6XT-FSa8Cs07sX3tPfQWLNpJfAxp" TargetMode="External"/><Relationship Id="rId10668" Type="http://schemas.openxmlformats.org/officeDocument/2006/relationships/hyperlink" Target="https://www.vidio.com/live/6685-champions-tv-1?schedule_id=4819762" TargetMode="External"/><Relationship Id="rId11719" Type="http://schemas.openxmlformats.org/officeDocument/2006/relationships/hyperlink" Target="https://drive.google.com/drive/folders/1QC3RBfvqjf9wzwCdRO0xNOrY_vNPmH1D" TargetMode="External"/><Relationship Id="rId12090" Type="http://schemas.openxmlformats.org/officeDocument/2006/relationships/hyperlink" Target="https://drive.google.com/drive/folders/1y_mGPCoON9jW62Lb8x5K2d_YVzyt7dym" TargetMode="External"/><Relationship Id="rId2899" Type="http://schemas.openxmlformats.org/officeDocument/2006/relationships/hyperlink" Target="https://drive.google.com/file/d/1_GGo-LcqkHEKKfe0ip8bmAZtpSQOMRAW/view?usp=drive_link" TargetMode="External"/><Relationship Id="rId3200" Type="http://schemas.openxmlformats.org/officeDocument/2006/relationships/hyperlink" Target="https://www.vidio.com/live/17875-bein-2?schedule_id=4827317" TargetMode="External"/><Relationship Id="rId6770" Type="http://schemas.openxmlformats.org/officeDocument/2006/relationships/hyperlink" Target="https://drive.google.com/file/d/1DNux4glLBnqI-DzUHKvsJVIQIe0fQ_QF/view?usp=sharing" TargetMode="External"/><Relationship Id="rId7821" Type="http://schemas.openxmlformats.org/officeDocument/2006/relationships/hyperlink" Target="https://drive.google.com/drive/folders/1Iqyp-jmqSGRo9iHQxqj9CAIn7CnH9w_y?usp=drive_link" TargetMode="External"/><Relationship Id="rId121" Type="http://schemas.openxmlformats.org/officeDocument/2006/relationships/hyperlink" Target="https://drive.google.com/file/d/1bKZuFIXBD6FuFoFivkhH7BDTAXK99BIt/view?usp=sharing" TargetMode="External"/><Relationship Id="rId5372" Type="http://schemas.openxmlformats.org/officeDocument/2006/relationships/hyperlink" Target="https://drive.google.com/file/d/1hPJkwppomk3tRiCxKaWkAjs_TJ1PSV6P/view?usp=sharing" TargetMode="External"/><Relationship Id="rId6423" Type="http://schemas.openxmlformats.org/officeDocument/2006/relationships/hyperlink" Target="https://drive.google.com/drive/folders/1F9lLmIvT4-3oh_Jbh-sne-zsyB6ey7v0" TargetMode="External"/><Relationship Id="rId9993" Type="http://schemas.openxmlformats.org/officeDocument/2006/relationships/hyperlink" Target="https://drive.google.com/drive/folders/1L_Tiyi5lN6WGgxcLY_rPlzX47jkmN7AX?usp=drive_link" TargetMode="External"/><Relationship Id="rId10802" Type="http://schemas.openxmlformats.org/officeDocument/2006/relationships/hyperlink" Target="https://www.vidio.com/live/18250-hsbc-bwf-world-tour-finals-2025-group-stage-court-2?schedule_id=4782024" TargetMode="External"/><Relationship Id="rId5025" Type="http://schemas.openxmlformats.org/officeDocument/2006/relationships/hyperlink" Target="https://www.vidio.com/live/17883-uefa-champions-league?schedule_id=4602014" TargetMode="External"/><Relationship Id="rId8595" Type="http://schemas.openxmlformats.org/officeDocument/2006/relationships/hyperlink" Target="https://www.vidio.com/live/19542-pegadaian-championship-2025-26?schedule_id=4720759" TargetMode="External"/><Relationship Id="rId9646" Type="http://schemas.openxmlformats.org/officeDocument/2006/relationships/hyperlink" Target="https://www.vidio.com/live/20048-fivb-women-s-volleyball-club-world-championship-2025?schedule_id=4773530" TargetMode="External"/><Relationship Id="rId1635" Type="http://schemas.openxmlformats.org/officeDocument/2006/relationships/hyperlink" Target="https://drive.google.com/drive/folders/1qITVfQuRLdDumn5yab_F2qFiO7G1Hftf" TargetMode="External"/><Relationship Id="rId1982" Type="http://schemas.openxmlformats.org/officeDocument/2006/relationships/hyperlink" Target="https://drive.google.com/file/d/1p62aoTwgjDIc6yJWo_NpdbOv6iMVP_15/view?usp=sharing" TargetMode="External"/><Relationship Id="rId7197" Type="http://schemas.openxmlformats.org/officeDocument/2006/relationships/hyperlink" Target="https://www.vidio.com/live/19556-top-youth-premier-league-2025-matchday-3?schedule_id=4569330" TargetMode="External"/><Relationship Id="rId8248" Type="http://schemas.openxmlformats.org/officeDocument/2006/relationships/hyperlink" Target="https://drive.google.com/drive/folders/1NepG6XT-FSa8Cs07sX3tPfQWLNpJfAxp" TargetMode="External"/><Relationship Id="rId10178" Type="http://schemas.openxmlformats.org/officeDocument/2006/relationships/hyperlink" Target="https://drive.google.com/drive/folders/1U9iSpf-e1i8LDVKRoVXn-FQrB1fOs370?usp=drive_link" TargetMode="External"/><Relationship Id="rId11576" Type="http://schemas.openxmlformats.org/officeDocument/2006/relationships/hyperlink" Target="https://drive.google.com/file/d/1UepkuOl6fQChjWHbfWxL9BftJXmx6I1I/view?usp=sharing" TargetMode="External"/><Relationship Id="rId11229" Type="http://schemas.openxmlformats.org/officeDocument/2006/relationships/hyperlink" Target="https://drive.google.com/file/d/1QmBbQ8tPMz4XKbhf9wvkMi9qq2SPfLeY/view?usp=sharing" TargetMode="External"/><Relationship Id="rId4858" Type="http://schemas.openxmlformats.org/officeDocument/2006/relationships/hyperlink" Target="https://www.vidio.com/live/20237-serie-a?schedule_id=4831591" TargetMode="External"/><Relationship Id="rId5909" Type="http://schemas.openxmlformats.org/officeDocument/2006/relationships/hyperlink" Target="https://www.vidio.com/live/19603-uefa-europa-league?schedule_id=4733530" TargetMode="External"/><Relationship Id="rId11710" Type="http://schemas.openxmlformats.org/officeDocument/2006/relationships/hyperlink" Target="https://drive.google.com/file/d/15XWbtbUwFEgrO0Ju6sNJKkMPQkRxrMB0/view?usp=sharing" TargetMode="External"/><Relationship Id="rId6280" Type="http://schemas.openxmlformats.org/officeDocument/2006/relationships/hyperlink" Target="https://drive.google.com/drive/folders/1HjA-zTt16ClD4tZ9QAekfhNni6Gtt_wu" TargetMode="External"/><Relationship Id="rId7331" Type="http://schemas.openxmlformats.org/officeDocument/2006/relationships/hyperlink" Target="https://drive.google.com/file/d/1zksc8YQhTY6dxlZ8_763_D4PE3wyaeWB/view?usp=sharing" TargetMode="External"/><Relationship Id="rId10312" Type="http://schemas.openxmlformats.org/officeDocument/2006/relationships/hyperlink" Target="https://drive.google.com/drive/folders/1z51LNxeP_wvZ8YdEOS-agYhrHrGB1MFT" TargetMode="External"/><Relationship Id="rId2890" Type="http://schemas.openxmlformats.org/officeDocument/2006/relationships/hyperlink" Target="https://drive.google.com/drive/folders/1y2sVMIEv-Bhl3X7WQZjqwrzwD5ZynEqf?usp=drive_link" TargetMode="External"/><Relationship Id="rId3941" Type="http://schemas.openxmlformats.org/officeDocument/2006/relationships/hyperlink" Target="https://drive.google.com/file/d/1J-zpxDet7h2upDjnQMVi8vg3JZvXGzct/view?usp=sharing" TargetMode="External"/><Relationship Id="rId862" Type="http://schemas.openxmlformats.org/officeDocument/2006/relationships/hyperlink" Target="https://drive.google.com/file/d/1VunuAc0ByovJbJXH4OZatXhzEVVI9MeJ/view?usp=sharing" TargetMode="External"/><Relationship Id="rId1492" Type="http://schemas.openxmlformats.org/officeDocument/2006/relationships/hyperlink" Target="https://drive.google.com/drive/folders/1un_smO22b2Ug7-vASYhg1PU8ypdsUysC?usp=drive_link" TargetMode="External"/><Relationship Id="rId2543" Type="http://schemas.openxmlformats.org/officeDocument/2006/relationships/hyperlink" Target="https://drive.google.com/drive/folders/1Qu3TcxsZ0jXzwwywPanI-5x3DkstP76Z?usp=drive_link" TargetMode="External"/><Relationship Id="rId9156" Type="http://schemas.openxmlformats.org/officeDocument/2006/relationships/hyperlink" Target="https://www.vidio.com/live/19802-top-youth-premier-league-2025-matchday-10?schedule_id=4709312" TargetMode="External"/><Relationship Id="rId11086" Type="http://schemas.openxmlformats.org/officeDocument/2006/relationships/hyperlink" Target="https://drive.google.com/drive/folders/1LTZbif_Kqj26_2CIvHG-55X0LZeCTntI?usp=drive_link" TargetMode="External"/><Relationship Id="rId12137" Type="http://schemas.openxmlformats.org/officeDocument/2006/relationships/hyperlink" Target="https://drive.google.com/file/d/17nqJ8YbOWxi4DOQmMA4_VvY1qMuE4tM4/view?usp=drive_link" TargetMode="External"/><Relationship Id="rId515" Type="http://schemas.openxmlformats.org/officeDocument/2006/relationships/hyperlink" Target="https://drive.google.com/file/d/1xeOGVzhtaQ_Lt-36_MeJtEuBj7uTKtom/view?usp=sharing" TargetMode="External"/><Relationship Id="rId1145" Type="http://schemas.openxmlformats.org/officeDocument/2006/relationships/hyperlink" Target="https://www.vidio.com/live/9182-champions-tv-5?schedule_id=4802197" TargetMode="External"/><Relationship Id="rId5766" Type="http://schemas.openxmlformats.org/officeDocument/2006/relationships/hyperlink" Target="https://drive.google.com/drive/folders/1Xlp5aunryVlWR8atbAp6mL9dfJO63aR4?usp=drive_link" TargetMode="External"/><Relationship Id="rId4368" Type="http://schemas.openxmlformats.org/officeDocument/2006/relationships/hyperlink" Target="https://drive.google.com/drive/folders/1xpJ2hU9YEE851LH1CBRvpeGbfhZvcj0p?usp=drive_link" TargetMode="External"/><Relationship Id="rId5419" Type="http://schemas.openxmlformats.org/officeDocument/2006/relationships/hyperlink" Target="https://drive.google.com/file/d/1e9JPkh4P3wmtS6rG0vMkgZ6SKt5eNR2D/view?usp=sharing" TargetMode="External"/><Relationship Id="rId6817" Type="http://schemas.openxmlformats.org/officeDocument/2006/relationships/hyperlink" Target="https://drive.google.com/drive/folders/1Gs-iNI7_AnsnUiO6WpMvZ2FP54QsOqfS?usp=drive_link" TargetMode="External"/><Relationship Id="rId8989" Type="http://schemas.openxmlformats.org/officeDocument/2006/relationships/hyperlink" Target="https://drive.google.com/file/d/1g11pnzhWKpvFS0Oz7k-u04XrIX6ibaNl/view?usp=sharing" TargetMode="External"/><Relationship Id="rId11220" Type="http://schemas.openxmlformats.org/officeDocument/2006/relationships/hyperlink" Target="https://drive.google.com/file/d/1c9b37wfDcI90ywKK-eUuQb_lFkWKMT25/view?usp=sharing" TargetMode="External"/><Relationship Id="rId5900" Type="http://schemas.openxmlformats.org/officeDocument/2006/relationships/hyperlink" Target="https://drive.google.com/drive/folders/1-NumJCi950noqLXm2o-TYGB9eUlOMWZt?usp=drive_link" TargetMode="External"/><Relationship Id="rId3451" Type="http://schemas.openxmlformats.org/officeDocument/2006/relationships/hyperlink" Target="https://www.vidio.com/live/18739-liga-portugal?schedule_id=4512829" TargetMode="External"/><Relationship Id="rId4502" Type="http://schemas.openxmlformats.org/officeDocument/2006/relationships/hyperlink" Target="https://www.vidio.com/live/19404-serie-a?schedule_id=4725608" TargetMode="External"/><Relationship Id="rId372" Type="http://schemas.openxmlformats.org/officeDocument/2006/relationships/hyperlink" Target="https://drive.google.com/file/d/1VStVdbeA1S0JCc6lkg3CTkOUu-Mcv3TA/view?usp=sharing" TargetMode="External"/><Relationship Id="rId2053" Type="http://schemas.openxmlformats.org/officeDocument/2006/relationships/hyperlink" Target="https://drive.google.com/file/d/1fUzygfSfngaNy39iGxo07hFAYorX5Pqu/view?usp=sharing" TargetMode="External"/><Relationship Id="rId3104" Type="http://schemas.openxmlformats.org/officeDocument/2006/relationships/hyperlink" Target="https://drive.google.com/file/d/1pSsUEiJ7dmQpbV1N-Mg_L88Tbx2a3P0T/view?usp=sharing" TargetMode="External"/><Relationship Id="rId6674" Type="http://schemas.openxmlformats.org/officeDocument/2006/relationships/hyperlink" Target="https://drive.google.com/file/d/1dlriK8iUnnKqydxo5bu5Y4ReSJQwZxtq/view?usp=sharing" TargetMode="External"/><Relationship Id="rId7725" Type="http://schemas.openxmlformats.org/officeDocument/2006/relationships/hyperlink" Target="https://drive.google.com/drive/folders/1-d7SElccr2N6xnWCuYB7bicvICq7mohq?usp=drive_link" TargetMode="External"/><Relationship Id="rId5276" Type="http://schemas.openxmlformats.org/officeDocument/2006/relationships/hyperlink" Target="https://drive.google.com/file/d/1ic2f_KCaQ7nKCdhy8P8XV6e5B5L3MTJ7/view?usp=sharing" TargetMode="External"/><Relationship Id="rId6327" Type="http://schemas.openxmlformats.org/officeDocument/2006/relationships/hyperlink" Target="https://drive.google.com/drive/folders/1_QyyUC0KxsA5I5XnGSR_moWG1pYIaeRU" TargetMode="External"/><Relationship Id="rId9897" Type="http://schemas.openxmlformats.org/officeDocument/2006/relationships/hyperlink" Target="https://drive.google.com/file/d/1G80VUhx176uHcgi6DM_r1VD9joqU4HBc/view?usp=sharing" TargetMode="External"/><Relationship Id="rId10706" Type="http://schemas.openxmlformats.org/officeDocument/2006/relationships/hyperlink" Target="https://drive.google.com/file/d/1YW4fztlrni5GRkjhBViO9QsHf6NL72bj/view?usp=sharing" TargetMode="External"/><Relationship Id="rId8499" Type="http://schemas.openxmlformats.org/officeDocument/2006/relationships/hyperlink" Target="https://drive.google.com/file/d/1xyE1HdP3ILvUzATjzhwyKSgNadN5k_Eu/view?usp=drive_link" TargetMode="External"/><Relationship Id="rId1886" Type="http://schemas.openxmlformats.org/officeDocument/2006/relationships/hyperlink" Target="https://www.vidio.com/live/205-indosiar?schedule_id=4660727" TargetMode="External"/><Relationship Id="rId2937" Type="http://schemas.openxmlformats.org/officeDocument/2006/relationships/hyperlink" Target="https://drive.google.com/drive/folders/1R-vQXnFoYssOubCv1EfjDHbaEZ2_yb9-?usp=drive_link" TargetMode="External"/><Relationship Id="rId909" Type="http://schemas.openxmlformats.org/officeDocument/2006/relationships/hyperlink" Target="https://drive.google.com/file/d/1qeLcj0J8y7vL4qwLvN_7GBgoHkIVAibq/view?usp=sharing" TargetMode="External"/><Relationship Id="rId1539" Type="http://schemas.openxmlformats.org/officeDocument/2006/relationships/hyperlink" Target="https://drive.google.com/drive/folders/1R7AxaCx-A3i3r5QaNfZS5nsDYdOPBV1h?usp=drive_link" TargetMode="External"/><Relationship Id="rId5410" Type="http://schemas.openxmlformats.org/officeDocument/2006/relationships/hyperlink" Target="https://drive.google.com/file/d/1UDxS_cfMma2T0bESnBM7jPu3yKRiPHKf/view?usp=share_link" TargetMode="External"/><Relationship Id="rId8980" Type="http://schemas.openxmlformats.org/officeDocument/2006/relationships/hyperlink" Target="https://drive.google.com/drive/folders/16gD2JVWzjp1xjoc6qJGzOhzQW2ddWfwt" TargetMode="External"/><Relationship Id="rId11961" Type="http://schemas.openxmlformats.org/officeDocument/2006/relationships/hyperlink" Target="https://www.vidio.com/live/18250-petronas-malaysia-open-2026-round-of-32-court-?schedule_id=4832188" TargetMode="External"/><Relationship Id="rId4012" Type="http://schemas.openxmlformats.org/officeDocument/2006/relationships/hyperlink" Target="https://drive.google.com/file/d/1fWbNDd9NvhT0FkGeiILk2eoeiru9sueP/view?usp=sharing" TargetMode="External"/><Relationship Id="rId7582" Type="http://schemas.openxmlformats.org/officeDocument/2006/relationships/hyperlink" Target="https://drive.google.com/file/d/1WuHjzm-zbt9qQO1XzzvwRTVwWB4c-8GO/view?usp=sharing" TargetMode="External"/><Relationship Id="rId8633" Type="http://schemas.openxmlformats.org/officeDocument/2006/relationships/hyperlink" Target="https://drive.google.com/drive/folders/1rl5FGcq4AJPO8LOU0ioroZMKuxSSq8pn?usp=drive_link" TargetMode="External"/><Relationship Id="rId10563" Type="http://schemas.openxmlformats.org/officeDocument/2006/relationships/hyperlink" Target="https://drive.google.com/drive/folders/1lRpkKjL9vFkEPCJbfRl_WW1noWrxO-7z?usp=drive_link" TargetMode="External"/><Relationship Id="rId11614" Type="http://schemas.openxmlformats.org/officeDocument/2006/relationships/hyperlink" Target="https://www.vidio.com/live/6299-bein-1?schedule_id=4827325" TargetMode="External"/><Relationship Id="rId6184" Type="http://schemas.openxmlformats.org/officeDocument/2006/relationships/hyperlink" Target="https://drive.google.com/drive/folders/1z0QSLmNvSJyyT8FLEYRkw6ibg9dSBAVC" TargetMode="External"/><Relationship Id="rId7235" Type="http://schemas.openxmlformats.org/officeDocument/2006/relationships/hyperlink" Target="https://drive.google.com/drive/folders/1-2T3r3I5PIGs_PE80eN2UaUWoX91IMx8" TargetMode="External"/><Relationship Id="rId10216" Type="http://schemas.openxmlformats.org/officeDocument/2006/relationships/hyperlink" Target="https://drive.google.com/file/d/1K56IkVzAVuZta7riF22dfeOlJrhQkgT_/view?usp=sharing" TargetMode="External"/><Relationship Id="rId2794" Type="http://schemas.openxmlformats.org/officeDocument/2006/relationships/hyperlink" Target="https://drive.google.com/file/d/1paOmlkqw3z720yXayMMV1WdIQEGFTmkB/view?usp=sharing" TargetMode="External"/><Relationship Id="rId3845" Type="http://schemas.openxmlformats.org/officeDocument/2006/relationships/hyperlink" Target="https://drive.google.com/file/d/1922TNm-52x0kJvga51jsJh6rSUizIRME/view?usp=sharing" TargetMode="External"/><Relationship Id="rId12388" Type="http://schemas.openxmlformats.org/officeDocument/2006/relationships/hyperlink" Target="https://drive.google.com/drive/folders/1tni-eURfEFKRVxfoCHzmLE1mqpTQd2nq" TargetMode="External"/><Relationship Id="rId766" Type="http://schemas.openxmlformats.org/officeDocument/2006/relationships/hyperlink" Target="https://drive.google.com/file/d/1MxSNO37Sv-jF8sLgcVSnEq7zJZsuuXFb/view?usp=sharing" TargetMode="External"/><Relationship Id="rId1396" Type="http://schemas.openxmlformats.org/officeDocument/2006/relationships/hyperlink" Target="https://drive.google.com/file/d/12_cB5m9ZHnWN9YZJ8-OA4J30QqWJa0eZ/view?usp=sharing" TargetMode="External"/><Relationship Id="rId2447" Type="http://schemas.openxmlformats.org/officeDocument/2006/relationships/hyperlink" Target="https://www.vidio.com/live/6299-bein-1?schedule_id=4563095" TargetMode="External"/><Relationship Id="rId419" Type="http://schemas.openxmlformats.org/officeDocument/2006/relationships/hyperlink" Target="https://drive.google.com/file/d/1v7KFajMfKBDlQ3NUU0BOucuQiuofbpkV/view?usp=sharing" TargetMode="External"/><Relationship Id="rId1049" Type="http://schemas.openxmlformats.org/officeDocument/2006/relationships/hyperlink" Target="https://drive.google.com/file/d/153IodEGcTfwY8e9SvwPVFmUAt7wRW6kZ/view?usp=sharing" TargetMode="External"/><Relationship Id="rId7092" Type="http://schemas.openxmlformats.org/officeDocument/2006/relationships/hyperlink" Target="https://www.vidio.com/live/19548-national-football-league-2025-26?schedule_id=4568493" TargetMode="External"/><Relationship Id="rId8143" Type="http://schemas.openxmlformats.org/officeDocument/2006/relationships/hyperlink" Target="https://drive.google.com/file/d/1_Dtl8za0MM0-pYw8COwwuRHvFGdPmzZR/view?usp=sharing" TargetMode="External"/><Relationship Id="rId8490" Type="http://schemas.openxmlformats.org/officeDocument/2006/relationships/hyperlink" Target="https://drive.google.com/drive/folders/1iewL_O37ZHaThTYCcUbuDq2seic7GwnJ?usp=sharing" TargetMode="External"/><Relationship Id="rId9541" Type="http://schemas.openxmlformats.org/officeDocument/2006/relationships/hyperlink" Target="https://drive.google.com/file/d/1bGAtWdCSL-v2iZg1GvRoYwXZwXVqVH3x/view" TargetMode="External"/><Relationship Id="rId11471" Type="http://schemas.openxmlformats.org/officeDocument/2006/relationships/hyperlink" Target="https://drive.google.com/file/d/1A_a1V6m39vtVyhpvsfAOV0cG8qQnuLQn/view?usp=sharing" TargetMode="External"/><Relationship Id="rId900" Type="http://schemas.openxmlformats.org/officeDocument/2006/relationships/hyperlink" Target="https://www.vidio.com/live/9182-champions-tv-5?schedule_id=4759273" TargetMode="External"/><Relationship Id="rId1530" Type="http://schemas.openxmlformats.org/officeDocument/2006/relationships/hyperlink" Target="https://drive.google.com/file/d/1NTlQDYPWh8MI4cX7eX6uWn-fURNd8VAt/view?usp=drive_link" TargetMode="External"/><Relationship Id="rId10073" Type="http://schemas.openxmlformats.org/officeDocument/2006/relationships/hyperlink" Target="https://drive.google.com/file/d/1KBDv1jPGiWvh8Ug_0XXDa0ZA-dognBRs/view?usp=sharing" TargetMode="External"/><Relationship Id="rId11124" Type="http://schemas.openxmlformats.org/officeDocument/2006/relationships/hyperlink" Target="https://thumbor.prod.vidiocdn.com/NBrINS2FgvKQGA9qbuqZuLXwGC8=/filters:quality(70)/vidio-media-production/uploads/image/source/53152/021505.png" TargetMode="External"/><Relationship Id="rId4753" Type="http://schemas.openxmlformats.org/officeDocument/2006/relationships/hyperlink" Target="https://www.vidio.com/live/19404-serie-a?schedule_id=4790702" TargetMode="External"/><Relationship Id="rId5804" Type="http://schemas.openxmlformats.org/officeDocument/2006/relationships/hyperlink" Target="https://drive.google.com/file/d/1ablQNSGkT0FUNhLh8SW5Agoxr_CZG_QH/view?usp=sharing" TargetMode="External"/><Relationship Id="rId3355" Type="http://schemas.openxmlformats.org/officeDocument/2006/relationships/hyperlink" Target="https://www.vidio.com/live/6685-champions-tv-1?schedule_id=4501369" TargetMode="External"/><Relationship Id="rId4406" Type="http://schemas.openxmlformats.org/officeDocument/2006/relationships/hyperlink" Target="https://drive.google.com/file/d/1gp4auf3hgAtbidXq5KtfcDI4KYwhJwoX/view?usp=sharing" TargetMode="External"/><Relationship Id="rId7976" Type="http://schemas.openxmlformats.org/officeDocument/2006/relationships/hyperlink" Target="https://www.vidio.com/live/6317-bein-3?schedule_id=4713683" TargetMode="External"/><Relationship Id="rId276" Type="http://schemas.openxmlformats.org/officeDocument/2006/relationships/hyperlink" Target="https://drive.google.com/file/d/1o2CE4xlxlrv-dyXnYCZjd0G008gmlrBW/view?usp=drive_link" TargetMode="External"/><Relationship Id="rId3008" Type="http://schemas.openxmlformats.org/officeDocument/2006/relationships/hyperlink" Target="https://drive.google.com/file/d/1H0sYn4w0eP1hLoI8axLJjnH4DQ4Tg_0I/view?usp=sharing" TargetMode="External"/><Relationship Id="rId6578" Type="http://schemas.openxmlformats.org/officeDocument/2006/relationships/hyperlink" Target="https://drive.google.com/file/d/1-40JFBmthjARNxapakdkech2SnZ-_q77/view?usp=sharing" TargetMode="External"/><Relationship Id="rId7629" Type="http://schemas.openxmlformats.org/officeDocument/2006/relationships/hyperlink" Target="https://drive.google.com/file/d/1JDGsrtqHe8z2RKd7JWSrGPFdPinSjUCh/view?usp=sharing" TargetMode="External"/><Relationship Id="rId10957" Type="http://schemas.openxmlformats.org/officeDocument/2006/relationships/hyperlink" Target="https://drive.google.com/file/d/1MEaivbSHhdliXXeCqQ4lf3Y_pO3WJjI-/view?usp=sharing" TargetMode="External"/><Relationship Id="rId9051" Type="http://schemas.openxmlformats.org/officeDocument/2006/relationships/hyperlink" Target="https://drive.google.com/drive/folders/1Q1onfK-eNnl1YeesGLgeZDTJVgP1VtMD?usp=drive_link" TargetMode="External"/><Relationship Id="rId1040" Type="http://schemas.openxmlformats.org/officeDocument/2006/relationships/hyperlink" Target="https://drive.google.com/file/d/1VmLVShoZPmFn6mJN9LilI32dDOcYYoVv/view?usp=drive_link" TargetMode="External"/><Relationship Id="rId12032" Type="http://schemas.openxmlformats.org/officeDocument/2006/relationships/hyperlink" Target="https://drive.google.com/file/d/1GSUWpYS1bKMQHpDirkh41aNW22dfhpEf/view?usp=sharing" TargetMode="External"/><Relationship Id="rId410" Type="http://schemas.openxmlformats.org/officeDocument/2006/relationships/hyperlink" Target="https://www.vidio.com/live/9183-champions-tv-6?schedule_id=4598353" TargetMode="External"/><Relationship Id="rId5661" Type="http://schemas.openxmlformats.org/officeDocument/2006/relationships/hyperlink" Target="https://drive.google.com/file/d/1BZHTM0LiRTVH-lzdoNop5d4DoQmXka9Y/view?usp=drive_link" TargetMode="External"/><Relationship Id="rId6712" Type="http://schemas.openxmlformats.org/officeDocument/2006/relationships/hyperlink" Target="https://www.vidio.com/live/6685-champions-tv-1?schedule_id=4599327" TargetMode="External"/><Relationship Id="rId4263" Type="http://schemas.openxmlformats.org/officeDocument/2006/relationships/hyperlink" Target="https://drive.google.com/file/d/10FE9AZATTw3QyXz-Y5-tLAOJFVlGRZ73/view?usp=sharing" TargetMode="External"/><Relationship Id="rId5314" Type="http://schemas.openxmlformats.org/officeDocument/2006/relationships/hyperlink" Target="https://www.vidio.com/live/18303-uefa-champions-league?schedule_id=4733533" TargetMode="External"/><Relationship Id="rId8884" Type="http://schemas.openxmlformats.org/officeDocument/2006/relationships/hyperlink" Target="https://thumbor.prod.vidiocdn.com/5hLP_6-f65611HBFE81aLvJseZw=/filters:quality(70)/vidio-media-production/uploads/image/source/52021/7e8d5f.png" TargetMode="External"/><Relationship Id="rId9935" Type="http://schemas.openxmlformats.org/officeDocument/2006/relationships/hyperlink" Target="https://drive.google.com/drive/folders/1NJrD56F5JAPSqQe-g0_LJ7AVaA1VzvXI?usp=drive_link" TargetMode="External"/><Relationship Id="rId1924" Type="http://schemas.openxmlformats.org/officeDocument/2006/relationships/hyperlink" Target="https://drive.google.com/file/d/1FdClfwYEKuwkzQqkq1yHssNoUWcB7fqL/view?usp=sharing" TargetMode="External"/><Relationship Id="rId7486" Type="http://schemas.openxmlformats.org/officeDocument/2006/relationships/hyperlink" Target="https://www.vidio.com/live/19587-top-youth-premier-league-2025-matchday-4?schedule_id=4585751" TargetMode="External"/><Relationship Id="rId8537" Type="http://schemas.openxmlformats.org/officeDocument/2006/relationships/hyperlink" Target="https://drive.google.com/file/d/1Ux61FvxvZheBgyoU2jVANO1pvA4tVb_I/view?usp=sharing" TargetMode="External"/><Relationship Id="rId10467" Type="http://schemas.openxmlformats.org/officeDocument/2006/relationships/hyperlink" Target="https://www.vidio.com/live/20040-top-youth-premier-league-2025-pekan-ke-13?schedule_id=4766505" TargetMode="External"/><Relationship Id="rId11865" Type="http://schemas.openxmlformats.org/officeDocument/2006/relationships/hyperlink" Target="https://www.vidio.com/live/18250-petronas-malaysia-open-2026-round-of-32-court-2?schedule_id=4831561" TargetMode="External"/><Relationship Id="rId6088" Type="http://schemas.openxmlformats.org/officeDocument/2006/relationships/hyperlink" Target="https://drive.google.com/drive/folders/1kJSswJCmpi_VpUjCmP-YXtduasRGgd8B?usp=drive_link" TargetMode="External"/><Relationship Id="rId7139" Type="http://schemas.openxmlformats.org/officeDocument/2006/relationships/hyperlink" Target="https://drive.google.com/file/d/16gi7ZOLMRzXB6m5fWFtRNuRHtQSIIYvu/view?usp=sharing" TargetMode="External"/><Relationship Id="rId11518" Type="http://schemas.openxmlformats.org/officeDocument/2006/relationships/hyperlink" Target="https://www.vidio.com/live/19738-turkish-volleyball-league?schedule_id=4832832" TargetMode="External"/><Relationship Id="rId2698" Type="http://schemas.openxmlformats.org/officeDocument/2006/relationships/hyperlink" Target="https://drive.google.com/file/d/1OKXQoDny0Bn9FbzVR0da_xnrHQB7Usy4/view?usp=sharing" TargetMode="External"/><Relationship Id="rId3749" Type="http://schemas.openxmlformats.org/officeDocument/2006/relationships/hyperlink" Target="https://www.vidio.com/live/6685-champions-tv-1?schedule_id=4575998" TargetMode="External"/><Relationship Id="rId5171" Type="http://schemas.openxmlformats.org/officeDocument/2006/relationships/hyperlink" Target="https://drive.google.com/drive/u/0/folders/1kIhRtIbjGuZW_RRcO_3nr9zYNDh0V14g" TargetMode="External"/><Relationship Id="rId6222" Type="http://schemas.openxmlformats.org/officeDocument/2006/relationships/hyperlink" Target="https://www.vidio.com/live/19647-uefa-conference-league?schedule_id=4664187" TargetMode="External"/><Relationship Id="rId7620" Type="http://schemas.openxmlformats.org/officeDocument/2006/relationships/hyperlink" Target="https://drive.google.com/file/d/1SMfq-xKVadMfut_PSiDRnxNWNhFXOcHl/view?usp=sharing" TargetMode="External"/><Relationship Id="rId10601" Type="http://schemas.openxmlformats.org/officeDocument/2006/relationships/hyperlink" Target="https://drive.google.com/file/d/1N3KkwStSXCrd1p6LtPqHAsoWz18aSqnv/view?usp=sharing" TargetMode="External"/><Relationship Id="rId9792" Type="http://schemas.openxmlformats.org/officeDocument/2006/relationships/hyperlink" Target="https://drive.google.com/file/d/1bGAtWdCSL-v2iZg1GvRoYwXZwXVqVH3x/view" TargetMode="External"/><Relationship Id="rId1781" Type="http://schemas.openxmlformats.org/officeDocument/2006/relationships/hyperlink" Target="https://drive.google.com/file/d/1-KyLbhuPRw-X-vBuykoXf3KQSd8-OBMs/view?usp=sharing" TargetMode="External"/><Relationship Id="rId2832" Type="http://schemas.openxmlformats.org/officeDocument/2006/relationships/hyperlink" Target="https://drive.google.com/drive/folders/1X2F9h69ePInMYehtUKVoDjWu8Xh0-HmE?usp=drive_link" TargetMode="External"/><Relationship Id="rId8394" Type="http://schemas.openxmlformats.org/officeDocument/2006/relationships/hyperlink" Target="https://thumbor.prod.vidiocdn.com/tdcm4p-TG78qZkvH5WsB_8OeOPA=/filters:quality(70)/vidio-media-production/uploads/image/source/52060/45403a.png" TargetMode="External"/><Relationship Id="rId9445" Type="http://schemas.openxmlformats.org/officeDocument/2006/relationships/hyperlink" Target="https://www.vidio.com/live/19543-pegadaian-championship-2025-26?schedule_id=4827315" TargetMode="External"/><Relationship Id="rId11375" Type="http://schemas.openxmlformats.org/officeDocument/2006/relationships/hyperlink" Target="https://drive.google.com/file/d/1DNux4glLBnqI-DzUHKvsJVIQIe0fQ_QF/view?usp=drive_link" TargetMode="External"/><Relationship Id="rId12426" Type="http://schemas.openxmlformats.org/officeDocument/2006/relationships/hyperlink" Target="https://drive.google.com/file/d/15XWbtbUwFEgrO0Ju6sNJKkMPQkRxrMB0/view?usp=sharing" TargetMode="External"/><Relationship Id="rId804" Type="http://schemas.openxmlformats.org/officeDocument/2006/relationships/hyperlink" Target="https://www.vidio.com/live/19375-premier-league?schedule_id=4736087" TargetMode="External"/><Relationship Id="rId1434" Type="http://schemas.openxmlformats.org/officeDocument/2006/relationships/hyperlink" Target="https://drive.google.com/file/d/1GjyRRMp1CGmeEZ9U7w-18aOy5m0YKdLf/view?usp=drive_link" TargetMode="External"/><Relationship Id="rId8047" Type="http://schemas.openxmlformats.org/officeDocument/2006/relationships/hyperlink" Target="https://drive.google.com/file/d/1facW0BLbK-9D3rLZ5Tn900JflrxEkJYO/view?usp=sharing" TargetMode="External"/><Relationship Id="rId11028" Type="http://schemas.openxmlformats.org/officeDocument/2006/relationships/hyperlink" Target="https://thumbor.prod.vidiocdn.com/8U9QiV_W6s4-ntlM3ZLP5C2BSHI=/filters:quality(70)/vidio-media-production/uploads/image/source/53176/a96a5b.png" TargetMode="External"/><Relationship Id="rId4657" Type="http://schemas.openxmlformats.org/officeDocument/2006/relationships/hyperlink" Target="https://www.vidio.com/live/19404-serie-a?schedule_id=4760171" TargetMode="External"/><Relationship Id="rId5708" Type="http://schemas.openxmlformats.org/officeDocument/2006/relationships/hyperlink" Target="https://drive.google.com/file/d/1E-6PIQrkKfcGqHhbznYNtDBr-LlJOZ2v/view?usp=sharing" TargetMode="External"/><Relationship Id="rId3259" Type="http://schemas.openxmlformats.org/officeDocument/2006/relationships/hyperlink" Target="https://drive.google.com/file/d/1cjd_32ucbe4drzvoaL3KbJlN56B2aggA/view?usp=sharing" TargetMode="External"/><Relationship Id="rId7130" Type="http://schemas.openxmlformats.org/officeDocument/2006/relationships/hyperlink" Target="https://drive.google.com/drive/folders/1QuW8HGm8Gy5DKzFtp0IqY8763E-ORETq?usp=drive_link" TargetMode="External"/><Relationship Id="rId10111" Type="http://schemas.openxmlformats.org/officeDocument/2006/relationships/hyperlink" Target="https://www.vidio.com/live/19995-top-soccer-championship-2025-u-14-u-15?schedule_id=4743069" TargetMode="External"/><Relationship Id="rId3740" Type="http://schemas.openxmlformats.org/officeDocument/2006/relationships/hyperlink" Target="https://drive.google.com/drive/folders/1FUYVGFcWOBPvkAkkVI3fj_0oBsXNzTzB?usp=drive_link" TargetMode="External"/><Relationship Id="rId12283" Type="http://schemas.openxmlformats.org/officeDocument/2006/relationships/hyperlink" Target="https://www.vidio.com/live/20277?schedule_id=4833889" TargetMode="External"/><Relationship Id="rId661" Type="http://schemas.openxmlformats.org/officeDocument/2006/relationships/hyperlink" Target="https://drive.google.com/drive/folders/1W4YAlpzRSBFc3Za3r1g-DH3cJxrWOJHK?usp=drive_link" TargetMode="External"/><Relationship Id="rId1291" Type="http://schemas.openxmlformats.org/officeDocument/2006/relationships/hyperlink" Target="https://drive.google.com/file/d/1_8eEQ3Zf2p942fymffwZcNVFlep_BAV3/view?usp=sharing" TargetMode="External"/><Relationship Id="rId2342" Type="http://schemas.openxmlformats.org/officeDocument/2006/relationships/hyperlink" Target="https://drive.google.com/file/d/1llj0Ghy88maG5a6kzdJYMkTzP3Su_nC4/view?usp=sharing" TargetMode="External"/><Relationship Id="rId6963" Type="http://schemas.openxmlformats.org/officeDocument/2006/relationships/hyperlink" Target="https://www.vidio.com/live/19543-pegadaian-championship-2025-26?schedule_id=4599292" TargetMode="External"/><Relationship Id="rId314" Type="http://schemas.openxmlformats.org/officeDocument/2006/relationships/hyperlink" Target="https://www.vidio.com/live/9182-champions-tv-5?schedule_id=4587129" TargetMode="External"/><Relationship Id="rId5565" Type="http://schemas.openxmlformats.org/officeDocument/2006/relationships/hyperlink" Target="https://www.vidio.com/live/19603-uefa-europa-league?schedule_id=4596296" TargetMode="External"/><Relationship Id="rId6616" Type="http://schemas.openxmlformats.org/officeDocument/2006/relationships/hyperlink" Target="https://drive.google.com/file/d/1NWGJTh82t5BJuwqI4GC_HOmV5033y8_b/view?usp=sharing" TargetMode="External"/><Relationship Id="rId4167" Type="http://schemas.openxmlformats.org/officeDocument/2006/relationships/hyperlink" Target="https://drive.google.com/drive/folders/1vl6VSBxxiwmcqZZItPiZ0TBYXIHeiOxa?usp=drive_link" TargetMode="External"/><Relationship Id="rId5218" Type="http://schemas.openxmlformats.org/officeDocument/2006/relationships/hyperlink" Target="https://drive.google.com/file/d/1xfIvZewHzQCKB6oIzuz-7gRA26GDWc04/view?usp=sharing" TargetMode="External"/><Relationship Id="rId8788" Type="http://schemas.openxmlformats.org/officeDocument/2006/relationships/hyperlink" Target="https://drive.google.com/file/d/1zRKZPDEsKwb9aE-xnT1JrYs3Ktrj3sdh/view?usp=sharing" TargetMode="External"/><Relationship Id="rId9839" Type="http://schemas.openxmlformats.org/officeDocument/2006/relationships/hyperlink" Target="https://www.vidio.com/live/19921-top-soccer-championship-2025-u-13-u-14?schedule_id=4731888" TargetMode="External"/><Relationship Id="rId11769" Type="http://schemas.openxmlformats.org/officeDocument/2006/relationships/hyperlink" Target="https://drive.google.com/file/d/1pc2eVg5Q1YEUMtl8mMltADFOTyCZSYxT/view?usp=sharing" TargetMode="External"/><Relationship Id="rId1828" Type="http://schemas.openxmlformats.org/officeDocument/2006/relationships/hyperlink" Target="https://drive.google.com/drive/u/0/folders/1UK6JOYOJJ_5a5WEmGMrjKbPOe1Q5OO4u" TargetMode="External"/><Relationship Id="rId3250" Type="http://schemas.openxmlformats.org/officeDocument/2006/relationships/hyperlink" Target="https://www.vidio.com/live/6299-bein-1?schedule_id=4832526" TargetMode="External"/><Relationship Id="rId171" Type="http://schemas.openxmlformats.org/officeDocument/2006/relationships/hyperlink" Target="https://drive.google.com/file/d/1fMyoQatleIlVn_4SrsEYQQZNypJoj_Lj/view?usp=sharing" TargetMode="External"/><Relationship Id="rId4301" Type="http://schemas.openxmlformats.org/officeDocument/2006/relationships/hyperlink" Target="https://drive.google.com/file/d/1UGFhkprRXRp6OGEo1-6Ixi86WWTLi3RW/view?usp=sharing" TargetMode="External"/><Relationship Id="rId7871" Type="http://schemas.openxmlformats.org/officeDocument/2006/relationships/hyperlink" Target="https://www.vidio.com/live/19677-turkish-women-s-volleyball-cup?schedule_id=4652550" TargetMode="External"/><Relationship Id="rId8922" Type="http://schemas.openxmlformats.org/officeDocument/2006/relationships/hyperlink" Target="https://drive.google.com/drive/folders/1m6WTKRU73bInnTD0HmgHBWT-teaakLk-?usp=drive_link" TargetMode="External"/><Relationship Id="rId10852" Type="http://schemas.openxmlformats.org/officeDocument/2006/relationships/hyperlink" Target="https://drive.google.com/file/d/1kWmbGVZDCuWO2mvA_fIN9yzCsbKOGbD1/view?usp=sharing" TargetMode="External"/><Relationship Id="rId11903" Type="http://schemas.openxmlformats.org/officeDocument/2006/relationships/hyperlink" Target="https://drive.google.com/file/d/1I2QL-h1CAeZERs7B5O4XbiSnpFeGO68R/view?usp=sharing" TargetMode="External"/><Relationship Id="rId6473" Type="http://schemas.openxmlformats.org/officeDocument/2006/relationships/hyperlink" Target="https://drive.google.com/file/d/1PFemw-qg3gqLBZs8FrzTrRdIkWrdiw_y/view?usp=sharing" TargetMode="External"/><Relationship Id="rId7524" Type="http://schemas.openxmlformats.org/officeDocument/2006/relationships/hyperlink" Target="https://drive.google.com/file/d/1HrhiBUN0ho-c7Yuv_6crNvNN2CSrRcPH/view?usp=sharing" TargetMode="External"/><Relationship Id="rId10505" Type="http://schemas.openxmlformats.org/officeDocument/2006/relationships/hyperlink" Target="https://drive.google.com/file/d/19JPsMAg9_H7lDOIGwQk9RcPuSfmErszU/view?usp=sharing" TargetMode="External"/><Relationship Id="rId5075" Type="http://schemas.openxmlformats.org/officeDocument/2006/relationships/hyperlink" Target="https://drive.google.com/file/d/1UPbEp9iCJVviA4YCZbcRdEfDZ0z1s2-R/view?usp=sharing" TargetMode="External"/><Relationship Id="rId6126" Type="http://schemas.openxmlformats.org/officeDocument/2006/relationships/hyperlink" Target="https://drive.google.com/drive/folders/1z0QSLmNvSJyyT8FLEYRkw6ibg9dSBAVC" TargetMode="External"/><Relationship Id="rId9696" Type="http://schemas.openxmlformats.org/officeDocument/2006/relationships/hyperlink" Target="https://drive.google.com/file/d/1sSrxhUZnkRTZhRziPgW1i0v4KnLUI_yS/view?usp=sharing" TargetMode="External"/><Relationship Id="rId1685" Type="http://schemas.openxmlformats.org/officeDocument/2006/relationships/hyperlink" Target="https://drive.google.com/file/d/1m-DpMkIWKKBHIk2ozIt7vDDenTRz0p0y/view?usp=drive_link" TargetMode="External"/><Relationship Id="rId2736" Type="http://schemas.openxmlformats.org/officeDocument/2006/relationships/hyperlink" Target="https://drive.google.com/drive/folders/1BjAx6EhiC9Kp1Co1l_OdLb5T1f3KT_C6?usp=drive_link" TargetMode="External"/><Relationship Id="rId8298" Type="http://schemas.openxmlformats.org/officeDocument/2006/relationships/hyperlink" Target="https://drive.google.com/drive/folders/1ZRiMp5R7oPiGjzcdiSz36tXN1nD_Zbsf?usp=drive_link" TargetMode="External"/><Relationship Id="rId9349" Type="http://schemas.openxmlformats.org/officeDocument/2006/relationships/hyperlink" Target="https://drive.google.com/file/d/1K7r_WQ0ZifGQ_clz7wbqcnYY9yeSYvCZ/view?usp=sharing" TargetMode="External"/><Relationship Id="rId11279" Type="http://schemas.openxmlformats.org/officeDocument/2006/relationships/hyperlink" Target="https://thumbor.prod.vidiocdn.com/6qmlekzjOG60hVkFLnIFph9crg0=/filters:quality(70)/vidio-media-production/uploads/image/source/52457/f7a74b.png" TargetMode="External"/><Relationship Id="rId708" Type="http://schemas.openxmlformats.org/officeDocument/2006/relationships/hyperlink" Target="https://www.vidio.com/live/19536-premier-league?schedule_id=4726326" TargetMode="External"/><Relationship Id="rId1338" Type="http://schemas.openxmlformats.org/officeDocument/2006/relationships/hyperlink" Target="https://drive.google.com/file/d/1YKofCTZ9Cilct94BSckzDZhzo_ok4lAI/view?usp=sharing" TargetMode="External"/><Relationship Id="rId5959" Type="http://schemas.openxmlformats.org/officeDocument/2006/relationships/hyperlink" Target="https://www.vidio.com/live/19631-uefa-europa-league?schedule_id=4734926" TargetMode="External"/><Relationship Id="rId7381" Type="http://schemas.openxmlformats.org/officeDocument/2006/relationships/hyperlink" Target="https://www.vidio.com/live/19436-eredivisie?schedule_id=4653440" TargetMode="External"/><Relationship Id="rId8432" Type="http://schemas.openxmlformats.org/officeDocument/2006/relationships/hyperlink" Target="https://drive.google.com/file/d/1MbwnibNS4InEftlSSu7UnGSOvx1PAtbX/view?usp=sharing" TargetMode="External"/><Relationship Id="rId9830" Type="http://schemas.openxmlformats.org/officeDocument/2006/relationships/hyperlink" Target="https://www.vidio.com/live/19921-top-soccer-championship-2025-u-13-u-14" TargetMode="External"/><Relationship Id="rId11760" Type="http://schemas.openxmlformats.org/officeDocument/2006/relationships/hyperlink" Target="https://thumbor.prod.vidiocdn.com/mx0Pfe2LLfGoKp3h-2QJ76jT02Y=/filters:quality(70)/vidio-media-production/uploads/image/source/52944/0bea0d.png" TargetMode="External"/><Relationship Id="rId44" Type="http://schemas.openxmlformats.org/officeDocument/2006/relationships/hyperlink" Target="https://drive.google.com/file/d/1PlH1SU0ZDx5IcP_92_Jp_lkfvA_Z5Hj1/view?usp=sharing" TargetMode="External"/><Relationship Id="rId7034" Type="http://schemas.openxmlformats.org/officeDocument/2006/relationships/hyperlink" Target="https://drive.google.com/drive/folders/1MX84RU5rZmbIJdFqPDVJ1-8zszjjl40g?usp=drive_link" TargetMode="External"/><Relationship Id="rId10362" Type="http://schemas.openxmlformats.org/officeDocument/2006/relationships/hyperlink" Target="https://drive.google.com/drive/folders/10p0361tp8EE62w4qfBku53TvwybfWsjx" TargetMode="External"/><Relationship Id="rId11413" Type="http://schemas.openxmlformats.org/officeDocument/2006/relationships/hyperlink" Target="https://www.vidio.com/live/18249-hsbc-bwf-world-tour-finals-2025-semifinals?schedule_id=4788329" TargetMode="External"/><Relationship Id="rId3991" Type="http://schemas.openxmlformats.org/officeDocument/2006/relationships/hyperlink" Target="https://drive.google.com/drive/folders/1EX2P9vap-ELPsLbGcig5RhKCpmmXEsW3?usp=drive_link" TargetMode="External"/><Relationship Id="rId10015" Type="http://schemas.openxmlformats.org/officeDocument/2006/relationships/hyperlink" Target="https://thumbor.prod.vidiocdn.com/CdLz_A2fMlt9iwc28kx_jLDT7xc=/filters:quality(70)/vidio-media-production/uploads/image/source/52651/4ffb88.png" TargetMode="External"/><Relationship Id="rId2593" Type="http://schemas.openxmlformats.org/officeDocument/2006/relationships/hyperlink" Target="https://drive.google.com/file/d/1iL2m11Z9CtaRKWoEMiPINhH2ROgdeFL2/view?usp=sharing" TargetMode="External"/><Relationship Id="rId3644" Type="http://schemas.openxmlformats.org/officeDocument/2006/relationships/hyperlink" Target="https://drive.google.com/file/d/1cYQmsPZPjTU3-bY65bd2FURKdsJySsU_/view?usp=sharing" TargetMode="External"/><Relationship Id="rId12187" Type="http://schemas.openxmlformats.org/officeDocument/2006/relationships/hyperlink" Target="https://www.vidio.com/live/20267-liga-topskor-greater-jakarta-pekan-pertama-u-13-lapangan-koci-depok?schedule_id=4833826" TargetMode="External"/><Relationship Id="rId565" Type="http://schemas.openxmlformats.org/officeDocument/2006/relationships/hyperlink" Target="https://drive.google.com/drive/folders/1-1Kowk92MBGmBNYPazhmveu4NZX6F1p7?usp=drive_link" TargetMode="External"/><Relationship Id="rId1195" Type="http://schemas.openxmlformats.org/officeDocument/2006/relationships/hyperlink" Target="https://drive.google.com/file/d/1bZUYMHZPPej65wyw6I_GVRQdDj7uHmGk/view?usp=sharing" TargetMode="External"/><Relationship Id="rId2246" Type="http://schemas.openxmlformats.org/officeDocument/2006/relationships/hyperlink" Target="https://drive.google.com/drive/folders/1GaWiE9P4UM2-JrlL9XXa7b0LrSedkEGv?usp=drive_link" TargetMode="External"/><Relationship Id="rId6867" Type="http://schemas.openxmlformats.org/officeDocument/2006/relationships/hyperlink" Target="https://drive.google.com/drive/folders/1pGcOhTKOqTWFnCKawPSCJ2vzhH8In7JL?usp=drive_link" TargetMode="External"/><Relationship Id="rId7918" Type="http://schemas.openxmlformats.org/officeDocument/2006/relationships/hyperlink" Target="https://drive.google.com/drive/folders/18TheIBYacJttSM_PpG_EVZQkCfJuwGQt?usp=drive_link" TargetMode="External"/><Relationship Id="rId218" Type="http://schemas.openxmlformats.org/officeDocument/2006/relationships/hyperlink" Target="https://drive.google.com/file/d/1-8_h_nuWdYpwQoCvzccSxXS68YhbQAGp/view?usp=sharing" TargetMode="External"/><Relationship Id="rId5469" Type="http://schemas.openxmlformats.org/officeDocument/2006/relationships/hyperlink" Target="https://drive.google.com/file/d/1E6uX48kmry2jxrQZ97YSvds3EtnFIMJm/view?usp=sharing" TargetMode="External"/><Relationship Id="rId9340" Type="http://schemas.openxmlformats.org/officeDocument/2006/relationships/hyperlink" Target="https://drive.google.com/file/d/1SGrEGKkLPUq90EMK3wE9nEgiHm-Wicwq/view?usp=sharing" TargetMode="External"/><Relationship Id="rId11270" Type="http://schemas.openxmlformats.org/officeDocument/2006/relationships/hyperlink" Target="https://drive.google.com/file/d/1WEiFGsb0mskInb82O4DgPZ_bBgCgplgH/view?usp=sharing" TargetMode="External"/><Relationship Id="rId12321" Type="http://schemas.openxmlformats.org/officeDocument/2006/relationships/hyperlink" Target="https://drive.google.com/file/d/17nqJ8YbOWxi4DOQmMA4_VvY1qMuE4tM4/view?usp=sharing" TargetMode="External"/><Relationship Id="rId5950" Type="http://schemas.openxmlformats.org/officeDocument/2006/relationships/hyperlink" Target="https://drive.google.com/drive/folders/1pYi5qIT6QdvkfDRfWH0qsk97hfAPMoyN?usp=drive_link" TargetMode="External"/><Relationship Id="rId4552" Type="http://schemas.openxmlformats.org/officeDocument/2006/relationships/hyperlink" Target="https://drive.google.com/file/d/1dohXzsW3769W6vcuKagjs249OlDdNB7s/view?usp=sharing" TargetMode="External"/><Relationship Id="rId5603" Type="http://schemas.openxmlformats.org/officeDocument/2006/relationships/hyperlink" Target="https://drive.google.com/drive/folders/1yj4GZu-wLI9ToY4Md5LeicvrTjTe5u4S?usp=drive_link" TargetMode="External"/><Relationship Id="rId3154" Type="http://schemas.openxmlformats.org/officeDocument/2006/relationships/hyperlink" Target="https://drive.google.com/drive/folders/1oLoUXsFggbOKK8Wgb40SzkxdUw1XnYV6?usp=drive_link" TargetMode="External"/><Relationship Id="rId4205" Type="http://schemas.openxmlformats.org/officeDocument/2006/relationships/hyperlink" Target="https://drive.google.com/file/d/1mqJbQIo6IaYBBZZQx9zqLeDVeLDRKE4b/view?usp=sharing" TargetMode="External"/><Relationship Id="rId7775" Type="http://schemas.openxmlformats.org/officeDocument/2006/relationships/hyperlink" Target="https://drive.google.com/file/d/1Dul0lyYdP13iSnq2FmYhoXgLPhgzT2Zi/view?usp=sharing" TargetMode="External"/><Relationship Id="rId8826" Type="http://schemas.openxmlformats.org/officeDocument/2006/relationships/hyperlink" Target="https://drive.google.com/file/d/10jac34NofOg37G0KQkUfLHxw43J7-sB_/view?usp=sharing" TargetMode="External"/><Relationship Id="rId10756" Type="http://schemas.openxmlformats.org/officeDocument/2006/relationships/hyperlink" Target="https://www.vidio.com/live/6685-champions-tv-1?schedule_id=4778982" TargetMode="External"/><Relationship Id="rId6377" Type="http://schemas.openxmlformats.org/officeDocument/2006/relationships/hyperlink" Target="https://drive.google.com/drive/folders/1aza982d32Gm-UeUvPPvMmtPp7EvOCaXj" TargetMode="External"/><Relationship Id="rId7428" Type="http://schemas.openxmlformats.org/officeDocument/2006/relationships/hyperlink" Target="https://drive.google.com/file/d/17gNdK0cbr7SGUY7VsVjXGSP0lCdx_Rrp/view?usp=sharing" TargetMode="External"/><Relationship Id="rId10409" Type="http://schemas.openxmlformats.org/officeDocument/2006/relationships/hyperlink" Target="https://www.vidio.com/live/19738-turkish-volleyball-league?schedule_id=4783612" TargetMode="External"/><Relationship Id="rId11807" Type="http://schemas.openxmlformats.org/officeDocument/2006/relationships/hyperlink" Target="https://drive.google.com/drive/folders/1Ty2H_i_qk549qwdTHB8xBRYGJbtv8v5N?usp=drive_link" TargetMode="External"/><Relationship Id="rId2987" Type="http://schemas.openxmlformats.org/officeDocument/2006/relationships/hyperlink" Target="https://www.vidio.com/live/17875-bein-2?schedule_id=4736027" TargetMode="External"/><Relationship Id="rId959" Type="http://schemas.openxmlformats.org/officeDocument/2006/relationships/hyperlink" Target="https://drive.google.com/file/d/17rFPjs1guYrGhEivD-D210hEW220pNc_/view?usp=sharing" TargetMode="External"/><Relationship Id="rId1589" Type="http://schemas.openxmlformats.org/officeDocument/2006/relationships/hyperlink" Target="https://drive.google.com/file/d/1QzNdKOyhZFJrxx8ktH6h9RBV6fRMcPoH/view?usp=sharing" TargetMode="External"/><Relationship Id="rId5460" Type="http://schemas.openxmlformats.org/officeDocument/2006/relationships/hyperlink" Target="https://drive.google.com/drive/u/0/folders/1K0wwqQHbJaRUQi1y8d6OsjWqXJ21CCMx" TargetMode="External"/><Relationship Id="rId6511" Type="http://schemas.openxmlformats.org/officeDocument/2006/relationships/hyperlink" Target="https://drive.google.com/file/d/1qnqn6NID8qg-QdmAUsg8-01Pjd0_SmpP/view?usp=drive_link" TargetMode="External"/><Relationship Id="rId4062" Type="http://schemas.openxmlformats.org/officeDocument/2006/relationships/hyperlink" Target="https://drive.google.com/drive/folders/1KEbcr6U_ZqEhtv_7d6qSImpjmWPCeGg3?usp=drive_link" TargetMode="External"/><Relationship Id="rId5113" Type="http://schemas.openxmlformats.org/officeDocument/2006/relationships/hyperlink" Target="https://drive.google.com/file/d/17h5ztAPcmN1YhLlgWmIqkAHHEy3eHiOk/view?usp=sharing" TargetMode="External"/><Relationship Id="rId8683" Type="http://schemas.openxmlformats.org/officeDocument/2006/relationships/hyperlink" Target="https://drive.google.com/drive/folders/1Q5TVfsLTJGt8GKFha9EuBAhTLhqS_WbD?usp=drive_link" TargetMode="External"/><Relationship Id="rId9734" Type="http://schemas.openxmlformats.org/officeDocument/2006/relationships/hyperlink" Target="https://www.vidio.com/live/19548-national-football-league-2025-26?schedule_id=4743719" TargetMode="External"/><Relationship Id="rId11664" Type="http://schemas.openxmlformats.org/officeDocument/2006/relationships/hyperlink" Target="https://thumbor.prod.vidiocdn.com/fFbj7l54syiA_ETvB-jnmoTvtuQ=/filters:quality(70)/vidio-media-production/uploads/image/source/53041/05f034.png" TargetMode="External"/><Relationship Id="rId1723" Type="http://schemas.openxmlformats.org/officeDocument/2006/relationships/hyperlink" Target="https://drive.google.com/file/d/116K0CD1A7Q6q2E8J1RbNfWtui5Qj20KR/view?usp=drive_link" TargetMode="External"/><Relationship Id="rId7285" Type="http://schemas.openxmlformats.org/officeDocument/2006/relationships/hyperlink" Target="https://drive.google.com/file/d/1_PJ_o8zZNHgO-b-zKnvYJyfgE-ixMnLr/view?usp=sharing" TargetMode="External"/><Relationship Id="rId8336" Type="http://schemas.openxmlformats.org/officeDocument/2006/relationships/hyperlink" Target="https://drive.google.com/file/d/1XxJ5Jz0OON543dunTkq9_bBe8o4lU3bG/view?usp=sharing" TargetMode="External"/><Relationship Id="rId10266" Type="http://schemas.openxmlformats.org/officeDocument/2006/relationships/hyperlink" Target="https://www.vidio.com/live/20024-top-soccer-championship-u-13-play-off-3?schedule_id=4761983" TargetMode="External"/><Relationship Id="rId11317" Type="http://schemas.openxmlformats.org/officeDocument/2006/relationships/hyperlink" Target="https://www.vidio.com/live/19385-bri-super-league?schedule_id=4832288" TargetMode="External"/><Relationship Id="rId3895" Type="http://schemas.openxmlformats.org/officeDocument/2006/relationships/hyperlink" Target="https://drive.google.com/drive/folders/1z2r5WZWyZXMuRGOOzxK-ZDZEDVdNk2pS" TargetMode="External"/><Relationship Id="rId4946" Type="http://schemas.openxmlformats.org/officeDocument/2006/relationships/hyperlink" Target="https://drive.google.com/file/d/1UzdhJ0Wz6P8xCygl7IF66oxq2JujK32g/view?usp=sharing" TargetMode="External"/><Relationship Id="rId2497" Type="http://schemas.openxmlformats.org/officeDocument/2006/relationships/hyperlink" Target="https://drive.google.com/drive/folders/1QnNdM9f7N0peXQ0rmGA8SOlpbT1YUxCM?usp=drive_link" TargetMode="External"/><Relationship Id="rId3548" Type="http://schemas.openxmlformats.org/officeDocument/2006/relationships/hyperlink" Target="https://www.vidio.com/live/18739-liga-portugal?schedule_id=4741386" TargetMode="External"/><Relationship Id="rId469" Type="http://schemas.openxmlformats.org/officeDocument/2006/relationships/hyperlink" Target="https://drive.google.com/file/d/1ohzbP5iCkhgNnXX9-3wBiKF-GtpJsZFT/view?usp=sharing" TargetMode="External"/><Relationship Id="rId1099" Type="http://schemas.openxmlformats.org/officeDocument/2006/relationships/hyperlink" Target="https://drive.google.com/drive/folders/1Ya8hkt_wv4fVEt1fitg61eQIPbQgzvH2?usp=drive_link" TargetMode="External"/><Relationship Id="rId6021" Type="http://schemas.openxmlformats.org/officeDocument/2006/relationships/hyperlink" Target="https://drive.google.com/file/d/1Ik0RYrPZ4EntkZjMalC4nv5eOR9u3XTA/view?usp=drive_link" TargetMode="External"/><Relationship Id="rId9591" Type="http://schemas.openxmlformats.org/officeDocument/2006/relationships/hyperlink" Target="https://drive.google.com/drive/folders/1BYiDoYPB4kYER0ibldA4dZH1gyOLRuud" TargetMode="External"/><Relationship Id="rId10400" Type="http://schemas.openxmlformats.org/officeDocument/2006/relationships/hyperlink" Target="https://drive.google.com/file/d/17hgB-XglbLDcR7Frmsw-0T8q5hqqgWUR/view?usp=sharing" TargetMode="External"/><Relationship Id="rId8193" Type="http://schemas.openxmlformats.org/officeDocument/2006/relationships/hyperlink" Target="https://www.vidio.com/live/19671-easl?schedule_id=4660164" TargetMode="External"/><Relationship Id="rId9244" Type="http://schemas.openxmlformats.org/officeDocument/2006/relationships/hyperlink" Target="https://drive.google.com/file/d/1bGAtWdCSL-v2iZg1GvRoYwXZwXVqVH3x/view?usp=drive_link" TargetMode="External"/><Relationship Id="rId950" Type="http://schemas.openxmlformats.org/officeDocument/2006/relationships/hyperlink" Target="https://drive.google.com/file/d/1j0rJzqFYBweP6BJdxY8ij8QH62dmP1vF/view?usp=drive_link" TargetMode="External"/><Relationship Id="rId1580" Type="http://schemas.openxmlformats.org/officeDocument/2006/relationships/hyperlink" Target="https://www.vidio.com/live/19354-bri-super-league?schedule_id=4510739" TargetMode="External"/><Relationship Id="rId2631" Type="http://schemas.openxmlformats.org/officeDocument/2006/relationships/hyperlink" Target="https://drive.google.com/file/d/1qjNPwwAdx-H-S281EgfYRwZ6XsdtGARV/view?usp=drive_link" TargetMode="External"/><Relationship Id="rId11174" Type="http://schemas.openxmlformats.org/officeDocument/2006/relationships/hyperlink" Target="https://www.vidio.com/live/18250-hsbc-bwf-world-tour-finals-2025-group-stage-court-2?schedule_id=4784607" TargetMode="External"/><Relationship Id="rId12225" Type="http://schemas.openxmlformats.org/officeDocument/2006/relationships/hyperlink" Target="https://drive.google.com/file/d/17nqJ8YbOWxi4DOQmMA4_VvY1qMuE4tM4/view?usp=sharing" TargetMode="External"/><Relationship Id="rId603" Type="http://schemas.openxmlformats.org/officeDocument/2006/relationships/hyperlink" Target="https://drive.google.com/file/d/1z_YeUhD-a6gdWhdPK2uVmTB1TC4GWitf/view?usp=sharing" TargetMode="External"/><Relationship Id="rId1233" Type="http://schemas.openxmlformats.org/officeDocument/2006/relationships/hyperlink" Target="https://drive.google.com/drive/folders/16m6lnP0Fz4vAS_bdy-4TohEcm9ovVAcw?usp=drive_link" TargetMode="External"/><Relationship Id="rId5854" Type="http://schemas.openxmlformats.org/officeDocument/2006/relationships/hyperlink" Target="https://www.vidio.com/live/19603-uefa-europa-league?schedule_id=4702068" TargetMode="External"/><Relationship Id="rId6905" Type="http://schemas.openxmlformats.org/officeDocument/2006/relationships/hyperlink" Target="https://drive.google.com/drive/folders/1Ch-YJaWu5px1BmaHUKI_8-Q034I5EyFD" TargetMode="External"/><Relationship Id="rId4456" Type="http://schemas.openxmlformats.org/officeDocument/2006/relationships/hyperlink" Target="https://drive.google.com/file/d/1nhANTutWZvh8_bPINYQuP3PZjty265Wj/view?usp=sharing" TargetMode="External"/><Relationship Id="rId5507" Type="http://schemas.openxmlformats.org/officeDocument/2006/relationships/hyperlink" Target="https://drive.google.com/drive/folders/1hoGjgZl99HIB4niF_n-yVsWsrR6Q1hRJ?usp=drive_link" TargetMode="External"/><Relationship Id="rId3058" Type="http://schemas.openxmlformats.org/officeDocument/2006/relationships/hyperlink" Target="https://drive.google.com/file/d/1YbgNTivnfw9-qdrkC22JwFVtJ2FthnX-/view?usp=sharing" TargetMode="External"/><Relationship Id="rId4109" Type="http://schemas.openxmlformats.org/officeDocument/2006/relationships/hyperlink" Target="https://drive.google.com/drive/folders/1QWPtjztkKqfKjPaxYqJYZ827LaJ1frmL?usp=drive_link" TargetMode="External"/><Relationship Id="rId7679" Type="http://schemas.openxmlformats.org/officeDocument/2006/relationships/hyperlink" Target="https://drive.google.com/file/d/1YbykCltkBr-_4azzxvr_oXjZcOnKgRAs/view?usp=sharing" TargetMode="External"/><Relationship Id="rId12082" Type="http://schemas.openxmlformats.org/officeDocument/2006/relationships/hyperlink" Target="https://www.vidio.com/live/18250-petronas-malaysia-open-2026-round-of-16-court-2?schedule_id=4832345" TargetMode="External"/><Relationship Id="rId460" Type="http://schemas.openxmlformats.org/officeDocument/2006/relationships/hyperlink" Target="https://drive.google.com/drive/folders/1Vw5ULB3fjb8MiDjTT3Dib7EARuLaPv18" TargetMode="External"/><Relationship Id="rId1090" Type="http://schemas.openxmlformats.org/officeDocument/2006/relationships/hyperlink" Target="https://thumbor.prod.vidiocdn.com/gSQ1JFKETJAGHq_PP-PY4m-Ujrw=/filters:quality(70)/vidio-media-production/uploads/image/source/52500/504133.png" TargetMode="External"/><Relationship Id="rId2141" Type="http://schemas.openxmlformats.org/officeDocument/2006/relationships/hyperlink" Target="https://drive.google.com/drive/folders/1SCc4oV5kjoU4pqxZWZWtdlTWUGpfNNVM?usp=drive_link" TargetMode="External"/><Relationship Id="rId113" Type="http://schemas.openxmlformats.org/officeDocument/2006/relationships/hyperlink" Target="https://drive.google.com/drive/folders/1ctoCbWA8_ibMlW8LmcBXgWg6KlveSMv9?usp=drive_link" TargetMode="External"/><Relationship Id="rId6762" Type="http://schemas.openxmlformats.org/officeDocument/2006/relationships/hyperlink" Target="https://www.vidio.com/live/19519?schedule_id=4553306" TargetMode="External"/><Relationship Id="rId7813" Type="http://schemas.openxmlformats.org/officeDocument/2006/relationships/hyperlink" Target="https://drive.google.com/file/d/18SSJQ7A9SKqXEO4tjXKLUiLE-mrvN0SR/view?usp=sharing" TargetMode="External"/><Relationship Id="rId5017" Type="http://schemas.openxmlformats.org/officeDocument/2006/relationships/hyperlink" Target="https://drive.google.com/file/d/18pYwkMRkafFLKcrg2p2lzdd2FydGd80z/view?usp=drive_link" TargetMode="External"/><Relationship Id="rId5364" Type="http://schemas.openxmlformats.org/officeDocument/2006/relationships/hyperlink" Target="https://drive.google.com/file/d/1Hqu3HBMhP0e2nQHFO5igXt5PbSnt2k_Z/view?usp=sharing" TargetMode="External"/><Relationship Id="rId6415" Type="http://schemas.openxmlformats.org/officeDocument/2006/relationships/hyperlink" Target="https://drive.google.com/file/d/1MsLJFfIQOYADev3jZepZEWvxNk2URkkG/view?usp=sharing" TargetMode="External"/><Relationship Id="rId9985" Type="http://schemas.openxmlformats.org/officeDocument/2006/relationships/hyperlink" Target="https://www.vidio.com/live/6299-bein-1?schedule_id=4794871" TargetMode="External"/><Relationship Id="rId1974" Type="http://schemas.openxmlformats.org/officeDocument/2006/relationships/hyperlink" Target="https://drive.google.com/drive/u/0/folders/1kGHtJTboMQzt_AXOEFOdRLfI5nrFLPAB" TargetMode="External"/><Relationship Id="rId8587" Type="http://schemas.openxmlformats.org/officeDocument/2006/relationships/hyperlink" Target="https://drive.google.com/file/d/1JhX_Fa_Cuo67SHWVpnUx2ca2sMS6jPHq/view?usp=sharing" TargetMode="External"/><Relationship Id="rId9638" Type="http://schemas.openxmlformats.org/officeDocument/2006/relationships/hyperlink" Target="https://www.vidio.com/live/20048-fivb-women-s-volleyball-club-world-championship-2025?schedule_id=4773528" TargetMode="External"/><Relationship Id="rId11568" Type="http://schemas.openxmlformats.org/officeDocument/2006/relationships/hyperlink" Target="https://drive.google.com/file/d/1_ca2bAiCOO-T6qSMvHk6c1FaI20Hggou/view?usp=sharing" TargetMode="External"/><Relationship Id="rId1627" Type="http://schemas.openxmlformats.org/officeDocument/2006/relationships/hyperlink" Target="https://drive.google.com/file/d/1lklXX8PYwAacyyRkhoYEmplNNVyBNXmD/view?usp=drive_link" TargetMode="External"/><Relationship Id="rId7189" Type="http://schemas.openxmlformats.org/officeDocument/2006/relationships/hyperlink" Target="https://drive.google.com/drive/folders/1NepG6XT-FSa8Cs07sX3tPfQWLNpJfAxp" TargetMode="External"/><Relationship Id="rId3799" Type="http://schemas.openxmlformats.org/officeDocument/2006/relationships/hyperlink" Target="https://drive.google.com/file/d/1hqY78jVMq61bbDfOhubOvwLkQJqT4BGQ/view?usp=sharing" TargetMode="External"/><Relationship Id="rId4100" Type="http://schemas.openxmlformats.org/officeDocument/2006/relationships/hyperlink" Target="https://drive.google.com/file/d/1efEcYbRRwqgMLh_IR4b6Q2exwCDmp2Uq/view?usp=drive_link" TargetMode="External"/><Relationship Id="rId7670" Type="http://schemas.openxmlformats.org/officeDocument/2006/relationships/hyperlink" Target="https://drive.google.com/file/d/1ChJ7ebODYDmExS7c1yesFApvNyDLK-1A/view?usp=sharing" TargetMode="External"/><Relationship Id="rId8721" Type="http://schemas.openxmlformats.org/officeDocument/2006/relationships/hyperlink" Target="https://drive.google.com/file/d/1DNux4glLBnqI-DzUHKvsJVIQIe0fQ_QF/view?usp=sharing" TargetMode="External"/><Relationship Id="rId6272" Type="http://schemas.openxmlformats.org/officeDocument/2006/relationships/hyperlink" Target="https://drive.google.com/drive/folders/1vjOA9E-jOlhsRSh5NE7jSpcmcR5v41-E" TargetMode="External"/><Relationship Id="rId7323" Type="http://schemas.openxmlformats.org/officeDocument/2006/relationships/hyperlink" Target="https://drive.google.com/file/d/1ieX-BMEODCRrcNmPsuYdiCJTmGYWmdWT/view?usp=sharing" TargetMode="External"/><Relationship Id="rId10651" Type="http://schemas.openxmlformats.org/officeDocument/2006/relationships/hyperlink" Target="https://thumbor.prod.vidiocdn.com/13ea6DUvNQAdiUc2Ep0Ko407qNo=/filters:quality(70)/vidio-media-production/uploads/image/source/53042/f9dfbd.png" TargetMode="External"/><Relationship Id="rId11702" Type="http://schemas.openxmlformats.org/officeDocument/2006/relationships/hyperlink" Target="https://drive.google.com/file/d/1NSS8caFvdZbwLM0rQ6xFjEA-VHdQ-0wz/view?usp=sharing" TargetMode="External"/><Relationship Id="rId9495" Type="http://schemas.openxmlformats.org/officeDocument/2006/relationships/hyperlink" Target="https://drive.google.com/file/d/14MoP_R2XmKDRK5j9OvnviANe9UEjBldR/view?usp=drive_link" TargetMode="External"/><Relationship Id="rId10304" Type="http://schemas.openxmlformats.org/officeDocument/2006/relationships/hyperlink" Target="https://drive.google.com/file/d/1MOAzFEiU8hziSQ4jjg3DLZTJZ7kvNXOH/view?usp=sharing" TargetMode="External"/><Relationship Id="rId2882" Type="http://schemas.openxmlformats.org/officeDocument/2006/relationships/hyperlink" Target="https://drive.google.com/file/d/1DDKc6zOTUQreFbXZOS1ZmQ-H55rMFU4c/view?usp=sharing" TargetMode="External"/><Relationship Id="rId3933" Type="http://schemas.openxmlformats.org/officeDocument/2006/relationships/hyperlink" Target="https://drive.google.com/file/d/1IU-az1vdRSvo44bu_up6AW6AS5WURgcT/view?usp=sharing" TargetMode="External"/><Relationship Id="rId8097" Type="http://schemas.openxmlformats.org/officeDocument/2006/relationships/hyperlink" Target="https://drive.google.com/drive/folders/1-2rzoFgYB7wbfPX2nMerpT6ewadaZAG9?usp=drive_link" TargetMode="External"/><Relationship Id="rId9148" Type="http://schemas.openxmlformats.org/officeDocument/2006/relationships/hyperlink" Target="https://drive.google.com/file/d/1EP8mhvrtnJCafh_UALKFQCJZCQC5m8Ch/view?usp=sharing" TargetMode="External"/><Relationship Id="rId854" Type="http://schemas.openxmlformats.org/officeDocument/2006/relationships/hyperlink" Target="https://drive.google.com/drive/folders/1WB5RMrJafdkxgc0CdZvq6o2Z-yCqfWQu?usp=drive_link" TargetMode="External"/><Relationship Id="rId1484" Type="http://schemas.openxmlformats.org/officeDocument/2006/relationships/hyperlink" Target="https://www.vidio.com/live/19354-bri-super-league?schedule_id=4485790" TargetMode="External"/><Relationship Id="rId2535" Type="http://schemas.openxmlformats.org/officeDocument/2006/relationships/hyperlink" Target="https://drive.google.com/file/d/1VDA1IfAPZ7psdnGjaaOIhYiH5JPLkldO/view?usp=drive_link" TargetMode="External"/><Relationship Id="rId11078" Type="http://schemas.openxmlformats.org/officeDocument/2006/relationships/hyperlink" Target="https://thumbor.prod.vidiocdn.com/jVRdcwJMGyu6bQzT9m0SeSrPEdM=/filters:quality(70)/vidio-media-production/uploads/image/source/52261/38d795.png" TargetMode="External"/><Relationship Id="rId12129" Type="http://schemas.openxmlformats.org/officeDocument/2006/relationships/hyperlink" Target="https://drive.google.com/drive/folders/1j2A_bH-x2l04Qo4WA98rK5ys1iCEU3UZ" TargetMode="External"/><Relationship Id="rId507" Type="http://schemas.openxmlformats.org/officeDocument/2006/relationships/hyperlink" Target="https://drive.google.com/drive/folders/1dcM6VhSqNfaTekR1S5NCq7oaxTlNuYYb?usp=drive_link" TargetMode="External"/><Relationship Id="rId1137" Type="http://schemas.openxmlformats.org/officeDocument/2006/relationships/hyperlink" Target="https://thumbor.prod.vidiocdn.com/Jq80zjLagGial2h8b5-Nhy3bOAc=/filters:quality(70)/vidio-media-production/uploads/image/source/52542/2b52ee.png" TargetMode="External"/><Relationship Id="rId5758" Type="http://schemas.openxmlformats.org/officeDocument/2006/relationships/hyperlink" Target="https://drive.google.com/file/d/1U7lj1e47QuBVB_PwItfyA3S2H09On-RB/view?usp=sharing" TargetMode="External"/><Relationship Id="rId6809" Type="http://schemas.openxmlformats.org/officeDocument/2006/relationships/hyperlink" Target="https://drive.google.com/file/d/1DbrdfhBKlf4SpzGPFAjZOSDKdCBV3veM/view?usp=sharing" TargetMode="External"/><Relationship Id="rId7180" Type="http://schemas.openxmlformats.org/officeDocument/2006/relationships/hyperlink" Target="https://drive.google.com/drive/folders/1NepG6XT-FSa8Cs07sX3tPfQWLNpJfAxp" TargetMode="External"/><Relationship Id="rId8231" Type="http://schemas.openxmlformats.org/officeDocument/2006/relationships/hyperlink" Target="https://drive.google.com/file/d/1XP1IwIJqFOBicXSssH-9JW2ANEci4lc3/view?usp=sharing" TargetMode="External"/><Relationship Id="rId10161" Type="http://schemas.openxmlformats.org/officeDocument/2006/relationships/hyperlink" Target="https://drive.google.com/drive/folders/1AHRNRRH_gaAoHTcaniZdIb1mLX4tcGLB?usp=sharing" TargetMode="External"/><Relationship Id="rId11212" Type="http://schemas.openxmlformats.org/officeDocument/2006/relationships/hyperlink" Target="https://drive.google.com/file/d/1c9b37wfDcI90ywKK-eUuQb_lFkWKMT25/view?usp=sharing" TargetMode="External"/><Relationship Id="rId2392" Type="http://schemas.openxmlformats.org/officeDocument/2006/relationships/hyperlink" Target="https://drive.google.com/drive/folders/1HTJDvuoGP37w2cEIyO0f65x21lAFnSAg?usp=drive_link" TargetMode="External"/><Relationship Id="rId3790" Type="http://schemas.openxmlformats.org/officeDocument/2006/relationships/hyperlink" Target="https://drive.google.com/file/d/1nXv2eD_VQj3q2Va8A_Rjah6TBU6WYASp/view?usp=sharing" TargetMode="External"/><Relationship Id="rId4841" Type="http://schemas.openxmlformats.org/officeDocument/2006/relationships/hyperlink" Target="https://thumbor.prod.vidiocdn.com/XOYusfWOmMAvBMfSXirc_mTEH1k=/filters:quality(70)/vidio-media-production/uploads/image/source/52812/bcf5d8.png" TargetMode="External"/><Relationship Id="rId364" Type="http://schemas.openxmlformats.org/officeDocument/2006/relationships/hyperlink" Target="https://drive.google.com/drive/folders/16KPsK9K0mVahy0NKMh1LLjDSdQ-qrIKf?usp=drive_link" TargetMode="External"/><Relationship Id="rId2045" Type="http://schemas.openxmlformats.org/officeDocument/2006/relationships/hyperlink" Target="https://drive.google.com/drive/folders/1i_i2KQgSdCvj4xa-hCBGBvSwo4BMu_Rp" TargetMode="External"/><Relationship Id="rId3443" Type="http://schemas.openxmlformats.org/officeDocument/2006/relationships/hyperlink" Target="https://drive.google.com/drive/u/1/folders/1ATsg8fpH-Wd9EIs_srMtbvsUeJvdeMW3" TargetMode="External"/><Relationship Id="rId6666" Type="http://schemas.openxmlformats.org/officeDocument/2006/relationships/hyperlink" Target="https://drive.google.com/drive/folders/1BHh5wPsnYmUU66j0vsOKMNDJmvhTzaOp?usp=drive_link" TargetMode="External"/><Relationship Id="rId7717" Type="http://schemas.openxmlformats.org/officeDocument/2006/relationships/hyperlink" Target="https://www.vidio.com/live/19541-pegadaian-championship-2025-26?schedule_id=4665893" TargetMode="External"/><Relationship Id="rId5268" Type="http://schemas.openxmlformats.org/officeDocument/2006/relationships/hyperlink" Target="https://drive.google.com/drive/folders/1UJh6Ohrk8ICltqRuS2ZUbx-5nOk1lSCs" TargetMode="External"/><Relationship Id="rId6319" Type="http://schemas.openxmlformats.org/officeDocument/2006/relationships/hyperlink" Target="https://drive.google.com/file/d/1gtF4rn92MIrjdJrJLM_IX-SH8LpXn0Ml/view?usp=sharing" TargetMode="External"/><Relationship Id="rId9889" Type="http://schemas.openxmlformats.org/officeDocument/2006/relationships/hyperlink" Target="https://drive.google.com/drive/folders/19isQZRQTK8TQoMmxZmu2vmXcbISm4vl0" TargetMode="External"/><Relationship Id="rId12120" Type="http://schemas.openxmlformats.org/officeDocument/2006/relationships/hyperlink" Target="https://drive.google.com/drive/folders/1y_mGPCoON9jW62Lb8x5K2d_YVzyt7dym" TargetMode="External"/><Relationship Id="rId1878" Type="http://schemas.openxmlformats.org/officeDocument/2006/relationships/hyperlink" Target="https://drive.google.com/file/d/1VsxOVDEBm3Zdn9Bazw8t3AuNJPlBQEPr/view?usp=drive_link" TargetMode="External"/><Relationship Id="rId2929" Type="http://schemas.openxmlformats.org/officeDocument/2006/relationships/hyperlink" Target="https://drive.google.com/file/d/1jitQ1wdzACEzBnkMIXaPMVeuO0bxY57p/view?usp=sharing" TargetMode="External"/><Relationship Id="rId4351" Type="http://schemas.openxmlformats.org/officeDocument/2006/relationships/hyperlink" Target="https://drive.google.com/drive/folders/1lBlXFBl4TqP2MeqFN3Wx1uc1mDYkLzFG?usp=drive_link" TargetMode="External"/><Relationship Id="rId5402" Type="http://schemas.openxmlformats.org/officeDocument/2006/relationships/hyperlink" Target="https://www.vidio.com/live/17883-uefa-champions-league?schedule_id=4772711" TargetMode="External"/><Relationship Id="rId6800" Type="http://schemas.openxmlformats.org/officeDocument/2006/relationships/hyperlink" Target="https://drive.google.com/drive/folders/1ucNoaH6qaYCBmETyhLgQ5RaF6B8eqX2W?usp=drive_link" TargetMode="External"/><Relationship Id="rId4004" Type="http://schemas.openxmlformats.org/officeDocument/2006/relationships/hyperlink" Target="https://drive.google.com/drive/u/0/folders/1iwPk8HSSKK9x1xR92Boj5pJ3GxZOFEeR" TargetMode="External"/><Relationship Id="rId8972" Type="http://schemas.openxmlformats.org/officeDocument/2006/relationships/hyperlink" Target="https://www.vidio.com/live/19548-national-football-league-2025-26?schedule_id=4708926" TargetMode="External"/><Relationship Id="rId11953" Type="http://schemas.openxmlformats.org/officeDocument/2006/relationships/hyperlink" Target="https://www.vidio.com/live/18250-petronas-malaysia-open-2026-round-of-32-court-?schedule_id=4832182" TargetMode="External"/><Relationship Id="rId6176" Type="http://schemas.openxmlformats.org/officeDocument/2006/relationships/hyperlink" Target="https://www.vidio.com/live/19643-uefa-conference-league?schedule_id=4614692" TargetMode="External"/><Relationship Id="rId7227" Type="http://schemas.openxmlformats.org/officeDocument/2006/relationships/hyperlink" Target="https://drive.google.com/file/d/1Vv0IQ12lszfC4eHdYclaBpHJcLl9JoDj/view?usp=sharing" TargetMode="External"/><Relationship Id="rId7574" Type="http://schemas.openxmlformats.org/officeDocument/2006/relationships/hyperlink" Target="https://drive.google.com/file/d/1-Vuum_yS1uv8Mj3bYHgI89HrQ02Joxs6/view?usp=drive_link" TargetMode="External"/><Relationship Id="rId8625" Type="http://schemas.openxmlformats.org/officeDocument/2006/relationships/hyperlink" Target="https://www.vidio.com/live/19584-pegadaian-championship-2025-26?schedule_id=4725621" TargetMode="External"/><Relationship Id="rId10555" Type="http://schemas.openxmlformats.org/officeDocument/2006/relationships/hyperlink" Target="https://drive.google.com/drive/folders/1FEA8rDFAAm_5dvY93uVF8B3EW5ac0die?usp=drive_link" TargetMode="External"/><Relationship Id="rId11606" Type="http://schemas.openxmlformats.org/officeDocument/2006/relationships/hyperlink" Target="https://drive.google.com/file/d/1vVDz3VfABN_DXMylSDs9thbxiApfdN06/view?usp=sharing" TargetMode="External"/><Relationship Id="rId10208" Type="http://schemas.openxmlformats.org/officeDocument/2006/relationships/hyperlink" Target="https://drive.google.com/file/d/1uGM6BEX9JFhkMyp7I2fL4J3VE4WiWt62/view?usp=sharing" TargetMode="External"/><Relationship Id="rId2786" Type="http://schemas.openxmlformats.org/officeDocument/2006/relationships/hyperlink" Target="https://drive.google.com/drive/folders/1dE33-zX3i5cGKiIX8PJrBTwMn3COWWAk?usp=drive_link" TargetMode="External"/><Relationship Id="rId3837" Type="http://schemas.openxmlformats.org/officeDocument/2006/relationships/hyperlink" Target="https://drive.google.com/file/d/14QNG9czPRpobVmZsJVGDYkyz5weeSoxX/view?usp=drive_link" TargetMode="External"/><Relationship Id="rId9399" Type="http://schemas.openxmlformats.org/officeDocument/2006/relationships/hyperlink" Target="https://drive.google.com/file/d/1ZZmBEMTd3TCN1adhc3TUYbluiD2jxKF2/view?usp=sharing" TargetMode="External"/><Relationship Id="rId758" Type="http://schemas.openxmlformats.org/officeDocument/2006/relationships/hyperlink" Target="https://drive.google.com/drive/folders/1uhJs0XWrw5MpjvNxq26-eXCSMR0UWHi-?usp=drive_link" TargetMode="External"/><Relationship Id="rId1388" Type="http://schemas.openxmlformats.org/officeDocument/2006/relationships/hyperlink" Target="https://drive.google.com/drive/folders/109ulmc-ENZsJQ0oS8N3mFs9O4laX7XYe?usp=drive_link" TargetMode="External"/><Relationship Id="rId2439" Type="http://schemas.openxmlformats.org/officeDocument/2006/relationships/hyperlink" Target="https://drive.google.com/file/d/15R-ESpWBNTLImmkF6mjjO1Mp7dkQ9ETK/view?usp=sharing" TargetMode="External"/><Relationship Id="rId6310" Type="http://schemas.openxmlformats.org/officeDocument/2006/relationships/hyperlink" Target="https://www.vidio.com/live/19643-uefa-conference-league?schedule_id=4700064" TargetMode="External"/><Relationship Id="rId9880" Type="http://schemas.openxmlformats.org/officeDocument/2006/relationships/hyperlink" Target="https://drive.google.com/file/d/1F2WOw4HkphG21ycRBYkbV_7H7z7hSClM/view?usp=sharing" TargetMode="External"/><Relationship Id="rId94" Type="http://schemas.openxmlformats.org/officeDocument/2006/relationships/hyperlink" Target="https://3.basecamp.com/4902751/buckets/36763424/card_tables/cards/8914951545" TargetMode="External"/><Relationship Id="rId8482" Type="http://schemas.openxmlformats.org/officeDocument/2006/relationships/hyperlink" Target="https://drive.google.com/drive/folders/1if5VO0Gz-YCUuXYcoPSuQvcdnF_hwvuD" TargetMode="External"/><Relationship Id="rId9533" Type="http://schemas.openxmlformats.org/officeDocument/2006/relationships/hyperlink" Target="https://drive.google.com/file/d/1bGAtWdCSL-v2iZg1GvRoYwXZwXVqVH3x/view?usp=sharing" TargetMode="External"/><Relationship Id="rId2920" Type="http://schemas.openxmlformats.org/officeDocument/2006/relationships/hyperlink" Target="https://drive.google.com/drive/folders/1DPSndHg_Ftov32kfHVJYOFvCAsOr-mBg?usp=drive_link" TargetMode="External"/><Relationship Id="rId7084" Type="http://schemas.openxmlformats.org/officeDocument/2006/relationships/hyperlink" Target="https://www.vidio.com/live/19548-national-football-league-2025-26?schedule_id=4568491" TargetMode="External"/><Relationship Id="rId8135" Type="http://schemas.openxmlformats.org/officeDocument/2006/relationships/hyperlink" Target="https://drive.google.com/file/d/1QcPFPAla2pqhGNlFnwLGGBnBVmxJQsBD/view?usp=sharing" TargetMode="External"/><Relationship Id="rId10065" Type="http://schemas.openxmlformats.org/officeDocument/2006/relationships/hyperlink" Target="https://drive.google.com/file/d/1u4zL3RkJKtfItugmrPkDNGkvpILHElAf/view?usp=sharing" TargetMode="External"/><Relationship Id="rId11463" Type="http://schemas.openxmlformats.org/officeDocument/2006/relationships/hyperlink" Target="https://drive.google.com/file/d/1Ez2iH4icoryW_hQ3Rd2UNi1DHs08jVSr/view?usp=sharing" TargetMode="External"/><Relationship Id="rId1522" Type="http://schemas.openxmlformats.org/officeDocument/2006/relationships/hyperlink" Target="https://drive.google.com/drive/folders/1Ct8A8gjkdaJ-sEFUB_JwaxL4uuEs8CvQ" TargetMode="External"/><Relationship Id="rId11116" Type="http://schemas.openxmlformats.org/officeDocument/2006/relationships/hyperlink" Target="https://thumbor.prod.vidiocdn.com/4MgNvlrfD--V4zALfVZewr2TNtY=/filters:quality(70)/vidio-media-production/uploads/image/source/53135/1fdedc.png" TargetMode="External"/><Relationship Id="rId3694" Type="http://schemas.openxmlformats.org/officeDocument/2006/relationships/hyperlink" Target="https://www.vidio.com/live/6317-bein-3?schedule_id=4506549" TargetMode="External"/><Relationship Id="rId4745" Type="http://schemas.openxmlformats.org/officeDocument/2006/relationships/hyperlink" Target="https://drive.google.com/drive/folders/1jVgwCqjHpVIX_Q97HiU-jAQALbpVGsaS?usp=drive_link" TargetMode="External"/><Relationship Id="rId2296" Type="http://schemas.openxmlformats.org/officeDocument/2006/relationships/hyperlink" Target="https://drive.google.com/file/d/1OMEEqHHOIezwGyb4L7NqIG7M7dzshmpw/view?usp=sharing" TargetMode="External"/><Relationship Id="rId3347" Type="http://schemas.openxmlformats.org/officeDocument/2006/relationships/hyperlink" Target="https://drive.google.com/file/d/1cJHVy5JhIgrdnt5XO_75oE45znas7krN/view?usp=sharing" TargetMode="External"/><Relationship Id="rId7968" Type="http://schemas.openxmlformats.org/officeDocument/2006/relationships/hyperlink" Target="https://drive.google.com/file/d/1XU0kIE6AAzIvzDsSuRcqgNiQkTB54kAZ/view?usp=sharing" TargetMode="External"/><Relationship Id="rId268" Type="http://schemas.openxmlformats.org/officeDocument/2006/relationships/hyperlink" Target="https://www.vidio.com/live/9182-champions-tv-5?schedule_id=4506026" TargetMode="External"/><Relationship Id="rId9390" Type="http://schemas.openxmlformats.org/officeDocument/2006/relationships/hyperlink" Target="https://www.vidio.com/live/19541-pegadaian-championship-2025-26?schedule_id=4832278" TargetMode="External"/><Relationship Id="rId10949" Type="http://schemas.openxmlformats.org/officeDocument/2006/relationships/hyperlink" Target="https://drive.google.com/file/d/1MEaivbSHhdliXXeCqQ4lf3Y_pO3WJjI-/view?usp=sharing" TargetMode="External"/><Relationship Id="rId12371" Type="http://schemas.openxmlformats.org/officeDocument/2006/relationships/hyperlink" Target="https://www.vidio.com/live/18250-petronas-malaysia-open-2026-round-of-16-court-2?schedule_id=4833808" TargetMode="External"/><Relationship Id="rId2430" Type="http://schemas.openxmlformats.org/officeDocument/2006/relationships/hyperlink" Target="https://www.vidio.com/live/6299-bein-1?schedule_id=4563087" TargetMode="External"/><Relationship Id="rId9043" Type="http://schemas.openxmlformats.org/officeDocument/2006/relationships/hyperlink" Target="https://drive.google.com/drive/folders/1hbPFWLiv4NOku6xieEDLd1rz5RH_A_KF?usp=drive_link" TargetMode="External"/><Relationship Id="rId12024" Type="http://schemas.openxmlformats.org/officeDocument/2006/relationships/hyperlink" Target="https://drive.google.com/file/d/1GSUWpYS1bKMQHpDirkh41aNW22dfhpEf/view?usp=sharing" TargetMode="External"/><Relationship Id="rId402" Type="http://schemas.openxmlformats.org/officeDocument/2006/relationships/hyperlink" Target="https://drive.google.com/file/d/1qZS5a1LK3XVrhPB8MTYGiKRKK0evTCyQ/view?usp=sharing" TargetMode="External"/><Relationship Id="rId1032" Type="http://schemas.openxmlformats.org/officeDocument/2006/relationships/hyperlink" Target="https://www.vidio.com/live/9182-champions-tv-5?schedule_id=4790142" TargetMode="External"/><Relationship Id="rId4255" Type="http://schemas.openxmlformats.org/officeDocument/2006/relationships/hyperlink" Target="https://drive.google.com/drive/folders/1xNGqJZdE-U40SkHLcPUsIJBqvkrqAK9d?usp=drive_link" TargetMode="External"/><Relationship Id="rId5306" Type="http://schemas.openxmlformats.org/officeDocument/2006/relationships/hyperlink" Target="https://drive.google.com/file/d/1pBABR7gjLi-wBlkI9B7vB1GFF4WNJ4SP/view?usp=sharing" TargetMode="External"/><Relationship Id="rId5653" Type="http://schemas.openxmlformats.org/officeDocument/2006/relationships/hyperlink" Target="https://drive.google.com/drive/folders/1K37bcInd4G8iPK4-lUxoMCMBLy1XeYeh?usp=drive_link" TargetMode="External"/><Relationship Id="rId6704" Type="http://schemas.openxmlformats.org/officeDocument/2006/relationships/hyperlink" Target="https://drive.google.com/file/d/1DgxykDEc9eEftCWPPOOnlR77jFvEjxwG/view?usp=sharing" TargetMode="External"/><Relationship Id="rId8876" Type="http://schemas.openxmlformats.org/officeDocument/2006/relationships/hyperlink" Target="https://drive.google.com/file/d/1pN8s4m5grXL1IYr-RwvzfBq9_13AxRoH/view?usp=sharing" TargetMode="External"/><Relationship Id="rId9927" Type="http://schemas.openxmlformats.org/officeDocument/2006/relationships/hyperlink" Target="https://drive.google.com/file/d/1-52xJmZopcUrUdZnZ4LVf0SusYPUvpxt/view?usp=sharing" TargetMode="External"/><Relationship Id="rId11857" Type="http://schemas.openxmlformats.org/officeDocument/2006/relationships/hyperlink" Target="https://drive.google.com/file/d/1eJVJpUKAFNWxLxYTbZoZRYrCww0XILnT/view?usp=sharing" TargetMode="External"/><Relationship Id="rId1916" Type="http://schemas.openxmlformats.org/officeDocument/2006/relationships/hyperlink" Target="https://drive.google.com/drive/folders/1LGi9dLurk_Jo_59rg1c1WXWuzIKHgb6W" TargetMode="External"/><Relationship Id="rId7478" Type="http://schemas.openxmlformats.org/officeDocument/2006/relationships/hyperlink" Target="https://drive.google.com/drive/folders/1NepG6XT-FSa8Cs07sX3tPfQWLNpJfAxp" TargetMode="External"/><Relationship Id="rId8529" Type="http://schemas.openxmlformats.org/officeDocument/2006/relationships/hyperlink" Target="https://drive.google.com/file/d/1G0O4ALeBZe-RAZ5B50gvygveINBenWdm/view?usp=sharing" TargetMode="External"/><Relationship Id="rId10459" Type="http://schemas.openxmlformats.org/officeDocument/2006/relationships/hyperlink" Target="https://drive.google.com/file/d/1wG_b0E7DWs5ZezAmNy9WMfV_y3JzMbtH/view?usp=sharing" TargetMode="External"/><Relationship Id="rId6561" Type="http://schemas.openxmlformats.org/officeDocument/2006/relationships/hyperlink" Target="https://drive.google.com/drive/folders/18cJHOPresqlpVjCfHcrc-0-5DVbgETg0?usp=drive_link" TargetMode="External"/><Relationship Id="rId7612" Type="http://schemas.openxmlformats.org/officeDocument/2006/relationships/hyperlink" Target="https://drive.google.com/file/d/1YwB6TIrGTT2QpJ6Pbjby4Y3uSsIV2aCn/view?usp=sharing" TargetMode="External"/><Relationship Id="rId10940" Type="http://schemas.openxmlformats.org/officeDocument/2006/relationships/hyperlink" Target="https://drive.google.com/file/d/1BmpAp2opVxTF5W-CEHccONTu9dr6eT8v/view?usp=sharing" TargetMode="External"/><Relationship Id="rId5163" Type="http://schemas.openxmlformats.org/officeDocument/2006/relationships/hyperlink" Target="https://drive.google.com/file/d/18NpkanGlVN4SiV2azO_8BHAvvAON6_RV/view?usp=drive_link" TargetMode="External"/><Relationship Id="rId6214" Type="http://schemas.openxmlformats.org/officeDocument/2006/relationships/hyperlink" Target="https://drive.google.com/drive/folders/1vjOA9E-jOlhsRSh5NE7jSpcmcR5v41-E" TargetMode="External"/><Relationship Id="rId9784" Type="http://schemas.openxmlformats.org/officeDocument/2006/relationships/hyperlink" Target="https://drive.google.com/file/d/1bGAtWdCSL-v2iZg1GvRoYwXZwXVqVH3x/view?usp=sharing" TargetMode="External"/><Relationship Id="rId8386" Type="http://schemas.openxmlformats.org/officeDocument/2006/relationships/hyperlink" Target="https://drive.google.com/drive/folders/16B_w7zYps4P8HABOyM7CMPmt3pvqlpeg" TargetMode="External"/><Relationship Id="rId9437" Type="http://schemas.openxmlformats.org/officeDocument/2006/relationships/hyperlink" Target="https://thumbor.prod.vidiocdn.com/jfk-L2__J0rZKunAEVCcmz4WT0E=/filters:quality(70)/vidio-media-production/uploads/image/source/52767/5dcecf.png" TargetMode="External"/><Relationship Id="rId1773" Type="http://schemas.openxmlformats.org/officeDocument/2006/relationships/hyperlink" Target="https://drive.google.com/drive/folders/1YogofYcFUlliMvotiyj_ebVkfHsWbDBp" TargetMode="External"/><Relationship Id="rId2824" Type="http://schemas.openxmlformats.org/officeDocument/2006/relationships/hyperlink" Target="https://drive.google.com/file/d/1XYYOKuXE9tvnWeJUFkyJnS6v8C23RZ20/view?usp=sharing" TargetMode="External"/><Relationship Id="rId8039" Type="http://schemas.openxmlformats.org/officeDocument/2006/relationships/hyperlink" Target="https://drive.google.com/file/d/1RzIaVorxAXnKPznlrEPCpdW4DALpAWsq/view?usp=sharing" TargetMode="External"/><Relationship Id="rId11367" Type="http://schemas.openxmlformats.org/officeDocument/2006/relationships/hyperlink" Target="https://drive.google.com/file/d/1DNux4glLBnqI-DzUHKvsJVIQIe0fQ_QF/view?usp=drive_link" TargetMode="External"/><Relationship Id="rId12418" Type="http://schemas.openxmlformats.org/officeDocument/2006/relationships/hyperlink" Target="https://drive.google.com/file/d/15XWbtbUwFEgrO0Ju6sNJKkMPQkRxrMB0/view?usp=sharing" TargetMode="External"/><Relationship Id="rId1426" Type="http://schemas.openxmlformats.org/officeDocument/2006/relationships/hyperlink" Target="https://drive.google.com/drive/folders/13g-2xNYJ52g3CsquyDv4V9uUMoDq__RD?usp=drive_link" TargetMode="External"/><Relationship Id="rId4996" Type="http://schemas.openxmlformats.org/officeDocument/2006/relationships/hyperlink" Target="https://drive.google.com/file/d/1UPviu7P3MprH4DCUgIlDIzNYa97uPSHG/view?usp=sharing" TargetMode="External"/><Relationship Id="rId3598" Type="http://schemas.openxmlformats.org/officeDocument/2006/relationships/hyperlink" Target="https://thumbor.prod.vidiocdn.com/wxg_DARk92oaEZIBO9pF11yxY88=/filters:quality(70)/vidio-media-production/uploads/image/source/53053/06bb10.png" TargetMode="External"/><Relationship Id="rId4649" Type="http://schemas.openxmlformats.org/officeDocument/2006/relationships/hyperlink" Target="https://drive.google.com/file/d/1ICOcmp2BLGgO1q3wOwE0J5IQv7qBfYi3/view?usp=sharing" TargetMode="External"/><Relationship Id="rId8520" Type="http://schemas.openxmlformats.org/officeDocument/2006/relationships/hyperlink" Target="https://drive.google.com/file/d/1T2TOKVHEZEVPfJuJmmetnimjt0cVKnoW/view?usp=sharing" TargetMode="External"/><Relationship Id="rId10450" Type="http://schemas.openxmlformats.org/officeDocument/2006/relationships/hyperlink" Target="https://drive.google.com/drive/folders/1O8-SBH_LfJy8ZC3pq4nizkYbKfP_5-gn" TargetMode="External"/><Relationship Id="rId11501" Type="http://schemas.openxmlformats.org/officeDocument/2006/relationships/hyperlink" Target="https://thumbor.prod.vidiocdn.com/KzVmB4spzgsyy5_oUhELGIruX6g=/filters:quality(70)/vidio-media-production/uploads/image/source/52473/91c9d0.png" TargetMode="External"/><Relationship Id="rId6071" Type="http://schemas.openxmlformats.org/officeDocument/2006/relationships/hyperlink" Target="https://drive.google.com/drive/folders/1TwrocApk343Y_ir01u96dimMEIHnDWgZ?usp=drive_link" TargetMode="External"/><Relationship Id="rId7122" Type="http://schemas.openxmlformats.org/officeDocument/2006/relationships/hyperlink" Target="https://www.vidio.com/live/19541-pegadaian-championship-2025-26?schedule_id=4638542" TargetMode="External"/><Relationship Id="rId10103" Type="http://schemas.openxmlformats.org/officeDocument/2006/relationships/hyperlink" Target="https://drive.google.com/file/d/1ijHGr5afCz_LDYw4_0JOVuqj6Fc9hwJ8/view?usp=sharing" TargetMode="External"/><Relationship Id="rId2681" Type="http://schemas.openxmlformats.org/officeDocument/2006/relationships/hyperlink" Target="https://drive.google.com/file/d/1K0_lRMCjFv2VL7iHgP7fdwbymWKzAq4c/view?usp=sharing" TargetMode="External"/><Relationship Id="rId9294" Type="http://schemas.openxmlformats.org/officeDocument/2006/relationships/hyperlink" Target="https://drive.google.com/drive/folders/1kqJkjH5sSUaK9hjOfBmNHR7fzE_cPXxP?usp=drive_link" TargetMode="External"/><Relationship Id="rId12275" Type="http://schemas.openxmlformats.org/officeDocument/2006/relationships/hyperlink" Target="https://www.vidio.com/live/20275?schedule_id=4833879" TargetMode="External"/><Relationship Id="rId653" Type="http://schemas.openxmlformats.org/officeDocument/2006/relationships/hyperlink" Target="https://drive.google.com/file/d/1_2Sh_lghvesE2zr5pvDlr_TRpzGSs8ig/view?usp=sharing" TargetMode="External"/><Relationship Id="rId1283" Type="http://schemas.openxmlformats.org/officeDocument/2006/relationships/hyperlink" Target="https://drive.google.com/file/d/127vbzuTiFf9DatOe2zAboJxItTB6Ghvc/view?usp=sharing" TargetMode="External"/><Relationship Id="rId2334" Type="http://schemas.openxmlformats.org/officeDocument/2006/relationships/hyperlink" Target="https://drive.google.com/drive/folders/1gW6PqK4xgnfEYjEazL37DoPKL9LPjGxH?usp=drive_link" TargetMode="External"/><Relationship Id="rId3732" Type="http://schemas.openxmlformats.org/officeDocument/2006/relationships/hyperlink" Target="https://www.vidio.com/live/6786-champions-tv-3?schedule_id=4525649" TargetMode="External"/><Relationship Id="rId306" Type="http://schemas.openxmlformats.org/officeDocument/2006/relationships/hyperlink" Target="https://drive.google.com/file/d/1ZVsci6TthZBxhN98-L5PbOLBKRF1gUlO/view?usp=drive_link" TargetMode="External"/><Relationship Id="rId6955" Type="http://schemas.openxmlformats.org/officeDocument/2006/relationships/hyperlink" Target="https://drive.google.com/file/d/1mYvS6TyQlsaaS1Bvult7bi-gtSPPuFjG/view?usp=drive_link" TargetMode="External"/><Relationship Id="rId4159" Type="http://schemas.openxmlformats.org/officeDocument/2006/relationships/hyperlink" Target="https://drive.google.com/file/d/1FY-TYfT5FyU6AD00Rx_a4ZS2kEKAL0Ag/view?usp=sharing" TargetMode="External"/><Relationship Id="rId5557" Type="http://schemas.openxmlformats.org/officeDocument/2006/relationships/hyperlink" Target="https://drive.google.com/file/d/1L4gKsJnNWTkX6fyn9ERnbCIlf6IW8-KL/view?usp=sharing" TargetMode="External"/><Relationship Id="rId6608" Type="http://schemas.openxmlformats.org/officeDocument/2006/relationships/hyperlink" Target="https://drive.google.com/file/d/19TGsLXf2GWXVfy-WZArFOsx2Bztlf5xp/view?usp=drive_link" TargetMode="External"/><Relationship Id="rId8030" Type="http://schemas.openxmlformats.org/officeDocument/2006/relationships/hyperlink" Target="https://www.vidio.com/live/19543-pegadaian-championship-2025-26?schedule_id=4676980" TargetMode="External"/><Relationship Id="rId11011" Type="http://schemas.openxmlformats.org/officeDocument/2006/relationships/hyperlink" Target="https://www.vidio.com/live/20259-fa-cup-2025-26?schedule_id=4832318" TargetMode="External"/><Relationship Id="rId4640" Type="http://schemas.openxmlformats.org/officeDocument/2006/relationships/hyperlink" Target="https://www.vidio.com/live/19404-serie-a?schedule_id=4759278" TargetMode="External"/><Relationship Id="rId2191" Type="http://schemas.openxmlformats.org/officeDocument/2006/relationships/hyperlink" Target="https://drive.google.com/file/d/1-bJFWKvhS_LpQ8zKGbG0a-MxlJqgQSRu/view?usp=sharing" TargetMode="External"/><Relationship Id="rId3242" Type="http://schemas.openxmlformats.org/officeDocument/2006/relationships/hyperlink" Target="https://thumbor.prod.vidiocdn.com/EIyVUoMeMLBlerTpK-dmtoJQ1Pw=/filters:quality(70)/vidio-media-production/uploads/image/source/52925/5bac2f.png" TargetMode="External"/><Relationship Id="rId163" Type="http://schemas.openxmlformats.org/officeDocument/2006/relationships/hyperlink" Target="https://drive.google.com/file/d/1VhA5JdKCP75ZV8KJ02YvKtwDd-LHH2jW/view?usp=sharing" TargetMode="External"/><Relationship Id="rId6465" Type="http://schemas.openxmlformats.org/officeDocument/2006/relationships/hyperlink" Target="https://drive.google.com/drive/folders/1F9lLmIvT4-3oh_Jbh-sne-zsyB6ey7v0" TargetMode="External"/><Relationship Id="rId7516" Type="http://schemas.openxmlformats.org/officeDocument/2006/relationships/hyperlink" Target="https://drive.google.com/file/d/1lRhTJixL_BwNSnPOl9tuoNCHYNw1XMJv/view?usp=sharing" TargetMode="External"/><Relationship Id="rId7863" Type="http://schemas.openxmlformats.org/officeDocument/2006/relationships/hyperlink" Target="https://www.vidio.com/live/19673-turkish-women-s-volleyball-cup?schedule_id=4644407" TargetMode="External"/><Relationship Id="rId8914" Type="http://schemas.openxmlformats.org/officeDocument/2006/relationships/hyperlink" Target="https://thumbor.prod.vidiocdn.com/9Uyw8Fa8isaI4Dnfl3dNbzOxeR8=/filters:quality(70)/vidio-media-production/uploads/image/source/52640/107019.png" TargetMode="External"/><Relationship Id="rId10844" Type="http://schemas.openxmlformats.org/officeDocument/2006/relationships/hyperlink" Target="https://drive.google.com/file/d/1kWmbGVZDCuWO2mvA_fIN9yzCsbKOGbD1/view?usp=sharing" TargetMode="External"/><Relationship Id="rId5067" Type="http://schemas.openxmlformats.org/officeDocument/2006/relationships/hyperlink" Target="https://drive.google.com/drive/folders/18C3gnpzQ21w6c8YuM9Jfnba-WwtpMyTR" TargetMode="External"/><Relationship Id="rId6118" Type="http://schemas.openxmlformats.org/officeDocument/2006/relationships/hyperlink" Target="https://www.vidio.com/live/19647-uefa-conference-league?schedule_id=4614686" TargetMode="External"/><Relationship Id="rId9688" Type="http://schemas.openxmlformats.org/officeDocument/2006/relationships/hyperlink" Target="https://drive.google.com/file/d/12d2KrOzTynLpntFLPRM-2ToMC9j3o6gX/view?usp=sharing" TargetMode="External"/><Relationship Id="rId1677" Type="http://schemas.openxmlformats.org/officeDocument/2006/relationships/hyperlink" Target="https://drive.google.com/drive/folders/1NccDjYD9AvXw9jpBA61dg-gNQO4tEu6t" TargetMode="External"/><Relationship Id="rId2728" Type="http://schemas.openxmlformats.org/officeDocument/2006/relationships/hyperlink" Target="https://drive.google.com/file/d/1CPEimpXtpCg1aWb6_ic8dknxEjVJeQpw/view?usp=sharing" TargetMode="External"/><Relationship Id="rId4150" Type="http://schemas.openxmlformats.org/officeDocument/2006/relationships/hyperlink" Target="https://www.vidio.com/live/19404-serie-a?schedule_id=4622557" TargetMode="External"/><Relationship Id="rId5201" Type="http://schemas.openxmlformats.org/officeDocument/2006/relationships/hyperlink" Target="https://drive.google.com/drive/folders/1d8RfZ3AxKm4vcq0d__doqb5lGvVI-NuD" TargetMode="External"/><Relationship Id="rId8771" Type="http://schemas.openxmlformats.org/officeDocument/2006/relationships/hyperlink" Target="https://drive.google.com/file/d/1e5vrRE_sln-GkiQa7aRoy0xs_PdSWJgX/view?usp=sharing" TargetMode="External"/><Relationship Id="rId9822" Type="http://schemas.openxmlformats.org/officeDocument/2006/relationships/hyperlink" Target="https://drive.google.com/file/d/1bGAtWdCSL-v2iZg1GvRoYwXZwXVqVH3x/view" TargetMode="External"/><Relationship Id="rId36" Type="http://schemas.openxmlformats.org/officeDocument/2006/relationships/hyperlink" Target="https://drive.google.com/file/d/1LfsBJnhM7cvHHSRSCuxM5XaAOEOGWCaP/view?usp=sharing" TargetMode="External"/><Relationship Id="rId7373" Type="http://schemas.openxmlformats.org/officeDocument/2006/relationships/hyperlink" Target="https://www.vidio.com/live/19436-eredivisie?schedule_id=4626142" TargetMode="External"/><Relationship Id="rId8424" Type="http://schemas.openxmlformats.org/officeDocument/2006/relationships/hyperlink" Target="https://drive.google.com/drive/folders/13jTLWJubpg-O57QsA1ff1sY6WsJuawII?usp=drive_link" TargetMode="External"/><Relationship Id="rId10354" Type="http://schemas.openxmlformats.org/officeDocument/2006/relationships/hyperlink" Target="https://drive.google.com/drive/folders/1b5JtbrIF_jBtqB1WJ1qJUSGD9K07569q" TargetMode="External"/><Relationship Id="rId11752" Type="http://schemas.openxmlformats.org/officeDocument/2006/relationships/hyperlink" Target="https://drive.google.com/file/d/1QcIWr_C4LcQjNXpfWd8mD0vhrZTAlQQ8/view?usp=sharing" TargetMode="External"/><Relationship Id="rId1811" Type="http://schemas.openxmlformats.org/officeDocument/2006/relationships/hyperlink" Target="https://drive.google.com/file/d/1tEM0LxxWS3r5M8B_7J6TCqLa-GoSkdnE/view?usp=drive_link" TargetMode="External"/><Relationship Id="rId7026" Type="http://schemas.openxmlformats.org/officeDocument/2006/relationships/hyperlink" Target="https://www.vidio.com/live/19541-pegadaian-championship-2025-26?schedule_id=4626335" TargetMode="External"/><Relationship Id="rId10007" Type="http://schemas.openxmlformats.org/officeDocument/2006/relationships/hyperlink" Target="https://drive.google.com/drive/folders/1QYSUrBna7duHa8h4Kq3_5whAWdhHwYgK" TargetMode="External"/><Relationship Id="rId11405" Type="http://schemas.openxmlformats.org/officeDocument/2006/relationships/hyperlink" Target="https://drive.google.com/drive/folders/1ErTUBE2YRkGcjNJs6UzIbspBkGIalvvc?usp=drive_link" TargetMode="External"/><Relationship Id="rId3983" Type="http://schemas.openxmlformats.org/officeDocument/2006/relationships/hyperlink" Target="https://www.vidio.com/live/19472?schedule_id=4534259" TargetMode="External"/><Relationship Id="rId9198" Type="http://schemas.openxmlformats.org/officeDocument/2006/relationships/hyperlink" Target="https://www.vidio.com/live/19802-top-youth-premier-league-2025-matchday-10?schedule_id=4709329" TargetMode="External"/><Relationship Id="rId1187" Type="http://schemas.openxmlformats.org/officeDocument/2006/relationships/hyperlink" Target="https://drive.google.com/file/d/16heabKnx9ejMlFJnknUg8pW1ZoLK0Zzc/view?usp=sharing" TargetMode="External"/><Relationship Id="rId2585" Type="http://schemas.openxmlformats.org/officeDocument/2006/relationships/hyperlink" Target="https://drive.google.com/drive/folders/1FRJ5EYNCKwo6K7TXyFQSRPaFlFgBJi2B?usp=drive_link" TargetMode="External"/><Relationship Id="rId3636" Type="http://schemas.openxmlformats.org/officeDocument/2006/relationships/hyperlink" Target="https://drive.google.com/drive/folders/1YExNoCffUe-dwScgBlxGhTe5w3vWPcKy?usp=drive_link" TargetMode="External"/><Relationship Id="rId12179" Type="http://schemas.openxmlformats.org/officeDocument/2006/relationships/hyperlink" Target="https://www.vidio.com/live/20269-liga-topskor-greater-jakarta-pekan-pertama-u-14-lapangan-kedung-halang?schedule_id=4833851" TargetMode="External"/><Relationship Id="rId557" Type="http://schemas.openxmlformats.org/officeDocument/2006/relationships/hyperlink" Target="https://drive.google.com/drive/folders/1GeFqRkU_Eo-heC3XjcKeXTPdD4LKGDe8?usp=drive_link" TargetMode="External"/><Relationship Id="rId2238" Type="http://schemas.openxmlformats.org/officeDocument/2006/relationships/hyperlink" Target="https://drive.google.com/file/d/1MOYZVxW3EvOBuuYMyzttyfz9ANiV5YLs/view?usp=drive_link" TargetMode="External"/><Relationship Id="rId6859" Type="http://schemas.openxmlformats.org/officeDocument/2006/relationships/hyperlink" Target="https://drive.google.com/file/d/1FPZOSAIBXtO2ivyGXSDgwTf61hHePLuI/view?usp=sharing" TargetMode="External"/><Relationship Id="rId8281" Type="http://schemas.openxmlformats.org/officeDocument/2006/relationships/hyperlink" Target="https://drive.google.com/drive/folders/1zsk9TvhLpO-yOmVdGZWO2by7WlxC640D?usp=drive_link" TargetMode="External"/><Relationship Id="rId9332" Type="http://schemas.openxmlformats.org/officeDocument/2006/relationships/hyperlink" Target="https://drive.google.com/file/d/1m2CEJg60E5vMBzgJkq__Xv5KhOjXP1Qn/view?usp=sharing" TargetMode="External"/><Relationship Id="rId11262" Type="http://schemas.openxmlformats.org/officeDocument/2006/relationships/hyperlink" Target="https://drive.google.com/drive/folders/1CPNblAQgmTLyKgFj67zTUj-CHPWd3oYH?usp=drive_link" TargetMode="External"/><Relationship Id="rId12313" Type="http://schemas.openxmlformats.org/officeDocument/2006/relationships/hyperlink" Target="https://drive.google.com/file/d/17nqJ8YbOWxi4DOQmMA4_VvY1qMuE4tM4/view?usp=sharing" TargetMode="External"/><Relationship Id="rId1321" Type="http://schemas.openxmlformats.org/officeDocument/2006/relationships/hyperlink" Target="https://drive.google.com/file/d/1p3CFHDsfOmxPgAVRl_76khZkvnS5MPjH/view?usp=drive_link" TargetMode="External"/><Relationship Id="rId4891" Type="http://schemas.openxmlformats.org/officeDocument/2006/relationships/hyperlink" Target="https://thumbor.prod.vidiocdn.com/EvAEF4jXh6Uvgv7z-qgz_YQPz5k=/filters:quality(70)/vidio-media-production/uploads/image/source/53023/7b66c9.png" TargetMode="External"/><Relationship Id="rId3493" Type="http://schemas.openxmlformats.org/officeDocument/2006/relationships/hyperlink" Target="https://drive.google.com/drive/u/0/folders/1EFpb9Crw57e0MpFWsFYgzr9xalzfr7ai" TargetMode="External"/><Relationship Id="rId4544" Type="http://schemas.openxmlformats.org/officeDocument/2006/relationships/hyperlink" Target="https://drive.google.com/drive/folders/1AFJjk7T7eKhV1KmwA9cinBxdpd4c9VlE?usp=drive_link" TargetMode="External"/><Relationship Id="rId5942" Type="http://schemas.openxmlformats.org/officeDocument/2006/relationships/hyperlink" Target="https://drive.google.com/file/d/1ZuQoeH6rL1HKsJzRRJA3Xzy08Ekzc8dO/view?usp=sharing" TargetMode="External"/><Relationship Id="rId2095" Type="http://schemas.openxmlformats.org/officeDocument/2006/relationships/hyperlink" Target="https://drive.google.com/file/d/1nw8oVVcAXJWTECS-rScNYm0cSwSYp6xl/view?usp=sharing" TargetMode="External"/><Relationship Id="rId3146" Type="http://schemas.openxmlformats.org/officeDocument/2006/relationships/hyperlink" Target="https://thumbor.prod.vidiocdn.com/UC8rAaJsuTu_v9CBvK2NAWWQNgc=/filters:quality(70)/vidio-media-production/uploads/image/source/52109/78c1fe.png" TargetMode="External"/><Relationship Id="rId6369" Type="http://schemas.openxmlformats.org/officeDocument/2006/relationships/hyperlink" Target="https://drive.google.com/file/d/1BuMCUsjfmSZFvg-jTFTo5YEGy5b2OFQV/view?usp=sharing" TargetMode="External"/><Relationship Id="rId7767" Type="http://schemas.openxmlformats.org/officeDocument/2006/relationships/hyperlink" Target="https://drive.google.com/file/d/19Zs8LXZ5UbYExOolTZ06W5PM1TmaPX0l/view?usp=sharing" TargetMode="External"/><Relationship Id="rId8818" Type="http://schemas.openxmlformats.org/officeDocument/2006/relationships/hyperlink" Target="https://www.vidio.com/live/6299-bein-1?schedule_id=4700056" TargetMode="External"/><Relationship Id="rId10748" Type="http://schemas.openxmlformats.org/officeDocument/2006/relationships/hyperlink" Target="https://thumbor.prod.vidiocdn.com/yyFwmwpIFni8q60xIVAHCerfMcY=/filters:quality(70)/vidio-media-production/uploads/image/source/52093/428753.png" TargetMode="External"/><Relationship Id="rId12170" Type="http://schemas.openxmlformats.org/officeDocument/2006/relationships/hyperlink" Target="https://drive.google.com/file/d/17nqJ8YbOWxi4DOQmMA4_VvY1qMuE4tM4/view?usp=drive_link" TargetMode="External"/><Relationship Id="rId2979" Type="http://schemas.openxmlformats.org/officeDocument/2006/relationships/hyperlink" Target="https://drive.google.com/file/d/136rJb-vn9ECIpGXbKfrPmlKLHnNpAxSd/view?usp=sharing" TargetMode="External"/><Relationship Id="rId6850" Type="http://schemas.openxmlformats.org/officeDocument/2006/relationships/hyperlink" Target="https://drive.google.com/file/d/1wouWrm04O7z7JqBmVoDcYqtsIjVx-wyB/view?usp=sharing" TargetMode="External"/><Relationship Id="rId7901" Type="http://schemas.openxmlformats.org/officeDocument/2006/relationships/hyperlink" Target="https://drive.google.com/file/d/1747BSLavQz2flleVm5LxWoD2bG6yWET9/view?usp=sharing" TargetMode="External"/><Relationship Id="rId201" Type="http://schemas.openxmlformats.org/officeDocument/2006/relationships/hyperlink" Target="https://drive.google.com/file/d/1-fpsWsvsFAhKTAsW2cP8vD-9PfkYQmuv/view?usp=sharing" TargetMode="External"/><Relationship Id="rId5452" Type="http://schemas.openxmlformats.org/officeDocument/2006/relationships/hyperlink" Target="https://drive.google.com/file/d/1GB2va2FSuDnw2HUyHYx7Hf3OMPuI6VJP/view?usp=sharing" TargetMode="External"/><Relationship Id="rId6503" Type="http://schemas.openxmlformats.org/officeDocument/2006/relationships/hyperlink" Target="https://drive.google.com/file/d/1rPxmApAbowxHrHnu-OeoaqCj2mS4g49v/view?usp=sharing" TargetMode="External"/><Relationship Id="rId4054" Type="http://schemas.openxmlformats.org/officeDocument/2006/relationships/hyperlink" Target="https://drive.google.com/file/d/1SQdcXitUGW-OIAnF8f_rTMscjAyu5ats/view?usp=sharing" TargetMode="External"/><Relationship Id="rId5105" Type="http://schemas.openxmlformats.org/officeDocument/2006/relationships/hyperlink" Target="https://www.vidio.com/live/6317-bein-3?schedule_id=4663720" TargetMode="External"/><Relationship Id="rId8675" Type="http://schemas.openxmlformats.org/officeDocument/2006/relationships/hyperlink" Target="https://drive.google.com/drive/folders/11_dHkhdsKML750kVv6mPg_ZwbFjbsUni?usp=drive_link" TargetMode="External"/><Relationship Id="rId9726" Type="http://schemas.openxmlformats.org/officeDocument/2006/relationships/hyperlink" Target="https://drive.google.com/file/d/1idwRajSREKj8fWiHwDStqOZr-VTL_IFa/view?usp=sharing" TargetMode="External"/><Relationship Id="rId7277" Type="http://schemas.openxmlformats.org/officeDocument/2006/relationships/hyperlink" Target="https://drive.google.com/file/d/1W0ihR-2nbeJ1opZ1NKhrE02eQCBF9rrr/view?usp=sharing" TargetMode="External"/><Relationship Id="rId8328" Type="http://schemas.openxmlformats.org/officeDocument/2006/relationships/hyperlink" Target="https://drive.google.com/file/d/1DRp9UbzKlqL8SUyVNpxvstSL2m5V-aMu/view?usp=sharing" TargetMode="External"/><Relationship Id="rId11656" Type="http://schemas.openxmlformats.org/officeDocument/2006/relationships/hyperlink" Target="https://drive.google.com/file/d/1MeazDDmN9UF4y_NmJKi7_sY1pglmIQVM/view?usp=sharing" TargetMode="External"/><Relationship Id="rId1715" Type="http://schemas.openxmlformats.org/officeDocument/2006/relationships/hyperlink" Target="https://drive.google.com/file/d/1tXPeGoxVgS2pmKpZQ9sgwVzInhcB5hZS/view?usp=drive_link" TargetMode="External"/><Relationship Id="rId10258" Type="http://schemas.openxmlformats.org/officeDocument/2006/relationships/hyperlink" Target="https://www.vidio.com/live/6299-bein-1?schedule_id=4779484" TargetMode="External"/><Relationship Id="rId11309" Type="http://schemas.openxmlformats.org/officeDocument/2006/relationships/hyperlink" Target="https://thumbor.prod.vidiocdn.com/UzESGtVNiRoxrWBJRWQ6f6-j5d4=/filters:quality(70)/vidio-media-production/uploads/image/source/53000/1587b4.png" TargetMode="External"/><Relationship Id="rId3887" Type="http://schemas.openxmlformats.org/officeDocument/2006/relationships/hyperlink" Target="https://www.vidio.com/live/6685-champions-tv-1?schedule_id=4577340" TargetMode="External"/><Relationship Id="rId4938" Type="http://schemas.openxmlformats.org/officeDocument/2006/relationships/hyperlink" Target="https://drive.google.com/file/d/17T74Bvq3zXfD4neDf99ydHevB5ccXyLU/view?usp=sharing" TargetMode="External"/><Relationship Id="rId2489" Type="http://schemas.openxmlformats.org/officeDocument/2006/relationships/hyperlink" Target="https://drive.google.com/file/d/16ujfuXWuMF6oFHRy9liBSL5EZDlwpQDi/view?usp=sharing" TargetMode="External"/><Relationship Id="rId6360" Type="http://schemas.openxmlformats.org/officeDocument/2006/relationships/hyperlink" Target="https://drive.google.com/file/d/1cNPMJUDJED9YKXusAdc_kptuRDW-1sIE/view?usp=sharing" TargetMode="External"/><Relationship Id="rId7411" Type="http://schemas.openxmlformats.org/officeDocument/2006/relationships/hyperlink" Target="https://www.vidio.com/live/6685-champions-tv-1?schedule_id=4666461" TargetMode="External"/><Relationship Id="rId2970" Type="http://schemas.openxmlformats.org/officeDocument/2006/relationships/hyperlink" Target="https://drive.google.com/drive/folders/1BXrs-DOua2J3nyNa_RrXDa4680itypQP?usp=drive_link" TargetMode="External"/><Relationship Id="rId6013" Type="http://schemas.openxmlformats.org/officeDocument/2006/relationships/hyperlink" Target="https://www.vidio.com/live/17875-bein-2?schedule_id=4773311" TargetMode="External"/><Relationship Id="rId9583" Type="http://schemas.openxmlformats.org/officeDocument/2006/relationships/hyperlink" Target="https://drive.google.com/file/d/1JM0RagzXO5BbiJ_77JwRrqOJzRDrbVJ3/view?usp=sharing" TargetMode="External"/><Relationship Id="rId942" Type="http://schemas.openxmlformats.org/officeDocument/2006/relationships/hyperlink" Target="https://www.vidio.com/live/9182-champions-tv-5?schedule_id=4769281" TargetMode="External"/><Relationship Id="rId1572" Type="http://schemas.openxmlformats.org/officeDocument/2006/relationships/hyperlink" Target="https://drive.google.com/file/d/1lXHWfybl2XL8QX8q20eymj11U3dMxUtd/view?usp=drive_link" TargetMode="External"/><Relationship Id="rId2623" Type="http://schemas.openxmlformats.org/officeDocument/2006/relationships/hyperlink" Target="https://drive.google.com/drive/folders/1FdVNwdcDTts9wFZv7ncZGPcw4d4itN3I?usp=drive_link" TargetMode="External"/><Relationship Id="rId8185" Type="http://schemas.openxmlformats.org/officeDocument/2006/relationships/hyperlink" Target="https://drive.google.com/drive/folders/1KeKYkkKpuTIunc_fn6tujcXCdTkHuXIk" TargetMode="External"/><Relationship Id="rId9236" Type="http://schemas.openxmlformats.org/officeDocument/2006/relationships/hyperlink" Target="https://drive.google.com/file/d/1bGAtWdCSL-v2iZg1GvRoYwXZwXVqVH3x/view?usp=sharing" TargetMode="External"/><Relationship Id="rId11166" Type="http://schemas.openxmlformats.org/officeDocument/2006/relationships/hyperlink" Target="https://www.vidio.com/live/18250-hsbc-bwf-world-tour-finals-2025-group-stage-court-2?schedule_id=4784608" TargetMode="External"/><Relationship Id="rId12217" Type="http://schemas.openxmlformats.org/officeDocument/2006/relationships/hyperlink" Target="https://www.vidio.com/live/20268-topskor-greater-jakarta-pekan-pertama-u-14-lapangan-big-depok?schedule_id=4833867" TargetMode="External"/><Relationship Id="rId1225" Type="http://schemas.openxmlformats.org/officeDocument/2006/relationships/hyperlink" Target="https://thumbor.prod.vidiocdn.com/3uHQiWmXM3SFYUcSlFmqy3uhd6A=/filters:quality(70)/vidio-media-production/uploads/image/source/52834/492cef.png" TargetMode="External"/><Relationship Id="rId3397" Type="http://schemas.openxmlformats.org/officeDocument/2006/relationships/hyperlink" Target="https://www.vidio.com/live/6685-champions-tv-1?schedule_id=4480021" TargetMode="External"/><Relationship Id="rId4795" Type="http://schemas.openxmlformats.org/officeDocument/2006/relationships/hyperlink" Target="https://thumbor.prod.vidiocdn.com/buhYgW-p7SprgBERbk-14vNedZk=/filters:quality(70)/vidio-media-production/uploads/image/source/52624/6959b9.png" TargetMode="External"/><Relationship Id="rId5846" Type="http://schemas.openxmlformats.org/officeDocument/2006/relationships/hyperlink" Target="https://drive.google.com/file/d/1FGbVyLd0VDnsTEZdc3iAnq7G9ke8PHyD/view?usp=sharing" TargetMode="External"/><Relationship Id="rId4448" Type="http://schemas.openxmlformats.org/officeDocument/2006/relationships/hyperlink" Target="https://drive.google.com/file/d/1t0jwohdxfMSY3IgDRjP83ZB5rIV0rs6C/view?usp=sharing" TargetMode="External"/><Relationship Id="rId10999" Type="http://schemas.openxmlformats.org/officeDocument/2006/relationships/hyperlink" Target="https://thumbor.prod.vidiocdn.com/giaobWsqMJfwle9cmy4FmoRemwY=/filters:quality(70)/vidio-media-production/uploads/image/source/53145/fadf0d.png" TargetMode="External"/><Relationship Id="rId11300" Type="http://schemas.openxmlformats.org/officeDocument/2006/relationships/hyperlink" Target="https://drive.google.com/file/d/1FEMgPHR1wcQYnPEP7eWFqItXhGHTNOm8/view?usp=sharing" TargetMode="External"/><Relationship Id="rId2480" Type="http://schemas.openxmlformats.org/officeDocument/2006/relationships/hyperlink" Target="https://www.vidio.com/live/17323-laliga?schedule_id=4577360" TargetMode="External"/><Relationship Id="rId3531" Type="http://schemas.openxmlformats.org/officeDocument/2006/relationships/hyperlink" Target="https://drive.google.com/file/d/1g9ECtVREin0l7oaaWgKV9rF6PrgHaACx/view?usp=sharing" TargetMode="External"/><Relationship Id="rId9093" Type="http://schemas.openxmlformats.org/officeDocument/2006/relationships/hyperlink" Target="https://drive.google.com/drive/folders/1AeP5dqmyhLI9DRL-cn-DAqxVSVAmhf_j?usp=drive_link" TargetMode="External"/><Relationship Id="rId12074" Type="http://schemas.openxmlformats.org/officeDocument/2006/relationships/hyperlink" Target="https://www.vidio.com/live/18250-petronas-malaysia-open-2026-round-of-16-court-2?schedule_id=4832343" TargetMode="External"/><Relationship Id="rId452" Type="http://schemas.openxmlformats.org/officeDocument/2006/relationships/hyperlink" Target="https://www.vidio.com/live/9182-champions-tv-5?schedule_id=4626718" TargetMode="External"/><Relationship Id="rId1082" Type="http://schemas.openxmlformats.org/officeDocument/2006/relationships/hyperlink" Target="https://drive.google.com/file/d/1CIQGeTn5FL1LnSHVA485MjkAb1osIUK-/view?usp=sharing" TargetMode="External"/><Relationship Id="rId2133" Type="http://schemas.openxmlformats.org/officeDocument/2006/relationships/hyperlink" Target="https://drive.google.com/file/d/11z17V-5ftv69-BtPhPSYB1TD3u0vg_h2/view?usp=sharing" TargetMode="External"/><Relationship Id="rId6754" Type="http://schemas.openxmlformats.org/officeDocument/2006/relationships/hyperlink" Target="https://drive.google.com/drive/folders/1NepG6XT-FSa8Cs07sX3tPfQWLNpJfAxp" TargetMode="External"/><Relationship Id="rId7805" Type="http://schemas.openxmlformats.org/officeDocument/2006/relationships/hyperlink" Target="https://www.vidio.com/live/6317-bein-3?schedule_id=4663944" TargetMode="External"/><Relationship Id="rId105" Type="http://schemas.openxmlformats.org/officeDocument/2006/relationships/hyperlink" Target="https://www.vidio.com/live/9182-champions-tv-5?schedule_id=4496985" TargetMode="External"/><Relationship Id="rId5356" Type="http://schemas.openxmlformats.org/officeDocument/2006/relationships/hyperlink" Target="https://drive.google.com/drive/folders/14Wb3x9yN298vTECYGS7G_yCO7LWjXAJK" TargetMode="External"/><Relationship Id="rId6407" Type="http://schemas.openxmlformats.org/officeDocument/2006/relationships/hyperlink" Target="https://drive.google.com/drive/folders/1eSU4iRk_R3ldS5Qrf71FvcntDjepgP6s" TargetMode="External"/><Relationship Id="rId5009" Type="http://schemas.openxmlformats.org/officeDocument/2006/relationships/hyperlink" Target="https://drive.google.com/drive/folders/1ios9iWEd2dnO5dR5nTThyvnwQiRENWUP" TargetMode="External"/><Relationship Id="rId8579" Type="http://schemas.openxmlformats.org/officeDocument/2006/relationships/hyperlink" Target="https://drive.google.com/drive/folders/1rV6iBF3BUVJGKbJLmmi7Oe55VA7Nav1A" TargetMode="External"/><Relationship Id="rId9977" Type="http://schemas.openxmlformats.org/officeDocument/2006/relationships/hyperlink" Target="https://drive.google.com/file/d/1xkZklHHmNeJipt4jDkjrPL6vGEGXVQpj/view?usp=sharing" TargetMode="External"/><Relationship Id="rId1966" Type="http://schemas.openxmlformats.org/officeDocument/2006/relationships/hyperlink" Target="https://www.vidio.com/live/205-indosiar?schedule_id=4674575" TargetMode="External"/><Relationship Id="rId1619" Type="http://schemas.openxmlformats.org/officeDocument/2006/relationships/hyperlink" Target="https://drive.google.com/file/d/1y2b9J8ypk-JMdp_vL_B0jipe1M-pRS70/view?usp=sharing" TargetMode="External"/><Relationship Id="rId3041" Type="http://schemas.openxmlformats.org/officeDocument/2006/relationships/hyperlink" Target="https://drive.google.com/file/d/1SqWgmccgHNwVjmnjeVX4G-w2eNVaiB7W/view?usp=sharing" TargetMode="External"/><Relationship Id="rId7662" Type="http://schemas.openxmlformats.org/officeDocument/2006/relationships/hyperlink" Target="https://drive.google.com/file/d/1I6MMaYcn7mcuf4qdpaAA2T6CKSOyKNzT/view?usp=sharing" TargetMode="External"/><Relationship Id="rId8713" Type="http://schemas.openxmlformats.org/officeDocument/2006/relationships/hyperlink" Target="https://www.vidio.com/live/19745-top-youth-premier-league-2025-matchday-8?schedule_id=4670864" TargetMode="External"/><Relationship Id="rId10643" Type="http://schemas.openxmlformats.org/officeDocument/2006/relationships/hyperlink" Target="https://www.vidio.com/live/20067-top-youth-premier-league-pekan-ke-15?schedule_id=4776346" TargetMode="External"/><Relationship Id="rId10990" Type="http://schemas.openxmlformats.org/officeDocument/2006/relationships/hyperlink" Target="https://drive.google.com/file/d/1cPKhmHFCqL6vA_8TxB2Du70BTWC1B2s8/view?usp=sharing" TargetMode="External"/><Relationship Id="rId6264" Type="http://schemas.openxmlformats.org/officeDocument/2006/relationships/hyperlink" Target="https://drive.google.com/file/d/1QbApIG3o6cbdkI6jk6hA7QmkDSb54pgJ/view?usp=drive_link" TargetMode="External"/><Relationship Id="rId7315" Type="http://schemas.openxmlformats.org/officeDocument/2006/relationships/hyperlink" Target="https://drive.google.com/drive/folders/1I4nnTncr2RjnftIIkXbydcmn_LKteX6z?usp=drive_link" TargetMode="External"/><Relationship Id="rId9487" Type="http://schemas.openxmlformats.org/officeDocument/2006/relationships/hyperlink" Target="https://www.vidio.com/live/6317-bein-3?schedule_id=4768858" TargetMode="External"/><Relationship Id="rId1476" Type="http://schemas.openxmlformats.org/officeDocument/2006/relationships/hyperlink" Target="https://drive.google.com/file/d/1bYTk5BGdYWfCAT_9ZVbaOpBiidms6ZY_/view?usp=sharing" TargetMode="External"/><Relationship Id="rId2874" Type="http://schemas.openxmlformats.org/officeDocument/2006/relationships/hyperlink" Target="https://drive.google.com/file/d/1fBfTmwOUcIeCWVmfv_fvVPMPAh8Mf2MW/view?usp=sharing" TargetMode="External"/><Relationship Id="rId3925" Type="http://schemas.openxmlformats.org/officeDocument/2006/relationships/hyperlink" Target="https://www.vidio.com/live/6686-champions-tv-2?schedule_id=4525700" TargetMode="External"/><Relationship Id="rId8089" Type="http://schemas.openxmlformats.org/officeDocument/2006/relationships/hyperlink" Target="https://drive.google.com/file/d/1QHg9NOxIAlsVu9rLWTISHV64rTSAauLo/view?usp=sharing" TargetMode="External"/><Relationship Id="rId846" Type="http://schemas.openxmlformats.org/officeDocument/2006/relationships/hyperlink" Target="https://www.vidio.com/live/19375-premier-league?schedule_id=4743731" TargetMode="External"/><Relationship Id="rId1129" Type="http://schemas.openxmlformats.org/officeDocument/2006/relationships/hyperlink" Target="https://www.vidio.com/live/18797-premier-league?schedule_id=4802056" TargetMode="External"/><Relationship Id="rId2527" Type="http://schemas.openxmlformats.org/officeDocument/2006/relationships/hyperlink" Target="https://drive.google.com/drive/folders/1vvJz14Jl4gIdV_iCTT5E3kf9dGSkmgZL?usp=drive_link" TargetMode="External"/><Relationship Id="rId5000" Type="http://schemas.openxmlformats.org/officeDocument/2006/relationships/hyperlink" Target="https://drive.google.com/file/d/1pehR8qNjpj0a3UzKL5IBXqhQic2qlKKJ/view?usp=sharing" TargetMode="External"/><Relationship Id="rId4699" Type="http://schemas.openxmlformats.org/officeDocument/2006/relationships/hyperlink" Target="https://thumbor.prod.vidiocdn.com/wy1z3-tOedq8vJumuV15KDul2B4=/filters:quality(70)/vidio-media-production/uploads/image/source/51909/2fe029.png" TargetMode="External"/><Relationship Id="rId8570" Type="http://schemas.openxmlformats.org/officeDocument/2006/relationships/hyperlink" Target="https://drive.google.com/file/d/1hA1P8sqKcQBqRgHrgPDls2vOFSJZ0yC3/view?usp=sharing" TargetMode="External"/><Relationship Id="rId9621" Type="http://schemas.openxmlformats.org/officeDocument/2006/relationships/hyperlink" Target="https://drive.google.com/file/d/1TNt150I6yxwt4Kj_dvFg_pATKSPfPqeq/view?usp=sharing" TargetMode="External"/><Relationship Id="rId11551" Type="http://schemas.openxmlformats.org/officeDocument/2006/relationships/hyperlink" Target="https://drive.google.com/file/d/1Dard6MH7k78Swic8dWOgnfHf_kOn3XLq/view?usp=sharing" TargetMode="External"/><Relationship Id="rId1610" Type="http://schemas.openxmlformats.org/officeDocument/2006/relationships/hyperlink" Target="https://www.vidio.com/live/19354-bri-super-league?schedule_id=4512887" TargetMode="External"/><Relationship Id="rId7172" Type="http://schemas.openxmlformats.org/officeDocument/2006/relationships/hyperlink" Target="https://drive.google.com/file/d/1DNux4glLBnqI-DzUHKvsJVIQIe0fQ_QF/view?usp=sharing" TargetMode="External"/><Relationship Id="rId8223" Type="http://schemas.openxmlformats.org/officeDocument/2006/relationships/hyperlink" Target="https://drive.google.com/file/d/1U91gxTGgOCufMUqPBMYDhopvX6g4-kEp/view?usp=sharing" TargetMode="External"/><Relationship Id="rId10153" Type="http://schemas.openxmlformats.org/officeDocument/2006/relationships/hyperlink" Target="https://drive.google.com/drive/folders/1rtlc88G2NXU_xNM4l398B8Z0L-1izyJJ?usp=sharing" TargetMode="External"/><Relationship Id="rId11204" Type="http://schemas.openxmlformats.org/officeDocument/2006/relationships/hyperlink" Target="https://drive.google.com/file/d/1c9b37wfDcI90ywKK-eUuQb_lFkWKMT25/view?usp=sharing" TargetMode="External"/><Relationship Id="rId3782" Type="http://schemas.openxmlformats.org/officeDocument/2006/relationships/hyperlink" Target="https://www.vidio.com/live/6685-champions-tv-1?schedule_id=4527714" TargetMode="External"/><Relationship Id="rId4833" Type="http://schemas.openxmlformats.org/officeDocument/2006/relationships/hyperlink" Target="https://thumbor.prod.vidiocdn.com/L_l2-wiVs16ITswukj_ubnk_DM4=/filters:quality(70)/vidio-media-production/uploads/image/source/52692/299b98.png" TargetMode="External"/><Relationship Id="rId2384" Type="http://schemas.openxmlformats.org/officeDocument/2006/relationships/hyperlink" Target="https://drive.google.com/file/d/1oCqhBLe4R91RG86wbse8zNWeqHFuriT9/view?usp=sharing" TargetMode="External"/><Relationship Id="rId3435" Type="http://schemas.openxmlformats.org/officeDocument/2006/relationships/hyperlink" Target="https://drive.google.com/file/d/1JnzhzzVBNcmH2xMvQv2Hxci6ojrlW344/view?usp=sharing" TargetMode="External"/><Relationship Id="rId356" Type="http://schemas.openxmlformats.org/officeDocument/2006/relationships/hyperlink" Target="https://www.vidio.com/live/9183-champions-tv-6?schedule_id=4579896" TargetMode="External"/><Relationship Id="rId2037" Type="http://schemas.openxmlformats.org/officeDocument/2006/relationships/hyperlink" Target="https://drive.google.com/file/d/1hMs_4xWsEelmSmgTMhzelU8QEf2os25M/view?usp=sharing" TargetMode="External"/><Relationship Id="rId6658" Type="http://schemas.openxmlformats.org/officeDocument/2006/relationships/hyperlink" Target="https://www.vidio.com/live/6786-champions-tv-3?schedule_id=4592567" TargetMode="External"/><Relationship Id="rId7709" Type="http://schemas.openxmlformats.org/officeDocument/2006/relationships/hyperlink" Target="https://drive.google.com/file/d/1TAUzTXWnA_jufDE4jUTHbS927AY9Djtk/view?usp=drive_link" TargetMode="External"/><Relationship Id="rId8080" Type="http://schemas.openxmlformats.org/officeDocument/2006/relationships/hyperlink" Target="https://drive.google.com/drive/folders/10kjndzNuhAMWdTMs_l_jk8B84L4z3b2d?usp=drive_link" TargetMode="External"/><Relationship Id="rId9131" Type="http://schemas.openxmlformats.org/officeDocument/2006/relationships/hyperlink" Target="https://drive.google.com/file/d/1YdZCiCog_kXZevcEMhWVPXh0e99YwlFY/view?usp=sharing" TargetMode="External"/><Relationship Id="rId11061" Type="http://schemas.openxmlformats.org/officeDocument/2006/relationships/hyperlink" Target="https://www.vidio.com/live/17139-spotv?schedule_id=4790740" TargetMode="External"/><Relationship Id="rId12112" Type="http://schemas.openxmlformats.org/officeDocument/2006/relationships/hyperlink" Target="https://drive.google.com/file/d/1xXRyTpjraFbbrHD2OOrzfOJmKS83JG2b/view?usp=sharing" TargetMode="External"/><Relationship Id="rId1120" Type="http://schemas.openxmlformats.org/officeDocument/2006/relationships/hyperlink" Target="https://thumbor.prod.vidiocdn.com/vzE2csITqv6RocRjfOhfh0Ghk70=/filters:quality(70)/vidio-media-production/uploads/image/source/52547/b72c62.png" TargetMode="External"/><Relationship Id="rId4690" Type="http://schemas.openxmlformats.org/officeDocument/2006/relationships/hyperlink" Target="https://www.vidio.com/live/19404-serie-a?schedule_id=4773710" TargetMode="External"/><Relationship Id="rId5741" Type="http://schemas.openxmlformats.org/officeDocument/2006/relationships/hyperlink" Target="https://drive.google.com/file/d/1A7vx1PJW1KrHcOeN2dmWsmrwnEOgZN0l/view?usp=drive_link" TargetMode="External"/><Relationship Id="rId3292" Type="http://schemas.openxmlformats.org/officeDocument/2006/relationships/hyperlink" Target="https://drive.google.com/drive/folders/1MmLj4ViA3m75zKXLQrUWzeAEFP-5ZUlH" TargetMode="External"/><Relationship Id="rId4343" Type="http://schemas.openxmlformats.org/officeDocument/2006/relationships/hyperlink" Target="https://www.vidio.com/live/19589-serie-a?schedule_id=4675195" TargetMode="External"/><Relationship Id="rId8964" Type="http://schemas.openxmlformats.org/officeDocument/2006/relationships/hyperlink" Target="https://drive.google.com/file/d/1pU-Hq3ObL7lkOwkLiNf-GeAgszRNUlyJ/view?usp=sharing" TargetMode="External"/><Relationship Id="rId7566" Type="http://schemas.openxmlformats.org/officeDocument/2006/relationships/hyperlink" Target="https://drive.google.com/drive/folders/18GTpFILraJ5Vn9gdTou1WEyQqG9Mq31l?usp=drive_link" TargetMode="External"/><Relationship Id="rId8617" Type="http://schemas.openxmlformats.org/officeDocument/2006/relationships/hyperlink" Target="https://drive.google.com/file/d/1ow7TDJzd73UrE_geznot92Ai5dweIo0r/view?usp=sharing" TargetMode="External"/><Relationship Id="rId10894" Type="http://schemas.openxmlformats.org/officeDocument/2006/relationships/hyperlink" Target="https://www.vidio.com/live/18249-hsbc-bwf-world-tour-finals-2025-group-stage-court-1?schedule_id=4783141" TargetMode="External"/><Relationship Id="rId11945" Type="http://schemas.openxmlformats.org/officeDocument/2006/relationships/hyperlink" Target="https://www.vidio.com/live/18249-petronas-malaysia-open-2026-round-of-32-court-1?schedule_id=4832172" TargetMode="External"/><Relationship Id="rId6168" Type="http://schemas.openxmlformats.org/officeDocument/2006/relationships/hyperlink" Target="https://drive.google.com/drive/folders/1z0QSLmNvSJyyT8FLEYRkw6ibg9dSBAVC" TargetMode="External"/><Relationship Id="rId7219" Type="http://schemas.openxmlformats.org/officeDocument/2006/relationships/hyperlink" Target="https://drive.google.com/file/d/1dBwRz1GCiv3Nuz19A7pVpvDJ9XZyEchD/view?usp=sharing" TargetMode="External"/><Relationship Id="rId10547" Type="http://schemas.openxmlformats.org/officeDocument/2006/relationships/hyperlink" Target="https://drive.google.com/drive/folders/1I2xwOb3e5BOvHUQ1DDHgp7Hzf6_VHsOa?usp=drive_link" TargetMode="External"/><Relationship Id="rId2778" Type="http://schemas.openxmlformats.org/officeDocument/2006/relationships/hyperlink" Target="https://drive.google.com/file/d/1NkYrPDpC4N_1rBpySbhG5FK45XoffeI4/view?usp=sharing" TargetMode="External"/><Relationship Id="rId3829" Type="http://schemas.openxmlformats.org/officeDocument/2006/relationships/hyperlink" Target="https://drive.google.com/drive/folders/1C-U1bDiVQpMSfuPH71DHddOFzlm0N-6N" TargetMode="External"/><Relationship Id="rId7700" Type="http://schemas.openxmlformats.org/officeDocument/2006/relationships/hyperlink" Target="https://drive.google.com/drive/folders/1TMnLpklc1gLW5TKITRFyBb3rzvpyWl15?usp=drive_link" TargetMode="External"/><Relationship Id="rId5251" Type="http://schemas.openxmlformats.org/officeDocument/2006/relationships/hyperlink" Target="https://drive.google.com/drive/folders/1GEHYdLbIsStQqckPEeBtB2fuJZow2o03" TargetMode="External"/><Relationship Id="rId6302" Type="http://schemas.openxmlformats.org/officeDocument/2006/relationships/hyperlink" Target="https://drive.google.com/drive/folders/1_QyyUC0KxsA5I5XnGSR_moWG1pYIaeRU" TargetMode="External"/><Relationship Id="rId9872" Type="http://schemas.openxmlformats.org/officeDocument/2006/relationships/hyperlink" Target="https://www.vidio.com/live/18796-premier-league?schedule_id=4743727" TargetMode="External"/><Relationship Id="rId86" Type="http://schemas.openxmlformats.org/officeDocument/2006/relationships/hyperlink" Target="https://drive.google.com/drive/folders/101x8xptfl9058SrlvlZRDAvHhNjOCizF?usp=drive_link" TargetMode="External"/><Relationship Id="rId1861" Type="http://schemas.openxmlformats.org/officeDocument/2006/relationships/hyperlink" Target="https://drive.google.com/file/d/1DLEq2erja2gXhlAchybmmWyGYCjrikNH/view?usp=drive_link" TargetMode="External"/><Relationship Id="rId2912" Type="http://schemas.openxmlformats.org/officeDocument/2006/relationships/hyperlink" Target="https://www.vidio.com/live/6299-bein-1?schedule_id=4724318" TargetMode="External"/><Relationship Id="rId8474" Type="http://schemas.openxmlformats.org/officeDocument/2006/relationships/hyperlink" Target="https://thumbor.prod.vidiocdn.com/_Sabf2rvkRK96amvDSKE9Phqg2c=/filters:quality(70)/vidio-media-production/uploads/image/source/52052/f9e6f4.png" TargetMode="External"/><Relationship Id="rId9525" Type="http://schemas.openxmlformats.org/officeDocument/2006/relationships/hyperlink" Target="https://drive.google.com/file/d/19gmxjoF4PF5VqMOyjf0Pyh4G6BJxqHwO/view?usp=sharing" TargetMode="External"/><Relationship Id="rId11455" Type="http://schemas.openxmlformats.org/officeDocument/2006/relationships/hyperlink" Target="https://drive.google.com/drive/folders/1srROS9ifW9qLM6vPTaIrkrfuvIjTGQwm" TargetMode="External"/><Relationship Id="rId1514" Type="http://schemas.openxmlformats.org/officeDocument/2006/relationships/hyperlink" Target="https://www.vidio.com/live/19354-bri-super-league?schedule_id=4501377" TargetMode="External"/><Relationship Id="rId7076" Type="http://schemas.openxmlformats.org/officeDocument/2006/relationships/hyperlink" Target="https://drive.google.com/file/d/1bjSNkRPNSeliwDnOdiwbJACkclE8y_Fq/view?usp=drive_link" TargetMode="External"/><Relationship Id="rId8127" Type="http://schemas.openxmlformats.org/officeDocument/2006/relationships/hyperlink" Target="https://drive.google.com/drive/u/0/folders/1IRHYlG1njTkQ0X43rsZQ2Jo_82-YngwW" TargetMode="External"/><Relationship Id="rId10057" Type="http://schemas.openxmlformats.org/officeDocument/2006/relationships/hyperlink" Target="https://www.vidio.com/live/17139-spotv?schedule_id=4741287" TargetMode="External"/><Relationship Id="rId11108" Type="http://schemas.openxmlformats.org/officeDocument/2006/relationships/hyperlink" Target="https://drive.google.com/drive/folders/1usVPhikQhYpR873Iex3Ya_f-wlCWLBib?usp=drive_link" TargetMode="External"/><Relationship Id="rId3686" Type="http://schemas.openxmlformats.org/officeDocument/2006/relationships/hyperlink" Target="https://drive.google.com/file/d/1frdwt8oI2wYquSxYsOBlzYw-s7QWOB7M/view?usp=drive_link" TargetMode="External"/><Relationship Id="rId2288" Type="http://schemas.openxmlformats.org/officeDocument/2006/relationships/hyperlink" Target="https://drive.google.com/drive/folders/1Pm5Jgmxh-aKl9hR8HYKc-wSUtGQ6816G?usp=drive_link" TargetMode="External"/><Relationship Id="rId3339" Type="http://schemas.openxmlformats.org/officeDocument/2006/relationships/hyperlink" Target="https://drive.google.com/file/d/1kUi-zHt8fVweriWAUxcy49H3FU9dG-Wn/view?usp=drive_link" TargetMode="External"/><Relationship Id="rId4737" Type="http://schemas.openxmlformats.org/officeDocument/2006/relationships/hyperlink" Target="https://thumbor.prod.vidiocdn.com/zjQP4f87V0bPHSnwe6GuJPNE9Lk=/filters:quality(70)/vidio-media-production/uploads/image/source/52027/743e17.png" TargetMode="External"/><Relationship Id="rId7210" Type="http://schemas.openxmlformats.org/officeDocument/2006/relationships/hyperlink" Target="https://drive.google.com/drive/folders/1NepG6XT-FSa8Cs07sX3tPfQWLNpJfAxp" TargetMode="External"/><Relationship Id="rId3820" Type="http://schemas.openxmlformats.org/officeDocument/2006/relationships/hyperlink" Target="https://drive.google.com/file/d/1qaNBJUe9dl9Dc1XnvYTey-_0w00ck8E_/view?usp=sharing" TargetMode="External"/><Relationship Id="rId9382" Type="http://schemas.openxmlformats.org/officeDocument/2006/relationships/hyperlink" Target="https://thumbor.prod.vidiocdn.com/NZFQtN4d0eShIGm-mZ97bQYVOrg=/filters:quality(70)/vidio-media-production/uploads/image/source/52760/1d5331.png" TargetMode="External"/><Relationship Id="rId12363" Type="http://schemas.openxmlformats.org/officeDocument/2006/relationships/hyperlink" Target="https://www.vidio.com/live/18250-petronas-malaysia-open-2026-round-of-16-court-2?schedule_id=4833806" TargetMode="External"/><Relationship Id="rId741" Type="http://schemas.openxmlformats.org/officeDocument/2006/relationships/hyperlink" Target="https://drive.google.com/file/d/1HjKUtlH8QDf306q784gKFPUCKNS_bf1u/view?usp=sharing" TargetMode="External"/><Relationship Id="rId1371" Type="http://schemas.openxmlformats.org/officeDocument/2006/relationships/hyperlink" Target="https://drive.google.com/drive/folders/1XzaUlyW6n3jsUztaFbQaD4DkBuhV9Ajt?usp=drive_link" TargetMode="External"/><Relationship Id="rId2422" Type="http://schemas.openxmlformats.org/officeDocument/2006/relationships/hyperlink" Target="https://drive.google.com/file/d/1HAc32cjYAFXHB3Tuv1hZmhYp0BHxwqGk/view?usp=sharing" TargetMode="External"/><Relationship Id="rId5992" Type="http://schemas.openxmlformats.org/officeDocument/2006/relationships/hyperlink" Target="https://www.vidio.com/live/19631-uefa-europa-league?schedule_id=4773541" TargetMode="External"/><Relationship Id="rId9035" Type="http://schemas.openxmlformats.org/officeDocument/2006/relationships/hyperlink" Target="https://drive.google.com/drive/folders/1W9Ci4wiQXTR4FG4CcDcHdXKUhq4rntoB?usp=sharing" TargetMode="External"/><Relationship Id="rId12016" Type="http://schemas.openxmlformats.org/officeDocument/2006/relationships/hyperlink" Target="https://drive.google.com/file/d/1GSUWpYS1bKMQHpDirkh41aNW22dfhpEf/view?usp=sharing" TargetMode="External"/><Relationship Id="rId1024" Type="http://schemas.openxmlformats.org/officeDocument/2006/relationships/hyperlink" Target="https://drive.google.com/file/d/1DmnbBDoS9xYtGa1qI4lLITKiXwJLbt3A/view?usp=sharing" TargetMode="External"/><Relationship Id="rId4594" Type="http://schemas.openxmlformats.org/officeDocument/2006/relationships/hyperlink" Target="https://drive.google.com/drive/folders/1uzUmowXK4cRHavhmAYE2jTDti7w41T3m?usp=drive_link" TargetMode="External"/><Relationship Id="rId5645" Type="http://schemas.openxmlformats.org/officeDocument/2006/relationships/hyperlink" Target="https://drive.google.com/file/d/1RyNBqD94EwEumCcpDiOfWjulLiYo0-Y3/view?usp=sharing" TargetMode="External"/><Relationship Id="rId3196" Type="http://schemas.openxmlformats.org/officeDocument/2006/relationships/hyperlink" Target="https://drive.google.com/drive/folders/1h-nUJ3H3vAkPNUXjacN2Ncw4v1U6uGyY" TargetMode="External"/><Relationship Id="rId4247" Type="http://schemas.openxmlformats.org/officeDocument/2006/relationships/hyperlink" Target="https://drive.google.com/file/d/1Ci6ePWJZGZQQP5zptn4Y7rbEYZhGRKeW/view?usp=sharing" TargetMode="External"/><Relationship Id="rId8868" Type="http://schemas.openxmlformats.org/officeDocument/2006/relationships/hyperlink" Target="https://drive.google.com/file/d/1PZ06m6GyLODBdN7fOuk3Y39RYO9Ne1At/view?usp=sharing" TargetMode="External"/><Relationship Id="rId9919" Type="http://schemas.openxmlformats.org/officeDocument/2006/relationships/hyperlink" Target="https://drive.google.com/file/d/1FrR_yHRAQsm1UpHUR59cqfW41s-u5fqO/view?usp=sharing" TargetMode="External"/><Relationship Id="rId10798" Type="http://schemas.openxmlformats.org/officeDocument/2006/relationships/hyperlink" Target="https://www.vidio.com/live/18250-hsbc-bwf-world-tour-finals-2025-group-stage-court-2?schedule_id=4782023" TargetMode="External"/><Relationship Id="rId11849" Type="http://schemas.openxmlformats.org/officeDocument/2006/relationships/hyperlink" Target="https://drive.google.com/file/d/1eJVJpUKAFNWxLxYTbZoZRYrCww0XILnT/view?usp=sharing" TargetMode="External"/><Relationship Id="rId1908" Type="http://schemas.openxmlformats.org/officeDocument/2006/relationships/hyperlink" Target="https://www.vidio.com/live/205-indosiar?schedule_id=4667503" TargetMode="External"/><Relationship Id="rId251" Type="http://schemas.openxmlformats.org/officeDocument/2006/relationships/hyperlink" Target="https://drive.google.com/drive/folders/1sZGf5yuH_fBVPDTL7h9T_9ghHYPO_VOB?usp=drive_link" TargetMode="External"/><Relationship Id="rId3330" Type="http://schemas.openxmlformats.org/officeDocument/2006/relationships/hyperlink" Target="https://drive.google.com/drive/folders/1kditXM982QiCIUGvIu_AHbX7JX47i-wV?usp=drive_link" TargetMode="External"/><Relationship Id="rId7951" Type="http://schemas.openxmlformats.org/officeDocument/2006/relationships/hyperlink" Target="https://drive.google.com/drive/folders/1WdJUE03PZlW1UUvkQabqVNr_X2s0Px6i?usp=drive_link" TargetMode="External"/><Relationship Id="rId10932" Type="http://schemas.openxmlformats.org/officeDocument/2006/relationships/hyperlink" Target="https://drive.google.com/file/d/1yff9OvDcVdP9hqaNzTWmkcckxp4OqCvY/view?usp=sharing" TargetMode="External"/><Relationship Id="rId6553" Type="http://schemas.openxmlformats.org/officeDocument/2006/relationships/hyperlink" Target="https://drive.google.com/file/d/1jPudxMspsxvwC9HQt_9AyMa8S-opj10X/view?usp=sharing" TargetMode="External"/><Relationship Id="rId7604" Type="http://schemas.openxmlformats.org/officeDocument/2006/relationships/hyperlink" Target="https://drive.google.com/drive/folders/1lcyXFiAPljwAQQRIh3Y9HRQV-semb5OS?usp=drive_link" TargetMode="External"/><Relationship Id="rId5155" Type="http://schemas.openxmlformats.org/officeDocument/2006/relationships/hyperlink" Target="https://drive.google.com/drive/folders/1d8RfZ3AxKm4vcq0d__doqb5lGvVI-NuD" TargetMode="External"/><Relationship Id="rId6206" Type="http://schemas.openxmlformats.org/officeDocument/2006/relationships/hyperlink" Target="https://drive.google.com/file/d/1pKUbjqW22y-eid4aH1YOcfJCTwlko571/view?usp=drive_link" TargetMode="External"/><Relationship Id="rId9776" Type="http://schemas.openxmlformats.org/officeDocument/2006/relationships/hyperlink" Target="https://drive.google.com/drive/folders/1lTNhEPDOFsTe7C828b0NZ1_c7-pX8HR5?usp=drive_link" TargetMode="External"/><Relationship Id="rId1765" Type="http://schemas.openxmlformats.org/officeDocument/2006/relationships/hyperlink" Target="https://drive.google.com/file/d/1-OoDMY-fZSop_2bCvt35GLn1yTU7H1fC/view?usp=sharing" TargetMode="External"/><Relationship Id="rId8378" Type="http://schemas.openxmlformats.org/officeDocument/2006/relationships/hyperlink" Target="https://drive.google.com/file/d/1-BLTjfsd63BoqlXp76TU9cH9omNNmG1z/view?usp=sharing" TargetMode="External"/><Relationship Id="rId9429" Type="http://schemas.openxmlformats.org/officeDocument/2006/relationships/hyperlink" Target="https://drive.google.com/file/d/1-aPdFdJvtu11XihRbWAttAU8D1hFfrRQ/view?usp=sharing" TargetMode="External"/><Relationship Id="rId11359" Type="http://schemas.openxmlformats.org/officeDocument/2006/relationships/hyperlink" Target="https://www.vidio.com/live/20106-top-youth-premier-league-perempat-final-dan-semifinal?schedule_id=4786447" TargetMode="External"/><Relationship Id="rId1418" Type="http://schemas.openxmlformats.org/officeDocument/2006/relationships/hyperlink" Target="https://www.vidio.com/live/19404-serie-a?schedule_id=4557262" TargetMode="External"/><Relationship Id="rId2816" Type="http://schemas.openxmlformats.org/officeDocument/2006/relationships/hyperlink" Target="https://drive.google.com/drive/folders/1cA9KxSRTjbGHfV97cQx2X2tYvii98MF_?usp=drive_link" TargetMode="External"/><Relationship Id="rId4988" Type="http://schemas.openxmlformats.org/officeDocument/2006/relationships/hyperlink" Target="https://www.vidio.com/live/17883-uefa-champions-league?schedule_id=4570943" TargetMode="External"/><Relationship Id="rId9910" Type="http://schemas.openxmlformats.org/officeDocument/2006/relationships/hyperlink" Target="https://drive.google.com/drive/folders/1NjxkRcIjx8ezIy61ZQe9xYNtrDjzTtYc" TargetMode="External"/><Relationship Id="rId11840" Type="http://schemas.openxmlformats.org/officeDocument/2006/relationships/hyperlink" Target="https://drive.google.com/file/d/1RvpVSYEuxwkTup3qpzOCOplWtOxx9WK3/view?usp=sharing" TargetMode="External"/><Relationship Id="rId6063" Type="http://schemas.openxmlformats.org/officeDocument/2006/relationships/hyperlink" Target="https://drive.google.com/file/d/1NaoM0W4TYV3v6cWnCZa9TniVa6mUniOw/view?usp=sharing" TargetMode="External"/><Relationship Id="rId7461" Type="http://schemas.openxmlformats.org/officeDocument/2006/relationships/hyperlink" Target="https://drive.google.com/file/d/1DNux4glLBnqI-DzUHKvsJVIQIe0fQ_QF/view?usp=sharing" TargetMode="External"/><Relationship Id="rId8512" Type="http://schemas.openxmlformats.org/officeDocument/2006/relationships/hyperlink" Target="https://www.vidio.com/live/19773-fa-cup-2025-26?schedule_id=4678559" TargetMode="External"/><Relationship Id="rId10442" Type="http://schemas.openxmlformats.org/officeDocument/2006/relationships/hyperlink" Target="https://drive.google.com/drive/folders/12wff3C4Ps6730AAmNJFjKCEqA2VjAN4U" TargetMode="External"/><Relationship Id="rId7114" Type="http://schemas.openxmlformats.org/officeDocument/2006/relationships/hyperlink" Target="https://drive.google.com/file/d/1xgUx9MomLhRxEiQN-je6aTWNbTliddXs/view?usp=drive_link" TargetMode="External"/><Relationship Id="rId992" Type="http://schemas.openxmlformats.org/officeDocument/2006/relationships/hyperlink" Target="https://drive.google.com/file/d/1nQn_g01vVlHFg1d5gB2fK2vvjpPUUYL2/view?usp=drive_link" TargetMode="External"/><Relationship Id="rId2673" Type="http://schemas.openxmlformats.org/officeDocument/2006/relationships/hyperlink" Target="https://www.vidio.com/live/6317-bein-3?schedule_id=4614511" TargetMode="External"/><Relationship Id="rId3724" Type="http://schemas.openxmlformats.org/officeDocument/2006/relationships/hyperlink" Target="https://drive.google.com/file/d/1_G8YSE6mXOOfeBD669T9J-6DgShBKyr0/view?usp=drive_link" TargetMode="External"/><Relationship Id="rId9286" Type="http://schemas.openxmlformats.org/officeDocument/2006/relationships/hyperlink" Target="https://drive.google.com/file/d/1bGAtWdCSL-v2iZg1GvRoYwXZwXVqVH3x/view?usp=drive_link" TargetMode="External"/><Relationship Id="rId12267" Type="http://schemas.openxmlformats.org/officeDocument/2006/relationships/hyperlink" Target="https://www.vidio.com/live/20275?schedule_id=4833871" TargetMode="External"/><Relationship Id="rId645" Type="http://schemas.openxmlformats.org/officeDocument/2006/relationships/hyperlink" Target="https://drive.google.com/file/d/17L91MLTy9htlj0UFV7mCTOgerulMW_3W/view?usp=sharing" TargetMode="External"/><Relationship Id="rId1275" Type="http://schemas.openxmlformats.org/officeDocument/2006/relationships/hyperlink" Target="https://drive.google.com/drive/folders/1DEIcntXCy0uEGo3rTDPUXcdYNlSX8Nqr?usp=drive_link" TargetMode="External"/><Relationship Id="rId2326" Type="http://schemas.openxmlformats.org/officeDocument/2006/relationships/hyperlink" Target="https://drive.google.com/file/d/1UsPJPsyFgfTvL29scMgeB5X55mVVDqtW/view?usp=sharing" TargetMode="External"/><Relationship Id="rId5896" Type="http://schemas.openxmlformats.org/officeDocument/2006/relationships/hyperlink" Target="https://drive.google.com/file/d/1CA0lec8QyrekAHTSZPAMtW0VU1VnsHLc/view?usp=sharing" TargetMode="External"/><Relationship Id="rId6947" Type="http://schemas.openxmlformats.org/officeDocument/2006/relationships/hyperlink" Target="https://drive.google.com/drive/folders/1DrC8qLJsnWpWI-tZeb27fP__uEuayVNN?usp=drive_link" TargetMode="External"/><Relationship Id="rId4498" Type="http://schemas.openxmlformats.org/officeDocument/2006/relationships/hyperlink" Target="https://drive.google.com/drive/folders/1DeJCScnPkkDeQ_R7vAEQkIx3Z9GGUNrT?usp=drive_link" TargetMode="External"/><Relationship Id="rId5549" Type="http://schemas.openxmlformats.org/officeDocument/2006/relationships/hyperlink" Target="https://drive.google.com/drive/folders/1v20ucpFD2fsGEb602719m-sa0FhGai-1?usp=drive_link" TargetMode="External"/><Relationship Id="rId9420" Type="http://schemas.openxmlformats.org/officeDocument/2006/relationships/hyperlink" Target="https://www.vidio.com/live/19543-pegadaian-championship-2025-26?schedule_id=4824483" TargetMode="External"/><Relationship Id="rId8022" Type="http://schemas.openxmlformats.org/officeDocument/2006/relationships/hyperlink" Target="https://drive.google.com/file/d/1P-NGg87KVOKMKMkBx3R5IaacAN8--rM9/view?usp=drive_link" TargetMode="External"/><Relationship Id="rId11350" Type="http://schemas.openxmlformats.org/officeDocument/2006/relationships/hyperlink" Target="https://www.vidio.com/live/20106-top-youth-premier-league-perempat-final-dan-semifinal" TargetMode="External"/><Relationship Id="rId12401" Type="http://schemas.openxmlformats.org/officeDocument/2006/relationships/hyperlink" Target="https://drive.google.com/file/d/1eYrHSZhFd95KyhXxrabgACyw4RU-iuHU/view?usp=sharing" TargetMode="External"/><Relationship Id="rId11003" Type="http://schemas.openxmlformats.org/officeDocument/2006/relationships/hyperlink" Target="https://thumbor.prod.vidiocdn.com/Dt1YsPZfIG8Fq_01WU9c80l0sYo=/filters:quality(70)/vidio-media-production/uploads/image/source/53150/273317.png" TargetMode="External"/><Relationship Id="rId3581" Type="http://schemas.openxmlformats.org/officeDocument/2006/relationships/hyperlink" Target="https://drive.google.com/drive/folders/1jJ3tkSsCpIjXohQU46tSRj6Jkgtc_-h9" TargetMode="External"/><Relationship Id="rId4632" Type="http://schemas.openxmlformats.org/officeDocument/2006/relationships/hyperlink" Target="https://drive.google.com/file/d/1r_bQpmkXeDP9vwpbddGMzG4RUXl_EBCi/view?usp=sharing" TargetMode="External"/><Relationship Id="rId2183" Type="http://schemas.openxmlformats.org/officeDocument/2006/relationships/hyperlink" Target="https://drive.google.com/drive/folders/13MsNklabmmr3EuohQQR1ZNnP-_ZfgiZD" TargetMode="External"/><Relationship Id="rId3234" Type="http://schemas.openxmlformats.org/officeDocument/2006/relationships/hyperlink" Target="https://www.vidio.com/live/6299-bein-1?schedule_id=4832295" TargetMode="External"/><Relationship Id="rId7855" Type="http://schemas.openxmlformats.org/officeDocument/2006/relationships/hyperlink" Target="https://drive.google.com/file/d/1rll9ulXbL4_WNG24vfRlmtECYKv-32h3/view?usp=drive_link" TargetMode="External"/><Relationship Id="rId8906" Type="http://schemas.openxmlformats.org/officeDocument/2006/relationships/hyperlink" Target="https://www.vidio.com/live/19541-pegadaian-championship-2025-26?schedule_id=4795167" TargetMode="External"/><Relationship Id="rId155" Type="http://schemas.openxmlformats.org/officeDocument/2006/relationships/hyperlink" Target="https://drive.google.com/drive/folders/1cE1PssAd1togoYQdCBL_3gZEGugaQ5f3?usp=drive_link" TargetMode="External"/><Relationship Id="rId6457" Type="http://schemas.openxmlformats.org/officeDocument/2006/relationships/hyperlink" Target="https://drive.google.com/file/d/1zHtbtz7ttSt46gCVztYDkh9q6gtwpynM/view?usp=sharing" TargetMode="External"/><Relationship Id="rId7508" Type="http://schemas.openxmlformats.org/officeDocument/2006/relationships/hyperlink" Target="https://drive.google.com/file/d/18dC9na09_KUZmu4fSAB_pyNO_HaKFVtO/view?usp=sharing" TargetMode="External"/><Relationship Id="rId10836" Type="http://schemas.openxmlformats.org/officeDocument/2006/relationships/hyperlink" Target="https://drive.google.com/file/d/1kWmbGVZDCuWO2mvA_fIN9yzCsbKOGbD1/view?usp=sharing" TargetMode="External"/><Relationship Id="rId5059" Type="http://schemas.openxmlformats.org/officeDocument/2006/relationships/hyperlink" Target="https://drive.google.com/file/d/1_PxOQGQeossiXWg1boEtEAR24JT0Slhg/view?usp=sharing" TargetMode="External"/><Relationship Id="rId1669" Type="http://schemas.openxmlformats.org/officeDocument/2006/relationships/hyperlink" Target="https://drive.google.com/file/d/1KcLEeDth7lbAUWfnrRJRIE61yKGUJZig/view?usp=drive_link" TargetMode="External"/><Relationship Id="rId3091" Type="http://schemas.openxmlformats.org/officeDocument/2006/relationships/hyperlink" Target="https://drive.google.com/file/d/1JzQwS-fI1Br_LqFayTlo0MF1G8FctD_o/view?usp=sharing" TargetMode="External"/><Relationship Id="rId4142" Type="http://schemas.openxmlformats.org/officeDocument/2006/relationships/hyperlink" Target="https://drive.google.com/file/d/1ap6l37W43fDkrUNUEzjPzIRD-7uRVTiU/view?usp=drive_link" TargetMode="External"/><Relationship Id="rId5540" Type="http://schemas.openxmlformats.org/officeDocument/2006/relationships/hyperlink" Target="https://drive.google.com/file/d/1x4ElFXjmWwf1IXzLzFV_2ma-lc_sAzwT/view?usp=sharing" TargetMode="External"/><Relationship Id="rId8763" Type="http://schemas.openxmlformats.org/officeDocument/2006/relationships/hyperlink" Target="https://drive.google.com/file/d/1m80niy4RggwLJmqaxZyMbAqq6pZxLhWq/view?usp=sharing" TargetMode="External"/><Relationship Id="rId9814" Type="http://schemas.openxmlformats.org/officeDocument/2006/relationships/hyperlink" Target="https://drive.google.com/file/d/1bGAtWdCSL-v2iZg1GvRoYwXZwXVqVH3x/view?usp=sharing" TargetMode="External"/><Relationship Id="rId10693" Type="http://schemas.openxmlformats.org/officeDocument/2006/relationships/hyperlink" Target="https://drive.google.com/file/d/13ttEnfwztxpJF33y8W6ycmGRKpotXgE4/view?usp=sharing" TargetMode="External"/><Relationship Id="rId11744" Type="http://schemas.openxmlformats.org/officeDocument/2006/relationships/hyperlink" Target="https://drive.google.com/file/d/14xnt8IVE_N3DTAp9HMMG8DT6xVgVYelu/view?usp=sharing" TargetMode="External"/><Relationship Id="rId28" Type="http://schemas.openxmlformats.org/officeDocument/2006/relationships/hyperlink" Target="https://www.vidio.com/live/6685-champions-tv-1?schedule_id=4194583" TargetMode="External"/><Relationship Id="rId1803" Type="http://schemas.openxmlformats.org/officeDocument/2006/relationships/hyperlink" Target="https://drive.google.com/drive/folders/1ysx7nv98nKYOLD0M9Bl3paZWisfom3vx" TargetMode="External"/><Relationship Id="rId7365" Type="http://schemas.openxmlformats.org/officeDocument/2006/relationships/hyperlink" Target="https://www.vidio.com/live/19436-eredivisie?schedule_id=4614724" TargetMode="External"/><Relationship Id="rId8416" Type="http://schemas.openxmlformats.org/officeDocument/2006/relationships/hyperlink" Target="https://thumbor.prod.vidiocdn.com/gbFC2Ld0wJgXeagYXhrIKB323bo=/filters:quality(70)/vidio-media-production/uploads/image/source/52064/11eb57.png" TargetMode="External"/><Relationship Id="rId10346" Type="http://schemas.openxmlformats.org/officeDocument/2006/relationships/hyperlink" Target="https://drive.google.com/drive/folders/1wItNzZgKeZUL9zGbCQABqXKfKivIb5dZ" TargetMode="External"/><Relationship Id="rId3975" Type="http://schemas.openxmlformats.org/officeDocument/2006/relationships/hyperlink" Target="https://drive.google.com/drive/folders/1NepG6XT-FSa8Cs07sX3tPfQWLNpJfAxp" TargetMode="External"/><Relationship Id="rId7018" Type="http://schemas.openxmlformats.org/officeDocument/2006/relationships/hyperlink" Target="https://drive.google.com/file/d/1-DGvXwxNRy8llsnncjhdW1-0DctjYZ8I/view?usp=drive_link" TargetMode="External"/><Relationship Id="rId896" Type="http://schemas.openxmlformats.org/officeDocument/2006/relationships/hyperlink" Target="https://drive.google.com/drive/folders/1OYaFEHUPP6WozxKecPCD55NZAI71A2Pz?usp=drive_link" TargetMode="External"/><Relationship Id="rId2577" Type="http://schemas.openxmlformats.org/officeDocument/2006/relationships/hyperlink" Target="https://drive.google.com/file/d/1TM19GTq6RwQvuEr8nKD4vZbpiDjDqZHk/view?usp=sharing" TargetMode="External"/><Relationship Id="rId3628" Type="http://schemas.openxmlformats.org/officeDocument/2006/relationships/hyperlink" Target="https://drive.google.com/file/d/1QfQzbJcfkM9L1rwLDpm6HFmx9OWjvKW7/view?usp=sharing" TargetMode="External"/><Relationship Id="rId549" Type="http://schemas.openxmlformats.org/officeDocument/2006/relationships/hyperlink" Target="https://drive.google.com/drive/folders/1nv_aj8ZjfP-ZBe3fpOpAwiYQmQNgwXOn?usp=drive_link" TargetMode="External"/><Relationship Id="rId1179" Type="http://schemas.openxmlformats.org/officeDocument/2006/relationships/hyperlink" Target="https://drive.google.com/file/d/1rYzgOuzzVnVHo-1UF27a4lae_WMSsva6/view?usp=sharing" TargetMode="External"/><Relationship Id="rId5050" Type="http://schemas.openxmlformats.org/officeDocument/2006/relationships/hyperlink" Target="https://drive.google.com/drive/folders/1ynoFxQpzCFWC6-HdNazCjNlCPPTVZGPh" TargetMode="External"/><Relationship Id="rId6101" Type="http://schemas.openxmlformats.org/officeDocument/2006/relationships/hyperlink" Target="https://drive.google.com/file/d/1jWOl9Vp1ePBMv4hR0OsLkVbOw1cFYti2/view?usp=sharing" TargetMode="External"/><Relationship Id="rId8273" Type="http://schemas.openxmlformats.org/officeDocument/2006/relationships/hyperlink" Target="https://drive.google.com/file/d/1DNux4glLBnqI-DzUHKvsJVIQIe0fQ_QF/view?usp=sharing" TargetMode="External"/><Relationship Id="rId9671" Type="http://schemas.openxmlformats.org/officeDocument/2006/relationships/hyperlink" Target="https://drive.google.com/drive/folders/115LAaN-77IyQkxAvDWKkzmaIg4vTCk_d" TargetMode="External"/><Relationship Id="rId1660" Type="http://schemas.openxmlformats.org/officeDocument/2006/relationships/hyperlink" Target="https://drive.google.com/drive/folders/1MfSnQIhd9gXMICmCBRJSXYqjO1xvfX2J" TargetMode="External"/><Relationship Id="rId2711" Type="http://schemas.openxmlformats.org/officeDocument/2006/relationships/hyperlink" Target="https://www.vidio.com/live/6317-bein-3?schedule_id=4655970" TargetMode="External"/><Relationship Id="rId9324" Type="http://schemas.openxmlformats.org/officeDocument/2006/relationships/hyperlink" Target="https://drive.google.com/file/d/18mQyDdT2fyILoKBn2DCAW8ALn2c2M1Bz/view?usp=sharing" TargetMode="External"/><Relationship Id="rId11254" Type="http://schemas.openxmlformats.org/officeDocument/2006/relationships/hyperlink" Target="https://drive.google.com/file/d/1jPZlO0JliTfhnghfwH0LQt9R9RhD-NH5/view?usp=sharing" TargetMode="External"/><Relationship Id="rId12305" Type="http://schemas.openxmlformats.org/officeDocument/2006/relationships/hyperlink" Target="https://www.vidio.com/live/20280?schedule_id=4833897" TargetMode="External"/><Relationship Id="rId1313" Type="http://schemas.openxmlformats.org/officeDocument/2006/relationships/hyperlink" Target="https://drive.google.com/drive/folders/1LuxZ_sFvW4OpHLHwr_N1EPpdItPfXoCI?usp=drive_link" TargetMode="External"/><Relationship Id="rId4883" Type="http://schemas.openxmlformats.org/officeDocument/2006/relationships/hyperlink" Target="https://thumbor.prod.vidiocdn.com/SWMFiUxkHBY7Y9GBJ_oCrU25x7s=/filters:quality(70)/vidio-media-production/uploads/image/source/52798/fd78cc.png" TargetMode="External"/><Relationship Id="rId5934" Type="http://schemas.openxmlformats.org/officeDocument/2006/relationships/hyperlink" Target="https://drive.google.com/drive/folders/1pYi5qIT6QdvkfDRfWH0qsk97hfAPMoyN?usp=drive_link" TargetMode="External"/><Relationship Id="rId3485" Type="http://schemas.openxmlformats.org/officeDocument/2006/relationships/hyperlink" Target="https://drive.google.com/file/d/1O4Z564O30I-M5FiQc7ezx1pV0AcLT4J3/view?usp=sharing" TargetMode="External"/><Relationship Id="rId4536" Type="http://schemas.openxmlformats.org/officeDocument/2006/relationships/hyperlink" Target="https://drive.google.com/file/d/1icfwn5FLhm4I3Nikt7PEry28488uOzyZ/view?usp=sharing" TargetMode="External"/><Relationship Id="rId2087" Type="http://schemas.openxmlformats.org/officeDocument/2006/relationships/hyperlink" Target="https://drive.google.com/drive/folders/1dF15mFfwpWttW8COgX-sJ8Ruo8hVscXe" TargetMode="External"/><Relationship Id="rId3138" Type="http://schemas.openxmlformats.org/officeDocument/2006/relationships/hyperlink" Target="https://www.vidio.com/live/6299-bein-1?schedule_id=4783089" TargetMode="External"/><Relationship Id="rId7759" Type="http://schemas.openxmlformats.org/officeDocument/2006/relationships/hyperlink" Target="https://www.vidio.com/live/6686-champions-tv-2?schedule_id=4675257" TargetMode="External"/><Relationship Id="rId9181" Type="http://schemas.openxmlformats.org/officeDocument/2006/relationships/hyperlink" Target="https://drive.google.com/drive/folders/1NepG6XT-FSa8Cs07sX3tPfQWLNpJfAxp" TargetMode="External"/><Relationship Id="rId540" Type="http://schemas.openxmlformats.org/officeDocument/2006/relationships/hyperlink" Target="https://drive.google.com/file/d/1m2KoR7gZnfZCTARAMvnizTRaeh81SE4S/view?usp=sharing" TargetMode="External"/><Relationship Id="rId1170" Type="http://schemas.openxmlformats.org/officeDocument/2006/relationships/hyperlink" Target="https://www.vidio.com/live/9182-champions-tv-5?schedule_id=4802200" TargetMode="External"/><Relationship Id="rId2221" Type="http://schemas.openxmlformats.org/officeDocument/2006/relationships/hyperlink" Target="https://drive.google.com/drive/u/0/folders/1hSaY3dofjwAeySWI9d4rZA0U2ffQqQFE" TargetMode="External"/><Relationship Id="rId12162" Type="http://schemas.openxmlformats.org/officeDocument/2006/relationships/hyperlink" Target="https://drive.google.com/file/d/17nqJ8YbOWxi4DOQmMA4_VvY1qMuE4tM4/view?usp=sharing" TargetMode="External"/><Relationship Id="rId5791" Type="http://schemas.openxmlformats.org/officeDocument/2006/relationships/hyperlink" Target="https://drive.google.com/file/d/1cKJLuHFIAeSdc5u1n_XgAl-VD1gC9fb5/view?usp=drive_link" TargetMode="External"/><Relationship Id="rId6842" Type="http://schemas.openxmlformats.org/officeDocument/2006/relationships/hyperlink" Target="https://drive.google.com/drive/folders/1ucNoaH6qaYCBmETyhLgQ5RaF6B8eqX2W?usp=drive_link" TargetMode="External"/><Relationship Id="rId4393" Type="http://schemas.openxmlformats.org/officeDocument/2006/relationships/hyperlink" Target="https://drive.google.com/file/d/18NThv5YEDw6RsKuNgPw03jDTVrUZnDo2/view?usp=sharing" TargetMode="External"/><Relationship Id="rId5444" Type="http://schemas.openxmlformats.org/officeDocument/2006/relationships/hyperlink" Target="https://drive.google.com/drive/u/0/folders/1BnksESw8ItDWqRuXCBigl23ILgCz-FMb" TargetMode="External"/><Relationship Id="rId11995" Type="http://schemas.openxmlformats.org/officeDocument/2006/relationships/hyperlink" Target="https://drive.google.com/drive/folders/10yZ6W25MsH1Gazyf6erLQ6feN5lXYViD" TargetMode="External"/><Relationship Id="rId4046" Type="http://schemas.openxmlformats.org/officeDocument/2006/relationships/hyperlink" Target="https://drive.google.com/file/d/1_b-6OwUzVvteNZZ4AK07D6bbvXEgCG3j/view?usp=sharing" TargetMode="External"/><Relationship Id="rId8667" Type="http://schemas.openxmlformats.org/officeDocument/2006/relationships/hyperlink" Target="https://www.vidio.com/live/17140-spotv-2?schedule_id=4674576" TargetMode="External"/><Relationship Id="rId9718" Type="http://schemas.openxmlformats.org/officeDocument/2006/relationships/hyperlink" Target="https://drive.google.com/file/d/10rtusC4m42setKdn-T2E7CHw0jeDM5uk/view?usp=sharing" TargetMode="External"/><Relationship Id="rId10597" Type="http://schemas.openxmlformats.org/officeDocument/2006/relationships/hyperlink" Target="https://drive.google.com/file/d/11HglbcbXfs_ZFwfvLzr4zEd4_IExFFEQ/view?usp=sharing" TargetMode="External"/><Relationship Id="rId11648" Type="http://schemas.openxmlformats.org/officeDocument/2006/relationships/hyperlink" Target="https://drive.google.com/file/d/1BQS3wJVnQUNgrsdp_8uNPmzd21JBdiOf/view?usp=sharing" TargetMode="External"/><Relationship Id="rId1707" Type="http://schemas.openxmlformats.org/officeDocument/2006/relationships/hyperlink" Target="https://drive.google.com/drive/folders/1lxrQ5Dn97NCWd13KAEvwIUiQ2q4Vfv-J" TargetMode="External"/><Relationship Id="rId7269" Type="http://schemas.openxmlformats.org/officeDocument/2006/relationships/hyperlink" Target="https://drive.google.com/drive/folders/1bWfzcMmjC0V4KvWsSKxt4DyGm1MSjpej?usp=drive_link" TargetMode="External"/><Relationship Id="rId3879" Type="http://schemas.openxmlformats.org/officeDocument/2006/relationships/hyperlink" Target="https://drive.google.com/file/d/1ivY1oX8_wjJyYhCRrGvRwQMapZN1OtpQ/view?usp=sharing" TargetMode="External"/><Relationship Id="rId6352" Type="http://schemas.openxmlformats.org/officeDocument/2006/relationships/hyperlink" Target="https://drive.google.com/drive/folders/184ZF6lxub2LE5MtqmtSasfQge7Z8_mdh" TargetMode="External"/><Relationship Id="rId7750" Type="http://schemas.openxmlformats.org/officeDocument/2006/relationships/hyperlink" Target="https://drive.google.com/file/d/1Qy1Vsx4DieqZBEC9Id9Owc5SHzxTgPnL/view?usp=sharing" TargetMode="External"/><Relationship Id="rId8801" Type="http://schemas.openxmlformats.org/officeDocument/2006/relationships/hyperlink" Target="https://drive.google.com/file/d/18RbrmUoJ9cfBvs6TChmpDYKyohZAMHiC/view?usp=sharing" TargetMode="External"/><Relationship Id="rId10731" Type="http://schemas.openxmlformats.org/officeDocument/2006/relationships/hyperlink" Target="https://thumbor.prod.vidiocdn.com/CVg9kKGcV6BEES2Z2L-886ulQG4=/filters:quality(70)/vidio-media-production/uploads/image/source/52083/5db10c.png" TargetMode="External"/><Relationship Id="rId6005" Type="http://schemas.openxmlformats.org/officeDocument/2006/relationships/hyperlink" Target="https://drive.google.com/file/d/1nPenlW8vOx5HgoSevqsOG1Hv5dAQ8UbB/view?usp=sharing" TargetMode="External"/><Relationship Id="rId7403" Type="http://schemas.openxmlformats.org/officeDocument/2006/relationships/hyperlink" Target="https://drive.google.com/file/d/1cNGZJ2Di2k9upjW6QW3nUK4SNS4SrJ7x/view?usp=sharing" TargetMode="External"/><Relationship Id="rId2962" Type="http://schemas.openxmlformats.org/officeDocument/2006/relationships/hyperlink" Target="https://drive.google.com/file/d/1EBIUOicPOqkFn3FUl0Bi7EcOlNZ_RWi7/view?usp=sharing" TargetMode="External"/><Relationship Id="rId9575" Type="http://schemas.openxmlformats.org/officeDocument/2006/relationships/hyperlink" Target="https://www.vidio.com/live/6299-bein-1?schedule_id=4733788" TargetMode="External"/><Relationship Id="rId934" Type="http://schemas.openxmlformats.org/officeDocument/2006/relationships/hyperlink" Target="https://drive.google.com/file/d/17tPCee6fFdXU-hzRWEfM6BMfVnMOp41a/view?usp=sharing" TargetMode="External"/><Relationship Id="rId1564" Type="http://schemas.openxmlformats.org/officeDocument/2006/relationships/hyperlink" Target="https://drive.google.com/drive/folders/1Ct8A8gjkdaJ-sEFUB_JwaxL4uuEs8CvQ" TargetMode="External"/><Relationship Id="rId2615" Type="http://schemas.openxmlformats.org/officeDocument/2006/relationships/hyperlink" Target="https://drive.google.com/file/d/1CLCUiAKmxXyDFbVUcD21e6lF77NeKwcg/view?usp=drive_link" TargetMode="External"/><Relationship Id="rId8177" Type="http://schemas.openxmlformats.org/officeDocument/2006/relationships/hyperlink" Target="https://drive.google.com/file/d/1PyhUTIJ6AKLQOZOuETBY9rY0oUQjSCwY/view?usp=sharing" TargetMode="External"/><Relationship Id="rId9228" Type="http://schemas.openxmlformats.org/officeDocument/2006/relationships/hyperlink" Target="https://www.vidio.com/live/19810-top-soccer-championship-2025-u-15?schedule_id=4708366" TargetMode="External"/><Relationship Id="rId11158" Type="http://schemas.openxmlformats.org/officeDocument/2006/relationships/hyperlink" Target="https://www.vidio.com/live/18249-hsbc-bwf-world-tour-finals-2025-group-stage-court-1?schedule_id=4784597" TargetMode="External"/><Relationship Id="rId12209" Type="http://schemas.openxmlformats.org/officeDocument/2006/relationships/hyperlink" Target="https://drive.google.com/file/d/17nqJ8YbOWxi4DOQmMA4_VvY1qMuE4tM4/view?usp=drive_link" TargetMode="External"/><Relationship Id="rId1217" Type="http://schemas.openxmlformats.org/officeDocument/2006/relationships/hyperlink" Target="https://www.vidio.com/live/9183-champions-tv-6?schedule_id=4802195" TargetMode="External"/><Relationship Id="rId4787" Type="http://schemas.openxmlformats.org/officeDocument/2006/relationships/hyperlink" Target="https://thumbor.prod.vidiocdn.com/DoHQBaIad5YoD6CR1c3eVMMTsQw=/filters:quality(70)/vidio-media-production/uploads/image/source/52697/f1fda1.png" TargetMode="External"/><Relationship Id="rId5838" Type="http://schemas.openxmlformats.org/officeDocument/2006/relationships/hyperlink" Target="https://drive.google.com/drive/folders/1kqVb2l8T5L-qMKlhf3ZL607Ebsb1a3_I?usp=drive_link" TargetMode="External"/><Relationship Id="rId3389" Type="http://schemas.openxmlformats.org/officeDocument/2006/relationships/hyperlink" Target="https://drive.google.com/file/d/16hDFCxrcDTWayQWzOYb3BC6bFFH5gRw9/view?usp=sharing" TargetMode="External"/><Relationship Id="rId7260" Type="http://schemas.openxmlformats.org/officeDocument/2006/relationships/hyperlink" Target="https://drive.google.com/file/d/1s9r9Rwzqa9WE2b-3CdXFvRRdZw43kdhS/view?usp=drive_link" TargetMode="External"/><Relationship Id="rId8311" Type="http://schemas.openxmlformats.org/officeDocument/2006/relationships/hyperlink" Target="https://drive.google.com/file/d/1eII7mPKlDnq_0-_uXUt8MnxxuBISKV2M/view?usp=sharing" TargetMode="External"/><Relationship Id="rId10241" Type="http://schemas.openxmlformats.org/officeDocument/2006/relationships/hyperlink" Target="https://drive.google.com/file/d/1XaV0tyhHXHjjMpchV6GOm72CYWbOzQ2v/view?usp=sharing" TargetMode="External"/><Relationship Id="rId3870" Type="http://schemas.openxmlformats.org/officeDocument/2006/relationships/hyperlink" Target="https://thumbor.prod.vidiocdn.com/nKb4IK1kugZymS-_h2UYz5Zwa4w=/filters:quality(70)/vidio-media-production/uploads/image/source/52322/b6d186.png" TargetMode="External"/><Relationship Id="rId4921" Type="http://schemas.openxmlformats.org/officeDocument/2006/relationships/hyperlink" Target="https://thumbor.prod.vidiocdn.com/Pjwo79g5ETHDnkCxVOleZ812Q_U=/filters:quality(70)/vidio-media-production/uploads/image/source/53016/e58fd4.png" TargetMode="External"/><Relationship Id="rId9085" Type="http://schemas.openxmlformats.org/officeDocument/2006/relationships/hyperlink" Target="https://drive.google.com/drive/folders/1hQvdUgB_nEnGXHuwj6WsEQE9g4Qhb4tu?usp=drive_link" TargetMode="External"/><Relationship Id="rId791" Type="http://schemas.openxmlformats.org/officeDocument/2006/relationships/hyperlink" Target="https://drive.google.com/file/d/171_WFC31lI43ArS0uBbIvFID4nsQdjtO/view?usp=sharing" TargetMode="External"/><Relationship Id="rId1074" Type="http://schemas.openxmlformats.org/officeDocument/2006/relationships/hyperlink" Target="https://drive.google.com/drive/folders/19qe_2Pn9W0dqzBF_LGxBO33TYmp8WKmu?usp=drive_link" TargetMode="External"/><Relationship Id="rId2472" Type="http://schemas.openxmlformats.org/officeDocument/2006/relationships/hyperlink" Target="https://drive.google.com/file/d/1fLax61ljaN4wztYtC0LYeHTTn7m1OGkO/view?usp=drive_link" TargetMode="External"/><Relationship Id="rId3523" Type="http://schemas.openxmlformats.org/officeDocument/2006/relationships/hyperlink" Target="https://www.vidio.com/live/6686-champions-tv-2?schedule_id=4676978" TargetMode="External"/><Relationship Id="rId12066" Type="http://schemas.openxmlformats.org/officeDocument/2006/relationships/hyperlink" Target="https://www.vidio.com/live/18250-petronas-malaysia-open-2026-round-of-16-court-2?schedule_id=4832340" TargetMode="External"/><Relationship Id="rId444" Type="http://schemas.openxmlformats.org/officeDocument/2006/relationships/hyperlink" Target="https://drive.google.com/file/d/1kOKTxn-i_WDGmuU7O3dLQ7yM8j7CX_o4/view?usp=sharing" TargetMode="External"/><Relationship Id="rId2125" Type="http://schemas.openxmlformats.org/officeDocument/2006/relationships/hyperlink" Target="https://drive.google.com/file/d/1atEV31msZ8AEZHhjhOEBlGawSniyxGwh/view?usp=sharing" TargetMode="External"/><Relationship Id="rId5695" Type="http://schemas.openxmlformats.org/officeDocument/2006/relationships/hyperlink" Target="https://drive.google.com/file/d/1IUB3mNkkJpP2YomZOijdtFkZPghGnWXc/view?usp=sharing" TargetMode="External"/><Relationship Id="rId6746" Type="http://schemas.openxmlformats.org/officeDocument/2006/relationships/hyperlink" Target="https://drive.google.com/file/d/1DNux4glLBnqI-DzUHKvsJVIQIe0fQ_QF/view?usp=sharing" TargetMode="External"/><Relationship Id="rId4297" Type="http://schemas.openxmlformats.org/officeDocument/2006/relationships/hyperlink" Target="https://www.vidio.com/live/19404-serie-a?schedule_id=4667522" TargetMode="External"/><Relationship Id="rId5348" Type="http://schemas.openxmlformats.org/officeDocument/2006/relationships/hyperlink" Target="https://www.vidio.com/live/17883-uefa-champions-league?schedule_id=4733521" TargetMode="External"/><Relationship Id="rId9969" Type="http://schemas.openxmlformats.org/officeDocument/2006/relationships/hyperlink" Target="https://drive.google.com/drive/folders/142pK1m1bYZwRg6rb6aR7SCztX2m9sKo3?usp=drive_link" TargetMode="External"/><Relationship Id="rId12200" Type="http://schemas.openxmlformats.org/officeDocument/2006/relationships/hyperlink" Target="https://www.vidio.com/live/20269-liga-topskor-greater-jakarta-pekan-pertama-u-14-lapangan-kedung-halang?schedule_id=4833855" TargetMode="External"/><Relationship Id="rId11899" Type="http://schemas.openxmlformats.org/officeDocument/2006/relationships/hyperlink" Target="https://drive.google.com/drive/folders/1gqnmBiDc9HaK7fTi5sC9yJeePuPZJkd8?usp=drive_link" TargetMode="External"/><Relationship Id="rId1958" Type="http://schemas.openxmlformats.org/officeDocument/2006/relationships/hyperlink" Target="https://drive.google.com/file/d/1AqN9b__mH1GoS-xJUeiUkomI_f1jGRxP/view?usp=sharing" TargetMode="External"/><Relationship Id="rId3380" Type="http://schemas.openxmlformats.org/officeDocument/2006/relationships/hyperlink" Target="https://drive.google.com/file/d/12PViT-A4OhISVS9HJznchBP4kdjdDFsW/view?usp=sharing" TargetMode="External"/><Relationship Id="rId4431" Type="http://schemas.openxmlformats.org/officeDocument/2006/relationships/hyperlink" Target="https://drive.google.com/drive/folders/1XoIyQLsKq_Bzh99B08_RguIViP5W_NPu?usp=drive_link" TargetMode="External"/><Relationship Id="rId3033" Type="http://schemas.openxmlformats.org/officeDocument/2006/relationships/hyperlink" Target="https://drive.google.com/file/d/1K3qBlsPWbh9DdKn5ZlQgRsQ4zYJAO5wQ/view?usp=drive_link" TargetMode="External"/><Relationship Id="rId10982" Type="http://schemas.openxmlformats.org/officeDocument/2006/relationships/hyperlink" Target="https://drive.google.com/drive/folders/1_Cqo48p-rMhfGSPJNUCcTIhAiQjaV36j?usp=drive_link" TargetMode="External"/><Relationship Id="rId7654" Type="http://schemas.openxmlformats.org/officeDocument/2006/relationships/hyperlink" Target="https://drive.google.com/file/d/1hN3aMlNxhYh0hu7kqmVU7538t8jCHso0/view?usp=sharing" TargetMode="External"/><Relationship Id="rId8705" Type="http://schemas.openxmlformats.org/officeDocument/2006/relationships/hyperlink" Target="https://drive.google.com/drive/folders/18D4p7q-Pa5CK3xI3OXVjLAkHhojdCzhC" TargetMode="External"/><Relationship Id="rId10635" Type="http://schemas.openxmlformats.org/officeDocument/2006/relationships/hyperlink" Target="https://www.vidio.com/live/20067-top-youth-premier-league-pekan-ke-15?schedule_id=4776347" TargetMode="External"/><Relationship Id="rId6256" Type="http://schemas.openxmlformats.org/officeDocument/2006/relationships/hyperlink" Target="https://drive.google.com/drive/folders/1vjOA9E-jOlhsRSh5NE7jSpcmcR5v41-E" TargetMode="External"/><Relationship Id="rId7307" Type="http://schemas.openxmlformats.org/officeDocument/2006/relationships/hyperlink" Target="https://drive.google.com/file/d/1sBse1z4RTaMg83QoR-Pq-CnetBpc4AeW/view?usp=sharing" TargetMode="External"/><Relationship Id="rId2866" Type="http://schemas.openxmlformats.org/officeDocument/2006/relationships/hyperlink" Target="https://drive.google.com/drive/folders/1lqaCFehlC3mT1a3kleLZI1FHh089Y7dK?usp=drive_link" TargetMode="External"/><Relationship Id="rId3917" Type="http://schemas.openxmlformats.org/officeDocument/2006/relationships/hyperlink" Target="https://drive.google.com/drive/folders/1gkiq53GntaCMcKh65BRT_TClyMS56qou" TargetMode="External"/><Relationship Id="rId9479" Type="http://schemas.openxmlformats.org/officeDocument/2006/relationships/hyperlink" Target="https://drive.google.com/drive/folders/1l2LG0AUligoRL6vgm4qB-4k_xexw9tad?usp=sharing" TargetMode="External"/><Relationship Id="rId838" Type="http://schemas.openxmlformats.org/officeDocument/2006/relationships/hyperlink" Target="https://drive.google.com/file/d/1so5NYLRXvQZXR7G-axh1yhrzIU8PnARP/view?usp=sharing" TargetMode="External"/><Relationship Id="rId1468" Type="http://schemas.openxmlformats.org/officeDocument/2006/relationships/hyperlink" Target="https://www.vidio.com/live/19354-bri-super-league?schedule_id=4488293" TargetMode="External"/><Relationship Id="rId2519" Type="http://schemas.openxmlformats.org/officeDocument/2006/relationships/hyperlink" Target="https://drive.google.com/file/d/1nQAsFJCr7IEjrvNSVBRiSCsr7pEo37Qe/view?usp=sharing" TargetMode="External"/><Relationship Id="rId8562" Type="http://schemas.openxmlformats.org/officeDocument/2006/relationships/hyperlink" Target="https://drive.google.com/drive/folders/1waUvrGvdnLxozBiDnpf1PDYnkR7bB0j3" TargetMode="External"/><Relationship Id="rId9960" Type="http://schemas.openxmlformats.org/officeDocument/2006/relationships/hyperlink" Target="https://drive.google.com/file/d/1z2lfpz28EGZxCZFQI0usun0ISxQ4ZFEC/view?usp=sharing" TargetMode="External"/><Relationship Id="rId11890" Type="http://schemas.openxmlformats.org/officeDocument/2006/relationships/hyperlink" Target="https://drive.google.com/drive/folders/1TYXj5i7Ik4SNEitV7mHoBo1u6CAR_kAQ?usp=drive_link" TargetMode="External"/><Relationship Id="rId7164" Type="http://schemas.openxmlformats.org/officeDocument/2006/relationships/hyperlink" Target="https://www.vidio.com/live/19556-top-youth-premier-league-2025-matchday-3" TargetMode="External"/><Relationship Id="rId8215" Type="http://schemas.openxmlformats.org/officeDocument/2006/relationships/hyperlink" Target="https://drive.google.com/file/d/1n1YCWd0qsrZ5vpgqzQyyNvIUvqxs-yFZ/view?usp=sharing" TargetMode="External"/><Relationship Id="rId9613" Type="http://schemas.openxmlformats.org/officeDocument/2006/relationships/hyperlink" Target="https://drive.google.com/file/d/1VBhh6ODfOuTidisa-hE5nJs3mggeZ2od/view?usp=sharing" TargetMode="External"/><Relationship Id="rId10492" Type="http://schemas.openxmlformats.org/officeDocument/2006/relationships/hyperlink" Target="https://drive.google.com/drive/folders/1NepG6XT-FSa8Cs07sX3tPfQWLNpJfAxp" TargetMode="External"/><Relationship Id="rId11543" Type="http://schemas.openxmlformats.org/officeDocument/2006/relationships/hyperlink" Target="https://drive.google.com/drive/folders/1auDTntcAhOXTVvfM_HKdig60ftIxxRhT" TargetMode="External"/><Relationship Id="rId1602" Type="http://schemas.openxmlformats.org/officeDocument/2006/relationships/hyperlink" Target="https://drive.google.com/file/d/1_dPCrkyUG4eLivIqef6EqUlcnG4c6N-f/view?usp=drive_link" TargetMode="External"/><Relationship Id="rId10145" Type="http://schemas.openxmlformats.org/officeDocument/2006/relationships/hyperlink" Target="https://drive.google.com/drive/folders/1w08T4FxWiZyiWW32WdKm_o8aIv88HSST?usp=sharing" TargetMode="External"/><Relationship Id="rId3774" Type="http://schemas.openxmlformats.org/officeDocument/2006/relationships/hyperlink" Target="https://drive.google.com/file/d/13yTq9h_a7gXqTFcKqKlYG-ZWGLzYrT8V/view?usp=sharing" TargetMode="External"/><Relationship Id="rId4825" Type="http://schemas.openxmlformats.org/officeDocument/2006/relationships/hyperlink" Target="https://www.vidio.com/live/19404-serie-a?schedule_id=4825573" TargetMode="External"/><Relationship Id="rId695" Type="http://schemas.openxmlformats.org/officeDocument/2006/relationships/hyperlink" Target="https://drive.google.com/file/d/1-ZkYdl0BdgZt0eFgshlDTC4kFk4vP3eH/view?usp=sharing" TargetMode="External"/><Relationship Id="rId2376" Type="http://schemas.openxmlformats.org/officeDocument/2006/relationships/hyperlink" Target="https://drive.google.com/file/d/1NgIT91V3v45B4cU_98yJpcY58RUY80jq/view?usp=sharing" TargetMode="External"/><Relationship Id="rId3427" Type="http://schemas.openxmlformats.org/officeDocument/2006/relationships/hyperlink" Target="https://drive.google.com/drive/folders/1ZnBlExIc16jpQRJ5yiF_rjC2Vw5bQFo5?usp=drive_link" TargetMode="External"/><Relationship Id="rId6997" Type="http://schemas.openxmlformats.org/officeDocument/2006/relationships/hyperlink" Target="https://drive.google.com/file/d/1fazwok06JuaP03nwp21aRQr17ApbsZqt/view?usp=drive_link" TargetMode="External"/><Relationship Id="rId348" Type="http://schemas.openxmlformats.org/officeDocument/2006/relationships/hyperlink" Target="https://drive.google.com/file/d/13OgJiD2oTqnlX-e-OwvVI3aOEvCQne4e/view?usp=drive_link" TargetMode="External"/><Relationship Id="rId2029" Type="http://schemas.openxmlformats.org/officeDocument/2006/relationships/hyperlink" Target="https://drive.google.com/file/d/1ZHIj_YrEhvtsN4b4ZW1_ATzD0v7mO6mg/view?usp=sharing" TargetMode="External"/><Relationship Id="rId5599" Type="http://schemas.openxmlformats.org/officeDocument/2006/relationships/hyperlink" Target="https://drive.google.com/drive/folders/1VwBLpvcKE_lCwXQhkF5JknkbYzK-2y2_?usp=drive_link" TargetMode="External"/><Relationship Id="rId9470" Type="http://schemas.openxmlformats.org/officeDocument/2006/relationships/hyperlink" Target="https://www.vidio.com/live/17139-spotv?schedule_id=4726332" TargetMode="External"/><Relationship Id="rId2510" Type="http://schemas.openxmlformats.org/officeDocument/2006/relationships/hyperlink" Target="https://drive.google.com/drive/folders/1OaLIp6HFvH8TyaeVEqGxIV3HFrziJkWO?usp=drive_link" TargetMode="External"/><Relationship Id="rId8072" Type="http://schemas.openxmlformats.org/officeDocument/2006/relationships/hyperlink" Target="https://www.vidio.com/live/19549-pegadaian-championship-2025-26?schedule_id=4704439" TargetMode="External"/><Relationship Id="rId9123" Type="http://schemas.openxmlformats.org/officeDocument/2006/relationships/hyperlink" Target="https://drive.google.com/drive/folders/1ZSh9xykgYzT_UGJHyqKBxkWUs5rqeMBT" TargetMode="External"/><Relationship Id="rId11053" Type="http://schemas.openxmlformats.org/officeDocument/2006/relationships/hyperlink" Target="https://thumbor.prod.vidiocdn.com/YZDvds-wQCnG_y50SbKDm1eQ-5Q=/filters:quality(70)/vidio-media-production/uploads/image/source/53196/04bc34.png" TargetMode="External"/><Relationship Id="rId12104" Type="http://schemas.openxmlformats.org/officeDocument/2006/relationships/hyperlink" Target="https://www.vidio.com/live/18252-petronas-malaysia-open-2026-round-of-16-court-3?schedule_id=4832359" TargetMode="External"/><Relationship Id="rId12451" Type="http://schemas.openxmlformats.org/officeDocument/2006/relationships/hyperlink" Target="https://www.vidio.com/live/18249-petronas-malaysia-open-2026-semifinals?schedule_id=4835428" TargetMode="External"/><Relationship Id="rId1112" Type="http://schemas.openxmlformats.org/officeDocument/2006/relationships/hyperlink" Target="https://drive.google.com/file/d/1ZTiCT5YFQ7MNQMnd1ufAhqeS7aBkJKSN/view?usp=sharing" TargetMode="External"/><Relationship Id="rId3284" Type="http://schemas.openxmlformats.org/officeDocument/2006/relationships/hyperlink" Target="https://drive.google.com/drive/folders/1nP0FUosps6qb7218-u0O1kLbVdbI4yB3?usp=drive_link" TargetMode="External"/><Relationship Id="rId4682" Type="http://schemas.openxmlformats.org/officeDocument/2006/relationships/hyperlink" Target="https://thumbor.prod.vidiocdn.com/YmxBC6FQSCt2fZZ4mf_6VpEkYQ8=/filters:quality(70)/vidio-media-production/uploads/image/source/51917/38c7c5.png" TargetMode="External"/><Relationship Id="rId5733" Type="http://schemas.openxmlformats.org/officeDocument/2006/relationships/hyperlink" Target="https://3.basecamp.com/4902751/buckets/36763424/card_tables/cards/9149096917" TargetMode="External"/><Relationship Id="rId4335" Type="http://schemas.openxmlformats.org/officeDocument/2006/relationships/hyperlink" Target="https://drive.google.com/file/d/1Gm6yMTk22LZ2ZqFKt0BayBcYAQcLTCwA/view?usp=sharing" TargetMode="External"/><Relationship Id="rId8956" Type="http://schemas.openxmlformats.org/officeDocument/2006/relationships/hyperlink" Target="https://drive.google.com/drive/folders/1I0XeW0c1hj02wVu6PvFvSmv_F-vecf-V" TargetMode="External"/><Relationship Id="rId10886" Type="http://schemas.openxmlformats.org/officeDocument/2006/relationships/hyperlink" Target="https://www.vidio.com/live/18249-hsbc-bwf-world-tour-finals-2025-group-stage-court-1?schedule_id=4783139" TargetMode="External"/><Relationship Id="rId11937" Type="http://schemas.openxmlformats.org/officeDocument/2006/relationships/hyperlink" Target="https://www.vidio.com/live/18252-petronas-malaysia-open-2026-round-of-32-court-3?schedule_id=4831585" TargetMode="External"/><Relationship Id="rId7558" Type="http://schemas.openxmlformats.org/officeDocument/2006/relationships/hyperlink" Target="https://drive.google.com/file/d/1qu1jU8R5cKSxGMI_AobhRjRo9HdSCuVT/view?usp=sharing" TargetMode="External"/><Relationship Id="rId8609" Type="http://schemas.openxmlformats.org/officeDocument/2006/relationships/hyperlink" Target="https://drive.google.com/drive/folders/1rl5FGcq4AJPO8LOU0ioroZMKuxSSq8pn?usp=drive_link" TargetMode="External"/><Relationship Id="rId10539" Type="http://schemas.openxmlformats.org/officeDocument/2006/relationships/hyperlink" Target="https://drive.google.com/drive/folders/1eFOMut6GGWIavAzkp8ah772TtPTJX60l?usp=drive_link" TargetMode="External"/><Relationship Id="rId2020" Type="http://schemas.openxmlformats.org/officeDocument/2006/relationships/hyperlink" Target="https://www.vidio.com/live/19385-bri-super-league?schedule_id=4706382" TargetMode="External"/><Relationship Id="rId5590" Type="http://schemas.openxmlformats.org/officeDocument/2006/relationships/hyperlink" Target="https://drive.google.com/file/d/1gfhbs11PXP8aYP1PRaTdRpK3J2FZgHe7/view?usp=sharing" TargetMode="External"/><Relationship Id="rId6641" Type="http://schemas.openxmlformats.org/officeDocument/2006/relationships/hyperlink" Target="https://drive.google.com/file/d/1dARdf2upApttfT7eEyhiI3n8TXCrpTYI/view?usp=sharing" TargetMode="External"/><Relationship Id="rId4192" Type="http://schemas.openxmlformats.org/officeDocument/2006/relationships/hyperlink" Target="https://drive.google.com/file/d/1Bm1HYfprCleE-xYmG3E6BMN6rtb92HPe/view?usp=sharing" TargetMode="External"/><Relationship Id="rId5243" Type="http://schemas.openxmlformats.org/officeDocument/2006/relationships/hyperlink" Target="https://drive.google.com/file/d/1p-BfNr5GnZcxWJVXvml9ZkbIgnN0-hwr/view?usp=sharing" TargetMode="External"/><Relationship Id="rId9864" Type="http://schemas.openxmlformats.org/officeDocument/2006/relationships/hyperlink" Target="https://drive.google.com/file/d/1bGAtWdCSL-v2iZg1GvRoYwXZwXVqVH3x/view" TargetMode="External"/><Relationship Id="rId11794" Type="http://schemas.openxmlformats.org/officeDocument/2006/relationships/hyperlink" Target="https://www.vidio.com/live/19623-national-football-league-2025-26?schedule_id=4834801" TargetMode="External"/><Relationship Id="rId78" Type="http://schemas.openxmlformats.org/officeDocument/2006/relationships/hyperlink" Target="https://drive.google.com/file/d/16t_VxLjqPQZ_nWVQIbyhlyfzE1g9S-rv/view?usp=sharing" TargetMode="External"/><Relationship Id="rId1853" Type="http://schemas.openxmlformats.org/officeDocument/2006/relationships/hyperlink" Target="https://drive.google.com/file/d/18OsORam8uQ3QnbMidStyDUTIBuiW3E5o/view?usp=drive_link" TargetMode="External"/><Relationship Id="rId2904" Type="http://schemas.openxmlformats.org/officeDocument/2006/relationships/hyperlink" Target="https://drive.google.com/file/d/1mZo2LDUKz7CvvYpYnAxLVlaN5AvisygJ/view?usp=sharing" TargetMode="External"/><Relationship Id="rId7068" Type="http://schemas.openxmlformats.org/officeDocument/2006/relationships/hyperlink" Target="https://www.vidio.com/live/19549-pegadaian-championship-2025-26?schedule_id=4566439" TargetMode="External"/><Relationship Id="rId8119" Type="http://schemas.openxmlformats.org/officeDocument/2006/relationships/hyperlink" Target="https://drive.google.com/file/d/1zA5W642QKnRosO4Qco6ncE5pKUWwf3Hw/view?usp=sharing" TargetMode="External"/><Relationship Id="rId8466" Type="http://schemas.openxmlformats.org/officeDocument/2006/relationships/hyperlink" Target="https://drive.google.com/drive/folders/1JCzLBVXElHAbTYY2WCDNbk906PWbFwaz" TargetMode="External"/><Relationship Id="rId9517" Type="http://schemas.openxmlformats.org/officeDocument/2006/relationships/hyperlink" Target="https://drive.google.com/file/d/1g8lUQxKxoG5mVuxaMY0hxnzJteYKQy7O/view?usp=sharing" TargetMode="External"/><Relationship Id="rId10396" Type="http://schemas.openxmlformats.org/officeDocument/2006/relationships/hyperlink" Target="https://drive.google.com/file/d/1cJgfWoFEILMSSxNJOusc-qzaE__ZcKM2/view?usp=sharing" TargetMode="External"/><Relationship Id="rId11447" Type="http://schemas.openxmlformats.org/officeDocument/2006/relationships/hyperlink" Target="https://drive.google.com/file/d/1a0lH49vB7QpNrThlRTjgM4-RsXIdtbEO/view?usp=sharing" TargetMode="External"/><Relationship Id="rId1506" Type="http://schemas.openxmlformats.org/officeDocument/2006/relationships/hyperlink" Target="https://www.vidio.com/live/6685-champions-tv-1?schedule_id=4485990" TargetMode="External"/><Relationship Id="rId10049" Type="http://schemas.openxmlformats.org/officeDocument/2006/relationships/hyperlink" Target="https://drive.google.com/file/d/1NtrtWGieog2so9v-DI1SYHZvSwbIhxAG/view?usp=sharing" TargetMode="External"/><Relationship Id="rId3678" Type="http://schemas.openxmlformats.org/officeDocument/2006/relationships/hyperlink" Target="https://drive.google.com/drive/folders/1cqK29lH31A_ffI68Dq9R_BjiNsOaaL9_?usp=drive_link" TargetMode="External"/><Relationship Id="rId4729" Type="http://schemas.openxmlformats.org/officeDocument/2006/relationships/hyperlink" Target="https://www.vidio.com/live/19404-serie-a?schedule_id=4789830" TargetMode="External"/><Relationship Id="rId8600" Type="http://schemas.openxmlformats.org/officeDocument/2006/relationships/hyperlink" Target="https://drive.google.com/file/d/1bK6O7-mVXsp_B_3lqYfA84QelIIc37TT/view?usp=sharing" TargetMode="External"/><Relationship Id="rId599" Type="http://schemas.openxmlformats.org/officeDocument/2006/relationships/hyperlink" Target="https://drive.google.com/file/d/1e4uRCkbMe_rRyeImkIXhvSvwhcozH_kL/view?usp=sharing" TargetMode="External"/><Relationship Id="rId6151" Type="http://schemas.openxmlformats.org/officeDocument/2006/relationships/hyperlink" Target="https://drive.google.com/drive/folders/1iCdEdb4atlHsieTI3HBLxVStmC5UZchT?usp=drive_link" TargetMode="External"/><Relationship Id="rId7202" Type="http://schemas.openxmlformats.org/officeDocument/2006/relationships/hyperlink" Target="https://drive.google.com/file/d/1DNux4glLBnqI-DzUHKvsJVIQIe0fQ_QF/view?usp=sharing" TargetMode="External"/><Relationship Id="rId10530" Type="http://schemas.openxmlformats.org/officeDocument/2006/relationships/hyperlink" Target="https://drive.google.com/drive/folders/1CsI7aa9t0y38yO7YIFqWnuGJqC6bNtVf?usp=drive_link" TargetMode="External"/><Relationship Id="rId9374" Type="http://schemas.openxmlformats.org/officeDocument/2006/relationships/hyperlink" Target="https://drive.google.com/file/d/1Psadrs0serrw5gwZa147mxPrq9AFCeRi/view?usp=sharing" TargetMode="External"/><Relationship Id="rId1363" Type="http://schemas.openxmlformats.org/officeDocument/2006/relationships/hyperlink" Target="https://drive.google.com/file/d/1DGL2COSm8jKknP0obDQkAM9NPg9utetg/view?usp=sharing" TargetMode="External"/><Relationship Id="rId2761" Type="http://schemas.openxmlformats.org/officeDocument/2006/relationships/hyperlink" Target="https://drive.google.com/file/d/1LdCbHExLg13l8ctXQvI-fUKmzuCgPYam/view?usp=sharing" TargetMode="External"/><Relationship Id="rId3812" Type="http://schemas.openxmlformats.org/officeDocument/2006/relationships/hyperlink" Target="https://www.vidio.com/live/6685-champions-tv-1?schedule_id=4655150" TargetMode="External"/><Relationship Id="rId9027" Type="http://schemas.openxmlformats.org/officeDocument/2006/relationships/hyperlink" Target="https://drive.google.com/drive/folders/1-o3ChGi5rojG447UV0XljvPb3M7IJv4-" TargetMode="External"/><Relationship Id="rId12355" Type="http://schemas.openxmlformats.org/officeDocument/2006/relationships/hyperlink" Target="https://www.vidio.com/live/18250-petronas-malaysia-open-2026-round-of-16-court-2?schedule_id=4833804" TargetMode="External"/><Relationship Id="rId733" Type="http://schemas.openxmlformats.org/officeDocument/2006/relationships/hyperlink" Target="https://drive.google.com/drive/folders/1BA51X7pqjcYTrwKmKsU2CC2dyZ3rV9_Z?usp=drive_link" TargetMode="External"/><Relationship Id="rId1016" Type="http://schemas.openxmlformats.org/officeDocument/2006/relationships/hyperlink" Target="https://drive.google.com/file/d/1VCC6YM0Wfci_vLOybxoAWAicUPqzPr_F/view?usp=drive_link" TargetMode="External"/><Relationship Id="rId2414" Type="http://schemas.openxmlformats.org/officeDocument/2006/relationships/hyperlink" Target="https://www.vidio.com/live/6299-bein-1?schedule_id=4563079" TargetMode="External"/><Relationship Id="rId5984" Type="http://schemas.openxmlformats.org/officeDocument/2006/relationships/hyperlink" Target="https://drive.google.com/file/d/16XOfEzrxF9PPwV0QuIIY0eb4TyzdctcI/view?usp=sharing" TargetMode="External"/><Relationship Id="rId12008" Type="http://schemas.openxmlformats.org/officeDocument/2006/relationships/hyperlink" Target="https://drive.google.com/file/d/1GSUWpYS1bKMQHpDirkh41aNW22dfhpEf/view?usp=sharing" TargetMode="External"/><Relationship Id="rId4586" Type="http://schemas.openxmlformats.org/officeDocument/2006/relationships/hyperlink" Target="https://drive.google.com/file/d/1Qo-WztpamI-ohv52-RWk-2yxj9DPKwxd/view?usp=sharing" TargetMode="External"/><Relationship Id="rId5637" Type="http://schemas.openxmlformats.org/officeDocument/2006/relationships/hyperlink" Target="https://drive.google.com/drive/folders/1dQEHSmvXCy2M-pC1RCaAtrw6jcETRfDU?usp=drive_link" TargetMode="External"/><Relationship Id="rId3188" Type="http://schemas.openxmlformats.org/officeDocument/2006/relationships/hyperlink" Target="https://drive.google.com/drive/folders/1ivMyD8INif9odHaS-8vnjDJurd3XQtAd" TargetMode="External"/><Relationship Id="rId4239" Type="http://schemas.openxmlformats.org/officeDocument/2006/relationships/hyperlink" Target="https://drive.google.com/drive/folders/1ZvV_IkTV9f9BOY6RhwnkqwQ-9fji1J_-?usp=drive_link" TargetMode="External"/><Relationship Id="rId8110" Type="http://schemas.openxmlformats.org/officeDocument/2006/relationships/hyperlink" Target="https://drive.google.com/drive/folders/10kjndzNuhAMWdTMs_l_jk8B84L4z3b2d?usp=drive_link" TargetMode="External"/><Relationship Id="rId10040" Type="http://schemas.openxmlformats.org/officeDocument/2006/relationships/hyperlink" Target="https://www.vidio.com/live/19354-bri-super-league?schedule_id=4758889" TargetMode="External"/><Relationship Id="rId4720" Type="http://schemas.openxmlformats.org/officeDocument/2006/relationships/hyperlink" Target="https://thumbor.prod.vidiocdn.com/zx3VLSJIIChS46nZdIGo6jNjyKw=/filters:quality(70)/vidio-media-production/uploads/image/source/52024/76a989.png" TargetMode="External"/><Relationship Id="rId590" Type="http://schemas.openxmlformats.org/officeDocument/2006/relationships/hyperlink" Target="https://drive.google.com/drive/folders/1reJgqrta8-x_LZOVIyNxF2oALmNOZ9ZP?usp=drive_link" TargetMode="External"/><Relationship Id="rId2271" Type="http://schemas.openxmlformats.org/officeDocument/2006/relationships/hyperlink" Target="https://drive.google.com/file/d/1nop06yZaIH7i221qN67ipe6_YYUSVFNN/view?usp=sharing" TargetMode="External"/><Relationship Id="rId3322" Type="http://schemas.openxmlformats.org/officeDocument/2006/relationships/hyperlink" Target="https://drive.google.com/drive/folders/1zdALVQhmXc01E1cq4bsxxZKZbXH6k9Wg?usp=drive_link" TargetMode="External"/><Relationship Id="rId243" Type="http://schemas.openxmlformats.org/officeDocument/2006/relationships/hyperlink" Target="https://drive.google.com/file/d/1KMpCRJEb4U3OBWyDwYG2H3i3Ip0MD1QR/view?usp=sharing" TargetMode="External"/><Relationship Id="rId5494" Type="http://schemas.openxmlformats.org/officeDocument/2006/relationships/hyperlink" Target="https://drive.google.com/file/d/1Gt52lllZO-LvF_rUxfk3y2-paTawbcgP/view?usp=sharing" TargetMode="External"/><Relationship Id="rId6892" Type="http://schemas.openxmlformats.org/officeDocument/2006/relationships/hyperlink" Target="https://drive.google.com/file/d/14sr5N4pinvKetDEuuNo08BBxxu34gooL/view?usp=sharing" TargetMode="External"/><Relationship Id="rId7943" Type="http://schemas.openxmlformats.org/officeDocument/2006/relationships/hyperlink" Target="https://www.vidio.com/live/19623-national-football-league-2025-26?schedule_id=4650059" TargetMode="External"/><Relationship Id="rId10924" Type="http://schemas.openxmlformats.org/officeDocument/2006/relationships/hyperlink" Target="https://drive.google.com/file/d/1yff9OvDcVdP9hqaNzTWmkcckxp4OqCvY/view?usp=sharing" TargetMode="External"/><Relationship Id="rId4096" Type="http://schemas.openxmlformats.org/officeDocument/2006/relationships/hyperlink" Target="https://www.vidio.com/live/19404-serie-a?schedule_id=4598351" TargetMode="External"/><Relationship Id="rId5147" Type="http://schemas.openxmlformats.org/officeDocument/2006/relationships/hyperlink" Target="https://drive.google.com/drive/u/0/folders/1XUWDSQLO2iU0wxP5Kf-MXmpUnIp1eDOv" TargetMode="External"/><Relationship Id="rId6545" Type="http://schemas.openxmlformats.org/officeDocument/2006/relationships/hyperlink" Target="https://www.vidio.com/live/19740-uefa-conference-league?schedule_id=4771661" TargetMode="External"/><Relationship Id="rId9768" Type="http://schemas.openxmlformats.org/officeDocument/2006/relationships/hyperlink" Target="https://drive.google.com/file/d/16Clrsw8Jhhh-TP2dPw105eVSzrwl_HUT/view?usp=sharing" TargetMode="External"/><Relationship Id="rId11698" Type="http://schemas.openxmlformats.org/officeDocument/2006/relationships/hyperlink" Target="https://drive.google.com/file/d/1GSUWpYS1bKMQHpDirkh41aNW22dfhpEf/view?usp=sharing" TargetMode="External"/><Relationship Id="rId1757" Type="http://schemas.openxmlformats.org/officeDocument/2006/relationships/hyperlink" Target="https://drive.google.com/file/d/1LLAzt3V7wa7znDtwcjF7ZpqkF9PecBlX/view?usp=sharing" TargetMode="External"/><Relationship Id="rId2808" Type="http://schemas.openxmlformats.org/officeDocument/2006/relationships/hyperlink" Target="https://drive.google.com/file/d/1FLl4BJwGAK9Jf59nRIHFlOYGdi_GqIdo/view?usp=sharing" TargetMode="External"/><Relationship Id="rId4230" Type="http://schemas.openxmlformats.org/officeDocument/2006/relationships/hyperlink" Target="https://www.vidio.com/live/19404-serie-a?schedule_id=4652722" TargetMode="External"/><Relationship Id="rId8851" Type="http://schemas.openxmlformats.org/officeDocument/2006/relationships/hyperlink" Target="https://thumbor.prod.vidiocdn.com/xH6M5yrxozq85Dj9zuLqXQC8T98=/filters:quality(70)/vidio-media-production/uploads/image/source/51902/953abf.png" TargetMode="External"/><Relationship Id="rId7453" Type="http://schemas.openxmlformats.org/officeDocument/2006/relationships/hyperlink" Target="https://www.vidio.com/live/19587-top-youth-premier-league-2025-matchday-4?schedule_id=4585741" TargetMode="External"/><Relationship Id="rId8504" Type="http://schemas.openxmlformats.org/officeDocument/2006/relationships/hyperlink" Target="https://drive.google.com/drive/folders/1Kcy9ZVjSEEDfj5slohVKctlNMsRxi-x_" TargetMode="External"/><Relationship Id="rId9902" Type="http://schemas.openxmlformats.org/officeDocument/2006/relationships/hyperlink" Target="https://drive.google.com/file/d/1-UAo5XhUwwrUghrBpYw8XJQowdCpgplW/view?usp=sharing" TargetMode="External"/><Relationship Id="rId10781" Type="http://schemas.openxmlformats.org/officeDocument/2006/relationships/hyperlink" Target="https://drive.google.com/file/d/1nAdAOT1MfvJ-TpKdy8LEh0W-NsVgUxs8/view?usp=sharing" TargetMode="External"/><Relationship Id="rId11832" Type="http://schemas.openxmlformats.org/officeDocument/2006/relationships/hyperlink" Target="https://drive.google.com/file/d/1RvpVSYEuxwkTup3qpzOCOplWtOxx9WK3/view?usp=sharing" TargetMode="External"/><Relationship Id="rId6055" Type="http://schemas.openxmlformats.org/officeDocument/2006/relationships/hyperlink" Target="https://drive.google.com/drive/folders/1sEONT-BjIbsMp8Uq35nXYPfujxZE79YG?usp=drive_link" TargetMode="External"/><Relationship Id="rId7106" Type="http://schemas.openxmlformats.org/officeDocument/2006/relationships/hyperlink" Target="https://drive.google.com/drive/folders/1QuW8HGm8Gy5DKzFtp0IqY8763E-ORETq?usp=drive_link" TargetMode="External"/><Relationship Id="rId10434" Type="http://schemas.openxmlformats.org/officeDocument/2006/relationships/hyperlink" Target="https://drive.google.com/drive/folders/1dzfnJNZN0WBGz3fw3ZIP1DJbjEyP-CTa?usp=sharing" TargetMode="External"/><Relationship Id="rId9278" Type="http://schemas.openxmlformats.org/officeDocument/2006/relationships/hyperlink" Target="https://drive.google.com/file/d/1bGAtWdCSL-v2iZg1GvRoYwXZwXVqVH3x/view?usp=sharing" TargetMode="External"/><Relationship Id="rId984" Type="http://schemas.openxmlformats.org/officeDocument/2006/relationships/hyperlink" Target="https://www.vidio.com/live/9182-champions-tv-5?schedule_id=4780165" TargetMode="External"/><Relationship Id="rId2665" Type="http://schemas.openxmlformats.org/officeDocument/2006/relationships/hyperlink" Target="https://drive.google.com/file/d/1WWugvLhkMSomdk_En6gctZVPiMM7UucR/view?usp=sharing" TargetMode="External"/><Relationship Id="rId3716" Type="http://schemas.openxmlformats.org/officeDocument/2006/relationships/hyperlink" Target="https://drive.google.com/drive/folders/1x5oltw504lEKKuBsjIzep5zSRWPnmfqn?usp=drive_link" TargetMode="External"/><Relationship Id="rId12259" Type="http://schemas.openxmlformats.org/officeDocument/2006/relationships/hyperlink" Target="https://www.vidio.com/live/20266?schedule_id=4833844" TargetMode="External"/><Relationship Id="rId637" Type="http://schemas.openxmlformats.org/officeDocument/2006/relationships/hyperlink" Target="https://drive.google.com/drive/folders/1rVX5iaOge8lJiRphPSi6MBin7-YX5-Xk?usp=drive_link" TargetMode="External"/><Relationship Id="rId1267" Type="http://schemas.openxmlformats.org/officeDocument/2006/relationships/hyperlink" Target="https://www.vidio.com/live/9182-champions-tv-5?schedule_id=4831842" TargetMode="External"/><Relationship Id="rId2318" Type="http://schemas.openxmlformats.org/officeDocument/2006/relationships/hyperlink" Target="https://drive.google.com/file/d/1EH56w8E8ygNUhlV7e5rFgh-CDw5JJH-s/view?usp=sharing" TargetMode="External"/><Relationship Id="rId5888" Type="http://schemas.openxmlformats.org/officeDocument/2006/relationships/hyperlink" Target="https://www.vidio.com/live/19630-uefa-europa-league?schedule_id=4734924" TargetMode="External"/><Relationship Id="rId6939" Type="http://schemas.openxmlformats.org/officeDocument/2006/relationships/hyperlink" Target="https://www.vidio.com/live/19543-pegadaian-championship-2025-26?schedule_id=4585672" TargetMode="External"/><Relationship Id="rId8361" Type="http://schemas.openxmlformats.org/officeDocument/2006/relationships/hyperlink" Target="https://www.vidio.com/live/6685-champions-tv-1?schedule_id=4707402" TargetMode="External"/><Relationship Id="rId9412" Type="http://schemas.openxmlformats.org/officeDocument/2006/relationships/hyperlink" Target="https://thumbor.prod.vidiocdn.com/RlBZLhMrSyMtwmDnSbX2qIBRHsA=/filters:quality(70)/vidio-media-production/uploads/image/source/52765/f3602c.png" TargetMode="External"/><Relationship Id="rId10291" Type="http://schemas.openxmlformats.org/officeDocument/2006/relationships/hyperlink" Target="https://thumbor.prod.vidiocdn.com/ccmRHI87jOKKyIfJhRTehLCdI5c=/filters:quality(70)/vidio-media-production/uploads/image/source/51871/756765.png" TargetMode="External"/><Relationship Id="rId11342" Type="http://schemas.openxmlformats.org/officeDocument/2006/relationships/hyperlink" Target="https://drive.google.com/file/d/1zyQmhN9ms8YwQ_Ukj1tgFl67fPUH72A8/view?usp=sharing" TargetMode="External"/><Relationship Id="rId1401" Type="http://schemas.openxmlformats.org/officeDocument/2006/relationships/hyperlink" Target="https://www.vidio.com/live/17938-serie-a?schedule_id=4525578" TargetMode="External"/><Relationship Id="rId8014" Type="http://schemas.openxmlformats.org/officeDocument/2006/relationships/hyperlink" Target="https://drive.google.com/drive/folders/1a6uvNHIJHyFaZu_uP78TVstsa86wy3Sp?usp=drive_link" TargetMode="External"/><Relationship Id="rId3573" Type="http://schemas.openxmlformats.org/officeDocument/2006/relationships/hyperlink" Target="https://thumbor.prod.vidiocdn.com/IR27jEHzUTAkDBIQDe0tWuXbe8k=/filters:quality(70)/vidio-media-production/uploads/image/source/52112/1667e8.png" TargetMode="External"/><Relationship Id="rId4971" Type="http://schemas.openxmlformats.org/officeDocument/2006/relationships/hyperlink" Target="https://www.vidio.com/live/6317-bein-3?schedule_id=4569285" TargetMode="External"/><Relationship Id="rId494" Type="http://schemas.openxmlformats.org/officeDocument/2006/relationships/hyperlink" Target="https://www.vidio.com/live/19375-premier-league?schedule_id=4653368" TargetMode="External"/><Relationship Id="rId2175" Type="http://schemas.openxmlformats.org/officeDocument/2006/relationships/hyperlink" Target="https://drive.google.com/file/d/17sJGhowatSOvWXlyPXu4dfTSn4KO_RGb/view?usp=sharing" TargetMode="External"/><Relationship Id="rId3226" Type="http://schemas.openxmlformats.org/officeDocument/2006/relationships/hyperlink" Target="https://thumbor.prod.vidiocdn.com/b8LVjTJuP6XVAjmK-M24FkO-a3A=/filters:quality(70)/vidio-media-production/uploads/image/source/52776/901d76.png" TargetMode="External"/><Relationship Id="rId4624" Type="http://schemas.openxmlformats.org/officeDocument/2006/relationships/hyperlink" Target="https://drive.google.com/drive/folders/1esJG3pX8-_N0JYZ0GyoT637X6ijOy-vT?usp=drive_link" TargetMode="External"/><Relationship Id="rId147" Type="http://schemas.openxmlformats.org/officeDocument/2006/relationships/hyperlink" Target="https://drive.google.com/file/d/167TOUG3w64ogxCRH3UjjWC_hZgexPSE6/view?usp=sharing" TargetMode="External"/><Relationship Id="rId6796" Type="http://schemas.openxmlformats.org/officeDocument/2006/relationships/hyperlink" Target="https://drive.google.com/file/d/1S_9K8SiHBRkwfTW_qMu_EcVyBfOyAPQG/view?usp=drive_link" TargetMode="External"/><Relationship Id="rId7847" Type="http://schemas.openxmlformats.org/officeDocument/2006/relationships/hyperlink" Target="https://www.vidio.com/live/19677-turkish-women-s-volleyball-cup?schedule_id=4637936" TargetMode="External"/><Relationship Id="rId10828" Type="http://schemas.openxmlformats.org/officeDocument/2006/relationships/hyperlink" Target="https://drive.google.com/file/d/1C4QqwsJKdpmgIskKFncjf1NyRNycjsQ-/view?usp=sharing" TargetMode="External"/><Relationship Id="rId5398" Type="http://schemas.openxmlformats.org/officeDocument/2006/relationships/hyperlink" Target="https://drive.google.com/drive/u/0/folders/1B-Z5HEwpomqAtaP9RpgT1mIpTOwE3I32" TargetMode="External"/><Relationship Id="rId6449" Type="http://schemas.openxmlformats.org/officeDocument/2006/relationships/hyperlink" Target="https://drive.google.com/drive/folders/1F9lLmIvT4-3oh_Jbh-sne-zsyB6ey7v0" TargetMode="External"/><Relationship Id="rId12250" Type="http://schemas.openxmlformats.org/officeDocument/2006/relationships/hyperlink" Target="https://www.vidio.com/live/20266?schedule_id=4833841" TargetMode="External"/><Relationship Id="rId6930" Type="http://schemas.openxmlformats.org/officeDocument/2006/relationships/hyperlink" Target="https://drive.google.com/drive/folders/1BhKJCwrQWMPmukRF_X1L_5IJlxac8Xp_?usp=drive_link" TargetMode="External"/><Relationship Id="rId4481" Type="http://schemas.openxmlformats.org/officeDocument/2006/relationships/hyperlink" Target="https://drive.google.com/drive/folders/190yi0NXB7fqt8awvfrHzHYND0AcQ3r1-?usp=drive_link" TargetMode="External"/><Relationship Id="rId5532" Type="http://schemas.openxmlformats.org/officeDocument/2006/relationships/hyperlink" Target="https://www.vidio.com/live/19601-uefa-europa-league?schedule_id=4591192" TargetMode="External"/><Relationship Id="rId3083" Type="http://schemas.openxmlformats.org/officeDocument/2006/relationships/hyperlink" Target="https://drive.google.com/drive/folders/1Elgnv4JoScKp-rtwaI1Qha1TDQXUWHay?usp=drive_link" TargetMode="External"/><Relationship Id="rId4134" Type="http://schemas.openxmlformats.org/officeDocument/2006/relationships/hyperlink" Target="https://drive.google.com/drive/folders/1gld7hF_Ce_A3oVQk8cmaRf4XidPuBodS?usp=drive_link" TargetMode="External"/><Relationship Id="rId7357" Type="http://schemas.openxmlformats.org/officeDocument/2006/relationships/hyperlink" Target="https://drive.google.com/drive/folders/1qgtO3fiEv-fHXh-CC7Us9jbHXXw_OPp8?usp=drive_link" TargetMode="External"/><Relationship Id="rId8408" Type="http://schemas.openxmlformats.org/officeDocument/2006/relationships/hyperlink" Target="https://drive.google.com/drive/folders/1FKfGaT9pUvI2M-AO0IGQ2d8y1S09uQsX" TargetMode="External"/><Relationship Id="rId8755" Type="http://schemas.openxmlformats.org/officeDocument/2006/relationships/hyperlink" Target="https://drive.google.com/file/d/1cFEzKX4BMPhD2irx_1Ac5LBs8VFeTcfX/view?usp=sharing" TargetMode="External"/><Relationship Id="rId9806" Type="http://schemas.openxmlformats.org/officeDocument/2006/relationships/hyperlink" Target="https://www.vidio.com/live/19881-top-soccer-championship-2025-u-16-u-17-semifinal-plate?schedule_id=4730511" TargetMode="External"/><Relationship Id="rId10685" Type="http://schemas.openxmlformats.org/officeDocument/2006/relationships/hyperlink" Target="https://drive.google.com/file/d/160_ikUtMDEtr1Jx9GC86KwxVXN1imHIm/view?usp=sharing" TargetMode="External"/><Relationship Id="rId11736" Type="http://schemas.openxmlformats.org/officeDocument/2006/relationships/hyperlink" Target="https://www.vidio.com/live/18250-petronas-malaysia-open-2026-round-of-32-court-2" TargetMode="External"/><Relationship Id="rId10338" Type="http://schemas.openxmlformats.org/officeDocument/2006/relationships/hyperlink" Target="https://drive.google.com/drive/folders/1B_CpyZmnmZlHkjOa4CyokY-4DC1T2lX4" TargetMode="External"/><Relationship Id="rId3967" Type="http://schemas.openxmlformats.org/officeDocument/2006/relationships/hyperlink" Target="https://drive.google.com/file/d/1DNux4glLBnqI-DzUHKvsJVIQIe0fQ_QF/view?usp=sharing" TargetMode="External"/><Relationship Id="rId4" Type="http://schemas.openxmlformats.org/officeDocument/2006/relationships/hyperlink" Target="https://drive.google.com/file/d/1ugiYxMU51AU6uz_CBnz4uwd1HfhZfZ8z/view?usp=sharing" TargetMode="External"/><Relationship Id="rId888" Type="http://schemas.openxmlformats.org/officeDocument/2006/relationships/hyperlink" Target="https://www.vidio.com/live/9183-champions-tv-6?schedule_id=4759269" TargetMode="External"/><Relationship Id="rId2569" Type="http://schemas.openxmlformats.org/officeDocument/2006/relationships/hyperlink" Target="https://drive.google.com/file/d/1xZyXmU4NBKsOnE7jzs7khfBVp_Rm0QQr/view?usp=sharing" TargetMode="External"/><Relationship Id="rId6440" Type="http://schemas.openxmlformats.org/officeDocument/2006/relationships/hyperlink" Target="https://drive.google.com/file/d/1ygNksypRCe7dxRPXPMAF7NtMiHcQNU7j/view?usp=drive_link" TargetMode="External"/><Relationship Id="rId5042" Type="http://schemas.openxmlformats.org/officeDocument/2006/relationships/hyperlink" Target="https://drive.google.com/file/d/1eO2lUNr57COT1KTLqgG0MUZvzFuF5lGc/view?usp=sharing" TargetMode="External"/><Relationship Id="rId9663" Type="http://schemas.openxmlformats.org/officeDocument/2006/relationships/hyperlink" Target="https://drive.google.com/drive/folders/1LJgs8Zlpw6Y3uTNlWaNofo_cAf6FKvAG?usp=drive_link" TargetMode="External"/><Relationship Id="rId1652" Type="http://schemas.openxmlformats.org/officeDocument/2006/relationships/hyperlink" Target="https://www.vidio.com/live/19385-bri-super-league?schedule_id=4524049" TargetMode="External"/><Relationship Id="rId8265" Type="http://schemas.openxmlformats.org/officeDocument/2006/relationships/hyperlink" Target="https://www.vidio.com/live/19692-top-youth-premier-league-2025-matchweek-6?schedule_id=4644428" TargetMode="External"/><Relationship Id="rId9316" Type="http://schemas.openxmlformats.org/officeDocument/2006/relationships/hyperlink" Target="https://drive.google.com/file/d/1zZ63W8DC5ZxbCoQWScnAzBNBi9VUruuU/view?usp=sharing" TargetMode="External"/><Relationship Id="rId10195" Type="http://schemas.openxmlformats.org/officeDocument/2006/relationships/hyperlink" Target="https://drive.google.com/file/d/1SMzi9gN3AcE8Z1CvXfV12bogk4ANvYJ5/view?usp=sharing" TargetMode="External"/><Relationship Id="rId11246" Type="http://schemas.openxmlformats.org/officeDocument/2006/relationships/hyperlink" Target="https://drive.google.com/drive/folders/1rhOQ9bNXRJdNMGZElVEHLy7UCnlXno-S?usp=drive_link" TargetMode="External"/><Relationship Id="rId11593" Type="http://schemas.openxmlformats.org/officeDocument/2006/relationships/hyperlink" Target="https://drive.google.com/file/d/10S_7C0wOIMpUsDhCWdtb4Hj_GzBcx83O/view?usp=sharing" TargetMode="External"/><Relationship Id="rId1305" Type="http://schemas.openxmlformats.org/officeDocument/2006/relationships/hyperlink" Target="https://drive.google.com/file/d/1lDXenoEUMNXEVt8R3Ov82VHk8c8QY1hr/view?usp=sharing" TargetMode="External"/><Relationship Id="rId2703" Type="http://schemas.openxmlformats.org/officeDocument/2006/relationships/hyperlink" Target="https://drive.google.com/file/d/1DlZhaXcmTAP9ghfZ75it9eB94qLoEmbq/view?usp=sharing" TargetMode="External"/><Relationship Id="rId4875" Type="http://schemas.openxmlformats.org/officeDocument/2006/relationships/hyperlink" Target="https://thumbor.prod.vidiocdn.com/-vHawS9dJ_88D_t9Oe46DB6RsAk=/filters:quality(70)/vidio-media-production/uploads/image/source/52577/9a404f.png" TargetMode="External"/><Relationship Id="rId5926" Type="http://schemas.openxmlformats.org/officeDocument/2006/relationships/hyperlink" Target="https://www.vidio.com/live/17875-bein-2?schedule_id=4733539" TargetMode="External"/><Relationship Id="rId11" Type="http://schemas.openxmlformats.org/officeDocument/2006/relationships/hyperlink" Target="https://drive.google.com/drive/folders/1VC7MW-u6-dGRrY2aVuEK1lFh1vWOTo08" TargetMode="External"/><Relationship Id="rId398" Type="http://schemas.openxmlformats.org/officeDocument/2006/relationships/hyperlink" Target="https://www.vidio.com/live/19536-premier-league?schedule_id=4598350" TargetMode="External"/><Relationship Id="rId2079" Type="http://schemas.openxmlformats.org/officeDocument/2006/relationships/hyperlink" Target="https://drive.google.com/file/d/1xCMcMIK6Mn-YIgbv0r1gl51sqKgHyvh4/view?usp=sharing" TargetMode="External"/><Relationship Id="rId3477" Type="http://schemas.openxmlformats.org/officeDocument/2006/relationships/hyperlink" Target="https://www.vidio.com/live/18739-liga-portugal?schedule_id=4578418" TargetMode="External"/><Relationship Id="rId4528" Type="http://schemas.openxmlformats.org/officeDocument/2006/relationships/hyperlink" Target="https://drive.google.com/drive/folders/1DeJCScnPkkDeQ_R7vAEQkIx3Z9GGUNrT?usp=drive_link" TargetMode="External"/><Relationship Id="rId7001" Type="http://schemas.openxmlformats.org/officeDocument/2006/relationships/hyperlink" Target="https://drive.google.com/drive/folders/1DrC8qLJsnWpWI-tZeb27fP__uEuayVNN?usp=drive_link" TargetMode="External"/><Relationship Id="rId2560" Type="http://schemas.openxmlformats.org/officeDocument/2006/relationships/hyperlink" Target="https://www.vidio.com/live/6317-bein-3?schedule_id=4592587" TargetMode="External"/><Relationship Id="rId3611" Type="http://schemas.openxmlformats.org/officeDocument/2006/relationships/hyperlink" Target="https://www.vidio.com/live/19431-f1h20-sprint-race-f1h2o-2025-grand-prix-of-indonesia?schedule_id=4516127" TargetMode="External"/><Relationship Id="rId9173" Type="http://schemas.openxmlformats.org/officeDocument/2006/relationships/hyperlink" Target="https://drive.google.com/file/d/1DNux4glLBnqI-DzUHKvsJVIQIe0fQ_QF/view?usp=sharing" TargetMode="External"/><Relationship Id="rId12154" Type="http://schemas.openxmlformats.org/officeDocument/2006/relationships/hyperlink" Target="https://www.vidio.com/live/20273" TargetMode="External"/><Relationship Id="rId532" Type="http://schemas.openxmlformats.org/officeDocument/2006/relationships/hyperlink" Target="https://drive.google.com/drive/folders/1TaP_vfs-hFJJkkXHSczErZfIfAt991tI" TargetMode="External"/><Relationship Id="rId1162" Type="http://schemas.openxmlformats.org/officeDocument/2006/relationships/hyperlink" Target="https://thumbor.prod.vidiocdn.com/6ssG1CxyJJliJvwNtIK4Slm1OUk=/filters:quality(70)/vidio-media-production/uploads/image/source/52737/ac028d.png" TargetMode="External"/><Relationship Id="rId2213" Type="http://schemas.openxmlformats.org/officeDocument/2006/relationships/hyperlink" Target="https://drive.google.com/drive/folders/1rG7Ha3NrFp4mvWmQNv7B3qNxakUw1ihH" TargetMode="External"/><Relationship Id="rId5783" Type="http://schemas.openxmlformats.org/officeDocument/2006/relationships/hyperlink" Target="https://drive.google.com/drive/folders/13eQLR64HrKbyWDLlQsn3dQSDucgsN6sA?usp=drive_link" TargetMode="External"/><Relationship Id="rId4385" Type="http://schemas.openxmlformats.org/officeDocument/2006/relationships/hyperlink" Target="https://drive.google.com/drive/folders/1u8Q4bfqQqDBYcSDn-f8_4Li3NvYPCLTN?usp=drive_link" TargetMode="External"/><Relationship Id="rId5436" Type="http://schemas.openxmlformats.org/officeDocument/2006/relationships/hyperlink" Target="https://drive.google.com/file/d/1xGVzijkE0vZVXIUmFDNebPF1RcuCzSfm/view?usp=sharing" TargetMode="External"/><Relationship Id="rId6834" Type="http://schemas.openxmlformats.org/officeDocument/2006/relationships/hyperlink" Target="https://www.vidio.com/live/19543-pegadaian-championship-2025-26?schedule_id=4564770" TargetMode="External"/><Relationship Id="rId4038" Type="http://schemas.openxmlformats.org/officeDocument/2006/relationships/hyperlink" Target="https://drive.google.com/drive/folders/1KGtZZzmn7UwMZSr_z4geUXJWXuFgUfQJ?usp=drive_link" TargetMode="External"/><Relationship Id="rId11987" Type="http://schemas.openxmlformats.org/officeDocument/2006/relationships/hyperlink" Target="https://drive.google.com/file/d/1cQwbt9xMseUYhUL3E5PXiPJ5C30SqBH9/view?usp=sharing" TargetMode="External"/><Relationship Id="rId8659" Type="http://schemas.openxmlformats.org/officeDocument/2006/relationships/hyperlink" Target="https://drive.google.com/file/d/186v62uIPIyRZETeWrz_SEFjlcAmElIZ1/view?usp=sharing" TargetMode="External"/><Relationship Id="rId10589" Type="http://schemas.openxmlformats.org/officeDocument/2006/relationships/hyperlink" Target="https://drive.google.com/file/d/1PBzBRmwtXocsGbuq-F4E06hWPQilme9N/view?usp=sharing" TargetMode="External"/><Relationship Id="rId2070" Type="http://schemas.openxmlformats.org/officeDocument/2006/relationships/hyperlink" Target="https://drive.google.com/drive/folders/1udcFYKRK0Vt1A7U77z0RyG9Rx-4PmJxr" TargetMode="External"/><Relationship Id="rId3121" Type="http://schemas.openxmlformats.org/officeDocument/2006/relationships/hyperlink" Target="https://www.vidio.com/live/6299-bein-1?schedule_id=4773366" TargetMode="External"/><Relationship Id="rId6691" Type="http://schemas.openxmlformats.org/officeDocument/2006/relationships/hyperlink" Target="https://drive.google.com/file/d/1yuoUynZgrVt11b10DbG1qZi44uk2V7y6/view?usp=sharing" TargetMode="External"/><Relationship Id="rId7742" Type="http://schemas.openxmlformats.org/officeDocument/2006/relationships/hyperlink" Target="https://drive.google.com/drive/folders/1d-V1Gl4MTEtl_SRu0opacKFAJo-CeA39?usp=drive_linkhttps://drive.google.com/drive/folders/1d-V1Gl4MTEtl_SRu0opacKFAJo-CeA39?usp=drive_link" TargetMode="External"/><Relationship Id="rId5293" Type="http://schemas.openxmlformats.org/officeDocument/2006/relationships/hyperlink" Target="https://drive.google.com/file/d/1QT5no0ZXksu1V2fzIWNdgZUtZ8uJOB6t/view?usp=sharing" TargetMode="External"/><Relationship Id="rId6344" Type="http://schemas.openxmlformats.org/officeDocument/2006/relationships/hyperlink" Target="https://drive.google.com/file/d/1s-FBa-X4vE4BUxA5ZvQVPE7MNaVKExep/view?usp=sharing" TargetMode="External"/><Relationship Id="rId10723" Type="http://schemas.openxmlformats.org/officeDocument/2006/relationships/hyperlink" Target="https://thumbor.prod.vidiocdn.com/8pkP4eZacQLdE4RgFOqKaaYlPio=/filters:quality(70)/vidio-media-production/uploads/image/source/52090/f70323.png" TargetMode="External"/><Relationship Id="rId9567" Type="http://schemas.openxmlformats.org/officeDocument/2006/relationships/hyperlink" Target="https://www.vidio.com/live/19738-turkish-women-s-volleyball-league?schedule_id=4725597" TargetMode="External"/><Relationship Id="rId2954" Type="http://schemas.openxmlformats.org/officeDocument/2006/relationships/hyperlink" Target="https://drive.google.com/drive/folders/1qj9LytVXdSX7fJthKvCkKVzAgl75Y2qU?usp=drive_link" TargetMode="External"/><Relationship Id="rId8169" Type="http://schemas.openxmlformats.org/officeDocument/2006/relationships/hyperlink" Target="https://drive.google.com/drive/folders/1B9Wznh7qixamtfSxQ_nMMc3LjUKPH3Wd" TargetMode="External"/><Relationship Id="rId11497" Type="http://schemas.openxmlformats.org/officeDocument/2006/relationships/hyperlink" Target="https://thumbor.prod.vidiocdn.com/z92BHPDY9nJxT_YTtrkQ_NLyRyE=/filters:quality(70)/vidio-media-production/uploads/image/source/52472/c46699.png" TargetMode="External"/><Relationship Id="rId926" Type="http://schemas.openxmlformats.org/officeDocument/2006/relationships/hyperlink" Target="https://drive.google.com/drive/folders/1OYaFEHUPP6WozxKecPCD55NZAI71A2Pz?usp=drive_link" TargetMode="External"/><Relationship Id="rId1556" Type="http://schemas.openxmlformats.org/officeDocument/2006/relationships/hyperlink" Target="https://www.vidio.com/live/19385-bri-super-league?schedule_id=4503849" TargetMode="External"/><Relationship Id="rId2607" Type="http://schemas.openxmlformats.org/officeDocument/2006/relationships/hyperlink" Target="https://drive.google.com/drive/folders/1FRJ5EYNCKwo6K7TXyFQSRPaFlFgBJi2B?usp=drive_link" TargetMode="External"/><Relationship Id="rId10099" Type="http://schemas.openxmlformats.org/officeDocument/2006/relationships/hyperlink" Target="https://drive.google.com/file/d/1xFZEGjz8w4CXUWI23rEjAgVSCF0GHyP3/view?usp=sharing" TargetMode="External"/><Relationship Id="rId1209" Type="http://schemas.openxmlformats.org/officeDocument/2006/relationships/hyperlink" Target="https://drive.google.com/file/d/1tE7ipND1EOOKMZJZbbwWdi-ClbUSeFBY/view?usp=sharing" TargetMode="External"/><Relationship Id="rId4779" Type="http://schemas.openxmlformats.org/officeDocument/2006/relationships/hyperlink" Target="https://thumbor.prod.vidiocdn.com/7csNUHRmMKsxWLiIKsPSv7mi9CA=/filters:quality(70)/vidio-media-production/uploads/image/source/52203/ac6f9f.png" TargetMode="External"/><Relationship Id="rId8650" Type="http://schemas.openxmlformats.org/officeDocument/2006/relationships/hyperlink" Target="https://drive.google.com/drive/folders/1AATzr90M_AQExtfAi6j9K7oGaV9fCsx7?usp=drive_link" TargetMode="External"/><Relationship Id="rId9701" Type="http://schemas.openxmlformats.org/officeDocument/2006/relationships/hyperlink" Target="https://drive.google.com/drive/folders/15pNHq9CzZ32MaJmWg7p6v0VgLb0lLIS2" TargetMode="External"/><Relationship Id="rId10580" Type="http://schemas.openxmlformats.org/officeDocument/2006/relationships/hyperlink" Target="https://drive.google.com/file/d/16mGVBQCzDv7umITEMo_yNmcRYOUIKI9b/view?usp=sharing" TargetMode="External"/><Relationship Id="rId11631" Type="http://schemas.openxmlformats.org/officeDocument/2006/relationships/hyperlink" Target="https://thumbor.prod.vidiocdn.com/2HAswZzTsve8hAu4kxESOTf0_rY=/filters:quality(70)/vidio-media-production/uploads/image/source/52952/990a48.png" TargetMode="External"/><Relationship Id="rId7252" Type="http://schemas.openxmlformats.org/officeDocument/2006/relationships/hyperlink" Target="https://drive.google.com/drive/folders/1LiqE1rSncMJjnxCNuQI_mD7A8eO4Lsag?usp=drive_link" TargetMode="External"/><Relationship Id="rId8303" Type="http://schemas.openxmlformats.org/officeDocument/2006/relationships/hyperlink" Target="https://drive.google.com/file/d/15DnEohZqrdnkshUbOUV1g0vxJZc3FMg3/view?usp=sharing" TargetMode="External"/><Relationship Id="rId10233" Type="http://schemas.openxmlformats.org/officeDocument/2006/relationships/hyperlink" Target="https://drive.google.com/file/d/1cJp71dMjf7b4WK9Uw63t9iOvxjHEp1y0/view?usp=sharing" TargetMode="External"/><Relationship Id="rId3862" Type="http://schemas.openxmlformats.org/officeDocument/2006/relationships/hyperlink" Target="https://thumbor.prod.vidiocdn.com/rbdj0XMzXvH3dmIX7faao3dVLkw=/filters:quality(70)/vidio-media-production/uploads/image/source/52136/25b54b.png" TargetMode="External"/><Relationship Id="rId783" Type="http://schemas.openxmlformats.org/officeDocument/2006/relationships/hyperlink" Target="https://drive.google.com/file/d/194r51RW9KRA1BKt0oa1VwVnx-9ROGyxY/view?usp=sharing" TargetMode="External"/><Relationship Id="rId2464" Type="http://schemas.openxmlformats.org/officeDocument/2006/relationships/hyperlink" Target="https://drive.google.com/drive/folders/1sRZhroBM4uVkDrneMXR_NegK7mqjiiC6?usp=drive_link" TargetMode="External"/><Relationship Id="rId3515" Type="http://schemas.openxmlformats.org/officeDocument/2006/relationships/hyperlink" Target="https://drive.google.com/drive/folders/1Gf8rp1ZhIB8bwvt2XtBpsY77lEopUh6y" TargetMode="External"/><Relationship Id="rId4913" Type="http://schemas.openxmlformats.org/officeDocument/2006/relationships/hyperlink" Target="https://thumbor.prod.vidiocdn.com/NT-9oz5qxKRDeqVUTlQNCMbk8Gg=/filters:quality(70)/vidio-media-production/uploads/image/source/53032/62f0f3.png" TargetMode="External"/><Relationship Id="rId9077" Type="http://schemas.openxmlformats.org/officeDocument/2006/relationships/hyperlink" Target="https://www.vidio.com/live/19737-turkish-men-s-volleyball-league?schedule_id=4726061" TargetMode="External"/><Relationship Id="rId12058" Type="http://schemas.openxmlformats.org/officeDocument/2006/relationships/hyperlink" Target="https://www.vidio.com/live/18250-petronas-malaysia-open-2026-round-of-16-court-2?schedule_id=4832338" TargetMode="External"/><Relationship Id="rId436" Type="http://schemas.openxmlformats.org/officeDocument/2006/relationships/hyperlink" Target="https://drive.google.com/drive/folders/1Vw5ULB3fjb8MiDjTT3Dib7EARuLaPv18" TargetMode="External"/><Relationship Id="rId1066" Type="http://schemas.openxmlformats.org/officeDocument/2006/relationships/hyperlink" Target="https://drive.google.com/file/d/11sHjjo-EHhILE95G9KxWdJ-tDdluKJrT/view?usp=sharing" TargetMode="External"/><Relationship Id="rId2117" Type="http://schemas.openxmlformats.org/officeDocument/2006/relationships/hyperlink" Target="https://drive.google.com/drive/folders/1LGfMbuy889p4O1HTKinZlwOmKdQggfqp?usp=drive_link" TargetMode="External"/><Relationship Id="rId4289" Type="http://schemas.openxmlformats.org/officeDocument/2006/relationships/hyperlink" Target="https://drive.google.com/file/d/14PN35NH4ynZF2jAKzKdB0yY_66qxuLhX/view?usp=sharing" TargetMode="External"/><Relationship Id="rId5687" Type="http://schemas.openxmlformats.org/officeDocument/2006/relationships/hyperlink" Target="https://drive.google.com/drive/folders/1Wvrh1l-jZd6PEXq_0WO5KKFpdFQFZjR6?usp=drive_link" TargetMode="External"/><Relationship Id="rId6738" Type="http://schemas.openxmlformats.org/officeDocument/2006/relationships/hyperlink" Target="https://www.vidio.com/live/19355-bri-super-league?schedule_id=4581460" TargetMode="External"/><Relationship Id="rId8160" Type="http://schemas.openxmlformats.org/officeDocument/2006/relationships/hyperlink" Target="https://drive.google.com/file/d/1I8RxNHWTXApKzTR6tvwn1LBK81PTlPKM/view?usp=sharing" TargetMode="External"/><Relationship Id="rId9211" Type="http://schemas.openxmlformats.org/officeDocument/2006/relationships/hyperlink" Target="https://drive.google.com/file/d/1bGAtWdCSL-v2iZg1GvRoYwXZwXVqVH3x/view?usp=drive_link" TargetMode="External"/><Relationship Id="rId10090" Type="http://schemas.openxmlformats.org/officeDocument/2006/relationships/hyperlink" Target="https://drive.google.com/file/d/1-G_36m9s762MRyDnUrqJef1NiXhnnQHd/view?usp=sharing" TargetMode="External"/><Relationship Id="rId11141" Type="http://schemas.openxmlformats.org/officeDocument/2006/relationships/hyperlink" Target="https://www.vidio.com/live/20249-fa-cup-2025-26?schedule_id=4833946" TargetMode="External"/><Relationship Id="rId1200" Type="http://schemas.openxmlformats.org/officeDocument/2006/relationships/hyperlink" Target="https://drive.google.com/file/d/1E4u7dTllNZB7ryv_JtjGpEiFDUoMlTTY/view?usp=sharing" TargetMode="External"/><Relationship Id="rId4770" Type="http://schemas.openxmlformats.org/officeDocument/2006/relationships/hyperlink" Target="https://drive.google.com/file/d/10jYlxuKaRtdgPBq33DE7JnbkSGvYs_Qe/view?usp=sharing" TargetMode="External"/><Relationship Id="rId5821" Type="http://schemas.openxmlformats.org/officeDocument/2006/relationships/hyperlink" Target="https://drive.google.com/drive/folders/1NAaO02sIfK3PFI71TUpm9GkTmmZkQIwr?usp=drive_link" TargetMode="External"/><Relationship Id="rId3372" Type="http://schemas.openxmlformats.org/officeDocument/2006/relationships/hyperlink" Target="https://www.vidio.com/live/19355-bri-super-league?schedule_id=4515878" TargetMode="External"/><Relationship Id="rId4423" Type="http://schemas.openxmlformats.org/officeDocument/2006/relationships/hyperlink" Target="https://drive.google.com/file/d/1JOcGTakjSI9n-lT3ENC5C1UPCZEjw_6m/view?usp=sharing" TargetMode="External"/><Relationship Id="rId7993" Type="http://schemas.openxmlformats.org/officeDocument/2006/relationships/hyperlink" Target="https://drive.google.com/drive/folders/1LCVAihZxbdB0Z4AQSne7HByak32ydff5?usp=drive_link" TargetMode="External"/><Relationship Id="rId293" Type="http://schemas.openxmlformats.org/officeDocument/2006/relationships/hyperlink" Target="https://drive.google.com/file/d/1s6MPRxne5mTqQRuZTN77SqlMsgyLmj8T/view?usp=sharing" TargetMode="External"/><Relationship Id="rId3025" Type="http://schemas.openxmlformats.org/officeDocument/2006/relationships/hyperlink" Target="https://drive.google.com/file/d/1m-7IrykxKJU2vmcI-S3rS6p6nslYJGYf/view?usp=sharing" TargetMode="External"/><Relationship Id="rId6595" Type="http://schemas.openxmlformats.org/officeDocument/2006/relationships/hyperlink" Target="https://drive.google.com/file/d/177OPZ84YiJy4bb6rnLcET-5gZwvda7sS/view?usp=sharing" TargetMode="External"/><Relationship Id="rId7646" Type="http://schemas.openxmlformats.org/officeDocument/2006/relationships/hyperlink" Target="https://drive.google.com/drive/folders/1gqPK2pK9Y20hMOFHFHcvI7Wo0Om54nc3?usp=drive_link" TargetMode="External"/><Relationship Id="rId10974" Type="http://schemas.openxmlformats.org/officeDocument/2006/relationships/hyperlink" Target="https://www.vidio.com/live/6317-bein-3?schedule_id=4803407" TargetMode="External"/><Relationship Id="rId5197" Type="http://schemas.openxmlformats.org/officeDocument/2006/relationships/hyperlink" Target="https://drive.google.com/file/d/1HKGE283mo19AdEmV5oHPluA7RnQAwFAV/view?usp=sharing" TargetMode="External"/><Relationship Id="rId6248" Type="http://schemas.openxmlformats.org/officeDocument/2006/relationships/hyperlink" Target="https://drive.google.com/file/d/1teEBH6_PgA31cqPJOWdvyu5lg6TH9m5E/view?usp=sharing" TargetMode="External"/><Relationship Id="rId10627" Type="http://schemas.openxmlformats.org/officeDocument/2006/relationships/hyperlink" Target="https://drive.google.com/file/d/1yEq98PrxAe47x4mfnuQjsgvKWRT4zZ9m/view?usp=sharing" TargetMode="External"/><Relationship Id="rId2858" Type="http://schemas.openxmlformats.org/officeDocument/2006/relationships/hyperlink" Target="https://drive.google.com/file/d/1RNC4gdL7aiPKAQxxr1mW4h6gND1cJT5v/view?usp=sharing" TargetMode="External"/><Relationship Id="rId3909" Type="http://schemas.openxmlformats.org/officeDocument/2006/relationships/hyperlink" Target="https://drive.google.com/file/d/1K2SrCDvVaCPQvbYmeQkweGbfB6DkgcRl/view?usp=sharing" TargetMode="External"/><Relationship Id="rId4280" Type="http://schemas.openxmlformats.org/officeDocument/2006/relationships/hyperlink" Target="https://drive.google.com/drive/folders/15-II7ipKAoia1ddwRA92IJ21xrPGVpIb?usp=drive_link" TargetMode="External"/><Relationship Id="rId5331" Type="http://schemas.openxmlformats.org/officeDocument/2006/relationships/hyperlink" Target="https://www.vidio.com/live/17883-uefa-champions-league?schedule_id=4733537" TargetMode="External"/><Relationship Id="rId9952" Type="http://schemas.openxmlformats.org/officeDocument/2006/relationships/hyperlink" Target="https://drive.google.com/file/d/1J5-B3pPTc1x_jde1rv0yYr7iuPnFP7Pa/view?usp=sharing" TargetMode="External"/><Relationship Id="rId1941" Type="http://schemas.openxmlformats.org/officeDocument/2006/relationships/hyperlink" Target="https://drive.google.com/file/d/12oNy-Z5uHQOCJZQLvIlX-SmFpNftUYcS/view?usp=sharing" TargetMode="External"/><Relationship Id="rId8554" Type="http://schemas.openxmlformats.org/officeDocument/2006/relationships/hyperlink" Target="https://drive.google.com/file/d/1xQpN28SItkveVwsHkZcJ2-sSvG32L3pE/view?usp=sharing" TargetMode="External"/><Relationship Id="rId9605" Type="http://schemas.openxmlformats.org/officeDocument/2006/relationships/hyperlink" Target="https://www.vidio.com/live/19355-bri-super-league?schedule_id=4724838" TargetMode="External"/><Relationship Id="rId10484" Type="http://schemas.openxmlformats.org/officeDocument/2006/relationships/hyperlink" Target="https://drive.google.com/file/d/1DNux4glLBnqI-DzUHKvsJVIQIe0fQ_QF/view?usp=sharing" TargetMode="External"/><Relationship Id="rId11535" Type="http://schemas.openxmlformats.org/officeDocument/2006/relationships/hyperlink" Target="https://drive.google.com/file/d/1GaO9iE6XUDntRDFR2fx9zK-cpDwzaM7D/view?usp=sharing" TargetMode="External"/><Relationship Id="rId11882" Type="http://schemas.openxmlformats.org/officeDocument/2006/relationships/hyperlink" Target="https://drive.google.com/file/d/1_VFmtjeoa1jB6YMFl35R4XO6xs8PdX7H/view?usp=sharing" TargetMode="External"/><Relationship Id="rId7156" Type="http://schemas.openxmlformats.org/officeDocument/2006/relationships/hyperlink" Target="https://drive.google.com/file/d/1pwqbpMMw3Z_5DKZPLbDr7bwSsk9rfZkC/view?usp=drive_link" TargetMode="External"/><Relationship Id="rId8207" Type="http://schemas.openxmlformats.org/officeDocument/2006/relationships/hyperlink" Target="https://drive.google.com/file/d/1ThHQWsa7ctbNubtI957ahQOU6z7sVQYX/view?usp=sharing" TargetMode="External"/><Relationship Id="rId10137" Type="http://schemas.openxmlformats.org/officeDocument/2006/relationships/hyperlink" Target="https://www.vidio.com/live/19998?schedule_id=4743099" TargetMode="External"/><Relationship Id="rId687" Type="http://schemas.openxmlformats.org/officeDocument/2006/relationships/hyperlink" Target="https://drive.google.com/file/d/17FwcqBC0zABBNAsZIVBpEwPITmSetK7m/view?usp=sharing" TargetMode="External"/><Relationship Id="rId2368" Type="http://schemas.openxmlformats.org/officeDocument/2006/relationships/hyperlink" Target="https://drive.google.com/drive/folders/1JTix2-Ts5K0KBgXLgVGJwMdbFvTrm6ox?usp=drive_link" TargetMode="External"/><Relationship Id="rId3766" Type="http://schemas.openxmlformats.org/officeDocument/2006/relationships/hyperlink" Target="https://drive.google.com/drive/folders/1PiR1JOr_47qvjLCMjRGMdYsr4V9RlnTp?usp=drive_link" TargetMode="External"/><Relationship Id="rId4817" Type="http://schemas.openxmlformats.org/officeDocument/2006/relationships/hyperlink" Target="https://thumbor.prod.vidiocdn.com/yxxKRfCjQjmNk1PzYBukm_Z7yI0=/filters:quality(70)/vidio-media-production/uploads/image/source/52629/972d92.png" TargetMode="External"/><Relationship Id="rId3419" Type="http://schemas.openxmlformats.org/officeDocument/2006/relationships/hyperlink" Target="https://www.vidio.com/live/19371-carabao-cup-2025-26?schedule_id=4495122" TargetMode="External"/><Relationship Id="rId6989" Type="http://schemas.openxmlformats.org/officeDocument/2006/relationships/hyperlink" Target="https://drive.google.com/drive/folders/1DrC8qLJsnWpWI-tZeb27fP__uEuayVNN?usp=drive_link" TargetMode="External"/><Relationship Id="rId3900" Type="http://schemas.openxmlformats.org/officeDocument/2006/relationships/hyperlink" Target="https://drive.google.com/drive/folders/1DghnchT6YKvRDr2HArH9cixCU9P5UFIm" TargetMode="External"/><Relationship Id="rId9462" Type="http://schemas.openxmlformats.org/officeDocument/2006/relationships/hyperlink" Target="https://thumbor.prod.vidiocdn.com/UWYqXfCeFAQAEvDEMU6OhPkQyFQ=/filters:quality(70)/vidio-media-production/uploads/image/source/53013/d678ec.png" TargetMode="External"/><Relationship Id="rId11392" Type="http://schemas.openxmlformats.org/officeDocument/2006/relationships/hyperlink" Target="https://drive.google.com/file/d/1qIezDESx2ve8eaSUkVUNPwRk3JWyB4Ya/view?usp=sharing" TargetMode="External"/><Relationship Id="rId12443" Type="http://schemas.openxmlformats.org/officeDocument/2006/relationships/hyperlink" Target="https://drive.google.com/file/d/17nqJ8YbOWxi4DOQmMA4_VvY1qMuE4tM4/view?usp=drive_link" TargetMode="External"/><Relationship Id="rId821" Type="http://schemas.openxmlformats.org/officeDocument/2006/relationships/hyperlink" Target="https://drive.google.com/file/d/1eKqhLNis3byc_o-QeKqhDQTbGF7XNC8_/view?usp=sharing" TargetMode="External"/><Relationship Id="rId1451" Type="http://schemas.openxmlformats.org/officeDocument/2006/relationships/hyperlink" Target="https://drive.google.com/drive/folders/1cHFyf1pjlJaCUGy0kewDjPRZy-Uz2TsL" TargetMode="External"/><Relationship Id="rId2502" Type="http://schemas.openxmlformats.org/officeDocument/2006/relationships/hyperlink" Target="https://www.vidio.com/live/6299-bein-1?schedule_id=4585668" TargetMode="External"/><Relationship Id="rId8064" Type="http://schemas.openxmlformats.org/officeDocument/2006/relationships/hyperlink" Target="https://drive.google.com/file/d/1_9LWxC55Q4c2uLS2cwaW2EO9t8fLcgR_/view?usp=drive_link" TargetMode="External"/><Relationship Id="rId9115" Type="http://schemas.openxmlformats.org/officeDocument/2006/relationships/hyperlink" Target="https://drive.google.com/file/d/12_MuCsv_mnliPmkwAfUmTMAycjr3kiHT/view?usp=sharing" TargetMode="External"/><Relationship Id="rId11045" Type="http://schemas.openxmlformats.org/officeDocument/2006/relationships/hyperlink" Target="https://drive.google.com/file/d/112tY2YAzt_O0Wgz9l59emoINiw43cUwo/view?usp=sharing" TargetMode="External"/><Relationship Id="rId1104" Type="http://schemas.openxmlformats.org/officeDocument/2006/relationships/hyperlink" Target="https://drive.google.com/drive/folders/1khNLkJwS5gQn9paMhVyY1pwEz-AwYIoZ?usp=drive_link" TargetMode="External"/><Relationship Id="rId4674" Type="http://schemas.openxmlformats.org/officeDocument/2006/relationships/hyperlink" Target="https://www.vidio.com/live/17939-serie-a?schedule_id=4773712" TargetMode="External"/><Relationship Id="rId5725" Type="http://schemas.openxmlformats.org/officeDocument/2006/relationships/hyperlink" Target="https://www.vidio.com/live/19630-uefa-europa-league?schedule_id=4664111" TargetMode="External"/><Relationship Id="rId3276" Type="http://schemas.openxmlformats.org/officeDocument/2006/relationships/hyperlink" Target="https://www.vidio.com/live/6686-champions-tv-2?schedule_id=4486105" TargetMode="External"/><Relationship Id="rId4327" Type="http://schemas.openxmlformats.org/officeDocument/2006/relationships/hyperlink" Target="https://www.vidio.com/live/17938-serie-a?schedule_id=4674572" TargetMode="External"/><Relationship Id="rId197" Type="http://schemas.openxmlformats.org/officeDocument/2006/relationships/hyperlink" Target="https://drive.google.com/drive/folders/1M0QKWQFrs6Liaws9dYdmf-zKKaFX7wkz?usp=drive_link" TargetMode="External"/><Relationship Id="rId6499" Type="http://schemas.openxmlformats.org/officeDocument/2006/relationships/hyperlink" Target="https://www.vidio.com/live/19644-uefa-conference-league?schedule_id=4771651" TargetMode="External"/><Relationship Id="rId7897" Type="http://schemas.openxmlformats.org/officeDocument/2006/relationships/hyperlink" Target="https://drive.google.com/file/d/15nVuuR-WJ5No4ky9eRWqil0LAl9_MpsO/view?usp=sharing" TargetMode="External"/><Relationship Id="rId8948" Type="http://schemas.openxmlformats.org/officeDocument/2006/relationships/hyperlink" Target="https://www.vidio.com/live/17139-spotv?schedule_id=4706720" TargetMode="External"/><Relationship Id="rId10878" Type="http://schemas.openxmlformats.org/officeDocument/2006/relationships/hyperlink" Target="https://www.vidio.com/live/18249-hsbc-bwf-world-tour-finals-2025-group-stage-court-1?schedule_id=4783137" TargetMode="External"/><Relationship Id="rId11929" Type="http://schemas.openxmlformats.org/officeDocument/2006/relationships/hyperlink" Target="https://drive.google.com/drive/folders/1gqnmBiDc9HaK7fTi5sC9yJeePuPZJkd8?usp=drive_link" TargetMode="External"/><Relationship Id="rId3410" Type="http://schemas.openxmlformats.org/officeDocument/2006/relationships/hyperlink" Target="https://drive.google.com/drive/u/1/folders/1j0NCOwJf9JQICRvtV7iZn-K1-1AjmN5l" TargetMode="External"/><Relationship Id="rId6980" Type="http://schemas.openxmlformats.org/officeDocument/2006/relationships/hyperlink" Target="https://drive.google.com/file/d/1VXq7DyuWUZpqtxWe_SHfjGUX1v8sp9He/view?usp=sharing" TargetMode="External"/><Relationship Id="rId331" Type="http://schemas.openxmlformats.org/officeDocument/2006/relationships/hyperlink" Target="https://drive.google.com/file/d/1vg-hktObbq76Ee7i-GStlOb2a3FgfQ6d/view?usp=sharing" TargetMode="External"/><Relationship Id="rId2012" Type="http://schemas.openxmlformats.org/officeDocument/2006/relationships/hyperlink" Target="https://drive.google.com/file/d/1Q1ZAtm0FBPKyMdT3qo4sbV9tMzMEHxHT/view?usp=sharing" TargetMode="External"/><Relationship Id="rId5582" Type="http://schemas.openxmlformats.org/officeDocument/2006/relationships/hyperlink" Target="https://www.vidio.com/live/19601-uefa-europa-league?schedule_id=4596300" TargetMode="External"/><Relationship Id="rId6633" Type="http://schemas.openxmlformats.org/officeDocument/2006/relationships/hyperlink" Target="https://drive.google.com/drive/folders/1vdszUpywZ09NzW5Y8CvRBUj4TN-1V5XE?usp=drive_link" TargetMode="External"/><Relationship Id="rId4184" Type="http://schemas.openxmlformats.org/officeDocument/2006/relationships/hyperlink" Target="https://drive.google.com/drive/folders/16f20FBDpVkXPwCDlzywBPRloWJGlPnga?usp=drive_link" TargetMode="External"/><Relationship Id="rId5235" Type="http://schemas.openxmlformats.org/officeDocument/2006/relationships/hyperlink" Target="https://drive.google.com/drive/folders/1UJh6Ohrk8ICltqRuS2ZUbx-5nOk1lSCs" TargetMode="External"/><Relationship Id="rId9856" Type="http://schemas.openxmlformats.org/officeDocument/2006/relationships/hyperlink" Target="https://drive.google.com/file/d/1bGAtWdCSL-v2iZg1GvRoYwXZwXVqVH3x/view?usp=sharing" TargetMode="External"/><Relationship Id="rId8458" Type="http://schemas.openxmlformats.org/officeDocument/2006/relationships/hyperlink" Target="https://drive.google.com/file/d/1f87JA8UK2FSftKP4JLvK5sGXaZJPAWhk/view?usp=sharing" TargetMode="External"/><Relationship Id="rId9509" Type="http://schemas.openxmlformats.org/officeDocument/2006/relationships/hyperlink" Target="https://drive.google.com/file/d/1FkyVpqdiaUASQL7c0mqDAqHfCene23vQ/view?usp=sharing" TargetMode="External"/><Relationship Id="rId11786" Type="http://schemas.openxmlformats.org/officeDocument/2006/relationships/hyperlink" Target="https://drive.google.com/file/d/1lMazJTnqsnGxNT5npfMho3ebIWrsQzsF/view?usp=sharing" TargetMode="External"/><Relationship Id="rId1845" Type="http://schemas.openxmlformats.org/officeDocument/2006/relationships/hyperlink" Target="https://drive.google.com/drive/folders/1GORguPJyPaNO6AqnpBKQZC1uCipRE3aq" TargetMode="External"/><Relationship Id="rId10388" Type="http://schemas.openxmlformats.org/officeDocument/2006/relationships/hyperlink" Target="https://drive.google.com/file/d/1iOs1pXBVSLO-gNshfTDZMmdqmrRuEPNb/view?usp=sharing" TargetMode="External"/><Relationship Id="rId11439" Type="http://schemas.openxmlformats.org/officeDocument/2006/relationships/hyperlink" Target="https://drive.google.com/file/d/1a0lH49vB7QpNrThlRTjgM4-RsXIdtbEO/view?usp=sharing" TargetMode="External"/><Relationship Id="rId11920" Type="http://schemas.openxmlformats.org/officeDocument/2006/relationships/hyperlink" Target="https://drive.google.com/drive/folders/1gqnmBiDc9HaK7fTi5sC9yJeePuPZJkd8?usp=drive_link" TargetMode="External"/><Relationship Id="rId5092" Type="http://schemas.openxmlformats.org/officeDocument/2006/relationships/hyperlink" Target="https://drive.google.com/file/d/1AgQ9-0ULsgMms3VUq8iomnQiUSvgQIiE/view?usp=sharing" TargetMode="External"/><Relationship Id="rId6490" Type="http://schemas.openxmlformats.org/officeDocument/2006/relationships/hyperlink" Target="https://drive.google.com/drive/folders/1rlHydo4tY_XMIStSk8dl0ORJDbolreYk?usp=drive_link" TargetMode="External"/><Relationship Id="rId7541" Type="http://schemas.openxmlformats.org/officeDocument/2006/relationships/hyperlink" Target="https://drive.google.com/drive/folders/17WcSu14pQveSZvRDz_qOf2JTWnqL5LS0" TargetMode="External"/><Relationship Id="rId10522" Type="http://schemas.openxmlformats.org/officeDocument/2006/relationships/hyperlink" Target="https://drive.google.com/drive/folders/1JPjrnggfgvEKQeEhKhbMorITrRrZmtZa?usp=drive_link" TargetMode="External"/><Relationship Id="rId6143" Type="http://schemas.openxmlformats.org/officeDocument/2006/relationships/hyperlink" Target="https://drive.google.com/file/d/1MLVQq2OzpLPc2x1nVWL6SX2vVlr21PJQ/view?usp=sharing" TargetMode="External"/><Relationship Id="rId2753" Type="http://schemas.openxmlformats.org/officeDocument/2006/relationships/hyperlink" Target="https://drive.google.com/drive/folders/1VzdUR-NfVFqR2H_7VNh996ccaKGhOjEv?usp=drive_link" TargetMode="External"/><Relationship Id="rId3804" Type="http://schemas.openxmlformats.org/officeDocument/2006/relationships/hyperlink" Target="https://drive.google.com/file/d/196egki0rmCQvT3G5ut55NzMgp0cKQy0Z/view?usp=sharing" TargetMode="External"/><Relationship Id="rId9366" Type="http://schemas.openxmlformats.org/officeDocument/2006/relationships/hyperlink" Target="https://drive.google.com/drive/folders/1ujqD5L84Qrn8v5RX-w5SDYXFO3oL9van" TargetMode="External"/><Relationship Id="rId11296" Type="http://schemas.openxmlformats.org/officeDocument/2006/relationships/hyperlink" Target="https://www.vidio.com/live/19354-bri-super-league?schedule_id=4827313" TargetMode="External"/><Relationship Id="rId12347" Type="http://schemas.openxmlformats.org/officeDocument/2006/relationships/hyperlink" Target="https://drive.google.com/file/d/17nqJ8YbOWxi4DOQmMA4_VvY1qMuE4tM4/view?usp=drive_link" TargetMode="External"/><Relationship Id="rId725" Type="http://schemas.openxmlformats.org/officeDocument/2006/relationships/hyperlink" Target="https://drive.google.com/file/d/1koDE3o5D3CBH4kMnDX5jlWpGNK0I9Tw5/view?usp=sharing" TargetMode="External"/><Relationship Id="rId1355" Type="http://schemas.openxmlformats.org/officeDocument/2006/relationships/hyperlink" Target="https://drive.google.com/file/d/1dOUPR1OsT-ZaFUczSRyYcsIHruJBCqx0/view?usp=sharing" TargetMode="External"/><Relationship Id="rId2406" Type="http://schemas.openxmlformats.org/officeDocument/2006/relationships/hyperlink" Target="https://drive.google.com/file/d/1Q8YKSkFfjoJ6bED313RKTo0ddMmhXAkV/view?usp=sharing" TargetMode="External"/><Relationship Id="rId9019" Type="http://schemas.openxmlformats.org/officeDocument/2006/relationships/hyperlink" Target="https://drive.google.com/drive/folders/1JDw5cAPFw1bZIzvDc-PYinz_cmT13uiC?usp=sharing" TargetMode="External"/><Relationship Id="rId1008" Type="http://schemas.openxmlformats.org/officeDocument/2006/relationships/hyperlink" Target="https://www.vidio.com/live/18797-premier-league?schedule_id=4783740" TargetMode="External"/><Relationship Id="rId4578" Type="http://schemas.openxmlformats.org/officeDocument/2006/relationships/hyperlink" Target="https://drive.google.com/drive/folders/1cPA3bxAgeDbMoUnVNgG4P3yhd2swKBf_?usp=drive_link" TargetMode="External"/><Relationship Id="rId5976" Type="http://schemas.openxmlformats.org/officeDocument/2006/relationships/hyperlink" Target="https://www.vidio.com/live/19601-uefa-europa-league?schedule_id=4773539" TargetMode="External"/><Relationship Id="rId61" Type="http://schemas.openxmlformats.org/officeDocument/2006/relationships/hyperlink" Target="https://drive.google.com/file/d/1DE19_1Ibcwmy2duj0Sjn_iXF1VoyPvFs/view?usp=sharing" TargetMode="External"/><Relationship Id="rId5629" Type="http://schemas.openxmlformats.org/officeDocument/2006/relationships/hyperlink" Target="https://drive.google.com/file/d/1t9ktBrl3fpr8TtHcDMhLZ6SPDj-33_4K/view?usp=sharing" TargetMode="External"/><Relationship Id="rId7051" Type="http://schemas.openxmlformats.org/officeDocument/2006/relationships/hyperlink" Target="https://drive.google.com/drive/folders/1YEqBFrWzE9xpmb8KJ3UDDQbAJ5BHjn-G?usp=drive_link" TargetMode="External"/><Relationship Id="rId8102" Type="http://schemas.openxmlformats.org/officeDocument/2006/relationships/hyperlink" Target="https://www.vidio.com/live/19542-pegadaian-championship-2025-26?schedule_id=4708843" TargetMode="External"/><Relationship Id="rId9500" Type="http://schemas.openxmlformats.org/officeDocument/2006/relationships/hyperlink" Target="https://drive.google.com/drive/folders/1NWtZoVZdOFyCMTqQYo-OBkpUrA6X6mAK?usp=drive_link" TargetMode="External"/><Relationship Id="rId11430" Type="http://schemas.openxmlformats.org/officeDocument/2006/relationships/hyperlink" Target="https://drive.google.com/drive/folders/1I-igJ0NWO5Sx5GCoAvrfPihncx24LqWP" TargetMode="External"/><Relationship Id="rId10032" Type="http://schemas.openxmlformats.org/officeDocument/2006/relationships/hyperlink" Target="https://thumbor.prod.vidiocdn.com/oV8x0U9aBQXHYpjdAzintiEYLR0=/filters:quality(70)/vidio-media-production/uploads/image/source/52657/e70bfd.png" TargetMode="External"/><Relationship Id="rId3661" Type="http://schemas.openxmlformats.org/officeDocument/2006/relationships/hyperlink" Target="https://drive.google.com/file/d/1Eb4mpmrU7nrme63ReYzkGvphGUSAcZdw/view?usp=sharing" TargetMode="External"/><Relationship Id="rId4712" Type="http://schemas.openxmlformats.org/officeDocument/2006/relationships/hyperlink" Target="https://drive.google.com/file/d/1mvSpZ3se5yIDGcR5kvfZIA7LKQ8ClEb-/view?usp=sharing" TargetMode="External"/><Relationship Id="rId582" Type="http://schemas.openxmlformats.org/officeDocument/2006/relationships/hyperlink" Target="https://drive.google.com/file/d/15yVi7glWqJBUYf0Jx8EriC0_j639HM1Y/view?usp=sharing" TargetMode="External"/><Relationship Id="rId2263" Type="http://schemas.openxmlformats.org/officeDocument/2006/relationships/hyperlink" Target="https://drive.google.com/drive/folders/1TTt1mWk1tAWoNkR1a6K5gRoLercMHwUK?usp=drive_link" TargetMode="External"/><Relationship Id="rId3314" Type="http://schemas.openxmlformats.org/officeDocument/2006/relationships/hyperlink" Target="https://drive.google.com/file/d/11RTG-gVsjk9JaMjYD56RtCDJFA7YGMZp/view?usp=sharing" TargetMode="External"/><Relationship Id="rId6884" Type="http://schemas.openxmlformats.org/officeDocument/2006/relationships/hyperlink" Target="https://www.vidio.com/live/17139-spotv?schedule_id=4579921" TargetMode="External"/><Relationship Id="rId7935" Type="http://schemas.openxmlformats.org/officeDocument/2006/relationships/hyperlink" Target="https://www.vidio.com/live/19548-national-football-league-2025-26?schedule_id=4645352" TargetMode="External"/><Relationship Id="rId235" Type="http://schemas.openxmlformats.org/officeDocument/2006/relationships/hyperlink" Target="https://drive.google.com/file/d/1WWKDqhz9St3OjtA_fvwdhrIcO7oESmQm/view?usp=sharing" TargetMode="External"/><Relationship Id="rId5486" Type="http://schemas.openxmlformats.org/officeDocument/2006/relationships/hyperlink" Target="https://drive.google.com/file/d/1bisPQjHegeW_XE68AgYuQBbZj4yHlzxQ/view?usp=sharing" TargetMode="External"/><Relationship Id="rId6537" Type="http://schemas.openxmlformats.org/officeDocument/2006/relationships/hyperlink" Target="https://drive.google.com/file/d/1n_rysZMOdDPgypafTerXIL3qiJYRN-N9/view?usp=drive_link" TargetMode="External"/><Relationship Id="rId10916" Type="http://schemas.openxmlformats.org/officeDocument/2006/relationships/hyperlink" Target="https://drive.google.com/file/d/1-R1GXwqAiJezdAi5KNKX4MkT2UUxUbzn/view?usp=sharing" TargetMode="External"/><Relationship Id="rId4088" Type="http://schemas.openxmlformats.org/officeDocument/2006/relationships/hyperlink" Target="https://drive.google.com/drive/folders/1gld7hF_Ce_A3oVQk8cmaRf4XidPuBodS?usp=drive_link" TargetMode="External"/><Relationship Id="rId5139" Type="http://schemas.openxmlformats.org/officeDocument/2006/relationships/hyperlink" Target="https://drive.google.com/file/d/1SJhJNZpMKhzvagHXdCG-KG3IAxTmn5gn/view?usp=sharing" TargetMode="External"/><Relationship Id="rId9010" Type="http://schemas.openxmlformats.org/officeDocument/2006/relationships/hyperlink" Target="https://drive.google.com/file/d/1X-onyD7Zbn27J7bk9mL9gKIXpGZCgmXz/view?usp=drive_link" TargetMode="External"/><Relationship Id="rId1749" Type="http://schemas.openxmlformats.org/officeDocument/2006/relationships/hyperlink" Target="https://drive.google.com/drive/folders/1sVwTrpesFKW2Bm6-2TgC6xrUTs44pfHX" TargetMode="External"/><Relationship Id="rId3171" Type="http://schemas.openxmlformats.org/officeDocument/2006/relationships/hyperlink" Target="https://www.vidio.com/live/6299-bein-1?schedule_id=4783750" TargetMode="External"/><Relationship Id="rId5620" Type="http://schemas.openxmlformats.org/officeDocument/2006/relationships/hyperlink" Target="https://www.vidio.com/live/17875-bein-2?schedule_id=4613309" TargetMode="External"/><Relationship Id="rId4222" Type="http://schemas.openxmlformats.org/officeDocument/2006/relationships/hyperlink" Target="https://drive.google.com/file/d/1-CbwmGydCaEzq2YrRI6n7G5TAlRCi3mD/view?usp=sharing" TargetMode="External"/><Relationship Id="rId7792" Type="http://schemas.openxmlformats.org/officeDocument/2006/relationships/hyperlink" Target="https://drive.google.com/file/d/1mn707SYUBMBS8FO3xMa7J1q-UShTki_M/view?usp=sharing" TargetMode="External"/><Relationship Id="rId8843" Type="http://schemas.openxmlformats.org/officeDocument/2006/relationships/hyperlink" Target="https://drive.google.com/file/d/1hreQrppdbh_QcKUd9FofLVTjEPs9XBFu/view?usp=sharing" TargetMode="External"/><Relationship Id="rId10773" Type="http://schemas.openxmlformats.org/officeDocument/2006/relationships/hyperlink" Target="https://drive.google.com/file/d/1_7dz0OL7rB4yUs1lz4QvCEi0uzA_psp-/view?usp=sharing" TargetMode="External"/><Relationship Id="rId11824" Type="http://schemas.openxmlformats.org/officeDocument/2006/relationships/hyperlink" Target="https://drive.google.com/file/d/1RvpVSYEuxwkTup3qpzOCOplWtOxx9WK3/view?usp=sharing" TargetMode="External"/><Relationship Id="rId6394" Type="http://schemas.openxmlformats.org/officeDocument/2006/relationships/hyperlink" Target="https://drive.google.com/file/d/1qvbvg9vh6vUjJLAzGzaSmWkWtV-gI4uU/view?usp=drive_link" TargetMode="External"/><Relationship Id="rId7445" Type="http://schemas.openxmlformats.org/officeDocument/2006/relationships/hyperlink" Target="https://drive.google.com/file/d/1AxBpheseSWY77H5Yyu6lvGjyxK6YWv0c/view?usp=sharing" TargetMode="External"/><Relationship Id="rId10426" Type="http://schemas.openxmlformats.org/officeDocument/2006/relationships/hyperlink" Target="https://drive.google.com/drive/folders/1sXf2_TrGpFVRZ9RErVPVau47T1jbHGMa?usp=drive_link" TargetMode="External"/><Relationship Id="rId6047" Type="http://schemas.openxmlformats.org/officeDocument/2006/relationships/hyperlink" Target="https://drive.google.com/file/d/1934uOIBxDllqnTNRVHzijGexKZ_CrR5k/view?usp=sharing" TargetMode="External"/><Relationship Id="rId976" Type="http://schemas.openxmlformats.org/officeDocument/2006/relationships/hyperlink" Target="https://drive.google.com/file/d/1gH-8ssCyeheaaVbQOj1kLOjEGmmNJgzo/view?usp=sharing" TargetMode="External"/><Relationship Id="rId2657" Type="http://schemas.openxmlformats.org/officeDocument/2006/relationships/hyperlink" Target="https://drive.google.com/drive/folders/1sGw-DaHxPcGNTSCPIrx74_L1quXEPLvL?usp=drive_link" TargetMode="External"/><Relationship Id="rId629" Type="http://schemas.openxmlformats.org/officeDocument/2006/relationships/hyperlink" Target="https://drive.google.com/file/d/12p1aQlJ8lfxbKoYOFqbQg2Li66DqaC8x/view?usp=sharing" TargetMode="External"/><Relationship Id="rId1259" Type="http://schemas.openxmlformats.org/officeDocument/2006/relationships/hyperlink" Target="https://thumbor.prod.vidiocdn.com/l4dOwBmUbEimkSriwx_PJu9uQz8=/filters:quality(70)/vidio-media-production/uploads/image/source/52843/8d5a96.png" TargetMode="External"/><Relationship Id="rId3708" Type="http://schemas.openxmlformats.org/officeDocument/2006/relationships/hyperlink" Target="https://drive.google.com/file/d/1ZRH0of7ELbhWGiM2rLdKlpeRRwW9hcaB/view?usp=sharing" TargetMode="External"/><Relationship Id="rId5130" Type="http://schemas.openxmlformats.org/officeDocument/2006/relationships/hyperlink" Target="https://drive.google.com/drive/folders/1d8RfZ3AxKm4vcq0d__doqb5lGvVI-NuD" TargetMode="External"/><Relationship Id="rId9751" Type="http://schemas.openxmlformats.org/officeDocument/2006/relationships/hyperlink" Target="https://drive.google.com/file/d/1Gcte_nVH2kCFipoo6vX6K3Du9Bd3KmLu/view?usp=sharing" TargetMode="External"/><Relationship Id="rId11681" Type="http://schemas.openxmlformats.org/officeDocument/2006/relationships/hyperlink" Target="https://www.vidio.com/live/19623-national-football-league-2025-26?schedule_id=4827334" TargetMode="External"/><Relationship Id="rId1740" Type="http://schemas.openxmlformats.org/officeDocument/2006/relationships/hyperlink" Target="https://drive.google.com/file/d/1rHNGieHPsO-M7oQ8dz0-bzrmA_UG0xbf/view?usp=drive_link" TargetMode="External"/><Relationship Id="rId8353" Type="http://schemas.openxmlformats.org/officeDocument/2006/relationships/hyperlink" Target="https://drive.google.com/drive/folders/11-3RUwk_1392EWfTv974PaOFjrDhJQyT?usp=drive_link" TargetMode="External"/><Relationship Id="rId9404" Type="http://schemas.openxmlformats.org/officeDocument/2006/relationships/hyperlink" Target="https://drive.google.com/file/d/1BYM89SkLCjY3_3JCNNBHS5tJxorVkO6f/view?usp=sharing" TargetMode="External"/><Relationship Id="rId10283" Type="http://schemas.openxmlformats.org/officeDocument/2006/relationships/hyperlink" Target="https://www.vidio.com/live/19623-national-football-league-2025-26?schedule_id=4773713" TargetMode="External"/><Relationship Id="rId11334" Type="http://schemas.openxmlformats.org/officeDocument/2006/relationships/hyperlink" Target="https://www.vidio.com/live/19385-bri-super-league?schedule_id=4832537" TargetMode="External"/><Relationship Id="rId4963" Type="http://schemas.openxmlformats.org/officeDocument/2006/relationships/hyperlink" Target="https://www.vidio.com/live/6299-bein-1?schedule_id=4569286" TargetMode="External"/><Relationship Id="rId8006" Type="http://schemas.openxmlformats.org/officeDocument/2006/relationships/hyperlink" Target="https://www.vidio.com/live/19541-pegadaian-championship-2025-26?schedule_id=4676984" TargetMode="External"/><Relationship Id="rId3565" Type="http://schemas.openxmlformats.org/officeDocument/2006/relationships/hyperlink" Target="https://www.vidio.com/live/6686-champions-tv-2?schedule_id=4790712" TargetMode="External"/><Relationship Id="rId4616" Type="http://schemas.openxmlformats.org/officeDocument/2006/relationships/hyperlink" Target="https://drive.google.com/file/d/1-ieUop0z4BCKlEEErc7NEAFWAhr1vVJA/view?usp=sharing" TargetMode="External"/><Relationship Id="rId486" Type="http://schemas.openxmlformats.org/officeDocument/2006/relationships/hyperlink" Target="https://drive.google.com/file/d/1yxucoUy_aMVLziFfaCSeRVPh-oXg3gF3/view?usp=sharing" TargetMode="External"/><Relationship Id="rId2167" Type="http://schemas.openxmlformats.org/officeDocument/2006/relationships/hyperlink" Target="https://drive.google.com/file/d/1tNWCZ2RoggkfxPDSRrXf2UJWAjXqYx8g/view?usp=sharing" TargetMode="External"/><Relationship Id="rId3218" Type="http://schemas.openxmlformats.org/officeDocument/2006/relationships/hyperlink" Target="https://www.vidio.com/live/6299-bein-1?schedule_id=4819768" TargetMode="External"/><Relationship Id="rId6788" Type="http://schemas.openxmlformats.org/officeDocument/2006/relationships/hyperlink" Target="https://drive.google.com/file/d/1DNux4glLBnqI-DzUHKvsJVIQIe0fQ_QF/view?usp=sharing" TargetMode="External"/><Relationship Id="rId139" Type="http://schemas.openxmlformats.org/officeDocument/2006/relationships/hyperlink" Target="https://drive.google.com/file/d/1VEtllaJzjhOthbqtOr-R2FgCbyvy8roc/view?usp=sharing" TargetMode="External"/><Relationship Id="rId7839" Type="http://schemas.openxmlformats.org/officeDocument/2006/relationships/hyperlink" Target="https://drive.google.com/file/d/1Dlpjo0uA9lUJ0Fhi59kHz1HG9Wpli24U/view?usp=sharing" TargetMode="External"/><Relationship Id="rId9261" Type="http://schemas.openxmlformats.org/officeDocument/2006/relationships/hyperlink" Target="https://www.vidio.com/live/19812-top-soccer-championship-2025-u-15?schedule_id=4708911" TargetMode="External"/><Relationship Id="rId11191" Type="http://schemas.openxmlformats.org/officeDocument/2006/relationships/hyperlink" Target="https://drive.google.com/drive/folders/1b5JtbrIF_jBtqB1WJ1qJUSGD9K07569q" TargetMode="External"/><Relationship Id="rId12242" Type="http://schemas.openxmlformats.org/officeDocument/2006/relationships/hyperlink" Target="https://drive.google.com/file/d/17nqJ8YbOWxi4DOQmMA4_VvY1qMuE4tM4/view?usp=drive_link" TargetMode="External"/><Relationship Id="rId620" Type="http://schemas.openxmlformats.org/officeDocument/2006/relationships/hyperlink" Target="https://drive.google.com/drive/folders/1reJgqrta8-x_LZOVIyNxF2oALmNOZ9ZP?usp=drive_link" TargetMode="External"/><Relationship Id="rId1250" Type="http://schemas.openxmlformats.org/officeDocument/2006/relationships/hyperlink" Target="https://thumbor.prod.vidiocdn.com/ppIl0qJtKjFmw1z-HcunPIk__Us=/filters:quality(70)/vidio-media-production/uploads/image/source/52840/76a29c.png" TargetMode="External"/><Relationship Id="rId2301" Type="http://schemas.openxmlformats.org/officeDocument/2006/relationships/hyperlink" Target="https://drive.google.com/file/d/1DIdhKICT5tdo-6zX81Hmw7sUyhlgwivB/view?usp=sharing" TargetMode="External"/><Relationship Id="rId5871" Type="http://schemas.openxmlformats.org/officeDocument/2006/relationships/hyperlink" Target="https://www.vidio.com/live/19629-uefa-europa-league?schedule_id=4702069" TargetMode="External"/><Relationship Id="rId6922" Type="http://schemas.openxmlformats.org/officeDocument/2006/relationships/hyperlink" Target="https://www.vidio.com/live/19542-pegadaian-championship-2025-26?schedule_id=4582513" TargetMode="External"/><Relationship Id="rId4473" Type="http://schemas.openxmlformats.org/officeDocument/2006/relationships/hyperlink" Target="https://www.vidio.com/live/19404-serie-a?schedule_id=4707268" TargetMode="External"/><Relationship Id="rId5524" Type="http://schemas.openxmlformats.org/officeDocument/2006/relationships/hyperlink" Target="https://drive.google.com/file/d/1uvN_bITwPG7hlPb5eRXwAJcK2oJlehvt/view?usp=sharing" TargetMode="External"/><Relationship Id="rId3075" Type="http://schemas.openxmlformats.org/officeDocument/2006/relationships/hyperlink" Target="https://drive.google.com/file/d/12sb4x1Awy_NItNpo0eZ1Wi8uX-xHepVX/view?usp=sharing" TargetMode="External"/><Relationship Id="rId4126" Type="http://schemas.openxmlformats.org/officeDocument/2006/relationships/hyperlink" Target="https://www.vidio.com/live/19404-serie-a?schedule_id=4598343" TargetMode="External"/><Relationship Id="rId7696" Type="http://schemas.openxmlformats.org/officeDocument/2006/relationships/hyperlink" Target="https://drive.google.com/file/d/1K2wXKZ0ZVpwtirOWALllOuK67hIRIUW7/view?usp=sharing" TargetMode="External"/><Relationship Id="rId8747" Type="http://schemas.openxmlformats.org/officeDocument/2006/relationships/hyperlink" Target="https://drive.google.com/drive/folders/1NepG6XT-FSa8Cs07sX3tPfQWLNpJfAxp" TargetMode="External"/><Relationship Id="rId6298" Type="http://schemas.openxmlformats.org/officeDocument/2006/relationships/hyperlink" Target="https://drive.google.com/file/d/1G6oapdukKYbFG_2_pL1DFHjX2Lj1eBC6/view?usp=sharing" TargetMode="External"/><Relationship Id="rId7349" Type="http://schemas.openxmlformats.org/officeDocument/2006/relationships/hyperlink" Target="https://drive.google.com/file/d/1Df1lklT10G6MWMl49y6x_xCv6SILRMMy/view?usp=sharing" TargetMode="External"/><Relationship Id="rId10677" Type="http://schemas.openxmlformats.org/officeDocument/2006/relationships/hyperlink" Target="https://thumbor.prod.vidiocdn.com/1TktBXOm8MVtVp72WK1zm8QCUoY=/filters:quality(70)/vidio-media-production/uploads/image/source/52896/d64a7b.png" TargetMode="External"/><Relationship Id="rId11728" Type="http://schemas.openxmlformats.org/officeDocument/2006/relationships/hyperlink" Target="https://thumbor.prod.vidiocdn.com/mH8dD95IYkd4XvfRs2JjCqKuIQ8=/filters:quality(70)/vidio-media-production/uploads/image/source/53266/5b5143.png" TargetMode="External"/><Relationship Id="rId130" Type="http://schemas.openxmlformats.org/officeDocument/2006/relationships/hyperlink" Target="https://www.vidio.com/live/9183-champions-tv-6?schedule_id=4512866" TargetMode="External"/><Relationship Id="rId3959" Type="http://schemas.openxmlformats.org/officeDocument/2006/relationships/hyperlink" Target="https://www.vidio.com/live/19472?schedule_id=4534251" TargetMode="External"/><Relationship Id="rId5381" Type="http://schemas.openxmlformats.org/officeDocument/2006/relationships/hyperlink" Target="https://drive.google.com/drive/folders/14Wb3x9yN298vTECYGS7G_yCO7LWjXAJK" TargetMode="External"/><Relationship Id="rId7830" Type="http://schemas.openxmlformats.org/officeDocument/2006/relationships/hyperlink" Target="https://www.vidio.com/live/19677-turkish-women-s-volleyball-cup?schedule_id=4636676" TargetMode="External"/><Relationship Id="rId10811" Type="http://schemas.openxmlformats.org/officeDocument/2006/relationships/hyperlink" Target="https://drive.google.com/drive/folders/1Ds-OhdHpsEyMbqMRA2jVZKCBk2hWPw0E?usp=drive_link" TargetMode="External"/><Relationship Id="rId5034" Type="http://schemas.openxmlformats.org/officeDocument/2006/relationships/hyperlink" Target="https://drive.google.com/file/d/16tu4S9b10r1wCPzdom3umoVToTNi6n8d/view?usp=sharing" TargetMode="External"/><Relationship Id="rId6432" Type="http://schemas.openxmlformats.org/officeDocument/2006/relationships/hyperlink" Target="https://drive.google.com/drive/folders/1K5NkNXa92kcYWcOVx356l1dQXPcia993" TargetMode="External"/><Relationship Id="rId1991" Type="http://schemas.openxmlformats.org/officeDocument/2006/relationships/hyperlink" Target="https://drive.google.com/drive/folders/1ParHW36bDLQK4p2q0aloF3g-WUolPGBY" TargetMode="External"/><Relationship Id="rId9655" Type="http://schemas.openxmlformats.org/officeDocument/2006/relationships/hyperlink" Target="https://drive.google.com/drive/folders/1nhQVrqu25HryUJlrFtjtW10ag5Hwjl7C?usp=drive_link" TargetMode="External"/><Relationship Id="rId11585" Type="http://schemas.openxmlformats.org/officeDocument/2006/relationships/hyperlink" Target="https://drive.google.com/file/d/1RtIj3pzERzMmEiV3q1auft-O344dS57m/view?usp=sharing" TargetMode="External"/><Relationship Id="rId1644" Type="http://schemas.openxmlformats.org/officeDocument/2006/relationships/hyperlink" Target="https://drive.google.com/file/d/1pFZje6zTkaH-Lk6NbCekgDVVTWKMKhTq/view?usp=drive_link" TargetMode="External"/><Relationship Id="rId8257" Type="http://schemas.openxmlformats.org/officeDocument/2006/relationships/hyperlink" Target="https://drive.google.com/drive/folders/1NepG6XT-FSa8Cs07sX3tPfQWLNpJfAxp" TargetMode="External"/><Relationship Id="rId9308" Type="http://schemas.openxmlformats.org/officeDocument/2006/relationships/hyperlink" Target="https://drive.google.com/file/d/1n_OXVqQYuyA1lmhKbffbP83kfGp6hDIF/view?usp=sharing" TargetMode="External"/><Relationship Id="rId10187" Type="http://schemas.openxmlformats.org/officeDocument/2006/relationships/hyperlink" Target="https://www.vidio.com/live/6299-bein-1?schedule_id=4769287" TargetMode="External"/><Relationship Id="rId11238" Type="http://schemas.openxmlformats.org/officeDocument/2006/relationships/hyperlink" Target="https://thumbor.prod.vidiocdn.com/wop1yipBGFx9FgdlxJDANMYBY7M=/filters:quality(70)/vidio-media-production/uploads/image/source/52352/a36570.png" TargetMode="External"/><Relationship Id="rId4867" Type="http://schemas.openxmlformats.org/officeDocument/2006/relationships/hyperlink" Target="https://drive.google.com/file/d/1Et82E4S4KTCh5DXTALXBzGftgfXe6A-9/view?usp=sharing" TargetMode="External"/><Relationship Id="rId3469" Type="http://schemas.openxmlformats.org/officeDocument/2006/relationships/hyperlink" Target="https://drive.google.com/drive/folders/1uSLbtGKmSreKxiIh_xzoQjaRrF1MiJa2" TargetMode="External"/><Relationship Id="rId5918" Type="http://schemas.openxmlformats.org/officeDocument/2006/relationships/hyperlink" Target="https://drive.google.com/file/d/1aXpvQbJp-gtFv8pj8BCz8cJ6Ct0XkGIr/view?usp=sharing" TargetMode="External"/><Relationship Id="rId7340" Type="http://schemas.openxmlformats.org/officeDocument/2006/relationships/hyperlink" Target="https://www.vidio.com/live/19355-bri-super-league?schedule_id=4596463" TargetMode="External"/><Relationship Id="rId10321" Type="http://schemas.openxmlformats.org/officeDocument/2006/relationships/hyperlink" Target="https://www.vidio.com/live/18250-hsbc-bwf-world-tour-finals-2025-group-stage-court-2" TargetMode="External"/><Relationship Id="rId3950" Type="http://schemas.openxmlformats.org/officeDocument/2006/relationships/hyperlink" Target="https://www.vidio.com/live/19472?schedule_id=4534248" TargetMode="External"/><Relationship Id="rId9165" Type="http://schemas.openxmlformats.org/officeDocument/2006/relationships/hyperlink" Target="https://www.vidio.com/live/19802-top-youth-premier-league-2025-matchday-10?schedule_id=4709317" TargetMode="External"/><Relationship Id="rId871" Type="http://schemas.openxmlformats.org/officeDocument/2006/relationships/hyperlink" Target="https://drive.google.com/drive/folders/1if-FK8sl0PXGziXxE2_Dx5dlC5lQRFEL?usp=drive_link" TargetMode="External"/><Relationship Id="rId2552" Type="http://schemas.openxmlformats.org/officeDocument/2006/relationships/hyperlink" Target="https://drive.google.com/file/d/1rdtcoUHRDs5hMQ1t2WQiUp-_1ZU1VI7b/view?usp=drive_link" TargetMode="External"/><Relationship Id="rId3603" Type="http://schemas.openxmlformats.org/officeDocument/2006/relationships/hyperlink" Target="https://www.vidio.com/live/9183-champions-tv-6?schedule_id=4512814" TargetMode="External"/><Relationship Id="rId11095" Type="http://schemas.openxmlformats.org/officeDocument/2006/relationships/hyperlink" Target="https://www.vidio.com/live/19548-national-football-league-2025-26?schedule_id=4797258" TargetMode="External"/><Relationship Id="rId12146" Type="http://schemas.openxmlformats.org/officeDocument/2006/relationships/hyperlink" Target="https://drive.google.com/file/d/17nqJ8YbOWxi4DOQmMA4_VvY1qMuE4tM4/view?usp=drive_link" TargetMode="External"/><Relationship Id="rId524" Type="http://schemas.openxmlformats.org/officeDocument/2006/relationships/hyperlink" Target="https://www.vidio.com/live/9182-champions-tv-5?schedule_id=4653353" TargetMode="External"/><Relationship Id="rId1154" Type="http://schemas.openxmlformats.org/officeDocument/2006/relationships/hyperlink" Target="https://drive.google.com/file/d/18SUKV0UT0q2kcTmQX9QAV8eEm2iwKWpw/view?usp=sharing" TargetMode="External"/><Relationship Id="rId2205" Type="http://schemas.openxmlformats.org/officeDocument/2006/relationships/hyperlink" Target="https://drive.google.com/file/d/1aeyTiZaNmhZwWHYq-ic6SlxnjXKsszNt/view?usp=sharing" TargetMode="External"/><Relationship Id="rId5775" Type="http://schemas.openxmlformats.org/officeDocument/2006/relationships/hyperlink" Target="https://drive.google.com/file/d/1v5NrsfYIV1igrovI8YTEVSsDI1_EPowA/view?usp=sharing" TargetMode="External"/><Relationship Id="rId6826" Type="http://schemas.openxmlformats.org/officeDocument/2006/relationships/hyperlink" Target="https://drive.google.com/file/d/1mnUBYK3_GEbcdW9IyEsPiaWxZPtuX7XM/view?usp=drive_link" TargetMode="External"/><Relationship Id="rId4377" Type="http://schemas.openxmlformats.org/officeDocument/2006/relationships/hyperlink" Target="https://drive.google.com/file/d/12E7UubIzFGidMPei8COcljSEGvou0CD9/view?usp=sharing" TargetMode="External"/><Relationship Id="rId5428" Type="http://schemas.openxmlformats.org/officeDocument/2006/relationships/hyperlink" Target="https://drive.google.com/file/d/1CBUS6VB6F6zvcc6s7waro3tSmYd-ILyX/view?usp=sharing" TargetMode="External"/><Relationship Id="rId8998" Type="http://schemas.openxmlformats.org/officeDocument/2006/relationships/hyperlink" Target="https://drive.google.com/drive/folders/1-9pRUWdOz6YkJL8Tt7c4anjkJ1iLsG7K?usp=drive_link" TargetMode="External"/><Relationship Id="rId11979" Type="http://schemas.openxmlformats.org/officeDocument/2006/relationships/hyperlink" Target="https://www.vidio.com/live/18249-petronas-malaysia-open-2026-round-of-32-court-1?schedule_id=4832321" TargetMode="External"/><Relationship Id="rId3460" Type="http://schemas.openxmlformats.org/officeDocument/2006/relationships/hyperlink" Target="https://drive.google.com/file/d/1hFiX1bd9ZsEeWjuBVBpB2e8i7BPMr_oY/view?usp=drive_link" TargetMode="External"/><Relationship Id="rId381" Type="http://schemas.openxmlformats.org/officeDocument/2006/relationships/hyperlink" Target="https://drive.google.com/drive/folders/1Awziv80ehkjtoggdOXenzauu8nM-JtYn?usp=drive_link" TargetMode="External"/><Relationship Id="rId2062" Type="http://schemas.openxmlformats.org/officeDocument/2006/relationships/hyperlink" Target="https://www.vidio.com/live/19354-bri-super-league?schedule_id=4724839" TargetMode="External"/><Relationship Id="rId3113" Type="http://schemas.openxmlformats.org/officeDocument/2006/relationships/hyperlink" Target="https://drive.google.com/file/d/1CQj1dOrW_YmVQvliP3qkqJhvaG1qmi0F/view?usp=drive_link" TargetMode="External"/><Relationship Id="rId4511" Type="http://schemas.openxmlformats.org/officeDocument/2006/relationships/hyperlink" Target="https://drive.google.com/file/d/1yWV6KGa-hT159erWiZy9w9bu6Frg1wGv/view?usp=sharing" TargetMode="External"/><Relationship Id="rId6683" Type="http://schemas.openxmlformats.org/officeDocument/2006/relationships/hyperlink" Target="https://drive.google.com/drive/folders/1RughArXkZoUF6fb-IhHROH7v3gssI9vB?usp=drive_link" TargetMode="External"/><Relationship Id="rId7734" Type="http://schemas.openxmlformats.org/officeDocument/2006/relationships/hyperlink" Target="https://drive.google.com/file/d/1PbEPYarv7nyv3MBViLKkw4TwnU9zhdsn/view?usp=sharing" TargetMode="External"/><Relationship Id="rId10715" Type="http://schemas.openxmlformats.org/officeDocument/2006/relationships/hyperlink" Target="https://www.vidio.com/live/9183-champions-tv-6?schedule_id=4783749" TargetMode="External"/><Relationship Id="rId5285" Type="http://schemas.openxmlformats.org/officeDocument/2006/relationships/hyperlink" Target="https://drive.google.com/drive/folders/1UJh6Ohrk8ICltqRuS2ZUbx-5nOk1lSCs" TargetMode="External"/><Relationship Id="rId6336" Type="http://schemas.openxmlformats.org/officeDocument/2006/relationships/hyperlink" Target="https://drive.google.com/drive/folders/1036svx-ykxgJ3aq-atXAL_G1fLSd0inD" TargetMode="External"/><Relationship Id="rId1895" Type="http://schemas.openxmlformats.org/officeDocument/2006/relationships/hyperlink" Target="https://drive.google.com/file/d/19Avo6fZotDSnLrqoNdvNfhG7KMuq-tjT/view?usp=sharing" TargetMode="External"/><Relationship Id="rId2946" Type="http://schemas.openxmlformats.org/officeDocument/2006/relationships/hyperlink" Target="https://drive.google.com/file/d/1ql9uJ_dAhwjPxZ_6M-RTP3cTWrOhQrOl/view?usp=sharing" TargetMode="External"/><Relationship Id="rId9559" Type="http://schemas.openxmlformats.org/officeDocument/2006/relationships/hyperlink" Target="https://drive.google.com/file/d/1bGAtWdCSL-v2iZg1GvRoYwXZwXVqVH3x/view" TargetMode="External"/><Relationship Id="rId11489" Type="http://schemas.openxmlformats.org/officeDocument/2006/relationships/hyperlink" Target="https://drive.google.com/file/d/1Dv8EJaoMIx90v4wyFiF5d80D_uGoYI8U/view?usp=sharing" TargetMode="External"/><Relationship Id="rId918" Type="http://schemas.openxmlformats.org/officeDocument/2006/relationships/hyperlink" Target="https://www.vidio.com/live/9182-champions-tv-5?schedule_id=4759272" TargetMode="External"/><Relationship Id="rId1548" Type="http://schemas.openxmlformats.org/officeDocument/2006/relationships/hyperlink" Target="https://drive.google.com/file/d/12OjFXM0uMqLHfPT3CJSLIBSHTmnAPvc6/view?usp=drive_link" TargetMode="External"/><Relationship Id="rId4021" Type="http://schemas.openxmlformats.org/officeDocument/2006/relationships/hyperlink" Target="https://drive.google.com/file/d/1E4NEuj1EiZZckCzawsPhER8_1oSzqBY9/view?usp=drive_link" TargetMode="External"/><Relationship Id="rId7591" Type="http://schemas.openxmlformats.org/officeDocument/2006/relationships/hyperlink" Target="https://drive.google.com/drive/folders/1dv8Ic6aGFnPjxTevB9xSCxYN6jIqOEfV?usp=drive_link" TargetMode="External"/><Relationship Id="rId11970" Type="http://schemas.openxmlformats.org/officeDocument/2006/relationships/hyperlink" Target="https://www.vidio.com/live/18252-petronas-malaysia-open-2026-round-of-32-court-3?schedule_id=4832197" TargetMode="External"/><Relationship Id="rId6193" Type="http://schemas.openxmlformats.org/officeDocument/2006/relationships/hyperlink" Target="https://drive.google.com/drive/folders/1ENEGRNoy9QJDDnuDpOQsu3bk8Em9uYqf" TargetMode="External"/><Relationship Id="rId7244" Type="http://schemas.openxmlformats.org/officeDocument/2006/relationships/hyperlink" Target="https://www.vidio.com/live/19542-pegadaian-championship-2025-26?schedule_id=4652404" TargetMode="External"/><Relationship Id="rId8642" Type="http://schemas.openxmlformats.org/officeDocument/2006/relationships/hyperlink" Target="https://drive.google.com/file/d/1LoQgePs8dRi4kWOODl1uRT2P3ndVNBx5/view?usp=sharing" TargetMode="External"/><Relationship Id="rId10572" Type="http://schemas.openxmlformats.org/officeDocument/2006/relationships/hyperlink" Target="https://drive.google.com/file/d/1TotC_vR2gB-u4dWTkTneRzJXQckGxn01/view?usp=sharing" TargetMode="External"/><Relationship Id="rId11623" Type="http://schemas.openxmlformats.org/officeDocument/2006/relationships/hyperlink" Target="https://drive.google.com/drive/folders/11zBt1RpRXGPRmzB9EcKSHMACvusZtoTC" TargetMode="External"/><Relationship Id="rId10225" Type="http://schemas.openxmlformats.org/officeDocument/2006/relationships/hyperlink" Target="https://drive.google.com/file/d/1uza080OZep1zZVvGAFOHHfQgbK4pPXzp/view?usp=sharing" TargetMode="External"/><Relationship Id="rId3854" Type="http://schemas.openxmlformats.org/officeDocument/2006/relationships/hyperlink" Target="https://thumbor.prod.vidiocdn.com/QXhsY6roe9qfuqa3kQcnH44GsDM=/filters:quality(70)/vidio-media-production/uploads/image/source/52124/be3306.png" TargetMode="External"/><Relationship Id="rId4905" Type="http://schemas.openxmlformats.org/officeDocument/2006/relationships/hyperlink" Target="https://drive.google.com/file/d/13poEMooR04dlXhoaMHoDFdF-u9QQKIx0/view?usp=sharing" TargetMode="External"/><Relationship Id="rId12397" Type="http://schemas.openxmlformats.org/officeDocument/2006/relationships/hyperlink" Target="https://drive.google.com/file/d/1eYrHSZhFd95KyhXxrabgACyw4RU-iuHU/view?usp=sharing" TargetMode="External"/><Relationship Id="rId775" Type="http://schemas.openxmlformats.org/officeDocument/2006/relationships/hyperlink" Target="https://drive.google.com/drive/folders/1kJpvjEEPqG8yaoRIsSnfzoWDkla5rfuH" TargetMode="External"/><Relationship Id="rId2456" Type="http://schemas.openxmlformats.org/officeDocument/2006/relationships/hyperlink" Target="https://drive.google.com/file/d/1-STLI5LAiZndivgJA8vT3gP8xBuMjgVs/view?usp=sharing" TargetMode="External"/><Relationship Id="rId3507" Type="http://schemas.openxmlformats.org/officeDocument/2006/relationships/hyperlink" Target="https://drive.google.com/file/d/10P4R03rCTQ5wzHsm_a4gUMocm1B5I6xG/view?usp=drive_link" TargetMode="External"/><Relationship Id="rId9069" Type="http://schemas.openxmlformats.org/officeDocument/2006/relationships/hyperlink" Target="https://www.vidio.com/live/19737-turkish-men-s-volleyball-league?schedule_id=4721180" TargetMode="External"/><Relationship Id="rId428" Type="http://schemas.openxmlformats.org/officeDocument/2006/relationships/hyperlink" Target="https://www.vidio.com/live/9183-champions-tv-6?schedule_id=4626716" TargetMode="External"/><Relationship Id="rId1058" Type="http://schemas.openxmlformats.org/officeDocument/2006/relationships/hyperlink" Target="https://drive.google.com/file/d/1kTlAj4lTVzw8tsQ4aKCCRlYl34ObLrad/view?usp=drive_link" TargetMode="External"/><Relationship Id="rId2109" Type="http://schemas.openxmlformats.org/officeDocument/2006/relationships/hyperlink" Target="https://drive.google.com/file/d/1URMc59081LsjP6ZeRH2rAwiaPwDfLSIl/view?usp=sharing" TargetMode="External"/><Relationship Id="rId5679" Type="http://schemas.openxmlformats.org/officeDocument/2006/relationships/hyperlink" Target="https://drive.google.com/drive/folders/1mOaAQO3hO1Y3owErUAXsrmLSh8GszRTW?usp=drive_link" TargetMode="External"/><Relationship Id="rId9550" Type="http://schemas.openxmlformats.org/officeDocument/2006/relationships/hyperlink" Target="https://drive.google.com/file/d/1bGAtWdCSL-v2iZg1GvRoYwXZwXVqVH3x/view" TargetMode="External"/><Relationship Id="rId8152" Type="http://schemas.openxmlformats.org/officeDocument/2006/relationships/hyperlink" Target="https://drive.google.com/drive/folders/1Ghj3z1_bCmQSKG6Tn4qEhXJLtRq1SxKA" TargetMode="External"/><Relationship Id="rId9203" Type="http://schemas.openxmlformats.org/officeDocument/2006/relationships/hyperlink" Target="https://drive.google.com/file/d/1bGAtWdCSL-v2iZg1GvRoYwXZwXVqVH3x/view?usp=sharing" TargetMode="External"/><Relationship Id="rId10082" Type="http://schemas.openxmlformats.org/officeDocument/2006/relationships/hyperlink" Target="https://www.vidio.com/live/17139-spotv?schedule_id=4760851" TargetMode="External"/><Relationship Id="rId11480" Type="http://schemas.openxmlformats.org/officeDocument/2006/relationships/hyperlink" Target="https://www.vidio.com/live/18249-hsbc-bwf-world-tour-finals-2025-finals?schedule_id=4789242" TargetMode="External"/><Relationship Id="rId11133" Type="http://schemas.openxmlformats.org/officeDocument/2006/relationships/hyperlink" Target="https://thumbor.prod.vidiocdn.com/8ZvMeXkK4gdQs6VzxQdXw2X2pf0=/filters:quality(70)/vidio-media-production/uploads/image/source/53281/6ffcc7.png" TargetMode="External"/><Relationship Id="rId4762" Type="http://schemas.openxmlformats.org/officeDocument/2006/relationships/hyperlink" Target="https://drive.google.com/file/d/1v95Xddlp95IzpRrdc24GchUwOe_Xij78/view?usp=sharing" TargetMode="External"/><Relationship Id="rId5813" Type="http://schemas.openxmlformats.org/officeDocument/2006/relationships/hyperlink" Target="https://drive.google.com/file/d/1D_ayN-Q5pLsNU3XhIlOq6z_DPDkgFKeZ/view?usp=sharing" TargetMode="External"/><Relationship Id="rId285" Type="http://schemas.openxmlformats.org/officeDocument/2006/relationships/hyperlink" Target="https://drive.google.com/drive/folders/1od38jHHD510aS8J2diwpqdAW3UxYMuCX?usp=drive_link" TargetMode="External"/><Relationship Id="rId3364" Type="http://schemas.openxmlformats.org/officeDocument/2006/relationships/hyperlink" Target="https://drive.google.com/file/d/1KULemMHmH_1XBpkwNino2tQhdHmblVgq/view?usp=drive_link" TargetMode="External"/><Relationship Id="rId4415" Type="http://schemas.openxmlformats.org/officeDocument/2006/relationships/hyperlink" Target="https://drive.google.com/drive/folders/1p-BBE4Q7WYsjaA6zRP-zbxNxOInOSBYU" TargetMode="External"/><Relationship Id="rId7985" Type="http://schemas.openxmlformats.org/officeDocument/2006/relationships/hyperlink" Target="https://drive.google.com/drive/folders/1T4YPTp1OH_bdNTmEwMuWs2ZQGXeRS6OL?usp=drive_link" TargetMode="External"/><Relationship Id="rId3017" Type="http://schemas.openxmlformats.org/officeDocument/2006/relationships/hyperlink" Target="https://drive.google.com/file/d/1BIoWdfOV4W53VvLkw9pVREy4ITt1XgNl/view?usp=sharing" TargetMode="External"/><Relationship Id="rId6587" Type="http://schemas.openxmlformats.org/officeDocument/2006/relationships/hyperlink" Target="https://drive.google.com/file/d/1sRgJHQX4djilRLfHMTAjLSWsWVt4nS3i/view?usp=drive_link" TargetMode="External"/><Relationship Id="rId7638" Type="http://schemas.openxmlformats.org/officeDocument/2006/relationships/hyperlink" Target="https://drive.google.com/file/d/1XLPDordbRxBJaZfkNyDiNU4Yo_U4Tf-5/view?usp=sharing" TargetMode="External"/><Relationship Id="rId10619" Type="http://schemas.openxmlformats.org/officeDocument/2006/relationships/hyperlink" Target="https://drive.google.com/file/d/1hVph3u9lsj4zsr1gfIkS5wa6aAxRPFu7/view?usp=sharing" TargetMode="External"/><Relationship Id="rId10966" Type="http://schemas.openxmlformats.org/officeDocument/2006/relationships/hyperlink" Target="https://www.vidio.com/live/18189-champions-golf-1?schedule_id=4783771" TargetMode="External"/><Relationship Id="rId5189" Type="http://schemas.openxmlformats.org/officeDocument/2006/relationships/hyperlink" Target="https://drive.google.com/drive/u/0/folders/1_O3gGmkRu2BC-fheqypxC6JJjIox2qiN" TargetMode="External"/><Relationship Id="rId9060" Type="http://schemas.openxmlformats.org/officeDocument/2006/relationships/hyperlink" Target="https://drive.google.com/file/d/1D0t2HAD4q7cIMHQen75L5XF65aHi9eqF/view?usp=sharing" TargetMode="External"/><Relationship Id="rId12041" Type="http://schemas.openxmlformats.org/officeDocument/2006/relationships/hyperlink" Target="https://drive.google.com/file/d/1B4cBF3qrh1sMXG2gV5jmUKJx_gapQy02/view?usp=sharing" TargetMode="External"/><Relationship Id="rId1799" Type="http://schemas.openxmlformats.org/officeDocument/2006/relationships/hyperlink" Target="https://drive.google.com/file/d/1jGDGLvPzrV8LPl_kcd9W81apSycewaFg/view?usp=drive_link" TargetMode="External"/><Relationship Id="rId2100" Type="http://schemas.openxmlformats.org/officeDocument/2006/relationships/hyperlink" Target="https://drive.google.com/drive/folders/1udcFYKRK0Vt1A7U77z0RyG9Rx-4PmJxr" TargetMode="External"/><Relationship Id="rId5670" Type="http://schemas.openxmlformats.org/officeDocument/2006/relationships/hyperlink" Target="https://drive.google.com/file/d/1Vwhcmg86PekAemUsi7wQj31to_VkNVzp/view?usp=sharing" TargetMode="External"/><Relationship Id="rId4272" Type="http://schemas.openxmlformats.org/officeDocument/2006/relationships/hyperlink" Target="https://www.vidio.com/live/19404-serie-a?schedule_id=4672681" TargetMode="External"/><Relationship Id="rId5323" Type="http://schemas.openxmlformats.org/officeDocument/2006/relationships/hyperlink" Target="https://drive.google.com/file/d/1O2JeB1dO9aODwbHbgvwFn4X5Npq-GpGb/view?usp=sharing" TargetMode="External"/><Relationship Id="rId6721" Type="http://schemas.openxmlformats.org/officeDocument/2006/relationships/hyperlink" Target="https://drive.google.com/file/d/1B9nNNwDpcdeo9KRy2pew_dGTJWtJDx3A/view?usp=sharing" TargetMode="External"/><Relationship Id="rId8893" Type="http://schemas.openxmlformats.org/officeDocument/2006/relationships/hyperlink" Target="https://thumbor.prod.vidiocdn.com/MCA0dEBC4lzTC4HqLhc8JvLRtGw=/filters:quality(70)/vidio-media-production/uploads/image/source/52635/be06bc.png" TargetMode="External"/><Relationship Id="rId9944" Type="http://schemas.openxmlformats.org/officeDocument/2006/relationships/hyperlink" Target="https://drive.google.com/drive/folders/1eg05JA9VKwSfGOK1LJ6IbxoXmIUTPo4u?usp=drive_link" TargetMode="External"/><Relationship Id="rId11874" Type="http://schemas.openxmlformats.org/officeDocument/2006/relationships/hyperlink" Target="https://www.vidio.com/live/18250-petronas-malaysia-open-2026-round-of-32-court-2?schedule_id=4831564" TargetMode="External"/><Relationship Id="rId1933" Type="http://schemas.openxmlformats.org/officeDocument/2006/relationships/hyperlink" Target="https://drive.google.com/drive/folders/1pgXuWZSREJS0krcoJUmqYrurwzaJYLqo" TargetMode="External"/><Relationship Id="rId6097" Type="http://schemas.openxmlformats.org/officeDocument/2006/relationships/hyperlink" Target="https://drive.google.com/file/d/1bciYgE4Cm6nNdZ6KMXQjzFcnSSoAqkb5/view?usp=sharing" TargetMode="External"/><Relationship Id="rId7495" Type="http://schemas.openxmlformats.org/officeDocument/2006/relationships/hyperlink" Target="https://www.vidio.com/live/19388-rajadamnern-2025?schedule_id=4613310" TargetMode="External"/><Relationship Id="rId8546" Type="http://schemas.openxmlformats.org/officeDocument/2006/relationships/hyperlink" Target="https://drive.google.com/drive/folders/1j4pfNsRpK558ShABlV86oKKDCwz5sGVd" TargetMode="External"/><Relationship Id="rId10476" Type="http://schemas.openxmlformats.org/officeDocument/2006/relationships/hyperlink" Target="https://www.vidio.com/live/20040-top-youth-premier-league-2025-pekan-ke-13?schedule_id=4766508" TargetMode="External"/><Relationship Id="rId11527" Type="http://schemas.openxmlformats.org/officeDocument/2006/relationships/hyperlink" Target="https://drive.google.com/drive/folders/16LI2IGQ-e_mp3J16HyG-fUJmgkr8re1X" TargetMode="External"/><Relationship Id="rId7148" Type="http://schemas.openxmlformats.org/officeDocument/2006/relationships/hyperlink" Target="https://drive.google.com/drive/folders/1QuW8HGm8Gy5DKzFtp0IqY8763E-ORETq?usp=drive_link" TargetMode="External"/><Relationship Id="rId10129" Type="http://schemas.openxmlformats.org/officeDocument/2006/relationships/hyperlink" Target="https://www.vidio.com/live/19998" TargetMode="External"/><Relationship Id="rId3758" Type="http://schemas.openxmlformats.org/officeDocument/2006/relationships/hyperlink" Target="https://drive.google.com/file/d/1wFaksP34SQ83XWbilZ4kGrCmozZGL9Ac/view?usp=sharing" TargetMode="External"/><Relationship Id="rId4809" Type="http://schemas.openxmlformats.org/officeDocument/2006/relationships/hyperlink" Target="https://thumbor.prod.vidiocdn.com/noztRqY5ItmY4k01ubVXioUXDS0=/filters:quality(70)/vidio-media-production/uploads/image/source/52627/3a8c69.png" TargetMode="External"/><Relationship Id="rId679" Type="http://schemas.openxmlformats.org/officeDocument/2006/relationships/hyperlink" Target="https://drive.google.com/drive/folders/1Z3R_whq7z-U5DOl42PA4hJdq0UVf0CCH?usp=drive_link" TargetMode="External"/><Relationship Id="rId5180" Type="http://schemas.openxmlformats.org/officeDocument/2006/relationships/hyperlink" Target="https://drive.google.com/file/d/1NoWl1yCMziHyGRqxZybhsyf2XoXlaIN5/view?usp=sharing" TargetMode="External"/><Relationship Id="rId6231" Type="http://schemas.openxmlformats.org/officeDocument/2006/relationships/hyperlink" Target="https://drive.google.com/file/d/1zs4I0MzLiP3_DQ5ApMVG_SyWyCom5nEp/view?usp=sharing" TargetMode="External"/><Relationship Id="rId10610" Type="http://schemas.openxmlformats.org/officeDocument/2006/relationships/hyperlink" Target="https://drive.google.com/file/d/1bGAtWdCSL-v2iZg1GvRoYwXZwXVqVH3x/view" TargetMode="External"/><Relationship Id="rId9454" Type="http://schemas.openxmlformats.org/officeDocument/2006/relationships/hyperlink" Target="https://drive.google.com/file/d/1GUyRo7PVjPqXKbhPGX5hPkulckZJmbEQ/view?usp=sharing" TargetMode="External"/><Relationship Id="rId1790" Type="http://schemas.openxmlformats.org/officeDocument/2006/relationships/hyperlink" Target="https://www.vidio.com/live/205-indosiar?schedule_id=4594599" TargetMode="External"/><Relationship Id="rId2841" Type="http://schemas.openxmlformats.org/officeDocument/2006/relationships/hyperlink" Target="https://drive.google.com/file/d/1FZWQLswr1ytcRN1yJw9TOYm_Kqc117c4/view?usp=sharing" TargetMode="External"/><Relationship Id="rId8056" Type="http://schemas.openxmlformats.org/officeDocument/2006/relationships/hyperlink" Target="https://drive.google.com/drive/folders/1a6uvNHIJHyFaZu_uP78TVstsa86wy3Sp?usp=drive_link" TargetMode="External"/><Relationship Id="rId9107" Type="http://schemas.openxmlformats.org/officeDocument/2006/relationships/hyperlink" Target="https://drive.google.com/file/d/1_YmOidI_KYHhdXh6M0uVwl9hdRMq6lII/view?usp=sharing" TargetMode="External"/><Relationship Id="rId11384" Type="http://schemas.openxmlformats.org/officeDocument/2006/relationships/hyperlink" Target="https://www.vidio.com/live/20112-grand-final-top-soccer-championship-u-13?schedule_id=4786462" TargetMode="External"/><Relationship Id="rId12435" Type="http://schemas.openxmlformats.org/officeDocument/2006/relationships/hyperlink" Target="https://www.vidio.com/live/20283?schedule_id=4834228" TargetMode="External"/><Relationship Id="rId813" Type="http://schemas.openxmlformats.org/officeDocument/2006/relationships/hyperlink" Target="https://drive.google.com/file/d/1jXK1uHHLekEYsNt5OEmOGb1BzcIkyh9D/view?usp=sharing" TargetMode="External"/><Relationship Id="rId1443" Type="http://schemas.openxmlformats.org/officeDocument/2006/relationships/hyperlink" Target="https://www.vidio.com/live/19354-bri-super-league?schedule_id=4484475" TargetMode="External"/><Relationship Id="rId11037" Type="http://schemas.openxmlformats.org/officeDocument/2006/relationships/hyperlink" Target="https://drive.google.com/drive/u/0/folders/11cg5piQtCjk634nUk4BDKBlKj1gfahJy" TargetMode="External"/><Relationship Id="rId4666" Type="http://schemas.openxmlformats.org/officeDocument/2006/relationships/hyperlink" Target="https://drive.google.com/file/d/1nOxPPA20RmOj0AUz2AJvR96GZGmDtC6L/view?usp=sharing" TargetMode="External"/><Relationship Id="rId5717" Type="http://schemas.openxmlformats.org/officeDocument/2006/relationships/hyperlink" Target="https://drive.google.com/drive/folders/1Xlp5aunryVlWR8atbAp6mL9dfJO63aR4?usp=drive_link" TargetMode="External"/><Relationship Id="rId3268" Type="http://schemas.openxmlformats.org/officeDocument/2006/relationships/hyperlink" Target="https://thumbor.prod.vidiocdn.com/zUGmjxRVsT2y4eHLkGBGzfCinZo=/filters:quality(70)/vidio-media-production/uploads/image/source/53071/000a14.png" TargetMode="External"/><Relationship Id="rId4319" Type="http://schemas.openxmlformats.org/officeDocument/2006/relationships/hyperlink" Target="https://drive.google.com/file/d/1SdVaHyvH8KTLEdkLXzyaA_6E1zHVqOPk/view?usp=sharing" TargetMode="External"/><Relationship Id="rId7889" Type="http://schemas.openxmlformats.org/officeDocument/2006/relationships/hyperlink" Target="https://drive.google.com/file/d/1NpaPbpB6C-yYPzeSfckia_zHzJ8nJYmS/view?usp=sharing" TargetMode="External"/><Relationship Id="rId10120" Type="http://schemas.openxmlformats.org/officeDocument/2006/relationships/hyperlink" Target="https://www.vidio.com/live/19997-top-soccer-championship-2025-u-13-u-14" TargetMode="External"/><Relationship Id="rId189" Type="http://schemas.openxmlformats.org/officeDocument/2006/relationships/hyperlink" Target="https://drive.google.com/file/d/1qyzQrCnpZBw8yt9JlvjQBbhxRHbjQDIq/view?usp=sharing" TargetMode="External"/><Relationship Id="rId12292" Type="http://schemas.openxmlformats.org/officeDocument/2006/relationships/hyperlink" Target="https://www.vidio.com/live/20280" TargetMode="External"/><Relationship Id="rId670" Type="http://schemas.openxmlformats.org/officeDocument/2006/relationships/hyperlink" Target="https://drive.google.com/file/d/1ROqkq-zypQ8-gWutyvCFnvI1_u4Ivka0/view?usp=sharing" TargetMode="External"/><Relationship Id="rId2351" Type="http://schemas.openxmlformats.org/officeDocument/2006/relationships/hyperlink" Target="https://drive.google.com/drive/folders/1vq4yjVO4wGC2EUh6pQloWS1gxkXkTh3Q?usp=drive_link" TargetMode="External"/><Relationship Id="rId3402" Type="http://schemas.openxmlformats.org/officeDocument/2006/relationships/hyperlink" Target="https://drive.google.com/file/d/1gN_9ayTiJVzHi5Dz6qkW_LbKlX1imaI4/view?usp=sharing" TargetMode="External"/><Relationship Id="rId4800" Type="http://schemas.openxmlformats.org/officeDocument/2006/relationships/hyperlink" Target="https://thumbor.prod.vidiocdn.com/fNNPvivsYf0vwfrUgo10YWM1siQ=/filters:quality(70)/vidio-media-production/uploads/image/source/52866/799a0f.png" TargetMode="External"/><Relationship Id="rId323" Type="http://schemas.openxmlformats.org/officeDocument/2006/relationships/hyperlink" Target="https://drive.google.com/file/d/1eXS8Bc_O1iOhr0KtxQSeE4efMrRdWP5c/view?usp=sharing" TargetMode="External"/><Relationship Id="rId2004" Type="http://schemas.openxmlformats.org/officeDocument/2006/relationships/hyperlink" Target="https://drive.google.com/drive/folders/1FgQomkPL3aq477Uy9GxWKenK60sBgbi9" TargetMode="External"/><Relationship Id="rId6972" Type="http://schemas.openxmlformats.org/officeDocument/2006/relationships/hyperlink" Target="https://drive.google.com/file/d/18CdbMFU2-HrTruMAuAAx21hfA-9wxKmj/view?usp=sharing" TargetMode="External"/><Relationship Id="rId4176" Type="http://schemas.openxmlformats.org/officeDocument/2006/relationships/hyperlink" Target="https://drive.google.com/file/d/1OBSvWpbg9lg34pYia4LKrTfDPZ799cKB/view?usp=drive_link" TargetMode="External"/><Relationship Id="rId5574" Type="http://schemas.openxmlformats.org/officeDocument/2006/relationships/hyperlink" Target="https://drive.google.com/file/d/1_M5h8yWGVChS4Z7UHFMfLY9DGr4yVsB8/view?usp=sharing" TargetMode="External"/><Relationship Id="rId6625" Type="http://schemas.openxmlformats.org/officeDocument/2006/relationships/hyperlink" Target="https://drive.google.com/file/d/1ZHCANL4pQz40EL4YDDdSW5FY3HOLt7bb/view?usp=sharing" TargetMode="External"/><Relationship Id="rId5227" Type="http://schemas.openxmlformats.org/officeDocument/2006/relationships/hyperlink" Target="https://www.vidio.com/live/18305-uefa-champions-league?schedule_id=4680965" TargetMode="External"/><Relationship Id="rId8797" Type="http://schemas.openxmlformats.org/officeDocument/2006/relationships/hyperlink" Target="https://drive.google.com/file/d/1f-8L6-Bh1znqN6YJTBxhHb6g7qZY6C6b/view?usp=drive_link" TargetMode="External"/><Relationship Id="rId9848" Type="http://schemas.openxmlformats.org/officeDocument/2006/relationships/hyperlink" Target="https://www.vidio.com/live/19921-top-soccer-championship-2025-u-13-u-14?schedule_id=4731891" TargetMode="External"/><Relationship Id="rId11778" Type="http://schemas.openxmlformats.org/officeDocument/2006/relationships/hyperlink" Target="https://drive.google.com/file/d/1q_Pzn_UOTdq8L1ORZgwsetK40gTlpYu6/view?usp=drive_link" TargetMode="External"/><Relationship Id="rId1837" Type="http://schemas.openxmlformats.org/officeDocument/2006/relationships/hyperlink" Target="https://drive.google.com/file/d/1IUvSkk4_P8IGF1yIUClkHw6JOBhHPH2V/view?usp=drive_link" TargetMode="External"/><Relationship Id="rId7399" Type="http://schemas.openxmlformats.org/officeDocument/2006/relationships/hyperlink" Target="https://www.vidio.com/live/6685-champions-tv-1?schedule_id=4653416" TargetMode="External"/><Relationship Id="rId4310" Type="http://schemas.openxmlformats.org/officeDocument/2006/relationships/hyperlink" Target="https://www.vidio.com/live/17938-serie-a?schedule_id=4666174" TargetMode="External"/><Relationship Id="rId7880" Type="http://schemas.openxmlformats.org/officeDocument/2006/relationships/hyperlink" Target="https://drive.google.com/drive/folders/1kTJ-GTuN_XfEZ2Z4v2yZQPYXDYRTBN6L?usp=sharing" TargetMode="External"/><Relationship Id="rId180" Type="http://schemas.openxmlformats.org/officeDocument/2006/relationships/hyperlink" Target="https://drive.google.com/drive/folders/1E-SiChHX8IFkkAWfrdcoH1SwbCWsIC_8?usp=drive_link" TargetMode="External"/><Relationship Id="rId6482" Type="http://schemas.openxmlformats.org/officeDocument/2006/relationships/hyperlink" Target="https://drive.google.com/file/d/1T6SzeImr4vUbE_clmvc1kPJ7hdgGH7VL/view?usp=sharing" TargetMode="External"/><Relationship Id="rId7533" Type="http://schemas.openxmlformats.org/officeDocument/2006/relationships/hyperlink" Target="https://drive.google.com/file/d/1GlnKOz-YTQty5RGcsh2QtZzNR2KSdRTD/view?usp=sharing" TargetMode="External"/><Relationship Id="rId8931" Type="http://schemas.openxmlformats.org/officeDocument/2006/relationships/hyperlink" Target="https://drive.google.com/drive/folders/1lONzINDA3Q1-foxW_l8o1XA-D1MSvMY9?usp=drive_link" TargetMode="External"/><Relationship Id="rId10861" Type="http://schemas.openxmlformats.org/officeDocument/2006/relationships/hyperlink" Target="https://drive.google.com/file/d/1pAgKr6kaIzEUwE0dwkzPh-b2u_H2ZUA9/view?usp=sharing" TargetMode="External"/><Relationship Id="rId11912" Type="http://schemas.openxmlformats.org/officeDocument/2006/relationships/hyperlink" Target="https://drive.google.com/file/d/1I2QL-h1CAeZERs7B5O4XbiSnpFeGO68R/view?usp=sharing" TargetMode="External"/><Relationship Id="rId5084" Type="http://schemas.openxmlformats.org/officeDocument/2006/relationships/hyperlink" Target="https://www.vidio.com/live/17883-uefa-champions-league?schedule_id=4607915" TargetMode="External"/><Relationship Id="rId6135" Type="http://schemas.openxmlformats.org/officeDocument/2006/relationships/hyperlink" Target="https://drive.google.com/drive/folders/1mDvxyhX-F-1kXK3pxTwTAVgMkBW-TuQk?usp=drive_link" TargetMode="External"/><Relationship Id="rId10514" Type="http://schemas.openxmlformats.org/officeDocument/2006/relationships/hyperlink" Target="https://www.vidio.com/live/19375-premier-league?schedule_id=4773610" TargetMode="External"/><Relationship Id="rId1694" Type="http://schemas.openxmlformats.org/officeDocument/2006/relationships/hyperlink" Target="https://www.vidio.com/live/19385?schedule_id=4563127" TargetMode="External"/><Relationship Id="rId2745" Type="http://schemas.openxmlformats.org/officeDocument/2006/relationships/hyperlink" Target="https://drive.google.com/file/d/1fJT-8cw4rY17wxizzKy1PV1BxsjH0bXr/view?usp=drive_link" TargetMode="External"/><Relationship Id="rId9358" Type="http://schemas.openxmlformats.org/officeDocument/2006/relationships/hyperlink" Target="https://drive.google.com/file/d/14Ob1Q-FIrPf5Aj0EyhjNb5vIrTK37OFz/view?usp=sharing" TargetMode="External"/><Relationship Id="rId11288" Type="http://schemas.openxmlformats.org/officeDocument/2006/relationships/hyperlink" Target="https://thumbor.prod.vidiocdn.com/nUA6IQuYkW1q24NKPeNCCbbDJaQ=/filters:quality(70)/vidio-media-production/uploads/image/source/52370/f12b73.png" TargetMode="External"/><Relationship Id="rId12339" Type="http://schemas.openxmlformats.org/officeDocument/2006/relationships/hyperlink" Target="https://drive.google.com/file/d/17nqJ8YbOWxi4DOQmMA4_VvY1qMuE4tM4/view?usp=sharing" TargetMode="External"/><Relationship Id="rId717" Type="http://schemas.openxmlformats.org/officeDocument/2006/relationships/hyperlink" Target="https://drive.google.com/file/d/1_dsc7m6CEBX7Jiwe4OZDGXQO8YYGXhYp/view?usp=sharing" TargetMode="External"/><Relationship Id="rId1347" Type="http://schemas.openxmlformats.org/officeDocument/2006/relationships/hyperlink" Target="https://www.vidio.com/live/19404-serie-a?schedule_id=4557257" TargetMode="External"/><Relationship Id="rId5968" Type="http://schemas.openxmlformats.org/officeDocument/2006/relationships/hyperlink" Target="https://drive.google.com/file/d/1qqG6yKHlDwlZnuSnr6pxbV70gWAsR4Cp/view?usp=drive_link" TargetMode="External"/><Relationship Id="rId53" Type="http://schemas.openxmlformats.org/officeDocument/2006/relationships/hyperlink" Target="https://drive.google.com/file/d/1XdtAH6P8MTf6kJ5RYoo7kT51-FbUguG2/view?usp=sharing" TargetMode="External"/><Relationship Id="rId7390" Type="http://schemas.openxmlformats.org/officeDocument/2006/relationships/hyperlink" Target="https://drive.google.com/file/d/17v866nBkafu6QYDk8NlalRwpdI5fFLqv/view?usp=sharing" TargetMode="External"/><Relationship Id="rId8441" Type="http://schemas.openxmlformats.org/officeDocument/2006/relationships/hyperlink" Target="https://www.vidio.com/live/6685-champions-tv-1?schedule_id=4734873" TargetMode="External"/><Relationship Id="rId10371" Type="http://schemas.openxmlformats.org/officeDocument/2006/relationships/hyperlink" Target="https://drive.google.com/file/d/1a0lH49vB7QpNrThlRTjgM4-RsXIdtbEO/view?usp=sharing" TargetMode="External"/><Relationship Id="rId7043" Type="http://schemas.openxmlformats.org/officeDocument/2006/relationships/hyperlink" Target="https://drive.google.com/file/d/1h9DVv0DiLe0UgseqVZHpT5aM5Wpkcp44/view?usp=sharing" TargetMode="External"/><Relationship Id="rId10024" Type="http://schemas.openxmlformats.org/officeDocument/2006/relationships/hyperlink" Target="https://www.vidio.com/live/6299-bein-1?schedule_id=4797280" TargetMode="External"/><Relationship Id="rId11422" Type="http://schemas.openxmlformats.org/officeDocument/2006/relationships/hyperlink" Target="https://drive.google.com/drive/folders/1o1U6Xrma6-i_C__CorH7pl8eIMeOupbW" TargetMode="External"/><Relationship Id="rId574" Type="http://schemas.openxmlformats.org/officeDocument/2006/relationships/hyperlink" Target="https://drive.google.com/file/d/1qOgKjsMIbJ2v6GrglJ4aftKeQ9ge51yc/view?usp=sharing" TargetMode="External"/><Relationship Id="rId2255" Type="http://schemas.openxmlformats.org/officeDocument/2006/relationships/hyperlink" Target="https://drive.google.com/file/d/1-tCQIXlir_YMGArq1pDyibyS2QH1kOVQ/view?usp=drive_link" TargetMode="External"/><Relationship Id="rId3653" Type="http://schemas.openxmlformats.org/officeDocument/2006/relationships/hyperlink" Target="https://drive.google.com/drive/folders/1Fwo2ONcWmP33LAr8N5sNxhaxcP8iMDAL?usp=drive_link" TargetMode="External"/><Relationship Id="rId4704" Type="http://schemas.openxmlformats.org/officeDocument/2006/relationships/hyperlink" Target="https://thumbor.prod.vidiocdn.com/pYRkf-32x0UftG_PuREgOTmfP6A=/filters:quality(70)/vidio-media-production/uploads/image/source/51918/bc3660.png" TargetMode="External"/><Relationship Id="rId12196" Type="http://schemas.openxmlformats.org/officeDocument/2006/relationships/hyperlink" Target="https://www.vidio.com/live/20269-liga-topskor-greater-jakarta-pekan-pertama-u-14-lapangan-kedung-halang?schedule_id=4833853" TargetMode="External"/><Relationship Id="rId227" Type="http://schemas.openxmlformats.org/officeDocument/2006/relationships/hyperlink" Target="https://drive.google.com/drive/folders/1v6vDKSPk6OfzY23gBdC5LTa585nEOGtC?usp=drive_link" TargetMode="External"/><Relationship Id="rId3306" Type="http://schemas.openxmlformats.org/officeDocument/2006/relationships/hyperlink" Target="https://www.vidio.com/live/19355-bri-super-league?schedule_id=4488592" TargetMode="External"/><Relationship Id="rId6876" Type="http://schemas.openxmlformats.org/officeDocument/2006/relationships/hyperlink" Target="https://www.vidio.com/live/17139-spotv?schedule_id=4583211" TargetMode="External"/><Relationship Id="rId7927" Type="http://schemas.openxmlformats.org/officeDocument/2006/relationships/hyperlink" Target="https://www.vidio.com/live/19548-national-football-league-2025-26?schedule_id=4645310" TargetMode="External"/><Relationship Id="rId10908" Type="http://schemas.openxmlformats.org/officeDocument/2006/relationships/hyperlink" Target="https://drive.google.com/file/d/1-R1GXwqAiJezdAi5KNKX4MkT2UUxUbzn/view?usp=sharing" TargetMode="External"/><Relationship Id="rId5478" Type="http://schemas.openxmlformats.org/officeDocument/2006/relationships/hyperlink" Target="https://drive.google.com/drive/u/0/folders/14uZgOye4rydbyj9Sd-WuJeSo2cvQvVRd" TargetMode="External"/><Relationship Id="rId6529" Type="http://schemas.openxmlformats.org/officeDocument/2006/relationships/hyperlink" Target="https://drive.google.com/file/d/1Sjp075QubaXd6n7PFO9pC2-vVzZ-Ccsb/view?usp=sharing" TargetMode="External"/><Relationship Id="rId12330" Type="http://schemas.openxmlformats.org/officeDocument/2006/relationships/hyperlink" Target="https://www.vidio.com/live/20266?schedule_id=4833885" TargetMode="External"/><Relationship Id="rId9002" Type="http://schemas.openxmlformats.org/officeDocument/2006/relationships/hyperlink" Target="https://www.vidio.com/live/6317-bein-3?schedule_id=4717746" TargetMode="External"/><Relationship Id="rId4561" Type="http://schemas.openxmlformats.org/officeDocument/2006/relationships/hyperlink" Target="https://drive.google.com/drive/folders/1L6VNAnj6Yc5WC2M2drpHGBfVx0RG0UPh?usp=drive_link" TargetMode="External"/><Relationship Id="rId5612" Type="http://schemas.openxmlformats.org/officeDocument/2006/relationships/hyperlink" Target="https://drive.google.com/file/d/1Re3BeKv7XrzXUIAUNWU6W6VFyR3qgwFg/view?usp=sharing" TargetMode="External"/><Relationship Id="rId3163" Type="http://schemas.openxmlformats.org/officeDocument/2006/relationships/hyperlink" Target="https://www.vidio.com/live/6299-bein-1?schedule_id=4783764" TargetMode="External"/><Relationship Id="rId4214" Type="http://schemas.openxmlformats.org/officeDocument/2006/relationships/hyperlink" Target="https://drive.google.com/drive/folders/1ZvV_IkTV9f9BOY6RhwnkqwQ-9fji1J_-?usp=drive_link" TargetMode="External"/><Relationship Id="rId6386" Type="http://schemas.openxmlformats.org/officeDocument/2006/relationships/hyperlink" Target="https://www.vidio.com/live/19740-uefa-conference-league?schedule_id=4734885" TargetMode="External"/><Relationship Id="rId7784" Type="http://schemas.openxmlformats.org/officeDocument/2006/relationships/hyperlink" Target="https://drive.google.com/file/d/10qT-LfD4Ojfhb8M3VXNdT4j8RDZ-CvLZ/view?usp=drive_link" TargetMode="External"/><Relationship Id="rId8835" Type="http://schemas.openxmlformats.org/officeDocument/2006/relationships/hyperlink" Target="https://drive.google.com/file/d/1wIz0CzPljYDT7qke8xhSug1mTokQuopn/view?usp=sharing" TargetMode="External"/><Relationship Id="rId10765" Type="http://schemas.openxmlformats.org/officeDocument/2006/relationships/hyperlink" Target="https://drive.google.com/file/d/1b-rVt-Us2kBUigOC-tfalfRxxxcAfC39/view?usp=sharing" TargetMode="External"/><Relationship Id="rId11816" Type="http://schemas.openxmlformats.org/officeDocument/2006/relationships/hyperlink" Target="https://drive.google.com/file/d/1RvpVSYEuxwkTup3qpzOCOplWtOxx9WK3/view?usp=sharing" TargetMode="External"/><Relationship Id="rId6039" Type="http://schemas.openxmlformats.org/officeDocument/2006/relationships/hyperlink" Target="https://drive.google.com/file/d/17hjIYhUgh5L3FKARHAm69aJvDMbTwusv/view?usp=drive_link" TargetMode="External"/><Relationship Id="rId7437" Type="http://schemas.openxmlformats.org/officeDocument/2006/relationships/hyperlink" Target="https://drive.google.com/file/d/1T-FmV8xuhWuflT4fHDpaPDjNwwXqTRnU/view?usp=drive_link" TargetMode="External"/><Relationship Id="rId10418" Type="http://schemas.openxmlformats.org/officeDocument/2006/relationships/hyperlink" Target="https://drive.google.com/drive/folders/1xFIvkiHYOtcHXfwR_S5cl4RxdqUtlPi6?usp=sharing" TargetMode="External"/><Relationship Id="rId2996" Type="http://schemas.openxmlformats.org/officeDocument/2006/relationships/hyperlink" Target="https://drive.google.com/file/d/1CObMDJzqIhvdJwgTtH7LDWtpA8Zib5zP/view?usp=sharing" TargetMode="External"/><Relationship Id="rId968" Type="http://schemas.openxmlformats.org/officeDocument/2006/relationships/hyperlink" Target="https://drive.google.com/file/d/1Xfh7gknVpny1rJ-FWMG84fnLQ0XCKIpM/view?usp=drive_link" TargetMode="External"/><Relationship Id="rId1598" Type="http://schemas.openxmlformats.org/officeDocument/2006/relationships/hyperlink" Target="https://www.vidio.com/live/19354-bri-super-league?schedule_id=4510902" TargetMode="External"/><Relationship Id="rId2649" Type="http://schemas.openxmlformats.org/officeDocument/2006/relationships/hyperlink" Target="https://drive.google.com/file/d/1QZXt-TqrYU3t8gKLLLU4WOBMgLk9Vqtv/view?usp=sharing" TargetMode="External"/><Relationship Id="rId6520" Type="http://schemas.openxmlformats.org/officeDocument/2006/relationships/hyperlink" Target="https://www.vidio.com/live/19642-uefa-conference-league?schedule_id=4771662" TargetMode="External"/><Relationship Id="rId4071" Type="http://schemas.openxmlformats.org/officeDocument/2006/relationships/hyperlink" Target="https://drive.google.com/file/d/1iMpp9W5wKhxwps_zfYxW6bi7-gtrinUF/view?usp=drive_link" TargetMode="External"/><Relationship Id="rId5122" Type="http://schemas.openxmlformats.org/officeDocument/2006/relationships/hyperlink" Target="https://www.vidio.com/live/6299-bein-1?schedule_id=4663734" TargetMode="External"/><Relationship Id="rId8692" Type="http://schemas.openxmlformats.org/officeDocument/2006/relationships/hyperlink" Target="https://drive.google.com/drive/folders/1ZsJ8EHmOlEndbPUvtCiVkDjJ5guer-xy?usp=drive_link" TargetMode="External"/><Relationship Id="rId9743" Type="http://schemas.openxmlformats.org/officeDocument/2006/relationships/hyperlink" Target="https://thumbor.prod.vidiocdn.com/hMsH8Vi60pkQN4NJ3aHa5fuQIXU=/filters:quality(70)/vidio-media-production/uploads/image/source/51590/4d6378.png" TargetMode="External"/><Relationship Id="rId7294" Type="http://schemas.openxmlformats.org/officeDocument/2006/relationships/hyperlink" Target="https://drive.google.com/drive/folders/1LiqE1rSncMJjnxCNuQI_mD7A8eO4Lsag?usp=drive_link" TargetMode="External"/><Relationship Id="rId8345" Type="http://schemas.openxmlformats.org/officeDocument/2006/relationships/hyperlink" Target="https://drive.google.com/file/d/133CAr7jjMUOObldGbB2UhuLlkUJTbm5d/view?usp=sharing" TargetMode="External"/><Relationship Id="rId11673" Type="http://schemas.openxmlformats.org/officeDocument/2006/relationships/hyperlink" Target="https://thumbor.prod.vidiocdn.com/jaY5uklQVc35DIQd6rAxX1jCny8=/filters:quality(70)/vidio-media-production/uploads/image/source/52880/15dc1a.png" TargetMode="External"/><Relationship Id="rId1732" Type="http://schemas.openxmlformats.org/officeDocument/2006/relationships/hyperlink" Target="https://drive.google.com/drive/folders/1vITpYa6owELhcaMUXLReRZ0syKZF3i6S" TargetMode="External"/><Relationship Id="rId10275" Type="http://schemas.openxmlformats.org/officeDocument/2006/relationships/hyperlink" Target="https://www.vidio.com/live/20026-top-soccer-championship-2025-u-13-semifinal-cup?schedule_id=4765282" TargetMode="External"/><Relationship Id="rId11326" Type="http://schemas.openxmlformats.org/officeDocument/2006/relationships/hyperlink" Target="https://thumbor.prod.vidiocdn.com/Kn6mndvWeMo9OaVDNCq4l4L7lFs=/filters:quality(70)/vidio-media-production/uploads/image/source/53005/ee7393.png" TargetMode="External"/><Relationship Id="rId4955" Type="http://schemas.openxmlformats.org/officeDocument/2006/relationships/hyperlink" Target="https://www.vidio.com/live/6317-bein-3?schedule_id=4569135" TargetMode="External"/><Relationship Id="rId3557" Type="http://schemas.openxmlformats.org/officeDocument/2006/relationships/hyperlink" Target="https://drive.google.com/file/d/1-73Vp3k0Yw53_YJ59PhPrTCpW9htY2L3/view?usp=share_link" TargetMode="External"/><Relationship Id="rId4608" Type="http://schemas.openxmlformats.org/officeDocument/2006/relationships/hyperlink" Target="https://drive.google.com/file/d/1ThMAWkyQE5RJACifYuEbWu_jvh5ES97a/view?usp=sharing" TargetMode="External"/><Relationship Id="rId478" Type="http://schemas.openxmlformats.org/officeDocument/2006/relationships/hyperlink" Target="https://drive.google.com/drive/folders/1Vw5ULB3fjb8MiDjTT3Dib7EARuLaPv18" TargetMode="External"/><Relationship Id="rId2159" Type="http://schemas.openxmlformats.org/officeDocument/2006/relationships/hyperlink" Target="https://drive.google.com/drive/folders/1XPU_gMsz5f6uTK0UgO1b2E4pRzRwloSw" TargetMode="External"/><Relationship Id="rId6030" Type="http://schemas.openxmlformats.org/officeDocument/2006/relationships/hyperlink" Target="https://drive.google.com/file/d/1kq5xdSo_X444rcBK7IQsOf7AWEwZTVJD/view?usp=sharing" TargetMode="External"/><Relationship Id="rId2640" Type="http://schemas.openxmlformats.org/officeDocument/2006/relationships/hyperlink" Target="https://drive.google.com/drive/folders/1n8QMrykgUQPi6t2gASuIF2OjxwLmtEdZ?usp=drive_link" TargetMode="External"/><Relationship Id="rId9253" Type="http://schemas.openxmlformats.org/officeDocument/2006/relationships/hyperlink" Target="https://drive.google.com/file/d/1bGAtWdCSL-v2iZg1GvRoYwXZwXVqVH3x/view?usp=drive_link" TargetMode="External"/><Relationship Id="rId11183" Type="http://schemas.openxmlformats.org/officeDocument/2006/relationships/hyperlink" Target="https://drive.google.com/drive/folders/1b5JtbrIF_jBtqB1WJ1qJUSGD9K07569q" TargetMode="External"/><Relationship Id="rId12234" Type="http://schemas.openxmlformats.org/officeDocument/2006/relationships/hyperlink" Target="https://drive.google.com/file/d/17nqJ8YbOWxi4DOQmMA4_VvY1qMuE4tM4/view?usp=sharing" TargetMode="External"/><Relationship Id="rId612" Type="http://schemas.openxmlformats.org/officeDocument/2006/relationships/hyperlink" Target="https://www.vidio.com/live/9182-champions-tv-5?schedule_id=4678874" TargetMode="External"/><Relationship Id="rId1242" Type="http://schemas.openxmlformats.org/officeDocument/2006/relationships/hyperlink" Target="https://www.vidio.com/live/18796-premier-league?schedule_id=4830782" TargetMode="External"/><Relationship Id="rId4465" Type="http://schemas.openxmlformats.org/officeDocument/2006/relationships/hyperlink" Target="https://drive.google.com/drive/folders/1JGcoxZ-2gk_4A1ozkpf1P2ReUGR6UFDq?usp=drive_link" TargetMode="External"/><Relationship Id="rId5863" Type="http://schemas.openxmlformats.org/officeDocument/2006/relationships/hyperlink" Target="https://drive.google.com/file/d/1RAeWqJGq2R20W-fIMp1wvq8z1Cauo3sm/view?usp=sharing" TargetMode="External"/><Relationship Id="rId6914" Type="http://schemas.openxmlformats.org/officeDocument/2006/relationships/hyperlink" Target="https://drive.google.com/file/d/1l9ivL2IR1EnZkP7SxYuKXxJOgCU_ytIM/view?usp=drive_link" TargetMode="External"/><Relationship Id="rId3067" Type="http://schemas.openxmlformats.org/officeDocument/2006/relationships/hyperlink" Target="https://thumbor.prod.vidiocdn.com/b6F7GtHzY6DBTAJGtIXqIYJBPDU=/filters:quality(70)/vidio-media-production/uploads/image/source/51610/475b95.png" TargetMode="External"/><Relationship Id="rId4118" Type="http://schemas.openxmlformats.org/officeDocument/2006/relationships/hyperlink" Target="https://drive.google.com/file/d/15T2PGbIkeTl7jOTZ5rUJlA3G2ZfOrpJg/view?usp=drive_link" TargetMode="External"/><Relationship Id="rId5516" Type="http://schemas.openxmlformats.org/officeDocument/2006/relationships/hyperlink" Target="https://www.vidio.com/live/19599-uefa-europa-league?schedule_id=4590796" TargetMode="External"/><Relationship Id="rId7688" Type="http://schemas.openxmlformats.org/officeDocument/2006/relationships/hyperlink" Target="https://drive.google.com/file/d/1xZxuKbLoq0nATJLZIe2dC1ub4A_lSkld/view?usp=sharing" TargetMode="External"/><Relationship Id="rId8739" Type="http://schemas.openxmlformats.org/officeDocument/2006/relationships/hyperlink" Target="https://drive.google.com/file/d/1DNux4glLBnqI-DzUHKvsJVIQIe0fQ_QF/view?usp=sharing" TargetMode="External"/><Relationship Id="rId10669" Type="http://schemas.openxmlformats.org/officeDocument/2006/relationships/hyperlink" Target="https://thumbor.prod.vidiocdn.com/Zg_26c1I_vBItchzBw7_ym0_QtU=/filters:quality(70)/vidio-media-production/uploads/image/source/52893/a714e6.png" TargetMode="External"/><Relationship Id="rId12091" Type="http://schemas.openxmlformats.org/officeDocument/2006/relationships/hyperlink" Target="https://drive.google.com/file/d/1xXRyTpjraFbbrHD2OOrzfOJmKS83JG2b/view?usp=sharing" TargetMode="External"/><Relationship Id="rId2150" Type="http://schemas.openxmlformats.org/officeDocument/2006/relationships/hyperlink" Target="https://drive.google.com/file/d/1dGSt-CV4FEXXzILwk3qGN-bsD6KDl7L1/view?usp=sharing" TargetMode="External"/><Relationship Id="rId3201" Type="http://schemas.openxmlformats.org/officeDocument/2006/relationships/hyperlink" Target="https://thumbor.prod.vidiocdn.com/eBnxFwtvspy5WFcI5fsbGPP977A=/filters:quality(70)/vidio-media-production/uploads/image/source/52782/900ad3.png" TargetMode="External"/><Relationship Id="rId6771" Type="http://schemas.openxmlformats.org/officeDocument/2006/relationships/hyperlink" Target="https://www.vidio.com/live/19519?schedule_id=4553304" TargetMode="External"/><Relationship Id="rId7822" Type="http://schemas.openxmlformats.org/officeDocument/2006/relationships/hyperlink" Target="https://drive.google.com/file/d/1dLQzpRRJbu2dhJfBCieinDDiVly_kZu_/view?usp=sharing" TargetMode="External"/><Relationship Id="rId122" Type="http://schemas.openxmlformats.org/officeDocument/2006/relationships/hyperlink" Target="https://drive.google.com/file/d/1TcHi0d9Y14LFBRzVeBLquWOkTUj2EHk0/view?usp=drive_link" TargetMode="External"/><Relationship Id="rId5373" Type="http://schemas.openxmlformats.org/officeDocument/2006/relationships/hyperlink" Target="https://www.vidio.com/live/17883-uefa-champions-league?schedule_id=4733522" TargetMode="External"/><Relationship Id="rId6424" Type="http://schemas.openxmlformats.org/officeDocument/2006/relationships/hyperlink" Target="https://drive.google.com/file/d/1RTPBwFxE2e75qefE8dzvxqLoHLn9m-71/view?usp=drive_link" TargetMode="External"/><Relationship Id="rId10803" Type="http://schemas.openxmlformats.org/officeDocument/2006/relationships/hyperlink" Target="https://drive.google.com/drive/folders/1Ds-OhdHpsEyMbqMRA2jVZKCBk2hWPw0E?usp=drive_link" TargetMode="External"/><Relationship Id="rId5026" Type="http://schemas.openxmlformats.org/officeDocument/2006/relationships/hyperlink" Target="https://drive.google.com/drive/folders/1zrxpshVF0gyUwf9-RMUsDHimMvzWldSI" TargetMode="External"/><Relationship Id="rId8596" Type="http://schemas.openxmlformats.org/officeDocument/2006/relationships/hyperlink" Target="https://drive.google.com/drive/folders/1q-wO_KG4vMC7XnC1hocnJ7WrK7lXTaGC" TargetMode="External"/><Relationship Id="rId9994" Type="http://schemas.openxmlformats.org/officeDocument/2006/relationships/hyperlink" Target="https://drive.google.com/file/d/1W4KnfhABchcHDlLhY_FwAgXeljeYr_37/view?usp=sharing" TargetMode="External"/><Relationship Id="rId1983" Type="http://schemas.openxmlformats.org/officeDocument/2006/relationships/hyperlink" Target="https://drive.google.com/file/d/1Hk2sn962qV0lZkKJqqa9TcS1KtfxCXXI/view?usp=sharing" TargetMode="External"/><Relationship Id="rId7198" Type="http://schemas.openxmlformats.org/officeDocument/2006/relationships/hyperlink" Target="https://drive.google.com/drive/folders/1NepG6XT-FSa8Cs07sX3tPfQWLNpJfAxp" TargetMode="External"/><Relationship Id="rId8249" Type="http://schemas.openxmlformats.org/officeDocument/2006/relationships/hyperlink" Target="https://drive.google.com/file/d/1DNux4glLBnqI-DzUHKvsJVIQIe0fQ_QF/view?usp=sharing" TargetMode="External"/><Relationship Id="rId9647" Type="http://schemas.openxmlformats.org/officeDocument/2006/relationships/hyperlink" Target="https://drive.google.com/drive/folders/1FR2xDCCopozKKRTNLUaan1pi2TbsNk0_?usp=drive_link" TargetMode="External"/><Relationship Id="rId11577" Type="http://schemas.openxmlformats.org/officeDocument/2006/relationships/hyperlink" Target="https://drive.google.com/file/d/1nqpcVK3n8XX73wVasEcEjXIaPSthkxtF/view?usp=sharing" TargetMode="External"/><Relationship Id="rId1636" Type="http://schemas.openxmlformats.org/officeDocument/2006/relationships/hyperlink" Target="https://drive.google.com/drive/folders/1MfSnQIhd9gXMICmCBRJSXYqjO1xvfX2J" TargetMode="External"/><Relationship Id="rId10179" Type="http://schemas.openxmlformats.org/officeDocument/2006/relationships/hyperlink" Target="https://drive.google.com/file/d/1coH-j5GheS0kogoNwnAX_XFH_hTas_K9/view?usp=drive_link" TargetMode="External"/><Relationship Id="rId4859" Type="http://schemas.openxmlformats.org/officeDocument/2006/relationships/hyperlink" Target="https://drive.google.com/drive/folders/1GyanJP-pXXjaqjK3v86X1lJUGVhg5JFg?usp=drive_link" TargetMode="External"/><Relationship Id="rId8730" Type="http://schemas.openxmlformats.org/officeDocument/2006/relationships/hyperlink" Target="https://drive.google.com/file/d/1DNux4glLBnqI-DzUHKvsJVIQIe0fQ_QF/view?usp=sharing" TargetMode="External"/><Relationship Id="rId10660" Type="http://schemas.openxmlformats.org/officeDocument/2006/relationships/hyperlink" Target="https://thumbor.prod.vidiocdn.com/k61x1-F-_CAGeyWvMQJQj_m2zuE=/filters:quality(70)/vidio-media-production/uploads/image/source/53048/8f2599.png" TargetMode="External"/><Relationship Id="rId6281" Type="http://schemas.openxmlformats.org/officeDocument/2006/relationships/hyperlink" Target="https://drive.google.com/drive/folders/1vjOA9E-jOlhsRSh5NE7jSpcmcR5v41-E" TargetMode="External"/><Relationship Id="rId7332" Type="http://schemas.openxmlformats.org/officeDocument/2006/relationships/hyperlink" Target="https://www.vidio.com/live/19388-rajadamnern-2025?schedule_id=4596461" TargetMode="External"/><Relationship Id="rId10313" Type="http://schemas.openxmlformats.org/officeDocument/2006/relationships/hyperlink" Target="https://drive.google.com/file/d/1DiAQdLznuv7qQgrXP5qJGgotu01mmGeI/view?usp=drive_link" TargetMode="External"/><Relationship Id="rId11711" Type="http://schemas.openxmlformats.org/officeDocument/2006/relationships/hyperlink" Target="https://www.vidio.com/live/18250-petronas-malaysia-open-2026-round-of-16-court-2" TargetMode="External"/><Relationship Id="rId863" Type="http://schemas.openxmlformats.org/officeDocument/2006/relationships/hyperlink" Target="https://drive.google.com/file/d/10XuQWIpkye_GCRSNkBOytCL48i1seiBK/view?usp=sharing" TargetMode="External"/><Relationship Id="rId1493" Type="http://schemas.openxmlformats.org/officeDocument/2006/relationships/hyperlink" Target="https://drive.google.com/drive/folders/1B2hNaTzzwKlOdRzZQKCe6cw71Z-3Ruqq" TargetMode="External"/><Relationship Id="rId2544" Type="http://schemas.openxmlformats.org/officeDocument/2006/relationships/hyperlink" Target="https://drive.google.com/drive/folders/1vvJz14Jl4gIdV_iCTT5E3kf9dGSkmgZL?usp=drive_link" TargetMode="External"/><Relationship Id="rId2891" Type="http://schemas.openxmlformats.org/officeDocument/2006/relationships/hyperlink" Target="https://drive.google.com/drive/folders/1EjFTzZaElM_nUUnRO1yv537xq-gd78P_?usp=drive_link" TargetMode="External"/><Relationship Id="rId3942" Type="http://schemas.openxmlformats.org/officeDocument/2006/relationships/hyperlink" Target="https://drive.google.com/file/d/1hJKyvSCfrIKVu64XZ-ncsIqB7BviTNfW/view?usp=drive_link" TargetMode="External"/><Relationship Id="rId9157" Type="http://schemas.openxmlformats.org/officeDocument/2006/relationships/hyperlink" Target="https://drive.google.com/drive/folders/1NepG6XT-FSa8Cs07sX3tPfQWLNpJfAxp" TargetMode="External"/><Relationship Id="rId11087" Type="http://schemas.openxmlformats.org/officeDocument/2006/relationships/hyperlink" Target="https://thumbor.prod.vidiocdn.com/kD0k1HMo_5RR6wYBpmwVEpnMtCo=/filters:quality(70)/vidio-media-production/uploads/image/source/52267/63fedc.png" TargetMode="External"/><Relationship Id="rId516" Type="http://schemas.openxmlformats.org/officeDocument/2006/relationships/hyperlink" Target="https://drive.google.com/file/d/1sf5ll6bFWf1J-tmYo0u9oqvEtZdPhvHH/view?usp=sharing" TargetMode="External"/><Relationship Id="rId1146" Type="http://schemas.openxmlformats.org/officeDocument/2006/relationships/hyperlink" Target="https://drive.google.com/drive/folders/1LU0DxFjEysZzsNGhyYUL3KNr2epARkW9" TargetMode="External"/><Relationship Id="rId12138" Type="http://schemas.openxmlformats.org/officeDocument/2006/relationships/hyperlink" Target="https://drive.google.com/file/d/17nqJ8YbOWxi4DOQmMA4_VvY1qMuE4tM4/view?usp=sharing" TargetMode="External"/><Relationship Id="rId5767" Type="http://schemas.openxmlformats.org/officeDocument/2006/relationships/hyperlink" Target="https://drive.google.com/file/d/1WwFsPmACLvRNC5QJnMH_GfP2HddELEb7/view?usp=sharing" TargetMode="External"/><Relationship Id="rId6818" Type="http://schemas.openxmlformats.org/officeDocument/2006/relationships/hyperlink" Target="https://drive.google.com/drive/folders/1ucNoaH6qaYCBmETyhLgQ5RaF6B8eqX2W?usp=drive_link" TargetMode="External"/><Relationship Id="rId4369" Type="http://schemas.openxmlformats.org/officeDocument/2006/relationships/hyperlink" Target="https://drive.google.com/drive/folders/1lBlXFBl4TqP2MeqFN3Wx1uc1mDYkLzFG?usp=drive_link" TargetMode="External"/><Relationship Id="rId8240" Type="http://schemas.openxmlformats.org/officeDocument/2006/relationships/hyperlink" Target="https://drive.google.com/file/d/1DNux4glLBnqI-DzUHKvsJVIQIe0fQ_QF/view?usp=sharing" TargetMode="External"/><Relationship Id="rId10170" Type="http://schemas.openxmlformats.org/officeDocument/2006/relationships/hyperlink" Target="https://drive.google.com/file/d/1MlR17_b-3vTa05HWjjN5I37bF5vcIRWW/view?usp=sharing" TargetMode="External"/><Relationship Id="rId11221" Type="http://schemas.openxmlformats.org/officeDocument/2006/relationships/hyperlink" Target="https://drive.google.com/file/d/1QmBbQ8tPMz4XKbhf9wvkMi9qq2SPfLeY/view?usp=sharing" TargetMode="External"/><Relationship Id="rId4850" Type="http://schemas.openxmlformats.org/officeDocument/2006/relationships/hyperlink" Target="https://thumbor.prod.vidiocdn.com/0Ihlzj9v4smRve0yRyUMaXCCZGw=/filters:quality(70)/vidio-media-production/uploads/image/source/52905/c6ca3d.png" TargetMode="External"/><Relationship Id="rId5901" Type="http://schemas.openxmlformats.org/officeDocument/2006/relationships/hyperlink" Target="https://drive.google.com/drive/folders/1pYi5qIT6QdvkfDRfWH0qsk97hfAPMoyN?usp=drive_link" TargetMode="External"/><Relationship Id="rId3452" Type="http://schemas.openxmlformats.org/officeDocument/2006/relationships/hyperlink" Target="https://drive.google.com/drive/u/1/folders/1nNW73DN0RXpDjcKSTAlgAcmDhAPBtisz" TargetMode="External"/><Relationship Id="rId4503" Type="http://schemas.openxmlformats.org/officeDocument/2006/relationships/hyperlink" Target="https://drive.google.com/drive/folders/1P9u3spGBzBDUypmCMxw6RO5eoRszM1H4?usp=drive_link" TargetMode="External"/><Relationship Id="rId373" Type="http://schemas.openxmlformats.org/officeDocument/2006/relationships/hyperlink" Target="https://drive.google.com/file/d/1BxaLxtrK--MbzecJElzQ-LkaCPVcUCI0/view?usp=sharing" TargetMode="External"/><Relationship Id="rId2054" Type="http://schemas.openxmlformats.org/officeDocument/2006/relationships/hyperlink" Target="https://drive.google.com/file/d/11o3mPncr6glzKlJGWMcA2P3y3EiXDCdq/view?usp=sharing" TargetMode="External"/><Relationship Id="rId3105" Type="http://schemas.openxmlformats.org/officeDocument/2006/relationships/hyperlink" Target="https://drive.google.com/file/d/10Pl67xEmXNffUqEM83hcS2gTZLQH2WrT/view?usp=sharing" TargetMode="External"/><Relationship Id="rId6675" Type="http://schemas.openxmlformats.org/officeDocument/2006/relationships/hyperlink" Target="https://drive.google.com/file/d/1_CD_8bD65Mi89v5pXC6aJoHGpap3fKWE/view?usp=sharing" TargetMode="External"/><Relationship Id="rId5277" Type="http://schemas.openxmlformats.org/officeDocument/2006/relationships/hyperlink" Target="https://drive.google.com/file/d/1epDQEqo1htnjxqrKBo7bYOGjnblrKkEH/view?usp=sharing" TargetMode="External"/><Relationship Id="rId6328" Type="http://schemas.openxmlformats.org/officeDocument/2006/relationships/hyperlink" Target="https://drive.google.com/file/d/1ZB16Au3NMiWoFBOMQlddtFADXPo1BZOD/view?usp=sharing" TargetMode="External"/><Relationship Id="rId7726" Type="http://schemas.openxmlformats.org/officeDocument/2006/relationships/hyperlink" Target="https://drive.google.com/file/d/14hqTMmmwqce9L2IvDsBtPdRTk-mf8rCn/view?usp=sharing" TargetMode="External"/><Relationship Id="rId10707" Type="http://schemas.openxmlformats.org/officeDocument/2006/relationships/hyperlink" Target="https://www.vidio.com/live/20240-proliga?schedule_id=4831743" TargetMode="External"/><Relationship Id="rId9898" Type="http://schemas.openxmlformats.org/officeDocument/2006/relationships/hyperlink" Target="https://www.vidio.com/live/19988-bri-super-league?schedule_id=4790747" TargetMode="External"/><Relationship Id="rId1887" Type="http://schemas.openxmlformats.org/officeDocument/2006/relationships/hyperlink" Target="https://drive.google.com/drive/folders/1bPEH-6hjkGzIetTDOTGWie2zovNlOQ6S" TargetMode="External"/><Relationship Id="rId2938" Type="http://schemas.openxmlformats.org/officeDocument/2006/relationships/hyperlink" Target="https://drive.google.com/drive/folders/1DPSndHg_Ftov32kfHVJYOFvCAsOr-mBg?usp=drive_link" TargetMode="External"/><Relationship Id="rId4360" Type="http://schemas.openxmlformats.org/officeDocument/2006/relationships/hyperlink" Target="https://drive.google.com/file/d/1Tn2yXqfSp3zXG4kzVmliKEDkzXarbYe3/view?usp=sharing" TargetMode="External"/><Relationship Id="rId5411" Type="http://schemas.openxmlformats.org/officeDocument/2006/relationships/hyperlink" Target="https://drive.google.com/file/d/1_1Jy3WoBLMMd7AJHHX9WJJSL-71_oGF_/view?usp=sharing" TargetMode="External"/><Relationship Id="rId8981" Type="http://schemas.openxmlformats.org/officeDocument/2006/relationships/hyperlink" Target="https://drive.google.com/file/d/1OAFW9HaCpLvPRm8sBbdq4hYrrQQxZ9UA/view?usp=sharing" TargetMode="External"/><Relationship Id="rId4013" Type="http://schemas.openxmlformats.org/officeDocument/2006/relationships/hyperlink" Target="https://drive.google.com/file/d/1EKwh_6i8Bkar4sEvmtUZuaAxJahu-sqJ/view?usp=sharing" TargetMode="External"/><Relationship Id="rId7583" Type="http://schemas.openxmlformats.org/officeDocument/2006/relationships/hyperlink" Target="https://www.vidio.com/live/6317-bein-3?schedule_id=4644299" TargetMode="External"/><Relationship Id="rId8634" Type="http://schemas.openxmlformats.org/officeDocument/2006/relationships/hyperlink" Target="https://drive.google.com/file/d/12UZ9dUTCLCr8N20hmncgLaJVYbTOYq6y/view?usp=sharing" TargetMode="External"/><Relationship Id="rId11962" Type="http://schemas.openxmlformats.org/officeDocument/2006/relationships/hyperlink" Target="https://www.vidio.com/live/18250-petronas-malaysia-open-2026-round-of-32-court-?schedule_id=4832189" TargetMode="External"/><Relationship Id="rId6185" Type="http://schemas.openxmlformats.org/officeDocument/2006/relationships/hyperlink" Target="https://drive.google.com/file/d/1rSOa4sr_naf7QYS74QByFdyJ-VaxW74_/view?usp=sharing" TargetMode="External"/><Relationship Id="rId7236" Type="http://schemas.openxmlformats.org/officeDocument/2006/relationships/hyperlink" Target="https://drive.google.com/file/d/1J1-yLuZgWIaAJ8cYnCpw5hBynerGqdDJ/view?usp=sharing" TargetMode="External"/><Relationship Id="rId10564" Type="http://schemas.openxmlformats.org/officeDocument/2006/relationships/hyperlink" Target="https://drive.google.com/file/d/1gNyfQZrnA8MrJwruibLz6AzXunwN_eJU/view?usp=sharing" TargetMode="External"/><Relationship Id="rId11615" Type="http://schemas.openxmlformats.org/officeDocument/2006/relationships/hyperlink" Target="https://drive.google.com/drive/folders/1EdQHfUMCUVpVYeHKdij8S45he4kfE2V9" TargetMode="External"/><Relationship Id="rId10217" Type="http://schemas.openxmlformats.org/officeDocument/2006/relationships/hyperlink" Target="https://drive.google.com/file/d/15igju4MvUKuNGD3UY1doqoaW8nUF9ykD/view?usp=sharing" TargetMode="External"/><Relationship Id="rId1397" Type="http://schemas.openxmlformats.org/officeDocument/2006/relationships/hyperlink" Target="https://www.vidio.com/live/19404-serie-a?schedule_id=4520553" TargetMode="External"/><Relationship Id="rId2795" Type="http://schemas.openxmlformats.org/officeDocument/2006/relationships/hyperlink" Target="https://drive.google.com/file/d/1xMePQB3_VGc2NnaSDDiEfpc63o7fpk60/view?usp=drive_link" TargetMode="External"/><Relationship Id="rId3846" Type="http://schemas.openxmlformats.org/officeDocument/2006/relationships/hyperlink" Target="https://drive.google.com/file/d/1ORanwTfGxsq0caww5xY0p3RXmizSVOz2/view?usp=sharing" TargetMode="External"/><Relationship Id="rId12389" Type="http://schemas.openxmlformats.org/officeDocument/2006/relationships/hyperlink" Target="https://drive.google.com/file/d/1eYrHSZhFd95KyhXxrabgACyw4RU-iuHU/view?usp=sharing" TargetMode="External"/><Relationship Id="rId767" Type="http://schemas.openxmlformats.org/officeDocument/2006/relationships/hyperlink" Target="https://drive.google.com/file/d/1IKb16a1icUtQvU8uhYtSH3mKMUOpppvW/view?usp=sharing" TargetMode="External"/><Relationship Id="rId2448" Type="http://schemas.openxmlformats.org/officeDocument/2006/relationships/hyperlink" Target="https://drive.google.com/drive/folders/1irQyoYKW4dq5vkb7raOF7Fwu6tjwOMK0?usp=drive_link" TargetMode="External"/><Relationship Id="rId8491" Type="http://schemas.openxmlformats.org/officeDocument/2006/relationships/hyperlink" Target="https://drive.google.com/drive/folders/1J_NzU8We2T5au8UdoHAmMIsdp5SZkv4H?usp=sharing" TargetMode="External"/><Relationship Id="rId9542" Type="http://schemas.openxmlformats.org/officeDocument/2006/relationships/hyperlink" Target="https://drive.google.com/file/d/1bGAtWdCSL-v2iZg1GvRoYwXZwXVqVH3x/view?usp=sharing" TargetMode="External"/><Relationship Id="rId11472" Type="http://schemas.openxmlformats.org/officeDocument/2006/relationships/hyperlink" Target="https://www.vidio.com/live/18249-hsbc-bwf-world-tour-finals-2025-finals?schedule_id=4789244" TargetMode="External"/><Relationship Id="rId901" Type="http://schemas.openxmlformats.org/officeDocument/2006/relationships/hyperlink" Target="https://drive.google.com/drive/folders/1hZ0Ae5gpYltL0ZmPOiv6rHTlPBE6aOxT?usp=drive_link" TargetMode="External"/><Relationship Id="rId1531" Type="http://schemas.openxmlformats.org/officeDocument/2006/relationships/hyperlink" Target="https://drive.google.com/file/d/1kgJ32lbrpzmRV1HgnWFGVSSyYyhyR758/view?usp=drive_link" TargetMode="External"/><Relationship Id="rId7093" Type="http://schemas.openxmlformats.org/officeDocument/2006/relationships/hyperlink" Target="https://drive.google.com/drive/folders/17cdWs5v4gNSnkR_JkpwO5r35mtjzSe_L" TargetMode="External"/><Relationship Id="rId8144" Type="http://schemas.openxmlformats.org/officeDocument/2006/relationships/hyperlink" Target="https://www.vidio.com/live/19549-pegadaian-championship-2025-26?schedule_id=4709793" TargetMode="External"/><Relationship Id="rId10074" Type="http://schemas.openxmlformats.org/officeDocument/2006/relationships/hyperlink" Target="https://www.vidio.com/live/19623-national-football-league-2025-26?schedule_id=4768869" TargetMode="External"/><Relationship Id="rId11125" Type="http://schemas.openxmlformats.org/officeDocument/2006/relationships/hyperlink" Target="https://thumbor.prod.vidiocdn.com/MzJsTNpO06EycJij-0HtO5k4c0k=/filters:quality(70)/vidio-media-production/uploads/image/source/53151/7c62a9.png" TargetMode="External"/><Relationship Id="rId4754" Type="http://schemas.openxmlformats.org/officeDocument/2006/relationships/hyperlink" Target="https://drive.google.com/drive/folders/1_39RaVPbPfkcZUWFsH3wiaN_Jc_TYNS2?usp=drive_link" TargetMode="External"/><Relationship Id="rId3356" Type="http://schemas.openxmlformats.org/officeDocument/2006/relationships/hyperlink" Target="https://drive.google.com/drive/folders/1qJurqRohVsogAKqqMeei_icgNdHCI4SV" TargetMode="External"/><Relationship Id="rId4407" Type="http://schemas.openxmlformats.org/officeDocument/2006/relationships/hyperlink" Target="https://drive.google.com/file/d/1dmQJJ7-V3oVd1MaUR44GATzIriVUn9Ru/view?usp=sharing" TargetMode="External"/><Relationship Id="rId5805" Type="http://schemas.openxmlformats.org/officeDocument/2006/relationships/hyperlink" Target="https://www.vidio.com/live/19600-uefa-europa-league?schedule_id=4702076" TargetMode="External"/><Relationship Id="rId277" Type="http://schemas.openxmlformats.org/officeDocument/2006/relationships/hyperlink" Target="https://drive.google.com/file/d/1DXSMm2A08K9CCyqR7tBZm7_OFrKvji2g/view?usp=sharing" TargetMode="External"/><Relationship Id="rId3009" Type="http://schemas.openxmlformats.org/officeDocument/2006/relationships/hyperlink" Target="https://www.vidio.com/live/17875-bein-2?schedule_id=4736029" TargetMode="External"/><Relationship Id="rId7977" Type="http://schemas.openxmlformats.org/officeDocument/2006/relationships/hyperlink" Target="https://drive.google.com/drive/folders/19nFMFFOSLtGlBC680-_UgS-TiVTr33Zz?usp=drive_link" TargetMode="External"/><Relationship Id="rId10958" Type="http://schemas.openxmlformats.org/officeDocument/2006/relationships/hyperlink" Target="https://www.vidio.com/live/18189-champions-golf-1?schedule_id=4783723" TargetMode="External"/><Relationship Id="rId6579" Type="http://schemas.openxmlformats.org/officeDocument/2006/relationships/hyperlink" Target="https://drive.google.com/file/d/1vHWRe1rcW0gMLptZrRXlCwdOE84oCKp6/view?usp=sharing" TargetMode="External"/><Relationship Id="rId9052" Type="http://schemas.openxmlformats.org/officeDocument/2006/relationships/hyperlink" Target="https://drive.google.com/file/d/13Xz8HZJfur4BZny05u0TCo3rn3pUCFL0/view?usp=sharing" TargetMode="External"/><Relationship Id="rId12380" Type="http://schemas.openxmlformats.org/officeDocument/2006/relationships/hyperlink" Target="https://drive.google.com/drive/folders/1b4k6Xd9bYzvR8tmKEmYOqigP2l0r7KIX" TargetMode="External"/><Relationship Id="rId12033" Type="http://schemas.openxmlformats.org/officeDocument/2006/relationships/hyperlink" Target="https://drive.google.com/file/d/1B4cBF3qrh1sMXG2gV5jmUKJx_gapQy02/view?usp=sharing" TargetMode="External"/><Relationship Id="rId411" Type="http://schemas.openxmlformats.org/officeDocument/2006/relationships/hyperlink" Target="https://drive.google.com/drive/folders/1qgtO3fiEv-fHXh-CC7Us9jbHXXw_OPp8?usp=drive_link" TargetMode="External"/><Relationship Id="rId1041" Type="http://schemas.openxmlformats.org/officeDocument/2006/relationships/hyperlink" Target="https://drive.google.com/file/d/12TzSMTe7HYQHjjkTEKH91Wf_PY3YIrei/view?usp=sharing" TargetMode="External"/><Relationship Id="rId5662" Type="http://schemas.openxmlformats.org/officeDocument/2006/relationships/hyperlink" Target="https://www.vidio.com/live/19630-uefa-europa-league?schedule_id=4614707" TargetMode="External"/><Relationship Id="rId6713" Type="http://schemas.openxmlformats.org/officeDocument/2006/relationships/hyperlink" Target="https://drive.google.com/drive/folders/1aLmJezBwGY93BuRDPj1xE9LbASiDtpvI?usp=drive_link" TargetMode="External"/><Relationship Id="rId4264" Type="http://schemas.openxmlformats.org/officeDocument/2006/relationships/hyperlink" Target="https://drive.google.com/file/d/1QmShD-Cc0MSJnWnH3KzxtZuaO1vq6LmY/view?usp=sharing" TargetMode="External"/><Relationship Id="rId5315" Type="http://schemas.openxmlformats.org/officeDocument/2006/relationships/hyperlink" Target="https://drive.google.com/drive/folders/1uBumDopWGlX16tJl_pDFMM8krnrFdKh0" TargetMode="External"/><Relationship Id="rId8885" Type="http://schemas.openxmlformats.org/officeDocument/2006/relationships/hyperlink" Target="https://drive.google.com/file/d/17uzPTAGM91kv5UeaPB7Xd8NqwlTZanaY/view?usp=sharing" TargetMode="External"/><Relationship Id="rId7487" Type="http://schemas.openxmlformats.org/officeDocument/2006/relationships/hyperlink" Target="https://drive.google.com/drive/folders/1NepG6XT-FSa8Cs07sX3tPfQWLNpJfAxp" TargetMode="External"/><Relationship Id="rId8538" Type="http://schemas.openxmlformats.org/officeDocument/2006/relationships/hyperlink" Target="https://drive.google.com/file/d/12ra5PVhr5HBkVsgPVvsJyDxzpHhPWaz6/view?usp=sharing" TargetMode="External"/><Relationship Id="rId9936" Type="http://schemas.openxmlformats.org/officeDocument/2006/relationships/hyperlink" Target="https://drive.google.com/file/d/1atEV31msZ8AEZHhjhOEBlGawSniyxGwh/view?usp=sharing" TargetMode="External"/><Relationship Id="rId11866" Type="http://schemas.openxmlformats.org/officeDocument/2006/relationships/hyperlink" Target="https://drive.google.com/drive/folders/1TYXj5i7Ik4SNEitV7mHoBo1u6CAR_kAQ?usp=drive_link" TargetMode="External"/><Relationship Id="rId1925" Type="http://schemas.openxmlformats.org/officeDocument/2006/relationships/hyperlink" Target="https://drive.google.com/file/d/1voGemNpET92xLaWODx0iYZL1EicKHRlY/view?usp=drive_link" TargetMode="External"/><Relationship Id="rId6089" Type="http://schemas.openxmlformats.org/officeDocument/2006/relationships/hyperlink" Target="https://drive.google.com/drive/folders/1BHh5wPsnYmUU66j0vsOKMNDJmvhTzaOp?usp=drive_link" TargetMode="External"/><Relationship Id="rId10468" Type="http://schemas.openxmlformats.org/officeDocument/2006/relationships/hyperlink" Target="https://drive.google.com/drive/folders/1NepG6XT-FSa8Cs07sX3tPfQWLNpJfAxp" TargetMode="External"/><Relationship Id="rId11519" Type="http://schemas.openxmlformats.org/officeDocument/2006/relationships/hyperlink" Target="https://drive.google.com/drive/folders/1LcnOE8QyAjs0sfRdAfF49n4wo8Nd4Rws" TargetMode="External"/><Relationship Id="rId2699" Type="http://schemas.openxmlformats.org/officeDocument/2006/relationships/hyperlink" Target="https://drive.google.com/file/d/1zJs5O_cCbmyI8uI3Ilqcg4TZmtwmseWp/view?usp=drive_link" TargetMode="External"/><Relationship Id="rId3000" Type="http://schemas.openxmlformats.org/officeDocument/2006/relationships/hyperlink" Target="https://drive.google.com/drive/folders/1hfcarZQQTW9iAZReqcSurlYy_boiq7jw?usp=drive_link" TargetMode="External"/><Relationship Id="rId6570" Type="http://schemas.openxmlformats.org/officeDocument/2006/relationships/hyperlink" Target="https://www.vidio.com/live/19643-uefa-conference-league?schedule_id=4783291" TargetMode="External"/><Relationship Id="rId7621" Type="http://schemas.openxmlformats.org/officeDocument/2006/relationships/hyperlink" Target="https://drive.google.com/file/d/1cd3n95sok5sn_laWW77GPT64WJ-lDAoF/view?usp=sharing" TargetMode="External"/><Relationship Id="rId10602" Type="http://schemas.openxmlformats.org/officeDocument/2006/relationships/hyperlink" Target="https://www.vidio.com/live/17875-bein-2?schedule_id=4778138" TargetMode="External"/><Relationship Id="rId5172" Type="http://schemas.openxmlformats.org/officeDocument/2006/relationships/hyperlink" Target="https://drive.google.com/drive/folders/1d8RfZ3AxKm4vcq0d__doqb5lGvVI-NuD" TargetMode="External"/><Relationship Id="rId6223" Type="http://schemas.openxmlformats.org/officeDocument/2006/relationships/hyperlink" Target="https://drive.google.com/drive/folders/1A1BfL3z8rUtUCXgH0RwvF6x9JYzxugFA" TargetMode="External"/><Relationship Id="rId9793" Type="http://schemas.openxmlformats.org/officeDocument/2006/relationships/hyperlink" Target="https://drive.google.com/file/d/1bGAtWdCSL-v2iZg1GvRoYwXZwXVqVH3x/view?usp=sharing" TargetMode="External"/><Relationship Id="rId1782" Type="http://schemas.openxmlformats.org/officeDocument/2006/relationships/hyperlink" Target="https://drive.google.com/file/d/1UXLozGoNbYrxpMqbP4Ny1i_pfIViycQM/view?usp=drive_link" TargetMode="External"/><Relationship Id="rId2833" Type="http://schemas.openxmlformats.org/officeDocument/2006/relationships/hyperlink" Target="https://drive.google.com/drive/folders/1cA9KxSRTjbGHfV97cQx2X2tYvii98MF_?usp=drive_link" TargetMode="External"/><Relationship Id="rId8395" Type="http://schemas.openxmlformats.org/officeDocument/2006/relationships/hyperlink" Target="https://drive.google.com/file/d/1JPCLMwtsebc5f2sEd1o6j9cnmIiT-TO6/view?usp=sharing" TargetMode="External"/><Relationship Id="rId9446" Type="http://schemas.openxmlformats.org/officeDocument/2006/relationships/hyperlink" Target="https://drive.google.com/drive/folders/1r_425QeeZBreo56xFZbfzXJ_hGE6PqjU?usp=drive_link" TargetMode="External"/><Relationship Id="rId11376" Type="http://schemas.openxmlformats.org/officeDocument/2006/relationships/hyperlink" Target="https://www.vidio.com/live/20107-top-youth-premier-league-semifinal-cup-final-cup-plate?schedule_id=4786459" TargetMode="External"/><Relationship Id="rId805" Type="http://schemas.openxmlformats.org/officeDocument/2006/relationships/hyperlink" Target="https://drive.google.com/drive/folders/1uSXBRCoRO_FR6xIxicGV6W3xtV_LVEzb" TargetMode="External"/><Relationship Id="rId1435" Type="http://schemas.openxmlformats.org/officeDocument/2006/relationships/hyperlink" Target="https://drive.google.com/file/d/15dfzY1OT1AnNy4AYb1o4YTGuvkTGHM7I/view?usp=sharing" TargetMode="External"/><Relationship Id="rId8048" Type="http://schemas.openxmlformats.org/officeDocument/2006/relationships/hyperlink" Target="https://www.vidio.com/live/19543-pegadaian-championship-2025-26?schedule_id=4676981" TargetMode="External"/><Relationship Id="rId11029" Type="http://schemas.openxmlformats.org/officeDocument/2006/relationships/hyperlink" Target="https://thumbor.prod.vidiocdn.com/SDIgljcA8pYIIfgTjDT37dy-YYA=/filters:quality(70)/vidio-media-production/uploads/image/source/53175/bfc3c9.png" TargetMode="External"/><Relationship Id="rId12427" Type="http://schemas.openxmlformats.org/officeDocument/2006/relationships/hyperlink" Target="https://www.vidio.com/live/20283" TargetMode="External"/><Relationship Id="rId4658" Type="http://schemas.openxmlformats.org/officeDocument/2006/relationships/hyperlink" Target="https://drive.google.com/drive/folders/1yuJGxMVPvpPGg_QB0nin_P9F7UqsTB0v?usp=drive_link" TargetMode="External"/><Relationship Id="rId5709" Type="http://schemas.openxmlformats.org/officeDocument/2006/relationships/hyperlink" Target="https://www.vidio.com/live/19631-uefa-europa-league?schedule_id=4664108" TargetMode="External"/><Relationship Id="rId6080" Type="http://schemas.openxmlformats.org/officeDocument/2006/relationships/hyperlink" Target="https://drive.google.com/file/d/1yTtcRxe04jc1kMLgytdrE8uruvRSFva0/view?usp=sharing" TargetMode="External"/><Relationship Id="rId7131" Type="http://schemas.openxmlformats.org/officeDocument/2006/relationships/hyperlink" Target="https://drive.google.com/file/d/19GWxj4we_8md0Nv-t0ms_IzExOU25-GK/view?usp=sharing" TargetMode="External"/><Relationship Id="rId11510" Type="http://schemas.openxmlformats.org/officeDocument/2006/relationships/hyperlink" Target="https://drive.google.com/file/d/1BjVd7K9HOwzLyuaAelwp4OBEM_ofGdG0/view?usp=sharing" TargetMode="External"/><Relationship Id="rId10112" Type="http://schemas.openxmlformats.org/officeDocument/2006/relationships/hyperlink" Target="https://www.vidio.com/live/19996" TargetMode="External"/><Relationship Id="rId2690" Type="http://schemas.openxmlformats.org/officeDocument/2006/relationships/hyperlink" Target="https://www.vidio.com/live/6317-bein-3?schedule_id=4655971" TargetMode="External"/><Relationship Id="rId3741" Type="http://schemas.openxmlformats.org/officeDocument/2006/relationships/hyperlink" Target="https://drive.google.com/file/d/1eYrVtNup3GZ5tNdW_xLomcxIa-WuukRd/view?usp=sharing" TargetMode="External"/><Relationship Id="rId12284" Type="http://schemas.openxmlformats.org/officeDocument/2006/relationships/hyperlink" Target="https://www.vidio.com/live/20277?schedule_id=4833890" TargetMode="External"/><Relationship Id="rId662" Type="http://schemas.openxmlformats.org/officeDocument/2006/relationships/hyperlink" Target="https://drive.google.com/drive/folders/1ds9PMo8hFSwSpLmEp1JSAss9vLnn8zkw" TargetMode="External"/><Relationship Id="rId1292" Type="http://schemas.openxmlformats.org/officeDocument/2006/relationships/hyperlink" Target="https://drive.google.com/file/d/1ChY8QpQOF9OdlHrD2MNewia_NS7cWt-Q/view?usp=sharing" TargetMode="External"/><Relationship Id="rId2343" Type="http://schemas.openxmlformats.org/officeDocument/2006/relationships/hyperlink" Target="https://drive.google.com/file/d/14SUYgba0_cpJot_gyfC4vTJnGUSA73Wx/view?usp=sharing" TargetMode="External"/><Relationship Id="rId6964" Type="http://schemas.openxmlformats.org/officeDocument/2006/relationships/hyperlink" Target="https://drive.google.com/drive/folders/1MUHpjcAWx_rsFNBezaRH1Jnn8SvbuqUx?usp=drive_link" TargetMode="External"/><Relationship Id="rId315" Type="http://schemas.openxmlformats.org/officeDocument/2006/relationships/hyperlink" Target="https://drive.google.com/drive/folders/1YVhbWcbn0U5bDlvp9siQSAwcwllTIBVg?usp=drive_link" TargetMode="External"/><Relationship Id="rId5566" Type="http://schemas.openxmlformats.org/officeDocument/2006/relationships/hyperlink" Target="https://drive.google.com/drive/folders/1Ksp94yg6VhabtSX7ukzEZ8vav7MebcsU?usp=drive_link" TargetMode="External"/><Relationship Id="rId6617" Type="http://schemas.openxmlformats.org/officeDocument/2006/relationships/hyperlink" Target="https://www.vidio.com/live/20091-uefa-conference-league?schedule_id=4783340" TargetMode="External"/><Relationship Id="rId4168" Type="http://schemas.openxmlformats.org/officeDocument/2006/relationships/hyperlink" Target="https://drive.google.com/drive/folders/1tia6v4elSjYt0ip0lAMMTPYagWB8TJZK?usp=drive_link" TargetMode="External"/><Relationship Id="rId5219" Type="http://schemas.openxmlformats.org/officeDocument/2006/relationships/hyperlink" Target="https://drive.google.com/file/d/1yf_a9NQYJA5lE2Qd1AJ33NHj-1ZWxDwW/view?usp=sharing" TargetMode="External"/><Relationship Id="rId8789" Type="http://schemas.openxmlformats.org/officeDocument/2006/relationships/hyperlink" Target="https://www.vidio.com/live/19672-easl?schedule_id=4720761" TargetMode="External"/><Relationship Id="rId11020" Type="http://schemas.openxmlformats.org/officeDocument/2006/relationships/hyperlink" Target="https://drive.google.com/file/d/1sebHnYKTR-oRHkfxwZsAtd8cVWyH2UNr/view?usp=sharing" TargetMode="External"/><Relationship Id="rId1829" Type="http://schemas.openxmlformats.org/officeDocument/2006/relationships/hyperlink" Target="https://drive.google.com/file/d/1HPVfLcP0_BDFCpMuLmTQzqS0gARfyjov/view?usp=drive_link" TargetMode="External"/><Relationship Id="rId5700" Type="http://schemas.openxmlformats.org/officeDocument/2006/relationships/hyperlink" Target="https://drive.google.com/file/d/1-bq6XHJFiuDKKNDZoVqaOklhGBydQbDq/view?usp=sharing" TargetMode="External"/><Relationship Id="rId3251" Type="http://schemas.openxmlformats.org/officeDocument/2006/relationships/hyperlink" Target="https://drive.google.com/drive/folders/1FHl_DEkfHlWPoo7dNGvso6snUMcPPFr9?usp=drive_link" TargetMode="External"/><Relationship Id="rId4302" Type="http://schemas.openxmlformats.org/officeDocument/2006/relationships/hyperlink" Target="https://drive.google.com/file/d/1_VsvH3d2qXcHtlyrsuSgrF6IQO12Djjc/view?usp=sharing" TargetMode="External"/><Relationship Id="rId7872" Type="http://schemas.openxmlformats.org/officeDocument/2006/relationships/hyperlink" Target="https://drive.google.com/drive/folders/18IGB9DGwSumTAU2IULoEXtoxmrAYTJ3n" TargetMode="External"/><Relationship Id="rId8923" Type="http://schemas.openxmlformats.org/officeDocument/2006/relationships/hyperlink" Target="https://thumbor.prod.vidiocdn.com/zoje4RJ0sZ0VkvWHsIw7_rkFPcs=/filters:quality(70)/vidio-media-production/uploads/image/source/52552/72ae69.png" TargetMode="External"/><Relationship Id="rId172" Type="http://schemas.openxmlformats.org/officeDocument/2006/relationships/hyperlink" Target="https://www.vidio.com/live/9182-champions-tv-5?schedule_id=4525570" TargetMode="External"/><Relationship Id="rId6474" Type="http://schemas.openxmlformats.org/officeDocument/2006/relationships/hyperlink" Target="https://www.vidio.com/live/19736-uefa-conference-league?schedule_id=4771643" TargetMode="External"/><Relationship Id="rId7525" Type="http://schemas.openxmlformats.org/officeDocument/2006/relationships/hyperlink" Target="https://drive.google.com/file/d/1ZmwCB9Cw1oSQhbKbl_UdNWdXXAhvmWyf/view?usp=sharing" TargetMode="External"/><Relationship Id="rId10853" Type="http://schemas.openxmlformats.org/officeDocument/2006/relationships/hyperlink" Target="https://drive.google.com/file/d/1ehPHlNfv24yKS4qwWvbp5EP5ggNmJREB/view?usp=sharing" TargetMode="External"/><Relationship Id="rId11904" Type="http://schemas.openxmlformats.org/officeDocument/2006/relationships/hyperlink" Target="https://www.vidio.com/live/18252-petronas-malaysia-open-2026-round-of-32-court-3?schedule_id=4831574" TargetMode="External"/><Relationship Id="rId5076" Type="http://schemas.openxmlformats.org/officeDocument/2006/relationships/hyperlink" Target="https://drive.google.com/file/d/1IV9wPlBkwXzFwzElfrZyGx11MCl6TjpA/view?usp=drive_link" TargetMode="External"/><Relationship Id="rId6127" Type="http://schemas.openxmlformats.org/officeDocument/2006/relationships/hyperlink" Target="https://drive.google.com/file/d/1AIRDHoxVi8Il0wW8JlB8w0WAFr3LwTWC/view?usp=sharing" TargetMode="External"/><Relationship Id="rId9697" Type="http://schemas.openxmlformats.org/officeDocument/2006/relationships/hyperlink" Target="https://www.vidio.com/live/17140-spotv-2?schedule_id=4736085" TargetMode="External"/><Relationship Id="rId10506" Type="http://schemas.openxmlformats.org/officeDocument/2006/relationships/hyperlink" Target="https://www.vidio.com/live/19355-bri-super-league?schedule_id=4783772" TargetMode="External"/><Relationship Id="rId1686" Type="http://schemas.openxmlformats.org/officeDocument/2006/relationships/hyperlink" Target="https://drive.google.com/file/d/1-o9ux7eHiUsS3T9FHnPTT2GmB2of4SMK/view?usp=drive_link" TargetMode="External"/><Relationship Id="rId8299" Type="http://schemas.openxmlformats.org/officeDocument/2006/relationships/hyperlink" Target="https://drive.google.com/file/d/1kvR3QD4lD2t5MCFG0VfAN3i16IpBuxbV/view?usp=sharing" TargetMode="External"/><Relationship Id="rId1339" Type="http://schemas.openxmlformats.org/officeDocument/2006/relationships/hyperlink" Target="https://drive.google.com/file/d/1xqL5tu2tQoqmx0TFUgH78FMUiiEDXvXb/view?usp=drive_link" TargetMode="External"/><Relationship Id="rId2737" Type="http://schemas.openxmlformats.org/officeDocument/2006/relationships/hyperlink" Target="https://drive.google.com/drive/folders/1kMnAUovIfqAZyRE7zHeYvNuw4YZstmZE?usp=drive_link" TargetMode="External"/><Relationship Id="rId5210" Type="http://schemas.openxmlformats.org/officeDocument/2006/relationships/hyperlink" Target="https://drive.google.com/file/d/1WHyJ1bSJZbw3Ki2oCYXMDtFyq143P3mZ/view?usp=sharing" TargetMode="External"/><Relationship Id="rId709" Type="http://schemas.openxmlformats.org/officeDocument/2006/relationships/hyperlink" Target="https://drive.google.com/drive/folders/14oiAcCjnlSgYm1Han50wPwF0wimtKn_n?usp=drive_link" TargetMode="External"/><Relationship Id="rId8780" Type="http://schemas.openxmlformats.org/officeDocument/2006/relationships/hyperlink" Target="https://drive.google.com/file/d/1j3BdxBl14L7fhTKRUNDF7tInEYmdmBi-/view?usp=sharing" TargetMode="External"/><Relationship Id="rId9831" Type="http://schemas.openxmlformats.org/officeDocument/2006/relationships/hyperlink" Target="https://drive.google.com/file/d/1bGAtWdCSL-v2iZg1GvRoYwXZwXVqVH3x/view" TargetMode="External"/><Relationship Id="rId11761" Type="http://schemas.openxmlformats.org/officeDocument/2006/relationships/hyperlink" Target="https://www.vidio.com/live/19355-bri-super-league?schedule_id=4832275" TargetMode="External"/><Relationship Id="rId45" Type="http://schemas.openxmlformats.org/officeDocument/2006/relationships/hyperlink" Target="https://drive.google.com/file/d/19K2V1pFj86WRjKfmWYV3X145gX-PDfE2/view?usp=sharing" TargetMode="External"/><Relationship Id="rId1820" Type="http://schemas.openxmlformats.org/officeDocument/2006/relationships/hyperlink" Target="https://www.vidio.com/live/19386-bri-super-league?schedule_id=4596465" TargetMode="External"/><Relationship Id="rId7382" Type="http://schemas.openxmlformats.org/officeDocument/2006/relationships/hyperlink" Target="https://drive.google.com/drive/folders/1bghEprku87y62sDtmflnJml6l5vlfsTg?usp=drive_link" TargetMode="External"/><Relationship Id="rId8433" Type="http://schemas.openxmlformats.org/officeDocument/2006/relationships/hyperlink" Target="https://drive.google.com/file/d/1w3N03MWHMidIYLSaBOZzzoNpneOgxO0s/view?usp=sharing" TargetMode="External"/><Relationship Id="rId10363" Type="http://schemas.openxmlformats.org/officeDocument/2006/relationships/hyperlink" Target="https://drive.google.com/file/d/1c9b37wfDcI90ywKK-eUuQb_lFkWKMT25/view?usp=sharing" TargetMode="External"/><Relationship Id="rId11414" Type="http://schemas.openxmlformats.org/officeDocument/2006/relationships/hyperlink" Target="https://drive.google.com/drive/folders/1o1U6Xrma6-i_C__CorH7pl8eIMeOupbW" TargetMode="External"/><Relationship Id="rId3992" Type="http://schemas.openxmlformats.org/officeDocument/2006/relationships/hyperlink" Target="https://drive.google.com/file/d/19nThG52ocdpfhUOr31IbIJW78SdRqzRa/view?usp=sharing" TargetMode="External"/><Relationship Id="rId7035" Type="http://schemas.openxmlformats.org/officeDocument/2006/relationships/hyperlink" Target="https://drive.google.com/file/d/1FXQ4W_RfldBxR1VzGm2H7IUedySWstud/view?usp=sharing" TargetMode="External"/><Relationship Id="rId10016" Type="http://schemas.openxmlformats.org/officeDocument/2006/relationships/hyperlink" Target="https://www.vidio.com/live/6317-bein-3?schedule_id=4797271" TargetMode="External"/><Relationship Id="rId2594" Type="http://schemas.openxmlformats.org/officeDocument/2006/relationships/hyperlink" Target="https://www.vidio.com/live/6299-bein-1?schedule_id=4598289" TargetMode="External"/><Relationship Id="rId3645" Type="http://schemas.openxmlformats.org/officeDocument/2006/relationships/hyperlink" Target="https://drive.google.com/file/d/12P1gd-GuRsflh_ZMLWD4TioRcXZayo1P/view?usp=sharing" TargetMode="External"/><Relationship Id="rId12188" Type="http://schemas.openxmlformats.org/officeDocument/2006/relationships/hyperlink" Target="https://drive.google.com/file/d/17nqJ8YbOWxi4DOQmMA4_VvY1qMuE4tM4/view?usp=drive_link" TargetMode="External"/><Relationship Id="rId566" Type="http://schemas.openxmlformats.org/officeDocument/2006/relationships/hyperlink" Target="https://drive.google.com/file/d/1trk8FYt758ft5j5Ylv_eZsnIk3xTlWTL/view?usp=sharing" TargetMode="External"/><Relationship Id="rId1196" Type="http://schemas.openxmlformats.org/officeDocument/2006/relationships/hyperlink" Target="https://www.vidio.com/live/9182-champions-tv-5?schedule_id=4802201" TargetMode="External"/><Relationship Id="rId2247" Type="http://schemas.openxmlformats.org/officeDocument/2006/relationships/hyperlink" Target="https://drive.google.com/drive/folders/1qCcBp9HXryO0KKa5HH_MTnpOd8vRfd9G" TargetMode="External"/><Relationship Id="rId219" Type="http://schemas.openxmlformats.org/officeDocument/2006/relationships/hyperlink" Target="https://drive.google.com/file/d/1INLkKwQBwCKBTIjDlGxV5lPhLbCpp6ZA/view?usp=sharing" TargetMode="External"/><Relationship Id="rId6868" Type="http://schemas.openxmlformats.org/officeDocument/2006/relationships/hyperlink" Target="https://drive.google.com/drive/folders/1GAocAJfGoA9xqgoGyfcSL5u6SV_DlpCr?usp=drive_link" TargetMode="External"/><Relationship Id="rId7919" Type="http://schemas.openxmlformats.org/officeDocument/2006/relationships/hyperlink" Target="https://drive.google.com/file/d/1Rg6nhLalkTjOf3WQ6X0SjOwq0BW2Db3a/view?usp=sharing" TargetMode="External"/><Relationship Id="rId8290" Type="http://schemas.openxmlformats.org/officeDocument/2006/relationships/hyperlink" Target="https://drive.google.com/drive/folders/1aNKISPRkrO2WwL7nfFWDj0OU5QrqvWEH?usp=drive_link" TargetMode="External"/><Relationship Id="rId9341" Type="http://schemas.openxmlformats.org/officeDocument/2006/relationships/hyperlink" Target="https://www.vidio.com/live/19773-fa-cup-2025-26?schedule_id=4758893" TargetMode="External"/><Relationship Id="rId11271" Type="http://schemas.openxmlformats.org/officeDocument/2006/relationships/hyperlink" Target="https://www.vidio.com/live/19353-bri-super-league?schedule_id=4824479" TargetMode="External"/><Relationship Id="rId12322" Type="http://schemas.openxmlformats.org/officeDocument/2006/relationships/hyperlink" Target="https://drive.google.com/file/d/17nqJ8YbOWxi4DOQmMA4_VvY1qMuE4tM4/view?usp=sharing" TargetMode="External"/><Relationship Id="rId700" Type="http://schemas.openxmlformats.org/officeDocument/2006/relationships/hyperlink" Target="https://drive.google.com/file/d/15VGmjNKVc-FRxjkXjVhd1u7NAvhipCtu/view?usp=sharing" TargetMode="External"/><Relationship Id="rId1330" Type="http://schemas.openxmlformats.org/officeDocument/2006/relationships/hyperlink" Target="https://drive.google.com/drive/folders/17rTx4ykYTEX3_u-MiIr7SreOsYh_iEmi?usp=drive_link" TargetMode="External"/><Relationship Id="rId5951" Type="http://schemas.openxmlformats.org/officeDocument/2006/relationships/hyperlink" Target="https://drive.google.com/file/d/1loEr3-Ipzozu6M2AqvGZbHu_pLCe3-O-/view?usp=sharing" TargetMode="External"/><Relationship Id="rId4553" Type="http://schemas.openxmlformats.org/officeDocument/2006/relationships/hyperlink" Target="https://drive.google.com/file/d/1shmFFQyXKwnFbcw3-ot-a2r83_mpSv8q/view?usp=sharing" TargetMode="External"/><Relationship Id="rId5604" Type="http://schemas.openxmlformats.org/officeDocument/2006/relationships/hyperlink" Target="https://drive.google.com/file/d/18dbZUhMzjWSxwhilV7SBO50Wmh7K2GuX/view?usp=sharing" TargetMode="External"/><Relationship Id="rId3155" Type="http://schemas.openxmlformats.org/officeDocument/2006/relationships/hyperlink" Target="https://thumbor.prod.vidiocdn.com/o_E-Mmtn8Wp0qKO4pU6dwpHmpws=/filters:quality(70)/vidio-media-production/uploads/image/source/52108/fad2ed.png" TargetMode="External"/><Relationship Id="rId4206" Type="http://schemas.openxmlformats.org/officeDocument/2006/relationships/hyperlink" Target="https://drive.google.com/file/d/1GVJBmwGMMpXIG0UBVPNE85uyhs7rzV_b/view?usp=sharing" TargetMode="External"/><Relationship Id="rId7776" Type="http://schemas.openxmlformats.org/officeDocument/2006/relationships/hyperlink" Target="https://www.vidio.com/live/19370-carabao-cup-2025-26?schedule_id=4673900" TargetMode="External"/><Relationship Id="rId8827" Type="http://schemas.openxmlformats.org/officeDocument/2006/relationships/hyperlink" Target="https://drive.google.com/file/d/1EbsWiiPOCJCVeVVNU3yWhN9rmyBxsmJN/view?usp=drive_link" TargetMode="External"/><Relationship Id="rId6378" Type="http://schemas.openxmlformats.org/officeDocument/2006/relationships/hyperlink" Target="https://drive.google.com/drive/folders/1F9lLmIvT4-3oh_Jbh-sne-zsyB6ey7v0" TargetMode="External"/><Relationship Id="rId7429" Type="http://schemas.openxmlformats.org/officeDocument/2006/relationships/hyperlink" Target="https://www.vidio.com/live/6685-champions-tv-1?schedule_id=4678464" TargetMode="External"/><Relationship Id="rId10757" Type="http://schemas.openxmlformats.org/officeDocument/2006/relationships/hyperlink" Target="https://thumbor.prod.vidiocdn.com/jk4ElYkYt_k-LHzsDIZx6u82D_0=/filters:quality(70)/vidio-media-production/uploads/image/source/52074/cd1a1c.png" TargetMode="External"/><Relationship Id="rId11808" Type="http://schemas.openxmlformats.org/officeDocument/2006/relationships/hyperlink" Target="https://drive.google.com/file/d/1RvpVSYEuxwkTup3qpzOCOplWtOxx9WK3/view?usp=sharing" TargetMode="External"/><Relationship Id="rId210" Type="http://schemas.openxmlformats.org/officeDocument/2006/relationships/hyperlink" Target="https://drive.google.com/drive/folders/1keBgYGAW2V9gleWyOBlIJnrRzNas7sPg?usp=drive_link" TargetMode="External"/><Relationship Id="rId2988" Type="http://schemas.openxmlformats.org/officeDocument/2006/relationships/hyperlink" Target="https://drive.google.com/drive/folders/1TNQjALBJv44kYZD2M9B7LXvYYOuPLheB?usp=drive_link" TargetMode="External"/><Relationship Id="rId7910" Type="http://schemas.openxmlformats.org/officeDocument/2006/relationships/hyperlink" Target="https://drive.google.com/file/d/1sqXzxVmeXlg57n0v8QavjqH0f7Xj_53M/view?usp=sharing" TargetMode="External"/><Relationship Id="rId5461" Type="http://schemas.openxmlformats.org/officeDocument/2006/relationships/hyperlink" Target="https://drive.google.com/file/d/1OXhBA_rRblmzwt7NK-BZyKgym5YPlliW/view?usp=share_link" TargetMode="External"/><Relationship Id="rId6512" Type="http://schemas.openxmlformats.org/officeDocument/2006/relationships/hyperlink" Target="https://drive.google.com/file/d/1znyCtCfMBRqmqJCAe4H1UHN6m8HGeXEx/view?usp=sharing" TargetMode="External"/><Relationship Id="rId4063" Type="http://schemas.openxmlformats.org/officeDocument/2006/relationships/hyperlink" Target="https://3.basecamp.com/4902751/buckets/36763424/card_tables/cards/9034796317" TargetMode="External"/><Relationship Id="rId5114" Type="http://schemas.openxmlformats.org/officeDocument/2006/relationships/hyperlink" Target="https://drive.google.com/file/d/1-ko6i6JBYUuusdwDtJlF43ICkrNEgsQy/view?usp=sharing" TargetMode="External"/><Relationship Id="rId8684" Type="http://schemas.openxmlformats.org/officeDocument/2006/relationships/hyperlink" Target="https://drive.google.com/file/d/1LmVwN0ACYaCrEUTeLp9gLxNp6w3hLLFJ/view?usp=sharing" TargetMode="External"/><Relationship Id="rId9735" Type="http://schemas.openxmlformats.org/officeDocument/2006/relationships/hyperlink" Target="https://drive.google.com/drive/folders/1e0C3VZbipNWbDE8uwK29f2Be8EXnm2ax?usp=drive_link" TargetMode="External"/><Relationship Id="rId11665" Type="http://schemas.openxmlformats.org/officeDocument/2006/relationships/hyperlink" Target="https://drive.google.com/file/d/1DLrY6QExzP6_lD3oHYMm2pWP_rDt_-kL/view?usp=sharing" TargetMode="External"/><Relationship Id="rId1724" Type="http://schemas.openxmlformats.org/officeDocument/2006/relationships/hyperlink" Target="https://www.vidio.com/live/19354?schedule_id=4563159" TargetMode="External"/><Relationship Id="rId7286" Type="http://schemas.openxmlformats.org/officeDocument/2006/relationships/hyperlink" Target="https://www.vidio.com/live/19584-pegadaian-championship-2025-26?schedule_id=4653435" TargetMode="External"/><Relationship Id="rId8337" Type="http://schemas.openxmlformats.org/officeDocument/2006/relationships/hyperlink" Target="https://www.vidio.com/live/17140-spotv-2?schedule_id=4670234" TargetMode="External"/><Relationship Id="rId10267" Type="http://schemas.openxmlformats.org/officeDocument/2006/relationships/hyperlink" Target="https://www.vidio.com/live/20024-top-soccer-championship-u-13-play-off-3?schedule_id=4761984" TargetMode="External"/><Relationship Id="rId11318" Type="http://schemas.openxmlformats.org/officeDocument/2006/relationships/hyperlink" Target="https://drive.google.com/drive/folders/1EFN2vgGcKi1cbFBuZdcP1Wk3VIGrkG9S" TargetMode="External"/><Relationship Id="rId3896" Type="http://schemas.openxmlformats.org/officeDocument/2006/relationships/hyperlink" Target="https://drive.google.com/file/d/1JOt4m3eEpcrqchT_f_ib0UaKCPZAL5dx/view?usp=sharing" TargetMode="External"/><Relationship Id="rId2498" Type="http://schemas.openxmlformats.org/officeDocument/2006/relationships/hyperlink" Target="https://drive.google.com/drive/folders/1OaLIp6HFvH8TyaeVEqGxIV3HFrziJkWO?usp=drive_link" TargetMode="External"/><Relationship Id="rId3549" Type="http://schemas.openxmlformats.org/officeDocument/2006/relationships/hyperlink" Target="https://drive.google.com/drive/u/0/folders/13vjVrpa0DHhv0gn357ALVSNVacjdHOJc" TargetMode="External"/><Relationship Id="rId4947" Type="http://schemas.openxmlformats.org/officeDocument/2006/relationships/hyperlink" Target="https://www.vidio.com/live/6299-bein-1?schedule_id=4569132" TargetMode="External"/><Relationship Id="rId7420" Type="http://schemas.openxmlformats.org/officeDocument/2006/relationships/hyperlink" Target="https://drive.google.com/file/d/1BCoy3-Y_4J4eNV_Ho3BCTbFyYp0oY7es/view?usp=sharing" TargetMode="External"/><Relationship Id="rId6022" Type="http://schemas.openxmlformats.org/officeDocument/2006/relationships/hyperlink" Target="https://drive.google.com/file/d/1u0YV0_sPN6gOTBuvdra-lID2jttuUJmQ/view?usp=sharing" TargetMode="External"/><Relationship Id="rId10401" Type="http://schemas.openxmlformats.org/officeDocument/2006/relationships/hyperlink" Target="https://www.vidio.com/live/19738-turkish-volleyball-league?schedule_id=4783286" TargetMode="External"/><Relationship Id="rId8194" Type="http://schemas.openxmlformats.org/officeDocument/2006/relationships/hyperlink" Target="https://drive.google.com/drive/folders/1MVfIzrxUJhGgAjGmovAQ372bX_epNr3C" TargetMode="External"/><Relationship Id="rId9592" Type="http://schemas.openxmlformats.org/officeDocument/2006/relationships/hyperlink" Target="https://drive.google.com/file/d/1TaDpjtCEfbKuoiAJ0_zMMzmH9yCjWhqv/view?usp=sharing" TargetMode="External"/><Relationship Id="rId951" Type="http://schemas.openxmlformats.org/officeDocument/2006/relationships/hyperlink" Target="https://drive.google.com/file/d/14Jwmoss_5PuwaeGh5PdF91z0Tv754Jkr/view?usp=sharing" TargetMode="External"/><Relationship Id="rId1581" Type="http://schemas.openxmlformats.org/officeDocument/2006/relationships/hyperlink" Target="https://drive.google.com/drive/folders/15OIwQqiQPIjTxKNpP5FdiPOTykA3o9ok" TargetMode="External"/><Relationship Id="rId2632" Type="http://schemas.openxmlformats.org/officeDocument/2006/relationships/hyperlink" Target="https://drive.google.com/file/d/1bg6pSvuAWq-R1iUfYrN-fAXEIDwj9-nH/view?usp=sharing" TargetMode="External"/><Relationship Id="rId9245" Type="http://schemas.openxmlformats.org/officeDocument/2006/relationships/hyperlink" Target="https://drive.google.com/file/d/1bGAtWdCSL-v2iZg1GvRoYwXZwXVqVH3x/view?usp=sharing" TargetMode="External"/><Relationship Id="rId11175" Type="http://schemas.openxmlformats.org/officeDocument/2006/relationships/hyperlink" Target="https://drive.google.com/drive/folders/1b5JtbrIF_jBtqB1WJ1qJUSGD9K07569q" TargetMode="External"/><Relationship Id="rId12226" Type="http://schemas.openxmlformats.org/officeDocument/2006/relationships/hyperlink" Target="https://www.vidio.com/live/20271?schedule_id=4833836" TargetMode="External"/><Relationship Id="rId604" Type="http://schemas.openxmlformats.org/officeDocument/2006/relationships/hyperlink" Target="https://drive.google.com/file/d/15EqOvYVddo0QeLsq_SXF5hbkZ5aNda6X/view?usp=sharing" TargetMode="External"/><Relationship Id="rId1234" Type="http://schemas.openxmlformats.org/officeDocument/2006/relationships/hyperlink" Target="https://thumbor.prod.vidiocdn.com/Kmd5cXlyQywPf7D6gJAZw40FqKA=/filters:quality(70)/vidio-media-production/uploads/image/source/52835/c087d4.png" TargetMode="External"/><Relationship Id="rId5855" Type="http://schemas.openxmlformats.org/officeDocument/2006/relationships/hyperlink" Target="https://drive.google.com/drive/folders/1xW2Rw2x4kYoTAuNZK_3EAG_oUK5HDfbR?usp=drive_link" TargetMode="External"/><Relationship Id="rId6906" Type="http://schemas.openxmlformats.org/officeDocument/2006/relationships/hyperlink" Target="https://drive.google.com/drive/folders/1BhKJCwrQWMPmukRF_X1L_5IJlxac8Xp_?usp=drive_link" TargetMode="External"/><Relationship Id="rId4457" Type="http://schemas.openxmlformats.org/officeDocument/2006/relationships/hyperlink" Target="https://drive.google.com/file/d/1PGaqN-vxI07Ta9R2lzDliZfYCmN8BLGl/view?usp=sharing" TargetMode="External"/><Relationship Id="rId5508" Type="http://schemas.openxmlformats.org/officeDocument/2006/relationships/hyperlink" Target="https://drive.google.com/drive/folders/1vs2NPBadTfe8mkFp1C94plFN9o2qZ3M8?usp=drive_link" TargetMode="External"/><Relationship Id="rId3059" Type="http://schemas.openxmlformats.org/officeDocument/2006/relationships/hyperlink" Target="https://www.vidio.com/live/6299-bein-1?schedule_id=4762163" TargetMode="External"/><Relationship Id="rId1091" Type="http://schemas.openxmlformats.org/officeDocument/2006/relationships/hyperlink" Target="https://thumbor.prod.vidiocdn.com/RrQARVU8jCTxkQxxlkYYwdU-4IM=/filters:quality(70)/vidio-media-production/uploads/image/source/52501/59960a.png" TargetMode="External"/><Relationship Id="rId3540" Type="http://schemas.openxmlformats.org/officeDocument/2006/relationships/hyperlink" Target="https://drive.google.com/drive/folders/1uWbUC4hoA00dYNPse9fVbCEWFxiyczce" TargetMode="External"/><Relationship Id="rId12083" Type="http://schemas.openxmlformats.org/officeDocument/2006/relationships/hyperlink" Target="https://drive.google.com/drive/folders/1j2A_bH-x2l04Qo4WA98rK5ys1iCEU3UZ" TargetMode="External"/><Relationship Id="rId114" Type="http://schemas.openxmlformats.org/officeDocument/2006/relationships/hyperlink" Target="https://drive.google.com/drive/folders/1ZnBlExIc16jpQRJ5yiF_rjC2Vw5bQFo5?usp=drive_link" TargetMode="External"/><Relationship Id="rId461" Type="http://schemas.openxmlformats.org/officeDocument/2006/relationships/hyperlink" Target="https://drive.google.com/file/d/1e613l1caxpGbn3mXzVc8ENDd8qb7a5i5/view?usp=sharing" TargetMode="External"/><Relationship Id="rId2142" Type="http://schemas.openxmlformats.org/officeDocument/2006/relationships/hyperlink" Target="https://drive.google.com/drive/folders/1gCLKym8Niu3tY1xlBbPJwfhZ-ltZiBSX" TargetMode="External"/><Relationship Id="rId6763" Type="http://schemas.openxmlformats.org/officeDocument/2006/relationships/hyperlink" Target="https://drive.google.com/drive/folders/1NepG6XT-FSa8Cs07sX3tPfQWLNpJfAxp" TargetMode="External"/><Relationship Id="rId7814" Type="http://schemas.openxmlformats.org/officeDocument/2006/relationships/hyperlink" Target="https://drive.google.com/file/d/103O7ECJstjDyQF_c-tGpkNaMYYmrAnss/view?usp=drive_link" TargetMode="External"/><Relationship Id="rId5365" Type="http://schemas.openxmlformats.org/officeDocument/2006/relationships/hyperlink" Target="https://www.vidio.com/live/18304-uefa-champions-league?schedule_id=4733551" TargetMode="External"/><Relationship Id="rId6416" Type="http://schemas.openxmlformats.org/officeDocument/2006/relationships/hyperlink" Target="https://www.vidio.com/live/19642-uefa-conference-league?schedule_id=4734900" TargetMode="External"/><Relationship Id="rId9986" Type="http://schemas.openxmlformats.org/officeDocument/2006/relationships/hyperlink" Target="https://drive.google.com/drive/folders/1lzAUAWIzcm_qZs4SifG6i_LyCnvg2mWP?usp=drive_link" TargetMode="External"/><Relationship Id="rId5018" Type="http://schemas.openxmlformats.org/officeDocument/2006/relationships/hyperlink" Target="https://drive.google.com/file/d/1bRdjUmLVzTWDLCFCSU_mUgxdHgIUoSLc/view?usp=sharing" TargetMode="External"/><Relationship Id="rId8588" Type="http://schemas.openxmlformats.org/officeDocument/2006/relationships/hyperlink" Target="https://drive.google.com/file/d/1LkKXcF9UUfxyZIywa7Fwr7KSfRVtjmAg/view?usp=sharing" TargetMode="External"/><Relationship Id="rId9639" Type="http://schemas.openxmlformats.org/officeDocument/2006/relationships/hyperlink" Target="https://drive.google.com/drive/folders/1K-hKX78iwQnI1MpbYwwYwZ9o_KqESqgm?usp=drive_link" TargetMode="External"/><Relationship Id="rId1628" Type="http://schemas.openxmlformats.org/officeDocument/2006/relationships/hyperlink" Target="https://www.vidio.com/live/19354-bri-super-league?schedule_id=4525642" TargetMode="External"/><Relationship Id="rId1975" Type="http://schemas.openxmlformats.org/officeDocument/2006/relationships/hyperlink" Target="https://drive.google.com/file/d/1XJAVzJEg6MegO8fASlpKuCr-eCRiVjJs/view?usp=sharing" TargetMode="External"/><Relationship Id="rId11569" Type="http://schemas.openxmlformats.org/officeDocument/2006/relationships/hyperlink" Target="https://drive.google.com/file/d/1Kc3FhSLOGGe6qt2k1ACkU_evPePBlVN9/view?usp=sharing" TargetMode="External"/><Relationship Id="rId3050" Type="http://schemas.openxmlformats.org/officeDocument/2006/relationships/hyperlink" Target="https://thumbor.prod.vidiocdn.com/RzlDrR5wB4mo1CP1mIAGSMmchN4=/filters:quality(70)/vidio-media-production/uploads/image/source/51619/f3e37e.png" TargetMode="External"/><Relationship Id="rId4101" Type="http://schemas.openxmlformats.org/officeDocument/2006/relationships/hyperlink" Target="https://drive.google.com/file/d/17RjcBzIl1s_TU8KO3qtMcqkdsK80qnqq/view?usp=sharing" TargetMode="External"/><Relationship Id="rId7671" Type="http://schemas.openxmlformats.org/officeDocument/2006/relationships/hyperlink" Target="https://www.vidio.com/live/19548-national-football-league-2025-26?schedule_id=4632530" TargetMode="External"/><Relationship Id="rId8722" Type="http://schemas.openxmlformats.org/officeDocument/2006/relationships/hyperlink" Target="https://www.vidio.com/live/19745-top-youth-premier-league-2025-matchday-8?schedule_id=4670870" TargetMode="External"/><Relationship Id="rId10652" Type="http://schemas.openxmlformats.org/officeDocument/2006/relationships/hyperlink" Target="https://drive.google.com/file/d/1rI0Fzoaac70Rq6KJIDsaUhwX7jMfXg5c/view?usp=sharing" TargetMode="External"/><Relationship Id="rId11703" Type="http://schemas.openxmlformats.org/officeDocument/2006/relationships/hyperlink" Target="https://drive.google.com/file/d/1khQrXXQF4DXWbEvpQ5PrFElQfRn5_sMl/view?usp=sharing" TargetMode="External"/><Relationship Id="rId6273" Type="http://schemas.openxmlformats.org/officeDocument/2006/relationships/hyperlink" Target="https://drive.google.com/file/d/17yHdY4OsIoRO9zwk43TNu_WkURTjIkw-/view?usp=sharing" TargetMode="External"/><Relationship Id="rId7324" Type="http://schemas.openxmlformats.org/officeDocument/2006/relationships/hyperlink" Target="https://drive.google.com/file/d/1-8tlVbBXosDV0o8H_eLZ-hh0bCYbYAuX/view?usp=drive_link" TargetMode="External"/><Relationship Id="rId10305" Type="http://schemas.openxmlformats.org/officeDocument/2006/relationships/hyperlink" Target="https://www.vidio.com/live/19623-national-football-league-2025-26?schedule_id=4779483" TargetMode="External"/><Relationship Id="rId2883" Type="http://schemas.openxmlformats.org/officeDocument/2006/relationships/hyperlink" Target="https://www.vidio.com/live/6317-bein-3?schedule_id=4704458" TargetMode="External"/><Relationship Id="rId3934" Type="http://schemas.openxmlformats.org/officeDocument/2006/relationships/hyperlink" Target="https://drive.google.com/file/d/16FC4U7c9jJQqNdbId7USukbMlXpnxEoW/view?usp=drive_link" TargetMode="External"/><Relationship Id="rId9496" Type="http://schemas.openxmlformats.org/officeDocument/2006/relationships/hyperlink" Target="https://drive.google.com/file/d/1HB3QPbaTzgslYHKhGXXnYf4Xxkq4-S-A/view?usp=sharing" TargetMode="External"/><Relationship Id="rId855" Type="http://schemas.openxmlformats.org/officeDocument/2006/relationships/hyperlink" Target="https://drive.google.com/file/d/1mVYqBIUnTfiXTAA1sUrW0Rp5cFtKkZSH/view?usp=sharing" TargetMode="External"/><Relationship Id="rId1485" Type="http://schemas.openxmlformats.org/officeDocument/2006/relationships/hyperlink" Target="https://drive.google.com/drive/folders/1X5AOGIYPbgMiMDqfqVKIQwlpgWGvpAhh?usp=drive_link" TargetMode="External"/><Relationship Id="rId2536" Type="http://schemas.openxmlformats.org/officeDocument/2006/relationships/hyperlink" Target="https://www.vidio.com/live/6317-bein-3?schedule_id=4592574" TargetMode="External"/><Relationship Id="rId8098" Type="http://schemas.openxmlformats.org/officeDocument/2006/relationships/hyperlink" Target="https://drive.google.com/drive/folders/10kjndzNuhAMWdTMs_l_jk8B84L4z3b2d?usp=drive_link" TargetMode="External"/><Relationship Id="rId9149" Type="http://schemas.openxmlformats.org/officeDocument/2006/relationships/hyperlink" Target="https://www.vidio.com/live/19748-national-football-league-2025-26?schedule_id=4717991" TargetMode="External"/><Relationship Id="rId11079" Type="http://schemas.openxmlformats.org/officeDocument/2006/relationships/hyperlink" Target="https://drive.google.com/file/d/1b7sg7qVtKK6rxgv8Y0gJOekk7HtKzahz/view?usp=sharing" TargetMode="External"/><Relationship Id="rId508" Type="http://schemas.openxmlformats.org/officeDocument/2006/relationships/hyperlink" Target="https://drive.google.com/drive/folders/1TaP_vfs-hFJJkkXHSczErZfIfAt991tI" TargetMode="External"/><Relationship Id="rId1138" Type="http://schemas.openxmlformats.org/officeDocument/2006/relationships/hyperlink" Target="https://drive.google.com/file/d/1_2PMCCKEne-SqVsrOg7I-B63Po0JIc3f/view?usp=sharing" TargetMode="External"/><Relationship Id="rId5759" Type="http://schemas.openxmlformats.org/officeDocument/2006/relationships/hyperlink" Target="https://www.vidio.com/live/19600-uefa-europa-league?schedule_id=4664114" TargetMode="External"/><Relationship Id="rId9630" Type="http://schemas.openxmlformats.org/officeDocument/2006/relationships/hyperlink" Target="https://www.vidio.com/live/20048-fivb-women-s-volleyball-club-world-championship-2025?schedule_id=4773282" TargetMode="External"/><Relationship Id="rId7181" Type="http://schemas.openxmlformats.org/officeDocument/2006/relationships/hyperlink" Target="https://drive.google.com/file/d/1DNux4glLBnqI-DzUHKvsJVIQIe0fQ_QF/view?usp=sharing" TargetMode="External"/><Relationship Id="rId8232" Type="http://schemas.openxmlformats.org/officeDocument/2006/relationships/hyperlink" Target="https://www.vidio.com/live/19692-top-youth-premier-league-2025-matchweek-6" TargetMode="External"/><Relationship Id="rId11560" Type="http://schemas.openxmlformats.org/officeDocument/2006/relationships/hyperlink" Target="https://thumbor.prod.vidiocdn.com/WnCqpVsR4mfr6sEVuEr1cnC7BLM=/filters:quality(70)/vidio-media-production/uploads/image/source/52681/bb6894.png" TargetMode="External"/><Relationship Id="rId10162" Type="http://schemas.openxmlformats.org/officeDocument/2006/relationships/hyperlink" Target="https://drive.google.com/file/d/1bJor6tveJDFcRn6bfWn4QQkL2yKiDeum/view?usp=sharing" TargetMode="External"/><Relationship Id="rId11213" Type="http://schemas.openxmlformats.org/officeDocument/2006/relationships/hyperlink" Target="https://drive.google.com/file/d/1QmBbQ8tPMz4XKbhf9wvkMi9qq2SPfLeY/view?usp=sharing" TargetMode="External"/><Relationship Id="rId3791" Type="http://schemas.openxmlformats.org/officeDocument/2006/relationships/hyperlink" Target="https://drive.google.com/file/d/1eBLMHQkkjVqQZqOPgP0IfMUxYjjzv9FH/view?usp=drive_link" TargetMode="External"/><Relationship Id="rId4842" Type="http://schemas.openxmlformats.org/officeDocument/2006/relationships/hyperlink" Target="https://drive.google.com/file/d/1NJxBa9dkeyFpb6E7l5WOQSar1ISill9Z/view?usp=sharing" TargetMode="External"/><Relationship Id="rId2393" Type="http://schemas.openxmlformats.org/officeDocument/2006/relationships/hyperlink" Target="https://drive.google.com/drive/folders/1jTpCxrE8bgpjQYW1oUGksG0BEWGOqt2M?usp=drive_link" TargetMode="External"/><Relationship Id="rId3444" Type="http://schemas.openxmlformats.org/officeDocument/2006/relationships/hyperlink" Target="https://drive.google.com/file/d/1oTHc__soDkftTLFBTFsqpt6ji5wzpYOg/view?usp=sharing" TargetMode="External"/><Relationship Id="rId365" Type="http://schemas.openxmlformats.org/officeDocument/2006/relationships/hyperlink" Target="https://drive.google.com/file/d/1y3RpMV2NQseKMgiCo-qTvcfql0mjdu_w/view?usp=sharing" TargetMode="External"/><Relationship Id="rId2046" Type="http://schemas.openxmlformats.org/officeDocument/2006/relationships/hyperlink" Target="https://drive.google.com/file/d/1_a3S6To-5iF-CiTbXc_h0E0GYbsdgO0d/view?usp=drive_link" TargetMode="External"/><Relationship Id="rId6667" Type="http://schemas.openxmlformats.org/officeDocument/2006/relationships/hyperlink" Target="https://drive.google.com/file/d/1Yi-0qItLL676gZWXf3O_RnONSNqxABHT/view?usp=sharing" TargetMode="External"/><Relationship Id="rId7718" Type="http://schemas.openxmlformats.org/officeDocument/2006/relationships/hyperlink" Target="https://drive.google.com/drive/folders/11SLpygWUfa0Pux76ulqnAm1bmBYOeD3b?usp=drive_link" TargetMode="External"/><Relationship Id="rId5269" Type="http://schemas.openxmlformats.org/officeDocument/2006/relationships/hyperlink" Target="https://drive.google.com/file/d/1cyqpc--G9-lBgjAfTjfciHdNyyEBimsJ/view?usp=sharing" TargetMode="External"/><Relationship Id="rId9140" Type="http://schemas.openxmlformats.org/officeDocument/2006/relationships/hyperlink" Target="https://drive.google.com/file/d/1Ojk0VBIIkjM72MnHCMT6pYk3QvsDCRgb/view?usp=sharing" TargetMode="External"/><Relationship Id="rId11070" Type="http://schemas.openxmlformats.org/officeDocument/2006/relationships/hyperlink" Target="https://drive.google.com/file/d/12q0X-n66uyxGn5Xh4l5sj9gQshofwKCK/view?usp=sharing" TargetMode="External"/><Relationship Id="rId12121" Type="http://schemas.openxmlformats.org/officeDocument/2006/relationships/hyperlink" Target="https://drive.google.com/file/d/1xXRyTpjraFbbrHD2OOrzfOJmKS83JG2b/view?usp=sharing" TargetMode="External"/><Relationship Id="rId1879" Type="http://schemas.openxmlformats.org/officeDocument/2006/relationships/hyperlink" Target="https://drive.google.com/file/d/1Pdm0J5rPW2wAxPBQUyDgWySappTxUWPi/view?usp=sharing" TargetMode="External"/><Relationship Id="rId5750" Type="http://schemas.openxmlformats.org/officeDocument/2006/relationships/hyperlink" Target="https://3.basecamp.com/4902751/buckets/36763424/card_tables/cards/9149096917" TargetMode="External"/><Relationship Id="rId6801" Type="http://schemas.openxmlformats.org/officeDocument/2006/relationships/hyperlink" Target="https://drive.google.com/file/d/116ZJLbxtwaQc99J0Ph4TUUo0_esNlwXD/view?usp=sharing" TargetMode="External"/><Relationship Id="rId4005" Type="http://schemas.openxmlformats.org/officeDocument/2006/relationships/hyperlink" Target="https://drive.google.com/drive/folders/1DLkn6yFrGlaT5yp5GkSirfPXKUFGiO_-" TargetMode="External"/><Relationship Id="rId4352" Type="http://schemas.openxmlformats.org/officeDocument/2006/relationships/hyperlink" Target="https://drive.google.com/file/d/1_I3yhy8-VKdEse0lT-ZFi0qwntPngv9B/view?usp=sharing" TargetMode="External"/><Relationship Id="rId5403" Type="http://schemas.openxmlformats.org/officeDocument/2006/relationships/hyperlink" Target="https://drive.google.com/drive/u/0/folders/1XHb9ZFGtHUi0cqUZjfnkPjl7nDigxaQt" TargetMode="External"/><Relationship Id="rId8973" Type="http://schemas.openxmlformats.org/officeDocument/2006/relationships/hyperlink" Target="https://drive.google.com/drive/folders/1wxKjOADfYXQSnlNxgY7uO24Pf6dvydKE" TargetMode="External"/><Relationship Id="rId11954" Type="http://schemas.openxmlformats.org/officeDocument/2006/relationships/hyperlink" Target="https://www.vidio.com/live/18249-petronas-malaysia-open-2026-round-of-32-court-1?schedule_id=4832177" TargetMode="External"/><Relationship Id="rId7575" Type="http://schemas.openxmlformats.org/officeDocument/2006/relationships/hyperlink" Target="https://drive.google.com/file/d/1dnWMUdzijH4hvs4YuKl3WuE31np0GeCQ/view?usp=sharing" TargetMode="External"/><Relationship Id="rId8626" Type="http://schemas.openxmlformats.org/officeDocument/2006/relationships/hyperlink" Target="https://drive.google.com/drive/folders/1QCAaOT2G32vG2-QelKuZuemokfp2S7i5?usp=drive_link" TargetMode="External"/><Relationship Id="rId10556" Type="http://schemas.openxmlformats.org/officeDocument/2006/relationships/hyperlink" Target="https://drive.google.com/file/d/1CBudhMtUUIxNUQIzqHDwTGUPOUfL8Yfx/view?usp=sharing" TargetMode="External"/><Relationship Id="rId11607" Type="http://schemas.openxmlformats.org/officeDocument/2006/relationships/hyperlink" Target="https://www.vidio.com/live/6685-champions-tv-1?schedule_id=4832273" TargetMode="External"/><Relationship Id="rId6177" Type="http://schemas.openxmlformats.org/officeDocument/2006/relationships/hyperlink" Target="https://drive.google.com/drive/folders/1scalM5Vf-chqICey4yxAjwASlKadkyxE?usp=drive_link" TargetMode="External"/><Relationship Id="rId7228" Type="http://schemas.openxmlformats.org/officeDocument/2006/relationships/hyperlink" Target="https://www.vidio.com/live/19548-national-football-league-2025-26?schedule_id=4708917" TargetMode="External"/><Relationship Id="rId10209" Type="http://schemas.openxmlformats.org/officeDocument/2006/relationships/hyperlink" Target="https://drive.google.com/file/d/1xLV0-myUge5cn09B4dmiSH0SSalHNzNk/view?usp=sharing" TargetMode="External"/><Relationship Id="rId2787" Type="http://schemas.openxmlformats.org/officeDocument/2006/relationships/hyperlink" Target="https://drive.google.com/drive/folders/1qeL-o6mT1rTYcd3c01m2layrhrqUN4pM?usp=drive_link" TargetMode="External"/><Relationship Id="rId3838" Type="http://schemas.openxmlformats.org/officeDocument/2006/relationships/hyperlink" Target="https://www.vidio.com/live/6686-champions-tv-2?schedule_id=4734876" TargetMode="External"/><Relationship Id="rId759" Type="http://schemas.openxmlformats.org/officeDocument/2006/relationships/hyperlink" Target="https://drive.google.com/file/d/14xdyRPbSn2vLYgUkyjUcWmxoyjX5Jbrl/view?usp=sharing" TargetMode="External"/><Relationship Id="rId1389" Type="http://schemas.openxmlformats.org/officeDocument/2006/relationships/hyperlink" Target="https://3.basecamp.com/4902751/buckets/36763424/card_tables/cards/8958239141" TargetMode="External"/><Relationship Id="rId5260" Type="http://schemas.openxmlformats.org/officeDocument/2006/relationships/hyperlink" Target="https://www.vidio.com/live/17883-uefa-champions-league?schedule_id=4684719" TargetMode="External"/><Relationship Id="rId6311" Type="http://schemas.openxmlformats.org/officeDocument/2006/relationships/hyperlink" Target="https://drive.google.com/drive/folders/1VdGPBZ0Y1ZmrZf3TfjC5oXkHy5WNcL07" TargetMode="External"/><Relationship Id="rId8483" Type="http://schemas.openxmlformats.org/officeDocument/2006/relationships/hyperlink" Target="https://thumbor.prod.vidiocdn.com/th2pPkUgAsaegoeL5_x2ZXD0pBw=/filters:quality(70)/vidio-media-production/uploads/image/source/52059/2792b2.png" TargetMode="External"/><Relationship Id="rId9881" Type="http://schemas.openxmlformats.org/officeDocument/2006/relationships/hyperlink" Target="https://drive.google.com/file/d/16YmQvEykpIAb6f0JgZbcuAjUrFjn-8n3/view?usp=sharing" TargetMode="External"/><Relationship Id="rId95" Type="http://schemas.openxmlformats.org/officeDocument/2006/relationships/hyperlink" Target="https://drive.google.com/file/d/1v75r8hXZHzPSZR-_1ax8owWOqBtbMWIQ/view?usp=sharing" TargetMode="External"/><Relationship Id="rId1870" Type="http://schemas.openxmlformats.org/officeDocument/2006/relationships/hyperlink" Target="https://drive.google.com/drive/folders/1aexzNkyl8QGtRGJz1_l8iR7bOKhXX5tg" TargetMode="External"/><Relationship Id="rId2921" Type="http://schemas.openxmlformats.org/officeDocument/2006/relationships/hyperlink" Target="https://drive.google.com/file/d/18EwkiR0pDx-gr3Vrba0JYIoNscW_Hhfj/view?usp=sharing" TargetMode="External"/><Relationship Id="rId7085" Type="http://schemas.openxmlformats.org/officeDocument/2006/relationships/hyperlink" Target="https://drive.google.com/drive/folders/1e8ruGHhXaxImbFF7xQ92bC7QVK3guKEh" TargetMode="External"/><Relationship Id="rId8136" Type="http://schemas.openxmlformats.org/officeDocument/2006/relationships/hyperlink" Target="https://drive.google.com/file/d/13YXvmXnTxr6L5e2ao5BkQafyjhfwFv98/view?usp=sharing" TargetMode="External"/><Relationship Id="rId9534" Type="http://schemas.openxmlformats.org/officeDocument/2006/relationships/hyperlink" Target="https://www.vidio.com/live/19846-top-soccer-championship-2025-u-13-u-14" TargetMode="External"/><Relationship Id="rId11464" Type="http://schemas.openxmlformats.org/officeDocument/2006/relationships/hyperlink" Target="https://www.vidio.com/live/18249-hsbc-bwf-world-tour-finals-2025-finals?schedule_id=4789246" TargetMode="External"/><Relationship Id="rId1523" Type="http://schemas.openxmlformats.org/officeDocument/2006/relationships/hyperlink" Target="https://drive.google.com/file/d/11RTG-gVsjk9JaMjYD56RtCDJFA7YGMZp/view?usp=sharing" TargetMode="External"/><Relationship Id="rId10066" Type="http://schemas.openxmlformats.org/officeDocument/2006/relationships/hyperlink" Target="https://www.vidio.com/live/19548-national-football-league-2025-26?schedule_id=4768866" TargetMode="External"/><Relationship Id="rId11117" Type="http://schemas.openxmlformats.org/officeDocument/2006/relationships/hyperlink" Target="https://www.vidio.com/live/20252-fa-cup-2025-26?schedule_id=4832316" TargetMode="External"/><Relationship Id="rId3695" Type="http://schemas.openxmlformats.org/officeDocument/2006/relationships/hyperlink" Target="https://drive.google.com/drive/folders/1bvtAWLBTLeMytsa0pYcAxDSDYxLlRaGk" TargetMode="External"/><Relationship Id="rId4746" Type="http://schemas.openxmlformats.org/officeDocument/2006/relationships/hyperlink" Target="https://thumbor.prod.vidiocdn.com/SMLZv0LFPP6jvmjOenXqHR-NWA8=/filters:quality(70)/vidio-media-production/uploads/image/source/52131/c65152.png" TargetMode="External"/><Relationship Id="rId2297" Type="http://schemas.openxmlformats.org/officeDocument/2006/relationships/hyperlink" Target="https://www.vidio.com/live/6299-bein-1?schedule_id=4512867" TargetMode="External"/><Relationship Id="rId3348" Type="http://schemas.openxmlformats.org/officeDocument/2006/relationships/hyperlink" Target="https://www.vidio.com/live/6685-champions-tv-1?schedule_id=4499441" TargetMode="External"/><Relationship Id="rId7969" Type="http://schemas.openxmlformats.org/officeDocument/2006/relationships/hyperlink" Target="https://www.vidio.com/live/6317-bein-3?schedule_id=4653339" TargetMode="External"/><Relationship Id="rId10200" Type="http://schemas.openxmlformats.org/officeDocument/2006/relationships/hyperlink" Target="https://drive.google.com/file/d/1HrmZZ_qeTfNeppwjS6jYvdBwQOGVyxM0/view?usp=sharing" TargetMode="External"/><Relationship Id="rId269" Type="http://schemas.openxmlformats.org/officeDocument/2006/relationships/hyperlink" Target="https://drive.google.com/drive/folders/1C8hKzsx4Zv20sQYw37Ot25-W38ZWDebS?usp=drive_link" TargetMode="External"/><Relationship Id="rId9391" Type="http://schemas.openxmlformats.org/officeDocument/2006/relationships/hyperlink" Target="https://drive.google.com/drive/folders/16hXKyfzIqL_MvY93XwvBKLc9y3yt1WYP" TargetMode="External"/><Relationship Id="rId1380" Type="http://schemas.openxmlformats.org/officeDocument/2006/relationships/hyperlink" Target="https://drive.google.com/file/d/1Nwa4ij1Pt0MeAQaeGRxH0IVGxxw83rPi/view?usp=drive_link" TargetMode="External"/><Relationship Id="rId9044" Type="http://schemas.openxmlformats.org/officeDocument/2006/relationships/hyperlink" Target="https://drive.google.com/file/d/1QBZqGeOu1ZMQc4-kYz7Rw9rS8UPclXON/view?usp=sharing" TargetMode="External"/><Relationship Id="rId12372" Type="http://schemas.openxmlformats.org/officeDocument/2006/relationships/hyperlink" Target="https://drive.google.com/drive/folders/1b4k6Xd9bYzvR8tmKEmYOqigP2l0r7KIX" TargetMode="External"/><Relationship Id="rId403" Type="http://schemas.openxmlformats.org/officeDocument/2006/relationships/hyperlink" Target="https://drive.google.com/file/d/1glo8o3vgxuAykM20PLtYmK8ZKYjLyZ-W/view?usp=sharing" TargetMode="External"/><Relationship Id="rId750" Type="http://schemas.openxmlformats.org/officeDocument/2006/relationships/hyperlink" Target="https://www.vidio.com/live/9182-champions-tv-5?schedule_id=4732728" TargetMode="External"/><Relationship Id="rId1033" Type="http://schemas.openxmlformats.org/officeDocument/2006/relationships/hyperlink" Target="https://drive.google.com/drive/folders/1k2cGLdxmr79zQqc_dBb1NoRAbTXGvE0W?usp=drive_link" TargetMode="External"/><Relationship Id="rId2431" Type="http://schemas.openxmlformats.org/officeDocument/2006/relationships/hyperlink" Target="https://drive.google.com/drive/folders/1SUtm_fKPcl3iZA4tQIp5aCArJA5TIv7H?usp=drive_link" TargetMode="External"/><Relationship Id="rId12025" Type="http://schemas.openxmlformats.org/officeDocument/2006/relationships/hyperlink" Target="https://drive.google.com/file/d/1B4cBF3qrh1sMXG2gV5jmUKJx_gapQy02/view?usp=sharing" TargetMode="External"/><Relationship Id="rId5654" Type="http://schemas.openxmlformats.org/officeDocument/2006/relationships/hyperlink" Target="https://drive.google.com/drive/folders/1-v2k9mkE5Wr7vtcZPt5z5lBJb1kpLRxM?usp=drive_link" TargetMode="External"/><Relationship Id="rId6705" Type="http://schemas.openxmlformats.org/officeDocument/2006/relationships/hyperlink" Target="https://drive.google.com/file/d/1o2zJSngGWj3gfuE3WeylK10AZDeee6SN/view?usp=sharing" TargetMode="External"/><Relationship Id="rId4256" Type="http://schemas.openxmlformats.org/officeDocument/2006/relationships/hyperlink" Target="https://drive.google.com/drive/folders/1ZvV_IkTV9f9BOY6RhwnkqwQ-9fji1J_-?usp=drive_link" TargetMode="External"/><Relationship Id="rId5307" Type="http://schemas.openxmlformats.org/officeDocument/2006/relationships/hyperlink" Target="https://www.vidio.com/live/6317-bein-3?schedule_id=4733512" TargetMode="External"/><Relationship Id="rId8877" Type="http://schemas.openxmlformats.org/officeDocument/2006/relationships/hyperlink" Target="https://www.vidio.com/live/19672-easl?schedule_id=4827850" TargetMode="External"/><Relationship Id="rId9928" Type="http://schemas.openxmlformats.org/officeDocument/2006/relationships/hyperlink" Target="https://drive.google.com/file/d/1cZoChFoPSHKDu5KDt_4PNoIDpBA3xkug/view?usp=sharing" TargetMode="External"/><Relationship Id="rId1917" Type="http://schemas.openxmlformats.org/officeDocument/2006/relationships/hyperlink" Target="https://drive.google.com/file/d/1mrmQK0yvdPrwOw1OVFO-gYfRdNd1h-BO/view?usp=drive_link" TargetMode="External"/><Relationship Id="rId7479" Type="http://schemas.openxmlformats.org/officeDocument/2006/relationships/hyperlink" Target="https://drive.google.com/file/d/1DNux4glLBnqI-DzUHKvsJVIQIe0fQ_QF/view?usp=sharing" TargetMode="External"/><Relationship Id="rId11858" Type="http://schemas.openxmlformats.org/officeDocument/2006/relationships/hyperlink" Target="https://drive.google.com/drive/u/0/folders/1rXXfKAkEGpcWyPjsXaVYD4C_-MzU729p" TargetMode="External"/><Relationship Id="rId260" Type="http://schemas.openxmlformats.org/officeDocument/2006/relationships/hyperlink" Target="https://drive.google.com/file/d/175FYVXa45XAlfB6q9S2QKnKBR9O1kpbK/view?usp=drive_link" TargetMode="External"/><Relationship Id="rId7960" Type="http://schemas.openxmlformats.org/officeDocument/2006/relationships/hyperlink" Target="https://drive.google.com/file/d/1tfHLTiTRxuYwZuED8D6jYdniKDIvDjxC/view?usp=sharing" TargetMode="External"/><Relationship Id="rId10941" Type="http://schemas.openxmlformats.org/officeDocument/2006/relationships/hyperlink" Target="https://drive.google.com/file/d/1MEaivbSHhdliXXeCqQ4lf3Y_pO3WJjI-/view?usp=sharing" TargetMode="External"/><Relationship Id="rId5164" Type="http://schemas.openxmlformats.org/officeDocument/2006/relationships/hyperlink" Target="https://www.vidio.com/live/18303-uefa-champions-league?schedule_id=4664045" TargetMode="External"/><Relationship Id="rId6215" Type="http://schemas.openxmlformats.org/officeDocument/2006/relationships/hyperlink" Target="https://drive.google.com/file/d/1Q6MxiSTquPfmfu4HfT5Fy-HiBTj6wAXV/view?usp=sharing" TargetMode="External"/><Relationship Id="rId6562" Type="http://schemas.openxmlformats.org/officeDocument/2006/relationships/hyperlink" Target="https://drive.google.com/file/d/1AxzuUhJbiiuwaxcG1KwN5Wq6mzGES-dL/view?usp=drive_link" TargetMode="External"/><Relationship Id="rId7613" Type="http://schemas.openxmlformats.org/officeDocument/2006/relationships/hyperlink" Target="https://drive.google.com/file/d/1c-pmHH7-FQS98RhGzjdrWrHNDcK-hC-5/view?usp=sharing" TargetMode="External"/><Relationship Id="rId9785" Type="http://schemas.openxmlformats.org/officeDocument/2006/relationships/hyperlink" Target="https://www.vidio.com/live/19882-top-soccer-championship-2025-u-16-u-17-final-cup" TargetMode="External"/><Relationship Id="rId1774" Type="http://schemas.openxmlformats.org/officeDocument/2006/relationships/hyperlink" Target="https://drive.google.com/drive/folders/1vITpYa6owELhcaMUXLReRZ0syKZF3i6S" TargetMode="External"/><Relationship Id="rId2825" Type="http://schemas.openxmlformats.org/officeDocument/2006/relationships/hyperlink" Target="https://drive.google.com/file/d/1Mhitif3az1r_D4s6QtMzIybpm5D0PjUi/view?usp=sharing" TargetMode="External"/><Relationship Id="rId8387" Type="http://schemas.openxmlformats.org/officeDocument/2006/relationships/hyperlink" Target="https://drive.google.com/drive/folders/1AnolPAu5B_3HKjEkWZzv-8NhhFejWIne" TargetMode="External"/><Relationship Id="rId9438" Type="http://schemas.openxmlformats.org/officeDocument/2006/relationships/hyperlink" Target="https://thumbor.prod.vidiocdn.com/UyFyHczvHTslgwlJwjWauOXKc00=/filters:quality(70)/vidio-media-production/uploads/image/source/52766/a78d3e.png" TargetMode="External"/><Relationship Id="rId11368" Type="http://schemas.openxmlformats.org/officeDocument/2006/relationships/hyperlink" Target="https://www.vidio.com/live/20107-top-youth-premier-league-semifinal-cup-final-cup-plate?schedule_id=4786451" TargetMode="External"/><Relationship Id="rId12419" Type="http://schemas.openxmlformats.org/officeDocument/2006/relationships/hyperlink" Target="https://www.vidio.com/live/18249-petronas-malaysia-open-2026-round-of-16-court-1?schedule_id=4833862" TargetMode="External"/><Relationship Id="rId1427" Type="http://schemas.openxmlformats.org/officeDocument/2006/relationships/hyperlink" Target="https://drive.google.com/file/d/16RmdcYPlt65OZ5rpZrnXkOWRviONA98_/view?usp=sharing" TargetMode="External"/><Relationship Id="rId4997" Type="http://schemas.openxmlformats.org/officeDocument/2006/relationships/hyperlink" Target="https://www.vidio.com/live/17883-uefa-champions-league?schedule_id=4602009" TargetMode="External"/><Relationship Id="rId3599" Type="http://schemas.openxmlformats.org/officeDocument/2006/relationships/hyperlink" Target="https://thumbor.prod.vidiocdn.com/aw8tluBIGsSbiKRVm2wsv7Y4B7Y=/filters:quality(70)/vidio-media-production/uploads/image/source/53058/30bdc4.png" TargetMode="External"/><Relationship Id="rId7470" Type="http://schemas.openxmlformats.org/officeDocument/2006/relationships/hyperlink" Target="https://drive.google.com/file/d/1DNux4glLBnqI-DzUHKvsJVIQIe0fQ_QF/view?usp=sharing" TargetMode="External"/><Relationship Id="rId8521" Type="http://schemas.openxmlformats.org/officeDocument/2006/relationships/hyperlink" Target="https://www.vidio.com/live/19774-fa-cup-2025-26?schedule_id=4678561" TargetMode="External"/><Relationship Id="rId6072" Type="http://schemas.openxmlformats.org/officeDocument/2006/relationships/hyperlink" Target="https://drive.google.com/file/d/1IRETU11eRVYuX363xd6v3Bi4-Rxgn7ys/view?usp=sharing" TargetMode="External"/><Relationship Id="rId7123" Type="http://schemas.openxmlformats.org/officeDocument/2006/relationships/hyperlink" Target="https://drive.google.com/drive/folders/11cH0unekLAIN3zjcorMAlBqTv5P8yRW0?usp=drive_link" TargetMode="External"/><Relationship Id="rId10451" Type="http://schemas.openxmlformats.org/officeDocument/2006/relationships/hyperlink" Target="https://drive.google.com/file/d/1SXD8c_wAeMYeaDTM1vsCpEebn76Y9iFz/view?usp=sharing" TargetMode="External"/><Relationship Id="rId11502" Type="http://schemas.openxmlformats.org/officeDocument/2006/relationships/hyperlink" Target="https://drive.google.com/file/d/1waAF11SPEBbFBYmVGbXCDTL6K-G2H4JI/view?usp=sharing" TargetMode="External"/><Relationship Id="rId9295" Type="http://schemas.openxmlformats.org/officeDocument/2006/relationships/hyperlink" Target="https://drive.google.com/file/d/1UXpihWH_pE-sAHa9kr5bSbO9t-HpcC0q/view?usp=sharing" TargetMode="External"/><Relationship Id="rId10104" Type="http://schemas.openxmlformats.org/officeDocument/2006/relationships/hyperlink" Target="https://www.vidio.com/live/19995-top-soccer-championship-2025-u-14-u-15" TargetMode="External"/><Relationship Id="rId2682" Type="http://schemas.openxmlformats.org/officeDocument/2006/relationships/hyperlink" Target="https://drive.google.com/file/d/1KM2gB3ua1IrMBtnd-gI5njetFx_Pq9e9/view?usp=sharing" TargetMode="External"/><Relationship Id="rId3733" Type="http://schemas.openxmlformats.org/officeDocument/2006/relationships/hyperlink" Target="https://drive.google.com/drive/folders/17m1BKLHM_guwlV0ozawKMrGpFbBzHtxJ?usp=drive_link" TargetMode="External"/><Relationship Id="rId12276" Type="http://schemas.openxmlformats.org/officeDocument/2006/relationships/hyperlink" Target="https://www.vidio.com/live/20275?schedule_id=4833880" TargetMode="External"/><Relationship Id="rId654" Type="http://schemas.openxmlformats.org/officeDocument/2006/relationships/hyperlink" Target="https://www.vidio.com/live/19536-premier-league?schedule_id=4708204" TargetMode="External"/><Relationship Id="rId1284" Type="http://schemas.openxmlformats.org/officeDocument/2006/relationships/hyperlink" Target="https://drive.google.com/file/d/1citYw_3QwY0GP3qTlPAisECEVJULl9pa/view?usp=sharing" TargetMode="External"/><Relationship Id="rId2335" Type="http://schemas.openxmlformats.org/officeDocument/2006/relationships/hyperlink" Target="https://drive.google.com/drive/folders/1Pm5Jgmxh-aKl9hR8HYKc-wSUtGQ6816G?usp=drive_link" TargetMode="External"/><Relationship Id="rId6956" Type="http://schemas.openxmlformats.org/officeDocument/2006/relationships/hyperlink" Target="https://drive.google.com/file/d/1NCxhgo5-3V_AK7vtD-DiAa2wqW2yPhFg/view?usp=sharing" TargetMode="External"/><Relationship Id="rId307" Type="http://schemas.openxmlformats.org/officeDocument/2006/relationships/hyperlink" Target="https://drive.google.com/file/d/18O5hyQsHP9roKQil1K24n0--I7KNUQuU/view?usp=sharing" TargetMode="External"/><Relationship Id="rId5558" Type="http://schemas.openxmlformats.org/officeDocument/2006/relationships/hyperlink" Target="https://drive.google.com/file/d/1MZt8ZIU2q_ZOhdSMm284VaRgvZjo1uc3/view?usp=drive_link" TargetMode="External"/><Relationship Id="rId6609" Type="http://schemas.openxmlformats.org/officeDocument/2006/relationships/hyperlink" Target="https://drive.google.com/file/d/1shug9PqL2WUtz2Qv-uNxsLEfAlrt2BUt/view?usp=sharing" TargetMode="External"/><Relationship Id="rId12410" Type="http://schemas.openxmlformats.org/officeDocument/2006/relationships/hyperlink" Target="https://drive.google.com/file/d/15XWbtbUwFEgrO0Ju6sNJKkMPQkRxrMB0/view?usp=sharing" TargetMode="External"/><Relationship Id="rId8031" Type="http://schemas.openxmlformats.org/officeDocument/2006/relationships/hyperlink" Target="https://drive.google.com/drive/folders/1ScoTNowcBx81J3HefJsWho8h36XCMv-x?usp=drive_link" TargetMode="External"/><Relationship Id="rId11012" Type="http://schemas.openxmlformats.org/officeDocument/2006/relationships/hyperlink" Target="https://drive.google.com/drive/folders/1rYbXwFtnL2Q48D-65MjSaOtYQEcBnpLn?usp=drive_link" TargetMode="External"/><Relationship Id="rId3590" Type="http://schemas.openxmlformats.org/officeDocument/2006/relationships/hyperlink" Target="https://www.vidio.com/live/6685-champions-tv-1?schedule_id=4819782" TargetMode="External"/><Relationship Id="rId2192" Type="http://schemas.openxmlformats.org/officeDocument/2006/relationships/hyperlink" Target="https://drive.google.com/file/d/1FDxe52AXYu5bbKNVOTvLV0UPmcRV8BI2/view?usp=sharing" TargetMode="External"/><Relationship Id="rId3243" Type="http://schemas.openxmlformats.org/officeDocument/2006/relationships/hyperlink" Target="https://drive.google.com/file/d/1z5fMlm6nzWo1w7eDfJPdH8-sJQpo57iI/view?usp=sharing" TargetMode="External"/><Relationship Id="rId4641" Type="http://schemas.openxmlformats.org/officeDocument/2006/relationships/hyperlink" Target="https://drive.google.com/drive/folders/1nNFE3HsNT73GcFafY22UniXoEK3SnVip?usp=drive_link" TargetMode="External"/><Relationship Id="rId164" Type="http://schemas.openxmlformats.org/officeDocument/2006/relationships/hyperlink" Target="https://drive.google.com/file/d/1jtPfwv3BnY2yXaIybFnlDbLnofyyPwLS/view?usp=sharing" TargetMode="External"/><Relationship Id="rId7864" Type="http://schemas.openxmlformats.org/officeDocument/2006/relationships/hyperlink" Target="https://drive.google.com/drive/folders/1LpKNqbSk53_sSjxKfNDqBmKyclTorVYm" TargetMode="External"/><Relationship Id="rId8915" Type="http://schemas.openxmlformats.org/officeDocument/2006/relationships/hyperlink" Target="https://drive.google.com/file/d/1zTYQIDdBeO7caO8egg52hIrRa7kuuatw/view?usp=sharing" TargetMode="External"/><Relationship Id="rId10845" Type="http://schemas.openxmlformats.org/officeDocument/2006/relationships/hyperlink" Target="https://drive.google.com/file/d/1ehPHlNfv24yKS4qwWvbp5EP5ggNmJREB/view?usp=sharing" TargetMode="External"/><Relationship Id="rId5068" Type="http://schemas.openxmlformats.org/officeDocument/2006/relationships/hyperlink" Target="https://drive.google.com/drive/folders/1iXXXI8AUN2qzP-l9i7Vb4Z_ch9sn0od-" TargetMode="External"/><Relationship Id="rId6466" Type="http://schemas.openxmlformats.org/officeDocument/2006/relationships/hyperlink" Target="https://drive.google.com/file/d/17ciETaAgrCjsGRGS2naq6dxUZU4Wb3Hl/view?usp=sharing" TargetMode="External"/><Relationship Id="rId7517" Type="http://schemas.openxmlformats.org/officeDocument/2006/relationships/hyperlink" Target="https://drive.google.com/file/d/1bpwGJIQwcntTt-uge7543wAxhXMI2LWH/view?usp=sharing" TargetMode="External"/><Relationship Id="rId6119" Type="http://schemas.openxmlformats.org/officeDocument/2006/relationships/hyperlink" Target="https://drive.google.com/drive/folders/15qIUIBjjeL8WYrPRGKes7WIH7XM3yV4p?usp=drive_link" TargetMode="External"/><Relationship Id="rId9689" Type="http://schemas.openxmlformats.org/officeDocument/2006/relationships/hyperlink" Target="https://drive.google.com/file/d/1D8HYejusOjweI8ndnDpuHfmWcrUZ-FXd/view?usp=sharing" TargetMode="External"/><Relationship Id="rId1678" Type="http://schemas.openxmlformats.org/officeDocument/2006/relationships/hyperlink" Target="https://drive.google.com/drive/folders/1ujHQ4IbEycIeBiEJ6y7l69KXrMGhTzie" TargetMode="External"/><Relationship Id="rId2729" Type="http://schemas.openxmlformats.org/officeDocument/2006/relationships/hyperlink" Target="https://www.vidio.com/live/6317-bein-3?schedule_id=4655968" TargetMode="External"/><Relationship Id="rId6600" Type="http://schemas.openxmlformats.org/officeDocument/2006/relationships/hyperlink" Target="https://drive.google.com/file/d/1WSRZFAxecajytMvT5Nt37580crzhbJZX/view?usp=sharing" TargetMode="External"/><Relationship Id="rId4151" Type="http://schemas.openxmlformats.org/officeDocument/2006/relationships/hyperlink" Target="https://drive.google.com/drive/folders/11IYlfIwpoS-t6hJdeFsfmFNIZTzyNDHV?usp=drive_link" TargetMode="External"/><Relationship Id="rId5202" Type="http://schemas.openxmlformats.org/officeDocument/2006/relationships/hyperlink" Target="https://drive.google.com/file/d/1ZfiBV7KV1Z5ZMrNDm1N_lDfz-xP2NbLh/view?usp=sharing" TargetMode="External"/><Relationship Id="rId7374" Type="http://schemas.openxmlformats.org/officeDocument/2006/relationships/hyperlink" Target="https://drive.google.com/drive/folders/1dCGujl3G2hhv_E9YDPDubkV0-azH4bfP?usp=drive_link" TargetMode="External"/><Relationship Id="rId8425" Type="http://schemas.openxmlformats.org/officeDocument/2006/relationships/hyperlink" Target="https://drive.google.com/file/d/1Y1jKGYUMyJXOTQ-9Zs2d-JS0PvCyYppL/view?usp=drive_link" TargetMode="External"/><Relationship Id="rId8772" Type="http://schemas.openxmlformats.org/officeDocument/2006/relationships/hyperlink" Target="https://drive.google.com/file/d/17mAK1a7uN_84O47utJbSWH5Eq6umXFwZ/view?usp=sharing" TargetMode="External"/><Relationship Id="rId9823" Type="http://schemas.openxmlformats.org/officeDocument/2006/relationships/hyperlink" Target="https://drive.google.com/file/d/1bGAtWdCSL-v2iZg1GvRoYwXZwXVqVH3x/view?usp=sharing" TargetMode="External"/><Relationship Id="rId11753" Type="http://schemas.openxmlformats.org/officeDocument/2006/relationships/hyperlink" Target="https://www.vidio.com/live/17139-spotv?schedule_id=4831592" TargetMode="External"/><Relationship Id="rId37" Type="http://schemas.openxmlformats.org/officeDocument/2006/relationships/hyperlink" Target="https://www.vidio.com/live/6685-champions-tv-1?schedule_id=4340224" TargetMode="External"/><Relationship Id="rId1812" Type="http://schemas.openxmlformats.org/officeDocument/2006/relationships/hyperlink" Target="https://drive.google.com/file/d/1o6cjy5F5rDMB4HJBlSPOMWBiT5juDR6R/view?usp=drive_link" TargetMode="External"/><Relationship Id="rId7027" Type="http://schemas.openxmlformats.org/officeDocument/2006/relationships/hyperlink" Target="https://drive.google.com/drive/folders/10AeHWH48bMKqX4xgnyuQzrvxYHIvH0hS?usp=drive_link" TargetMode="External"/><Relationship Id="rId10355" Type="http://schemas.openxmlformats.org/officeDocument/2006/relationships/hyperlink" Target="https://drive.google.com/file/d/1vzbuvhDnd7bmjyq0hoaElH3WJB4NEBgr/view?usp=sharing" TargetMode="External"/><Relationship Id="rId11406" Type="http://schemas.openxmlformats.org/officeDocument/2006/relationships/hyperlink" Target="https://drive.google.com/file/d/1Ahd4x3lkSmNyaq6x7JBmSOSCYadxGRAz/view?usp=sharing" TargetMode="External"/><Relationship Id="rId3984" Type="http://schemas.openxmlformats.org/officeDocument/2006/relationships/hyperlink" Target="https://drive.google.com/drive/folders/1NepG6XT-FSa8Cs07sX3tPfQWLNpJfAxp" TargetMode="External"/><Relationship Id="rId9199" Type="http://schemas.openxmlformats.org/officeDocument/2006/relationships/hyperlink" Target="https://drive.google.com/drive/folders/1NepG6XT-FSa8Cs07sX3tPfQWLNpJfAxp" TargetMode="External"/><Relationship Id="rId10008" Type="http://schemas.openxmlformats.org/officeDocument/2006/relationships/hyperlink" Target="https://thumbor.prod.vidiocdn.com/EoRAsLavkbpsFZKW6mrjxD5oUpU=/filters:quality(70)/vidio-media-production/uploads/image/source/52649/cb3073.png" TargetMode="External"/><Relationship Id="rId2586" Type="http://schemas.openxmlformats.org/officeDocument/2006/relationships/hyperlink" Target="https://drive.google.com/file/d/1f6bazyG8jgBPvR_xFvbRDSmkFt6WKmXN/view?usp=sharing" TargetMode="External"/><Relationship Id="rId3637" Type="http://schemas.openxmlformats.org/officeDocument/2006/relationships/hyperlink" Target="https://drive.google.com/file/d/1D0xpG_MZiKC1C_MUjJp8fk_K7lIt34_J/view?usp=sharing" TargetMode="External"/><Relationship Id="rId558" Type="http://schemas.openxmlformats.org/officeDocument/2006/relationships/hyperlink" Target="https://drive.google.com/file/d/1IonvXo5Yx0Q632tM4nU685lmUAFtBDL1/view?usp=sharing" TargetMode="External"/><Relationship Id="rId1188" Type="http://schemas.openxmlformats.org/officeDocument/2006/relationships/hyperlink" Target="https://drive.google.com/file/d/1XQ9IaGJHTUVeQz7GZGBZStjgRFIrlwLV/view?usp=sharing" TargetMode="External"/><Relationship Id="rId2239" Type="http://schemas.openxmlformats.org/officeDocument/2006/relationships/hyperlink" Target="https://drive.google.com/file/d/1ODBGB_6hmQ1wGMWkmy27E3Od_C2tdtzV/view?usp=sharing" TargetMode="External"/><Relationship Id="rId6110" Type="http://schemas.openxmlformats.org/officeDocument/2006/relationships/hyperlink" Target="https://drive.google.com/drive/folders/1z0QSLmNvSJyyT8FLEYRkw6ibg9dSBAVC" TargetMode="External"/><Relationship Id="rId9680" Type="http://schemas.openxmlformats.org/officeDocument/2006/relationships/hyperlink" Target="https://drive.google.com/file/d/1Dcen4EoS25FoUSAi80WRyQZmm7bGiBab/view?usp=sharing" TargetMode="External"/><Relationship Id="rId8282" Type="http://schemas.openxmlformats.org/officeDocument/2006/relationships/hyperlink" Target="https://thumbor.prod.vidiocdn.com/bnXquapXX83AUOTZTGx_mow3Gyw=/filters:quality(70)/vidio-media-production/uploads/image/source/52162/42496d.png" TargetMode="External"/><Relationship Id="rId9333" Type="http://schemas.openxmlformats.org/officeDocument/2006/relationships/hyperlink" Target="https://www.vidio.com/live/20048-fivb-volleyball-club-world-championship-2025?schedule_id=4783082" TargetMode="External"/><Relationship Id="rId11263" Type="http://schemas.openxmlformats.org/officeDocument/2006/relationships/hyperlink" Target="https://thumbor.prod.vidiocdn.com/nIawrCH1bVB9xwmDJqJOy3NirIc=/filters:quality(70)/vidio-media-production/uploads/image/source/52452/fd4bcc.png" TargetMode="External"/><Relationship Id="rId1322" Type="http://schemas.openxmlformats.org/officeDocument/2006/relationships/hyperlink" Target="https://drive.google.com/file/d/1AmO-GlReSuG6rsoGtSqbzW0IGU1jhgFj/view?usp=sharing" TargetMode="External"/><Relationship Id="rId2720" Type="http://schemas.openxmlformats.org/officeDocument/2006/relationships/hyperlink" Target="https://drive.google.com/file/d/1MWF2IyMhSorUIxa6iB9yzkDsEXiP0Bwr/view?usp=sharing" TargetMode="External"/><Relationship Id="rId12314" Type="http://schemas.openxmlformats.org/officeDocument/2006/relationships/hyperlink" Target="https://drive.google.com/file/d/17nqJ8YbOWxi4DOQmMA4_VvY1qMuE4tM4/view?usp=sharing" TargetMode="External"/><Relationship Id="rId4892" Type="http://schemas.openxmlformats.org/officeDocument/2006/relationships/hyperlink" Target="https://thumbor.prod.vidiocdn.com/_fmp1DRuaEXlgPtzdAcz6Glw6fE=/filters:quality(70)/vidio-media-production/uploads/image/source/53022/018507.png" TargetMode="External"/><Relationship Id="rId5943" Type="http://schemas.openxmlformats.org/officeDocument/2006/relationships/hyperlink" Target="https://www.vidio.com/live/19601-uefa-europa-league?schedule_id=4734929" TargetMode="External"/><Relationship Id="rId2096" Type="http://schemas.openxmlformats.org/officeDocument/2006/relationships/hyperlink" Target="https://drive.google.com/file/d/11x_ZdvJVQYI6NrXxNBeqjmAHr1VhTAWU/view?usp=sharing" TargetMode="External"/><Relationship Id="rId3494" Type="http://schemas.openxmlformats.org/officeDocument/2006/relationships/hyperlink" Target="https://drive.google.com/drive/folders/1FA67rxsR_u0ZnRo6Sg5SBWDdO6yOpZmW" TargetMode="External"/><Relationship Id="rId4545" Type="http://schemas.openxmlformats.org/officeDocument/2006/relationships/hyperlink" Target="https://drive.google.com/drive/folders/1DeJCScnPkkDeQ_R7vAEQkIx3Z9GGUNrT?usp=drive_link" TargetMode="External"/><Relationship Id="rId3147" Type="http://schemas.openxmlformats.org/officeDocument/2006/relationships/hyperlink" Target="https://drive.google.com/file/d/1b_8an34J5M0a8Wnd6kC3FtXW-bIDK_Xz/view?usp=sharing" TargetMode="External"/><Relationship Id="rId7768" Type="http://schemas.openxmlformats.org/officeDocument/2006/relationships/hyperlink" Target="https://drive.google.com/file/d/1WcvYB2Xjf0o2uhbRxl4vY1HgXyPObCEt/view?usp=sharing" TargetMode="External"/><Relationship Id="rId8819" Type="http://schemas.openxmlformats.org/officeDocument/2006/relationships/hyperlink" Target="https://drive.google.com/drive/folders/1fQHbgYpu_BkMh2a1bpfWemX77pEvgKfX?usp=drive_link" TargetMode="External"/><Relationship Id="rId10749" Type="http://schemas.openxmlformats.org/officeDocument/2006/relationships/hyperlink" Target="https://thumbor.prod.vidiocdn.com/3nX0CQDwTGhowvt73NyJ20GyjqU=/filters:quality(70)/vidio-media-production/uploads/image/source/52091/c38253.png" TargetMode="External"/><Relationship Id="rId9190" Type="http://schemas.openxmlformats.org/officeDocument/2006/relationships/hyperlink" Target="https://drive.google.com/drive/folders/1NepG6XT-FSa8Cs07sX3tPfQWLNpJfAxp" TargetMode="External"/><Relationship Id="rId12171" Type="http://schemas.openxmlformats.org/officeDocument/2006/relationships/hyperlink" Target="https://drive.google.com/file/d/17nqJ8YbOWxi4DOQmMA4_VvY1qMuE4tM4/view?usp=sharing" TargetMode="External"/><Relationship Id="rId2230" Type="http://schemas.openxmlformats.org/officeDocument/2006/relationships/hyperlink" Target="https://drive.google.com/drive/folders/188I_YmWn35srgk0s-P_oK5AW2xZPHVg_" TargetMode="External"/><Relationship Id="rId202" Type="http://schemas.openxmlformats.org/officeDocument/2006/relationships/hyperlink" Target="https://www.vidio.com/live/9182-champions-tv-5?schedule_id=4562501" TargetMode="External"/><Relationship Id="rId5453" Type="http://schemas.openxmlformats.org/officeDocument/2006/relationships/hyperlink" Target="https://drive.google.com/file/d/1hOF_sIPADZvhGIHlfJyj3UhY8tlkcYDQ/view?usp=sharing" TargetMode="External"/><Relationship Id="rId6504" Type="http://schemas.openxmlformats.org/officeDocument/2006/relationships/hyperlink" Target="https://www.vidio.com/live/19646-uefa-conference-league?schedule_id=4771655" TargetMode="External"/><Relationship Id="rId6851" Type="http://schemas.openxmlformats.org/officeDocument/2006/relationships/hyperlink" Target="https://www.vidio.com/live/19388-rajadamnern-2025-interim-super-welterweight-title?schedule_id=4578234" TargetMode="External"/><Relationship Id="rId7902" Type="http://schemas.openxmlformats.org/officeDocument/2006/relationships/hyperlink" Target="https://drive.google.com/file/d/1ouEMkDeLU2afNyhu7oNneBv2EzA4ZAgA/view?usp=sharing" TargetMode="External"/><Relationship Id="rId4055" Type="http://schemas.openxmlformats.org/officeDocument/2006/relationships/hyperlink" Target="https://www.vidio.com/live/19404-serie-a?schedule_id=4579873" TargetMode="External"/><Relationship Id="rId5106" Type="http://schemas.openxmlformats.org/officeDocument/2006/relationships/hyperlink" Target="https://drive.google.com/drive/u/0/folders/1XlkYCOZBZhT69w2y_Ia12144i1rDr8iP" TargetMode="External"/><Relationship Id="rId7278" Type="http://schemas.openxmlformats.org/officeDocument/2006/relationships/hyperlink" Target="https://drive.google.com/file/d/1ju4TU8hFvu4Jbu8YcEmZNpqcpXdTXlHF/view?usp=drive_link" TargetMode="External"/><Relationship Id="rId8676" Type="http://schemas.openxmlformats.org/officeDocument/2006/relationships/hyperlink" Target="https://drive.google.com/file/d/1as5OZp1YVDrqWEothba6IhBNFSNznA5g/view?usp=sharing" TargetMode="External"/><Relationship Id="rId9727" Type="http://schemas.openxmlformats.org/officeDocument/2006/relationships/hyperlink" Target="https://drive.google.com/file/d/1OKQsQZ8uFVudbPRrvcMH2nV8RUsKQQSj/view?usp=sharing" TargetMode="External"/><Relationship Id="rId11657" Type="http://schemas.openxmlformats.org/officeDocument/2006/relationships/hyperlink" Target="https://www.vidio.com/live/17875-bein-2?schedule_id=4833010" TargetMode="External"/><Relationship Id="rId1716" Type="http://schemas.openxmlformats.org/officeDocument/2006/relationships/hyperlink" Target="https://drive.google.com/file/d/1CM1FM5aPIaIl48p_tJn5ibjEvjojMLQE/view?usp=drive_link" TargetMode="External"/><Relationship Id="rId8329" Type="http://schemas.openxmlformats.org/officeDocument/2006/relationships/hyperlink" Target="https://www.vidio.com/live/17875-bein-2?schedule_id=4773289" TargetMode="External"/><Relationship Id="rId10259" Type="http://schemas.openxmlformats.org/officeDocument/2006/relationships/hyperlink" Target="https://drive.google.com/drive/folders/12-O60hB05hsRQh3dB11B6FlC7aQS-OnK?usp=drive_link" TargetMode="External"/><Relationship Id="rId3888" Type="http://schemas.openxmlformats.org/officeDocument/2006/relationships/hyperlink" Target="https://drive.google.com/drive/folders/1rnO3fZCbIIgIeeBIxqWSFZtZjx2rYYg0" TargetMode="External"/><Relationship Id="rId4939" Type="http://schemas.openxmlformats.org/officeDocument/2006/relationships/hyperlink" Target="https://drive.google.com/file/d/1thgvWEFbwEIbArMOgFGUxm-tMlDO11W5/view?usp=sharing" TargetMode="External"/><Relationship Id="rId8810" Type="http://schemas.openxmlformats.org/officeDocument/2006/relationships/hyperlink" Target="https://drive.google.com/file/d/13-mXxpjIF1dJWl3vNW2UHUNnmaUmkG1C/view?usp=sharing" TargetMode="External"/><Relationship Id="rId6361" Type="http://schemas.openxmlformats.org/officeDocument/2006/relationships/hyperlink" Target="https://www.vidio.com/live/19647-uefa-conference-league?schedule_id=4700078" TargetMode="External"/><Relationship Id="rId7412" Type="http://schemas.openxmlformats.org/officeDocument/2006/relationships/hyperlink" Target="https://drive.google.com/drive/folders/1SCMV6MKhfEBQqeJQWfM6GP5HdxxB8fiS?usp=drive_link" TargetMode="External"/><Relationship Id="rId10740" Type="http://schemas.openxmlformats.org/officeDocument/2006/relationships/hyperlink" Target="https://thumbor.prod.vidiocdn.com/n1AgI9Gljny09YpXFGoo2kp06zQ=/filters:quality(70)/vidio-media-production/uploads/image/source/52085/49df70.png" TargetMode="External"/><Relationship Id="rId6014" Type="http://schemas.openxmlformats.org/officeDocument/2006/relationships/hyperlink" Target="https://drive.google.com/drive/folders/1JHsa85GWdbB7Ndyd1jD4S1popGD5gAae?usp=drive_link" TargetMode="External"/><Relationship Id="rId9584" Type="http://schemas.openxmlformats.org/officeDocument/2006/relationships/hyperlink" Target="https://drive.google.com/file/d/16JC6a99eoSbYGsW72zg2srnowC4zCPBd/view?usp=sharing" TargetMode="External"/><Relationship Id="rId2971" Type="http://schemas.openxmlformats.org/officeDocument/2006/relationships/hyperlink" Target="https://drive.google.com/drive/folders/1hfcarZQQTW9iAZReqcSurlYy_boiq7jw?usp=drive_link" TargetMode="External"/><Relationship Id="rId8186" Type="http://schemas.openxmlformats.org/officeDocument/2006/relationships/hyperlink" Target="https://drive.google.com/file/d/1ipVXYnlr7dWcTRHs5e3wA225qmsELsvj/view?usp=sharing" TargetMode="External"/><Relationship Id="rId9237" Type="http://schemas.openxmlformats.org/officeDocument/2006/relationships/hyperlink" Target="https://www.vidio.com/live/19811-top-soccer-championship-2025-u-17?schedule_id=4708229" TargetMode="External"/><Relationship Id="rId943" Type="http://schemas.openxmlformats.org/officeDocument/2006/relationships/hyperlink" Target="https://drive.google.com/drive/folders/1cFIwfRyIWNh5c_IL6MDxfBuFQGeuQ-nQ?usp=drive_link" TargetMode="External"/><Relationship Id="rId1573" Type="http://schemas.openxmlformats.org/officeDocument/2006/relationships/hyperlink" Target="https://drive.google.com/file/d/14J7orgerc9PBlL_r_VLlgOQuT2CklWE1/view?usp=drive_link" TargetMode="External"/><Relationship Id="rId2624" Type="http://schemas.openxmlformats.org/officeDocument/2006/relationships/hyperlink" Target="https://drive.google.com/drive/folders/1FRJ5EYNCKwo6K7TXyFQSRPaFlFgBJi2B?usp=drive_link" TargetMode="External"/><Relationship Id="rId11167" Type="http://schemas.openxmlformats.org/officeDocument/2006/relationships/hyperlink" Target="https://drive.google.com/drive/folders/1b5JtbrIF_jBtqB1WJ1qJUSGD9K07569q" TargetMode="External"/><Relationship Id="rId12218" Type="http://schemas.openxmlformats.org/officeDocument/2006/relationships/hyperlink" Target="https://drive.google.com/file/d/17nqJ8YbOWxi4DOQmMA4_VvY1qMuE4tM4/view?usp=drive_link" TargetMode="External"/><Relationship Id="rId1226" Type="http://schemas.openxmlformats.org/officeDocument/2006/relationships/hyperlink" Target="https://drive.google.com/file/d/1Q71hQ1MDqWt_hJIXuWVH0uspe78-EjUm/view?usp=sharing" TargetMode="External"/><Relationship Id="rId4796" Type="http://schemas.openxmlformats.org/officeDocument/2006/relationships/hyperlink" Target="https://drive.google.com/file/d/1z1F2sUy04muNRgq9GzEdHLp6j-wWcW_H/view?usp=sharing" TargetMode="External"/><Relationship Id="rId5847" Type="http://schemas.openxmlformats.org/officeDocument/2006/relationships/hyperlink" Target="https://drive.google.com/file/d/17DqZ3BtT90FlJBGGJTLKsBcYjrhrBEZ0/view?usp=drive_link" TargetMode="External"/><Relationship Id="rId3398" Type="http://schemas.openxmlformats.org/officeDocument/2006/relationships/hyperlink" Target="https://drive.google.com/drive/folders/1FHzHea3OdvVJSOLm2u6891IaLhQECsac" TargetMode="External"/><Relationship Id="rId4449" Type="http://schemas.openxmlformats.org/officeDocument/2006/relationships/hyperlink" Target="https://www.vidio.com/live/19404-serie-a?schedule_id=4706722" TargetMode="External"/><Relationship Id="rId8320" Type="http://schemas.openxmlformats.org/officeDocument/2006/relationships/hyperlink" Target="https://drive.google.com/drive/folders/1RLuieQEidM-FM_5IamkgqZgWvRAnZOjd?usp=drive_link" TargetMode="External"/><Relationship Id="rId10250" Type="http://schemas.openxmlformats.org/officeDocument/2006/relationships/hyperlink" Target="https://drive.google.com/file/d/1wTKQDnNlJvAH6jeZCDFPjxCNYY5J8BLL/view?usp=sharing" TargetMode="External"/><Relationship Id="rId11301" Type="http://schemas.openxmlformats.org/officeDocument/2006/relationships/hyperlink" Target="https://www.vidio.com/live/205-indosiar?schedule_id=4832164" TargetMode="External"/><Relationship Id="rId2481" Type="http://schemas.openxmlformats.org/officeDocument/2006/relationships/hyperlink" Target="https://drive.google.com/drive/folders/1hRYpmMmqb7mFVXwsJCdvdJBoOPsp2cLC?usp=drive_link" TargetMode="External"/><Relationship Id="rId3532" Type="http://schemas.openxmlformats.org/officeDocument/2006/relationships/hyperlink" Target="https://drive.google.com/file/d/1LvFjvafKHKgH30WV5GKbb1KQhzVJLdyP/view?usp=drive_link" TargetMode="External"/><Relationship Id="rId4930" Type="http://schemas.openxmlformats.org/officeDocument/2006/relationships/hyperlink" Target="https://drive.google.com/drive/folders/1fechh7R8CRgBsuyPQUEd2h12X2vtGaOw" TargetMode="External"/><Relationship Id="rId9094" Type="http://schemas.openxmlformats.org/officeDocument/2006/relationships/hyperlink" Target="https://drive.google.com/file/d/1wEC9_rGYesXPQMxzd3J7vK5be7dre2Zi/view?usp=sharing" TargetMode="External"/><Relationship Id="rId12075" Type="http://schemas.openxmlformats.org/officeDocument/2006/relationships/hyperlink" Target="https://drive.google.com/drive/folders/1j2A_bH-x2l04Qo4WA98rK5ys1iCEU3UZ" TargetMode="External"/><Relationship Id="rId453" Type="http://schemas.openxmlformats.org/officeDocument/2006/relationships/hyperlink" Target="https://drive.google.com/drive/folders/1EhM_sfKqcYD8FSB_IsJ4MNNt9KXnol8L?usp=drive_link" TargetMode="External"/><Relationship Id="rId1083" Type="http://schemas.openxmlformats.org/officeDocument/2006/relationships/hyperlink" Target="https://www.vidio.com/live/9182-champions-tv-5?schedule_id=4794128" TargetMode="External"/><Relationship Id="rId2134" Type="http://schemas.openxmlformats.org/officeDocument/2006/relationships/hyperlink" Target="https://www.vidio.com/live/19353-bri-super-league?schedule_id=4739846" TargetMode="External"/><Relationship Id="rId106" Type="http://schemas.openxmlformats.org/officeDocument/2006/relationships/hyperlink" Target="https://drive.google.com/drive/folders/1P37jOo_R6bapBSwQzfTgvheAw0xNq1vm?usp=drive_link" TargetMode="External"/><Relationship Id="rId5357" Type="http://schemas.openxmlformats.org/officeDocument/2006/relationships/hyperlink" Target="https://drive.google.com/file/d/1dZXYbG73FXmvnahZrHB3ZAYNRbq0rkOY/view?usp=sharing" TargetMode="External"/><Relationship Id="rId6755" Type="http://schemas.openxmlformats.org/officeDocument/2006/relationships/hyperlink" Target="https://drive.google.com/file/d/1DNux4glLBnqI-DzUHKvsJVIQIe0fQ_QF/view?usp=sharing" TargetMode="External"/><Relationship Id="rId7806" Type="http://schemas.openxmlformats.org/officeDocument/2006/relationships/hyperlink" Target="https://drive.google.com/drive/folders/1VSdGx4QevueN0Zi2xX583MBw4pKWJJOi" TargetMode="External"/><Relationship Id="rId6408" Type="http://schemas.openxmlformats.org/officeDocument/2006/relationships/hyperlink" Target="https://drive.google.com/drive/folders/1F9lLmIvT4-3oh_Jbh-sne-zsyB6ey7v0" TargetMode="External"/><Relationship Id="rId9978" Type="http://schemas.openxmlformats.org/officeDocument/2006/relationships/hyperlink" Target="https://www.vidio.com/live/6299-bein-1?schedule_id=4794869" TargetMode="External"/><Relationship Id="rId1967" Type="http://schemas.openxmlformats.org/officeDocument/2006/relationships/hyperlink" Target="https://drive.google.com/drive/folders/1TIp1YwQ78uUcV8grEww2XHSS1XNp7OS6" TargetMode="External"/><Relationship Id="rId4440" Type="http://schemas.openxmlformats.org/officeDocument/2006/relationships/hyperlink" Target="https://drive.google.com/file/d/1SAB3O5HF_R2yEGIhKrx5B3nGA79YA8jF/view?usp=sharing" TargetMode="External"/><Relationship Id="rId3042" Type="http://schemas.openxmlformats.org/officeDocument/2006/relationships/hyperlink" Target="https://www.vidio.com/live/17875-bein-2?schedule_id=4762550" TargetMode="External"/><Relationship Id="rId7663" Type="http://schemas.openxmlformats.org/officeDocument/2006/relationships/hyperlink" Target="https://www.vidio.com/live/19623-national-football-league-2025-26?schedule_id=4632528" TargetMode="External"/><Relationship Id="rId8714" Type="http://schemas.openxmlformats.org/officeDocument/2006/relationships/hyperlink" Target="https://drive.google.com/drive/folders/1NepG6XT-FSa8Cs07sX3tPfQWLNpJfAxp" TargetMode="External"/><Relationship Id="rId10991" Type="http://schemas.openxmlformats.org/officeDocument/2006/relationships/hyperlink" Target="https://www.vidio.com/live/19774-fa-cup-2025-26?schedule_id=4832291" TargetMode="External"/><Relationship Id="rId6265" Type="http://schemas.openxmlformats.org/officeDocument/2006/relationships/hyperlink" Target="https://www.vidio.com/live/19649-uefa-conference-league?schedule_id=4664239" TargetMode="External"/><Relationship Id="rId7316" Type="http://schemas.openxmlformats.org/officeDocument/2006/relationships/hyperlink" Target="https://drive.google.com/drive/folders/1GBFdpgWbU2am6tYKw_F13mzGRBsmN5uL?usp=drive_link" TargetMode="External"/><Relationship Id="rId10644" Type="http://schemas.openxmlformats.org/officeDocument/2006/relationships/hyperlink" Target="https://www.vidio.com/live/6685-champions-tv-1?schedule_id=4780823" TargetMode="External"/><Relationship Id="rId9488" Type="http://schemas.openxmlformats.org/officeDocument/2006/relationships/hyperlink" Target="https://drive.google.com/drive/folders/1LrslWs3pdJUfLcna0cR2B9AUz25ynDTG?usp=drive_link" TargetMode="External"/><Relationship Id="rId2875" Type="http://schemas.openxmlformats.org/officeDocument/2006/relationships/hyperlink" Target="https://drive.google.com/file/d/1JB0TJJW9GnMnmuAXGin76UO3qrkel0X8/view?usp=drive_link" TargetMode="External"/><Relationship Id="rId3926" Type="http://schemas.openxmlformats.org/officeDocument/2006/relationships/hyperlink" Target="https://drive.google.com/drive/folders/1rlHmpEnVsGadUHMBNjgRuBaniSJmomnA?usp=drive_link" TargetMode="External"/><Relationship Id="rId847" Type="http://schemas.openxmlformats.org/officeDocument/2006/relationships/hyperlink" Target="https://drive.google.com/drive/folders/1AivDDFQwx4uvtbvUdaJhB2O51R6a0fhf?usp=drive_link" TargetMode="External"/><Relationship Id="rId1477" Type="http://schemas.openxmlformats.org/officeDocument/2006/relationships/hyperlink" Target="https://www.vidio.com/live/19354-bri-super-league?schedule_id=4488715" TargetMode="External"/><Relationship Id="rId2528" Type="http://schemas.openxmlformats.org/officeDocument/2006/relationships/hyperlink" Target="https://drive.google.com/file/d/1gsUzleIn3BIjLoem9dD9yn0_4OnqeIK6/view?usp=sharing" TargetMode="External"/><Relationship Id="rId5001" Type="http://schemas.openxmlformats.org/officeDocument/2006/relationships/hyperlink" Target="https://drive.google.com/file/d/1TMkazvtg8OIrCfcXODm838yEhPLit_up/view?usp=drive_link" TargetMode="External"/><Relationship Id="rId8571" Type="http://schemas.openxmlformats.org/officeDocument/2006/relationships/hyperlink" Target="https://drive.google.com/file/d/1TSNgVdF-8SHMr-716Xwb1pc2Nc3HkWDN/view?usp=sharing" TargetMode="External"/><Relationship Id="rId9622" Type="http://schemas.openxmlformats.org/officeDocument/2006/relationships/hyperlink" Target="https://www.vidio.com/live/20048-fivb-women-s-volleyball-club-world-championship-2025?schedule_id=4773280" TargetMode="External"/><Relationship Id="rId11552" Type="http://schemas.openxmlformats.org/officeDocument/2006/relationships/hyperlink" Target="https://drive.google.com/file/d/1LQRbQ9-ndxAqLzfs4bPUj2nPJWr_MCP3/view?usp=sharing" TargetMode="External"/><Relationship Id="rId1611" Type="http://schemas.openxmlformats.org/officeDocument/2006/relationships/hyperlink" Target="https://drive.google.com/drive/folders/1PFZnkY3szpnJyXdlB7yB3CoNLkrERl3T" TargetMode="External"/><Relationship Id="rId7173" Type="http://schemas.openxmlformats.org/officeDocument/2006/relationships/hyperlink" Target="https://www.vidio.com/live/19556-top-youth-premier-league-2025-matchday-3?schedule_id=4569318" TargetMode="External"/><Relationship Id="rId8224" Type="http://schemas.openxmlformats.org/officeDocument/2006/relationships/hyperlink" Target="https://drive.google.com/file/d/1Ux7nLdoWYototyxXoNxdaHdzSTOgzR2Q/view?usp=drive_link" TargetMode="External"/><Relationship Id="rId10154" Type="http://schemas.openxmlformats.org/officeDocument/2006/relationships/hyperlink" Target="https://drive.google.com/file/d/12i2jTA0swlu4q3LgyYHAFD09eTmqdNfV/view?usp=sharing" TargetMode="External"/><Relationship Id="rId11205" Type="http://schemas.openxmlformats.org/officeDocument/2006/relationships/hyperlink" Target="https://drive.google.com/file/d/1QmBbQ8tPMz4XKbhf9wvkMi9qq2SPfLeY/view?usp=sharing" TargetMode="External"/><Relationship Id="rId2385" Type="http://schemas.openxmlformats.org/officeDocument/2006/relationships/hyperlink" Target="https://www.vidio.com/live/6317-bein-3?schedule_id=4527535" TargetMode="External"/><Relationship Id="rId3783" Type="http://schemas.openxmlformats.org/officeDocument/2006/relationships/hyperlink" Target="https://drive.google.com/drive/folders/1EeGCyp-kipTv1VVUpmf0bawyz0ZL2O6T" TargetMode="External"/><Relationship Id="rId4834" Type="http://schemas.openxmlformats.org/officeDocument/2006/relationships/hyperlink" Target="https://drive.google.com/file/d/1aCY0ceEuhzMyUeap0NGBaim7WRbEwb4U/view?usp=sharing" TargetMode="External"/><Relationship Id="rId357" Type="http://schemas.openxmlformats.org/officeDocument/2006/relationships/hyperlink" Target="https://drive.google.com/drive/folders/1WMGTujDZ1H7xavXTfy6GHpDEa7PZdvmi?usp=drive_link" TargetMode="External"/><Relationship Id="rId2038" Type="http://schemas.openxmlformats.org/officeDocument/2006/relationships/hyperlink" Target="https://www.vidio.com/live/19386-bri-super-league?schedule_id=4708846" TargetMode="External"/><Relationship Id="rId3436" Type="http://schemas.openxmlformats.org/officeDocument/2006/relationships/hyperlink" Target="https://www.vidio.com/live/6686-champions-tv-2?schedule_id=4503847" TargetMode="External"/><Relationship Id="rId6659" Type="http://schemas.openxmlformats.org/officeDocument/2006/relationships/hyperlink" Target="https://drive.google.com/drive/folders/1ICctH3U4Brp3aRzWkti-MXgpcgoF90dA?usp=drive_link" TargetMode="External"/><Relationship Id="rId8081" Type="http://schemas.openxmlformats.org/officeDocument/2006/relationships/hyperlink" Target="https://drive.google.com/file/d/1bNOnkqkAhCYqY15fAZbpQVpOiBXDHBQE/view?usp=sharing" TargetMode="External"/><Relationship Id="rId9132" Type="http://schemas.openxmlformats.org/officeDocument/2006/relationships/hyperlink" Target="https://drive.google.com/file/d/19461o6MpeXOACse8OXNC3_PP-bwCPTMD/view?usp=sharing" TargetMode="External"/><Relationship Id="rId11062" Type="http://schemas.openxmlformats.org/officeDocument/2006/relationships/hyperlink" Target="https://drive.google.com/file/d/1CXccdXwP4AhbuuaGN67gOI0bgjXv61ta/view?usp=drive_link" TargetMode="External"/><Relationship Id="rId12113" Type="http://schemas.openxmlformats.org/officeDocument/2006/relationships/hyperlink" Target="https://www.vidio.com/live/18252-petronas-malaysia-open-2026-round-of-16-court-3?schedule_id=4832362" TargetMode="External"/><Relationship Id="rId1121" Type="http://schemas.openxmlformats.org/officeDocument/2006/relationships/hyperlink" Target="https://thumbor.prod.vidiocdn.com/YXJwgaDOyhjoOuJdICTXf4I0gms=/filters:quality(70)/vidio-media-production/uploads/image/source/52548/3ec994.png" TargetMode="External"/><Relationship Id="rId4691" Type="http://schemas.openxmlformats.org/officeDocument/2006/relationships/hyperlink" Target="https://drive.google.com/drive/folders/1adtqrZEbNDH6gYz2aVk-rXuaCBvbgIBG?usp=drive_link" TargetMode="External"/><Relationship Id="rId5742" Type="http://schemas.openxmlformats.org/officeDocument/2006/relationships/hyperlink" Target="https://www.vidio.com/live/19629-uefa-europa-league?schedule_id=4664119" TargetMode="External"/><Relationship Id="rId3293" Type="http://schemas.openxmlformats.org/officeDocument/2006/relationships/hyperlink" Target="https://drive.google.com/file/d/1xkYe5f4mQJYT9zeFfdtMwvTMoeVTPErW/view?usp=sharing" TargetMode="External"/><Relationship Id="rId4344" Type="http://schemas.openxmlformats.org/officeDocument/2006/relationships/hyperlink" Target="https://drive.google.com/drive/folders/1CVqMdvHFVNPq952wZ0Rc5rYSTKS7DTKb?usp=drive_link" TargetMode="External"/><Relationship Id="rId7567" Type="http://schemas.openxmlformats.org/officeDocument/2006/relationships/hyperlink" Target="https://drive.google.com/drive/folders/18pa30k7VXSESv0P6fZ97lEXrQ9iatGXT?usp=drive_link" TargetMode="External"/><Relationship Id="rId8965" Type="http://schemas.openxmlformats.org/officeDocument/2006/relationships/hyperlink" Target="https://drive.google.com/file/d/16cEM8PnnHSYdS4M4HM4lt94rigvGGdT1/view?usp=sharing" TargetMode="External"/><Relationship Id="rId10895" Type="http://schemas.openxmlformats.org/officeDocument/2006/relationships/hyperlink" Target="https://drive.google.com/drive/folders/1tvjxvo3Z9U40bjdWOnfXzxHMgTUsDECs" TargetMode="External"/><Relationship Id="rId11946" Type="http://schemas.openxmlformats.org/officeDocument/2006/relationships/hyperlink" Target="https://www.vidio.com/live/18249-petronas-malaysia-open-2026-round-of-32-court-1?schedule_id=4832173" TargetMode="External"/><Relationship Id="rId6169" Type="http://schemas.openxmlformats.org/officeDocument/2006/relationships/hyperlink" Target="https://drive.google.com/file/d/1Chlwh_kwSBXUN620hT6Z-7ymGcQoIvLK/view?usp=sharing" TargetMode="External"/><Relationship Id="rId8618" Type="http://schemas.openxmlformats.org/officeDocument/2006/relationships/hyperlink" Target="https://drive.google.com/file/d/1RqE6CtVLsIPKRH5sJNo5oFkkysrHKQr7/view?usp=sharing" TargetMode="External"/><Relationship Id="rId10548" Type="http://schemas.openxmlformats.org/officeDocument/2006/relationships/hyperlink" Target="https://drive.google.com/file/d/1aJF3YFeI73koFcNktlOG3ColDkD51nvw/view?usp=sharing" TargetMode="External"/><Relationship Id="rId2779" Type="http://schemas.openxmlformats.org/officeDocument/2006/relationships/hyperlink" Target="https://www.vidio.com/live/6299-bein-1?schedule_id=4665857" TargetMode="External"/><Relationship Id="rId6650" Type="http://schemas.openxmlformats.org/officeDocument/2006/relationships/hyperlink" Target="https://drive.google.com/file/d/1BpBUdU04AHH9vipWrcpLOdWhLRtP6Wby/view?usp=drive_link" TargetMode="External"/><Relationship Id="rId7701" Type="http://schemas.openxmlformats.org/officeDocument/2006/relationships/hyperlink" Target="https://drive.google.com/drive/folders/1-d7SElccr2N6xnWCuYB7bicvICq7mohq?usp=drive_link" TargetMode="External"/><Relationship Id="rId5252" Type="http://schemas.openxmlformats.org/officeDocument/2006/relationships/hyperlink" Target="https://drive.google.com/drive/folders/1UJh6Ohrk8ICltqRuS2ZUbx-5nOk1lSCs" TargetMode="External"/><Relationship Id="rId6303" Type="http://schemas.openxmlformats.org/officeDocument/2006/relationships/hyperlink" Target="https://drive.google.com/file/d/1ebUoObofbZ-b-x-ObyTlk1fHj-9dmePr/view?usp=sharing" TargetMode="External"/><Relationship Id="rId9873" Type="http://schemas.openxmlformats.org/officeDocument/2006/relationships/hyperlink" Target="https://drive.google.com/drive/folders/1uDHO6mOPCSnpMax30Wbg76bkbDRZPmy_?usp=drive_link" TargetMode="External"/><Relationship Id="rId87" Type="http://schemas.openxmlformats.org/officeDocument/2006/relationships/hyperlink" Target="https://drive.google.com/drive/folders/1ZnBlExIc16jpQRJ5yiF_rjC2Vw5bQFo5?usp=drive_link" TargetMode="External"/><Relationship Id="rId8475" Type="http://schemas.openxmlformats.org/officeDocument/2006/relationships/hyperlink" Target="https://drive.google.com/file/d/1JcQVNZFUGxaNwMF26apn2ES20BcyK3vZ/view?usp=sharing" TargetMode="External"/><Relationship Id="rId9526" Type="http://schemas.openxmlformats.org/officeDocument/2006/relationships/hyperlink" Target="https://drive.google.com/file/d/12hj6-KGdy8TTSop-G13Tgo6eKSnGeHpI/view?usp=sharing" TargetMode="External"/><Relationship Id="rId1862" Type="http://schemas.openxmlformats.org/officeDocument/2006/relationships/hyperlink" Target="https://www.vidio.com/live/19354-bri-super-league?schedule_id=4652393" TargetMode="External"/><Relationship Id="rId2913" Type="http://schemas.openxmlformats.org/officeDocument/2006/relationships/hyperlink" Target="https://drive.google.com/drive/folders/1-o3yP1RREIJOgUZCYzRiHYsDCYC6YwkW?usp=drive_link" TargetMode="External"/><Relationship Id="rId7077" Type="http://schemas.openxmlformats.org/officeDocument/2006/relationships/hyperlink" Target="https://drive.google.com/file/d/1E4gSTECW6jx1dAfHGiYvx1w9qHT6VSDg/view?usp=sharing" TargetMode="External"/><Relationship Id="rId8128" Type="http://schemas.openxmlformats.org/officeDocument/2006/relationships/hyperlink" Target="https://drive.google.com/drive/folders/1Ghj3z1_bCmQSKG6Tn4qEhXJLtRq1SxKA" TargetMode="External"/><Relationship Id="rId10058" Type="http://schemas.openxmlformats.org/officeDocument/2006/relationships/hyperlink" Target="https://drive.google.com/drive/folders/17E9FyaN4oCbJxj9riGlkYqrS5Q2vnnht?usp=drive_link" TargetMode="External"/><Relationship Id="rId11456" Type="http://schemas.openxmlformats.org/officeDocument/2006/relationships/hyperlink" Target="https://drive.google.com/drive/folders/1U3OVH8G2xnPmWupbsep_q0E3LKYH6A9I" TargetMode="External"/><Relationship Id="rId1515" Type="http://schemas.openxmlformats.org/officeDocument/2006/relationships/hyperlink" Target="https://drive.google.com/drive/folders/1D9O1MjYKnYE_44I8cVKWs7z077F9kLRn" TargetMode="External"/><Relationship Id="rId11109" Type="http://schemas.openxmlformats.org/officeDocument/2006/relationships/hyperlink" Target="https://thumbor.prod.vidiocdn.com/GoSYLAAFlezZiEoWFmjkmXqE6sI=/filters:quality(70)/vidio-media-production/uploads/image/source/52677/91c81a.png" TargetMode="External"/><Relationship Id="rId3687" Type="http://schemas.openxmlformats.org/officeDocument/2006/relationships/hyperlink" Target="https://drive.google.com/file/d/18T0ta56nXsnztbMHOiDALmiXSKDbCwCO/view?usp=sharing" TargetMode="External"/><Relationship Id="rId4738" Type="http://schemas.openxmlformats.org/officeDocument/2006/relationships/hyperlink" Target="https://drive.google.com/file/d/1TS7y7XHHHNd4g1f3ra4Uuy5Lz9DbsXuO/view?usp=sharing" TargetMode="External"/><Relationship Id="rId2289" Type="http://schemas.openxmlformats.org/officeDocument/2006/relationships/hyperlink" Target="https://drive.google.com/file/d/1DHSktYIJ7VH5oZuSlGoI8urc5BgFRorJ/view?usp=sharing" TargetMode="External"/><Relationship Id="rId6160" Type="http://schemas.openxmlformats.org/officeDocument/2006/relationships/hyperlink" Target="https://www.vidio.com/live/19645-uefa-conference-league?schedule_id=4614695" TargetMode="External"/><Relationship Id="rId7211" Type="http://schemas.openxmlformats.org/officeDocument/2006/relationships/hyperlink" Target="https://drive.google.com/file/d/1DNux4glLBnqI-DzUHKvsJVIQIe0fQ_QF/view?usp=sharing" TargetMode="External"/><Relationship Id="rId2770" Type="http://schemas.openxmlformats.org/officeDocument/2006/relationships/hyperlink" Target="https://drive.google.com/drive/folders/1qeL-o6mT1rTYcd3c01m2layrhrqUN4pM?usp=drive_link" TargetMode="External"/><Relationship Id="rId3821" Type="http://schemas.openxmlformats.org/officeDocument/2006/relationships/hyperlink" Target="https://drive.google.com/file/d/1ve3soVG6Hd0r2rRX7tWmZ3ngAwnRH-2y/view?usp=sharing" TargetMode="External"/><Relationship Id="rId9383" Type="http://schemas.openxmlformats.org/officeDocument/2006/relationships/hyperlink" Target="https://thumbor.prod.vidiocdn.com/7e80isV9IdqzcWa54-fa-eY8lFU=/filters:quality(70)/vidio-media-production/uploads/image/source/52759/a96049.png" TargetMode="External"/><Relationship Id="rId12364" Type="http://schemas.openxmlformats.org/officeDocument/2006/relationships/hyperlink" Target="https://drive.google.com/drive/folders/1b4k6Xd9bYzvR8tmKEmYOqigP2l0r7KIX" TargetMode="External"/><Relationship Id="rId742" Type="http://schemas.openxmlformats.org/officeDocument/2006/relationships/hyperlink" Target="https://drive.google.com/file/d/1h23RVFevR7yWBRUqrVSptivH8T36S4zS/view?usp=sharing" TargetMode="External"/><Relationship Id="rId1372" Type="http://schemas.openxmlformats.org/officeDocument/2006/relationships/hyperlink" Target="https://drive.google.com/drive/folders/13g-2xNYJ52g3CsquyDv4V9uUMoDq__RD?usp=drive_link" TargetMode="External"/><Relationship Id="rId2423" Type="http://schemas.openxmlformats.org/officeDocument/2006/relationships/hyperlink" Target="https://drive.google.com/file/d/1yobOiz7ePXJfvIYEIoaI9mhZaq7iQ94k/view?usp=drive_link" TargetMode="External"/><Relationship Id="rId9036" Type="http://schemas.openxmlformats.org/officeDocument/2006/relationships/hyperlink" Target="https://drive.google.com/file/d/1qOLmKSdmbW_lW8isDCvhW1BBZaZuZPQl/view?usp=sharing" TargetMode="External"/><Relationship Id="rId12017" Type="http://schemas.openxmlformats.org/officeDocument/2006/relationships/hyperlink" Target="https://drive.google.com/file/d/1B4cBF3qrh1sMXG2gV5jmUKJx_gapQy02/view?usp=sharing" TargetMode="External"/><Relationship Id="rId1025" Type="http://schemas.openxmlformats.org/officeDocument/2006/relationships/hyperlink" Target="https://drive.google.com/file/d/1ekbx_Q6vmtApJT-O-6OTd1mWNo_qdVfg/view?usp=sharing" TargetMode="External"/><Relationship Id="rId4595" Type="http://schemas.openxmlformats.org/officeDocument/2006/relationships/hyperlink" Target="https://drive.google.com/drive/folders/145IhwfqlcpfOLrMqkCkNQ3_RVW4boDzF?usp=drive_link" TargetMode="External"/><Relationship Id="rId5646" Type="http://schemas.openxmlformats.org/officeDocument/2006/relationships/hyperlink" Target="https://drive.google.com/file/d/1JWmh9KlPbv5fpfxQAHoGPVBYaHIBG0-2/view?usp=drive_link" TargetMode="External"/><Relationship Id="rId5993" Type="http://schemas.openxmlformats.org/officeDocument/2006/relationships/hyperlink" Target="https://drive.google.com/drive/folders/1-h3zDsLR83mlmXk1rHRR6hYM2J3IwfHW?usp=drive_link" TargetMode="External"/><Relationship Id="rId3197" Type="http://schemas.openxmlformats.org/officeDocument/2006/relationships/hyperlink" Target="https://thumbor.prod.vidiocdn.com/Rgw7BAfEbBn_uhFm1BPHw18JErE=/filters:quality(70)/vidio-media-production/uploads/image/source/52775/906b8c.png" TargetMode="External"/><Relationship Id="rId4248" Type="http://schemas.openxmlformats.org/officeDocument/2006/relationships/hyperlink" Target="https://www.vidio.com/live/19404-serie-a?schedule_id=4652726" TargetMode="External"/><Relationship Id="rId8869" Type="http://schemas.openxmlformats.org/officeDocument/2006/relationships/hyperlink" Target="https://www.vidio.com/live/17926-easl?schedule_id=4797002" TargetMode="External"/><Relationship Id="rId10799" Type="http://schemas.openxmlformats.org/officeDocument/2006/relationships/hyperlink" Target="https://drive.google.com/drive/folders/1Ds-OhdHpsEyMbqMRA2jVZKCBk2hWPw0E?usp=drive_link" TargetMode="External"/><Relationship Id="rId11100" Type="http://schemas.openxmlformats.org/officeDocument/2006/relationships/hyperlink" Target="https://www.vidio.com/live/19548-national-football-league-2025-26?schedule_id=4797275" TargetMode="External"/><Relationship Id="rId1909" Type="http://schemas.openxmlformats.org/officeDocument/2006/relationships/hyperlink" Target="https://drive.google.com/drive/folders/1n-_ptKcxUwuS4FsKtBR5BTuXBtSCprvG" TargetMode="External"/><Relationship Id="rId2280" Type="http://schemas.openxmlformats.org/officeDocument/2006/relationships/hyperlink" Target="https://www.vidio.com/live/6299-bein-1?schedule_id=4503852" TargetMode="External"/><Relationship Id="rId3331" Type="http://schemas.openxmlformats.org/officeDocument/2006/relationships/hyperlink" Target="https://drive.google.com/file/d/1kYcscAA7frVMLIvbT3PI42ZlGylPNEh5/view?usp=sharing" TargetMode="External"/><Relationship Id="rId7952" Type="http://schemas.openxmlformats.org/officeDocument/2006/relationships/hyperlink" Target="https://drive.google.com/file/d/1tCRVfwyOjpVZN8nRZgdes8ueoF_chdEN/view?usp=sharing" TargetMode="External"/><Relationship Id="rId252" Type="http://schemas.openxmlformats.org/officeDocument/2006/relationships/hyperlink" Target="https://drive.google.com/drive/folders/1keBgYGAW2V9gleWyOBlIJnrRzNas7sPg?usp=drive_link" TargetMode="External"/><Relationship Id="rId6554" Type="http://schemas.openxmlformats.org/officeDocument/2006/relationships/hyperlink" Target="https://drive.google.com/file/d/1AA_oClNOWJANj-Lk8_p5PLOY4W4af6CT/view?usp=sharing" TargetMode="External"/><Relationship Id="rId7605" Type="http://schemas.openxmlformats.org/officeDocument/2006/relationships/hyperlink" Target="https://drive.google.com/file/d/1wEkqDrRvv4tPMUyUbhI09VAR1grDFWQv/view?usp=sharing" TargetMode="External"/><Relationship Id="rId10933" Type="http://schemas.openxmlformats.org/officeDocument/2006/relationships/hyperlink" Target="https://drive.google.com/file/d/1OiW_D2onhReVXEfYvy1INOQR1cRNo9oQ/view?usp=sharing" TargetMode="External"/><Relationship Id="rId5156" Type="http://schemas.openxmlformats.org/officeDocument/2006/relationships/hyperlink" Target="https://drive.google.com/file/d/1aVqxxMDXoqrJjEoJ_q9WxbJbfkwZLa1p/view?usp=sharing" TargetMode="External"/><Relationship Id="rId6207" Type="http://schemas.openxmlformats.org/officeDocument/2006/relationships/hyperlink" Target="https://www.vidio.com/live/19642-uefa-conference-league?schedule_id=4664231" TargetMode="External"/><Relationship Id="rId9777" Type="http://schemas.openxmlformats.org/officeDocument/2006/relationships/hyperlink" Target="https://drive.google.com/file/d/1ptkS0XaHv0TOW8-lo2BUEP0SSNCP0tyf/view?usp=sharing" TargetMode="External"/><Relationship Id="rId8379" Type="http://schemas.openxmlformats.org/officeDocument/2006/relationships/hyperlink" Target="https://www.vidio.com/live/6685-champions-tv-1?schedule_id=4724482" TargetMode="External"/><Relationship Id="rId1766" Type="http://schemas.openxmlformats.org/officeDocument/2006/relationships/hyperlink" Target="https://www.vidio.com/live/19354-bri-super-league?schedule_id=4578244" TargetMode="External"/><Relationship Id="rId2817" Type="http://schemas.openxmlformats.org/officeDocument/2006/relationships/hyperlink" Target="https://drive.google.com/file/d/12v7FfgOKlg4i1eck8Z0X3S9CWUFGLRVU/view?usp=sharing" TargetMode="External"/><Relationship Id="rId1419" Type="http://schemas.openxmlformats.org/officeDocument/2006/relationships/hyperlink" Target="https://drive.google.com/drive/folders/1ktmELlImW4Pm0XjbXqpz74rqYT8AJTc4?usp=drive_link" TargetMode="External"/><Relationship Id="rId4989" Type="http://schemas.openxmlformats.org/officeDocument/2006/relationships/hyperlink" Target="https://drive.google.com/drive/folders/18G3vwJq_y1bo1Y4KMgRwGchXlFX6wZnq" TargetMode="External"/><Relationship Id="rId8860" Type="http://schemas.openxmlformats.org/officeDocument/2006/relationships/hyperlink" Target="https://drive.google.com/file/d/1U6VRY5i3kuarTLBN7CHB1Y5vOpnqSXs9/view?usp=sharing" TargetMode="External"/><Relationship Id="rId9911" Type="http://schemas.openxmlformats.org/officeDocument/2006/relationships/hyperlink" Target="https://thumbor.prod.vidiocdn.com/smqvBDmCLYdzPhhjkQIf1j7U9kQ=/filters:quality(70)/vidio-media-production/uploads/image/source/52313/778404.png" TargetMode="External"/><Relationship Id="rId10790" Type="http://schemas.openxmlformats.org/officeDocument/2006/relationships/hyperlink" Target="https://drive.google.com/file/d/1jsTlBO9I8VyTTQH4m1Vwna-6rT2fQVjY/view?usp=sharing" TargetMode="External"/><Relationship Id="rId11841" Type="http://schemas.openxmlformats.org/officeDocument/2006/relationships/hyperlink" Target="https://drive.google.com/file/d/1eJVJpUKAFNWxLxYTbZoZRYrCww0XILnT/view?usp=sharing" TargetMode="External"/><Relationship Id="rId1900" Type="http://schemas.openxmlformats.org/officeDocument/2006/relationships/hyperlink" Target="https://drive.google.com/file/d/1jzfT22gzwGvMcraTQW5E68syzzmDon1G/view?usp=sharing" TargetMode="External"/><Relationship Id="rId7462" Type="http://schemas.openxmlformats.org/officeDocument/2006/relationships/hyperlink" Target="https://www.vidio.com/live/19587-top-youth-premier-league-2025-matchday-4?schedule_id=4585754" TargetMode="External"/><Relationship Id="rId8513" Type="http://schemas.openxmlformats.org/officeDocument/2006/relationships/hyperlink" Target="https://drive.google.com/drive/folders/1RFhpQKC7tQxfBRiXSQM-RGSX1rBEMqeD" TargetMode="External"/><Relationship Id="rId10443" Type="http://schemas.openxmlformats.org/officeDocument/2006/relationships/hyperlink" Target="https://drive.google.com/file/d/1Dq7miE3wT5OhozTJhKw3GqQB_rd6EN6H/view?usp=sharing" TargetMode="External"/><Relationship Id="rId6064" Type="http://schemas.openxmlformats.org/officeDocument/2006/relationships/hyperlink" Target="https://www.vidio.com/live/19630-uefa-europa-league?schedule_id=4773534" TargetMode="External"/><Relationship Id="rId7115" Type="http://schemas.openxmlformats.org/officeDocument/2006/relationships/hyperlink" Target="https://drive.google.com/file/d/1LzlzsdDF6Jw2JE-Ai8LDL_tiXvkeDN2_/view?usp=sharing" TargetMode="External"/><Relationship Id="rId993" Type="http://schemas.openxmlformats.org/officeDocument/2006/relationships/hyperlink" Target="https://drive.google.com/file/d/1WObTQppa88dWOAMLSG24w4DIhTQMNrT4/view?usp=sharing" TargetMode="External"/><Relationship Id="rId2674" Type="http://schemas.openxmlformats.org/officeDocument/2006/relationships/hyperlink" Target="https://drive.google.com/drive/folders/1MoRfhnAyUUYa1nKBTM5fBt4I1XK-3zgk?usp=drive_link" TargetMode="External"/><Relationship Id="rId9287" Type="http://schemas.openxmlformats.org/officeDocument/2006/relationships/hyperlink" Target="https://drive.google.com/file/d/1bGAtWdCSL-v2iZg1GvRoYwXZwXVqVH3x/view?usp=sharing" TargetMode="External"/><Relationship Id="rId12268" Type="http://schemas.openxmlformats.org/officeDocument/2006/relationships/hyperlink" Target="https://www.vidio.com/live/20275?schedule_id=4833872" TargetMode="External"/><Relationship Id="rId646" Type="http://schemas.openxmlformats.org/officeDocument/2006/relationships/hyperlink" Target="https://drive.google.com/file/d/13SPVBFPQE7GB4iD_0Epq-JRV3BzX1XWV/view?usp=sharing" TargetMode="External"/><Relationship Id="rId1276" Type="http://schemas.openxmlformats.org/officeDocument/2006/relationships/hyperlink" Target="https://drive.google.com/file/d/1twBRd4LKMQMLV9VAdvoo4PVd7_ZYlCxl/view?usp=sharing" TargetMode="External"/><Relationship Id="rId2327" Type="http://schemas.openxmlformats.org/officeDocument/2006/relationships/hyperlink" Target="https://www.vidio.com/live/6299-bein-1?schedule_id=4514041" TargetMode="External"/><Relationship Id="rId3725" Type="http://schemas.openxmlformats.org/officeDocument/2006/relationships/hyperlink" Target="https://drive.google.com/file/d/12nBUHO3SLtS7pk7XU2Ri4fh7apffS1Bd/view?usp=sharing" TargetMode="External"/><Relationship Id="rId5897" Type="http://schemas.openxmlformats.org/officeDocument/2006/relationships/hyperlink" Target="https://drive.google.com/file/d/1RR2zpBwRtJe7jDiDovFMQFFE46Dx47dW/view?usp=drive_link" TargetMode="External"/><Relationship Id="rId6948" Type="http://schemas.openxmlformats.org/officeDocument/2006/relationships/hyperlink" Target="https://drive.google.com/file/d/1IT8l0vOr9xRtFjARvic4HdqZuSbZCtOM/view?usp=sharing" TargetMode="External"/><Relationship Id="rId4499" Type="http://schemas.openxmlformats.org/officeDocument/2006/relationships/hyperlink" Target="https://drive.google.com/file/d/1i4Xcx86IbmhbgDxfKwbmCcWNAs-TrWdO/view?usp=sharing" TargetMode="External"/><Relationship Id="rId8370" Type="http://schemas.openxmlformats.org/officeDocument/2006/relationships/hyperlink" Target="https://drive.google.com/file/d/1OuV247MQtIBC407v9ELq5Nqq5EUflLf8/view?usp=sharing" TargetMode="External"/><Relationship Id="rId9421" Type="http://schemas.openxmlformats.org/officeDocument/2006/relationships/hyperlink" Target="https://drive.google.com/drive/folders/17_xu9YiD8FQ5qeBryjSRxJuHSUzamICp" TargetMode="External"/><Relationship Id="rId11351" Type="http://schemas.openxmlformats.org/officeDocument/2006/relationships/hyperlink" Target="https://drive.google.com/file/d/1DNux4glLBnqI-DzUHKvsJVIQIe0fQ_QF/view?usp=drive_link" TargetMode="External"/><Relationship Id="rId12402" Type="http://schemas.openxmlformats.org/officeDocument/2006/relationships/hyperlink" Target="https://drive.google.com/file/d/15XWbtbUwFEgrO0Ju6sNJKkMPQkRxrMB0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4C994-72D9-4E42-A341-CBEDCB9ED29A}">
  <dimension ref="A1:CI3943"/>
  <sheetViews>
    <sheetView topLeftCell="G82" workbookViewId="0">
      <selection activeCell="L1" sqref="L1"/>
    </sheetView>
  </sheetViews>
  <sheetFormatPr defaultColWidth="12.6640625" defaultRowHeight="14.4" x14ac:dyDescent="0.3"/>
  <cols>
    <col min="1" max="1" width="8.33203125" customWidth="1"/>
    <col min="2" max="2" width="88.44140625" customWidth="1"/>
    <col min="3" max="3" width="14.77734375" customWidth="1"/>
    <col min="4" max="4" width="13.44140625" customWidth="1"/>
    <col min="5" max="5" width="15.21875" customWidth="1"/>
    <col min="6" max="6" width="55.88671875" customWidth="1"/>
    <col min="7" max="7" width="11.88671875" customWidth="1"/>
    <col min="8" max="8" width="26.21875" customWidth="1"/>
    <col min="9" max="9" width="24" customWidth="1"/>
    <col min="10" max="10" width="16.77734375" customWidth="1"/>
    <col min="11" max="11" width="10" customWidth="1"/>
    <col min="12" max="12" width="17.21875" customWidth="1"/>
    <col min="13" max="13" width="10.21875" customWidth="1"/>
    <col min="14" max="14" width="34.33203125" customWidth="1"/>
    <col min="15" max="15" width="80.44140625" customWidth="1"/>
    <col min="16" max="16" width="21.33203125" customWidth="1"/>
    <col min="17" max="17" width="34.33203125" customWidth="1"/>
    <col min="18" max="18" width="17.6640625" customWidth="1"/>
    <col min="19" max="19" width="25.33203125" customWidth="1"/>
    <col min="20" max="20" width="75" customWidth="1"/>
    <col min="21" max="21" width="21.21875" customWidth="1"/>
    <col min="22" max="22" width="24.33203125" customWidth="1"/>
    <col min="23" max="23" width="49.77734375" customWidth="1"/>
    <col min="24" max="24" width="16.109375" customWidth="1"/>
    <col min="25" max="25" width="11.88671875" customWidth="1"/>
    <col min="26" max="26" width="27" customWidth="1"/>
    <col min="27" max="27" width="15.21875" customWidth="1"/>
    <col min="28" max="28" width="11.6640625" customWidth="1"/>
    <col min="29" max="29" width="17" customWidth="1"/>
    <col min="31" max="32" width="18" customWidth="1"/>
    <col min="33" max="35" width="6.33203125" customWidth="1"/>
    <col min="36" max="36" width="28.21875" customWidth="1"/>
    <col min="37" max="37" width="11.77734375" customWidth="1"/>
    <col min="38" max="38" width="13" customWidth="1"/>
    <col min="39" max="40" width="12.21875" customWidth="1"/>
    <col min="41" max="41" width="22.44140625" customWidth="1"/>
    <col min="42" max="42" width="14.109375" customWidth="1"/>
    <col min="43" max="43" width="15.21875" customWidth="1"/>
    <col min="44" max="44" width="11.109375" customWidth="1"/>
    <col min="45" max="45" width="14" customWidth="1"/>
    <col min="46" max="46" width="20.109375" customWidth="1"/>
    <col min="47" max="47" width="13.33203125" customWidth="1"/>
    <col min="48" max="48" width="16.109375" customWidth="1"/>
    <col min="49" max="49" width="16.88671875" customWidth="1"/>
    <col min="50" max="50" width="14.33203125" customWidth="1"/>
    <col min="51" max="51" width="23" customWidth="1"/>
    <col min="52" max="52" width="25.6640625" customWidth="1"/>
    <col min="53" max="53" width="11.88671875" customWidth="1"/>
    <col min="54" max="54" width="14.33203125" customWidth="1"/>
    <col min="55" max="55" width="14.6640625" customWidth="1"/>
    <col min="56" max="60" width="17.109375" customWidth="1"/>
    <col min="61" max="63" width="6.33203125" customWidth="1"/>
    <col min="64" max="64" width="14.33203125" customWidth="1"/>
    <col min="65" max="65" width="31.109375" customWidth="1"/>
    <col min="66" max="66" width="18.44140625" customWidth="1"/>
    <col min="67" max="68" width="17.109375" customWidth="1"/>
    <col min="69" max="69" width="19.6640625" customWidth="1"/>
    <col min="70" max="71" width="17.109375" customWidth="1"/>
    <col min="72" max="72" width="18.88671875" customWidth="1"/>
    <col min="73" max="73" width="21.88671875" customWidth="1"/>
    <col min="74" max="74" width="21.44140625" customWidth="1"/>
    <col min="75" max="75" width="26.88671875" customWidth="1"/>
    <col min="76" max="76" width="24.77734375" customWidth="1"/>
    <col min="77" max="77" width="25.88671875" customWidth="1"/>
    <col min="78" max="78" width="17.109375" customWidth="1"/>
    <col min="79" max="79" width="56.33203125" customWidth="1"/>
    <col min="80" max="80" width="38.109375" customWidth="1"/>
    <col min="81" max="87" width="17.109375" customWidth="1"/>
  </cols>
  <sheetData>
    <row r="1" spans="1:87" x14ac:dyDescent="0.3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4" t="s">
        <v>22</v>
      </c>
      <c r="X1" s="2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2" t="s">
        <v>29</v>
      </c>
      <c r="AE1" s="2" t="s">
        <v>30</v>
      </c>
      <c r="AF1" s="3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4" t="str">
        <f ca="1">IFERROR(__xludf.DUMMYFUNCTION("{""match_content_id"";ARRAYFORMULA(IF(ISBLANK(O2:O3943),, 
  IF(REGEXMATCH(O2:O3943, ""schedule_id=""), 
    VALUE(REGEXEXTRACT(O2:O3943, ""schedule_id=([0-9]+)"")), 
    VALUE(REGEXEXTRACT(O2:O3943, ""/live/([0-9]+)""))
  )))}"),"match_content_id")</f>
        <v>match_content_id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2" t="s">
        <v>47</v>
      </c>
      <c r="AX1" s="5" t="s">
        <v>48</v>
      </c>
      <c r="AY1" s="6" t="s">
        <v>49</v>
      </c>
      <c r="AZ1" s="2" t="s">
        <v>50</v>
      </c>
      <c r="BA1" s="5" t="s">
        <v>51</v>
      </c>
      <c r="BB1" s="5" t="s">
        <v>52</v>
      </c>
      <c r="BC1" s="7" t="s">
        <v>53</v>
      </c>
      <c r="BD1" s="7" t="s">
        <v>54</v>
      </c>
      <c r="BE1" s="7" t="s">
        <v>55</v>
      </c>
      <c r="BF1" s="7" t="s">
        <v>56</v>
      </c>
      <c r="BG1" s="8" t="str">
        <f ca="1">IFERROR(__xludf.DUMMYFUNCTION("{""match_date_start_time"";ARRAYFORMULA(
  IF(ISBLANK(C2:C3943),,IF((G2:G3943 = TRUE) * (NOT(REGEXMATCH(F2:F3943, ""Liga 1""))), C2:C3943 - TIME(0, 30, 0), C2:C3943)))}"),"match_date_start_time")</f>
        <v>match_date_start_time</v>
      </c>
      <c r="BH1" s="7" t="s">
        <v>57</v>
      </c>
      <c r="BI1" s="5" t="s">
        <v>58</v>
      </c>
      <c r="BJ1" s="2" t="s">
        <v>59</v>
      </c>
      <c r="BK1" s="2" t="s">
        <v>60</v>
      </c>
      <c r="BL1" s="2" t="s">
        <v>61</v>
      </c>
      <c r="BM1" s="2" t="s">
        <v>62</v>
      </c>
      <c r="BN1" s="2" t="s">
        <v>63</v>
      </c>
      <c r="BO1" s="3" t="s">
        <v>64</v>
      </c>
      <c r="BP1" s="2" t="s">
        <v>65</v>
      </c>
      <c r="BQ1" s="2" t="s">
        <v>66</v>
      </c>
      <c r="BR1" s="2" t="s">
        <v>67</v>
      </c>
      <c r="BS1" s="2" t="s">
        <v>68</v>
      </c>
      <c r="BT1" s="2" t="s">
        <v>69</v>
      </c>
      <c r="BU1" s="2" t="s">
        <v>70</v>
      </c>
      <c r="BV1" s="2" t="s">
        <v>71</v>
      </c>
      <c r="BW1" s="2" t="s">
        <v>72</v>
      </c>
      <c r="BX1" s="2" t="s">
        <v>73</v>
      </c>
      <c r="BY1" s="2" t="s">
        <v>74</v>
      </c>
      <c r="BZ1" s="2" t="s">
        <v>75</v>
      </c>
      <c r="CA1" s="2" t="s">
        <v>76</v>
      </c>
      <c r="CB1" s="2" t="s">
        <v>77</v>
      </c>
      <c r="CC1" s="2" t="s">
        <v>78</v>
      </c>
      <c r="CD1" s="2" t="s">
        <v>79</v>
      </c>
      <c r="CE1" s="2" t="s">
        <v>80</v>
      </c>
      <c r="CF1" s="2" t="s">
        <v>81</v>
      </c>
      <c r="CG1" s="2" t="s">
        <v>82</v>
      </c>
      <c r="CH1" s="2" t="s">
        <v>83</v>
      </c>
      <c r="CI1" s="2" t="s">
        <v>84</v>
      </c>
    </row>
    <row r="2" spans="1:87" x14ac:dyDescent="0.3">
      <c r="A2" s="9" t="s">
        <v>85</v>
      </c>
      <c r="B2" s="10" t="s">
        <v>86</v>
      </c>
      <c r="C2" s="11">
        <v>45681.604166666664</v>
      </c>
      <c r="D2" s="12">
        <v>0.1875</v>
      </c>
      <c r="E2" s="11">
        <v>45681.791666666664</v>
      </c>
      <c r="F2" s="10" t="s">
        <v>87</v>
      </c>
      <c r="G2" s="13" t="b">
        <v>0</v>
      </c>
      <c r="H2" s="10" t="s">
        <v>88</v>
      </c>
      <c r="I2" s="10" t="s">
        <v>89</v>
      </c>
      <c r="J2" s="13" t="b">
        <v>0</v>
      </c>
      <c r="K2" s="13" t="b">
        <v>1</v>
      </c>
      <c r="L2" s="10" t="s">
        <v>90</v>
      </c>
      <c r="M2" s="10" t="s">
        <v>91</v>
      </c>
      <c r="N2" s="10" t="s">
        <v>92</v>
      </c>
      <c r="O2" s="14" t="s">
        <v>93</v>
      </c>
      <c r="P2" s="10"/>
      <c r="Q2" s="10" t="s">
        <v>94</v>
      </c>
      <c r="R2" s="14" t="s">
        <v>95</v>
      </c>
      <c r="S2" s="14" t="s">
        <v>96</v>
      </c>
      <c r="T2" s="10"/>
      <c r="U2" s="10"/>
      <c r="V2" s="10"/>
      <c r="W2" s="10" t="s">
        <v>97</v>
      </c>
      <c r="X2" s="10" t="s">
        <v>98</v>
      </c>
      <c r="Y2" s="10" t="s">
        <v>98</v>
      </c>
      <c r="Z2" s="10" t="s">
        <v>99</v>
      </c>
      <c r="AA2" s="10" t="s">
        <v>100</v>
      </c>
      <c r="AB2" s="10" t="s">
        <v>87</v>
      </c>
      <c r="AC2" s="10"/>
      <c r="AD2" s="10"/>
      <c r="AE2" s="10" t="s">
        <v>101</v>
      </c>
      <c r="AF2" s="15"/>
      <c r="AG2" s="10"/>
      <c r="AH2" s="10"/>
      <c r="AI2" s="10"/>
      <c r="AJ2" s="10"/>
      <c r="AK2" s="10" t="s">
        <v>102</v>
      </c>
      <c r="AL2" s="10" t="s">
        <v>103</v>
      </c>
      <c r="AM2" s="10"/>
      <c r="AN2" s="10"/>
      <c r="AO2" s="13" t="b">
        <v>0</v>
      </c>
      <c r="AP2" s="10" t="s">
        <v>104</v>
      </c>
      <c r="AQ2" s="10">
        <f ca="1">IFERROR(__xludf.DUMMYFUNCTION("""COMPUTED_VALUE"""),4017120)</f>
        <v>4017120</v>
      </c>
      <c r="AR2" s="16">
        <v>7457</v>
      </c>
      <c r="AS2" s="16">
        <v>5022</v>
      </c>
      <c r="AT2" s="16">
        <v>52444.5</v>
      </c>
      <c r="AU2" s="16">
        <v>20.2</v>
      </c>
      <c r="AV2" s="16">
        <v>8.65</v>
      </c>
      <c r="AW2" s="10" t="s">
        <v>105</v>
      </c>
      <c r="AX2" s="17">
        <v>809</v>
      </c>
      <c r="AY2" s="18">
        <v>10.44295101553166</v>
      </c>
      <c r="AZ2" s="10" t="s">
        <v>106</v>
      </c>
      <c r="BA2" s="17"/>
      <c r="BB2" s="17"/>
      <c r="BC2" s="17">
        <v>7457</v>
      </c>
      <c r="BD2" s="17">
        <v>5022</v>
      </c>
      <c r="BE2" s="17">
        <v>52444.5</v>
      </c>
      <c r="BF2" s="17">
        <v>8.65</v>
      </c>
      <c r="BG2" s="15">
        <f ca="1">IFERROR(__xludf.DUMMYFUNCTION("""COMPUTED_VALUE"""),45681.6041666666)</f>
        <v>45681.604166666599</v>
      </c>
      <c r="BH2" s="17" t="s">
        <v>105</v>
      </c>
      <c r="BI2" s="17"/>
      <c r="BJ2" s="15"/>
      <c r="BK2" s="15"/>
      <c r="BL2" s="13" t="b">
        <v>0</v>
      </c>
      <c r="BM2" s="10" t="s">
        <v>107</v>
      </c>
      <c r="BN2" s="10" t="s">
        <v>108</v>
      </c>
      <c r="BO2" s="11">
        <v>45672.553472222222</v>
      </c>
      <c r="BP2" s="11">
        <v>45680.515393518515</v>
      </c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9" t="s">
        <v>109</v>
      </c>
      <c r="CB2" s="15"/>
      <c r="CC2" s="15"/>
      <c r="CD2" s="15"/>
      <c r="CE2" s="15"/>
      <c r="CF2" s="15"/>
      <c r="CG2" s="15"/>
      <c r="CH2" s="15"/>
      <c r="CI2" s="15"/>
    </row>
    <row r="3" spans="1:87" x14ac:dyDescent="0.3">
      <c r="A3" s="9" t="s">
        <v>110</v>
      </c>
      <c r="B3" s="10" t="s">
        <v>111</v>
      </c>
      <c r="C3" s="11">
        <v>45703.375</v>
      </c>
      <c r="D3" s="12">
        <v>0.1875</v>
      </c>
      <c r="E3" s="11">
        <v>45703.5625</v>
      </c>
      <c r="F3" s="10" t="s">
        <v>87</v>
      </c>
      <c r="G3" s="13" t="b">
        <v>0</v>
      </c>
      <c r="H3" s="10" t="s">
        <v>88</v>
      </c>
      <c r="I3" s="10" t="s">
        <v>89</v>
      </c>
      <c r="J3" s="13" t="b">
        <v>0</v>
      </c>
      <c r="K3" s="13" t="b">
        <v>1</v>
      </c>
      <c r="L3" s="10" t="s">
        <v>90</v>
      </c>
      <c r="M3" s="10" t="s">
        <v>91</v>
      </c>
      <c r="N3" s="10" t="s">
        <v>92</v>
      </c>
      <c r="O3" s="14" t="s">
        <v>112</v>
      </c>
      <c r="P3" s="10"/>
      <c r="Q3" s="10" t="s">
        <v>94</v>
      </c>
      <c r="R3" s="14" t="s">
        <v>113</v>
      </c>
      <c r="S3" s="14" t="s">
        <v>114</v>
      </c>
      <c r="T3" s="10"/>
      <c r="U3" s="10"/>
      <c r="V3" s="10"/>
      <c r="W3" s="10" t="s">
        <v>97</v>
      </c>
      <c r="X3" s="10" t="s">
        <v>98</v>
      </c>
      <c r="Y3" s="10" t="s">
        <v>98</v>
      </c>
      <c r="Z3" s="10" t="s">
        <v>99</v>
      </c>
      <c r="AA3" s="10" t="s">
        <v>100</v>
      </c>
      <c r="AB3" s="10" t="s">
        <v>87</v>
      </c>
      <c r="AC3" s="10"/>
      <c r="AD3" s="10"/>
      <c r="AE3" s="10" t="s">
        <v>115</v>
      </c>
      <c r="AF3" s="15"/>
      <c r="AG3" s="10"/>
      <c r="AH3" s="10"/>
      <c r="AI3" s="10"/>
      <c r="AJ3" s="10"/>
      <c r="AK3" s="10" t="s">
        <v>102</v>
      </c>
      <c r="AL3" s="10" t="s">
        <v>116</v>
      </c>
      <c r="AM3" s="10"/>
      <c r="AN3" s="10"/>
      <c r="AO3" s="13" t="b">
        <v>0</v>
      </c>
      <c r="AP3" s="10" t="s">
        <v>104</v>
      </c>
      <c r="AQ3" s="10">
        <f ca="1">IFERROR(__xludf.DUMMYFUNCTION("""COMPUTED_VALUE"""),4075107)</f>
        <v>4075107</v>
      </c>
      <c r="AR3" s="16">
        <v>3655</v>
      </c>
      <c r="AS3" s="16">
        <v>2613</v>
      </c>
      <c r="AT3" s="16">
        <v>18052</v>
      </c>
      <c r="AU3" s="16">
        <v>0.75</v>
      </c>
      <c r="AV3" s="16">
        <v>0</v>
      </c>
      <c r="AW3" s="10" t="s">
        <v>105</v>
      </c>
      <c r="AX3" s="17">
        <v>329</v>
      </c>
      <c r="AY3" s="18">
        <v>6.9085342518178336</v>
      </c>
      <c r="AZ3" s="10" t="s">
        <v>117</v>
      </c>
      <c r="BA3" s="20" t="b">
        <v>0</v>
      </c>
      <c r="BB3" s="10"/>
      <c r="BC3" s="17">
        <v>3655</v>
      </c>
      <c r="BD3" s="17">
        <v>2613</v>
      </c>
      <c r="BE3" s="17">
        <v>18052</v>
      </c>
      <c r="BF3" s="17">
        <v>0</v>
      </c>
      <c r="BG3" s="15">
        <f ca="1">IFERROR(__xludf.DUMMYFUNCTION("""COMPUTED_VALUE"""),45703.375)</f>
        <v>45703.375</v>
      </c>
      <c r="BH3" s="17" t="s">
        <v>105</v>
      </c>
      <c r="BI3" s="17"/>
      <c r="BJ3" s="15"/>
      <c r="BK3" s="15"/>
      <c r="BL3" s="13" t="b">
        <v>0</v>
      </c>
      <c r="BM3" s="10"/>
      <c r="BN3" s="10" t="s">
        <v>118</v>
      </c>
      <c r="BO3" s="11">
        <v>45700.668055555558</v>
      </c>
      <c r="BP3" s="11">
        <v>45700.668449074074</v>
      </c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9" t="s">
        <v>119</v>
      </c>
      <c r="CB3" s="15"/>
      <c r="CC3" s="15"/>
      <c r="CD3" s="15"/>
      <c r="CE3" s="15"/>
      <c r="CF3" s="15"/>
      <c r="CG3" s="15"/>
      <c r="CH3" s="15"/>
      <c r="CI3" s="15"/>
    </row>
    <row r="4" spans="1:87" x14ac:dyDescent="0.3">
      <c r="A4" s="9" t="s">
        <v>120</v>
      </c>
      <c r="B4" s="10" t="s">
        <v>121</v>
      </c>
      <c r="C4" s="11">
        <v>45708.979166666664</v>
      </c>
      <c r="D4" s="12">
        <v>8.3333333333333329E-2</v>
      </c>
      <c r="E4" s="11">
        <v>45709.0625</v>
      </c>
      <c r="F4" s="10" t="s">
        <v>122</v>
      </c>
      <c r="G4" s="13" t="b">
        <v>0</v>
      </c>
      <c r="H4" s="10" t="s">
        <v>123</v>
      </c>
      <c r="I4" s="10" t="s">
        <v>89</v>
      </c>
      <c r="J4" s="13" t="b">
        <v>0</v>
      </c>
      <c r="K4" s="13" t="b">
        <v>1</v>
      </c>
      <c r="L4" s="10" t="s">
        <v>124</v>
      </c>
      <c r="M4" s="10" t="s">
        <v>91</v>
      </c>
      <c r="N4" s="10" t="s">
        <v>92</v>
      </c>
      <c r="O4" s="14" t="s">
        <v>125</v>
      </c>
      <c r="P4" s="10"/>
      <c r="Q4" s="10" t="s">
        <v>126</v>
      </c>
      <c r="R4" s="10"/>
      <c r="S4" s="14" t="s">
        <v>127</v>
      </c>
      <c r="T4" s="14" t="s">
        <v>128</v>
      </c>
      <c r="U4" s="10"/>
      <c r="V4" s="10"/>
      <c r="W4" s="10" t="s">
        <v>129</v>
      </c>
      <c r="X4" s="10" t="s">
        <v>130</v>
      </c>
      <c r="Y4" s="10" t="s">
        <v>130</v>
      </c>
      <c r="Z4" s="10" t="s">
        <v>99</v>
      </c>
      <c r="AA4" s="10" t="s">
        <v>131</v>
      </c>
      <c r="AB4" s="10" t="s">
        <v>132</v>
      </c>
      <c r="AC4" s="10" t="s">
        <v>133</v>
      </c>
      <c r="AD4" s="10"/>
      <c r="AE4" s="10" t="s">
        <v>134</v>
      </c>
      <c r="AF4" s="15"/>
      <c r="AG4" s="10"/>
      <c r="AH4" s="10"/>
      <c r="AI4" s="10"/>
      <c r="AJ4" s="10"/>
      <c r="AK4" s="10" t="s">
        <v>102</v>
      </c>
      <c r="AL4" s="10"/>
      <c r="AM4" s="10"/>
      <c r="AN4" s="10"/>
      <c r="AO4" s="13" t="b">
        <v>1</v>
      </c>
      <c r="AP4" s="10" t="s">
        <v>135</v>
      </c>
      <c r="AQ4" s="10">
        <f ca="1">IFERROR(__xludf.DUMMYFUNCTION("""COMPUTED_VALUE"""),4086954)</f>
        <v>4086954</v>
      </c>
      <c r="AR4" s="16">
        <v>61161</v>
      </c>
      <c r="AS4" s="16">
        <v>47775</v>
      </c>
      <c r="AT4" s="16">
        <v>723467.5</v>
      </c>
      <c r="AU4" s="16">
        <v>297.85000000000002</v>
      </c>
      <c r="AV4" s="16">
        <v>81.650000000000006</v>
      </c>
      <c r="AW4" s="10" t="s">
        <v>105</v>
      </c>
      <c r="AX4" s="17">
        <v>12108</v>
      </c>
      <c r="AY4" s="18">
        <v>15.143223443223443</v>
      </c>
      <c r="AZ4" s="10" t="s">
        <v>136</v>
      </c>
      <c r="BA4" s="20" t="b">
        <v>0</v>
      </c>
      <c r="BB4" s="10"/>
      <c r="BC4" s="17">
        <v>61161</v>
      </c>
      <c r="BD4" s="17">
        <v>47775</v>
      </c>
      <c r="BE4" s="17">
        <v>723467.5</v>
      </c>
      <c r="BF4" s="17">
        <v>81.650000000000006</v>
      </c>
      <c r="BG4" s="15">
        <f ca="1">IFERROR(__xludf.DUMMYFUNCTION("""COMPUTED_VALUE"""),45708.9791666666)</f>
        <v>45708.979166666599</v>
      </c>
      <c r="BH4" s="17" t="s">
        <v>105</v>
      </c>
      <c r="BI4" s="17"/>
      <c r="BJ4" s="15"/>
      <c r="BK4" s="15"/>
      <c r="BL4" s="13" t="b">
        <v>0</v>
      </c>
      <c r="BM4" s="10"/>
      <c r="BN4" s="10" t="s">
        <v>137</v>
      </c>
      <c r="BO4" s="11">
        <v>45705.510416666664</v>
      </c>
      <c r="BP4" s="11">
        <v>45706.466724537036</v>
      </c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9" t="s">
        <v>138</v>
      </c>
      <c r="CB4" s="19" t="s">
        <v>139</v>
      </c>
      <c r="CC4" s="15"/>
      <c r="CD4" s="19" t="s">
        <v>140</v>
      </c>
      <c r="CE4" s="15"/>
      <c r="CF4" s="15"/>
      <c r="CG4" s="15"/>
      <c r="CH4" s="15"/>
      <c r="CI4" s="15"/>
    </row>
    <row r="5" spans="1:87" x14ac:dyDescent="0.3">
      <c r="A5" s="9" t="s">
        <v>141</v>
      </c>
      <c r="B5" s="10" t="s">
        <v>142</v>
      </c>
      <c r="C5" s="11">
        <v>45712.625</v>
      </c>
      <c r="D5" s="12">
        <v>0.1875</v>
      </c>
      <c r="E5" s="11">
        <v>45712.8125</v>
      </c>
      <c r="F5" s="10" t="s">
        <v>87</v>
      </c>
      <c r="G5" s="13" t="b">
        <v>0</v>
      </c>
      <c r="H5" s="10" t="s">
        <v>88</v>
      </c>
      <c r="I5" s="10" t="s">
        <v>89</v>
      </c>
      <c r="J5" s="13" t="b">
        <v>0</v>
      </c>
      <c r="K5" s="13" t="b">
        <v>1</v>
      </c>
      <c r="L5" s="10" t="s">
        <v>90</v>
      </c>
      <c r="M5" s="10" t="s">
        <v>91</v>
      </c>
      <c r="N5" s="10" t="s">
        <v>92</v>
      </c>
      <c r="O5" s="14" t="s">
        <v>143</v>
      </c>
      <c r="P5" s="10"/>
      <c r="Q5" s="10" t="s">
        <v>94</v>
      </c>
      <c r="R5" s="14" t="s">
        <v>144</v>
      </c>
      <c r="S5" s="14" t="s">
        <v>145</v>
      </c>
      <c r="T5" s="10"/>
      <c r="U5" s="10"/>
      <c r="V5" s="10"/>
      <c r="W5" s="10" t="s">
        <v>97</v>
      </c>
      <c r="X5" s="10" t="s">
        <v>98</v>
      </c>
      <c r="Y5" s="10" t="s">
        <v>98</v>
      </c>
      <c r="Z5" s="10" t="s">
        <v>99</v>
      </c>
      <c r="AA5" s="10" t="s">
        <v>100</v>
      </c>
      <c r="AB5" s="10" t="s">
        <v>87</v>
      </c>
      <c r="AC5" s="10"/>
      <c r="AD5" s="10"/>
      <c r="AE5" s="10" t="s">
        <v>146</v>
      </c>
      <c r="AF5" s="15"/>
      <c r="AG5" s="10"/>
      <c r="AH5" s="10"/>
      <c r="AI5" s="10"/>
      <c r="AJ5" s="10"/>
      <c r="AK5" s="10" t="s">
        <v>102</v>
      </c>
      <c r="AL5" s="10" t="s">
        <v>147</v>
      </c>
      <c r="AM5" s="10"/>
      <c r="AN5" s="10"/>
      <c r="AO5" s="13" t="b">
        <v>0</v>
      </c>
      <c r="AP5" s="10" t="s">
        <v>104</v>
      </c>
      <c r="AQ5" s="10">
        <f ca="1">IFERROR(__xludf.DUMMYFUNCTION("""COMPUTED_VALUE"""),4096136)</f>
        <v>4096136</v>
      </c>
      <c r="AR5" s="16">
        <v>4948</v>
      </c>
      <c r="AS5" s="16">
        <v>3331</v>
      </c>
      <c r="AT5" s="16">
        <v>50148.75</v>
      </c>
      <c r="AU5" s="16">
        <v>4.95</v>
      </c>
      <c r="AV5" s="16">
        <v>0</v>
      </c>
      <c r="AW5" s="10" t="s">
        <v>105</v>
      </c>
      <c r="AX5" s="17">
        <v>591</v>
      </c>
      <c r="AY5" s="18">
        <v>15.055163614530171</v>
      </c>
      <c r="AZ5" s="10" t="s">
        <v>148</v>
      </c>
      <c r="BA5" s="20" t="b">
        <v>0</v>
      </c>
      <c r="BB5" s="10"/>
      <c r="BC5" s="17">
        <v>4948</v>
      </c>
      <c r="BD5" s="17">
        <v>3331</v>
      </c>
      <c r="BE5" s="17">
        <v>50148.75</v>
      </c>
      <c r="BF5" s="17">
        <v>0</v>
      </c>
      <c r="BG5" s="15">
        <f ca="1">IFERROR(__xludf.DUMMYFUNCTION("""COMPUTED_VALUE"""),45712.625)</f>
        <v>45712.625</v>
      </c>
      <c r="BH5" s="17" t="s">
        <v>105</v>
      </c>
      <c r="BI5" s="17"/>
      <c r="BJ5" s="15"/>
      <c r="BK5" s="15"/>
      <c r="BL5" s="13" t="b">
        <v>0</v>
      </c>
      <c r="BM5" s="10"/>
      <c r="BN5" s="10" t="s">
        <v>149</v>
      </c>
      <c r="BO5" s="11">
        <v>45709.470138888886</v>
      </c>
      <c r="BP5" s="11">
        <v>45709.470486111109</v>
      </c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9" t="s">
        <v>150</v>
      </c>
      <c r="CB5" s="15"/>
      <c r="CC5" s="15"/>
      <c r="CD5" s="15"/>
      <c r="CE5" s="15"/>
      <c r="CF5" s="15"/>
      <c r="CG5" s="15"/>
      <c r="CH5" s="15"/>
      <c r="CI5" s="15"/>
    </row>
    <row r="6" spans="1:87" x14ac:dyDescent="0.3">
      <c r="A6" s="9" t="s">
        <v>151</v>
      </c>
      <c r="B6" s="10" t="s">
        <v>152</v>
      </c>
      <c r="C6" s="11">
        <v>45729.625</v>
      </c>
      <c r="D6" s="12">
        <v>0.16666666666666666</v>
      </c>
      <c r="E6" s="11">
        <v>45729.791666666664</v>
      </c>
      <c r="F6" s="10" t="s">
        <v>87</v>
      </c>
      <c r="G6" s="13" t="b">
        <v>0</v>
      </c>
      <c r="H6" s="10" t="s">
        <v>88</v>
      </c>
      <c r="I6" s="10" t="s">
        <v>89</v>
      </c>
      <c r="J6" s="13" t="b">
        <v>0</v>
      </c>
      <c r="K6" s="13" t="b">
        <v>1</v>
      </c>
      <c r="L6" s="10" t="s">
        <v>124</v>
      </c>
      <c r="M6" s="10" t="s">
        <v>91</v>
      </c>
      <c r="N6" s="10" t="s">
        <v>92</v>
      </c>
      <c r="O6" s="14" t="s">
        <v>153</v>
      </c>
      <c r="P6" s="10"/>
      <c r="Q6" s="10" t="s">
        <v>126</v>
      </c>
      <c r="R6" s="10"/>
      <c r="S6" s="14" t="s">
        <v>154</v>
      </c>
      <c r="T6" s="10"/>
      <c r="U6" s="10"/>
      <c r="V6" s="10"/>
      <c r="W6" s="10" t="s">
        <v>97</v>
      </c>
      <c r="X6" s="10" t="s">
        <v>98</v>
      </c>
      <c r="Y6" s="10" t="s">
        <v>98</v>
      </c>
      <c r="Z6" s="10" t="s">
        <v>99</v>
      </c>
      <c r="AA6" s="10" t="s">
        <v>100</v>
      </c>
      <c r="AB6" s="10" t="s">
        <v>87</v>
      </c>
      <c r="AC6" s="10"/>
      <c r="AD6" s="10"/>
      <c r="AE6" s="10" t="s">
        <v>155</v>
      </c>
      <c r="AF6" s="15"/>
      <c r="AG6" s="10"/>
      <c r="AH6" s="10"/>
      <c r="AI6" s="10"/>
      <c r="AJ6" s="10"/>
      <c r="AK6" s="10" t="s">
        <v>102</v>
      </c>
      <c r="AL6" s="10" t="s">
        <v>156</v>
      </c>
      <c r="AM6" s="10"/>
      <c r="AN6" s="10"/>
      <c r="AO6" s="13" t="b">
        <v>0</v>
      </c>
      <c r="AP6" s="10" t="s">
        <v>104</v>
      </c>
      <c r="AQ6" s="10">
        <f ca="1">IFERROR(__xludf.DUMMYFUNCTION("""COMPUTED_VALUE"""),4137962)</f>
        <v>4137962</v>
      </c>
      <c r="AR6" s="21">
        <v>4756</v>
      </c>
      <c r="AS6" s="21">
        <v>3719</v>
      </c>
      <c r="AT6" s="21">
        <v>47936.25</v>
      </c>
      <c r="AU6" s="21">
        <v>6.75</v>
      </c>
      <c r="AV6" s="21">
        <v>1.1499999999999999</v>
      </c>
      <c r="AW6" s="22" t="s">
        <v>105</v>
      </c>
      <c r="AX6" s="21">
        <v>371</v>
      </c>
      <c r="AY6" s="18">
        <v>12.88955364345254</v>
      </c>
      <c r="AZ6" s="10" t="s">
        <v>106</v>
      </c>
      <c r="BA6" s="20" t="b">
        <v>0</v>
      </c>
      <c r="BB6" s="10"/>
      <c r="BC6" s="17">
        <v>4756</v>
      </c>
      <c r="BD6" s="17">
        <v>3719</v>
      </c>
      <c r="BE6" s="17">
        <v>47936.25</v>
      </c>
      <c r="BF6" s="17">
        <v>1.1499999999999999</v>
      </c>
      <c r="BG6" s="15">
        <f ca="1">IFERROR(__xludf.DUMMYFUNCTION("""COMPUTED_VALUE"""),45729.625)</f>
        <v>45729.625</v>
      </c>
      <c r="BH6" s="17" t="s">
        <v>105</v>
      </c>
      <c r="BI6" s="17"/>
      <c r="BJ6" s="15"/>
      <c r="BK6" s="15"/>
      <c r="BL6" s="13" t="b">
        <v>0</v>
      </c>
      <c r="BM6" s="10"/>
      <c r="BN6" s="10" t="s">
        <v>157</v>
      </c>
      <c r="BO6" s="11">
        <v>45727.535416666666</v>
      </c>
      <c r="BP6" s="11">
        <v>45727.535983796297</v>
      </c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9" t="s">
        <v>158</v>
      </c>
      <c r="CB6" s="15"/>
      <c r="CC6" s="15"/>
      <c r="CD6" s="19" t="s">
        <v>159</v>
      </c>
      <c r="CE6" s="15"/>
      <c r="CF6" s="15"/>
      <c r="CG6" s="15"/>
      <c r="CH6" s="15"/>
      <c r="CI6" s="15"/>
    </row>
    <row r="7" spans="1:87" x14ac:dyDescent="0.3">
      <c r="A7" s="9" t="s">
        <v>160</v>
      </c>
      <c r="B7" s="10" t="s">
        <v>161</v>
      </c>
      <c r="C7" s="11">
        <v>45746.291666666664</v>
      </c>
      <c r="D7" s="12">
        <v>0.1875</v>
      </c>
      <c r="E7" s="11">
        <v>45746.479166666664</v>
      </c>
      <c r="F7" s="10" t="s">
        <v>87</v>
      </c>
      <c r="G7" s="13" t="b">
        <v>0</v>
      </c>
      <c r="H7" s="10" t="s">
        <v>88</v>
      </c>
      <c r="I7" s="10" t="s">
        <v>89</v>
      </c>
      <c r="J7" s="13" t="b">
        <v>0</v>
      </c>
      <c r="K7" s="13" t="b">
        <v>1</v>
      </c>
      <c r="L7" s="10" t="s">
        <v>124</v>
      </c>
      <c r="M7" s="10" t="s">
        <v>91</v>
      </c>
      <c r="N7" s="10" t="s">
        <v>92</v>
      </c>
      <c r="O7" s="14" t="s">
        <v>162</v>
      </c>
      <c r="P7" s="10"/>
      <c r="Q7" s="10" t="s">
        <v>126</v>
      </c>
      <c r="R7" s="14" t="s">
        <v>163</v>
      </c>
      <c r="S7" s="14" t="s">
        <v>164</v>
      </c>
      <c r="T7" s="10"/>
      <c r="U7" s="10"/>
      <c r="V7" s="10"/>
      <c r="W7" s="10" t="s">
        <v>97</v>
      </c>
      <c r="X7" s="10" t="s">
        <v>98</v>
      </c>
      <c r="Y7" s="10" t="s">
        <v>98</v>
      </c>
      <c r="Z7" s="10" t="s">
        <v>99</v>
      </c>
      <c r="AA7" s="10" t="s">
        <v>100</v>
      </c>
      <c r="AB7" s="10" t="s">
        <v>87</v>
      </c>
      <c r="AC7" s="10"/>
      <c r="AD7" s="10" t="s">
        <v>165</v>
      </c>
      <c r="AE7" s="10" t="s">
        <v>166</v>
      </c>
      <c r="AF7" s="15"/>
      <c r="AG7" s="10"/>
      <c r="AH7" s="10"/>
      <c r="AI7" s="10"/>
      <c r="AJ7" s="10"/>
      <c r="AK7" s="10" t="s">
        <v>102</v>
      </c>
      <c r="AL7" s="10" t="s">
        <v>167</v>
      </c>
      <c r="AM7" s="10"/>
      <c r="AN7" s="10"/>
      <c r="AO7" s="13" t="b">
        <v>0</v>
      </c>
      <c r="AP7" s="10" t="s">
        <v>104</v>
      </c>
      <c r="AQ7" s="10">
        <f ca="1">IFERROR(__xludf.DUMMYFUNCTION("""COMPUTED_VALUE"""),4178294)</f>
        <v>4178294</v>
      </c>
      <c r="AR7" s="16">
        <v>4006</v>
      </c>
      <c r="AS7" s="16">
        <v>2806</v>
      </c>
      <c r="AT7" s="16">
        <v>47808.5</v>
      </c>
      <c r="AU7" s="16">
        <v>4</v>
      </c>
      <c r="AV7" s="16">
        <v>0.1</v>
      </c>
      <c r="AW7" s="10" t="s">
        <v>105</v>
      </c>
      <c r="AX7" s="17">
        <v>507</v>
      </c>
      <c r="AY7" s="18">
        <v>17.037954383464005</v>
      </c>
      <c r="AZ7" s="10" t="s">
        <v>168</v>
      </c>
      <c r="BA7" s="20" t="b">
        <v>0</v>
      </c>
      <c r="BB7" s="10"/>
      <c r="BC7" s="17">
        <v>4006</v>
      </c>
      <c r="BD7" s="17">
        <v>2806</v>
      </c>
      <c r="BE7" s="17">
        <v>47808.5</v>
      </c>
      <c r="BF7" s="17">
        <v>0.1</v>
      </c>
      <c r="BG7" s="15">
        <f ca="1">IFERROR(__xludf.DUMMYFUNCTION("""COMPUTED_VALUE"""),45746.2916666666)</f>
        <v>45746.291666666599</v>
      </c>
      <c r="BH7" s="17" t="s">
        <v>105</v>
      </c>
      <c r="BI7" s="17"/>
      <c r="BJ7" s="15"/>
      <c r="BK7" s="15"/>
      <c r="BL7" s="13" t="b">
        <v>0</v>
      </c>
      <c r="BM7" s="10"/>
      <c r="BN7" s="10" t="s">
        <v>137</v>
      </c>
      <c r="BO7" s="11">
        <v>45734.660416666666</v>
      </c>
      <c r="BP7" s="11">
        <v>45743.476319444446</v>
      </c>
      <c r="BQ7" s="11">
        <v>45744.595034722224</v>
      </c>
      <c r="BR7" s="11">
        <v>45745.437071759261</v>
      </c>
      <c r="BS7" s="10" t="s">
        <v>137</v>
      </c>
      <c r="BT7" s="10"/>
      <c r="BU7" s="10"/>
      <c r="BV7" s="10"/>
      <c r="BW7" s="10"/>
      <c r="BX7" s="10"/>
      <c r="BY7" s="10"/>
      <c r="BZ7" s="10"/>
      <c r="CA7" s="19" t="s">
        <v>169</v>
      </c>
      <c r="CB7" s="10"/>
      <c r="CC7" s="10"/>
      <c r="CD7" s="19" t="s">
        <v>170</v>
      </c>
      <c r="CE7" s="10"/>
      <c r="CF7" s="10"/>
      <c r="CG7" s="10"/>
      <c r="CH7" s="10"/>
      <c r="CI7" s="10"/>
    </row>
    <row r="8" spans="1:87" x14ac:dyDescent="0.3">
      <c r="A8" s="9" t="s">
        <v>171</v>
      </c>
      <c r="B8" s="10" t="s">
        <v>172</v>
      </c>
      <c r="C8" s="11">
        <v>45753.291666666664</v>
      </c>
      <c r="D8" s="12">
        <v>0.1875</v>
      </c>
      <c r="E8" s="11">
        <v>45753.479166666664</v>
      </c>
      <c r="F8" s="10" t="s">
        <v>87</v>
      </c>
      <c r="G8" s="13" t="b">
        <v>0</v>
      </c>
      <c r="H8" s="10" t="s">
        <v>88</v>
      </c>
      <c r="I8" s="10" t="s">
        <v>89</v>
      </c>
      <c r="J8" s="13" t="b">
        <v>0</v>
      </c>
      <c r="K8" s="13" t="b">
        <v>1</v>
      </c>
      <c r="L8" s="10" t="s">
        <v>90</v>
      </c>
      <c r="M8" s="10" t="s">
        <v>91</v>
      </c>
      <c r="N8" s="10" t="s">
        <v>92</v>
      </c>
      <c r="O8" s="14" t="s">
        <v>173</v>
      </c>
      <c r="P8" s="10"/>
      <c r="Q8" s="10" t="s">
        <v>126</v>
      </c>
      <c r="R8" s="14" t="s">
        <v>163</v>
      </c>
      <c r="S8" s="14" t="s">
        <v>174</v>
      </c>
      <c r="T8" s="10"/>
      <c r="U8" s="10"/>
      <c r="V8" s="10"/>
      <c r="W8" s="10" t="s">
        <v>97</v>
      </c>
      <c r="X8" s="10" t="s">
        <v>98</v>
      </c>
      <c r="Y8" s="10" t="s">
        <v>98</v>
      </c>
      <c r="Z8" s="10" t="s">
        <v>99</v>
      </c>
      <c r="AA8" s="10" t="s">
        <v>100</v>
      </c>
      <c r="AB8" s="10" t="s">
        <v>87</v>
      </c>
      <c r="AC8" s="10"/>
      <c r="AD8" s="10" t="s">
        <v>165</v>
      </c>
      <c r="AE8" s="10" t="s">
        <v>175</v>
      </c>
      <c r="AF8" s="15"/>
      <c r="AG8" s="10"/>
      <c r="AH8" s="10"/>
      <c r="AI8" s="10"/>
      <c r="AJ8" s="10"/>
      <c r="AK8" s="10" t="s">
        <v>102</v>
      </c>
      <c r="AL8" s="10" t="s">
        <v>176</v>
      </c>
      <c r="AM8" s="10"/>
      <c r="AN8" s="10"/>
      <c r="AO8" s="13" t="b">
        <v>0</v>
      </c>
      <c r="AP8" s="10" t="s">
        <v>104</v>
      </c>
      <c r="AQ8" s="10">
        <f ca="1">IFERROR(__xludf.DUMMYFUNCTION("""COMPUTED_VALUE"""),4194583)</f>
        <v>4194583</v>
      </c>
      <c r="AR8" s="16">
        <v>3381</v>
      </c>
      <c r="AS8" s="16">
        <v>2457</v>
      </c>
      <c r="AT8" s="16">
        <v>54174.25</v>
      </c>
      <c r="AU8" s="16">
        <v>6.6</v>
      </c>
      <c r="AV8" s="16">
        <v>1.6</v>
      </c>
      <c r="AW8" s="10" t="s">
        <v>105</v>
      </c>
      <c r="AX8" s="17">
        <v>503</v>
      </c>
      <c r="AY8" s="18">
        <v>22.048941798941797</v>
      </c>
      <c r="AZ8" s="10" t="s">
        <v>106</v>
      </c>
      <c r="BA8" s="20" t="b">
        <v>0</v>
      </c>
      <c r="BB8" s="10"/>
      <c r="BC8" s="17">
        <v>3381</v>
      </c>
      <c r="BD8" s="17">
        <v>2457</v>
      </c>
      <c r="BE8" s="17">
        <v>54174.25</v>
      </c>
      <c r="BF8" s="17">
        <v>1.6</v>
      </c>
      <c r="BG8" s="15">
        <f ca="1">IFERROR(__xludf.DUMMYFUNCTION("""COMPUTED_VALUE"""),45753.2916666666)</f>
        <v>45753.291666666599</v>
      </c>
      <c r="BH8" s="17" t="s">
        <v>105</v>
      </c>
      <c r="BI8" s="17"/>
      <c r="BJ8" s="15"/>
      <c r="BK8" s="15"/>
      <c r="BL8" s="13" t="b">
        <v>0</v>
      </c>
      <c r="BM8" s="10"/>
      <c r="BN8" s="10" t="s">
        <v>149</v>
      </c>
      <c r="BO8" s="11">
        <v>45734.661805555559</v>
      </c>
      <c r="BP8" s="11">
        <v>45751.754374999997</v>
      </c>
      <c r="BQ8" s="11">
        <v>45749.675659722219</v>
      </c>
      <c r="BR8" s="11">
        <v>45752.466956018521</v>
      </c>
      <c r="BS8" s="10" t="s">
        <v>149</v>
      </c>
      <c r="BT8" s="10"/>
      <c r="BU8" s="10"/>
      <c r="BV8" s="10"/>
      <c r="BW8" s="10"/>
      <c r="BX8" s="10"/>
      <c r="BY8" s="10"/>
      <c r="BZ8" s="10"/>
      <c r="CA8" s="19" t="s">
        <v>177</v>
      </c>
      <c r="CB8" s="10"/>
      <c r="CC8" s="10"/>
      <c r="CD8" s="19" t="s">
        <v>178</v>
      </c>
      <c r="CE8" s="10"/>
      <c r="CF8" s="10"/>
      <c r="CG8" s="10"/>
      <c r="CH8" s="10"/>
      <c r="CI8" s="10"/>
    </row>
    <row r="9" spans="1:87" x14ac:dyDescent="0.3">
      <c r="A9" s="9" t="s">
        <v>179</v>
      </c>
      <c r="B9" s="10" t="s">
        <v>180</v>
      </c>
      <c r="C9" s="11">
        <v>45782.291666666664</v>
      </c>
      <c r="D9" s="12">
        <v>0.16666666666666666</v>
      </c>
      <c r="E9" s="11">
        <v>45782.458333333336</v>
      </c>
      <c r="F9" s="10" t="s">
        <v>87</v>
      </c>
      <c r="G9" s="13" t="b">
        <v>0</v>
      </c>
      <c r="H9" s="10" t="s">
        <v>88</v>
      </c>
      <c r="I9" s="10" t="s">
        <v>89</v>
      </c>
      <c r="J9" s="13" t="b">
        <v>0</v>
      </c>
      <c r="K9" s="13" t="b">
        <v>1</v>
      </c>
      <c r="L9" s="10" t="s">
        <v>124</v>
      </c>
      <c r="M9" s="10" t="s">
        <v>91</v>
      </c>
      <c r="N9" s="10" t="s">
        <v>92</v>
      </c>
      <c r="O9" s="14" t="s">
        <v>181</v>
      </c>
      <c r="P9" s="10"/>
      <c r="Q9" s="10" t="s">
        <v>126</v>
      </c>
      <c r="R9" s="10"/>
      <c r="S9" s="14" t="s">
        <v>182</v>
      </c>
      <c r="T9" s="10"/>
      <c r="U9" s="10"/>
      <c r="V9" s="10"/>
      <c r="W9" s="10" t="s">
        <v>97</v>
      </c>
      <c r="X9" s="10" t="s">
        <v>98</v>
      </c>
      <c r="Y9" s="10" t="s">
        <v>98</v>
      </c>
      <c r="Z9" s="10" t="s">
        <v>99</v>
      </c>
      <c r="AA9" s="10" t="s">
        <v>100</v>
      </c>
      <c r="AB9" s="10" t="s">
        <v>87</v>
      </c>
      <c r="AC9" s="10"/>
      <c r="AD9" s="10" t="s">
        <v>165</v>
      </c>
      <c r="AE9" s="10" t="s">
        <v>183</v>
      </c>
      <c r="AF9" s="15"/>
      <c r="AG9" s="10"/>
      <c r="AH9" s="10"/>
      <c r="AI9" s="10"/>
      <c r="AJ9" s="10"/>
      <c r="AK9" s="10" t="s">
        <v>102</v>
      </c>
      <c r="AL9" s="10" t="s">
        <v>184</v>
      </c>
      <c r="AM9" s="10"/>
      <c r="AN9" s="10"/>
      <c r="AO9" s="13" t="b">
        <v>0</v>
      </c>
      <c r="AP9" s="10" t="s">
        <v>104</v>
      </c>
      <c r="AQ9" s="10">
        <f ca="1">IFERROR(__xludf.DUMMYFUNCTION("""COMPUTED_VALUE"""),4260576)</f>
        <v>4260576</v>
      </c>
      <c r="AR9" s="16">
        <v>5009</v>
      </c>
      <c r="AS9" s="16">
        <v>3136</v>
      </c>
      <c r="AT9" s="16">
        <v>67729.75</v>
      </c>
      <c r="AU9" s="16">
        <v>17.95</v>
      </c>
      <c r="AV9" s="16">
        <v>11.15</v>
      </c>
      <c r="AW9" s="10" t="s">
        <v>105</v>
      </c>
      <c r="AX9" s="17">
        <v>818</v>
      </c>
      <c r="AY9" s="18">
        <v>21.597496811224488</v>
      </c>
      <c r="AZ9" s="10" t="s">
        <v>185</v>
      </c>
      <c r="BA9" s="20" t="b">
        <v>0</v>
      </c>
      <c r="BB9" s="10"/>
      <c r="BC9" s="17">
        <v>5009</v>
      </c>
      <c r="BD9" s="17">
        <v>3136</v>
      </c>
      <c r="BE9" s="17">
        <v>67729.75</v>
      </c>
      <c r="BF9" s="17">
        <v>11.15</v>
      </c>
      <c r="BG9" s="15">
        <f ca="1">IFERROR(__xludf.DUMMYFUNCTION("""COMPUTED_VALUE"""),45782.2916666666)</f>
        <v>45782.291666666599</v>
      </c>
      <c r="BH9" s="17" t="s">
        <v>105</v>
      </c>
      <c r="BI9" s="17"/>
      <c r="BJ9" s="15"/>
      <c r="BK9" s="15"/>
      <c r="BL9" s="13" t="b">
        <v>0</v>
      </c>
      <c r="BM9" s="10"/>
      <c r="BN9" s="10" t="s">
        <v>137</v>
      </c>
      <c r="BO9" s="11">
        <v>45779.47152777778</v>
      </c>
      <c r="BP9" s="11">
        <v>45780.661192129628</v>
      </c>
      <c r="BQ9" s="11">
        <v>45780.398125</v>
      </c>
      <c r="BR9" s="11">
        <v>45781.623078703706</v>
      </c>
      <c r="BS9" s="10" t="s">
        <v>137</v>
      </c>
      <c r="BT9" s="10"/>
      <c r="BU9" s="10"/>
      <c r="BV9" s="10"/>
      <c r="BW9" s="10"/>
      <c r="BX9" s="10"/>
      <c r="BY9" s="10"/>
      <c r="BZ9" s="10"/>
      <c r="CA9" s="19" t="s">
        <v>186</v>
      </c>
      <c r="CB9" s="10"/>
      <c r="CC9" s="10"/>
      <c r="CD9" s="19" t="s">
        <v>187</v>
      </c>
      <c r="CE9" s="10"/>
      <c r="CF9" s="10"/>
      <c r="CG9" s="10"/>
      <c r="CH9" s="10"/>
      <c r="CI9" s="10"/>
    </row>
    <row r="10" spans="1:87" x14ac:dyDescent="0.3">
      <c r="A10" s="9" t="s">
        <v>188</v>
      </c>
      <c r="B10" s="10" t="s">
        <v>189</v>
      </c>
      <c r="C10" s="11">
        <v>45816.291666666664</v>
      </c>
      <c r="D10" s="12">
        <v>0.20833333333333334</v>
      </c>
      <c r="E10" s="11">
        <v>45816.5</v>
      </c>
      <c r="F10" s="10" t="s">
        <v>87</v>
      </c>
      <c r="G10" s="13" t="b">
        <v>0</v>
      </c>
      <c r="H10" s="10" t="s">
        <v>88</v>
      </c>
      <c r="I10" s="10" t="s">
        <v>89</v>
      </c>
      <c r="J10" s="13" t="b">
        <v>0</v>
      </c>
      <c r="K10" s="13" t="b">
        <v>1</v>
      </c>
      <c r="L10" s="10" t="s">
        <v>124</v>
      </c>
      <c r="M10" s="10" t="s">
        <v>91</v>
      </c>
      <c r="N10" s="10" t="s">
        <v>92</v>
      </c>
      <c r="O10" s="19" t="s">
        <v>190</v>
      </c>
      <c r="P10" s="10"/>
      <c r="Q10" s="10" t="s">
        <v>126</v>
      </c>
      <c r="R10" s="19" t="s">
        <v>191</v>
      </c>
      <c r="S10" s="19" t="s">
        <v>192</v>
      </c>
      <c r="T10" s="10"/>
      <c r="U10" s="10"/>
      <c r="V10" s="10"/>
      <c r="W10" s="10" t="s">
        <v>97</v>
      </c>
      <c r="X10" s="10" t="s">
        <v>98</v>
      </c>
      <c r="Y10" s="10" t="s">
        <v>98</v>
      </c>
      <c r="Z10" s="10" t="s">
        <v>99</v>
      </c>
      <c r="AA10" s="10" t="s">
        <v>100</v>
      </c>
      <c r="AB10" s="10" t="s">
        <v>87</v>
      </c>
      <c r="AC10" s="10"/>
      <c r="AD10" s="10" t="s">
        <v>165</v>
      </c>
      <c r="AE10" s="10" t="s">
        <v>193</v>
      </c>
      <c r="AF10" s="15"/>
      <c r="AG10" s="10"/>
      <c r="AH10" s="10"/>
      <c r="AI10" s="10"/>
      <c r="AJ10" s="10" t="s">
        <v>194</v>
      </c>
      <c r="AK10" s="10" t="s">
        <v>102</v>
      </c>
      <c r="AL10" s="10" t="s">
        <v>195</v>
      </c>
      <c r="AM10" s="10"/>
      <c r="AN10" s="10"/>
      <c r="AO10" s="13" t="b">
        <v>0</v>
      </c>
      <c r="AP10" s="10" t="s">
        <v>104</v>
      </c>
      <c r="AQ10" s="10">
        <f ca="1">IFERROR(__xludf.DUMMYFUNCTION("""COMPUTED_VALUE"""),4340224)</f>
        <v>4340224</v>
      </c>
      <c r="AR10" s="17">
        <v>6737</v>
      </c>
      <c r="AS10" s="17">
        <v>4753</v>
      </c>
      <c r="AT10" s="17">
        <v>98107</v>
      </c>
      <c r="AU10" s="17">
        <v>11.2</v>
      </c>
      <c r="AV10" s="17">
        <v>3</v>
      </c>
      <c r="AW10" s="10" t="s">
        <v>105</v>
      </c>
      <c r="AX10" s="17">
        <v>819</v>
      </c>
      <c r="AY10" s="18">
        <v>20.641068798653482</v>
      </c>
      <c r="AZ10" s="10" t="s">
        <v>196</v>
      </c>
      <c r="BA10" s="20" t="b">
        <v>0</v>
      </c>
      <c r="BB10" s="10"/>
      <c r="BC10" s="17">
        <v>6737</v>
      </c>
      <c r="BD10" s="17">
        <v>4753</v>
      </c>
      <c r="BE10" s="17">
        <v>98107</v>
      </c>
      <c r="BF10" s="17">
        <v>3</v>
      </c>
      <c r="BG10" s="15">
        <f ca="1">IFERROR(__xludf.DUMMYFUNCTION("""COMPUTED_VALUE"""),45816.2916666666)</f>
        <v>45816.291666666599</v>
      </c>
      <c r="BH10" s="17" t="s">
        <v>105</v>
      </c>
      <c r="BI10" s="17"/>
      <c r="BJ10" s="15"/>
      <c r="BK10" s="15"/>
      <c r="BL10" s="13" t="b">
        <v>0</v>
      </c>
      <c r="BM10" s="10"/>
      <c r="BN10" s="10" t="s">
        <v>197</v>
      </c>
      <c r="BO10" s="11">
        <v>45779.48333333333</v>
      </c>
      <c r="BP10" s="11">
        <v>45810.486747685187</v>
      </c>
      <c r="BQ10" s="15">
        <v>45810.766909722224</v>
      </c>
      <c r="BR10" s="15">
        <v>45815.41988425926</v>
      </c>
      <c r="BS10" s="10" t="s">
        <v>197</v>
      </c>
      <c r="BT10" s="10"/>
      <c r="BU10" s="10"/>
      <c r="BV10" s="10"/>
      <c r="BW10" s="10"/>
      <c r="BX10" s="10"/>
      <c r="BY10" s="23"/>
      <c r="BZ10" s="23"/>
      <c r="CA10" s="19" t="s">
        <v>198</v>
      </c>
      <c r="CB10" s="23"/>
      <c r="CC10" s="23"/>
      <c r="CD10" s="19" t="s">
        <v>199</v>
      </c>
      <c r="CE10" s="23"/>
      <c r="CF10" s="23"/>
      <c r="CG10" s="23"/>
      <c r="CH10" s="23"/>
      <c r="CI10" s="23"/>
    </row>
    <row r="11" spans="1:87" x14ac:dyDescent="0.3">
      <c r="A11" s="9" t="s">
        <v>200</v>
      </c>
      <c r="B11" s="10" t="s">
        <v>201</v>
      </c>
      <c r="C11" s="11">
        <v>45788.291666666664</v>
      </c>
      <c r="D11" s="12">
        <v>0.16666666666666666</v>
      </c>
      <c r="E11" s="11">
        <v>45788.458333333336</v>
      </c>
      <c r="F11" s="10" t="s">
        <v>87</v>
      </c>
      <c r="G11" s="13" t="b">
        <v>0</v>
      </c>
      <c r="H11" s="10" t="s">
        <v>88</v>
      </c>
      <c r="I11" s="10" t="s">
        <v>89</v>
      </c>
      <c r="J11" s="13" t="b">
        <v>0</v>
      </c>
      <c r="K11" s="13" t="b">
        <v>1</v>
      </c>
      <c r="L11" s="10" t="s">
        <v>124</v>
      </c>
      <c r="M11" s="10" t="s">
        <v>91</v>
      </c>
      <c r="N11" s="10" t="s">
        <v>92</v>
      </c>
      <c r="O11" s="14" t="s">
        <v>202</v>
      </c>
      <c r="P11" s="10"/>
      <c r="Q11" s="10" t="s">
        <v>126</v>
      </c>
      <c r="R11" s="10"/>
      <c r="S11" s="14" t="s">
        <v>203</v>
      </c>
      <c r="T11" s="10"/>
      <c r="U11" s="10"/>
      <c r="V11" s="10"/>
      <c r="W11" s="10" t="s">
        <v>97</v>
      </c>
      <c r="X11" s="10" t="s">
        <v>98</v>
      </c>
      <c r="Y11" s="10" t="s">
        <v>98</v>
      </c>
      <c r="Z11" s="10" t="s">
        <v>99</v>
      </c>
      <c r="AA11" s="10" t="s">
        <v>100</v>
      </c>
      <c r="AB11" s="10" t="s">
        <v>87</v>
      </c>
      <c r="AC11" s="10"/>
      <c r="AD11" s="10" t="s">
        <v>165</v>
      </c>
      <c r="AE11" s="10" t="s">
        <v>204</v>
      </c>
      <c r="AF11" s="15"/>
      <c r="AG11" s="10"/>
      <c r="AH11" s="10"/>
      <c r="AI11" s="10"/>
      <c r="AJ11" s="10"/>
      <c r="AK11" s="10" t="s">
        <v>102</v>
      </c>
      <c r="AL11" s="10" t="s">
        <v>205</v>
      </c>
      <c r="AM11" s="10"/>
      <c r="AN11" s="10"/>
      <c r="AO11" s="13" t="b">
        <v>0</v>
      </c>
      <c r="AP11" s="10" t="s">
        <v>104</v>
      </c>
      <c r="AQ11" s="10">
        <f ca="1">IFERROR(__xludf.DUMMYFUNCTION("""COMPUTED_VALUE"""),4275198)</f>
        <v>4275198</v>
      </c>
      <c r="AR11" s="16">
        <v>6884</v>
      </c>
      <c r="AS11" s="16">
        <v>4675</v>
      </c>
      <c r="AT11" s="16">
        <v>103055.25</v>
      </c>
      <c r="AU11" s="16">
        <v>15.8</v>
      </c>
      <c r="AV11" s="16">
        <v>3.1</v>
      </c>
      <c r="AW11" s="10" t="s">
        <v>105</v>
      </c>
      <c r="AX11" s="17">
        <v>1070</v>
      </c>
      <c r="AY11" s="18">
        <v>22.043903743315507</v>
      </c>
      <c r="AZ11" s="10" t="s">
        <v>185</v>
      </c>
      <c r="BA11" s="20" t="b">
        <v>0</v>
      </c>
      <c r="BB11" s="10"/>
      <c r="BC11" s="17">
        <v>6884</v>
      </c>
      <c r="BD11" s="17">
        <v>4675</v>
      </c>
      <c r="BE11" s="17">
        <v>103055.25</v>
      </c>
      <c r="BF11" s="17">
        <v>3.1</v>
      </c>
      <c r="BG11" s="15">
        <f ca="1">IFERROR(__xludf.DUMMYFUNCTION("""COMPUTED_VALUE"""),45788.2916666666)</f>
        <v>45788.291666666599</v>
      </c>
      <c r="BH11" s="17" t="s">
        <v>105</v>
      </c>
      <c r="BI11" s="17"/>
      <c r="BJ11" s="15"/>
      <c r="BK11" s="15"/>
      <c r="BL11" s="13" t="b">
        <v>0</v>
      </c>
      <c r="BM11" s="10"/>
      <c r="BN11" s="10" t="s">
        <v>118</v>
      </c>
      <c r="BO11" s="11">
        <v>45780.734027777777</v>
      </c>
      <c r="BP11" s="11">
        <v>45787.011701388888</v>
      </c>
      <c r="BQ11" s="11">
        <v>45786.659502314818</v>
      </c>
      <c r="BR11" s="11">
        <v>45787.474652777775</v>
      </c>
      <c r="BS11" s="10" t="s">
        <v>118</v>
      </c>
      <c r="BT11" s="10"/>
      <c r="BU11" s="10"/>
      <c r="BV11" s="10"/>
      <c r="BW11" s="10"/>
      <c r="BX11" s="10"/>
      <c r="BY11" s="10"/>
      <c r="BZ11" s="10"/>
      <c r="CA11" s="19" t="s">
        <v>206</v>
      </c>
      <c r="CB11" s="10"/>
      <c r="CC11" s="10"/>
      <c r="CD11" s="19" t="s">
        <v>207</v>
      </c>
      <c r="CE11" s="10"/>
      <c r="CF11" s="10"/>
      <c r="CG11" s="10"/>
      <c r="CH11" s="10"/>
      <c r="CI11" s="10"/>
    </row>
    <row r="12" spans="1:87" x14ac:dyDescent="0.3">
      <c r="A12" s="9" t="s">
        <v>208</v>
      </c>
      <c r="B12" s="10" t="s">
        <v>209</v>
      </c>
      <c r="C12" s="11">
        <v>45808.416666666664</v>
      </c>
      <c r="D12" s="12">
        <v>0.25</v>
      </c>
      <c r="E12" s="11">
        <v>45808.666666666664</v>
      </c>
      <c r="F12" s="10" t="s">
        <v>210</v>
      </c>
      <c r="G12" s="13" t="b">
        <v>0</v>
      </c>
      <c r="H12" s="10" t="s">
        <v>211</v>
      </c>
      <c r="I12" s="10" t="s">
        <v>212</v>
      </c>
      <c r="J12" s="13" t="b">
        <v>1</v>
      </c>
      <c r="K12" s="13" t="b">
        <v>0</v>
      </c>
      <c r="L12" s="10" t="s">
        <v>124</v>
      </c>
      <c r="M12" s="10" t="s">
        <v>91</v>
      </c>
      <c r="N12" s="10" t="s">
        <v>92</v>
      </c>
      <c r="O12" s="19" t="s">
        <v>213</v>
      </c>
      <c r="P12" s="10"/>
      <c r="Q12" s="10" t="s">
        <v>126</v>
      </c>
      <c r="R12" s="10"/>
      <c r="S12" s="19" t="s">
        <v>214</v>
      </c>
      <c r="T12" s="10"/>
      <c r="U12" s="10"/>
      <c r="V12" s="10"/>
      <c r="W12" s="10" t="s">
        <v>215</v>
      </c>
      <c r="X12" s="10" t="s">
        <v>216</v>
      </c>
      <c r="Y12" s="10" t="s">
        <v>216</v>
      </c>
      <c r="Z12" s="10" t="s">
        <v>99</v>
      </c>
      <c r="AA12" s="10" t="s">
        <v>131</v>
      </c>
      <c r="AB12" s="10" t="s">
        <v>217</v>
      </c>
      <c r="AC12" s="10" t="s">
        <v>218</v>
      </c>
      <c r="AD12" s="10" t="s">
        <v>165</v>
      </c>
      <c r="AE12" s="10" t="s">
        <v>219</v>
      </c>
      <c r="AF12" s="15"/>
      <c r="AG12" s="10"/>
      <c r="AH12" s="10"/>
      <c r="AI12" s="10"/>
      <c r="AJ12" s="10"/>
      <c r="AK12" s="10" t="s">
        <v>102</v>
      </c>
      <c r="AL12" s="10" t="s">
        <v>220</v>
      </c>
      <c r="AM12" s="10"/>
      <c r="AN12" s="10"/>
      <c r="AO12" s="13" t="b">
        <v>0</v>
      </c>
      <c r="AP12" s="22" t="s">
        <v>221</v>
      </c>
      <c r="AQ12" s="10">
        <f ca="1">IFERROR(__xludf.DUMMYFUNCTION("""COMPUTED_VALUE"""),4320531)</f>
        <v>4320531</v>
      </c>
      <c r="AR12" s="17">
        <v>12433</v>
      </c>
      <c r="AS12" s="17">
        <v>8863</v>
      </c>
      <c r="AT12" s="17">
        <v>123625.75</v>
      </c>
      <c r="AU12" s="17">
        <v>20.85</v>
      </c>
      <c r="AV12" s="17">
        <v>4.45</v>
      </c>
      <c r="AW12" s="10" t="s">
        <v>105</v>
      </c>
      <c r="AX12" s="17">
        <v>742</v>
      </c>
      <c r="AY12" s="18">
        <v>13.948521945165293</v>
      </c>
      <c r="AZ12" s="10" t="s">
        <v>106</v>
      </c>
      <c r="BA12" s="20" t="b">
        <v>0</v>
      </c>
      <c r="BB12" s="10"/>
      <c r="BC12" s="17">
        <v>12433</v>
      </c>
      <c r="BD12" s="17">
        <v>8863</v>
      </c>
      <c r="BE12" s="17">
        <v>123625.75</v>
      </c>
      <c r="BF12" s="17">
        <v>4.45</v>
      </c>
      <c r="BG12" s="11">
        <f ca="1">IFERROR(__xludf.DUMMYFUNCTION("""COMPUTED_VALUE"""),45808.4166666666)</f>
        <v>45808.416666666599</v>
      </c>
      <c r="BH12" s="17" t="s">
        <v>105</v>
      </c>
      <c r="BI12" s="17"/>
      <c r="BJ12" s="15"/>
      <c r="BK12" s="15"/>
      <c r="BL12" s="13" t="b">
        <v>0</v>
      </c>
      <c r="BM12" s="10" t="s">
        <v>222</v>
      </c>
      <c r="BN12" s="10" t="s">
        <v>223</v>
      </c>
      <c r="BO12" s="11">
        <v>45798.567361111112</v>
      </c>
      <c r="BP12" s="11">
        <v>45852.371481481481</v>
      </c>
      <c r="BQ12" s="15">
        <v>45805.694814814815</v>
      </c>
      <c r="BR12" s="15">
        <v>45807.418078703704</v>
      </c>
      <c r="BS12" s="10"/>
      <c r="BT12" s="10"/>
      <c r="BU12" s="10"/>
      <c r="BV12" s="10"/>
      <c r="BW12" s="10"/>
      <c r="BX12" s="10"/>
      <c r="BY12" s="23"/>
      <c r="BZ12" s="23"/>
      <c r="CA12" s="19" t="s">
        <v>224</v>
      </c>
      <c r="CB12" s="23"/>
      <c r="CC12" s="23"/>
      <c r="CD12" s="19" t="s">
        <v>225</v>
      </c>
      <c r="CE12" s="23"/>
      <c r="CF12" s="23"/>
      <c r="CG12" s="23"/>
      <c r="CH12" s="23"/>
      <c r="CI12" s="23"/>
    </row>
    <row r="13" spans="1:87" x14ac:dyDescent="0.3">
      <c r="A13" s="9" t="s">
        <v>226</v>
      </c>
      <c r="B13" s="10" t="s">
        <v>227</v>
      </c>
      <c r="C13" s="11">
        <v>45822.416666666664</v>
      </c>
      <c r="D13" s="12">
        <v>0.20833333333333334</v>
      </c>
      <c r="E13" s="11">
        <v>45822.625</v>
      </c>
      <c r="F13" s="10" t="s">
        <v>210</v>
      </c>
      <c r="G13" s="13" t="b">
        <v>0</v>
      </c>
      <c r="H13" s="10" t="s">
        <v>211</v>
      </c>
      <c r="I13" s="10" t="s">
        <v>212</v>
      </c>
      <c r="J13" s="13" t="b">
        <v>1</v>
      </c>
      <c r="K13" s="13" t="b">
        <v>0</v>
      </c>
      <c r="L13" s="10" t="s">
        <v>124</v>
      </c>
      <c r="M13" s="10" t="s">
        <v>91</v>
      </c>
      <c r="N13" s="10" t="s">
        <v>92</v>
      </c>
      <c r="O13" s="19" t="s">
        <v>228</v>
      </c>
      <c r="P13" s="10"/>
      <c r="Q13" s="10" t="s">
        <v>126</v>
      </c>
      <c r="R13" s="10"/>
      <c r="S13" s="19" t="s">
        <v>229</v>
      </c>
      <c r="T13" s="10"/>
      <c r="U13" s="10"/>
      <c r="V13" s="10"/>
      <c r="W13" s="10" t="s">
        <v>215</v>
      </c>
      <c r="X13" s="10" t="s">
        <v>216</v>
      </c>
      <c r="Y13" s="10" t="s">
        <v>216</v>
      </c>
      <c r="Z13" s="10" t="s">
        <v>99</v>
      </c>
      <c r="AA13" s="10" t="s">
        <v>131</v>
      </c>
      <c r="AB13" s="10" t="s">
        <v>217</v>
      </c>
      <c r="AC13" s="10" t="s">
        <v>218</v>
      </c>
      <c r="AD13" s="10" t="s">
        <v>165</v>
      </c>
      <c r="AE13" s="10" t="s">
        <v>230</v>
      </c>
      <c r="AF13" s="15"/>
      <c r="AG13" s="10"/>
      <c r="AH13" s="10"/>
      <c r="AI13" s="10"/>
      <c r="AJ13" s="10"/>
      <c r="AK13" s="10" t="s">
        <v>102</v>
      </c>
      <c r="AL13" s="10" t="s">
        <v>220</v>
      </c>
      <c r="AM13" s="10"/>
      <c r="AN13" s="10"/>
      <c r="AO13" s="13" t="b">
        <v>0</v>
      </c>
      <c r="AP13" s="10" t="s">
        <v>221</v>
      </c>
      <c r="AQ13" s="10">
        <f ca="1">IFERROR(__xludf.DUMMYFUNCTION("""COMPUTED_VALUE"""),4353006)</f>
        <v>4353006</v>
      </c>
      <c r="AR13" s="17">
        <v>7355</v>
      </c>
      <c r="AS13" s="17">
        <v>5825</v>
      </c>
      <c r="AT13" s="17">
        <v>72916.5</v>
      </c>
      <c r="AU13" s="17">
        <v>6.65</v>
      </c>
      <c r="AV13" s="17">
        <v>0.5</v>
      </c>
      <c r="AW13" s="10" t="s">
        <v>105</v>
      </c>
      <c r="AX13" s="17">
        <v>436</v>
      </c>
      <c r="AY13" s="18">
        <v>12.517854077253219</v>
      </c>
      <c r="AZ13" s="10" t="s">
        <v>106</v>
      </c>
      <c r="BA13" s="20" t="b">
        <v>0</v>
      </c>
      <c r="BB13" s="10"/>
      <c r="BC13" s="17">
        <v>7355</v>
      </c>
      <c r="BD13" s="17">
        <v>5825</v>
      </c>
      <c r="BE13" s="17">
        <v>72916.5</v>
      </c>
      <c r="BF13" s="17">
        <v>0.5</v>
      </c>
      <c r="BG13" s="11">
        <f ca="1">IFERROR(__xludf.DUMMYFUNCTION("""COMPUTED_VALUE"""),45822.4166666666)</f>
        <v>45822.416666666599</v>
      </c>
      <c r="BH13" s="17" t="s">
        <v>105</v>
      </c>
      <c r="BI13" s="17"/>
      <c r="BJ13" s="15"/>
      <c r="BK13" s="15"/>
      <c r="BL13" s="13"/>
      <c r="BM13" s="10" t="s">
        <v>222</v>
      </c>
      <c r="BN13" s="10" t="s">
        <v>223</v>
      </c>
      <c r="BO13" s="11">
        <v>45799.571527777778</v>
      </c>
      <c r="BP13" s="11">
        <v>45852.371678240743</v>
      </c>
      <c r="BQ13" s="15">
        <v>45818.761157407411</v>
      </c>
      <c r="BR13" s="15">
        <v>45821.423495370371</v>
      </c>
      <c r="BS13" s="10"/>
      <c r="BT13" s="10"/>
      <c r="BU13" s="10"/>
      <c r="BV13" s="10"/>
      <c r="BW13" s="10"/>
      <c r="BX13" s="10"/>
      <c r="BY13" s="23"/>
      <c r="BZ13" s="23"/>
      <c r="CA13" s="19" t="s">
        <v>231</v>
      </c>
      <c r="CB13" s="23"/>
      <c r="CC13" s="23"/>
      <c r="CD13" s="19" t="s">
        <v>232</v>
      </c>
      <c r="CE13" s="23"/>
      <c r="CF13" s="23"/>
      <c r="CG13" s="23"/>
      <c r="CH13" s="23"/>
      <c r="CI13" s="23"/>
    </row>
    <row r="14" spans="1:87" x14ac:dyDescent="0.3">
      <c r="A14" s="9" t="s">
        <v>233</v>
      </c>
      <c r="B14" s="10" t="s">
        <v>234</v>
      </c>
      <c r="C14" s="11">
        <v>45808.875</v>
      </c>
      <c r="D14" s="12">
        <v>8.3333333333333329E-2</v>
      </c>
      <c r="E14" s="11">
        <v>45808.958333333336</v>
      </c>
      <c r="F14" s="10" t="s">
        <v>122</v>
      </c>
      <c r="G14" s="13" t="b">
        <v>0</v>
      </c>
      <c r="H14" s="10" t="s">
        <v>123</v>
      </c>
      <c r="I14" s="10" t="s">
        <v>89</v>
      </c>
      <c r="J14" s="13" t="b">
        <v>0</v>
      </c>
      <c r="K14" s="13" t="b">
        <v>1</v>
      </c>
      <c r="L14" s="10" t="s">
        <v>124</v>
      </c>
      <c r="M14" s="10" t="s">
        <v>91</v>
      </c>
      <c r="N14" s="10"/>
      <c r="O14" s="19" t="s">
        <v>235</v>
      </c>
      <c r="P14" s="10" t="s">
        <v>236</v>
      </c>
      <c r="Q14" s="10" t="s">
        <v>126</v>
      </c>
      <c r="R14" s="10"/>
      <c r="S14" s="19" t="s">
        <v>237</v>
      </c>
      <c r="T14" s="10"/>
      <c r="U14" s="10"/>
      <c r="V14" s="10"/>
      <c r="W14" s="10" t="s">
        <v>129</v>
      </c>
      <c r="X14" s="10" t="s">
        <v>130</v>
      </c>
      <c r="Y14" s="10" t="s">
        <v>130</v>
      </c>
      <c r="Z14" s="10" t="s">
        <v>99</v>
      </c>
      <c r="AA14" s="10" t="s">
        <v>131</v>
      </c>
      <c r="AB14" s="10" t="s">
        <v>132</v>
      </c>
      <c r="AC14" s="10" t="s">
        <v>133</v>
      </c>
      <c r="AD14" s="10" t="s">
        <v>165</v>
      </c>
      <c r="AE14" s="10" t="s">
        <v>238</v>
      </c>
      <c r="AF14" s="15"/>
      <c r="AG14" s="10"/>
      <c r="AH14" s="10"/>
      <c r="AI14" s="10"/>
      <c r="AJ14" s="10"/>
      <c r="AK14" s="10" t="s">
        <v>102</v>
      </c>
      <c r="AL14" s="10"/>
      <c r="AM14" s="10"/>
      <c r="AN14" s="10"/>
      <c r="AO14" s="13" t="b">
        <v>1</v>
      </c>
      <c r="AP14" s="10" t="s">
        <v>135</v>
      </c>
      <c r="AQ14" s="10">
        <f ca="1">IFERROR(__xludf.DUMMYFUNCTION("""COMPUTED_VALUE"""),4317069)</f>
        <v>4317069</v>
      </c>
      <c r="AR14" s="21">
        <v>118594</v>
      </c>
      <c r="AS14" s="21">
        <v>84178</v>
      </c>
      <c r="AT14" s="21">
        <v>1801517.75</v>
      </c>
      <c r="AU14" s="21">
        <v>1124.9000000000001</v>
      </c>
      <c r="AV14" s="21">
        <v>373.55</v>
      </c>
      <c r="AW14" s="22" t="s">
        <v>105</v>
      </c>
      <c r="AX14" s="21">
        <v>21010</v>
      </c>
      <c r="AY14" s="18">
        <v>21.401289529330704</v>
      </c>
      <c r="AZ14" s="10" t="s">
        <v>239</v>
      </c>
      <c r="BA14" s="20" t="b">
        <v>0</v>
      </c>
      <c r="BB14" s="10"/>
      <c r="BC14" s="17">
        <v>118594</v>
      </c>
      <c r="BD14" s="17">
        <v>84178</v>
      </c>
      <c r="BE14" s="17">
        <v>1801517.75</v>
      </c>
      <c r="BF14" s="17">
        <v>373.55</v>
      </c>
      <c r="BG14" s="11">
        <f ca="1">IFERROR(__xludf.DUMMYFUNCTION("""COMPUTED_VALUE"""),45808.875)</f>
        <v>45808.875</v>
      </c>
      <c r="BH14" s="17" t="s">
        <v>105</v>
      </c>
      <c r="BI14" s="17"/>
      <c r="BJ14" s="15"/>
      <c r="BK14" s="15"/>
      <c r="BL14" s="13" t="b">
        <v>0</v>
      </c>
      <c r="BM14" s="10" t="s">
        <v>240</v>
      </c>
      <c r="BN14" s="10" t="s">
        <v>241</v>
      </c>
      <c r="BO14" s="11">
        <v>45799.727083333331</v>
      </c>
      <c r="BP14" s="11">
        <v>45808.58390046296</v>
      </c>
      <c r="BQ14" s="15">
        <v>45803.883993055555</v>
      </c>
      <c r="BR14" s="15">
        <v>45805.453356481485</v>
      </c>
      <c r="BS14" s="10"/>
      <c r="BT14" s="10"/>
      <c r="BU14" s="10"/>
      <c r="BV14" s="10"/>
      <c r="BW14" s="10"/>
      <c r="BX14" s="10"/>
      <c r="BY14" s="23"/>
      <c r="BZ14" s="23"/>
      <c r="CA14" s="19" t="s">
        <v>242</v>
      </c>
      <c r="CB14" s="23"/>
      <c r="CC14" s="23"/>
      <c r="CD14" s="19" t="s">
        <v>243</v>
      </c>
      <c r="CE14" s="23"/>
      <c r="CF14" s="23"/>
      <c r="CG14" s="23"/>
      <c r="CH14" s="23"/>
      <c r="CI14" s="23"/>
    </row>
    <row r="15" spans="1:87" x14ac:dyDescent="0.3">
      <c r="A15" s="9" t="s">
        <v>244</v>
      </c>
      <c r="B15" s="10" t="s">
        <v>245</v>
      </c>
      <c r="C15" s="11">
        <v>45829.416666666664</v>
      </c>
      <c r="D15" s="12">
        <v>0.20833333333333334</v>
      </c>
      <c r="E15" s="11">
        <v>45829.625</v>
      </c>
      <c r="F15" s="10" t="s">
        <v>210</v>
      </c>
      <c r="G15" s="13" t="b">
        <v>0</v>
      </c>
      <c r="H15" s="10" t="s">
        <v>211</v>
      </c>
      <c r="I15" s="10" t="s">
        <v>212</v>
      </c>
      <c r="J15" s="13" t="b">
        <v>1</v>
      </c>
      <c r="K15" s="13" t="b">
        <v>0</v>
      </c>
      <c r="L15" s="10" t="s">
        <v>124</v>
      </c>
      <c r="M15" s="10" t="s">
        <v>91</v>
      </c>
      <c r="N15" s="10" t="s">
        <v>92</v>
      </c>
      <c r="O15" s="19" t="s">
        <v>246</v>
      </c>
      <c r="P15" s="10"/>
      <c r="Q15" s="10" t="s">
        <v>126</v>
      </c>
      <c r="R15" s="10"/>
      <c r="S15" s="19" t="s">
        <v>247</v>
      </c>
      <c r="T15" s="10"/>
      <c r="U15" s="10"/>
      <c r="V15" s="10"/>
      <c r="W15" s="10" t="s">
        <v>215</v>
      </c>
      <c r="X15" s="10" t="s">
        <v>216</v>
      </c>
      <c r="Y15" s="10" t="s">
        <v>216</v>
      </c>
      <c r="Z15" s="10" t="s">
        <v>99</v>
      </c>
      <c r="AA15" s="10" t="s">
        <v>131</v>
      </c>
      <c r="AB15" s="10" t="s">
        <v>217</v>
      </c>
      <c r="AC15" s="10" t="s">
        <v>218</v>
      </c>
      <c r="AD15" s="10" t="s">
        <v>165</v>
      </c>
      <c r="AE15" s="10" t="s">
        <v>248</v>
      </c>
      <c r="AF15" s="15"/>
      <c r="AG15" s="10"/>
      <c r="AH15" s="10"/>
      <c r="AI15" s="10"/>
      <c r="AJ15" s="10"/>
      <c r="AK15" s="10" t="s">
        <v>102</v>
      </c>
      <c r="AL15" s="10" t="s">
        <v>220</v>
      </c>
      <c r="AM15" s="10"/>
      <c r="AN15" s="10"/>
      <c r="AO15" s="13" t="b">
        <v>0</v>
      </c>
      <c r="AP15" s="10" t="s">
        <v>221</v>
      </c>
      <c r="AQ15" s="10">
        <f ca="1">IFERROR(__xludf.DUMMYFUNCTION("""COMPUTED_VALUE"""),4367069)</f>
        <v>4367069</v>
      </c>
      <c r="AR15" s="17">
        <v>13349</v>
      </c>
      <c r="AS15" s="17">
        <v>9878</v>
      </c>
      <c r="AT15" s="17">
        <v>225922.75</v>
      </c>
      <c r="AU15" s="17">
        <v>23.6</v>
      </c>
      <c r="AV15" s="17">
        <v>4.7</v>
      </c>
      <c r="AW15" s="10" t="s">
        <v>105</v>
      </c>
      <c r="AX15" s="17">
        <v>1071</v>
      </c>
      <c r="AY15" s="18">
        <v>22.871304920024297</v>
      </c>
      <c r="AZ15" s="10" t="s">
        <v>106</v>
      </c>
      <c r="BA15" s="20" t="b">
        <v>0</v>
      </c>
      <c r="BB15" s="10"/>
      <c r="BC15" s="17">
        <v>13349</v>
      </c>
      <c r="BD15" s="17">
        <v>9878</v>
      </c>
      <c r="BE15" s="17">
        <v>225922.75</v>
      </c>
      <c r="BF15" s="17">
        <v>4.7</v>
      </c>
      <c r="BG15" s="11">
        <f ca="1">IFERROR(__xludf.DUMMYFUNCTION("""COMPUTED_VALUE"""),45829.4166666666)</f>
        <v>45829.416666666599</v>
      </c>
      <c r="BH15" s="17" t="s">
        <v>105</v>
      </c>
      <c r="BI15" s="17"/>
      <c r="BJ15" s="15"/>
      <c r="BK15" s="15"/>
      <c r="BL15" s="13" t="b">
        <v>0</v>
      </c>
      <c r="BM15" s="10" t="s">
        <v>222</v>
      </c>
      <c r="BN15" s="10" t="s">
        <v>223</v>
      </c>
      <c r="BO15" s="11">
        <v>45812.457638888889</v>
      </c>
      <c r="BP15" s="11">
        <v>45852.371874999997</v>
      </c>
      <c r="BQ15" s="15">
        <v>45823.527592592596</v>
      </c>
      <c r="BR15" s="15">
        <v>45827.590914351851</v>
      </c>
      <c r="BS15" s="10"/>
      <c r="BT15" s="10"/>
      <c r="BU15" s="10"/>
      <c r="BV15" s="10"/>
      <c r="BW15" s="10"/>
      <c r="BX15" s="10"/>
      <c r="BY15" s="23"/>
      <c r="BZ15" s="23"/>
      <c r="CA15" s="19" t="s">
        <v>249</v>
      </c>
      <c r="CB15" s="23"/>
      <c r="CC15" s="23"/>
      <c r="CD15" s="19" t="s">
        <v>250</v>
      </c>
      <c r="CE15" s="23"/>
      <c r="CF15" s="23"/>
      <c r="CG15" s="23"/>
      <c r="CH15" s="23"/>
      <c r="CI15" s="23"/>
    </row>
    <row r="16" spans="1:87" x14ac:dyDescent="0.3">
      <c r="A16" s="9" t="s">
        <v>251</v>
      </c>
      <c r="B16" s="10" t="s">
        <v>252</v>
      </c>
      <c r="C16" s="11">
        <v>45864.416666666664</v>
      </c>
      <c r="D16" s="12">
        <v>0.20833333333333334</v>
      </c>
      <c r="E16" s="11">
        <v>45864.625</v>
      </c>
      <c r="F16" s="10" t="s">
        <v>210</v>
      </c>
      <c r="G16" s="13" t="b">
        <v>0</v>
      </c>
      <c r="H16" s="10" t="s">
        <v>211</v>
      </c>
      <c r="I16" s="10" t="s">
        <v>212</v>
      </c>
      <c r="J16" s="13" t="b">
        <v>1</v>
      </c>
      <c r="K16" s="13" t="b">
        <v>0</v>
      </c>
      <c r="L16" s="10" t="s">
        <v>124</v>
      </c>
      <c r="M16" s="10" t="s">
        <v>91</v>
      </c>
      <c r="N16" s="10" t="s">
        <v>92</v>
      </c>
      <c r="O16" s="19" t="s">
        <v>253</v>
      </c>
      <c r="P16" s="10"/>
      <c r="Q16" s="10" t="s">
        <v>126</v>
      </c>
      <c r="R16" s="10"/>
      <c r="S16" s="19" t="s">
        <v>254</v>
      </c>
      <c r="T16" s="10"/>
      <c r="U16" s="10"/>
      <c r="V16" s="10"/>
      <c r="W16" s="10" t="s">
        <v>215</v>
      </c>
      <c r="X16" s="10" t="s">
        <v>216</v>
      </c>
      <c r="Y16" s="10" t="s">
        <v>216</v>
      </c>
      <c r="Z16" s="10" t="s">
        <v>99</v>
      </c>
      <c r="AA16" s="10" t="s">
        <v>131</v>
      </c>
      <c r="AB16" s="10" t="s">
        <v>217</v>
      </c>
      <c r="AC16" s="10" t="s">
        <v>218</v>
      </c>
      <c r="AD16" s="10" t="s">
        <v>165</v>
      </c>
      <c r="AE16" s="10" t="s">
        <v>255</v>
      </c>
      <c r="AF16" s="15"/>
      <c r="AG16" s="10"/>
      <c r="AH16" s="10"/>
      <c r="AI16" s="10"/>
      <c r="AJ16" s="10"/>
      <c r="AK16" s="10" t="s">
        <v>256</v>
      </c>
      <c r="AL16" s="10" t="s">
        <v>220</v>
      </c>
      <c r="AM16" s="10"/>
      <c r="AN16" s="10"/>
      <c r="AO16" s="13" t="b">
        <v>0</v>
      </c>
      <c r="AP16" s="10" t="s">
        <v>221</v>
      </c>
      <c r="AQ16" s="10">
        <f ca="1">IFERROR(__xludf.DUMMYFUNCTION("""COMPUTED_VALUE"""),4378011)</f>
        <v>4378011</v>
      </c>
      <c r="AR16" s="17"/>
      <c r="AS16" s="17"/>
      <c r="AT16" s="17"/>
      <c r="AU16" s="17"/>
      <c r="AV16" s="17"/>
      <c r="AW16" s="10"/>
      <c r="AX16" s="17"/>
      <c r="AY16" s="18" t="s">
        <v>257</v>
      </c>
      <c r="AZ16" s="10" t="s">
        <v>106</v>
      </c>
      <c r="BA16" s="20" t="b">
        <v>0</v>
      </c>
      <c r="BB16" s="10"/>
      <c r="BC16" s="17" t="s">
        <v>257</v>
      </c>
      <c r="BD16" s="17" t="s">
        <v>257</v>
      </c>
      <c r="BE16" s="17" t="s">
        <v>257</v>
      </c>
      <c r="BF16" s="17" t="s">
        <v>257</v>
      </c>
      <c r="BG16" s="11">
        <f ca="1">IFERROR(__xludf.DUMMYFUNCTION("""COMPUTED_VALUE"""),45864.4166666666)</f>
        <v>45864.416666666599</v>
      </c>
      <c r="BH16" s="17"/>
      <c r="BI16" s="17"/>
      <c r="BJ16" s="15"/>
      <c r="BK16" s="15"/>
      <c r="BL16" s="13" t="b">
        <v>0</v>
      </c>
      <c r="BM16" s="10"/>
      <c r="BN16" s="10" t="s">
        <v>241</v>
      </c>
      <c r="BO16" s="11">
        <v>45812.458333333336</v>
      </c>
      <c r="BP16" s="11">
        <v>45852.372013888889</v>
      </c>
      <c r="BQ16" s="15">
        <v>45823.528124999997</v>
      </c>
      <c r="BR16" s="15">
        <v>45832.428229166668</v>
      </c>
      <c r="BS16" s="10"/>
      <c r="BT16" s="10"/>
      <c r="BU16" s="10"/>
      <c r="BV16" s="10"/>
      <c r="BW16" s="10"/>
      <c r="BX16" s="10"/>
      <c r="BY16" s="23"/>
      <c r="BZ16" s="23"/>
      <c r="CA16" s="19" t="s">
        <v>258</v>
      </c>
      <c r="CB16" s="23"/>
      <c r="CC16" s="23"/>
      <c r="CD16" s="19" t="s">
        <v>259</v>
      </c>
      <c r="CE16" s="23"/>
      <c r="CF16" s="23"/>
      <c r="CG16" s="23"/>
      <c r="CH16" s="23"/>
      <c r="CI16" s="23"/>
    </row>
    <row r="17" spans="1:87" x14ac:dyDescent="0.3">
      <c r="A17" s="9" t="s">
        <v>260</v>
      </c>
      <c r="B17" s="10" t="s">
        <v>261</v>
      </c>
      <c r="C17" s="11">
        <v>45885.083333333336</v>
      </c>
      <c r="D17" s="12">
        <v>8.3333333333333329E-2</v>
      </c>
      <c r="E17" s="11">
        <v>45885.166666666664</v>
      </c>
      <c r="F17" s="10" t="s">
        <v>262</v>
      </c>
      <c r="G17" s="13" t="b">
        <v>0</v>
      </c>
      <c r="H17" s="10" t="s">
        <v>263</v>
      </c>
      <c r="I17" s="10" t="s">
        <v>264</v>
      </c>
      <c r="J17" s="13" t="b">
        <v>0</v>
      </c>
      <c r="K17" s="13" t="b">
        <v>1</v>
      </c>
      <c r="L17" s="10" t="s">
        <v>124</v>
      </c>
      <c r="M17" s="10" t="s">
        <v>91</v>
      </c>
      <c r="N17" s="10" t="s">
        <v>265</v>
      </c>
      <c r="O17" s="19" t="s">
        <v>266</v>
      </c>
      <c r="P17" s="10" t="s">
        <v>267</v>
      </c>
      <c r="Q17" s="10" t="s">
        <v>126</v>
      </c>
      <c r="R17" s="10"/>
      <c r="S17" s="19" t="s">
        <v>268</v>
      </c>
      <c r="T17" s="19" t="s">
        <v>269</v>
      </c>
      <c r="U17" s="10" t="s">
        <v>270</v>
      </c>
      <c r="V17" s="10" t="s">
        <v>271</v>
      </c>
      <c r="W17" s="10" t="s">
        <v>272</v>
      </c>
      <c r="X17" s="10" t="s">
        <v>130</v>
      </c>
      <c r="Y17" s="10" t="s">
        <v>130</v>
      </c>
      <c r="Z17" s="10" t="s">
        <v>99</v>
      </c>
      <c r="AA17" s="10" t="s">
        <v>131</v>
      </c>
      <c r="AB17" s="10" t="s">
        <v>273</v>
      </c>
      <c r="AC17" s="10" t="s">
        <v>274</v>
      </c>
      <c r="AD17" s="10" t="s">
        <v>275</v>
      </c>
      <c r="AE17" s="10" t="s">
        <v>276</v>
      </c>
      <c r="AF17" s="15"/>
      <c r="AG17" s="10"/>
      <c r="AH17" s="10"/>
      <c r="AI17" s="10"/>
      <c r="AJ17" s="10" t="s">
        <v>277</v>
      </c>
      <c r="AK17" s="10" t="s">
        <v>102</v>
      </c>
      <c r="AL17" s="10" t="s">
        <v>103</v>
      </c>
      <c r="AM17" s="10"/>
      <c r="AN17" s="10"/>
      <c r="AO17" s="13" t="b">
        <v>1</v>
      </c>
      <c r="AP17" s="10" t="s">
        <v>104</v>
      </c>
      <c r="AQ17" s="10">
        <f ca="1">IFERROR(__xludf.DUMMYFUNCTION("""COMPUTED_VALUE"""),4496794)</f>
        <v>4496794</v>
      </c>
      <c r="AR17" s="17">
        <v>85460</v>
      </c>
      <c r="AS17" s="17">
        <v>52135</v>
      </c>
      <c r="AT17" s="17">
        <v>3133952.75</v>
      </c>
      <c r="AU17" s="17">
        <v>3064.9</v>
      </c>
      <c r="AV17" s="17">
        <v>1348.4</v>
      </c>
      <c r="AW17" s="10" t="s">
        <v>105</v>
      </c>
      <c r="AX17" s="17">
        <v>26456</v>
      </c>
      <c r="AY17" s="18">
        <v>60.11226143665484</v>
      </c>
      <c r="AZ17" s="10" t="s">
        <v>148</v>
      </c>
      <c r="BA17" s="20" t="b">
        <v>0</v>
      </c>
      <c r="BB17" s="10"/>
      <c r="BC17" s="17">
        <v>85460</v>
      </c>
      <c r="BD17" s="17">
        <v>52135</v>
      </c>
      <c r="BE17" s="17">
        <v>3133952.75</v>
      </c>
      <c r="BF17" s="17">
        <v>1348.4</v>
      </c>
      <c r="BG17" s="11">
        <f ca="1">IFERROR(__xludf.DUMMYFUNCTION("""COMPUTED_VALUE"""),45885.0833333333)</f>
        <v>45885.083333333299</v>
      </c>
      <c r="BH17" s="17" t="s">
        <v>105</v>
      </c>
      <c r="BI17" s="17"/>
      <c r="BJ17" s="15"/>
      <c r="BK17" s="15"/>
      <c r="BL17" s="13" t="b">
        <v>1</v>
      </c>
      <c r="BM17" s="10"/>
      <c r="BN17" s="10" t="s">
        <v>278</v>
      </c>
      <c r="BO17" s="11">
        <v>45826.626388888886</v>
      </c>
      <c r="BP17" s="11">
        <v>45884.546793981484</v>
      </c>
      <c r="BQ17" s="15">
        <v>45882.606817129628</v>
      </c>
      <c r="BR17" s="15">
        <v>45882.613009259258</v>
      </c>
      <c r="BS17" s="10" t="s">
        <v>278</v>
      </c>
      <c r="BT17" s="10" t="s">
        <v>279</v>
      </c>
      <c r="BU17" s="10" t="s">
        <v>280</v>
      </c>
      <c r="BV17" s="10" t="s">
        <v>281</v>
      </c>
      <c r="BW17" s="10" t="s">
        <v>282</v>
      </c>
      <c r="BX17" s="19" t="s">
        <v>283</v>
      </c>
      <c r="BY17" s="23"/>
      <c r="BZ17" s="24" t="s">
        <v>284</v>
      </c>
      <c r="CA17" s="19" t="s">
        <v>285</v>
      </c>
      <c r="CB17" s="19" t="s">
        <v>286</v>
      </c>
      <c r="CC17" s="23"/>
      <c r="CD17" s="19" t="s">
        <v>287</v>
      </c>
      <c r="CE17" s="23"/>
      <c r="CF17" s="23"/>
      <c r="CG17" s="23"/>
      <c r="CH17" s="23"/>
      <c r="CI17" s="23"/>
    </row>
    <row r="18" spans="1:87" x14ac:dyDescent="0.3">
      <c r="A18" s="9" t="s">
        <v>288</v>
      </c>
      <c r="B18" s="10" t="s">
        <v>289</v>
      </c>
      <c r="C18" s="11">
        <v>45885.770833333336</v>
      </c>
      <c r="D18" s="12">
        <v>8.3333333333333329E-2</v>
      </c>
      <c r="E18" s="11">
        <v>45885.854166666664</v>
      </c>
      <c r="F18" s="10" t="s">
        <v>262</v>
      </c>
      <c r="G18" s="13" t="b">
        <v>1</v>
      </c>
      <c r="H18" s="10" t="s">
        <v>263</v>
      </c>
      <c r="I18" s="10" t="s">
        <v>264</v>
      </c>
      <c r="J18" s="13" t="b">
        <v>0</v>
      </c>
      <c r="K18" s="13" t="b">
        <v>1</v>
      </c>
      <c r="L18" s="10" t="s">
        <v>124</v>
      </c>
      <c r="M18" s="10" t="s">
        <v>91</v>
      </c>
      <c r="N18" s="10" t="s">
        <v>265</v>
      </c>
      <c r="O18" s="19" t="s">
        <v>290</v>
      </c>
      <c r="P18" s="10" t="s">
        <v>267</v>
      </c>
      <c r="Q18" s="10" t="s">
        <v>126</v>
      </c>
      <c r="R18" s="10"/>
      <c r="S18" s="19" t="s">
        <v>291</v>
      </c>
      <c r="T18" s="19" t="s">
        <v>269</v>
      </c>
      <c r="U18" s="10" t="s">
        <v>292</v>
      </c>
      <c r="V18" s="10" t="s">
        <v>293</v>
      </c>
      <c r="W18" s="10" t="s">
        <v>272</v>
      </c>
      <c r="X18" s="10" t="s">
        <v>130</v>
      </c>
      <c r="Y18" s="10" t="s">
        <v>130</v>
      </c>
      <c r="Z18" s="10" t="s">
        <v>99</v>
      </c>
      <c r="AA18" s="10" t="s">
        <v>131</v>
      </c>
      <c r="AB18" s="10" t="s">
        <v>273</v>
      </c>
      <c r="AC18" s="10" t="s">
        <v>274</v>
      </c>
      <c r="AD18" s="10" t="s">
        <v>294</v>
      </c>
      <c r="AE18" s="10" t="s">
        <v>295</v>
      </c>
      <c r="AF18" s="15"/>
      <c r="AG18" s="10"/>
      <c r="AH18" s="10"/>
      <c r="AI18" s="10"/>
      <c r="AJ18" s="10" t="s">
        <v>296</v>
      </c>
      <c r="AK18" s="10" t="s">
        <v>102</v>
      </c>
      <c r="AL18" s="10" t="s">
        <v>103</v>
      </c>
      <c r="AM18" s="10"/>
      <c r="AN18" s="10"/>
      <c r="AO18" s="13" t="b">
        <v>0</v>
      </c>
      <c r="AP18" s="10" t="s">
        <v>104</v>
      </c>
      <c r="AQ18" s="10">
        <f ca="1">IFERROR(__xludf.DUMMYFUNCTION("""COMPUTED_VALUE"""),4496978)</f>
        <v>4496978</v>
      </c>
      <c r="AR18" s="17">
        <v>183391</v>
      </c>
      <c r="AS18" s="17">
        <v>110376</v>
      </c>
      <c r="AT18" s="17">
        <v>3405093.25</v>
      </c>
      <c r="AU18" s="17">
        <v>7745.4</v>
      </c>
      <c r="AV18" s="17">
        <v>3498.45</v>
      </c>
      <c r="AW18" s="10" t="s">
        <v>297</v>
      </c>
      <c r="AX18" s="17">
        <v>36029</v>
      </c>
      <c r="AY18" s="18">
        <v>30.8499424693774</v>
      </c>
      <c r="AZ18" s="10" t="s">
        <v>148</v>
      </c>
      <c r="BA18" s="20" t="b">
        <v>0</v>
      </c>
      <c r="BB18" s="10"/>
      <c r="BC18" s="17">
        <v>183391</v>
      </c>
      <c r="BD18" s="17">
        <v>110376</v>
      </c>
      <c r="BE18" s="17">
        <v>3405093.25</v>
      </c>
      <c r="BF18" s="17">
        <v>3498.45</v>
      </c>
      <c r="BG18" s="11">
        <f ca="1">IFERROR(__xludf.DUMMYFUNCTION("""COMPUTED_VALUE"""),45885.75)</f>
        <v>45885.75</v>
      </c>
      <c r="BH18" s="17" t="s">
        <v>297</v>
      </c>
      <c r="BI18" s="17"/>
      <c r="BJ18" s="15"/>
      <c r="BK18" s="15"/>
      <c r="BL18" s="13" t="b">
        <v>1</v>
      </c>
      <c r="BM18" s="10"/>
      <c r="BN18" s="10" t="s">
        <v>118</v>
      </c>
      <c r="BO18" s="11">
        <v>45826.630555555559</v>
      </c>
      <c r="BP18" s="11">
        <v>45884.547071759262</v>
      </c>
      <c r="BQ18" s="15">
        <v>45882.793113425927</v>
      </c>
      <c r="BR18" s="15">
        <v>45882.910925925928</v>
      </c>
      <c r="BS18" s="10" t="s">
        <v>118</v>
      </c>
      <c r="BT18" s="10" t="s">
        <v>279</v>
      </c>
      <c r="BU18" s="10" t="s">
        <v>298</v>
      </c>
      <c r="BV18" s="10"/>
      <c r="BW18" s="10"/>
      <c r="BX18" s="10"/>
      <c r="BY18" s="23"/>
      <c r="BZ18" s="24" t="s">
        <v>299</v>
      </c>
      <c r="CA18" s="19" t="s">
        <v>300</v>
      </c>
      <c r="CB18" s="19" t="s">
        <v>301</v>
      </c>
      <c r="CC18" s="23"/>
      <c r="CD18" s="19" t="s">
        <v>302</v>
      </c>
      <c r="CE18" s="23"/>
      <c r="CF18" s="23"/>
      <c r="CG18" s="23"/>
      <c r="CH18" s="23"/>
      <c r="CI18" s="23"/>
    </row>
    <row r="19" spans="1:87" x14ac:dyDescent="0.3">
      <c r="A19" s="9" t="s">
        <v>303</v>
      </c>
      <c r="B19" s="10" t="s">
        <v>304</v>
      </c>
      <c r="C19" s="11">
        <v>45885.875</v>
      </c>
      <c r="D19" s="12">
        <v>8.3333333333333329E-2</v>
      </c>
      <c r="E19" s="11">
        <v>45885.958333333336</v>
      </c>
      <c r="F19" s="10" t="s">
        <v>262</v>
      </c>
      <c r="G19" s="13" t="b">
        <v>0</v>
      </c>
      <c r="H19" s="10" t="s">
        <v>305</v>
      </c>
      <c r="I19" s="10" t="s">
        <v>264</v>
      </c>
      <c r="J19" s="13" t="b">
        <v>0</v>
      </c>
      <c r="K19" s="13" t="b">
        <v>1</v>
      </c>
      <c r="L19" s="10" t="s">
        <v>124</v>
      </c>
      <c r="M19" s="10" t="s">
        <v>91</v>
      </c>
      <c r="N19" s="10" t="s">
        <v>265</v>
      </c>
      <c r="O19" s="19" t="s">
        <v>306</v>
      </c>
      <c r="P19" s="10"/>
      <c r="Q19" s="10" t="s">
        <v>126</v>
      </c>
      <c r="R19" s="10"/>
      <c r="S19" s="19" t="s">
        <v>307</v>
      </c>
      <c r="T19" s="19" t="s">
        <v>269</v>
      </c>
      <c r="U19" s="10" t="s">
        <v>308</v>
      </c>
      <c r="V19" s="10" t="s">
        <v>309</v>
      </c>
      <c r="W19" s="10" t="s">
        <v>272</v>
      </c>
      <c r="X19" s="10" t="s">
        <v>130</v>
      </c>
      <c r="Y19" s="10" t="s">
        <v>130</v>
      </c>
      <c r="Z19" s="10" t="s">
        <v>99</v>
      </c>
      <c r="AA19" s="10" t="s">
        <v>131</v>
      </c>
      <c r="AB19" s="10" t="s">
        <v>273</v>
      </c>
      <c r="AC19" s="10" t="s">
        <v>274</v>
      </c>
      <c r="AD19" s="10" t="s">
        <v>310</v>
      </c>
      <c r="AE19" s="10" t="s">
        <v>311</v>
      </c>
      <c r="AF19" s="15"/>
      <c r="AG19" s="10"/>
      <c r="AH19" s="10"/>
      <c r="AI19" s="10"/>
      <c r="AJ19" s="10" t="s">
        <v>312</v>
      </c>
      <c r="AK19" s="10" t="s">
        <v>102</v>
      </c>
      <c r="AL19" s="10" t="s">
        <v>103</v>
      </c>
      <c r="AM19" s="10"/>
      <c r="AN19" s="10"/>
      <c r="AO19" s="13" t="b">
        <v>0</v>
      </c>
      <c r="AP19" s="10" t="s">
        <v>104</v>
      </c>
      <c r="AQ19" s="10">
        <f ca="1">IFERROR(__xludf.DUMMYFUNCTION("""COMPUTED_VALUE"""),4496991)</f>
        <v>4496991</v>
      </c>
      <c r="AR19" s="17">
        <v>83669</v>
      </c>
      <c r="AS19" s="17">
        <v>52683</v>
      </c>
      <c r="AT19" s="17">
        <v>894929.5</v>
      </c>
      <c r="AU19" s="17">
        <v>1842</v>
      </c>
      <c r="AV19" s="17">
        <v>827.15</v>
      </c>
      <c r="AW19" s="10" t="s">
        <v>105</v>
      </c>
      <c r="AX19" s="17">
        <v>11279</v>
      </c>
      <c r="AY19" s="18">
        <v>16.987064138336844</v>
      </c>
      <c r="AZ19" s="10" t="s">
        <v>148</v>
      </c>
      <c r="BA19" s="20" t="b">
        <v>0</v>
      </c>
      <c r="BB19" s="10"/>
      <c r="BC19" s="17">
        <v>83669</v>
      </c>
      <c r="BD19" s="17">
        <v>52683</v>
      </c>
      <c r="BE19" s="17">
        <v>894929.5</v>
      </c>
      <c r="BF19" s="17">
        <v>827.15</v>
      </c>
      <c r="BG19" s="11">
        <f ca="1">IFERROR(__xludf.DUMMYFUNCTION("""COMPUTED_VALUE"""),45885.875)</f>
        <v>45885.875</v>
      </c>
      <c r="BH19" s="17" t="s">
        <v>105</v>
      </c>
      <c r="BI19" s="17"/>
      <c r="BJ19" s="15"/>
      <c r="BK19" s="15"/>
      <c r="BL19" s="13" t="b">
        <v>1</v>
      </c>
      <c r="BM19" s="10"/>
      <c r="BN19" s="10" t="s">
        <v>118</v>
      </c>
      <c r="BO19" s="11">
        <v>45826.631944444445</v>
      </c>
      <c r="BP19" s="11">
        <v>45884.547407407408</v>
      </c>
      <c r="BQ19" s="15">
        <v>45882.793252314812</v>
      </c>
      <c r="BR19" s="15">
        <v>45882.911793981482</v>
      </c>
      <c r="BS19" s="10" t="s">
        <v>118</v>
      </c>
      <c r="BT19" s="10" t="s">
        <v>279</v>
      </c>
      <c r="BU19" s="10" t="s">
        <v>280</v>
      </c>
      <c r="BV19" s="10"/>
      <c r="BW19" s="10"/>
      <c r="BX19" s="10"/>
      <c r="BY19" s="23"/>
      <c r="BZ19" s="24" t="s">
        <v>299</v>
      </c>
      <c r="CA19" s="19" t="s">
        <v>313</v>
      </c>
      <c r="CB19" s="19" t="s">
        <v>314</v>
      </c>
      <c r="CC19" s="23"/>
      <c r="CD19" s="19" t="s">
        <v>315</v>
      </c>
      <c r="CE19" s="23"/>
      <c r="CF19" s="23"/>
      <c r="CG19" s="23"/>
      <c r="CH19" s="23"/>
      <c r="CI19" s="23"/>
    </row>
    <row r="20" spans="1:87" x14ac:dyDescent="0.3">
      <c r="A20" s="9" t="s">
        <v>316</v>
      </c>
      <c r="B20" s="10" t="s">
        <v>317</v>
      </c>
      <c r="C20" s="11">
        <v>45886.833333333336</v>
      </c>
      <c r="D20" s="12">
        <v>8.3333333333333329E-2</v>
      </c>
      <c r="E20" s="11">
        <v>45886.916666666664</v>
      </c>
      <c r="F20" s="10" t="s">
        <v>262</v>
      </c>
      <c r="G20" s="13" t="b">
        <v>0</v>
      </c>
      <c r="H20" s="10" t="s">
        <v>305</v>
      </c>
      <c r="I20" s="10" t="s">
        <v>264</v>
      </c>
      <c r="J20" s="13" t="b">
        <v>0</v>
      </c>
      <c r="K20" s="13" t="b">
        <v>1</v>
      </c>
      <c r="L20" s="10" t="s">
        <v>124</v>
      </c>
      <c r="M20" s="10" t="s">
        <v>91</v>
      </c>
      <c r="N20" s="10" t="s">
        <v>265</v>
      </c>
      <c r="O20" s="19" t="s">
        <v>318</v>
      </c>
      <c r="P20" s="10"/>
      <c r="Q20" s="10" t="s">
        <v>126</v>
      </c>
      <c r="R20" s="10"/>
      <c r="S20" s="19" t="s">
        <v>319</v>
      </c>
      <c r="T20" s="19" t="s">
        <v>269</v>
      </c>
      <c r="U20" s="10" t="s">
        <v>320</v>
      </c>
      <c r="V20" s="10" t="s">
        <v>321</v>
      </c>
      <c r="W20" s="10" t="s">
        <v>272</v>
      </c>
      <c r="X20" s="10" t="s">
        <v>130</v>
      </c>
      <c r="Y20" s="10" t="s">
        <v>130</v>
      </c>
      <c r="Z20" s="10" t="s">
        <v>99</v>
      </c>
      <c r="AA20" s="10" t="s">
        <v>131</v>
      </c>
      <c r="AB20" s="10" t="s">
        <v>273</v>
      </c>
      <c r="AC20" s="10" t="s">
        <v>274</v>
      </c>
      <c r="AD20" s="10" t="s">
        <v>322</v>
      </c>
      <c r="AE20" s="10" t="s">
        <v>323</v>
      </c>
      <c r="AF20" s="15"/>
      <c r="AG20" s="10"/>
      <c r="AH20" s="10"/>
      <c r="AI20" s="10"/>
      <c r="AJ20" s="10" t="s">
        <v>324</v>
      </c>
      <c r="AK20" s="10" t="s">
        <v>102</v>
      </c>
      <c r="AL20" s="10" t="s">
        <v>103</v>
      </c>
      <c r="AM20" s="10"/>
      <c r="AN20" s="10"/>
      <c r="AO20" s="13" t="b">
        <v>0</v>
      </c>
      <c r="AP20" s="10" t="s">
        <v>104</v>
      </c>
      <c r="AQ20" s="10">
        <f ca="1">IFERROR(__xludf.DUMMYFUNCTION("""COMPUTED_VALUE"""),4499322)</f>
        <v>4499322</v>
      </c>
      <c r="AR20" s="17">
        <v>60782</v>
      </c>
      <c r="AS20" s="17">
        <v>41962</v>
      </c>
      <c r="AT20" s="17">
        <v>392501</v>
      </c>
      <c r="AU20" s="17">
        <v>533.85</v>
      </c>
      <c r="AV20" s="17">
        <v>247.85</v>
      </c>
      <c r="AW20" s="10" t="s">
        <v>105</v>
      </c>
      <c r="AX20" s="17">
        <v>11349</v>
      </c>
      <c r="AY20" s="18">
        <v>9.3537247986273293</v>
      </c>
      <c r="AZ20" s="10"/>
      <c r="BA20" s="20" t="b">
        <v>0</v>
      </c>
      <c r="BB20" s="10"/>
      <c r="BC20" s="17">
        <v>60782</v>
      </c>
      <c r="BD20" s="17">
        <v>41962</v>
      </c>
      <c r="BE20" s="17">
        <v>392501</v>
      </c>
      <c r="BF20" s="17">
        <v>247.85</v>
      </c>
      <c r="BG20" s="11">
        <f ca="1">IFERROR(__xludf.DUMMYFUNCTION("""COMPUTED_VALUE"""),45886.8333333333)</f>
        <v>45886.833333333299</v>
      </c>
      <c r="BH20" s="17" t="s">
        <v>105</v>
      </c>
      <c r="BI20" s="17"/>
      <c r="BJ20" s="15"/>
      <c r="BK20" s="15"/>
      <c r="BL20" s="13" t="b">
        <v>1</v>
      </c>
      <c r="BM20" s="10"/>
      <c r="BN20" s="10" t="s">
        <v>197</v>
      </c>
      <c r="BO20" s="11">
        <v>45826.632638888892</v>
      </c>
      <c r="BP20" s="11">
        <v>45884.547743055555</v>
      </c>
      <c r="BQ20" s="15">
        <v>45883.815821759257</v>
      </c>
      <c r="BR20" s="15">
        <v>45883.851678240739</v>
      </c>
      <c r="BS20" s="10" t="s">
        <v>197</v>
      </c>
      <c r="BT20" s="10" t="s">
        <v>279</v>
      </c>
      <c r="BU20" s="10" t="s">
        <v>280</v>
      </c>
      <c r="BV20" s="10"/>
      <c r="BW20" s="10"/>
      <c r="BX20" s="10"/>
      <c r="BY20" s="23"/>
      <c r="BZ20" s="24" t="s">
        <v>299</v>
      </c>
      <c r="CA20" s="19" t="s">
        <v>325</v>
      </c>
      <c r="CB20" s="19" t="s">
        <v>326</v>
      </c>
      <c r="CC20" s="23"/>
      <c r="CD20" s="19" t="s">
        <v>327</v>
      </c>
      <c r="CE20" s="23"/>
      <c r="CF20" s="23"/>
      <c r="CG20" s="23"/>
      <c r="CH20" s="23"/>
      <c r="CI20" s="23"/>
    </row>
    <row r="21" spans="1:87" x14ac:dyDescent="0.3">
      <c r="A21" s="9" t="s">
        <v>328</v>
      </c>
      <c r="B21" s="10" t="s">
        <v>329</v>
      </c>
      <c r="C21" s="11">
        <v>45885.979166666664</v>
      </c>
      <c r="D21" s="12">
        <v>8.3333333333333329E-2</v>
      </c>
      <c r="E21" s="11">
        <v>45886.0625</v>
      </c>
      <c r="F21" s="10" t="s">
        <v>262</v>
      </c>
      <c r="G21" s="13" t="b">
        <v>1</v>
      </c>
      <c r="H21" s="10" t="s">
        <v>263</v>
      </c>
      <c r="I21" s="10" t="s">
        <v>264</v>
      </c>
      <c r="J21" s="13" t="b">
        <v>0</v>
      </c>
      <c r="K21" s="13" t="b">
        <v>1</v>
      </c>
      <c r="L21" s="10" t="s">
        <v>124</v>
      </c>
      <c r="M21" s="10" t="s">
        <v>91</v>
      </c>
      <c r="N21" s="10" t="s">
        <v>265</v>
      </c>
      <c r="O21" s="19" t="s">
        <v>330</v>
      </c>
      <c r="P21" s="10" t="s">
        <v>331</v>
      </c>
      <c r="Q21" s="10" t="s">
        <v>126</v>
      </c>
      <c r="R21" s="10"/>
      <c r="S21" s="19" t="s">
        <v>332</v>
      </c>
      <c r="T21" s="19" t="s">
        <v>269</v>
      </c>
      <c r="U21" s="10" t="s">
        <v>333</v>
      </c>
      <c r="V21" s="10" t="s">
        <v>334</v>
      </c>
      <c r="W21" s="10" t="s">
        <v>272</v>
      </c>
      <c r="X21" s="10" t="s">
        <v>130</v>
      </c>
      <c r="Y21" s="10" t="s">
        <v>130</v>
      </c>
      <c r="Z21" s="10" t="s">
        <v>99</v>
      </c>
      <c r="AA21" s="10" t="s">
        <v>131</v>
      </c>
      <c r="AB21" s="10" t="s">
        <v>273</v>
      </c>
      <c r="AC21" s="10" t="s">
        <v>274</v>
      </c>
      <c r="AD21" s="10" t="s">
        <v>335</v>
      </c>
      <c r="AE21" s="10" t="s">
        <v>336</v>
      </c>
      <c r="AF21" s="15"/>
      <c r="AG21" s="10"/>
      <c r="AH21" s="10"/>
      <c r="AI21" s="10"/>
      <c r="AJ21" s="10" t="s">
        <v>337</v>
      </c>
      <c r="AK21" s="10" t="s">
        <v>102</v>
      </c>
      <c r="AL21" s="10" t="s">
        <v>103</v>
      </c>
      <c r="AM21" s="10"/>
      <c r="AN21" s="10"/>
      <c r="AO21" s="13" t="b">
        <v>1</v>
      </c>
      <c r="AP21" s="10" t="s">
        <v>104</v>
      </c>
      <c r="AQ21" s="10">
        <f ca="1">IFERROR(__xludf.DUMMYFUNCTION("""COMPUTED_VALUE"""),4496981)</f>
        <v>4496981</v>
      </c>
      <c r="AR21" s="17">
        <v>136986</v>
      </c>
      <c r="AS21" s="17">
        <v>107517</v>
      </c>
      <c r="AT21" s="17">
        <v>1828423</v>
      </c>
      <c r="AU21" s="17">
        <v>3550.35</v>
      </c>
      <c r="AV21" s="17">
        <v>1564.8</v>
      </c>
      <c r="AW21" s="10" t="s">
        <v>297</v>
      </c>
      <c r="AX21" s="17">
        <v>38177</v>
      </c>
      <c r="AY21" s="18">
        <v>17.005896741910583</v>
      </c>
      <c r="AZ21" s="10" t="s">
        <v>136</v>
      </c>
      <c r="BA21" s="20" t="b">
        <v>0</v>
      </c>
      <c r="BB21" s="10"/>
      <c r="BC21" s="17">
        <v>136986</v>
      </c>
      <c r="BD21" s="17">
        <v>107517</v>
      </c>
      <c r="BE21" s="17">
        <v>1828423</v>
      </c>
      <c r="BF21" s="17">
        <v>1564.8</v>
      </c>
      <c r="BG21" s="11">
        <f ca="1">IFERROR(__xludf.DUMMYFUNCTION("""COMPUTED_VALUE"""),45885.9583333333)</f>
        <v>45885.958333333299</v>
      </c>
      <c r="BH21" s="17" t="s">
        <v>297</v>
      </c>
      <c r="BI21" s="17"/>
      <c r="BJ21" s="15"/>
      <c r="BK21" s="15"/>
      <c r="BL21" s="13" t="b">
        <v>0</v>
      </c>
      <c r="BM21" s="10"/>
      <c r="BN21" s="10" t="s">
        <v>278</v>
      </c>
      <c r="BO21" s="11">
        <v>45826.633333333331</v>
      </c>
      <c r="BP21" s="11">
        <v>45882.733865740738</v>
      </c>
      <c r="BQ21" s="15">
        <v>45882.752175925925</v>
      </c>
      <c r="BR21" s="15">
        <v>45882.91165509259</v>
      </c>
      <c r="BS21" s="10" t="s">
        <v>278</v>
      </c>
      <c r="BT21" s="10" t="s">
        <v>279</v>
      </c>
      <c r="BU21" s="10" t="s">
        <v>298</v>
      </c>
      <c r="BV21" s="10" t="s">
        <v>124</v>
      </c>
      <c r="BW21" s="10"/>
      <c r="BX21" s="19" t="s">
        <v>338</v>
      </c>
      <c r="BY21" s="23"/>
      <c r="BZ21" s="24" t="s">
        <v>284</v>
      </c>
      <c r="CA21" s="19" t="s">
        <v>339</v>
      </c>
      <c r="CB21" s="19" t="s">
        <v>340</v>
      </c>
      <c r="CC21" s="23"/>
      <c r="CD21" s="19" t="s">
        <v>341</v>
      </c>
      <c r="CE21" s="23"/>
      <c r="CF21" s="23"/>
      <c r="CG21" s="23"/>
      <c r="CH21" s="23"/>
      <c r="CI21" s="23"/>
    </row>
    <row r="22" spans="1:87" x14ac:dyDescent="0.3">
      <c r="A22" s="9" t="s">
        <v>342</v>
      </c>
      <c r="B22" s="10" t="s">
        <v>343</v>
      </c>
      <c r="C22" s="11">
        <v>45886.833333333336</v>
      </c>
      <c r="D22" s="12">
        <v>8.3333333333333329E-2</v>
      </c>
      <c r="E22" s="11">
        <v>45886.916666666664</v>
      </c>
      <c r="F22" s="10" t="s">
        <v>262</v>
      </c>
      <c r="G22" s="13" t="b">
        <v>1</v>
      </c>
      <c r="H22" s="10" t="s">
        <v>263</v>
      </c>
      <c r="I22" s="10" t="s">
        <v>264</v>
      </c>
      <c r="J22" s="13" t="b">
        <v>0</v>
      </c>
      <c r="K22" s="13" t="b">
        <v>1</v>
      </c>
      <c r="L22" s="10" t="s">
        <v>124</v>
      </c>
      <c r="M22" s="10" t="s">
        <v>91</v>
      </c>
      <c r="N22" s="10" t="s">
        <v>265</v>
      </c>
      <c r="O22" s="19" t="s">
        <v>344</v>
      </c>
      <c r="P22" s="10" t="s">
        <v>267</v>
      </c>
      <c r="Q22" s="10" t="s">
        <v>126</v>
      </c>
      <c r="R22" s="10"/>
      <c r="S22" s="19" t="s">
        <v>345</v>
      </c>
      <c r="T22" s="19" t="s">
        <v>269</v>
      </c>
      <c r="U22" s="10" t="s">
        <v>346</v>
      </c>
      <c r="V22" s="10" t="s">
        <v>347</v>
      </c>
      <c r="W22" s="10" t="s">
        <v>272</v>
      </c>
      <c r="X22" s="10" t="s">
        <v>130</v>
      </c>
      <c r="Y22" s="10" t="s">
        <v>130</v>
      </c>
      <c r="Z22" s="10" t="s">
        <v>99</v>
      </c>
      <c r="AA22" s="10" t="s">
        <v>131</v>
      </c>
      <c r="AB22" s="10" t="s">
        <v>273</v>
      </c>
      <c r="AC22" s="10" t="s">
        <v>274</v>
      </c>
      <c r="AD22" s="10" t="s">
        <v>348</v>
      </c>
      <c r="AE22" s="10" t="s">
        <v>349</v>
      </c>
      <c r="AF22" s="15"/>
      <c r="AG22" s="10"/>
      <c r="AH22" s="10"/>
      <c r="AI22" s="10"/>
      <c r="AJ22" s="10" t="s">
        <v>350</v>
      </c>
      <c r="AK22" s="10" t="s">
        <v>102</v>
      </c>
      <c r="AL22" s="10" t="s">
        <v>103</v>
      </c>
      <c r="AM22" s="10"/>
      <c r="AN22" s="10"/>
      <c r="AO22" s="13" t="b">
        <v>1</v>
      </c>
      <c r="AP22" s="10" t="s">
        <v>104</v>
      </c>
      <c r="AQ22" s="10">
        <f ca="1">IFERROR(__xludf.DUMMYFUNCTION("""COMPUTED_VALUE"""),4501545)</f>
        <v>4501545</v>
      </c>
      <c r="AR22" s="17">
        <v>368879</v>
      </c>
      <c r="AS22" s="17">
        <v>197551</v>
      </c>
      <c r="AT22" s="17">
        <v>8466750.5</v>
      </c>
      <c r="AU22" s="17">
        <v>17647.45</v>
      </c>
      <c r="AV22" s="17">
        <v>8800.35</v>
      </c>
      <c r="AW22" s="10" t="s">
        <v>297</v>
      </c>
      <c r="AX22" s="17">
        <v>81691</v>
      </c>
      <c r="AY22" s="18">
        <v>42.85855551224747</v>
      </c>
      <c r="AZ22" s="10"/>
      <c r="BA22" s="20" t="b">
        <v>0</v>
      </c>
      <c r="BB22" s="10"/>
      <c r="BC22" s="17">
        <v>368879</v>
      </c>
      <c r="BD22" s="17">
        <v>197551</v>
      </c>
      <c r="BE22" s="17">
        <v>8466750.5</v>
      </c>
      <c r="BF22" s="17">
        <v>8800.35</v>
      </c>
      <c r="BG22" s="11">
        <f ca="1">IFERROR(__xludf.DUMMYFUNCTION("""COMPUTED_VALUE"""),45886.8125)</f>
        <v>45886.8125</v>
      </c>
      <c r="BH22" s="17" t="s">
        <v>297</v>
      </c>
      <c r="BI22" s="17"/>
      <c r="BJ22" s="15"/>
      <c r="BK22" s="15"/>
      <c r="BL22" s="13" t="b">
        <v>1</v>
      </c>
      <c r="BM22" s="10"/>
      <c r="BN22" s="10" t="s">
        <v>351</v>
      </c>
      <c r="BO22" s="11">
        <v>45826.633333333331</v>
      </c>
      <c r="BP22" s="11">
        <v>45884.548148148147</v>
      </c>
      <c r="BQ22" s="15">
        <v>45883.815671296295</v>
      </c>
      <c r="BR22" s="15">
        <v>45884.654895833337</v>
      </c>
      <c r="BS22" s="10"/>
      <c r="BT22" s="10" t="s">
        <v>279</v>
      </c>
      <c r="BU22" s="10" t="s">
        <v>298</v>
      </c>
      <c r="BV22" s="10" t="s">
        <v>281</v>
      </c>
      <c r="BW22" s="10"/>
      <c r="BX22" s="19" t="s">
        <v>352</v>
      </c>
      <c r="BY22" s="23"/>
      <c r="BZ22" s="24" t="s">
        <v>284</v>
      </c>
      <c r="CA22" s="19" t="s">
        <v>353</v>
      </c>
      <c r="CB22" s="19" t="s">
        <v>354</v>
      </c>
      <c r="CC22" s="23"/>
      <c r="CD22" s="19" t="s">
        <v>355</v>
      </c>
      <c r="CE22" s="23"/>
      <c r="CF22" s="23"/>
      <c r="CG22" s="23"/>
      <c r="CH22" s="23"/>
      <c r="CI22" s="23"/>
    </row>
    <row r="23" spans="1:87" x14ac:dyDescent="0.3">
      <c r="A23" s="9" t="s">
        <v>356</v>
      </c>
      <c r="B23" s="10" t="s">
        <v>357</v>
      </c>
      <c r="C23" s="11">
        <v>45886.9375</v>
      </c>
      <c r="D23" s="12">
        <v>8.3333333333333329E-2</v>
      </c>
      <c r="E23" s="11">
        <v>45887.020833333336</v>
      </c>
      <c r="F23" s="10" t="s">
        <v>262</v>
      </c>
      <c r="G23" s="13" t="b">
        <v>1</v>
      </c>
      <c r="H23" s="10" t="s">
        <v>263</v>
      </c>
      <c r="I23" s="10" t="s">
        <v>264</v>
      </c>
      <c r="J23" s="13" t="b">
        <v>0</v>
      </c>
      <c r="K23" s="13" t="b">
        <v>1</v>
      </c>
      <c r="L23" s="10" t="s">
        <v>358</v>
      </c>
      <c r="M23" s="10" t="s">
        <v>91</v>
      </c>
      <c r="N23" s="10" t="s">
        <v>265</v>
      </c>
      <c r="O23" s="19" t="s">
        <v>359</v>
      </c>
      <c r="P23" s="10" t="s">
        <v>267</v>
      </c>
      <c r="Q23" s="10" t="s">
        <v>126</v>
      </c>
      <c r="R23" s="10"/>
      <c r="S23" s="19" t="s">
        <v>360</v>
      </c>
      <c r="T23" s="19" t="s">
        <v>269</v>
      </c>
      <c r="U23" s="10" t="s">
        <v>361</v>
      </c>
      <c r="V23" s="10" t="s">
        <v>362</v>
      </c>
      <c r="W23" s="10" t="s">
        <v>272</v>
      </c>
      <c r="X23" s="10" t="s">
        <v>130</v>
      </c>
      <c r="Y23" s="10" t="s">
        <v>130</v>
      </c>
      <c r="Z23" s="10" t="s">
        <v>99</v>
      </c>
      <c r="AA23" s="10" t="s">
        <v>131</v>
      </c>
      <c r="AB23" s="10" t="s">
        <v>273</v>
      </c>
      <c r="AC23" s="10" t="s">
        <v>274</v>
      </c>
      <c r="AD23" s="10" t="s">
        <v>363</v>
      </c>
      <c r="AE23" s="10" t="s">
        <v>364</v>
      </c>
      <c r="AF23" s="15"/>
      <c r="AG23" s="10"/>
      <c r="AH23" s="10"/>
      <c r="AI23" s="10"/>
      <c r="AJ23" s="10" t="s">
        <v>365</v>
      </c>
      <c r="AK23" s="10" t="s">
        <v>102</v>
      </c>
      <c r="AL23" s="10" t="s">
        <v>103</v>
      </c>
      <c r="AM23" s="10"/>
      <c r="AN23" s="10"/>
      <c r="AO23" s="13" t="b">
        <v>1</v>
      </c>
      <c r="AP23" s="10" t="s">
        <v>104</v>
      </c>
      <c r="AQ23" s="10">
        <f ca="1">IFERROR(__xludf.DUMMYFUNCTION("""COMPUTED_VALUE"""),4496985)</f>
        <v>4496985</v>
      </c>
      <c r="AR23" s="17">
        <v>469105</v>
      </c>
      <c r="AS23" s="17">
        <v>281585</v>
      </c>
      <c r="AT23" s="17">
        <v>10737803.25</v>
      </c>
      <c r="AU23" s="17">
        <v>34046.65</v>
      </c>
      <c r="AV23" s="17">
        <v>17665.8</v>
      </c>
      <c r="AW23" s="10" t="s">
        <v>366</v>
      </c>
      <c r="AX23" s="17">
        <v>153398</v>
      </c>
      <c r="AY23" s="18">
        <v>38.133434842054797</v>
      </c>
      <c r="AZ23" s="10" t="s">
        <v>196</v>
      </c>
      <c r="BA23" s="20" t="b">
        <v>0</v>
      </c>
      <c r="BB23" s="10"/>
      <c r="BC23" s="17">
        <v>469105</v>
      </c>
      <c r="BD23" s="17">
        <v>281585</v>
      </c>
      <c r="BE23" s="17">
        <v>10737803.25</v>
      </c>
      <c r="BF23" s="17">
        <v>17665.8</v>
      </c>
      <c r="BG23" s="11">
        <f ca="1">IFERROR(__xludf.DUMMYFUNCTION("""COMPUTED_VALUE"""),45886.9166666666)</f>
        <v>45886.916666666599</v>
      </c>
      <c r="BH23" s="17" t="s">
        <v>366</v>
      </c>
      <c r="BI23" s="17"/>
      <c r="BJ23" s="15"/>
      <c r="BK23" s="15"/>
      <c r="BL23" s="13" t="b">
        <v>1</v>
      </c>
      <c r="BM23" s="10"/>
      <c r="BN23" s="10" t="s">
        <v>197</v>
      </c>
      <c r="BO23" s="11">
        <v>45826.634027777778</v>
      </c>
      <c r="BP23" s="11">
        <v>45877.57739583333</v>
      </c>
      <c r="BQ23" s="15">
        <v>45882.806956018518</v>
      </c>
      <c r="BR23" s="15">
        <v>45882.912002314813</v>
      </c>
      <c r="BS23" s="10" t="s">
        <v>197</v>
      </c>
      <c r="BT23" s="10" t="s">
        <v>99</v>
      </c>
      <c r="BU23" s="10" t="s">
        <v>298</v>
      </c>
      <c r="BV23" s="10" t="s">
        <v>281</v>
      </c>
      <c r="BW23" s="10"/>
      <c r="BX23" s="19" t="s">
        <v>367</v>
      </c>
      <c r="BY23" s="23"/>
      <c r="BZ23" s="24" t="s">
        <v>368</v>
      </c>
      <c r="CA23" s="19" t="s">
        <v>369</v>
      </c>
      <c r="CB23" s="19" t="s">
        <v>370</v>
      </c>
      <c r="CC23" s="23"/>
      <c r="CD23" s="19" t="s">
        <v>371</v>
      </c>
      <c r="CE23" s="23"/>
      <c r="CF23" s="23"/>
      <c r="CG23" s="23"/>
      <c r="CH23" s="23"/>
      <c r="CI23" s="23"/>
    </row>
    <row r="24" spans="1:87" x14ac:dyDescent="0.3">
      <c r="A24" s="9" t="s">
        <v>372</v>
      </c>
      <c r="B24" s="10" t="s">
        <v>373</v>
      </c>
      <c r="C24" s="11">
        <v>45892.875</v>
      </c>
      <c r="D24" s="12">
        <v>8.3333333333333329E-2</v>
      </c>
      <c r="E24" s="11">
        <v>45892.958333333336</v>
      </c>
      <c r="F24" s="10" t="s">
        <v>262</v>
      </c>
      <c r="G24" s="13" t="b">
        <v>0</v>
      </c>
      <c r="H24" s="10" t="s">
        <v>305</v>
      </c>
      <c r="I24" s="10" t="s">
        <v>264</v>
      </c>
      <c r="J24" s="13" t="b">
        <v>0</v>
      </c>
      <c r="K24" s="13" t="b">
        <v>1</v>
      </c>
      <c r="L24" s="10" t="s">
        <v>124</v>
      </c>
      <c r="M24" s="10" t="s">
        <v>91</v>
      </c>
      <c r="N24" s="10" t="s">
        <v>265</v>
      </c>
      <c r="O24" s="19" t="s">
        <v>374</v>
      </c>
      <c r="P24" s="10"/>
      <c r="Q24" s="10" t="s">
        <v>126</v>
      </c>
      <c r="R24" s="10"/>
      <c r="S24" s="19" t="s">
        <v>375</v>
      </c>
      <c r="T24" s="19" t="s">
        <v>269</v>
      </c>
      <c r="U24" s="10" t="s">
        <v>271</v>
      </c>
      <c r="V24" s="10" t="s">
        <v>333</v>
      </c>
      <c r="W24" s="10" t="s">
        <v>272</v>
      </c>
      <c r="X24" s="10" t="s">
        <v>130</v>
      </c>
      <c r="Y24" s="10" t="s">
        <v>130</v>
      </c>
      <c r="Z24" s="10" t="s">
        <v>99</v>
      </c>
      <c r="AA24" s="10" t="s">
        <v>131</v>
      </c>
      <c r="AB24" s="10" t="s">
        <v>273</v>
      </c>
      <c r="AC24" s="10" t="s">
        <v>274</v>
      </c>
      <c r="AD24" s="10" t="s">
        <v>376</v>
      </c>
      <c r="AE24" s="10" t="s">
        <v>377</v>
      </c>
      <c r="AF24" s="15"/>
      <c r="AG24" s="10"/>
      <c r="AH24" s="10"/>
      <c r="AI24" s="10"/>
      <c r="AJ24" s="10" t="s">
        <v>378</v>
      </c>
      <c r="AK24" s="10" t="s">
        <v>102</v>
      </c>
      <c r="AL24" s="10" t="s">
        <v>116</v>
      </c>
      <c r="AM24" s="10"/>
      <c r="AN24" s="10"/>
      <c r="AO24" s="13" t="b">
        <v>0</v>
      </c>
      <c r="AP24" s="10" t="s">
        <v>104</v>
      </c>
      <c r="AQ24" s="10">
        <f ca="1">IFERROR(__xludf.DUMMYFUNCTION("""COMPUTED_VALUE"""),4512821)</f>
        <v>4512821</v>
      </c>
      <c r="AR24" s="17">
        <v>55494</v>
      </c>
      <c r="AS24" s="17">
        <v>37491</v>
      </c>
      <c r="AT24" s="17">
        <v>472414.75</v>
      </c>
      <c r="AU24" s="17">
        <v>254.25</v>
      </c>
      <c r="AV24" s="17">
        <v>98.4</v>
      </c>
      <c r="AW24" s="10" t="s">
        <v>105</v>
      </c>
      <c r="AX24" s="17">
        <v>6086</v>
      </c>
      <c r="AY24" s="18">
        <v>12.600750846869916</v>
      </c>
      <c r="AZ24" s="10" t="s">
        <v>148</v>
      </c>
      <c r="BA24" s="20" t="b">
        <v>0</v>
      </c>
      <c r="BB24" s="10"/>
      <c r="BC24" s="17">
        <v>55494</v>
      </c>
      <c r="BD24" s="17">
        <v>37491</v>
      </c>
      <c r="BE24" s="17">
        <v>472414.75</v>
      </c>
      <c r="BF24" s="17">
        <v>98.4</v>
      </c>
      <c r="BG24" s="11">
        <f ca="1">IFERROR(__xludf.DUMMYFUNCTION("""COMPUTED_VALUE"""),45892.875)</f>
        <v>45892.875</v>
      </c>
      <c r="BH24" s="17" t="s">
        <v>105</v>
      </c>
      <c r="BI24" s="17"/>
      <c r="BJ24" s="15"/>
      <c r="BK24" s="15"/>
      <c r="BL24" s="13" t="b">
        <v>1</v>
      </c>
      <c r="BM24" s="10"/>
      <c r="BN24" s="10" t="s">
        <v>351</v>
      </c>
      <c r="BO24" s="11">
        <v>45826.638194444444</v>
      </c>
      <c r="BP24" s="11">
        <v>45884.692499999997</v>
      </c>
      <c r="BQ24" s="15">
        <v>45888.564502314817</v>
      </c>
      <c r="BR24" s="15">
        <v>45889.571736111109</v>
      </c>
      <c r="BS24" s="10"/>
      <c r="BT24" s="10" t="s">
        <v>279</v>
      </c>
      <c r="BU24" s="10" t="s">
        <v>280</v>
      </c>
      <c r="BV24" s="10"/>
      <c r="BW24" s="10"/>
      <c r="BX24" s="10"/>
      <c r="BY24" s="23"/>
      <c r="BZ24" s="24" t="s">
        <v>299</v>
      </c>
      <c r="CA24" s="19" t="s">
        <v>379</v>
      </c>
      <c r="CB24" s="19" t="s">
        <v>380</v>
      </c>
      <c r="CC24" s="23"/>
      <c r="CD24" s="19" t="s">
        <v>381</v>
      </c>
      <c r="CE24" s="23"/>
      <c r="CF24" s="23"/>
      <c r="CG24" s="23"/>
      <c r="CH24" s="23"/>
      <c r="CI24" s="23"/>
    </row>
    <row r="25" spans="1:87" x14ac:dyDescent="0.3">
      <c r="A25" s="9" t="s">
        <v>382</v>
      </c>
      <c r="B25" s="10" t="s">
        <v>383</v>
      </c>
      <c r="C25" s="11">
        <v>45892.875</v>
      </c>
      <c r="D25" s="12">
        <v>8.3333333333333329E-2</v>
      </c>
      <c r="E25" s="11">
        <v>45892.958333333336</v>
      </c>
      <c r="F25" s="10" t="s">
        <v>262</v>
      </c>
      <c r="G25" s="13" t="b">
        <v>1</v>
      </c>
      <c r="H25" s="10" t="s">
        <v>263</v>
      </c>
      <c r="I25" s="10" t="s">
        <v>264</v>
      </c>
      <c r="J25" s="13" t="b">
        <v>0</v>
      </c>
      <c r="K25" s="13" t="b">
        <v>1</v>
      </c>
      <c r="L25" s="10" t="s">
        <v>124</v>
      </c>
      <c r="M25" s="10" t="s">
        <v>91</v>
      </c>
      <c r="N25" s="10" t="s">
        <v>265</v>
      </c>
      <c r="O25" s="19" t="s">
        <v>384</v>
      </c>
      <c r="P25" s="10" t="s">
        <v>267</v>
      </c>
      <c r="Q25" s="10" t="s">
        <v>126</v>
      </c>
      <c r="R25" s="10"/>
      <c r="S25" s="19" t="s">
        <v>385</v>
      </c>
      <c r="T25" s="19" t="s">
        <v>269</v>
      </c>
      <c r="U25" s="10" t="s">
        <v>321</v>
      </c>
      <c r="V25" s="10" t="s">
        <v>292</v>
      </c>
      <c r="W25" s="10" t="s">
        <v>272</v>
      </c>
      <c r="X25" s="10" t="s">
        <v>130</v>
      </c>
      <c r="Y25" s="10" t="s">
        <v>130</v>
      </c>
      <c r="Z25" s="10" t="s">
        <v>99</v>
      </c>
      <c r="AA25" s="10" t="s">
        <v>131</v>
      </c>
      <c r="AB25" s="10" t="s">
        <v>273</v>
      </c>
      <c r="AC25" s="10" t="s">
        <v>274</v>
      </c>
      <c r="AD25" s="10" t="s">
        <v>386</v>
      </c>
      <c r="AE25" s="10" t="s">
        <v>387</v>
      </c>
      <c r="AF25" s="15"/>
      <c r="AG25" s="10"/>
      <c r="AH25" s="10"/>
      <c r="AI25" s="10"/>
      <c r="AJ25" s="10" t="s">
        <v>388</v>
      </c>
      <c r="AK25" s="10" t="s">
        <v>102</v>
      </c>
      <c r="AL25" s="10" t="s">
        <v>116</v>
      </c>
      <c r="AM25" s="10"/>
      <c r="AN25" s="10"/>
      <c r="AO25" s="13" t="b">
        <v>0</v>
      </c>
      <c r="AP25" s="10" t="s">
        <v>104</v>
      </c>
      <c r="AQ25" s="10">
        <f ca="1">IFERROR(__xludf.DUMMYFUNCTION("""COMPUTED_VALUE"""),4512822)</f>
        <v>4512822</v>
      </c>
      <c r="AR25" s="17">
        <v>148166</v>
      </c>
      <c r="AS25" s="17">
        <v>91221</v>
      </c>
      <c r="AT25" s="17">
        <v>2656825</v>
      </c>
      <c r="AU25" s="17">
        <v>1341.25</v>
      </c>
      <c r="AV25" s="17">
        <v>499.7</v>
      </c>
      <c r="AW25" s="10" t="s">
        <v>105</v>
      </c>
      <c r="AX25" s="17">
        <v>29945</v>
      </c>
      <c r="AY25" s="18">
        <v>29.125146621940125</v>
      </c>
      <c r="AZ25" s="10" t="s">
        <v>148</v>
      </c>
      <c r="BA25" s="20" t="b">
        <v>0</v>
      </c>
      <c r="BB25" s="10"/>
      <c r="BC25" s="17">
        <v>148166</v>
      </c>
      <c r="BD25" s="17">
        <v>91221</v>
      </c>
      <c r="BE25" s="17">
        <v>2656825</v>
      </c>
      <c r="BF25" s="17">
        <v>499.7</v>
      </c>
      <c r="BG25" s="11">
        <f ca="1">IFERROR(__xludf.DUMMYFUNCTION("""COMPUTED_VALUE"""),45892.8541666666)</f>
        <v>45892.854166666599</v>
      </c>
      <c r="BH25" s="17" t="s">
        <v>105</v>
      </c>
      <c r="BI25" s="17"/>
      <c r="BJ25" s="15"/>
      <c r="BK25" s="15"/>
      <c r="BL25" s="13" t="b">
        <v>1</v>
      </c>
      <c r="BM25" s="10"/>
      <c r="BN25" s="10" t="s">
        <v>197</v>
      </c>
      <c r="BO25" s="11">
        <v>45826.638888888891</v>
      </c>
      <c r="BP25" s="11">
        <v>45884.69332175926</v>
      </c>
      <c r="BQ25" s="15">
        <v>45888.564629629633</v>
      </c>
      <c r="BR25" s="15">
        <v>45889.571932870371</v>
      </c>
      <c r="BS25" s="10" t="s">
        <v>197</v>
      </c>
      <c r="BT25" s="10" t="s">
        <v>279</v>
      </c>
      <c r="BU25" s="10" t="s">
        <v>298</v>
      </c>
      <c r="BV25" s="10"/>
      <c r="BW25" s="10"/>
      <c r="BX25" s="10"/>
      <c r="BY25" s="23"/>
      <c r="BZ25" s="24" t="s">
        <v>299</v>
      </c>
      <c r="CA25" s="19" t="s">
        <v>389</v>
      </c>
      <c r="CB25" s="19" t="s">
        <v>390</v>
      </c>
      <c r="CC25" s="23"/>
      <c r="CD25" s="19" t="s">
        <v>391</v>
      </c>
      <c r="CE25" s="23"/>
      <c r="CF25" s="23"/>
      <c r="CG25" s="23"/>
      <c r="CH25" s="23"/>
      <c r="CI25" s="23"/>
    </row>
    <row r="26" spans="1:87" x14ac:dyDescent="0.3">
      <c r="A26" s="9" t="s">
        <v>392</v>
      </c>
      <c r="B26" s="10" t="s">
        <v>393</v>
      </c>
      <c r="C26" s="11">
        <v>45893.833333333336</v>
      </c>
      <c r="D26" s="12">
        <v>8.3333333333333329E-2</v>
      </c>
      <c r="E26" s="11">
        <v>45893.916666666664</v>
      </c>
      <c r="F26" s="10" t="s">
        <v>262</v>
      </c>
      <c r="G26" s="13" t="b">
        <v>1</v>
      </c>
      <c r="H26" s="10" t="s">
        <v>263</v>
      </c>
      <c r="I26" s="10" t="s">
        <v>264</v>
      </c>
      <c r="J26" s="13" t="b">
        <v>0</v>
      </c>
      <c r="K26" s="13" t="b">
        <v>1</v>
      </c>
      <c r="L26" s="10" t="s">
        <v>124</v>
      </c>
      <c r="M26" s="10" t="s">
        <v>91</v>
      </c>
      <c r="N26" s="10" t="s">
        <v>265</v>
      </c>
      <c r="O26" s="19" t="s">
        <v>394</v>
      </c>
      <c r="P26" s="10"/>
      <c r="Q26" s="10" t="s">
        <v>126</v>
      </c>
      <c r="R26" s="10"/>
      <c r="S26" s="19" t="s">
        <v>395</v>
      </c>
      <c r="T26" s="19" t="s">
        <v>269</v>
      </c>
      <c r="U26" s="10" t="s">
        <v>347</v>
      </c>
      <c r="V26" s="10" t="s">
        <v>320</v>
      </c>
      <c r="W26" s="10" t="s">
        <v>272</v>
      </c>
      <c r="X26" s="10" t="s">
        <v>130</v>
      </c>
      <c r="Y26" s="10" t="s">
        <v>130</v>
      </c>
      <c r="Z26" s="10" t="s">
        <v>99</v>
      </c>
      <c r="AA26" s="10" t="s">
        <v>131</v>
      </c>
      <c r="AB26" s="10" t="s">
        <v>273</v>
      </c>
      <c r="AC26" s="10" t="s">
        <v>274</v>
      </c>
      <c r="AD26" s="10" t="s">
        <v>396</v>
      </c>
      <c r="AE26" s="10" t="s">
        <v>397</v>
      </c>
      <c r="AF26" s="15"/>
      <c r="AG26" s="10"/>
      <c r="AH26" s="10"/>
      <c r="AI26" s="10"/>
      <c r="AJ26" s="10" t="s">
        <v>398</v>
      </c>
      <c r="AK26" s="10" t="s">
        <v>102</v>
      </c>
      <c r="AL26" s="10" t="s">
        <v>116</v>
      </c>
      <c r="AM26" s="10"/>
      <c r="AN26" s="10"/>
      <c r="AO26" s="13" t="b">
        <v>0</v>
      </c>
      <c r="AP26" s="10" t="s">
        <v>104</v>
      </c>
      <c r="AQ26" s="10">
        <f ca="1">IFERROR(__xludf.DUMMYFUNCTION("""COMPUTED_VALUE"""),4512849)</f>
        <v>4512849</v>
      </c>
      <c r="AR26" s="17">
        <v>166624</v>
      </c>
      <c r="AS26" s="17">
        <v>90833</v>
      </c>
      <c r="AT26" s="17">
        <v>2880416</v>
      </c>
      <c r="AU26" s="17">
        <v>893</v>
      </c>
      <c r="AV26" s="17">
        <v>342.4</v>
      </c>
      <c r="AW26" s="10" t="s">
        <v>105</v>
      </c>
      <c r="AX26" s="17">
        <v>28382</v>
      </c>
      <c r="AY26" s="18">
        <v>31.711118205938369</v>
      </c>
      <c r="AZ26" s="10" t="s">
        <v>148</v>
      </c>
      <c r="BA26" s="20" t="b">
        <v>0</v>
      </c>
      <c r="BB26" s="10"/>
      <c r="BC26" s="17">
        <v>166624</v>
      </c>
      <c r="BD26" s="17">
        <v>90833</v>
      </c>
      <c r="BE26" s="17">
        <v>2880416</v>
      </c>
      <c r="BF26" s="17">
        <v>342.4</v>
      </c>
      <c r="BG26" s="11">
        <f ca="1">IFERROR(__xludf.DUMMYFUNCTION("""COMPUTED_VALUE"""),45893.8125)</f>
        <v>45893.8125</v>
      </c>
      <c r="BH26" s="17" t="s">
        <v>105</v>
      </c>
      <c r="BI26" s="17"/>
      <c r="BJ26" s="15"/>
      <c r="BK26" s="15"/>
      <c r="BL26" s="13" t="b">
        <v>1</v>
      </c>
      <c r="BM26" s="10"/>
      <c r="BN26" s="10" t="s">
        <v>351</v>
      </c>
      <c r="BO26" s="11">
        <v>45826.638888888891</v>
      </c>
      <c r="BP26" s="11">
        <v>45884.696157407408</v>
      </c>
      <c r="BQ26" s="15">
        <v>45888.615254629629</v>
      </c>
      <c r="BR26" s="15">
        <v>45889.748124999998</v>
      </c>
      <c r="BS26" s="10"/>
      <c r="BT26" s="10" t="s">
        <v>279</v>
      </c>
      <c r="BU26" s="10" t="s">
        <v>298</v>
      </c>
      <c r="BV26" s="10"/>
      <c r="BW26" s="10"/>
      <c r="BX26" s="10"/>
      <c r="BY26" s="23"/>
      <c r="BZ26" s="24" t="s">
        <v>299</v>
      </c>
      <c r="CA26" s="19" t="s">
        <v>399</v>
      </c>
      <c r="CB26" s="19" t="s">
        <v>400</v>
      </c>
      <c r="CC26" s="23"/>
      <c r="CD26" s="19" t="s">
        <v>401</v>
      </c>
      <c r="CE26" s="23"/>
      <c r="CF26" s="23"/>
      <c r="CG26" s="23"/>
      <c r="CH26" s="23"/>
      <c r="CI26" s="23"/>
    </row>
    <row r="27" spans="1:87" x14ac:dyDescent="0.3">
      <c r="A27" s="9" t="s">
        <v>402</v>
      </c>
      <c r="B27" s="10" t="s">
        <v>403</v>
      </c>
      <c r="C27" s="11">
        <v>45893.833333333336</v>
      </c>
      <c r="D27" s="12">
        <v>8.3333333333333329E-2</v>
      </c>
      <c r="E27" s="11">
        <v>45893.916666666664</v>
      </c>
      <c r="F27" s="10" t="s">
        <v>262</v>
      </c>
      <c r="G27" s="13" t="b">
        <v>0</v>
      </c>
      <c r="H27" s="10" t="s">
        <v>305</v>
      </c>
      <c r="I27" s="10" t="s">
        <v>264</v>
      </c>
      <c r="J27" s="13" t="b">
        <v>0</v>
      </c>
      <c r="K27" s="13" t="b">
        <v>1</v>
      </c>
      <c r="L27" s="10" t="s">
        <v>124</v>
      </c>
      <c r="M27" s="10" t="s">
        <v>91</v>
      </c>
      <c r="N27" s="10" t="s">
        <v>265</v>
      </c>
      <c r="O27" s="19" t="s">
        <v>404</v>
      </c>
      <c r="P27" s="10" t="s">
        <v>405</v>
      </c>
      <c r="Q27" s="10" t="s">
        <v>126</v>
      </c>
      <c r="R27" s="10"/>
      <c r="S27" s="19" t="s">
        <v>406</v>
      </c>
      <c r="T27" s="19" t="s">
        <v>269</v>
      </c>
      <c r="U27" s="10" t="s">
        <v>407</v>
      </c>
      <c r="V27" s="10" t="s">
        <v>308</v>
      </c>
      <c r="W27" s="10" t="s">
        <v>272</v>
      </c>
      <c r="X27" s="10" t="s">
        <v>130</v>
      </c>
      <c r="Y27" s="10" t="s">
        <v>130</v>
      </c>
      <c r="Z27" s="10" t="s">
        <v>99</v>
      </c>
      <c r="AA27" s="10" t="s">
        <v>131</v>
      </c>
      <c r="AB27" s="10" t="s">
        <v>273</v>
      </c>
      <c r="AC27" s="10" t="s">
        <v>274</v>
      </c>
      <c r="AD27" s="10" t="s">
        <v>408</v>
      </c>
      <c r="AE27" s="10" t="s">
        <v>409</v>
      </c>
      <c r="AF27" s="15"/>
      <c r="AG27" s="10"/>
      <c r="AH27" s="10"/>
      <c r="AI27" s="10"/>
      <c r="AJ27" s="10" t="s">
        <v>410</v>
      </c>
      <c r="AK27" s="10" t="s">
        <v>102</v>
      </c>
      <c r="AL27" s="10" t="s">
        <v>116</v>
      </c>
      <c r="AM27" s="10"/>
      <c r="AN27" s="10"/>
      <c r="AO27" s="13" t="b">
        <v>0</v>
      </c>
      <c r="AP27" s="10" t="s">
        <v>104</v>
      </c>
      <c r="AQ27" s="10">
        <f ca="1">IFERROR(__xludf.DUMMYFUNCTION("""COMPUTED_VALUE"""),4512866)</f>
        <v>4512866</v>
      </c>
      <c r="AR27" s="17">
        <v>114160</v>
      </c>
      <c r="AS27" s="17">
        <v>74363</v>
      </c>
      <c r="AT27" s="17">
        <v>1517502</v>
      </c>
      <c r="AU27" s="17">
        <v>560.65</v>
      </c>
      <c r="AV27" s="17">
        <v>233.6</v>
      </c>
      <c r="AW27" s="10" t="s">
        <v>105</v>
      </c>
      <c r="AX27" s="17">
        <v>21031</v>
      </c>
      <c r="AY27" s="18">
        <v>20.406680741766738</v>
      </c>
      <c r="AZ27" s="10" t="s">
        <v>148</v>
      </c>
      <c r="BA27" s="20" t="b">
        <v>0</v>
      </c>
      <c r="BB27" s="10"/>
      <c r="BC27" s="17">
        <v>114160</v>
      </c>
      <c r="BD27" s="17">
        <v>74363</v>
      </c>
      <c r="BE27" s="17">
        <v>1517502</v>
      </c>
      <c r="BF27" s="17">
        <v>233.6</v>
      </c>
      <c r="BG27" s="11">
        <f ca="1">IFERROR(__xludf.DUMMYFUNCTION("""COMPUTED_VALUE"""),45893.8333333333)</f>
        <v>45893.833333333299</v>
      </c>
      <c r="BH27" s="17" t="s">
        <v>105</v>
      </c>
      <c r="BI27" s="17"/>
      <c r="BJ27" s="15"/>
      <c r="BK27" s="15"/>
      <c r="BL27" s="13" t="b">
        <v>0</v>
      </c>
      <c r="BM27" s="10"/>
      <c r="BN27" s="10" t="s">
        <v>197</v>
      </c>
      <c r="BO27" s="11">
        <v>45826.63958333333</v>
      </c>
      <c r="BP27" s="11">
        <v>45888.600763888891</v>
      </c>
      <c r="BQ27" s="15">
        <v>45888.615416666667</v>
      </c>
      <c r="BR27" s="15">
        <v>45889.748449074075</v>
      </c>
      <c r="BS27" s="10" t="s">
        <v>197</v>
      </c>
      <c r="BT27" s="10" t="s">
        <v>279</v>
      </c>
      <c r="BU27" s="10" t="s">
        <v>280</v>
      </c>
      <c r="BV27" s="10"/>
      <c r="BW27" s="10"/>
      <c r="BX27" s="10"/>
      <c r="BY27" s="23"/>
      <c r="BZ27" s="24" t="s">
        <v>299</v>
      </c>
      <c r="CA27" s="19" t="s">
        <v>411</v>
      </c>
      <c r="CB27" s="19" t="s">
        <v>412</v>
      </c>
      <c r="CC27" s="23"/>
      <c r="CD27" s="19" t="s">
        <v>413</v>
      </c>
      <c r="CE27" s="23"/>
      <c r="CF27" s="23"/>
      <c r="CG27" s="23"/>
      <c r="CH27" s="23"/>
      <c r="CI27" s="23"/>
    </row>
    <row r="28" spans="1:87" x14ac:dyDescent="0.3">
      <c r="A28" s="9" t="s">
        <v>414</v>
      </c>
      <c r="B28" s="10" t="s">
        <v>415</v>
      </c>
      <c r="C28" s="11">
        <v>45893.9375</v>
      </c>
      <c r="D28" s="12">
        <v>8.3333333333333329E-2</v>
      </c>
      <c r="E28" s="11">
        <v>45894.020833333336</v>
      </c>
      <c r="F28" s="10" t="s">
        <v>262</v>
      </c>
      <c r="G28" s="13" t="b">
        <v>1</v>
      </c>
      <c r="H28" s="10" t="s">
        <v>263</v>
      </c>
      <c r="I28" s="10" t="s">
        <v>264</v>
      </c>
      <c r="J28" s="13" t="b">
        <v>0</v>
      </c>
      <c r="K28" s="13" t="b">
        <v>1</v>
      </c>
      <c r="L28" s="10" t="s">
        <v>124</v>
      </c>
      <c r="M28" s="10" t="s">
        <v>91</v>
      </c>
      <c r="N28" s="10" t="s">
        <v>265</v>
      </c>
      <c r="O28" s="19" t="s">
        <v>416</v>
      </c>
      <c r="P28" s="10" t="s">
        <v>267</v>
      </c>
      <c r="Q28" s="10" t="s">
        <v>126</v>
      </c>
      <c r="R28" s="10"/>
      <c r="S28" s="19" t="s">
        <v>417</v>
      </c>
      <c r="T28" s="19" t="s">
        <v>269</v>
      </c>
      <c r="U28" s="10" t="s">
        <v>309</v>
      </c>
      <c r="V28" s="10" t="s">
        <v>361</v>
      </c>
      <c r="W28" s="10" t="s">
        <v>272</v>
      </c>
      <c r="X28" s="10" t="s">
        <v>130</v>
      </c>
      <c r="Y28" s="10" t="s">
        <v>130</v>
      </c>
      <c r="Z28" s="10" t="s">
        <v>99</v>
      </c>
      <c r="AA28" s="10" t="s">
        <v>131</v>
      </c>
      <c r="AB28" s="10" t="s">
        <v>273</v>
      </c>
      <c r="AC28" s="10" t="s">
        <v>274</v>
      </c>
      <c r="AD28" s="10" t="s">
        <v>418</v>
      </c>
      <c r="AE28" s="10" t="s">
        <v>419</v>
      </c>
      <c r="AF28" s="15"/>
      <c r="AG28" s="10"/>
      <c r="AH28" s="10"/>
      <c r="AI28" s="10"/>
      <c r="AJ28" s="10" t="s">
        <v>420</v>
      </c>
      <c r="AK28" s="10" t="s">
        <v>102</v>
      </c>
      <c r="AL28" s="10" t="s">
        <v>116</v>
      </c>
      <c r="AM28" s="10"/>
      <c r="AN28" s="10"/>
      <c r="AO28" s="13" t="b">
        <v>1</v>
      </c>
      <c r="AP28" s="10" t="s">
        <v>104</v>
      </c>
      <c r="AQ28" s="10">
        <f ca="1">IFERROR(__xludf.DUMMYFUNCTION("""COMPUTED_VALUE"""),4512851)</f>
        <v>4512851</v>
      </c>
      <c r="AR28" s="17">
        <v>341928</v>
      </c>
      <c r="AS28" s="17">
        <v>206167</v>
      </c>
      <c r="AT28" s="17">
        <v>8711455.5</v>
      </c>
      <c r="AU28" s="17">
        <v>6786.8</v>
      </c>
      <c r="AV28" s="17">
        <v>3014.45</v>
      </c>
      <c r="AW28" s="10" t="s">
        <v>297</v>
      </c>
      <c r="AX28" s="17">
        <v>119673</v>
      </c>
      <c r="AY28" s="18">
        <v>42.254364180494456</v>
      </c>
      <c r="AZ28" s="10" t="s">
        <v>148</v>
      </c>
      <c r="BA28" s="20" t="b">
        <v>0</v>
      </c>
      <c r="BB28" s="10"/>
      <c r="BC28" s="17">
        <v>341928</v>
      </c>
      <c r="BD28" s="17">
        <v>206167</v>
      </c>
      <c r="BE28" s="17">
        <v>8711455.5</v>
      </c>
      <c r="BF28" s="17">
        <v>3014.45</v>
      </c>
      <c r="BG28" s="11">
        <f ca="1">IFERROR(__xludf.DUMMYFUNCTION("""COMPUTED_VALUE"""),45893.9166666666)</f>
        <v>45893.916666666599</v>
      </c>
      <c r="BH28" s="17" t="s">
        <v>297</v>
      </c>
      <c r="BI28" s="17"/>
      <c r="BJ28" s="15"/>
      <c r="BK28" s="15"/>
      <c r="BL28" s="13" t="b">
        <v>1</v>
      </c>
      <c r="BM28" s="10"/>
      <c r="BN28" s="10" t="s">
        <v>149</v>
      </c>
      <c r="BO28" s="11">
        <v>45826.640277777777</v>
      </c>
      <c r="BP28" s="11">
        <v>45884.69871527778</v>
      </c>
      <c r="BQ28" s="15">
        <v>45888.615555555552</v>
      </c>
      <c r="BR28" s="15">
        <v>45889.748935185184</v>
      </c>
      <c r="BS28" s="10" t="s">
        <v>149</v>
      </c>
      <c r="BT28" s="10" t="s">
        <v>279</v>
      </c>
      <c r="BU28" s="10" t="s">
        <v>421</v>
      </c>
      <c r="BV28" s="10" t="s">
        <v>281</v>
      </c>
      <c r="BW28" s="10" t="s">
        <v>282</v>
      </c>
      <c r="BX28" s="10"/>
      <c r="BY28" s="23"/>
      <c r="BZ28" s="24" t="s">
        <v>284</v>
      </c>
      <c r="CA28" s="19" t="s">
        <v>422</v>
      </c>
      <c r="CB28" s="19" t="s">
        <v>423</v>
      </c>
      <c r="CC28" s="23"/>
      <c r="CD28" s="19" t="s">
        <v>424</v>
      </c>
      <c r="CE28" s="23"/>
      <c r="CF28" s="23"/>
      <c r="CG28" s="23"/>
      <c r="CH28" s="23"/>
      <c r="CI28" s="23"/>
    </row>
    <row r="29" spans="1:87" x14ac:dyDescent="0.3">
      <c r="A29" s="9" t="s">
        <v>425</v>
      </c>
      <c r="B29" s="10" t="s">
        <v>426</v>
      </c>
      <c r="C29" s="11">
        <v>45892.770833333336</v>
      </c>
      <c r="D29" s="12">
        <v>8.3333333333333329E-2</v>
      </c>
      <c r="E29" s="11">
        <v>45892.854166666664</v>
      </c>
      <c r="F29" s="10" t="s">
        <v>262</v>
      </c>
      <c r="G29" s="13" t="b">
        <v>1</v>
      </c>
      <c r="H29" s="10" t="s">
        <v>263</v>
      </c>
      <c r="I29" s="10" t="s">
        <v>264</v>
      </c>
      <c r="J29" s="13" t="b">
        <v>0</v>
      </c>
      <c r="K29" s="13" t="b">
        <v>1</v>
      </c>
      <c r="L29" s="10" t="s">
        <v>358</v>
      </c>
      <c r="M29" s="10" t="s">
        <v>91</v>
      </c>
      <c r="N29" s="10" t="s">
        <v>265</v>
      </c>
      <c r="O29" s="19" t="s">
        <v>427</v>
      </c>
      <c r="P29" s="10" t="s">
        <v>267</v>
      </c>
      <c r="Q29" s="10" t="s">
        <v>126</v>
      </c>
      <c r="R29" s="10"/>
      <c r="S29" s="19" t="s">
        <v>428</v>
      </c>
      <c r="T29" s="19" t="s">
        <v>269</v>
      </c>
      <c r="U29" s="10" t="s">
        <v>334</v>
      </c>
      <c r="V29" s="10" t="s">
        <v>429</v>
      </c>
      <c r="W29" s="10" t="s">
        <v>272</v>
      </c>
      <c r="X29" s="10" t="s">
        <v>130</v>
      </c>
      <c r="Y29" s="10" t="s">
        <v>130</v>
      </c>
      <c r="Z29" s="10" t="s">
        <v>99</v>
      </c>
      <c r="AA29" s="10" t="s">
        <v>131</v>
      </c>
      <c r="AB29" s="10" t="s">
        <v>273</v>
      </c>
      <c r="AC29" s="10" t="s">
        <v>274</v>
      </c>
      <c r="AD29" s="10" t="s">
        <v>430</v>
      </c>
      <c r="AE29" s="10" t="s">
        <v>431</v>
      </c>
      <c r="AF29" s="15"/>
      <c r="AG29" s="10"/>
      <c r="AH29" s="10"/>
      <c r="AI29" s="10"/>
      <c r="AJ29" s="10" t="s">
        <v>432</v>
      </c>
      <c r="AK29" s="10" t="s">
        <v>102</v>
      </c>
      <c r="AL29" s="10" t="s">
        <v>116</v>
      </c>
      <c r="AM29" s="10"/>
      <c r="AN29" s="10"/>
      <c r="AO29" s="13" t="b">
        <v>1</v>
      </c>
      <c r="AP29" s="10" t="s">
        <v>104</v>
      </c>
      <c r="AQ29" s="10">
        <f ca="1">IFERROR(__xludf.DUMMYFUNCTION("""COMPUTED_VALUE"""),4512815)</f>
        <v>4512815</v>
      </c>
      <c r="AR29" s="17">
        <v>382539</v>
      </c>
      <c r="AS29" s="17">
        <v>209460</v>
      </c>
      <c r="AT29" s="17">
        <v>8541941.25</v>
      </c>
      <c r="AU29" s="17">
        <v>7465</v>
      </c>
      <c r="AV29" s="17">
        <v>2902</v>
      </c>
      <c r="AW29" s="10" t="s">
        <v>297</v>
      </c>
      <c r="AX29" s="17">
        <v>89739</v>
      </c>
      <c r="AY29" s="18">
        <v>40.780775565740477</v>
      </c>
      <c r="AZ29" s="10" t="s">
        <v>148</v>
      </c>
      <c r="BA29" s="20" t="b">
        <v>0</v>
      </c>
      <c r="BB29" s="10"/>
      <c r="BC29" s="17">
        <v>382539</v>
      </c>
      <c r="BD29" s="17">
        <v>209460</v>
      </c>
      <c r="BE29" s="17">
        <v>8541941.25</v>
      </c>
      <c r="BF29" s="17">
        <v>2902</v>
      </c>
      <c r="BG29" s="11">
        <f ca="1">IFERROR(__xludf.DUMMYFUNCTION("""COMPUTED_VALUE"""),45892.75)</f>
        <v>45892.75</v>
      </c>
      <c r="BH29" s="17" t="s">
        <v>297</v>
      </c>
      <c r="BI29" s="17"/>
      <c r="BJ29" s="15"/>
      <c r="BK29" s="15"/>
      <c r="BL29" s="13" t="b">
        <v>1</v>
      </c>
      <c r="BM29" s="10"/>
      <c r="BN29" s="10" t="s">
        <v>197</v>
      </c>
      <c r="BO29" s="11">
        <v>45826.640277777777</v>
      </c>
      <c r="BP29" s="11">
        <v>45884.669212962966</v>
      </c>
      <c r="BQ29" s="15">
        <v>45888.564328703702</v>
      </c>
      <c r="BR29" s="15">
        <v>45889.571481481478</v>
      </c>
      <c r="BS29" s="10" t="s">
        <v>197</v>
      </c>
      <c r="BT29" s="10" t="s">
        <v>279</v>
      </c>
      <c r="BU29" s="10" t="s">
        <v>298</v>
      </c>
      <c r="BV29" s="10" t="s">
        <v>281</v>
      </c>
      <c r="BW29" s="10" t="s">
        <v>282</v>
      </c>
      <c r="BX29" s="10"/>
      <c r="BY29" s="23"/>
      <c r="BZ29" s="24" t="s">
        <v>368</v>
      </c>
      <c r="CA29" s="19" t="s">
        <v>433</v>
      </c>
      <c r="CB29" s="19" t="s">
        <v>434</v>
      </c>
      <c r="CC29" s="23"/>
      <c r="CD29" s="19" t="s">
        <v>435</v>
      </c>
      <c r="CE29" s="23"/>
      <c r="CF29" s="23"/>
      <c r="CG29" s="23"/>
      <c r="CH29" s="23"/>
      <c r="CI29" s="23"/>
    </row>
    <row r="30" spans="1:87" x14ac:dyDescent="0.3">
      <c r="A30" s="9" t="s">
        <v>436</v>
      </c>
      <c r="B30" s="10" t="s">
        <v>437</v>
      </c>
      <c r="C30" s="11">
        <v>45895.083333333336</v>
      </c>
      <c r="D30" s="12">
        <v>8.3333333333333329E-2</v>
      </c>
      <c r="E30" s="11">
        <v>45895.166666666664</v>
      </c>
      <c r="F30" s="10" t="s">
        <v>262</v>
      </c>
      <c r="G30" s="13" t="b">
        <v>0</v>
      </c>
      <c r="H30" s="10" t="s">
        <v>263</v>
      </c>
      <c r="I30" s="10" t="s">
        <v>264</v>
      </c>
      <c r="J30" s="13" t="b">
        <v>0</v>
      </c>
      <c r="K30" s="13" t="b">
        <v>1</v>
      </c>
      <c r="L30" s="10" t="s">
        <v>124</v>
      </c>
      <c r="M30" s="10" t="s">
        <v>91</v>
      </c>
      <c r="N30" s="10" t="s">
        <v>265</v>
      </c>
      <c r="O30" s="19" t="s">
        <v>438</v>
      </c>
      <c r="P30" s="10" t="s">
        <v>267</v>
      </c>
      <c r="Q30" s="10" t="s">
        <v>126</v>
      </c>
      <c r="R30" s="10"/>
      <c r="S30" s="19" t="s">
        <v>439</v>
      </c>
      <c r="T30" s="19" t="s">
        <v>269</v>
      </c>
      <c r="U30" s="10" t="s">
        <v>293</v>
      </c>
      <c r="V30" s="10" t="s">
        <v>270</v>
      </c>
      <c r="W30" s="10" t="s">
        <v>272</v>
      </c>
      <c r="X30" s="10" t="s">
        <v>130</v>
      </c>
      <c r="Y30" s="10" t="s">
        <v>130</v>
      </c>
      <c r="Z30" s="10" t="s">
        <v>99</v>
      </c>
      <c r="AA30" s="10" t="s">
        <v>131</v>
      </c>
      <c r="AB30" s="10" t="s">
        <v>273</v>
      </c>
      <c r="AC30" s="10" t="s">
        <v>274</v>
      </c>
      <c r="AD30" s="10" t="s">
        <v>440</v>
      </c>
      <c r="AE30" s="10" t="s">
        <v>441</v>
      </c>
      <c r="AF30" s="15"/>
      <c r="AG30" s="10"/>
      <c r="AH30" s="10"/>
      <c r="AI30" s="10"/>
      <c r="AJ30" s="10" t="s">
        <v>442</v>
      </c>
      <c r="AK30" s="10" t="s">
        <v>102</v>
      </c>
      <c r="AL30" s="10" t="s">
        <v>116</v>
      </c>
      <c r="AM30" s="10"/>
      <c r="AN30" s="10"/>
      <c r="AO30" s="13" t="b">
        <v>1</v>
      </c>
      <c r="AP30" s="10" t="s">
        <v>104</v>
      </c>
      <c r="AQ30" s="10">
        <f ca="1">IFERROR(__xludf.DUMMYFUNCTION("""COMPUTED_VALUE"""),4520832)</f>
        <v>4520832</v>
      </c>
      <c r="AR30" s="17">
        <v>83296</v>
      </c>
      <c r="AS30" s="17">
        <v>50821</v>
      </c>
      <c r="AT30" s="17">
        <v>3517888.5</v>
      </c>
      <c r="AU30" s="17">
        <v>929.4</v>
      </c>
      <c r="AV30" s="17">
        <v>339.85</v>
      </c>
      <c r="AW30" s="10" t="s">
        <v>105</v>
      </c>
      <c r="AX30" s="17">
        <v>30277</v>
      </c>
      <c r="AY30" s="18">
        <v>69.221158576179135</v>
      </c>
      <c r="AZ30" s="10" t="s">
        <v>148</v>
      </c>
      <c r="BA30" s="20" t="b">
        <v>0</v>
      </c>
      <c r="BB30" s="10"/>
      <c r="BC30" s="17">
        <v>83296</v>
      </c>
      <c r="BD30" s="17">
        <v>50821</v>
      </c>
      <c r="BE30" s="17">
        <v>3517888.5</v>
      </c>
      <c r="BF30" s="17">
        <v>339.85</v>
      </c>
      <c r="BG30" s="11">
        <f ca="1">IFERROR(__xludf.DUMMYFUNCTION("""COMPUTED_VALUE"""),45895.0833333333)</f>
        <v>45895.083333333299</v>
      </c>
      <c r="BH30" s="17" t="s">
        <v>105</v>
      </c>
      <c r="BI30" s="17"/>
      <c r="BJ30" s="15"/>
      <c r="BK30" s="15"/>
      <c r="BL30" s="13" t="b">
        <v>1</v>
      </c>
      <c r="BM30" s="10"/>
      <c r="BN30" s="10" t="s">
        <v>278</v>
      </c>
      <c r="BO30" s="11">
        <v>45826.643055555556</v>
      </c>
      <c r="BP30" s="11">
        <v>45885.44672453704</v>
      </c>
      <c r="BQ30" s="15">
        <v>45888.615752314814</v>
      </c>
      <c r="BR30" s="15">
        <v>45893.609375</v>
      </c>
      <c r="BS30" s="10" t="s">
        <v>278</v>
      </c>
      <c r="BT30" s="10" t="s">
        <v>99</v>
      </c>
      <c r="BU30" s="10" t="s">
        <v>421</v>
      </c>
      <c r="BV30" s="10" t="s">
        <v>124</v>
      </c>
      <c r="BW30" s="10" t="s">
        <v>443</v>
      </c>
      <c r="BX30" s="10"/>
      <c r="BY30" s="23"/>
      <c r="BZ30" s="24" t="s">
        <v>284</v>
      </c>
      <c r="CA30" s="19" t="s">
        <v>444</v>
      </c>
      <c r="CB30" s="19" t="s">
        <v>445</v>
      </c>
      <c r="CC30" s="23"/>
      <c r="CD30" s="19" t="s">
        <v>446</v>
      </c>
      <c r="CE30" s="23"/>
      <c r="CF30" s="23"/>
      <c r="CG30" s="23"/>
      <c r="CH30" s="23"/>
      <c r="CI30" s="23"/>
    </row>
    <row r="31" spans="1:87" x14ac:dyDescent="0.3">
      <c r="A31" s="9" t="s">
        <v>447</v>
      </c>
      <c r="B31" s="10" t="s">
        <v>448</v>
      </c>
      <c r="C31" s="11">
        <v>45892.083333333336</v>
      </c>
      <c r="D31" s="12">
        <v>8.3333333333333329E-2</v>
      </c>
      <c r="E31" s="11">
        <v>45892.166666666664</v>
      </c>
      <c r="F31" s="10" t="s">
        <v>262</v>
      </c>
      <c r="G31" s="13" t="b">
        <v>0</v>
      </c>
      <c r="H31" s="10" t="s">
        <v>263</v>
      </c>
      <c r="I31" s="10" t="s">
        <v>264</v>
      </c>
      <c r="J31" s="13" t="b">
        <v>0</v>
      </c>
      <c r="K31" s="13" t="b">
        <v>1</v>
      </c>
      <c r="L31" s="10" t="s">
        <v>124</v>
      </c>
      <c r="M31" s="10" t="s">
        <v>91</v>
      </c>
      <c r="N31" s="10" t="s">
        <v>265</v>
      </c>
      <c r="O31" s="19" t="s">
        <v>449</v>
      </c>
      <c r="P31" s="10" t="s">
        <v>267</v>
      </c>
      <c r="Q31" s="10" t="s">
        <v>126</v>
      </c>
      <c r="R31" s="10"/>
      <c r="S31" s="19" t="s">
        <v>450</v>
      </c>
      <c r="T31" s="19" t="s">
        <v>269</v>
      </c>
      <c r="U31" s="10" t="s">
        <v>451</v>
      </c>
      <c r="V31" s="10" t="s">
        <v>346</v>
      </c>
      <c r="W31" s="10" t="s">
        <v>272</v>
      </c>
      <c r="X31" s="10" t="s">
        <v>130</v>
      </c>
      <c r="Y31" s="10" t="s">
        <v>130</v>
      </c>
      <c r="Z31" s="10" t="s">
        <v>99</v>
      </c>
      <c r="AA31" s="10" t="s">
        <v>131</v>
      </c>
      <c r="AB31" s="10" t="s">
        <v>273</v>
      </c>
      <c r="AC31" s="10" t="s">
        <v>274</v>
      </c>
      <c r="AD31" s="10" t="s">
        <v>452</v>
      </c>
      <c r="AE31" s="10" t="s">
        <v>453</v>
      </c>
      <c r="AF31" s="15"/>
      <c r="AG31" s="10"/>
      <c r="AH31" s="10"/>
      <c r="AI31" s="10"/>
      <c r="AJ31" s="10" t="s">
        <v>454</v>
      </c>
      <c r="AK31" s="10" t="s">
        <v>102</v>
      </c>
      <c r="AL31" s="10" t="s">
        <v>116</v>
      </c>
      <c r="AM31" s="10"/>
      <c r="AN31" s="10"/>
      <c r="AO31" s="13" t="b">
        <v>1</v>
      </c>
      <c r="AP31" s="10" t="s">
        <v>104</v>
      </c>
      <c r="AQ31" s="10">
        <f ca="1">IFERROR(__xludf.DUMMYFUNCTION("""COMPUTED_VALUE"""),4512789)</f>
        <v>4512789</v>
      </c>
      <c r="AR31" s="17">
        <v>58902</v>
      </c>
      <c r="AS31" s="17">
        <v>38531</v>
      </c>
      <c r="AT31" s="17">
        <v>2127653.5</v>
      </c>
      <c r="AU31" s="17">
        <v>714.65</v>
      </c>
      <c r="AV31" s="17">
        <v>249.75</v>
      </c>
      <c r="AW31" s="10" t="s">
        <v>105</v>
      </c>
      <c r="AX31" s="17">
        <v>18072</v>
      </c>
      <c r="AY31" s="18">
        <v>55.219265007396643</v>
      </c>
      <c r="AZ31" s="10" t="s">
        <v>148</v>
      </c>
      <c r="BA31" s="20" t="b">
        <v>0</v>
      </c>
      <c r="BB31" s="10"/>
      <c r="BC31" s="17">
        <v>58902</v>
      </c>
      <c r="BD31" s="17">
        <v>38531</v>
      </c>
      <c r="BE31" s="17">
        <v>2127653.5</v>
      </c>
      <c r="BF31" s="17">
        <v>249.75</v>
      </c>
      <c r="BG31" s="11">
        <f ca="1">IFERROR(__xludf.DUMMYFUNCTION("""COMPUTED_VALUE"""),45892.0833333333)</f>
        <v>45892.083333333299</v>
      </c>
      <c r="BH31" s="17" t="s">
        <v>105</v>
      </c>
      <c r="BI31" s="17"/>
      <c r="BJ31" s="15"/>
      <c r="BK31" s="15"/>
      <c r="BL31" s="13" t="b">
        <v>1</v>
      </c>
      <c r="BM31" s="10"/>
      <c r="BN31" s="10" t="s">
        <v>455</v>
      </c>
      <c r="BO31" s="11">
        <v>45826.643750000003</v>
      </c>
      <c r="BP31" s="11">
        <v>45884.691168981481</v>
      </c>
      <c r="BQ31" s="15">
        <v>45888.564016203702</v>
      </c>
      <c r="BR31" s="15">
        <v>45889.421666666669</v>
      </c>
      <c r="BS31" s="10" t="s">
        <v>455</v>
      </c>
      <c r="BT31" s="10" t="s">
        <v>279</v>
      </c>
      <c r="BU31" s="10" t="s">
        <v>456</v>
      </c>
      <c r="BV31" s="10"/>
      <c r="BW31" s="10"/>
      <c r="BX31" s="10"/>
      <c r="BY31" s="23"/>
      <c r="BZ31" s="24" t="s">
        <v>284</v>
      </c>
      <c r="CA31" s="19" t="s">
        <v>457</v>
      </c>
      <c r="CB31" s="19" t="s">
        <v>458</v>
      </c>
      <c r="CC31" s="23"/>
      <c r="CD31" s="19" t="s">
        <v>459</v>
      </c>
      <c r="CE31" s="23"/>
      <c r="CF31" s="23"/>
      <c r="CG31" s="23"/>
      <c r="CH31" s="23"/>
      <c r="CI31" s="23"/>
    </row>
    <row r="32" spans="1:87" x14ac:dyDescent="0.3">
      <c r="A32" s="9" t="s">
        <v>460</v>
      </c>
      <c r="B32" s="10" t="s">
        <v>461</v>
      </c>
      <c r="C32" s="11">
        <v>45901.041666666664</v>
      </c>
      <c r="D32" s="12">
        <v>8.3333333333333329E-2</v>
      </c>
      <c r="E32" s="11">
        <v>45901.125</v>
      </c>
      <c r="F32" s="10" t="s">
        <v>262</v>
      </c>
      <c r="G32" s="13" t="b">
        <v>0</v>
      </c>
      <c r="H32" s="10" t="s">
        <v>263</v>
      </c>
      <c r="I32" s="10" t="s">
        <v>264</v>
      </c>
      <c r="J32" s="13" t="b">
        <v>0</v>
      </c>
      <c r="K32" s="13" t="b">
        <v>1</v>
      </c>
      <c r="L32" s="10" t="s">
        <v>124</v>
      </c>
      <c r="M32" s="10" t="s">
        <v>91</v>
      </c>
      <c r="N32" s="10" t="s">
        <v>265</v>
      </c>
      <c r="O32" s="19" t="s">
        <v>462</v>
      </c>
      <c r="P32" s="10"/>
      <c r="Q32" s="10" t="s">
        <v>126</v>
      </c>
      <c r="R32" s="10"/>
      <c r="S32" s="19" t="s">
        <v>463</v>
      </c>
      <c r="T32" s="19" t="s">
        <v>464</v>
      </c>
      <c r="U32" s="10" t="s">
        <v>292</v>
      </c>
      <c r="V32" s="10" t="s">
        <v>347</v>
      </c>
      <c r="W32" s="10" t="s">
        <v>272</v>
      </c>
      <c r="X32" s="10" t="s">
        <v>130</v>
      </c>
      <c r="Y32" s="10" t="s">
        <v>130</v>
      </c>
      <c r="Z32" s="10" t="s">
        <v>99</v>
      </c>
      <c r="AA32" s="10" t="s">
        <v>131</v>
      </c>
      <c r="AB32" s="10" t="s">
        <v>273</v>
      </c>
      <c r="AC32" s="10" t="s">
        <v>274</v>
      </c>
      <c r="AD32" s="10" t="s">
        <v>465</v>
      </c>
      <c r="AE32" s="10" t="s">
        <v>466</v>
      </c>
      <c r="AF32" s="15"/>
      <c r="AG32" s="10"/>
      <c r="AH32" s="10"/>
      <c r="AI32" s="10"/>
      <c r="AJ32" s="10" t="s">
        <v>467</v>
      </c>
      <c r="AK32" s="10" t="s">
        <v>102</v>
      </c>
      <c r="AL32" s="10" t="s">
        <v>147</v>
      </c>
      <c r="AM32" s="10"/>
      <c r="AN32" s="10"/>
      <c r="AO32" s="13" t="b">
        <v>0</v>
      </c>
      <c r="AP32" s="10" t="s">
        <v>104</v>
      </c>
      <c r="AQ32" s="10">
        <f ca="1">IFERROR(__xludf.DUMMYFUNCTION("""COMPUTED_VALUE"""),4537277)</f>
        <v>4537277</v>
      </c>
      <c r="AR32" s="17">
        <v>15398</v>
      </c>
      <c r="AS32" s="17">
        <v>11517</v>
      </c>
      <c r="AT32" s="17">
        <v>435598.75</v>
      </c>
      <c r="AU32" s="17">
        <v>32.450000000000003</v>
      </c>
      <c r="AV32" s="17">
        <v>14.1</v>
      </c>
      <c r="AW32" s="10" t="s">
        <v>105</v>
      </c>
      <c r="AX32" s="17">
        <v>30969</v>
      </c>
      <c r="AY32" s="18">
        <v>37.822241034991748</v>
      </c>
      <c r="AZ32" s="10" t="s">
        <v>148</v>
      </c>
      <c r="BA32" s="20" t="b">
        <v>0</v>
      </c>
      <c r="BB32" s="10"/>
      <c r="BC32" s="17">
        <v>15398</v>
      </c>
      <c r="BD32" s="17">
        <v>11517</v>
      </c>
      <c r="BE32" s="17">
        <v>435598.75</v>
      </c>
      <c r="BF32" s="17">
        <v>14.1</v>
      </c>
      <c r="BG32" s="11">
        <f ca="1">IFERROR(__xludf.DUMMYFUNCTION("""COMPUTED_VALUE"""),45901.0416666666)</f>
        <v>45901.041666666599</v>
      </c>
      <c r="BH32" s="17" t="s">
        <v>105</v>
      </c>
      <c r="BI32" s="17"/>
      <c r="BJ32" s="15"/>
      <c r="BK32" s="15"/>
      <c r="BL32" s="13" t="b">
        <v>1</v>
      </c>
      <c r="BM32" s="10"/>
      <c r="BN32" s="10" t="s">
        <v>351</v>
      </c>
      <c r="BO32" s="11">
        <v>45826.647916666669</v>
      </c>
      <c r="BP32" s="11">
        <v>45891.54277777778</v>
      </c>
      <c r="BQ32" s="15">
        <v>45894.865162037036</v>
      </c>
      <c r="BR32" s="15">
        <v>45900.566319444442</v>
      </c>
      <c r="BS32" s="10"/>
      <c r="BT32" s="10" t="s">
        <v>99</v>
      </c>
      <c r="BU32" s="10" t="s">
        <v>280</v>
      </c>
      <c r="BV32" s="10"/>
      <c r="BW32" s="10"/>
      <c r="BX32" s="10"/>
      <c r="BY32" s="23"/>
      <c r="BZ32" s="24" t="s">
        <v>299</v>
      </c>
      <c r="CA32" s="19" t="s">
        <v>468</v>
      </c>
      <c r="CB32" s="19" t="s">
        <v>469</v>
      </c>
      <c r="CC32" s="23"/>
      <c r="CD32" s="19" t="s">
        <v>470</v>
      </c>
      <c r="CE32" s="23"/>
      <c r="CF32" s="23"/>
      <c r="CG32" s="23"/>
      <c r="CH32" s="23"/>
      <c r="CI32" s="23"/>
    </row>
    <row r="33" spans="1:87" x14ac:dyDescent="0.3">
      <c r="A33" s="9" t="s">
        <v>471</v>
      </c>
      <c r="B33" s="10" t="s">
        <v>472</v>
      </c>
      <c r="C33" s="11">
        <v>45900.833333333336</v>
      </c>
      <c r="D33" s="12">
        <v>8.3333333333333329E-2</v>
      </c>
      <c r="E33" s="11">
        <v>45900.916666666664</v>
      </c>
      <c r="F33" s="10" t="s">
        <v>262</v>
      </c>
      <c r="G33" s="13" t="b">
        <v>1</v>
      </c>
      <c r="H33" s="10" t="s">
        <v>263</v>
      </c>
      <c r="I33" s="10" t="s">
        <v>264</v>
      </c>
      <c r="J33" s="13" t="b">
        <v>0</v>
      </c>
      <c r="K33" s="13" t="b">
        <v>1</v>
      </c>
      <c r="L33" s="10" t="s">
        <v>124</v>
      </c>
      <c r="M33" s="10" t="s">
        <v>91</v>
      </c>
      <c r="N33" s="10" t="s">
        <v>265</v>
      </c>
      <c r="O33" s="19" t="s">
        <v>473</v>
      </c>
      <c r="P33" s="10" t="s">
        <v>267</v>
      </c>
      <c r="Q33" s="10" t="s">
        <v>126</v>
      </c>
      <c r="R33" s="10"/>
      <c r="S33" s="19" t="s">
        <v>474</v>
      </c>
      <c r="T33" s="19" t="s">
        <v>464</v>
      </c>
      <c r="U33" s="10" t="s">
        <v>308</v>
      </c>
      <c r="V33" s="10" t="s">
        <v>334</v>
      </c>
      <c r="W33" s="10" t="s">
        <v>272</v>
      </c>
      <c r="X33" s="10" t="s">
        <v>130</v>
      </c>
      <c r="Y33" s="10" t="s">
        <v>130</v>
      </c>
      <c r="Z33" s="10" t="s">
        <v>99</v>
      </c>
      <c r="AA33" s="10" t="s">
        <v>131</v>
      </c>
      <c r="AB33" s="10" t="s">
        <v>273</v>
      </c>
      <c r="AC33" s="10" t="s">
        <v>274</v>
      </c>
      <c r="AD33" s="10" t="s">
        <v>475</v>
      </c>
      <c r="AE33" s="10" t="s">
        <v>476</v>
      </c>
      <c r="AF33" s="15"/>
      <c r="AG33" s="10"/>
      <c r="AH33" s="10"/>
      <c r="AI33" s="10"/>
      <c r="AJ33" s="10" t="s">
        <v>477</v>
      </c>
      <c r="AK33" s="10" t="s">
        <v>102</v>
      </c>
      <c r="AL33" s="10" t="s">
        <v>147</v>
      </c>
      <c r="AM33" s="10"/>
      <c r="AN33" s="10"/>
      <c r="AO33" s="13" t="b">
        <v>1</v>
      </c>
      <c r="AP33" s="10" t="s">
        <v>104</v>
      </c>
      <c r="AQ33" s="10">
        <f ca="1">IFERROR(__xludf.DUMMYFUNCTION("""COMPUTED_VALUE"""),4525587)</f>
        <v>4525587</v>
      </c>
      <c r="AR33" s="17">
        <v>308400</v>
      </c>
      <c r="AS33" s="17">
        <v>166107</v>
      </c>
      <c r="AT33" s="17">
        <v>8490181.75</v>
      </c>
      <c r="AU33" s="17">
        <v>3179.6</v>
      </c>
      <c r="AV33" s="17">
        <v>1267.95</v>
      </c>
      <c r="AW33" s="10" t="s">
        <v>297</v>
      </c>
      <c r="AX33" s="17">
        <v>83044</v>
      </c>
      <c r="AY33" s="18">
        <v>51.112727037391558</v>
      </c>
      <c r="AZ33" s="10" t="s">
        <v>148</v>
      </c>
      <c r="BA33" s="20" t="b">
        <v>0</v>
      </c>
      <c r="BB33" s="10"/>
      <c r="BC33" s="17">
        <v>308400</v>
      </c>
      <c r="BD33" s="17">
        <v>166107</v>
      </c>
      <c r="BE33" s="17">
        <v>8490181.75</v>
      </c>
      <c r="BF33" s="17">
        <v>1267.95</v>
      </c>
      <c r="BG33" s="11">
        <f ca="1">IFERROR(__xludf.DUMMYFUNCTION("""COMPUTED_VALUE"""),45900.8125)</f>
        <v>45900.8125</v>
      </c>
      <c r="BH33" s="17" t="s">
        <v>297</v>
      </c>
      <c r="BI33" s="17"/>
      <c r="BJ33" s="15"/>
      <c r="BK33" s="15"/>
      <c r="BL33" s="13" t="b">
        <v>1</v>
      </c>
      <c r="BM33" s="10"/>
      <c r="BN33" s="10" t="s">
        <v>351</v>
      </c>
      <c r="BO33" s="11">
        <v>45826.648611111108</v>
      </c>
      <c r="BP33" s="11">
        <v>45891.541909722226</v>
      </c>
      <c r="BQ33" s="15">
        <v>45894.864664351851</v>
      </c>
      <c r="BR33" s="15">
        <v>45895.44021990741</v>
      </c>
      <c r="BS33" s="10"/>
      <c r="BT33" s="10" t="s">
        <v>99</v>
      </c>
      <c r="BU33" s="10" t="s">
        <v>280</v>
      </c>
      <c r="BV33" s="10"/>
      <c r="BW33" s="10"/>
      <c r="BX33" s="10"/>
      <c r="BY33" s="23"/>
      <c r="BZ33" s="24" t="s">
        <v>284</v>
      </c>
      <c r="CA33" s="19" t="s">
        <v>478</v>
      </c>
      <c r="CB33" s="19" t="s">
        <v>479</v>
      </c>
      <c r="CC33" s="23"/>
      <c r="CD33" s="19" t="s">
        <v>480</v>
      </c>
      <c r="CE33" s="23"/>
      <c r="CF33" s="23"/>
      <c r="CG33" s="23"/>
      <c r="CH33" s="23"/>
      <c r="CI33" s="23"/>
    </row>
    <row r="34" spans="1:87" x14ac:dyDescent="0.3">
      <c r="A34" s="9" t="s">
        <v>481</v>
      </c>
      <c r="B34" s="10" t="s">
        <v>482</v>
      </c>
      <c r="C34" s="11">
        <v>45899.770833333336</v>
      </c>
      <c r="D34" s="12">
        <v>8.3333333333333329E-2</v>
      </c>
      <c r="E34" s="11">
        <v>45899.854166666664</v>
      </c>
      <c r="F34" s="10" t="s">
        <v>262</v>
      </c>
      <c r="G34" s="13" t="b">
        <v>1</v>
      </c>
      <c r="H34" s="10" t="s">
        <v>263</v>
      </c>
      <c r="I34" s="10" t="s">
        <v>264</v>
      </c>
      <c r="J34" s="13" t="b">
        <v>0</v>
      </c>
      <c r="K34" s="13" t="b">
        <v>1</v>
      </c>
      <c r="L34" s="10" t="s">
        <v>124</v>
      </c>
      <c r="M34" s="10" t="s">
        <v>91</v>
      </c>
      <c r="N34" s="10" t="s">
        <v>265</v>
      </c>
      <c r="O34" s="19" t="s">
        <v>483</v>
      </c>
      <c r="P34" s="10" t="s">
        <v>267</v>
      </c>
      <c r="Q34" s="10" t="s">
        <v>126</v>
      </c>
      <c r="R34" s="10"/>
      <c r="S34" s="19" t="s">
        <v>484</v>
      </c>
      <c r="T34" s="19" t="s">
        <v>464</v>
      </c>
      <c r="U34" s="10" t="s">
        <v>346</v>
      </c>
      <c r="V34" s="10" t="s">
        <v>309</v>
      </c>
      <c r="W34" s="10" t="s">
        <v>272</v>
      </c>
      <c r="X34" s="10" t="s">
        <v>130</v>
      </c>
      <c r="Y34" s="10" t="s">
        <v>130</v>
      </c>
      <c r="Z34" s="10" t="s">
        <v>99</v>
      </c>
      <c r="AA34" s="10" t="s">
        <v>131</v>
      </c>
      <c r="AB34" s="10" t="s">
        <v>273</v>
      </c>
      <c r="AC34" s="10" t="s">
        <v>274</v>
      </c>
      <c r="AD34" s="10" t="s">
        <v>485</v>
      </c>
      <c r="AE34" s="10" t="s">
        <v>486</v>
      </c>
      <c r="AF34" s="15"/>
      <c r="AG34" s="10"/>
      <c r="AH34" s="10"/>
      <c r="AI34" s="10"/>
      <c r="AJ34" s="10" t="s">
        <v>487</v>
      </c>
      <c r="AK34" s="10" t="s">
        <v>102</v>
      </c>
      <c r="AL34" s="10" t="s">
        <v>147</v>
      </c>
      <c r="AM34" s="10"/>
      <c r="AN34" s="10"/>
      <c r="AO34" s="13" t="b">
        <v>1</v>
      </c>
      <c r="AP34" s="10" t="s">
        <v>104</v>
      </c>
      <c r="AQ34" s="10">
        <f ca="1">IFERROR(__xludf.DUMMYFUNCTION("""COMPUTED_VALUE"""),4525570)</f>
        <v>4525570</v>
      </c>
      <c r="AR34" s="17">
        <v>269081</v>
      </c>
      <c r="AS34" s="17">
        <v>151208</v>
      </c>
      <c r="AT34" s="17">
        <v>7233998.5</v>
      </c>
      <c r="AU34" s="17">
        <v>3760.05</v>
      </c>
      <c r="AV34" s="17">
        <v>1431.95</v>
      </c>
      <c r="AW34" s="10" t="s">
        <v>297</v>
      </c>
      <c r="AX34" s="17">
        <v>59810</v>
      </c>
      <c r="AY34" s="18">
        <v>47.841374133643725</v>
      </c>
      <c r="AZ34" s="10" t="s">
        <v>148</v>
      </c>
      <c r="BA34" s="20" t="b">
        <v>0</v>
      </c>
      <c r="BB34" s="10"/>
      <c r="BC34" s="17">
        <v>269081</v>
      </c>
      <c r="BD34" s="17">
        <v>151208</v>
      </c>
      <c r="BE34" s="17">
        <v>7233998.5</v>
      </c>
      <c r="BF34" s="17">
        <v>1431.95</v>
      </c>
      <c r="BG34" s="11">
        <f ca="1">IFERROR(__xludf.DUMMYFUNCTION("""COMPUTED_VALUE"""),45899.75)</f>
        <v>45899.75</v>
      </c>
      <c r="BH34" s="17" t="s">
        <v>297</v>
      </c>
      <c r="BI34" s="17"/>
      <c r="BJ34" s="15"/>
      <c r="BK34" s="15"/>
      <c r="BL34" s="13" t="b">
        <v>1</v>
      </c>
      <c r="BM34" s="10"/>
      <c r="BN34" s="10" t="s">
        <v>351</v>
      </c>
      <c r="BO34" s="11">
        <v>45826.649305555555</v>
      </c>
      <c r="BP34" s="11">
        <v>45891.538206018522</v>
      </c>
      <c r="BQ34" s="15">
        <v>45894.86383101852</v>
      </c>
      <c r="BR34" s="15">
        <v>45895.422152777777</v>
      </c>
      <c r="BS34" s="10"/>
      <c r="BT34" s="10" t="s">
        <v>99</v>
      </c>
      <c r="BU34" s="10" t="s">
        <v>280</v>
      </c>
      <c r="BV34" s="10" t="s">
        <v>281</v>
      </c>
      <c r="BW34" s="10" t="s">
        <v>282</v>
      </c>
      <c r="BX34" s="10"/>
      <c r="BY34" s="23"/>
      <c r="BZ34" s="24" t="s">
        <v>284</v>
      </c>
      <c r="CA34" s="19" t="s">
        <v>488</v>
      </c>
      <c r="CB34" s="19" t="s">
        <v>489</v>
      </c>
      <c r="CC34" s="23"/>
      <c r="CD34" s="19" t="s">
        <v>490</v>
      </c>
      <c r="CE34" s="23"/>
      <c r="CF34" s="23"/>
      <c r="CG34" s="23"/>
      <c r="CH34" s="23"/>
      <c r="CI34" s="23"/>
    </row>
    <row r="35" spans="1:87" x14ac:dyDescent="0.3">
      <c r="A35" s="9" t="s">
        <v>491</v>
      </c>
      <c r="B35" s="10" t="s">
        <v>492</v>
      </c>
      <c r="C35" s="11">
        <v>45900.9375</v>
      </c>
      <c r="D35" s="12">
        <v>8.3333333333333329E-2</v>
      </c>
      <c r="E35" s="11">
        <v>45901.020833333336</v>
      </c>
      <c r="F35" s="10" t="s">
        <v>262</v>
      </c>
      <c r="G35" s="13" t="b">
        <v>1</v>
      </c>
      <c r="H35" s="10" t="s">
        <v>263</v>
      </c>
      <c r="I35" s="10" t="s">
        <v>264</v>
      </c>
      <c r="J35" s="13" t="b">
        <v>0</v>
      </c>
      <c r="K35" s="13" t="b">
        <v>1</v>
      </c>
      <c r="L35" s="10" t="s">
        <v>358</v>
      </c>
      <c r="M35" s="10" t="s">
        <v>91</v>
      </c>
      <c r="N35" s="10" t="s">
        <v>265</v>
      </c>
      <c r="O35" s="19" t="s">
        <v>493</v>
      </c>
      <c r="P35" s="10" t="s">
        <v>267</v>
      </c>
      <c r="Q35" s="10" t="s">
        <v>126</v>
      </c>
      <c r="R35" s="10"/>
      <c r="S35" s="19" t="s">
        <v>494</v>
      </c>
      <c r="T35" s="19" t="s">
        <v>464</v>
      </c>
      <c r="U35" s="10" t="s">
        <v>270</v>
      </c>
      <c r="V35" s="10" t="s">
        <v>362</v>
      </c>
      <c r="W35" s="10" t="s">
        <v>272</v>
      </c>
      <c r="X35" s="10" t="s">
        <v>130</v>
      </c>
      <c r="Y35" s="10" t="s">
        <v>130</v>
      </c>
      <c r="Z35" s="10" t="s">
        <v>99</v>
      </c>
      <c r="AA35" s="10" t="s">
        <v>131</v>
      </c>
      <c r="AB35" s="10" t="s">
        <v>273</v>
      </c>
      <c r="AC35" s="10" t="s">
        <v>274</v>
      </c>
      <c r="AD35" s="10" t="s">
        <v>495</v>
      </c>
      <c r="AE35" s="10" t="s">
        <v>496</v>
      </c>
      <c r="AF35" s="15"/>
      <c r="AG35" s="10"/>
      <c r="AH35" s="10"/>
      <c r="AI35" s="10"/>
      <c r="AJ35" s="10" t="s">
        <v>497</v>
      </c>
      <c r="AK35" s="10" t="s">
        <v>102</v>
      </c>
      <c r="AL35" s="10" t="s">
        <v>147</v>
      </c>
      <c r="AM35" s="10"/>
      <c r="AN35" s="10"/>
      <c r="AO35" s="13" t="b">
        <v>1</v>
      </c>
      <c r="AP35" s="10" t="s">
        <v>104</v>
      </c>
      <c r="AQ35" s="10">
        <f ca="1">IFERROR(__xludf.DUMMYFUNCTION("""COMPUTED_VALUE"""),4525588)</f>
        <v>4525588</v>
      </c>
      <c r="AR35" s="17">
        <v>331186</v>
      </c>
      <c r="AS35" s="17">
        <v>204515</v>
      </c>
      <c r="AT35" s="17">
        <v>8189199.25</v>
      </c>
      <c r="AU35" s="17">
        <v>6105.4</v>
      </c>
      <c r="AV35" s="17">
        <v>2816.15</v>
      </c>
      <c r="AW35" s="10" t="s">
        <v>297</v>
      </c>
      <c r="AX35" s="17">
        <v>125383</v>
      </c>
      <c r="AY35" s="18">
        <v>40.042047038114561</v>
      </c>
      <c r="AZ35" s="10" t="s">
        <v>148</v>
      </c>
      <c r="BA35" s="20" t="b">
        <v>0</v>
      </c>
      <c r="BB35" s="10"/>
      <c r="BC35" s="17">
        <v>331186</v>
      </c>
      <c r="BD35" s="17">
        <v>204515</v>
      </c>
      <c r="BE35" s="17">
        <v>8189199.25</v>
      </c>
      <c r="BF35" s="17">
        <v>2816.15</v>
      </c>
      <c r="BG35" s="11">
        <f ca="1">IFERROR(__xludf.DUMMYFUNCTION("""COMPUTED_VALUE"""),45900.9166666666)</f>
        <v>45900.916666666599</v>
      </c>
      <c r="BH35" s="17" t="s">
        <v>297</v>
      </c>
      <c r="BI35" s="17"/>
      <c r="BJ35" s="15"/>
      <c r="BK35" s="15"/>
      <c r="BL35" s="13" t="b">
        <v>1</v>
      </c>
      <c r="BM35" s="10"/>
      <c r="BN35" s="10" t="s">
        <v>351</v>
      </c>
      <c r="BO35" s="11">
        <v>45826.65</v>
      </c>
      <c r="BP35" s="11">
        <v>45891.542557870373</v>
      </c>
      <c r="BQ35" s="15">
        <v>45894.864976851852</v>
      </c>
      <c r="BR35" s="15">
        <v>45895.440601851849</v>
      </c>
      <c r="BS35" s="10"/>
      <c r="BT35" s="10" t="s">
        <v>99</v>
      </c>
      <c r="BU35" s="10" t="s">
        <v>498</v>
      </c>
      <c r="BV35" s="10" t="s">
        <v>499</v>
      </c>
      <c r="BW35" s="10" t="s">
        <v>500</v>
      </c>
      <c r="BX35" s="10"/>
      <c r="BY35" s="23"/>
      <c r="BZ35" s="24" t="s">
        <v>368</v>
      </c>
      <c r="CA35" s="19" t="s">
        <v>501</v>
      </c>
      <c r="CB35" s="19" t="s">
        <v>502</v>
      </c>
      <c r="CC35" s="23"/>
      <c r="CD35" s="19" t="s">
        <v>503</v>
      </c>
      <c r="CE35" s="23"/>
      <c r="CF35" s="23"/>
      <c r="CG35" s="23"/>
      <c r="CH35" s="23"/>
      <c r="CI35" s="23"/>
    </row>
    <row r="36" spans="1:87" x14ac:dyDescent="0.3">
      <c r="A36" s="9" t="s">
        <v>504</v>
      </c>
      <c r="B36" s="10" t="s">
        <v>505</v>
      </c>
      <c r="C36" s="11">
        <v>45900.833333333336</v>
      </c>
      <c r="D36" s="12">
        <v>8.3333333333333329E-2</v>
      </c>
      <c r="E36" s="11">
        <v>45900.916666666664</v>
      </c>
      <c r="F36" s="10" t="s">
        <v>262</v>
      </c>
      <c r="G36" s="13" t="b">
        <v>0</v>
      </c>
      <c r="H36" s="10" t="s">
        <v>305</v>
      </c>
      <c r="I36" s="10" t="s">
        <v>264</v>
      </c>
      <c r="J36" s="13" t="b">
        <v>0</v>
      </c>
      <c r="K36" s="13" t="b">
        <v>1</v>
      </c>
      <c r="L36" s="10" t="s">
        <v>124</v>
      </c>
      <c r="M36" s="10" t="s">
        <v>91</v>
      </c>
      <c r="N36" s="10" t="s">
        <v>265</v>
      </c>
      <c r="O36" s="19" t="s">
        <v>506</v>
      </c>
      <c r="P36" s="10"/>
      <c r="Q36" s="10" t="s">
        <v>126</v>
      </c>
      <c r="R36" s="10"/>
      <c r="S36" s="19" t="s">
        <v>507</v>
      </c>
      <c r="T36" s="19" t="s">
        <v>464</v>
      </c>
      <c r="U36" s="10" t="s">
        <v>320</v>
      </c>
      <c r="V36" s="10" t="s">
        <v>451</v>
      </c>
      <c r="W36" s="10" t="s">
        <v>272</v>
      </c>
      <c r="X36" s="10" t="s">
        <v>130</v>
      </c>
      <c r="Y36" s="10" t="s">
        <v>130</v>
      </c>
      <c r="Z36" s="10" t="s">
        <v>99</v>
      </c>
      <c r="AA36" s="10" t="s">
        <v>131</v>
      </c>
      <c r="AB36" s="10" t="s">
        <v>273</v>
      </c>
      <c r="AC36" s="10" t="s">
        <v>274</v>
      </c>
      <c r="AD36" s="10" t="s">
        <v>508</v>
      </c>
      <c r="AE36" s="10" t="s">
        <v>509</v>
      </c>
      <c r="AF36" s="15"/>
      <c r="AG36" s="10"/>
      <c r="AH36" s="10"/>
      <c r="AI36" s="10"/>
      <c r="AJ36" s="10" t="s">
        <v>510</v>
      </c>
      <c r="AK36" s="10" t="s">
        <v>102</v>
      </c>
      <c r="AL36" s="10" t="s">
        <v>147</v>
      </c>
      <c r="AM36" s="10"/>
      <c r="AN36" s="10"/>
      <c r="AO36" s="13" t="b">
        <v>0</v>
      </c>
      <c r="AP36" s="10" t="s">
        <v>104</v>
      </c>
      <c r="AQ36" s="10">
        <f ca="1">IFERROR(__xludf.DUMMYFUNCTION("""COMPUTED_VALUE"""),4525589)</f>
        <v>4525589</v>
      </c>
      <c r="AR36" s="17">
        <v>60980</v>
      </c>
      <c r="AS36" s="17">
        <v>37558</v>
      </c>
      <c r="AT36" s="17">
        <v>451236.5</v>
      </c>
      <c r="AU36" s="17">
        <v>127.55</v>
      </c>
      <c r="AV36" s="17">
        <v>45.25</v>
      </c>
      <c r="AW36" s="10" t="s">
        <v>105</v>
      </c>
      <c r="AX36" s="17">
        <v>9529</v>
      </c>
      <c r="AY36" s="18">
        <v>12.014391075137121</v>
      </c>
      <c r="AZ36" s="10" t="s">
        <v>148</v>
      </c>
      <c r="BA36" s="20" t="b">
        <v>0</v>
      </c>
      <c r="BB36" s="10"/>
      <c r="BC36" s="17">
        <v>60980</v>
      </c>
      <c r="BD36" s="17">
        <v>37558</v>
      </c>
      <c r="BE36" s="17">
        <v>451236.5</v>
      </c>
      <c r="BF36" s="17">
        <v>45.25</v>
      </c>
      <c r="BG36" s="11">
        <f ca="1">IFERROR(__xludf.DUMMYFUNCTION("""COMPUTED_VALUE"""),45900.8333333333)</f>
        <v>45900.833333333299</v>
      </c>
      <c r="BH36" s="17" t="s">
        <v>105</v>
      </c>
      <c r="BI36" s="17"/>
      <c r="BJ36" s="15"/>
      <c r="BK36" s="15"/>
      <c r="BL36" s="13" t="b">
        <v>1</v>
      </c>
      <c r="BM36" s="10"/>
      <c r="BN36" s="10" t="s">
        <v>351</v>
      </c>
      <c r="BO36" s="11">
        <v>45826.654861111114</v>
      </c>
      <c r="BP36" s="11">
        <v>45891.542280092595</v>
      </c>
      <c r="BQ36" s="15">
        <v>45894.864791666667</v>
      </c>
      <c r="BR36" s="15">
        <v>45895.440381944441</v>
      </c>
      <c r="BS36" s="10"/>
      <c r="BT36" s="10" t="s">
        <v>99</v>
      </c>
      <c r="BU36" s="10" t="s">
        <v>421</v>
      </c>
      <c r="BV36" s="10"/>
      <c r="BW36" s="10"/>
      <c r="BX36" s="10"/>
      <c r="BY36" s="23"/>
      <c r="BZ36" s="24" t="s">
        <v>299</v>
      </c>
      <c r="CA36" s="19" t="s">
        <v>511</v>
      </c>
      <c r="CB36" s="19" t="s">
        <v>512</v>
      </c>
      <c r="CC36" s="23"/>
      <c r="CD36" s="19" t="s">
        <v>513</v>
      </c>
      <c r="CE36" s="23"/>
      <c r="CF36" s="23"/>
      <c r="CG36" s="23"/>
      <c r="CH36" s="23"/>
      <c r="CI36" s="23"/>
    </row>
    <row r="37" spans="1:87" x14ac:dyDescent="0.3">
      <c r="A37" s="9" t="s">
        <v>514</v>
      </c>
      <c r="B37" s="10" t="s">
        <v>515</v>
      </c>
      <c r="C37" s="11">
        <v>45899.875</v>
      </c>
      <c r="D37" s="12">
        <v>8.3333333333333329E-2</v>
      </c>
      <c r="E37" s="11">
        <v>45899.958333333336</v>
      </c>
      <c r="F37" s="10" t="s">
        <v>262</v>
      </c>
      <c r="G37" s="13" t="b">
        <v>0</v>
      </c>
      <c r="H37" s="10" t="s">
        <v>305</v>
      </c>
      <c r="I37" s="10" t="s">
        <v>264</v>
      </c>
      <c r="J37" s="13" t="b">
        <v>0</v>
      </c>
      <c r="K37" s="13" t="b">
        <v>1</v>
      </c>
      <c r="L37" s="10" t="s">
        <v>124</v>
      </c>
      <c r="M37" s="10" t="s">
        <v>91</v>
      </c>
      <c r="N37" s="10" t="s">
        <v>265</v>
      </c>
      <c r="O37" s="19" t="s">
        <v>516</v>
      </c>
      <c r="P37" s="10"/>
      <c r="Q37" s="10" t="s">
        <v>126</v>
      </c>
      <c r="R37" s="10"/>
      <c r="S37" s="19" t="s">
        <v>517</v>
      </c>
      <c r="T37" s="19" t="s">
        <v>464</v>
      </c>
      <c r="U37" s="10" t="s">
        <v>429</v>
      </c>
      <c r="V37" s="10" t="s">
        <v>271</v>
      </c>
      <c r="W37" s="10" t="s">
        <v>272</v>
      </c>
      <c r="X37" s="10" t="s">
        <v>130</v>
      </c>
      <c r="Y37" s="10" t="s">
        <v>130</v>
      </c>
      <c r="Z37" s="10" t="s">
        <v>99</v>
      </c>
      <c r="AA37" s="10" t="s">
        <v>131</v>
      </c>
      <c r="AB37" s="10" t="s">
        <v>273</v>
      </c>
      <c r="AC37" s="10" t="s">
        <v>274</v>
      </c>
      <c r="AD37" s="10" t="s">
        <v>518</v>
      </c>
      <c r="AE37" s="10" t="s">
        <v>519</v>
      </c>
      <c r="AF37" s="15"/>
      <c r="AG37" s="10"/>
      <c r="AH37" s="10"/>
      <c r="AI37" s="10"/>
      <c r="AJ37" s="10" t="s">
        <v>520</v>
      </c>
      <c r="AK37" s="10" t="s">
        <v>102</v>
      </c>
      <c r="AL37" s="10" t="s">
        <v>147</v>
      </c>
      <c r="AM37" s="10"/>
      <c r="AN37" s="10"/>
      <c r="AO37" s="13" t="b">
        <v>1</v>
      </c>
      <c r="AP37" s="10" t="s">
        <v>104</v>
      </c>
      <c r="AQ37" s="10">
        <f ca="1">IFERROR(__xludf.DUMMYFUNCTION("""COMPUTED_VALUE"""),4525574)</f>
        <v>4525574</v>
      </c>
      <c r="AR37" s="17">
        <v>75990</v>
      </c>
      <c r="AS37" s="17">
        <v>45255</v>
      </c>
      <c r="AT37" s="17">
        <v>969154.5</v>
      </c>
      <c r="AU37" s="17">
        <v>426.7</v>
      </c>
      <c r="AV37" s="17">
        <v>169.25</v>
      </c>
      <c r="AW37" s="10" t="s">
        <v>105</v>
      </c>
      <c r="AX37" s="17">
        <v>12832</v>
      </c>
      <c r="AY37" s="18">
        <v>21.415412661584355</v>
      </c>
      <c r="AZ37" s="10" t="s">
        <v>148</v>
      </c>
      <c r="BA37" s="20" t="b">
        <v>0</v>
      </c>
      <c r="BB37" s="10"/>
      <c r="BC37" s="17">
        <v>75990</v>
      </c>
      <c r="BD37" s="17">
        <v>45255</v>
      </c>
      <c r="BE37" s="17">
        <v>969154.5</v>
      </c>
      <c r="BF37" s="17">
        <v>169.25</v>
      </c>
      <c r="BG37" s="11">
        <f ca="1">IFERROR(__xludf.DUMMYFUNCTION("""COMPUTED_VALUE"""),45899.875)</f>
        <v>45899.875</v>
      </c>
      <c r="BH37" s="17" t="s">
        <v>105</v>
      </c>
      <c r="BI37" s="17"/>
      <c r="BJ37" s="15"/>
      <c r="BK37" s="15"/>
      <c r="BL37" s="13" t="b">
        <v>1</v>
      </c>
      <c r="BM37" s="10"/>
      <c r="BN37" s="10" t="s">
        <v>351</v>
      </c>
      <c r="BO37" s="11">
        <v>45826.654861111114</v>
      </c>
      <c r="BP37" s="11">
        <v>45897.455254629633</v>
      </c>
      <c r="BQ37" s="15">
        <v>45894.864212962966</v>
      </c>
      <c r="BR37" s="15">
        <v>45895.428553240738</v>
      </c>
      <c r="BS37" s="10"/>
      <c r="BT37" s="10" t="s">
        <v>99</v>
      </c>
      <c r="BU37" s="10" t="s">
        <v>521</v>
      </c>
      <c r="BV37" s="10"/>
      <c r="BW37" s="10"/>
      <c r="BX37" s="10"/>
      <c r="BY37" s="23"/>
      <c r="BZ37" s="24" t="s">
        <v>284</v>
      </c>
      <c r="CA37" s="19" t="s">
        <v>522</v>
      </c>
      <c r="CB37" s="19" t="s">
        <v>523</v>
      </c>
      <c r="CC37" s="23"/>
      <c r="CD37" s="19" t="s">
        <v>524</v>
      </c>
      <c r="CE37" s="23"/>
      <c r="CF37" s="23"/>
      <c r="CG37" s="23"/>
      <c r="CH37" s="23"/>
      <c r="CI37" s="23"/>
    </row>
    <row r="38" spans="1:87" x14ac:dyDescent="0.3">
      <c r="A38" s="9" t="s">
        <v>525</v>
      </c>
      <c r="B38" s="10" t="s">
        <v>526</v>
      </c>
      <c r="C38" s="11">
        <v>45899.875</v>
      </c>
      <c r="D38" s="12">
        <v>8.3333333333333329E-2</v>
      </c>
      <c r="E38" s="11">
        <v>45899.958333333336</v>
      </c>
      <c r="F38" s="10" t="s">
        <v>262</v>
      </c>
      <c r="G38" s="13" t="b">
        <v>0</v>
      </c>
      <c r="H38" s="10" t="s">
        <v>527</v>
      </c>
      <c r="I38" s="10" t="s">
        <v>264</v>
      </c>
      <c r="J38" s="13" t="b">
        <v>0</v>
      </c>
      <c r="K38" s="13" t="b">
        <v>1</v>
      </c>
      <c r="L38" s="10" t="s">
        <v>124</v>
      </c>
      <c r="M38" s="10" t="s">
        <v>91</v>
      </c>
      <c r="N38" s="10" t="s">
        <v>265</v>
      </c>
      <c r="O38" s="19" t="s">
        <v>528</v>
      </c>
      <c r="P38" s="10"/>
      <c r="Q38" s="10" t="s">
        <v>126</v>
      </c>
      <c r="R38" s="10"/>
      <c r="S38" s="19" t="s">
        <v>529</v>
      </c>
      <c r="T38" s="19" t="s">
        <v>464</v>
      </c>
      <c r="U38" s="10" t="s">
        <v>333</v>
      </c>
      <c r="V38" s="10" t="s">
        <v>407</v>
      </c>
      <c r="W38" s="10" t="s">
        <v>272</v>
      </c>
      <c r="X38" s="10" t="s">
        <v>130</v>
      </c>
      <c r="Y38" s="10" t="s">
        <v>130</v>
      </c>
      <c r="Z38" s="10" t="s">
        <v>99</v>
      </c>
      <c r="AA38" s="10" t="s">
        <v>131</v>
      </c>
      <c r="AB38" s="10" t="s">
        <v>273</v>
      </c>
      <c r="AC38" s="10" t="s">
        <v>274</v>
      </c>
      <c r="AD38" s="10" t="s">
        <v>530</v>
      </c>
      <c r="AE38" s="10" t="s">
        <v>531</v>
      </c>
      <c r="AF38" s="15"/>
      <c r="AG38" s="10"/>
      <c r="AH38" s="10"/>
      <c r="AI38" s="10"/>
      <c r="AJ38" s="10" t="s">
        <v>532</v>
      </c>
      <c r="AK38" s="10" t="s">
        <v>102</v>
      </c>
      <c r="AL38" s="10" t="s">
        <v>147</v>
      </c>
      <c r="AM38" s="10"/>
      <c r="AN38" s="10"/>
      <c r="AO38" s="13" t="b">
        <v>0</v>
      </c>
      <c r="AP38" s="10" t="s">
        <v>104</v>
      </c>
      <c r="AQ38" s="10">
        <f ca="1">IFERROR(__xludf.DUMMYFUNCTION("""COMPUTED_VALUE"""),4525576)</f>
        <v>4525576</v>
      </c>
      <c r="AR38" s="17">
        <v>17768</v>
      </c>
      <c r="AS38" s="17">
        <v>11418</v>
      </c>
      <c r="AT38" s="17">
        <v>74323</v>
      </c>
      <c r="AU38" s="17">
        <v>35.35</v>
      </c>
      <c r="AV38" s="17">
        <v>14.8</v>
      </c>
      <c r="AW38" s="10" t="s">
        <v>105</v>
      </c>
      <c r="AX38" s="17">
        <v>1998</v>
      </c>
      <c r="AY38" s="18">
        <v>6.5092835873182695</v>
      </c>
      <c r="AZ38" s="10" t="s">
        <v>148</v>
      </c>
      <c r="BA38" s="20" t="b">
        <v>0</v>
      </c>
      <c r="BB38" s="10"/>
      <c r="BC38" s="17">
        <v>17768</v>
      </c>
      <c r="BD38" s="17">
        <v>11418</v>
      </c>
      <c r="BE38" s="17">
        <v>74323</v>
      </c>
      <c r="BF38" s="17">
        <v>14.8</v>
      </c>
      <c r="BG38" s="11">
        <f ca="1">IFERROR(__xludf.DUMMYFUNCTION("""COMPUTED_VALUE"""),45899.875)</f>
        <v>45899.875</v>
      </c>
      <c r="BH38" s="17" t="s">
        <v>105</v>
      </c>
      <c r="BI38" s="17"/>
      <c r="BJ38" s="15"/>
      <c r="BK38" s="15"/>
      <c r="BL38" s="13" t="b">
        <v>1</v>
      </c>
      <c r="BM38" s="10"/>
      <c r="BN38" s="10" t="s">
        <v>533</v>
      </c>
      <c r="BO38" s="11">
        <v>45826.65625</v>
      </c>
      <c r="BP38" s="11">
        <v>45891.540972222225</v>
      </c>
      <c r="BQ38" s="15">
        <v>45894.864340277774</v>
      </c>
      <c r="BR38" s="15">
        <v>45895.428402777776</v>
      </c>
      <c r="BS38" s="10"/>
      <c r="BT38" s="10" t="s">
        <v>99</v>
      </c>
      <c r="BU38" s="10" t="s">
        <v>534</v>
      </c>
      <c r="BV38" s="10"/>
      <c r="BW38" s="10"/>
      <c r="BX38" s="10"/>
      <c r="BY38" s="23"/>
      <c r="BZ38" s="24" t="s">
        <v>299</v>
      </c>
      <c r="CA38" s="19" t="s">
        <v>535</v>
      </c>
      <c r="CB38" s="19" t="s">
        <v>536</v>
      </c>
      <c r="CC38" s="23"/>
      <c r="CD38" s="19" t="s">
        <v>537</v>
      </c>
      <c r="CE38" s="23"/>
      <c r="CF38" s="23"/>
      <c r="CG38" s="23"/>
      <c r="CH38" s="23"/>
      <c r="CI38" s="23"/>
    </row>
    <row r="39" spans="1:87" x14ac:dyDescent="0.3">
      <c r="A39" s="9" t="s">
        <v>538</v>
      </c>
      <c r="B39" s="10" t="s">
        <v>539</v>
      </c>
      <c r="C39" s="11">
        <v>45913.770833333336</v>
      </c>
      <c r="D39" s="12">
        <v>8.3333333333333329E-2</v>
      </c>
      <c r="E39" s="11">
        <v>45913.854166666664</v>
      </c>
      <c r="F39" s="10" t="s">
        <v>262</v>
      </c>
      <c r="G39" s="13" t="b">
        <v>1</v>
      </c>
      <c r="H39" s="10" t="s">
        <v>263</v>
      </c>
      <c r="I39" s="10" t="s">
        <v>264</v>
      </c>
      <c r="J39" s="13" t="b">
        <v>0</v>
      </c>
      <c r="K39" s="13" t="b">
        <v>1</v>
      </c>
      <c r="L39" s="10" t="s">
        <v>124</v>
      </c>
      <c r="M39" s="10" t="s">
        <v>91</v>
      </c>
      <c r="N39" s="10" t="s">
        <v>265</v>
      </c>
      <c r="O39" s="19" t="s">
        <v>540</v>
      </c>
      <c r="P39" s="10" t="s">
        <v>267</v>
      </c>
      <c r="Q39" s="10" t="s">
        <v>126</v>
      </c>
      <c r="R39" s="10"/>
      <c r="S39" s="19" t="s">
        <v>541</v>
      </c>
      <c r="T39" s="19" t="s">
        <v>542</v>
      </c>
      <c r="U39" s="10" t="s">
        <v>362</v>
      </c>
      <c r="V39" s="10" t="s">
        <v>320</v>
      </c>
      <c r="W39" s="10" t="s">
        <v>272</v>
      </c>
      <c r="X39" s="10" t="s">
        <v>130</v>
      </c>
      <c r="Y39" s="10" t="s">
        <v>130</v>
      </c>
      <c r="Z39" s="10" t="s">
        <v>99</v>
      </c>
      <c r="AA39" s="10" t="s">
        <v>131</v>
      </c>
      <c r="AB39" s="10" t="s">
        <v>273</v>
      </c>
      <c r="AC39" s="10" t="s">
        <v>274</v>
      </c>
      <c r="AD39" s="10" t="s">
        <v>543</v>
      </c>
      <c r="AE39" s="10" t="s">
        <v>544</v>
      </c>
      <c r="AF39" s="15"/>
      <c r="AG39" s="10"/>
      <c r="AH39" s="10"/>
      <c r="AI39" s="10"/>
      <c r="AJ39" s="10" t="s">
        <v>545</v>
      </c>
      <c r="AK39" s="10" t="s">
        <v>102</v>
      </c>
      <c r="AL39" s="10" t="s">
        <v>156</v>
      </c>
      <c r="AM39" s="10"/>
      <c r="AN39" s="10"/>
      <c r="AO39" s="13" t="b">
        <v>1</v>
      </c>
      <c r="AP39" s="10" t="s">
        <v>104</v>
      </c>
      <c r="AQ39" s="10">
        <f ca="1">IFERROR(__xludf.DUMMYFUNCTION("""COMPUTED_VALUE"""),4562501)</f>
        <v>4562501</v>
      </c>
      <c r="AR39" s="17">
        <v>336750</v>
      </c>
      <c r="AS39" s="17">
        <v>194933</v>
      </c>
      <c r="AT39" s="17">
        <v>7441320.5</v>
      </c>
      <c r="AU39" s="17">
        <v>4686.7</v>
      </c>
      <c r="AV39" s="17">
        <v>975.3</v>
      </c>
      <c r="AW39" s="10" t="s">
        <v>297</v>
      </c>
      <c r="AX39" s="17">
        <v>71809</v>
      </c>
      <c r="AY39" s="18">
        <v>38.173734052212815</v>
      </c>
      <c r="AZ39" s="10" t="s">
        <v>148</v>
      </c>
      <c r="BA39" s="20" t="b">
        <v>0</v>
      </c>
      <c r="BB39" s="10"/>
      <c r="BC39" s="17">
        <v>336750</v>
      </c>
      <c r="BD39" s="17">
        <v>194933</v>
      </c>
      <c r="BE39" s="17">
        <v>7441320.5</v>
      </c>
      <c r="BF39" s="17">
        <v>975.3</v>
      </c>
      <c r="BG39" s="11">
        <f ca="1">IFERROR(__xludf.DUMMYFUNCTION("""COMPUTED_VALUE"""),45913.75)</f>
        <v>45913.75</v>
      </c>
      <c r="BH39" s="17" t="s">
        <v>297</v>
      </c>
      <c r="BI39" s="17"/>
      <c r="BJ39" s="15"/>
      <c r="BK39" s="15"/>
      <c r="BL39" s="13" t="b">
        <v>1</v>
      </c>
      <c r="BM39" s="10"/>
      <c r="BN39" s="10" t="s">
        <v>351</v>
      </c>
      <c r="BO39" s="11">
        <v>45826.661111111112</v>
      </c>
      <c r="BP39" s="11">
        <v>45906.999525462961</v>
      </c>
      <c r="BQ39" s="15">
        <v>45909.812511574077</v>
      </c>
      <c r="BR39" s="15">
        <v>45910.086018518516</v>
      </c>
      <c r="BS39" s="10"/>
      <c r="BT39" s="10" t="s">
        <v>279</v>
      </c>
      <c r="BU39" s="10" t="s">
        <v>546</v>
      </c>
      <c r="BV39" s="10" t="s">
        <v>124</v>
      </c>
      <c r="BW39" s="10"/>
      <c r="BX39" s="10"/>
      <c r="BY39" s="23"/>
      <c r="BZ39" s="24" t="s">
        <v>284</v>
      </c>
      <c r="CA39" s="19" t="s">
        <v>547</v>
      </c>
      <c r="CB39" s="19" t="s">
        <v>548</v>
      </c>
      <c r="CC39" s="23"/>
      <c r="CD39" s="19" t="s">
        <v>549</v>
      </c>
      <c r="CE39" s="23"/>
      <c r="CF39" s="23"/>
      <c r="CG39" s="23"/>
      <c r="CH39" s="23"/>
      <c r="CI39" s="23"/>
    </row>
    <row r="40" spans="1:87" x14ac:dyDescent="0.3">
      <c r="A40" s="9" t="s">
        <v>550</v>
      </c>
      <c r="B40" s="10" t="s">
        <v>551</v>
      </c>
      <c r="C40" s="11">
        <v>45913.875</v>
      </c>
      <c r="D40" s="12">
        <v>8.3333333333333329E-2</v>
      </c>
      <c r="E40" s="11">
        <v>45913.958333333336</v>
      </c>
      <c r="F40" s="10" t="s">
        <v>262</v>
      </c>
      <c r="G40" s="13" t="b">
        <v>0</v>
      </c>
      <c r="H40" s="10" t="s">
        <v>527</v>
      </c>
      <c r="I40" s="10" t="s">
        <v>264</v>
      </c>
      <c r="J40" s="13" t="b">
        <v>0</v>
      </c>
      <c r="K40" s="13" t="b">
        <v>1</v>
      </c>
      <c r="L40" s="10" t="s">
        <v>124</v>
      </c>
      <c r="M40" s="10" t="s">
        <v>91</v>
      </c>
      <c r="N40" s="10" t="s">
        <v>265</v>
      </c>
      <c r="O40" s="19" t="s">
        <v>552</v>
      </c>
      <c r="P40" s="10"/>
      <c r="Q40" s="10" t="s">
        <v>126</v>
      </c>
      <c r="R40" s="10"/>
      <c r="S40" s="19" t="s">
        <v>553</v>
      </c>
      <c r="T40" s="19" t="s">
        <v>542</v>
      </c>
      <c r="U40" s="10" t="s">
        <v>271</v>
      </c>
      <c r="V40" s="10" t="s">
        <v>308</v>
      </c>
      <c r="W40" s="10" t="s">
        <v>272</v>
      </c>
      <c r="X40" s="10" t="s">
        <v>130</v>
      </c>
      <c r="Y40" s="10" t="s">
        <v>130</v>
      </c>
      <c r="Z40" s="10" t="s">
        <v>99</v>
      </c>
      <c r="AA40" s="10" t="s">
        <v>131</v>
      </c>
      <c r="AB40" s="10" t="s">
        <v>273</v>
      </c>
      <c r="AC40" s="10" t="s">
        <v>274</v>
      </c>
      <c r="AD40" s="10" t="s">
        <v>554</v>
      </c>
      <c r="AE40" s="10" t="s">
        <v>555</v>
      </c>
      <c r="AF40" s="15"/>
      <c r="AG40" s="10"/>
      <c r="AH40" s="10"/>
      <c r="AI40" s="10"/>
      <c r="AJ40" s="10" t="s">
        <v>556</v>
      </c>
      <c r="AK40" s="10" t="s">
        <v>102</v>
      </c>
      <c r="AL40" s="10" t="s">
        <v>156</v>
      </c>
      <c r="AM40" s="10"/>
      <c r="AN40" s="10"/>
      <c r="AO40" s="13" t="b">
        <v>0</v>
      </c>
      <c r="AP40" s="10" t="s">
        <v>104</v>
      </c>
      <c r="AQ40" s="10">
        <f ca="1">IFERROR(__xludf.DUMMYFUNCTION("""COMPUTED_VALUE"""),4562507)</f>
        <v>4562507</v>
      </c>
      <c r="AR40" s="17">
        <v>35961</v>
      </c>
      <c r="AS40" s="17">
        <v>23417</v>
      </c>
      <c r="AT40" s="17">
        <v>284948.5</v>
      </c>
      <c r="AU40" s="17">
        <v>139.05000000000001</v>
      </c>
      <c r="AV40" s="17">
        <v>32.15</v>
      </c>
      <c r="AW40" s="10" t="s">
        <v>105</v>
      </c>
      <c r="AX40" s="17">
        <v>5167</v>
      </c>
      <c r="AY40" s="18">
        <v>12.168446000768672</v>
      </c>
      <c r="AZ40" s="10" t="s">
        <v>148</v>
      </c>
      <c r="BA40" s="20" t="b">
        <v>0</v>
      </c>
      <c r="BB40" s="10"/>
      <c r="BC40" s="17">
        <v>35961</v>
      </c>
      <c r="BD40" s="17">
        <v>23417</v>
      </c>
      <c r="BE40" s="17">
        <v>284948.5</v>
      </c>
      <c r="BF40" s="17">
        <v>32.15</v>
      </c>
      <c r="BG40" s="11">
        <f ca="1">IFERROR(__xludf.DUMMYFUNCTION("""COMPUTED_VALUE"""),45913.875)</f>
        <v>45913.875</v>
      </c>
      <c r="BH40" s="17" t="s">
        <v>105</v>
      </c>
      <c r="BI40" s="17"/>
      <c r="BJ40" s="15"/>
      <c r="BK40" s="15"/>
      <c r="BL40" s="13" t="b">
        <v>1</v>
      </c>
      <c r="BM40" s="10"/>
      <c r="BN40" s="10" t="s">
        <v>137</v>
      </c>
      <c r="BO40" s="11">
        <v>45826.662499999999</v>
      </c>
      <c r="BP40" s="11">
        <v>45907.000069444446</v>
      </c>
      <c r="BQ40" s="15">
        <v>45909.812638888892</v>
      </c>
      <c r="BR40" s="15">
        <v>45910.086342592593</v>
      </c>
      <c r="BS40" s="10" t="s">
        <v>137</v>
      </c>
      <c r="BT40" s="10" t="s">
        <v>279</v>
      </c>
      <c r="BU40" s="10" t="s">
        <v>557</v>
      </c>
      <c r="BV40" s="10"/>
      <c r="BW40" s="10"/>
      <c r="BX40" s="10"/>
      <c r="BY40" s="23"/>
      <c r="BZ40" s="24" t="s">
        <v>299</v>
      </c>
      <c r="CA40" s="19" t="s">
        <v>558</v>
      </c>
      <c r="CB40" s="19" t="s">
        <v>559</v>
      </c>
      <c r="CC40" s="23"/>
      <c r="CD40" s="19" t="s">
        <v>560</v>
      </c>
      <c r="CE40" s="23"/>
      <c r="CF40" s="23"/>
      <c r="CG40" s="23"/>
      <c r="CH40" s="23"/>
      <c r="CI40" s="23"/>
    </row>
    <row r="41" spans="1:87" x14ac:dyDescent="0.3">
      <c r="A41" s="9" t="s">
        <v>561</v>
      </c>
      <c r="B41" s="10" t="s">
        <v>562</v>
      </c>
      <c r="C41" s="11">
        <v>45914.083333333336</v>
      </c>
      <c r="D41" s="12">
        <v>8.3333333333333329E-2</v>
      </c>
      <c r="E41" s="11">
        <v>45914.166666666664</v>
      </c>
      <c r="F41" s="10" t="s">
        <v>262</v>
      </c>
      <c r="G41" s="13" t="b">
        <v>0</v>
      </c>
      <c r="H41" s="10" t="s">
        <v>263</v>
      </c>
      <c r="I41" s="10" t="s">
        <v>264</v>
      </c>
      <c r="J41" s="13" t="b">
        <v>0</v>
      </c>
      <c r="K41" s="13" t="b">
        <v>1</v>
      </c>
      <c r="L41" s="10" t="s">
        <v>124</v>
      </c>
      <c r="M41" s="10" t="s">
        <v>91</v>
      </c>
      <c r="N41" s="10" t="s">
        <v>265</v>
      </c>
      <c r="O41" s="19" t="s">
        <v>563</v>
      </c>
      <c r="P41" s="10" t="s">
        <v>267</v>
      </c>
      <c r="Q41" s="10" t="s">
        <v>126</v>
      </c>
      <c r="R41" s="10"/>
      <c r="S41" s="19" t="s">
        <v>564</v>
      </c>
      <c r="T41" s="19" t="s">
        <v>542</v>
      </c>
      <c r="U41" s="10" t="s">
        <v>321</v>
      </c>
      <c r="V41" s="10" t="s">
        <v>346</v>
      </c>
      <c r="W41" s="10" t="s">
        <v>272</v>
      </c>
      <c r="X41" s="10" t="s">
        <v>130</v>
      </c>
      <c r="Y41" s="10" t="s">
        <v>130</v>
      </c>
      <c r="Z41" s="10" t="s">
        <v>99</v>
      </c>
      <c r="AA41" s="10" t="s">
        <v>131</v>
      </c>
      <c r="AB41" s="10" t="s">
        <v>273</v>
      </c>
      <c r="AC41" s="10" t="s">
        <v>274</v>
      </c>
      <c r="AD41" s="10" t="s">
        <v>565</v>
      </c>
      <c r="AE41" s="10" t="s">
        <v>566</v>
      </c>
      <c r="AF41" s="15"/>
      <c r="AG41" s="10"/>
      <c r="AH41" s="10"/>
      <c r="AI41" s="10"/>
      <c r="AJ41" s="10" t="s">
        <v>567</v>
      </c>
      <c r="AK41" s="10" t="s">
        <v>102</v>
      </c>
      <c r="AL41" s="10" t="s">
        <v>156</v>
      </c>
      <c r="AM41" s="10"/>
      <c r="AN41" s="10"/>
      <c r="AO41" s="13" t="b">
        <v>1</v>
      </c>
      <c r="AP41" s="10" t="s">
        <v>104</v>
      </c>
      <c r="AQ41" s="10">
        <f ca="1">IFERROR(__xludf.DUMMYFUNCTION("""COMPUTED_VALUE"""),4562504)</f>
        <v>4562504</v>
      </c>
      <c r="AR41" s="17">
        <v>60425</v>
      </c>
      <c r="AS41" s="17">
        <v>39428</v>
      </c>
      <c r="AT41" s="17">
        <v>2032811</v>
      </c>
      <c r="AU41" s="17">
        <v>427.75</v>
      </c>
      <c r="AV41" s="17">
        <v>134.25</v>
      </c>
      <c r="AW41" s="10" t="s">
        <v>105</v>
      </c>
      <c r="AX41" s="17">
        <v>22245</v>
      </c>
      <c r="AY41" s="18">
        <v>51.557547935477324</v>
      </c>
      <c r="AZ41" s="10" t="s">
        <v>148</v>
      </c>
      <c r="BA41" s="20" t="b">
        <v>0</v>
      </c>
      <c r="BB41" s="10"/>
      <c r="BC41" s="17">
        <v>60425</v>
      </c>
      <c r="BD41" s="17">
        <v>39428</v>
      </c>
      <c r="BE41" s="17">
        <v>2032811</v>
      </c>
      <c r="BF41" s="17">
        <v>134.25</v>
      </c>
      <c r="BG41" s="11">
        <f ca="1">IFERROR(__xludf.DUMMYFUNCTION("""COMPUTED_VALUE"""),45914.0833333333)</f>
        <v>45914.083333333299</v>
      </c>
      <c r="BH41" s="17" t="s">
        <v>105</v>
      </c>
      <c r="BI41" s="17"/>
      <c r="BJ41" s="15"/>
      <c r="BK41" s="15"/>
      <c r="BL41" s="13" t="b">
        <v>1</v>
      </c>
      <c r="BM41" s="10"/>
      <c r="BN41" s="10" t="s">
        <v>351</v>
      </c>
      <c r="BO41" s="11">
        <v>45826.663888888892</v>
      </c>
      <c r="BP41" s="11">
        <v>45907.001932870371</v>
      </c>
      <c r="BQ41" s="15">
        <v>45909.813425925924</v>
      </c>
      <c r="BR41" s="15">
        <v>45910.087395833332</v>
      </c>
      <c r="BS41" s="10"/>
      <c r="BT41" s="10" t="s">
        <v>279</v>
      </c>
      <c r="BU41" s="10" t="s">
        <v>568</v>
      </c>
      <c r="BV41" s="10"/>
      <c r="BW41" s="10"/>
      <c r="BX41" s="10"/>
      <c r="BY41" s="23"/>
      <c r="BZ41" s="24" t="s">
        <v>284</v>
      </c>
      <c r="CA41" s="19" t="s">
        <v>569</v>
      </c>
      <c r="CB41" s="19" t="s">
        <v>570</v>
      </c>
      <c r="CC41" s="23"/>
      <c r="CD41" s="19" t="s">
        <v>571</v>
      </c>
      <c r="CE41" s="23"/>
      <c r="CF41" s="23"/>
      <c r="CG41" s="23"/>
      <c r="CH41" s="23"/>
      <c r="CI41" s="23"/>
    </row>
    <row r="42" spans="1:87" x14ac:dyDescent="0.3">
      <c r="A42" s="9" t="s">
        <v>572</v>
      </c>
      <c r="B42" s="10" t="s">
        <v>573</v>
      </c>
      <c r="C42" s="11">
        <v>45913.875</v>
      </c>
      <c r="D42" s="12">
        <v>8.3333333333333329E-2</v>
      </c>
      <c r="E42" s="11">
        <v>45913.958333333336</v>
      </c>
      <c r="F42" s="10" t="s">
        <v>262</v>
      </c>
      <c r="G42" s="13" t="b">
        <v>0</v>
      </c>
      <c r="H42" s="10" t="s">
        <v>305</v>
      </c>
      <c r="I42" s="10" t="s">
        <v>264</v>
      </c>
      <c r="J42" s="13" t="b">
        <v>0</v>
      </c>
      <c r="K42" s="13" t="b">
        <v>1</v>
      </c>
      <c r="L42" s="10" t="s">
        <v>124</v>
      </c>
      <c r="M42" s="10" t="s">
        <v>91</v>
      </c>
      <c r="N42" s="10" t="s">
        <v>265</v>
      </c>
      <c r="O42" s="19" t="s">
        <v>574</v>
      </c>
      <c r="P42" s="10" t="s">
        <v>575</v>
      </c>
      <c r="Q42" s="10" t="s">
        <v>126</v>
      </c>
      <c r="R42" s="10"/>
      <c r="S42" s="19" t="s">
        <v>576</v>
      </c>
      <c r="T42" s="19" t="s">
        <v>542</v>
      </c>
      <c r="U42" s="10" t="s">
        <v>407</v>
      </c>
      <c r="V42" s="10" t="s">
        <v>292</v>
      </c>
      <c r="W42" s="10" t="s">
        <v>272</v>
      </c>
      <c r="X42" s="10" t="s">
        <v>130</v>
      </c>
      <c r="Y42" s="10" t="s">
        <v>130</v>
      </c>
      <c r="Z42" s="10" t="s">
        <v>99</v>
      </c>
      <c r="AA42" s="10" t="s">
        <v>131</v>
      </c>
      <c r="AB42" s="10" t="s">
        <v>273</v>
      </c>
      <c r="AC42" s="10" t="s">
        <v>274</v>
      </c>
      <c r="AD42" s="10" t="s">
        <v>577</v>
      </c>
      <c r="AE42" s="10" t="s">
        <v>578</v>
      </c>
      <c r="AF42" s="15"/>
      <c r="AG42" s="10"/>
      <c r="AH42" s="10"/>
      <c r="AI42" s="10"/>
      <c r="AJ42" s="10" t="s">
        <v>579</v>
      </c>
      <c r="AK42" s="10" t="s">
        <v>102</v>
      </c>
      <c r="AL42" s="10" t="s">
        <v>156</v>
      </c>
      <c r="AM42" s="10"/>
      <c r="AN42" s="10"/>
      <c r="AO42" s="13" t="b">
        <v>0</v>
      </c>
      <c r="AP42" s="10" t="s">
        <v>104</v>
      </c>
      <c r="AQ42" s="10">
        <f ca="1">IFERROR(__xludf.DUMMYFUNCTION("""COMPUTED_VALUE"""),4562681)</f>
        <v>4562681</v>
      </c>
      <c r="AR42" s="17">
        <v>97315</v>
      </c>
      <c r="AS42" s="17">
        <v>62052</v>
      </c>
      <c r="AT42" s="17">
        <v>1237006</v>
      </c>
      <c r="AU42" s="17">
        <v>557.79999999999995</v>
      </c>
      <c r="AV42" s="17">
        <v>102.85</v>
      </c>
      <c r="AW42" s="10" t="s">
        <v>105</v>
      </c>
      <c r="AX42" s="17">
        <v>14658</v>
      </c>
      <c r="AY42" s="18">
        <v>19.934990008380069</v>
      </c>
      <c r="AZ42" s="10" t="s">
        <v>148</v>
      </c>
      <c r="BA42" s="20" t="b">
        <v>0</v>
      </c>
      <c r="BB42" s="10"/>
      <c r="BC42" s="17">
        <v>97315</v>
      </c>
      <c r="BD42" s="17">
        <v>62052</v>
      </c>
      <c r="BE42" s="17">
        <v>1237006</v>
      </c>
      <c r="BF42" s="17">
        <v>102.85</v>
      </c>
      <c r="BG42" s="11">
        <f ca="1">IFERROR(__xludf.DUMMYFUNCTION("""COMPUTED_VALUE"""),45913.875)</f>
        <v>45913.875</v>
      </c>
      <c r="BH42" s="17" t="s">
        <v>105</v>
      </c>
      <c r="BI42" s="17"/>
      <c r="BJ42" s="15"/>
      <c r="BK42" s="15"/>
      <c r="BL42" s="13" t="b">
        <v>0</v>
      </c>
      <c r="BM42" s="10"/>
      <c r="BN42" s="10" t="s">
        <v>137</v>
      </c>
      <c r="BO42" s="11">
        <v>45826.665277777778</v>
      </c>
      <c r="BP42" s="11">
        <v>45907.000983796293</v>
      </c>
      <c r="BQ42" s="15">
        <v>45909.812858796293</v>
      </c>
      <c r="BR42" s="15">
        <v>45910.09783564815</v>
      </c>
      <c r="BS42" s="10" t="s">
        <v>137</v>
      </c>
      <c r="BT42" s="10" t="s">
        <v>279</v>
      </c>
      <c r="BU42" s="10" t="s">
        <v>580</v>
      </c>
      <c r="BV42" s="10"/>
      <c r="BW42" s="10"/>
      <c r="BX42" s="10"/>
      <c r="BY42" s="23"/>
      <c r="BZ42" s="24" t="s">
        <v>299</v>
      </c>
      <c r="CA42" s="19" t="s">
        <v>581</v>
      </c>
      <c r="CB42" s="19" t="s">
        <v>582</v>
      </c>
      <c r="CC42" s="23"/>
      <c r="CD42" s="19" t="s">
        <v>583</v>
      </c>
      <c r="CE42" s="23"/>
      <c r="CF42" s="23"/>
      <c r="CG42" s="23"/>
      <c r="CH42" s="23"/>
      <c r="CI42" s="23"/>
    </row>
    <row r="43" spans="1:87" x14ac:dyDescent="0.3">
      <c r="A43" s="9" t="s">
        <v>584</v>
      </c>
      <c r="B43" s="10" t="s">
        <v>585</v>
      </c>
      <c r="C43" s="11">
        <v>45885.875</v>
      </c>
      <c r="D43" s="12">
        <v>8.3333333333333329E-2</v>
      </c>
      <c r="E43" s="11">
        <v>45885.958333333336</v>
      </c>
      <c r="F43" s="10" t="s">
        <v>262</v>
      </c>
      <c r="G43" s="13" t="b">
        <v>0</v>
      </c>
      <c r="H43" s="10" t="s">
        <v>527</v>
      </c>
      <c r="I43" s="10" t="s">
        <v>264</v>
      </c>
      <c r="J43" s="13" t="b">
        <v>0</v>
      </c>
      <c r="K43" s="13" t="b">
        <v>1</v>
      </c>
      <c r="L43" s="10" t="s">
        <v>124</v>
      </c>
      <c r="M43" s="10" t="s">
        <v>91</v>
      </c>
      <c r="N43" s="10" t="s">
        <v>265</v>
      </c>
      <c r="O43" s="19" t="s">
        <v>586</v>
      </c>
      <c r="P43" s="10"/>
      <c r="Q43" s="10" t="s">
        <v>126</v>
      </c>
      <c r="R43" s="10"/>
      <c r="S43" s="19" t="s">
        <v>587</v>
      </c>
      <c r="T43" s="19" t="s">
        <v>269</v>
      </c>
      <c r="U43" s="10" t="s">
        <v>588</v>
      </c>
      <c r="V43" s="10" t="s">
        <v>451</v>
      </c>
      <c r="W43" s="10" t="s">
        <v>272</v>
      </c>
      <c r="X43" s="10" t="s">
        <v>130</v>
      </c>
      <c r="Y43" s="10" t="s">
        <v>130</v>
      </c>
      <c r="Z43" s="10" t="s">
        <v>99</v>
      </c>
      <c r="AA43" s="10" t="s">
        <v>131</v>
      </c>
      <c r="AB43" s="10" t="s">
        <v>273</v>
      </c>
      <c r="AC43" s="10" t="s">
        <v>274</v>
      </c>
      <c r="AD43" s="10" t="s">
        <v>589</v>
      </c>
      <c r="AE43" s="10" t="s">
        <v>590</v>
      </c>
      <c r="AF43" s="15"/>
      <c r="AG43" s="10"/>
      <c r="AH43" s="10"/>
      <c r="AI43" s="10"/>
      <c r="AJ43" s="10" t="s">
        <v>591</v>
      </c>
      <c r="AK43" s="10" t="s">
        <v>102</v>
      </c>
      <c r="AL43" s="10" t="s">
        <v>103</v>
      </c>
      <c r="AM43" s="10"/>
      <c r="AN43" s="10"/>
      <c r="AO43" s="13" t="b">
        <v>0</v>
      </c>
      <c r="AP43" s="10" t="s">
        <v>104</v>
      </c>
      <c r="AQ43" s="10">
        <f ca="1">IFERROR(__xludf.DUMMYFUNCTION("""COMPUTED_VALUE"""),4497025)</f>
        <v>4497025</v>
      </c>
      <c r="AR43" s="17">
        <v>48345</v>
      </c>
      <c r="AS43" s="17">
        <v>31712</v>
      </c>
      <c r="AT43" s="17">
        <v>395339.25</v>
      </c>
      <c r="AU43" s="17">
        <v>713.4</v>
      </c>
      <c r="AV43" s="17">
        <v>319.05</v>
      </c>
      <c r="AW43" s="10" t="s">
        <v>105</v>
      </c>
      <c r="AX43" s="17">
        <v>7223</v>
      </c>
      <c r="AY43" s="18">
        <v>12.46655051715439</v>
      </c>
      <c r="AZ43" s="10" t="s">
        <v>148</v>
      </c>
      <c r="BA43" s="20" t="b">
        <v>0</v>
      </c>
      <c r="BB43" s="10"/>
      <c r="BC43" s="17">
        <v>48345</v>
      </c>
      <c r="BD43" s="17">
        <v>31712</v>
      </c>
      <c r="BE43" s="17">
        <v>395339.25</v>
      </c>
      <c r="BF43" s="17">
        <v>319.05</v>
      </c>
      <c r="BG43" s="11">
        <f ca="1">IFERROR(__xludf.DUMMYFUNCTION("""COMPUTED_VALUE"""),45885.875)</f>
        <v>45885.875</v>
      </c>
      <c r="BH43" s="17" t="s">
        <v>105</v>
      </c>
      <c r="BI43" s="17"/>
      <c r="BJ43" s="15"/>
      <c r="BK43" s="15"/>
      <c r="BL43" s="13" t="b">
        <v>1</v>
      </c>
      <c r="BM43" s="10"/>
      <c r="BN43" s="10" t="s">
        <v>118</v>
      </c>
      <c r="BO43" s="11">
        <v>45826.668055555558</v>
      </c>
      <c r="BP43" s="11">
        <v>45884.54760416667</v>
      </c>
      <c r="BQ43" s="15">
        <v>45882.793379629627</v>
      </c>
      <c r="BR43" s="15">
        <v>45882.92082175926</v>
      </c>
      <c r="BS43" s="10" t="s">
        <v>118</v>
      </c>
      <c r="BT43" s="10" t="s">
        <v>279</v>
      </c>
      <c r="BU43" s="10" t="s">
        <v>421</v>
      </c>
      <c r="BV43" s="10"/>
      <c r="BW43" s="10"/>
      <c r="BX43" s="10"/>
      <c r="BY43" s="23"/>
      <c r="BZ43" s="24" t="s">
        <v>299</v>
      </c>
      <c r="CA43" s="19" t="s">
        <v>592</v>
      </c>
      <c r="CB43" s="19" t="s">
        <v>593</v>
      </c>
      <c r="CC43" s="23"/>
      <c r="CD43" s="19" t="s">
        <v>594</v>
      </c>
      <c r="CE43" s="23"/>
      <c r="CF43" s="23"/>
      <c r="CG43" s="23"/>
      <c r="CH43" s="23"/>
      <c r="CI43" s="23"/>
    </row>
    <row r="44" spans="1:87" x14ac:dyDescent="0.3">
      <c r="A44" s="9" t="s">
        <v>595</v>
      </c>
      <c r="B44" s="10" t="s">
        <v>596</v>
      </c>
      <c r="C44" s="11">
        <v>45914.9375</v>
      </c>
      <c r="D44" s="12">
        <v>8.3333333333333329E-2</v>
      </c>
      <c r="E44" s="11">
        <v>45915.020833333336</v>
      </c>
      <c r="F44" s="10" t="s">
        <v>262</v>
      </c>
      <c r="G44" s="13" t="b">
        <v>1</v>
      </c>
      <c r="H44" s="10" t="s">
        <v>263</v>
      </c>
      <c r="I44" s="10" t="s">
        <v>264</v>
      </c>
      <c r="J44" s="13" t="b">
        <v>0</v>
      </c>
      <c r="K44" s="13" t="b">
        <v>1</v>
      </c>
      <c r="L44" s="10" t="s">
        <v>358</v>
      </c>
      <c r="M44" s="10" t="s">
        <v>91</v>
      </c>
      <c r="N44" s="10" t="s">
        <v>265</v>
      </c>
      <c r="O44" s="19" t="s">
        <v>597</v>
      </c>
      <c r="P44" s="10" t="s">
        <v>267</v>
      </c>
      <c r="Q44" s="10" t="s">
        <v>126</v>
      </c>
      <c r="R44" s="10"/>
      <c r="S44" s="19" t="s">
        <v>598</v>
      </c>
      <c r="T44" s="19" t="s">
        <v>542</v>
      </c>
      <c r="U44" s="10" t="s">
        <v>334</v>
      </c>
      <c r="V44" s="10" t="s">
        <v>361</v>
      </c>
      <c r="W44" s="10" t="s">
        <v>272</v>
      </c>
      <c r="X44" s="10" t="s">
        <v>130</v>
      </c>
      <c r="Y44" s="10" t="s">
        <v>130</v>
      </c>
      <c r="Z44" s="10" t="s">
        <v>99</v>
      </c>
      <c r="AA44" s="10" t="s">
        <v>131</v>
      </c>
      <c r="AB44" s="10" t="s">
        <v>273</v>
      </c>
      <c r="AC44" s="10" t="s">
        <v>274</v>
      </c>
      <c r="AD44" s="10" t="s">
        <v>599</v>
      </c>
      <c r="AE44" s="10" t="s">
        <v>600</v>
      </c>
      <c r="AF44" s="15"/>
      <c r="AG44" s="10"/>
      <c r="AH44" s="10"/>
      <c r="AI44" s="10"/>
      <c r="AJ44" s="10" t="s">
        <v>601</v>
      </c>
      <c r="AK44" s="10" t="s">
        <v>102</v>
      </c>
      <c r="AL44" s="10" t="s">
        <v>156</v>
      </c>
      <c r="AM44" s="10"/>
      <c r="AN44" s="10"/>
      <c r="AO44" s="13" t="b">
        <v>1</v>
      </c>
      <c r="AP44" s="10" t="s">
        <v>104</v>
      </c>
      <c r="AQ44" s="10">
        <f ca="1">IFERROR(__xludf.DUMMYFUNCTION("""COMPUTED_VALUE"""),4562506)</f>
        <v>4562506</v>
      </c>
      <c r="AR44" s="17">
        <v>449989</v>
      </c>
      <c r="AS44" s="17">
        <v>285100</v>
      </c>
      <c r="AT44" s="17">
        <v>10142298.5</v>
      </c>
      <c r="AU44" s="17">
        <v>7555.35</v>
      </c>
      <c r="AV44" s="17">
        <v>2399.9499999999998</v>
      </c>
      <c r="AW44" s="10" t="s">
        <v>297</v>
      </c>
      <c r="AX44" s="17">
        <v>163125</v>
      </c>
      <c r="AY44" s="18">
        <v>35.574529989477377</v>
      </c>
      <c r="AZ44" s="10" t="s">
        <v>148</v>
      </c>
      <c r="BA44" s="20" t="b">
        <v>0</v>
      </c>
      <c r="BB44" s="10"/>
      <c r="BC44" s="17">
        <v>449989</v>
      </c>
      <c r="BD44" s="17">
        <v>285100</v>
      </c>
      <c r="BE44" s="17">
        <v>10142298.5</v>
      </c>
      <c r="BF44" s="17">
        <v>2399.9499999999998</v>
      </c>
      <c r="BG44" s="11">
        <f ca="1">IFERROR(__xludf.DUMMYFUNCTION("""COMPUTED_VALUE"""),45914.9166666666)</f>
        <v>45914.916666666599</v>
      </c>
      <c r="BH44" s="17" t="s">
        <v>297</v>
      </c>
      <c r="BI44" s="17"/>
      <c r="BJ44" s="15"/>
      <c r="BK44" s="15"/>
      <c r="BL44" s="13" t="b">
        <v>1</v>
      </c>
      <c r="BM44" s="10"/>
      <c r="BN44" s="10" t="s">
        <v>351</v>
      </c>
      <c r="BO44" s="11">
        <v>45826.665972222225</v>
      </c>
      <c r="BP44" s="11">
        <v>45907.002835648149</v>
      </c>
      <c r="BQ44" s="15">
        <v>45909.813726851855</v>
      </c>
      <c r="BR44" s="15">
        <v>45910.087870370371</v>
      </c>
      <c r="BS44" s="10"/>
      <c r="BT44" s="10" t="s">
        <v>279</v>
      </c>
      <c r="BU44" s="10" t="s">
        <v>298</v>
      </c>
      <c r="BV44" s="10" t="s">
        <v>499</v>
      </c>
      <c r="BW44" s="10"/>
      <c r="BX44" s="10"/>
      <c r="BY44" s="23"/>
      <c r="BZ44" s="24" t="s">
        <v>368</v>
      </c>
      <c r="CA44" s="19" t="s">
        <v>602</v>
      </c>
      <c r="CB44" s="19" t="s">
        <v>603</v>
      </c>
      <c r="CC44" s="23"/>
      <c r="CD44" s="19" t="s">
        <v>604</v>
      </c>
      <c r="CE44" s="23"/>
      <c r="CF44" s="23"/>
      <c r="CG44" s="23"/>
      <c r="CH44" s="23"/>
      <c r="CI44" s="23"/>
    </row>
    <row r="45" spans="1:87" x14ac:dyDescent="0.3">
      <c r="A45" s="9" t="s">
        <v>605</v>
      </c>
      <c r="B45" s="10" t="s">
        <v>606</v>
      </c>
      <c r="C45" s="11">
        <v>45885.875</v>
      </c>
      <c r="D45" s="12">
        <v>8.3333333333333329E-2</v>
      </c>
      <c r="E45" s="11">
        <v>45885.958333333336</v>
      </c>
      <c r="F45" s="10" t="s">
        <v>262</v>
      </c>
      <c r="G45" s="13" t="b">
        <v>1</v>
      </c>
      <c r="H45" s="10" t="s">
        <v>263</v>
      </c>
      <c r="I45" s="10" t="s">
        <v>264</v>
      </c>
      <c r="J45" s="13" t="b">
        <v>0</v>
      </c>
      <c r="K45" s="13" t="b">
        <v>1</v>
      </c>
      <c r="L45" s="10" t="s">
        <v>124</v>
      </c>
      <c r="M45" s="10" t="s">
        <v>91</v>
      </c>
      <c r="N45" s="10" t="s">
        <v>265</v>
      </c>
      <c r="O45" s="19" t="s">
        <v>607</v>
      </c>
      <c r="P45" s="10" t="s">
        <v>267</v>
      </c>
      <c r="Q45" s="10" t="s">
        <v>126</v>
      </c>
      <c r="R45" s="10"/>
      <c r="S45" s="19" t="s">
        <v>608</v>
      </c>
      <c r="T45" s="19" t="s">
        <v>269</v>
      </c>
      <c r="U45" s="10" t="s">
        <v>429</v>
      </c>
      <c r="V45" s="10" t="s">
        <v>609</v>
      </c>
      <c r="W45" s="10" t="s">
        <v>272</v>
      </c>
      <c r="X45" s="10" t="s">
        <v>130</v>
      </c>
      <c r="Y45" s="10" t="s">
        <v>130</v>
      </c>
      <c r="Z45" s="10" t="s">
        <v>99</v>
      </c>
      <c r="AA45" s="10" t="s">
        <v>131</v>
      </c>
      <c r="AB45" s="10" t="s">
        <v>273</v>
      </c>
      <c r="AC45" s="10" t="s">
        <v>274</v>
      </c>
      <c r="AD45" s="10" t="s">
        <v>610</v>
      </c>
      <c r="AE45" s="10" t="s">
        <v>611</v>
      </c>
      <c r="AF45" s="15"/>
      <c r="AG45" s="10"/>
      <c r="AH45" s="10"/>
      <c r="AI45" s="10"/>
      <c r="AJ45" s="10" t="s">
        <v>612</v>
      </c>
      <c r="AK45" s="10" t="s">
        <v>102</v>
      </c>
      <c r="AL45" s="10" t="s">
        <v>103</v>
      </c>
      <c r="AM45" s="10"/>
      <c r="AN45" s="10"/>
      <c r="AO45" s="13" t="b">
        <v>1</v>
      </c>
      <c r="AP45" s="10" t="s">
        <v>104</v>
      </c>
      <c r="AQ45" s="10">
        <f ca="1">IFERROR(__xludf.DUMMYFUNCTION("""COMPUTED_VALUE"""),4496975)</f>
        <v>4496975</v>
      </c>
      <c r="AR45" s="17">
        <v>164823</v>
      </c>
      <c r="AS45" s="17">
        <v>104096</v>
      </c>
      <c r="AT45" s="17">
        <v>2490972</v>
      </c>
      <c r="AU45" s="17">
        <v>5726.8</v>
      </c>
      <c r="AV45" s="17">
        <v>2498.8000000000002</v>
      </c>
      <c r="AW45" s="10" t="s">
        <v>297</v>
      </c>
      <c r="AX45" s="17">
        <v>29442</v>
      </c>
      <c r="AY45" s="18">
        <v>23.929565016907471</v>
      </c>
      <c r="AZ45" s="10" t="s">
        <v>136</v>
      </c>
      <c r="BA45" s="20" t="b">
        <v>0</v>
      </c>
      <c r="BB45" s="10"/>
      <c r="BC45" s="17">
        <v>164823</v>
      </c>
      <c r="BD45" s="17">
        <v>104096</v>
      </c>
      <c r="BE45" s="17">
        <v>2490972</v>
      </c>
      <c r="BF45" s="17">
        <v>2498.8000000000002</v>
      </c>
      <c r="BG45" s="11">
        <f ca="1">IFERROR(__xludf.DUMMYFUNCTION("""COMPUTED_VALUE"""),45885.8541666666)</f>
        <v>45885.854166666599</v>
      </c>
      <c r="BH45" s="17" t="s">
        <v>297</v>
      </c>
      <c r="BI45" s="17"/>
      <c r="BJ45" s="15"/>
      <c r="BK45" s="15"/>
      <c r="BL45" s="13" t="b">
        <v>1</v>
      </c>
      <c r="BM45" s="10"/>
      <c r="BN45" s="10" t="s">
        <v>351</v>
      </c>
      <c r="BO45" s="11">
        <v>45826.669444444444</v>
      </c>
      <c r="BP45" s="11">
        <v>45880.631238425929</v>
      </c>
      <c r="BQ45" s="15">
        <v>45882.751921296294</v>
      </c>
      <c r="BR45" s="15">
        <v>45882.911087962966</v>
      </c>
      <c r="BS45" s="10"/>
      <c r="BT45" s="10" t="s">
        <v>279</v>
      </c>
      <c r="BU45" s="10" t="s">
        <v>298</v>
      </c>
      <c r="BV45" s="10"/>
      <c r="BW45" s="10"/>
      <c r="BX45" s="10"/>
      <c r="BY45" s="23"/>
      <c r="BZ45" s="24" t="s">
        <v>284</v>
      </c>
      <c r="CA45" s="19" t="s">
        <v>613</v>
      </c>
      <c r="CB45" s="19" t="s">
        <v>614</v>
      </c>
      <c r="CC45" s="23"/>
      <c r="CD45" s="19" t="s">
        <v>615</v>
      </c>
      <c r="CE45" s="23"/>
      <c r="CF45" s="23"/>
      <c r="CG45" s="23"/>
      <c r="CH45" s="23"/>
      <c r="CI45" s="23"/>
    </row>
    <row r="46" spans="1:87" x14ac:dyDescent="0.3">
      <c r="A46" s="9" t="s">
        <v>616</v>
      </c>
      <c r="B46" s="10" t="s">
        <v>617</v>
      </c>
      <c r="C46" s="11">
        <v>45913.875</v>
      </c>
      <c r="D46" s="12">
        <v>8.3333333333333329E-2</v>
      </c>
      <c r="E46" s="11">
        <v>45913.958333333336</v>
      </c>
      <c r="F46" s="10" t="s">
        <v>262</v>
      </c>
      <c r="G46" s="13" t="b">
        <v>1</v>
      </c>
      <c r="H46" s="10" t="s">
        <v>263</v>
      </c>
      <c r="I46" s="10" t="s">
        <v>264</v>
      </c>
      <c r="J46" s="13" t="b">
        <v>0</v>
      </c>
      <c r="K46" s="13" t="b">
        <v>1</v>
      </c>
      <c r="L46" s="10" t="s">
        <v>124</v>
      </c>
      <c r="M46" s="10" t="s">
        <v>91</v>
      </c>
      <c r="N46" s="10" t="s">
        <v>265</v>
      </c>
      <c r="O46" s="19" t="s">
        <v>618</v>
      </c>
      <c r="P46" s="10" t="s">
        <v>267</v>
      </c>
      <c r="Q46" s="10" t="s">
        <v>126</v>
      </c>
      <c r="R46" s="10"/>
      <c r="S46" s="19" t="s">
        <v>619</v>
      </c>
      <c r="T46" s="19" t="s">
        <v>542</v>
      </c>
      <c r="U46" s="10" t="s">
        <v>293</v>
      </c>
      <c r="V46" s="10" t="s">
        <v>333</v>
      </c>
      <c r="W46" s="10" t="s">
        <v>272</v>
      </c>
      <c r="X46" s="10" t="s">
        <v>130</v>
      </c>
      <c r="Y46" s="10" t="s">
        <v>130</v>
      </c>
      <c r="Z46" s="10" t="s">
        <v>99</v>
      </c>
      <c r="AA46" s="10" t="s">
        <v>131</v>
      </c>
      <c r="AB46" s="10" t="s">
        <v>273</v>
      </c>
      <c r="AC46" s="10" t="s">
        <v>274</v>
      </c>
      <c r="AD46" s="10" t="s">
        <v>620</v>
      </c>
      <c r="AE46" s="10" t="s">
        <v>621</v>
      </c>
      <c r="AF46" s="15"/>
      <c r="AG46" s="10"/>
      <c r="AH46" s="10"/>
      <c r="AI46" s="10"/>
      <c r="AJ46" s="10" t="s">
        <v>622</v>
      </c>
      <c r="AK46" s="10" t="s">
        <v>102</v>
      </c>
      <c r="AL46" s="10" t="s">
        <v>156</v>
      </c>
      <c r="AM46" s="10"/>
      <c r="AN46" s="10"/>
      <c r="AO46" s="13" t="b">
        <v>0</v>
      </c>
      <c r="AP46" s="10" t="s">
        <v>104</v>
      </c>
      <c r="AQ46" s="10">
        <f ca="1">IFERROR(__xludf.DUMMYFUNCTION("""COMPUTED_VALUE"""),4562502)</f>
        <v>4562502</v>
      </c>
      <c r="AR46" s="17">
        <v>90739</v>
      </c>
      <c r="AS46" s="17">
        <v>57111</v>
      </c>
      <c r="AT46" s="17">
        <v>1171624.25</v>
      </c>
      <c r="AU46" s="17">
        <v>619.75</v>
      </c>
      <c r="AV46" s="17">
        <v>141.65</v>
      </c>
      <c r="AW46" s="10" t="s">
        <v>105</v>
      </c>
      <c r="AX46" s="17">
        <v>26512</v>
      </c>
      <c r="AY46" s="18">
        <v>20.514861410236207</v>
      </c>
      <c r="AZ46" s="10" t="s">
        <v>148</v>
      </c>
      <c r="BA46" s="20" t="b">
        <v>0</v>
      </c>
      <c r="BB46" s="10"/>
      <c r="BC46" s="17">
        <v>90739</v>
      </c>
      <c r="BD46" s="17">
        <v>57111</v>
      </c>
      <c r="BE46" s="17">
        <v>1171624.25</v>
      </c>
      <c r="BF46" s="17">
        <v>141.65</v>
      </c>
      <c r="BG46" s="11">
        <f ca="1">IFERROR(__xludf.DUMMYFUNCTION("""COMPUTED_VALUE"""),45913.8541666666)</f>
        <v>45913.854166666599</v>
      </c>
      <c r="BH46" s="17" t="s">
        <v>105</v>
      </c>
      <c r="BI46" s="17"/>
      <c r="BJ46" s="15"/>
      <c r="BK46" s="15"/>
      <c r="BL46" s="13" t="b">
        <v>1</v>
      </c>
      <c r="BM46" s="10"/>
      <c r="BN46" s="10" t="s">
        <v>351</v>
      </c>
      <c r="BO46" s="11">
        <v>45826.666666666664</v>
      </c>
      <c r="BP46" s="11">
        <v>45907.001504629632</v>
      </c>
      <c r="BQ46" s="15">
        <v>45909.813125000001</v>
      </c>
      <c r="BR46" s="15">
        <v>45910.086840277778</v>
      </c>
      <c r="BS46" s="10"/>
      <c r="BT46" s="10" t="s">
        <v>279</v>
      </c>
      <c r="BU46" s="10" t="s">
        <v>623</v>
      </c>
      <c r="BV46" s="10"/>
      <c r="BW46" s="10"/>
      <c r="BX46" s="10"/>
      <c r="BY46" s="23"/>
      <c r="BZ46" s="24" t="s">
        <v>299</v>
      </c>
      <c r="CA46" s="19" t="s">
        <v>624</v>
      </c>
      <c r="CB46" s="19" t="s">
        <v>625</v>
      </c>
      <c r="CC46" s="23"/>
      <c r="CD46" s="19" t="s">
        <v>626</v>
      </c>
      <c r="CE46" s="23"/>
      <c r="CF46" s="23"/>
      <c r="CG46" s="23"/>
      <c r="CH46" s="23"/>
      <c r="CI46" s="23"/>
    </row>
    <row r="47" spans="1:87" x14ac:dyDescent="0.3">
      <c r="A47" s="9" t="s">
        <v>627</v>
      </c>
      <c r="B47" s="10" t="s">
        <v>628</v>
      </c>
      <c r="C47" s="11">
        <v>45913.979166666664</v>
      </c>
      <c r="D47" s="12">
        <v>8.3333333333333329E-2</v>
      </c>
      <c r="E47" s="11">
        <v>45914.0625</v>
      </c>
      <c r="F47" s="10" t="s">
        <v>262</v>
      </c>
      <c r="G47" s="13" t="b">
        <v>1</v>
      </c>
      <c r="H47" s="10" t="s">
        <v>263</v>
      </c>
      <c r="I47" s="10" t="s">
        <v>264</v>
      </c>
      <c r="J47" s="13" t="b">
        <v>0</v>
      </c>
      <c r="K47" s="13" t="b">
        <v>1</v>
      </c>
      <c r="L47" s="10" t="s">
        <v>124</v>
      </c>
      <c r="M47" s="10" t="s">
        <v>91</v>
      </c>
      <c r="N47" s="10" t="s">
        <v>265</v>
      </c>
      <c r="O47" s="19" t="s">
        <v>629</v>
      </c>
      <c r="P47" s="10" t="s">
        <v>331</v>
      </c>
      <c r="Q47" s="10" t="s">
        <v>126</v>
      </c>
      <c r="R47" s="10"/>
      <c r="S47" s="19" t="s">
        <v>630</v>
      </c>
      <c r="T47" s="19" t="s">
        <v>542</v>
      </c>
      <c r="U47" s="10" t="s">
        <v>451</v>
      </c>
      <c r="V47" s="10" t="s">
        <v>429</v>
      </c>
      <c r="W47" s="10" t="s">
        <v>272</v>
      </c>
      <c r="X47" s="10" t="s">
        <v>130</v>
      </c>
      <c r="Y47" s="10" t="s">
        <v>130</v>
      </c>
      <c r="Z47" s="10" t="s">
        <v>99</v>
      </c>
      <c r="AA47" s="10" t="s">
        <v>131</v>
      </c>
      <c r="AB47" s="10" t="s">
        <v>273</v>
      </c>
      <c r="AC47" s="10" t="s">
        <v>274</v>
      </c>
      <c r="AD47" s="10" t="s">
        <v>631</v>
      </c>
      <c r="AE47" s="10" t="s">
        <v>632</v>
      </c>
      <c r="AF47" s="15"/>
      <c r="AG47" s="10"/>
      <c r="AH47" s="10"/>
      <c r="AI47" s="10"/>
      <c r="AJ47" s="10" t="s">
        <v>633</v>
      </c>
      <c r="AK47" s="10" t="s">
        <v>102</v>
      </c>
      <c r="AL47" s="10" t="s">
        <v>156</v>
      </c>
      <c r="AM47" s="10"/>
      <c r="AN47" s="10"/>
      <c r="AO47" s="13" t="b">
        <v>1</v>
      </c>
      <c r="AP47" s="10" t="s">
        <v>104</v>
      </c>
      <c r="AQ47" s="10">
        <f ca="1">IFERROR(__xludf.DUMMYFUNCTION("""COMPUTED_VALUE"""),4562503)</f>
        <v>4562503</v>
      </c>
      <c r="AR47" s="17">
        <v>94746</v>
      </c>
      <c r="AS47" s="17">
        <v>78683</v>
      </c>
      <c r="AT47" s="17">
        <v>1287146</v>
      </c>
      <c r="AU47" s="17">
        <v>339.45</v>
      </c>
      <c r="AV47" s="17">
        <v>73.599999999999994</v>
      </c>
      <c r="AW47" s="10" t="s">
        <v>105</v>
      </c>
      <c r="AX47" s="17">
        <v>22574</v>
      </c>
      <c r="AY47" s="18">
        <v>16.358628928739371</v>
      </c>
      <c r="AZ47" s="10" t="s">
        <v>148</v>
      </c>
      <c r="BA47" s="20" t="b">
        <v>0</v>
      </c>
      <c r="BB47" s="10"/>
      <c r="BC47" s="17">
        <v>94746</v>
      </c>
      <c r="BD47" s="17">
        <v>78683</v>
      </c>
      <c r="BE47" s="17">
        <v>1287146</v>
      </c>
      <c r="BF47" s="17">
        <v>73.599999999999994</v>
      </c>
      <c r="BG47" s="11">
        <f ca="1">IFERROR(__xludf.DUMMYFUNCTION("""COMPUTED_VALUE"""),45913.9583333333)</f>
        <v>45913.958333333299</v>
      </c>
      <c r="BH47" s="17" t="s">
        <v>105</v>
      </c>
      <c r="BI47" s="17"/>
      <c r="BJ47" s="15"/>
      <c r="BK47" s="15"/>
      <c r="BL47" s="13" t="b">
        <v>0</v>
      </c>
      <c r="BM47" s="10"/>
      <c r="BN47" s="10" t="s">
        <v>634</v>
      </c>
      <c r="BO47" s="11">
        <v>45826.667361111111</v>
      </c>
      <c r="BP47" s="11">
        <v>45907.00172453704</v>
      </c>
      <c r="BQ47" s="15">
        <v>45909.813252314816</v>
      </c>
      <c r="BR47" s="15">
        <v>45910.087129629632</v>
      </c>
      <c r="BS47" s="10" t="s">
        <v>634</v>
      </c>
      <c r="BT47" s="10" t="s">
        <v>279</v>
      </c>
      <c r="BU47" s="10"/>
      <c r="BV47" s="10"/>
      <c r="BW47" s="10"/>
      <c r="BX47" s="10"/>
      <c r="BY47" s="23"/>
      <c r="BZ47" s="24" t="s">
        <v>284</v>
      </c>
      <c r="CA47" s="19" t="s">
        <v>635</v>
      </c>
      <c r="CB47" s="19" t="s">
        <v>636</v>
      </c>
      <c r="CC47" s="23"/>
      <c r="CD47" s="19" t="s">
        <v>637</v>
      </c>
      <c r="CE47" s="23"/>
      <c r="CF47" s="23"/>
      <c r="CG47" s="23"/>
      <c r="CH47" s="23"/>
      <c r="CI47" s="23"/>
    </row>
    <row r="48" spans="1:87" x14ac:dyDescent="0.3">
      <c r="A48" s="9" t="s">
        <v>638</v>
      </c>
      <c r="B48" s="10" t="s">
        <v>639</v>
      </c>
      <c r="C48" s="11">
        <v>45914.833333333336</v>
      </c>
      <c r="D48" s="12">
        <v>8.3333333333333329E-2</v>
      </c>
      <c r="E48" s="11">
        <v>45914.916666666664</v>
      </c>
      <c r="F48" s="10" t="s">
        <v>262</v>
      </c>
      <c r="G48" s="13" t="b">
        <v>1</v>
      </c>
      <c r="H48" s="10" t="s">
        <v>263</v>
      </c>
      <c r="I48" s="10" t="s">
        <v>264</v>
      </c>
      <c r="J48" s="13" t="b">
        <v>0</v>
      </c>
      <c r="K48" s="13" t="b">
        <v>1</v>
      </c>
      <c r="L48" s="10" t="s">
        <v>124</v>
      </c>
      <c r="M48" s="10" t="s">
        <v>91</v>
      </c>
      <c r="N48" s="10" t="s">
        <v>265</v>
      </c>
      <c r="O48" s="19" t="s">
        <v>640</v>
      </c>
      <c r="P48" s="10" t="s">
        <v>267</v>
      </c>
      <c r="Q48" s="10" t="s">
        <v>126</v>
      </c>
      <c r="R48" s="10"/>
      <c r="S48" s="19" t="s">
        <v>641</v>
      </c>
      <c r="T48" s="19" t="s">
        <v>542</v>
      </c>
      <c r="U48" s="10" t="s">
        <v>609</v>
      </c>
      <c r="V48" s="10" t="s">
        <v>270</v>
      </c>
      <c r="W48" s="10" t="s">
        <v>272</v>
      </c>
      <c r="X48" s="10" t="s">
        <v>130</v>
      </c>
      <c r="Y48" s="10" t="s">
        <v>130</v>
      </c>
      <c r="Z48" s="10" t="s">
        <v>99</v>
      </c>
      <c r="AA48" s="10" t="s">
        <v>131</v>
      </c>
      <c r="AB48" s="10" t="s">
        <v>273</v>
      </c>
      <c r="AC48" s="10" t="s">
        <v>274</v>
      </c>
      <c r="AD48" s="10" t="s">
        <v>642</v>
      </c>
      <c r="AE48" s="10" t="s">
        <v>643</v>
      </c>
      <c r="AF48" s="15"/>
      <c r="AG48" s="10"/>
      <c r="AH48" s="10"/>
      <c r="AI48" s="10"/>
      <c r="AJ48" s="10" t="s">
        <v>644</v>
      </c>
      <c r="AK48" s="10" t="s">
        <v>102</v>
      </c>
      <c r="AL48" s="10" t="s">
        <v>156</v>
      </c>
      <c r="AM48" s="10"/>
      <c r="AN48" s="10"/>
      <c r="AO48" s="13" t="b">
        <v>1</v>
      </c>
      <c r="AP48" s="10" t="s">
        <v>104</v>
      </c>
      <c r="AQ48" s="10">
        <f ca="1">IFERROR(__xludf.DUMMYFUNCTION("""COMPUTED_VALUE"""),4562505)</f>
        <v>4562505</v>
      </c>
      <c r="AR48" s="17">
        <v>405331</v>
      </c>
      <c r="AS48" s="17">
        <v>221526</v>
      </c>
      <c r="AT48" s="17">
        <v>11290084.75</v>
      </c>
      <c r="AU48" s="17">
        <v>6102.5</v>
      </c>
      <c r="AV48" s="17">
        <v>1578.05</v>
      </c>
      <c r="AW48" s="10" t="s">
        <v>297</v>
      </c>
      <c r="AX48" s="17">
        <v>110453</v>
      </c>
      <c r="AY48" s="18">
        <v>50.965054891976564</v>
      </c>
      <c r="AZ48" s="10" t="s">
        <v>148</v>
      </c>
      <c r="BA48" s="20" t="b">
        <v>0</v>
      </c>
      <c r="BB48" s="10"/>
      <c r="BC48" s="17">
        <v>405331</v>
      </c>
      <c r="BD48" s="17">
        <v>221526</v>
      </c>
      <c r="BE48" s="17">
        <v>11290084.75</v>
      </c>
      <c r="BF48" s="17">
        <v>1578.05</v>
      </c>
      <c r="BG48" s="11">
        <f ca="1">IFERROR(__xludf.DUMMYFUNCTION("""COMPUTED_VALUE"""),45914.8125)</f>
        <v>45914.8125</v>
      </c>
      <c r="BH48" s="17" t="s">
        <v>297</v>
      </c>
      <c r="BI48" s="17"/>
      <c r="BJ48" s="15"/>
      <c r="BK48" s="15"/>
      <c r="BL48" s="13" t="b">
        <v>1</v>
      </c>
      <c r="BM48" s="10"/>
      <c r="BN48" s="10" t="s">
        <v>351</v>
      </c>
      <c r="BO48" s="11">
        <v>45826.673611111109</v>
      </c>
      <c r="BP48" s="11">
        <v>45907.002233796295</v>
      </c>
      <c r="BQ48" s="15">
        <v>45909.813564814816</v>
      </c>
      <c r="BR48" s="15">
        <v>45910.087627314817</v>
      </c>
      <c r="BS48" s="10"/>
      <c r="BT48" s="10" t="s">
        <v>279</v>
      </c>
      <c r="BU48" s="10" t="s">
        <v>298</v>
      </c>
      <c r="BV48" s="10" t="s">
        <v>281</v>
      </c>
      <c r="BW48" s="10" t="s">
        <v>282</v>
      </c>
      <c r="BX48" s="10"/>
      <c r="BY48" s="23"/>
      <c r="BZ48" s="24" t="s">
        <v>284</v>
      </c>
      <c r="CA48" s="19" t="s">
        <v>645</v>
      </c>
      <c r="CB48" s="19" t="s">
        <v>646</v>
      </c>
      <c r="CC48" s="23"/>
      <c r="CD48" s="19" t="s">
        <v>647</v>
      </c>
      <c r="CE48" s="23"/>
      <c r="CF48" s="23"/>
      <c r="CG48" s="23"/>
      <c r="CH48" s="23"/>
      <c r="CI48" s="23"/>
    </row>
    <row r="49" spans="1:87" x14ac:dyDescent="0.3">
      <c r="A49" s="9" t="s">
        <v>648</v>
      </c>
      <c r="B49" s="10" t="s">
        <v>649</v>
      </c>
      <c r="C49" s="11">
        <v>45913.875</v>
      </c>
      <c r="D49" s="12">
        <v>8.3333333333333329E-2</v>
      </c>
      <c r="E49" s="11">
        <v>45913.958333333336</v>
      </c>
      <c r="F49" s="10" t="s">
        <v>262</v>
      </c>
      <c r="G49" s="13" t="b">
        <v>0</v>
      </c>
      <c r="H49" s="10" t="s">
        <v>527</v>
      </c>
      <c r="I49" s="10" t="s">
        <v>264</v>
      </c>
      <c r="J49" s="13" t="b">
        <v>0</v>
      </c>
      <c r="K49" s="13" t="b">
        <v>1</v>
      </c>
      <c r="L49" s="10" t="s">
        <v>124</v>
      </c>
      <c r="M49" s="10" t="s">
        <v>91</v>
      </c>
      <c r="N49" s="10" t="s">
        <v>265</v>
      </c>
      <c r="O49" s="19" t="s">
        <v>650</v>
      </c>
      <c r="P49" s="10"/>
      <c r="Q49" s="10" t="s">
        <v>126</v>
      </c>
      <c r="R49" s="10"/>
      <c r="S49" s="19" t="s">
        <v>651</v>
      </c>
      <c r="T49" s="19" t="s">
        <v>542</v>
      </c>
      <c r="U49" s="10" t="s">
        <v>347</v>
      </c>
      <c r="V49" s="10" t="s">
        <v>588</v>
      </c>
      <c r="W49" s="10" t="s">
        <v>272</v>
      </c>
      <c r="X49" s="10" t="s">
        <v>130</v>
      </c>
      <c r="Y49" s="10" t="s">
        <v>130</v>
      </c>
      <c r="Z49" s="10" t="s">
        <v>99</v>
      </c>
      <c r="AA49" s="10" t="s">
        <v>131</v>
      </c>
      <c r="AB49" s="10" t="s">
        <v>273</v>
      </c>
      <c r="AC49" s="10" t="s">
        <v>274</v>
      </c>
      <c r="AD49" s="10" t="s">
        <v>652</v>
      </c>
      <c r="AE49" s="10" t="s">
        <v>653</v>
      </c>
      <c r="AF49" s="15"/>
      <c r="AG49" s="10"/>
      <c r="AH49" s="10"/>
      <c r="AI49" s="10"/>
      <c r="AJ49" s="10" t="s">
        <v>654</v>
      </c>
      <c r="AK49" s="10" t="s">
        <v>102</v>
      </c>
      <c r="AL49" s="10" t="s">
        <v>156</v>
      </c>
      <c r="AM49" s="10"/>
      <c r="AN49" s="10"/>
      <c r="AO49" s="13" t="b">
        <v>0</v>
      </c>
      <c r="AP49" s="10" t="s">
        <v>104</v>
      </c>
      <c r="AQ49" s="10">
        <f ca="1">IFERROR(__xludf.DUMMYFUNCTION("""COMPUTED_VALUE"""),4562541)</f>
        <v>4562541</v>
      </c>
      <c r="AR49" s="17">
        <v>27898</v>
      </c>
      <c r="AS49" s="17">
        <v>17569</v>
      </c>
      <c r="AT49" s="17">
        <v>187737.75</v>
      </c>
      <c r="AU49" s="17">
        <v>85.7</v>
      </c>
      <c r="AV49" s="17">
        <v>21.1</v>
      </c>
      <c r="AW49" s="10" t="s">
        <v>105</v>
      </c>
      <c r="AX49" s="17">
        <v>4285</v>
      </c>
      <c r="AY49" s="18">
        <v>10.685739085889919</v>
      </c>
      <c r="AZ49" s="10" t="s">
        <v>148</v>
      </c>
      <c r="BA49" s="20" t="b">
        <v>0</v>
      </c>
      <c r="BB49" s="10"/>
      <c r="BC49" s="17">
        <v>27898</v>
      </c>
      <c r="BD49" s="17">
        <v>17569</v>
      </c>
      <c r="BE49" s="17">
        <v>187737.75</v>
      </c>
      <c r="BF49" s="17">
        <v>21.1</v>
      </c>
      <c r="BG49" s="11">
        <f ca="1">IFERROR(__xludf.DUMMYFUNCTION("""COMPUTED_VALUE"""),45913.875)</f>
        <v>45913.875</v>
      </c>
      <c r="BH49" s="17" t="s">
        <v>105</v>
      </c>
      <c r="BI49" s="17"/>
      <c r="BJ49" s="15"/>
      <c r="BK49" s="15"/>
      <c r="BL49" s="13" t="b">
        <v>1</v>
      </c>
      <c r="BM49" s="10"/>
      <c r="BN49" s="10" t="s">
        <v>137</v>
      </c>
      <c r="BO49" s="11">
        <v>45826.673611111109</v>
      </c>
      <c r="BP49" s="11">
        <v>45907.000706018516</v>
      </c>
      <c r="BQ49" s="15">
        <v>45909.812754629631</v>
      </c>
      <c r="BR49" s="15">
        <v>45910.086585648147</v>
      </c>
      <c r="BS49" s="10" t="s">
        <v>137</v>
      </c>
      <c r="BT49" s="10" t="s">
        <v>279</v>
      </c>
      <c r="BU49" s="10" t="s">
        <v>655</v>
      </c>
      <c r="BV49" s="10"/>
      <c r="BW49" s="10"/>
      <c r="BX49" s="10"/>
      <c r="BY49" s="23"/>
      <c r="BZ49" s="24" t="s">
        <v>299</v>
      </c>
      <c r="CA49" s="19" t="s">
        <v>656</v>
      </c>
      <c r="CB49" s="19" t="s">
        <v>657</v>
      </c>
      <c r="CC49" s="23"/>
      <c r="CD49" s="19" t="s">
        <v>658</v>
      </c>
      <c r="CE49" s="23"/>
      <c r="CF49" s="23"/>
      <c r="CG49" s="23"/>
      <c r="CH49" s="23"/>
      <c r="CI49" s="23"/>
    </row>
    <row r="50" spans="1:87" x14ac:dyDescent="0.3">
      <c r="A50" s="9" t="s">
        <v>659</v>
      </c>
      <c r="B50" s="10" t="s">
        <v>660</v>
      </c>
      <c r="C50" s="11">
        <v>45888.083333333336</v>
      </c>
      <c r="D50" s="12">
        <v>8.3333333333333329E-2</v>
      </c>
      <c r="E50" s="11">
        <v>45888.166666666664</v>
      </c>
      <c r="F50" s="10" t="s">
        <v>262</v>
      </c>
      <c r="G50" s="13" t="b">
        <v>0</v>
      </c>
      <c r="H50" s="10" t="s">
        <v>263</v>
      </c>
      <c r="I50" s="10" t="s">
        <v>264</v>
      </c>
      <c r="J50" s="13" t="b">
        <v>0</v>
      </c>
      <c r="K50" s="13" t="b">
        <v>1</v>
      </c>
      <c r="L50" s="10" t="s">
        <v>124</v>
      </c>
      <c r="M50" s="10" t="s">
        <v>91</v>
      </c>
      <c r="N50" s="10" t="s">
        <v>265</v>
      </c>
      <c r="O50" s="19" t="s">
        <v>661</v>
      </c>
      <c r="P50" s="10" t="s">
        <v>267</v>
      </c>
      <c r="Q50" s="10" t="s">
        <v>126</v>
      </c>
      <c r="R50" s="10"/>
      <c r="S50" s="19" t="s">
        <v>662</v>
      </c>
      <c r="T50" s="10"/>
      <c r="U50" s="10" t="s">
        <v>663</v>
      </c>
      <c r="V50" s="10" t="s">
        <v>407</v>
      </c>
      <c r="W50" s="10" t="s">
        <v>272</v>
      </c>
      <c r="X50" s="10" t="s">
        <v>130</v>
      </c>
      <c r="Y50" s="10" t="s">
        <v>130</v>
      </c>
      <c r="Z50" s="10" t="s">
        <v>99</v>
      </c>
      <c r="AA50" s="10" t="s">
        <v>131</v>
      </c>
      <c r="AB50" s="10" t="s">
        <v>273</v>
      </c>
      <c r="AC50" s="10" t="s">
        <v>274</v>
      </c>
      <c r="AD50" s="10" t="s">
        <v>664</v>
      </c>
      <c r="AE50" s="10" t="s">
        <v>665</v>
      </c>
      <c r="AF50" s="15"/>
      <c r="AG50" s="10"/>
      <c r="AH50" s="10"/>
      <c r="AI50" s="10"/>
      <c r="AJ50" s="10" t="s">
        <v>666</v>
      </c>
      <c r="AK50" s="10" t="s">
        <v>102</v>
      </c>
      <c r="AL50" s="10" t="s">
        <v>103</v>
      </c>
      <c r="AM50" s="10"/>
      <c r="AN50" s="10"/>
      <c r="AO50" s="13" t="b">
        <v>0</v>
      </c>
      <c r="AP50" s="10" t="s">
        <v>104</v>
      </c>
      <c r="AQ50" s="10">
        <f ca="1">IFERROR(__xludf.DUMMYFUNCTION("""COMPUTED_VALUE"""),4506026)</f>
        <v>4506026</v>
      </c>
      <c r="AR50" s="17">
        <v>12198</v>
      </c>
      <c r="AS50" s="17">
        <v>8691</v>
      </c>
      <c r="AT50" s="17">
        <v>404494.25</v>
      </c>
      <c r="AU50" s="17">
        <v>65.75</v>
      </c>
      <c r="AV50" s="17">
        <v>13.95</v>
      </c>
      <c r="AW50" s="10" t="s">
        <v>105</v>
      </c>
      <c r="AX50" s="17">
        <v>3260</v>
      </c>
      <c r="AY50" s="18">
        <v>46.541738580140375</v>
      </c>
      <c r="AZ50" s="10" t="s">
        <v>196</v>
      </c>
      <c r="BA50" s="20" t="b">
        <v>0</v>
      </c>
      <c r="BB50" s="10"/>
      <c r="BC50" s="17">
        <v>12198</v>
      </c>
      <c r="BD50" s="17">
        <v>8691</v>
      </c>
      <c r="BE50" s="17">
        <v>404494.25</v>
      </c>
      <c r="BF50" s="17">
        <v>13.95</v>
      </c>
      <c r="BG50" s="11">
        <f ca="1">IFERROR(__xludf.DUMMYFUNCTION("""COMPUTED_VALUE"""),45888.0833333333)</f>
        <v>45888.083333333299</v>
      </c>
      <c r="BH50" s="17" t="s">
        <v>105</v>
      </c>
      <c r="BI50" s="17"/>
      <c r="BJ50" s="15"/>
      <c r="BK50" s="15"/>
      <c r="BL50" s="13" t="b">
        <v>1</v>
      </c>
      <c r="BM50" s="10"/>
      <c r="BN50" s="10" t="s">
        <v>667</v>
      </c>
      <c r="BO50" s="11">
        <v>45826.670138888891</v>
      </c>
      <c r="BP50" s="11">
        <v>45884.548414351855</v>
      </c>
      <c r="BQ50" s="15">
        <v>45882.80678240741</v>
      </c>
      <c r="BR50" s="15">
        <v>45886.474872685183</v>
      </c>
      <c r="BS50" s="10" t="s">
        <v>667</v>
      </c>
      <c r="BT50" s="10" t="s">
        <v>99</v>
      </c>
      <c r="BU50" s="10" t="s">
        <v>298</v>
      </c>
      <c r="BV50" s="10"/>
      <c r="BW50" s="10"/>
      <c r="BX50" s="10"/>
      <c r="BY50" s="23"/>
      <c r="BZ50" s="24" t="s">
        <v>299</v>
      </c>
      <c r="CA50" s="19" t="s">
        <v>668</v>
      </c>
      <c r="CB50" s="23"/>
      <c r="CC50" s="23"/>
      <c r="CD50" s="19" t="s">
        <v>669</v>
      </c>
      <c r="CE50" s="23"/>
      <c r="CF50" s="23"/>
      <c r="CG50" s="23"/>
      <c r="CH50" s="23"/>
      <c r="CI50" s="23"/>
    </row>
    <row r="51" spans="1:87" x14ac:dyDescent="0.3">
      <c r="A51" s="9" t="s">
        <v>670</v>
      </c>
      <c r="B51" s="10" t="s">
        <v>671</v>
      </c>
      <c r="C51" s="11">
        <v>45913.875</v>
      </c>
      <c r="D51" s="12">
        <v>8.3333333333333329E-2</v>
      </c>
      <c r="E51" s="11">
        <v>45913.958333333336</v>
      </c>
      <c r="F51" s="10" t="s">
        <v>262</v>
      </c>
      <c r="G51" s="13" t="b">
        <v>0</v>
      </c>
      <c r="H51" s="10" t="s">
        <v>527</v>
      </c>
      <c r="I51" s="10" t="s">
        <v>264</v>
      </c>
      <c r="J51" s="13" t="b">
        <v>0</v>
      </c>
      <c r="K51" s="13" t="b">
        <v>1</v>
      </c>
      <c r="L51" s="10" t="s">
        <v>124</v>
      </c>
      <c r="M51" s="10" t="s">
        <v>91</v>
      </c>
      <c r="N51" s="10" t="s">
        <v>265</v>
      </c>
      <c r="O51" s="19" t="s">
        <v>672</v>
      </c>
      <c r="P51" s="10"/>
      <c r="Q51" s="10" t="s">
        <v>126</v>
      </c>
      <c r="R51" s="10"/>
      <c r="S51" s="19" t="s">
        <v>673</v>
      </c>
      <c r="T51" s="19" t="s">
        <v>542</v>
      </c>
      <c r="U51" s="10" t="s">
        <v>309</v>
      </c>
      <c r="V51" s="10" t="s">
        <v>663</v>
      </c>
      <c r="W51" s="10" t="s">
        <v>272</v>
      </c>
      <c r="X51" s="10" t="s">
        <v>130</v>
      </c>
      <c r="Y51" s="10" t="s">
        <v>130</v>
      </c>
      <c r="Z51" s="10" t="s">
        <v>99</v>
      </c>
      <c r="AA51" s="10" t="s">
        <v>131</v>
      </c>
      <c r="AB51" s="10" t="s">
        <v>273</v>
      </c>
      <c r="AC51" s="10" t="s">
        <v>274</v>
      </c>
      <c r="AD51" s="10" t="s">
        <v>674</v>
      </c>
      <c r="AE51" s="10" t="s">
        <v>675</v>
      </c>
      <c r="AF51" s="15"/>
      <c r="AG51" s="10"/>
      <c r="AH51" s="10"/>
      <c r="AI51" s="10"/>
      <c r="AJ51" s="10" t="s">
        <v>676</v>
      </c>
      <c r="AK51" s="10" t="s">
        <v>102</v>
      </c>
      <c r="AL51" s="10" t="s">
        <v>156</v>
      </c>
      <c r="AM51" s="10"/>
      <c r="AN51" s="10"/>
      <c r="AO51" s="13" t="b">
        <v>0</v>
      </c>
      <c r="AP51" s="10" t="s">
        <v>104</v>
      </c>
      <c r="AQ51" s="10">
        <f ca="1">IFERROR(__xludf.DUMMYFUNCTION("""COMPUTED_VALUE"""),4563122)</f>
        <v>4563122</v>
      </c>
      <c r="AR51" s="17">
        <v>17643</v>
      </c>
      <c r="AS51" s="17">
        <v>12258</v>
      </c>
      <c r="AT51" s="17">
        <v>66544.5</v>
      </c>
      <c r="AU51" s="17">
        <v>40.75</v>
      </c>
      <c r="AV51" s="17">
        <v>10.4</v>
      </c>
      <c r="AW51" s="10" t="s">
        <v>105</v>
      </c>
      <c r="AX51" s="17">
        <v>2211</v>
      </c>
      <c r="AY51" s="18">
        <v>5.4286588350464999</v>
      </c>
      <c r="AZ51" s="10" t="s">
        <v>148</v>
      </c>
      <c r="BA51" s="20" t="b">
        <v>0</v>
      </c>
      <c r="BB51" s="10"/>
      <c r="BC51" s="17">
        <v>17643</v>
      </c>
      <c r="BD51" s="17">
        <v>12258</v>
      </c>
      <c r="BE51" s="17">
        <v>66544.5</v>
      </c>
      <c r="BF51" s="17">
        <v>10.4</v>
      </c>
      <c r="BG51" s="11">
        <f ca="1">IFERROR(__xludf.DUMMYFUNCTION("""COMPUTED_VALUE"""),45913.875)</f>
        <v>45913.875</v>
      </c>
      <c r="BH51" s="17" t="s">
        <v>105</v>
      </c>
      <c r="BI51" s="17"/>
      <c r="BJ51" s="15"/>
      <c r="BK51" s="15"/>
      <c r="BL51" s="13" t="b">
        <v>1</v>
      </c>
      <c r="BM51" s="10"/>
      <c r="BN51" s="10" t="s">
        <v>137</v>
      </c>
      <c r="BO51" s="11">
        <v>45826.674305555556</v>
      </c>
      <c r="BP51" s="11">
        <v>45907.001250000001</v>
      </c>
      <c r="BQ51" s="15">
        <v>45909.813009259262</v>
      </c>
      <c r="BR51" s="15">
        <v>45910.558449074073</v>
      </c>
      <c r="BS51" s="10" t="s">
        <v>137</v>
      </c>
      <c r="BT51" s="10" t="s">
        <v>279</v>
      </c>
      <c r="BU51" s="10" t="s">
        <v>677</v>
      </c>
      <c r="BV51" s="10"/>
      <c r="BW51" s="10"/>
      <c r="BX51" s="10"/>
      <c r="BY51" s="23"/>
      <c r="BZ51" s="24" t="s">
        <v>299</v>
      </c>
      <c r="CA51" s="19" t="s">
        <v>678</v>
      </c>
      <c r="CB51" s="19" t="s">
        <v>679</v>
      </c>
      <c r="CC51" s="23"/>
      <c r="CD51" s="19" t="s">
        <v>680</v>
      </c>
      <c r="CE51" s="23"/>
      <c r="CF51" s="23"/>
      <c r="CG51" s="23"/>
      <c r="CH51" s="23"/>
      <c r="CI51" s="23"/>
    </row>
    <row r="52" spans="1:87" x14ac:dyDescent="0.3">
      <c r="A52" s="9" t="s">
        <v>681</v>
      </c>
      <c r="B52" s="10" t="s">
        <v>682</v>
      </c>
      <c r="C52" s="11">
        <v>45892.979166666664</v>
      </c>
      <c r="D52" s="12">
        <v>8.3333333333333329E-2</v>
      </c>
      <c r="E52" s="11">
        <v>45893.0625</v>
      </c>
      <c r="F52" s="10" t="s">
        <v>262</v>
      </c>
      <c r="G52" s="13" t="b">
        <v>1</v>
      </c>
      <c r="H52" s="10" t="s">
        <v>263</v>
      </c>
      <c r="I52" s="10" t="s">
        <v>264</v>
      </c>
      <c r="J52" s="13" t="b">
        <v>0</v>
      </c>
      <c r="K52" s="13" t="b">
        <v>1</v>
      </c>
      <c r="L52" s="10" t="s">
        <v>124</v>
      </c>
      <c r="M52" s="10" t="s">
        <v>91</v>
      </c>
      <c r="N52" s="10" t="s">
        <v>265</v>
      </c>
      <c r="O52" s="19" t="s">
        <v>683</v>
      </c>
      <c r="P52" s="10" t="s">
        <v>331</v>
      </c>
      <c r="Q52" s="10" t="s">
        <v>126</v>
      </c>
      <c r="R52" s="10"/>
      <c r="S52" s="19" t="s">
        <v>684</v>
      </c>
      <c r="T52" s="19" t="s">
        <v>269</v>
      </c>
      <c r="U52" s="10" t="s">
        <v>362</v>
      </c>
      <c r="V52" s="10" t="s">
        <v>663</v>
      </c>
      <c r="W52" s="10" t="s">
        <v>272</v>
      </c>
      <c r="X52" s="10" t="s">
        <v>130</v>
      </c>
      <c r="Y52" s="10" t="s">
        <v>130</v>
      </c>
      <c r="Z52" s="10" t="s">
        <v>99</v>
      </c>
      <c r="AA52" s="10" t="s">
        <v>131</v>
      </c>
      <c r="AB52" s="10" t="s">
        <v>273</v>
      </c>
      <c r="AC52" s="10" t="s">
        <v>274</v>
      </c>
      <c r="AD52" s="10" t="s">
        <v>685</v>
      </c>
      <c r="AE52" s="10" t="s">
        <v>686</v>
      </c>
      <c r="AF52" s="15"/>
      <c r="AG52" s="10"/>
      <c r="AH52" s="10"/>
      <c r="AI52" s="10"/>
      <c r="AJ52" s="10" t="s">
        <v>687</v>
      </c>
      <c r="AK52" s="10" t="s">
        <v>102</v>
      </c>
      <c r="AL52" s="10" t="s">
        <v>116</v>
      </c>
      <c r="AM52" s="10"/>
      <c r="AN52" s="10"/>
      <c r="AO52" s="13" t="b">
        <v>1</v>
      </c>
      <c r="AP52" s="10" t="s">
        <v>104</v>
      </c>
      <c r="AQ52" s="10">
        <f ca="1">IFERROR(__xludf.DUMMYFUNCTION("""COMPUTED_VALUE"""),4512825)</f>
        <v>4512825</v>
      </c>
      <c r="AR52" s="17">
        <v>168728</v>
      </c>
      <c r="AS52" s="17">
        <v>126954</v>
      </c>
      <c r="AT52" s="17">
        <v>2814830</v>
      </c>
      <c r="AU52" s="17">
        <v>1886.35</v>
      </c>
      <c r="AV52" s="17">
        <v>829.3</v>
      </c>
      <c r="AW52" s="10" t="s">
        <v>105</v>
      </c>
      <c r="AX52" s="17">
        <v>58919</v>
      </c>
      <c r="AY52" s="18">
        <v>22.17204656804827</v>
      </c>
      <c r="AZ52" s="10" t="s">
        <v>148</v>
      </c>
      <c r="BA52" s="20" t="b">
        <v>0</v>
      </c>
      <c r="BB52" s="10"/>
      <c r="BC52" s="17">
        <v>168728</v>
      </c>
      <c r="BD52" s="17">
        <v>126954</v>
      </c>
      <c r="BE52" s="17">
        <v>2814830</v>
      </c>
      <c r="BF52" s="17">
        <v>829.3</v>
      </c>
      <c r="BG52" s="11">
        <f ca="1">IFERROR(__xludf.DUMMYFUNCTION("""COMPUTED_VALUE"""),45892.9583333333)</f>
        <v>45892.958333333299</v>
      </c>
      <c r="BH52" s="17" t="s">
        <v>105</v>
      </c>
      <c r="BI52" s="17"/>
      <c r="BJ52" s="15"/>
      <c r="BK52" s="15"/>
      <c r="BL52" s="13" t="b">
        <v>0</v>
      </c>
      <c r="BM52" s="10"/>
      <c r="BN52" s="10" t="s">
        <v>148</v>
      </c>
      <c r="BO52" s="11">
        <v>45826.671527777777</v>
      </c>
      <c r="BP52" s="11">
        <v>45884.695243055554</v>
      </c>
      <c r="BQ52" s="15">
        <v>45888.564895833333</v>
      </c>
      <c r="BR52" s="15">
        <v>45889.572222222225</v>
      </c>
      <c r="BS52" s="10"/>
      <c r="BT52" s="10" t="s">
        <v>279</v>
      </c>
      <c r="BU52" s="10"/>
      <c r="BV52" s="10" t="s">
        <v>124</v>
      </c>
      <c r="BW52" s="10"/>
      <c r="BX52" s="10"/>
      <c r="BY52" s="23"/>
      <c r="BZ52" s="24" t="s">
        <v>284</v>
      </c>
      <c r="CA52" s="19" t="s">
        <v>688</v>
      </c>
      <c r="CB52" s="19" t="s">
        <v>689</v>
      </c>
      <c r="CC52" s="23"/>
      <c r="CD52" s="19" t="s">
        <v>690</v>
      </c>
      <c r="CE52" s="23"/>
      <c r="CF52" s="23"/>
      <c r="CG52" s="23"/>
      <c r="CH52" s="23"/>
      <c r="CI52" s="23"/>
    </row>
    <row r="53" spans="1:87" x14ac:dyDescent="0.3">
      <c r="A53" s="9" t="s">
        <v>691</v>
      </c>
      <c r="B53" s="10" t="s">
        <v>692</v>
      </c>
      <c r="C53" s="11">
        <v>45892.875</v>
      </c>
      <c r="D53" s="12">
        <v>8.3333333333333329E-2</v>
      </c>
      <c r="E53" s="11">
        <v>45892.958333333336</v>
      </c>
      <c r="F53" s="10" t="s">
        <v>262</v>
      </c>
      <c r="G53" s="13" t="b">
        <v>0</v>
      </c>
      <c r="H53" s="10" t="s">
        <v>527</v>
      </c>
      <c r="I53" s="10" t="s">
        <v>264</v>
      </c>
      <c r="J53" s="13" t="b">
        <v>0</v>
      </c>
      <c r="K53" s="13" t="b">
        <v>1</v>
      </c>
      <c r="L53" s="10" t="s">
        <v>124</v>
      </c>
      <c r="M53" s="10" t="s">
        <v>91</v>
      </c>
      <c r="N53" s="10" t="s">
        <v>265</v>
      </c>
      <c r="O53" s="19" t="s">
        <v>693</v>
      </c>
      <c r="P53" s="10"/>
      <c r="Q53" s="10" t="s">
        <v>126</v>
      </c>
      <c r="R53" s="10"/>
      <c r="S53" s="19" t="s">
        <v>694</v>
      </c>
      <c r="T53" s="19" t="s">
        <v>269</v>
      </c>
      <c r="U53" s="10" t="s">
        <v>609</v>
      </c>
      <c r="V53" s="10" t="s">
        <v>588</v>
      </c>
      <c r="W53" s="10" t="s">
        <v>272</v>
      </c>
      <c r="X53" s="10" t="s">
        <v>130</v>
      </c>
      <c r="Y53" s="10" t="s">
        <v>130</v>
      </c>
      <c r="Z53" s="10" t="s">
        <v>99</v>
      </c>
      <c r="AA53" s="10" t="s">
        <v>131</v>
      </c>
      <c r="AB53" s="10" t="s">
        <v>273</v>
      </c>
      <c r="AC53" s="10" t="s">
        <v>274</v>
      </c>
      <c r="AD53" s="10" t="s">
        <v>695</v>
      </c>
      <c r="AE53" s="10" t="s">
        <v>696</v>
      </c>
      <c r="AF53" s="15"/>
      <c r="AG53" s="10"/>
      <c r="AH53" s="10"/>
      <c r="AI53" s="10"/>
      <c r="AJ53" s="10" t="s">
        <v>697</v>
      </c>
      <c r="AK53" s="10" t="s">
        <v>102</v>
      </c>
      <c r="AL53" s="10" t="s">
        <v>116</v>
      </c>
      <c r="AM53" s="10"/>
      <c r="AN53" s="10"/>
      <c r="AO53" s="13" t="b">
        <v>0</v>
      </c>
      <c r="AP53" s="10" t="s">
        <v>104</v>
      </c>
      <c r="AQ53" s="10">
        <f ca="1">IFERROR(__xludf.DUMMYFUNCTION("""COMPUTED_VALUE"""),4512824)</f>
        <v>4512824</v>
      </c>
      <c r="AR53" s="17">
        <v>42332</v>
      </c>
      <c r="AS53" s="17">
        <v>27860</v>
      </c>
      <c r="AT53" s="17">
        <v>399330.5</v>
      </c>
      <c r="AU53" s="17">
        <v>197.9</v>
      </c>
      <c r="AV53" s="17">
        <v>74.75</v>
      </c>
      <c r="AW53" s="10" t="s">
        <v>105</v>
      </c>
      <c r="AX53" s="17">
        <v>5774</v>
      </c>
      <c r="AY53" s="18">
        <v>14.333470926058865</v>
      </c>
      <c r="AZ53" s="10" t="s">
        <v>148</v>
      </c>
      <c r="BA53" s="20" t="b">
        <v>0</v>
      </c>
      <c r="BB53" s="10"/>
      <c r="BC53" s="17">
        <v>42332</v>
      </c>
      <c r="BD53" s="17">
        <v>27860</v>
      </c>
      <c r="BE53" s="17">
        <v>399330.5</v>
      </c>
      <c r="BF53" s="17">
        <v>74.75</v>
      </c>
      <c r="BG53" s="11">
        <f ca="1">IFERROR(__xludf.DUMMYFUNCTION("""COMPUTED_VALUE"""),45892.875)</f>
        <v>45892.875</v>
      </c>
      <c r="BH53" s="17" t="s">
        <v>105</v>
      </c>
      <c r="BI53" s="17"/>
      <c r="BJ53" s="15"/>
      <c r="BK53" s="15"/>
      <c r="BL53" s="13" t="b">
        <v>1</v>
      </c>
      <c r="BM53" s="10"/>
      <c r="BN53" s="10" t="s">
        <v>197</v>
      </c>
      <c r="BO53" s="11">
        <v>45826.67291666667</v>
      </c>
      <c r="BP53" s="11">
        <v>45884.694560185184</v>
      </c>
      <c r="BQ53" s="15">
        <v>45888.564780092594</v>
      </c>
      <c r="BR53" s="15">
        <v>45889.572094907409</v>
      </c>
      <c r="BS53" s="10" t="s">
        <v>197</v>
      </c>
      <c r="BT53" s="10" t="s">
        <v>279</v>
      </c>
      <c r="BU53" s="10" t="s">
        <v>421</v>
      </c>
      <c r="BV53" s="10"/>
      <c r="BW53" s="10"/>
      <c r="BX53" s="10"/>
      <c r="BY53" s="23"/>
      <c r="BZ53" s="24" t="s">
        <v>299</v>
      </c>
      <c r="CA53" s="19" t="s">
        <v>698</v>
      </c>
      <c r="CB53" s="19" t="s">
        <v>699</v>
      </c>
      <c r="CC53" s="23"/>
      <c r="CD53" s="19" t="s">
        <v>700</v>
      </c>
      <c r="CE53" s="23"/>
      <c r="CF53" s="23"/>
      <c r="CG53" s="23"/>
      <c r="CH53" s="23"/>
      <c r="CI53" s="23"/>
    </row>
    <row r="54" spans="1:87" x14ac:dyDescent="0.3">
      <c r="A54" s="9" t="s">
        <v>701</v>
      </c>
      <c r="B54" s="10" t="s">
        <v>702</v>
      </c>
      <c r="C54" s="11">
        <v>45899.979166666664</v>
      </c>
      <c r="D54" s="12">
        <v>8.3333333333333329E-2</v>
      </c>
      <c r="E54" s="11">
        <v>45900.0625</v>
      </c>
      <c r="F54" s="10" t="s">
        <v>262</v>
      </c>
      <c r="G54" s="13" t="b">
        <v>1</v>
      </c>
      <c r="H54" s="10" t="s">
        <v>263</v>
      </c>
      <c r="I54" s="10" t="s">
        <v>264</v>
      </c>
      <c r="J54" s="13" t="b">
        <v>0</v>
      </c>
      <c r="K54" s="13" t="b">
        <v>1</v>
      </c>
      <c r="L54" s="10" t="s">
        <v>124</v>
      </c>
      <c r="M54" s="10" t="s">
        <v>91</v>
      </c>
      <c r="N54" s="10" t="s">
        <v>265</v>
      </c>
      <c r="O54" s="19" t="s">
        <v>703</v>
      </c>
      <c r="P54" s="10" t="s">
        <v>331</v>
      </c>
      <c r="Q54" s="10" t="s">
        <v>126</v>
      </c>
      <c r="R54" s="10"/>
      <c r="S54" s="19" t="s">
        <v>704</v>
      </c>
      <c r="T54" s="19" t="s">
        <v>464</v>
      </c>
      <c r="U54" s="10" t="s">
        <v>663</v>
      </c>
      <c r="V54" s="10" t="s">
        <v>293</v>
      </c>
      <c r="W54" s="10" t="s">
        <v>272</v>
      </c>
      <c r="X54" s="10" t="s">
        <v>130</v>
      </c>
      <c r="Y54" s="10" t="s">
        <v>130</v>
      </c>
      <c r="Z54" s="10" t="s">
        <v>99</v>
      </c>
      <c r="AA54" s="10" t="s">
        <v>131</v>
      </c>
      <c r="AB54" s="10" t="s">
        <v>273</v>
      </c>
      <c r="AC54" s="10" t="s">
        <v>274</v>
      </c>
      <c r="AD54" s="10" t="s">
        <v>705</v>
      </c>
      <c r="AE54" s="10" t="s">
        <v>706</v>
      </c>
      <c r="AF54" s="15"/>
      <c r="AG54" s="10"/>
      <c r="AH54" s="10"/>
      <c r="AI54" s="10"/>
      <c r="AJ54" s="10" t="s">
        <v>707</v>
      </c>
      <c r="AK54" s="10" t="s">
        <v>102</v>
      </c>
      <c r="AL54" s="10" t="s">
        <v>147</v>
      </c>
      <c r="AM54" s="10"/>
      <c r="AN54" s="10"/>
      <c r="AO54" s="13" t="b">
        <v>0</v>
      </c>
      <c r="AP54" s="10" t="s">
        <v>104</v>
      </c>
      <c r="AQ54" s="10">
        <f ca="1">IFERROR(__xludf.DUMMYFUNCTION("""COMPUTED_VALUE"""),4525577)</f>
        <v>4525577</v>
      </c>
      <c r="AR54" s="17">
        <v>65840</v>
      </c>
      <c r="AS54" s="17">
        <v>54928</v>
      </c>
      <c r="AT54" s="17">
        <v>960615</v>
      </c>
      <c r="AU54" s="17">
        <v>183.45</v>
      </c>
      <c r="AV54" s="17">
        <v>66.7</v>
      </c>
      <c r="AW54" s="10" t="s">
        <v>105</v>
      </c>
      <c r="AX54" s="17">
        <v>46699</v>
      </c>
      <c r="AY54" s="18">
        <v>17.488621468103698</v>
      </c>
      <c r="AZ54" s="10" t="s">
        <v>148</v>
      </c>
      <c r="BA54" s="20" t="b">
        <v>0</v>
      </c>
      <c r="BB54" s="10"/>
      <c r="BC54" s="17">
        <v>65840</v>
      </c>
      <c r="BD54" s="17">
        <v>54928</v>
      </c>
      <c r="BE54" s="17">
        <v>960615</v>
      </c>
      <c r="BF54" s="17">
        <v>66.7</v>
      </c>
      <c r="BG54" s="11">
        <f ca="1">IFERROR(__xludf.DUMMYFUNCTION("""COMPUTED_VALUE"""),45899.9583333333)</f>
        <v>45899.958333333299</v>
      </c>
      <c r="BH54" s="17" t="s">
        <v>105</v>
      </c>
      <c r="BI54" s="17"/>
      <c r="BJ54" s="15"/>
      <c r="BK54" s="15"/>
      <c r="BL54" s="13" t="b">
        <v>0</v>
      </c>
      <c r="BM54" s="10"/>
      <c r="BN54" s="10" t="s">
        <v>533</v>
      </c>
      <c r="BO54" s="11">
        <v>45826.681944444441</v>
      </c>
      <c r="BP54" s="11">
        <v>45895.482615740744</v>
      </c>
      <c r="BQ54" s="15">
        <v>45894.864479166667</v>
      </c>
      <c r="BR54" s="15">
        <v>45895.428773148145</v>
      </c>
      <c r="BS54" s="10"/>
      <c r="BT54" s="10" t="s">
        <v>99</v>
      </c>
      <c r="BU54" s="10" t="s">
        <v>280</v>
      </c>
      <c r="BV54" s="10"/>
      <c r="BW54" s="10"/>
      <c r="BX54" s="10"/>
      <c r="BY54" s="23"/>
      <c r="BZ54" s="24" t="s">
        <v>299</v>
      </c>
      <c r="CA54" s="19" t="s">
        <v>708</v>
      </c>
      <c r="CB54" s="19" t="s">
        <v>709</v>
      </c>
      <c r="CC54" s="23"/>
      <c r="CD54" s="19" t="s">
        <v>710</v>
      </c>
      <c r="CE54" s="23"/>
      <c r="CF54" s="23"/>
      <c r="CG54" s="23"/>
      <c r="CH54" s="23"/>
      <c r="CI54" s="23"/>
    </row>
    <row r="55" spans="1:87" x14ac:dyDescent="0.3">
      <c r="A55" s="9" t="s">
        <v>711</v>
      </c>
      <c r="B55" s="10" t="s">
        <v>712</v>
      </c>
      <c r="C55" s="11">
        <v>45899.875</v>
      </c>
      <c r="D55" s="12">
        <v>8.3333333333333329E-2</v>
      </c>
      <c r="E55" s="11">
        <v>45899.958333333336</v>
      </c>
      <c r="F55" s="10" t="s">
        <v>262</v>
      </c>
      <c r="G55" s="13" t="b">
        <v>1</v>
      </c>
      <c r="H55" s="10" t="s">
        <v>263</v>
      </c>
      <c r="I55" s="10" t="s">
        <v>264</v>
      </c>
      <c r="J55" s="13" t="b">
        <v>0</v>
      </c>
      <c r="K55" s="13" t="b">
        <v>1</v>
      </c>
      <c r="L55" s="10" t="s">
        <v>124</v>
      </c>
      <c r="M55" s="10" t="s">
        <v>91</v>
      </c>
      <c r="N55" s="10" t="s">
        <v>265</v>
      </c>
      <c r="O55" s="19" t="s">
        <v>713</v>
      </c>
      <c r="P55" s="10" t="s">
        <v>267</v>
      </c>
      <c r="Q55" s="10" t="s">
        <v>126</v>
      </c>
      <c r="R55" s="10"/>
      <c r="S55" s="19" t="s">
        <v>714</v>
      </c>
      <c r="T55" s="19" t="s">
        <v>464</v>
      </c>
      <c r="U55" s="10" t="s">
        <v>361</v>
      </c>
      <c r="V55" s="10" t="s">
        <v>609</v>
      </c>
      <c r="W55" s="10" t="s">
        <v>272</v>
      </c>
      <c r="X55" s="10" t="s">
        <v>130</v>
      </c>
      <c r="Y55" s="10" t="s">
        <v>130</v>
      </c>
      <c r="Z55" s="10" t="s">
        <v>99</v>
      </c>
      <c r="AA55" s="10" t="s">
        <v>131</v>
      </c>
      <c r="AB55" s="10" t="s">
        <v>273</v>
      </c>
      <c r="AC55" s="10" t="s">
        <v>274</v>
      </c>
      <c r="AD55" s="10" t="s">
        <v>715</v>
      </c>
      <c r="AE55" s="10" t="s">
        <v>716</v>
      </c>
      <c r="AF55" s="15"/>
      <c r="AG55" s="10"/>
      <c r="AH55" s="10"/>
      <c r="AI55" s="10"/>
      <c r="AJ55" s="10" t="s">
        <v>717</v>
      </c>
      <c r="AK55" s="10" t="s">
        <v>102</v>
      </c>
      <c r="AL55" s="10" t="s">
        <v>147</v>
      </c>
      <c r="AM55" s="10"/>
      <c r="AN55" s="10"/>
      <c r="AO55" s="13" t="b">
        <v>1</v>
      </c>
      <c r="AP55" s="10" t="s">
        <v>104</v>
      </c>
      <c r="AQ55" s="10">
        <f ca="1">IFERROR(__xludf.DUMMYFUNCTION("""COMPUTED_VALUE"""),4525571)</f>
        <v>4525571</v>
      </c>
      <c r="AR55" s="17">
        <v>426603</v>
      </c>
      <c r="AS55" s="17">
        <v>210378</v>
      </c>
      <c r="AT55" s="17">
        <v>12417726.75</v>
      </c>
      <c r="AU55" s="17">
        <v>6519.65</v>
      </c>
      <c r="AV55" s="17">
        <v>2312.6</v>
      </c>
      <c r="AW55" s="10" t="s">
        <v>297</v>
      </c>
      <c r="AX55" s="17">
        <v>132551</v>
      </c>
      <c r="AY55" s="18">
        <v>59.025785728545763</v>
      </c>
      <c r="AZ55" s="10" t="s">
        <v>148</v>
      </c>
      <c r="BA55" s="20" t="b">
        <v>0</v>
      </c>
      <c r="BB55" s="10"/>
      <c r="BC55" s="17">
        <v>426603</v>
      </c>
      <c r="BD55" s="17">
        <v>210378</v>
      </c>
      <c r="BE55" s="17">
        <v>12417726.75</v>
      </c>
      <c r="BF55" s="17">
        <v>2312.6</v>
      </c>
      <c r="BG55" s="11">
        <f ca="1">IFERROR(__xludf.DUMMYFUNCTION("""COMPUTED_VALUE"""),45899.8541666666)</f>
        <v>45899.854166666599</v>
      </c>
      <c r="BH55" s="17" t="s">
        <v>297</v>
      </c>
      <c r="BI55" s="17"/>
      <c r="BJ55" s="15"/>
      <c r="BK55" s="15"/>
      <c r="BL55" s="13" t="b">
        <v>1</v>
      </c>
      <c r="BM55" s="10"/>
      <c r="BN55" s="10" t="s">
        <v>351</v>
      </c>
      <c r="BO55" s="11">
        <v>45826.683333333334</v>
      </c>
      <c r="BP55" s="11">
        <v>45891.538587962961</v>
      </c>
      <c r="BQ55" s="15">
        <v>45894.863969907405</v>
      </c>
      <c r="BR55" s="15">
        <v>45895.428078703706</v>
      </c>
      <c r="BS55" s="10"/>
      <c r="BT55" s="10" t="s">
        <v>99</v>
      </c>
      <c r="BU55" s="10" t="s">
        <v>718</v>
      </c>
      <c r="BV55" s="10" t="s">
        <v>281</v>
      </c>
      <c r="BW55" s="10" t="s">
        <v>719</v>
      </c>
      <c r="BX55" s="10"/>
      <c r="BY55" s="23"/>
      <c r="BZ55" s="24" t="s">
        <v>284</v>
      </c>
      <c r="CA55" s="19" t="s">
        <v>720</v>
      </c>
      <c r="CB55" s="19" t="s">
        <v>721</v>
      </c>
      <c r="CC55" s="23"/>
      <c r="CD55" s="19" t="s">
        <v>722</v>
      </c>
      <c r="CE55" s="23"/>
      <c r="CF55" s="23"/>
      <c r="CG55" s="23"/>
      <c r="CH55" s="23"/>
      <c r="CI55" s="23"/>
    </row>
    <row r="56" spans="1:87" x14ac:dyDescent="0.3">
      <c r="A56" s="9" t="s">
        <v>723</v>
      </c>
      <c r="B56" s="10" t="s">
        <v>724</v>
      </c>
      <c r="C56" s="11">
        <v>45899.875</v>
      </c>
      <c r="D56" s="12">
        <v>8.3333333333333329E-2</v>
      </c>
      <c r="E56" s="11">
        <v>45899.958333333336</v>
      </c>
      <c r="F56" s="10" t="s">
        <v>262</v>
      </c>
      <c r="G56" s="13" t="b">
        <v>0</v>
      </c>
      <c r="H56" s="10" t="s">
        <v>527</v>
      </c>
      <c r="I56" s="10" t="s">
        <v>264</v>
      </c>
      <c r="J56" s="13" t="b">
        <v>0</v>
      </c>
      <c r="K56" s="13" t="b">
        <v>1</v>
      </c>
      <c r="L56" s="10" t="s">
        <v>124</v>
      </c>
      <c r="M56" s="10" t="s">
        <v>91</v>
      </c>
      <c r="N56" s="10" t="s">
        <v>265</v>
      </c>
      <c r="O56" s="19" t="s">
        <v>725</v>
      </c>
      <c r="P56" s="10"/>
      <c r="Q56" s="10" t="s">
        <v>126</v>
      </c>
      <c r="R56" s="10"/>
      <c r="S56" s="19" t="s">
        <v>726</v>
      </c>
      <c r="T56" s="19" t="s">
        <v>464</v>
      </c>
      <c r="U56" s="10" t="s">
        <v>588</v>
      </c>
      <c r="V56" s="10" t="s">
        <v>321</v>
      </c>
      <c r="W56" s="10" t="s">
        <v>272</v>
      </c>
      <c r="X56" s="10" t="s">
        <v>130</v>
      </c>
      <c r="Y56" s="10" t="s">
        <v>130</v>
      </c>
      <c r="Z56" s="10" t="s">
        <v>99</v>
      </c>
      <c r="AA56" s="10" t="s">
        <v>131</v>
      </c>
      <c r="AB56" s="10" t="s">
        <v>273</v>
      </c>
      <c r="AC56" s="10" t="s">
        <v>274</v>
      </c>
      <c r="AD56" s="10" t="s">
        <v>727</v>
      </c>
      <c r="AE56" s="10" t="s">
        <v>728</v>
      </c>
      <c r="AF56" s="15"/>
      <c r="AG56" s="10"/>
      <c r="AH56" s="10"/>
      <c r="AI56" s="10"/>
      <c r="AJ56" s="10" t="s">
        <v>729</v>
      </c>
      <c r="AK56" s="10" t="s">
        <v>102</v>
      </c>
      <c r="AL56" s="10" t="s">
        <v>147</v>
      </c>
      <c r="AM56" s="10"/>
      <c r="AN56" s="10"/>
      <c r="AO56" s="13" t="b">
        <v>0</v>
      </c>
      <c r="AP56" s="10" t="s">
        <v>104</v>
      </c>
      <c r="AQ56" s="10">
        <f ca="1">IFERROR(__xludf.DUMMYFUNCTION("""COMPUTED_VALUE"""),4525573)</f>
        <v>4525573</v>
      </c>
      <c r="AR56" s="17">
        <v>18041</v>
      </c>
      <c r="AS56" s="17">
        <v>11995</v>
      </c>
      <c r="AT56" s="17">
        <v>46433.25</v>
      </c>
      <c r="AU56" s="17">
        <v>25.7</v>
      </c>
      <c r="AV56" s="17">
        <v>9.35</v>
      </c>
      <c r="AW56" s="10" t="s">
        <v>105</v>
      </c>
      <c r="AX56" s="17">
        <v>1953</v>
      </c>
      <c r="AY56" s="18">
        <v>3.8710504376823676</v>
      </c>
      <c r="AZ56" s="10" t="s">
        <v>148</v>
      </c>
      <c r="BA56" s="20" t="b">
        <v>0</v>
      </c>
      <c r="BB56" s="10"/>
      <c r="BC56" s="17">
        <v>18041</v>
      </c>
      <c r="BD56" s="17">
        <v>11995</v>
      </c>
      <c r="BE56" s="17">
        <v>46433.25</v>
      </c>
      <c r="BF56" s="17">
        <v>9.35</v>
      </c>
      <c r="BG56" s="11">
        <f ca="1">IFERROR(__xludf.DUMMYFUNCTION("""COMPUTED_VALUE"""),45899.875)</f>
        <v>45899.875</v>
      </c>
      <c r="BH56" s="17" t="s">
        <v>105</v>
      </c>
      <c r="BI56" s="17"/>
      <c r="BJ56" s="15"/>
      <c r="BK56" s="15"/>
      <c r="BL56" s="13" t="b">
        <v>1</v>
      </c>
      <c r="BM56" s="10"/>
      <c r="BN56" s="10" t="s">
        <v>351</v>
      </c>
      <c r="BO56" s="11">
        <v>45826.68472222222</v>
      </c>
      <c r="BP56" s="11">
        <v>45891.539976851855</v>
      </c>
      <c r="BQ56" s="15">
        <v>45894.86409722222</v>
      </c>
      <c r="BR56" s="15">
        <v>45895.428263888891</v>
      </c>
      <c r="BS56" s="10"/>
      <c r="BT56" s="10" t="s">
        <v>99</v>
      </c>
      <c r="BU56" s="10" t="s">
        <v>730</v>
      </c>
      <c r="BV56" s="10"/>
      <c r="BW56" s="10"/>
      <c r="BX56" s="10"/>
      <c r="BY56" s="23"/>
      <c r="BZ56" s="24" t="s">
        <v>299</v>
      </c>
      <c r="CA56" s="19" t="s">
        <v>731</v>
      </c>
      <c r="CB56" s="19" t="s">
        <v>732</v>
      </c>
      <c r="CC56" s="23"/>
      <c r="CD56" s="19" t="s">
        <v>733</v>
      </c>
      <c r="CE56" s="23"/>
      <c r="CF56" s="23"/>
      <c r="CG56" s="23"/>
      <c r="CH56" s="23"/>
      <c r="CI56" s="23"/>
    </row>
    <row r="57" spans="1:87" x14ac:dyDescent="0.3">
      <c r="A57" s="9" t="s">
        <v>734</v>
      </c>
      <c r="B57" s="10" t="s">
        <v>735</v>
      </c>
      <c r="C57" s="11">
        <v>45921.9375</v>
      </c>
      <c r="D57" s="12">
        <v>8.3333333333333329E-2</v>
      </c>
      <c r="E57" s="11">
        <v>45922.020833333336</v>
      </c>
      <c r="F57" s="10" t="s">
        <v>262</v>
      </c>
      <c r="G57" s="13" t="b">
        <v>1</v>
      </c>
      <c r="H57" s="10" t="s">
        <v>263</v>
      </c>
      <c r="I57" s="10" t="s">
        <v>264</v>
      </c>
      <c r="J57" s="13" t="b">
        <v>0</v>
      </c>
      <c r="K57" s="13" t="b">
        <v>1</v>
      </c>
      <c r="L57" s="10" t="s">
        <v>358</v>
      </c>
      <c r="M57" s="10" t="s">
        <v>91</v>
      </c>
      <c r="N57" s="10" t="s">
        <v>265</v>
      </c>
      <c r="O57" s="19" t="s">
        <v>736</v>
      </c>
      <c r="P57" s="10" t="s">
        <v>267</v>
      </c>
      <c r="Q57" s="10" t="s">
        <v>126</v>
      </c>
      <c r="R57" s="10"/>
      <c r="S57" s="19" t="s">
        <v>737</v>
      </c>
      <c r="T57" s="19" t="s">
        <v>738</v>
      </c>
      <c r="U57" s="10" t="s">
        <v>362</v>
      </c>
      <c r="V57" s="10" t="s">
        <v>334</v>
      </c>
      <c r="W57" s="10" t="s">
        <v>272</v>
      </c>
      <c r="X57" s="10" t="s">
        <v>130</v>
      </c>
      <c r="Y57" s="10" t="s">
        <v>130</v>
      </c>
      <c r="Z57" s="10" t="s">
        <v>99</v>
      </c>
      <c r="AA57" s="10" t="s">
        <v>131</v>
      </c>
      <c r="AB57" s="10" t="s">
        <v>273</v>
      </c>
      <c r="AC57" s="10" t="s">
        <v>274</v>
      </c>
      <c r="AD57" s="10" t="s">
        <v>739</v>
      </c>
      <c r="AE57" s="10" t="s">
        <v>740</v>
      </c>
      <c r="AF57" s="15"/>
      <c r="AG57" s="10"/>
      <c r="AH57" s="10"/>
      <c r="AI57" s="10"/>
      <c r="AJ57" s="10" t="s">
        <v>741</v>
      </c>
      <c r="AK57" s="10" t="s">
        <v>102</v>
      </c>
      <c r="AL57" s="10" t="s">
        <v>167</v>
      </c>
      <c r="AM57" s="10"/>
      <c r="AN57" s="10"/>
      <c r="AO57" s="13" t="b">
        <v>1</v>
      </c>
      <c r="AP57" s="10" t="s">
        <v>104</v>
      </c>
      <c r="AQ57" s="10">
        <f ca="1">IFERROR(__xludf.DUMMYFUNCTION("""COMPUTED_VALUE"""),4579969)</f>
        <v>4579969</v>
      </c>
      <c r="AR57" s="17">
        <v>305497</v>
      </c>
      <c r="AS57" s="17">
        <v>196176</v>
      </c>
      <c r="AT57" s="17">
        <v>7336911</v>
      </c>
      <c r="AU57" s="17">
        <v>4498.3500000000004</v>
      </c>
      <c r="AV57" s="17">
        <v>889.95</v>
      </c>
      <c r="AW57" s="10" t="s">
        <v>297</v>
      </c>
      <c r="AX57" s="17">
        <v>105838</v>
      </c>
      <c r="AY57" s="18">
        <v>37.399636041105943</v>
      </c>
      <c r="AZ57" s="10" t="s">
        <v>148</v>
      </c>
      <c r="BA57" s="20" t="b">
        <v>0</v>
      </c>
      <c r="BB57" s="10"/>
      <c r="BC57" s="17">
        <v>305497</v>
      </c>
      <c r="BD57" s="17">
        <v>196176</v>
      </c>
      <c r="BE57" s="17">
        <v>7336911</v>
      </c>
      <c r="BF57" s="17">
        <v>889.95</v>
      </c>
      <c r="BG57" s="11">
        <f ca="1">IFERROR(__xludf.DUMMYFUNCTION("""COMPUTED_VALUE"""),45921.9166666666)</f>
        <v>45921.916666666599</v>
      </c>
      <c r="BH57" s="17" t="s">
        <v>297</v>
      </c>
      <c r="BI57" s="17"/>
      <c r="BJ57" s="15"/>
      <c r="BK57" s="15"/>
      <c r="BL57" s="13" t="b">
        <v>1</v>
      </c>
      <c r="BM57" s="10"/>
      <c r="BN57" s="10" t="s">
        <v>351</v>
      </c>
      <c r="BO57" s="11">
        <v>45826.69027777778</v>
      </c>
      <c r="BP57" s="11">
        <v>45915.551805555559</v>
      </c>
      <c r="BQ57" s="15">
        <v>45918.645486111112</v>
      </c>
      <c r="BR57" s="15">
        <v>45918.914710648147</v>
      </c>
      <c r="BS57" s="10"/>
      <c r="BT57" s="10" t="s">
        <v>99</v>
      </c>
      <c r="BU57" s="10" t="s">
        <v>655</v>
      </c>
      <c r="BV57" s="10" t="s">
        <v>499</v>
      </c>
      <c r="BW57" s="10"/>
      <c r="BX57" s="10"/>
      <c r="BY57" s="23"/>
      <c r="BZ57" s="24" t="s">
        <v>368</v>
      </c>
      <c r="CA57" s="19" t="s">
        <v>742</v>
      </c>
      <c r="CB57" s="19" t="s">
        <v>743</v>
      </c>
      <c r="CC57" s="23"/>
      <c r="CD57" s="19" t="s">
        <v>744</v>
      </c>
      <c r="CE57" s="23"/>
      <c r="CF57" s="23"/>
      <c r="CG57" s="23"/>
      <c r="CH57" s="23"/>
      <c r="CI57" s="23"/>
    </row>
    <row r="58" spans="1:87" x14ac:dyDescent="0.3">
      <c r="A58" s="9" t="s">
        <v>745</v>
      </c>
      <c r="B58" s="10" t="s">
        <v>746</v>
      </c>
      <c r="C58" s="11">
        <v>45921.833333333336</v>
      </c>
      <c r="D58" s="12">
        <v>8.3333333333333329E-2</v>
      </c>
      <c r="E58" s="11">
        <v>45921.916666666664</v>
      </c>
      <c r="F58" s="10" t="s">
        <v>262</v>
      </c>
      <c r="G58" s="13" t="b">
        <v>1</v>
      </c>
      <c r="H58" s="10" t="s">
        <v>263</v>
      </c>
      <c r="I58" s="10" t="s">
        <v>264</v>
      </c>
      <c r="J58" s="13" t="b">
        <v>0</v>
      </c>
      <c r="K58" s="13" t="b">
        <v>1</v>
      </c>
      <c r="L58" s="10" t="s">
        <v>124</v>
      </c>
      <c r="M58" s="10" t="s">
        <v>91</v>
      </c>
      <c r="N58" s="10" t="s">
        <v>265</v>
      </c>
      <c r="O58" s="19" t="s">
        <v>747</v>
      </c>
      <c r="P58" s="10" t="s">
        <v>267</v>
      </c>
      <c r="Q58" s="10" t="s">
        <v>126</v>
      </c>
      <c r="R58" s="10"/>
      <c r="S58" s="19" t="s">
        <v>748</v>
      </c>
      <c r="T58" s="19" t="s">
        <v>738</v>
      </c>
      <c r="U58" s="10" t="s">
        <v>271</v>
      </c>
      <c r="V58" s="10" t="s">
        <v>293</v>
      </c>
      <c r="W58" s="10" t="s">
        <v>272</v>
      </c>
      <c r="X58" s="10" t="s">
        <v>130</v>
      </c>
      <c r="Y58" s="10" t="s">
        <v>130</v>
      </c>
      <c r="Z58" s="10" t="s">
        <v>99</v>
      </c>
      <c r="AA58" s="10" t="s">
        <v>131</v>
      </c>
      <c r="AB58" s="10" t="s">
        <v>273</v>
      </c>
      <c r="AC58" s="10" t="s">
        <v>274</v>
      </c>
      <c r="AD58" s="10" t="s">
        <v>749</v>
      </c>
      <c r="AE58" s="10" t="s">
        <v>750</v>
      </c>
      <c r="AF58" s="15"/>
      <c r="AG58" s="10"/>
      <c r="AH58" s="10"/>
      <c r="AI58" s="10"/>
      <c r="AJ58" s="10" t="s">
        <v>751</v>
      </c>
      <c r="AK58" s="10" t="s">
        <v>102</v>
      </c>
      <c r="AL58" s="10" t="s">
        <v>167</v>
      </c>
      <c r="AM58" s="10"/>
      <c r="AN58" s="10"/>
      <c r="AO58" s="13" t="b">
        <v>0</v>
      </c>
      <c r="AP58" s="10" t="s">
        <v>104</v>
      </c>
      <c r="AQ58" s="10">
        <f ca="1">IFERROR(__xludf.DUMMYFUNCTION("""COMPUTED_VALUE"""),4587129)</f>
        <v>4587129</v>
      </c>
      <c r="AR58" s="17">
        <v>141840</v>
      </c>
      <c r="AS58" s="17">
        <v>83473</v>
      </c>
      <c r="AT58" s="17">
        <v>3270544</v>
      </c>
      <c r="AU58" s="17">
        <v>753.25</v>
      </c>
      <c r="AV58" s="17">
        <v>141.19999999999999</v>
      </c>
      <c r="AW58" s="10" t="s">
        <v>105</v>
      </c>
      <c r="AX58" s="17">
        <v>28167</v>
      </c>
      <c r="AY58" s="18">
        <v>39.180860877169863</v>
      </c>
      <c r="AZ58" s="10" t="s">
        <v>148</v>
      </c>
      <c r="BA58" s="20" t="b">
        <v>0</v>
      </c>
      <c r="BB58" s="10"/>
      <c r="BC58" s="17">
        <v>141840</v>
      </c>
      <c r="BD58" s="17">
        <v>83473</v>
      </c>
      <c r="BE58" s="17">
        <v>3270544</v>
      </c>
      <c r="BF58" s="17">
        <v>141.19999999999999</v>
      </c>
      <c r="BG58" s="11">
        <f ca="1">IFERROR(__xludf.DUMMYFUNCTION("""COMPUTED_VALUE"""),45921.8125)</f>
        <v>45921.8125</v>
      </c>
      <c r="BH58" s="17" t="s">
        <v>105</v>
      </c>
      <c r="BI58" s="17"/>
      <c r="BJ58" s="15"/>
      <c r="BK58" s="15"/>
      <c r="BL58" s="13" t="b">
        <v>1</v>
      </c>
      <c r="BM58" s="10"/>
      <c r="BN58" s="10" t="s">
        <v>351</v>
      </c>
      <c r="BO58" s="11">
        <v>45826.690972222219</v>
      </c>
      <c r="BP58" s="11">
        <v>45921.440509259257</v>
      </c>
      <c r="BQ58" s="15">
        <v>45918.645162037035</v>
      </c>
      <c r="BR58" s="15">
        <v>45921.446226851855</v>
      </c>
      <c r="BS58" s="10"/>
      <c r="BT58" s="10" t="s">
        <v>99</v>
      </c>
      <c r="BU58" s="10" t="s">
        <v>498</v>
      </c>
      <c r="BV58" s="10"/>
      <c r="BW58" s="10"/>
      <c r="BX58" s="10"/>
      <c r="BY58" s="23"/>
      <c r="BZ58" s="24" t="s">
        <v>299</v>
      </c>
      <c r="CA58" s="19" t="s">
        <v>752</v>
      </c>
      <c r="CB58" s="19" t="s">
        <v>753</v>
      </c>
      <c r="CC58" s="23"/>
      <c r="CD58" s="19" t="s">
        <v>754</v>
      </c>
      <c r="CE58" s="23"/>
      <c r="CF58" s="23"/>
      <c r="CG58" s="23"/>
      <c r="CH58" s="23"/>
      <c r="CI58" s="23"/>
    </row>
    <row r="59" spans="1:87" x14ac:dyDescent="0.3">
      <c r="A59" s="9" t="s">
        <v>755</v>
      </c>
      <c r="B59" s="10" t="s">
        <v>756</v>
      </c>
      <c r="C59" s="11">
        <v>45920.875</v>
      </c>
      <c r="D59" s="12">
        <v>8.3333333333333329E-2</v>
      </c>
      <c r="E59" s="11">
        <v>45920.958333333336</v>
      </c>
      <c r="F59" s="10" t="s">
        <v>262</v>
      </c>
      <c r="G59" s="13" t="b">
        <v>1</v>
      </c>
      <c r="H59" s="10" t="s">
        <v>263</v>
      </c>
      <c r="I59" s="10" t="s">
        <v>264</v>
      </c>
      <c r="J59" s="13" t="b">
        <v>0</v>
      </c>
      <c r="K59" s="13" t="b">
        <v>1</v>
      </c>
      <c r="L59" s="10" t="s">
        <v>124</v>
      </c>
      <c r="M59" s="10" t="s">
        <v>91</v>
      </c>
      <c r="N59" s="10" t="s">
        <v>265</v>
      </c>
      <c r="O59" s="19" t="s">
        <v>757</v>
      </c>
      <c r="P59" s="10" t="s">
        <v>267</v>
      </c>
      <c r="Q59" s="10" t="s">
        <v>126</v>
      </c>
      <c r="R59" s="10"/>
      <c r="S59" s="19" t="s">
        <v>758</v>
      </c>
      <c r="T59" s="19" t="s">
        <v>738</v>
      </c>
      <c r="U59" s="10" t="s">
        <v>308</v>
      </c>
      <c r="V59" s="10" t="s">
        <v>429</v>
      </c>
      <c r="W59" s="10" t="s">
        <v>272</v>
      </c>
      <c r="X59" s="10" t="s">
        <v>130</v>
      </c>
      <c r="Y59" s="10" t="s">
        <v>130</v>
      </c>
      <c r="Z59" s="10" t="s">
        <v>99</v>
      </c>
      <c r="AA59" s="10" t="s">
        <v>131</v>
      </c>
      <c r="AB59" s="10" t="s">
        <v>273</v>
      </c>
      <c r="AC59" s="10" t="s">
        <v>274</v>
      </c>
      <c r="AD59" s="10" t="s">
        <v>759</v>
      </c>
      <c r="AE59" s="10" t="s">
        <v>760</v>
      </c>
      <c r="AF59" s="15"/>
      <c r="AG59" s="10"/>
      <c r="AH59" s="10"/>
      <c r="AI59" s="10"/>
      <c r="AJ59" s="10" t="s">
        <v>761</v>
      </c>
      <c r="AK59" s="10" t="s">
        <v>102</v>
      </c>
      <c r="AL59" s="10" t="s">
        <v>167</v>
      </c>
      <c r="AM59" s="10"/>
      <c r="AN59" s="10"/>
      <c r="AO59" s="13" t="b">
        <v>1</v>
      </c>
      <c r="AP59" s="10" t="s">
        <v>104</v>
      </c>
      <c r="AQ59" s="10">
        <f ca="1">IFERROR(__xludf.DUMMYFUNCTION("""COMPUTED_VALUE"""),4579890)</f>
        <v>4579890</v>
      </c>
      <c r="AR59" s="17">
        <v>182678</v>
      </c>
      <c r="AS59" s="17">
        <v>108619</v>
      </c>
      <c r="AT59" s="17">
        <v>3535346</v>
      </c>
      <c r="AU59" s="17">
        <v>3146.9</v>
      </c>
      <c r="AV59" s="17">
        <v>402.4</v>
      </c>
      <c r="AW59" s="10" t="s">
        <v>105</v>
      </c>
      <c r="AX59" s="17">
        <v>43829</v>
      </c>
      <c r="AY59" s="18">
        <v>32.548136145609881</v>
      </c>
      <c r="AZ59" s="10" t="s">
        <v>148</v>
      </c>
      <c r="BA59" s="20" t="b">
        <v>0</v>
      </c>
      <c r="BB59" s="10"/>
      <c r="BC59" s="17">
        <v>182678</v>
      </c>
      <c r="BD59" s="17">
        <v>108619</v>
      </c>
      <c r="BE59" s="17">
        <v>3535346</v>
      </c>
      <c r="BF59" s="17">
        <v>402.4</v>
      </c>
      <c r="BG59" s="11">
        <f ca="1">IFERROR(__xludf.DUMMYFUNCTION("""COMPUTED_VALUE"""),45920.8541666666)</f>
        <v>45920.854166666599</v>
      </c>
      <c r="BH59" s="17" t="s">
        <v>105</v>
      </c>
      <c r="BI59" s="17"/>
      <c r="BJ59" s="15"/>
      <c r="BK59" s="15"/>
      <c r="BL59" s="13" t="b">
        <v>1</v>
      </c>
      <c r="BM59" s="10"/>
      <c r="BN59" s="10" t="s">
        <v>351</v>
      </c>
      <c r="BO59" s="11">
        <v>45826.690972222219</v>
      </c>
      <c r="BP59" s="11">
        <v>45915.549641203703</v>
      </c>
      <c r="BQ59" s="15">
        <v>45918.576840277776</v>
      </c>
      <c r="BR59" s="15">
        <v>45918.598761574074</v>
      </c>
      <c r="BS59" s="10"/>
      <c r="BT59" s="10" t="s">
        <v>99</v>
      </c>
      <c r="BU59" s="10" t="s">
        <v>521</v>
      </c>
      <c r="BV59" s="10" t="s">
        <v>124</v>
      </c>
      <c r="BW59" s="10" t="s">
        <v>762</v>
      </c>
      <c r="BX59" s="10"/>
      <c r="BY59" s="23"/>
      <c r="BZ59" s="24" t="s">
        <v>284</v>
      </c>
      <c r="CA59" s="19" t="s">
        <v>763</v>
      </c>
      <c r="CB59" s="19" t="s">
        <v>764</v>
      </c>
      <c r="CC59" s="23"/>
      <c r="CD59" s="19" t="s">
        <v>765</v>
      </c>
      <c r="CE59" s="23"/>
      <c r="CF59" s="23"/>
      <c r="CG59" s="23"/>
      <c r="CH59" s="23"/>
      <c r="CI59" s="23"/>
    </row>
    <row r="60" spans="1:87" x14ac:dyDescent="0.3">
      <c r="A60" s="9" t="s">
        <v>766</v>
      </c>
      <c r="B60" s="10" t="s">
        <v>767</v>
      </c>
      <c r="C60" s="11">
        <v>45920.875</v>
      </c>
      <c r="D60" s="12">
        <v>8.3333333333333329E-2</v>
      </c>
      <c r="E60" s="11">
        <v>45920.958333333336</v>
      </c>
      <c r="F60" s="10" t="s">
        <v>262</v>
      </c>
      <c r="G60" s="13" t="b">
        <v>0</v>
      </c>
      <c r="H60" s="10" t="s">
        <v>527</v>
      </c>
      <c r="I60" s="10" t="s">
        <v>264</v>
      </c>
      <c r="J60" s="13" t="b">
        <v>0</v>
      </c>
      <c r="K60" s="13" t="b">
        <v>1</v>
      </c>
      <c r="L60" s="10" t="s">
        <v>124</v>
      </c>
      <c r="M60" s="10" t="s">
        <v>91</v>
      </c>
      <c r="N60" s="10" t="s">
        <v>265</v>
      </c>
      <c r="O60" s="19" t="s">
        <v>768</v>
      </c>
      <c r="P60" s="10"/>
      <c r="Q60" s="10" t="s">
        <v>126</v>
      </c>
      <c r="R60" s="10"/>
      <c r="S60" s="19" t="s">
        <v>769</v>
      </c>
      <c r="T60" s="19" t="s">
        <v>738</v>
      </c>
      <c r="U60" s="10" t="s">
        <v>609</v>
      </c>
      <c r="V60" s="10" t="s">
        <v>320</v>
      </c>
      <c r="W60" s="10" t="s">
        <v>272</v>
      </c>
      <c r="X60" s="10" t="s">
        <v>130</v>
      </c>
      <c r="Y60" s="10" t="s">
        <v>130</v>
      </c>
      <c r="Z60" s="10" t="s">
        <v>99</v>
      </c>
      <c r="AA60" s="10" t="s">
        <v>131</v>
      </c>
      <c r="AB60" s="10" t="s">
        <v>273</v>
      </c>
      <c r="AC60" s="10" t="s">
        <v>274</v>
      </c>
      <c r="AD60" s="10" t="s">
        <v>770</v>
      </c>
      <c r="AE60" s="10" t="s">
        <v>771</v>
      </c>
      <c r="AF60" s="15"/>
      <c r="AG60" s="10"/>
      <c r="AH60" s="10"/>
      <c r="AI60" s="10"/>
      <c r="AJ60" s="10" t="s">
        <v>772</v>
      </c>
      <c r="AK60" s="10" t="s">
        <v>102</v>
      </c>
      <c r="AL60" s="10" t="s">
        <v>167</v>
      </c>
      <c r="AM60" s="10"/>
      <c r="AN60" s="10"/>
      <c r="AO60" s="13" t="b">
        <v>0</v>
      </c>
      <c r="AP60" s="10" t="s">
        <v>104</v>
      </c>
      <c r="AQ60" s="10">
        <f ca="1">IFERROR(__xludf.DUMMYFUNCTION("""COMPUTED_VALUE"""),4579957)</f>
        <v>4579957</v>
      </c>
      <c r="AR60" s="17">
        <v>24518</v>
      </c>
      <c r="AS60" s="17">
        <v>16475</v>
      </c>
      <c r="AT60" s="17">
        <v>120798.5</v>
      </c>
      <c r="AU60" s="17">
        <v>94.05</v>
      </c>
      <c r="AV60" s="17">
        <v>9.6999999999999993</v>
      </c>
      <c r="AW60" s="10" t="s">
        <v>105</v>
      </c>
      <c r="AX60" s="17">
        <v>4132</v>
      </c>
      <c r="AY60" s="18">
        <v>7.3322306525037932</v>
      </c>
      <c r="AZ60" s="10" t="s">
        <v>148</v>
      </c>
      <c r="BA60" s="20" t="b">
        <v>0</v>
      </c>
      <c r="BB60" s="10"/>
      <c r="BC60" s="17">
        <v>24518</v>
      </c>
      <c r="BD60" s="17">
        <v>16475</v>
      </c>
      <c r="BE60" s="17">
        <v>120798.5</v>
      </c>
      <c r="BF60" s="17">
        <v>9.6999999999999993</v>
      </c>
      <c r="BG60" s="11">
        <f ca="1">IFERROR(__xludf.DUMMYFUNCTION("""COMPUTED_VALUE"""),45920.875)</f>
        <v>45920.875</v>
      </c>
      <c r="BH60" s="17" t="s">
        <v>105</v>
      </c>
      <c r="BI60" s="17"/>
      <c r="BJ60" s="15"/>
      <c r="BK60" s="15"/>
      <c r="BL60" s="13" t="b">
        <v>1</v>
      </c>
      <c r="BM60" s="10"/>
      <c r="BN60" s="10" t="s">
        <v>455</v>
      </c>
      <c r="BO60" s="11">
        <v>45826.691666666666</v>
      </c>
      <c r="BP60" s="11">
        <v>45915.549884259257</v>
      </c>
      <c r="BQ60" s="15">
        <v>45918.577002314814</v>
      </c>
      <c r="BR60" s="15">
        <v>45918.82949074074</v>
      </c>
      <c r="BS60" s="10" t="s">
        <v>455</v>
      </c>
      <c r="BT60" s="10" t="s">
        <v>99</v>
      </c>
      <c r="BU60" s="10" t="s">
        <v>421</v>
      </c>
      <c r="BV60" s="10"/>
      <c r="BW60" s="10"/>
      <c r="BX60" s="10"/>
      <c r="BY60" s="23"/>
      <c r="BZ60" s="24" t="s">
        <v>299</v>
      </c>
      <c r="CA60" s="19" t="s">
        <v>773</v>
      </c>
      <c r="CB60" s="19" t="s">
        <v>774</v>
      </c>
      <c r="CC60" s="23"/>
      <c r="CD60" s="19" t="s">
        <v>775</v>
      </c>
      <c r="CE60" s="23"/>
      <c r="CF60" s="23"/>
      <c r="CG60" s="23"/>
      <c r="CH60" s="23"/>
      <c r="CI60" s="23"/>
    </row>
    <row r="61" spans="1:87" x14ac:dyDescent="0.3">
      <c r="A61" s="9" t="s">
        <v>776</v>
      </c>
      <c r="B61" s="10" t="s">
        <v>777</v>
      </c>
      <c r="C61" s="11">
        <v>45921.083333333336</v>
      </c>
      <c r="D61" s="12">
        <v>8.3333333333333329E-2</v>
      </c>
      <c r="E61" s="11">
        <v>45921.166666666664</v>
      </c>
      <c r="F61" s="10" t="s">
        <v>262</v>
      </c>
      <c r="G61" s="13" t="b">
        <v>0</v>
      </c>
      <c r="H61" s="10" t="s">
        <v>263</v>
      </c>
      <c r="I61" s="10" t="s">
        <v>264</v>
      </c>
      <c r="J61" s="13" t="b">
        <v>0</v>
      </c>
      <c r="K61" s="13" t="b">
        <v>1</v>
      </c>
      <c r="L61" s="10" t="s">
        <v>124</v>
      </c>
      <c r="M61" s="10" t="s">
        <v>91</v>
      </c>
      <c r="N61" s="10" t="s">
        <v>265</v>
      </c>
      <c r="O61" s="19" t="s">
        <v>778</v>
      </c>
      <c r="P61" s="10" t="s">
        <v>267</v>
      </c>
      <c r="Q61" s="10" t="s">
        <v>126</v>
      </c>
      <c r="R61" s="10"/>
      <c r="S61" s="19" t="s">
        <v>779</v>
      </c>
      <c r="T61" s="19" t="s">
        <v>738</v>
      </c>
      <c r="U61" s="10" t="s">
        <v>309</v>
      </c>
      <c r="V61" s="10" t="s">
        <v>321</v>
      </c>
      <c r="W61" s="10" t="s">
        <v>272</v>
      </c>
      <c r="X61" s="10" t="s">
        <v>130</v>
      </c>
      <c r="Y61" s="10" t="s">
        <v>130</v>
      </c>
      <c r="Z61" s="10" t="s">
        <v>99</v>
      </c>
      <c r="AA61" s="10" t="s">
        <v>131</v>
      </c>
      <c r="AB61" s="10" t="s">
        <v>273</v>
      </c>
      <c r="AC61" s="10" t="s">
        <v>274</v>
      </c>
      <c r="AD61" s="10" t="s">
        <v>780</v>
      </c>
      <c r="AE61" s="10" t="s">
        <v>781</v>
      </c>
      <c r="AF61" s="15"/>
      <c r="AG61" s="10"/>
      <c r="AH61" s="10"/>
      <c r="AI61" s="10"/>
      <c r="AJ61" s="10" t="s">
        <v>782</v>
      </c>
      <c r="AK61" s="10" t="s">
        <v>102</v>
      </c>
      <c r="AL61" s="10" t="s">
        <v>167</v>
      </c>
      <c r="AM61" s="10"/>
      <c r="AN61" s="10"/>
      <c r="AO61" s="13" t="b">
        <v>0</v>
      </c>
      <c r="AP61" s="10" t="s">
        <v>104</v>
      </c>
      <c r="AQ61" s="10">
        <f ca="1">IFERROR(__xludf.DUMMYFUNCTION("""COMPUTED_VALUE"""),4579958)</f>
        <v>4579958</v>
      </c>
      <c r="AR61" s="17">
        <v>11688</v>
      </c>
      <c r="AS61" s="17">
        <v>9018</v>
      </c>
      <c r="AT61" s="17">
        <v>233310</v>
      </c>
      <c r="AU61" s="17">
        <v>17.149999999999999</v>
      </c>
      <c r="AV61" s="17">
        <v>2.5</v>
      </c>
      <c r="AW61" s="10" t="s">
        <v>105</v>
      </c>
      <c r="AX61" s="17">
        <v>33750</v>
      </c>
      <c r="AY61" s="18">
        <v>25.871590153027277</v>
      </c>
      <c r="AZ61" s="10" t="s">
        <v>148</v>
      </c>
      <c r="BA61" s="20" t="b">
        <v>0</v>
      </c>
      <c r="BB61" s="10"/>
      <c r="BC61" s="17">
        <v>11688</v>
      </c>
      <c r="BD61" s="17">
        <v>9018</v>
      </c>
      <c r="BE61" s="17">
        <v>233310</v>
      </c>
      <c r="BF61" s="17">
        <v>2.5</v>
      </c>
      <c r="BG61" s="11">
        <f ca="1">IFERROR(__xludf.DUMMYFUNCTION("""COMPUTED_VALUE"""),45921.0833333333)</f>
        <v>45921.083333333299</v>
      </c>
      <c r="BH61" s="17" t="s">
        <v>105</v>
      </c>
      <c r="BI61" s="17"/>
      <c r="BJ61" s="15"/>
      <c r="BK61" s="15"/>
      <c r="BL61" s="13" t="b">
        <v>1</v>
      </c>
      <c r="BM61" s="10"/>
      <c r="BN61" s="10" t="s">
        <v>351</v>
      </c>
      <c r="BO61" s="11">
        <v>45826.691666666666</v>
      </c>
      <c r="BP61" s="11">
        <v>45915.551087962966</v>
      </c>
      <c r="BQ61" s="15">
        <v>45918.64503472222</v>
      </c>
      <c r="BR61" s="15">
        <v>45918.844155092593</v>
      </c>
      <c r="BS61" s="10"/>
      <c r="BT61" s="10" t="s">
        <v>99</v>
      </c>
      <c r="BU61" s="10" t="s">
        <v>280</v>
      </c>
      <c r="BV61" s="10"/>
      <c r="BW61" s="10"/>
      <c r="BX61" s="10"/>
      <c r="BY61" s="23"/>
      <c r="BZ61" s="24" t="s">
        <v>299</v>
      </c>
      <c r="CA61" s="19" t="s">
        <v>783</v>
      </c>
      <c r="CB61" s="19" t="s">
        <v>784</v>
      </c>
      <c r="CC61" s="23"/>
      <c r="CD61" s="19" t="s">
        <v>785</v>
      </c>
      <c r="CE61" s="23"/>
      <c r="CF61" s="23"/>
      <c r="CG61" s="23"/>
      <c r="CH61" s="23"/>
      <c r="CI61" s="23"/>
    </row>
    <row r="62" spans="1:87" x14ac:dyDescent="0.3">
      <c r="A62" s="9" t="s">
        <v>786</v>
      </c>
      <c r="B62" s="10" t="s">
        <v>787</v>
      </c>
      <c r="C62" s="11">
        <v>45920.770833333336</v>
      </c>
      <c r="D62" s="12">
        <v>8.3333333333333329E-2</v>
      </c>
      <c r="E62" s="11">
        <v>45920.854166666664</v>
      </c>
      <c r="F62" s="10" t="s">
        <v>262</v>
      </c>
      <c r="G62" s="13" t="b">
        <v>1</v>
      </c>
      <c r="H62" s="10" t="s">
        <v>263</v>
      </c>
      <c r="I62" s="10" t="s">
        <v>264</v>
      </c>
      <c r="J62" s="13" t="b">
        <v>0</v>
      </c>
      <c r="K62" s="13" t="b">
        <v>1</v>
      </c>
      <c r="L62" s="10" t="s">
        <v>124</v>
      </c>
      <c r="M62" s="10" t="s">
        <v>91</v>
      </c>
      <c r="N62" s="10" t="s">
        <v>265</v>
      </c>
      <c r="O62" s="19" t="s">
        <v>788</v>
      </c>
      <c r="P62" s="10" t="s">
        <v>267</v>
      </c>
      <c r="Q62" s="10" t="s">
        <v>126</v>
      </c>
      <c r="R62" s="10"/>
      <c r="S62" s="19" t="s">
        <v>789</v>
      </c>
      <c r="T62" s="19" t="s">
        <v>738</v>
      </c>
      <c r="U62" s="10" t="s">
        <v>270</v>
      </c>
      <c r="V62" s="10" t="s">
        <v>407</v>
      </c>
      <c r="W62" s="10" t="s">
        <v>272</v>
      </c>
      <c r="X62" s="10" t="s">
        <v>130</v>
      </c>
      <c r="Y62" s="10" t="s">
        <v>130</v>
      </c>
      <c r="Z62" s="10" t="s">
        <v>99</v>
      </c>
      <c r="AA62" s="10" t="s">
        <v>131</v>
      </c>
      <c r="AB62" s="10" t="s">
        <v>273</v>
      </c>
      <c r="AC62" s="10" t="s">
        <v>274</v>
      </c>
      <c r="AD62" s="10" t="s">
        <v>790</v>
      </c>
      <c r="AE62" s="10" t="s">
        <v>791</v>
      </c>
      <c r="AF62" s="15"/>
      <c r="AG62" s="10"/>
      <c r="AH62" s="10"/>
      <c r="AI62" s="10"/>
      <c r="AJ62" s="10" t="s">
        <v>792</v>
      </c>
      <c r="AK62" s="10" t="s">
        <v>102</v>
      </c>
      <c r="AL62" s="10" t="s">
        <v>167</v>
      </c>
      <c r="AM62" s="10"/>
      <c r="AN62" s="10"/>
      <c r="AO62" s="13" t="b">
        <v>1</v>
      </c>
      <c r="AP62" s="10" t="s">
        <v>104</v>
      </c>
      <c r="AQ62" s="10">
        <f ca="1">IFERROR(__xludf.DUMMYFUNCTION("""COMPUTED_VALUE"""),4579893)</f>
        <v>4579893</v>
      </c>
      <c r="AR62" s="17">
        <v>341642</v>
      </c>
      <c r="AS62" s="17">
        <v>190874</v>
      </c>
      <c r="AT62" s="17">
        <v>8101477</v>
      </c>
      <c r="AU62" s="17">
        <v>7638</v>
      </c>
      <c r="AV62" s="17">
        <v>1129.3499999999999</v>
      </c>
      <c r="AW62" s="10" t="s">
        <v>297</v>
      </c>
      <c r="AX62" s="17">
        <v>88624</v>
      </c>
      <c r="AY62" s="18">
        <v>42.444109726835507</v>
      </c>
      <c r="AZ62" s="10" t="s">
        <v>148</v>
      </c>
      <c r="BA62" s="20" t="b">
        <v>0</v>
      </c>
      <c r="BB62" s="10"/>
      <c r="BC62" s="17">
        <v>341642</v>
      </c>
      <c r="BD62" s="17">
        <v>190874</v>
      </c>
      <c r="BE62" s="17">
        <v>8101477</v>
      </c>
      <c r="BF62" s="17">
        <v>1129.3499999999999</v>
      </c>
      <c r="BG62" s="11">
        <f ca="1">IFERROR(__xludf.DUMMYFUNCTION("""COMPUTED_VALUE"""),45920.75)</f>
        <v>45920.75</v>
      </c>
      <c r="BH62" s="17" t="s">
        <v>297</v>
      </c>
      <c r="BI62" s="17"/>
      <c r="BJ62" s="15"/>
      <c r="BK62" s="15"/>
      <c r="BL62" s="13" t="b">
        <v>1</v>
      </c>
      <c r="BM62" s="10"/>
      <c r="BN62" s="10" t="s">
        <v>351</v>
      </c>
      <c r="BO62" s="11">
        <v>45826.697916666664</v>
      </c>
      <c r="BP62" s="11">
        <v>45915.547974537039</v>
      </c>
      <c r="BQ62" s="15">
        <v>45918.576678240737</v>
      </c>
      <c r="BR62" s="15">
        <v>45918.600717592592</v>
      </c>
      <c r="BS62" s="10"/>
      <c r="BT62" s="10" t="s">
        <v>99</v>
      </c>
      <c r="BU62" s="10" t="s">
        <v>793</v>
      </c>
      <c r="BV62" s="10" t="s">
        <v>281</v>
      </c>
      <c r="BW62" s="10" t="s">
        <v>794</v>
      </c>
      <c r="BX62" s="10"/>
      <c r="BY62" s="23"/>
      <c r="BZ62" s="24" t="s">
        <v>284</v>
      </c>
      <c r="CA62" s="19" t="s">
        <v>795</v>
      </c>
      <c r="CB62" s="19" t="s">
        <v>796</v>
      </c>
      <c r="CC62" s="23"/>
      <c r="CD62" s="19" t="s">
        <v>797</v>
      </c>
      <c r="CE62" s="23"/>
      <c r="CF62" s="23"/>
      <c r="CG62" s="23"/>
      <c r="CH62" s="23"/>
      <c r="CI62" s="23"/>
    </row>
    <row r="63" spans="1:87" x14ac:dyDescent="0.3">
      <c r="A63" s="9" t="s">
        <v>798</v>
      </c>
      <c r="B63" s="10" t="s">
        <v>799</v>
      </c>
      <c r="C63" s="11">
        <v>45920.979166666664</v>
      </c>
      <c r="D63" s="12">
        <v>8.3333333333333329E-2</v>
      </c>
      <c r="E63" s="11">
        <v>45921.0625</v>
      </c>
      <c r="F63" s="10" t="s">
        <v>262</v>
      </c>
      <c r="G63" s="13" t="b">
        <v>1</v>
      </c>
      <c r="H63" s="10" t="s">
        <v>263</v>
      </c>
      <c r="I63" s="10" t="s">
        <v>264</v>
      </c>
      <c r="J63" s="13" t="b">
        <v>0</v>
      </c>
      <c r="K63" s="13" t="b">
        <v>1</v>
      </c>
      <c r="L63" s="10" t="s">
        <v>358</v>
      </c>
      <c r="M63" s="10" t="s">
        <v>91</v>
      </c>
      <c r="N63" s="10" t="s">
        <v>265</v>
      </c>
      <c r="O63" s="19" t="s">
        <v>800</v>
      </c>
      <c r="P63" s="10" t="s">
        <v>267</v>
      </c>
      <c r="Q63" s="10" t="s">
        <v>126</v>
      </c>
      <c r="R63" s="10"/>
      <c r="S63" s="19" t="s">
        <v>801</v>
      </c>
      <c r="T63" s="19" t="s">
        <v>738</v>
      </c>
      <c r="U63" s="10" t="s">
        <v>361</v>
      </c>
      <c r="V63" s="10" t="s">
        <v>346</v>
      </c>
      <c r="W63" s="10" t="s">
        <v>272</v>
      </c>
      <c r="X63" s="10" t="s">
        <v>130</v>
      </c>
      <c r="Y63" s="10" t="s">
        <v>130</v>
      </c>
      <c r="Z63" s="10" t="s">
        <v>99</v>
      </c>
      <c r="AA63" s="10" t="s">
        <v>131</v>
      </c>
      <c r="AB63" s="10" t="s">
        <v>273</v>
      </c>
      <c r="AC63" s="10" t="s">
        <v>274</v>
      </c>
      <c r="AD63" s="10" t="s">
        <v>802</v>
      </c>
      <c r="AE63" s="10" t="s">
        <v>803</v>
      </c>
      <c r="AF63" s="15"/>
      <c r="AG63" s="10"/>
      <c r="AH63" s="10"/>
      <c r="AI63" s="10"/>
      <c r="AJ63" s="10" t="s">
        <v>804</v>
      </c>
      <c r="AK63" s="10" t="s">
        <v>102</v>
      </c>
      <c r="AL63" s="10" t="s">
        <v>167</v>
      </c>
      <c r="AM63" s="10"/>
      <c r="AN63" s="10"/>
      <c r="AO63" s="13" t="b">
        <v>1</v>
      </c>
      <c r="AP63" s="10" t="s">
        <v>104</v>
      </c>
      <c r="AQ63" s="10">
        <f ca="1">IFERROR(__xludf.DUMMYFUNCTION("""COMPUTED_VALUE"""),4579887)</f>
        <v>4579887</v>
      </c>
      <c r="AR63" s="17">
        <v>410645</v>
      </c>
      <c r="AS63" s="17">
        <v>302879</v>
      </c>
      <c r="AT63" s="17">
        <v>8318046.75</v>
      </c>
      <c r="AU63" s="17">
        <v>11852.2</v>
      </c>
      <c r="AV63" s="17">
        <v>1673.7</v>
      </c>
      <c r="AW63" s="10" t="s">
        <v>297</v>
      </c>
      <c r="AX63" s="17">
        <v>130029</v>
      </c>
      <c r="AY63" s="18">
        <v>27.463266684055348</v>
      </c>
      <c r="AZ63" s="10" t="s">
        <v>148</v>
      </c>
      <c r="BA63" s="20" t="b">
        <v>0</v>
      </c>
      <c r="BB63" s="10"/>
      <c r="BC63" s="17">
        <v>410645</v>
      </c>
      <c r="BD63" s="17">
        <v>302879</v>
      </c>
      <c r="BE63" s="17">
        <v>8318046.75</v>
      </c>
      <c r="BF63" s="17">
        <v>1673.7</v>
      </c>
      <c r="BG63" s="11">
        <f ca="1">IFERROR(__xludf.DUMMYFUNCTION("""COMPUTED_VALUE"""),45920.9583333333)</f>
        <v>45920.958333333299</v>
      </c>
      <c r="BH63" s="17" t="s">
        <v>297</v>
      </c>
      <c r="BI63" s="17"/>
      <c r="BJ63" s="15"/>
      <c r="BK63" s="15"/>
      <c r="BL63" s="13" t="b">
        <v>1</v>
      </c>
      <c r="BM63" s="10"/>
      <c r="BN63" s="10" t="s">
        <v>351</v>
      </c>
      <c r="BO63" s="11">
        <v>45826.698611111111</v>
      </c>
      <c r="BP63" s="11">
        <v>45915.550717592596</v>
      </c>
      <c r="BQ63" s="15">
        <v>45918.577407407407</v>
      </c>
      <c r="BR63" s="15">
        <v>45918.592581018522</v>
      </c>
      <c r="BS63" s="10"/>
      <c r="BT63" s="10" t="s">
        <v>99</v>
      </c>
      <c r="BU63" s="10" t="s">
        <v>805</v>
      </c>
      <c r="BV63" s="10" t="s">
        <v>499</v>
      </c>
      <c r="BW63" s="10"/>
      <c r="BX63" s="10"/>
      <c r="BY63" s="23"/>
      <c r="BZ63" s="24" t="s">
        <v>368</v>
      </c>
      <c r="CA63" s="19" t="s">
        <v>806</v>
      </c>
      <c r="CB63" s="19" t="s">
        <v>807</v>
      </c>
      <c r="CC63" s="23"/>
      <c r="CD63" s="19" t="s">
        <v>808</v>
      </c>
      <c r="CE63" s="23"/>
      <c r="CF63" s="23"/>
      <c r="CG63" s="23"/>
      <c r="CH63" s="23"/>
      <c r="CI63" s="23"/>
    </row>
    <row r="64" spans="1:87" x14ac:dyDescent="0.3">
      <c r="A64" s="9" t="s">
        <v>809</v>
      </c>
      <c r="B64" s="10" t="s">
        <v>810</v>
      </c>
      <c r="C64" s="11">
        <v>45921.833333333336</v>
      </c>
      <c r="D64" s="12">
        <v>8.3333333333333329E-2</v>
      </c>
      <c r="E64" s="11">
        <v>45921.916666666664</v>
      </c>
      <c r="F64" s="10" t="s">
        <v>262</v>
      </c>
      <c r="G64" s="13" t="b">
        <v>0</v>
      </c>
      <c r="H64" s="10" t="s">
        <v>305</v>
      </c>
      <c r="I64" s="10" t="s">
        <v>264</v>
      </c>
      <c r="J64" s="13" t="b">
        <v>0</v>
      </c>
      <c r="K64" s="13" t="b">
        <v>1</v>
      </c>
      <c r="L64" s="10" t="s">
        <v>124</v>
      </c>
      <c r="M64" s="10" t="s">
        <v>91</v>
      </c>
      <c r="N64" s="10" t="s">
        <v>265</v>
      </c>
      <c r="O64" s="19" t="s">
        <v>811</v>
      </c>
      <c r="P64" s="10"/>
      <c r="Q64" s="10" t="s">
        <v>126</v>
      </c>
      <c r="R64" s="10"/>
      <c r="S64" s="19" t="s">
        <v>812</v>
      </c>
      <c r="T64" s="19" t="s">
        <v>738</v>
      </c>
      <c r="U64" s="10" t="s">
        <v>588</v>
      </c>
      <c r="V64" s="10" t="s">
        <v>292</v>
      </c>
      <c r="W64" s="10" t="s">
        <v>272</v>
      </c>
      <c r="X64" s="10" t="s">
        <v>130</v>
      </c>
      <c r="Y64" s="10" t="s">
        <v>130</v>
      </c>
      <c r="Z64" s="10" t="s">
        <v>99</v>
      </c>
      <c r="AA64" s="10" t="s">
        <v>131</v>
      </c>
      <c r="AB64" s="10" t="s">
        <v>273</v>
      </c>
      <c r="AC64" s="10" t="s">
        <v>274</v>
      </c>
      <c r="AD64" s="10" t="s">
        <v>813</v>
      </c>
      <c r="AE64" s="10" t="s">
        <v>814</v>
      </c>
      <c r="AF64" s="15"/>
      <c r="AG64" s="10"/>
      <c r="AH64" s="10"/>
      <c r="AI64" s="10"/>
      <c r="AJ64" s="10" t="s">
        <v>815</v>
      </c>
      <c r="AK64" s="10" t="s">
        <v>102</v>
      </c>
      <c r="AL64" s="10" t="s">
        <v>167</v>
      </c>
      <c r="AM64" s="10"/>
      <c r="AN64" s="10"/>
      <c r="AO64" s="13" t="b">
        <v>0</v>
      </c>
      <c r="AP64" s="10" t="s">
        <v>104</v>
      </c>
      <c r="AQ64" s="10">
        <f ca="1">IFERROR(__xludf.DUMMYFUNCTION("""COMPUTED_VALUE"""),4587130)</f>
        <v>4587130</v>
      </c>
      <c r="AR64" s="17">
        <v>65029</v>
      </c>
      <c r="AS64" s="17">
        <v>40811</v>
      </c>
      <c r="AT64" s="17">
        <v>826634.5</v>
      </c>
      <c r="AU64" s="17">
        <v>212.2</v>
      </c>
      <c r="AV64" s="17">
        <v>36.25</v>
      </c>
      <c r="AW64" s="10" t="s">
        <v>105</v>
      </c>
      <c r="AX64" s="17">
        <v>13570</v>
      </c>
      <c r="AY64" s="18">
        <v>20.255188552106048</v>
      </c>
      <c r="AZ64" s="10" t="s">
        <v>148</v>
      </c>
      <c r="BA64" s="20" t="b">
        <v>0</v>
      </c>
      <c r="BB64" s="10"/>
      <c r="BC64" s="17">
        <v>65029</v>
      </c>
      <c r="BD64" s="17">
        <v>40811</v>
      </c>
      <c r="BE64" s="17">
        <v>826634.5</v>
      </c>
      <c r="BF64" s="17">
        <v>36.25</v>
      </c>
      <c r="BG64" s="11">
        <f ca="1">IFERROR(__xludf.DUMMYFUNCTION("""COMPUTED_VALUE"""),45921.8333333333)</f>
        <v>45921.833333333299</v>
      </c>
      <c r="BH64" s="17" t="s">
        <v>105</v>
      </c>
      <c r="BI64" s="17"/>
      <c r="BJ64" s="15"/>
      <c r="BK64" s="15"/>
      <c r="BL64" s="13" t="b">
        <v>1</v>
      </c>
      <c r="BM64" s="10"/>
      <c r="BN64" s="10" t="s">
        <v>351</v>
      </c>
      <c r="BO64" s="11">
        <v>45826.698611111111</v>
      </c>
      <c r="BP64" s="11">
        <v>45921.441469907404</v>
      </c>
      <c r="BQ64" s="15">
        <v>45918.645289351851</v>
      </c>
      <c r="BR64" s="15">
        <v>45921.446817129632</v>
      </c>
      <c r="BS64" s="10"/>
      <c r="BT64" s="10" t="s">
        <v>99</v>
      </c>
      <c r="BU64" s="10" t="s">
        <v>816</v>
      </c>
      <c r="BV64" s="10"/>
      <c r="BW64" s="10"/>
      <c r="BX64" s="10"/>
      <c r="BY64" s="23"/>
      <c r="BZ64" s="24" t="s">
        <v>299</v>
      </c>
      <c r="CA64" s="19" t="s">
        <v>817</v>
      </c>
      <c r="CB64" s="19" t="s">
        <v>818</v>
      </c>
      <c r="CC64" s="23"/>
      <c r="CD64" s="19" t="s">
        <v>819</v>
      </c>
      <c r="CE64" s="23"/>
      <c r="CF64" s="23"/>
      <c r="CG64" s="23"/>
      <c r="CH64" s="23"/>
      <c r="CI64" s="23"/>
    </row>
    <row r="65" spans="1:87" x14ac:dyDescent="0.3">
      <c r="A65" s="9" t="s">
        <v>820</v>
      </c>
      <c r="B65" s="10" t="s">
        <v>821</v>
      </c>
      <c r="C65" s="11">
        <v>45920.875</v>
      </c>
      <c r="D65" s="12">
        <v>8.3333333333333329E-2</v>
      </c>
      <c r="E65" s="11">
        <v>45920.958333333336</v>
      </c>
      <c r="F65" s="10" t="s">
        <v>262</v>
      </c>
      <c r="G65" s="13" t="b">
        <v>0</v>
      </c>
      <c r="H65" s="10" t="s">
        <v>305</v>
      </c>
      <c r="I65" s="10" t="s">
        <v>264</v>
      </c>
      <c r="J65" s="13" t="b">
        <v>0</v>
      </c>
      <c r="K65" s="13" t="b">
        <v>1</v>
      </c>
      <c r="L65" s="10" t="s">
        <v>124</v>
      </c>
      <c r="M65" s="10" t="s">
        <v>91</v>
      </c>
      <c r="N65" s="10" t="s">
        <v>265</v>
      </c>
      <c r="O65" s="19" t="s">
        <v>822</v>
      </c>
      <c r="P65" s="10"/>
      <c r="Q65" s="10" t="s">
        <v>126</v>
      </c>
      <c r="R65" s="10"/>
      <c r="S65" s="19" t="s">
        <v>823</v>
      </c>
      <c r="T65" s="19" t="s">
        <v>738</v>
      </c>
      <c r="U65" s="10" t="s">
        <v>451</v>
      </c>
      <c r="V65" s="10" t="s">
        <v>347</v>
      </c>
      <c r="W65" s="10" t="s">
        <v>272</v>
      </c>
      <c r="X65" s="10" t="s">
        <v>130</v>
      </c>
      <c r="Y65" s="10" t="s">
        <v>130</v>
      </c>
      <c r="Z65" s="10" t="s">
        <v>99</v>
      </c>
      <c r="AA65" s="10" t="s">
        <v>131</v>
      </c>
      <c r="AB65" s="10" t="s">
        <v>273</v>
      </c>
      <c r="AC65" s="10" t="s">
        <v>274</v>
      </c>
      <c r="AD65" s="10" t="s">
        <v>824</v>
      </c>
      <c r="AE65" s="10" t="s">
        <v>825</v>
      </c>
      <c r="AF65" s="15"/>
      <c r="AG65" s="10"/>
      <c r="AH65" s="10"/>
      <c r="AI65" s="10"/>
      <c r="AJ65" s="10" t="s">
        <v>826</v>
      </c>
      <c r="AK65" s="10" t="s">
        <v>102</v>
      </c>
      <c r="AL65" s="10" t="s">
        <v>167</v>
      </c>
      <c r="AM65" s="10"/>
      <c r="AN65" s="10"/>
      <c r="AO65" s="13" t="b">
        <v>0</v>
      </c>
      <c r="AP65" s="10" t="s">
        <v>104</v>
      </c>
      <c r="AQ65" s="10">
        <f ca="1">IFERROR(__xludf.DUMMYFUNCTION("""COMPUTED_VALUE"""),4579896)</f>
        <v>4579896</v>
      </c>
      <c r="AR65" s="17">
        <v>39632</v>
      </c>
      <c r="AS65" s="17">
        <v>26631</v>
      </c>
      <c r="AT65" s="17">
        <v>243050</v>
      </c>
      <c r="AU65" s="17">
        <v>193.3</v>
      </c>
      <c r="AV65" s="17">
        <v>35.25</v>
      </c>
      <c r="AW65" s="10" t="s">
        <v>105</v>
      </c>
      <c r="AX65" s="17">
        <v>6128</v>
      </c>
      <c r="AY65" s="18">
        <v>9.126581803161729</v>
      </c>
      <c r="AZ65" s="10" t="s">
        <v>148</v>
      </c>
      <c r="BA65" s="20" t="b">
        <v>0</v>
      </c>
      <c r="BB65" s="10"/>
      <c r="BC65" s="17">
        <v>39632</v>
      </c>
      <c r="BD65" s="17">
        <v>26631</v>
      </c>
      <c r="BE65" s="17">
        <v>243050</v>
      </c>
      <c r="BF65" s="17">
        <v>35.25</v>
      </c>
      <c r="BG65" s="11">
        <f ca="1">IFERROR(__xludf.DUMMYFUNCTION("""COMPUTED_VALUE"""),45920.875)</f>
        <v>45920.875</v>
      </c>
      <c r="BH65" s="17" t="s">
        <v>105</v>
      </c>
      <c r="BI65" s="17"/>
      <c r="BJ65" s="15"/>
      <c r="BK65" s="15"/>
      <c r="BL65" s="13" t="b">
        <v>1</v>
      </c>
      <c r="BM65" s="10"/>
      <c r="BN65" s="10" t="s">
        <v>351</v>
      </c>
      <c r="BO65" s="11">
        <v>45826.699305555558</v>
      </c>
      <c r="BP65" s="11">
        <v>45915.652106481481</v>
      </c>
      <c r="BQ65" s="15">
        <v>45918.577141203707</v>
      </c>
      <c r="BR65" s="15">
        <v>45918.614664351851</v>
      </c>
      <c r="BS65" s="10"/>
      <c r="BT65" s="10" t="s">
        <v>99</v>
      </c>
      <c r="BU65" s="10" t="s">
        <v>298</v>
      </c>
      <c r="BV65" s="10"/>
      <c r="BW65" s="10"/>
      <c r="BX65" s="10"/>
      <c r="BY65" s="23"/>
      <c r="BZ65" s="24" t="s">
        <v>299</v>
      </c>
      <c r="CA65" s="19" t="s">
        <v>827</v>
      </c>
      <c r="CB65" s="19" t="s">
        <v>828</v>
      </c>
      <c r="CC65" s="23"/>
      <c r="CD65" s="19" t="s">
        <v>829</v>
      </c>
      <c r="CE65" s="23"/>
      <c r="CF65" s="23"/>
      <c r="CG65" s="23"/>
      <c r="CH65" s="23"/>
      <c r="CI65" s="23"/>
    </row>
    <row r="66" spans="1:87" x14ac:dyDescent="0.3">
      <c r="A66" s="9" t="s">
        <v>830</v>
      </c>
      <c r="B66" s="10" t="s">
        <v>831</v>
      </c>
      <c r="C66" s="11">
        <v>45920.875</v>
      </c>
      <c r="D66" s="12">
        <v>8.3333333333333329E-2</v>
      </c>
      <c r="E66" s="11">
        <v>45920.958333333336</v>
      </c>
      <c r="F66" s="10" t="s">
        <v>262</v>
      </c>
      <c r="G66" s="13" t="b">
        <v>0</v>
      </c>
      <c r="H66" s="10" t="s">
        <v>527</v>
      </c>
      <c r="I66" s="10" t="s">
        <v>264</v>
      </c>
      <c r="J66" s="13" t="b">
        <v>0</v>
      </c>
      <c r="K66" s="13" t="b">
        <v>1</v>
      </c>
      <c r="L66" s="10" t="s">
        <v>124</v>
      </c>
      <c r="M66" s="10" t="s">
        <v>91</v>
      </c>
      <c r="N66" s="10" t="s">
        <v>265</v>
      </c>
      <c r="O66" s="19" t="s">
        <v>832</v>
      </c>
      <c r="P66" s="10"/>
      <c r="Q66" s="10" t="s">
        <v>126</v>
      </c>
      <c r="R66" s="10"/>
      <c r="S66" s="19" t="s">
        <v>833</v>
      </c>
      <c r="T66" s="19" t="s">
        <v>738</v>
      </c>
      <c r="U66" s="10" t="s">
        <v>333</v>
      </c>
      <c r="V66" s="10" t="s">
        <v>663</v>
      </c>
      <c r="W66" s="10" t="s">
        <v>272</v>
      </c>
      <c r="X66" s="10" t="s">
        <v>130</v>
      </c>
      <c r="Y66" s="10" t="s">
        <v>130</v>
      </c>
      <c r="Z66" s="10" t="s">
        <v>99</v>
      </c>
      <c r="AA66" s="10" t="s">
        <v>131</v>
      </c>
      <c r="AB66" s="10" t="s">
        <v>273</v>
      </c>
      <c r="AC66" s="10" t="s">
        <v>274</v>
      </c>
      <c r="AD66" s="10" t="s">
        <v>834</v>
      </c>
      <c r="AE66" s="10" t="s">
        <v>835</v>
      </c>
      <c r="AF66" s="15"/>
      <c r="AG66" s="10"/>
      <c r="AH66" s="10"/>
      <c r="AI66" s="10"/>
      <c r="AJ66" s="10" t="s">
        <v>836</v>
      </c>
      <c r="AK66" s="10" t="s">
        <v>102</v>
      </c>
      <c r="AL66" s="10" t="s">
        <v>167</v>
      </c>
      <c r="AM66" s="10"/>
      <c r="AN66" s="10"/>
      <c r="AO66" s="13" t="b">
        <v>0</v>
      </c>
      <c r="AP66" s="10" t="s">
        <v>104</v>
      </c>
      <c r="AQ66" s="10">
        <f ca="1">IFERROR(__xludf.DUMMYFUNCTION("""COMPUTED_VALUE"""),4579956)</f>
        <v>4579956</v>
      </c>
      <c r="AR66" s="17">
        <v>18828</v>
      </c>
      <c r="AS66" s="17">
        <v>13348</v>
      </c>
      <c r="AT66" s="17">
        <v>61546.25</v>
      </c>
      <c r="AU66" s="17">
        <v>48.95</v>
      </c>
      <c r="AV66" s="17">
        <v>6.2</v>
      </c>
      <c r="AW66" s="10" t="s">
        <v>105</v>
      </c>
      <c r="AX66" s="17">
        <v>2999</v>
      </c>
      <c r="AY66" s="18">
        <v>4.6108967635600839</v>
      </c>
      <c r="AZ66" s="10" t="s">
        <v>148</v>
      </c>
      <c r="BA66" s="20" t="b">
        <v>0</v>
      </c>
      <c r="BB66" s="10"/>
      <c r="BC66" s="17">
        <v>18828</v>
      </c>
      <c r="BD66" s="17">
        <v>13348</v>
      </c>
      <c r="BE66" s="17">
        <v>61546.25</v>
      </c>
      <c r="BF66" s="17">
        <v>6.2</v>
      </c>
      <c r="BG66" s="11">
        <f ca="1">IFERROR(__xludf.DUMMYFUNCTION("""COMPUTED_VALUE"""),45920.875)</f>
        <v>45920.875</v>
      </c>
      <c r="BH66" s="17" t="s">
        <v>105</v>
      </c>
      <c r="BI66" s="17"/>
      <c r="BJ66" s="15"/>
      <c r="BK66" s="15"/>
      <c r="BL66" s="13" t="b">
        <v>1</v>
      </c>
      <c r="BM66" s="10"/>
      <c r="BN66" s="10" t="s">
        <v>455</v>
      </c>
      <c r="BO66" s="11">
        <v>45826.7</v>
      </c>
      <c r="BP66" s="11">
        <v>45915.550439814811</v>
      </c>
      <c r="BQ66" s="15">
        <v>45918.577268518522</v>
      </c>
      <c r="BR66" s="15">
        <v>45918.82980324074</v>
      </c>
      <c r="BS66" s="10" t="s">
        <v>455</v>
      </c>
      <c r="BT66" s="10" t="s">
        <v>99</v>
      </c>
      <c r="BU66" s="10" t="s">
        <v>498</v>
      </c>
      <c r="BV66" s="10"/>
      <c r="BW66" s="10"/>
      <c r="BX66" s="10"/>
      <c r="BY66" s="23"/>
      <c r="BZ66" s="24" t="s">
        <v>299</v>
      </c>
      <c r="CA66" s="19" t="s">
        <v>837</v>
      </c>
      <c r="CB66" s="19" t="s">
        <v>838</v>
      </c>
      <c r="CC66" s="23"/>
      <c r="CD66" s="19" t="s">
        <v>839</v>
      </c>
      <c r="CE66" s="23"/>
      <c r="CF66" s="23"/>
      <c r="CG66" s="23"/>
      <c r="CH66" s="23"/>
      <c r="CI66" s="23"/>
    </row>
    <row r="67" spans="1:87" x14ac:dyDescent="0.3">
      <c r="A67" s="9" t="s">
        <v>840</v>
      </c>
      <c r="B67" s="10" t="s">
        <v>841</v>
      </c>
      <c r="C67" s="11">
        <v>45928.833333333336</v>
      </c>
      <c r="D67" s="12">
        <v>8.3333333333333329E-2</v>
      </c>
      <c r="E67" s="11">
        <v>45928.916666666664</v>
      </c>
      <c r="F67" s="10" t="s">
        <v>262</v>
      </c>
      <c r="G67" s="13" t="b">
        <v>1</v>
      </c>
      <c r="H67" s="10" t="s">
        <v>263</v>
      </c>
      <c r="I67" s="10" t="s">
        <v>264</v>
      </c>
      <c r="J67" s="13" t="b">
        <v>0</v>
      </c>
      <c r="K67" s="13" t="b">
        <v>1</v>
      </c>
      <c r="L67" s="10" t="s">
        <v>124</v>
      </c>
      <c r="M67" s="10" t="s">
        <v>91</v>
      </c>
      <c r="N67" s="10" t="s">
        <v>265</v>
      </c>
      <c r="O67" s="19" t="s">
        <v>842</v>
      </c>
      <c r="P67" s="10" t="s">
        <v>267</v>
      </c>
      <c r="Q67" s="10" t="s">
        <v>126</v>
      </c>
      <c r="R67" s="10"/>
      <c r="S67" s="19" t="s">
        <v>843</v>
      </c>
      <c r="T67" s="19" t="s">
        <v>844</v>
      </c>
      <c r="U67" s="10" t="s">
        <v>292</v>
      </c>
      <c r="V67" s="10" t="s">
        <v>309</v>
      </c>
      <c r="W67" s="10" t="s">
        <v>272</v>
      </c>
      <c r="X67" s="10" t="s">
        <v>130</v>
      </c>
      <c r="Y67" s="10" t="s">
        <v>130</v>
      </c>
      <c r="Z67" s="10" t="s">
        <v>99</v>
      </c>
      <c r="AA67" s="10" t="s">
        <v>131</v>
      </c>
      <c r="AB67" s="10" t="s">
        <v>273</v>
      </c>
      <c r="AC67" s="10" t="s">
        <v>274</v>
      </c>
      <c r="AD67" s="10" t="s">
        <v>845</v>
      </c>
      <c r="AE67" s="10" t="s">
        <v>846</v>
      </c>
      <c r="AF67" s="15"/>
      <c r="AG67" s="10"/>
      <c r="AH67" s="10"/>
      <c r="AI67" s="10"/>
      <c r="AJ67" s="10" t="s">
        <v>847</v>
      </c>
      <c r="AK67" s="10" t="s">
        <v>102</v>
      </c>
      <c r="AL67" s="10" t="s">
        <v>176</v>
      </c>
      <c r="AM67" s="10"/>
      <c r="AN67" s="10"/>
      <c r="AO67" s="13" t="b">
        <v>0</v>
      </c>
      <c r="AP67" s="10" t="s">
        <v>104</v>
      </c>
      <c r="AQ67" s="10">
        <f ca="1">IFERROR(__xludf.DUMMYFUNCTION("""COMPUTED_VALUE"""),4598354)</f>
        <v>4598354</v>
      </c>
      <c r="AR67" s="17">
        <v>102191</v>
      </c>
      <c r="AS67" s="17">
        <v>63871</v>
      </c>
      <c r="AT67" s="17">
        <v>2975949.5</v>
      </c>
      <c r="AU67" s="17">
        <v>367.9</v>
      </c>
      <c r="AV67" s="17">
        <v>62.9</v>
      </c>
      <c r="AW67" s="10" t="s">
        <v>105</v>
      </c>
      <c r="AX67" s="17">
        <v>23193</v>
      </c>
      <c r="AY67" s="18">
        <v>46.593125205492321</v>
      </c>
      <c r="AZ67" s="10" t="s">
        <v>148</v>
      </c>
      <c r="BA67" s="20" t="b">
        <v>0</v>
      </c>
      <c r="BB67" s="10"/>
      <c r="BC67" s="17">
        <v>102191</v>
      </c>
      <c r="BD67" s="17">
        <v>63871</v>
      </c>
      <c r="BE67" s="17">
        <v>2975949.5</v>
      </c>
      <c r="BF67" s="17">
        <v>62.9</v>
      </c>
      <c r="BG67" s="11">
        <f ca="1">IFERROR(__xludf.DUMMYFUNCTION("""COMPUTED_VALUE"""),45928.8125)</f>
        <v>45928.8125</v>
      </c>
      <c r="BH67" s="17" t="s">
        <v>105</v>
      </c>
      <c r="BI67" s="17"/>
      <c r="BJ67" s="15"/>
      <c r="BK67" s="15"/>
      <c r="BL67" s="13" t="b">
        <v>1</v>
      </c>
      <c r="BM67" s="10"/>
      <c r="BN67" s="10" t="s">
        <v>351</v>
      </c>
      <c r="BO67" s="11">
        <v>45826.703472222223</v>
      </c>
      <c r="BP67" s="11">
        <v>45922.744270833333</v>
      </c>
      <c r="BQ67" s="15">
        <v>45925.683252314811</v>
      </c>
      <c r="BR67" s="15">
        <v>45925.763009259259</v>
      </c>
      <c r="BS67" s="10"/>
      <c r="BT67" s="10" t="s">
        <v>99</v>
      </c>
      <c r="BU67" s="10" t="s">
        <v>655</v>
      </c>
      <c r="BV67" s="10"/>
      <c r="BW67" s="10"/>
      <c r="BX67" s="10"/>
      <c r="BY67" s="23"/>
      <c r="BZ67" s="24" t="s">
        <v>299</v>
      </c>
      <c r="CA67" s="19" t="s">
        <v>848</v>
      </c>
      <c r="CB67" s="19" t="s">
        <v>849</v>
      </c>
      <c r="CC67" s="23"/>
      <c r="CD67" s="19" t="s">
        <v>850</v>
      </c>
      <c r="CE67" s="23"/>
      <c r="CF67" s="23"/>
      <c r="CG67" s="23"/>
      <c r="CH67" s="23"/>
      <c r="CI67" s="23"/>
    </row>
    <row r="68" spans="1:87" x14ac:dyDescent="0.3">
      <c r="A68" s="9" t="s">
        <v>851</v>
      </c>
      <c r="B68" s="10" t="s">
        <v>852</v>
      </c>
      <c r="C68" s="11">
        <v>45927.770833333336</v>
      </c>
      <c r="D68" s="12">
        <v>8.3333333333333329E-2</v>
      </c>
      <c r="E68" s="11">
        <v>45927.854166666664</v>
      </c>
      <c r="F68" s="10" t="s">
        <v>262</v>
      </c>
      <c r="G68" s="13" t="b">
        <v>1</v>
      </c>
      <c r="H68" s="10" t="s">
        <v>263</v>
      </c>
      <c r="I68" s="10" t="s">
        <v>264</v>
      </c>
      <c r="J68" s="13" t="b">
        <v>0</v>
      </c>
      <c r="K68" s="13" t="b">
        <v>1</v>
      </c>
      <c r="L68" s="10" t="s">
        <v>124</v>
      </c>
      <c r="M68" s="10" t="s">
        <v>91</v>
      </c>
      <c r="N68" s="10" t="s">
        <v>265</v>
      </c>
      <c r="O68" s="19" t="s">
        <v>853</v>
      </c>
      <c r="P68" s="10" t="s">
        <v>267</v>
      </c>
      <c r="Q68" s="10" t="s">
        <v>126</v>
      </c>
      <c r="R68" s="10"/>
      <c r="S68" s="19" t="s">
        <v>854</v>
      </c>
      <c r="T68" s="19" t="s">
        <v>844</v>
      </c>
      <c r="U68" s="10" t="s">
        <v>321</v>
      </c>
      <c r="V68" s="10" t="s">
        <v>361</v>
      </c>
      <c r="W68" s="10" t="s">
        <v>272</v>
      </c>
      <c r="X68" s="10" t="s">
        <v>130</v>
      </c>
      <c r="Y68" s="10" t="s">
        <v>130</v>
      </c>
      <c r="Z68" s="10" t="s">
        <v>99</v>
      </c>
      <c r="AA68" s="10" t="s">
        <v>131</v>
      </c>
      <c r="AB68" s="10" t="s">
        <v>273</v>
      </c>
      <c r="AC68" s="10" t="s">
        <v>274</v>
      </c>
      <c r="AD68" s="10" t="s">
        <v>855</v>
      </c>
      <c r="AE68" s="10" t="s">
        <v>856</v>
      </c>
      <c r="AF68" s="15"/>
      <c r="AG68" s="10"/>
      <c r="AH68" s="10"/>
      <c r="AI68" s="10"/>
      <c r="AJ68" s="10" t="s">
        <v>857</v>
      </c>
      <c r="AK68" s="10" t="s">
        <v>102</v>
      </c>
      <c r="AL68" s="10" t="s">
        <v>176</v>
      </c>
      <c r="AM68" s="10"/>
      <c r="AN68" s="10"/>
      <c r="AO68" s="13" t="b">
        <v>1</v>
      </c>
      <c r="AP68" s="10" t="s">
        <v>104</v>
      </c>
      <c r="AQ68" s="10">
        <f ca="1">IFERROR(__xludf.DUMMYFUNCTION("""COMPUTED_VALUE"""),4598335)</f>
        <v>4598335</v>
      </c>
      <c r="AR68" s="17">
        <v>460335</v>
      </c>
      <c r="AS68" s="17">
        <v>237011</v>
      </c>
      <c r="AT68" s="17">
        <v>10993446</v>
      </c>
      <c r="AU68" s="17">
        <v>7671.15</v>
      </c>
      <c r="AV68" s="17">
        <v>1186.8499999999999</v>
      </c>
      <c r="AW68" s="10" t="s">
        <v>297</v>
      </c>
      <c r="AX68" s="17">
        <v>117534</v>
      </c>
      <c r="AY68" s="18">
        <v>46.383695271527479</v>
      </c>
      <c r="AZ68" s="10" t="s">
        <v>148</v>
      </c>
      <c r="BA68" s="20" t="b">
        <v>0</v>
      </c>
      <c r="BB68" s="10"/>
      <c r="BC68" s="17">
        <v>460335</v>
      </c>
      <c r="BD68" s="17">
        <v>237011</v>
      </c>
      <c r="BE68" s="17">
        <v>10993446</v>
      </c>
      <c r="BF68" s="17">
        <v>1186.8499999999999</v>
      </c>
      <c r="BG68" s="11">
        <f ca="1">IFERROR(__xludf.DUMMYFUNCTION("""COMPUTED_VALUE"""),45927.75)</f>
        <v>45927.75</v>
      </c>
      <c r="BH68" s="17" t="s">
        <v>297</v>
      </c>
      <c r="BI68" s="17"/>
      <c r="BJ68" s="15"/>
      <c r="BK68" s="15"/>
      <c r="BL68" s="13" t="b">
        <v>1</v>
      </c>
      <c r="BM68" s="10"/>
      <c r="BN68" s="10" t="s">
        <v>351</v>
      </c>
      <c r="BO68" s="11">
        <v>45826.703472222223</v>
      </c>
      <c r="BP68" s="11">
        <v>45922.744016203702</v>
      </c>
      <c r="BQ68" s="15">
        <v>45925.682129629633</v>
      </c>
      <c r="BR68" s="15">
        <v>45925.713912037034</v>
      </c>
      <c r="BS68" s="10"/>
      <c r="BT68" s="10" t="s">
        <v>99</v>
      </c>
      <c r="BU68" s="10"/>
      <c r="BV68" s="10" t="s">
        <v>281</v>
      </c>
      <c r="BW68" s="10"/>
      <c r="BX68" s="10"/>
      <c r="BY68" s="23"/>
      <c r="BZ68" s="24" t="s">
        <v>284</v>
      </c>
      <c r="CA68" s="19" t="s">
        <v>858</v>
      </c>
      <c r="CB68" s="19" t="s">
        <v>859</v>
      </c>
      <c r="CC68" s="23"/>
      <c r="CD68" s="19" t="s">
        <v>860</v>
      </c>
      <c r="CE68" s="23"/>
      <c r="CF68" s="23"/>
      <c r="CG68" s="23"/>
      <c r="CH68" s="23"/>
      <c r="CI68" s="23"/>
    </row>
    <row r="69" spans="1:87" x14ac:dyDescent="0.3">
      <c r="A69" s="9" t="s">
        <v>861</v>
      </c>
      <c r="B69" s="10" t="s">
        <v>862</v>
      </c>
      <c r="C69" s="11">
        <v>45927.875</v>
      </c>
      <c r="D69" s="12">
        <v>8.3333333333333329E-2</v>
      </c>
      <c r="E69" s="11">
        <v>45927.958333333336</v>
      </c>
      <c r="F69" s="10" t="s">
        <v>262</v>
      </c>
      <c r="G69" s="13" t="b">
        <v>0</v>
      </c>
      <c r="H69" s="10" t="s">
        <v>527</v>
      </c>
      <c r="I69" s="10" t="s">
        <v>264</v>
      </c>
      <c r="J69" s="13" t="b">
        <v>0</v>
      </c>
      <c r="K69" s="13" t="b">
        <v>1</v>
      </c>
      <c r="L69" s="10" t="s">
        <v>124</v>
      </c>
      <c r="M69" s="10" t="s">
        <v>91</v>
      </c>
      <c r="N69" s="10" t="s">
        <v>265</v>
      </c>
      <c r="O69" s="19" t="s">
        <v>863</v>
      </c>
      <c r="P69" s="10"/>
      <c r="Q69" s="10" t="s">
        <v>126</v>
      </c>
      <c r="R69" s="10"/>
      <c r="S69" s="19" t="s">
        <v>864</v>
      </c>
      <c r="T69" s="19" t="s">
        <v>844</v>
      </c>
      <c r="U69" s="10" t="s">
        <v>346</v>
      </c>
      <c r="V69" s="10" t="s">
        <v>308</v>
      </c>
      <c r="W69" s="10" t="s">
        <v>272</v>
      </c>
      <c r="X69" s="10" t="s">
        <v>130</v>
      </c>
      <c r="Y69" s="10" t="s">
        <v>130</v>
      </c>
      <c r="Z69" s="10" t="s">
        <v>99</v>
      </c>
      <c r="AA69" s="10" t="s">
        <v>131</v>
      </c>
      <c r="AB69" s="10" t="s">
        <v>273</v>
      </c>
      <c r="AC69" s="10" t="s">
        <v>274</v>
      </c>
      <c r="AD69" s="10" t="s">
        <v>865</v>
      </c>
      <c r="AE69" s="10" t="s">
        <v>866</v>
      </c>
      <c r="AF69" s="15"/>
      <c r="AG69" s="10"/>
      <c r="AH69" s="10"/>
      <c r="AI69" s="10"/>
      <c r="AJ69" s="10" t="s">
        <v>867</v>
      </c>
      <c r="AK69" s="10" t="s">
        <v>102</v>
      </c>
      <c r="AL69" s="10" t="s">
        <v>176</v>
      </c>
      <c r="AM69" s="10"/>
      <c r="AN69" s="10"/>
      <c r="AO69" s="13" t="b">
        <v>1</v>
      </c>
      <c r="AP69" s="10" t="s">
        <v>104</v>
      </c>
      <c r="AQ69" s="10">
        <f ca="1">IFERROR(__xludf.DUMMYFUNCTION("""COMPUTED_VALUE"""),4598348)</f>
        <v>4598348</v>
      </c>
      <c r="AR69" s="17">
        <v>152865</v>
      </c>
      <c r="AS69" s="17">
        <v>67053</v>
      </c>
      <c r="AT69" s="17">
        <v>1912888</v>
      </c>
      <c r="AU69" s="17">
        <v>1164.25</v>
      </c>
      <c r="AV69" s="17">
        <v>342.5</v>
      </c>
      <c r="AW69" s="10" t="s">
        <v>105</v>
      </c>
      <c r="AX69" s="17">
        <v>24669</v>
      </c>
      <c r="AY69" s="18">
        <v>28.528000238617214</v>
      </c>
      <c r="AZ69" s="10" t="s">
        <v>148</v>
      </c>
      <c r="BA69" s="20" t="b">
        <v>0</v>
      </c>
      <c r="BB69" s="10"/>
      <c r="BC69" s="17">
        <v>152865</v>
      </c>
      <c r="BD69" s="17">
        <v>67053</v>
      </c>
      <c r="BE69" s="17">
        <v>1912888</v>
      </c>
      <c r="BF69" s="17">
        <v>342.5</v>
      </c>
      <c r="BG69" s="11">
        <f ca="1">IFERROR(__xludf.DUMMYFUNCTION("""COMPUTED_VALUE"""),45927.875)</f>
        <v>45927.875</v>
      </c>
      <c r="BH69" s="17" t="s">
        <v>105</v>
      </c>
      <c r="BI69" s="17"/>
      <c r="BJ69" s="15"/>
      <c r="BK69" s="15"/>
      <c r="BL69" s="13" t="b">
        <v>1</v>
      </c>
      <c r="BM69" s="10"/>
      <c r="BN69" s="10" t="s">
        <v>136</v>
      </c>
      <c r="BO69" s="11">
        <v>45826.70416666667</v>
      </c>
      <c r="BP69" s="11">
        <v>45922.744456018518</v>
      </c>
      <c r="BQ69" s="15">
        <v>45925.682291666664</v>
      </c>
      <c r="BR69" s="15">
        <v>45925.747858796298</v>
      </c>
      <c r="BS69" s="10"/>
      <c r="BT69" s="10" t="s">
        <v>99</v>
      </c>
      <c r="BU69" s="10"/>
      <c r="BV69" s="10" t="s">
        <v>281</v>
      </c>
      <c r="BW69" s="10" t="s">
        <v>868</v>
      </c>
      <c r="BX69" s="10"/>
      <c r="BY69" s="23"/>
      <c r="BZ69" s="24" t="s">
        <v>284</v>
      </c>
      <c r="CA69" s="19" t="s">
        <v>869</v>
      </c>
      <c r="CB69" s="19" t="s">
        <v>870</v>
      </c>
      <c r="CC69" s="23"/>
      <c r="CD69" s="19" t="s">
        <v>871</v>
      </c>
      <c r="CE69" s="23"/>
      <c r="CF69" s="23"/>
      <c r="CG69" s="23"/>
      <c r="CH69" s="23"/>
      <c r="CI69" s="23"/>
    </row>
    <row r="70" spans="1:87" x14ac:dyDescent="0.3">
      <c r="A70" s="9" t="s">
        <v>872</v>
      </c>
      <c r="B70" s="10" t="s">
        <v>873</v>
      </c>
      <c r="C70" s="11">
        <v>45927.875</v>
      </c>
      <c r="D70" s="12">
        <v>8.3333333333333329E-2</v>
      </c>
      <c r="E70" s="11">
        <v>45927.958333333336</v>
      </c>
      <c r="F70" s="10" t="s">
        <v>262</v>
      </c>
      <c r="G70" s="13" t="b">
        <v>1</v>
      </c>
      <c r="H70" s="10" t="s">
        <v>263</v>
      </c>
      <c r="I70" s="10" t="s">
        <v>264</v>
      </c>
      <c r="J70" s="13" t="b">
        <v>0</v>
      </c>
      <c r="K70" s="13" t="b">
        <v>1</v>
      </c>
      <c r="L70" s="10" t="s">
        <v>124</v>
      </c>
      <c r="M70" s="10" t="s">
        <v>91</v>
      </c>
      <c r="N70" s="10" t="s">
        <v>265</v>
      </c>
      <c r="O70" s="19" t="s">
        <v>874</v>
      </c>
      <c r="P70" s="10" t="s">
        <v>267</v>
      </c>
      <c r="Q70" s="10" t="s">
        <v>126</v>
      </c>
      <c r="R70" s="10"/>
      <c r="S70" s="19" t="s">
        <v>875</v>
      </c>
      <c r="T70" s="19" t="s">
        <v>844</v>
      </c>
      <c r="U70" s="10" t="s">
        <v>347</v>
      </c>
      <c r="V70" s="10" t="s">
        <v>270</v>
      </c>
      <c r="W70" s="10" t="s">
        <v>272</v>
      </c>
      <c r="X70" s="10" t="s">
        <v>130</v>
      </c>
      <c r="Y70" s="10" t="s">
        <v>130</v>
      </c>
      <c r="Z70" s="10" t="s">
        <v>99</v>
      </c>
      <c r="AA70" s="10" t="s">
        <v>131</v>
      </c>
      <c r="AB70" s="10" t="s">
        <v>273</v>
      </c>
      <c r="AC70" s="10" t="s">
        <v>274</v>
      </c>
      <c r="AD70" s="10" t="s">
        <v>876</v>
      </c>
      <c r="AE70" s="10" t="s">
        <v>877</v>
      </c>
      <c r="AF70" s="15"/>
      <c r="AG70" s="10"/>
      <c r="AH70" s="10"/>
      <c r="AI70" s="10"/>
      <c r="AJ70" s="10" t="s">
        <v>878</v>
      </c>
      <c r="AK70" s="10" t="s">
        <v>102</v>
      </c>
      <c r="AL70" s="10" t="s">
        <v>176</v>
      </c>
      <c r="AM70" s="10"/>
      <c r="AN70" s="10"/>
      <c r="AO70" s="13" t="b">
        <v>1</v>
      </c>
      <c r="AP70" s="10" t="s">
        <v>104</v>
      </c>
      <c r="AQ70" s="10">
        <f ca="1">IFERROR(__xludf.DUMMYFUNCTION("""COMPUTED_VALUE"""),4598336)</f>
        <v>4598336</v>
      </c>
      <c r="AR70" s="17">
        <v>332135</v>
      </c>
      <c r="AS70" s="17">
        <v>159940</v>
      </c>
      <c r="AT70" s="17">
        <v>6308807.25</v>
      </c>
      <c r="AU70" s="17">
        <v>3032.6</v>
      </c>
      <c r="AV70" s="17">
        <v>870.05</v>
      </c>
      <c r="AW70" s="10" t="s">
        <v>105</v>
      </c>
      <c r="AX70" s="17">
        <v>110111</v>
      </c>
      <c r="AY70" s="18">
        <v>39.444837126422406</v>
      </c>
      <c r="AZ70" s="10" t="s">
        <v>148</v>
      </c>
      <c r="BA70" s="20" t="b">
        <v>0</v>
      </c>
      <c r="BB70" s="10"/>
      <c r="BC70" s="17">
        <v>332135</v>
      </c>
      <c r="BD70" s="17">
        <v>159940</v>
      </c>
      <c r="BE70" s="17">
        <v>6308807.25</v>
      </c>
      <c r="BF70" s="17">
        <v>870.05</v>
      </c>
      <c r="BG70" s="11">
        <f ca="1">IFERROR(__xludf.DUMMYFUNCTION("""COMPUTED_VALUE"""),45927.8541666666)</f>
        <v>45927.854166666599</v>
      </c>
      <c r="BH70" s="17" t="s">
        <v>105</v>
      </c>
      <c r="BI70" s="17"/>
      <c r="BJ70" s="15"/>
      <c r="BK70" s="15"/>
      <c r="BL70" s="13" t="b">
        <v>1</v>
      </c>
      <c r="BM70" s="10"/>
      <c r="BN70" s="10" t="s">
        <v>351</v>
      </c>
      <c r="BO70" s="11">
        <v>45826.704861111109</v>
      </c>
      <c r="BP70" s="11">
        <v>45922.744629629633</v>
      </c>
      <c r="BQ70" s="15">
        <v>45925.68241898148</v>
      </c>
      <c r="BR70" s="15">
        <v>45925.714583333334</v>
      </c>
      <c r="BS70" s="10"/>
      <c r="BT70" s="10" t="s">
        <v>99</v>
      </c>
      <c r="BU70" s="10"/>
      <c r="BV70" s="10" t="s">
        <v>281</v>
      </c>
      <c r="BW70" s="10"/>
      <c r="BX70" s="10"/>
      <c r="BY70" s="23"/>
      <c r="BZ70" s="24" t="s">
        <v>284</v>
      </c>
      <c r="CA70" s="19" t="s">
        <v>879</v>
      </c>
      <c r="CB70" s="19" t="s">
        <v>880</v>
      </c>
      <c r="CC70" s="23"/>
      <c r="CD70" s="19" t="s">
        <v>881</v>
      </c>
      <c r="CE70" s="23"/>
      <c r="CF70" s="23"/>
      <c r="CG70" s="23"/>
      <c r="CH70" s="23"/>
      <c r="CI70" s="23"/>
    </row>
    <row r="71" spans="1:87" x14ac:dyDescent="0.3">
      <c r="A71" s="9" t="s">
        <v>882</v>
      </c>
      <c r="B71" s="10" t="s">
        <v>883</v>
      </c>
      <c r="C71" s="11">
        <v>45930.083333333336</v>
      </c>
      <c r="D71" s="12">
        <v>8.3333333333333329E-2</v>
      </c>
      <c r="E71" s="11">
        <v>45930.166666666664</v>
      </c>
      <c r="F71" s="10" t="s">
        <v>262</v>
      </c>
      <c r="G71" s="13" t="b">
        <v>0</v>
      </c>
      <c r="H71" s="10" t="s">
        <v>263</v>
      </c>
      <c r="I71" s="10" t="s">
        <v>264</v>
      </c>
      <c r="J71" s="13" t="b">
        <v>0</v>
      </c>
      <c r="K71" s="13" t="b">
        <v>1</v>
      </c>
      <c r="L71" s="10" t="s">
        <v>124</v>
      </c>
      <c r="M71" s="10" t="s">
        <v>91</v>
      </c>
      <c r="N71" s="10" t="s">
        <v>265</v>
      </c>
      <c r="O71" s="19" t="s">
        <v>884</v>
      </c>
      <c r="P71" s="10" t="s">
        <v>885</v>
      </c>
      <c r="Q71" s="10" t="s">
        <v>126</v>
      </c>
      <c r="R71" s="10"/>
      <c r="S71" s="19" t="s">
        <v>886</v>
      </c>
      <c r="T71" s="19" t="s">
        <v>844</v>
      </c>
      <c r="U71" s="10" t="s">
        <v>407</v>
      </c>
      <c r="V71" s="10" t="s">
        <v>451</v>
      </c>
      <c r="W71" s="10" t="s">
        <v>272</v>
      </c>
      <c r="X71" s="10" t="s">
        <v>130</v>
      </c>
      <c r="Y71" s="10" t="s">
        <v>130</v>
      </c>
      <c r="Z71" s="10" t="s">
        <v>99</v>
      </c>
      <c r="AA71" s="10" t="s">
        <v>131</v>
      </c>
      <c r="AB71" s="10" t="s">
        <v>273</v>
      </c>
      <c r="AC71" s="10" t="s">
        <v>274</v>
      </c>
      <c r="AD71" s="10" t="s">
        <v>887</v>
      </c>
      <c r="AE71" s="10" t="s">
        <v>888</v>
      </c>
      <c r="AF71" s="15"/>
      <c r="AG71" s="10"/>
      <c r="AH71" s="10"/>
      <c r="AI71" s="10"/>
      <c r="AJ71" s="10" t="s">
        <v>889</v>
      </c>
      <c r="AK71" s="10" t="s">
        <v>102</v>
      </c>
      <c r="AL71" s="10" t="s">
        <v>176</v>
      </c>
      <c r="AM71" s="10"/>
      <c r="AN71" s="10"/>
      <c r="AO71" s="13" t="b">
        <v>0</v>
      </c>
      <c r="AP71" s="10" t="s">
        <v>104</v>
      </c>
      <c r="AQ71" s="10">
        <f ca="1">IFERROR(__xludf.DUMMYFUNCTION("""COMPUTED_VALUE"""),4605162)</f>
        <v>4605162</v>
      </c>
      <c r="AR71" s="17">
        <v>15189</v>
      </c>
      <c r="AS71" s="17">
        <v>12170</v>
      </c>
      <c r="AT71" s="17">
        <v>388097.75</v>
      </c>
      <c r="AU71" s="17">
        <v>38.049999999999997</v>
      </c>
      <c r="AV71" s="17">
        <v>5.25</v>
      </c>
      <c r="AW71" s="10" t="s">
        <v>105</v>
      </c>
      <c r="AX71" s="17">
        <v>3368</v>
      </c>
      <c r="AY71" s="18">
        <v>31.889708299096139</v>
      </c>
      <c r="AZ71" s="10" t="s">
        <v>148</v>
      </c>
      <c r="BA71" s="20" t="b">
        <v>0</v>
      </c>
      <c r="BB71" s="10"/>
      <c r="BC71" s="17">
        <v>15189</v>
      </c>
      <c r="BD71" s="17">
        <v>12170</v>
      </c>
      <c r="BE71" s="17">
        <v>388097.75</v>
      </c>
      <c r="BF71" s="17">
        <v>5.25</v>
      </c>
      <c r="BG71" s="11">
        <f ca="1">IFERROR(__xludf.DUMMYFUNCTION("""COMPUTED_VALUE"""),45930.0833333333)</f>
        <v>45930.083333333299</v>
      </c>
      <c r="BH71" s="17" t="s">
        <v>105</v>
      </c>
      <c r="BI71" s="17"/>
      <c r="BJ71" s="15"/>
      <c r="BK71" s="15"/>
      <c r="BL71" s="13" t="b">
        <v>0</v>
      </c>
      <c r="BM71" s="10"/>
      <c r="BN71" s="10" t="s">
        <v>278</v>
      </c>
      <c r="BO71" s="11">
        <v>45826.704861111109</v>
      </c>
      <c r="BP71" s="11">
        <v>45922.745717592596</v>
      </c>
      <c r="BQ71" s="15">
        <v>45925.683738425927</v>
      </c>
      <c r="BR71" s="15">
        <v>45928.709444444445</v>
      </c>
      <c r="BS71" s="10" t="s">
        <v>278</v>
      </c>
      <c r="BT71" s="10" t="s">
        <v>99</v>
      </c>
      <c r="BU71" s="10" t="s">
        <v>816</v>
      </c>
      <c r="BV71" s="10"/>
      <c r="BW71" s="10"/>
      <c r="BX71" s="10"/>
      <c r="BY71" s="23"/>
      <c r="BZ71" s="24" t="s">
        <v>299</v>
      </c>
      <c r="CA71" s="19" t="s">
        <v>890</v>
      </c>
      <c r="CB71" s="19" t="s">
        <v>891</v>
      </c>
      <c r="CC71" s="23"/>
      <c r="CD71" s="19" t="s">
        <v>892</v>
      </c>
      <c r="CE71" s="23"/>
      <c r="CF71" s="23"/>
      <c r="CG71" s="23"/>
      <c r="CH71" s="23"/>
      <c r="CI71" s="23"/>
    </row>
    <row r="72" spans="1:87" x14ac:dyDescent="0.3">
      <c r="A72" s="9" t="s">
        <v>893</v>
      </c>
      <c r="B72" s="10" t="s">
        <v>894</v>
      </c>
      <c r="C72" s="11">
        <v>45927.875</v>
      </c>
      <c r="D72" s="12">
        <v>8.3333333333333329E-2</v>
      </c>
      <c r="E72" s="11">
        <v>45927.958333333336</v>
      </c>
      <c r="F72" s="10" t="s">
        <v>262</v>
      </c>
      <c r="G72" s="13" t="b">
        <v>0</v>
      </c>
      <c r="H72" s="10" t="s">
        <v>527</v>
      </c>
      <c r="I72" s="10" t="s">
        <v>264</v>
      </c>
      <c r="J72" s="13" t="b">
        <v>0</v>
      </c>
      <c r="K72" s="13" t="b">
        <v>1</v>
      </c>
      <c r="L72" s="10" t="s">
        <v>124</v>
      </c>
      <c r="M72" s="10" t="s">
        <v>91</v>
      </c>
      <c r="N72" s="10" t="s">
        <v>265</v>
      </c>
      <c r="O72" s="19" t="s">
        <v>895</v>
      </c>
      <c r="P72" s="10"/>
      <c r="Q72" s="10" t="s">
        <v>126</v>
      </c>
      <c r="R72" s="10"/>
      <c r="S72" s="19" t="s">
        <v>896</v>
      </c>
      <c r="T72" s="19" t="s">
        <v>844</v>
      </c>
      <c r="U72" s="10" t="s">
        <v>663</v>
      </c>
      <c r="V72" s="10" t="s">
        <v>271</v>
      </c>
      <c r="W72" s="10" t="s">
        <v>272</v>
      </c>
      <c r="X72" s="10" t="s">
        <v>130</v>
      </c>
      <c r="Y72" s="10" t="s">
        <v>130</v>
      </c>
      <c r="Z72" s="10" t="s">
        <v>99</v>
      </c>
      <c r="AA72" s="10" t="s">
        <v>131</v>
      </c>
      <c r="AB72" s="10" t="s">
        <v>273</v>
      </c>
      <c r="AC72" s="10" t="s">
        <v>274</v>
      </c>
      <c r="AD72" s="10" t="s">
        <v>897</v>
      </c>
      <c r="AE72" s="10" t="s">
        <v>898</v>
      </c>
      <c r="AF72" s="15"/>
      <c r="AG72" s="10"/>
      <c r="AH72" s="10"/>
      <c r="AI72" s="10"/>
      <c r="AJ72" s="10" t="s">
        <v>899</v>
      </c>
      <c r="AK72" s="10" t="s">
        <v>102</v>
      </c>
      <c r="AL72" s="10" t="s">
        <v>176</v>
      </c>
      <c r="AM72" s="10"/>
      <c r="AN72" s="10"/>
      <c r="AO72" s="13" t="b">
        <v>0</v>
      </c>
      <c r="AP72" s="10" t="s">
        <v>104</v>
      </c>
      <c r="AQ72" s="10">
        <f ca="1">IFERROR(__xludf.DUMMYFUNCTION("""COMPUTED_VALUE"""),4598350)</f>
        <v>4598350</v>
      </c>
      <c r="AR72" s="17">
        <v>11810</v>
      </c>
      <c r="AS72" s="17">
        <v>7384</v>
      </c>
      <c r="AT72" s="17">
        <v>33973.75</v>
      </c>
      <c r="AU72" s="17">
        <v>13.9</v>
      </c>
      <c r="AV72" s="17">
        <v>2.8</v>
      </c>
      <c r="AW72" s="10" t="s">
        <v>105</v>
      </c>
      <c r="AX72" s="17">
        <v>1008</v>
      </c>
      <c r="AY72" s="18">
        <v>4.6009953954496208</v>
      </c>
      <c r="AZ72" s="10" t="s">
        <v>148</v>
      </c>
      <c r="BA72" s="20" t="b">
        <v>0</v>
      </c>
      <c r="BB72" s="10"/>
      <c r="BC72" s="17">
        <v>11810</v>
      </c>
      <c r="BD72" s="17">
        <v>7384</v>
      </c>
      <c r="BE72" s="17">
        <v>33973.75</v>
      </c>
      <c r="BF72" s="17">
        <v>2.8</v>
      </c>
      <c r="BG72" s="11">
        <f ca="1">IFERROR(__xludf.DUMMYFUNCTION("""COMPUTED_VALUE"""),45927.875)</f>
        <v>45927.875</v>
      </c>
      <c r="BH72" s="17" t="s">
        <v>105</v>
      </c>
      <c r="BI72" s="17"/>
      <c r="BJ72" s="15"/>
      <c r="BK72" s="15"/>
      <c r="BL72" s="13" t="b">
        <v>1</v>
      </c>
      <c r="BM72" s="10"/>
      <c r="BN72" s="10" t="s">
        <v>136</v>
      </c>
      <c r="BO72" s="11">
        <v>45826.705555555556</v>
      </c>
      <c r="BP72" s="11">
        <v>45922.74486111111</v>
      </c>
      <c r="BQ72" s="15">
        <v>45925.682557870372</v>
      </c>
      <c r="BR72" s="15">
        <v>45925.748067129629</v>
      </c>
      <c r="BS72" s="10"/>
      <c r="BT72" s="10" t="s">
        <v>99</v>
      </c>
      <c r="BU72" s="10"/>
      <c r="BV72" s="10"/>
      <c r="BW72" s="10"/>
      <c r="BX72" s="10"/>
      <c r="BY72" s="23"/>
      <c r="BZ72" s="24" t="s">
        <v>299</v>
      </c>
      <c r="CA72" s="19" t="s">
        <v>900</v>
      </c>
      <c r="CB72" s="19" t="s">
        <v>901</v>
      </c>
      <c r="CC72" s="23"/>
      <c r="CD72" s="19" t="s">
        <v>902</v>
      </c>
      <c r="CE72" s="23"/>
      <c r="CF72" s="23"/>
      <c r="CG72" s="23"/>
      <c r="CH72" s="23"/>
      <c r="CI72" s="23"/>
    </row>
    <row r="73" spans="1:87" x14ac:dyDescent="0.3">
      <c r="A73" s="9" t="s">
        <v>903</v>
      </c>
      <c r="B73" s="10" t="s">
        <v>904</v>
      </c>
      <c r="C73" s="11">
        <v>45927.875</v>
      </c>
      <c r="D73" s="12">
        <v>8.3333333333333329E-2</v>
      </c>
      <c r="E73" s="11">
        <v>45927.958333333336</v>
      </c>
      <c r="F73" s="10" t="s">
        <v>262</v>
      </c>
      <c r="G73" s="13" t="b">
        <v>0</v>
      </c>
      <c r="H73" s="10" t="s">
        <v>305</v>
      </c>
      <c r="I73" s="10" t="s">
        <v>264</v>
      </c>
      <c r="J73" s="13" t="b">
        <v>0</v>
      </c>
      <c r="K73" s="13" t="b">
        <v>1</v>
      </c>
      <c r="L73" s="10" t="s">
        <v>124</v>
      </c>
      <c r="M73" s="10" t="s">
        <v>91</v>
      </c>
      <c r="N73" s="10" t="s">
        <v>265</v>
      </c>
      <c r="O73" s="19" t="s">
        <v>905</v>
      </c>
      <c r="P73" s="10"/>
      <c r="Q73" s="10" t="s">
        <v>126</v>
      </c>
      <c r="R73" s="10"/>
      <c r="S73" s="19" t="s">
        <v>906</v>
      </c>
      <c r="T73" s="19" t="s">
        <v>844</v>
      </c>
      <c r="U73" s="10" t="s">
        <v>334</v>
      </c>
      <c r="V73" s="10" t="s">
        <v>609</v>
      </c>
      <c r="W73" s="10" t="s">
        <v>272</v>
      </c>
      <c r="X73" s="10" t="s">
        <v>130</v>
      </c>
      <c r="Y73" s="10" t="s">
        <v>130</v>
      </c>
      <c r="Z73" s="10" t="s">
        <v>99</v>
      </c>
      <c r="AA73" s="10" t="s">
        <v>131</v>
      </c>
      <c r="AB73" s="10" t="s">
        <v>273</v>
      </c>
      <c r="AC73" s="10" t="s">
        <v>274</v>
      </c>
      <c r="AD73" s="10" t="s">
        <v>907</v>
      </c>
      <c r="AE73" s="10" t="s">
        <v>908</v>
      </c>
      <c r="AF73" s="15"/>
      <c r="AG73" s="10"/>
      <c r="AH73" s="10"/>
      <c r="AI73" s="10"/>
      <c r="AJ73" s="10" t="s">
        <v>909</v>
      </c>
      <c r="AK73" s="10" t="s">
        <v>102</v>
      </c>
      <c r="AL73" s="10" t="s">
        <v>176</v>
      </c>
      <c r="AM73" s="10"/>
      <c r="AN73" s="10"/>
      <c r="AO73" s="13" t="b">
        <v>1</v>
      </c>
      <c r="AP73" s="10" t="s">
        <v>104</v>
      </c>
      <c r="AQ73" s="10">
        <f ca="1">IFERROR(__xludf.DUMMYFUNCTION("""COMPUTED_VALUE"""),4598339)</f>
        <v>4598339</v>
      </c>
      <c r="AR73" s="17">
        <v>122591</v>
      </c>
      <c r="AS73" s="17">
        <v>70377</v>
      </c>
      <c r="AT73" s="17">
        <v>1361637.25</v>
      </c>
      <c r="AU73" s="17">
        <v>852.7</v>
      </c>
      <c r="AV73" s="17">
        <v>159.1</v>
      </c>
      <c r="AW73" s="10" t="s">
        <v>105</v>
      </c>
      <c r="AX73" s="17">
        <v>19833</v>
      </c>
      <c r="AY73" s="18">
        <v>19.347759211105902</v>
      </c>
      <c r="AZ73" s="10" t="s">
        <v>148</v>
      </c>
      <c r="BA73" s="20" t="b">
        <v>0</v>
      </c>
      <c r="BB73" s="10"/>
      <c r="BC73" s="17">
        <v>122591</v>
      </c>
      <c r="BD73" s="17">
        <v>70377</v>
      </c>
      <c r="BE73" s="17">
        <v>1361637.25</v>
      </c>
      <c r="BF73" s="17">
        <v>159.1</v>
      </c>
      <c r="BG73" s="11">
        <f ca="1">IFERROR(__xludf.DUMMYFUNCTION("""COMPUTED_VALUE"""),45927.875)</f>
        <v>45927.875</v>
      </c>
      <c r="BH73" s="17" t="s">
        <v>105</v>
      </c>
      <c r="BI73" s="17"/>
      <c r="BJ73" s="15"/>
      <c r="BK73" s="15"/>
      <c r="BL73" s="13" t="b">
        <v>1</v>
      </c>
      <c r="BM73" s="10"/>
      <c r="BN73" s="10" t="s">
        <v>351</v>
      </c>
      <c r="BO73" s="11">
        <v>45826.705555555556</v>
      </c>
      <c r="BP73" s="11">
        <v>45922.745023148149</v>
      </c>
      <c r="BQ73" s="15">
        <v>45925.682754629626</v>
      </c>
      <c r="BR73" s="15">
        <v>45925.717673611114</v>
      </c>
      <c r="BS73" s="10"/>
      <c r="BT73" s="10" t="s">
        <v>99</v>
      </c>
      <c r="BU73" s="10"/>
      <c r="BV73" s="10"/>
      <c r="BW73" s="10"/>
      <c r="BX73" s="10"/>
      <c r="BY73" s="23"/>
      <c r="BZ73" s="24" t="s">
        <v>284</v>
      </c>
      <c r="CA73" s="19" t="s">
        <v>910</v>
      </c>
      <c r="CB73" s="19" t="s">
        <v>911</v>
      </c>
      <c r="CC73" s="23"/>
      <c r="CD73" s="19" t="s">
        <v>912</v>
      </c>
      <c r="CE73" s="23"/>
      <c r="CF73" s="23"/>
      <c r="CG73" s="23"/>
      <c r="CH73" s="23"/>
      <c r="CI73" s="23"/>
    </row>
    <row r="74" spans="1:87" x14ac:dyDescent="0.3">
      <c r="A74" s="9" t="s">
        <v>913</v>
      </c>
      <c r="B74" s="10" t="s">
        <v>914</v>
      </c>
      <c r="C74" s="11">
        <v>45928.9375</v>
      </c>
      <c r="D74" s="12">
        <v>8.3333333333333329E-2</v>
      </c>
      <c r="E74" s="11">
        <v>45929.020833333336</v>
      </c>
      <c r="F74" s="10" t="s">
        <v>262</v>
      </c>
      <c r="G74" s="13" t="b">
        <v>1</v>
      </c>
      <c r="H74" s="10" t="s">
        <v>263</v>
      </c>
      <c r="I74" s="10" t="s">
        <v>264</v>
      </c>
      <c r="J74" s="13" t="b">
        <v>0</v>
      </c>
      <c r="K74" s="13" t="b">
        <v>1</v>
      </c>
      <c r="L74" s="10" t="s">
        <v>124</v>
      </c>
      <c r="M74" s="10" t="s">
        <v>91</v>
      </c>
      <c r="N74" s="10" t="s">
        <v>265</v>
      </c>
      <c r="O74" s="19" t="s">
        <v>915</v>
      </c>
      <c r="P74" s="10" t="s">
        <v>885</v>
      </c>
      <c r="Q74" s="10" t="s">
        <v>126</v>
      </c>
      <c r="R74" s="10"/>
      <c r="S74" s="19" t="s">
        <v>916</v>
      </c>
      <c r="T74" s="19" t="s">
        <v>844</v>
      </c>
      <c r="U74" s="10" t="s">
        <v>293</v>
      </c>
      <c r="V74" s="10" t="s">
        <v>362</v>
      </c>
      <c r="W74" s="10" t="s">
        <v>272</v>
      </c>
      <c r="X74" s="10" t="s">
        <v>130</v>
      </c>
      <c r="Y74" s="10" t="s">
        <v>130</v>
      </c>
      <c r="Z74" s="10" t="s">
        <v>99</v>
      </c>
      <c r="AA74" s="10" t="s">
        <v>131</v>
      </c>
      <c r="AB74" s="10" t="s">
        <v>273</v>
      </c>
      <c r="AC74" s="10" t="s">
        <v>274</v>
      </c>
      <c r="AD74" s="10" t="s">
        <v>917</v>
      </c>
      <c r="AE74" s="10" t="s">
        <v>918</v>
      </c>
      <c r="AF74" s="15"/>
      <c r="AG74" s="10"/>
      <c r="AH74" s="10"/>
      <c r="AI74" s="10"/>
      <c r="AJ74" s="10" t="s">
        <v>919</v>
      </c>
      <c r="AK74" s="10" t="s">
        <v>102</v>
      </c>
      <c r="AL74" s="10" t="s">
        <v>176</v>
      </c>
      <c r="AM74" s="10"/>
      <c r="AN74" s="10"/>
      <c r="AO74" s="13" t="b">
        <v>1</v>
      </c>
      <c r="AP74" s="10" t="s">
        <v>104</v>
      </c>
      <c r="AQ74" s="10">
        <f ca="1">IFERROR(__xludf.DUMMYFUNCTION("""COMPUTED_VALUE"""),4598353)</f>
        <v>4598353</v>
      </c>
      <c r="AR74" s="21">
        <v>215210</v>
      </c>
      <c r="AS74" s="21">
        <v>149880</v>
      </c>
      <c r="AT74" s="21">
        <v>4213614</v>
      </c>
      <c r="AU74" s="21">
        <v>1277.1500000000001</v>
      </c>
      <c r="AV74" s="21">
        <v>212.6</v>
      </c>
      <c r="AW74" s="22" t="s">
        <v>105</v>
      </c>
      <c r="AX74" s="21">
        <v>62911</v>
      </c>
      <c r="AY74" s="18">
        <v>28.113250600480384</v>
      </c>
      <c r="AZ74" s="10" t="s">
        <v>148</v>
      </c>
      <c r="BA74" s="20" t="b">
        <v>0</v>
      </c>
      <c r="BB74" s="10"/>
      <c r="BC74" s="17">
        <v>215210</v>
      </c>
      <c r="BD74" s="17">
        <v>149880</v>
      </c>
      <c r="BE74" s="17">
        <v>4213614</v>
      </c>
      <c r="BF74" s="17">
        <v>212.6</v>
      </c>
      <c r="BG74" s="11">
        <f ca="1">IFERROR(__xludf.DUMMYFUNCTION("""COMPUTED_VALUE"""),45928.9166666666)</f>
        <v>45928.916666666599</v>
      </c>
      <c r="BH74" s="17" t="s">
        <v>105</v>
      </c>
      <c r="BI74" s="17"/>
      <c r="BJ74" s="15"/>
      <c r="BK74" s="15"/>
      <c r="BL74" s="13" t="b">
        <v>0</v>
      </c>
      <c r="BM74" s="10"/>
      <c r="BN74" s="10" t="s">
        <v>920</v>
      </c>
      <c r="BO74" s="11">
        <v>45826.706250000003</v>
      </c>
      <c r="BP74" s="11">
        <v>45922.745555555557</v>
      </c>
      <c r="BQ74" s="15">
        <v>45925.683935185189</v>
      </c>
      <c r="BR74" s="15">
        <v>45928.982407407406</v>
      </c>
      <c r="BS74" s="10" t="s">
        <v>920</v>
      </c>
      <c r="BT74" s="10" t="s">
        <v>99</v>
      </c>
      <c r="BU74" s="10" t="s">
        <v>718</v>
      </c>
      <c r="BV74" s="10" t="s">
        <v>281</v>
      </c>
      <c r="BW74" s="10"/>
      <c r="BX74" s="10"/>
      <c r="BY74" s="23"/>
      <c r="BZ74" s="24" t="s">
        <v>284</v>
      </c>
      <c r="CA74" s="19" t="s">
        <v>921</v>
      </c>
      <c r="CB74" s="19" t="s">
        <v>922</v>
      </c>
      <c r="CC74" s="23"/>
      <c r="CD74" s="19" t="s">
        <v>923</v>
      </c>
      <c r="CE74" s="23"/>
      <c r="CF74" s="23"/>
      <c r="CG74" s="23"/>
      <c r="CH74" s="23"/>
      <c r="CI74" s="23"/>
    </row>
    <row r="75" spans="1:87" x14ac:dyDescent="0.3">
      <c r="A75" s="9" t="s">
        <v>924</v>
      </c>
      <c r="B75" s="10" t="s">
        <v>925</v>
      </c>
      <c r="C75" s="11">
        <v>45927.979166666664</v>
      </c>
      <c r="D75" s="12">
        <v>8.3333333333333329E-2</v>
      </c>
      <c r="E75" s="11">
        <v>45928.0625</v>
      </c>
      <c r="F75" s="10" t="s">
        <v>262</v>
      </c>
      <c r="G75" s="13" t="b">
        <v>1</v>
      </c>
      <c r="H75" s="10" t="s">
        <v>263</v>
      </c>
      <c r="I75" s="10" t="s">
        <v>264</v>
      </c>
      <c r="J75" s="13" t="b">
        <v>0</v>
      </c>
      <c r="K75" s="13" t="b">
        <v>1</v>
      </c>
      <c r="L75" s="10" t="s">
        <v>124</v>
      </c>
      <c r="M75" s="10" t="s">
        <v>91</v>
      </c>
      <c r="N75" s="10" t="s">
        <v>265</v>
      </c>
      <c r="O75" s="19" t="s">
        <v>926</v>
      </c>
      <c r="P75" s="10" t="s">
        <v>331</v>
      </c>
      <c r="Q75" s="10" t="s">
        <v>126</v>
      </c>
      <c r="R75" s="10"/>
      <c r="S75" s="19" t="s">
        <v>927</v>
      </c>
      <c r="T75" s="19" t="s">
        <v>844</v>
      </c>
      <c r="U75" s="10" t="s">
        <v>320</v>
      </c>
      <c r="V75" s="10" t="s">
        <v>588</v>
      </c>
      <c r="W75" s="10" t="s">
        <v>272</v>
      </c>
      <c r="X75" s="10" t="s">
        <v>130</v>
      </c>
      <c r="Y75" s="10" t="s">
        <v>130</v>
      </c>
      <c r="Z75" s="10" t="s">
        <v>99</v>
      </c>
      <c r="AA75" s="10" t="s">
        <v>131</v>
      </c>
      <c r="AB75" s="10" t="s">
        <v>273</v>
      </c>
      <c r="AC75" s="10" t="s">
        <v>274</v>
      </c>
      <c r="AD75" s="10" t="s">
        <v>928</v>
      </c>
      <c r="AE75" s="10" t="s">
        <v>929</v>
      </c>
      <c r="AF75" s="15"/>
      <c r="AG75" s="10"/>
      <c r="AH75" s="10"/>
      <c r="AI75" s="10"/>
      <c r="AJ75" s="10" t="s">
        <v>930</v>
      </c>
      <c r="AK75" s="10" t="s">
        <v>102</v>
      </c>
      <c r="AL75" s="10" t="s">
        <v>176</v>
      </c>
      <c r="AM75" s="10"/>
      <c r="AN75" s="10"/>
      <c r="AO75" s="13" t="b">
        <v>0</v>
      </c>
      <c r="AP75" s="10" t="s">
        <v>104</v>
      </c>
      <c r="AQ75" s="10">
        <f ca="1">IFERROR(__xludf.DUMMYFUNCTION("""COMPUTED_VALUE"""),4598337)</f>
        <v>4598337</v>
      </c>
      <c r="AR75" s="17">
        <v>39921</v>
      </c>
      <c r="AS75" s="17">
        <v>33824</v>
      </c>
      <c r="AT75" s="17">
        <v>550376.5</v>
      </c>
      <c r="AU75" s="17">
        <v>71.849999999999994</v>
      </c>
      <c r="AV75" s="17">
        <v>11.3</v>
      </c>
      <c r="AW75" s="10" t="s">
        <v>105</v>
      </c>
      <c r="AX75" s="17">
        <v>16630</v>
      </c>
      <c r="AY75" s="18">
        <v>16.271774479659413</v>
      </c>
      <c r="AZ75" s="10" t="s">
        <v>148</v>
      </c>
      <c r="BA75" s="20" t="b">
        <v>0</v>
      </c>
      <c r="BB75" s="10"/>
      <c r="BC75" s="17">
        <v>39921</v>
      </c>
      <c r="BD75" s="17">
        <v>33824</v>
      </c>
      <c r="BE75" s="17">
        <v>550376.5</v>
      </c>
      <c r="BF75" s="17">
        <v>11.3</v>
      </c>
      <c r="BG75" s="11">
        <f ca="1">IFERROR(__xludf.DUMMYFUNCTION("""COMPUTED_VALUE"""),45927.9583333333)</f>
        <v>45927.958333333299</v>
      </c>
      <c r="BH75" s="17" t="s">
        <v>105</v>
      </c>
      <c r="BI75" s="17"/>
      <c r="BJ75" s="15"/>
      <c r="BK75" s="15"/>
      <c r="BL75" s="13" t="b">
        <v>0</v>
      </c>
      <c r="BM75" s="10"/>
      <c r="BN75" s="10" t="s">
        <v>634</v>
      </c>
      <c r="BO75" s="11">
        <v>45826.706944444442</v>
      </c>
      <c r="BP75" s="11">
        <v>45922.745185185187</v>
      </c>
      <c r="BQ75" s="15">
        <v>45925.682905092595</v>
      </c>
      <c r="BR75" s="15">
        <v>45925.713587962964</v>
      </c>
      <c r="BS75" s="10" t="s">
        <v>634</v>
      </c>
      <c r="BT75" s="10" t="s">
        <v>99</v>
      </c>
      <c r="BU75" s="10" t="s">
        <v>931</v>
      </c>
      <c r="BV75" s="10"/>
      <c r="BW75" s="10"/>
      <c r="BX75" s="10"/>
      <c r="BY75" s="23"/>
      <c r="BZ75" s="24" t="s">
        <v>299</v>
      </c>
      <c r="CA75" s="19" t="s">
        <v>932</v>
      </c>
      <c r="CB75" s="19" t="s">
        <v>933</v>
      </c>
      <c r="CC75" s="23"/>
      <c r="CD75" s="19" t="s">
        <v>934</v>
      </c>
      <c r="CE75" s="23"/>
      <c r="CF75" s="23"/>
      <c r="CG75" s="23"/>
      <c r="CH75" s="23"/>
      <c r="CI75" s="23"/>
    </row>
    <row r="76" spans="1:87" x14ac:dyDescent="0.3">
      <c r="A76" s="9" t="s">
        <v>935</v>
      </c>
      <c r="B76" s="10" t="s">
        <v>936</v>
      </c>
      <c r="C76" s="11">
        <v>45928.083333333336</v>
      </c>
      <c r="D76" s="12">
        <v>8.3333333333333329E-2</v>
      </c>
      <c r="E76" s="11">
        <v>45928.166666666664</v>
      </c>
      <c r="F76" s="10" t="s">
        <v>262</v>
      </c>
      <c r="G76" s="13" t="b">
        <v>0</v>
      </c>
      <c r="H76" s="10" t="s">
        <v>263</v>
      </c>
      <c r="I76" s="10" t="s">
        <v>264</v>
      </c>
      <c r="J76" s="13" t="b">
        <v>0</v>
      </c>
      <c r="K76" s="13" t="b">
        <v>1</v>
      </c>
      <c r="L76" s="10" t="s">
        <v>124</v>
      </c>
      <c r="M76" s="10" t="s">
        <v>91</v>
      </c>
      <c r="N76" s="10" t="s">
        <v>265</v>
      </c>
      <c r="O76" s="19" t="s">
        <v>937</v>
      </c>
      <c r="P76" s="10" t="s">
        <v>267</v>
      </c>
      <c r="Q76" s="10" t="s">
        <v>126</v>
      </c>
      <c r="R76" s="10"/>
      <c r="S76" s="19" t="s">
        <v>938</v>
      </c>
      <c r="T76" s="19" t="s">
        <v>844</v>
      </c>
      <c r="U76" s="10" t="s">
        <v>429</v>
      </c>
      <c r="V76" s="10" t="s">
        <v>333</v>
      </c>
      <c r="W76" s="10" t="s">
        <v>272</v>
      </c>
      <c r="X76" s="10" t="s">
        <v>130</v>
      </c>
      <c r="Y76" s="10" t="s">
        <v>130</v>
      </c>
      <c r="Z76" s="10" t="s">
        <v>99</v>
      </c>
      <c r="AA76" s="10" t="s">
        <v>131</v>
      </c>
      <c r="AB76" s="10" t="s">
        <v>273</v>
      </c>
      <c r="AC76" s="10" t="s">
        <v>274</v>
      </c>
      <c r="AD76" s="10" t="s">
        <v>939</v>
      </c>
      <c r="AE76" s="10" t="s">
        <v>940</v>
      </c>
      <c r="AF76" s="15"/>
      <c r="AG76" s="10"/>
      <c r="AH76" s="10"/>
      <c r="AI76" s="10"/>
      <c r="AJ76" s="10" t="s">
        <v>941</v>
      </c>
      <c r="AK76" s="10" t="s">
        <v>102</v>
      </c>
      <c r="AL76" s="10" t="s">
        <v>176</v>
      </c>
      <c r="AM76" s="10"/>
      <c r="AN76" s="10"/>
      <c r="AO76" s="13" t="b">
        <v>1</v>
      </c>
      <c r="AP76" s="10" t="s">
        <v>104</v>
      </c>
      <c r="AQ76" s="10">
        <f ca="1">IFERROR(__xludf.DUMMYFUNCTION("""COMPUTED_VALUE"""),4598338)</f>
        <v>4598338</v>
      </c>
      <c r="AR76" s="17">
        <v>17285</v>
      </c>
      <c r="AS76" s="17">
        <v>12308</v>
      </c>
      <c r="AT76" s="17">
        <v>523261.5</v>
      </c>
      <c r="AU76" s="17">
        <v>43.75</v>
      </c>
      <c r="AV76" s="17">
        <v>6.35</v>
      </c>
      <c r="AW76" s="10" t="s">
        <v>105</v>
      </c>
      <c r="AX76" s="17">
        <v>7427</v>
      </c>
      <c r="AY76" s="18">
        <v>42.513934026649331</v>
      </c>
      <c r="AZ76" s="10" t="s">
        <v>148</v>
      </c>
      <c r="BA76" s="20" t="b">
        <v>0</v>
      </c>
      <c r="BB76" s="10"/>
      <c r="BC76" s="17">
        <v>17285</v>
      </c>
      <c r="BD76" s="17">
        <v>12308</v>
      </c>
      <c r="BE76" s="17">
        <v>523261.5</v>
      </c>
      <c r="BF76" s="17">
        <v>6.35</v>
      </c>
      <c r="BG76" s="11">
        <f ca="1">IFERROR(__xludf.DUMMYFUNCTION("""COMPUTED_VALUE"""),45928.0833333333)</f>
        <v>45928.083333333299</v>
      </c>
      <c r="BH76" s="17" t="s">
        <v>105</v>
      </c>
      <c r="BI76" s="17"/>
      <c r="BJ76" s="15"/>
      <c r="BK76" s="15"/>
      <c r="BL76" s="13" t="b">
        <v>1</v>
      </c>
      <c r="BM76" s="10"/>
      <c r="BN76" s="10" t="s">
        <v>351</v>
      </c>
      <c r="BO76" s="11">
        <v>45826.706944444442</v>
      </c>
      <c r="BP76" s="11">
        <v>45922.745347222219</v>
      </c>
      <c r="BQ76" s="15">
        <v>45925.683067129627</v>
      </c>
      <c r="BR76" s="15">
        <v>45925.716238425928</v>
      </c>
      <c r="BS76" s="10"/>
      <c r="BT76" s="10" t="s">
        <v>99</v>
      </c>
      <c r="BU76" s="10" t="s">
        <v>942</v>
      </c>
      <c r="BV76" s="10"/>
      <c r="BW76" s="10"/>
      <c r="BX76" s="10"/>
      <c r="BY76" s="23"/>
      <c r="BZ76" s="24" t="s">
        <v>284</v>
      </c>
      <c r="CA76" s="19" t="s">
        <v>943</v>
      </c>
      <c r="CB76" s="19" t="s">
        <v>944</v>
      </c>
      <c r="CC76" s="23"/>
      <c r="CD76" s="19" t="s">
        <v>945</v>
      </c>
      <c r="CE76" s="23"/>
      <c r="CF76" s="23"/>
      <c r="CG76" s="23"/>
      <c r="CH76" s="23"/>
      <c r="CI76" s="23"/>
    </row>
    <row r="77" spans="1:87" x14ac:dyDescent="0.3">
      <c r="A77" s="9" t="s">
        <v>946</v>
      </c>
      <c r="B77" s="10" t="s">
        <v>947</v>
      </c>
      <c r="C77" s="11">
        <v>45934.875</v>
      </c>
      <c r="D77" s="12">
        <v>8.3333333333333329E-2</v>
      </c>
      <c r="E77" s="11">
        <v>45934.958333333336</v>
      </c>
      <c r="F77" s="10" t="s">
        <v>262</v>
      </c>
      <c r="G77" s="13" t="b">
        <v>0</v>
      </c>
      <c r="H77" s="10" t="s">
        <v>305</v>
      </c>
      <c r="I77" s="10" t="s">
        <v>264</v>
      </c>
      <c r="J77" s="13" t="b">
        <v>0</v>
      </c>
      <c r="K77" s="13" t="b">
        <v>1</v>
      </c>
      <c r="L77" s="10" t="s">
        <v>124</v>
      </c>
      <c r="M77" s="10" t="s">
        <v>91</v>
      </c>
      <c r="N77" s="10" t="s">
        <v>265</v>
      </c>
      <c r="O77" s="19" t="s">
        <v>948</v>
      </c>
      <c r="P77" s="10" t="s">
        <v>267</v>
      </c>
      <c r="Q77" s="10" t="s">
        <v>126</v>
      </c>
      <c r="R77" s="10"/>
      <c r="S77" s="19" t="s">
        <v>949</v>
      </c>
      <c r="T77" s="19" t="s">
        <v>950</v>
      </c>
      <c r="U77" s="10" t="s">
        <v>362</v>
      </c>
      <c r="V77" s="10" t="s">
        <v>451</v>
      </c>
      <c r="W77" s="10" t="s">
        <v>272</v>
      </c>
      <c r="X77" s="10" t="s">
        <v>130</v>
      </c>
      <c r="Y77" s="10" t="s">
        <v>130</v>
      </c>
      <c r="Z77" s="10" t="s">
        <v>99</v>
      </c>
      <c r="AA77" s="10" t="s">
        <v>131</v>
      </c>
      <c r="AB77" s="10" t="s">
        <v>273</v>
      </c>
      <c r="AC77" s="10" t="s">
        <v>274</v>
      </c>
      <c r="AD77" s="10" t="s">
        <v>951</v>
      </c>
      <c r="AE77" s="10" t="s">
        <v>952</v>
      </c>
      <c r="AF77" s="15"/>
      <c r="AG77" s="10"/>
      <c r="AH77" s="10"/>
      <c r="AI77" s="10"/>
      <c r="AJ77" s="10" t="s">
        <v>953</v>
      </c>
      <c r="AK77" s="10" t="s">
        <v>102</v>
      </c>
      <c r="AL77" s="10" t="s">
        <v>184</v>
      </c>
      <c r="AM77" s="10"/>
      <c r="AN77" s="10"/>
      <c r="AO77" s="13" t="b">
        <v>1</v>
      </c>
      <c r="AP77" s="10" t="s">
        <v>104</v>
      </c>
      <c r="AQ77" s="10">
        <f ca="1">IFERROR(__xludf.DUMMYFUNCTION("""COMPUTED_VALUE"""),4626716)</f>
        <v>4626716</v>
      </c>
      <c r="AR77" s="17">
        <v>218044</v>
      </c>
      <c r="AS77" s="17">
        <v>109717</v>
      </c>
      <c r="AT77" s="17">
        <v>4055795.75</v>
      </c>
      <c r="AU77" s="17">
        <v>1880.4</v>
      </c>
      <c r="AV77" s="17">
        <v>408</v>
      </c>
      <c r="AW77" s="10" t="s">
        <v>105</v>
      </c>
      <c r="AX77" s="17">
        <v>45872</v>
      </c>
      <c r="AY77" s="18">
        <v>36.965973823564262</v>
      </c>
      <c r="AZ77" s="10" t="s">
        <v>148</v>
      </c>
      <c r="BA77" s="20" t="b">
        <v>0</v>
      </c>
      <c r="BB77" s="10"/>
      <c r="BC77" s="17">
        <v>218044</v>
      </c>
      <c r="BD77" s="17">
        <v>109717</v>
      </c>
      <c r="BE77" s="17">
        <v>4055795.75</v>
      </c>
      <c r="BF77" s="17">
        <v>408</v>
      </c>
      <c r="BG77" s="11">
        <f ca="1">IFERROR(__xludf.DUMMYFUNCTION("""COMPUTED_VALUE"""),45934.875)</f>
        <v>45934.875</v>
      </c>
      <c r="BH77" s="17" t="s">
        <v>105</v>
      </c>
      <c r="BI77" s="17"/>
      <c r="BJ77" s="15"/>
      <c r="BK77" s="15"/>
      <c r="BL77" s="13" t="b">
        <v>1</v>
      </c>
      <c r="BM77" s="10"/>
      <c r="BN77" s="10" t="s">
        <v>351</v>
      </c>
      <c r="BO77" s="11">
        <v>45826.713194444441</v>
      </c>
      <c r="BP77" s="11">
        <v>45930.661377314813</v>
      </c>
      <c r="BQ77" s="15">
        <v>45932.716574074075</v>
      </c>
      <c r="BR77" s="15">
        <v>45932.755995370368</v>
      </c>
      <c r="BS77" s="10"/>
      <c r="BT77" s="10" t="s">
        <v>279</v>
      </c>
      <c r="BU77" s="10" t="s">
        <v>280</v>
      </c>
      <c r="BV77" s="10" t="s">
        <v>281</v>
      </c>
      <c r="BW77" s="10"/>
      <c r="BX77" s="10"/>
      <c r="BY77" s="23"/>
      <c r="BZ77" s="24" t="s">
        <v>284</v>
      </c>
      <c r="CA77" s="19" t="s">
        <v>954</v>
      </c>
      <c r="CB77" s="19" t="s">
        <v>955</v>
      </c>
      <c r="CC77" s="23"/>
      <c r="CD77" s="19" t="s">
        <v>956</v>
      </c>
      <c r="CE77" s="23"/>
      <c r="CF77" s="23"/>
      <c r="CG77" s="23"/>
      <c r="CH77" s="23"/>
      <c r="CI77" s="23"/>
    </row>
    <row r="78" spans="1:87" x14ac:dyDescent="0.3">
      <c r="A78" s="9" t="s">
        <v>957</v>
      </c>
      <c r="B78" s="10" t="s">
        <v>958</v>
      </c>
      <c r="C78" s="11">
        <v>45935.833333333336</v>
      </c>
      <c r="D78" s="12">
        <v>8.3333333333333329E-2</v>
      </c>
      <c r="E78" s="11">
        <v>45935.916666666664</v>
      </c>
      <c r="F78" s="10" t="s">
        <v>262</v>
      </c>
      <c r="G78" s="13" t="b">
        <v>0</v>
      </c>
      <c r="H78" s="10" t="s">
        <v>527</v>
      </c>
      <c r="I78" s="10" t="s">
        <v>264</v>
      </c>
      <c r="J78" s="13" t="b">
        <v>0</v>
      </c>
      <c r="K78" s="13" t="b">
        <v>1</v>
      </c>
      <c r="L78" s="10" t="s">
        <v>124</v>
      </c>
      <c r="M78" s="10" t="s">
        <v>91</v>
      </c>
      <c r="N78" s="10" t="s">
        <v>265</v>
      </c>
      <c r="O78" s="19" t="s">
        <v>959</v>
      </c>
      <c r="P78" s="10"/>
      <c r="Q78" s="10" t="s">
        <v>126</v>
      </c>
      <c r="R78" s="10"/>
      <c r="S78" s="19" t="s">
        <v>960</v>
      </c>
      <c r="T78" s="19" t="s">
        <v>950</v>
      </c>
      <c r="U78" s="10" t="s">
        <v>292</v>
      </c>
      <c r="V78" s="10" t="s">
        <v>609</v>
      </c>
      <c r="W78" s="10" t="s">
        <v>272</v>
      </c>
      <c r="X78" s="10" t="s">
        <v>130</v>
      </c>
      <c r="Y78" s="10" t="s">
        <v>130</v>
      </c>
      <c r="Z78" s="10" t="s">
        <v>99</v>
      </c>
      <c r="AA78" s="10" t="s">
        <v>131</v>
      </c>
      <c r="AB78" s="10" t="s">
        <v>273</v>
      </c>
      <c r="AC78" s="10" t="s">
        <v>274</v>
      </c>
      <c r="AD78" s="10" t="s">
        <v>961</v>
      </c>
      <c r="AE78" s="10" t="s">
        <v>962</v>
      </c>
      <c r="AF78" s="15"/>
      <c r="AG78" s="10"/>
      <c r="AH78" s="10"/>
      <c r="AI78" s="10"/>
      <c r="AJ78" s="10" t="s">
        <v>963</v>
      </c>
      <c r="AK78" s="10" t="s">
        <v>102</v>
      </c>
      <c r="AL78" s="10" t="s">
        <v>184</v>
      </c>
      <c r="AM78" s="10"/>
      <c r="AN78" s="10"/>
      <c r="AO78" s="13" t="b">
        <v>0</v>
      </c>
      <c r="AP78" s="10" t="s">
        <v>104</v>
      </c>
      <c r="AQ78" s="10">
        <f ca="1">IFERROR(__xludf.DUMMYFUNCTION("""COMPUTED_VALUE"""),4626721)</f>
        <v>4626721</v>
      </c>
      <c r="AR78" s="17">
        <v>28682</v>
      </c>
      <c r="AS78" s="17">
        <v>18600</v>
      </c>
      <c r="AT78" s="17">
        <v>187761.5</v>
      </c>
      <c r="AU78" s="17">
        <v>42.1</v>
      </c>
      <c r="AV78" s="17">
        <v>7.7</v>
      </c>
      <c r="AW78" s="10" t="s">
        <v>105</v>
      </c>
      <c r="AX78" s="17">
        <v>3772</v>
      </c>
      <c r="AY78" s="18">
        <v>10.094704301075268</v>
      </c>
      <c r="AZ78" s="10" t="s">
        <v>148</v>
      </c>
      <c r="BA78" s="20" t="b">
        <v>0</v>
      </c>
      <c r="BB78" s="10"/>
      <c r="BC78" s="17">
        <v>28682</v>
      </c>
      <c r="BD78" s="17">
        <v>18600</v>
      </c>
      <c r="BE78" s="17">
        <v>187761.5</v>
      </c>
      <c r="BF78" s="17">
        <v>7.7</v>
      </c>
      <c r="BG78" s="11">
        <f ca="1">IFERROR(__xludf.DUMMYFUNCTION("""COMPUTED_VALUE"""),45935.8333333333)</f>
        <v>45935.833333333299</v>
      </c>
      <c r="BH78" s="17" t="s">
        <v>105</v>
      </c>
      <c r="BI78" s="17"/>
      <c r="BJ78" s="15"/>
      <c r="BK78" s="15"/>
      <c r="BL78" s="13" t="b">
        <v>1</v>
      </c>
      <c r="BM78" s="10"/>
      <c r="BN78" s="10" t="s">
        <v>137</v>
      </c>
      <c r="BO78" s="11">
        <v>45826.713888888888</v>
      </c>
      <c r="BP78" s="11">
        <v>45930.662638888891</v>
      </c>
      <c r="BQ78" s="15">
        <v>45932.717222222222</v>
      </c>
      <c r="BR78" s="15">
        <v>45932.761157407411</v>
      </c>
      <c r="BS78" s="10" t="s">
        <v>137</v>
      </c>
      <c r="BT78" s="10" t="s">
        <v>279</v>
      </c>
      <c r="BU78" s="10" t="s">
        <v>793</v>
      </c>
      <c r="BV78" s="10"/>
      <c r="BW78" s="10"/>
      <c r="BX78" s="10"/>
      <c r="BY78" s="23"/>
      <c r="BZ78" s="24" t="s">
        <v>299</v>
      </c>
      <c r="CA78" s="19" t="s">
        <v>964</v>
      </c>
      <c r="CB78" s="19" t="s">
        <v>965</v>
      </c>
      <c r="CC78" s="23"/>
      <c r="CD78" s="19" t="s">
        <v>966</v>
      </c>
      <c r="CE78" s="23"/>
      <c r="CF78" s="23"/>
      <c r="CG78" s="23"/>
      <c r="CH78" s="23"/>
      <c r="CI78" s="23"/>
    </row>
    <row r="79" spans="1:87" x14ac:dyDescent="0.3">
      <c r="A79" s="9" t="s">
        <v>967</v>
      </c>
      <c r="B79" s="10" t="s">
        <v>968</v>
      </c>
      <c r="C79" s="11">
        <v>45934.083333333336</v>
      </c>
      <c r="D79" s="12">
        <v>8.3333333333333329E-2</v>
      </c>
      <c r="E79" s="11">
        <v>45934.166666666664</v>
      </c>
      <c r="F79" s="10" t="s">
        <v>262</v>
      </c>
      <c r="G79" s="13" t="b">
        <v>0</v>
      </c>
      <c r="H79" s="10" t="s">
        <v>263</v>
      </c>
      <c r="I79" s="10" t="s">
        <v>264</v>
      </c>
      <c r="J79" s="13" t="b">
        <v>0</v>
      </c>
      <c r="K79" s="13" t="b">
        <v>1</v>
      </c>
      <c r="L79" s="10" t="s">
        <v>124</v>
      </c>
      <c r="M79" s="10" t="s">
        <v>91</v>
      </c>
      <c r="N79" s="10" t="s">
        <v>265</v>
      </c>
      <c r="O79" s="19" t="s">
        <v>969</v>
      </c>
      <c r="P79" s="10" t="s">
        <v>885</v>
      </c>
      <c r="Q79" s="10" t="s">
        <v>126</v>
      </c>
      <c r="R79" s="10"/>
      <c r="S79" s="19" t="s">
        <v>970</v>
      </c>
      <c r="T79" s="19" t="s">
        <v>950</v>
      </c>
      <c r="U79" s="10" t="s">
        <v>271</v>
      </c>
      <c r="V79" s="10" t="s">
        <v>309</v>
      </c>
      <c r="W79" s="10" t="s">
        <v>272</v>
      </c>
      <c r="X79" s="10" t="s">
        <v>130</v>
      </c>
      <c r="Y79" s="10" t="s">
        <v>130</v>
      </c>
      <c r="Z79" s="10" t="s">
        <v>99</v>
      </c>
      <c r="AA79" s="10" t="s">
        <v>131</v>
      </c>
      <c r="AB79" s="10" t="s">
        <v>273</v>
      </c>
      <c r="AC79" s="10" t="s">
        <v>274</v>
      </c>
      <c r="AD79" s="10" t="s">
        <v>971</v>
      </c>
      <c r="AE79" s="10" t="s">
        <v>972</v>
      </c>
      <c r="AF79" s="15"/>
      <c r="AG79" s="10"/>
      <c r="AH79" s="10"/>
      <c r="AI79" s="10"/>
      <c r="AJ79" s="10" t="s">
        <v>973</v>
      </c>
      <c r="AK79" s="10" t="s">
        <v>102</v>
      </c>
      <c r="AL79" s="10" t="s">
        <v>184</v>
      </c>
      <c r="AM79" s="10"/>
      <c r="AN79" s="10"/>
      <c r="AO79" s="13" t="b">
        <v>0</v>
      </c>
      <c r="AP79" s="10" t="s">
        <v>104</v>
      </c>
      <c r="AQ79" s="10">
        <f ca="1">IFERROR(__xludf.DUMMYFUNCTION("""COMPUTED_VALUE"""),4626719)</f>
        <v>4626719</v>
      </c>
      <c r="AR79" s="17">
        <v>18089</v>
      </c>
      <c r="AS79" s="17">
        <v>14495</v>
      </c>
      <c r="AT79" s="17">
        <v>438515</v>
      </c>
      <c r="AU79" s="17">
        <v>21.05</v>
      </c>
      <c r="AV79" s="17">
        <v>3.6</v>
      </c>
      <c r="AW79" s="10" t="s">
        <v>105</v>
      </c>
      <c r="AX79" s="17">
        <v>3593</v>
      </c>
      <c r="AY79" s="18">
        <v>30.252845808899622</v>
      </c>
      <c r="AZ79" s="10" t="s">
        <v>148</v>
      </c>
      <c r="BA79" s="20" t="b">
        <v>0</v>
      </c>
      <c r="BB79" s="10"/>
      <c r="BC79" s="17">
        <v>18089</v>
      </c>
      <c r="BD79" s="17">
        <v>14495</v>
      </c>
      <c r="BE79" s="17">
        <v>438515</v>
      </c>
      <c r="BF79" s="17">
        <v>3.6</v>
      </c>
      <c r="BG79" s="11">
        <f ca="1">IFERROR(__xludf.DUMMYFUNCTION("""COMPUTED_VALUE"""),45934.0833333333)</f>
        <v>45934.083333333299</v>
      </c>
      <c r="BH79" s="17" t="s">
        <v>105</v>
      </c>
      <c r="BI79" s="17"/>
      <c r="BJ79" s="15"/>
      <c r="BK79" s="15"/>
      <c r="BL79" s="13" t="b">
        <v>0</v>
      </c>
      <c r="BM79" s="10"/>
      <c r="BN79" s="10" t="s">
        <v>634</v>
      </c>
      <c r="BO79" s="11">
        <v>45826.714583333334</v>
      </c>
      <c r="BP79" s="11">
        <v>45930.660277777781</v>
      </c>
      <c r="BQ79" s="15">
        <v>45932.692812499998</v>
      </c>
      <c r="BR79" s="15">
        <v>45932.755624999998</v>
      </c>
      <c r="BS79" s="10" t="s">
        <v>634</v>
      </c>
      <c r="BT79" s="10" t="s">
        <v>99</v>
      </c>
      <c r="BU79" s="10" t="s">
        <v>974</v>
      </c>
      <c r="BV79" s="10"/>
      <c r="BW79" s="10"/>
      <c r="BX79" s="10"/>
      <c r="BY79" s="23"/>
      <c r="BZ79" s="24" t="s">
        <v>299</v>
      </c>
      <c r="CA79" s="19" t="s">
        <v>975</v>
      </c>
      <c r="CB79" s="19" t="s">
        <v>976</v>
      </c>
      <c r="CC79" s="23"/>
      <c r="CD79" s="19" t="s">
        <v>977</v>
      </c>
      <c r="CE79" s="23"/>
      <c r="CF79" s="23"/>
      <c r="CG79" s="23"/>
      <c r="CH79" s="23"/>
      <c r="CI79" s="23"/>
    </row>
    <row r="80" spans="1:87" x14ac:dyDescent="0.3">
      <c r="A80" s="9" t="s">
        <v>978</v>
      </c>
      <c r="B80" s="10" t="s">
        <v>979</v>
      </c>
      <c r="C80" s="11">
        <v>45935.9375</v>
      </c>
      <c r="D80" s="12">
        <v>8.3333333333333329E-2</v>
      </c>
      <c r="E80" s="11">
        <v>45936.020833333336</v>
      </c>
      <c r="F80" s="10" t="s">
        <v>262</v>
      </c>
      <c r="G80" s="13" t="b">
        <v>1</v>
      </c>
      <c r="H80" s="10" t="s">
        <v>263</v>
      </c>
      <c r="I80" s="10" t="s">
        <v>264</v>
      </c>
      <c r="J80" s="13" t="b">
        <v>0</v>
      </c>
      <c r="K80" s="13" t="b">
        <v>1</v>
      </c>
      <c r="L80" s="10" t="s">
        <v>124</v>
      </c>
      <c r="M80" s="10" t="s">
        <v>91</v>
      </c>
      <c r="N80" s="10" t="s">
        <v>265</v>
      </c>
      <c r="O80" s="19" t="s">
        <v>980</v>
      </c>
      <c r="P80" s="10" t="s">
        <v>267</v>
      </c>
      <c r="Q80" s="10" t="s">
        <v>126</v>
      </c>
      <c r="R80" s="10"/>
      <c r="S80" s="19" t="s">
        <v>981</v>
      </c>
      <c r="T80" s="19" t="s">
        <v>950</v>
      </c>
      <c r="U80" s="10" t="s">
        <v>321</v>
      </c>
      <c r="V80" s="10" t="s">
        <v>334</v>
      </c>
      <c r="W80" s="10" t="s">
        <v>272</v>
      </c>
      <c r="X80" s="10" t="s">
        <v>130</v>
      </c>
      <c r="Y80" s="10" t="s">
        <v>130</v>
      </c>
      <c r="Z80" s="10" t="s">
        <v>99</v>
      </c>
      <c r="AA80" s="10" t="s">
        <v>131</v>
      </c>
      <c r="AB80" s="10" t="s">
        <v>273</v>
      </c>
      <c r="AC80" s="10" t="s">
        <v>274</v>
      </c>
      <c r="AD80" s="10" t="s">
        <v>982</v>
      </c>
      <c r="AE80" s="10" t="s">
        <v>983</v>
      </c>
      <c r="AF80" s="15"/>
      <c r="AG80" s="10"/>
      <c r="AH80" s="10"/>
      <c r="AI80" s="10"/>
      <c r="AJ80" s="10" t="s">
        <v>984</v>
      </c>
      <c r="AK80" s="10" t="s">
        <v>102</v>
      </c>
      <c r="AL80" s="10" t="s">
        <v>184</v>
      </c>
      <c r="AM80" s="10"/>
      <c r="AN80" s="10"/>
      <c r="AO80" s="13" t="b">
        <v>1</v>
      </c>
      <c r="AP80" s="10" t="s">
        <v>104</v>
      </c>
      <c r="AQ80" s="10">
        <f ca="1">IFERROR(__xludf.DUMMYFUNCTION("""COMPUTED_VALUE"""),4627660)</f>
        <v>4627660</v>
      </c>
      <c r="AR80" s="17">
        <v>126763</v>
      </c>
      <c r="AS80" s="17">
        <v>87858</v>
      </c>
      <c r="AT80" s="17">
        <v>2035591.5</v>
      </c>
      <c r="AU80" s="17">
        <v>507.15</v>
      </c>
      <c r="AV80" s="17">
        <v>96.1</v>
      </c>
      <c r="AW80" s="10" t="s">
        <v>105</v>
      </c>
      <c r="AX80" s="17">
        <v>31288</v>
      </c>
      <c r="AY80" s="18">
        <v>23.169108106262378</v>
      </c>
      <c r="AZ80" s="10" t="s">
        <v>148</v>
      </c>
      <c r="BA80" s="20" t="b">
        <v>0</v>
      </c>
      <c r="BB80" s="10"/>
      <c r="BC80" s="17">
        <v>126763</v>
      </c>
      <c r="BD80" s="17">
        <v>87858</v>
      </c>
      <c r="BE80" s="17">
        <v>2035591.5</v>
      </c>
      <c r="BF80" s="17">
        <v>96.1</v>
      </c>
      <c r="BG80" s="11">
        <f ca="1">IFERROR(__xludf.DUMMYFUNCTION("""COMPUTED_VALUE"""),45935.9166666666)</f>
        <v>45935.916666666599</v>
      </c>
      <c r="BH80" s="17" t="s">
        <v>105</v>
      </c>
      <c r="BI80" s="17"/>
      <c r="BJ80" s="15"/>
      <c r="BK80" s="15"/>
      <c r="BL80" s="13" t="b">
        <v>1</v>
      </c>
      <c r="BM80" s="10"/>
      <c r="BN80" s="10" t="s">
        <v>351</v>
      </c>
      <c r="BO80" s="11">
        <v>45826.71597222222</v>
      </c>
      <c r="BP80" s="11">
        <v>45930.663958333331</v>
      </c>
      <c r="BQ80" s="15">
        <v>45932.71775462963</v>
      </c>
      <c r="BR80" s="15">
        <v>45933.908171296294</v>
      </c>
      <c r="BS80" s="10"/>
      <c r="BT80" s="10" t="s">
        <v>279</v>
      </c>
      <c r="BU80" s="10" t="s">
        <v>298</v>
      </c>
      <c r="BV80" s="10" t="s">
        <v>124</v>
      </c>
      <c r="BW80" s="10"/>
      <c r="BX80" s="10"/>
      <c r="BY80" s="23"/>
      <c r="BZ80" s="24" t="s">
        <v>284</v>
      </c>
      <c r="CA80" s="19" t="s">
        <v>985</v>
      </c>
      <c r="CB80" s="19" t="s">
        <v>986</v>
      </c>
      <c r="CC80" s="23"/>
      <c r="CD80" s="19" t="s">
        <v>987</v>
      </c>
      <c r="CE80" s="23"/>
      <c r="CF80" s="23"/>
      <c r="CG80" s="23"/>
      <c r="CH80" s="23"/>
      <c r="CI80" s="23"/>
    </row>
    <row r="81" spans="1:87" x14ac:dyDescent="0.3">
      <c r="A81" s="9" t="s">
        <v>988</v>
      </c>
      <c r="B81" s="10" t="s">
        <v>989</v>
      </c>
      <c r="C81" s="11">
        <v>45934.979166666664</v>
      </c>
      <c r="D81" s="12">
        <v>8.3333333333333329E-2</v>
      </c>
      <c r="E81" s="11">
        <v>45935.0625</v>
      </c>
      <c r="F81" s="10" t="s">
        <v>262</v>
      </c>
      <c r="G81" s="13" t="b">
        <v>1</v>
      </c>
      <c r="H81" s="10" t="s">
        <v>263</v>
      </c>
      <c r="I81" s="10" t="s">
        <v>264</v>
      </c>
      <c r="J81" s="13" t="b">
        <v>0</v>
      </c>
      <c r="K81" s="13" t="b">
        <v>1</v>
      </c>
      <c r="L81" s="10" t="s">
        <v>358</v>
      </c>
      <c r="M81" s="10" t="s">
        <v>91</v>
      </c>
      <c r="N81" s="10" t="s">
        <v>265</v>
      </c>
      <c r="O81" s="19" t="s">
        <v>990</v>
      </c>
      <c r="P81" s="10" t="s">
        <v>885</v>
      </c>
      <c r="Q81" s="10" t="s">
        <v>126</v>
      </c>
      <c r="R81" s="10"/>
      <c r="S81" s="19" t="s">
        <v>991</v>
      </c>
      <c r="T81" s="19" t="s">
        <v>950</v>
      </c>
      <c r="U81" s="10" t="s">
        <v>346</v>
      </c>
      <c r="V81" s="10" t="s">
        <v>270</v>
      </c>
      <c r="W81" s="10" t="s">
        <v>272</v>
      </c>
      <c r="X81" s="10" t="s">
        <v>130</v>
      </c>
      <c r="Y81" s="10" t="s">
        <v>130</v>
      </c>
      <c r="Z81" s="10" t="s">
        <v>99</v>
      </c>
      <c r="AA81" s="10" t="s">
        <v>131</v>
      </c>
      <c r="AB81" s="10" t="s">
        <v>273</v>
      </c>
      <c r="AC81" s="10" t="s">
        <v>274</v>
      </c>
      <c r="AD81" s="10" t="s">
        <v>992</v>
      </c>
      <c r="AE81" s="10" t="s">
        <v>993</v>
      </c>
      <c r="AF81" s="15"/>
      <c r="AG81" s="10"/>
      <c r="AH81" s="10"/>
      <c r="AI81" s="10"/>
      <c r="AJ81" s="10" t="s">
        <v>994</v>
      </c>
      <c r="AK81" s="10" t="s">
        <v>102</v>
      </c>
      <c r="AL81" s="10" t="s">
        <v>184</v>
      </c>
      <c r="AM81" s="10"/>
      <c r="AN81" s="10"/>
      <c r="AO81" s="13" t="b">
        <v>1</v>
      </c>
      <c r="AP81" s="10" t="s">
        <v>104</v>
      </c>
      <c r="AQ81" s="10">
        <f ca="1">IFERROR(__xludf.DUMMYFUNCTION("""COMPUTED_VALUE"""),4626718)</f>
        <v>4626718</v>
      </c>
      <c r="AR81" s="17">
        <v>271319</v>
      </c>
      <c r="AS81" s="17">
        <v>206418</v>
      </c>
      <c r="AT81" s="17">
        <v>5392489.25</v>
      </c>
      <c r="AU81" s="17">
        <v>2554.1</v>
      </c>
      <c r="AV81" s="17">
        <v>559.5</v>
      </c>
      <c r="AW81" s="10" t="s">
        <v>105</v>
      </c>
      <c r="AX81" s="17">
        <v>92085</v>
      </c>
      <c r="AY81" s="18">
        <v>26.124123138485984</v>
      </c>
      <c r="AZ81" s="10" t="s">
        <v>148</v>
      </c>
      <c r="BA81" s="20" t="b">
        <v>0</v>
      </c>
      <c r="BB81" s="10"/>
      <c r="BC81" s="17">
        <v>271319</v>
      </c>
      <c r="BD81" s="17">
        <v>206418</v>
      </c>
      <c r="BE81" s="17">
        <v>5392489.25</v>
      </c>
      <c r="BF81" s="17">
        <v>559.5</v>
      </c>
      <c r="BG81" s="11">
        <f ca="1">IFERROR(__xludf.DUMMYFUNCTION("""COMPUTED_VALUE"""),45934.9583333333)</f>
        <v>45934.958333333299</v>
      </c>
      <c r="BH81" s="17" t="s">
        <v>105</v>
      </c>
      <c r="BI81" s="17"/>
      <c r="BJ81" s="15"/>
      <c r="BK81" s="15"/>
      <c r="BL81" s="13" t="b">
        <v>0</v>
      </c>
      <c r="BM81" s="10"/>
      <c r="BN81" s="10" t="s">
        <v>667</v>
      </c>
      <c r="BO81" s="11">
        <v>45826.716666666667</v>
      </c>
      <c r="BP81" s="11">
        <v>45930.662199074075</v>
      </c>
      <c r="BQ81" s="15">
        <v>45932.717037037037</v>
      </c>
      <c r="BR81" s="15">
        <v>45932.756562499999</v>
      </c>
      <c r="BS81" s="10" t="s">
        <v>667</v>
      </c>
      <c r="BT81" s="10" t="s">
        <v>279</v>
      </c>
      <c r="BU81" s="10" t="s">
        <v>816</v>
      </c>
      <c r="BV81" s="10" t="s">
        <v>499</v>
      </c>
      <c r="BW81" s="10"/>
      <c r="BX81" s="10"/>
      <c r="BY81" s="23"/>
      <c r="BZ81" s="24" t="s">
        <v>368</v>
      </c>
      <c r="CA81" s="19" t="s">
        <v>995</v>
      </c>
      <c r="CB81" s="19" t="s">
        <v>996</v>
      </c>
      <c r="CC81" s="23"/>
      <c r="CD81" s="19" t="s">
        <v>997</v>
      </c>
      <c r="CE81" s="23"/>
      <c r="CF81" s="23"/>
      <c r="CG81" s="23"/>
      <c r="CH81" s="23"/>
      <c r="CI81" s="23"/>
    </row>
    <row r="82" spans="1:87" x14ac:dyDescent="0.3">
      <c r="A82" s="9" t="s">
        <v>998</v>
      </c>
      <c r="B82" s="10" t="s">
        <v>999</v>
      </c>
      <c r="C82" s="11">
        <v>45935.833333333336</v>
      </c>
      <c r="D82" s="12">
        <v>8.3333333333333329E-2</v>
      </c>
      <c r="E82" s="11">
        <v>45935.916666666664</v>
      </c>
      <c r="F82" s="10" t="s">
        <v>262</v>
      </c>
      <c r="G82" s="13" t="b">
        <v>1</v>
      </c>
      <c r="H82" s="10" t="s">
        <v>263</v>
      </c>
      <c r="I82" s="10" t="s">
        <v>264</v>
      </c>
      <c r="J82" s="13" t="b">
        <v>0</v>
      </c>
      <c r="K82" s="13" t="b">
        <v>1</v>
      </c>
      <c r="L82" s="10" t="s">
        <v>124</v>
      </c>
      <c r="M82" s="10" t="s">
        <v>91</v>
      </c>
      <c r="N82" s="10" t="s">
        <v>265</v>
      </c>
      <c r="O82" s="19" t="s">
        <v>1000</v>
      </c>
      <c r="P82" s="10"/>
      <c r="Q82" s="10" t="s">
        <v>126</v>
      </c>
      <c r="R82" s="10"/>
      <c r="S82" s="19" t="s">
        <v>1001</v>
      </c>
      <c r="T82" s="19" t="s">
        <v>950</v>
      </c>
      <c r="U82" s="10" t="s">
        <v>407</v>
      </c>
      <c r="V82" s="10" t="s">
        <v>347</v>
      </c>
      <c r="W82" s="10" t="s">
        <v>272</v>
      </c>
      <c r="X82" s="10" t="s">
        <v>130</v>
      </c>
      <c r="Y82" s="10" t="s">
        <v>130</v>
      </c>
      <c r="Z82" s="10" t="s">
        <v>99</v>
      </c>
      <c r="AA82" s="10" t="s">
        <v>131</v>
      </c>
      <c r="AB82" s="10" t="s">
        <v>273</v>
      </c>
      <c r="AC82" s="10" t="s">
        <v>274</v>
      </c>
      <c r="AD82" s="10" t="s">
        <v>1002</v>
      </c>
      <c r="AE82" s="10" t="s">
        <v>1003</v>
      </c>
      <c r="AF82" s="15"/>
      <c r="AG82" s="10"/>
      <c r="AH82" s="10"/>
      <c r="AI82" s="10"/>
      <c r="AJ82" s="10" t="s">
        <v>1004</v>
      </c>
      <c r="AK82" s="10" t="s">
        <v>102</v>
      </c>
      <c r="AL82" s="10" t="s">
        <v>184</v>
      </c>
      <c r="AM82" s="10"/>
      <c r="AN82" s="10"/>
      <c r="AO82" s="13" t="b">
        <v>0</v>
      </c>
      <c r="AP82" s="10" t="s">
        <v>104</v>
      </c>
      <c r="AQ82" s="10">
        <f ca="1">IFERROR(__xludf.DUMMYFUNCTION("""COMPUTED_VALUE"""),4626722)</f>
        <v>4626722</v>
      </c>
      <c r="AR82" s="17">
        <v>98812</v>
      </c>
      <c r="AS82" s="17">
        <v>57194</v>
      </c>
      <c r="AT82" s="17">
        <v>1988106</v>
      </c>
      <c r="AU82" s="17">
        <v>234.55</v>
      </c>
      <c r="AV82" s="17">
        <v>37.4</v>
      </c>
      <c r="AW82" s="10" t="s">
        <v>105</v>
      </c>
      <c r="AX82" s="17">
        <v>20291</v>
      </c>
      <c r="AY82" s="18">
        <v>34.76074413400007</v>
      </c>
      <c r="AZ82" s="10" t="s">
        <v>148</v>
      </c>
      <c r="BA82" s="20" t="b">
        <v>0</v>
      </c>
      <c r="BB82" s="10"/>
      <c r="BC82" s="17">
        <v>98812</v>
      </c>
      <c r="BD82" s="17">
        <v>57194</v>
      </c>
      <c r="BE82" s="17">
        <v>1988106</v>
      </c>
      <c r="BF82" s="17">
        <v>37.4</v>
      </c>
      <c r="BG82" s="11">
        <f ca="1">IFERROR(__xludf.DUMMYFUNCTION("""COMPUTED_VALUE"""),45935.8125)</f>
        <v>45935.8125</v>
      </c>
      <c r="BH82" s="17" t="s">
        <v>105</v>
      </c>
      <c r="BI82" s="17"/>
      <c r="BJ82" s="15"/>
      <c r="BK82" s="15"/>
      <c r="BL82" s="13" t="b">
        <v>1</v>
      </c>
      <c r="BM82" s="10"/>
      <c r="BN82" s="10" t="s">
        <v>351</v>
      </c>
      <c r="BO82" s="11">
        <v>45826.717361111114</v>
      </c>
      <c r="BP82" s="11">
        <v>45930.728437500002</v>
      </c>
      <c r="BQ82" s="15">
        <v>45932.71733796296</v>
      </c>
      <c r="BR82" s="15">
        <v>45932.761296296296</v>
      </c>
      <c r="BS82" s="10"/>
      <c r="BT82" s="10" t="s">
        <v>279</v>
      </c>
      <c r="BU82" s="10" t="s">
        <v>793</v>
      </c>
      <c r="BV82" s="10"/>
      <c r="BW82" s="10"/>
      <c r="BX82" s="10"/>
      <c r="BY82" s="23"/>
      <c r="BZ82" s="24" t="s">
        <v>299</v>
      </c>
      <c r="CA82" s="19" t="s">
        <v>1005</v>
      </c>
      <c r="CB82" s="19" t="s">
        <v>1006</v>
      </c>
      <c r="CC82" s="23"/>
      <c r="CD82" s="19" t="s">
        <v>1007</v>
      </c>
      <c r="CE82" s="23"/>
      <c r="CF82" s="23"/>
      <c r="CG82" s="23"/>
      <c r="CH82" s="23"/>
      <c r="CI82" s="23"/>
    </row>
    <row r="83" spans="1:87" x14ac:dyDescent="0.3">
      <c r="A83" s="9" t="s">
        <v>1008</v>
      </c>
      <c r="B83" s="10" t="s">
        <v>1009</v>
      </c>
      <c r="C83" s="11">
        <v>45934.770833333336</v>
      </c>
      <c r="D83" s="12">
        <v>8.3333333333333329E-2</v>
      </c>
      <c r="E83" s="11">
        <v>45934.854166666664</v>
      </c>
      <c r="F83" s="10" t="s">
        <v>262</v>
      </c>
      <c r="G83" s="13" t="b">
        <v>1</v>
      </c>
      <c r="H83" s="10" t="s">
        <v>263</v>
      </c>
      <c r="I83" s="10" t="s">
        <v>264</v>
      </c>
      <c r="J83" s="13" t="b">
        <v>0</v>
      </c>
      <c r="K83" s="13" t="b">
        <v>1</v>
      </c>
      <c r="L83" s="10" t="s">
        <v>124</v>
      </c>
      <c r="M83" s="10" t="s">
        <v>91</v>
      </c>
      <c r="N83" s="10" t="s">
        <v>265</v>
      </c>
      <c r="O83" s="19" t="s">
        <v>1010</v>
      </c>
      <c r="P83" s="10" t="s">
        <v>1011</v>
      </c>
      <c r="Q83" s="10" t="s">
        <v>126</v>
      </c>
      <c r="R83" s="10"/>
      <c r="S83" s="19" t="s">
        <v>1012</v>
      </c>
      <c r="T83" s="19" t="s">
        <v>950</v>
      </c>
      <c r="U83" s="10" t="s">
        <v>663</v>
      </c>
      <c r="V83" s="10" t="s">
        <v>429</v>
      </c>
      <c r="W83" s="10" t="s">
        <v>272</v>
      </c>
      <c r="X83" s="10" t="s">
        <v>130</v>
      </c>
      <c r="Y83" s="10" t="s">
        <v>130</v>
      </c>
      <c r="Z83" s="10" t="s">
        <v>99</v>
      </c>
      <c r="AA83" s="10" t="s">
        <v>131</v>
      </c>
      <c r="AB83" s="10" t="s">
        <v>273</v>
      </c>
      <c r="AC83" s="10" t="s">
        <v>274</v>
      </c>
      <c r="AD83" s="10" t="s">
        <v>1013</v>
      </c>
      <c r="AE83" s="10" t="s">
        <v>1014</v>
      </c>
      <c r="AF83" s="15"/>
      <c r="AG83" s="10"/>
      <c r="AH83" s="10"/>
      <c r="AI83" s="10"/>
      <c r="AJ83" s="10" t="s">
        <v>1015</v>
      </c>
      <c r="AK83" s="10" t="s">
        <v>102</v>
      </c>
      <c r="AL83" s="10" t="s">
        <v>184</v>
      </c>
      <c r="AM83" s="10"/>
      <c r="AN83" s="10"/>
      <c r="AO83" s="13" t="b">
        <v>1</v>
      </c>
      <c r="AP83" s="10" t="s">
        <v>104</v>
      </c>
      <c r="AQ83" s="10">
        <f ca="1">IFERROR(__xludf.DUMMYFUNCTION("""COMPUTED_VALUE"""),4626714)</f>
        <v>4626714</v>
      </c>
      <c r="AR83" s="17">
        <v>184767</v>
      </c>
      <c r="AS83" s="17">
        <v>112765</v>
      </c>
      <c r="AT83" s="17">
        <v>4150232.5</v>
      </c>
      <c r="AU83" s="17">
        <v>1562.75</v>
      </c>
      <c r="AV83" s="17">
        <v>261.95</v>
      </c>
      <c r="AW83" s="10" t="s">
        <v>105</v>
      </c>
      <c r="AX83" s="17">
        <v>38771</v>
      </c>
      <c r="AY83" s="18">
        <v>36.80426107391478</v>
      </c>
      <c r="AZ83" s="10" t="s">
        <v>148</v>
      </c>
      <c r="BA83" s="20" t="b">
        <v>0</v>
      </c>
      <c r="BB83" s="10"/>
      <c r="BC83" s="17">
        <v>184767</v>
      </c>
      <c r="BD83" s="17">
        <v>112765</v>
      </c>
      <c r="BE83" s="17">
        <v>4150232.5</v>
      </c>
      <c r="BF83" s="17">
        <v>261.95</v>
      </c>
      <c r="BG83" s="11">
        <f ca="1">IFERROR(__xludf.DUMMYFUNCTION("""COMPUTED_VALUE"""),45934.75)</f>
        <v>45934.75</v>
      </c>
      <c r="BH83" s="17" t="s">
        <v>105</v>
      </c>
      <c r="BI83" s="17"/>
      <c r="BJ83" s="15"/>
      <c r="BK83" s="15"/>
      <c r="BL83" s="13" t="b">
        <v>0</v>
      </c>
      <c r="BM83" s="10"/>
      <c r="BN83" s="10" t="s">
        <v>157</v>
      </c>
      <c r="BO83" s="11">
        <v>45826.717361111114</v>
      </c>
      <c r="BP83" s="11">
        <v>45930.660567129627</v>
      </c>
      <c r="BQ83" s="15">
        <v>45932.716469907406</v>
      </c>
      <c r="BR83" s="15">
        <v>45932.755810185183</v>
      </c>
      <c r="BS83" s="10" t="s">
        <v>157</v>
      </c>
      <c r="BT83" s="10" t="s">
        <v>279</v>
      </c>
      <c r="BU83" s="10" t="s">
        <v>718</v>
      </c>
      <c r="BV83" s="10"/>
      <c r="BW83" s="10"/>
      <c r="BX83" s="10"/>
      <c r="BY83" s="23"/>
      <c r="BZ83" s="24" t="s">
        <v>284</v>
      </c>
      <c r="CA83" s="19" t="s">
        <v>1016</v>
      </c>
      <c r="CB83" s="19" t="s">
        <v>1017</v>
      </c>
      <c r="CC83" s="23"/>
      <c r="CD83" s="19" t="s">
        <v>1018</v>
      </c>
      <c r="CE83" s="23"/>
      <c r="CF83" s="23"/>
      <c r="CG83" s="23"/>
      <c r="CH83" s="23"/>
      <c r="CI83" s="23"/>
    </row>
    <row r="84" spans="1:87" x14ac:dyDescent="0.3">
      <c r="A84" s="9" t="s">
        <v>1019</v>
      </c>
      <c r="B84" s="10" t="s">
        <v>1020</v>
      </c>
      <c r="C84" s="11">
        <v>45934.875</v>
      </c>
      <c r="D84" s="12">
        <v>8.3333333333333329E-2</v>
      </c>
      <c r="E84" s="11">
        <v>45934.958333333336</v>
      </c>
      <c r="F84" s="10" t="s">
        <v>262</v>
      </c>
      <c r="G84" s="13" t="b">
        <v>1</v>
      </c>
      <c r="H84" s="10" t="s">
        <v>263</v>
      </c>
      <c r="I84" s="10" t="s">
        <v>264</v>
      </c>
      <c r="J84" s="13" t="b">
        <v>0</v>
      </c>
      <c r="K84" s="13" t="b">
        <v>1</v>
      </c>
      <c r="L84" s="10" t="s">
        <v>124</v>
      </c>
      <c r="M84" s="10" t="s">
        <v>91</v>
      </c>
      <c r="N84" s="10" t="s">
        <v>265</v>
      </c>
      <c r="O84" s="19" t="s">
        <v>1021</v>
      </c>
      <c r="P84" s="10"/>
      <c r="Q84" s="10" t="s">
        <v>126</v>
      </c>
      <c r="R84" s="10"/>
      <c r="S84" s="19" t="s">
        <v>1022</v>
      </c>
      <c r="T84" s="19" t="s">
        <v>950</v>
      </c>
      <c r="U84" s="10" t="s">
        <v>361</v>
      </c>
      <c r="V84" s="10" t="s">
        <v>588</v>
      </c>
      <c r="W84" s="10" t="s">
        <v>272</v>
      </c>
      <c r="X84" s="10" t="s">
        <v>130</v>
      </c>
      <c r="Y84" s="10" t="s">
        <v>130</v>
      </c>
      <c r="Z84" s="10" t="s">
        <v>99</v>
      </c>
      <c r="AA84" s="10" t="s">
        <v>131</v>
      </c>
      <c r="AB84" s="10" t="s">
        <v>273</v>
      </c>
      <c r="AC84" s="10" t="s">
        <v>274</v>
      </c>
      <c r="AD84" s="10" t="s">
        <v>1023</v>
      </c>
      <c r="AE84" s="10" t="s">
        <v>1024</v>
      </c>
      <c r="AF84" s="15"/>
      <c r="AG84" s="10"/>
      <c r="AH84" s="10"/>
      <c r="AI84" s="10"/>
      <c r="AJ84" s="10" t="s">
        <v>1025</v>
      </c>
      <c r="AK84" s="10" t="s">
        <v>102</v>
      </c>
      <c r="AL84" s="10" t="s">
        <v>184</v>
      </c>
      <c r="AM84" s="10"/>
      <c r="AN84" s="10"/>
      <c r="AO84" s="13" t="b">
        <v>1</v>
      </c>
      <c r="AP84" s="10" t="s">
        <v>104</v>
      </c>
      <c r="AQ84" s="10">
        <f ca="1">IFERROR(__xludf.DUMMYFUNCTION("""COMPUTED_VALUE"""),4626715)</f>
        <v>4626715</v>
      </c>
      <c r="AR84" s="17">
        <v>383771</v>
      </c>
      <c r="AS84" s="17">
        <v>197167</v>
      </c>
      <c r="AT84" s="17">
        <v>9347940.75</v>
      </c>
      <c r="AU84" s="17">
        <v>5666</v>
      </c>
      <c r="AV84" s="17">
        <v>980.55</v>
      </c>
      <c r="AW84" s="10" t="s">
        <v>297</v>
      </c>
      <c r="AX84" s="17">
        <v>93870</v>
      </c>
      <c r="AY84" s="18">
        <v>47.411284596306686</v>
      </c>
      <c r="AZ84" s="10" t="s">
        <v>148</v>
      </c>
      <c r="BA84" s="20" t="b">
        <v>0</v>
      </c>
      <c r="BB84" s="10"/>
      <c r="BC84" s="17">
        <v>383771</v>
      </c>
      <c r="BD84" s="17">
        <v>197167</v>
      </c>
      <c r="BE84" s="17">
        <v>9347940.75</v>
      </c>
      <c r="BF84" s="17">
        <v>980.55</v>
      </c>
      <c r="BG84" s="11">
        <f ca="1">IFERROR(__xludf.DUMMYFUNCTION("""COMPUTED_VALUE"""),45934.8541666666)</f>
        <v>45934.854166666599</v>
      </c>
      <c r="BH84" s="17" t="s">
        <v>297</v>
      </c>
      <c r="BI84" s="17"/>
      <c r="BJ84" s="15"/>
      <c r="BK84" s="15"/>
      <c r="BL84" s="13" t="b">
        <v>1</v>
      </c>
      <c r="BM84" s="10"/>
      <c r="BN84" s="10" t="s">
        <v>351</v>
      </c>
      <c r="BO84" s="11">
        <v>45826.717361111114</v>
      </c>
      <c r="BP84" s="11">
        <v>45930.661666666667</v>
      </c>
      <c r="BQ84" s="15">
        <v>45932.71671296296</v>
      </c>
      <c r="BR84" s="15">
        <v>45932.756192129629</v>
      </c>
      <c r="BS84" s="10"/>
      <c r="BT84" s="10" t="s">
        <v>279</v>
      </c>
      <c r="BU84" s="10" t="s">
        <v>298</v>
      </c>
      <c r="BV84" s="10" t="s">
        <v>281</v>
      </c>
      <c r="BW84" s="10"/>
      <c r="BX84" s="10"/>
      <c r="BY84" s="23"/>
      <c r="BZ84" s="24" t="s">
        <v>284</v>
      </c>
      <c r="CA84" s="19" t="s">
        <v>1026</v>
      </c>
      <c r="CB84" s="19" t="s">
        <v>1027</v>
      </c>
      <c r="CC84" s="23"/>
      <c r="CD84" s="19" t="s">
        <v>1028</v>
      </c>
      <c r="CE84" s="23"/>
      <c r="CF84" s="23"/>
      <c r="CG84" s="23"/>
      <c r="CH84" s="23"/>
      <c r="CI84" s="23"/>
    </row>
    <row r="85" spans="1:87" x14ac:dyDescent="0.3">
      <c r="A85" s="9" t="s">
        <v>1029</v>
      </c>
      <c r="B85" s="10" t="s">
        <v>1030</v>
      </c>
      <c r="C85" s="11">
        <v>45935.833333333336</v>
      </c>
      <c r="D85" s="12">
        <v>8.3333333333333329E-2</v>
      </c>
      <c r="E85" s="11">
        <v>45935.916666666664</v>
      </c>
      <c r="F85" s="10" t="s">
        <v>262</v>
      </c>
      <c r="G85" s="13" t="b">
        <v>0</v>
      </c>
      <c r="H85" s="10" t="s">
        <v>305</v>
      </c>
      <c r="I85" s="10" t="s">
        <v>264</v>
      </c>
      <c r="J85" s="13" t="b">
        <v>0</v>
      </c>
      <c r="K85" s="13" t="b">
        <v>1</v>
      </c>
      <c r="L85" s="10" t="s">
        <v>124</v>
      </c>
      <c r="M85" s="10" t="s">
        <v>91</v>
      </c>
      <c r="N85" s="10" t="s">
        <v>265</v>
      </c>
      <c r="O85" s="19" t="s">
        <v>1031</v>
      </c>
      <c r="P85" s="10" t="s">
        <v>267</v>
      </c>
      <c r="Q85" s="10" t="s">
        <v>126</v>
      </c>
      <c r="R85" s="10"/>
      <c r="S85" s="19" t="s">
        <v>1032</v>
      </c>
      <c r="T85" s="19" t="s">
        <v>950</v>
      </c>
      <c r="U85" s="10" t="s">
        <v>293</v>
      </c>
      <c r="V85" s="10" t="s">
        <v>320</v>
      </c>
      <c r="W85" s="10" t="s">
        <v>272</v>
      </c>
      <c r="X85" s="10" t="s">
        <v>130</v>
      </c>
      <c r="Y85" s="10" t="s">
        <v>130</v>
      </c>
      <c r="Z85" s="10" t="s">
        <v>99</v>
      </c>
      <c r="AA85" s="10" t="s">
        <v>131</v>
      </c>
      <c r="AB85" s="10" t="s">
        <v>273</v>
      </c>
      <c r="AC85" s="10" t="s">
        <v>274</v>
      </c>
      <c r="AD85" s="10" t="s">
        <v>1033</v>
      </c>
      <c r="AE85" s="10" t="s">
        <v>1034</v>
      </c>
      <c r="AF85" s="15"/>
      <c r="AG85" s="10"/>
      <c r="AH85" s="10"/>
      <c r="AI85" s="10"/>
      <c r="AJ85" s="10" t="s">
        <v>1035</v>
      </c>
      <c r="AK85" s="10" t="s">
        <v>102</v>
      </c>
      <c r="AL85" s="10" t="s">
        <v>184</v>
      </c>
      <c r="AM85" s="10"/>
      <c r="AN85" s="10"/>
      <c r="AO85" s="13" t="b">
        <v>0</v>
      </c>
      <c r="AP85" s="10" t="s">
        <v>104</v>
      </c>
      <c r="AQ85" s="10">
        <f ca="1">IFERROR(__xludf.DUMMYFUNCTION("""COMPUTED_VALUE"""),4626724)</f>
        <v>4626724</v>
      </c>
      <c r="AR85" s="17">
        <v>70105</v>
      </c>
      <c r="AS85" s="17">
        <v>43778</v>
      </c>
      <c r="AT85" s="17">
        <v>1040127</v>
      </c>
      <c r="AU85" s="17">
        <v>165.45</v>
      </c>
      <c r="AV85" s="17">
        <v>30.25</v>
      </c>
      <c r="AW85" s="10" t="s">
        <v>105</v>
      </c>
      <c r="AX85" s="17">
        <v>13153</v>
      </c>
      <c r="AY85" s="18">
        <v>23.759125588194983</v>
      </c>
      <c r="AZ85" s="10" t="s">
        <v>148</v>
      </c>
      <c r="BA85" s="20" t="b">
        <v>0</v>
      </c>
      <c r="BB85" s="10"/>
      <c r="BC85" s="17">
        <v>70105</v>
      </c>
      <c r="BD85" s="17">
        <v>43778</v>
      </c>
      <c r="BE85" s="17">
        <v>1040127</v>
      </c>
      <c r="BF85" s="17">
        <v>30.25</v>
      </c>
      <c r="BG85" s="11">
        <f ca="1">IFERROR(__xludf.DUMMYFUNCTION("""COMPUTED_VALUE"""),45935.8333333333)</f>
        <v>45935.833333333299</v>
      </c>
      <c r="BH85" s="17" t="s">
        <v>105</v>
      </c>
      <c r="BI85" s="17"/>
      <c r="BJ85" s="15"/>
      <c r="BK85" s="15"/>
      <c r="BL85" s="13" t="b">
        <v>1</v>
      </c>
      <c r="BM85" s="10"/>
      <c r="BN85" s="10" t="s">
        <v>351</v>
      </c>
      <c r="BO85" s="11">
        <v>45826.718055555553</v>
      </c>
      <c r="BP85" s="11">
        <v>45930.728703703702</v>
      </c>
      <c r="BQ85" s="15">
        <v>45932.717488425929</v>
      </c>
      <c r="BR85" s="15">
        <v>45932.761469907404</v>
      </c>
      <c r="BS85" s="10"/>
      <c r="BT85" s="10" t="s">
        <v>279</v>
      </c>
      <c r="BU85" s="10" t="s">
        <v>655</v>
      </c>
      <c r="BV85" s="10"/>
      <c r="BW85" s="10"/>
      <c r="BX85" s="10"/>
      <c r="BY85" s="23"/>
      <c r="BZ85" s="24" t="s">
        <v>299</v>
      </c>
      <c r="CA85" s="19" t="s">
        <v>1036</v>
      </c>
      <c r="CB85" s="19" t="s">
        <v>1037</v>
      </c>
      <c r="CC85" s="23"/>
      <c r="CD85" s="19" t="s">
        <v>1038</v>
      </c>
      <c r="CE85" s="23"/>
      <c r="CF85" s="23"/>
      <c r="CG85" s="23"/>
      <c r="CH85" s="23"/>
      <c r="CI85" s="23"/>
    </row>
    <row r="86" spans="1:87" x14ac:dyDescent="0.3">
      <c r="A86" s="9" t="s">
        <v>1039</v>
      </c>
      <c r="B86" s="10" t="s">
        <v>1040</v>
      </c>
      <c r="C86" s="11">
        <v>45935.833333333336</v>
      </c>
      <c r="D86" s="12">
        <v>8.3333333333333329E-2</v>
      </c>
      <c r="E86" s="11">
        <v>45935.916666666664</v>
      </c>
      <c r="F86" s="10" t="s">
        <v>262</v>
      </c>
      <c r="G86" s="13" t="b">
        <v>0</v>
      </c>
      <c r="H86" s="10" t="s">
        <v>527</v>
      </c>
      <c r="I86" s="10" t="s">
        <v>264</v>
      </c>
      <c r="J86" s="13" t="b">
        <v>0</v>
      </c>
      <c r="K86" s="13" t="b">
        <v>1</v>
      </c>
      <c r="L86" s="10" t="s">
        <v>124</v>
      </c>
      <c r="M86" s="10" t="s">
        <v>91</v>
      </c>
      <c r="N86" s="10" t="s">
        <v>265</v>
      </c>
      <c r="O86" s="19" t="s">
        <v>1041</v>
      </c>
      <c r="P86" s="10"/>
      <c r="Q86" s="10" t="s">
        <v>126</v>
      </c>
      <c r="R86" s="10"/>
      <c r="S86" s="19" t="s">
        <v>1042</v>
      </c>
      <c r="T86" s="19" t="s">
        <v>950</v>
      </c>
      <c r="U86" s="10" t="s">
        <v>333</v>
      </c>
      <c r="V86" s="10" t="s">
        <v>308</v>
      </c>
      <c r="W86" s="10" t="s">
        <v>272</v>
      </c>
      <c r="X86" s="10" t="s">
        <v>130</v>
      </c>
      <c r="Y86" s="10" t="s">
        <v>130</v>
      </c>
      <c r="Z86" s="10" t="s">
        <v>99</v>
      </c>
      <c r="AA86" s="10" t="s">
        <v>131</v>
      </c>
      <c r="AB86" s="10" t="s">
        <v>273</v>
      </c>
      <c r="AC86" s="10" t="s">
        <v>274</v>
      </c>
      <c r="AD86" s="10" t="s">
        <v>1043</v>
      </c>
      <c r="AE86" s="10" t="s">
        <v>1044</v>
      </c>
      <c r="AF86" s="15"/>
      <c r="AG86" s="10"/>
      <c r="AH86" s="10"/>
      <c r="AI86" s="10"/>
      <c r="AJ86" s="10" t="s">
        <v>1045</v>
      </c>
      <c r="AK86" s="10" t="s">
        <v>102</v>
      </c>
      <c r="AL86" s="10" t="s">
        <v>184</v>
      </c>
      <c r="AM86" s="10"/>
      <c r="AN86" s="10"/>
      <c r="AO86" s="13" t="b">
        <v>0</v>
      </c>
      <c r="AP86" s="10" t="s">
        <v>104</v>
      </c>
      <c r="AQ86" s="10">
        <f ca="1">IFERROR(__xludf.DUMMYFUNCTION("""COMPUTED_VALUE"""),4626726)</f>
        <v>4626726</v>
      </c>
      <c r="AR86" s="17">
        <v>22838</v>
      </c>
      <c r="AS86" s="17">
        <v>14989</v>
      </c>
      <c r="AT86" s="17">
        <v>115422.75</v>
      </c>
      <c r="AU86" s="17">
        <v>25.1</v>
      </c>
      <c r="AV86" s="17">
        <v>4.0999999999999996</v>
      </c>
      <c r="AW86" s="10" t="s">
        <v>105</v>
      </c>
      <c r="AX86" s="17">
        <v>2723</v>
      </c>
      <c r="AY86" s="18">
        <v>7.7004970311561811</v>
      </c>
      <c r="AZ86" s="10" t="s">
        <v>148</v>
      </c>
      <c r="BA86" s="20" t="b">
        <v>0</v>
      </c>
      <c r="BB86" s="10"/>
      <c r="BC86" s="17">
        <v>22838</v>
      </c>
      <c r="BD86" s="17">
        <v>14989</v>
      </c>
      <c r="BE86" s="17">
        <v>115422.75</v>
      </c>
      <c r="BF86" s="17">
        <v>4.0999999999999996</v>
      </c>
      <c r="BG86" s="11">
        <f ca="1">IFERROR(__xludf.DUMMYFUNCTION("""COMPUTED_VALUE"""),45935.8333333333)</f>
        <v>45935.833333333299</v>
      </c>
      <c r="BH86" s="17" t="s">
        <v>105</v>
      </c>
      <c r="BI86" s="17"/>
      <c r="BJ86" s="15"/>
      <c r="BK86" s="15"/>
      <c r="BL86" s="13" t="b">
        <v>1</v>
      </c>
      <c r="BM86" s="10"/>
      <c r="BN86" s="10" t="s">
        <v>137</v>
      </c>
      <c r="BO86" s="11">
        <v>45826.718055555553</v>
      </c>
      <c r="BP86" s="11">
        <v>45930.66369212963</v>
      </c>
      <c r="BQ86" s="15">
        <v>45932.717627314814</v>
      </c>
      <c r="BR86" s="15">
        <v>45932.761597222219</v>
      </c>
      <c r="BS86" s="10" t="s">
        <v>137</v>
      </c>
      <c r="BT86" s="10" t="s">
        <v>279</v>
      </c>
      <c r="BU86" s="10" t="s">
        <v>730</v>
      </c>
      <c r="BV86" s="10"/>
      <c r="BW86" s="10"/>
      <c r="BX86" s="10"/>
      <c r="BY86" s="23"/>
      <c r="BZ86" s="24" t="s">
        <v>299</v>
      </c>
      <c r="CA86" s="19" t="s">
        <v>1046</v>
      </c>
      <c r="CB86" s="19" t="s">
        <v>1047</v>
      </c>
      <c r="CC86" s="23"/>
      <c r="CD86" s="19" t="s">
        <v>1048</v>
      </c>
      <c r="CE86" s="23"/>
      <c r="CF86" s="23"/>
      <c r="CG86" s="23"/>
      <c r="CH86" s="23"/>
      <c r="CI86" s="23"/>
    </row>
    <row r="87" spans="1:87" x14ac:dyDescent="0.3">
      <c r="A87" s="9" t="s">
        <v>1049</v>
      </c>
      <c r="B87" s="10" t="s">
        <v>1050</v>
      </c>
      <c r="C87" s="11">
        <v>45948.875</v>
      </c>
      <c r="D87" s="12">
        <v>8.3333333333333329E-2</v>
      </c>
      <c r="E87" s="11">
        <v>45948.958333333336</v>
      </c>
      <c r="F87" s="10" t="s">
        <v>262</v>
      </c>
      <c r="G87" s="13" t="b">
        <v>0</v>
      </c>
      <c r="H87" s="10" t="s">
        <v>527</v>
      </c>
      <c r="I87" s="10" t="s">
        <v>264</v>
      </c>
      <c r="J87" s="13" t="b">
        <v>0</v>
      </c>
      <c r="K87" s="13" t="b">
        <v>1</v>
      </c>
      <c r="L87" s="10" t="s">
        <v>124</v>
      </c>
      <c r="M87" s="10" t="s">
        <v>91</v>
      </c>
      <c r="N87" s="10" t="s">
        <v>265</v>
      </c>
      <c r="O87" s="19" t="s">
        <v>1051</v>
      </c>
      <c r="P87" s="10"/>
      <c r="Q87" s="10" t="s">
        <v>126</v>
      </c>
      <c r="R87" s="10"/>
      <c r="S87" s="19" t="s">
        <v>1052</v>
      </c>
      <c r="T87" s="19" t="s">
        <v>1053</v>
      </c>
      <c r="U87" s="10" t="s">
        <v>308</v>
      </c>
      <c r="V87" s="10" t="s">
        <v>293</v>
      </c>
      <c r="W87" s="10" t="s">
        <v>272</v>
      </c>
      <c r="X87" s="10" t="s">
        <v>130</v>
      </c>
      <c r="Y87" s="10" t="s">
        <v>130</v>
      </c>
      <c r="Z87" s="10" t="s">
        <v>99</v>
      </c>
      <c r="AA87" s="10" t="s">
        <v>131</v>
      </c>
      <c r="AB87" s="10" t="s">
        <v>273</v>
      </c>
      <c r="AC87" s="10" t="s">
        <v>274</v>
      </c>
      <c r="AD87" s="10" t="s">
        <v>1054</v>
      </c>
      <c r="AE87" s="10" t="s">
        <v>1055</v>
      </c>
      <c r="AF87" s="15"/>
      <c r="AG87" s="10"/>
      <c r="AH87" s="10"/>
      <c r="AI87" s="10"/>
      <c r="AJ87" s="10" t="s">
        <v>1056</v>
      </c>
      <c r="AK87" s="10" t="s">
        <v>102</v>
      </c>
      <c r="AL87" s="10" t="s">
        <v>195</v>
      </c>
      <c r="AM87" s="10"/>
      <c r="AN87" s="10"/>
      <c r="AO87" s="13" t="b">
        <v>0</v>
      </c>
      <c r="AP87" s="10" t="s">
        <v>104</v>
      </c>
      <c r="AQ87" s="10">
        <f ca="1">IFERROR(__xludf.DUMMYFUNCTION("""COMPUTED_VALUE"""),4653364)</f>
        <v>4653364</v>
      </c>
      <c r="AR87" s="17">
        <v>41190</v>
      </c>
      <c r="AS87" s="17">
        <v>25228</v>
      </c>
      <c r="AT87" s="17">
        <v>393034.5</v>
      </c>
      <c r="AU87" s="17">
        <v>243.1</v>
      </c>
      <c r="AV87" s="17">
        <v>22.4</v>
      </c>
      <c r="AW87" s="10" t="s">
        <v>105</v>
      </c>
      <c r="AX87" s="17">
        <v>7072</v>
      </c>
      <c r="AY87" s="18">
        <v>15.579296813064849</v>
      </c>
      <c r="AZ87" s="10" t="s">
        <v>148</v>
      </c>
      <c r="BA87" s="20" t="b">
        <v>0</v>
      </c>
      <c r="BB87" s="10"/>
      <c r="BC87" s="17">
        <v>41190</v>
      </c>
      <c r="BD87" s="17">
        <v>25228</v>
      </c>
      <c r="BE87" s="17">
        <v>393034.5</v>
      </c>
      <c r="BF87" s="17">
        <v>22.4</v>
      </c>
      <c r="BG87" s="11">
        <f ca="1">IFERROR(__xludf.DUMMYFUNCTION("""COMPUTED_VALUE"""),45948.875)</f>
        <v>45948.875</v>
      </c>
      <c r="BH87" s="17" t="s">
        <v>105</v>
      </c>
      <c r="BI87" s="17"/>
      <c r="BJ87" s="15"/>
      <c r="BK87" s="15"/>
      <c r="BL87" s="13" t="b">
        <v>1</v>
      </c>
      <c r="BM87" s="10"/>
      <c r="BN87" s="10" t="s">
        <v>1057</v>
      </c>
      <c r="BO87" s="11">
        <v>45826.725694444445</v>
      </c>
      <c r="BP87" s="11">
        <v>45943.825312499997</v>
      </c>
      <c r="BQ87" s="15">
        <v>45945.755960648145</v>
      </c>
      <c r="BR87" s="15">
        <v>45945.913159722222</v>
      </c>
      <c r="BS87" s="10"/>
      <c r="BT87" s="10" t="s">
        <v>279</v>
      </c>
      <c r="BU87" s="10" t="s">
        <v>793</v>
      </c>
      <c r="BV87" s="10"/>
      <c r="BW87" s="10"/>
      <c r="BX87" s="10"/>
      <c r="BY87" s="23"/>
      <c r="BZ87" s="24" t="s">
        <v>299</v>
      </c>
      <c r="CA87" s="19" t="s">
        <v>1058</v>
      </c>
      <c r="CB87" s="19" t="s">
        <v>1059</v>
      </c>
      <c r="CC87" s="23"/>
      <c r="CD87" s="19" t="s">
        <v>1060</v>
      </c>
      <c r="CE87" s="23"/>
      <c r="CF87" s="23"/>
      <c r="CG87" s="23"/>
      <c r="CH87" s="23"/>
      <c r="CI87" s="23"/>
    </row>
    <row r="88" spans="1:87" x14ac:dyDescent="0.3">
      <c r="A88" s="9" t="s">
        <v>1061</v>
      </c>
      <c r="B88" s="10" t="s">
        <v>1062</v>
      </c>
      <c r="C88" s="11">
        <v>45948.875</v>
      </c>
      <c r="D88" s="12">
        <v>8.3333333333333329E-2</v>
      </c>
      <c r="E88" s="11">
        <v>45948.958333333336</v>
      </c>
      <c r="F88" s="10" t="s">
        <v>262</v>
      </c>
      <c r="G88" s="13" t="b">
        <v>0</v>
      </c>
      <c r="H88" s="10" t="s">
        <v>527</v>
      </c>
      <c r="I88" s="10" t="s">
        <v>264</v>
      </c>
      <c r="J88" s="13" t="b">
        <v>0</v>
      </c>
      <c r="K88" s="13" t="b">
        <v>1</v>
      </c>
      <c r="L88" s="10" t="s">
        <v>124</v>
      </c>
      <c r="M88" s="10" t="s">
        <v>91</v>
      </c>
      <c r="N88" s="10" t="s">
        <v>265</v>
      </c>
      <c r="O88" s="19" t="s">
        <v>1063</v>
      </c>
      <c r="P88" s="10"/>
      <c r="Q88" s="10" t="s">
        <v>126</v>
      </c>
      <c r="R88" s="10"/>
      <c r="S88" s="19" t="s">
        <v>1064</v>
      </c>
      <c r="T88" s="19" t="s">
        <v>1053</v>
      </c>
      <c r="U88" s="10" t="s">
        <v>609</v>
      </c>
      <c r="V88" s="10" t="s">
        <v>663</v>
      </c>
      <c r="W88" s="10" t="s">
        <v>272</v>
      </c>
      <c r="X88" s="10" t="s">
        <v>130</v>
      </c>
      <c r="Y88" s="10" t="s">
        <v>130</v>
      </c>
      <c r="Z88" s="10" t="s">
        <v>99</v>
      </c>
      <c r="AA88" s="10" t="s">
        <v>131</v>
      </c>
      <c r="AB88" s="10" t="s">
        <v>273</v>
      </c>
      <c r="AC88" s="10" t="s">
        <v>274</v>
      </c>
      <c r="AD88" s="10" t="s">
        <v>1065</v>
      </c>
      <c r="AE88" s="10" t="s">
        <v>1066</v>
      </c>
      <c r="AF88" s="15"/>
      <c r="AG88" s="10"/>
      <c r="AH88" s="10"/>
      <c r="AI88" s="10"/>
      <c r="AJ88" s="10" t="s">
        <v>1067</v>
      </c>
      <c r="AK88" s="10" t="s">
        <v>102</v>
      </c>
      <c r="AL88" s="10" t="s">
        <v>195</v>
      </c>
      <c r="AM88" s="10"/>
      <c r="AN88" s="10"/>
      <c r="AO88" s="13" t="b">
        <v>0</v>
      </c>
      <c r="AP88" s="10" t="s">
        <v>104</v>
      </c>
      <c r="AQ88" s="10">
        <f ca="1">IFERROR(__xludf.DUMMYFUNCTION("""COMPUTED_VALUE"""),4653368)</f>
        <v>4653368</v>
      </c>
      <c r="AR88" s="17">
        <v>8860</v>
      </c>
      <c r="AS88" s="17">
        <v>6012</v>
      </c>
      <c r="AT88" s="17">
        <v>24943.5</v>
      </c>
      <c r="AU88" s="17">
        <v>12.05</v>
      </c>
      <c r="AV88" s="17">
        <v>1.8</v>
      </c>
      <c r="AW88" s="10" t="s">
        <v>105</v>
      </c>
      <c r="AX88" s="17">
        <v>996</v>
      </c>
      <c r="AY88" s="18">
        <v>4.148952095808383</v>
      </c>
      <c r="AZ88" s="10" t="s">
        <v>148</v>
      </c>
      <c r="BA88" s="20" t="b">
        <v>0</v>
      </c>
      <c r="BB88" s="10"/>
      <c r="BC88" s="17">
        <v>8860</v>
      </c>
      <c r="BD88" s="17">
        <v>6012</v>
      </c>
      <c r="BE88" s="17">
        <v>24943.5</v>
      </c>
      <c r="BF88" s="17">
        <v>1.8</v>
      </c>
      <c r="BG88" s="11">
        <f ca="1">IFERROR(__xludf.DUMMYFUNCTION("""COMPUTED_VALUE"""),45948.875)</f>
        <v>45948.875</v>
      </c>
      <c r="BH88" s="17" t="s">
        <v>105</v>
      </c>
      <c r="BI88" s="17"/>
      <c r="BJ88" s="15"/>
      <c r="BK88" s="15"/>
      <c r="BL88" s="13" t="b">
        <v>1</v>
      </c>
      <c r="BM88" s="10"/>
      <c r="BN88" s="10" t="s">
        <v>1057</v>
      </c>
      <c r="BO88" s="11">
        <v>45826.726388888892</v>
      </c>
      <c r="BP88" s="11">
        <v>45943.827245370368</v>
      </c>
      <c r="BQ88" s="15">
        <v>45945.75608796296</v>
      </c>
      <c r="BR88" s="15">
        <v>45945.913414351853</v>
      </c>
      <c r="BS88" s="10"/>
      <c r="BT88" s="10" t="s">
        <v>279</v>
      </c>
      <c r="BU88" s="10" t="s">
        <v>655</v>
      </c>
      <c r="BV88" s="10"/>
      <c r="BW88" s="10"/>
      <c r="BX88" s="10"/>
      <c r="BY88" s="23"/>
      <c r="BZ88" s="24" t="s">
        <v>299</v>
      </c>
      <c r="CA88" s="19" t="s">
        <v>1068</v>
      </c>
      <c r="CB88" s="19" t="s">
        <v>1069</v>
      </c>
      <c r="CC88" s="23"/>
      <c r="CD88" s="19" t="s">
        <v>1070</v>
      </c>
      <c r="CE88" s="23"/>
      <c r="CF88" s="23"/>
      <c r="CG88" s="23"/>
      <c r="CH88" s="23"/>
      <c r="CI88" s="23"/>
    </row>
    <row r="89" spans="1:87" x14ac:dyDescent="0.3">
      <c r="A89" s="9" t="s">
        <v>1071</v>
      </c>
      <c r="B89" s="10" t="s">
        <v>1072</v>
      </c>
      <c r="C89" s="11">
        <v>45948.875</v>
      </c>
      <c r="D89" s="12">
        <v>8.3333333333333329E-2</v>
      </c>
      <c r="E89" s="11">
        <v>45948.958333333336</v>
      </c>
      <c r="F89" s="10" t="s">
        <v>262</v>
      </c>
      <c r="G89" s="13" t="b">
        <v>0</v>
      </c>
      <c r="H89" s="10" t="s">
        <v>305</v>
      </c>
      <c r="I89" s="10" t="s">
        <v>264</v>
      </c>
      <c r="J89" s="13" t="b">
        <v>0</v>
      </c>
      <c r="K89" s="13" t="b">
        <v>1</v>
      </c>
      <c r="L89" s="10" t="s">
        <v>124</v>
      </c>
      <c r="M89" s="10" t="s">
        <v>91</v>
      </c>
      <c r="N89" s="10" t="s">
        <v>265</v>
      </c>
      <c r="O89" s="19" t="s">
        <v>1073</v>
      </c>
      <c r="P89" s="10"/>
      <c r="Q89" s="10" t="s">
        <v>126</v>
      </c>
      <c r="R89" s="10"/>
      <c r="S89" s="19" t="s">
        <v>1074</v>
      </c>
      <c r="T89" s="19" t="s">
        <v>1053</v>
      </c>
      <c r="U89" s="10" t="s">
        <v>347</v>
      </c>
      <c r="V89" s="10" t="s">
        <v>271</v>
      </c>
      <c r="W89" s="10" t="s">
        <v>272</v>
      </c>
      <c r="X89" s="10" t="s">
        <v>130</v>
      </c>
      <c r="Y89" s="10" t="s">
        <v>130</v>
      </c>
      <c r="Z89" s="10" t="s">
        <v>99</v>
      </c>
      <c r="AA89" s="10" t="s">
        <v>131</v>
      </c>
      <c r="AB89" s="10" t="s">
        <v>273</v>
      </c>
      <c r="AC89" s="10" t="s">
        <v>274</v>
      </c>
      <c r="AD89" s="10" t="s">
        <v>1075</v>
      </c>
      <c r="AE89" s="10" t="s">
        <v>1076</v>
      </c>
      <c r="AF89" s="15"/>
      <c r="AG89" s="10"/>
      <c r="AH89" s="10"/>
      <c r="AI89" s="10"/>
      <c r="AJ89" s="10" t="s">
        <v>1077</v>
      </c>
      <c r="AK89" s="10" t="s">
        <v>102</v>
      </c>
      <c r="AL89" s="10" t="s">
        <v>195</v>
      </c>
      <c r="AM89" s="10"/>
      <c r="AN89" s="10"/>
      <c r="AO89" s="13" t="b">
        <v>0</v>
      </c>
      <c r="AP89" s="10" t="s">
        <v>104</v>
      </c>
      <c r="AQ89" s="10">
        <f ca="1">IFERROR(__xludf.DUMMYFUNCTION("""COMPUTED_VALUE"""),4653354)</f>
        <v>4653354</v>
      </c>
      <c r="AR89" s="17">
        <v>38744</v>
      </c>
      <c r="AS89" s="17">
        <v>22665</v>
      </c>
      <c r="AT89" s="17">
        <v>422336.25</v>
      </c>
      <c r="AU89" s="17">
        <v>240.9</v>
      </c>
      <c r="AV89" s="17">
        <v>15.15</v>
      </c>
      <c r="AW89" s="10" t="s">
        <v>105</v>
      </c>
      <c r="AX89" s="17">
        <v>9190</v>
      </c>
      <c r="AY89" s="18">
        <v>18.633851753805427</v>
      </c>
      <c r="AZ89" s="10" t="s">
        <v>148</v>
      </c>
      <c r="BA89" s="20" t="b">
        <v>0</v>
      </c>
      <c r="BB89" s="10"/>
      <c r="BC89" s="17">
        <v>38744</v>
      </c>
      <c r="BD89" s="17">
        <v>22665</v>
      </c>
      <c r="BE89" s="17">
        <v>422336.25</v>
      </c>
      <c r="BF89" s="17">
        <v>15.15</v>
      </c>
      <c r="BG89" s="11">
        <f ca="1">IFERROR(__xludf.DUMMYFUNCTION("""COMPUTED_VALUE"""),45948.875)</f>
        <v>45948.875</v>
      </c>
      <c r="BH89" s="17" t="s">
        <v>105</v>
      </c>
      <c r="BI89" s="17"/>
      <c r="BJ89" s="15"/>
      <c r="BK89" s="15"/>
      <c r="BL89" s="13" t="b">
        <v>1</v>
      </c>
      <c r="BM89" s="10"/>
      <c r="BN89" s="10" t="s">
        <v>351</v>
      </c>
      <c r="BO89" s="11">
        <v>45826.726388888892</v>
      </c>
      <c r="BP89" s="11">
        <v>45943.830312500002</v>
      </c>
      <c r="BQ89" s="15">
        <v>45945.756226851852</v>
      </c>
      <c r="BR89" s="15">
        <v>45945.899745370371</v>
      </c>
      <c r="BS89" s="10"/>
      <c r="BT89" s="10" t="s">
        <v>279</v>
      </c>
      <c r="BU89" s="10" t="s">
        <v>521</v>
      </c>
      <c r="BV89" s="10"/>
      <c r="BW89" s="10"/>
      <c r="BX89" s="10"/>
      <c r="BY89" s="23"/>
      <c r="BZ89" s="24" t="s">
        <v>299</v>
      </c>
      <c r="CA89" s="19" t="s">
        <v>1078</v>
      </c>
      <c r="CB89" s="19" t="s">
        <v>1079</v>
      </c>
      <c r="CC89" s="23"/>
      <c r="CD89" s="19" t="s">
        <v>1080</v>
      </c>
      <c r="CE89" s="23"/>
      <c r="CF89" s="23"/>
      <c r="CG89" s="23"/>
      <c r="CH89" s="23"/>
      <c r="CI89" s="23"/>
    </row>
    <row r="90" spans="1:87" x14ac:dyDescent="0.3">
      <c r="A90" s="9" t="s">
        <v>1081</v>
      </c>
      <c r="B90" s="10" t="s">
        <v>1082</v>
      </c>
      <c r="C90" s="11">
        <v>45948.979166666664</v>
      </c>
      <c r="D90" s="12">
        <v>8.3333333333333329E-2</v>
      </c>
      <c r="E90" s="11">
        <v>45949.0625</v>
      </c>
      <c r="F90" s="10" t="s">
        <v>262</v>
      </c>
      <c r="G90" s="13" t="b">
        <v>1</v>
      </c>
      <c r="H90" s="10" t="s">
        <v>263</v>
      </c>
      <c r="I90" s="10" t="s">
        <v>264</v>
      </c>
      <c r="J90" s="13" t="b">
        <v>0</v>
      </c>
      <c r="K90" s="13" t="b">
        <v>1</v>
      </c>
      <c r="L90" s="10" t="s">
        <v>124</v>
      </c>
      <c r="M90" s="10" t="s">
        <v>91</v>
      </c>
      <c r="N90" s="10" t="s">
        <v>265</v>
      </c>
      <c r="O90" s="19" t="s">
        <v>1083</v>
      </c>
      <c r="P90" s="10" t="s">
        <v>331</v>
      </c>
      <c r="Q90" s="10" t="s">
        <v>126</v>
      </c>
      <c r="R90" s="10"/>
      <c r="S90" s="19" t="s">
        <v>1084</v>
      </c>
      <c r="T90" s="19" t="s">
        <v>1053</v>
      </c>
      <c r="U90" s="10" t="s">
        <v>309</v>
      </c>
      <c r="V90" s="10" t="s">
        <v>362</v>
      </c>
      <c r="W90" s="10" t="s">
        <v>272</v>
      </c>
      <c r="X90" s="10" t="s">
        <v>130</v>
      </c>
      <c r="Y90" s="10" t="s">
        <v>130</v>
      </c>
      <c r="Z90" s="10" t="s">
        <v>99</v>
      </c>
      <c r="AA90" s="10" t="s">
        <v>131</v>
      </c>
      <c r="AB90" s="10" t="s">
        <v>273</v>
      </c>
      <c r="AC90" s="10" t="s">
        <v>274</v>
      </c>
      <c r="AD90" s="10" t="s">
        <v>1085</v>
      </c>
      <c r="AE90" s="10" t="s">
        <v>1086</v>
      </c>
      <c r="AF90" s="15"/>
      <c r="AG90" s="10"/>
      <c r="AH90" s="10"/>
      <c r="AI90" s="10"/>
      <c r="AJ90" s="10" t="s">
        <v>1087</v>
      </c>
      <c r="AK90" s="10" t="s">
        <v>102</v>
      </c>
      <c r="AL90" s="10" t="s">
        <v>195</v>
      </c>
      <c r="AM90" s="10"/>
      <c r="AN90" s="10"/>
      <c r="AO90" s="13" t="b">
        <v>1</v>
      </c>
      <c r="AP90" s="10" t="s">
        <v>104</v>
      </c>
      <c r="AQ90" s="10">
        <f ca="1">IFERROR(__xludf.DUMMYFUNCTION("""COMPUTED_VALUE"""),4653355)</f>
        <v>4653355</v>
      </c>
      <c r="AR90" s="17">
        <v>136510</v>
      </c>
      <c r="AS90" s="17">
        <v>105743</v>
      </c>
      <c r="AT90" s="17">
        <v>2393554.75</v>
      </c>
      <c r="AU90" s="17">
        <v>1255</v>
      </c>
      <c r="AV90" s="17">
        <v>115.4</v>
      </c>
      <c r="AW90" s="10" t="s">
        <v>105</v>
      </c>
      <c r="AX90" s="17">
        <v>40458</v>
      </c>
      <c r="AY90" s="18">
        <v>22.635585807098341</v>
      </c>
      <c r="AZ90" s="10" t="s">
        <v>148</v>
      </c>
      <c r="BA90" s="20" t="b">
        <v>0</v>
      </c>
      <c r="BB90" s="10"/>
      <c r="BC90" s="17">
        <v>136510</v>
      </c>
      <c r="BD90" s="17">
        <v>105743</v>
      </c>
      <c r="BE90" s="17">
        <v>2393554.75</v>
      </c>
      <c r="BF90" s="17">
        <v>115.4</v>
      </c>
      <c r="BG90" s="11">
        <f ca="1">IFERROR(__xludf.DUMMYFUNCTION("""COMPUTED_VALUE"""),45948.9583333333)</f>
        <v>45948.958333333299</v>
      </c>
      <c r="BH90" s="17" t="s">
        <v>105</v>
      </c>
      <c r="BI90" s="17"/>
      <c r="BJ90" s="15"/>
      <c r="BK90" s="15"/>
      <c r="BL90" s="13" t="b">
        <v>0</v>
      </c>
      <c r="BM90" s="10"/>
      <c r="BN90" s="10" t="s">
        <v>667</v>
      </c>
      <c r="BO90" s="11">
        <v>45826.726388888892</v>
      </c>
      <c r="BP90" s="11">
        <v>45943.835787037038</v>
      </c>
      <c r="BQ90" s="15">
        <v>45945.756597222222</v>
      </c>
      <c r="BR90" s="15">
        <v>45945.905509259261</v>
      </c>
      <c r="BS90" s="10" t="s">
        <v>667</v>
      </c>
      <c r="BT90" s="10" t="s">
        <v>279</v>
      </c>
      <c r="BU90" s="10" t="s">
        <v>280</v>
      </c>
      <c r="BV90" s="10" t="s">
        <v>124</v>
      </c>
      <c r="BW90" s="10"/>
      <c r="BX90" s="10"/>
      <c r="BY90" s="23"/>
      <c r="BZ90" s="24" t="s">
        <v>284</v>
      </c>
      <c r="CA90" s="19" t="s">
        <v>1088</v>
      </c>
      <c r="CB90" s="19" t="s">
        <v>1089</v>
      </c>
      <c r="CC90" s="23"/>
      <c r="CD90" s="19" t="s">
        <v>1090</v>
      </c>
      <c r="CE90" s="23"/>
      <c r="CF90" s="23"/>
      <c r="CG90" s="23"/>
      <c r="CH90" s="23"/>
      <c r="CI90" s="23"/>
    </row>
    <row r="91" spans="1:87" x14ac:dyDescent="0.3">
      <c r="A91" s="9" t="s">
        <v>1091</v>
      </c>
      <c r="B91" s="10" t="s">
        <v>1092</v>
      </c>
      <c r="C91" s="11">
        <v>45949.9375</v>
      </c>
      <c r="D91" s="12">
        <v>8.3333333333333329E-2</v>
      </c>
      <c r="E91" s="11">
        <v>45950.020833333336</v>
      </c>
      <c r="F91" s="10" t="s">
        <v>262</v>
      </c>
      <c r="G91" s="13" t="b">
        <v>1</v>
      </c>
      <c r="H91" s="10" t="s">
        <v>263</v>
      </c>
      <c r="I91" s="10" t="s">
        <v>264</v>
      </c>
      <c r="J91" s="13" t="b">
        <v>0</v>
      </c>
      <c r="K91" s="13" t="b">
        <v>1</v>
      </c>
      <c r="L91" s="10" t="s">
        <v>358</v>
      </c>
      <c r="M91" s="10" t="s">
        <v>91</v>
      </c>
      <c r="N91" s="10" t="s">
        <v>265</v>
      </c>
      <c r="O91" s="19" t="s">
        <v>1093</v>
      </c>
      <c r="P91" s="10" t="s">
        <v>267</v>
      </c>
      <c r="Q91" s="10" t="s">
        <v>1094</v>
      </c>
      <c r="R91" s="10"/>
      <c r="S91" s="19" t="s">
        <v>1095</v>
      </c>
      <c r="T91" s="19" t="s">
        <v>1053</v>
      </c>
      <c r="U91" s="10" t="s">
        <v>270</v>
      </c>
      <c r="V91" s="10" t="s">
        <v>361</v>
      </c>
      <c r="W91" s="10" t="s">
        <v>272</v>
      </c>
      <c r="X91" s="10" t="s">
        <v>130</v>
      </c>
      <c r="Y91" s="10" t="s">
        <v>130</v>
      </c>
      <c r="Z91" s="10" t="s">
        <v>99</v>
      </c>
      <c r="AA91" s="10" t="s">
        <v>131</v>
      </c>
      <c r="AB91" s="10" t="s">
        <v>273</v>
      </c>
      <c r="AC91" s="10" t="s">
        <v>274</v>
      </c>
      <c r="AD91" s="10" t="s">
        <v>1096</v>
      </c>
      <c r="AE91" s="10" t="s">
        <v>1097</v>
      </c>
      <c r="AF91" s="15"/>
      <c r="AG91" s="10"/>
      <c r="AH91" s="10"/>
      <c r="AI91" s="10"/>
      <c r="AJ91" s="10" t="s">
        <v>1098</v>
      </c>
      <c r="AK91" s="10" t="s">
        <v>102</v>
      </c>
      <c r="AL91" s="10" t="s">
        <v>195</v>
      </c>
      <c r="AM91" s="10"/>
      <c r="AN91" s="10"/>
      <c r="AO91" s="13" t="b">
        <v>1</v>
      </c>
      <c r="AP91" s="10" t="s">
        <v>104</v>
      </c>
      <c r="AQ91" s="10">
        <f ca="1">IFERROR(__xludf.DUMMYFUNCTION("""COMPUTED_VALUE"""),4653357)</f>
        <v>4653357</v>
      </c>
      <c r="AR91" s="17">
        <v>438231</v>
      </c>
      <c r="AS91" s="17">
        <v>261841</v>
      </c>
      <c r="AT91" s="17">
        <v>10187017</v>
      </c>
      <c r="AU91" s="17">
        <v>10153.1</v>
      </c>
      <c r="AV91" s="17">
        <v>1613.45</v>
      </c>
      <c r="AW91" s="10" t="s">
        <v>297</v>
      </c>
      <c r="AX91" s="17">
        <v>144107</v>
      </c>
      <c r="AY91" s="18">
        <v>38.905354776371922</v>
      </c>
      <c r="AZ91" s="10" t="s">
        <v>148</v>
      </c>
      <c r="BA91" s="20" t="b">
        <v>0</v>
      </c>
      <c r="BB91" s="10"/>
      <c r="BC91" s="17">
        <v>438231</v>
      </c>
      <c r="BD91" s="17">
        <v>261841</v>
      </c>
      <c r="BE91" s="17">
        <v>10187017</v>
      </c>
      <c r="BF91" s="17">
        <v>1613.45</v>
      </c>
      <c r="BG91" s="11">
        <f ca="1">IFERROR(__xludf.DUMMYFUNCTION("""COMPUTED_VALUE"""),45949.9166666666)</f>
        <v>45949.916666666599</v>
      </c>
      <c r="BH91" s="17" t="s">
        <v>297</v>
      </c>
      <c r="BI91" s="17"/>
      <c r="BJ91" s="15"/>
      <c r="BK91" s="15"/>
      <c r="BL91" s="13" t="b">
        <v>1</v>
      </c>
      <c r="BM91" s="10"/>
      <c r="BN91" s="10" t="s">
        <v>351</v>
      </c>
      <c r="BO91" s="11">
        <v>45826.726388888892</v>
      </c>
      <c r="BP91" s="11">
        <v>45943.838634259257</v>
      </c>
      <c r="BQ91" s="15">
        <v>45945.757037037038</v>
      </c>
      <c r="BR91" s="15">
        <v>45945.905972222223</v>
      </c>
      <c r="BS91" s="10"/>
      <c r="BT91" s="10" t="s">
        <v>279</v>
      </c>
      <c r="BU91" s="10" t="s">
        <v>280</v>
      </c>
      <c r="BV91" s="10" t="s">
        <v>499</v>
      </c>
      <c r="BW91" s="10"/>
      <c r="BX91" s="10"/>
      <c r="BY91" s="23"/>
      <c r="BZ91" s="24" t="s">
        <v>368</v>
      </c>
      <c r="CA91" s="19" t="s">
        <v>1099</v>
      </c>
      <c r="CB91" s="19" t="s">
        <v>1100</v>
      </c>
      <c r="CC91" s="23"/>
      <c r="CD91" s="19" t="s">
        <v>1101</v>
      </c>
      <c r="CE91" s="23"/>
      <c r="CF91" s="23"/>
      <c r="CG91" s="23"/>
      <c r="CH91" s="23"/>
      <c r="CI91" s="23"/>
    </row>
    <row r="92" spans="1:87" x14ac:dyDescent="0.3">
      <c r="A92" s="9" t="s">
        <v>1102</v>
      </c>
      <c r="B92" s="10" t="s">
        <v>1103</v>
      </c>
      <c r="C92" s="11">
        <v>45948.875</v>
      </c>
      <c r="D92" s="12">
        <v>8.3333333333333329E-2</v>
      </c>
      <c r="E92" s="11">
        <v>45948.958333333336</v>
      </c>
      <c r="F92" s="10" t="s">
        <v>262</v>
      </c>
      <c r="G92" s="13" t="b">
        <v>1</v>
      </c>
      <c r="H92" s="10" t="s">
        <v>263</v>
      </c>
      <c r="I92" s="10" t="s">
        <v>264</v>
      </c>
      <c r="J92" s="13" t="b">
        <v>0</v>
      </c>
      <c r="K92" s="13" t="b">
        <v>1</v>
      </c>
      <c r="L92" s="10" t="s">
        <v>124</v>
      </c>
      <c r="M92" s="10" t="s">
        <v>91</v>
      </c>
      <c r="N92" s="10" t="s">
        <v>265</v>
      </c>
      <c r="O92" s="19" t="s">
        <v>1104</v>
      </c>
      <c r="P92" s="10" t="s">
        <v>267</v>
      </c>
      <c r="Q92" s="10" t="s">
        <v>126</v>
      </c>
      <c r="R92" s="10"/>
      <c r="S92" s="19" t="s">
        <v>1105</v>
      </c>
      <c r="T92" s="19" t="s">
        <v>1053</v>
      </c>
      <c r="U92" s="10" t="s">
        <v>334</v>
      </c>
      <c r="V92" s="10" t="s">
        <v>407</v>
      </c>
      <c r="W92" s="10" t="s">
        <v>272</v>
      </c>
      <c r="X92" s="10" t="s">
        <v>130</v>
      </c>
      <c r="Y92" s="10" t="s">
        <v>130</v>
      </c>
      <c r="Z92" s="10" t="s">
        <v>99</v>
      </c>
      <c r="AA92" s="10" t="s">
        <v>131</v>
      </c>
      <c r="AB92" s="10" t="s">
        <v>273</v>
      </c>
      <c r="AC92" s="10" t="s">
        <v>274</v>
      </c>
      <c r="AD92" s="10" t="s">
        <v>1106</v>
      </c>
      <c r="AE92" s="10" t="s">
        <v>1107</v>
      </c>
      <c r="AF92" s="15"/>
      <c r="AG92" s="10"/>
      <c r="AH92" s="10"/>
      <c r="AI92" s="10"/>
      <c r="AJ92" s="10" t="s">
        <v>1108</v>
      </c>
      <c r="AK92" s="10" t="s">
        <v>102</v>
      </c>
      <c r="AL92" s="10" t="s">
        <v>195</v>
      </c>
      <c r="AM92" s="10"/>
      <c r="AN92" s="10"/>
      <c r="AO92" s="13" t="b">
        <v>1</v>
      </c>
      <c r="AP92" s="10" t="s">
        <v>104</v>
      </c>
      <c r="AQ92" s="10">
        <f ca="1">IFERROR(__xludf.DUMMYFUNCTION("""COMPUTED_VALUE"""),4653356)</f>
        <v>4653356</v>
      </c>
      <c r="AR92" s="17">
        <v>202480</v>
      </c>
      <c r="AS92" s="17">
        <v>120029</v>
      </c>
      <c r="AT92" s="17">
        <v>3472695.75</v>
      </c>
      <c r="AU92" s="17">
        <v>2766.5</v>
      </c>
      <c r="AV92" s="17">
        <v>269.25</v>
      </c>
      <c r="AW92" s="10" t="s">
        <v>105</v>
      </c>
      <c r="AX92" s="17">
        <v>42814</v>
      </c>
      <c r="AY92" s="18">
        <v>28.932139316331888</v>
      </c>
      <c r="AZ92" s="10" t="s">
        <v>148</v>
      </c>
      <c r="BA92" s="20" t="b">
        <v>0</v>
      </c>
      <c r="BB92" s="10"/>
      <c r="BC92" s="17">
        <v>202480</v>
      </c>
      <c r="BD92" s="17">
        <v>120029</v>
      </c>
      <c r="BE92" s="17">
        <v>3472695.75</v>
      </c>
      <c r="BF92" s="17">
        <v>269.25</v>
      </c>
      <c r="BG92" s="11">
        <f ca="1">IFERROR(__xludf.DUMMYFUNCTION("""COMPUTED_VALUE"""),45948.8541666666)</f>
        <v>45948.854166666599</v>
      </c>
      <c r="BH92" s="17" t="s">
        <v>105</v>
      </c>
      <c r="BI92" s="17"/>
      <c r="BJ92" s="15"/>
      <c r="BK92" s="15"/>
      <c r="BL92" s="13" t="b">
        <v>1</v>
      </c>
      <c r="BM92" s="10"/>
      <c r="BN92" s="10" t="s">
        <v>351</v>
      </c>
      <c r="BO92" s="11">
        <v>45826.727083333331</v>
      </c>
      <c r="BP92" s="11">
        <v>45946.608078703706</v>
      </c>
      <c r="BQ92" s="15">
        <v>45945.756354166668</v>
      </c>
      <c r="BR92" s="15">
        <v>45945.905370370368</v>
      </c>
      <c r="BS92" s="10"/>
      <c r="BT92" s="10" t="s">
        <v>279</v>
      </c>
      <c r="BU92" s="10" t="s">
        <v>456</v>
      </c>
      <c r="BV92" s="10" t="s">
        <v>281</v>
      </c>
      <c r="BW92" s="10"/>
      <c r="BX92" s="10"/>
      <c r="BY92" s="23"/>
      <c r="BZ92" s="24" t="s">
        <v>284</v>
      </c>
      <c r="CA92" s="19" t="s">
        <v>1109</v>
      </c>
      <c r="CB92" s="19" t="s">
        <v>1110</v>
      </c>
      <c r="CC92" s="23"/>
      <c r="CD92" s="19" t="s">
        <v>1111</v>
      </c>
      <c r="CE92" s="23"/>
      <c r="CF92" s="23"/>
      <c r="CG92" s="23"/>
      <c r="CH92" s="23"/>
      <c r="CI92" s="23"/>
    </row>
    <row r="93" spans="1:87" x14ac:dyDescent="0.3">
      <c r="A93" s="9" t="s">
        <v>1112</v>
      </c>
      <c r="B93" s="10" t="s">
        <v>1113</v>
      </c>
      <c r="C93" s="11">
        <v>45948.770833333336</v>
      </c>
      <c r="D93" s="12">
        <v>8.3333333333333329E-2</v>
      </c>
      <c r="E93" s="11">
        <v>45948.854166666664</v>
      </c>
      <c r="F93" s="10" t="s">
        <v>262</v>
      </c>
      <c r="G93" s="13" t="b">
        <v>1</v>
      </c>
      <c r="H93" s="10" t="s">
        <v>263</v>
      </c>
      <c r="I93" s="10" t="s">
        <v>264</v>
      </c>
      <c r="J93" s="13" t="b">
        <v>0</v>
      </c>
      <c r="K93" s="13" t="b">
        <v>1</v>
      </c>
      <c r="L93" s="10" t="s">
        <v>124</v>
      </c>
      <c r="M93" s="10" t="s">
        <v>91</v>
      </c>
      <c r="N93" s="10" t="s">
        <v>265</v>
      </c>
      <c r="O93" s="19" t="s">
        <v>1114</v>
      </c>
      <c r="P93" s="10" t="s">
        <v>267</v>
      </c>
      <c r="Q93" s="10" t="s">
        <v>126</v>
      </c>
      <c r="R93" s="10"/>
      <c r="S93" s="19" t="s">
        <v>1115</v>
      </c>
      <c r="T93" s="19" t="s">
        <v>1053</v>
      </c>
      <c r="U93" s="10" t="s">
        <v>320</v>
      </c>
      <c r="V93" s="10" t="s">
        <v>346</v>
      </c>
      <c r="W93" s="10" t="s">
        <v>272</v>
      </c>
      <c r="X93" s="10" t="s">
        <v>130</v>
      </c>
      <c r="Y93" s="10" t="s">
        <v>130</v>
      </c>
      <c r="Z93" s="10" t="s">
        <v>99</v>
      </c>
      <c r="AA93" s="10" t="s">
        <v>131</v>
      </c>
      <c r="AB93" s="10" t="s">
        <v>273</v>
      </c>
      <c r="AC93" s="10" t="s">
        <v>274</v>
      </c>
      <c r="AD93" s="10" t="s">
        <v>1116</v>
      </c>
      <c r="AE93" s="10" t="s">
        <v>1117</v>
      </c>
      <c r="AF93" s="15"/>
      <c r="AG93" s="10"/>
      <c r="AH93" s="10"/>
      <c r="AI93" s="10"/>
      <c r="AJ93" s="10" t="s">
        <v>1118</v>
      </c>
      <c r="AK93" s="10" t="s">
        <v>102</v>
      </c>
      <c r="AL93" s="10" t="s">
        <v>195</v>
      </c>
      <c r="AM93" s="10"/>
      <c r="AN93" s="10"/>
      <c r="AO93" s="13" t="b">
        <v>1</v>
      </c>
      <c r="AP93" s="10" t="s">
        <v>104</v>
      </c>
      <c r="AQ93" s="10">
        <f ca="1">IFERROR(__xludf.DUMMYFUNCTION("""COMPUTED_VALUE"""),4653353)</f>
        <v>4653353</v>
      </c>
      <c r="AR93" s="17">
        <v>209271</v>
      </c>
      <c r="AS93" s="17">
        <v>119774</v>
      </c>
      <c r="AT93" s="17">
        <v>4757983.5</v>
      </c>
      <c r="AU93" s="17">
        <v>4274.3</v>
      </c>
      <c r="AV93" s="17">
        <v>353.25</v>
      </c>
      <c r="AW93" s="10" t="s">
        <v>105</v>
      </c>
      <c r="AX93" s="17">
        <v>47068</v>
      </c>
      <c r="AY93" s="18">
        <v>39.724677308931824</v>
      </c>
      <c r="AZ93" s="10" t="s">
        <v>148</v>
      </c>
      <c r="BA93" s="20" t="b">
        <v>0</v>
      </c>
      <c r="BB93" s="10"/>
      <c r="BC93" s="17">
        <v>209271</v>
      </c>
      <c r="BD93" s="17">
        <v>119774</v>
      </c>
      <c r="BE93" s="17">
        <v>4757983.5</v>
      </c>
      <c r="BF93" s="17">
        <v>353.25</v>
      </c>
      <c r="BG93" s="11">
        <f ca="1">IFERROR(__xludf.DUMMYFUNCTION("""COMPUTED_VALUE"""),45948.75)</f>
        <v>45948.75</v>
      </c>
      <c r="BH93" s="17" t="s">
        <v>105</v>
      </c>
      <c r="BI93" s="17"/>
      <c r="BJ93" s="15"/>
      <c r="BK93" s="15"/>
      <c r="BL93" s="13" t="b">
        <v>1</v>
      </c>
      <c r="BM93" s="10"/>
      <c r="BN93" s="10" t="s">
        <v>351</v>
      </c>
      <c r="BO93" s="11">
        <v>45826.727083333331</v>
      </c>
      <c r="BP93" s="11">
        <v>45943.823136574072</v>
      </c>
      <c r="BQ93" s="15">
        <v>45945.755844907406</v>
      </c>
      <c r="BR93" s="15">
        <v>45945.899456018517</v>
      </c>
      <c r="BS93" s="10"/>
      <c r="BT93" s="10" t="s">
        <v>99</v>
      </c>
      <c r="BU93" s="10" t="s">
        <v>280</v>
      </c>
      <c r="BV93" s="10" t="s">
        <v>281</v>
      </c>
      <c r="BW93" s="10"/>
      <c r="BX93" s="10"/>
      <c r="BY93" s="23"/>
      <c r="BZ93" s="24" t="s">
        <v>284</v>
      </c>
      <c r="CA93" s="19" t="s">
        <v>1119</v>
      </c>
      <c r="CB93" s="19" t="s">
        <v>1120</v>
      </c>
      <c r="CC93" s="23"/>
      <c r="CD93" s="19" t="s">
        <v>1121</v>
      </c>
      <c r="CE93" s="23"/>
      <c r="CF93" s="23"/>
      <c r="CG93" s="23"/>
      <c r="CH93" s="23"/>
      <c r="CI93" s="23"/>
    </row>
    <row r="94" spans="1:87" x14ac:dyDescent="0.3">
      <c r="A94" s="9" t="s">
        <v>1122</v>
      </c>
      <c r="B94" s="10" t="s">
        <v>1123</v>
      </c>
      <c r="C94" s="11">
        <v>45948.875</v>
      </c>
      <c r="D94" s="12">
        <v>8.3333333333333329E-2</v>
      </c>
      <c r="E94" s="11">
        <v>45948.958333333336</v>
      </c>
      <c r="F94" s="10" t="s">
        <v>262</v>
      </c>
      <c r="G94" s="13" t="b">
        <v>0</v>
      </c>
      <c r="H94" s="10" t="s">
        <v>527</v>
      </c>
      <c r="I94" s="10" t="s">
        <v>264</v>
      </c>
      <c r="J94" s="13" t="b">
        <v>0</v>
      </c>
      <c r="K94" s="13" t="b">
        <v>1</v>
      </c>
      <c r="L94" s="10" t="s">
        <v>124</v>
      </c>
      <c r="M94" s="10" t="s">
        <v>91</v>
      </c>
      <c r="N94" s="10" t="s">
        <v>265</v>
      </c>
      <c r="O94" s="19" t="s">
        <v>1124</v>
      </c>
      <c r="P94" s="10"/>
      <c r="Q94" s="10" t="s">
        <v>126</v>
      </c>
      <c r="R94" s="10"/>
      <c r="S94" s="19" t="s">
        <v>1125</v>
      </c>
      <c r="T94" s="19" t="s">
        <v>1053</v>
      </c>
      <c r="U94" s="10" t="s">
        <v>588</v>
      </c>
      <c r="V94" s="10" t="s">
        <v>333</v>
      </c>
      <c r="W94" s="10" t="s">
        <v>272</v>
      </c>
      <c r="X94" s="10" t="s">
        <v>130</v>
      </c>
      <c r="Y94" s="10" t="s">
        <v>130</v>
      </c>
      <c r="Z94" s="10" t="s">
        <v>99</v>
      </c>
      <c r="AA94" s="10" t="s">
        <v>131</v>
      </c>
      <c r="AB94" s="10" t="s">
        <v>273</v>
      </c>
      <c r="AC94" s="10" t="s">
        <v>274</v>
      </c>
      <c r="AD94" s="10" t="s">
        <v>1126</v>
      </c>
      <c r="AE94" s="10" t="s">
        <v>1127</v>
      </c>
      <c r="AF94" s="15"/>
      <c r="AG94" s="10"/>
      <c r="AH94" s="10"/>
      <c r="AI94" s="10"/>
      <c r="AJ94" s="10" t="s">
        <v>1128</v>
      </c>
      <c r="AK94" s="10" t="s">
        <v>102</v>
      </c>
      <c r="AL94" s="10" t="s">
        <v>195</v>
      </c>
      <c r="AM94" s="10"/>
      <c r="AN94" s="10"/>
      <c r="AO94" s="13" t="b">
        <v>0</v>
      </c>
      <c r="AP94" s="10" t="s">
        <v>104</v>
      </c>
      <c r="AQ94" s="10">
        <f ca="1">IFERROR(__xludf.DUMMYFUNCTION("""COMPUTED_VALUE"""),4653370)</f>
        <v>4653370</v>
      </c>
      <c r="AR94" s="17">
        <v>9972</v>
      </c>
      <c r="AS94" s="17">
        <v>6956</v>
      </c>
      <c r="AT94" s="17">
        <v>33964.75</v>
      </c>
      <c r="AU94" s="17">
        <v>16.3</v>
      </c>
      <c r="AV94" s="17">
        <v>1.1000000000000001</v>
      </c>
      <c r="AW94" s="10" t="s">
        <v>105</v>
      </c>
      <c r="AX94" s="17">
        <v>1142</v>
      </c>
      <c r="AY94" s="18">
        <v>4.8827990224266822</v>
      </c>
      <c r="AZ94" s="10" t="s">
        <v>148</v>
      </c>
      <c r="BA94" s="20" t="b">
        <v>0</v>
      </c>
      <c r="BB94" s="10"/>
      <c r="BC94" s="17">
        <v>9972</v>
      </c>
      <c r="BD94" s="17">
        <v>6956</v>
      </c>
      <c r="BE94" s="17">
        <v>33964.75</v>
      </c>
      <c r="BF94" s="17">
        <v>1.1000000000000001</v>
      </c>
      <c r="BG94" s="11">
        <f ca="1">IFERROR(__xludf.DUMMYFUNCTION("""COMPUTED_VALUE"""),45948.875)</f>
        <v>45948.875</v>
      </c>
      <c r="BH94" s="17" t="s">
        <v>105</v>
      </c>
      <c r="BI94" s="17"/>
      <c r="BJ94" s="15"/>
      <c r="BK94" s="15"/>
      <c r="BL94" s="13" t="b">
        <v>1</v>
      </c>
      <c r="BM94" s="10"/>
      <c r="BN94" s="10" t="s">
        <v>1057</v>
      </c>
      <c r="BO94" s="11">
        <v>45826.727777777778</v>
      </c>
      <c r="BP94" s="11">
        <v>45943.831469907411</v>
      </c>
      <c r="BQ94" s="15">
        <v>45945.756469907406</v>
      </c>
      <c r="BR94" s="15">
        <v>45945.912870370368</v>
      </c>
      <c r="BS94" s="10"/>
      <c r="BT94" s="10" t="s">
        <v>279</v>
      </c>
      <c r="BU94" s="10" t="s">
        <v>730</v>
      </c>
      <c r="BV94" s="10"/>
      <c r="BW94" s="10"/>
      <c r="BX94" s="10"/>
      <c r="BY94" s="23"/>
      <c r="BZ94" s="24" t="s">
        <v>299</v>
      </c>
      <c r="CA94" s="19" t="s">
        <v>1129</v>
      </c>
      <c r="CB94" s="19" t="s">
        <v>1130</v>
      </c>
      <c r="CC94" s="23"/>
      <c r="CD94" s="19" t="s">
        <v>1131</v>
      </c>
      <c r="CE94" s="23"/>
      <c r="CF94" s="23"/>
      <c r="CG94" s="23"/>
      <c r="CH94" s="23"/>
      <c r="CI94" s="23"/>
    </row>
    <row r="95" spans="1:87" x14ac:dyDescent="0.3">
      <c r="A95" s="9" t="s">
        <v>1132</v>
      </c>
      <c r="B95" s="10" t="s">
        <v>1133</v>
      </c>
      <c r="C95" s="11">
        <v>45949.833333333336</v>
      </c>
      <c r="D95" s="12">
        <v>8.3333333333333329E-2</v>
      </c>
      <c r="E95" s="11">
        <v>45949.916666666664</v>
      </c>
      <c r="F95" s="10" t="s">
        <v>262</v>
      </c>
      <c r="G95" s="13" t="b">
        <v>1</v>
      </c>
      <c r="H95" s="10" t="s">
        <v>263</v>
      </c>
      <c r="I95" s="10" t="s">
        <v>264</v>
      </c>
      <c r="J95" s="13" t="b">
        <v>0</v>
      </c>
      <c r="K95" s="13" t="b">
        <v>1</v>
      </c>
      <c r="L95" s="10" t="s">
        <v>124</v>
      </c>
      <c r="M95" s="10" t="s">
        <v>91</v>
      </c>
      <c r="N95" s="10" t="s">
        <v>265</v>
      </c>
      <c r="O95" s="19" t="s">
        <v>1134</v>
      </c>
      <c r="P95" s="10" t="s">
        <v>267</v>
      </c>
      <c r="Q95" s="10" t="s">
        <v>126</v>
      </c>
      <c r="R95" s="10"/>
      <c r="S95" s="19" t="s">
        <v>1135</v>
      </c>
      <c r="T95" s="19" t="s">
        <v>1053</v>
      </c>
      <c r="U95" s="10" t="s">
        <v>429</v>
      </c>
      <c r="V95" s="10" t="s">
        <v>292</v>
      </c>
      <c r="W95" s="10" t="s">
        <v>272</v>
      </c>
      <c r="X95" s="10" t="s">
        <v>130</v>
      </c>
      <c r="Y95" s="10" t="s">
        <v>130</v>
      </c>
      <c r="Z95" s="10" t="s">
        <v>99</v>
      </c>
      <c r="AA95" s="10" t="s">
        <v>131</v>
      </c>
      <c r="AB95" s="10" t="s">
        <v>273</v>
      </c>
      <c r="AC95" s="10" t="s">
        <v>274</v>
      </c>
      <c r="AD95" s="10" t="s">
        <v>1136</v>
      </c>
      <c r="AE95" s="10" t="s">
        <v>1137</v>
      </c>
      <c r="AF95" s="15"/>
      <c r="AG95" s="10"/>
      <c r="AH95" s="10"/>
      <c r="AI95" s="10"/>
      <c r="AJ95" s="10" t="s">
        <v>1138</v>
      </c>
      <c r="AK95" s="10" t="s">
        <v>102</v>
      </c>
      <c r="AL95" s="10" t="s">
        <v>195</v>
      </c>
      <c r="AM95" s="10"/>
      <c r="AN95" s="10"/>
      <c r="AO95" s="13" t="b">
        <v>1</v>
      </c>
      <c r="AP95" s="10" t="s">
        <v>104</v>
      </c>
      <c r="AQ95" s="10">
        <f ca="1">IFERROR(__xludf.DUMMYFUNCTION("""COMPUTED_VALUE"""),4653360)</f>
        <v>4653360</v>
      </c>
      <c r="AR95" s="17">
        <v>169908</v>
      </c>
      <c r="AS95" s="17">
        <v>101807</v>
      </c>
      <c r="AT95" s="17">
        <v>4652175</v>
      </c>
      <c r="AU95" s="17">
        <v>1836.2</v>
      </c>
      <c r="AV95" s="17">
        <v>254.7</v>
      </c>
      <c r="AW95" s="10" t="s">
        <v>105</v>
      </c>
      <c r="AX95" s="17">
        <v>45965</v>
      </c>
      <c r="AY95" s="18">
        <v>45.69602286679698</v>
      </c>
      <c r="AZ95" s="10" t="s">
        <v>148</v>
      </c>
      <c r="BA95" s="20" t="b">
        <v>0</v>
      </c>
      <c r="BB95" s="10"/>
      <c r="BC95" s="17">
        <v>169908</v>
      </c>
      <c r="BD95" s="17">
        <v>101807</v>
      </c>
      <c r="BE95" s="17">
        <v>4652175</v>
      </c>
      <c r="BF95" s="17">
        <v>254.7</v>
      </c>
      <c r="BG95" s="11">
        <f ca="1">IFERROR(__xludf.DUMMYFUNCTION("""COMPUTED_VALUE"""),45949.8125)</f>
        <v>45949.8125</v>
      </c>
      <c r="BH95" s="17" t="s">
        <v>105</v>
      </c>
      <c r="BI95" s="17"/>
      <c r="BJ95" s="15"/>
      <c r="BK95" s="15"/>
      <c r="BL95" s="13" t="b">
        <v>1</v>
      </c>
      <c r="BM95" s="10"/>
      <c r="BN95" s="10" t="s">
        <v>351</v>
      </c>
      <c r="BO95" s="11">
        <v>45826.727777777778</v>
      </c>
      <c r="BP95" s="11">
        <v>45943.837083333332</v>
      </c>
      <c r="BQ95" s="15">
        <v>45945.75675925926</v>
      </c>
      <c r="BR95" s="15">
        <v>45945.905740740738</v>
      </c>
      <c r="BS95" s="10"/>
      <c r="BT95" s="10" t="s">
        <v>279</v>
      </c>
      <c r="BU95" s="10" t="s">
        <v>298</v>
      </c>
      <c r="BV95" s="10"/>
      <c r="BW95" s="10"/>
      <c r="BX95" s="10"/>
      <c r="BY95" s="23"/>
      <c r="BZ95" s="24" t="s">
        <v>284</v>
      </c>
      <c r="CA95" s="19" t="s">
        <v>1139</v>
      </c>
      <c r="CB95" s="19" t="s">
        <v>1140</v>
      </c>
      <c r="CC95" s="23"/>
      <c r="CD95" s="19" t="s">
        <v>1141</v>
      </c>
      <c r="CE95" s="23"/>
      <c r="CF95" s="23"/>
      <c r="CG95" s="23"/>
      <c r="CH95" s="23"/>
      <c r="CI95" s="23"/>
    </row>
    <row r="96" spans="1:87" x14ac:dyDescent="0.3">
      <c r="A96" s="9" t="s">
        <v>1142</v>
      </c>
      <c r="B96" s="10" t="s">
        <v>1143</v>
      </c>
      <c r="C96" s="11">
        <v>45951.083333333336</v>
      </c>
      <c r="D96" s="12">
        <v>8.3333333333333329E-2</v>
      </c>
      <c r="E96" s="11">
        <v>45951.166666666664</v>
      </c>
      <c r="F96" s="10" t="s">
        <v>262</v>
      </c>
      <c r="G96" s="13" t="b">
        <v>0</v>
      </c>
      <c r="H96" s="10" t="s">
        <v>263</v>
      </c>
      <c r="I96" s="10" t="s">
        <v>264</v>
      </c>
      <c r="J96" s="13" t="b">
        <v>0</v>
      </c>
      <c r="K96" s="13" t="b">
        <v>1</v>
      </c>
      <c r="L96" s="10" t="s">
        <v>124</v>
      </c>
      <c r="M96" s="10" t="s">
        <v>91</v>
      </c>
      <c r="N96" s="10" t="s">
        <v>265</v>
      </c>
      <c r="O96" s="19" t="s">
        <v>1144</v>
      </c>
      <c r="P96" s="10" t="s">
        <v>267</v>
      </c>
      <c r="Q96" s="10" t="s">
        <v>126</v>
      </c>
      <c r="R96" s="10"/>
      <c r="S96" s="19" t="s">
        <v>1145</v>
      </c>
      <c r="T96" s="19" t="s">
        <v>1053</v>
      </c>
      <c r="U96" s="10" t="s">
        <v>451</v>
      </c>
      <c r="V96" s="10" t="s">
        <v>321</v>
      </c>
      <c r="W96" s="10" t="s">
        <v>272</v>
      </c>
      <c r="X96" s="10" t="s">
        <v>130</v>
      </c>
      <c r="Y96" s="10" t="s">
        <v>130</v>
      </c>
      <c r="Z96" s="10" t="s">
        <v>99</v>
      </c>
      <c r="AA96" s="10" t="s">
        <v>131</v>
      </c>
      <c r="AB96" s="10" t="s">
        <v>273</v>
      </c>
      <c r="AC96" s="10" t="s">
        <v>274</v>
      </c>
      <c r="AD96" s="10" t="s">
        <v>1146</v>
      </c>
      <c r="AE96" s="10" t="s">
        <v>1147</v>
      </c>
      <c r="AF96" s="15"/>
      <c r="AG96" s="10"/>
      <c r="AH96" s="10"/>
      <c r="AI96" s="10"/>
      <c r="AJ96" s="10" t="s">
        <v>1148</v>
      </c>
      <c r="AK96" s="10" t="s">
        <v>102</v>
      </c>
      <c r="AL96" s="10" t="s">
        <v>195</v>
      </c>
      <c r="AM96" s="10"/>
      <c r="AN96" s="10"/>
      <c r="AO96" s="13" t="b">
        <v>0</v>
      </c>
      <c r="AP96" s="10" t="s">
        <v>104</v>
      </c>
      <c r="AQ96" s="10">
        <f ca="1">IFERROR(__xludf.DUMMYFUNCTION("""COMPUTED_VALUE"""),4661414)</f>
        <v>4661414</v>
      </c>
      <c r="AR96" s="17">
        <v>7804</v>
      </c>
      <c r="AS96" s="17">
        <v>5757</v>
      </c>
      <c r="AT96" s="17">
        <v>251721.75</v>
      </c>
      <c r="AU96" s="17">
        <v>39.950000000000003</v>
      </c>
      <c r="AV96" s="17">
        <v>3.25</v>
      </c>
      <c r="AW96" s="10" t="s">
        <v>105</v>
      </c>
      <c r="AX96" s="17">
        <v>2059</v>
      </c>
      <c r="AY96" s="18">
        <v>43.724465867639395</v>
      </c>
      <c r="AZ96" s="10" t="s">
        <v>148</v>
      </c>
      <c r="BA96" s="20" t="b">
        <v>0</v>
      </c>
      <c r="BB96" s="10"/>
      <c r="BC96" s="17">
        <v>7804</v>
      </c>
      <c r="BD96" s="17">
        <v>5757</v>
      </c>
      <c r="BE96" s="17">
        <v>251721.75</v>
      </c>
      <c r="BF96" s="17">
        <v>3.25</v>
      </c>
      <c r="BG96" s="11">
        <f ca="1">IFERROR(__xludf.DUMMYFUNCTION("""COMPUTED_VALUE"""),45951.0833333333)</f>
        <v>45951.083333333299</v>
      </c>
      <c r="BH96" s="17" t="s">
        <v>105</v>
      </c>
      <c r="BI96" s="17"/>
      <c r="BJ96" s="15"/>
      <c r="BK96" s="15"/>
      <c r="BL96" s="13" t="b">
        <v>1</v>
      </c>
      <c r="BM96" s="10"/>
      <c r="BN96" s="10" t="s">
        <v>1149</v>
      </c>
      <c r="BO96" s="11">
        <v>45826.727777777778</v>
      </c>
      <c r="BP96" s="11">
        <v>45943.84097222222</v>
      </c>
      <c r="BQ96" s="15">
        <v>45945.757199074076</v>
      </c>
      <c r="BR96" s="15">
        <v>45950.004259259258</v>
      </c>
      <c r="BS96" s="10" t="s">
        <v>1149</v>
      </c>
      <c r="BT96" s="10" t="s">
        <v>279</v>
      </c>
      <c r="BU96" s="10" t="s">
        <v>816</v>
      </c>
      <c r="BV96" s="10"/>
      <c r="BW96" s="10"/>
      <c r="BX96" s="10"/>
      <c r="BY96" s="23"/>
      <c r="BZ96" s="24" t="s">
        <v>299</v>
      </c>
      <c r="CA96" s="19" t="s">
        <v>1150</v>
      </c>
      <c r="CB96" s="19" t="s">
        <v>1151</v>
      </c>
      <c r="CC96" s="23"/>
      <c r="CD96" s="19" t="s">
        <v>1152</v>
      </c>
      <c r="CE96" s="23"/>
      <c r="CF96" s="23"/>
      <c r="CG96" s="23"/>
      <c r="CH96" s="23"/>
      <c r="CI96" s="23"/>
    </row>
    <row r="97" spans="1:87" x14ac:dyDescent="0.3">
      <c r="A97" s="9" t="s">
        <v>1153</v>
      </c>
      <c r="B97" s="10" t="s">
        <v>1154</v>
      </c>
      <c r="C97" s="11">
        <v>45956.875</v>
      </c>
      <c r="D97" s="12">
        <v>8.3333333333333329E-2</v>
      </c>
      <c r="E97" s="11">
        <v>45956.958333333336</v>
      </c>
      <c r="F97" s="10" t="s">
        <v>262</v>
      </c>
      <c r="G97" s="13" t="b">
        <v>0</v>
      </c>
      <c r="H97" s="10" t="s">
        <v>527</v>
      </c>
      <c r="I97" s="10" t="s">
        <v>264</v>
      </c>
      <c r="J97" s="13" t="b">
        <v>0</v>
      </c>
      <c r="K97" s="13" t="b">
        <v>1</v>
      </c>
      <c r="L97" s="10" t="s">
        <v>124</v>
      </c>
      <c r="M97" s="10" t="s">
        <v>91</v>
      </c>
      <c r="N97" s="10" t="s">
        <v>265</v>
      </c>
      <c r="O97" s="19" t="s">
        <v>1155</v>
      </c>
      <c r="P97" s="10" t="s">
        <v>575</v>
      </c>
      <c r="Q97" s="10" t="s">
        <v>126</v>
      </c>
      <c r="R97" s="10"/>
      <c r="S97" s="19" t="s">
        <v>1156</v>
      </c>
      <c r="T97" s="10"/>
      <c r="U97" s="10" t="s">
        <v>271</v>
      </c>
      <c r="V97" s="10" t="s">
        <v>320</v>
      </c>
      <c r="W97" s="10" t="s">
        <v>272</v>
      </c>
      <c r="X97" s="10" t="s">
        <v>130</v>
      </c>
      <c r="Y97" s="10" t="s">
        <v>130</v>
      </c>
      <c r="Z97" s="10" t="s">
        <v>99</v>
      </c>
      <c r="AA97" s="10" t="s">
        <v>131</v>
      </c>
      <c r="AB97" s="10" t="s">
        <v>273</v>
      </c>
      <c r="AC97" s="10" t="s">
        <v>274</v>
      </c>
      <c r="AD97" s="10" t="s">
        <v>1157</v>
      </c>
      <c r="AE97" s="10" t="s">
        <v>1158</v>
      </c>
      <c r="AF97" s="15"/>
      <c r="AG97" s="10"/>
      <c r="AH97" s="10"/>
      <c r="AI97" s="10"/>
      <c r="AJ97" s="10" t="s">
        <v>1159</v>
      </c>
      <c r="AK97" s="10" t="s">
        <v>102</v>
      </c>
      <c r="AL97" s="10" t="s">
        <v>205</v>
      </c>
      <c r="AM97" s="10"/>
      <c r="AN97" s="10"/>
      <c r="AO97" s="13" t="b">
        <v>0</v>
      </c>
      <c r="AP97" s="10" t="s">
        <v>104</v>
      </c>
      <c r="AQ97" s="10">
        <f ca="1">IFERROR(__xludf.DUMMYFUNCTION("""COMPUTED_VALUE"""),4668361)</f>
        <v>4668361</v>
      </c>
      <c r="AR97" s="17">
        <v>24561</v>
      </c>
      <c r="AS97" s="17">
        <v>17995</v>
      </c>
      <c r="AT97" s="17">
        <v>71731.25</v>
      </c>
      <c r="AU97" s="17">
        <v>25.9</v>
      </c>
      <c r="AV97" s="17">
        <v>5.55</v>
      </c>
      <c r="AW97" s="10" t="s">
        <v>105</v>
      </c>
      <c r="AX97" s="17">
        <v>2720</v>
      </c>
      <c r="AY97" s="18">
        <v>3.9861767157543762</v>
      </c>
      <c r="AZ97" s="10" t="s">
        <v>148</v>
      </c>
      <c r="BA97" s="20" t="b">
        <v>0</v>
      </c>
      <c r="BB97" s="10"/>
      <c r="BC97" s="17">
        <v>24561</v>
      </c>
      <c r="BD97" s="17">
        <v>17995</v>
      </c>
      <c r="BE97" s="17">
        <v>71731.25</v>
      </c>
      <c r="BF97" s="17">
        <v>5.55</v>
      </c>
      <c r="BG97" s="11">
        <f ca="1">IFERROR(__xludf.DUMMYFUNCTION("""COMPUTED_VALUE"""),45956.875)</f>
        <v>45956.875</v>
      </c>
      <c r="BH97" s="17" t="s">
        <v>105</v>
      </c>
      <c r="BI97" s="17"/>
      <c r="BJ97" s="15"/>
      <c r="BK97" s="15"/>
      <c r="BL97" s="13" t="b">
        <v>0</v>
      </c>
      <c r="BM97" s="10"/>
      <c r="BN97" s="10" t="s">
        <v>1160</v>
      </c>
      <c r="BO97" s="11">
        <v>45827.42083333333</v>
      </c>
      <c r="BP97" s="11">
        <v>45951.51966435185</v>
      </c>
      <c r="BQ97" s="15">
        <v>45953.749027777776</v>
      </c>
      <c r="BR97" s="15">
        <v>45953.830833333333</v>
      </c>
      <c r="BS97" s="10" t="s">
        <v>1160</v>
      </c>
      <c r="BT97" s="10" t="s">
        <v>279</v>
      </c>
      <c r="BU97" s="10" t="s">
        <v>421</v>
      </c>
      <c r="BV97" s="10"/>
      <c r="BW97" s="10"/>
      <c r="BX97" s="10"/>
      <c r="BY97" s="23"/>
      <c r="BZ97" s="24" t="s">
        <v>299</v>
      </c>
      <c r="CA97" s="19" t="s">
        <v>1161</v>
      </c>
      <c r="CB97" s="23"/>
      <c r="CC97" s="23"/>
      <c r="CD97" s="19" t="s">
        <v>1162</v>
      </c>
      <c r="CE97" s="23"/>
      <c r="CF97" s="23"/>
      <c r="CG97" s="23"/>
      <c r="CH97" s="23"/>
      <c r="CI97" s="23"/>
    </row>
    <row r="98" spans="1:87" x14ac:dyDescent="0.3">
      <c r="A98" s="9" t="s">
        <v>1163</v>
      </c>
      <c r="B98" s="10" t="s">
        <v>1164</v>
      </c>
      <c r="C98" s="11">
        <v>45956.875</v>
      </c>
      <c r="D98" s="12">
        <v>8.3333333333333329E-2</v>
      </c>
      <c r="E98" s="11">
        <v>45956.958333333336</v>
      </c>
      <c r="F98" s="10" t="s">
        <v>262</v>
      </c>
      <c r="G98" s="13" t="b">
        <v>1</v>
      </c>
      <c r="H98" s="10" t="s">
        <v>263</v>
      </c>
      <c r="I98" s="10" t="s">
        <v>264</v>
      </c>
      <c r="J98" s="13" t="b">
        <v>0</v>
      </c>
      <c r="K98" s="13" t="b">
        <v>1</v>
      </c>
      <c r="L98" s="10" t="s">
        <v>124</v>
      </c>
      <c r="M98" s="10" t="s">
        <v>91</v>
      </c>
      <c r="N98" s="10" t="s">
        <v>265</v>
      </c>
      <c r="O98" s="19" t="s">
        <v>1165</v>
      </c>
      <c r="P98" s="10" t="s">
        <v>267</v>
      </c>
      <c r="Q98" s="10" t="s">
        <v>126</v>
      </c>
      <c r="R98" s="10"/>
      <c r="S98" s="19" t="s">
        <v>1166</v>
      </c>
      <c r="T98" s="10"/>
      <c r="U98" s="10" t="s">
        <v>362</v>
      </c>
      <c r="V98" s="10" t="s">
        <v>347</v>
      </c>
      <c r="W98" s="10" t="s">
        <v>272</v>
      </c>
      <c r="X98" s="10" t="s">
        <v>130</v>
      </c>
      <c r="Y98" s="10" t="s">
        <v>130</v>
      </c>
      <c r="Z98" s="10" t="s">
        <v>99</v>
      </c>
      <c r="AA98" s="10" t="s">
        <v>131</v>
      </c>
      <c r="AB98" s="10" t="s">
        <v>273</v>
      </c>
      <c r="AC98" s="10" t="s">
        <v>274</v>
      </c>
      <c r="AD98" s="10" t="s">
        <v>1167</v>
      </c>
      <c r="AE98" s="10" t="s">
        <v>1168</v>
      </c>
      <c r="AF98" s="15"/>
      <c r="AG98" s="10"/>
      <c r="AH98" s="10"/>
      <c r="AI98" s="10"/>
      <c r="AJ98" s="10" t="s">
        <v>1169</v>
      </c>
      <c r="AK98" s="10" t="s">
        <v>102</v>
      </c>
      <c r="AL98" s="10" t="s">
        <v>205</v>
      </c>
      <c r="AM98" s="10"/>
      <c r="AN98" s="10"/>
      <c r="AO98" s="13" t="b">
        <v>1</v>
      </c>
      <c r="AP98" s="10" t="s">
        <v>104</v>
      </c>
      <c r="AQ98" s="10">
        <f ca="1">IFERROR(__xludf.DUMMYFUNCTION("""COMPUTED_VALUE"""),4672243)</f>
        <v>4672243</v>
      </c>
      <c r="AR98" s="17">
        <v>271065</v>
      </c>
      <c r="AS98" s="17">
        <v>153478</v>
      </c>
      <c r="AT98" s="17">
        <v>4375518.5</v>
      </c>
      <c r="AU98" s="17">
        <v>2987.1</v>
      </c>
      <c r="AV98" s="17">
        <v>596.4</v>
      </c>
      <c r="AW98" s="10" t="s">
        <v>105</v>
      </c>
      <c r="AX98" s="17">
        <v>53141</v>
      </c>
      <c r="AY98" s="18">
        <v>28.509092508372536</v>
      </c>
      <c r="AZ98" s="10" t="s">
        <v>148</v>
      </c>
      <c r="BA98" s="20" t="b">
        <v>0</v>
      </c>
      <c r="BB98" s="10"/>
      <c r="BC98" s="17">
        <v>271065</v>
      </c>
      <c r="BD98" s="17">
        <v>153478</v>
      </c>
      <c r="BE98" s="17">
        <v>4375518.5</v>
      </c>
      <c r="BF98" s="17">
        <v>596.4</v>
      </c>
      <c r="BG98" s="11">
        <f ca="1">IFERROR(__xludf.DUMMYFUNCTION("""COMPUTED_VALUE"""),45956.8541666666)</f>
        <v>45956.854166666599</v>
      </c>
      <c r="BH98" s="17" t="s">
        <v>105</v>
      </c>
      <c r="BI98" s="17"/>
      <c r="BJ98" s="15"/>
      <c r="BK98" s="15"/>
      <c r="BL98" s="13" t="b">
        <v>1</v>
      </c>
      <c r="BM98" s="10"/>
      <c r="BN98" s="10" t="s">
        <v>351</v>
      </c>
      <c r="BO98" s="11">
        <v>45827.42083333333</v>
      </c>
      <c r="BP98" s="11">
        <v>45951.518055555556</v>
      </c>
      <c r="BQ98" s="15">
        <v>45953.748854166668</v>
      </c>
      <c r="BR98" s="15">
        <v>45956.610405092593</v>
      </c>
      <c r="BS98" s="10"/>
      <c r="BT98" s="10" t="s">
        <v>279</v>
      </c>
      <c r="BU98" s="10" t="s">
        <v>298</v>
      </c>
      <c r="BV98" s="10" t="s">
        <v>281</v>
      </c>
      <c r="BW98" s="10"/>
      <c r="BX98" s="10"/>
      <c r="BY98" s="23"/>
      <c r="BZ98" s="24" t="s">
        <v>284</v>
      </c>
      <c r="CA98" s="19" t="s">
        <v>1170</v>
      </c>
      <c r="CB98" s="23"/>
      <c r="CC98" s="23"/>
      <c r="CD98" s="19" t="s">
        <v>1171</v>
      </c>
      <c r="CE98" s="23"/>
      <c r="CF98" s="23"/>
      <c r="CG98" s="23"/>
      <c r="CH98" s="23"/>
      <c r="CI98" s="23"/>
    </row>
    <row r="99" spans="1:87" x14ac:dyDescent="0.3">
      <c r="A99" s="9" t="s">
        <v>1172</v>
      </c>
      <c r="B99" s="10" t="s">
        <v>1173</v>
      </c>
      <c r="C99" s="11">
        <v>45956.875</v>
      </c>
      <c r="D99" s="12">
        <v>8.3333333333333329E-2</v>
      </c>
      <c r="E99" s="11">
        <v>45956.958333333336</v>
      </c>
      <c r="F99" s="10" t="s">
        <v>262</v>
      </c>
      <c r="G99" s="13" t="b">
        <v>0</v>
      </c>
      <c r="H99" s="10" t="s">
        <v>305</v>
      </c>
      <c r="I99" s="10" t="s">
        <v>264</v>
      </c>
      <c r="J99" s="13" t="b">
        <v>0</v>
      </c>
      <c r="K99" s="13" t="b">
        <v>1</v>
      </c>
      <c r="L99" s="10" t="s">
        <v>124</v>
      </c>
      <c r="M99" s="10" t="s">
        <v>91</v>
      </c>
      <c r="N99" s="10" t="s">
        <v>265</v>
      </c>
      <c r="O99" s="19" t="s">
        <v>1174</v>
      </c>
      <c r="P99" s="10"/>
      <c r="Q99" s="10" t="s">
        <v>126</v>
      </c>
      <c r="R99" s="10"/>
      <c r="S99" s="19" t="s">
        <v>1175</v>
      </c>
      <c r="T99" s="10"/>
      <c r="U99" s="10" t="s">
        <v>292</v>
      </c>
      <c r="V99" s="10" t="s">
        <v>334</v>
      </c>
      <c r="W99" s="10" t="s">
        <v>272</v>
      </c>
      <c r="X99" s="10" t="s">
        <v>130</v>
      </c>
      <c r="Y99" s="10" t="s">
        <v>130</v>
      </c>
      <c r="Z99" s="10" t="s">
        <v>99</v>
      </c>
      <c r="AA99" s="10" t="s">
        <v>131</v>
      </c>
      <c r="AB99" s="10" t="s">
        <v>273</v>
      </c>
      <c r="AC99" s="10" t="s">
        <v>274</v>
      </c>
      <c r="AD99" s="10" t="s">
        <v>1176</v>
      </c>
      <c r="AE99" s="10" t="s">
        <v>1177</v>
      </c>
      <c r="AF99" s="15"/>
      <c r="AG99" s="10"/>
      <c r="AH99" s="10"/>
      <c r="AI99" s="10"/>
      <c r="AJ99" s="10" t="s">
        <v>1178</v>
      </c>
      <c r="AK99" s="10" t="s">
        <v>102</v>
      </c>
      <c r="AL99" s="10" t="s">
        <v>205</v>
      </c>
      <c r="AM99" s="10"/>
      <c r="AN99" s="10"/>
      <c r="AO99" s="13" t="b">
        <v>1</v>
      </c>
      <c r="AP99" s="10" t="s">
        <v>104</v>
      </c>
      <c r="AQ99" s="10">
        <f ca="1">IFERROR(__xludf.DUMMYFUNCTION("""COMPUTED_VALUE"""),4668357)</f>
        <v>4668357</v>
      </c>
      <c r="AR99" s="17">
        <v>181536</v>
      </c>
      <c r="AS99" s="17">
        <v>99198</v>
      </c>
      <c r="AT99" s="17">
        <v>2241332</v>
      </c>
      <c r="AU99" s="17">
        <v>1420.45</v>
      </c>
      <c r="AV99" s="17">
        <v>301.10000000000002</v>
      </c>
      <c r="AW99" s="10" t="s">
        <v>105</v>
      </c>
      <c r="AX99" s="17">
        <v>33688</v>
      </c>
      <c r="AY99" s="18">
        <v>22.594528115486199</v>
      </c>
      <c r="AZ99" s="10" t="s">
        <v>148</v>
      </c>
      <c r="BA99" s="20" t="b">
        <v>0</v>
      </c>
      <c r="BB99" s="10"/>
      <c r="BC99" s="17">
        <v>181536</v>
      </c>
      <c r="BD99" s="17">
        <v>99198</v>
      </c>
      <c r="BE99" s="17">
        <v>2241332</v>
      </c>
      <c r="BF99" s="17">
        <v>301.10000000000002</v>
      </c>
      <c r="BG99" s="11">
        <f ca="1">IFERROR(__xludf.DUMMYFUNCTION("""COMPUTED_VALUE"""),45956.875)</f>
        <v>45956.875</v>
      </c>
      <c r="BH99" s="17" t="s">
        <v>105</v>
      </c>
      <c r="BI99" s="17"/>
      <c r="BJ99" s="15"/>
      <c r="BK99" s="15"/>
      <c r="BL99" s="13" t="b">
        <v>1</v>
      </c>
      <c r="BM99" s="10"/>
      <c r="BN99" s="10" t="s">
        <v>351</v>
      </c>
      <c r="BO99" s="11">
        <v>45827.42083333333</v>
      </c>
      <c r="BP99" s="11">
        <v>45951.518622685187</v>
      </c>
      <c r="BQ99" s="15">
        <v>45953.748935185184</v>
      </c>
      <c r="BR99" s="15">
        <v>45953.831643518519</v>
      </c>
      <c r="BS99" s="10"/>
      <c r="BT99" s="10" t="s">
        <v>279</v>
      </c>
      <c r="BU99" s="10" t="s">
        <v>280</v>
      </c>
      <c r="BV99" s="10" t="s">
        <v>281</v>
      </c>
      <c r="BW99" s="10"/>
      <c r="BX99" s="10"/>
      <c r="BY99" s="23"/>
      <c r="BZ99" s="24" t="s">
        <v>284</v>
      </c>
      <c r="CA99" s="19" t="s">
        <v>1179</v>
      </c>
      <c r="CB99" s="23"/>
      <c r="CC99" s="23"/>
      <c r="CD99" s="19" t="s">
        <v>1180</v>
      </c>
      <c r="CE99" s="23"/>
      <c r="CF99" s="23"/>
      <c r="CG99" s="23"/>
      <c r="CH99" s="23"/>
      <c r="CI99" s="23"/>
    </row>
    <row r="100" spans="1:87" x14ac:dyDescent="0.3">
      <c r="A100" s="9" t="s">
        <v>1181</v>
      </c>
      <c r="B100" s="10" t="s">
        <v>1182</v>
      </c>
      <c r="C100" s="11">
        <v>45956.083333333336</v>
      </c>
      <c r="D100" s="12">
        <v>8.3333333333333329E-2</v>
      </c>
      <c r="E100" s="11">
        <v>45956.166666666664</v>
      </c>
      <c r="F100" s="10" t="s">
        <v>262</v>
      </c>
      <c r="G100" s="13" t="b">
        <v>1</v>
      </c>
      <c r="H100" s="10" t="s">
        <v>263</v>
      </c>
      <c r="I100" s="10" t="s">
        <v>264</v>
      </c>
      <c r="J100" s="13" t="b">
        <v>0</v>
      </c>
      <c r="K100" s="13" t="b">
        <v>1</v>
      </c>
      <c r="L100" s="10" t="s">
        <v>124</v>
      </c>
      <c r="M100" s="10" t="s">
        <v>91</v>
      </c>
      <c r="N100" s="10" t="s">
        <v>265</v>
      </c>
      <c r="O100" s="19" t="s">
        <v>1183</v>
      </c>
      <c r="P100" s="10" t="s">
        <v>267</v>
      </c>
      <c r="Q100" s="10" t="s">
        <v>126</v>
      </c>
      <c r="R100" s="10"/>
      <c r="S100" s="19" t="s">
        <v>1184</v>
      </c>
      <c r="T100" s="10"/>
      <c r="U100" s="10" t="s">
        <v>321</v>
      </c>
      <c r="V100" s="10" t="s">
        <v>270</v>
      </c>
      <c r="W100" s="10" t="s">
        <v>272</v>
      </c>
      <c r="X100" s="10" t="s">
        <v>130</v>
      </c>
      <c r="Y100" s="10" t="s">
        <v>130</v>
      </c>
      <c r="Z100" s="10" t="s">
        <v>99</v>
      </c>
      <c r="AA100" s="10" t="s">
        <v>131</v>
      </c>
      <c r="AB100" s="10" t="s">
        <v>273</v>
      </c>
      <c r="AC100" s="10" t="s">
        <v>274</v>
      </c>
      <c r="AD100" s="10" t="s">
        <v>1185</v>
      </c>
      <c r="AE100" s="10" t="s">
        <v>1186</v>
      </c>
      <c r="AF100" s="15"/>
      <c r="AG100" s="10"/>
      <c r="AH100" s="10"/>
      <c r="AI100" s="10"/>
      <c r="AJ100" s="10" t="s">
        <v>1187</v>
      </c>
      <c r="AK100" s="10" t="s">
        <v>102</v>
      </c>
      <c r="AL100" s="10" t="s">
        <v>205</v>
      </c>
      <c r="AM100" s="10"/>
      <c r="AN100" s="10"/>
      <c r="AO100" s="13" t="b">
        <v>1</v>
      </c>
      <c r="AP100" s="10" t="s">
        <v>104</v>
      </c>
      <c r="AQ100" s="10">
        <f ca="1">IFERROR(__xludf.DUMMYFUNCTION("""COMPUTED_VALUE"""),4668362)</f>
        <v>4668362</v>
      </c>
      <c r="AR100" s="17">
        <v>93712</v>
      </c>
      <c r="AS100" s="17">
        <v>55239</v>
      </c>
      <c r="AT100" s="17">
        <v>3251103.5</v>
      </c>
      <c r="AU100" s="17">
        <v>465.9</v>
      </c>
      <c r="AV100" s="17">
        <v>55.2</v>
      </c>
      <c r="AW100" s="10" t="s">
        <v>105</v>
      </c>
      <c r="AX100" s="17">
        <v>35169</v>
      </c>
      <c r="AY100" s="18">
        <v>58.855220043809631</v>
      </c>
      <c r="AZ100" s="10" t="s">
        <v>148</v>
      </c>
      <c r="BA100" s="20" t="b">
        <v>0</v>
      </c>
      <c r="BB100" s="10"/>
      <c r="BC100" s="17">
        <v>93712</v>
      </c>
      <c r="BD100" s="17">
        <v>55239</v>
      </c>
      <c r="BE100" s="17">
        <v>3251103.5</v>
      </c>
      <c r="BF100" s="17">
        <v>55.2</v>
      </c>
      <c r="BG100" s="11">
        <f ca="1">IFERROR(__xludf.DUMMYFUNCTION("""COMPUTED_VALUE"""),45956.0625)</f>
        <v>45956.0625</v>
      </c>
      <c r="BH100" s="17" t="s">
        <v>105</v>
      </c>
      <c r="BI100" s="17"/>
      <c r="BJ100" s="15"/>
      <c r="BK100" s="15"/>
      <c r="BL100" s="13" t="b">
        <v>1</v>
      </c>
      <c r="BM100" s="10"/>
      <c r="BN100" s="10" t="s">
        <v>351</v>
      </c>
      <c r="BO100" s="11">
        <v>45827.42083333333</v>
      </c>
      <c r="BP100" s="11">
        <v>45951.516793981478</v>
      </c>
      <c r="BQ100" s="15">
        <v>45953.748668981483</v>
      </c>
      <c r="BR100" s="15">
        <v>45953.835335648146</v>
      </c>
      <c r="BS100" s="10"/>
      <c r="BT100" s="10" t="s">
        <v>279</v>
      </c>
      <c r="BU100" s="10" t="s">
        <v>298</v>
      </c>
      <c r="BV100" s="10"/>
      <c r="BW100" s="10"/>
      <c r="BX100" s="10"/>
      <c r="BY100" s="23"/>
      <c r="BZ100" s="24" t="s">
        <v>284</v>
      </c>
      <c r="CA100" s="19" t="s">
        <v>1188</v>
      </c>
      <c r="CB100" s="23"/>
      <c r="CC100" s="23"/>
      <c r="CD100" s="19" t="s">
        <v>1189</v>
      </c>
      <c r="CE100" s="23"/>
      <c r="CF100" s="23"/>
      <c r="CG100" s="23"/>
      <c r="CH100" s="23"/>
      <c r="CI100" s="23"/>
    </row>
    <row r="101" spans="1:87" x14ac:dyDescent="0.3">
      <c r="A101" s="9" t="s">
        <v>1190</v>
      </c>
      <c r="B101" s="10" t="s">
        <v>1191</v>
      </c>
      <c r="C101" s="11">
        <v>45955.875</v>
      </c>
      <c r="D101" s="12">
        <v>8.3333333333333329E-2</v>
      </c>
      <c r="E101" s="11">
        <v>45955.958333333336</v>
      </c>
      <c r="F101" s="10" t="s">
        <v>262</v>
      </c>
      <c r="G101" s="13" t="b">
        <v>1</v>
      </c>
      <c r="H101" s="10" t="s">
        <v>263</v>
      </c>
      <c r="I101" s="10" t="s">
        <v>264</v>
      </c>
      <c r="J101" s="13" t="b">
        <v>0</v>
      </c>
      <c r="K101" s="13" t="b">
        <v>1</v>
      </c>
      <c r="L101" s="10" t="s">
        <v>124</v>
      </c>
      <c r="M101" s="10" t="s">
        <v>91</v>
      </c>
      <c r="N101" s="10" t="s">
        <v>265</v>
      </c>
      <c r="O101" s="19" t="s">
        <v>1192</v>
      </c>
      <c r="P101" s="10" t="s">
        <v>267</v>
      </c>
      <c r="Q101" s="10" t="s">
        <v>126</v>
      </c>
      <c r="R101" s="10"/>
      <c r="S101" s="19" t="s">
        <v>1193</v>
      </c>
      <c r="T101" s="10"/>
      <c r="U101" s="10" t="s">
        <v>346</v>
      </c>
      <c r="V101" s="10" t="s">
        <v>588</v>
      </c>
      <c r="W101" s="10" t="s">
        <v>272</v>
      </c>
      <c r="X101" s="10" t="s">
        <v>130</v>
      </c>
      <c r="Y101" s="10" t="s">
        <v>130</v>
      </c>
      <c r="Z101" s="10" t="s">
        <v>99</v>
      </c>
      <c r="AA101" s="10" t="s">
        <v>131</v>
      </c>
      <c r="AB101" s="10" t="s">
        <v>273</v>
      </c>
      <c r="AC101" s="10" t="s">
        <v>274</v>
      </c>
      <c r="AD101" s="10" t="s">
        <v>1194</v>
      </c>
      <c r="AE101" s="10" t="s">
        <v>1195</v>
      </c>
      <c r="AF101" s="15"/>
      <c r="AG101" s="10"/>
      <c r="AH101" s="10"/>
      <c r="AI101" s="10"/>
      <c r="AJ101" s="10" t="s">
        <v>1196</v>
      </c>
      <c r="AK101" s="10" t="s">
        <v>102</v>
      </c>
      <c r="AL101" s="10" t="s">
        <v>205</v>
      </c>
      <c r="AM101" s="10"/>
      <c r="AN101" s="10"/>
      <c r="AO101" s="13" t="b">
        <v>1</v>
      </c>
      <c r="AP101" s="10" t="s">
        <v>104</v>
      </c>
      <c r="AQ101" s="10">
        <f ca="1">IFERROR(__xludf.DUMMYFUNCTION("""COMPUTED_VALUE"""),4668355)</f>
        <v>4668355</v>
      </c>
      <c r="AR101" s="17">
        <v>272746</v>
      </c>
      <c r="AS101" s="17">
        <v>157328</v>
      </c>
      <c r="AT101" s="17">
        <v>5790690</v>
      </c>
      <c r="AU101" s="17">
        <v>5369.6</v>
      </c>
      <c r="AV101" s="17">
        <v>566.5</v>
      </c>
      <c r="AW101" s="10" t="s">
        <v>105</v>
      </c>
      <c r="AX101" s="17">
        <v>61268</v>
      </c>
      <c r="AY101" s="18">
        <v>36.806480728160274</v>
      </c>
      <c r="AZ101" s="10" t="s">
        <v>148</v>
      </c>
      <c r="BA101" s="20" t="b">
        <v>0</v>
      </c>
      <c r="BB101" s="10"/>
      <c r="BC101" s="17">
        <v>272746</v>
      </c>
      <c r="BD101" s="17">
        <v>157328</v>
      </c>
      <c r="BE101" s="17">
        <v>5790690</v>
      </c>
      <c r="BF101" s="17">
        <v>566.5</v>
      </c>
      <c r="BG101" s="11">
        <f ca="1">IFERROR(__xludf.DUMMYFUNCTION("""COMPUTED_VALUE"""),45955.8541666666)</f>
        <v>45955.854166666599</v>
      </c>
      <c r="BH101" s="17" t="s">
        <v>105</v>
      </c>
      <c r="BI101" s="17"/>
      <c r="BJ101" s="15"/>
      <c r="BK101" s="15"/>
      <c r="BL101" s="13" t="b">
        <v>1</v>
      </c>
      <c r="BM101" s="10"/>
      <c r="BN101" s="10" t="s">
        <v>351</v>
      </c>
      <c r="BO101" s="11">
        <v>45827.42083333333</v>
      </c>
      <c r="BP101" s="11">
        <v>45951.513101851851</v>
      </c>
      <c r="BQ101" s="15">
        <v>45953.748379629629</v>
      </c>
      <c r="BR101" s="15">
        <v>45953.834826388891</v>
      </c>
      <c r="BS101" s="10"/>
      <c r="BT101" s="10" t="s">
        <v>279</v>
      </c>
      <c r="BU101" s="10" t="s">
        <v>298</v>
      </c>
      <c r="BV101" s="10" t="s">
        <v>281</v>
      </c>
      <c r="BW101" s="10"/>
      <c r="BX101" s="10"/>
      <c r="BY101" s="23"/>
      <c r="BZ101" s="24" t="s">
        <v>284</v>
      </c>
      <c r="CA101" s="19" t="s">
        <v>1197</v>
      </c>
      <c r="CB101" s="23"/>
      <c r="CC101" s="23"/>
      <c r="CD101" s="19" t="s">
        <v>1198</v>
      </c>
      <c r="CE101" s="23"/>
      <c r="CF101" s="23"/>
      <c r="CG101" s="23"/>
      <c r="CH101" s="23"/>
      <c r="CI101" s="23"/>
    </row>
    <row r="102" spans="1:87" x14ac:dyDescent="0.3">
      <c r="A102" s="9" t="s">
        <v>1199</v>
      </c>
      <c r="B102" s="10" t="s">
        <v>1200</v>
      </c>
      <c r="C102" s="11">
        <v>45956.979166666664</v>
      </c>
      <c r="D102" s="12">
        <v>8.3333333333333329E-2</v>
      </c>
      <c r="E102" s="11">
        <v>45957.0625</v>
      </c>
      <c r="F102" s="10" t="s">
        <v>262</v>
      </c>
      <c r="G102" s="13" t="b">
        <v>1</v>
      </c>
      <c r="H102" s="10" t="s">
        <v>263</v>
      </c>
      <c r="I102" s="10" t="s">
        <v>264</v>
      </c>
      <c r="J102" s="13" t="b">
        <v>0</v>
      </c>
      <c r="K102" s="13" t="b">
        <v>1</v>
      </c>
      <c r="L102" s="10" t="s">
        <v>124</v>
      </c>
      <c r="M102" s="10" t="s">
        <v>91</v>
      </c>
      <c r="N102" s="10" t="s">
        <v>265</v>
      </c>
      <c r="O102" s="19" t="s">
        <v>1201</v>
      </c>
      <c r="P102" s="10" t="s">
        <v>331</v>
      </c>
      <c r="Q102" s="10" t="s">
        <v>1094</v>
      </c>
      <c r="R102" s="10"/>
      <c r="S102" s="19" t="s">
        <v>1202</v>
      </c>
      <c r="T102" s="10"/>
      <c r="U102" s="10" t="s">
        <v>407</v>
      </c>
      <c r="V102" s="10" t="s">
        <v>429</v>
      </c>
      <c r="W102" s="10" t="s">
        <v>272</v>
      </c>
      <c r="X102" s="10" t="s">
        <v>130</v>
      </c>
      <c r="Y102" s="10" t="s">
        <v>130</v>
      </c>
      <c r="Z102" s="10" t="s">
        <v>99</v>
      </c>
      <c r="AA102" s="10" t="s">
        <v>131</v>
      </c>
      <c r="AB102" s="10" t="s">
        <v>273</v>
      </c>
      <c r="AC102" s="10" t="s">
        <v>274</v>
      </c>
      <c r="AD102" s="10" t="s">
        <v>1203</v>
      </c>
      <c r="AE102" s="10" t="s">
        <v>1204</v>
      </c>
      <c r="AF102" s="15"/>
      <c r="AG102" s="10"/>
      <c r="AH102" s="10"/>
      <c r="AI102" s="10"/>
      <c r="AJ102" s="10" t="s">
        <v>1205</v>
      </c>
      <c r="AK102" s="10" t="s">
        <v>102</v>
      </c>
      <c r="AL102" s="10" t="s">
        <v>205</v>
      </c>
      <c r="AM102" s="10"/>
      <c r="AN102" s="10"/>
      <c r="AO102" s="13" t="b">
        <v>1</v>
      </c>
      <c r="AP102" s="10" t="s">
        <v>104</v>
      </c>
      <c r="AQ102" s="10">
        <f ca="1">IFERROR(__xludf.DUMMYFUNCTION("""COMPUTED_VALUE"""),4672242)</f>
        <v>4672242</v>
      </c>
      <c r="AR102" s="17">
        <v>66874</v>
      </c>
      <c r="AS102" s="17">
        <v>56743</v>
      </c>
      <c r="AT102" s="17">
        <v>947086.75</v>
      </c>
      <c r="AU102" s="17">
        <v>192.1</v>
      </c>
      <c r="AV102" s="17">
        <v>49.1</v>
      </c>
      <c r="AW102" s="10" t="s">
        <v>105</v>
      </c>
      <c r="AX102" s="17">
        <v>18155</v>
      </c>
      <c r="AY102" s="18">
        <v>16.690812082547627</v>
      </c>
      <c r="AZ102" s="10" t="s">
        <v>148</v>
      </c>
      <c r="BA102" s="20" t="b">
        <v>0</v>
      </c>
      <c r="BB102" s="10"/>
      <c r="BC102" s="17">
        <v>66874</v>
      </c>
      <c r="BD102" s="17">
        <v>56743</v>
      </c>
      <c r="BE102" s="17">
        <v>947086.75</v>
      </c>
      <c r="BF102" s="17">
        <v>49.1</v>
      </c>
      <c r="BG102" s="11">
        <f ca="1">IFERROR(__xludf.DUMMYFUNCTION("""COMPUTED_VALUE"""),45956.9583333333)</f>
        <v>45956.958333333299</v>
      </c>
      <c r="BH102" s="17" t="s">
        <v>105</v>
      </c>
      <c r="BI102" s="17"/>
      <c r="BJ102" s="15"/>
      <c r="BK102" s="15"/>
      <c r="BL102" s="13" t="b">
        <v>0</v>
      </c>
      <c r="BM102" s="10"/>
      <c r="BN102" s="10" t="s">
        <v>197</v>
      </c>
      <c r="BO102" s="11">
        <v>45827.42083333333</v>
      </c>
      <c r="BP102" s="11">
        <v>45951.522696759261</v>
      </c>
      <c r="BQ102" s="15">
        <v>45953.749201388891</v>
      </c>
      <c r="BR102" s="15">
        <v>45956.610625000001</v>
      </c>
      <c r="BS102" s="10" t="s">
        <v>197</v>
      </c>
      <c r="BT102" s="10" t="s">
        <v>279</v>
      </c>
      <c r="BU102" s="10" t="s">
        <v>298</v>
      </c>
      <c r="BV102" s="10"/>
      <c r="BW102" s="10"/>
      <c r="BX102" s="10"/>
      <c r="BY102" s="23"/>
      <c r="BZ102" s="24" t="s">
        <v>284</v>
      </c>
      <c r="CA102" s="19" t="s">
        <v>1206</v>
      </c>
      <c r="CB102" s="23"/>
      <c r="CC102" s="23"/>
      <c r="CD102" s="19" t="s">
        <v>1207</v>
      </c>
      <c r="CE102" s="23"/>
      <c r="CF102" s="23"/>
      <c r="CG102" s="23"/>
      <c r="CH102" s="23"/>
      <c r="CI102" s="23"/>
    </row>
    <row r="103" spans="1:87" x14ac:dyDescent="0.3">
      <c r="A103" s="9" t="s">
        <v>1208</v>
      </c>
      <c r="B103" s="10" t="s">
        <v>1209</v>
      </c>
      <c r="C103" s="11">
        <v>45955.083333333336</v>
      </c>
      <c r="D103" s="12">
        <v>8.3333333333333329E-2</v>
      </c>
      <c r="E103" s="11">
        <v>45955.166666666664</v>
      </c>
      <c r="F103" s="10" t="s">
        <v>262</v>
      </c>
      <c r="G103" s="13" t="b">
        <v>0</v>
      </c>
      <c r="H103" s="10" t="s">
        <v>263</v>
      </c>
      <c r="I103" s="10" t="s">
        <v>264</v>
      </c>
      <c r="J103" s="13" t="b">
        <v>0</v>
      </c>
      <c r="K103" s="13" t="b">
        <v>1</v>
      </c>
      <c r="L103" s="10" t="s">
        <v>124</v>
      </c>
      <c r="M103" s="10" t="s">
        <v>91</v>
      </c>
      <c r="N103" s="10" t="s">
        <v>265</v>
      </c>
      <c r="O103" s="19" t="s">
        <v>1210</v>
      </c>
      <c r="P103" s="10" t="s">
        <v>331</v>
      </c>
      <c r="Q103" s="10" t="s">
        <v>126</v>
      </c>
      <c r="R103" s="10"/>
      <c r="S103" s="19" t="s">
        <v>1211</v>
      </c>
      <c r="T103" s="10"/>
      <c r="U103" s="10" t="s">
        <v>663</v>
      </c>
      <c r="V103" s="10" t="s">
        <v>451</v>
      </c>
      <c r="W103" s="10" t="s">
        <v>272</v>
      </c>
      <c r="X103" s="10" t="s">
        <v>130</v>
      </c>
      <c r="Y103" s="10" t="s">
        <v>130</v>
      </c>
      <c r="Z103" s="10" t="s">
        <v>99</v>
      </c>
      <c r="AA103" s="10" t="s">
        <v>131</v>
      </c>
      <c r="AB103" s="10" t="s">
        <v>273</v>
      </c>
      <c r="AC103" s="10" t="s">
        <v>274</v>
      </c>
      <c r="AD103" s="10" t="s">
        <v>1212</v>
      </c>
      <c r="AE103" s="10" t="s">
        <v>1213</v>
      </c>
      <c r="AF103" s="15"/>
      <c r="AG103" s="10"/>
      <c r="AH103" s="10"/>
      <c r="AI103" s="10"/>
      <c r="AJ103" s="10" t="s">
        <v>1214</v>
      </c>
      <c r="AK103" s="10" t="s">
        <v>102</v>
      </c>
      <c r="AL103" s="10" t="s">
        <v>205</v>
      </c>
      <c r="AM103" s="10"/>
      <c r="AN103" s="10"/>
      <c r="AO103" s="13" t="b">
        <v>0</v>
      </c>
      <c r="AP103" s="10" t="s">
        <v>104</v>
      </c>
      <c r="AQ103" s="10">
        <f ca="1">IFERROR(__xludf.DUMMYFUNCTION("""COMPUTED_VALUE"""),4668387)</f>
        <v>4668387</v>
      </c>
      <c r="AR103" s="17">
        <v>21613</v>
      </c>
      <c r="AS103" s="17">
        <v>18662</v>
      </c>
      <c r="AT103" s="17">
        <v>357009.25</v>
      </c>
      <c r="AU103" s="17">
        <v>58.75</v>
      </c>
      <c r="AV103" s="17">
        <v>3.2</v>
      </c>
      <c r="AW103" s="10" t="s">
        <v>105</v>
      </c>
      <c r="AX103" s="17">
        <v>8335</v>
      </c>
      <c r="AY103" s="18">
        <v>19.130278105240595</v>
      </c>
      <c r="AZ103" s="10" t="s">
        <v>148</v>
      </c>
      <c r="BA103" s="20" t="b">
        <v>0</v>
      </c>
      <c r="BB103" s="10"/>
      <c r="BC103" s="17">
        <v>21613</v>
      </c>
      <c r="BD103" s="17">
        <v>18662</v>
      </c>
      <c r="BE103" s="17">
        <v>357009.25</v>
      </c>
      <c r="BF103" s="17">
        <v>3.2</v>
      </c>
      <c r="BG103" s="11">
        <f ca="1">IFERROR(__xludf.DUMMYFUNCTION("""COMPUTED_VALUE"""),45955.0833333333)</f>
        <v>45955.083333333299</v>
      </c>
      <c r="BH103" s="17" t="s">
        <v>105</v>
      </c>
      <c r="BI103" s="17"/>
      <c r="BJ103" s="15"/>
      <c r="BK103" s="15"/>
      <c r="BL103" s="13" t="b">
        <v>0</v>
      </c>
      <c r="BM103" s="10"/>
      <c r="BN103" s="10" t="s">
        <v>157</v>
      </c>
      <c r="BO103" s="11">
        <v>45827.420937499999</v>
      </c>
      <c r="BP103" s="11">
        <v>45951.511828703704</v>
      </c>
      <c r="BQ103" s="15">
        <v>45953.748206018521</v>
      </c>
      <c r="BR103" s="15">
        <v>45953.932615740741</v>
      </c>
      <c r="BS103" s="10" t="s">
        <v>157</v>
      </c>
      <c r="BT103" s="10" t="s">
        <v>99</v>
      </c>
      <c r="BU103" s="10" t="s">
        <v>298</v>
      </c>
      <c r="BV103" s="10"/>
      <c r="BW103" s="10"/>
      <c r="BX103" s="10"/>
      <c r="BY103" s="23"/>
      <c r="BZ103" s="24" t="s">
        <v>299</v>
      </c>
      <c r="CA103" s="19" t="s">
        <v>1215</v>
      </c>
      <c r="CB103" s="23"/>
      <c r="CC103" s="23"/>
      <c r="CD103" s="19" t="s">
        <v>1216</v>
      </c>
      <c r="CE103" s="23"/>
      <c r="CF103" s="23"/>
      <c r="CG103" s="23"/>
      <c r="CH103" s="23"/>
      <c r="CI103" s="23"/>
    </row>
    <row r="104" spans="1:87" x14ac:dyDescent="0.3">
      <c r="A104" s="9" t="s">
        <v>1217</v>
      </c>
      <c r="B104" s="10" t="s">
        <v>1218</v>
      </c>
      <c r="C104" s="11">
        <v>45955.979166666664</v>
      </c>
      <c r="D104" s="12">
        <v>8.3333333333333329E-2</v>
      </c>
      <c r="E104" s="11">
        <v>45956.0625</v>
      </c>
      <c r="F104" s="10" t="s">
        <v>262</v>
      </c>
      <c r="G104" s="13" t="b">
        <v>1</v>
      </c>
      <c r="H104" s="10" t="s">
        <v>263</v>
      </c>
      <c r="I104" s="10" t="s">
        <v>264</v>
      </c>
      <c r="J104" s="13" t="b">
        <v>0</v>
      </c>
      <c r="K104" s="13" t="b">
        <v>1</v>
      </c>
      <c r="L104" s="10" t="s">
        <v>124</v>
      </c>
      <c r="M104" s="10" t="s">
        <v>91</v>
      </c>
      <c r="N104" s="10" t="s">
        <v>265</v>
      </c>
      <c r="O104" s="19" t="s">
        <v>1219</v>
      </c>
      <c r="P104" s="10" t="s">
        <v>331</v>
      </c>
      <c r="Q104" s="10" t="s">
        <v>126</v>
      </c>
      <c r="R104" s="10"/>
      <c r="S104" s="19" t="s">
        <v>1220</v>
      </c>
      <c r="T104" s="10"/>
      <c r="U104" s="10" t="s">
        <v>361</v>
      </c>
      <c r="V104" s="10" t="s">
        <v>308</v>
      </c>
      <c r="W104" s="10" t="s">
        <v>272</v>
      </c>
      <c r="X104" s="10" t="s">
        <v>130</v>
      </c>
      <c r="Y104" s="10" t="s">
        <v>130</v>
      </c>
      <c r="Z104" s="10" t="s">
        <v>99</v>
      </c>
      <c r="AA104" s="10" t="s">
        <v>131</v>
      </c>
      <c r="AB104" s="10" t="s">
        <v>273</v>
      </c>
      <c r="AC104" s="10" t="s">
        <v>274</v>
      </c>
      <c r="AD104" s="10" t="s">
        <v>1221</v>
      </c>
      <c r="AE104" s="10" t="s">
        <v>1222</v>
      </c>
      <c r="AF104" s="15"/>
      <c r="AG104" s="10"/>
      <c r="AH104" s="10"/>
      <c r="AI104" s="10"/>
      <c r="AJ104" s="10" t="s">
        <v>1223</v>
      </c>
      <c r="AK104" s="10" t="s">
        <v>102</v>
      </c>
      <c r="AL104" s="10" t="s">
        <v>205</v>
      </c>
      <c r="AM104" s="10"/>
      <c r="AN104" s="10"/>
      <c r="AO104" s="13" t="b">
        <v>1</v>
      </c>
      <c r="AP104" s="10" t="s">
        <v>104</v>
      </c>
      <c r="AQ104" s="10">
        <f ca="1">IFERROR(__xludf.DUMMYFUNCTION("""COMPUTED_VALUE"""),4668360)</f>
        <v>4668360</v>
      </c>
      <c r="AR104" s="17">
        <v>260345</v>
      </c>
      <c r="AS104" s="17">
        <v>188965</v>
      </c>
      <c r="AT104" s="17">
        <v>5240755</v>
      </c>
      <c r="AU104" s="17">
        <v>5130.6499999999996</v>
      </c>
      <c r="AV104" s="17">
        <v>575.15</v>
      </c>
      <c r="AW104" s="10" t="s">
        <v>105</v>
      </c>
      <c r="AX104" s="17">
        <v>82225</v>
      </c>
      <c r="AY104" s="18">
        <v>27.733998359484559</v>
      </c>
      <c r="AZ104" s="10" t="s">
        <v>148</v>
      </c>
      <c r="BA104" s="20" t="b">
        <v>0</v>
      </c>
      <c r="BB104" s="10"/>
      <c r="BC104" s="17">
        <v>260345</v>
      </c>
      <c r="BD104" s="17">
        <v>188965</v>
      </c>
      <c r="BE104" s="17">
        <v>5240755</v>
      </c>
      <c r="BF104" s="17">
        <v>575.15</v>
      </c>
      <c r="BG104" s="11">
        <f ca="1">IFERROR(__xludf.DUMMYFUNCTION("""COMPUTED_VALUE"""),45955.9583333333)</f>
        <v>45955.958333333299</v>
      </c>
      <c r="BH104" s="17" t="s">
        <v>105</v>
      </c>
      <c r="BI104" s="17"/>
      <c r="BJ104" s="15"/>
      <c r="BK104" s="15"/>
      <c r="BL104" s="13" t="b">
        <v>0</v>
      </c>
      <c r="BM104" s="10"/>
      <c r="BN104" s="10" t="s">
        <v>197</v>
      </c>
      <c r="BO104" s="11">
        <v>45827.42083333333</v>
      </c>
      <c r="BP104" s="11">
        <v>45951.515729166669</v>
      </c>
      <c r="BQ104" s="15">
        <v>45953.748541666668</v>
      </c>
      <c r="BR104" s="15">
        <v>45953.835162037038</v>
      </c>
      <c r="BS104" s="10" t="s">
        <v>197</v>
      </c>
      <c r="BT104" s="10" t="s">
        <v>279</v>
      </c>
      <c r="BU104" s="10" t="s">
        <v>298</v>
      </c>
      <c r="BV104" s="10" t="s">
        <v>281</v>
      </c>
      <c r="BW104" s="10"/>
      <c r="BX104" s="10"/>
      <c r="BY104" s="23"/>
      <c r="BZ104" s="24" t="s">
        <v>284</v>
      </c>
      <c r="CA104" s="19" t="s">
        <v>1224</v>
      </c>
      <c r="CB104" s="23"/>
      <c r="CC104" s="23"/>
      <c r="CD104" s="19" t="s">
        <v>1225</v>
      </c>
      <c r="CE104" s="23"/>
      <c r="CF104" s="23"/>
      <c r="CG104" s="23"/>
      <c r="CH104" s="23"/>
      <c r="CI104" s="23"/>
    </row>
    <row r="105" spans="1:87" x14ac:dyDescent="0.3">
      <c r="A105" s="9" t="s">
        <v>1226</v>
      </c>
      <c r="B105" s="10" t="s">
        <v>1227</v>
      </c>
      <c r="C105" s="11">
        <v>45955.875</v>
      </c>
      <c r="D105" s="12">
        <v>8.3333333333333329E-2</v>
      </c>
      <c r="E105" s="11">
        <v>45955.958333333336</v>
      </c>
      <c r="F105" s="10" t="s">
        <v>262</v>
      </c>
      <c r="G105" s="13" t="b">
        <v>0</v>
      </c>
      <c r="H105" s="10" t="s">
        <v>305</v>
      </c>
      <c r="I105" s="10" t="s">
        <v>264</v>
      </c>
      <c r="J105" s="13" t="b">
        <v>0</v>
      </c>
      <c r="K105" s="13" t="b">
        <v>1</v>
      </c>
      <c r="L105" s="10" t="s">
        <v>124</v>
      </c>
      <c r="M105" s="10" t="s">
        <v>91</v>
      </c>
      <c r="N105" s="10" t="s">
        <v>265</v>
      </c>
      <c r="O105" s="19" t="s">
        <v>1228</v>
      </c>
      <c r="P105" s="10" t="s">
        <v>575</v>
      </c>
      <c r="Q105" s="10" t="s">
        <v>126</v>
      </c>
      <c r="R105" s="10"/>
      <c r="S105" s="19" t="s">
        <v>1229</v>
      </c>
      <c r="T105" s="10"/>
      <c r="U105" s="10" t="s">
        <v>293</v>
      </c>
      <c r="V105" s="10" t="s">
        <v>309</v>
      </c>
      <c r="W105" s="10" t="s">
        <v>272</v>
      </c>
      <c r="X105" s="10" t="s">
        <v>130</v>
      </c>
      <c r="Y105" s="10" t="s">
        <v>130</v>
      </c>
      <c r="Z105" s="10" t="s">
        <v>99</v>
      </c>
      <c r="AA105" s="10" t="s">
        <v>131</v>
      </c>
      <c r="AB105" s="10" t="s">
        <v>273</v>
      </c>
      <c r="AC105" s="10" t="s">
        <v>274</v>
      </c>
      <c r="AD105" s="10" t="s">
        <v>1230</v>
      </c>
      <c r="AE105" s="10" t="s">
        <v>1231</v>
      </c>
      <c r="AF105" s="15"/>
      <c r="AG105" s="10"/>
      <c r="AH105" s="10"/>
      <c r="AI105" s="10"/>
      <c r="AJ105" s="10" t="s">
        <v>1232</v>
      </c>
      <c r="AK105" s="10" t="s">
        <v>102</v>
      </c>
      <c r="AL105" s="10" t="s">
        <v>205</v>
      </c>
      <c r="AM105" s="10"/>
      <c r="AN105" s="10"/>
      <c r="AO105" s="13" t="b">
        <v>0</v>
      </c>
      <c r="AP105" s="10" t="s">
        <v>104</v>
      </c>
      <c r="AQ105" s="10">
        <f ca="1">IFERROR(__xludf.DUMMYFUNCTION("""COMPUTED_VALUE"""),4668356)</f>
        <v>4668356</v>
      </c>
      <c r="AR105" s="17">
        <v>72274</v>
      </c>
      <c r="AS105" s="17">
        <v>47467</v>
      </c>
      <c r="AT105" s="17">
        <v>618045.5</v>
      </c>
      <c r="AU105" s="17">
        <v>383.6</v>
      </c>
      <c r="AV105" s="17">
        <v>38.950000000000003</v>
      </c>
      <c r="AW105" s="10" t="s">
        <v>105</v>
      </c>
      <c r="AX105" s="17">
        <v>10088</v>
      </c>
      <c r="AY105" s="18">
        <v>13.020530052457497</v>
      </c>
      <c r="AZ105" s="10" t="s">
        <v>148</v>
      </c>
      <c r="BA105" s="20" t="b">
        <v>0</v>
      </c>
      <c r="BB105" s="10"/>
      <c r="BC105" s="17">
        <v>72274</v>
      </c>
      <c r="BD105" s="17">
        <v>47467</v>
      </c>
      <c r="BE105" s="17">
        <v>618045.5</v>
      </c>
      <c r="BF105" s="17">
        <v>38.950000000000003</v>
      </c>
      <c r="BG105" s="11">
        <f ca="1">IFERROR(__xludf.DUMMYFUNCTION("""COMPUTED_VALUE"""),45955.875)</f>
        <v>45955.875</v>
      </c>
      <c r="BH105" s="17" t="s">
        <v>105</v>
      </c>
      <c r="BI105" s="17"/>
      <c r="BJ105" s="15"/>
      <c r="BK105" s="15"/>
      <c r="BL105" s="13" t="b">
        <v>0</v>
      </c>
      <c r="BM105" s="10"/>
      <c r="BN105" s="10" t="s">
        <v>137</v>
      </c>
      <c r="BO105" s="11">
        <v>45827.42083333333</v>
      </c>
      <c r="BP105" s="11">
        <v>45951.514386574076</v>
      </c>
      <c r="BQ105" s="15">
        <v>45953.748460648145</v>
      </c>
      <c r="BR105" s="15">
        <v>45953.834999999999</v>
      </c>
      <c r="BS105" s="10" t="s">
        <v>137</v>
      </c>
      <c r="BT105" s="10" t="s">
        <v>279</v>
      </c>
      <c r="BU105" s="10" t="s">
        <v>280</v>
      </c>
      <c r="BV105" s="10"/>
      <c r="BW105" s="10"/>
      <c r="BX105" s="10"/>
      <c r="BY105" s="23"/>
      <c r="BZ105" s="24" t="s">
        <v>299</v>
      </c>
      <c r="CA105" s="19" t="s">
        <v>1233</v>
      </c>
      <c r="CB105" s="23"/>
      <c r="CC105" s="23"/>
      <c r="CD105" s="19" t="s">
        <v>1234</v>
      </c>
      <c r="CE105" s="23"/>
      <c r="CF105" s="23"/>
      <c r="CG105" s="23"/>
      <c r="CH105" s="23"/>
      <c r="CI105" s="23"/>
    </row>
    <row r="106" spans="1:87" x14ac:dyDescent="0.3">
      <c r="A106" s="9" t="s">
        <v>1235</v>
      </c>
      <c r="B106" s="10" t="s">
        <v>1236</v>
      </c>
      <c r="C106" s="11">
        <v>45956.875</v>
      </c>
      <c r="D106" s="12">
        <v>8.3333333333333329E-2</v>
      </c>
      <c r="E106" s="11">
        <v>45956.958333333336</v>
      </c>
      <c r="F106" s="10" t="s">
        <v>262</v>
      </c>
      <c r="G106" s="13" t="b">
        <v>0</v>
      </c>
      <c r="H106" s="10" t="s">
        <v>527</v>
      </c>
      <c r="I106" s="10" t="s">
        <v>264</v>
      </c>
      <c r="J106" s="13" t="b">
        <v>0</v>
      </c>
      <c r="K106" s="13" t="b">
        <v>1</v>
      </c>
      <c r="L106" s="10" t="s">
        <v>124</v>
      </c>
      <c r="M106" s="10" t="s">
        <v>91</v>
      </c>
      <c r="N106" s="10" t="s">
        <v>265</v>
      </c>
      <c r="O106" s="19" t="s">
        <v>1237</v>
      </c>
      <c r="P106" s="10"/>
      <c r="Q106" s="10" t="s">
        <v>126</v>
      </c>
      <c r="R106" s="10"/>
      <c r="S106" s="19" t="s">
        <v>1238</v>
      </c>
      <c r="T106" s="10"/>
      <c r="U106" s="10" t="s">
        <v>333</v>
      </c>
      <c r="V106" s="10" t="s">
        <v>609</v>
      </c>
      <c r="W106" s="10" t="s">
        <v>272</v>
      </c>
      <c r="X106" s="10" t="s">
        <v>130</v>
      </c>
      <c r="Y106" s="10" t="s">
        <v>130</v>
      </c>
      <c r="Z106" s="10" t="s">
        <v>99</v>
      </c>
      <c r="AA106" s="10" t="s">
        <v>131</v>
      </c>
      <c r="AB106" s="10" t="s">
        <v>273</v>
      </c>
      <c r="AC106" s="10" t="s">
        <v>274</v>
      </c>
      <c r="AD106" s="10" t="s">
        <v>1239</v>
      </c>
      <c r="AE106" s="10" t="s">
        <v>1240</v>
      </c>
      <c r="AF106" s="15"/>
      <c r="AG106" s="10"/>
      <c r="AH106" s="10"/>
      <c r="AI106" s="10"/>
      <c r="AJ106" s="10" t="s">
        <v>1241</v>
      </c>
      <c r="AK106" s="10" t="s">
        <v>102</v>
      </c>
      <c r="AL106" s="10" t="s">
        <v>205</v>
      </c>
      <c r="AM106" s="10"/>
      <c r="AN106" s="10"/>
      <c r="AO106" s="13" t="b">
        <v>0</v>
      </c>
      <c r="AP106" s="10" t="s">
        <v>104</v>
      </c>
      <c r="AQ106" s="10">
        <f ca="1">IFERROR(__xludf.DUMMYFUNCTION("""COMPUTED_VALUE"""),4668363)</f>
        <v>4668363</v>
      </c>
      <c r="AR106" s="17">
        <v>10413</v>
      </c>
      <c r="AS106" s="17">
        <v>7054</v>
      </c>
      <c r="AT106" s="17">
        <v>26687.25</v>
      </c>
      <c r="AU106" s="17">
        <v>10.1</v>
      </c>
      <c r="AV106" s="17">
        <v>3.75</v>
      </c>
      <c r="AW106" s="10" t="s">
        <v>105</v>
      </c>
      <c r="AX106" s="17">
        <v>1507</v>
      </c>
      <c r="AY106" s="18">
        <v>3.7832789906436064</v>
      </c>
      <c r="AZ106" s="10" t="s">
        <v>148</v>
      </c>
      <c r="BA106" s="20" t="b">
        <v>0</v>
      </c>
      <c r="BB106" s="10"/>
      <c r="BC106" s="17">
        <v>10413</v>
      </c>
      <c r="BD106" s="17">
        <v>7054</v>
      </c>
      <c r="BE106" s="17">
        <v>26687.25</v>
      </c>
      <c r="BF106" s="17">
        <v>3.75</v>
      </c>
      <c r="BG106" s="11">
        <f ca="1">IFERROR(__xludf.DUMMYFUNCTION("""COMPUTED_VALUE"""),45956.875)</f>
        <v>45956.875</v>
      </c>
      <c r="BH106" s="17" t="s">
        <v>105</v>
      </c>
      <c r="BI106" s="17"/>
      <c r="BJ106" s="15"/>
      <c r="BK106" s="15"/>
      <c r="BL106" s="13" t="b">
        <v>1</v>
      </c>
      <c r="BM106" s="10"/>
      <c r="BN106" s="10" t="s">
        <v>351</v>
      </c>
      <c r="BO106" s="11">
        <v>45827.42083333333</v>
      </c>
      <c r="BP106" s="11">
        <v>45951.520879629628</v>
      </c>
      <c r="BQ106" s="15">
        <v>45953.749120370368</v>
      </c>
      <c r="BR106" s="15">
        <v>45953.834467592591</v>
      </c>
      <c r="BS106" s="10"/>
      <c r="BT106" s="10" t="s">
        <v>279</v>
      </c>
      <c r="BU106" s="10" t="s">
        <v>793</v>
      </c>
      <c r="BV106" s="10"/>
      <c r="BW106" s="10"/>
      <c r="BX106" s="10"/>
      <c r="BY106" s="23"/>
      <c r="BZ106" s="24" t="s">
        <v>299</v>
      </c>
      <c r="CA106" s="19" t="s">
        <v>1242</v>
      </c>
      <c r="CB106" s="23"/>
      <c r="CC106" s="23"/>
      <c r="CD106" s="19" t="s">
        <v>1243</v>
      </c>
      <c r="CE106" s="23"/>
      <c r="CF106" s="23"/>
      <c r="CG106" s="23"/>
      <c r="CH106" s="23"/>
      <c r="CI106" s="23"/>
    </row>
    <row r="107" spans="1:87" x14ac:dyDescent="0.3">
      <c r="A107" s="9" t="s">
        <v>1244</v>
      </c>
      <c r="B107" s="10" t="s">
        <v>1245</v>
      </c>
      <c r="C107" s="11">
        <v>45962.916666666664</v>
      </c>
      <c r="D107" s="12">
        <v>8.3333333333333329E-2</v>
      </c>
      <c r="E107" s="11">
        <v>45963</v>
      </c>
      <c r="F107" s="10" t="s">
        <v>262</v>
      </c>
      <c r="G107" s="13" t="b">
        <v>0</v>
      </c>
      <c r="H107" s="10" t="s">
        <v>527</v>
      </c>
      <c r="I107" s="10" t="s">
        <v>264</v>
      </c>
      <c r="J107" s="13" t="b">
        <v>0</v>
      </c>
      <c r="K107" s="13" t="b">
        <v>1</v>
      </c>
      <c r="L107" s="10" t="s">
        <v>124</v>
      </c>
      <c r="M107" s="10" t="s">
        <v>91</v>
      </c>
      <c r="N107" s="10" t="s">
        <v>265</v>
      </c>
      <c r="O107" s="19" t="s">
        <v>1246</v>
      </c>
      <c r="P107" s="10"/>
      <c r="Q107" s="10" t="s">
        <v>126</v>
      </c>
      <c r="R107" s="10"/>
      <c r="S107" s="19" t="s">
        <v>1247</v>
      </c>
      <c r="T107" s="19" t="s">
        <v>1248</v>
      </c>
      <c r="U107" s="10" t="s">
        <v>308</v>
      </c>
      <c r="V107" s="10" t="s">
        <v>663</v>
      </c>
      <c r="W107" s="10" t="s">
        <v>272</v>
      </c>
      <c r="X107" s="10" t="s">
        <v>130</v>
      </c>
      <c r="Y107" s="10" t="s">
        <v>130</v>
      </c>
      <c r="Z107" s="10" t="s">
        <v>99</v>
      </c>
      <c r="AA107" s="10" t="s">
        <v>131</v>
      </c>
      <c r="AB107" s="10" t="s">
        <v>273</v>
      </c>
      <c r="AC107" s="10" t="s">
        <v>274</v>
      </c>
      <c r="AD107" s="10" t="s">
        <v>1249</v>
      </c>
      <c r="AE107" s="10" t="s">
        <v>1250</v>
      </c>
      <c r="AF107" s="15"/>
      <c r="AG107" s="10"/>
      <c r="AH107" s="10"/>
      <c r="AI107" s="10"/>
      <c r="AJ107" s="10" t="s">
        <v>1251</v>
      </c>
      <c r="AK107" s="10" t="s">
        <v>102</v>
      </c>
      <c r="AL107" s="10" t="s">
        <v>1252</v>
      </c>
      <c r="AM107" s="10"/>
      <c r="AN107" s="10"/>
      <c r="AO107" s="13" t="b">
        <v>0</v>
      </c>
      <c r="AP107" s="10" t="s">
        <v>104</v>
      </c>
      <c r="AQ107" s="10">
        <f ca="1">IFERROR(__xludf.DUMMYFUNCTION("""COMPUTED_VALUE"""),4678867)</f>
        <v>4678867</v>
      </c>
      <c r="AR107" s="17">
        <v>14369</v>
      </c>
      <c r="AS107" s="17">
        <v>9584</v>
      </c>
      <c r="AT107" s="17">
        <v>44890</v>
      </c>
      <c r="AU107" s="17">
        <v>24.95</v>
      </c>
      <c r="AV107" s="17">
        <v>2.5499999999999998</v>
      </c>
      <c r="AW107" s="10" t="s">
        <v>105</v>
      </c>
      <c r="AX107" s="17">
        <v>2062</v>
      </c>
      <c r="AY107" s="18">
        <v>4.683848080133556</v>
      </c>
      <c r="AZ107" s="10" t="s">
        <v>148</v>
      </c>
      <c r="BA107" s="20" t="b">
        <v>0</v>
      </c>
      <c r="BB107" s="10"/>
      <c r="BC107" s="17">
        <v>14369</v>
      </c>
      <c r="BD107" s="17">
        <v>9584</v>
      </c>
      <c r="BE107" s="17">
        <v>44890</v>
      </c>
      <c r="BF107" s="17">
        <v>2.5499999999999998</v>
      </c>
      <c r="BG107" s="11">
        <f ca="1">IFERROR(__xludf.DUMMYFUNCTION("""COMPUTED_VALUE"""),45962.9166666666)</f>
        <v>45962.916666666599</v>
      </c>
      <c r="BH107" s="17" t="s">
        <v>105</v>
      </c>
      <c r="BI107" s="17"/>
      <c r="BJ107" s="15"/>
      <c r="BK107" s="15"/>
      <c r="BL107" s="13" t="b">
        <v>1</v>
      </c>
      <c r="BM107" s="10"/>
      <c r="BN107" s="10" t="s">
        <v>351</v>
      </c>
      <c r="BO107" s="11">
        <v>45827.42083333333</v>
      </c>
      <c r="BP107" s="11">
        <v>45958.085347222222</v>
      </c>
      <c r="BQ107" s="15">
        <v>45960.814803240741</v>
      </c>
      <c r="BR107" s="15">
        <v>45960.930763888886</v>
      </c>
      <c r="BS107" s="10"/>
      <c r="BT107" s="10" t="s">
        <v>279</v>
      </c>
      <c r="BU107" s="10" t="s">
        <v>1253</v>
      </c>
      <c r="BV107" s="10"/>
      <c r="BW107" s="10"/>
      <c r="BX107" s="10"/>
      <c r="BY107" s="23"/>
      <c r="BZ107" s="24" t="s">
        <v>299</v>
      </c>
      <c r="CA107" s="19" t="s">
        <v>1254</v>
      </c>
      <c r="CB107" s="19" t="s">
        <v>1255</v>
      </c>
      <c r="CC107" s="23"/>
      <c r="CD107" s="19" t="s">
        <v>1256</v>
      </c>
      <c r="CE107" s="23"/>
      <c r="CF107" s="23"/>
      <c r="CG107" s="23"/>
      <c r="CH107" s="23"/>
      <c r="CI107" s="23"/>
    </row>
    <row r="108" spans="1:87" x14ac:dyDescent="0.3">
      <c r="A108" s="9" t="s">
        <v>1257</v>
      </c>
      <c r="B108" s="10" t="s">
        <v>1258</v>
      </c>
      <c r="C108" s="11">
        <v>45962.916666666664</v>
      </c>
      <c r="D108" s="12">
        <v>8.3333333333333329E-2</v>
      </c>
      <c r="E108" s="11">
        <v>45963</v>
      </c>
      <c r="F108" s="10" t="s">
        <v>262</v>
      </c>
      <c r="G108" s="13" t="b">
        <v>0</v>
      </c>
      <c r="H108" s="10" t="s">
        <v>305</v>
      </c>
      <c r="I108" s="10" t="s">
        <v>264</v>
      </c>
      <c r="J108" s="13" t="b">
        <v>0</v>
      </c>
      <c r="K108" s="13" t="b">
        <v>1</v>
      </c>
      <c r="L108" s="10" t="s">
        <v>124</v>
      </c>
      <c r="M108" s="10" t="s">
        <v>91</v>
      </c>
      <c r="N108" s="10" t="s">
        <v>265</v>
      </c>
      <c r="O108" s="19" t="s">
        <v>1259</v>
      </c>
      <c r="P108" s="10"/>
      <c r="Q108" s="10" t="s">
        <v>126</v>
      </c>
      <c r="R108" s="10"/>
      <c r="S108" s="19" t="s">
        <v>1260</v>
      </c>
      <c r="T108" s="19" t="s">
        <v>1248</v>
      </c>
      <c r="U108" s="10" t="s">
        <v>609</v>
      </c>
      <c r="V108" s="10" t="s">
        <v>362</v>
      </c>
      <c r="W108" s="10" t="s">
        <v>272</v>
      </c>
      <c r="X108" s="10" t="s">
        <v>130</v>
      </c>
      <c r="Y108" s="10" t="s">
        <v>130</v>
      </c>
      <c r="Z108" s="10" t="s">
        <v>99</v>
      </c>
      <c r="AA108" s="10" t="s">
        <v>131</v>
      </c>
      <c r="AB108" s="10" t="s">
        <v>273</v>
      </c>
      <c r="AC108" s="10" t="s">
        <v>274</v>
      </c>
      <c r="AD108" s="10" t="s">
        <v>1261</v>
      </c>
      <c r="AE108" s="10" t="s">
        <v>1262</v>
      </c>
      <c r="AF108" s="15"/>
      <c r="AG108" s="10"/>
      <c r="AH108" s="10"/>
      <c r="AI108" s="10"/>
      <c r="AJ108" s="10" t="s">
        <v>1263</v>
      </c>
      <c r="AK108" s="10" t="s">
        <v>102</v>
      </c>
      <c r="AL108" s="10" t="s">
        <v>1252</v>
      </c>
      <c r="AM108" s="10"/>
      <c r="AN108" s="10"/>
      <c r="AO108" s="13" t="b">
        <v>1</v>
      </c>
      <c r="AP108" s="10" t="s">
        <v>104</v>
      </c>
      <c r="AQ108" s="10">
        <f ca="1">IFERROR(__xludf.DUMMYFUNCTION("""COMPUTED_VALUE"""),4678868)</f>
        <v>4678868</v>
      </c>
      <c r="AR108" s="17">
        <v>144925</v>
      </c>
      <c r="AS108" s="17">
        <v>76378</v>
      </c>
      <c r="AT108" s="17">
        <v>2672527.25</v>
      </c>
      <c r="AU108" s="17">
        <v>1558.7</v>
      </c>
      <c r="AV108" s="17">
        <v>324.95</v>
      </c>
      <c r="AW108" s="10" t="s">
        <v>105</v>
      </c>
      <c r="AX108" s="17">
        <v>32827</v>
      </c>
      <c r="AY108" s="18">
        <v>34.990799052083062</v>
      </c>
      <c r="AZ108" s="10" t="s">
        <v>148</v>
      </c>
      <c r="BA108" s="20" t="b">
        <v>0</v>
      </c>
      <c r="BB108" s="10"/>
      <c r="BC108" s="17">
        <v>144925</v>
      </c>
      <c r="BD108" s="17">
        <v>76378</v>
      </c>
      <c r="BE108" s="17">
        <v>2672527.25</v>
      </c>
      <c r="BF108" s="17">
        <v>324.95</v>
      </c>
      <c r="BG108" s="11">
        <f ca="1">IFERROR(__xludf.DUMMYFUNCTION("""COMPUTED_VALUE"""),45962.9166666666)</f>
        <v>45962.916666666599</v>
      </c>
      <c r="BH108" s="17" t="s">
        <v>105</v>
      </c>
      <c r="BI108" s="17"/>
      <c r="BJ108" s="15"/>
      <c r="BK108" s="15"/>
      <c r="BL108" s="13" t="b">
        <v>1</v>
      </c>
      <c r="BM108" s="10"/>
      <c r="BN108" s="10" t="s">
        <v>351</v>
      </c>
      <c r="BO108" s="11">
        <v>45827.42083333333</v>
      </c>
      <c r="BP108" s="11">
        <v>45958.085949074077</v>
      </c>
      <c r="BQ108" s="15">
        <v>45960.815092592595</v>
      </c>
      <c r="BR108" s="15">
        <v>45960.931134259263</v>
      </c>
      <c r="BS108" s="10"/>
      <c r="BT108" s="10" t="s">
        <v>279</v>
      </c>
      <c r="BU108" s="10" t="s">
        <v>1264</v>
      </c>
      <c r="BV108" s="10" t="s">
        <v>281</v>
      </c>
      <c r="BW108" s="10"/>
      <c r="BX108" s="10"/>
      <c r="BY108" s="23"/>
      <c r="BZ108" s="24" t="s">
        <v>284</v>
      </c>
      <c r="CA108" s="19" t="s">
        <v>1265</v>
      </c>
      <c r="CB108" s="19" t="s">
        <v>1266</v>
      </c>
      <c r="CC108" s="23"/>
      <c r="CD108" s="19" t="s">
        <v>1267</v>
      </c>
      <c r="CE108" s="23"/>
      <c r="CF108" s="23"/>
      <c r="CG108" s="23"/>
      <c r="CH108" s="23"/>
      <c r="CI108" s="23"/>
    </row>
    <row r="109" spans="1:87" x14ac:dyDescent="0.3">
      <c r="A109" s="9" t="s">
        <v>1268</v>
      </c>
      <c r="B109" s="10" t="s">
        <v>1269</v>
      </c>
      <c r="C109" s="11">
        <v>45962.916666666664</v>
      </c>
      <c r="D109" s="12">
        <v>8.3333333333333329E-2</v>
      </c>
      <c r="E109" s="11">
        <v>45963</v>
      </c>
      <c r="F109" s="10" t="s">
        <v>262</v>
      </c>
      <c r="G109" s="13" t="b">
        <v>0</v>
      </c>
      <c r="H109" s="10" t="s">
        <v>527</v>
      </c>
      <c r="I109" s="10" t="s">
        <v>264</v>
      </c>
      <c r="J109" s="13" t="b">
        <v>0</v>
      </c>
      <c r="K109" s="13" t="b">
        <v>1</v>
      </c>
      <c r="L109" s="10" t="s">
        <v>124</v>
      </c>
      <c r="M109" s="10" t="s">
        <v>91</v>
      </c>
      <c r="N109" s="10" t="s">
        <v>265</v>
      </c>
      <c r="O109" s="19" t="s">
        <v>1270</v>
      </c>
      <c r="P109" s="10"/>
      <c r="Q109" s="10" t="s">
        <v>126</v>
      </c>
      <c r="R109" s="10"/>
      <c r="S109" s="19" t="s">
        <v>1271</v>
      </c>
      <c r="T109" s="19" t="s">
        <v>1248</v>
      </c>
      <c r="U109" s="10" t="s">
        <v>347</v>
      </c>
      <c r="V109" s="10" t="s">
        <v>321</v>
      </c>
      <c r="W109" s="10" t="s">
        <v>272</v>
      </c>
      <c r="X109" s="10" t="s">
        <v>130</v>
      </c>
      <c r="Y109" s="10" t="s">
        <v>130</v>
      </c>
      <c r="Z109" s="10" t="s">
        <v>99</v>
      </c>
      <c r="AA109" s="10" t="s">
        <v>131</v>
      </c>
      <c r="AB109" s="10" t="s">
        <v>273</v>
      </c>
      <c r="AC109" s="10" t="s">
        <v>274</v>
      </c>
      <c r="AD109" s="10" t="s">
        <v>1272</v>
      </c>
      <c r="AE109" s="10" t="s">
        <v>1273</v>
      </c>
      <c r="AF109" s="15"/>
      <c r="AG109" s="10"/>
      <c r="AH109" s="10"/>
      <c r="AI109" s="10"/>
      <c r="AJ109" s="10" t="s">
        <v>1274</v>
      </c>
      <c r="AK109" s="10" t="s">
        <v>102</v>
      </c>
      <c r="AL109" s="10" t="s">
        <v>1252</v>
      </c>
      <c r="AM109" s="10"/>
      <c r="AN109" s="10"/>
      <c r="AO109" s="13" t="b">
        <v>0</v>
      </c>
      <c r="AP109" s="10" t="s">
        <v>104</v>
      </c>
      <c r="AQ109" s="10">
        <f ca="1">IFERROR(__xludf.DUMMYFUNCTION("""COMPUTED_VALUE"""),4678869)</f>
        <v>4678869</v>
      </c>
      <c r="AR109" s="17">
        <v>19380</v>
      </c>
      <c r="AS109" s="17">
        <v>12291</v>
      </c>
      <c r="AT109" s="17">
        <v>85924.25</v>
      </c>
      <c r="AU109" s="17">
        <v>27.55</v>
      </c>
      <c r="AV109" s="17">
        <v>5.35</v>
      </c>
      <c r="AW109" s="10" t="s">
        <v>105</v>
      </c>
      <c r="AX109" s="17">
        <v>3077</v>
      </c>
      <c r="AY109" s="18">
        <v>6.9908266211048735</v>
      </c>
      <c r="AZ109" s="10" t="s">
        <v>148</v>
      </c>
      <c r="BA109" s="20" t="b">
        <v>0</v>
      </c>
      <c r="BB109" s="10"/>
      <c r="BC109" s="17">
        <v>19380</v>
      </c>
      <c r="BD109" s="17">
        <v>12291</v>
      </c>
      <c r="BE109" s="17">
        <v>85924.25</v>
      </c>
      <c r="BF109" s="17">
        <v>5.35</v>
      </c>
      <c r="BG109" s="11">
        <f ca="1">IFERROR(__xludf.DUMMYFUNCTION("""COMPUTED_VALUE"""),45962.9166666666)</f>
        <v>45962.916666666599</v>
      </c>
      <c r="BH109" s="17" t="s">
        <v>105</v>
      </c>
      <c r="BI109" s="17"/>
      <c r="BJ109" s="15"/>
      <c r="BK109" s="15"/>
      <c r="BL109" s="13" t="b">
        <v>1</v>
      </c>
      <c r="BM109" s="10"/>
      <c r="BN109" s="10" t="s">
        <v>351</v>
      </c>
      <c r="BO109" s="11">
        <v>45827.42083333333</v>
      </c>
      <c r="BP109" s="11">
        <v>45958.086215277777</v>
      </c>
      <c r="BQ109" s="15">
        <v>45960.815196759257</v>
      </c>
      <c r="BR109" s="15">
        <v>45960.932349537034</v>
      </c>
      <c r="BS109" s="10"/>
      <c r="BT109" s="10" t="s">
        <v>279</v>
      </c>
      <c r="BU109" s="10" t="s">
        <v>1275</v>
      </c>
      <c r="BV109" s="10"/>
      <c r="BW109" s="10"/>
      <c r="BX109" s="10"/>
      <c r="BY109" s="23"/>
      <c r="BZ109" s="24" t="s">
        <v>299</v>
      </c>
      <c r="CA109" s="19" t="s">
        <v>1276</v>
      </c>
      <c r="CB109" s="19" t="s">
        <v>1277</v>
      </c>
      <c r="CC109" s="23"/>
      <c r="CD109" s="19" t="s">
        <v>1278</v>
      </c>
      <c r="CE109" s="23"/>
      <c r="CF109" s="23"/>
      <c r="CG109" s="23"/>
      <c r="CH109" s="23"/>
      <c r="CI109" s="23"/>
    </row>
    <row r="110" spans="1:87" x14ac:dyDescent="0.3">
      <c r="A110" s="9" t="s">
        <v>1279</v>
      </c>
      <c r="B110" s="10" t="s">
        <v>1280</v>
      </c>
      <c r="C110" s="11">
        <v>45962.916666666664</v>
      </c>
      <c r="D110" s="12">
        <v>8.3333333333333329E-2</v>
      </c>
      <c r="E110" s="11">
        <v>45963</v>
      </c>
      <c r="F110" s="10" t="s">
        <v>262</v>
      </c>
      <c r="G110" s="13" t="b">
        <v>0</v>
      </c>
      <c r="H110" s="10" t="s">
        <v>527</v>
      </c>
      <c r="I110" s="10" t="s">
        <v>264</v>
      </c>
      <c r="J110" s="13" t="b">
        <v>0</v>
      </c>
      <c r="K110" s="13" t="b">
        <v>1</v>
      </c>
      <c r="L110" s="10" t="s">
        <v>124</v>
      </c>
      <c r="M110" s="10" t="s">
        <v>91</v>
      </c>
      <c r="N110" s="10" t="s">
        <v>265</v>
      </c>
      <c r="O110" s="19" t="s">
        <v>1281</v>
      </c>
      <c r="P110" s="10"/>
      <c r="Q110" s="10" t="s">
        <v>126</v>
      </c>
      <c r="R110" s="10"/>
      <c r="S110" s="19" t="s">
        <v>1282</v>
      </c>
      <c r="T110" s="19" t="s">
        <v>1248</v>
      </c>
      <c r="U110" s="10" t="s">
        <v>309</v>
      </c>
      <c r="V110" s="10" t="s">
        <v>333</v>
      </c>
      <c r="W110" s="10" t="s">
        <v>272</v>
      </c>
      <c r="X110" s="10" t="s">
        <v>130</v>
      </c>
      <c r="Y110" s="10" t="s">
        <v>130</v>
      </c>
      <c r="Z110" s="10" t="s">
        <v>99</v>
      </c>
      <c r="AA110" s="10" t="s">
        <v>131</v>
      </c>
      <c r="AB110" s="10" t="s">
        <v>273</v>
      </c>
      <c r="AC110" s="10" t="s">
        <v>274</v>
      </c>
      <c r="AD110" s="10" t="s">
        <v>1283</v>
      </c>
      <c r="AE110" s="10" t="s">
        <v>1284</v>
      </c>
      <c r="AF110" s="15"/>
      <c r="AG110" s="10"/>
      <c r="AH110" s="10"/>
      <c r="AI110" s="10"/>
      <c r="AJ110" s="10" t="s">
        <v>1285</v>
      </c>
      <c r="AK110" s="10" t="s">
        <v>102</v>
      </c>
      <c r="AL110" s="10" t="s">
        <v>1252</v>
      </c>
      <c r="AM110" s="10"/>
      <c r="AN110" s="10"/>
      <c r="AO110" s="13" t="b">
        <v>0</v>
      </c>
      <c r="AP110" s="10" t="s">
        <v>104</v>
      </c>
      <c r="AQ110" s="10">
        <f ca="1">IFERROR(__xludf.DUMMYFUNCTION("""COMPUTED_VALUE"""),4684492)</f>
        <v>4684492</v>
      </c>
      <c r="AR110" s="17">
        <v>7271</v>
      </c>
      <c r="AS110" s="17">
        <v>5402</v>
      </c>
      <c r="AT110" s="17">
        <v>11802</v>
      </c>
      <c r="AU110" s="17">
        <v>4.9000000000000004</v>
      </c>
      <c r="AV110" s="17">
        <v>1.4</v>
      </c>
      <c r="AW110" s="10" t="s">
        <v>105</v>
      </c>
      <c r="AX110" s="17">
        <v>1207</v>
      </c>
      <c r="AY110" s="18">
        <v>2.1847463902258424</v>
      </c>
      <c r="AZ110" s="10" t="s">
        <v>148</v>
      </c>
      <c r="BA110" s="20" t="b">
        <v>0</v>
      </c>
      <c r="BB110" s="10"/>
      <c r="BC110" s="17">
        <v>7271</v>
      </c>
      <c r="BD110" s="17">
        <v>5402</v>
      </c>
      <c r="BE110" s="17">
        <v>11802</v>
      </c>
      <c r="BF110" s="17">
        <v>1.4</v>
      </c>
      <c r="BG110" s="11">
        <f ca="1">IFERROR(__xludf.DUMMYFUNCTION("""COMPUTED_VALUE"""),45962.9166666666)</f>
        <v>45962.916666666599</v>
      </c>
      <c r="BH110" s="17" t="s">
        <v>105</v>
      </c>
      <c r="BI110" s="17"/>
      <c r="BJ110" s="15"/>
      <c r="BK110" s="15"/>
      <c r="BL110" s="13" t="b">
        <v>1</v>
      </c>
      <c r="BM110" s="10"/>
      <c r="BN110" s="10" t="s">
        <v>351</v>
      </c>
      <c r="BO110" s="11">
        <v>45827.42083333333</v>
      </c>
      <c r="BP110" s="11">
        <v>45958.086435185185</v>
      </c>
      <c r="BQ110" s="15">
        <v>45960.815312500003</v>
      </c>
      <c r="BR110" s="15">
        <v>45961.86451388889</v>
      </c>
      <c r="BS110" s="10"/>
      <c r="BT110" s="10" t="s">
        <v>279</v>
      </c>
      <c r="BU110" s="10" t="s">
        <v>1286</v>
      </c>
      <c r="BV110" s="10"/>
      <c r="BW110" s="10"/>
      <c r="BX110" s="10"/>
      <c r="BY110" s="23"/>
      <c r="BZ110" s="24" t="s">
        <v>299</v>
      </c>
      <c r="CA110" s="19" t="s">
        <v>1287</v>
      </c>
      <c r="CB110" s="19" t="s">
        <v>1288</v>
      </c>
      <c r="CC110" s="23"/>
      <c r="CD110" s="19" t="s">
        <v>1289</v>
      </c>
      <c r="CE110" s="23"/>
      <c r="CF110" s="23"/>
      <c r="CG110" s="23"/>
      <c r="CH110" s="23"/>
      <c r="CI110" s="23"/>
    </row>
    <row r="111" spans="1:87" x14ac:dyDescent="0.3">
      <c r="A111" s="9" t="s">
        <v>1290</v>
      </c>
      <c r="B111" s="10" t="s">
        <v>1291</v>
      </c>
      <c r="C111" s="11">
        <v>45963.125</v>
      </c>
      <c r="D111" s="12">
        <v>8.3333333333333329E-2</v>
      </c>
      <c r="E111" s="11">
        <v>45963.208333333336</v>
      </c>
      <c r="F111" s="10" t="s">
        <v>262</v>
      </c>
      <c r="G111" s="13" t="b">
        <v>1</v>
      </c>
      <c r="H111" s="10" t="s">
        <v>263</v>
      </c>
      <c r="I111" s="10" t="s">
        <v>264</v>
      </c>
      <c r="J111" s="13" t="b">
        <v>0</v>
      </c>
      <c r="K111" s="13" t="b">
        <v>1</v>
      </c>
      <c r="L111" s="10" t="s">
        <v>124</v>
      </c>
      <c r="M111" s="10" t="s">
        <v>91</v>
      </c>
      <c r="N111" s="10" t="s">
        <v>265</v>
      </c>
      <c r="O111" s="19" t="s">
        <v>1292</v>
      </c>
      <c r="P111" s="10" t="s">
        <v>267</v>
      </c>
      <c r="Q111" s="10" t="s">
        <v>126</v>
      </c>
      <c r="R111" s="10"/>
      <c r="S111" s="19" t="s">
        <v>1293</v>
      </c>
      <c r="T111" s="19" t="s">
        <v>1248</v>
      </c>
      <c r="U111" s="10" t="s">
        <v>270</v>
      </c>
      <c r="V111" s="10" t="s">
        <v>292</v>
      </c>
      <c r="W111" s="10" t="s">
        <v>272</v>
      </c>
      <c r="X111" s="10" t="s">
        <v>130</v>
      </c>
      <c r="Y111" s="10" t="s">
        <v>130</v>
      </c>
      <c r="Z111" s="10" t="s">
        <v>99</v>
      </c>
      <c r="AA111" s="10" t="s">
        <v>131</v>
      </c>
      <c r="AB111" s="10" t="s">
        <v>273</v>
      </c>
      <c r="AC111" s="10" t="s">
        <v>274</v>
      </c>
      <c r="AD111" s="10" t="s">
        <v>1294</v>
      </c>
      <c r="AE111" s="10" t="s">
        <v>1295</v>
      </c>
      <c r="AF111" s="15"/>
      <c r="AG111" s="10"/>
      <c r="AH111" s="10"/>
      <c r="AI111" s="10"/>
      <c r="AJ111" s="10" t="s">
        <v>1296</v>
      </c>
      <c r="AK111" s="10" t="s">
        <v>102</v>
      </c>
      <c r="AL111" s="10" t="s">
        <v>1252</v>
      </c>
      <c r="AM111" s="10"/>
      <c r="AN111" s="10"/>
      <c r="AO111" s="13" t="b">
        <v>1</v>
      </c>
      <c r="AP111" s="10" t="s">
        <v>104</v>
      </c>
      <c r="AQ111" s="10">
        <f ca="1">IFERROR(__xludf.DUMMYFUNCTION("""COMPUTED_VALUE"""),4678874)</f>
        <v>4678874</v>
      </c>
      <c r="AR111" s="17">
        <v>71621</v>
      </c>
      <c r="AS111" s="17">
        <v>46474</v>
      </c>
      <c r="AT111" s="17">
        <v>2089708.25</v>
      </c>
      <c r="AU111" s="17">
        <v>347.3</v>
      </c>
      <c r="AV111" s="17">
        <v>62</v>
      </c>
      <c r="AW111" s="10" t="s">
        <v>105</v>
      </c>
      <c r="AX111" s="17">
        <v>27397</v>
      </c>
      <c r="AY111" s="18">
        <v>44.965104144252699</v>
      </c>
      <c r="AZ111" s="10" t="s">
        <v>148</v>
      </c>
      <c r="BA111" s="20" t="b">
        <v>0</v>
      </c>
      <c r="BB111" s="10"/>
      <c r="BC111" s="17">
        <v>71621</v>
      </c>
      <c r="BD111" s="17">
        <v>46474</v>
      </c>
      <c r="BE111" s="17">
        <v>2089708.25</v>
      </c>
      <c r="BF111" s="17">
        <v>62</v>
      </c>
      <c r="BG111" s="11">
        <f ca="1">IFERROR(__xludf.DUMMYFUNCTION("""COMPUTED_VALUE"""),45963.1041666666)</f>
        <v>45963.104166666599</v>
      </c>
      <c r="BH111" s="17" t="s">
        <v>105</v>
      </c>
      <c r="BI111" s="17"/>
      <c r="BJ111" s="15"/>
      <c r="BK111" s="15"/>
      <c r="BL111" s="13" t="b">
        <v>1</v>
      </c>
      <c r="BM111" s="10"/>
      <c r="BN111" s="10" t="s">
        <v>351</v>
      </c>
      <c r="BO111" s="11">
        <v>45827.42083333333</v>
      </c>
      <c r="BP111" s="11">
        <v>45958.087233796294</v>
      </c>
      <c r="BQ111" s="15">
        <v>45960.815706018519</v>
      </c>
      <c r="BR111" s="15">
        <v>45960.94462962963</v>
      </c>
      <c r="BS111" s="10"/>
      <c r="BT111" s="10" t="s">
        <v>279</v>
      </c>
      <c r="BU111" s="10" t="s">
        <v>1297</v>
      </c>
      <c r="BV111" s="10"/>
      <c r="BW111" s="10"/>
      <c r="BX111" s="10"/>
      <c r="BY111" s="23"/>
      <c r="BZ111" s="24" t="s">
        <v>284</v>
      </c>
      <c r="CA111" s="19" t="s">
        <v>1298</v>
      </c>
      <c r="CB111" s="19" t="s">
        <v>1299</v>
      </c>
      <c r="CC111" s="23"/>
      <c r="CD111" s="19" t="s">
        <v>1300</v>
      </c>
      <c r="CE111" s="23"/>
      <c r="CF111" s="23"/>
      <c r="CG111" s="23"/>
      <c r="CH111" s="23"/>
      <c r="CI111" s="23"/>
    </row>
    <row r="112" spans="1:87" x14ac:dyDescent="0.3">
      <c r="A112" s="9" t="s">
        <v>1301</v>
      </c>
      <c r="B112" s="10" t="s">
        <v>1302</v>
      </c>
      <c r="C112" s="11">
        <v>45963.979166666664</v>
      </c>
      <c r="D112" s="12">
        <v>8.3333333333333329E-2</v>
      </c>
      <c r="E112" s="11">
        <v>45964.0625</v>
      </c>
      <c r="F112" s="10" t="s">
        <v>262</v>
      </c>
      <c r="G112" s="13" t="b">
        <v>1</v>
      </c>
      <c r="H112" s="10" t="s">
        <v>263</v>
      </c>
      <c r="I112" s="10" t="s">
        <v>264</v>
      </c>
      <c r="J112" s="13" t="b">
        <v>0</v>
      </c>
      <c r="K112" s="13" t="b">
        <v>1</v>
      </c>
      <c r="L112" s="10" t="s">
        <v>124</v>
      </c>
      <c r="M112" s="10" t="s">
        <v>91</v>
      </c>
      <c r="N112" s="10" t="s">
        <v>265</v>
      </c>
      <c r="O112" s="19" t="s">
        <v>1303</v>
      </c>
      <c r="P112" s="10" t="s">
        <v>267</v>
      </c>
      <c r="Q112" s="10" t="s">
        <v>126</v>
      </c>
      <c r="R112" s="10"/>
      <c r="S112" s="19" t="s">
        <v>1304</v>
      </c>
      <c r="T112" s="19" t="s">
        <v>1248</v>
      </c>
      <c r="U112" s="10" t="s">
        <v>334</v>
      </c>
      <c r="V112" s="10" t="s">
        <v>271</v>
      </c>
      <c r="W112" s="10" t="s">
        <v>272</v>
      </c>
      <c r="X112" s="10" t="s">
        <v>130</v>
      </c>
      <c r="Y112" s="10" t="s">
        <v>130</v>
      </c>
      <c r="Z112" s="10" t="s">
        <v>99</v>
      </c>
      <c r="AA112" s="10" t="s">
        <v>131</v>
      </c>
      <c r="AB112" s="10" t="s">
        <v>273</v>
      </c>
      <c r="AC112" s="10" t="s">
        <v>274</v>
      </c>
      <c r="AD112" s="10" t="s">
        <v>1305</v>
      </c>
      <c r="AE112" s="10" t="s">
        <v>1306</v>
      </c>
      <c r="AF112" s="15"/>
      <c r="AG112" s="10"/>
      <c r="AH112" s="10"/>
      <c r="AI112" s="10"/>
      <c r="AJ112" s="10" t="s">
        <v>1307</v>
      </c>
      <c r="AK112" s="10" t="s">
        <v>102</v>
      </c>
      <c r="AL112" s="10" t="s">
        <v>1252</v>
      </c>
      <c r="AM112" s="10"/>
      <c r="AN112" s="10"/>
      <c r="AO112" s="13" t="b">
        <v>1</v>
      </c>
      <c r="AP112" s="10" t="s">
        <v>104</v>
      </c>
      <c r="AQ112" s="10">
        <f ca="1">IFERROR(__xludf.DUMMYFUNCTION("""COMPUTED_VALUE"""),4678876)</f>
        <v>4678876</v>
      </c>
      <c r="AR112" s="17">
        <v>87718</v>
      </c>
      <c r="AS112" s="17">
        <v>68552</v>
      </c>
      <c r="AT112" s="17">
        <v>1582962</v>
      </c>
      <c r="AU112" s="17">
        <v>507.7</v>
      </c>
      <c r="AV112" s="17">
        <v>94.7</v>
      </c>
      <c r="AW112" s="10" t="s">
        <v>105</v>
      </c>
      <c r="AX112" s="17">
        <v>33272</v>
      </c>
      <c r="AY112" s="18">
        <v>23.091405064768352</v>
      </c>
      <c r="AZ112" s="10" t="s">
        <v>148</v>
      </c>
      <c r="BA112" s="20" t="b">
        <v>0</v>
      </c>
      <c r="BB112" s="10"/>
      <c r="BC112" s="17">
        <v>87718</v>
      </c>
      <c r="BD112" s="17">
        <v>68552</v>
      </c>
      <c r="BE112" s="17">
        <v>1582962</v>
      </c>
      <c r="BF112" s="17">
        <v>94.7</v>
      </c>
      <c r="BG112" s="11">
        <f ca="1">IFERROR(__xludf.DUMMYFUNCTION("""COMPUTED_VALUE"""),45963.9583333333)</f>
        <v>45963.958333333299</v>
      </c>
      <c r="BH112" s="17" t="s">
        <v>105</v>
      </c>
      <c r="BI112" s="17"/>
      <c r="BJ112" s="15"/>
      <c r="BK112" s="15"/>
      <c r="BL112" s="13" t="b">
        <v>1</v>
      </c>
      <c r="BM112" s="10"/>
      <c r="BN112" s="10" t="s">
        <v>351</v>
      </c>
      <c r="BO112" s="11">
        <v>45827.42083333333</v>
      </c>
      <c r="BP112" s="11">
        <v>45958.087800925925</v>
      </c>
      <c r="BQ112" s="15">
        <v>45960.81591435185</v>
      </c>
      <c r="BR112" s="15">
        <v>45960.94568287037</v>
      </c>
      <c r="BS112" s="10"/>
      <c r="BT112" s="10" t="s">
        <v>279</v>
      </c>
      <c r="BU112" s="10" t="s">
        <v>655</v>
      </c>
      <c r="BV112" s="10" t="s">
        <v>124</v>
      </c>
      <c r="BW112" s="10"/>
      <c r="BX112" s="10"/>
      <c r="BY112" s="23"/>
      <c r="BZ112" s="24" t="s">
        <v>284</v>
      </c>
      <c r="CA112" s="19" t="s">
        <v>1308</v>
      </c>
      <c r="CB112" s="19" t="s">
        <v>1309</v>
      </c>
      <c r="CC112" s="23"/>
      <c r="CD112" s="19" t="s">
        <v>1310</v>
      </c>
      <c r="CE112" s="23"/>
      <c r="CF112" s="23"/>
      <c r="CG112" s="23"/>
      <c r="CH112" s="23"/>
      <c r="CI112" s="23"/>
    </row>
    <row r="113" spans="1:87" x14ac:dyDescent="0.3">
      <c r="A113" s="9" t="s">
        <v>1311</v>
      </c>
      <c r="B113" s="10" t="s">
        <v>1312</v>
      </c>
      <c r="C113" s="11">
        <v>45962.916666666664</v>
      </c>
      <c r="D113" s="12">
        <v>8.3333333333333329E-2</v>
      </c>
      <c r="E113" s="11">
        <v>45963</v>
      </c>
      <c r="F113" s="10" t="s">
        <v>262</v>
      </c>
      <c r="G113" s="13" t="b">
        <v>1</v>
      </c>
      <c r="H113" s="10" t="s">
        <v>263</v>
      </c>
      <c r="I113" s="10" t="s">
        <v>264</v>
      </c>
      <c r="J113" s="13" t="b">
        <v>0</v>
      </c>
      <c r="K113" s="13" t="b">
        <v>1</v>
      </c>
      <c r="L113" s="10" t="s">
        <v>124</v>
      </c>
      <c r="M113" s="10" t="s">
        <v>91</v>
      </c>
      <c r="N113" s="10" t="s">
        <v>265</v>
      </c>
      <c r="O113" s="19" t="s">
        <v>1313</v>
      </c>
      <c r="P113" s="10" t="s">
        <v>267</v>
      </c>
      <c r="Q113" s="10" t="s">
        <v>126</v>
      </c>
      <c r="R113" s="10"/>
      <c r="S113" s="19" t="s">
        <v>1314</v>
      </c>
      <c r="T113" s="19" t="s">
        <v>1248</v>
      </c>
      <c r="U113" s="10" t="s">
        <v>320</v>
      </c>
      <c r="V113" s="10" t="s">
        <v>361</v>
      </c>
      <c r="W113" s="10" t="s">
        <v>272</v>
      </c>
      <c r="X113" s="10" t="s">
        <v>130</v>
      </c>
      <c r="Y113" s="10" t="s">
        <v>130</v>
      </c>
      <c r="Z113" s="10" t="s">
        <v>99</v>
      </c>
      <c r="AA113" s="10" t="s">
        <v>131</v>
      </c>
      <c r="AB113" s="10" t="s">
        <v>273</v>
      </c>
      <c r="AC113" s="10" t="s">
        <v>274</v>
      </c>
      <c r="AD113" s="10" t="s">
        <v>1315</v>
      </c>
      <c r="AE113" s="10" t="s">
        <v>1316</v>
      </c>
      <c r="AF113" s="15"/>
      <c r="AG113" s="10"/>
      <c r="AH113" s="10"/>
      <c r="AI113" s="10"/>
      <c r="AJ113" s="10" t="s">
        <v>1317</v>
      </c>
      <c r="AK113" s="10" t="s">
        <v>102</v>
      </c>
      <c r="AL113" s="10" t="s">
        <v>1252</v>
      </c>
      <c r="AM113" s="10"/>
      <c r="AN113" s="10"/>
      <c r="AO113" s="13" t="b">
        <v>1</v>
      </c>
      <c r="AP113" s="10" t="s">
        <v>104</v>
      </c>
      <c r="AQ113" s="10">
        <f ca="1">IFERROR(__xludf.DUMMYFUNCTION("""COMPUTED_VALUE"""),4678872)</f>
        <v>4678872</v>
      </c>
      <c r="AR113" s="17">
        <v>412032</v>
      </c>
      <c r="AS113" s="17">
        <v>223108</v>
      </c>
      <c r="AT113" s="17">
        <v>9877294.5</v>
      </c>
      <c r="AU113" s="17">
        <v>10253.85</v>
      </c>
      <c r="AV113" s="17">
        <v>2733.2</v>
      </c>
      <c r="AW113" s="10" t="s">
        <v>297</v>
      </c>
      <c r="AX113" s="17">
        <v>103908</v>
      </c>
      <c r="AY113" s="18">
        <v>44.271359610592178</v>
      </c>
      <c r="AZ113" s="10" t="s">
        <v>148</v>
      </c>
      <c r="BA113" s="20" t="b">
        <v>0</v>
      </c>
      <c r="BB113" s="10"/>
      <c r="BC113" s="17">
        <v>412032</v>
      </c>
      <c r="BD113" s="17">
        <v>223108</v>
      </c>
      <c r="BE113" s="17">
        <v>9877294.5</v>
      </c>
      <c r="BF113" s="17">
        <v>2733.2</v>
      </c>
      <c r="BG113" s="11">
        <f ca="1">IFERROR(__xludf.DUMMYFUNCTION("""COMPUTED_VALUE"""),45962.8958333333)</f>
        <v>45962.895833333299</v>
      </c>
      <c r="BH113" s="17" t="s">
        <v>297</v>
      </c>
      <c r="BI113" s="17"/>
      <c r="BJ113" s="15"/>
      <c r="BK113" s="15"/>
      <c r="BL113" s="13" t="b">
        <v>1</v>
      </c>
      <c r="BM113" s="10"/>
      <c r="BN113" s="10" t="s">
        <v>351</v>
      </c>
      <c r="BO113" s="11">
        <v>45827.42083333333</v>
      </c>
      <c r="BP113" s="11">
        <v>45958.086712962962</v>
      </c>
      <c r="BQ113" s="15">
        <v>45960.815416666665</v>
      </c>
      <c r="BR113" s="15">
        <v>45960.934166666666</v>
      </c>
      <c r="BS113" s="10"/>
      <c r="BT113" s="10" t="s">
        <v>279</v>
      </c>
      <c r="BU113" s="10" t="s">
        <v>931</v>
      </c>
      <c r="BV113" s="10" t="s">
        <v>281</v>
      </c>
      <c r="BW113" s="10"/>
      <c r="BX113" s="10"/>
      <c r="BY113" s="23"/>
      <c r="BZ113" s="24" t="s">
        <v>284</v>
      </c>
      <c r="CA113" s="19" t="s">
        <v>1318</v>
      </c>
      <c r="CB113" s="19" t="s">
        <v>1319</v>
      </c>
      <c r="CC113" s="23"/>
      <c r="CD113" s="19" t="s">
        <v>1320</v>
      </c>
      <c r="CE113" s="23"/>
      <c r="CF113" s="23"/>
      <c r="CG113" s="23"/>
      <c r="CH113" s="23"/>
      <c r="CI113" s="23"/>
    </row>
    <row r="114" spans="1:87" x14ac:dyDescent="0.3">
      <c r="A114" s="9" t="s">
        <v>1321</v>
      </c>
      <c r="B114" s="10" t="s">
        <v>1322</v>
      </c>
      <c r="C114" s="11">
        <v>45965.125</v>
      </c>
      <c r="D114" s="12">
        <v>8.3333333333333329E-2</v>
      </c>
      <c r="E114" s="11">
        <v>45965.208333333336</v>
      </c>
      <c r="F114" s="10" t="s">
        <v>262</v>
      </c>
      <c r="G114" s="13" t="b">
        <v>0</v>
      </c>
      <c r="H114" s="10" t="s">
        <v>263</v>
      </c>
      <c r="I114" s="10" t="s">
        <v>264</v>
      </c>
      <c r="J114" s="13" t="b">
        <v>0</v>
      </c>
      <c r="K114" s="13" t="b">
        <v>1</v>
      </c>
      <c r="L114" s="10" t="s">
        <v>124</v>
      </c>
      <c r="M114" s="10" t="s">
        <v>91</v>
      </c>
      <c r="N114" s="10" t="s">
        <v>265</v>
      </c>
      <c r="O114" s="19" t="s">
        <v>1323</v>
      </c>
      <c r="P114" s="10" t="s">
        <v>267</v>
      </c>
      <c r="Q114" s="10" t="s">
        <v>126</v>
      </c>
      <c r="R114" s="10"/>
      <c r="S114" s="19" t="s">
        <v>1324</v>
      </c>
      <c r="T114" s="19" t="s">
        <v>1248</v>
      </c>
      <c r="U114" s="10" t="s">
        <v>588</v>
      </c>
      <c r="V114" s="10" t="s">
        <v>407</v>
      </c>
      <c r="W114" s="10" t="s">
        <v>272</v>
      </c>
      <c r="X114" s="10" t="s">
        <v>130</v>
      </c>
      <c r="Y114" s="10" t="s">
        <v>130</v>
      </c>
      <c r="Z114" s="10" t="s">
        <v>99</v>
      </c>
      <c r="AA114" s="10" t="s">
        <v>131</v>
      </c>
      <c r="AB114" s="10" t="s">
        <v>273</v>
      </c>
      <c r="AC114" s="10" t="s">
        <v>274</v>
      </c>
      <c r="AD114" s="10" t="s">
        <v>1325</v>
      </c>
      <c r="AE114" s="10" t="s">
        <v>1326</v>
      </c>
      <c r="AF114" s="15"/>
      <c r="AG114" s="10"/>
      <c r="AH114" s="10"/>
      <c r="AI114" s="10"/>
      <c r="AJ114" s="10" t="s">
        <v>1327</v>
      </c>
      <c r="AK114" s="10" t="s">
        <v>102</v>
      </c>
      <c r="AL114" s="10" t="s">
        <v>1252</v>
      </c>
      <c r="AM114" s="10"/>
      <c r="AN114" s="10"/>
      <c r="AO114" s="13" t="b">
        <v>0</v>
      </c>
      <c r="AP114" s="10" t="s">
        <v>104</v>
      </c>
      <c r="AQ114" s="10">
        <f ca="1">IFERROR(__xludf.DUMMYFUNCTION("""COMPUTED_VALUE"""),4690947)</f>
        <v>4690947</v>
      </c>
      <c r="AR114" s="17">
        <v>11762</v>
      </c>
      <c r="AS114" s="17">
        <v>8739</v>
      </c>
      <c r="AT114" s="17">
        <v>249744.5</v>
      </c>
      <c r="AU114" s="17">
        <v>28.8</v>
      </c>
      <c r="AV114" s="17">
        <v>6.05</v>
      </c>
      <c r="AW114" s="10" t="s">
        <v>105</v>
      </c>
      <c r="AX114" s="17">
        <v>3742</v>
      </c>
      <c r="AY114" s="18">
        <v>28.578155395354159</v>
      </c>
      <c r="AZ114" s="10" t="s">
        <v>148</v>
      </c>
      <c r="BA114" s="20" t="b">
        <v>0</v>
      </c>
      <c r="BB114" s="10"/>
      <c r="BC114" s="17">
        <v>11762</v>
      </c>
      <c r="BD114" s="17">
        <v>8739</v>
      </c>
      <c r="BE114" s="17">
        <v>249744.5</v>
      </c>
      <c r="BF114" s="17">
        <v>6.05</v>
      </c>
      <c r="BG114" s="11">
        <f ca="1">IFERROR(__xludf.DUMMYFUNCTION("""COMPUTED_VALUE"""),45965.125)</f>
        <v>45965.125</v>
      </c>
      <c r="BH114" s="17" t="s">
        <v>105</v>
      </c>
      <c r="BI114" s="17"/>
      <c r="BJ114" s="15"/>
      <c r="BK114" s="15"/>
      <c r="BL114" s="13" t="b">
        <v>1</v>
      </c>
      <c r="BM114" s="10"/>
      <c r="BN114" s="10" t="s">
        <v>278</v>
      </c>
      <c r="BO114" s="11">
        <v>45827.42083333333</v>
      </c>
      <c r="BP114" s="11">
        <v>45958.088078703702</v>
      </c>
      <c r="BQ114" s="15">
        <v>45960.816076388888</v>
      </c>
      <c r="BR114" s="15">
        <v>45963.436296296299</v>
      </c>
      <c r="BS114" s="10" t="s">
        <v>278</v>
      </c>
      <c r="BT114" s="10" t="s">
        <v>279</v>
      </c>
      <c r="BU114" s="10" t="s">
        <v>521</v>
      </c>
      <c r="BV114" s="10"/>
      <c r="BW114" s="10"/>
      <c r="BX114" s="10"/>
      <c r="BY114" s="23"/>
      <c r="BZ114" s="24" t="s">
        <v>299</v>
      </c>
      <c r="CA114" s="19" t="s">
        <v>1328</v>
      </c>
      <c r="CB114" s="19" t="s">
        <v>1329</v>
      </c>
      <c r="CC114" s="23"/>
      <c r="CD114" s="19" t="s">
        <v>1330</v>
      </c>
      <c r="CE114" s="23"/>
      <c r="CF114" s="23"/>
      <c r="CG114" s="23"/>
      <c r="CH114" s="23"/>
      <c r="CI114" s="23"/>
    </row>
    <row r="115" spans="1:87" x14ac:dyDescent="0.3">
      <c r="A115" s="9" t="s">
        <v>1331</v>
      </c>
      <c r="B115" s="10" t="s">
        <v>1332</v>
      </c>
      <c r="C115" s="11">
        <v>45963.020833333336</v>
      </c>
      <c r="D115" s="12">
        <v>8.3333333333333329E-2</v>
      </c>
      <c r="E115" s="11">
        <v>45963.104166666664</v>
      </c>
      <c r="F115" s="10" t="s">
        <v>262</v>
      </c>
      <c r="G115" s="13" t="b">
        <v>1</v>
      </c>
      <c r="H115" s="10" t="s">
        <v>263</v>
      </c>
      <c r="I115" s="10" t="s">
        <v>264</v>
      </c>
      <c r="J115" s="13" t="b">
        <v>0</v>
      </c>
      <c r="K115" s="13" t="b">
        <v>1</v>
      </c>
      <c r="L115" s="10" t="s">
        <v>124</v>
      </c>
      <c r="M115" s="10" t="s">
        <v>91</v>
      </c>
      <c r="N115" s="10" t="s">
        <v>265</v>
      </c>
      <c r="O115" s="19" t="s">
        <v>1333</v>
      </c>
      <c r="P115" s="10" t="s">
        <v>885</v>
      </c>
      <c r="Q115" s="10" t="s">
        <v>126</v>
      </c>
      <c r="R115" s="10"/>
      <c r="S115" s="19" t="s">
        <v>1334</v>
      </c>
      <c r="T115" s="19" t="s">
        <v>1248</v>
      </c>
      <c r="U115" s="10" t="s">
        <v>429</v>
      </c>
      <c r="V115" s="10" t="s">
        <v>346</v>
      </c>
      <c r="W115" s="10" t="s">
        <v>272</v>
      </c>
      <c r="X115" s="10" t="s">
        <v>130</v>
      </c>
      <c r="Y115" s="10" t="s">
        <v>130</v>
      </c>
      <c r="Z115" s="10" t="s">
        <v>99</v>
      </c>
      <c r="AA115" s="10" t="s">
        <v>131</v>
      </c>
      <c r="AB115" s="10" t="s">
        <v>273</v>
      </c>
      <c r="AC115" s="10" t="s">
        <v>274</v>
      </c>
      <c r="AD115" s="10" t="s">
        <v>1335</v>
      </c>
      <c r="AE115" s="10" t="s">
        <v>1336</v>
      </c>
      <c r="AF115" s="15"/>
      <c r="AG115" s="10"/>
      <c r="AH115" s="10"/>
      <c r="AI115" s="10"/>
      <c r="AJ115" s="10" t="s">
        <v>1337</v>
      </c>
      <c r="AK115" s="10" t="s">
        <v>102</v>
      </c>
      <c r="AL115" s="10" t="s">
        <v>1252</v>
      </c>
      <c r="AM115" s="10"/>
      <c r="AN115" s="10"/>
      <c r="AO115" s="13" t="b">
        <v>1</v>
      </c>
      <c r="AP115" s="10" t="s">
        <v>104</v>
      </c>
      <c r="AQ115" s="10">
        <f ca="1">IFERROR(__xludf.DUMMYFUNCTION("""COMPUTED_VALUE"""),4678873)</f>
        <v>4678873</v>
      </c>
      <c r="AR115" s="17">
        <v>102652</v>
      </c>
      <c r="AS115" s="17">
        <v>68434</v>
      </c>
      <c r="AT115" s="17">
        <v>3706858.75</v>
      </c>
      <c r="AU115" s="17">
        <v>487.6</v>
      </c>
      <c r="AV115" s="17">
        <v>95.1</v>
      </c>
      <c r="AW115" s="10" t="s">
        <v>105</v>
      </c>
      <c r="AX115" s="17">
        <v>37691</v>
      </c>
      <c r="AY115" s="18">
        <v>54.166916298915744</v>
      </c>
      <c r="AZ115" s="10" t="s">
        <v>148</v>
      </c>
      <c r="BA115" s="20" t="b">
        <v>0</v>
      </c>
      <c r="BB115" s="10"/>
      <c r="BC115" s="17">
        <v>102652</v>
      </c>
      <c r="BD115" s="17">
        <v>68434</v>
      </c>
      <c r="BE115" s="17">
        <v>3706858.75</v>
      </c>
      <c r="BF115" s="17">
        <v>95.1</v>
      </c>
      <c r="BG115" s="11">
        <f ca="1">IFERROR(__xludf.DUMMYFUNCTION("""COMPUTED_VALUE"""),45963)</f>
        <v>45963</v>
      </c>
      <c r="BH115" s="17" t="s">
        <v>105</v>
      </c>
      <c r="BI115" s="17"/>
      <c r="BJ115" s="15"/>
      <c r="BK115" s="15"/>
      <c r="BL115" s="13" t="b">
        <v>0</v>
      </c>
      <c r="BM115" s="10"/>
      <c r="BN115" s="10" t="s">
        <v>197</v>
      </c>
      <c r="BO115" s="11">
        <v>45827.42083333333</v>
      </c>
      <c r="BP115" s="11">
        <v>45958.087037037039</v>
      </c>
      <c r="BQ115" s="15">
        <v>45960.815555555557</v>
      </c>
      <c r="BR115" s="15">
        <v>45960.944398148145</v>
      </c>
      <c r="BS115" s="10" t="s">
        <v>197</v>
      </c>
      <c r="BT115" s="10" t="s">
        <v>279</v>
      </c>
      <c r="BU115" s="10" t="s">
        <v>1338</v>
      </c>
      <c r="BV115" s="10" t="s">
        <v>499</v>
      </c>
      <c r="BW115" s="10"/>
      <c r="BX115" s="10"/>
      <c r="BY115" s="23"/>
      <c r="BZ115" s="24" t="s">
        <v>368</v>
      </c>
      <c r="CA115" s="19" t="s">
        <v>1339</v>
      </c>
      <c r="CB115" s="19" t="s">
        <v>1340</v>
      </c>
      <c r="CC115" s="23"/>
      <c r="CD115" s="19" t="s">
        <v>1341</v>
      </c>
      <c r="CE115" s="23"/>
      <c r="CF115" s="23"/>
      <c r="CG115" s="23"/>
      <c r="CH115" s="23"/>
      <c r="CI115" s="23"/>
    </row>
    <row r="116" spans="1:87" x14ac:dyDescent="0.3">
      <c r="A116" s="9" t="s">
        <v>1342</v>
      </c>
      <c r="B116" s="10" t="s">
        <v>1343</v>
      </c>
      <c r="C116" s="11">
        <v>45963.875</v>
      </c>
      <c r="D116" s="12">
        <v>8.3333333333333329E-2</v>
      </c>
      <c r="E116" s="11">
        <v>45963.958333333336</v>
      </c>
      <c r="F116" s="10" t="s">
        <v>262</v>
      </c>
      <c r="G116" s="13" t="b">
        <v>1</v>
      </c>
      <c r="H116" s="10" t="s">
        <v>263</v>
      </c>
      <c r="I116" s="10" t="s">
        <v>264</v>
      </c>
      <c r="J116" s="13" t="b">
        <v>0</v>
      </c>
      <c r="K116" s="13" t="b">
        <v>1</v>
      </c>
      <c r="L116" s="10" t="s">
        <v>124</v>
      </c>
      <c r="M116" s="10" t="s">
        <v>91</v>
      </c>
      <c r="N116" s="10" t="s">
        <v>265</v>
      </c>
      <c r="O116" s="19" t="s">
        <v>1344</v>
      </c>
      <c r="P116" s="10" t="s">
        <v>267</v>
      </c>
      <c r="Q116" s="10" t="s">
        <v>126</v>
      </c>
      <c r="R116" s="10"/>
      <c r="S116" s="19" t="s">
        <v>1345</v>
      </c>
      <c r="T116" s="19" t="s">
        <v>1248</v>
      </c>
      <c r="U116" s="10" t="s">
        <v>451</v>
      </c>
      <c r="V116" s="10" t="s">
        <v>293</v>
      </c>
      <c r="W116" s="10" t="s">
        <v>272</v>
      </c>
      <c r="X116" s="10" t="s">
        <v>130</v>
      </c>
      <c r="Y116" s="10" t="s">
        <v>130</v>
      </c>
      <c r="Z116" s="10" t="s">
        <v>99</v>
      </c>
      <c r="AA116" s="10" t="s">
        <v>131</v>
      </c>
      <c r="AB116" s="10" t="s">
        <v>273</v>
      </c>
      <c r="AC116" s="10" t="s">
        <v>274</v>
      </c>
      <c r="AD116" s="10" t="s">
        <v>1346</v>
      </c>
      <c r="AE116" s="10" t="s">
        <v>1347</v>
      </c>
      <c r="AF116" s="15"/>
      <c r="AG116" s="10"/>
      <c r="AH116" s="10"/>
      <c r="AI116" s="10"/>
      <c r="AJ116" s="10" t="s">
        <v>1348</v>
      </c>
      <c r="AK116" s="10" t="s">
        <v>102</v>
      </c>
      <c r="AL116" s="10" t="s">
        <v>1252</v>
      </c>
      <c r="AM116" s="10"/>
      <c r="AN116" s="10"/>
      <c r="AO116" s="13" t="b">
        <v>0</v>
      </c>
      <c r="AP116" s="10" t="s">
        <v>104</v>
      </c>
      <c r="AQ116" s="10">
        <f ca="1">IFERROR(__xludf.DUMMYFUNCTION("""COMPUTED_VALUE"""),4678875)</f>
        <v>4678875</v>
      </c>
      <c r="AR116" s="17">
        <v>101551</v>
      </c>
      <c r="AS116" s="17">
        <v>64502</v>
      </c>
      <c r="AT116" s="17">
        <v>2711066.75</v>
      </c>
      <c r="AU116" s="17">
        <v>386</v>
      </c>
      <c r="AV116" s="17">
        <v>57.85</v>
      </c>
      <c r="AW116" s="10" t="s">
        <v>105</v>
      </c>
      <c r="AX116" s="17">
        <v>25298</v>
      </c>
      <c r="AY116" s="18">
        <v>42.030739356919163</v>
      </c>
      <c r="AZ116" s="10" t="s">
        <v>148</v>
      </c>
      <c r="BA116" s="20" t="b">
        <v>0</v>
      </c>
      <c r="BB116" s="10"/>
      <c r="BC116" s="17">
        <v>101551</v>
      </c>
      <c r="BD116" s="17">
        <v>64502</v>
      </c>
      <c r="BE116" s="17">
        <v>2711066.75</v>
      </c>
      <c r="BF116" s="17">
        <v>57.85</v>
      </c>
      <c r="BG116" s="11">
        <f ca="1">IFERROR(__xludf.DUMMYFUNCTION("""COMPUTED_VALUE"""),45963.8541666666)</f>
        <v>45963.854166666599</v>
      </c>
      <c r="BH116" s="17" t="s">
        <v>105</v>
      </c>
      <c r="BI116" s="17"/>
      <c r="BJ116" s="15"/>
      <c r="BK116" s="15"/>
      <c r="BL116" s="13" t="b">
        <v>1</v>
      </c>
      <c r="BM116" s="10"/>
      <c r="BN116" s="10" t="s">
        <v>351</v>
      </c>
      <c r="BO116" s="11">
        <v>45827.42083333333</v>
      </c>
      <c r="BP116" s="11">
        <v>45958.087500000001</v>
      </c>
      <c r="BQ116" s="15">
        <v>45960.815810185188</v>
      </c>
      <c r="BR116" s="15">
        <v>45960.945011574076</v>
      </c>
      <c r="BS116" s="10"/>
      <c r="BT116" s="10" t="s">
        <v>279</v>
      </c>
      <c r="BU116" s="10" t="s">
        <v>816</v>
      </c>
      <c r="BV116" s="10"/>
      <c r="BW116" s="10"/>
      <c r="BX116" s="10"/>
      <c r="BY116" s="23"/>
      <c r="BZ116" s="24" t="s">
        <v>299</v>
      </c>
      <c r="CA116" s="19" t="s">
        <v>1349</v>
      </c>
      <c r="CB116" s="19" t="s">
        <v>1350</v>
      </c>
      <c r="CC116" s="23"/>
      <c r="CD116" s="19" t="s">
        <v>1351</v>
      </c>
      <c r="CE116" s="23"/>
      <c r="CF116" s="23"/>
      <c r="CG116" s="23"/>
      <c r="CH116" s="23"/>
      <c r="CI116" s="23"/>
    </row>
    <row r="117" spans="1:87" x14ac:dyDescent="0.3">
      <c r="A117" s="9" t="s">
        <v>1352</v>
      </c>
      <c r="B117" s="10" t="s">
        <v>1353</v>
      </c>
      <c r="C117" s="11">
        <v>45970.875</v>
      </c>
      <c r="D117" s="12">
        <v>8.3333333333333329E-2</v>
      </c>
      <c r="E117" s="11">
        <v>45970.958333333336</v>
      </c>
      <c r="F117" s="10" t="s">
        <v>262</v>
      </c>
      <c r="G117" s="13" t="b">
        <v>1</v>
      </c>
      <c r="H117" s="10" t="s">
        <v>263</v>
      </c>
      <c r="I117" s="10" t="s">
        <v>264</v>
      </c>
      <c r="J117" s="13" t="b">
        <v>0</v>
      </c>
      <c r="K117" s="13" t="b">
        <v>1</v>
      </c>
      <c r="L117" s="10" t="s">
        <v>124</v>
      </c>
      <c r="M117" s="10" t="s">
        <v>91</v>
      </c>
      <c r="N117" s="10" t="s">
        <v>265</v>
      </c>
      <c r="O117" s="19" t="s">
        <v>1354</v>
      </c>
      <c r="P117" s="10"/>
      <c r="Q117" s="10" t="s">
        <v>126</v>
      </c>
      <c r="R117" s="10"/>
      <c r="S117" s="19" t="s">
        <v>1355</v>
      </c>
      <c r="T117" s="19" t="s">
        <v>1356</v>
      </c>
      <c r="U117" s="10" t="s">
        <v>292</v>
      </c>
      <c r="V117" s="10" t="s">
        <v>271</v>
      </c>
      <c r="W117" s="10" t="s">
        <v>272</v>
      </c>
      <c r="X117" s="10" t="s">
        <v>130</v>
      </c>
      <c r="Y117" s="10" t="s">
        <v>130</v>
      </c>
      <c r="Z117" s="10" t="s">
        <v>99</v>
      </c>
      <c r="AA117" s="10" t="s">
        <v>131</v>
      </c>
      <c r="AB117" s="10" t="s">
        <v>273</v>
      </c>
      <c r="AC117" s="10" t="s">
        <v>274</v>
      </c>
      <c r="AD117" s="10" t="s">
        <v>1357</v>
      </c>
      <c r="AE117" s="10" t="s">
        <v>1358</v>
      </c>
      <c r="AF117" s="15"/>
      <c r="AG117" s="10"/>
      <c r="AH117" s="10"/>
      <c r="AI117" s="10"/>
      <c r="AJ117" s="10" t="s">
        <v>1359</v>
      </c>
      <c r="AK117" s="10" t="s">
        <v>102</v>
      </c>
      <c r="AL117" s="10" t="s">
        <v>1360</v>
      </c>
      <c r="AM117" s="10"/>
      <c r="AN117" s="10"/>
      <c r="AO117" s="13" t="b">
        <v>0</v>
      </c>
      <c r="AP117" s="10" t="s">
        <v>104</v>
      </c>
      <c r="AQ117" s="10">
        <f ca="1">IFERROR(__xludf.DUMMYFUNCTION("""COMPUTED_VALUE"""),4707261)</f>
        <v>4707261</v>
      </c>
      <c r="AR117" s="17">
        <v>90055</v>
      </c>
      <c r="AS117" s="17">
        <v>58790</v>
      </c>
      <c r="AT117" s="17">
        <v>1512869.75</v>
      </c>
      <c r="AU117" s="17">
        <v>303.05</v>
      </c>
      <c r="AV117" s="17">
        <v>71.650000000000006</v>
      </c>
      <c r="AW117" s="10" t="s">
        <v>105</v>
      </c>
      <c r="AX117" s="17">
        <v>15121</v>
      </c>
      <c r="AY117" s="18">
        <v>25.733453818676647</v>
      </c>
      <c r="AZ117" s="10" t="s">
        <v>148</v>
      </c>
      <c r="BA117" s="20" t="b">
        <v>0</v>
      </c>
      <c r="BB117" s="10"/>
      <c r="BC117" s="17">
        <v>90055</v>
      </c>
      <c r="BD117" s="17">
        <v>58790</v>
      </c>
      <c r="BE117" s="17">
        <v>1512869.75</v>
      </c>
      <c r="BF117" s="17">
        <v>71.650000000000006</v>
      </c>
      <c r="BG117" s="11">
        <f ca="1">IFERROR(__xludf.DUMMYFUNCTION("""COMPUTED_VALUE"""),45970.8541666666)</f>
        <v>45970.854166666599</v>
      </c>
      <c r="BH117" s="17" t="s">
        <v>105</v>
      </c>
      <c r="BI117" s="17"/>
      <c r="BJ117" s="15"/>
      <c r="BK117" s="15"/>
      <c r="BL117" s="13" t="b">
        <v>1</v>
      </c>
      <c r="BM117" s="10"/>
      <c r="BN117" s="10" t="s">
        <v>351</v>
      </c>
      <c r="BO117" s="11">
        <v>45827.420937499999</v>
      </c>
      <c r="BP117" s="11">
        <v>45963.562071759261</v>
      </c>
      <c r="BQ117" s="15">
        <v>45967.922939814816</v>
      </c>
      <c r="BR117" s="15">
        <v>45968.424131944441</v>
      </c>
      <c r="BS117" s="10"/>
      <c r="BT117" s="10" t="s">
        <v>99</v>
      </c>
      <c r="BU117" s="10" t="s">
        <v>793</v>
      </c>
      <c r="BV117" s="10"/>
      <c r="BW117" s="10"/>
      <c r="BX117" s="10"/>
      <c r="BY117" s="23"/>
      <c r="BZ117" s="24" t="s">
        <v>299</v>
      </c>
      <c r="CA117" s="19" t="s">
        <v>1361</v>
      </c>
      <c r="CB117" s="19" t="s">
        <v>1362</v>
      </c>
      <c r="CC117" s="23"/>
      <c r="CD117" s="19" t="s">
        <v>1363</v>
      </c>
      <c r="CE117" s="23"/>
      <c r="CF117" s="23"/>
      <c r="CG117" s="23"/>
      <c r="CH117" s="23"/>
      <c r="CI117" s="23"/>
    </row>
    <row r="118" spans="1:87" x14ac:dyDescent="0.3">
      <c r="A118" s="9" t="s">
        <v>1364</v>
      </c>
      <c r="B118" s="10" t="s">
        <v>1365</v>
      </c>
      <c r="C118" s="11">
        <v>45970.875</v>
      </c>
      <c r="D118" s="12">
        <v>8.3333333333333329E-2</v>
      </c>
      <c r="E118" s="11">
        <v>45970.958333333336</v>
      </c>
      <c r="F118" s="10" t="s">
        <v>262</v>
      </c>
      <c r="G118" s="13" t="b">
        <v>0</v>
      </c>
      <c r="H118" s="10" t="s">
        <v>527</v>
      </c>
      <c r="I118" s="10" t="s">
        <v>264</v>
      </c>
      <c r="J118" s="13" t="b">
        <v>0</v>
      </c>
      <c r="K118" s="13" t="b">
        <v>1</v>
      </c>
      <c r="L118" s="10" t="s">
        <v>124</v>
      </c>
      <c r="M118" s="10" t="s">
        <v>91</v>
      </c>
      <c r="N118" s="10" t="s">
        <v>265</v>
      </c>
      <c r="O118" s="19" t="s">
        <v>1366</v>
      </c>
      <c r="P118" s="10" t="s">
        <v>267</v>
      </c>
      <c r="Q118" s="10" t="s">
        <v>126</v>
      </c>
      <c r="R118" s="10"/>
      <c r="S118" s="19" t="s">
        <v>1367</v>
      </c>
      <c r="T118" s="19" t="s">
        <v>1356</v>
      </c>
      <c r="U118" s="10" t="s">
        <v>321</v>
      </c>
      <c r="V118" s="10" t="s">
        <v>293</v>
      </c>
      <c r="W118" s="10" t="s">
        <v>272</v>
      </c>
      <c r="X118" s="10" t="s">
        <v>130</v>
      </c>
      <c r="Y118" s="10" t="s">
        <v>130</v>
      </c>
      <c r="Z118" s="10" t="s">
        <v>99</v>
      </c>
      <c r="AA118" s="10" t="s">
        <v>131</v>
      </c>
      <c r="AB118" s="10" t="s">
        <v>273</v>
      </c>
      <c r="AC118" s="10" t="s">
        <v>274</v>
      </c>
      <c r="AD118" s="10" t="s">
        <v>1368</v>
      </c>
      <c r="AE118" s="10" t="s">
        <v>1369</v>
      </c>
      <c r="AF118" s="15"/>
      <c r="AG118" s="10"/>
      <c r="AH118" s="10"/>
      <c r="AI118" s="10"/>
      <c r="AJ118" s="10" t="s">
        <v>1370</v>
      </c>
      <c r="AK118" s="10" t="s">
        <v>102</v>
      </c>
      <c r="AL118" s="10" t="s">
        <v>1360</v>
      </c>
      <c r="AM118" s="10"/>
      <c r="AN118" s="10"/>
      <c r="AO118" s="13" t="b">
        <v>0</v>
      </c>
      <c r="AP118" s="10" t="s">
        <v>104</v>
      </c>
      <c r="AQ118" s="10">
        <f ca="1">IFERROR(__xludf.DUMMYFUNCTION("""COMPUTED_VALUE"""),4708204)</f>
        <v>4708204</v>
      </c>
      <c r="AR118" s="17">
        <v>47943</v>
      </c>
      <c r="AS118" s="17">
        <v>30925</v>
      </c>
      <c r="AT118" s="17">
        <v>608330.5</v>
      </c>
      <c r="AU118" s="17">
        <v>113.65</v>
      </c>
      <c r="AV118" s="17">
        <v>20.75</v>
      </c>
      <c r="AW118" s="10" t="s">
        <v>105</v>
      </c>
      <c r="AX118" s="17">
        <v>8796</v>
      </c>
      <c r="AY118" s="18">
        <v>19.671156022635408</v>
      </c>
      <c r="AZ118" s="10" t="s">
        <v>148</v>
      </c>
      <c r="BA118" s="20" t="b">
        <v>0</v>
      </c>
      <c r="BB118" s="10"/>
      <c r="BC118" s="17">
        <v>47943</v>
      </c>
      <c r="BD118" s="17">
        <v>30925</v>
      </c>
      <c r="BE118" s="17">
        <v>608330.5</v>
      </c>
      <c r="BF118" s="17">
        <v>20.75</v>
      </c>
      <c r="BG118" s="11">
        <f ca="1">IFERROR(__xludf.DUMMYFUNCTION("""COMPUTED_VALUE"""),45970.875)</f>
        <v>45970.875</v>
      </c>
      <c r="BH118" s="17" t="s">
        <v>105</v>
      </c>
      <c r="BI118" s="17"/>
      <c r="BJ118" s="15"/>
      <c r="BK118" s="15"/>
      <c r="BL118" s="13" t="b">
        <v>1</v>
      </c>
      <c r="BM118" s="10"/>
      <c r="BN118" s="10" t="s">
        <v>149</v>
      </c>
      <c r="BO118" s="11">
        <v>45827.420937499999</v>
      </c>
      <c r="BP118" s="11">
        <v>45963.562407407408</v>
      </c>
      <c r="BQ118" s="15">
        <v>45968.484282407408</v>
      </c>
      <c r="BR118" s="15">
        <v>45968.866932870369</v>
      </c>
      <c r="BS118" s="10" t="s">
        <v>149</v>
      </c>
      <c r="BT118" s="10" t="s">
        <v>99</v>
      </c>
      <c r="BU118" s="10" t="s">
        <v>534</v>
      </c>
      <c r="BV118" s="10"/>
      <c r="BW118" s="10"/>
      <c r="BX118" s="10"/>
      <c r="BY118" s="23"/>
      <c r="BZ118" s="24" t="s">
        <v>299</v>
      </c>
      <c r="CA118" s="19" t="s">
        <v>1371</v>
      </c>
      <c r="CB118" s="19" t="s">
        <v>1372</v>
      </c>
      <c r="CC118" s="23"/>
      <c r="CD118" s="19" t="s">
        <v>1373</v>
      </c>
      <c r="CE118" s="23"/>
      <c r="CF118" s="23"/>
      <c r="CG118" s="23"/>
      <c r="CH118" s="23"/>
      <c r="CI118" s="23"/>
    </row>
    <row r="119" spans="1:87" x14ac:dyDescent="0.3">
      <c r="A119" s="9" t="s">
        <v>1374</v>
      </c>
      <c r="B119" s="10" t="s">
        <v>1375</v>
      </c>
      <c r="C119" s="11">
        <v>45970.125</v>
      </c>
      <c r="D119" s="12">
        <v>8.3333333333333329E-2</v>
      </c>
      <c r="E119" s="11">
        <v>45970.208333333336</v>
      </c>
      <c r="F119" s="10" t="s">
        <v>262</v>
      </c>
      <c r="G119" s="13" t="b">
        <v>0</v>
      </c>
      <c r="H119" s="10" t="s">
        <v>263</v>
      </c>
      <c r="I119" s="10" t="s">
        <v>264</v>
      </c>
      <c r="J119" s="13" t="b">
        <v>0</v>
      </c>
      <c r="K119" s="13" t="b">
        <v>1</v>
      </c>
      <c r="L119" s="10" t="s">
        <v>124</v>
      </c>
      <c r="M119" s="10" t="s">
        <v>91</v>
      </c>
      <c r="N119" s="10" t="s">
        <v>265</v>
      </c>
      <c r="O119" s="19" t="s">
        <v>1376</v>
      </c>
      <c r="P119" s="10" t="s">
        <v>331</v>
      </c>
      <c r="Q119" s="10" t="s">
        <v>126</v>
      </c>
      <c r="R119" s="10"/>
      <c r="S119" s="19" t="s">
        <v>1377</v>
      </c>
      <c r="T119" s="19" t="s">
        <v>1356</v>
      </c>
      <c r="U119" s="10" t="s">
        <v>346</v>
      </c>
      <c r="V119" s="10" t="s">
        <v>333</v>
      </c>
      <c r="W119" s="10" t="s">
        <v>272</v>
      </c>
      <c r="X119" s="10" t="s">
        <v>130</v>
      </c>
      <c r="Y119" s="10" t="s">
        <v>130</v>
      </c>
      <c r="Z119" s="10" t="s">
        <v>99</v>
      </c>
      <c r="AA119" s="10" t="s">
        <v>131</v>
      </c>
      <c r="AB119" s="10" t="s">
        <v>273</v>
      </c>
      <c r="AC119" s="10" t="s">
        <v>274</v>
      </c>
      <c r="AD119" s="10" t="s">
        <v>1378</v>
      </c>
      <c r="AE119" s="10" t="s">
        <v>1379</v>
      </c>
      <c r="AF119" s="15"/>
      <c r="AG119" s="10"/>
      <c r="AH119" s="10"/>
      <c r="AI119" s="10"/>
      <c r="AJ119" s="10" t="s">
        <v>1380</v>
      </c>
      <c r="AK119" s="10" t="s">
        <v>102</v>
      </c>
      <c r="AL119" s="10" t="s">
        <v>1360</v>
      </c>
      <c r="AM119" s="10"/>
      <c r="AN119" s="10"/>
      <c r="AO119" s="13" t="b">
        <v>1</v>
      </c>
      <c r="AP119" s="10" t="s">
        <v>104</v>
      </c>
      <c r="AQ119" s="10">
        <f ca="1">IFERROR(__xludf.DUMMYFUNCTION("""COMPUTED_VALUE"""),4707259)</f>
        <v>4707259</v>
      </c>
      <c r="AR119" s="17">
        <v>43161</v>
      </c>
      <c r="AS119" s="17">
        <v>30206</v>
      </c>
      <c r="AT119" s="17">
        <v>1167606.25</v>
      </c>
      <c r="AU119" s="17">
        <v>134.69999999999999</v>
      </c>
      <c r="AV119" s="17">
        <v>26.25</v>
      </c>
      <c r="AW119" s="10" t="s">
        <v>105</v>
      </c>
      <c r="AX119" s="17">
        <v>17815</v>
      </c>
      <c r="AY119" s="18">
        <v>38.654778851883734</v>
      </c>
      <c r="AZ119" s="10" t="s">
        <v>148</v>
      </c>
      <c r="BA119" s="20" t="b">
        <v>0</v>
      </c>
      <c r="BB119" s="10"/>
      <c r="BC119" s="17">
        <v>43161</v>
      </c>
      <c r="BD119" s="17">
        <v>30206</v>
      </c>
      <c r="BE119" s="17">
        <v>1167606.25</v>
      </c>
      <c r="BF119" s="17">
        <v>26.25</v>
      </c>
      <c r="BG119" s="11">
        <f ca="1">IFERROR(__xludf.DUMMYFUNCTION("""COMPUTED_VALUE"""),45970.125)</f>
        <v>45970.125</v>
      </c>
      <c r="BH119" s="17" t="s">
        <v>105</v>
      </c>
      <c r="BI119" s="17"/>
      <c r="BJ119" s="15"/>
      <c r="BK119" s="15"/>
      <c r="BL119" s="13" t="b">
        <v>0</v>
      </c>
      <c r="BM119" s="10"/>
      <c r="BN119" s="10" t="s">
        <v>197</v>
      </c>
      <c r="BO119" s="11">
        <v>45827.42083333333</v>
      </c>
      <c r="BP119" s="11">
        <v>45963.561851851853</v>
      </c>
      <c r="BQ119" s="15">
        <v>45967.923067129632</v>
      </c>
      <c r="BR119" s="15">
        <v>45968.423692129632</v>
      </c>
      <c r="BS119" s="10" t="s">
        <v>197</v>
      </c>
      <c r="BT119" s="10" t="s">
        <v>99</v>
      </c>
      <c r="BU119" s="10" t="s">
        <v>1381</v>
      </c>
      <c r="BV119" s="10" t="s">
        <v>124</v>
      </c>
      <c r="BW119" s="10"/>
      <c r="BX119" s="10"/>
      <c r="BY119" s="23"/>
      <c r="BZ119" s="24" t="s">
        <v>284</v>
      </c>
      <c r="CA119" s="19" t="s">
        <v>1382</v>
      </c>
      <c r="CB119" s="19" t="s">
        <v>1383</v>
      </c>
      <c r="CC119" s="23"/>
      <c r="CD119" s="19" t="s">
        <v>1384</v>
      </c>
      <c r="CE119" s="23"/>
      <c r="CF119" s="23"/>
      <c r="CG119" s="23"/>
      <c r="CH119" s="23"/>
      <c r="CI119" s="23"/>
    </row>
    <row r="120" spans="1:87" x14ac:dyDescent="0.3">
      <c r="A120" s="9" t="s">
        <v>1385</v>
      </c>
      <c r="B120" s="10" t="s">
        <v>1386</v>
      </c>
      <c r="C120" s="11">
        <v>45970.875</v>
      </c>
      <c r="D120" s="12">
        <v>8.3333333333333329E-2</v>
      </c>
      <c r="E120" s="11">
        <v>45970.958333333336</v>
      </c>
      <c r="F120" s="10" t="s">
        <v>262</v>
      </c>
      <c r="G120" s="13" t="b">
        <v>0</v>
      </c>
      <c r="H120" s="10" t="s">
        <v>305</v>
      </c>
      <c r="I120" s="10" t="s">
        <v>264</v>
      </c>
      <c r="J120" s="13" t="b">
        <v>0</v>
      </c>
      <c r="K120" s="13" t="b">
        <v>1</v>
      </c>
      <c r="L120" s="10" t="s">
        <v>124</v>
      </c>
      <c r="M120" s="10" t="s">
        <v>91</v>
      </c>
      <c r="N120" s="10" t="s">
        <v>265</v>
      </c>
      <c r="O120" s="19" t="s">
        <v>1387</v>
      </c>
      <c r="P120" s="10"/>
      <c r="Q120" s="10" t="s">
        <v>126</v>
      </c>
      <c r="R120" s="10"/>
      <c r="S120" s="19" t="s">
        <v>1388</v>
      </c>
      <c r="T120" s="19" t="s">
        <v>1356</v>
      </c>
      <c r="U120" s="10" t="s">
        <v>347</v>
      </c>
      <c r="V120" s="10" t="s">
        <v>308</v>
      </c>
      <c r="W120" s="10" t="s">
        <v>272</v>
      </c>
      <c r="X120" s="10" t="s">
        <v>130</v>
      </c>
      <c r="Y120" s="10" t="s">
        <v>130</v>
      </c>
      <c r="Z120" s="10" t="s">
        <v>99</v>
      </c>
      <c r="AA120" s="10" t="s">
        <v>131</v>
      </c>
      <c r="AB120" s="10" t="s">
        <v>273</v>
      </c>
      <c r="AC120" s="10" t="s">
        <v>274</v>
      </c>
      <c r="AD120" s="10" t="s">
        <v>1389</v>
      </c>
      <c r="AE120" s="10" t="s">
        <v>1390</v>
      </c>
      <c r="AF120" s="15"/>
      <c r="AG120" s="10"/>
      <c r="AH120" s="10"/>
      <c r="AI120" s="10"/>
      <c r="AJ120" s="10" t="s">
        <v>1391</v>
      </c>
      <c r="AK120" s="10" t="s">
        <v>102</v>
      </c>
      <c r="AL120" s="10" t="s">
        <v>1360</v>
      </c>
      <c r="AM120" s="10"/>
      <c r="AN120" s="10"/>
      <c r="AO120" s="13" t="b">
        <v>0</v>
      </c>
      <c r="AP120" s="10" t="s">
        <v>104</v>
      </c>
      <c r="AQ120" s="10">
        <f ca="1">IFERROR(__xludf.DUMMYFUNCTION("""COMPUTED_VALUE"""),4707266)</f>
        <v>4707266</v>
      </c>
      <c r="AR120" s="17">
        <v>57259</v>
      </c>
      <c r="AS120" s="17">
        <v>34673</v>
      </c>
      <c r="AT120" s="17">
        <v>802392.5</v>
      </c>
      <c r="AU120" s="17">
        <v>120.4</v>
      </c>
      <c r="AV120" s="17">
        <v>25.15</v>
      </c>
      <c r="AW120" s="10" t="s">
        <v>105</v>
      </c>
      <c r="AX120" s="17">
        <v>9766</v>
      </c>
      <c r="AY120" s="18">
        <v>23.141709687653218</v>
      </c>
      <c r="AZ120" s="10" t="s">
        <v>148</v>
      </c>
      <c r="BA120" s="20" t="b">
        <v>0</v>
      </c>
      <c r="BB120" s="10"/>
      <c r="BC120" s="17">
        <v>57259</v>
      </c>
      <c r="BD120" s="17">
        <v>34673</v>
      </c>
      <c r="BE120" s="17">
        <v>802392.5</v>
      </c>
      <c r="BF120" s="17">
        <v>25.15</v>
      </c>
      <c r="BG120" s="11">
        <f ca="1">IFERROR(__xludf.DUMMYFUNCTION("""COMPUTED_VALUE"""),45970.875)</f>
        <v>45970.875</v>
      </c>
      <c r="BH120" s="17" t="s">
        <v>105</v>
      </c>
      <c r="BI120" s="17"/>
      <c r="BJ120" s="15"/>
      <c r="BK120" s="15"/>
      <c r="BL120" s="13" t="b">
        <v>1</v>
      </c>
      <c r="BM120" s="10"/>
      <c r="BN120" s="10" t="s">
        <v>351</v>
      </c>
      <c r="BO120" s="11">
        <v>45827.420937499999</v>
      </c>
      <c r="BP120" s="11">
        <v>45963.562858796293</v>
      </c>
      <c r="BQ120" s="15">
        <v>45967.922789351855</v>
      </c>
      <c r="BR120" s="15">
        <v>45968.433888888889</v>
      </c>
      <c r="BS120" s="10"/>
      <c r="BT120" s="10" t="s">
        <v>99</v>
      </c>
      <c r="BU120" s="10" t="s">
        <v>521</v>
      </c>
      <c r="BV120" s="10"/>
      <c r="BW120" s="10"/>
      <c r="BX120" s="10"/>
      <c r="BY120" s="23"/>
      <c r="BZ120" s="24" t="s">
        <v>299</v>
      </c>
      <c r="CA120" s="19" t="s">
        <v>1392</v>
      </c>
      <c r="CB120" s="19" t="s">
        <v>1393</v>
      </c>
      <c r="CC120" s="23"/>
      <c r="CD120" s="19" t="s">
        <v>1394</v>
      </c>
      <c r="CE120" s="23"/>
      <c r="CF120" s="23"/>
      <c r="CG120" s="23"/>
      <c r="CH120" s="23"/>
      <c r="CI120" s="23"/>
    </row>
    <row r="121" spans="1:87" x14ac:dyDescent="0.3">
      <c r="A121" s="9" t="s">
        <v>1395</v>
      </c>
      <c r="B121" s="10" t="s">
        <v>1396</v>
      </c>
      <c r="C121" s="11">
        <v>45969.916666666664</v>
      </c>
      <c r="D121" s="12">
        <v>8.3333333333333329E-2</v>
      </c>
      <c r="E121" s="11">
        <v>45970</v>
      </c>
      <c r="F121" s="10" t="s">
        <v>262</v>
      </c>
      <c r="G121" s="13" t="b">
        <v>1</v>
      </c>
      <c r="H121" s="10" t="s">
        <v>263</v>
      </c>
      <c r="I121" s="10" t="s">
        <v>264</v>
      </c>
      <c r="J121" s="13" t="b">
        <v>0</v>
      </c>
      <c r="K121" s="13" t="b">
        <v>1</v>
      </c>
      <c r="L121" s="10" t="s">
        <v>124</v>
      </c>
      <c r="M121" s="10" t="s">
        <v>91</v>
      </c>
      <c r="N121" s="10" t="s">
        <v>265</v>
      </c>
      <c r="O121" s="19" t="s">
        <v>1397</v>
      </c>
      <c r="P121" s="10" t="s">
        <v>405</v>
      </c>
      <c r="Q121" s="10" t="s">
        <v>126</v>
      </c>
      <c r="R121" s="10"/>
      <c r="S121" s="19" t="s">
        <v>1398</v>
      </c>
      <c r="T121" s="19" t="s">
        <v>1356</v>
      </c>
      <c r="U121" s="10" t="s">
        <v>407</v>
      </c>
      <c r="V121" s="10" t="s">
        <v>309</v>
      </c>
      <c r="W121" s="10" t="s">
        <v>272</v>
      </c>
      <c r="X121" s="10" t="s">
        <v>130</v>
      </c>
      <c r="Y121" s="10" t="s">
        <v>130</v>
      </c>
      <c r="Z121" s="10" t="s">
        <v>99</v>
      </c>
      <c r="AA121" s="10" t="s">
        <v>131</v>
      </c>
      <c r="AB121" s="10" t="s">
        <v>273</v>
      </c>
      <c r="AC121" s="10" t="s">
        <v>274</v>
      </c>
      <c r="AD121" s="10" t="s">
        <v>1399</v>
      </c>
      <c r="AE121" s="10" t="s">
        <v>1400</v>
      </c>
      <c r="AF121" s="15"/>
      <c r="AG121" s="10"/>
      <c r="AH121" s="10"/>
      <c r="AI121" s="10"/>
      <c r="AJ121" s="10" t="s">
        <v>1401</v>
      </c>
      <c r="AK121" s="10" t="s">
        <v>102</v>
      </c>
      <c r="AL121" s="10" t="s">
        <v>1360</v>
      </c>
      <c r="AM121" s="10"/>
      <c r="AN121" s="10"/>
      <c r="AO121" s="13" t="b">
        <v>0</v>
      </c>
      <c r="AP121" s="10" t="s">
        <v>104</v>
      </c>
      <c r="AQ121" s="10">
        <f ca="1">IFERROR(__xludf.DUMMYFUNCTION("""COMPUTED_VALUE"""),4707256)</f>
        <v>4707256</v>
      </c>
      <c r="AR121" s="17">
        <v>62783</v>
      </c>
      <c r="AS121" s="17">
        <v>44621</v>
      </c>
      <c r="AT121" s="17">
        <v>979992.75</v>
      </c>
      <c r="AU121" s="17">
        <v>336.8</v>
      </c>
      <c r="AV121" s="17">
        <v>78.099999999999994</v>
      </c>
      <c r="AW121" s="10" t="s">
        <v>105</v>
      </c>
      <c r="AX121" s="17">
        <v>41975</v>
      </c>
      <c r="AY121" s="18">
        <v>21.962590484301113</v>
      </c>
      <c r="AZ121" s="10" t="s">
        <v>148</v>
      </c>
      <c r="BA121" s="20" t="b">
        <v>0</v>
      </c>
      <c r="BB121" s="10"/>
      <c r="BC121" s="17">
        <v>62783</v>
      </c>
      <c r="BD121" s="17">
        <v>44621</v>
      </c>
      <c r="BE121" s="17">
        <v>979992.75</v>
      </c>
      <c r="BF121" s="17">
        <v>78.099999999999994</v>
      </c>
      <c r="BG121" s="11">
        <f ca="1">IFERROR(__xludf.DUMMYFUNCTION("""COMPUTED_VALUE"""),45969.8958333333)</f>
        <v>45969.895833333299</v>
      </c>
      <c r="BH121" s="17" t="s">
        <v>105</v>
      </c>
      <c r="BI121" s="17"/>
      <c r="BJ121" s="15"/>
      <c r="BK121" s="15"/>
      <c r="BL121" s="13" t="b">
        <v>0</v>
      </c>
      <c r="BM121" s="10"/>
      <c r="BN121" s="10" t="s">
        <v>455</v>
      </c>
      <c r="BO121" s="11">
        <v>45827.420937499999</v>
      </c>
      <c r="BP121" s="11">
        <v>45963.560347222221</v>
      </c>
      <c r="BQ121" s="15">
        <v>45967.922233796293</v>
      </c>
      <c r="BR121" s="15">
        <v>45968.415833333333</v>
      </c>
      <c r="BS121" s="10" t="s">
        <v>455</v>
      </c>
      <c r="BT121" s="10" t="s">
        <v>99</v>
      </c>
      <c r="BU121" s="10" t="s">
        <v>1402</v>
      </c>
      <c r="BV121" s="10"/>
      <c r="BW121" s="10"/>
      <c r="BX121" s="10"/>
      <c r="BY121" s="23"/>
      <c r="BZ121" s="24" t="s">
        <v>299</v>
      </c>
      <c r="CA121" s="19" t="s">
        <v>1403</v>
      </c>
      <c r="CB121" s="19" t="s">
        <v>1404</v>
      </c>
      <c r="CC121" s="23"/>
      <c r="CD121" s="19" t="s">
        <v>1405</v>
      </c>
      <c r="CE121" s="23"/>
      <c r="CF121" s="23"/>
      <c r="CG121" s="23"/>
      <c r="CH121" s="23"/>
      <c r="CI121" s="23"/>
    </row>
    <row r="122" spans="1:87" x14ac:dyDescent="0.3">
      <c r="A122" s="9" t="s">
        <v>1406</v>
      </c>
      <c r="B122" s="10" t="s">
        <v>1407</v>
      </c>
      <c r="C122" s="11">
        <v>45970.979166666664</v>
      </c>
      <c r="D122" s="12">
        <v>8.3333333333333329E-2</v>
      </c>
      <c r="E122" s="11">
        <v>45971.0625</v>
      </c>
      <c r="F122" s="10" t="s">
        <v>262</v>
      </c>
      <c r="G122" s="13" t="b">
        <v>1</v>
      </c>
      <c r="H122" s="10" t="s">
        <v>263</v>
      </c>
      <c r="I122" s="10" t="s">
        <v>264</v>
      </c>
      <c r="J122" s="13" t="b">
        <v>0</v>
      </c>
      <c r="K122" s="13" t="b">
        <v>1</v>
      </c>
      <c r="L122" s="10" t="s">
        <v>124</v>
      </c>
      <c r="M122" s="10" t="s">
        <v>91</v>
      </c>
      <c r="N122" s="10" t="s">
        <v>265</v>
      </c>
      <c r="O122" s="19" t="s">
        <v>1408</v>
      </c>
      <c r="P122" s="10" t="s">
        <v>331</v>
      </c>
      <c r="Q122" s="10" t="s">
        <v>126</v>
      </c>
      <c r="R122" s="10"/>
      <c r="S122" s="19" t="s">
        <v>1409</v>
      </c>
      <c r="T122" s="19" t="s">
        <v>1356</v>
      </c>
      <c r="U122" s="10" t="s">
        <v>334</v>
      </c>
      <c r="V122" s="10" t="s">
        <v>270</v>
      </c>
      <c r="W122" s="10" t="s">
        <v>272</v>
      </c>
      <c r="X122" s="10" t="s">
        <v>130</v>
      </c>
      <c r="Y122" s="10" t="s">
        <v>130</v>
      </c>
      <c r="Z122" s="10" t="s">
        <v>99</v>
      </c>
      <c r="AA122" s="10" t="s">
        <v>131</v>
      </c>
      <c r="AB122" s="10" t="s">
        <v>273</v>
      </c>
      <c r="AC122" s="10" t="s">
        <v>274</v>
      </c>
      <c r="AD122" s="10" t="s">
        <v>1410</v>
      </c>
      <c r="AE122" s="10" t="s">
        <v>1411</v>
      </c>
      <c r="AF122" s="15"/>
      <c r="AG122" s="10"/>
      <c r="AH122" s="10"/>
      <c r="AI122" s="10"/>
      <c r="AJ122" s="10" t="s">
        <v>1412</v>
      </c>
      <c r="AK122" s="10" t="s">
        <v>102</v>
      </c>
      <c r="AL122" s="10" t="s">
        <v>1360</v>
      </c>
      <c r="AM122" s="10"/>
      <c r="AN122" s="10"/>
      <c r="AO122" s="13" t="b">
        <v>1</v>
      </c>
      <c r="AP122" s="10" t="s">
        <v>104</v>
      </c>
      <c r="AQ122" s="10">
        <f ca="1">IFERROR(__xludf.DUMMYFUNCTION("""COMPUTED_VALUE"""),4707264)</f>
        <v>4707264</v>
      </c>
      <c r="AR122" s="17">
        <v>236413</v>
      </c>
      <c r="AS122" s="17">
        <v>182370</v>
      </c>
      <c r="AT122" s="17">
        <v>4173516.75</v>
      </c>
      <c r="AU122" s="17">
        <v>2052.35</v>
      </c>
      <c r="AV122" s="17">
        <v>476.75</v>
      </c>
      <c r="AW122" s="10" t="s">
        <v>105</v>
      </c>
      <c r="AX122" s="17">
        <v>76143</v>
      </c>
      <c r="AY122" s="18">
        <v>22.884886494489226</v>
      </c>
      <c r="AZ122" s="10" t="s">
        <v>148</v>
      </c>
      <c r="BA122" s="20" t="b">
        <v>0</v>
      </c>
      <c r="BB122" s="10"/>
      <c r="BC122" s="17">
        <v>236413</v>
      </c>
      <c r="BD122" s="17">
        <v>182370</v>
      </c>
      <c r="BE122" s="17">
        <v>4173516.75</v>
      </c>
      <c r="BF122" s="17">
        <v>476.75</v>
      </c>
      <c r="BG122" s="11">
        <f ca="1">IFERROR(__xludf.DUMMYFUNCTION("""COMPUTED_VALUE"""),45970.9583333333)</f>
        <v>45970.958333333299</v>
      </c>
      <c r="BH122" s="17" t="s">
        <v>105</v>
      </c>
      <c r="BI122" s="17"/>
      <c r="BJ122" s="15"/>
      <c r="BK122" s="15"/>
      <c r="BL122" s="13" t="b">
        <v>0</v>
      </c>
      <c r="BM122" s="10"/>
      <c r="BN122" s="10" t="s">
        <v>157</v>
      </c>
      <c r="BO122" s="11">
        <v>45827.42083333333</v>
      </c>
      <c r="BP122" s="11">
        <v>45965.016006944446</v>
      </c>
      <c r="BQ122" s="15">
        <v>45967.922546296293</v>
      </c>
      <c r="BR122" s="15">
        <v>45968.424317129633</v>
      </c>
      <c r="BS122" s="10" t="s">
        <v>157</v>
      </c>
      <c r="BT122" s="10" t="s">
        <v>99</v>
      </c>
      <c r="BU122" s="10" t="s">
        <v>280</v>
      </c>
      <c r="BV122" s="10" t="s">
        <v>499</v>
      </c>
      <c r="BW122" s="10"/>
      <c r="BX122" s="10"/>
      <c r="BY122" s="23"/>
      <c r="BZ122" s="24" t="s">
        <v>368</v>
      </c>
      <c r="CA122" s="19" t="s">
        <v>1413</v>
      </c>
      <c r="CB122" s="19" t="s">
        <v>1414</v>
      </c>
      <c r="CC122" s="23"/>
      <c r="CD122" s="19" t="s">
        <v>1415</v>
      </c>
      <c r="CE122" s="23"/>
      <c r="CF122" s="23"/>
      <c r="CG122" s="23"/>
      <c r="CH122" s="23"/>
      <c r="CI122" s="23"/>
    </row>
    <row r="123" spans="1:87" x14ac:dyDescent="0.3">
      <c r="A123" s="9" t="s">
        <v>1416</v>
      </c>
      <c r="B123" s="10" t="s">
        <v>1417</v>
      </c>
      <c r="C123" s="11">
        <v>45970.875</v>
      </c>
      <c r="D123" s="12">
        <v>8.3333333333333329E-2</v>
      </c>
      <c r="E123" s="11">
        <v>45970.958333333336</v>
      </c>
      <c r="F123" s="10" t="s">
        <v>262</v>
      </c>
      <c r="G123" s="13" t="b">
        <v>0</v>
      </c>
      <c r="H123" s="10" t="s">
        <v>527</v>
      </c>
      <c r="I123" s="10" t="s">
        <v>264</v>
      </c>
      <c r="J123" s="13" t="b">
        <v>0</v>
      </c>
      <c r="K123" s="13" t="b">
        <v>1</v>
      </c>
      <c r="L123" s="10" t="s">
        <v>124</v>
      </c>
      <c r="M123" s="10" t="s">
        <v>91</v>
      </c>
      <c r="N123" s="10" t="s">
        <v>265</v>
      </c>
      <c r="O123" s="19" t="s">
        <v>1418</v>
      </c>
      <c r="P123" s="10"/>
      <c r="Q123" s="10" t="s">
        <v>126</v>
      </c>
      <c r="R123" s="10"/>
      <c r="S123" s="19" t="s">
        <v>1419</v>
      </c>
      <c r="T123" s="19" t="s">
        <v>1356</v>
      </c>
      <c r="U123" s="10" t="s">
        <v>320</v>
      </c>
      <c r="V123" s="10" t="s">
        <v>663</v>
      </c>
      <c r="W123" s="10" t="s">
        <v>272</v>
      </c>
      <c r="X123" s="10" t="s">
        <v>130</v>
      </c>
      <c r="Y123" s="10" t="s">
        <v>130</v>
      </c>
      <c r="Z123" s="10" t="s">
        <v>99</v>
      </c>
      <c r="AA123" s="10" t="s">
        <v>131</v>
      </c>
      <c r="AB123" s="10" t="s">
        <v>273</v>
      </c>
      <c r="AC123" s="10" t="s">
        <v>274</v>
      </c>
      <c r="AD123" s="10" t="s">
        <v>1420</v>
      </c>
      <c r="AE123" s="10" t="s">
        <v>1421</v>
      </c>
      <c r="AF123" s="15"/>
      <c r="AG123" s="10"/>
      <c r="AH123" s="10"/>
      <c r="AI123" s="10"/>
      <c r="AJ123" s="10" t="s">
        <v>1422</v>
      </c>
      <c r="AK123" s="10" t="s">
        <v>102</v>
      </c>
      <c r="AL123" s="10" t="s">
        <v>1360</v>
      </c>
      <c r="AM123" s="10"/>
      <c r="AN123" s="10"/>
      <c r="AO123" s="13" t="b">
        <v>0</v>
      </c>
      <c r="AP123" s="10" t="s">
        <v>104</v>
      </c>
      <c r="AQ123" s="10">
        <f ca="1">IFERROR(__xludf.DUMMYFUNCTION("""COMPUTED_VALUE"""),4708206)</f>
        <v>4708206</v>
      </c>
      <c r="AR123" s="17">
        <v>19368</v>
      </c>
      <c r="AS123" s="17">
        <v>13198</v>
      </c>
      <c r="AT123" s="17">
        <v>119205.75</v>
      </c>
      <c r="AU123" s="17">
        <v>24.85</v>
      </c>
      <c r="AV123" s="17">
        <v>3.15</v>
      </c>
      <c r="AW123" s="10" t="s">
        <v>105</v>
      </c>
      <c r="AX123" s="17">
        <v>2510</v>
      </c>
      <c r="AY123" s="18">
        <v>9.0321071374450668</v>
      </c>
      <c r="AZ123" s="10" t="s">
        <v>148</v>
      </c>
      <c r="BA123" s="20" t="b">
        <v>0</v>
      </c>
      <c r="BB123" s="10"/>
      <c r="BC123" s="17">
        <v>19368</v>
      </c>
      <c r="BD123" s="17">
        <v>13198</v>
      </c>
      <c r="BE123" s="17">
        <v>119205.75</v>
      </c>
      <c r="BF123" s="17">
        <v>3.15</v>
      </c>
      <c r="BG123" s="11">
        <f ca="1">IFERROR(__xludf.DUMMYFUNCTION("""COMPUTED_VALUE"""),45970.875)</f>
        <v>45970.875</v>
      </c>
      <c r="BH123" s="17" t="s">
        <v>105</v>
      </c>
      <c r="BI123" s="17"/>
      <c r="BJ123" s="15"/>
      <c r="BK123" s="15"/>
      <c r="BL123" s="13" t="b">
        <v>1</v>
      </c>
      <c r="BM123" s="10"/>
      <c r="BN123" s="10" t="s">
        <v>149</v>
      </c>
      <c r="BO123" s="11">
        <v>45827.420937499999</v>
      </c>
      <c r="BP123" s="11">
        <v>45963.563032407408</v>
      </c>
      <c r="BQ123" s="15">
        <v>45968.484467592592</v>
      </c>
      <c r="BR123" s="15">
        <v>45968.867291666669</v>
      </c>
      <c r="BS123" s="10" t="s">
        <v>149</v>
      </c>
      <c r="BT123" s="10" t="s">
        <v>99</v>
      </c>
      <c r="BU123" s="10" t="s">
        <v>718</v>
      </c>
      <c r="BV123" s="10"/>
      <c r="BW123" s="10"/>
      <c r="BX123" s="10"/>
      <c r="BY123" s="23"/>
      <c r="BZ123" s="24" t="s">
        <v>299</v>
      </c>
      <c r="CA123" s="19" t="s">
        <v>1423</v>
      </c>
      <c r="CB123" s="19" t="s">
        <v>1424</v>
      </c>
      <c r="CC123" s="23"/>
      <c r="CD123" s="19" t="s">
        <v>1425</v>
      </c>
      <c r="CE123" s="23"/>
      <c r="CF123" s="23"/>
      <c r="CG123" s="23"/>
      <c r="CH123" s="23"/>
      <c r="CI123" s="23"/>
    </row>
    <row r="124" spans="1:87" x14ac:dyDescent="0.3">
      <c r="A124" s="9" t="s">
        <v>1426</v>
      </c>
      <c r="B124" s="10" t="s">
        <v>1427</v>
      </c>
      <c r="C124" s="11">
        <v>45970.020833333336</v>
      </c>
      <c r="D124" s="12">
        <v>8.3333333333333329E-2</v>
      </c>
      <c r="E124" s="11">
        <v>45970.104166666664</v>
      </c>
      <c r="F124" s="10" t="s">
        <v>262</v>
      </c>
      <c r="G124" s="13" t="b">
        <v>1</v>
      </c>
      <c r="H124" s="10" t="s">
        <v>263</v>
      </c>
      <c r="I124" s="10" t="s">
        <v>264</v>
      </c>
      <c r="J124" s="13" t="b">
        <v>0</v>
      </c>
      <c r="K124" s="13" t="b">
        <v>1</v>
      </c>
      <c r="L124" s="10" t="s">
        <v>124</v>
      </c>
      <c r="M124" s="10" t="s">
        <v>91</v>
      </c>
      <c r="N124" s="10" t="s">
        <v>265</v>
      </c>
      <c r="O124" s="19" t="s">
        <v>1428</v>
      </c>
      <c r="P124" s="10" t="s">
        <v>331</v>
      </c>
      <c r="Q124" s="10" t="s">
        <v>126</v>
      </c>
      <c r="R124" s="10"/>
      <c r="S124" s="19" t="s">
        <v>1429</v>
      </c>
      <c r="T124" s="19" t="s">
        <v>1356</v>
      </c>
      <c r="U124" s="10" t="s">
        <v>588</v>
      </c>
      <c r="V124" s="10" t="s">
        <v>362</v>
      </c>
      <c r="W124" s="10" t="s">
        <v>272</v>
      </c>
      <c r="X124" s="10" t="s">
        <v>130</v>
      </c>
      <c r="Y124" s="10" t="s">
        <v>130</v>
      </c>
      <c r="Z124" s="10" t="s">
        <v>99</v>
      </c>
      <c r="AA124" s="10" t="s">
        <v>131</v>
      </c>
      <c r="AB124" s="10" t="s">
        <v>273</v>
      </c>
      <c r="AC124" s="10" t="s">
        <v>274</v>
      </c>
      <c r="AD124" s="10" t="s">
        <v>1430</v>
      </c>
      <c r="AE124" s="10" t="s">
        <v>1431</v>
      </c>
      <c r="AF124" s="15"/>
      <c r="AG124" s="10"/>
      <c r="AH124" s="10"/>
      <c r="AI124" s="10"/>
      <c r="AJ124" s="10" t="s">
        <v>1432</v>
      </c>
      <c r="AK124" s="10" t="s">
        <v>102</v>
      </c>
      <c r="AL124" s="10" t="s">
        <v>1360</v>
      </c>
      <c r="AM124" s="10"/>
      <c r="AN124" s="10"/>
      <c r="AO124" s="13" t="b">
        <v>1</v>
      </c>
      <c r="AP124" s="10" t="s">
        <v>104</v>
      </c>
      <c r="AQ124" s="10">
        <f ca="1">IFERROR(__xludf.DUMMYFUNCTION("""COMPUTED_VALUE"""),4707258)</f>
        <v>4707258</v>
      </c>
      <c r="AR124" s="17">
        <v>105392</v>
      </c>
      <c r="AS124" s="17">
        <v>66419</v>
      </c>
      <c r="AT124" s="17">
        <v>4053202.5</v>
      </c>
      <c r="AU124" s="17">
        <v>376</v>
      </c>
      <c r="AV124" s="17">
        <v>86.9</v>
      </c>
      <c r="AW124" s="10" t="s">
        <v>105</v>
      </c>
      <c r="AX124" s="17">
        <v>33732</v>
      </c>
      <c r="AY124" s="18">
        <v>61.024744425540881</v>
      </c>
      <c r="AZ124" s="10" t="s">
        <v>148</v>
      </c>
      <c r="BA124" s="20" t="b">
        <v>0</v>
      </c>
      <c r="BB124" s="10"/>
      <c r="BC124" s="17">
        <v>105392</v>
      </c>
      <c r="BD124" s="17">
        <v>66419</v>
      </c>
      <c r="BE124" s="17">
        <v>4053202.5</v>
      </c>
      <c r="BF124" s="17">
        <v>86.9</v>
      </c>
      <c r="BG124" s="11">
        <f ca="1">IFERROR(__xludf.DUMMYFUNCTION("""COMPUTED_VALUE"""),45970)</f>
        <v>45970</v>
      </c>
      <c r="BH124" s="17" t="s">
        <v>105</v>
      </c>
      <c r="BI124" s="17"/>
      <c r="BJ124" s="15"/>
      <c r="BK124" s="15"/>
      <c r="BL124" s="13" t="b">
        <v>0</v>
      </c>
      <c r="BM124" s="10"/>
      <c r="BN124" s="10" t="s">
        <v>197</v>
      </c>
      <c r="BO124" s="11">
        <v>45827.42083333333</v>
      </c>
      <c r="BP124" s="11">
        <v>45963.561608796299</v>
      </c>
      <c r="BQ124" s="15">
        <v>45967.923263888886</v>
      </c>
      <c r="BR124" s="15">
        <v>45968.423472222225</v>
      </c>
      <c r="BS124" s="10" t="s">
        <v>197</v>
      </c>
      <c r="BT124" s="10" t="s">
        <v>99</v>
      </c>
      <c r="BU124" s="10" t="s">
        <v>1433</v>
      </c>
      <c r="BV124" s="10" t="s">
        <v>124</v>
      </c>
      <c r="BW124" s="10"/>
      <c r="BX124" s="10"/>
      <c r="BY124" s="23"/>
      <c r="BZ124" s="24" t="s">
        <v>284</v>
      </c>
      <c r="CA124" s="19" t="s">
        <v>1434</v>
      </c>
      <c r="CB124" s="19" t="s">
        <v>1435</v>
      </c>
      <c r="CC124" s="23"/>
      <c r="CD124" s="19" t="s">
        <v>1436</v>
      </c>
      <c r="CE124" s="23"/>
      <c r="CF124" s="23"/>
      <c r="CG124" s="23"/>
      <c r="CH124" s="23"/>
      <c r="CI124" s="23"/>
    </row>
    <row r="125" spans="1:87" x14ac:dyDescent="0.3">
      <c r="A125" s="9" t="s">
        <v>1437</v>
      </c>
      <c r="B125" s="10" t="s">
        <v>1438</v>
      </c>
      <c r="C125" s="11">
        <v>45969.8125</v>
      </c>
      <c r="D125" s="12">
        <v>8.3333333333333329E-2</v>
      </c>
      <c r="E125" s="11">
        <v>45969.895833333336</v>
      </c>
      <c r="F125" s="10" t="s">
        <v>262</v>
      </c>
      <c r="G125" s="13" t="b">
        <v>1</v>
      </c>
      <c r="H125" s="10" t="s">
        <v>263</v>
      </c>
      <c r="I125" s="10" t="s">
        <v>264</v>
      </c>
      <c r="J125" s="13" t="b">
        <v>0</v>
      </c>
      <c r="K125" s="13" t="b">
        <v>1</v>
      </c>
      <c r="L125" s="10" t="s">
        <v>124</v>
      </c>
      <c r="M125" s="10" t="s">
        <v>91</v>
      </c>
      <c r="N125" s="10" t="s">
        <v>265</v>
      </c>
      <c r="O125" s="19" t="s">
        <v>1439</v>
      </c>
      <c r="P125" s="10" t="s">
        <v>267</v>
      </c>
      <c r="Q125" s="10" t="s">
        <v>126</v>
      </c>
      <c r="R125" s="10"/>
      <c r="S125" s="19" t="s">
        <v>1440</v>
      </c>
      <c r="T125" s="19" t="s">
        <v>1356</v>
      </c>
      <c r="U125" s="10" t="s">
        <v>429</v>
      </c>
      <c r="V125" s="10" t="s">
        <v>361</v>
      </c>
      <c r="W125" s="10" t="s">
        <v>272</v>
      </c>
      <c r="X125" s="10" t="s">
        <v>130</v>
      </c>
      <c r="Y125" s="10" t="s">
        <v>130</v>
      </c>
      <c r="Z125" s="10" t="s">
        <v>99</v>
      </c>
      <c r="AA125" s="10" t="s">
        <v>131</v>
      </c>
      <c r="AB125" s="10" t="s">
        <v>273</v>
      </c>
      <c r="AC125" s="10" t="s">
        <v>274</v>
      </c>
      <c r="AD125" s="10" t="s">
        <v>1441</v>
      </c>
      <c r="AE125" s="10" t="s">
        <v>1442</v>
      </c>
      <c r="AF125" s="15"/>
      <c r="AG125" s="10"/>
      <c r="AH125" s="10"/>
      <c r="AI125" s="10"/>
      <c r="AJ125" s="10" t="s">
        <v>1443</v>
      </c>
      <c r="AK125" s="10" t="s">
        <v>102</v>
      </c>
      <c r="AL125" s="10" t="s">
        <v>1360</v>
      </c>
      <c r="AM125" s="10"/>
      <c r="AN125" s="10"/>
      <c r="AO125" s="13" t="b">
        <v>1</v>
      </c>
      <c r="AP125" s="10" t="s">
        <v>104</v>
      </c>
      <c r="AQ125" s="10">
        <f ca="1">IFERROR(__xludf.DUMMYFUNCTION("""COMPUTED_VALUE"""),4707255)</f>
        <v>4707255</v>
      </c>
      <c r="AR125" s="17">
        <v>510042</v>
      </c>
      <c r="AS125" s="17">
        <v>268931</v>
      </c>
      <c r="AT125" s="17">
        <v>12815506.75</v>
      </c>
      <c r="AU125" s="17">
        <v>7760.2</v>
      </c>
      <c r="AV125" s="17">
        <v>1876.95</v>
      </c>
      <c r="AW125" s="10" t="s">
        <v>297</v>
      </c>
      <c r="AX125" s="17">
        <v>131439</v>
      </c>
      <c r="AY125" s="18">
        <v>47.653512425120198</v>
      </c>
      <c r="AZ125" s="10" t="s">
        <v>148</v>
      </c>
      <c r="BA125" s="20" t="b">
        <v>0</v>
      </c>
      <c r="BB125" s="10"/>
      <c r="BC125" s="17">
        <v>510042</v>
      </c>
      <c r="BD125" s="17">
        <v>268931</v>
      </c>
      <c r="BE125" s="17">
        <v>12815506.75</v>
      </c>
      <c r="BF125" s="17">
        <v>1876.95</v>
      </c>
      <c r="BG125" s="11">
        <f ca="1">IFERROR(__xludf.DUMMYFUNCTION("""COMPUTED_VALUE"""),45969.7916666666)</f>
        <v>45969.791666666599</v>
      </c>
      <c r="BH125" s="17" t="s">
        <v>297</v>
      </c>
      <c r="BI125" s="17"/>
      <c r="BJ125" s="15"/>
      <c r="BK125" s="15"/>
      <c r="BL125" s="13" t="b">
        <v>1</v>
      </c>
      <c r="BM125" s="10"/>
      <c r="BN125" s="10" t="s">
        <v>351</v>
      </c>
      <c r="BO125" s="11">
        <v>45827.42083333333</v>
      </c>
      <c r="BP125" s="11">
        <v>45963.560173611113</v>
      </c>
      <c r="BQ125" s="15">
        <v>45967.922118055554</v>
      </c>
      <c r="BR125" s="15">
        <v>45968.411736111113</v>
      </c>
      <c r="BS125" s="10"/>
      <c r="BT125" s="10" t="s">
        <v>99</v>
      </c>
      <c r="BU125" s="10" t="s">
        <v>1444</v>
      </c>
      <c r="BV125" s="10" t="s">
        <v>499</v>
      </c>
      <c r="BW125" s="10"/>
      <c r="BX125" s="10"/>
      <c r="BY125" s="23"/>
      <c r="BZ125" s="24" t="s">
        <v>368</v>
      </c>
      <c r="CA125" s="19" t="s">
        <v>1445</v>
      </c>
      <c r="CB125" s="19" t="s">
        <v>1446</v>
      </c>
      <c r="CC125" s="23"/>
      <c r="CD125" s="19" t="s">
        <v>1447</v>
      </c>
      <c r="CE125" s="23"/>
      <c r="CF125" s="23"/>
      <c r="CG125" s="23"/>
      <c r="CH125" s="23"/>
      <c r="CI125" s="23"/>
    </row>
    <row r="126" spans="1:87" x14ac:dyDescent="0.3">
      <c r="A126" s="9" t="s">
        <v>1448</v>
      </c>
      <c r="B126" s="10" t="s">
        <v>1449</v>
      </c>
      <c r="C126" s="11">
        <v>45969.916666666664</v>
      </c>
      <c r="D126" s="12">
        <v>8.3333333333333329E-2</v>
      </c>
      <c r="E126" s="11">
        <v>45970</v>
      </c>
      <c r="F126" s="10" t="s">
        <v>262</v>
      </c>
      <c r="G126" s="13" t="b">
        <v>0</v>
      </c>
      <c r="H126" s="10" t="s">
        <v>305</v>
      </c>
      <c r="I126" s="10" t="s">
        <v>264</v>
      </c>
      <c r="J126" s="13" t="b">
        <v>0</v>
      </c>
      <c r="K126" s="13" t="b">
        <v>1</v>
      </c>
      <c r="L126" s="10" t="s">
        <v>124</v>
      </c>
      <c r="M126" s="10" t="s">
        <v>91</v>
      </c>
      <c r="N126" s="10" t="s">
        <v>265</v>
      </c>
      <c r="O126" s="19" t="s">
        <v>1450</v>
      </c>
      <c r="P126" s="10"/>
      <c r="Q126" s="10" t="s">
        <v>126</v>
      </c>
      <c r="R126" s="10"/>
      <c r="S126" s="19" t="s">
        <v>1451</v>
      </c>
      <c r="T126" s="19" t="s">
        <v>1356</v>
      </c>
      <c r="U126" s="10" t="s">
        <v>451</v>
      </c>
      <c r="V126" s="10" t="s">
        <v>609</v>
      </c>
      <c r="W126" s="10" t="s">
        <v>272</v>
      </c>
      <c r="X126" s="10" t="s">
        <v>130</v>
      </c>
      <c r="Y126" s="10" t="s">
        <v>130</v>
      </c>
      <c r="Z126" s="10" t="s">
        <v>99</v>
      </c>
      <c r="AA126" s="10" t="s">
        <v>131</v>
      </c>
      <c r="AB126" s="10" t="s">
        <v>273</v>
      </c>
      <c r="AC126" s="10" t="s">
        <v>274</v>
      </c>
      <c r="AD126" s="10" t="s">
        <v>1452</v>
      </c>
      <c r="AE126" s="10" t="s">
        <v>1453</v>
      </c>
      <c r="AF126" s="15"/>
      <c r="AG126" s="10"/>
      <c r="AH126" s="10"/>
      <c r="AI126" s="10"/>
      <c r="AJ126" s="10" t="s">
        <v>1454</v>
      </c>
      <c r="AK126" s="10" t="s">
        <v>102</v>
      </c>
      <c r="AL126" s="10" t="s">
        <v>1360</v>
      </c>
      <c r="AM126" s="10"/>
      <c r="AN126" s="10"/>
      <c r="AO126" s="13" t="b">
        <v>0</v>
      </c>
      <c r="AP126" s="10" t="s">
        <v>104</v>
      </c>
      <c r="AQ126" s="10">
        <f ca="1">IFERROR(__xludf.DUMMYFUNCTION("""COMPUTED_VALUE"""),4707257)</f>
        <v>4707257</v>
      </c>
      <c r="AR126" s="17">
        <v>37033</v>
      </c>
      <c r="AS126" s="17">
        <v>25316</v>
      </c>
      <c r="AT126" s="17">
        <v>506297.25</v>
      </c>
      <c r="AU126" s="17">
        <v>152.25</v>
      </c>
      <c r="AV126" s="17">
        <v>35.15</v>
      </c>
      <c r="AW126" s="10" t="s">
        <v>105</v>
      </c>
      <c r="AX126" s="17">
        <v>6161</v>
      </c>
      <c r="AY126" s="18">
        <v>19.999101358824458</v>
      </c>
      <c r="AZ126" s="10" t="s">
        <v>148</v>
      </c>
      <c r="BA126" s="20" t="b">
        <v>0</v>
      </c>
      <c r="BB126" s="10"/>
      <c r="BC126" s="17">
        <v>37033</v>
      </c>
      <c r="BD126" s="17">
        <v>25316</v>
      </c>
      <c r="BE126" s="17">
        <v>506297.25</v>
      </c>
      <c r="BF126" s="17">
        <v>35.15</v>
      </c>
      <c r="BG126" s="11">
        <f ca="1">IFERROR(__xludf.DUMMYFUNCTION("""COMPUTED_VALUE"""),45969.9166666666)</f>
        <v>45969.916666666599</v>
      </c>
      <c r="BH126" s="17" t="s">
        <v>105</v>
      </c>
      <c r="BI126" s="17"/>
      <c r="BJ126" s="15"/>
      <c r="BK126" s="15"/>
      <c r="BL126" s="13" t="b">
        <v>1</v>
      </c>
      <c r="BM126" s="10"/>
      <c r="BN126" s="10" t="s">
        <v>351</v>
      </c>
      <c r="BO126" s="11">
        <v>45827.420937499999</v>
      </c>
      <c r="BP126" s="11">
        <v>45963.560543981483</v>
      </c>
      <c r="BQ126" s="15">
        <v>45967.922361111108</v>
      </c>
      <c r="BR126" s="15">
        <v>45968.419479166667</v>
      </c>
      <c r="BS126" s="10"/>
      <c r="BT126" s="10" t="s">
        <v>99</v>
      </c>
      <c r="BU126" s="10" t="s">
        <v>1455</v>
      </c>
      <c r="BV126" s="10"/>
      <c r="BW126" s="10"/>
      <c r="BX126" s="10"/>
      <c r="BY126" s="23"/>
      <c r="BZ126" s="24" t="s">
        <v>299</v>
      </c>
      <c r="CA126" s="19" t="s">
        <v>1456</v>
      </c>
      <c r="CB126" s="19" t="s">
        <v>1457</v>
      </c>
      <c r="CC126" s="23"/>
      <c r="CD126" s="19" t="s">
        <v>1458</v>
      </c>
      <c r="CE126" s="23"/>
      <c r="CF126" s="23"/>
      <c r="CG126" s="23"/>
      <c r="CH126" s="23"/>
      <c r="CI126" s="23"/>
    </row>
    <row r="127" spans="1:87" x14ac:dyDescent="0.3">
      <c r="A127" s="9" t="s">
        <v>1459</v>
      </c>
      <c r="B127" s="10" t="s">
        <v>1460</v>
      </c>
      <c r="C127" s="11">
        <v>45983.916666666664</v>
      </c>
      <c r="D127" s="12">
        <v>8.3333333333333329E-2</v>
      </c>
      <c r="E127" s="11">
        <v>45984</v>
      </c>
      <c r="F127" s="10" t="s">
        <v>262</v>
      </c>
      <c r="G127" s="13" t="b">
        <v>0</v>
      </c>
      <c r="H127" s="10" t="s">
        <v>527</v>
      </c>
      <c r="I127" s="10" t="s">
        <v>264</v>
      </c>
      <c r="J127" s="13" t="b">
        <v>0</v>
      </c>
      <c r="K127" s="13" t="b">
        <v>1</v>
      </c>
      <c r="L127" s="10" t="s">
        <v>124</v>
      </c>
      <c r="M127" s="10" t="s">
        <v>91</v>
      </c>
      <c r="N127" s="10" t="s">
        <v>265</v>
      </c>
      <c r="O127" s="19" t="s">
        <v>1461</v>
      </c>
      <c r="P127" s="10"/>
      <c r="Q127" s="10" t="s">
        <v>126</v>
      </c>
      <c r="R127" s="10"/>
      <c r="S127" s="19" t="s">
        <v>1462</v>
      </c>
      <c r="T127" s="19" t="s">
        <v>1463</v>
      </c>
      <c r="U127" s="10" t="s">
        <v>271</v>
      </c>
      <c r="V127" s="10" t="s">
        <v>451</v>
      </c>
      <c r="W127" s="10" t="s">
        <v>272</v>
      </c>
      <c r="X127" s="10" t="s">
        <v>130</v>
      </c>
      <c r="Y127" s="10" t="s">
        <v>130</v>
      </c>
      <c r="Z127" s="10" t="s">
        <v>99</v>
      </c>
      <c r="AA127" s="10" t="s">
        <v>131</v>
      </c>
      <c r="AB127" s="10" t="s">
        <v>273</v>
      </c>
      <c r="AC127" s="10" t="s">
        <v>274</v>
      </c>
      <c r="AD127" s="10" t="s">
        <v>1464</v>
      </c>
      <c r="AE127" s="10" t="s">
        <v>1465</v>
      </c>
      <c r="AF127" s="15"/>
      <c r="AG127" s="10"/>
      <c r="AH127" s="10"/>
      <c r="AI127" s="10"/>
      <c r="AJ127" s="10" t="s">
        <v>1466</v>
      </c>
      <c r="AK127" s="10" t="s">
        <v>102</v>
      </c>
      <c r="AL127" s="10" t="s">
        <v>1467</v>
      </c>
      <c r="AM127" s="10"/>
      <c r="AN127" s="10"/>
      <c r="AO127" s="13" t="b">
        <v>0</v>
      </c>
      <c r="AP127" s="10" t="s">
        <v>104</v>
      </c>
      <c r="AQ127" s="10">
        <f ca="1">IFERROR(__xludf.DUMMYFUNCTION("""COMPUTED_VALUE"""),4726326)</f>
        <v>4726326</v>
      </c>
      <c r="AR127" s="17">
        <v>12934</v>
      </c>
      <c r="AS127" s="17">
        <v>8386</v>
      </c>
      <c r="AT127" s="17">
        <v>57191.25</v>
      </c>
      <c r="AU127" s="17">
        <v>43.15</v>
      </c>
      <c r="AV127" s="17">
        <v>6.55</v>
      </c>
      <c r="AW127" s="10" t="s">
        <v>105</v>
      </c>
      <c r="AX127" s="17">
        <v>1913</v>
      </c>
      <c r="AY127" s="18">
        <v>6.8198485571190082</v>
      </c>
      <c r="AZ127" s="10" t="s">
        <v>148</v>
      </c>
      <c r="BA127" s="20" t="b">
        <v>0</v>
      </c>
      <c r="BB127" s="10"/>
      <c r="BC127" s="17">
        <v>12934</v>
      </c>
      <c r="BD127" s="17">
        <v>8386</v>
      </c>
      <c r="BE127" s="17">
        <v>57191.25</v>
      </c>
      <c r="BF127" s="17">
        <v>6.55</v>
      </c>
      <c r="BG127" s="11">
        <f ca="1">IFERROR(__xludf.DUMMYFUNCTION("""COMPUTED_VALUE"""),45983.9166666666)</f>
        <v>45983.916666666599</v>
      </c>
      <c r="BH127" s="17" t="s">
        <v>105</v>
      </c>
      <c r="BI127" s="17"/>
      <c r="BJ127" s="15"/>
      <c r="BK127" s="15"/>
      <c r="BL127" s="13" t="b">
        <v>1</v>
      </c>
      <c r="BM127" s="10"/>
      <c r="BN127" s="10" t="s">
        <v>149</v>
      </c>
      <c r="BO127" s="11">
        <v>45827.42083333333</v>
      </c>
      <c r="BP127" s="11">
        <v>45978.565694444442</v>
      </c>
      <c r="BQ127" s="15">
        <v>45981.494085648148</v>
      </c>
      <c r="BR127" s="15">
        <v>45981.913553240738</v>
      </c>
      <c r="BS127" s="10" t="s">
        <v>149</v>
      </c>
      <c r="BT127" s="10" t="s">
        <v>279</v>
      </c>
      <c r="BU127" s="10" t="s">
        <v>655</v>
      </c>
      <c r="BV127" s="10"/>
      <c r="BW127" s="10"/>
      <c r="BX127" s="10"/>
      <c r="BY127" s="23"/>
      <c r="BZ127" s="24" t="s">
        <v>299</v>
      </c>
      <c r="CA127" s="19" t="s">
        <v>1468</v>
      </c>
      <c r="CB127" s="19" t="s">
        <v>1469</v>
      </c>
      <c r="CC127" s="23"/>
      <c r="CD127" s="19" t="s">
        <v>1470</v>
      </c>
      <c r="CE127" s="23"/>
      <c r="CF127" s="23"/>
      <c r="CG127" s="23"/>
      <c r="CH127" s="23"/>
      <c r="CI127" s="23"/>
    </row>
    <row r="128" spans="1:87" x14ac:dyDescent="0.3">
      <c r="A128" s="9" t="s">
        <v>1471</v>
      </c>
      <c r="B128" s="10" t="s">
        <v>1472</v>
      </c>
      <c r="C128" s="11">
        <v>45984.979166666664</v>
      </c>
      <c r="D128" s="12">
        <v>8.3333333333333329E-2</v>
      </c>
      <c r="E128" s="11">
        <v>45985.0625</v>
      </c>
      <c r="F128" s="10" t="s">
        <v>262</v>
      </c>
      <c r="G128" s="13" t="b">
        <v>1</v>
      </c>
      <c r="H128" s="10" t="s">
        <v>263</v>
      </c>
      <c r="I128" s="10" t="s">
        <v>264</v>
      </c>
      <c r="J128" s="13" t="b">
        <v>0</v>
      </c>
      <c r="K128" s="13" t="b">
        <v>1</v>
      </c>
      <c r="L128" s="10" t="s">
        <v>124</v>
      </c>
      <c r="M128" s="10" t="s">
        <v>91</v>
      </c>
      <c r="N128" s="10" t="s">
        <v>265</v>
      </c>
      <c r="O128" s="19" t="s">
        <v>1473</v>
      </c>
      <c r="P128" s="10" t="s">
        <v>331</v>
      </c>
      <c r="Q128" s="10" t="s">
        <v>126</v>
      </c>
      <c r="R128" s="10"/>
      <c r="S128" s="19" t="s">
        <v>1474</v>
      </c>
      <c r="T128" s="19" t="s">
        <v>1463</v>
      </c>
      <c r="U128" s="10" t="s">
        <v>362</v>
      </c>
      <c r="V128" s="10" t="s">
        <v>429</v>
      </c>
      <c r="W128" s="10" t="s">
        <v>272</v>
      </c>
      <c r="X128" s="10" t="s">
        <v>130</v>
      </c>
      <c r="Y128" s="10" t="s">
        <v>130</v>
      </c>
      <c r="Z128" s="10" t="s">
        <v>99</v>
      </c>
      <c r="AA128" s="10" t="s">
        <v>131</v>
      </c>
      <c r="AB128" s="10" t="s">
        <v>273</v>
      </c>
      <c r="AC128" s="10" t="s">
        <v>274</v>
      </c>
      <c r="AD128" s="10" t="s">
        <v>1475</v>
      </c>
      <c r="AE128" s="10" t="s">
        <v>1476</v>
      </c>
      <c r="AF128" s="15"/>
      <c r="AG128" s="10"/>
      <c r="AH128" s="10"/>
      <c r="AI128" s="10"/>
      <c r="AJ128" s="10" t="s">
        <v>1477</v>
      </c>
      <c r="AK128" s="10" t="s">
        <v>102</v>
      </c>
      <c r="AL128" s="10" t="s">
        <v>1467</v>
      </c>
      <c r="AM128" s="10"/>
      <c r="AN128" s="10"/>
      <c r="AO128" s="13" t="b">
        <v>1</v>
      </c>
      <c r="AP128" s="10" t="s">
        <v>104</v>
      </c>
      <c r="AQ128" s="10">
        <f ca="1">IFERROR(__xludf.DUMMYFUNCTION("""COMPUTED_VALUE"""),4726070)</f>
        <v>4726070</v>
      </c>
      <c r="AR128" s="17">
        <v>145396</v>
      </c>
      <c r="AS128" s="17">
        <v>116470</v>
      </c>
      <c r="AT128" s="17">
        <v>2554567.5</v>
      </c>
      <c r="AU128" s="17">
        <v>2093.25</v>
      </c>
      <c r="AV128" s="17">
        <v>238.6</v>
      </c>
      <c r="AW128" s="10" t="s">
        <v>105</v>
      </c>
      <c r="AX128" s="17">
        <v>50653</v>
      </c>
      <c r="AY128" s="18">
        <v>21.933266077101401</v>
      </c>
      <c r="AZ128" s="10" t="s">
        <v>148</v>
      </c>
      <c r="BA128" s="20" t="b">
        <v>0</v>
      </c>
      <c r="BB128" s="10"/>
      <c r="BC128" s="17">
        <v>145396</v>
      </c>
      <c r="BD128" s="17">
        <v>116470</v>
      </c>
      <c r="BE128" s="17">
        <v>2554567.5</v>
      </c>
      <c r="BF128" s="17">
        <v>238.6</v>
      </c>
      <c r="BG128" s="11">
        <f ca="1">IFERROR(__xludf.DUMMYFUNCTION("""COMPUTED_VALUE"""),45984.9583333333)</f>
        <v>45984.958333333299</v>
      </c>
      <c r="BH128" s="17" t="s">
        <v>105</v>
      </c>
      <c r="BI128" s="17"/>
      <c r="BJ128" s="15"/>
      <c r="BK128" s="15"/>
      <c r="BL128" s="13" t="b">
        <v>0</v>
      </c>
      <c r="BM128" s="10"/>
      <c r="BN128" s="10" t="s">
        <v>149</v>
      </c>
      <c r="BO128" s="11">
        <v>45827.42083333333</v>
      </c>
      <c r="BP128" s="11">
        <v>45974.651053240741</v>
      </c>
      <c r="BQ128" s="15">
        <v>45981.494930555556</v>
      </c>
      <c r="BR128" s="15">
        <v>45981.633564814816</v>
      </c>
      <c r="BS128" s="10" t="s">
        <v>149</v>
      </c>
      <c r="BT128" s="10" t="s">
        <v>99</v>
      </c>
      <c r="BU128" s="10" t="s">
        <v>718</v>
      </c>
      <c r="BV128" s="10" t="s">
        <v>499</v>
      </c>
      <c r="BW128" s="10"/>
      <c r="BX128" s="10"/>
      <c r="BY128" s="23"/>
      <c r="BZ128" s="24" t="s">
        <v>368</v>
      </c>
      <c r="CA128" s="19" t="s">
        <v>1478</v>
      </c>
      <c r="CB128" s="19" t="s">
        <v>1479</v>
      </c>
      <c r="CC128" s="23"/>
      <c r="CD128" s="19" t="s">
        <v>1480</v>
      </c>
      <c r="CE128" s="23"/>
      <c r="CF128" s="23"/>
      <c r="CG128" s="23"/>
      <c r="CH128" s="23"/>
      <c r="CI128" s="23"/>
    </row>
    <row r="129" spans="1:87" x14ac:dyDescent="0.3">
      <c r="A129" s="9" t="s">
        <v>1481</v>
      </c>
      <c r="B129" s="10" t="s">
        <v>1482</v>
      </c>
      <c r="C129" s="11">
        <v>45983.916666666664</v>
      </c>
      <c r="D129" s="12">
        <v>8.3333333333333329E-2</v>
      </c>
      <c r="E129" s="11">
        <v>45984</v>
      </c>
      <c r="F129" s="10" t="s">
        <v>262</v>
      </c>
      <c r="G129" s="13" t="b">
        <v>0</v>
      </c>
      <c r="H129" s="10" t="s">
        <v>527</v>
      </c>
      <c r="I129" s="10" t="s">
        <v>264</v>
      </c>
      <c r="J129" s="13" t="b">
        <v>0</v>
      </c>
      <c r="K129" s="13" t="b">
        <v>1</v>
      </c>
      <c r="L129" s="10" t="s">
        <v>124</v>
      </c>
      <c r="M129" s="10" t="s">
        <v>91</v>
      </c>
      <c r="N129" s="10" t="s">
        <v>265</v>
      </c>
      <c r="O129" s="19" t="s">
        <v>1483</v>
      </c>
      <c r="P129" s="10"/>
      <c r="Q129" s="10" t="s">
        <v>126</v>
      </c>
      <c r="R129" s="10"/>
      <c r="S129" s="19" t="s">
        <v>1484</v>
      </c>
      <c r="T129" s="19" t="s">
        <v>1463</v>
      </c>
      <c r="U129" s="10" t="s">
        <v>308</v>
      </c>
      <c r="V129" s="10" t="s">
        <v>321</v>
      </c>
      <c r="W129" s="10" t="s">
        <v>272</v>
      </c>
      <c r="X129" s="10" t="s">
        <v>130</v>
      </c>
      <c r="Y129" s="10" t="s">
        <v>130</v>
      </c>
      <c r="Z129" s="10" t="s">
        <v>99</v>
      </c>
      <c r="AA129" s="10" t="s">
        <v>131</v>
      </c>
      <c r="AB129" s="10" t="s">
        <v>273</v>
      </c>
      <c r="AC129" s="10" t="s">
        <v>274</v>
      </c>
      <c r="AD129" s="10" t="s">
        <v>1485</v>
      </c>
      <c r="AE129" s="10" t="s">
        <v>1486</v>
      </c>
      <c r="AF129" s="15"/>
      <c r="AG129" s="10"/>
      <c r="AH129" s="10"/>
      <c r="AI129" s="10"/>
      <c r="AJ129" s="10" t="s">
        <v>1487</v>
      </c>
      <c r="AK129" s="10" t="s">
        <v>102</v>
      </c>
      <c r="AL129" s="10" t="s">
        <v>1467</v>
      </c>
      <c r="AM129" s="10"/>
      <c r="AN129" s="10"/>
      <c r="AO129" s="13" t="b">
        <v>0</v>
      </c>
      <c r="AP129" s="10" t="s">
        <v>104</v>
      </c>
      <c r="AQ129" s="10">
        <f ca="1">IFERROR(__xludf.DUMMYFUNCTION("""COMPUTED_VALUE"""),4726328)</f>
        <v>4726328</v>
      </c>
      <c r="AR129" s="17">
        <v>12958</v>
      </c>
      <c r="AS129" s="17">
        <v>8227</v>
      </c>
      <c r="AT129" s="17">
        <v>63657.5</v>
      </c>
      <c r="AU129" s="17">
        <v>38.700000000000003</v>
      </c>
      <c r="AV129" s="17">
        <v>3.9</v>
      </c>
      <c r="AW129" s="10" t="s">
        <v>105</v>
      </c>
      <c r="AX129" s="17">
        <v>1969</v>
      </c>
      <c r="AY129" s="18">
        <v>7.7376321867023217</v>
      </c>
      <c r="AZ129" s="10" t="s">
        <v>148</v>
      </c>
      <c r="BA129" s="20" t="b">
        <v>0</v>
      </c>
      <c r="BB129" s="10"/>
      <c r="BC129" s="17">
        <v>12958</v>
      </c>
      <c r="BD129" s="17">
        <v>8227</v>
      </c>
      <c r="BE129" s="17">
        <v>63657.5</v>
      </c>
      <c r="BF129" s="17">
        <v>3.9</v>
      </c>
      <c r="BG129" s="11">
        <f ca="1">IFERROR(__xludf.DUMMYFUNCTION("""COMPUTED_VALUE"""),45983.9166666666)</f>
        <v>45983.916666666599</v>
      </c>
      <c r="BH129" s="17" t="s">
        <v>105</v>
      </c>
      <c r="BI129" s="17"/>
      <c r="BJ129" s="15"/>
      <c r="BK129" s="15"/>
      <c r="BL129" s="13" t="b">
        <v>1</v>
      </c>
      <c r="BM129" s="10"/>
      <c r="BN129" s="10" t="s">
        <v>351</v>
      </c>
      <c r="BO129" s="11">
        <v>45827.42083333333</v>
      </c>
      <c r="BP129" s="11">
        <v>45978.565949074073</v>
      </c>
      <c r="BQ129" s="15">
        <v>45981.494212962964</v>
      </c>
      <c r="BR129" s="15">
        <v>45981.913368055553</v>
      </c>
      <c r="BS129" s="10"/>
      <c r="BT129" s="10" t="s">
        <v>279</v>
      </c>
      <c r="BU129" s="10" t="s">
        <v>456</v>
      </c>
      <c r="BV129" s="10"/>
      <c r="BW129" s="10"/>
      <c r="BX129" s="10"/>
      <c r="BY129" s="23"/>
      <c r="BZ129" s="24" t="s">
        <v>299</v>
      </c>
      <c r="CA129" s="19" t="s">
        <v>1488</v>
      </c>
      <c r="CB129" s="19" t="s">
        <v>1489</v>
      </c>
      <c r="CC129" s="23"/>
      <c r="CD129" s="19" t="s">
        <v>1490</v>
      </c>
      <c r="CE129" s="23"/>
      <c r="CF129" s="23"/>
      <c r="CG129" s="23"/>
      <c r="CH129" s="23"/>
      <c r="CI129" s="23"/>
    </row>
    <row r="130" spans="1:87" x14ac:dyDescent="0.3">
      <c r="A130" s="9" t="s">
        <v>1491</v>
      </c>
      <c r="B130" s="10" t="s">
        <v>1492</v>
      </c>
      <c r="C130" s="11">
        <v>45983.8125</v>
      </c>
      <c r="D130" s="12">
        <v>8.3333333333333329E-2</v>
      </c>
      <c r="E130" s="11">
        <v>45983.895833333336</v>
      </c>
      <c r="F130" s="10" t="s">
        <v>262</v>
      </c>
      <c r="G130" s="13" t="b">
        <v>1</v>
      </c>
      <c r="H130" s="10" t="s">
        <v>263</v>
      </c>
      <c r="I130" s="10" t="s">
        <v>264</v>
      </c>
      <c r="J130" s="13" t="b">
        <v>0</v>
      </c>
      <c r="K130" s="13" t="b">
        <v>1</v>
      </c>
      <c r="L130" s="10" t="s">
        <v>124</v>
      </c>
      <c r="M130" s="10" t="s">
        <v>91</v>
      </c>
      <c r="N130" s="10" t="s">
        <v>265</v>
      </c>
      <c r="O130" s="19" t="s">
        <v>1493</v>
      </c>
      <c r="P130" s="10" t="s">
        <v>267</v>
      </c>
      <c r="Q130" s="10" t="s">
        <v>126</v>
      </c>
      <c r="R130" s="10"/>
      <c r="S130" s="19" t="s">
        <v>1494</v>
      </c>
      <c r="T130" s="19" t="s">
        <v>1463</v>
      </c>
      <c r="U130" s="10" t="s">
        <v>609</v>
      </c>
      <c r="V130" s="10" t="s">
        <v>346</v>
      </c>
      <c r="W130" s="10" t="s">
        <v>272</v>
      </c>
      <c r="X130" s="10" t="s">
        <v>130</v>
      </c>
      <c r="Y130" s="10" t="s">
        <v>130</v>
      </c>
      <c r="Z130" s="10" t="s">
        <v>99</v>
      </c>
      <c r="AA130" s="10" t="s">
        <v>131</v>
      </c>
      <c r="AB130" s="10" t="s">
        <v>273</v>
      </c>
      <c r="AC130" s="10" t="s">
        <v>274</v>
      </c>
      <c r="AD130" s="10" t="s">
        <v>1495</v>
      </c>
      <c r="AE130" s="10" t="s">
        <v>1496</v>
      </c>
      <c r="AF130" s="15"/>
      <c r="AG130" s="10"/>
      <c r="AH130" s="10"/>
      <c r="AI130" s="10"/>
      <c r="AJ130" s="10" t="s">
        <v>1497</v>
      </c>
      <c r="AK130" s="10" t="s">
        <v>102</v>
      </c>
      <c r="AL130" s="10" t="s">
        <v>1467</v>
      </c>
      <c r="AM130" s="10"/>
      <c r="AN130" s="10"/>
      <c r="AO130" s="13" t="b">
        <v>1</v>
      </c>
      <c r="AP130" s="10" t="s">
        <v>104</v>
      </c>
      <c r="AQ130" s="10">
        <f ca="1">IFERROR(__xludf.DUMMYFUNCTION("""COMPUTED_VALUE"""),4726066)</f>
        <v>4726066</v>
      </c>
      <c r="AR130" s="17">
        <v>209101</v>
      </c>
      <c r="AS130" s="17">
        <v>123704</v>
      </c>
      <c r="AT130" s="17">
        <v>5005045.75</v>
      </c>
      <c r="AU130" s="17">
        <v>4672.1000000000004</v>
      </c>
      <c r="AV130" s="17">
        <v>410.4</v>
      </c>
      <c r="AW130" s="10" t="s">
        <v>105</v>
      </c>
      <c r="AX130" s="17">
        <v>47764</v>
      </c>
      <c r="AY130" s="18">
        <v>40.459853763823318</v>
      </c>
      <c r="AZ130" s="10" t="s">
        <v>148</v>
      </c>
      <c r="BA130" s="20" t="b">
        <v>0</v>
      </c>
      <c r="BB130" s="10"/>
      <c r="BC130" s="17">
        <v>209101</v>
      </c>
      <c r="BD130" s="17">
        <v>123704</v>
      </c>
      <c r="BE130" s="17">
        <v>5005045.75</v>
      </c>
      <c r="BF130" s="17">
        <v>410.4</v>
      </c>
      <c r="BG130" s="11">
        <f ca="1">IFERROR(__xludf.DUMMYFUNCTION("""COMPUTED_VALUE"""),45983.7916666666)</f>
        <v>45983.791666666599</v>
      </c>
      <c r="BH130" s="17" t="s">
        <v>105</v>
      </c>
      <c r="BI130" s="17"/>
      <c r="BJ130" s="15"/>
      <c r="BK130" s="15"/>
      <c r="BL130" s="13" t="b">
        <v>1</v>
      </c>
      <c r="BM130" s="10"/>
      <c r="BN130" s="10" t="s">
        <v>351</v>
      </c>
      <c r="BO130" s="11">
        <v>45827.42083333333</v>
      </c>
      <c r="BP130" s="11">
        <v>45974.640648148146</v>
      </c>
      <c r="BQ130" s="15">
        <v>45981.493854166663</v>
      </c>
      <c r="BR130" s="15">
        <v>45981.632673611108</v>
      </c>
      <c r="BS130" s="10"/>
      <c r="BT130" s="10" t="s">
        <v>279</v>
      </c>
      <c r="BU130" s="10" t="s">
        <v>421</v>
      </c>
      <c r="BV130" s="10" t="s">
        <v>281</v>
      </c>
      <c r="BW130" s="10"/>
      <c r="BX130" s="10"/>
      <c r="BY130" s="23"/>
      <c r="BZ130" s="24" t="s">
        <v>284</v>
      </c>
      <c r="CA130" s="19" t="s">
        <v>1498</v>
      </c>
      <c r="CB130" s="19" t="s">
        <v>1499</v>
      </c>
      <c r="CC130" s="23"/>
      <c r="CD130" s="19" t="s">
        <v>1500</v>
      </c>
      <c r="CE130" s="23"/>
      <c r="CF130" s="23"/>
      <c r="CG130" s="23"/>
      <c r="CH130" s="23"/>
      <c r="CI130" s="23"/>
    </row>
    <row r="131" spans="1:87" x14ac:dyDescent="0.3">
      <c r="A131" s="9" t="s">
        <v>1501</v>
      </c>
      <c r="B131" s="10" t="s">
        <v>1502</v>
      </c>
      <c r="C131" s="11">
        <v>45983.916666666664</v>
      </c>
      <c r="D131" s="12">
        <v>8.3333333333333329E-2</v>
      </c>
      <c r="E131" s="11">
        <v>45984</v>
      </c>
      <c r="F131" s="10" t="s">
        <v>262</v>
      </c>
      <c r="G131" s="13" t="b">
        <v>0</v>
      </c>
      <c r="H131" s="10" t="s">
        <v>305</v>
      </c>
      <c r="I131" s="10" t="s">
        <v>264</v>
      </c>
      <c r="J131" s="13" t="b">
        <v>0</v>
      </c>
      <c r="K131" s="13" t="b">
        <v>1</v>
      </c>
      <c r="L131" s="10" t="s">
        <v>124</v>
      </c>
      <c r="M131" s="10" t="s">
        <v>91</v>
      </c>
      <c r="N131" s="10" t="s">
        <v>265</v>
      </c>
      <c r="O131" s="19" t="s">
        <v>1503</v>
      </c>
      <c r="P131" s="10"/>
      <c r="Q131" s="10" t="s">
        <v>126</v>
      </c>
      <c r="R131" s="10"/>
      <c r="S131" s="19" t="s">
        <v>1504</v>
      </c>
      <c r="T131" s="19" t="s">
        <v>1463</v>
      </c>
      <c r="U131" s="10" t="s">
        <v>309</v>
      </c>
      <c r="V131" s="10" t="s">
        <v>588</v>
      </c>
      <c r="W131" s="10" t="s">
        <v>272</v>
      </c>
      <c r="X131" s="10" t="s">
        <v>130</v>
      </c>
      <c r="Y131" s="10" t="s">
        <v>130</v>
      </c>
      <c r="Z131" s="10" t="s">
        <v>99</v>
      </c>
      <c r="AA131" s="10" t="s">
        <v>131</v>
      </c>
      <c r="AB131" s="10" t="s">
        <v>273</v>
      </c>
      <c r="AC131" s="10" t="s">
        <v>274</v>
      </c>
      <c r="AD131" s="10" t="s">
        <v>1505</v>
      </c>
      <c r="AE131" s="10" t="s">
        <v>1506</v>
      </c>
      <c r="AF131" s="15"/>
      <c r="AG131" s="10"/>
      <c r="AH131" s="10"/>
      <c r="AI131" s="10"/>
      <c r="AJ131" s="10" t="s">
        <v>1507</v>
      </c>
      <c r="AK131" s="10" t="s">
        <v>102</v>
      </c>
      <c r="AL131" s="10" t="s">
        <v>1467</v>
      </c>
      <c r="AM131" s="10"/>
      <c r="AN131" s="10"/>
      <c r="AO131" s="13" t="b">
        <v>0</v>
      </c>
      <c r="AP131" s="10" t="s">
        <v>104</v>
      </c>
      <c r="AQ131" s="10">
        <f ca="1">IFERROR(__xludf.DUMMYFUNCTION("""COMPUTED_VALUE"""),4726071)</f>
        <v>4726071</v>
      </c>
      <c r="AR131" s="17">
        <v>16092</v>
      </c>
      <c r="AS131" s="17">
        <v>10870</v>
      </c>
      <c r="AT131" s="17">
        <v>65177.25</v>
      </c>
      <c r="AU131" s="17">
        <v>61.05</v>
      </c>
      <c r="AV131" s="17">
        <v>6.65</v>
      </c>
      <c r="AW131" s="10" t="s">
        <v>105</v>
      </c>
      <c r="AX131" s="17">
        <v>2059</v>
      </c>
      <c r="AY131" s="18">
        <v>5.9960671573137079</v>
      </c>
      <c r="AZ131" s="10" t="s">
        <v>148</v>
      </c>
      <c r="BA131" s="20" t="b">
        <v>0</v>
      </c>
      <c r="BB131" s="10"/>
      <c r="BC131" s="17">
        <v>16092</v>
      </c>
      <c r="BD131" s="17">
        <v>10870</v>
      </c>
      <c r="BE131" s="17">
        <v>65177.25</v>
      </c>
      <c r="BF131" s="17">
        <v>6.65</v>
      </c>
      <c r="BG131" s="11">
        <f ca="1">IFERROR(__xludf.DUMMYFUNCTION("""COMPUTED_VALUE"""),45983.9166666666)</f>
        <v>45983.916666666599</v>
      </c>
      <c r="BH131" s="17" t="s">
        <v>105</v>
      </c>
      <c r="BI131" s="17"/>
      <c r="BJ131" s="15"/>
      <c r="BK131" s="15"/>
      <c r="BL131" s="13" t="b">
        <v>1</v>
      </c>
      <c r="BM131" s="10"/>
      <c r="BN131" s="10" t="s">
        <v>351</v>
      </c>
      <c r="BO131" s="11">
        <v>45827.42083333333</v>
      </c>
      <c r="BP131" s="11">
        <v>45978.565335648149</v>
      </c>
      <c r="BQ131" s="15">
        <v>45981.494305555556</v>
      </c>
      <c r="BR131" s="15">
        <v>45981.632928240739</v>
      </c>
      <c r="BS131" s="10"/>
      <c r="BT131" s="10" t="s">
        <v>279</v>
      </c>
      <c r="BU131" s="10" t="s">
        <v>816</v>
      </c>
      <c r="BV131" s="10"/>
      <c r="BW131" s="10"/>
      <c r="BX131" s="10"/>
      <c r="BY131" s="23"/>
      <c r="BZ131" s="24" t="s">
        <v>299</v>
      </c>
      <c r="CA131" s="19" t="s">
        <v>1508</v>
      </c>
      <c r="CB131" s="19" t="s">
        <v>1509</v>
      </c>
      <c r="CC131" s="23"/>
      <c r="CD131" s="19" t="s">
        <v>1510</v>
      </c>
      <c r="CE131" s="23"/>
      <c r="CF131" s="23"/>
      <c r="CG131" s="23"/>
      <c r="CH131" s="23"/>
      <c r="CI131" s="23"/>
    </row>
    <row r="132" spans="1:87" x14ac:dyDescent="0.3">
      <c r="A132" s="9" t="s">
        <v>1511</v>
      </c>
      <c r="B132" s="10" t="s">
        <v>1512</v>
      </c>
      <c r="C132" s="11">
        <v>45984.875</v>
      </c>
      <c r="D132" s="12">
        <v>8.3333333333333329E-2</v>
      </c>
      <c r="E132" s="11">
        <v>45984.958333333336</v>
      </c>
      <c r="F132" s="10" t="s">
        <v>262</v>
      </c>
      <c r="G132" s="13" t="b">
        <v>1</v>
      </c>
      <c r="H132" s="10" t="s">
        <v>263</v>
      </c>
      <c r="I132" s="10" t="s">
        <v>264</v>
      </c>
      <c r="J132" s="13" t="b">
        <v>0</v>
      </c>
      <c r="K132" s="13" t="b">
        <v>1</v>
      </c>
      <c r="L132" s="10" t="s">
        <v>124</v>
      </c>
      <c r="M132" s="10" t="s">
        <v>91</v>
      </c>
      <c r="N132" s="10" t="s">
        <v>265</v>
      </c>
      <c r="O132" s="19" t="s">
        <v>1513</v>
      </c>
      <c r="P132" s="10" t="s">
        <v>267</v>
      </c>
      <c r="Q132" s="10" t="s">
        <v>126</v>
      </c>
      <c r="R132" s="10"/>
      <c r="S132" s="19" t="s">
        <v>1514</v>
      </c>
      <c r="T132" s="19" t="s">
        <v>1463</v>
      </c>
      <c r="U132" s="10" t="s">
        <v>663</v>
      </c>
      <c r="V132" s="10" t="s">
        <v>292</v>
      </c>
      <c r="W132" s="10" t="s">
        <v>272</v>
      </c>
      <c r="X132" s="10" t="s">
        <v>130</v>
      </c>
      <c r="Y132" s="10" t="s">
        <v>130</v>
      </c>
      <c r="Z132" s="10" t="s">
        <v>99</v>
      </c>
      <c r="AA132" s="10" t="s">
        <v>131</v>
      </c>
      <c r="AB132" s="10" t="s">
        <v>273</v>
      </c>
      <c r="AC132" s="10" t="s">
        <v>274</v>
      </c>
      <c r="AD132" s="10" t="s">
        <v>1515</v>
      </c>
      <c r="AE132" s="10" t="s">
        <v>1516</v>
      </c>
      <c r="AF132" s="15"/>
      <c r="AG132" s="10"/>
      <c r="AH132" s="10"/>
      <c r="AI132" s="10"/>
      <c r="AJ132" s="10" t="s">
        <v>1517</v>
      </c>
      <c r="AK132" s="10" t="s">
        <v>102</v>
      </c>
      <c r="AL132" s="10" t="s">
        <v>1467</v>
      </c>
      <c r="AM132" s="10"/>
      <c r="AN132" s="10"/>
      <c r="AO132" s="13" t="b">
        <v>0</v>
      </c>
      <c r="AP132" s="10" t="s">
        <v>104</v>
      </c>
      <c r="AQ132" s="10">
        <f ca="1">IFERROR(__xludf.DUMMYFUNCTION("""COMPUTED_VALUE"""),4726069)</f>
        <v>4726069</v>
      </c>
      <c r="AR132" s="17">
        <v>91311</v>
      </c>
      <c r="AS132" s="17">
        <v>60712</v>
      </c>
      <c r="AT132" s="17">
        <v>2472620.5</v>
      </c>
      <c r="AU132" s="17">
        <v>693.45</v>
      </c>
      <c r="AV132" s="17">
        <v>83.35</v>
      </c>
      <c r="AW132" s="10" t="s">
        <v>105</v>
      </c>
      <c r="AX132" s="17">
        <v>22619</v>
      </c>
      <c r="AY132" s="18">
        <v>40.727047371195148</v>
      </c>
      <c r="AZ132" s="10" t="s">
        <v>148</v>
      </c>
      <c r="BA132" s="20" t="b">
        <v>0</v>
      </c>
      <c r="BB132" s="10"/>
      <c r="BC132" s="17">
        <v>91311</v>
      </c>
      <c r="BD132" s="17">
        <v>60712</v>
      </c>
      <c r="BE132" s="17">
        <v>2472620.5</v>
      </c>
      <c r="BF132" s="17">
        <v>83.35</v>
      </c>
      <c r="BG132" s="11">
        <f ca="1">IFERROR(__xludf.DUMMYFUNCTION("""COMPUTED_VALUE"""),45984.8541666666)</f>
        <v>45984.854166666599</v>
      </c>
      <c r="BH132" s="17" t="s">
        <v>105</v>
      </c>
      <c r="BI132" s="17"/>
      <c r="BJ132" s="15"/>
      <c r="BK132" s="15"/>
      <c r="BL132" s="13" t="b">
        <v>1</v>
      </c>
      <c r="BM132" s="10"/>
      <c r="BN132" s="10" t="s">
        <v>351</v>
      </c>
      <c r="BO132" s="11">
        <v>45827.420937499999</v>
      </c>
      <c r="BP132" s="11">
        <v>45974.648541666669</v>
      </c>
      <c r="BQ132" s="15">
        <v>45981.494768518518</v>
      </c>
      <c r="BR132" s="15">
        <v>45981.633449074077</v>
      </c>
      <c r="BS132" s="10"/>
      <c r="BT132" s="10" t="s">
        <v>99</v>
      </c>
      <c r="BU132" s="10" t="s">
        <v>521</v>
      </c>
      <c r="BV132" s="10"/>
      <c r="BW132" s="10"/>
      <c r="BX132" s="10"/>
      <c r="BY132" s="23"/>
      <c r="BZ132" s="24" t="s">
        <v>299</v>
      </c>
      <c r="CA132" s="19" t="s">
        <v>1518</v>
      </c>
      <c r="CB132" s="19" t="s">
        <v>1519</v>
      </c>
      <c r="CC132" s="23"/>
      <c r="CD132" s="19" t="s">
        <v>1520</v>
      </c>
      <c r="CE132" s="23"/>
      <c r="CF132" s="23"/>
      <c r="CG132" s="23"/>
      <c r="CH132" s="23"/>
      <c r="CI132" s="23"/>
    </row>
    <row r="133" spans="1:87" x14ac:dyDescent="0.3">
      <c r="A133" s="9" t="s">
        <v>1521</v>
      </c>
      <c r="B133" s="10" t="s">
        <v>1522</v>
      </c>
      <c r="C133" s="11">
        <v>45983.916666666664</v>
      </c>
      <c r="D133" s="12">
        <v>8.3333333333333329E-2</v>
      </c>
      <c r="E133" s="11">
        <v>45984</v>
      </c>
      <c r="F133" s="10" t="s">
        <v>262</v>
      </c>
      <c r="G133" s="13" t="b">
        <v>1</v>
      </c>
      <c r="H133" s="10" t="s">
        <v>263</v>
      </c>
      <c r="I133" s="10" t="s">
        <v>264</v>
      </c>
      <c r="J133" s="13" t="b">
        <v>0</v>
      </c>
      <c r="K133" s="13" t="b">
        <v>1</v>
      </c>
      <c r="L133" s="10" t="s">
        <v>124</v>
      </c>
      <c r="M133" s="10" t="s">
        <v>91</v>
      </c>
      <c r="N133" s="10" t="s">
        <v>265</v>
      </c>
      <c r="O133" s="19" t="s">
        <v>1523</v>
      </c>
      <c r="P133" s="10" t="s">
        <v>267</v>
      </c>
      <c r="Q133" s="10" t="s">
        <v>126</v>
      </c>
      <c r="R133" s="10"/>
      <c r="S133" s="19" t="s">
        <v>1524</v>
      </c>
      <c r="T133" s="19" t="s">
        <v>1463</v>
      </c>
      <c r="U133" s="10" t="s">
        <v>270</v>
      </c>
      <c r="V133" s="10" t="s">
        <v>320</v>
      </c>
      <c r="W133" s="10" t="s">
        <v>272</v>
      </c>
      <c r="X133" s="10" t="s">
        <v>130</v>
      </c>
      <c r="Y133" s="10" t="s">
        <v>130</v>
      </c>
      <c r="Z133" s="10" t="s">
        <v>99</v>
      </c>
      <c r="AA133" s="10" t="s">
        <v>131</v>
      </c>
      <c r="AB133" s="10" t="s">
        <v>273</v>
      </c>
      <c r="AC133" s="10" t="s">
        <v>274</v>
      </c>
      <c r="AD133" s="10" t="s">
        <v>1525</v>
      </c>
      <c r="AE133" s="10" t="s">
        <v>1526</v>
      </c>
      <c r="AF133" s="15"/>
      <c r="AG133" s="10"/>
      <c r="AH133" s="10"/>
      <c r="AI133" s="10"/>
      <c r="AJ133" s="10" t="s">
        <v>1527</v>
      </c>
      <c r="AK133" s="10" t="s">
        <v>102</v>
      </c>
      <c r="AL133" s="10" t="s">
        <v>1467</v>
      </c>
      <c r="AM133" s="10"/>
      <c r="AN133" s="10"/>
      <c r="AO133" s="13" t="b">
        <v>1</v>
      </c>
      <c r="AP133" s="10" t="s">
        <v>104</v>
      </c>
      <c r="AQ133" s="10">
        <f ca="1">IFERROR(__xludf.DUMMYFUNCTION("""COMPUTED_VALUE"""),4726067)</f>
        <v>4726067</v>
      </c>
      <c r="AR133" s="17">
        <v>211619</v>
      </c>
      <c r="AS133" s="17">
        <v>123879</v>
      </c>
      <c r="AT133" s="17">
        <v>4503276</v>
      </c>
      <c r="AU133" s="17">
        <v>4984.05</v>
      </c>
      <c r="AV133" s="17">
        <v>371.1</v>
      </c>
      <c r="AW133" s="10" t="s">
        <v>105</v>
      </c>
      <c r="AX133" s="17">
        <v>56338</v>
      </c>
      <c r="AY133" s="18">
        <v>36.352214661080573</v>
      </c>
      <c r="AZ133" s="10" t="s">
        <v>148</v>
      </c>
      <c r="BA133" s="20" t="b">
        <v>0</v>
      </c>
      <c r="BB133" s="10"/>
      <c r="BC133" s="17">
        <v>211619</v>
      </c>
      <c r="BD133" s="17">
        <v>123879</v>
      </c>
      <c r="BE133" s="17">
        <v>4503276</v>
      </c>
      <c r="BF133" s="17">
        <v>371.1</v>
      </c>
      <c r="BG133" s="11">
        <f ca="1">IFERROR(__xludf.DUMMYFUNCTION("""COMPUTED_VALUE"""),45983.8958333333)</f>
        <v>45983.895833333299</v>
      </c>
      <c r="BH133" s="17" t="s">
        <v>105</v>
      </c>
      <c r="BI133" s="17"/>
      <c r="BJ133" s="15"/>
      <c r="BK133" s="15"/>
      <c r="BL133" s="13" t="b">
        <v>1</v>
      </c>
      <c r="BM133" s="10"/>
      <c r="BN133" s="10" t="s">
        <v>351</v>
      </c>
      <c r="BO133" s="11">
        <v>45827.42083333333</v>
      </c>
      <c r="BP133" s="11">
        <v>45974.643333333333</v>
      </c>
      <c r="BQ133" s="15">
        <v>45981.494409722225</v>
      </c>
      <c r="BR133" s="15">
        <v>45981.6328125</v>
      </c>
      <c r="BS133" s="10"/>
      <c r="BT133" s="10" t="s">
        <v>279</v>
      </c>
      <c r="BU133" s="10" t="s">
        <v>793</v>
      </c>
      <c r="BV133" s="10" t="s">
        <v>281</v>
      </c>
      <c r="BW133" s="10"/>
      <c r="BX133" s="10"/>
      <c r="BY133" s="23"/>
      <c r="BZ133" s="24" t="s">
        <v>284</v>
      </c>
      <c r="CA133" s="19" t="s">
        <v>1528</v>
      </c>
      <c r="CB133" s="19" t="s">
        <v>1529</v>
      </c>
      <c r="CC133" s="23"/>
      <c r="CD133" s="19" t="s">
        <v>1530</v>
      </c>
      <c r="CE133" s="23"/>
      <c r="CF133" s="23"/>
      <c r="CG133" s="23"/>
      <c r="CH133" s="23"/>
      <c r="CI133" s="23"/>
    </row>
    <row r="134" spans="1:87" x14ac:dyDescent="0.3">
      <c r="A134" s="9" t="s">
        <v>1531</v>
      </c>
      <c r="B134" s="10" t="s">
        <v>1532</v>
      </c>
      <c r="C134" s="11">
        <v>45986.125</v>
      </c>
      <c r="D134" s="12">
        <v>8.3333333333333329E-2</v>
      </c>
      <c r="E134" s="11">
        <v>45986.208333333336</v>
      </c>
      <c r="F134" s="10" t="s">
        <v>262</v>
      </c>
      <c r="G134" s="13" t="b">
        <v>0</v>
      </c>
      <c r="H134" s="10" t="s">
        <v>263</v>
      </c>
      <c r="I134" s="10" t="s">
        <v>264</v>
      </c>
      <c r="J134" s="13" t="b">
        <v>0</v>
      </c>
      <c r="K134" s="13" t="b">
        <v>1</v>
      </c>
      <c r="L134" s="10" t="s">
        <v>124</v>
      </c>
      <c r="M134" s="10" t="s">
        <v>91</v>
      </c>
      <c r="N134" s="10" t="s">
        <v>265</v>
      </c>
      <c r="O134" s="19" t="s">
        <v>1533</v>
      </c>
      <c r="P134" s="10" t="s">
        <v>267</v>
      </c>
      <c r="Q134" s="10" t="s">
        <v>126</v>
      </c>
      <c r="R134" s="10"/>
      <c r="S134" s="19" t="s">
        <v>1534</v>
      </c>
      <c r="T134" s="19" t="s">
        <v>1463</v>
      </c>
      <c r="U134" s="10" t="s">
        <v>361</v>
      </c>
      <c r="V134" s="10" t="s">
        <v>407</v>
      </c>
      <c r="W134" s="10" t="s">
        <v>272</v>
      </c>
      <c r="X134" s="10" t="s">
        <v>130</v>
      </c>
      <c r="Y134" s="10" t="s">
        <v>130</v>
      </c>
      <c r="Z134" s="10" t="s">
        <v>99</v>
      </c>
      <c r="AA134" s="10" t="s">
        <v>131</v>
      </c>
      <c r="AB134" s="10" t="s">
        <v>273</v>
      </c>
      <c r="AC134" s="10" t="s">
        <v>274</v>
      </c>
      <c r="AD134" s="10" t="s">
        <v>1535</v>
      </c>
      <c r="AE134" s="10" t="s">
        <v>1536</v>
      </c>
      <c r="AF134" s="15"/>
      <c r="AG134" s="10"/>
      <c r="AH134" s="10"/>
      <c r="AI134" s="10"/>
      <c r="AJ134" s="10" t="s">
        <v>1537</v>
      </c>
      <c r="AK134" s="10" t="s">
        <v>102</v>
      </c>
      <c r="AL134" s="10" t="s">
        <v>1467</v>
      </c>
      <c r="AM134" s="10"/>
      <c r="AN134" s="10"/>
      <c r="AO134" s="13" t="b">
        <v>1</v>
      </c>
      <c r="AP134" s="10" t="s">
        <v>104</v>
      </c>
      <c r="AQ134" s="10">
        <f ca="1">IFERROR(__xludf.DUMMYFUNCTION("""COMPUTED_VALUE"""),4732728)</f>
        <v>4732728</v>
      </c>
      <c r="AR134" s="17">
        <v>119576</v>
      </c>
      <c r="AS134" s="17">
        <v>70804</v>
      </c>
      <c r="AT134" s="17">
        <v>3912418</v>
      </c>
      <c r="AU134" s="17">
        <v>2112.9</v>
      </c>
      <c r="AV134" s="17">
        <v>159.4</v>
      </c>
      <c r="AW134" s="10" t="s">
        <v>105</v>
      </c>
      <c r="AX134" s="17">
        <v>42613</v>
      </c>
      <c r="AY134" s="18">
        <v>55.257019377436301</v>
      </c>
      <c r="AZ134" s="10" t="s">
        <v>148</v>
      </c>
      <c r="BA134" s="20" t="b">
        <v>0</v>
      </c>
      <c r="BB134" s="10"/>
      <c r="BC134" s="17">
        <v>119576</v>
      </c>
      <c r="BD134" s="17">
        <v>70804</v>
      </c>
      <c r="BE134" s="17">
        <v>3912418</v>
      </c>
      <c r="BF134" s="17">
        <v>159.4</v>
      </c>
      <c r="BG134" s="11">
        <f ca="1">IFERROR(__xludf.DUMMYFUNCTION("""COMPUTED_VALUE"""),45986.125)</f>
        <v>45986.125</v>
      </c>
      <c r="BH134" s="17" t="s">
        <v>105</v>
      </c>
      <c r="BI134" s="17"/>
      <c r="BJ134" s="15"/>
      <c r="BK134" s="15"/>
      <c r="BL134" s="13" t="b">
        <v>1</v>
      </c>
      <c r="BM134" s="10"/>
      <c r="BN134" s="10" t="s">
        <v>351</v>
      </c>
      <c r="BO134" s="11">
        <v>45827.42083333333</v>
      </c>
      <c r="BP134" s="11">
        <v>45974.651423611111</v>
      </c>
      <c r="BQ134" s="15">
        <v>45981.495057870372</v>
      </c>
      <c r="BR134" s="15">
        <v>45984.522893518515</v>
      </c>
      <c r="BS134" s="10"/>
      <c r="BT134" s="10" t="s">
        <v>279</v>
      </c>
      <c r="BU134" s="10" t="s">
        <v>534</v>
      </c>
      <c r="BV134" s="10"/>
      <c r="BW134" s="10"/>
      <c r="BX134" s="10"/>
      <c r="BY134" s="23"/>
      <c r="BZ134" s="24" t="s">
        <v>284</v>
      </c>
      <c r="CA134" s="19" t="s">
        <v>1538</v>
      </c>
      <c r="CB134" s="19" t="s">
        <v>1539</v>
      </c>
      <c r="CC134" s="23"/>
      <c r="CD134" s="19" t="s">
        <v>1540</v>
      </c>
      <c r="CE134" s="23"/>
      <c r="CF134" s="23"/>
      <c r="CG134" s="23"/>
      <c r="CH134" s="23"/>
      <c r="CI134" s="23"/>
    </row>
    <row r="135" spans="1:87" x14ac:dyDescent="0.3">
      <c r="A135" s="9" t="s">
        <v>1541</v>
      </c>
      <c r="B135" s="10" t="s">
        <v>1542</v>
      </c>
      <c r="C135" s="11">
        <v>45984.020833333336</v>
      </c>
      <c r="D135" s="12">
        <v>8.3333333333333329E-2</v>
      </c>
      <c r="E135" s="11">
        <v>45984.104166666664</v>
      </c>
      <c r="F135" s="10" t="s">
        <v>262</v>
      </c>
      <c r="G135" s="13" t="b">
        <v>1</v>
      </c>
      <c r="H135" s="10" t="s">
        <v>263</v>
      </c>
      <c r="I135" s="10" t="s">
        <v>264</v>
      </c>
      <c r="J135" s="13" t="b">
        <v>0</v>
      </c>
      <c r="K135" s="13" t="b">
        <v>1</v>
      </c>
      <c r="L135" s="10" t="s">
        <v>124</v>
      </c>
      <c r="M135" s="10" t="s">
        <v>91</v>
      </c>
      <c r="N135" s="10" t="s">
        <v>265</v>
      </c>
      <c r="O135" s="19" t="s">
        <v>1543</v>
      </c>
      <c r="P135" s="10" t="s">
        <v>267</v>
      </c>
      <c r="Q135" s="10" t="s">
        <v>126</v>
      </c>
      <c r="R135" s="10"/>
      <c r="S135" s="19" t="s">
        <v>1544</v>
      </c>
      <c r="T135" s="19" t="s">
        <v>1463</v>
      </c>
      <c r="U135" s="10" t="s">
        <v>293</v>
      </c>
      <c r="V135" s="10" t="s">
        <v>334</v>
      </c>
      <c r="W135" s="10" t="s">
        <v>272</v>
      </c>
      <c r="X135" s="10" t="s">
        <v>130</v>
      </c>
      <c r="Y135" s="10" t="s">
        <v>130</v>
      </c>
      <c r="Z135" s="10" t="s">
        <v>99</v>
      </c>
      <c r="AA135" s="10" t="s">
        <v>131</v>
      </c>
      <c r="AB135" s="10" t="s">
        <v>273</v>
      </c>
      <c r="AC135" s="10" t="s">
        <v>274</v>
      </c>
      <c r="AD135" s="10" t="s">
        <v>1545</v>
      </c>
      <c r="AE135" s="10" t="s">
        <v>1546</v>
      </c>
      <c r="AF135" s="15"/>
      <c r="AG135" s="10"/>
      <c r="AH135" s="10"/>
      <c r="AI135" s="10"/>
      <c r="AJ135" s="10" t="s">
        <v>1547</v>
      </c>
      <c r="AK135" s="10" t="s">
        <v>102</v>
      </c>
      <c r="AL135" s="10" t="s">
        <v>1467</v>
      </c>
      <c r="AM135" s="10"/>
      <c r="AN135" s="10"/>
      <c r="AO135" s="13" t="b">
        <v>1</v>
      </c>
      <c r="AP135" s="10" t="s">
        <v>104</v>
      </c>
      <c r="AQ135" s="10">
        <f ca="1">IFERROR(__xludf.DUMMYFUNCTION("""COMPUTED_VALUE"""),4726068)</f>
        <v>4726068</v>
      </c>
      <c r="AR135" s="17">
        <v>89879</v>
      </c>
      <c r="AS135" s="17">
        <v>61675</v>
      </c>
      <c r="AT135" s="17">
        <v>2837257.5</v>
      </c>
      <c r="AU135" s="17">
        <v>580.54999999999995</v>
      </c>
      <c r="AV135" s="17">
        <v>72.7</v>
      </c>
      <c r="AW135" s="10" t="s">
        <v>105</v>
      </c>
      <c r="AX135" s="17">
        <v>31530</v>
      </c>
      <c r="AY135" s="18">
        <v>46.003364410214836</v>
      </c>
      <c r="AZ135" s="10" t="s">
        <v>148</v>
      </c>
      <c r="BA135" s="20" t="b">
        <v>0</v>
      </c>
      <c r="BB135" s="10"/>
      <c r="BC135" s="17">
        <v>89879</v>
      </c>
      <c r="BD135" s="17">
        <v>61675</v>
      </c>
      <c r="BE135" s="17">
        <v>2837257.5</v>
      </c>
      <c r="BF135" s="17">
        <v>72.7</v>
      </c>
      <c r="BG135" s="11">
        <f ca="1">IFERROR(__xludf.DUMMYFUNCTION("""COMPUTED_VALUE"""),45984)</f>
        <v>45984</v>
      </c>
      <c r="BH135" s="17" t="s">
        <v>105</v>
      </c>
      <c r="BI135" s="17"/>
      <c r="BJ135" s="15"/>
      <c r="BK135" s="15"/>
      <c r="BL135" s="13" t="b">
        <v>1</v>
      </c>
      <c r="BM135" s="10"/>
      <c r="BN135" s="10" t="s">
        <v>351</v>
      </c>
      <c r="BO135" s="11">
        <v>45827.42083333333</v>
      </c>
      <c r="BP135" s="11">
        <v>45974.647905092592</v>
      </c>
      <c r="BQ135" s="15">
        <v>45981.494652777779</v>
      </c>
      <c r="BR135" s="15">
        <v>45981.633043981485</v>
      </c>
      <c r="BS135" s="10"/>
      <c r="BT135" s="10" t="s">
        <v>279</v>
      </c>
      <c r="BU135" s="10" t="s">
        <v>793</v>
      </c>
      <c r="BV135" s="10" t="s">
        <v>124</v>
      </c>
      <c r="BW135" s="10"/>
      <c r="BX135" s="10"/>
      <c r="BY135" s="23"/>
      <c r="BZ135" s="24" t="s">
        <v>284</v>
      </c>
      <c r="CA135" s="19" t="s">
        <v>1548</v>
      </c>
      <c r="CB135" s="19" t="s">
        <v>1549</v>
      </c>
      <c r="CC135" s="23"/>
      <c r="CD135" s="19" t="s">
        <v>1550</v>
      </c>
      <c r="CE135" s="23"/>
      <c r="CF135" s="23"/>
      <c r="CG135" s="23"/>
      <c r="CH135" s="23"/>
      <c r="CI135" s="23"/>
    </row>
    <row r="136" spans="1:87" x14ac:dyDescent="0.3">
      <c r="A136" s="9" t="s">
        <v>1551</v>
      </c>
      <c r="B136" s="10" t="s">
        <v>1552</v>
      </c>
      <c r="C136" s="11">
        <v>45983.916666666664</v>
      </c>
      <c r="D136" s="12">
        <v>8.3333333333333329E-2</v>
      </c>
      <c r="E136" s="11">
        <v>45984</v>
      </c>
      <c r="F136" s="10" t="s">
        <v>262</v>
      </c>
      <c r="G136" s="13" t="b">
        <v>0</v>
      </c>
      <c r="H136" s="10" t="s">
        <v>527</v>
      </c>
      <c r="I136" s="10" t="s">
        <v>264</v>
      </c>
      <c r="J136" s="13" t="b">
        <v>0</v>
      </c>
      <c r="K136" s="13" t="b">
        <v>1</v>
      </c>
      <c r="L136" s="10" t="s">
        <v>124</v>
      </c>
      <c r="M136" s="10" t="s">
        <v>91</v>
      </c>
      <c r="N136" s="10" t="s">
        <v>265</v>
      </c>
      <c r="O136" s="19" t="s">
        <v>1553</v>
      </c>
      <c r="P136" s="10" t="s">
        <v>575</v>
      </c>
      <c r="Q136" s="10" t="s">
        <v>126</v>
      </c>
      <c r="R136" s="10"/>
      <c r="S136" s="19" t="s">
        <v>1554</v>
      </c>
      <c r="T136" s="19" t="s">
        <v>1463</v>
      </c>
      <c r="U136" s="10" t="s">
        <v>333</v>
      </c>
      <c r="V136" s="10" t="s">
        <v>347</v>
      </c>
      <c r="W136" s="10" t="s">
        <v>272</v>
      </c>
      <c r="X136" s="10" t="s">
        <v>130</v>
      </c>
      <c r="Y136" s="10" t="s">
        <v>130</v>
      </c>
      <c r="Z136" s="10" t="s">
        <v>99</v>
      </c>
      <c r="AA136" s="10" t="s">
        <v>131</v>
      </c>
      <c r="AB136" s="10" t="s">
        <v>273</v>
      </c>
      <c r="AC136" s="10" t="s">
        <v>274</v>
      </c>
      <c r="AD136" s="10" t="s">
        <v>1555</v>
      </c>
      <c r="AE136" s="10" t="s">
        <v>1556</v>
      </c>
      <c r="AF136" s="15"/>
      <c r="AG136" s="10"/>
      <c r="AH136" s="10"/>
      <c r="AI136" s="10"/>
      <c r="AJ136" s="10" t="s">
        <v>1557</v>
      </c>
      <c r="AK136" s="10" t="s">
        <v>102</v>
      </c>
      <c r="AL136" s="10" t="s">
        <v>1467</v>
      </c>
      <c r="AM136" s="10"/>
      <c r="AN136" s="10"/>
      <c r="AO136" s="13" t="b">
        <v>0</v>
      </c>
      <c r="AP136" s="10" t="s">
        <v>104</v>
      </c>
      <c r="AQ136" s="10">
        <f ca="1">IFERROR(__xludf.DUMMYFUNCTION("""COMPUTED_VALUE"""),4726408)</f>
        <v>4726408</v>
      </c>
      <c r="AR136" s="17">
        <v>15805</v>
      </c>
      <c r="AS136" s="17">
        <v>11163</v>
      </c>
      <c r="AT136" s="17">
        <v>81251.25</v>
      </c>
      <c r="AU136" s="17">
        <v>46.25</v>
      </c>
      <c r="AV136" s="17">
        <v>2.9</v>
      </c>
      <c r="AW136" s="10" t="s">
        <v>105</v>
      </c>
      <c r="AX136" s="17">
        <v>1458</v>
      </c>
      <c r="AY136" s="18">
        <v>7.2786213383499057</v>
      </c>
      <c r="AZ136" s="10" t="s">
        <v>148</v>
      </c>
      <c r="BA136" s="20" t="b">
        <v>0</v>
      </c>
      <c r="BB136" s="10"/>
      <c r="BC136" s="17">
        <v>15805</v>
      </c>
      <c r="BD136" s="17">
        <v>11163</v>
      </c>
      <c r="BE136" s="17">
        <v>81251.25</v>
      </c>
      <c r="BF136" s="17">
        <v>2.9</v>
      </c>
      <c r="BG136" s="11">
        <f ca="1">IFERROR(__xludf.DUMMYFUNCTION("""COMPUTED_VALUE"""),45983.9166666666)</f>
        <v>45983.916666666599</v>
      </c>
      <c r="BH136" s="17" t="s">
        <v>105</v>
      </c>
      <c r="BI136" s="17"/>
      <c r="BJ136" s="15"/>
      <c r="BK136" s="15"/>
      <c r="BL136" s="13" t="b">
        <v>0</v>
      </c>
      <c r="BM136" s="10"/>
      <c r="BN136" s="10" t="s">
        <v>149</v>
      </c>
      <c r="BO136" s="11">
        <v>45827.42083333333</v>
      </c>
      <c r="BP136" s="11">
        <v>45976.680254629631</v>
      </c>
      <c r="BQ136" s="15">
        <v>45981.494513888887</v>
      </c>
      <c r="BR136" s="15">
        <v>45982.107210648152</v>
      </c>
      <c r="BS136" s="10" t="s">
        <v>149</v>
      </c>
      <c r="BT136" s="10" t="s">
        <v>279</v>
      </c>
      <c r="BU136" s="10" t="s">
        <v>718</v>
      </c>
      <c r="BV136" s="10"/>
      <c r="BW136" s="10"/>
      <c r="BX136" s="10"/>
      <c r="BY136" s="23"/>
      <c r="BZ136" s="24" t="s">
        <v>299</v>
      </c>
      <c r="CA136" s="19" t="s">
        <v>1558</v>
      </c>
      <c r="CB136" s="19" t="s">
        <v>1559</v>
      </c>
      <c r="CC136" s="23"/>
      <c r="CD136" s="19" t="s">
        <v>1560</v>
      </c>
      <c r="CE136" s="23"/>
      <c r="CF136" s="23"/>
      <c r="CG136" s="23"/>
      <c r="CH136" s="23"/>
      <c r="CI136" s="23"/>
    </row>
    <row r="137" spans="1:87" x14ac:dyDescent="0.3">
      <c r="A137" s="9" t="s">
        <v>1561</v>
      </c>
      <c r="B137" s="10" t="s">
        <v>1562</v>
      </c>
      <c r="C137" s="11">
        <v>45991.878472222219</v>
      </c>
      <c r="D137" s="12">
        <v>8.3333333333333329E-2</v>
      </c>
      <c r="E137" s="11">
        <v>45991.961805555555</v>
      </c>
      <c r="F137" s="10" t="s">
        <v>262</v>
      </c>
      <c r="G137" s="13" t="b">
        <v>0</v>
      </c>
      <c r="H137" s="10" t="s">
        <v>305</v>
      </c>
      <c r="I137" s="10" t="s">
        <v>264</v>
      </c>
      <c r="J137" s="13" t="b">
        <v>0</v>
      </c>
      <c r="K137" s="13" t="b">
        <v>1</v>
      </c>
      <c r="L137" s="10" t="s">
        <v>124</v>
      </c>
      <c r="M137" s="10" t="s">
        <v>91</v>
      </c>
      <c r="N137" s="10" t="s">
        <v>265</v>
      </c>
      <c r="O137" s="19" t="s">
        <v>1563</v>
      </c>
      <c r="P137" s="10"/>
      <c r="Q137" s="10" t="s">
        <v>126</v>
      </c>
      <c r="R137" s="10"/>
      <c r="S137" s="19" t="s">
        <v>1564</v>
      </c>
      <c r="T137" s="19" t="s">
        <v>1565</v>
      </c>
      <c r="U137" s="10" t="s">
        <v>292</v>
      </c>
      <c r="V137" s="10" t="s">
        <v>333</v>
      </c>
      <c r="W137" s="10" t="s">
        <v>272</v>
      </c>
      <c r="X137" s="10" t="s">
        <v>130</v>
      </c>
      <c r="Y137" s="10" t="s">
        <v>130</v>
      </c>
      <c r="Z137" s="10" t="s">
        <v>99</v>
      </c>
      <c r="AA137" s="10" t="s">
        <v>131</v>
      </c>
      <c r="AB137" s="10" t="s">
        <v>273</v>
      </c>
      <c r="AC137" s="10" t="s">
        <v>274</v>
      </c>
      <c r="AD137" s="10" t="s">
        <v>1566</v>
      </c>
      <c r="AE137" s="10" t="s">
        <v>1567</v>
      </c>
      <c r="AF137" s="15"/>
      <c r="AG137" s="10"/>
      <c r="AH137" s="10"/>
      <c r="AI137" s="10"/>
      <c r="AJ137" s="10" t="s">
        <v>1568</v>
      </c>
      <c r="AK137" s="10" t="s">
        <v>102</v>
      </c>
      <c r="AL137" s="10" t="s">
        <v>1569</v>
      </c>
      <c r="AM137" s="10"/>
      <c r="AN137" s="10"/>
      <c r="AO137" s="13" t="b">
        <v>0</v>
      </c>
      <c r="AP137" s="10" t="s">
        <v>104</v>
      </c>
      <c r="AQ137" s="10">
        <f ca="1">IFERROR(__xludf.DUMMYFUNCTION("""COMPUTED_VALUE"""),4736101)</f>
        <v>4736101</v>
      </c>
      <c r="AR137" s="17">
        <v>37100</v>
      </c>
      <c r="AS137" s="17">
        <v>23059</v>
      </c>
      <c r="AT137" s="17">
        <v>267818.25</v>
      </c>
      <c r="AU137" s="17">
        <v>109.45</v>
      </c>
      <c r="AV137" s="17">
        <v>18.5</v>
      </c>
      <c r="AW137" s="10" t="s">
        <v>105</v>
      </c>
      <c r="AX137" s="17">
        <v>5998</v>
      </c>
      <c r="AY137" s="18">
        <v>11.614478077973892</v>
      </c>
      <c r="AZ137" s="10" t="s">
        <v>136</v>
      </c>
      <c r="BA137" s="20" t="b">
        <v>0</v>
      </c>
      <c r="BB137" s="10"/>
      <c r="BC137" s="17">
        <v>37100</v>
      </c>
      <c r="BD137" s="17">
        <v>23059</v>
      </c>
      <c r="BE137" s="17">
        <v>267818.25</v>
      </c>
      <c r="BF137" s="17">
        <v>18.5</v>
      </c>
      <c r="BG137" s="11">
        <f ca="1">IFERROR(__xludf.DUMMYFUNCTION("""COMPUTED_VALUE"""),45991.8784722222)</f>
        <v>45991.878472222197</v>
      </c>
      <c r="BH137" s="17" t="s">
        <v>105</v>
      </c>
      <c r="BI137" s="17"/>
      <c r="BJ137" s="15"/>
      <c r="BK137" s="15"/>
      <c r="BL137" s="13" t="b">
        <v>1</v>
      </c>
      <c r="BM137" s="10"/>
      <c r="BN137" s="10" t="s">
        <v>351</v>
      </c>
      <c r="BO137" s="11">
        <v>45827.42083333333</v>
      </c>
      <c r="BP137" s="11">
        <v>45983.584386574075</v>
      </c>
      <c r="BQ137" s="15">
        <v>45985.707002314812</v>
      </c>
      <c r="BR137" s="15">
        <v>45987.563877314817</v>
      </c>
      <c r="BS137" s="10"/>
      <c r="BT137" s="10" t="s">
        <v>279</v>
      </c>
      <c r="BU137" s="10" t="s">
        <v>521</v>
      </c>
      <c r="BV137" s="10"/>
      <c r="BW137" s="10"/>
      <c r="BX137" s="10"/>
      <c r="BY137" s="23"/>
      <c r="BZ137" s="24" t="s">
        <v>299</v>
      </c>
      <c r="CA137" s="19" t="s">
        <v>1570</v>
      </c>
      <c r="CB137" s="19" t="s">
        <v>1565</v>
      </c>
      <c r="CC137" s="23"/>
      <c r="CD137" s="19" t="s">
        <v>1571</v>
      </c>
      <c r="CE137" s="23"/>
      <c r="CF137" s="23"/>
      <c r="CG137" s="23"/>
      <c r="CH137" s="23"/>
      <c r="CI137" s="23"/>
    </row>
    <row r="138" spans="1:87" x14ac:dyDescent="0.3">
      <c r="A138" s="9" t="s">
        <v>1572</v>
      </c>
      <c r="B138" s="10" t="s">
        <v>1573</v>
      </c>
      <c r="C138" s="11">
        <v>45990.916666666664</v>
      </c>
      <c r="D138" s="12">
        <v>8.3333333333333329E-2</v>
      </c>
      <c r="E138" s="11">
        <v>45991</v>
      </c>
      <c r="F138" s="10" t="s">
        <v>262</v>
      </c>
      <c r="G138" s="13" t="b">
        <v>0</v>
      </c>
      <c r="H138" s="10" t="s">
        <v>527</v>
      </c>
      <c r="I138" s="10" t="s">
        <v>264</v>
      </c>
      <c r="J138" s="13" t="b">
        <v>0</v>
      </c>
      <c r="K138" s="13" t="b">
        <v>1</v>
      </c>
      <c r="L138" s="10" t="s">
        <v>124</v>
      </c>
      <c r="M138" s="10" t="s">
        <v>91</v>
      </c>
      <c r="N138" s="10" t="s">
        <v>265</v>
      </c>
      <c r="O138" s="19" t="s">
        <v>1574</v>
      </c>
      <c r="P138" s="10"/>
      <c r="Q138" s="10" t="s">
        <v>126</v>
      </c>
      <c r="R138" s="10"/>
      <c r="S138" s="19" t="s">
        <v>1575</v>
      </c>
      <c r="T138" s="19" t="s">
        <v>1576</v>
      </c>
      <c r="U138" s="10" t="s">
        <v>321</v>
      </c>
      <c r="V138" s="10" t="s">
        <v>609</v>
      </c>
      <c r="W138" s="10" t="s">
        <v>272</v>
      </c>
      <c r="X138" s="10" t="s">
        <v>130</v>
      </c>
      <c r="Y138" s="10" t="s">
        <v>130</v>
      </c>
      <c r="Z138" s="10" t="s">
        <v>99</v>
      </c>
      <c r="AA138" s="10" t="s">
        <v>131</v>
      </c>
      <c r="AB138" s="10" t="s">
        <v>273</v>
      </c>
      <c r="AC138" s="10" t="s">
        <v>274</v>
      </c>
      <c r="AD138" s="10" t="s">
        <v>1577</v>
      </c>
      <c r="AE138" s="10" t="s">
        <v>1578</v>
      </c>
      <c r="AF138" s="15"/>
      <c r="AG138" s="10"/>
      <c r="AH138" s="10"/>
      <c r="AI138" s="10"/>
      <c r="AJ138" s="10" t="s">
        <v>1579</v>
      </c>
      <c r="AK138" s="10" t="s">
        <v>102</v>
      </c>
      <c r="AL138" s="10" t="s">
        <v>1569</v>
      </c>
      <c r="AM138" s="10"/>
      <c r="AN138" s="10"/>
      <c r="AO138" s="13" t="b">
        <v>0</v>
      </c>
      <c r="AP138" s="10" t="s">
        <v>104</v>
      </c>
      <c r="AQ138" s="10">
        <f ca="1">IFERROR(__xludf.DUMMYFUNCTION("""COMPUTED_VALUE"""),4736092)</f>
        <v>4736092</v>
      </c>
      <c r="AR138" s="17">
        <v>15643</v>
      </c>
      <c r="AS138" s="17">
        <v>9889</v>
      </c>
      <c r="AT138" s="17">
        <v>92947</v>
      </c>
      <c r="AU138" s="17">
        <v>51.55</v>
      </c>
      <c r="AV138" s="17">
        <v>6.5</v>
      </c>
      <c r="AW138" s="10" t="s">
        <v>105</v>
      </c>
      <c r="AX138" s="17">
        <v>2024</v>
      </c>
      <c r="AY138" s="18">
        <v>9.3990292243907376</v>
      </c>
      <c r="AZ138" s="10" t="s">
        <v>136</v>
      </c>
      <c r="BA138" s="20" t="b">
        <v>0</v>
      </c>
      <c r="BB138" s="10"/>
      <c r="BC138" s="17">
        <v>15643</v>
      </c>
      <c r="BD138" s="17">
        <v>9889</v>
      </c>
      <c r="BE138" s="17">
        <v>92947</v>
      </c>
      <c r="BF138" s="17">
        <v>6.5</v>
      </c>
      <c r="BG138" s="11">
        <f ca="1">IFERROR(__xludf.DUMMYFUNCTION("""COMPUTED_VALUE"""),45990.9166666666)</f>
        <v>45990.916666666599</v>
      </c>
      <c r="BH138" s="17" t="s">
        <v>105</v>
      </c>
      <c r="BI138" s="17"/>
      <c r="BJ138" s="15"/>
      <c r="BK138" s="15"/>
      <c r="BL138" s="13" t="b">
        <v>1</v>
      </c>
      <c r="BM138" s="10"/>
      <c r="BN138" s="10" t="s">
        <v>1057</v>
      </c>
      <c r="BO138" s="11">
        <v>45827.42083333333</v>
      </c>
      <c r="BP138" s="11">
        <v>45983.582303240742</v>
      </c>
      <c r="BQ138" s="15">
        <v>45985.704247685186</v>
      </c>
      <c r="BR138" s="15">
        <v>45987.554791666669</v>
      </c>
      <c r="BS138" s="10"/>
      <c r="BT138" s="10" t="s">
        <v>279</v>
      </c>
      <c r="BU138" s="10"/>
      <c r="BV138" s="10"/>
      <c r="BW138" s="10"/>
      <c r="BX138" s="10"/>
      <c r="BY138" s="23"/>
      <c r="BZ138" s="24" t="s">
        <v>299</v>
      </c>
      <c r="CA138" s="19" t="s">
        <v>1580</v>
      </c>
      <c r="CB138" s="19" t="s">
        <v>1576</v>
      </c>
      <c r="CC138" s="23"/>
      <c r="CD138" s="19" t="s">
        <v>1581</v>
      </c>
      <c r="CE138" s="23"/>
      <c r="CF138" s="23"/>
      <c r="CG138" s="23"/>
      <c r="CH138" s="23"/>
      <c r="CI138" s="23"/>
    </row>
    <row r="139" spans="1:87" x14ac:dyDescent="0.3">
      <c r="A139" s="9" t="s">
        <v>1582</v>
      </c>
      <c r="B139" s="10" t="s">
        <v>1583</v>
      </c>
      <c r="C139" s="11">
        <v>45991.979166666664</v>
      </c>
      <c r="D139" s="12">
        <v>8.3333333333333329E-2</v>
      </c>
      <c r="E139" s="11">
        <v>45992.0625</v>
      </c>
      <c r="F139" s="10" t="s">
        <v>262</v>
      </c>
      <c r="G139" s="13" t="b">
        <v>1</v>
      </c>
      <c r="H139" s="10" t="s">
        <v>263</v>
      </c>
      <c r="I139" s="10" t="s">
        <v>264</v>
      </c>
      <c r="J139" s="13" t="b">
        <v>0</v>
      </c>
      <c r="K139" s="13" t="b">
        <v>1</v>
      </c>
      <c r="L139" s="10" t="s">
        <v>124</v>
      </c>
      <c r="M139" s="10" t="s">
        <v>91</v>
      </c>
      <c r="N139" s="10" t="s">
        <v>265</v>
      </c>
      <c r="O139" s="19" t="s">
        <v>1584</v>
      </c>
      <c r="P139" s="10" t="s">
        <v>331</v>
      </c>
      <c r="Q139" s="10" t="s">
        <v>126</v>
      </c>
      <c r="R139" s="10"/>
      <c r="S139" s="19" t="s">
        <v>1585</v>
      </c>
      <c r="T139" s="19" t="s">
        <v>1586</v>
      </c>
      <c r="U139" s="10" t="s">
        <v>346</v>
      </c>
      <c r="V139" s="10" t="s">
        <v>362</v>
      </c>
      <c r="W139" s="10" t="s">
        <v>272</v>
      </c>
      <c r="X139" s="10" t="s">
        <v>130</v>
      </c>
      <c r="Y139" s="10" t="s">
        <v>130</v>
      </c>
      <c r="Z139" s="10" t="s">
        <v>99</v>
      </c>
      <c r="AA139" s="10" t="s">
        <v>131</v>
      </c>
      <c r="AB139" s="10" t="s">
        <v>273</v>
      </c>
      <c r="AC139" s="10" t="s">
        <v>274</v>
      </c>
      <c r="AD139" s="10" t="s">
        <v>1587</v>
      </c>
      <c r="AE139" s="10" t="s">
        <v>1588</v>
      </c>
      <c r="AF139" s="15"/>
      <c r="AG139" s="10"/>
      <c r="AH139" s="10"/>
      <c r="AI139" s="10"/>
      <c r="AJ139" s="10" t="s">
        <v>1589</v>
      </c>
      <c r="AK139" s="10" t="s">
        <v>102</v>
      </c>
      <c r="AL139" s="10" t="s">
        <v>1569</v>
      </c>
      <c r="AM139" s="10"/>
      <c r="AN139" s="10"/>
      <c r="AO139" s="13" t="b">
        <v>1</v>
      </c>
      <c r="AP139" s="10" t="s">
        <v>104</v>
      </c>
      <c r="AQ139" s="10">
        <f ca="1">IFERROR(__xludf.DUMMYFUNCTION("""COMPUTED_VALUE"""),4740023)</f>
        <v>4740023</v>
      </c>
      <c r="AR139" s="17">
        <v>208151</v>
      </c>
      <c r="AS139" s="17">
        <v>160465</v>
      </c>
      <c r="AT139" s="17">
        <v>3956810.75</v>
      </c>
      <c r="AU139" s="17">
        <v>3551.75</v>
      </c>
      <c r="AV139" s="17">
        <v>749.2</v>
      </c>
      <c r="AW139" s="10" t="s">
        <v>105</v>
      </c>
      <c r="AX139" s="17">
        <v>73282</v>
      </c>
      <c r="AY139" s="18">
        <v>24.658403701741811</v>
      </c>
      <c r="AZ139" s="10" t="s">
        <v>136</v>
      </c>
      <c r="BA139" s="20" t="b">
        <v>0</v>
      </c>
      <c r="BB139" s="10"/>
      <c r="BC139" s="17">
        <v>208151</v>
      </c>
      <c r="BD139" s="17">
        <v>160465</v>
      </c>
      <c r="BE139" s="17">
        <v>3956810.75</v>
      </c>
      <c r="BF139" s="17">
        <v>749.2</v>
      </c>
      <c r="BG139" s="11">
        <f ca="1">IFERROR(__xludf.DUMMYFUNCTION("""COMPUTED_VALUE"""),45991.9583333333)</f>
        <v>45991.958333333299</v>
      </c>
      <c r="BH139" s="17" t="s">
        <v>105</v>
      </c>
      <c r="BI139" s="17"/>
      <c r="BJ139" s="15"/>
      <c r="BK139" s="15"/>
      <c r="BL139" s="13" t="b">
        <v>0</v>
      </c>
      <c r="BM139" s="10"/>
      <c r="BN139" s="10" t="s">
        <v>634</v>
      </c>
      <c r="BO139" s="11">
        <v>45827.42083333333</v>
      </c>
      <c r="BP139" s="11">
        <v>45983.584907407407</v>
      </c>
      <c r="BQ139" s="15">
        <v>45985.70884259259</v>
      </c>
      <c r="BR139" s="15">
        <v>45988.506886574076</v>
      </c>
      <c r="BS139" s="10" t="s">
        <v>634</v>
      </c>
      <c r="BT139" s="10" t="s">
        <v>279</v>
      </c>
      <c r="BU139" s="10" t="s">
        <v>421</v>
      </c>
      <c r="BV139" s="10" t="s">
        <v>499</v>
      </c>
      <c r="BW139" s="10"/>
      <c r="BX139" s="10"/>
      <c r="BY139" s="23"/>
      <c r="BZ139" s="24" t="s">
        <v>368</v>
      </c>
      <c r="CA139" s="19" t="s">
        <v>1590</v>
      </c>
      <c r="CB139" s="19" t="s">
        <v>1586</v>
      </c>
      <c r="CC139" s="23"/>
      <c r="CD139" s="19" t="s">
        <v>1591</v>
      </c>
      <c r="CE139" s="23"/>
      <c r="CF139" s="23"/>
      <c r="CG139" s="23"/>
      <c r="CH139" s="23"/>
      <c r="CI139" s="23"/>
    </row>
    <row r="140" spans="1:87" x14ac:dyDescent="0.3">
      <c r="A140" s="9" t="s">
        <v>1592</v>
      </c>
      <c r="B140" s="10" t="s">
        <v>1593</v>
      </c>
      <c r="C140" s="11">
        <v>45991.791666666664</v>
      </c>
      <c r="D140" s="12">
        <v>8.3333333333333329E-2</v>
      </c>
      <c r="E140" s="11">
        <v>45991.875</v>
      </c>
      <c r="F140" s="10" t="s">
        <v>262</v>
      </c>
      <c r="G140" s="13" t="b">
        <v>1</v>
      </c>
      <c r="H140" s="10" t="s">
        <v>263</v>
      </c>
      <c r="I140" s="10" t="s">
        <v>264</v>
      </c>
      <c r="J140" s="13" t="b">
        <v>0</v>
      </c>
      <c r="K140" s="13" t="b">
        <v>1</v>
      </c>
      <c r="L140" s="10" t="s">
        <v>124</v>
      </c>
      <c r="M140" s="10" t="s">
        <v>91</v>
      </c>
      <c r="N140" s="10" t="s">
        <v>265</v>
      </c>
      <c r="O140" s="19" t="s">
        <v>1594</v>
      </c>
      <c r="P140" s="10" t="s">
        <v>267</v>
      </c>
      <c r="Q140" s="10" t="s">
        <v>126</v>
      </c>
      <c r="R140" s="10"/>
      <c r="S140" s="19" t="s">
        <v>1595</v>
      </c>
      <c r="T140" s="19" t="s">
        <v>1595</v>
      </c>
      <c r="U140" s="10" t="s">
        <v>347</v>
      </c>
      <c r="V140" s="10" t="s">
        <v>361</v>
      </c>
      <c r="W140" s="10" t="s">
        <v>272</v>
      </c>
      <c r="X140" s="10" t="s">
        <v>130</v>
      </c>
      <c r="Y140" s="10" t="s">
        <v>130</v>
      </c>
      <c r="Z140" s="10" t="s">
        <v>99</v>
      </c>
      <c r="AA140" s="10" t="s">
        <v>131</v>
      </c>
      <c r="AB140" s="10" t="s">
        <v>273</v>
      </c>
      <c r="AC140" s="10" t="s">
        <v>274</v>
      </c>
      <c r="AD140" s="10" t="s">
        <v>1596</v>
      </c>
      <c r="AE140" s="10" t="s">
        <v>1597</v>
      </c>
      <c r="AF140" s="15"/>
      <c r="AG140" s="10"/>
      <c r="AH140" s="10"/>
      <c r="AI140" s="10"/>
      <c r="AJ140" s="10" t="s">
        <v>1598</v>
      </c>
      <c r="AK140" s="10" t="s">
        <v>102</v>
      </c>
      <c r="AL140" s="10" t="s">
        <v>1569</v>
      </c>
      <c r="AM140" s="10"/>
      <c r="AN140" s="10"/>
      <c r="AO140" s="13" t="b">
        <v>1</v>
      </c>
      <c r="AP140" s="10" t="s">
        <v>104</v>
      </c>
      <c r="AQ140" s="10">
        <f ca="1">IFERROR(__xludf.DUMMYFUNCTION("""COMPUTED_VALUE"""),4739605)</f>
        <v>4739605</v>
      </c>
      <c r="AR140" s="17">
        <v>381554</v>
      </c>
      <c r="AS140" s="17">
        <v>198060</v>
      </c>
      <c r="AT140" s="17">
        <v>10113693.5</v>
      </c>
      <c r="AU140" s="17">
        <v>6880.85</v>
      </c>
      <c r="AV140" s="17">
        <v>744.1</v>
      </c>
      <c r="AW140" s="10" t="s">
        <v>297</v>
      </c>
      <c r="AX140" s="17">
        <v>101769</v>
      </c>
      <c r="AY140" s="18">
        <v>51.06378622639604</v>
      </c>
      <c r="AZ140" s="10" t="s">
        <v>136</v>
      </c>
      <c r="BA140" s="20" t="b">
        <v>0</v>
      </c>
      <c r="BB140" s="10"/>
      <c r="BC140" s="17">
        <v>381554</v>
      </c>
      <c r="BD140" s="17">
        <v>198060</v>
      </c>
      <c r="BE140" s="17">
        <v>10113693.5</v>
      </c>
      <c r="BF140" s="17">
        <v>744.1</v>
      </c>
      <c r="BG140" s="11">
        <f ca="1">IFERROR(__xludf.DUMMYFUNCTION("""COMPUTED_VALUE"""),45991.7708333333)</f>
        <v>45991.770833333299</v>
      </c>
      <c r="BH140" s="17" t="s">
        <v>297</v>
      </c>
      <c r="BI140" s="17"/>
      <c r="BJ140" s="15"/>
      <c r="BK140" s="15"/>
      <c r="BL140" s="13" t="b">
        <v>1</v>
      </c>
      <c r="BM140" s="10"/>
      <c r="BN140" s="10" t="s">
        <v>351</v>
      </c>
      <c r="BO140" s="11">
        <v>45827.42083333333</v>
      </c>
      <c r="BP140" s="11">
        <v>45983.584201388891</v>
      </c>
      <c r="BQ140" s="15">
        <v>45985.70621527778</v>
      </c>
      <c r="BR140" s="15">
        <v>45987.651956018519</v>
      </c>
      <c r="BS140" s="10"/>
      <c r="BT140" s="10" t="s">
        <v>279</v>
      </c>
      <c r="BU140" s="10" t="s">
        <v>816</v>
      </c>
      <c r="BV140" s="10" t="s">
        <v>281</v>
      </c>
      <c r="BW140" s="10"/>
      <c r="BX140" s="10"/>
      <c r="BY140" s="23"/>
      <c r="BZ140" s="24" t="s">
        <v>284</v>
      </c>
      <c r="CA140" s="19" t="s">
        <v>1599</v>
      </c>
      <c r="CB140" s="19" t="s">
        <v>1600</v>
      </c>
      <c r="CC140" s="23"/>
      <c r="CD140" s="19" t="s">
        <v>1600</v>
      </c>
      <c r="CE140" s="23"/>
      <c r="CF140" s="23"/>
      <c r="CG140" s="23"/>
      <c r="CH140" s="23"/>
      <c r="CI140" s="23"/>
    </row>
    <row r="141" spans="1:87" x14ac:dyDescent="0.3">
      <c r="A141" s="9" t="s">
        <v>1601</v>
      </c>
      <c r="B141" s="10" t="s">
        <v>1602</v>
      </c>
      <c r="C141" s="11">
        <v>45991.020833333336</v>
      </c>
      <c r="D141" s="12">
        <v>8.3333333333333329E-2</v>
      </c>
      <c r="E141" s="11">
        <v>45991.104166666664</v>
      </c>
      <c r="F141" s="10" t="s">
        <v>262</v>
      </c>
      <c r="G141" s="13" t="b">
        <v>1</v>
      </c>
      <c r="H141" s="10" t="s">
        <v>263</v>
      </c>
      <c r="I141" s="10" t="s">
        <v>264</v>
      </c>
      <c r="J141" s="13" t="b">
        <v>0</v>
      </c>
      <c r="K141" s="13" t="b">
        <v>1</v>
      </c>
      <c r="L141" s="10" t="s">
        <v>124</v>
      </c>
      <c r="M141" s="10" t="s">
        <v>91</v>
      </c>
      <c r="N141" s="10" t="s">
        <v>265</v>
      </c>
      <c r="O141" s="19" t="s">
        <v>1603</v>
      </c>
      <c r="P141" s="10" t="s">
        <v>267</v>
      </c>
      <c r="Q141" s="10" t="s">
        <v>126</v>
      </c>
      <c r="R141" s="10"/>
      <c r="S141" s="19" t="s">
        <v>1604</v>
      </c>
      <c r="T141" s="19" t="s">
        <v>1605</v>
      </c>
      <c r="U141" s="10" t="s">
        <v>407</v>
      </c>
      <c r="V141" s="10" t="s">
        <v>293</v>
      </c>
      <c r="W141" s="10" t="s">
        <v>272</v>
      </c>
      <c r="X141" s="10" t="s">
        <v>130</v>
      </c>
      <c r="Y141" s="10" t="s">
        <v>130</v>
      </c>
      <c r="Z141" s="10" t="s">
        <v>99</v>
      </c>
      <c r="AA141" s="10" t="s">
        <v>131</v>
      </c>
      <c r="AB141" s="10" t="s">
        <v>273</v>
      </c>
      <c r="AC141" s="10" t="s">
        <v>274</v>
      </c>
      <c r="AD141" s="10" t="s">
        <v>1606</v>
      </c>
      <c r="AE141" s="10" t="s">
        <v>1607</v>
      </c>
      <c r="AF141" s="15"/>
      <c r="AG141" s="10"/>
      <c r="AH141" s="10"/>
      <c r="AI141" s="10"/>
      <c r="AJ141" s="10" t="s">
        <v>1608</v>
      </c>
      <c r="AK141" s="10" t="s">
        <v>102</v>
      </c>
      <c r="AL141" s="10" t="s">
        <v>1569</v>
      </c>
      <c r="AM141" s="10"/>
      <c r="AN141" s="10"/>
      <c r="AO141" s="13" t="b">
        <v>0</v>
      </c>
      <c r="AP141" s="10" t="s">
        <v>104</v>
      </c>
      <c r="AQ141" s="10">
        <f ca="1">IFERROR(__xludf.DUMMYFUNCTION("""COMPUTED_VALUE"""),4739597)</f>
        <v>4739597</v>
      </c>
      <c r="AR141" s="17">
        <v>34187</v>
      </c>
      <c r="AS141" s="17">
        <v>25293</v>
      </c>
      <c r="AT141" s="17">
        <v>984755</v>
      </c>
      <c r="AU141" s="17">
        <v>78.099999999999994</v>
      </c>
      <c r="AV141" s="17">
        <v>12.45</v>
      </c>
      <c r="AW141" s="10" t="s">
        <v>105</v>
      </c>
      <c r="AX141" s="17">
        <v>18179</v>
      </c>
      <c r="AY141" s="18">
        <v>38.933894753489106</v>
      </c>
      <c r="AZ141" s="10" t="s">
        <v>136</v>
      </c>
      <c r="BA141" s="20" t="b">
        <v>0</v>
      </c>
      <c r="BB141" s="10"/>
      <c r="BC141" s="17">
        <v>34187</v>
      </c>
      <c r="BD141" s="17">
        <v>25293</v>
      </c>
      <c r="BE141" s="17">
        <v>984755</v>
      </c>
      <c r="BF141" s="17">
        <v>12.45</v>
      </c>
      <c r="BG141" s="11">
        <f ca="1">IFERROR(__xludf.DUMMYFUNCTION("""COMPUTED_VALUE"""),45991)</f>
        <v>45991</v>
      </c>
      <c r="BH141" s="17" t="s">
        <v>105</v>
      </c>
      <c r="BI141" s="17"/>
      <c r="BJ141" s="15"/>
      <c r="BK141" s="15"/>
      <c r="BL141" s="13" t="b">
        <v>1</v>
      </c>
      <c r="BM141" s="10"/>
      <c r="BN141" s="10" t="s">
        <v>351</v>
      </c>
      <c r="BO141" s="11">
        <v>45827.42083333333</v>
      </c>
      <c r="BP141" s="11">
        <v>45984.390775462962</v>
      </c>
      <c r="BQ141" s="15">
        <v>45985.705243055556</v>
      </c>
      <c r="BR141" s="15">
        <v>45987.652337962965</v>
      </c>
      <c r="BS141" s="10"/>
      <c r="BT141" s="10" t="s">
        <v>279</v>
      </c>
      <c r="BU141" s="10" t="s">
        <v>793</v>
      </c>
      <c r="BV141" s="10"/>
      <c r="BW141" s="10"/>
      <c r="BX141" s="10"/>
      <c r="BY141" s="23"/>
      <c r="BZ141" s="24" t="s">
        <v>299</v>
      </c>
      <c r="CA141" s="19" t="s">
        <v>1609</v>
      </c>
      <c r="CB141" s="19" t="s">
        <v>1610</v>
      </c>
      <c r="CC141" s="23"/>
      <c r="CD141" s="19" t="s">
        <v>1611</v>
      </c>
      <c r="CE141" s="23"/>
      <c r="CF141" s="23"/>
      <c r="CG141" s="23"/>
      <c r="CH141" s="23"/>
      <c r="CI141" s="23"/>
    </row>
    <row r="142" spans="1:87" x14ac:dyDescent="0.3">
      <c r="A142" s="9" t="s">
        <v>1612</v>
      </c>
      <c r="B142" s="10" t="s">
        <v>1613</v>
      </c>
      <c r="C142" s="11">
        <v>45990.916666666664</v>
      </c>
      <c r="D142" s="12">
        <v>8.3333333333333329E-2</v>
      </c>
      <c r="E142" s="11">
        <v>45991</v>
      </c>
      <c r="F142" s="10" t="s">
        <v>262</v>
      </c>
      <c r="G142" s="13" t="b">
        <v>1</v>
      </c>
      <c r="H142" s="10" t="s">
        <v>263</v>
      </c>
      <c r="I142" s="10" t="s">
        <v>264</v>
      </c>
      <c r="J142" s="13" t="b">
        <v>0</v>
      </c>
      <c r="K142" s="13" t="b">
        <v>1</v>
      </c>
      <c r="L142" s="10" t="s">
        <v>124</v>
      </c>
      <c r="M142" s="10" t="s">
        <v>91</v>
      </c>
      <c r="N142" s="10" t="s">
        <v>265</v>
      </c>
      <c r="O142" s="19" t="s">
        <v>1614</v>
      </c>
      <c r="P142" s="10" t="s">
        <v>267</v>
      </c>
      <c r="Q142" s="10" t="s">
        <v>126</v>
      </c>
      <c r="R142" s="10"/>
      <c r="S142" s="19" t="s">
        <v>1615</v>
      </c>
      <c r="T142" s="19" t="s">
        <v>1616</v>
      </c>
      <c r="U142" s="10" t="s">
        <v>334</v>
      </c>
      <c r="V142" s="10" t="s">
        <v>663</v>
      </c>
      <c r="W142" s="10" t="s">
        <v>272</v>
      </c>
      <c r="X142" s="10" t="s">
        <v>130</v>
      </c>
      <c r="Y142" s="10" t="s">
        <v>130</v>
      </c>
      <c r="Z142" s="10" t="s">
        <v>99</v>
      </c>
      <c r="AA142" s="10" t="s">
        <v>131</v>
      </c>
      <c r="AB142" s="10" t="s">
        <v>273</v>
      </c>
      <c r="AC142" s="10" t="s">
        <v>274</v>
      </c>
      <c r="AD142" s="10" t="s">
        <v>1617</v>
      </c>
      <c r="AE142" s="10" t="s">
        <v>1618</v>
      </c>
      <c r="AF142" s="15"/>
      <c r="AG142" s="10"/>
      <c r="AH142" s="10"/>
      <c r="AI142" s="10"/>
      <c r="AJ142" s="10" t="s">
        <v>1619</v>
      </c>
      <c r="AK142" s="10" t="s">
        <v>102</v>
      </c>
      <c r="AL142" s="10" t="s">
        <v>1569</v>
      </c>
      <c r="AM142" s="10"/>
      <c r="AN142" s="10"/>
      <c r="AO142" s="13" t="b">
        <v>1</v>
      </c>
      <c r="AP142" s="10" t="s">
        <v>104</v>
      </c>
      <c r="AQ142" s="10">
        <f ca="1">IFERROR(__xludf.DUMMYFUNCTION("""COMPUTED_VALUE"""),4739598)</f>
        <v>4739598</v>
      </c>
      <c r="AR142" s="17">
        <v>163064</v>
      </c>
      <c r="AS142" s="17">
        <v>103444</v>
      </c>
      <c r="AT142" s="17">
        <v>2927748.5</v>
      </c>
      <c r="AU142" s="17">
        <v>2065.85</v>
      </c>
      <c r="AV142" s="17">
        <v>200</v>
      </c>
      <c r="AW142" s="10" t="s">
        <v>105</v>
      </c>
      <c r="AX142" s="17">
        <v>34728</v>
      </c>
      <c r="AY142" s="18">
        <v>28.302738679865435</v>
      </c>
      <c r="AZ142" s="10" t="s">
        <v>136</v>
      </c>
      <c r="BA142" s="20" t="b">
        <v>0</v>
      </c>
      <c r="BB142" s="10"/>
      <c r="BC142" s="17">
        <v>163064</v>
      </c>
      <c r="BD142" s="17">
        <v>103444</v>
      </c>
      <c r="BE142" s="17">
        <v>2927748.5</v>
      </c>
      <c r="BF142" s="17">
        <v>200</v>
      </c>
      <c r="BG142" s="11">
        <f ca="1">IFERROR(__xludf.DUMMYFUNCTION("""COMPUTED_VALUE"""),45990.8958333333)</f>
        <v>45990.895833333299</v>
      </c>
      <c r="BH142" s="17" t="s">
        <v>105</v>
      </c>
      <c r="BI142" s="17"/>
      <c r="BJ142" s="15"/>
      <c r="BK142" s="15"/>
      <c r="BL142" s="13" t="b">
        <v>1</v>
      </c>
      <c r="BM142" s="10"/>
      <c r="BN142" s="10" t="s">
        <v>351</v>
      </c>
      <c r="BO142" s="11">
        <v>45827.42083333333</v>
      </c>
      <c r="BP142" s="11">
        <v>45983.582638888889</v>
      </c>
      <c r="BQ142" s="15">
        <v>45985.703726851854</v>
      </c>
      <c r="BR142" s="15">
        <v>45987.652511574073</v>
      </c>
      <c r="BS142" s="10"/>
      <c r="BT142" s="10" t="s">
        <v>279</v>
      </c>
      <c r="BU142" s="10"/>
      <c r="BV142" s="10" t="s">
        <v>281</v>
      </c>
      <c r="BW142" s="10"/>
      <c r="BX142" s="10"/>
      <c r="BY142" s="23"/>
      <c r="BZ142" s="24" t="s">
        <v>284</v>
      </c>
      <c r="CA142" s="19" t="s">
        <v>1620</v>
      </c>
      <c r="CB142" s="19" t="s">
        <v>1616</v>
      </c>
      <c r="CC142" s="23"/>
      <c r="CD142" s="19" t="s">
        <v>1621</v>
      </c>
      <c r="CE142" s="23"/>
      <c r="CF142" s="23"/>
      <c r="CG142" s="23"/>
      <c r="CH142" s="23"/>
      <c r="CI142" s="23"/>
    </row>
    <row r="143" spans="1:87" x14ac:dyDescent="0.3">
      <c r="A143" s="9" t="s">
        <v>1622</v>
      </c>
      <c r="B143" s="10" t="s">
        <v>1623</v>
      </c>
      <c r="C143" s="11">
        <v>45991.878472222219</v>
      </c>
      <c r="D143" s="12">
        <v>8.3333333333333329E-2</v>
      </c>
      <c r="E143" s="11">
        <v>45991.961805555555</v>
      </c>
      <c r="F143" s="10" t="s">
        <v>262</v>
      </c>
      <c r="G143" s="13" t="b">
        <v>0</v>
      </c>
      <c r="H143" s="10" t="s">
        <v>527</v>
      </c>
      <c r="I143" s="10" t="s">
        <v>264</v>
      </c>
      <c r="J143" s="13" t="b">
        <v>0</v>
      </c>
      <c r="K143" s="13" t="b">
        <v>1</v>
      </c>
      <c r="L143" s="10" t="s">
        <v>124</v>
      </c>
      <c r="M143" s="10" t="s">
        <v>91</v>
      </c>
      <c r="N143" s="10" t="s">
        <v>265</v>
      </c>
      <c r="O143" s="19" t="s">
        <v>1624</v>
      </c>
      <c r="P143" s="10"/>
      <c r="Q143" s="10" t="s">
        <v>126</v>
      </c>
      <c r="R143" s="10"/>
      <c r="S143" s="19" t="s">
        <v>1625</v>
      </c>
      <c r="T143" s="19" t="s">
        <v>1626</v>
      </c>
      <c r="U143" s="10" t="s">
        <v>320</v>
      </c>
      <c r="V143" s="10" t="s">
        <v>308</v>
      </c>
      <c r="W143" s="10" t="s">
        <v>272</v>
      </c>
      <c r="X143" s="10" t="s">
        <v>130</v>
      </c>
      <c r="Y143" s="10" t="s">
        <v>130</v>
      </c>
      <c r="Z143" s="10" t="s">
        <v>99</v>
      </c>
      <c r="AA143" s="10" t="s">
        <v>131</v>
      </c>
      <c r="AB143" s="10" t="s">
        <v>273</v>
      </c>
      <c r="AC143" s="10" t="s">
        <v>274</v>
      </c>
      <c r="AD143" s="10" t="s">
        <v>1627</v>
      </c>
      <c r="AE143" s="10" t="s">
        <v>1628</v>
      </c>
      <c r="AF143" s="15"/>
      <c r="AG143" s="10"/>
      <c r="AH143" s="10"/>
      <c r="AI143" s="10"/>
      <c r="AJ143" s="10" t="s">
        <v>1629</v>
      </c>
      <c r="AK143" s="10" t="s">
        <v>102</v>
      </c>
      <c r="AL143" s="10" t="s">
        <v>1569</v>
      </c>
      <c r="AM143" s="10"/>
      <c r="AN143" s="10"/>
      <c r="AO143" s="13" t="b">
        <v>0</v>
      </c>
      <c r="AP143" s="10" t="s">
        <v>104</v>
      </c>
      <c r="AQ143" s="10">
        <f ca="1">IFERROR(__xludf.DUMMYFUNCTION("""COMPUTED_VALUE"""),4736087)</f>
        <v>4736087</v>
      </c>
      <c r="AR143" s="17">
        <v>26440</v>
      </c>
      <c r="AS143" s="17">
        <v>16464</v>
      </c>
      <c r="AT143" s="17">
        <v>154419.75</v>
      </c>
      <c r="AU143" s="17">
        <v>57.55</v>
      </c>
      <c r="AV143" s="17">
        <v>7.55</v>
      </c>
      <c r="AW143" s="10" t="s">
        <v>105</v>
      </c>
      <c r="AX143" s="17">
        <v>3697</v>
      </c>
      <c r="AY143" s="18">
        <v>9.379236516034986</v>
      </c>
      <c r="AZ143" s="10" t="s">
        <v>136</v>
      </c>
      <c r="BA143" s="20" t="b">
        <v>0</v>
      </c>
      <c r="BB143" s="10"/>
      <c r="BC143" s="17">
        <v>26440</v>
      </c>
      <c r="BD143" s="17">
        <v>16464</v>
      </c>
      <c r="BE143" s="17">
        <v>154419.75</v>
      </c>
      <c r="BF143" s="17">
        <v>7.55</v>
      </c>
      <c r="BG143" s="11">
        <f ca="1">IFERROR(__xludf.DUMMYFUNCTION("""COMPUTED_VALUE"""),45991.8784722222)</f>
        <v>45991.878472222197</v>
      </c>
      <c r="BH143" s="17" t="s">
        <v>105</v>
      </c>
      <c r="BI143" s="17"/>
      <c r="BJ143" s="15"/>
      <c r="BK143" s="15"/>
      <c r="BL143" s="13" t="b">
        <v>1</v>
      </c>
      <c r="BM143" s="10"/>
      <c r="BN143" s="10" t="s">
        <v>1149</v>
      </c>
      <c r="BO143" s="11">
        <v>45827.42083333333</v>
      </c>
      <c r="BP143" s="11">
        <v>45983.58457175926</v>
      </c>
      <c r="BQ143" s="15">
        <v>45985.707719907405</v>
      </c>
      <c r="BR143" s="15">
        <v>45987.554675925923</v>
      </c>
      <c r="BS143" s="10" t="s">
        <v>1149</v>
      </c>
      <c r="BT143" s="10" t="s">
        <v>279</v>
      </c>
      <c r="BU143" s="10" t="s">
        <v>1630</v>
      </c>
      <c r="BV143" s="10"/>
      <c r="BW143" s="10"/>
      <c r="BX143" s="10"/>
      <c r="BY143" s="23"/>
      <c r="BZ143" s="24" t="s">
        <v>299</v>
      </c>
      <c r="CA143" s="19" t="s">
        <v>1631</v>
      </c>
      <c r="CB143" s="19" t="s">
        <v>1626</v>
      </c>
      <c r="CC143" s="23"/>
      <c r="CD143" s="19" t="s">
        <v>1632</v>
      </c>
      <c r="CE143" s="23"/>
      <c r="CF143" s="23"/>
      <c r="CG143" s="23"/>
      <c r="CH143" s="23"/>
      <c r="CI143" s="23"/>
    </row>
    <row r="144" spans="1:87" x14ac:dyDescent="0.3">
      <c r="A144" s="9" t="s">
        <v>1633</v>
      </c>
      <c r="B144" s="10" t="s">
        <v>1634</v>
      </c>
      <c r="C144" s="11">
        <v>45990.916666666664</v>
      </c>
      <c r="D144" s="12">
        <v>8.3333333333333329E-2</v>
      </c>
      <c r="E144" s="11">
        <v>45991</v>
      </c>
      <c r="F144" s="10" t="s">
        <v>262</v>
      </c>
      <c r="G144" s="13" t="b">
        <v>0</v>
      </c>
      <c r="H144" s="10" t="s">
        <v>305</v>
      </c>
      <c r="I144" s="10" t="s">
        <v>264</v>
      </c>
      <c r="J144" s="13" t="b">
        <v>0</v>
      </c>
      <c r="K144" s="13" t="b">
        <v>1</v>
      </c>
      <c r="L144" s="10" t="s">
        <v>124</v>
      </c>
      <c r="M144" s="10" t="s">
        <v>91</v>
      </c>
      <c r="N144" s="10" t="s">
        <v>265</v>
      </c>
      <c r="O144" s="19" t="s">
        <v>1635</v>
      </c>
      <c r="P144" s="10"/>
      <c r="Q144" s="10" t="s">
        <v>126</v>
      </c>
      <c r="R144" s="10"/>
      <c r="S144" s="19" t="s">
        <v>1636</v>
      </c>
      <c r="T144" s="19" t="s">
        <v>1637</v>
      </c>
      <c r="U144" s="10" t="s">
        <v>588</v>
      </c>
      <c r="V144" s="10" t="s">
        <v>271</v>
      </c>
      <c r="W144" s="10" t="s">
        <v>272</v>
      </c>
      <c r="X144" s="10" t="s">
        <v>130</v>
      </c>
      <c r="Y144" s="10" t="s">
        <v>130</v>
      </c>
      <c r="Z144" s="10" t="s">
        <v>99</v>
      </c>
      <c r="AA144" s="10" t="s">
        <v>131</v>
      </c>
      <c r="AB144" s="10" t="s">
        <v>273</v>
      </c>
      <c r="AC144" s="10" t="s">
        <v>274</v>
      </c>
      <c r="AD144" s="10" t="s">
        <v>1638</v>
      </c>
      <c r="AE144" s="10" t="s">
        <v>1639</v>
      </c>
      <c r="AF144" s="15"/>
      <c r="AG144" s="10"/>
      <c r="AH144" s="10"/>
      <c r="AI144" s="10"/>
      <c r="AJ144" s="10" t="s">
        <v>1640</v>
      </c>
      <c r="AK144" s="10" t="s">
        <v>102</v>
      </c>
      <c r="AL144" s="10" t="s">
        <v>1569</v>
      </c>
      <c r="AM144" s="10"/>
      <c r="AN144" s="10"/>
      <c r="AO144" s="13" t="b">
        <v>0</v>
      </c>
      <c r="AP144" s="10" t="s">
        <v>104</v>
      </c>
      <c r="AQ144" s="10">
        <f ca="1">IFERROR(__xludf.DUMMYFUNCTION("""COMPUTED_VALUE"""),4736102)</f>
        <v>4736102</v>
      </c>
      <c r="AR144" s="17">
        <v>31959</v>
      </c>
      <c r="AS144" s="17">
        <v>19332</v>
      </c>
      <c r="AT144" s="17">
        <v>354402.25</v>
      </c>
      <c r="AU144" s="17">
        <v>177.95</v>
      </c>
      <c r="AV144" s="17">
        <v>12.1</v>
      </c>
      <c r="AW144" s="10" t="s">
        <v>105</v>
      </c>
      <c r="AX144" s="17">
        <v>5328</v>
      </c>
      <c r="AY144" s="18">
        <v>18.332415166563212</v>
      </c>
      <c r="AZ144" s="10" t="s">
        <v>136</v>
      </c>
      <c r="BA144" s="20" t="b">
        <v>0</v>
      </c>
      <c r="BB144" s="10"/>
      <c r="BC144" s="17">
        <v>31959</v>
      </c>
      <c r="BD144" s="17">
        <v>19332</v>
      </c>
      <c r="BE144" s="17">
        <v>354402.25</v>
      </c>
      <c r="BF144" s="17">
        <v>12.1</v>
      </c>
      <c r="BG144" s="11">
        <f ca="1">IFERROR(__xludf.DUMMYFUNCTION("""COMPUTED_VALUE"""),45990.9166666666)</f>
        <v>45990.916666666599</v>
      </c>
      <c r="BH144" s="17" t="s">
        <v>105</v>
      </c>
      <c r="BI144" s="17"/>
      <c r="BJ144" s="15"/>
      <c r="BK144" s="15"/>
      <c r="BL144" s="13" t="b">
        <v>1</v>
      </c>
      <c r="BM144" s="10"/>
      <c r="BN144" s="10" t="s">
        <v>351</v>
      </c>
      <c r="BO144" s="11">
        <v>45827.42083333333</v>
      </c>
      <c r="BP144" s="11">
        <v>45983.582997685182</v>
      </c>
      <c r="BQ144" s="15">
        <v>45985.704629629632</v>
      </c>
      <c r="BR144" s="15">
        <v>45987.593414351853</v>
      </c>
      <c r="BS144" s="10"/>
      <c r="BT144" s="10" t="s">
        <v>279</v>
      </c>
      <c r="BU144" s="10"/>
      <c r="BV144" s="10"/>
      <c r="BW144" s="10"/>
      <c r="BX144" s="10"/>
      <c r="BY144" s="23"/>
      <c r="BZ144" s="24" t="s">
        <v>299</v>
      </c>
      <c r="CA144" s="19" t="s">
        <v>1641</v>
      </c>
      <c r="CB144" s="19" t="s">
        <v>1637</v>
      </c>
      <c r="CC144" s="23"/>
      <c r="CD144" s="19" t="s">
        <v>1642</v>
      </c>
      <c r="CE144" s="23"/>
      <c r="CF144" s="23"/>
      <c r="CG144" s="23"/>
      <c r="CH144" s="23"/>
      <c r="CI144" s="23"/>
    </row>
    <row r="145" spans="1:87" x14ac:dyDescent="0.3">
      <c r="A145" s="9" t="s">
        <v>1643</v>
      </c>
      <c r="B145" s="10" t="s">
        <v>1644</v>
      </c>
      <c r="C145" s="11">
        <v>45991.125</v>
      </c>
      <c r="D145" s="12">
        <v>8.3333333333333329E-2</v>
      </c>
      <c r="E145" s="11">
        <v>45991.208333333336</v>
      </c>
      <c r="F145" s="10" t="s">
        <v>262</v>
      </c>
      <c r="G145" s="13" t="b">
        <v>0</v>
      </c>
      <c r="H145" s="10" t="s">
        <v>263</v>
      </c>
      <c r="I145" s="10" t="s">
        <v>264</v>
      </c>
      <c r="J145" s="13" t="b">
        <v>0</v>
      </c>
      <c r="K145" s="13" t="b">
        <v>1</v>
      </c>
      <c r="L145" s="10" t="s">
        <v>124</v>
      </c>
      <c r="M145" s="10" t="s">
        <v>91</v>
      </c>
      <c r="N145" s="10" t="s">
        <v>265</v>
      </c>
      <c r="O145" s="19" t="s">
        <v>1645</v>
      </c>
      <c r="P145" s="10" t="s">
        <v>267</v>
      </c>
      <c r="Q145" s="10" t="s">
        <v>126</v>
      </c>
      <c r="R145" s="10"/>
      <c r="S145" s="19" t="s">
        <v>1646</v>
      </c>
      <c r="T145" s="19" t="s">
        <v>1647</v>
      </c>
      <c r="U145" s="10" t="s">
        <v>429</v>
      </c>
      <c r="V145" s="10" t="s">
        <v>309</v>
      </c>
      <c r="W145" s="10" t="s">
        <v>272</v>
      </c>
      <c r="X145" s="10" t="s">
        <v>130</v>
      </c>
      <c r="Y145" s="10" t="s">
        <v>130</v>
      </c>
      <c r="Z145" s="10" t="s">
        <v>99</v>
      </c>
      <c r="AA145" s="10" t="s">
        <v>131</v>
      </c>
      <c r="AB145" s="10" t="s">
        <v>273</v>
      </c>
      <c r="AC145" s="10" t="s">
        <v>274</v>
      </c>
      <c r="AD145" s="10" t="s">
        <v>1648</v>
      </c>
      <c r="AE145" s="10" t="s">
        <v>1649</v>
      </c>
      <c r="AF145" s="15"/>
      <c r="AG145" s="10"/>
      <c r="AH145" s="10"/>
      <c r="AI145" s="10"/>
      <c r="AJ145" s="10" t="s">
        <v>1650</v>
      </c>
      <c r="AK145" s="10" t="s">
        <v>102</v>
      </c>
      <c r="AL145" s="10" t="s">
        <v>1569</v>
      </c>
      <c r="AM145" s="10"/>
      <c r="AN145" s="10"/>
      <c r="AO145" s="13" t="b">
        <v>1</v>
      </c>
      <c r="AP145" s="10" t="s">
        <v>104</v>
      </c>
      <c r="AQ145" s="10">
        <f ca="1">IFERROR(__xludf.DUMMYFUNCTION("""COMPUTED_VALUE"""),4739596)</f>
        <v>4739596</v>
      </c>
      <c r="AR145" s="17">
        <v>17922</v>
      </c>
      <c r="AS145" s="17">
        <v>13148</v>
      </c>
      <c r="AT145" s="17">
        <v>388339.5</v>
      </c>
      <c r="AU145" s="17">
        <v>52</v>
      </c>
      <c r="AV145" s="17">
        <v>4.4000000000000004</v>
      </c>
      <c r="AW145" s="10" t="s">
        <v>105</v>
      </c>
      <c r="AX145" s="17">
        <v>7274</v>
      </c>
      <c r="AY145" s="18">
        <v>29.536013081837542</v>
      </c>
      <c r="AZ145" s="10" t="s">
        <v>136</v>
      </c>
      <c r="BA145" s="20" t="b">
        <v>0</v>
      </c>
      <c r="BB145" s="10"/>
      <c r="BC145" s="17">
        <v>17922</v>
      </c>
      <c r="BD145" s="17">
        <v>13148</v>
      </c>
      <c r="BE145" s="17">
        <v>388339.5</v>
      </c>
      <c r="BF145" s="17">
        <v>4.4000000000000004</v>
      </c>
      <c r="BG145" s="11">
        <f ca="1">IFERROR(__xludf.DUMMYFUNCTION("""COMPUTED_VALUE"""),45991.125)</f>
        <v>45991.125</v>
      </c>
      <c r="BH145" s="17" t="s">
        <v>105</v>
      </c>
      <c r="BI145" s="17"/>
      <c r="BJ145" s="15"/>
      <c r="BK145" s="15"/>
      <c r="BL145" s="13" t="b">
        <v>1</v>
      </c>
      <c r="BM145" s="10"/>
      <c r="BN145" s="10" t="s">
        <v>351</v>
      </c>
      <c r="BO145" s="11">
        <v>45827.42083333333</v>
      </c>
      <c r="BP145" s="11">
        <v>45983.583506944444</v>
      </c>
      <c r="BQ145" s="15">
        <v>45985.705694444441</v>
      </c>
      <c r="BR145" s="15">
        <v>45987.651828703703</v>
      </c>
      <c r="BS145" s="10"/>
      <c r="BT145" s="10" t="s">
        <v>279</v>
      </c>
      <c r="BU145" s="10" t="s">
        <v>793</v>
      </c>
      <c r="BV145" s="10"/>
      <c r="BW145" s="10"/>
      <c r="BX145" s="10"/>
      <c r="BY145" s="23"/>
      <c r="BZ145" s="24" t="s">
        <v>284</v>
      </c>
      <c r="CA145" s="19" t="s">
        <v>1651</v>
      </c>
      <c r="CB145" s="19" t="s">
        <v>1647</v>
      </c>
      <c r="CC145" s="23"/>
      <c r="CD145" s="19" t="s">
        <v>1652</v>
      </c>
      <c r="CE145" s="23"/>
      <c r="CF145" s="23"/>
      <c r="CG145" s="23"/>
      <c r="CH145" s="23"/>
      <c r="CI145" s="23"/>
    </row>
    <row r="146" spans="1:87" x14ac:dyDescent="0.3">
      <c r="A146" s="9" t="s">
        <v>1653</v>
      </c>
      <c r="B146" s="10" t="s">
        <v>1654</v>
      </c>
      <c r="C146" s="11">
        <v>45991.878472222219</v>
      </c>
      <c r="D146" s="12">
        <v>8.3333333333333329E-2</v>
      </c>
      <c r="E146" s="11">
        <v>45991.961805555555</v>
      </c>
      <c r="F146" s="10" t="s">
        <v>262</v>
      </c>
      <c r="G146" s="13" t="b">
        <v>1</v>
      </c>
      <c r="H146" s="10" t="s">
        <v>263</v>
      </c>
      <c r="I146" s="10" t="s">
        <v>264</v>
      </c>
      <c r="J146" s="13" t="b">
        <v>0</v>
      </c>
      <c r="K146" s="13" t="b">
        <v>1</v>
      </c>
      <c r="L146" s="10" t="s">
        <v>124</v>
      </c>
      <c r="M146" s="10" t="s">
        <v>91</v>
      </c>
      <c r="N146" s="10" t="s">
        <v>265</v>
      </c>
      <c r="O146" s="19" t="s">
        <v>1655</v>
      </c>
      <c r="P146" s="10" t="s">
        <v>267</v>
      </c>
      <c r="Q146" s="10" t="s">
        <v>126</v>
      </c>
      <c r="R146" s="10"/>
      <c r="S146" s="19" t="s">
        <v>1656</v>
      </c>
      <c r="T146" s="19" t="s">
        <v>1657</v>
      </c>
      <c r="U146" s="10" t="s">
        <v>451</v>
      </c>
      <c r="V146" s="10" t="s">
        <v>270</v>
      </c>
      <c r="W146" s="10" t="s">
        <v>272</v>
      </c>
      <c r="X146" s="10" t="s">
        <v>130</v>
      </c>
      <c r="Y146" s="10" t="s">
        <v>130</v>
      </c>
      <c r="Z146" s="10" t="s">
        <v>99</v>
      </c>
      <c r="AA146" s="10" t="s">
        <v>131</v>
      </c>
      <c r="AB146" s="10" t="s">
        <v>273</v>
      </c>
      <c r="AC146" s="10" t="s">
        <v>274</v>
      </c>
      <c r="AD146" s="10" t="s">
        <v>1658</v>
      </c>
      <c r="AE146" s="10" t="s">
        <v>1659</v>
      </c>
      <c r="AF146" s="15"/>
      <c r="AG146" s="10"/>
      <c r="AH146" s="10"/>
      <c r="AI146" s="10"/>
      <c r="AJ146" s="10" t="s">
        <v>1660</v>
      </c>
      <c r="AK146" s="10" t="s">
        <v>102</v>
      </c>
      <c r="AL146" s="10" t="s">
        <v>1569</v>
      </c>
      <c r="AM146" s="10"/>
      <c r="AN146" s="10"/>
      <c r="AO146" s="13" t="b">
        <v>1</v>
      </c>
      <c r="AP146" s="10" t="s">
        <v>104</v>
      </c>
      <c r="AQ146" s="10">
        <f ca="1">IFERROR(__xludf.DUMMYFUNCTION("""COMPUTED_VALUE"""),4739606)</f>
        <v>4739606</v>
      </c>
      <c r="AR146" s="17">
        <v>221719</v>
      </c>
      <c r="AS146" s="17">
        <v>124818</v>
      </c>
      <c r="AT146" s="17">
        <v>5273781.5</v>
      </c>
      <c r="AU146" s="17">
        <v>2805.65</v>
      </c>
      <c r="AV146" s="17">
        <v>390.3</v>
      </c>
      <c r="AW146" s="10" t="s">
        <v>105</v>
      </c>
      <c r="AX146" s="17">
        <v>102591</v>
      </c>
      <c r="AY146" s="18">
        <v>42.251770577961508</v>
      </c>
      <c r="AZ146" s="10" t="s">
        <v>136</v>
      </c>
      <c r="BA146" s="20" t="b">
        <v>0</v>
      </c>
      <c r="BB146" s="10"/>
      <c r="BC146" s="17">
        <v>221719</v>
      </c>
      <c r="BD146" s="17">
        <v>124818</v>
      </c>
      <c r="BE146" s="17">
        <v>5273781.5</v>
      </c>
      <c r="BF146" s="17">
        <v>390.3</v>
      </c>
      <c r="BG146" s="11">
        <f ca="1">IFERROR(__xludf.DUMMYFUNCTION("""COMPUTED_VALUE"""),45991.8576388888)</f>
        <v>45991.857638888803</v>
      </c>
      <c r="BH146" s="17" t="s">
        <v>105</v>
      </c>
      <c r="BI146" s="17"/>
      <c r="BJ146" s="15"/>
      <c r="BK146" s="15"/>
      <c r="BL146" s="13" t="b">
        <v>1</v>
      </c>
      <c r="BM146" s="10"/>
      <c r="BN146" s="10" t="s">
        <v>351</v>
      </c>
      <c r="BO146" s="11">
        <v>45827.42083333333</v>
      </c>
      <c r="BP146" s="11">
        <v>45983.584745370368</v>
      </c>
      <c r="BQ146" s="15">
        <v>45985.708090277774</v>
      </c>
      <c r="BR146" s="15">
        <v>45987.704259259262</v>
      </c>
      <c r="BS146" s="10"/>
      <c r="BT146" s="10" t="s">
        <v>279</v>
      </c>
      <c r="BU146" s="10" t="s">
        <v>534</v>
      </c>
      <c r="BV146" s="10" t="s">
        <v>281</v>
      </c>
      <c r="BW146" s="10"/>
      <c r="BX146" s="10"/>
      <c r="BY146" s="23"/>
      <c r="BZ146" s="24" t="s">
        <v>284</v>
      </c>
      <c r="CA146" s="19" t="s">
        <v>1661</v>
      </c>
      <c r="CB146" s="19" t="s">
        <v>1657</v>
      </c>
      <c r="CC146" s="23"/>
      <c r="CD146" s="19" t="s">
        <v>1662</v>
      </c>
      <c r="CE146" s="23"/>
      <c r="CF146" s="23"/>
      <c r="CG146" s="23"/>
      <c r="CH146" s="23"/>
      <c r="CI146" s="23"/>
    </row>
    <row r="147" spans="1:87" x14ac:dyDescent="0.3">
      <c r="A147" s="9" t="s">
        <v>1663</v>
      </c>
      <c r="B147" s="10" t="s">
        <v>1664</v>
      </c>
      <c r="C147" s="11">
        <v>45994.104166666664</v>
      </c>
      <c r="D147" s="12">
        <v>8.3333333333333329E-2</v>
      </c>
      <c r="E147" s="11">
        <v>45994.1875</v>
      </c>
      <c r="F147" s="10" t="s">
        <v>262</v>
      </c>
      <c r="G147" s="13" t="b">
        <v>0</v>
      </c>
      <c r="H147" s="10" t="s">
        <v>527</v>
      </c>
      <c r="I147" s="10" t="s">
        <v>264</v>
      </c>
      <c r="J147" s="13" t="b">
        <v>0</v>
      </c>
      <c r="K147" s="13" t="b">
        <v>1</v>
      </c>
      <c r="L147" s="10" t="s">
        <v>124</v>
      </c>
      <c r="M147" s="10" t="s">
        <v>91</v>
      </c>
      <c r="N147" s="10" t="s">
        <v>265</v>
      </c>
      <c r="O147" s="19" t="s">
        <v>1665</v>
      </c>
      <c r="P147" s="10"/>
      <c r="Q147" s="10" t="s">
        <v>126</v>
      </c>
      <c r="R147" s="10"/>
      <c r="S147" s="19" t="s">
        <v>1666</v>
      </c>
      <c r="T147" s="19" t="s">
        <v>1667</v>
      </c>
      <c r="U147" s="10" t="s">
        <v>271</v>
      </c>
      <c r="V147" s="10" t="s">
        <v>407</v>
      </c>
      <c r="W147" s="10" t="s">
        <v>272</v>
      </c>
      <c r="X147" s="10" t="s">
        <v>130</v>
      </c>
      <c r="Y147" s="10" t="s">
        <v>130</v>
      </c>
      <c r="Z147" s="10" t="s">
        <v>99</v>
      </c>
      <c r="AA147" s="10" t="s">
        <v>131</v>
      </c>
      <c r="AB147" s="10" t="s">
        <v>273</v>
      </c>
      <c r="AC147" s="10" t="s">
        <v>274</v>
      </c>
      <c r="AD147" s="10" t="s">
        <v>1668</v>
      </c>
      <c r="AE147" s="10" t="s">
        <v>1669</v>
      </c>
      <c r="AF147" s="15"/>
      <c r="AG147" s="10"/>
      <c r="AH147" s="10"/>
      <c r="AI147" s="10"/>
      <c r="AJ147" s="10" t="s">
        <v>1670</v>
      </c>
      <c r="AK147" s="10" t="s">
        <v>102</v>
      </c>
      <c r="AL147" s="10" t="s">
        <v>1671</v>
      </c>
      <c r="AM147" s="10"/>
      <c r="AN147" s="10"/>
      <c r="AO147" s="13" t="b">
        <v>0</v>
      </c>
      <c r="AP147" s="10" t="s">
        <v>104</v>
      </c>
      <c r="AQ147" s="10">
        <f ca="1">IFERROR(__xludf.DUMMYFUNCTION("""COMPUTED_VALUE"""),4743725)</f>
        <v>4743725</v>
      </c>
      <c r="AR147" s="17">
        <v>10451</v>
      </c>
      <c r="AS147" s="17">
        <v>6367</v>
      </c>
      <c r="AT147" s="17">
        <v>53308.5</v>
      </c>
      <c r="AU147" s="17">
        <v>14.55</v>
      </c>
      <c r="AV147" s="17">
        <v>2.35</v>
      </c>
      <c r="AW147" s="10" t="s">
        <v>105</v>
      </c>
      <c r="AX147" s="17">
        <v>1271</v>
      </c>
      <c r="AY147" s="18">
        <v>8.372624469923041</v>
      </c>
      <c r="AZ147" s="10" t="s">
        <v>148</v>
      </c>
      <c r="BA147" s="20" t="b">
        <v>0</v>
      </c>
      <c r="BB147" s="10"/>
      <c r="BC147" s="17">
        <v>10451</v>
      </c>
      <c r="BD147" s="17">
        <v>6367</v>
      </c>
      <c r="BE147" s="17">
        <v>53308.5</v>
      </c>
      <c r="BF147" s="17">
        <v>2.35</v>
      </c>
      <c r="BG147" s="11">
        <f ca="1">IFERROR(__xludf.DUMMYFUNCTION("""COMPUTED_VALUE"""),45994.1041666666)</f>
        <v>45994.104166666599</v>
      </c>
      <c r="BH147" s="17" t="s">
        <v>105</v>
      </c>
      <c r="BI147" s="17"/>
      <c r="BJ147" s="15"/>
      <c r="BK147" s="15"/>
      <c r="BL147" s="13" t="b">
        <v>1</v>
      </c>
      <c r="BM147" s="10"/>
      <c r="BN147" s="10" t="s">
        <v>197</v>
      </c>
      <c r="BO147" s="11">
        <v>45827.42083333333</v>
      </c>
      <c r="BP147" s="11">
        <v>45989.392256944448</v>
      </c>
      <c r="BQ147" s="15">
        <v>45989.72148148148</v>
      </c>
      <c r="BR147" s="15">
        <v>45991.436226851853</v>
      </c>
      <c r="BS147" s="10" t="s">
        <v>197</v>
      </c>
      <c r="BT147" s="10" t="s">
        <v>279</v>
      </c>
      <c r="BU147" s="10" t="s">
        <v>298</v>
      </c>
      <c r="BV147" s="10"/>
      <c r="BW147" s="10"/>
      <c r="BX147" s="10"/>
      <c r="BY147" s="23"/>
      <c r="BZ147" s="24" t="s">
        <v>299</v>
      </c>
      <c r="CA147" s="19" t="s">
        <v>1672</v>
      </c>
      <c r="CB147" s="19" t="s">
        <v>1673</v>
      </c>
      <c r="CC147" s="23"/>
      <c r="CD147" s="19" t="s">
        <v>1674</v>
      </c>
      <c r="CE147" s="23"/>
      <c r="CF147" s="23"/>
      <c r="CG147" s="23"/>
      <c r="CH147" s="23"/>
      <c r="CI147" s="23"/>
    </row>
    <row r="148" spans="1:87" x14ac:dyDescent="0.3">
      <c r="A148" s="9" t="s">
        <v>1675</v>
      </c>
      <c r="B148" s="10" t="s">
        <v>1676</v>
      </c>
      <c r="C148" s="11">
        <v>45995.104166666664</v>
      </c>
      <c r="D148" s="12">
        <v>8.3333333333333329E-2</v>
      </c>
      <c r="E148" s="11">
        <v>45995.1875</v>
      </c>
      <c r="F148" s="10" t="s">
        <v>262</v>
      </c>
      <c r="G148" s="13" t="b">
        <v>0</v>
      </c>
      <c r="H148" s="10" t="s">
        <v>263</v>
      </c>
      <c r="I148" s="10" t="s">
        <v>264</v>
      </c>
      <c r="J148" s="13" t="b">
        <v>0</v>
      </c>
      <c r="K148" s="13" t="b">
        <v>1</v>
      </c>
      <c r="L148" s="10" t="s">
        <v>124</v>
      </c>
      <c r="M148" s="10" t="s">
        <v>91</v>
      </c>
      <c r="N148" s="10" t="s">
        <v>265</v>
      </c>
      <c r="O148" s="19" t="s">
        <v>1677</v>
      </c>
      <c r="P148" s="10" t="s">
        <v>331</v>
      </c>
      <c r="Q148" s="10" t="s">
        <v>126</v>
      </c>
      <c r="R148" s="10"/>
      <c r="S148" s="19" t="s">
        <v>1678</v>
      </c>
      <c r="T148" s="19" t="s">
        <v>1667</v>
      </c>
      <c r="U148" s="10" t="s">
        <v>362</v>
      </c>
      <c r="V148" s="10" t="s">
        <v>321</v>
      </c>
      <c r="W148" s="10" t="s">
        <v>272</v>
      </c>
      <c r="X148" s="10" t="s">
        <v>130</v>
      </c>
      <c r="Y148" s="10" t="s">
        <v>130</v>
      </c>
      <c r="Z148" s="10" t="s">
        <v>99</v>
      </c>
      <c r="AA148" s="10" t="s">
        <v>131</v>
      </c>
      <c r="AB148" s="10" t="s">
        <v>273</v>
      </c>
      <c r="AC148" s="10" t="s">
        <v>274</v>
      </c>
      <c r="AD148" s="10" t="s">
        <v>1679</v>
      </c>
      <c r="AE148" s="10" t="s">
        <v>1680</v>
      </c>
      <c r="AF148" s="15"/>
      <c r="AG148" s="10"/>
      <c r="AH148" s="10"/>
      <c r="AI148" s="10"/>
      <c r="AJ148" s="10" t="s">
        <v>1681</v>
      </c>
      <c r="AK148" s="10" t="s">
        <v>102</v>
      </c>
      <c r="AL148" s="10" t="s">
        <v>1671</v>
      </c>
      <c r="AM148" s="10"/>
      <c r="AN148" s="10"/>
      <c r="AO148" s="13" t="b">
        <v>1</v>
      </c>
      <c r="AP148" s="10" t="s">
        <v>104</v>
      </c>
      <c r="AQ148" s="10">
        <f ca="1">IFERROR(__xludf.DUMMYFUNCTION("""COMPUTED_VALUE"""),4747191)</f>
        <v>4747191</v>
      </c>
      <c r="AR148" s="17">
        <v>77472</v>
      </c>
      <c r="AS148" s="17">
        <v>47746</v>
      </c>
      <c r="AT148" s="17">
        <v>1591043.5</v>
      </c>
      <c r="AU148" s="17">
        <v>338.15</v>
      </c>
      <c r="AV148" s="17">
        <v>49.2</v>
      </c>
      <c r="AW148" s="10" t="s">
        <v>105</v>
      </c>
      <c r="AX148" s="17">
        <v>18410</v>
      </c>
      <c r="AY148" s="18">
        <v>33.323074184224858</v>
      </c>
      <c r="AZ148" s="10" t="s">
        <v>148</v>
      </c>
      <c r="BA148" s="20" t="b">
        <v>0</v>
      </c>
      <c r="BB148" s="10"/>
      <c r="BC148" s="17">
        <v>77472</v>
      </c>
      <c r="BD148" s="17">
        <v>47746</v>
      </c>
      <c r="BE148" s="17">
        <v>1591043.5</v>
      </c>
      <c r="BF148" s="17">
        <v>49.2</v>
      </c>
      <c r="BG148" s="11">
        <f ca="1">IFERROR(__xludf.DUMMYFUNCTION("""COMPUTED_VALUE"""),45995.1041666666)</f>
        <v>45995.104166666599</v>
      </c>
      <c r="BH148" s="17" t="s">
        <v>105</v>
      </c>
      <c r="BI148" s="17"/>
      <c r="BJ148" s="15"/>
      <c r="BK148" s="15"/>
      <c r="BL148" s="13" t="b">
        <v>0</v>
      </c>
      <c r="BM148" s="10"/>
      <c r="BN148" s="10" t="s">
        <v>667</v>
      </c>
      <c r="BO148" s="11">
        <v>45827.42083333333</v>
      </c>
      <c r="BP148" s="11">
        <v>45989.39130787037</v>
      </c>
      <c r="BQ148" s="15">
        <v>45989.721921296295</v>
      </c>
      <c r="BR148" s="15">
        <v>45991.861851851849</v>
      </c>
      <c r="BS148" s="10" t="s">
        <v>667</v>
      </c>
      <c r="BT148" s="10" t="s">
        <v>99</v>
      </c>
      <c r="BU148" s="10" t="s">
        <v>298</v>
      </c>
      <c r="BV148" s="10" t="s">
        <v>124</v>
      </c>
      <c r="BW148" s="10"/>
      <c r="BX148" s="10"/>
      <c r="BY148" s="23"/>
      <c r="BZ148" s="24" t="s">
        <v>284</v>
      </c>
      <c r="CA148" s="19" t="s">
        <v>1682</v>
      </c>
      <c r="CB148" s="19" t="s">
        <v>1683</v>
      </c>
      <c r="CC148" s="23"/>
      <c r="CD148" s="19" t="s">
        <v>1684</v>
      </c>
      <c r="CE148" s="23"/>
      <c r="CF148" s="23"/>
      <c r="CG148" s="23"/>
      <c r="CH148" s="23"/>
      <c r="CI148" s="23"/>
    </row>
    <row r="149" spans="1:87" x14ac:dyDescent="0.3">
      <c r="A149" s="9" t="s">
        <v>1685</v>
      </c>
      <c r="B149" s="10" t="s">
        <v>1686</v>
      </c>
      <c r="C149" s="11">
        <v>45995.104166666664</v>
      </c>
      <c r="D149" s="12">
        <v>8.3333333333333329E-2</v>
      </c>
      <c r="E149" s="11">
        <v>45995.1875</v>
      </c>
      <c r="F149" s="10" t="s">
        <v>262</v>
      </c>
      <c r="G149" s="13" t="b">
        <v>0</v>
      </c>
      <c r="H149" s="10" t="s">
        <v>527</v>
      </c>
      <c r="I149" s="10" t="s">
        <v>264</v>
      </c>
      <c r="J149" s="13" t="b">
        <v>0</v>
      </c>
      <c r="K149" s="13" t="b">
        <v>1</v>
      </c>
      <c r="L149" s="10" t="s">
        <v>124</v>
      </c>
      <c r="M149" s="10" t="s">
        <v>91</v>
      </c>
      <c r="N149" s="10" t="s">
        <v>265</v>
      </c>
      <c r="O149" s="19" t="s">
        <v>1687</v>
      </c>
      <c r="P149" s="10"/>
      <c r="Q149" s="10" t="s">
        <v>126</v>
      </c>
      <c r="R149" s="10"/>
      <c r="S149" s="19" t="s">
        <v>1688</v>
      </c>
      <c r="T149" s="19" t="s">
        <v>1667</v>
      </c>
      <c r="U149" s="10" t="s">
        <v>308</v>
      </c>
      <c r="V149" s="10" t="s">
        <v>292</v>
      </c>
      <c r="W149" s="10" t="s">
        <v>272</v>
      </c>
      <c r="X149" s="10" t="s">
        <v>130</v>
      </c>
      <c r="Y149" s="10" t="s">
        <v>130</v>
      </c>
      <c r="Z149" s="10" t="s">
        <v>99</v>
      </c>
      <c r="AA149" s="10" t="s">
        <v>131</v>
      </c>
      <c r="AB149" s="10" t="s">
        <v>273</v>
      </c>
      <c r="AC149" s="10" t="s">
        <v>274</v>
      </c>
      <c r="AD149" s="10" t="s">
        <v>1689</v>
      </c>
      <c r="AE149" s="10" t="s">
        <v>1690</v>
      </c>
      <c r="AF149" s="15"/>
      <c r="AG149" s="10"/>
      <c r="AH149" s="10"/>
      <c r="AI149" s="10"/>
      <c r="AJ149" s="10" t="s">
        <v>1691</v>
      </c>
      <c r="AK149" s="10" t="s">
        <v>102</v>
      </c>
      <c r="AL149" s="10" t="s">
        <v>1671</v>
      </c>
      <c r="AM149" s="10"/>
      <c r="AN149" s="10"/>
      <c r="AO149" s="13" t="b">
        <v>0</v>
      </c>
      <c r="AP149" s="10" t="s">
        <v>104</v>
      </c>
      <c r="AQ149" s="10">
        <f ca="1">IFERROR(__xludf.DUMMYFUNCTION("""COMPUTED_VALUE"""),4743729)</f>
        <v>4743729</v>
      </c>
      <c r="AR149" s="17">
        <v>13035</v>
      </c>
      <c r="AS149" s="17">
        <v>7810</v>
      </c>
      <c r="AT149" s="17">
        <v>69568</v>
      </c>
      <c r="AU149" s="17">
        <v>14.6</v>
      </c>
      <c r="AV149" s="17">
        <v>3.8</v>
      </c>
      <c r="AW149" s="10" t="s">
        <v>105</v>
      </c>
      <c r="AX149" s="17">
        <v>2364</v>
      </c>
      <c r="AY149" s="18">
        <v>8.9075544174135715</v>
      </c>
      <c r="AZ149" s="10" t="s">
        <v>148</v>
      </c>
      <c r="BA149" s="20" t="b">
        <v>0</v>
      </c>
      <c r="BB149" s="10"/>
      <c r="BC149" s="17">
        <v>13035</v>
      </c>
      <c r="BD149" s="17">
        <v>7810</v>
      </c>
      <c r="BE149" s="17">
        <v>69568</v>
      </c>
      <c r="BF149" s="17">
        <v>3.8</v>
      </c>
      <c r="BG149" s="11">
        <f ca="1">IFERROR(__xludf.DUMMYFUNCTION("""COMPUTED_VALUE"""),45995.1041666666)</f>
        <v>45995.104166666599</v>
      </c>
      <c r="BH149" s="17" t="s">
        <v>105</v>
      </c>
      <c r="BI149" s="17"/>
      <c r="BJ149" s="15"/>
      <c r="BK149" s="15"/>
      <c r="BL149" s="13" t="b">
        <v>1</v>
      </c>
      <c r="BM149" s="10"/>
      <c r="BN149" s="10" t="s">
        <v>667</v>
      </c>
      <c r="BO149" s="11">
        <v>45827.42083333333</v>
      </c>
      <c r="BP149" s="11">
        <v>45989.392442129632</v>
      </c>
      <c r="BQ149" s="15">
        <v>45989.722037037034</v>
      </c>
      <c r="BR149" s="15">
        <v>45991.43645833333</v>
      </c>
      <c r="BS149" s="10" t="s">
        <v>667</v>
      </c>
      <c r="BT149" s="10" t="s">
        <v>279</v>
      </c>
      <c r="BU149" s="10" t="s">
        <v>816</v>
      </c>
      <c r="BV149" s="10"/>
      <c r="BW149" s="10"/>
      <c r="BX149" s="10"/>
      <c r="BY149" s="23"/>
      <c r="BZ149" s="24" t="s">
        <v>299</v>
      </c>
      <c r="CA149" s="19" t="s">
        <v>1692</v>
      </c>
      <c r="CB149" s="19" t="s">
        <v>1693</v>
      </c>
      <c r="CC149" s="23"/>
      <c r="CD149" s="19" t="s">
        <v>1694</v>
      </c>
      <c r="CE149" s="23"/>
      <c r="CF149" s="23"/>
      <c r="CG149" s="23"/>
      <c r="CH149" s="23"/>
      <c r="CI149" s="23"/>
    </row>
    <row r="150" spans="1:87" x14ac:dyDescent="0.3">
      <c r="A150" s="9" t="s">
        <v>1695</v>
      </c>
      <c r="B150" s="10" t="s">
        <v>1696</v>
      </c>
      <c r="C150" s="11">
        <v>45995.104166666664</v>
      </c>
      <c r="D150" s="12">
        <v>8.3333333333333329E-2</v>
      </c>
      <c r="E150" s="11">
        <v>45995.1875</v>
      </c>
      <c r="F150" s="10" t="s">
        <v>262</v>
      </c>
      <c r="G150" s="13" t="b">
        <v>0</v>
      </c>
      <c r="H150" s="10" t="s">
        <v>527</v>
      </c>
      <c r="I150" s="10" t="s">
        <v>264</v>
      </c>
      <c r="J150" s="13" t="b">
        <v>0</v>
      </c>
      <c r="K150" s="13" t="b">
        <v>1</v>
      </c>
      <c r="L150" s="10" t="s">
        <v>124</v>
      </c>
      <c r="M150" s="10" t="s">
        <v>91</v>
      </c>
      <c r="N150" s="10" t="s">
        <v>265</v>
      </c>
      <c r="O150" s="19" t="s">
        <v>1697</v>
      </c>
      <c r="P150" s="10"/>
      <c r="Q150" s="10" t="s">
        <v>126</v>
      </c>
      <c r="R150" s="10"/>
      <c r="S150" s="19" t="s">
        <v>1698</v>
      </c>
      <c r="T150" s="19" t="s">
        <v>1667</v>
      </c>
      <c r="U150" s="10" t="s">
        <v>609</v>
      </c>
      <c r="V150" s="10" t="s">
        <v>347</v>
      </c>
      <c r="W150" s="10" t="s">
        <v>272</v>
      </c>
      <c r="X150" s="10" t="s">
        <v>130</v>
      </c>
      <c r="Y150" s="10" t="s">
        <v>130</v>
      </c>
      <c r="Z150" s="10" t="s">
        <v>99</v>
      </c>
      <c r="AA150" s="10" t="s">
        <v>131</v>
      </c>
      <c r="AB150" s="10" t="s">
        <v>273</v>
      </c>
      <c r="AC150" s="10" t="s">
        <v>274</v>
      </c>
      <c r="AD150" s="10" t="s">
        <v>1699</v>
      </c>
      <c r="AE150" s="10" t="s">
        <v>1700</v>
      </c>
      <c r="AF150" s="15"/>
      <c r="AG150" s="10"/>
      <c r="AH150" s="10"/>
      <c r="AI150" s="10"/>
      <c r="AJ150" s="10" t="s">
        <v>1701</v>
      </c>
      <c r="AK150" s="10" t="s">
        <v>102</v>
      </c>
      <c r="AL150" s="10" t="s">
        <v>1671</v>
      </c>
      <c r="AM150" s="10"/>
      <c r="AN150" s="10"/>
      <c r="AO150" s="13" t="b">
        <v>0</v>
      </c>
      <c r="AP150" s="10" t="s">
        <v>104</v>
      </c>
      <c r="AQ150" s="10">
        <f ca="1">IFERROR(__xludf.DUMMYFUNCTION("""COMPUTED_VALUE"""),4743731)</f>
        <v>4743731</v>
      </c>
      <c r="AR150" s="17">
        <v>7882</v>
      </c>
      <c r="AS150" s="17">
        <v>4796</v>
      </c>
      <c r="AT150" s="17">
        <v>21502.25</v>
      </c>
      <c r="AU150" s="17">
        <v>1.5</v>
      </c>
      <c r="AV150" s="17">
        <v>0.25</v>
      </c>
      <c r="AW150" s="10" t="s">
        <v>105</v>
      </c>
      <c r="AX150" s="17">
        <v>816</v>
      </c>
      <c r="AY150" s="18">
        <v>4.4833715596330279</v>
      </c>
      <c r="AZ150" s="10" t="s">
        <v>148</v>
      </c>
      <c r="BA150" s="20" t="b">
        <v>0</v>
      </c>
      <c r="BB150" s="10"/>
      <c r="BC150" s="17">
        <v>7882</v>
      </c>
      <c r="BD150" s="17">
        <v>4796</v>
      </c>
      <c r="BE150" s="17">
        <v>21502.25</v>
      </c>
      <c r="BF150" s="17">
        <v>0.25</v>
      </c>
      <c r="BG150" s="11">
        <f ca="1">IFERROR(__xludf.DUMMYFUNCTION("""COMPUTED_VALUE"""),45995.1041666666)</f>
        <v>45995.104166666599</v>
      </c>
      <c r="BH150" s="17" t="s">
        <v>105</v>
      </c>
      <c r="BI150" s="17"/>
      <c r="BJ150" s="15"/>
      <c r="BK150" s="15"/>
      <c r="BL150" s="13" t="b">
        <v>1</v>
      </c>
      <c r="BM150" s="10"/>
      <c r="BN150" s="10" t="s">
        <v>667</v>
      </c>
      <c r="BO150" s="11">
        <v>45827.42083333333</v>
      </c>
      <c r="BP150" s="11">
        <v>45989.392581018517</v>
      </c>
      <c r="BQ150" s="15">
        <v>45989.72216435185</v>
      </c>
      <c r="BR150" s="15">
        <v>45991.44195601852</v>
      </c>
      <c r="BS150" s="10" t="s">
        <v>667</v>
      </c>
      <c r="BT150" s="10" t="s">
        <v>279</v>
      </c>
      <c r="BU150" s="10" t="s">
        <v>498</v>
      </c>
      <c r="BV150" s="10"/>
      <c r="BW150" s="10"/>
      <c r="BX150" s="10"/>
      <c r="BY150" s="23"/>
      <c r="BZ150" s="24" t="s">
        <v>299</v>
      </c>
      <c r="CA150" s="19" t="s">
        <v>1702</v>
      </c>
      <c r="CB150" s="19" t="s">
        <v>1703</v>
      </c>
      <c r="CC150" s="23"/>
      <c r="CD150" s="19" t="s">
        <v>1704</v>
      </c>
      <c r="CE150" s="23"/>
      <c r="CF150" s="23"/>
      <c r="CG150" s="23"/>
      <c r="CH150" s="23"/>
      <c r="CI150" s="23"/>
    </row>
    <row r="151" spans="1:87" x14ac:dyDescent="0.3">
      <c r="A151" s="9" t="s">
        <v>1705</v>
      </c>
      <c r="B151" s="10" t="s">
        <v>1706</v>
      </c>
      <c r="C151" s="11">
        <v>45994.104166666664</v>
      </c>
      <c r="D151" s="12">
        <v>8.3333333333333329E-2</v>
      </c>
      <c r="E151" s="11">
        <v>45994.1875</v>
      </c>
      <c r="F151" s="10" t="s">
        <v>262</v>
      </c>
      <c r="G151" s="13" t="b">
        <v>0</v>
      </c>
      <c r="H151" s="10" t="s">
        <v>263</v>
      </c>
      <c r="I151" s="10" t="s">
        <v>264</v>
      </c>
      <c r="J151" s="13" t="b">
        <v>0</v>
      </c>
      <c r="K151" s="13" t="b">
        <v>1</v>
      </c>
      <c r="L151" s="10" t="s">
        <v>124</v>
      </c>
      <c r="M151" s="10" t="s">
        <v>91</v>
      </c>
      <c r="N151" s="10" t="s">
        <v>265</v>
      </c>
      <c r="O151" s="19" t="s">
        <v>1707</v>
      </c>
      <c r="P151" s="10" t="s">
        <v>331</v>
      </c>
      <c r="Q151" s="10" t="s">
        <v>126</v>
      </c>
      <c r="R151" s="10"/>
      <c r="S151" s="19" t="s">
        <v>1708</v>
      </c>
      <c r="T151" s="19" t="s">
        <v>1667</v>
      </c>
      <c r="U151" s="10" t="s">
        <v>309</v>
      </c>
      <c r="V151" s="10" t="s">
        <v>334</v>
      </c>
      <c r="W151" s="10" t="s">
        <v>272</v>
      </c>
      <c r="X151" s="10" t="s">
        <v>130</v>
      </c>
      <c r="Y151" s="10" t="s">
        <v>130</v>
      </c>
      <c r="Z151" s="10" t="s">
        <v>99</v>
      </c>
      <c r="AA151" s="10" t="s">
        <v>131</v>
      </c>
      <c r="AB151" s="10" t="s">
        <v>273</v>
      </c>
      <c r="AC151" s="10" t="s">
        <v>274</v>
      </c>
      <c r="AD151" s="10" t="s">
        <v>1709</v>
      </c>
      <c r="AE151" s="10" t="s">
        <v>1710</v>
      </c>
      <c r="AF151" s="15"/>
      <c r="AG151" s="10"/>
      <c r="AH151" s="10"/>
      <c r="AI151" s="10"/>
      <c r="AJ151" s="10" t="s">
        <v>1711</v>
      </c>
      <c r="AK151" s="10" t="s">
        <v>102</v>
      </c>
      <c r="AL151" s="10" t="s">
        <v>1671</v>
      </c>
      <c r="AM151" s="10"/>
      <c r="AN151" s="10"/>
      <c r="AO151" s="13" t="b">
        <v>1</v>
      </c>
      <c r="AP151" s="10" t="s">
        <v>104</v>
      </c>
      <c r="AQ151" s="10">
        <f ca="1">IFERROR(__xludf.DUMMYFUNCTION("""COMPUTED_VALUE"""),4747190)</f>
        <v>4747190</v>
      </c>
      <c r="AR151" s="17">
        <v>49471</v>
      </c>
      <c r="AS151" s="17">
        <v>33421</v>
      </c>
      <c r="AT151" s="17">
        <v>755070</v>
      </c>
      <c r="AU151" s="17">
        <v>247</v>
      </c>
      <c r="AV151" s="17">
        <v>32.299999999999997</v>
      </c>
      <c r="AW151" s="10" t="s">
        <v>105</v>
      </c>
      <c r="AX151" s="17">
        <v>9673</v>
      </c>
      <c r="AY151" s="18">
        <v>22.592681248316925</v>
      </c>
      <c r="AZ151" s="10" t="s">
        <v>148</v>
      </c>
      <c r="BA151" s="20" t="b">
        <v>0</v>
      </c>
      <c r="BB151" s="10"/>
      <c r="BC151" s="17">
        <v>49471</v>
      </c>
      <c r="BD151" s="17">
        <v>33421</v>
      </c>
      <c r="BE151" s="17">
        <v>755070</v>
      </c>
      <c r="BF151" s="17">
        <v>32.299999999999997</v>
      </c>
      <c r="BG151" s="11">
        <f ca="1">IFERROR(__xludf.DUMMYFUNCTION("""COMPUTED_VALUE"""),45994.1041666666)</f>
        <v>45994.104166666599</v>
      </c>
      <c r="BH151" s="17" t="s">
        <v>105</v>
      </c>
      <c r="BI151" s="17"/>
      <c r="BJ151" s="15"/>
      <c r="BK151" s="15"/>
      <c r="BL151" s="13" t="b">
        <v>0</v>
      </c>
      <c r="BM151" s="10"/>
      <c r="BN151" s="10" t="s">
        <v>197</v>
      </c>
      <c r="BO151" s="11">
        <v>45827.42083333333</v>
      </c>
      <c r="BP151" s="11">
        <v>45989.390972222223</v>
      </c>
      <c r="BQ151" s="15">
        <v>45989.721585648149</v>
      </c>
      <c r="BR151" s="15">
        <v>45991.861712962964</v>
      </c>
      <c r="BS151" s="10" t="s">
        <v>197</v>
      </c>
      <c r="BT151" s="10" t="s">
        <v>99</v>
      </c>
      <c r="BU151" s="10" t="s">
        <v>280</v>
      </c>
      <c r="BV151" s="10"/>
      <c r="BW151" s="10"/>
      <c r="BX151" s="10"/>
      <c r="BY151" s="23"/>
      <c r="BZ151" s="24" t="s">
        <v>284</v>
      </c>
      <c r="CA151" s="19" t="s">
        <v>1712</v>
      </c>
      <c r="CB151" s="19" t="s">
        <v>1713</v>
      </c>
      <c r="CC151" s="23"/>
      <c r="CD151" s="19" t="s">
        <v>1714</v>
      </c>
      <c r="CE151" s="23"/>
      <c r="CF151" s="23"/>
      <c r="CG151" s="23"/>
      <c r="CH151" s="23"/>
      <c r="CI151" s="23"/>
    </row>
    <row r="152" spans="1:87" x14ac:dyDescent="0.3">
      <c r="A152" s="9" t="s">
        <v>1715</v>
      </c>
      <c r="B152" s="10" t="s">
        <v>1716</v>
      </c>
      <c r="C152" s="11">
        <v>45995.135416666664</v>
      </c>
      <c r="D152" s="12">
        <v>8.3333333333333329E-2</v>
      </c>
      <c r="E152" s="11">
        <v>45995.21875</v>
      </c>
      <c r="F152" s="10" t="s">
        <v>262</v>
      </c>
      <c r="G152" s="13" t="b">
        <v>0</v>
      </c>
      <c r="H152" s="10" t="s">
        <v>527</v>
      </c>
      <c r="I152" s="10" t="s">
        <v>264</v>
      </c>
      <c r="J152" s="13" t="b">
        <v>0</v>
      </c>
      <c r="K152" s="13" t="b">
        <v>1</v>
      </c>
      <c r="L152" s="10" t="s">
        <v>124</v>
      </c>
      <c r="M152" s="10" t="s">
        <v>91</v>
      </c>
      <c r="N152" s="10" t="s">
        <v>265</v>
      </c>
      <c r="O152" s="19" t="s">
        <v>1717</v>
      </c>
      <c r="P152" s="10"/>
      <c r="Q152" s="10" t="s">
        <v>126</v>
      </c>
      <c r="R152" s="10"/>
      <c r="S152" s="19" t="s">
        <v>1718</v>
      </c>
      <c r="T152" s="19" t="s">
        <v>1667</v>
      </c>
      <c r="U152" s="10" t="s">
        <v>663</v>
      </c>
      <c r="V152" s="10" t="s">
        <v>346</v>
      </c>
      <c r="W152" s="10" t="s">
        <v>272</v>
      </c>
      <c r="X152" s="10" t="s">
        <v>130</v>
      </c>
      <c r="Y152" s="10" t="s">
        <v>130</v>
      </c>
      <c r="Z152" s="10" t="s">
        <v>99</v>
      </c>
      <c r="AA152" s="10" t="s">
        <v>131</v>
      </c>
      <c r="AB152" s="10" t="s">
        <v>273</v>
      </c>
      <c r="AC152" s="10" t="s">
        <v>274</v>
      </c>
      <c r="AD152" s="10" t="s">
        <v>1719</v>
      </c>
      <c r="AE152" s="10" t="s">
        <v>1720</v>
      </c>
      <c r="AF152" s="15"/>
      <c r="AG152" s="10"/>
      <c r="AH152" s="10"/>
      <c r="AI152" s="10"/>
      <c r="AJ152" s="10" t="s">
        <v>1721</v>
      </c>
      <c r="AK152" s="10" t="s">
        <v>102</v>
      </c>
      <c r="AL152" s="10" t="s">
        <v>1671</v>
      </c>
      <c r="AM152" s="10"/>
      <c r="AN152" s="10"/>
      <c r="AO152" s="13" t="b">
        <v>1</v>
      </c>
      <c r="AP152" s="10" t="s">
        <v>104</v>
      </c>
      <c r="AQ152" s="10">
        <f ca="1">IFERROR(__xludf.DUMMYFUNCTION("""COMPUTED_VALUE"""),4743733)</f>
        <v>4743733</v>
      </c>
      <c r="AR152" s="17">
        <v>62636</v>
      </c>
      <c r="AS152" s="17">
        <v>33205</v>
      </c>
      <c r="AT152" s="17">
        <v>1000075.5</v>
      </c>
      <c r="AU152" s="17">
        <v>324.45</v>
      </c>
      <c r="AV152" s="17">
        <v>43.2</v>
      </c>
      <c r="AW152" s="10" t="s">
        <v>105</v>
      </c>
      <c r="AX152" s="17">
        <v>14967</v>
      </c>
      <c r="AY152" s="18">
        <v>30.118220147568138</v>
      </c>
      <c r="AZ152" s="10" t="s">
        <v>148</v>
      </c>
      <c r="BA152" s="20" t="b">
        <v>0</v>
      </c>
      <c r="BB152" s="10"/>
      <c r="BC152" s="17">
        <v>62636</v>
      </c>
      <c r="BD152" s="17">
        <v>33205</v>
      </c>
      <c r="BE152" s="17">
        <v>1000075.5</v>
      </c>
      <c r="BF152" s="17">
        <v>43.2</v>
      </c>
      <c r="BG152" s="11">
        <f ca="1">IFERROR(__xludf.DUMMYFUNCTION("""COMPUTED_VALUE"""),45995.1354166666)</f>
        <v>45995.135416666599</v>
      </c>
      <c r="BH152" s="17" t="s">
        <v>105</v>
      </c>
      <c r="BI152" s="17"/>
      <c r="BJ152" s="15"/>
      <c r="BK152" s="15"/>
      <c r="BL152" s="13" t="b">
        <v>1</v>
      </c>
      <c r="BM152" s="10"/>
      <c r="BN152" s="10" t="s">
        <v>667</v>
      </c>
      <c r="BO152" s="11">
        <v>45827.42083333333</v>
      </c>
      <c r="BP152" s="11">
        <v>45989.392905092594</v>
      </c>
      <c r="BQ152" s="15">
        <v>45989.722418981481</v>
      </c>
      <c r="BR152" s="15">
        <v>45991.448055555556</v>
      </c>
      <c r="BS152" s="10" t="s">
        <v>667</v>
      </c>
      <c r="BT152" s="10" t="s">
        <v>99</v>
      </c>
      <c r="BU152" s="10" t="s">
        <v>718</v>
      </c>
      <c r="BV152" s="10"/>
      <c r="BW152" s="10"/>
      <c r="BX152" s="10"/>
      <c r="BY152" s="23"/>
      <c r="BZ152" s="24" t="s">
        <v>284</v>
      </c>
      <c r="CA152" s="19" t="s">
        <v>1722</v>
      </c>
      <c r="CB152" s="19" t="s">
        <v>1723</v>
      </c>
      <c r="CC152" s="23"/>
      <c r="CD152" s="19" t="s">
        <v>1724</v>
      </c>
      <c r="CE152" s="23"/>
      <c r="CF152" s="23"/>
      <c r="CG152" s="23"/>
      <c r="CH152" s="23"/>
      <c r="CI152" s="23"/>
    </row>
    <row r="153" spans="1:87" x14ac:dyDescent="0.3">
      <c r="A153" s="9" t="s">
        <v>1725</v>
      </c>
      <c r="B153" s="10" t="s">
        <v>1726</v>
      </c>
      <c r="C153" s="11">
        <v>45995.135416666664</v>
      </c>
      <c r="D153" s="12">
        <v>8.3333333333333329E-2</v>
      </c>
      <c r="E153" s="11">
        <v>45995.21875</v>
      </c>
      <c r="F153" s="10" t="s">
        <v>262</v>
      </c>
      <c r="G153" s="13" t="b">
        <v>0</v>
      </c>
      <c r="H153" s="10" t="s">
        <v>305</v>
      </c>
      <c r="I153" s="10" t="s">
        <v>264</v>
      </c>
      <c r="J153" s="13" t="b">
        <v>0</v>
      </c>
      <c r="K153" s="13" t="b">
        <v>1</v>
      </c>
      <c r="L153" s="10" t="s">
        <v>124</v>
      </c>
      <c r="M153" s="10" t="s">
        <v>91</v>
      </c>
      <c r="N153" s="10" t="s">
        <v>265</v>
      </c>
      <c r="O153" s="19" t="s">
        <v>1727</v>
      </c>
      <c r="P153" s="10" t="s">
        <v>267</v>
      </c>
      <c r="Q153" s="10" t="s">
        <v>126</v>
      </c>
      <c r="R153" s="10"/>
      <c r="S153" s="19" t="s">
        <v>1728</v>
      </c>
      <c r="T153" s="19" t="s">
        <v>1667</v>
      </c>
      <c r="U153" s="10" t="s">
        <v>270</v>
      </c>
      <c r="V153" s="10" t="s">
        <v>588</v>
      </c>
      <c r="W153" s="10" t="s">
        <v>272</v>
      </c>
      <c r="X153" s="10" t="s">
        <v>130</v>
      </c>
      <c r="Y153" s="10" t="s">
        <v>130</v>
      </c>
      <c r="Z153" s="10" t="s">
        <v>99</v>
      </c>
      <c r="AA153" s="10" t="s">
        <v>131</v>
      </c>
      <c r="AB153" s="10" t="s">
        <v>273</v>
      </c>
      <c r="AC153" s="10" t="s">
        <v>274</v>
      </c>
      <c r="AD153" s="10" t="s">
        <v>1729</v>
      </c>
      <c r="AE153" s="10" t="s">
        <v>1730</v>
      </c>
      <c r="AF153" s="15"/>
      <c r="AG153" s="10"/>
      <c r="AH153" s="10"/>
      <c r="AI153" s="10"/>
      <c r="AJ153" s="10" t="s">
        <v>1731</v>
      </c>
      <c r="AK153" s="10" t="s">
        <v>102</v>
      </c>
      <c r="AL153" s="10" t="s">
        <v>1671</v>
      </c>
      <c r="AM153" s="10"/>
      <c r="AN153" s="10"/>
      <c r="AO153" s="13" t="b">
        <v>1</v>
      </c>
      <c r="AP153" s="10" t="s">
        <v>104</v>
      </c>
      <c r="AQ153" s="10">
        <f ca="1">IFERROR(__xludf.DUMMYFUNCTION("""COMPUTED_VALUE"""),4747179)</f>
        <v>4747179</v>
      </c>
      <c r="AR153" s="17">
        <v>91629</v>
      </c>
      <c r="AS153" s="17">
        <v>48881</v>
      </c>
      <c r="AT153" s="17">
        <v>1841012.75</v>
      </c>
      <c r="AU153" s="17">
        <v>352.6</v>
      </c>
      <c r="AV153" s="17">
        <v>44.3</v>
      </c>
      <c r="AW153" s="10" t="s">
        <v>105</v>
      </c>
      <c r="AX153" s="17">
        <v>26051</v>
      </c>
      <c r="AY153" s="18">
        <v>37.663156441153006</v>
      </c>
      <c r="AZ153" s="10" t="s">
        <v>148</v>
      </c>
      <c r="BA153" s="20" t="b">
        <v>0</v>
      </c>
      <c r="BB153" s="10"/>
      <c r="BC153" s="17">
        <v>91629</v>
      </c>
      <c r="BD153" s="17">
        <v>48881</v>
      </c>
      <c r="BE153" s="17">
        <v>1841012.75</v>
      </c>
      <c r="BF153" s="17">
        <v>44.3</v>
      </c>
      <c r="BG153" s="11">
        <f ca="1">IFERROR(__xludf.DUMMYFUNCTION("""COMPUTED_VALUE"""),45995.1354166666)</f>
        <v>45995.135416666599</v>
      </c>
      <c r="BH153" s="17" t="s">
        <v>105</v>
      </c>
      <c r="BI153" s="17"/>
      <c r="BJ153" s="15"/>
      <c r="BK153" s="15"/>
      <c r="BL153" s="13" t="b">
        <v>1</v>
      </c>
      <c r="BM153" s="10"/>
      <c r="BN153" s="10" t="s">
        <v>351</v>
      </c>
      <c r="BO153" s="11">
        <v>45827.42083333333</v>
      </c>
      <c r="BP153" s="11">
        <v>45989.489201388889</v>
      </c>
      <c r="BQ153" s="15">
        <v>45989.722696759258</v>
      </c>
      <c r="BR153" s="15">
        <v>45991.853449074071</v>
      </c>
      <c r="BS153" s="10"/>
      <c r="BT153" s="10" t="s">
        <v>99</v>
      </c>
      <c r="BU153" s="10" t="s">
        <v>280</v>
      </c>
      <c r="BV153" s="10" t="s">
        <v>124</v>
      </c>
      <c r="BW153" s="10"/>
      <c r="BX153" s="10"/>
      <c r="BY153" s="23"/>
      <c r="BZ153" s="24" t="s">
        <v>284</v>
      </c>
      <c r="CA153" s="19" t="s">
        <v>1732</v>
      </c>
      <c r="CB153" s="19" t="s">
        <v>1733</v>
      </c>
      <c r="CC153" s="23"/>
      <c r="CD153" s="19" t="s">
        <v>1734</v>
      </c>
      <c r="CE153" s="23"/>
      <c r="CF153" s="23"/>
      <c r="CG153" s="23"/>
      <c r="CH153" s="23"/>
      <c r="CI153" s="23"/>
    </row>
    <row r="154" spans="1:87" x14ac:dyDescent="0.3">
      <c r="A154" s="9" t="s">
        <v>1735</v>
      </c>
      <c r="B154" s="10" t="s">
        <v>1736</v>
      </c>
      <c r="C154" s="11">
        <v>45996.125</v>
      </c>
      <c r="D154" s="12">
        <v>8.3333333333333329E-2</v>
      </c>
      <c r="E154" s="11">
        <v>45996.208333333336</v>
      </c>
      <c r="F154" s="10" t="s">
        <v>262</v>
      </c>
      <c r="G154" s="13" t="b">
        <v>0</v>
      </c>
      <c r="H154" s="10" t="s">
        <v>263</v>
      </c>
      <c r="I154" s="10" t="s">
        <v>264</v>
      </c>
      <c r="J154" s="13" t="b">
        <v>0</v>
      </c>
      <c r="K154" s="13" t="b">
        <v>1</v>
      </c>
      <c r="L154" s="10" t="s">
        <v>124</v>
      </c>
      <c r="M154" s="10" t="s">
        <v>91</v>
      </c>
      <c r="N154" s="10" t="s">
        <v>265</v>
      </c>
      <c r="O154" s="19" t="s">
        <v>1737</v>
      </c>
      <c r="P154" s="10" t="s">
        <v>267</v>
      </c>
      <c r="Q154" s="10" t="s">
        <v>126</v>
      </c>
      <c r="R154" s="10"/>
      <c r="S154" s="19" t="s">
        <v>1738</v>
      </c>
      <c r="T154" s="19" t="s">
        <v>1667</v>
      </c>
      <c r="U154" s="10" t="s">
        <v>361</v>
      </c>
      <c r="V154" s="10" t="s">
        <v>451</v>
      </c>
      <c r="W154" s="10" t="s">
        <v>272</v>
      </c>
      <c r="X154" s="10" t="s">
        <v>130</v>
      </c>
      <c r="Y154" s="10" t="s">
        <v>130</v>
      </c>
      <c r="Z154" s="10" t="s">
        <v>99</v>
      </c>
      <c r="AA154" s="10" t="s">
        <v>131</v>
      </c>
      <c r="AB154" s="10" t="s">
        <v>273</v>
      </c>
      <c r="AC154" s="10" t="s">
        <v>274</v>
      </c>
      <c r="AD154" s="10" t="s">
        <v>1739</v>
      </c>
      <c r="AE154" s="10" t="s">
        <v>1740</v>
      </c>
      <c r="AF154" s="15"/>
      <c r="AG154" s="10"/>
      <c r="AH154" s="10"/>
      <c r="AI154" s="10"/>
      <c r="AJ154" s="10" t="s">
        <v>1741</v>
      </c>
      <c r="AK154" s="10" t="s">
        <v>102</v>
      </c>
      <c r="AL154" s="10" t="s">
        <v>1671</v>
      </c>
      <c r="AM154" s="10"/>
      <c r="AN154" s="10"/>
      <c r="AO154" s="13" t="b">
        <v>1</v>
      </c>
      <c r="AP154" s="10" t="s">
        <v>104</v>
      </c>
      <c r="AQ154" s="10">
        <f ca="1">IFERROR(__xludf.DUMMYFUNCTION("""COMPUTED_VALUE"""),4747193)</f>
        <v>4747193</v>
      </c>
      <c r="AR154" s="17">
        <v>100819</v>
      </c>
      <c r="AS154" s="17">
        <v>64308</v>
      </c>
      <c r="AT154" s="17">
        <v>3631411.5</v>
      </c>
      <c r="AU154" s="17">
        <v>1358.45</v>
      </c>
      <c r="AV154" s="17">
        <v>166.25</v>
      </c>
      <c r="AW154" s="10" t="s">
        <v>105</v>
      </c>
      <c r="AX154" s="17">
        <v>40296</v>
      </c>
      <c r="AY154" s="18">
        <v>56.469047396902404</v>
      </c>
      <c r="AZ154" s="10" t="s">
        <v>148</v>
      </c>
      <c r="BA154" s="20" t="b">
        <v>0</v>
      </c>
      <c r="BB154" s="10"/>
      <c r="BC154" s="17">
        <v>100819</v>
      </c>
      <c r="BD154" s="17">
        <v>64308</v>
      </c>
      <c r="BE154" s="17">
        <v>3631411.5</v>
      </c>
      <c r="BF154" s="17">
        <v>166.25</v>
      </c>
      <c r="BG154" s="11">
        <f ca="1">IFERROR(__xludf.DUMMYFUNCTION("""COMPUTED_VALUE"""),45996.125)</f>
        <v>45996.125</v>
      </c>
      <c r="BH154" s="17" t="s">
        <v>105</v>
      </c>
      <c r="BI154" s="17"/>
      <c r="BJ154" s="15"/>
      <c r="BK154" s="15"/>
      <c r="BL154" s="13" t="b">
        <v>1</v>
      </c>
      <c r="BM154" s="10"/>
      <c r="BN154" s="10" t="s">
        <v>351</v>
      </c>
      <c r="BO154" s="11">
        <v>45827.42083333333</v>
      </c>
      <c r="BP154" s="11">
        <v>45989.391724537039</v>
      </c>
      <c r="BQ154" s="15">
        <v>45989.72283564815</v>
      </c>
      <c r="BR154" s="15">
        <v>45991.86681712963</v>
      </c>
      <c r="BS154" s="10"/>
      <c r="BT154" s="10" t="s">
        <v>99</v>
      </c>
      <c r="BU154" s="10" t="s">
        <v>498</v>
      </c>
      <c r="BV154" s="10" t="s">
        <v>124</v>
      </c>
      <c r="BW154" s="10"/>
      <c r="BX154" s="10"/>
      <c r="BY154" s="23"/>
      <c r="BZ154" s="24" t="s">
        <v>284</v>
      </c>
      <c r="CA154" s="19" t="s">
        <v>1742</v>
      </c>
      <c r="CB154" s="19" t="s">
        <v>1743</v>
      </c>
      <c r="CC154" s="23"/>
      <c r="CD154" s="19" t="s">
        <v>1744</v>
      </c>
      <c r="CE154" s="23"/>
      <c r="CF154" s="23"/>
      <c r="CG154" s="23"/>
      <c r="CH154" s="23"/>
      <c r="CI154" s="23"/>
    </row>
    <row r="155" spans="1:87" x14ac:dyDescent="0.3">
      <c r="A155" s="9" t="s">
        <v>1745</v>
      </c>
      <c r="B155" s="10" t="s">
        <v>1746</v>
      </c>
      <c r="C155" s="11">
        <v>45994.135416666664</v>
      </c>
      <c r="D155" s="12">
        <v>8.3333333333333329E-2</v>
      </c>
      <c r="E155" s="11">
        <v>45994.21875</v>
      </c>
      <c r="F155" s="10" t="s">
        <v>262</v>
      </c>
      <c r="G155" s="13" t="b">
        <v>0</v>
      </c>
      <c r="H155" s="10" t="s">
        <v>305</v>
      </c>
      <c r="I155" s="10" t="s">
        <v>264</v>
      </c>
      <c r="J155" s="13" t="b">
        <v>0</v>
      </c>
      <c r="K155" s="13" t="b">
        <v>1</v>
      </c>
      <c r="L155" s="10" t="s">
        <v>124</v>
      </c>
      <c r="M155" s="10" t="s">
        <v>91</v>
      </c>
      <c r="N155" s="10" t="s">
        <v>265</v>
      </c>
      <c r="O155" s="19" t="s">
        <v>1747</v>
      </c>
      <c r="P155" s="10" t="s">
        <v>267</v>
      </c>
      <c r="Q155" s="10" t="s">
        <v>126</v>
      </c>
      <c r="R155" s="10"/>
      <c r="S155" s="19" t="s">
        <v>1748</v>
      </c>
      <c r="T155" s="19" t="s">
        <v>1667</v>
      </c>
      <c r="U155" s="10" t="s">
        <v>293</v>
      </c>
      <c r="V155" s="10" t="s">
        <v>429</v>
      </c>
      <c r="W155" s="10" t="s">
        <v>272</v>
      </c>
      <c r="X155" s="10" t="s">
        <v>130</v>
      </c>
      <c r="Y155" s="10" t="s">
        <v>130</v>
      </c>
      <c r="Z155" s="10" t="s">
        <v>99</v>
      </c>
      <c r="AA155" s="10" t="s">
        <v>131</v>
      </c>
      <c r="AB155" s="10" t="s">
        <v>273</v>
      </c>
      <c r="AC155" s="10" t="s">
        <v>274</v>
      </c>
      <c r="AD155" s="10" t="s">
        <v>1749</v>
      </c>
      <c r="AE155" s="10" t="s">
        <v>1750</v>
      </c>
      <c r="AF155" s="15"/>
      <c r="AG155" s="10"/>
      <c r="AH155" s="10"/>
      <c r="AI155" s="10"/>
      <c r="AJ155" s="10" t="s">
        <v>1751</v>
      </c>
      <c r="AK155" s="10" t="s">
        <v>102</v>
      </c>
      <c r="AL155" s="10" t="s">
        <v>1671</v>
      </c>
      <c r="AM155" s="10"/>
      <c r="AN155" s="10"/>
      <c r="AO155" s="13" t="b">
        <v>1</v>
      </c>
      <c r="AP155" s="10" t="s">
        <v>104</v>
      </c>
      <c r="AQ155" s="10">
        <f ca="1">IFERROR(__xludf.DUMMYFUNCTION("""COMPUTED_VALUE"""),4747178)</f>
        <v>4747178</v>
      </c>
      <c r="AR155" s="17">
        <v>31189</v>
      </c>
      <c r="AS155" s="17">
        <v>19862</v>
      </c>
      <c r="AT155" s="17">
        <v>442455.25</v>
      </c>
      <c r="AU155" s="17">
        <v>69.599999999999994</v>
      </c>
      <c r="AV155" s="17">
        <v>3.85</v>
      </c>
      <c r="AW155" s="10" t="s">
        <v>105</v>
      </c>
      <c r="AX155" s="17">
        <v>8205</v>
      </c>
      <c r="AY155" s="18">
        <v>22.276470143993556</v>
      </c>
      <c r="AZ155" s="10" t="s">
        <v>148</v>
      </c>
      <c r="BA155" s="20" t="b">
        <v>0</v>
      </c>
      <c r="BB155" s="10"/>
      <c r="BC155" s="17">
        <v>31189</v>
      </c>
      <c r="BD155" s="17">
        <v>19862</v>
      </c>
      <c r="BE155" s="17">
        <v>442455.25</v>
      </c>
      <c r="BF155" s="17">
        <v>3.85</v>
      </c>
      <c r="BG155" s="11">
        <f ca="1">IFERROR(__xludf.DUMMYFUNCTION("""COMPUTED_VALUE"""),45994.1354166666)</f>
        <v>45994.135416666599</v>
      </c>
      <c r="BH155" s="17" t="s">
        <v>105</v>
      </c>
      <c r="BI155" s="17"/>
      <c r="BJ155" s="15"/>
      <c r="BK155" s="15"/>
      <c r="BL155" s="13" t="b">
        <v>1</v>
      </c>
      <c r="BM155" s="10"/>
      <c r="BN155" s="10" t="s">
        <v>351</v>
      </c>
      <c r="BO155" s="11">
        <v>45827.42083333333</v>
      </c>
      <c r="BP155" s="11">
        <v>45989.391134259262</v>
      </c>
      <c r="BQ155" s="15">
        <v>45989.72179398148</v>
      </c>
      <c r="BR155" s="15">
        <v>45991.853252314817</v>
      </c>
      <c r="BS155" s="10"/>
      <c r="BT155" s="10" t="s">
        <v>99</v>
      </c>
      <c r="BU155" s="10" t="s">
        <v>421</v>
      </c>
      <c r="BV155" s="10" t="s">
        <v>124</v>
      </c>
      <c r="BW155" s="10"/>
      <c r="BX155" s="10"/>
      <c r="BY155" s="23"/>
      <c r="BZ155" s="24" t="s">
        <v>284</v>
      </c>
      <c r="CA155" s="19" t="s">
        <v>1752</v>
      </c>
      <c r="CB155" s="19" t="s">
        <v>1753</v>
      </c>
      <c r="CC155" s="23"/>
      <c r="CD155" s="19" t="s">
        <v>1754</v>
      </c>
      <c r="CE155" s="23"/>
      <c r="CF155" s="23"/>
      <c r="CG155" s="23"/>
      <c r="CH155" s="23"/>
      <c r="CI155" s="23"/>
    </row>
    <row r="156" spans="1:87" x14ac:dyDescent="0.3">
      <c r="A156" s="9" t="s">
        <v>1755</v>
      </c>
      <c r="B156" s="10" t="s">
        <v>1756</v>
      </c>
      <c r="C156" s="11">
        <v>45995.104166666664</v>
      </c>
      <c r="D156" s="12">
        <v>8.3333333333333329E-2</v>
      </c>
      <c r="E156" s="11">
        <v>45995.1875</v>
      </c>
      <c r="F156" s="10" t="s">
        <v>262</v>
      </c>
      <c r="G156" s="13" t="b">
        <v>0</v>
      </c>
      <c r="H156" s="10" t="s">
        <v>527</v>
      </c>
      <c r="I156" s="10" t="s">
        <v>264</v>
      </c>
      <c r="J156" s="13" t="b">
        <v>0</v>
      </c>
      <c r="K156" s="13" t="b">
        <v>1</v>
      </c>
      <c r="L156" s="10" t="s">
        <v>124</v>
      </c>
      <c r="M156" s="10" t="s">
        <v>91</v>
      </c>
      <c r="N156" s="10" t="s">
        <v>265</v>
      </c>
      <c r="O156" s="19" t="s">
        <v>1757</v>
      </c>
      <c r="P156" s="10"/>
      <c r="Q156" s="10" t="s">
        <v>126</v>
      </c>
      <c r="R156" s="10"/>
      <c r="S156" s="19" t="s">
        <v>1758</v>
      </c>
      <c r="T156" s="19" t="s">
        <v>1667</v>
      </c>
      <c r="U156" s="10" t="s">
        <v>333</v>
      </c>
      <c r="V156" s="10" t="s">
        <v>320</v>
      </c>
      <c r="W156" s="10" t="s">
        <v>272</v>
      </c>
      <c r="X156" s="10" t="s">
        <v>130</v>
      </c>
      <c r="Y156" s="10" t="s">
        <v>130</v>
      </c>
      <c r="Z156" s="10" t="s">
        <v>99</v>
      </c>
      <c r="AA156" s="10" t="s">
        <v>131</v>
      </c>
      <c r="AB156" s="10" t="s">
        <v>273</v>
      </c>
      <c r="AC156" s="10" t="s">
        <v>274</v>
      </c>
      <c r="AD156" s="10" t="s">
        <v>1759</v>
      </c>
      <c r="AE156" s="10" t="s">
        <v>1760</v>
      </c>
      <c r="AF156" s="15"/>
      <c r="AG156" s="10"/>
      <c r="AH156" s="10"/>
      <c r="AI156" s="10"/>
      <c r="AJ156" s="10" t="s">
        <v>1761</v>
      </c>
      <c r="AK156" s="10" t="s">
        <v>102</v>
      </c>
      <c r="AL156" s="10" t="s">
        <v>1671</v>
      </c>
      <c r="AM156" s="10"/>
      <c r="AN156" s="10"/>
      <c r="AO156" s="13" t="b">
        <v>0</v>
      </c>
      <c r="AP156" s="10" t="s">
        <v>104</v>
      </c>
      <c r="AQ156" s="10">
        <f ca="1">IFERROR(__xludf.DUMMYFUNCTION("""COMPUTED_VALUE"""),4743732)</f>
        <v>4743732</v>
      </c>
      <c r="AR156" s="17">
        <v>6298</v>
      </c>
      <c r="AS156" s="17">
        <v>3940</v>
      </c>
      <c r="AT156" s="17">
        <v>16586.25</v>
      </c>
      <c r="AU156" s="17">
        <v>3.1</v>
      </c>
      <c r="AV156" s="17">
        <v>0.25</v>
      </c>
      <c r="AW156" s="10" t="s">
        <v>105</v>
      </c>
      <c r="AX156" s="17">
        <v>712</v>
      </c>
      <c r="AY156" s="18">
        <v>4.2097081218274113</v>
      </c>
      <c r="AZ156" s="10" t="s">
        <v>148</v>
      </c>
      <c r="BA156" s="20" t="b">
        <v>0</v>
      </c>
      <c r="BB156" s="10"/>
      <c r="BC156" s="17">
        <v>6298</v>
      </c>
      <c r="BD156" s="17">
        <v>3940</v>
      </c>
      <c r="BE156" s="17">
        <v>16586.25</v>
      </c>
      <c r="BF156" s="17">
        <v>0.25</v>
      </c>
      <c r="BG156" s="11">
        <f ca="1">IFERROR(__xludf.DUMMYFUNCTION("""COMPUTED_VALUE"""),45995.1041666666)</f>
        <v>45995.104166666599</v>
      </c>
      <c r="BH156" s="17" t="s">
        <v>105</v>
      </c>
      <c r="BI156" s="17"/>
      <c r="BJ156" s="15"/>
      <c r="BK156" s="15"/>
      <c r="BL156" s="13" t="b">
        <v>1</v>
      </c>
      <c r="BM156" s="10"/>
      <c r="BN156" s="10" t="s">
        <v>667</v>
      </c>
      <c r="BO156" s="11">
        <v>45827.42083333333</v>
      </c>
      <c r="BP156" s="11">
        <v>45989.392743055556</v>
      </c>
      <c r="BQ156" s="15">
        <v>45989.722268518519</v>
      </c>
      <c r="BR156" s="15">
        <v>45991.441828703704</v>
      </c>
      <c r="BS156" s="10" t="s">
        <v>667</v>
      </c>
      <c r="BT156" s="10" t="s">
        <v>279</v>
      </c>
      <c r="BU156" s="10" t="s">
        <v>456</v>
      </c>
      <c r="BV156" s="10"/>
      <c r="BW156" s="10"/>
      <c r="BX156" s="10"/>
      <c r="BY156" s="23"/>
      <c r="BZ156" s="24" t="s">
        <v>299</v>
      </c>
      <c r="CA156" s="19" t="s">
        <v>1762</v>
      </c>
      <c r="CB156" s="19" t="s">
        <v>1763</v>
      </c>
      <c r="CC156" s="23"/>
      <c r="CD156" s="19" t="s">
        <v>1764</v>
      </c>
      <c r="CE156" s="23"/>
      <c r="CF156" s="23"/>
      <c r="CG156" s="23"/>
      <c r="CH156" s="23"/>
      <c r="CI156" s="23"/>
    </row>
    <row r="157" spans="1:87" x14ac:dyDescent="0.3">
      <c r="A157" s="25" t="s">
        <v>1765</v>
      </c>
      <c r="B157" s="10" t="s">
        <v>1766</v>
      </c>
      <c r="C157" s="11">
        <v>45997.916666666664</v>
      </c>
      <c r="D157" s="12">
        <v>8.3333333333333329E-2</v>
      </c>
      <c r="E157" s="11">
        <v>45998</v>
      </c>
      <c r="F157" s="10" t="s">
        <v>262</v>
      </c>
      <c r="G157" s="13" t="b">
        <v>0</v>
      </c>
      <c r="H157" s="10" t="s">
        <v>305</v>
      </c>
      <c r="I157" s="10" t="s">
        <v>264</v>
      </c>
      <c r="J157" s="13" t="b">
        <v>0</v>
      </c>
      <c r="K157" s="13" t="b">
        <v>1</v>
      </c>
      <c r="L157" s="10" t="s">
        <v>124</v>
      </c>
      <c r="M157" s="10" t="s">
        <v>91</v>
      </c>
      <c r="N157" s="10" t="s">
        <v>265</v>
      </c>
      <c r="O157" s="19" t="s">
        <v>1767</v>
      </c>
      <c r="P157" s="10"/>
      <c r="Q157" s="10" t="s">
        <v>126</v>
      </c>
      <c r="R157" s="10"/>
      <c r="S157" s="19" t="s">
        <v>1768</v>
      </c>
      <c r="T157" s="19" t="s">
        <v>1769</v>
      </c>
      <c r="U157" s="10" t="s">
        <v>271</v>
      </c>
      <c r="V157" s="10" t="s">
        <v>346</v>
      </c>
      <c r="W157" s="10" t="s">
        <v>272</v>
      </c>
      <c r="X157" s="10" t="s">
        <v>130</v>
      </c>
      <c r="Y157" s="10" t="s">
        <v>130</v>
      </c>
      <c r="Z157" s="10" t="s">
        <v>99</v>
      </c>
      <c r="AA157" s="10" t="s">
        <v>131</v>
      </c>
      <c r="AB157" s="10" t="s">
        <v>273</v>
      </c>
      <c r="AC157" s="10" t="s">
        <v>274</v>
      </c>
      <c r="AD157" s="10" t="s">
        <v>1770</v>
      </c>
      <c r="AE157" s="10" t="s">
        <v>1771</v>
      </c>
      <c r="AF157" s="15"/>
      <c r="AG157" s="10"/>
      <c r="AH157" s="10"/>
      <c r="AI157" s="10"/>
      <c r="AJ157" s="10" t="s">
        <v>1772</v>
      </c>
      <c r="AK157" s="10" t="s">
        <v>102</v>
      </c>
      <c r="AL157" s="10" t="s">
        <v>1773</v>
      </c>
      <c r="AM157" s="10"/>
      <c r="AN157" s="10"/>
      <c r="AO157" s="13" t="b">
        <v>1</v>
      </c>
      <c r="AP157" s="10" t="s">
        <v>104</v>
      </c>
      <c r="AQ157" s="10">
        <f ca="1">IFERROR(__xludf.DUMMYFUNCTION("""COMPUTED_VALUE"""),4759269)</f>
        <v>4759269</v>
      </c>
      <c r="AR157" s="17">
        <v>121439</v>
      </c>
      <c r="AS157" s="17">
        <v>67435</v>
      </c>
      <c r="AT157" s="17">
        <v>2373585.5</v>
      </c>
      <c r="AU157" s="17">
        <v>1089.2</v>
      </c>
      <c r="AV157" s="17">
        <v>246.35</v>
      </c>
      <c r="AW157" s="10" t="s">
        <v>105</v>
      </c>
      <c r="AX157" s="17">
        <v>29097</v>
      </c>
      <c r="AY157" s="18">
        <v>35.198124119522504</v>
      </c>
      <c r="AZ157" s="10" t="s">
        <v>148</v>
      </c>
      <c r="BA157" s="20" t="b">
        <v>0</v>
      </c>
      <c r="BB157" s="10"/>
      <c r="BC157" s="17">
        <v>121439</v>
      </c>
      <c r="BD157" s="17">
        <v>67435</v>
      </c>
      <c r="BE157" s="17">
        <v>2373585.5</v>
      </c>
      <c r="BF157" s="17">
        <v>246.35</v>
      </c>
      <c r="BG157" s="11">
        <f ca="1">IFERROR(__xludf.DUMMYFUNCTION("""COMPUTED_VALUE"""),45997.9166666666)</f>
        <v>45997.916666666599</v>
      </c>
      <c r="BH157" s="17" t="s">
        <v>105</v>
      </c>
      <c r="BI157" s="17"/>
      <c r="BJ157" s="15"/>
      <c r="BK157" s="15"/>
      <c r="BL157" s="13" t="b">
        <v>1</v>
      </c>
      <c r="BM157" s="10"/>
      <c r="BN157" s="10" t="s">
        <v>351</v>
      </c>
      <c r="BO157" s="11">
        <v>45827.42083333333</v>
      </c>
      <c r="BP157" s="11">
        <v>45989.501863425925</v>
      </c>
      <c r="BQ157" s="15">
        <v>45989.723194444443</v>
      </c>
      <c r="BR157" s="15">
        <v>45994.449629629627</v>
      </c>
      <c r="BS157" s="10"/>
      <c r="BT157" s="10" t="s">
        <v>99</v>
      </c>
      <c r="BU157" s="10" t="s">
        <v>793</v>
      </c>
      <c r="BV157" s="10" t="s">
        <v>281</v>
      </c>
      <c r="BW157" s="10"/>
      <c r="BX157" s="10"/>
      <c r="BY157" s="23"/>
      <c r="BZ157" s="24" t="s">
        <v>284</v>
      </c>
      <c r="CA157" s="19" t="s">
        <v>1774</v>
      </c>
      <c r="CB157" s="19" t="s">
        <v>1775</v>
      </c>
      <c r="CC157" s="23"/>
      <c r="CD157" s="19" t="s">
        <v>1776</v>
      </c>
      <c r="CE157" s="23"/>
      <c r="CF157" s="23"/>
      <c r="CG157" s="23"/>
      <c r="CH157" s="23"/>
      <c r="CI157" s="23"/>
    </row>
    <row r="158" spans="1:87" x14ac:dyDescent="0.3">
      <c r="A158" s="9" t="s">
        <v>1777</v>
      </c>
      <c r="B158" s="10" t="s">
        <v>1778</v>
      </c>
      <c r="C158" s="11">
        <v>45997.8125</v>
      </c>
      <c r="D158" s="12">
        <v>8.3333333333333329E-2</v>
      </c>
      <c r="E158" s="11">
        <v>45997.895833333336</v>
      </c>
      <c r="F158" s="10" t="s">
        <v>262</v>
      </c>
      <c r="G158" s="13" t="b">
        <v>1</v>
      </c>
      <c r="H158" s="10" t="s">
        <v>263</v>
      </c>
      <c r="I158" s="10" t="s">
        <v>264</v>
      </c>
      <c r="J158" s="13" t="b">
        <v>0</v>
      </c>
      <c r="K158" s="13" t="b">
        <v>1</v>
      </c>
      <c r="L158" s="10" t="s">
        <v>124</v>
      </c>
      <c r="M158" s="10" t="s">
        <v>91</v>
      </c>
      <c r="N158" s="10" t="s">
        <v>265</v>
      </c>
      <c r="O158" s="19" t="s">
        <v>1779</v>
      </c>
      <c r="P158" s="10" t="s">
        <v>267</v>
      </c>
      <c r="Q158" s="10" t="s">
        <v>126</v>
      </c>
      <c r="R158" s="10"/>
      <c r="S158" s="19" t="s">
        <v>1780</v>
      </c>
      <c r="T158" s="19" t="s">
        <v>1769</v>
      </c>
      <c r="U158" s="10" t="s">
        <v>292</v>
      </c>
      <c r="V158" s="10" t="s">
        <v>362</v>
      </c>
      <c r="W158" s="10" t="s">
        <v>272</v>
      </c>
      <c r="X158" s="10" t="s">
        <v>130</v>
      </c>
      <c r="Y158" s="10" t="s">
        <v>130</v>
      </c>
      <c r="Z158" s="10" t="s">
        <v>99</v>
      </c>
      <c r="AA158" s="10" t="s">
        <v>131</v>
      </c>
      <c r="AB158" s="10" t="s">
        <v>273</v>
      </c>
      <c r="AC158" s="10" t="s">
        <v>274</v>
      </c>
      <c r="AD158" s="10" t="s">
        <v>1781</v>
      </c>
      <c r="AE158" s="10" t="s">
        <v>1782</v>
      </c>
      <c r="AF158" s="15"/>
      <c r="AG158" s="10"/>
      <c r="AH158" s="10"/>
      <c r="AI158" s="10"/>
      <c r="AJ158" s="10" t="s">
        <v>1783</v>
      </c>
      <c r="AK158" s="10" t="s">
        <v>102</v>
      </c>
      <c r="AL158" s="10" t="s">
        <v>1773</v>
      </c>
      <c r="AM158" s="10"/>
      <c r="AN158" s="10"/>
      <c r="AO158" s="13" t="b">
        <v>1</v>
      </c>
      <c r="AP158" s="10" t="s">
        <v>104</v>
      </c>
      <c r="AQ158" s="10">
        <f ca="1">IFERROR(__xludf.DUMMYFUNCTION("""COMPUTED_VALUE"""),4759270)</f>
        <v>4759270</v>
      </c>
      <c r="AR158" s="17">
        <v>240455</v>
      </c>
      <c r="AS158" s="17">
        <v>132073</v>
      </c>
      <c r="AT158" s="17">
        <v>6446258.5</v>
      </c>
      <c r="AU158" s="17">
        <v>2942.65</v>
      </c>
      <c r="AV158" s="17">
        <v>563.04999999999995</v>
      </c>
      <c r="AW158" s="10" t="s">
        <v>105</v>
      </c>
      <c r="AX158" s="17">
        <v>73176</v>
      </c>
      <c r="AY158" s="18">
        <v>48.808299198170708</v>
      </c>
      <c r="AZ158" s="10" t="s">
        <v>148</v>
      </c>
      <c r="BA158" s="20" t="b">
        <v>0</v>
      </c>
      <c r="BB158" s="10"/>
      <c r="BC158" s="17">
        <v>240455</v>
      </c>
      <c r="BD158" s="17">
        <v>132073</v>
      </c>
      <c r="BE158" s="17">
        <v>6446258.5</v>
      </c>
      <c r="BF158" s="17">
        <v>563.04999999999995</v>
      </c>
      <c r="BG158" s="11">
        <f ca="1">IFERROR(__xludf.DUMMYFUNCTION("""COMPUTED_VALUE"""),45997.7916666666)</f>
        <v>45997.791666666599</v>
      </c>
      <c r="BH158" s="17" t="s">
        <v>105</v>
      </c>
      <c r="BI158" s="17"/>
      <c r="BJ158" s="15"/>
      <c r="BK158" s="15"/>
      <c r="BL158" s="13" t="b">
        <v>1</v>
      </c>
      <c r="BM158" s="10"/>
      <c r="BN158" s="10" t="s">
        <v>351</v>
      </c>
      <c r="BO158" s="11">
        <v>45827.42083333333</v>
      </c>
      <c r="BP158" s="11">
        <v>45989.501631944448</v>
      </c>
      <c r="BQ158" s="15">
        <v>45989.723067129627</v>
      </c>
      <c r="BR158" s="15">
        <v>45994.446331018517</v>
      </c>
      <c r="BS158" s="10"/>
      <c r="BT158" s="10" t="s">
        <v>99</v>
      </c>
      <c r="BU158" s="10" t="s">
        <v>1784</v>
      </c>
      <c r="BV158" s="10" t="s">
        <v>281</v>
      </c>
      <c r="BW158" s="10"/>
      <c r="BX158" s="10"/>
      <c r="BY158" s="23"/>
      <c r="BZ158" s="24" t="s">
        <v>284</v>
      </c>
      <c r="CA158" s="19" t="s">
        <v>1785</v>
      </c>
      <c r="CB158" s="19" t="s">
        <v>1786</v>
      </c>
      <c r="CC158" s="23"/>
      <c r="CD158" s="19" t="s">
        <v>1787</v>
      </c>
      <c r="CE158" s="23"/>
      <c r="CF158" s="23"/>
      <c r="CG158" s="23"/>
      <c r="CH158" s="23"/>
      <c r="CI158" s="23"/>
    </row>
    <row r="159" spans="1:87" x14ac:dyDescent="0.3">
      <c r="A159" s="25" t="s">
        <v>1788</v>
      </c>
      <c r="B159" s="10" t="s">
        <v>1789</v>
      </c>
      <c r="C159" s="11">
        <v>45998.875</v>
      </c>
      <c r="D159" s="12">
        <v>8.3333333333333329E-2</v>
      </c>
      <c r="E159" s="11">
        <v>45998.958333333336</v>
      </c>
      <c r="F159" s="10" t="s">
        <v>262</v>
      </c>
      <c r="G159" s="13" t="b">
        <v>1</v>
      </c>
      <c r="H159" s="10" t="s">
        <v>263</v>
      </c>
      <c r="I159" s="10" t="s">
        <v>264</v>
      </c>
      <c r="J159" s="13" t="b">
        <v>0</v>
      </c>
      <c r="K159" s="13" t="b">
        <v>1</v>
      </c>
      <c r="L159" s="10" t="s">
        <v>124</v>
      </c>
      <c r="M159" s="10" t="s">
        <v>91</v>
      </c>
      <c r="N159" s="10" t="s">
        <v>265</v>
      </c>
      <c r="O159" s="19" t="s">
        <v>1790</v>
      </c>
      <c r="P159" s="10" t="s">
        <v>267</v>
      </c>
      <c r="Q159" s="10" t="s">
        <v>126</v>
      </c>
      <c r="R159" s="10"/>
      <c r="S159" s="19" t="s">
        <v>1791</v>
      </c>
      <c r="T159" s="19" t="s">
        <v>1769</v>
      </c>
      <c r="U159" s="10" t="s">
        <v>308</v>
      </c>
      <c r="V159" s="10" t="s">
        <v>451</v>
      </c>
      <c r="W159" s="10" t="s">
        <v>272</v>
      </c>
      <c r="X159" s="10" t="s">
        <v>130</v>
      </c>
      <c r="Y159" s="10" t="s">
        <v>130</v>
      </c>
      <c r="Z159" s="10" t="s">
        <v>99</v>
      </c>
      <c r="AA159" s="10" t="s">
        <v>131</v>
      </c>
      <c r="AB159" s="10" t="s">
        <v>273</v>
      </c>
      <c r="AC159" s="10" t="s">
        <v>274</v>
      </c>
      <c r="AD159" s="10" t="s">
        <v>1792</v>
      </c>
      <c r="AE159" s="10" t="s">
        <v>1793</v>
      </c>
      <c r="AF159" s="15"/>
      <c r="AG159" s="10"/>
      <c r="AH159" s="10"/>
      <c r="AI159" s="10"/>
      <c r="AJ159" s="10" t="s">
        <v>1794</v>
      </c>
      <c r="AK159" s="10" t="s">
        <v>102</v>
      </c>
      <c r="AL159" s="10" t="s">
        <v>1773</v>
      </c>
      <c r="AM159" s="10"/>
      <c r="AN159" s="10"/>
      <c r="AO159" s="13" t="b">
        <v>0</v>
      </c>
      <c r="AP159" s="10" t="s">
        <v>104</v>
      </c>
      <c r="AQ159" s="10">
        <f ca="1">IFERROR(__xludf.DUMMYFUNCTION("""COMPUTED_VALUE"""),4759273)</f>
        <v>4759273</v>
      </c>
      <c r="AR159" s="17">
        <v>63268</v>
      </c>
      <c r="AS159" s="17">
        <v>41786</v>
      </c>
      <c r="AT159" s="17">
        <v>1633638.75</v>
      </c>
      <c r="AU159" s="17">
        <v>186.8</v>
      </c>
      <c r="AV159" s="17">
        <v>37.700000000000003</v>
      </c>
      <c r="AW159" s="10" t="s">
        <v>105</v>
      </c>
      <c r="AX159" s="17">
        <v>15612</v>
      </c>
      <c r="AY159" s="18">
        <v>39.09536088642129</v>
      </c>
      <c r="AZ159" s="10" t="s">
        <v>148</v>
      </c>
      <c r="BA159" s="20" t="b">
        <v>0</v>
      </c>
      <c r="BB159" s="10"/>
      <c r="BC159" s="17">
        <v>63268</v>
      </c>
      <c r="BD159" s="17">
        <v>41786</v>
      </c>
      <c r="BE159" s="17">
        <v>1633638.75</v>
      </c>
      <c r="BF159" s="17">
        <v>37.700000000000003</v>
      </c>
      <c r="BG159" s="11">
        <f ca="1">IFERROR(__xludf.DUMMYFUNCTION("""COMPUTED_VALUE"""),45998.8541666666)</f>
        <v>45998.854166666599</v>
      </c>
      <c r="BH159" s="17" t="s">
        <v>105</v>
      </c>
      <c r="BI159" s="17"/>
      <c r="BJ159" s="15"/>
      <c r="BK159" s="15"/>
      <c r="BL159" s="13" t="b">
        <v>1</v>
      </c>
      <c r="BM159" s="10"/>
      <c r="BN159" s="10" t="s">
        <v>351</v>
      </c>
      <c r="BO159" s="11">
        <v>45827.420937499999</v>
      </c>
      <c r="BP159" s="11">
        <v>45989.503240740742</v>
      </c>
      <c r="BQ159" s="15">
        <v>45989.723958333336</v>
      </c>
      <c r="BR159" s="15">
        <v>45994.450416666667</v>
      </c>
      <c r="BS159" s="10"/>
      <c r="BT159" s="10" t="s">
        <v>99</v>
      </c>
      <c r="BU159" s="10" t="s">
        <v>655</v>
      </c>
      <c r="BV159" s="10"/>
      <c r="BW159" s="10"/>
      <c r="BX159" s="10"/>
      <c r="BY159" s="23"/>
      <c r="BZ159" s="24" t="s">
        <v>299</v>
      </c>
      <c r="CA159" s="19" t="s">
        <v>1795</v>
      </c>
      <c r="CB159" s="19" t="s">
        <v>1796</v>
      </c>
      <c r="CC159" s="23"/>
      <c r="CD159" s="19" t="s">
        <v>1797</v>
      </c>
      <c r="CE159" s="23"/>
      <c r="CF159" s="23"/>
      <c r="CG159" s="23"/>
      <c r="CH159" s="23"/>
      <c r="CI159" s="23"/>
    </row>
    <row r="160" spans="1:87" x14ac:dyDescent="0.3">
      <c r="A160" s="9" t="s">
        <v>1798</v>
      </c>
      <c r="B160" s="10" t="s">
        <v>1799</v>
      </c>
      <c r="C160" s="11">
        <v>45997.916666666664</v>
      </c>
      <c r="D160" s="12">
        <v>8.3333333333333329E-2</v>
      </c>
      <c r="E160" s="11">
        <v>45998</v>
      </c>
      <c r="F160" s="10" t="s">
        <v>262</v>
      </c>
      <c r="G160" s="13" t="b">
        <v>0</v>
      </c>
      <c r="H160" s="10" t="s">
        <v>527</v>
      </c>
      <c r="I160" s="10" t="s">
        <v>264</v>
      </c>
      <c r="J160" s="13" t="b">
        <v>0</v>
      </c>
      <c r="K160" s="13" t="b">
        <v>1</v>
      </c>
      <c r="L160" s="10" t="s">
        <v>124</v>
      </c>
      <c r="M160" s="10" t="s">
        <v>91</v>
      </c>
      <c r="N160" s="10" t="s">
        <v>265</v>
      </c>
      <c r="O160" s="19" t="s">
        <v>1800</v>
      </c>
      <c r="P160" s="10"/>
      <c r="Q160" s="10" t="s">
        <v>126</v>
      </c>
      <c r="R160" s="10"/>
      <c r="S160" s="19" t="s">
        <v>1801</v>
      </c>
      <c r="T160" s="19" t="s">
        <v>1769</v>
      </c>
      <c r="U160" s="10" t="s">
        <v>407</v>
      </c>
      <c r="V160" s="10" t="s">
        <v>320</v>
      </c>
      <c r="W160" s="10" t="s">
        <v>272</v>
      </c>
      <c r="X160" s="10" t="s">
        <v>130</v>
      </c>
      <c r="Y160" s="10" t="s">
        <v>130</v>
      </c>
      <c r="Z160" s="10" t="s">
        <v>99</v>
      </c>
      <c r="AA160" s="10" t="s">
        <v>131</v>
      </c>
      <c r="AB160" s="10" t="s">
        <v>273</v>
      </c>
      <c r="AC160" s="10" t="s">
        <v>274</v>
      </c>
      <c r="AD160" s="10" t="s">
        <v>1802</v>
      </c>
      <c r="AE160" s="10" t="s">
        <v>1803</v>
      </c>
      <c r="AF160" s="15"/>
      <c r="AG160" s="10"/>
      <c r="AH160" s="10"/>
      <c r="AI160" s="10"/>
      <c r="AJ160" s="10" t="s">
        <v>1804</v>
      </c>
      <c r="AK160" s="10" t="s">
        <v>102</v>
      </c>
      <c r="AL160" s="10" t="s">
        <v>1773</v>
      </c>
      <c r="AM160" s="10"/>
      <c r="AN160" s="10"/>
      <c r="AO160" s="13" t="b">
        <v>0</v>
      </c>
      <c r="AP160" s="10" t="s">
        <v>104</v>
      </c>
      <c r="AQ160" s="10">
        <f ca="1">IFERROR(__xludf.DUMMYFUNCTION("""COMPUTED_VALUE"""),4759282)</f>
        <v>4759282</v>
      </c>
      <c r="AR160" s="17">
        <v>15045</v>
      </c>
      <c r="AS160" s="17">
        <v>10089</v>
      </c>
      <c r="AT160" s="17">
        <v>60713.25</v>
      </c>
      <c r="AU160" s="17">
        <v>15.7</v>
      </c>
      <c r="AV160" s="17">
        <v>1.6</v>
      </c>
      <c r="AW160" s="10" t="s">
        <v>105</v>
      </c>
      <c r="AX160" s="17">
        <v>1950</v>
      </c>
      <c r="AY160" s="18">
        <v>6.0177668748141544</v>
      </c>
      <c r="AZ160" s="10" t="s">
        <v>148</v>
      </c>
      <c r="BA160" s="20" t="b">
        <v>0</v>
      </c>
      <c r="BB160" s="10"/>
      <c r="BC160" s="17">
        <v>15045</v>
      </c>
      <c r="BD160" s="17">
        <v>10089</v>
      </c>
      <c r="BE160" s="17">
        <v>60713.25</v>
      </c>
      <c r="BF160" s="17">
        <v>1.6</v>
      </c>
      <c r="BG160" s="11">
        <f ca="1">IFERROR(__xludf.DUMMYFUNCTION("""COMPUTED_VALUE"""),45997.9166666666)</f>
        <v>45997.916666666599</v>
      </c>
      <c r="BH160" s="17" t="s">
        <v>105</v>
      </c>
      <c r="BI160" s="17"/>
      <c r="BJ160" s="15"/>
      <c r="BK160" s="15"/>
      <c r="BL160" s="13" t="b">
        <v>1</v>
      </c>
      <c r="BM160" s="10"/>
      <c r="BN160" s="10" t="s">
        <v>197</v>
      </c>
      <c r="BO160" s="11">
        <v>45827.42083333333</v>
      </c>
      <c r="BP160" s="11">
        <v>45989.502129629633</v>
      </c>
      <c r="BQ160" s="15">
        <v>45989.723310185182</v>
      </c>
      <c r="BR160" s="15">
        <v>45997.887696759259</v>
      </c>
      <c r="BS160" s="10" t="s">
        <v>197</v>
      </c>
      <c r="BT160" s="10" t="s">
        <v>279</v>
      </c>
      <c r="BU160" s="10" t="s">
        <v>655</v>
      </c>
      <c r="BV160" s="10"/>
      <c r="BW160" s="10"/>
      <c r="BX160" s="10"/>
      <c r="BY160" s="23"/>
      <c r="BZ160" s="24" t="s">
        <v>299</v>
      </c>
      <c r="CA160" s="19" t="s">
        <v>1805</v>
      </c>
      <c r="CB160" s="19" t="s">
        <v>1806</v>
      </c>
      <c r="CC160" s="23"/>
      <c r="CD160" s="19" t="s">
        <v>1807</v>
      </c>
      <c r="CE160" s="23"/>
      <c r="CF160" s="23"/>
      <c r="CG160" s="23"/>
      <c r="CH160" s="23"/>
      <c r="CI160" s="23"/>
    </row>
    <row r="161" spans="1:87" x14ac:dyDescent="0.3">
      <c r="A161" s="9" t="s">
        <v>1808</v>
      </c>
      <c r="B161" s="10" t="s">
        <v>1809</v>
      </c>
      <c r="C161" s="11">
        <v>45998.979166666664</v>
      </c>
      <c r="D161" s="12">
        <v>8.3333333333333329E-2</v>
      </c>
      <c r="E161" s="11">
        <v>45999.0625</v>
      </c>
      <c r="F161" s="10" t="s">
        <v>262</v>
      </c>
      <c r="G161" s="13" t="b">
        <v>1</v>
      </c>
      <c r="H161" s="10" t="s">
        <v>263</v>
      </c>
      <c r="I161" s="10" t="s">
        <v>264</v>
      </c>
      <c r="J161" s="13" t="b">
        <v>0</v>
      </c>
      <c r="K161" s="13" t="b">
        <v>1</v>
      </c>
      <c r="L161" s="10" t="s">
        <v>124</v>
      </c>
      <c r="M161" s="10" t="s">
        <v>91</v>
      </c>
      <c r="N161" s="10" t="s">
        <v>265</v>
      </c>
      <c r="O161" s="19" t="s">
        <v>1810</v>
      </c>
      <c r="P161" s="10" t="s">
        <v>267</v>
      </c>
      <c r="Q161" s="10" t="s">
        <v>126</v>
      </c>
      <c r="R161" s="10"/>
      <c r="S161" s="19" t="s">
        <v>1811</v>
      </c>
      <c r="T161" s="19" t="s">
        <v>1769</v>
      </c>
      <c r="U161" s="10" t="s">
        <v>309</v>
      </c>
      <c r="V161" s="10" t="s">
        <v>347</v>
      </c>
      <c r="W161" s="10" t="s">
        <v>272</v>
      </c>
      <c r="X161" s="10" t="s">
        <v>130</v>
      </c>
      <c r="Y161" s="10" t="s">
        <v>130</v>
      </c>
      <c r="Z161" s="10" t="s">
        <v>99</v>
      </c>
      <c r="AA161" s="10" t="s">
        <v>131</v>
      </c>
      <c r="AB161" s="10" t="s">
        <v>273</v>
      </c>
      <c r="AC161" s="10" t="s">
        <v>274</v>
      </c>
      <c r="AD161" s="10" t="s">
        <v>1812</v>
      </c>
      <c r="AE161" s="10" t="s">
        <v>1813</v>
      </c>
      <c r="AF161" s="15"/>
      <c r="AG161" s="10"/>
      <c r="AH161" s="10"/>
      <c r="AI161" s="10"/>
      <c r="AJ161" s="10" t="s">
        <v>1814</v>
      </c>
      <c r="AK161" s="10" t="s">
        <v>102</v>
      </c>
      <c r="AL161" s="10" t="s">
        <v>1773</v>
      </c>
      <c r="AM161" s="10"/>
      <c r="AN161" s="10"/>
      <c r="AO161" s="13" t="b">
        <v>0</v>
      </c>
      <c r="AP161" s="10" t="s">
        <v>104</v>
      </c>
      <c r="AQ161" s="10">
        <f ca="1">IFERROR(__xludf.DUMMYFUNCTION("""COMPUTED_VALUE"""),4759274)</f>
        <v>4759274</v>
      </c>
      <c r="AR161" s="17">
        <v>25453</v>
      </c>
      <c r="AS161" s="17">
        <v>20495</v>
      </c>
      <c r="AT161" s="17">
        <v>482700.5</v>
      </c>
      <c r="AU161" s="17">
        <v>72.45</v>
      </c>
      <c r="AV161" s="17">
        <v>6.6</v>
      </c>
      <c r="AW161" s="10" t="s">
        <v>105</v>
      </c>
      <c r="AX161" s="17">
        <v>9915</v>
      </c>
      <c r="AY161" s="18">
        <v>23.552110270797755</v>
      </c>
      <c r="AZ161" s="10" t="s">
        <v>148</v>
      </c>
      <c r="BA161" s="20" t="b">
        <v>0</v>
      </c>
      <c r="BB161" s="10"/>
      <c r="BC161" s="17">
        <v>25453</v>
      </c>
      <c r="BD161" s="17">
        <v>20495</v>
      </c>
      <c r="BE161" s="17">
        <v>482700.5</v>
      </c>
      <c r="BF161" s="17">
        <v>6.6</v>
      </c>
      <c r="BG161" s="11">
        <f ca="1">IFERROR(__xludf.DUMMYFUNCTION("""COMPUTED_VALUE"""),45998.9583333333)</f>
        <v>45998.958333333299</v>
      </c>
      <c r="BH161" s="17" t="s">
        <v>105</v>
      </c>
      <c r="BI161" s="17"/>
      <c r="BJ161" s="15"/>
      <c r="BK161" s="15"/>
      <c r="BL161" s="13" t="b">
        <v>1</v>
      </c>
      <c r="BM161" s="10"/>
      <c r="BN161" s="10" t="s">
        <v>351</v>
      </c>
      <c r="BO161" s="11">
        <v>45827.420937499999</v>
      </c>
      <c r="BP161" s="11">
        <v>45989.503645833334</v>
      </c>
      <c r="BQ161" s="15">
        <v>45989.724062499998</v>
      </c>
      <c r="BR161" s="15">
        <v>45994.45071759259</v>
      </c>
      <c r="BS161" s="10"/>
      <c r="BT161" s="10" t="s">
        <v>99</v>
      </c>
      <c r="BU161" s="10" t="s">
        <v>521</v>
      </c>
      <c r="BV161" s="10"/>
      <c r="BW161" s="10"/>
      <c r="BX161" s="10"/>
      <c r="BY161" s="23"/>
      <c r="BZ161" s="24" t="s">
        <v>299</v>
      </c>
      <c r="CA161" s="19" t="s">
        <v>1815</v>
      </c>
      <c r="CB161" s="19" t="s">
        <v>1816</v>
      </c>
      <c r="CC161" s="23"/>
      <c r="CD161" s="19" t="s">
        <v>1817</v>
      </c>
      <c r="CE161" s="23"/>
      <c r="CF161" s="23"/>
      <c r="CG161" s="23"/>
      <c r="CH161" s="23"/>
      <c r="CI161" s="23"/>
    </row>
    <row r="162" spans="1:87" x14ac:dyDescent="0.3">
      <c r="A162" s="9" t="s">
        <v>1818</v>
      </c>
      <c r="B162" s="10" t="s">
        <v>1819</v>
      </c>
      <c r="C162" s="11">
        <v>45998.020833333336</v>
      </c>
      <c r="D162" s="12">
        <v>8.3333333333333329E-2</v>
      </c>
      <c r="E162" s="11">
        <v>45998.104166666664</v>
      </c>
      <c r="F162" s="10" t="s">
        <v>262</v>
      </c>
      <c r="G162" s="13" t="b">
        <v>1</v>
      </c>
      <c r="H162" s="10" t="s">
        <v>263</v>
      </c>
      <c r="I162" s="10" t="s">
        <v>264</v>
      </c>
      <c r="J162" s="13" t="b">
        <v>0</v>
      </c>
      <c r="K162" s="13" t="b">
        <v>1</v>
      </c>
      <c r="L162" s="10" t="s">
        <v>124</v>
      </c>
      <c r="M162" s="10" t="s">
        <v>91</v>
      </c>
      <c r="N162" s="10" t="s">
        <v>265</v>
      </c>
      <c r="O162" s="19" t="s">
        <v>1820</v>
      </c>
      <c r="P162" s="10" t="s">
        <v>885</v>
      </c>
      <c r="Q162" s="10" t="s">
        <v>126</v>
      </c>
      <c r="R162" s="10"/>
      <c r="S162" s="19" t="s">
        <v>1821</v>
      </c>
      <c r="T162" s="19" t="s">
        <v>1769</v>
      </c>
      <c r="U162" s="10" t="s">
        <v>663</v>
      </c>
      <c r="V162" s="10" t="s">
        <v>270</v>
      </c>
      <c r="W162" s="10" t="s">
        <v>272</v>
      </c>
      <c r="X162" s="10" t="s">
        <v>130</v>
      </c>
      <c r="Y162" s="10" t="s">
        <v>130</v>
      </c>
      <c r="Z162" s="10" t="s">
        <v>99</v>
      </c>
      <c r="AA162" s="10" t="s">
        <v>131</v>
      </c>
      <c r="AB162" s="10" t="s">
        <v>273</v>
      </c>
      <c r="AC162" s="10" t="s">
        <v>274</v>
      </c>
      <c r="AD162" s="10" t="s">
        <v>1822</v>
      </c>
      <c r="AE162" s="10" t="s">
        <v>1823</v>
      </c>
      <c r="AF162" s="15"/>
      <c r="AG162" s="10"/>
      <c r="AH162" s="10"/>
      <c r="AI162" s="10"/>
      <c r="AJ162" s="10" t="s">
        <v>1824</v>
      </c>
      <c r="AK162" s="10" t="s">
        <v>102</v>
      </c>
      <c r="AL162" s="10" t="s">
        <v>1773</v>
      </c>
      <c r="AM162" s="10"/>
      <c r="AN162" s="10"/>
      <c r="AO162" s="13" t="b">
        <v>1</v>
      </c>
      <c r="AP162" s="10" t="s">
        <v>104</v>
      </c>
      <c r="AQ162" s="10">
        <f ca="1">IFERROR(__xludf.DUMMYFUNCTION("""COMPUTED_VALUE"""),4759272)</f>
        <v>4759272</v>
      </c>
      <c r="AR162" s="17">
        <v>107842</v>
      </c>
      <c r="AS162" s="17">
        <v>66829</v>
      </c>
      <c r="AT162" s="17">
        <v>2948489.75</v>
      </c>
      <c r="AU162" s="17">
        <v>309.35000000000002</v>
      </c>
      <c r="AV162" s="17">
        <v>48.65</v>
      </c>
      <c r="AW162" s="10" t="s">
        <v>105</v>
      </c>
      <c r="AX162" s="17">
        <v>27039</v>
      </c>
      <c r="AY162" s="18">
        <v>44.119914258779872</v>
      </c>
      <c r="AZ162" s="10" t="s">
        <v>148</v>
      </c>
      <c r="BA162" s="20" t="b">
        <v>0</v>
      </c>
      <c r="BB162" s="10"/>
      <c r="BC162" s="17">
        <v>107842</v>
      </c>
      <c r="BD162" s="17">
        <v>66829</v>
      </c>
      <c r="BE162" s="17">
        <v>2948489.75</v>
      </c>
      <c r="BF162" s="17">
        <v>48.65</v>
      </c>
      <c r="BG162" s="11">
        <f ca="1">IFERROR(__xludf.DUMMYFUNCTION("""COMPUTED_VALUE"""),45998)</f>
        <v>45998</v>
      </c>
      <c r="BH162" s="17" t="s">
        <v>105</v>
      </c>
      <c r="BI162" s="17"/>
      <c r="BJ162" s="15"/>
      <c r="BK162" s="15"/>
      <c r="BL162" s="13" t="b">
        <v>0</v>
      </c>
      <c r="BM162" s="10"/>
      <c r="BN162" s="10" t="s">
        <v>1149</v>
      </c>
      <c r="BO162" s="11">
        <v>45827.42083333333</v>
      </c>
      <c r="BP162" s="11">
        <v>45989.502951388888</v>
      </c>
      <c r="BQ162" s="15">
        <v>45989.72383101852</v>
      </c>
      <c r="BR162" s="15">
        <v>45994.450254629628</v>
      </c>
      <c r="BS162" s="10" t="s">
        <v>1149</v>
      </c>
      <c r="BT162" s="10" t="s">
        <v>99</v>
      </c>
      <c r="BU162" s="10" t="s">
        <v>421</v>
      </c>
      <c r="BV162" s="10"/>
      <c r="BW162" s="10"/>
      <c r="BX162" s="10"/>
      <c r="BY162" s="23"/>
      <c r="BZ162" s="24" t="s">
        <v>284</v>
      </c>
      <c r="CA162" s="19" t="s">
        <v>1825</v>
      </c>
      <c r="CB162" s="19" t="s">
        <v>1826</v>
      </c>
      <c r="CC162" s="23"/>
      <c r="CD162" s="19" t="s">
        <v>1827</v>
      </c>
      <c r="CE162" s="23"/>
      <c r="CF162" s="23"/>
      <c r="CG162" s="23"/>
      <c r="CH162" s="23"/>
      <c r="CI162" s="23"/>
    </row>
    <row r="163" spans="1:87" x14ac:dyDescent="0.3">
      <c r="A163" s="9" t="s">
        <v>1828</v>
      </c>
      <c r="B163" s="10" t="s">
        <v>1829</v>
      </c>
      <c r="C163" s="11">
        <v>45997.916666666664</v>
      </c>
      <c r="D163" s="12">
        <v>8.3333333333333329E-2</v>
      </c>
      <c r="E163" s="11">
        <v>45998</v>
      </c>
      <c r="F163" s="10" t="s">
        <v>262</v>
      </c>
      <c r="G163" s="13" t="b">
        <v>1</v>
      </c>
      <c r="H163" s="10" t="s">
        <v>263</v>
      </c>
      <c r="I163" s="10" t="s">
        <v>264</v>
      </c>
      <c r="J163" s="13" t="b">
        <v>0</v>
      </c>
      <c r="K163" s="13" t="b">
        <v>1</v>
      </c>
      <c r="L163" s="10" t="s">
        <v>124</v>
      </c>
      <c r="M163" s="10" t="s">
        <v>91</v>
      </c>
      <c r="N163" s="10" t="s">
        <v>265</v>
      </c>
      <c r="O163" s="19" t="s">
        <v>1830</v>
      </c>
      <c r="P163" s="10" t="s">
        <v>267</v>
      </c>
      <c r="Q163" s="10" t="s">
        <v>126</v>
      </c>
      <c r="R163" s="10"/>
      <c r="S163" s="19" t="s">
        <v>1831</v>
      </c>
      <c r="T163" s="19" t="s">
        <v>1769</v>
      </c>
      <c r="U163" s="10" t="s">
        <v>334</v>
      </c>
      <c r="V163" s="10" t="s">
        <v>588</v>
      </c>
      <c r="W163" s="10" t="s">
        <v>272</v>
      </c>
      <c r="X163" s="10" t="s">
        <v>130</v>
      </c>
      <c r="Y163" s="10" t="s">
        <v>130</v>
      </c>
      <c r="Z163" s="10" t="s">
        <v>99</v>
      </c>
      <c r="AA163" s="10" t="s">
        <v>131</v>
      </c>
      <c r="AB163" s="10" t="s">
        <v>273</v>
      </c>
      <c r="AC163" s="10" t="s">
        <v>274</v>
      </c>
      <c r="AD163" s="10" t="s">
        <v>1832</v>
      </c>
      <c r="AE163" s="10" t="s">
        <v>1833</v>
      </c>
      <c r="AF163" s="15"/>
      <c r="AG163" s="10"/>
      <c r="AH163" s="10"/>
      <c r="AI163" s="10"/>
      <c r="AJ163" s="10" t="s">
        <v>1834</v>
      </c>
      <c r="AK163" s="10" t="s">
        <v>102</v>
      </c>
      <c r="AL163" s="10" t="s">
        <v>1773</v>
      </c>
      <c r="AM163" s="10"/>
      <c r="AN163" s="10"/>
      <c r="AO163" s="13" t="b">
        <v>1</v>
      </c>
      <c r="AP163" s="10" t="s">
        <v>104</v>
      </c>
      <c r="AQ163" s="10">
        <f ca="1">IFERROR(__xludf.DUMMYFUNCTION("""COMPUTED_VALUE"""),4759271)</f>
        <v>4759271</v>
      </c>
      <c r="AR163" s="17">
        <v>135992</v>
      </c>
      <c r="AS163" s="17">
        <v>83069</v>
      </c>
      <c r="AT163" s="17">
        <v>2143845.25</v>
      </c>
      <c r="AU163" s="17">
        <v>1113.3499999999999</v>
      </c>
      <c r="AV163" s="17">
        <v>211.8</v>
      </c>
      <c r="AW163" s="10" t="s">
        <v>105</v>
      </c>
      <c r="AX163" s="17">
        <v>34892</v>
      </c>
      <c r="AY163" s="18">
        <v>25.808005995016192</v>
      </c>
      <c r="AZ163" s="10" t="s">
        <v>148</v>
      </c>
      <c r="BA163" s="20" t="b">
        <v>0</v>
      </c>
      <c r="BB163" s="10"/>
      <c r="BC163" s="17">
        <v>135992</v>
      </c>
      <c r="BD163" s="17">
        <v>83069</v>
      </c>
      <c r="BE163" s="17">
        <v>2143845.25</v>
      </c>
      <c r="BF163" s="17">
        <v>211.8</v>
      </c>
      <c r="BG163" s="11">
        <f ca="1">IFERROR(__xludf.DUMMYFUNCTION("""COMPUTED_VALUE"""),45997.8958333333)</f>
        <v>45997.895833333299</v>
      </c>
      <c r="BH163" s="17" t="s">
        <v>105</v>
      </c>
      <c r="BI163" s="17"/>
      <c r="BJ163" s="15"/>
      <c r="BK163" s="15"/>
      <c r="BL163" s="13" t="b">
        <v>1</v>
      </c>
      <c r="BM163" s="10"/>
      <c r="BN163" s="10" t="s">
        <v>351</v>
      </c>
      <c r="BO163" s="11">
        <v>45827.42083333333</v>
      </c>
      <c r="BP163" s="11">
        <v>45989.502314814818</v>
      </c>
      <c r="BQ163" s="15">
        <v>45989.723437499997</v>
      </c>
      <c r="BR163" s="15">
        <v>45994.449976851851</v>
      </c>
      <c r="BS163" s="10"/>
      <c r="BT163" s="10" t="s">
        <v>99</v>
      </c>
      <c r="BU163" s="10" t="s">
        <v>421</v>
      </c>
      <c r="BV163" s="10" t="s">
        <v>281</v>
      </c>
      <c r="BW163" s="10"/>
      <c r="BX163" s="10"/>
      <c r="BY163" s="23"/>
      <c r="BZ163" s="24" t="s">
        <v>284</v>
      </c>
      <c r="CA163" s="19" t="s">
        <v>1835</v>
      </c>
      <c r="CB163" s="19" t="s">
        <v>1836</v>
      </c>
      <c r="CC163" s="23"/>
      <c r="CD163" s="19" t="s">
        <v>1837</v>
      </c>
      <c r="CE163" s="23"/>
      <c r="CF163" s="23"/>
      <c r="CG163" s="23"/>
      <c r="CH163" s="23"/>
      <c r="CI163" s="23"/>
    </row>
    <row r="164" spans="1:87" x14ac:dyDescent="0.3">
      <c r="A164" s="9" t="s">
        <v>1838</v>
      </c>
      <c r="B164" s="10" t="s">
        <v>1839</v>
      </c>
      <c r="C164" s="11">
        <v>45997.916666666664</v>
      </c>
      <c r="D164" s="12">
        <v>8.3333333333333329E-2</v>
      </c>
      <c r="E164" s="11">
        <v>45998</v>
      </c>
      <c r="F164" s="10" t="s">
        <v>262</v>
      </c>
      <c r="G164" s="13" t="b">
        <v>0</v>
      </c>
      <c r="H164" s="10" t="s">
        <v>527</v>
      </c>
      <c r="I164" s="10" t="s">
        <v>264</v>
      </c>
      <c r="J164" s="13" t="b">
        <v>0</v>
      </c>
      <c r="K164" s="13" t="b">
        <v>1</v>
      </c>
      <c r="L164" s="10" t="s">
        <v>124</v>
      </c>
      <c r="M164" s="10" t="s">
        <v>91</v>
      </c>
      <c r="N164" s="10" t="s">
        <v>265</v>
      </c>
      <c r="O164" s="19" t="s">
        <v>1840</v>
      </c>
      <c r="P164" s="10"/>
      <c r="Q164" s="10" t="s">
        <v>126</v>
      </c>
      <c r="R164" s="10"/>
      <c r="S164" s="19" t="s">
        <v>1841</v>
      </c>
      <c r="T164" s="19" t="s">
        <v>1842</v>
      </c>
      <c r="U164" s="10" t="s">
        <v>293</v>
      </c>
      <c r="V164" s="10" t="s">
        <v>609</v>
      </c>
      <c r="W164" s="10" t="s">
        <v>272</v>
      </c>
      <c r="X164" s="10" t="s">
        <v>130</v>
      </c>
      <c r="Y164" s="10" t="s">
        <v>130</v>
      </c>
      <c r="Z164" s="10" t="s">
        <v>99</v>
      </c>
      <c r="AA164" s="10" t="s">
        <v>131</v>
      </c>
      <c r="AB164" s="10" t="s">
        <v>273</v>
      </c>
      <c r="AC164" s="10" t="s">
        <v>274</v>
      </c>
      <c r="AD164" s="10" t="s">
        <v>1843</v>
      </c>
      <c r="AE164" s="10" t="s">
        <v>1844</v>
      </c>
      <c r="AF164" s="15"/>
      <c r="AG164" s="10"/>
      <c r="AH164" s="10"/>
      <c r="AI164" s="10"/>
      <c r="AJ164" s="10" t="s">
        <v>1845</v>
      </c>
      <c r="AK164" s="10" t="s">
        <v>102</v>
      </c>
      <c r="AL164" s="10" t="s">
        <v>1773</v>
      </c>
      <c r="AM164" s="10"/>
      <c r="AN164" s="10"/>
      <c r="AO164" s="13" t="b">
        <v>0</v>
      </c>
      <c r="AP164" s="10" t="s">
        <v>104</v>
      </c>
      <c r="AQ164" s="10">
        <f ca="1">IFERROR(__xludf.DUMMYFUNCTION("""COMPUTED_VALUE"""),4759284)</f>
        <v>4759284</v>
      </c>
      <c r="AR164" s="17">
        <v>23999</v>
      </c>
      <c r="AS164" s="17">
        <v>14950</v>
      </c>
      <c r="AT164" s="17">
        <v>158590.5</v>
      </c>
      <c r="AU164" s="17">
        <v>51.15</v>
      </c>
      <c r="AV164" s="17">
        <v>9.4</v>
      </c>
      <c r="AW164" s="10" t="s">
        <v>105</v>
      </c>
      <c r="AX164" s="17">
        <v>3846</v>
      </c>
      <c r="AY164" s="18">
        <v>10.608060200668897</v>
      </c>
      <c r="AZ164" s="10" t="s">
        <v>148</v>
      </c>
      <c r="BA164" s="20" t="b">
        <v>0</v>
      </c>
      <c r="BB164" s="10"/>
      <c r="BC164" s="17">
        <v>23999</v>
      </c>
      <c r="BD164" s="17">
        <v>14950</v>
      </c>
      <c r="BE164" s="17">
        <v>158590.5</v>
      </c>
      <c r="BF164" s="17">
        <v>9.4</v>
      </c>
      <c r="BG164" s="11">
        <f ca="1">IFERROR(__xludf.DUMMYFUNCTION("""COMPUTED_VALUE"""),45997.9166666666)</f>
        <v>45997.916666666599</v>
      </c>
      <c r="BH164" s="17" t="s">
        <v>105</v>
      </c>
      <c r="BI164" s="17"/>
      <c r="BJ164" s="15"/>
      <c r="BK164" s="15"/>
      <c r="BL164" s="13" t="b">
        <v>1</v>
      </c>
      <c r="BM164" s="10"/>
      <c r="BN164" s="10" t="s">
        <v>197</v>
      </c>
      <c r="BO164" s="11">
        <v>45827.42083333333</v>
      </c>
      <c r="BP164" s="11">
        <v>45989.502581018518</v>
      </c>
      <c r="BQ164" s="15">
        <v>45989.723541666666</v>
      </c>
      <c r="BR164" s="15">
        <v>45994.467569444445</v>
      </c>
      <c r="BS164" s="10" t="s">
        <v>197</v>
      </c>
      <c r="BT164" s="10" t="s">
        <v>279</v>
      </c>
      <c r="BU164" s="10" t="s">
        <v>521</v>
      </c>
      <c r="BV164" s="10"/>
      <c r="BW164" s="10"/>
      <c r="BX164" s="10"/>
      <c r="BY164" s="23"/>
      <c r="BZ164" s="24" t="s">
        <v>299</v>
      </c>
      <c r="CA164" s="19" t="s">
        <v>1846</v>
      </c>
      <c r="CB164" s="19" t="s">
        <v>1842</v>
      </c>
      <c r="CC164" s="23"/>
      <c r="CD164" s="19" t="s">
        <v>1847</v>
      </c>
      <c r="CE164" s="23"/>
      <c r="CF164" s="23"/>
      <c r="CG164" s="23"/>
      <c r="CH164" s="23"/>
      <c r="CI164" s="23"/>
    </row>
    <row r="165" spans="1:87" x14ac:dyDescent="0.3">
      <c r="A165" s="9" t="s">
        <v>1848</v>
      </c>
      <c r="B165" s="10" t="s">
        <v>1849</v>
      </c>
      <c r="C165" s="11">
        <v>45997.916666666664</v>
      </c>
      <c r="D165" s="12">
        <v>8.3333333333333329E-2</v>
      </c>
      <c r="E165" s="11">
        <v>45998</v>
      </c>
      <c r="F165" s="10" t="s">
        <v>262</v>
      </c>
      <c r="G165" s="13" t="b">
        <v>0</v>
      </c>
      <c r="H165" s="10" t="s">
        <v>527</v>
      </c>
      <c r="I165" s="10" t="s">
        <v>264</v>
      </c>
      <c r="J165" s="13" t="b">
        <v>0</v>
      </c>
      <c r="K165" s="13" t="b">
        <v>1</v>
      </c>
      <c r="L165" s="10" t="s">
        <v>124</v>
      </c>
      <c r="M165" s="10" t="s">
        <v>91</v>
      </c>
      <c r="N165" s="10" t="s">
        <v>265</v>
      </c>
      <c r="O165" s="19" t="s">
        <v>1850</v>
      </c>
      <c r="P165" s="10"/>
      <c r="Q165" s="10" t="s">
        <v>126</v>
      </c>
      <c r="R165" s="10"/>
      <c r="S165" s="19" t="s">
        <v>1851</v>
      </c>
      <c r="T165" s="19" t="s">
        <v>1769</v>
      </c>
      <c r="U165" s="10" t="s">
        <v>429</v>
      </c>
      <c r="V165" s="10" t="s">
        <v>321</v>
      </c>
      <c r="W165" s="10" t="s">
        <v>272</v>
      </c>
      <c r="X165" s="10" t="s">
        <v>130</v>
      </c>
      <c r="Y165" s="10" t="s">
        <v>130</v>
      </c>
      <c r="Z165" s="10" t="s">
        <v>99</v>
      </c>
      <c r="AA165" s="10" t="s">
        <v>131</v>
      </c>
      <c r="AB165" s="10" t="s">
        <v>273</v>
      </c>
      <c r="AC165" s="10" t="s">
        <v>274</v>
      </c>
      <c r="AD165" s="10" t="s">
        <v>1852</v>
      </c>
      <c r="AE165" s="10" t="s">
        <v>1853</v>
      </c>
      <c r="AF165" s="15"/>
      <c r="AG165" s="10"/>
      <c r="AH165" s="10"/>
      <c r="AI165" s="10"/>
      <c r="AJ165" s="10" t="s">
        <v>1854</v>
      </c>
      <c r="AK165" s="10" t="s">
        <v>102</v>
      </c>
      <c r="AL165" s="10" t="s">
        <v>1773</v>
      </c>
      <c r="AM165" s="10"/>
      <c r="AN165" s="10"/>
      <c r="AO165" s="13" t="b">
        <v>1</v>
      </c>
      <c r="AP165" s="10" t="s">
        <v>104</v>
      </c>
      <c r="AQ165" s="10">
        <f ca="1">IFERROR(__xludf.DUMMYFUNCTION("""COMPUTED_VALUE"""),4759882)</f>
        <v>4759882</v>
      </c>
      <c r="AR165" s="17">
        <v>27915</v>
      </c>
      <c r="AS165" s="17">
        <v>18299</v>
      </c>
      <c r="AT165" s="17">
        <v>217723.5</v>
      </c>
      <c r="AU165" s="17">
        <v>94.6</v>
      </c>
      <c r="AV165" s="17">
        <v>15.6</v>
      </c>
      <c r="AW165" s="10" t="s">
        <v>105</v>
      </c>
      <c r="AX165" s="17">
        <v>4625</v>
      </c>
      <c r="AY165" s="18">
        <v>11.898109186294333</v>
      </c>
      <c r="AZ165" s="10" t="s">
        <v>148</v>
      </c>
      <c r="BA165" s="20" t="b">
        <v>0</v>
      </c>
      <c r="BB165" s="10"/>
      <c r="BC165" s="17">
        <v>27915</v>
      </c>
      <c r="BD165" s="17">
        <v>18299</v>
      </c>
      <c r="BE165" s="17">
        <v>217723.5</v>
      </c>
      <c r="BF165" s="17">
        <v>15.6</v>
      </c>
      <c r="BG165" s="11">
        <f ca="1">IFERROR(__xludf.DUMMYFUNCTION("""COMPUTED_VALUE"""),45997.9166666666)</f>
        <v>45997.916666666599</v>
      </c>
      <c r="BH165" s="17" t="s">
        <v>105</v>
      </c>
      <c r="BI165" s="17"/>
      <c r="BJ165" s="15"/>
      <c r="BK165" s="15"/>
      <c r="BL165" s="13" t="b">
        <v>1</v>
      </c>
      <c r="BM165" s="10"/>
      <c r="BN165" s="10" t="s">
        <v>197</v>
      </c>
      <c r="BO165" s="11">
        <v>45827.42083333333</v>
      </c>
      <c r="BP165" s="11">
        <v>45989.502766203703</v>
      </c>
      <c r="BQ165" s="15">
        <v>45989.723645833335</v>
      </c>
      <c r="BR165" s="15">
        <v>45994.470694444448</v>
      </c>
      <c r="BS165" s="10" t="s">
        <v>197</v>
      </c>
      <c r="BT165" s="10" t="s">
        <v>279</v>
      </c>
      <c r="BU165" s="10" t="s">
        <v>456</v>
      </c>
      <c r="BV165" s="10" t="s">
        <v>281</v>
      </c>
      <c r="BW165" s="10"/>
      <c r="BX165" s="10"/>
      <c r="BY165" s="23"/>
      <c r="BZ165" s="24" t="s">
        <v>284</v>
      </c>
      <c r="CA165" s="19" t="s">
        <v>1855</v>
      </c>
      <c r="CB165" s="19" t="s">
        <v>1856</v>
      </c>
      <c r="CC165" s="23"/>
      <c r="CD165" s="19" t="s">
        <v>1857</v>
      </c>
      <c r="CE165" s="23"/>
      <c r="CF165" s="23"/>
      <c r="CG165" s="23"/>
      <c r="CH165" s="23"/>
      <c r="CI165" s="23"/>
    </row>
    <row r="166" spans="1:87" x14ac:dyDescent="0.3">
      <c r="A166" s="9" t="s">
        <v>1858</v>
      </c>
      <c r="B166" s="10" t="s">
        <v>1859</v>
      </c>
      <c r="C166" s="11">
        <v>46000.125</v>
      </c>
      <c r="D166" s="12">
        <v>8.3333333333333329E-2</v>
      </c>
      <c r="E166" s="11">
        <v>46000.208333333336</v>
      </c>
      <c r="F166" s="10" t="s">
        <v>262</v>
      </c>
      <c r="G166" s="13" t="b">
        <v>0</v>
      </c>
      <c r="H166" s="10" t="s">
        <v>263</v>
      </c>
      <c r="I166" s="10" t="s">
        <v>264</v>
      </c>
      <c r="J166" s="13" t="b">
        <v>0</v>
      </c>
      <c r="K166" s="13" t="b">
        <v>1</v>
      </c>
      <c r="L166" s="10" t="s">
        <v>124</v>
      </c>
      <c r="M166" s="10" t="s">
        <v>91</v>
      </c>
      <c r="N166" s="10" t="s">
        <v>265</v>
      </c>
      <c r="O166" s="19" t="s">
        <v>1860</v>
      </c>
      <c r="P166" s="10" t="s">
        <v>885</v>
      </c>
      <c r="Q166" s="10" t="s">
        <v>126</v>
      </c>
      <c r="R166" s="10"/>
      <c r="S166" s="19" t="s">
        <v>1861</v>
      </c>
      <c r="T166" s="19" t="s">
        <v>1769</v>
      </c>
      <c r="U166" s="10" t="s">
        <v>333</v>
      </c>
      <c r="V166" s="10" t="s">
        <v>361</v>
      </c>
      <c r="W166" s="10" t="s">
        <v>272</v>
      </c>
      <c r="X166" s="10" t="s">
        <v>130</v>
      </c>
      <c r="Y166" s="10" t="s">
        <v>130</v>
      </c>
      <c r="Z166" s="10" t="s">
        <v>99</v>
      </c>
      <c r="AA166" s="10" t="s">
        <v>131</v>
      </c>
      <c r="AB166" s="10" t="s">
        <v>273</v>
      </c>
      <c r="AC166" s="10" t="s">
        <v>274</v>
      </c>
      <c r="AD166" s="10" t="s">
        <v>1862</v>
      </c>
      <c r="AE166" s="10" t="s">
        <v>1863</v>
      </c>
      <c r="AF166" s="15"/>
      <c r="AG166" s="10"/>
      <c r="AH166" s="10"/>
      <c r="AI166" s="10"/>
      <c r="AJ166" s="10" t="s">
        <v>1864</v>
      </c>
      <c r="AK166" s="10" t="s">
        <v>102</v>
      </c>
      <c r="AL166" s="10" t="s">
        <v>1773</v>
      </c>
      <c r="AM166" s="10"/>
      <c r="AN166" s="10"/>
      <c r="AO166" s="13" t="b">
        <v>1</v>
      </c>
      <c r="AP166" s="10" t="s">
        <v>104</v>
      </c>
      <c r="AQ166" s="10">
        <f ca="1">IFERROR(__xludf.DUMMYFUNCTION("""COMPUTED_VALUE"""),4769281)</f>
        <v>4769281</v>
      </c>
      <c r="AR166" s="17">
        <v>96692</v>
      </c>
      <c r="AS166" s="17">
        <v>62518</v>
      </c>
      <c r="AT166" s="17">
        <v>3164513.5</v>
      </c>
      <c r="AU166" s="17">
        <v>799.2</v>
      </c>
      <c r="AV166" s="17">
        <v>77.900000000000006</v>
      </c>
      <c r="AW166" s="10" t="s">
        <v>105</v>
      </c>
      <c r="AX166" s="17">
        <v>33192</v>
      </c>
      <c r="AY166" s="18">
        <v>50.617638120221379</v>
      </c>
      <c r="AZ166" s="10" t="s">
        <v>148</v>
      </c>
      <c r="BA166" s="20" t="b">
        <v>0</v>
      </c>
      <c r="BB166" s="10"/>
      <c r="BC166" s="17">
        <v>96692</v>
      </c>
      <c r="BD166" s="17">
        <v>62518</v>
      </c>
      <c r="BE166" s="17">
        <v>3164513.5</v>
      </c>
      <c r="BF166" s="17">
        <v>77.900000000000006</v>
      </c>
      <c r="BG166" s="11">
        <f ca="1">IFERROR(__xludf.DUMMYFUNCTION("""COMPUTED_VALUE"""),46000.125)</f>
        <v>46000.125</v>
      </c>
      <c r="BH166" s="17" t="s">
        <v>105</v>
      </c>
      <c r="BI166" s="17"/>
      <c r="BJ166" s="15"/>
      <c r="BK166" s="15"/>
      <c r="BL166" s="13" t="b">
        <v>0</v>
      </c>
      <c r="BM166" s="10"/>
      <c r="BN166" s="10" t="s">
        <v>197</v>
      </c>
      <c r="BO166" s="11">
        <v>45827.42083333333</v>
      </c>
      <c r="BP166" s="11">
        <v>45989.504062499997</v>
      </c>
      <c r="BQ166" s="15">
        <v>45989.724189814813</v>
      </c>
      <c r="BR166" s="15">
        <v>45998.389201388891</v>
      </c>
      <c r="BS166" s="10" t="s">
        <v>197</v>
      </c>
      <c r="BT166" s="10" t="s">
        <v>99</v>
      </c>
      <c r="BU166" s="10" t="s">
        <v>280</v>
      </c>
      <c r="BV166" s="10" t="s">
        <v>124</v>
      </c>
      <c r="BW166" s="10"/>
      <c r="BX166" s="10"/>
      <c r="BY166" s="23"/>
      <c r="BZ166" s="24" t="s">
        <v>284</v>
      </c>
      <c r="CA166" s="19" t="s">
        <v>1865</v>
      </c>
      <c r="CB166" s="19" t="s">
        <v>1866</v>
      </c>
      <c r="CC166" s="23"/>
      <c r="CD166" s="19" t="s">
        <v>1867</v>
      </c>
      <c r="CE166" s="23"/>
      <c r="CF166" s="23"/>
      <c r="CG166" s="23"/>
      <c r="CH166" s="23"/>
      <c r="CI166" s="23"/>
    </row>
    <row r="167" spans="1:87" x14ac:dyDescent="0.3">
      <c r="A167" s="9" t="s">
        <v>1868</v>
      </c>
      <c r="B167" s="10" t="s">
        <v>1869</v>
      </c>
      <c r="C167" s="11">
        <v>46005.125</v>
      </c>
      <c r="D167" s="12">
        <v>8.3333333333333329E-2</v>
      </c>
      <c r="E167" s="11">
        <v>46005.208333333336</v>
      </c>
      <c r="F167" s="10" t="s">
        <v>262</v>
      </c>
      <c r="G167" s="13" t="b">
        <v>1</v>
      </c>
      <c r="H167" s="10" t="s">
        <v>263</v>
      </c>
      <c r="I167" s="10" t="s">
        <v>264</v>
      </c>
      <c r="J167" s="13" t="b">
        <v>0</v>
      </c>
      <c r="K167" s="13" t="b">
        <v>1</v>
      </c>
      <c r="L167" s="10" t="s">
        <v>124</v>
      </c>
      <c r="M167" s="10" t="s">
        <v>91</v>
      </c>
      <c r="N167" s="10" t="s">
        <v>265</v>
      </c>
      <c r="O167" s="19" t="s">
        <v>1870</v>
      </c>
      <c r="P167" s="10" t="s">
        <v>331</v>
      </c>
      <c r="Q167" s="10" t="s">
        <v>126</v>
      </c>
      <c r="R167" s="10"/>
      <c r="S167" s="19" t="s">
        <v>1871</v>
      </c>
      <c r="T167" s="19" t="s">
        <v>1872</v>
      </c>
      <c r="U167" s="10" t="s">
        <v>362</v>
      </c>
      <c r="V167" s="10" t="s">
        <v>333</v>
      </c>
      <c r="W167" s="10" t="s">
        <v>272</v>
      </c>
      <c r="X167" s="10" t="s">
        <v>130</v>
      </c>
      <c r="Y167" s="10" t="s">
        <v>130</v>
      </c>
      <c r="Z167" s="10" t="s">
        <v>99</v>
      </c>
      <c r="AA167" s="10" t="s">
        <v>131</v>
      </c>
      <c r="AB167" s="10" t="s">
        <v>273</v>
      </c>
      <c r="AC167" s="10" t="s">
        <v>274</v>
      </c>
      <c r="AD167" s="10" t="s">
        <v>1873</v>
      </c>
      <c r="AE167" s="10" t="s">
        <v>1874</v>
      </c>
      <c r="AF167" s="15"/>
      <c r="AG167" s="10"/>
      <c r="AH167" s="10"/>
      <c r="AI167" s="10"/>
      <c r="AJ167" s="10" t="s">
        <v>1875</v>
      </c>
      <c r="AK167" s="10" t="s">
        <v>102</v>
      </c>
      <c r="AL167" s="10" t="s">
        <v>1876</v>
      </c>
      <c r="AM167" s="10"/>
      <c r="AN167" s="10"/>
      <c r="AO167" s="13" t="b">
        <v>1</v>
      </c>
      <c r="AP167" s="10" t="s">
        <v>104</v>
      </c>
      <c r="AQ167" s="10">
        <f ca="1">IFERROR(__xludf.DUMMYFUNCTION("""COMPUTED_VALUE"""),4773359)</f>
        <v>4773359</v>
      </c>
      <c r="AR167" s="17">
        <v>69784</v>
      </c>
      <c r="AS167" s="17">
        <v>47377</v>
      </c>
      <c r="AT167" s="17">
        <v>2147237</v>
      </c>
      <c r="AU167" s="17">
        <v>207.7</v>
      </c>
      <c r="AV167" s="17">
        <v>27.55</v>
      </c>
      <c r="AW167" s="10" t="s">
        <v>105</v>
      </c>
      <c r="AX167" s="17">
        <v>24192</v>
      </c>
      <c r="AY167" s="18">
        <v>45.322350507630283</v>
      </c>
      <c r="AZ167" s="10" t="s">
        <v>148</v>
      </c>
      <c r="BA167" s="20" t="b">
        <v>0</v>
      </c>
      <c r="BB167" s="10"/>
      <c r="BC167" s="17">
        <v>69784</v>
      </c>
      <c r="BD167" s="17">
        <v>47377</v>
      </c>
      <c r="BE167" s="17">
        <v>2147237</v>
      </c>
      <c r="BF167" s="17">
        <v>27.55</v>
      </c>
      <c r="BG167" s="11">
        <f ca="1">IFERROR(__xludf.DUMMYFUNCTION("""COMPUTED_VALUE"""),46005.1041666666)</f>
        <v>46005.104166666599</v>
      </c>
      <c r="BH167" s="17" t="s">
        <v>105</v>
      </c>
      <c r="BI167" s="17"/>
      <c r="BJ167" s="15"/>
      <c r="BK167" s="15"/>
      <c r="BL167" s="13" t="b">
        <v>0</v>
      </c>
      <c r="BM167" s="10"/>
      <c r="BN167" s="10" t="s">
        <v>1057</v>
      </c>
      <c r="BO167" s="11">
        <v>45827.42083333333</v>
      </c>
      <c r="BP167" s="11">
        <v>45997.66684027778</v>
      </c>
      <c r="BQ167" s="15">
        <v>46000.542754629627</v>
      </c>
      <c r="BR167" s="15">
        <v>46000.651342592595</v>
      </c>
      <c r="BS167" s="10"/>
      <c r="BT167" s="10" t="s">
        <v>279</v>
      </c>
      <c r="BU167" s="10"/>
      <c r="BV167" s="10"/>
      <c r="BW167" s="10"/>
      <c r="BX167" s="10"/>
      <c r="BY167" s="23"/>
      <c r="BZ167" s="24" t="s">
        <v>284</v>
      </c>
      <c r="CA167" s="19" t="s">
        <v>1877</v>
      </c>
      <c r="CB167" s="19" t="s">
        <v>1878</v>
      </c>
      <c r="CC167" s="23"/>
      <c r="CD167" s="19" t="s">
        <v>1879</v>
      </c>
      <c r="CE167" s="23"/>
      <c r="CF167" s="23"/>
      <c r="CG167" s="23"/>
      <c r="CH167" s="23"/>
      <c r="CI167" s="23"/>
    </row>
    <row r="168" spans="1:87" x14ac:dyDescent="0.3">
      <c r="A168" s="9" t="s">
        <v>1880</v>
      </c>
      <c r="B168" s="10" t="s">
        <v>1881</v>
      </c>
      <c r="C168" s="11">
        <v>46005.979166666664</v>
      </c>
      <c r="D168" s="12">
        <v>8.3333333333333329E-2</v>
      </c>
      <c r="E168" s="11">
        <v>46006.0625</v>
      </c>
      <c r="F168" s="10" t="s">
        <v>262</v>
      </c>
      <c r="G168" s="13" t="b">
        <v>0</v>
      </c>
      <c r="H168" s="10" t="s">
        <v>263</v>
      </c>
      <c r="I168" s="10" t="s">
        <v>264</v>
      </c>
      <c r="J168" s="13" t="b">
        <v>0</v>
      </c>
      <c r="K168" s="13" t="b">
        <v>1</v>
      </c>
      <c r="L168" s="10" t="s">
        <v>124</v>
      </c>
      <c r="M168" s="10" t="s">
        <v>91</v>
      </c>
      <c r="N168" s="10" t="s">
        <v>265</v>
      </c>
      <c r="O168" s="19" t="s">
        <v>1882</v>
      </c>
      <c r="P168" s="10" t="s">
        <v>267</v>
      </c>
      <c r="Q168" s="10" t="s">
        <v>126</v>
      </c>
      <c r="R168" s="10"/>
      <c r="S168" s="19" t="s">
        <v>1883</v>
      </c>
      <c r="T168" s="19" t="s">
        <v>1884</v>
      </c>
      <c r="U168" s="10" t="s">
        <v>321</v>
      </c>
      <c r="V168" s="10" t="s">
        <v>663</v>
      </c>
      <c r="W168" s="10" t="s">
        <v>272</v>
      </c>
      <c r="X168" s="10" t="s">
        <v>130</v>
      </c>
      <c r="Y168" s="10" t="s">
        <v>130</v>
      </c>
      <c r="Z168" s="10" t="s">
        <v>99</v>
      </c>
      <c r="AA168" s="10" t="s">
        <v>131</v>
      </c>
      <c r="AB168" s="10" t="s">
        <v>273</v>
      </c>
      <c r="AC168" s="10" t="s">
        <v>274</v>
      </c>
      <c r="AD168" s="10" t="s">
        <v>1885</v>
      </c>
      <c r="AE168" s="10" t="s">
        <v>1886</v>
      </c>
      <c r="AF168" s="15"/>
      <c r="AG168" s="10"/>
      <c r="AH168" s="10"/>
      <c r="AI168" s="10"/>
      <c r="AJ168" s="10" t="s">
        <v>1887</v>
      </c>
      <c r="AK168" s="10" t="s">
        <v>102</v>
      </c>
      <c r="AL168" s="10" t="s">
        <v>1876</v>
      </c>
      <c r="AM168" s="10"/>
      <c r="AN168" s="10"/>
      <c r="AO168" s="13" t="b">
        <v>0</v>
      </c>
      <c r="AP168" s="10" t="s">
        <v>104</v>
      </c>
      <c r="AQ168" s="10">
        <f ca="1">IFERROR(__xludf.DUMMYFUNCTION("""COMPUTED_VALUE"""),4780158)</f>
        <v>4780158</v>
      </c>
      <c r="AR168" s="17">
        <v>24719</v>
      </c>
      <c r="AS168" s="17">
        <v>19430</v>
      </c>
      <c r="AT168" s="17">
        <v>420087.75</v>
      </c>
      <c r="AU168" s="17">
        <v>87.45</v>
      </c>
      <c r="AV168" s="17">
        <v>12.05</v>
      </c>
      <c r="AW168" s="10" t="s">
        <v>105</v>
      </c>
      <c r="AX168" s="17">
        <v>17257</v>
      </c>
      <c r="AY168" s="18">
        <v>21.620573854863611</v>
      </c>
      <c r="AZ168" s="10" t="s">
        <v>148</v>
      </c>
      <c r="BA168" s="20" t="b">
        <v>0</v>
      </c>
      <c r="BB168" s="10"/>
      <c r="BC168" s="17">
        <v>24719</v>
      </c>
      <c r="BD168" s="17">
        <v>19430</v>
      </c>
      <c r="BE168" s="17">
        <v>420087.75</v>
      </c>
      <c r="BF168" s="17">
        <v>12.05</v>
      </c>
      <c r="BG168" s="11">
        <f ca="1">IFERROR(__xludf.DUMMYFUNCTION("""COMPUTED_VALUE"""),46005.9791666666)</f>
        <v>46005.979166666599</v>
      </c>
      <c r="BH168" s="17" t="s">
        <v>105</v>
      </c>
      <c r="BI168" s="17"/>
      <c r="BJ168" s="15"/>
      <c r="BK168" s="15"/>
      <c r="BL168" s="13" t="b">
        <v>1</v>
      </c>
      <c r="BM168" s="10"/>
      <c r="BN168" s="10" t="s">
        <v>1149</v>
      </c>
      <c r="BO168" s="11">
        <v>45827.420937499999</v>
      </c>
      <c r="BP168" s="11">
        <v>45997.665046296293</v>
      </c>
      <c r="BQ168" s="15">
        <v>46000.54351851852</v>
      </c>
      <c r="BR168" s="15">
        <v>46005.621782407405</v>
      </c>
      <c r="BS168" s="10" t="s">
        <v>1149</v>
      </c>
      <c r="BT168" s="10" t="s">
        <v>99</v>
      </c>
      <c r="BU168" s="10" t="s">
        <v>1888</v>
      </c>
      <c r="BV168" s="10"/>
      <c r="BW168" s="10"/>
      <c r="BX168" s="10"/>
      <c r="BY168" s="23"/>
      <c r="BZ168" s="24" t="s">
        <v>299</v>
      </c>
      <c r="CA168" s="19" t="s">
        <v>1889</v>
      </c>
      <c r="CB168" s="19" t="s">
        <v>1890</v>
      </c>
      <c r="CC168" s="23"/>
      <c r="CD168" s="19" t="s">
        <v>1891</v>
      </c>
      <c r="CE168" s="23"/>
      <c r="CF168" s="23"/>
      <c r="CG168" s="23"/>
      <c r="CH168" s="23"/>
      <c r="CI168" s="23"/>
    </row>
    <row r="169" spans="1:87" x14ac:dyDescent="0.3">
      <c r="A169" s="9" t="s">
        <v>1892</v>
      </c>
      <c r="B169" s="10" t="s">
        <v>1893</v>
      </c>
      <c r="C169" s="11">
        <v>46005.020833333336</v>
      </c>
      <c r="D169" s="12">
        <v>8.3333333333333329E-2</v>
      </c>
      <c r="E169" s="11">
        <v>46005.104166666664</v>
      </c>
      <c r="F169" s="10" t="s">
        <v>262</v>
      </c>
      <c r="G169" s="13" t="b">
        <v>1</v>
      </c>
      <c r="H169" s="10" t="s">
        <v>263</v>
      </c>
      <c r="I169" s="10" t="s">
        <v>264</v>
      </c>
      <c r="J169" s="13" t="b">
        <v>0</v>
      </c>
      <c r="K169" s="13" t="b">
        <v>1</v>
      </c>
      <c r="L169" s="10" t="s">
        <v>124</v>
      </c>
      <c r="M169" s="10" t="s">
        <v>91</v>
      </c>
      <c r="N169" s="10" t="s">
        <v>265</v>
      </c>
      <c r="O169" s="19" t="s">
        <v>1894</v>
      </c>
      <c r="P169" s="10" t="s">
        <v>267</v>
      </c>
      <c r="Q169" s="10" t="s">
        <v>126</v>
      </c>
      <c r="R169" s="10"/>
      <c r="S169" s="19" t="s">
        <v>1895</v>
      </c>
      <c r="T169" s="19" t="s">
        <v>1896</v>
      </c>
      <c r="U169" s="10" t="s">
        <v>609</v>
      </c>
      <c r="V169" s="10" t="s">
        <v>309</v>
      </c>
      <c r="W169" s="10" t="s">
        <v>272</v>
      </c>
      <c r="X169" s="10" t="s">
        <v>130</v>
      </c>
      <c r="Y169" s="10" t="s">
        <v>130</v>
      </c>
      <c r="Z169" s="10" t="s">
        <v>99</v>
      </c>
      <c r="AA169" s="10" t="s">
        <v>131</v>
      </c>
      <c r="AB169" s="10" t="s">
        <v>273</v>
      </c>
      <c r="AC169" s="10" t="s">
        <v>274</v>
      </c>
      <c r="AD169" s="10" t="s">
        <v>1897</v>
      </c>
      <c r="AE169" s="10" t="s">
        <v>1898</v>
      </c>
      <c r="AF169" s="15"/>
      <c r="AG169" s="10"/>
      <c r="AH169" s="10"/>
      <c r="AI169" s="10"/>
      <c r="AJ169" s="10" t="s">
        <v>1899</v>
      </c>
      <c r="AK169" s="10" t="s">
        <v>102</v>
      </c>
      <c r="AL169" s="10" t="s">
        <v>1876</v>
      </c>
      <c r="AM169" s="10"/>
      <c r="AN169" s="10"/>
      <c r="AO169" s="13" t="b">
        <v>0</v>
      </c>
      <c r="AP169" s="10" t="s">
        <v>104</v>
      </c>
      <c r="AQ169" s="10">
        <f ca="1">IFERROR(__xludf.DUMMYFUNCTION("""COMPUTED_VALUE"""),4773358)</f>
        <v>4773358</v>
      </c>
      <c r="AR169" s="17">
        <v>18272</v>
      </c>
      <c r="AS169" s="17">
        <v>13284</v>
      </c>
      <c r="AT169" s="17">
        <v>454992</v>
      </c>
      <c r="AU169" s="17">
        <v>27.7</v>
      </c>
      <c r="AV169" s="17">
        <v>2.5</v>
      </c>
      <c r="AW169" s="10" t="s">
        <v>105</v>
      </c>
      <c r="AX169" s="17">
        <v>16396</v>
      </c>
      <c r="AY169" s="18">
        <v>34.251129177958447</v>
      </c>
      <c r="AZ169" s="10" t="s">
        <v>148</v>
      </c>
      <c r="BA169" s="20" t="b">
        <v>0</v>
      </c>
      <c r="BB169" s="10"/>
      <c r="BC169" s="17">
        <v>18272</v>
      </c>
      <c r="BD169" s="17">
        <v>13284</v>
      </c>
      <c r="BE169" s="17">
        <v>454992</v>
      </c>
      <c r="BF169" s="17">
        <v>2.5</v>
      </c>
      <c r="BG169" s="11">
        <f ca="1">IFERROR(__xludf.DUMMYFUNCTION("""COMPUTED_VALUE"""),46005)</f>
        <v>46005</v>
      </c>
      <c r="BH169" s="17" t="s">
        <v>105</v>
      </c>
      <c r="BI169" s="17"/>
      <c r="BJ169" s="15"/>
      <c r="BK169" s="15"/>
      <c r="BL169" s="13" t="b">
        <v>1</v>
      </c>
      <c r="BM169" s="10"/>
      <c r="BN169" s="10" t="s">
        <v>351</v>
      </c>
      <c r="BO169" s="11">
        <v>45827.42083333333</v>
      </c>
      <c r="BP169" s="11">
        <v>45997.667488425926</v>
      </c>
      <c r="BQ169" s="15">
        <v>46000.542893518519</v>
      </c>
      <c r="BR169" s="15">
        <v>46000.65148148148</v>
      </c>
      <c r="BS169" s="10"/>
      <c r="BT169" s="10" t="s">
        <v>279</v>
      </c>
      <c r="BU169" s="10"/>
      <c r="BV169" s="10"/>
      <c r="BW169" s="10"/>
      <c r="BX169" s="10"/>
      <c r="BY169" s="23"/>
      <c r="BZ169" s="24" t="s">
        <v>299</v>
      </c>
      <c r="CA169" s="19" t="s">
        <v>1900</v>
      </c>
      <c r="CB169" s="19" t="s">
        <v>1901</v>
      </c>
      <c r="CC169" s="23"/>
      <c r="CD169" s="19" t="s">
        <v>1902</v>
      </c>
      <c r="CE169" s="23"/>
      <c r="CF169" s="23"/>
      <c r="CG169" s="23"/>
      <c r="CH169" s="23"/>
      <c r="CI169" s="23"/>
    </row>
    <row r="170" spans="1:87" x14ac:dyDescent="0.3">
      <c r="A170" s="9" t="s">
        <v>1903</v>
      </c>
      <c r="B170" s="10" t="s">
        <v>1904</v>
      </c>
      <c r="C170" s="11">
        <v>46004.916666666664</v>
      </c>
      <c r="D170" s="12">
        <v>8.3333333333333329E-2</v>
      </c>
      <c r="E170" s="11">
        <v>46005</v>
      </c>
      <c r="F170" s="10" t="s">
        <v>262</v>
      </c>
      <c r="G170" s="13" t="b">
        <v>0</v>
      </c>
      <c r="H170" s="10" t="s">
        <v>305</v>
      </c>
      <c r="I170" s="10" t="s">
        <v>264</v>
      </c>
      <c r="J170" s="13" t="b">
        <v>0</v>
      </c>
      <c r="K170" s="13" t="b">
        <v>1</v>
      </c>
      <c r="L170" s="10" t="s">
        <v>124</v>
      </c>
      <c r="M170" s="10" t="s">
        <v>91</v>
      </c>
      <c r="N170" s="10" t="s">
        <v>265</v>
      </c>
      <c r="O170" s="19" t="s">
        <v>1905</v>
      </c>
      <c r="P170" s="10"/>
      <c r="Q170" s="10" t="s">
        <v>126</v>
      </c>
      <c r="R170" s="10"/>
      <c r="S170" s="19" t="s">
        <v>1906</v>
      </c>
      <c r="T170" s="19" t="s">
        <v>1907</v>
      </c>
      <c r="U170" s="10" t="s">
        <v>346</v>
      </c>
      <c r="V170" s="10" t="s">
        <v>407</v>
      </c>
      <c r="W170" s="10" t="s">
        <v>272</v>
      </c>
      <c r="X170" s="10" t="s">
        <v>130</v>
      </c>
      <c r="Y170" s="10" t="s">
        <v>130</v>
      </c>
      <c r="Z170" s="10" t="s">
        <v>99</v>
      </c>
      <c r="AA170" s="10" t="s">
        <v>131</v>
      </c>
      <c r="AB170" s="10" t="s">
        <v>273</v>
      </c>
      <c r="AC170" s="10" t="s">
        <v>274</v>
      </c>
      <c r="AD170" s="10" t="s">
        <v>1908</v>
      </c>
      <c r="AE170" s="10" t="s">
        <v>1909</v>
      </c>
      <c r="AF170" s="15"/>
      <c r="AG170" s="10"/>
      <c r="AH170" s="10"/>
      <c r="AI170" s="10"/>
      <c r="AJ170" s="10" t="s">
        <v>1910</v>
      </c>
      <c r="AK170" s="10" t="s">
        <v>102</v>
      </c>
      <c r="AL170" s="10" t="s">
        <v>1876</v>
      </c>
      <c r="AM170" s="10"/>
      <c r="AN170" s="10"/>
      <c r="AO170" s="13" t="b">
        <v>1</v>
      </c>
      <c r="AP170" s="10" t="s">
        <v>104</v>
      </c>
      <c r="AQ170" s="10">
        <f ca="1">IFERROR(__xludf.DUMMYFUNCTION("""COMPUTED_VALUE"""),4773355)</f>
        <v>4773355</v>
      </c>
      <c r="AR170" s="17">
        <v>128743</v>
      </c>
      <c r="AS170" s="17">
        <v>76241</v>
      </c>
      <c r="AT170" s="17">
        <v>2224008.25</v>
      </c>
      <c r="AU170" s="17">
        <v>1008.7</v>
      </c>
      <c r="AV170" s="17">
        <v>190.35</v>
      </c>
      <c r="AW170" s="10" t="s">
        <v>105</v>
      </c>
      <c r="AX170" s="17">
        <v>29880</v>
      </c>
      <c r="AY170" s="18">
        <v>29.170764418095249</v>
      </c>
      <c r="AZ170" s="10" t="s">
        <v>148</v>
      </c>
      <c r="BA170" s="20" t="b">
        <v>0</v>
      </c>
      <c r="BB170" s="10"/>
      <c r="BC170" s="17">
        <v>128743</v>
      </c>
      <c r="BD170" s="17">
        <v>76241</v>
      </c>
      <c r="BE170" s="17">
        <v>2224008.25</v>
      </c>
      <c r="BF170" s="17">
        <v>190.35</v>
      </c>
      <c r="BG170" s="11">
        <f ca="1">IFERROR(__xludf.DUMMYFUNCTION("""COMPUTED_VALUE"""),46004.9166666666)</f>
        <v>46004.916666666599</v>
      </c>
      <c r="BH170" s="17" t="s">
        <v>105</v>
      </c>
      <c r="BI170" s="17"/>
      <c r="BJ170" s="15"/>
      <c r="BK170" s="15"/>
      <c r="BL170" s="13" t="b">
        <v>1</v>
      </c>
      <c r="BM170" s="10"/>
      <c r="BN170" s="10" t="s">
        <v>351</v>
      </c>
      <c r="BO170" s="11">
        <v>45827.42083333333</v>
      </c>
      <c r="BP170" s="11">
        <v>45997.671805555554</v>
      </c>
      <c r="BQ170" s="15">
        <v>46000.539884259262</v>
      </c>
      <c r="BR170" s="15">
        <v>46000.651724537034</v>
      </c>
      <c r="BS170" s="10"/>
      <c r="BT170" s="10" t="s">
        <v>279</v>
      </c>
      <c r="BU170" s="10" t="s">
        <v>498</v>
      </c>
      <c r="BV170" s="10" t="s">
        <v>281</v>
      </c>
      <c r="BW170" s="10"/>
      <c r="BX170" s="10"/>
      <c r="BY170" s="23"/>
      <c r="BZ170" s="24" t="s">
        <v>284</v>
      </c>
      <c r="CA170" s="19" t="s">
        <v>1911</v>
      </c>
      <c r="CB170" s="19" t="s">
        <v>1912</v>
      </c>
      <c r="CC170" s="23"/>
      <c r="CD170" s="19" t="s">
        <v>1913</v>
      </c>
      <c r="CE170" s="23"/>
      <c r="CF170" s="23"/>
      <c r="CG170" s="23"/>
      <c r="CH170" s="23"/>
      <c r="CI170" s="23"/>
    </row>
    <row r="171" spans="1:87" x14ac:dyDescent="0.3">
      <c r="A171" s="9" t="s">
        <v>1914</v>
      </c>
      <c r="B171" s="10" t="s">
        <v>1915</v>
      </c>
      <c r="C171" s="11">
        <v>46005.875</v>
      </c>
      <c r="D171" s="12">
        <v>8.3333333333333329E-2</v>
      </c>
      <c r="E171" s="11">
        <v>46005.958333333336</v>
      </c>
      <c r="F171" s="10" t="s">
        <v>262</v>
      </c>
      <c r="G171" s="13" t="b">
        <v>1</v>
      </c>
      <c r="H171" s="10" t="s">
        <v>263</v>
      </c>
      <c r="I171" s="10" t="s">
        <v>264</v>
      </c>
      <c r="J171" s="13" t="b">
        <v>0</v>
      </c>
      <c r="K171" s="13" t="b">
        <v>1</v>
      </c>
      <c r="L171" s="10" t="s">
        <v>124</v>
      </c>
      <c r="M171" s="10" t="s">
        <v>91</v>
      </c>
      <c r="N171" s="10" t="s">
        <v>265</v>
      </c>
      <c r="O171" s="19" t="s">
        <v>1916</v>
      </c>
      <c r="P171" s="10"/>
      <c r="Q171" s="10" t="s">
        <v>126</v>
      </c>
      <c r="R171" s="10"/>
      <c r="S171" s="19" t="s">
        <v>1917</v>
      </c>
      <c r="T171" s="19" t="s">
        <v>1918</v>
      </c>
      <c r="U171" s="10" t="s">
        <v>347</v>
      </c>
      <c r="V171" s="10" t="s">
        <v>334</v>
      </c>
      <c r="W171" s="10" t="s">
        <v>272</v>
      </c>
      <c r="X171" s="10" t="s">
        <v>130</v>
      </c>
      <c r="Y171" s="10" t="s">
        <v>130</v>
      </c>
      <c r="Z171" s="10" t="s">
        <v>99</v>
      </c>
      <c r="AA171" s="10" t="s">
        <v>131</v>
      </c>
      <c r="AB171" s="10" t="s">
        <v>273</v>
      </c>
      <c r="AC171" s="10" t="s">
        <v>274</v>
      </c>
      <c r="AD171" s="10" t="s">
        <v>1919</v>
      </c>
      <c r="AE171" s="10" t="s">
        <v>1920</v>
      </c>
      <c r="AF171" s="15"/>
      <c r="AG171" s="10"/>
      <c r="AH171" s="10"/>
      <c r="AI171" s="10"/>
      <c r="AJ171" s="10" t="s">
        <v>1921</v>
      </c>
      <c r="AK171" s="10" t="s">
        <v>102</v>
      </c>
      <c r="AL171" s="10" t="s">
        <v>1876</v>
      </c>
      <c r="AM171" s="10"/>
      <c r="AN171" s="10"/>
      <c r="AO171" s="13" t="b">
        <v>1</v>
      </c>
      <c r="AP171" s="10" t="s">
        <v>104</v>
      </c>
      <c r="AQ171" s="10">
        <f ca="1">IFERROR(__xludf.DUMMYFUNCTION("""COMPUTED_VALUE"""),4773360)</f>
        <v>4773360</v>
      </c>
      <c r="AR171" s="17">
        <v>190417</v>
      </c>
      <c r="AS171" s="17">
        <v>107159</v>
      </c>
      <c r="AT171" s="17">
        <v>4300231</v>
      </c>
      <c r="AU171" s="17">
        <v>1136.55</v>
      </c>
      <c r="AV171" s="17">
        <v>173.95</v>
      </c>
      <c r="AW171" s="10" t="s">
        <v>105</v>
      </c>
      <c r="AX171" s="17">
        <v>44551</v>
      </c>
      <c r="AY171" s="18">
        <v>40.129443163896639</v>
      </c>
      <c r="AZ171" s="10" t="s">
        <v>148</v>
      </c>
      <c r="BA171" s="20" t="b">
        <v>0</v>
      </c>
      <c r="BB171" s="10"/>
      <c r="BC171" s="17">
        <v>190417</v>
      </c>
      <c r="BD171" s="17">
        <v>107159</v>
      </c>
      <c r="BE171" s="17">
        <v>4300231</v>
      </c>
      <c r="BF171" s="17">
        <v>173.95</v>
      </c>
      <c r="BG171" s="11">
        <f ca="1">IFERROR(__xludf.DUMMYFUNCTION("""COMPUTED_VALUE"""),46005.8541666666)</f>
        <v>46005.854166666599</v>
      </c>
      <c r="BH171" s="17" t="s">
        <v>105</v>
      </c>
      <c r="BI171" s="17"/>
      <c r="BJ171" s="15"/>
      <c r="BK171" s="15"/>
      <c r="BL171" s="13" t="b">
        <v>1</v>
      </c>
      <c r="BM171" s="10"/>
      <c r="BN171" s="10" t="s">
        <v>351</v>
      </c>
      <c r="BO171" s="11">
        <v>45827.42083333333</v>
      </c>
      <c r="BP171" s="11">
        <v>45997.666400462964</v>
      </c>
      <c r="BQ171" s="15">
        <v>46000.543009259258</v>
      </c>
      <c r="BR171" s="15">
        <v>46000.65116898148</v>
      </c>
      <c r="BS171" s="10"/>
      <c r="BT171" s="10" t="s">
        <v>279</v>
      </c>
      <c r="BU171" s="10" t="s">
        <v>498</v>
      </c>
      <c r="BV171" s="10" t="s">
        <v>281</v>
      </c>
      <c r="BW171" s="10"/>
      <c r="BX171" s="10"/>
      <c r="BY171" s="23"/>
      <c r="BZ171" s="24" t="s">
        <v>284</v>
      </c>
      <c r="CA171" s="19" t="s">
        <v>1922</v>
      </c>
      <c r="CB171" s="19" t="s">
        <v>1923</v>
      </c>
      <c r="CC171" s="23"/>
      <c r="CD171" s="19" t="s">
        <v>1924</v>
      </c>
      <c r="CE171" s="23"/>
      <c r="CF171" s="23"/>
      <c r="CG171" s="23"/>
      <c r="CH171" s="23"/>
      <c r="CI171" s="23"/>
    </row>
    <row r="172" spans="1:87" x14ac:dyDescent="0.3">
      <c r="A172" s="9" t="s">
        <v>1925</v>
      </c>
      <c r="B172" s="10" t="s">
        <v>1926</v>
      </c>
      <c r="C172" s="11">
        <v>46004.916666666664</v>
      </c>
      <c r="D172" s="12">
        <v>8.3333333333333329E-2</v>
      </c>
      <c r="E172" s="11">
        <v>46005</v>
      </c>
      <c r="F172" s="10" t="s">
        <v>262</v>
      </c>
      <c r="G172" s="13" t="b">
        <v>1</v>
      </c>
      <c r="H172" s="10" t="s">
        <v>263</v>
      </c>
      <c r="I172" s="10" t="s">
        <v>264</v>
      </c>
      <c r="J172" s="13" t="b">
        <v>0</v>
      </c>
      <c r="K172" s="13" t="b">
        <v>1</v>
      </c>
      <c r="L172" s="10" t="s">
        <v>124</v>
      </c>
      <c r="M172" s="10" t="s">
        <v>91</v>
      </c>
      <c r="N172" s="10" t="s">
        <v>265</v>
      </c>
      <c r="O172" s="19" t="s">
        <v>1927</v>
      </c>
      <c r="P172" s="10"/>
      <c r="Q172" s="10" t="s">
        <v>126</v>
      </c>
      <c r="R172" s="10"/>
      <c r="S172" s="19" t="s">
        <v>1928</v>
      </c>
      <c r="T172" s="19" t="s">
        <v>1929</v>
      </c>
      <c r="U172" s="10" t="s">
        <v>270</v>
      </c>
      <c r="V172" s="10" t="s">
        <v>308</v>
      </c>
      <c r="W172" s="10" t="s">
        <v>272</v>
      </c>
      <c r="X172" s="10" t="s">
        <v>130</v>
      </c>
      <c r="Y172" s="10" t="s">
        <v>130</v>
      </c>
      <c r="Z172" s="10" t="s">
        <v>99</v>
      </c>
      <c r="AA172" s="10" t="s">
        <v>131</v>
      </c>
      <c r="AB172" s="10" t="s">
        <v>273</v>
      </c>
      <c r="AC172" s="10" t="s">
        <v>274</v>
      </c>
      <c r="AD172" s="10" t="s">
        <v>1930</v>
      </c>
      <c r="AE172" s="10" t="s">
        <v>1931</v>
      </c>
      <c r="AF172" s="15"/>
      <c r="AG172" s="10"/>
      <c r="AH172" s="10"/>
      <c r="AI172" s="10"/>
      <c r="AJ172" s="10" t="s">
        <v>1932</v>
      </c>
      <c r="AK172" s="10" t="s">
        <v>102</v>
      </c>
      <c r="AL172" s="10" t="s">
        <v>1876</v>
      </c>
      <c r="AM172" s="10"/>
      <c r="AN172" s="10"/>
      <c r="AO172" s="13" t="b">
        <v>1</v>
      </c>
      <c r="AP172" s="10" t="s">
        <v>104</v>
      </c>
      <c r="AQ172" s="10">
        <f ca="1">IFERROR(__xludf.DUMMYFUNCTION("""COMPUTED_VALUE"""),4773357)</f>
        <v>4773357</v>
      </c>
      <c r="AR172" s="17">
        <v>221570</v>
      </c>
      <c r="AS172" s="17">
        <v>124128</v>
      </c>
      <c r="AT172" s="17">
        <v>4864776.5</v>
      </c>
      <c r="AU172" s="17">
        <v>2615.1</v>
      </c>
      <c r="AV172" s="17">
        <v>418.75</v>
      </c>
      <c r="AW172" s="10" t="s">
        <v>105</v>
      </c>
      <c r="AX172" s="17">
        <v>51541</v>
      </c>
      <c r="AY172" s="18">
        <v>39.19161269012632</v>
      </c>
      <c r="AZ172" s="10" t="s">
        <v>148</v>
      </c>
      <c r="BA172" s="20" t="b">
        <v>0</v>
      </c>
      <c r="BB172" s="10"/>
      <c r="BC172" s="17">
        <v>221570</v>
      </c>
      <c r="BD172" s="17">
        <v>124128</v>
      </c>
      <c r="BE172" s="17">
        <v>4864776.5</v>
      </c>
      <c r="BF172" s="17">
        <v>418.75</v>
      </c>
      <c r="BG172" s="11">
        <f ca="1">IFERROR(__xludf.DUMMYFUNCTION("""COMPUTED_VALUE"""),46004.8958333333)</f>
        <v>46004.895833333299</v>
      </c>
      <c r="BH172" s="17" t="s">
        <v>105</v>
      </c>
      <c r="BI172" s="17"/>
      <c r="BJ172" s="15"/>
      <c r="BK172" s="15"/>
      <c r="BL172" s="13" t="b">
        <v>1</v>
      </c>
      <c r="BM172" s="10"/>
      <c r="BN172" s="10" t="s">
        <v>351</v>
      </c>
      <c r="BO172" s="11">
        <v>45827.42083333333</v>
      </c>
      <c r="BP172" s="11">
        <v>45997.671307870369</v>
      </c>
      <c r="BQ172" s="15">
        <v>46000.541516203702</v>
      </c>
      <c r="BR172" s="15">
        <v>46000.651631944442</v>
      </c>
      <c r="BS172" s="10"/>
      <c r="BT172" s="10" t="s">
        <v>279</v>
      </c>
      <c r="BU172" s="10" t="s">
        <v>816</v>
      </c>
      <c r="BV172" s="10" t="s">
        <v>281</v>
      </c>
      <c r="BW172" s="10"/>
      <c r="BX172" s="10"/>
      <c r="BY172" s="23"/>
      <c r="BZ172" s="24" t="s">
        <v>284</v>
      </c>
      <c r="CA172" s="19" t="s">
        <v>1933</v>
      </c>
      <c r="CB172" s="19" t="s">
        <v>1934</v>
      </c>
      <c r="CC172" s="23"/>
      <c r="CD172" s="19" t="s">
        <v>1935</v>
      </c>
      <c r="CE172" s="23"/>
      <c r="CF172" s="23"/>
      <c r="CG172" s="23"/>
      <c r="CH172" s="23"/>
      <c r="CI172" s="23"/>
    </row>
    <row r="173" spans="1:87" x14ac:dyDescent="0.3">
      <c r="A173" s="9" t="s">
        <v>1936</v>
      </c>
      <c r="B173" s="10" t="s">
        <v>1937</v>
      </c>
      <c r="C173" s="11">
        <v>46007.125</v>
      </c>
      <c r="D173" s="12">
        <v>8.3333333333333329E-2</v>
      </c>
      <c r="E173" s="11">
        <v>46007.208333333336</v>
      </c>
      <c r="F173" s="10" t="s">
        <v>262</v>
      </c>
      <c r="G173" s="13" t="b">
        <v>0</v>
      </c>
      <c r="H173" s="10" t="s">
        <v>263</v>
      </c>
      <c r="I173" s="10" t="s">
        <v>264</v>
      </c>
      <c r="J173" s="13" t="b">
        <v>0</v>
      </c>
      <c r="K173" s="13" t="b">
        <v>1</v>
      </c>
      <c r="L173" s="10" t="s">
        <v>124</v>
      </c>
      <c r="M173" s="10" t="s">
        <v>91</v>
      </c>
      <c r="N173" s="10" t="s">
        <v>265</v>
      </c>
      <c r="O173" s="19" t="s">
        <v>1938</v>
      </c>
      <c r="P173" s="10" t="s">
        <v>885</v>
      </c>
      <c r="Q173" s="10" t="s">
        <v>126</v>
      </c>
      <c r="R173" s="10"/>
      <c r="S173" s="19" t="s">
        <v>1939</v>
      </c>
      <c r="T173" s="19" t="s">
        <v>1940</v>
      </c>
      <c r="U173" s="10" t="s">
        <v>361</v>
      </c>
      <c r="V173" s="10" t="s">
        <v>271</v>
      </c>
      <c r="W173" s="10" t="s">
        <v>272</v>
      </c>
      <c r="X173" s="10" t="s">
        <v>130</v>
      </c>
      <c r="Y173" s="10" t="s">
        <v>130</v>
      </c>
      <c r="Z173" s="10" t="s">
        <v>99</v>
      </c>
      <c r="AA173" s="10" t="s">
        <v>131</v>
      </c>
      <c r="AB173" s="10" t="s">
        <v>273</v>
      </c>
      <c r="AC173" s="10" t="s">
        <v>274</v>
      </c>
      <c r="AD173" s="10" t="s">
        <v>1941</v>
      </c>
      <c r="AE173" s="10" t="s">
        <v>1942</v>
      </c>
      <c r="AF173" s="15"/>
      <c r="AG173" s="10"/>
      <c r="AH173" s="10"/>
      <c r="AI173" s="10"/>
      <c r="AJ173" s="10" t="s">
        <v>1943</v>
      </c>
      <c r="AK173" s="10" t="s">
        <v>102</v>
      </c>
      <c r="AL173" s="10" t="s">
        <v>1876</v>
      </c>
      <c r="AM173" s="10"/>
      <c r="AN173" s="10"/>
      <c r="AO173" s="13" t="b">
        <v>1</v>
      </c>
      <c r="AP173" s="10" t="s">
        <v>104</v>
      </c>
      <c r="AQ173" s="10">
        <f ca="1">IFERROR(__xludf.DUMMYFUNCTION("""COMPUTED_VALUE"""),4780165)</f>
        <v>4780165</v>
      </c>
      <c r="AR173" s="17">
        <v>116127</v>
      </c>
      <c r="AS173" s="17">
        <v>71668</v>
      </c>
      <c r="AT173" s="17">
        <v>3702215.25</v>
      </c>
      <c r="AU173" s="17">
        <v>693.25</v>
      </c>
      <c r="AV173" s="17">
        <v>101.9</v>
      </c>
      <c r="AW173" s="10" t="s">
        <v>105</v>
      </c>
      <c r="AX173" s="17">
        <v>41628</v>
      </c>
      <c r="AY173" s="18">
        <v>51.657856365462969</v>
      </c>
      <c r="AZ173" s="10" t="s">
        <v>148</v>
      </c>
      <c r="BA173" s="20" t="b">
        <v>0</v>
      </c>
      <c r="BB173" s="10"/>
      <c r="BC173" s="17">
        <v>116127</v>
      </c>
      <c r="BD173" s="17">
        <v>71668</v>
      </c>
      <c r="BE173" s="17">
        <v>3702215.25</v>
      </c>
      <c r="BF173" s="17">
        <v>101.9</v>
      </c>
      <c r="BG173" s="11">
        <f ca="1">IFERROR(__xludf.DUMMYFUNCTION("""COMPUTED_VALUE"""),46007.125)</f>
        <v>46007.125</v>
      </c>
      <c r="BH173" s="17" t="s">
        <v>105</v>
      </c>
      <c r="BI173" s="17"/>
      <c r="BJ173" s="15"/>
      <c r="BK173" s="15"/>
      <c r="BL173" s="13" t="b">
        <v>0</v>
      </c>
      <c r="BM173" s="10"/>
      <c r="BN173" s="10" t="s">
        <v>278</v>
      </c>
      <c r="BO173" s="11">
        <v>45827.42083333333</v>
      </c>
      <c r="BP173" s="11">
        <v>46000.451018518521</v>
      </c>
      <c r="BQ173" s="15">
        <v>46000.543958333335</v>
      </c>
      <c r="BR173" s="15">
        <v>46005.660567129627</v>
      </c>
      <c r="BS173" s="10" t="s">
        <v>278</v>
      </c>
      <c r="BT173" s="10" t="s">
        <v>279</v>
      </c>
      <c r="BU173" s="10" t="s">
        <v>816</v>
      </c>
      <c r="BV173" s="10" t="s">
        <v>124</v>
      </c>
      <c r="BW173" s="10"/>
      <c r="BX173" s="10"/>
      <c r="BY173" s="23"/>
      <c r="BZ173" s="24" t="s">
        <v>284</v>
      </c>
      <c r="CA173" s="19" t="s">
        <v>1944</v>
      </c>
      <c r="CB173" s="19" t="s">
        <v>1945</v>
      </c>
      <c r="CC173" s="23"/>
      <c r="CD173" s="19" t="s">
        <v>1946</v>
      </c>
      <c r="CE173" s="23"/>
      <c r="CF173" s="23"/>
      <c r="CG173" s="23"/>
      <c r="CH173" s="23"/>
      <c r="CI173" s="23"/>
    </row>
    <row r="174" spans="1:87" x14ac:dyDescent="0.3">
      <c r="A174" s="9" t="s">
        <v>1947</v>
      </c>
      <c r="B174" s="10" t="s">
        <v>1948</v>
      </c>
      <c r="C174" s="11">
        <v>46005.875</v>
      </c>
      <c r="D174" s="12">
        <v>8.3333333333333329E-2</v>
      </c>
      <c r="E174" s="11">
        <v>46005.958333333336</v>
      </c>
      <c r="F174" s="10" t="s">
        <v>262</v>
      </c>
      <c r="G174" s="13" t="b">
        <v>0</v>
      </c>
      <c r="H174" s="10" t="s">
        <v>527</v>
      </c>
      <c r="I174" s="10" t="s">
        <v>264</v>
      </c>
      <c r="J174" s="13" t="b">
        <v>0</v>
      </c>
      <c r="K174" s="13" t="b">
        <v>1</v>
      </c>
      <c r="L174" s="10" t="s">
        <v>124</v>
      </c>
      <c r="M174" s="10" t="s">
        <v>91</v>
      </c>
      <c r="N174" s="10" t="s">
        <v>265</v>
      </c>
      <c r="O174" s="19" t="s">
        <v>1949</v>
      </c>
      <c r="P174" s="10"/>
      <c r="Q174" s="10" t="s">
        <v>126</v>
      </c>
      <c r="R174" s="10"/>
      <c r="S174" s="19" t="s">
        <v>1950</v>
      </c>
      <c r="T174" s="19" t="s">
        <v>1951</v>
      </c>
      <c r="U174" s="10" t="s">
        <v>320</v>
      </c>
      <c r="V174" s="10" t="s">
        <v>429</v>
      </c>
      <c r="W174" s="10" t="s">
        <v>272</v>
      </c>
      <c r="X174" s="10" t="s">
        <v>130</v>
      </c>
      <c r="Y174" s="10" t="s">
        <v>130</v>
      </c>
      <c r="Z174" s="10" t="s">
        <v>99</v>
      </c>
      <c r="AA174" s="10" t="s">
        <v>131</v>
      </c>
      <c r="AB174" s="10" t="s">
        <v>273</v>
      </c>
      <c r="AC174" s="10" t="s">
        <v>274</v>
      </c>
      <c r="AD174" s="10" t="s">
        <v>1952</v>
      </c>
      <c r="AE174" s="10" t="s">
        <v>1953</v>
      </c>
      <c r="AF174" s="15"/>
      <c r="AG174" s="10"/>
      <c r="AH174" s="10"/>
      <c r="AI174" s="10"/>
      <c r="AJ174" s="10" t="s">
        <v>1954</v>
      </c>
      <c r="AK174" s="10" t="s">
        <v>102</v>
      </c>
      <c r="AL174" s="10" t="s">
        <v>1876</v>
      </c>
      <c r="AM174" s="10"/>
      <c r="AN174" s="10"/>
      <c r="AO174" s="13" t="b">
        <v>1</v>
      </c>
      <c r="AP174" s="10" t="s">
        <v>104</v>
      </c>
      <c r="AQ174" s="10">
        <f ca="1">IFERROR(__xludf.DUMMYFUNCTION("""COMPUTED_VALUE"""),4780174)</f>
        <v>4780174</v>
      </c>
      <c r="AR174" s="17">
        <v>35743</v>
      </c>
      <c r="AS174" s="17">
        <v>22886</v>
      </c>
      <c r="AT174" s="17">
        <v>244725</v>
      </c>
      <c r="AU174" s="17">
        <v>89.15</v>
      </c>
      <c r="AV174" s="17">
        <v>11.75</v>
      </c>
      <c r="AW174" s="10" t="s">
        <v>105</v>
      </c>
      <c r="AX174" s="17">
        <v>5007</v>
      </c>
      <c r="AY174" s="18">
        <v>10.693218561566022</v>
      </c>
      <c r="AZ174" s="10" t="s">
        <v>148</v>
      </c>
      <c r="BA174" s="20" t="b">
        <v>0</v>
      </c>
      <c r="BB174" s="10"/>
      <c r="BC174" s="17">
        <v>35743</v>
      </c>
      <c r="BD174" s="17">
        <v>22886</v>
      </c>
      <c r="BE174" s="17">
        <v>244725</v>
      </c>
      <c r="BF174" s="17">
        <v>11.75</v>
      </c>
      <c r="BG174" s="11">
        <f ca="1">IFERROR(__xludf.DUMMYFUNCTION("""COMPUTED_VALUE"""),46005.875)</f>
        <v>46005.875</v>
      </c>
      <c r="BH174" s="17" t="s">
        <v>105</v>
      </c>
      <c r="BI174" s="17"/>
      <c r="BJ174" s="15"/>
      <c r="BK174" s="15"/>
      <c r="BL174" s="13" t="b">
        <v>1</v>
      </c>
      <c r="BM174" s="10" t="s">
        <v>222</v>
      </c>
      <c r="BN174" s="10" t="s">
        <v>351</v>
      </c>
      <c r="BO174" s="11">
        <v>45827.42083333333</v>
      </c>
      <c r="BP174" s="11">
        <v>46005.794965277775</v>
      </c>
      <c r="BQ174" s="15">
        <v>46000.543113425927</v>
      </c>
      <c r="BR174" s="15">
        <v>46005.79314814815</v>
      </c>
      <c r="BS174" s="10"/>
      <c r="BT174" s="10" t="s">
        <v>279</v>
      </c>
      <c r="BU174" s="10" t="s">
        <v>816</v>
      </c>
      <c r="BV174" s="10" t="s">
        <v>281</v>
      </c>
      <c r="BW174" s="10"/>
      <c r="BX174" s="10"/>
      <c r="BY174" s="23"/>
      <c r="BZ174" s="24" t="s">
        <v>284</v>
      </c>
      <c r="CA174" s="19" t="s">
        <v>1955</v>
      </c>
      <c r="CB174" s="19" t="s">
        <v>1956</v>
      </c>
      <c r="CC174" s="23"/>
      <c r="CD174" s="19" t="s">
        <v>1957</v>
      </c>
      <c r="CE174" s="23"/>
      <c r="CF174" s="23"/>
      <c r="CG174" s="23"/>
      <c r="CH174" s="23"/>
      <c r="CI174" s="23"/>
    </row>
    <row r="175" spans="1:87" x14ac:dyDescent="0.3">
      <c r="A175" s="9" t="s">
        <v>1958</v>
      </c>
      <c r="B175" s="10" t="s">
        <v>1959</v>
      </c>
      <c r="C175" s="11">
        <v>46005.875</v>
      </c>
      <c r="D175" s="12">
        <v>8.3333333333333329E-2</v>
      </c>
      <c r="E175" s="11">
        <v>46005.958333333336</v>
      </c>
      <c r="F175" s="10" t="s">
        <v>262</v>
      </c>
      <c r="G175" s="13" t="b">
        <v>0</v>
      </c>
      <c r="H175" s="10" t="s">
        <v>527</v>
      </c>
      <c r="I175" s="10" t="s">
        <v>264</v>
      </c>
      <c r="J175" s="13" t="b">
        <v>0</v>
      </c>
      <c r="K175" s="13" t="b">
        <v>1</v>
      </c>
      <c r="L175" s="10" t="s">
        <v>124</v>
      </c>
      <c r="M175" s="10" t="s">
        <v>91</v>
      </c>
      <c r="N175" s="10" t="s">
        <v>265</v>
      </c>
      <c r="O175" s="19" t="s">
        <v>1960</v>
      </c>
      <c r="P175" s="10" t="s">
        <v>267</v>
      </c>
      <c r="Q175" s="10" t="s">
        <v>126</v>
      </c>
      <c r="R175" s="10"/>
      <c r="S175" s="19" t="s">
        <v>1961</v>
      </c>
      <c r="T175" s="19" t="s">
        <v>1962</v>
      </c>
      <c r="U175" s="10" t="s">
        <v>588</v>
      </c>
      <c r="V175" s="10" t="s">
        <v>293</v>
      </c>
      <c r="W175" s="10" t="s">
        <v>272</v>
      </c>
      <c r="X175" s="10" t="s">
        <v>130</v>
      </c>
      <c r="Y175" s="10" t="s">
        <v>130</v>
      </c>
      <c r="Z175" s="10" t="s">
        <v>99</v>
      </c>
      <c r="AA175" s="10" t="s">
        <v>131</v>
      </c>
      <c r="AB175" s="10" t="s">
        <v>273</v>
      </c>
      <c r="AC175" s="10" t="s">
        <v>274</v>
      </c>
      <c r="AD175" s="10" t="s">
        <v>1963</v>
      </c>
      <c r="AE175" s="10" t="s">
        <v>1964</v>
      </c>
      <c r="AF175" s="15"/>
      <c r="AG175" s="10"/>
      <c r="AH175" s="10"/>
      <c r="AI175" s="10"/>
      <c r="AJ175" s="10" t="s">
        <v>1965</v>
      </c>
      <c r="AK175" s="10" t="s">
        <v>102</v>
      </c>
      <c r="AL175" s="10" t="s">
        <v>1876</v>
      </c>
      <c r="AM175" s="10"/>
      <c r="AN175" s="10"/>
      <c r="AO175" s="13" t="b">
        <v>0</v>
      </c>
      <c r="AP175" s="10" t="s">
        <v>104</v>
      </c>
      <c r="AQ175" s="10">
        <f ca="1">IFERROR(__xludf.DUMMYFUNCTION("""COMPUTED_VALUE"""),4773371)</f>
        <v>4773371</v>
      </c>
      <c r="AR175" s="17">
        <v>38208</v>
      </c>
      <c r="AS175" s="17">
        <v>22616</v>
      </c>
      <c r="AT175" s="17">
        <v>348609.25</v>
      </c>
      <c r="AU175" s="17">
        <v>94.8</v>
      </c>
      <c r="AV175" s="17">
        <v>21.25</v>
      </c>
      <c r="AW175" s="10" t="s">
        <v>105</v>
      </c>
      <c r="AX175" s="17">
        <v>8254</v>
      </c>
      <c r="AY175" s="18">
        <v>15.414275291828794</v>
      </c>
      <c r="AZ175" s="10" t="s">
        <v>148</v>
      </c>
      <c r="BA175" s="20" t="b">
        <v>0</v>
      </c>
      <c r="BB175" s="10"/>
      <c r="BC175" s="17">
        <v>38208</v>
      </c>
      <c r="BD175" s="17">
        <v>22616</v>
      </c>
      <c r="BE175" s="17">
        <v>348609.25</v>
      </c>
      <c r="BF175" s="17">
        <v>21.25</v>
      </c>
      <c r="BG175" s="11">
        <f ca="1">IFERROR(__xludf.DUMMYFUNCTION("""COMPUTED_VALUE"""),46005.875)</f>
        <v>46005.875</v>
      </c>
      <c r="BH175" s="17" t="s">
        <v>105</v>
      </c>
      <c r="BI175" s="17"/>
      <c r="BJ175" s="15"/>
      <c r="BK175" s="15"/>
      <c r="BL175" s="13" t="b">
        <v>1</v>
      </c>
      <c r="BM175" s="10"/>
      <c r="BN175" s="10" t="s">
        <v>351</v>
      </c>
      <c r="BO175" s="11">
        <v>45827.42083333333</v>
      </c>
      <c r="BP175" s="11">
        <v>45997.665891203702</v>
      </c>
      <c r="BQ175" s="15">
        <v>46000.543252314812</v>
      </c>
      <c r="BR175" s="15">
        <v>46000.676527777781</v>
      </c>
      <c r="BS175" s="10"/>
      <c r="BT175" s="10" t="s">
        <v>99</v>
      </c>
      <c r="BU175" s="10" t="s">
        <v>655</v>
      </c>
      <c r="BV175" s="10"/>
      <c r="BW175" s="10"/>
      <c r="BX175" s="10"/>
      <c r="BY175" s="23"/>
      <c r="BZ175" s="24" t="s">
        <v>299</v>
      </c>
      <c r="CA175" s="19" t="s">
        <v>1966</v>
      </c>
      <c r="CB175" s="19" t="s">
        <v>1967</v>
      </c>
      <c r="CC175" s="23"/>
      <c r="CD175" s="19" t="s">
        <v>1968</v>
      </c>
      <c r="CE175" s="23"/>
      <c r="CF175" s="23"/>
      <c r="CG175" s="23"/>
      <c r="CH175" s="23"/>
      <c r="CI175" s="23"/>
    </row>
    <row r="176" spans="1:87" x14ac:dyDescent="0.3">
      <c r="A176" s="9" t="s">
        <v>1969</v>
      </c>
      <c r="B176" s="10" t="s">
        <v>1970</v>
      </c>
      <c r="C176" s="11">
        <v>46005.875</v>
      </c>
      <c r="D176" s="12">
        <v>8.3333333333333329E-2</v>
      </c>
      <c r="E176" s="11">
        <v>46005.958333333336</v>
      </c>
      <c r="F176" s="10" t="s">
        <v>262</v>
      </c>
      <c r="G176" s="13" t="b">
        <v>0</v>
      </c>
      <c r="H176" s="10" t="s">
        <v>305</v>
      </c>
      <c r="I176" s="10" t="s">
        <v>264</v>
      </c>
      <c r="J176" s="13" t="b">
        <v>0</v>
      </c>
      <c r="K176" s="13" t="b">
        <v>1</v>
      </c>
      <c r="L176" s="10" t="s">
        <v>124</v>
      </c>
      <c r="M176" s="10" t="s">
        <v>91</v>
      </c>
      <c r="N176" s="10" t="s">
        <v>265</v>
      </c>
      <c r="O176" s="19" t="s">
        <v>1971</v>
      </c>
      <c r="P176" s="10"/>
      <c r="Q176" s="10" t="s">
        <v>126</v>
      </c>
      <c r="R176" s="10"/>
      <c r="S176" s="19" t="s">
        <v>1972</v>
      </c>
      <c r="T176" s="19" t="s">
        <v>1973</v>
      </c>
      <c r="U176" s="10" t="s">
        <v>451</v>
      </c>
      <c r="V176" s="10" t="s">
        <v>292</v>
      </c>
      <c r="W176" s="10" t="s">
        <v>272</v>
      </c>
      <c r="X176" s="10" t="s">
        <v>130</v>
      </c>
      <c r="Y176" s="10" t="s">
        <v>130</v>
      </c>
      <c r="Z176" s="10" t="s">
        <v>99</v>
      </c>
      <c r="AA176" s="10" t="s">
        <v>131</v>
      </c>
      <c r="AB176" s="10" t="s">
        <v>273</v>
      </c>
      <c r="AC176" s="10" t="s">
        <v>274</v>
      </c>
      <c r="AD176" s="10" t="s">
        <v>1974</v>
      </c>
      <c r="AE176" s="10" t="s">
        <v>1975</v>
      </c>
      <c r="AF176" s="15"/>
      <c r="AG176" s="10"/>
      <c r="AH176" s="10"/>
      <c r="AI176" s="10"/>
      <c r="AJ176" s="10" t="s">
        <v>1976</v>
      </c>
      <c r="AK176" s="10" t="s">
        <v>102</v>
      </c>
      <c r="AL176" s="10" t="s">
        <v>1876</v>
      </c>
      <c r="AM176" s="10"/>
      <c r="AN176" s="10"/>
      <c r="AO176" s="13" t="b">
        <v>0</v>
      </c>
      <c r="AP176" s="10" t="s">
        <v>104</v>
      </c>
      <c r="AQ176" s="10">
        <f ca="1">IFERROR(__xludf.DUMMYFUNCTION("""COMPUTED_VALUE"""),4780175)</f>
        <v>4780175</v>
      </c>
      <c r="AR176" s="17">
        <v>51697</v>
      </c>
      <c r="AS176" s="17">
        <v>28793</v>
      </c>
      <c r="AT176" s="17">
        <v>375349.75</v>
      </c>
      <c r="AU176" s="17">
        <v>100.5</v>
      </c>
      <c r="AV176" s="17">
        <v>14.1</v>
      </c>
      <c r="AW176" s="10" t="s">
        <v>105</v>
      </c>
      <c r="AX176" s="17">
        <v>8879</v>
      </c>
      <c r="AY176" s="18">
        <v>13.036145938248881</v>
      </c>
      <c r="AZ176" s="10" t="s">
        <v>148</v>
      </c>
      <c r="BA176" s="20" t="b">
        <v>0</v>
      </c>
      <c r="BB176" s="10"/>
      <c r="BC176" s="17">
        <v>51697</v>
      </c>
      <c r="BD176" s="17">
        <v>28793</v>
      </c>
      <c r="BE176" s="17">
        <v>375349.75</v>
      </c>
      <c r="BF176" s="17">
        <v>14.1</v>
      </c>
      <c r="BG176" s="11">
        <f ca="1">IFERROR(__xludf.DUMMYFUNCTION("""COMPUTED_VALUE"""),46005.875)</f>
        <v>46005.875</v>
      </c>
      <c r="BH176" s="17" t="s">
        <v>105</v>
      </c>
      <c r="BI176" s="17"/>
      <c r="BJ176" s="15"/>
      <c r="BK176" s="15"/>
      <c r="BL176" s="13" t="b">
        <v>1</v>
      </c>
      <c r="BM176" s="10"/>
      <c r="BN176" s="10" t="s">
        <v>351</v>
      </c>
      <c r="BO176" s="11">
        <v>45827.42083333333</v>
      </c>
      <c r="BP176" s="11">
        <v>46005.795057870368</v>
      </c>
      <c r="BQ176" s="15">
        <v>46000.543368055558</v>
      </c>
      <c r="BR176" s="15">
        <v>46005.792974537035</v>
      </c>
      <c r="BS176" s="10"/>
      <c r="BT176" s="10" t="s">
        <v>99</v>
      </c>
      <c r="BU176" s="10" t="s">
        <v>521</v>
      </c>
      <c r="BV176" s="10"/>
      <c r="BW176" s="10"/>
      <c r="BX176" s="10"/>
      <c r="BY176" s="23"/>
      <c r="BZ176" s="24" t="s">
        <v>299</v>
      </c>
      <c r="CA176" s="19" t="s">
        <v>1977</v>
      </c>
      <c r="CB176" s="19" t="s">
        <v>1978</v>
      </c>
      <c r="CC176" s="23"/>
      <c r="CD176" s="19" t="s">
        <v>1979</v>
      </c>
      <c r="CE176" s="23"/>
      <c r="CF176" s="23"/>
      <c r="CG176" s="23"/>
      <c r="CH176" s="23"/>
      <c r="CI176" s="23"/>
    </row>
    <row r="177" spans="1:87" x14ac:dyDescent="0.3">
      <c r="A177" s="9" t="s">
        <v>1980</v>
      </c>
      <c r="B177" s="10" t="s">
        <v>1981</v>
      </c>
      <c r="C177" s="11">
        <v>46011.916666666664</v>
      </c>
      <c r="D177" s="12">
        <v>8.3333333333333329E-2</v>
      </c>
      <c r="E177" s="11">
        <v>46012</v>
      </c>
      <c r="F177" s="10" t="s">
        <v>262</v>
      </c>
      <c r="G177" s="13" t="b">
        <v>0</v>
      </c>
      <c r="H177" s="10" t="s">
        <v>527</v>
      </c>
      <c r="I177" s="10" t="s">
        <v>264</v>
      </c>
      <c r="J177" s="13" t="b">
        <v>0</v>
      </c>
      <c r="K177" s="13" t="b">
        <v>1</v>
      </c>
      <c r="L177" s="10" t="s">
        <v>124</v>
      </c>
      <c r="M177" s="10" t="s">
        <v>91</v>
      </c>
      <c r="N177" s="10" t="s">
        <v>265</v>
      </c>
      <c r="O177" s="19" t="s">
        <v>1982</v>
      </c>
      <c r="P177" s="10"/>
      <c r="Q177" s="10" t="s">
        <v>126</v>
      </c>
      <c r="R177" s="10"/>
      <c r="S177" s="19" t="s">
        <v>1983</v>
      </c>
      <c r="T177" s="19" t="s">
        <v>1984</v>
      </c>
      <c r="U177" s="10" t="s">
        <v>271</v>
      </c>
      <c r="V177" s="10" t="s">
        <v>609</v>
      </c>
      <c r="W177" s="10" t="s">
        <v>272</v>
      </c>
      <c r="X177" s="10" t="s">
        <v>130</v>
      </c>
      <c r="Y177" s="10" t="s">
        <v>130</v>
      </c>
      <c r="Z177" s="10" t="s">
        <v>99</v>
      </c>
      <c r="AA177" s="10" t="s">
        <v>131</v>
      </c>
      <c r="AB177" s="10" t="s">
        <v>273</v>
      </c>
      <c r="AC177" s="10" t="s">
        <v>274</v>
      </c>
      <c r="AD177" s="10" t="s">
        <v>1985</v>
      </c>
      <c r="AE177" s="10" t="s">
        <v>1986</v>
      </c>
      <c r="AF177" s="15"/>
      <c r="AG177" s="10"/>
      <c r="AH177" s="10"/>
      <c r="AI177" s="10"/>
      <c r="AJ177" s="10" t="s">
        <v>1987</v>
      </c>
      <c r="AK177" s="10" t="s">
        <v>102</v>
      </c>
      <c r="AL177" s="10" t="s">
        <v>1988</v>
      </c>
      <c r="AM177" s="10"/>
      <c r="AN177" s="10"/>
      <c r="AO177" s="13" t="b">
        <v>0</v>
      </c>
      <c r="AP177" s="10" t="s">
        <v>104</v>
      </c>
      <c r="AQ177" s="10">
        <f ca="1">IFERROR(__xludf.DUMMYFUNCTION("""COMPUTED_VALUE"""),4783740)</f>
        <v>4783740</v>
      </c>
      <c r="AR177" s="17">
        <v>17635</v>
      </c>
      <c r="AS177" s="17">
        <v>10728</v>
      </c>
      <c r="AT177" s="17">
        <v>103090</v>
      </c>
      <c r="AU177" s="17">
        <v>39.35</v>
      </c>
      <c r="AV177" s="17">
        <v>5.05</v>
      </c>
      <c r="AW177" s="10" t="s">
        <v>105</v>
      </c>
      <c r="AX177" s="17">
        <v>2723</v>
      </c>
      <c r="AY177" s="18">
        <v>9.6094332587621185</v>
      </c>
      <c r="AZ177" s="10" t="s">
        <v>148</v>
      </c>
      <c r="BA177" s="20" t="b">
        <v>0</v>
      </c>
      <c r="BB177" s="10"/>
      <c r="BC177" s="17">
        <v>17635</v>
      </c>
      <c r="BD177" s="17">
        <v>10728</v>
      </c>
      <c r="BE177" s="17">
        <v>103090</v>
      </c>
      <c r="BF177" s="17">
        <v>5.05</v>
      </c>
      <c r="BG177" s="11">
        <f ca="1">IFERROR(__xludf.DUMMYFUNCTION("""COMPUTED_VALUE"""),46011.9166666666)</f>
        <v>46011.916666666599</v>
      </c>
      <c r="BH177" s="17" t="s">
        <v>105</v>
      </c>
      <c r="BI177" s="17"/>
      <c r="BJ177" s="15"/>
      <c r="BK177" s="15"/>
      <c r="BL177" s="13" t="b">
        <v>1</v>
      </c>
      <c r="BM177" s="10"/>
      <c r="BN177" s="10" t="s">
        <v>197</v>
      </c>
      <c r="BO177" s="11">
        <v>45827.42083333333</v>
      </c>
      <c r="BP177" s="11">
        <v>46006.666527777779</v>
      </c>
      <c r="BQ177" s="15">
        <v>46008.681331018517</v>
      </c>
      <c r="BR177" s="15">
        <v>46009.386134259257</v>
      </c>
      <c r="BS177" s="10" t="s">
        <v>197</v>
      </c>
      <c r="BT177" s="10" t="s">
        <v>279</v>
      </c>
      <c r="BU177" s="10" t="s">
        <v>280</v>
      </c>
      <c r="BV177" s="10"/>
      <c r="BW177" s="10"/>
      <c r="BX177" s="10"/>
      <c r="BY177" s="23"/>
      <c r="BZ177" s="24" t="s">
        <v>299</v>
      </c>
      <c r="CA177" s="19" t="s">
        <v>1989</v>
      </c>
      <c r="CB177" s="19" t="s">
        <v>1990</v>
      </c>
      <c r="CC177" s="23"/>
      <c r="CD177" s="19" t="s">
        <v>1991</v>
      </c>
      <c r="CE177" s="23"/>
      <c r="CF177" s="23"/>
      <c r="CG177" s="23"/>
      <c r="CH177" s="23"/>
      <c r="CI177" s="23"/>
    </row>
    <row r="178" spans="1:87" x14ac:dyDescent="0.3">
      <c r="A178" s="9" t="s">
        <v>1992</v>
      </c>
      <c r="B178" s="10" t="s">
        <v>1993</v>
      </c>
      <c r="C178" s="11">
        <v>46012.979166666664</v>
      </c>
      <c r="D178" s="12">
        <v>8.3333333333333329E-2</v>
      </c>
      <c r="E178" s="11">
        <v>46013.0625</v>
      </c>
      <c r="F178" s="10" t="s">
        <v>262</v>
      </c>
      <c r="G178" s="13" t="b">
        <v>1</v>
      </c>
      <c r="H178" s="10" t="s">
        <v>263</v>
      </c>
      <c r="I178" s="10" t="s">
        <v>264</v>
      </c>
      <c r="J178" s="13" t="b">
        <v>0</v>
      </c>
      <c r="K178" s="13" t="b">
        <v>1</v>
      </c>
      <c r="L178" s="10" t="s">
        <v>124</v>
      </c>
      <c r="M178" s="10" t="s">
        <v>91</v>
      </c>
      <c r="N178" s="10" t="s">
        <v>265</v>
      </c>
      <c r="O178" s="19" t="s">
        <v>1994</v>
      </c>
      <c r="P178" s="10" t="s">
        <v>267</v>
      </c>
      <c r="Q178" s="10" t="s">
        <v>126</v>
      </c>
      <c r="R178" s="10"/>
      <c r="S178" s="19" t="s">
        <v>1995</v>
      </c>
      <c r="T178" s="19" t="s">
        <v>1996</v>
      </c>
      <c r="U178" s="10" t="s">
        <v>292</v>
      </c>
      <c r="V178" s="10" t="s">
        <v>361</v>
      </c>
      <c r="W178" s="10" t="s">
        <v>272</v>
      </c>
      <c r="X178" s="10" t="s">
        <v>130</v>
      </c>
      <c r="Y178" s="10" t="s">
        <v>130</v>
      </c>
      <c r="Z178" s="10" t="s">
        <v>99</v>
      </c>
      <c r="AA178" s="10" t="s">
        <v>131</v>
      </c>
      <c r="AB178" s="10" t="s">
        <v>273</v>
      </c>
      <c r="AC178" s="10" t="s">
        <v>274</v>
      </c>
      <c r="AD178" s="10" t="s">
        <v>1997</v>
      </c>
      <c r="AE178" s="10" t="s">
        <v>1998</v>
      </c>
      <c r="AF178" s="15"/>
      <c r="AG178" s="10"/>
      <c r="AH178" s="10"/>
      <c r="AI178" s="10"/>
      <c r="AJ178" s="10" t="s">
        <v>1999</v>
      </c>
      <c r="AK178" s="10" t="s">
        <v>102</v>
      </c>
      <c r="AL178" s="10" t="s">
        <v>1988</v>
      </c>
      <c r="AM178" s="10"/>
      <c r="AN178" s="10"/>
      <c r="AO178" s="13" t="b">
        <v>1</v>
      </c>
      <c r="AP178" s="10" t="s">
        <v>104</v>
      </c>
      <c r="AQ178" s="10">
        <f ca="1">IFERROR(__xludf.DUMMYFUNCTION("""COMPUTED_VALUE"""),4783770)</f>
        <v>4783770</v>
      </c>
      <c r="AR178" s="17">
        <v>214615</v>
      </c>
      <c r="AS178" s="17">
        <v>156937</v>
      </c>
      <c r="AT178" s="17">
        <v>4416452</v>
      </c>
      <c r="AU178" s="17">
        <v>3035.7</v>
      </c>
      <c r="AV178" s="17">
        <v>437.8</v>
      </c>
      <c r="AW178" s="10" t="s">
        <v>105</v>
      </c>
      <c r="AX178" s="17">
        <v>69293</v>
      </c>
      <c r="AY178" s="18">
        <v>28.141559989040189</v>
      </c>
      <c r="AZ178" s="10" t="s">
        <v>148</v>
      </c>
      <c r="BA178" s="20" t="b">
        <v>0</v>
      </c>
      <c r="BB178" s="10"/>
      <c r="BC178" s="17">
        <v>214615</v>
      </c>
      <c r="BD178" s="17">
        <v>156937</v>
      </c>
      <c r="BE178" s="17">
        <v>4416452</v>
      </c>
      <c r="BF178" s="17">
        <v>437.8</v>
      </c>
      <c r="BG178" s="11">
        <f ca="1">IFERROR(__xludf.DUMMYFUNCTION("""COMPUTED_VALUE"""),46012.9583333333)</f>
        <v>46012.958333333299</v>
      </c>
      <c r="BH178" s="17" t="s">
        <v>105</v>
      </c>
      <c r="BI178" s="17"/>
      <c r="BJ178" s="15"/>
      <c r="BK178" s="15"/>
      <c r="BL178" s="13" t="b">
        <v>1</v>
      </c>
      <c r="BM178" s="10"/>
      <c r="BN178" s="10" t="s">
        <v>667</v>
      </c>
      <c r="BO178" s="11">
        <v>45827.42083333333</v>
      </c>
      <c r="BP178" s="11">
        <v>46006.67392361111</v>
      </c>
      <c r="BQ178" s="15">
        <v>46008.682638888888</v>
      </c>
      <c r="BR178" s="15">
        <v>46009.404537037037</v>
      </c>
      <c r="BS178" s="10" t="s">
        <v>667</v>
      </c>
      <c r="BT178" s="10" t="s">
        <v>279</v>
      </c>
      <c r="BU178" s="10" t="s">
        <v>298</v>
      </c>
      <c r="BV178" s="10" t="s">
        <v>281</v>
      </c>
      <c r="BW178" s="10"/>
      <c r="BX178" s="10"/>
      <c r="BY178" s="23"/>
      <c r="BZ178" s="24" t="s">
        <v>284</v>
      </c>
      <c r="CA178" s="19" t="s">
        <v>2000</v>
      </c>
      <c r="CB178" s="19" t="s">
        <v>2001</v>
      </c>
      <c r="CC178" s="23"/>
      <c r="CD178" s="19" t="s">
        <v>2002</v>
      </c>
      <c r="CE178" s="23"/>
      <c r="CF178" s="23"/>
      <c r="CG178" s="23"/>
      <c r="CH178" s="23"/>
      <c r="CI178" s="23"/>
    </row>
    <row r="179" spans="1:87" x14ac:dyDescent="0.3">
      <c r="A179" s="9" t="s">
        <v>2003</v>
      </c>
      <c r="B179" s="10" t="s">
        <v>2004</v>
      </c>
      <c r="C179" s="11">
        <v>46011.916666666664</v>
      </c>
      <c r="D179" s="12">
        <v>8.3333333333333329E-2</v>
      </c>
      <c r="E179" s="11">
        <v>46012</v>
      </c>
      <c r="F179" s="10" t="s">
        <v>262</v>
      </c>
      <c r="G179" s="13" t="b">
        <v>0</v>
      </c>
      <c r="H179" s="10" t="s">
        <v>305</v>
      </c>
      <c r="I179" s="10" t="s">
        <v>264</v>
      </c>
      <c r="J179" s="13" t="b">
        <v>0</v>
      </c>
      <c r="K179" s="13" t="b">
        <v>1</v>
      </c>
      <c r="L179" s="10" t="s">
        <v>124</v>
      </c>
      <c r="M179" s="10" t="s">
        <v>91</v>
      </c>
      <c r="N179" s="10" t="s">
        <v>265</v>
      </c>
      <c r="O179" s="19" t="s">
        <v>2005</v>
      </c>
      <c r="P179" s="10"/>
      <c r="Q179" s="10" t="s">
        <v>126</v>
      </c>
      <c r="R179" s="10"/>
      <c r="S179" s="19" t="s">
        <v>2006</v>
      </c>
      <c r="T179" s="19" t="s">
        <v>2007</v>
      </c>
      <c r="U179" s="10" t="s">
        <v>308</v>
      </c>
      <c r="V179" s="10" t="s">
        <v>588</v>
      </c>
      <c r="W179" s="10" t="s">
        <v>272</v>
      </c>
      <c r="X179" s="10" t="s">
        <v>130</v>
      </c>
      <c r="Y179" s="10" t="s">
        <v>130</v>
      </c>
      <c r="Z179" s="10" t="s">
        <v>99</v>
      </c>
      <c r="AA179" s="10" t="s">
        <v>131</v>
      </c>
      <c r="AB179" s="10" t="s">
        <v>273</v>
      </c>
      <c r="AC179" s="10" t="s">
        <v>274</v>
      </c>
      <c r="AD179" s="10" t="s">
        <v>2008</v>
      </c>
      <c r="AE179" s="10" t="s">
        <v>2009</v>
      </c>
      <c r="AF179" s="15"/>
      <c r="AG179" s="10"/>
      <c r="AH179" s="10"/>
      <c r="AI179" s="10"/>
      <c r="AJ179" s="10" t="s">
        <v>2010</v>
      </c>
      <c r="AK179" s="10" t="s">
        <v>102</v>
      </c>
      <c r="AL179" s="10" t="s">
        <v>1988</v>
      </c>
      <c r="AM179" s="10"/>
      <c r="AN179" s="10"/>
      <c r="AO179" s="13" t="b">
        <v>0</v>
      </c>
      <c r="AP179" s="10" t="s">
        <v>104</v>
      </c>
      <c r="AQ179" s="10">
        <f ca="1">IFERROR(__xludf.DUMMYFUNCTION("""COMPUTED_VALUE"""),4783741)</f>
        <v>4783741</v>
      </c>
      <c r="AR179" s="17">
        <v>39385</v>
      </c>
      <c r="AS179" s="17">
        <v>24228</v>
      </c>
      <c r="AT179" s="17">
        <v>390046.75</v>
      </c>
      <c r="AU179" s="17">
        <v>151</v>
      </c>
      <c r="AV179" s="17">
        <v>20</v>
      </c>
      <c r="AW179" s="10" t="s">
        <v>105</v>
      </c>
      <c r="AX179" s="17">
        <v>6685</v>
      </c>
      <c r="AY179" s="18">
        <v>16.099007346871389</v>
      </c>
      <c r="AZ179" s="10" t="s">
        <v>148</v>
      </c>
      <c r="BA179" s="20" t="b">
        <v>0</v>
      </c>
      <c r="BB179" s="10"/>
      <c r="BC179" s="17">
        <v>39385</v>
      </c>
      <c r="BD179" s="17">
        <v>24228</v>
      </c>
      <c r="BE179" s="17">
        <v>390046.75</v>
      </c>
      <c r="BF179" s="17">
        <v>20</v>
      </c>
      <c r="BG179" s="11">
        <f ca="1">IFERROR(__xludf.DUMMYFUNCTION("""COMPUTED_VALUE"""),46011.9166666666)</f>
        <v>46011.916666666599</v>
      </c>
      <c r="BH179" s="17" t="s">
        <v>105</v>
      </c>
      <c r="BI179" s="17"/>
      <c r="BJ179" s="15"/>
      <c r="BK179" s="15"/>
      <c r="BL179" s="13" t="b">
        <v>1</v>
      </c>
      <c r="BM179" s="10"/>
      <c r="BN179" s="10" t="s">
        <v>197</v>
      </c>
      <c r="BO179" s="11">
        <v>45827.42083333333</v>
      </c>
      <c r="BP179" s="11">
        <v>46005.562719907408</v>
      </c>
      <c r="BQ179" s="15">
        <v>46008.68141203704</v>
      </c>
      <c r="BR179" s="15">
        <v>46009.386435185188</v>
      </c>
      <c r="BS179" s="10" t="s">
        <v>197</v>
      </c>
      <c r="BT179" s="10" t="s">
        <v>279</v>
      </c>
      <c r="BU179" s="10" t="s">
        <v>793</v>
      </c>
      <c r="BV179" s="10"/>
      <c r="BW179" s="10"/>
      <c r="BX179" s="10"/>
      <c r="BY179" s="23"/>
      <c r="BZ179" s="24" t="s">
        <v>299</v>
      </c>
      <c r="CA179" s="19" t="s">
        <v>2011</v>
      </c>
      <c r="CB179" s="19" t="s">
        <v>2012</v>
      </c>
      <c r="CC179" s="23"/>
      <c r="CD179" s="19" t="s">
        <v>2013</v>
      </c>
      <c r="CE179" s="23"/>
      <c r="CF179" s="23"/>
      <c r="CG179" s="23"/>
      <c r="CH179" s="23"/>
      <c r="CI179" s="23"/>
    </row>
    <row r="180" spans="1:87" x14ac:dyDescent="0.3">
      <c r="A180" s="9" t="s">
        <v>2014</v>
      </c>
      <c r="B180" s="10" t="s">
        <v>2015</v>
      </c>
      <c r="C180" s="11">
        <v>46012.125</v>
      </c>
      <c r="D180" s="12">
        <v>8.3333333333333329E-2</v>
      </c>
      <c r="E180" s="11">
        <v>46012.208333333336</v>
      </c>
      <c r="F180" s="10" t="s">
        <v>262</v>
      </c>
      <c r="G180" s="13" t="b">
        <v>0</v>
      </c>
      <c r="H180" s="10" t="s">
        <v>263</v>
      </c>
      <c r="I180" s="10" t="s">
        <v>264</v>
      </c>
      <c r="J180" s="13" t="b">
        <v>0</v>
      </c>
      <c r="K180" s="13" t="b">
        <v>1</v>
      </c>
      <c r="L180" s="10" t="s">
        <v>124</v>
      </c>
      <c r="M180" s="10" t="s">
        <v>91</v>
      </c>
      <c r="N180" s="10" t="s">
        <v>265</v>
      </c>
      <c r="O180" s="19" t="s">
        <v>2016</v>
      </c>
      <c r="P180" s="10" t="s">
        <v>267</v>
      </c>
      <c r="Q180" s="10" t="s">
        <v>126</v>
      </c>
      <c r="R180" s="10"/>
      <c r="S180" s="19" t="s">
        <v>2017</v>
      </c>
      <c r="T180" s="19" t="s">
        <v>2018</v>
      </c>
      <c r="U180" s="10" t="s">
        <v>407</v>
      </c>
      <c r="V180" s="10" t="s">
        <v>362</v>
      </c>
      <c r="W180" s="10" t="s">
        <v>272</v>
      </c>
      <c r="X180" s="10" t="s">
        <v>130</v>
      </c>
      <c r="Y180" s="10" t="s">
        <v>130</v>
      </c>
      <c r="Z180" s="10" t="s">
        <v>99</v>
      </c>
      <c r="AA180" s="10" t="s">
        <v>131</v>
      </c>
      <c r="AB180" s="10" t="s">
        <v>273</v>
      </c>
      <c r="AC180" s="10" t="s">
        <v>274</v>
      </c>
      <c r="AD180" s="10" t="s">
        <v>2019</v>
      </c>
      <c r="AE180" s="10" t="s">
        <v>2020</v>
      </c>
      <c r="AF180" s="15"/>
      <c r="AG180" s="10"/>
      <c r="AH180" s="10"/>
      <c r="AI180" s="10"/>
      <c r="AJ180" s="10" t="s">
        <v>2021</v>
      </c>
      <c r="AK180" s="10" t="s">
        <v>102</v>
      </c>
      <c r="AL180" s="10" t="s">
        <v>1988</v>
      </c>
      <c r="AM180" s="10"/>
      <c r="AN180" s="10"/>
      <c r="AO180" s="13" t="b">
        <v>1</v>
      </c>
      <c r="AP180" s="10" t="s">
        <v>104</v>
      </c>
      <c r="AQ180" s="10">
        <f ca="1">IFERROR(__xludf.DUMMYFUNCTION("""COMPUTED_VALUE"""),4783756)</f>
        <v>4783756</v>
      </c>
      <c r="AR180" s="17">
        <v>69386</v>
      </c>
      <c r="AS180" s="17">
        <v>42889</v>
      </c>
      <c r="AT180" s="17">
        <v>1976049.75</v>
      </c>
      <c r="AU180" s="17">
        <v>259.85000000000002</v>
      </c>
      <c r="AV180" s="17">
        <v>49.5</v>
      </c>
      <c r="AW180" s="10" t="s">
        <v>105</v>
      </c>
      <c r="AX180" s="17">
        <v>28267</v>
      </c>
      <c r="AY180" s="18">
        <v>46.073579472592037</v>
      </c>
      <c r="AZ180" s="10" t="s">
        <v>148</v>
      </c>
      <c r="BA180" s="20" t="b">
        <v>0</v>
      </c>
      <c r="BB180" s="10"/>
      <c r="BC180" s="17">
        <v>69386</v>
      </c>
      <c r="BD180" s="17">
        <v>42889</v>
      </c>
      <c r="BE180" s="17">
        <v>1976049.75</v>
      </c>
      <c r="BF180" s="17">
        <v>49.5</v>
      </c>
      <c r="BG180" s="11">
        <f ca="1">IFERROR(__xludf.DUMMYFUNCTION("""COMPUTED_VALUE"""),46012.125)</f>
        <v>46012.125</v>
      </c>
      <c r="BH180" s="17" t="s">
        <v>105</v>
      </c>
      <c r="BI180" s="17"/>
      <c r="BJ180" s="15"/>
      <c r="BK180" s="15"/>
      <c r="BL180" s="13" t="b">
        <v>1</v>
      </c>
      <c r="BM180" s="10"/>
      <c r="BN180" s="10" t="s">
        <v>634</v>
      </c>
      <c r="BO180" s="11">
        <v>45827.42083333333</v>
      </c>
      <c r="BP180" s="11">
        <v>46005.567870370367</v>
      </c>
      <c r="BQ180" s="15">
        <v>46008.682372685187</v>
      </c>
      <c r="BR180" s="15">
        <v>46009.395879629628</v>
      </c>
      <c r="BS180" s="10" t="s">
        <v>634</v>
      </c>
      <c r="BT180" s="10" t="s">
        <v>279</v>
      </c>
      <c r="BU180" s="10" t="s">
        <v>298</v>
      </c>
      <c r="BV180" s="10"/>
      <c r="BW180" s="10"/>
      <c r="BX180" s="10"/>
      <c r="BY180" s="23"/>
      <c r="BZ180" s="24" t="s">
        <v>284</v>
      </c>
      <c r="CA180" s="19" t="s">
        <v>2022</v>
      </c>
      <c r="CB180" s="19" t="s">
        <v>2023</v>
      </c>
      <c r="CC180" s="23"/>
      <c r="CD180" s="19" t="s">
        <v>2024</v>
      </c>
      <c r="CE180" s="23"/>
      <c r="CF180" s="23"/>
      <c r="CG180" s="23"/>
      <c r="CH180" s="23"/>
      <c r="CI180" s="23"/>
    </row>
    <row r="181" spans="1:87" x14ac:dyDescent="0.3">
      <c r="A181" s="9" t="s">
        <v>2025</v>
      </c>
      <c r="B181" s="10" t="s">
        <v>2026</v>
      </c>
      <c r="C181" s="11">
        <v>46014.125</v>
      </c>
      <c r="D181" s="12">
        <v>8.3333333333333329E-2</v>
      </c>
      <c r="E181" s="11">
        <v>46014.208333333336</v>
      </c>
      <c r="F181" s="10" t="s">
        <v>262</v>
      </c>
      <c r="G181" s="13" t="b">
        <v>0</v>
      </c>
      <c r="H181" s="10" t="s">
        <v>263</v>
      </c>
      <c r="I181" s="10" t="s">
        <v>264</v>
      </c>
      <c r="J181" s="13" t="b">
        <v>0</v>
      </c>
      <c r="K181" s="13" t="b">
        <v>1</v>
      </c>
      <c r="L181" s="10" t="s">
        <v>124</v>
      </c>
      <c r="M181" s="10" t="s">
        <v>91</v>
      </c>
      <c r="N181" s="10" t="s">
        <v>265</v>
      </c>
      <c r="O181" s="19" t="s">
        <v>2027</v>
      </c>
      <c r="P181" s="10" t="s">
        <v>267</v>
      </c>
      <c r="Q181" s="10" t="s">
        <v>126</v>
      </c>
      <c r="R181" s="10"/>
      <c r="S181" s="19" t="s">
        <v>2028</v>
      </c>
      <c r="T181" s="19" t="s">
        <v>2029</v>
      </c>
      <c r="U181" s="10" t="s">
        <v>309</v>
      </c>
      <c r="V181" s="10" t="s">
        <v>320</v>
      </c>
      <c r="W181" s="10" t="s">
        <v>272</v>
      </c>
      <c r="X181" s="10" t="s">
        <v>130</v>
      </c>
      <c r="Y181" s="10" t="s">
        <v>130</v>
      </c>
      <c r="Z181" s="10" t="s">
        <v>99</v>
      </c>
      <c r="AA181" s="10" t="s">
        <v>131</v>
      </c>
      <c r="AB181" s="10" t="s">
        <v>273</v>
      </c>
      <c r="AC181" s="10" t="s">
        <v>274</v>
      </c>
      <c r="AD181" s="10" t="s">
        <v>2030</v>
      </c>
      <c r="AE181" s="10" t="s">
        <v>2031</v>
      </c>
      <c r="AF181" s="15"/>
      <c r="AG181" s="10"/>
      <c r="AH181" s="10"/>
      <c r="AI181" s="10"/>
      <c r="AJ181" s="10" t="s">
        <v>2032</v>
      </c>
      <c r="AK181" s="10" t="s">
        <v>102</v>
      </c>
      <c r="AL181" s="10" t="s">
        <v>1988</v>
      </c>
      <c r="AM181" s="10"/>
      <c r="AN181" s="10"/>
      <c r="AO181" s="13" t="b">
        <v>0</v>
      </c>
      <c r="AP181" s="10" t="s">
        <v>104</v>
      </c>
      <c r="AQ181" s="10">
        <f ca="1">IFERROR(__xludf.DUMMYFUNCTION("""COMPUTED_VALUE"""),4790142)</f>
        <v>4790142</v>
      </c>
      <c r="AR181" s="17">
        <v>10376</v>
      </c>
      <c r="AS181" s="17">
        <v>7035</v>
      </c>
      <c r="AT181" s="17">
        <v>206262.75</v>
      </c>
      <c r="AU181" s="17">
        <v>40.299999999999997</v>
      </c>
      <c r="AV181" s="17">
        <v>6.9</v>
      </c>
      <c r="AW181" s="10" t="s">
        <v>105</v>
      </c>
      <c r="AX181" s="17">
        <v>2656</v>
      </c>
      <c r="AY181" s="18">
        <v>29.319509594882728</v>
      </c>
      <c r="AZ181" s="10" t="s">
        <v>148</v>
      </c>
      <c r="BA181" s="20" t="b">
        <v>0</v>
      </c>
      <c r="BB181" s="10"/>
      <c r="BC181" s="17">
        <v>10376</v>
      </c>
      <c r="BD181" s="17">
        <v>7035</v>
      </c>
      <c r="BE181" s="17">
        <v>206262.75</v>
      </c>
      <c r="BF181" s="17">
        <v>6.9</v>
      </c>
      <c r="BG181" s="11">
        <f ca="1">IFERROR(__xludf.DUMMYFUNCTION("""COMPUTED_VALUE"""),46014.125)</f>
        <v>46014.125</v>
      </c>
      <c r="BH181" s="17" t="s">
        <v>105</v>
      </c>
      <c r="BI181" s="17"/>
      <c r="BJ181" s="15"/>
      <c r="BK181" s="15"/>
      <c r="BL181" s="13" t="b">
        <v>1</v>
      </c>
      <c r="BM181" s="10"/>
      <c r="BN181" s="10" t="s">
        <v>278</v>
      </c>
      <c r="BO181" s="11">
        <v>45827.42083333333</v>
      </c>
      <c r="BP181" s="11">
        <v>46006.676712962966</v>
      </c>
      <c r="BQ181" s="15">
        <v>46008.690300925926</v>
      </c>
      <c r="BR181" s="15">
        <v>46012.654733796298</v>
      </c>
      <c r="BS181" s="10" t="s">
        <v>278</v>
      </c>
      <c r="BT181" s="10" t="s">
        <v>279</v>
      </c>
      <c r="BU181" s="10" t="s">
        <v>498</v>
      </c>
      <c r="BV181" s="10"/>
      <c r="BW181" s="10"/>
      <c r="BX181" s="10"/>
      <c r="BY181" s="23"/>
      <c r="BZ181" s="24" t="s">
        <v>299</v>
      </c>
      <c r="CA181" s="19" t="s">
        <v>2033</v>
      </c>
      <c r="CB181" s="19" t="s">
        <v>2034</v>
      </c>
      <c r="CC181" s="23"/>
      <c r="CD181" s="19" t="s">
        <v>2035</v>
      </c>
      <c r="CE181" s="23"/>
      <c r="CF181" s="23"/>
      <c r="CG181" s="23"/>
      <c r="CH181" s="23"/>
      <c r="CI181" s="23"/>
    </row>
    <row r="182" spans="1:87" x14ac:dyDescent="0.3">
      <c r="A182" s="9" t="s">
        <v>2036</v>
      </c>
      <c r="B182" s="10" t="s">
        <v>2037</v>
      </c>
      <c r="C182" s="11">
        <v>46012.125</v>
      </c>
      <c r="D182" s="12">
        <v>8.3333333333333329E-2</v>
      </c>
      <c r="E182" s="11">
        <v>46012.208333333336</v>
      </c>
      <c r="F182" s="10" t="s">
        <v>262</v>
      </c>
      <c r="G182" s="13" t="b">
        <v>0</v>
      </c>
      <c r="H182" s="10" t="s">
        <v>305</v>
      </c>
      <c r="I182" s="10" t="s">
        <v>264</v>
      </c>
      <c r="J182" s="13" t="b">
        <v>0</v>
      </c>
      <c r="K182" s="13" t="b">
        <v>1</v>
      </c>
      <c r="L182" s="10" t="s">
        <v>124</v>
      </c>
      <c r="M182" s="10" t="s">
        <v>91</v>
      </c>
      <c r="N182" s="10" t="s">
        <v>265</v>
      </c>
      <c r="O182" s="19" t="s">
        <v>2038</v>
      </c>
      <c r="P182" s="10"/>
      <c r="Q182" s="10" t="s">
        <v>126</v>
      </c>
      <c r="R182" s="10"/>
      <c r="S182" s="19" t="s">
        <v>2039</v>
      </c>
      <c r="T182" s="19" t="s">
        <v>2040</v>
      </c>
      <c r="U182" s="10" t="s">
        <v>663</v>
      </c>
      <c r="V182" s="10" t="s">
        <v>347</v>
      </c>
      <c r="W182" s="10" t="s">
        <v>272</v>
      </c>
      <c r="X182" s="10" t="s">
        <v>130</v>
      </c>
      <c r="Y182" s="10" t="s">
        <v>130</v>
      </c>
      <c r="Z182" s="10" t="s">
        <v>99</v>
      </c>
      <c r="AA182" s="10" t="s">
        <v>131</v>
      </c>
      <c r="AB182" s="10" t="s">
        <v>273</v>
      </c>
      <c r="AC182" s="10" t="s">
        <v>274</v>
      </c>
      <c r="AD182" s="10" t="s">
        <v>2041</v>
      </c>
      <c r="AE182" s="10" t="s">
        <v>2042</v>
      </c>
      <c r="AF182" s="15"/>
      <c r="AG182" s="10"/>
      <c r="AH182" s="10"/>
      <c r="AI182" s="10"/>
      <c r="AJ182" s="10" t="s">
        <v>2043</v>
      </c>
      <c r="AK182" s="10" t="s">
        <v>102</v>
      </c>
      <c r="AL182" s="10" t="s">
        <v>1988</v>
      </c>
      <c r="AM182" s="10"/>
      <c r="AN182" s="10"/>
      <c r="AO182" s="13" t="b">
        <v>0</v>
      </c>
      <c r="AP182" s="10" t="s">
        <v>104</v>
      </c>
      <c r="AQ182" s="10">
        <f ca="1">IFERROR(__xludf.DUMMYFUNCTION("""COMPUTED_VALUE"""),4783757)</f>
        <v>4783757</v>
      </c>
      <c r="AR182" s="17">
        <v>7869</v>
      </c>
      <c r="AS182" s="17">
        <v>5482</v>
      </c>
      <c r="AT182" s="17">
        <v>53684.25</v>
      </c>
      <c r="AU182" s="17">
        <v>3.55</v>
      </c>
      <c r="AV182" s="17">
        <v>1.5</v>
      </c>
      <c r="AW182" s="10" t="s">
        <v>105</v>
      </c>
      <c r="AX182" s="17">
        <v>1556</v>
      </c>
      <c r="AY182" s="18">
        <v>9.7928219627873041</v>
      </c>
      <c r="AZ182" s="10" t="s">
        <v>148</v>
      </c>
      <c r="BA182" s="20" t="b">
        <v>0</v>
      </c>
      <c r="BB182" s="10"/>
      <c r="BC182" s="17">
        <v>7869</v>
      </c>
      <c r="BD182" s="17">
        <v>5482</v>
      </c>
      <c r="BE182" s="17">
        <v>53684.25</v>
      </c>
      <c r="BF182" s="17">
        <v>1.5</v>
      </c>
      <c r="BG182" s="11">
        <f ca="1">IFERROR(__xludf.DUMMYFUNCTION("""COMPUTED_VALUE"""),46012.125)</f>
        <v>46012.125</v>
      </c>
      <c r="BH182" s="17" t="s">
        <v>105</v>
      </c>
      <c r="BI182" s="17"/>
      <c r="BJ182" s="15"/>
      <c r="BK182" s="15"/>
      <c r="BL182" s="13" t="b">
        <v>1</v>
      </c>
      <c r="BM182" s="10"/>
      <c r="BN182" s="10" t="s">
        <v>634</v>
      </c>
      <c r="BO182" s="11">
        <v>45827.42083333333</v>
      </c>
      <c r="BP182" s="11">
        <v>46006.669606481482</v>
      </c>
      <c r="BQ182" s="15">
        <v>46008.682523148149</v>
      </c>
      <c r="BR182" s="15">
        <v>46009.396192129629</v>
      </c>
      <c r="BS182" s="10" t="s">
        <v>634</v>
      </c>
      <c r="BT182" s="10" t="s">
        <v>279</v>
      </c>
      <c r="BU182" s="10" t="s">
        <v>280</v>
      </c>
      <c r="BV182" s="10"/>
      <c r="BW182" s="10"/>
      <c r="BX182" s="10"/>
      <c r="BY182" s="23"/>
      <c r="BZ182" s="24" t="s">
        <v>299</v>
      </c>
      <c r="CA182" s="19" t="s">
        <v>2044</v>
      </c>
      <c r="CB182" s="19" t="s">
        <v>2045</v>
      </c>
      <c r="CC182" s="23"/>
      <c r="CD182" s="19" t="s">
        <v>2046</v>
      </c>
      <c r="CE182" s="23"/>
      <c r="CF182" s="23"/>
      <c r="CG182" s="23"/>
      <c r="CH182" s="23"/>
      <c r="CI182" s="23"/>
    </row>
    <row r="183" spans="1:87" x14ac:dyDescent="0.3">
      <c r="A183" s="9" t="s">
        <v>2047</v>
      </c>
      <c r="B183" s="10" t="s">
        <v>2048</v>
      </c>
      <c r="C183" s="11">
        <v>46011.916666666664</v>
      </c>
      <c r="D183" s="12">
        <v>8.3333333333333329E-2</v>
      </c>
      <c r="E183" s="11">
        <v>46012</v>
      </c>
      <c r="F183" s="10" t="s">
        <v>262</v>
      </c>
      <c r="G183" s="13" t="b">
        <v>1</v>
      </c>
      <c r="H183" s="10" t="s">
        <v>263</v>
      </c>
      <c r="I183" s="10" t="s">
        <v>264</v>
      </c>
      <c r="J183" s="13" t="b">
        <v>0</v>
      </c>
      <c r="K183" s="13" t="b">
        <v>1</v>
      </c>
      <c r="L183" s="10" t="s">
        <v>124</v>
      </c>
      <c r="M183" s="10" t="s">
        <v>91</v>
      </c>
      <c r="N183" s="10" t="s">
        <v>265</v>
      </c>
      <c r="O183" s="19" t="s">
        <v>2049</v>
      </c>
      <c r="P183" s="10" t="s">
        <v>267</v>
      </c>
      <c r="Q183" s="10" t="s">
        <v>126</v>
      </c>
      <c r="R183" s="10"/>
      <c r="S183" s="19" t="s">
        <v>2050</v>
      </c>
      <c r="T183" s="19" t="s">
        <v>2051</v>
      </c>
      <c r="U183" s="10" t="s">
        <v>334</v>
      </c>
      <c r="V183" s="10" t="s">
        <v>451</v>
      </c>
      <c r="W183" s="10" t="s">
        <v>272</v>
      </c>
      <c r="X183" s="10" t="s">
        <v>130</v>
      </c>
      <c r="Y183" s="10" t="s">
        <v>130</v>
      </c>
      <c r="Z183" s="10" t="s">
        <v>99</v>
      </c>
      <c r="AA183" s="10" t="s">
        <v>131</v>
      </c>
      <c r="AB183" s="10" t="s">
        <v>273</v>
      </c>
      <c r="AC183" s="10" t="s">
        <v>274</v>
      </c>
      <c r="AD183" s="10" t="s">
        <v>2052</v>
      </c>
      <c r="AE183" s="10" t="s">
        <v>2053</v>
      </c>
      <c r="AF183" s="15"/>
      <c r="AG183" s="10"/>
      <c r="AH183" s="10"/>
      <c r="AI183" s="10"/>
      <c r="AJ183" s="10" t="s">
        <v>2054</v>
      </c>
      <c r="AK183" s="10" t="s">
        <v>102</v>
      </c>
      <c r="AL183" s="10" t="s">
        <v>1988</v>
      </c>
      <c r="AM183" s="10"/>
      <c r="AN183" s="10"/>
      <c r="AO183" s="13" t="b">
        <v>1</v>
      </c>
      <c r="AP183" s="10" t="s">
        <v>104</v>
      </c>
      <c r="AQ183" s="10">
        <f ca="1">IFERROR(__xludf.DUMMYFUNCTION("""COMPUTED_VALUE"""),4783743)</f>
        <v>4783743</v>
      </c>
      <c r="AR183" s="17">
        <v>137618</v>
      </c>
      <c r="AS183" s="17">
        <v>85060</v>
      </c>
      <c r="AT183" s="17">
        <v>2692805.75</v>
      </c>
      <c r="AU183" s="17">
        <v>1585.3</v>
      </c>
      <c r="AV183" s="17">
        <v>227.15</v>
      </c>
      <c r="AW183" s="10" t="s">
        <v>105</v>
      </c>
      <c r="AX183" s="17">
        <v>39086</v>
      </c>
      <c r="AY183" s="18">
        <v>31.657721020456147</v>
      </c>
      <c r="AZ183" s="10" t="s">
        <v>148</v>
      </c>
      <c r="BA183" s="20" t="b">
        <v>0</v>
      </c>
      <c r="BB183" s="10"/>
      <c r="BC183" s="17">
        <v>137618</v>
      </c>
      <c r="BD183" s="17">
        <v>85060</v>
      </c>
      <c r="BE183" s="17">
        <v>2692805.75</v>
      </c>
      <c r="BF183" s="17">
        <v>227.15</v>
      </c>
      <c r="BG183" s="11">
        <f ca="1">IFERROR(__xludf.DUMMYFUNCTION("""COMPUTED_VALUE"""),46011.8958333333)</f>
        <v>46011.895833333299</v>
      </c>
      <c r="BH183" s="17" t="s">
        <v>105</v>
      </c>
      <c r="BI183" s="17"/>
      <c r="BJ183" s="15"/>
      <c r="BK183" s="15"/>
      <c r="BL183" s="13" t="b">
        <v>1</v>
      </c>
      <c r="BM183" s="10"/>
      <c r="BN183" s="10" t="s">
        <v>197</v>
      </c>
      <c r="BO183" s="11">
        <v>45827.42083333333</v>
      </c>
      <c r="BP183" s="11">
        <v>46006.66710648148</v>
      </c>
      <c r="BQ183" s="15">
        <v>46008.681516203702</v>
      </c>
      <c r="BR183" s="15">
        <v>46009.387881944444</v>
      </c>
      <c r="BS183" s="10" t="s">
        <v>197</v>
      </c>
      <c r="BT183" s="10" t="s">
        <v>279</v>
      </c>
      <c r="BU183" s="10" t="s">
        <v>298</v>
      </c>
      <c r="BV183" s="10" t="s">
        <v>281</v>
      </c>
      <c r="BW183" s="10"/>
      <c r="BX183" s="10"/>
      <c r="BY183" s="23"/>
      <c r="BZ183" s="24" t="s">
        <v>284</v>
      </c>
      <c r="CA183" s="19" t="s">
        <v>2055</v>
      </c>
      <c r="CB183" s="19" t="s">
        <v>2056</v>
      </c>
      <c r="CC183" s="23"/>
      <c r="CD183" s="19" t="s">
        <v>2057</v>
      </c>
      <c r="CE183" s="23"/>
      <c r="CF183" s="23"/>
      <c r="CG183" s="23"/>
      <c r="CH183" s="23"/>
      <c r="CI183" s="23"/>
    </row>
    <row r="184" spans="1:87" x14ac:dyDescent="0.3">
      <c r="A184" s="9" t="s">
        <v>2058</v>
      </c>
      <c r="B184" s="10" t="s">
        <v>2059</v>
      </c>
      <c r="C184" s="11">
        <v>46011.8125</v>
      </c>
      <c r="D184" s="12">
        <v>8.3333333333333329E-2</v>
      </c>
      <c r="E184" s="11">
        <v>46011.895833333336</v>
      </c>
      <c r="F184" s="10" t="s">
        <v>262</v>
      </c>
      <c r="G184" s="13" t="b">
        <v>1</v>
      </c>
      <c r="H184" s="10" t="s">
        <v>263</v>
      </c>
      <c r="I184" s="10" t="s">
        <v>264</v>
      </c>
      <c r="J184" s="13" t="b">
        <v>0</v>
      </c>
      <c r="K184" s="13" t="b">
        <v>1</v>
      </c>
      <c r="L184" s="10" t="s">
        <v>124</v>
      </c>
      <c r="M184" s="10" t="s">
        <v>91</v>
      </c>
      <c r="N184" s="10" t="s">
        <v>265</v>
      </c>
      <c r="O184" s="19" t="s">
        <v>2060</v>
      </c>
      <c r="P184" s="10" t="s">
        <v>267</v>
      </c>
      <c r="Q184" s="10" t="s">
        <v>126</v>
      </c>
      <c r="R184" s="10"/>
      <c r="S184" s="19" t="s">
        <v>2061</v>
      </c>
      <c r="T184" s="19" t="s">
        <v>2062</v>
      </c>
      <c r="U184" s="10" t="s">
        <v>293</v>
      </c>
      <c r="V184" s="10" t="s">
        <v>346</v>
      </c>
      <c r="W184" s="10" t="s">
        <v>272</v>
      </c>
      <c r="X184" s="10" t="s">
        <v>130</v>
      </c>
      <c r="Y184" s="10" t="s">
        <v>130</v>
      </c>
      <c r="Z184" s="10" t="s">
        <v>99</v>
      </c>
      <c r="AA184" s="10" t="s">
        <v>131</v>
      </c>
      <c r="AB184" s="10" t="s">
        <v>273</v>
      </c>
      <c r="AC184" s="10" t="s">
        <v>274</v>
      </c>
      <c r="AD184" s="10" t="s">
        <v>2063</v>
      </c>
      <c r="AE184" s="10" t="s">
        <v>2064</v>
      </c>
      <c r="AF184" s="15"/>
      <c r="AG184" s="10"/>
      <c r="AH184" s="10"/>
      <c r="AI184" s="10"/>
      <c r="AJ184" s="10" t="s">
        <v>2065</v>
      </c>
      <c r="AK184" s="10" t="s">
        <v>102</v>
      </c>
      <c r="AL184" s="10" t="s">
        <v>1988</v>
      </c>
      <c r="AM184" s="10"/>
      <c r="AN184" s="10"/>
      <c r="AO184" s="13" t="b">
        <v>1</v>
      </c>
      <c r="AP184" s="10" t="s">
        <v>104</v>
      </c>
      <c r="AQ184" s="10">
        <f ca="1">IFERROR(__xludf.DUMMYFUNCTION("""COMPUTED_VALUE"""),4783737)</f>
        <v>4783737</v>
      </c>
      <c r="AR184" s="17">
        <v>237850</v>
      </c>
      <c r="AS184" s="17">
        <v>129854</v>
      </c>
      <c r="AT184" s="17">
        <v>6098728.5</v>
      </c>
      <c r="AU184" s="17">
        <v>2811.8</v>
      </c>
      <c r="AV184" s="17">
        <v>347.95</v>
      </c>
      <c r="AW184" s="10" t="s">
        <v>105</v>
      </c>
      <c r="AX184" s="17">
        <v>67609</v>
      </c>
      <c r="AY184" s="18">
        <v>46.966042632494954</v>
      </c>
      <c r="AZ184" s="10" t="s">
        <v>148</v>
      </c>
      <c r="BA184" s="20" t="b">
        <v>0</v>
      </c>
      <c r="BB184" s="10"/>
      <c r="BC184" s="17">
        <v>237850</v>
      </c>
      <c r="BD184" s="17">
        <v>129854</v>
      </c>
      <c r="BE184" s="17">
        <v>6098728.5</v>
      </c>
      <c r="BF184" s="17">
        <v>347.95</v>
      </c>
      <c r="BG184" s="11">
        <f ca="1">IFERROR(__xludf.DUMMYFUNCTION("""COMPUTED_VALUE"""),46011.7916666666)</f>
        <v>46011.791666666599</v>
      </c>
      <c r="BH184" s="17" t="s">
        <v>105</v>
      </c>
      <c r="BI184" s="17"/>
      <c r="BJ184" s="15"/>
      <c r="BK184" s="15"/>
      <c r="BL184" s="13" t="b">
        <v>1</v>
      </c>
      <c r="BM184" s="10"/>
      <c r="BN184" s="10" t="s">
        <v>351</v>
      </c>
      <c r="BO184" s="11">
        <v>45827.42083333333</v>
      </c>
      <c r="BP184" s="11">
        <v>46006.665567129632</v>
      </c>
      <c r="BQ184" s="15">
        <v>46008.681226851855</v>
      </c>
      <c r="BR184" s="15">
        <v>46009.38553240741</v>
      </c>
      <c r="BS184" s="10"/>
      <c r="BT184" s="10" t="s">
        <v>279</v>
      </c>
      <c r="BU184" s="10" t="s">
        <v>298</v>
      </c>
      <c r="BV184" s="10" t="s">
        <v>281</v>
      </c>
      <c r="BW184" s="10"/>
      <c r="BX184" s="10"/>
      <c r="BY184" s="23"/>
      <c r="BZ184" s="24" t="s">
        <v>284</v>
      </c>
      <c r="CA184" s="19" t="s">
        <v>2066</v>
      </c>
      <c r="CB184" s="19" t="s">
        <v>2067</v>
      </c>
      <c r="CC184" s="23"/>
      <c r="CD184" s="19" t="s">
        <v>2068</v>
      </c>
      <c r="CE184" s="23"/>
      <c r="CF184" s="23"/>
      <c r="CG184" s="23"/>
      <c r="CH184" s="23"/>
      <c r="CI184" s="23"/>
    </row>
    <row r="185" spans="1:87" x14ac:dyDescent="0.3">
      <c r="A185" s="9" t="s">
        <v>2069</v>
      </c>
      <c r="B185" s="10" t="s">
        <v>2070</v>
      </c>
      <c r="C185" s="11">
        <v>46012.020833333336</v>
      </c>
      <c r="D185" s="12">
        <v>8.3333333333333329E-2</v>
      </c>
      <c r="E185" s="11">
        <v>46012.104166666664</v>
      </c>
      <c r="F185" s="10" t="s">
        <v>262</v>
      </c>
      <c r="G185" s="13" t="b">
        <v>1</v>
      </c>
      <c r="H185" s="10" t="s">
        <v>263</v>
      </c>
      <c r="I185" s="10" t="s">
        <v>264</v>
      </c>
      <c r="J185" s="13" t="b">
        <v>0</v>
      </c>
      <c r="K185" s="13" t="b">
        <v>1</v>
      </c>
      <c r="L185" s="10" t="s">
        <v>124</v>
      </c>
      <c r="M185" s="10" t="s">
        <v>91</v>
      </c>
      <c r="N185" s="10" t="s">
        <v>265</v>
      </c>
      <c r="O185" s="19" t="s">
        <v>2071</v>
      </c>
      <c r="P185" s="10" t="s">
        <v>267</v>
      </c>
      <c r="Q185" s="10" t="s">
        <v>126</v>
      </c>
      <c r="R185" s="10"/>
      <c r="S185" s="19" t="s">
        <v>2072</v>
      </c>
      <c r="T185" s="19" t="s">
        <v>2073</v>
      </c>
      <c r="U185" s="10" t="s">
        <v>429</v>
      </c>
      <c r="V185" s="10" t="s">
        <v>270</v>
      </c>
      <c r="W185" s="10" t="s">
        <v>272</v>
      </c>
      <c r="X185" s="10" t="s">
        <v>130</v>
      </c>
      <c r="Y185" s="10" t="s">
        <v>130</v>
      </c>
      <c r="Z185" s="10" t="s">
        <v>99</v>
      </c>
      <c r="AA185" s="10" t="s">
        <v>131</v>
      </c>
      <c r="AB185" s="10" t="s">
        <v>273</v>
      </c>
      <c r="AC185" s="10" t="s">
        <v>274</v>
      </c>
      <c r="AD185" s="10" t="s">
        <v>2074</v>
      </c>
      <c r="AE185" s="10" t="s">
        <v>2075</v>
      </c>
      <c r="AF185" s="15"/>
      <c r="AG185" s="10"/>
      <c r="AH185" s="10"/>
      <c r="AI185" s="10"/>
      <c r="AJ185" s="10" t="s">
        <v>2076</v>
      </c>
      <c r="AK185" s="10" t="s">
        <v>102</v>
      </c>
      <c r="AL185" s="10" t="s">
        <v>1988</v>
      </c>
      <c r="AM185" s="10"/>
      <c r="AN185" s="10"/>
      <c r="AO185" s="13" t="b">
        <v>1</v>
      </c>
      <c r="AP185" s="10" t="s">
        <v>104</v>
      </c>
      <c r="AQ185" s="10">
        <f ca="1">IFERROR(__xludf.DUMMYFUNCTION("""COMPUTED_VALUE"""),4783751)</f>
        <v>4783751</v>
      </c>
      <c r="AR185" s="17">
        <v>114994</v>
      </c>
      <c r="AS185" s="17">
        <v>71980</v>
      </c>
      <c r="AT185" s="17">
        <v>4505535.25</v>
      </c>
      <c r="AU185" s="17">
        <v>703.7</v>
      </c>
      <c r="AV185" s="17">
        <v>104.65</v>
      </c>
      <c r="AW185" s="10" t="s">
        <v>105</v>
      </c>
      <c r="AX185" s="17">
        <v>41032</v>
      </c>
      <c r="AY185" s="18">
        <v>62.594265768268961</v>
      </c>
      <c r="AZ185" s="10" t="s">
        <v>148</v>
      </c>
      <c r="BA185" s="20" t="b">
        <v>0</v>
      </c>
      <c r="BB185" s="10"/>
      <c r="BC185" s="17">
        <v>114994</v>
      </c>
      <c r="BD185" s="17">
        <v>71980</v>
      </c>
      <c r="BE185" s="17">
        <v>4505535.25</v>
      </c>
      <c r="BF185" s="17">
        <v>104.65</v>
      </c>
      <c r="BG185" s="11">
        <f ca="1">IFERROR(__xludf.DUMMYFUNCTION("""COMPUTED_VALUE"""),46012)</f>
        <v>46012</v>
      </c>
      <c r="BH185" s="17" t="s">
        <v>105</v>
      </c>
      <c r="BI185" s="17"/>
      <c r="BJ185" s="15"/>
      <c r="BK185" s="15"/>
      <c r="BL185" s="13" t="b">
        <v>1</v>
      </c>
      <c r="BM185" s="10"/>
      <c r="BN185" s="10" t="s">
        <v>634</v>
      </c>
      <c r="BO185" s="11">
        <v>45827.42083333333</v>
      </c>
      <c r="BP185" s="11">
        <v>46005.566307870373</v>
      </c>
      <c r="BQ185" s="15">
        <v>46008.682256944441</v>
      </c>
      <c r="BR185" s="15">
        <v>46009.39503472222</v>
      </c>
      <c r="BS185" s="10" t="s">
        <v>634</v>
      </c>
      <c r="BT185" s="10" t="s">
        <v>279</v>
      </c>
      <c r="BU185" s="10" t="s">
        <v>298</v>
      </c>
      <c r="BV185" s="10" t="s">
        <v>499</v>
      </c>
      <c r="BW185" s="10"/>
      <c r="BX185" s="10"/>
      <c r="BY185" s="23"/>
      <c r="BZ185" s="24" t="s">
        <v>368</v>
      </c>
      <c r="CA185" s="19" t="s">
        <v>2077</v>
      </c>
      <c r="CB185" s="19" t="s">
        <v>2078</v>
      </c>
      <c r="CC185" s="23"/>
      <c r="CD185" s="19" t="s">
        <v>2079</v>
      </c>
      <c r="CE185" s="23"/>
      <c r="CF185" s="23"/>
      <c r="CG185" s="23"/>
      <c r="CH185" s="23"/>
      <c r="CI185" s="23"/>
    </row>
    <row r="186" spans="1:87" x14ac:dyDescent="0.3">
      <c r="A186" s="9" t="s">
        <v>2080</v>
      </c>
      <c r="B186" s="10" t="s">
        <v>2081</v>
      </c>
      <c r="C186" s="11">
        <v>46011.916666666664</v>
      </c>
      <c r="D186" s="12">
        <v>8.3333333333333329E-2</v>
      </c>
      <c r="E186" s="11">
        <v>46012</v>
      </c>
      <c r="F186" s="10" t="s">
        <v>262</v>
      </c>
      <c r="G186" s="13" t="b">
        <v>0</v>
      </c>
      <c r="H186" s="10" t="s">
        <v>527</v>
      </c>
      <c r="I186" s="10" t="s">
        <v>264</v>
      </c>
      <c r="J186" s="13" t="b">
        <v>0</v>
      </c>
      <c r="K186" s="13" t="b">
        <v>1</v>
      </c>
      <c r="L186" s="10" t="s">
        <v>124</v>
      </c>
      <c r="M186" s="10" t="s">
        <v>91</v>
      </c>
      <c r="N186" s="10" t="s">
        <v>265</v>
      </c>
      <c r="O186" s="19" t="s">
        <v>2082</v>
      </c>
      <c r="P186" s="10"/>
      <c r="Q186" s="10" t="s">
        <v>126</v>
      </c>
      <c r="R186" s="10"/>
      <c r="S186" s="19" t="s">
        <v>2083</v>
      </c>
      <c r="T186" s="19" t="s">
        <v>2084</v>
      </c>
      <c r="U186" s="10" t="s">
        <v>333</v>
      </c>
      <c r="V186" s="10" t="s">
        <v>321</v>
      </c>
      <c r="W186" s="10" t="s">
        <v>272</v>
      </c>
      <c r="X186" s="10" t="s">
        <v>130</v>
      </c>
      <c r="Y186" s="10" t="s">
        <v>130</v>
      </c>
      <c r="Z186" s="10" t="s">
        <v>99</v>
      </c>
      <c r="AA186" s="10" t="s">
        <v>131</v>
      </c>
      <c r="AB186" s="10" t="s">
        <v>273</v>
      </c>
      <c r="AC186" s="10" t="s">
        <v>274</v>
      </c>
      <c r="AD186" s="10" t="s">
        <v>2085</v>
      </c>
      <c r="AE186" s="10" t="s">
        <v>2086</v>
      </c>
      <c r="AF186" s="15"/>
      <c r="AG186" s="10"/>
      <c r="AH186" s="10"/>
      <c r="AI186" s="10"/>
      <c r="AJ186" s="10" t="s">
        <v>2087</v>
      </c>
      <c r="AK186" s="10" t="s">
        <v>102</v>
      </c>
      <c r="AL186" s="10" t="s">
        <v>1988</v>
      </c>
      <c r="AM186" s="10"/>
      <c r="AN186" s="10"/>
      <c r="AO186" s="13" t="b">
        <v>0</v>
      </c>
      <c r="AP186" s="10" t="s">
        <v>104</v>
      </c>
      <c r="AQ186" s="10">
        <f ca="1">IFERROR(__xludf.DUMMYFUNCTION("""COMPUTED_VALUE"""),4783745)</f>
        <v>4783745</v>
      </c>
      <c r="AR186" s="17">
        <v>14617</v>
      </c>
      <c r="AS186" s="17">
        <v>9406</v>
      </c>
      <c r="AT186" s="17">
        <v>61839.25</v>
      </c>
      <c r="AU186" s="17">
        <v>32.950000000000003</v>
      </c>
      <c r="AV186" s="17">
        <v>4.8</v>
      </c>
      <c r="AW186" s="10" t="s">
        <v>105</v>
      </c>
      <c r="AX186" s="17">
        <v>1611</v>
      </c>
      <c r="AY186" s="18">
        <v>6.5744471613863489</v>
      </c>
      <c r="AZ186" s="10" t="s">
        <v>148</v>
      </c>
      <c r="BA186" s="20" t="b">
        <v>0</v>
      </c>
      <c r="BB186" s="10"/>
      <c r="BC186" s="17">
        <v>14617</v>
      </c>
      <c r="BD186" s="17">
        <v>9406</v>
      </c>
      <c r="BE186" s="17">
        <v>61839.25</v>
      </c>
      <c r="BF186" s="17">
        <v>4.8</v>
      </c>
      <c r="BG186" s="11">
        <f ca="1">IFERROR(__xludf.DUMMYFUNCTION("""COMPUTED_VALUE"""),46011.9166666666)</f>
        <v>46011.916666666599</v>
      </c>
      <c r="BH186" s="17" t="s">
        <v>105</v>
      </c>
      <c r="BI186" s="17"/>
      <c r="BJ186" s="15"/>
      <c r="BK186" s="15"/>
      <c r="BL186" s="13" t="b">
        <v>1</v>
      </c>
      <c r="BM186" s="10"/>
      <c r="BN186" s="10" t="s">
        <v>197</v>
      </c>
      <c r="BO186" s="11">
        <v>45827.42083333333</v>
      </c>
      <c r="BP186" s="11">
        <v>46006.668842592589</v>
      </c>
      <c r="BQ186" s="15">
        <v>46008.681631944448</v>
      </c>
      <c r="BR186" s="15">
        <v>46009.393136574072</v>
      </c>
      <c r="BS186" s="10" t="s">
        <v>197</v>
      </c>
      <c r="BT186" s="10" t="s">
        <v>279</v>
      </c>
      <c r="BU186" s="10" t="s">
        <v>421</v>
      </c>
      <c r="BV186" s="10"/>
      <c r="BW186" s="10"/>
      <c r="BX186" s="10"/>
      <c r="BY186" s="23"/>
      <c r="BZ186" s="24" t="s">
        <v>299</v>
      </c>
      <c r="CA186" s="19" t="s">
        <v>2088</v>
      </c>
      <c r="CB186" s="19" t="s">
        <v>2089</v>
      </c>
      <c r="CC186" s="23"/>
      <c r="CD186" s="19" t="s">
        <v>2090</v>
      </c>
      <c r="CE186" s="23"/>
      <c r="CF186" s="23"/>
      <c r="CG186" s="23"/>
      <c r="CH186" s="23"/>
      <c r="CI186" s="23"/>
    </row>
    <row r="187" spans="1:87" x14ac:dyDescent="0.3">
      <c r="A187" s="9" t="s">
        <v>2091</v>
      </c>
      <c r="B187" s="10" t="s">
        <v>2092</v>
      </c>
      <c r="C187" s="11">
        <v>46018.916666666664</v>
      </c>
      <c r="D187" s="12">
        <v>8.3333333333333329E-2</v>
      </c>
      <c r="E187" s="11">
        <v>46019</v>
      </c>
      <c r="F187" s="10" t="s">
        <v>262</v>
      </c>
      <c r="G187" s="13" t="b">
        <v>0</v>
      </c>
      <c r="H187" s="10" t="s">
        <v>305</v>
      </c>
      <c r="I187" s="10" t="s">
        <v>264</v>
      </c>
      <c r="J187" s="13" t="b">
        <v>0</v>
      </c>
      <c r="K187" s="13" t="b">
        <v>1</v>
      </c>
      <c r="L187" s="10" t="s">
        <v>124</v>
      </c>
      <c r="M187" s="10" t="s">
        <v>91</v>
      </c>
      <c r="N187" s="10" t="s">
        <v>265</v>
      </c>
      <c r="O187" s="19" t="s">
        <v>2093</v>
      </c>
      <c r="P187" s="10" t="s">
        <v>267</v>
      </c>
      <c r="Q187" s="10" t="s">
        <v>126</v>
      </c>
      <c r="R187" s="10"/>
      <c r="S187" s="19" t="s">
        <v>2094</v>
      </c>
      <c r="T187" s="10"/>
      <c r="U187" s="10" t="s">
        <v>362</v>
      </c>
      <c r="V187" s="10" t="s">
        <v>308</v>
      </c>
      <c r="W187" s="10" t="s">
        <v>272</v>
      </c>
      <c r="X187" s="10" t="s">
        <v>130</v>
      </c>
      <c r="Y187" s="10" t="s">
        <v>130</v>
      </c>
      <c r="Z187" s="10" t="s">
        <v>99</v>
      </c>
      <c r="AA187" s="10" t="s">
        <v>131</v>
      </c>
      <c r="AB187" s="10" t="s">
        <v>273</v>
      </c>
      <c r="AC187" s="10" t="s">
        <v>274</v>
      </c>
      <c r="AD187" s="10" t="s">
        <v>2095</v>
      </c>
      <c r="AE187" s="10" t="s">
        <v>2096</v>
      </c>
      <c r="AF187" s="15"/>
      <c r="AG187" s="10"/>
      <c r="AH187" s="10"/>
      <c r="AI187" s="10"/>
      <c r="AJ187" s="10" t="s">
        <v>2097</v>
      </c>
      <c r="AK187" s="10" t="s">
        <v>102</v>
      </c>
      <c r="AL187" s="10" t="s">
        <v>2098</v>
      </c>
      <c r="AM187" s="10"/>
      <c r="AN187" s="10"/>
      <c r="AO187" s="13" t="b">
        <v>1</v>
      </c>
      <c r="AP187" s="10" t="s">
        <v>104</v>
      </c>
      <c r="AQ187" s="10">
        <f ca="1">IFERROR(__xludf.DUMMYFUNCTION("""COMPUTED_VALUE"""),4792897)</f>
        <v>4792897</v>
      </c>
      <c r="AR187" s="17">
        <v>173090</v>
      </c>
      <c r="AS187" s="17">
        <v>91797</v>
      </c>
      <c r="AT187" s="17">
        <v>3664789.5</v>
      </c>
      <c r="AU187" s="17">
        <v>2779</v>
      </c>
      <c r="AV187" s="17">
        <v>285.60000000000002</v>
      </c>
      <c r="AW187" s="10" t="s">
        <v>105</v>
      </c>
      <c r="AX187" s="17">
        <v>42415</v>
      </c>
      <c r="AY187" s="18">
        <v>39.922758913689989</v>
      </c>
      <c r="AZ187" s="10" t="s">
        <v>2099</v>
      </c>
      <c r="BA187" s="20" t="b">
        <v>0</v>
      </c>
      <c r="BB187" s="10"/>
      <c r="BC187" s="17">
        <v>173090</v>
      </c>
      <c r="BD187" s="17">
        <v>91797</v>
      </c>
      <c r="BE187" s="17">
        <v>3664789.5</v>
      </c>
      <c r="BF187" s="17">
        <v>285.60000000000002</v>
      </c>
      <c r="BG187" s="11">
        <f ca="1">IFERROR(__xludf.DUMMYFUNCTION("""COMPUTED_VALUE"""),46018.9166666666)</f>
        <v>46018.916666666599</v>
      </c>
      <c r="BH187" s="17" t="s">
        <v>105</v>
      </c>
      <c r="BI187" s="17"/>
      <c r="BJ187" s="15"/>
      <c r="BK187" s="15"/>
      <c r="BL187" s="13" t="b">
        <v>1</v>
      </c>
      <c r="BM187" s="10"/>
      <c r="BN187" s="10" t="s">
        <v>351</v>
      </c>
      <c r="BO187" s="11">
        <v>45827.42083333333</v>
      </c>
      <c r="BP187" s="11">
        <v>46010.871689814812</v>
      </c>
      <c r="BQ187" s="15">
        <v>46015.642453703702</v>
      </c>
      <c r="BR187" s="15">
        <v>46014.595416666663</v>
      </c>
      <c r="BS187" s="10"/>
      <c r="BT187" s="10" t="s">
        <v>279</v>
      </c>
      <c r="BU187" s="10" t="s">
        <v>280</v>
      </c>
      <c r="BV187" s="10" t="s">
        <v>281</v>
      </c>
      <c r="BW187" s="10" t="s">
        <v>2100</v>
      </c>
      <c r="BX187" s="10"/>
      <c r="BY187" s="23"/>
      <c r="BZ187" s="24" t="s">
        <v>284</v>
      </c>
      <c r="CA187" s="19" t="s">
        <v>2101</v>
      </c>
      <c r="CB187" s="19" t="s">
        <v>2102</v>
      </c>
      <c r="CC187" s="23"/>
      <c r="CD187" s="19" t="s">
        <v>2103</v>
      </c>
      <c r="CE187" s="23"/>
      <c r="CF187" s="23"/>
      <c r="CG187" s="23"/>
      <c r="CH187" s="23"/>
      <c r="CI187" s="23"/>
    </row>
    <row r="188" spans="1:87" x14ac:dyDescent="0.3">
      <c r="A188" s="9" t="s">
        <v>2104</v>
      </c>
      <c r="B188" s="10" t="s">
        <v>2105</v>
      </c>
      <c r="C188" s="11">
        <v>46018.916666666664</v>
      </c>
      <c r="D188" s="12">
        <v>8.3333333333333329E-2</v>
      </c>
      <c r="E188" s="11">
        <v>46019</v>
      </c>
      <c r="F188" s="10" t="s">
        <v>262</v>
      </c>
      <c r="G188" s="13" t="b">
        <v>0</v>
      </c>
      <c r="H188" s="10" t="s">
        <v>527</v>
      </c>
      <c r="I188" s="10" t="s">
        <v>264</v>
      </c>
      <c r="J188" s="13" t="b">
        <v>0</v>
      </c>
      <c r="K188" s="13" t="b">
        <v>1</v>
      </c>
      <c r="L188" s="10" t="s">
        <v>124</v>
      </c>
      <c r="M188" s="10" t="s">
        <v>91</v>
      </c>
      <c r="N188" s="10" t="s">
        <v>265</v>
      </c>
      <c r="O188" s="19" t="s">
        <v>2106</v>
      </c>
      <c r="P188" s="10"/>
      <c r="Q188" s="10" t="s">
        <v>126</v>
      </c>
      <c r="R188" s="10"/>
      <c r="S188" s="19" t="s">
        <v>2107</v>
      </c>
      <c r="T188" s="10"/>
      <c r="U188" s="10" t="s">
        <v>321</v>
      </c>
      <c r="V188" s="10" t="s">
        <v>271</v>
      </c>
      <c r="W188" s="10" t="s">
        <v>272</v>
      </c>
      <c r="X188" s="10" t="s">
        <v>130</v>
      </c>
      <c r="Y188" s="10" t="s">
        <v>130</v>
      </c>
      <c r="Z188" s="10" t="s">
        <v>99</v>
      </c>
      <c r="AA188" s="10" t="s">
        <v>131</v>
      </c>
      <c r="AB188" s="10" t="s">
        <v>273</v>
      </c>
      <c r="AC188" s="10" t="s">
        <v>274</v>
      </c>
      <c r="AD188" s="10" t="s">
        <v>2108</v>
      </c>
      <c r="AE188" s="10" t="s">
        <v>2109</v>
      </c>
      <c r="AF188" s="15"/>
      <c r="AG188" s="10"/>
      <c r="AH188" s="10"/>
      <c r="AI188" s="10"/>
      <c r="AJ188" s="10" t="s">
        <v>2110</v>
      </c>
      <c r="AK188" s="10" t="s">
        <v>102</v>
      </c>
      <c r="AL188" s="10" t="s">
        <v>2098</v>
      </c>
      <c r="AM188" s="10"/>
      <c r="AN188" s="10"/>
      <c r="AO188" s="13" t="b">
        <v>0</v>
      </c>
      <c r="AP188" s="10" t="s">
        <v>104</v>
      </c>
      <c r="AQ188" s="10">
        <f ca="1">IFERROR(__xludf.DUMMYFUNCTION("""COMPUTED_VALUE"""),4792903)</f>
        <v>4792903</v>
      </c>
      <c r="AR188" s="17">
        <v>12101</v>
      </c>
      <c r="AS188" s="17">
        <v>7703</v>
      </c>
      <c r="AT188" s="17">
        <v>45120.75</v>
      </c>
      <c r="AU188" s="17">
        <v>17.55</v>
      </c>
      <c r="AV188" s="17">
        <v>0.8</v>
      </c>
      <c r="AW188" s="10" t="s">
        <v>105</v>
      </c>
      <c r="AX188" s="17">
        <v>2588</v>
      </c>
      <c r="AY188" s="18">
        <v>5.8575554978579776</v>
      </c>
      <c r="AZ188" s="10" t="s">
        <v>2099</v>
      </c>
      <c r="BA188" s="20" t="b">
        <v>0</v>
      </c>
      <c r="BB188" s="10"/>
      <c r="BC188" s="17">
        <v>12101</v>
      </c>
      <c r="BD188" s="17">
        <v>7703</v>
      </c>
      <c r="BE188" s="17">
        <v>45120.75</v>
      </c>
      <c r="BF188" s="17">
        <v>0.8</v>
      </c>
      <c r="BG188" s="11">
        <f ca="1">IFERROR(__xludf.DUMMYFUNCTION("""COMPUTED_VALUE"""),46018.9166666666)</f>
        <v>46018.916666666599</v>
      </c>
      <c r="BH188" s="17" t="s">
        <v>105</v>
      </c>
      <c r="BI188" s="17"/>
      <c r="BJ188" s="15"/>
      <c r="BK188" s="15"/>
      <c r="BL188" s="13" t="b">
        <v>1</v>
      </c>
      <c r="BM188" s="10"/>
      <c r="BN188" s="10" t="s">
        <v>137</v>
      </c>
      <c r="BO188" s="11">
        <v>45827.42083333333</v>
      </c>
      <c r="BP188" s="11">
        <v>46010.871851851851</v>
      </c>
      <c r="BQ188" s="15">
        <v>46014.617951388886</v>
      </c>
      <c r="BR188" s="15">
        <v>46014.66883101852</v>
      </c>
      <c r="BS188" s="10" t="s">
        <v>137</v>
      </c>
      <c r="BT188" s="10" t="s">
        <v>279</v>
      </c>
      <c r="BU188" s="10" t="s">
        <v>421</v>
      </c>
      <c r="BV188" s="10"/>
      <c r="BW188" s="10"/>
      <c r="BX188" s="10"/>
      <c r="BY188" s="23"/>
      <c r="BZ188" s="24" t="s">
        <v>299</v>
      </c>
      <c r="CA188" s="19" t="s">
        <v>2111</v>
      </c>
      <c r="CB188" s="19" t="s">
        <v>2112</v>
      </c>
      <c r="CC188" s="23"/>
      <c r="CD188" s="19" t="s">
        <v>2113</v>
      </c>
      <c r="CE188" s="23"/>
      <c r="CF188" s="23"/>
      <c r="CG188" s="23"/>
      <c r="CH188" s="23"/>
      <c r="CI188" s="23"/>
    </row>
    <row r="189" spans="1:87" x14ac:dyDescent="0.3">
      <c r="A189" s="9" t="s">
        <v>2114</v>
      </c>
      <c r="B189" s="10" t="s">
        <v>2115</v>
      </c>
      <c r="C189" s="11">
        <v>46018.916666666664</v>
      </c>
      <c r="D189" s="12">
        <v>8.3333333333333329E-2</v>
      </c>
      <c r="E189" s="11">
        <v>46019</v>
      </c>
      <c r="F189" s="10" t="s">
        <v>262</v>
      </c>
      <c r="G189" s="13" t="b">
        <v>0</v>
      </c>
      <c r="H189" s="10" t="s">
        <v>527</v>
      </c>
      <c r="I189" s="10" t="s">
        <v>264</v>
      </c>
      <c r="J189" s="13" t="b">
        <v>0</v>
      </c>
      <c r="K189" s="13" t="b">
        <v>1</v>
      </c>
      <c r="L189" s="10" t="s">
        <v>124</v>
      </c>
      <c r="M189" s="10" t="s">
        <v>91</v>
      </c>
      <c r="N189" s="10" t="s">
        <v>265</v>
      </c>
      <c r="O189" s="19" t="s">
        <v>2116</v>
      </c>
      <c r="P189" s="10"/>
      <c r="Q189" s="10" t="s">
        <v>126</v>
      </c>
      <c r="R189" s="10"/>
      <c r="S189" s="19" t="s">
        <v>2117</v>
      </c>
      <c r="T189" s="10"/>
      <c r="U189" s="10" t="s">
        <v>609</v>
      </c>
      <c r="V189" s="10" t="s">
        <v>407</v>
      </c>
      <c r="W189" s="10" t="s">
        <v>272</v>
      </c>
      <c r="X189" s="10" t="s">
        <v>130</v>
      </c>
      <c r="Y189" s="10" t="s">
        <v>130</v>
      </c>
      <c r="Z189" s="10" t="s">
        <v>99</v>
      </c>
      <c r="AA189" s="10" t="s">
        <v>131</v>
      </c>
      <c r="AB189" s="10" t="s">
        <v>273</v>
      </c>
      <c r="AC189" s="10" t="s">
        <v>274</v>
      </c>
      <c r="AD189" s="10" t="s">
        <v>2118</v>
      </c>
      <c r="AE189" s="10" t="s">
        <v>2119</v>
      </c>
      <c r="AF189" s="15"/>
      <c r="AG189" s="10"/>
      <c r="AH189" s="10"/>
      <c r="AI189" s="10"/>
      <c r="AJ189" s="10" t="s">
        <v>2120</v>
      </c>
      <c r="AK189" s="10" t="s">
        <v>102</v>
      </c>
      <c r="AL189" s="10" t="s">
        <v>2098</v>
      </c>
      <c r="AM189" s="10"/>
      <c r="AN189" s="10"/>
      <c r="AO189" s="13" t="b">
        <v>0</v>
      </c>
      <c r="AP189" s="10" t="s">
        <v>104</v>
      </c>
      <c r="AQ189" s="10">
        <f ca="1">IFERROR(__xludf.DUMMYFUNCTION("""COMPUTED_VALUE"""),4792904)</f>
        <v>4792904</v>
      </c>
      <c r="AR189" s="17">
        <v>11942</v>
      </c>
      <c r="AS189" s="17">
        <v>7674</v>
      </c>
      <c r="AT189" s="17">
        <v>44637.5</v>
      </c>
      <c r="AU189" s="17">
        <v>25.15</v>
      </c>
      <c r="AV189" s="17">
        <v>2.6</v>
      </c>
      <c r="AW189" s="10" t="s">
        <v>105</v>
      </c>
      <c r="AX189" s="17">
        <v>2837</v>
      </c>
      <c r="AY189" s="18">
        <v>5.816718790721918</v>
      </c>
      <c r="AZ189" s="10" t="s">
        <v>136</v>
      </c>
      <c r="BA189" s="20" t="b">
        <v>0</v>
      </c>
      <c r="BB189" s="10"/>
      <c r="BC189" s="17">
        <v>11942</v>
      </c>
      <c r="BD189" s="17">
        <v>7674</v>
      </c>
      <c r="BE189" s="17">
        <v>44637.5</v>
      </c>
      <c r="BF189" s="17">
        <v>2.6</v>
      </c>
      <c r="BG189" s="11">
        <f ca="1">IFERROR(__xludf.DUMMYFUNCTION("""COMPUTED_VALUE"""),46018.9166666666)</f>
        <v>46018.916666666599</v>
      </c>
      <c r="BH189" s="17" t="s">
        <v>105</v>
      </c>
      <c r="BI189" s="17"/>
      <c r="BJ189" s="15"/>
      <c r="BK189" s="15"/>
      <c r="BL189" s="13" t="b">
        <v>1</v>
      </c>
      <c r="BM189" s="10"/>
      <c r="BN189" s="10" t="s">
        <v>137</v>
      </c>
      <c r="BO189" s="11">
        <v>45827.42083333333</v>
      </c>
      <c r="BP189" s="11">
        <v>46010.872002314813</v>
      </c>
      <c r="BQ189" s="15">
        <v>46017.487847222219</v>
      </c>
      <c r="BR189" s="15">
        <v>46014.668946759259</v>
      </c>
      <c r="BS189" s="10" t="s">
        <v>137</v>
      </c>
      <c r="BT189" s="10" t="s">
        <v>279</v>
      </c>
      <c r="BU189" s="10" t="s">
        <v>534</v>
      </c>
      <c r="BV189" s="10"/>
      <c r="BW189" s="10"/>
      <c r="BX189" s="10"/>
      <c r="BY189" s="23"/>
      <c r="BZ189" s="24" t="s">
        <v>299</v>
      </c>
      <c r="CA189" s="19" t="s">
        <v>2121</v>
      </c>
      <c r="CB189" s="19" t="s">
        <v>2122</v>
      </c>
      <c r="CC189" s="23"/>
      <c r="CD189" s="19" t="s">
        <v>2123</v>
      </c>
      <c r="CE189" s="23"/>
      <c r="CF189" s="23"/>
      <c r="CG189" s="23"/>
      <c r="CH189" s="23"/>
      <c r="CI189" s="23"/>
    </row>
    <row r="190" spans="1:87" x14ac:dyDescent="0.3">
      <c r="A190" s="9" t="s">
        <v>2124</v>
      </c>
      <c r="B190" s="10" t="s">
        <v>2125</v>
      </c>
      <c r="C190" s="11">
        <v>46019.020833333336</v>
      </c>
      <c r="D190" s="12">
        <v>8.3333333333333329E-2</v>
      </c>
      <c r="E190" s="11">
        <v>46019.104166666664</v>
      </c>
      <c r="F190" s="10" t="s">
        <v>262</v>
      </c>
      <c r="G190" s="13" t="b">
        <v>1</v>
      </c>
      <c r="H190" s="10" t="s">
        <v>263</v>
      </c>
      <c r="I190" s="10" t="s">
        <v>264</v>
      </c>
      <c r="J190" s="13" t="b">
        <v>0</v>
      </c>
      <c r="K190" s="13" t="b">
        <v>1</v>
      </c>
      <c r="L190" s="10" t="s">
        <v>124</v>
      </c>
      <c r="M190" s="10" t="s">
        <v>91</v>
      </c>
      <c r="N190" s="10" t="s">
        <v>265</v>
      </c>
      <c r="O190" s="19" t="s">
        <v>2126</v>
      </c>
      <c r="P190" s="10" t="s">
        <v>885</v>
      </c>
      <c r="Q190" s="10" t="s">
        <v>126</v>
      </c>
      <c r="R190" s="10"/>
      <c r="S190" s="19" t="s">
        <v>2127</v>
      </c>
      <c r="T190" s="10"/>
      <c r="U190" s="10" t="s">
        <v>346</v>
      </c>
      <c r="V190" s="10" t="s">
        <v>292</v>
      </c>
      <c r="W190" s="10" t="s">
        <v>272</v>
      </c>
      <c r="X190" s="10" t="s">
        <v>130</v>
      </c>
      <c r="Y190" s="10" t="s">
        <v>130</v>
      </c>
      <c r="Z190" s="10" t="s">
        <v>99</v>
      </c>
      <c r="AA190" s="10" t="s">
        <v>131</v>
      </c>
      <c r="AB190" s="10" t="s">
        <v>273</v>
      </c>
      <c r="AC190" s="10" t="s">
        <v>274</v>
      </c>
      <c r="AD190" s="10" t="s">
        <v>2128</v>
      </c>
      <c r="AE190" s="10" t="s">
        <v>2129</v>
      </c>
      <c r="AF190" s="15"/>
      <c r="AG190" s="10"/>
      <c r="AH190" s="10"/>
      <c r="AI190" s="10"/>
      <c r="AJ190" s="10" t="s">
        <v>2130</v>
      </c>
      <c r="AK190" s="10" t="s">
        <v>102</v>
      </c>
      <c r="AL190" s="10" t="s">
        <v>2098</v>
      </c>
      <c r="AM190" s="10"/>
      <c r="AN190" s="10"/>
      <c r="AO190" s="13" t="b">
        <v>1</v>
      </c>
      <c r="AP190" s="10" t="s">
        <v>104</v>
      </c>
      <c r="AQ190" s="10">
        <f ca="1">IFERROR(__xludf.DUMMYFUNCTION("""COMPUTED_VALUE"""),4794128)</f>
        <v>4794128</v>
      </c>
      <c r="AR190" s="17">
        <v>83272</v>
      </c>
      <c r="AS190" s="17">
        <v>57442</v>
      </c>
      <c r="AT190" s="17">
        <v>2790208.75</v>
      </c>
      <c r="AU190" s="17">
        <v>581.04999999999995</v>
      </c>
      <c r="AV190" s="17">
        <v>54.3</v>
      </c>
      <c r="AW190" s="10" t="s">
        <v>105</v>
      </c>
      <c r="AX190" s="17">
        <v>29247</v>
      </c>
      <c r="AY190" s="18">
        <v>48.574366317328781</v>
      </c>
      <c r="AZ190" s="10" t="s">
        <v>2099</v>
      </c>
      <c r="BA190" s="20" t="b">
        <v>0</v>
      </c>
      <c r="BB190" s="10"/>
      <c r="BC190" s="17">
        <v>83272</v>
      </c>
      <c r="BD190" s="17">
        <v>57442</v>
      </c>
      <c r="BE190" s="17">
        <v>2790208.75</v>
      </c>
      <c r="BF190" s="17">
        <v>54.3</v>
      </c>
      <c r="BG190" s="11">
        <f ca="1">IFERROR(__xludf.DUMMYFUNCTION("""COMPUTED_VALUE"""),46019)</f>
        <v>46019</v>
      </c>
      <c r="BH190" s="17" t="s">
        <v>105</v>
      </c>
      <c r="BI190" s="17"/>
      <c r="BJ190" s="15"/>
      <c r="BK190" s="15"/>
      <c r="BL190" s="13" t="b">
        <v>0</v>
      </c>
      <c r="BM190" s="10"/>
      <c r="BN190" s="10" t="s">
        <v>667</v>
      </c>
      <c r="BO190" s="11">
        <v>45827.42083333333</v>
      </c>
      <c r="BP190" s="11">
        <v>46010.872407407405</v>
      </c>
      <c r="BQ190" s="15">
        <v>46015.645231481481</v>
      </c>
      <c r="BR190" s="15">
        <v>46015.644212962965</v>
      </c>
      <c r="BS190" s="10" t="s">
        <v>667</v>
      </c>
      <c r="BT190" s="10" t="s">
        <v>279</v>
      </c>
      <c r="BU190" s="10" t="s">
        <v>534</v>
      </c>
      <c r="BV190" s="10" t="s">
        <v>124</v>
      </c>
      <c r="BW190" s="10"/>
      <c r="BX190" s="10"/>
      <c r="BY190" s="23"/>
      <c r="BZ190" s="24" t="s">
        <v>284</v>
      </c>
      <c r="CA190" s="19" t="s">
        <v>2131</v>
      </c>
      <c r="CB190" s="19" t="s">
        <v>2132</v>
      </c>
      <c r="CC190" s="23"/>
      <c r="CD190" s="19" t="s">
        <v>2133</v>
      </c>
      <c r="CE190" s="23"/>
      <c r="CF190" s="23"/>
      <c r="CG190" s="23"/>
      <c r="CH190" s="23"/>
      <c r="CI190" s="23"/>
    </row>
    <row r="191" spans="1:87" x14ac:dyDescent="0.3">
      <c r="A191" s="9" t="s">
        <v>2134</v>
      </c>
      <c r="B191" s="10" t="s">
        <v>2135</v>
      </c>
      <c r="C191" s="11">
        <v>46019.979166666664</v>
      </c>
      <c r="D191" s="12">
        <v>8.3333333333333329E-2</v>
      </c>
      <c r="E191" s="11">
        <v>46020.0625</v>
      </c>
      <c r="F191" s="10" t="s">
        <v>262</v>
      </c>
      <c r="G191" s="13" t="b">
        <v>1</v>
      </c>
      <c r="H191" s="10" t="s">
        <v>263</v>
      </c>
      <c r="I191" s="10" t="s">
        <v>264</v>
      </c>
      <c r="J191" s="13" t="b">
        <v>0</v>
      </c>
      <c r="K191" s="13" t="b">
        <v>1</v>
      </c>
      <c r="L191" s="10" t="s">
        <v>124</v>
      </c>
      <c r="M191" s="10" t="s">
        <v>91</v>
      </c>
      <c r="N191" s="10" t="s">
        <v>265</v>
      </c>
      <c r="O191" s="19" t="s">
        <v>2136</v>
      </c>
      <c r="P191" s="10" t="s">
        <v>267</v>
      </c>
      <c r="Q191" s="10" t="s">
        <v>126</v>
      </c>
      <c r="R191" s="10"/>
      <c r="S191" s="19" t="s">
        <v>2137</v>
      </c>
      <c r="T191" s="10"/>
      <c r="U191" s="10" t="s">
        <v>347</v>
      </c>
      <c r="V191" s="10" t="s">
        <v>429</v>
      </c>
      <c r="W191" s="10" t="s">
        <v>272</v>
      </c>
      <c r="X191" s="10" t="s">
        <v>130</v>
      </c>
      <c r="Y191" s="10" t="s">
        <v>130</v>
      </c>
      <c r="Z191" s="10" t="s">
        <v>99</v>
      </c>
      <c r="AA191" s="10" t="s">
        <v>131</v>
      </c>
      <c r="AB191" s="10" t="s">
        <v>273</v>
      </c>
      <c r="AC191" s="10" t="s">
        <v>274</v>
      </c>
      <c r="AD191" s="10" t="s">
        <v>2138</v>
      </c>
      <c r="AE191" s="10" t="s">
        <v>2139</v>
      </c>
      <c r="AF191" s="15"/>
      <c r="AG191" s="10"/>
      <c r="AH191" s="10"/>
      <c r="AI191" s="10"/>
      <c r="AJ191" s="10" t="s">
        <v>2140</v>
      </c>
      <c r="AK191" s="10" t="s">
        <v>102</v>
      </c>
      <c r="AL191" s="10" t="s">
        <v>2098</v>
      </c>
      <c r="AM191" s="10"/>
      <c r="AN191" s="10"/>
      <c r="AO191" s="13" t="b">
        <v>1</v>
      </c>
      <c r="AP191" s="10" t="s">
        <v>104</v>
      </c>
      <c r="AQ191" s="10">
        <f ca="1">IFERROR(__xludf.DUMMYFUNCTION("""COMPUTED_VALUE"""),4794246)</f>
        <v>4794246</v>
      </c>
      <c r="AR191" s="17">
        <v>49895</v>
      </c>
      <c r="AS191" s="17">
        <v>38792</v>
      </c>
      <c r="AT191" s="17">
        <v>876465.75</v>
      </c>
      <c r="AU191" s="17">
        <v>247.2</v>
      </c>
      <c r="AV191" s="17">
        <v>21.65</v>
      </c>
      <c r="AW191" s="10" t="s">
        <v>105</v>
      </c>
      <c r="AX191" s="17">
        <v>15686</v>
      </c>
      <c r="AY191" s="18">
        <v>22.593982006599298</v>
      </c>
      <c r="AZ191" s="10" t="s">
        <v>2099</v>
      </c>
      <c r="BA191" s="20" t="b">
        <v>0</v>
      </c>
      <c r="BB191" s="10"/>
      <c r="BC191" s="17">
        <v>49895</v>
      </c>
      <c r="BD191" s="17">
        <v>38792</v>
      </c>
      <c r="BE191" s="17">
        <v>876465.75</v>
      </c>
      <c r="BF191" s="17">
        <v>21.65</v>
      </c>
      <c r="BG191" s="11">
        <f ca="1">IFERROR(__xludf.DUMMYFUNCTION("""COMPUTED_VALUE"""),46019.9583333333)</f>
        <v>46019.958333333299</v>
      </c>
      <c r="BH191" s="17" t="s">
        <v>105</v>
      </c>
      <c r="BI191" s="17"/>
      <c r="BJ191" s="15"/>
      <c r="BK191" s="15"/>
      <c r="BL191" s="13" t="b">
        <v>1</v>
      </c>
      <c r="BM191" s="10"/>
      <c r="BN191" s="10" t="s">
        <v>351</v>
      </c>
      <c r="BO191" s="11">
        <v>45827.42083333333</v>
      </c>
      <c r="BP191" s="11">
        <v>46013.643576388888</v>
      </c>
      <c r="BQ191" s="15">
        <v>46015.644837962966</v>
      </c>
      <c r="BR191" s="15">
        <v>46015.726990740739</v>
      </c>
      <c r="BS191" s="10"/>
      <c r="BT191" s="10" t="s">
        <v>279</v>
      </c>
      <c r="BU191" s="10" t="s">
        <v>816</v>
      </c>
      <c r="BV191" s="10"/>
      <c r="BW191" s="10"/>
      <c r="BX191" s="10"/>
      <c r="BY191" s="23"/>
      <c r="BZ191" s="24" t="s">
        <v>284</v>
      </c>
      <c r="CA191" s="19" t="s">
        <v>2141</v>
      </c>
      <c r="CB191" s="19" t="s">
        <v>2142</v>
      </c>
      <c r="CC191" s="23"/>
      <c r="CD191" s="19" t="s">
        <v>2143</v>
      </c>
      <c r="CE191" s="23"/>
      <c r="CF191" s="23"/>
      <c r="CG191" s="23"/>
      <c r="CH191" s="23"/>
      <c r="CI191" s="23"/>
    </row>
    <row r="192" spans="1:87" x14ac:dyDescent="0.3">
      <c r="A192" s="9" t="s">
        <v>2144</v>
      </c>
      <c r="B192" s="10" t="s">
        <v>2145</v>
      </c>
      <c r="C192" s="11">
        <v>46018.916666666664</v>
      </c>
      <c r="D192" s="12">
        <v>8.3333333333333329E-2</v>
      </c>
      <c r="E192" s="11">
        <v>46019</v>
      </c>
      <c r="F192" s="10" t="s">
        <v>262</v>
      </c>
      <c r="G192" s="13" t="b">
        <v>1</v>
      </c>
      <c r="H192" s="10" t="s">
        <v>263</v>
      </c>
      <c r="I192" s="10" t="s">
        <v>264</v>
      </c>
      <c r="J192" s="13" t="b">
        <v>0</v>
      </c>
      <c r="K192" s="13" t="b">
        <v>1</v>
      </c>
      <c r="L192" s="10" t="s">
        <v>124</v>
      </c>
      <c r="M192" s="10" t="s">
        <v>91</v>
      </c>
      <c r="N192" s="10" t="s">
        <v>265</v>
      </c>
      <c r="O192" s="19" t="s">
        <v>2146</v>
      </c>
      <c r="P192" s="10"/>
      <c r="Q192" s="10" t="s">
        <v>126</v>
      </c>
      <c r="R192" s="10"/>
      <c r="S192" s="19" t="s">
        <v>2147</v>
      </c>
      <c r="T192" s="10"/>
      <c r="U192" s="10" t="s">
        <v>270</v>
      </c>
      <c r="V192" s="10" t="s">
        <v>333</v>
      </c>
      <c r="W192" s="10" t="s">
        <v>272</v>
      </c>
      <c r="X192" s="10" t="s">
        <v>130</v>
      </c>
      <c r="Y192" s="10" t="s">
        <v>130</v>
      </c>
      <c r="Z192" s="10" t="s">
        <v>99</v>
      </c>
      <c r="AA192" s="10" t="s">
        <v>131</v>
      </c>
      <c r="AB192" s="10" t="s">
        <v>273</v>
      </c>
      <c r="AC192" s="10" t="s">
        <v>274</v>
      </c>
      <c r="AD192" s="10" t="s">
        <v>2148</v>
      </c>
      <c r="AE192" s="10" t="s">
        <v>2149</v>
      </c>
      <c r="AF192" s="15"/>
      <c r="AG192" s="10"/>
      <c r="AH192" s="10"/>
      <c r="AI192" s="10"/>
      <c r="AJ192" s="10" t="s">
        <v>2150</v>
      </c>
      <c r="AK192" s="10" t="s">
        <v>102</v>
      </c>
      <c r="AL192" s="10" t="s">
        <v>2098</v>
      </c>
      <c r="AM192" s="10"/>
      <c r="AN192" s="10"/>
      <c r="AO192" s="13" t="b">
        <v>1</v>
      </c>
      <c r="AP192" s="10" t="s">
        <v>104</v>
      </c>
      <c r="AQ192" s="10">
        <f ca="1">IFERROR(__xludf.DUMMYFUNCTION("""COMPUTED_VALUE"""),4793085)</f>
        <v>4793085</v>
      </c>
      <c r="AR192" s="17">
        <v>172301</v>
      </c>
      <c r="AS192" s="17">
        <v>94834</v>
      </c>
      <c r="AT192" s="17">
        <v>3257249.25</v>
      </c>
      <c r="AU192" s="17">
        <v>3208</v>
      </c>
      <c r="AV192" s="17">
        <v>357.9</v>
      </c>
      <c r="AW192" s="10" t="s">
        <v>105</v>
      </c>
      <c r="AX192" s="17">
        <v>43049</v>
      </c>
      <c r="AY192" s="18">
        <v>34.346850812999556</v>
      </c>
      <c r="AZ192" s="10" t="s">
        <v>2099</v>
      </c>
      <c r="BA192" s="20" t="b">
        <v>0</v>
      </c>
      <c r="BB192" s="10"/>
      <c r="BC192" s="17">
        <v>172301</v>
      </c>
      <c r="BD192" s="17">
        <v>94834</v>
      </c>
      <c r="BE192" s="17">
        <v>3257249.25</v>
      </c>
      <c r="BF192" s="17">
        <v>357.9</v>
      </c>
      <c r="BG192" s="11">
        <f ca="1">IFERROR(__xludf.DUMMYFUNCTION("""COMPUTED_VALUE"""),46018.8958333333)</f>
        <v>46018.895833333299</v>
      </c>
      <c r="BH192" s="17" t="s">
        <v>105</v>
      </c>
      <c r="BI192" s="17"/>
      <c r="BJ192" s="15"/>
      <c r="BK192" s="15"/>
      <c r="BL192" s="13" t="b">
        <v>1</v>
      </c>
      <c r="BM192" s="10"/>
      <c r="BN192" s="10" t="s">
        <v>351</v>
      </c>
      <c r="BO192" s="11">
        <v>45827.42083333333</v>
      </c>
      <c r="BP192" s="11">
        <v>46010.872141203705</v>
      </c>
      <c r="BQ192" s="15">
        <v>46016.412638888891</v>
      </c>
      <c r="BR192" s="15">
        <v>46015.417650462965</v>
      </c>
      <c r="BS192" s="10"/>
      <c r="BT192" s="10" t="s">
        <v>279</v>
      </c>
      <c r="BU192" s="10" t="s">
        <v>298</v>
      </c>
      <c r="BV192" s="10" t="s">
        <v>281</v>
      </c>
      <c r="BW192" s="10" t="s">
        <v>2100</v>
      </c>
      <c r="BX192" s="10"/>
      <c r="BY192" s="23"/>
      <c r="BZ192" s="24" t="s">
        <v>284</v>
      </c>
      <c r="CA192" s="19" t="s">
        <v>2151</v>
      </c>
      <c r="CB192" s="19" t="s">
        <v>2152</v>
      </c>
      <c r="CC192" s="23"/>
      <c r="CD192" s="19" t="s">
        <v>2153</v>
      </c>
      <c r="CE192" s="23"/>
      <c r="CF192" s="23"/>
      <c r="CG192" s="23"/>
      <c r="CH192" s="23"/>
      <c r="CI192" s="23"/>
    </row>
    <row r="193" spans="1:87" x14ac:dyDescent="0.3">
      <c r="A193" s="9" t="s">
        <v>2154</v>
      </c>
      <c r="B193" s="10" t="s">
        <v>2155</v>
      </c>
      <c r="C193" s="11">
        <v>46018.125</v>
      </c>
      <c r="D193" s="12">
        <v>8.3333333333333329E-2</v>
      </c>
      <c r="E193" s="11">
        <v>46018.208333333336</v>
      </c>
      <c r="F193" s="10" t="s">
        <v>262</v>
      </c>
      <c r="G193" s="13" t="b">
        <v>0</v>
      </c>
      <c r="H193" s="10" t="s">
        <v>263</v>
      </c>
      <c r="I193" s="10" t="s">
        <v>264</v>
      </c>
      <c r="J193" s="13" t="b">
        <v>0</v>
      </c>
      <c r="K193" s="13" t="b">
        <v>1</v>
      </c>
      <c r="L193" s="10" t="s">
        <v>124</v>
      </c>
      <c r="M193" s="10" t="s">
        <v>91</v>
      </c>
      <c r="N193" s="10" t="s">
        <v>265</v>
      </c>
      <c r="O193" s="19" t="s">
        <v>2156</v>
      </c>
      <c r="P193" s="10" t="s">
        <v>885</v>
      </c>
      <c r="Q193" s="10" t="s">
        <v>126</v>
      </c>
      <c r="R193" s="10"/>
      <c r="S193" s="19" t="s">
        <v>2157</v>
      </c>
      <c r="T193" s="10"/>
      <c r="U193" s="10" t="s">
        <v>361</v>
      </c>
      <c r="V193" s="10" t="s">
        <v>293</v>
      </c>
      <c r="W193" s="10" t="s">
        <v>272</v>
      </c>
      <c r="X193" s="10" t="s">
        <v>130</v>
      </c>
      <c r="Y193" s="10" t="s">
        <v>130</v>
      </c>
      <c r="Z193" s="10" t="s">
        <v>99</v>
      </c>
      <c r="AA193" s="10" t="s">
        <v>131</v>
      </c>
      <c r="AB193" s="10" t="s">
        <v>273</v>
      </c>
      <c r="AC193" s="10" t="s">
        <v>274</v>
      </c>
      <c r="AD193" s="10" t="s">
        <v>2158</v>
      </c>
      <c r="AE193" s="10" t="s">
        <v>2159</v>
      </c>
      <c r="AF193" s="15"/>
      <c r="AG193" s="10"/>
      <c r="AH193" s="10"/>
      <c r="AI193" s="10"/>
      <c r="AJ193" s="10" t="s">
        <v>2160</v>
      </c>
      <c r="AK193" s="10" t="s">
        <v>102</v>
      </c>
      <c r="AL193" s="10" t="s">
        <v>2098</v>
      </c>
      <c r="AM193" s="10"/>
      <c r="AN193" s="10"/>
      <c r="AO193" s="13" t="b">
        <v>1</v>
      </c>
      <c r="AP193" s="10" t="s">
        <v>104</v>
      </c>
      <c r="AQ193" s="10">
        <f ca="1">IFERROR(__xludf.DUMMYFUNCTION("""COMPUTED_VALUE"""),4792893)</f>
        <v>4792893</v>
      </c>
      <c r="AR193" s="17">
        <v>106516</v>
      </c>
      <c r="AS193" s="17">
        <v>68877</v>
      </c>
      <c r="AT193" s="17">
        <v>3802510</v>
      </c>
      <c r="AU193" s="17">
        <v>1578.35</v>
      </c>
      <c r="AV193" s="17">
        <v>111.05</v>
      </c>
      <c r="AW193" s="10" t="s">
        <v>105</v>
      </c>
      <c r="AX193" s="17">
        <v>38984</v>
      </c>
      <c r="AY193" s="18">
        <v>55.207253509879934</v>
      </c>
      <c r="AZ193" s="10" t="s">
        <v>117</v>
      </c>
      <c r="BA193" s="20" t="b">
        <v>0</v>
      </c>
      <c r="BB193" s="10"/>
      <c r="BC193" s="17">
        <v>106516</v>
      </c>
      <c r="BD193" s="17">
        <v>68877</v>
      </c>
      <c r="BE193" s="17">
        <v>3802510</v>
      </c>
      <c r="BF193" s="17">
        <v>111.05</v>
      </c>
      <c r="BG193" s="11">
        <f ca="1">IFERROR(__xludf.DUMMYFUNCTION("""COMPUTED_VALUE"""),46018.125)</f>
        <v>46018.125</v>
      </c>
      <c r="BH193" s="17" t="s">
        <v>105</v>
      </c>
      <c r="BI193" s="17"/>
      <c r="BJ193" s="15"/>
      <c r="BK193" s="15"/>
      <c r="BL193" s="13" t="b">
        <v>0</v>
      </c>
      <c r="BM193" s="10"/>
      <c r="BN193" s="10" t="s">
        <v>197</v>
      </c>
      <c r="BO193" s="11">
        <v>45827.42083333333</v>
      </c>
      <c r="BP193" s="11">
        <v>46013.921226851853</v>
      </c>
      <c r="BQ193" s="15">
        <v>46014.584803240738</v>
      </c>
      <c r="BR193" s="15"/>
      <c r="BS193" s="10" t="s">
        <v>197</v>
      </c>
      <c r="BT193" s="10" t="s">
        <v>279</v>
      </c>
      <c r="BU193" s="10" t="s">
        <v>421</v>
      </c>
      <c r="BV193" s="10" t="s">
        <v>124</v>
      </c>
      <c r="BW193" s="10"/>
      <c r="BX193" s="10"/>
      <c r="BY193" s="23"/>
      <c r="BZ193" s="24" t="s">
        <v>284</v>
      </c>
      <c r="CA193" s="19" t="s">
        <v>2161</v>
      </c>
      <c r="CB193" s="19" t="s">
        <v>2162</v>
      </c>
      <c r="CC193" s="23"/>
      <c r="CD193" s="19" t="s">
        <v>2163</v>
      </c>
      <c r="CE193" s="23"/>
      <c r="CF193" s="23"/>
      <c r="CG193" s="23"/>
      <c r="CH193" s="23"/>
      <c r="CI193" s="23"/>
    </row>
    <row r="194" spans="1:87" x14ac:dyDescent="0.3">
      <c r="A194" s="9" t="s">
        <v>2164</v>
      </c>
      <c r="B194" s="10" t="s">
        <v>2165</v>
      </c>
      <c r="C194" s="11">
        <v>46018.8125</v>
      </c>
      <c r="D194" s="12">
        <v>8.3333333333333329E-2</v>
      </c>
      <c r="E194" s="11">
        <v>46018.895833333336</v>
      </c>
      <c r="F194" s="10" t="s">
        <v>262</v>
      </c>
      <c r="G194" s="13" t="b">
        <v>1</v>
      </c>
      <c r="H194" s="10" t="s">
        <v>263</v>
      </c>
      <c r="I194" s="10" t="s">
        <v>264</v>
      </c>
      <c r="J194" s="13" t="b">
        <v>0</v>
      </c>
      <c r="K194" s="13" t="b">
        <v>1</v>
      </c>
      <c r="L194" s="10" t="s">
        <v>124</v>
      </c>
      <c r="M194" s="10" t="s">
        <v>91</v>
      </c>
      <c r="N194" s="10" t="s">
        <v>265</v>
      </c>
      <c r="O194" s="19" t="s">
        <v>2166</v>
      </c>
      <c r="P194" s="10" t="s">
        <v>267</v>
      </c>
      <c r="Q194" s="10" t="s">
        <v>126</v>
      </c>
      <c r="R194" s="10"/>
      <c r="S194" s="19" t="s">
        <v>2167</v>
      </c>
      <c r="T194" s="10"/>
      <c r="U194" s="10" t="s">
        <v>320</v>
      </c>
      <c r="V194" s="10" t="s">
        <v>334</v>
      </c>
      <c r="W194" s="10" t="s">
        <v>272</v>
      </c>
      <c r="X194" s="10" t="s">
        <v>130</v>
      </c>
      <c r="Y194" s="10" t="s">
        <v>130</v>
      </c>
      <c r="Z194" s="10" t="s">
        <v>99</v>
      </c>
      <c r="AA194" s="10" t="s">
        <v>131</v>
      </c>
      <c r="AB194" s="10" t="s">
        <v>273</v>
      </c>
      <c r="AC194" s="10" t="s">
        <v>274</v>
      </c>
      <c r="AD194" s="10" t="s">
        <v>2168</v>
      </c>
      <c r="AE194" s="10" t="s">
        <v>2169</v>
      </c>
      <c r="AF194" s="15"/>
      <c r="AG194" s="10"/>
      <c r="AH194" s="10"/>
      <c r="AI194" s="10"/>
      <c r="AJ194" s="10" t="s">
        <v>2170</v>
      </c>
      <c r="AK194" s="10" t="s">
        <v>102</v>
      </c>
      <c r="AL194" s="10" t="s">
        <v>2098</v>
      </c>
      <c r="AM194" s="10"/>
      <c r="AN194" s="10"/>
      <c r="AO194" s="13" t="b">
        <v>1</v>
      </c>
      <c r="AP194" s="10" t="s">
        <v>104</v>
      </c>
      <c r="AQ194" s="10">
        <f ca="1">IFERROR(__xludf.DUMMYFUNCTION("""COMPUTED_VALUE"""),4792894)</f>
        <v>4792894</v>
      </c>
      <c r="AR194" s="17">
        <v>197363</v>
      </c>
      <c r="AS194" s="17">
        <v>111874</v>
      </c>
      <c r="AT194" s="17">
        <v>4670546.75</v>
      </c>
      <c r="AU194" s="17">
        <v>3299.9</v>
      </c>
      <c r="AV194" s="17">
        <v>363.75</v>
      </c>
      <c r="AW194" s="10" t="s">
        <v>105</v>
      </c>
      <c r="AX194" s="17">
        <v>57368</v>
      </c>
      <c r="AY194" s="18">
        <v>41.748277079571658</v>
      </c>
      <c r="AZ194" s="10" t="s">
        <v>2099</v>
      </c>
      <c r="BA194" s="20" t="b">
        <v>0</v>
      </c>
      <c r="BB194" s="10"/>
      <c r="BC194" s="17">
        <v>197363</v>
      </c>
      <c r="BD194" s="17">
        <v>111874</v>
      </c>
      <c r="BE194" s="17">
        <v>4670546.75</v>
      </c>
      <c r="BF194" s="17">
        <v>363.75</v>
      </c>
      <c r="BG194" s="11">
        <f ca="1">IFERROR(__xludf.DUMMYFUNCTION("""COMPUTED_VALUE"""),46018.7916666666)</f>
        <v>46018.791666666599</v>
      </c>
      <c r="BH194" s="17" t="s">
        <v>105</v>
      </c>
      <c r="BI194" s="17"/>
      <c r="BJ194" s="15"/>
      <c r="BK194" s="15"/>
      <c r="BL194" s="13" t="b">
        <v>1</v>
      </c>
      <c r="BM194" s="10"/>
      <c r="BN194" s="10" t="s">
        <v>351</v>
      </c>
      <c r="BO194" s="11">
        <v>45827.42083333333</v>
      </c>
      <c r="BP194" s="11">
        <v>46010.871562499997</v>
      </c>
      <c r="BQ194" s="15">
        <v>46014.604490740741</v>
      </c>
      <c r="BR194" s="15">
        <v>46014.582199074073</v>
      </c>
      <c r="BS194" s="10"/>
      <c r="BT194" s="10" t="s">
        <v>279</v>
      </c>
      <c r="BU194" s="10" t="s">
        <v>816</v>
      </c>
      <c r="BV194" s="10" t="s">
        <v>124</v>
      </c>
      <c r="BW194" s="10"/>
      <c r="BX194" s="10"/>
      <c r="BY194" s="23"/>
      <c r="BZ194" s="24" t="s">
        <v>284</v>
      </c>
      <c r="CA194" s="19" t="s">
        <v>2171</v>
      </c>
      <c r="CB194" s="19" t="s">
        <v>2172</v>
      </c>
      <c r="CC194" s="23"/>
      <c r="CD194" s="19" t="s">
        <v>2173</v>
      </c>
      <c r="CE194" s="23"/>
      <c r="CF194" s="23"/>
      <c r="CG194" s="23"/>
      <c r="CH194" s="23"/>
      <c r="CI194" s="23"/>
    </row>
    <row r="195" spans="1:87" x14ac:dyDescent="0.3">
      <c r="A195" s="9" t="s">
        <v>2174</v>
      </c>
      <c r="B195" s="10" t="s">
        <v>2175</v>
      </c>
      <c r="C195" s="11">
        <v>46019.875</v>
      </c>
      <c r="D195" s="12">
        <v>8.3333333333333329E-2</v>
      </c>
      <c r="E195" s="11">
        <v>46019.958333333336</v>
      </c>
      <c r="F195" s="10" t="s">
        <v>262</v>
      </c>
      <c r="G195" s="13" t="b">
        <v>0</v>
      </c>
      <c r="H195" s="10" t="s">
        <v>263</v>
      </c>
      <c r="I195" s="10" t="s">
        <v>264</v>
      </c>
      <c r="J195" s="13" t="b">
        <v>0</v>
      </c>
      <c r="K195" s="13" t="b">
        <v>1</v>
      </c>
      <c r="L195" s="10" t="s">
        <v>124</v>
      </c>
      <c r="M195" s="10" t="s">
        <v>91</v>
      </c>
      <c r="N195" s="10" t="s">
        <v>265</v>
      </c>
      <c r="O195" s="19" t="s">
        <v>2176</v>
      </c>
      <c r="P195" s="10" t="s">
        <v>405</v>
      </c>
      <c r="Q195" s="10" t="s">
        <v>126</v>
      </c>
      <c r="R195" s="10"/>
      <c r="S195" s="19" t="s">
        <v>2177</v>
      </c>
      <c r="T195" s="10"/>
      <c r="U195" s="10" t="s">
        <v>588</v>
      </c>
      <c r="V195" s="10" t="s">
        <v>663</v>
      </c>
      <c r="W195" s="10" t="s">
        <v>272</v>
      </c>
      <c r="X195" s="10" t="s">
        <v>130</v>
      </c>
      <c r="Y195" s="10" t="s">
        <v>130</v>
      </c>
      <c r="Z195" s="10" t="s">
        <v>99</v>
      </c>
      <c r="AA195" s="10" t="s">
        <v>131</v>
      </c>
      <c r="AB195" s="10" t="s">
        <v>273</v>
      </c>
      <c r="AC195" s="10" t="s">
        <v>274</v>
      </c>
      <c r="AD195" s="10" t="s">
        <v>2178</v>
      </c>
      <c r="AE195" s="10" t="s">
        <v>2179</v>
      </c>
      <c r="AF195" s="15"/>
      <c r="AG195" s="10"/>
      <c r="AH195" s="10"/>
      <c r="AI195" s="10"/>
      <c r="AJ195" s="10" t="s">
        <v>2180</v>
      </c>
      <c r="AK195" s="10" t="s">
        <v>102</v>
      </c>
      <c r="AL195" s="10" t="s">
        <v>2098</v>
      </c>
      <c r="AM195" s="10"/>
      <c r="AN195" s="10"/>
      <c r="AO195" s="13" t="b">
        <v>0</v>
      </c>
      <c r="AP195" s="10" t="s">
        <v>104</v>
      </c>
      <c r="AQ195" s="10">
        <f ca="1">IFERROR(__xludf.DUMMYFUNCTION("""COMPUTED_VALUE"""),4794245)</f>
        <v>4794245</v>
      </c>
      <c r="AR195" s="17">
        <v>64285</v>
      </c>
      <c r="AS195" s="17">
        <v>42225</v>
      </c>
      <c r="AT195" s="17">
        <v>1502295.75</v>
      </c>
      <c r="AU195" s="17">
        <v>270.55</v>
      </c>
      <c r="AV195" s="17">
        <v>35.25</v>
      </c>
      <c r="AW195" s="10" t="s">
        <v>105</v>
      </c>
      <c r="AX195" s="17">
        <v>15273</v>
      </c>
      <c r="AY195" s="18">
        <v>35.578348134991117</v>
      </c>
      <c r="AZ195" s="10" t="s">
        <v>2099</v>
      </c>
      <c r="BA195" s="20" t="b">
        <v>0</v>
      </c>
      <c r="BB195" s="10"/>
      <c r="BC195" s="17">
        <v>64285</v>
      </c>
      <c r="BD195" s="17">
        <v>42225</v>
      </c>
      <c r="BE195" s="17">
        <v>1502295.75</v>
      </c>
      <c r="BF195" s="17">
        <v>35.25</v>
      </c>
      <c r="BG195" s="11">
        <f ca="1">IFERROR(__xludf.DUMMYFUNCTION("""COMPUTED_VALUE"""),46019.875)</f>
        <v>46019.875</v>
      </c>
      <c r="BH195" s="17" t="s">
        <v>105</v>
      </c>
      <c r="BI195" s="17"/>
      <c r="BJ195" s="15"/>
      <c r="BK195" s="15"/>
      <c r="BL195" s="13" t="b">
        <v>0</v>
      </c>
      <c r="BM195" s="10"/>
      <c r="BN195" s="10" t="s">
        <v>137</v>
      </c>
      <c r="BO195" s="11">
        <v>45827.42083333333</v>
      </c>
      <c r="BP195" s="11">
        <v>46010.872523148151</v>
      </c>
      <c r="BQ195" s="15">
        <v>46015.64502314815</v>
      </c>
      <c r="BR195" s="15">
        <v>46015.726805555554</v>
      </c>
      <c r="BS195" s="10" t="s">
        <v>137</v>
      </c>
      <c r="BT195" s="10" t="s">
        <v>279</v>
      </c>
      <c r="BU195" s="10" t="s">
        <v>498</v>
      </c>
      <c r="BV195" s="10"/>
      <c r="BW195" s="10"/>
      <c r="BX195" s="10"/>
      <c r="BY195" s="23"/>
      <c r="BZ195" s="24" t="s">
        <v>299</v>
      </c>
      <c r="CA195" s="19" t="s">
        <v>2181</v>
      </c>
      <c r="CB195" s="19" t="s">
        <v>2182</v>
      </c>
      <c r="CC195" s="23"/>
      <c r="CD195" s="19" t="s">
        <v>2183</v>
      </c>
      <c r="CE195" s="23"/>
      <c r="CF195" s="23"/>
      <c r="CG195" s="23"/>
      <c r="CH195" s="23"/>
      <c r="CI195" s="23"/>
    </row>
    <row r="196" spans="1:87" x14ac:dyDescent="0.3">
      <c r="A196" s="9" t="s">
        <v>2184</v>
      </c>
      <c r="B196" s="10" t="s">
        <v>2185</v>
      </c>
      <c r="C196" s="11">
        <v>46018.916666666664</v>
      </c>
      <c r="D196" s="12">
        <v>8.3333333333333329E-2</v>
      </c>
      <c r="E196" s="11">
        <v>46019</v>
      </c>
      <c r="F196" s="10" t="s">
        <v>262</v>
      </c>
      <c r="G196" s="13" t="b">
        <v>0</v>
      </c>
      <c r="H196" s="10" t="s">
        <v>527</v>
      </c>
      <c r="I196" s="10" t="s">
        <v>264</v>
      </c>
      <c r="J196" s="13" t="b">
        <v>0</v>
      </c>
      <c r="K196" s="13" t="b">
        <v>1</v>
      </c>
      <c r="L196" s="10" t="s">
        <v>124</v>
      </c>
      <c r="M196" s="10" t="s">
        <v>91</v>
      </c>
      <c r="N196" s="10" t="s">
        <v>265</v>
      </c>
      <c r="O196" s="19" t="s">
        <v>2186</v>
      </c>
      <c r="P196" s="10"/>
      <c r="Q196" s="10" t="s">
        <v>126</v>
      </c>
      <c r="R196" s="10"/>
      <c r="S196" s="19" t="s">
        <v>2187</v>
      </c>
      <c r="T196" s="10"/>
      <c r="U196" s="10" t="s">
        <v>451</v>
      </c>
      <c r="V196" s="10" t="s">
        <v>309</v>
      </c>
      <c r="W196" s="10" t="s">
        <v>272</v>
      </c>
      <c r="X196" s="10" t="s">
        <v>130</v>
      </c>
      <c r="Y196" s="10" t="s">
        <v>130</v>
      </c>
      <c r="Z196" s="10" t="s">
        <v>99</v>
      </c>
      <c r="AA196" s="10" t="s">
        <v>131</v>
      </c>
      <c r="AB196" s="10" t="s">
        <v>273</v>
      </c>
      <c r="AC196" s="10" t="s">
        <v>274</v>
      </c>
      <c r="AD196" s="10" t="s">
        <v>2188</v>
      </c>
      <c r="AE196" s="10" t="s">
        <v>2189</v>
      </c>
      <c r="AF196" s="15"/>
      <c r="AG196" s="10"/>
      <c r="AH196" s="10"/>
      <c r="AI196" s="10"/>
      <c r="AJ196" s="10" t="s">
        <v>2190</v>
      </c>
      <c r="AK196" s="10" t="s">
        <v>102</v>
      </c>
      <c r="AL196" s="10" t="s">
        <v>2098</v>
      </c>
      <c r="AM196" s="10"/>
      <c r="AN196" s="10"/>
      <c r="AO196" s="13" t="b">
        <v>0</v>
      </c>
      <c r="AP196" s="10" t="s">
        <v>104</v>
      </c>
      <c r="AQ196" s="10">
        <f ca="1">IFERROR(__xludf.DUMMYFUNCTION("""COMPUTED_VALUE"""),4792905)</f>
        <v>4792905</v>
      </c>
      <c r="AR196" s="17">
        <v>11973</v>
      </c>
      <c r="AS196" s="17">
        <v>7591</v>
      </c>
      <c r="AT196" s="17">
        <v>50463.25</v>
      </c>
      <c r="AU196" s="17">
        <v>30</v>
      </c>
      <c r="AV196" s="17">
        <v>4.9000000000000004</v>
      </c>
      <c r="AW196" s="10" t="s">
        <v>105</v>
      </c>
      <c r="AX196" s="17">
        <v>2278</v>
      </c>
      <c r="AY196" s="18">
        <v>6.6477736793571331</v>
      </c>
      <c r="AZ196" s="10" t="s">
        <v>2099</v>
      </c>
      <c r="BA196" s="20" t="b">
        <v>0</v>
      </c>
      <c r="BB196" s="10"/>
      <c r="BC196" s="17">
        <v>11973</v>
      </c>
      <c r="BD196" s="17">
        <v>7591</v>
      </c>
      <c r="BE196" s="17">
        <v>50463.25</v>
      </c>
      <c r="BF196" s="17">
        <v>4.9000000000000004</v>
      </c>
      <c r="BG196" s="11">
        <f ca="1">IFERROR(__xludf.DUMMYFUNCTION("""COMPUTED_VALUE"""),46018.9166666666)</f>
        <v>46018.916666666599</v>
      </c>
      <c r="BH196" s="17" t="s">
        <v>105</v>
      </c>
      <c r="BI196" s="17"/>
      <c r="BJ196" s="15"/>
      <c r="BK196" s="15"/>
      <c r="BL196" s="13" t="b">
        <v>1</v>
      </c>
      <c r="BM196" s="10"/>
      <c r="BN196" s="10" t="s">
        <v>137</v>
      </c>
      <c r="BO196" s="11">
        <v>45827.42083333333</v>
      </c>
      <c r="BP196" s="11">
        <v>46010.87226851852</v>
      </c>
      <c r="BQ196" s="15">
        <v>46014.585543981484</v>
      </c>
      <c r="BR196" s="15">
        <v>46014.66915509259</v>
      </c>
      <c r="BS196" s="10" t="s">
        <v>137</v>
      </c>
      <c r="BT196" s="10" t="s">
        <v>279</v>
      </c>
      <c r="BU196" s="10" t="s">
        <v>730</v>
      </c>
      <c r="BV196" s="10"/>
      <c r="BW196" s="10"/>
      <c r="BX196" s="10"/>
      <c r="BY196" s="23"/>
      <c r="BZ196" s="24" t="s">
        <v>299</v>
      </c>
      <c r="CA196" s="19" t="s">
        <v>2191</v>
      </c>
      <c r="CB196" s="19" t="s">
        <v>2192</v>
      </c>
      <c r="CC196" s="23"/>
      <c r="CD196" s="19" t="s">
        <v>2193</v>
      </c>
      <c r="CE196" s="23"/>
      <c r="CF196" s="23"/>
      <c r="CG196" s="23"/>
      <c r="CH196" s="23"/>
      <c r="CI196" s="23"/>
    </row>
    <row r="197" spans="1:87" x14ac:dyDescent="0.3">
      <c r="A197" s="9" t="s">
        <v>2194</v>
      </c>
      <c r="B197" s="10" t="s">
        <v>2195</v>
      </c>
      <c r="C197" s="11">
        <v>46022.135416666664</v>
      </c>
      <c r="D197" s="12">
        <v>8.3333333333333329E-2</v>
      </c>
      <c r="E197" s="11">
        <v>46022.21875</v>
      </c>
      <c r="F197" s="10" t="s">
        <v>262</v>
      </c>
      <c r="G197" s="13" t="b">
        <v>0</v>
      </c>
      <c r="H197" s="10" t="s">
        <v>263</v>
      </c>
      <c r="I197" s="10" t="s">
        <v>264</v>
      </c>
      <c r="J197" s="13" t="b">
        <v>0</v>
      </c>
      <c r="K197" s="13" t="b">
        <v>1</v>
      </c>
      <c r="L197" s="10" t="s">
        <v>124</v>
      </c>
      <c r="M197" s="10" t="s">
        <v>91</v>
      </c>
      <c r="N197" s="10" t="s">
        <v>265</v>
      </c>
      <c r="O197" s="19" t="s">
        <v>2196</v>
      </c>
      <c r="P197" s="10" t="s">
        <v>267</v>
      </c>
      <c r="Q197" s="10" t="s">
        <v>126</v>
      </c>
      <c r="R197" s="10"/>
      <c r="S197" s="19" t="s">
        <v>2197</v>
      </c>
      <c r="T197" s="10"/>
      <c r="U197" s="10" t="s">
        <v>362</v>
      </c>
      <c r="V197" s="10" t="s">
        <v>292</v>
      </c>
      <c r="W197" s="10" t="s">
        <v>272</v>
      </c>
      <c r="X197" s="10" t="s">
        <v>130</v>
      </c>
      <c r="Y197" s="10" t="s">
        <v>130</v>
      </c>
      <c r="Z197" s="10" t="s">
        <v>99</v>
      </c>
      <c r="AA197" s="10" t="s">
        <v>131</v>
      </c>
      <c r="AB197" s="10" t="s">
        <v>273</v>
      </c>
      <c r="AC197" s="10" t="s">
        <v>274</v>
      </c>
      <c r="AD197" s="10" t="s">
        <v>2198</v>
      </c>
      <c r="AE197" s="10" t="s">
        <v>2199</v>
      </c>
      <c r="AF197" s="15"/>
      <c r="AG197" s="10"/>
      <c r="AH197" s="10"/>
      <c r="AI197" s="10"/>
      <c r="AJ197" s="10" t="s">
        <v>2200</v>
      </c>
      <c r="AK197" s="10" t="s">
        <v>102</v>
      </c>
      <c r="AL197" s="10" t="s">
        <v>2201</v>
      </c>
      <c r="AM197" s="10"/>
      <c r="AN197" s="10"/>
      <c r="AO197" s="13" t="b">
        <v>1</v>
      </c>
      <c r="AP197" s="10" t="s">
        <v>104</v>
      </c>
      <c r="AQ197" s="10">
        <f ca="1">IFERROR(__xludf.DUMMYFUNCTION("""COMPUTED_VALUE"""),4802036)</f>
        <v>4802036</v>
      </c>
      <c r="AR197" s="17">
        <v>95877</v>
      </c>
      <c r="AS197" s="17">
        <v>49546</v>
      </c>
      <c r="AT197" s="17">
        <v>2213538.25</v>
      </c>
      <c r="AU197" s="17">
        <v>839.7</v>
      </c>
      <c r="AV197" s="17">
        <v>97.9</v>
      </c>
      <c r="AW197" s="10" t="s">
        <v>105</v>
      </c>
      <c r="AX197" s="17">
        <v>23284</v>
      </c>
      <c r="AY197" s="18">
        <v>44.67642695676745</v>
      </c>
      <c r="AZ197" s="10" t="s">
        <v>2099</v>
      </c>
      <c r="BA197" s="20" t="b">
        <v>0</v>
      </c>
      <c r="BB197" s="10"/>
      <c r="BC197" s="17">
        <v>95877</v>
      </c>
      <c r="BD197" s="17">
        <v>49546</v>
      </c>
      <c r="BE197" s="17">
        <v>2213538.25</v>
      </c>
      <c r="BF197" s="17">
        <v>97.9</v>
      </c>
      <c r="BG197" s="11">
        <f ca="1">IFERROR(__xludf.DUMMYFUNCTION("""COMPUTED_VALUE"""),46022.1354166666)</f>
        <v>46022.135416666599</v>
      </c>
      <c r="BH197" s="17" t="s">
        <v>105</v>
      </c>
      <c r="BI197" s="17"/>
      <c r="BJ197" s="15"/>
      <c r="BK197" s="15"/>
      <c r="BL197" s="13" t="b">
        <v>1</v>
      </c>
      <c r="BM197" s="10"/>
      <c r="BN197" s="10" t="s">
        <v>351</v>
      </c>
      <c r="BO197" s="11">
        <v>45827.42083333333</v>
      </c>
      <c r="BP197" s="11">
        <v>46013.994201388887</v>
      </c>
      <c r="BQ197" s="15">
        <v>46015.717997685184</v>
      </c>
      <c r="BR197" s="15">
        <v>46020.571423611109</v>
      </c>
      <c r="BS197" s="10"/>
      <c r="BT197" s="10" t="s">
        <v>279</v>
      </c>
      <c r="BU197" s="10" t="s">
        <v>298</v>
      </c>
      <c r="BV197" s="10" t="s">
        <v>124</v>
      </c>
      <c r="BW197" s="10"/>
      <c r="BX197" s="10"/>
      <c r="BY197" s="23"/>
      <c r="BZ197" s="24" t="s">
        <v>284</v>
      </c>
      <c r="CA197" s="19" t="s">
        <v>2202</v>
      </c>
      <c r="CB197" s="19" t="s">
        <v>2203</v>
      </c>
      <c r="CC197" s="23"/>
      <c r="CD197" s="19" t="s">
        <v>2204</v>
      </c>
      <c r="CE197" s="23"/>
      <c r="CF197" s="23"/>
      <c r="CG197" s="23"/>
      <c r="CH197" s="23"/>
      <c r="CI197" s="23"/>
    </row>
    <row r="198" spans="1:87" x14ac:dyDescent="0.3">
      <c r="A198" s="9" t="s">
        <v>2205</v>
      </c>
      <c r="B198" s="10" t="s">
        <v>2206</v>
      </c>
      <c r="C198" s="11">
        <v>46024.125</v>
      </c>
      <c r="D198" s="12">
        <v>8.3333333333333329E-2</v>
      </c>
      <c r="E198" s="11">
        <v>46024.208333333336</v>
      </c>
      <c r="F198" s="10" t="s">
        <v>262</v>
      </c>
      <c r="G198" s="13" t="b">
        <v>0</v>
      </c>
      <c r="H198" s="10" t="s">
        <v>527</v>
      </c>
      <c r="I198" s="10" t="s">
        <v>264</v>
      </c>
      <c r="J198" s="13" t="b">
        <v>0</v>
      </c>
      <c r="K198" s="13" t="b">
        <v>1</v>
      </c>
      <c r="L198" s="10" t="s">
        <v>124</v>
      </c>
      <c r="M198" s="10" t="s">
        <v>91</v>
      </c>
      <c r="N198" s="10" t="s">
        <v>265</v>
      </c>
      <c r="O198" s="19" t="s">
        <v>2207</v>
      </c>
      <c r="P198" s="10"/>
      <c r="Q198" s="10" t="s">
        <v>126</v>
      </c>
      <c r="R198" s="10"/>
      <c r="S198" s="19" t="s">
        <v>2208</v>
      </c>
      <c r="T198" s="19" t="s">
        <v>2209</v>
      </c>
      <c r="U198" s="10" t="s">
        <v>321</v>
      </c>
      <c r="V198" s="10" t="s">
        <v>429</v>
      </c>
      <c r="W198" s="10" t="s">
        <v>272</v>
      </c>
      <c r="X198" s="10" t="s">
        <v>130</v>
      </c>
      <c r="Y198" s="10" t="s">
        <v>130</v>
      </c>
      <c r="Z198" s="10" t="s">
        <v>99</v>
      </c>
      <c r="AA198" s="10" t="s">
        <v>131</v>
      </c>
      <c r="AB198" s="10" t="s">
        <v>273</v>
      </c>
      <c r="AC198" s="10" t="s">
        <v>274</v>
      </c>
      <c r="AD198" s="10" t="s">
        <v>2210</v>
      </c>
      <c r="AE198" s="10" t="s">
        <v>2211</v>
      </c>
      <c r="AF198" s="15"/>
      <c r="AG198" s="10"/>
      <c r="AH198" s="10"/>
      <c r="AI198" s="10"/>
      <c r="AJ198" s="10" t="s">
        <v>2212</v>
      </c>
      <c r="AK198" s="10" t="s">
        <v>102</v>
      </c>
      <c r="AL198" s="10" t="s">
        <v>2201</v>
      </c>
      <c r="AM198" s="10"/>
      <c r="AN198" s="10"/>
      <c r="AO198" s="13" t="b">
        <v>1</v>
      </c>
      <c r="AP198" s="10" t="s">
        <v>104</v>
      </c>
      <c r="AQ198" s="10">
        <f ca="1">IFERROR(__xludf.DUMMYFUNCTION("""COMPUTED_VALUE"""),4802193)</f>
        <v>4802193</v>
      </c>
      <c r="AR198" s="17">
        <v>13604</v>
      </c>
      <c r="AS198" s="17">
        <v>8651</v>
      </c>
      <c r="AT198" s="17">
        <v>121491.25</v>
      </c>
      <c r="AU198" s="17">
        <v>19.45</v>
      </c>
      <c r="AV198" s="17">
        <v>6.75</v>
      </c>
      <c r="AW198" s="10" t="s">
        <v>105</v>
      </c>
      <c r="AX198" s="17">
        <v>2843</v>
      </c>
      <c r="AY198" s="18">
        <v>14.043607675413247</v>
      </c>
      <c r="AZ198" s="10" t="s">
        <v>136</v>
      </c>
      <c r="BA198" s="20" t="b">
        <v>0</v>
      </c>
      <c r="BB198" s="10"/>
      <c r="BC198" s="17">
        <v>13604</v>
      </c>
      <c r="BD198" s="17">
        <v>8651</v>
      </c>
      <c r="BE198" s="17">
        <v>121491.25</v>
      </c>
      <c r="BF198" s="17">
        <v>6.75</v>
      </c>
      <c r="BG198" s="11">
        <f ca="1">IFERROR(__xludf.DUMMYFUNCTION("""COMPUTED_VALUE"""),46024.125)</f>
        <v>46024.125</v>
      </c>
      <c r="BH198" s="17" t="s">
        <v>105</v>
      </c>
      <c r="BI198" s="17"/>
      <c r="BJ198" s="15"/>
      <c r="BK198" s="15"/>
      <c r="BL198" s="13" t="b">
        <v>1</v>
      </c>
      <c r="BM198" s="10"/>
      <c r="BN198" s="10" t="s">
        <v>197</v>
      </c>
      <c r="BO198" s="11">
        <v>45827.42083333333</v>
      </c>
      <c r="BP198" s="11">
        <v>46013.994895833333</v>
      </c>
      <c r="BQ198" s="15">
        <v>46019.775416666664</v>
      </c>
      <c r="BR198" s="15">
        <v>46020.683935185189</v>
      </c>
      <c r="BS198" s="10" t="s">
        <v>197</v>
      </c>
      <c r="BT198" s="10" t="s">
        <v>279</v>
      </c>
      <c r="BU198" s="10" t="s">
        <v>498</v>
      </c>
      <c r="BV198" s="10"/>
      <c r="BW198" s="10"/>
      <c r="BX198" s="10"/>
      <c r="BY198" s="23"/>
      <c r="BZ198" s="24" t="s">
        <v>284</v>
      </c>
      <c r="CA198" s="19" t="s">
        <v>2213</v>
      </c>
      <c r="CB198" s="19" t="s">
        <v>2209</v>
      </c>
      <c r="CC198" s="23"/>
      <c r="CD198" s="19" t="s">
        <v>2214</v>
      </c>
      <c r="CE198" s="23"/>
      <c r="CF198" s="23"/>
      <c r="CG198" s="23"/>
      <c r="CH198" s="23"/>
      <c r="CI198" s="23"/>
    </row>
    <row r="199" spans="1:87" x14ac:dyDescent="0.3">
      <c r="A199" s="9" t="s">
        <v>2215</v>
      </c>
      <c r="B199" s="10" t="s">
        <v>2216</v>
      </c>
      <c r="C199" s="11">
        <v>46022.104166666664</v>
      </c>
      <c r="D199" s="12">
        <v>8.3333333333333329E-2</v>
      </c>
      <c r="E199" s="11">
        <v>46022.1875</v>
      </c>
      <c r="F199" s="10" t="s">
        <v>262</v>
      </c>
      <c r="G199" s="13" t="b">
        <v>0</v>
      </c>
      <c r="H199" s="10" t="s">
        <v>527</v>
      </c>
      <c r="I199" s="10" t="s">
        <v>264</v>
      </c>
      <c r="J199" s="13" t="b">
        <v>0</v>
      </c>
      <c r="K199" s="13" t="b">
        <v>1</v>
      </c>
      <c r="L199" s="10" t="s">
        <v>124</v>
      </c>
      <c r="M199" s="10" t="s">
        <v>91</v>
      </c>
      <c r="N199" s="10" t="s">
        <v>265</v>
      </c>
      <c r="O199" s="19" t="s">
        <v>2217</v>
      </c>
      <c r="P199" s="10"/>
      <c r="Q199" s="10" t="s">
        <v>126</v>
      </c>
      <c r="R199" s="10"/>
      <c r="S199" s="19" t="s">
        <v>2218</v>
      </c>
      <c r="T199" s="10"/>
      <c r="U199" s="10" t="s">
        <v>609</v>
      </c>
      <c r="V199" s="10" t="s">
        <v>293</v>
      </c>
      <c r="W199" s="10" t="s">
        <v>272</v>
      </c>
      <c r="X199" s="10" t="s">
        <v>130</v>
      </c>
      <c r="Y199" s="10" t="s">
        <v>130</v>
      </c>
      <c r="Z199" s="10" t="s">
        <v>99</v>
      </c>
      <c r="AA199" s="10" t="s">
        <v>131</v>
      </c>
      <c r="AB199" s="10" t="s">
        <v>273</v>
      </c>
      <c r="AC199" s="10" t="s">
        <v>274</v>
      </c>
      <c r="AD199" s="10" t="s">
        <v>2219</v>
      </c>
      <c r="AE199" s="10" t="s">
        <v>2220</v>
      </c>
      <c r="AF199" s="15"/>
      <c r="AG199" s="10"/>
      <c r="AH199" s="10"/>
      <c r="AI199" s="10"/>
      <c r="AJ199" s="10" t="s">
        <v>2221</v>
      </c>
      <c r="AK199" s="10" t="s">
        <v>102</v>
      </c>
      <c r="AL199" s="10" t="s">
        <v>2201</v>
      </c>
      <c r="AM199" s="10"/>
      <c r="AN199" s="10"/>
      <c r="AO199" s="13" t="b">
        <v>0</v>
      </c>
      <c r="AP199" s="10" t="s">
        <v>104</v>
      </c>
      <c r="AQ199" s="10">
        <f ca="1">IFERROR(__xludf.DUMMYFUNCTION("""COMPUTED_VALUE"""),4802056)</f>
        <v>4802056</v>
      </c>
      <c r="AR199" s="17">
        <v>11600</v>
      </c>
      <c r="AS199" s="17">
        <v>6811</v>
      </c>
      <c r="AT199" s="17">
        <v>56388.25</v>
      </c>
      <c r="AU199" s="17">
        <v>24.3</v>
      </c>
      <c r="AV199" s="17">
        <v>1.7</v>
      </c>
      <c r="AW199" s="10" t="s">
        <v>105</v>
      </c>
      <c r="AX199" s="17">
        <v>1602</v>
      </c>
      <c r="AY199" s="18">
        <v>8.2789972103949498</v>
      </c>
      <c r="AZ199" s="10" t="s">
        <v>2099</v>
      </c>
      <c r="BA199" s="20" t="b">
        <v>0</v>
      </c>
      <c r="BB199" s="10"/>
      <c r="BC199" s="17">
        <v>11600</v>
      </c>
      <c r="BD199" s="17">
        <v>6811</v>
      </c>
      <c r="BE199" s="17">
        <v>56388.25</v>
      </c>
      <c r="BF199" s="17">
        <v>1.7</v>
      </c>
      <c r="BG199" s="11">
        <f ca="1">IFERROR(__xludf.DUMMYFUNCTION("""COMPUTED_VALUE"""),46022.1041666666)</f>
        <v>46022.104166666599</v>
      </c>
      <c r="BH199" s="17" t="s">
        <v>105</v>
      </c>
      <c r="BI199" s="17"/>
      <c r="BJ199" s="15"/>
      <c r="BK199" s="15"/>
      <c r="BL199" s="13" t="b">
        <v>1</v>
      </c>
      <c r="BM199" s="10"/>
      <c r="BN199" s="10" t="s">
        <v>634</v>
      </c>
      <c r="BO199" s="11">
        <v>45827.42083333333</v>
      </c>
      <c r="BP199" s="11">
        <v>46013.993472222224</v>
      </c>
      <c r="BQ199" s="15">
        <v>46015.71979166667</v>
      </c>
      <c r="BR199" s="15">
        <v>46020.576967592591</v>
      </c>
      <c r="BS199" s="10" t="s">
        <v>634</v>
      </c>
      <c r="BT199" s="10" t="s">
        <v>279</v>
      </c>
      <c r="BU199" s="10" t="s">
        <v>498</v>
      </c>
      <c r="BV199" s="10"/>
      <c r="BW199" s="10"/>
      <c r="BX199" s="10"/>
      <c r="BY199" s="23"/>
      <c r="BZ199" s="24" t="s">
        <v>299</v>
      </c>
      <c r="CA199" s="19" t="s">
        <v>2222</v>
      </c>
      <c r="CB199" s="19" t="s">
        <v>2223</v>
      </c>
      <c r="CC199" s="23"/>
      <c r="CD199" s="19" t="s">
        <v>2224</v>
      </c>
      <c r="CE199" s="23"/>
      <c r="CF199" s="23"/>
      <c r="CG199" s="23"/>
      <c r="CH199" s="23"/>
      <c r="CI199" s="23"/>
    </row>
    <row r="200" spans="1:87" x14ac:dyDescent="0.3">
      <c r="A200" s="9" t="s">
        <v>2225</v>
      </c>
      <c r="B200" s="10" t="s">
        <v>2226</v>
      </c>
      <c r="C200" s="11">
        <v>46022.104166666664</v>
      </c>
      <c r="D200" s="12">
        <v>8.3333333333333329E-2</v>
      </c>
      <c r="E200" s="11">
        <v>46022.1875</v>
      </c>
      <c r="F200" s="10" t="s">
        <v>262</v>
      </c>
      <c r="G200" s="13" t="b">
        <v>0</v>
      </c>
      <c r="H200" s="10" t="s">
        <v>527</v>
      </c>
      <c r="I200" s="10" t="s">
        <v>264</v>
      </c>
      <c r="J200" s="13" t="b">
        <v>0</v>
      </c>
      <c r="K200" s="13" t="b">
        <v>1</v>
      </c>
      <c r="L200" s="10" t="s">
        <v>124</v>
      </c>
      <c r="M200" s="10" t="s">
        <v>91</v>
      </c>
      <c r="N200" s="10" t="s">
        <v>265</v>
      </c>
      <c r="O200" s="19" t="s">
        <v>2227</v>
      </c>
      <c r="P200" s="10" t="s">
        <v>885</v>
      </c>
      <c r="Q200" s="10" t="s">
        <v>126</v>
      </c>
      <c r="R200" s="10"/>
      <c r="S200" s="19" t="s">
        <v>2228</v>
      </c>
      <c r="T200" s="10"/>
      <c r="U200" s="10" t="s">
        <v>346</v>
      </c>
      <c r="V200" s="10" t="s">
        <v>271</v>
      </c>
      <c r="W200" s="10" t="s">
        <v>272</v>
      </c>
      <c r="X200" s="10" t="s">
        <v>130</v>
      </c>
      <c r="Y200" s="10" t="s">
        <v>130</v>
      </c>
      <c r="Z200" s="10" t="s">
        <v>99</v>
      </c>
      <c r="AA200" s="10" t="s">
        <v>131</v>
      </c>
      <c r="AB200" s="10" t="s">
        <v>273</v>
      </c>
      <c r="AC200" s="10" t="s">
        <v>274</v>
      </c>
      <c r="AD200" s="10" t="s">
        <v>2229</v>
      </c>
      <c r="AE200" s="10" t="s">
        <v>2230</v>
      </c>
      <c r="AF200" s="15"/>
      <c r="AG200" s="10"/>
      <c r="AH200" s="10"/>
      <c r="AI200" s="10"/>
      <c r="AJ200" s="10" t="s">
        <v>2231</v>
      </c>
      <c r="AK200" s="10" t="s">
        <v>102</v>
      </c>
      <c r="AL200" s="10" t="s">
        <v>2201</v>
      </c>
      <c r="AM200" s="10"/>
      <c r="AN200" s="10"/>
      <c r="AO200" s="13" t="b">
        <v>1</v>
      </c>
      <c r="AP200" s="10" t="s">
        <v>104</v>
      </c>
      <c r="AQ200" s="10">
        <f ca="1">IFERROR(__xludf.DUMMYFUNCTION("""COMPUTED_VALUE"""),4802057)</f>
        <v>4802057</v>
      </c>
      <c r="AR200" s="17">
        <v>63618</v>
      </c>
      <c r="AS200" s="17">
        <v>36468</v>
      </c>
      <c r="AT200" s="17">
        <v>958856.5</v>
      </c>
      <c r="AU200" s="17">
        <v>466.2</v>
      </c>
      <c r="AV200" s="17">
        <v>36.950000000000003</v>
      </c>
      <c r="AW200" s="10" t="s">
        <v>105</v>
      </c>
      <c r="AX200" s="17">
        <v>14879</v>
      </c>
      <c r="AY200" s="18">
        <v>26.293092574311725</v>
      </c>
      <c r="AZ200" s="10" t="s">
        <v>2099</v>
      </c>
      <c r="BA200" s="20" t="b">
        <v>0</v>
      </c>
      <c r="BB200" s="10"/>
      <c r="BC200" s="17">
        <v>63618</v>
      </c>
      <c r="BD200" s="17">
        <v>36468</v>
      </c>
      <c r="BE200" s="17">
        <v>958856.5</v>
      </c>
      <c r="BF200" s="17">
        <v>36.950000000000003</v>
      </c>
      <c r="BG200" s="11">
        <f ca="1">IFERROR(__xludf.DUMMYFUNCTION("""COMPUTED_VALUE"""),46022.1041666666)</f>
        <v>46022.104166666599</v>
      </c>
      <c r="BH200" s="17" t="s">
        <v>105</v>
      </c>
      <c r="BI200" s="17"/>
      <c r="BJ200" s="15"/>
      <c r="BK200" s="15"/>
      <c r="BL200" s="13" t="b">
        <v>0</v>
      </c>
      <c r="BM200" s="10"/>
      <c r="BN200" s="10" t="s">
        <v>351</v>
      </c>
      <c r="BO200" s="11">
        <v>45827.42083333333</v>
      </c>
      <c r="BP200" s="11">
        <v>46013.993611111109</v>
      </c>
      <c r="BQ200" s="15">
        <v>46015.719131944446</v>
      </c>
      <c r="BR200" s="15">
        <v>46020.577048611114</v>
      </c>
      <c r="BS200" s="10"/>
      <c r="BT200" s="10" t="s">
        <v>279</v>
      </c>
      <c r="BU200" s="10" t="s">
        <v>421</v>
      </c>
      <c r="BV200" s="10"/>
      <c r="BW200" s="10"/>
      <c r="BX200" s="10"/>
      <c r="BY200" s="23"/>
      <c r="BZ200" s="24" t="s">
        <v>284</v>
      </c>
      <c r="CA200" s="19" t="s">
        <v>2232</v>
      </c>
      <c r="CB200" s="19" t="s">
        <v>2233</v>
      </c>
      <c r="CC200" s="23"/>
      <c r="CD200" s="19" t="s">
        <v>2234</v>
      </c>
      <c r="CE200" s="23"/>
      <c r="CF200" s="23"/>
      <c r="CG200" s="23"/>
      <c r="CH200" s="23"/>
      <c r="CI200" s="23"/>
    </row>
    <row r="201" spans="1:87" x14ac:dyDescent="0.3">
      <c r="A201" s="9" t="s">
        <v>2235</v>
      </c>
      <c r="B201" s="10" t="s">
        <v>2236</v>
      </c>
      <c r="C201" s="11">
        <v>46024.020833333336</v>
      </c>
      <c r="D201" s="12">
        <v>8.3333333333333329E-2</v>
      </c>
      <c r="E201" s="11">
        <v>46024.104166666664</v>
      </c>
      <c r="F201" s="10" t="s">
        <v>262</v>
      </c>
      <c r="G201" s="13" t="b">
        <v>0</v>
      </c>
      <c r="H201" s="10" t="s">
        <v>527</v>
      </c>
      <c r="I201" s="10" t="s">
        <v>264</v>
      </c>
      <c r="J201" s="13" t="b">
        <v>0</v>
      </c>
      <c r="K201" s="13" t="b">
        <v>1</v>
      </c>
      <c r="L201" s="10" t="s">
        <v>124</v>
      </c>
      <c r="M201" s="10" t="s">
        <v>91</v>
      </c>
      <c r="N201" s="10" t="s">
        <v>265</v>
      </c>
      <c r="O201" s="19" t="s">
        <v>2237</v>
      </c>
      <c r="P201" s="10"/>
      <c r="Q201" s="10" t="s">
        <v>126</v>
      </c>
      <c r="R201" s="10"/>
      <c r="S201" s="19" t="s">
        <v>2238</v>
      </c>
      <c r="T201" s="19" t="s">
        <v>2239</v>
      </c>
      <c r="U201" s="10" t="s">
        <v>347</v>
      </c>
      <c r="V201" s="10" t="s">
        <v>309</v>
      </c>
      <c r="W201" s="10" t="s">
        <v>272</v>
      </c>
      <c r="X201" s="10" t="s">
        <v>130</v>
      </c>
      <c r="Y201" s="10" t="s">
        <v>130</v>
      </c>
      <c r="Z201" s="10" t="s">
        <v>99</v>
      </c>
      <c r="AA201" s="10" t="s">
        <v>131</v>
      </c>
      <c r="AB201" s="10" t="s">
        <v>273</v>
      </c>
      <c r="AC201" s="10" t="s">
        <v>274</v>
      </c>
      <c r="AD201" s="10" t="s">
        <v>2240</v>
      </c>
      <c r="AE201" s="10" t="s">
        <v>2241</v>
      </c>
      <c r="AF201" s="15"/>
      <c r="AG201" s="10"/>
      <c r="AH201" s="10"/>
      <c r="AI201" s="10"/>
      <c r="AJ201" s="10" t="s">
        <v>2242</v>
      </c>
      <c r="AK201" s="10" t="s">
        <v>102</v>
      </c>
      <c r="AL201" s="10" t="s">
        <v>2201</v>
      </c>
      <c r="AM201" s="10"/>
      <c r="AN201" s="10"/>
      <c r="AO201" s="13" t="b">
        <v>0</v>
      </c>
      <c r="AP201" s="10" t="s">
        <v>104</v>
      </c>
      <c r="AQ201" s="10">
        <f ca="1">IFERROR(__xludf.DUMMYFUNCTION("""COMPUTED_VALUE"""),4802189)</f>
        <v>4802189</v>
      </c>
      <c r="AR201" s="17">
        <v>12483</v>
      </c>
      <c r="AS201" s="17">
        <v>7536</v>
      </c>
      <c r="AT201" s="17">
        <v>92073.5</v>
      </c>
      <c r="AU201" s="17">
        <v>19.45</v>
      </c>
      <c r="AV201" s="17">
        <v>2.65</v>
      </c>
      <c r="AW201" s="10" t="s">
        <v>105</v>
      </c>
      <c r="AX201" s="17">
        <v>2998</v>
      </c>
      <c r="AY201" s="18">
        <v>12.217821125265393</v>
      </c>
      <c r="AZ201" s="10" t="s">
        <v>136</v>
      </c>
      <c r="BA201" s="20" t="b">
        <v>0</v>
      </c>
      <c r="BB201" s="10"/>
      <c r="BC201" s="17">
        <v>12483</v>
      </c>
      <c r="BD201" s="17">
        <v>7536</v>
      </c>
      <c r="BE201" s="17">
        <v>92073.5</v>
      </c>
      <c r="BF201" s="17">
        <v>2.65</v>
      </c>
      <c r="BG201" s="11">
        <f ca="1">IFERROR(__xludf.DUMMYFUNCTION("""COMPUTED_VALUE"""),46024.0208333333)</f>
        <v>46024.020833333299</v>
      </c>
      <c r="BH201" s="17" t="s">
        <v>105</v>
      </c>
      <c r="BI201" s="17"/>
      <c r="BJ201" s="15"/>
      <c r="BK201" s="15"/>
      <c r="BL201" s="13" t="b">
        <v>1</v>
      </c>
      <c r="BM201" s="10"/>
      <c r="BN201" s="10" t="s">
        <v>197</v>
      </c>
      <c r="BO201" s="11">
        <v>45827.42083333333</v>
      </c>
      <c r="BP201" s="11">
        <v>46013.99459490741</v>
      </c>
      <c r="BQ201" s="15">
        <v>46019.77584490741</v>
      </c>
      <c r="BR201" s="15">
        <v>46020.679398148146</v>
      </c>
      <c r="BS201" s="10" t="s">
        <v>197</v>
      </c>
      <c r="BT201" s="10" t="s">
        <v>279</v>
      </c>
      <c r="BU201" s="10" t="s">
        <v>298</v>
      </c>
      <c r="BV201" s="10"/>
      <c r="BW201" s="10"/>
      <c r="BX201" s="10"/>
      <c r="BY201" s="23"/>
      <c r="BZ201" s="24" t="s">
        <v>299</v>
      </c>
      <c r="CA201" s="19" t="s">
        <v>2243</v>
      </c>
      <c r="CB201" s="19" t="s">
        <v>2244</v>
      </c>
      <c r="CC201" s="23"/>
      <c r="CD201" s="19" t="s">
        <v>2245</v>
      </c>
      <c r="CE201" s="23"/>
      <c r="CF201" s="23"/>
      <c r="CG201" s="23"/>
      <c r="CH201" s="23"/>
      <c r="CI201" s="23"/>
    </row>
    <row r="202" spans="1:87" x14ac:dyDescent="0.3">
      <c r="A202" s="9" t="s">
        <v>2246</v>
      </c>
      <c r="B202" s="10" t="s">
        <v>2247</v>
      </c>
      <c r="C202" s="11">
        <v>46024.020833333336</v>
      </c>
      <c r="D202" s="12">
        <v>8.3333333333333329E-2</v>
      </c>
      <c r="E202" s="11">
        <v>46024.104166666664</v>
      </c>
      <c r="F202" s="10" t="s">
        <v>262</v>
      </c>
      <c r="G202" s="13" t="b">
        <v>0</v>
      </c>
      <c r="H202" s="10" t="s">
        <v>263</v>
      </c>
      <c r="I202" s="10" t="s">
        <v>264</v>
      </c>
      <c r="J202" s="13" t="b">
        <v>0</v>
      </c>
      <c r="K202" s="13" t="b">
        <v>1</v>
      </c>
      <c r="L202" s="10" t="s">
        <v>124</v>
      </c>
      <c r="M202" s="10" t="s">
        <v>91</v>
      </c>
      <c r="N202" s="10" t="s">
        <v>265</v>
      </c>
      <c r="O202" s="19" t="s">
        <v>2248</v>
      </c>
      <c r="P202" s="10" t="s">
        <v>331</v>
      </c>
      <c r="Q202" s="10" t="s">
        <v>126</v>
      </c>
      <c r="R202" s="10"/>
      <c r="S202" s="19" t="s">
        <v>2249</v>
      </c>
      <c r="T202" s="10"/>
      <c r="U202" s="10" t="s">
        <v>270</v>
      </c>
      <c r="V202" s="10" t="s">
        <v>663</v>
      </c>
      <c r="W202" s="10" t="s">
        <v>272</v>
      </c>
      <c r="X202" s="10" t="s">
        <v>130</v>
      </c>
      <c r="Y202" s="10" t="s">
        <v>130</v>
      </c>
      <c r="Z202" s="10" t="s">
        <v>99</v>
      </c>
      <c r="AA202" s="10" t="s">
        <v>131</v>
      </c>
      <c r="AB202" s="10" t="s">
        <v>273</v>
      </c>
      <c r="AC202" s="10" t="s">
        <v>274</v>
      </c>
      <c r="AD202" s="10" t="s">
        <v>2250</v>
      </c>
      <c r="AE202" s="10" t="s">
        <v>2251</v>
      </c>
      <c r="AF202" s="15"/>
      <c r="AG202" s="10"/>
      <c r="AH202" s="10"/>
      <c r="AI202" s="10"/>
      <c r="AJ202" s="10" t="s">
        <v>2252</v>
      </c>
      <c r="AK202" s="10" t="s">
        <v>102</v>
      </c>
      <c r="AL202" s="10" t="s">
        <v>2201</v>
      </c>
      <c r="AM202" s="10"/>
      <c r="AN202" s="10"/>
      <c r="AO202" s="13" t="b">
        <v>1</v>
      </c>
      <c r="AP202" s="10" t="s">
        <v>104</v>
      </c>
      <c r="AQ202" s="10">
        <f ca="1">IFERROR(__xludf.DUMMYFUNCTION("""COMPUTED_VALUE"""),4802197)</f>
        <v>4802197</v>
      </c>
      <c r="AR202" s="17">
        <v>82120</v>
      </c>
      <c r="AS202" s="17">
        <v>53232</v>
      </c>
      <c r="AT202" s="17">
        <v>2909870</v>
      </c>
      <c r="AU202" s="17">
        <v>613.45000000000005</v>
      </c>
      <c r="AV202" s="17">
        <v>93</v>
      </c>
      <c r="AW202" s="10" t="s">
        <v>105</v>
      </c>
      <c r="AX202" s="17">
        <v>23730</v>
      </c>
      <c r="AY202" s="18">
        <v>54.663923955515479</v>
      </c>
      <c r="AZ202" s="10" t="s">
        <v>136</v>
      </c>
      <c r="BA202" s="20" t="b">
        <v>0</v>
      </c>
      <c r="BB202" s="10"/>
      <c r="BC202" s="17">
        <v>82120</v>
      </c>
      <c r="BD202" s="17">
        <v>53232</v>
      </c>
      <c r="BE202" s="17">
        <v>2909870</v>
      </c>
      <c r="BF202" s="17">
        <v>93</v>
      </c>
      <c r="BG202" s="11">
        <f ca="1">IFERROR(__xludf.DUMMYFUNCTION("""COMPUTED_VALUE"""),46024.0208333333)</f>
        <v>46024.020833333299</v>
      </c>
      <c r="BH202" s="17" t="s">
        <v>105</v>
      </c>
      <c r="BI202" s="17"/>
      <c r="BJ202" s="15"/>
      <c r="BK202" s="15"/>
      <c r="BL202" s="13" t="b">
        <v>0</v>
      </c>
      <c r="BM202" s="10"/>
      <c r="BN202" s="10" t="s">
        <v>197</v>
      </c>
      <c r="BO202" s="11">
        <v>45827.42083333333</v>
      </c>
      <c r="BP202" s="11">
        <v>46013.994745370372</v>
      </c>
      <c r="BQ202" s="15">
        <v>46019.776608796295</v>
      </c>
      <c r="BR202" s="15">
        <v>46020.694074074076</v>
      </c>
      <c r="BS202" s="10" t="s">
        <v>197</v>
      </c>
      <c r="BT202" s="10" t="s">
        <v>279</v>
      </c>
      <c r="BU202" s="10" t="s">
        <v>280</v>
      </c>
      <c r="BV202" s="10" t="s">
        <v>124</v>
      </c>
      <c r="BW202" s="10"/>
      <c r="BX202" s="10"/>
      <c r="BY202" s="23"/>
      <c r="BZ202" s="24" t="s">
        <v>284</v>
      </c>
      <c r="CA202" s="19" t="s">
        <v>2253</v>
      </c>
      <c r="CB202" s="19" t="s">
        <v>2254</v>
      </c>
      <c r="CC202" s="23"/>
      <c r="CD202" s="19" t="s">
        <v>2255</v>
      </c>
      <c r="CE202" s="23"/>
      <c r="CF202" s="23"/>
      <c r="CG202" s="23"/>
      <c r="CH202" s="23"/>
      <c r="CI202" s="23"/>
    </row>
    <row r="203" spans="1:87" x14ac:dyDescent="0.3">
      <c r="A203" s="9" t="s">
        <v>2256</v>
      </c>
      <c r="B203" s="10" t="s">
        <v>2257</v>
      </c>
      <c r="C203" s="11">
        <v>46022.135416666664</v>
      </c>
      <c r="D203" s="12">
        <v>8.3333333333333329E-2</v>
      </c>
      <c r="E203" s="11">
        <v>46022.21875</v>
      </c>
      <c r="F203" s="10" t="s">
        <v>262</v>
      </c>
      <c r="G203" s="13" t="b">
        <v>0</v>
      </c>
      <c r="H203" s="10" t="s">
        <v>305</v>
      </c>
      <c r="I203" s="10" t="s">
        <v>264</v>
      </c>
      <c r="J203" s="13" t="b">
        <v>0</v>
      </c>
      <c r="K203" s="13" t="b">
        <v>1</v>
      </c>
      <c r="L203" s="10" t="s">
        <v>124</v>
      </c>
      <c r="M203" s="10" t="s">
        <v>91</v>
      </c>
      <c r="N203" s="10" t="s">
        <v>265</v>
      </c>
      <c r="O203" s="19" t="s">
        <v>2258</v>
      </c>
      <c r="P203" s="10"/>
      <c r="Q203" s="10" t="s">
        <v>126</v>
      </c>
      <c r="R203" s="10"/>
      <c r="S203" s="19" t="s">
        <v>2259</v>
      </c>
      <c r="T203" s="10"/>
      <c r="U203" s="10" t="s">
        <v>361</v>
      </c>
      <c r="V203" s="10" t="s">
        <v>333</v>
      </c>
      <c r="W203" s="10" t="s">
        <v>272</v>
      </c>
      <c r="X203" s="10" t="s">
        <v>130</v>
      </c>
      <c r="Y203" s="10" t="s">
        <v>130</v>
      </c>
      <c r="Z203" s="10" t="s">
        <v>99</v>
      </c>
      <c r="AA203" s="10" t="s">
        <v>131</v>
      </c>
      <c r="AB203" s="10" t="s">
        <v>273</v>
      </c>
      <c r="AC203" s="10" t="s">
        <v>274</v>
      </c>
      <c r="AD203" s="10" t="s">
        <v>2260</v>
      </c>
      <c r="AE203" s="10" t="s">
        <v>2261</v>
      </c>
      <c r="AF203" s="15"/>
      <c r="AG203" s="10"/>
      <c r="AH203" s="10"/>
      <c r="AI203" s="10"/>
      <c r="AJ203" s="10" t="s">
        <v>2262</v>
      </c>
      <c r="AK203" s="10" t="s">
        <v>102</v>
      </c>
      <c r="AL203" s="10" t="s">
        <v>2201</v>
      </c>
      <c r="AM203" s="10"/>
      <c r="AN203" s="10"/>
      <c r="AO203" s="13" t="b">
        <v>1</v>
      </c>
      <c r="AP203" s="10" t="s">
        <v>104</v>
      </c>
      <c r="AQ203" s="10">
        <f ca="1">IFERROR(__xludf.DUMMYFUNCTION("""COMPUTED_VALUE"""),4802050)</f>
        <v>4802050</v>
      </c>
      <c r="AR203" s="17">
        <v>117475</v>
      </c>
      <c r="AS203" s="17">
        <v>62394</v>
      </c>
      <c r="AT203" s="17">
        <v>3091037.25</v>
      </c>
      <c r="AU203" s="17">
        <v>1922.9</v>
      </c>
      <c r="AV203" s="17">
        <v>149.55000000000001</v>
      </c>
      <c r="AW203" s="10" t="s">
        <v>105</v>
      </c>
      <c r="AX203" s="17">
        <v>37613</v>
      </c>
      <c r="AY203" s="18">
        <v>49.540616886239064</v>
      </c>
      <c r="AZ203" s="10" t="s">
        <v>2099</v>
      </c>
      <c r="BA203" s="20" t="b">
        <v>0</v>
      </c>
      <c r="BB203" s="10"/>
      <c r="BC203" s="17">
        <v>117475</v>
      </c>
      <c r="BD203" s="17">
        <v>62394</v>
      </c>
      <c r="BE203" s="17">
        <v>3091037.25</v>
      </c>
      <c r="BF203" s="17">
        <v>149.55000000000001</v>
      </c>
      <c r="BG203" s="11">
        <f ca="1">IFERROR(__xludf.DUMMYFUNCTION("""COMPUTED_VALUE"""),46022.1354166666)</f>
        <v>46022.135416666599</v>
      </c>
      <c r="BH203" s="17" t="s">
        <v>105</v>
      </c>
      <c r="BI203" s="17"/>
      <c r="BJ203" s="15"/>
      <c r="BK203" s="15"/>
      <c r="BL203" s="13" t="b">
        <v>1</v>
      </c>
      <c r="BM203" s="10"/>
      <c r="BN203" s="10" t="s">
        <v>351</v>
      </c>
      <c r="BO203" s="11">
        <v>45827.42083333333</v>
      </c>
      <c r="BP203" s="11">
        <v>46013.994375000002</v>
      </c>
      <c r="BQ203" s="15">
        <v>46015.716944444444</v>
      </c>
      <c r="BR203" s="15">
        <v>46020.571504629632</v>
      </c>
      <c r="BS203" s="10"/>
      <c r="BT203" s="10" t="s">
        <v>279</v>
      </c>
      <c r="BU203" s="10" t="s">
        <v>280</v>
      </c>
      <c r="BV203" s="10" t="s">
        <v>124</v>
      </c>
      <c r="BW203" s="10"/>
      <c r="BX203" s="10"/>
      <c r="BY203" s="23"/>
      <c r="BZ203" s="24" t="s">
        <v>284</v>
      </c>
      <c r="CA203" s="19" t="s">
        <v>2263</v>
      </c>
      <c r="CB203" s="19" t="s">
        <v>2264</v>
      </c>
      <c r="CC203" s="23"/>
      <c r="CD203" s="19" t="s">
        <v>2265</v>
      </c>
      <c r="CE203" s="23"/>
      <c r="CF203" s="23"/>
      <c r="CG203" s="23"/>
      <c r="CH203" s="23"/>
      <c r="CI203" s="23"/>
    </row>
    <row r="204" spans="1:87" x14ac:dyDescent="0.3">
      <c r="A204" s="9" t="s">
        <v>2266</v>
      </c>
      <c r="B204" s="10" t="s">
        <v>2267</v>
      </c>
      <c r="C204" s="11">
        <v>46022.104166666664</v>
      </c>
      <c r="D204" s="12">
        <v>8.3333333333333329E-2</v>
      </c>
      <c r="E204" s="11">
        <v>46022.1875</v>
      </c>
      <c r="F204" s="10" t="s">
        <v>262</v>
      </c>
      <c r="G204" s="13" t="b">
        <v>0</v>
      </c>
      <c r="H204" s="10" t="s">
        <v>527</v>
      </c>
      <c r="I204" s="10" t="s">
        <v>264</v>
      </c>
      <c r="J204" s="13" t="b">
        <v>0</v>
      </c>
      <c r="K204" s="13" t="b">
        <v>1</v>
      </c>
      <c r="L204" s="10" t="s">
        <v>124</v>
      </c>
      <c r="M204" s="10" t="s">
        <v>91</v>
      </c>
      <c r="N204" s="10" t="s">
        <v>265</v>
      </c>
      <c r="O204" s="19" t="s">
        <v>2268</v>
      </c>
      <c r="P204" s="10"/>
      <c r="Q204" s="10" t="s">
        <v>126</v>
      </c>
      <c r="R204" s="10"/>
      <c r="S204" s="19" t="s">
        <v>2269</v>
      </c>
      <c r="T204" s="10"/>
      <c r="U204" s="10" t="s">
        <v>320</v>
      </c>
      <c r="V204" s="10" t="s">
        <v>407</v>
      </c>
      <c r="W204" s="10" t="s">
        <v>272</v>
      </c>
      <c r="X204" s="10" t="s">
        <v>130</v>
      </c>
      <c r="Y204" s="10" t="s">
        <v>130</v>
      </c>
      <c r="Z204" s="10" t="s">
        <v>99</v>
      </c>
      <c r="AA204" s="10" t="s">
        <v>131</v>
      </c>
      <c r="AB204" s="10" t="s">
        <v>273</v>
      </c>
      <c r="AC204" s="10" t="s">
        <v>274</v>
      </c>
      <c r="AD204" s="10" t="s">
        <v>2270</v>
      </c>
      <c r="AE204" s="10" t="s">
        <v>2271</v>
      </c>
      <c r="AF204" s="15"/>
      <c r="AG204" s="10"/>
      <c r="AH204" s="10"/>
      <c r="AI204" s="10"/>
      <c r="AJ204" s="10" t="s">
        <v>2272</v>
      </c>
      <c r="AK204" s="10" t="s">
        <v>102</v>
      </c>
      <c r="AL204" s="10" t="s">
        <v>2201</v>
      </c>
      <c r="AM204" s="10"/>
      <c r="AN204" s="10"/>
      <c r="AO204" s="13" t="b">
        <v>0</v>
      </c>
      <c r="AP204" s="10" t="s">
        <v>104</v>
      </c>
      <c r="AQ204" s="10">
        <f ca="1">IFERROR(__xludf.DUMMYFUNCTION("""COMPUTED_VALUE"""),4802058)</f>
        <v>4802058</v>
      </c>
      <c r="AR204" s="17">
        <v>7949</v>
      </c>
      <c r="AS204" s="17">
        <v>4786</v>
      </c>
      <c r="AT204" s="17">
        <v>26346</v>
      </c>
      <c r="AU204" s="17">
        <v>10.050000000000001</v>
      </c>
      <c r="AV204" s="17">
        <v>0</v>
      </c>
      <c r="AW204" s="10" t="s">
        <v>105</v>
      </c>
      <c r="AX204" s="17">
        <v>1214</v>
      </c>
      <c r="AY204" s="18">
        <v>5.5048056832427914</v>
      </c>
      <c r="AZ204" s="10" t="s">
        <v>2099</v>
      </c>
      <c r="BA204" s="20" t="b">
        <v>0</v>
      </c>
      <c r="BB204" s="10"/>
      <c r="BC204" s="17">
        <v>7949</v>
      </c>
      <c r="BD204" s="17">
        <v>4786</v>
      </c>
      <c r="BE204" s="17">
        <v>26346</v>
      </c>
      <c r="BF204" s="17">
        <v>0</v>
      </c>
      <c r="BG204" s="11">
        <f ca="1">IFERROR(__xludf.DUMMYFUNCTION("""COMPUTED_VALUE"""),46022.1041666666)</f>
        <v>46022.104166666599</v>
      </c>
      <c r="BH204" s="17" t="s">
        <v>105</v>
      </c>
      <c r="BI204" s="17"/>
      <c r="BJ204" s="15"/>
      <c r="BK204" s="15"/>
      <c r="BL204" s="13" t="b">
        <v>1</v>
      </c>
      <c r="BM204" s="10"/>
      <c r="BN204" s="10" t="s">
        <v>634</v>
      </c>
      <c r="BO204" s="11">
        <v>45827.42083333333</v>
      </c>
      <c r="BP204" s="11">
        <v>46013.993750000001</v>
      </c>
      <c r="BQ204" s="15">
        <v>46015.715462962966</v>
      </c>
      <c r="BR204" s="15">
        <v>46020.577245370368</v>
      </c>
      <c r="BS204" s="10" t="s">
        <v>634</v>
      </c>
      <c r="BT204" s="10" t="s">
        <v>279</v>
      </c>
      <c r="BU204" s="10" t="s">
        <v>793</v>
      </c>
      <c r="BV204" s="10"/>
      <c r="BW204" s="10"/>
      <c r="BX204" s="10"/>
      <c r="BY204" s="23"/>
      <c r="BZ204" s="24" t="s">
        <v>299</v>
      </c>
      <c r="CA204" s="19" t="s">
        <v>2273</v>
      </c>
      <c r="CB204" s="19" t="s">
        <v>2274</v>
      </c>
      <c r="CC204" s="23"/>
      <c r="CD204" s="19" t="s">
        <v>2275</v>
      </c>
      <c r="CE204" s="23"/>
      <c r="CF204" s="23"/>
      <c r="CG204" s="23"/>
      <c r="CH204" s="23"/>
      <c r="CI204" s="23"/>
    </row>
    <row r="205" spans="1:87" x14ac:dyDescent="0.3">
      <c r="A205" s="9" t="s">
        <v>2276</v>
      </c>
      <c r="B205" s="10" t="s">
        <v>2277</v>
      </c>
      <c r="C205" s="11">
        <v>46024.125</v>
      </c>
      <c r="D205" s="12">
        <v>8.3333333333333329E-2</v>
      </c>
      <c r="E205" s="11">
        <v>46024.208333333336</v>
      </c>
      <c r="F205" s="10" t="s">
        <v>262</v>
      </c>
      <c r="G205" s="13" t="b">
        <v>0</v>
      </c>
      <c r="H205" s="10" t="s">
        <v>305</v>
      </c>
      <c r="I205" s="10" t="s">
        <v>264</v>
      </c>
      <c r="J205" s="13" t="b">
        <v>0</v>
      </c>
      <c r="K205" s="13" t="b">
        <v>1</v>
      </c>
      <c r="L205" s="10" t="s">
        <v>124</v>
      </c>
      <c r="M205" s="10" t="s">
        <v>91</v>
      </c>
      <c r="N205" s="10" t="s">
        <v>265</v>
      </c>
      <c r="O205" s="19" t="s">
        <v>2278</v>
      </c>
      <c r="P205" s="10" t="s">
        <v>267</v>
      </c>
      <c r="Q205" s="10" t="s">
        <v>126</v>
      </c>
      <c r="R205" s="10"/>
      <c r="S205" s="19" t="s">
        <v>2279</v>
      </c>
      <c r="T205" s="10"/>
      <c r="U205" s="10" t="s">
        <v>588</v>
      </c>
      <c r="V205" s="10" t="s">
        <v>334</v>
      </c>
      <c r="W205" s="10" t="s">
        <v>272</v>
      </c>
      <c r="X205" s="10" t="s">
        <v>130</v>
      </c>
      <c r="Y205" s="10" t="s">
        <v>130</v>
      </c>
      <c r="Z205" s="10" t="s">
        <v>99</v>
      </c>
      <c r="AA205" s="10" t="s">
        <v>131</v>
      </c>
      <c r="AB205" s="10" t="s">
        <v>273</v>
      </c>
      <c r="AC205" s="10" t="s">
        <v>274</v>
      </c>
      <c r="AD205" s="10" t="s">
        <v>2280</v>
      </c>
      <c r="AE205" s="10" t="s">
        <v>2281</v>
      </c>
      <c r="AF205" s="15"/>
      <c r="AG205" s="10"/>
      <c r="AH205" s="10"/>
      <c r="AI205" s="10"/>
      <c r="AJ205" s="10" t="s">
        <v>2282</v>
      </c>
      <c r="AK205" s="10" t="s">
        <v>102</v>
      </c>
      <c r="AL205" s="10" t="s">
        <v>2201</v>
      </c>
      <c r="AM205" s="10"/>
      <c r="AN205" s="10"/>
      <c r="AO205" s="13" t="b">
        <v>1</v>
      </c>
      <c r="AP205" s="10" t="s">
        <v>104</v>
      </c>
      <c r="AQ205" s="10">
        <f ca="1">IFERROR(__xludf.DUMMYFUNCTION("""COMPUTED_VALUE"""),4802192)</f>
        <v>4802192</v>
      </c>
      <c r="AR205" s="17">
        <v>46165</v>
      </c>
      <c r="AS205" s="17">
        <v>28644</v>
      </c>
      <c r="AT205" s="17">
        <v>1418081.75</v>
      </c>
      <c r="AU205" s="17">
        <v>226.55</v>
      </c>
      <c r="AV205" s="17">
        <v>24.25</v>
      </c>
      <c r="AW205" s="10" t="s">
        <v>105</v>
      </c>
      <c r="AX205" s="17">
        <v>16489</v>
      </c>
      <c r="AY205" s="18">
        <v>49.507113182516406</v>
      </c>
      <c r="AZ205" s="10" t="s">
        <v>136</v>
      </c>
      <c r="BA205" s="20" t="b">
        <v>0</v>
      </c>
      <c r="BB205" s="10"/>
      <c r="BC205" s="17">
        <v>46165</v>
      </c>
      <c r="BD205" s="17">
        <v>28644</v>
      </c>
      <c r="BE205" s="17">
        <v>1418081.75</v>
      </c>
      <c r="BF205" s="17">
        <v>24.25</v>
      </c>
      <c r="BG205" s="11">
        <f ca="1">IFERROR(__xludf.DUMMYFUNCTION("""COMPUTED_VALUE"""),46024.125)</f>
        <v>46024.125</v>
      </c>
      <c r="BH205" s="17" t="s">
        <v>105</v>
      </c>
      <c r="BI205" s="17"/>
      <c r="BJ205" s="15"/>
      <c r="BK205" s="15"/>
      <c r="BL205" s="13" t="b">
        <v>1</v>
      </c>
      <c r="BM205" s="10"/>
      <c r="BN205" s="10" t="s">
        <v>351</v>
      </c>
      <c r="BO205" s="11">
        <v>45827.42083333333</v>
      </c>
      <c r="BP205" s="11">
        <v>46013.995127314818</v>
      </c>
      <c r="BQ205" s="15">
        <v>46019.777094907404</v>
      </c>
      <c r="BR205" s="15">
        <v>46020.694305555553</v>
      </c>
      <c r="BS205" s="10"/>
      <c r="BT205" s="10" t="s">
        <v>279</v>
      </c>
      <c r="BU205" s="10" t="s">
        <v>816</v>
      </c>
      <c r="BV205" s="10"/>
      <c r="BW205" s="10"/>
      <c r="BX205" s="10"/>
      <c r="BY205" s="23"/>
      <c r="BZ205" s="24" t="s">
        <v>284</v>
      </c>
      <c r="CA205" s="19" t="s">
        <v>2283</v>
      </c>
      <c r="CB205" s="19" t="s">
        <v>2284</v>
      </c>
      <c r="CC205" s="23"/>
      <c r="CD205" s="19" t="s">
        <v>2285</v>
      </c>
      <c r="CE205" s="23"/>
      <c r="CF205" s="23"/>
      <c r="CG205" s="23"/>
      <c r="CH205" s="23"/>
      <c r="CI205" s="23"/>
    </row>
    <row r="206" spans="1:87" x14ac:dyDescent="0.3">
      <c r="A206" s="9" t="s">
        <v>2286</v>
      </c>
      <c r="B206" s="10" t="s">
        <v>2287</v>
      </c>
      <c r="C206" s="11">
        <v>46022.104166666664</v>
      </c>
      <c r="D206" s="12">
        <v>8.3333333333333329E-2</v>
      </c>
      <c r="E206" s="11">
        <v>46022.1875</v>
      </c>
      <c r="F206" s="10" t="s">
        <v>262</v>
      </c>
      <c r="G206" s="13" t="b">
        <v>0</v>
      </c>
      <c r="H206" s="10" t="s">
        <v>527</v>
      </c>
      <c r="I206" s="10" t="s">
        <v>264</v>
      </c>
      <c r="J206" s="13" t="b">
        <v>0</v>
      </c>
      <c r="K206" s="13" t="b">
        <v>1</v>
      </c>
      <c r="L206" s="10" t="s">
        <v>124</v>
      </c>
      <c r="M206" s="10" t="s">
        <v>91</v>
      </c>
      <c r="N206" s="10" t="s">
        <v>265</v>
      </c>
      <c r="O206" s="19" t="s">
        <v>2288</v>
      </c>
      <c r="P206" s="10"/>
      <c r="Q206" s="10" t="s">
        <v>126</v>
      </c>
      <c r="R206" s="10"/>
      <c r="S206" s="19" t="s">
        <v>2289</v>
      </c>
      <c r="T206" s="10"/>
      <c r="U206" s="10" t="s">
        <v>451</v>
      </c>
      <c r="V206" s="10" t="s">
        <v>308</v>
      </c>
      <c r="W206" s="10" t="s">
        <v>272</v>
      </c>
      <c r="X206" s="10" t="s">
        <v>130</v>
      </c>
      <c r="Y206" s="10" t="s">
        <v>130</v>
      </c>
      <c r="Z206" s="10" t="s">
        <v>99</v>
      </c>
      <c r="AA206" s="10" t="s">
        <v>131</v>
      </c>
      <c r="AB206" s="10" t="s">
        <v>273</v>
      </c>
      <c r="AC206" s="10" t="s">
        <v>274</v>
      </c>
      <c r="AD206" s="10" t="s">
        <v>2290</v>
      </c>
      <c r="AE206" s="10" t="s">
        <v>2291</v>
      </c>
      <c r="AF206" s="15"/>
      <c r="AG206" s="10"/>
      <c r="AH206" s="10"/>
      <c r="AI206" s="10"/>
      <c r="AJ206" s="10" t="s">
        <v>2292</v>
      </c>
      <c r="AK206" s="10" t="s">
        <v>102</v>
      </c>
      <c r="AL206" s="10" t="s">
        <v>2201</v>
      </c>
      <c r="AM206" s="10"/>
      <c r="AN206" s="10"/>
      <c r="AO206" s="13" t="b">
        <v>0</v>
      </c>
      <c r="AP206" s="10" t="s">
        <v>104</v>
      </c>
      <c r="AQ206" s="10">
        <f ca="1">IFERROR(__xludf.DUMMYFUNCTION("""COMPUTED_VALUE"""),4802059)</f>
        <v>4802059</v>
      </c>
      <c r="AR206" s="17">
        <v>7660</v>
      </c>
      <c r="AS206" s="17">
        <v>4433</v>
      </c>
      <c r="AT206" s="17">
        <v>28306.5</v>
      </c>
      <c r="AU206" s="17">
        <v>11.95</v>
      </c>
      <c r="AV206" s="17">
        <v>3</v>
      </c>
      <c r="AW206" s="10" t="s">
        <v>105</v>
      </c>
      <c r="AX206" s="17">
        <v>952</v>
      </c>
      <c r="AY206" s="18">
        <v>6.3854049176629823</v>
      </c>
      <c r="AZ206" s="10" t="s">
        <v>2099</v>
      </c>
      <c r="BA206" s="20" t="b">
        <v>0</v>
      </c>
      <c r="BB206" s="10"/>
      <c r="BC206" s="17">
        <v>7660</v>
      </c>
      <c r="BD206" s="17">
        <v>4433</v>
      </c>
      <c r="BE206" s="17">
        <v>28306.5</v>
      </c>
      <c r="BF206" s="17">
        <v>3</v>
      </c>
      <c r="BG206" s="11">
        <f ca="1">IFERROR(__xludf.DUMMYFUNCTION("""COMPUTED_VALUE"""),46022.1041666666)</f>
        <v>46022.104166666599</v>
      </c>
      <c r="BH206" s="17" t="s">
        <v>105</v>
      </c>
      <c r="BI206" s="17"/>
      <c r="BJ206" s="15"/>
      <c r="BK206" s="15"/>
      <c r="BL206" s="13" t="b">
        <v>1</v>
      </c>
      <c r="BM206" s="10"/>
      <c r="BN206" s="10" t="s">
        <v>634</v>
      </c>
      <c r="BO206" s="11">
        <v>45827.42083333333</v>
      </c>
      <c r="BP206" s="11">
        <v>46013.993877314817</v>
      </c>
      <c r="BQ206" s="15">
        <v>46015.716423611113</v>
      </c>
      <c r="BR206" s="15">
        <v>46020.577407407407</v>
      </c>
      <c r="BS206" s="10" t="s">
        <v>634</v>
      </c>
      <c r="BT206" s="10" t="s">
        <v>279</v>
      </c>
      <c r="BU206" s="10" t="s">
        <v>816</v>
      </c>
      <c r="BV206" s="10"/>
      <c r="BW206" s="10"/>
      <c r="BX206" s="10"/>
      <c r="BY206" s="23"/>
      <c r="BZ206" s="24" t="s">
        <v>299</v>
      </c>
      <c r="CA206" s="19" t="s">
        <v>2293</v>
      </c>
      <c r="CB206" s="19" t="s">
        <v>2294</v>
      </c>
      <c r="CC206" s="23"/>
      <c r="CD206" s="19" t="s">
        <v>2295</v>
      </c>
      <c r="CE206" s="23"/>
      <c r="CF206" s="23"/>
      <c r="CG206" s="23"/>
      <c r="CH206" s="23"/>
      <c r="CI206" s="23"/>
    </row>
    <row r="207" spans="1:87" x14ac:dyDescent="0.3">
      <c r="A207" s="9" t="s">
        <v>2296</v>
      </c>
      <c r="B207" s="10" t="s">
        <v>2297</v>
      </c>
      <c r="C207" s="11">
        <v>46026.020833333336</v>
      </c>
      <c r="D207" s="12">
        <v>8.3333333333333329E-2</v>
      </c>
      <c r="E207" s="11">
        <v>46026.104166666664</v>
      </c>
      <c r="F207" s="10" t="s">
        <v>262</v>
      </c>
      <c r="G207" s="13" t="b">
        <v>1</v>
      </c>
      <c r="H207" s="10" t="s">
        <v>263</v>
      </c>
      <c r="I207" s="10" t="s">
        <v>264</v>
      </c>
      <c r="J207" s="13" t="b">
        <v>0</v>
      </c>
      <c r="K207" s="13" t="b">
        <v>1</v>
      </c>
      <c r="L207" s="10" t="s">
        <v>124</v>
      </c>
      <c r="M207" s="10" t="s">
        <v>91</v>
      </c>
      <c r="N207" s="10" t="s">
        <v>265</v>
      </c>
      <c r="O207" s="19" t="s">
        <v>2298</v>
      </c>
      <c r="P207" s="10" t="s">
        <v>331</v>
      </c>
      <c r="Q207" s="10" t="s">
        <v>126</v>
      </c>
      <c r="R207" s="10"/>
      <c r="S207" s="19" t="s">
        <v>2299</v>
      </c>
      <c r="T207" s="10"/>
      <c r="U207" s="10" t="s">
        <v>271</v>
      </c>
      <c r="V207" s="10" t="s">
        <v>362</v>
      </c>
      <c r="W207" s="10" t="s">
        <v>272</v>
      </c>
      <c r="X207" s="10" t="s">
        <v>130</v>
      </c>
      <c r="Y207" s="10" t="s">
        <v>130</v>
      </c>
      <c r="Z207" s="10" t="s">
        <v>99</v>
      </c>
      <c r="AA207" s="10" t="s">
        <v>131</v>
      </c>
      <c r="AB207" s="10" t="s">
        <v>273</v>
      </c>
      <c r="AC207" s="10" t="s">
        <v>274</v>
      </c>
      <c r="AD207" s="10" t="s">
        <v>2300</v>
      </c>
      <c r="AE207" s="10" t="s">
        <v>2301</v>
      </c>
      <c r="AF207" s="15"/>
      <c r="AG207" s="10"/>
      <c r="AH207" s="10"/>
      <c r="AI207" s="10"/>
      <c r="AJ207" s="10" t="s">
        <v>2302</v>
      </c>
      <c r="AK207" s="10" t="s">
        <v>102</v>
      </c>
      <c r="AL207" s="10" t="s">
        <v>2303</v>
      </c>
      <c r="AM207" s="10"/>
      <c r="AN207" s="10"/>
      <c r="AO207" s="13" t="b">
        <v>1</v>
      </c>
      <c r="AP207" s="10" t="s">
        <v>104</v>
      </c>
      <c r="AQ207" s="10">
        <f ca="1">IFERROR(__xludf.DUMMYFUNCTION("""COMPUTED_VALUE"""),4802200)</f>
        <v>4802200</v>
      </c>
      <c r="AR207" s="17">
        <v>110411</v>
      </c>
      <c r="AS207" s="17">
        <v>70287</v>
      </c>
      <c r="AT207" s="17">
        <v>3697128.5</v>
      </c>
      <c r="AU207" s="17">
        <v>562.29999999999995</v>
      </c>
      <c r="AV207" s="17">
        <v>92.35</v>
      </c>
      <c r="AW207" s="10" t="s">
        <v>105</v>
      </c>
      <c r="AX207" s="17">
        <v>32698</v>
      </c>
      <c r="AY207" s="18">
        <v>52.600459544439225</v>
      </c>
      <c r="AZ207" s="10" t="s">
        <v>136</v>
      </c>
      <c r="BA207" s="20" t="b">
        <v>0</v>
      </c>
      <c r="BB207" s="10"/>
      <c r="BC207" s="17">
        <v>110411</v>
      </c>
      <c r="BD207" s="17">
        <v>70287</v>
      </c>
      <c r="BE207" s="17">
        <v>3697128.5</v>
      </c>
      <c r="BF207" s="17">
        <v>92.35</v>
      </c>
      <c r="BG207" s="11">
        <f ca="1">IFERROR(__xludf.DUMMYFUNCTION("""COMPUTED_VALUE"""),46026)</f>
        <v>46026</v>
      </c>
      <c r="BH207" s="17" t="s">
        <v>105</v>
      </c>
      <c r="BI207" s="17"/>
      <c r="BJ207" s="15"/>
      <c r="BK207" s="15"/>
      <c r="BL207" s="13" t="b">
        <v>0</v>
      </c>
      <c r="BM207" s="10"/>
      <c r="BN207" s="10" t="s">
        <v>278</v>
      </c>
      <c r="BO207" s="11">
        <v>45827.42083333333</v>
      </c>
      <c r="BP207" s="11">
        <v>46019.592106481483</v>
      </c>
      <c r="BQ207" s="15">
        <v>46019.778298611112</v>
      </c>
      <c r="BR207" s="15">
        <v>46020.701423611114</v>
      </c>
      <c r="BS207" s="10" t="s">
        <v>278</v>
      </c>
      <c r="BT207" s="10" t="s">
        <v>279</v>
      </c>
      <c r="BU207" s="10" t="s">
        <v>456</v>
      </c>
      <c r="BV207" s="10"/>
      <c r="BW207" s="10"/>
      <c r="BX207" s="10"/>
      <c r="BY207" s="23"/>
      <c r="BZ207" s="24" t="s">
        <v>284</v>
      </c>
      <c r="CA207" s="19" t="s">
        <v>2304</v>
      </c>
      <c r="CB207" s="19" t="s">
        <v>2305</v>
      </c>
      <c r="CC207" s="23"/>
      <c r="CD207" s="19" t="s">
        <v>2306</v>
      </c>
      <c r="CE207" s="23"/>
      <c r="CF207" s="23"/>
      <c r="CG207" s="23"/>
      <c r="CH207" s="23"/>
      <c r="CI207" s="23"/>
    </row>
    <row r="208" spans="1:87" x14ac:dyDescent="0.3">
      <c r="A208" s="9" t="s">
        <v>2307</v>
      </c>
      <c r="B208" s="10" t="s">
        <v>2308</v>
      </c>
      <c r="C208" s="11">
        <v>46025.8125</v>
      </c>
      <c r="D208" s="12">
        <v>8.3333333333333329E-2</v>
      </c>
      <c r="E208" s="11">
        <v>46025.895833333336</v>
      </c>
      <c r="F208" s="10" t="s">
        <v>262</v>
      </c>
      <c r="G208" s="13" t="b">
        <v>1</v>
      </c>
      <c r="H208" s="10" t="s">
        <v>263</v>
      </c>
      <c r="I208" s="10" t="s">
        <v>264</v>
      </c>
      <c r="J208" s="13" t="b">
        <v>0</v>
      </c>
      <c r="K208" s="13" t="b">
        <v>1</v>
      </c>
      <c r="L208" s="10" t="s">
        <v>124</v>
      </c>
      <c r="M208" s="10" t="s">
        <v>91</v>
      </c>
      <c r="N208" s="10" t="s">
        <v>265</v>
      </c>
      <c r="O208" s="19" t="s">
        <v>2309</v>
      </c>
      <c r="P208" s="10" t="s">
        <v>405</v>
      </c>
      <c r="Q208" s="10" t="s">
        <v>126</v>
      </c>
      <c r="R208" s="10"/>
      <c r="S208" s="19" t="s">
        <v>2310</v>
      </c>
      <c r="T208" s="10"/>
      <c r="U208" s="10" t="s">
        <v>292</v>
      </c>
      <c r="V208" s="10" t="s">
        <v>320</v>
      </c>
      <c r="W208" s="10" t="s">
        <v>272</v>
      </c>
      <c r="X208" s="10" t="s">
        <v>130</v>
      </c>
      <c r="Y208" s="10" t="s">
        <v>130</v>
      </c>
      <c r="Z208" s="10" t="s">
        <v>99</v>
      </c>
      <c r="AA208" s="10" t="s">
        <v>131</v>
      </c>
      <c r="AB208" s="10" t="s">
        <v>273</v>
      </c>
      <c r="AC208" s="10" t="s">
        <v>274</v>
      </c>
      <c r="AD208" s="10" t="s">
        <v>2311</v>
      </c>
      <c r="AE208" s="10" t="s">
        <v>2312</v>
      </c>
      <c r="AF208" s="15"/>
      <c r="AG208" s="10"/>
      <c r="AH208" s="10"/>
      <c r="AI208" s="10"/>
      <c r="AJ208" s="10" t="s">
        <v>2313</v>
      </c>
      <c r="AK208" s="10" t="s">
        <v>102</v>
      </c>
      <c r="AL208" s="10" t="s">
        <v>2303</v>
      </c>
      <c r="AM208" s="10"/>
      <c r="AN208" s="10"/>
      <c r="AO208" s="13" t="b">
        <v>0</v>
      </c>
      <c r="AP208" s="10" t="s">
        <v>104</v>
      </c>
      <c r="AQ208" s="10">
        <f ca="1">IFERROR(__xludf.DUMMYFUNCTION("""COMPUTED_VALUE"""),4802198)</f>
        <v>4802198</v>
      </c>
      <c r="AR208" s="17">
        <v>113170</v>
      </c>
      <c r="AS208" s="17">
        <v>71615</v>
      </c>
      <c r="AT208" s="17">
        <v>2592500.5</v>
      </c>
      <c r="AU208" s="17">
        <v>1002.1</v>
      </c>
      <c r="AV208" s="17">
        <v>126.05</v>
      </c>
      <c r="AW208" s="10" t="s">
        <v>105</v>
      </c>
      <c r="AX208" s="17">
        <v>27564</v>
      </c>
      <c r="AY208" s="18">
        <v>36.20052363331704</v>
      </c>
      <c r="AZ208" s="10" t="s">
        <v>136</v>
      </c>
      <c r="BA208" s="20" t="b">
        <v>0</v>
      </c>
      <c r="BB208" s="10"/>
      <c r="BC208" s="17">
        <v>113170</v>
      </c>
      <c r="BD208" s="17">
        <v>71615</v>
      </c>
      <c r="BE208" s="17">
        <v>2592500.5</v>
      </c>
      <c r="BF208" s="17">
        <v>126.05</v>
      </c>
      <c r="BG208" s="11">
        <f ca="1">IFERROR(__xludf.DUMMYFUNCTION("""COMPUTED_VALUE"""),46025.7916666666)</f>
        <v>46025.791666666599</v>
      </c>
      <c r="BH208" s="17" t="s">
        <v>105</v>
      </c>
      <c r="BI208" s="17"/>
      <c r="BJ208" s="15"/>
      <c r="BK208" s="15"/>
      <c r="BL208" s="13" t="b">
        <v>0</v>
      </c>
      <c r="BM208" s="10"/>
      <c r="BN208" s="10" t="s">
        <v>1057</v>
      </c>
      <c r="BO208" s="11">
        <v>45827.42083333333</v>
      </c>
      <c r="BP208" s="11">
        <v>46019.591307870367</v>
      </c>
      <c r="BQ208" s="15">
        <v>46019.777442129627</v>
      </c>
      <c r="BR208" s="15">
        <v>46020.694988425923</v>
      </c>
      <c r="BS208" s="10"/>
      <c r="BT208" s="10" t="s">
        <v>279</v>
      </c>
      <c r="BU208" s="10" t="s">
        <v>456</v>
      </c>
      <c r="BV208" s="10"/>
      <c r="BW208" s="10"/>
      <c r="BX208" s="10"/>
      <c r="BY208" s="23"/>
      <c r="BZ208" s="24" t="s">
        <v>299</v>
      </c>
      <c r="CA208" s="19" t="s">
        <v>2314</v>
      </c>
      <c r="CB208" s="19" t="s">
        <v>2315</v>
      </c>
      <c r="CC208" s="23"/>
      <c r="CD208" s="19" t="s">
        <v>2316</v>
      </c>
      <c r="CE208" s="23"/>
      <c r="CF208" s="23"/>
      <c r="CG208" s="23"/>
      <c r="CH208" s="23"/>
      <c r="CI208" s="23"/>
    </row>
    <row r="209" spans="1:87" x14ac:dyDescent="0.3">
      <c r="A209" s="9" t="s">
        <v>2317</v>
      </c>
      <c r="B209" s="10" t="s">
        <v>2318</v>
      </c>
      <c r="C209" s="11">
        <v>46025.916666666664</v>
      </c>
      <c r="D209" s="12">
        <v>8.3333333333333329E-2</v>
      </c>
      <c r="E209" s="11">
        <v>46026</v>
      </c>
      <c r="F209" s="10" t="s">
        <v>262</v>
      </c>
      <c r="G209" s="13" t="b">
        <v>0</v>
      </c>
      <c r="H209" s="10" t="s">
        <v>263</v>
      </c>
      <c r="I209" s="10" t="s">
        <v>264</v>
      </c>
      <c r="J209" s="13" t="b">
        <v>0</v>
      </c>
      <c r="K209" s="13" t="b">
        <v>1</v>
      </c>
      <c r="L209" s="10" t="s">
        <v>124</v>
      </c>
      <c r="M209" s="10" t="s">
        <v>91</v>
      </c>
      <c r="N209" s="10" t="s">
        <v>265</v>
      </c>
      <c r="O209" s="19" t="s">
        <v>2319</v>
      </c>
      <c r="P209" s="10"/>
      <c r="Q209" s="10" t="s">
        <v>126</v>
      </c>
      <c r="R209" s="10"/>
      <c r="S209" s="19" t="s">
        <v>2320</v>
      </c>
      <c r="T209" s="10"/>
      <c r="U209" s="10" t="s">
        <v>308</v>
      </c>
      <c r="V209" s="10" t="s">
        <v>609</v>
      </c>
      <c r="W209" s="10" t="s">
        <v>272</v>
      </c>
      <c r="X209" s="10" t="s">
        <v>130</v>
      </c>
      <c r="Y209" s="10" t="s">
        <v>130</v>
      </c>
      <c r="Z209" s="10" t="s">
        <v>99</v>
      </c>
      <c r="AA209" s="10" t="s">
        <v>131</v>
      </c>
      <c r="AB209" s="10" t="s">
        <v>273</v>
      </c>
      <c r="AC209" s="10" t="s">
        <v>274</v>
      </c>
      <c r="AD209" s="10" t="s">
        <v>2321</v>
      </c>
      <c r="AE209" s="10" t="s">
        <v>2322</v>
      </c>
      <c r="AF209" s="15"/>
      <c r="AG209" s="10"/>
      <c r="AH209" s="10"/>
      <c r="AI209" s="10"/>
      <c r="AJ209" s="10" t="s">
        <v>2323</v>
      </c>
      <c r="AK209" s="10" t="s">
        <v>102</v>
      </c>
      <c r="AL209" s="10" t="s">
        <v>2303</v>
      </c>
      <c r="AM209" s="10"/>
      <c r="AN209" s="10"/>
      <c r="AO209" s="13" t="b">
        <v>0</v>
      </c>
      <c r="AP209" s="10" t="s">
        <v>104</v>
      </c>
      <c r="AQ209" s="10">
        <f ca="1">IFERROR(__xludf.DUMMYFUNCTION("""COMPUTED_VALUE"""),4802199)</f>
        <v>4802199</v>
      </c>
      <c r="AR209" s="17">
        <v>43329</v>
      </c>
      <c r="AS209" s="17">
        <v>29290</v>
      </c>
      <c r="AT209" s="17">
        <v>594764.5</v>
      </c>
      <c r="AU209" s="17">
        <v>260.2</v>
      </c>
      <c r="AV209" s="17">
        <v>43.05</v>
      </c>
      <c r="AW209" s="10" t="s">
        <v>105</v>
      </c>
      <c r="AX209" s="17">
        <v>11299</v>
      </c>
      <c r="AY209" s="18">
        <v>20.306060088767499</v>
      </c>
      <c r="AZ209" s="10" t="s">
        <v>136</v>
      </c>
      <c r="BA209" s="20" t="b">
        <v>0</v>
      </c>
      <c r="BB209" s="10"/>
      <c r="BC209" s="17">
        <v>43329</v>
      </c>
      <c r="BD209" s="17">
        <v>29290</v>
      </c>
      <c r="BE209" s="17">
        <v>594764.5</v>
      </c>
      <c r="BF209" s="17">
        <v>43.05</v>
      </c>
      <c r="BG209" s="11">
        <f ca="1">IFERROR(__xludf.DUMMYFUNCTION("""COMPUTED_VALUE"""),46025.9166666666)</f>
        <v>46025.916666666599</v>
      </c>
      <c r="BH209" s="17" t="s">
        <v>105</v>
      </c>
      <c r="BI209" s="17"/>
      <c r="BJ209" s="15"/>
      <c r="BK209" s="15"/>
      <c r="BL209" s="13" t="b">
        <v>1</v>
      </c>
      <c r="BM209" s="10"/>
      <c r="BN209" s="10" t="s">
        <v>351</v>
      </c>
      <c r="BO209" s="11">
        <v>45827.42083333333</v>
      </c>
      <c r="BP209" s="11">
        <v>46019.591608796298</v>
      </c>
      <c r="BQ209" s="15">
        <v>46019.777685185189</v>
      </c>
      <c r="BR209" s="15">
        <v>46020.695219907408</v>
      </c>
      <c r="BS209" s="10"/>
      <c r="BT209" s="10" t="s">
        <v>279</v>
      </c>
      <c r="BU209" s="10" t="s">
        <v>718</v>
      </c>
      <c r="BV209" s="10"/>
      <c r="BW209" s="10"/>
      <c r="BX209" s="10"/>
      <c r="BY209" s="23"/>
      <c r="BZ209" s="24" t="s">
        <v>299</v>
      </c>
      <c r="CA209" s="19" t="s">
        <v>2324</v>
      </c>
      <c r="CB209" s="19" t="s">
        <v>2325</v>
      </c>
      <c r="CC209" s="23"/>
      <c r="CD209" s="19" t="s">
        <v>2326</v>
      </c>
      <c r="CE209" s="23"/>
      <c r="CF209" s="23"/>
      <c r="CG209" s="23"/>
      <c r="CH209" s="23"/>
      <c r="CI209" s="23"/>
    </row>
    <row r="210" spans="1:87" x14ac:dyDescent="0.3">
      <c r="A210" s="9" t="s">
        <v>2327</v>
      </c>
      <c r="B210" s="10" t="s">
        <v>2328</v>
      </c>
      <c r="C210" s="11">
        <v>46026.916666666664</v>
      </c>
      <c r="D210" s="12">
        <v>8.3333333333333329E-2</v>
      </c>
      <c r="E210" s="11">
        <v>46027</v>
      </c>
      <c r="F210" s="10" t="s">
        <v>262</v>
      </c>
      <c r="G210" s="13" t="b">
        <v>0</v>
      </c>
      <c r="H210" s="10" t="s">
        <v>527</v>
      </c>
      <c r="I210" s="10" t="s">
        <v>264</v>
      </c>
      <c r="J210" s="13" t="b">
        <v>0</v>
      </c>
      <c r="K210" s="13" t="b">
        <v>1</v>
      </c>
      <c r="L210" s="10" t="s">
        <v>124</v>
      </c>
      <c r="M210" s="10" t="s">
        <v>91</v>
      </c>
      <c r="N210" s="10" t="s">
        <v>265</v>
      </c>
      <c r="O210" s="19" t="s">
        <v>2329</v>
      </c>
      <c r="P210" s="10"/>
      <c r="Q210" s="10" t="s">
        <v>126</v>
      </c>
      <c r="R210" s="10"/>
      <c r="S210" s="19" t="s">
        <v>2330</v>
      </c>
      <c r="T210" s="19" t="s">
        <v>2331</v>
      </c>
      <c r="U210" s="10" t="s">
        <v>407</v>
      </c>
      <c r="V210" s="10" t="s">
        <v>321</v>
      </c>
      <c r="W210" s="10" t="s">
        <v>272</v>
      </c>
      <c r="X210" s="10" t="s">
        <v>130</v>
      </c>
      <c r="Y210" s="10" t="s">
        <v>130</v>
      </c>
      <c r="Z210" s="10" t="s">
        <v>99</v>
      </c>
      <c r="AA210" s="10" t="s">
        <v>131</v>
      </c>
      <c r="AB210" s="10" t="s">
        <v>273</v>
      </c>
      <c r="AC210" s="10" t="s">
        <v>274</v>
      </c>
      <c r="AD210" s="10" t="s">
        <v>2332</v>
      </c>
      <c r="AE210" s="10" t="s">
        <v>2333</v>
      </c>
      <c r="AF210" s="15"/>
      <c r="AG210" s="10"/>
      <c r="AH210" s="10"/>
      <c r="AI210" s="10"/>
      <c r="AJ210" s="10" t="s">
        <v>2334</v>
      </c>
      <c r="AK210" s="10" t="s">
        <v>102</v>
      </c>
      <c r="AL210" s="10" t="s">
        <v>2303</v>
      </c>
      <c r="AM210" s="10"/>
      <c r="AN210" s="10"/>
      <c r="AO210" s="13" t="b">
        <v>0</v>
      </c>
      <c r="AP210" s="10" t="s">
        <v>104</v>
      </c>
      <c r="AQ210" s="10">
        <f ca="1">IFERROR(__xludf.DUMMYFUNCTION("""COMPUTED_VALUE"""),4802190)</f>
        <v>4802190</v>
      </c>
      <c r="AR210" s="17">
        <v>15440</v>
      </c>
      <c r="AS210" s="17">
        <v>8862</v>
      </c>
      <c r="AT210" s="17">
        <v>78749.5</v>
      </c>
      <c r="AU210" s="17">
        <v>19.399999999999999</v>
      </c>
      <c r="AV210" s="17">
        <v>3.35</v>
      </c>
      <c r="AW210" s="10" t="s">
        <v>105</v>
      </c>
      <c r="AX210" s="17">
        <v>1702</v>
      </c>
      <c r="AY210" s="18">
        <v>8.8861995034980819</v>
      </c>
      <c r="AZ210" s="10" t="s">
        <v>136</v>
      </c>
      <c r="BA210" s="20" t="b">
        <v>0</v>
      </c>
      <c r="BB210" s="10"/>
      <c r="BC210" s="17">
        <v>15440</v>
      </c>
      <c r="BD210" s="17">
        <v>8862</v>
      </c>
      <c r="BE210" s="17">
        <v>78749.5</v>
      </c>
      <c r="BF210" s="17">
        <v>3.35</v>
      </c>
      <c r="BG210" s="11">
        <f ca="1">IFERROR(__xludf.DUMMYFUNCTION("""COMPUTED_VALUE"""),46026.9166666666)</f>
        <v>46026.916666666599</v>
      </c>
      <c r="BH210" s="17" t="s">
        <v>105</v>
      </c>
      <c r="BI210" s="17"/>
      <c r="BJ210" s="15"/>
      <c r="BK210" s="15"/>
      <c r="BL210" s="13" t="b">
        <v>1</v>
      </c>
      <c r="BM210" s="10"/>
      <c r="BN210" s="10" t="s">
        <v>667</v>
      </c>
      <c r="BO210" s="11">
        <v>45827.42083333333</v>
      </c>
      <c r="BP210" s="11">
        <v>46019.592430555553</v>
      </c>
      <c r="BQ210" s="15">
        <v>46019.778969907406</v>
      </c>
      <c r="BR210" s="15">
        <v>46020.679780092592</v>
      </c>
      <c r="BS210" s="10" t="s">
        <v>667</v>
      </c>
      <c r="BT210" s="10" t="s">
        <v>279</v>
      </c>
      <c r="BU210" s="10" t="s">
        <v>655</v>
      </c>
      <c r="BV210" s="10"/>
      <c r="BW210" s="10"/>
      <c r="BX210" s="10"/>
      <c r="BY210" s="23"/>
      <c r="BZ210" s="24" t="s">
        <v>299</v>
      </c>
      <c r="CA210" s="19" t="s">
        <v>2335</v>
      </c>
      <c r="CB210" s="19" t="s">
        <v>2331</v>
      </c>
      <c r="CC210" s="23"/>
      <c r="CD210" s="19" t="s">
        <v>2336</v>
      </c>
      <c r="CE210" s="23"/>
      <c r="CF210" s="23"/>
      <c r="CG210" s="23"/>
      <c r="CH210" s="23"/>
      <c r="CI210" s="23"/>
    </row>
    <row r="211" spans="1:87" x14ac:dyDescent="0.3">
      <c r="A211" s="9" t="s">
        <v>2337</v>
      </c>
      <c r="B211" s="10" t="s">
        <v>2338</v>
      </c>
      <c r="C211" s="11">
        <v>46026.916666666664</v>
      </c>
      <c r="D211" s="12">
        <v>8.3333333333333329E-2</v>
      </c>
      <c r="E211" s="11">
        <v>46027</v>
      </c>
      <c r="F211" s="10" t="s">
        <v>262</v>
      </c>
      <c r="G211" s="13" t="b">
        <v>1</v>
      </c>
      <c r="H211" s="10" t="s">
        <v>263</v>
      </c>
      <c r="I211" s="10" t="s">
        <v>264</v>
      </c>
      <c r="J211" s="13" t="b">
        <v>0</v>
      </c>
      <c r="K211" s="13" t="b">
        <v>1</v>
      </c>
      <c r="L211" s="10" t="s">
        <v>124</v>
      </c>
      <c r="M211" s="10" t="s">
        <v>91</v>
      </c>
      <c r="N211" s="10" t="s">
        <v>265</v>
      </c>
      <c r="O211" s="19" t="s">
        <v>2339</v>
      </c>
      <c r="P211" s="10" t="s">
        <v>267</v>
      </c>
      <c r="Q211" s="10" t="s">
        <v>126</v>
      </c>
      <c r="R211" s="10"/>
      <c r="S211" s="19" t="s">
        <v>2340</v>
      </c>
      <c r="T211" s="10"/>
      <c r="U211" s="10" t="s">
        <v>309</v>
      </c>
      <c r="V211" s="10" t="s">
        <v>270</v>
      </c>
      <c r="W211" s="10" t="s">
        <v>272</v>
      </c>
      <c r="X211" s="10" t="s">
        <v>130</v>
      </c>
      <c r="Y211" s="10" t="s">
        <v>130</v>
      </c>
      <c r="Z211" s="10" t="s">
        <v>99</v>
      </c>
      <c r="AA211" s="10" t="s">
        <v>131</v>
      </c>
      <c r="AB211" s="10" t="s">
        <v>273</v>
      </c>
      <c r="AC211" s="10" t="s">
        <v>274</v>
      </c>
      <c r="AD211" s="10" t="s">
        <v>2341</v>
      </c>
      <c r="AE211" s="10" t="s">
        <v>2342</v>
      </c>
      <c r="AF211" s="15"/>
      <c r="AG211" s="10"/>
      <c r="AH211" s="10"/>
      <c r="AI211" s="10"/>
      <c r="AJ211" s="10" t="s">
        <v>2343</v>
      </c>
      <c r="AK211" s="10" t="s">
        <v>102</v>
      </c>
      <c r="AL211" s="10" t="s">
        <v>2303</v>
      </c>
      <c r="AM211" s="10"/>
      <c r="AN211" s="10"/>
      <c r="AO211" s="13" t="b">
        <v>1</v>
      </c>
      <c r="AP211" s="10" t="s">
        <v>104</v>
      </c>
      <c r="AQ211" s="10">
        <f ca="1">IFERROR(__xludf.DUMMYFUNCTION("""COMPUTED_VALUE"""),4802202)</f>
        <v>4802202</v>
      </c>
      <c r="AR211" s="17">
        <v>190821</v>
      </c>
      <c r="AS211" s="17">
        <v>97216</v>
      </c>
      <c r="AT211" s="17">
        <v>3684348.5</v>
      </c>
      <c r="AU211" s="17">
        <v>1581.4</v>
      </c>
      <c r="AV211" s="17">
        <v>300.05</v>
      </c>
      <c r="AW211" s="10" t="s">
        <v>105</v>
      </c>
      <c r="AX211" s="17">
        <v>47104</v>
      </c>
      <c r="AY211" s="18">
        <v>37.898581509216591</v>
      </c>
      <c r="AZ211" s="10" t="s">
        <v>136</v>
      </c>
      <c r="BA211" s="20" t="b">
        <v>0</v>
      </c>
      <c r="BB211" s="10"/>
      <c r="BC211" s="17">
        <v>190821</v>
      </c>
      <c r="BD211" s="17">
        <v>97216</v>
      </c>
      <c r="BE211" s="17">
        <v>3684348.5</v>
      </c>
      <c r="BF211" s="17">
        <v>300.05</v>
      </c>
      <c r="BG211" s="11">
        <f ca="1">IFERROR(__xludf.DUMMYFUNCTION("""COMPUTED_VALUE"""),46026.8958333333)</f>
        <v>46026.895833333299</v>
      </c>
      <c r="BH211" s="17" t="s">
        <v>105</v>
      </c>
      <c r="BI211" s="17"/>
      <c r="BJ211" s="15"/>
      <c r="BK211" s="15"/>
      <c r="BL211" s="13" t="b">
        <v>1</v>
      </c>
      <c r="BM211" s="10"/>
      <c r="BN211" s="10" t="s">
        <v>351</v>
      </c>
      <c r="BO211" s="11">
        <v>45827.42083333333</v>
      </c>
      <c r="BP211" s="11">
        <v>46019.592939814815</v>
      </c>
      <c r="BQ211" s="15">
        <v>46019.779317129629</v>
      </c>
      <c r="BR211" s="15">
        <v>46020.702118055553</v>
      </c>
      <c r="BS211" s="10"/>
      <c r="BT211" s="10" t="s">
        <v>279</v>
      </c>
      <c r="BU211" s="10" t="s">
        <v>280</v>
      </c>
      <c r="BV211" s="10" t="s">
        <v>124</v>
      </c>
      <c r="BW211" s="10"/>
      <c r="BX211" s="10"/>
      <c r="BY211" s="23"/>
      <c r="BZ211" s="24" t="s">
        <v>284</v>
      </c>
      <c r="CA211" s="19" t="s">
        <v>2344</v>
      </c>
      <c r="CB211" s="19" t="s">
        <v>2345</v>
      </c>
      <c r="CC211" s="23"/>
      <c r="CD211" s="19" t="s">
        <v>2346</v>
      </c>
      <c r="CE211" s="23"/>
      <c r="CF211" s="23"/>
      <c r="CG211" s="23"/>
      <c r="CH211" s="23"/>
      <c r="CI211" s="23"/>
    </row>
    <row r="212" spans="1:87" x14ac:dyDescent="0.3">
      <c r="A212" s="9" t="s">
        <v>2347</v>
      </c>
      <c r="B212" s="10" t="s">
        <v>2348</v>
      </c>
      <c r="C212" s="11">
        <v>46026.8125</v>
      </c>
      <c r="D212" s="12">
        <v>8.3333333333333329E-2</v>
      </c>
      <c r="E212" s="11">
        <v>46026.895833333336</v>
      </c>
      <c r="F212" s="10" t="s">
        <v>262</v>
      </c>
      <c r="G212" s="13" t="b">
        <v>1</v>
      </c>
      <c r="H212" s="10" t="s">
        <v>263</v>
      </c>
      <c r="I212" s="10" t="s">
        <v>264</v>
      </c>
      <c r="J212" s="13" t="b">
        <v>0</v>
      </c>
      <c r="K212" s="13" t="b">
        <v>1</v>
      </c>
      <c r="L212" s="10" t="s">
        <v>124</v>
      </c>
      <c r="M212" s="10" t="s">
        <v>91</v>
      </c>
      <c r="N212" s="10" t="s">
        <v>265</v>
      </c>
      <c r="O212" s="19" t="s">
        <v>2349</v>
      </c>
      <c r="P212" s="10" t="s">
        <v>267</v>
      </c>
      <c r="Q212" s="10" t="s">
        <v>126</v>
      </c>
      <c r="R212" s="10"/>
      <c r="S212" s="19" t="s">
        <v>2350</v>
      </c>
      <c r="T212" s="10"/>
      <c r="U212" s="10" t="s">
        <v>663</v>
      </c>
      <c r="V212" s="10" t="s">
        <v>361</v>
      </c>
      <c r="W212" s="10" t="s">
        <v>272</v>
      </c>
      <c r="X212" s="10" t="s">
        <v>130</v>
      </c>
      <c r="Y212" s="10" t="s">
        <v>130</v>
      </c>
      <c r="Z212" s="10" t="s">
        <v>99</v>
      </c>
      <c r="AA212" s="10" t="s">
        <v>131</v>
      </c>
      <c r="AB212" s="10" t="s">
        <v>273</v>
      </c>
      <c r="AC212" s="10" t="s">
        <v>274</v>
      </c>
      <c r="AD212" s="10" t="s">
        <v>2351</v>
      </c>
      <c r="AE212" s="10" t="s">
        <v>2352</v>
      </c>
      <c r="AF212" s="15"/>
      <c r="AG212" s="10"/>
      <c r="AH212" s="10"/>
      <c r="AI212" s="10"/>
      <c r="AJ212" s="10" t="s">
        <v>2353</v>
      </c>
      <c r="AK212" s="10" t="s">
        <v>102</v>
      </c>
      <c r="AL212" s="10" t="s">
        <v>2303</v>
      </c>
      <c r="AM212" s="10"/>
      <c r="AN212" s="10"/>
      <c r="AO212" s="13" t="b">
        <v>1</v>
      </c>
      <c r="AP212" s="10" t="s">
        <v>104</v>
      </c>
      <c r="AQ212" s="10">
        <f ca="1">IFERROR(__xludf.DUMMYFUNCTION("""COMPUTED_VALUE"""),4802201)</f>
        <v>4802201</v>
      </c>
      <c r="AR212" s="17">
        <v>348018</v>
      </c>
      <c r="AS212" s="17">
        <v>179001</v>
      </c>
      <c r="AT212" s="17">
        <v>9208527.75</v>
      </c>
      <c r="AU212" s="17">
        <v>5560.15</v>
      </c>
      <c r="AV212" s="17">
        <v>985.6</v>
      </c>
      <c r="AW212" s="10" t="s">
        <v>297</v>
      </c>
      <c r="AX212" s="17">
        <v>97570</v>
      </c>
      <c r="AY212" s="18">
        <v>51.444001709487658</v>
      </c>
      <c r="AZ212" s="10" t="s">
        <v>136</v>
      </c>
      <c r="BA212" s="20" t="b">
        <v>0</v>
      </c>
      <c r="BB212" s="10"/>
      <c r="BC212" s="17">
        <v>348018</v>
      </c>
      <c r="BD212" s="17">
        <v>179001</v>
      </c>
      <c r="BE212" s="17">
        <v>9208527.75</v>
      </c>
      <c r="BF212" s="17">
        <v>985.6</v>
      </c>
      <c r="BG212" s="11">
        <f ca="1">IFERROR(__xludf.DUMMYFUNCTION("""COMPUTED_VALUE"""),46026.7916666666)</f>
        <v>46026.791666666599</v>
      </c>
      <c r="BH212" s="17" t="s">
        <v>297</v>
      </c>
      <c r="BI212" s="17"/>
      <c r="BJ212" s="15"/>
      <c r="BK212" s="15"/>
      <c r="BL212" s="13" t="b">
        <v>1</v>
      </c>
      <c r="BM212" s="10"/>
      <c r="BN212" s="10" t="s">
        <v>351</v>
      </c>
      <c r="BO212" s="11">
        <v>45827.42083333333</v>
      </c>
      <c r="BP212" s="11">
        <v>46019.592268518521</v>
      </c>
      <c r="BQ212" s="15">
        <v>46019.778541666667</v>
      </c>
      <c r="BR212" s="15">
        <v>46020.701678240737</v>
      </c>
      <c r="BS212" s="10"/>
      <c r="BT212" s="10" t="s">
        <v>279</v>
      </c>
      <c r="BU212" s="10" t="s">
        <v>718</v>
      </c>
      <c r="BV212" s="10" t="s">
        <v>281</v>
      </c>
      <c r="BW212" s="10" t="s">
        <v>2100</v>
      </c>
      <c r="BX212" s="10"/>
      <c r="BY212" s="23"/>
      <c r="BZ212" s="24" t="s">
        <v>284</v>
      </c>
      <c r="CA212" s="19" t="s">
        <v>2354</v>
      </c>
      <c r="CB212" s="19" t="s">
        <v>2355</v>
      </c>
      <c r="CC212" s="23"/>
      <c r="CD212" s="19" t="s">
        <v>2356</v>
      </c>
      <c r="CE212" s="23"/>
      <c r="CF212" s="23"/>
      <c r="CG212" s="23"/>
      <c r="CH212" s="23"/>
      <c r="CI212" s="23"/>
    </row>
    <row r="213" spans="1:87" x14ac:dyDescent="0.3">
      <c r="A213" s="9" t="s">
        <v>2357</v>
      </c>
      <c r="B213" s="10" t="s">
        <v>2358</v>
      </c>
      <c r="C213" s="11">
        <v>46027.020833333336</v>
      </c>
      <c r="D213" s="12">
        <v>8.3333333333333329E-2</v>
      </c>
      <c r="E213" s="11">
        <v>46027.104166666664</v>
      </c>
      <c r="F213" s="10" t="s">
        <v>262</v>
      </c>
      <c r="G213" s="13" t="b">
        <v>1</v>
      </c>
      <c r="H213" s="10" t="s">
        <v>263</v>
      </c>
      <c r="I213" s="10" t="s">
        <v>264</v>
      </c>
      <c r="J213" s="13" t="b">
        <v>0</v>
      </c>
      <c r="K213" s="13" t="b">
        <v>1</v>
      </c>
      <c r="L213" s="10" t="s">
        <v>124</v>
      </c>
      <c r="M213" s="10" t="s">
        <v>91</v>
      </c>
      <c r="N213" s="10" t="s">
        <v>265</v>
      </c>
      <c r="O213" s="19" t="s">
        <v>2359</v>
      </c>
      <c r="P213" s="10" t="s">
        <v>267</v>
      </c>
      <c r="Q213" s="10" t="s">
        <v>126</v>
      </c>
      <c r="R213" s="10"/>
      <c r="S213" s="19" t="s">
        <v>2360</v>
      </c>
      <c r="T213" s="10"/>
      <c r="U213" s="10" t="s">
        <v>334</v>
      </c>
      <c r="V213" s="10" t="s">
        <v>346</v>
      </c>
      <c r="W213" s="10" t="s">
        <v>272</v>
      </c>
      <c r="X213" s="10" t="s">
        <v>130</v>
      </c>
      <c r="Y213" s="10" t="s">
        <v>130</v>
      </c>
      <c r="Z213" s="10" t="s">
        <v>99</v>
      </c>
      <c r="AA213" s="10" t="s">
        <v>131</v>
      </c>
      <c r="AB213" s="10" t="s">
        <v>273</v>
      </c>
      <c r="AC213" s="10" t="s">
        <v>274</v>
      </c>
      <c r="AD213" s="10" t="s">
        <v>2361</v>
      </c>
      <c r="AE213" s="10" t="s">
        <v>2362</v>
      </c>
      <c r="AF213" s="15"/>
      <c r="AG213" s="10"/>
      <c r="AH213" s="10"/>
      <c r="AI213" s="10"/>
      <c r="AJ213" s="10" t="s">
        <v>2363</v>
      </c>
      <c r="AK213" s="10" t="s">
        <v>102</v>
      </c>
      <c r="AL213" s="10" t="s">
        <v>2303</v>
      </c>
      <c r="AM213" s="10"/>
      <c r="AN213" s="10"/>
      <c r="AO213" s="13" t="b">
        <v>1</v>
      </c>
      <c r="AP213" s="10" t="s">
        <v>104</v>
      </c>
      <c r="AQ213" s="10">
        <f ca="1">IFERROR(__xludf.DUMMYFUNCTION("""COMPUTED_VALUE"""),4827336)</f>
        <v>4827336</v>
      </c>
      <c r="AR213" s="17">
        <v>94287</v>
      </c>
      <c r="AS213" s="17">
        <v>60637</v>
      </c>
      <c r="AT213" s="17">
        <v>3339231.25</v>
      </c>
      <c r="AU213" s="17">
        <v>775.2</v>
      </c>
      <c r="AV213" s="17">
        <v>135.30000000000001</v>
      </c>
      <c r="AW213" s="10" t="s">
        <v>105</v>
      </c>
      <c r="AX213" s="17">
        <v>41660</v>
      </c>
      <c r="AY213" s="18">
        <v>55.069202796972142</v>
      </c>
      <c r="AZ213" s="10" t="s">
        <v>136</v>
      </c>
      <c r="BA213" s="20" t="b">
        <v>0</v>
      </c>
      <c r="BB213" s="10"/>
      <c r="BC213" s="17">
        <v>94287</v>
      </c>
      <c r="BD213" s="17">
        <v>60637</v>
      </c>
      <c r="BE213" s="17">
        <v>3339231.25</v>
      </c>
      <c r="BF213" s="17">
        <v>135.30000000000001</v>
      </c>
      <c r="BG213" s="11">
        <f ca="1">IFERROR(__xludf.DUMMYFUNCTION("""COMPUTED_VALUE"""),46027)</f>
        <v>46027</v>
      </c>
      <c r="BH213" s="17" t="s">
        <v>105</v>
      </c>
      <c r="BI213" s="17"/>
      <c r="BJ213" s="15"/>
      <c r="BK213" s="15"/>
      <c r="BL213" s="13" t="b">
        <v>1</v>
      </c>
      <c r="BM213" s="10"/>
      <c r="BN213" s="10" t="s">
        <v>351</v>
      </c>
      <c r="BO213" s="11">
        <v>45827.42083333333</v>
      </c>
      <c r="BP213" s="11">
        <v>46023.809664351851</v>
      </c>
      <c r="BQ213" s="15">
        <v>46019.781956018516</v>
      </c>
      <c r="BR213" s="15">
        <v>46026.409930555557</v>
      </c>
      <c r="BS213" s="10"/>
      <c r="BT213" s="10" t="s">
        <v>279</v>
      </c>
      <c r="BU213" s="10" t="s">
        <v>718</v>
      </c>
      <c r="BV213" s="10" t="s">
        <v>499</v>
      </c>
      <c r="BW213" s="10" t="s">
        <v>2364</v>
      </c>
      <c r="BX213" s="10"/>
      <c r="BY213" s="23"/>
      <c r="BZ213" s="24" t="s">
        <v>368</v>
      </c>
      <c r="CA213" s="19" t="s">
        <v>2365</v>
      </c>
      <c r="CB213" s="19" t="s">
        <v>2366</v>
      </c>
      <c r="CC213" s="23"/>
      <c r="CD213" s="19" t="s">
        <v>2367</v>
      </c>
      <c r="CE213" s="23"/>
      <c r="CF213" s="23"/>
      <c r="CG213" s="23"/>
      <c r="CH213" s="23"/>
      <c r="CI213" s="23"/>
    </row>
    <row r="214" spans="1:87" x14ac:dyDescent="0.3">
      <c r="A214" s="9" t="s">
        <v>2368</v>
      </c>
      <c r="B214" s="10" t="s">
        <v>2369</v>
      </c>
      <c r="C214" s="11">
        <v>46026.916666666664</v>
      </c>
      <c r="D214" s="12">
        <v>8.3333333333333329E-2</v>
      </c>
      <c r="E214" s="11">
        <v>46027</v>
      </c>
      <c r="F214" s="10" t="s">
        <v>262</v>
      </c>
      <c r="G214" s="13" t="b">
        <v>0</v>
      </c>
      <c r="H214" s="10" t="s">
        <v>527</v>
      </c>
      <c r="I214" s="10" t="s">
        <v>264</v>
      </c>
      <c r="J214" s="13" t="b">
        <v>0</v>
      </c>
      <c r="K214" s="13" t="b">
        <v>1</v>
      </c>
      <c r="L214" s="10" t="s">
        <v>124</v>
      </c>
      <c r="M214" s="10" t="s">
        <v>91</v>
      </c>
      <c r="N214" s="10" t="s">
        <v>265</v>
      </c>
      <c r="O214" s="19" t="s">
        <v>2370</v>
      </c>
      <c r="P214" s="10"/>
      <c r="Q214" s="10" t="s">
        <v>126</v>
      </c>
      <c r="R214" s="10"/>
      <c r="S214" s="19" t="s">
        <v>2371</v>
      </c>
      <c r="T214" s="19" t="s">
        <v>2372</v>
      </c>
      <c r="U214" s="10" t="s">
        <v>293</v>
      </c>
      <c r="V214" s="10" t="s">
        <v>347</v>
      </c>
      <c r="W214" s="10" t="s">
        <v>272</v>
      </c>
      <c r="X214" s="10" t="s">
        <v>130</v>
      </c>
      <c r="Y214" s="10" t="s">
        <v>130</v>
      </c>
      <c r="Z214" s="10" t="s">
        <v>99</v>
      </c>
      <c r="AA214" s="10" t="s">
        <v>131</v>
      </c>
      <c r="AB214" s="10" t="s">
        <v>273</v>
      </c>
      <c r="AC214" s="10" t="s">
        <v>274</v>
      </c>
      <c r="AD214" s="10" t="s">
        <v>2373</v>
      </c>
      <c r="AE214" s="10" t="s">
        <v>2374</v>
      </c>
      <c r="AF214" s="15"/>
      <c r="AG214" s="10"/>
      <c r="AH214" s="10"/>
      <c r="AI214" s="10"/>
      <c r="AJ214" s="10" t="s">
        <v>2375</v>
      </c>
      <c r="AK214" s="10" t="s">
        <v>102</v>
      </c>
      <c r="AL214" s="10" t="s">
        <v>2303</v>
      </c>
      <c r="AM214" s="10"/>
      <c r="AN214" s="10"/>
      <c r="AO214" s="13" t="b">
        <v>0</v>
      </c>
      <c r="AP214" s="10" t="s">
        <v>104</v>
      </c>
      <c r="AQ214" s="10">
        <f ca="1">IFERROR(__xludf.DUMMYFUNCTION("""COMPUTED_VALUE"""),4802194)</f>
        <v>4802194</v>
      </c>
      <c r="AR214" s="17">
        <v>31173</v>
      </c>
      <c r="AS214" s="17">
        <v>17642</v>
      </c>
      <c r="AT214" s="17">
        <v>310307.75</v>
      </c>
      <c r="AU214" s="17">
        <v>84.55</v>
      </c>
      <c r="AV214" s="17">
        <v>9.65</v>
      </c>
      <c r="AW214" s="10" t="s">
        <v>105</v>
      </c>
      <c r="AX214" s="17">
        <v>5252</v>
      </c>
      <c r="AY214" s="18">
        <v>17.58914805577599</v>
      </c>
      <c r="AZ214" s="10" t="s">
        <v>136</v>
      </c>
      <c r="BA214" s="20" t="b">
        <v>0</v>
      </c>
      <c r="BB214" s="10"/>
      <c r="BC214" s="17">
        <v>31173</v>
      </c>
      <c r="BD214" s="17">
        <v>17642</v>
      </c>
      <c r="BE214" s="17">
        <v>310307.75</v>
      </c>
      <c r="BF214" s="17">
        <v>9.65</v>
      </c>
      <c r="BG214" s="11">
        <f ca="1">IFERROR(__xludf.DUMMYFUNCTION("""COMPUTED_VALUE"""),46026.9166666666)</f>
        <v>46026.916666666599</v>
      </c>
      <c r="BH214" s="17" t="s">
        <v>105</v>
      </c>
      <c r="BI214" s="17"/>
      <c r="BJ214" s="15"/>
      <c r="BK214" s="15"/>
      <c r="BL214" s="13" t="b">
        <v>1</v>
      </c>
      <c r="BM214" s="10"/>
      <c r="BN214" s="10" t="s">
        <v>667</v>
      </c>
      <c r="BO214" s="11">
        <v>45827.42083333333</v>
      </c>
      <c r="BP214" s="11">
        <v>46019.609699074077</v>
      </c>
      <c r="BQ214" s="15">
        <v>46019.779814814814</v>
      </c>
      <c r="BR214" s="15">
        <v>46020.683692129627</v>
      </c>
      <c r="BS214" s="10" t="s">
        <v>667</v>
      </c>
      <c r="BT214" s="10" t="s">
        <v>279</v>
      </c>
      <c r="BU214" s="10" t="s">
        <v>298</v>
      </c>
      <c r="BV214" s="10"/>
      <c r="BW214" s="10"/>
      <c r="BX214" s="10"/>
      <c r="BY214" s="23"/>
      <c r="BZ214" s="24" t="s">
        <v>299</v>
      </c>
      <c r="CA214" s="19" t="s">
        <v>2376</v>
      </c>
      <c r="CB214" s="19" t="s">
        <v>2372</v>
      </c>
      <c r="CC214" s="23"/>
      <c r="CD214" s="19" t="s">
        <v>2377</v>
      </c>
      <c r="CE214" s="23"/>
      <c r="CF214" s="23"/>
      <c r="CG214" s="23"/>
      <c r="CH214" s="23"/>
      <c r="CI214" s="23"/>
    </row>
    <row r="215" spans="1:87" x14ac:dyDescent="0.3">
      <c r="A215" s="9" t="s">
        <v>2378</v>
      </c>
      <c r="B215" s="10" t="s">
        <v>2379</v>
      </c>
      <c r="C215" s="11">
        <v>46026.916666666664</v>
      </c>
      <c r="D215" s="12">
        <v>8.3333333333333329E-2</v>
      </c>
      <c r="E215" s="11">
        <v>46027</v>
      </c>
      <c r="F215" s="10" t="s">
        <v>262</v>
      </c>
      <c r="G215" s="13" t="b">
        <v>0</v>
      </c>
      <c r="H215" s="10" t="s">
        <v>305</v>
      </c>
      <c r="I215" s="10" t="s">
        <v>264</v>
      </c>
      <c r="J215" s="13" t="b">
        <v>0</v>
      </c>
      <c r="K215" s="13" t="b">
        <v>1</v>
      </c>
      <c r="L215" s="10" t="s">
        <v>124</v>
      </c>
      <c r="M215" s="10" t="s">
        <v>91</v>
      </c>
      <c r="N215" s="10" t="s">
        <v>265</v>
      </c>
      <c r="O215" s="19" t="s">
        <v>2380</v>
      </c>
      <c r="P215" s="10" t="s">
        <v>575</v>
      </c>
      <c r="Q215" s="10" t="s">
        <v>126</v>
      </c>
      <c r="R215" s="10"/>
      <c r="S215" s="19" t="s">
        <v>2381</v>
      </c>
      <c r="T215" s="10"/>
      <c r="U215" s="10" t="s">
        <v>429</v>
      </c>
      <c r="V215" s="10" t="s">
        <v>588</v>
      </c>
      <c r="W215" s="10" t="s">
        <v>272</v>
      </c>
      <c r="X215" s="10" t="s">
        <v>130</v>
      </c>
      <c r="Y215" s="10" t="s">
        <v>130</v>
      </c>
      <c r="Z215" s="10" t="s">
        <v>99</v>
      </c>
      <c r="AA215" s="10" t="s">
        <v>131</v>
      </c>
      <c r="AB215" s="10" t="s">
        <v>273</v>
      </c>
      <c r="AC215" s="10" t="s">
        <v>274</v>
      </c>
      <c r="AD215" s="10" t="s">
        <v>2382</v>
      </c>
      <c r="AE215" s="10" t="s">
        <v>2383</v>
      </c>
      <c r="AF215" s="15"/>
      <c r="AG215" s="10"/>
      <c r="AH215" s="10"/>
      <c r="AI215" s="10"/>
      <c r="AJ215" s="10" t="s">
        <v>2384</v>
      </c>
      <c r="AK215" s="10" t="s">
        <v>102</v>
      </c>
      <c r="AL215" s="10" t="s">
        <v>2303</v>
      </c>
      <c r="AM215" s="10"/>
      <c r="AN215" s="10"/>
      <c r="AO215" s="13" t="b">
        <v>1</v>
      </c>
      <c r="AP215" s="10" t="s">
        <v>104</v>
      </c>
      <c r="AQ215" s="10">
        <f ca="1">IFERROR(__xludf.DUMMYFUNCTION("""COMPUTED_VALUE"""),4802196)</f>
        <v>4802196</v>
      </c>
      <c r="AR215" s="17">
        <v>43425</v>
      </c>
      <c r="AS215" s="17">
        <v>26416</v>
      </c>
      <c r="AT215" s="17">
        <v>370570</v>
      </c>
      <c r="AU215" s="17">
        <v>118.9</v>
      </c>
      <c r="AV215" s="17">
        <v>22.65</v>
      </c>
      <c r="AW215" s="10" t="s">
        <v>105</v>
      </c>
      <c r="AX215" s="17">
        <v>6491</v>
      </c>
      <c r="AY215" s="18">
        <v>14.028240460327075</v>
      </c>
      <c r="AZ215" s="10" t="s">
        <v>136</v>
      </c>
      <c r="BA215" s="20" t="b">
        <v>0</v>
      </c>
      <c r="BB215" s="10"/>
      <c r="BC215" s="17">
        <v>43425</v>
      </c>
      <c r="BD215" s="17">
        <v>26416</v>
      </c>
      <c r="BE215" s="17">
        <v>370570</v>
      </c>
      <c r="BF215" s="17">
        <v>22.65</v>
      </c>
      <c r="BG215" s="11">
        <f ca="1">IFERROR(__xludf.DUMMYFUNCTION("""COMPUTED_VALUE"""),46026.9166666666)</f>
        <v>46026.916666666599</v>
      </c>
      <c r="BH215" s="17" t="s">
        <v>105</v>
      </c>
      <c r="BI215" s="17"/>
      <c r="BJ215" s="15"/>
      <c r="BK215" s="15"/>
      <c r="BL215" s="13" t="b">
        <v>0</v>
      </c>
      <c r="BM215" s="10"/>
      <c r="BN215" s="10" t="s">
        <v>667</v>
      </c>
      <c r="BO215" s="11">
        <v>45827.42083333333</v>
      </c>
      <c r="BP215" s="11">
        <v>46019.609861111108</v>
      </c>
      <c r="BQ215" s="15">
        <v>46019.7812037037</v>
      </c>
      <c r="BR215" s="15">
        <v>46020.702280092592</v>
      </c>
      <c r="BS215" s="10" t="s">
        <v>667</v>
      </c>
      <c r="BT215" s="10" t="s">
        <v>279</v>
      </c>
      <c r="BU215" s="10" t="s">
        <v>816</v>
      </c>
      <c r="BV215" s="10" t="s">
        <v>124</v>
      </c>
      <c r="BW215" s="10"/>
      <c r="BX215" s="10"/>
      <c r="BY215" s="23"/>
      <c r="BZ215" s="24" t="s">
        <v>284</v>
      </c>
      <c r="CA215" s="19" t="s">
        <v>2385</v>
      </c>
      <c r="CB215" s="19" t="s">
        <v>2386</v>
      </c>
      <c r="CC215" s="23"/>
      <c r="CD215" s="19" t="s">
        <v>2387</v>
      </c>
      <c r="CE215" s="23"/>
      <c r="CF215" s="23"/>
      <c r="CG215" s="23"/>
      <c r="CH215" s="23"/>
      <c r="CI215" s="23"/>
    </row>
    <row r="216" spans="1:87" x14ac:dyDescent="0.3">
      <c r="A216" s="9" t="s">
        <v>2388</v>
      </c>
      <c r="B216" s="10" t="s">
        <v>2389</v>
      </c>
      <c r="C216" s="11">
        <v>46025.916666666664</v>
      </c>
      <c r="D216" s="12">
        <v>8.3333333333333329E-2</v>
      </c>
      <c r="E216" s="11">
        <v>46026</v>
      </c>
      <c r="F216" s="10" t="s">
        <v>262</v>
      </c>
      <c r="G216" s="13" t="b">
        <v>0</v>
      </c>
      <c r="H216" s="10" t="s">
        <v>305</v>
      </c>
      <c r="I216" s="10" t="s">
        <v>264</v>
      </c>
      <c r="J216" s="13" t="b">
        <v>0</v>
      </c>
      <c r="K216" s="13" t="b">
        <v>1</v>
      </c>
      <c r="L216" s="10" t="s">
        <v>124</v>
      </c>
      <c r="M216" s="10" t="s">
        <v>91</v>
      </c>
      <c r="N216" s="10" t="s">
        <v>265</v>
      </c>
      <c r="O216" s="19" t="s">
        <v>2390</v>
      </c>
      <c r="P216" s="10" t="s">
        <v>267</v>
      </c>
      <c r="Q216" s="10" t="s">
        <v>126</v>
      </c>
      <c r="R216" s="10"/>
      <c r="S216" s="19" t="s">
        <v>2391</v>
      </c>
      <c r="T216" s="10"/>
      <c r="U216" s="10" t="s">
        <v>333</v>
      </c>
      <c r="V216" s="10" t="s">
        <v>451</v>
      </c>
      <c r="W216" s="10" t="s">
        <v>272</v>
      </c>
      <c r="X216" s="10" t="s">
        <v>130</v>
      </c>
      <c r="Y216" s="10" t="s">
        <v>130</v>
      </c>
      <c r="Z216" s="10" t="s">
        <v>99</v>
      </c>
      <c r="AA216" s="10" t="s">
        <v>131</v>
      </c>
      <c r="AB216" s="10" t="s">
        <v>273</v>
      </c>
      <c r="AC216" s="10" t="s">
        <v>274</v>
      </c>
      <c r="AD216" s="10" t="s">
        <v>2392</v>
      </c>
      <c r="AE216" s="10" t="s">
        <v>2393</v>
      </c>
      <c r="AF216" s="15"/>
      <c r="AG216" s="10"/>
      <c r="AH216" s="10"/>
      <c r="AI216" s="10"/>
      <c r="AJ216" s="10" t="s">
        <v>2394</v>
      </c>
      <c r="AK216" s="10" t="s">
        <v>102</v>
      </c>
      <c r="AL216" s="10" t="s">
        <v>2303</v>
      </c>
      <c r="AM216" s="10"/>
      <c r="AN216" s="10"/>
      <c r="AO216" s="13" t="b">
        <v>0</v>
      </c>
      <c r="AP216" s="10" t="s">
        <v>104</v>
      </c>
      <c r="AQ216" s="10">
        <f ca="1">IFERROR(__xludf.DUMMYFUNCTION("""COMPUTED_VALUE"""),4802195)</f>
        <v>4802195</v>
      </c>
      <c r="AR216" s="17">
        <v>45508</v>
      </c>
      <c r="AS216" s="17">
        <v>28628</v>
      </c>
      <c r="AT216" s="17">
        <v>616404.25</v>
      </c>
      <c r="AU216" s="17">
        <v>253.9</v>
      </c>
      <c r="AV216" s="17">
        <v>41.25</v>
      </c>
      <c r="AW216" s="10" t="s">
        <v>105</v>
      </c>
      <c r="AX216" s="17">
        <v>7407</v>
      </c>
      <c r="AY216" s="18">
        <v>21.53151634763169</v>
      </c>
      <c r="AZ216" s="10" t="s">
        <v>136</v>
      </c>
      <c r="BA216" s="20" t="b">
        <v>0</v>
      </c>
      <c r="BB216" s="10"/>
      <c r="BC216" s="17">
        <v>45508</v>
      </c>
      <c r="BD216" s="17">
        <v>28628</v>
      </c>
      <c r="BE216" s="17">
        <v>616404.25</v>
      </c>
      <c r="BF216" s="17">
        <v>41.25</v>
      </c>
      <c r="BG216" s="11">
        <f ca="1">IFERROR(__xludf.DUMMYFUNCTION("""COMPUTED_VALUE"""),46025.9166666666)</f>
        <v>46025.916666666599</v>
      </c>
      <c r="BH216" s="17" t="s">
        <v>105</v>
      </c>
      <c r="BI216" s="17"/>
      <c r="BJ216" s="15"/>
      <c r="BK216" s="15"/>
      <c r="BL216" s="13" t="b">
        <v>1</v>
      </c>
      <c r="BM216" s="10"/>
      <c r="BN216" s="10" t="s">
        <v>351</v>
      </c>
      <c r="BO216" s="11">
        <v>45827.42083333333</v>
      </c>
      <c r="BP216" s="11">
        <v>46019.591863425929</v>
      </c>
      <c r="BQ216" s="15">
        <v>46019.77784722222</v>
      </c>
      <c r="BR216" s="15">
        <v>46020.701192129629</v>
      </c>
      <c r="BS216" s="10"/>
      <c r="BT216" s="10" t="s">
        <v>279</v>
      </c>
      <c r="BU216" s="10" t="s">
        <v>534</v>
      </c>
      <c r="BV216" s="10"/>
      <c r="BW216" s="10"/>
      <c r="BX216" s="10"/>
      <c r="BY216" s="23"/>
      <c r="BZ216" s="24" t="s">
        <v>299</v>
      </c>
      <c r="CA216" s="19" t="s">
        <v>2395</v>
      </c>
      <c r="CB216" s="19" t="s">
        <v>2396</v>
      </c>
      <c r="CC216" s="23"/>
      <c r="CD216" s="19" t="s">
        <v>2397</v>
      </c>
      <c r="CE216" s="23"/>
      <c r="CF216" s="23"/>
      <c r="CG216" s="23"/>
      <c r="CH216" s="23"/>
      <c r="CI216" s="23"/>
    </row>
    <row r="217" spans="1:87" x14ac:dyDescent="0.3">
      <c r="A217" s="9" t="s">
        <v>2398</v>
      </c>
      <c r="B217" s="10" t="s">
        <v>2399</v>
      </c>
      <c r="C217" s="11">
        <v>46030.104166666664</v>
      </c>
      <c r="D217" s="12">
        <v>8.3333333333333329E-2</v>
      </c>
      <c r="E217" s="11">
        <v>46030.1875</v>
      </c>
      <c r="F217" s="10" t="s">
        <v>262</v>
      </c>
      <c r="G217" s="13" t="b">
        <v>0</v>
      </c>
      <c r="H217" s="10" t="s">
        <v>527</v>
      </c>
      <c r="I217" s="10" t="s">
        <v>264</v>
      </c>
      <c r="J217" s="13" t="b">
        <v>0</v>
      </c>
      <c r="K217" s="13" t="b">
        <v>1</v>
      </c>
      <c r="L217" s="10" t="s">
        <v>124</v>
      </c>
      <c r="M217" s="10" t="s">
        <v>91</v>
      </c>
      <c r="N217" s="10" t="s">
        <v>265</v>
      </c>
      <c r="O217" s="19" t="s">
        <v>2400</v>
      </c>
      <c r="P217" s="10"/>
      <c r="Q217" s="10" t="s">
        <v>126</v>
      </c>
      <c r="R217" s="10"/>
      <c r="S217" s="19" t="s">
        <v>2401</v>
      </c>
      <c r="T217" s="10"/>
      <c r="U217" s="10" t="s">
        <v>271</v>
      </c>
      <c r="V217" s="10" t="s">
        <v>429</v>
      </c>
      <c r="W217" s="10" t="s">
        <v>272</v>
      </c>
      <c r="X217" s="10" t="s">
        <v>130</v>
      </c>
      <c r="Y217" s="10" t="s">
        <v>130</v>
      </c>
      <c r="Z217" s="10" t="s">
        <v>99</v>
      </c>
      <c r="AA217" s="10" t="s">
        <v>131</v>
      </c>
      <c r="AB217" s="10" t="s">
        <v>273</v>
      </c>
      <c r="AC217" s="10" t="s">
        <v>274</v>
      </c>
      <c r="AD217" s="10" t="s">
        <v>2402</v>
      </c>
      <c r="AE217" s="10" t="s">
        <v>2403</v>
      </c>
      <c r="AF217" s="15"/>
      <c r="AG217" s="10"/>
      <c r="AH217" s="10"/>
      <c r="AI217" s="10"/>
      <c r="AJ217" s="10" t="s">
        <v>2404</v>
      </c>
      <c r="AK217" s="10" t="s">
        <v>102</v>
      </c>
      <c r="AL217" s="10" t="s">
        <v>2405</v>
      </c>
      <c r="AM217" s="10"/>
      <c r="AN217" s="10"/>
      <c r="AO217" s="13" t="b">
        <v>1</v>
      </c>
      <c r="AP217" s="10" t="s">
        <v>104</v>
      </c>
      <c r="AQ217" s="10">
        <f ca="1">IFERROR(__xludf.DUMMYFUNCTION("""COMPUTED_VALUE"""),4830774)</f>
        <v>4830774</v>
      </c>
      <c r="AR217" s="17">
        <v>13216</v>
      </c>
      <c r="AS217" s="17">
        <v>7833</v>
      </c>
      <c r="AT217" s="17">
        <v>60956.25</v>
      </c>
      <c r="AU217" s="17">
        <v>9.9499999999999993</v>
      </c>
      <c r="AV217" s="17">
        <v>2.35</v>
      </c>
      <c r="AW217" s="10" t="s">
        <v>105</v>
      </c>
      <c r="AX217" s="17">
        <v>1995</v>
      </c>
      <c r="AY217" s="18">
        <v>7.7819800842589046</v>
      </c>
      <c r="AZ217" s="10" t="s">
        <v>2099</v>
      </c>
      <c r="BA217" s="20" t="b">
        <v>0</v>
      </c>
      <c r="BB217" s="10"/>
      <c r="BC217" s="17">
        <v>13216</v>
      </c>
      <c r="BD217" s="17">
        <v>7833</v>
      </c>
      <c r="BE217" s="17">
        <v>60956.25</v>
      </c>
      <c r="BF217" s="17">
        <v>2.35</v>
      </c>
      <c r="BG217" s="11">
        <f ca="1">IFERROR(__xludf.DUMMYFUNCTION("""COMPUTED_VALUE"""),46030.1041666666)</f>
        <v>46030.104166666599</v>
      </c>
      <c r="BH217" s="17" t="s">
        <v>105</v>
      </c>
      <c r="BI217" s="17"/>
      <c r="BJ217" s="15"/>
      <c r="BK217" s="15"/>
      <c r="BL217" s="13" t="b">
        <v>1</v>
      </c>
      <c r="BM217" s="10"/>
      <c r="BN217" s="10" t="s">
        <v>351</v>
      </c>
      <c r="BO217" s="11">
        <v>45827.42083333333</v>
      </c>
      <c r="BP217" s="11">
        <v>46024.728761574072</v>
      </c>
      <c r="BQ217" s="15">
        <v>46020.691689814812</v>
      </c>
      <c r="BR217" s="15">
        <v>46027.429351851853</v>
      </c>
      <c r="BS217" s="10"/>
      <c r="BT217" s="10" t="s">
        <v>279</v>
      </c>
      <c r="BU217" s="10" t="s">
        <v>2406</v>
      </c>
      <c r="BV217" s="10"/>
      <c r="BW217" s="10"/>
      <c r="BX217" s="10"/>
      <c r="BY217" s="23"/>
      <c r="BZ217" s="24" t="s">
        <v>284</v>
      </c>
      <c r="CA217" s="19" t="s">
        <v>2407</v>
      </c>
      <c r="CB217" s="19" t="s">
        <v>2408</v>
      </c>
      <c r="CC217" s="23"/>
      <c r="CD217" s="19" t="s">
        <v>2409</v>
      </c>
      <c r="CE217" s="23"/>
      <c r="CF217" s="23"/>
      <c r="CG217" s="23"/>
      <c r="CH217" s="23"/>
      <c r="CI217" s="23"/>
    </row>
    <row r="218" spans="1:87" x14ac:dyDescent="0.3">
      <c r="A218" s="9" t="s">
        <v>2410</v>
      </c>
      <c r="B218" s="10" t="s">
        <v>2411</v>
      </c>
      <c r="C218" s="11">
        <v>46031.125</v>
      </c>
      <c r="D218" s="12">
        <v>8.3333333333333329E-2</v>
      </c>
      <c r="E218" s="11">
        <v>46031.208333333336</v>
      </c>
      <c r="F218" s="10" t="s">
        <v>262</v>
      </c>
      <c r="G218" s="13" t="b">
        <v>0</v>
      </c>
      <c r="H218" s="10" t="s">
        <v>263</v>
      </c>
      <c r="I218" s="10" t="s">
        <v>264</v>
      </c>
      <c r="J218" s="13" t="b">
        <v>0</v>
      </c>
      <c r="K218" s="13" t="b">
        <v>1</v>
      </c>
      <c r="L218" s="10" t="s">
        <v>124</v>
      </c>
      <c r="M218" s="10" t="s">
        <v>91</v>
      </c>
      <c r="N218" s="10" t="s">
        <v>265</v>
      </c>
      <c r="O218" s="19" t="s">
        <v>2412</v>
      </c>
      <c r="P218" s="10" t="s">
        <v>267</v>
      </c>
      <c r="Q218" s="10" t="s">
        <v>126</v>
      </c>
      <c r="R218" s="10"/>
      <c r="S218" s="19" t="s">
        <v>2413</v>
      </c>
      <c r="T218" s="10"/>
      <c r="U218" s="10" t="s">
        <v>362</v>
      </c>
      <c r="V218" s="10" t="s">
        <v>270</v>
      </c>
      <c r="W218" s="10" t="s">
        <v>272</v>
      </c>
      <c r="X218" s="10" t="s">
        <v>130</v>
      </c>
      <c r="Y218" s="10" t="s">
        <v>130</v>
      </c>
      <c r="Z218" s="10" t="s">
        <v>99</v>
      </c>
      <c r="AA218" s="10" t="s">
        <v>131</v>
      </c>
      <c r="AB218" s="10" t="s">
        <v>273</v>
      </c>
      <c r="AC218" s="10" t="s">
        <v>274</v>
      </c>
      <c r="AD218" s="10" t="s">
        <v>2414</v>
      </c>
      <c r="AE218" s="10" t="s">
        <v>2415</v>
      </c>
      <c r="AF218" s="15"/>
      <c r="AG218" s="10"/>
      <c r="AH218" s="10"/>
      <c r="AI218" s="10"/>
      <c r="AJ218" s="10" t="s">
        <v>2416</v>
      </c>
      <c r="AK218" s="10" t="s">
        <v>102</v>
      </c>
      <c r="AL218" s="10" t="s">
        <v>2405</v>
      </c>
      <c r="AM218" s="10"/>
      <c r="AN218" s="10"/>
      <c r="AO218" s="13" t="b">
        <v>1</v>
      </c>
      <c r="AP218" s="10" t="s">
        <v>104</v>
      </c>
      <c r="AQ218" s="10">
        <f ca="1">IFERROR(__xludf.DUMMYFUNCTION("""COMPUTED_VALUE"""),4832228)</f>
        <v>4832228</v>
      </c>
      <c r="AR218" s="17">
        <v>129062</v>
      </c>
      <c r="AS218" s="17">
        <v>77476</v>
      </c>
      <c r="AT218" s="17">
        <v>4658335</v>
      </c>
      <c r="AU218" s="17">
        <v>1201.05</v>
      </c>
      <c r="AV218" s="17">
        <v>249.8</v>
      </c>
      <c r="AW218" s="10" t="s">
        <v>105</v>
      </c>
      <c r="AX218" s="17">
        <v>49003</v>
      </c>
      <c r="AY218" s="18">
        <v>60.126168103670814</v>
      </c>
      <c r="AZ218" s="10" t="s">
        <v>2099</v>
      </c>
      <c r="BA218" s="20" t="b">
        <v>0</v>
      </c>
      <c r="BB218" s="10"/>
      <c r="BC218" s="17">
        <v>129062</v>
      </c>
      <c r="BD218" s="17">
        <v>77476</v>
      </c>
      <c r="BE218" s="17">
        <v>4658335</v>
      </c>
      <c r="BF218" s="17">
        <v>249.8</v>
      </c>
      <c r="BG218" s="11">
        <f ca="1">IFERROR(__xludf.DUMMYFUNCTION("""COMPUTED_VALUE"""),46031.125)</f>
        <v>46031.125</v>
      </c>
      <c r="BH218" s="17" t="s">
        <v>105</v>
      </c>
      <c r="BI218" s="17"/>
      <c r="BJ218" s="15"/>
      <c r="BK218" s="15"/>
      <c r="BL218" s="13" t="b">
        <v>1</v>
      </c>
      <c r="BM218" s="10"/>
      <c r="BN218" s="10" t="s">
        <v>351</v>
      </c>
      <c r="BO218" s="11">
        <v>45827.42083333333</v>
      </c>
      <c r="BP218" s="11">
        <v>46021.671331018515</v>
      </c>
      <c r="BQ218" s="15">
        <v>46020.694791666669</v>
      </c>
      <c r="BR218" s="15">
        <v>46029.378622685188</v>
      </c>
      <c r="BS218" s="10"/>
      <c r="BT218" s="10" t="s">
        <v>279</v>
      </c>
      <c r="BU218" s="10" t="s">
        <v>421</v>
      </c>
      <c r="BV218" s="10" t="s">
        <v>281</v>
      </c>
      <c r="BW218" s="10" t="s">
        <v>2100</v>
      </c>
      <c r="BX218" s="10"/>
      <c r="BY218" s="23"/>
      <c r="BZ218" s="24" t="s">
        <v>368</v>
      </c>
      <c r="CA218" s="19" t="s">
        <v>2417</v>
      </c>
      <c r="CB218" s="19" t="s">
        <v>2418</v>
      </c>
      <c r="CC218" s="23"/>
      <c r="CD218" s="19" t="s">
        <v>2419</v>
      </c>
      <c r="CE218" s="23"/>
      <c r="CF218" s="23"/>
      <c r="CG218" s="23"/>
      <c r="CH218" s="23"/>
      <c r="CI218" s="23"/>
    </row>
    <row r="219" spans="1:87" x14ac:dyDescent="0.3">
      <c r="A219" s="9" t="s">
        <v>2420</v>
      </c>
      <c r="B219" s="10" t="s">
        <v>2421</v>
      </c>
      <c r="C219" s="11">
        <v>46030.104166666664</v>
      </c>
      <c r="D219" s="12">
        <v>8.3333333333333329E-2</v>
      </c>
      <c r="E219" s="11">
        <v>46030.1875</v>
      </c>
      <c r="F219" s="10" t="s">
        <v>262</v>
      </c>
      <c r="G219" s="13" t="b">
        <v>0</v>
      </c>
      <c r="H219" s="10" t="s">
        <v>527</v>
      </c>
      <c r="I219" s="10" t="s">
        <v>264</v>
      </c>
      <c r="J219" s="13" t="b">
        <v>0</v>
      </c>
      <c r="K219" s="13" t="b">
        <v>1</v>
      </c>
      <c r="L219" s="10" t="s">
        <v>124</v>
      </c>
      <c r="M219" s="10" t="s">
        <v>91</v>
      </c>
      <c r="N219" s="10" t="s">
        <v>265</v>
      </c>
      <c r="O219" s="19" t="s">
        <v>2422</v>
      </c>
      <c r="P219" s="10"/>
      <c r="Q219" s="10" t="s">
        <v>126</v>
      </c>
      <c r="R219" s="10"/>
      <c r="S219" s="19" t="s">
        <v>2423</v>
      </c>
      <c r="T219" s="10"/>
      <c r="U219" s="10" t="s">
        <v>321</v>
      </c>
      <c r="V219" s="10" t="s">
        <v>588</v>
      </c>
      <c r="W219" s="10" t="s">
        <v>272</v>
      </c>
      <c r="X219" s="10" t="s">
        <v>130</v>
      </c>
      <c r="Y219" s="10" t="s">
        <v>130</v>
      </c>
      <c r="Z219" s="10" t="s">
        <v>99</v>
      </c>
      <c r="AA219" s="10" t="s">
        <v>131</v>
      </c>
      <c r="AB219" s="10" t="s">
        <v>273</v>
      </c>
      <c r="AC219" s="10" t="s">
        <v>274</v>
      </c>
      <c r="AD219" s="10" t="s">
        <v>2424</v>
      </c>
      <c r="AE219" s="10" t="s">
        <v>2425</v>
      </c>
      <c r="AF219" s="15"/>
      <c r="AG219" s="10"/>
      <c r="AH219" s="10"/>
      <c r="AI219" s="10"/>
      <c r="AJ219" s="10" t="s">
        <v>2426</v>
      </c>
      <c r="AK219" s="10" t="s">
        <v>102</v>
      </c>
      <c r="AL219" s="10" t="s">
        <v>2405</v>
      </c>
      <c r="AM219" s="10"/>
      <c r="AN219" s="10"/>
      <c r="AO219" s="13" t="b">
        <v>0</v>
      </c>
      <c r="AP219" s="10" t="s">
        <v>104</v>
      </c>
      <c r="AQ219" s="10">
        <f ca="1">IFERROR(__xludf.DUMMYFUNCTION("""COMPUTED_VALUE"""),4830779)</f>
        <v>4830779</v>
      </c>
      <c r="AR219" s="17">
        <v>6868</v>
      </c>
      <c r="AS219" s="17">
        <v>4207</v>
      </c>
      <c r="AT219" s="17">
        <v>15155</v>
      </c>
      <c r="AU219" s="17">
        <v>1.95</v>
      </c>
      <c r="AV219" s="17">
        <v>1.2</v>
      </c>
      <c r="AW219" s="10" t="s">
        <v>105</v>
      </c>
      <c r="AX219" s="17">
        <v>726</v>
      </c>
      <c r="AY219" s="18">
        <v>3.6023294509151413</v>
      </c>
      <c r="AZ219" s="10" t="s">
        <v>2099</v>
      </c>
      <c r="BA219" s="20" t="b">
        <v>0</v>
      </c>
      <c r="BB219" s="10"/>
      <c r="BC219" s="17">
        <v>6868</v>
      </c>
      <c r="BD219" s="17">
        <v>4207</v>
      </c>
      <c r="BE219" s="17">
        <v>15155</v>
      </c>
      <c r="BF219" s="17">
        <v>1.2</v>
      </c>
      <c r="BG219" s="11">
        <f ca="1">IFERROR(__xludf.DUMMYFUNCTION("""COMPUTED_VALUE"""),46030.1041666666)</f>
        <v>46030.104166666599</v>
      </c>
      <c r="BH219" s="17" t="s">
        <v>105</v>
      </c>
      <c r="BI219" s="17"/>
      <c r="BJ219" s="15"/>
      <c r="BK219" s="15"/>
      <c r="BL219" s="13" t="b">
        <v>1</v>
      </c>
      <c r="BM219" s="10"/>
      <c r="BN219" s="10" t="s">
        <v>351</v>
      </c>
      <c r="BO219" s="11">
        <v>45827.42083333333</v>
      </c>
      <c r="BP219" s="11">
        <v>46024.727916666663</v>
      </c>
      <c r="BQ219" s="15">
        <v>46020.692071759258</v>
      </c>
      <c r="BR219" s="15">
        <v>46027.429467592592</v>
      </c>
      <c r="BS219" s="10"/>
      <c r="BT219" s="10" t="s">
        <v>279</v>
      </c>
      <c r="BU219" s="10" t="s">
        <v>2427</v>
      </c>
      <c r="BV219" s="10"/>
      <c r="BW219" s="10"/>
      <c r="BX219" s="10"/>
      <c r="BY219" s="23"/>
      <c r="BZ219" s="24" t="s">
        <v>299</v>
      </c>
      <c r="CA219" s="19" t="s">
        <v>2428</v>
      </c>
      <c r="CB219" s="19" t="s">
        <v>2429</v>
      </c>
      <c r="CC219" s="23"/>
      <c r="CD219" s="19" t="s">
        <v>2430</v>
      </c>
      <c r="CE219" s="23"/>
      <c r="CF219" s="23"/>
      <c r="CG219" s="23"/>
      <c r="CH219" s="23"/>
      <c r="CI219" s="23"/>
    </row>
    <row r="220" spans="1:87" x14ac:dyDescent="0.3">
      <c r="A220" s="9" t="s">
        <v>2431</v>
      </c>
      <c r="B220" s="10" t="s">
        <v>2432</v>
      </c>
      <c r="C220" s="11">
        <v>46030.135416666664</v>
      </c>
      <c r="D220" s="12">
        <v>8.3333333333333329E-2</v>
      </c>
      <c r="E220" s="11">
        <v>46030.21875</v>
      </c>
      <c r="F220" s="10" t="s">
        <v>262</v>
      </c>
      <c r="G220" s="13" t="b">
        <v>0</v>
      </c>
      <c r="H220" s="10" t="s">
        <v>305</v>
      </c>
      <c r="I220" s="10" t="s">
        <v>264</v>
      </c>
      <c r="J220" s="13" t="b">
        <v>0</v>
      </c>
      <c r="K220" s="13" t="b">
        <v>1</v>
      </c>
      <c r="L220" s="10" t="s">
        <v>124</v>
      </c>
      <c r="M220" s="10" t="s">
        <v>91</v>
      </c>
      <c r="N220" s="10" t="s">
        <v>265</v>
      </c>
      <c r="O220" s="19" t="s">
        <v>2433</v>
      </c>
      <c r="P220" s="10" t="s">
        <v>267</v>
      </c>
      <c r="Q220" s="10" t="s">
        <v>126</v>
      </c>
      <c r="R220" s="10"/>
      <c r="S220" s="19" t="s">
        <v>2434</v>
      </c>
      <c r="T220" s="10"/>
      <c r="U220" s="10" t="s">
        <v>609</v>
      </c>
      <c r="V220" s="10" t="s">
        <v>361</v>
      </c>
      <c r="W220" s="10" t="s">
        <v>272</v>
      </c>
      <c r="X220" s="10" t="s">
        <v>130</v>
      </c>
      <c r="Y220" s="10" t="s">
        <v>130</v>
      </c>
      <c r="Z220" s="10" t="s">
        <v>99</v>
      </c>
      <c r="AA220" s="10" t="s">
        <v>131</v>
      </c>
      <c r="AB220" s="10" t="s">
        <v>273</v>
      </c>
      <c r="AC220" s="10" t="s">
        <v>274</v>
      </c>
      <c r="AD220" s="10" t="s">
        <v>2435</v>
      </c>
      <c r="AE220" s="10" t="s">
        <v>2436</v>
      </c>
      <c r="AF220" s="15"/>
      <c r="AG220" s="10"/>
      <c r="AH220" s="10"/>
      <c r="AI220" s="10"/>
      <c r="AJ220" s="10" t="s">
        <v>2437</v>
      </c>
      <c r="AK220" s="10" t="s">
        <v>102</v>
      </c>
      <c r="AL220" s="10" t="s">
        <v>2405</v>
      </c>
      <c r="AM220" s="10"/>
      <c r="AN220" s="10"/>
      <c r="AO220" s="13" t="b">
        <v>1</v>
      </c>
      <c r="AP220" s="10" t="s">
        <v>104</v>
      </c>
      <c r="AQ220" s="10">
        <f ca="1">IFERROR(__xludf.DUMMYFUNCTION("""COMPUTED_VALUE"""),4831823)</f>
        <v>4831823</v>
      </c>
      <c r="AR220" s="17">
        <v>113518</v>
      </c>
      <c r="AS220" s="17">
        <v>59262</v>
      </c>
      <c r="AT220" s="17">
        <v>3220721.5</v>
      </c>
      <c r="AU220" s="17">
        <v>879.5</v>
      </c>
      <c r="AV220" s="17">
        <v>137.69999999999999</v>
      </c>
      <c r="AW220" s="10" t="s">
        <v>105</v>
      </c>
      <c r="AX220" s="17">
        <v>38647</v>
      </c>
      <c r="AY220" s="18">
        <v>54.347161756268775</v>
      </c>
      <c r="AZ220" s="10" t="s">
        <v>2099</v>
      </c>
      <c r="BA220" s="20" t="b">
        <v>0</v>
      </c>
      <c r="BB220" s="10"/>
      <c r="BC220" s="17">
        <v>113518</v>
      </c>
      <c r="BD220" s="17">
        <v>59262</v>
      </c>
      <c r="BE220" s="17">
        <v>3220721.5</v>
      </c>
      <c r="BF220" s="17">
        <v>137.69999999999999</v>
      </c>
      <c r="BG220" s="11">
        <f ca="1">IFERROR(__xludf.DUMMYFUNCTION("""COMPUTED_VALUE"""),46030.1354166666)</f>
        <v>46030.135416666599</v>
      </c>
      <c r="BH220" s="17" t="s">
        <v>105</v>
      </c>
      <c r="BI220" s="17"/>
      <c r="BJ220" s="15"/>
      <c r="BK220" s="15"/>
      <c r="BL220" s="13" t="b">
        <v>1</v>
      </c>
      <c r="BM220" s="10"/>
      <c r="BN220" s="10" t="s">
        <v>351</v>
      </c>
      <c r="BO220" s="11">
        <v>45827.42083333333</v>
      </c>
      <c r="BP220" s="11">
        <v>46028.401932870373</v>
      </c>
      <c r="BQ220" s="15">
        <v>46020.694039351853</v>
      </c>
      <c r="BR220" s="15">
        <v>46028.456400462965</v>
      </c>
      <c r="BS220" s="10"/>
      <c r="BT220" s="10" t="s">
        <v>279</v>
      </c>
      <c r="BU220" s="10" t="s">
        <v>1455</v>
      </c>
      <c r="BV220" s="10" t="s">
        <v>124</v>
      </c>
      <c r="BW220" s="10"/>
      <c r="BX220" s="10"/>
      <c r="BY220" s="23"/>
      <c r="BZ220" s="24" t="s">
        <v>284</v>
      </c>
      <c r="CA220" s="19" t="s">
        <v>2438</v>
      </c>
      <c r="CB220" s="19" t="s">
        <v>2439</v>
      </c>
      <c r="CC220" s="23"/>
      <c r="CD220" s="19" t="s">
        <v>2440</v>
      </c>
      <c r="CE220" s="23"/>
      <c r="CF220" s="23"/>
      <c r="CG220" s="23"/>
      <c r="CH220" s="23"/>
      <c r="CI220" s="23"/>
    </row>
    <row r="221" spans="1:87" x14ac:dyDescent="0.3">
      <c r="A221" s="9" t="s">
        <v>2441</v>
      </c>
      <c r="B221" s="10" t="s">
        <v>2442</v>
      </c>
      <c r="C221" s="11">
        <v>46030.104166666664</v>
      </c>
      <c r="D221" s="12">
        <v>8.3333333333333329E-2</v>
      </c>
      <c r="E221" s="11">
        <v>46030.1875</v>
      </c>
      <c r="F221" s="10" t="s">
        <v>262</v>
      </c>
      <c r="G221" s="13" t="b">
        <v>0</v>
      </c>
      <c r="H221" s="10" t="s">
        <v>527</v>
      </c>
      <c r="I221" s="10" t="s">
        <v>264</v>
      </c>
      <c r="J221" s="13" t="b">
        <v>0</v>
      </c>
      <c r="K221" s="13" t="b">
        <v>1</v>
      </c>
      <c r="L221" s="10" t="s">
        <v>124</v>
      </c>
      <c r="M221" s="10" t="s">
        <v>91</v>
      </c>
      <c r="N221" s="10" t="s">
        <v>265</v>
      </c>
      <c r="O221" s="19" t="s">
        <v>2443</v>
      </c>
      <c r="P221" s="10"/>
      <c r="Q221" s="10" t="s">
        <v>126</v>
      </c>
      <c r="R221" s="10"/>
      <c r="S221" s="19" t="s">
        <v>2444</v>
      </c>
      <c r="T221" s="10"/>
      <c r="U221" s="10" t="s">
        <v>347</v>
      </c>
      <c r="V221" s="10" t="s">
        <v>292</v>
      </c>
      <c r="W221" s="10" t="s">
        <v>272</v>
      </c>
      <c r="X221" s="10" t="s">
        <v>130</v>
      </c>
      <c r="Y221" s="10" t="s">
        <v>130</v>
      </c>
      <c r="Z221" s="10" t="s">
        <v>99</v>
      </c>
      <c r="AA221" s="10" t="s">
        <v>131</v>
      </c>
      <c r="AB221" s="10" t="s">
        <v>273</v>
      </c>
      <c r="AC221" s="10" t="s">
        <v>274</v>
      </c>
      <c r="AD221" s="10" t="s">
        <v>2445</v>
      </c>
      <c r="AE221" s="10" t="s">
        <v>2446</v>
      </c>
      <c r="AF221" s="15"/>
      <c r="AG221" s="10"/>
      <c r="AH221" s="10"/>
      <c r="AI221" s="10"/>
      <c r="AJ221" s="10" t="s">
        <v>2447</v>
      </c>
      <c r="AK221" s="10" t="s">
        <v>102</v>
      </c>
      <c r="AL221" s="10" t="s">
        <v>2405</v>
      </c>
      <c r="AM221" s="10"/>
      <c r="AN221" s="10"/>
      <c r="AO221" s="13" t="b">
        <v>0</v>
      </c>
      <c r="AP221" s="10" t="s">
        <v>104</v>
      </c>
      <c r="AQ221" s="10">
        <f ca="1">IFERROR(__xludf.DUMMYFUNCTION("""COMPUTED_VALUE"""),4830782)</f>
        <v>4830782</v>
      </c>
      <c r="AR221" s="17">
        <v>17599</v>
      </c>
      <c r="AS221" s="17">
        <v>9725</v>
      </c>
      <c r="AT221" s="17">
        <v>59167.5</v>
      </c>
      <c r="AU221" s="17">
        <v>12.9</v>
      </c>
      <c r="AV221" s="17">
        <v>0.75</v>
      </c>
      <c r="AW221" s="10" t="s">
        <v>105</v>
      </c>
      <c r="AX221" s="17">
        <v>2425</v>
      </c>
      <c r="AY221" s="18">
        <v>6.0840616966580976</v>
      </c>
      <c r="AZ221" s="10" t="s">
        <v>2099</v>
      </c>
      <c r="BA221" s="20" t="b">
        <v>0</v>
      </c>
      <c r="BB221" s="10"/>
      <c r="BC221" s="17">
        <v>17599</v>
      </c>
      <c r="BD221" s="17">
        <v>9725</v>
      </c>
      <c r="BE221" s="17">
        <v>59167.5</v>
      </c>
      <c r="BF221" s="17">
        <v>0.75</v>
      </c>
      <c r="BG221" s="11">
        <f ca="1">IFERROR(__xludf.DUMMYFUNCTION("""COMPUTED_VALUE"""),46030.1041666666)</f>
        <v>46030.104166666599</v>
      </c>
      <c r="BH221" s="17" t="s">
        <v>105</v>
      </c>
      <c r="BI221" s="17"/>
      <c r="BJ221" s="15"/>
      <c r="BK221" s="15"/>
      <c r="BL221" s="13" t="b">
        <v>1</v>
      </c>
      <c r="BM221" s="10"/>
      <c r="BN221" s="10" t="s">
        <v>351</v>
      </c>
      <c r="BO221" s="11">
        <v>45827.42083333333</v>
      </c>
      <c r="BP221" s="11">
        <v>46024.728831018518</v>
      </c>
      <c r="BQ221" s="15">
        <v>46020.692384259259</v>
      </c>
      <c r="BR221" s="15">
        <v>46027.429571759261</v>
      </c>
      <c r="BS221" s="10"/>
      <c r="BT221" s="10" t="s">
        <v>279</v>
      </c>
      <c r="BU221" s="10" t="s">
        <v>2448</v>
      </c>
      <c r="BV221" s="10"/>
      <c r="BW221" s="10"/>
      <c r="BX221" s="10"/>
      <c r="BY221" s="23"/>
      <c r="BZ221" s="24" t="s">
        <v>299</v>
      </c>
      <c r="CA221" s="19" t="s">
        <v>2449</v>
      </c>
      <c r="CB221" s="19" t="s">
        <v>2450</v>
      </c>
      <c r="CC221" s="23"/>
      <c r="CD221" s="19" t="s">
        <v>2451</v>
      </c>
      <c r="CE221" s="23"/>
      <c r="CF221" s="23"/>
      <c r="CG221" s="23"/>
      <c r="CH221" s="23"/>
      <c r="CI221" s="23"/>
    </row>
    <row r="222" spans="1:87" x14ac:dyDescent="0.3">
      <c r="A222" s="9" t="s">
        <v>2452</v>
      </c>
      <c r="B222" s="10" t="s">
        <v>2453</v>
      </c>
      <c r="C222" s="11">
        <v>46030.104166666664</v>
      </c>
      <c r="D222" s="12">
        <v>8.3333333333333329E-2</v>
      </c>
      <c r="E222" s="11">
        <v>46030.1875</v>
      </c>
      <c r="F222" s="10" t="s">
        <v>262</v>
      </c>
      <c r="G222" s="13" t="b">
        <v>0</v>
      </c>
      <c r="H222" s="10" t="s">
        <v>527</v>
      </c>
      <c r="I222" s="10" t="s">
        <v>264</v>
      </c>
      <c r="J222" s="13" t="b">
        <v>0</v>
      </c>
      <c r="K222" s="13" t="b">
        <v>1</v>
      </c>
      <c r="L222" s="10" t="s">
        <v>124</v>
      </c>
      <c r="M222" s="10" t="s">
        <v>91</v>
      </c>
      <c r="N222" s="10" t="s">
        <v>265</v>
      </c>
      <c r="O222" s="19" t="s">
        <v>2454</v>
      </c>
      <c r="P222" s="10"/>
      <c r="Q222" s="10" t="s">
        <v>126</v>
      </c>
      <c r="R222" s="10"/>
      <c r="S222" s="19" t="s">
        <v>2455</v>
      </c>
      <c r="T222" s="10"/>
      <c r="U222" s="10" t="s">
        <v>407</v>
      </c>
      <c r="V222" s="10" t="s">
        <v>333</v>
      </c>
      <c r="W222" s="10" t="s">
        <v>272</v>
      </c>
      <c r="X222" s="10" t="s">
        <v>130</v>
      </c>
      <c r="Y222" s="10" t="s">
        <v>130</v>
      </c>
      <c r="Z222" s="10" t="s">
        <v>99</v>
      </c>
      <c r="AA222" s="10" t="s">
        <v>131</v>
      </c>
      <c r="AB222" s="10" t="s">
        <v>273</v>
      </c>
      <c r="AC222" s="10" t="s">
        <v>274</v>
      </c>
      <c r="AD222" s="10" t="s">
        <v>2456</v>
      </c>
      <c r="AE222" s="10" t="s">
        <v>2457</v>
      </c>
      <c r="AF222" s="15"/>
      <c r="AG222" s="10"/>
      <c r="AH222" s="10"/>
      <c r="AI222" s="10"/>
      <c r="AJ222" s="10" t="s">
        <v>2458</v>
      </c>
      <c r="AK222" s="10" t="s">
        <v>102</v>
      </c>
      <c r="AL222" s="10" t="s">
        <v>2405</v>
      </c>
      <c r="AM222" s="10"/>
      <c r="AN222" s="10"/>
      <c r="AO222" s="13" t="b">
        <v>0</v>
      </c>
      <c r="AP222" s="10" t="s">
        <v>104</v>
      </c>
      <c r="AQ222" s="10">
        <f ca="1">IFERROR(__xludf.DUMMYFUNCTION("""COMPUTED_VALUE"""),4832158)</f>
        <v>4832158</v>
      </c>
      <c r="AR222" s="17">
        <v>6420</v>
      </c>
      <c r="AS222" s="17">
        <v>3878</v>
      </c>
      <c r="AT222" s="17">
        <v>17236</v>
      </c>
      <c r="AU222" s="17">
        <v>3.15</v>
      </c>
      <c r="AV222" s="17">
        <v>1</v>
      </c>
      <c r="AW222" s="10" t="s">
        <v>105</v>
      </c>
      <c r="AX222" s="17">
        <v>810</v>
      </c>
      <c r="AY222" s="18">
        <v>4.4445590510572464</v>
      </c>
      <c r="AZ222" s="10" t="s">
        <v>2099</v>
      </c>
      <c r="BA222" s="20" t="b">
        <v>0</v>
      </c>
      <c r="BB222" s="10"/>
      <c r="BC222" s="17">
        <v>6420</v>
      </c>
      <c r="BD222" s="17">
        <v>3878</v>
      </c>
      <c r="BE222" s="17">
        <v>17236</v>
      </c>
      <c r="BF222" s="17">
        <v>1</v>
      </c>
      <c r="BG222" s="11">
        <f ca="1">IFERROR(__xludf.DUMMYFUNCTION("""COMPUTED_VALUE"""),46030.1041666666)</f>
        <v>46030.104166666599</v>
      </c>
      <c r="BH222" s="17" t="s">
        <v>105</v>
      </c>
      <c r="BI222" s="17"/>
      <c r="BJ222" s="15"/>
      <c r="BK222" s="15"/>
      <c r="BL222" s="13" t="b">
        <v>1</v>
      </c>
      <c r="BM222" s="10"/>
      <c r="BN222" s="10" t="s">
        <v>351</v>
      </c>
      <c r="BO222" s="11">
        <v>45827.42083333333</v>
      </c>
      <c r="BP222" s="11">
        <v>46024.727824074071</v>
      </c>
      <c r="BQ222" s="15">
        <v>46020.692650462966</v>
      </c>
      <c r="BR222" s="15">
        <v>46028.497662037036</v>
      </c>
      <c r="BS222" s="10"/>
      <c r="BT222" s="10" t="s">
        <v>279</v>
      </c>
      <c r="BU222" s="10" t="s">
        <v>2459</v>
      </c>
      <c r="BV222" s="10"/>
      <c r="BW222" s="10"/>
      <c r="BX222" s="10"/>
      <c r="BY222" s="23"/>
      <c r="BZ222" s="24" t="s">
        <v>299</v>
      </c>
      <c r="CA222" s="19" t="s">
        <v>2460</v>
      </c>
      <c r="CB222" s="19" t="s">
        <v>2461</v>
      </c>
      <c r="CC222" s="23"/>
      <c r="CD222" s="19" t="s">
        <v>2462</v>
      </c>
      <c r="CE222" s="23"/>
      <c r="CF222" s="23"/>
      <c r="CG222" s="23"/>
      <c r="CH222" s="23"/>
      <c r="CI222" s="23"/>
    </row>
    <row r="223" spans="1:87" x14ac:dyDescent="0.3">
      <c r="A223" s="9" t="s">
        <v>2463</v>
      </c>
      <c r="B223" s="10" t="s">
        <v>2464</v>
      </c>
      <c r="C223" s="11">
        <v>46030.104166666664</v>
      </c>
      <c r="D223" s="12">
        <v>8.3333333333333329E-2</v>
      </c>
      <c r="E223" s="11">
        <v>46030.1875</v>
      </c>
      <c r="F223" s="10" t="s">
        <v>262</v>
      </c>
      <c r="G223" s="13" t="b">
        <v>0</v>
      </c>
      <c r="H223" s="10" t="s">
        <v>527</v>
      </c>
      <c r="I223" s="10" t="s">
        <v>264</v>
      </c>
      <c r="J223" s="13" t="b">
        <v>0</v>
      </c>
      <c r="K223" s="13" t="b">
        <v>1</v>
      </c>
      <c r="L223" s="10" t="s">
        <v>124</v>
      </c>
      <c r="M223" s="10" t="s">
        <v>91</v>
      </c>
      <c r="N223" s="10" t="s">
        <v>265</v>
      </c>
      <c r="O223" s="19" t="s">
        <v>2465</v>
      </c>
      <c r="P223" s="10" t="s">
        <v>2466</v>
      </c>
      <c r="Q223" s="10" t="s">
        <v>126</v>
      </c>
      <c r="R223" s="10"/>
      <c r="S223" s="19" t="s">
        <v>2467</v>
      </c>
      <c r="T223" s="10"/>
      <c r="U223" s="10" t="s">
        <v>309</v>
      </c>
      <c r="V223" s="10" t="s">
        <v>346</v>
      </c>
      <c r="W223" s="10" t="s">
        <v>272</v>
      </c>
      <c r="X223" s="10" t="s">
        <v>130</v>
      </c>
      <c r="Y223" s="10" t="s">
        <v>130</v>
      </c>
      <c r="Z223" s="10" t="s">
        <v>99</v>
      </c>
      <c r="AA223" s="10" t="s">
        <v>131</v>
      </c>
      <c r="AB223" s="10" t="s">
        <v>273</v>
      </c>
      <c r="AC223" s="10" t="s">
        <v>274</v>
      </c>
      <c r="AD223" s="10" t="s">
        <v>2468</v>
      </c>
      <c r="AE223" s="10" t="s">
        <v>2469</v>
      </c>
      <c r="AF223" s="15"/>
      <c r="AG223" s="10"/>
      <c r="AH223" s="10"/>
      <c r="AI223" s="10"/>
      <c r="AJ223" s="10" t="s">
        <v>2470</v>
      </c>
      <c r="AK223" s="10" t="s">
        <v>102</v>
      </c>
      <c r="AL223" s="10" t="s">
        <v>2405</v>
      </c>
      <c r="AM223" s="10"/>
      <c r="AN223" s="10"/>
      <c r="AO223" s="13" t="b">
        <v>1</v>
      </c>
      <c r="AP223" s="10" t="s">
        <v>104</v>
      </c>
      <c r="AQ223" s="10">
        <f ca="1">IFERROR(__xludf.DUMMYFUNCTION("""COMPUTED_VALUE"""),4831837)</f>
        <v>4831837</v>
      </c>
      <c r="AR223" s="17">
        <v>45153</v>
      </c>
      <c r="AS223" s="17">
        <v>26160</v>
      </c>
      <c r="AT223" s="17">
        <v>577932</v>
      </c>
      <c r="AU223" s="17">
        <v>151.55000000000001</v>
      </c>
      <c r="AV223" s="17">
        <v>11.25</v>
      </c>
      <c r="AW223" s="10" t="s">
        <v>105</v>
      </c>
      <c r="AX223" s="17">
        <v>8385</v>
      </c>
      <c r="AY223" s="18">
        <v>22.092201834862387</v>
      </c>
      <c r="AZ223" s="10" t="s">
        <v>2099</v>
      </c>
      <c r="BA223" s="20" t="b">
        <v>0</v>
      </c>
      <c r="BB223" s="10"/>
      <c r="BC223" s="17">
        <v>45153</v>
      </c>
      <c r="BD223" s="17">
        <v>26160</v>
      </c>
      <c r="BE223" s="17">
        <v>577932</v>
      </c>
      <c r="BF223" s="17">
        <v>11.25</v>
      </c>
      <c r="BG223" s="11">
        <f ca="1">IFERROR(__xludf.DUMMYFUNCTION("""COMPUTED_VALUE"""),46030.1041666666)</f>
        <v>46030.104166666599</v>
      </c>
      <c r="BH223" s="17" t="s">
        <v>105</v>
      </c>
      <c r="BI223" s="17"/>
      <c r="BJ223" s="15"/>
      <c r="BK223" s="15"/>
      <c r="BL223" s="13" t="b">
        <v>0</v>
      </c>
      <c r="BM223" s="10"/>
      <c r="BN223" s="10" t="s">
        <v>197</v>
      </c>
      <c r="BO223" s="11">
        <v>45827.42083333333</v>
      </c>
      <c r="BP223" s="11">
        <v>46028.402349537035</v>
      </c>
      <c r="BQ223" s="15">
        <v>46020.692928240744</v>
      </c>
      <c r="BR223" s="15">
        <v>46028.464930555558</v>
      </c>
      <c r="BS223" s="10" t="s">
        <v>197</v>
      </c>
      <c r="BT223" s="10" t="s">
        <v>279</v>
      </c>
      <c r="BU223" s="10" t="s">
        <v>1444</v>
      </c>
      <c r="BV223" s="10" t="s">
        <v>124</v>
      </c>
      <c r="BW223" s="10"/>
      <c r="BX223" s="10"/>
      <c r="BY223" s="23"/>
      <c r="BZ223" s="24" t="s">
        <v>284</v>
      </c>
      <c r="CA223" s="19" t="s">
        <v>2471</v>
      </c>
      <c r="CB223" s="19" t="s">
        <v>2472</v>
      </c>
      <c r="CC223" s="23"/>
      <c r="CD223" s="19" t="s">
        <v>2473</v>
      </c>
      <c r="CE223" s="23"/>
      <c r="CF223" s="23"/>
      <c r="CG223" s="23"/>
      <c r="CH223" s="23"/>
      <c r="CI223" s="23"/>
    </row>
    <row r="224" spans="1:87" x14ac:dyDescent="0.3">
      <c r="A224" s="25" t="s">
        <v>2474</v>
      </c>
      <c r="B224" s="10" t="s">
        <v>2475</v>
      </c>
      <c r="C224" s="11">
        <v>46030.104166666664</v>
      </c>
      <c r="D224" s="12">
        <v>8.3333333333333329E-2</v>
      </c>
      <c r="E224" s="11">
        <v>46030.1875</v>
      </c>
      <c r="F224" s="10" t="s">
        <v>262</v>
      </c>
      <c r="G224" s="13" t="b">
        <v>0</v>
      </c>
      <c r="H224" s="10" t="s">
        <v>263</v>
      </c>
      <c r="I224" s="10" t="s">
        <v>264</v>
      </c>
      <c r="J224" s="13" t="b">
        <v>0</v>
      </c>
      <c r="K224" s="13" t="b">
        <v>1</v>
      </c>
      <c r="L224" s="10" t="s">
        <v>124</v>
      </c>
      <c r="M224" s="10" t="s">
        <v>91</v>
      </c>
      <c r="N224" s="10" t="s">
        <v>265</v>
      </c>
      <c r="O224" s="19" t="s">
        <v>2476</v>
      </c>
      <c r="P224" s="10" t="s">
        <v>267</v>
      </c>
      <c r="Q224" s="10" t="s">
        <v>126</v>
      </c>
      <c r="R224" s="10"/>
      <c r="S224" s="19" t="s">
        <v>2477</v>
      </c>
      <c r="T224" s="10"/>
      <c r="U224" s="10" t="s">
        <v>334</v>
      </c>
      <c r="V224" s="10" t="s">
        <v>308</v>
      </c>
      <c r="W224" s="10" t="s">
        <v>272</v>
      </c>
      <c r="X224" s="10" t="s">
        <v>130</v>
      </c>
      <c r="Y224" s="10" t="s">
        <v>130</v>
      </c>
      <c r="Z224" s="10" t="s">
        <v>99</v>
      </c>
      <c r="AA224" s="10" t="s">
        <v>131</v>
      </c>
      <c r="AB224" s="10" t="s">
        <v>273</v>
      </c>
      <c r="AC224" s="10" t="s">
        <v>274</v>
      </c>
      <c r="AD224" s="10" t="s">
        <v>2478</v>
      </c>
      <c r="AE224" s="10" t="s">
        <v>2479</v>
      </c>
      <c r="AF224" s="15"/>
      <c r="AG224" s="10"/>
      <c r="AH224" s="10"/>
      <c r="AI224" s="10"/>
      <c r="AJ224" s="10" t="s">
        <v>2480</v>
      </c>
      <c r="AK224" s="10" t="s">
        <v>102</v>
      </c>
      <c r="AL224" s="10" t="s">
        <v>2405</v>
      </c>
      <c r="AM224" s="10"/>
      <c r="AN224" s="10"/>
      <c r="AO224" s="13" t="b">
        <v>1</v>
      </c>
      <c r="AP224" s="10" t="s">
        <v>104</v>
      </c>
      <c r="AQ224" s="10">
        <f ca="1">IFERROR(__xludf.DUMMYFUNCTION("""COMPUTED_VALUE"""),4831827)</f>
        <v>4831827</v>
      </c>
      <c r="AR224" s="17">
        <v>58051</v>
      </c>
      <c r="AS224" s="17">
        <v>32696</v>
      </c>
      <c r="AT224" s="17">
        <v>877845.5</v>
      </c>
      <c r="AU224" s="17">
        <v>202.45</v>
      </c>
      <c r="AV224" s="17">
        <v>16.7</v>
      </c>
      <c r="AW224" s="10" t="s">
        <v>105</v>
      </c>
      <c r="AX224" s="17">
        <v>12623</v>
      </c>
      <c r="AY224" s="18">
        <v>26.848712380719356</v>
      </c>
      <c r="AZ224" s="10" t="s">
        <v>2099</v>
      </c>
      <c r="BA224" s="20" t="b">
        <v>0</v>
      </c>
      <c r="BB224" s="10"/>
      <c r="BC224" s="17">
        <v>58051</v>
      </c>
      <c r="BD224" s="17">
        <v>32696</v>
      </c>
      <c r="BE224" s="17">
        <v>877845.5</v>
      </c>
      <c r="BF224" s="17">
        <v>16.7</v>
      </c>
      <c r="BG224" s="11">
        <f ca="1">IFERROR(__xludf.DUMMYFUNCTION("""COMPUTED_VALUE"""),46030.1041666666)</f>
        <v>46030.104166666599</v>
      </c>
      <c r="BH224" s="17" t="s">
        <v>105</v>
      </c>
      <c r="BI224" s="17"/>
      <c r="BJ224" s="15"/>
      <c r="BK224" s="15"/>
      <c r="BL224" s="13" t="b">
        <v>1</v>
      </c>
      <c r="BM224" s="10"/>
      <c r="BN224" s="10" t="s">
        <v>351</v>
      </c>
      <c r="BO224" s="11">
        <v>45827.42083333333</v>
      </c>
      <c r="BP224" s="11">
        <v>46028.402083333334</v>
      </c>
      <c r="BQ224" s="15">
        <v>46020.693749999999</v>
      </c>
      <c r="BR224" s="15">
        <v>46028.456863425927</v>
      </c>
      <c r="BS224" s="10"/>
      <c r="BT224" s="10" t="s">
        <v>279</v>
      </c>
      <c r="BU224" s="10" t="s">
        <v>1402</v>
      </c>
      <c r="BV224" s="10"/>
      <c r="BW224" s="10"/>
      <c r="BX224" s="10"/>
      <c r="BY224" s="23"/>
      <c r="BZ224" s="24" t="s">
        <v>284</v>
      </c>
      <c r="CA224" s="19" t="s">
        <v>2481</v>
      </c>
      <c r="CB224" s="19" t="s">
        <v>2482</v>
      </c>
      <c r="CC224" s="23"/>
      <c r="CD224" s="19" t="s">
        <v>2483</v>
      </c>
      <c r="CE224" s="23"/>
      <c r="CF224" s="23"/>
      <c r="CG224" s="23"/>
      <c r="CH224" s="23"/>
      <c r="CI224" s="23"/>
    </row>
    <row r="225" spans="1:87" x14ac:dyDescent="0.3">
      <c r="A225" s="9" t="s">
        <v>2484</v>
      </c>
      <c r="B225" s="10" t="s">
        <v>2485</v>
      </c>
      <c r="C225" s="11">
        <v>46030.135416666664</v>
      </c>
      <c r="D225" s="12">
        <v>8.3333333333333329E-2</v>
      </c>
      <c r="E225" s="11">
        <v>46030.21875</v>
      </c>
      <c r="F225" s="10" t="s">
        <v>262</v>
      </c>
      <c r="G225" s="13" t="b">
        <v>0</v>
      </c>
      <c r="H225" s="10" t="s">
        <v>527</v>
      </c>
      <c r="I225" s="10" t="s">
        <v>264</v>
      </c>
      <c r="J225" s="13" t="b">
        <v>0</v>
      </c>
      <c r="K225" s="13" t="b">
        <v>1</v>
      </c>
      <c r="L225" s="10" t="s">
        <v>124</v>
      </c>
      <c r="M225" s="10" t="s">
        <v>91</v>
      </c>
      <c r="N225" s="10" t="s">
        <v>265</v>
      </c>
      <c r="O225" s="19" t="s">
        <v>2486</v>
      </c>
      <c r="P225" s="10"/>
      <c r="Q225" s="10" t="s">
        <v>126</v>
      </c>
      <c r="R225" s="10"/>
      <c r="S225" s="19" t="s">
        <v>2487</v>
      </c>
      <c r="T225" s="10"/>
      <c r="U225" s="10" t="s">
        <v>293</v>
      </c>
      <c r="V225" s="10" t="s">
        <v>663</v>
      </c>
      <c r="W225" s="10" t="s">
        <v>272</v>
      </c>
      <c r="X225" s="10" t="s">
        <v>130</v>
      </c>
      <c r="Y225" s="10" t="s">
        <v>130</v>
      </c>
      <c r="Z225" s="10" t="s">
        <v>99</v>
      </c>
      <c r="AA225" s="10" t="s">
        <v>131</v>
      </c>
      <c r="AB225" s="10" t="s">
        <v>273</v>
      </c>
      <c r="AC225" s="10" t="s">
        <v>274</v>
      </c>
      <c r="AD225" s="10" t="s">
        <v>2488</v>
      </c>
      <c r="AE225" s="10" t="s">
        <v>2489</v>
      </c>
      <c r="AF225" s="15"/>
      <c r="AG225" s="10"/>
      <c r="AH225" s="10"/>
      <c r="AI225" s="10"/>
      <c r="AJ225" s="10" t="s">
        <v>2490</v>
      </c>
      <c r="AK225" s="10" t="s">
        <v>102</v>
      </c>
      <c r="AL225" s="10" t="s">
        <v>2405</v>
      </c>
      <c r="AM225" s="10"/>
      <c r="AN225" s="10"/>
      <c r="AO225" s="13" t="b">
        <v>0</v>
      </c>
      <c r="AP225" s="10" t="s">
        <v>104</v>
      </c>
      <c r="AQ225" s="10">
        <f ca="1">IFERROR(__xludf.DUMMYFUNCTION("""COMPUTED_VALUE"""),4830786)</f>
        <v>4830786</v>
      </c>
      <c r="AR225" s="17">
        <v>16952</v>
      </c>
      <c r="AS225" s="17">
        <v>10658</v>
      </c>
      <c r="AT225" s="17">
        <v>143214</v>
      </c>
      <c r="AU225" s="17">
        <v>20.3</v>
      </c>
      <c r="AV225" s="17">
        <v>3.8</v>
      </c>
      <c r="AW225" s="10" t="s">
        <v>105</v>
      </c>
      <c r="AX225" s="17">
        <v>4840</v>
      </c>
      <c r="AY225" s="18">
        <v>13.437230249577782</v>
      </c>
      <c r="AZ225" s="10" t="s">
        <v>2099</v>
      </c>
      <c r="BA225" s="20" t="b">
        <v>0</v>
      </c>
      <c r="BB225" s="10"/>
      <c r="BC225" s="17">
        <v>16952</v>
      </c>
      <c r="BD225" s="17">
        <v>10658</v>
      </c>
      <c r="BE225" s="17">
        <v>143214</v>
      </c>
      <c r="BF225" s="17">
        <v>3.8</v>
      </c>
      <c r="BG225" s="11">
        <f ca="1">IFERROR(__xludf.DUMMYFUNCTION("""COMPUTED_VALUE"""),46030.1354166666)</f>
        <v>46030.135416666599</v>
      </c>
      <c r="BH225" s="17" t="s">
        <v>105</v>
      </c>
      <c r="BI225" s="17"/>
      <c r="BJ225" s="15"/>
      <c r="BK225" s="15"/>
      <c r="BL225" s="13" t="b">
        <v>1</v>
      </c>
      <c r="BM225" s="10"/>
      <c r="BN225" s="10" t="s">
        <v>351</v>
      </c>
      <c r="BO225" s="11">
        <v>45827.42083333333</v>
      </c>
      <c r="BP225" s="11">
        <v>46024.728935185187</v>
      </c>
      <c r="BQ225" s="15">
        <v>46020.694409722222</v>
      </c>
      <c r="BR225" s="15">
        <v>46027.436747685184</v>
      </c>
      <c r="BS225" s="10"/>
      <c r="BT225" s="10" t="s">
        <v>279</v>
      </c>
      <c r="BU225" s="10" t="s">
        <v>2491</v>
      </c>
      <c r="BV225" s="10"/>
      <c r="BW225" s="10"/>
      <c r="BX225" s="10"/>
      <c r="BY225" s="23"/>
      <c r="BZ225" s="24" t="s">
        <v>299</v>
      </c>
      <c r="CA225" s="19" t="s">
        <v>2492</v>
      </c>
      <c r="CB225" s="19" t="s">
        <v>2493</v>
      </c>
      <c r="CC225" s="23"/>
      <c r="CD225" s="19" t="s">
        <v>2494</v>
      </c>
      <c r="CE225" s="23"/>
      <c r="CF225" s="23"/>
      <c r="CG225" s="23"/>
      <c r="CH225" s="23"/>
      <c r="CI225" s="23"/>
    </row>
    <row r="226" spans="1:87" x14ac:dyDescent="0.3">
      <c r="A226" s="9" t="s">
        <v>2495</v>
      </c>
      <c r="B226" s="10" t="s">
        <v>2496</v>
      </c>
      <c r="C226" s="11">
        <v>46029.125</v>
      </c>
      <c r="D226" s="12">
        <v>8.3333333333333329E-2</v>
      </c>
      <c r="E226" s="11">
        <v>46029.208333333336</v>
      </c>
      <c r="F226" s="10" t="s">
        <v>262</v>
      </c>
      <c r="G226" s="13" t="b">
        <v>0</v>
      </c>
      <c r="H226" s="10" t="s">
        <v>263</v>
      </c>
      <c r="I226" s="10" t="s">
        <v>264</v>
      </c>
      <c r="J226" s="13" t="b">
        <v>0</v>
      </c>
      <c r="K226" s="13" t="b">
        <v>1</v>
      </c>
      <c r="L226" s="10" t="s">
        <v>124</v>
      </c>
      <c r="M226" s="10" t="s">
        <v>91</v>
      </c>
      <c r="N226" s="10" t="s">
        <v>265</v>
      </c>
      <c r="O226" s="19" t="s">
        <v>2497</v>
      </c>
      <c r="P226" s="10" t="s">
        <v>267</v>
      </c>
      <c r="Q226" s="10" t="s">
        <v>126</v>
      </c>
      <c r="R226" s="10"/>
      <c r="S226" s="19" t="s">
        <v>2498</v>
      </c>
      <c r="T226" s="10"/>
      <c r="U226" s="10" t="s">
        <v>451</v>
      </c>
      <c r="V226" s="10" t="s">
        <v>320</v>
      </c>
      <c r="W226" s="10" t="s">
        <v>272</v>
      </c>
      <c r="X226" s="10" t="s">
        <v>130</v>
      </c>
      <c r="Y226" s="10" t="s">
        <v>130</v>
      </c>
      <c r="Z226" s="10" t="s">
        <v>99</v>
      </c>
      <c r="AA226" s="10" t="s">
        <v>131</v>
      </c>
      <c r="AB226" s="10" t="s">
        <v>273</v>
      </c>
      <c r="AC226" s="10" t="s">
        <v>274</v>
      </c>
      <c r="AD226" s="10" t="s">
        <v>2499</v>
      </c>
      <c r="AE226" s="10" t="s">
        <v>2500</v>
      </c>
      <c r="AF226" s="15"/>
      <c r="AG226" s="10"/>
      <c r="AH226" s="10"/>
      <c r="AI226" s="10"/>
      <c r="AJ226" s="10" t="s">
        <v>2501</v>
      </c>
      <c r="AK226" s="10" t="s">
        <v>102</v>
      </c>
      <c r="AL226" s="10" t="s">
        <v>2405</v>
      </c>
      <c r="AM226" s="10"/>
      <c r="AN226" s="10"/>
      <c r="AO226" s="13" t="b">
        <v>0</v>
      </c>
      <c r="AP226" s="10" t="s">
        <v>104</v>
      </c>
      <c r="AQ226" s="10">
        <f ca="1">IFERROR(__xludf.DUMMYFUNCTION("""COMPUTED_VALUE"""),4831842)</f>
        <v>4831842</v>
      </c>
      <c r="AR226" s="17">
        <v>10428</v>
      </c>
      <c r="AS226" s="17">
        <v>6598</v>
      </c>
      <c r="AT226" s="17">
        <v>232640.5</v>
      </c>
      <c r="AU226" s="17">
        <v>27.1</v>
      </c>
      <c r="AV226" s="17">
        <v>1.5</v>
      </c>
      <c r="AW226" s="10" t="s">
        <v>105</v>
      </c>
      <c r="AX226" s="17">
        <v>3205</v>
      </c>
      <c r="AY226" s="18">
        <v>35.259245225826007</v>
      </c>
      <c r="AZ226" s="10" t="s">
        <v>2099</v>
      </c>
      <c r="BA226" s="20" t="b">
        <v>0</v>
      </c>
      <c r="BB226" s="10"/>
      <c r="BC226" s="17">
        <v>10428</v>
      </c>
      <c r="BD226" s="17">
        <v>6598</v>
      </c>
      <c r="BE226" s="17">
        <v>232640.5</v>
      </c>
      <c r="BF226" s="17">
        <v>1.5</v>
      </c>
      <c r="BG226" s="11">
        <f ca="1">IFERROR(__xludf.DUMMYFUNCTION("""COMPUTED_VALUE"""),46029.125)</f>
        <v>46029.125</v>
      </c>
      <c r="BH226" s="17" t="s">
        <v>105</v>
      </c>
      <c r="BI226" s="17"/>
      <c r="BJ226" s="15"/>
      <c r="BK226" s="15"/>
      <c r="BL226" s="13" t="b">
        <v>1</v>
      </c>
      <c r="BM226" s="10"/>
      <c r="BN226" s="10" t="s">
        <v>351</v>
      </c>
      <c r="BO226" s="11">
        <v>45827.42083333333</v>
      </c>
      <c r="BP226" s="11">
        <v>46028.448067129626</v>
      </c>
      <c r="BQ226" s="15">
        <v>46020.695532407408</v>
      </c>
      <c r="BR226" s="15">
        <v>46028.460868055554</v>
      </c>
      <c r="BS226" s="10"/>
      <c r="BT226" s="10" t="s">
        <v>279</v>
      </c>
      <c r="BU226" s="10" t="s">
        <v>498</v>
      </c>
      <c r="BV226" s="10"/>
      <c r="BW226" s="10"/>
      <c r="BX226" s="10"/>
      <c r="BY226" s="23"/>
      <c r="BZ226" s="24" t="s">
        <v>299</v>
      </c>
      <c r="CA226" s="19" t="s">
        <v>2502</v>
      </c>
      <c r="CB226" s="19" t="s">
        <v>2503</v>
      </c>
      <c r="CC226" s="23"/>
      <c r="CD226" s="19" t="s">
        <v>2504</v>
      </c>
      <c r="CE226" s="23"/>
      <c r="CF226" s="23"/>
      <c r="CG226" s="23"/>
      <c r="CH226" s="23"/>
      <c r="CI226" s="23"/>
    </row>
    <row r="227" spans="1:87" x14ac:dyDescent="0.3">
      <c r="A227" s="9" t="s">
        <v>2505</v>
      </c>
      <c r="B227" s="10" t="s">
        <v>2506</v>
      </c>
      <c r="C227" s="11">
        <v>46040.979166666664</v>
      </c>
      <c r="D227" s="12">
        <v>8.3333333333333329E-2</v>
      </c>
      <c r="E227" s="11">
        <v>46041.0625</v>
      </c>
      <c r="F227" s="10" t="s">
        <v>262</v>
      </c>
      <c r="G227" s="13" t="b">
        <v>1</v>
      </c>
      <c r="H227" s="10" t="s">
        <v>263</v>
      </c>
      <c r="I227" s="10" t="s">
        <v>264</v>
      </c>
      <c r="J227" s="13" t="b">
        <v>0</v>
      </c>
      <c r="K227" s="13" t="b">
        <v>1</v>
      </c>
      <c r="L227" s="10" t="s">
        <v>124</v>
      </c>
      <c r="M227" s="10" t="s">
        <v>91</v>
      </c>
      <c r="N227" s="10" t="s">
        <v>265</v>
      </c>
      <c r="O227" s="10"/>
      <c r="P227" s="10" t="s">
        <v>267</v>
      </c>
      <c r="Q227" s="10" t="s">
        <v>126</v>
      </c>
      <c r="R227" s="10"/>
      <c r="S227" s="10"/>
      <c r="T227" s="10"/>
      <c r="U227" s="10" t="s">
        <v>292</v>
      </c>
      <c r="V227" s="10" t="s">
        <v>407</v>
      </c>
      <c r="W227" s="10" t="s">
        <v>272</v>
      </c>
      <c r="X227" s="10" t="s">
        <v>130</v>
      </c>
      <c r="Y227" s="10" t="s">
        <v>130</v>
      </c>
      <c r="Z227" s="10" t="s">
        <v>99</v>
      </c>
      <c r="AA227" s="10" t="s">
        <v>131</v>
      </c>
      <c r="AB227" s="10" t="s">
        <v>273</v>
      </c>
      <c r="AC227" s="10" t="s">
        <v>274</v>
      </c>
      <c r="AD227" s="10" t="s">
        <v>2507</v>
      </c>
      <c r="AE227" s="10" t="s">
        <v>2508</v>
      </c>
      <c r="AF227" s="15"/>
      <c r="AG227" s="10"/>
      <c r="AH227" s="10"/>
      <c r="AI227" s="10"/>
      <c r="AJ227" s="10"/>
      <c r="AK227" s="10"/>
      <c r="AL227" s="10" t="s">
        <v>2509</v>
      </c>
      <c r="AM227" s="10"/>
      <c r="AN227" s="10"/>
      <c r="AO227" s="13" t="b">
        <v>0</v>
      </c>
      <c r="AP227" s="10" t="s">
        <v>104</v>
      </c>
      <c r="AQ227" s="10"/>
      <c r="AR227" s="17"/>
      <c r="AS227" s="17"/>
      <c r="AT227" s="17"/>
      <c r="AU227" s="17"/>
      <c r="AV227" s="17"/>
      <c r="AW227" s="10"/>
      <c r="AX227" s="17"/>
      <c r="AY227" s="18" t="s">
        <v>257</v>
      </c>
      <c r="AZ227" s="10"/>
      <c r="BA227" s="20" t="b">
        <v>0</v>
      </c>
      <c r="BB227" s="10"/>
      <c r="BC227" s="17" t="s">
        <v>257</v>
      </c>
      <c r="BD227" s="17" t="s">
        <v>257</v>
      </c>
      <c r="BE227" s="17" t="s">
        <v>257</v>
      </c>
      <c r="BF227" s="17" t="s">
        <v>257</v>
      </c>
      <c r="BG227" s="11">
        <f ca="1">IFERROR(__xludf.DUMMYFUNCTION("""COMPUTED_VALUE"""),46040.9583333333)</f>
        <v>46040.958333333299</v>
      </c>
      <c r="BH227" s="17"/>
      <c r="BI227" s="17"/>
      <c r="BJ227" s="15"/>
      <c r="BK227" s="15"/>
      <c r="BL227" s="13" t="b">
        <v>0</v>
      </c>
      <c r="BM227" s="10"/>
      <c r="BN227" s="10" t="s">
        <v>351</v>
      </c>
      <c r="BO227" s="11">
        <v>45827.42083333333</v>
      </c>
      <c r="BP227" s="11">
        <v>46022.676782407405</v>
      </c>
      <c r="BQ227" s="15"/>
      <c r="BR227" s="15"/>
      <c r="BS227" s="10"/>
      <c r="BT227" s="10" t="s">
        <v>99</v>
      </c>
      <c r="BU227" s="10"/>
      <c r="BV227" s="10"/>
      <c r="BW227" s="10"/>
      <c r="BX227" s="10"/>
      <c r="BY227" s="23"/>
      <c r="BZ227" s="24" t="s">
        <v>299</v>
      </c>
      <c r="CA227" s="23"/>
      <c r="CB227" s="23"/>
      <c r="CC227" s="23"/>
      <c r="CD227" s="23"/>
      <c r="CE227" s="23"/>
      <c r="CF227" s="23"/>
      <c r="CG227" s="23"/>
      <c r="CH227" s="23"/>
      <c r="CI227" s="23"/>
    </row>
    <row r="228" spans="1:87" x14ac:dyDescent="0.3">
      <c r="A228" s="9" t="s">
        <v>2510</v>
      </c>
      <c r="B228" s="10" t="s">
        <v>2511</v>
      </c>
      <c r="C228" s="11">
        <v>46042.125</v>
      </c>
      <c r="D228" s="12">
        <v>8.3333333333333329E-2</v>
      </c>
      <c r="E228" s="11">
        <v>46042.208333333336</v>
      </c>
      <c r="F228" s="10" t="s">
        <v>262</v>
      </c>
      <c r="G228" s="13" t="b">
        <v>0</v>
      </c>
      <c r="H228" s="10" t="s">
        <v>263</v>
      </c>
      <c r="I228" s="10" t="s">
        <v>264</v>
      </c>
      <c r="J228" s="13" t="b">
        <v>0</v>
      </c>
      <c r="K228" s="13" t="b">
        <v>1</v>
      </c>
      <c r="L228" s="10" t="s">
        <v>124</v>
      </c>
      <c r="M228" s="10" t="s">
        <v>91</v>
      </c>
      <c r="N228" s="10" t="s">
        <v>265</v>
      </c>
      <c r="O228" s="10"/>
      <c r="P228" s="10" t="s">
        <v>267</v>
      </c>
      <c r="Q228" s="10" t="s">
        <v>126</v>
      </c>
      <c r="R228" s="10"/>
      <c r="S228" s="10"/>
      <c r="T228" s="10"/>
      <c r="U228" s="10" t="s">
        <v>308</v>
      </c>
      <c r="V228" s="10" t="s">
        <v>271</v>
      </c>
      <c r="W228" s="10" t="s">
        <v>272</v>
      </c>
      <c r="X228" s="10" t="s">
        <v>130</v>
      </c>
      <c r="Y228" s="10" t="s">
        <v>130</v>
      </c>
      <c r="Z228" s="10" t="s">
        <v>99</v>
      </c>
      <c r="AA228" s="10" t="s">
        <v>131</v>
      </c>
      <c r="AB228" s="10" t="s">
        <v>273</v>
      </c>
      <c r="AC228" s="10" t="s">
        <v>274</v>
      </c>
      <c r="AD228" s="10" t="s">
        <v>2512</v>
      </c>
      <c r="AE228" s="10" t="s">
        <v>2513</v>
      </c>
      <c r="AF228" s="15"/>
      <c r="AG228" s="10"/>
      <c r="AH228" s="10"/>
      <c r="AI228" s="10"/>
      <c r="AJ228" s="10"/>
      <c r="AK228" s="10"/>
      <c r="AL228" s="10" t="s">
        <v>2509</v>
      </c>
      <c r="AM228" s="10"/>
      <c r="AN228" s="10"/>
      <c r="AO228" s="13" t="b">
        <v>0</v>
      </c>
      <c r="AP228" s="10" t="s">
        <v>104</v>
      </c>
      <c r="AQ228" s="10"/>
      <c r="AR228" s="17"/>
      <c r="AS228" s="17"/>
      <c r="AT228" s="17"/>
      <c r="AU228" s="17"/>
      <c r="AV228" s="17"/>
      <c r="AW228" s="10"/>
      <c r="AX228" s="17"/>
      <c r="AY228" s="18" t="s">
        <v>257</v>
      </c>
      <c r="AZ228" s="10"/>
      <c r="BA228" s="20" t="b">
        <v>0</v>
      </c>
      <c r="BB228" s="10"/>
      <c r="BC228" s="17" t="s">
        <v>257</v>
      </c>
      <c r="BD228" s="17" t="s">
        <v>257</v>
      </c>
      <c r="BE228" s="17" t="s">
        <v>257</v>
      </c>
      <c r="BF228" s="17" t="s">
        <v>257</v>
      </c>
      <c r="BG228" s="11">
        <f ca="1">IFERROR(__xludf.DUMMYFUNCTION("""COMPUTED_VALUE"""),46042.125)</f>
        <v>46042.125</v>
      </c>
      <c r="BH228" s="17"/>
      <c r="BI228" s="17"/>
      <c r="BJ228" s="15"/>
      <c r="BK228" s="15"/>
      <c r="BL228" s="13" t="b">
        <v>0</v>
      </c>
      <c r="BM228" s="10"/>
      <c r="BN228" s="10" t="s">
        <v>351</v>
      </c>
      <c r="BO228" s="11">
        <v>45827.42083333333</v>
      </c>
      <c r="BP228" s="11">
        <v>46022.677083333336</v>
      </c>
      <c r="BQ228" s="15"/>
      <c r="BR228" s="15"/>
      <c r="BS228" s="10"/>
      <c r="BT228" s="10" t="s">
        <v>99</v>
      </c>
      <c r="BU228" s="10"/>
      <c r="BV228" s="10"/>
      <c r="BW228" s="10"/>
      <c r="BX228" s="10"/>
      <c r="BY228" s="23"/>
      <c r="BZ228" s="24" t="s">
        <v>299</v>
      </c>
      <c r="CA228" s="23"/>
      <c r="CB228" s="23"/>
      <c r="CC228" s="23"/>
      <c r="CD228" s="23"/>
      <c r="CE228" s="23"/>
      <c r="CF228" s="23"/>
      <c r="CG228" s="23"/>
      <c r="CH228" s="23"/>
      <c r="CI228" s="23"/>
    </row>
    <row r="229" spans="1:87" x14ac:dyDescent="0.3">
      <c r="A229" s="9" t="s">
        <v>2514</v>
      </c>
      <c r="B229" s="10" t="s">
        <v>2515</v>
      </c>
      <c r="C229" s="11">
        <v>46039.916666666664</v>
      </c>
      <c r="D229" s="12">
        <v>8.3333333333333329E-2</v>
      </c>
      <c r="E229" s="11">
        <v>46040</v>
      </c>
      <c r="F229" s="10" t="s">
        <v>262</v>
      </c>
      <c r="G229" s="13" t="b">
        <v>0</v>
      </c>
      <c r="H229" s="10" t="s">
        <v>305</v>
      </c>
      <c r="I229" s="10" t="s">
        <v>264</v>
      </c>
      <c r="J229" s="13" t="b">
        <v>0</v>
      </c>
      <c r="K229" s="13" t="b">
        <v>1</v>
      </c>
      <c r="L229" s="10" t="s">
        <v>124</v>
      </c>
      <c r="M229" s="10" t="s">
        <v>91</v>
      </c>
      <c r="N229" s="10" t="s">
        <v>265</v>
      </c>
      <c r="O229" s="10"/>
      <c r="P229" s="10"/>
      <c r="Q229" s="10" t="s">
        <v>126</v>
      </c>
      <c r="R229" s="10"/>
      <c r="S229" s="10"/>
      <c r="T229" s="10"/>
      <c r="U229" s="10" t="s">
        <v>346</v>
      </c>
      <c r="V229" s="10" t="s">
        <v>321</v>
      </c>
      <c r="W229" s="10" t="s">
        <v>272</v>
      </c>
      <c r="X229" s="10" t="s">
        <v>130</v>
      </c>
      <c r="Y229" s="10" t="s">
        <v>130</v>
      </c>
      <c r="Z229" s="10" t="s">
        <v>99</v>
      </c>
      <c r="AA229" s="10" t="s">
        <v>131</v>
      </c>
      <c r="AB229" s="10" t="s">
        <v>273</v>
      </c>
      <c r="AC229" s="10" t="s">
        <v>274</v>
      </c>
      <c r="AD229" s="10" t="s">
        <v>2516</v>
      </c>
      <c r="AE229" s="10" t="s">
        <v>2517</v>
      </c>
      <c r="AF229" s="15"/>
      <c r="AG229" s="10"/>
      <c r="AH229" s="10"/>
      <c r="AI229" s="10"/>
      <c r="AJ229" s="10"/>
      <c r="AK229" s="10"/>
      <c r="AL229" s="10" t="s">
        <v>2509</v>
      </c>
      <c r="AM229" s="10"/>
      <c r="AN229" s="10"/>
      <c r="AO229" s="13" t="b">
        <v>1</v>
      </c>
      <c r="AP229" s="10" t="s">
        <v>104</v>
      </c>
      <c r="AQ229" s="10"/>
      <c r="AR229" s="17"/>
      <c r="AS229" s="17"/>
      <c r="AT229" s="17"/>
      <c r="AU229" s="17"/>
      <c r="AV229" s="17"/>
      <c r="AW229" s="10"/>
      <c r="AX229" s="17"/>
      <c r="AY229" s="18" t="s">
        <v>257</v>
      </c>
      <c r="AZ229" s="10"/>
      <c r="BA229" s="20" t="b">
        <v>0</v>
      </c>
      <c r="BB229" s="10"/>
      <c r="BC229" s="17" t="s">
        <v>257</v>
      </c>
      <c r="BD229" s="17" t="s">
        <v>257</v>
      </c>
      <c r="BE229" s="17" t="s">
        <v>257</v>
      </c>
      <c r="BF229" s="17" t="s">
        <v>257</v>
      </c>
      <c r="BG229" s="11">
        <f ca="1">IFERROR(__xludf.DUMMYFUNCTION("""COMPUTED_VALUE"""),46039.9166666666)</f>
        <v>46039.916666666599</v>
      </c>
      <c r="BH229" s="17"/>
      <c r="BI229" s="17"/>
      <c r="BJ229" s="15"/>
      <c r="BK229" s="15"/>
      <c r="BL229" s="13" t="b">
        <v>0</v>
      </c>
      <c r="BM229" s="10"/>
      <c r="BN229" s="10" t="s">
        <v>351</v>
      </c>
      <c r="BO229" s="11">
        <v>45827.42083333333</v>
      </c>
      <c r="BP229" s="11">
        <v>46031.731689814813</v>
      </c>
      <c r="BQ229" s="15"/>
      <c r="BR229" s="15"/>
      <c r="BS229" s="10"/>
      <c r="BT229" s="10" t="s">
        <v>99</v>
      </c>
      <c r="BU229" s="10"/>
      <c r="BV229" s="10" t="s">
        <v>281</v>
      </c>
      <c r="BW229" s="10" t="s">
        <v>2518</v>
      </c>
      <c r="BX229" s="10"/>
      <c r="BY229" s="23"/>
      <c r="BZ229" s="24" t="s">
        <v>284</v>
      </c>
      <c r="CA229" s="23"/>
      <c r="CB229" s="23"/>
      <c r="CC229" s="23"/>
      <c r="CD229" s="23"/>
      <c r="CE229" s="23"/>
      <c r="CF229" s="23"/>
      <c r="CG229" s="23"/>
      <c r="CH229" s="23"/>
      <c r="CI229" s="23"/>
    </row>
    <row r="230" spans="1:87" x14ac:dyDescent="0.3">
      <c r="A230" s="9" t="s">
        <v>2519</v>
      </c>
      <c r="B230" s="10" t="s">
        <v>2520</v>
      </c>
      <c r="C230" s="11">
        <v>46039.916666666664</v>
      </c>
      <c r="D230" s="12">
        <v>8.3333333333333329E-2</v>
      </c>
      <c r="E230" s="11">
        <v>46040</v>
      </c>
      <c r="F230" s="10" t="s">
        <v>262</v>
      </c>
      <c r="G230" s="13" t="b">
        <v>0</v>
      </c>
      <c r="H230" s="10" t="s">
        <v>527</v>
      </c>
      <c r="I230" s="10" t="s">
        <v>264</v>
      </c>
      <c r="J230" s="13" t="b">
        <v>0</v>
      </c>
      <c r="K230" s="13" t="b">
        <v>1</v>
      </c>
      <c r="L230" s="10" t="s">
        <v>124</v>
      </c>
      <c r="M230" s="10" t="s">
        <v>91</v>
      </c>
      <c r="N230" s="10" t="s">
        <v>265</v>
      </c>
      <c r="O230" s="10"/>
      <c r="P230" s="10"/>
      <c r="Q230" s="10" t="s">
        <v>126</v>
      </c>
      <c r="R230" s="10"/>
      <c r="S230" s="10"/>
      <c r="T230" s="10"/>
      <c r="U230" s="10" t="s">
        <v>663</v>
      </c>
      <c r="V230" s="10" t="s">
        <v>309</v>
      </c>
      <c r="W230" s="10" t="s">
        <v>272</v>
      </c>
      <c r="X230" s="10" t="s">
        <v>130</v>
      </c>
      <c r="Y230" s="10" t="s">
        <v>130</v>
      </c>
      <c r="Z230" s="10" t="s">
        <v>99</v>
      </c>
      <c r="AA230" s="10" t="s">
        <v>131</v>
      </c>
      <c r="AB230" s="10" t="s">
        <v>273</v>
      </c>
      <c r="AC230" s="10" t="s">
        <v>274</v>
      </c>
      <c r="AD230" s="10" t="s">
        <v>2521</v>
      </c>
      <c r="AE230" s="10" t="s">
        <v>2522</v>
      </c>
      <c r="AF230" s="15"/>
      <c r="AG230" s="10"/>
      <c r="AH230" s="10"/>
      <c r="AI230" s="10"/>
      <c r="AJ230" s="10"/>
      <c r="AK230" s="10"/>
      <c r="AL230" s="10" t="s">
        <v>2509</v>
      </c>
      <c r="AM230" s="10"/>
      <c r="AN230" s="10"/>
      <c r="AO230" s="13" t="b">
        <v>0</v>
      </c>
      <c r="AP230" s="10" t="s">
        <v>104</v>
      </c>
      <c r="AQ230" s="10"/>
      <c r="AR230" s="17"/>
      <c r="AS230" s="17"/>
      <c r="AT230" s="17"/>
      <c r="AU230" s="17"/>
      <c r="AV230" s="17"/>
      <c r="AW230" s="10"/>
      <c r="AX230" s="17"/>
      <c r="AY230" s="18" t="s">
        <v>257</v>
      </c>
      <c r="AZ230" s="10"/>
      <c r="BA230" s="20" t="b">
        <v>0</v>
      </c>
      <c r="BB230" s="10"/>
      <c r="BC230" s="17" t="s">
        <v>257</v>
      </c>
      <c r="BD230" s="17" t="s">
        <v>257</v>
      </c>
      <c r="BE230" s="17" t="s">
        <v>257</v>
      </c>
      <c r="BF230" s="17" t="s">
        <v>257</v>
      </c>
      <c r="BG230" s="11">
        <f ca="1">IFERROR(__xludf.DUMMYFUNCTION("""COMPUTED_VALUE"""),46039.9166666666)</f>
        <v>46039.916666666599</v>
      </c>
      <c r="BH230" s="17"/>
      <c r="BI230" s="17"/>
      <c r="BJ230" s="15"/>
      <c r="BK230" s="15"/>
      <c r="BL230" s="13" t="b">
        <v>1</v>
      </c>
      <c r="BM230" s="10"/>
      <c r="BN230" s="10" t="s">
        <v>351</v>
      </c>
      <c r="BO230" s="11">
        <v>45827.42083333333</v>
      </c>
      <c r="BP230" s="11">
        <v>46022.674895833334</v>
      </c>
      <c r="BQ230" s="15"/>
      <c r="BR230" s="15"/>
      <c r="BS230" s="10"/>
      <c r="BT230" s="10" t="s">
        <v>99</v>
      </c>
      <c r="BU230" s="10"/>
      <c r="BV230" s="10"/>
      <c r="BW230" s="10"/>
      <c r="BX230" s="10"/>
      <c r="BY230" s="23"/>
      <c r="BZ230" s="24" t="s">
        <v>299</v>
      </c>
      <c r="CA230" s="23"/>
      <c r="CB230" s="23"/>
      <c r="CC230" s="23"/>
      <c r="CD230" s="23"/>
      <c r="CE230" s="23"/>
      <c r="CF230" s="23"/>
      <c r="CG230" s="23"/>
      <c r="CH230" s="23"/>
      <c r="CI230" s="23"/>
    </row>
    <row r="231" spans="1:87" x14ac:dyDescent="0.3">
      <c r="A231" s="9" t="s">
        <v>2523</v>
      </c>
      <c r="B231" s="10" t="s">
        <v>2524</v>
      </c>
      <c r="C231" s="11">
        <v>46039.916666666664</v>
      </c>
      <c r="D231" s="12">
        <v>8.3333333333333329E-2</v>
      </c>
      <c r="E231" s="11">
        <v>46040</v>
      </c>
      <c r="F231" s="10" t="s">
        <v>262</v>
      </c>
      <c r="G231" s="13" t="b">
        <v>1</v>
      </c>
      <c r="H231" s="10" t="s">
        <v>263</v>
      </c>
      <c r="I231" s="10" t="s">
        <v>264</v>
      </c>
      <c r="J231" s="13" t="b">
        <v>0</v>
      </c>
      <c r="K231" s="13" t="b">
        <v>1</v>
      </c>
      <c r="L231" s="10" t="s">
        <v>124</v>
      </c>
      <c r="M231" s="10" t="s">
        <v>91</v>
      </c>
      <c r="N231" s="10" t="s">
        <v>265</v>
      </c>
      <c r="O231" s="10"/>
      <c r="P231" s="10" t="s">
        <v>267</v>
      </c>
      <c r="Q231" s="10" t="s">
        <v>126</v>
      </c>
      <c r="R231" s="10"/>
      <c r="S231" s="10"/>
      <c r="T231" s="10"/>
      <c r="U231" s="10" t="s">
        <v>270</v>
      </c>
      <c r="V231" s="10" t="s">
        <v>609</v>
      </c>
      <c r="W231" s="10" t="s">
        <v>272</v>
      </c>
      <c r="X231" s="10" t="s">
        <v>130</v>
      </c>
      <c r="Y231" s="10" t="s">
        <v>130</v>
      </c>
      <c r="Z231" s="10" t="s">
        <v>99</v>
      </c>
      <c r="AA231" s="10" t="s">
        <v>131</v>
      </c>
      <c r="AB231" s="10" t="s">
        <v>273</v>
      </c>
      <c r="AC231" s="10" t="s">
        <v>274</v>
      </c>
      <c r="AD231" s="10" t="s">
        <v>2525</v>
      </c>
      <c r="AE231" s="10" t="s">
        <v>2526</v>
      </c>
      <c r="AF231" s="15"/>
      <c r="AG231" s="10"/>
      <c r="AH231" s="10"/>
      <c r="AI231" s="10"/>
      <c r="AJ231" s="10"/>
      <c r="AK231" s="10"/>
      <c r="AL231" s="10" t="s">
        <v>2509</v>
      </c>
      <c r="AM231" s="10"/>
      <c r="AN231" s="10"/>
      <c r="AO231" s="13" t="b">
        <v>1</v>
      </c>
      <c r="AP231" s="10" t="s">
        <v>104</v>
      </c>
      <c r="AQ231" s="10"/>
      <c r="AR231" s="17"/>
      <c r="AS231" s="17"/>
      <c r="AT231" s="17"/>
      <c r="AU231" s="17"/>
      <c r="AV231" s="17"/>
      <c r="AW231" s="10"/>
      <c r="AX231" s="17"/>
      <c r="AY231" s="18" t="s">
        <v>257</v>
      </c>
      <c r="AZ231" s="10"/>
      <c r="BA231" s="20" t="b">
        <v>0</v>
      </c>
      <c r="BB231" s="10"/>
      <c r="BC231" s="17" t="s">
        <v>257</v>
      </c>
      <c r="BD231" s="17" t="s">
        <v>257</v>
      </c>
      <c r="BE231" s="17" t="s">
        <v>257</v>
      </c>
      <c r="BF231" s="17" t="s">
        <v>257</v>
      </c>
      <c r="BG231" s="11">
        <f ca="1">IFERROR(__xludf.DUMMYFUNCTION("""COMPUTED_VALUE"""),46039.8958333333)</f>
        <v>46039.895833333299</v>
      </c>
      <c r="BH231" s="17"/>
      <c r="BI231" s="17"/>
      <c r="BJ231" s="15"/>
      <c r="BK231" s="15"/>
      <c r="BL231" s="13" t="b">
        <v>0</v>
      </c>
      <c r="BM231" s="10"/>
      <c r="BN231" s="10" t="s">
        <v>2527</v>
      </c>
      <c r="BO231" s="11">
        <v>45827.42083333333</v>
      </c>
      <c r="BP231" s="11">
        <v>46022.675185185188</v>
      </c>
      <c r="BQ231" s="15"/>
      <c r="BR231" s="15"/>
      <c r="BS231" s="10"/>
      <c r="BT231" s="10" t="s">
        <v>99</v>
      </c>
      <c r="BU231" s="10"/>
      <c r="BV231" s="10" t="s">
        <v>281</v>
      </c>
      <c r="BW231" s="10" t="s">
        <v>2518</v>
      </c>
      <c r="BX231" s="10"/>
      <c r="BY231" s="23"/>
      <c r="BZ231" s="24" t="s">
        <v>284</v>
      </c>
      <c r="CA231" s="23"/>
      <c r="CB231" s="23"/>
      <c r="CC231" s="23"/>
      <c r="CD231" s="23"/>
      <c r="CE231" s="23"/>
      <c r="CF231" s="23"/>
      <c r="CG231" s="23"/>
      <c r="CH231" s="23"/>
      <c r="CI231" s="23"/>
    </row>
    <row r="232" spans="1:87" x14ac:dyDescent="0.3">
      <c r="A232" s="9" t="s">
        <v>2528</v>
      </c>
      <c r="B232" s="10" t="s">
        <v>2529</v>
      </c>
      <c r="C232" s="11">
        <v>46039.8125</v>
      </c>
      <c r="D232" s="12">
        <v>8.3333333333333329E-2</v>
      </c>
      <c r="E232" s="11">
        <v>46039.895833333336</v>
      </c>
      <c r="F232" s="10" t="s">
        <v>262</v>
      </c>
      <c r="G232" s="13" t="b">
        <v>1</v>
      </c>
      <c r="H232" s="10" t="s">
        <v>263</v>
      </c>
      <c r="I232" s="10" t="s">
        <v>264</v>
      </c>
      <c r="J232" s="13" t="b">
        <v>0</v>
      </c>
      <c r="K232" s="13" t="b">
        <v>1</v>
      </c>
      <c r="L232" s="10" t="s">
        <v>124</v>
      </c>
      <c r="M232" s="10" t="s">
        <v>91</v>
      </c>
      <c r="N232" s="10" t="s">
        <v>265</v>
      </c>
      <c r="O232" s="10"/>
      <c r="P232" s="10" t="s">
        <v>267</v>
      </c>
      <c r="Q232" s="10" t="s">
        <v>126</v>
      </c>
      <c r="R232" s="10"/>
      <c r="S232" s="10"/>
      <c r="T232" s="10"/>
      <c r="U232" s="10" t="s">
        <v>361</v>
      </c>
      <c r="V232" s="10" t="s">
        <v>334</v>
      </c>
      <c r="W232" s="10" t="s">
        <v>272</v>
      </c>
      <c r="X232" s="10" t="s">
        <v>130</v>
      </c>
      <c r="Y232" s="10" t="s">
        <v>130</v>
      </c>
      <c r="Z232" s="10" t="s">
        <v>99</v>
      </c>
      <c r="AA232" s="10" t="s">
        <v>131</v>
      </c>
      <c r="AB232" s="10" t="s">
        <v>273</v>
      </c>
      <c r="AC232" s="10" t="s">
        <v>274</v>
      </c>
      <c r="AD232" s="10" t="s">
        <v>2530</v>
      </c>
      <c r="AE232" s="10" t="s">
        <v>2531</v>
      </c>
      <c r="AF232" s="15"/>
      <c r="AG232" s="10"/>
      <c r="AH232" s="10"/>
      <c r="AI232" s="10"/>
      <c r="AJ232" s="10"/>
      <c r="AK232" s="10"/>
      <c r="AL232" s="10" t="s">
        <v>2509</v>
      </c>
      <c r="AM232" s="10"/>
      <c r="AN232" s="10"/>
      <c r="AO232" s="13" t="b">
        <v>1</v>
      </c>
      <c r="AP232" s="10" t="s">
        <v>104</v>
      </c>
      <c r="AQ232" s="10"/>
      <c r="AR232" s="17"/>
      <c r="AS232" s="17"/>
      <c r="AT232" s="17"/>
      <c r="AU232" s="17"/>
      <c r="AV232" s="17"/>
      <c r="AW232" s="10"/>
      <c r="AX232" s="17"/>
      <c r="AY232" s="18" t="s">
        <v>257</v>
      </c>
      <c r="AZ232" s="10"/>
      <c r="BA232" s="20" t="b">
        <v>0</v>
      </c>
      <c r="BB232" s="10"/>
      <c r="BC232" s="17" t="s">
        <v>257</v>
      </c>
      <c r="BD232" s="17" t="s">
        <v>257</v>
      </c>
      <c r="BE232" s="17" t="s">
        <v>257</v>
      </c>
      <c r="BF232" s="17" t="s">
        <v>257</v>
      </c>
      <c r="BG232" s="11">
        <f ca="1">IFERROR(__xludf.DUMMYFUNCTION("""COMPUTED_VALUE"""),46039.7916666666)</f>
        <v>46039.791666666599</v>
      </c>
      <c r="BH232" s="17"/>
      <c r="BI232" s="17"/>
      <c r="BJ232" s="15"/>
      <c r="BK232" s="15"/>
      <c r="BL232" s="13" t="b">
        <v>0</v>
      </c>
      <c r="BM232" s="10"/>
      <c r="BN232" s="10" t="s">
        <v>351</v>
      </c>
      <c r="BO232" s="11">
        <v>45827.42083333333</v>
      </c>
      <c r="BP232" s="11">
        <v>46022.67428240741</v>
      </c>
      <c r="BQ232" s="15"/>
      <c r="BR232" s="15"/>
      <c r="BS232" s="10"/>
      <c r="BT232" s="10" t="s">
        <v>99</v>
      </c>
      <c r="BU232" s="10"/>
      <c r="BV232" s="10" t="s">
        <v>499</v>
      </c>
      <c r="BW232" s="10" t="s">
        <v>2532</v>
      </c>
      <c r="BX232" s="10"/>
      <c r="BY232" s="23"/>
      <c r="BZ232" s="24" t="s">
        <v>368</v>
      </c>
      <c r="CA232" s="23"/>
      <c r="CB232" s="23"/>
      <c r="CC232" s="23"/>
      <c r="CD232" s="23"/>
      <c r="CE232" s="23"/>
      <c r="CF232" s="23"/>
      <c r="CG232" s="23"/>
      <c r="CH232" s="23"/>
      <c r="CI232" s="23"/>
    </row>
    <row r="233" spans="1:87" x14ac:dyDescent="0.3">
      <c r="A233" s="9" t="s">
        <v>2533</v>
      </c>
      <c r="B233" s="10" t="s">
        <v>2534</v>
      </c>
      <c r="C233" s="11">
        <v>46040.020833333336</v>
      </c>
      <c r="D233" s="12">
        <v>8.3333333333333329E-2</v>
      </c>
      <c r="E233" s="11">
        <v>46040.104166666664</v>
      </c>
      <c r="F233" s="10" t="s">
        <v>262</v>
      </c>
      <c r="G233" s="13" t="b">
        <v>1</v>
      </c>
      <c r="H233" s="10" t="s">
        <v>263</v>
      </c>
      <c r="I233" s="10" t="s">
        <v>264</v>
      </c>
      <c r="J233" s="13" t="b">
        <v>0</v>
      </c>
      <c r="K233" s="13" t="b">
        <v>1</v>
      </c>
      <c r="L233" s="10" t="s">
        <v>124</v>
      </c>
      <c r="M233" s="10" t="s">
        <v>91</v>
      </c>
      <c r="N233" s="10" t="s">
        <v>265</v>
      </c>
      <c r="O233" s="10"/>
      <c r="P233" s="10" t="s">
        <v>885</v>
      </c>
      <c r="Q233" s="10" t="s">
        <v>126</v>
      </c>
      <c r="R233" s="10"/>
      <c r="S233" s="10"/>
      <c r="T233" s="10"/>
      <c r="U233" s="10" t="s">
        <v>320</v>
      </c>
      <c r="V233" s="10" t="s">
        <v>362</v>
      </c>
      <c r="W233" s="10" t="s">
        <v>272</v>
      </c>
      <c r="X233" s="10" t="s">
        <v>130</v>
      </c>
      <c r="Y233" s="10" t="s">
        <v>130</v>
      </c>
      <c r="Z233" s="10" t="s">
        <v>99</v>
      </c>
      <c r="AA233" s="10" t="s">
        <v>131</v>
      </c>
      <c r="AB233" s="10" t="s">
        <v>273</v>
      </c>
      <c r="AC233" s="10" t="s">
        <v>274</v>
      </c>
      <c r="AD233" s="10" t="s">
        <v>2535</v>
      </c>
      <c r="AE233" s="10" t="s">
        <v>2536</v>
      </c>
      <c r="AF233" s="15"/>
      <c r="AG233" s="10"/>
      <c r="AH233" s="10"/>
      <c r="AI233" s="10"/>
      <c r="AJ233" s="10"/>
      <c r="AK233" s="10"/>
      <c r="AL233" s="10" t="s">
        <v>2509</v>
      </c>
      <c r="AM233" s="10"/>
      <c r="AN233" s="10"/>
      <c r="AO233" s="13" t="b">
        <v>1</v>
      </c>
      <c r="AP233" s="10" t="s">
        <v>104</v>
      </c>
      <c r="AQ233" s="10"/>
      <c r="AR233" s="17"/>
      <c r="AS233" s="17"/>
      <c r="AT233" s="17"/>
      <c r="AU233" s="17"/>
      <c r="AV233" s="17"/>
      <c r="AW233" s="10"/>
      <c r="AX233" s="17"/>
      <c r="AY233" s="18" t="s">
        <v>257</v>
      </c>
      <c r="AZ233" s="10"/>
      <c r="BA233" s="20" t="b">
        <v>0</v>
      </c>
      <c r="BB233" s="10"/>
      <c r="BC233" s="17" t="s">
        <v>257</v>
      </c>
      <c r="BD233" s="17" t="s">
        <v>257</v>
      </c>
      <c r="BE233" s="17" t="s">
        <v>257</v>
      </c>
      <c r="BF233" s="17" t="s">
        <v>257</v>
      </c>
      <c r="BG233" s="11">
        <f ca="1">IFERROR(__xludf.DUMMYFUNCTION("""COMPUTED_VALUE"""),46040)</f>
        <v>46040</v>
      </c>
      <c r="BH233" s="17"/>
      <c r="BI233" s="17"/>
      <c r="BJ233" s="15"/>
      <c r="BK233" s="15"/>
      <c r="BL233" s="13" t="b">
        <v>0</v>
      </c>
      <c r="BM233" s="10"/>
      <c r="BN233" s="10" t="s">
        <v>351</v>
      </c>
      <c r="BO233" s="11">
        <v>45827.42083333333</v>
      </c>
      <c r="BP233" s="11">
        <v>46022.676006944443</v>
      </c>
      <c r="BQ233" s="15"/>
      <c r="BR233" s="15"/>
      <c r="BS233" s="10"/>
      <c r="BT233" s="10" t="s">
        <v>99</v>
      </c>
      <c r="BU233" s="10"/>
      <c r="BV233" s="10"/>
      <c r="BW233" s="10"/>
      <c r="BX233" s="10"/>
      <c r="BY233" s="23"/>
      <c r="BZ233" s="24" t="s">
        <v>284</v>
      </c>
      <c r="CA233" s="23"/>
      <c r="CB233" s="23"/>
      <c r="CC233" s="23"/>
      <c r="CD233" s="23"/>
      <c r="CE233" s="23"/>
      <c r="CF233" s="23"/>
      <c r="CG233" s="23"/>
      <c r="CH233" s="23"/>
      <c r="CI233" s="23"/>
    </row>
    <row r="234" spans="1:87" x14ac:dyDescent="0.3">
      <c r="A234" s="9" t="s">
        <v>2537</v>
      </c>
      <c r="B234" s="10" t="s">
        <v>2538</v>
      </c>
      <c r="C234" s="11">
        <v>46039.916666666664</v>
      </c>
      <c r="D234" s="12">
        <v>8.3333333333333329E-2</v>
      </c>
      <c r="E234" s="11">
        <v>46040</v>
      </c>
      <c r="F234" s="10" t="s">
        <v>262</v>
      </c>
      <c r="G234" s="13" t="b">
        <v>0</v>
      </c>
      <c r="H234" s="10" t="s">
        <v>527</v>
      </c>
      <c r="I234" s="10" t="s">
        <v>264</v>
      </c>
      <c r="J234" s="13" t="b">
        <v>0</v>
      </c>
      <c r="K234" s="13" t="b">
        <v>1</v>
      </c>
      <c r="L234" s="10" t="s">
        <v>124</v>
      </c>
      <c r="M234" s="10" t="s">
        <v>91</v>
      </c>
      <c r="N234" s="10" t="s">
        <v>265</v>
      </c>
      <c r="O234" s="10"/>
      <c r="P234" s="10"/>
      <c r="Q234" s="10" t="s">
        <v>126</v>
      </c>
      <c r="R234" s="10"/>
      <c r="S234" s="10"/>
      <c r="T234" s="10"/>
      <c r="U234" s="10" t="s">
        <v>588</v>
      </c>
      <c r="V234" s="10" t="s">
        <v>347</v>
      </c>
      <c r="W234" s="10" t="s">
        <v>272</v>
      </c>
      <c r="X234" s="10" t="s">
        <v>130</v>
      </c>
      <c r="Y234" s="10" t="s">
        <v>130</v>
      </c>
      <c r="Z234" s="10" t="s">
        <v>99</v>
      </c>
      <c r="AA234" s="10" t="s">
        <v>131</v>
      </c>
      <c r="AB234" s="10" t="s">
        <v>273</v>
      </c>
      <c r="AC234" s="10" t="s">
        <v>274</v>
      </c>
      <c r="AD234" s="10" t="s">
        <v>2539</v>
      </c>
      <c r="AE234" s="10" t="s">
        <v>2540</v>
      </c>
      <c r="AF234" s="15"/>
      <c r="AG234" s="10"/>
      <c r="AH234" s="10"/>
      <c r="AI234" s="10"/>
      <c r="AJ234" s="10"/>
      <c r="AK234" s="10"/>
      <c r="AL234" s="10" t="s">
        <v>2509</v>
      </c>
      <c r="AM234" s="10"/>
      <c r="AN234" s="10"/>
      <c r="AO234" s="13" t="b">
        <v>0</v>
      </c>
      <c r="AP234" s="10" t="s">
        <v>104</v>
      </c>
      <c r="AQ234" s="10"/>
      <c r="AR234" s="17"/>
      <c r="AS234" s="17"/>
      <c r="AT234" s="17"/>
      <c r="AU234" s="17"/>
      <c r="AV234" s="17"/>
      <c r="AW234" s="10"/>
      <c r="AX234" s="17"/>
      <c r="AY234" s="18" t="s">
        <v>257</v>
      </c>
      <c r="AZ234" s="10"/>
      <c r="BA234" s="20" t="b">
        <v>0</v>
      </c>
      <c r="BB234" s="10"/>
      <c r="BC234" s="17" t="s">
        <v>257</v>
      </c>
      <c r="BD234" s="17" t="s">
        <v>257</v>
      </c>
      <c r="BE234" s="17" t="s">
        <v>257</v>
      </c>
      <c r="BF234" s="17" t="s">
        <v>257</v>
      </c>
      <c r="BG234" s="11">
        <f ca="1">IFERROR(__xludf.DUMMYFUNCTION("""COMPUTED_VALUE"""),46039.9166666666)</f>
        <v>46039.916666666599</v>
      </c>
      <c r="BH234" s="17"/>
      <c r="BI234" s="17"/>
      <c r="BJ234" s="15"/>
      <c r="BK234" s="15"/>
      <c r="BL234" s="13" t="b">
        <v>1</v>
      </c>
      <c r="BM234" s="10"/>
      <c r="BN234" s="10" t="s">
        <v>351</v>
      </c>
      <c r="BO234" s="11">
        <v>45827.42083333333</v>
      </c>
      <c r="BP234" s="11">
        <v>46022.677499999998</v>
      </c>
      <c r="BQ234" s="15"/>
      <c r="BR234" s="15"/>
      <c r="BS234" s="10"/>
      <c r="BT234" s="10" t="s">
        <v>99</v>
      </c>
      <c r="BU234" s="10"/>
      <c r="BV234" s="10"/>
      <c r="BW234" s="10"/>
      <c r="BX234" s="10"/>
      <c r="BY234" s="23"/>
      <c r="BZ234" s="24" t="s">
        <v>299</v>
      </c>
      <c r="CA234" s="23"/>
      <c r="CB234" s="23"/>
      <c r="CC234" s="23"/>
      <c r="CD234" s="23"/>
      <c r="CE234" s="23"/>
      <c r="CF234" s="23"/>
      <c r="CG234" s="23"/>
      <c r="CH234" s="23"/>
      <c r="CI234" s="23"/>
    </row>
    <row r="235" spans="1:87" x14ac:dyDescent="0.3">
      <c r="A235" s="9" t="s">
        <v>2541</v>
      </c>
      <c r="B235" s="10" t="s">
        <v>2542</v>
      </c>
      <c r="C235" s="11">
        <v>46039.916666666664</v>
      </c>
      <c r="D235" s="12">
        <v>8.3333333333333329E-2</v>
      </c>
      <c r="E235" s="11">
        <v>46040</v>
      </c>
      <c r="F235" s="10" t="s">
        <v>262</v>
      </c>
      <c r="G235" s="13" t="b">
        <v>0</v>
      </c>
      <c r="H235" s="10" t="s">
        <v>527</v>
      </c>
      <c r="I235" s="10" t="s">
        <v>264</v>
      </c>
      <c r="J235" s="13" t="b">
        <v>0</v>
      </c>
      <c r="K235" s="13" t="b">
        <v>1</v>
      </c>
      <c r="L235" s="10" t="s">
        <v>124</v>
      </c>
      <c r="M235" s="10" t="s">
        <v>91</v>
      </c>
      <c r="N235" s="10" t="s">
        <v>265</v>
      </c>
      <c r="O235" s="10"/>
      <c r="P235" s="10"/>
      <c r="Q235" s="10" t="s">
        <v>126</v>
      </c>
      <c r="R235" s="10"/>
      <c r="S235" s="10"/>
      <c r="T235" s="10"/>
      <c r="U235" s="10" t="s">
        <v>429</v>
      </c>
      <c r="V235" s="10" t="s">
        <v>451</v>
      </c>
      <c r="W235" s="10" t="s">
        <v>272</v>
      </c>
      <c r="X235" s="10" t="s">
        <v>130</v>
      </c>
      <c r="Y235" s="10" t="s">
        <v>130</v>
      </c>
      <c r="Z235" s="10" t="s">
        <v>99</v>
      </c>
      <c r="AA235" s="10" t="s">
        <v>131</v>
      </c>
      <c r="AB235" s="10" t="s">
        <v>273</v>
      </c>
      <c r="AC235" s="10" t="s">
        <v>274</v>
      </c>
      <c r="AD235" s="10" t="s">
        <v>2543</v>
      </c>
      <c r="AE235" s="10" t="s">
        <v>2544</v>
      </c>
      <c r="AF235" s="15"/>
      <c r="AG235" s="10"/>
      <c r="AH235" s="10"/>
      <c r="AI235" s="10"/>
      <c r="AJ235" s="10"/>
      <c r="AK235" s="10"/>
      <c r="AL235" s="10" t="s">
        <v>2509</v>
      </c>
      <c r="AM235" s="10"/>
      <c r="AN235" s="10"/>
      <c r="AO235" s="13" t="b">
        <v>1</v>
      </c>
      <c r="AP235" s="10" t="s">
        <v>104</v>
      </c>
      <c r="AQ235" s="10"/>
      <c r="AR235" s="17"/>
      <c r="AS235" s="17"/>
      <c r="AT235" s="17"/>
      <c r="AU235" s="17"/>
      <c r="AV235" s="17"/>
      <c r="AW235" s="10"/>
      <c r="AX235" s="17"/>
      <c r="AY235" s="18" t="s">
        <v>257</v>
      </c>
      <c r="AZ235" s="10"/>
      <c r="BA235" s="20" t="b">
        <v>0</v>
      </c>
      <c r="BB235" s="10"/>
      <c r="BC235" s="17" t="s">
        <v>257</v>
      </c>
      <c r="BD235" s="17" t="s">
        <v>257</v>
      </c>
      <c r="BE235" s="17" t="s">
        <v>257</v>
      </c>
      <c r="BF235" s="17" t="s">
        <v>257</v>
      </c>
      <c r="BG235" s="11">
        <f ca="1">IFERROR(__xludf.DUMMYFUNCTION("""COMPUTED_VALUE"""),46039.9166666666)</f>
        <v>46039.916666666599</v>
      </c>
      <c r="BH235" s="17"/>
      <c r="BI235" s="17"/>
      <c r="BJ235" s="15"/>
      <c r="BK235" s="15"/>
      <c r="BL235" s="13" t="b">
        <v>1</v>
      </c>
      <c r="BM235" s="10"/>
      <c r="BN235" s="10" t="s">
        <v>351</v>
      </c>
      <c r="BO235" s="11">
        <v>45827.42083333333</v>
      </c>
      <c r="BP235" s="11">
        <v>46031.732511574075</v>
      </c>
      <c r="BQ235" s="15"/>
      <c r="BR235" s="15"/>
      <c r="BS235" s="10"/>
      <c r="BT235" s="10" t="s">
        <v>99</v>
      </c>
      <c r="BU235" s="10"/>
      <c r="BV235" s="10"/>
      <c r="BW235" s="10"/>
      <c r="BX235" s="10"/>
      <c r="BY235" s="23"/>
      <c r="BZ235" s="24" t="s">
        <v>284</v>
      </c>
      <c r="CA235" s="23"/>
      <c r="CB235" s="23"/>
      <c r="CC235" s="23"/>
      <c r="CD235" s="23"/>
      <c r="CE235" s="23"/>
      <c r="CF235" s="23"/>
      <c r="CG235" s="23"/>
      <c r="CH235" s="23"/>
      <c r="CI235" s="23"/>
    </row>
    <row r="236" spans="1:87" x14ac:dyDescent="0.3">
      <c r="A236" s="9" t="s">
        <v>2545</v>
      </c>
      <c r="B236" s="10" t="s">
        <v>2546</v>
      </c>
      <c r="C236" s="11">
        <v>46040.875</v>
      </c>
      <c r="D236" s="12">
        <v>8.3333333333333329E-2</v>
      </c>
      <c r="E236" s="11">
        <v>46040.958333333336</v>
      </c>
      <c r="F236" s="10" t="s">
        <v>262</v>
      </c>
      <c r="G236" s="13" t="b">
        <v>1</v>
      </c>
      <c r="H236" s="10" t="s">
        <v>263</v>
      </c>
      <c r="I236" s="10" t="s">
        <v>264</v>
      </c>
      <c r="J236" s="13" t="b">
        <v>0</v>
      </c>
      <c r="K236" s="13" t="b">
        <v>1</v>
      </c>
      <c r="L236" s="10" t="s">
        <v>124</v>
      </c>
      <c r="M236" s="10" t="s">
        <v>91</v>
      </c>
      <c r="N236" s="10" t="s">
        <v>265</v>
      </c>
      <c r="O236" s="10"/>
      <c r="P236" s="10" t="s">
        <v>267</v>
      </c>
      <c r="Q236" s="10" t="s">
        <v>126</v>
      </c>
      <c r="R236" s="10"/>
      <c r="S236" s="10"/>
      <c r="T236" s="10"/>
      <c r="U236" s="10" t="s">
        <v>333</v>
      </c>
      <c r="V236" s="10" t="s">
        <v>293</v>
      </c>
      <c r="W236" s="10" t="s">
        <v>272</v>
      </c>
      <c r="X236" s="10" t="s">
        <v>130</v>
      </c>
      <c r="Y236" s="10" t="s">
        <v>130</v>
      </c>
      <c r="Z236" s="10" t="s">
        <v>99</v>
      </c>
      <c r="AA236" s="10" t="s">
        <v>131</v>
      </c>
      <c r="AB236" s="10" t="s">
        <v>273</v>
      </c>
      <c r="AC236" s="10" t="s">
        <v>274</v>
      </c>
      <c r="AD236" s="10" t="s">
        <v>2547</v>
      </c>
      <c r="AE236" s="10" t="s">
        <v>2548</v>
      </c>
      <c r="AF236" s="15"/>
      <c r="AG236" s="10"/>
      <c r="AH236" s="10"/>
      <c r="AI236" s="10"/>
      <c r="AJ236" s="10"/>
      <c r="AK236" s="10"/>
      <c r="AL236" s="10" t="s">
        <v>2509</v>
      </c>
      <c r="AM236" s="10"/>
      <c r="AN236" s="10"/>
      <c r="AO236" s="13" t="b">
        <v>0</v>
      </c>
      <c r="AP236" s="10" t="s">
        <v>104</v>
      </c>
      <c r="AQ236" s="10"/>
      <c r="AR236" s="17"/>
      <c r="AS236" s="17"/>
      <c r="AT236" s="17"/>
      <c r="AU236" s="17"/>
      <c r="AV236" s="17"/>
      <c r="AW236" s="10"/>
      <c r="AX236" s="17"/>
      <c r="AY236" s="18" t="s">
        <v>257</v>
      </c>
      <c r="AZ236" s="10"/>
      <c r="BA236" s="20" t="b">
        <v>0</v>
      </c>
      <c r="BB236" s="10"/>
      <c r="BC236" s="17" t="s">
        <v>257</v>
      </c>
      <c r="BD236" s="17" t="s">
        <v>257</v>
      </c>
      <c r="BE236" s="17" t="s">
        <v>257</v>
      </c>
      <c r="BF236" s="17" t="s">
        <v>257</v>
      </c>
      <c r="BG236" s="11">
        <f ca="1">IFERROR(__xludf.DUMMYFUNCTION("""COMPUTED_VALUE"""),46040.8541666666)</f>
        <v>46040.854166666599</v>
      </c>
      <c r="BH236" s="17"/>
      <c r="BI236" s="17"/>
      <c r="BJ236" s="15"/>
      <c r="BK236" s="15"/>
      <c r="BL236" s="13" t="b">
        <v>0</v>
      </c>
      <c r="BM236" s="10"/>
      <c r="BN236" s="10" t="s">
        <v>351</v>
      </c>
      <c r="BO236" s="11">
        <v>45827.42083333333</v>
      </c>
      <c r="BP236" s="11">
        <v>46022.676458333335</v>
      </c>
      <c r="BQ236" s="15"/>
      <c r="BR236" s="15"/>
      <c r="BS236" s="10"/>
      <c r="BT236" s="10" t="s">
        <v>99</v>
      </c>
      <c r="BU236" s="10"/>
      <c r="BV236" s="10"/>
      <c r="BW236" s="10"/>
      <c r="BX236" s="10"/>
      <c r="BY236" s="23"/>
      <c r="BZ236" s="24" t="s">
        <v>299</v>
      </c>
      <c r="CA236" s="23"/>
      <c r="CB236" s="23"/>
      <c r="CC236" s="23"/>
      <c r="CD236" s="23"/>
      <c r="CE236" s="23"/>
      <c r="CF236" s="23"/>
      <c r="CG236" s="23"/>
      <c r="CH236" s="23"/>
      <c r="CI236" s="23"/>
    </row>
    <row r="237" spans="1:87" x14ac:dyDescent="0.3">
      <c r="A237" s="9" t="s">
        <v>2549</v>
      </c>
      <c r="B237" s="10" t="s">
        <v>2550</v>
      </c>
      <c r="C237" s="11">
        <v>46047.020833333336</v>
      </c>
      <c r="D237" s="12">
        <v>8.3333333333333329E-2</v>
      </c>
      <c r="E237" s="11">
        <v>46047.104166666664</v>
      </c>
      <c r="F237" s="10" t="s">
        <v>262</v>
      </c>
      <c r="G237" s="13" t="b">
        <v>1</v>
      </c>
      <c r="H237" s="10" t="s">
        <v>263</v>
      </c>
      <c r="I237" s="10" t="s">
        <v>264</v>
      </c>
      <c r="J237" s="13" t="b">
        <v>0</v>
      </c>
      <c r="K237" s="13" t="b">
        <v>1</v>
      </c>
      <c r="L237" s="10" t="s">
        <v>124</v>
      </c>
      <c r="M237" s="10" t="s">
        <v>91</v>
      </c>
      <c r="N237" s="10" t="s">
        <v>265</v>
      </c>
      <c r="O237" s="10"/>
      <c r="P237" s="10" t="s">
        <v>267</v>
      </c>
      <c r="Q237" s="10" t="s">
        <v>126</v>
      </c>
      <c r="R237" s="10"/>
      <c r="S237" s="10"/>
      <c r="T237" s="10"/>
      <c r="U237" s="10" t="s">
        <v>271</v>
      </c>
      <c r="V237" s="10" t="s">
        <v>270</v>
      </c>
      <c r="W237" s="10" t="s">
        <v>272</v>
      </c>
      <c r="X237" s="10" t="s">
        <v>130</v>
      </c>
      <c r="Y237" s="10" t="s">
        <v>130</v>
      </c>
      <c r="Z237" s="10" t="s">
        <v>99</v>
      </c>
      <c r="AA237" s="10" t="s">
        <v>131</v>
      </c>
      <c r="AB237" s="10" t="s">
        <v>273</v>
      </c>
      <c r="AC237" s="10" t="s">
        <v>274</v>
      </c>
      <c r="AD237" s="10" t="s">
        <v>2551</v>
      </c>
      <c r="AE237" s="10" t="s">
        <v>2552</v>
      </c>
      <c r="AF237" s="15"/>
      <c r="AG237" s="10"/>
      <c r="AH237" s="10"/>
      <c r="AI237" s="10"/>
      <c r="AJ237" s="10"/>
      <c r="AK237" s="10"/>
      <c r="AL237" s="10" t="s">
        <v>2553</v>
      </c>
      <c r="AM237" s="10"/>
      <c r="AN237" s="10"/>
      <c r="AO237" s="13" t="b">
        <v>1</v>
      </c>
      <c r="AP237" s="10" t="s">
        <v>104</v>
      </c>
      <c r="AQ237" s="10"/>
      <c r="AR237" s="17"/>
      <c r="AS237" s="17"/>
      <c r="AT237" s="17"/>
      <c r="AU237" s="17"/>
      <c r="AV237" s="17"/>
      <c r="AW237" s="10"/>
      <c r="AX237" s="17"/>
      <c r="AY237" s="18" t="s">
        <v>257</v>
      </c>
      <c r="AZ237" s="10"/>
      <c r="BA237" s="20" t="b">
        <v>0</v>
      </c>
      <c r="BB237" s="10"/>
      <c r="BC237" s="17" t="s">
        <v>257</v>
      </c>
      <c r="BD237" s="17" t="s">
        <v>257</v>
      </c>
      <c r="BE237" s="17" t="s">
        <v>257</v>
      </c>
      <c r="BF237" s="17" t="s">
        <v>257</v>
      </c>
      <c r="BG237" s="11">
        <f ca="1">IFERROR(__xludf.DUMMYFUNCTION("""COMPUTED_VALUE"""),46047)</f>
        <v>46047</v>
      </c>
      <c r="BH237" s="17"/>
      <c r="BI237" s="17"/>
      <c r="BJ237" s="15"/>
      <c r="BK237" s="15"/>
      <c r="BL237" s="13" t="b">
        <v>0</v>
      </c>
      <c r="BM237" s="10"/>
      <c r="BN237" s="10" t="s">
        <v>351</v>
      </c>
      <c r="BO237" s="11">
        <v>45827.42083333333</v>
      </c>
      <c r="BP237" s="11">
        <v>46022.679907407408</v>
      </c>
      <c r="BQ237" s="15"/>
      <c r="BR237" s="15"/>
      <c r="BS237" s="10"/>
      <c r="BT237" s="10" t="s">
        <v>99</v>
      </c>
      <c r="BU237" s="10"/>
      <c r="BV237" s="10"/>
      <c r="BW237" s="10"/>
      <c r="BX237" s="10"/>
      <c r="BY237" s="23"/>
      <c r="BZ237" s="24" t="s">
        <v>284</v>
      </c>
      <c r="CA237" s="23"/>
      <c r="CB237" s="23"/>
      <c r="CC237" s="23"/>
      <c r="CD237" s="23"/>
      <c r="CE237" s="23"/>
      <c r="CF237" s="23"/>
      <c r="CG237" s="23"/>
      <c r="CH237" s="23"/>
      <c r="CI237" s="23"/>
    </row>
    <row r="238" spans="1:87" x14ac:dyDescent="0.3">
      <c r="A238" s="9" t="s">
        <v>2554</v>
      </c>
      <c r="B238" s="10" t="s">
        <v>2555</v>
      </c>
      <c r="C238" s="11">
        <v>46047.979166666664</v>
      </c>
      <c r="D238" s="12">
        <v>8.3333333333333329E-2</v>
      </c>
      <c r="E238" s="11">
        <v>46048.0625</v>
      </c>
      <c r="F238" s="10" t="s">
        <v>262</v>
      </c>
      <c r="G238" s="13" t="b">
        <v>1</v>
      </c>
      <c r="H238" s="10" t="s">
        <v>263</v>
      </c>
      <c r="I238" s="10" t="s">
        <v>264</v>
      </c>
      <c r="J238" s="13" t="b">
        <v>0</v>
      </c>
      <c r="K238" s="13" t="b">
        <v>1</v>
      </c>
      <c r="L238" s="10" t="s">
        <v>124</v>
      </c>
      <c r="M238" s="10" t="s">
        <v>91</v>
      </c>
      <c r="N238" s="10" t="s">
        <v>265</v>
      </c>
      <c r="O238" s="10"/>
      <c r="P238" s="10" t="s">
        <v>267</v>
      </c>
      <c r="Q238" s="10" t="s">
        <v>126</v>
      </c>
      <c r="R238" s="10"/>
      <c r="S238" s="10"/>
      <c r="T238" s="10"/>
      <c r="U238" s="10" t="s">
        <v>362</v>
      </c>
      <c r="V238" s="10" t="s">
        <v>361</v>
      </c>
      <c r="W238" s="10" t="s">
        <v>272</v>
      </c>
      <c r="X238" s="10" t="s">
        <v>130</v>
      </c>
      <c r="Y238" s="10" t="s">
        <v>130</v>
      </c>
      <c r="Z238" s="10" t="s">
        <v>99</v>
      </c>
      <c r="AA238" s="10" t="s">
        <v>131</v>
      </c>
      <c r="AB238" s="10" t="s">
        <v>273</v>
      </c>
      <c r="AC238" s="10" t="s">
        <v>274</v>
      </c>
      <c r="AD238" s="10" t="s">
        <v>2556</v>
      </c>
      <c r="AE238" s="10" t="s">
        <v>2557</v>
      </c>
      <c r="AF238" s="15"/>
      <c r="AG238" s="10"/>
      <c r="AH238" s="10"/>
      <c r="AI238" s="10"/>
      <c r="AJ238" s="10"/>
      <c r="AK238" s="10"/>
      <c r="AL238" s="10" t="s">
        <v>2553</v>
      </c>
      <c r="AM238" s="10"/>
      <c r="AN238" s="10"/>
      <c r="AO238" s="13" t="b">
        <v>1</v>
      </c>
      <c r="AP238" s="10" t="s">
        <v>104</v>
      </c>
      <c r="AQ238" s="10"/>
      <c r="AR238" s="17"/>
      <c r="AS238" s="17"/>
      <c r="AT238" s="17"/>
      <c r="AU238" s="17"/>
      <c r="AV238" s="17"/>
      <c r="AW238" s="10"/>
      <c r="AX238" s="17"/>
      <c r="AY238" s="18" t="s">
        <v>257</v>
      </c>
      <c r="AZ238" s="10"/>
      <c r="BA238" s="20" t="b">
        <v>0</v>
      </c>
      <c r="BB238" s="10"/>
      <c r="BC238" s="17" t="s">
        <v>257</v>
      </c>
      <c r="BD238" s="17" t="s">
        <v>257</v>
      </c>
      <c r="BE238" s="17" t="s">
        <v>257</v>
      </c>
      <c r="BF238" s="17" t="s">
        <v>257</v>
      </c>
      <c r="BG238" s="11">
        <f ca="1">IFERROR(__xludf.DUMMYFUNCTION("""COMPUTED_VALUE"""),46047.9583333333)</f>
        <v>46047.958333333299</v>
      </c>
      <c r="BH238" s="17"/>
      <c r="BI238" s="17"/>
      <c r="BJ238" s="15"/>
      <c r="BK238" s="15"/>
      <c r="BL238" s="13" t="b">
        <v>0</v>
      </c>
      <c r="BM238" s="10"/>
      <c r="BN238" s="10" t="s">
        <v>351</v>
      </c>
      <c r="BO238" s="11">
        <v>45827.42083333333</v>
      </c>
      <c r="BP238" s="11">
        <v>46022.68178240741</v>
      </c>
      <c r="BQ238" s="15"/>
      <c r="BR238" s="15"/>
      <c r="BS238" s="10"/>
      <c r="BT238" s="10" t="s">
        <v>99</v>
      </c>
      <c r="BU238" s="10"/>
      <c r="BV238" s="10" t="s">
        <v>499</v>
      </c>
      <c r="BW238" s="10" t="s">
        <v>2532</v>
      </c>
      <c r="BX238" s="10"/>
      <c r="BY238" s="23"/>
      <c r="BZ238" s="24" t="s">
        <v>368</v>
      </c>
      <c r="CA238" s="23"/>
      <c r="CB238" s="23"/>
      <c r="CC238" s="23"/>
      <c r="CD238" s="23"/>
      <c r="CE238" s="23"/>
      <c r="CF238" s="23"/>
      <c r="CG238" s="23"/>
      <c r="CH238" s="23"/>
      <c r="CI238" s="23"/>
    </row>
    <row r="239" spans="1:87" x14ac:dyDescent="0.3">
      <c r="A239" s="9" t="s">
        <v>2558</v>
      </c>
      <c r="B239" s="10" t="s">
        <v>2559</v>
      </c>
      <c r="C239" s="11">
        <v>46047.875</v>
      </c>
      <c r="D239" s="12">
        <v>8.3333333333333329E-2</v>
      </c>
      <c r="E239" s="11">
        <v>46047.958333333336</v>
      </c>
      <c r="F239" s="10" t="s">
        <v>262</v>
      </c>
      <c r="G239" s="13" t="b">
        <v>0</v>
      </c>
      <c r="H239" s="10" t="s">
        <v>527</v>
      </c>
      <c r="I239" s="10" t="s">
        <v>264</v>
      </c>
      <c r="J239" s="13" t="b">
        <v>0</v>
      </c>
      <c r="K239" s="13" t="b">
        <v>1</v>
      </c>
      <c r="L239" s="10" t="s">
        <v>124</v>
      </c>
      <c r="M239" s="10" t="s">
        <v>91</v>
      </c>
      <c r="N239" s="10" t="s">
        <v>265</v>
      </c>
      <c r="O239" s="10"/>
      <c r="P239" s="10"/>
      <c r="Q239" s="10" t="s">
        <v>126</v>
      </c>
      <c r="R239" s="10"/>
      <c r="S239" s="10"/>
      <c r="T239" s="10"/>
      <c r="U239" s="10" t="s">
        <v>321</v>
      </c>
      <c r="V239" s="10" t="s">
        <v>320</v>
      </c>
      <c r="W239" s="10" t="s">
        <v>272</v>
      </c>
      <c r="X239" s="10" t="s">
        <v>130</v>
      </c>
      <c r="Y239" s="10" t="s">
        <v>130</v>
      </c>
      <c r="Z239" s="10" t="s">
        <v>99</v>
      </c>
      <c r="AA239" s="10" t="s">
        <v>131</v>
      </c>
      <c r="AB239" s="10" t="s">
        <v>273</v>
      </c>
      <c r="AC239" s="10" t="s">
        <v>274</v>
      </c>
      <c r="AD239" s="10" t="s">
        <v>2560</v>
      </c>
      <c r="AE239" s="10" t="s">
        <v>2561</v>
      </c>
      <c r="AF239" s="15"/>
      <c r="AG239" s="10"/>
      <c r="AH239" s="10"/>
      <c r="AI239" s="10"/>
      <c r="AJ239" s="10"/>
      <c r="AK239" s="10"/>
      <c r="AL239" s="10" t="s">
        <v>2553</v>
      </c>
      <c r="AM239" s="10"/>
      <c r="AN239" s="10"/>
      <c r="AO239" s="13" t="b">
        <v>0</v>
      </c>
      <c r="AP239" s="10" t="s">
        <v>104</v>
      </c>
      <c r="AQ239" s="10"/>
      <c r="AR239" s="17"/>
      <c r="AS239" s="17"/>
      <c r="AT239" s="17"/>
      <c r="AU239" s="17"/>
      <c r="AV239" s="17"/>
      <c r="AW239" s="10"/>
      <c r="AX239" s="17"/>
      <c r="AY239" s="18" t="s">
        <v>257</v>
      </c>
      <c r="AZ239" s="10"/>
      <c r="BA239" s="20" t="b">
        <v>0</v>
      </c>
      <c r="BB239" s="10"/>
      <c r="BC239" s="17" t="s">
        <v>257</v>
      </c>
      <c r="BD239" s="17" t="s">
        <v>257</v>
      </c>
      <c r="BE239" s="17" t="s">
        <v>257</v>
      </c>
      <c r="BF239" s="17" t="s">
        <v>257</v>
      </c>
      <c r="BG239" s="11">
        <f ca="1">IFERROR(__xludf.DUMMYFUNCTION("""COMPUTED_VALUE"""),46047.875)</f>
        <v>46047.875</v>
      </c>
      <c r="BH239" s="17"/>
      <c r="BI239" s="17"/>
      <c r="BJ239" s="15"/>
      <c r="BK239" s="15"/>
      <c r="BL239" s="13" t="b">
        <v>1</v>
      </c>
      <c r="BM239" s="10"/>
      <c r="BN239" s="10" t="s">
        <v>351</v>
      </c>
      <c r="BO239" s="11">
        <v>45827.42083333333</v>
      </c>
      <c r="BP239" s="11">
        <v>46022.680300925924</v>
      </c>
      <c r="BQ239" s="15"/>
      <c r="BR239" s="15"/>
      <c r="BS239" s="10"/>
      <c r="BT239" s="10" t="s">
        <v>99</v>
      </c>
      <c r="BU239" s="10"/>
      <c r="BV239" s="10"/>
      <c r="BW239" s="10"/>
      <c r="BX239" s="10"/>
      <c r="BY239" s="23"/>
      <c r="BZ239" s="24" t="s">
        <v>299</v>
      </c>
      <c r="CA239" s="23"/>
      <c r="CB239" s="23"/>
      <c r="CC239" s="23"/>
      <c r="CD239" s="23"/>
      <c r="CE239" s="23"/>
      <c r="CF239" s="23"/>
      <c r="CG239" s="23"/>
      <c r="CH239" s="23"/>
      <c r="CI239" s="23"/>
    </row>
    <row r="240" spans="1:87" x14ac:dyDescent="0.3">
      <c r="A240" s="9" t="s">
        <v>2562</v>
      </c>
      <c r="B240" s="10" t="s">
        <v>2563</v>
      </c>
      <c r="C240" s="11">
        <v>46046.916666666664</v>
      </c>
      <c r="D240" s="12">
        <v>8.3333333333333329E-2</v>
      </c>
      <c r="E240" s="11">
        <v>46047</v>
      </c>
      <c r="F240" s="10" t="s">
        <v>262</v>
      </c>
      <c r="G240" s="13" t="b">
        <v>0</v>
      </c>
      <c r="H240" s="10" t="s">
        <v>305</v>
      </c>
      <c r="I240" s="10" t="s">
        <v>264</v>
      </c>
      <c r="J240" s="13" t="b">
        <v>0</v>
      </c>
      <c r="K240" s="13" t="b">
        <v>1</v>
      </c>
      <c r="L240" s="10" t="s">
        <v>124</v>
      </c>
      <c r="M240" s="10" t="s">
        <v>91</v>
      </c>
      <c r="N240" s="10" t="s">
        <v>265</v>
      </c>
      <c r="O240" s="10"/>
      <c r="P240" s="10"/>
      <c r="Q240" s="10" t="s">
        <v>126</v>
      </c>
      <c r="R240" s="10"/>
      <c r="S240" s="10"/>
      <c r="T240" s="10"/>
      <c r="U240" s="10" t="s">
        <v>609</v>
      </c>
      <c r="V240" s="10" t="s">
        <v>429</v>
      </c>
      <c r="W240" s="10" t="s">
        <v>272</v>
      </c>
      <c r="X240" s="10" t="s">
        <v>130</v>
      </c>
      <c r="Y240" s="10" t="s">
        <v>130</v>
      </c>
      <c r="Z240" s="10" t="s">
        <v>99</v>
      </c>
      <c r="AA240" s="10" t="s">
        <v>131</v>
      </c>
      <c r="AB240" s="10" t="s">
        <v>273</v>
      </c>
      <c r="AC240" s="10" t="s">
        <v>274</v>
      </c>
      <c r="AD240" s="10" t="s">
        <v>2564</v>
      </c>
      <c r="AE240" s="10" t="s">
        <v>2565</v>
      </c>
      <c r="AF240" s="15"/>
      <c r="AG240" s="10"/>
      <c r="AH240" s="10"/>
      <c r="AI240" s="10"/>
      <c r="AJ240" s="10"/>
      <c r="AK240" s="10"/>
      <c r="AL240" s="10" t="s">
        <v>2553</v>
      </c>
      <c r="AM240" s="10"/>
      <c r="AN240" s="10"/>
      <c r="AO240" s="13" t="b">
        <v>1</v>
      </c>
      <c r="AP240" s="10" t="s">
        <v>104</v>
      </c>
      <c r="AQ240" s="10"/>
      <c r="AR240" s="17"/>
      <c r="AS240" s="17"/>
      <c r="AT240" s="17"/>
      <c r="AU240" s="17"/>
      <c r="AV240" s="17"/>
      <c r="AW240" s="10"/>
      <c r="AX240" s="17"/>
      <c r="AY240" s="18" t="s">
        <v>257</v>
      </c>
      <c r="AZ240" s="10"/>
      <c r="BA240" s="20" t="b">
        <v>0</v>
      </c>
      <c r="BB240" s="10"/>
      <c r="BC240" s="17" t="s">
        <v>257</v>
      </c>
      <c r="BD240" s="17" t="s">
        <v>257</v>
      </c>
      <c r="BE240" s="17" t="s">
        <v>257</v>
      </c>
      <c r="BF240" s="17" t="s">
        <v>257</v>
      </c>
      <c r="BG240" s="11">
        <f ca="1">IFERROR(__xludf.DUMMYFUNCTION("""COMPUTED_VALUE"""),46046.9166666666)</f>
        <v>46046.916666666599</v>
      </c>
      <c r="BH240" s="17"/>
      <c r="BI240" s="17"/>
      <c r="BJ240" s="15"/>
      <c r="BK240" s="15"/>
      <c r="BL240" s="13" t="b">
        <v>0</v>
      </c>
      <c r="BM240" s="10"/>
      <c r="BN240" s="10" t="s">
        <v>351</v>
      </c>
      <c r="BO240" s="11">
        <v>45827.42083333333</v>
      </c>
      <c r="BP240" s="11">
        <v>46022.679120370369</v>
      </c>
      <c r="BQ240" s="15"/>
      <c r="BR240" s="15"/>
      <c r="BS240" s="10"/>
      <c r="BT240" s="10" t="s">
        <v>99</v>
      </c>
      <c r="BU240" s="10"/>
      <c r="BV240" s="10"/>
      <c r="BW240" s="10"/>
      <c r="BX240" s="10"/>
      <c r="BY240" s="23"/>
      <c r="BZ240" s="24" t="s">
        <v>284</v>
      </c>
      <c r="CA240" s="23"/>
      <c r="CB240" s="23"/>
      <c r="CC240" s="23"/>
      <c r="CD240" s="23"/>
      <c r="CE240" s="23"/>
      <c r="CF240" s="23"/>
      <c r="CG240" s="23"/>
      <c r="CH240" s="23"/>
      <c r="CI240" s="23"/>
    </row>
    <row r="241" spans="1:87" x14ac:dyDescent="0.3">
      <c r="A241" s="9" t="s">
        <v>2566</v>
      </c>
      <c r="B241" s="10" t="s">
        <v>2567</v>
      </c>
      <c r="C241" s="11">
        <v>46047.875</v>
      </c>
      <c r="D241" s="12">
        <v>8.3333333333333329E-2</v>
      </c>
      <c r="E241" s="11">
        <v>46047.958333333336</v>
      </c>
      <c r="F241" s="10" t="s">
        <v>262</v>
      </c>
      <c r="G241" s="13" t="b">
        <v>0</v>
      </c>
      <c r="H241" s="10"/>
      <c r="I241" s="10" t="s">
        <v>264</v>
      </c>
      <c r="J241" s="13" t="b">
        <v>0</v>
      </c>
      <c r="K241" s="13" t="b">
        <v>1</v>
      </c>
      <c r="L241" s="10" t="s">
        <v>124</v>
      </c>
      <c r="M241" s="10" t="s">
        <v>91</v>
      </c>
      <c r="N241" s="10" t="s">
        <v>265</v>
      </c>
      <c r="O241" s="10"/>
      <c r="P241" s="10"/>
      <c r="Q241" s="10" t="s">
        <v>126</v>
      </c>
      <c r="R241" s="10"/>
      <c r="S241" s="10"/>
      <c r="T241" s="10"/>
      <c r="U241" s="10" t="s">
        <v>347</v>
      </c>
      <c r="V241" s="10" t="s">
        <v>346</v>
      </c>
      <c r="W241" s="10" t="s">
        <v>272</v>
      </c>
      <c r="X241" s="10" t="s">
        <v>130</v>
      </c>
      <c r="Y241" s="10" t="s">
        <v>130</v>
      </c>
      <c r="Z241" s="10" t="s">
        <v>99</v>
      </c>
      <c r="AA241" s="10" t="s">
        <v>131</v>
      </c>
      <c r="AB241" s="10" t="s">
        <v>273</v>
      </c>
      <c r="AC241" s="10" t="s">
        <v>274</v>
      </c>
      <c r="AD241" s="10" t="s">
        <v>2568</v>
      </c>
      <c r="AE241" s="10" t="s">
        <v>2569</v>
      </c>
      <c r="AF241" s="15"/>
      <c r="AG241" s="10"/>
      <c r="AH241" s="10"/>
      <c r="AI241" s="10"/>
      <c r="AJ241" s="10"/>
      <c r="AK241" s="10"/>
      <c r="AL241" s="10" t="s">
        <v>2553</v>
      </c>
      <c r="AM241" s="10"/>
      <c r="AN241" s="10"/>
      <c r="AO241" s="13" t="b">
        <v>1</v>
      </c>
      <c r="AP241" s="10" t="s">
        <v>104</v>
      </c>
      <c r="AQ241" s="10"/>
      <c r="AR241" s="17"/>
      <c r="AS241" s="17"/>
      <c r="AT241" s="17"/>
      <c r="AU241" s="17"/>
      <c r="AV241" s="17"/>
      <c r="AW241" s="10"/>
      <c r="AX241" s="17"/>
      <c r="AY241" s="18" t="s">
        <v>257</v>
      </c>
      <c r="AZ241" s="10"/>
      <c r="BA241" s="20" t="b">
        <v>0</v>
      </c>
      <c r="BB241" s="10"/>
      <c r="BC241" s="17" t="s">
        <v>257</v>
      </c>
      <c r="BD241" s="17" t="s">
        <v>257</v>
      </c>
      <c r="BE241" s="17" t="s">
        <v>257</v>
      </c>
      <c r="BF241" s="17" t="s">
        <v>257</v>
      </c>
      <c r="BG241" s="11">
        <f ca="1">IFERROR(__xludf.DUMMYFUNCTION("""COMPUTED_VALUE"""),46047.875)</f>
        <v>46047.875</v>
      </c>
      <c r="BH241" s="17"/>
      <c r="BI241" s="17"/>
      <c r="BJ241" s="15"/>
      <c r="BK241" s="15"/>
      <c r="BL241" s="13" t="b">
        <v>0</v>
      </c>
      <c r="BM241" s="10"/>
      <c r="BN241" s="10" t="s">
        <v>351</v>
      </c>
      <c r="BO241" s="11">
        <v>45827.42083333333</v>
      </c>
      <c r="BP241" s="11">
        <v>46022.681319444448</v>
      </c>
      <c r="BQ241" s="15"/>
      <c r="BR241" s="15"/>
      <c r="BS241" s="10"/>
      <c r="BT241" s="10" t="s">
        <v>99</v>
      </c>
      <c r="BU241" s="10"/>
      <c r="BV241" s="10" t="s">
        <v>281</v>
      </c>
      <c r="BW241" s="10" t="s">
        <v>2100</v>
      </c>
      <c r="BX241" s="10"/>
      <c r="BY241" s="23"/>
      <c r="BZ241" s="24" t="s">
        <v>284</v>
      </c>
      <c r="CA241" s="23"/>
      <c r="CB241" s="23"/>
      <c r="CC241" s="23"/>
      <c r="CD241" s="23"/>
      <c r="CE241" s="23"/>
      <c r="CF241" s="23"/>
      <c r="CG241" s="23"/>
      <c r="CH241" s="23"/>
      <c r="CI241" s="23"/>
    </row>
    <row r="242" spans="1:87" x14ac:dyDescent="0.3">
      <c r="A242" s="9" t="s">
        <v>2570</v>
      </c>
      <c r="B242" s="10" t="s">
        <v>2571</v>
      </c>
      <c r="C242" s="11">
        <v>46049.125</v>
      </c>
      <c r="D242" s="12">
        <v>8.3333333333333329E-2</v>
      </c>
      <c r="E242" s="11">
        <v>46049.208333333336</v>
      </c>
      <c r="F242" s="10" t="s">
        <v>262</v>
      </c>
      <c r="G242" s="13" t="b">
        <v>0</v>
      </c>
      <c r="H242" s="10" t="s">
        <v>263</v>
      </c>
      <c r="I242" s="10" t="s">
        <v>264</v>
      </c>
      <c r="J242" s="13" t="b">
        <v>0</v>
      </c>
      <c r="K242" s="13" t="b">
        <v>1</v>
      </c>
      <c r="L242" s="10" t="s">
        <v>124</v>
      </c>
      <c r="M242" s="10" t="s">
        <v>91</v>
      </c>
      <c r="N242" s="10" t="s">
        <v>265</v>
      </c>
      <c r="O242" s="10"/>
      <c r="P242" s="10" t="s">
        <v>267</v>
      </c>
      <c r="Q242" s="10" t="s">
        <v>126</v>
      </c>
      <c r="R242" s="10"/>
      <c r="S242" s="10"/>
      <c r="T242" s="10"/>
      <c r="U242" s="10" t="s">
        <v>407</v>
      </c>
      <c r="V242" s="10" t="s">
        <v>663</v>
      </c>
      <c r="W242" s="10" t="s">
        <v>272</v>
      </c>
      <c r="X242" s="10" t="s">
        <v>130</v>
      </c>
      <c r="Y242" s="10" t="s">
        <v>130</v>
      </c>
      <c r="Z242" s="10" t="s">
        <v>99</v>
      </c>
      <c r="AA242" s="10" t="s">
        <v>131</v>
      </c>
      <c r="AB242" s="10" t="s">
        <v>273</v>
      </c>
      <c r="AC242" s="10" t="s">
        <v>274</v>
      </c>
      <c r="AD242" s="10" t="s">
        <v>2572</v>
      </c>
      <c r="AE242" s="10" t="s">
        <v>2573</v>
      </c>
      <c r="AF242" s="15"/>
      <c r="AG242" s="10"/>
      <c r="AH242" s="10"/>
      <c r="AI242" s="10"/>
      <c r="AJ242" s="10"/>
      <c r="AK242" s="10"/>
      <c r="AL242" s="10" t="s">
        <v>2553</v>
      </c>
      <c r="AM242" s="10"/>
      <c r="AN242" s="10"/>
      <c r="AO242" s="13" t="b">
        <v>0</v>
      </c>
      <c r="AP242" s="10" t="s">
        <v>104</v>
      </c>
      <c r="AQ242" s="10"/>
      <c r="AR242" s="17"/>
      <c r="AS242" s="17"/>
      <c r="AT242" s="17"/>
      <c r="AU242" s="17"/>
      <c r="AV242" s="17"/>
      <c r="AW242" s="10"/>
      <c r="AX242" s="17"/>
      <c r="AY242" s="18" t="s">
        <v>257</v>
      </c>
      <c r="AZ242" s="10"/>
      <c r="BA242" s="20" t="b">
        <v>0</v>
      </c>
      <c r="BB242" s="10"/>
      <c r="BC242" s="17" t="s">
        <v>257</v>
      </c>
      <c r="BD242" s="17" t="s">
        <v>257</v>
      </c>
      <c r="BE242" s="17" t="s">
        <v>257</v>
      </c>
      <c r="BF242" s="17" t="s">
        <v>257</v>
      </c>
      <c r="BG242" s="11">
        <f ca="1">IFERROR(__xludf.DUMMYFUNCTION("""COMPUTED_VALUE"""),46049.125)</f>
        <v>46049.125</v>
      </c>
      <c r="BH242" s="17"/>
      <c r="BI242" s="17"/>
      <c r="BJ242" s="15"/>
      <c r="BK242" s="15"/>
      <c r="BL242" s="13" t="b">
        <v>0</v>
      </c>
      <c r="BM242" s="10"/>
      <c r="BN242" s="10" t="s">
        <v>351</v>
      </c>
      <c r="BO242" s="11">
        <v>45827.42083333333</v>
      </c>
      <c r="BP242" s="11">
        <v>46022.682071759256</v>
      </c>
      <c r="BQ242" s="15"/>
      <c r="BR242" s="15"/>
      <c r="BS242" s="10"/>
      <c r="BT242" s="10" t="s">
        <v>99</v>
      </c>
      <c r="BU242" s="10"/>
      <c r="BV242" s="10"/>
      <c r="BW242" s="10"/>
      <c r="BX242" s="10"/>
      <c r="BY242" s="23"/>
      <c r="BZ242" s="24" t="s">
        <v>299</v>
      </c>
      <c r="CA242" s="19" t="s">
        <v>2574</v>
      </c>
      <c r="CB242" s="19" t="s">
        <v>2575</v>
      </c>
      <c r="CC242" s="23"/>
      <c r="CD242" s="23"/>
      <c r="CE242" s="23"/>
      <c r="CF242" s="23"/>
      <c r="CG242" s="23"/>
      <c r="CH242" s="23"/>
      <c r="CI242" s="23"/>
    </row>
    <row r="243" spans="1:87" x14ac:dyDescent="0.3">
      <c r="A243" s="9" t="s">
        <v>2576</v>
      </c>
      <c r="B243" s="10" t="s">
        <v>2577</v>
      </c>
      <c r="C243" s="11">
        <v>46046.916666666664</v>
      </c>
      <c r="D243" s="12">
        <v>8.3333333333333329E-2</v>
      </c>
      <c r="E243" s="11">
        <v>46047</v>
      </c>
      <c r="F243" s="10" t="s">
        <v>262</v>
      </c>
      <c r="G243" s="13" t="b">
        <v>0</v>
      </c>
      <c r="H243" s="10" t="s">
        <v>527</v>
      </c>
      <c r="I243" s="10" t="s">
        <v>264</v>
      </c>
      <c r="J243" s="13" t="b">
        <v>0</v>
      </c>
      <c r="K243" s="13" t="b">
        <v>1</v>
      </c>
      <c r="L243" s="10" t="s">
        <v>124</v>
      </c>
      <c r="M243" s="10" t="s">
        <v>91</v>
      </c>
      <c r="N243" s="10" t="s">
        <v>265</v>
      </c>
      <c r="O243" s="10"/>
      <c r="P243" s="10"/>
      <c r="Q243" s="10" t="s">
        <v>126</v>
      </c>
      <c r="R243" s="10"/>
      <c r="S243" s="10"/>
      <c r="T243" s="10"/>
      <c r="U243" s="10" t="s">
        <v>309</v>
      </c>
      <c r="V243" s="10" t="s">
        <v>308</v>
      </c>
      <c r="W243" s="10" t="s">
        <v>272</v>
      </c>
      <c r="X243" s="10" t="s">
        <v>130</v>
      </c>
      <c r="Y243" s="10" t="s">
        <v>130</v>
      </c>
      <c r="Z243" s="10" t="s">
        <v>99</v>
      </c>
      <c r="AA243" s="10" t="s">
        <v>131</v>
      </c>
      <c r="AB243" s="10" t="s">
        <v>273</v>
      </c>
      <c r="AC243" s="10" t="s">
        <v>274</v>
      </c>
      <c r="AD243" s="10" t="s">
        <v>2578</v>
      </c>
      <c r="AE243" s="10" t="s">
        <v>2579</v>
      </c>
      <c r="AF243" s="15"/>
      <c r="AG243" s="10"/>
      <c r="AH243" s="10"/>
      <c r="AI243" s="10"/>
      <c r="AJ243" s="10"/>
      <c r="AK243" s="10"/>
      <c r="AL243" s="10" t="s">
        <v>2553</v>
      </c>
      <c r="AM243" s="10"/>
      <c r="AN243" s="10"/>
      <c r="AO243" s="13" t="b">
        <v>0</v>
      </c>
      <c r="AP243" s="10" t="s">
        <v>104</v>
      </c>
      <c r="AQ243" s="10"/>
      <c r="AR243" s="17"/>
      <c r="AS243" s="17"/>
      <c r="AT243" s="17"/>
      <c r="AU243" s="17"/>
      <c r="AV243" s="17"/>
      <c r="AW243" s="10"/>
      <c r="AX243" s="17"/>
      <c r="AY243" s="18" t="s">
        <v>257</v>
      </c>
      <c r="AZ243" s="10"/>
      <c r="BA243" s="20" t="b">
        <v>0</v>
      </c>
      <c r="BB243" s="10"/>
      <c r="BC243" s="17" t="s">
        <v>257</v>
      </c>
      <c r="BD243" s="17" t="s">
        <v>257</v>
      </c>
      <c r="BE243" s="17" t="s">
        <v>257</v>
      </c>
      <c r="BF243" s="17" t="s">
        <v>257</v>
      </c>
      <c r="BG243" s="11">
        <f ca="1">IFERROR(__xludf.DUMMYFUNCTION("""COMPUTED_VALUE"""),46046.9166666666)</f>
        <v>46046.916666666599</v>
      </c>
      <c r="BH243" s="17"/>
      <c r="BI243" s="17"/>
      <c r="BJ243" s="15"/>
      <c r="BK243" s="15"/>
      <c r="BL243" s="13" t="b">
        <v>1</v>
      </c>
      <c r="BM243" s="10"/>
      <c r="BN243" s="10" t="s">
        <v>351</v>
      </c>
      <c r="BO243" s="11">
        <v>45827.42083333333</v>
      </c>
      <c r="BP243" s="11">
        <v>46022.679351851853</v>
      </c>
      <c r="BQ243" s="15"/>
      <c r="BR243" s="15"/>
      <c r="BS243" s="10"/>
      <c r="BT243" s="10" t="s">
        <v>99</v>
      </c>
      <c r="BU243" s="10"/>
      <c r="BV243" s="10"/>
      <c r="BW243" s="10"/>
      <c r="BX243" s="10"/>
      <c r="BY243" s="23"/>
      <c r="BZ243" s="24" t="s">
        <v>299</v>
      </c>
      <c r="CA243" s="23"/>
      <c r="CB243" s="23"/>
      <c r="CC243" s="23"/>
      <c r="CD243" s="23"/>
      <c r="CE243" s="23"/>
      <c r="CF243" s="23"/>
      <c r="CG243" s="23"/>
      <c r="CH243" s="23"/>
      <c r="CI243" s="23"/>
    </row>
    <row r="244" spans="1:87" x14ac:dyDescent="0.3">
      <c r="A244" s="9" t="s">
        <v>2580</v>
      </c>
      <c r="B244" s="10" t="s">
        <v>2581</v>
      </c>
      <c r="C244" s="11">
        <v>46046.916666666664</v>
      </c>
      <c r="D244" s="12">
        <v>8.3333333333333329E-2</v>
      </c>
      <c r="E244" s="11">
        <v>46047</v>
      </c>
      <c r="F244" s="10" t="s">
        <v>262</v>
      </c>
      <c r="G244" s="13" t="b">
        <v>1</v>
      </c>
      <c r="H244" s="10" t="s">
        <v>263</v>
      </c>
      <c r="I244" s="10" t="s">
        <v>264</v>
      </c>
      <c r="J244" s="13" t="b">
        <v>0</v>
      </c>
      <c r="K244" s="13" t="b">
        <v>1</v>
      </c>
      <c r="L244" s="10" t="s">
        <v>124</v>
      </c>
      <c r="M244" s="10" t="s">
        <v>91</v>
      </c>
      <c r="N244" s="10" t="s">
        <v>265</v>
      </c>
      <c r="O244" s="10"/>
      <c r="P244" s="10"/>
      <c r="Q244" s="10" t="s">
        <v>126</v>
      </c>
      <c r="R244" s="10"/>
      <c r="S244" s="10"/>
      <c r="T244" s="10"/>
      <c r="U244" s="10" t="s">
        <v>334</v>
      </c>
      <c r="V244" s="10" t="s">
        <v>333</v>
      </c>
      <c r="W244" s="10" t="s">
        <v>272</v>
      </c>
      <c r="X244" s="10" t="s">
        <v>130</v>
      </c>
      <c r="Y244" s="10" t="s">
        <v>130</v>
      </c>
      <c r="Z244" s="10" t="s">
        <v>99</v>
      </c>
      <c r="AA244" s="10" t="s">
        <v>131</v>
      </c>
      <c r="AB244" s="10" t="s">
        <v>273</v>
      </c>
      <c r="AC244" s="10" t="s">
        <v>274</v>
      </c>
      <c r="AD244" s="10" t="s">
        <v>2582</v>
      </c>
      <c r="AE244" s="10" t="s">
        <v>2583</v>
      </c>
      <c r="AF244" s="15"/>
      <c r="AG244" s="10"/>
      <c r="AH244" s="10"/>
      <c r="AI244" s="10"/>
      <c r="AJ244" s="10"/>
      <c r="AK244" s="10"/>
      <c r="AL244" s="10" t="s">
        <v>2553</v>
      </c>
      <c r="AM244" s="10"/>
      <c r="AN244" s="10"/>
      <c r="AO244" s="13" t="b">
        <v>1</v>
      </c>
      <c r="AP244" s="10" t="s">
        <v>104</v>
      </c>
      <c r="AQ244" s="10"/>
      <c r="AR244" s="17"/>
      <c r="AS244" s="17"/>
      <c r="AT244" s="17"/>
      <c r="AU244" s="17"/>
      <c r="AV244" s="17"/>
      <c r="AW244" s="10"/>
      <c r="AX244" s="17"/>
      <c r="AY244" s="18" t="s">
        <v>257</v>
      </c>
      <c r="AZ244" s="10"/>
      <c r="BA244" s="20" t="b">
        <v>0</v>
      </c>
      <c r="BB244" s="10"/>
      <c r="BC244" s="17" t="s">
        <v>257</v>
      </c>
      <c r="BD244" s="17" t="s">
        <v>257</v>
      </c>
      <c r="BE244" s="17" t="s">
        <v>257</v>
      </c>
      <c r="BF244" s="17" t="s">
        <v>257</v>
      </c>
      <c r="BG244" s="11">
        <f ca="1">IFERROR(__xludf.DUMMYFUNCTION("""COMPUTED_VALUE"""),46046.8958333333)</f>
        <v>46046.895833333299</v>
      </c>
      <c r="BH244" s="17"/>
      <c r="BI244" s="17"/>
      <c r="BJ244" s="15"/>
      <c r="BK244" s="15"/>
      <c r="BL244" s="13" t="b">
        <v>0</v>
      </c>
      <c r="BM244" s="10"/>
      <c r="BN244" s="10" t="s">
        <v>351</v>
      </c>
      <c r="BO244" s="11">
        <v>45827.42083333333</v>
      </c>
      <c r="BP244" s="11">
        <v>46022.679548611108</v>
      </c>
      <c r="BQ244" s="15"/>
      <c r="BR244" s="15"/>
      <c r="BS244" s="10"/>
      <c r="BT244" s="10" t="s">
        <v>99</v>
      </c>
      <c r="BU244" s="10"/>
      <c r="BV244" s="10"/>
      <c r="BW244" s="10"/>
      <c r="BX244" s="10"/>
      <c r="BY244" s="23"/>
      <c r="BZ244" s="24" t="s">
        <v>284</v>
      </c>
      <c r="CA244" s="23"/>
      <c r="CB244" s="23"/>
      <c r="CC244" s="23"/>
      <c r="CD244" s="23"/>
      <c r="CE244" s="23"/>
      <c r="CF244" s="23"/>
      <c r="CG244" s="23"/>
      <c r="CH244" s="23"/>
      <c r="CI244" s="23"/>
    </row>
    <row r="245" spans="1:87" x14ac:dyDescent="0.3">
      <c r="A245" s="9" t="s">
        <v>2584</v>
      </c>
      <c r="B245" s="10" t="s">
        <v>2585</v>
      </c>
      <c r="C245" s="11">
        <v>46047.875</v>
      </c>
      <c r="D245" s="12">
        <v>8.3333333333333329E-2</v>
      </c>
      <c r="E245" s="11">
        <v>46047.958333333336</v>
      </c>
      <c r="F245" s="10" t="s">
        <v>262</v>
      </c>
      <c r="G245" s="13" t="b">
        <v>0</v>
      </c>
      <c r="H245" s="10"/>
      <c r="I245" s="10" t="s">
        <v>264</v>
      </c>
      <c r="J245" s="13" t="b">
        <v>0</v>
      </c>
      <c r="K245" s="13" t="b">
        <v>1</v>
      </c>
      <c r="L245" s="10" t="s">
        <v>124</v>
      </c>
      <c r="M245" s="10" t="s">
        <v>91</v>
      </c>
      <c r="N245" s="10" t="s">
        <v>265</v>
      </c>
      <c r="O245" s="10"/>
      <c r="P245" s="10"/>
      <c r="Q245" s="10" t="s">
        <v>126</v>
      </c>
      <c r="R245" s="10"/>
      <c r="S245" s="10"/>
      <c r="T245" s="10"/>
      <c r="U245" s="10" t="s">
        <v>293</v>
      </c>
      <c r="V245" s="10" t="s">
        <v>292</v>
      </c>
      <c r="W245" s="10" t="s">
        <v>272</v>
      </c>
      <c r="X245" s="10" t="s">
        <v>130</v>
      </c>
      <c r="Y245" s="10" t="s">
        <v>130</v>
      </c>
      <c r="Z245" s="10" t="s">
        <v>99</v>
      </c>
      <c r="AA245" s="10" t="s">
        <v>131</v>
      </c>
      <c r="AB245" s="10" t="s">
        <v>273</v>
      </c>
      <c r="AC245" s="10" t="s">
        <v>274</v>
      </c>
      <c r="AD245" s="10" t="s">
        <v>2586</v>
      </c>
      <c r="AE245" s="10" t="s">
        <v>2587</v>
      </c>
      <c r="AF245" s="15"/>
      <c r="AG245" s="10"/>
      <c r="AH245" s="10"/>
      <c r="AI245" s="10"/>
      <c r="AJ245" s="10"/>
      <c r="AK245" s="10"/>
      <c r="AL245" s="10" t="s">
        <v>2553</v>
      </c>
      <c r="AM245" s="10"/>
      <c r="AN245" s="10"/>
      <c r="AO245" s="13" t="b">
        <v>0</v>
      </c>
      <c r="AP245" s="10" t="s">
        <v>104</v>
      </c>
      <c r="AQ245" s="10"/>
      <c r="AR245" s="17"/>
      <c r="AS245" s="17"/>
      <c r="AT245" s="17"/>
      <c r="AU245" s="17"/>
      <c r="AV245" s="17"/>
      <c r="AW245" s="10"/>
      <c r="AX245" s="17"/>
      <c r="AY245" s="18" t="s">
        <v>257</v>
      </c>
      <c r="AZ245" s="10"/>
      <c r="BA245" s="20" t="b">
        <v>0</v>
      </c>
      <c r="BB245" s="10"/>
      <c r="BC245" s="17" t="s">
        <v>257</v>
      </c>
      <c r="BD245" s="17" t="s">
        <v>257</v>
      </c>
      <c r="BE245" s="17" t="s">
        <v>257</v>
      </c>
      <c r="BF245" s="17" t="s">
        <v>257</v>
      </c>
      <c r="BG245" s="11">
        <f ca="1">IFERROR(__xludf.DUMMYFUNCTION("""COMPUTED_VALUE"""),46047.875)</f>
        <v>46047.875</v>
      </c>
      <c r="BH245" s="17"/>
      <c r="BI245" s="17"/>
      <c r="BJ245" s="15"/>
      <c r="BK245" s="15"/>
      <c r="BL245" s="13" t="b">
        <v>0</v>
      </c>
      <c r="BM245" s="10"/>
      <c r="BN245" s="10" t="s">
        <v>351</v>
      </c>
      <c r="BO245" s="11">
        <v>45827.42083333333</v>
      </c>
      <c r="BP245" s="11">
        <v>46022.681539351855</v>
      </c>
      <c r="BQ245" s="15"/>
      <c r="BR245" s="15"/>
      <c r="BS245" s="10"/>
      <c r="BT245" s="10" t="s">
        <v>99</v>
      </c>
      <c r="BU245" s="10"/>
      <c r="BV245" s="10"/>
      <c r="BW245" s="10"/>
      <c r="BX245" s="10"/>
      <c r="BY245" s="23"/>
      <c r="BZ245" s="24" t="s">
        <v>299</v>
      </c>
      <c r="CA245" s="23"/>
      <c r="CB245" s="23"/>
      <c r="CC245" s="23"/>
      <c r="CD245" s="23"/>
      <c r="CE245" s="23"/>
      <c r="CF245" s="23"/>
      <c r="CG245" s="23"/>
      <c r="CH245" s="23"/>
      <c r="CI245" s="23"/>
    </row>
    <row r="246" spans="1:87" x14ac:dyDescent="0.3">
      <c r="A246" s="9" t="s">
        <v>2588</v>
      </c>
      <c r="B246" s="10" t="s">
        <v>2589</v>
      </c>
      <c r="C246" s="11">
        <v>46046.8125</v>
      </c>
      <c r="D246" s="12">
        <v>8.3333333333333329E-2</v>
      </c>
      <c r="E246" s="11">
        <v>46046.895833333336</v>
      </c>
      <c r="F246" s="10" t="s">
        <v>262</v>
      </c>
      <c r="G246" s="13" t="b">
        <v>1</v>
      </c>
      <c r="H246" s="10" t="s">
        <v>263</v>
      </c>
      <c r="I246" s="10" t="s">
        <v>264</v>
      </c>
      <c r="J246" s="13" t="b">
        <v>0</v>
      </c>
      <c r="K246" s="13" t="b">
        <v>1</v>
      </c>
      <c r="L246" s="10" t="s">
        <v>124</v>
      </c>
      <c r="M246" s="10" t="s">
        <v>91</v>
      </c>
      <c r="N246" s="10" t="s">
        <v>265</v>
      </c>
      <c r="O246" s="10"/>
      <c r="P246" s="10" t="s">
        <v>267</v>
      </c>
      <c r="Q246" s="10" t="s">
        <v>126</v>
      </c>
      <c r="R246" s="10"/>
      <c r="S246" s="10"/>
      <c r="T246" s="10"/>
      <c r="U246" s="10" t="s">
        <v>451</v>
      </c>
      <c r="V246" s="10" t="s">
        <v>588</v>
      </c>
      <c r="W246" s="10" t="s">
        <v>272</v>
      </c>
      <c r="X246" s="10" t="s">
        <v>130</v>
      </c>
      <c r="Y246" s="10" t="s">
        <v>130</v>
      </c>
      <c r="Z246" s="10" t="s">
        <v>99</v>
      </c>
      <c r="AA246" s="10" t="s">
        <v>131</v>
      </c>
      <c r="AB246" s="10" t="s">
        <v>273</v>
      </c>
      <c r="AC246" s="10" t="s">
        <v>274</v>
      </c>
      <c r="AD246" s="10" t="s">
        <v>2590</v>
      </c>
      <c r="AE246" s="10" t="s">
        <v>2591</v>
      </c>
      <c r="AF246" s="15"/>
      <c r="AG246" s="10"/>
      <c r="AH246" s="10"/>
      <c r="AI246" s="10"/>
      <c r="AJ246" s="10"/>
      <c r="AK246" s="10"/>
      <c r="AL246" s="10" t="s">
        <v>2553</v>
      </c>
      <c r="AM246" s="10"/>
      <c r="AN246" s="10"/>
      <c r="AO246" s="13" t="b">
        <v>0</v>
      </c>
      <c r="AP246" s="10" t="s">
        <v>104</v>
      </c>
      <c r="AQ246" s="10"/>
      <c r="AR246" s="17"/>
      <c r="AS246" s="17"/>
      <c r="AT246" s="17"/>
      <c r="AU246" s="17"/>
      <c r="AV246" s="17"/>
      <c r="AW246" s="10"/>
      <c r="AX246" s="17"/>
      <c r="AY246" s="18" t="s">
        <v>257</v>
      </c>
      <c r="AZ246" s="10"/>
      <c r="BA246" s="20" t="b">
        <v>0</v>
      </c>
      <c r="BB246" s="10"/>
      <c r="BC246" s="17" t="s">
        <v>257</v>
      </c>
      <c r="BD246" s="17" t="s">
        <v>257</v>
      </c>
      <c r="BE246" s="17" t="s">
        <v>257</v>
      </c>
      <c r="BF246" s="17" t="s">
        <v>257</v>
      </c>
      <c r="BG246" s="11">
        <f ca="1">IFERROR(__xludf.DUMMYFUNCTION("""COMPUTED_VALUE"""),46046.7916666666)</f>
        <v>46046.791666666599</v>
      </c>
      <c r="BH246" s="17"/>
      <c r="BI246" s="17"/>
      <c r="BJ246" s="15"/>
      <c r="BK246" s="15"/>
      <c r="BL246" s="13" t="b">
        <v>0</v>
      </c>
      <c r="BM246" s="10"/>
      <c r="BN246" s="10" t="s">
        <v>351</v>
      </c>
      <c r="BO246" s="11">
        <v>45827.42083333333</v>
      </c>
      <c r="BP246" s="11">
        <v>46022.678715277776</v>
      </c>
      <c r="BQ246" s="15"/>
      <c r="BR246" s="15"/>
      <c r="BS246" s="10"/>
      <c r="BT246" s="10" t="s">
        <v>99</v>
      </c>
      <c r="BU246" s="10"/>
      <c r="BV246" s="10"/>
      <c r="BW246" s="10"/>
      <c r="BX246" s="10"/>
      <c r="BY246" s="23"/>
      <c r="BZ246" s="24" t="s">
        <v>299</v>
      </c>
      <c r="CA246" s="23"/>
      <c r="CB246" s="23"/>
      <c r="CC246" s="23"/>
      <c r="CD246" s="23"/>
      <c r="CE246" s="23"/>
      <c r="CF246" s="23"/>
      <c r="CG246" s="23"/>
      <c r="CH246" s="23"/>
      <c r="CI246" s="23"/>
    </row>
    <row r="247" spans="1:87" x14ac:dyDescent="0.3">
      <c r="A247" s="9" t="s">
        <v>2592</v>
      </c>
      <c r="B247" s="10" t="s">
        <v>2593</v>
      </c>
      <c r="C247" s="11">
        <v>46054.875</v>
      </c>
      <c r="D247" s="12">
        <v>8.3333333333333329E-2</v>
      </c>
      <c r="E247" s="11">
        <v>46054.958333333336</v>
      </c>
      <c r="F247" s="10" t="s">
        <v>262</v>
      </c>
      <c r="G247" s="13" t="b">
        <v>0</v>
      </c>
      <c r="H247" s="10" t="s">
        <v>305</v>
      </c>
      <c r="I247" s="10" t="s">
        <v>264</v>
      </c>
      <c r="J247" s="13" t="b">
        <v>0</v>
      </c>
      <c r="K247" s="13" t="b">
        <v>1</v>
      </c>
      <c r="L247" s="10" t="s">
        <v>124</v>
      </c>
      <c r="M247" s="10" t="s">
        <v>91</v>
      </c>
      <c r="N247" s="10" t="s">
        <v>265</v>
      </c>
      <c r="O247" s="10"/>
      <c r="P247" s="10"/>
      <c r="Q247" s="10" t="s">
        <v>126</v>
      </c>
      <c r="R247" s="10"/>
      <c r="S247" s="10"/>
      <c r="T247" s="10"/>
      <c r="U247" s="10" t="s">
        <v>292</v>
      </c>
      <c r="V247" s="10" t="s">
        <v>321</v>
      </c>
      <c r="W247" s="10" t="s">
        <v>272</v>
      </c>
      <c r="X247" s="10" t="s">
        <v>130</v>
      </c>
      <c r="Y247" s="10" t="s">
        <v>130</v>
      </c>
      <c r="Z247" s="10" t="s">
        <v>99</v>
      </c>
      <c r="AA247" s="10" t="s">
        <v>131</v>
      </c>
      <c r="AB247" s="10" t="s">
        <v>273</v>
      </c>
      <c r="AC247" s="10" t="s">
        <v>274</v>
      </c>
      <c r="AD247" s="10" t="s">
        <v>2594</v>
      </c>
      <c r="AE247" s="10" t="s">
        <v>2595</v>
      </c>
      <c r="AF247" s="15"/>
      <c r="AG247" s="10"/>
      <c r="AH247" s="10"/>
      <c r="AI247" s="10"/>
      <c r="AJ247" s="10"/>
      <c r="AK247" s="10"/>
      <c r="AL247" s="10" t="s">
        <v>2596</v>
      </c>
      <c r="AM247" s="10"/>
      <c r="AN247" s="10"/>
      <c r="AO247" s="13" t="b">
        <v>0</v>
      </c>
      <c r="AP247" s="10" t="s">
        <v>104</v>
      </c>
      <c r="AQ247" s="10"/>
      <c r="AR247" s="17"/>
      <c r="AS247" s="17"/>
      <c r="AT247" s="17"/>
      <c r="AU247" s="17"/>
      <c r="AV247" s="17"/>
      <c r="AW247" s="10"/>
      <c r="AX247" s="17"/>
      <c r="AY247" s="18" t="s">
        <v>257</v>
      </c>
      <c r="AZ247" s="10"/>
      <c r="BA247" s="20" t="b">
        <v>0</v>
      </c>
      <c r="BB247" s="10"/>
      <c r="BC247" s="17" t="s">
        <v>257</v>
      </c>
      <c r="BD247" s="17" t="s">
        <v>257</v>
      </c>
      <c r="BE247" s="17" t="s">
        <v>257</v>
      </c>
      <c r="BF247" s="17" t="s">
        <v>257</v>
      </c>
      <c r="BG247" s="11">
        <f ca="1">IFERROR(__xludf.DUMMYFUNCTION("""COMPUTED_VALUE"""),46054.875)</f>
        <v>46054.875</v>
      </c>
      <c r="BH247" s="17"/>
      <c r="BI247" s="17"/>
      <c r="BJ247" s="15"/>
      <c r="BK247" s="15"/>
      <c r="BL247" s="13" t="b">
        <v>0</v>
      </c>
      <c r="BM247" s="10"/>
      <c r="BN247" s="10" t="s">
        <v>351</v>
      </c>
      <c r="BO247" s="11">
        <v>45827.42083333333</v>
      </c>
      <c r="BP247" s="11">
        <v>46022.911793981482</v>
      </c>
      <c r="BQ247" s="15"/>
      <c r="BR247" s="15"/>
      <c r="BS247" s="10"/>
      <c r="BT247" s="10" t="s">
        <v>99</v>
      </c>
      <c r="BU247" s="10"/>
      <c r="BV247" s="10"/>
      <c r="BW247" s="10"/>
      <c r="BX247" s="10"/>
      <c r="BY247" s="23"/>
      <c r="BZ247" s="24" t="s">
        <v>299</v>
      </c>
      <c r="CA247" s="23"/>
      <c r="CB247" s="23"/>
      <c r="CC247" s="23"/>
      <c r="CD247" s="23"/>
      <c r="CE247" s="23"/>
      <c r="CF247" s="23"/>
      <c r="CG247" s="23"/>
      <c r="CH247" s="23"/>
      <c r="CI247" s="23"/>
    </row>
    <row r="248" spans="1:87" x14ac:dyDescent="0.3">
      <c r="A248" s="9" t="s">
        <v>2597</v>
      </c>
      <c r="B248" s="10" t="s">
        <v>2598</v>
      </c>
      <c r="C248" s="11">
        <v>46053.916666666664</v>
      </c>
      <c r="D248" s="12">
        <v>8.3333333333333329E-2</v>
      </c>
      <c r="E248" s="11">
        <v>46054</v>
      </c>
      <c r="F248" s="10" t="s">
        <v>262</v>
      </c>
      <c r="G248" s="13" t="b">
        <v>0</v>
      </c>
      <c r="H248" s="10"/>
      <c r="I248" s="10" t="s">
        <v>264</v>
      </c>
      <c r="J248" s="13" t="b">
        <v>0</v>
      </c>
      <c r="K248" s="13" t="b">
        <v>1</v>
      </c>
      <c r="L248" s="10" t="s">
        <v>124</v>
      </c>
      <c r="M248" s="10" t="s">
        <v>91</v>
      </c>
      <c r="N248" s="10" t="s">
        <v>265</v>
      </c>
      <c r="O248" s="10"/>
      <c r="P248" s="10"/>
      <c r="Q248" s="10" t="s">
        <v>126</v>
      </c>
      <c r="R248" s="10"/>
      <c r="S248" s="10"/>
      <c r="T248" s="10"/>
      <c r="U248" s="10" t="s">
        <v>308</v>
      </c>
      <c r="V248" s="10" t="s">
        <v>407</v>
      </c>
      <c r="W248" s="10" t="s">
        <v>272</v>
      </c>
      <c r="X248" s="10" t="s">
        <v>130</v>
      </c>
      <c r="Y248" s="10" t="s">
        <v>130</v>
      </c>
      <c r="Z248" s="10" t="s">
        <v>99</v>
      </c>
      <c r="AA248" s="10" t="s">
        <v>131</v>
      </c>
      <c r="AB248" s="10" t="s">
        <v>273</v>
      </c>
      <c r="AC248" s="10" t="s">
        <v>274</v>
      </c>
      <c r="AD248" s="10" t="s">
        <v>2599</v>
      </c>
      <c r="AE248" s="10" t="s">
        <v>2600</v>
      </c>
      <c r="AF248" s="15"/>
      <c r="AG248" s="10"/>
      <c r="AH248" s="10"/>
      <c r="AI248" s="10"/>
      <c r="AJ248" s="10"/>
      <c r="AK248" s="10"/>
      <c r="AL248" s="10" t="s">
        <v>2596</v>
      </c>
      <c r="AM248" s="10"/>
      <c r="AN248" s="10"/>
      <c r="AO248" s="13" t="b">
        <v>0</v>
      </c>
      <c r="AP248" s="10" t="s">
        <v>104</v>
      </c>
      <c r="AQ248" s="10"/>
      <c r="AR248" s="17"/>
      <c r="AS248" s="17"/>
      <c r="AT248" s="17"/>
      <c r="AU248" s="17"/>
      <c r="AV248" s="17"/>
      <c r="AW248" s="10"/>
      <c r="AX248" s="17"/>
      <c r="AY248" s="18" t="s">
        <v>257</v>
      </c>
      <c r="AZ248" s="10"/>
      <c r="BA248" s="20" t="b">
        <v>0</v>
      </c>
      <c r="BB248" s="10"/>
      <c r="BC248" s="17" t="s">
        <v>257</v>
      </c>
      <c r="BD248" s="17" t="s">
        <v>257</v>
      </c>
      <c r="BE248" s="17" t="s">
        <v>257</v>
      </c>
      <c r="BF248" s="17" t="s">
        <v>257</v>
      </c>
      <c r="BG248" s="11">
        <f ca="1">IFERROR(__xludf.DUMMYFUNCTION("""COMPUTED_VALUE"""),46053.9166666666)</f>
        <v>46053.916666666599</v>
      </c>
      <c r="BH248" s="17"/>
      <c r="BI248" s="17"/>
      <c r="BJ248" s="15"/>
      <c r="BK248" s="15"/>
      <c r="BL248" s="13" t="b">
        <v>0</v>
      </c>
      <c r="BM248" s="10"/>
      <c r="BN248" s="10" t="s">
        <v>351</v>
      </c>
      <c r="BO248" s="11">
        <v>45827.42083333333</v>
      </c>
      <c r="BP248" s="11">
        <v>46022.910196759258</v>
      </c>
      <c r="BQ248" s="15"/>
      <c r="BR248" s="15"/>
      <c r="BS248" s="10"/>
      <c r="BT248" s="10" t="s">
        <v>99</v>
      </c>
      <c r="BU248" s="10"/>
      <c r="BV248" s="10"/>
      <c r="BW248" s="10"/>
      <c r="BX248" s="10"/>
      <c r="BY248" s="23"/>
      <c r="BZ248" s="24" t="s">
        <v>299</v>
      </c>
      <c r="CA248" s="23"/>
      <c r="CB248" s="23"/>
      <c r="CC248" s="23"/>
      <c r="CD248" s="23"/>
      <c r="CE248" s="23"/>
      <c r="CF248" s="23"/>
      <c r="CG248" s="23"/>
      <c r="CH248" s="23"/>
      <c r="CI248" s="23"/>
    </row>
    <row r="249" spans="1:87" x14ac:dyDescent="0.3">
      <c r="A249" s="9" t="s">
        <v>2601</v>
      </c>
      <c r="B249" s="10" t="s">
        <v>2602</v>
      </c>
      <c r="C249" s="11">
        <v>46054.020833333336</v>
      </c>
      <c r="D249" s="12">
        <v>8.3333333333333329E-2</v>
      </c>
      <c r="E249" s="11">
        <v>46054.104166666664</v>
      </c>
      <c r="F249" s="10" t="s">
        <v>262</v>
      </c>
      <c r="G249" s="13" t="b">
        <v>1</v>
      </c>
      <c r="H249" s="10" t="s">
        <v>263</v>
      </c>
      <c r="I249" s="10" t="s">
        <v>264</v>
      </c>
      <c r="J249" s="13" t="b">
        <v>0</v>
      </c>
      <c r="K249" s="13" t="b">
        <v>1</v>
      </c>
      <c r="L249" s="10" t="s">
        <v>124</v>
      </c>
      <c r="M249" s="10" t="s">
        <v>91</v>
      </c>
      <c r="N249" s="10" t="s">
        <v>265</v>
      </c>
      <c r="O249" s="10"/>
      <c r="P249" s="10" t="s">
        <v>267</v>
      </c>
      <c r="Q249" s="10" t="s">
        <v>126</v>
      </c>
      <c r="R249" s="10"/>
      <c r="S249" s="10"/>
      <c r="T249" s="10"/>
      <c r="U249" s="10" t="s">
        <v>346</v>
      </c>
      <c r="V249" s="10" t="s">
        <v>451</v>
      </c>
      <c r="W249" s="10" t="s">
        <v>272</v>
      </c>
      <c r="X249" s="10" t="s">
        <v>130</v>
      </c>
      <c r="Y249" s="10" t="s">
        <v>130</v>
      </c>
      <c r="Z249" s="10" t="s">
        <v>99</v>
      </c>
      <c r="AA249" s="10" t="s">
        <v>131</v>
      </c>
      <c r="AB249" s="10" t="s">
        <v>273</v>
      </c>
      <c r="AC249" s="10" t="s">
        <v>274</v>
      </c>
      <c r="AD249" s="10" t="s">
        <v>2603</v>
      </c>
      <c r="AE249" s="10" t="s">
        <v>2604</v>
      </c>
      <c r="AF249" s="15"/>
      <c r="AG249" s="10"/>
      <c r="AH249" s="10"/>
      <c r="AI249" s="10"/>
      <c r="AJ249" s="10"/>
      <c r="AK249" s="10"/>
      <c r="AL249" s="10" t="s">
        <v>2596</v>
      </c>
      <c r="AM249" s="10"/>
      <c r="AN249" s="10"/>
      <c r="AO249" s="13" t="b">
        <v>1</v>
      </c>
      <c r="AP249" s="10" t="s">
        <v>104</v>
      </c>
      <c r="AQ249" s="10"/>
      <c r="AR249" s="17"/>
      <c r="AS249" s="17"/>
      <c r="AT249" s="17"/>
      <c r="AU249" s="17"/>
      <c r="AV249" s="17"/>
      <c r="AW249" s="10"/>
      <c r="AX249" s="17"/>
      <c r="AY249" s="18" t="s">
        <v>257</v>
      </c>
      <c r="AZ249" s="10"/>
      <c r="BA249" s="20" t="b">
        <v>0</v>
      </c>
      <c r="BB249" s="10"/>
      <c r="BC249" s="17" t="s">
        <v>257</v>
      </c>
      <c r="BD249" s="17" t="s">
        <v>257</v>
      </c>
      <c r="BE249" s="17" t="s">
        <v>257</v>
      </c>
      <c r="BF249" s="17" t="s">
        <v>257</v>
      </c>
      <c r="BG249" s="11">
        <f ca="1">IFERROR(__xludf.DUMMYFUNCTION("""COMPUTED_VALUE"""),46054)</f>
        <v>46054</v>
      </c>
      <c r="BH249" s="17"/>
      <c r="BI249" s="17"/>
      <c r="BJ249" s="15"/>
      <c r="BK249" s="15"/>
      <c r="BL249" s="13" t="b">
        <v>0</v>
      </c>
      <c r="BM249" s="10"/>
      <c r="BN249" s="10" t="s">
        <v>351</v>
      </c>
      <c r="BO249" s="11">
        <v>45827.42083333333</v>
      </c>
      <c r="BP249" s="11">
        <v>46022.911076388889</v>
      </c>
      <c r="BQ249" s="15"/>
      <c r="BR249" s="15"/>
      <c r="BS249" s="10"/>
      <c r="BT249" s="10" t="s">
        <v>99</v>
      </c>
      <c r="BU249" s="10"/>
      <c r="BV249" s="10"/>
      <c r="BW249" s="10"/>
      <c r="BX249" s="10"/>
      <c r="BY249" s="23"/>
      <c r="BZ249" s="24" t="s">
        <v>284</v>
      </c>
      <c r="CA249" s="23"/>
      <c r="CB249" s="23"/>
      <c r="CC249" s="23"/>
      <c r="CD249" s="23"/>
      <c r="CE249" s="23"/>
      <c r="CF249" s="23"/>
      <c r="CG249" s="23"/>
      <c r="CH249" s="23"/>
      <c r="CI249" s="23"/>
    </row>
    <row r="250" spans="1:87" x14ac:dyDescent="0.3">
      <c r="A250" s="9" t="s">
        <v>2605</v>
      </c>
      <c r="B250" s="10" t="s">
        <v>2606</v>
      </c>
      <c r="C250" s="11">
        <v>46053.916666666664</v>
      </c>
      <c r="D250" s="12">
        <v>8.3333333333333329E-2</v>
      </c>
      <c r="E250" s="11">
        <v>46054</v>
      </c>
      <c r="F250" s="10" t="s">
        <v>262</v>
      </c>
      <c r="G250" s="13" t="b">
        <v>1</v>
      </c>
      <c r="H250" s="10" t="s">
        <v>263</v>
      </c>
      <c r="I250" s="10" t="s">
        <v>264</v>
      </c>
      <c r="J250" s="13" t="b">
        <v>0</v>
      </c>
      <c r="K250" s="13" t="b">
        <v>1</v>
      </c>
      <c r="L250" s="10" t="s">
        <v>124</v>
      </c>
      <c r="M250" s="10" t="s">
        <v>91</v>
      </c>
      <c r="N250" s="10" t="s">
        <v>265</v>
      </c>
      <c r="O250" s="10"/>
      <c r="P250" s="10"/>
      <c r="Q250" s="10" t="s">
        <v>126</v>
      </c>
      <c r="R250" s="10"/>
      <c r="S250" s="10"/>
      <c r="T250" s="10"/>
      <c r="U250" s="10" t="s">
        <v>663</v>
      </c>
      <c r="V250" s="10" t="s">
        <v>362</v>
      </c>
      <c r="W250" s="10" t="s">
        <v>272</v>
      </c>
      <c r="X250" s="10" t="s">
        <v>130</v>
      </c>
      <c r="Y250" s="10" t="s">
        <v>130</v>
      </c>
      <c r="Z250" s="10" t="s">
        <v>99</v>
      </c>
      <c r="AA250" s="10" t="s">
        <v>131</v>
      </c>
      <c r="AB250" s="10" t="s">
        <v>273</v>
      </c>
      <c r="AC250" s="10" t="s">
        <v>274</v>
      </c>
      <c r="AD250" s="10" t="s">
        <v>2607</v>
      </c>
      <c r="AE250" s="10" t="s">
        <v>2608</v>
      </c>
      <c r="AF250" s="15"/>
      <c r="AG250" s="10"/>
      <c r="AH250" s="10"/>
      <c r="AI250" s="10"/>
      <c r="AJ250" s="10"/>
      <c r="AK250" s="10"/>
      <c r="AL250" s="10" t="s">
        <v>2596</v>
      </c>
      <c r="AM250" s="10"/>
      <c r="AN250" s="10"/>
      <c r="AO250" s="13" t="b">
        <v>1</v>
      </c>
      <c r="AP250" s="10" t="s">
        <v>104</v>
      </c>
      <c r="AQ250" s="10"/>
      <c r="AR250" s="17"/>
      <c r="AS250" s="17"/>
      <c r="AT250" s="17"/>
      <c r="AU250" s="17"/>
      <c r="AV250" s="17"/>
      <c r="AW250" s="10"/>
      <c r="AX250" s="17"/>
      <c r="AY250" s="18" t="s">
        <v>257</v>
      </c>
      <c r="AZ250" s="10"/>
      <c r="BA250" s="20" t="b">
        <v>0</v>
      </c>
      <c r="BB250" s="10"/>
      <c r="BC250" s="17" t="s">
        <v>257</v>
      </c>
      <c r="BD250" s="17" t="s">
        <v>257</v>
      </c>
      <c r="BE250" s="17" t="s">
        <v>257</v>
      </c>
      <c r="BF250" s="17" t="s">
        <v>257</v>
      </c>
      <c r="BG250" s="11">
        <f ca="1">IFERROR(__xludf.DUMMYFUNCTION("""COMPUTED_VALUE"""),46053.8958333333)</f>
        <v>46053.895833333299</v>
      </c>
      <c r="BH250" s="17"/>
      <c r="BI250" s="17"/>
      <c r="BJ250" s="15"/>
      <c r="BK250" s="15"/>
      <c r="BL250" s="13" t="b">
        <v>0</v>
      </c>
      <c r="BM250" s="10"/>
      <c r="BN250" s="10" t="s">
        <v>351</v>
      </c>
      <c r="BO250" s="11">
        <v>45827.42083333333</v>
      </c>
      <c r="BP250" s="11">
        <v>46022.910532407404</v>
      </c>
      <c r="BQ250" s="15"/>
      <c r="BR250" s="15"/>
      <c r="BS250" s="10"/>
      <c r="BT250" s="10" t="s">
        <v>99</v>
      </c>
      <c r="BU250" s="10"/>
      <c r="BV250" s="10"/>
      <c r="BW250" s="10"/>
      <c r="BX250" s="10"/>
      <c r="BY250" s="23"/>
      <c r="BZ250" s="24" t="s">
        <v>284</v>
      </c>
      <c r="CA250" s="23"/>
      <c r="CB250" s="23"/>
      <c r="CC250" s="23"/>
      <c r="CD250" s="23"/>
      <c r="CE250" s="23"/>
      <c r="CF250" s="23"/>
      <c r="CG250" s="23"/>
      <c r="CH250" s="23"/>
      <c r="CI250" s="23"/>
    </row>
    <row r="251" spans="1:87" x14ac:dyDescent="0.3">
      <c r="A251" s="9" t="s">
        <v>2609</v>
      </c>
      <c r="B251" s="10" t="s">
        <v>2610</v>
      </c>
      <c r="C251" s="11">
        <v>46054.125</v>
      </c>
      <c r="D251" s="12">
        <v>8.3333333333333329E-2</v>
      </c>
      <c r="E251" s="11">
        <v>46054.208333333336</v>
      </c>
      <c r="F251" s="10" t="s">
        <v>262</v>
      </c>
      <c r="G251" s="13" t="b">
        <v>0</v>
      </c>
      <c r="H251" s="10" t="s">
        <v>263</v>
      </c>
      <c r="I251" s="10" t="s">
        <v>264</v>
      </c>
      <c r="J251" s="13" t="b">
        <v>0</v>
      </c>
      <c r="K251" s="13" t="b">
        <v>1</v>
      </c>
      <c r="L251" s="10" t="s">
        <v>124</v>
      </c>
      <c r="M251" s="10" t="s">
        <v>91</v>
      </c>
      <c r="N251" s="10" t="s">
        <v>265</v>
      </c>
      <c r="O251" s="10"/>
      <c r="P251" s="10" t="s">
        <v>267</v>
      </c>
      <c r="Q251" s="10" t="s">
        <v>126</v>
      </c>
      <c r="R251" s="10"/>
      <c r="S251" s="10"/>
      <c r="T251" s="10"/>
      <c r="U251" s="10" t="s">
        <v>270</v>
      </c>
      <c r="V251" s="10" t="s">
        <v>293</v>
      </c>
      <c r="W251" s="10" t="s">
        <v>272</v>
      </c>
      <c r="X251" s="10" t="s">
        <v>130</v>
      </c>
      <c r="Y251" s="10" t="s">
        <v>130</v>
      </c>
      <c r="Z251" s="10" t="s">
        <v>99</v>
      </c>
      <c r="AA251" s="10" t="s">
        <v>131</v>
      </c>
      <c r="AB251" s="10" t="s">
        <v>273</v>
      </c>
      <c r="AC251" s="10" t="s">
        <v>274</v>
      </c>
      <c r="AD251" s="10" t="s">
        <v>2611</v>
      </c>
      <c r="AE251" s="10" t="s">
        <v>2612</v>
      </c>
      <c r="AF251" s="15"/>
      <c r="AG251" s="10"/>
      <c r="AH251" s="10"/>
      <c r="AI251" s="10"/>
      <c r="AJ251" s="10"/>
      <c r="AK251" s="10"/>
      <c r="AL251" s="10" t="s">
        <v>2596</v>
      </c>
      <c r="AM251" s="10"/>
      <c r="AN251" s="10"/>
      <c r="AO251" s="13" t="b">
        <v>1</v>
      </c>
      <c r="AP251" s="10" t="s">
        <v>104</v>
      </c>
      <c r="AQ251" s="10"/>
      <c r="AR251" s="17"/>
      <c r="AS251" s="17"/>
      <c r="AT251" s="17"/>
      <c r="AU251" s="17"/>
      <c r="AV251" s="17"/>
      <c r="AW251" s="10"/>
      <c r="AX251" s="17"/>
      <c r="AY251" s="18" t="s">
        <v>257</v>
      </c>
      <c r="AZ251" s="10"/>
      <c r="BA251" s="20" t="b">
        <v>0</v>
      </c>
      <c r="BB251" s="10"/>
      <c r="BC251" s="17" t="s">
        <v>257</v>
      </c>
      <c r="BD251" s="17" t="s">
        <v>257</v>
      </c>
      <c r="BE251" s="17" t="s">
        <v>257</v>
      </c>
      <c r="BF251" s="17" t="s">
        <v>257</v>
      </c>
      <c r="BG251" s="11">
        <f ca="1">IFERROR(__xludf.DUMMYFUNCTION("""COMPUTED_VALUE"""),46054.125)</f>
        <v>46054.125</v>
      </c>
      <c r="BH251" s="17"/>
      <c r="BI251" s="17"/>
      <c r="BJ251" s="15"/>
      <c r="BK251" s="15"/>
      <c r="BL251" s="13" t="b">
        <v>0</v>
      </c>
      <c r="BM251" s="10"/>
      <c r="BN251" s="10" t="s">
        <v>351</v>
      </c>
      <c r="BO251" s="11">
        <v>45827.42083333333</v>
      </c>
      <c r="BP251" s="11">
        <v>46022.911412037036</v>
      </c>
      <c r="BQ251" s="15"/>
      <c r="BR251" s="15"/>
      <c r="BS251" s="10"/>
      <c r="BT251" s="10" t="s">
        <v>99</v>
      </c>
      <c r="BU251" s="10"/>
      <c r="BV251" s="10"/>
      <c r="BW251" s="10"/>
      <c r="BX251" s="10"/>
      <c r="BY251" s="23"/>
      <c r="BZ251" s="24" t="s">
        <v>284</v>
      </c>
      <c r="CA251" s="23"/>
      <c r="CB251" s="23"/>
      <c r="CC251" s="23"/>
      <c r="CD251" s="23"/>
      <c r="CE251" s="23"/>
      <c r="CF251" s="23"/>
      <c r="CG251" s="23"/>
      <c r="CH251" s="23"/>
      <c r="CI251" s="23"/>
    </row>
    <row r="252" spans="1:87" x14ac:dyDescent="0.3">
      <c r="A252" s="9" t="s">
        <v>2613</v>
      </c>
      <c r="B252" s="10" t="s">
        <v>2614</v>
      </c>
      <c r="C252" s="11">
        <v>46054.875</v>
      </c>
      <c r="D252" s="12">
        <v>8.3333333333333329E-2</v>
      </c>
      <c r="E252" s="11">
        <v>46054.958333333336</v>
      </c>
      <c r="F252" s="10" t="s">
        <v>262</v>
      </c>
      <c r="G252" s="13" t="b">
        <v>1</v>
      </c>
      <c r="H252" s="10" t="s">
        <v>263</v>
      </c>
      <c r="I252" s="10" t="s">
        <v>264</v>
      </c>
      <c r="J252" s="13" t="b">
        <v>0</v>
      </c>
      <c r="K252" s="13" t="b">
        <v>1</v>
      </c>
      <c r="L252" s="10" t="s">
        <v>124</v>
      </c>
      <c r="M252" s="10" t="s">
        <v>91</v>
      </c>
      <c r="N252" s="10" t="s">
        <v>265</v>
      </c>
      <c r="O252" s="10"/>
      <c r="P252" s="10"/>
      <c r="Q252" s="10" t="s">
        <v>126</v>
      </c>
      <c r="R252" s="10"/>
      <c r="S252" s="10"/>
      <c r="T252" s="10"/>
      <c r="U252" s="10" t="s">
        <v>361</v>
      </c>
      <c r="V252" s="10" t="s">
        <v>309</v>
      </c>
      <c r="W252" s="10" t="s">
        <v>272</v>
      </c>
      <c r="X252" s="10" t="s">
        <v>130</v>
      </c>
      <c r="Y252" s="10" t="s">
        <v>130</v>
      </c>
      <c r="Z252" s="10" t="s">
        <v>99</v>
      </c>
      <c r="AA252" s="10" t="s">
        <v>131</v>
      </c>
      <c r="AB252" s="10" t="s">
        <v>273</v>
      </c>
      <c r="AC252" s="10" t="s">
        <v>274</v>
      </c>
      <c r="AD252" s="10" t="s">
        <v>2615</v>
      </c>
      <c r="AE252" s="10" t="s">
        <v>2616</v>
      </c>
      <c r="AF252" s="15"/>
      <c r="AG252" s="10"/>
      <c r="AH252" s="10"/>
      <c r="AI252" s="10"/>
      <c r="AJ252" s="10"/>
      <c r="AK252" s="10"/>
      <c r="AL252" s="10" t="s">
        <v>2596</v>
      </c>
      <c r="AM252" s="10"/>
      <c r="AN252" s="10"/>
      <c r="AO252" s="13" t="b">
        <v>1</v>
      </c>
      <c r="AP252" s="10" t="s">
        <v>104</v>
      </c>
      <c r="AQ252" s="10"/>
      <c r="AR252" s="17"/>
      <c r="AS252" s="17"/>
      <c r="AT252" s="17"/>
      <c r="AU252" s="17"/>
      <c r="AV252" s="17"/>
      <c r="AW252" s="10"/>
      <c r="AX252" s="17"/>
      <c r="AY252" s="18" t="s">
        <v>257</v>
      </c>
      <c r="AZ252" s="10"/>
      <c r="BA252" s="20" t="b">
        <v>0</v>
      </c>
      <c r="BB252" s="10"/>
      <c r="BC252" s="17" t="s">
        <v>257</v>
      </c>
      <c r="BD252" s="17" t="s">
        <v>257</v>
      </c>
      <c r="BE252" s="17" t="s">
        <v>257</v>
      </c>
      <c r="BF252" s="17" t="s">
        <v>257</v>
      </c>
      <c r="BG252" s="11">
        <f ca="1">IFERROR(__xludf.DUMMYFUNCTION("""COMPUTED_VALUE"""),46054.8541666666)</f>
        <v>46054.854166666599</v>
      </c>
      <c r="BH252" s="17"/>
      <c r="BI252" s="17"/>
      <c r="BJ252" s="15"/>
      <c r="BK252" s="15"/>
      <c r="BL252" s="13" t="b">
        <v>0</v>
      </c>
      <c r="BM252" s="10"/>
      <c r="BN252" s="10" t="s">
        <v>351</v>
      </c>
      <c r="BO252" s="11">
        <v>45827.42083333333</v>
      </c>
      <c r="BP252" s="11">
        <v>46022.91207175926</v>
      </c>
      <c r="BQ252" s="15"/>
      <c r="BR252" s="15"/>
      <c r="BS252" s="10"/>
      <c r="BT252" s="10" t="s">
        <v>99</v>
      </c>
      <c r="BU252" s="10"/>
      <c r="BV252" s="10"/>
      <c r="BW252" s="10"/>
      <c r="BX252" s="10"/>
      <c r="BY252" s="23"/>
      <c r="BZ252" s="24" t="s">
        <v>284</v>
      </c>
      <c r="CA252" s="23"/>
      <c r="CB252" s="23"/>
      <c r="CC252" s="23"/>
      <c r="CD252" s="23"/>
      <c r="CE252" s="23"/>
      <c r="CF252" s="23"/>
      <c r="CG252" s="23"/>
      <c r="CH252" s="23"/>
      <c r="CI252" s="23"/>
    </row>
    <row r="253" spans="1:87" x14ac:dyDescent="0.3">
      <c r="A253" s="9" t="s">
        <v>2617</v>
      </c>
      <c r="B253" s="10" t="s">
        <v>2618</v>
      </c>
      <c r="C253" s="11">
        <v>46054.875</v>
      </c>
      <c r="D253" s="12">
        <v>8.3333333333333329E-2</v>
      </c>
      <c r="E253" s="11">
        <v>46054.958333333336</v>
      </c>
      <c r="F253" s="10" t="s">
        <v>262</v>
      </c>
      <c r="G253" s="13" t="b">
        <v>0</v>
      </c>
      <c r="H253" s="10" t="s">
        <v>527</v>
      </c>
      <c r="I253" s="10" t="s">
        <v>264</v>
      </c>
      <c r="J253" s="13" t="b">
        <v>0</v>
      </c>
      <c r="K253" s="13" t="b">
        <v>1</v>
      </c>
      <c r="L253" s="10" t="s">
        <v>124</v>
      </c>
      <c r="M253" s="10" t="s">
        <v>91</v>
      </c>
      <c r="N253" s="10" t="s">
        <v>265</v>
      </c>
      <c r="O253" s="10"/>
      <c r="P253" s="10"/>
      <c r="Q253" s="10" t="s">
        <v>126</v>
      </c>
      <c r="R253" s="10"/>
      <c r="S253" s="10"/>
      <c r="T253" s="10"/>
      <c r="U253" s="10" t="s">
        <v>320</v>
      </c>
      <c r="V253" s="10" t="s">
        <v>347</v>
      </c>
      <c r="W253" s="10" t="s">
        <v>272</v>
      </c>
      <c r="X253" s="10" t="s">
        <v>130</v>
      </c>
      <c r="Y253" s="10" t="s">
        <v>130</v>
      </c>
      <c r="Z253" s="10" t="s">
        <v>99</v>
      </c>
      <c r="AA253" s="10" t="s">
        <v>131</v>
      </c>
      <c r="AB253" s="10" t="s">
        <v>273</v>
      </c>
      <c r="AC253" s="10" t="s">
        <v>274</v>
      </c>
      <c r="AD253" s="10" t="s">
        <v>2619</v>
      </c>
      <c r="AE253" s="10" t="s">
        <v>2620</v>
      </c>
      <c r="AF253" s="15"/>
      <c r="AG253" s="10"/>
      <c r="AH253" s="10"/>
      <c r="AI253" s="10"/>
      <c r="AJ253" s="10"/>
      <c r="AK253" s="10"/>
      <c r="AL253" s="10" t="s">
        <v>2596</v>
      </c>
      <c r="AM253" s="10"/>
      <c r="AN253" s="10"/>
      <c r="AO253" s="13" t="b">
        <v>0</v>
      </c>
      <c r="AP253" s="10" t="s">
        <v>104</v>
      </c>
      <c r="AQ253" s="10"/>
      <c r="AR253" s="17"/>
      <c r="AS253" s="17"/>
      <c r="AT253" s="17"/>
      <c r="AU253" s="17"/>
      <c r="AV253" s="17"/>
      <c r="AW253" s="10"/>
      <c r="AX253" s="17"/>
      <c r="AY253" s="18" t="s">
        <v>257</v>
      </c>
      <c r="AZ253" s="10"/>
      <c r="BA253" s="20" t="b">
        <v>0</v>
      </c>
      <c r="BB253" s="10"/>
      <c r="BC253" s="17" t="s">
        <v>257</v>
      </c>
      <c r="BD253" s="17" t="s">
        <v>257</v>
      </c>
      <c r="BE253" s="17" t="s">
        <v>257</v>
      </c>
      <c r="BF253" s="17" t="s">
        <v>257</v>
      </c>
      <c r="BG253" s="11">
        <f ca="1">IFERROR(__xludf.DUMMYFUNCTION("""COMPUTED_VALUE"""),46054.875)</f>
        <v>46054.875</v>
      </c>
      <c r="BH253" s="17"/>
      <c r="BI253" s="17"/>
      <c r="BJ253" s="15"/>
      <c r="BK253" s="15"/>
      <c r="BL253" s="13" t="b">
        <v>0</v>
      </c>
      <c r="BM253" s="10"/>
      <c r="BN253" s="10" t="s">
        <v>351</v>
      </c>
      <c r="BO253" s="11">
        <v>45827.42083333333</v>
      </c>
      <c r="BP253" s="11">
        <v>46022.91233796296</v>
      </c>
      <c r="BQ253" s="15"/>
      <c r="BR253" s="15"/>
      <c r="BS253" s="10"/>
      <c r="BT253" s="10" t="s">
        <v>99</v>
      </c>
      <c r="BU253" s="10"/>
      <c r="BV253" s="10"/>
      <c r="BW253" s="10"/>
      <c r="BX253" s="10"/>
      <c r="BY253" s="23"/>
      <c r="BZ253" s="24" t="s">
        <v>299</v>
      </c>
      <c r="CA253" s="23"/>
      <c r="CB253" s="23"/>
      <c r="CC253" s="23"/>
      <c r="CD253" s="23"/>
      <c r="CE253" s="23"/>
      <c r="CF253" s="23"/>
      <c r="CG253" s="23"/>
      <c r="CH253" s="23"/>
      <c r="CI253" s="23"/>
    </row>
    <row r="254" spans="1:87" x14ac:dyDescent="0.3">
      <c r="A254" s="9" t="s">
        <v>2621</v>
      </c>
      <c r="B254" s="10" t="s">
        <v>2622</v>
      </c>
      <c r="C254" s="11">
        <v>46056.125</v>
      </c>
      <c r="D254" s="12">
        <v>8.3333333333333329E-2</v>
      </c>
      <c r="E254" s="11">
        <v>46056.208333333336</v>
      </c>
      <c r="F254" s="10" t="s">
        <v>262</v>
      </c>
      <c r="G254" s="13" t="b">
        <v>0</v>
      </c>
      <c r="H254" s="10" t="s">
        <v>263</v>
      </c>
      <c r="I254" s="10" t="s">
        <v>264</v>
      </c>
      <c r="J254" s="13" t="b">
        <v>0</v>
      </c>
      <c r="K254" s="13" t="b">
        <v>1</v>
      </c>
      <c r="L254" s="10" t="s">
        <v>124</v>
      </c>
      <c r="M254" s="10" t="s">
        <v>91</v>
      </c>
      <c r="N254" s="10" t="s">
        <v>265</v>
      </c>
      <c r="O254" s="10"/>
      <c r="P254" s="10" t="s">
        <v>267</v>
      </c>
      <c r="Q254" s="10" t="s">
        <v>126</v>
      </c>
      <c r="R254" s="10"/>
      <c r="S254" s="10"/>
      <c r="T254" s="10"/>
      <c r="U254" s="10" t="s">
        <v>588</v>
      </c>
      <c r="V254" s="10" t="s">
        <v>609</v>
      </c>
      <c r="W254" s="10" t="s">
        <v>272</v>
      </c>
      <c r="X254" s="10" t="s">
        <v>130</v>
      </c>
      <c r="Y254" s="10" t="s">
        <v>130</v>
      </c>
      <c r="Z254" s="10" t="s">
        <v>99</v>
      </c>
      <c r="AA254" s="10" t="s">
        <v>131</v>
      </c>
      <c r="AB254" s="10" t="s">
        <v>273</v>
      </c>
      <c r="AC254" s="10" t="s">
        <v>274</v>
      </c>
      <c r="AD254" s="10" t="s">
        <v>2623</v>
      </c>
      <c r="AE254" s="10" t="s">
        <v>2624</v>
      </c>
      <c r="AF254" s="15"/>
      <c r="AG254" s="10"/>
      <c r="AH254" s="10"/>
      <c r="AI254" s="10"/>
      <c r="AJ254" s="10"/>
      <c r="AK254" s="10"/>
      <c r="AL254" s="10" t="s">
        <v>2596</v>
      </c>
      <c r="AM254" s="10"/>
      <c r="AN254" s="10"/>
      <c r="AO254" s="13" t="b">
        <v>0</v>
      </c>
      <c r="AP254" s="10" t="s">
        <v>104</v>
      </c>
      <c r="AQ254" s="10"/>
      <c r="AR254" s="17"/>
      <c r="AS254" s="17"/>
      <c r="AT254" s="17"/>
      <c r="AU254" s="17"/>
      <c r="AV254" s="17"/>
      <c r="AW254" s="10"/>
      <c r="AX254" s="17"/>
      <c r="AY254" s="18" t="s">
        <v>257</v>
      </c>
      <c r="AZ254" s="10"/>
      <c r="BA254" s="20" t="b">
        <v>0</v>
      </c>
      <c r="BB254" s="10"/>
      <c r="BC254" s="17" t="s">
        <v>257</v>
      </c>
      <c r="BD254" s="17" t="s">
        <v>257</v>
      </c>
      <c r="BE254" s="17" t="s">
        <v>257</v>
      </c>
      <c r="BF254" s="17" t="s">
        <v>257</v>
      </c>
      <c r="BG254" s="11">
        <f ca="1">IFERROR(__xludf.DUMMYFUNCTION("""COMPUTED_VALUE"""),46056.125)</f>
        <v>46056.125</v>
      </c>
      <c r="BH254" s="17"/>
      <c r="BI254" s="17"/>
      <c r="BJ254" s="15"/>
      <c r="BK254" s="15"/>
      <c r="BL254" s="13" t="b">
        <v>0</v>
      </c>
      <c r="BM254" s="10"/>
      <c r="BN254" s="10" t="s">
        <v>351</v>
      </c>
      <c r="BO254" s="11">
        <v>45827.42083333333</v>
      </c>
      <c r="BP254" s="11">
        <v>46022.912974537037</v>
      </c>
      <c r="BQ254" s="15"/>
      <c r="BR254" s="15"/>
      <c r="BS254" s="10"/>
      <c r="BT254" s="10" t="s">
        <v>99</v>
      </c>
      <c r="BU254" s="10"/>
      <c r="BV254" s="10"/>
      <c r="BW254" s="10"/>
      <c r="BX254" s="10"/>
      <c r="BY254" s="23"/>
      <c r="BZ254" s="24" t="s">
        <v>299</v>
      </c>
      <c r="CA254" s="23"/>
      <c r="CB254" s="23"/>
      <c r="CC254" s="23"/>
      <c r="CD254" s="23"/>
      <c r="CE254" s="23"/>
      <c r="CF254" s="23"/>
      <c r="CG254" s="23"/>
      <c r="CH254" s="23"/>
      <c r="CI254" s="23"/>
    </row>
    <row r="255" spans="1:87" x14ac:dyDescent="0.3">
      <c r="A255" s="9" t="s">
        <v>2625</v>
      </c>
      <c r="B255" s="10" t="s">
        <v>2626</v>
      </c>
      <c r="C255" s="11">
        <v>46054.979166666664</v>
      </c>
      <c r="D255" s="12">
        <v>8.3333333333333329E-2</v>
      </c>
      <c r="E255" s="11">
        <v>46055.0625</v>
      </c>
      <c r="F255" s="10" t="s">
        <v>262</v>
      </c>
      <c r="G255" s="13" t="b">
        <v>1</v>
      </c>
      <c r="H255" s="10" t="s">
        <v>263</v>
      </c>
      <c r="I255" s="10" t="s">
        <v>264</v>
      </c>
      <c r="J255" s="13" t="b">
        <v>0</v>
      </c>
      <c r="K255" s="13" t="b">
        <v>1</v>
      </c>
      <c r="L255" s="10" t="s">
        <v>124</v>
      </c>
      <c r="M255" s="10" t="s">
        <v>91</v>
      </c>
      <c r="N255" s="10" t="s">
        <v>265</v>
      </c>
      <c r="O255" s="10"/>
      <c r="P255" s="10" t="s">
        <v>267</v>
      </c>
      <c r="Q255" s="10" t="s">
        <v>126</v>
      </c>
      <c r="R255" s="10"/>
      <c r="S255" s="10"/>
      <c r="T255" s="10"/>
      <c r="U255" s="10" t="s">
        <v>429</v>
      </c>
      <c r="V255" s="10" t="s">
        <v>334</v>
      </c>
      <c r="W255" s="10" t="s">
        <v>272</v>
      </c>
      <c r="X255" s="10" t="s">
        <v>130</v>
      </c>
      <c r="Y255" s="10" t="s">
        <v>130</v>
      </c>
      <c r="Z255" s="10" t="s">
        <v>99</v>
      </c>
      <c r="AA255" s="10" t="s">
        <v>131</v>
      </c>
      <c r="AB255" s="10" t="s">
        <v>273</v>
      </c>
      <c r="AC255" s="10" t="s">
        <v>274</v>
      </c>
      <c r="AD255" s="10" t="s">
        <v>2627</v>
      </c>
      <c r="AE255" s="10" t="s">
        <v>2628</v>
      </c>
      <c r="AF255" s="15"/>
      <c r="AG255" s="10"/>
      <c r="AH255" s="10"/>
      <c r="AI255" s="10"/>
      <c r="AJ255" s="10"/>
      <c r="AK255" s="10"/>
      <c r="AL255" s="10" t="s">
        <v>2596</v>
      </c>
      <c r="AM255" s="10"/>
      <c r="AN255" s="10"/>
      <c r="AO255" s="13" t="b">
        <v>1</v>
      </c>
      <c r="AP255" s="10" t="s">
        <v>104</v>
      </c>
      <c r="AQ255" s="10"/>
      <c r="AR255" s="17"/>
      <c r="AS255" s="17"/>
      <c r="AT255" s="17"/>
      <c r="AU255" s="17"/>
      <c r="AV255" s="17"/>
      <c r="AW255" s="10"/>
      <c r="AX255" s="17"/>
      <c r="AY255" s="18" t="s">
        <v>257</v>
      </c>
      <c r="AZ255" s="10"/>
      <c r="BA255" s="20" t="b">
        <v>0</v>
      </c>
      <c r="BB255" s="10"/>
      <c r="BC255" s="17" t="s">
        <v>257</v>
      </c>
      <c r="BD255" s="17" t="s">
        <v>257</v>
      </c>
      <c r="BE255" s="17" t="s">
        <v>257</v>
      </c>
      <c r="BF255" s="17" t="s">
        <v>257</v>
      </c>
      <c r="BG255" s="11">
        <f ca="1">IFERROR(__xludf.DUMMYFUNCTION("""COMPUTED_VALUE"""),46054.9583333333)</f>
        <v>46054.958333333299</v>
      </c>
      <c r="BH255" s="17"/>
      <c r="BI255" s="17"/>
      <c r="BJ255" s="15"/>
      <c r="BK255" s="15"/>
      <c r="BL255" s="13" t="b">
        <v>0</v>
      </c>
      <c r="BM255" s="10"/>
      <c r="BN255" s="10" t="s">
        <v>351</v>
      </c>
      <c r="BO255" s="11">
        <v>45827.42083333333</v>
      </c>
      <c r="BP255" s="11">
        <v>46022.91265046296</v>
      </c>
      <c r="BQ255" s="15"/>
      <c r="BR255" s="15"/>
      <c r="BS255" s="10"/>
      <c r="BT255" s="10" t="s">
        <v>99</v>
      </c>
      <c r="BU255" s="10"/>
      <c r="BV255" s="10" t="s">
        <v>499</v>
      </c>
      <c r="BW255" s="10" t="s">
        <v>2629</v>
      </c>
      <c r="BX255" s="10"/>
      <c r="BY255" s="23"/>
      <c r="BZ255" s="24" t="s">
        <v>368</v>
      </c>
      <c r="CA255" s="23"/>
      <c r="CB255" s="23"/>
      <c r="CC255" s="23"/>
      <c r="CD255" s="23"/>
      <c r="CE255" s="23"/>
      <c r="CF255" s="23"/>
      <c r="CG255" s="23"/>
      <c r="CH255" s="23"/>
      <c r="CI255" s="23"/>
    </row>
    <row r="256" spans="1:87" x14ac:dyDescent="0.3">
      <c r="A256" s="9" t="s">
        <v>2630</v>
      </c>
      <c r="B256" s="10" t="s">
        <v>2631</v>
      </c>
      <c r="C256" s="11">
        <v>46053.916666666664</v>
      </c>
      <c r="D256" s="12">
        <v>8.3333333333333329E-2</v>
      </c>
      <c r="E256" s="11">
        <v>46054</v>
      </c>
      <c r="F256" s="10" t="s">
        <v>262</v>
      </c>
      <c r="G256" s="13" t="b">
        <v>0</v>
      </c>
      <c r="H256" s="10"/>
      <c r="I256" s="10" t="s">
        <v>264</v>
      </c>
      <c r="J256" s="13" t="b">
        <v>0</v>
      </c>
      <c r="K256" s="13" t="b">
        <v>1</v>
      </c>
      <c r="L256" s="10" t="s">
        <v>124</v>
      </c>
      <c r="M256" s="10" t="s">
        <v>91</v>
      </c>
      <c r="N256" s="10" t="s">
        <v>265</v>
      </c>
      <c r="O256" s="10"/>
      <c r="P256" s="10"/>
      <c r="Q256" s="10" t="s">
        <v>126</v>
      </c>
      <c r="R256" s="10"/>
      <c r="S256" s="10"/>
      <c r="T256" s="10"/>
      <c r="U256" s="10" t="s">
        <v>333</v>
      </c>
      <c r="V256" s="10" t="s">
        <v>271</v>
      </c>
      <c r="W256" s="10" t="s">
        <v>272</v>
      </c>
      <c r="X256" s="10" t="s">
        <v>130</v>
      </c>
      <c r="Y256" s="10" t="s">
        <v>130</v>
      </c>
      <c r="Z256" s="10" t="s">
        <v>99</v>
      </c>
      <c r="AA256" s="10" t="s">
        <v>131</v>
      </c>
      <c r="AB256" s="10" t="s">
        <v>273</v>
      </c>
      <c r="AC256" s="10" t="s">
        <v>274</v>
      </c>
      <c r="AD256" s="10" t="s">
        <v>2632</v>
      </c>
      <c r="AE256" s="10" t="s">
        <v>2633</v>
      </c>
      <c r="AF256" s="15"/>
      <c r="AG256" s="10"/>
      <c r="AH256" s="10"/>
      <c r="AI256" s="10"/>
      <c r="AJ256" s="10"/>
      <c r="AK256" s="10"/>
      <c r="AL256" s="10" t="s">
        <v>2596</v>
      </c>
      <c r="AM256" s="10"/>
      <c r="AN256" s="10"/>
      <c r="AO256" s="13" t="b">
        <v>0</v>
      </c>
      <c r="AP256" s="10" t="s">
        <v>104</v>
      </c>
      <c r="AQ256" s="10"/>
      <c r="AR256" s="17"/>
      <c r="AS256" s="17"/>
      <c r="AT256" s="17"/>
      <c r="AU256" s="17"/>
      <c r="AV256" s="17"/>
      <c r="AW256" s="10"/>
      <c r="AX256" s="17"/>
      <c r="AY256" s="18" t="s">
        <v>257</v>
      </c>
      <c r="AZ256" s="10"/>
      <c r="BA256" s="20" t="b">
        <v>0</v>
      </c>
      <c r="BB256" s="10"/>
      <c r="BC256" s="17" t="s">
        <v>257</v>
      </c>
      <c r="BD256" s="17" t="s">
        <v>257</v>
      </c>
      <c r="BE256" s="17" t="s">
        <v>257</v>
      </c>
      <c r="BF256" s="17" t="s">
        <v>257</v>
      </c>
      <c r="BG256" s="11">
        <f ca="1">IFERROR(__xludf.DUMMYFUNCTION("""COMPUTED_VALUE"""),46053.9166666666)</f>
        <v>46053.916666666599</v>
      </c>
      <c r="BH256" s="17"/>
      <c r="BI256" s="17"/>
      <c r="BJ256" s="15"/>
      <c r="BK256" s="15"/>
      <c r="BL256" s="13" t="b">
        <v>0</v>
      </c>
      <c r="BM256" s="10"/>
      <c r="BN256" s="10" t="s">
        <v>351</v>
      </c>
      <c r="BO256" s="11">
        <v>45827.42083333333</v>
      </c>
      <c r="BP256" s="11">
        <v>46022.910821759258</v>
      </c>
      <c r="BQ256" s="15"/>
      <c r="BR256" s="15"/>
      <c r="BS256" s="10"/>
      <c r="BT256" s="10" t="s">
        <v>99</v>
      </c>
      <c r="BU256" s="10"/>
      <c r="BV256" s="10"/>
      <c r="BW256" s="10"/>
      <c r="BX256" s="10"/>
      <c r="BY256" s="23"/>
      <c r="BZ256" s="24" t="s">
        <v>299</v>
      </c>
      <c r="CA256" s="23"/>
      <c r="CB256" s="23"/>
      <c r="CC256" s="23"/>
      <c r="CD256" s="23"/>
      <c r="CE256" s="23"/>
      <c r="CF256" s="23"/>
      <c r="CG256" s="23"/>
      <c r="CH256" s="23"/>
      <c r="CI256" s="23"/>
    </row>
    <row r="257" spans="1:87" x14ac:dyDescent="0.3">
      <c r="A257" s="9" t="s">
        <v>2634</v>
      </c>
      <c r="B257" s="10" t="s">
        <v>2635</v>
      </c>
      <c r="C257" s="11">
        <v>46060</v>
      </c>
      <c r="D257" s="12">
        <v>8.3333333333333329E-2</v>
      </c>
      <c r="E257" s="11">
        <v>46060.083333333336</v>
      </c>
      <c r="F257" s="10" t="s">
        <v>262</v>
      </c>
      <c r="G257" s="13" t="b">
        <v>0</v>
      </c>
      <c r="H257" s="10"/>
      <c r="I257" s="10" t="s">
        <v>264</v>
      </c>
      <c r="J257" s="13" t="b">
        <v>0</v>
      </c>
      <c r="K257" s="13" t="b">
        <v>1</v>
      </c>
      <c r="L257" s="10" t="s">
        <v>124</v>
      </c>
      <c r="M257" s="10" t="s">
        <v>91</v>
      </c>
      <c r="N257" s="10" t="s">
        <v>92</v>
      </c>
      <c r="O257" s="10"/>
      <c r="P257" s="10"/>
      <c r="Q257" s="10"/>
      <c r="R257" s="10"/>
      <c r="S257" s="10"/>
      <c r="T257" s="10"/>
      <c r="U257" s="10" t="s">
        <v>271</v>
      </c>
      <c r="V257" s="10" t="s">
        <v>292</v>
      </c>
      <c r="W257" s="10" t="s">
        <v>272</v>
      </c>
      <c r="X257" s="10" t="s">
        <v>130</v>
      </c>
      <c r="Y257" s="10" t="s">
        <v>130</v>
      </c>
      <c r="Z257" s="10" t="s">
        <v>99</v>
      </c>
      <c r="AA257" s="10" t="s">
        <v>131</v>
      </c>
      <c r="AB257" s="10" t="s">
        <v>273</v>
      </c>
      <c r="AC257" s="10" t="s">
        <v>274</v>
      </c>
      <c r="AD257" s="10" t="s">
        <v>2636</v>
      </c>
      <c r="AE257" s="10" t="s">
        <v>2637</v>
      </c>
      <c r="AF257" s="15"/>
      <c r="AG257" s="10"/>
      <c r="AH257" s="10"/>
      <c r="AI257" s="10"/>
      <c r="AJ257" s="10"/>
      <c r="AK257" s="10"/>
      <c r="AL257" s="10" t="s">
        <v>2638</v>
      </c>
      <c r="AM257" s="10"/>
      <c r="AN257" s="10"/>
      <c r="AO257" s="13" t="b">
        <v>0</v>
      </c>
      <c r="AP257" s="10" t="s">
        <v>104</v>
      </c>
      <c r="AQ257" s="10"/>
      <c r="AR257" s="17"/>
      <c r="AS257" s="17"/>
      <c r="AT257" s="17"/>
      <c r="AU257" s="17"/>
      <c r="AV257" s="17"/>
      <c r="AW257" s="10"/>
      <c r="AX257" s="17"/>
      <c r="AY257" s="18" t="s">
        <v>257</v>
      </c>
      <c r="AZ257" s="10"/>
      <c r="BA257" s="20" t="b">
        <v>0</v>
      </c>
      <c r="BB257" s="10"/>
      <c r="BC257" s="17" t="s">
        <v>257</v>
      </c>
      <c r="BD257" s="17" t="s">
        <v>257</v>
      </c>
      <c r="BE257" s="17" t="s">
        <v>257</v>
      </c>
      <c r="BF257" s="17" t="s">
        <v>257</v>
      </c>
      <c r="BG257" s="11">
        <f ca="1">IFERROR(__xludf.DUMMYFUNCTION("""COMPUTED_VALUE"""),46060)</f>
        <v>46060</v>
      </c>
      <c r="BH257" s="17"/>
      <c r="BI257" s="17"/>
      <c r="BJ257" s="15"/>
      <c r="BK257" s="15"/>
      <c r="BL257" s="13" t="b">
        <v>0</v>
      </c>
      <c r="BM257" s="10"/>
      <c r="BN257" s="10" t="s">
        <v>223</v>
      </c>
      <c r="BO257" s="11">
        <v>45827.420937499999</v>
      </c>
      <c r="BP257" s="11">
        <v>45827.420937499999</v>
      </c>
      <c r="BQ257" s="15"/>
      <c r="BR257" s="15"/>
      <c r="BS257" s="10"/>
      <c r="BT257" s="10"/>
      <c r="BU257" s="10"/>
      <c r="BV257" s="10"/>
      <c r="BW257" s="10"/>
      <c r="BX257" s="10"/>
      <c r="BY257" s="23"/>
      <c r="BZ257" s="24" t="s">
        <v>299</v>
      </c>
      <c r="CA257" s="23"/>
      <c r="CB257" s="23"/>
      <c r="CC257" s="23"/>
      <c r="CD257" s="23"/>
      <c r="CE257" s="23"/>
      <c r="CF257" s="23"/>
      <c r="CG257" s="23"/>
      <c r="CH257" s="23"/>
      <c r="CI257" s="23"/>
    </row>
    <row r="258" spans="1:87" x14ac:dyDescent="0.3">
      <c r="A258" s="9" t="s">
        <v>2639</v>
      </c>
      <c r="B258" s="10" t="s">
        <v>2640</v>
      </c>
      <c r="C258" s="11">
        <v>46060</v>
      </c>
      <c r="D258" s="12">
        <v>8.3333333333333329E-2</v>
      </c>
      <c r="E258" s="11">
        <v>46060.083333333336</v>
      </c>
      <c r="F258" s="10" t="s">
        <v>262</v>
      </c>
      <c r="G258" s="13" t="b">
        <v>0</v>
      </c>
      <c r="H258" s="10"/>
      <c r="I258" s="10" t="s">
        <v>264</v>
      </c>
      <c r="J258" s="13" t="b">
        <v>0</v>
      </c>
      <c r="K258" s="13" t="b">
        <v>1</v>
      </c>
      <c r="L258" s="10" t="s">
        <v>124</v>
      </c>
      <c r="M258" s="10" t="s">
        <v>91</v>
      </c>
      <c r="N258" s="10" t="s">
        <v>92</v>
      </c>
      <c r="O258" s="10"/>
      <c r="P258" s="10"/>
      <c r="Q258" s="10"/>
      <c r="R258" s="10"/>
      <c r="S258" s="10"/>
      <c r="T258" s="10"/>
      <c r="U258" s="10" t="s">
        <v>362</v>
      </c>
      <c r="V258" s="10" t="s">
        <v>588</v>
      </c>
      <c r="W258" s="10" t="s">
        <v>272</v>
      </c>
      <c r="X258" s="10" t="s">
        <v>130</v>
      </c>
      <c r="Y258" s="10" t="s">
        <v>130</v>
      </c>
      <c r="Z258" s="10" t="s">
        <v>99</v>
      </c>
      <c r="AA258" s="10" t="s">
        <v>131</v>
      </c>
      <c r="AB258" s="10" t="s">
        <v>273</v>
      </c>
      <c r="AC258" s="10" t="s">
        <v>274</v>
      </c>
      <c r="AD258" s="10" t="s">
        <v>2641</v>
      </c>
      <c r="AE258" s="10" t="s">
        <v>2642</v>
      </c>
      <c r="AF258" s="15"/>
      <c r="AG258" s="10"/>
      <c r="AH258" s="10"/>
      <c r="AI258" s="10"/>
      <c r="AJ258" s="10"/>
      <c r="AK258" s="10"/>
      <c r="AL258" s="10" t="s">
        <v>2638</v>
      </c>
      <c r="AM258" s="10"/>
      <c r="AN258" s="10"/>
      <c r="AO258" s="13" t="b">
        <v>1</v>
      </c>
      <c r="AP258" s="10" t="s">
        <v>104</v>
      </c>
      <c r="AQ258" s="10"/>
      <c r="AR258" s="17"/>
      <c r="AS258" s="17"/>
      <c r="AT258" s="17"/>
      <c r="AU258" s="17"/>
      <c r="AV258" s="17"/>
      <c r="AW258" s="10"/>
      <c r="AX258" s="17"/>
      <c r="AY258" s="18" t="s">
        <v>257</v>
      </c>
      <c r="AZ258" s="10"/>
      <c r="BA258" s="20" t="b">
        <v>0</v>
      </c>
      <c r="BB258" s="10"/>
      <c r="BC258" s="17" t="s">
        <v>257</v>
      </c>
      <c r="BD258" s="17" t="s">
        <v>257</v>
      </c>
      <c r="BE258" s="17" t="s">
        <v>257</v>
      </c>
      <c r="BF258" s="17" t="s">
        <v>257</v>
      </c>
      <c r="BG258" s="11">
        <f ca="1">IFERROR(__xludf.DUMMYFUNCTION("""COMPUTED_VALUE"""),46060)</f>
        <v>46060</v>
      </c>
      <c r="BH258" s="17"/>
      <c r="BI258" s="17"/>
      <c r="BJ258" s="15"/>
      <c r="BK258" s="15"/>
      <c r="BL258" s="13" t="b">
        <v>0</v>
      </c>
      <c r="BM258" s="10"/>
      <c r="BN258" s="10" t="s">
        <v>223</v>
      </c>
      <c r="BO258" s="11">
        <v>45827.420937499999</v>
      </c>
      <c r="BP258" s="11">
        <v>45827.420937499999</v>
      </c>
      <c r="BQ258" s="15"/>
      <c r="BR258" s="15"/>
      <c r="BS258" s="10"/>
      <c r="BT258" s="10"/>
      <c r="BU258" s="10"/>
      <c r="BV258" s="10"/>
      <c r="BW258" s="10"/>
      <c r="BX258" s="10"/>
      <c r="BY258" s="23"/>
      <c r="BZ258" s="24" t="s">
        <v>284</v>
      </c>
      <c r="CA258" s="23"/>
      <c r="CB258" s="23"/>
      <c r="CC258" s="23"/>
      <c r="CD258" s="23"/>
      <c r="CE258" s="23"/>
      <c r="CF258" s="23"/>
      <c r="CG258" s="23"/>
      <c r="CH258" s="23"/>
      <c r="CI258" s="23"/>
    </row>
    <row r="259" spans="1:87" x14ac:dyDescent="0.3">
      <c r="A259" s="9" t="s">
        <v>2643</v>
      </c>
      <c r="B259" s="10" t="s">
        <v>2644</v>
      </c>
      <c r="C259" s="11">
        <v>46060</v>
      </c>
      <c r="D259" s="12">
        <v>8.3333333333333329E-2</v>
      </c>
      <c r="E259" s="11">
        <v>46060.083333333336</v>
      </c>
      <c r="F259" s="10" t="s">
        <v>262</v>
      </c>
      <c r="G259" s="13" t="b">
        <v>0</v>
      </c>
      <c r="H259" s="10"/>
      <c r="I259" s="10" t="s">
        <v>264</v>
      </c>
      <c r="J259" s="13" t="b">
        <v>0</v>
      </c>
      <c r="K259" s="13" t="b">
        <v>1</v>
      </c>
      <c r="L259" s="10" t="s">
        <v>124</v>
      </c>
      <c r="M259" s="10" t="s">
        <v>91</v>
      </c>
      <c r="N259" s="10" t="s">
        <v>92</v>
      </c>
      <c r="O259" s="10"/>
      <c r="P259" s="10"/>
      <c r="Q259" s="10"/>
      <c r="R259" s="10"/>
      <c r="S259" s="10"/>
      <c r="T259" s="10"/>
      <c r="U259" s="10" t="s">
        <v>308</v>
      </c>
      <c r="V259" s="10" t="s">
        <v>347</v>
      </c>
      <c r="W259" s="10" t="s">
        <v>272</v>
      </c>
      <c r="X259" s="10" t="s">
        <v>130</v>
      </c>
      <c r="Y259" s="10" t="s">
        <v>130</v>
      </c>
      <c r="Z259" s="10" t="s">
        <v>99</v>
      </c>
      <c r="AA259" s="10" t="s">
        <v>131</v>
      </c>
      <c r="AB259" s="10" t="s">
        <v>273</v>
      </c>
      <c r="AC259" s="10" t="s">
        <v>274</v>
      </c>
      <c r="AD259" s="10" t="s">
        <v>2645</v>
      </c>
      <c r="AE259" s="10" t="s">
        <v>2646</v>
      </c>
      <c r="AF259" s="15"/>
      <c r="AG259" s="10"/>
      <c r="AH259" s="10"/>
      <c r="AI259" s="10"/>
      <c r="AJ259" s="10"/>
      <c r="AK259" s="10"/>
      <c r="AL259" s="10" t="s">
        <v>2638</v>
      </c>
      <c r="AM259" s="10"/>
      <c r="AN259" s="10"/>
      <c r="AO259" s="13" t="b">
        <v>0</v>
      </c>
      <c r="AP259" s="10" t="s">
        <v>104</v>
      </c>
      <c r="AQ259" s="10"/>
      <c r="AR259" s="17"/>
      <c r="AS259" s="17"/>
      <c r="AT259" s="17"/>
      <c r="AU259" s="17"/>
      <c r="AV259" s="17"/>
      <c r="AW259" s="10"/>
      <c r="AX259" s="17"/>
      <c r="AY259" s="18" t="s">
        <v>257</v>
      </c>
      <c r="AZ259" s="10"/>
      <c r="BA259" s="20" t="b">
        <v>0</v>
      </c>
      <c r="BB259" s="10"/>
      <c r="BC259" s="17" t="s">
        <v>257</v>
      </c>
      <c r="BD259" s="17" t="s">
        <v>257</v>
      </c>
      <c r="BE259" s="17" t="s">
        <v>257</v>
      </c>
      <c r="BF259" s="17" t="s">
        <v>257</v>
      </c>
      <c r="BG259" s="11">
        <f ca="1">IFERROR(__xludf.DUMMYFUNCTION("""COMPUTED_VALUE"""),46060)</f>
        <v>46060</v>
      </c>
      <c r="BH259" s="17"/>
      <c r="BI259" s="17"/>
      <c r="BJ259" s="15"/>
      <c r="BK259" s="15"/>
      <c r="BL259" s="13" t="b">
        <v>0</v>
      </c>
      <c r="BM259" s="10"/>
      <c r="BN259" s="10" t="s">
        <v>223</v>
      </c>
      <c r="BO259" s="11">
        <v>45827.420937499999</v>
      </c>
      <c r="BP259" s="11">
        <v>45827.420937499999</v>
      </c>
      <c r="BQ259" s="15"/>
      <c r="BR259" s="15"/>
      <c r="BS259" s="10"/>
      <c r="BT259" s="10"/>
      <c r="BU259" s="10"/>
      <c r="BV259" s="10"/>
      <c r="BW259" s="10"/>
      <c r="BX259" s="10"/>
      <c r="BY259" s="23"/>
      <c r="BZ259" s="24" t="s">
        <v>299</v>
      </c>
      <c r="CA259" s="23"/>
      <c r="CB259" s="23"/>
      <c r="CC259" s="23"/>
      <c r="CD259" s="23"/>
      <c r="CE259" s="23"/>
      <c r="CF259" s="23"/>
      <c r="CG259" s="23"/>
      <c r="CH259" s="23"/>
      <c r="CI259" s="23"/>
    </row>
    <row r="260" spans="1:87" x14ac:dyDescent="0.3">
      <c r="A260" s="9" t="s">
        <v>2647</v>
      </c>
      <c r="B260" s="10" t="s">
        <v>2648</v>
      </c>
      <c r="C260" s="11">
        <v>46060</v>
      </c>
      <c r="D260" s="12">
        <v>8.3333333333333329E-2</v>
      </c>
      <c r="E260" s="11">
        <v>46060.083333333336</v>
      </c>
      <c r="F260" s="10" t="s">
        <v>262</v>
      </c>
      <c r="G260" s="13" t="b">
        <v>0</v>
      </c>
      <c r="H260" s="10"/>
      <c r="I260" s="10" t="s">
        <v>264</v>
      </c>
      <c r="J260" s="13" t="b">
        <v>0</v>
      </c>
      <c r="K260" s="13" t="b">
        <v>1</v>
      </c>
      <c r="L260" s="10" t="s">
        <v>124</v>
      </c>
      <c r="M260" s="10" t="s">
        <v>91</v>
      </c>
      <c r="N260" s="10" t="s">
        <v>92</v>
      </c>
      <c r="O260" s="10"/>
      <c r="P260" s="10"/>
      <c r="Q260" s="10"/>
      <c r="R260" s="10"/>
      <c r="S260" s="10"/>
      <c r="T260" s="10"/>
      <c r="U260" s="10" t="s">
        <v>609</v>
      </c>
      <c r="V260" s="10" t="s">
        <v>451</v>
      </c>
      <c r="W260" s="10" t="s">
        <v>272</v>
      </c>
      <c r="X260" s="10" t="s">
        <v>130</v>
      </c>
      <c r="Y260" s="10" t="s">
        <v>130</v>
      </c>
      <c r="Z260" s="10" t="s">
        <v>99</v>
      </c>
      <c r="AA260" s="10" t="s">
        <v>131</v>
      </c>
      <c r="AB260" s="10" t="s">
        <v>273</v>
      </c>
      <c r="AC260" s="10" t="s">
        <v>274</v>
      </c>
      <c r="AD260" s="10" t="s">
        <v>2649</v>
      </c>
      <c r="AE260" s="10" t="s">
        <v>2650</v>
      </c>
      <c r="AF260" s="15"/>
      <c r="AG260" s="10"/>
      <c r="AH260" s="10"/>
      <c r="AI260" s="10"/>
      <c r="AJ260" s="10"/>
      <c r="AK260" s="10"/>
      <c r="AL260" s="10" t="s">
        <v>2638</v>
      </c>
      <c r="AM260" s="10"/>
      <c r="AN260" s="10"/>
      <c r="AO260" s="13" t="b">
        <v>0</v>
      </c>
      <c r="AP260" s="10" t="s">
        <v>104</v>
      </c>
      <c r="AQ260" s="10"/>
      <c r="AR260" s="17"/>
      <c r="AS260" s="17"/>
      <c r="AT260" s="17"/>
      <c r="AU260" s="17"/>
      <c r="AV260" s="17"/>
      <c r="AW260" s="10"/>
      <c r="AX260" s="17"/>
      <c r="AY260" s="18" t="s">
        <v>257</v>
      </c>
      <c r="AZ260" s="10"/>
      <c r="BA260" s="20" t="b">
        <v>0</v>
      </c>
      <c r="BB260" s="10"/>
      <c r="BC260" s="17" t="s">
        <v>257</v>
      </c>
      <c r="BD260" s="17" t="s">
        <v>257</v>
      </c>
      <c r="BE260" s="17" t="s">
        <v>257</v>
      </c>
      <c r="BF260" s="17" t="s">
        <v>257</v>
      </c>
      <c r="BG260" s="11">
        <f ca="1">IFERROR(__xludf.DUMMYFUNCTION("""COMPUTED_VALUE"""),46060)</f>
        <v>46060</v>
      </c>
      <c r="BH260" s="17"/>
      <c r="BI260" s="17"/>
      <c r="BJ260" s="15"/>
      <c r="BK260" s="15"/>
      <c r="BL260" s="13" t="b">
        <v>0</v>
      </c>
      <c r="BM260" s="10"/>
      <c r="BN260" s="10" t="s">
        <v>223</v>
      </c>
      <c r="BO260" s="11">
        <v>45827.420937499999</v>
      </c>
      <c r="BP260" s="11">
        <v>45827.420937499999</v>
      </c>
      <c r="BQ260" s="15"/>
      <c r="BR260" s="15"/>
      <c r="BS260" s="10"/>
      <c r="BT260" s="10"/>
      <c r="BU260" s="10"/>
      <c r="BV260" s="10"/>
      <c r="BW260" s="10"/>
      <c r="BX260" s="10"/>
      <c r="BY260" s="23"/>
      <c r="BZ260" s="24" t="s">
        <v>299</v>
      </c>
      <c r="CA260" s="23"/>
      <c r="CB260" s="23"/>
      <c r="CC260" s="23"/>
      <c r="CD260" s="23"/>
      <c r="CE260" s="23"/>
      <c r="CF260" s="23"/>
      <c r="CG260" s="23"/>
      <c r="CH260" s="23"/>
      <c r="CI260" s="23"/>
    </row>
    <row r="261" spans="1:87" x14ac:dyDescent="0.3">
      <c r="A261" s="9" t="s">
        <v>2651</v>
      </c>
      <c r="B261" s="10" t="s">
        <v>2652</v>
      </c>
      <c r="C261" s="11">
        <v>46060</v>
      </c>
      <c r="D261" s="12">
        <v>8.3333333333333329E-2</v>
      </c>
      <c r="E261" s="11">
        <v>46060.083333333336</v>
      </c>
      <c r="F261" s="10" t="s">
        <v>262</v>
      </c>
      <c r="G261" s="13" t="b">
        <v>0</v>
      </c>
      <c r="H261" s="10"/>
      <c r="I261" s="10" t="s">
        <v>264</v>
      </c>
      <c r="J261" s="13" t="b">
        <v>0</v>
      </c>
      <c r="K261" s="13" t="b">
        <v>1</v>
      </c>
      <c r="L261" s="10" t="s">
        <v>124</v>
      </c>
      <c r="M261" s="10" t="s">
        <v>91</v>
      </c>
      <c r="N261" s="10" t="s">
        <v>92</v>
      </c>
      <c r="O261" s="10"/>
      <c r="P261" s="10"/>
      <c r="Q261" s="10"/>
      <c r="R261" s="10"/>
      <c r="S261" s="10"/>
      <c r="T261" s="10"/>
      <c r="U261" s="10" t="s">
        <v>309</v>
      </c>
      <c r="V261" s="10" t="s">
        <v>407</v>
      </c>
      <c r="W261" s="10" t="s">
        <v>272</v>
      </c>
      <c r="X261" s="10" t="s">
        <v>130</v>
      </c>
      <c r="Y261" s="10" t="s">
        <v>130</v>
      </c>
      <c r="Z261" s="10" t="s">
        <v>99</v>
      </c>
      <c r="AA261" s="10" t="s">
        <v>131</v>
      </c>
      <c r="AB261" s="10" t="s">
        <v>273</v>
      </c>
      <c r="AC261" s="10" t="s">
        <v>274</v>
      </c>
      <c r="AD261" s="10" t="s">
        <v>2653</v>
      </c>
      <c r="AE261" s="10" t="s">
        <v>2654</v>
      </c>
      <c r="AF261" s="15"/>
      <c r="AG261" s="10"/>
      <c r="AH261" s="10"/>
      <c r="AI261" s="10"/>
      <c r="AJ261" s="10"/>
      <c r="AK261" s="10"/>
      <c r="AL261" s="10" t="s">
        <v>2638</v>
      </c>
      <c r="AM261" s="10"/>
      <c r="AN261" s="10"/>
      <c r="AO261" s="13" t="b">
        <v>0</v>
      </c>
      <c r="AP261" s="10" t="s">
        <v>104</v>
      </c>
      <c r="AQ261" s="10"/>
      <c r="AR261" s="17"/>
      <c r="AS261" s="17"/>
      <c r="AT261" s="17"/>
      <c r="AU261" s="17"/>
      <c r="AV261" s="17"/>
      <c r="AW261" s="10"/>
      <c r="AX261" s="17"/>
      <c r="AY261" s="18" t="s">
        <v>257</v>
      </c>
      <c r="AZ261" s="10"/>
      <c r="BA261" s="20" t="b">
        <v>0</v>
      </c>
      <c r="BB261" s="10"/>
      <c r="BC261" s="17" t="s">
        <v>257</v>
      </c>
      <c r="BD261" s="17" t="s">
        <v>257</v>
      </c>
      <c r="BE261" s="17" t="s">
        <v>257</v>
      </c>
      <c r="BF261" s="17" t="s">
        <v>257</v>
      </c>
      <c r="BG261" s="11">
        <f ca="1">IFERROR(__xludf.DUMMYFUNCTION("""COMPUTED_VALUE"""),46060)</f>
        <v>46060</v>
      </c>
      <c r="BH261" s="17"/>
      <c r="BI261" s="17"/>
      <c r="BJ261" s="15"/>
      <c r="BK261" s="15"/>
      <c r="BL261" s="13" t="b">
        <v>0</v>
      </c>
      <c r="BM261" s="10"/>
      <c r="BN261" s="10" t="s">
        <v>223</v>
      </c>
      <c r="BO261" s="11">
        <v>45827.420937499999</v>
      </c>
      <c r="BP261" s="11">
        <v>45827.420937499999</v>
      </c>
      <c r="BQ261" s="15"/>
      <c r="BR261" s="15"/>
      <c r="BS261" s="10"/>
      <c r="BT261" s="10"/>
      <c r="BU261" s="10"/>
      <c r="BV261" s="10"/>
      <c r="BW261" s="10"/>
      <c r="BX261" s="10"/>
      <c r="BY261" s="23"/>
      <c r="BZ261" s="24" t="s">
        <v>299</v>
      </c>
      <c r="CA261" s="23"/>
      <c r="CB261" s="23"/>
      <c r="CC261" s="23"/>
      <c r="CD261" s="23"/>
      <c r="CE261" s="23"/>
      <c r="CF261" s="23"/>
      <c r="CG261" s="23"/>
      <c r="CH261" s="23"/>
      <c r="CI261" s="23"/>
    </row>
    <row r="262" spans="1:87" x14ac:dyDescent="0.3">
      <c r="A262" s="9" t="s">
        <v>2655</v>
      </c>
      <c r="B262" s="10" t="s">
        <v>2656</v>
      </c>
      <c r="C262" s="11">
        <v>46060</v>
      </c>
      <c r="D262" s="12">
        <v>8.3333333333333329E-2</v>
      </c>
      <c r="E262" s="11">
        <v>46060.083333333336</v>
      </c>
      <c r="F262" s="10" t="s">
        <v>262</v>
      </c>
      <c r="G262" s="13" t="b">
        <v>0</v>
      </c>
      <c r="H262" s="10"/>
      <c r="I262" s="10" t="s">
        <v>264</v>
      </c>
      <c r="J262" s="13" t="b">
        <v>0</v>
      </c>
      <c r="K262" s="13" t="b">
        <v>1</v>
      </c>
      <c r="L262" s="10" t="s">
        <v>124</v>
      </c>
      <c r="M262" s="10" t="s">
        <v>91</v>
      </c>
      <c r="N262" s="10" t="s">
        <v>92</v>
      </c>
      <c r="O262" s="10"/>
      <c r="P262" s="10"/>
      <c r="Q262" s="10"/>
      <c r="R262" s="10"/>
      <c r="S262" s="10"/>
      <c r="T262" s="10"/>
      <c r="U262" s="10" t="s">
        <v>663</v>
      </c>
      <c r="V262" s="10" t="s">
        <v>320</v>
      </c>
      <c r="W262" s="10" t="s">
        <v>272</v>
      </c>
      <c r="X262" s="10" t="s">
        <v>130</v>
      </c>
      <c r="Y262" s="10" t="s">
        <v>130</v>
      </c>
      <c r="Z262" s="10" t="s">
        <v>99</v>
      </c>
      <c r="AA262" s="10" t="s">
        <v>131</v>
      </c>
      <c r="AB262" s="10" t="s">
        <v>273</v>
      </c>
      <c r="AC262" s="10" t="s">
        <v>274</v>
      </c>
      <c r="AD262" s="10" t="s">
        <v>2657</v>
      </c>
      <c r="AE262" s="10" t="s">
        <v>2658</v>
      </c>
      <c r="AF262" s="15"/>
      <c r="AG262" s="10"/>
      <c r="AH262" s="10"/>
      <c r="AI262" s="10"/>
      <c r="AJ262" s="10"/>
      <c r="AK262" s="10"/>
      <c r="AL262" s="10" t="s">
        <v>2638</v>
      </c>
      <c r="AM262" s="10"/>
      <c r="AN262" s="10"/>
      <c r="AO262" s="13" t="b">
        <v>0</v>
      </c>
      <c r="AP262" s="10" t="s">
        <v>104</v>
      </c>
      <c r="AQ262" s="10"/>
      <c r="AR262" s="17"/>
      <c r="AS262" s="17"/>
      <c r="AT262" s="17"/>
      <c r="AU262" s="17"/>
      <c r="AV262" s="17"/>
      <c r="AW262" s="10"/>
      <c r="AX262" s="17"/>
      <c r="AY262" s="18" t="s">
        <v>257</v>
      </c>
      <c r="AZ262" s="10"/>
      <c r="BA262" s="20" t="b">
        <v>0</v>
      </c>
      <c r="BB262" s="10"/>
      <c r="BC262" s="17" t="s">
        <v>257</v>
      </c>
      <c r="BD262" s="17" t="s">
        <v>257</v>
      </c>
      <c r="BE262" s="17" t="s">
        <v>257</v>
      </c>
      <c r="BF262" s="17" t="s">
        <v>257</v>
      </c>
      <c r="BG262" s="11">
        <f ca="1">IFERROR(__xludf.DUMMYFUNCTION("""COMPUTED_VALUE"""),46060)</f>
        <v>46060</v>
      </c>
      <c r="BH262" s="17"/>
      <c r="BI262" s="17"/>
      <c r="BJ262" s="15"/>
      <c r="BK262" s="15"/>
      <c r="BL262" s="13" t="b">
        <v>0</v>
      </c>
      <c r="BM262" s="10"/>
      <c r="BN262" s="10" t="s">
        <v>223</v>
      </c>
      <c r="BO262" s="11">
        <v>45827.420937499999</v>
      </c>
      <c r="BP262" s="11">
        <v>45827.420937499999</v>
      </c>
      <c r="BQ262" s="15"/>
      <c r="BR262" s="15"/>
      <c r="BS262" s="10"/>
      <c r="BT262" s="10"/>
      <c r="BU262" s="10"/>
      <c r="BV262" s="10"/>
      <c r="BW262" s="10"/>
      <c r="BX262" s="10"/>
      <c r="BY262" s="23"/>
      <c r="BZ262" s="24" t="s">
        <v>299</v>
      </c>
      <c r="CA262" s="23"/>
      <c r="CB262" s="23"/>
      <c r="CC262" s="23"/>
      <c r="CD262" s="23"/>
      <c r="CE262" s="23"/>
      <c r="CF262" s="23"/>
      <c r="CG262" s="23"/>
      <c r="CH262" s="23"/>
      <c r="CI262" s="23"/>
    </row>
    <row r="263" spans="1:87" x14ac:dyDescent="0.3">
      <c r="A263" s="9" t="s">
        <v>2659</v>
      </c>
      <c r="B263" s="10" t="s">
        <v>2660</v>
      </c>
      <c r="C263" s="11">
        <v>46060</v>
      </c>
      <c r="D263" s="12">
        <v>8.3333333333333329E-2</v>
      </c>
      <c r="E263" s="11">
        <v>46060.083333333336</v>
      </c>
      <c r="F263" s="10" t="s">
        <v>262</v>
      </c>
      <c r="G263" s="13" t="b">
        <v>0</v>
      </c>
      <c r="H263" s="10"/>
      <c r="I263" s="10" t="s">
        <v>264</v>
      </c>
      <c r="J263" s="13" t="b">
        <v>0</v>
      </c>
      <c r="K263" s="13" t="b">
        <v>1</v>
      </c>
      <c r="L263" s="10" t="s">
        <v>124</v>
      </c>
      <c r="M263" s="10" t="s">
        <v>91</v>
      </c>
      <c r="N263" s="10" t="s">
        <v>92</v>
      </c>
      <c r="O263" s="10"/>
      <c r="P263" s="10"/>
      <c r="Q263" s="10"/>
      <c r="R263" s="10"/>
      <c r="S263" s="10"/>
      <c r="T263" s="10"/>
      <c r="U263" s="10" t="s">
        <v>270</v>
      </c>
      <c r="V263" s="10" t="s">
        <v>334</v>
      </c>
      <c r="W263" s="10" t="s">
        <v>272</v>
      </c>
      <c r="X263" s="10" t="s">
        <v>130</v>
      </c>
      <c r="Y263" s="10" t="s">
        <v>130</v>
      </c>
      <c r="Z263" s="10" t="s">
        <v>99</v>
      </c>
      <c r="AA263" s="10" t="s">
        <v>131</v>
      </c>
      <c r="AB263" s="10" t="s">
        <v>273</v>
      </c>
      <c r="AC263" s="10" t="s">
        <v>274</v>
      </c>
      <c r="AD263" s="10" t="s">
        <v>2661</v>
      </c>
      <c r="AE263" s="10" t="s">
        <v>2662</v>
      </c>
      <c r="AF263" s="15"/>
      <c r="AG263" s="10"/>
      <c r="AH263" s="10"/>
      <c r="AI263" s="10"/>
      <c r="AJ263" s="10"/>
      <c r="AK263" s="10"/>
      <c r="AL263" s="10" t="s">
        <v>2638</v>
      </c>
      <c r="AM263" s="10"/>
      <c r="AN263" s="10"/>
      <c r="AO263" s="13" t="b">
        <v>1</v>
      </c>
      <c r="AP263" s="10" t="s">
        <v>104</v>
      </c>
      <c r="AQ263" s="10"/>
      <c r="AR263" s="17"/>
      <c r="AS263" s="17"/>
      <c r="AT263" s="17"/>
      <c r="AU263" s="17"/>
      <c r="AV263" s="17"/>
      <c r="AW263" s="10"/>
      <c r="AX263" s="17"/>
      <c r="AY263" s="18" t="s">
        <v>257</v>
      </c>
      <c r="AZ263" s="10"/>
      <c r="BA263" s="20" t="b">
        <v>0</v>
      </c>
      <c r="BB263" s="10"/>
      <c r="BC263" s="17" t="s">
        <v>257</v>
      </c>
      <c r="BD263" s="17" t="s">
        <v>257</v>
      </c>
      <c r="BE263" s="17" t="s">
        <v>257</v>
      </c>
      <c r="BF263" s="17" t="s">
        <v>257</v>
      </c>
      <c r="BG263" s="11">
        <f ca="1">IFERROR(__xludf.DUMMYFUNCTION("""COMPUTED_VALUE"""),46060)</f>
        <v>46060</v>
      </c>
      <c r="BH263" s="17"/>
      <c r="BI263" s="17"/>
      <c r="BJ263" s="15"/>
      <c r="BK263" s="15"/>
      <c r="BL263" s="13" t="b">
        <v>0</v>
      </c>
      <c r="BM263" s="10"/>
      <c r="BN263" s="10" t="s">
        <v>223</v>
      </c>
      <c r="BO263" s="11">
        <v>45827.420937499999</v>
      </c>
      <c r="BP263" s="11">
        <v>45827.420937499999</v>
      </c>
      <c r="BQ263" s="15"/>
      <c r="BR263" s="15"/>
      <c r="BS263" s="10"/>
      <c r="BT263" s="10"/>
      <c r="BU263" s="10"/>
      <c r="BV263" s="10"/>
      <c r="BW263" s="10"/>
      <c r="BX263" s="10"/>
      <c r="BY263" s="23"/>
      <c r="BZ263" s="24" t="s">
        <v>368</v>
      </c>
      <c r="CA263" s="23"/>
      <c r="CB263" s="23"/>
      <c r="CC263" s="23"/>
      <c r="CD263" s="23"/>
      <c r="CE263" s="23"/>
      <c r="CF263" s="23"/>
      <c r="CG263" s="23"/>
      <c r="CH263" s="23"/>
      <c r="CI263" s="23"/>
    </row>
    <row r="264" spans="1:87" x14ac:dyDescent="0.3">
      <c r="A264" s="9" t="s">
        <v>2663</v>
      </c>
      <c r="B264" s="10" t="s">
        <v>2664</v>
      </c>
      <c r="C264" s="11">
        <v>46060</v>
      </c>
      <c r="D264" s="12">
        <v>8.3333333333333329E-2</v>
      </c>
      <c r="E264" s="11">
        <v>46060.083333333336</v>
      </c>
      <c r="F264" s="10" t="s">
        <v>262</v>
      </c>
      <c r="G264" s="13" t="b">
        <v>0</v>
      </c>
      <c r="H264" s="10"/>
      <c r="I264" s="10" t="s">
        <v>264</v>
      </c>
      <c r="J264" s="13" t="b">
        <v>0</v>
      </c>
      <c r="K264" s="13" t="b">
        <v>1</v>
      </c>
      <c r="L264" s="10" t="s">
        <v>124</v>
      </c>
      <c r="M264" s="10" t="s">
        <v>91</v>
      </c>
      <c r="N264" s="10" t="s">
        <v>92</v>
      </c>
      <c r="O264" s="10"/>
      <c r="P264" s="10"/>
      <c r="Q264" s="10"/>
      <c r="R264" s="10"/>
      <c r="S264" s="10"/>
      <c r="T264" s="10"/>
      <c r="U264" s="10" t="s">
        <v>361</v>
      </c>
      <c r="V264" s="10" t="s">
        <v>429</v>
      </c>
      <c r="W264" s="10" t="s">
        <v>272</v>
      </c>
      <c r="X264" s="10" t="s">
        <v>130</v>
      </c>
      <c r="Y264" s="10" t="s">
        <v>130</v>
      </c>
      <c r="Z264" s="10" t="s">
        <v>99</v>
      </c>
      <c r="AA264" s="10" t="s">
        <v>131</v>
      </c>
      <c r="AB264" s="10" t="s">
        <v>273</v>
      </c>
      <c r="AC264" s="10" t="s">
        <v>274</v>
      </c>
      <c r="AD264" s="10" t="s">
        <v>2665</v>
      </c>
      <c r="AE264" s="10" t="s">
        <v>2666</v>
      </c>
      <c r="AF264" s="15"/>
      <c r="AG264" s="10"/>
      <c r="AH264" s="10"/>
      <c r="AI264" s="10"/>
      <c r="AJ264" s="10"/>
      <c r="AK264" s="10"/>
      <c r="AL264" s="10" t="s">
        <v>2638</v>
      </c>
      <c r="AM264" s="10"/>
      <c r="AN264" s="10"/>
      <c r="AO264" s="13" t="b">
        <v>1</v>
      </c>
      <c r="AP264" s="10" t="s">
        <v>104</v>
      </c>
      <c r="AQ264" s="10"/>
      <c r="AR264" s="17"/>
      <c r="AS264" s="17"/>
      <c r="AT264" s="17"/>
      <c r="AU264" s="17"/>
      <c r="AV264" s="17"/>
      <c r="AW264" s="10"/>
      <c r="AX264" s="17"/>
      <c r="AY264" s="18" t="s">
        <v>257</v>
      </c>
      <c r="AZ264" s="10"/>
      <c r="BA264" s="20" t="b">
        <v>0</v>
      </c>
      <c r="BB264" s="10"/>
      <c r="BC264" s="17" t="s">
        <v>257</v>
      </c>
      <c r="BD264" s="17" t="s">
        <v>257</v>
      </c>
      <c r="BE264" s="17" t="s">
        <v>257</v>
      </c>
      <c r="BF264" s="17" t="s">
        <v>257</v>
      </c>
      <c r="BG264" s="11">
        <f ca="1">IFERROR(__xludf.DUMMYFUNCTION("""COMPUTED_VALUE"""),46060)</f>
        <v>46060</v>
      </c>
      <c r="BH264" s="17"/>
      <c r="BI264" s="17"/>
      <c r="BJ264" s="15"/>
      <c r="BK264" s="15"/>
      <c r="BL264" s="13" t="b">
        <v>0</v>
      </c>
      <c r="BM264" s="10"/>
      <c r="BN264" s="10" t="s">
        <v>223</v>
      </c>
      <c r="BO264" s="11">
        <v>45827.420937499999</v>
      </c>
      <c r="BP264" s="11">
        <v>45827.420937499999</v>
      </c>
      <c r="BQ264" s="15"/>
      <c r="BR264" s="15"/>
      <c r="BS264" s="10"/>
      <c r="BT264" s="10"/>
      <c r="BU264" s="10"/>
      <c r="BV264" s="10"/>
      <c r="BW264" s="10"/>
      <c r="BX264" s="10"/>
      <c r="BY264" s="23"/>
      <c r="BZ264" s="24" t="s">
        <v>368</v>
      </c>
      <c r="CA264" s="23"/>
      <c r="CB264" s="23"/>
      <c r="CC264" s="23"/>
      <c r="CD264" s="23"/>
      <c r="CE264" s="23"/>
      <c r="CF264" s="23"/>
      <c r="CG264" s="23"/>
      <c r="CH264" s="23"/>
      <c r="CI264" s="23"/>
    </row>
    <row r="265" spans="1:87" x14ac:dyDescent="0.3">
      <c r="A265" s="9" t="s">
        <v>2667</v>
      </c>
      <c r="B265" s="10" t="s">
        <v>2668</v>
      </c>
      <c r="C265" s="11">
        <v>46060</v>
      </c>
      <c r="D265" s="12">
        <v>8.3333333333333329E-2</v>
      </c>
      <c r="E265" s="11">
        <v>46060.083333333336</v>
      </c>
      <c r="F265" s="10" t="s">
        <v>262</v>
      </c>
      <c r="G265" s="13" t="b">
        <v>0</v>
      </c>
      <c r="H265" s="10"/>
      <c r="I265" s="10" t="s">
        <v>264</v>
      </c>
      <c r="J265" s="13" t="b">
        <v>0</v>
      </c>
      <c r="K265" s="13" t="b">
        <v>1</v>
      </c>
      <c r="L265" s="10" t="s">
        <v>124</v>
      </c>
      <c r="M265" s="10" t="s">
        <v>91</v>
      </c>
      <c r="N265" s="10" t="s">
        <v>92</v>
      </c>
      <c r="O265" s="10"/>
      <c r="P265" s="10"/>
      <c r="Q265" s="10"/>
      <c r="R265" s="10"/>
      <c r="S265" s="10"/>
      <c r="T265" s="10"/>
      <c r="U265" s="10" t="s">
        <v>293</v>
      </c>
      <c r="V265" s="10" t="s">
        <v>321</v>
      </c>
      <c r="W265" s="10" t="s">
        <v>272</v>
      </c>
      <c r="X265" s="10" t="s">
        <v>130</v>
      </c>
      <c r="Y265" s="10" t="s">
        <v>130</v>
      </c>
      <c r="Z265" s="10" t="s">
        <v>99</v>
      </c>
      <c r="AA265" s="10" t="s">
        <v>131</v>
      </c>
      <c r="AB265" s="10" t="s">
        <v>273</v>
      </c>
      <c r="AC265" s="10" t="s">
        <v>274</v>
      </c>
      <c r="AD265" s="10" t="s">
        <v>2669</v>
      </c>
      <c r="AE265" s="10" t="s">
        <v>2670</v>
      </c>
      <c r="AF265" s="15"/>
      <c r="AG265" s="10"/>
      <c r="AH265" s="10"/>
      <c r="AI265" s="10"/>
      <c r="AJ265" s="10"/>
      <c r="AK265" s="10"/>
      <c r="AL265" s="10" t="s">
        <v>2638</v>
      </c>
      <c r="AM265" s="10"/>
      <c r="AN265" s="10"/>
      <c r="AO265" s="13" t="b">
        <v>0</v>
      </c>
      <c r="AP265" s="10" t="s">
        <v>104</v>
      </c>
      <c r="AQ265" s="10"/>
      <c r="AR265" s="17"/>
      <c r="AS265" s="17"/>
      <c r="AT265" s="17"/>
      <c r="AU265" s="17"/>
      <c r="AV265" s="17"/>
      <c r="AW265" s="10"/>
      <c r="AX265" s="17"/>
      <c r="AY265" s="18" t="s">
        <v>257</v>
      </c>
      <c r="AZ265" s="10"/>
      <c r="BA265" s="20" t="b">
        <v>0</v>
      </c>
      <c r="BB265" s="10"/>
      <c r="BC265" s="17" t="s">
        <v>257</v>
      </c>
      <c r="BD265" s="17" t="s">
        <v>257</v>
      </c>
      <c r="BE265" s="17" t="s">
        <v>257</v>
      </c>
      <c r="BF265" s="17" t="s">
        <v>257</v>
      </c>
      <c r="BG265" s="11">
        <f ca="1">IFERROR(__xludf.DUMMYFUNCTION("""COMPUTED_VALUE"""),46060)</f>
        <v>46060</v>
      </c>
      <c r="BH265" s="17"/>
      <c r="BI265" s="17"/>
      <c r="BJ265" s="15"/>
      <c r="BK265" s="15"/>
      <c r="BL265" s="13" t="b">
        <v>0</v>
      </c>
      <c r="BM265" s="10"/>
      <c r="BN265" s="10" t="s">
        <v>223</v>
      </c>
      <c r="BO265" s="11">
        <v>45827.420937499999</v>
      </c>
      <c r="BP265" s="11">
        <v>45827.420937499999</v>
      </c>
      <c r="BQ265" s="15"/>
      <c r="BR265" s="15"/>
      <c r="BS265" s="10"/>
      <c r="BT265" s="10"/>
      <c r="BU265" s="10"/>
      <c r="BV265" s="10"/>
      <c r="BW265" s="10"/>
      <c r="BX265" s="10"/>
      <c r="BY265" s="23"/>
      <c r="BZ265" s="24" t="s">
        <v>299</v>
      </c>
      <c r="CA265" s="23"/>
      <c r="CB265" s="23"/>
      <c r="CC265" s="23"/>
      <c r="CD265" s="23"/>
      <c r="CE265" s="23"/>
      <c r="CF265" s="23"/>
      <c r="CG265" s="23"/>
      <c r="CH265" s="23"/>
      <c r="CI265" s="23"/>
    </row>
    <row r="266" spans="1:87" x14ac:dyDescent="0.3">
      <c r="A266" s="9" t="s">
        <v>2671</v>
      </c>
      <c r="B266" s="10" t="s">
        <v>2672</v>
      </c>
      <c r="C266" s="11">
        <v>46060</v>
      </c>
      <c r="D266" s="12">
        <v>8.3333333333333329E-2</v>
      </c>
      <c r="E266" s="11">
        <v>46060.083333333336</v>
      </c>
      <c r="F266" s="10" t="s">
        <v>262</v>
      </c>
      <c r="G266" s="13" t="b">
        <v>0</v>
      </c>
      <c r="H266" s="10"/>
      <c r="I266" s="10" t="s">
        <v>264</v>
      </c>
      <c r="J266" s="13" t="b">
        <v>0</v>
      </c>
      <c r="K266" s="13" t="b">
        <v>1</v>
      </c>
      <c r="L266" s="10" t="s">
        <v>124</v>
      </c>
      <c r="M266" s="10" t="s">
        <v>91</v>
      </c>
      <c r="N266" s="10" t="s">
        <v>92</v>
      </c>
      <c r="O266" s="10"/>
      <c r="P266" s="10"/>
      <c r="Q266" s="10"/>
      <c r="R266" s="10"/>
      <c r="S266" s="10"/>
      <c r="T266" s="10"/>
      <c r="U266" s="10" t="s">
        <v>333</v>
      </c>
      <c r="V266" s="10" t="s">
        <v>346</v>
      </c>
      <c r="W266" s="10" t="s">
        <v>272</v>
      </c>
      <c r="X266" s="10" t="s">
        <v>130</v>
      </c>
      <c r="Y266" s="10" t="s">
        <v>130</v>
      </c>
      <c r="Z266" s="10" t="s">
        <v>99</v>
      </c>
      <c r="AA266" s="10" t="s">
        <v>131</v>
      </c>
      <c r="AB266" s="10" t="s">
        <v>273</v>
      </c>
      <c r="AC266" s="10" t="s">
        <v>274</v>
      </c>
      <c r="AD266" s="10" t="s">
        <v>2673</v>
      </c>
      <c r="AE266" s="10" t="s">
        <v>2674</v>
      </c>
      <c r="AF266" s="15"/>
      <c r="AG266" s="10"/>
      <c r="AH266" s="10"/>
      <c r="AI266" s="10"/>
      <c r="AJ266" s="10"/>
      <c r="AK266" s="10"/>
      <c r="AL266" s="10" t="s">
        <v>2638</v>
      </c>
      <c r="AM266" s="10"/>
      <c r="AN266" s="10"/>
      <c r="AO266" s="13" t="b">
        <v>1</v>
      </c>
      <c r="AP266" s="10" t="s">
        <v>104</v>
      </c>
      <c r="AQ266" s="10"/>
      <c r="AR266" s="17"/>
      <c r="AS266" s="17"/>
      <c r="AT266" s="17"/>
      <c r="AU266" s="17"/>
      <c r="AV266" s="17"/>
      <c r="AW266" s="10"/>
      <c r="AX266" s="17"/>
      <c r="AY266" s="18" t="s">
        <v>257</v>
      </c>
      <c r="AZ266" s="10"/>
      <c r="BA266" s="20" t="b">
        <v>0</v>
      </c>
      <c r="BB266" s="10"/>
      <c r="BC266" s="17" t="s">
        <v>257</v>
      </c>
      <c r="BD266" s="17" t="s">
        <v>257</v>
      </c>
      <c r="BE266" s="17" t="s">
        <v>257</v>
      </c>
      <c r="BF266" s="17" t="s">
        <v>257</v>
      </c>
      <c r="BG266" s="11">
        <f ca="1">IFERROR(__xludf.DUMMYFUNCTION("""COMPUTED_VALUE"""),46060)</f>
        <v>46060</v>
      </c>
      <c r="BH266" s="17"/>
      <c r="BI266" s="17"/>
      <c r="BJ266" s="15"/>
      <c r="BK266" s="15"/>
      <c r="BL266" s="13" t="b">
        <v>0</v>
      </c>
      <c r="BM266" s="10"/>
      <c r="BN266" s="10" t="s">
        <v>223</v>
      </c>
      <c r="BO266" s="11">
        <v>45827.420937499999</v>
      </c>
      <c r="BP266" s="11">
        <v>45827.420937499999</v>
      </c>
      <c r="BQ266" s="15"/>
      <c r="BR266" s="15"/>
      <c r="BS266" s="10"/>
      <c r="BT266" s="10"/>
      <c r="BU266" s="10"/>
      <c r="BV266" s="10"/>
      <c r="BW266" s="10"/>
      <c r="BX266" s="10"/>
      <c r="BY266" s="23"/>
      <c r="BZ266" s="24" t="s">
        <v>284</v>
      </c>
      <c r="CA266" s="23"/>
      <c r="CB266" s="23"/>
      <c r="CC266" s="23"/>
      <c r="CD266" s="23"/>
      <c r="CE266" s="23"/>
      <c r="CF266" s="23"/>
      <c r="CG266" s="23"/>
      <c r="CH266" s="23"/>
      <c r="CI266" s="23"/>
    </row>
    <row r="267" spans="1:87" x14ac:dyDescent="0.3">
      <c r="A267" s="9" t="s">
        <v>2675</v>
      </c>
      <c r="B267" s="10" t="s">
        <v>2676</v>
      </c>
      <c r="C267" s="11">
        <v>46064</v>
      </c>
      <c r="D267" s="12">
        <v>8.3333333333333329E-2</v>
      </c>
      <c r="E267" s="11">
        <v>46064.083333333336</v>
      </c>
      <c r="F267" s="10" t="s">
        <v>262</v>
      </c>
      <c r="G267" s="13" t="b">
        <v>0</v>
      </c>
      <c r="H267" s="10"/>
      <c r="I267" s="10" t="s">
        <v>264</v>
      </c>
      <c r="J267" s="13" t="b">
        <v>0</v>
      </c>
      <c r="K267" s="13" t="b">
        <v>1</v>
      </c>
      <c r="L267" s="10" t="s">
        <v>124</v>
      </c>
      <c r="M267" s="10" t="s">
        <v>91</v>
      </c>
      <c r="N267" s="10" t="s">
        <v>92</v>
      </c>
      <c r="O267" s="10"/>
      <c r="P267" s="10"/>
      <c r="Q267" s="10"/>
      <c r="R267" s="10"/>
      <c r="S267" s="10"/>
      <c r="T267" s="10"/>
      <c r="U267" s="10" t="s">
        <v>292</v>
      </c>
      <c r="V267" s="10" t="s">
        <v>308</v>
      </c>
      <c r="W267" s="10" t="s">
        <v>272</v>
      </c>
      <c r="X267" s="10" t="s">
        <v>130</v>
      </c>
      <c r="Y267" s="10" t="s">
        <v>130</v>
      </c>
      <c r="Z267" s="10" t="s">
        <v>99</v>
      </c>
      <c r="AA267" s="10" t="s">
        <v>131</v>
      </c>
      <c r="AB267" s="10" t="s">
        <v>273</v>
      </c>
      <c r="AC267" s="10" t="s">
        <v>274</v>
      </c>
      <c r="AD267" s="10" t="s">
        <v>2677</v>
      </c>
      <c r="AE267" s="10" t="s">
        <v>2678</v>
      </c>
      <c r="AF267" s="15"/>
      <c r="AG267" s="10"/>
      <c r="AH267" s="10"/>
      <c r="AI267" s="10"/>
      <c r="AJ267" s="10"/>
      <c r="AK267" s="10"/>
      <c r="AL267" s="10" t="s">
        <v>2679</v>
      </c>
      <c r="AM267" s="10"/>
      <c r="AN267" s="10"/>
      <c r="AO267" s="13" t="b">
        <v>0</v>
      </c>
      <c r="AP267" s="10" t="s">
        <v>104</v>
      </c>
      <c r="AQ267" s="10"/>
      <c r="AR267" s="17"/>
      <c r="AS267" s="17"/>
      <c r="AT267" s="17"/>
      <c r="AU267" s="17"/>
      <c r="AV267" s="17"/>
      <c r="AW267" s="10"/>
      <c r="AX267" s="17"/>
      <c r="AY267" s="18" t="s">
        <v>257</v>
      </c>
      <c r="AZ267" s="10"/>
      <c r="BA267" s="20" t="b">
        <v>0</v>
      </c>
      <c r="BB267" s="10"/>
      <c r="BC267" s="17" t="s">
        <v>257</v>
      </c>
      <c r="BD267" s="17" t="s">
        <v>257</v>
      </c>
      <c r="BE267" s="17" t="s">
        <v>257</v>
      </c>
      <c r="BF267" s="17" t="s">
        <v>257</v>
      </c>
      <c r="BG267" s="11">
        <f ca="1">IFERROR(__xludf.DUMMYFUNCTION("""COMPUTED_VALUE"""),46064)</f>
        <v>46064</v>
      </c>
      <c r="BH267" s="17"/>
      <c r="BI267" s="17"/>
      <c r="BJ267" s="15"/>
      <c r="BK267" s="15"/>
      <c r="BL267" s="13" t="b">
        <v>0</v>
      </c>
      <c r="BM267" s="10"/>
      <c r="BN267" s="10" t="s">
        <v>223</v>
      </c>
      <c r="BO267" s="11">
        <v>45827.420937499999</v>
      </c>
      <c r="BP267" s="11">
        <v>45827.420937499999</v>
      </c>
      <c r="BQ267" s="15"/>
      <c r="BR267" s="15"/>
      <c r="BS267" s="10"/>
      <c r="BT267" s="10"/>
      <c r="BU267" s="10"/>
      <c r="BV267" s="10"/>
      <c r="BW267" s="10"/>
      <c r="BX267" s="10"/>
      <c r="BY267" s="23"/>
      <c r="BZ267" s="24" t="s">
        <v>299</v>
      </c>
      <c r="CA267" s="23"/>
      <c r="CB267" s="23"/>
      <c r="CC267" s="23"/>
      <c r="CD267" s="23"/>
      <c r="CE267" s="23"/>
      <c r="CF267" s="23"/>
      <c r="CG267" s="23"/>
      <c r="CH267" s="23"/>
      <c r="CI267" s="23"/>
    </row>
    <row r="268" spans="1:87" x14ac:dyDescent="0.3">
      <c r="A268" s="9" t="s">
        <v>2680</v>
      </c>
      <c r="B268" s="10" t="s">
        <v>2681</v>
      </c>
      <c r="C268" s="11">
        <v>46064</v>
      </c>
      <c r="D268" s="12">
        <v>8.3333333333333329E-2</v>
      </c>
      <c r="E268" s="11">
        <v>46064.083333333336</v>
      </c>
      <c r="F268" s="10" t="s">
        <v>262</v>
      </c>
      <c r="G268" s="13" t="b">
        <v>0</v>
      </c>
      <c r="H268" s="10"/>
      <c r="I268" s="10" t="s">
        <v>264</v>
      </c>
      <c r="J268" s="13" t="b">
        <v>0</v>
      </c>
      <c r="K268" s="13" t="b">
        <v>1</v>
      </c>
      <c r="L268" s="10" t="s">
        <v>124</v>
      </c>
      <c r="M268" s="10" t="s">
        <v>91</v>
      </c>
      <c r="N268" s="10" t="s">
        <v>92</v>
      </c>
      <c r="O268" s="10"/>
      <c r="P268" s="10"/>
      <c r="Q268" s="10"/>
      <c r="R268" s="10"/>
      <c r="S268" s="10"/>
      <c r="T268" s="10"/>
      <c r="U268" s="10" t="s">
        <v>321</v>
      </c>
      <c r="V268" s="10" t="s">
        <v>362</v>
      </c>
      <c r="W268" s="10" t="s">
        <v>272</v>
      </c>
      <c r="X268" s="10" t="s">
        <v>130</v>
      </c>
      <c r="Y268" s="10" t="s">
        <v>130</v>
      </c>
      <c r="Z268" s="10" t="s">
        <v>99</v>
      </c>
      <c r="AA268" s="10" t="s">
        <v>131</v>
      </c>
      <c r="AB268" s="10" t="s">
        <v>273</v>
      </c>
      <c r="AC268" s="10" t="s">
        <v>274</v>
      </c>
      <c r="AD268" s="10" t="s">
        <v>2682</v>
      </c>
      <c r="AE268" s="10" t="s">
        <v>2683</v>
      </c>
      <c r="AF268" s="15"/>
      <c r="AG268" s="10"/>
      <c r="AH268" s="10"/>
      <c r="AI268" s="10"/>
      <c r="AJ268" s="10"/>
      <c r="AK268" s="10"/>
      <c r="AL268" s="10" t="s">
        <v>2679</v>
      </c>
      <c r="AM268" s="10"/>
      <c r="AN268" s="10"/>
      <c r="AO268" s="13" t="b">
        <v>1</v>
      </c>
      <c r="AP268" s="10" t="s">
        <v>104</v>
      </c>
      <c r="AQ268" s="10"/>
      <c r="AR268" s="17"/>
      <c r="AS268" s="17"/>
      <c r="AT268" s="17"/>
      <c r="AU268" s="17"/>
      <c r="AV268" s="17"/>
      <c r="AW268" s="10"/>
      <c r="AX268" s="17"/>
      <c r="AY268" s="18" t="s">
        <v>257</v>
      </c>
      <c r="AZ268" s="10"/>
      <c r="BA268" s="20" t="b">
        <v>0</v>
      </c>
      <c r="BB268" s="10"/>
      <c r="BC268" s="17" t="s">
        <v>257</v>
      </c>
      <c r="BD268" s="17" t="s">
        <v>257</v>
      </c>
      <c r="BE268" s="17" t="s">
        <v>257</v>
      </c>
      <c r="BF268" s="17" t="s">
        <v>257</v>
      </c>
      <c r="BG268" s="11">
        <f ca="1">IFERROR(__xludf.DUMMYFUNCTION("""COMPUTED_VALUE"""),46064)</f>
        <v>46064</v>
      </c>
      <c r="BH268" s="17"/>
      <c r="BI268" s="17"/>
      <c r="BJ268" s="15"/>
      <c r="BK268" s="15"/>
      <c r="BL268" s="13" t="b">
        <v>0</v>
      </c>
      <c r="BM268" s="10"/>
      <c r="BN268" s="10" t="s">
        <v>223</v>
      </c>
      <c r="BO268" s="11">
        <v>45827.420937499999</v>
      </c>
      <c r="BP268" s="11">
        <v>45827.420937499999</v>
      </c>
      <c r="BQ268" s="15"/>
      <c r="BR268" s="15"/>
      <c r="BS268" s="10"/>
      <c r="BT268" s="10"/>
      <c r="BU268" s="10"/>
      <c r="BV268" s="10"/>
      <c r="BW268" s="10"/>
      <c r="BX268" s="10"/>
      <c r="BY268" s="23"/>
      <c r="BZ268" s="24" t="s">
        <v>284</v>
      </c>
      <c r="CA268" s="23"/>
      <c r="CB268" s="23"/>
      <c r="CC268" s="23"/>
      <c r="CD268" s="23"/>
      <c r="CE268" s="23"/>
      <c r="CF268" s="23"/>
      <c r="CG268" s="23"/>
      <c r="CH268" s="23"/>
      <c r="CI268" s="23"/>
    </row>
    <row r="269" spans="1:87" x14ac:dyDescent="0.3">
      <c r="A269" s="9" t="s">
        <v>2684</v>
      </c>
      <c r="B269" s="10" t="s">
        <v>2685</v>
      </c>
      <c r="C269" s="11">
        <v>46064</v>
      </c>
      <c r="D269" s="12">
        <v>8.3333333333333329E-2</v>
      </c>
      <c r="E269" s="11">
        <v>46064.083333333336</v>
      </c>
      <c r="F269" s="10" t="s">
        <v>262</v>
      </c>
      <c r="G269" s="13" t="b">
        <v>0</v>
      </c>
      <c r="H269" s="10"/>
      <c r="I269" s="10" t="s">
        <v>264</v>
      </c>
      <c r="J269" s="13" t="b">
        <v>0</v>
      </c>
      <c r="K269" s="13" t="b">
        <v>1</v>
      </c>
      <c r="L269" s="10" t="s">
        <v>124</v>
      </c>
      <c r="M269" s="10" t="s">
        <v>91</v>
      </c>
      <c r="N269" s="10" t="s">
        <v>92</v>
      </c>
      <c r="O269" s="10"/>
      <c r="P269" s="10"/>
      <c r="Q269" s="10"/>
      <c r="R269" s="10"/>
      <c r="S269" s="10"/>
      <c r="T269" s="10"/>
      <c r="U269" s="10" t="s">
        <v>346</v>
      </c>
      <c r="V269" s="10" t="s">
        <v>663</v>
      </c>
      <c r="W269" s="10" t="s">
        <v>272</v>
      </c>
      <c r="X269" s="10" t="s">
        <v>130</v>
      </c>
      <c r="Y269" s="10" t="s">
        <v>130</v>
      </c>
      <c r="Z269" s="10" t="s">
        <v>99</v>
      </c>
      <c r="AA269" s="10" t="s">
        <v>131</v>
      </c>
      <c r="AB269" s="10" t="s">
        <v>273</v>
      </c>
      <c r="AC269" s="10" t="s">
        <v>274</v>
      </c>
      <c r="AD269" s="10" t="s">
        <v>2686</v>
      </c>
      <c r="AE269" s="10" t="s">
        <v>2687</v>
      </c>
      <c r="AF269" s="15"/>
      <c r="AG269" s="10"/>
      <c r="AH269" s="10"/>
      <c r="AI269" s="10"/>
      <c r="AJ269" s="10"/>
      <c r="AK269" s="10"/>
      <c r="AL269" s="10" t="s">
        <v>2679</v>
      </c>
      <c r="AM269" s="10"/>
      <c r="AN269" s="10"/>
      <c r="AO269" s="13" t="b">
        <v>1</v>
      </c>
      <c r="AP269" s="10" t="s">
        <v>104</v>
      </c>
      <c r="AQ269" s="10"/>
      <c r="AR269" s="17"/>
      <c r="AS269" s="17"/>
      <c r="AT269" s="17"/>
      <c r="AU269" s="17"/>
      <c r="AV269" s="17"/>
      <c r="AW269" s="10"/>
      <c r="AX269" s="17"/>
      <c r="AY269" s="18" t="s">
        <v>257</v>
      </c>
      <c r="AZ269" s="10"/>
      <c r="BA269" s="20" t="b">
        <v>0</v>
      </c>
      <c r="BB269" s="10"/>
      <c r="BC269" s="17" t="s">
        <v>257</v>
      </c>
      <c r="BD269" s="17" t="s">
        <v>257</v>
      </c>
      <c r="BE269" s="17" t="s">
        <v>257</v>
      </c>
      <c r="BF269" s="17" t="s">
        <v>257</v>
      </c>
      <c r="BG269" s="11">
        <f ca="1">IFERROR(__xludf.DUMMYFUNCTION("""COMPUTED_VALUE"""),46064)</f>
        <v>46064</v>
      </c>
      <c r="BH269" s="17"/>
      <c r="BI269" s="17"/>
      <c r="BJ269" s="15"/>
      <c r="BK269" s="15"/>
      <c r="BL269" s="13" t="b">
        <v>0</v>
      </c>
      <c r="BM269" s="10"/>
      <c r="BN269" s="10" t="s">
        <v>223</v>
      </c>
      <c r="BO269" s="11">
        <v>45827.420937499999</v>
      </c>
      <c r="BP269" s="11">
        <v>45827.420937499999</v>
      </c>
      <c r="BQ269" s="15"/>
      <c r="BR269" s="15"/>
      <c r="BS269" s="10"/>
      <c r="BT269" s="10"/>
      <c r="BU269" s="10"/>
      <c r="BV269" s="10"/>
      <c r="BW269" s="10"/>
      <c r="BX269" s="10"/>
      <c r="BY269" s="23"/>
      <c r="BZ269" s="24" t="s">
        <v>284</v>
      </c>
      <c r="CA269" s="23"/>
      <c r="CB269" s="23"/>
      <c r="CC269" s="23"/>
      <c r="CD269" s="23"/>
      <c r="CE269" s="23"/>
      <c r="CF269" s="23"/>
      <c r="CG269" s="23"/>
      <c r="CH269" s="23"/>
      <c r="CI269" s="23"/>
    </row>
    <row r="270" spans="1:87" x14ac:dyDescent="0.3">
      <c r="A270" s="9" t="s">
        <v>2688</v>
      </c>
      <c r="B270" s="10" t="s">
        <v>2689</v>
      </c>
      <c r="C270" s="11">
        <v>46064</v>
      </c>
      <c r="D270" s="12">
        <v>8.3333333333333329E-2</v>
      </c>
      <c r="E270" s="11">
        <v>46064.083333333336</v>
      </c>
      <c r="F270" s="10" t="s">
        <v>262</v>
      </c>
      <c r="G270" s="13" t="b">
        <v>0</v>
      </c>
      <c r="H270" s="10"/>
      <c r="I270" s="10" t="s">
        <v>264</v>
      </c>
      <c r="J270" s="13" t="b">
        <v>0</v>
      </c>
      <c r="K270" s="13" t="b">
        <v>1</v>
      </c>
      <c r="L270" s="10" t="s">
        <v>124</v>
      </c>
      <c r="M270" s="10" t="s">
        <v>91</v>
      </c>
      <c r="N270" s="10" t="s">
        <v>92</v>
      </c>
      <c r="O270" s="10"/>
      <c r="P270" s="10"/>
      <c r="Q270" s="10"/>
      <c r="R270" s="10"/>
      <c r="S270" s="10"/>
      <c r="T270" s="10"/>
      <c r="U270" s="10" t="s">
        <v>347</v>
      </c>
      <c r="V270" s="10" t="s">
        <v>609</v>
      </c>
      <c r="W270" s="10" t="s">
        <v>272</v>
      </c>
      <c r="X270" s="10" t="s">
        <v>130</v>
      </c>
      <c r="Y270" s="10" t="s">
        <v>130</v>
      </c>
      <c r="Z270" s="10" t="s">
        <v>99</v>
      </c>
      <c r="AA270" s="10" t="s">
        <v>131</v>
      </c>
      <c r="AB270" s="10" t="s">
        <v>273</v>
      </c>
      <c r="AC270" s="10" t="s">
        <v>274</v>
      </c>
      <c r="AD270" s="10" t="s">
        <v>2690</v>
      </c>
      <c r="AE270" s="10" t="s">
        <v>2691</v>
      </c>
      <c r="AF270" s="15"/>
      <c r="AG270" s="10"/>
      <c r="AH270" s="10"/>
      <c r="AI270" s="10"/>
      <c r="AJ270" s="10"/>
      <c r="AK270" s="10"/>
      <c r="AL270" s="10" t="s">
        <v>2679</v>
      </c>
      <c r="AM270" s="10"/>
      <c r="AN270" s="10"/>
      <c r="AO270" s="13" t="b">
        <v>0</v>
      </c>
      <c r="AP270" s="10" t="s">
        <v>104</v>
      </c>
      <c r="AQ270" s="10"/>
      <c r="AR270" s="17"/>
      <c r="AS270" s="17"/>
      <c r="AT270" s="17"/>
      <c r="AU270" s="17"/>
      <c r="AV270" s="17"/>
      <c r="AW270" s="10"/>
      <c r="AX270" s="17"/>
      <c r="AY270" s="18" t="s">
        <v>257</v>
      </c>
      <c r="AZ270" s="10"/>
      <c r="BA270" s="20" t="b">
        <v>0</v>
      </c>
      <c r="BB270" s="10"/>
      <c r="BC270" s="17" t="s">
        <v>257</v>
      </c>
      <c r="BD270" s="17" t="s">
        <v>257</v>
      </c>
      <c r="BE270" s="17" t="s">
        <v>257</v>
      </c>
      <c r="BF270" s="17" t="s">
        <v>257</v>
      </c>
      <c r="BG270" s="11">
        <f ca="1">IFERROR(__xludf.DUMMYFUNCTION("""COMPUTED_VALUE"""),46064)</f>
        <v>46064</v>
      </c>
      <c r="BH270" s="17"/>
      <c r="BI270" s="17"/>
      <c r="BJ270" s="15"/>
      <c r="BK270" s="15"/>
      <c r="BL270" s="13" t="b">
        <v>0</v>
      </c>
      <c r="BM270" s="10"/>
      <c r="BN270" s="10" t="s">
        <v>223</v>
      </c>
      <c r="BO270" s="11">
        <v>45827.420937499999</v>
      </c>
      <c r="BP270" s="11">
        <v>45827.420937499999</v>
      </c>
      <c r="BQ270" s="15"/>
      <c r="BR270" s="15"/>
      <c r="BS270" s="10"/>
      <c r="BT270" s="10"/>
      <c r="BU270" s="10"/>
      <c r="BV270" s="10"/>
      <c r="BW270" s="10"/>
      <c r="BX270" s="10"/>
      <c r="BY270" s="23"/>
      <c r="BZ270" s="24" t="s">
        <v>299</v>
      </c>
      <c r="CA270" s="23"/>
      <c r="CB270" s="23"/>
      <c r="CC270" s="23"/>
      <c r="CD270" s="23"/>
      <c r="CE270" s="23"/>
      <c r="CF270" s="23"/>
      <c r="CG270" s="23"/>
      <c r="CH270" s="23"/>
      <c r="CI270" s="23"/>
    </row>
    <row r="271" spans="1:87" x14ac:dyDescent="0.3">
      <c r="A271" s="9" t="s">
        <v>2692</v>
      </c>
      <c r="B271" s="10" t="s">
        <v>2693</v>
      </c>
      <c r="C271" s="11">
        <v>46064</v>
      </c>
      <c r="D271" s="12">
        <v>8.3333333333333329E-2</v>
      </c>
      <c r="E271" s="11">
        <v>46064.083333333336</v>
      </c>
      <c r="F271" s="10" t="s">
        <v>262</v>
      </c>
      <c r="G271" s="13" t="b">
        <v>0</v>
      </c>
      <c r="H271" s="10"/>
      <c r="I271" s="10" t="s">
        <v>264</v>
      </c>
      <c r="J271" s="13" t="b">
        <v>0</v>
      </c>
      <c r="K271" s="13" t="b">
        <v>1</v>
      </c>
      <c r="L271" s="10" t="s">
        <v>124</v>
      </c>
      <c r="M271" s="10" t="s">
        <v>91</v>
      </c>
      <c r="N271" s="10" t="s">
        <v>92</v>
      </c>
      <c r="O271" s="10"/>
      <c r="P271" s="10"/>
      <c r="Q271" s="10"/>
      <c r="R271" s="10"/>
      <c r="S271" s="10"/>
      <c r="T271" s="10"/>
      <c r="U271" s="10" t="s">
        <v>407</v>
      </c>
      <c r="V271" s="10" t="s">
        <v>271</v>
      </c>
      <c r="W271" s="10" t="s">
        <v>272</v>
      </c>
      <c r="X271" s="10" t="s">
        <v>130</v>
      </c>
      <c r="Y271" s="10" t="s">
        <v>130</v>
      </c>
      <c r="Z271" s="10" t="s">
        <v>99</v>
      </c>
      <c r="AA271" s="10" t="s">
        <v>131</v>
      </c>
      <c r="AB271" s="10" t="s">
        <v>273</v>
      </c>
      <c r="AC271" s="10" t="s">
        <v>274</v>
      </c>
      <c r="AD271" s="10" t="s">
        <v>2694</v>
      </c>
      <c r="AE271" s="10" t="s">
        <v>2695</v>
      </c>
      <c r="AF271" s="15"/>
      <c r="AG271" s="10"/>
      <c r="AH271" s="10"/>
      <c r="AI271" s="10"/>
      <c r="AJ271" s="10"/>
      <c r="AK271" s="10"/>
      <c r="AL271" s="10" t="s">
        <v>2679</v>
      </c>
      <c r="AM271" s="10"/>
      <c r="AN271" s="10"/>
      <c r="AO271" s="13" t="b">
        <v>0</v>
      </c>
      <c r="AP271" s="10" t="s">
        <v>104</v>
      </c>
      <c r="AQ271" s="10"/>
      <c r="AR271" s="17"/>
      <c r="AS271" s="17"/>
      <c r="AT271" s="17"/>
      <c r="AU271" s="17"/>
      <c r="AV271" s="17"/>
      <c r="AW271" s="10"/>
      <c r="AX271" s="17"/>
      <c r="AY271" s="18" t="s">
        <v>257</v>
      </c>
      <c r="AZ271" s="10"/>
      <c r="BA271" s="20" t="b">
        <v>0</v>
      </c>
      <c r="BB271" s="10"/>
      <c r="BC271" s="17" t="s">
        <v>257</v>
      </c>
      <c r="BD271" s="17" t="s">
        <v>257</v>
      </c>
      <c r="BE271" s="17" t="s">
        <v>257</v>
      </c>
      <c r="BF271" s="17" t="s">
        <v>257</v>
      </c>
      <c r="BG271" s="11">
        <f ca="1">IFERROR(__xludf.DUMMYFUNCTION("""COMPUTED_VALUE"""),46064)</f>
        <v>46064</v>
      </c>
      <c r="BH271" s="17"/>
      <c r="BI271" s="17"/>
      <c r="BJ271" s="15"/>
      <c r="BK271" s="15"/>
      <c r="BL271" s="13" t="b">
        <v>0</v>
      </c>
      <c r="BM271" s="10"/>
      <c r="BN271" s="10" t="s">
        <v>223</v>
      </c>
      <c r="BO271" s="11">
        <v>45827.420937499999</v>
      </c>
      <c r="BP271" s="11">
        <v>45827.420937499999</v>
      </c>
      <c r="BQ271" s="15"/>
      <c r="BR271" s="15"/>
      <c r="BS271" s="10"/>
      <c r="BT271" s="10"/>
      <c r="BU271" s="10"/>
      <c r="BV271" s="10"/>
      <c r="BW271" s="10"/>
      <c r="BX271" s="10"/>
      <c r="BY271" s="23"/>
      <c r="BZ271" s="24" t="s">
        <v>299</v>
      </c>
      <c r="CA271" s="23"/>
      <c r="CB271" s="23"/>
      <c r="CC271" s="23"/>
      <c r="CD271" s="23"/>
      <c r="CE271" s="23"/>
      <c r="CF271" s="23"/>
      <c r="CG271" s="23"/>
      <c r="CH271" s="23"/>
      <c r="CI271" s="23"/>
    </row>
    <row r="272" spans="1:87" x14ac:dyDescent="0.3">
      <c r="A272" s="9" t="s">
        <v>2696</v>
      </c>
      <c r="B272" s="10" t="s">
        <v>2697</v>
      </c>
      <c r="C272" s="11">
        <v>46064</v>
      </c>
      <c r="D272" s="12">
        <v>8.3333333333333329E-2</v>
      </c>
      <c r="E272" s="11">
        <v>46064.083333333336</v>
      </c>
      <c r="F272" s="10" t="s">
        <v>262</v>
      </c>
      <c r="G272" s="13" t="b">
        <v>0</v>
      </c>
      <c r="H272" s="10"/>
      <c r="I272" s="10" t="s">
        <v>264</v>
      </c>
      <c r="J272" s="13" t="b">
        <v>0</v>
      </c>
      <c r="K272" s="13" t="b">
        <v>1</v>
      </c>
      <c r="L272" s="10" t="s">
        <v>124</v>
      </c>
      <c r="M272" s="10" t="s">
        <v>91</v>
      </c>
      <c r="N272" s="10" t="s">
        <v>92</v>
      </c>
      <c r="O272" s="10"/>
      <c r="P272" s="10"/>
      <c r="Q272" s="10"/>
      <c r="R272" s="10"/>
      <c r="S272" s="10"/>
      <c r="T272" s="10"/>
      <c r="U272" s="10" t="s">
        <v>334</v>
      </c>
      <c r="V272" s="10" t="s">
        <v>309</v>
      </c>
      <c r="W272" s="10" t="s">
        <v>272</v>
      </c>
      <c r="X272" s="10" t="s">
        <v>130</v>
      </c>
      <c r="Y272" s="10" t="s">
        <v>130</v>
      </c>
      <c r="Z272" s="10" t="s">
        <v>99</v>
      </c>
      <c r="AA272" s="10" t="s">
        <v>131</v>
      </c>
      <c r="AB272" s="10" t="s">
        <v>273</v>
      </c>
      <c r="AC272" s="10" t="s">
        <v>274</v>
      </c>
      <c r="AD272" s="10" t="s">
        <v>2698</v>
      </c>
      <c r="AE272" s="10" t="s">
        <v>2699</v>
      </c>
      <c r="AF272" s="15"/>
      <c r="AG272" s="10"/>
      <c r="AH272" s="10"/>
      <c r="AI272" s="10"/>
      <c r="AJ272" s="10"/>
      <c r="AK272" s="10"/>
      <c r="AL272" s="10" t="s">
        <v>2679</v>
      </c>
      <c r="AM272" s="10"/>
      <c r="AN272" s="10"/>
      <c r="AO272" s="13" t="b">
        <v>1</v>
      </c>
      <c r="AP272" s="10" t="s">
        <v>104</v>
      </c>
      <c r="AQ272" s="10"/>
      <c r="AR272" s="17"/>
      <c r="AS272" s="17"/>
      <c r="AT272" s="17"/>
      <c r="AU272" s="17"/>
      <c r="AV272" s="17"/>
      <c r="AW272" s="10"/>
      <c r="AX272" s="17"/>
      <c r="AY272" s="18" t="s">
        <v>257</v>
      </c>
      <c r="AZ272" s="10"/>
      <c r="BA272" s="20" t="b">
        <v>0</v>
      </c>
      <c r="BB272" s="10"/>
      <c r="BC272" s="17" t="s">
        <v>257</v>
      </c>
      <c r="BD272" s="17" t="s">
        <v>257</v>
      </c>
      <c r="BE272" s="17" t="s">
        <v>257</v>
      </c>
      <c r="BF272" s="17" t="s">
        <v>257</v>
      </c>
      <c r="BG272" s="11">
        <f ca="1">IFERROR(__xludf.DUMMYFUNCTION("""COMPUTED_VALUE"""),46064)</f>
        <v>46064</v>
      </c>
      <c r="BH272" s="17"/>
      <c r="BI272" s="17"/>
      <c r="BJ272" s="15"/>
      <c r="BK272" s="15"/>
      <c r="BL272" s="13" t="b">
        <v>0</v>
      </c>
      <c r="BM272" s="10"/>
      <c r="BN272" s="10" t="s">
        <v>223</v>
      </c>
      <c r="BO272" s="11">
        <v>45827.420937499999</v>
      </c>
      <c r="BP272" s="11">
        <v>45827.420937499999</v>
      </c>
      <c r="BQ272" s="15"/>
      <c r="BR272" s="15"/>
      <c r="BS272" s="10"/>
      <c r="BT272" s="10"/>
      <c r="BU272" s="10"/>
      <c r="BV272" s="10"/>
      <c r="BW272" s="10"/>
      <c r="BX272" s="10"/>
      <c r="BY272" s="23"/>
      <c r="BZ272" s="24" t="s">
        <v>284</v>
      </c>
      <c r="CA272" s="23"/>
      <c r="CB272" s="23"/>
      <c r="CC272" s="23"/>
      <c r="CD272" s="23"/>
      <c r="CE272" s="23"/>
      <c r="CF272" s="23"/>
      <c r="CG272" s="23"/>
      <c r="CH272" s="23"/>
      <c r="CI272" s="23"/>
    </row>
    <row r="273" spans="1:87" x14ac:dyDescent="0.3">
      <c r="A273" s="9" t="s">
        <v>2700</v>
      </c>
      <c r="B273" s="10" t="s">
        <v>2701</v>
      </c>
      <c r="C273" s="11">
        <v>46064</v>
      </c>
      <c r="D273" s="12">
        <v>8.3333333333333329E-2</v>
      </c>
      <c r="E273" s="11">
        <v>46064.083333333336</v>
      </c>
      <c r="F273" s="10" t="s">
        <v>262</v>
      </c>
      <c r="G273" s="13" t="b">
        <v>0</v>
      </c>
      <c r="H273" s="10"/>
      <c r="I273" s="10" t="s">
        <v>264</v>
      </c>
      <c r="J273" s="13" t="b">
        <v>0</v>
      </c>
      <c r="K273" s="13" t="b">
        <v>1</v>
      </c>
      <c r="L273" s="10" t="s">
        <v>124</v>
      </c>
      <c r="M273" s="10" t="s">
        <v>91</v>
      </c>
      <c r="N273" s="10" t="s">
        <v>92</v>
      </c>
      <c r="O273" s="10"/>
      <c r="P273" s="10"/>
      <c r="Q273" s="10"/>
      <c r="R273" s="10"/>
      <c r="S273" s="10"/>
      <c r="T273" s="10"/>
      <c r="U273" s="10" t="s">
        <v>320</v>
      </c>
      <c r="V273" s="10" t="s">
        <v>333</v>
      </c>
      <c r="W273" s="10" t="s">
        <v>272</v>
      </c>
      <c r="X273" s="10" t="s">
        <v>130</v>
      </c>
      <c r="Y273" s="10" t="s">
        <v>130</v>
      </c>
      <c r="Z273" s="10" t="s">
        <v>99</v>
      </c>
      <c r="AA273" s="10" t="s">
        <v>131</v>
      </c>
      <c r="AB273" s="10" t="s">
        <v>273</v>
      </c>
      <c r="AC273" s="10" t="s">
        <v>274</v>
      </c>
      <c r="AD273" s="10" t="s">
        <v>2702</v>
      </c>
      <c r="AE273" s="10" t="s">
        <v>2703</v>
      </c>
      <c r="AF273" s="15"/>
      <c r="AG273" s="10"/>
      <c r="AH273" s="10"/>
      <c r="AI273" s="10"/>
      <c r="AJ273" s="10"/>
      <c r="AK273" s="10"/>
      <c r="AL273" s="10" t="s">
        <v>2679</v>
      </c>
      <c r="AM273" s="10"/>
      <c r="AN273" s="10"/>
      <c r="AO273" s="13" t="b">
        <v>0</v>
      </c>
      <c r="AP273" s="10" t="s">
        <v>104</v>
      </c>
      <c r="AQ273" s="10"/>
      <c r="AR273" s="17"/>
      <c r="AS273" s="17"/>
      <c r="AT273" s="17"/>
      <c r="AU273" s="17"/>
      <c r="AV273" s="17"/>
      <c r="AW273" s="10"/>
      <c r="AX273" s="17"/>
      <c r="AY273" s="18" t="s">
        <v>257</v>
      </c>
      <c r="AZ273" s="10"/>
      <c r="BA273" s="20" t="b">
        <v>0</v>
      </c>
      <c r="BB273" s="10"/>
      <c r="BC273" s="17" t="s">
        <v>257</v>
      </c>
      <c r="BD273" s="17" t="s">
        <v>257</v>
      </c>
      <c r="BE273" s="17" t="s">
        <v>257</v>
      </c>
      <c r="BF273" s="17" t="s">
        <v>257</v>
      </c>
      <c r="BG273" s="11">
        <f ca="1">IFERROR(__xludf.DUMMYFUNCTION("""COMPUTED_VALUE"""),46064)</f>
        <v>46064</v>
      </c>
      <c r="BH273" s="17"/>
      <c r="BI273" s="17"/>
      <c r="BJ273" s="15"/>
      <c r="BK273" s="15"/>
      <c r="BL273" s="13" t="b">
        <v>0</v>
      </c>
      <c r="BM273" s="10"/>
      <c r="BN273" s="10" t="s">
        <v>223</v>
      </c>
      <c r="BO273" s="11">
        <v>45827.420937499999</v>
      </c>
      <c r="BP273" s="11">
        <v>45827.420937499999</v>
      </c>
      <c r="BQ273" s="15"/>
      <c r="BR273" s="15"/>
      <c r="BS273" s="10"/>
      <c r="BT273" s="10"/>
      <c r="BU273" s="10"/>
      <c r="BV273" s="10"/>
      <c r="BW273" s="10"/>
      <c r="BX273" s="10"/>
      <c r="BY273" s="23"/>
      <c r="BZ273" s="24" t="s">
        <v>299</v>
      </c>
      <c r="CA273" s="23"/>
      <c r="CB273" s="23"/>
      <c r="CC273" s="23"/>
      <c r="CD273" s="23"/>
      <c r="CE273" s="23"/>
      <c r="CF273" s="23"/>
      <c r="CG273" s="23"/>
      <c r="CH273" s="23"/>
      <c r="CI273" s="23"/>
    </row>
    <row r="274" spans="1:87" x14ac:dyDescent="0.3">
      <c r="A274" s="9" t="s">
        <v>2704</v>
      </c>
      <c r="B274" s="10" t="s">
        <v>2705</v>
      </c>
      <c r="C274" s="11">
        <v>46064</v>
      </c>
      <c r="D274" s="12">
        <v>8.3333333333333329E-2</v>
      </c>
      <c r="E274" s="11">
        <v>46064.083333333336</v>
      </c>
      <c r="F274" s="10" t="s">
        <v>262</v>
      </c>
      <c r="G274" s="13" t="b">
        <v>0</v>
      </c>
      <c r="H274" s="10"/>
      <c r="I274" s="10" t="s">
        <v>264</v>
      </c>
      <c r="J274" s="13" t="b">
        <v>0</v>
      </c>
      <c r="K274" s="13" t="b">
        <v>1</v>
      </c>
      <c r="L274" s="10" t="s">
        <v>124</v>
      </c>
      <c r="M274" s="10" t="s">
        <v>91</v>
      </c>
      <c r="N274" s="10" t="s">
        <v>92</v>
      </c>
      <c r="O274" s="10"/>
      <c r="P274" s="10"/>
      <c r="Q274" s="10"/>
      <c r="R274" s="10"/>
      <c r="S274" s="10"/>
      <c r="T274" s="10"/>
      <c r="U274" s="10" t="s">
        <v>588</v>
      </c>
      <c r="V274" s="10" t="s">
        <v>270</v>
      </c>
      <c r="W274" s="10" t="s">
        <v>272</v>
      </c>
      <c r="X274" s="10" t="s">
        <v>130</v>
      </c>
      <c r="Y274" s="10" t="s">
        <v>130</v>
      </c>
      <c r="Z274" s="10" t="s">
        <v>99</v>
      </c>
      <c r="AA274" s="10" t="s">
        <v>131</v>
      </c>
      <c r="AB274" s="10" t="s">
        <v>273</v>
      </c>
      <c r="AC274" s="10" t="s">
        <v>274</v>
      </c>
      <c r="AD274" s="10" t="s">
        <v>2706</v>
      </c>
      <c r="AE274" s="10" t="s">
        <v>2707</v>
      </c>
      <c r="AF274" s="15"/>
      <c r="AG274" s="10"/>
      <c r="AH274" s="10"/>
      <c r="AI274" s="10"/>
      <c r="AJ274" s="10"/>
      <c r="AK274" s="10"/>
      <c r="AL274" s="10" t="s">
        <v>2679</v>
      </c>
      <c r="AM274" s="10"/>
      <c r="AN274" s="10"/>
      <c r="AO274" s="13" t="b">
        <v>1</v>
      </c>
      <c r="AP274" s="10" t="s">
        <v>104</v>
      </c>
      <c r="AQ274" s="10"/>
      <c r="AR274" s="17"/>
      <c r="AS274" s="17"/>
      <c r="AT274" s="17"/>
      <c r="AU274" s="17"/>
      <c r="AV274" s="17"/>
      <c r="AW274" s="10"/>
      <c r="AX274" s="17"/>
      <c r="AY274" s="18" t="s">
        <v>257</v>
      </c>
      <c r="AZ274" s="10"/>
      <c r="BA274" s="20" t="b">
        <v>0</v>
      </c>
      <c r="BB274" s="10"/>
      <c r="BC274" s="17" t="s">
        <v>257</v>
      </c>
      <c r="BD274" s="17" t="s">
        <v>257</v>
      </c>
      <c r="BE274" s="17" t="s">
        <v>257</v>
      </c>
      <c r="BF274" s="17" t="s">
        <v>257</v>
      </c>
      <c r="BG274" s="11">
        <f ca="1">IFERROR(__xludf.DUMMYFUNCTION("""COMPUTED_VALUE"""),46064)</f>
        <v>46064</v>
      </c>
      <c r="BH274" s="17"/>
      <c r="BI274" s="17"/>
      <c r="BJ274" s="15"/>
      <c r="BK274" s="15"/>
      <c r="BL274" s="13" t="b">
        <v>0</v>
      </c>
      <c r="BM274" s="10"/>
      <c r="BN274" s="10" t="s">
        <v>223</v>
      </c>
      <c r="BO274" s="11">
        <v>45827.420937499999</v>
      </c>
      <c r="BP274" s="11">
        <v>45827.420937499999</v>
      </c>
      <c r="BQ274" s="15"/>
      <c r="BR274" s="15"/>
      <c r="BS274" s="10"/>
      <c r="BT274" s="10"/>
      <c r="BU274" s="10"/>
      <c r="BV274" s="10"/>
      <c r="BW274" s="10"/>
      <c r="BX274" s="10"/>
      <c r="BY274" s="23"/>
      <c r="BZ274" s="24" t="s">
        <v>284</v>
      </c>
      <c r="CA274" s="23"/>
      <c r="CB274" s="23"/>
      <c r="CC274" s="23"/>
      <c r="CD274" s="23"/>
      <c r="CE274" s="23"/>
      <c r="CF274" s="23"/>
      <c r="CG274" s="23"/>
      <c r="CH274" s="23"/>
      <c r="CI274" s="23"/>
    </row>
    <row r="275" spans="1:87" x14ac:dyDescent="0.3">
      <c r="A275" s="9" t="s">
        <v>2708</v>
      </c>
      <c r="B275" s="10" t="s">
        <v>2709</v>
      </c>
      <c r="C275" s="11">
        <v>46064</v>
      </c>
      <c r="D275" s="12">
        <v>8.3333333333333329E-2</v>
      </c>
      <c r="E275" s="11">
        <v>46064.083333333336</v>
      </c>
      <c r="F275" s="10" t="s">
        <v>262</v>
      </c>
      <c r="G275" s="13" t="b">
        <v>0</v>
      </c>
      <c r="H275" s="10"/>
      <c r="I275" s="10" t="s">
        <v>264</v>
      </c>
      <c r="J275" s="13" t="b">
        <v>0</v>
      </c>
      <c r="K275" s="13" t="b">
        <v>1</v>
      </c>
      <c r="L275" s="10" t="s">
        <v>124</v>
      </c>
      <c r="M275" s="10" t="s">
        <v>91</v>
      </c>
      <c r="N275" s="10" t="s">
        <v>92</v>
      </c>
      <c r="O275" s="10"/>
      <c r="P275" s="10"/>
      <c r="Q275" s="10"/>
      <c r="R275" s="10"/>
      <c r="S275" s="10"/>
      <c r="T275" s="10"/>
      <c r="U275" s="10" t="s">
        <v>429</v>
      </c>
      <c r="V275" s="10" t="s">
        <v>293</v>
      </c>
      <c r="W275" s="10" t="s">
        <v>272</v>
      </c>
      <c r="X275" s="10" t="s">
        <v>130</v>
      </c>
      <c r="Y275" s="10" t="s">
        <v>130</v>
      </c>
      <c r="Z275" s="10" t="s">
        <v>99</v>
      </c>
      <c r="AA275" s="10" t="s">
        <v>131</v>
      </c>
      <c r="AB275" s="10" t="s">
        <v>273</v>
      </c>
      <c r="AC275" s="10" t="s">
        <v>274</v>
      </c>
      <c r="AD275" s="10" t="s">
        <v>2710</v>
      </c>
      <c r="AE275" s="10" t="s">
        <v>2711</v>
      </c>
      <c r="AF275" s="15"/>
      <c r="AG275" s="10"/>
      <c r="AH275" s="10"/>
      <c r="AI275" s="10"/>
      <c r="AJ275" s="10"/>
      <c r="AK275" s="10"/>
      <c r="AL275" s="10" t="s">
        <v>2679</v>
      </c>
      <c r="AM275" s="10"/>
      <c r="AN275" s="10"/>
      <c r="AO275" s="13" t="b">
        <v>1</v>
      </c>
      <c r="AP275" s="10" t="s">
        <v>104</v>
      </c>
      <c r="AQ275" s="10"/>
      <c r="AR275" s="17"/>
      <c r="AS275" s="17"/>
      <c r="AT275" s="17"/>
      <c r="AU275" s="17"/>
      <c r="AV275" s="17"/>
      <c r="AW275" s="10"/>
      <c r="AX275" s="17"/>
      <c r="AY275" s="18" t="s">
        <v>257</v>
      </c>
      <c r="AZ275" s="10"/>
      <c r="BA275" s="20" t="b">
        <v>0</v>
      </c>
      <c r="BB275" s="10"/>
      <c r="BC275" s="17" t="s">
        <v>257</v>
      </c>
      <c r="BD275" s="17" t="s">
        <v>257</v>
      </c>
      <c r="BE275" s="17" t="s">
        <v>257</v>
      </c>
      <c r="BF275" s="17" t="s">
        <v>257</v>
      </c>
      <c r="BG275" s="11">
        <f ca="1">IFERROR(__xludf.DUMMYFUNCTION("""COMPUTED_VALUE"""),46064)</f>
        <v>46064</v>
      </c>
      <c r="BH275" s="17"/>
      <c r="BI275" s="17"/>
      <c r="BJ275" s="15"/>
      <c r="BK275" s="15"/>
      <c r="BL275" s="13" t="b">
        <v>0</v>
      </c>
      <c r="BM275" s="10"/>
      <c r="BN275" s="10" t="s">
        <v>223</v>
      </c>
      <c r="BO275" s="11">
        <v>45827.420937499999</v>
      </c>
      <c r="BP275" s="11">
        <v>45827.420937499999</v>
      </c>
      <c r="BQ275" s="15"/>
      <c r="BR275" s="15"/>
      <c r="BS275" s="10"/>
      <c r="BT275" s="10"/>
      <c r="BU275" s="10"/>
      <c r="BV275" s="10"/>
      <c r="BW275" s="10"/>
      <c r="BX275" s="10"/>
      <c r="BY275" s="23"/>
      <c r="BZ275" s="24" t="s">
        <v>284</v>
      </c>
      <c r="CA275" s="23"/>
      <c r="CB275" s="23"/>
      <c r="CC275" s="23"/>
      <c r="CD275" s="23"/>
      <c r="CE275" s="23"/>
      <c r="CF275" s="23"/>
      <c r="CG275" s="23"/>
      <c r="CH275" s="23"/>
      <c r="CI275" s="23"/>
    </row>
    <row r="276" spans="1:87" x14ac:dyDescent="0.3">
      <c r="A276" s="9" t="s">
        <v>2712</v>
      </c>
      <c r="B276" s="10" t="s">
        <v>2713</v>
      </c>
      <c r="C276" s="11">
        <v>46064</v>
      </c>
      <c r="D276" s="12">
        <v>8.3333333333333329E-2</v>
      </c>
      <c r="E276" s="11">
        <v>46064.083333333336</v>
      </c>
      <c r="F276" s="10" t="s">
        <v>262</v>
      </c>
      <c r="G276" s="13" t="b">
        <v>0</v>
      </c>
      <c r="H276" s="10"/>
      <c r="I276" s="10" t="s">
        <v>264</v>
      </c>
      <c r="J276" s="13" t="b">
        <v>0</v>
      </c>
      <c r="K276" s="13" t="b">
        <v>1</v>
      </c>
      <c r="L276" s="10" t="s">
        <v>124</v>
      </c>
      <c r="M276" s="10" t="s">
        <v>91</v>
      </c>
      <c r="N276" s="10" t="s">
        <v>92</v>
      </c>
      <c r="O276" s="10"/>
      <c r="P276" s="10"/>
      <c r="Q276" s="10"/>
      <c r="R276" s="10"/>
      <c r="S276" s="10"/>
      <c r="T276" s="10"/>
      <c r="U276" s="10" t="s">
        <v>451</v>
      </c>
      <c r="V276" s="10" t="s">
        <v>361</v>
      </c>
      <c r="W276" s="10" t="s">
        <v>272</v>
      </c>
      <c r="X276" s="10" t="s">
        <v>130</v>
      </c>
      <c r="Y276" s="10" t="s">
        <v>130</v>
      </c>
      <c r="Z276" s="10" t="s">
        <v>99</v>
      </c>
      <c r="AA276" s="10" t="s">
        <v>131</v>
      </c>
      <c r="AB276" s="10" t="s">
        <v>273</v>
      </c>
      <c r="AC276" s="10" t="s">
        <v>274</v>
      </c>
      <c r="AD276" s="10" t="s">
        <v>2714</v>
      </c>
      <c r="AE276" s="10" t="s">
        <v>2715</v>
      </c>
      <c r="AF276" s="15"/>
      <c r="AG276" s="10"/>
      <c r="AH276" s="10"/>
      <c r="AI276" s="10"/>
      <c r="AJ276" s="10"/>
      <c r="AK276" s="10"/>
      <c r="AL276" s="10" t="s">
        <v>2679</v>
      </c>
      <c r="AM276" s="10"/>
      <c r="AN276" s="10"/>
      <c r="AO276" s="13" t="b">
        <v>1</v>
      </c>
      <c r="AP276" s="10" t="s">
        <v>104</v>
      </c>
      <c r="AQ276" s="10"/>
      <c r="AR276" s="17"/>
      <c r="AS276" s="17"/>
      <c r="AT276" s="17"/>
      <c r="AU276" s="17"/>
      <c r="AV276" s="17"/>
      <c r="AW276" s="10"/>
      <c r="AX276" s="17"/>
      <c r="AY276" s="18" t="s">
        <v>257</v>
      </c>
      <c r="AZ276" s="10"/>
      <c r="BA276" s="20" t="b">
        <v>0</v>
      </c>
      <c r="BB276" s="10"/>
      <c r="BC276" s="17" t="s">
        <v>257</v>
      </c>
      <c r="BD276" s="17" t="s">
        <v>257</v>
      </c>
      <c r="BE276" s="17" t="s">
        <v>257</v>
      </c>
      <c r="BF276" s="17" t="s">
        <v>257</v>
      </c>
      <c r="BG276" s="11">
        <f ca="1">IFERROR(__xludf.DUMMYFUNCTION("""COMPUTED_VALUE"""),46064)</f>
        <v>46064</v>
      </c>
      <c r="BH276" s="17"/>
      <c r="BI276" s="17"/>
      <c r="BJ276" s="15"/>
      <c r="BK276" s="15"/>
      <c r="BL276" s="13" t="b">
        <v>0</v>
      </c>
      <c r="BM276" s="10"/>
      <c r="BN276" s="10" t="s">
        <v>223</v>
      </c>
      <c r="BO276" s="11">
        <v>45827.420937499999</v>
      </c>
      <c r="BP276" s="11">
        <v>45827.420937499999</v>
      </c>
      <c r="BQ276" s="15"/>
      <c r="BR276" s="15"/>
      <c r="BS276" s="10"/>
      <c r="BT276" s="10"/>
      <c r="BU276" s="10"/>
      <c r="BV276" s="10"/>
      <c r="BW276" s="10"/>
      <c r="BX276" s="10"/>
      <c r="BY276" s="23"/>
      <c r="BZ276" s="24" t="s">
        <v>284</v>
      </c>
      <c r="CA276" s="23"/>
      <c r="CB276" s="23"/>
      <c r="CC276" s="23"/>
      <c r="CD276" s="23"/>
      <c r="CE276" s="23"/>
      <c r="CF276" s="23"/>
      <c r="CG276" s="23"/>
      <c r="CH276" s="23"/>
      <c r="CI276" s="23"/>
    </row>
    <row r="277" spans="1:87" x14ac:dyDescent="0.3">
      <c r="A277" s="9" t="s">
        <v>2716</v>
      </c>
      <c r="B277" s="10" t="s">
        <v>2717</v>
      </c>
      <c r="C277" s="11">
        <v>46074</v>
      </c>
      <c r="D277" s="12">
        <v>8.3333333333333329E-2</v>
      </c>
      <c r="E277" s="11">
        <v>46074.083333333336</v>
      </c>
      <c r="F277" s="10" t="s">
        <v>262</v>
      </c>
      <c r="G277" s="13" t="b">
        <v>0</v>
      </c>
      <c r="H277" s="10"/>
      <c r="I277" s="10" t="s">
        <v>264</v>
      </c>
      <c r="J277" s="13" t="b">
        <v>0</v>
      </c>
      <c r="K277" s="13" t="b">
        <v>1</v>
      </c>
      <c r="L277" s="10" t="s">
        <v>124</v>
      </c>
      <c r="M277" s="10" t="s">
        <v>91</v>
      </c>
      <c r="N277" s="10" t="s">
        <v>92</v>
      </c>
      <c r="O277" s="10"/>
      <c r="P277" s="10"/>
      <c r="Q277" s="10"/>
      <c r="R277" s="10"/>
      <c r="S277" s="10"/>
      <c r="T277" s="10"/>
      <c r="U277" s="10" t="s">
        <v>292</v>
      </c>
      <c r="V277" s="10" t="s">
        <v>663</v>
      </c>
      <c r="W277" s="10" t="s">
        <v>272</v>
      </c>
      <c r="X277" s="10" t="s">
        <v>130</v>
      </c>
      <c r="Y277" s="10" t="s">
        <v>130</v>
      </c>
      <c r="Z277" s="10" t="s">
        <v>99</v>
      </c>
      <c r="AA277" s="10" t="s">
        <v>131</v>
      </c>
      <c r="AB277" s="10" t="s">
        <v>273</v>
      </c>
      <c r="AC277" s="10" t="s">
        <v>274</v>
      </c>
      <c r="AD277" s="10" t="s">
        <v>2718</v>
      </c>
      <c r="AE277" s="10" t="s">
        <v>2719</v>
      </c>
      <c r="AF277" s="15"/>
      <c r="AG277" s="10"/>
      <c r="AH277" s="10"/>
      <c r="AI277" s="10"/>
      <c r="AJ277" s="10"/>
      <c r="AK277" s="10"/>
      <c r="AL277" s="10" t="s">
        <v>2720</v>
      </c>
      <c r="AM277" s="10"/>
      <c r="AN277" s="10"/>
      <c r="AO277" s="13" t="b">
        <v>0</v>
      </c>
      <c r="AP277" s="10" t="s">
        <v>104</v>
      </c>
      <c r="AQ277" s="10"/>
      <c r="AR277" s="17"/>
      <c r="AS277" s="17"/>
      <c r="AT277" s="17"/>
      <c r="AU277" s="17"/>
      <c r="AV277" s="17"/>
      <c r="AW277" s="10"/>
      <c r="AX277" s="17"/>
      <c r="AY277" s="18" t="s">
        <v>257</v>
      </c>
      <c r="AZ277" s="10"/>
      <c r="BA277" s="20" t="b">
        <v>0</v>
      </c>
      <c r="BB277" s="10"/>
      <c r="BC277" s="17" t="s">
        <v>257</v>
      </c>
      <c r="BD277" s="17" t="s">
        <v>257</v>
      </c>
      <c r="BE277" s="17" t="s">
        <v>257</v>
      </c>
      <c r="BF277" s="17" t="s">
        <v>257</v>
      </c>
      <c r="BG277" s="11">
        <f ca="1">IFERROR(__xludf.DUMMYFUNCTION("""COMPUTED_VALUE"""),46074)</f>
        <v>46074</v>
      </c>
      <c r="BH277" s="17"/>
      <c r="BI277" s="17"/>
      <c r="BJ277" s="15"/>
      <c r="BK277" s="15"/>
      <c r="BL277" s="13" t="b">
        <v>0</v>
      </c>
      <c r="BM277" s="10"/>
      <c r="BN277" s="10" t="s">
        <v>223</v>
      </c>
      <c r="BO277" s="11">
        <v>45827.420937499999</v>
      </c>
      <c r="BP277" s="11">
        <v>45827.420937499999</v>
      </c>
      <c r="BQ277" s="15"/>
      <c r="BR277" s="15"/>
      <c r="BS277" s="10"/>
      <c r="BT277" s="10"/>
      <c r="BU277" s="10"/>
      <c r="BV277" s="10"/>
      <c r="BW277" s="10"/>
      <c r="BX277" s="10"/>
      <c r="BY277" s="23"/>
      <c r="BZ277" s="24" t="s">
        <v>299</v>
      </c>
      <c r="CA277" s="23"/>
      <c r="CB277" s="23"/>
      <c r="CC277" s="23"/>
      <c r="CD277" s="23"/>
      <c r="CE277" s="23"/>
      <c r="CF277" s="23"/>
      <c r="CG277" s="23"/>
      <c r="CH277" s="23"/>
      <c r="CI277" s="23"/>
    </row>
    <row r="278" spans="1:87" x14ac:dyDescent="0.3">
      <c r="A278" s="9" t="s">
        <v>2721</v>
      </c>
      <c r="B278" s="10" t="s">
        <v>2722</v>
      </c>
      <c r="C278" s="11">
        <v>46074</v>
      </c>
      <c r="D278" s="12">
        <v>8.3333333333333329E-2</v>
      </c>
      <c r="E278" s="11">
        <v>46074.083333333336</v>
      </c>
      <c r="F278" s="10" t="s">
        <v>262</v>
      </c>
      <c r="G278" s="13" t="b">
        <v>0</v>
      </c>
      <c r="H278" s="10"/>
      <c r="I278" s="10" t="s">
        <v>264</v>
      </c>
      <c r="J278" s="13" t="b">
        <v>0</v>
      </c>
      <c r="K278" s="13" t="b">
        <v>1</v>
      </c>
      <c r="L278" s="10" t="s">
        <v>124</v>
      </c>
      <c r="M278" s="10" t="s">
        <v>91</v>
      </c>
      <c r="N278" s="10" t="s">
        <v>92</v>
      </c>
      <c r="O278" s="10"/>
      <c r="P278" s="10"/>
      <c r="Q278" s="10"/>
      <c r="R278" s="10"/>
      <c r="S278" s="10"/>
      <c r="T278" s="10"/>
      <c r="U278" s="10" t="s">
        <v>321</v>
      </c>
      <c r="V278" s="10" t="s">
        <v>308</v>
      </c>
      <c r="W278" s="10" t="s">
        <v>272</v>
      </c>
      <c r="X278" s="10" t="s">
        <v>130</v>
      </c>
      <c r="Y278" s="10" t="s">
        <v>130</v>
      </c>
      <c r="Z278" s="10" t="s">
        <v>99</v>
      </c>
      <c r="AA278" s="10" t="s">
        <v>131</v>
      </c>
      <c r="AB278" s="10" t="s">
        <v>273</v>
      </c>
      <c r="AC278" s="10" t="s">
        <v>274</v>
      </c>
      <c r="AD278" s="10" t="s">
        <v>2723</v>
      </c>
      <c r="AE278" s="10" t="s">
        <v>2724</v>
      </c>
      <c r="AF278" s="15"/>
      <c r="AG278" s="10"/>
      <c r="AH278" s="10"/>
      <c r="AI278" s="10"/>
      <c r="AJ278" s="10"/>
      <c r="AK278" s="10"/>
      <c r="AL278" s="10" t="s">
        <v>2720</v>
      </c>
      <c r="AM278" s="10"/>
      <c r="AN278" s="10"/>
      <c r="AO278" s="13" t="b">
        <v>0</v>
      </c>
      <c r="AP278" s="10" t="s">
        <v>104</v>
      </c>
      <c r="AQ278" s="10"/>
      <c r="AR278" s="17"/>
      <c r="AS278" s="17"/>
      <c r="AT278" s="17"/>
      <c r="AU278" s="17"/>
      <c r="AV278" s="17"/>
      <c r="AW278" s="10"/>
      <c r="AX278" s="17"/>
      <c r="AY278" s="18" t="s">
        <v>257</v>
      </c>
      <c r="AZ278" s="10"/>
      <c r="BA278" s="20" t="b">
        <v>0</v>
      </c>
      <c r="BB278" s="10"/>
      <c r="BC278" s="17" t="s">
        <v>257</v>
      </c>
      <c r="BD278" s="17" t="s">
        <v>257</v>
      </c>
      <c r="BE278" s="17" t="s">
        <v>257</v>
      </c>
      <c r="BF278" s="17" t="s">
        <v>257</v>
      </c>
      <c r="BG278" s="11">
        <f ca="1">IFERROR(__xludf.DUMMYFUNCTION("""COMPUTED_VALUE"""),46074)</f>
        <v>46074</v>
      </c>
      <c r="BH278" s="17"/>
      <c r="BI278" s="17"/>
      <c r="BJ278" s="15"/>
      <c r="BK278" s="15"/>
      <c r="BL278" s="13" t="b">
        <v>0</v>
      </c>
      <c r="BM278" s="10"/>
      <c r="BN278" s="10" t="s">
        <v>223</v>
      </c>
      <c r="BO278" s="11">
        <v>45827.420937499999</v>
      </c>
      <c r="BP278" s="11">
        <v>45827.420937499999</v>
      </c>
      <c r="BQ278" s="15"/>
      <c r="BR278" s="15"/>
      <c r="BS278" s="10"/>
      <c r="BT278" s="10"/>
      <c r="BU278" s="10"/>
      <c r="BV278" s="10"/>
      <c r="BW278" s="10"/>
      <c r="BX278" s="10"/>
      <c r="BY278" s="23"/>
      <c r="BZ278" s="24" t="s">
        <v>299</v>
      </c>
      <c r="CA278" s="23"/>
      <c r="CB278" s="23"/>
      <c r="CC278" s="23"/>
      <c r="CD278" s="23"/>
      <c r="CE278" s="23"/>
      <c r="CF278" s="23"/>
      <c r="CG278" s="23"/>
      <c r="CH278" s="23"/>
      <c r="CI278" s="23"/>
    </row>
    <row r="279" spans="1:87" x14ac:dyDescent="0.3">
      <c r="A279" s="9" t="s">
        <v>2725</v>
      </c>
      <c r="B279" s="10" t="s">
        <v>2726</v>
      </c>
      <c r="C279" s="11">
        <v>46074</v>
      </c>
      <c r="D279" s="12">
        <v>8.3333333333333329E-2</v>
      </c>
      <c r="E279" s="11">
        <v>46074.083333333336</v>
      </c>
      <c r="F279" s="10" t="s">
        <v>262</v>
      </c>
      <c r="G279" s="13" t="b">
        <v>0</v>
      </c>
      <c r="H279" s="10"/>
      <c r="I279" s="10" t="s">
        <v>264</v>
      </c>
      <c r="J279" s="13" t="b">
        <v>0</v>
      </c>
      <c r="K279" s="13" t="b">
        <v>1</v>
      </c>
      <c r="L279" s="10" t="s">
        <v>124</v>
      </c>
      <c r="M279" s="10" t="s">
        <v>91</v>
      </c>
      <c r="N279" s="10" t="s">
        <v>92</v>
      </c>
      <c r="O279" s="10"/>
      <c r="P279" s="10"/>
      <c r="Q279" s="10"/>
      <c r="R279" s="10"/>
      <c r="S279" s="10"/>
      <c r="T279" s="10"/>
      <c r="U279" s="10" t="s">
        <v>346</v>
      </c>
      <c r="V279" s="10" t="s">
        <v>609</v>
      </c>
      <c r="W279" s="10" t="s">
        <v>272</v>
      </c>
      <c r="X279" s="10" t="s">
        <v>130</v>
      </c>
      <c r="Y279" s="10" t="s">
        <v>130</v>
      </c>
      <c r="Z279" s="10" t="s">
        <v>99</v>
      </c>
      <c r="AA279" s="10" t="s">
        <v>131</v>
      </c>
      <c r="AB279" s="10" t="s">
        <v>273</v>
      </c>
      <c r="AC279" s="10" t="s">
        <v>274</v>
      </c>
      <c r="AD279" s="10" t="s">
        <v>2727</v>
      </c>
      <c r="AE279" s="10" t="s">
        <v>2728</v>
      </c>
      <c r="AF279" s="15"/>
      <c r="AG279" s="10"/>
      <c r="AH279" s="10"/>
      <c r="AI279" s="10"/>
      <c r="AJ279" s="10"/>
      <c r="AK279" s="10"/>
      <c r="AL279" s="10" t="s">
        <v>2720</v>
      </c>
      <c r="AM279" s="10"/>
      <c r="AN279" s="10"/>
      <c r="AO279" s="13" t="b">
        <v>1</v>
      </c>
      <c r="AP279" s="10" t="s">
        <v>104</v>
      </c>
      <c r="AQ279" s="10"/>
      <c r="AR279" s="17"/>
      <c r="AS279" s="17"/>
      <c r="AT279" s="17"/>
      <c r="AU279" s="17"/>
      <c r="AV279" s="17"/>
      <c r="AW279" s="10"/>
      <c r="AX279" s="17"/>
      <c r="AY279" s="18" t="s">
        <v>257</v>
      </c>
      <c r="AZ279" s="10"/>
      <c r="BA279" s="20" t="b">
        <v>0</v>
      </c>
      <c r="BB279" s="10"/>
      <c r="BC279" s="17" t="s">
        <v>257</v>
      </c>
      <c r="BD279" s="17" t="s">
        <v>257</v>
      </c>
      <c r="BE279" s="17" t="s">
        <v>257</v>
      </c>
      <c r="BF279" s="17" t="s">
        <v>257</v>
      </c>
      <c r="BG279" s="11">
        <f ca="1">IFERROR(__xludf.DUMMYFUNCTION("""COMPUTED_VALUE"""),46074)</f>
        <v>46074</v>
      </c>
      <c r="BH279" s="17"/>
      <c r="BI279" s="17"/>
      <c r="BJ279" s="15"/>
      <c r="BK279" s="15"/>
      <c r="BL279" s="13" t="b">
        <v>0</v>
      </c>
      <c r="BM279" s="10"/>
      <c r="BN279" s="10" t="s">
        <v>223</v>
      </c>
      <c r="BO279" s="11">
        <v>45827.420937499999</v>
      </c>
      <c r="BP279" s="11">
        <v>45827.420937499999</v>
      </c>
      <c r="BQ279" s="15"/>
      <c r="BR279" s="15"/>
      <c r="BS279" s="10"/>
      <c r="BT279" s="10"/>
      <c r="BU279" s="10"/>
      <c r="BV279" s="10"/>
      <c r="BW279" s="10"/>
      <c r="BX279" s="10"/>
      <c r="BY279" s="23"/>
      <c r="BZ279" s="24" t="s">
        <v>284</v>
      </c>
      <c r="CA279" s="23"/>
      <c r="CB279" s="23"/>
      <c r="CC279" s="23"/>
      <c r="CD279" s="23"/>
      <c r="CE279" s="23"/>
      <c r="CF279" s="23"/>
      <c r="CG279" s="23"/>
      <c r="CH279" s="23"/>
      <c r="CI279" s="23"/>
    </row>
    <row r="280" spans="1:87" x14ac:dyDescent="0.3">
      <c r="A280" s="25" t="s">
        <v>2729</v>
      </c>
      <c r="B280" s="10" t="s">
        <v>2730</v>
      </c>
      <c r="C280" s="11">
        <v>46074</v>
      </c>
      <c r="D280" s="12">
        <v>8.3333333333333329E-2</v>
      </c>
      <c r="E280" s="11">
        <v>46074.083333333336</v>
      </c>
      <c r="F280" s="10" t="s">
        <v>262</v>
      </c>
      <c r="G280" s="13" t="b">
        <v>0</v>
      </c>
      <c r="H280" s="10"/>
      <c r="I280" s="10" t="s">
        <v>264</v>
      </c>
      <c r="J280" s="13" t="b">
        <v>0</v>
      </c>
      <c r="K280" s="13" t="b">
        <v>1</v>
      </c>
      <c r="L280" s="10" t="s">
        <v>124</v>
      </c>
      <c r="M280" s="10" t="s">
        <v>91</v>
      </c>
      <c r="N280" s="10" t="s">
        <v>92</v>
      </c>
      <c r="O280" s="10"/>
      <c r="P280" s="10"/>
      <c r="Q280" s="10"/>
      <c r="R280" s="10"/>
      <c r="S280" s="10"/>
      <c r="T280" s="10"/>
      <c r="U280" s="10" t="s">
        <v>347</v>
      </c>
      <c r="V280" s="10" t="s">
        <v>333</v>
      </c>
      <c r="W280" s="10" t="s">
        <v>272</v>
      </c>
      <c r="X280" s="10" t="s">
        <v>130</v>
      </c>
      <c r="Y280" s="10" t="s">
        <v>130</v>
      </c>
      <c r="Z280" s="10" t="s">
        <v>99</v>
      </c>
      <c r="AA280" s="10" t="s">
        <v>131</v>
      </c>
      <c r="AB280" s="10" t="s">
        <v>273</v>
      </c>
      <c r="AC280" s="10" t="s">
        <v>274</v>
      </c>
      <c r="AD280" s="10" t="s">
        <v>2731</v>
      </c>
      <c r="AE280" s="10" t="s">
        <v>2732</v>
      </c>
      <c r="AF280" s="15"/>
      <c r="AG280" s="10"/>
      <c r="AH280" s="10"/>
      <c r="AI280" s="10"/>
      <c r="AJ280" s="10"/>
      <c r="AK280" s="10"/>
      <c r="AL280" s="10" t="s">
        <v>2720</v>
      </c>
      <c r="AM280" s="10"/>
      <c r="AN280" s="10"/>
      <c r="AO280" s="13" t="b">
        <v>0</v>
      </c>
      <c r="AP280" s="10" t="s">
        <v>104</v>
      </c>
      <c r="AQ280" s="10"/>
      <c r="AR280" s="17"/>
      <c r="AS280" s="17"/>
      <c r="AT280" s="17"/>
      <c r="AU280" s="17"/>
      <c r="AV280" s="17"/>
      <c r="AW280" s="10"/>
      <c r="AX280" s="17"/>
      <c r="AY280" s="18" t="s">
        <v>257</v>
      </c>
      <c r="AZ280" s="10"/>
      <c r="BA280" s="20" t="b">
        <v>0</v>
      </c>
      <c r="BB280" s="10"/>
      <c r="BC280" s="17" t="s">
        <v>257</v>
      </c>
      <c r="BD280" s="17" t="s">
        <v>257</v>
      </c>
      <c r="BE280" s="17" t="s">
        <v>257</v>
      </c>
      <c r="BF280" s="17" t="s">
        <v>257</v>
      </c>
      <c r="BG280" s="11">
        <f ca="1">IFERROR(__xludf.DUMMYFUNCTION("""COMPUTED_VALUE"""),46074)</f>
        <v>46074</v>
      </c>
      <c r="BH280" s="17"/>
      <c r="BI280" s="17"/>
      <c r="BJ280" s="15"/>
      <c r="BK280" s="15"/>
      <c r="BL280" s="13" t="b">
        <v>0</v>
      </c>
      <c r="BM280" s="10"/>
      <c r="BN280" s="10" t="s">
        <v>223</v>
      </c>
      <c r="BO280" s="11">
        <v>45827.420937499999</v>
      </c>
      <c r="BP280" s="11">
        <v>45827.420937499999</v>
      </c>
      <c r="BQ280" s="15"/>
      <c r="BR280" s="15"/>
      <c r="BS280" s="10"/>
      <c r="BT280" s="10"/>
      <c r="BU280" s="10"/>
      <c r="BV280" s="10"/>
      <c r="BW280" s="10"/>
      <c r="BX280" s="10"/>
      <c r="BY280" s="23"/>
      <c r="BZ280" s="24" t="s">
        <v>299</v>
      </c>
      <c r="CA280" s="23"/>
      <c r="CB280" s="23"/>
      <c r="CC280" s="23"/>
      <c r="CD280" s="23"/>
      <c r="CE280" s="23"/>
      <c r="CF280" s="23"/>
      <c r="CG280" s="23"/>
      <c r="CH280" s="23"/>
      <c r="CI280" s="23"/>
    </row>
    <row r="281" spans="1:87" x14ac:dyDescent="0.3">
      <c r="A281" s="9" t="s">
        <v>2733</v>
      </c>
      <c r="B281" s="10" t="s">
        <v>2734</v>
      </c>
      <c r="C281" s="11">
        <v>46074</v>
      </c>
      <c r="D281" s="12">
        <v>8.3333333333333329E-2</v>
      </c>
      <c r="E281" s="11">
        <v>46074.083333333336</v>
      </c>
      <c r="F281" s="10" t="s">
        <v>262</v>
      </c>
      <c r="G281" s="13" t="b">
        <v>0</v>
      </c>
      <c r="H281" s="10"/>
      <c r="I281" s="10" t="s">
        <v>264</v>
      </c>
      <c r="J281" s="13" t="b">
        <v>0</v>
      </c>
      <c r="K281" s="13" t="b">
        <v>1</v>
      </c>
      <c r="L281" s="10" t="s">
        <v>124</v>
      </c>
      <c r="M281" s="10" t="s">
        <v>91</v>
      </c>
      <c r="N281" s="10" t="s">
        <v>92</v>
      </c>
      <c r="O281" s="10"/>
      <c r="P281" s="10"/>
      <c r="Q281" s="10"/>
      <c r="R281" s="10"/>
      <c r="S281" s="10"/>
      <c r="T281" s="10"/>
      <c r="U281" s="10" t="s">
        <v>407</v>
      </c>
      <c r="V281" s="10" t="s">
        <v>361</v>
      </c>
      <c r="W281" s="10" t="s">
        <v>272</v>
      </c>
      <c r="X281" s="10" t="s">
        <v>130</v>
      </c>
      <c r="Y281" s="10" t="s">
        <v>130</v>
      </c>
      <c r="Z281" s="10" t="s">
        <v>99</v>
      </c>
      <c r="AA281" s="10" t="s">
        <v>131</v>
      </c>
      <c r="AB281" s="10" t="s">
        <v>273</v>
      </c>
      <c r="AC281" s="10" t="s">
        <v>274</v>
      </c>
      <c r="AD281" s="10" t="s">
        <v>2735</v>
      </c>
      <c r="AE281" s="10" t="s">
        <v>2736</v>
      </c>
      <c r="AF281" s="15"/>
      <c r="AG281" s="10"/>
      <c r="AH281" s="10"/>
      <c r="AI281" s="10"/>
      <c r="AJ281" s="10"/>
      <c r="AK281" s="10"/>
      <c r="AL281" s="10" t="s">
        <v>2720</v>
      </c>
      <c r="AM281" s="10"/>
      <c r="AN281" s="10"/>
      <c r="AO281" s="13" t="b">
        <v>1</v>
      </c>
      <c r="AP281" s="10" t="s">
        <v>104</v>
      </c>
      <c r="AQ281" s="10"/>
      <c r="AR281" s="17"/>
      <c r="AS281" s="17"/>
      <c r="AT281" s="17"/>
      <c r="AU281" s="17"/>
      <c r="AV281" s="17"/>
      <c r="AW281" s="10"/>
      <c r="AX281" s="17"/>
      <c r="AY281" s="18" t="s">
        <v>257</v>
      </c>
      <c r="AZ281" s="10"/>
      <c r="BA281" s="20" t="b">
        <v>0</v>
      </c>
      <c r="BB281" s="10"/>
      <c r="BC281" s="17" t="s">
        <v>257</v>
      </c>
      <c r="BD281" s="17" t="s">
        <v>257</v>
      </c>
      <c r="BE281" s="17" t="s">
        <v>257</v>
      </c>
      <c r="BF281" s="17" t="s">
        <v>257</v>
      </c>
      <c r="BG281" s="11">
        <f ca="1">IFERROR(__xludf.DUMMYFUNCTION("""COMPUTED_VALUE"""),46074)</f>
        <v>46074</v>
      </c>
      <c r="BH281" s="17"/>
      <c r="BI281" s="17"/>
      <c r="BJ281" s="15"/>
      <c r="BK281" s="15"/>
      <c r="BL281" s="13" t="b">
        <v>0</v>
      </c>
      <c r="BM281" s="10"/>
      <c r="BN281" s="10" t="s">
        <v>223</v>
      </c>
      <c r="BO281" s="11">
        <v>45827.420937499999</v>
      </c>
      <c r="BP281" s="11">
        <v>45827.420937499999</v>
      </c>
      <c r="BQ281" s="15"/>
      <c r="BR281" s="15"/>
      <c r="BS281" s="10"/>
      <c r="BT281" s="10"/>
      <c r="BU281" s="10"/>
      <c r="BV281" s="10"/>
      <c r="BW281" s="10"/>
      <c r="BX281" s="10"/>
      <c r="BY281" s="23"/>
      <c r="BZ281" s="24" t="s">
        <v>284</v>
      </c>
      <c r="CA281" s="23"/>
      <c r="CB281" s="23"/>
      <c r="CC281" s="23"/>
      <c r="CD281" s="23"/>
      <c r="CE281" s="23"/>
      <c r="CF281" s="23"/>
      <c r="CG281" s="23"/>
      <c r="CH281" s="23"/>
      <c r="CI281" s="23"/>
    </row>
    <row r="282" spans="1:87" x14ac:dyDescent="0.3">
      <c r="A282" s="9" t="s">
        <v>2737</v>
      </c>
      <c r="B282" s="10" t="s">
        <v>2738</v>
      </c>
      <c r="C282" s="11">
        <v>46074</v>
      </c>
      <c r="D282" s="12">
        <v>8.3333333333333329E-2</v>
      </c>
      <c r="E282" s="11">
        <v>46074.083333333336</v>
      </c>
      <c r="F282" s="10" t="s">
        <v>262</v>
      </c>
      <c r="G282" s="13" t="b">
        <v>0</v>
      </c>
      <c r="H282" s="10"/>
      <c r="I282" s="10" t="s">
        <v>264</v>
      </c>
      <c r="J282" s="13" t="b">
        <v>0</v>
      </c>
      <c r="K282" s="13" t="b">
        <v>1</v>
      </c>
      <c r="L282" s="10" t="s">
        <v>124</v>
      </c>
      <c r="M282" s="10" t="s">
        <v>91</v>
      </c>
      <c r="N282" s="10" t="s">
        <v>92</v>
      </c>
      <c r="O282" s="10"/>
      <c r="P282" s="10"/>
      <c r="Q282" s="10"/>
      <c r="R282" s="10"/>
      <c r="S282" s="10"/>
      <c r="T282" s="10"/>
      <c r="U282" s="10" t="s">
        <v>334</v>
      </c>
      <c r="V282" s="10" t="s">
        <v>293</v>
      </c>
      <c r="W282" s="10" t="s">
        <v>272</v>
      </c>
      <c r="X282" s="10" t="s">
        <v>130</v>
      </c>
      <c r="Y282" s="10" t="s">
        <v>130</v>
      </c>
      <c r="Z282" s="10" t="s">
        <v>99</v>
      </c>
      <c r="AA282" s="10" t="s">
        <v>131</v>
      </c>
      <c r="AB282" s="10" t="s">
        <v>273</v>
      </c>
      <c r="AC282" s="10" t="s">
        <v>274</v>
      </c>
      <c r="AD282" s="10" t="s">
        <v>2739</v>
      </c>
      <c r="AE282" s="10" t="s">
        <v>2740</v>
      </c>
      <c r="AF282" s="15"/>
      <c r="AG282" s="10"/>
      <c r="AH282" s="10"/>
      <c r="AI282" s="10"/>
      <c r="AJ282" s="10"/>
      <c r="AK282" s="10"/>
      <c r="AL282" s="10" t="s">
        <v>2720</v>
      </c>
      <c r="AM282" s="10"/>
      <c r="AN282" s="10"/>
      <c r="AO282" s="13" t="b">
        <v>1</v>
      </c>
      <c r="AP282" s="10" t="s">
        <v>104</v>
      </c>
      <c r="AQ282" s="10"/>
      <c r="AR282" s="17"/>
      <c r="AS282" s="17"/>
      <c r="AT282" s="17"/>
      <c r="AU282" s="17"/>
      <c r="AV282" s="17"/>
      <c r="AW282" s="10"/>
      <c r="AX282" s="17"/>
      <c r="AY282" s="18" t="s">
        <v>257</v>
      </c>
      <c r="AZ282" s="10"/>
      <c r="BA282" s="20" t="b">
        <v>0</v>
      </c>
      <c r="BB282" s="10"/>
      <c r="BC282" s="17" t="s">
        <v>257</v>
      </c>
      <c r="BD282" s="17" t="s">
        <v>257</v>
      </c>
      <c r="BE282" s="17" t="s">
        <v>257</v>
      </c>
      <c r="BF282" s="17" t="s">
        <v>257</v>
      </c>
      <c r="BG282" s="11">
        <f ca="1">IFERROR(__xludf.DUMMYFUNCTION("""COMPUTED_VALUE"""),46074)</f>
        <v>46074</v>
      </c>
      <c r="BH282" s="17"/>
      <c r="BI282" s="17"/>
      <c r="BJ282" s="15"/>
      <c r="BK282" s="15"/>
      <c r="BL282" s="13" t="b">
        <v>0</v>
      </c>
      <c r="BM282" s="10"/>
      <c r="BN282" s="10" t="s">
        <v>223</v>
      </c>
      <c r="BO282" s="11">
        <v>45827.420937499999</v>
      </c>
      <c r="BP282" s="11">
        <v>45827.420937499999</v>
      </c>
      <c r="BQ282" s="15"/>
      <c r="BR282" s="15"/>
      <c r="BS282" s="10"/>
      <c r="BT282" s="10"/>
      <c r="BU282" s="10"/>
      <c r="BV282" s="10"/>
      <c r="BW282" s="10"/>
      <c r="BX282" s="10"/>
      <c r="BY282" s="23"/>
      <c r="BZ282" s="24" t="s">
        <v>284</v>
      </c>
      <c r="CA282" s="23"/>
      <c r="CB282" s="23"/>
      <c r="CC282" s="23"/>
      <c r="CD282" s="23"/>
      <c r="CE282" s="23"/>
      <c r="CF282" s="23"/>
      <c r="CG282" s="23"/>
      <c r="CH282" s="23"/>
      <c r="CI282" s="23"/>
    </row>
    <row r="283" spans="1:87" x14ac:dyDescent="0.3">
      <c r="A283" s="9" t="s">
        <v>2741</v>
      </c>
      <c r="B283" s="10" t="s">
        <v>2742</v>
      </c>
      <c r="C283" s="11">
        <v>46074</v>
      </c>
      <c r="D283" s="12">
        <v>8.3333333333333329E-2</v>
      </c>
      <c r="E283" s="11">
        <v>46074.083333333336</v>
      </c>
      <c r="F283" s="10" t="s">
        <v>262</v>
      </c>
      <c r="G283" s="13" t="b">
        <v>0</v>
      </c>
      <c r="H283" s="10"/>
      <c r="I283" s="10" t="s">
        <v>264</v>
      </c>
      <c r="J283" s="13" t="b">
        <v>0</v>
      </c>
      <c r="K283" s="13" t="b">
        <v>1</v>
      </c>
      <c r="L283" s="10" t="s">
        <v>124</v>
      </c>
      <c r="M283" s="10" t="s">
        <v>91</v>
      </c>
      <c r="N283" s="10" t="s">
        <v>92</v>
      </c>
      <c r="O283" s="10"/>
      <c r="P283" s="10"/>
      <c r="Q283" s="10"/>
      <c r="R283" s="10"/>
      <c r="S283" s="10"/>
      <c r="T283" s="10"/>
      <c r="U283" s="10" t="s">
        <v>320</v>
      </c>
      <c r="V283" s="10" t="s">
        <v>270</v>
      </c>
      <c r="W283" s="10" t="s">
        <v>272</v>
      </c>
      <c r="X283" s="10" t="s">
        <v>130</v>
      </c>
      <c r="Y283" s="10" t="s">
        <v>130</v>
      </c>
      <c r="Z283" s="10" t="s">
        <v>99</v>
      </c>
      <c r="AA283" s="10" t="s">
        <v>131</v>
      </c>
      <c r="AB283" s="10" t="s">
        <v>273</v>
      </c>
      <c r="AC283" s="10" t="s">
        <v>274</v>
      </c>
      <c r="AD283" s="10" t="s">
        <v>2743</v>
      </c>
      <c r="AE283" s="10" t="s">
        <v>2744</v>
      </c>
      <c r="AF283" s="15"/>
      <c r="AG283" s="10"/>
      <c r="AH283" s="10"/>
      <c r="AI283" s="10"/>
      <c r="AJ283" s="10"/>
      <c r="AK283" s="10"/>
      <c r="AL283" s="10" t="s">
        <v>2720</v>
      </c>
      <c r="AM283" s="10"/>
      <c r="AN283" s="10"/>
      <c r="AO283" s="13" t="b">
        <v>1</v>
      </c>
      <c r="AP283" s="10" t="s">
        <v>104</v>
      </c>
      <c r="AQ283" s="10"/>
      <c r="AR283" s="17"/>
      <c r="AS283" s="17"/>
      <c r="AT283" s="17"/>
      <c r="AU283" s="17"/>
      <c r="AV283" s="17"/>
      <c r="AW283" s="10"/>
      <c r="AX283" s="17"/>
      <c r="AY283" s="18" t="s">
        <v>257</v>
      </c>
      <c r="AZ283" s="10"/>
      <c r="BA283" s="20" t="b">
        <v>0</v>
      </c>
      <c r="BB283" s="10"/>
      <c r="BC283" s="17" t="s">
        <v>257</v>
      </c>
      <c r="BD283" s="17" t="s">
        <v>257</v>
      </c>
      <c r="BE283" s="17" t="s">
        <v>257</v>
      </c>
      <c r="BF283" s="17" t="s">
        <v>257</v>
      </c>
      <c r="BG283" s="11">
        <f ca="1">IFERROR(__xludf.DUMMYFUNCTION("""COMPUTED_VALUE"""),46074)</f>
        <v>46074</v>
      </c>
      <c r="BH283" s="17"/>
      <c r="BI283" s="17"/>
      <c r="BJ283" s="15"/>
      <c r="BK283" s="15"/>
      <c r="BL283" s="13" t="b">
        <v>0</v>
      </c>
      <c r="BM283" s="10"/>
      <c r="BN283" s="10" t="s">
        <v>223</v>
      </c>
      <c r="BO283" s="11">
        <v>45827.420937499999</v>
      </c>
      <c r="BP283" s="11">
        <v>45827.420937499999</v>
      </c>
      <c r="BQ283" s="15"/>
      <c r="BR283" s="15"/>
      <c r="BS283" s="10"/>
      <c r="BT283" s="10"/>
      <c r="BU283" s="10"/>
      <c r="BV283" s="10"/>
      <c r="BW283" s="10"/>
      <c r="BX283" s="10"/>
      <c r="BY283" s="23"/>
      <c r="BZ283" s="24" t="s">
        <v>284</v>
      </c>
      <c r="CA283" s="23"/>
      <c r="CB283" s="23"/>
      <c r="CC283" s="23"/>
      <c r="CD283" s="23"/>
      <c r="CE283" s="23"/>
      <c r="CF283" s="23"/>
      <c r="CG283" s="23"/>
      <c r="CH283" s="23"/>
      <c r="CI283" s="23"/>
    </row>
    <row r="284" spans="1:87" x14ac:dyDescent="0.3">
      <c r="A284" s="9" t="s">
        <v>2745</v>
      </c>
      <c r="B284" s="10" t="s">
        <v>2746</v>
      </c>
      <c r="C284" s="11">
        <v>46074</v>
      </c>
      <c r="D284" s="12">
        <v>8.3333333333333329E-2</v>
      </c>
      <c r="E284" s="11">
        <v>46074.083333333336</v>
      </c>
      <c r="F284" s="10" t="s">
        <v>262</v>
      </c>
      <c r="G284" s="13" t="b">
        <v>0</v>
      </c>
      <c r="H284" s="10"/>
      <c r="I284" s="10" t="s">
        <v>264</v>
      </c>
      <c r="J284" s="13" t="b">
        <v>0</v>
      </c>
      <c r="K284" s="13" t="b">
        <v>1</v>
      </c>
      <c r="L284" s="10" t="s">
        <v>124</v>
      </c>
      <c r="M284" s="10" t="s">
        <v>91</v>
      </c>
      <c r="N284" s="10" t="s">
        <v>92</v>
      </c>
      <c r="O284" s="10"/>
      <c r="P284" s="10"/>
      <c r="Q284" s="10"/>
      <c r="R284" s="10"/>
      <c r="S284" s="10"/>
      <c r="T284" s="10"/>
      <c r="U284" s="10" t="s">
        <v>588</v>
      </c>
      <c r="V284" s="10" t="s">
        <v>309</v>
      </c>
      <c r="W284" s="10" t="s">
        <v>272</v>
      </c>
      <c r="X284" s="10" t="s">
        <v>130</v>
      </c>
      <c r="Y284" s="10" t="s">
        <v>130</v>
      </c>
      <c r="Z284" s="10" t="s">
        <v>99</v>
      </c>
      <c r="AA284" s="10" t="s">
        <v>131</v>
      </c>
      <c r="AB284" s="10" t="s">
        <v>273</v>
      </c>
      <c r="AC284" s="10" t="s">
        <v>274</v>
      </c>
      <c r="AD284" s="10" t="s">
        <v>2747</v>
      </c>
      <c r="AE284" s="10" t="s">
        <v>2748</v>
      </c>
      <c r="AF284" s="15"/>
      <c r="AG284" s="10"/>
      <c r="AH284" s="10"/>
      <c r="AI284" s="10"/>
      <c r="AJ284" s="10"/>
      <c r="AK284" s="10"/>
      <c r="AL284" s="10" t="s">
        <v>2720</v>
      </c>
      <c r="AM284" s="10"/>
      <c r="AN284" s="10"/>
      <c r="AO284" s="13" t="b">
        <v>0</v>
      </c>
      <c r="AP284" s="10" t="s">
        <v>104</v>
      </c>
      <c r="AQ284" s="10"/>
      <c r="AR284" s="17"/>
      <c r="AS284" s="17"/>
      <c r="AT284" s="17"/>
      <c r="AU284" s="17"/>
      <c r="AV284" s="17"/>
      <c r="AW284" s="10"/>
      <c r="AX284" s="17"/>
      <c r="AY284" s="18" t="s">
        <v>257</v>
      </c>
      <c r="AZ284" s="10"/>
      <c r="BA284" s="20" t="b">
        <v>0</v>
      </c>
      <c r="BB284" s="10"/>
      <c r="BC284" s="17" t="s">
        <v>257</v>
      </c>
      <c r="BD284" s="17" t="s">
        <v>257</v>
      </c>
      <c r="BE284" s="17" t="s">
        <v>257</v>
      </c>
      <c r="BF284" s="17" t="s">
        <v>257</v>
      </c>
      <c r="BG284" s="11">
        <f ca="1">IFERROR(__xludf.DUMMYFUNCTION("""COMPUTED_VALUE"""),46074)</f>
        <v>46074</v>
      </c>
      <c r="BH284" s="17"/>
      <c r="BI284" s="17"/>
      <c r="BJ284" s="15"/>
      <c r="BK284" s="15"/>
      <c r="BL284" s="13" t="b">
        <v>0</v>
      </c>
      <c r="BM284" s="10"/>
      <c r="BN284" s="10" t="s">
        <v>223</v>
      </c>
      <c r="BO284" s="11">
        <v>45827.420937499999</v>
      </c>
      <c r="BP284" s="11">
        <v>45827.420937499999</v>
      </c>
      <c r="BQ284" s="15"/>
      <c r="BR284" s="15"/>
      <c r="BS284" s="10"/>
      <c r="BT284" s="10"/>
      <c r="BU284" s="10"/>
      <c r="BV284" s="10"/>
      <c r="BW284" s="10"/>
      <c r="BX284" s="10"/>
      <c r="BY284" s="23"/>
      <c r="BZ284" s="24" t="s">
        <v>299</v>
      </c>
      <c r="CA284" s="23"/>
      <c r="CB284" s="23"/>
      <c r="CC284" s="23"/>
      <c r="CD284" s="23"/>
      <c r="CE284" s="23"/>
      <c r="CF284" s="23"/>
      <c r="CG284" s="23"/>
      <c r="CH284" s="23"/>
      <c r="CI284" s="23"/>
    </row>
    <row r="285" spans="1:87" x14ac:dyDescent="0.3">
      <c r="A285" s="9" t="s">
        <v>2749</v>
      </c>
      <c r="B285" s="10" t="s">
        <v>2750</v>
      </c>
      <c r="C285" s="11">
        <v>46074</v>
      </c>
      <c r="D285" s="12">
        <v>8.3333333333333329E-2</v>
      </c>
      <c r="E285" s="11">
        <v>46074.083333333336</v>
      </c>
      <c r="F285" s="10" t="s">
        <v>262</v>
      </c>
      <c r="G285" s="13" t="b">
        <v>0</v>
      </c>
      <c r="H285" s="10"/>
      <c r="I285" s="10" t="s">
        <v>264</v>
      </c>
      <c r="J285" s="13" t="b">
        <v>0</v>
      </c>
      <c r="K285" s="13" t="b">
        <v>1</v>
      </c>
      <c r="L285" s="10" t="s">
        <v>124</v>
      </c>
      <c r="M285" s="10" t="s">
        <v>91</v>
      </c>
      <c r="N285" s="10" t="s">
        <v>92</v>
      </c>
      <c r="O285" s="10"/>
      <c r="P285" s="10"/>
      <c r="Q285" s="10"/>
      <c r="R285" s="10"/>
      <c r="S285" s="10"/>
      <c r="T285" s="10"/>
      <c r="U285" s="10" t="s">
        <v>429</v>
      </c>
      <c r="V285" s="10" t="s">
        <v>362</v>
      </c>
      <c r="W285" s="10" t="s">
        <v>272</v>
      </c>
      <c r="X285" s="10" t="s">
        <v>130</v>
      </c>
      <c r="Y285" s="10" t="s">
        <v>130</v>
      </c>
      <c r="Z285" s="10" t="s">
        <v>99</v>
      </c>
      <c r="AA285" s="10" t="s">
        <v>131</v>
      </c>
      <c r="AB285" s="10" t="s">
        <v>273</v>
      </c>
      <c r="AC285" s="10" t="s">
        <v>274</v>
      </c>
      <c r="AD285" s="10" t="s">
        <v>2751</v>
      </c>
      <c r="AE285" s="10" t="s">
        <v>2752</v>
      </c>
      <c r="AF285" s="15"/>
      <c r="AG285" s="10"/>
      <c r="AH285" s="10"/>
      <c r="AI285" s="10"/>
      <c r="AJ285" s="10"/>
      <c r="AK285" s="10"/>
      <c r="AL285" s="10" t="s">
        <v>2720</v>
      </c>
      <c r="AM285" s="10"/>
      <c r="AN285" s="10"/>
      <c r="AO285" s="13" t="b">
        <v>1</v>
      </c>
      <c r="AP285" s="10" t="s">
        <v>104</v>
      </c>
      <c r="AQ285" s="10"/>
      <c r="AR285" s="17"/>
      <c r="AS285" s="17"/>
      <c r="AT285" s="17"/>
      <c r="AU285" s="17"/>
      <c r="AV285" s="17"/>
      <c r="AW285" s="10"/>
      <c r="AX285" s="17"/>
      <c r="AY285" s="18" t="s">
        <v>257</v>
      </c>
      <c r="AZ285" s="10"/>
      <c r="BA285" s="20" t="b">
        <v>0</v>
      </c>
      <c r="BB285" s="10"/>
      <c r="BC285" s="17" t="s">
        <v>257</v>
      </c>
      <c r="BD285" s="17" t="s">
        <v>257</v>
      </c>
      <c r="BE285" s="17" t="s">
        <v>257</v>
      </c>
      <c r="BF285" s="17" t="s">
        <v>257</v>
      </c>
      <c r="BG285" s="11">
        <f ca="1">IFERROR(__xludf.DUMMYFUNCTION("""COMPUTED_VALUE"""),46074)</f>
        <v>46074</v>
      </c>
      <c r="BH285" s="17"/>
      <c r="BI285" s="17"/>
      <c r="BJ285" s="15"/>
      <c r="BK285" s="15"/>
      <c r="BL285" s="13" t="b">
        <v>0</v>
      </c>
      <c r="BM285" s="10"/>
      <c r="BN285" s="10" t="s">
        <v>223</v>
      </c>
      <c r="BO285" s="11">
        <v>45827.420937499999</v>
      </c>
      <c r="BP285" s="11">
        <v>45827.420937499999</v>
      </c>
      <c r="BQ285" s="15"/>
      <c r="BR285" s="15"/>
      <c r="BS285" s="10"/>
      <c r="BT285" s="10"/>
      <c r="BU285" s="10"/>
      <c r="BV285" s="10"/>
      <c r="BW285" s="10"/>
      <c r="BX285" s="10"/>
      <c r="BY285" s="23"/>
      <c r="BZ285" s="24" t="s">
        <v>368</v>
      </c>
      <c r="CA285" s="23"/>
      <c r="CB285" s="23"/>
      <c r="CC285" s="23"/>
      <c r="CD285" s="23"/>
      <c r="CE285" s="23"/>
      <c r="CF285" s="23"/>
      <c r="CG285" s="23"/>
      <c r="CH285" s="23"/>
      <c r="CI285" s="23"/>
    </row>
    <row r="286" spans="1:87" x14ac:dyDescent="0.3">
      <c r="A286" s="9" t="s">
        <v>2753</v>
      </c>
      <c r="B286" s="10" t="s">
        <v>2754</v>
      </c>
      <c r="C286" s="11">
        <v>46074</v>
      </c>
      <c r="D286" s="12">
        <v>8.3333333333333329E-2</v>
      </c>
      <c r="E286" s="11">
        <v>46074.083333333336</v>
      </c>
      <c r="F286" s="10" t="s">
        <v>262</v>
      </c>
      <c r="G286" s="13" t="b">
        <v>0</v>
      </c>
      <c r="H286" s="10"/>
      <c r="I286" s="10" t="s">
        <v>264</v>
      </c>
      <c r="J286" s="13" t="b">
        <v>0</v>
      </c>
      <c r="K286" s="13" t="b">
        <v>1</v>
      </c>
      <c r="L286" s="10" t="s">
        <v>124</v>
      </c>
      <c r="M286" s="10" t="s">
        <v>91</v>
      </c>
      <c r="N286" s="10" t="s">
        <v>92</v>
      </c>
      <c r="O286" s="10"/>
      <c r="P286" s="10"/>
      <c r="Q286" s="10"/>
      <c r="R286" s="10"/>
      <c r="S286" s="10"/>
      <c r="T286" s="10"/>
      <c r="U286" s="10" t="s">
        <v>451</v>
      </c>
      <c r="V286" s="10" t="s">
        <v>271</v>
      </c>
      <c r="W286" s="10" t="s">
        <v>272</v>
      </c>
      <c r="X286" s="10" t="s">
        <v>130</v>
      </c>
      <c r="Y286" s="10" t="s">
        <v>130</v>
      </c>
      <c r="Z286" s="10" t="s">
        <v>99</v>
      </c>
      <c r="AA286" s="10" t="s">
        <v>131</v>
      </c>
      <c r="AB286" s="10" t="s">
        <v>273</v>
      </c>
      <c r="AC286" s="10" t="s">
        <v>274</v>
      </c>
      <c r="AD286" s="10" t="s">
        <v>2755</v>
      </c>
      <c r="AE286" s="10" t="s">
        <v>2756</v>
      </c>
      <c r="AF286" s="15"/>
      <c r="AG286" s="10"/>
      <c r="AH286" s="10"/>
      <c r="AI286" s="10"/>
      <c r="AJ286" s="10"/>
      <c r="AK286" s="10"/>
      <c r="AL286" s="10" t="s">
        <v>2720</v>
      </c>
      <c r="AM286" s="10"/>
      <c r="AN286" s="10"/>
      <c r="AO286" s="13" t="b">
        <v>0</v>
      </c>
      <c r="AP286" s="10" t="s">
        <v>104</v>
      </c>
      <c r="AQ286" s="10"/>
      <c r="AR286" s="17"/>
      <c r="AS286" s="17"/>
      <c r="AT286" s="17"/>
      <c r="AU286" s="17"/>
      <c r="AV286" s="17"/>
      <c r="AW286" s="10"/>
      <c r="AX286" s="17"/>
      <c r="AY286" s="18" t="s">
        <v>257</v>
      </c>
      <c r="AZ286" s="10"/>
      <c r="BA286" s="20" t="b">
        <v>0</v>
      </c>
      <c r="BB286" s="10"/>
      <c r="BC286" s="17" t="s">
        <v>257</v>
      </c>
      <c r="BD286" s="17" t="s">
        <v>257</v>
      </c>
      <c r="BE286" s="17" t="s">
        <v>257</v>
      </c>
      <c r="BF286" s="17" t="s">
        <v>257</v>
      </c>
      <c r="BG286" s="11">
        <f ca="1">IFERROR(__xludf.DUMMYFUNCTION("""COMPUTED_VALUE"""),46074)</f>
        <v>46074</v>
      </c>
      <c r="BH286" s="17"/>
      <c r="BI286" s="17"/>
      <c r="BJ286" s="15"/>
      <c r="BK286" s="15"/>
      <c r="BL286" s="13" t="b">
        <v>0</v>
      </c>
      <c r="BM286" s="10"/>
      <c r="BN286" s="10" t="s">
        <v>223</v>
      </c>
      <c r="BO286" s="11">
        <v>45827.420937499999</v>
      </c>
      <c r="BP286" s="11">
        <v>45827.420937499999</v>
      </c>
      <c r="BQ286" s="15"/>
      <c r="BR286" s="15"/>
      <c r="BS286" s="10"/>
      <c r="BT286" s="10"/>
      <c r="BU286" s="10"/>
      <c r="BV286" s="10"/>
      <c r="BW286" s="10"/>
      <c r="BX286" s="10"/>
      <c r="BY286" s="23"/>
      <c r="BZ286" s="24" t="s">
        <v>299</v>
      </c>
      <c r="CA286" s="23"/>
      <c r="CB286" s="23"/>
      <c r="CC286" s="23"/>
      <c r="CD286" s="23"/>
      <c r="CE286" s="23"/>
      <c r="CF286" s="23"/>
      <c r="CG286" s="23"/>
      <c r="CH286" s="23"/>
      <c r="CI286" s="23"/>
    </row>
    <row r="287" spans="1:87" x14ac:dyDescent="0.3">
      <c r="A287" s="9" t="s">
        <v>2757</v>
      </c>
      <c r="B287" s="10" t="s">
        <v>2758</v>
      </c>
      <c r="C287" s="11">
        <v>46081</v>
      </c>
      <c r="D287" s="12">
        <v>8.3333333333333329E-2</v>
      </c>
      <c r="E287" s="11">
        <v>46081.083333333336</v>
      </c>
      <c r="F287" s="10" t="s">
        <v>262</v>
      </c>
      <c r="G287" s="13" t="b">
        <v>0</v>
      </c>
      <c r="H287" s="10"/>
      <c r="I287" s="10" t="s">
        <v>264</v>
      </c>
      <c r="J287" s="13" t="b">
        <v>0</v>
      </c>
      <c r="K287" s="13" t="b">
        <v>1</v>
      </c>
      <c r="L287" s="10" t="s">
        <v>124</v>
      </c>
      <c r="M287" s="10" t="s">
        <v>91</v>
      </c>
      <c r="N287" s="10" t="s">
        <v>92</v>
      </c>
      <c r="O287" s="10"/>
      <c r="P287" s="10"/>
      <c r="Q287" s="10"/>
      <c r="R287" s="10"/>
      <c r="S287" s="10"/>
      <c r="T287" s="10"/>
      <c r="U287" s="10" t="s">
        <v>271</v>
      </c>
      <c r="V287" s="10" t="s">
        <v>588</v>
      </c>
      <c r="W287" s="10" t="s">
        <v>272</v>
      </c>
      <c r="X287" s="10" t="s">
        <v>130</v>
      </c>
      <c r="Y287" s="10" t="s">
        <v>130</v>
      </c>
      <c r="Z287" s="10" t="s">
        <v>99</v>
      </c>
      <c r="AA287" s="10" t="s">
        <v>131</v>
      </c>
      <c r="AB287" s="10" t="s">
        <v>273</v>
      </c>
      <c r="AC287" s="10" t="s">
        <v>274</v>
      </c>
      <c r="AD287" s="10" t="s">
        <v>2759</v>
      </c>
      <c r="AE287" s="10" t="s">
        <v>2760</v>
      </c>
      <c r="AF287" s="15"/>
      <c r="AG287" s="10"/>
      <c r="AH287" s="10"/>
      <c r="AI287" s="10"/>
      <c r="AJ287" s="10"/>
      <c r="AK287" s="10"/>
      <c r="AL287" s="10" t="s">
        <v>2761</v>
      </c>
      <c r="AM287" s="10"/>
      <c r="AN287" s="10"/>
      <c r="AO287" s="13" t="b">
        <v>0</v>
      </c>
      <c r="AP287" s="10" t="s">
        <v>104</v>
      </c>
      <c r="AQ287" s="10"/>
      <c r="AR287" s="17"/>
      <c r="AS287" s="17"/>
      <c r="AT287" s="17"/>
      <c r="AU287" s="17"/>
      <c r="AV287" s="17"/>
      <c r="AW287" s="10"/>
      <c r="AX287" s="17"/>
      <c r="AY287" s="18" t="s">
        <v>257</v>
      </c>
      <c r="AZ287" s="10"/>
      <c r="BA287" s="20" t="b">
        <v>0</v>
      </c>
      <c r="BB287" s="10"/>
      <c r="BC287" s="17" t="s">
        <v>257</v>
      </c>
      <c r="BD287" s="17" t="s">
        <v>257</v>
      </c>
      <c r="BE287" s="17" t="s">
        <v>257</v>
      </c>
      <c r="BF287" s="17" t="s">
        <v>257</v>
      </c>
      <c r="BG287" s="11">
        <f ca="1">IFERROR(__xludf.DUMMYFUNCTION("""COMPUTED_VALUE"""),46081)</f>
        <v>46081</v>
      </c>
      <c r="BH287" s="17"/>
      <c r="BI287" s="17"/>
      <c r="BJ287" s="15"/>
      <c r="BK287" s="15"/>
      <c r="BL287" s="13" t="b">
        <v>0</v>
      </c>
      <c r="BM287" s="10"/>
      <c r="BN287" s="10" t="s">
        <v>223</v>
      </c>
      <c r="BO287" s="11">
        <v>45827.420937499999</v>
      </c>
      <c r="BP287" s="11">
        <v>45827.420937499999</v>
      </c>
      <c r="BQ287" s="15"/>
      <c r="BR287" s="15"/>
      <c r="BS287" s="10"/>
      <c r="BT287" s="10"/>
      <c r="BU287" s="10"/>
      <c r="BV287" s="10"/>
      <c r="BW287" s="10"/>
      <c r="BX287" s="10"/>
      <c r="BY287" s="23"/>
      <c r="BZ287" s="24" t="s">
        <v>299</v>
      </c>
      <c r="CA287" s="23"/>
      <c r="CB287" s="23"/>
      <c r="CC287" s="23"/>
      <c r="CD287" s="23"/>
      <c r="CE287" s="23"/>
      <c r="CF287" s="23"/>
      <c r="CG287" s="23"/>
      <c r="CH287" s="23"/>
      <c r="CI287" s="23"/>
    </row>
    <row r="288" spans="1:87" x14ac:dyDescent="0.3">
      <c r="A288" s="9" t="s">
        <v>2762</v>
      </c>
      <c r="B288" s="10" t="s">
        <v>2763</v>
      </c>
      <c r="C288" s="11">
        <v>46081</v>
      </c>
      <c r="D288" s="12">
        <v>8.3333333333333329E-2</v>
      </c>
      <c r="E288" s="11">
        <v>46081.083333333336</v>
      </c>
      <c r="F288" s="10" t="s">
        <v>262</v>
      </c>
      <c r="G288" s="13" t="b">
        <v>0</v>
      </c>
      <c r="H288" s="10"/>
      <c r="I288" s="10" t="s">
        <v>264</v>
      </c>
      <c r="J288" s="13" t="b">
        <v>0</v>
      </c>
      <c r="K288" s="13" t="b">
        <v>1</v>
      </c>
      <c r="L288" s="10" t="s">
        <v>124</v>
      </c>
      <c r="M288" s="10" t="s">
        <v>91</v>
      </c>
      <c r="N288" s="10" t="s">
        <v>92</v>
      </c>
      <c r="O288" s="10"/>
      <c r="P288" s="10"/>
      <c r="Q288" s="10"/>
      <c r="R288" s="10"/>
      <c r="S288" s="10"/>
      <c r="T288" s="10"/>
      <c r="U288" s="10" t="s">
        <v>362</v>
      </c>
      <c r="V288" s="10" t="s">
        <v>346</v>
      </c>
      <c r="W288" s="10" t="s">
        <v>272</v>
      </c>
      <c r="X288" s="10" t="s">
        <v>130</v>
      </c>
      <c r="Y288" s="10" t="s">
        <v>130</v>
      </c>
      <c r="Z288" s="10" t="s">
        <v>99</v>
      </c>
      <c r="AA288" s="10" t="s">
        <v>131</v>
      </c>
      <c r="AB288" s="10" t="s">
        <v>273</v>
      </c>
      <c r="AC288" s="10" t="s">
        <v>274</v>
      </c>
      <c r="AD288" s="10" t="s">
        <v>2764</v>
      </c>
      <c r="AE288" s="10" t="s">
        <v>2765</v>
      </c>
      <c r="AF288" s="15"/>
      <c r="AG288" s="10"/>
      <c r="AH288" s="10"/>
      <c r="AI288" s="10"/>
      <c r="AJ288" s="10"/>
      <c r="AK288" s="10"/>
      <c r="AL288" s="10" t="s">
        <v>2761</v>
      </c>
      <c r="AM288" s="10"/>
      <c r="AN288" s="10"/>
      <c r="AO288" s="13" t="b">
        <v>1</v>
      </c>
      <c r="AP288" s="10" t="s">
        <v>104</v>
      </c>
      <c r="AQ288" s="10"/>
      <c r="AR288" s="17"/>
      <c r="AS288" s="17"/>
      <c r="AT288" s="17"/>
      <c r="AU288" s="17"/>
      <c r="AV288" s="17"/>
      <c r="AW288" s="10"/>
      <c r="AX288" s="17"/>
      <c r="AY288" s="18" t="s">
        <v>257</v>
      </c>
      <c r="AZ288" s="10"/>
      <c r="BA288" s="20" t="b">
        <v>0</v>
      </c>
      <c r="BB288" s="10"/>
      <c r="BC288" s="17" t="s">
        <v>257</v>
      </c>
      <c r="BD288" s="17" t="s">
        <v>257</v>
      </c>
      <c r="BE288" s="17" t="s">
        <v>257</v>
      </c>
      <c r="BF288" s="17" t="s">
        <v>257</v>
      </c>
      <c r="BG288" s="11">
        <f ca="1">IFERROR(__xludf.DUMMYFUNCTION("""COMPUTED_VALUE"""),46081)</f>
        <v>46081</v>
      </c>
      <c r="BH288" s="17"/>
      <c r="BI288" s="17"/>
      <c r="BJ288" s="15"/>
      <c r="BK288" s="15"/>
      <c r="BL288" s="13" t="b">
        <v>0</v>
      </c>
      <c r="BM288" s="10"/>
      <c r="BN288" s="10" t="s">
        <v>223</v>
      </c>
      <c r="BO288" s="11">
        <v>45827.420937499999</v>
      </c>
      <c r="BP288" s="11">
        <v>45827.420937499999</v>
      </c>
      <c r="BQ288" s="15"/>
      <c r="BR288" s="15"/>
      <c r="BS288" s="10"/>
      <c r="BT288" s="10"/>
      <c r="BU288" s="10"/>
      <c r="BV288" s="10"/>
      <c r="BW288" s="10"/>
      <c r="BX288" s="10"/>
      <c r="BY288" s="23"/>
      <c r="BZ288" s="24" t="s">
        <v>368</v>
      </c>
      <c r="CA288" s="23"/>
      <c r="CB288" s="23"/>
      <c r="CC288" s="23"/>
      <c r="CD288" s="23"/>
      <c r="CE288" s="23"/>
      <c r="CF288" s="23"/>
      <c r="CG288" s="23"/>
      <c r="CH288" s="23"/>
      <c r="CI288" s="23"/>
    </row>
    <row r="289" spans="1:87" x14ac:dyDescent="0.3">
      <c r="A289" s="9" t="s">
        <v>2766</v>
      </c>
      <c r="B289" s="10" t="s">
        <v>2767</v>
      </c>
      <c r="C289" s="11">
        <v>46081</v>
      </c>
      <c r="D289" s="12">
        <v>8.3333333333333329E-2</v>
      </c>
      <c r="E289" s="11">
        <v>46081.083333333336</v>
      </c>
      <c r="F289" s="10" t="s">
        <v>262</v>
      </c>
      <c r="G289" s="13" t="b">
        <v>0</v>
      </c>
      <c r="H289" s="10"/>
      <c r="I289" s="10" t="s">
        <v>264</v>
      </c>
      <c r="J289" s="13" t="b">
        <v>0</v>
      </c>
      <c r="K289" s="13" t="b">
        <v>1</v>
      </c>
      <c r="L289" s="10" t="s">
        <v>124</v>
      </c>
      <c r="M289" s="10" t="s">
        <v>91</v>
      </c>
      <c r="N289" s="10" t="s">
        <v>92</v>
      </c>
      <c r="O289" s="10"/>
      <c r="P289" s="10"/>
      <c r="Q289" s="10"/>
      <c r="R289" s="10"/>
      <c r="S289" s="10"/>
      <c r="T289" s="10"/>
      <c r="U289" s="10" t="s">
        <v>308</v>
      </c>
      <c r="V289" s="10" t="s">
        <v>320</v>
      </c>
      <c r="W289" s="10" t="s">
        <v>272</v>
      </c>
      <c r="X289" s="10" t="s">
        <v>130</v>
      </c>
      <c r="Y289" s="10" t="s">
        <v>130</v>
      </c>
      <c r="Z289" s="10" t="s">
        <v>99</v>
      </c>
      <c r="AA289" s="10" t="s">
        <v>131</v>
      </c>
      <c r="AB289" s="10" t="s">
        <v>273</v>
      </c>
      <c r="AC289" s="10" t="s">
        <v>274</v>
      </c>
      <c r="AD289" s="10" t="s">
        <v>2768</v>
      </c>
      <c r="AE289" s="10" t="s">
        <v>2769</v>
      </c>
      <c r="AF289" s="15"/>
      <c r="AG289" s="10"/>
      <c r="AH289" s="10"/>
      <c r="AI289" s="10"/>
      <c r="AJ289" s="10"/>
      <c r="AK289" s="10"/>
      <c r="AL289" s="10" t="s">
        <v>2761</v>
      </c>
      <c r="AM289" s="10"/>
      <c r="AN289" s="10"/>
      <c r="AO289" s="13" t="b">
        <v>0</v>
      </c>
      <c r="AP289" s="10" t="s">
        <v>104</v>
      </c>
      <c r="AQ289" s="10"/>
      <c r="AR289" s="17"/>
      <c r="AS289" s="17"/>
      <c r="AT289" s="17"/>
      <c r="AU289" s="17"/>
      <c r="AV289" s="17"/>
      <c r="AW289" s="10"/>
      <c r="AX289" s="17"/>
      <c r="AY289" s="18" t="s">
        <v>257</v>
      </c>
      <c r="AZ289" s="10"/>
      <c r="BA289" s="20" t="b">
        <v>0</v>
      </c>
      <c r="BB289" s="10"/>
      <c r="BC289" s="17" t="s">
        <v>257</v>
      </c>
      <c r="BD289" s="17" t="s">
        <v>257</v>
      </c>
      <c r="BE289" s="17" t="s">
        <v>257</v>
      </c>
      <c r="BF289" s="17" t="s">
        <v>257</v>
      </c>
      <c r="BG289" s="11">
        <f ca="1">IFERROR(__xludf.DUMMYFUNCTION("""COMPUTED_VALUE"""),46081)</f>
        <v>46081</v>
      </c>
      <c r="BH289" s="17"/>
      <c r="BI289" s="17"/>
      <c r="BJ289" s="15"/>
      <c r="BK289" s="15"/>
      <c r="BL289" s="13" t="b">
        <v>0</v>
      </c>
      <c r="BM289" s="10"/>
      <c r="BN289" s="10" t="s">
        <v>223</v>
      </c>
      <c r="BO289" s="11">
        <v>45827.420937499999</v>
      </c>
      <c r="BP289" s="11">
        <v>45827.420937499999</v>
      </c>
      <c r="BQ289" s="15"/>
      <c r="BR289" s="15"/>
      <c r="BS289" s="10"/>
      <c r="BT289" s="10"/>
      <c r="BU289" s="10"/>
      <c r="BV289" s="10"/>
      <c r="BW289" s="10"/>
      <c r="BX289" s="10"/>
      <c r="BY289" s="23"/>
      <c r="BZ289" s="24" t="s">
        <v>299</v>
      </c>
      <c r="CA289" s="23"/>
      <c r="CB289" s="23"/>
      <c r="CC289" s="23"/>
      <c r="CD289" s="23"/>
      <c r="CE289" s="23"/>
      <c r="CF289" s="23"/>
      <c r="CG289" s="23"/>
      <c r="CH289" s="23"/>
      <c r="CI289" s="23"/>
    </row>
    <row r="290" spans="1:87" x14ac:dyDescent="0.3">
      <c r="A290" s="9" t="s">
        <v>2770</v>
      </c>
      <c r="B290" s="10" t="s">
        <v>2771</v>
      </c>
      <c r="C290" s="11">
        <v>46081</v>
      </c>
      <c r="D290" s="12">
        <v>8.3333333333333329E-2</v>
      </c>
      <c r="E290" s="11">
        <v>46081.083333333336</v>
      </c>
      <c r="F290" s="10" t="s">
        <v>262</v>
      </c>
      <c r="G290" s="13" t="b">
        <v>0</v>
      </c>
      <c r="H290" s="10"/>
      <c r="I290" s="10" t="s">
        <v>264</v>
      </c>
      <c r="J290" s="13" t="b">
        <v>0</v>
      </c>
      <c r="K290" s="13" t="b">
        <v>1</v>
      </c>
      <c r="L290" s="10" t="s">
        <v>124</v>
      </c>
      <c r="M290" s="10" t="s">
        <v>91</v>
      </c>
      <c r="N290" s="10" t="s">
        <v>92</v>
      </c>
      <c r="O290" s="10"/>
      <c r="P290" s="10"/>
      <c r="Q290" s="10"/>
      <c r="R290" s="10"/>
      <c r="S290" s="10"/>
      <c r="T290" s="10"/>
      <c r="U290" s="10" t="s">
        <v>609</v>
      </c>
      <c r="V290" s="10" t="s">
        <v>321</v>
      </c>
      <c r="W290" s="10" t="s">
        <v>272</v>
      </c>
      <c r="X290" s="10" t="s">
        <v>130</v>
      </c>
      <c r="Y290" s="10" t="s">
        <v>130</v>
      </c>
      <c r="Z290" s="10" t="s">
        <v>99</v>
      </c>
      <c r="AA290" s="10" t="s">
        <v>131</v>
      </c>
      <c r="AB290" s="10" t="s">
        <v>273</v>
      </c>
      <c r="AC290" s="10" t="s">
        <v>274</v>
      </c>
      <c r="AD290" s="10" t="s">
        <v>2772</v>
      </c>
      <c r="AE290" s="10" t="s">
        <v>2773</v>
      </c>
      <c r="AF290" s="15"/>
      <c r="AG290" s="10"/>
      <c r="AH290" s="10"/>
      <c r="AI290" s="10"/>
      <c r="AJ290" s="10"/>
      <c r="AK290" s="10"/>
      <c r="AL290" s="10" t="s">
        <v>2761</v>
      </c>
      <c r="AM290" s="10"/>
      <c r="AN290" s="10"/>
      <c r="AO290" s="13" t="b">
        <v>0</v>
      </c>
      <c r="AP290" s="10" t="s">
        <v>104</v>
      </c>
      <c r="AQ290" s="10"/>
      <c r="AR290" s="17"/>
      <c r="AS290" s="17"/>
      <c r="AT290" s="17"/>
      <c r="AU290" s="17"/>
      <c r="AV290" s="17"/>
      <c r="AW290" s="10"/>
      <c r="AX290" s="17"/>
      <c r="AY290" s="18" t="s">
        <v>257</v>
      </c>
      <c r="AZ290" s="10"/>
      <c r="BA290" s="20" t="b">
        <v>0</v>
      </c>
      <c r="BB290" s="10"/>
      <c r="BC290" s="17" t="s">
        <v>257</v>
      </c>
      <c r="BD290" s="17" t="s">
        <v>257</v>
      </c>
      <c r="BE290" s="17" t="s">
        <v>257</v>
      </c>
      <c r="BF290" s="17" t="s">
        <v>257</v>
      </c>
      <c r="BG290" s="11">
        <f ca="1">IFERROR(__xludf.DUMMYFUNCTION("""COMPUTED_VALUE"""),46081)</f>
        <v>46081</v>
      </c>
      <c r="BH290" s="17"/>
      <c r="BI290" s="17"/>
      <c r="BJ290" s="15"/>
      <c r="BK290" s="15"/>
      <c r="BL290" s="13" t="b">
        <v>0</v>
      </c>
      <c r="BM290" s="10"/>
      <c r="BN290" s="10" t="s">
        <v>223</v>
      </c>
      <c r="BO290" s="11">
        <v>45827.420937499999</v>
      </c>
      <c r="BP290" s="11">
        <v>45827.420937499999</v>
      </c>
      <c r="BQ290" s="15"/>
      <c r="BR290" s="15"/>
      <c r="BS290" s="10"/>
      <c r="BT290" s="10"/>
      <c r="BU290" s="10"/>
      <c r="BV290" s="10"/>
      <c r="BW290" s="10"/>
      <c r="BX290" s="10"/>
      <c r="BY290" s="23"/>
      <c r="BZ290" s="24" t="s">
        <v>299</v>
      </c>
      <c r="CA290" s="23"/>
      <c r="CB290" s="23"/>
      <c r="CC290" s="23"/>
      <c r="CD290" s="23"/>
      <c r="CE290" s="23"/>
      <c r="CF290" s="23"/>
      <c r="CG290" s="23"/>
      <c r="CH290" s="23"/>
      <c r="CI290" s="23"/>
    </row>
    <row r="291" spans="1:87" x14ac:dyDescent="0.3">
      <c r="A291" s="9" t="s">
        <v>2774</v>
      </c>
      <c r="B291" s="10" t="s">
        <v>2775</v>
      </c>
      <c r="C291" s="11">
        <v>46081</v>
      </c>
      <c r="D291" s="12">
        <v>8.3333333333333329E-2</v>
      </c>
      <c r="E291" s="11">
        <v>46081.083333333336</v>
      </c>
      <c r="F291" s="10" t="s">
        <v>262</v>
      </c>
      <c r="G291" s="13" t="b">
        <v>0</v>
      </c>
      <c r="H291" s="10"/>
      <c r="I291" s="10" t="s">
        <v>264</v>
      </c>
      <c r="J291" s="13" t="b">
        <v>0</v>
      </c>
      <c r="K291" s="13" t="b">
        <v>1</v>
      </c>
      <c r="L291" s="10" t="s">
        <v>124</v>
      </c>
      <c r="M291" s="10" t="s">
        <v>91</v>
      </c>
      <c r="N291" s="10" t="s">
        <v>92</v>
      </c>
      <c r="O291" s="10"/>
      <c r="P291" s="10"/>
      <c r="Q291" s="10"/>
      <c r="R291" s="10"/>
      <c r="S291" s="10"/>
      <c r="T291" s="10"/>
      <c r="U291" s="10" t="s">
        <v>309</v>
      </c>
      <c r="V291" s="10" t="s">
        <v>429</v>
      </c>
      <c r="W291" s="10" t="s">
        <v>272</v>
      </c>
      <c r="X291" s="10" t="s">
        <v>130</v>
      </c>
      <c r="Y291" s="10" t="s">
        <v>130</v>
      </c>
      <c r="Z291" s="10" t="s">
        <v>99</v>
      </c>
      <c r="AA291" s="10" t="s">
        <v>131</v>
      </c>
      <c r="AB291" s="10" t="s">
        <v>273</v>
      </c>
      <c r="AC291" s="10" t="s">
        <v>274</v>
      </c>
      <c r="AD291" s="10" t="s">
        <v>2776</v>
      </c>
      <c r="AE291" s="10" t="s">
        <v>2777</v>
      </c>
      <c r="AF291" s="15"/>
      <c r="AG291" s="10"/>
      <c r="AH291" s="10"/>
      <c r="AI291" s="10"/>
      <c r="AJ291" s="10"/>
      <c r="AK291" s="10"/>
      <c r="AL291" s="10" t="s">
        <v>2761</v>
      </c>
      <c r="AM291" s="10"/>
      <c r="AN291" s="10"/>
      <c r="AO291" s="13" t="b">
        <v>1</v>
      </c>
      <c r="AP291" s="10" t="s">
        <v>104</v>
      </c>
      <c r="AQ291" s="10"/>
      <c r="AR291" s="17"/>
      <c r="AS291" s="17"/>
      <c r="AT291" s="17"/>
      <c r="AU291" s="17"/>
      <c r="AV291" s="17"/>
      <c r="AW291" s="10"/>
      <c r="AX291" s="17"/>
      <c r="AY291" s="18" t="s">
        <v>257</v>
      </c>
      <c r="AZ291" s="10"/>
      <c r="BA291" s="20" t="b">
        <v>0</v>
      </c>
      <c r="BB291" s="10"/>
      <c r="BC291" s="17" t="s">
        <v>257</v>
      </c>
      <c r="BD291" s="17" t="s">
        <v>257</v>
      </c>
      <c r="BE291" s="17" t="s">
        <v>257</v>
      </c>
      <c r="BF291" s="17" t="s">
        <v>257</v>
      </c>
      <c r="BG291" s="11">
        <f ca="1">IFERROR(__xludf.DUMMYFUNCTION("""COMPUTED_VALUE"""),46081)</f>
        <v>46081</v>
      </c>
      <c r="BH291" s="17"/>
      <c r="BI291" s="17"/>
      <c r="BJ291" s="15"/>
      <c r="BK291" s="15"/>
      <c r="BL291" s="13" t="b">
        <v>0</v>
      </c>
      <c r="BM291" s="10"/>
      <c r="BN291" s="10" t="s">
        <v>223</v>
      </c>
      <c r="BO291" s="11">
        <v>45827.420937499999</v>
      </c>
      <c r="BP291" s="11">
        <v>45827.420937499999</v>
      </c>
      <c r="BQ291" s="15"/>
      <c r="BR291" s="15"/>
      <c r="BS291" s="10"/>
      <c r="BT291" s="10"/>
      <c r="BU291" s="10"/>
      <c r="BV291" s="10"/>
      <c r="BW291" s="10"/>
      <c r="BX291" s="10"/>
      <c r="BY291" s="23"/>
      <c r="BZ291" s="24" t="s">
        <v>284</v>
      </c>
      <c r="CA291" s="23"/>
      <c r="CB291" s="23"/>
      <c r="CC291" s="23"/>
      <c r="CD291" s="23"/>
      <c r="CE291" s="23"/>
      <c r="CF291" s="23"/>
      <c r="CG291" s="23"/>
      <c r="CH291" s="23"/>
      <c r="CI291" s="23"/>
    </row>
    <row r="292" spans="1:87" x14ac:dyDescent="0.3">
      <c r="A292" s="9" t="s">
        <v>2778</v>
      </c>
      <c r="B292" s="10" t="s">
        <v>2779</v>
      </c>
      <c r="C292" s="11">
        <v>46081</v>
      </c>
      <c r="D292" s="12">
        <v>8.3333333333333329E-2</v>
      </c>
      <c r="E292" s="11">
        <v>46081.083333333336</v>
      </c>
      <c r="F292" s="10" t="s">
        <v>262</v>
      </c>
      <c r="G292" s="13" t="b">
        <v>0</v>
      </c>
      <c r="H292" s="10"/>
      <c r="I292" s="10" t="s">
        <v>264</v>
      </c>
      <c r="J292" s="13" t="b">
        <v>0</v>
      </c>
      <c r="K292" s="13" t="b">
        <v>1</v>
      </c>
      <c r="L292" s="10" t="s">
        <v>124</v>
      </c>
      <c r="M292" s="10" t="s">
        <v>91</v>
      </c>
      <c r="N292" s="10" t="s">
        <v>92</v>
      </c>
      <c r="O292" s="10"/>
      <c r="P292" s="10"/>
      <c r="Q292" s="10"/>
      <c r="R292" s="10"/>
      <c r="S292" s="10"/>
      <c r="T292" s="10"/>
      <c r="U292" s="10" t="s">
        <v>663</v>
      </c>
      <c r="V292" s="10" t="s">
        <v>334</v>
      </c>
      <c r="W292" s="10" t="s">
        <v>272</v>
      </c>
      <c r="X292" s="10" t="s">
        <v>130</v>
      </c>
      <c r="Y292" s="10" t="s">
        <v>130</v>
      </c>
      <c r="Z292" s="10" t="s">
        <v>99</v>
      </c>
      <c r="AA292" s="10" t="s">
        <v>131</v>
      </c>
      <c r="AB292" s="10" t="s">
        <v>273</v>
      </c>
      <c r="AC292" s="10" t="s">
        <v>274</v>
      </c>
      <c r="AD292" s="10" t="s">
        <v>2780</v>
      </c>
      <c r="AE292" s="10" t="s">
        <v>2781</v>
      </c>
      <c r="AF292" s="15"/>
      <c r="AG292" s="10"/>
      <c r="AH292" s="10"/>
      <c r="AI292" s="10"/>
      <c r="AJ292" s="10"/>
      <c r="AK292" s="10"/>
      <c r="AL292" s="10" t="s">
        <v>2761</v>
      </c>
      <c r="AM292" s="10"/>
      <c r="AN292" s="10"/>
      <c r="AO292" s="13" t="b">
        <v>1</v>
      </c>
      <c r="AP292" s="10" t="s">
        <v>104</v>
      </c>
      <c r="AQ292" s="10"/>
      <c r="AR292" s="17"/>
      <c r="AS292" s="17"/>
      <c r="AT292" s="17"/>
      <c r="AU292" s="17"/>
      <c r="AV292" s="17"/>
      <c r="AW292" s="10"/>
      <c r="AX292" s="17"/>
      <c r="AY292" s="18" t="s">
        <v>257</v>
      </c>
      <c r="AZ292" s="10"/>
      <c r="BA292" s="20" t="b">
        <v>0</v>
      </c>
      <c r="BB292" s="10"/>
      <c r="BC292" s="17" t="s">
        <v>257</v>
      </c>
      <c r="BD292" s="17" t="s">
        <v>257</v>
      </c>
      <c r="BE292" s="17" t="s">
        <v>257</v>
      </c>
      <c r="BF292" s="17" t="s">
        <v>257</v>
      </c>
      <c r="BG292" s="11">
        <f ca="1">IFERROR(__xludf.DUMMYFUNCTION("""COMPUTED_VALUE"""),46081)</f>
        <v>46081</v>
      </c>
      <c r="BH292" s="17"/>
      <c r="BI292" s="17"/>
      <c r="BJ292" s="15"/>
      <c r="BK292" s="15"/>
      <c r="BL292" s="13" t="b">
        <v>0</v>
      </c>
      <c r="BM292" s="10"/>
      <c r="BN292" s="10" t="s">
        <v>223</v>
      </c>
      <c r="BO292" s="11">
        <v>45827.420937499999</v>
      </c>
      <c r="BP292" s="11">
        <v>45827.420937499999</v>
      </c>
      <c r="BQ292" s="15"/>
      <c r="BR292" s="15"/>
      <c r="BS292" s="10"/>
      <c r="BT292" s="10"/>
      <c r="BU292" s="10"/>
      <c r="BV292" s="10"/>
      <c r="BW292" s="10"/>
      <c r="BX292" s="10"/>
      <c r="BY292" s="23"/>
      <c r="BZ292" s="24" t="s">
        <v>284</v>
      </c>
      <c r="CA292" s="23"/>
      <c r="CB292" s="23"/>
      <c r="CC292" s="23"/>
      <c r="CD292" s="23"/>
      <c r="CE292" s="23"/>
      <c r="CF292" s="23"/>
      <c r="CG292" s="23"/>
      <c r="CH292" s="23"/>
      <c r="CI292" s="23"/>
    </row>
    <row r="293" spans="1:87" x14ac:dyDescent="0.3">
      <c r="A293" s="9" t="s">
        <v>2782</v>
      </c>
      <c r="B293" s="10" t="s">
        <v>2783</v>
      </c>
      <c r="C293" s="11">
        <v>46081</v>
      </c>
      <c r="D293" s="12">
        <v>8.3333333333333329E-2</v>
      </c>
      <c r="E293" s="11">
        <v>46081.083333333336</v>
      </c>
      <c r="F293" s="10" t="s">
        <v>262</v>
      </c>
      <c r="G293" s="13" t="b">
        <v>0</v>
      </c>
      <c r="H293" s="10"/>
      <c r="I293" s="10" t="s">
        <v>264</v>
      </c>
      <c r="J293" s="13" t="b">
        <v>0</v>
      </c>
      <c r="K293" s="13" t="b">
        <v>1</v>
      </c>
      <c r="L293" s="10" t="s">
        <v>124</v>
      </c>
      <c r="M293" s="10" t="s">
        <v>91</v>
      </c>
      <c r="N293" s="10" t="s">
        <v>92</v>
      </c>
      <c r="O293" s="10"/>
      <c r="P293" s="10"/>
      <c r="Q293" s="10"/>
      <c r="R293" s="10"/>
      <c r="S293" s="10"/>
      <c r="T293" s="10"/>
      <c r="U293" s="10" t="s">
        <v>270</v>
      </c>
      <c r="V293" s="10" t="s">
        <v>451</v>
      </c>
      <c r="W293" s="10" t="s">
        <v>272</v>
      </c>
      <c r="X293" s="10" t="s">
        <v>130</v>
      </c>
      <c r="Y293" s="10" t="s">
        <v>130</v>
      </c>
      <c r="Z293" s="10" t="s">
        <v>99</v>
      </c>
      <c r="AA293" s="10" t="s">
        <v>131</v>
      </c>
      <c r="AB293" s="10" t="s">
        <v>273</v>
      </c>
      <c r="AC293" s="10" t="s">
        <v>274</v>
      </c>
      <c r="AD293" s="10" t="s">
        <v>2784</v>
      </c>
      <c r="AE293" s="10" t="s">
        <v>2785</v>
      </c>
      <c r="AF293" s="15"/>
      <c r="AG293" s="10"/>
      <c r="AH293" s="10"/>
      <c r="AI293" s="10"/>
      <c r="AJ293" s="10"/>
      <c r="AK293" s="10"/>
      <c r="AL293" s="10" t="s">
        <v>2761</v>
      </c>
      <c r="AM293" s="10"/>
      <c r="AN293" s="10"/>
      <c r="AO293" s="13" t="b">
        <v>1</v>
      </c>
      <c r="AP293" s="10" t="s">
        <v>104</v>
      </c>
      <c r="AQ293" s="10"/>
      <c r="AR293" s="17"/>
      <c r="AS293" s="17"/>
      <c r="AT293" s="17"/>
      <c r="AU293" s="17"/>
      <c r="AV293" s="17"/>
      <c r="AW293" s="10"/>
      <c r="AX293" s="17"/>
      <c r="AY293" s="18" t="s">
        <v>257</v>
      </c>
      <c r="AZ293" s="10"/>
      <c r="BA293" s="20" t="b">
        <v>0</v>
      </c>
      <c r="BB293" s="10"/>
      <c r="BC293" s="17" t="s">
        <v>257</v>
      </c>
      <c r="BD293" s="17" t="s">
        <v>257</v>
      </c>
      <c r="BE293" s="17" t="s">
        <v>257</v>
      </c>
      <c r="BF293" s="17" t="s">
        <v>257</v>
      </c>
      <c r="BG293" s="11">
        <f ca="1">IFERROR(__xludf.DUMMYFUNCTION("""COMPUTED_VALUE"""),46081)</f>
        <v>46081</v>
      </c>
      <c r="BH293" s="17"/>
      <c r="BI293" s="17"/>
      <c r="BJ293" s="15"/>
      <c r="BK293" s="15"/>
      <c r="BL293" s="13" t="b">
        <v>0</v>
      </c>
      <c r="BM293" s="10"/>
      <c r="BN293" s="10" t="s">
        <v>223</v>
      </c>
      <c r="BO293" s="11">
        <v>45827.420937499999</v>
      </c>
      <c r="BP293" s="11">
        <v>45827.420937499999</v>
      </c>
      <c r="BQ293" s="15"/>
      <c r="BR293" s="15"/>
      <c r="BS293" s="10"/>
      <c r="BT293" s="10"/>
      <c r="BU293" s="10"/>
      <c r="BV293" s="10"/>
      <c r="BW293" s="10"/>
      <c r="BX293" s="10"/>
      <c r="BY293" s="23"/>
      <c r="BZ293" s="24" t="s">
        <v>284</v>
      </c>
      <c r="CA293" s="23"/>
      <c r="CB293" s="23"/>
      <c r="CC293" s="23"/>
      <c r="CD293" s="23"/>
      <c r="CE293" s="23"/>
      <c r="CF293" s="23"/>
      <c r="CG293" s="23"/>
      <c r="CH293" s="23"/>
      <c r="CI293" s="23"/>
    </row>
    <row r="294" spans="1:87" x14ac:dyDescent="0.3">
      <c r="A294" s="9" t="s">
        <v>2786</v>
      </c>
      <c r="B294" s="10" t="s">
        <v>2787</v>
      </c>
      <c r="C294" s="11">
        <v>46081</v>
      </c>
      <c r="D294" s="12">
        <v>8.3333333333333329E-2</v>
      </c>
      <c r="E294" s="11">
        <v>46081.083333333336</v>
      </c>
      <c r="F294" s="10" t="s">
        <v>262</v>
      </c>
      <c r="G294" s="13" t="b">
        <v>0</v>
      </c>
      <c r="H294" s="10"/>
      <c r="I294" s="10" t="s">
        <v>264</v>
      </c>
      <c r="J294" s="13" t="b">
        <v>0</v>
      </c>
      <c r="K294" s="13" t="b">
        <v>1</v>
      </c>
      <c r="L294" s="10" t="s">
        <v>124</v>
      </c>
      <c r="M294" s="10" t="s">
        <v>91</v>
      </c>
      <c r="N294" s="10" t="s">
        <v>92</v>
      </c>
      <c r="O294" s="10"/>
      <c r="P294" s="10"/>
      <c r="Q294" s="10"/>
      <c r="R294" s="10"/>
      <c r="S294" s="10"/>
      <c r="T294" s="10"/>
      <c r="U294" s="10" t="s">
        <v>361</v>
      </c>
      <c r="V294" s="10" t="s">
        <v>347</v>
      </c>
      <c r="W294" s="10" t="s">
        <v>272</v>
      </c>
      <c r="X294" s="10" t="s">
        <v>130</v>
      </c>
      <c r="Y294" s="10" t="s">
        <v>130</v>
      </c>
      <c r="Z294" s="10" t="s">
        <v>99</v>
      </c>
      <c r="AA294" s="10" t="s">
        <v>131</v>
      </c>
      <c r="AB294" s="10" t="s">
        <v>273</v>
      </c>
      <c r="AC294" s="10" t="s">
        <v>274</v>
      </c>
      <c r="AD294" s="10" t="s">
        <v>2788</v>
      </c>
      <c r="AE294" s="10" t="s">
        <v>2789</v>
      </c>
      <c r="AF294" s="15"/>
      <c r="AG294" s="10"/>
      <c r="AH294" s="10"/>
      <c r="AI294" s="10"/>
      <c r="AJ294" s="10"/>
      <c r="AK294" s="10"/>
      <c r="AL294" s="10" t="s">
        <v>2761</v>
      </c>
      <c r="AM294" s="10"/>
      <c r="AN294" s="10"/>
      <c r="AO294" s="13" t="b">
        <v>1</v>
      </c>
      <c r="AP294" s="10" t="s">
        <v>104</v>
      </c>
      <c r="AQ294" s="10"/>
      <c r="AR294" s="17"/>
      <c r="AS294" s="17"/>
      <c r="AT294" s="17"/>
      <c r="AU294" s="17"/>
      <c r="AV294" s="17"/>
      <c r="AW294" s="10"/>
      <c r="AX294" s="17"/>
      <c r="AY294" s="18" t="s">
        <v>257</v>
      </c>
      <c r="AZ294" s="10"/>
      <c r="BA294" s="20" t="b">
        <v>0</v>
      </c>
      <c r="BB294" s="10"/>
      <c r="BC294" s="17" t="s">
        <v>257</v>
      </c>
      <c r="BD294" s="17" t="s">
        <v>257</v>
      </c>
      <c r="BE294" s="17" t="s">
        <v>257</v>
      </c>
      <c r="BF294" s="17" t="s">
        <v>257</v>
      </c>
      <c r="BG294" s="11">
        <f ca="1">IFERROR(__xludf.DUMMYFUNCTION("""COMPUTED_VALUE"""),46081)</f>
        <v>46081</v>
      </c>
      <c r="BH294" s="17"/>
      <c r="BI294" s="17"/>
      <c r="BJ294" s="15"/>
      <c r="BK294" s="15"/>
      <c r="BL294" s="13" t="b">
        <v>0</v>
      </c>
      <c r="BM294" s="10"/>
      <c r="BN294" s="10" t="s">
        <v>223</v>
      </c>
      <c r="BO294" s="11">
        <v>45827.420937499999</v>
      </c>
      <c r="BP294" s="11">
        <v>45827.420937499999</v>
      </c>
      <c r="BQ294" s="15"/>
      <c r="BR294" s="15"/>
      <c r="BS294" s="10"/>
      <c r="BT294" s="10"/>
      <c r="BU294" s="10"/>
      <c r="BV294" s="10"/>
      <c r="BW294" s="10"/>
      <c r="BX294" s="10"/>
      <c r="BY294" s="23"/>
      <c r="BZ294" s="24" t="s">
        <v>284</v>
      </c>
      <c r="CA294" s="23"/>
      <c r="CB294" s="23"/>
      <c r="CC294" s="23"/>
      <c r="CD294" s="23"/>
      <c r="CE294" s="23"/>
      <c r="CF294" s="23"/>
      <c r="CG294" s="23"/>
      <c r="CH294" s="23"/>
      <c r="CI294" s="23"/>
    </row>
    <row r="295" spans="1:87" x14ac:dyDescent="0.3">
      <c r="A295" s="9" t="s">
        <v>2790</v>
      </c>
      <c r="B295" s="10" t="s">
        <v>2791</v>
      </c>
      <c r="C295" s="11">
        <v>46081</v>
      </c>
      <c r="D295" s="12">
        <v>8.3333333333333329E-2</v>
      </c>
      <c r="E295" s="11">
        <v>46081.083333333336</v>
      </c>
      <c r="F295" s="10" t="s">
        <v>262</v>
      </c>
      <c r="G295" s="13" t="b">
        <v>0</v>
      </c>
      <c r="H295" s="10"/>
      <c r="I295" s="10" t="s">
        <v>264</v>
      </c>
      <c r="J295" s="13" t="b">
        <v>0</v>
      </c>
      <c r="K295" s="13" t="b">
        <v>1</v>
      </c>
      <c r="L295" s="10" t="s">
        <v>124</v>
      </c>
      <c r="M295" s="10" t="s">
        <v>91</v>
      </c>
      <c r="N295" s="10" t="s">
        <v>92</v>
      </c>
      <c r="O295" s="10"/>
      <c r="P295" s="10"/>
      <c r="Q295" s="10"/>
      <c r="R295" s="10"/>
      <c r="S295" s="10"/>
      <c r="T295" s="10"/>
      <c r="U295" s="10" t="s">
        <v>293</v>
      </c>
      <c r="V295" s="10" t="s">
        <v>407</v>
      </c>
      <c r="W295" s="10" t="s">
        <v>272</v>
      </c>
      <c r="X295" s="10" t="s">
        <v>130</v>
      </c>
      <c r="Y295" s="10" t="s">
        <v>130</v>
      </c>
      <c r="Z295" s="10" t="s">
        <v>99</v>
      </c>
      <c r="AA295" s="10" t="s">
        <v>131</v>
      </c>
      <c r="AB295" s="10" t="s">
        <v>273</v>
      </c>
      <c r="AC295" s="10" t="s">
        <v>274</v>
      </c>
      <c r="AD295" s="10" t="s">
        <v>2792</v>
      </c>
      <c r="AE295" s="10" t="s">
        <v>2793</v>
      </c>
      <c r="AF295" s="15"/>
      <c r="AG295" s="10"/>
      <c r="AH295" s="10"/>
      <c r="AI295" s="10"/>
      <c r="AJ295" s="10"/>
      <c r="AK295" s="10"/>
      <c r="AL295" s="10" t="s">
        <v>2761</v>
      </c>
      <c r="AM295" s="10"/>
      <c r="AN295" s="10"/>
      <c r="AO295" s="13" t="b">
        <v>0</v>
      </c>
      <c r="AP295" s="10" t="s">
        <v>104</v>
      </c>
      <c r="AQ295" s="10"/>
      <c r="AR295" s="17"/>
      <c r="AS295" s="17"/>
      <c r="AT295" s="17"/>
      <c r="AU295" s="17"/>
      <c r="AV295" s="17"/>
      <c r="AW295" s="10"/>
      <c r="AX295" s="17"/>
      <c r="AY295" s="18" t="s">
        <v>257</v>
      </c>
      <c r="AZ295" s="10"/>
      <c r="BA295" s="20" t="b">
        <v>0</v>
      </c>
      <c r="BB295" s="10"/>
      <c r="BC295" s="17" t="s">
        <v>257</v>
      </c>
      <c r="BD295" s="17" t="s">
        <v>257</v>
      </c>
      <c r="BE295" s="17" t="s">
        <v>257</v>
      </c>
      <c r="BF295" s="17" t="s">
        <v>257</v>
      </c>
      <c r="BG295" s="11">
        <f ca="1">IFERROR(__xludf.DUMMYFUNCTION("""COMPUTED_VALUE"""),46081)</f>
        <v>46081</v>
      </c>
      <c r="BH295" s="17"/>
      <c r="BI295" s="17"/>
      <c r="BJ295" s="15"/>
      <c r="BK295" s="15"/>
      <c r="BL295" s="13" t="b">
        <v>0</v>
      </c>
      <c r="BM295" s="10"/>
      <c r="BN295" s="10" t="s">
        <v>223</v>
      </c>
      <c r="BO295" s="11">
        <v>45827.420937499999</v>
      </c>
      <c r="BP295" s="11">
        <v>45827.420937499999</v>
      </c>
      <c r="BQ295" s="15"/>
      <c r="BR295" s="15"/>
      <c r="BS295" s="10"/>
      <c r="BT295" s="10"/>
      <c r="BU295" s="10"/>
      <c r="BV295" s="10"/>
      <c r="BW295" s="10"/>
      <c r="BX295" s="10"/>
      <c r="BY295" s="23"/>
      <c r="BZ295" s="24" t="s">
        <v>299</v>
      </c>
      <c r="CA295" s="23"/>
      <c r="CB295" s="23"/>
      <c r="CC295" s="23"/>
      <c r="CD295" s="23"/>
      <c r="CE295" s="23"/>
      <c r="CF295" s="23"/>
      <c r="CG295" s="23"/>
      <c r="CH295" s="23"/>
      <c r="CI295" s="23"/>
    </row>
    <row r="296" spans="1:87" x14ac:dyDescent="0.3">
      <c r="A296" s="9" t="s">
        <v>2794</v>
      </c>
      <c r="B296" s="10" t="s">
        <v>2795</v>
      </c>
      <c r="C296" s="11">
        <v>46081</v>
      </c>
      <c r="D296" s="12">
        <v>8.3333333333333329E-2</v>
      </c>
      <c r="E296" s="11">
        <v>46081.083333333336</v>
      </c>
      <c r="F296" s="10" t="s">
        <v>262</v>
      </c>
      <c r="G296" s="13" t="b">
        <v>0</v>
      </c>
      <c r="H296" s="10"/>
      <c r="I296" s="10" t="s">
        <v>264</v>
      </c>
      <c r="J296" s="13" t="b">
        <v>0</v>
      </c>
      <c r="K296" s="13" t="b">
        <v>1</v>
      </c>
      <c r="L296" s="10" t="s">
        <v>124</v>
      </c>
      <c r="M296" s="10" t="s">
        <v>91</v>
      </c>
      <c r="N296" s="10" t="s">
        <v>92</v>
      </c>
      <c r="O296" s="10"/>
      <c r="P296" s="10"/>
      <c r="Q296" s="10"/>
      <c r="R296" s="10"/>
      <c r="S296" s="10"/>
      <c r="T296" s="10"/>
      <c r="U296" s="10" t="s">
        <v>333</v>
      </c>
      <c r="V296" s="10" t="s">
        <v>292</v>
      </c>
      <c r="W296" s="10" t="s">
        <v>272</v>
      </c>
      <c r="X296" s="10" t="s">
        <v>130</v>
      </c>
      <c r="Y296" s="10" t="s">
        <v>130</v>
      </c>
      <c r="Z296" s="10" t="s">
        <v>99</v>
      </c>
      <c r="AA296" s="10" t="s">
        <v>131</v>
      </c>
      <c r="AB296" s="10" t="s">
        <v>273</v>
      </c>
      <c r="AC296" s="10" t="s">
        <v>274</v>
      </c>
      <c r="AD296" s="10" t="s">
        <v>2796</v>
      </c>
      <c r="AE296" s="10" t="s">
        <v>2797</v>
      </c>
      <c r="AF296" s="15"/>
      <c r="AG296" s="10"/>
      <c r="AH296" s="10"/>
      <c r="AI296" s="10"/>
      <c r="AJ296" s="10"/>
      <c r="AK296" s="10"/>
      <c r="AL296" s="10" t="s">
        <v>2761</v>
      </c>
      <c r="AM296" s="10"/>
      <c r="AN296" s="10"/>
      <c r="AO296" s="13" t="b">
        <v>0</v>
      </c>
      <c r="AP296" s="10" t="s">
        <v>104</v>
      </c>
      <c r="AQ296" s="10"/>
      <c r="AR296" s="17"/>
      <c r="AS296" s="17"/>
      <c r="AT296" s="17"/>
      <c r="AU296" s="17"/>
      <c r="AV296" s="17"/>
      <c r="AW296" s="10"/>
      <c r="AX296" s="17"/>
      <c r="AY296" s="18" t="s">
        <v>257</v>
      </c>
      <c r="AZ296" s="10"/>
      <c r="BA296" s="20" t="b">
        <v>0</v>
      </c>
      <c r="BB296" s="10"/>
      <c r="BC296" s="17" t="s">
        <v>257</v>
      </c>
      <c r="BD296" s="17" t="s">
        <v>257</v>
      </c>
      <c r="BE296" s="17" t="s">
        <v>257</v>
      </c>
      <c r="BF296" s="17" t="s">
        <v>257</v>
      </c>
      <c r="BG296" s="11">
        <f ca="1">IFERROR(__xludf.DUMMYFUNCTION("""COMPUTED_VALUE"""),46081)</f>
        <v>46081</v>
      </c>
      <c r="BH296" s="17"/>
      <c r="BI296" s="17"/>
      <c r="BJ296" s="15"/>
      <c r="BK296" s="15"/>
      <c r="BL296" s="13" t="b">
        <v>0</v>
      </c>
      <c r="BM296" s="10"/>
      <c r="BN296" s="10" t="s">
        <v>223</v>
      </c>
      <c r="BO296" s="11">
        <v>45827.420937499999</v>
      </c>
      <c r="BP296" s="11">
        <v>45827.420937499999</v>
      </c>
      <c r="BQ296" s="15"/>
      <c r="BR296" s="15"/>
      <c r="BS296" s="10"/>
      <c r="BT296" s="10"/>
      <c r="BU296" s="10"/>
      <c r="BV296" s="10"/>
      <c r="BW296" s="10"/>
      <c r="BX296" s="10"/>
      <c r="BY296" s="23"/>
      <c r="BZ296" s="24" t="s">
        <v>299</v>
      </c>
      <c r="CA296" s="23"/>
      <c r="CB296" s="23"/>
      <c r="CC296" s="23"/>
      <c r="CD296" s="23"/>
      <c r="CE296" s="23"/>
      <c r="CF296" s="23"/>
      <c r="CG296" s="23"/>
      <c r="CH296" s="23"/>
      <c r="CI296" s="23"/>
    </row>
    <row r="297" spans="1:87" x14ac:dyDescent="0.3">
      <c r="A297" s="9" t="s">
        <v>2798</v>
      </c>
      <c r="B297" s="10" t="s">
        <v>2799</v>
      </c>
      <c r="C297" s="11">
        <v>46085</v>
      </c>
      <c r="D297" s="12">
        <v>8.3333333333333329E-2</v>
      </c>
      <c r="E297" s="11">
        <v>46085.083333333336</v>
      </c>
      <c r="F297" s="10" t="s">
        <v>262</v>
      </c>
      <c r="G297" s="13" t="b">
        <v>0</v>
      </c>
      <c r="H297" s="10"/>
      <c r="I297" s="10" t="s">
        <v>264</v>
      </c>
      <c r="J297" s="13" t="b">
        <v>0</v>
      </c>
      <c r="K297" s="13" t="b">
        <v>1</v>
      </c>
      <c r="L297" s="10" t="s">
        <v>124</v>
      </c>
      <c r="M297" s="10" t="s">
        <v>91</v>
      </c>
      <c r="N297" s="10" t="s">
        <v>92</v>
      </c>
      <c r="O297" s="10"/>
      <c r="P297" s="10"/>
      <c r="Q297" s="10"/>
      <c r="R297" s="10"/>
      <c r="S297" s="10"/>
      <c r="T297" s="10"/>
      <c r="U297" s="10" t="s">
        <v>271</v>
      </c>
      <c r="V297" s="10" t="s">
        <v>321</v>
      </c>
      <c r="W297" s="10" t="s">
        <v>272</v>
      </c>
      <c r="X297" s="10" t="s">
        <v>130</v>
      </c>
      <c r="Y297" s="10" t="s">
        <v>130</v>
      </c>
      <c r="Z297" s="10" t="s">
        <v>99</v>
      </c>
      <c r="AA297" s="10" t="s">
        <v>131</v>
      </c>
      <c r="AB297" s="10" t="s">
        <v>273</v>
      </c>
      <c r="AC297" s="10" t="s">
        <v>274</v>
      </c>
      <c r="AD297" s="10" t="s">
        <v>2800</v>
      </c>
      <c r="AE297" s="10" t="s">
        <v>2801</v>
      </c>
      <c r="AF297" s="15"/>
      <c r="AG297" s="10"/>
      <c r="AH297" s="10"/>
      <c r="AI297" s="10"/>
      <c r="AJ297" s="10"/>
      <c r="AK297" s="10"/>
      <c r="AL297" s="10" t="s">
        <v>2802</v>
      </c>
      <c r="AM297" s="10"/>
      <c r="AN297" s="10"/>
      <c r="AO297" s="13" t="b">
        <v>0</v>
      </c>
      <c r="AP297" s="10" t="s">
        <v>104</v>
      </c>
      <c r="AQ297" s="10"/>
      <c r="AR297" s="17"/>
      <c r="AS297" s="17"/>
      <c r="AT297" s="17"/>
      <c r="AU297" s="17"/>
      <c r="AV297" s="17"/>
      <c r="AW297" s="10"/>
      <c r="AX297" s="17"/>
      <c r="AY297" s="18" t="s">
        <v>257</v>
      </c>
      <c r="AZ297" s="10"/>
      <c r="BA297" s="20" t="b">
        <v>0</v>
      </c>
      <c r="BB297" s="10"/>
      <c r="BC297" s="17" t="s">
        <v>257</v>
      </c>
      <c r="BD297" s="17" t="s">
        <v>257</v>
      </c>
      <c r="BE297" s="17" t="s">
        <v>257</v>
      </c>
      <c r="BF297" s="17" t="s">
        <v>257</v>
      </c>
      <c r="BG297" s="11">
        <f ca="1">IFERROR(__xludf.DUMMYFUNCTION("""COMPUTED_VALUE"""),46085)</f>
        <v>46085</v>
      </c>
      <c r="BH297" s="17"/>
      <c r="BI297" s="17"/>
      <c r="BJ297" s="15"/>
      <c r="BK297" s="15"/>
      <c r="BL297" s="13" t="b">
        <v>0</v>
      </c>
      <c r="BM297" s="10"/>
      <c r="BN297" s="10" t="s">
        <v>223</v>
      </c>
      <c r="BO297" s="11">
        <v>45827.420937499999</v>
      </c>
      <c r="BP297" s="11">
        <v>45827.420937499999</v>
      </c>
      <c r="BQ297" s="15"/>
      <c r="BR297" s="15"/>
      <c r="BS297" s="10"/>
      <c r="BT297" s="10"/>
      <c r="BU297" s="10"/>
      <c r="BV297" s="10"/>
      <c r="BW297" s="10"/>
      <c r="BX297" s="10"/>
      <c r="BY297" s="23"/>
      <c r="BZ297" s="24" t="s">
        <v>299</v>
      </c>
      <c r="CA297" s="23"/>
      <c r="CB297" s="23"/>
      <c r="CC297" s="23"/>
      <c r="CD297" s="23"/>
      <c r="CE297" s="23"/>
      <c r="CF297" s="23"/>
      <c r="CG297" s="23"/>
      <c r="CH297" s="23"/>
      <c r="CI297" s="23"/>
    </row>
    <row r="298" spans="1:87" x14ac:dyDescent="0.3">
      <c r="A298" s="9" t="s">
        <v>2803</v>
      </c>
      <c r="B298" s="10" t="s">
        <v>2804</v>
      </c>
      <c r="C298" s="11">
        <v>46085</v>
      </c>
      <c r="D298" s="12">
        <v>8.3333333333333329E-2</v>
      </c>
      <c r="E298" s="11">
        <v>46085.083333333336</v>
      </c>
      <c r="F298" s="10" t="s">
        <v>262</v>
      </c>
      <c r="G298" s="13" t="b">
        <v>0</v>
      </c>
      <c r="H298" s="10"/>
      <c r="I298" s="10" t="s">
        <v>264</v>
      </c>
      <c r="J298" s="13" t="b">
        <v>0</v>
      </c>
      <c r="K298" s="13" t="b">
        <v>1</v>
      </c>
      <c r="L298" s="10" t="s">
        <v>124</v>
      </c>
      <c r="M298" s="10" t="s">
        <v>91</v>
      </c>
      <c r="N298" s="10" t="s">
        <v>92</v>
      </c>
      <c r="O298" s="10"/>
      <c r="P298" s="10"/>
      <c r="Q298" s="10"/>
      <c r="R298" s="10"/>
      <c r="S298" s="10"/>
      <c r="T298" s="10"/>
      <c r="U298" s="10" t="s">
        <v>292</v>
      </c>
      <c r="V298" s="10" t="s">
        <v>346</v>
      </c>
      <c r="W298" s="10" t="s">
        <v>272</v>
      </c>
      <c r="X298" s="10" t="s">
        <v>130</v>
      </c>
      <c r="Y298" s="10" t="s">
        <v>130</v>
      </c>
      <c r="Z298" s="10" t="s">
        <v>99</v>
      </c>
      <c r="AA298" s="10" t="s">
        <v>131</v>
      </c>
      <c r="AB298" s="10" t="s">
        <v>273</v>
      </c>
      <c r="AC298" s="10" t="s">
        <v>274</v>
      </c>
      <c r="AD298" s="10" t="s">
        <v>2805</v>
      </c>
      <c r="AE298" s="10" t="s">
        <v>2806</v>
      </c>
      <c r="AF298" s="15"/>
      <c r="AG298" s="10"/>
      <c r="AH298" s="10"/>
      <c r="AI298" s="10"/>
      <c r="AJ298" s="10"/>
      <c r="AK298" s="10"/>
      <c r="AL298" s="10" t="s">
        <v>2802</v>
      </c>
      <c r="AM298" s="10"/>
      <c r="AN298" s="10"/>
      <c r="AO298" s="13" t="b">
        <v>1</v>
      </c>
      <c r="AP298" s="10" t="s">
        <v>104</v>
      </c>
      <c r="AQ298" s="10"/>
      <c r="AR298" s="17"/>
      <c r="AS298" s="17"/>
      <c r="AT298" s="17"/>
      <c r="AU298" s="17"/>
      <c r="AV298" s="17"/>
      <c r="AW298" s="10"/>
      <c r="AX298" s="17"/>
      <c r="AY298" s="18" t="s">
        <v>257</v>
      </c>
      <c r="AZ298" s="10"/>
      <c r="BA298" s="20" t="b">
        <v>0</v>
      </c>
      <c r="BB298" s="10"/>
      <c r="BC298" s="17" t="s">
        <v>257</v>
      </c>
      <c r="BD298" s="17" t="s">
        <v>257</v>
      </c>
      <c r="BE298" s="17" t="s">
        <v>257</v>
      </c>
      <c r="BF298" s="17" t="s">
        <v>257</v>
      </c>
      <c r="BG298" s="11">
        <f ca="1">IFERROR(__xludf.DUMMYFUNCTION("""COMPUTED_VALUE"""),46085)</f>
        <v>46085</v>
      </c>
      <c r="BH298" s="17"/>
      <c r="BI298" s="17"/>
      <c r="BJ298" s="15"/>
      <c r="BK298" s="15"/>
      <c r="BL298" s="13" t="b">
        <v>0</v>
      </c>
      <c r="BM298" s="10"/>
      <c r="BN298" s="10" t="s">
        <v>223</v>
      </c>
      <c r="BO298" s="11">
        <v>45827.420937499999</v>
      </c>
      <c r="BP298" s="11">
        <v>45827.420937499999</v>
      </c>
      <c r="BQ298" s="15"/>
      <c r="BR298" s="15"/>
      <c r="BS298" s="10"/>
      <c r="BT298" s="10"/>
      <c r="BU298" s="10"/>
      <c r="BV298" s="10"/>
      <c r="BW298" s="10"/>
      <c r="BX298" s="10"/>
      <c r="BY298" s="23"/>
      <c r="BZ298" s="24" t="s">
        <v>284</v>
      </c>
      <c r="CA298" s="23"/>
      <c r="CB298" s="23"/>
      <c r="CC298" s="23"/>
      <c r="CD298" s="23"/>
      <c r="CE298" s="23"/>
      <c r="CF298" s="23"/>
      <c r="CG298" s="23"/>
      <c r="CH298" s="23"/>
      <c r="CI298" s="23"/>
    </row>
    <row r="299" spans="1:87" x14ac:dyDescent="0.3">
      <c r="A299" s="9" t="s">
        <v>2807</v>
      </c>
      <c r="B299" s="10" t="s">
        <v>2808</v>
      </c>
      <c r="C299" s="11">
        <v>46085</v>
      </c>
      <c r="D299" s="12">
        <v>8.3333333333333329E-2</v>
      </c>
      <c r="E299" s="11">
        <v>46085.083333333336</v>
      </c>
      <c r="F299" s="10" t="s">
        <v>262</v>
      </c>
      <c r="G299" s="13" t="b">
        <v>0</v>
      </c>
      <c r="H299" s="10"/>
      <c r="I299" s="10" t="s">
        <v>264</v>
      </c>
      <c r="J299" s="13" t="b">
        <v>0</v>
      </c>
      <c r="K299" s="13" t="b">
        <v>1</v>
      </c>
      <c r="L299" s="10" t="s">
        <v>124</v>
      </c>
      <c r="M299" s="10" t="s">
        <v>91</v>
      </c>
      <c r="N299" s="10" t="s">
        <v>92</v>
      </c>
      <c r="O299" s="10"/>
      <c r="P299" s="10"/>
      <c r="Q299" s="10"/>
      <c r="R299" s="10"/>
      <c r="S299" s="10"/>
      <c r="T299" s="10"/>
      <c r="U299" s="10" t="s">
        <v>308</v>
      </c>
      <c r="V299" s="10" t="s">
        <v>362</v>
      </c>
      <c r="W299" s="10" t="s">
        <v>272</v>
      </c>
      <c r="X299" s="10" t="s">
        <v>130</v>
      </c>
      <c r="Y299" s="10" t="s">
        <v>130</v>
      </c>
      <c r="Z299" s="10" t="s">
        <v>99</v>
      </c>
      <c r="AA299" s="10" t="s">
        <v>131</v>
      </c>
      <c r="AB299" s="10" t="s">
        <v>273</v>
      </c>
      <c r="AC299" s="10" t="s">
        <v>274</v>
      </c>
      <c r="AD299" s="10" t="s">
        <v>2809</v>
      </c>
      <c r="AE299" s="10" t="s">
        <v>2810</v>
      </c>
      <c r="AF299" s="15"/>
      <c r="AG299" s="10"/>
      <c r="AH299" s="10"/>
      <c r="AI299" s="10"/>
      <c r="AJ299" s="10"/>
      <c r="AK299" s="10"/>
      <c r="AL299" s="10" t="s">
        <v>2802</v>
      </c>
      <c r="AM299" s="10"/>
      <c r="AN299" s="10"/>
      <c r="AO299" s="13" t="b">
        <v>1</v>
      </c>
      <c r="AP299" s="10" t="s">
        <v>104</v>
      </c>
      <c r="AQ299" s="10"/>
      <c r="AR299" s="17"/>
      <c r="AS299" s="17"/>
      <c r="AT299" s="17"/>
      <c r="AU299" s="17"/>
      <c r="AV299" s="17"/>
      <c r="AW299" s="10"/>
      <c r="AX299" s="17"/>
      <c r="AY299" s="18" t="s">
        <v>257</v>
      </c>
      <c r="AZ299" s="10"/>
      <c r="BA299" s="20" t="b">
        <v>0</v>
      </c>
      <c r="BB299" s="10"/>
      <c r="BC299" s="17" t="s">
        <v>257</v>
      </c>
      <c r="BD299" s="17" t="s">
        <v>257</v>
      </c>
      <c r="BE299" s="17" t="s">
        <v>257</v>
      </c>
      <c r="BF299" s="17" t="s">
        <v>257</v>
      </c>
      <c r="BG299" s="11">
        <f ca="1">IFERROR(__xludf.DUMMYFUNCTION("""COMPUTED_VALUE"""),46085)</f>
        <v>46085</v>
      </c>
      <c r="BH299" s="17"/>
      <c r="BI299" s="17"/>
      <c r="BJ299" s="15"/>
      <c r="BK299" s="15"/>
      <c r="BL299" s="13" t="b">
        <v>0</v>
      </c>
      <c r="BM299" s="10"/>
      <c r="BN299" s="10" t="s">
        <v>223</v>
      </c>
      <c r="BO299" s="11">
        <v>45827.420937499999</v>
      </c>
      <c r="BP299" s="11">
        <v>45827.420937499999</v>
      </c>
      <c r="BQ299" s="15"/>
      <c r="BR299" s="15"/>
      <c r="BS299" s="10"/>
      <c r="BT299" s="10"/>
      <c r="BU299" s="10"/>
      <c r="BV299" s="10"/>
      <c r="BW299" s="10"/>
      <c r="BX299" s="10"/>
      <c r="BY299" s="23"/>
      <c r="BZ299" s="24" t="s">
        <v>284</v>
      </c>
      <c r="CA299" s="23"/>
      <c r="CB299" s="23"/>
      <c r="CC299" s="23"/>
      <c r="CD299" s="23"/>
      <c r="CE299" s="23"/>
      <c r="CF299" s="23"/>
      <c r="CG299" s="23"/>
      <c r="CH299" s="23"/>
      <c r="CI299" s="23"/>
    </row>
    <row r="300" spans="1:87" x14ac:dyDescent="0.3">
      <c r="A300" s="9" t="s">
        <v>2811</v>
      </c>
      <c r="B300" s="10" t="s">
        <v>2812</v>
      </c>
      <c r="C300" s="11">
        <v>46085</v>
      </c>
      <c r="D300" s="12">
        <v>8.3333333333333329E-2</v>
      </c>
      <c r="E300" s="11">
        <v>46085.083333333336</v>
      </c>
      <c r="F300" s="10" t="s">
        <v>262</v>
      </c>
      <c r="G300" s="13" t="b">
        <v>0</v>
      </c>
      <c r="H300" s="10"/>
      <c r="I300" s="10" t="s">
        <v>264</v>
      </c>
      <c r="J300" s="13" t="b">
        <v>0</v>
      </c>
      <c r="K300" s="13" t="b">
        <v>1</v>
      </c>
      <c r="L300" s="10" t="s">
        <v>124</v>
      </c>
      <c r="M300" s="10" t="s">
        <v>91</v>
      </c>
      <c r="N300" s="10" t="s">
        <v>92</v>
      </c>
      <c r="O300" s="10"/>
      <c r="P300" s="10"/>
      <c r="Q300" s="10"/>
      <c r="R300" s="10"/>
      <c r="S300" s="10"/>
      <c r="T300" s="10"/>
      <c r="U300" s="10" t="s">
        <v>407</v>
      </c>
      <c r="V300" s="10" t="s">
        <v>609</v>
      </c>
      <c r="W300" s="10" t="s">
        <v>272</v>
      </c>
      <c r="X300" s="10" t="s">
        <v>130</v>
      </c>
      <c r="Y300" s="10" t="s">
        <v>130</v>
      </c>
      <c r="Z300" s="10" t="s">
        <v>99</v>
      </c>
      <c r="AA300" s="10" t="s">
        <v>131</v>
      </c>
      <c r="AB300" s="10" t="s">
        <v>273</v>
      </c>
      <c r="AC300" s="10" t="s">
        <v>274</v>
      </c>
      <c r="AD300" s="10" t="s">
        <v>2813</v>
      </c>
      <c r="AE300" s="10" t="s">
        <v>2814</v>
      </c>
      <c r="AF300" s="15"/>
      <c r="AG300" s="10"/>
      <c r="AH300" s="10"/>
      <c r="AI300" s="10"/>
      <c r="AJ300" s="10"/>
      <c r="AK300" s="10"/>
      <c r="AL300" s="10" t="s">
        <v>2802</v>
      </c>
      <c r="AM300" s="10"/>
      <c r="AN300" s="10"/>
      <c r="AO300" s="13" t="b">
        <v>0</v>
      </c>
      <c r="AP300" s="10" t="s">
        <v>104</v>
      </c>
      <c r="AQ300" s="10"/>
      <c r="AR300" s="17"/>
      <c r="AS300" s="17"/>
      <c r="AT300" s="17"/>
      <c r="AU300" s="17"/>
      <c r="AV300" s="17"/>
      <c r="AW300" s="10"/>
      <c r="AX300" s="17"/>
      <c r="AY300" s="18" t="s">
        <v>257</v>
      </c>
      <c r="AZ300" s="10"/>
      <c r="BA300" s="20" t="b">
        <v>0</v>
      </c>
      <c r="BB300" s="10"/>
      <c r="BC300" s="17" t="s">
        <v>257</v>
      </c>
      <c r="BD300" s="17" t="s">
        <v>257</v>
      </c>
      <c r="BE300" s="17" t="s">
        <v>257</v>
      </c>
      <c r="BF300" s="17" t="s">
        <v>257</v>
      </c>
      <c r="BG300" s="11">
        <f ca="1">IFERROR(__xludf.DUMMYFUNCTION("""COMPUTED_VALUE"""),46085)</f>
        <v>46085</v>
      </c>
      <c r="BH300" s="17"/>
      <c r="BI300" s="17"/>
      <c r="BJ300" s="15"/>
      <c r="BK300" s="15"/>
      <c r="BL300" s="13" t="b">
        <v>0</v>
      </c>
      <c r="BM300" s="10"/>
      <c r="BN300" s="10" t="s">
        <v>223</v>
      </c>
      <c r="BO300" s="11">
        <v>45827.420937499999</v>
      </c>
      <c r="BP300" s="11">
        <v>45827.420937499999</v>
      </c>
      <c r="BQ300" s="15"/>
      <c r="BR300" s="15"/>
      <c r="BS300" s="10"/>
      <c r="BT300" s="10"/>
      <c r="BU300" s="10"/>
      <c r="BV300" s="10"/>
      <c r="BW300" s="10"/>
      <c r="BX300" s="10"/>
      <c r="BY300" s="23"/>
      <c r="BZ300" s="24" t="s">
        <v>299</v>
      </c>
      <c r="CA300" s="23"/>
      <c r="CB300" s="23"/>
      <c r="CC300" s="23"/>
      <c r="CD300" s="23"/>
      <c r="CE300" s="23"/>
      <c r="CF300" s="23"/>
      <c r="CG300" s="23"/>
      <c r="CH300" s="23"/>
      <c r="CI300" s="23"/>
    </row>
    <row r="301" spans="1:87" x14ac:dyDescent="0.3">
      <c r="A301" s="9" t="s">
        <v>2815</v>
      </c>
      <c r="B301" s="10" t="s">
        <v>2816</v>
      </c>
      <c r="C301" s="11">
        <v>46085</v>
      </c>
      <c r="D301" s="12">
        <v>8.3333333333333329E-2</v>
      </c>
      <c r="E301" s="11">
        <v>46085.083333333336</v>
      </c>
      <c r="F301" s="10" t="s">
        <v>262</v>
      </c>
      <c r="G301" s="13" t="b">
        <v>0</v>
      </c>
      <c r="H301" s="10"/>
      <c r="I301" s="10" t="s">
        <v>264</v>
      </c>
      <c r="J301" s="13" t="b">
        <v>0</v>
      </c>
      <c r="K301" s="13" t="b">
        <v>1</v>
      </c>
      <c r="L301" s="10" t="s">
        <v>124</v>
      </c>
      <c r="M301" s="10" t="s">
        <v>91</v>
      </c>
      <c r="N301" s="10" t="s">
        <v>92</v>
      </c>
      <c r="O301" s="10"/>
      <c r="P301" s="10"/>
      <c r="Q301" s="10"/>
      <c r="R301" s="10"/>
      <c r="S301" s="10"/>
      <c r="T301" s="10"/>
      <c r="U301" s="10" t="s">
        <v>309</v>
      </c>
      <c r="V301" s="10" t="s">
        <v>451</v>
      </c>
      <c r="W301" s="10" t="s">
        <v>272</v>
      </c>
      <c r="X301" s="10" t="s">
        <v>130</v>
      </c>
      <c r="Y301" s="10" t="s">
        <v>130</v>
      </c>
      <c r="Z301" s="10" t="s">
        <v>99</v>
      </c>
      <c r="AA301" s="10" t="s">
        <v>131</v>
      </c>
      <c r="AB301" s="10" t="s">
        <v>273</v>
      </c>
      <c r="AC301" s="10" t="s">
        <v>274</v>
      </c>
      <c r="AD301" s="10" t="s">
        <v>2817</v>
      </c>
      <c r="AE301" s="10" t="s">
        <v>2818</v>
      </c>
      <c r="AF301" s="15"/>
      <c r="AG301" s="10"/>
      <c r="AH301" s="10"/>
      <c r="AI301" s="10"/>
      <c r="AJ301" s="10"/>
      <c r="AK301" s="10"/>
      <c r="AL301" s="10" t="s">
        <v>2802</v>
      </c>
      <c r="AM301" s="10"/>
      <c r="AN301" s="10"/>
      <c r="AO301" s="13" t="b">
        <v>0</v>
      </c>
      <c r="AP301" s="10" t="s">
        <v>104</v>
      </c>
      <c r="AQ301" s="10"/>
      <c r="AR301" s="17"/>
      <c r="AS301" s="17"/>
      <c r="AT301" s="17"/>
      <c r="AU301" s="17"/>
      <c r="AV301" s="17"/>
      <c r="AW301" s="10"/>
      <c r="AX301" s="17"/>
      <c r="AY301" s="18" t="s">
        <v>257</v>
      </c>
      <c r="AZ301" s="10"/>
      <c r="BA301" s="20" t="b">
        <v>0</v>
      </c>
      <c r="BB301" s="10"/>
      <c r="BC301" s="17" t="s">
        <v>257</v>
      </c>
      <c r="BD301" s="17" t="s">
        <v>257</v>
      </c>
      <c r="BE301" s="17" t="s">
        <v>257</v>
      </c>
      <c r="BF301" s="17" t="s">
        <v>257</v>
      </c>
      <c r="BG301" s="11">
        <f ca="1">IFERROR(__xludf.DUMMYFUNCTION("""COMPUTED_VALUE"""),46085)</f>
        <v>46085</v>
      </c>
      <c r="BH301" s="17"/>
      <c r="BI301" s="17"/>
      <c r="BJ301" s="15"/>
      <c r="BK301" s="15"/>
      <c r="BL301" s="13" t="b">
        <v>0</v>
      </c>
      <c r="BM301" s="10"/>
      <c r="BN301" s="10" t="s">
        <v>223</v>
      </c>
      <c r="BO301" s="11">
        <v>45827.420937499999</v>
      </c>
      <c r="BP301" s="11">
        <v>45827.420937499999</v>
      </c>
      <c r="BQ301" s="15"/>
      <c r="BR301" s="15"/>
      <c r="BS301" s="10"/>
      <c r="BT301" s="10"/>
      <c r="BU301" s="10"/>
      <c r="BV301" s="10"/>
      <c r="BW301" s="10"/>
      <c r="BX301" s="10"/>
      <c r="BY301" s="23"/>
      <c r="BZ301" s="24" t="s">
        <v>299</v>
      </c>
      <c r="CA301" s="23"/>
      <c r="CB301" s="23"/>
      <c r="CC301" s="23"/>
      <c r="CD301" s="23"/>
      <c r="CE301" s="23"/>
      <c r="CF301" s="23"/>
      <c r="CG301" s="23"/>
      <c r="CH301" s="23"/>
      <c r="CI301" s="23"/>
    </row>
    <row r="302" spans="1:87" x14ac:dyDescent="0.3">
      <c r="A302" s="9" t="s">
        <v>2819</v>
      </c>
      <c r="B302" s="10" t="s">
        <v>2820</v>
      </c>
      <c r="C302" s="11">
        <v>46085</v>
      </c>
      <c r="D302" s="12">
        <v>8.3333333333333329E-2</v>
      </c>
      <c r="E302" s="11">
        <v>46085.083333333336</v>
      </c>
      <c r="F302" s="10" t="s">
        <v>262</v>
      </c>
      <c r="G302" s="13" t="b">
        <v>0</v>
      </c>
      <c r="H302" s="10"/>
      <c r="I302" s="10" t="s">
        <v>264</v>
      </c>
      <c r="J302" s="13" t="b">
        <v>0</v>
      </c>
      <c r="K302" s="13" t="b">
        <v>1</v>
      </c>
      <c r="L302" s="10" t="s">
        <v>124</v>
      </c>
      <c r="M302" s="10" t="s">
        <v>91</v>
      </c>
      <c r="N302" s="10" t="s">
        <v>92</v>
      </c>
      <c r="O302" s="10"/>
      <c r="P302" s="10"/>
      <c r="Q302" s="10"/>
      <c r="R302" s="10"/>
      <c r="S302" s="10"/>
      <c r="T302" s="10"/>
      <c r="U302" s="10" t="s">
        <v>663</v>
      </c>
      <c r="V302" s="10" t="s">
        <v>588</v>
      </c>
      <c r="W302" s="10" t="s">
        <v>272</v>
      </c>
      <c r="X302" s="10" t="s">
        <v>130</v>
      </c>
      <c r="Y302" s="10" t="s">
        <v>130</v>
      </c>
      <c r="Z302" s="10" t="s">
        <v>99</v>
      </c>
      <c r="AA302" s="10" t="s">
        <v>131</v>
      </c>
      <c r="AB302" s="10" t="s">
        <v>273</v>
      </c>
      <c r="AC302" s="10" t="s">
        <v>274</v>
      </c>
      <c r="AD302" s="10" t="s">
        <v>2821</v>
      </c>
      <c r="AE302" s="10" t="s">
        <v>2822</v>
      </c>
      <c r="AF302" s="15"/>
      <c r="AG302" s="10"/>
      <c r="AH302" s="10"/>
      <c r="AI302" s="10"/>
      <c r="AJ302" s="10"/>
      <c r="AK302" s="10"/>
      <c r="AL302" s="10" t="s">
        <v>2802</v>
      </c>
      <c r="AM302" s="10"/>
      <c r="AN302" s="10"/>
      <c r="AO302" s="13" t="b">
        <v>0</v>
      </c>
      <c r="AP302" s="10" t="s">
        <v>104</v>
      </c>
      <c r="AQ302" s="10"/>
      <c r="AR302" s="17"/>
      <c r="AS302" s="17"/>
      <c r="AT302" s="17"/>
      <c r="AU302" s="17"/>
      <c r="AV302" s="17"/>
      <c r="AW302" s="10"/>
      <c r="AX302" s="17"/>
      <c r="AY302" s="18" t="s">
        <v>257</v>
      </c>
      <c r="AZ302" s="10"/>
      <c r="BA302" s="20" t="b">
        <v>0</v>
      </c>
      <c r="BB302" s="10"/>
      <c r="BC302" s="17" t="s">
        <v>257</v>
      </c>
      <c r="BD302" s="17" t="s">
        <v>257</v>
      </c>
      <c r="BE302" s="17" t="s">
        <v>257</v>
      </c>
      <c r="BF302" s="17" t="s">
        <v>257</v>
      </c>
      <c r="BG302" s="11">
        <f ca="1">IFERROR(__xludf.DUMMYFUNCTION("""COMPUTED_VALUE"""),46085)</f>
        <v>46085</v>
      </c>
      <c r="BH302" s="17"/>
      <c r="BI302" s="17"/>
      <c r="BJ302" s="15"/>
      <c r="BK302" s="15"/>
      <c r="BL302" s="13" t="b">
        <v>0</v>
      </c>
      <c r="BM302" s="10"/>
      <c r="BN302" s="10" t="s">
        <v>223</v>
      </c>
      <c r="BO302" s="11">
        <v>45827.420937499999</v>
      </c>
      <c r="BP302" s="11">
        <v>45827.420937499999</v>
      </c>
      <c r="BQ302" s="15"/>
      <c r="BR302" s="15"/>
      <c r="BS302" s="10"/>
      <c r="BT302" s="10"/>
      <c r="BU302" s="10"/>
      <c r="BV302" s="10"/>
      <c r="BW302" s="10"/>
      <c r="BX302" s="10"/>
      <c r="BY302" s="23"/>
      <c r="BZ302" s="24" t="s">
        <v>299</v>
      </c>
      <c r="CA302" s="23"/>
      <c r="CB302" s="23"/>
      <c r="CC302" s="23"/>
      <c r="CD302" s="23"/>
      <c r="CE302" s="23"/>
      <c r="CF302" s="23"/>
      <c r="CG302" s="23"/>
      <c r="CH302" s="23"/>
      <c r="CI302" s="23"/>
    </row>
    <row r="303" spans="1:87" x14ac:dyDescent="0.3">
      <c r="A303" s="9" t="s">
        <v>2823</v>
      </c>
      <c r="B303" s="10" t="s">
        <v>2824</v>
      </c>
      <c r="C303" s="11">
        <v>46085</v>
      </c>
      <c r="D303" s="12">
        <v>8.3333333333333329E-2</v>
      </c>
      <c r="E303" s="11">
        <v>46085.083333333336</v>
      </c>
      <c r="F303" s="10" t="s">
        <v>262</v>
      </c>
      <c r="G303" s="13" t="b">
        <v>0</v>
      </c>
      <c r="H303" s="10"/>
      <c r="I303" s="10" t="s">
        <v>264</v>
      </c>
      <c r="J303" s="13" t="b">
        <v>0</v>
      </c>
      <c r="K303" s="13" t="b">
        <v>1</v>
      </c>
      <c r="L303" s="10" t="s">
        <v>124</v>
      </c>
      <c r="M303" s="10" t="s">
        <v>91</v>
      </c>
      <c r="N303" s="10" t="s">
        <v>92</v>
      </c>
      <c r="O303" s="10"/>
      <c r="P303" s="10"/>
      <c r="Q303" s="10"/>
      <c r="R303" s="10"/>
      <c r="S303" s="10"/>
      <c r="T303" s="10"/>
      <c r="U303" s="10" t="s">
        <v>334</v>
      </c>
      <c r="V303" s="10" t="s">
        <v>320</v>
      </c>
      <c r="W303" s="10" t="s">
        <v>272</v>
      </c>
      <c r="X303" s="10" t="s">
        <v>130</v>
      </c>
      <c r="Y303" s="10" t="s">
        <v>130</v>
      </c>
      <c r="Z303" s="10" t="s">
        <v>99</v>
      </c>
      <c r="AA303" s="10" t="s">
        <v>131</v>
      </c>
      <c r="AB303" s="10" t="s">
        <v>273</v>
      </c>
      <c r="AC303" s="10" t="s">
        <v>274</v>
      </c>
      <c r="AD303" s="10" t="s">
        <v>2825</v>
      </c>
      <c r="AE303" s="10" t="s">
        <v>2826</v>
      </c>
      <c r="AF303" s="15"/>
      <c r="AG303" s="10"/>
      <c r="AH303" s="10"/>
      <c r="AI303" s="10"/>
      <c r="AJ303" s="10"/>
      <c r="AK303" s="10"/>
      <c r="AL303" s="10" t="s">
        <v>2802</v>
      </c>
      <c r="AM303" s="10"/>
      <c r="AN303" s="10"/>
      <c r="AO303" s="13" t="b">
        <v>1</v>
      </c>
      <c r="AP303" s="10" t="s">
        <v>104</v>
      </c>
      <c r="AQ303" s="10"/>
      <c r="AR303" s="17"/>
      <c r="AS303" s="17"/>
      <c r="AT303" s="17"/>
      <c r="AU303" s="17"/>
      <c r="AV303" s="17"/>
      <c r="AW303" s="10"/>
      <c r="AX303" s="17"/>
      <c r="AY303" s="18" t="s">
        <v>257</v>
      </c>
      <c r="AZ303" s="10"/>
      <c r="BA303" s="20" t="b">
        <v>0</v>
      </c>
      <c r="BB303" s="10"/>
      <c r="BC303" s="17" t="s">
        <v>257</v>
      </c>
      <c r="BD303" s="17" t="s">
        <v>257</v>
      </c>
      <c r="BE303" s="17" t="s">
        <v>257</v>
      </c>
      <c r="BF303" s="17" t="s">
        <v>257</v>
      </c>
      <c r="BG303" s="11">
        <f ca="1">IFERROR(__xludf.DUMMYFUNCTION("""COMPUTED_VALUE"""),46085)</f>
        <v>46085</v>
      </c>
      <c r="BH303" s="17"/>
      <c r="BI303" s="17"/>
      <c r="BJ303" s="15"/>
      <c r="BK303" s="15"/>
      <c r="BL303" s="13" t="b">
        <v>0</v>
      </c>
      <c r="BM303" s="10"/>
      <c r="BN303" s="10" t="s">
        <v>223</v>
      </c>
      <c r="BO303" s="11">
        <v>45827.420937499999</v>
      </c>
      <c r="BP303" s="11">
        <v>45827.420937499999</v>
      </c>
      <c r="BQ303" s="15"/>
      <c r="BR303" s="15"/>
      <c r="BS303" s="10"/>
      <c r="BT303" s="10"/>
      <c r="BU303" s="10"/>
      <c r="BV303" s="10"/>
      <c r="BW303" s="10"/>
      <c r="BX303" s="10"/>
      <c r="BY303" s="23"/>
      <c r="BZ303" s="24" t="s">
        <v>284</v>
      </c>
      <c r="CA303" s="23"/>
      <c r="CB303" s="23"/>
      <c r="CC303" s="23"/>
      <c r="CD303" s="23"/>
      <c r="CE303" s="23"/>
      <c r="CF303" s="23"/>
      <c r="CG303" s="23"/>
      <c r="CH303" s="23"/>
      <c r="CI303" s="23"/>
    </row>
    <row r="304" spans="1:87" x14ac:dyDescent="0.3">
      <c r="A304" s="9" t="s">
        <v>2827</v>
      </c>
      <c r="B304" s="10" t="s">
        <v>2828</v>
      </c>
      <c r="C304" s="11">
        <v>46085</v>
      </c>
      <c r="D304" s="12">
        <v>8.3333333333333329E-2</v>
      </c>
      <c r="E304" s="11">
        <v>46085.083333333336</v>
      </c>
      <c r="F304" s="10" t="s">
        <v>262</v>
      </c>
      <c r="G304" s="13" t="b">
        <v>0</v>
      </c>
      <c r="H304" s="10"/>
      <c r="I304" s="10" t="s">
        <v>264</v>
      </c>
      <c r="J304" s="13" t="b">
        <v>0</v>
      </c>
      <c r="K304" s="13" t="b">
        <v>1</v>
      </c>
      <c r="L304" s="10" t="s">
        <v>124</v>
      </c>
      <c r="M304" s="10" t="s">
        <v>91</v>
      </c>
      <c r="N304" s="10" t="s">
        <v>92</v>
      </c>
      <c r="O304" s="10"/>
      <c r="P304" s="10"/>
      <c r="Q304" s="10"/>
      <c r="R304" s="10"/>
      <c r="S304" s="10"/>
      <c r="T304" s="10"/>
      <c r="U304" s="10" t="s">
        <v>293</v>
      </c>
      <c r="V304" s="10" t="s">
        <v>361</v>
      </c>
      <c r="W304" s="10" t="s">
        <v>272</v>
      </c>
      <c r="X304" s="10" t="s">
        <v>130</v>
      </c>
      <c r="Y304" s="10" t="s">
        <v>130</v>
      </c>
      <c r="Z304" s="10" t="s">
        <v>99</v>
      </c>
      <c r="AA304" s="10" t="s">
        <v>131</v>
      </c>
      <c r="AB304" s="10" t="s">
        <v>273</v>
      </c>
      <c r="AC304" s="10" t="s">
        <v>274</v>
      </c>
      <c r="AD304" s="10" t="s">
        <v>2829</v>
      </c>
      <c r="AE304" s="10" t="s">
        <v>2830</v>
      </c>
      <c r="AF304" s="15"/>
      <c r="AG304" s="10"/>
      <c r="AH304" s="10"/>
      <c r="AI304" s="10"/>
      <c r="AJ304" s="10"/>
      <c r="AK304" s="10"/>
      <c r="AL304" s="10" t="s">
        <v>2802</v>
      </c>
      <c r="AM304" s="10"/>
      <c r="AN304" s="10"/>
      <c r="AO304" s="13" t="b">
        <v>1</v>
      </c>
      <c r="AP304" s="10" t="s">
        <v>104</v>
      </c>
      <c r="AQ304" s="10"/>
      <c r="AR304" s="17"/>
      <c r="AS304" s="17"/>
      <c r="AT304" s="17"/>
      <c r="AU304" s="17"/>
      <c r="AV304" s="17"/>
      <c r="AW304" s="10"/>
      <c r="AX304" s="17"/>
      <c r="AY304" s="18" t="s">
        <v>257</v>
      </c>
      <c r="AZ304" s="10"/>
      <c r="BA304" s="20" t="b">
        <v>0</v>
      </c>
      <c r="BB304" s="10"/>
      <c r="BC304" s="17" t="s">
        <v>257</v>
      </c>
      <c r="BD304" s="17" t="s">
        <v>257</v>
      </c>
      <c r="BE304" s="17" t="s">
        <v>257</v>
      </c>
      <c r="BF304" s="17" t="s">
        <v>257</v>
      </c>
      <c r="BG304" s="11">
        <f ca="1">IFERROR(__xludf.DUMMYFUNCTION("""COMPUTED_VALUE"""),46085)</f>
        <v>46085</v>
      </c>
      <c r="BH304" s="17"/>
      <c r="BI304" s="17"/>
      <c r="BJ304" s="15"/>
      <c r="BK304" s="15"/>
      <c r="BL304" s="13" t="b">
        <v>0</v>
      </c>
      <c r="BM304" s="10"/>
      <c r="BN304" s="10" t="s">
        <v>223</v>
      </c>
      <c r="BO304" s="11">
        <v>45827.420937499999</v>
      </c>
      <c r="BP304" s="11">
        <v>45827.420937499999</v>
      </c>
      <c r="BQ304" s="15"/>
      <c r="BR304" s="15"/>
      <c r="BS304" s="10"/>
      <c r="BT304" s="10"/>
      <c r="BU304" s="10"/>
      <c r="BV304" s="10"/>
      <c r="BW304" s="10"/>
      <c r="BX304" s="10"/>
      <c r="BY304" s="23"/>
      <c r="BZ304" s="24" t="s">
        <v>284</v>
      </c>
      <c r="CA304" s="23"/>
      <c r="CB304" s="23"/>
      <c r="CC304" s="23"/>
      <c r="CD304" s="23"/>
      <c r="CE304" s="23"/>
      <c r="CF304" s="23"/>
      <c r="CG304" s="23"/>
      <c r="CH304" s="23"/>
      <c r="CI304" s="23"/>
    </row>
    <row r="305" spans="1:87" x14ac:dyDescent="0.3">
      <c r="A305" s="9" t="s">
        <v>2831</v>
      </c>
      <c r="B305" s="10" t="s">
        <v>2832</v>
      </c>
      <c r="C305" s="11">
        <v>46085</v>
      </c>
      <c r="D305" s="12">
        <v>8.3333333333333329E-2</v>
      </c>
      <c r="E305" s="11">
        <v>46085.083333333336</v>
      </c>
      <c r="F305" s="10" t="s">
        <v>262</v>
      </c>
      <c r="G305" s="13" t="b">
        <v>0</v>
      </c>
      <c r="H305" s="10"/>
      <c r="I305" s="10" t="s">
        <v>264</v>
      </c>
      <c r="J305" s="13" t="b">
        <v>0</v>
      </c>
      <c r="K305" s="13" t="b">
        <v>1</v>
      </c>
      <c r="L305" s="10" t="s">
        <v>124</v>
      </c>
      <c r="M305" s="10" t="s">
        <v>91</v>
      </c>
      <c r="N305" s="10" t="s">
        <v>92</v>
      </c>
      <c r="O305" s="10"/>
      <c r="P305" s="10"/>
      <c r="Q305" s="10"/>
      <c r="R305" s="10"/>
      <c r="S305" s="10"/>
      <c r="T305" s="10"/>
      <c r="U305" s="10" t="s">
        <v>429</v>
      </c>
      <c r="V305" s="10" t="s">
        <v>347</v>
      </c>
      <c r="W305" s="10" t="s">
        <v>272</v>
      </c>
      <c r="X305" s="10" t="s">
        <v>130</v>
      </c>
      <c r="Y305" s="10" t="s">
        <v>130</v>
      </c>
      <c r="Z305" s="10" t="s">
        <v>99</v>
      </c>
      <c r="AA305" s="10" t="s">
        <v>131</v>
      </c>
      <c r="AB305" s="10" t="s">
        <v>273</v>
      </c>
      <c r="AC305" s="10" t="s">
        <v>274</v>
      </c>
      <c r="AD305" s="10" t="s">
        <v>2833</v>
      </c>
      <c r="AE305" s="10" t="s">
        <v>2834</v>
      </c>
      <c r="AF305" s="15"/>
      <c r="AG305" s="10"/>
      <c r="AH305" s="10"/>
      <c r="AI305" s="10"/>
      <c r="AJ305" s="10"/>
      <c r="AK305" s="10"/>
      <c r="AL305" s="10" t="s">
        <v>2802</v>
      </c>
      <c r="AM305" s="10"/>
      <c r="AN305" s="10"/>
      <c r="AO305" s="13" t="b">
        <v>1</v>
      </c>
      <c r="AP305" s="10" t="s">
        <v>104</v>
      </c>
      <c r="AQ305" s="10"/>
      <c r="AR305" s="17"/>
      <c r="AS305" s="17"/>
      <c r="AT305" s="17"/>
      <c r="AU305" s="17"/>
      <c r="AV305" s="17"/>
      <c r="AW305" s="10"/>
      <c r="AX305" s="17"/>
      <c r="AY305" s="18" t="s">
        <v>257</v>
      </c>
      <c r="AZ305" s="10"/>
      <c r="BA305" s="20" t="b">
        <v>0</v>
      </c>
      <c r="BB305" s="10"/>
      <c r="BC305" s="17" t="s">
        <v>257</v>
      </c>
      <c r="BD305" s="17" t="s">
        <v>257</v>
      </c>
      <c r="BE305" s="17" t="s">
        <v>257</v>
      </c>
      <c r="BF305" s="17" t="s">
        <v>257</v>
      </c>
      <c r="BG305" s="11">
        <f ca="1">IFERROR(__xludf.DUMMYFUNCTION("""COMPUTED_VALUE"""),46085)</f>
        <v>46085</v>
      </c>
      <c r="BH305" s="17"/>
      <c r="BI305" s="17"/>
      <c r="BJ305" s="15"/>
      <c r="BK305" s="15"/>
      <c r="BL305" s="13" t="b">
        <v>0</v>
      </c>
      <c r="BM305" s="10"/>
      <c r="BN305" s="10" t="s">
        <v>223</v>
      </c>
      <c r="BO305" s="11">
        <v>45827.420937499999</v>
      </c>
      <c r="BP305" s="11">
        <v>45827.420937499999</v>
      </c>
      <c r="BQ305" s="15"/>
      <c r="BR305" s="15"/>
      <c r="BS305" s="10"/>
      <c r="BT305" s="10"/>
      <c r="BU305" s="10"/>
      <c r="BV305" s="10"/>
      <c r="BW305" s="10"/>
      <c r="BX305" s="10"/>
      <c r="BY305" s="23"/>
      <c r="BZ305" s="24" t="s">
        <v>284</v>
      </c>
      <c r="CA305" s="23"/>
      <c r="CB305" s="23"/>
      <c r="CC305" s="23"/>
      <c r="CD305" s="23"/>
      <c r="CE305" s="23"/>
      <c r="CF305" s="23"/>
      <c r="CG305" s="23"/>
      <c r="CH305" s="23"/>
      <c r="CI305" s="23"/>
    </row>
    <row r="306" spans="1:87" x14ac:dyDescent="0.3">
      <c r="A306" s="9" t="s">
        <v>2835</v>
      </c>
      <c r="B306" s="10" t="s">
        <v>2836</v>
      </c>
      <c r="C306" s="11">
        <v>46085</v>
      </c>
      <c r="D306" s="12">
        <v>8.3333333333333329E-2</v>
      </c>
      <c r="E306" s="11">
        <v>46085.083333333336</v>
      </c>
      <c r="F306" s="10" t="s">
        <v>262</v>
      </c>
      <c r="G306" s="13" t="b">
        <v>0</v>
      </c>
      <c r="H306" s="10"/>
      <c r="I306" s="10" t="s">
        <v>264</v>
      </c>
      <c r="J306" s="13" t="b">
        <v>0</v>
      </c>
      <c r="K306" s="13" t="b">
        <v>1</v>
      </c>
      <c r="L306" s="10" t="s">
        <v>124</v>
      </c>
      <c r="M306" s="10" t="s">
        <v>91</v>
      </c>
      <c r="N306" s="10" t="s">
        <v>92</v>
      </c>
      <c r="O306" s="10"/>
      <c r="P306" s="10"/>
      <c r="Q306" s="10"/>
      <c r="R306" s="10"/>
      <c r="S306" s="10"/>
      <c r="T306" s="10"/>
      <c r="U306" s="10" t="s">
        <v>333</v>
      </c>
      <c r="V306" s="10" t="s">
        <v>270</v>
      </c>
      <c r="W306" s="10" t="s">
        <v>272</v>
      </c>
      <c r="X306" s="10" t="s">
        <v>130</v>
      </c>
      <c r="Y306" s="10" t="s">
        <v>130</v>
      </c>
      <c r="Z306" s="10" t="s">
        <v>99</v>
      </c>
      <c r="AA306" s="10" t="s">
        <v>131</v>
      </c>
      <c r="AB306" s="10" t="s">
        <v>273</v>
      </c>
      <c r="AC306" s="10" t="s">
        <v>274</v>
      </c>
      <c r="AD306" s="10" t="s">
        <v>2837</v>
      </c>
      <c r="AE306" s="10" t="s">
        <v>2838</v>
      </c>
      <c r="AF306" s="15"/>
      <c r="AG306" s="10"/>
      <c r="AH306" s="10"/>
      <c r="AI306" s="10"/>
      <c r="AJ306" s="10"/>
      <c r="AK306" s="10"/>
      <c r="AL306" s="10" t="s">
        <v>2802</v>
      </c>
      <c r="AM306" s="10"/>
      <c r="AN306" s="10"/>
      <c r="AO306" s="13" t="b">
        <v>1</v>
      </c>
      <c r="AP306" s="10" t="s">
        <v>104</v>
      </c>
      <c r="AQ306" s="10"/>
      <c r="AR306" s="17"/>
      <c r="AS306" s="17"/>
      <c r="AT306" s="17"/>
      <c r="AU306" s="17"/>
      <c r="AV306" s="17"/>
      <c r="AW306" s="10"/>
      <c r="AX306" s="17"/>
      <c r="AY306" s="18" t="s">
        <v>257</v>
      </c>
      <c r="AZ306" s="10"/>
      <c r="BA306" s="20" t="b">
        <v>0</v>
      </c>
      <c r="BB306" s="10"/>
      <c r="BC306" s="17" t="s">
        <v>257</v>
      </c>
      <c r="BD306" s="17" t="s">
        <v>257</v>
      </c>
      <c r="BE306" s="17" t="s">
        <v>257</v>
      </c>
      <c r="BF306" s="17" t="s">
        <v>257</v>
      </c>
      <c r="BG306" s="11">
        <f ca="1">IFERROR(__xludf.DUMMYFUNCTION("""COMPUTED_VALUE"""),46085)</f>
        <v>46085</v>
      </c>
      <c r="BH306" s="17"/>
      <c r="BI306" s="17"/>
      <c r="BJ306" s="15"/>
      <c r="BK306" s="15"/>
      <c r="BL306" s="13" t="b">
        <v>0</v>
      </c>
      <c r="BM306" s="10"/>
      <c r="BN306" s="10" t="s">
        <v>223</v>
      </c>
      <c r="BO306" s="11">
        <v>45827.420937499999</v>
      </c>
      <c r="BP306" s="11">
        <v>45827.420937499999</v>
      </c>
      <c r="BQ306" s="15"/>
      <c r="BR306" s="15"/>
      <c r="BS306" s="10"/>
      <c r="BT306" s="10"/>
      <c r="BU306" s="10"/>
      <c r="BV306" s="10"/>
      <c r="BW306" s="10"/>
      <c r="BX306" s="10"/>
      <c r="BY306" s="23"/>
      <c r="BZ306" s="24" t="s">
        <v>284</v>
      </c>
      <c r="CA306" s="23"/>
      <c r="CB306" s="23"/>
      <c r="CC306" s="23"/>
      <c r="CD306" s="23"/>
      <c r="CE306" s="23"/>
      <c r="CF306" s="23"/>
      <c r="CG306" s="23"/>
      <c r="CH306" s="23"/>
      <c r="CI306" s="23"/>
    </row>
    <row r="307" spans="1:87" x14ac:dyDescent="0.3">
      <c r="A307" s="9" t="s">
        <v>2839</v>
      </c>
      <c r="B307" s="10" t="s">
        <v>2840</v>
      </c>
      <c r="C307" s="11">
        <v>46095</v>
      </c>
      <c r="D307" s="12">
        <v>8.3333333333333329E-2</v>
      </c>
      <c r="E307" s="11">
        <v>46095.083333333336</v>
      </c>
      <c r="F307" s="10" t="s">
        <v>262</v>
      </c>
      <c r="G307" s="13" t="b">
        <v>0</v>
      </c>
      <c r="H307" s="10"/>
      <c r="I307" s="10" t="s">
        <v>264</v>
      </c>
      <c r="J307" s="13" t="b">
        <v>0</v>
      </c>
      <c r="K307" s="13" t="b">
        <v>1</v>
      </c>
      <c r="L307" s="10" t="s">
        <v>124</v>
      </c>
      <c r="M307" s="10" t="s">
        <v>91</v>
      </c>
      <c r="N307" s="10" t="s">
        <v>92</v>
      </c>
      <c r="O307" s="10"/>
      <c r="P307" s="10"/>
      <c r="Q307" s="10"/>
      <c r="R307" s="10"/>
      <c r="S307" s="10"/>
      <c r="T307" s="10"/>
      <c r="U307" s="10" t="s">
        <v>362</v>
      </c>
      <c r="V307" s="10" t="s">
        <v>407</v>
      </c>
      <c r="W307" s="10" t="s">
        <v>272</v>
      </c>
      <c r="X307" s="10" t="s">
        <v>130</v>
      </c>
      <c r="Y307" s="10" t="s">
        <v>130</v>
      </c>
      <c r="Z307" s="10" t="s">
        <v>99</v>
      </c>
      <c r="AA307" s="10" t="s">
        <v>131</v>
      </c>
      <c r="AB307" s="10" t="s">
        <v>273</v>
      </c>
      <c r="AC307" s="10" t="s">
        <v>274</v>
      </c>
      <c r="AD307" s="10" t="s">
        <v>2841</v>
      </c>
      <c r="AE307" s="10" t="s">
        <v>2842</v>
      </c>
      <c r="AF307" s="15"/>
      <c r="AG307" s="10"/>
      <c r="AH307" s="10"/>
      <c r="AI307" s="10"/>
      <c r="AJ307" s="10"/>
      <c r="AK307" s="10"/>
      <c r="AL307" s="10" t="s">
        <v>2843</v>
      </c>
      <c r="AM307" s="10"/>
      <c r="AN307" s="10"/>
      <c r="AO307" s="13" t="b">
        <v>1</v>
      </c>
      <c r="AP307" s="10" t="s">
        <v>104</v>
      </c>
      <c r="AQ307" s="10"/>
      <c r="AR307" s="17"/>
      <c r="AS307" s="17"/>
      <c r="AT307" s="17"/>
      <c r="AU307" s="17"/>
      <c r="AV307" s="17"/>
      <c r="AW307" s="10"/>
      <c r="AX307" s="17"/>
      <c r="AY307" s="18" t="s">
        <v>257</v>
      </c>
      <c r="AZ307" s="10"/>
      <c r="BA307" s="20" t="b">
        <v>0</v>
      </c>
      <c r="BB307" s="10"/>
      <c r="BC307" s="17" t="s">
        <v>257</v>
      </c>
      <c r="BD307" s="17" t="s">
        <v>257</v>
      </c>
      <c r="BE307" s="17" t="s">
        <v>257</v>
      </c>
      <c r="BF307" s="17" t="s">
        <v>257</v>
      </c>
      <c r="BG307" s="11">
        <f ca="1">IFERROR(__xludf.DUMMYFUNCTION("""COMPUTED_VALUE"""),46095)</f>
        <v>46095</v>
      </c>
      <c r="BH307" s="17"/>
      <c r="BI307" s="17"/>
      <c r="BJ307" s="15"/>
      <c r="BK307" s="15"/>
      <c r="BL307" s="13" t="b">
        <v>0</v>
      </c>
      <c r="BM307" s="10"/>
      <c r="BN307" s="10" t="s">
        <v>223</v>
      </c>
      <c r="BO307" s="11">
        <v>45827.420937499999</v>
      </c>
      <c r="BP307" s="11">
        <v>45827.420937499999</v>
      </c>
      <c r="BQ307" s="15"/>
      <c r="BR307" s="15"/>
      <c r="BS307" s="10"/>
      <c r="BT307" s="10"/>
      <c r="BU307" s="10"/>
      <c r="BV307" s="10"/>
      <c r="BW307" s="10"/>
      <c r="BX307" s="10"/>
      <c r="BY307" s="23"/>
      <c r="BZ307" s="24" t="s">
        <v>2844</v>
      </c>
      <c r="CA307" s="23"/>
      <c r="CB307" s="23"/>
      <c r="CC307" s="23"/>
      <c r="CD307" s="23"/>
      <c r="CE307" s="23"/>
      <c r="CF307" s="23"/>
      <c r="CG307" s="23"/>
      <c r="CH307" s="23"/>
      <c r="CI307" s="23"/>
    </row>
    <row r="308" spans="1:87" x14ac:dyDescent="0.3">
      <c r="A308" s="9" t="s">
        <v>2845</v>
      </c>
      <c r="B308" s="10" t="s">
        <v>2846</v>
      </c>
      <c r="C308" s="11">
        <v>46095</v>
      </c>
      <c r="D308" s="12">
        <v>8.3333333333333329E-2</v>
      </c>
      <c r="E308" s="11">
        <v>46095.083333333336</v>
      </c>
      <c r="F308" s="10" t="s">
        <v>262</v>
      </c>
      <c r="G308" s="13" t="b">
        <v>0</v>
      </c>
      <c r="H308" s="10"/>
      <c r="I308" s="10" t="s">
        <v>264</v>
      </c>
      <c r="J308" s="13" t="b">
        <v>0</v>
      </c>
      <c r="K308" s="13" t="b">
        <v>1</v>
      </c>
      <c r="L308" s="10" t="s">
        <v>124</v>
      </c>
      <c r="M308" s="10" t="s">
        <v>91</v>
      </c>
      <c r="N308" s="10" t="s">
        <v>92</v>
      </c>
      <c r="O308" s="10"/>
      <c r="P308" s="10"/>
      <c r="Q308" s="10"/>
      <c r="R308" s="10"/>
      <c r="S308" s="10"/>
      <c r="T308" s="10"/>
      <c r="U308" s="10" t="s">
        <v>321</v>
      </c>
      <c r="V308" s="10" t="s">
        <v>333</v>
      </c>
      <c r="W308" s="10" t="s">
        <v>272</v>
      </c>
      <c r="X308" s="10" t="s">
        <v>130</v>
      </c>
      <c r="Y308" s="10" t="s">
        <v>130</v>
      </c>
      <c r="Z308" s="10" t="s">
        <v>99</v>
      </c>
      <c r="AA308" s="10" t="s">
        <v>131</v>
      </c>
      <c r="AB308" s="10" t="s">
        <v>273</v>
      </c>
      <c r="AC308" s="10" t="s">
        <v>274</v>
      </c>
      <c r="AD308" s="10" t="s">
        <v>2847</v>
      </c>
      <c r="AE308" s="10" t="s">
        <v>2848</v>
      </c>
      <c r="AF308" s="15"/>
      <c r="AG308" s="10"/>
      <c r="AH308" s="10"/>
      <c r="AI308" s="10"/>
      <c r="AJ308" s="10"/>
      <c r="AK308" s="10"/>
      <c r="AL308" s="10" t="s">
        <v>2843</v>
      </c>
      <c r="AM308" s="10"/>
      <c r="AN308" s="10"/>
      <c r="AO308" s="13" t="b">
        <v>0</v>
      </c>
      <c r="AP308" s="10" t="s">
        <v>104</v>
      </c>
      <c r="AQ308" s="10"/>
      <c r="AR308" s="17"/>
      <c r="AS308" s="17"/>
      <c r="AT308" s="17"/>
      <c r="AU308" s="17"/>
      <c r="AV308" s="17"/>
      <c r="AW308" s="10"/>
      <c r="AX308" s="17"/>
      <c r="AY308" s="18" t="s">
        <v>257</v>
      </c>
      <c r="AZ308" s="10"/>
      <c r="BA308" s="20" t="b">
        <v>0</v>
      </c>
      <c r="BB308" s="10"/>
      <c r="BC308" s="17" t="s">
        <v>257</v>
      </c>
      <c r="BD308" s="17" t="s">
        <v>257</v>
      </c>
      <c r="BE308" s="17" t="s">
        <v>257</v>
      </c>
      <c r="BF308" s="17" t="s">
        <v>257</v>
      </c>
      <c r="BG308" s="11">
        <f ca="1">IFERROR(__xludf.DUMMYFUNCTION("""COMPUTED_VALUE"""),46095)</f>
        <v>46095</v>
      </c>
      <c r="BH308" s="17"/>
      <c r="BI308" s="17"/>
      <c r="BJ308" s="15"/>
      <c r="BK308" s="15"/>
      <c r="BL308" s="13" t="b">
        <v>0</v>
      </c>
      <c r="BM308" s="10"/>
      <c r="BN308" s="10" t="s">
        <v>223</v>
      </c>
      <c r="BO308" s="11">
        <v>45827.420937499999</v>
      </c>
      <c r="BP308" s="11">
        <v>45827.420937499999</v>
      </c>
      <c r="BQ308" s="15"/>
      <c r="BR308" s="15"/>
      <c r="BS308" s="10"/>
      <c r="BT308" s="10"/>
      <c r="BU308" s="10"/>
      <c r="BV308" s="10"/>
      <c r="BW308" s="10"/>
      <c r="BX308" s="10"/>
      <c r="BY308" s="23"/>
      <c r="BZ308" s="24" t="s">
        <v>299</v>
      </c>
      <c r="CA308" s="23"/>
      <c r="CB308" s="23"/>
      <c r="CC308" s="23"/>
      <c r="CD308" s="23"/>
      <c r="CE308" s="23"/>
      <c r="CF308" s="23"/>
      <c r="CG308" s="23"/>
      <c r="CH308" s="23"/>
      <c r="CI308" s="23"/>
    </row>
    <row r="309" spans="1:87" x14ac:dyDescent="0.3">
      <c r="A309" s="9" t="s">
        <v>2849</v>
      </c>
      <c r="B309" s="10" t="s">
        <v>2850</v>
      </c>
      <c r="C309" s="11">
        <v>46095</v>
      </c>
      <c r="D309" s="12">
        <v>8.3333333333333329E-2</v>
      </c>
      <c r="E309" s="11">
        <v>46095.083333333336</v>
      </c>
      <c r="F309" s="10" t="s">
        <v>262</v>
      </c>
      <c r="G309" s="13" t="b">
        <v>0</v>
      </c>
      <c r="H309" s="10"/>
      <c r="I309" s="10" t="s">
        <v>264</v>
      </c>
      <c r="J309" s="13" t="b">
        <v>0</v>
      </c>
      <c r="K309" s="13" t="b">
        <v>1</v>
      </c>
      <c r="L309" s="10" t="s">
        <v>124</v>
      </c>
      <c r="M309" s="10" t="s">
        <v>91</v>
      </c>
      <c r="N309" s="10" t="s">
        <v>92</v>
      </c>
      <c r="O309" s="10"/>
      <c r="P309" s="10"/>
      <c r="Q309" s="10"/>
      <c r="R309" s="10"/>
      <c r="S309" s="10"/>
      <c r="T309" s="10"/>
      <c r="U309" s="10" t="s">
        <v>609</v>
      </c>
      <c r="V309" s="10" t="s">
        <v>271</v>
      </c>
      <c r="W309" s="10" t="s">
        <v>272</v>
      </c>
      <c r="X309" s="10" t="s">
        <v>130</v>
      </c>
      <c r="Y309" s="10" t="s">
        <v>130</v>
      </c>
      <c r="Z309" s="10" t="s">
        <v>99</v>
      </c>
      <c r="AA309" s="10" t="s">
        <v>131</v>
      </c>
      <c r="AB309" s="10" t="s">
        <v>273</v>
      </c>
      <c r="AC309" s="10" t="s">
        <v>274</v>
      </c>
      <c r="AD309" s="10" t="s">
        <v>2851</v>
      </c>
      <c r="AE309" s="10" t="s">
        <v>2852</v>
      </c>
      <c r="AF309" s="15"/>
      <c r="AG309" s="10"/>
      <c r="AH309" s="10"/>
      <c r="AI309" s="10"/>
      <c r="AJ309" s="10"/>
      <c r="AK309" s="10"/>
      <c r="AL309" s="10" t="s">
        <v>2843</v>
      </c>
      <c r="AM309" s="10"/>
      <c r="AN309" s="10"/>
      <c r="AO309" s="13" t="b">
        <v>0</v>
      </c>
      <c r="AP309" s="10" t="s">
        <v>104</v>
      </c>
      <c r="AQ309" s="10"/>
      <c r="AR309" s="17"/>
      <c r="AS309" s="17"/>
      <c r="AT309" s="17"/>
      <c r="AU309" s="17"/>
      <c r="AV309" s="17"/>
      <c r="AW309" s="10"/>
      <c r="AX309" s="17"/>
      <c r="AY309" s="18" t="s">
        <v>257</v>
      </c>
      <c r="AZ309" s="10"/>
      <c r="BA309" s="20" t="b">
        <v>0</v>
      </c>
      <c r="BB309" s="10"/>
      <c r="BC309" s="17" t="s">
        <v>257</v>
      </c>
      <c r="BD309" s="17" t="s">
        <v>257</v>
      </c>
      <c r="BE309" s="17" t="s">
        <v>257</v>
      </c>
      <c r="BF309" s="17" t="s">
        <v>257</v>
      </c>
      <c r="BG309" s="11">
        <f ca="1">IFERROR(__xludf.DUMMYFUNCTION("""COMPUTED_VALUE"""),46095)</f>
        <v>46095</v>
      </c>
      <c r="BH309" s="17"/>
      <c r="BI309" s="17"/>
      <c r="BJ309" s="15"/>
      <c r="BK309" s="15"/>
      <c r="BL309" s="13" t="b">
        <v>0</v>
      </c>
      <c r="BM309" s="10"/>
      <c r="BN309" s="10" t="s">
        <v>223</v>
      </c>
      <c r="BO309" s="11">
        <v>45827.420937499999</v>
      </c>
      <c r="BP309" s="11">
        <v>45827.420937499999</v>
      </c>
      <c r="BQ309" s="15"/>
      <c r="BR309" s="15"/>
      <c r="BS309" s="10"/>
      <c r="BT309" s="10"/>
      <c r="BU309" s="10"/>
      <c r="BV309" s="10"/>
      <c r="BW309" s="10"/>
      <c r="BX309" s="10"/>
      <c r="BY309" s="23"/>
      <c r="BZ309" s="24" t="s">
        <v>299</v>
      </c>
      <c r="CA309" s="23"/>
      <c r="CB309" s="23"/>
      <c r="CC309" s="23"/>
      <c r="CD309" s="23"/>
      <c r="CE309" s="23"/>
      <c r="CF309" s="23"/>
      <c r="CG309" s="23"/>
      <c r="CH309" s="23"/>
      <c r="CI309" s="23"/>
    </row>
    <row r="310" spans="1:87" x14ac:dyDescent="0.3">
      <c r="A310" s="9" t="s">
        <v>2853</v>
      </c>
      <c r="B310" s="10" t="s">
        <v>2854</v>
      </c>
      <c r="C310" s="11">
        <v>46095</v>
      </c>
      <c r="D310" s="12">
        <v>8.3333333333333329E-2</v>
      </c>
      <c r="E310" s="11">
        <v>46095.083333333336</v>
      </c>
      <c r="F310" s="10" t="s">
        <v>262</v>
      </c>
      <c r="G310" s="13" t="b">
        <v>0</v>
      </c>
      <c r="H310" s="10"/>
      <c r="I310" s="10" t="s">
        <v>264</v>
      </c>
      <c r="J310" s="13" t="b">
        <v>0</v>
      </c>
      <c r="K310" s="13" t="b">
        <v>1</v>
      </c>
      <c r="L310" s="10" t="s">
        <v>124</v>
      </c>
      <c r="M310" s="10" t="s">
        <v>91</v>
      </c>
      <c r="N310" s="10" t="s">
        <v>92</v>
      </c>
      <c r="O310" s="10"/>
      <c r="P310" s="10"/>
      <c r="Q310" s="10"/>
      <c r="R310" s="10"/>
      <c r="S310" s="10"/>
      <c r="T310" s="10"/>
      <c r="U310" s="10" t="s">
        <v>346</v>
      </c>
      <c r="V310" s="10" t="s">
        <v>293</v>
      </c>
      <c r="W310" s="10" t="s">
        <v>272</v>
      </c>
      <c r="X310" s="10" t="s">
        <v>130</v>
      </c>
      <c r="Y310" s="10" t="s">
        <v>130</v>
      </c>
      <c r="Z310" s="10" t="s">
        <v>99</v>
      </c>
      <c r="AA310" s="10" t="s">
        <v>131</v>
      </c>
      <c r="AB310" s="10" t="s">
        <v>273</v>
      </c>
      <c r="AC310" s="10" t="s">
        <v>274</v>
      </c>
      <c r="AD310" s="10" t="s">
        <v>2855</v>
      </c>
      <c r="AE310" s="10" t="s">
        <v>2856</v>
      </c>
      <c r="AF310" s="15"/>
      <c r="AG310" s="10"/>
      <c r="AH310" s="10"/>
      <c r="AI310" s="10"/>
      <c r="AJ310" s="10"/>
      <c r="AK310" s="10"/>
      <c r="AL310" s="10" t="s">
        <v>2843</v>
      </c>
      <c r="AM310" s="10"/>
      <c r="AN310" s="10"/>
      <c r="AO310" s="13" t="b">
        <v>1</v>
      </c>
      <c r="AP310" s="10" t="s">
        <v>104</v>
      </c>
      <c r="AQ310" s="10"/>
      <c r="AR310" s="17"/>
      <c r="AS310" s="17"/>
      <c r="AT310" s="17"/>
      <c r="AU310" s="17"/>
      <c r="AV310" s="17"/>
      <c r="AW310" s="10"/>
      <c r="AX310" s="17"/>
      <c r="AY310" s="18" t="s">
        <v>257</v>
      </c>
      <c r="AZ310" s="10"/>
      <c r="BA310" s="20" t="b">
        <v>0</v>
      </c>
      <c r="BB310" s="10"/>
      <c r="BC310" s="17" t="s">
        <v>257</v>
      </c>
      <c r="BD310" s="17" t="s">
        <v>257</v>
      </c>
      <c r="BE310" s="17" t="s">
        <v>257</v>
      </c>
      <c r="BF310" s="17" t="s">
        <v>257</v>
      </c>
      <c r="BG310" s="11">
        <f ca="1">IFERROR(__xludf.DUMMYFUNCTION("""COMPUTED_VALUE"""),46095)</f>
        <v>46095</v>
      </c>
      <c r="BH310" s="17"/>
      <c r="BI310" s="17"/>
      <c r="BJ310" s="15"/>
      <c r="BK310" s="15"/>
      <c r="BL310" s="13" t="b">
        <v>0</v>
      </c>
      <c r="BM310" s="10"/>
      <c r="BN310" s="10" t="s">
        <v>223</v>
      </c>
      <c r="BO310" s="11">
        <v>45827.420937499999</v>
      </c>
      <c r="BP310" s="11">
        <v>45827.420937499999</v>
      </c>
      <c r="BQ310" s="15"/>
      <c r="BR310" s="15"/>
      <c r="BS310" s="10"/>
      <c r="BT310" s="10"/>
      <c r="BU310" s="10"/>
      <c r="BV310" s="10"/>
      <c r="BW310" s="10"/>
      <c r="BX310" s="10"/>
      <c r="BY310" s="23"/>
      <c r="BZ310" s="24" t="s">
        <v>2844</v>
      </c>
      <c r="CA310" s="23"/>
      <c r="CB310" s="23"/>
      <c r="CC310" s="23"/>
      <c r="CD310" s="23"/>
      <c r="CE310" s="23"/>
      <c r="CF310" s="23"/>
      <c r="CG310" s="23"/>
      <c r="CH310" s="23"/>
      <c r="CI310" s="23"/>
    </row>
    <row r="311" spans="1:87" x14ac:dyDescent="0.3">
      <c r="A311" s="9" t="s">
        <v>2857</v>
      </c>
      <c r="B311" s="10" t="s">
        <v>2858</v>
      </c>
      <c r="C311" s="11">
        <v>46095</v>
      </c>
      <c r="D311" s="12">
        <v>8.3333333333333329E-2</v>
      </c>
      <c r="E311" s="11">
        <v>46095.083333333336</v>
      </c>
      <c r="F311" s="10" t="s">
        <v>262</v>
      </c>
      <c r="G311" s="13" t="b">
        <v>0</v>
      </c>
      <c r="H311" s="10"/>
      <c r="I311" s="10" t="s">
        <v>264</v>
      </c>
      <c r="J311" s="13" t="b">
        <v>0</v>
      </c>
      <c r="K311" s="13" t="b">
        <v>1</v>
      </c>
      <c r="L311" s="10" t="s">
        <v>124</v>
      </c>
      <c r="M311" s="10" t="s">
        <v>91</v>
      </c>
      <c r="N311" s="10" t="s">
        <v>92</v>
      </c>
      <c r="O311" s="10"/>
      <c r="P311" s="10"/>
      <c r="Q311" s="10"/>
      <c r="R311" s="10"/>
      <c r="S311" s="10"/>
      <c r="T311" s="10"/>
      <c r="U311" s="10" t="s">
        <v>347</v>
      </c>
      <c r="V311" s="10" t="s">
        <v>663</v>
      </c>
      <c r="W311" s="10" t="s">
        <v>272</v>
      </c>
      <c r="X311" s="10" t="s">
        <v>130</v>
      </c>
      <c r="Y311" s="10" t="s">
        <v>130</v>
      </c>
      <c r="Z311" s="10" t="s">
        <v>99</v>
      </c>
      <c r="AA311" s="10" t="s">
        <v>131</v>
      </c>
      <c r="AB311" s="10" t="s">
        <v>273</v>
      </c>
      <c r="AC311" s="10" t="s">
        <v>274</v>
      </c>
      <c r="AD311" s="10" t="s">
        <v>2859</v>
      </c>
      <c r="AE311" s="10" t="s">
        <v>2860</v>
      </c>
      <c r="AF311" s="15"/>
      <c r="AG311" s="10"/>
      <c r="AH311" s="10"/>
      <c r="AI311" s="10"/>
      <c r="AJ311" s="10"/>
      <c r="AK311" s="10"/>
      <c r="AL311" s="10" t="s">
        <v>2843</v>
      </c>
      <c r="AM311" s="10"/>
      <c r="AN311" s="10"/>
      <c r="AO311" s="13" t="b">
        <v>0</v>
      </c>
      <c r="AP311" s="10" t="s">
        <v>104</v>
      </c>
      <c r="AQ311" s="10"/>
      <c r="AR311" s="17"/>
      <c r="AS311" s="17"/>
      <c r="AT311" s="17"/>
      <c r="AU311" s="17"/>
      <c r="AV311" s="17"/>
      <c r="AW311" s="10"/>
      <c r="AX311" s="17"/>
      <c r="AY311" s="18" t="s">
        <v>257</v>
      </c>
      <c r="AZ311" s="10"/>
      <c r="BA311" s="20" t="b">
        <v>0</v>
      </c>
      <c r="BB311" s="10"/>
      <c r="BC311" s="17" t="s">
        <v>257</v>
      </c>
      <c r="BD311" s="17" t="s">
        <v>257</v>
      </c>
      <c r="BE311" s="17" t="s">
        <v>257</v>
      </c>
      <c r="BF311" s="17" t="s">
        <v>257</v>
      </c>
      <c r="BG311" s="11">
        <f ca="1">IFERROR(__xludf.DUMMYFUNCTION("""COMPUTED_VALUE"""),46095)</f>
        <v>46095</v>
      </c>
      <c r="BH311" s="17"/>
      <c r="BI311" s="17"/>
      <c r="BJ311" s="15"/>
      <c r="BK311" s="15"/>
      <c r="BL311" s="13" t="b">
        <v>0</v>
      </c>
      <c r="BM311" s="10"/>
      <c r="BN311" s="10" t="s">
        <v>223</v>
      </c>
      <c r="BO311" s="11">
        <v>45827.420937499999</v>
      </c>
      <c r="BP311" s="11">
        <v>45827.420937499999</v>
      </c>
      <c r="BQ311" s="15"/>
      <c r="BR311" s="15"/>
      <c r="BS311" s="10"/>
      <c r="BT311" s="10"/>
      <c r="BU311" s="10"/>
      <c r="BV311" s="10"/>
      <c r="BW311" s="10"/>
      <c r="BX311" s="10"/>
      <c r="BY311" s="23"/>
      <c r="BZ311" s="24" t="s">
        <v>299</v>
      </c>
      <c r="CA311" s="23"/>
      <c r="CB311" s="23"/>
      <c r="CC311" s="23"/>
      <c r="CD311" s="23"/>
      <c r="CE311" s="23"/>
      <c r="CF311" s="23"/>
      <c r="CG311" s="23"/>
      <c r="CH311" s="23"/>
      <c r="CI311" s="23"/>
    </row>
    <row r="312" spans="1:87" x14ac:dyDescent="0.3">
      <c r="A312" s="9" t="s">
        <v>2861</v>
      </c>
      <c r="B312" s="10" t="s">
        <v>2862</v>
      </c>
      <c r="C312" s="11">
        <v>46095</v>
      </c>
      <c r="D312" s="12">
        <v>8.3333333333333329E-2</v>
      </c>
      <c r="E312" s="11">
        <v>46095.083333333336</v>
      </c>
      <c r="F312" s="10" t="s">
        <v>262</v>
      </c>
      <c r="G312" s="13" t="b">
        <v>0</v>
      </c>
      <c r="H312" s="10"/>
      <c r="I312" s="10" t="s">
        <v>264</v>
      </c>
      <c r="J312" s="13" t="b">
        <v>0</v>
      </c>
      <c r="K312" s="13" t="b">
        <v>1</v>
      </c>
      <c r="L312" s="10" t="s">
        <v>124</v>
      </c>
      <c r="M312" s="10" t="s">
        <v>91</v>
      </c>
      <c r="N312" s="10" t="s">
        <v>92</v>
      </c>
      <c r="O312" s="10"/>
      <c r="P312" s="10"/>
      <c r="Q312" s="10"/>
      <c r="R312" s="10"/>
      <c r="S312" s="10"/>
      <c r="T312" s="10"/>
      <c r="U312" s="10" t="s">
        <v>270</v>
      </c>
      <c r="V312" s="10" t="s">
        <v>429</v>
      </c>
      <c r="W312" s="10" t="s">
        <v>272</v>
      </c>
      <c r="X312" s="10" t="s">
        <v>130</v>
      </c>
      <c r="Y312" s="10" t="s">
        <v>130</v>
      </c>
      <c r="Z312" s="10" t="s">
        <v>99</v>
      </c>
      <c r="AA312" s="10" t="s">
        <v>131</v>
      </c>
      <c r="AB312" s="10" t="s">
        <v>273</v>
      </c>
      <c r="AC312" s="10" t="s">
        <v>274</v>
      </c>
      <c r="AD312" s="10" t="s">
        <v>2863</v>
      </c>
      <c r="AE312" s="10" t="s">
        <v>2864</v>
      </c>
      <c r="AF312" s="15"/>
      <c r="AG312" s="10"/>
      <c r="AH312" s="10"/>
      <c r="AI312" s="10"/>
      <c r="AJ312" s="10"/>
      <c r="AK312" s="10"/>
      <c r="AL312" s="10" t="s">
        <v>2843</v>
      </c>
      <c r="AM312" s="10"/>
      <c r="AN312" s="10"/>
      <c r="AO312" s="13" t="b">
        <v>1</v>
      </c>
      <c r="AP312" s="10" t="s">
        <v>104</v>
      </c>
      <c r="AQ312" s="10"/>
      <c r="AR312" s="17"/>
      <c r="AS312" s="17"/>
      <c r="AT312" s="17"/>
      <c r="AU312" s="17"/>
      <c r="AV312" s="17"/>
      <c r="AW312" s="10"/>
      <c r="AX312" s="17"/>
      <c r="AY312" s="18" t="s">
        <v>257</v>
      </c>
      <c r="AZ312" s="10"/>
      <c r="BA312" s="20" t="b">
        <v>0</v>
      </c>
      <c r="BB312" s="10"/>
      <c r="BC312" s="17" t="s">
        <v>257</v>
      </c>
      <c r="BD312" s="17" t="s">
        <v>257</v>
      </c>
      <c r="BE312" s="17" t="s">
        <v>257</v>
      </c>
      <c r="BF312" s="17" t="s">
        <v>257</v>
      </c>
      <c r="BG312" s="11">
        <f ca="1">IFERROR(__xludf.DUMMYFUNCTION("""COMPUTED_VALUE"""),46095)</f>
        <v>46095</v>
      </c>
      <c r="BH312" s="17"/>
      <c r="BI312" s="17"/>
      <c r="BJ312" s="15"/>
      <c r="BK312" s="15"/>
      <c r="BL312" s="13" t="b">
        <v>0</v>
      </c>
      <c r="BM312" s="10"/>
      <c r="BN312" s="10" t="s">
        <v>223</v>
      </c>
      <c r="BO312" s="11">
        <v>45827.420937499999</v>
      </c>
      <c r="BP312" s="11">
        <v>45827.420937499999</v>
      </c>
      <c r="BQ312" s="15"/>
      <c r="BR312" s="15"/>
      <c r="BS312" s="10"/>
      <c r="BT312" s="10"/>
      <c r="BU312" s="10"/>
      <c r="BV312" s="10"/>
      <c r="BW312" s="10"/>
      <c r="BX312" s="10"/>
      <c r="BY312" s="23"/>
      <c r="BZ312" s="24" t="s">
        <v>368</v>
      </c>
      <c r="CA312" s="23"/>
      <c r="CB312" s="23"/>
      <c r="CC312" s="23"/>
      <c r="CD312" s="23"/>
      <c r="CE312" s="23"/>
      <c r="CF312" s="23"/>
      <c r="CG312" s="23"/>
      <c r="CH312" s="23"/>
      <c r="CI312" s="23"/>
    </row>
    <row r="313" spans="1:87" x14ac:dyDescent="0.3">
      <c r="A313" s="9" t="s">
        <v>2865</v>
      </c>
      <c r="B313" s="10" t="s">
        <v>2866</v>
      </c>
      <c r="C313" s="11">
        <v>46095</v>
      </c>
      <c r="D313" s="12">
        <v>8.3333333333333329E-2</v>
      </c>
      <c r="E313" s="11">
        <v>46095.083333333336</v>
      </c>
      <c r="F313" s="10" t="s">
        <v>262</v>
      </c>
      <c r="G313" s="13" t="b">
        <v>0</v>
      </c>
      <c r="H313" s="10"/>
      <c r="I313" s="10" t="s">
        <v>264</v>
      </c>
      <c r="J313" s="13" t="b">
        <v>0</v>
      </c>
      <c r="K313" s="13" t="b">
        <v>1</v>
      </c>
      <c r="L313" s="10" t="s">
        <v>124</v>
      </c>
      <c r="M313" s="10" t="s">
        <v>91</v>
      </c>
      <c r="N313" s="10" t="s">
        <v>92</v>
      </c>
      <c r="O313" s="10"/>
      <c r="P313" s="10"/>
      <c r="Q313" s="10"/>
      <c r="R313" s="10"/>
      <c r="S313" s="10"/>
      <c r="T313" s="10"/>
      <c r="U313" s="10" t="s">
        <v>361</v>
      </c>
      <c r="V313" s="10" t="s">
        <v>292</v>
      </c>
      <c r="W313" s="10" t="s">
        <v>272</v>
      </c>
      <c r="X313" s="10" t="s">
        <v>130</v>
      </c>
      <c r="Y313" s="10" t="s">
        <v>130</v>
      </c>
      <c r="Z313" s="10" t="s">
        <v>99</v>
      </c>
      <c r="AA313" s="10" t="s">
        <v>131</v>
      </c>
      <c r="AB313" s="10" t="s">
        <v>273</v>
      </c>
      <c r="AC313" s="10" t="s">
        <v>274</v>
      </c>
      <c r="AD313" s="10" t="s">
        <v>2867</v>
      </c>
      <c r="AE313" s="10" t="s">
        <v>2868</v>
      </c>
      <c r="AF313" s="15"/>
      <c r="AG313" s="10"/>
      <c r="AH313" s="10"/>
      <c r="AI313" s="10"/>
      <c r="AJ313" s="10"/>
      <c r="AK313" s="10"/>
      <c r="AL313" s="10" t="s">
        <v>2843</v>
      </c>
      <c r="AM313" s="10"/>
      <c r="AN313" s="10"/>
      <c r="AO313" s="13" t="b">
        <v>1</v>
      </c>
      <c r="AP313" s="10" t="s">
        <v>104</v>
      </c>
      <c r="AQ313" s="10"/>
      <c r="AR313" s="17"/>
      <c r="AS313" s="17"/>
      <c r="AT313" s="17"/>
      <c r="AU313" s="17"/>
      <c r="AV313" s="17"/>
      <c r="AW313" s="10"/>
      <c r="AX313" s="17"/>
      <c r="AY313" s="18" t="s">
        <v>257</v>
      </c>
      <c r="AZ313" s="10"/>
      <c r="BA313" s="20" t="b">
        <v>0</v>
      </c>
      <c r="BB313" s="10"/>
      <c r="BC313" s="17" t="s">
        <v>257</v>
      </c>
      <c r="BD313" s="17" t="s">
        <v>257</v>
      </c>
      <c r="BE313" s="17" t="s">
        <v>257</v>
      </c>
      <c r="BF313" s="17" t="s">
        <v>257</v>
      </c>
      <c r="BG313" s="11">
        <f ca="1">IFERROR(__xludf.DUMMYFUNCTION("""COMPUTED_VALUE"""),46095)</f>
        <v>46095</v>
      </c>
      <c r="BH313" s="17"/>
      <c r="BI313" s="17"/>
      <c r="BJ313" s="15"/>
      <c r="BK313" s="15"/>
      <c r="BL313" s="13" t="b">
        <v>0</v>
      </c>
      <c r="BM313" s="10"/>
      <c r="BN313" s="10" t="s">
        <v>223</v>
      </c>
      <c r="BO313" s="11">
        <v>45827.420937499999</v>
      </c>
      <c r="BP313" s="11">
        <v>45827.420937499999</v>
      </c>
      <c r="BQ313" s="15"/>
      <c r="BR313" s="15"/>
      <c r="BS313" s="10"/>
      <c r="BT313" s="10"/>
      <c r="BU313" s="10"/>
      <c r="BV313" s="10"/>
      <c r="BW313" s="10"/>
      <c r="BX313" s="10"/>
      <c r="BY313" s="23"/>
      <c r="BZ313" s="24" t="s">
        <v>284</v>
      </c>
      <c r="CA313" s="23"/>
      <c r="CB313" s="23"/>
      <c r="CC313" s="23"/>
      <c r="CD313" s="23"/>
      <c r="CE313" s="23"/>
      <c r="CF313" s="23"/>
      <c r="CG313" s="23"/>
      <c r="CH313" s="23"/>
      <c r="CI313" s="23"/>
    </row>
    <row r="314" spans="1:87" x14ac:dyDescent="0.3">
      <c r="A314" s="9" t="s">
        <v>2869</v>
      </c>
      <c r="B314" s="10" t="s">
        <v>2870</v>
      </c>
      <c r="C314" s="11">
        <v>46095</v>
      </c>
      <c r="D314" s="12">
        <v>8.3333333333333329E-2</v>
      </c>
      <c r="E314" s="11">
        <v>46095.083333333336</v>
      </c>
      <c r="F314" s="10" t="s">
        <v>262</v>
      </c>
      <c r="G314" s="13" t="b">
        <v>0</v>
      </c>
      <c r="H314" s="10"/>
      <c r="I314" s="10" t="s">
        <v>264</v>
      </c>
      <c r="J314" s="13" t="b">
        <v>0</v>
      </c>
      <c r="K314" s="13" t="b">
        <v>1</v>
      </c>
      <c r="L314" s="10" t="s">
        <v>124</v>
      </c>
      <c r="M314" s="10" t="s">
        <v>91</v>
      </c>
      <c r="N314" s="10" t="s">
        <v>92</v>
      </c>
      <c r="O314" s="10"/>
      <c r="P314" s="10"/>
      <c r="Q314" s="10"/>
      <c r="R314" s="10"/>
      <c r="S314" s="10"/>
      <c r="T314" s="10"/>
      <c r="U314" s="10" t="s">
        <v>320</v>
      </c>
      <c r="V314" s="10" t="s">
        <v>309</v>
      </c>
      <c r="W314" s="10" t="s">
        <v>272</v>
      </c>
      <c r="X314" s="10" t="s">
        <v>130</v>
      </c>
      <c r="Y314" s="10" t="s">
        <v>130</v>
      </c>
      <c r="Z314" s="10" t="s">
        <v>99</v>
      </c>
      <c r="AA314" s="10" t="s">
        <v>131</v>
      </c>
      <c r="AB314" s="10" t="s">
        <v>273</v>
      </c>
      <c r="AC314" s="10" t="s">
        <v>274</v>
      </c>
      <c r="AD314" s="10" t="s">
        <v>2871</v>
      </c>
      <c r="AE314" s="10" t="s">
        <v>2872</v>
      </c>
      <c r="AF314" s="15"/>
      <c r="AG314" s="10"/>
      <c r="AH314" s="10"/>
      <c r="AI314" s="10"/>
      <c r="AJ314" s="10"/>
      <c r="AK314" s="10"/>
      <c r="AL314" s="10" t="s">
        <v>2843</v>
      </c>
      <c r="AM314" s="10"/>
      <c r="AN314" s="10"/>
      <c r="AO314" s="13" t="b">
        <v>0</v>
      </c>
      <c r="AP314" s="10" t="s">
        <v>104</v>
      </c>
      <c r="AQ314" s="10"/>
      <c r="AR314" s="17"/>
      <c r="AS314" s="17"/>
      <c r="AT314" s="17"/>
      <c r="AU314" s="17"/>
      <c r="AV314" s="17"/>
      <c r="AW314" s="10"/>
      <c r="AX314" s="17"/>
      <c r="AY314" s="18" t="s">
        <v>257</v>
      </c>
      <c r="AZ314" s="10"/>
      <c r="BA314" s="20" t="b">
        <v>0</v>
      </c>
      <c r="BB314" s="10"/>
      <c r="BC314" s="17" t="s">
        <v>257</v>
      </c>
      <c r="BD314" s="17" t="s">
        <v>257</v>
      </c>
      <c r="BE314" s="17" t="s">
        <v>257</v>
      </c>
      <c r="BF314" s="17" t="s">
        <v>257</v>
      </c>
      <c r="BG314" s="11">
        <f ca="1">IFERROR(__xludf.DUMMYFUNCTION("""COMPUTED_VALUE"""),46095)</f>
        <v>46095</v>
      </c>
      <c r="BH314" s="17"/>
      <c r="BI314" s="17"/>
      <c r="BJ314" s="15"/>
      <c r="BK314" s="15"/>
      <c r="BL314" s="13" t="b">
        <v>0</v>
      </c>
      <c r="BM314" s="10"/>
      <c r="BN314" s="10" t="s">
        <v>223</v>
      </c>
      <c r="BO314" s="11">
        <v>45827.420949074076</v>
      </c>
      <c r="BP314" s="11">
        <v>45827.420949074076</v>
      </c>
      <c r="BQ314" s="15"/>
      <c r="BR314" s="15"/>
      <c r="BS314" s="10"/>
      <c r="BT314" s="10"/>
      <c r="BU314" s="10"/>
      <c r="BV314" s="10"/>
      <c r="BW314" s="10"/>
      <c r="BX314" s="10"/>
      <c r="BY314" s="23"/>
      <c r="BZ314" s="24" t="s">
        <v>299</v>
      </c>
      <c r="CA314" s="23"/>
      <c r="CB314" s="23"/>
      <c r="CC314" s="23"/>
      <c r="CD314" s="23"/>
      <c r="CE314" s="23"/>
      <c r="CF314" s="23"/>
      <c r="CG314" s="23"/>
      <c r="CH314" s="23"/>
      <c r="CI314" s="23"/>
    </row>
    <row r="315" spans="1:87" x14ac:dyDescent="0.3">
      <c r="A315" s="9" t="s">
        <v>2873</v>
      </c>
      <c r="B315" s="10" t="s">
        <v>2874</v>
      </c>
      <c r="C315" s="11">
        <v>46095</v>
      </c>
      <c r="D315" s="12">
        <v>8.3333333333333329E-2</v>
      </c>
      <c r="E315" s="11">
        <v>46095.083333333336</v>
      </c>
      <c r="F315" s="10" t="s">
        <v>262</v>
      </c>
      <c r="G315" s="13" t="b">
        <v>0</v>
      </c>
      <c r="H315" s="10"/>
      <c r="I315" s="10" t="s">
        <v>264</v>
      </c>
      <c r="J315" s="13" t="b">
        <v>0</v>
      </c>
      <c r="K315" s="13" t="b">
        <v>1</v>
      </c>
      <c r="L315" s="10" t="s">
        <v>124</v>
      </c>
      <c r="M315" s="10" t="s">
        <v>91</v>
      </c>
      <c r="N315" s="10" t="s">
        <v>92</v>
      </c>
      <c r="O315" s="10"/>
      <c r="P315" s="10"/>
      <c r="Q315" s="10"/>
      <c r="R315" s="10"/>
      <c r="S315" s="10"/>
      <c r="T315" s="10"/>
      <c r="U315" s="10" t="s">
        <v>588</v>
      </c>
      <c r="V315" s="10" t="s">
        <v>308</v>
      </c>
      <c r="W315" s="10" t="s">
        <v>272</v>
      </c>
      <c r="X315" s="10" t="s">
        <v>130</v>
      </c>
      <c r="Y315" s="10" t="s">
        <v>130</v>
      </c>
      <c r="Z315" s="10" t="s">
        <v>99</v>
      </c>
      <c r="AA315" s="10" t="s">
        <v>131</v>
      </c>
      <c r="AB315" s="10" t="s">
        <v>273</v>
      </c>
      <c r="AC315" s="10" t="s">
        <v>274</v>
      </c>
      <c r="AD315" s="10" t="s">
        <v>2875</v>
      </c>
      <c r="AE315" s="10" t="s">
        <v>2876</v>
      </c>
      <c r="AF315" s="15"/>
      <c r="AG315" s="10"/>
      <c r="AH315" s="10"/>
      <c r="AI315" s="10"/>
      <c r="AJ315" s="10"/>
      <c r="AK315" s="10"/>
      <c r="AL315" s="10" t="s">
        <v>2843</v>
      </c>
      <c r="AM315" s="10"/>
      <c r="AN315" s="10"/>
      <c r="AO315" s="13" t="b">
        <v>0</v>
      </c>
      <c r="AP315" s="10" t="s">
        <v>104</v>
      </c>
      <c r="AQ315" s="10"/>
      <c r="AR315" s="17"/>
      <c r="AS315" s="17"/>
      <c r="AT315" s="17"/>
      <c r="AU315" s="17"/>
      <c r="AV315" s="17"/>
      <c r="AW315" s="10"/>
      <c r="AX315" s="17"/>
      <c r="AY315" s="18" t="s">
        <v>257</v>
      </c>
      <c r="AZ315" s="10"/>
      <c r="BA315" s="20" t="b">
        <v>0</v>
      </c>
      <c r="BB315" s="10"/>
      <c r="BC315" s="17" t="s">
        <v>257</v>
      </c>
      <c r="BD315" s="17" t="s">
        <v>257</v>
      </c>
      <c r="BE315" s="17" t="s">
        <v>257</v>
      </c>
      <c r="BF315" s="17" t="s">
        <v>257</v>
      </c>
      <c r="BG315" s="11">
        <f ca="1">IFERROR(__xludf.DUMMYFUNCTION("""COMPUTED_VALUE"""),46095)</f>
        <v>46095</v>
      </c>
      <c r="BH315" s="17"/>
      <c r="BI315" s="17"/>
      <c r="BJ315" s="15"/>
      <c r="BK315" s="15"/>
      <c r="BL315" s="13" t="b">
        <v>0</v>
      </c>
      <c r="BM315" s="10"/>
      <c r="BN315" s="10" t="s">
        <v>223</v>
      </c>
      <c r="BO315" s="11">
        <v>45827.420949074076</v>
      </c>
      <c r="BP315" s="11">
        <v>45827.420949074076</v>
      </c>
      <c r="BQ315" s="15"/>
      <c r="BR315" s="15"/>
      <c r="BS315" s="10"/>
      <c r="BT315" s="10"/>
      <c r="BU315" s="10"/>
      <c r="BV315" s="10"/>
      <c r="BW315" s="10"/>
      <c r="BX315" s="10"/>
      <c r="BY315" s="23"/>
      <c r="BZ315" s="24" t="s">
        <v>299</v>
      </c>
      <c r="CA315" s="23"/>
      <c r="CB315" s="23"/>
      <c r="CC315" s="23"/>
      <c r="CD315" s="23"/>
      <c r="CE315" s="23"/>
      <c r="CF315" s="23"/>
      <c r="CG315" s="23"/>
      <c r="CH315" s="23"/>
      <c r="CI315" s="23"/>
    </row>
    <row r="316" spans="1:87" x14ac:dyDescent="0.3">
      <c r="A316" s="9" t="s">
        <v>2877</v>
      </c>
      <c r="B316" s="10" t="s">
        <v>2878</v>
      </c>
      <c r="C316" s="11">
        <v>46095</v>
      </c>
      <c r="D316" s="12">
        <v>8.3333333333333329E-2</v>
      </c>
      <c r="E316" s="11">
        <v>46095.083333333336</v>
      </c>
      <c r="F316" s="10" t="s">
        <v>262</v>
      </c>
      <c r="G316" s="13" t="b">
        <v>0</v>
      </c>
      <c r="H316" s="10"/>
      <c r="I316" s="10" t="s">
        <v>264</v>
      </c>
      <c r="J316" s="13" t="b">
        <v>0</v>
      </c>
      <c r="K316" s="13" t="b">
        <v>1</v>
      </c>
      <c r="L316" s="10" t="s">
        <v>124</v>
      </c>
      <c r="M316" s="10" t="s">
        <v>91</v>
      </c>
      <c r="N316" s="10" t="s">
        <v>92</v>
      </c>
      <c r="O316" s="10"/>
      <c r="P316" s="10"/>
      <c r="Q316" s="10"/>
      <c r="R316" s="10"/>
      <c r="S316" s="10"/>
      <c r="T316" s="10"/>
      <c r="U316" s="10" t="s">
        <v>451</v>
      </c>
      <c r="V316" s="10" t="s">
        <v>334</v>
      </c>
      <c r="W316" s="10" t="s">
        <v>272</v>
      </c>
      <c r="X316" s="10" t="s">
        <v>130</v>
      </c>
      <c r="Y316" s="10" t="s">
        <v>130</v>
      </c>
      <c r="Z316" s="10" t="s">
        <v>99</v>
      </c>
      <c r="AA316" s="10" t="s">
        <v>131</v>
      </c>
      <c r="AB316" s="10" t="s">
        <v>273</v>
      </c>
      <c r="AC316" s="10" t="s">
        <v>274</v>
      </c>
      <c r="AD316" s="10" t="s">
        <v>2879</v>
      </c>
      <c r="AE316" s="10" t="s">
        <v>2880</v>
      </c>
      <c r="AF316" s="15"/>
      <c r="AG316" s="10"/>
      <c r="AH316" s="10"/>
      <c r="AI316" s="10"/>
      <c r="AJ316" s="10"/>
      <c r="AK316" s="10"/>
      <c r="AL316" s="10" t="s">
        <v>2843</v>
      </c>
      <c r="AM316" s="10"/>
      <c r="AN316" s="10"/>
      <c r="AO316" s="13" t="b">
        <v>1</v>
      </c>
      <c r="AP316" s="10" t="s">
        <v>104</v>
      </c>
      <c r="AQ316" s="10"/>
      <c r="AR316" s="17"/>
      <c r="AS316" s="17"/>
      <c r="AT316" s="17"/>
      <c r="AU316" s="17"/>
      <c r="AV316" s="17"/>
      <c r="AW316" s="10"/>
      <c r="AX316" s="17"/>
      <c r="AY316" s="18" t="s">
        <v>257</v>
      </c>
      <c r="AZ316" s="10"/>
      <c r="BA316" s="20" t="b">
        <v>0</v>
      </c>
      <c r="BB316" s="10"/>
      <c r="BC316" s="17" t="s">
        <v>257</v>
      </c>
      <c r="BD316" s="17" t="s">
        <v>257</v>
      </c>
      <c r="BE316" s="17" t="s">
        <v>257</v>
      </c>
      <c r="BF316" s="17" t="s">
        <v>257</v>
      </c>
      <c r="BG316" s="11">
        <f ca="1">IFERROR(__xludf.DUMMYFUNCTION("""COMPUTED_VALUE"""),46095)</f>
        <v>46095</v>
      </c>
      <c r="BH316" s="17"/>
      <c r="BI316" s="17"/>
      <c r="BJ316" s="15"/>
      <c r="BK316" s="15"/>
      <c r="BL316" s="13" t="b">
        <v>0</v>
      </c>
      <c r="BM316" s="10"/>
      <c r="BN316" s="10" t="s">
        <v>223</v>
      </c>
      <c r="BO316" s="11">
        <v>45827.420949074076</v>
      </c>
      <c r="BP316" s="11">
        <v>45827.420949074076</v>
      </c>
      <c r="BQ316" s="15"/>
      <c r="BR316" s="15"/>
      <c r="BS316" s="10"/>
      <c r="BT316" s="10"/>
      <c r="BU316" s="10"/>
      <c r="BV316" s="10"/>
      <c r="BW316" s="10"/>
      <c r="BX316" s="10"/>
      <c r="BY316" s="23"/>
      <c r="BZ316" s="24" t="s">
        <v>284</v>
      </c>
      <c r="CA316" s="23"/>
      <c r="CB316" s="23"/>
      <c r="CC316" s="23"/>
      <c r="CD316" s="23"/>
      <c r="CE316" s="23"/>
      <c r="CF316" s="23"/>
      <c r="CG316" s="23"/>
      <c r="CH316" s="23"/>
      <c r="CI316" s="23"/>
    </row>
    <row r="317" spans="1:87" x14ac:dyDescent="0.3">
      <c r="A317" s="9" t="s">
        <v>2881</v>
      </c>
      <c r="B317" s="10" t="s">
        <v>2882</v>
      </c>
      <c r="C317" s="11">
        <v>46102</v>
      </c>
      <c r="D317" s="12">
        <v>8.3333333333333329E-2</v>
      </c>
      <c r="E317" s="11">
        <v>46102.083333333336</v>
      </c>
      <c r="F317" s="10" t="s">
        <v>262</v>
      </c>
      <c r="G317" s="13" t="b">
        <v>0</v>
      </c>
      <c r="H317" s="10"/>
      <c r="I317" s="10" t="s">
        <v>264</v>
      </c>
      <c r="J317" s="13" t="b">
        <v>0</v>
      </c>
      <c r="K317" s="13" t="b">
        <v>1</v>
      </c>
      <c r="L317" s="10" t="s">
        <v>124</v>
      </c>
      <c r="M317" s="10" t="s">
        <v>91</v>
      </c>
      <c r="N317" s="10" t="s">
        <v>92</v>
      </c>
      <c r="O317" s="10"/>
      <c r="P317" s="10"/>
      <c r="Q317" s="10"/>
      <c r="R317" s="10"/>
      <c r="S317" s="10"/>
      <c r="T317" s="10"/>
      <c r="U317" s="10" t="s">
        <v>271</v>
      </c>
      <c r="V317" s="10" t="s">
        <v>361</v>
      </c>
      <c r="W317" s="10" t="s">
        <v>272</v>
      </c>
      <c r="X317" s="10" t="s">
        <v>130</v>
      </c>
      <c r="Y317" s="10" t="s">
        <v>130</v>
      </c>
      <c r="Z317" s="10" t="s">
        <v>99</v>
      </c>
      <c r="AA317" s="10" t="s">
        <v>131</v>
      </c>
      <c r="AB317" s="10" t="s">
        <v>273</v>
      </c>
      <c r="AC317" s="10" t="s">
        <v>274</v>
      </c>
      <c r="AD317" s="10" t="s">
        <v>2883</v>
      </c>
      <c r="AE317" s="10" t="s">
        <v>2884</v>
      </c>
      <c r="AF317" s="15"/>
      <c r="AG317" s="10"/>
      <c r="AH317" s="10"/>
      <c r="AI317" s="10"/>
      <c r="AJ317" s="10"/>
      <c r="AK317" s="10"/>
      <c r="AL317" s="10" t="s">
        <v>2885</v>
      </c>
      <c r="AM317" s="10"/>
      <c r="AN317" s="10"/>
      <c r="AO317" s="13" t="b">
        <v>1</v>
      </c>
      <c r="AP317" s="10" t="s">
        <v>104</v>
      </c>
      <c r="AQ317" s="10"/>
      <c r="AR317" s="17"/>
      <c r="AS317" s="17"/>
      <c r="AT317" s="17"/>
      <c r="AU317" s="17"/>
      <c r="AV317" s="17"/>
      <c r="AW317" s="10"/>
      <c r="AX317" s="17"/>
      <c r="AY317" s="18" t="s">
        <v>257</v>
      </c>
      <c r="AZ317" s="10"/>
      <c r="BA317" s="20" t="b">
        <v>0</v>
      </c>
      <c r="BB317" s="10"/>
      <c r="BC317" s="17" t="s">
        <v>257</v>
      </c>
      <c r="BD317" s="17" t="s">
        <v>257</v>
      </c>
      <c r="BE317" s="17" t="s">
        <v>257</v>
      </c>
      <c r="BF317" s="17" t="s">
        <v>257</v>
      </c>
      <c r="BG317" s="11">
        <f ca="1">IFERROR(__xludf.DUMMYFUNCTION("""COMPUTED_VALUE"""),46102)</f>
        <v>46102</v>
      </c>
      <c r="BH317" s="17"/>
      <c r="BI317" s="17"/>
      <c r="BJ317" s="15"/>
      <c r="BK317" s="15"/>
      <c r="BL317" s="13" t="b">
        <v>0</v>
      </c>
      <c r="BM317" s="10"/>
      <c r="BN317" s="10" t="s">
        <v>223</v>
      </c>
      <c r="BO317" s="11">
        <v>45827.420949074076</v>
      </c>
      <c r="BP317" s="11">
        <v>45827.420949074076</v>
      </c>
      <c r="BQ317" s="15"/>
      <c r="BR317" s="15"/>
      <c r="BS317" s="10"/>
      <c r="BT317" s="10"/>
      <c r="BU317" s="10"/>
      <c r="BV317" s="10"/>
      <c r="BW317" s="10"/>
      <c r="BX317" s="10"/>
      <c r="BY317" s="23"/>
      <c r="BZ317" s="24" t="s">
        <v>284</v>
      </c>
      <c r="CA317" s="23"/>
      <c r="CB317" s="23"/>
      <c r="CC317" s="23"/>
      <c r="CD317" s="23"/>
      <c r="CE317" s="23"/>
      <c r="CF317" s="23"/>
      <c r="CG317" s="23"/>
      <c r="CH317" s="23"/>
      <c r="CI317" s="23"/>
    </row>
    <row r="318" spans="1:87" x14ac:dyDescent="0.3">
      <c r="A318" s="9" t="s">
        <v>2886</v>
      </c>
      <c r="B318" s="10" t="s">
        <v>2887</v>
      </c>
      <c r="C318" s="11">
        <v>46102</v>
      </c>
      <c r="D318" s="12">
        <v>8.3333333333333329E-2</v>
      </c>
      <c r="E318" s="11">
        <v>46102.083333333336</v>
      </c>
      <c r="F318" s="10" t="s">
        <v>262</v>
      </c>
      <c r="G318" s="13" t="b">
        <v>0</v>
      </c>
      <c r="H318" s="10"/>
      <c r="I318" s="10" t="s">
        <v>264</v>
      </c>
      <c r="J318" s="13" t="b">
        <v>0</v>
      </c>
      <c r="K318" s="13" t="b">
        <v>1</v>
      </c>
      <c r="L318" s="10" t="s">
        <v>124</v>
      </c>
      <c r="M318" s="10" t="s">
        <v>91</v>
      </c>
      <c r="N318" s="10" t="s">
        <v>92</v>
      </c>
      <c r="O318" s="10"/>
      <c r="P318" s="10"/>
      <c r="Q318" s="10"/>
      <c r="R318" s="10"/>
      <c r="S318" s="10"/>
      <c r="T318" s="10"/>
      <c r="U318" s="10" t="s">
        <v>292</v>
      </c>
      <c r="V318" s="10" t="s">
        <v>451</v>
      </c>
      <c r="W318" s="10" t="s">
        <v>272</v>
      </c>
      <c r="X318" s="10" t="s">
        <v>130</v>
      </c>
      <c r="Y318" s="10" t="s">
        <v>130</v>
      </c>
      <c r="Z318" s="10" t="s">
        <v>99</v>
      </c>
      <c r="AA318" s="10" t="s">
        <v>131</v>
      </c>
      <c r="AB318" s="10" t="s">
        <v>273</v>
      </c>
      <c r="AC318" s="10" t="s">
        <v>274</v>
      </c>
      <c r="AD318" s="10" t="s">
        <v>2888</v>
      </c>
      <c r="AE318" s="10" t="s">
        <v>2889</v>
      </c>
      <c r="AF318" s="15"/>
      <c r="AG318" s="10"/>
      <c r="AH318" s="10"/>
      <c r="AI318" s="10"/>
      <c r="AJ318" s="10"/>
      <c r="AK318" s="10"/>
      <c r="AL318" s="10" t="s">
        <v>2885</v>
      </c>
      <c r="AM318" s="10"/>
      <c r="AN318" s="10"/>
      <c r="AO318" s="13" t="b">
        <v>0</v>
      </c>
      <c r="AP318" s="10" t="s">
        <v>104</v>
      </c>
      <c r="AQ318" s="10"/>
      <c r="AR318" s="17"/>
      <c r="AS318" s="17"/>
      <c r="AT318" s="17"/>
      <c r="AU318" s="17"/>
      <c r="AV318" s="17"/>
      <c r="AW318" s="10"/>
      <c r="AX318" s="17"/>
      <c r="AY318" s="18" t="s">
        <v>257</v>
      </c>
      <c r="AZ318" s="10"/>
      <c r="BA318" s="20" t="b">
        <v>0</v>
      </c>
      <c r="BB318" s="10"/>
      <c r="BC318" s="17" t="s">
        <v>257</v>
      </c>
      <c r="BD318" s="17" t="s">
        <v>257</v>
      </c>
      <c r="BE318" s="17" t="s">
        <v>257</v>
      </c>
      <c r="BF318" s="17" t="s">
        <v>257</v>
      </c>
      <c r="BG318" s="11">
        <f ca="1">IFERROR(__xludf.DUMMYFUNCTION("""COMPUTED_VALUE"""),46102)</f>
        <v>46102</v>
      </c>
      <c r="BH318" s="17"/>
      <c r="BI318" s="17"/>
      <c r="BJ318" s="15"/>
      <c r="BK318" s="15"/>
      <c r="BL318" s="13" t="b">
        <v>0</v>
      </c>
      <c r="BM318" s="10"/>
      <c r="BN318" s="10" t="s">
        <v>223</v>
      </c>
      <c r="BO318" s="11">
        <v>45827.420949074076</v>
      </c>
      <c r="BP318" s="11">
        <v>45827.420949074076</v>
      </c>
      <c r="BQ318" s="15"/>
      <c r="BR318" s="15"/>
      <c r="BS318" s="10"/>
      <c r="BT318" s="10"/>
      <c r="BU318" s="10"/>
      <c r="BV318" s="10"/>
      <c r="BW318" s="10"/>
      <c r="BX318" s="10"/>
      <c r="BY318" s="23"/>
      <c r="BZ318" s="24" t="s">
        <v>299</v>
      </c>
      <c r="CA318" s="23"/>
      <c r="CB318" s="23"/>
      <c r="CC318" s="23"/>
      <c r="CD318" s="23"/>
      <c r="CE318" s="23"/>
      <c r="CF318" s="23"/>
      <c r="CG318" s="23"/>
      <c r="CH318" s="23"/>
      <c r="CI318" s="23"/>
    </row>
    <row r="319" spans="1:87" x14ac:dyDescent="0.3">
      <c r="A319" s="9" t="s">
        <v>2890</v>
      </c>
      <c r="B319" s="10" t="s">
        <v>2891</v>
      </c>
      <c r="C319" s="11">
        <v>46102</v>
      </c>
      <c r="D319" s="12">
        <v>8.3333333333333329E-2</v>
      </c>
      <c r="E319" s="11">
        <v>46102.083333333336</v>
      </c>
      <c r="F319" s="10" t="s">
        <v>262</v>
      </c>
      <c r="G319" s="13" t="b">
        <v>0</v>
      </c>
      <c r="H319" s="10"/>
      <c r="I319" s="10" t="s">
        <v>264</v>
      </c>
      <c r="J319" s="13" t="b">
        <v>0</v>
      </c>
      <c r="K319" s="13" t="b">
        <v>1</v>
      </c>
      <c r="L319" s="10" t="s">
        <v>124</v>
      </c>
      <c r="M319" s="10" t="s">
        <v>91</v>
      </c>
      <c r="N319" s="10" t="s">
        <v>92</v>
      </c>
      <c r="O319" s="10"/>
      <c r="P319" s="10"/>
      <c r="Q319" s="10"/>
      <c r="R319" s="10"/>
      <c r="S319" s="10"/>
      <c r="T319" s="10"/>
      <c r="U319" s="10" t="s">
        <v>308</v>
      </c>
      <c r="V319" s="10" t="s">
        <v>270</v>
      </c>
      <c r="W319" s="10" t="s">
        <v>272</v>
      </c>
      <c r="X319" s="10" t="s">
        <v>130</v>
      </c>
      <c r="Y319" s="10" t="s">
        <v>130</v>
      </c>
      <c r="Z319" s="10" t="s">
        <v>99</v>
      </c>
      <c r="AA319" s="10" t="s">
        <v>131</v>
      </c>
      <c r="AB319" s="10" t="s">
        <v>273</v>
      </c>
      <c r="AC319" s="10" t="s">
        <v>274</v>
      </c>
      <c r="AD319" s="10" t="s">
        <v>2892</v>
      </c>
      <c r="AE319" s="10" t="s">
        <v>2893</v>
      </c>
      <c r="AF319" s="15"/>
      <c r="AG319" s="10"/>
      <c r="AH319" s="10"/>
      <c r="AI319" s="10"/>
      <c r="AJ319" s="10"/>
      <c r="AK319" s="10"/>
      <c r="AL319" s="10" t="s">
        <v>2885</v>
      </c>
      <c r="AM319" s="10"/>
      <c r="AN319" s="10"/>
      <c r="AO319" s="13" t="b">
        <v>1</v>
      </c>
      <c r="AP319" s="10" t="s">
        <v>104</v>
      </c>
      <c r="AQ319" s="10"/>
      <c r="AR319" s="17"/>
      <c r="AS319" s="17"/>
      <c r="AT319" s="17"/>
      <c r="AU319" s="17"/>
      <c r="AV319" s="17"/>
      <c r="AW319" s="10"/>
      <c r="AX319" s="17"/>
      <c r="AY319" s="18" t="s">
        <v>257</v>
      </c>
      <c r="AZ319" s="10"/>
      <c r="BA319" s="20" t="b">
        <v>0</v>
      </c>
      <c r="BB319" s="10"/>
      <c r="BC319" s="17" t="s">
        <v>257</v>
      </c>
      <c r="BD319" s="17" t="s">
        <v>257</v>
      </c>
      <c r="BE319" s="17" t="s">
        <v>257</v>
      </c>
      <c r="BF319" s="17" t="s">
        <v>257</v>
      </c>
      <c r="BG319" s="11">
        <f ca="1">IFERROR(__xludf.DUMMYFUNCTION("""COMPUTED_VALUE"""),46102)</f>
        <v>46102</v>
      </c>
      <c r="BH319" s="17"/>
      <c r="BI319" s="17"/>
      <c r="BJ319" s="15"/>
      <c r="BK319" s="15"/>
      <c r="BL319" s="13" t="b">
        <v>0</v>
      </c>
      <c r="BM319" s="10"/>
      <c r="BN319" s="10" t="s">
        <v>223</v>
      </c>
      <c r="BO319" s="11">
        <v>45827.420949074076</v>
      </c>
      <c r="BP319" s="11">
        <v>45827.420949074076</v>
      </c>
      <c r="BQ319" s="15"/>
      <c r="BR319" s="15"/>
      <c r="BS319" s="10"/>
      <c r="BT319" s="10"/>
      <c r="BU319" s="10"/>
      <c r="BV319" s="10"/>
      <c r="BW319" s="10"/>
      <c r="BX319" s="10"/>
      <c r="BY319" s="23"/>
      <c r="BZ319" s="24" t="s">
        <v>284</v>
      </c>
      <c r="CA319" s="23"/>
      <c r="CB319" s="23"/>
      <c r="CC319" s="23"/>
      <c r="CD319" s="23"/>
      <c r="CE319" s="23"/>
      <c r="CF319" s="23"/>
      <c r="CG319" s="23"/>
      <c r="CH319" s="23"/>
      <c r="CI319" s="23"/>
    </row>
    <row r="320" spans="1:87" x14ac:dyDescent="0.3">
      <c r="A320" s="9" t="s">
        <v>2894</v>
      </c>
      <c r="B320" s="10" t="s">
        <v>2895</v>
      </c>
      <c r="C320" s="11">
        <v>46102</v>
      </c>
      <c r="D320" s="12">
        <v>8.3333333333333329E-2</v>
      </c>
      <c r="E320" s="11">
        <v>46102.083333333336</v>
      </c>
      <c r="F320" s="10" t="s">
        <v>262</v>
      </c>
      <c r="G320" s="13" t="b">
        <v>0</v>
      </c>
      <c r="H320" s="10"/>
      <c r="I320" s="10" t="s">
        <v>264</v>
      </c>
      <c r="J320" s="13" t="b">
        <v>0</v>
      </c>
      <c r="K320" s="13" t="b">
        <v>1</v>
      </c>
      <c r="L320" s="10" t="s">
        <v>124</v>
      </c>
      <c r="M320" s="10" t="s">
        <v>91</v>
      </c>
      <c r="N320" s="10" t="s">
        <v>92</v>
      </c>
      <c r="O320" s="10"/>
      <c r="P320" s="10"/>
      <c r="Q320" s="10"/>
      <c r="R320" s="10"/>
      <c r="S320" s="10"/>
      <c r="T320" s="10"/>
      <c r="U320" s="10" t="s">
        <v>407</v>
      </c>
      <c r="V320" s="10" t="s">
        <v>346</v>
      </c>
      <c r="W320" s="10" t="s">
        <v>272</v>
      </c>
      <c r="X320" s="10" t="s">
        <v>130</v>
      </c>
      <c r="Y320" s="10" t="s">
        <v>130</v>
      </c>
      <c r="Z320" s="10" t="s">
        <v>99</v>
      </c>
      <c r="AA320" s="10" t="s">
        <v>131</v>
      </c>
      <c r="AB320" s="10" t="s">
        <v>273</v>
      </c>
      <c r="AC320" s="10" t="s">
        <v>274</v>
      </c>
      <c r="AD320" s="10" t="s">
        <v>2896</v>
      </c>
      <c r="AE320" s="10" t="s">
        <v>2897</v>
      </c>
      <c r="AF320" s="15"/>
      <c r="AG320" s="10"/>
      <c r="AH320" s="10"/>
      <c r="AI320" s="10"/>
      <c r="AJ320" s="10"/>
      <c r="AK320" s="10"/>
      <c r="AL320" s="10" t="s">
        <v>2885</v>
      </c>
      <c r="AM320" s="10"/>
      <c r="AN320" s="10"/>
      <c r="AO320" s="13" t="b">
        <v>1</v>
      </c>
      <c r="AP320" s="10" t="s">
        <v>104</v>
      </c>
      <c r="AQ320" s="10"/>
      <c r="AR320" s="17"/>
      <c r="AS320" s="17"/>
      <c r="AT320" s="17"/>
      <c r="AU320" s="17"/>
      <c r="AV320" s="17"/>
      <c r="AW320" s="10"/>
      <c r="AX320" s="17"/>
      <c r="AY320" s="18" t="s">
        <v>257</v>
      </c>
      <c r="AZ320" s="10"/>
      <c r="BA320" s="20" t="b">
        <v>0</v>
      </c>
      <c r="BB320" s="10"/>
      <c r="BC320" s="17" t="s">
        <v>257</v>
      </c>
      <c r="BD320" s="17" t="s">
        <v>257</v>
      </c>
      <c r="BE320" s="17" t="s">
        <v>257</v>
      </c>
      <c r="BF320" s="17" t="s">
        <v>257</v>
      </c>
      <c r="BG320" s="11">
        <f ca="1">IFERROR(__xludf.DUMMYFUNCTION("""COMPUTED_VALUE"""),46102)</f>
        <v>46102</v>
      </c>
      <c r="BH320" s="17"/>
      <c r="BI320" s="17"/>
      <c r="BJ320" s="15"/>
      <c r="BK320" s="15"/>
      <c r="BL320" s="13" t="b">
        <v>0</v>
      </c>
      <c r="BM320" s="10"/>
      <c r="BN320" s="10" t="s">
        <v>223</v>
      </c>
      <c r="BO320" s="11">
        <v>45827.420949074076</v>
      </c>
      <c r="BP320" s="11">
        <v>45827.420949074076</v>
      </c>
      <c r="BQ320" s="15"/>
      <c r="BR320" s="15"/>
      <c r="BS320" s="10"/>
      <c r="BT320" s="10"/>
      <c r="BU320" s="10"/>
      <c r="BV320" s="10"/>
      <c r="BW320" s="10"/>
      <c r="BX320" s="10"/>
      <c r="BY320" s="23"/>
      <c r="BZ320" s="24" t="s">
        <v>284</v>
      </c>
      <c r="CA320" s="23"/>
      <c r="CB320" s="23"/>
      <c r="CC320" s="23"/>
      <c r="CD320" s="23"/>
      <c r="CE320" s="23"/>
      <c r="CF320" s="23"/>
      <c r="CG320" s="23"/>
      <c r="CH320" s="23"/>
      <c r="CI320" s="23"/>
    </row>
    <row r="321" spans="1:87" x14ac:dyDescent="0.3">
      <c r="A321" s="9" t="s">
        <v>2898</v>
      </c>
      <c r="B321" s="10" t="s">
        <v>2899</v>
      </c>
      <c r="C321" s="11">
        <v>46102</v>
      </c>
      <c r="D321" s="12">
        <v>8.3333333333333329E-2</v>
      </c>
      <c r="E321" s="11">
        <v>46102.083333333336</v>
      </c>
      <c r="F321" s="10" t="s">
        <v>262</v>
      </c>
      <c r="G321" s="13" t="b">
        <v>0</v>
      </c>
      <c r="H321" s="10"/>
      <c r="I321" s="10" t="s">
        <v>264</v>
      </c>
      <c r="J321" s="13" t="b">
        <v>0</v>
      </c>
      <c r="K321" s="13" t="b">
        <v>1</v>
      </c>
      <c r="L321" s="10" t="s">
        <v>124</v>
      </c>
      <c r="M321" s="10" t="s">
        <v>91</v>
      </c>
      <c r="N321" s="10" t="s">
        <v>92</v>
      </c>
      <c r="O321" s="10"/>
      <c r="P321" s="10"/>
      <c r="Q321" s="10"/>
      <c r="R321" s="10"/>
      <c r="S321" s="10"/>
      <c r="T321" s="10"/>
      <c r="U321" s="10" t="s">
        <v>309</v>
      </c>
      <c r="V321" s="10" t="s">
        <v>609</v>
      </c>
      <c r="W321" s="10" t="s">
        <v>272</v>
      </c>
      <c r="X321" s="10" t="s">
        <v>130</v>
      </c>
      <c r="Y321" s="10" t="s">
        <v>130</v>
      </c>
      <c r="Z321" s="10" t="s">
        <v>99</v>
      </c>
      <c r="AA321" s="10" t="s">
        <v>131</v>
      </c>
      <c r="AB321" s="10" t="s">
        <v>273</v>
      </c>
      <c r="AC321" s="10" t="s">
        <v>274</v>
      </c>
      <c r="AD321" s="10" t="s">
        <v>2900</v>
      </c>
      <c r="AE321" s="10" t="s">
        <v>2901</v>
      </c>
      <c r="AF321" s="15"/>
      <c r="AG321" s="10"/>
      <c r="AH321" s="10"/>
      <c r="AI321" s="10"/>
      <c r="AJ321" s="10"/>
      <c r="AK321" s="10"/>
      <c r="AL321" s="10" t="s">
        <v>2885</v>
      </c>
      <c r="AM321" s="10"/>
      <c r="AN321" s="10"/>
      <c r="AO321" s="13" t="b">
        <v>0</v>
      </c>
      <c r="AP321" s="10" t="s">
        <v>104</v>
      </c>
      <c r="AQ321" s="10"/>
      <c r="AR321" s="17"/>
      <c r="AS321" s="17"/>
      <c r="AT321" s="17"/>
      <c r="AU321" s="17"/>
      <c r="AV321" s="17"/>
      <c r="AW321" s="10"/>
      <c r="AX321" s="17"/>
      <c r="AY321" s="18" t="s">
        <v>257</v>
      </c>
      <c r="AZ321" s="10"/>
      <c r="BA321" s="20" t="b">
        <v>0</v>
      </c>
      <c r="BB321" s="10"/>
      <c r="BC321" s="17" t="s">
        <v>257</v>
      </c>
      <c r="BD321" s="17" t="s">
        <v>257</v>
      </c>
      <c r="BE321" s="17" t="s">
        <v>257</v>
      </c>
      <c r="BF321" s="17" t="s">
        <v>257</v>
      </c>
      <c r="BG321" s="11">
        <f ca="1">IFERROR(__xludf.DUMMYFUNCTION("""COMPUTED_VALUE"""),46102)</f>
        <v>46102</v>
      </c>
      <c r="BH321" s="17"/>
      <c r="BI321" s="17"/>
      <c r="BJ321" s="15"/>
      <c r="BK321" s="15"/>
      <c r="BL321" s="13" t="b">
        <v>0</v>
      </c>
      <c r="BM321" s="10"/>
      <c r="BN321" s="10" t="s">
        <v>223</v>
      </c>
      <c r="BO321" s="11">
        <v>45827.420949074076</v>
      </c>
      <c r="BP321" s="11">
        <v>45827.420949074076</v>
      </c>
      <c r="BQ321" s="15"/>
      <c r="BR321" s="15"/>
      <c r="BS321" s="10"/>
      <c r="BT321" s="10"/>
      <c r="BU321" s="10"/>
      <c r="BV321" s="10"/>
      <c r="BW321" s="10"/>
      <c r="BX321" s="10"/>
      <c r="BY321" s="23"/>
      <c r="BZ321" s="24" t="s">
        <v>299</v>
      </c>
      <c r="CA321" s="23"/>
      <c r="CB321" s="23"/>
      <c r="CC321" s="23"/>
      <c r="CD321" s="23"/>
      <c r="CE321" s="23"/>
      <c r="CF321" s="23"/>
      <c r="CG321" s="23"/>
      <c r="CH321" s="23"/>
      <c r="CI321" s="23"/>
    </row>
    <row r="322" spans="1:87" x14ac:dyDescent="0.3">
      <c r="A322" s="9" t="s">
        <v>2902</v>
      </c>
      <c r="B322" s="10" t="s">
        <v>2903</v>
      </c>
      <c r="C322" s="11">
        <v>46102</v>
      </c>
      <c r="D322" s="12">
        <v>8.3333333333333329E-2</v>
      </c>
      <c r="E322" s="11">
        <v>46102.083333333336</v>
      </c>
      <c r="F322" s="10" t="s">
        <v>262</v>
      </c>
      <c r="G322" s="13" t="b">
        <v>0</v>
      </c>
      <c r="H322" s="10"/>
      <c r="I322" s="10" t="s">
        <v>264</v>
      </c>
      <c r="J322" s="13" t="b">
        <v>0</v>
      </c>
      <c r="K322" s="13" t="b">
        <v>1</v>
      </c>
      <c r="L322" s="10" t="s">
        <v>124</v>
      </c>
      <c r="M322" s="10" t="s">
        <v>91</v>
      </c>
      <c r="N322" s="10" t="s">
        <v>92</v>
      </c>
      <c r="O322" s="10"/>
      <c r="P322" s="10"/>
      <c r="Q322" s="10"/>
      <c r="R322" s="10"/>
      <c r="S322" s="10"/>
      <c r="T322" s="10"/>
      <c r="U322" s="10" t="s">
        <v>663</v>
      </c>
      <c r="V322" s="10" t="s">
        <v>321</v>
      </c>
      <c r="W322" s="10" t="s">
        <v>272</v>
      </c>
      <c r="X322" s="10" t="s">
        <v>130</v>
      </c>
      <c r="Y322" s="10" t="s">
        <v>130</v>
      </c>
      <c r="Z322" s="10" t="s">
        <v>99</v>
      </c>
      <c r="AA322" s="10" t="s">
        <v>131</v>
      </c>
      <c r="AB322" s="10" t="s">
        <v>273</v>
      </c>
      <c r="AC322" s="10" t="s">
        <v>274</v>
      </c>
      <c r="AD322" s="10" t="s">
        <v>2904</v>
      </c>
      <c r="AE322" s="10" t="s">
        <v>2905</v>
      </c>
      <c r="AF322" s="15"/>
      <c r="AG322" s="10"/>
      <c r="AH322" s="10"/>
      <c r="AI322" s="10"/>
      <c r="AJ322" s="10"/>
      <c r="AK322" s="10"/>
      <c r="AL322" s="10" t="s">
        <v>2885</v>
      </c>
      <c r="AM322" s="10"/>
      <c r="AN322" s="10"/>
      <c r="AO322" s="13" t="b">
        <v>0</v>
      </c>
      <c r="AP322" s="10" t="s">
        <v>104</v>
      </c>
      <c r="AQ322" s="10"/>
      <c r="AR322" s="17"/>
      <c r="AS322" s="17"/>
      <c r="AT322" s="17"/>
      <c r="AU322" s="17"/>
      <c r="AV322" s="17"/>
      <c r="AW322" s="10"/>
      <c r="AX322" s="17"/>
      <c r="AY322" s="18" t="s">
        <v>257</v>
      </c>
      <c r="AZ322" s="10"/>
      <c r="BA322" s="20" t="b">
        <v>0</v>
      </c>
      <c r="BB322" s="10"/>
      <c r="BC322" s="17" t="s">
        <v>257</v>
      </c>
      <c r="BD322" s="17" t="s">
        <v>257</v>
      </c>
      <c r="BE322" s="17" t="s">
        <v>257</v>
      </c>
      <c r="BF322" s="17" t="s">
        <v>257</v>
      </c>
      <c r="BG322" s="11">
        <f ca="1">IFERROR(__xludf.DUMMYFUNCTION("""COMPUTED_VALUE"""),46102)</f>
        <v>46102</v>
      </c>
      <c r="BH322" s="17"/>
      <c r="BI322" s="17"/>
      <c r="BJ322" s="15"/>
      <c r="BK322" s="15"/>
      <c r="BL322" s="13" t="b">
        <v>0</v>
      </c>
      <c r="BM322" s="10"/>
      <c r="BN322" s="10" t="s">
        <v>223</v>
      </c>
      <c r="BO322" s="11">
        <v>45827.420949074076</v>
      </c>
      <c r="BP322" s="11">
        <v>45827.420949074076</v>
      </c>
      <c r="BQ322" s="15"/>
      <c r="BR322" s="15"/>
      <c r="BS322" s="10"/>
      <c r="BT322" s="10"/>
      <c r="BU322" s="10"/>
      <c r="BV322" s="10"/>
      <c r="BW322" s="10"/>
      <c r="BX322" s="10"/>
      <c r="BY322" s="23"/>
      <c r="BZ322" s="24" t="s">
        <v>299</v>
      </c>
      <c r="CA322" s="23"/>
      <c r="CB322" s="23"/>
      <c r="CC322" s="23"/>
      <c r="CD322" s="23"/>
      <c r="CE322" s="23"/>
      <c r="CF322" s="23"/>
      <c r="CG322" s="23"/>
      <c r="CH322" s="23"/>
      <c r="CI322" s="23"/>
    </row>
    <row r="323" spans="1:87" x14ac:dyDescent="0.3">
      <c r="A323" s="9" t="s">
        <v>2906</v>
      </c>
      <c r="B323" s="10" t="s">
        <v>2907</v>
      </c>
      <c r="C323" s="11">
        <v>46102</v>
      </c>
      <c r="D323" s="12">
        <v>8.3333333333333329E-2</v>
      </c>
      <c r="E323" s="11">
        <v>46102.083333333336</v>
      </c>
      <c r="F323" s="10" t="s">
        <v>262</v>
      </c>
      <c r="G323" s="13" t="b">
        <v>0</v>
      </c>
      <c r="H323" s="10"/>
      <c r="I323" s="10" t="s">
        <v>264</v>
      </c>
      <c r="J323" s="13" t="b">
        <v>0</v>
      </c>
      <c r="K323" s="13" t="b">
        <v>1</v>
      </c>
      <c r="L323" s="10" t="s">
        <v>124</v>
      </c>
      <c r="M323" s="10" t="s">
        <v>91</v>
      </c>
      <c r="N323" s="10" t="s">
        <v>92</v>
      </c>
      <c r="O323" s="10"/>
      <c r="P323" s="10"/>
      <c r="Q323" s="10"/>
      <c r="R323" s="10"/>
      <c r="S323" s="10"/>
      <c r="T323" s="10"/>
      <c r="U323" s="10" t="s">
        <v>334</v>
      </c>
      <c r="V323" s="10" t="s">
        <v>347</v>
      </c>
      <c r="W323" s="10" t="s">
        <v>272</v>
      </c>
      <c r="X323" s="10" t="s">
        <v>130</v>
      </c>
      <c r="Y323" s="10" t="s">
        <v>130</v>
      </c>
      <c r="Z323" s="10" t="s">
        <v>99</v>
      </c>
      <c r="AA323" s="10" t="s">
        <v>131</v>
      </c>
      <c r="AB323" s="10" t="s">
        <v>273</v>
      </c>
      <c r="AC323" s="10" t="s">
        <v>274</v>
      </c>
      <c r="AD323" s="10" t="s">
        <v>2908</v>
      </c>
      <c r="AE323" s="10" t="s">
        <v>2909</v>
      </c>
      <c r="AF323" s="15"/>
      <c r="AG323" s="10"/>
      <c r="AH323" s="10"/>
      <c r="AI323" s="10"/>
      <c r="AJ323" s="10"/>
      <c r="AK323" s="10"/>
      <c r="AL323" s="10" t="s">
        <v>2885</v>
      </c>
      <c r="AM323" s="10"/>
      <c r="AN323" s="10"/>
      <c r="AO323" s="13" t="b">
        <v>1</v>
      </c>
      <c r="AP323" s="10" t="s">
        <v>104</v>
      </c>
      <c r="AQ323" s="10"/>
      <c r="AR323" s="17"/>
      <c r="AS323" s="17"/>
      <c r="AT323" s="17"/>
      <c r="AU323" s="17"/>
      <c r="AV323" s="17"/>
      <c r="AW323" s="10"/>
      <c r="AX323" s="17"/>
      <c r="AY323" s="18" t="s">
        <v>257</v>
      </c>
      <c r="AZ323" s="10"/>
      <c r="BA323" s="20" t="b">
        <v>0</v>
      </c>
      <c r="BB323" s="10"/>
      <c r="BC323" s="17" t="s">
        <v>257</v>
      </c>
      <c r="BD323" s="17" t="s">
        <v>257</v>
      </c>
      <c r="BE323" s="17" t="s">
        <v>257</v>
      </c>
      <c r="BF323" s="17" t="s">
        <v>257</v>
      </c>
      <c r="BG323" s="11">
        <f ca="1">IFERROR(__xludf.DUMMYFUNCTION("""COMPUTED_VALUE"""),46102)</f>
        <v>46102</v>
      </c>
      <c r="BH323" s="17"/>
      <c r="BI323" s="17"/>
      <c r="BJ323" s="15"/>
      <c r="BK323" s="15"/>
      <c r="BL323" s="13" t="b">
        <v>0</v>
      </c>
      <c r="BM323" s="10"/>
      <c r="BN323" s="10" t="s">
        <v>223</v>
      </c>
      <c r="BO323" s="11">
        <v>45827.420949074076</v>
      </c>
      <c r="BP323" s="11">
        <v>45827.420949074076</v>
      </c>
      <c r="BQ323" s="15"/>
      <c r="BR323" s="15"/>
      <c r="BS323" s="10"/>
      <c r="BT323" s="10"/>
      <c r="BU323" s="10"/>
      <c r="BV323" s="10"/>
      <c r="BW323" s="10"/>
      <c r="BX323" s="10"/>
      <c r="BY323" s="23"/>
      <c r="BZ323" s="24" t="s">
        <v>284</v>
      </c>
      <c r="CA323" s="23"/>
      <c r="CB323" s="23"/>
      <c r="CC323" s="23"/>
      <c r="CD323" s="23"/>
      <c r="CE323" s="23"/>
      <c r="CF323" s="23"/>
      <c r="CG323" s="23"/>
      <c r="CH323" s="23"/>
      <c r="CI323" s="23"/>
    </row>
    <row r="324" spans="1:87" x14ac:dyDescent="0.3">
      <c r="A324" s="9" t="s">
        <v>2910</v>
      </c>
      <c r="B324" s="10" t="s">
        <v>2911</v>
      </c>
      <c r="C324" s="11">
        <v>46102</v>
      </c>
      <c r="D324" s="12">
        <v>8.3333333333333329E-2</v>
      </c>
      <c r="E324" s="11">
        <v>46102.083333333336</v>
      </c>
      <c r="F324" s="10" t="s">
        <v>262</v>
      </c>
      <c r="G324" s="13" t="b">
        <v>0</v>
      </c>
      <c r="H324" s="10"/>
      <c r="I324" s="10" t="s">
        <v>264</v>
      </c>
      <c r="J324" s="13" t="b">
        <v>0</v>
      </c>
      <c r="K324" s="13" t="b">
        <v>1</v>
      </c>
      <c r="L324" s="10" t="s">
        <v>124</v>
      </c>
      <c r="M324" s="10" t="s">
        <v>91</v>
      </c>
      <c r="N324" s="10" t="s">
        <v>92</v>
      </c>
      <c r="O324" s="10"/>
      <c r="P324" s="10"/>
      <c r="Q324" s="10"/>
      <c r="R324" s="10"/>
      <c r="S324" s="10"/>
      <c r="T324" s="10"/>
      <c r="U324" s="10" t="s">
        <v>293</v>
      </c>
      <c r="V324" s="10" t="s">
        <v>588</v>
      </c>
      <c r="W324" s="10" t="s">
        <v>272</v>
      </c>
      <c r="X324" s="10" t="s">
        <v>130</v>
      </c>
      <c r="Y324" s="10" t="s">
        <v>130</v>
      </c>
      <c r="Z324" s="10" t="s">
        <v>99</v>
      </c>
      <c r="AA324" s="10" t="s">
        <v>131</v>
      </c>
      <c r="AB324" s="10" t="s">
        <v>273</v>
      </c>
      <c r="AC324" s="10" t="s">
        <v>274</v>
      </c>
      <c r="AD324" s="10" t="s">
        <v>2912</v>
      </c>
      <c r="AE324" s="10" t="s">
        <v>2913</v>
      </c>
      <c r="AF324" s="15"/>
      <c r="AG324" s="10"/>
      <c r="AH324" s="10"/>
      <c r="AI324" s="10"/>
      <c r="AJ324" s="10"/>
      <c r="AK324" s="10"/>
      <c r="AL324" s="10" t="s">
        <v>2885</v>
      </c>
      <c r="AM324" s="10"/>
      <c r="AN324" s="10"/>
      <c r="AO324" s="13" t="b">
        <v>0</v>
      </c>
      <c r="AP324" s="10" t="s">
        <v>104</v>
      </c>
      <c r="AQ324" s="10"/>
      <c r="AR324" s="17"/>
      <c r="AS324" s="17"/>
      <c r="AT324" s="17"/>
      <c r="AU324" s="17"/>
      <c r="AV324" s="17"/>
      <c r="AW324" s="10"/>
      <c r="AX324" s="17"/>
      <c r="AY324" s="18" t="s">
        <v>257</v>
      </c>
      <c r="AZ324" s="10"/>
      <c r="BA324" s="20" t="b">
        <v>0</v>
      </c>
      <c r="BB324" s="10"/>
      <c r="BC324" s="17" t="s">
        <v>257</v>
      </c>
      <c r="BD324" s="17" t="s">
        <v>257</v>
      </c>
      <c r="BE324" s="17" t="s">
        <v>257</v>
      </c>
      <c r="BF324" s="17" t="s">
        <v>257</v>
      </c>
      <c r="BG324" s="11">
        <f ca="1">IFERROR(__xludf.DUMMYFUNCTION("""COMPUTED_VALUE"""),46102)</f>
        <v>46102</v>
      </c>
      <c r="BH324" s="17"/>
      <c r="BI324" s="17"/>
      <c r="BJ324" s="15"/>
      <c r="BK324" s="15"/>
      <c r="BL324" s="13" t="b">
        <v>0</v>
      </c>
      <c r="BM324" s="10"/>
      <c r="BN324" s="10" t="s">
        <v>223</v>
      </c>
      <c r="BO324" s="11">
        <v>45827.420949074076</v>
      </c>
      <c r="BP324" s="11">
        <v>45827.420949074076</v>
      </c>
      <c r="BQ324" s="15"/>
      <c r="BR324" s="15"/>
      <c r="BS324" s="10"/>
      <c r="BT324" s="10"/>
      <c r="BU324" s="10"/>
      <c r="BV324" s="10"/>
      <c r="BW324" s="10"/>
      <c r="BX324" s="10"/>
      <c r="BY324" s="23"/>
      <c r="BZ324" s="24" t="s">
        <v>299</v>
      </c>
      <c r="CA324" s="23"/>
      <c r="CB324" s="23"/>
      <c r="CC324" s="23"/>
      <c r="CD324" s="23"/>
      <c r="CE324" s="23"/>
      <c r="CF324" s="23"/>
      <c r="CG324" s="23"/>
      <c r="CH324" s="23"/>
      <c r="CI324" s="23"/>
    </row>
    <row r="325" spans="1:87" x14ac:dyDescent="0.3">
      <c r="A325" s="25" t="s">
        <v>2914</v>
      </c>
      <c r="B325" s="10" t="s">
        <v>2915</v>
      </c>
      <c r="C325" s="11">
        <v>46102</v>
      </c>
      <c r="D325" s="12">
        <v>8.3333333333333329E-2</v>
      </c>
      <c r="E325" s="11">
        <v>46102.083333333336</v>
      </c>
      <c r="F325" s="10" t="s">
        <v>262</v>
      </c>
      <c r="G325" s="13" t="b">
        <v>0</v>
      </c>
      <c r="H325" s="10"/>
      <c r="I325" s="10" t="s">
        <v>264</v>
      </c>
      <c r="J325" s="13" t="b">
        <v>0</v>
      </c>
      <c r="K325" s="13" t="b">
        <v>1</v>
      </c>
      <c r="L325" s="10" t="s">
        <v>124</v>
      </c>
      <c r="M325" s="10" t="s">
        <v>91</v>
      </c>
      <c r="N325" s="10" t="s">
        <v>92</v>
      </c>
      <c r="O325" s="10"/>
      <c r="P325" s="10"/>
      <c r="Q325" s="10"/>
      <c r="R325" s="10"/>
      <c r="S325" s="10"/>
      <c r="T325" s="10"/>
      <c r="U325" s="10" t="s">
        <v>429</v>
      </c>
      <c r="V325" s="10" t="s">
        <v>320</v>
      </c>
      <c r="W325" s="10" t="s">
        <v>272</v>
      </c>
      <c r="X325" s="10" t="s">
        <v>130</v>
      </c>
      <c r="Y325" s="10" t="s">
        <v>130</v>
      </c>
      <c r="Z325" s="10" t="s">
        <v>99</v>
      </c>
      <c r="AA325" s="10" t="s">
        <v>131</v>
      </c>
      <c r="AB325" s="10" t="s">
        <v>273</v>
      </c>
      <c r="AC325" s="10" t="s">
        <v>274</v>
      </c>
      <c r="AD325" s="10" t="s">
        <v>2916</v>
      </c>
      <c r="AE325" s="10" t="s">
        <v>2917</v>
      </c>
      <c r="AF325" s="15"/>
      <c r="AG325" s="10"/>
      <c r="AH325" s="10"/>
      <c r="AI325" s="10"/>
      <c r="AJ325" s="10"/>
      <c r="AK325" s="10"/>
      <c r="AL325" s="10" t="s">
        <v>2885</v>
      </c>
      <c r="AM325" s="10"/>
      <c r="AN325" s="10"/>
      <c r="AO325" s="13" t="b">
        <v>1</v>
      </c>
      <c r="AP325" s="10" t="s">
        <v>104</v>
      </c>
      <c r="AQ325" s="10"/>
      <c r="AR325" s="17"/>
      <c r="AS325" s="17"/>
      <c r="AT325" s="17"/>
      <c r="AU325" s="17"/>
      <c r="AV325" s="17"/>
      <c r="AW325" s="10"/>
      <c r="AX325" s="17"/>
      <c r="AY325" s="18" t="s">
        <v>257</v>
      </c>
      <c r="AZ325" s="10"/>
      <c r="BA325" s="20" t="b">
        <v>0</v>
      </c>
      <c r="BB325" s="10"/>
      <c r="BC325" s="17" t="s">
        <v>257</v>
      </c>
      <c r="BD325" s="17" t="s">
        <v>257</v>
      </c>
      <c r="BE325" s="17" t="s">
        <v>257</v>
      </c>
      <c r="BF325" s="17" t="s">
        <v>257</v>
      </c>
      <c r="BG325" s="11">
        <f ca="1">IFERROR(__xludf.DUMMYFUNCTION("""COMPUTED_VALUE"""),46102)</f>
        <v>46102</v>
      </c>
      <c r="BH325" s="17"/>
      <c r="BI325" s="17"/>
      <c r="BJ325" s="15"/>
      <c r="BK325" s="15"/>
      <c r="BL325" s="13" t="b">
        <v>0</v>
      </c>
      <c r="BM325" s="10"/>
      <c r="BN325" s="10" t="s">
        <v>223</v>
      </c>
      <c r="BO325" s="11">
        <v>45827.420949074076</v>
      </c>
      <c r="BP325" s="11">
        <v>45827.420949074076</v>
      </c>
      <c r="BQ325" s="15"/>
      <c r="BR325" s="15"/>
      <c r="BS325" s="10"/>
      <c r="BT325" s="10"/>
      <c r="BU325" s="10"/>
      <c r="BV325" s="10"/>
      <c r="BW325" s="10"/>
      <c r="BX325" s="10"/>
      <c r="BY325" s="23"/>
      <c r="BZ325" s="24" t="s">
        <v>2844</v>
      </c>
      <c r="CA325" s="23"/>
      <c r="CB325" s="23"/>
      <c r="CC325" s="23"/>
      <c r="CD325" s="23"/>
      <c r="CE325" s="23"/>
      <c r="CF325" s="23"/>
      <c r="CG325" s="23"/>
      <c r="CH325" s="23"/>
      <c r="CI325" s="23"/>
    </row>
    <row r="326" spans="1:87" x14ac:dyDescent="0.3">
      <c r="A326" s="9" t="s">
        <v>2918</v>
      </c>
      <c r="B326" s="10" t="s">
        <v>2919</v>
      </c>
      <c r="C326" s="11">
        <v>46102</v>
      </c>
      <c r="D326" s="12">
        <v>8.3333333333333329E-2</v>
      </c>
      <c r="E326" s="11">
        <v>46102.083333333336</v>
      </c>
      <c r="F326" s="10" t="s">
        <v>262</v>
      </c>
      <c r="G326" s="13" t="b">
        <v>0</v>
      </c>
      <c r="H326" s="10"/>
      <c r="I326" s="10" t="s">
        <v>264</v>
      </c>
      <c r="J326" s="13" t="b">
        <v>0</v>
      </c>
      <c r="K326" s="13" t="b">
        <v>1</v>
      </c>
      <c r="L326" s="10" t="s">
        <v>124</v>
      </c>
      <c r="M326" s="10" t="s">
        <v>91</v>
      </c>
      <c r="N326" s="10" t="s">
        <v>92</v>
      </c>
      <c r="O326" s="10"/>
      <c r="P326" s="10"/>
      <c r="Q326" s="10"/>
      <c r="R326" s="10"/>
      <c r="S326" s="10"/>
      <c r="T326" s="10"/>
      <c r="U326" s="10" t="s">
        <v>333</v>
      </c>
      <c r="V326" s="10" t="s">
        <v>362</v>
      </c>
      <c r="W326" s="10" t="s">
        <v>272</v>
      </c>
      <c r="X326" s="10" t="s">
        <v>130</v>
      </c>
      <c r="Y326" s="10" t="s">
        <v>130</v>
      </c>
      <c r="Z326" s="10" t="s">
        <v>99</v>
      </c>
      <c r="AA326" s="10" t="s">
        <v>131</v>
      </c>
      <c r="AB326" s="10" t="s">
        <v>273</v>
      </c>
      <c r="AC326" s="10" t="s">
        <v>274</v>
      </c>
      <c r="AD326" s="10" t="s">
        <v>2920</v>
      </c>
      <c r="AE326" s="10" t="s">
        <v>2921</v>
      </c>
      <c r="AF326" s="15"/>
      <c r="AG326" s="10"/>
      <c r="AH326" s="10"/>
      <c r="AI326" s="10"/>
      <c r="AJ326" s="10"/>
      <c r="AK326" s="10"/>
      <c r="AL326" s="10" t="s">
        <v>2885</v>
      </c>
      <c r="AM326" s="10"/>
      <c r="AN326" s="10"/>
      <c r="AO326" s="13" t="b">
        <v>1</v>
      </c>
      <c r="AP326" s="10" t="s">
        <v>104</v>
      </c>
      <c r="AQ326" s="10"/>
      <c r="AR326" s="17"/>
      <c r="AS326" s="17"/>
      <c r="AT326" s="17"/>
      <c r="AU326" s="17"/>
      <c r="AV326" s="17"/>
      <c r="AW326" s="10"/>
      <c r="AX326" s="17"/>
      <c r="AY326" s="18" t="s">
        <v>257</v>
      </c>
      <c r="AZ326" s="10"/>
      <c r="BA326" s="20" t="b">
        <v>0</v>
      </c>
      <c r="BB326" s="10"/>
      <c r="BC326" s="17" t="s">
        <v>257</v>
      </c>
      <c r="BD326" s="17" t="s">
        <v>257</v>
      </c>
      <c r="BE326" s="17" t="s">
        <v>257</v>
      </c>
      <c r="BF326" s="17" t="s">
        <v>257</v>
      </c>
      <c r="BG326" s="11">
        <f ca="1">IFERROR(__xludf.DUMMYFUNCTION("""COMPUTED_VALUE"""),46102)</f>
        <v>46102</v>
      </c>
      <c r="BH326" s="17"/>
      <c r="BI326" s="17"/>
      <c r="BJ326" s="15"/>
      <c r="BK326" s="15"/>
      <c r="BL326" s="13" t="b">
        <v>0</v>
      </c>
      <c r="BM326" s="10"/>
      <c r="BN326" s="10" t="s">
        <v>223</v>
      </c>
      <c r="BO326" s="11">
        <v>45827.420949074076</v>
      </c>
      <c r="BP326" s="11">
        <v>45827.420949074076</v>
      </c>
      <c r="BQ326" s="15"/>
      <c r="BR326" s="15"/>
      <c r="BS326" s="10"/>
      <c r="BT326" s="10"/>
      <c r="BU326" s="10"/>
      <c r="BV326" s="10"/>
      <c r="BW326" s="10"/>
      <c r="BX326" s="10"/>
      <c r="BY326" s="23"/>
      <c r="BZ326" s="24" t="s">
        <v>284</v>
      </c>
      <c r="CA326" s="23"/>
      <c r="CB326" s="23"/>
      <c r="CC326" s="23"/>
      <c r="CD326" s="23"/>
      <c r="CE326" s="23"/>
      <c r="CF326" s="23"/>
      <c r="CG326" s="23"/>
      <c r="CH326" s="23"/>
      <c r="CI326" s="23"/>
    </row>
    <row r="327" spans="1:87" x14ac:dyDescent="0.3">
      <c r="A327" s="9" t="s">
        <v>2922</v>
      </c>
      <c r="B327" s="10" t="s">
        <v>2923</v>
      </c>
      <c r="C327" s="11">
        <v>46123</v>
      </c>
      <c r="D327" s="12">
        <v>8.3333333333333329E-2</v>
      </c>
      <c r="E327" s="11">
        <v>46123.083333333336</v>
      </c>
      <c r="F327" s="10" t="s">
        <v>262</v>
      </c>
      <c r="G327" s="13" t="b">
        <v>0</v>
      </c>
      <c r="H327" s="10"/>
      <c r="I327" s="10" t="s">
        <v>264</v>
      </c>
      <c r="J327" s="13" t="b">
        <v>0</v>
      </c>
      <c r="K327" s="13" t="b">
        <v>1</v>
      </c>
      <c r="L327" s="10" t="s">
        <v>124</v>
      </c>
      <c r="M327" s="10" t="s">
        <v>91</v>
      </c>
      <c r="N327" s="10" t="s">
        <v>92</v>
      </c>
      <c r="O327" s="10"/>
      <c r="P327" s="10"/>
      <c r="Q327" s="10"/>
      <c r="R327" s="10"/>
      <c r="S327" s="10"/>
      <c r="T327" s="10"/>
      <c r="U327" s="10" t="s">
        <v>362</v>
      </c>
      <c r="V327" s="10" t="s">
        <v>271</v>
      </c>
      <c r="W327" s="10" t="s">
        <v>272</v>
      </c>
      <c r="X327" s="10" t="s">
        <v>130</v>
      </c>
      <c r="Y327" s="10" t="s">
        <v>130</v>
      </c>
      <c r="Z327" s="10" t="s">
        <v>99</v>
      </c>
      <c r="AA327" s="10" t="s">
        <v>131</v>
      </c>
      <c r="AB327" s="10" t="s">
        <v>273</v>
      </c>
      <c r="AC327" s="10" t="s">
        <v>274</v>
      </c>
      <c r="AD327" s="10" t="s">
        <v>2924</v>
      </c>
      <c r="AE327" s="10" t="s">
        <v>2925</v>
      </c>
      <c r="AF327" s="15"/>
      <c r="AG327" s="10"/>
      <c r="AH327" s="10"/>
      <c r="AI327" s="10"/>
      <c r="AJ327" s="10"/>
      <c r="AK327" s="10"/>
      <c r="AL327" s="10" t="s">
        <v>2926</v>
      </c>
      <c r="AM327" s="10"/>
      <c r="AN327" s="10"/>
      <c r="AO327" s="13" t="b">
        <v>1</v>
      </c>
      <c r="AP327" s="10" t="s">
        <v>104</v>
      </c>
      <c r="AQ327" s="10"/>
      <c r="AR327" s="17"/>
      <c r="AS327" s="17"/>
      <c r="AT327" s="17"/>
      <c r="AU327" s="17"/>
      <c r="AV327" s="17"/>
      <c r="AW327" s="10"/>
      <c r="AX327" s="17"/>
      <c r="AY327" s="18" t="s">
        <v>257</v>
      </c>
      <c r="AZ327" s="10"/>
      <c r="BA327" s="20" t="b">
        <v>0</v>
      </c>
      <c r="BB327" s="10"/>
      <c r="BC327" s="17" t="s">
        <v>257</v>
      </c>
      <c r="BD327" s="17" t="s">
        <v>257</v>
      </c>
      <c r="BE327" s="17" t="s">
        <v>257</v>
      </c>
      <c r="BF327" s="17" t="s">
        <v>257</v>
      </c>
      <c r="BG327" s="11">
        <f ca="1">IFERROR(__xludf.DUMMYFUNCTION("""COMPUTED_VALUE"""),46123)</f>
        <v>46123</v>
      </c>
      <c r="BH327" s="17"/>
      <c r="BI327" s="17"/>
      <c r="BJ327" s="15"/>
      <c r="BK327" s="15"/>
      <c r="BL327" s="13" t="b">
        <v>0</v>
      </c>
      <c r="BM327" s="10"/>
      <c r="BN327" s="10" t="s">
        <v>223</v>
      </c>
      <c r="BO327" s="11">
        <v>45827.420949074076</v>
      </c>
      <c r="BP327" s="11">
        <v>45827.420949074076</v>
      </c>
      <c r="BQ327" s="15"/>
      <c r="BR327" s="15"/>
      <c r="BS327" s="10"/>
      <c r="BT327" s="10"/>
      <c r="BU327" s="10"/>
      <c r="BV327" s="10"/>
      <c r="BW327" s="10"/>
      <c r="BX327" s="10"/>
      <c r="BY327" s="23"/>
      <c r="BZ327" s="24" t="s">
        <v>284</v>
      </c>
      <c r="CA327" s="23"/>
      <c r="CB327" s="23"/>
      <c r="CC327" s="23"/>
      <c r="CD327" s="23"/>
      <c r="CE327" s="23"/>
      <c r="CF327" s="23"/>
      <c r="CG327" s="23"/>
      <c r="CH327" s="23"/>
      <c r="CI327" s="23"/>
    </row>
    <row r="328" spans="1:87" x14ac:dyDescent="0.3">
      <c r="A328" s="9" t="s">
        <v>2927</v>
      </c>
      <c r="B328" s="10" t="s">
        <v>2928</v>
      </c>
      <c r="C328" s="11">
        <v>46123</v>
      </c>
      <c r="D328" s="12">
        <v>8.3333333333333329E-2</v>
      </c>
      <c r="E328" s="11">
        <v>46123.083333333336</v>
      </c>
      <c r="F328" s="10" t="s">
        <v>262</v>
      </c>
      <c r="G328" s="13" t="b">
        <v>0</v>
      </c>
      <c r="H328" s="10"/>
      <c r="I328" s="10" t="s">
        <v>264</v>
      </c>
      <c r="J328" s="13" t="b">
        <v>0</v>
      </c>
      <c r="K328" s="13" t="b">
        <v>1</v>
      </c>
      <c r="L328" s="10" t="s">
        <v>124</v>
      </c>
      <c r="M328" s="10" t="s">
        <v>91</v>
      </c>
      <c r="N328" s="10" t="s">
        <v>92</v>
      </c>
      <c r="O328" s="10"/>
      <c r="P328" s="10"/>
      <c r="Q328" s="10"/>
      <c r="R328" s="10"/>
      <c r="S328" s="10"/>
      <c r="T328" s="10"/>
      <c r="U328" s="10" t="s">
        <v>321</v>
      </c>
      <c r="V328" s="10" t="s">
        <v>407</v>
      </c>
      <c r="W328" s="10" t="s">
        <v>272</v>
      </c>
      <c r="X328" s="10" t="s">
        <v>130</v>
      </c>
      <c r="Y328" s="10" t="s">
        <v>130</v>
      </c>
      <c r="Z328" s="10" t="s">
        <v>99</v>
      </c>
      <c r="AA328" s="10" t="s">
        <v>131</v>
      </c>
      <c r="AB328" s="10" t="s">
        <v>273</v>
      </c>
      <c r="AC328" s="10" t="s">
        <v>274</v>
      </c>
      <c r="AD328" s="10" t="s">
        <v>2929</v>
      </c>
      <c r="AE328" s="10" t="s">
        <v>2930</v>
      </c>
      <c r="AF328" s="15"/>
      <c r="AG328" s="10"/>
      <c r="AH328" s="10"/>
      <c r="AI328" s="10"/>
      <c r="AJ328" s="10"/>
      <c r="AK328" s="10"/>
      <c r="AL328" s="10" t="s">
        <v>2926</v>
      </c>
      <c r="AM328" s="10"/>
      <c r="AN328" s="10"/>
      <c r="AO328" s="13" t="b">
        <v>0</v>
      </c>
      <c r="AP328" s="10" t="s">
        <v>104</v>
      </c>
      <c r="AQ328" s="10"/>
      <c r="AR328" s="17"/>
      <c r="AS328" s="17"/>
      <c r="AT328" s="17"/>
      <c r="AU328" s="17"/>
      <c r="AV328" s="17"/>
      <c r="AW328" s="10"/>
      <c r="AX328" s="17"/>
      <c r="AY328" s="18" t="s">
        <v>257</v>
      </c>
      <c r="AZ328" s="10"/>
      <c r="BA328" s="20" t="b">
        <v>0</v>
      </c>
      <c r="BB328" s="10"/>
      <c r="BC328" s="17" t="s">
        <v>257</v>
      </c>
      <c r="BD328" s="17" t="s">
        <v>257</v>
      </c>
      <c r="BE328" s="17" t="s">
        <v>257</v>
      </c>
      <c r="BF328" s="17" t="s">
        <v>257</v>
      </c>
      <c r="BG328" s="11">
        <f ca="1">IFERROR(__xludf.DUMMYFUNCTION("""COMPUTED_VALUE"""),46123)</f>
        <v>46123</v>
      </c>
      <c r="BH328" s="17"/>
      <c r="BI328" s="17"/>
      <c r="BJ328" s="15"/>
      <c r="BK328" s="15"/>
      <c r="BL328" s="13" t="b">
        <v>0</v>
      </c>
      <c r="BM328" s="10"/>
      <c r="BN328" s="10" t="s">
        <v>223</v>
      </c>
      <c r="BO328" s="11">
        <v>45827.420949074076</v>
      </c>
      <c r="BP328" s="11">
        <v>45827.420949074076</v>
      </c>
      <c r="BQ328" s="15"/>
      <c r="BR328" s="15"/>
      <c r="BS328" s="10"/>
      <c r="BT328" s="10"/>
      <c r="BU328" s="10"/>
      <c r="BV328" s="10"/>
      <c r="BW328" s="10"/>
      <c r="BX328" s="10"/>
      <c r="BY328" s="23"/>
      <c r="BZ328" s="24" t="s">
        <v>299</v>
      </c>
      <c r="CA328" s="23"/>
      <c r="CB328" s="23"/>
      <c r="CC328" s="23"/>
      <c r="CD328" s="23"/>
      <c r="CE328" s="23"/>
      <c r="CF328" s="23"/>
      <c r="CG328" s="23"/>
      <c r="CH328" s="23"/>
      <c r="CI328" s="23"/>
    </row>
    <row r="329" spans="1:87" x14ac:dyDescent="0.3">
      <c r="A329" s="25" t="s">
        <v>2931</v>
      </c>
      <c r="B329" s="10" t="s">
        <v>2932</v>
      </c>
      <c r="C329" s="11">
        <v>46123</v>
      </c>
      <c r="D329" s="12">
        <v>8.3333333333333329E-2</v>
      </c>
      <c r="E329" s="11">
        <v>46123.083333333336</v>
      </c>
      <c r="F329" s="10" t="s">
        <v>262</v>
      </c>
      <c r="G329" s="13" t="b">
        <v>0</v>
      </c>
      <c r="H329" s="10"/>
      <c r="I329" s="10" t="s">
        <v>264</v>
      </c>
      <c r="J329" s="13" t="b">
        <v>0</v>
      </c>
      <c r="K329" s="13" t="b">
        <v>1</v>
      </c>
      <c r="L329" s="10" t="s">
        <v>124</v>
      </c>
      <c r="M329" s="10" t="s">
        <v>91</v>
      </c>
      <c r="N329" s="10" t="s">
        <v>92</v>
      </c>
      <c r="O329" s="10"/>
      <c r="P329" s="10"/>
      <c r="Q329" s="10"/>
      <c r="R329" s="10"/>
      <c r="S329" s="10"/>
      <c r="T329" s="10"/>
      <c r="U329" s="10" t="s">
        <v>609</v>
      </c>
      <c r="V329" s="10" t="s">
        <v>308</v>
      </c>
      <c r="W329" s="10" t="s">
        <v>272</v>
      </c>
      <c r="X329" s="10" t="s">
        <v>130</v>
      </c>
      <c r="Y329" s="10" t="s">
        <v>130</v>
      </c>
      <c r="Z329" s="10" t="s">
        <v>99</v>
      </c>
      <c r="AA329" s="10" t="s">
        <v>131</v>
      </c>
      <c r="AB329" s="10" t="s">
        <v>273</v>
      </c>
      <c r="AC329" s="10" t="s">
        <v>274</v>
      </c>
      <c r="AD329" s="10" t="s">
        <v>2933</v>
      </c>
      <c r="AE329" s="10" t="s">
        <v>2934</v>
      </c>
      <c r="AF329" s="15"/>
      <c r="AG329" s="10"/>
      <c r="AH329" s="10"/>
      <c r="AI329" s="10"/>
      <c r="AJ329" s="10"/>
      <c r="AK329" s="10"/>
      <c r="AL329" s="10" t="s">
        <v>2926</v>
      </c>
      <c r="AM329" s="10"/>
      <c r="AN329" s="10"/>
      <c r="AO329" s="13" t="b">
        <v>0</v>
      </c>
      <c r="AP329" s="10" t="s">
        <v>104</v>
      </c>
      <c r="AQ329" s="10"/>
      <c r="AR329" s="17"/>
      <c r="AS329" s="17"/>
      <c r="AT329" s="17"/>
      <c r="AU329" s="17"/>
      <c r="AV329" s="17"/>
      <c r="AW329" s="10"/>
      <c r="AX329" s="17"/>
      <c r="AY329" s="18" t="s">
        <v>257</v>
      </c>
      <c r="AZ329" s="10"/>
      <c r="BA329" s="20" t="b">
        <v>0</v>
      </c>
      <c r="BB329" s="10"/>
      <c r="BC329" s="17" t="s">
        <v>257</v>
      </c>
      <c r="BD329" s="17" t="s">
        <v>257</v>
      </c>
      <c r="BE329" s="17" t="s">
        <v>257</v>
      </c>
      <c r="BF329" s="17" t="s">
        <v>257</v>
      </c>
      <c r="BG329" s="11">
        <f ca="1">IFERROR(__xludf.DUMMYFUNCTION("""COMPUTED_VALUE"""),46123)</f>
        <v>46123</v>
      </c>
      <c r="BH329" s="17"/>
      <c r="BI329" s="17"/>
      <c r="BJ329" s="15"/>
      <c r="BK329" s="15"/>
      <c r="BL329" s="13" t="b">
        <v>0</v>
      </c>
      <c r="BM329" s="10"/>
      <c r="BN329" s="10" t="s">
        <v>223</v>
      </c>
      <c r="BO329" s="11">
        <v>45827.420949074076</v>
      </c>
      <c r="BP329" s="11">
        <v>45827.420949074076</v>
      </c>
      <c r="BQ329" s="15"/>
      <c r="BR329" s="15"/>
      <c r="BS329" s="10"/>
      <c r="BT329" s="10"/>
      <c r="BU329" s="10"/>
      <c r="BV329" s="10"/>
      <c r="BW329" s="10"/>
      <c r="BX329" s="10"/>
      <c r="BY329" s="23"/>
      <c r="BZ329" s="24" t="s">
        <v>299</v>
      </c>
      <c r="CA329" s="23"/>
      <c r="CB329" s="23"/>
      <c r="CC329" s="23"/>
      <c r="CD329" s="23"/>
      <c r="CE329" s="23"/>
      <c r="CF329" s="23"/>
      <c r="CG329" s="23"/>
      <c r="CH329" s="23"/>
      <c r="CI329" s="23"/>
    </row>
    <row r="330" spans="1:87" x14ac:dyDescent="0.3">
      <c r="A330" s="9" t="s">
        <v>2935</v>
      </c>
      <c r="B330" s="10" t="s">
        <v>2936</v>
      </c>
      <c r="C330" s="11">
        <v>46123</v>
      </c>
      <c r="D330" s="12">
        <v>8.3333333333333329E-2</v>
      </c>
      <c r="E330" s="11">
        <v>46123.083333333336</v>
      </c>
      <c r="F330" s="10" t="s">
        <v>262</v>
      </c>
      <c r="G330" s="13" t="b">
        <v>0</v>
      </c>
      <c r="H330" s="10"/>
      <c r="I330" s="10" t="s">
        <v>264</v>
      </c>
      <c r="J330" s="13" t="b">
        <v>0</v>
      </c>
      <c r="K330" s="13" t="b">
        <v>1</v>
      </c>
      <c r="L330" s="10" t="s">
        <v>124</v>
      </c>
      <c r="M330" s="10" t="s">
        <v>91</v>
      </c>
      <c r="N330" s="10" t="s">
        <v>92</v>
      </c>
      <c r="O330" s="10"/>
      <c r="P330" s="10"/>
      <c r="Q330" s="10"/>
      <c r="R330" s="10"/>
      <c r="S330" s="10"/>
      <c r="T330" s="10"/>
      <c r="U330" s="10" t="s">
        <v>346</v>
      </c>
      <c r="V330" s="10" t="s">
        <v>334</v>
      </c>
      <c r="W330" s="10" t="s">
        <v>272</v>
      </c>
      <c r="X330" s="10" t="s">
        <v>130</v>
      </c>
      <c r="Y330" s="10" t="s">
        <v>130</v>
      </c>
      <c r="Z330" s="10" t="s">
        <v>99</v>
      </c>
      <c r="AA330" s="10" t="s">
        <v>131</v>
      </c>
      <c r="AB330" s="10" t="s">
        <v>273</v>
      </c>
      <c r="AC330" s="10" t="s">
        <v>274</v>
      </c>
      <c r="AD330" s="10" t="s">
        <v>2937</v>
      </c>
      <c r="AE330" s="10" t="s">
        <v>2938</v>
      </c>
      <c r="AF330" s="15"/>
      <c r="AG330" s="10"/>
      <c r="AH330" s="10"/>
      <c r="AI330" s="10"/>
      <c r="AJ330" s="10"/>
      <c r="AK330" s="10"/>
      <c r="AL330" s="10" t="s">
        <v>2926</v>
      </c>
      <c r="AM330" s="10"/>
      <c r="AN330" s="10"/>
      <c r="AO330" s="13" t="b">
        <v>1</v>
      </c>
      <c r="AP330" s="10" t="s">
        <v>104</v>
      </c>
      <c r="AQ330" s="10"/>
      <c r="AR330" s="17"/>
      <c r="AS330" s="17"/>
      <c r="AT330" s="17"/>
      <c r="AU330" s="17"/>
      <c r="AV330" s="17"/>
      <c r="AW330" s="10"/>
      <c r="AX330" s="17"/>
      <c r="AY330" s="18" t="s">
        <v>257</v>
      </c>
      <c r="AZ330" s="10"/>
      <c r="BA330" s="20" t="b">
        <v>0</v>
      </c>
      <c r="BB330" s="10"/>
      <c r="BC330" s="17" t="s">
        <v>257</v>
      </c>
      <c r="BD330" s="17" t="s">
        <v>257</v>
      </c>
      <c r="BE330" s="17" t="s">
        <v>257</v>
      </c>
      <c r="BF330" s="17" t="s">
        <v>257</v>
      </c>
      <c r="BG330" s="11">
        <f ca="1">IFERROR(__xludf.DUMMYFUNCTION("""COMPUTED_VALUE"""),46123)</f>
        <v>46123</v>
      </c>
      <c r="BH330" s="17"/>
      <c r="BI330" s="17"/>
      <c r="BJ330" s="15"/>
      <c r="BK330" s="15"/>
      <c r="BL330" s="13" t="b">
        <v>0</v>
      </c>
      <c r="BM330" s="10"/>
      <c r="BN330" s="10" t="s">
        <v>223</v>
      </c>
      <c r="BO330" s="11">
        <v>45827.420949074076</v>
      </c>
      <c r="BP330" s="11">
        <v>45827.420949074076</v>
      </c>
      <c r="BQ330" s="15"/>
      <c r="BR330" s="15"/>
      <c r="BS330" s="10"/>
      <c r="BT330" s="10"/>
      <c r="BU330" s="10"/>
      <c r="BV330" s="10"/>
      <c r="BW330" s="10"/>
      <c r="BX330" s="10"/>
      <c r="BY330" s="23"/>
      <c r="BZ330" s="24" t="s">
        <v>368</v>
      </c>
      <c r="CA330" s="23"/>
      <c r="CB330" s="23"/>
      <c r="CC330" s="23"/>
      <c r="CD330" s="23"/>
      <c r="CE330" s="23"/>
      <c r="CF330" s="23"/>
      <c r="CG330" s="23"/>
      <c r="CH330" s="23"/>
      <c r="CI330" s="23"/>
    </row>
    <row r="331" spans="1:87" x14ac:dyDescent="0.3">
      <c r="A331" s="9" t="s">
        <v>2939</v>
      </c>
      <c r="B331" s="10" t="s">
        <v>2940</v>
      </c>
      <c r="C331" s="11">
        <v>46123</v>
      </c>
      <c r="D331" s="12">
        <v>8.3333333333333329E-2</v>
      </c>
      <c r="E331" s="11">
        <v>46123.083333333336</v>
      </c>
      <c r="F331" s="10" t="s">
        <v>262</v>
      </c>
      <c r="G331" s="13" t="b">
        <v>0</v>
      </c>
      <c r="H331" s="10"/>
      <c r="I331" s="10" t="s">
        <v>264</v>
      </c>
      <c r="J331" s="13" t="b">
        <v>0</v>
      </c>
      <c r="K331" s="13" t="b">
        <v>1</v>
      </c>
      <c r="L331" s="10" t="s">
        <v>124</v>
      </c>
      <c r="M331" s="10" t="s">
        <v>91</v>
      </c>
      <c r="N331" s="10" t="s">
        <v>92</v>
      </c>
      <c r="O331" s="10"/>
      <c r="P331" s="10"/>
      <c r="Q331" s="10"/>
      <c r="R331" s="10"/>
      <c r="S331" s="10"/>
      <c r="T331" s="10"/>
      <c r="U331" s="10" t="s">
        <v>347</v>
      </c>
      <c r="V331" s="10" t="s">
        <v>293</v>
      </c>
      <c r="W331" s="10" t="s">
        <v>272</v>
      </c>
      <c r="X331" s="10" t="s">
        <v>130</v>
      </c>
      <c r="Y331" s="10" t="s">
        <v>130</v>
      </c>
      <c r="Z331" s="10" t="s">
        <v>99</v>
      </c>
      <c r="AA331" s="10" t="s">
        <v>131</v>
      </c>
      <c r="AB331" s="10" t="s">
        <v>273</v>
      </c>
      <c r="AC331" s="10" t="s">
        <v>274</v>
      </c>
      <c r="AD331" s="10" t="s">
        <v>2941</v>
      </c>
      <c r="AE331" s="10" t="s">
        <v>2942</v>
      </c>
      <c r="AF331" s="15"/>
      <c r="AG331" s="10"/>
      <c r="AH331" s="10"/>
      <c r="AI331" s="10"/>
      <c r="AJ331" s="10"/>
      <c r="AK331" s="10"/>
      <c r="AL331" s="10" t="s">
        <v>2926</v>
      </c>
      <c r="AM331" s="10"/>
      <c r="AN331" s="10"/>
      <c r="AO331" s="13" t="b">
        <v>0</v>
      </c>
      <c r="AP331" s="10" t="s">
        <v>104</v>
      </c>
      <c r="AQ331" s="10"/>
      <c r="AR331" s="17"/>
      <c r="AS331" s="17"/>
      <c r="AT331" s="17"/>
      <c r="AU331" s="17"/>
      <c r="AV331" s="17"/>
      <c r="AW331" s="10"/>
      <c r="AX331" s="17"/>
      <c r="AY331" s="18" t="s">
        <v>257</v>
      </c>
      <c r="AZ331" s="10"/>
      <c r="BA331" s="20" t="b">
        <v>0</v>
      </c>
      <c r="BB331" s="10"/>
      <c r="BC331" s="17" t="s">
        <v>257</v>
      </c>
      <c r="BD331" s="17" t="s">
        <v>257</v>
      </c>
      <c r="BE331" s="17" t="s">
        <v>257</v>
      </c>
      <c r="BF331" s="17" t="s">
        <v>257</v>
      </c>
      <c r="BG331" s="11">
        <f ca="1">IFERROR(__xludf.DUMMYFUNCTION("""COMPUTED_VALUE"""),46123)</f>
        <v>46123</v>
      </c>
      <c r="BH331" s="17"/>
      <c r="BI331" s="17"/>
      <c r="BJ331" s="15"/>
      <c r="BK331" s="15"/>
      <c r="BL331" s="13" t="b">
        <v>0</v>
      </c>
      <c r="BM331" s="10"/>
      <c r="BN331" s="10" t="s">
        <v>223</v>
      </c>
      <c r="BO331" s="11">
        <v>45827.420949074076</v>
      </c>
      <c r="BP331" s="11">
        <v>45827.420949074076</v>
      </c>
      <c r="BQ331" s="15"/>
      <c r="BR331" s="15"/>
      <c r="BS331" s="10"/>
      <c r="BT331" s="10"/>
      <c r="BU331" s="10"/>
      <c r="BV331" s="10"/>
      <c r="BW331" s="10"/>
      <c r="BX331" s="10"/>
      <c r="BY331" s="23"/>
      <c r="BZ331" s="24" t="s">
        <v>299</v>
      </c>
      <c r="CA331" s="23"/>
      <c r="CB331" s="23"/>
      <c r="CC331" s="23"/>
      <c r="CD331" s="23"/>
      <c r="CE331" s="23"/>
      <c r="CF331" s="23"/>
      <c r="CG331" s="23"/>
      <c r="CH331" s="23"/>
      <c r="CI331" s="23"/>
    </row>
    <row r="332" spans="1:87" x14ac:dyDescent="0.3">
      <c r="A332" s="9" t="s">
        <v>2943</v>
      </c>
      <c r="B332" s="10" t="s">
        <v>2944</v>
      </c>
      <c r="C332" s="11">
        <v>46123</v>
      </c>
      <c r="D332" s="12">
        <v>8.3333333333333329E-2</v>
      </c>
      <c r="E332" s="11">
        <v>46123.083333333336</v>
      </c>
      <c r="F332" s="10" t="s">
        <v>262</v>
      </c>
      <c r="G332" s="13" t="b">
        <v>0</v>
      </c>
      <c r="H332" s="10"/>
      <c r="I332" s="10" t="s">
        <v>264</v>
      </c>
      <c r="J332" s="13" t="b">
        <v>0</v>
      </c>
      <c r="K332" s="13" t="b">
        <v>1</v>
      </c>
      <c r="L332" s="10" t="s">
        <v>124</v>
      </c>
      <c r="M332" s="10" t="s">
        <v>91</v>
      </c>
      <c r="N332" s="10" t="s">
        <v>92</v>
      </c>
      <c r="O332" s="10"/>
      <c r="P332" s="10"/>
      <c r="Q332" s="10"/>
      <c r="R332" s="10"/>
      <c r="S332" s="10"/>
      <c r="T332" s="10"/>
      <c r="U332" s="10" t="s">
        <v>270</v>
      </c>
      <c r="V332" s="10" t="s">
        <v>309</v>
      </c>
      <c r="W332" s="10" t="s">
        <v>272</v>
      </c>
      <c r="X332" s="10" t="s">
        <v>130</v>
      </c>
      <c r="Y332" s="10" t="s">
        <v>130</v>
      </c>
      <c r="Z332" s="10" t="s">
        <v>99</v>
      </c>
      <c r="AA332" s="10" t="s">
        <v>131</v>
      </c>
      <c r="AB332" s="10" t="s">
        <v>273</v>
      </c>
      <c r="AC332" s="10" t="s">
        <v>274</v>
      </c>
      <c r="AD332" s="10" t="s">
        <v>2945</v>
      </c>
      <c r="AE332" s="10" t="s">
        <v>2946</v>
      </c>
      <c r="AF332" s="15"/>
      <c r="AG332" s="10"/>
      <c r="AH332" s="10"/>
      <c r="AI332" s="10"/>
      <c r="AJ332" s="10"/>
      <c r="AK332" s="10"/>
      <c r="AL332" s="10" t="s">
        <v>2926</v>
      </c>
      <c r="AM332" s="10"/>
      <c r="AN332" s="10"/>
      <c r="AO332" s="13" t="b">
        <v>1</v>
      </c>
      <c r="AP332" s="10" t="s">
        <v>104</v>
      </c>
      <c r="AQ332" s="10"/>
      <c r="AR332" s="17"/>
      <c r="AS332" s="17"/>
      <c r="AT332" s="17"/>
      <c r="AU332" s="17"/>
      <c r="AV332" s="17"/>
      <c r="AW332" s="10"/>
      <c r="AX332" s="17"/>
      <c r="AY332" s="18" t="s">
        <v>257</v>
      </c>
      <c r="AZ332" s="10"/>
      <c r="BA332" s="20" t="b">
        <v>0</v>
      </c>
      <c r="BB332" s="10"/>
      <c r="BC332" s="17" t="s">
        <v>257</v>
      </c>
      <c r="BD332" s="17" t="s">
        <v>257</v>
      </c>
      <c r="BE332" s="17" t="s">
        <v>257</v>
      </c>
      <c r="BF332" s="17" t="s">
        <v>257</v>
      </c>
      <c r="BG332" s="11">
        <f ca="1">IFERROR(__xludf.DUMMYFUNCTION("""COMPUTED_VALUE"""),46123)</f>
        <v>46123</v>
      </c>
      <c r="BH332" s="17"/>
      <c r="BI332" s="17"/>
      <c r="BJ332" s="15"/>
      <c r="BK332" s="15"/>
      <c r="BL332" s="13" t="b">
        <v>0</v>
      </c>
      <c r="BM332" s="10"/>
      <c r="BN332" s="10" t="s">
        <v>223</v>
      </c>
      <c r="BO332" s="11">
        <v>45827.420949074076</v>
      </c>
      <c r="BP332" s="11">
        <v>45827.420949074076</v>
      </c>
      <c r="BQ332" s="15"/>
      <c r="BR332" s="15"/>
      <c r="BS332" s="10"/>
      <c r="BT332" s="10"/>
      <c r="BU332" s="10"/>
      <c r="BV332" s="10"/>
      <c r="BW332" s="10"/>
      <c r="BX332" s="10"/>
      <c r="BY332" s="23"/>
      <c r="BZ332" s="24" t="s">
        <v>284</v>
      </c>
      <c r="CA332" s="23"/>
      <c r="CB332" s="23"/>
      <c r="CC332" s="23"/>
      <c r="CD332" s="23"/>
      <c r="CE332" s="23"/>
      <c r="CF332" s="23"/>
      <c r="CG332" s="23"/>
      <c r="CH332" s="23"/>
      <c r="CI332" s="23"/>
    </row>
    <row r="333" spans="1:87" x14ac:dyDescent="0.3">
      <c r="A333" s="9" t="s">
        <v>2947</v>
      </c>
      <c r="B333" s="10" t="s">
        <v>2948</v>
      </c>
      <c r="C333" s="11">
        <v>46123</v>
      </c>
      <c r="D333" s="12">
        <v>8.3333333333333329E-2</v>
      </c>
      <c r="E333" s="11">
        <v>46123.083333333336</v>
      </c>
      <c r="F333" s="10" t="s">
        <v>262</v>
      </c>
      <c r="G333" s="13" t="b">
        <v>0</v>
      </c>
      <c r="H333" s="10"/>
      <c r="I333" s="10" t="s">
        <v>264</v>
      </c>
      <c r="J333" s="13" t="b">
        <v>0</v>
      </c>
      <c r="K333" s="13" t="b">
        <v>1</v>
      </c>
      <c r="L333" s="10" t="s">
        <v>124</v>
      </c>
      <c r="M333" s="10" t="s">
        <v>91</v>
      </c>
      <c r="N333" s="10" t="s">
        <v>92</v>
      </c>
      <c r="O333" s="10"/>
      <c r="P333" s="10"/>
      <c r="Q333" s="10"/>
      <c r="R333" s="10"/>
      <c r="S333" s="10"/>
      <c r="T333" s="10"/>
      <c r="U333" s="10" t="s">
        <v>361</v>
      </c>
      <c r="V333" s="10" t="s">
        <v>663</v>
      </c>
      <c r="W333" s="10" t="s">
        <v>272</v>
      </c>
      <c r="X333" s="10" t="s">
        <v>130</v>
      </c>
      <c r="Y333" s="10" t="s">
        <v>130</v>
      </c>
      <c r="Z333" s="10" t="s">
        <v>99</v>
      </c>
      <c r="AA333" s="10" t="s">
        <v>131</v>
      </c>
      <c r="AB333" s="10" t="s">
        <v>273</v>
      </c>
      <c r="AC333" s="10" t="s">
        <v>274</v>
      </c>
      <c r="AD333" s="10" t="s">
        <v>2949</v>
      </c>
      <c r="AE333" s="10" t="s">
        <v>2950</v>
      </c>
      <c r="AF333" s="15"/>
      <c r="AG333" s="10"/>
      <c r="AH333" s="10"/>
      <c r="AI333" s="10"/>
      <c r="AJ333" s="10"/>
      <c r="AK333" s="10"/>
      <c r="AL333" s="10" t="s">
        <v>2926</v>
      </c>
      <c r="AM333" s="10"/>
      <c r="AN333" s="10"/>
      <c r="AO333" s="13" t="b">
        <v>1</v>
      </c>
      <c r="AP333" s="10" t="s">
        <v>104</v>
      </c>
      <c r="AQ333" s="10"/>
      <c r="AR333" s="17"/>
      <c r="AS333" s="17"/>
      <c r="AT333" s="17"/>
      <c r="AU333" s="17"/>
      <c r="AV333" s="17"/>
      <c r="AW333" s="10"/>
      <c r="AX333" s="17"/>
      <c r="AY333" s="18" t="s">
        <v>257</v>
      </c>
      <c r="AZ333" s="10"/>
      <c r="BA333" s="20" t="b">
        <v>0</v>
      </c>
      <c r="BB333" s="10"/>
      <c r="BC333" s="17" t="s">
        <v>257</v>
      </c>
      <c r="BD333" s="17" t="s">
        <v>257</v>
      </c>
      <c r="BE333" s="17" t="s">
        <v>257</v>
      </c>
      <c r="BF333" s="17" t="s">
        <v>257</v>
      </c>
      <c r="BG333" s="11">
        <f ca="1">IFERROR(__xludf.DUMMYFUNCTION("""COMPUTED_VALUE"""),46123)</f>
        <v>46123</v>
      </c>
      <c r="BH333" s="17"/>
      <c r="BI333" s="17"/>
      <c r="BJ333" s="15"/>
      <c r="BK333" s="15"/>
      <c r="BL333" s="13" t="b">
        <v>0</v>
      </c>
      <c r="BM333" s="10"/>
      <c r="BN333" s="10" t="s">
        <v>223</v>
      </c>
      <c r="BO333" s="11">
        <v>45827.420949074076</v>
      </c>
      <c r="BP333" s="11">
        <v>45827.420949074076</v>
      </c>
      <c r="BQ333" s="15"/>
      <c r="BR333" s="15"/>
      <c r="BS333" s="10"/>
      <c r="BT333" s="10"/>
      <c r="BU333" s="10"/>
      <c r="BV333" s="10"/>
      <c r="BW333" s="10"/>
      <c r="BX333" s="10"/>
      <c r="BY333" s="23"/>
      <c r="BZ333" s="24" t="s">
        <v>284</v>
      </c>
      <c r="CA333" s="23"/>
      <c r="CB333" s="23"/>
      <c r="CC333" s="23"/>
      <c r="CD333" s="23"/>
      <c r="CE333" s="23"/>
      <c r="CF333" s="23"/>
      <c r="CG333" s="23"/>
      <c r="CH333" s="23"/>
      <c r="CI333" s="23"/>
    </row>
    <row r="334" spans="1:87" x14ac:dyDescent="0.3">
      <c r="A334" s="9" t="s">
        <v>2951</v>
      </c>
      <c r="B334" s="10" t="s">
        <v>2952</v>
      </c>
      <c r="C334" s="11">
        <v>46123</v>
      </c>
      <c r="D334" s="12">
        <v>8.3333333333333329E-2</v>
      </c>
      <c r="E334" s="11">
        <v>46123.083333333336</v>
      </c>
      <c r="F334" s="10" t="s">
        <v>262</v>
      </c>
      <c r="G334" s="13" t="b">
        <v>0</v>
      </c>
      <c r="H334" s="10"/>
      <c r="I334" s="10" t="s">
        <v>264</v>
      </c>
      <c r="J334" s="13" t="b">
        <v>0</v>
      </c>
      <c r="K334" s="13" t="b">
        <v>1</v>
      </c>
      <c r="L334" s="10" t="s">
        <v>124</v>
      </c>
      <c r="M334" s="10" t="s">
        <v>91</v>
      </c>
      <c r="N334" s="10" t="s">
        <v>92</v>
      </c>
      <c r="O334" s="10"/>
      <c r="P334" s="10"/>
      <c r="Q334" s="10"/>
      <c r="R334" s="10"/>
      <c r="S334" s="10"/>
      <c r="T334" s="10"/>
      <c r="U334" s="10" t="s">
        <v>320</v>
      </c>
      <c r="V334" s="10" t="s">
        <v>292</v>
      </c>
      <c r="W334" s="10" t="s">
        <v>272</v>
      </c>
      <c r="X334" s="10" t="s">
        <v>130</v>
      </c>
      <c r="Y334" s="10" t="s">
        <v>130</v>
      </c>
      <c r="Z334" s="10" t="s">
        <v>99</v>
      </c>
      <c r="AA334" s="10" t="s">
        <v>131</v>
      </c>
      <c r="AB334" s="10" t="s">
        <v>273</v>
      </c>
      <c r="AC334" s="10" t="s">
        <v>274</v>
      </c>
      <c r="AD334" s="10" t="s">
        <v>2953</v>
      </c>
      <c r="AE334" s="10" t="s">
        <v>2954</v>
      </c>
      <c r="AF334" s="15"/>
      <c r="AG334" s="10"/>
      <c r="AH334" s="10"/>
      <c r="AI334" s="10"/>
      <c r="AJ334" s="10"/>
      <c r="AK334" s="10"/>
      <c r="AL334" s="10" t="s">
        <v>2926</v>
      </c>
      <c r="AM334" s="10"/>
      <c r="AN334" s="10"/>
      <c r="AO334" s="13" t="b">
        <v>0</v>
      </c>
      <c r="AP334" s="10" t="s">
        <v>104</v>
      </c>
      <c r="AQ334" s="10"/>
      <c r="AR334" s="17"/>
      <c r="AS334" s="17"/>
      <c r="AT334" s="17"/>
      <c r="AU334" s="17"/>
      <c r="AV334" s="17"/>
      <c r="AW334" s="10"/>
      <c r="AX334" s="17"/>
      <c r="AY334" s="18" t="s">
        <v>257</v>
      </c>
      <c r="AZ334" s="10"/>
      <c r="BA334" s="20" t="b">
        <v>0</v>
      </c>
      <c r="BB334" s="10"/>
      <c r="BC334" s="17" t="s">
        <v>257</v>
      </c>
      <c r="BD334" s="17" t="s">
        <v>257</v>
      </c>
      <c r="BE334" s="17" t="s">
        <v>257</v>
      </c>
      <c r="BF334" s="17" t="s">
        <v>257</v>
      </c>
      <c r="BG334" s="11">
        <f ca="1">IFERROR(__xludf.DUMMYFUNCTION("""COMPUTED_VALUE"""),46123)</f>
        <v>46123</v>
      </c>
      <c r="BH334" s="17"/>
      <c r="BI334" s="17"/>
      <c r="BJ334" s="15"/>
      <c r="BK334" s="15"/>
      <c r="BL334" s="13" t="b">
        <v>0</v>
      </c>
      <c r="BM334" s="10"/>
      <c r="BN334" s="10" t="s">
        <v>223</v>
      </c>
      <c r="BO334" s="11">
        <v>45827.420949074076</v>
      </c>
      <c r="BP334" s="11">
        <v>45827.420949074076</v>
      </c>
      <c r="BQ334" s="15"/>
      <c r="BR334" s="15"/>
      <c r="BS334" s="10"/>
      <c r="BT334" s="10"/>
      <c r="BU334" s="10"/>
      <c r="BV334" s="10"/>
      <c r="BW334" s="10"/>
      <c r="BX334" s="10"/>
      <c r="BY334" s="23"/>
      <c r="BZ334" s="24" t="s">
        <v>299</v>
      </c>
      <c r="CA334" s="23"/>
      <c r="CB334" s="23"/>
      <c r="CC334" s="23"/>
      <c r="CD334" s="23"/>
      <c r="CE334" s="23"/>
      <c r="CF334" s="23"/>
      <c r="CG334" s="23"/>
      <c r="CH334" s="23"/>
      <c r="CI334" s="23"/>
    </row>
    <row r="335" spans="1:87" x14ac:dyDescent="0.3">
      <c r="A335" s="9" t="s">
        <v>2955</v>
      </c>
      <c r="B335" s="10" t="s">
        <v>2956</v>
      </c>
      <c r="C335" s="11">
        <v>46123</v>
      </c>
      <c r="D335" s="12">
        <v>8.3333333333333329E-2</v>
      </c>
      <c r="E335" s="11">
        <v>46123.083333333336</v>
      </c>
      <c r="F335" s="10" t="s">
        <v>262</v>
      </c>
      <c r="G335" s="13" t="b">
        <v>0</v>
      </c>
      <c r="H335" s="10"/>
      <c r="I335" s="10" t="s">
        <v>264</v>
      </c>
      <c r="J335" s="13" t="b">
        <v>0</v>
      </c>
      <c r="K335" s="13" t="b">
        <v>1</v>
      </c>
      <c r="L335" s="10" t="s">
        <v>124</v>
      </c>
      <c r="M335" s="10" t="s">
        <v>91</v>
      </c>
      <c r="N335" s="10" t="s">
        <v>92</v>
      </c>
      <c r="O335" s="10"/>
      <c r="P335" s="10"/>
      <c r="Q335" s="10"/>
      <c r="R335" s="10"/>
      <c r="S335" s="10"/>
      <c r="T335" s="10"/>
      <c r="U335" s="10" t="s">
        <v>588</v>
      </c>
      <c r="V335" s="10" t="s">
        <v>429</v>
      </c>
      <c r="W335" s="10" t="s">
        <v>272</v>
      </c>
      <c r="X335" s="10" t="s">
        <v>130</v>
      </c>
      <c r="Y335" s="10" t="s">
        <v>130</v>
      </c>
      <c r="Z335" s="10" t="s">
        <v>99</v>
      </c>
      <c r="AA335" s="10" t="s">
        <v>131</v>
      </c>
      <c r="AB335" s="10" t="s">
        <v>273</v>
      </c>
      <c r="AC335" s="10" t="s">
        <v>274</v>
      </c>
      <c r="AD335" s="10" t="s">
        <v>2957</v>
      </c>
      <c r="AE335" s="10" t="s">
        <v>2958</v>
      </c>
      <c r="AF335" s="15"/>
      <c r="AG335" s="10"/>
      <c r="AH335" s="10"/>
      <c r="AI335" s="10"/>
      <c r="AJ335" s="10"/>
      <c r="AK335" s="10"/>
      <c r="AL335" s="10" t="s">
        <v>2926</v>
      </c>
      <c r="AM335" s="10"/>
      <c r="AN335" s="10"/>
      <c r="AO335" s="13" t="b">
        <v>1</v>
      </c>
      <c r="AP335" s="10" t="s">
        <v>104</v>
      </c>
      <c r="AQ335" s="10"/>
      <c r="AR335" s="17"/>
      <c r="AS335" s="17"/>
      <c r="AT335" s="17"/>
      <c r="AU335" s="17"/>
      <c r="AV335" s="17"/>
      <c r="AW335" s="10"/>
      <c r="AX335" s="17"/>
      <c r="AY335" s="18" t="s">
        <v>257</v>
      </c>
      <c r="AZ335" s="10"/>
      <c r="BA335" s="20" t="b">
        <v>0</v>
      </c>
      <c r="BB335" s="10"/>
      <c r="BC335" s="17" t="s">
        <v>257</v>
      </c>
      <c r="BD335" s="17" t="s">
        <v>257</v>
      </c>
      <c r="BE335" s="17" t="s">
        <v>257</v>
      </c>
      <c r="BF335" s="17" t="s">
        <v>257</v>
      </c>
      <c r="BG335" s="11">
        <f ca="1">IFERROR(__xludf.DUMMYFUNCTION("""COMPUTED_VALUE"""),46123)</f>
        <v>46123</v>
      </c>
      <c r="BH335" s="17"/>
      <c r="BI335" s="17"/>
      <c r="BJ335" s="15"/>
      <c r="BK335" s="15"/>
      <c r="BL335" s="13" t="b">
        <v>0</v>
      </c>
      <c r="BM335" s="10"/>
      <c r="BN335" s="10" t="s">
        <v>223</v>
      </c>
      <c r="BO335" s="11">
        <v>45827.420949074076</v>
      </c>
      <c r="BP335" s="11">
        <v>45827.420949074076</v>
      </c>
      <c r="BQ335" s="15"/>
      <c r="BR335" s="15"/>
      <c r="BS335" s="10"/>
      <c r="BT335" s="10"/>
      <c r="BU335" s="10"/>
      <c r="BV335" s="10"/>
      <c r="BW335" s="10"/>
      <c r="BX335" s="10"/>
      <c r="BY335" s="23"/>
      <c r="BZ335" s="24" t="s">
        <v>284</v>
      </c>
      <c r="CA335" s="23"/>
      <c r="CB335" s="23"/>
      <c r="CC335" s="23"/>
      <c r="CD335" s="23"/>
      <c r="CE335" s="23"/>
      <c r="CF335" s="23"/>
      <c r="CG335" s="23"/>
      <c r="CH335" s="23"/>
      <c r="CI335" s="23"/>
    </row>
    <row r="336" spans="1:87" x14ac:dyDescent="0.3">
      <c r="A336" s="9" t="s">
        <v>2959</v>
      </c>
      <c r="B336" s="10" t="s">
        <v>2960</v>
      </c>
      <c r="C336" s="11">
        <v>46123</v>
      </c>
      <c r="D336" s="12">
        <v>8.3333333333333329E-2</v>
      </c>
      <c r="E336" s="11">
        <v>46123.083333333336</v>
      </c>
      <c r="F336" s="10" t="s">
        <v>262</v>
      </c>
      <c r="G336" s="13" t="b">
        <v>0</v>
      </c>
      <c r="H336" s="10"/>
      <c r="I336" s="10" t="s">
        <v>264</v>
      </c>
      <c r="J336" s="13" t="b">
        <v>0</v>
      </c>
      <c r="K336" s="13" t="b">
        <v>1</v>
      </c>
      <c r="L336" s="10" t="s">
        <v>124</v>
      </c>
      <c r="M336" s="10" t="s">
        <v>91</v>
      </c>
      <c r="N336" s="10" t="s">
        <v>92</v>
      </c>
      <c r="O336" s="10"/>
      <c r="P336" s="10"/>
      <c r="Q336" s="10"/>
      <c r="R336" s="10"/>
      <c r="S336" s="10"/>
      <c r="T336" s="10"/>
      <c r="U336" s="10" t="s">
        <v>451</v>
      </c>
      <c r="V336" s="10" t="s">
        <v>333</v>
      </c>
      <c r="W336" s="10" t="s">
        <v>272</v>
      </c>
      <c r="X336" s="10" t="s">
        <v>130</v>
      </c>
      <c r="Y336" s="10" t="s">
        <v>130</v>
      </c>
      <c r="Z336" s="10" t="s">
        <v>99</v>
      </c>
      <c r="AA336" s="10" t="s">
        <v>131</v>
      </c>
      <c r="AB336" s="10" t="s">
        <v>273</v>
      </c>
      <c r="AC336" s="10" t="s">
        <v>274</v>
      </c>
      <c r="AD336" s="10" t="s">
        <v>2961</v>
      </c>
      <c r="AE336" s="10" t="s">
        <v>2962</v>
      </c>
      <c r="AF336" s="15"/>
      <c r="AG336" s="10"/>
      <c r="AH336" s="10"/>
      <c r="AI336" s="10"/>
      <c r="AJ336" s="10"/>
      <c r="AK336" s="10"/>
      <c r="AL336" s="10" t="s">
        <v>2926</v>
      </c>
      <c r="AM336" s="10"/>
      <c r="AN336" s="10"/>
      <c r="AO336" s="13" t="b">
        <v>0</v>
      </c>
      <c r="AP336" s="10" t="s">
        <v>104</v>
      </c>
      <c r="AQ336" s="10"/>
      <c r="AR336" s="17"/>
      <c r="AS336" s="17"/>
      <c r="AT336" s="17"/>
      <c r="AU336" s="17"/>
      <c r="AV336" s="17"/>
      <c r="AW336" s="10"/>
      <c r="AX336" s="17"/>
      <c r="AY336" s="18" t="s">
        <v>257</v>
      </c>
      <c r="AZ336" s="10"/>
      <c r="BA336" s="20" t="b">
        <v>0</v>
      </c>
      <c r="BB336" s="10"/>
      <c r="BC336" s="17" t="s">
        <v>257</v>
      </c>
      <c r="BD336" s="17" t="s">
        <v>257</v>
      </c>
      <c r="BE336" s="17" t="s">
        <v>257</v>
      </c>
      <c r="BF336" s="17" t="s">
        <v>257</v>
      </c>
      <c r="BG336" s="11">
        <f ca="1">IFERROR(__xludf.DUMMYFUNCTION("""COMPUTED_VALUE"""),46123)</f>
        <v>46123</v>
      </c>
      <c r="BH336" s="17"/>
      <c r="BI336" s="17"/>
      <c r="BJ336" s="15"/>
      <c r="BK336" s="15"/>
      <c r="BL336" s="13" t="b">
        <v>0</v>
      </c>
      <c r="BM336" s="10"/>
      <c r="BN336" s="10" t="s">
        <v>223</v>
      </c>
      <c r="BO336" s="11">
        <v>45827.420949074076</v>
      </c>
      <c r="BP336" s="11">
        <v>45827.420949074076</v>
      </c>
      <c r="BQ336" s="15"/>
      <c r="BR336" s="15"/>
      <c r="BS336" s="10"/>
      <c r="BT336" s="10"/>
      <c r="BU336" s="10"/>
      <c r="BV336" s="10"/>
      <c r="BW336" s="10"/>
      <c r="BX336" s="10"/>
      <c r="BY336" s="23"/>
      <c r="BZ336" s="24" t="s">
        <v>299</v>
      </c>
      <c r="CA336" s="23"/>
      <c r="CB336" s="23"/>
      <c r="CC336" s="23"/>
      <c r="CD336" s="23"/>
      <c r="CE336" s="23"/>
      <c r="CF336" s="23"/>
      <c r="CG336" s="23"/>
      <c r="CH336" s="23"/>
      <c r="CI336" s="23"/>
    </row>
    <row r="337" spans="1:87" x14ac:dyDescent="0.3">
      <c r="A337" s="9" t="s">
        <v>2963</v>
      </c>
      <c r="B337" s="10" t="s">
        <v>2964</v>
      </c>
      <c r="C337" s="11">
        <v>46130</v>
      </c>
      <c r="D337" s="12">
        <v>8.3333333333333329E-2</v>
      </c>
      <c r="E337" s="11">
        <v>46130.083333333336</v>
      </c>
      <c r="F337" s="10" t="s">
        <v>262</v>
      </c>
      <c r="G337" s="13" t="b">
        <v>0</v>
      </c>
      <c r="H337" s="10"/>
      <c r="I337" s="10" t="s">
        <v>264</v>
      </c>
      <c r="J337" s="13" t="b">
        <v>0</v>
      </c>
      <c r="K337" s="13" t="b">
        <v>1</v>
      </c>
      <c r="L337" s="10" t="s">
        <v>124</v>
      </c>
      <c r="M337" s="10" t="s">
        <v>91</v>
      </c>
      <c r="N337" s="10" t="s">
        <v>92</v>
      </c>
      <c r="O337" s="10"/>
      <c r="P337" s="10"/>
      <c r="Q337" s="10"/>
      <c r="R337" s="10"/>
      <c r="S337" s="10"/>
      <c r="T337" s="10"/>
      <c r="U337" s="10" t="s">
        <v>292</v>
      </c>
      <c r="V337" s="10" t="s">
        <v>588</v>
      </c>
      <c r="W337" s="10" t="s">
        <v>272</v>
      </c>
      <c r="X337" s="10" t="s">
        <v>130</v>
      </c>
      <c r="Y337" s="10" t="s">
        <v>130</v>
      </c>
      <c r="Z337" s="10" t="s">
        <v>99</v>
      </c>
      <c r="AA337" s="10" t="s">
        <v>131</v>
      </c>
      <c r="AB337" s="10" t="s">
        <v>273</v>
      </c>
      <c r="AC337" s="10" t="s">
        <v>274</v>
      </c>
      <c r="AD337" s="10" t="s">
        <v>2965</v>
      </c>
      <c r="AE337" s="10" t="s">
        <v>2966</v>
      </c>
      <c r="AF337" s="15"/>
      <c r="AG337" s="10"/>
      <c r="AH337" s="10"/>
      <c r="AI337" s="10"/>
      <c r="AJ337" s="10"/>
      <c r="AK337" s="10"/>
      <c r="AL337" s="10" t="s">
        <v>2967</v>
      </c>
      <c r="AM337" s="10"/>
      <c r="AN337" s="10"/>
      <c r="AO337" s="13" t="b">
        <v>0</v>
      </c>
      <c r="AP337" s="10" t="s">
        <v>104</v>
      </c>
      <c r="AQ337" s="10"/>
      <c r="AR337" s="17"/>
      <c r="AS337" s="17"/>
      <c r="AT337" s="17"/>
      <c r="AU337" s="17"/>
      <c r="AV337" s="17"/>
      <c r="AW337" s="10"/>
      <c r="AX337" s="17"/>
      <c r="AY337" s="18" t="s">
        <v>257</v>
      </c>
      <c r="AZ337" s="10"/>
      <c r="BA337" s="20" t="b">
        <v>0</v>
      </c>
      <c r="BB337" s="10"/>
      <c r="BC337" s="17" t="s">
        <v>257</v>
      </c>
      <c r="BD337" s="17" t="s">
        <v>257</v>
      </c>
      <c r="BE337" s="17" t="s">
        <v>257</v>
      </c>
      <c r="BF337" s="17" t="s">
        <v>257</v>
      </c>
      <c r="BG337" s="11">
        <f ca="1">IFERROR(__xludf.DUMMYFUNCTION("""COMPUTED_VALUE"""),46130)</f>
        <v>46130</v>
      </c>
      <c r="BH337" s="17"/>
      <c r="BI337" s="17"/>
      <c r="BJ337" s="15"/>
      <c r="BK337" s="15"/>
      <c r="BL337" s="13" t="b">
        <v>0</v>
      </c>
      <c r="BM337" s="10"/>
      <c r="BN337" s="10" t="s">
        <v>223</v>
      </c>
      <c r="BO337" s="11">
        <v>45827.420949074076</v>
      </c>
      <c r="BP337" s="11">
        <v>45827.420949074076</v>
      </c>
      <c r="BQ337" s="15"/>
      <c r="BR337" s="15"/>
      <c r="BS337" s="10"/>
      <c r="BT337" s="10"/>
      <c r="BU337" s="10"/>
      <c r="BV337" s="10"/>
      <c r="BW337" s="10"/>
      <c r="BX337" s="10"/>
      <c r="BY337" s="23"/>
      <c r="BZ337" s="24" t="s">
        <v>299</v>
      </c>
      <c r="CA337" s="23"/>
      <c r="CB337" s="23"/>
      <c r="CC337" s="23"/>
      <c r="CD337" s="23"/>
      <c r="CE337" s="23"/>
      <c r="CF337" s="23"/>
      <c r="CG337" s="23"/>
      <c r="CH337" s="23"/>
      <c r="CI337" s="23"/>
    </row>
    <row r="338" spans="1:87" x14ac:dyDescent="0.3">
      <c r="A338" s="9" t="s">
        <v>2968</v>
      </c>
      <c r="B338" s="10" t="s">
        <v>2969</v>
      </c>
      <c r="C338" s="11">
        <v>46130</v>
      </c>
      <c r="D338" s="12">
        <v>8.3333333333333329E-2</v>
      </c>
      <c r="E338" s="11">
        <v>46130.083333333336</v>
      </c>
      <c r="F338" s="10" t="s">
        <v>262</v>
      </c>
      <c r="G338" s="13" t="b">
        <v>0</v>
      </c>
      <c r="H338" s="10"/>
      <c r="I338" s="10" t="s">
        <v>264</v>
      </c>
      <c r="J338" s="13" t="b">
        <v>0</v>
      </c>
      <c r="K338" s="13" t="b">
        <v>1</v>
      </c>
      <c r="L338" s="10" t="s">
        <v>124</v>
      </c>
      <c r="M338" s="10" t="s">
        <v>91</v>
      </c>
      <c r="N338" s="10" t="s">
        <v>92</v>
      </c>
      <c r="O338" s="10"/>
      <c r="P338" s="10"/>
      <c r="Q338" s="10"/>
      <c r="R338" s="10"/>
      <c r="S338" s="10"/>
      <c r="T338" s="10"/>
      <c r="U338" s="10" t="s">
        <v>321</v>
      </c>
      <c r="V338" s="10" t="s">
        <v>309</v>
      </c>
      <c r="W338" s="10" t="s">
        <v>272</v>
      </c>
      <c r="X338" s="10" t="s">
        <v>130</v>
      </c>
      <c r="Y338" s="10" t="s">
        <v>130</v>
      </c>
      <c r="Z338" s="10" t="s">
        <v>99</v>
      </c>
      <c r="AA338" s="10" t="s">
        <v>131</v>
      </c>
      <c r="AB338" s="10" t="s">
        <v>273</v>
      </c>
      <c r="AC338" s="10" t="s">
        <v>274</v>
      </c>
      <c r="AD338" s="10" t="s">
        <v>2970</v>
      </c>
      <c r="AE338" s="10" t="s">
        <v>2971</v>
      </c>
      <c r="AF338" s="15"/>
      <c r="AG338" s="10"/>
      <c r="AH338" s="10"/>
      <c r="AI338" s="10"/>
      <c r="AJ338" s="10"/>
      <c r="AK338" s="10"/>
      <c r="AL338" s="10" t="s">
        <v>2967</v>
      </c>
      <c r="AM338" s="10"/>
      <c r="AN338" s="10"/>
      <c r="AO338" s="13" t="b">
        <v>0</v>
      </c>
      <c r="AP338" s="10" t="s">
        <v>104</v>
      </c>
      <c r="AQ338" s="10"/>
      <c r="AR338" s="17"/>
      <c r="AS338" s="17"/>
      <c r="AT338" s="17"/>
      <c r="AU338" s="17"/>
      <c r="AV338" s="17"/>
      <c r="AW338" s="10"/>
      <c r="AX338" s="17"/>
      <c r="AY338" s="18" t="s">
        <v>257</v>
      </c>
      <c r="AZ338" s="10"/>
      <c r="BA338" s="20" t="b">
        <v>0</v>
      </c>
      <c r="BB338" s="10"/>
      <c r="BC338" s="17" t="s">
        <v>257</v>
      </c>
      <c r="BD338" s="17" t="s">
        <v>257</v>
      </c>
      <c r="BE338" s="17" t="s">
        <v>257</v>
      </c>
      <c r="BF338" s="17" t="s">
        <v>257</v>
      </c>
      <c r="BG338" s="11">
        <f ca="1">IFERROR(__xludf.DUMMYFUNCTION("""COMPUTED_VALUE"""),46130)</f>
        <v>46130</v>
      </c>
      <c r="BH338" s="17"/>
      <c r="BI338" s="17"/>
      <c r="BJ338" s="15"/>
      <c r="BK338" s="15"/>
      <c r="BL338" s="13" t="b">
        <v>0</v>
      </c>
      <c r="BM338" s="10"/>
      <c r="BN338" s="10" t="s">
        <v>223</v>
      </c>
      <c r="BO338" s="11">
        <v>45827.420949074076</v>
      </c>
      <c r="BP338" s="11">
        <v>45827.420949074076</v>
      </c>
      <c r="BQ338" s="15"/>
      <c r="BR338" s="15"/>
      <c r="BS338" s="10"/>
      <c r="BT338" s="10"/>
      <c r="BU338" s="10"/>
      <c r="BV338" s="10"/>
      <c r="BW338" s="10"/>
      <c r="BX338" s="10"/>
      <c r="BY338" s="23"/>
      <c r="BZ338" s="24" t="s">
        <v>299</v>
      </c>
      <c r="CA338" s="23"/>
      <c r="CB338" s="23"/>
      <c r="CC338" s="23"/>
      <c r="CD338" s="23"/>
      <c r="CE338" s="23"/>
      <c r="CF338" s="23"/>
      <c r="CG338" s="23"/>
      <c r="CH338" s="23"/>
      <c r="CI338" s="23"/>
    </row>
    <row r="339" spans="1:87" x14ac:dyDescent="0.3">
      <c r="A339" s="9" t="s">
        <v>2972</v>
      </c>
      <c r="B339" s="10" t="s">
        <v>2973</v>
      </c>
      <c r="C339" s="11">
        <v>46130</v>
      </c>
      <c r="D339" s="12">
        <v>8.3333333333333329E-2</v>
      </c>
      <c r="E339" s="11">
        <v>46130.083333333336</v>
      </c>
      <c r="F339" s="10" t="s">
        <v>262</v>
      </c>
      <c r="G339" s="13" t="b">
        <v>0</v>
      </c>
      <c r="H339" s="10"/>
      <c r="I339" s="10" t="s">
        <v>264</v>
      </c>
      <c r="J339" s="13" t="b">
        <v>0</v>
      </c>
      <c r="K339" s="13" t="b">
        <v>1</v>
      </c>
      <c r="L339" s="10" t="s">
        <v>124</v>
      </c>
      <c r="M339" s="10" t="s">
        <v>91</v>
      </c>
      <c r="N339" s="10" t="s">
        <v>92</v>
      </c>
      <c r="O339" s="10"/>
      <c r="P339" s="10"/>
      <c r="Q339" s="10"/>
      <c r="R339" s="10"/>
      <c r="S339" s="10"/>
      <c r="T339" s="10"/>
      <c r="U339" s="10" t="s">
        <v>346</v>
      </c>
      <c r="V339" s="10" t="s">
        <v>361</v>
      </c>
      <c r="W339" s="10" t="s">
        <v>272</v>
      </c>
      <c r="X339" s="10" t="s">
        <v>130</v>
      </c>
      <c r="Y339" s="10" t="s">
        <v>130</v>
      </c>
      <c r="Z339" s="10" t="s">
        <v>99</v>
      </c>
      <c r="AA339" s="10" t="s">
        <v>131</v>
      </c>
      <c r="AB339" s="10" t="s">
        <v>273</v>
      </c>
      <c r="AC339" s="10" t="s">
        <v>274</v>
      </c>
      <c r="AD339" s="10" t="s">
        <v>2974</v>
      </c>
      <c r="AE339" s="10" t="s">
        <v>2975</v>
      </c>
      <c r="AF339" s="15"/>
      <c r="AG339" s="10"/>
      <c r="AH339" s="10"/>
      <c r="AI339" s="10"/>
      <c r="AJ339" s="10"/>
      <c r="AK339" s="10"/>
      <c r="AL339" s="10" t="s">
        <v>2967</v>
      </c>
      <c r="AM339" s="10"/>
      <c r="AN339" s="10"/>
      <c r="AO339" s="13" t="b">
        <v>1</v>
      </c>
      <c r="AP339" s="10" t="s">
        <v>104</v>
      </c>
      <c r="AQ339" s="10"/>
      <c r="AR339" s="17"/>
      <c r="AS339" s="17"/>
      <c r="AT339" s="17"/>
      <c r="AU339" s="17"/>
      <c r="AV339" s="17"/>
      <c r="AW339" s="10"/>
      <c r="AX339" s="17"/>
      <c r="AY339" s="18" t="s">
        <v>257</v>
      </c>
      <c r="AZ339" s="10"/>
      <c r="BA339" s="20" t="b">
        <v>0</v>
      </c>
      <c r="BB339" s="10"/>
      <c r="BC339" s="17" t="s">
        <v>257</v>
      </c>
      <c r="BD339" s="17" t="s">
        <v>257</v>
      </c>
      <c r="BE339" s="17" t="s">
        <v>257</v>
      </c>
      <c r="BF339" s="17" t="s">
        <v>257</v>
      </c>
      <c r="BG339" s="11">
        <f ca="1">IFERROR(__xludf.DUMMYFUNCTION("""COMPUTED_VALUE"""),46130)</f>
        <v>46130</v>
      </c>
      <c r="BH339" s="17"/>
      <c r="BI339" s="17"/>
      <c r="BJ339" s="15"/>
      <c r="BK339" s="15"/>
      <c r="BL339" s="13" t="b">
        <v>0</v>
      </c>
      <c r="BM339" s="10"/>
      <c r="BN339" s="10" t="s">
        <v>223</v>
      </c>
      <c r="BO339" s="11">
        <v>45827.420949074076</v>
      </c>
      <c r="BP339" s="11">
        <v>45827.420949074076</v>
      </c>
      <c r="BQ339" s="15"/>
      <c r="BR339" s="15"/>
      <c r="BS339" s="10"/>
      <c r="BT339" s="10"/>
      <c r="BU339" s="10"/>
      <c r="BV339" s="10"/>
      <c r="BW339" s="10"/>
      <c r="BX339" s="10"/>
      <c r="BY339" s="23"/>
      <c r="BZ339" s="24" t="s">
        <v>368</v>
      </c>
      <c r="CA339" s="23"/>
      <c r="CB339" s="23"/>
      <c r="CC339" s="23"/>
      <c r="CD339" s="23"/>
      <c r="CE339" s="23"/>
      <c r="CF339" s="23"/>
      <c r="CG339" s="23"/>
      <c r="CH339" s="23"/>
      <c r="CI339" s="23"/>
    </row>
    <row r="340" spans="1:87" x14ac:dyDescent="0.3">
      <c r="A340" s="9" t="s">
        <v>2976</v>
      </c>
      <c r="B340" s="10" t="s">
        <v>2977</v>
      </c>
      <c r="C340" s="11">
        <v>46130</v>
      </c>
      <c r="D340" s="12">
        <v>8.3333333333333329E-2</v>
      </c>
      <c r="E340" s="11">
        <v>46130.083333333336</v>
      </c>
      <c r="F340" s="10" t="s">
        <v>262</v>
      </c>
      <c r="G340" s="13" t="b">
        <v>0</v>
      </c>
      <c r="H340" s="10"/>
      <c r="I340" s="10" t="s">
        <v>264</v>
      </c>
      <c r="J340" s="13" t="b">
        <v>0</v>
      </c>
      <c r="K340" s="13" t="b">
        <v>1</v>
      </c>
      <c r="L340" s="10" t="s">
        <v>124</v>
      </c>
      <c r="M340" s="10" t="s">
        <v>91</v>
      </c>
      <c r="N340" s="10" t="s">
        <v>92</v>
      </c>
      <c r="O340" s="10"/>
      <c r="P340" s="10"/>
      <c r="Q340" s="10"/>
      <c r="R340" s="10"/>
      <c r="S340" s="10"/>
      <c r="T340" s="10"/>
      <c r="U340" s="10" t="s">
        <v>347</v>
      </c>
      <c r="V340" s="10" t="s">
        <v>451</v>
      </c>
      <c r="W340" s="10" t="s">
        <v>272</v>
      </c>
      <c r="X340" s="10" t="s">
        <v>130</v>
      </c>
      <c r="Y340" s="10" t="s">
        <v>130</v>
      </c>
      <c r="Z340" s="10" t="s">
        <v>99</v>
      </c>
      <c r="AA340" s="10" t="s">
        <v>131</v>
      </c>
      <c r="AB340" s="10" t="s">
        <v>273</v>
      </c>
      <c r="AC340" s="10" t="s">
        <v>274</v>
      </c>
      <c r="AD340" s="10" t="s">
        <v>2978</v>
      </c>
      <c r="AE340" s="10" t="s">
        <v>2979</v>
      </c>
      <c r="AF340" s="15"/>
      <c r="AG340" s="10"/>
      <c r="AH340" s="10"/>
      <c r="AI340" s="10"/>
      <c r="AJ340" s="10"/>
      <c r="AK340" s="10"/>
      <c r="AL340" s="10" t="s">
        <v>2967</v>
      </c>
      <c r="AM340" s="10"/>
      <c r="AN340" s="10"/>
      <c r="AO340" s="13" t="b">
        <v>0</v>
      </c>
      <c r="AP340" s="10" t="s">
        <v>104</v>
      </c>
      <c r="AQ340" s="10"/>
      <c r="AR340" s="17"/>
      <c r="AS340" s="17"/>
      <c r="AT340" s="17"/>
      <c r="AU340" s="17"/>
      <c r="AV340" s="17"/>
      <c r="AW340" s="10"/>
      <c r="AX340" s="17"/>
      <c r="AY340" s="18" t="s">
        <v>257</v>
      </c>
      <c r="AZ340" s="10"/>
      <c r="BA340" s="20" t="b">
        <v>0</v>
      </c>
      <c r="BB340" s="10"/>
      <c r="BC340" s="17" t="s">
        <v>257</v>
      </c>
      <c r="BD340" s="17" t="s">
        <v>257</v>
      </c>
      <c r="BE340" s="17" t="s">
        <v>257</v>
      </c>
      <c r="BF340" s="17" t="s">
        <v>257</v>
      </c>
      <c r="BG340" s="11">
        <f ca="1">IFERROR(__xludf.DUMMYFUNCTION("""COMPUTED_VALUE"""),46130)</f>
        <v>46130</v>
      </c>
      <c r="BH340" s="17"/>
      <c r="BI340" s="17"/>
      <c r="BJ340" s="15"/>
      <c r="BK340" s="15"/>
      <c r="BL340" s="13" t="b">
        <v>0</v>
      </c>
      <c r="BM340" s="10"/>
      <c r="BN340" s="10" t="s">
        <v>223</v>
      </c>
      <c r="BO340" s="11">
        <v>45827.420949074076</v>
      </c>
      <c r="BP340" s="11">
        <v>45827.420949074076</v>
      </c>
      <c r="BQ340" s="15"/>
      <c r="BR340" s="15"/>
      <c r="BS340" s="10"/>
      <c r="BT340" s="10"/>
      <c r="BU340" s="10"/>
      <c r="BV340" s="10"/>
      <c r="BW340" s="10"/>
      <c r="BX340" s="10"/>
      <c r="BY340" s="23"/>
      <c r="BZ340" s="24" t="s">
        <v>299</v>
      </c>
      <c r="CA340" s="23"/>
      <c r="CB340" s="23"/>
      <c r="CC340" s="23"/>
      <c r="CD340" s="23"/>
      <c r="CE340" s="23"/>
      <c r="CF340" s="23"/>
      <c r="CG340" s="23"/>
      <c r="CH340" s="23"/>
      <c r="CI340" s="23"/>
    </row>
    <row r="341" spans="1:87" x14ac:dyDescent="0.3">
      <c r="A341" s="9" t="s">
        <v>2980</v>
      </c>
      <c r="B341" s="10" t="s">
        <v>2981</v>
      </c>
      <c r="C341" s="11">
        <v>46130</v>
      </c>
      <c r="D341" s="12">
        <v>8.3333333333333329E-2</v>
      </c>
      <c r="E341" s="11">
        <v>46130.083333333336</v>
      </c>
      <c r="F341" s="10" t="s">
        <v>262</v>
      </c>
      <c r="G341" s="13" t="b">
        <v>0</v>
      </c>
      <c r="H341" s="10"/>
      <c r="I341" s="10" t="s">
        <v>264</v>
      </c>
      <c r="J341" s="13" t="b">
        <v>0</v>
      </c>
      <c r="K341" s="13" t="b">
        <v>1</v>
      </c>
      <c r="L341" s="10" t="s">
        <v>124</v>
      </c>
      <c r="M341" s="10" t="s">
        <v>91</v>
      </c>
      <c r="N341" s="10" t="s">
        <v>92</v>
      </c>
      <c r="O341" s="10"/>
      <c r="P341" s="10"/>
      <c r="Q341" s="10"/>
      <c r="R341" s="10"/>
      <c r="S341" s="10"/>
      <c r="T341" s="10"/>
      <c r="U341" s="10" t="s">
        <v>407</v>
      </c>
      <c r="V341" s="10" t="s">
        <v>270</v>
      </c>
      <c r="W341" s="10" t="s">
        <v>272</v>
      </c>
      <c r="X341" s="10" t="s">
        <v>130</v>
      </c>
      <c r="Y341" s="10" t="s">
        <v>130</v>
      </c>
      <c r="Z341" s="10" t="s">
        <v>99</v>
      </c>
      <c r="AA341" s="10" t="s">
        <v>131</v>
      </c>
      <c r="AB341" s="10" t="s">
        <v>273</v>
      </c>
      <c r="AC341" s="10" t="s">
        <v>274</v>
      </c>
      <c r="AD341" s="10" t="s">
        <v>2982</v>
      </c>
      <c r="AE341" s="10" t="s">
        <v>2983</v>
      </c>
      <c r="AF341" s="15"/>
      <c r="AG341" s="10"/>
      <c r="AH341" s="10"/>
      <c r="AI341" s="10"/>
      <c r="AJ341" s="10"/>
      <c r="AK341" s="10"/>
      <c r="AL341" s="10" t="s">
        <v>2967</v>
      </c>
      <c r="AM341" s="10"/>
      <c r="AN341" s="10"/>
      <c r="AO341" s="13" t="b">
        <v>1</v>
      </c>
      <c r="AP341" s="10" t="s">
        <v>104</v>
      </c>
      <c r="AQ341" s="10"/>
      <c r="AR341" s="17"/>
      <c r="AS341" s="17"/>
      <c r="AT341" s="17"/>
      <c r="AU341" s="17"/>
      <c r="AV341" s="17"/>
      <c r="AW341" s="10"/>
      <c r="AX341" s="17"/>
      <c r="AY341" s="18" t="s">
        <v>257</v>
      </c>
      <c r="AZ341" s="10"/>
      <c r="BA341" s="20" t="b">
        <v>0</v>
      </c>
      <c r="BB341" s="10"/>
      <c r="BC341" s="17" t="s">
        <v>257</v>
      </c>
      <c r="BD341" s="17" t="s">
        <v>257</v>
      </c>
      <c r="BE341" s="17" t="s">
        <v>257</v>
      </c>
      <c r="BF341" s="17" t="s">
        <v>257</v>
      </c>
      <c r="BG341" s="11">
        <f ca="1">IFERROR(__xludf.DUMMYFUNCTION("""COMPUTED_VALUE"""),46130)</f>
        <v>46130</v>
      </c>
      <c r="BH341" s="17"/>
      <c r="BI341" s="17"/>
      <c r="BJ341" s="15"/>
      <c r="BK341" s="15"/>
      <c r="BL341" s="13" t="b">
        <v>0</v>
      </c>
      <c r="BM341" s="10"/>
      <c r="BN341" s="10" t="s">
        <v>223</v>
      </c>
      <c r="BO341" s="11">
        <v>45827.420949074076</v>
      </c>
      <c r="BP341" s="11">
        <v>45827.420949074076</v>
      </c>
      <c r="BQ341" s="15"/>
      <c r="BR341" s="15"/>
      <c r="BS341" s="10"/>
      <c r="BT341" s="10"/>
      <c r="BU341" s="10"/>
      <c r="BV341" s="10"/>
      <c r="BW341" s="10"/>
      <c r="BX341" s="10"/>
      <c r="BY341" s="23"/>
      <c r="BZ341" s="24" t="s">
        <v>284</v>
      </c>
      <c r="CA341" s="23"/>
      <c r="CB341" s="23"/>
      <c r="CC341" s="23"/>
      <c r="CD341" s="23"/>
      <c r="CE341" s="23"/>
      <c r="CF341" s="23"/>
      <c r="CG341" s="23"/>
      <c r="CH341" s="23"/>
      <c r="CI341" s="23"/>
    </row>
    <row r="342" spans="1:87" x14ac:dyDescent="0.3">
      <c r="A342" s="9" t="s">
        <v>2984</v>
      </c>
      <c r="B342" s="10" t="s">
        <v>2985</v>
      </c>
      <c r="C342" s="11">
        <v>46130</v>
      </c>
      <c r="D342" s="12">
        <v>8.3333333333333329E-2</v>
      </c>
      <c r="E342" s="11">
        <v>46130.083333333336</v>
      </c>
      <c r="F342" s="10" t="s">
        <v>262</v>
      </c>
      <c r="G342" s="13" t="b">
        <v>0</v>
      </c>
      <c r="H342" s="10"/>
      <c r="I342" s="10" t="s">
        <v>264</v>
      </c>
      <c r="J342" s="13" t="b">
        <v>0</v>
      </c>
      <c r="K342" s="13" t="b">
        <v>1</v>
      </c>
      <c r="L342" s="10" t="s">
        <v>124</v>
      </c>
      <c r="M342" s="10" t="s">
        <v>91</v>
      </c>
      <c r="N342" s="10" t="s">
        <v>92</v>
      </c>
      <c r="O342" s="10"/>
      <c r="P342" s="10"/>
      <c r="Q342" s="10"/>
      <c r="R342" s="10"/>
      <c r="S342" s="10"/>
      <c r="T342" s="10"/>
      <c r="U342" s="10" t="s">
        <v>663</v>
      </c>
      <c r="V342" s="10" t="s">
        <v>333</v>
      </c>
      <c r="W342" s="10" t="s">
        <v>272</v>
      </c>
      <c r="X342" s="10" t="s">
        <v>130</v>
      </c>
      <c r="Y342" s="10" t="s">
        <v>130</v>
      </c>
      <c r="Z342" s="10" t="s">
        <v>99</v>
      </c>
      <c r="AA342" s="10" t="s">
        <v>131</v>
      </c>
      <c r="AB342" s="10" t="s">
        <v>273</v>
      </c>
      <c r="AC342" s="10" t="s">
        <v>274</v>
      </c>
      <c r="AD342" s="10" t="s">
        <v>2986</v>
      </c>
      <c r="AE342" s="10" t="s">
        <v>2987</v>
      </c>
      <c r="AF342" s="15"/>
      <c r="AG342" s="10"/>
      <c r="AH342" s="10"/>
      <c r="AI342" s="10"/>
      <c r="AJ342" s="10"/>
      <c r="AK342" s="10"/>
      <c r="AL342" s="10" t="s">
        <v>2967</v>
      </c>
      <c r="AM342" s="10"/>
      <c r="AN342" s="10"/>
      <c r="AO342" s="13" t="b">
        <v>0</v>
      </c>
      <c r="AP342" s="10" t="s">
        <v>104</v>
      </c>
      <c r="AQ342" s="10"/>
      <c r="AR342" s="17"/>
      <c r="AS342" s="17"/>
      <c r="AT342" s="17"/>
      <c r="AU342" s="17"/>
      <c r="AV342" s="17"/>
      <c r="AW342" s="10"/>
      <c r="AX342" s="17"/>
      <c r="AY342" s="18" t="s">
        <v>257</v>
      </c>
      <c r="AZ342" s="10"/>
      <c r="BA342" s="20" t="b">
        <v>0</v>
      </c>
      <c r="BB342" s="10"/>
      <c r="BC342" s="17" t="s">
        <v>257</v>
      </c>
      <c r="BD342" s="17" t="s">
        <v>257</v>
      </c>
      <c r="BE342" s="17" t="s">
        <v>257</v>
      </c>
      <c r="BF342" s="17" t="s">
        <v>257</v>
      </c>
      <c r="BG342" s="11">
        <f ca="1">IFERROR(__xludf.DUMMYFUNCTION("""COMPUTED_VALUE"""),46130)</f>
        <v>46130</v>
      </c>
      <c r="BH342" s="17"/>
      <c r="BI342" s="17"/>
      <c r="BJ342" s="15"/>
      <c r="BK342" s="15"/>
      <c r="BL342" s="13" t="b">
        <v>0</v>
      </c>
      <c r="BM342" s="10"/>
      <c r="BN342" s="10" t="s">
        <v>223</v>
      </c>
      <c r="BO342" s="11">
        <v>45827.420949074076</v>
      </c>
      <c r="BP342" s="11">
        <v>45827.420949074076</v>
      </c>
      <c r="BQ342" s="15"/>
      <c r="BR342" s="15"/>
      <c r="BS342" s="10"/>
      <c r="BT342" s="10"/>
      <c r="BU342" s="10"/>
      <c r="BV342" s="10"/>
      <c r="BW342" s="10"/>
      <c r="BX342" s="10"/>
      <c r="BY342" s="23"/>
      <c r="BZ342" s="24" t="s">
        <v>299</v>
      </c>
      <c r="CA342" s="23"/>
      <c r="CB342" s="23"/>
      <c r="CC342" s="23"/>
      <c r="CD342" s="23"/>
      <c r="CE342" s="23"/>
      <c r="CF342" s="23"/>
      <c r="CG342" s="23"/>
      <c r="CH342" s="23"/>
      <c r="CI342" s="23"/>
    </row>
    <row r="343" spans="1:87" x14ac:dyDescent="0.3">
      <c r="A343" s="9" t="s">
        <v>2988</v>
      </c>
      <c r="B343" s="10" t="s">
        <v>2989</v>
      </c>
      <c r="C343" s="11">
        <v>46130</v>
      </c>
      <c r="D343" s="12">
        <v>8.3333333333333329E-2</v>
      </c>
      <c r="E343" s="11">
        <v>46130.083333333336</v>
      </c>
      <c r="F343" s="10" t="s">
        <v>262</v>
      </c>
      <c r="G343" s="13" t="b">
        <v>0</v>
      </c>
      <c r="H343" s="10"/>
      <c r="I343" s="10" t="s">
        <v>264</v>
      </c>
      <c r="J343" s="13" t="b">
        <v>0</v>
      </c>
      <c r="K343" s="13" t="b">
        <v>1</v>
      </c>
      <c r="L343" s="10" t="s">
        <v>124</v>
      </c>
      <c r="M343" s="10" t="s">
        <v>91</v>
      </c>
      <c r="N343" s="10" t="s">
        <v>92</v>
      </c>
      <c r="O343" s="10"/>
      <c r="P343" s="10"/>
      <c r="Q343" s="10"/>
      <c r="R343" s="10"/>
      <c r="S343" s="10"/>
      <c r="T343" s="10"/>
      <c r="U343" s="10" t="s">
        <v>334</v>
      </c>
      <c r="V343" s="10" t="s">
        <v>362</v>
      </c>
      <c r="W343" s="10" t="s">
        <v>272</v>
      </c>
      <c r="X343" s="10" t="s">
        <v>130</v>
      </c>
      <c r="Y343" s="10" t="s">
        <v>130</v>
      </c>
      <c r="Z343" s="10" t="s">
        <v>99</v>
      </c>
      <c r="AA343" s="10" t="s">
        <v>131</v>
      </c>
      <c r="AB343" s="10" t="s">
        <v>273</v>
      </c>
      <c r="AC343" s="10" t="s">
        <v>274</v>
      </c>
      <c r="AD343" s="10" t="s">
        <v>2990</v>
      </c>
      <c r="AE343" s="10" t="s">
        <v>2991</v>
      </c>
      <c r="AF343" s="15"/>
      <c r="AG343" s="10"/>
      <c r="AH343" s="10"/>
      <c r="AI343" s="10"/>
      <c r="AJ343" s="10"/>
      <c r="AK343" s="10"/>
      <c r="AL343" s="10" t="s">
        <v>2967</v>
      </c>
      <c r="AM343" s="10"/>
      <c r="AN343" s="10"/>
      <c r="AO343" s="13" t="b">
        <v>1</v>
      </c>
      <c r="AP343" s="10" t="s">
        <v>104</v>
      </c>
      <c r="AQ343" s="10"/>
      <c r="AR343" s="17"/>
      <c r="AS343" s="17"/>
      <c r="AT343" s="17"/>
      <c r="AU343" s="17"/>
      <c r="AV343" s="17"/>
      <c r="AW343" s="10"/>
      <c r="AX343" s="17"/>
      <c r="AY343" s="18" t="s">
        <v>257</v>
      </c>
      <c r="AZ343" s="10"/>
      <c r="BA343" s="20" t="b">
        <v>0</v>
      </c>
      <c r="BB343" s="10"/>
      <c r="BC343" s="17" t="s">
        <v>257</v>
      </c>
      <c r="BD343" s="17" t="s">
        <v>257</v>
      </c>
      <c r="BE343" s="17" t="s">
        <v>257</v>
      </c>
      <c r="BF343" s="17" t="s">
        <v>257</v>
      </c>
      <c r="BG343" s="11">
        <f ca="1">IFERROR(__xludf.DUMMYFUNCTION("""COMPUTED_VALUE"""),46130)</f>
        <v>46130</v>
      </c>
      <c r="BH343" s="17"/>
      <c r="BI343" s="17"/>
      <c r="BJ343" s="15"/>
      <c r="BK343" s="15"/>
      <c r="BL343" s="13" t="b">
        <v>0</v>
      </c>
      <c r="BM343" s="10"/>
      <c r="BN343" s="10" t="s">
        <v>223</v>
      </c>
      <c r="BO343" s="11">
        <v>45827.420949074076</v>
      </c>
      <c r="BP343" s="11">
        <v>45827.420949074076</v>
      </c>
      <c r="BQ343" s="15"/>
      <c r="BR343" s="15"/>
      <c r="BS343" s="10"/>
      <c r="BT343" s="10"/>
      <c r="BU343" s="10"/>
      <c r="BV343" s="10"/>
      <c r="BW343" s="10"/>
      <c r="BX343" s="10"/>
      <c r="BY343" s="23"/>
      <c r="BZ343" s="24" t="s">
        <v>368</v>
      </c>
      <c r="CA343" s="23"/>
      <c r="CB343" s="23"/>
      <c r="CC343" s="23"/>
      <c r="CD343" s="23"/>
      <c r="CE343" s="23"/>
      <c r="CF343" s="23"/>
      <c r="CG343" s="23"/>
      <c r="CH343" s="23"/>
      <c r="CI343" s="23"/>
    </row>
    <row r="344" spans="1:87" x14ac:dyDescent="0.3">
      <c r="A344" s="9" t="s">
        <v>2992</v>
      </c>
      <c r="B344" s="10" t="s">
        <v>2993</v>
      </c>
      <c r="C344" s="11">
        <v>46130</v>
      </c>
      <c r="D344" s="12">
        <v>8.3333333333333329E-2</v>
      </c>
      <c r="E344" s="11">
        <v>46130.083333333336</v>
      </c>
      <c r="F344" s="10" t="s">
        <v>262</v>
      </c>
      <c r="G344" s="13" t="b">
        <v>0</v>
      </c>
      <c r="H344" s="10"/>
      <c r="I344" s="10" t="s">
        <v>264</v>
      </c>
      <c r="J344" s="13" t="b">
        <v>0</v>
      </c>
      <c r="K344" s="13" t="b">
        <v>1</v>
      </c>
      <c r="L344" s="10" t="s">
        <v>124</v>
      </c>
      <c r="M344" s="10" t="s">
        <v>91</v>
      </c>
      <c r="N344" s="10" t="s">
        <v>92</v>
      </c>
      <c r="O344" s="10"/>
      <c r="P344" s="10"/>
      <c r="Q344" s="10"/>
      <c r="R344" s="10"/>
      <c r="S344" s="10"/>
      <c r="T344" s="10"/>
      <c r="U344" s="10" t="s">
        <v>293</v>
      </c>
      <c r="V344" s="10" t="s">
        <v>271</v>
      </c>
      <c r="W344" s="10" t="s">
        <v>272</v>
      </c>
      <c r="X344" s="10" t="s">
        <v>130</v>
      </c>
      <c r="Y344" s="10" t="s">
        <v>130</v>
      </c>
      <c r="Z344" s="10" t="s">
        <v>99</v>
      </c>
      <c r="AA344" s="10" t="s">
        <v>131</v>
      </c>
      <c r="AB344" s="10" t="s">
        <v>273</v>
      </c>
      <c r="AC344" s="10" t="s">
        <v>274</v>
      </c>
      <c r="AD344" s="10" t="s">
        <v>2994</v>
      </c>
      <c r="AE344" s="10" t="s">
        <v>2995</v>
      </c>
      <c r="AF344" s="15"/>
      <c r="AG344" s="10"/>
      <c r="AH344" s="10"/>
      <c r="AI344" s="10"/>
      <c r="AJ344" s="10"/>
      <c r="AK344" s="10"/>
      <c r="AL344" s="10" t="s">
        <v>2967</v>
      </c>
      <c r="AM344" s="10"/>
      <c r="AN344" s="10"/>
      <c r="AO344" s="13" t="b">
        <v>0</v>
      </c>
      <c r="AP344" s="10" t="s">
        <v>104</v>
      </c>
      <c r="AQ344" s="10"/>
      <c r="AR344" s="17"/>
      <c r="AS344" s="17"/>
      <c r="AT344" s="17"/>
      <c r="AU344" s="17"/>
      <c r="AV344" s="17"/>
      <c r="AW344" s="10"/>
      <c r="AX344" s="17"/>
      <c r="AY344" s="18" t="s">
        <v>257</v>
      </c>
      <c r="AZ344" s="10"/>
      <c r="BA344" s="20" t="b">
        <v>0</v>
      </c>
      <c r="BB344" s="10"/>
      <c r="BC344" s="17" t="s">
        <v>257</v>
      </c>
      <c r="BD344" s="17" t="s">
        <v>257</v>
      </c>
      <c r="BE344" s="17" t="s">
        <v>257</v>
      </c>
      <c r="BF344" s="17" t="s">
        <v>257</v>
      </c>
      <c r="BG344" s="11">
        <f ca="1">IFERROR(__xludf.DUMMYFUNCTION("""COMPUTED_VALUE"""),46130)</f>
        <v>46130</v>
      </c>
      <c r="BH344" s="17"/>
      <c r="BI344" s="17"/>
      <c r="BJ344" s="15"/>
      <c r="BK344" s="15"/>
      <c r="BL344" s="13" t="b">
        <v>0</v>
      </c>
      <c r="BM344" s="10"/>
      <c r="BN344" s="10" t="s">
        <v>223</v>
      </c>
      <c r="BO344" s="11">
        <v>45827.420949074076</v>
      </c>
      <c r="BP344" s="11">
        <v>45827.420949074076</v>
      </c>
      <c r="BQ344" s="15"/>
      <c r="BR344" s="15"/>
      <c r="BS344" s="10"/>
      <c r="BT344" s="10"/>
      <c r="BU344" s="10"/>
      <c r="BV344" s="10"/>
      <c r="BW344" s="10"/>
      <c r="BX344" s="10"/>
      <c r="BY344" s="23"/>
      <c r="BZ344" s="24" t="s">
        <v>299</v>
      </c>
      <c r="CA344" s="23"/>
      <c r="CB344" s="23"/>
      <c r="CC344" s="23"/>
      <c r="CD344" s="23"/>
      <c r="CE344" s="23"/>
      <c r="CF344" s="23"/>
      <c r="CG344" s="23"/>
      <c r="CH344" s="23"/>
      <c r="CI344" s="23"/>
    </row>
    <row r="345" spans="1:87" x14ac:dyDescent="0.3">
      <c r="A345" s="9" t="s">
        <v>2996</v>
      </c>
      <c r="B345" s="10" t="s">
        <v>2997</v>
      </c>
      <c r="C345" s="11">
        <v>46130</v>
      </c>
      <c r="D345" s="12">
        <v>8.3333333333333329E-2</v>
      </c>
      <c r="E345" s="11">
        <v>46130.083333333336</v>
      </c>
      <c r="F345" s="10" t="s">
        <v>262</v>
      </c>
      <c r="G345" s="13" t="b">
        <v>0</v>
      </c>
      <c r="H345" s="10"/>
      <c r="I345" s="10" t="s">
        <v>264</v>
      </c>
      <c r="J345" s="13" t="b">
        <v>0</v>
      </c>
      <c r="K345" s="13" t="b">
        <v>1</v>
      </c>
      <c r="L345" s="10" t="s">
        <v>124</v>
      </c>
      <c r="M345" s="10" t="s">
        <v>91</v>
      </c>
      <c r="N345" s="10" t="s">
        <v>92</v>
      </c>
      <c r="O345" s="10"/>
      <c r="P345" s="10"/>
      <c r="Q345" s="10"/>
      <c r="R345" s="10"/>
      <c r="S345" s="10"/>
      <c r="T345" s="10"/>
      <c r="U345" s="10" t="s">
        <v>320</v>
      </c>
      <c r="V345" s="10" t="s">
        <v>609</v>
      </c>
      <c r="W345" s="10" t="s">
        <v>272</v>
      </c>
      <c r="X345" s="10" t="s">
        <v>130</v>
      </c>
      <c r="Y345" s="10" t="s">
        <v>130</v>
      </c>
      <c r="Z345" s="10" t="s">
        <v>99</v>
      </c>
      <c r="AA345" s="10" t="s">
        <v>131</v>
      </c>
      <c r="AB345" s="10" t="s">
        <v>273</v>
      </c>
      <c r="AC345" s="10" t="s">
        <v>274</v>
      </c>
      <c r="AD345" s="10" t="s">
        <v>2998</v>
      </c>
      <c r="AE345" s="10" t="s">
        <v>2999</v>
      </c>
      <c r="AF345" s="15"/>
      <c r="AG345" s="10"/>
      <c r="AH345" s="10"/>
      <c r="AI345" s="10"/>
      <c r="AJ345" s="10"/>
      <c r="AK345" s="10"/>
      <c r="AL345" s="10" t="s">
        <v>2967</v>
      </c>
      <c r="AM345" s="10"/>
      <c r="AN345" s="10"/>
      <c r="AO345" s="13" t="b">
        <v>0</v>
      </c>
      <c r="AP345" s="10" t="s">
        <v>104</v>
      </c>
      <c r="AQ345" s="10"/>
      <c r="AR345" s="17"/>
      <c r="AS345" s="17"/>
      <c r="AT345" s="17"/>
      <c r="AU345" s="17"/>
      <c r="AV345" s="17"/>
      <c r="AW345" s="10"/>
      <c r="AX345" s="17"/>
      <c r="AY345" s="18" t="s">
        <v>257</v>
      </c>
      <c r="AZ345" s="10"/>
      <c r="BA345" s="20" t="b">
        <v>0</v>
      </c>
      <c r="BB345" s="10"/>
      <c r="BC345" s="17" t="s">
        <v>257</v>
      </c>
      <c r="BD345" s="17" t="s">
        <v>257</v>
      </c>
      <c r="BE345" s="17" t="s">
        <v>257</v>
      </c>
      <c r="BF345" s="17" t="s">
        <v>257</v>
      </c>
      <c r="BG345" s="11">
        <f ca="1">IFERROR(__xludf.DUMMYFUNCTION("""COMPUTED_VALUE"""),46130)</f>
        <v>46130</v>
      </c>
      <c r="BH345" s="17"/>
      <c r="BI345" s="17"/>
      <c r="BJ345" s="15"/>
      <c r="BK345" s="15"/>
      <c r="BL345" s="13" t="b">
        <v>0</v>
      </c>
      <c r="BM345" s="10"/>
      <c r="BN345" s="10" t="s">
        <v>223</v>
      </c>
      <c r="BO345" s="11">
        <v>45827.420949074076</v>
      </c>
      <c r="BP345" s="11">
        <v>45827.420949074076</v>
      </c>
      <c r="BQ345" s="15"/>
      <c r="BR345" s="15"/>
      <c r="BS345" s="10"/>
      <c r="BT345" s="10"/>
      <c r="BU345" s="10"/>
      <c r="BV345" s="10"/>
      <c r="BW345" s="10"/>
      <c r="BX345" s="10"/>
      <c r="BY345" s="23"/>
      <c r="BZ345" s="24" t="s">
        <v>299</v>
      </c>
      <c r="CA345" s="23"/>
      <c r="CB345" s="23"/>
      <c r="CC345" s="23"/>
      <c r="CD345" s="23"/>
      <c r="CE345" s="23"/>
      <c r="CF345" s="23"/>
      <c r="CG345" s="23"/>
      <c r="CH345" s="23"/>
      <c r="CI345" s="23"/>
    </row>
    <row r="346" spans="1:87" x14ac:dyDescent="0.3">
      <c r="A346" s="9" t="s">
        <v>3000</v>
      </c>
      <c r="B346" s="10" t="s">
        <v>3001</v>
      </c>
      <c r="C346" s="11">
        <v>46130</v>
      </c>
      <c r="D346" s="12">
        <v>8.3333333333333329E-2</v>
      </c>
      <c r="E346" s="11">
        <v>46130.083333333336</v>
      </c>
      <c r="F346" s="10" t="s">
        <v>262</v>
      </c>
      <c r="G346" s="13" t="b">
        <v>0</v>
      </c>
      <c r="H346" s="10"/>
      <c r="I346" s="10" t="s">
        <v>264</v>
      </c>
      <c r="J346" s="13" t="b">
        <v>0</v>
      </c>
      <c r="K346" s="13" t="b">
        <v>1</v>
      </c>
      <c r="L346" s="10" t="s">
        <v>124</v>
      </c>
      <c r="M346" s="10" t="s">
        <v>91</v>
      </c>
      <c r="N346" s="10" t="s">
        <v>92</v>
      </c>
      <c r="O346" s="10"/>
      <c r="P346" s="10"/>
      <c r="Q346" s="10"/>
      <c r="R346" s="10"/>
      <c r="S346" s="10"/>
      <c r="T346" s="10"/>
      <c r="U346" s="10" t="s">
        <v>429</v>
      </c>
      <c r="V346" s="10" t="s">
        <v>308</v>
      </c>
      <c r="W346" s="10" t="s">
        <v>272</v>
      </c>
      <c r="X346" s="10" t="s">
        <v>130</v>
      </c>
      <c r="Y346" s="10" t="s">
        <v>130</v>
      </c>
      <c r="Z346" s="10" t="s">
        <v>99</v>
      </c>
      <c r="AA346" s="10" t="s">
        <v>131</v>
      </c>
      <c r="AB346" s="10" t="s">
        <v>273</v>
      </c>
      <c r="AC346" s="10" t="s">
        <v>274</v>
      </c>
      <c r="AD346" s="10" t="s">
        <v>3002</v>
      </c>
      <c r="AE346" s="10" t="s">
        <v>3003</v>
      </c>
      <c r="AF346" s="15"/>
      <c r="AG346" s="10"/>
      <c r="AH346" s="10"/>
      <c r="AI346" s="10"/>
      <c r="AJ346" s="10"/>
      <c r="AK346" s="10"/>
      <c r="AL346" s="10" t="s">
        <v>2967</v>
      </c>
      <c r="AM346" s="10"/>
      <c r="AN346" s="10"/>
      <c r="AO346" s="13" t="b">
        <v>1</v>
      </c>
      <c r="AP346" s="10" t="s">
        <v>104</v>
      </c>
      <c r="AQ346" s="10"/>
      <c r="AR346" s="17"/>
      <c r="AS346" s="17"/>
      <c r="AT346" s="17"/>
      <c r="AU346" s="17"/>
      <c r="AV346" s="17"/>
      <c r="AW346" s="10"/>
      <c r="AX346" s="17"/>
      <c r="AY346" s="18" t="s">
        <v>257</v>
      </c>
      <c r="AZ346" s="10"/>
      <c r="BA346" s="20" t="b">
        <v>0</v>
      </c>
      <c r="BB346" s="10"/>
      <c r="BC346" s="17" t="s">
        <v>257</v>
      </c>
      <c r="BD346" s="17" t="s">
        <v>257</v>
      </c>
      <c r="BE346" s="17" t="s">
        <v>257</v>
      </c>
      <c r="BF346" s="17" t="s">
        <v>257</v>
      </c>
      <c r="BG346" s="11">
        <f ca="1">IFERROR(__xludf.DUMMYFUNCTION("""COMPUTED_VALUE"""),46130)</f>
        <v>46130</v>
      </c>
      <c r="BH346" s="17"/>
      <c r="BI346" s="17"/>
      <c r="BJ346" s="15"/>
      <c r="BK346" s="15"/>
      <c r="BL346" s="13" t="b">
        <v>0</v>
      </c>
      <c r="BM346" s="10"/>
      <c r="BN346" s="10" t="s">
        <v>223</v>
      </c>
      <c r="BO346" s="11">
        <v>45827.420949074076</v>
      </c>
      <c r="BP346" s="11">
        <v>45827.420949074076</v>
      </c>
      <c r="BQ346" s="15"/>
      <c r="BR346" s="15"/>
      <c r="BS346" s="10"/>
      <c r="BT346" s="10"/>
      <c r="BU346" s="10"/>
      <c r="BV346" s="10"/>
      <c r="BW346" s="10"/>
      <c r="BX346" s="10"/>
      <c r="BY346" s="23"/>
      <c r="BZ346" s="24" t="s">
        <v>284</v>
      </c>
      <c r="CA346" s="23"/>
      <c r="CB346" s="23"/>
      <c r="CC346" s="23"/>
      <c r="CD346" s="23"/>
      <c r="CE346" s="23"/>
      <c r="CF346" s="23"/>
      <c r="CG346" s="23"/>
      <c r="CH346" s="23"/>
      <c r="CI346" s="23"/>
    </row>
    <row r="347" spans="1:87" x14ac:dyDescent="0.3">
      <c r="A347" s="9" t="s">
        <v>3004</v>
      </c>
      <c r="B347" s="10" t="s">
        <v>3005</v>
      </c>
      <c r="C347" s="11">
        <v>46137</v>
      </c>
      <c r="D347" s="12">
        <v>8.3333333333333329E-2</v>
      </c>
      <c r="E347" s="11">
        <v>46137.083333333336</v>
      </c>
      <c r="F347" s="10" t="s">
        <v>262</v>
      </c>
      <c r="G347" s="13" t="b">
        <v>0</v>
      </c>
      <c r="H347" s="10"/>
      <c r="I347" s="10" t="s">
        <v>264</v>
      </c>
      <c r="J347" s="13" t="b">
        <v>0</v>
      </c>
      <c r="K347" s="13" t="b">
        <v>1</v>
      </c>
      <c r="L347" s="10" t="s">
        <v>124</v>
      </c>
      <c r="M347" s="10" t="s">
        <v>91</v>
      </c>
      <c r="N347" s="10" t="s">
        <v>92</v>
      </c>
      <c r="O347" s="10"/>
      <c r="P347" s="10"/>
      <c r="Q347" s="10"/>
      <c r="R347" s="10"/>
      <c r="S347" s="10"/>
      <c r="T347" s="10"/>
      <c r="U347" s="10" t="s">
        <v>271</v>
      </c>
      <c r="V347" s="10" t="s">
        <v>663</v>
      </c>
      <c r="W347" s="10" t="s">
        <v>272</v>
      </c>
      <c r="X347" s="10" t="s">
        <v>130</v>
      </c>
      <c r="Y347" s="10" t="s">
        <v>130</v>
      </c>
      <c r="Z347" s="10" t="s">
        <v>99</v>
      </c>
      <c r="AA347" s="10" t="s">
        <v>131</v>
      </c>
      <c r="AB347" s="10" t="s">
        <v>273</v>
      </c>
      <c r="AC347" s="10" t="s">
        <v>274</v>
      </c>
      <c r="AD347" s="10" t="s">
        <v>3006</v>
      </c>
      <c r="AE347" s="10" t="s">
        <v>3007</v>
      </c>
      <c r="AF347" s="15"/>
      <c r="AG347" s="10"/>
      <c r="AH347" s="10"/>
      <c r="AI347" s="10"/>
      <c r="AJ347" s="10"/>
      <c r="AK347" s="10"/>
      <c r="AL347" s="10" t="s">
        <v>3008</v>
      </c>
      <c r="AM347" s="10"/>
      <c r="AN347" s="10"/>
      <c r="AO347" s="13" t="b">
        <v>0</v>
      </c>
      <c r="AP347" s="10" t="s">
        <v>104</v>
      </c>
      <c r="AQ347" s="10"/>
      <c r="AR347" s="17"/>
      <c r="AS347" s="17"/>
      <c r="AT347" s="17"/>
      <c r="AU347" s="17"/>
      <c r="AV347" s="17"/>
      <c r="AW347" s="10"/>
      <c r="AX347" s="17"/>
      <c r="AY347" s="18" t="s">
        <v>257</v>
      </c>
      <c r="AZ347" s="10"/>
      <c r="BA347" s="20" t="b">
        <v>0</v>
      </c>
      <c r="BB347" s="10"/>
      <c r="BC347" s="17" t="s">
        <v>257</v>
      </c>
      <c r="BD347" s="17" t="s">
        <v>257</v>
      </c>
      <c r="BE347" s="17" t="s">
        <v>257</v>
      </c>
      <c r="BF347" s="17" t="s">
        <v>257</v>
      </c>
      <c r="BG347" s="11">
        <f ca="1">IFERROR(__xludf.DUMMYFUNCTION("""COMPUTED_VALUE"""),46137)</f>
        <v>46137</v>
      </c>
      <c r="BH347" s="17"/>
      <c r="BI347" s="17"/>
      <c r="BJ347" s="15"/>
      <c r="BK347" s="15"/>
      <c r="BL347" s="13" t="b">
        <v>0</v>
      </c>
      <c r="BM347" s="10"/>
      <c r="BN347" s="10" t="s">
        <v>223</v>
      </c>
      <c r="BO347" s="11">
        <v>45827.420949074076</v>
      </c>
      <c r="BP347" s="11">
        <v>45827.420949074076</v>
      </c>
      <c r="BQ347" s="15"/>
      <c r="BR347" s="15"/>
      <c r="BS347" s="10"/>
      <c r="BT347" s="10"/>
      <c r="BU347" s="10"/>
      <c r="BV347" s="10"/>
      <c r="BW347" s="10"/>
      <c r="BX347" s="10"/>
      <c r="BY347" s="23"/>
      <c r="BZ347" s="24" t="s">
        <v>299</v>
      </c>
      <c r="CA347" s="23"/>
      <c r="CB347" s="23"/>
      <c r="CC347" s="23"/>
      <c r="CD347" s="23"/>
      <c r="CE347" s="23"/>
      <c r="CF347" s="23"/>
      <c r="CG347" s="23"/>
      <c r="CH347" s="23"/>
      <c r="CI347" s="23"/>
    </row>
    <row r="348" spans="1:87" x14ac:dyDescent="0.3">
      <c r="A348" s="9" t="s">
        <v>3009</v>
      </c>
      <c r="B348" s="10" t="s">
        <v>3010</v>
      </c>
      <c r="C348" s="11">
        <v>46137</v>
      </c>
      <c r="D348" s="12">
        <v>8.3333333333333329E-2</v>
      </c>
      <c r="E348" s="11">
        <v>46137.083333333336</v>
      </c>
      <c r="F348" s="10" t="s">
        <v>262</v>
      </c>
      <c r="G348" s="13" t="b">
        <v>0</v>
      </c>
      <c r="H348" s="10"/>
      <c r="I348" s="10" t="s">
        <v>264</v>
      </c>
      <c r="J348" s="13" t="b">
        <v>0</v>
      </c>
      <c r="K348" s="13" t="b">
        <v>1</v>
      </c>
      <c r="L348" s="10" t="s">
        <v>124</v>
      </c>
      <c r="M348" s="10" t="s">
        <v>91</v>
      </c>
      <c r="N348" s="10" t="s">
        <v>92</v>
      </c>
      <c r="O348" s="10"/>
      <c r="P348" s="10"/>
      <c r="Q348" s="10"/>
      <c r="R348" s="10"/>
      <c r="S348" s="10"/>
      <c r="T348" s="10"/>
      <c r="U348" s="10" t="s">
        <v>362</v>
      </c>
      <c r="V348" s="10" t="s">
        <v>293</v>
      </c>
      <c r="W348" s="10" t="s">
        <v>272</v>
      </c>
      <c r="X348" s="10" t="s">
        <v>130</v>
      </c>
      <c r="Y348" s="10" t="s">
        <v>130</v>
      </c>
      <c r="Z348" s="10" t="s">
        <v>99</v>
      </c>
      <c r="AA348" s="10" t="s">
        <v>131</v>
      </c>
      <c r="AB348" s="10" t="s">
        <v>273</v>
      </c>
      <c r="AC348" s="10" t="s">
        <v>274</v>
      </c>
      <c r="AD348" s="10" t="s">
        <v>3011</v>
      </c>
      <c r="AE348" s="10" t="s">
        <v>3012</v>
      </c>
      <c r="AF348" s="15"/>
      <c r="AG348" s="10"/>
      <c r="AH348" s="10"/>
      <c r="AI348" s="10"/>
      <c r="AJ348" s="10"/>
      <c r="AK348" s="10"/>
      <c r="AL348" s="10" t="s">
        <v>3008</v>
      </c>
      <c r="AM348" s="10"/>
      <c r="AN348" s="10"/>
      <c r="AO348" s="13" t="b">
        <v>1</v>
      </c>
      <c r="AP348" s="10" t="s">
        <v>104</v>
      </c>
      <c r="AQ348" s="10"/>
      <c r="AR348" s="17"/>
      <c r="AS348" s="17"/>
      <c r="AT348" s="17"/>
      <c r="AU348" s="17"/>
      <c r="AV348" s="17"/>
      <c r="AW348" s="10"/>
      <c r="AX348" s="17"/>
      <c r="AY348" s="18" t="s">
        <v>257</v>
      </c>
      <c r="AZ348" s="10"/>
      <c r="BA348" s="20" t="b">
        <v>0</v>
      </c>
      <c r="BB348" s="10"/>
      <c r="BC348" s="17" t="s">
        <v>257</v>
      </c>
      <c r="BD348" s="17" t="s">
        <v>257</v>
      </c>
      <c r="BE348" s="17" t="s">
        <v>257</v>
      </c>
      <c r="BF348" s="17" t="s">
        <v>257</v>
      </c>
      <c r="BG348" s="11">
        <f ca="1">IFERROR(__xludf.DUMMYFUNCTION("""COMPUTED_VALUE"""),46137)</f>
        <v>46137</v>
      </c>
      <c r="BH348" s="17"/>
      <c r="BI348" s="17"/>
      <c r="BJ348" s="15"/>
      <c r="BK348" s="15"/>
      <c r="BL348" s="13" t="b">
        <v>0</v>
      </c>
      <c r="BM348" s="10"/>
      <c r="BN348" s="10" t="s">
        <v>223</v>
      </c>
      <c r="BO348" s="11">
        <v>45827.420949074076</v>
      </c>
      <c r="BP348" s="11">
        <v>45827.420949074076</v>
      </c>
      <c r="BQ348" s="15"/>
      <c r="BR348" s="15"/>
      <c r="BS348" s="10"/>
      <c r="BT348" s="10"/>
      <c r="BU348" s="10"/>
      <c r="BV348" s="10"/>
      <c r="BW348" s="10"/>
      <c r="BX348" s="10"/>
      <c r="BY348" s="23"/>
      <c r="BZ348" s="24" t="s">
        <v>2844</v>
      </c>
      <c r="CA348" s="23"/>
      <c r="CB348" s="23"/>
      <c r="CC348" s="23"/>
      <c r="CD348" s="23"/>
      <c r="CE348" s="23"/>
      <c r="CF348" s="23"/>
      <c r="CG348" s="23"/>
      <c r="CH348" s="23"/>
      <c r="CI348" s="23"/>
    </row>
    <row r="349" spans="1:87" x14ac:dyDescent="0.3">
      <c r="A349" s="9" t="s">
        <v>3013</v>
      </c>
      <c r="B349" s="10" t="s">
        <v>3014</v>
      </c>
      <c r="C349" s="11">
        <v>46137</v>
      </c>
      <c r="D349" s="12">
        <v>8.3333333333333329E-2</v>
      </c>
      <c r="E349" s="11">
        <v>46137.083333333336</v>
      </c>
      <c r="F349" s="10" t="s">
        <v>262</v>
      </c>
      <c r="G349" s="13" t="b">
        <v>0</v>
      </c>
      <c r="H349" s="10"/>
      <c r="I349" s="10" t="s">
        <v>264</v>
      </c>
      <c r="J349" s="13" t="b">
        <v>0</v>
      </c>
      <c r="K349" s="13" t="b">
        <v>1</v>
      </c>
      <c r="L349" s="10" t="s">
        <v>124</v>
      </c>
      <c r="M349" s="10" t="s">
        <v>91</v>
      </c>
      <c r="N349" s="10" t="s">
        <v>92</v>
      </c>
      <c r="O349" s="10"/>
      <c r="P349" s="10"/>
      <c r="Q349" s="10"/>
      <c r="R349" s="10"/>
      <c r="S349" s="10"/>
      <c r="T349" s="10"/>
      <c r="U349" s="10" t="s">
        <v>308</v>
      </c>
      <c r="V349" s="10" t="s">
        <v>346</v>
      </c>
      <c r="W349" s="10" t="s">
        <v>272</v>
      </c>
      <c r="X349" s="10" t="s">
        <v>130</v>
      </c>
      <c r="Y349" s="10" t="s">
        <v>130</v>
      </c>
      <c r="Z349" s="10" t="s">
        <v>99</v>
      </c>
      <c r="AA349" s="10" t="s">
        <v>131</v>
      </c>
      <c r="AB349" s="10" t="s">
        <v>273</v>
      </c>
      <c r="AC349" s="10" t="s">
        <v>274</v>
      </c>
      <c r="AD349" s="10" t="s">
        <v>3015</v>
      </c>
      <c r="AE349" s="10" t="s">
        <v>3016</v>
      </c>
      <c r="AF349" s="15"/>
      <c r="AG349" s="10"/>
      <c r="AH349" s="10"/>
      <c r="AI349" s="10"/>
      <c r="AJ349" s="10"/>
      <c r="AK349" s="10"/>
      <c r="AL349" s="10" t="s">
        <v>3008</v>
      </c>
      <c r="AM349" s="10"/>
      <c r="AN349" s="10"/>
      <c r="AO349" s="13" t="b">
        <v>1</v>
      </c>
      <c r="AP349" s="10" t="s">
        <v>104</v>
      </c>
      <c r="AQ349" s="10"/>
      <c r="AR349" s="17"/>
      <c r="AS349" s="17"/>
      <c r="AT349" s="17"/>
      <c r="AU349" s="17"/>
      <c r="AV349" s="17"/>
      <c r="AW349" s="10"/>
      <c r="AX349" s="17"/>
      <c r="AY349" s="18" t="s">
        <v>257</v>
      </c>
      <c r="AZ349" s="10"/>
      <c r="BA349" s="20" t="b">
        <v>0</v>
      </c>
      <c r="BB349" s="10"/>
      <c r="BC349" s="17" t="s">
        <v>257</v>
      </c>
      <c r="BD349" s="17" t="s">
        <v>257</v>
      </c>
      <c r="BE349" s="17" t="s">
        <v>257</v>
      </c>
      <c r="BF349" s="17" t="s">
        <v>257</v>
      </c>
      <c r="BG349" s="11">
        <f ca="1">IFERROR(__xludf.DUMMYFUNCTION("""COMPUTED_VALUE"""),46137)</f>
        <v>46137</v>
      </c>
      <c r="BH349" s="17"/>
      <c r="BI349" s="17"/>
      <c r="BJ349" s="15"/>
      <c r="BK349" s="15"/>
      <c r="BL349" s="13" t="b">
        <v>0</v>
      </c>
      <c r="BM349" s="10"/>
      <c r="BN349" s="10" t="s">
        <v>223</v>
      </c>
      <c r="BO349" s="11">
        <v>45827.420949074076</v>
      </c>
      <c r="BP349" s="11">
        <v>45827.420949074076</v>
      </c>
      <c r="BQ349" s="15"/>
      <c r="BR349" s="15"/>
      <c r="BS349" s="10"/>
      <c r="BT349" s="10"/>
      <c r="BU349" s="10"/>
      <c r="BV349" s="10"/>
      <c r="BW349" s="10"/>
      <c r="BX349" s="10"/>
      <c r="BY349" s="23"/>
      <c r="BZ349" s="24" t="s">
        <v>284</v>
      </c>
      <c r="CA349" s="23"/>
      <c r="CB349" s="23"/>
      <c r="CC349" s="23"/>
      <c r="CD349" s="23"/>
      <c r="CE349" s="23"/>
      <c r="CF349" s="23"/>
      <c r="CG349" s="23"/>
      <c r="CH349" s="23"/>
      <c r="CI349" s="23"/>
    </row>
    <row r="350" spans="1:87" x14ac:dyDescent="0.3">
      <c r="A350" s="9" t="s">
        <v>3017</v>
      </c>
      <c r="B350" s="10" t="s">
        <v>3018</v>
      </c>
      <c r="C350" s="11">
        <v>46137</v>
      </c>
      <c r="D350" s="12">
        <v>8.3333333333333329E-2</v>
      </c>
      <c r="E350" s="11">
        <v>46137.083333333336</v>
      </c>
      <c r="F350" s="10" t="s">
        <v>262</v>
      </c>
      <c r="G350" s="13" t="b">
        <v>0</v>
      </c>
      <c r="H350" s="10"/>
      <c r="I350" s="10" t="s">
        <v>264</v>
      </c>
      <c r="J350" s="13" t="b">
        <v>0</v>
      </c>
      <c r="K350" s="13" t="b">
        <v>1</v>
      </c>
      <c r="L350" s="10" t="s">
        <v>124</v>
      </c>
      <c r="M350" s="10" t="s">
        <v>91</v>
      </c>
      <c r="N350" s="10" t="s">
        <v>92</v>
      </c>
      <c r="O350" s="10"/>
      <c r="P350" s="10"/>
      <c r="Q350" s="10"/>
      <c r="R350" s="10"/>
      <c r="S350" s="10"/>
      <c r="T350" s="10"/>
      <c r="U350" s="10" t="s">
        <v>609</v>
      </c>
      <c r="V350" s="10" t="s">
        <v>334</v>
      </c>
      <c r="W350" s="10" t="s">
        <v>272</v>
      </c>
      <c r="X350" s="10" t="s">
        <v>130</v>
      </c>
      <c r="Y350" s="10" t="s">
        <v>130</v>
      </c>
      <c r="Z350" s="10" t="s">
        <v>99</v>
      </c>
      <c r="AA350" s="10" t="s">
        <v>131</v>
      </c>
      <c r="AB350" s="10" t="s">
        <v>273</v>
      </c>
      <c r="AC350" s="10" t="s">
        <v>274</v>
      </c>
      <c r="AD350" s="10" t="s">
        <v>3019</v>
      </c>
      <c r="AE350" s="10" t="s">
        <v>3020</v>
      </c>
      <c r="AF350" s="15"/>
      <c r="AG350" s="10"/>
      <c r="AH350" s="10"/>
      <c r="AI350" s="10"/>
      <c r="AJ350" s="10"/>
      <c r="AK350" s="10"/>
      <c r="AL350" s="10" t="s">
        <v>3008</v>
      </c>
      <c r="AM350" s="10"/>
      <c r="AN350" s="10"/>
      <c r="AO350" s="13" t="b">
        <v>1</v>
      </c>
      <c r="AP350" s="10" t="s">
        <v>104</v>
      </c>
      <c r="AQ350" s="10"/>
      <c r="AR350" s="17"/>
      <c r="AS350" s="17"/>
      <c r="AT350" s="17"/>
      <c r="AU350" s="17"/>
      <c r="AV350" s="17"/>
      <c r="AW350" s="10"/>
      <c r="AX350" s="17"/>
      <c r="AY350" s="18" t="s">
        <v>257</v>
      </c>
      <c r="AZ350" s="10"/>
      <c r="BA350" s="20" t="b">
        <v>0</v>
      </c>
      <c r="BB350" s="10"/>
      <c r="BC350" s="17" t="s">
        <v>257</v>
      </c>
      <c r="BD350" s="17" t="s">
        <v>257</v>
      </c>
      <c r="BE350" s="17" t="s">
        <v>257</v>
      </c>
      <c r="BF350" s="17" t="s">
        <v>257</v>
      </c>
      <c r="BG350" s="11">
        <f ca="1">IFERROR(__xludf.DUMMYFUNCTION("""COMPUTED_VALUE"""),46137)</f>
        <v>46137</v>
      </c>
      <c r="BH350" s="17"/>
      <c r="BI350" s="17"/>
      <c r="BJ350" s="15"/>
      <c r="BK350" s="15"/>
      <c r="BL350" s="13" t="b">
        <v>0</v>
      </c>
      <c r="BM350" s="10"/>
      <c r="BN350" s="10" t="s">
        <v>223</v>
      </c>
      <c r="BO350" s="11">
        <v>45827.420949074076</v>
      </c>
      <c r="BP350" s="11">
        <v>45827.420949074076</v>
      </c>
      <c r="BQ350" s="15"/>
      <c r="BR350" s="15"/>
      <c r="BS350" s="10"/>
      <c r="BT350" s="10"/>
      <c r="BU350" s="10"/>
      <c r="BV350" s="10"/>
      <c r="BW350" s="10"/>
      <c r="BX350" s="10"/>
      <c r="BY350" s="23"/>
      <c r="BZ350" s="24" t="s">
        <v>284</v>
      </c>
      <c r="CA350" s="23"/>
      <c r="CB350" s="23"/>
      <c r="CC350" s="23"/>
      <c r="CD350" s="23"/>
      <c r="CE350" s="23"/>
      <c r="CF350" s="23"/>
      <c r="CG350" s="23"/>
      <c r="CH350" s="23"/>
      <c r="CI350" s="23"/>
    </row>
    <row r="351" spans="1:87" x14ac:dyDescent="0.3">
      <c r="A351" s="9" t="s">
        <v>3021</v>
      </c>
      <c r="B351" s="10" t="s">
        <v>3022</v>
      </c>
      <c r="C351" s="11">
        <v>46137</v>
      </c>
      <c r="D351" s="12">
        <v>8.3333333333333329E-2</v>
      </c>
      <c r="E351" s="11">
        <v>46137.083333333336</v>
      </c>
      <c r="F351" s="10" t="s">
        <v>262</v>
      </c>
      <c r="G351" s="13" t="b">
        <v>0</v>
      </c>
      <c r="H351" s="10"/>
      <c r="I351" s="10" t="s">
        <v>264</v>
      </c>
      <c r="J351" s="13" t="b">
        <v>0</v>
      </c>
      <c r="K351" s="13" t="b">
        <v>1</v>
      </c>
      <c r="L351" s="10" t="s">
        <v>124</v>
      </c>
      <c r="M351" s="10" t="s">
        <v>91</v>
      </c>
      <c r="N351" s="10" t="s">
        <v>92</v>
      </c>
      <c r="O351" s="10"/>
      <c r="P351" s="10"/>
      <c r="Q351" s="10"/>
      <c r="R351" s="10"/>
      <c r="S351" s="10"/>
      <c r="T351" s="10"/>
      <c r="U351" s="10" t="s">
        <v>309</v>
      </c>
      <c r="V351" s="10" t="s">
        <v>292</v>
      </c>
      <c r="W351" s="10" t="s">
        <v>272</v>
      </c>
      <c r="X351" s="10" t="s">
        <v>130</v>
      </c>
      <c r="Y351" s="10" t="s">
        <v>130</v>
      </c>
      <c r="Z351" s="10" t="s">
        <v>99</v>
      </c>
      <c r="AA351" s="10" t="s">
        <v>131</v>
      </c>
      <c r="AB351" s="10" t="s">
        <v>273</v>
      </c>
      <c r="AC351" s="10" t="s">
        <v>274</v>
      </c>
      <c r="AD351" s="10" t="s">
        <v>3023</v>
      </c>
      <c r="AE351" s="10" t="s">
        <v>3024</v>
      </c>
      <c r="AF351" s="15"/>
      <c r="AG351" s="10"/>
      <c r="AH351" s="10"/>
      <c r="AI351" s="10"/>
      <c r="AJ351" s="10"/>
      <c r="AK351" s="10"/>
      <c r="AL351" s="10" t="s">
        <v>3008</v>
      </c>
      <c r="AM351" s="10"/>
      <c r="AN351" s="10"/>
      <c r="AO351" s="13" t="b">
        <v>0</v>
      </c>
      <c r="AP351" s="10" t="s">
        <v>104</v>
      </c>
      <c r="AQ351" s="10"/>
      <c r="AR351" s="17"/>
      <c r="AS351" s="17"/>
      <c r="AT351" s="17"/>
      <c r="AU351" s="17"/>
      <c r="AV351" s="17"/>
      <c r="AW351" s="10"/>
      <c r="AX351" s="17"/>
      <c r="AY351" s="18" t="s">
        <v>257</v>
      </c>
      <c r="AZ351" s="10"/>
      <c r="BA351" s="20" t="b">
        <v>0</v>
      </c>
      <c r="BB351" s="10"/>
      <c r="BC351" s="17" t="s">
        <v>257</v>
      </c>
      <c r="BD351" s="17" t="s">
        <v>257</v>
      </c>
      <c r="BE351" s="17" t="s">
        <v>257</v>
      </c>
      <c r="BF351" s="17" t="s">
        <v>257</v>
      </c>
      <c r="BG351" s="11">
        <f ca="1">IFERROR(__xludf.DUMMYFUNCTION("""COMPUTED_VALUE"""),46137)</f>
        <v>46137</v>
      </c>
      <c r="BH351" s="17"/>
      <c r="BI351" s="17"/>
      <c r="BJ351" s="15"/>
      <c r="BK351" s="15"/>
      <c r="BL351" s="13" t="b">
        <v>0</v>
      </c>
      <c r="BM351" s="10"/>
      <c r="BN351" s="10" t="s">
        <v>223</v>
      </c>
      <c r="BO351" s="11">
        <v>45827.420949074076</v>
      </c>
      <c r="BP351" s="11">
        <v>45827.420949074076</v>
      </c>
      <c r="BQ351" s="15"/>
      <c r="BR351" s="15"/>
      <c r="BS351" s="10"/>
      <c r="BT351" s="10"/>
      <c r="BU351" s="10"/>
      <c r="BV351" s="10"/>
      <c r="BW351" s="10"/>
      <c r="BX351" s="10"/>
      <c r="BY351" s="23"/>
      <c r="BZ351" s="24" t="s">
        <v>299</v>
      </c>
      <c r="CA351" s="23"/>
      <c r="CB351" s="23"/>
      <c r="CC351" s="23"/>
      <c r="CD351" s="23"/>
      <c r="CE351" s="23"/>
      <c r="CF351" s="23"/>
      <c r="CG351" s="23"/>
      <c r="CH351" s="23"/>
      <c r="CI351" s="23"/>
    </row>
    <row r="352" spans="1:87" x14ac:dyDescent="0.3">
      <c r="A352" s="9" t="s">
        <v>3025</v>
      </c>
      <c r="B352" s="10" t="s">
        <v>3026</v>
      </c>
      <c r="C352" s="11">
        <v>46137</v>
      </c>
      <c r="D352" s="12">
        <v>8.3333333333333329E-2</v>
      </c>
      <c r="E352" s="11">
        <v>46137.083333333336</v>
      </c>
      <c r="F352" s="10" t="s">
        <v>262</v>
      </c>
      <c r="G352" s="13" t="b">
        <v>0</v>
      </c>
      <c r="H352" s="10"/>
      <c r="I352" s="10" t="s">
        <v>264</v>
      </c>
      <c r="J352" s="13" t="b">
        <v>0</v>
      </c>
      <c r="K352" s="13" t="b">
        <v>1</v>
      </c>
      <c r="L352" s="10" t="s">
        <v>124</v>
      </c>
      <c r="M352" s="10" t="s">
        <v>91</v>
      </c>
      <c r="N352" s="10" t="s">
        <v>92</v>
      </c>
      <c r="O352" s="10"/>
      <c r="P352" s="10"/>
      <c r="Q352" s="10"/>
      <c r="R352" s="10"/>
      <c r="S352" s="10"/>
      <c r="T352" s="10"/>
      <c r="U352" s="10" t="s">
        <v>270</v>
      </c>
      <c r="V352" s="10" t="s">
        <v>347</v>
      </c>
      <c r="W352" s="10" t="s">
        <v>272</v>
      </c>
      <c r="X352" s="10" t="s">
        <v>130</v>
      </c>
      <c r="Y352" s="10" t="s">
        <v>130</v>
      </c>
      <c r="Z352" s="10" t="s">
        <v>99</v>
      </c>
      <c r="AA352" s="10" t="s">
        <v>131</v>
      </c>
      <c r="AB352" s="10" t="s">
        <v>273</v>
      </c>
      <c r="AC352" s="10" t="s">
        <v>274</v>
      </c>
      <c r="AD352" s="10" t="s">
        <v>3027</v>
      </c>
      <c r="AE352" s="10" t="s">
        <v>3028</v>
      </c>
      <c r="AF352" s="15"/>
      <c r="AG352" s="10"/>
      <c r="AH352" s="10"/>
      <c r="AI352" s="10"/>
      <c r="AJ352" s="10"/>
      <c r="AK352" s="10"/>
      <c r="AL352" s="10" t="s">
        <v>3008</v>
      </c>
      <c r="AM352" s="10"/>
      <c r="AN352" s="10"/>
      <c r="AO352" s="13" t="b">
        <v>1</v>
      </c>
      <c r="AP352" s="10" t="s">
        <v>104</v>
      </c>
      <c r="AQ352" s="10"/>
      <c r="AR352" s="17"/>
      <c r="AS352" s="17"/>
      <c r="AT352" s="17"/>
      <c r="AU352" s="17"/>
      <c r="AV352" s="17"/>
      <c r="AW352" s="10"/>
      <c r="AX352" s="17"/>
      <c r="AY352" s="18" t="s">
        <v>257</v>
      </c>
      <c r="AZ352" s="10"/>
      <c r="BA352" s="20" t="b">
        <v>0</v>
      </c>
      <c r="BB352" s="10"/>
      <c r="BC352" s="17" t="s">
        <v>257</v>
      </c>
      <c r="BD352" s="17" t="s">
        <v>257</v>
      </c>
      <c r="BE352" s="17" t="s">
        <v>257</v>
      </c>
      <c r="BF352" s="17" t="s">
        <v>257</v>
      </c>
      <c r="BG352" s="11">
        <f ca="1">IFERROR(__xludf.DUMMYFUNCTION("""COMPUTED_VALUE"""),46137)</f>
        <v>46137</v>
      </c>
      <c r="BH352" s="17"/>
      <c r="BI352" s="17"/>
      <c r="BJ352" s="15"/>
      <c r="BK352" s="15"/>
      <c r="BL352" s="13" t="b">
        <v>0</v>
      </c>
      <c r="BM352" s="10"/>
      <c r="BN352" s="10" t="s">
        <v>223</v>
      </c>
      <c r="BO352" s="11">
        <v>45827.420949074076</v>
      </c>
      <c r="BP352" s="11">
        <v>45827.420949074076</v>
      </c>
      <c r="BQ352" s="15"/>
      <c r="BR352" s="15"/>
      <c r="BS352" s="10"/>
      <c r="BT352" s="10"/>
      <c r="BU352" s="10"/>
      <c r="BV352" s="10"/>
      <c r="BW352" s="10"/>
      <c r="BX352" s="10"/>
      <c r="BY352" s="23"/>
      <c r="BZ352" s="24" t="s">
        <v>284</v>
      </c>
      <c r="CA352" s="23"/>
      <c r="CB352" s="23"/>
      <c r="CC352" s="23"/>
      <c r="CD352" s="23"/>
      <c r="CE352" s="23"/>
      <c r="CF352" s="23"/>
      <c r="CG352" s="23"/>
      <c r="CH352" s="23"/>
      <c r="CI352" s="23"/>
    </row>
    <row r="353" spans="1:87" x14ac:dyDescent="0.3">
      <c r="A353" s="9" t="s">
        <v>3029</v>
      </c>
      <c r="B353" s="10" t="s">
        <v>3030</v>
      </c>
      <c r="C353" s="11">
        <v>46137</v>
      </c>
      <c r="D353" s="12">
        <v>8.3333333333333329E-2</v>
      </c>
      <c r="E353" s="11">
        <v>46137.083333333336</v>
      </c>
      <c r="F353" s="10" t="s">
        <v>262</v>
      </c>
      <c r="G353" s="13" t="b">
        <v>0</v>
      </c>
      <c r="H353" s="10"/>
      <c r="I353" s="10" t="s">
        <v>264</v>
      </c>
      <c r="J353" s="13" t="b">
        <v>0</v>
      </c>
      <c r="K353" s="13" t="b">
        <v>1</v>
      </c>
      <c r="L353" s="10" t="s">
        <v>124</v>
      </c>
      <c r="M353" s="10" t="s">
        <v>91</v>
      </c>
      <c r="N353" s="10" t="s">
        <v>92</v>
      </c>
      <c r="O353" s="10"/>
      <c r="P353" s="10"/>
      <c r="Q353" s="10"/>
      <c r="R353" s="10"/>
      <c r="S353" s="10"/>
      <c r="T353" s="10"/>
      <c r="U353" s="10" t="s">
        <v>361</v>
      </c>
      <c r="V353" s="10" t="s">
        <v>321</v>
      </c>
      <c r="W353" s="10" t="s">
        <v>272</v>
      </c>
      <c r="X353" s="10" t="s">
        <v>130</v>
      </c>
      <c r="Y353" s="10" t="s">
        <v>130</v>
      </c>
      <c r="Z353" s="10" t="s">
        <v>99</v>
      </c>
      <c r="AA353" s="10" t="s">
        <v>131</v>
      </c>
      <c r="AB353" s="10" t="s">
        <v>273</v>
      </c>
      <c r="AC353" s="10" t="s">
        <v>274</v>
      </c>
      <c r="AD353" s="10" t="s">
        <v>3031</v>
      </c>
      <c r="AE353" s="10" t="s">
        <v>3032</v>
      </c>
      <c r="AF353" s="15"/>
      <c r="AG353" s="10"/>
      <c r="AH353" s="10"/>
      <c r="AI353" s="10"/>
      <c r="AJ353" s="10"/>
      <c r="AK353" s="10"/>
      <c r="AL353" s="10" t="s">
        <v>3008</v>
      </c>
      <c r="AM353" s="10"/>
      <c r="AN353" s="10"/>
      <c r="AO353" s="13" t="b">
        <v>1</v>
      </c>
      <c r="AP353" s="10" t="s">
        <v>104</v>
      </c>
      <c r="AQ353" s="10"/>
      <c r="AR353" s="17"/>
      <c r="AS353" s="17"/>
      <c r="AT353" s="17"/>
      <c r="AU353" s="17"/>
      <c r="AV353" s="17"/>
      <c r="AW353" s="10"/>
      <c r="AX353" s="17"/>
      <c r="AY353" s="18" t="s">
        <v>257</v>
      </c>
      <c r="AZ353" s="10"/>
      <c r="BA353" s="20" t="b">
        <v>0</v>
      </c>
      <c r="BB353" s="10"/>
      <c r="BC353" s="17" t="s">
        <v>257</v>
      </c>
      <c r="BD353" s="17" t="s">
        <v>257</v>
      </c>
      <c r="BE353" s="17" t="s">
        <v>257</v>
      </c>
      <c r="BF353" s="17" t="s">
        <v>257</v>
      </c>
      <c r="BG353" s="11">
        <f ca="1">IFERROR(__xludf.DUMMYFUNCTION("""COMPUTED_VALUE"""),46137)</f>
        <v>46137</v>
      </c>
      <c r="BH353" s="17"/>
      <c r="BI353" s="17"/>
      <c r="BJ353" s="15"/>
      <c r="BK353" s="15"/>
      <c r="BL353" s="13" t="b">
        <v>0</v>
      </c>
      <c r="BM353" s="10"/>
      <c r="BN353" s="10" t="s">
        <v>223</v>
      </c>
      <c r="BO353" s="11">
        <v>45827.420949074076</v>
      </c>
      <c r="BP353" s="11">
        <v>45827.420949074076</v>
      </c>
      <c r="BQ353" s="15"/>
      <c r="BR353" s="15"/>
      <c r="BS353" s="10"/>
      <c r="BT353" s="10"/>
      <c r="BU353" s="10"/>
      <c r="BV353" s="10"/>
      <c r="BW353" s="10"/>
      <c r="BX353" s="10"/>
      <c r="BY353" s="23"/>
      <c r="BZ353" s="24" t="s">
        <v>284</v>
      </c>
      <c r="CA353" s="23"/>
      <c r="CB353" s="23"/>
      <c r="CC353" s="23"/>
      <c r="CD353" s="23"/>
      <c r="CE353" s="23"/>
      <c r="CF353" s="23"/>
      <c r="CG353" s="23"/>
      <c r="CH353" s="23"/>
      <c r="CI353" s="23"/>
    </row>
    <row r="354" spans="1:87" x14ac:dyDescent="0.3">
      <c r="A354" s="9" t="s">
        <v>3033</v>
      </c>
      <c r="B354" s="10" t="s">
        <v>3034</v>
      </c>
      <c r="C354" s="11">
        <v>46137</v>
      </c>
      <c r="D354" s="12">
        <v>8.3333333333333329E-2</v>
      </c>
      <c r="E354" s="11">
        <v>46137.083333333336</v>
      </c>
      <c r="F354" s="10" t="s">
        <v>262</v>
      </c>
      <c r="G354" s="13" t="b">
        <v>0</v>
      </c>
      <c r="H354" s="10"/>
      <c r="I354" s="10" t="s">
        <v>264</v>
      </c>
      <c r="J354" s="13" t="b">
        <v>0</v>
      </c>
      <c r="K354" s="13" t="b">
        <v>1</v>
      </c>
      <c r="L354" s="10" t="s">
        <v>124</v>
      </c>
      <c r="M354" s="10" t="s">
        <v>91</v>
      </c>
      <c r="N354" s="10" t="s">
        <v>92</v>
      </c>
      <c r="O354" s="10"/>
      <c r="P354" s="10"/>
      <c r="Q354" s="10"/>
      <c r="R354" s="10"/>
      <c r="S354" s="10"/>
      <c r="T354" s="10"/>
      <c r="U354" s="10" t="s">
        <v>588</v>
      </c>
      <c r="V354" s="10" t="s">
        <v>320</v>
      </c>
      <c r="W354" s="10" t="s">
        <v>272</v>
      </c>
      <c r="X354" s="10" t="s">
        <v>130</v>
      </c>
      <c r="Y354" s="10" t="s">
        <v>130</v>
      </c>
      <c r="Z354" s="10" t="s">
        <v>99</v>
      </c>
      <c r="AA354" s="10" t="s">
        <v>131</v>
      </c>
      <c r="AB354" s="10" t="s">
        <v>273</v>
      </c>
      <c r="AC354" s="10" t="s">
        <v>274</v>
      </c>
      <c r="AD354" s="10" t="s">
        <v>3035</v>
      </c>
      <c r="AE354" s="10" t="s">
        <v>3036</v>
      </c>
      <c r="AF354" s="15"/>
      <c r="AG354" s="10"/>
      <c r="AH354" s="10"/>
      <c r="AI354" s="10"/>
      <c r="AJ354" s="10"/>
      <c r="AK354" s="10"/>
      <c r="AL354" s="10" t="s">
        <v>3008</v>
      </c>
      <c r="AM354" s="10"/>
      <c r="AN354" s="10"/>
      <c r="AO354" s="13" t="b">
        <v>0</v>
      </c>
      <c r="AP354" s="10" t="s">
        <v>104</v>
      </c>
      <c r="AQ354" s="10"/>
      <c r="AR354" s="17"/>
      <c r="AS354" s="17"/>
      <c r="AT354" s="17"/>
      <c r="AU354" s="17"/>
      <c r="AV354" s="17"/>
      <c r="AW354" s="10"/>
      <c r="AX354" s="17"/>
      <c r="AY354" s="18" t="s">
        <v>257</v>
      </c>
      <c r="AZ354" s="10"/>
      <c r="BA354" s="20" t="b">
        <v>0</v>
      </c>
      <c r="BB354" s="10"/>
      <c r="BC354" s="17" t="s">
        <v>257</v>
      </c>
      <c r="BD354" s="17" t="s">
        <v>257</v>
      </c>
      <c r="BE354" s="17" t="s">
        <v>257</v>
      </c>
      <c r="BF354" s="17" t="s">
        <v>257</v>
      </c>
      <c r="BG354" s="11">
        <f ca="1">IFERROR(__xludf.DUMMYFUNCTION("""COMPUTED_VALUE"""),46137)</f>
        <v>46137</v>
      </c>
      <c r="BH354" s="17"/>
      <c r="BI354" s="17"/>
      <c r="BJ354" s="15"/>
      <c r="BK354" s="15"/>
      <c r="BL354" s="13" t="b">
        <v>0</v>
      </c>
      <c r="BM354" s="10"/>
      <c r="BN354" s="10" t="s">
        <v>223</v>
      </c>
      <c r="BO354" s="11">
        <v>45827.420949074076</v>
      </c>
      <c r="BP354" s="11">
        <v>45827.420949074076</v>
      </c>
      <c r="BQ354" s="15"/>
      <c r="BR354" s="15"/>
      <c r="BS354" s="10"/>
      <c r="BT354" s="10"/>
      <c r="BU354" s="10"/>
      <c r="BV354" s="10"/>
      <c r="BW354" s="10"/>
      <c r="BX354" s="10"/>
      <c r="BY354" s="23"/>
      <c r="BZ354" s="24" t="s">
        <v>299</v>
      </c>
      <c r="CA354" s="23"/>
      <c r="CB354" s="23"/>
      <c r="CC354" s="23"/>
      <c r="CD354" s="23"/>
      <c r="CE354" s="23"/>
      <c r="CF354" s="23"/>
      <c r="CG354" s="23"/>
      <c r="CH354" s="23"/>
      <c r="CI354" s="23"/>
    </row>
    <row r="355" spans="1:87" x14ac:dyDescent="0.3">
      <c r="A355" s="9" t="s">
        <v>3037</v>
      </c>
      <c r="B355" s="10" t="s">
        <v>3038</v>
      </c>
      <c r="C355" s="11">
        <v>46137</v>
      </c>
      <c r="D355" s="12">
        <v>8.3333333333333329E-2</v>
      </c>
      <c r="E355" s="11">
        <v>46137.083333333336</v>
      </c>
      <c r="F355" s="10" t="s">
        <v>262</v>
      </c>
      <c r="G355" s="13" t="b">
        <v>0</v>
      </c>
      <c r="H355" s="10"/>
      <c r="I355" s="10" t="s">
        <v>264</v>
      </c>
      <c r="J355" s="13" t="b">
        <v>0</v>
      </c>
      <c r="K355" s="13" t="b">
        <v>1</v>
      </c>
      <c r="L355" s="10" t="s">
        <v>124</v>
      </c>
      <c r="M355" s="10" t="s">
        <v>91</v>
      </c>
      <c r="N355" s="10" t="s">
        <v>92</v>
      </c>
      <c r="O355" s="10"/>
      <c r="P355" s="10"/>
      <c r="Q355" s="10"/>
      <c r="R355" s="10"/>
      <c r="S355" s="10"/>
      <c r="T355" s="10"/>
      <c r="U355" s="10" t="s">
        <v>451</v>
      </c>
      <c r="V355" s="10" t="s">
        <v>407</v>
      </c>
      <c r="W355" s="10" t="s">
        <v>272</v>
      </c>
      <c r="X355" s="10" t="s">
        <v>130</v>
      </c>
      <c r="Y355" s="10" t="s">
        <v>130</v>
      </c>
      <c r="Z355" s="10" t="s">
        <v>99</v>
      </c>
      <c r="AA355" s="10" t="s">
        <v>131</v>
      </c>
      <c r="AB355" s="10" t="s">
        <v>273</v>
      </c>
      <c r="AC355" s="10" t="s">
        <v>274</v>
      </c>
      <c r="AD355" s="10" t="s">
        <v>3039</v>
      </c>
      <c r="AE355" s="10" t="s">
        <v>3040</v>
      </c>
      <c r="AF355" s="15"/>
      <c r="AG355" s="10"/>
      <c r="AH355" s="10"/>
      <c r="AI355" s="10"/>
      <c r="AJ355" s="10"/>
      <c r="AK355" s="10"/>
      <c r="AL355" s="10" t="s">
        <v>3008</v>
      </c>
      <c r="AM355" s="10"/>
      <c r="AN355" s="10"/>
      <c r="AO355" s="13" t="b">
        <v>0</v>
      </c>
      <c r="AP355" s="10" t="s">
        <v>104</v>
      </c>
      <c r="AQ355" s="10"/>
      <c r="AR355" s="17"/>
      <c r="AS355" s="17"/>
      <c r="AT355" s="17"/>
      <c r="AU355" s="17"/>
      <c r="AV355" s="17"/>
      <c r="AW355" s="10"/>
      <c r="AX355" s="17"/>
      <c r="AY355" s="18" t="s">
        <v>257</v>
      </c>
      <c r="AZ355" s="10"/>
      <c r="BA355" s="20" t="b">
        <v>0</v>
      </c>
      <c r="BB355" s="10"/>
      <c r="BC355" s="17" t="s">
        <v>257</v>
      </c>
      <c r="BD355" s="17" t="s">
        <v>257</v>
      </c>
      <c r="BE355" s="17" t="s">
        <v>257</v>
      </c>
      <c r="BF355" s="17" t="s">
        <v>257</v>
      </c>
      <c r="BG355" s="11">
        <f ca="1">IFERROR(__xludf.DUMMYFUNCTION("""COMPUTED_VALUE"""),46137)</f>
        <v>46137</v>
      </c>
      <c r="BH355" s="17"/>
      <c r="BI355" s="17"/>
      <c r="BJ355" s="15"/>
      <c r="BK355" s="15"/>
      <c r="BL355" s="13" t="b">
        <v>0</v>
      </c>
      <c r="BM355" s="10"/>
      <c r="BN355" s="10" t="s">
        <v>223</v>
      </c>
      <c r="BO355" s="11">
        <v>45827.420949074076</v>
      </c>
      <c r="BP355" s="11">
        <v>45827.420949074076</v>
      </c>
      <c r="BQ355" s="15"/>
      <c r="BR355" s="15"/>
      <c r="BS355" s="10"/>
      <c r="BT355" s="10"/>
      <c r="BU355" s="10"/>
      <c r="BV355" s="10"/>
      <c r="BW355" s="10"/>
      <c r="BX355" s="10"/>
      <c r="BY355" s="23"/>
      <c r="BZ355" s="24" t="s">
        <v>299</v>
      </c>
      <c r="CA355" s="23"/>
      <c r="CB355" s="23"/>
      <c r="CC355" s="23"/>
      <c r="CD355" s="23"/>
      <c r="CE355" s="23"/>
      <c r="CF355" s="23"/>
      <c r="CG355" s="23"/>
      <c r="CH355" s="23"/>
      <c r="CI355" s="23"/>
    </row>
    <row r="356" spans="1:87" x14ac:dyDescent="0.3">
      <c r="A356" s="9" t="s">
        <v>3041</v>
      </c>
      <c r="B356" s="10" t="s">
        <v>3042</v>
      </c>
      <c r="C356" s="11">
        <v>46137</v>
      </c>
      <c r="D356" s="12">
        <v>8.3333333333333329E-2</v>
      </c>
      <c r="E356" s="11">
        <v>46137.083333333336</v>
      </c>
      <c r="F356" s="10" t="s">
        <v>262</v>
      </c>
      <c r="G356" s="13" t="b">
        <v>0</v>
      </c>
      <c r="H356" s="10"/>
      <c r="I356" s="10" t="s">
        <v>264</v>
      </c>
      <c r="J356" s="13" t="b">
        <v>0</v>
      </c>
      <c r="K356" s="13" t="b">
        <v>1</v>
      </c>
      <c r="L356" s="10" t="s">
        <v>124</v>
      </c>
      <c r="M356" s="10" t="s">
        <v>91</v>
      </c>
      <c r="N356" s="10" t="s">
        <v>92</v>
      </c>
      <c r="O356" s="10"/>
      <c r="P356" s="10"/>
      <c r="Q356" s="10"/>
      <c r="R356" s="10"/>
      <c r="S356" s="10"/>
      <c r="T356" s="10"/>
      <c r="U356" s="10" t="s">
        <v>333</v>
      </c>
      <c r="V356" s="10" t="s">
        <v>429</v>
      </c>
      <c r="W356" s="10" t="s">
        <v>272</v>
      </c>
      <c r="X356" s="10" t="s">
        <v>130</v>
      </c>
      <c r="Y356" s="10" t="s">
        <v>130</v>
      </c>
      <c r="Z356" s="10" t="s">
        <v>99</v>
      </c>
      <c r="AA356" s="10" t="s">
        <v>131</v>
      </c>
      <c r="AB356" s="10" t="s">
        <v>273</v>
      </c>
      <c r="AC356" s="10" t="s">
        <v>274</v>
      </c>
      <c r="AD356" s="10" t="s">
        <v>3043</v>
      </c>
      <c r="AE356" s="10" t="s">
        <v>3044</v>
      </c>
      <c r="AF356" s="15"/>
      <c r="AG356" s="10"/>
      <c r="AH356" s="10"/>
      <c r="AI356" s="10"/>
      <c r="AJ356" s="10"/>
      <c r="AK356" s="10"/>
      <c r="AL356" s="10" t="s">
        <v>3008</v>
      </c>
      <c r="AM356" s="10"/>
      <c r="AN356" s="10"/>
      <c r="AO356" s="13" t="b">
        <v>1</v>
      </c>
      <c r="AP356" s="10" t="s">
        <v>104</v>
      </c>
      <c r="AQ356" s="10"/>
      <c r="AR356" s="17"/>
      <c r="AS356" s="17"/>
      <c r="AT356" s="17"/>
      <c r="AU356" s="17"/>
      <c r="AV356" s="17"/>
      <c r="AW356" s="10"/>
      <c r="AX356" s="17"/>
      <c r="AY356" s="18" t="s">
        <v>257</v>
      </c>
      <c r="AZ356" s="10"/>
      <c r="BA356" s="20" t="b">
        <v>0</v>
      </c>
      <c r="BB356" s="10"/>
      <c r="BC356" s="17" t="s">
        <v>257</v>
      </c>
      <c r="BD356" s="17" t="s">
        <v>257</v>
      </c>
      <c r="BE356" s="17" t="s">
        <v>257</v>
      </c>
      <c r="BF356" s="17" t="s">
        <v>257</v>
      </c>
      <c r="BG356" s="11">
        <f ca="1">IFERROR(__xludf.DUMMYFUNCTION("""COMPUTED_VALUE"""),46137)</f>
        <v>46137</v>
      </c>
      <c r="BH356" s="17"/>
      <c r="BI356" s="17"/>
      <c r="BJ356" s="15"/>
      <c r="BK356" s="15"/>
      <c r="BL356" s="13" t="b">
        <v>0</v>
      </c>
      <c r="BM356" s="10"/>
      <c r="BN356" s="10" t="s">
        <v>223</v>
      </c>
      <c r="BO356" s="11">
        <v>45827.420949074076</v>
      </c>
      <c r="BP356" s="11">
        <v>45827.420949074076</v>
      </c>
      <c r="BQ356" s="15"/>
      <c r="BR356" s="15"/>
      <c r="BS356" s="10"/>
      <c r="BT356" s="10"/>
      <c r="BU356" s="10"/>
      <c r="BV356" s="10"/>
      <c r="BW356" s="10"/>
      <c r="BX356" s="10"/>
      <c r="BY356" s="23"/>
      <c r="BZ356" s="24" t="s">
        <v>2844</v>
      </c>
      <c r="CA356" s="23"/>
      <c r="CB356" s="23"/>
      <c r="CC356" s="23"/>
      <c r="CD356" s="23"/>
      <c r="CE356" s="23"/>
      <c r="CF356" s="23"/>
      <c r="CG356" s="23"/>
      <c r="CH356" s="23"/>
      <c r="CI356" s="23"/>
    </row>
    <row r="357" spans="1:87" x14ac:dyDescent="0.3">
      <c r="A357" s="9" t="s">
        <v>3045</v>
      </c>
      <c r="B357" s="10" t="s">
        <v>3046</v>
      </c>
      <c r="C357" s="11">
        <v>46144</v>
      </c>
      <c r="D357" s="12">
        <v>8.3333333333333329E-2</v>
      </c>
      <c r="E357" s="11">
        <v>46144.083333333336</v>
      </c>
      <c r="F357" s="10" t="s">
        <v>262</v>
      </c>
      <c r="G357" s="13" t="b">
        <v>0</v>
      </c>
      <c r="H357" s="10"/>
      <c r="I357" s="10" t="s">
        <v>264</v>
      </c>
      <c r="J357" s="13" t="b">
        <v>0</v>
      </c>
      <c r="K357" s="13" t="b">
        <v>1</v>
      </c>
      <c r="L357" s="10" t="s">
        <v>124</v>
      </c>
      <c r="M357" s="10" t="s">
        <v>91</v>
      </c>
      <c r="N357" s="10" t="s">
        <v>92</v>
      </c>
      <c r="O357" s="10"/>
      <c r="P357" s="10"/>
      <c r="Q357" s="10"/>
      <c r="R357" s="10"/>
      <c r="S357" s="10"/>
      <c r="T357" s="10"/>
      <c r="U357" s="10" t="s">
        <v>271</v>
      </c>
      <c r="V357" s="10" t="s">
        <v>347</v>
      </c>
      <c r="W357" s="10" t="s">
        <v>272</v>
      </c>
      <c r="X357" s="10" t="s">
        <v>130</v>
      </c>
      <c r="Y357" s="10" t="s">
        <v>130</v>
      </c>
      <c r="Z357" s="10" t="s">
        <v>99</v>
      </c>
      <c r="AA357" s="10" t="s">
        <v>131</v>
      </c>
      <c r="AB357" s="10" t="s">
        <v>273</v>
      </c>
      <c r="AC357" s="10" t="s">
        <v>274</v>
      </c>
      <c r="AD357" s="10" t="s">
        <v>3047</v>
      </c>
      <c r="AE357" s="10" t="s">
        <v>3048</v>
      </c>
      <c r="AF357" s="15"/>
      <c r="AG357" s="10"/>
      <c r="AH357" s="10"/>
      <c r="AI357" s="10"/>
      <c r="AJ357" s="10"/>
      <c r="AK357" s="10"/>
      <c r="AL357" s="10" t="s">
        <v>3049</v>
      </c>
      <c r="AM357" s="10"/>
      <c r="AN357" s="10"/>
      <c r="AO357" s="13" t="b">
        <v>0</v>
      </c>
      <c r="AP357" s="10" t="s">
        <v>104</v>
      </c>
      <c r="AQ357" s="10"/>
      <c r="AR357" s="17"/>
      <c r="AS357" s="17"/>
      <c r="AT357" s="17"/>
      <c r="AU357" s="17"/>
      <c r="AV357" s="17"/>
      <c r="AW357" s="10"/>
      <c r="AX357" s="17"/>
      <c r="AY357" s="18" t="s">
        <v>257</v>
      </c>
      <c r="AZ357" s="10"/>
      <c r="BA357" s="20" t="b">
        <v>0</v>
      </c>
      <c r="BB357" s="10"/>
      <c r="BC357" s="17" t="s">
        <v>257</v>
      </c>
      <c r="BD357" s="17" t="s">
        <v>257</v>
      </c>
      <c r="BE357" s="17" t="s">
        <v>257</v>
      </c>
      <c r="BF357" s="17" t="s">
        <v>257</v>
      </c>
      <c r="BG357" s="11">
        <f ca="1">IFERROR(__xludf.DUMMYFUNCTION("""COMPUTED_VALUE"""),46144)</f>
        <v>46144</v>
      </c>
      <c r="BH357" s="17"/>
      <c r="BI357" s="17"/>
      <c r="BJ357" s="15"/>
      <c r="BK357" s="15"/>
      <c r="BL357" s="13" t="b">
        <v>0</v>
      </c>
      <c r="BM357" s="10"/>
      <c r="BN357" s="10" t="s">
        <v>223</v>
      </c>
      <c r="BO357" s="11">
        <v>45827.420949074076</v>
      </c>
      <c r="BP357" s="11">
        <v>45827.420949074076</v>
      </c>
      <c r="BQ357" s="15"/>
      <c r="BR357" s="15"/>
      <c r="BS357" s="10"/>
      <c r="BT357" s="10"/>
      <c r="BU357" s="10"/>
      <c r="BV357" s="10"/>
      <c r="BW357" s="10"/>
      <c r="BX357" s="10"/>
      <c r="BY357" s="23"/>
      <c r="BZ357" s="24" t="s">
        <v>299</v>
      </c>
      <c r="CA357" s="23"/>
      <c r="CB357" s="23"/>
      <c r="CC357" s="23"/>
      <c r="CD357" s="23"/>
      <c r="CE357" s="23"/>
      <c r="CF357" s="23"/>
      <c r="CG357" s="23"/>
      <c r="CH357" s="23"/>
      <c r="CI357" s="23"/>
    </row>
    <row r="358" spans="1:87" x14ac:dyDescent="0.3">
      <c r="A358" s="9" t="s">
        <v>3050</v>
      </c>
      <c r="B358" s="10" t="s">
        <v>3051</v>
      </c>
      <c r="C358" s="11">
        <v>46144</v>
      </c>
      <c r="D358" s="12">
        <v>8.3333333333333329E-2</v>
      </c>
      <c r="E358" s="11">
        <v>46144.083333333336</v>
      </c>
      <c r="F358" s="10" t="s">
        <v>262</v>
      </c>
      <c r="G358" s="13" t="b">
        <v>0</v>
      </c>
      <c r="H358" s="10"/>
      <c r="I358" s="10" t="s">
        <v>264</v>
      </c>
      <c r="J358" s="13" t="b">
        <v>0</v>
      </c>
      <c r="K358" s="13" t="b">
        <v>1</v>
      </c>
      <c r="L358" s="10" t="s">
        <v>124</v>
      </c>
      <c r="M358" s="10" t="s">
        <v>91</v>
      </c>
      <c r="N358" s="10" t="s">
        <v>92</v>
      </c>
      <c r="O358" s="10"/>
      <c r="P358" s="10"/>
      <c r="Q358" s="10"/>
      <c r="R358" s="10"/>
      <c r="S358" s="10"/>
      <c r="T358" s="10"/>
      <c r="U358" s="10" t="s">
        <v>362</v>
      </c>
      <c r="V358" s="10" t="s">
        <v>309</v>
      </c>
      <c r="W358" s="10" t="s">
        <v>272</v>
      </c>
      <c r="X358" s="10" t="s">
        <v>130</v>
      </c>
      <c r="Y358" s="10" t="s">
        <v>130</v>
      </c>
      <c r="Z358" s="10" t="s">
        <v>99</v>
      </c>
      <c r="AA358" s="10" t="s">
        <v>131</v>
      </c>
      <c r="AB358" s="10" t="s">
        <v>273</v>
      </c>
      <c r="AC358" s="10" t="s">
        <v>274</v>
      </c>
      <c r="AD358" s="10" t="s">
        <v>3052</v>
      </c>
      <c r="AE358" s="10" t="s">
        <v>3053</v>
      </c>
      <c r="AF358" s="15"/>
      <c r="AG358" s="10"/>
      <c r="AH358" s="10"/>
      <c r="AI358" s="10"/>
      <c r="AJ358" s="10"/>
      <c r="AK358" s="10"/>
      <c r="AL358" s="10" t="s">
        <v>3049</v>
      </c>
      <c r="AM358" s="10"/>
      <c r="AN358" s="10"/>
      <c r="AO358" s="13" t="b">
        <v>1</v>
      </c>
      <c r="AP358" s="10" t="s">
        <v>104</v>
      </c>
      <c r="AQ358" s="10"/>
      <c r="AR358" s="17"/>
      <c r="AS358" s="17"/>
      <c r="AT358" s="17"/>
      <c r="AU358" s="17"/>
      <c r="AV358" s="17"/>
      <c r="AW358" s="10"/>
      <c r="AX358" s="17"/>
      <c r="AY358" s="18" t="s">
        <v>257</v>
      </c>
      <c r="AZ358" s="10"/>
      <c r="BA358" s="20" t="b">
        <v>0</v>
      </c>
      <c r="BB358" s="10"/>
      <c r="BC358" s="17" t="s">
        <v>257</v>
      </c>
      <c r="BD358" s="17" t="s">
        <v>257</v>
      </c>
      <c r="BE358" s="17" t="s">
        <v>257</v>
      </c>
      <c r="BF358" s="17" t="s">
        <v>257</v>
      </c>
      <c r="BG358" s="11">
        <f ca="1">IFERROR(__xludf.DUMMYFUNCTION("""COMPUTED_VALUE"""),46144)</f>
        <v>46144</v>
      </c>
      <c r="BH358" s="17"/>
      <c r="BI358" s="17"/>
      <c r="BJ358" s="15"/>
      <c r="BK358" s="15"/>
      <c r="BL358" s="13" t="b">
        <v>0</v>
      </c>
      <c r="BM358" s="10"/>
      <c r="BN358" s="10" t="s">
        <v>223</v>
      </c>
      <c r="BO358" s="11">
        <v>45827.420949074076</v>
      </c>
      <c r="BP358" s="11">
        <v>45827.420949074076</v>
      </c>
      <c r="BQ358" s="15"/>
      <c r="BR358" s="15"/>
      <c r="BS358" s="10"/>
      <c r="BT358" s="10"/>
      <c r="BU358" s="10"/>
      <c r="BV358" s="10"/>
      <c r="BW358" s="10"/>
      <c r="BX358" s="10"/>
      <c r="BY358" s="23"/>
      <c r="BZ358" s="24" t="s">
        <v>284</v>
      </c>
      <c r="CA358" s="23"/>
      <c r="CB358" s="23"/>
      <c r="CC358" s="23"/>
      <c r="CD358" s="23"/>
      <c r="CE358" s="23"/>
      <c r="CF358" s="23"/>
      <c r="CG358" s="23"/>
      <c r="CH358" s="23"/>
      <c r="CI358" s="23"/>
    </row>
    <row r="359" spans="1:87" x14ac:dyDescent="0.3">
      <c r="A359" s="9" t="s">
        <v>3054</v>
      </c>
      <c r="B359" s="10" t="s">
        <v>3055</v>
      </c>
      <c r="C359" s="11">
        <v>46144</v>
      </c>
      <c r="D359" s="12">
        <v>8.3333333333333329E-2</v>
      </c>
      <c r="E359" s="11">
        <v>46144.083333333336</v>
      </c>
      <c r="F359" s="10" t="s">
        <v>262</v>
      </c>
      <c r="G359" s="13" t="b">
        <v>0</v>
      </c>
      <c r="H359" s="10"/>
      <c r="I359" s="10" t="s">
        <v>264</v>
      </c>
      <c r="J359" s="13" t="b">
        <v>0</v>
      </c>
      <c r="K359" s="13" t="b">
        <v>1</v>
      </c>
      <c r="L359" s="10" t="s">
        <v>124</v>
      </c>
      <c r="M359" s="10" t="s">
        <v>91</v>
      </c>
      <c r="N359" s="10" t="s">
        <v>92</v>
      </c>
      <c r="O359" s="10"/>
      <c r="P359" s="10"/>
      <c r="Q359" s="10"/>
      <c r="R359" s="10"/>
      <c r="S359" s="10"/>
      <c r="T359" s="10"/>
      <c r="U359" s="10" t="s">
        <v>292</v>
      </c>
      <c r="V359" s="10" t="s">
        <v>429</v>
      </c>
      <c r="W359" s="10" t="s">
        <v>272</v>
      </c>
      <c r="X359" s="10" t="s">
        <v>130</v>
      </c>
      <c r="Y359" s="10" t="s">
        <v>130</v>
      </c>
      <c r="Z359" s="10" t="s">
        <v>99</v>
      </c>
      <c r="AA359" s="10" t="s">
        <v>131</v>
      </c>
      <c r="AB359" s="10" t="s">
        <v>273</v>
      </c>
      <c r="AC359" s="10" t="s">
        <v>274</v>
      </c>
      <c r="AD359" s="10" t="s">
        <v>3056</v>
      </c>
      <c r="AE359" s="10" t="s">
        <v>3057</v>
      </c>
      <c r="AF359" s="15"/>
      <c r="AG359" s="10"/>
      <c r="AH359" s="10"/>
      <c r="AI359" s="10"/>
      <c r="AJ359" s="10"/>
      <c r="AK359" s="10"/>
      <c r="AL359" s="10" t="s">
        <v>3049</v>
      </c>
      <c r="AM359" s="10"/>
      <c r="AN359" s="10"/>
      <c r="AO359" s="13" t="b">
        <v>1</v>
      </c>
      <c r="AP359" s="10" t="s">
        <v>104</v>
      </c>
      <c r="AQ359" s="10"/>
      <c r="AR359" s="17"/>
      <c r="AS359" s="17"/>
      <c r="AT359" s="17"/>
      <c r="AU359" s="17"/>
      <c r="AV359" s="17"/>
      <c r="AW359" s="10"/>
      <c r="AX359" s="17"/>
      <c r="AY359" s="18" t="s">
        <v>257</v>
      </c>
      <c r="AZ359" s="10"/>
      <c r="BA359" s="20" t="b">
        <v>0</v>
      </c>
      <c r="BB359" s="10"/>
      <c r="BC359" s="17" t="s">
        <v>257</v>
      </c>
      <c r="BD359" s="17" t="s">
        <v>257</v>
      </c>
      <c r="BE359" s="17" t="s">
        <v>257</v>
      </c>
      <c r="BF359" s="17" t="s">
        <v>257</v>
      </c>
      <c r="BG359" s="11">
        <f ca="1">IFERROR(__xludf.DUMMYFUNCTION("""COMPUTED_VALUE"""),46144)</f>
        <v>46144</v>
      </c>
      <c r="BH359" s="17"/>
      <c r="BI359" s="17"/>
      <c r="BJ359" s="15"/>
      <c r="BK359" s="15"/>
      <c r="BL359" s="13" t="b">
        <v>0</v>
      </c>
      <c r="BM359" s="10"/>
      <c r="BN359" s="10" t="s">
        <v>223</v>
      </c>
      <c r="BO359" s="11">
        <v>45827.420949074076</v>
      </c>
      <c r="BP359" s="11">
        <v>45827.420949074076</v>
      </c>
      <c r="BQ359" s="15"/>
      <c r="BR359" s="15"/>
      <c r="BS359" s="10"/>
      <c r="BT359" s="10"/>
      <c r="BU359" s="10"/>
      <c r="BV359" s="10"/>
      <c r="BW359" s="10"/>
      <c r="BX359" s="10"/>
      <c r="BY359" s="23"/>
      <c r="BZ359" s="24" t="s">
        <v>284</v>
      </c>
      <c r="CA359" s="23"/>
      <c r="CB359" s="23"/>
      <c r="CC359" s="23"/>
      <c r="CD359" s="23"/>
      <c r="CE359" s="23"/>
      <c r="CF359" s="23"/>
      <c r="CG359" s="23"/>
      <c r="CH359" s="23"/>
      <c r="CI359" s="23"/>
    </row>
    <row r="360" spans="1:87" x14ac:dyDescent="0.3">
      <c r="A360" s="9" t="s">
        <v>3058</v>
      </c>
      <c r="B360" s="10" t="s">
        <v>3059</v>
      </c>
      <c r="C360" s="11">
        <v>46144</v>
      </c>
      <c r="D360" s="12">
        <v>8.3333333333333329E-2</v>
      </c>
      <c r="E360" s="11">
        <v>46144.083333333336</v>
      </c>
      <c r="F360" s="10" t="s">
        <v>262</v>
      </c>
      <c r="G360" s="13" t="b">
        <v>0</v>
      </c>
      <c r="H360" s="10"/>
      <c r="I360" s="10" t="s">
        <v>264</v>
      </c>
      <c r="J360" s="13" t="b">
        <v>0</v>
      </c>
      <c r="K360" s="13" t="b">
        <v>1</v>
      </c>
      <c r="L360" s="10" t="s">
        <v>124</v>
      </c>
      <c r="M360" s="10" t="s">
        <v>91</v>
      </c>
      <c r="N360" s="10" t="s">
        <v>92</v>
      </c>
      <c r="O360" s="10"/>
      <c r="P360" s="10"/>
      <c r="Q360" s="10"/>
      <c r="R360" s="10"/>
      <c r="S360" s="10"/>
      <c r="T360" s="10"/>
      <c r="U360" s="10" t="s">
        <v>321</v>
      </c>
      <c r="V360" s="10" t="s">
        <v>451</v>
      </c>
      <c r="W360" s="10" t="s">
        <v>272</v>
      </c>
      <c r="X360" s="10" t="s">
        <v>130</v>
      </c>
      <c r="Y360" s="10" t="s">
        <v>130</v>
      </c>
      <c r="Z360" s="10" t="s">
        <v>99</v>
      </c>
      <c r="AA360" s="10" t="s">
        <v>131</v>
      </c>
      <c r="AB360" s="10" t="s">
        <v>273</v>
      </c>
      <c r="AC360" s="10" t="s">
        <v>274</v>
      </c>
      <c r="AD360" s="10" t="s">
        <v>3060</v>
      </c>
      <c r="AE360" s="10" t="s">
        <v>3061</v>
      </c>
      <c r="AF360" s="15"/>
      <c r="AG360" s="10"/>
      <c r="AH360" s="10"/>
      <c r="AI360" s="10"/>
      <c r="AJ360" s="10"/>
      <c r="AK360" s="10"/>
      <c r="AL360" s="10" t="s">
        <v>3049</v>
      </c>
      <c r="AM360" s="10"/>
      <c r="AN360" s="10"/>
      <c r="AO360" s="13" t="b">
        <v>0</v>
      </c>
      <c r="AP360" s="10" t="s">
        <v>104</v>
      </c>
      <c r="AQ360" s="10"/>
      <c r="AR360" s="17"/>
      <c r="AS360" s="17"/>
      <c r="AT360" s="17"/>
      <c r="AU360" s="17"/>
      <c r="AV360" s="17"/>
      <c r="AW360" s="10"/>
      <c r="AX360" s="17"/>
      <c r="AY360" s="18" t="s">
        <v>257</v>
      </c>
      <c r="AZ360" s="10"/>
      <c r="BA360" s="20" t="b">
        <v>0</v>
      </c>
      <c r="BB360" s="10"/>
      <c r="BC360" s="17" t="s">
        <v>257</v>
      </c>
      <c r="BD360" s="17" t="s">
        <v>257</v>
      </c>
      <c r="BE360" s="17" t="s">
        <v>257</v>
      </c>
      <c r="BF360" s="17" t="s">
        <v>257</v>
      </c>
      <c r="BG360" s="11">
        <f ca="1">IFERROR(__xludf.DUMMYFUNCTION("""COMPUTED_VALUE"""),46144)</f>
        <v>46144</v>
      </c>
      <c r="BH360" s="17"/>
      <c r="BI360" s="17"/>
      <c r="BJ360" s="15"/>
      <c r="BK360" s="15"/>
      <c r="BL360" s="13" t="b">
        <v>0</v>
      </c>
      <c r="BM360" s="10"/>
      <c r="BN360" s="10" t="s">
        <v>223</v>
      </c>
      <c r="BO360" s="11">
        <v>45827.420949074076</v>
      </c>
      <c r="BP360" s="11">
        <v>45827.420949074076</v>
      </c>
      <c r="BQ360" s="15"/>
      <c r="BR360" s="15"/>
      <c r="BS360" s="10"/>
      <c r="BT360" s="10"/>
      <c r="BU360" s="10"/>
      <c r="BV360" s="10"/>
      <c r="BW360" s="10"/>
      <c r="BX360" s="10"/>
      <c r="BY360" s="23"/>
      <c r="BZ360" s="24" t="s">
        <v>299</v>
      </c>
      <c r="CA360" s="23"/>
      <c r="CB360" s="23"/>
      <c r="CC360" s="23"/>
      <c r="CD360" s="23"/>
      <c r="CE360" s="23"/>
      <c r="CF360" s="23"/>
      <c r="CG360" s="23"/>
      <c r="CH360" s="23"/>
      <c r="CI360" s="23"/>
    </row>
    <row r="361" spans="1:87" x14ac:dyDescent="0.3">
      <c r="A361" s="9" t="s">
        <v>3062</v>
      </c>
      <c r="B361" s="10" t="s">
        <v>3063</v>
      </c>
      <c r="C361" s="11">
        <v>46144</v>
      </c>
      <c r="D361" s="12">
        <v>8.3333333333333329E-2</v>
      </c>
      <c r="E361" s="11">
        <v>46144.083333333336</v>
      </c>
      <c r="F361" s="10" t="s">
        <v>262</v>
      </c>
      <c r="G361" s="13" t="b">
        <v>0</v>
      </c>
      <c r="H361" s="10"/>
      <c r="I361" s="10" t="s">
        <v>264</v>
      </c>
      <c r="J361" s="13" t="b">
        <v>0</v>
      </c>
      <c r="K361" s="13" t="b">
        <v>1</v>
      </c>
      <c r="L361" s="10" t="s">
        <v>124</v>
      </c>
      <c r="M361" s="10" t="s">
        <v>91</v>
      </c>
      <c r="N361" s="10" t="s">
        <v>92</v>
      </c>
      <c r="O361" s="10"/>
      <c r="P361" s="10"/>
      <c r="Q361" s="10"/>
      <c r="R361" s="10"/>
      <c r="S361" s="10"/>
      <c r="T361" s="10"/>
      <c r="U361" s="10" t="s">
        <v>346</v>
      </c>
      <c r="V361" s="10" t="s">
        <v>320</v>
      </c>
      <c r="W361" s="10" t="s">
        <v>272</v>
      </c>
      <c r="X361" s="10" t="s">
        <v>130</v>
      </c>
      <c r="Y361" s="10" t="s">
        <v>130</v>
      </c>
      <c r="Z361" s="10" t="s">
        <v>99</v>
      </c>
      <c r="AA361" s="10" t="s">
        <v>131</v>
      </c>
      <c r="AB361" s="10" t="s">
        <v>273</v>
      </c>
      <c r="AC361" s="10" t="s">
        <v>274</v>
      </c>
      <c r="AD361" s="10" t="s">
        <v>3064</v>
      </c>
      <c r="AE361" s="10" t="s">
        <v>3065</v>
      </c>
      <c r="AF361" s="15"/>
      <c r="AG361" s="10"/>
      <c r="AH361" s="10"/>
      <c r="AI361" s="10"/>
      <c r="AJ361" s="10"/>
      <c r="AK361" s="10"/>
      <c r="AL361" s="10" t="s">
        <v>3049</v>
      </c>
      <c r="AM361" s="10"/>
      <c r="AN361" s="10"/>
      <c r="AO361" s="13" t="b">
        <v>1</v>
      </c>
      <c r="AP361" s="10" t="s">
        <v>104</v>
      </c>
      <c r="AQ361" s="10"/>
      <c r="AR361" s="17"/>
      <c r="AS361" s="17"/>
      <c r="AT361" s="17"/>
      <c r="AU361" s="17"/>
      <c r="AV361" s="17"/>
      <c r="AW361" s="10"/>
      <c r="AX361" s="17"/>
      <c r="AY361" s="18" t="s">
        <v>257</v>
      </c>
      <c r="AZ361" s="10"/>
      <c r="BA361" s="20" t="b">
        <v>0</v>
      </c>
      <c r="BB361" s="10"/>
      <c r="BC361" s="17" t="s">
        <v>257</v>
      </c>
      <c r="BD361" s="17" t="s">
        <v>257</v>
      </c>
      <c r="BE361" s="17" t="s">
        <v>257</v>
      </c>
      <c r="BF361" s="17" t="s">
        <v>257</v>
      </c>
      <c r="BG361" s="11">
        <f ca="1">IFERROR(__xludf.DUMMYFUNCTION("""COMPUTED_VALUE"""),46144)</f>
        <v>46144</v>
      </c>
      <c r="BH361" s="17"/>
      <c r="BI361" s="17"/>
      <c r="BJ361" s="15"/>
      <c r="BK361" s="15"/>
      <c r="BL361" s="13" t="b">
        <v>0</v>
      </c>
      <c r="BM361" s="10"/>
      <c r="BN361" s="10" t="s">
        <v>223</v>
      </c>
      <c r="BO361" s="11">
        <v>45827.420949074076</v>
      </c>
      <c r="BP361" s="11">
        <v>45827.420949074076</v>
      </c>
      <c r="BQ361" s="15"/>
      <c r="BR361" s="15"/>
      <c r="BS361" s="10"/>
      <c r="BT361" s="10"/>
      <c r="BU361" s="10"/>
      <c r="BV361" s="10"/>
      <c r="BW361" s="10"/>
      <c r="BX361" s="10"/>
      <c r="BY361" s="23"/>
      <c r="BZ361" s="24" t="s">
        <v>284</v>
      </c>
      <c r="CA361" s="23"/>
      <c r="CB361" s="23"/>
      <c r="CC361" s="23"/>
      <c r="CD361" s="23"/>
      <c r="CE361" s="23"/>
      <c r="CF361" s="23"/>
      <c r="CG361" s="23"/>
      <c r="CH361" s="23"/>
      <c r="CI361" s="23"/>
    </row>
    <row r="362" spans="1:87" x14ac:dyDescent="0.3">
      <c r="A362" s="9" t="s">
        <v>3066</v>
      </c>
      <c r="B362" s="10" t="s">
        <v>3067</v>
      </c>
      <c r="C362" s="11">
        <v>46144</v>
      </c>
      <c r="D362" s="12">
        <v>8.3333333333333329E-2</v>
      </c>
      <c r="E362" s="11">
        <v>46144.083333333336</v>
      </c>
      <c r="F362" s="10" t="s">
        <v>262</v>
      </c>
      <c r="G362" s="13" t="b">
        <v>0</v>
      </c>
      <c r="H362" s="10"/>
      <c r="I362" s="10" t="s">
        <v>264</v>
      </c>
      <c r="J362" s="13" t="b">
        <v>0</v>
      </c>
      <c r="K362" s="13" t="b">
        <v>1</v>
      </c>
      <c r="L362" s="10" t="s">
        <v>124</v>
      </c>
      <c r="M362" s="10" t="s">
        <v>91</v>
      </c>
      <c r="N362" s="10" t="s">
        <v>92</v>
      </c>
      <c r="O362" s="10"/>
      <c r="P362" s="10"/>
      <c r="Q362" s="10"/>
      <c r="R362" s="10"/>
      <c r="S362" s="10"/>
      <c r="T362" s="10"/>
      <c r="U362" s="10" t="s">
        <v>407</v>
      </c>
      <c r="V362" s="10" t="s">
        <v>334</v>
      </c>
      <c r="W362" s="10" t="s">
        <v>272</v>
      </c>
      <c r="X362" s="10" t="s">
        <v>130</v>
      </c>
      <c r="Y362" s="10" t="s">
        <v>130</v>
      </c>
      <c r="Z362" s="10" t="s">
        <v>99</v>
      </c>
      <c r="AA362" s="10" t="s">
        <v>131</v>
      </c>
      <c r="AB362" s="10" t="s">
        <v>273</v>
      </c>
      <c r="AC362" s="10" t="s">
        <v>274</v>
      </c>
      <c r="AD362" s="10" t="s">
        <v>3068</v>
      </c>
      <c r="AE362" s="10" t="s">
        <v>3069</v>
      </c>
      <c r="AF362" s="15"/>
      <c r="AG362" s="10"/>
      <c r="AH362" s="10"/>
      <c r="AI362" s="10"/>
      <c r="AJ362" s="10"/>
      <c r="AK362" s="10"/>
      <c r="AL362" s="10" t="s">
        <v>3049</v>
      </c>
      <c r="AM362" s="10"/>
      <c r="AN362" s="10"/>
      <c r="AO362" s="13" t="b">
        <v>1</v>
      </c>
      <c r="AP362" s="10" t="s">
        <v>104</v>
      </c>
      <c r="AQ362" s="10"/>
      <c r="AR362" s="17"/>
      <c r="AS362" s="17"/>
      <c r="AT362" s="17"/>
      <c r="AU362" s="17"/>
      <c r="AV362" s="17"/>
      <c r="AW362" s="10"/>
      <c r="AX362" s="17"/>
      <c r="AY362" s="18" t="s">
        <v>257</v>
      </c>
      <c r="AZ362" s="10"/>
      <c r="BA362" s="20" t="b">
        <v>0</v>
      </c>
      <c r="BB362" s="10"/>
      <c r="BC362" s="17" t="s">
        <v>257</v>
      </c>
      <c r="BD362" s="17" t="s">
        <v>257</v>
      </c>
      <c r="BE362" s="17" t="s">
        <v>257</v>
      </c>
      <c r="BF362" s="17" t="s">
        <v>257</v>
      </c>
      <c r="BG362" s="11">
        <f ca="1">IFERROR(__xludf.DUMMYFUNCTION("""COMPUTED_VALUE"""),46144)</f>
        <v>46144</v>
      </c>
      <c r="BH362" s="17"/>
      <c r="BI362" s="17"/>
      <c r="BJ362" s="15"/>
      <c r="BK362" s="15"/>
      <c r="BL362" s="13" t="b">
        <v>0</v>
      </c>
      <c r="BM362" s="10"/>
      <c r="BN362" s="10" t="s">
        <v>223</v>
      </c>
      <c r="BO362" s="11">
        <v>45827.420949074076</v>
      </c>
      <c r="BP362" s="11">
        <v>45827.420949074076</v>
      </c>
      <c r="BQ362" s="15"/>
      <c r="BR362" s="15"/>
      <c r="BS362" s="10"/>
      <c r="BT362" s="10"/>
      <c r="BU362" s="10"/>
      <c r="BV362" s="10"/>
      <c r="BW362" s="10"/>
      <c r="BX362" s="10"/>
      <c r="BY362" s="23"/>
      <c r="BZ362" s="24" t="s">
        <v>284</v>
      </c>
      <c r="CA362" s="23"/>
      <c r="CB362" s="23"/>
      <c r="CC362" s="23"/>
      <c r="CD362" s="23"/>
      <c r="CE362" s="23"/>
      <c r="CF362" s="23"/>
      <c r="CG362" s="23"/>
      <c r="CH362" s="23"/>
      <c r="CI362" s="23"/>
    </row>
    <row r="363" spans="1:87" x14ac:dyDescent="0.3">
      <c r="A363" s="9" t="s">
        <v>3070</v>
      </c>
      <c r="B363" s="10" t="s">
        <v>3071</v>
      </c>
      <c r="C363" s="11">
        <v>46144</v>
      </c>
      <c r="D363" s="12">
        <v>8.3333333333333329E-2</v>
      </c>
      <c r="E363" s="11">
        <v>46144.083333333336</v>
      </c>
      <c r="F363" s="10" t="s">
        <v>262</v>
      </c>
      <c r="G363" s="13" t="b">
        <v>0</v>
      </c>
      <c r="H363" s="10"/>
      <c r="I363" s="10" t="s">
        <v>264</v>
      </c>
      <c r="J363" s="13" t="b">
        <v>0</v>
      </c>
      <c r="K363" s="13" t="b">
        <v>1</v>
      </c>
      <c r="L363" s="10" t="s">
        <v>124</v>
      </c>
      <c r="M363" s="10" t="s">
        <v>91</v>
      </c>
      <c r="N363" s="10" t="s">
        <v>92</v>
      </c>
      <c r="O363" s="10"/>
      <c r="P363" s="10"/>
      <c r="Q363" s="10"/>
      <c r="R363" s="10"/>
      <c r="S363" s="10"/>
      <c r="T363" s="10"/>
      <c r="U363" s="10" t="s">
        <v>663</v>
      </c>
      <c r="V363" s="10" t="s">
        <v>609</v>
      </c>
      <c r="W363" s="10" t="s">
        <v>272</v>
      </c>
      <c r="X363" s="10" t="s">
        <v>130</v>
      </c>
      <c r="Y363" s="10" t="s">
        <v>130</v>
      </c>
      <c r="Z363" s="10" t="s">
        <v>99</v>
      </c>
      <c r="AA363" s="10" t="s">
        <v>131</v>
      </c>
      <c r="AB363" s="10" t="s">
        <v>273</v>
      </c>
      <c r="AC363" s="10" t="s">
        <v>274</v>
      </c>
      <c r="AD363" s="10" t="s">
        <v>3072</v>
      </c>
      <c r="AE363" s="10" t="s">
        <v>3073</v>
      </c>
      <c r="AF363" s="15"/>
      <c r="AG363" s="10"/>
      <c r="AH363" s="10"/>
      <c r="AI363" s="10"/>
      <c r="AJ363" s="10"/>
      <c r="AK363" s="10"/>
      <c r="AL363" s="10" t="s">
        <v>3049</v>
      </c>
      <c r="AM363" s="10"/>
      <c r="AN363" s="10"/>
      <c r="AO363" s="13" t="b">
        <v>0</v>
      </c>
      <c r="AP363" s="10" t="s">
        <v>104</v>
      </c>
      <c r="AQ363" s="10"/>
      <c r="AR363" s="17"/>
      <c r="AS363" s="17"/>
      <c r="AT363" s="17"/>
      <c r="AU363" s="17"/>
      <c r="AV363" s="17"/>
      <c r="AW363" s="10"/>
      <c r="AX363" s="17"/>
      <c r="AY363" s="18" t="s">
        <v>257</v>
      </c>
      <c r="AZ363" s="10"/>
      <c r="BA363" s="20" t="b">
        <v>0</v>
      </c>
      <c r="BB363" s="10"/>
      <c r="BC363" s="17" t="s">
        <v>257</v>
      </c>
      <c r="BD363" s="17" t="s">
        <v>257</v>
      </c>
      <c r="BE363" s="17" t="s">
        <v>257</v>
      </c>
      <c r="BF363" s="17" t="s">
        <v>257</v>
      </c>
      <c r="BG363" s="11">
        <f ca="1">IFERROR(__xludf.DUMMYFUNCTION("""COMPUTED_VALUE"""),46144)</f>
        <v>46144</v>
      </c>
      <c r="BH363" s="17"/>
      <c r="BI363" s="17"/>
      <c r="BJ363" s="15"/>
      <c r="BK363" s="15"/>
      <c r="BL363" s="13" t="b">
        <v>0</v>
      </c>
      <c r="BM363" s="10"/>
      <c r="BN363" s="10" t="s">
        <v>223</v>
      </c>
      <c r="BO363" s="11">
        <v>45827.420949074076</v>
      </c>
      <c r="BP363" s="11">
        <v>45827.420949074076</v>
      </c>
      <c r="BQ363" s="15"/>
      <c r="BR363" s="15"/>
      <c r="BS363" s="10"/>
      <c r="BT363" s="10"/>
      <c r="BU363" s="10"/>
      <c r="BV363" s="10"/>
      <c r="BW363" s="10"/>
      <c r="BX363" s="10"/>
      <c r="BY363" s="23"/>
      <c r="BZ363" s="24" t="s">
        <v>299</v>
      </c>
      <c r="CA363" s="23"/>
      <c r="CB363" s="23"/>
      <c r="CC363" s="23"/>
      <c r="CD363" s="23"/>
      <c r="CE363" s="23"/>
      <c r="CF363" s="23"/>
      <c r="CG363" s="23"/>
      <c r="CH363" s="23"/>
      <c r="CI363" s="23"/>
    </row>
    <row r="364" spans="1:87" x14ac:dyDescent="0.3">
      <c r="A364" s="9" t="s">
        <v>3074</v>
      </c>
      <c r="B364" s="10" t="s">
        <v>3075</v>
      </c>
      <c r="C364" s="11">
        <v>46144</v>
      </c>
      <c r="D364" s="12">
        <v>8.3333333333333329E-2</v>
      </c>
      <c r="E364" s="11">
        <v>46144.083333333336</v>
      </c>
      <c r="F364" s="10" t="s">
        <v>262</v>
      </c>
      <c r="G364" s="13" t="b">
        <v>0</v>
      </c>
      <c r="H364" s="10"/>
      <c r="I364" s="10" t="s">
        <v>264</v>
      </c>
      <c r="J364" s="13" t="b">
        <v>0</v>
      </c>
      <c r="K364" s="13" t="b">
        <v>1</v>
      </c>
      <c r="L364" s="10" t="s">
        <v>124</v>
      </c>
      <c r="M364" s="10" t="s">
        <v>91</v>
      </c>
      <c r="N364" s="10" t="s">
        <v>92</v>
      </c>
      <c r="O364" s="10"/>
      <c r="P364" s="10"/>
      <c r="Q364" s="10"/>
      <c r="R364" s="10"/>
      <c r="S364" s="10"/>
      <c r="T364" s="10"/>
      <c r="U364" s="10" t="s">
        <v>361</v>
      </c>
      <c r="V364" s="10" t="s">
        <v>270</v>
      </c>
      <c r="W364" s="10" t="s">
        <v>272</v>
      </c>
      <c r="X364" s="10" t="s">
        <v>130</v>
      </c>
      <c r="Y364" s="10" t="s">
        <v>130</v>
      </c>
      <c r="Z364" s="10" t="s">
        <v>99</v>
      </c>
      <c r="AA364" s="10" t="s">
        <v>131</v>
      </c>
      <c r="AB364" s="10" t="s">
        <v>273</v>
      </c>
      <c r="AC364" s="10" t="s">
        <v>274</v>
      </c>
      <c r="AD364" s="10" t="s">
        <v>3076</v>
      </c>
      <c r="AE364" s="10" t="s">
        <v>3077</v>
      </c>
      <c r="AF364" s="15"/>
      <c r="AG364" s="10"/>
      <c r="AH364" s="10"/>
      <c r="AI364" s="10"/>
      <c r="AJ364" s="10"/>
      <c r="AK364" s="10"/>
      <c r="AL364" s="10" t="s">
        <v>3049</v>
      </c>
      <c r="AM364" s="10"/>
      <c r="AN364" s="10"/>
      <c r="AO364" s="13" t="b">
        <v>1</v>
      </c>
      <c r="AP364" s="10" t="s">
        <v>104</v>
      </c>
      <c r="AQ364" s="10"/>
      <c r="AR364" s="17"/>
      <c r="AS364" s="17"/>
      <c r="AT364" s="17"/>
      <c r="AU364" s="17"/>
      <c r="AV364" s="17"/>
      <c r="AW364" s="10"/>
      <c r="AX364" s="17"/>
      <c r="AY364" s="18" t="s">
        <v>257</v>
      </c>
      <c r="AZ364" s="10"/>
      <c r="BA364" s="20" t="b">
        <v>0</v>
      </c>
      <c r="BB364" s="10"/>
      <c r="BC364" s="17" t="s">
        <v>257</v>
      </c>
      <c r="BD364" s="17" t="s">
        <v>257</v>
      </c>
      <c r="BE364" s="17" t="s">
        <v>257</v>
      </c>
      <c r="BF364" s="17" t="s">
        <v>257</v>
      </c>
      <c r="BG364" s="11">
        <f ca="1">IFERROR(__xludf.DUMMYFUNCTION("""COMPUTED_VALUE"""),46144)</f>
        <v>46144</v>
      </c>
      <c r="BH364" s="17"/>
      <c r="BI364" s="17"/>
      <c r="BJ364" s="15"/>
      <c r="BK364" s="15"/>
      <c r="BL364" s="13" t="b">
        <v>0</v>
      </c>
      <c r="BM364" s="10"/>
      <c r="BN364" s="10" t="s">
        <v>223</v>
      </c>
      <c r="BO364" s="11">
        <v>45827.420949074076</v>
      </c>
      <c r="BP364" s="11">
        <v>45827.420949074076</v>
      </c>
      <c r="BQ364" s="15"/>
      <c r="BR364" s="15"/>
      <c r="BS364" s="10"/>
      <c r="BT364" s="10"/>
      <c r="BU364" s="10"/>
      <c r="BV364" s="10"/>
      <c r="BW364" s="10"/>
      <c r="BX364" s="10"/>
      <c r="BY364" s="23"/>
      <c r="BZ364" s="24" t="s">
        <v>368</v>
      </c>
      <c r="CA364" s="23"/>
      <c r="CB364" s="23"/>
      <c r="CC364" s="23"/>
      <c r="CD364" s="23"/>
      <c r="CE364" s="23"/>
      <c r="CF364" s="23"/>
      <c r="CG364" s="23"/>
      <c r="CH364" s="23"/>
      <c r="CI364" s="23"/>
    </row>
    <row r="365" spans="1:87" x14ac:dyDescent="0.3">
      <c r="A365" s="9" t="s">
        <v>3078</v>
      </c>
      <c r="B365" s="10" t="s">
        <v>3079</v>
      </c>
      <c r="C365" s="11">
        <v>46144</v>
      </c>
      <c r="D365" s="12">
        <v>8.3333333333333329E-2</v>
      </c>
      <c r="E365" s="11">
        <v>46144.083333333336</v>
      </c>
      <c r="F365" s="10" t="s">
        <v>262</v>
      </c>
      <c r="G365" s="13" t="b">
        <v>0</v>
      </c>
      <c r="H365" s="10"/>
      <c r="I365" s="10" t="s">
        <v>264</v>
      </c>
      <c r="J365" s="13" t="b">
        <v>0</v>
      </c>
      <c r="K365" s="13" t="b">
        <v>1</v>
      </c>
      <c r="L365" s="10" t="s">
        <v>124</v>
      </c>
      <c r="M365" s="10" t="s">
        <v>91</v>
      </c>
      <c r="N365" s="10" t="s">
        <v>92</v>
      </c>
      <c r="O365" s="10"/>
      <c r="P365" s="10"/>
      <c r="Q365" s="10"/>
      <c r="R365" s="10"/>
      <c r="S365" s="10"/>
      <c r="T365" s="10"/>
      <c r="U365" s="10" t="s">
        <v>293</v>
      </c>
      <c r="V365" s="10" t="s">
        <v>308</v>
      </c>
      <c r="W365" s="10" t="s">
        <v>272</v>
      </c>
      <c r="X365" s="10" t="s">
        <v>130</v>
      </c>
      <c r="Y365" s="10" t="s">
        <v>130</v>
      </c>
      <c r="Z365" s="10" t="s">
        <v>99</v>
      </c>
      <c r="AA365" s="10" t="s">
        <v>131</v>
      </c>
      <c r="AB365" s="10" t="s">
        <v>273</v>
      </c>
      <c r="AC365" s="10" t="s">
        <v>274</v>
      </c>
      <c r="AD365" s="10" t="s">
        <v>3080</v>
      </c>
      <c r="AE365" s="10" t="s">
        <v>3081</v>
      </c>
      <c r="AF365" s="15"/>
      <c r="AG365" s="10"/>
      <c r="AH365" s="10"/>
      <c r="AI365" s="10"/>
      <c r="AJ365" s="10"/>
      <c r="AK365" s="10"/>
      <c r="AL365" s="10" t="s">
        <v>3049</v>
      </c>
      <c r="AM365" s="10"/>
      <c r="AN365" s="10"/>
      <c r="AO365" s="13" t="b">
        <v>0</v>
      </c>
      <c r="AP365" s="10" t="s">
        <v>104</v>
      </c>
      <c r="AQ365" s="10"/>
      <c r="AR365" s="17"/>
      <c r="AS365" s="17"/>
      <c r="AT365" s="17"/>
      <c r="AU365" s="17"/>
      <c r="AV365" s="17"/>
      <c r="AW365" s="10"/>
      <c r="AX365" s="17"/>
      <c r="AY365" s="18" t="s">
        <v>257</v>
      </c>
      <c r="AZ365" s="10"/>
      <c r="BA365" s="20" t="b">
        <v>0</v>
      </c>
      <c r="BB365" s="10"/>
      <c r="BC365" s="17" t="s">
        <v>257</v>
      </c>
      <c r="BD365" s="17" t="s">
        <v>257</v>
      </c>
      <c r="BE365" s="17" t="s">
        <v>257</v>
      </c>
      <c r="BF365" s="17" t="s">
        <v>257</v>
      </c>
      <c r="BG365" s="11">
        <f ca="1">IFERROR(__xludf.DUMMYFUNCTION("""COMPUTED_VALUE"""),46144)</f>
        <v>46144</v>
      </c>
      <c r="BH365" s="17"/>
      <c r="BI365" s="17"/>
      <c r="BJ365" s="15"/>
      <c r="BK365" s="15"/>
      <c r="BL365" s="13" t="b">
        <v>0</v>
      </c>
      <c r="BM365" s="10"/>
      <c r="BN365" s="10" t="s">
        <v>223</v>
      </c>
      <c r="BO365" s="11">
        <v>45827.420949074076</v>
      </c>
      <c r="BP365" s="11">
        <v>45827.420949074076</v>
      </c>
      <c r="BQ365" s="15"/>
      <c r="BR365" s="15"/>
      <c r="BS365" s="10"/>
      <c r="BT365" s="10"/>
      <c r="BU365" s="10"/>
      <c r="BV365" s="10"/>
      <c r="BW365" s="10"/>
      <c r="BX365" s="10"/>
      <c r="BY365" s="23"/>
      <c r="BZ365" s="24" t="s">
        <v>299</v>
      </c>
      <c r="CA365" s="23"/>
      <c r="CB365" s="23"/>
      <c r="CC365" s="23"/>
      <c r="CD365" s="23"/>
      <c r="CE365" s="23"/>
      <c r="CF365" s="23"/>
      <c r="CG365" s="23"/>
      <c r="CH365" s="23"/>
      <c r="CI365" s="23"/>
    </row>
    <row r="366" spans="1:87" x14ac:dyDescent="0.3">
      <c r="A366" s="9" t="s">
        <v>3082</v>
      </c>
      <c r="B366" s="10" t="s">
        <v>3083</v>
      </c>
      <c r="C366" s="11">
        <v>46144</v>
      </c>
      <c r="D366" s="12">
        <v>8.3333333333333329E-2</v>
      </c>
      <c r="E366" s="11">
        <v>46144.083333333336</v>
      </c>
      <c r="F366" s="10" t="s">
        <v>262</v>
      </c>
      <c r="G366" s="13" t="b">
        <v>0</v>
      </c>
      <c r="H366" s="10"/>
      <c r="I366" s="10" t="s">
        <v>264</v>
      </c>
      <c r="J366" s="13" t="b">
        <v>0</v>
      </c>
      <c r="K366" s="13" t="b">
        <v>1</v>
      </c>
      <c r="L366" s="10" t="s">
        <v>124</v>
      </c>
      <c r="M366" s="10" t="s">
        <v>91</v>
      </c>
      <c r="N366" s="10" t="s">
        <v>92</v>
      </c>
      <c r="O366" s="10"/>
      <c r="P366" s="10"/>
      <c r="Q366" s="10"/>
      <c r="R366" s="10"/>
      <c r="S366" s="10"/>
      <c r="T366" s="10"/>
      <c r="U366" s="10" t="s">
        <v>333</v>
      </c>
      <c r="V366" s="10" t="s">
        <v>588</v>
      </c>
      <c r="W366" s="10" t="s">
        <v>272</v>
      </c>
      <c r="X366" s="10" t="s">
        <v>130</v>
      </c>
      <c r="Y366" s="10" t="s">
        <v>130</v>
      </c>
      <c r="Z366" s="10" t="s">
        <v>99</v>
      </c>
      <c r="AA366" s="10" t="s">
        <v>131</v>
      </c>
      <c r="AB366" s="10" t="s">
        <v>273</v>
      </c>
      <c r="AC366" s="10" t="s">
        <v>274</v>
      </c>
      <c r="AD366" s="10" t="s">
        <v>3084</v>
      </c>
      <c r="AE366" s="10" t="s">
        <v>3085</v>
      </c>
      <c r="AF366" s="15"/>
      <c r="AG366" s="10"/>
      <c r="AH366" s="10"/>
      <c r="AI366" s="10"/>
      <c r="AJ366" s="10"/>
      <c r="AK366" s="10"/>
      <c r="AL366" s="10" t="s">
        <v>3049</v>
      </c>
      <c r="AM366" s="10"/>
      <c r="AN366" s="10"/>
      <c r="AO366" s="13" t="b">
        <v>0</v>
      </c>
      <c r="AP366" s="10" t="s">
        <v>104</v>
      </c>
      <c r="AQ366" s="10"/>
      <c r="AR366" s="17"/>
      <c r="AS366" s="17"/>
      <c r="AT366" s="17"/>
      <c r="AU366" s="17"/>
      <c r="AV366" s="17"/>
      <c r="AW366" s="10"/>
      <c r="AX366" s="17"/>
      <c r="AY366" s="18" t="s">
        <v>257</v>
      </c>
      <c r="AZ366" s="10"/>
      <c r="BA366" s="20" t="b">
        <v>0</v>
      </c>
      <c r="BB366" s="10"/>
      <c r="BC366" s="17" t="s">
        <v>257</v>
      </c>
      <c r="BD366" s="17" t="s">
        <v>257</v>
      </c>
      <c r="BE366" s="17" t="s">
        <v>257</v>
      </c>
      <c r="BF366" s="17" t="s">
        <v>257</v>
      </c>
      <c r="BG366" s="11">
        <f ca="1">IFERROR(__xludf.DUMMYFUNCTION("""COMPUTED_VALUE"""),46144)</f>
        <v>46144</v>
      </c>
      <c r="BH366" s="17"/>
      <c r="BI366" s="17"/>
      <c r="BJ366" s="15"/>
      <c r="BK366" s="15"/>
      <c r="BL366" s="13" t="b">
        <v>0</v>
      </c>
      <c r="BM366" s="10"/>
      <c r="BN366" s="10" t="s">
        <v>223</v>
      </c>
      <c r="BO366" s="11">
        <v>45827.420949074076</v>
      </c>
      <c r="BP366" s="11">
        <v>45827.420949074076</v>
      </c>
      <c r="BQ366" s="15"/>
      <c r="BR366" s="15"/>
      <c r="BS366" s="10"/>
      <c r="BT366" s="10"/>
      <c r="BU366" s="10"/>
      <c r="BV366" s="10"/>
      <c r="BW366" s="10"/>
      <c r="BX366" s="10"/>
      <c r="BY366" s="23"/>
      <c r="BZ366" s="24" t="s">
        <v>299</v>
      </c>
      <c r="CA366" s="23"/>
      <c r="CB366" s="23"/>
      <c r="CC366" s="23"/>
      <c r="CD366" s="23"/>
      <c r="CE366" s="23"/>
      <c r="CF366" s="23"/>
      <c r="CG366" s="23"/>
      <c r="CH366" s="23"/>
      <c r="CI366" s="23"/>
    </row>
    <row r="367" spans="1:87" x14ac:dyDescent="0.3">
      <c r="A367" s="9" t="s">
        <v>3086</v>
      </c>
      <c r="B367" s="10" t="s">
        <v>3087</v>
      </c>
      <c r="C367" s="11">
        <v>46151</v>
      </c>
      <c r="D367" s="12">
        <v>8.3333333333333329E-2</v>
      </c>
      <c r="E367" s="11">
        <v>46151.083333333336</v>
      </c>
      <c r="F367" s="10" t="s">
        <v>262</v>
      </c>
      <c r="G367" s="13" t="b">
        <v>0</v>
      </c>
      <c r="H367" s="10"/>
      <c r="I367" s="10" t="s">
        <v>264</v>
      </c>
      <c r="J367" s="13" t="b">
        <v>0</v>
      </c>
      <c r="K367" s="13" t="b">
        <v>1</v>
      </c>
      <c r="L367" s="10" t="s">
        <v>124</v>
      </c>
      <c r="M367" s="10" t="s">
        <v>91</v>
      </c>
      <c r="N367" s="10" t="s">
        <v>92</v>
      </c>
      <c r="O367" s="10"/>
      <c r="P367" s="10"/>
      <c r="Q367" s="10"/>
      <c r="R367" s="10"/>
      <c r="S367" s="10"/>
      <c r="T367" s="10"/>
      <c r="U367" s="10" t="s">
        <v>308</v>
      </c>
      <c r="V367" s="10" t="s">
        <v>333</v>
      </c>
      <c r="W367" s="10" t="s">
        <v>272</v>
      </c>
      <c r="X367" s="10" t="s">
        <v>130</v>
      </c>
      <c r="Y367" s="10" t="s">
        <v>130</v>
      </c>
      <c r="Z367" s="10" t="s">
        <v>99</v>
      </c>
      <c r="AA367" s="10" t="s">
        <v>131</v>
      </c>
      <c r="AB367" s="10" t="s">
        <v>273</v>
      </c>
      <c r="AC367" s="10" t="s">
        <v>274</v>
      </c>
      <c r="AD367" s="10" t="s">
        <v>3088</v>
      </c>
      <c r="AE367" s="10" t="s">
        <v>3089</v>
      </c>
      <c r="AF367" s="15"/>
      <c r="AG367" s="10"/>
      <c r="AH367" s="10"/>
      <c r="AI367" s="10"/>
      <c r="AJ367" s="10"/>
      <c r="AK367" s="10"/>
      <c r="AL367" s="10" t="s">
        <v>3090</v>
      </c>
      <c r="AM367" s="10"/>
      <c r="AN367" s="10"/>
      <c r="AO367" s="13" t="b">
        <v>0</v>
      </c>
      <c r="AP367" s="10" t="s">
        <v>104</v>
      </c>
      <c r="AQ367" s="10"/>
      <c r="AR367" s="17"/>
      <c r="AS367" s="17"/>
      <c r="AT367" s="17"/>
      <c r="AU367" s="17"/>
      <c r="AV367" s="17"/>
      <c r="AW367" s="10"/>
      <c r="AX367" s="17"/>
      <c r="AY367" s="18" t="s">
        <v>257</v>
      </c>
      <c r="AZ367" s="10"/>
      <c r="BA367" s="20" t="b">
        <v>0</v>
      </c>
      <c r="BB367" s="10"/>
      <c r="BC367" s="17" t="s">
        <v>257</v>
      </c>
      <c r="BD367" s="17" t="s">
        <v>257</v>
      </c>
      <c r="BE367" s="17" t="s">
        <v>257</v>
      </c>
      <c r="BF367" s="17" t="s">
        <v>257</v>
      </c>
      <c r="BG367" s="11">
        <f ca="1">IFERROR(__xludf.DUMMYFUNCTION("""COMPUTED_VALUE"""),46151)</f>
        <v>46151</v>
      </c>
      <c r="BH367" s="17"/>
      <c r="BI367" s="17"/>
      <c r="BJ367" s="15"/>
      <c r="BK367" s="15"/>
      <c r="BL367" s="13" t="b">
        <v>0</v>
      </c>
      <c r="BM367" s="10"/>
      <c r="BN367" s="10" t="s">
        <v>223</v>
      </c>
      <c r="BO367" s="11">
        <v>45827.420949074076</v>
      </c>
      <c r="BP367" s="11">
        <v>45827.420949074076</v>
      </c>
      <c r="BQ367" s="15"/>
      <c r="BR367" s="15"/>
      <c r="BS367" s="10"/>
      <c r="BT367" s="10"/>
      <c r="BU367" s="10"/>
      <c r="BV367" s="10"/>
      <c r="BW367" s="10"/>
      <c r="BX367" s="10"/>
      <c r="BY367" s="23"/>
      <c r="BZ367" s="24" t="s">
        <v>299</v>
      </c>
      <c r="CA367" s="23"/>
      <c r="CB367" s="23"/>
      <c r="CC367" s="23"/>
      <c r="CD367" s="23"/>
      <c r="CE367" s="23"/>
      <c r="CF367" s="23"/>
      <c r="CG367" s="23"/>
      <c r="CH367" s="23"/>
      <c r="CI367" s="23"/>
    </row>
    <row r="368" spans="1:87" x14ac:dyDescent="0.3">
      <c r="A368" s="9" t="s">
        <v>3091</v>
      </c>
      <c r="B368" s="10" t="s">
        <v>3092</v>
      </c>
      <c r="C368" s="11">
        <v>46151</v>
      </c>
      <c r="D368" s="12">
        <v>8.3333333333333329E-2</v>
      </c>
      <c r="E368" s="11">
        <v>46151.083333333336</v>
      </c>
      <c r="F368" s="10" t="s">
        <v>262</v>
      </c>
      <c r="G368" s="13" t="b">
        <v>0</v>
      </c>
      <c r="H368" s="10"/>
      <c r="I368" s="10" t="s">
        <v>264</v>
      </c>
      <c r="J368" s="13" t="b">
        <v>0</v>
      </c>
      <c r="K368" s="13" t="b">
        <v>1</v>
      </c>
      <c r="L368" s="10" t="s">
        <v>124</v>
      </c>
      <c r="M368" s="10" t="s">
        <v>91</v>
      </c>
      <c r="N368" s="10" t="s">
        <v>92</v>
      </c>
      <c r="O368" s="10"/>
      <c r="P368" s="10"/>
      <c r="Q368" s="10"/>
      <c r="R368" s="10"/>
      <c r="S368" s="10"/>
      <c r="T368" s="10"/>
      <c r="U368" s="10" t="s">
        <v>609</v>
      </c>
      <c r="V368" s="10" t="s">
        <v>292</v>
      </c>
      <c r="W368" s="10" t="s">
        <v>272</v>
      </c>
      <c r="X368" s="10" t="s">
        <v>130</v>
      </c>
      <c r="Y368" s="10" t="s">
        <v>130</v>
      </c>
      <c r="Z368" s="10" t="s">
        <v>99</v>
      </c>
      <c r="AA368" s="10" t="s">
        <v>131</v>
      </c>
      <c r="AB368" s="10" t="s">
        <v>273</v>
      </c>
      <c r="AC368" s="10" t="s">
        <v>274</v>
      </c>
      <c r="AD368" s="10" t="s">
        <v>3093</v>
      </c>
      <c r="AE368" s="10" t="s">
        <v>3094</v>
      </c>
      <c r="AF368" s="15"/>
      <c r="AG368" s="10"/>
      <c r="AH368" s="10"/>
      <c r="AI368" s="10"/>
      <c r="AJ368" s="10"/>
      <c r="AK368" s="10"/>
      <c r="AL368" s="10" t="s">
        <v>3090</v>
      </c>
      <c r="AM368" s="10"/>
      <c r="AN368" s="10"/>
      <c r="AO368" s="13" t="b">
        <v>0</v>
      </c>
      <c r="AP368" s="10" t="s">
        <v>104</v>
      </c>
      <c r="AQ368" s="10"/>
      <c r="AR368" s="17"/>
      <c r="AS368" s="17"/>
      <c r="AT368" s="17"/>
      <c r="AU368" s="17"/>
      <c r="AV368" s="17"/>
      <c r="AW368" s="10"/>
      <c r="AX368" s="17"/>
      <c r="AY368" s="18" t="s">
        <v>257</v>
      </c>
      <c r="AZ368" s="10"/>
      <c r="BA368" s="20" t="b">
        <v>0</v>
      </c>
      <c r="BB368" s="10"/>
      <c r="BC368" s="17" t="s">
        <v>257</v>
      </c>
      <c r="BD368" s="17" t="s">
        <v>257</v>
      </c>
      <c r="BE368" s="17" t="s">
        <v>257</v>
      </c>
      <c r="BF368" s="17" t="s">
        <v>257</v>
      </c>
      <c r="BG368" s="11">
        <f ca="1">IFERROR(__xludf.DUMMYFUNCTION("""COMPUTED_VALUE"""),46151)</f>
        <v>46151</v>
      </c>
      <c r="BH368" s="17"/>
      <c r="BI368" s="17"/>
      <c r="BJ368" s="15"/>
      <c r="BK368" s="15"/>
      <c r="BL368" s="13" t="b">
        <v>0</v>
      </c>
      <c r="BM368" s="10"/>
      <c r="BN368" s="10" t="s">
        <v>223</v>
      </c>
      <c r="BO368" s="11">
        <v>45827.420949074076</v>
      </c>
      <c r="BP368" s="11">
        <v>45827.420949074076</v>
      </c>
      <c r="BQ368" s="15"/>
      <c r="BR368" s="15"/>
      <c r="BS368" s="10"/>
      <c r="BT368" s="10"/>
      <c r="BU368" s="10"/>
      <c r="BV368" s="10"/>
      <c r="BW368" s="10"/>
      <c r="BX368" s="10"/>
      <c r="BY368" s="23"/>
      <c r="BZ368" s="24" t="s">
        <v>299</v>
      </c>
      <c r="CA368" s="23"/>
      <c r="CB368" s="23"/>
      <c r="CC368" s="23"/>
      <c r="CD368" s="23"/>
      <c r="CE368" s="23"/>
      <c r="CF368" s="23"/>
      <c r="CG368" s="23"/>
      <c r="CH368" s="23"/>
      <c r="CI368" s="23"/>
    </row>
    <row r="369" spans="1:87" x14ac:dyDescent="0.3">
      <c r="A369" s="9" t="s">
        <v>3095</v>
      </c>
      <c r="B369" s="10" t="s">
        <v>3096</v>
      </c>
      <c r="C369" s="11">
        <v>46151</v>
      </c>
      <c r="D369" s="12">
        <v>8.3333333333333329E-2</v>
      </c>
      <c r="E369" s="11">
        <v>46151.083333333336</v>
      </c>
      <c r="F369" s="10" t="s">
        <v>262</v>
      </c>
      <c r="G369" s="13" t="b">
        <v>0</v>
      </c>
      <c r="H369" s="10"/>
      <c r="I369" s="10" t="s">
        <v>264</v>
      </c>
      <c r="J369" s="13" t="b">
        <v>0</v>
      </c>
      <c r="K369" s="13" t="b">
        <v>1</v>
      </c>
      <c r="L369" s="10" t="s">
        <v>124</v>
      </c>
      <c r="M369" s="10" t="s">
        <v>91</v>
      </c>
      <c r="N369" s="10" t="s">
        <v>92</v>
      </c>
      <c r="O369" s="10"/>
      <c r="P369" s="10"/>
      <c r="Q369" s="10"/>
      <c r="R369" s="10"/>
      <c r="S369" s="10"/>
      <c r="T369" s="10"/>
      <c r="U369" s="10" t="s">
        <v>347</v>
      </c>
      <c r="V369" s="10" t="s">
        <v>407</v>
      </c>
      <c r="W369" s="10" t="s">
        <v>272</v>
      </c>
      <c r="X369" s="10" t="s">
        <v>130</v>
      </c>
      <c r="Y369" s="10" t="s">
        <v>130</v>
      </c>
      <c r="Z369" s="10" t="s">
        <v>99</v>
      </c>
      <c r="AA369" s="10" t="s">
        <v>131</v>
      </c>
      <c r="AB369" s="10" t="s">
        <v>273</v>
      </c>
      <c r="AC369" s="10" t="s">
        <v>274</v>
      </c>
      <c r="AD369" s="10" t="s">
        <v>3097</v>
      </c>
      <c r="AE369" s="10" t="s">
        <v>3098</v>
      </c>
      <c r="AF369" s="15"/>
      <c r="AG369" s="10"/>
      <c r="AH369" s="10"/>
      <c r="AI369" s="10"/>
      <c r="AJ369" s="10"/>
      <c r="AK369" s="10"/>
      <c r="AL369" s="10" t="s">
        <v>3090</v>
      </c>
      <c r="AM369" s="10"/>
      <c r="AN369" s="10"/>
      <c r="AO369" s="13" t="b">
        <v>0</v>
      </c>
      <c r="AP369" s="10" t="s">
        <v>104</v>
      </c>
      <c r="AQ369" s="10"/>
      <c r="AR369" s="17"/>
      <c r="AS369" s="17"/>
      <c r="AT369" s="17"/>
      <c r="AU369" s="17"/>
      <c r="AV369" s="17"/>
      <c r="AW369" s="10"/>
      <c r="AX369" s="17"/>
      <c r="AY369" s="18" t="s">
        <v>257</v>
      </c>
      <c r="AZ369" s="10"/>
      <c r="BA369" s="20" t="b">
        <v>0</v>
      </c>
      <c r="BB369" s="10"/>
      <c r="BC369" s="17" t="s">
        <v>257</v>
      </c>
      <c r="BD369" s="17" t="s">
        <v>257</v>
      </c>
      <c r="BE369" s="17" t="s">
        <v>257</v>
      </c>
      <c r="BF369" s="17" t="s">
        <v>257</v>
      </c>
      <c r="BG369" s="11">
        <f ca="1">IFERROR(__xludf.DUMMYFUNCTION("""COMPUTED_VALUE"""),46151)</f>
        <v>46151</v>
      </c>
      <c r="BH369" s="17"/>
      <c r="BI369" s="17"/>
      <c r="BJ369" s="15"/>
      <c r="BK369" s="15"/>
      <c r="BL369" s="13" t="b">
        <v>0</v>
      </c>
      <c r="BM369" s="10"/>
      <c r="BN369" s="10" t="s">
        <v>223</v>
      </c>
      <c r="BO369" s="11">
        <v>45827.420949074076</v>
      </c>
      <c r="BP369" s="11">
        <v>45827.420949074076</v>
      </c>
      <c r="BQ369" s="15"/>
      <c r="BR369" s="15"/>
      <c r="BS369" s="10"/>
      <c r="BT369" s="10"/>
      <c r="BU369" s="10"/>
      <c r="BV369" s="10"/>
      <c r="BW369" s="10"/>
      <c r="BX369" s="10"/>
      <c r="BY369" s="23"/>
      <c r="BZ369" s="24" t="s">
        <v>299</v>
      </c>
      <c r="CA369" s="23"/>
      <c r="CB369" s="23"/>
      <c r="CC369" s="23"/>
      <c r="CD369" s="23"/>
      <c r="CE369" s="23"/>
      <c r="CF369" s="23"/>
      <c r="CG369" s="23"/>
      <c r="CH369" s="23"/>
      <c r="CI369" s="23"/>
    </row>
    <row r="370" spans="1:87" x14ac:dyDescent="0.3">
      <c r="A370" s="9" t="s">
        <v>3099</v>
      </c>
      <c r="B370" s="10" t="s">
        <v>3100</v>
      </c>
      <c r="C370" s="11">
        <v>46151</v>
      </c>
      <c r="D370" s="12">
        <v>8.3333333333333329E-2</v>
      </c>
      <c r="E370" s="11">
        <v>46151.083333333336</v>
      </c>
      <c r="F370" s="10" t="s">
        <v>262</v>
      </c>
      <c r="G370" s="13" t="b">
        <v>0</v>
      </c>
      <c r="H370" s="10"/>
      <c r="I370" s="10" t="s">
        <v>264</v>
      </c>
      <c r="J370" s="13" t="b">
        <v>0</v>
      </c>
      <c r="K370" s="13" t="b">
        <v>1</v>
      </c>
      <c r="L370" s="10" t="s">
        <v>124</v>
      </c>
      <c r="M370" s="10" t="s">
        <v>91</v>
      </c>
      <c r="N370" s="10" t="s">
        <v>92</v>
      </c>
      <c r="O370" s="10"/>
      <c r="P370" s="10"/>
      <c r="Q370" s="10"/>
      <c r="R370" s="10"/>
      <c r="S370" s="10"/>
      <c r="T370" s="10"/>
      <c r="U370" s="10" t="s">
        <v>309</v>
      </c>
      <c r="V370" s="10" t="s">
        <v>271</v>
      </c>
      <c r="W370" s="10" t="s">
        <v>272</v>
      </c>
      <c r="X370" s="10" t="s">
        <v>130</v>
      </c>
      <c r="Y370" s="10" t="s">
        <v>130</v>
      </c>
      <c r="Z370" s="10" t="s">
        <v>99</v>
      </c>
      <c r="AA370" s="10" t="s">
        <v>131</v>
      </c>
      <c r="AB370" s="10" t="s">
        <v>273</v>
      </c>
      <c r="AC370" s="10" t="s">
        <v>274</v>
      </c>
      <c r="AD370" s="10" t="s">
        <v>3101</v>
      </c>
      <c r="AE370" s="10" t="s">
        <v>3102</v>
      </c>
      <c r="AF370" s="15"/>
      <c r="AG370" s="10"/>
      <c r="AH370" s="10"/>
      <c r="AI370" s="10"/>
      <c r="AJ370" s="10"/>
      <c r="AK370" s="10"/>
      <c r="AL370" s="10" t="s">
        <v>3090</v>
      </c>
      <c r="AM370" s="10"/>
      <c r="AN370" s="10"/>
      <c r="AO370" s="13" t="b">
        <v>0</v>
      </c>
      <c r="AP370" s="10" t="s">
        <v>104</v>
      </c>
      <c r="AQ370" s="10"/>
      <c r="AR370" s="17"/>
      <c r="AS370" s="17"/>
      <c r="AT370" s="17"/>
      <c r="AU370" s="17"/>
      <c r="AV370" s="17"/>
      <c r="AW370" s="10"/>
      <c r="AX370" s="17"/>
      <c r="AY370" s="18" t="s">
        <v>257</v>
      </c>
      <c r="AZ370" s="10"/>
      <c r="BA370" s="20" t="b">
        <v>0</v>
      </c>
      <c r="BB370" s="10"/>
      <c r="BC370" s="17" t="s">
        <v>257</v>
      </c>
      <c r="BD370" s="17" t="s">
        <v>257</v>
      </c>
      <c r="BE370" s="17" t="s">
        <v>257</v>
      </c>
      <c r="BF370" s="17" t="s">
        <v>257</v>
      </c>
      <c r="BG370" s="11">
        <f ca="1">IFERROR(__xludf.DUMMYFUNCTION("""COMPUTED_VALUE"""),46151)</f>
        <v>46151</v>
      </c>
      <c r="BH370" s="17"/>
      <c r="BI370" s="17"/>
      <c r="BJ370" s="15"/>
      <c r="BK370" s="15"/>
      <c r="BL370" s="13" t="b">
        <v>0</v>
      </c>
      <c r="BM370" s="10"/>
      <c r="BN370" s="10" t="s">
        <v>223</v>
      </c>
      <c r="BO370" s="11">
        <v>45827.420949074076</v>
      </c>
      <c r="BP370" s="11">
        <v>45827.420949074076</v>
      </c>
      <c r="BQ370" s="15"/>
      <c r="BR370" s="15"/>
      <c r="BS370" s="10"/>
      <c r="BT370" s="10"/>
      <c r="BU370" s="10"/>
      <c r="BV370" s="10"/>
      <c r="BW370" s="10"/>
      <c r="BX370" s="10"/>
      <c r="BY370" s="23"/>
      <c r="BZ370" s="24" t="s">
        <v>299</v>
      </c>
      <c r="CA370" s="23"/>
      <c r="CB370" s="23"/>
      <c r="CC370" s="23"/>
      <c r="CD370" s="23"/>
      <c r="CE370" s="23"/>
      <c r="CF370" s="23"/>
      <c r="CG370" s="23"/>
      <c r="CH370" s="23"/>
      <c r="CI370" s="23"/>
    </row>
    <row r="371" spans="1:87" x14ac:dyDescent="0.3">
      <c r="A371" s="9" t="s">
        <v>3103</v>
      </c>
      <c r="B371" s="10" t="s">
        <v>3104</v>
      </c>
      <c r="C371" s="11">
        <v>46151</v>
      </c>
      <c r="D371" s="12">
        <v>8.3333333333333329E-2</v>
      </c>
      <c r="E371" s="11">
        <v>46151.083333333336</v>
      </c>
      <c r="F371" s="10" t="s">
        <v>262</v>
      </c>
      <c r="G371" s="13" t="b">
        <v>0</v>
      </c>
      <c r="H371" s="10"/>
      <c r="I371" s="10" t="s">
        <v>264</v>
      </c>
      <c r="J371" s="13" t="b">
        <v>0</v>
      </c>
      <c r="K371" s="13" t="b">
        <v>1</v>
      </c>
      <c r="L371" s="10" t="s">
        <v>124</v>
      </c>
      <c r="M371" s="10" t="s">
        <v>91</v>
      </c>
      <c r="N371" s="10" t="s">
        <v>92</v>
      </c>
      <c r="O371" s="10"/>
      <c r="P371" s="10"/>
      <c r="Q371" s="10"/>
      <c r="R371" s="10"/>
      <c r="S371" s="10"/>
      <c r="T371" s="10"/>
      <c r="U371" s="10" t="s">
        <v>270</v>
      </c>
      <c r="V371" s="10" t="s">
        <v>346</v>
      </c>
      <c r="W371" s="10" t="s">
        <v>272</v>
      </c>
      <c r="X371" s="10" t="s">
        <v>130</v>
      </c>
      <c r="Y371" s="10" t="s">
        <v>130</v>
      </c>
      <c r="Z371" s="10" t="s">
        <v>99</v>
      </c>
      <c r="AA371" s="10" t="s">
        <v>131</v>
      </c>
      <c r="AB371" s="10" t="s">
        <v>273</v>
      </c>
      <c r="AC371" s="10" t="s">
        <v>274</v>
      </c>
      <c r="AD371" s="10" t="s">
        <v>3105</v>
      </c>
      <c r="AE371" s="10" t="s">
        <v>3106</v>
      </c>
      <c r="AF371" s="15"/>
      <c r="AG371" s="10"/>
      <c r="AH371" s="10"/>
      <c r="AI371" s="10"/>
      <c r="AJ371" s="10"/>
      <c r="AK371" s="10"/>
      <c r="AL371" s="10" t="s">
        <v>3090</v>
      </c>
      <c r="AM371" s="10"/>
      <c r="AN371" s="10"/>
      <c r="AO371" s="13" t="b">
        <v>1</v>
      </c>
      <c r="AP371" s="10" t="s">
        <v>104</v>
      </c>
      <c r="AQ371" s="10"/>
      <c r="AR371" s="17"/>
      <c r="AS371" s="17"/>
      <c r="AT371" s="17"/>
      <c r="AU371" s="17"/>
      <c r="AV371" s="17"/>
      <c r="AW371" s="10"/>
      <c r="AX371" s="17"/>
      <c r="AY371" s="18" t="s">
        <v>257</v>
      </c>
      <c r="AZ371" s="10"/>
      <c r="BA371" s="20" t="b">
        <v>0</v>
      </c>
      <c r="BB371" s="10"/>
      <c r="BC371" s="17" t="s">
        <v>257</v>
      </c>
      <c r="BD371" s="17" t="s">
        <v>257</v>
      </c>
      <c r="BE371" s="17" t="s">
        <v>257</v>
      </c>
      <c r="BF371" s="17" t="s">
        <v>257</v>
      </c>
      <c r="BG371" s="11">
        <f ca="1">IFERROR(__xludf.DUMMYFUNCTION("""COMPUTED_VALUE"""),46151)</f>
        <v>46151</v>
      </c>
      <c r="BH371" s="17"/>
      <c r="BI371" s="17"/>
      <c r="BJ371" s="15"/>
      <c r="BK371" s="15"/>
      <c r="BL371" s="13" t="b">
        <v>0</v>
      </c>
      <c r="BM371" s="10"/>
      <c r="BN371" s="10" t="s">
        <v>223</v>
      </c>
      <c r="BO371" s="11">
        <v>45827.420949074076</v>
      </c>
      <c r="BP371" s="11">
        <v>45827.420949074076</v>
      </c>
      <c r="BQ371" s="15"/>
      <c r="BR371" s="15"/>
      <c r="BS371" s="10"/>
      <c r="BT371" s="10"/>
      <c r="BU371" s="10"/>
      <c r="BV371" s="10"/>
      <c r="BW371" s="10"/>
      <c r="BX371" s="10"/>
      <c r="BY371" s="23"/>
      <c r="BZ371" s="24" t="s">
        <v>368</v>
      </c>
      <c r="CA371" s="23"/>
      <c r="CB371" s="23"/>
      <c r="CC371" s="23"/>
      <c r="CD371" s="23"/>
      <c r="CE371" s="23"/>
      <c r="CF371" s="23"/>
      <c r="CG371" s="23"/>
      <c r="CH371" s="23"/>
      <c r="CI371" s="23"/>
    </row>
    <row r="372" spans="1:87" x14ac:dyDescent="0.3">
      <c r="A372" s="9" t="s">
        <v>3107</v>
      </c>
      <c r="B372" s="10" t="s">
        <v>3108</v>
      </c>
      <c r="C372" s="11">
        <v>46151</v>
      </c>
      <c r="D372" s="12">
        <v>8.3333333333333329E-2</v>
      </c>
      <c r="E372" s="11">
        <v>46151.083333333336</v>
      </c>
      <c r="F372" s="10" t="s">
        <v>262</v>
      </c>
      <c r="G372" s="13" t="b">
        <v>0</v>
      </c>
      <c r="H372" s="10"/>
      <c r="I372" s="10" t="s">
        <v>264</v>
      </c>
      <c r="J372" s="13" t="b">
        <v>0</v>
      </c>
      <c r="K372" s="13" t="b">
        <v>1</v>
      </c>
      <c r="L372" s="10" t="s">
        <v>124</v>
      </c>
      <c r="M372" s="10" t="s">
        <v>91</v>
      </c>
      <c r="N372" s="10" t="s">
        <v>92</v>
      </c>
      <c r="O372" s="10"/>
      <c r="P372" s="10"/>
      <c r="Q372" s="10"/>
      <c r="R372" s="10"/>
      <c r="S372" s="10"/>
      <c r="T372" s="10"/>
      <c r="U372" s="10" t="s">
        <v>334</v>
      </c>
      <c r="V372" s="10" t="s">
        <v>321</v>
      </c>
      <c r="W372" s="10" t="s">
        <v>272</v>
      </c>
      <c r="X372" s="10" t="s">
        <v>130</v>
      </c>
      <c r="Y372" s="10" t="s">
        <v>130</v>
      </c>
      <c r="Z372" s="10" t="s">
        <v>99</v>
      </c>
      <c r="AA372" s="10" t="s">
        <v>131</v>
      </c>
      <c r="AB372" s="10" t="s">
        <v>273</v>
      </c>
      <c r="AC372" s="10" t="s">
        <v>274</v>
      </c>
      <c r="AD372" s="10" t="s">
        <v>3109</v>
      </c>
      <c r="AE372" s="10" t="s">
        <v>3110</v>
      </c>
      <c r="AF372" s="15"/>
      <c r="AG372" s="10"/>
      <c r="AH372" s="10"/>
      <c r="AI372" s="10"/>
      <c r="AJ372" s="10"/>
      <c r="AK372" s="10"/>
      <c r="AL372" s="10" t="s">
        <v>3090</v>
      </c>
      <c r="AM372" s="10"/>
      <c r="AN372" s="10"/>
      <c r="AO372" s="13" t="b">
        <v>1</v>
      </c>
      <c r="AP372" s="10" t="s">
        <v>104</v>
      </c>
      <c r="AQ372" s="10"/>
      <c r="AR372" s="17"/>
      <c r="AS372" s="17"/>
      <c r="AT372" s="17"/>
      <c r="AU372" s="17"/>
      <c r="AV372" s="17"/>
      <c r="AW372" s="10"/>
      <c r="AX372" s="17"/>
      <c r="AY372" s="18" t="s">
        <v>257</v>
      </c>
      <c r="AZ372" s="10"/>
      <c r="BA372" s="20" t="b">
        <v>0</v>
      </c>
      <c r="BB372" s="10"/>
      <c r="BC372" s="17" t="s">
        <v>257</v>
      </c>
      <c r="BD372" s="17" t="s">
        <v>257</v>
      </c>
      <c r="BE372" s="17" t="s">
        <v>257</v>
      </c>
      <c r="BF372" s="17" t="s">
        <v>257</v>
      </c>
      <c r="BG372" s="11">
        <f ca="1">IFERROR(__xludf.DUMMYFUNCTION("""COMPUTED_VALUE"""),46151)</f>
        <v>46151</v>
      </c>
      <c r="BH372" s="17"/>
      <c r="BI372" s="17"/>
      <c r="BJ372" s="15"/>
      <c r="BK372" s="15"/>
      <c r="BL372" s="13" t="b">
        <v>0</v>
      </c>
      <c r="BM372" s="10"/>
      <c r="BN372" s="10" t="s">
        <v>223</v>
      </c>
      <c r="BO372" s="11">
        <v>45827.420949074076</v>
      </c>
      <c r="BP372" s="11">
        <v>45827.420949074076</v>
      </c>
      <c r="BQ372" s="15"/>
      <c r="BR372" s="15"/>
      <c r="BS372" s="10"/>
      <c r="BT372" s="10"/>
      <c r="BU372" s="10"/>
      <c r="BV372" s="10"/>
      <c r="BW372" s="10"/>
      <c r="BX372" s="10"/>
      <c r="BY372" s="23"/>
      <c r="BZ372" s="24" t="s">
        <v>284</v>
      </c>
      <c r="CA372" s="23"/>
      <c r="CB372" s="23"/>
      <c r="CC372" s="23"/>
      <c r="CD372" s="23"/>
      <c r="CE372" s="23"/>
      <c r="CF372" s="23"/>
      <c r="CG372" s="23"/>
      <c r="CH372" s="23"/>
      <c r="CI372" s="23"/>
    </row>
    <row r="373" spans="1:87" x14ac:dyDescent="0.3">
      <c r="A373" s="9" t="s">
        <v>3111</v>
      </c>
      <c r="B373" s="10" t="s">
        <v>3112</v>
      </c>
      <c r="C373" s="11">
        <v>46151</v>
      </c>
      <c r="D373" s="12">
        <v>8.3333333333333329E-2</v>
      </c>
      <c r="E373" s="11">
        <v>46151.083333333336</v>
      </c>
      <c r="F373" s="10" t="s">
        <v>262</v>
      </c>
      <c r="G373" s="13" t="b">
        <v>0</v>
      </c>
      <c r="H373" s="10"/>
      <c r="I373" s="10" t="s">
        <v>264</v>
      </c>
      <c r="J373" s="13" t="b">
        <v>0</v>
      </c>
      <c r="K373" s="13" t="b">
        <v>1</v>
      </c>
      <c r="L373" s="10" t="s">
        <v>124</v>
      </c>
      <c r="M373" s="10" t="s">
        <v>91</v>
      </c>
      <c r="N373" s="10" t="s">
        <v>92</v>
      </c>
      <c r="O373" s="10"/>
      <c r="P373" s="10"/>
      <c r="Q373" s="10"/>
      <c r="R373" s="10"/>
      <c r="S373" s="10"/>
      <c r="T373" s="10"/>
      <c r="U373" s="10" t="s">
        <v>320</v>
      </c>
      <c r="V373" s="10" t="s">
        <v>293</v>
      </c>
      <c r="W373" s="10" t="s">
        <v>272</v>
      </c>
      <c r="X373" s="10" t="s">
        <v>130</v>
      </c>
      <c r="Y373" s="10" t="s">
        <v>130</v>
      </c>
      <c r="Z373" s="10" t="s">
        <v>99</v>
      </c>
      <c r="AA373" s="10" t="s">
        <v>131</v>
      </c>
      <c r="AB373" s="10" t="s">
        <v>273</v>
      </c>
      <c r="AC373" s="10" t="s">
        <v>274</v>
      </c>
      <c r="AD373" s="10" t="s">
        <v>3113</v>
      </c>
      <c r="AE373" s="10" t="s">
        <v>3114</v>
      </c>
      <c r="AF373" s="15"/>
      <c r="AG373" s="10"/>
      <c r="AH373" s="10"/>
      <c r="AI373" s="10"/>
      <c r="AJ373" s="10"/>
      <c r="AK373" s="10"/>
      <c r="AL373" s="10" t="s">
        <v>3090</v>
      </c>
      <c r="AM373" s="10"/>
      <c r="AN373" s="10"/>
      <c r="AO373" s="13" t="b">
        <v>0</v>
      </c>
      <c r="AP373" s="10" t="s">
        <v>104</v>
      </c>
      <c r="AQ373" s="10"/>
      <c r="AR373" s="17"/>
      <c r="AS373" s="17"/>
      <c r="AT373" s="17"/>
      <c r="AU373" s="17"/>
      <c r="AV373" s="17"/>
      <c r="AW373" s="10"/>
      <c r="AX373" s="17"/>
      <c r="AY373" s="18" t="s">
        <v>257</v>
      </c>
      <c r="AZ373" s="10"/>
      <c r="BA373" s="20" t="b">
        <v>0</v>
      </c>
      <c r="BB373" s="10"/>
      <c r="BC373" s="17" t="s">
        <v>257</v>
      </c>
      <c r="BD373" s="17" t="s">
        <v>257</v>
      </c>
      <c r="BE373" s="17" t="s">
        <v>257</v>
      </c>
      <c r="BF373" s="17" t="s">
        <v>257</v>
      </c>
      <c r="BG373" s="11">
        <f ca="1">IFERROR(__xludf.DUMMYFUNCTION("""COMPUTED_VALUE"""),46151)</f>
        <v>46151</v>
      </c>
      <c r="BH373" s="17"/>
      <c r="BI373" s="17"/>
      <c r="BJ373" s="15"/>
      <c r="BK373" s="15"/>
      <c r="BL373" s="13" t="b">
        <v>0</v>
      </c>
      <c r="BM373" s="10"/>
      <c r="BN373" s="10" t="s">
        <v>223</v>
      </c>
      <c r="BO373" s="11">
        <v>45827.420949074076</v>
      </c>
      <c r="BP373" s="11">
        <v>45827.420949074076</v>
      </c>
      <c r="BQ373" s="15"/>
      <c r="BR373" s="15"/>
      <c r="BS373" s="10"/>
      <c r="BT373" s="10"/>
      <c r="BU373" s="10"/>
      <c r="BV373" s="10"/>
      <c r="BW373" s="10"/>
      <c r="BX373" s="10"/>
      <c r="BY373" s="23"/>
      <c r="BZ373" s="24" t="s">
        <v>299</v>
      </c>
      <c r="CA373" s="23"/>
      <c r="CB373" s="23"/>
      <c r="CC373" s="23"/>
      <c r="CD373" s="23"/>
      <c r="CE373" s="23"/>
      <c r="CF373" s="23"/>
      <c r="CG373" s="23"/>
      <c r="CH373" s="23"/>
      <c r="CI373" s="23"/>
    </row>
    <row r="374" spans="1:87" x14ac:dyDescent="0.3">
      <c r="A374" s="9" t="s">
        <v>3115</v>
      </c>
      <c r="B374" s="10" t="s">
        <v>3116</v>
      </c>
      <c r="C374" s="11">
        <v>46151</v>
      </c>
      <c r="D374" s="12">
        <v>8.3333333333333329E-2</v>
      </c>
      <c r="E374" s="11">
        <v>46151.083333333336</v>
      </c>
      <c r="F374" s="10" t="s">
        <v>262</v>
      </c>
      <c r="G374" s="13" t="b">
        <v>0</v>
      </c>
      <c r="H374" s="10"/>
      <c r="I374" s="10" t="s">
        <v>264</v>
      </c>
      <c r="J374" s="13" t="b">
        <v>0</v>
      </c>
      <c r="K374" s="13" t="b">
        <v>1</v>
      </c>
      <c r="L374" s="10" t="s">
        <v>124</v>
      </c>
      <c r="M374" s="10" t="s">
        <v>91</v>
      </c>
      <c r="N374" s="10" t="s">
        <v>92</v>
      </c>
      <c r="O374" s="10"/>
      <c r="P374" s="10"/>
      <c r="Q374" s="10"/>
      <c r="R374" s="10"/>
      <c r="S374" s="10"/>
      <c r="T374" s="10"/>
      <c r="U374" s="10" t="s">
        <v>588</v>
      </c>
      <c r="V374" s="10" t="s">
        <v>361</v>
      </c>
      <c r="W374" s="10" t="s">
        <v>272</v>
      </c>
      <c r="X374" s="10" t="s">
        <v>130</v>
      </c>
      <c r="Y374" s="10" t="s">
        <v>130</v>
      </c>
      <c r="Z374" s="10" t="s">
        <v>99</v>
      </c>
      <c r="AA374" s="10" t="s">
        <v>131</v>
      </c>
      <c r="AB374" s="10" t="s">
        <v>273</v>
      </c>
      <c r="AC374" s="10" t="s">
        <v>274</v>
      </c>
      <c r="AD374" s="10" t="s">
        <v>3117</v>
      </c>
      <c r="AE374" s="10" t="s">
        <v>3118</v>
      </c>
      <c r="AF374" s="15"/>
      <c r="AG374" s="10"/>
      <c r="AH374" s="10"/>
      <c r="AI374" s="10"/>
      <c r="AJ374" s="10"/>
      <c r="AK374" s="10"/>
      <c r="AL374" s="10" t="s">
        <v>3090</v>
      </c>
      <c r="AM374" s="10"/>
      <c r="AN374" s="10"/>
      <c r="AO374" s="13" t="b">
        <v>1</v>
      </c>
      <c r="AP374" s="10" t="s">
        <v>104</v>
      </c>
      <c r="AQ374" s="10"/>
      <c r="AR374" s="17"/>
      <c r="AS374" s="17"/>
      <c r="AT374" s="17"/>
      <c r="AU374" s="17"/>
      <c r="AV374" s="17"/>
      <c r="AW374" s="10"/>
      <c r="AX374" s="17"/>
      <c r="AY374" s="18" t="s">
        <v>257</v>
      </c>
      <c r="AZ374" s="10"/>
      <c r="BA374" s="20" t="b">
        <v>0</v>
      </c>
      <c r="BB374" s="10"/>
      <c r="BC374" s="17" t="s">
        <v>257</v>
      </c>
      <c r="BD374" s="17" t="s">
        <v>257</v>
      </c>
      <c r="BE374" s="17" t="s">
        <v>257</v>
      </c>
      <c r="BF374" s="17" t="s">
        <v>257</v>
      </c>
      <c r="BG374" s="11">
        <f ca="1">IFERROR(__xludf.DUMMYFUNCTION("""COMPUTED_VALUE"""),46151)</f>
        <v>46151</v>
      </c>
      <c r="BH374" s="17"/>
      <c r="BI374" s="17"/>
      <c r="BJ374" s="15"/>
      <c r="BK374" s="15"/>
      <c r="BL374" s="13" t="b">
        <v>0</v>
      </c>
      <c r="BM374" s="10"/>
      <c r="BN374" s="10" t="s">
        <v>223</v>
      </c>
      <c r="BO374" s="11">
        <v>45827.420949074076</v>
      </c>
      <c r="BP374" s="11">
        <v>45827.420949074076</v>
      </c>
      <c r="BQ374" s="15"/>
      <c r="BR374" s="15"/>
      <c r="BS374" s="10"/>
      <c r="BT374" s="10"/>
      <c r="BU374" s="10"/>
      <c r="BV374" s="10"/>
      <c r="BW374" s="10"/>
      <c r="BX374" s="10"/>
      <c r="BY374" s="23"/>
      <c r="BZ374" s="24" t="s">
        <v>284</v>
      </c>
      <c r="CA374" s="23"/>
      <c r="CB374" s="23"/>
      <c r="CC374" s="23"/>
      <c r="CD374" s="23"/>
      <c r="CE374" s="23"/>
      <c r="CF374" s="23"/>
      <c r="CG374" s="23"/>
      <c r="CH374" s="23"/>
      <c r="CI374" s="23"/>
    </row>
    <row r="375" spans="1:87" x14ac:dyDescent="0.3">
      <c r="A375" s="9" t="s">
        <v>3119</v>
      </c>
      <c r="B375" s="10" t="s">
        <v>3120</v>
      </c>
      <c r="C375" s="11">
        <v>46151</v>
      </c>
      <c r="D375" s="12">
        <v>8.3333333333333329E-2</v>
      </c>
      <c r="E375" s="11">
        <v>46151.083333333336</v>
      </c>
      <c r="F375" s="10" t="s">
        <v>262</v>
      </c>
      <c r="G375" s="13" t="b">
        <v>0</v>
      </c>
      <c r="H375" s="10"/>
      <c r="I375" s="10" t="s">
        <v>264</v>
      </c>
      <c r="J375" s="13" t="b">
        <v>0</v>
      </c>
      <c r="K375" s="13" t="b">
        <v>1</v>
      </c>
      <c r="L375" s="10" t="s">
        <v>124</v>
      </c>
      <c r="M375" s="10" t="s">
        <v>91</v>
      </c>
      <c r="N375" s="10" t="s">
        <v>92</v>
      </c>
      <c r="O375" s="10"/>
      <c r="P375" s="10"/>
      <c r="Q375" s="10"/>
      <c r="R375" s="10"/>
      <c r="S375" s="10"/>
      <c r="T375" s="10"/>
      <c r="U375" s="10" t="s">
        <v>429</v>
      </c>
      <c r="V375" s="10" t="s">
        <v>663</v>
      </c>
      <c r="W375" s="10" t="s">
        <v>272</v>
      </c>
      <c r="X375" s="10" t="s">
        <v>130</v>
      </c>
      <c r="Y375" s="10" t="s">
        <v>130</v>
      </c>
      <c r="Z375" s="10" t="s">
        <v>99</v>
      </c>
      <c r="AA375" s="10" t="s">
        <v>131</v>
      </c>
      <c r="AB375" s="10" t="s">
        <v>273</v>
      </c>
      <c r="AC375" s="10" t="s">
        <v>274</v>
      </c>
      <c r="AD375" s="10" t="s">
        <v>3121</v>
      </c>
      <c r="AE375" s="10" t="s">
        <v>3122</v>
      </c>
      <c r="AF375" s="15"/>
      <c r="AG375" s="10"/>
      <c r="AH375" s="10"/>
      <c r="AI375" s="10"/>
      <c r="AJ375" s="10"/>
      <c r="AK375" s="10"/>
      <c r="AL375" s="10" t="s">
        <v>3090</v>
      </c>
      <c r="AM375" s="10"/>
      <c r="AN375" s="10"/>
      <c r="AO375" s="13" t="b">
        <v>1</v>
      </c>
      <c r="AP375" s="10" t="s">
        <v>104</v>
      </c>
      <c r="AQ375" s="10"/>
      <c r="AR375" s="17"/>
      <c r="AS375" s="17"/>
      <c r="AT375" s="17"/>
      <c r="AU375" s="17"/>
      <c r="AV375" s="17"/>
      <c r="AW375" s="10"/>
      <c r="AX375" s="17"/>
      <c r="AY375" s="18" t="s">
        <v>257</v>
      </c>
      <c r="AZ375" s="10"/>
      <c r="BA375" s="20" t="b">
        <v>0</v>
      </c>
      <c r="BB375" s="10"/>
      <c r="BC375" s="17" t="s">
        <v>257</v>
      </c>
      <c r="BD375" s="17" t="s">
        <v>257</v>
      </c>
      <c r="BE375" s="17" t="s">
        <v>257</v>
      </c>
      <c r="BF375" s="17" t="s">
        <v>257</v>
      </c>
      <c r="BG375" s="11">
        <f ca="1">IFERROR(__xludf.DUMMYFUNCTION("""COMPUTED_VALUE"""),46151)</f>
        <v>46151</v>
      </c>
      <c r="BH375" s="17"/>
      <c r="BI375" s="17"/>
      <c r="BJ375" s="15"/>
      <c r="BK375" s="15"/>
      <c r="BL375" s="13" t="b">
        <v>0</v>
      </c>
      <c r="BM375" s="10"/>
      <c r="BN375" s="10" t="s">
        <v>223</v>
      </c>
      <c r="BO375" s="11">
        <v>45827.420949074076</v>
      </c>
      <c r="BP375" s="11">
        <v>45827.420949074076</v>
      </c>
      <c r="BQ375" s="15"/>
      <c r="BR375" s="15"/>
      <c r="BS375" s="10"/>
      <c r="BT375" s="10"/>
      <c r="BU375" s="10"/>
      <c r="BV375" s="10"/>
      <c r="BW375" s="10"/>
      <c r="BX375" s="10"/>
      <c r="BY375" s="23"/>
      <c r="BZ375" s="24" t="s">
        <v>284</v>
      </c>
      <c r="CA375" s="23"/>
      <c r="CB375" s="23"/>
      <c r="CC375" s="23"/>
      <c r="CD375" s="23"/>
      <c r="CE375" s="23"/>
      <c r="CF375" s="23"/>
      <c r="CG375" s="23"/>
      <c r="CH375" s="23"/>
      <c r="CI375" s="23"/>
    </row>
    <row r="376" spans="1:87" x14ac:dyDescent="0.3">
      <c r="A376" s="9" t="s">
        <v>3123</v>
      </c>
      <c r="B376" s="10" t="s">
        <v>3124</v>
      </c>
      <c r="C376" s="11">
        <v>46151</v>
      </c>
      <c r="D376" s="12">
        <v>8.3333333333333329E-2</v>
      </c>
      <c r="E376" s="11">
        <v>46151.083333333336</v>
      </c>
      <c r="F376" s="10" t="s">
        <v>262</v>
      </c>
      <c r="G376" s="13" t="b">
        <v>0</v>
      </c>
      <c r="H376" s="10"/>
      <c r="I376" s="10" t="s">
        <v>264</v>
      </c>
      <c r="J376" s="13" t="b">
        <v>0</v>
      </c>
      <c r="K376" s="13" t="b">
        <v>1</v>
      </c>
      <c r="L376" s="10" t="s">
        <v>124</v>
      </c>
      <c r="M376" s="10" t="s">
        <v>91</v>
      </c>
      <c r="N376" s="10" t="s">
        <v>92</v>
      </c>
      <c r="O376" s="10"/>
      <c r="P376" s="10"/>
      <c r="Q376" s="10"/>
      <c r="R376" s="10"/>
      <c r="S376" s="10"/>
      <c r="T376" s="10"/>
      <c r="U376" s="10" t="s">
        <v>451</v>
      </c>
      <c r="V376" s="10" t="s">
        <v>362</v>
      </c>
      <c r="W376" s="10" t="s">
        <v>272</v>
      </c>
      <c r="X376" s="10" t="s">
        <v>130</v>
      </c>
      <c r="Y376" s="10" t="s">
        <v>130</v>
      </c>
      <c r="Z376" s="10" t="s">
        <v>99</v>
      </c>
      <c r="AA376" s="10" t="s">
        <v>131</v>
      </c>
      <c r="AB376" s="10" t="s">
        <v>273</v>
      </c>
      <c r="AC376" s="10" t="s">
        <v>274</v>
      </c>
      <c r="AD376" s="10" t="s">
        <v>3125</v>
      </c>
      <c r="AE376" s="10" t="s">
        <v>3126</v>
      </c>
      <c r="AF376" s="15"/>
      <c r="AG376" s="10"/>
      <c r="AH376" s="10"/>
      <c r="AI376" s="10"/>
      <c r="AJ376" s="10"/>
      <c r="AK376" s="10"/>
      <c r="AL376" s="10" t="s">
        <v>3090</v>
      </c>
      <c r="AM376" s="10"/>
      <c r="AN376" s="10"/>
      <c r="AO376" s="13" t="b">
        <v>1</v>
      </c>
      <c r="AP376" s="10" t="s">
        <v>104</v>
      </c>
      <c r="AQ376" s="10"/>
      <c r="AR376" s="17"/>
      <c r="AS376" s="17"/>
      <c r="AT376" s="17"/>
      <c r="AU376" s="17"/>
      <c r="AV376" s="17"/>
      <c r="AW376" s="10"/>
      <c r="AX376" s="17"/>
      <c r="AY376" s="18" t="s">
        <v>257</v>
      </c>
      <c r="AZ376" s="10"/>
      <c r="BA376" s="20" t="b">
        <v>0</v>
      </c>
      <c r="BB376" s="10"/>
      <c r="BC376" s="17" t="s">
        <v>257</v>
      </c>
      <c r="BD376" s="17" t="s">
        <v>257</v>
      </c>
      <c r="BE376" s="17" t="s">
        <v>257</v>
      </c>
      <c r="BF376" s="17" t="s">
        <v>257</v>
      </c>
      <c r="BG376" s="11">
        <f ca="1">IFERROR(__xludf.DUMMYFUNCTION("""COMPUTED_VALUE"""),46151)</f>
        <v>46151</v>
      </c>
      <c r="BH376" s="17"/>
      <c r="BI376" s="17"/>
      <c r="BJ376" s="15"/>
      <c r="BK376" s="15"/>
      <c r="BL376" s="13" t="b">
        <v>0</v>
      </c>
      <c r="BM376" s="10"/>
      <c r="BN376" s="10" t="s">
        <v>223</v>
      </c>
      <c r="BO376" s="11">
        <v>45827.420949074076</v>
      </c>
      <c r="BP376" s="11">
        <v>45827.420949074076</v>
      </c>
      <c r="BQ376" s="15"/>
      <c r="BR376" s="15"/>
      <c r="BS376" s="10"/>
      <c r="BT376" s="10"/>
      <c r="BU376" s="10"/>
      <c r="BV376" s="10"/>
      <c r="BW376" s="10"/>
      <c r="BX376" s="10"/>
      <c r="BY376" s="23"/>
      <c r="BZ376" s="24" t="s">
        <v>284</v>
      </c>
      <c r="CA376" s="23"/>
      <c r="CB376" s="23"/>
      <c r="CC376" s="23"/>
      <c r="CD376" s="23"/>
      <c r="CE376" s="23"/>
      <c r="CF376" s="23"/>
      <c r="CG376" s="23"/>
      <c r="CH376" s="23"/>
      <c r="CI376" s="23"/>
    </row>
    <row r="377" spans="1:87" x14ac:dyDescent="0.3">
      <c r="A377" s="9" t="s">
        <v>3127</v>
      </c>
      <c r="B377" s="10" t="s">
        <v>3128</v>
      </c>
      <c r="C377" s="11">
        <v>46159</v>
      </c>
      <c r="D377" s="12">
        <v>8.3333333333333329E-2</v>
      </c>
      <c r="E377" s="11">
        <v>46159.083333333336</v>
      </c>
      <c r="F377" s="10" t="s">
        <v>262</v>
      </c>
      <c r="G377" s="13" t="b">
        <v>0</v>
      </c>
      <c r="H377" s="10"/>
      <c r="I377" s="10" t="s">
        <v>264</v>
      </c>
      <c r="J377" s="13" t="b">
        <v>0</v>
      </c>
      <c r="K377" s="13" t="b">
        <v>1</v>
      </c>
      <c r="L377" s="10" t="s">
        <v>124</v>
      </c>
      <c r="M377" s="10" t="s">
        <v>91</v>
      </c>
      <c r="N377" s="10" t="s">
        <v>92</v>
      </c>
      <c r="O377" s="10"/>
      <c r="P377" s="10"/>
      <c r="Q377" s="10"/>
      <c r="R377" s="10"/>
      <c r="S377" s="10"/>
      <c r="T377" s="10"/>
      <c r="U377" s="10" t="s">
        <v>271</v>
      </c>
      <c r="V377" s="10" t="s">
        <v>334</v>
      </c>
      <c r="W377" s="10" t="s">
        <v>272</v>
      </c>
      <c r="X377" s="10" t="s">
        <v>130</v>
      </c>
      <c r="Y377" s="10" t="s">
        <v>130</v>
      </c>
      <c r="Z377" s="10" t="s">
        <v>99</v>
      </c>
      <c r="AA377" s="10" t="s">
        <v>131</v>
      </c>
      <c r="AB377" s="10" t="s">
        <v>273</v>
      </c>
      <c r="AC377" s="10" t="s">
        <v>274</v>
      </c>
      <c r="AD377" s="10" t="s">
        <v>3129</v>
      </c>
      <c r="AE377" s="10" t="s">
        <v>3130</v>
      </c>
      <c r="AF377" s="15"/>
      <c r="AG377" s="10"/>
      <c r="AH377" s="10"/>
      <c r="AI377" s="10"/>
      <c r="AJ377" s="10"/>
      <c r="AK377" s="10"/>
      <c r="AL377" s="10" t="s">
        <v>3131</v>
      </c>
      <c r="AM377" s="10"/>
      <c r="AN377" s="10"/>
      <c r="AO377" s="13" t="b">
        <v>1</v>
      </c>
      <c r="AP377" s="10" t="s">
        <v>104</v>
      </c>
      <c r="AQ377" s="10"/>
      <c r="AR377" s="17"/>
      <c r="AS377" s="17"/>
      <c r="AT377" s="17"/>
      <c r="AU377" s="17"/>
      <c r="AV377" s="17"/>
      <c r="AW377" s="10"/>
      <c r="AX377" s="17"/>
      <c r="AY377" s="18" t="s">
        <v>257</v>
      </c>
      <c r="AZ377" s="10"/>
      <c r="BA377" s="20" t="b">
        <v>0</v>
      </c>
      <c r="BB377" s="10"/>
      <c r="BC377" s="17" t="s">
        <v>257</v>
      </c>
      <c r="BD377" s="17" t="s">
        <v>257</v>
      </c>
      <c r="BE377" s="17" t="s">
        <v>257</v>
      </c>
      <c r="BF377" s="17" t="s">
        <v>257</v>
      </c>
      <c r="BG377" s="11">
        <f ca="1">IFERROR(__xludf.DUMMYFUNCTION("""COMPUTED_VALUE"""),46159)</f>
        <v>46159</v>
      </c>
      <c r="BH377" s="17"/>
      <c r="BI377" s="17"/>
      <c r="BJ377" s="15"/>
      <c r="BK377" s="15"/>
      <c r="BL377" s="13" t="b">
        <v>0</v>
      </c>
      <c r="BM377" s="10"/>
      <c r="BN377" s="10" t="s">
        <v>223</v>
      </c>
      <c r="BO377" s="11">
        <v>45827.420949074076</v>
      </c>
      <c r="BP377" s="11">
        <v>45827.420949074076</v>
      </c>
      <c r="BQ377" s="15"/>
      <c r="BR377" s="15"/>
      <c r="BS377" s="10"/>
      <c r="BT377" s="10"/>
      <c r="BU377" s="10"/>
      <c r="BV377" s="10"/>
      <c r="BW377" s="10"/>
      <c r="BX377" s="10"/>
      <c r="BY377" s="23"/>
      <c r="BZ377" s="24" t="s">
        <v>284</v>
      </c>
      <c r="CA377" s="23"/>
      <c r="CB377" s="23"/>
      <c r="CC377" s="23"/>
      <c r="CD377" s="23"/>
      <c r="CE377" s="23"/>
      <c r="CF377" s="23"/>
      <c r="CG377" s="23"/>
      <c r="CH377" s="23"/>
      <c r="CI377" s="23"/>
    </row>
    <row r="378" spans="1:87" x14ac:dyDescent="0.3">
      <c r="A378" s="9" t="s">
        <v>3132</v>
      </c>
      <c r="B378" s="10" t="s">
        <v>3133</v>
      </c>
      <c r="C378" s="11">
        <v>46159</v>
      </c>
      <c r="D378" s="12">
        <v>8.3333333333333329E-2</v>
      </c>
      <c r="E378" s="11">
        <v>46159.083333333336</v>
      </c>
      <c r="F378" s="10" t="s">
        <v>262</v>
      </c>
      <c r="G378" s="13" t="b">
        <v>0</v>
      </c>
      <c r="H378" s="10"/>
      <c r="I378" s="10" t="s">
        <v>264</v>
      </c>
      <c r="J378" s="13" t="b">
        <v>0</v>
      </c>
      <c r="K378" s="13" t="b">
        <v>1</v>
      </c>
      <c r="L378" s="10" t="s">
        <v>124</v>
      </c>
      <c r="M378" s="10" t="s">
        <v>91</v>
      </c>
      <c r="N378" s="10" t="s">
        <v>92</v>
      </c>
      <c r="O378" s="10"/>
      <c r="P378" s="10"/>
      <c r="Q378" s="10"/>
      <c r="R378" s="10"/>
      <c r="S378" s="10"/>
      <c r="T378" s="10"/>
      <c r="U378" s="10" t="s">
        <v>362</v>
      </c>
      <c r="V378" s="10" t="s">
        <v>609</v>
      </c>
      <c r="W378" s="10" t="s">
        <v>272</v>
      </c>
      <c r="X378" s="10" t="s">
        <v>130</v>
      </c>
      <c r="Y378" s="10" t="s">
        <v>130</v>
      </c>
      <c r="Z378" s="10" t="s">
        <v>99</v>
      </c>
      <c r="AA378" s="10" t="s">
        <v>131</v>
      </c>
      <c r="AB378" s="10" t="s">
        <v>273</v>
      </c>
      <c r="AC378" s="10" t="s">
        <v>274</v>
      </c>
      <c r="AD378" s="10" t="s">
        <v>3134</v>
      </c>
      <c r="AE378" s="10" t="s">
        <v>3135</v>
      </c>
      <c r="AF378" s="15"/>
      <c r="AG378" s="10"/>
      <c r="AH378" s="10"/>
      <c r="AI378" s="10"/>
      <c r="AJ378" s="10"/>
      <c r="AK378" s="10"/>
      <c r="AL378" s="10" t="s">
        <v>3131</v>
      </c>
      <c r="AM378" s="10"/>
      <c r="AN378" s="10"/>
      <c r="AO378" s="13" t="b">
        <v>1</v>
      </c>
      <c r="AP378" s="10" t="s">
        <v>104</v>
      </c>
      <c r="AQ378" s="10"/>
      <c r="AR378" s="17"/>
      <c r="AS378" s="17"/>
      <c r="AT378" s="17"/>
      <c r="AU378" s="17"/>
      <c r="AV378" s="17"/>
      <c r="AW378" s="10"/>
      <c r="AX378" s="17"/>
      <c r="AY378" s="18" t="s">
        <v>257</v>
      </c>
      <c r="AZ378" s="10"/>
      <c r="BA378" s="20" t="b">
        <v>0</v>
      </c>
      <c r="BB378" s="10"/>
      <c r="BC378" s="17" t="s">
        <v>257</v>
      </c>
      <c r="BD378" s="17" t="s">
        <v>257</v>
      </c>
      <c r="BE378" s="17" t="s">
        <v>257</v>
      </c>
      <c r="BF378" s="17" t="s">
        <v>257</v>
      </c>
      <c r="BG378" s="11">
        <f ca="1">IFERROR(__xludf.DUMMYFUNCTION("""COMPUTED_VALUE"""),46159)</f>
        <v>46159</v>
      </c>
      <c r="BH378" s="17"/>
      <c r="BI378" s="17"/>
      <c r="BJ378" s="15"/>
      <c r="BK378" s="15"/>
      <c r="BL378" s="13" t="b">
        <v>0</v>
      </c>
      <c r="BM378" s="10"/>
      <c r="BN378" s="10" t="s">
        <v>223</v>
      </c>
      <c r="BO378" s="11">
        <v>45827.420949074076</v>
      </c>
      <c r="BP378" s="11">
        <v>45827.420949074076</v>
      </c>
      <c r="BQ378" s="15"/>
      <c r="BR378" s="15"/>
      <c r="BS378" s="10"/>
      <c r="BT378" s="10"/>
      <c r="BU378" s="10"/>
      <c r="BV378" s="10"/>
      <c r="BW378" s="10"/>
      <c r="BX378" s="10"/>
      <c r="BY378" s="23"/>
      <c r="BZ378" s="24" t="s">
        <v>284</v>
      </c>
      <c r="CA378" s="23"/>
      <c r="CB378" s="23"/>
      <c r="CC378" s="23"/>
      <c r="CD378" s="23"/>
      <c r="CE378" s="23"/>
      <c r="CF378" s="23"/>
      <c r="CG378" s="23"/>
      <c r="CH378" s="23"/>
      <c r="CI378" s="23"/>
    </row>
    <row r="379" spans="1:87" x14ac:dyDescent="0.3">
      <c r="A379" s="9" t="s">
        <v>3136</v>
      </c>
      <c r="B379" s="10" t="s">
        <v>3137</v>
      </c>
      <c r="C379" s="11">
        <v>46159</v>
      </c>
      <c r="D379" s="12">
        <v>8.3333333333333329E-2</v>
      </c>
      <c r="E379" s="11">
        <v>46159.083333333336</v>
      </c>
      <c r="F379" s="10" t="s">
        <v>262</v>
      </c>
      <c r="G379" s="13" t="b">
        <v>0</v>
      </c>
      <c r="H379" s="10"/>
      <c r="I379" s="10" t="s">
        <v>264</v>
      </c>
      <c r="J379" s="13" t="b">
        <v>0</v>
      </c>
      <c r="K379" s="13" t="b">
        <v>1</v>
      </c>
      <c r="L379" s="10" t="s">
        <v>124</v>
      </c>
      <c r="M379" s="10" t="s">
        <v>91</v>
      </c>
      <c r="N379" s="10" t="s">
        <v>92</v>
      </c>
      <c r="O379" s="10"/>
      <c r="P379" s="10"/>
      <c r="Q379" s="10"/>
      <c r="R379" s="10"/>
      <c r="S379" s="10"/>
      <c r="T379" s="10"/>
      <c r="U379" s="10" t="s">
        <v>292</v>
      </c>
      <c r="V379" s="10" t="s">
        <v>270</v>
      </c>
      <c r="W379" s="10" t="s">
        <v>272</v>
      </c>
      <c r="X379" s="10" t="s">
        <v>130</v>
      </c>
      <c r="Y379" s="10" t="s">
        <v>130</v>
      </c>
      <c r="Z379" s="10" t="s">
        <v>99</v>
      </c>
      <c r="AA379" s="10" t="s">
        <v>131</v>
      </c>
      <c r="AB379" s="10" t="s">
        <v>273</v>
      </c>
      <c r="AC379" s="10" t="s">
        <v>274</v>
      </c>
      <c r="AD379" s="10" t="s">
        <v>3138</v>
      </c>
      <c r="AE379" s="10" t="s">
        <v>3139</v>
      </c>
      <c r="AF379" s="15"/>
      <c r="AG379" s="10"/>
      <c r="AH379" s="10"/>
      <c r="AI379" s="10"/>
      <c r="AJ379" s="10"/>
      <c r="AK379" s="10"/>
      <c r="AL379" s="10" t="s">
        <v>3131</v>
      </c>
      <c r="AM379" s="10"/>
      <c r="AN379" s="10"/>
      <c r="AO379" s="13" t="b">
        <v>1</v>
      </c>
      <c r="AP379" s="10" t="s">
        <v>104</v>
      </c>
      <c r="AQ379" s="10"/>
      <c r="AR379" s="17"/>
      <c r="AS379" s="17"/>
      <c r="AT379" s="17"/>
      <c r="AU379" s="17"/>
      <c r="AV379" s="17"/>
      <c r="AW379" s="10"/>
      <c r="AX379" s="17"/>
      <c r="AY379" s="18" t="s">
        <v>257</v>
      </c>
      <c r="AZ379" s="10"/>
      <c r="BA379" s="20" t="b">
        <v>0</v>
      </c>
      <c r="BB379" s="10"/>
      <c r="BC379" s="17" t="s">
        <v>257</v>
      </c>
      <c r="BD379" s="17" t="s">
        <v>257</v>
      </c>
      <c r="BE379" s="17" t="s">
        <v>257</v>
      </c>
      <c r="BF379" s="17" t="s">
        <v>257</v>
      </c>
      <c r="BG379" s="11">
        <f ca="1">IFERROR(__xludf.DUMMYFUNCTION("""COMPUTED_VALUE"""),46159)</f>
        <v>46159</v>
      </c>
      <c r="BH379" s="17"/>
      <c r="BI379" s="17"/>
      <c r="BJ379" s="15"/>
      <c r="BK379" s="15"/>
      <c r="BL379" s="13" t="b">
        <v>0</v>
      </c>
      <c r="BM379" s="10"/>
      <c r="BN379" s="10" t="s">
        <v>223</v>
      </c>
      <c r="BO379" s="11">
        <v>45827.420949074076</v>
      </c>
      <c r="BP379" s="11">
        <v>45827.420949074076</v>
      </c>
      <c r="BQ379" s="15"/>
      <c r="BR379" s="15"/>
      <c r="BS379" s="10"/>
      <c r="BT379" s="10"/>
      <c r="BU379" s="10"/>
      <c r="BV379" s="10"/>
      <c r="BW379" s="10"/>
      <c r="BX379" s="10"/>
      <c r="BY379" s="23"/>
      <c r="BZ379" s="24" t="s">
        <v>2844</v>
      </c>
      <c r="CA379" s="23"/>
      <c r="CB379" s="23"/>
      <c r="CC379" s="23"/>
      <c r="CD379" s="23"/>
      <c r="CE379" s="23"/>
      <c r="CF379" s="23"/>
      <c r="CG379" s="23"/>
      <c r="CH379" s="23"/>
      <c r="CI379" s="23"/>
    </row>
    <row r="380" spans="1:87" x14ac:dyDescent="0.3">
      <c r="A380" s="9" t="s">
        <v>3140</v>
      </c>
      <c r="B380" s="10" t="s">
        <v>3141</v>
      </c>
      <c r="C380" s="11">
        <v>46159</v>
      </c>
      <c r="D380" s="12">
        <v>8.3333333333333329E-2</v>
      </c>
      <c r="E380" s="11">
        <v>46159.083333333336</v>
      </c>
      <c r="F380" s="10" t="s">
        <v>262</v>
      </c>
      <c r="G380" s="13" t="b">
        <v>0</v>
      </c>
      <c r="H380" s="10"/>
      <c r="I380" s="10" t="s">
        <v>264</v>
      </c>
      <c r="J380" s="13" t="b">
        <v>0</v>
      </c>
      <c r="K380" s="13" t="b">
        <v>1</v>
      </c>
      <c r="L380" s="10" t="s">
        <v>124</v>
      </c>
      <c r="M380" s="10" t="s">
        <v>91</v>
      </c>
      <c r="N380" s="10" t="s">
        <v>92</v>
      </c>
      <c r="O380" s="10"/>
      <c r="P380" s="10"/>
      <c r="Q380" s="10"/>
      <c r="R380" s="10"/>
      <c r="S380" s="10"/>
      <c r="T380" s="10"/>
      <c r="U380" s="10" t="s">
        <v>321</v>
      </c>
      <c r="V380" s="10" t="s">
        <v>347</v>
      </c>
      <c r="W380" s="10" t="s">
        <v>272</v>
      </c>
      <c r="X380" s="10" t="s">
        <v>130</v>
      </c>
      <c r="Y380" s="10" t="s">
        <v>130</v>
      </c>
      <c r="Z380" s="10" t="s">
        <v>99</v>
      </c>
      <c r="AA380" s="10" t="s">
        <v>131</v>
      </c>
      <c r="AB380" s="10" t="s">
        <v>273</v>
      </c>
      <c r="AC380" s="10" t="s">
        <v>274</v>
      </c>
      <c r="AD380" s="10" t="s">
        <v>3142</v>
      </c>
      <c r="AE380" s="10" t="s">
        <v>3143</v>
      </c>
      <c r="AF380" s="15"/>
      <c r="AG380" s="10"/>
      <c r="AH380" s="10"/>
      <c r="AI380" s="10"/>
      <c r="AJ380" s="10"/>
      <c r="AK380" s="10"/>
      <c r="AL380" s="10" t="s">
        <v>3131</v>
      </c>
      <c r="AM380" s="10"/>
      <c r="AN380" s="10"/>
      <c r="AO380" s="13" t="b">
        <v>0</v>
      </c>
      <c r="AP380" s="10" t="s">
        <v>104</v>
      </c>
      <c r="AQ380" s="10"/>
      <c r="AR380" s="17"/>
      <c r="AS380" s="17"/>
      <c r="AT380" s="17"/>
      <c r="AU380" s="17"/>
      <c r="AV380" s="17"/>
      <c r="AW380" s="10"/>
      <c r="AX380" s="17"/>
      <c r="AY380" s="18" t="s">
        <v>257</v>
      </c>
      <c r="AZ380" s="10"/>
      <c r="BA380" s="20" t="b">
        <v>0</v>
      </c>
      <c r="BB380" s="10"/>
      <c r="BC380" s="17" t="s">
        <v>257</v>
      </c>
      <c r="BD380" s="17" t="s">
        <v>257</v>
      </c>
      <c r="BE380" s="17" t="s">
        <v>257</v>
      </c>
      <c r="BF380" s="17" t="s">
        <v>257</v>
      </c>
      <c r="BG380" s="11">
        <f ca="1">IFERROR(__xludf.DUMMYFUNCTION("""COMPUTED_VALUE"""),46159)</f>
        <v>46159</v>
      </c>
      <c r="BH380" s="17"/>
      <c r="BI380" s="17"/>
      <c r="BJ380" s="15"/>
      <c r="BK380" s="15"/>
      <c r="BL380" s="13" t="b">
        <v>0</v>
      </c>
      <c r="BM380" s="10"/>
      <c r="BN380" s="10" t="s">
        <v>223</v>
      </c>
      <c r="BO380" s="11">
        <v>45827.420949074076</v>
      </c>
      <c r="BP380" s="11">
        <v>45827.420949074076</v>
      </c>
      <c r="BQ380" s="15"/>
      <c r="BR380" s="15"/>
      <c r="BS380" s="10"/>
      <c r="BT380" s="10"/>
      <c r="BU380" s="10"/>
      <c r="BV380" s="10"/>
      <c r="BW380" s="10"/>
      <c r="BX380" s="10"/>
      <c r="BY380" s="23"/>
      <c r="BZ380" s="24" t="s">
        <v>299</v>
      </c>
      <c r="CA380" s="23"/>
      <c r="CB380" s="23"/>
      <c r="CC380" s="23"/>
      <c r="CD380" s="23"/>
      <c r="CE380" s="23"/>
      <c r="CF380" s="23"/>
      <c r="CG380" s="23"/>
      <c r="CH380" s="23"/>
      <c r="CI380" s="23"/>
    </row>
    <row r="381" spans="1:87" x14ac:dyDescent="0.3">
      <c r="A381" s="9" t="s">
        <v>3144</v>
      </c>
      <c r="B381" s="10" t="s">
        <v>3145</v>
      </c>
      <c r="C381" s="11">
        <v>46159</v>
      </c>
      <c r="D381" s="12">
        <v>8.3333333333333329E-2</v>
      </c>
      <c r="E381" s="11">
        <v>46159.083333333336</v>
      </c>
      <c r="F381" s="10" t="s">
        <v>262</v>
      </c>
      <c r="G381" s="13" t="b">
        <v>0</v>
      </c>
      <c r="H381" s="10"/>
      <c r="I381" s="10" t="s">
        <v>264</v>
      </c>
      <c r="J381" s="13" t="b">
        <v>0</v>
      </c>
      <c r="K381" s="13" t="b">
        <v>1</v>
      </c>
      <c r="L381" s="10" t="s">
        <v>124</v>
      </c>
      <c r="M381" s="10" t="s">
        <v>91</v>
      </c>
      <c r="N381" s="10" t="s">
        <v>92</v>
      </c>
      <c r="O381" s="10"/>
      <c r="P381" s="10"/>
      <c r="Q381" s="10"/>
      <c r="R381" s="10"/>
      <c r="S381" s="10"/>
      <c r="T381" s="10"/>
      <c r="U381" s="10" t="s">
        <v>346</v>
      </c>
      <c r="V381" s="10" t="s">
        <v>429</v>
      </c>
      <c r="W381" s="10" t="s">
        <v>272</v>
      </c>
      <c r="X381" s="10" t="s">
        <v>130</v>
      </c>
      <c r="Y381" s="10" t="s">
        <v>130</v>
      </c>
      <c r="Z381" s="10" t="s">
        <v>99</v>
      </c>
      <c r="AA381" s="10" t="s">
        <v>131</v>
      </c>
      <c r="AB381" s="10" t="s">
        <v>273</v>
      </c>
      <c r="AC381" s="10" t="s">
        <v>274</v>
      </c>
      <c r="AD381" s="10" t="s">
        <v>3146</v>
      </c>
      <c r="AE381" s="10" t="s">
        <v>3147</v>
      </c>
      <c r="AF381" s="15"/>
      <c r="AG381" s="10"/>
      <c r="AH381" s="10"/>
      <c r="AI381" s="10"/>
      <c r="AJ381" s="10"/>
      <c r="AK381" s="10"/>
      <c r="AL381" s="10" t="s">
        <v>3131</v>
      </c>
      <c r="AM381" s="10"/>
      <c r="AN381" s="10"/>
      <c r="AO381" s="13" t="b">
        <v>1</v>
      </c>
      <c r="AP381" s="10" t="s">
        <v>104</v>
      </c>
      <c r="AQ381" s="10"/>
      <c r="AR381" s="17"/>
      <c r="AS381" s="17"/>
      <c r="AT381" s="17"/>
      <c r="AU381" s="17"/>
      <c r="AV381" s="17"/>
      <c r="AW381" s="10"/>
      <c r="AX381" s="17"/>
      <c r="AY381" s="18" t="s">
        <v>257</v>
      </c>
      <c r="AZ381" s="10"/>
      <c r="BA381" s="20" t="b">
        <v>0</v>
      </c>
      <c r="BB381" s="10"/>
      <c r="BC381" s="17" t="s">
        <v>257</v>
      </c>
      <c r="BD381" s="17" t="s">
        <v>257</v>
      </c>
      <c r="BE381" s="17" t="s">
        <v>257</v>
      </c>
      <c r="BF381" s="17" t="s">
        <v>257</v>
      </c>
      <c r="BG381" s="11">
        <f ca="1">IFERROR(__xludf.DUMMYFUNCTION("""COMPUTED_VALUE"""),46159)</f>
        <v>46159</v>
      </c>
      <c r="BH381" s="17"/>
      <c r="BI381" s="17"/>
      <c r="BJ381" s="15"/>
      <c r="BK381" s="15"/>
      <c r="BL381" s="13" t="b">
        <v>0</v>
      </c>
      <c r="BM381" s="10"/>
      <c r="BN381" s="10" t="s">
        <v>223</v>
      </c>
      <c r="BO381" s="11">
        <v>45827.420949074076</v>
      </c>
      <c r="BP381" s="11">
        <v>45827.420949074076</v>
      </c>
      <c r="BQ381" s="15"/>
      <c r="BR381" s="15"/>
      <c r="BS381" s="10"/>
      <c r="BT381" s="10"/>
      <c r="BU381" s="10"/>
      <c r="BV381" s="10"/>
      <c r="BW381" s="10"/>
      <c r="BX381" s="10"/>
      <c r="BY381" s="23"/>
      <c r="BZ381" s="24" t="s">
        <v>368</v>
      </c>
      <c r="CA381" s="23"/>
      <c r="CB381" s="23"/>
      <c r="CC381" s="23"/>
      <c r="CD381" s="23"/>
      <c r="CE381" s="23"/>
      <c r="CF381" s="23"/>
      <c r="CG381" s="23"/>
      <c r="CH381" s="23"/>
      <c r="CI381" s="23"/>
    </row>
    <row r="382" spans="1:87" x14ac:dyDescent="0.3">
      <c r="A382" s="9" t="s">
        <v>3148</v>
      </c>
      <c r="B382" s="10" t="s">
        <v>3149</v>
      </c>
      <c r="C382" s="11">
        <v>46159</v>
      </c>
      <c r="D382" s="12">
        <v>8.3333333333333329E-2</v>
      </c>
      <c r="E382" s="11">
        <v>46159.083333333336</v>
      </c>
      <c r="F382" s="10" t="s">
        <v>262</v>
      </c>
      <c r="G382" s="13" t="b">
        <v>0</v>
      </c>
      <c r="H382" s="10"/>
      <c r="I382" s="10" t="s">
        <v>264</v>
      </c>
      <c r="J382" s="13" t="b">
        <v>0</v>
      </c>
      <c r="K382" s="13" t="b">
        <v>1</v>
      </c>
      <c r="L382" s="10" t="s">
        <v>124</v>
      </c>
      <c r="M382" s="10" t="s">
        <v>91</v>
      </c>
      <c r="N382" s="10" t="s">
        <v>92</v>
      </c>
      <c r="O382" s="10"/>
      <c r="P382" s="10"/>
      <c r="Q382" s="10"/>
      <c r="R382" s="10"/>
      <c r="S382" s="10"/>
      <c r="T382" s="10"/>
      <c r="U382" s="10" t="s">
        <v>407</v>
      </c>
      <c r="V382" s="10" t="s">
        <v>588</v>
      </c>
      <c r="W382" s="10" t="s">
        <v>272</v>
      </c>
      <c r="X382" s="10" t="s">
        <v>130</v>
      </c>
      <c r="Y382" s="10" t="s">
        <v>130</v>
      </c>
      <c r="Z382" s="10" t="s">
        <v>99</v>
      </c>
      <c r="AA382" s="10" t="s">
        <v>131</v>
      </c>
      <c r="AB382" s="10" t="s">
        <v>273</v>
      </c>
      <c r="AC382" s="10" t="s">
        <v>274</v>
      </c>
      <c r="AD382" s="10" t="s">
        <v>3150</v>
      </c>
      <c r="AE382" s="10" t="s">
        <v>3151</v>
      </c>
      <c r="AF382" s="15"/>
      <c r="AG382" s="10"/>
      <c r="AH382" s="10"/>
      <c r="AI382" s="10"/>
      <c r="AJ382" s="10"/>
      <c r="AK382" s="10"/>
      <c r="AL382" s="10" t="s">
        <v>3131</v>
      </c>
      <c r="AM382" s="10"/>
      <c r="AN382" s="10"/>
      <c r="AO382" s="13" t="b">
        <v>0</v>
      </c>
      <c r="AP382" s="10" t="s">
        <v>104</v>
      </c>
      <c r="AQ382" s="10"/>
      <c r="AR382" s="17"/>
      <c r="AS382" s="17"/>
      <c r="AT382" s="17"/>
      <c r="AU382" s="17"/>
      <c r="AV382" s="17"/>
      <c r="AW382" s="10"/>
      <c r="AX382" s="17"/>
      <c r="AY382" s="18" t="s">
        <v>257</v>
      </c>
      <c r="AZ382" s="10"/>
      <c r="BA382" s="20" t="b">
        <v>0</v>
      </c>
      <c r="BB382" s="10"/>
      <c r="BC382" s="17" t="s">
        <v>257</v>
      </c>
      <c r="BD382" s="17" t="s">
        <v>257</v>
      </c>
      <c r="BE382" s="17" t="s">
        <v>257</v>
      </c>
      <c r="BF382" s="17" t="s">
        <v>257</v>
      </c>
      <c r="BG382" s="11">
        <f ca="1">IFERROR(__xludf.DUMMYFUNCTION("""COMPUTED_VALUE"""),46159)</f>
        <v>46159</v>
      </c>
      <c r="BH382" s="17"/>
      <c r="BI382" s="17"/>
      <c r="BJ382" s="15"/>
      <c r="BK382" s="15"/>
      <c r="BL382" s="13" t="b">
        <v>0</v>
      </c>
      <c r="BM382" s="10"/>
      <c r="BN382" s="10" t="s">
        <v>223</v>
      </c>
      <c r="BO382" s="11">
        <v>45827.420949074076</v>
      </c>
      <c r="BP382" s="11">
        <v>45827.420949074076</v>
      </c>
      <c r="BQ382" s="15"/>
      <c r="BR382" s="15"/>
      <c r="BS382" s="10"/>
      <c r="BT382" s="10"/>
      <c r="BU382" s="10"/>
      <c r="BV382" s="10"/>
      <c r="BW382" s="10"/>
      <c r="BX382" s="10"/>
      <c r="BY382" s="23"/>
      <c r="BZ382" s="24" t="s">
        <v>299</v>
      </c>
      <c r="CA382" s="23"/>
      <c r="CB382" s="23"/>
      <c r="CC382" s="23"/>
      <c r="CD382" s="23"/>
      <c r="CE382" s="23"/>
      <c r="CF382" s="23"/>
      <c r="CG382" s="23"/>
      <c r="CH382" s="23"/>
      <c r="CI382" s="23"/>
    </row>
    <row r="383" spans="1:87" x14ac:dyDescent="0.3">
      <c r="A383" s="9" t="s">
        <v>3152</v>
      </c>
      <c r="B383" s="10" t="s">
        <v>3153</v>
      </c>
      <c r="C383" s="11">
        <v>46159</v>
      </c>
      <c r="D383" s="12">
        <v>8.3333333333333329E-2</v>
      </c>
      <c r="E383" s="11">
        <v>46159.083333333336</v>
      </c>
      <c r="F383" s="10" t="s">
        <v>262</v>
      </c>
      <c r="G383" s="13" t="b">
        <v>0</v>
      </c>
      <c r="H383" s="10"/>
      <c r="I383" s="10" t="s">
        <v>264</v>
      </c>
      <c r="J383" s="13" t="b">
        <v>0</v>
      </c>
      <c r="K383" s="13" t="b">
        <v>1</v>
      </c>
      <c r="L383" s="10" t="s">
        <v>124</v>
      </c>
      <c r="M383" s="10" t="s">
        <v>91</v>
      </c>
      <c r="N383" s="10" t="s">
        <v>92</v>
      </c>
      <c r="O383" s="10"/>
      <c r="P383" s="10"/>
      <c r="Q383" s="10"/>
      <c r="R383" s="10"/>
      <c r="S383" s="10"/>
      <c r="T383" s="10"/>
      <c r="U383" s="10" t="s">
        <v>663</v>
      </c>
      <c r="V383" s="10" t="s">
        <v>308</v>
      </c>
      <c r="W383" s="10" t="s">
        <v>272</v>
      </c>
      <c r="X383" s="10" t="s">
        <v>130</v>
      </c>
      <c r="Y383" s="10" t="s">
        <v>130</v>
      </c>
      <c r="Z383" s="10" t="s">
        <v>99</v>
      </c>
      <c r="AA383" s="10" t="s">
        <v>131</v>
      </c>
      <c r="AB383" s="10" t="s">
        <v>273</v>
      </c>
      <c r="AC383" s="10" t="s">
        <v>274</v>
      </c>
      <c r="AD383" s="10" t="s">
        <v>3154</v>
      </c>
      <c r="AE383" s="10" t="s">
        <v>3155</v>
      </c>
      <c r="AF383" s="15"/>
      <c r="AG383" s="10"/>
      <c r="AH383" s="10"/>
      <c r="AI383" s="10"/>
      <c r="AJ383" s="10"/>
      <c r="AK383" s="10"/>
      <c r="AL383" s="10" t="s">
        <v>3131</v>
      </c>
      <c r="AM383" s="10"/>
      <c r="AN383" s="10"/>
      <c r="AO383" s="13" t="b">
        <v>0</v>
      </c>
      <c r="AP383" s="10" t="s">
        <v>104</v>
      </c>
      <c r="AQ383" s="10"/>
      <c r="AR383" s="17"/>
      <c r="AS383" s="17"/>
      <c r="AT383" s="17"/>
      <c r="AU383" s="17"/>
      <c r="AV383" s="17"/>
      <c r="AW383" s="10"/>
      <c r="AX383" s="17"/>
      <c r="AY383" s="18" t="s">
        <v>257</v>
      </c>
      <c r="AZ383" s="10"/>
      <c r="BA383" s="20" t="b">
        <v>0</v>
      </c>
      <c r="BB383" s="10"/>
      <c r="BC383" s="17" t="s">
        <v>257</v>
      </c>
      <c r="BD383" s="17" t="s">
        <v>257</v>
      </c>
      <c r="BE383" s="17" t="s">
        <v>257</v>
      </c>
      <c r="BF383" s="17" t="s">
        <v>257</v>
      </c>
      <c r="BG383" s="11">
        <f ca="1">IFERROR(__xludf.DUMMYFUNCTION("""COMPUTED_VALUE"""),46159)</f>
        <v>46159</v>
      </c>
      <c r="BH383" s="17"/>
      <c r="BI383" s="17"/>
      <c r="BJ383" s="15"/>
      <c r="BK383" s="15"/>
      <c r="BL383" s="13" t="b">
        <v>0</v>
      </c>
      <c r="BM383" s="10"/>
      <c r="BN383" s="10" t="s">
        <v>223</v>
      </c>
      <c r="BO383" s="11">
        <v>45827.420949074076</v>
      </c>
      <c r="BP383" s="11">
        <v>45827.420949074076</v>
      </c>
      <c r="BQ383" s="15"/>
      <c r="BR383" s="15"/>
      <c r="BS383" s="10"/>
      <c r="BT383" s="10"/>
      <c r="BU383" s="10"/>
      <c r="BV383" s="10"/>
      <c r="BW383" s="10"/>
      <c r="BX383" s="10"/>
      <c r="BY383" s="23"/>
      <c r="BZ383" s="24" t="s">
        <v>299</v>
      </c>
      <c r="CA383" s="23"/>
      <c r="CB383" s="23"/>
      <c r="CC383" s="23"/>
      <c r="CD383" s="23"/>
      <c r="CE383" s="23"/>
      <c r="CF383" s="23"/>
      <c r="CG383" s="23"/>
      <c r="CH383" s="23"/>
      <c r="CI383" s="23"/>
    </row>
    <row r="384" spans="1:87" x14ac:dyDescent="0.3">
      <c r="A384" s="9" t="s">
        <v>3156</v>
      </c>
      <c r="B384" s="10" t="s">
        <v>3157</v>
      </c>
      <c r="C384" s="11">
        <v>46159</v>
      </c>
      <c r="D384" s="12">
        <v>8.3333333333333329E-2</v>
      </c>
      <c r="E384" s="11">
        <v>46159.083333333336</v>
      </c>
      <c r="F384" s="10" t="s">
        <v>262</v>
      </c>
      <c r="G384" s="13" t="b">
        <v>0</v>
      </c>
      <c r="H384" s="10"/>
      <c r="I384" s="10" t="s">
        <v>264</v>
      </c>
      <c r="J384" s="13" t="b">
        <v>0</v>
      </c>
      <c r="K384" s="13" t="b">
        <v>1</v>
      </c>
      <c r="L384" s="10" t="s">
        <v>124</v>
      </c>
      <c r="M384" s="10" t="s">
        <v>91</v>
      </c>
      <c r="N384" s="10" t="s">
        <v>92</v>
      </c>
      <c r="O384" s="10"/>
      <c r="P384" s="10"/>
      <c r="Q384" s="10"/>
      <c r="R384" s="10"/>
      <c r="S384" s="10"/>
      <c r="T384" s="10"/>
      <c r="U384" s="10" t="s">
        <v>361</v>
      </c>
      <c r="V384" s="10" t="s">
        <v>320</v>
      </c>
      <c r="W384" s="10" t="s">
        <v>272</v>
      </c>
      <c r="X384" s="10" t="s">
        <v>130</v>
      </c>
      <c r="Y384" s="10" t="s">
        <v>130</v>
      </c>
      <c r="Z384" s="10" t="s">
        <v>99</v>
      </c>
      <c r="AA384" s="10" t="s">
        <v>131</v>
      </c>
      <c r="AB384" s="10" t="s">
        <v>273</v>
      </c>
      <c r="AC384" s="10" t="s">
        <v>274</v>
      </c>
      <c r="AD384" s="10" t="s">
        <v>3158</v>
      </c>
      <c r="AE384" s="10" t="s">
        <v>3159</v>
      </c>
      <c r="AF384" s="15"/>
      <c r="AG384" s="10"/>
      <c r="AH384" s="10"/>
      <c r="AI384" s="10"/>
      <c r="AJ384" s="10"/>
      <c r="AK384" s="10"/>
      <c r="AL384" s="10" t="s">
        <v>3131</v>
      </c>
      <c r="AM384" s="10"/>
      <c r="AN384" s="10"/>
      <c r="AO384" s="13" t="b">
        <v>1</v>
      </c>
      <c r="AP384" s="10" t="s">
        <v>104</v>
      </c>
      <c r="AQ384" s="10"/>
      <c r="AR384" s="17"/>
      <c r="AS384" s="17"/>
      <c r="AT384" s="17"/>
      <c r="AU384" s="17"/>
      <c r="AV384" s="17"/>
      <c r="AW384" s="10"/>
      <c r="AX384" s="17"/>
      <c r="AY384" s="18" t="s">
        <v>257</v>
      </c>
      <c r="AZ384" s="10"/>
      <c r="BA384" s="20" t="b">
        <v>0</v>
      </c>
      <c r="BB384" s="10"/>
      <c r="BC384" s="17" t="s">
        <v>257</v>
      </c>
      <c r="BD384" s="17" t="s">
        <v>257</v>
      </c>
      <c r="BE384" s="17" t="s">
        <v>257</v>
      </c>
      <c r="BF384" s="17" t="s">
        <v>257</v>
      </c>
      <c r="BG384" s="11">
        <f ca="1">IFERROR(__xludf.DUMMYFUNCTION("""COMPUTED_VALUE"""),46159)</f>
        <v>46159</v>
      </c>
      <c r="BH384" s="17"/>
      <c r="BI384" s="17"/>
      <c r="BJ384" s="15"/>
      <c r="BK384" s="15"/>
      <c r="BL384" s="13" t="b">
        <v>0</v>
      </c>
      <c r="BM384" s="10"/>
      <c r="BN384" s="10" t="s">
        <v>223</v>
      </c>
      <c r="BO384" s="11">
        <v>45827.420949074076</v>
      </c>
      <c r="BP384" s="11">
        <v>45827.420949074076</v>
      </c>
      <c r="BQ384" s="15"/>
      <c r="BR384" s="15"/>
      <c r="BS384" s="10"/>
      <c r="BT384" s="10"/>
      <c r="BU384" s="10"/>
      <c r="BV384" s="10"/>
      <c r="BW384" s="10"/>
      <c r="BX384" s="10"/>
      <c r="BY384" s="23"/>
      <c r="BZ384" s="24" t="s">
        <v>284</v>
      </c>
      <c r="CA384" s="23"/>
      <c r="CB384" s="23"/>
      <c r="CC384" s="23"/>
      <c r="CD384" s="23"/>
      <c r="CE384" s="23"/>
      <c r="CF384" s="23"/>
      <c r="CG384" s="23"/>
      <c r="CH384" s="23"/>
      <c r="CI384" s="23"/>
    </row>
    <row r="385" spans="1:87" x14ac:dyDescent="0.3">
      <c r="A385" s="9" t="s">
        <v>3160</v>
      </c>
      <c r="B385" s="10" t="s">
        <v>3161</v>
      </c>
      <c r="C385" s="11">
        <v>46159</v>
      </c>
      <c r="D385" s="12">
        <v>8.3333333333333329E-2</v>
      </c>
      <c r="E385" s="11">
        <v>46159.083333333336</v>
      </c>
      <c r="F385" s="10" t="s">
        <v>262</v>
      </c>
      <c r="G385" s="13" t="b">
        <v>0</v>
      </c>
      <c r="H385" s="10"/>
      <c r="I385" s="10" t="s">
        <v>264</v>
      </c>
      <c r="J385" s="13" t="b">
        <v>0</v>
      </c>
      <c r="K385" s="13" t="b">
        <v>1</v>
      </c>
      <c r="L385" s="10" t="s">
        <v>124</v>
      </c>
      <c r="M385" s="10" t="s">
        <v>91</v>
      </c>
      <c r="N385" s="10" t="s">
        <v>92</v>
      </c>
      <c r="O385" s="10"/>
      <c r="P385" s="10"/>
      <c r="Q385" s="10"/>
      <c r="R385" s="10"/>
      <c r="S385" s="10"/>
      <c r="T385" s="10"/>
      <c r="U385" s="10" t="s">
        <v>293</v>
      </c>
      <c r="V385" s="10" t="s">
        <v>451</v>
      </c>
      <c r="W385" s="10" t="s">
        <v>272</v>
      </c>
      <c r="X385" s="10" t="s">
        <v>130</v>
      </c>
      <c r="Y385" s="10" t="s">
        <v>130</v>
      </c>
      <c r="Z385" s="10" t="s">
        <v>99</v>
      </c>
      <c r="AA385" s="10" t="s">
        <v>131</v>
      </c>
      <c r="AB385" s="10" t="s">
        <v>273</v>
      </c>
      <c r="AC385" s="10" t="s">
        <v>274</v>
      </c>
      <c r="AD385" s="10" t="s">
        <v>3162</v>
      </c>
      <c r="AE385" s="10" t="s">
        <v>3163</v>
      </c>
      <c r="AF385" s="15"/>
      <c r="AG385" s="10"/>
      <c r="AH385" s="10"/>
      <c r="AI385" s="10"/>
      <c r="AJ385" s="10"/>
      <c r="AK385" s="10"/>
      <c r="AL385" s="10" t="s">
        <v>3131</v>
      </c>
      <c r="AM385" s="10"/>
      <c r="AN385" s="10"/>
      <c r="AO385" s="13" t="b">
        <v>0</v>
      </c>
      <c r="AP385" s="10" t="s">
        <v>104</v>
      </c>
      <c r="AQ385" s="10"/>
      <c r="AR385" s="17"/>
      <c r="AS385" s="17"/>
      <c r="AT385" s="17"/>
      <c r="AU385" s="17"/>
      <c r="AV385" s="17"/>
      <c r="AW385" s="10"/>
      <c r="AX385" s="17"/>
      <c r="AY385" s="18" t="s">
        <v>257</v>
      </c>
      <c r="AZ385" s="10"/>
      <c r="BA385" s="20" t="b">
        <v>0</v>
      </c>
      <c r="BB385" s="10"/>
      <c r="BC385" s="17" t="s">
        <v>257</v>
      </c>
      <c r="BD385" s="17" t="s">
        <v>257</v>
      </c>
      <c r="BE385" s="17" t="s">
        <v>257</v>
      </c>
      <c r="BF385" s="17" t="s">
        <v>257</v>
      </c>
      <c r="BG385" s="11">
        <f ca="1">IFERROR(__xludf.DUMMYFUNCTION("""COMPUTED_VALUE"""),46159)</f>
        <v>46159</v>
      </c>
      <c r="BH385" s="17"/>
      <c r="BI385" s="17"/>
      <c r="BJ385" s="15"/>
      <c r="BK385" s="15"/>
      <c r="BL385" s="13" t="b">
        <v>0</v>
      </c>
      <c r="BM385" s="10"/>
      <c r="BN385" s="10" t="s">
        <v>223</v>
      </c>
      <c r="BO385" s="11">
        <v>45827.420949074076</v>
      </c>
      <c r="BP385" s="11">
        <v>45827.420949074076</v>
      </c>
      <c r="BQ385" s="15"/>
      <c r="BR385" s="15"/>
      <c r="BS385" s="10"/>
      <c r="BT385" s="10"/>
      <c r="BU385" s="10"/>
      <c r="BV385" s="10"/>
      <c r="BW385" s="10"/>
      <c r="BX385" s="10"/>
      <c r="BY385" s="23"/>
      <c r="BZ385" s="24" t="s">
        <v>299</v>
      </c>
      <c r="CA385" s="23"/>
      <c r="CB385" s="23"/>
      <c r="CC385" s="23"/>
      <c r="CD385" s="23"/>
      <c r="CE385" s="23"/>
      <c r="CF385" s="23"/>
      <c r="CG385" s="23"/>
      <c r="CH385" s="23"/>
      <c r="CI385" s="23"/>
    </row>
    <row r="386" spans="1:87" x14ac:dyDescent="0.3">
      <c r="A386" s="9" t="s">
        <v>3164</v>
      </c>
      <c r="B386" s="10" t="s">
        <v>3165</v>
      </c>
      <c r="C386" s="11">
        <v>46159</v>
      </c>
      <c r="D386" s="12">
        <v>8.3333333333333329E-2</v>
      </c>
      <c r="E386" s="11">
        <v>46159.083333333336</v>
      </c>
      <c r="F386" s="10" t="s">
        <v>262</v>
      </c>
      <c r="G386" s="13" t="b">
        <v>0</v>
      </c>
      <c r="H386" s="10"/>
      <c r="I386" s="10" t="s">
        <v>264</v>
      </c>
      <c r="J386" s="13" t="b">
        <v>0</v>
      </c>
      <c r="K386" s="13" t="b">
        <v>1</v>
      </c>
      <c r="L386" s="10" t="s">
        <v>124</v>
      </c>
      <c r="M386" s="10" t="s">
        <v>91</v>
      </c>
      <c r="N386" s="10" t="s">
        <v>92</v>
      </c>
      <c r="O386" s="10"/>
      <c r="P386" s="10"/>
      <c r="Q386" s="10"/>
      <c r="R386" s="10"/>
      <c r="S386" s="10"/>
      <c r="T386" s="10"/>
      <c r="U386" s="10" t="s">
        <v>333</v>
      </c>
      <c r="V386" s="10" t="s">
        <v>309</v>
      </c>
      <c r="W386" s="10" t="s">
        <v>272</v>
      </c>
      <c r="X386" s="10" t="s">
        <v>130</v>
      </c>
      <c r="Y386" s="10" t="s">
        <v>130</v>
      </c>
      <c r="Z386" s="10" t="s">
        <v>99</v>
      </c>
      <c r="AA386" s="10" t="s">
        <v>131</v>
      </c>
      <c r="AB386" s="10" t="s">
        <v>273</v>
      </c>
      <c r="AC386" s="10" t="s">
        <v>274</v>
      </c>
      <c r="AD386" s="10" t="s">
        <v>3166</v>
      </c>
      <c r="AE386" s="10" t="s">
        <v>3167</v>
      </c>
      <c r="AF386" s="15"/>
      <c r="AG386" s="10"/>
      <c r="AH386" s="10"/>
      <c r="AI386" s="10"/>
      <c r="AJ386" s="10"/>
      <c r="AK386" s="10"/>
      <c r="AL386" s="10" t="s">
        <v>3131</v>
      </c>
      <c r="AM386" s="10"/>
      <c r="AN386" s="10"/>
      <c r="AO386" s="13" t="b">
        <v>0</v>
      </c>
      <c r="AP386" s="10" t="s">
        <v>104</v>
      </c>
      <c r="AQ386" s="10"/>
      <c r="AR386" s="17"/>
      <c r="AS386" s="17"/>
      <c r="AT386" s="17"/>
      <c r="AU386" s="17"/>
      <c r="AV386" s="17"/>
      <c r="AW386" s="10"/>
      <c r="AX386" s="17"/>
      <c r="AY386" s="18" t="s">
        <v>257</v>
      </c>
      <c r="AZ386" s="10"/>
      <c r="BA386" s="20" t="b">
        <v>0</v>
      </c>
      <c r="BB386" s="10"/>
      <c r="BC386" s="17" t="s">
        <v>257</v>
      </c>
      <c r="BD386" s="17" t="s">
        <v>257</v>
      </c>
      <c r="BE386" s="17" t="s">
        <v>257</v>
      </c>
      <c r="BF386" s="17" t="s">
        <v>257</v>
      </c>
      <c r="BG386" s="11">
        <f ca="1">IFERROR(__xludf.DUMMYFUNCTION("""COMPUTED_VALUE"""),46159)</f>
        <v>46159</v>
      </c>
      <c r="BH386" s="17"/>
      <c r="BI386" s="17"/>
      <c r="BJ386" s="15"/>
      <c r="BK386" s="15"/>
      <c r="BL386" s="13" t="b">
        <v>0</v>
      </c>
      <c r="BM386" s="10"/>
      <c r="BN386" s="10" t="s">
        <v>223</v>
      </c>
      <c r="BO386" s="11">
        <v>45827.420949074076</v>
      </c>
      <c r="BP386" s="11">
        <v>45827.420949074076</v>
      </c>
      <c r="BQ386" s="15"/>
      <c r="BR386" s="15"/>
      <c r="BS386" s="10"/>
      <c r="BT386" s="10"/>
      <c r="BU386" s="10"/>
      <c r="BV386" s="10"/>
      <c r="BW386" s="10"/>
      <c r="BX386" s="10"/>
      <c r="BY386" s="23"/>
      <c r="BZ386" s="24" t="s">
        <v>299</v>
      </c>
      <c r="CA386" s="23"/>
      <c r="CB386" s="23"/>
      <c r="CC386" s="23"/>
      <c r="CD386" s="23"/>
      <c r="CE386" s="23"/>
      <c r="CF386" s="23"/>
      <c r="CG386" s="23"/>
      <c r="CH386" s="23"/>
      <c r="CI386" s="23"/>
    </row>
    <row r="387" spans="1:87" x14ac:dyDescent="0.3">
      <c r="A387" s="9" t="s">
        <v>3168</v>
      </c>
      <c r="B387" s="10" t="s">
        <v>3169</v>
      </c>
      <c r="C387" s="11">
        <v>46166</v>
      </c>
      <c r="D387" s="12">
        <v>8.3333333333333329E-2</v>
      </c>
      <c r="E387" s="11">
        <v>46166.083333333336</v>
      </c>
      <c r="F387" s="10" t="s">
        <v>262</v>
      </c>
      <c r="G387" s="13" t="b">
        <v>0</v>
      </c>
      <c r="H387" s="10"/>
      <c r="I387" s="10" t="s">
        <v>264</v>
      </c>
      <c r="J387" s="13" t="b">
        <v>0</v>
      </c>
      <c r="K387" s="13" t="b">
        <v>1</v>
      </c>
      <c r="L387" s="10" t="s">
        <v>124</v>
      </c>
      <c r="M387" s="10" t="s">
        <v>91</v>
      </c>
      <c r="N387" s="10" t="s">
        <v>92</v>
      </c>
      <c r="O387" s="10"/>
      <c r="P387" s="10"/>
      <c r="Q387" s="10"/>
      <c r="R387" s="10"/>
      <c r="S387" s="10"/>
      <c r="T387" s="10"/>
      <c r="U387" s="10" t="s">
        <v>308</v>
      </c>
      <c r="V387" s="10" t="s">
        <v>361</v>
      </c>
      <c r="W387" s="10" t="s">
        <v>272</v>
      </c>
      <c r="X387" s="10" t="s">
        <v>130</v>
      </c>
      <c r="Y387" s="10" t="s">
        <v>130</v>
      </c>
      <c r="Z387" s="10" t="s">
        <v>99</v>
      </c>
      <c r="AA387" s="10" t="s">
        <v>131</v>
      </c>
      <c r="AB387" s="10" t="s">
        <v>273</v>
      </c>
      <c r="AC387" s="10" t="s">
        <v>274</v>
      </c>
      <c r="AD387" s="10" t="s">
        <v>3170</v>
      </c>
      <c r="AE387" s="10" t="s">
        <v>3171</v>
      </c>
      <c r="AF387" s="15"/>
      <c r="AG387" s="10"/>
      <c r="AH387" s="10"/>
      <c r="AI387" s="10"/>
      <c r="AJ387" s="10"/>
      <c r="AK387" s="10"/>
      <c r="AL387" s="10" t="s">
        <v>3172</v>
      </c>
      <c r="AM387" s="10"/>
      <c r="AN387" s="10"/>
      <c r="AO387" s="13" t="b">
        <v>1</v>
      </c>
      <c r="AP387" s="10" t="s">
        <v>104</v>
      </c>
      <c r="AQ387" s="10"/>
      <c r="AR387" s="17"/>
      <c r="AS387" s="17"/>
      <c r="AT387" s="17"/>
      <c r="AU387" s="17"/>
      <c r="AV387" s="17"/>
      <c r="AW387" s="10"/>
      <c r="AX387" s="17"/>
      <c r="AY387" s="18" t="s">
        <v>257</v>
      </c>
      <c r="AZ387" s="10"/>
      <c r="BA387" s="20" t="b">
        <v>0</v>
      </c>
      <c r="BB387" s="10"/>
      <c r="BC387" s="17" t="s">
        <v>257</v>
      </c>
      <c r="BD387" s="17" t="s">
        <v>257</v>
      </c>
      <c r="BE387" s="17" t="s">
        <v>257</v>
      </c>
      <c r="BF387" s="17" t="s">
        <v>257</v>
      </c>
      <c r="BG387" s="11">
        <f ca="1">IFERROR(__xludf.DUMMYFUNCTION("""COMPUTED_VALUE"""),46166)</f>
        <v>46166</v>
      </c>
      <c r="BH387" s="17"/>
      <c r="BI387" s="17"/>
      <c r="BJ387" s="15"/>
      <c r="BK387" s="15"/>
      <c r="BL387" s="13" t="b">
        <v>0</v>
      </c>
      <c r="BM387" s="10"/>
      <c r="BN387" s="10" t="s">
        <v>223</v>
      </c>
      <c r="BO387" s="11">
        <v>45827.420949074076</v>
      </c>
      <c r="BP387" s="11">
        <v>45827.420949074076</v>
      </c>
      <c r="BQ387" s="15"/>
      <c r="BR387" s="15"/>
      <c r="BS387" s="10"/>
      <c r="BT387" s="10"/>
      <c r="BU387" s="10"/>
      <c r="BV387" s="10"/>
      <c r="BW387" s="10"/>
      <c r="BX387" s="10"/>
      <c r="BY387" s="23"/>
      <c r="BZ387" s="24" t="s">
        <v>284</v>
      </c>
      <c r="CA387" s="23"/>
      <c r="CB387" s="23"/>
      <c r="CC387" s="23"/>
      <c r="CD387" s="23"/>
      <c r="CE387" s="23"/>
      <c r="CF387" s="23"/>
      <c r="CG387" s="23"/>
      <c r="CH387" s="23"/>
      <c r="CI387" s="23"/>
    </row>
    <row r="388" spans="1:87" x14ac:dyDescent="0.3">
      <c r="A388" s="9" t="s">
        <v>3173</v>
      </c>
      <c r="B388" s="10" t="s">
        <v>3174</v>
      </c>
      <c r="C388" s="11">
        <v>46166</v>
      </c>
      <c r="D388" s="12">
        <v>8.3333333333333329E-2</v>
      </c>
      <c r="E388" s="11">
        <v>46166.083333333336</v>
      </c>
      <c r="F388" s="10" t="s">
        <v>262</v>
      </c>
      <c r="G388" s="13" t="b">
        <v>0</v>
      </c>
      <c r="H388" s="10"/>
      <c r="I388" s="10" t="s">
        <v>264</v>
      </c>
      <c r="J388" s="13" t="b">
        <v>0</v>
      </c>
      <c r="K388" s="13" t="b">
        <v>1</v>
      </c>
      <c r="L388" s="10" t="s">
        <v>124</v>
      </c>
      <c r="M388" s="10" t="s">
        <v>91</v>
      </c>
      <c r="N388" s="10" t="s">
        <v>92</v>
      </c>
      <c r="O388" s="10"/>
      <c r="P388" s="10"/>
      <c r="Q388" s="10"/>
      <c r="R388" s="10"/>
      <c r="S388" s="10"/>
      <c r="T388" s="10"/>
      <c r="U388" s="10" t="s">
        <v>609</v>
      </c>
      <c r="V388" s="10" t="s">
        <v>333</v>
      </c>
      <c r="W388" s="10" t="s">
        <v>272</v>
      </c>
      <c r="X388" s="10" t="s">
        <v>130</v>
      </c>
      <c r="Y388" s="10" t="s">
        <v>130</v>
      </c>
      <c r="Z388" s="10" t="s">
        <v>99</v>
      </c>
      <c r="AA388" s="10" t="s">
        <v>131</v>
      </c>
      <c r="AB388" s="10" t="s">
        <v>273</v>
      </c>
      <c r="AC388" s="10" t="s">
        <v>274</v>
      </c>
      <c r="AD388" s="10" t="s">
        <v>3175</v>
      </c>
      <c r="AE388" s="10" t="s">
        <v>3176</v>
      </c>
      <c r="AF388" s="15"/>
      <c r="AG388" s="10"/>
      <c r="AH388" s="10"/>
      <c r="AI388" s="10"/>
      <c r="AJ388" s="10"/>
      <c r="AK388" s="10"/>
      <c r="AL388" s="10" t="s">
        <v>3172</v>
      </c>
      <c r="AM388" s="10"/>
      <c r="AN388" s="10"/>
      <c r="AO388" s="13" t="b">
        <v>0</v>
      </c>
      <c r="AP388" s="10" t="s">
        <v>104</v>
      </c>
      <c r="AQ388" s="10"/>
      <c r="AR388" s="17"/>
      <c r="AS388" s="17"/>
      <c r="AT388" s="17"/>
      <c r="AU388" s="17"/>
      <c r="AV388" s="17"/>
      <c r="AW388" s="10"/>
      <c r="AX388" s="17"/>
      <c r="AY388" s="18" t="s">
        <v>257</v>
      </c>
      <c r="AZ388" s="10"/>
      <c r="BA388" s="20" t="b">
        <v>0</v>
      </c>
      <c r="BB388" s="10"/>
      <c r="BC388" s="17" t="s">
        <v>257</v>
      </c>
      <c r="BD388" s="17" t="s">
        <v>257</v>
      </c>
      <c r="BE388" s="17" t="s">
        <v>257</v>
      </c>
      <c r="BF388" s="17" t="s">
        <v>257</v>
      </c>
      <c r="BG388" s="11">
        <f ca="1">IFERROR(__xludf.DUMMYFUNCTION("""COMPUTED_VALUE"""),46166)</f>
        <v>46166</v>
      </c>
      <c r="BH388" s="17"/>
      <c r="BI388" s="17"/>
      <c r="BJ388" s="15"/>
      <c r="BK388" s="15"/>
      <c r="BL388" s="13" t="b">
        <v>0</v>
      </c>
      <c r="BM388" s="10"/>
      <c r="BN388" s="10" t="s">
        <v>223</v>
      </c>
      <c r="BO388" s="11">
        <v>45827.420949074076</v>
      </c>
      <c r="BP388" s="11">
        <v>45827.420949074076</v>
      </c>
      <c r="BQ388" s="15"/>
      <c r="BR388" s="15"/>
      <c r="BS388" s="10"/>
      <c r="BT388" s="10"/>
      <c r="BU388" s="10"/>
      <c r="BV388" s="10"/>
      <c r="BW388" s="10"/>
      <c r="BX388" s="10"/>
      <c r="BY388" s="23"/>
      <c r="BZ388" s="24" t="s">
        <v>299</v>
      </c>
      <c r="CA388" s="23"/>
      <c r="CB388" s="23"/>
      <c r="CC388" s="23"/>
      <c r="CD388" s="23"/>
      <c r="CE388" s="23"/>
      <c r="CF388" s="23"/>
      <c r="CG388" s="23"/>
      <c r="CH388" s="23"/>
      <c r="CI388" s="23"/>
    </row>
    <row r="389" spans="1:87" x14ac:dyDescent="0.3">
      <c r="A389" s="9" t="s">
        <v>3177</v>
      </c>
      <c r="B389" s="10" t="s">
        <v>3178</v>
      </c>
      <c r="C389" s="11">
        <v>46166</v>
      </c>
      <c r="D389" s="12">
        <v>8.3333333333333329E-2</v>
      </c>
      <c r="E389" s="11">
        <v>46166.083333333336</v>
      </c>
      <c r="F389" s="10" t="s">
        <v>262</v>
      </c>
      <c r="G389" s="13" t="b">
        <v>0</v>
      </c>
      <c r="H389" s="10"/>
      <c r="I389" s="10" t="s">
        <v>264</v>
      </c>
      <c r="J389" s="13" t="b">
        <v>0</v>
      </c>
      <c r="K389" s="13" t="b">
        <v>1</v>
      </c>
      <c r="L389" s="10" t="s">
        <v>124</v>
      </c>
      <c r="M389" s="10" t="s">
        <v>91</v>
      </c>
      <c r="N389" s="10" t="s">
        <v>92</v>
      </c>
      <c r="O389" s="10"/>
      <c r="P389" s="10"/>
      <c r="Q389" s="10"/>
      <c r="R389" s="10"/>
      <c r="S389" s="10"/>
      <c r="T389" s="10"/>
      <c r="U389" s="10" t="s">
        <v>347</v>
      </c>
      <c r="V389" s="10" t="s">
        <v>362</v>
      </c>
      <c r="W389" s="10" t="s">
        <v>272</v>
      </c>
      <c r="X389" s="10" t="s">
        <v>130</v>
      </c>
      <c r="Y389" s="10" t="s">
        <v>130</v>
      </c>
      <c r="Z389" s="10" t="s">
        <v>99</v>
      </c>
      <c r="AA389" s="10" t="s">
        <v>131</v>
      </c>
      <c r="AB389" s="10" t="s">
        <v>273</v>
      </c>
      <c r="AC389" s="10" t="s">
        <v>274</v>
      </c>
      <c r="AD389" s="10" t="s">
        <v>3179</v>
      </c>
      <c r="AE389" s="10" t="s">
        <v>3180</v>
      </c>
      <c r="AF389" s="15"/>
      <c r="AG389" s="10"/>
      <c r="AH389" s="10"/>
      <c r="AI389" s="10"/>
      <c r="AJ389" s="10"/>
      <c r="AK389" s="10"/>
      <c r="AL389" s="10" t="s">
        <v>3172</v>
      </c>
      <c r="AM389" s="10"/>
      <c r="AN389" s="10"/>
      <c r="AO389" s="13" t="b">
        <v>1</v>
      </c>
      <c r="AP389" s="10" t="s">
        <v>104</v>
      </c>
      <c r="AQ389" s="10"/>
      <c r="AR389" s="17"/>
      <c r="AS389" s="17"/>
      <c r="AT389" s="17"/>
      <c r="AU389" s="17"/>
      <c r="AV389" s="17"/>
      <c r="AW389" s="10"/>
      <c r="AX389" s="17"/>
      <c r="AY389" s="18" t="s">
        <v>257</v>
      </c>
      <c r="AZ389" s="10"/>
      <c r="BA389" s="20" t="b">
        <v>0</v>
      </c>
      <c r="BB389" s="10"/>
      <c r="BC389" s="17" t="s">
        <v>257</v>
      </c>
      <c r="BD389" s="17" t="s">
        <v>257</v>
      </c>
      <c r="BE389" s="17" t="s">
        <v>257</v>
      </c>
      <c r="BF389" s="17" t="s">
        <v>257</v>
      </c>
      <c r="BG389" s="11">
        <f ca="1">IFERROR(__xludf.DUMMYFUNCTION("""COMPUTED_VALUE"""),46166)</f>
        <v>46166</v>
      </c>
      <c r="BH389" s="17"/>
      <c r="BI389" s="17"/>
      <c r="BJ389" s="15"/>
      <c r="BK389" s="15"/>
      <c r="BL389" s="13" t="b">
        <v>0</v>
      </c>
      <c r="BM389" s="10"/>
      <c r="BN389" s="10" t="s">
        <v>223</v>
      </c>
      <c r="BO389" s="11">
        <v>45827.420949074076</v>
      </c>
      <c r="BP389" s="11">
        <v>45827.420949074076</v>
      </c>
      <c r="BQ389" s="15"/>
      <c r="BR389" s="15"/>
      <c r="BS389" s="10"/>
      <c r="BT389" s="10"/>
      <c r="BU389" s="10"/>
      <c r="BV389" s="10"/>
      <c r="BW389" s="10"/>
      <c r="BX389" s="10"/>
      <c r="BY389" s="23"/>
      <c r="BZ389" s="24" t="s">
        <v>284</v>
      </c>
      <c r="CA389" s="23"/>
      <c r="CB389" s="23"/>
      <c r="CC389" s="23"/>
      <c r="CD389" s="23"/>
      <c r="CE389" s="23"/>
      <c r="CF389" s="23"/>
      <c r="CG389" s="23"/>
      <c r="CH389" s="23"/>
      <c r="CI389" s="23"/>
    </row>
    <row r="390" spans="1:87" x14ac:dyDescent="0.3">
      <c r="A390" s="9" t="s">
        <v>3181</v>
      </c>
      <c r="B390" s="10" t="s">
        <v>3182</v>
      </c>
      <c r="C390" s="11">
        <v>46166</v>
      </c>
      <c r="D390" s="12">
        <v>8.3333333333333329E-2</v>
      </c>
      <c r="E390" s="11">
        <v>46166.083333333336</v>
      </c>
      <c r="F390" s="10" t="s">
        <v>262</v>
      </c>
      <c r="G390" s="13" t="b">
        <v>0</v>
      </c>
      <c r="H390" s="10"/>
      <c r="I390" s="10" t="s">
        <v>264</v>
      </c>
      <c r="J390" s="13" t="b">
        <v>0</v>
      </c>
      <c r="K390" s="13" t="b">
        <v>1</v>
      </c>
      <c r="L390" s="10" t="s">
        <v>124</v>
      </c>
      <c r="M390" s="10" t="s">
        <v>91</v>
      </c>
      <c r="N390" s="10" t="s">
        <v>92</v>
      </c>
      <c r="O390" s="10"/>
      <c r="P390" s="10"/>
      <c r="Q390" s="10"/>
      <c r="R390" s="10"/>
      <c r="S390" s="10"/>
      <c r="T390" s="10"/>
      <c r="U390" s="10" t="s">
        <v>309</v>
      </c>
      <c r="V390" s="10" t="s">
        <v>293</v>
      </c>
      <c r="W390" s="10" t="s">
        <v>272</v>
      </c>
      <c r="X390" s="10" t="s">
        <v>130</v>
      </c>
      <c r="Y390" s="10" t="s">
        <v>130</v>
      </c>
      <c r="Z390" s="10" t="s">
        <v>99</v>
      </c>
      <c r="AA390" s="10" t="s">
        <v>131</v>
      </c>
      <c r="AB390" s="10" t="s">
        <v>273</v>
      </c>
      <c r="AC390" s="10" t="s">
        <v>274</v>
      </c>
      <c r="AD390" s="10" t="s">
        <v>3183</v>
      </c>
      <c r="AE390" s="10" t="s">
        <v>3184</v>
      </c>
      <c r="AF390" s="15"/>
      <c r="AG390" s="10"/>
      <c r="AH390" s="10"/>
      <c r="AI390" s="10"/>
      <c r="AJ390" s="10"/>
      <c r="AK390" s="10"/>
      <c r="AL390" s="10" t="s">
        <v>3172</v>
      </c>
      <c r="AM390" s="10"/>
      <c r="AN390" s="10"/>
      <c r="AO390" s="13" t="b">
        <v>0</v>
      </c>
      <c r="AP390" s="10" t="s">
        <v>104</v>
      </c>
      <c r="AQ390" s="10"/>
      <c r="AR390" s="17"/>
      <c r="AS390" s="17"/>
      <c r="AT390" s="17"/>
      <c r="AU390" s="17"/>
      <c r="AV390" s="17"/>
      <c r="AW390" s="10"/>
      <c r="AX390" s="17"/>
      <c r="AY390" s="18" t="s">
        <v>257</v>
      </c>
      <c r="AZ390" s="10"/>
      <c r="BA390" s="20" t="b">
        <v>0</v>
      </c>
      <c r="BB390" s="10"/>
      <c r="BC390" s="17" t="s">
        <v>257</v>
      </c>
      <c r="BD390" s="17" t="s">
        <v>257</v>
      </c>
      <c r="BE390" s="17" t="s">
        <v>257</v>
      </c>
      <c r="BF390" s="17" t="s">
        <v>257</v>
      </c>
      <c r="BG390" s="11">
        <f ca="1">IFERROR(__xludf.DUMMYFUNCTION("""COMPUTED_VALUE"""),46166)</f>
        <v>46166</v>
      </c>
      <c r="BH390" s="17"/>
      <c r="BI390" s="17"/>
      <c r="BJ390" s="15"/>
      <c r="BK390" s="15"/>
      <c r="BL390" s="13" t="b">
        <v>0</v>
      </c>
      <c r="BM390" s="10"/>
      <c r="BN390" s="10" t="s">
        <v>223</v>
      </c>
      <c r="BO390" s="11">
        <v>45827.420949074076</v>
      </c>
      <c r="BP390" s="11">
        <v>45827.420949074076</v>
      </c>
      <c r="BQ390" s="15"/>
      <c r="BR390" s="15"/>
      <c r="BS390" s="10"/>
      <c r="BT390" s="10"/>
      <c r="BU390" s="10"/>
      <c r="BV390" s="10"/>
      <c r="BW390" s="10"/>
      <c r="BX390" s="10"/>
      <c r="BY390" s="23"/>
      <c r="BZ390" s="24" t="s">
        <v>299</v>
      </c>
      <c r="CA390" s="23"/>
      <c r="CB390" s="23"/>
      <c r="CC390" s="23"/>
      <c r="CD390" s="23"/>
      <c r="CE390" s="23"/>
      <c r="CF390" s="23"/>
      <c r="CG390" s="23"/>
      <c r="CH390" s="23"/>
      <c r="CI390" s="23"/>
    </row>
    <row r="391" spans="1:87" x14ac:dyDescent="0.3">
      <c r="A391" s="9" t="s">
        <v>3185</v>
      </c>
      <c r="B391" s="10" t="s">
        <v>3186</v>
      </c>
      <c r="C391" s="11">
        <v>46166</v>
      </c>
      <c r="D391" s="12">
        <v>8.3333333333333329E-2</v>
      </c>
      <c r="E391" s="11">
        <v>46166.083333333336</v>
      </c>
      <c r="F391" s="10" t="s">
        <v>262</v>
      </c>
      <c r="G391" s="13" t="b">
        <v>0</v>
      </c>
      <c r="H391" s="10"/>
      <c r="I391" s="10" t="s">
        <v>264</v>
      </c>
      <c r="J391" s="13" t="b">
        <v>0</v>
      </c>
      <c r="K391" s="13" t="b">
        <v>1</v>
      </c>
      <c r="L391" s="10" t="s">
        <v>124</v>
      </c>
      <c r="M391" s="10" t="s">
        <v>91</v>
      </c>
      <c r="N391" s="10" t="s">
        <v>92</v>
      </c>
      <c r="O391" s="10"/>
      <c r="P391" s="10"/>
      <c r="Q391" s="10"/>
      <c r="R391" s="10"/>
      <c r="S391" s="10"/>
      <c r="T391" s="10"/>
      <c r="U391" s="10" t="s">
        <v>270</v>
      </c>
      <c r="V391" s="10" t="s">
        <v>321</v>
      </c>
      <c r="W391" s="10" t="s">
        <v>272</v>
      </c>
      <c r="X391" s="10" t="s">
        <v>130</v>
      </c>
      <c r="Y391" s="10" t="s">
        <v>130</v>
      </c>
      <c r="Z391" s="10" t="s">
        <v>99</v>
      </c>
      <c r="AA391" s="10" t="s">
        <v>131</v>
      </c>
      <c r="AB391" s="10" t="s">
        <v>273</v>
      </c>
      <c r="AC391" s="10" t="s">
        <v>274</v>
      </c>
      <c r="AD391" s="10" t="s">
        <v>3187</v>
      </c>
      <c r="AE391" s="10" t="s">
        <v>3188</v>
      </c>
      <c r="AF391" s="15"/>
      <c r="AG391" s="10"/>
      <c r="AH391" s="10"/>
      <c r="AI391" s="10"/>
      <c r="AJ391" s="10"/>
      <c r="AK391" s="10"/>
      <c r="AL391" s="10" t="s">
        <v>3172</v>
      </c>
      <c r="AM391" s="10"/>
      <c r="AN391" s="10"/>
      <c r="AO391" s="13" t="b">
        <v>1</v>
      </c>
      <c r="AP391" s="10" t="s">
        <v>104</v>
      </c>
      <c r="AQ391" s="10"/>
      <c r="AR391" s="17"/>
      <c r="AS391" s="17"/>
      <c r="AT391" s="17"/>
      <c r="AU391" s="17"/>
      <c r="AV391" s="17"/>
      <c r="AW391" s="10"/>
      <c r="AX391" s="17"/>
      <c r="AY391" s="18" t="s">
        <v>257</v>
      </c>
      <c r="AZ391" s="10"/>
      <c r="BA391" s="20" t="b">
        <v>0</v>
      </c>
      <c r="BB391" s="10"/>
      <c r="BC391" s="17" t="s">
        <v>257</v>
      </c>
      <c r="BD391" s="17" t="s">
        <v>257</v>
      </c>
      <c r="BE391" s="17" t="s">
        <v>257</v>
      </c>
      <c r="BF391" s="17" t="s">
        <v>257</v>
      </c>
      <c r="BG391" s="11">
        <f ca="1">IFERROR(__xludf.DUMMYFUNCTION("""COMPUTED_VALUE"""),46166)</f>
        <v>46166</v>
      </c>
      <c r="BH391" s="17"/>
      <c r="BI391" s="17"/>
      <c r="BJ391" s="15"/>
      <c r="BK391" s="15"/>
      <c r="BL391" s="13" t="b">
        <v>0</v>
      </c>
      <c r="BM391" s="10"/>
      <c r="BN391" s="10" t="s">
        <v>223</v>
      </c>
      <c r="BO391" s="11">
        <v>45827.420949074076</v>
      </c>
      <c r="BP391" s="11">
        <v>45827.420949074076</v>
      </c>
      <c r="BQ391" s="15"/>
      <c r="BR391" s="15"/>
      <c r="BS391" s="10"/>
      <c r="BT391" s="10"/>
      <c r="BU391" s="10"/>
      <c r="BV391" s="10"/>
      <c r="BW391" s="10"/>
      <c r="BX391" s="10"/>
      <c r="BY391" s="23"/>
      <c r="BZ391" s="24" t="s">
        <v>284</v>
      </c>
      <c r="CA391" s="23"/>
      <c r="CB391" s="23"/>
      <c r="CC391" s="23"/>
      <c r="CD391" s="23"/>
      <c r="CE391" s="23"/>
      <c r="CF391" s="23"/>
      <c r="CG391" s="23"/>
      <c r="CH391" s="23"/>
      <c r="CI391" s="23"/>
    </row>
    <row r="392" spans="1:87" x14ac:dyDescent="0.3">
      <c r="A392" s="9" t="s">
        <v>3189</v>
      </c>
      <c r="B392" s="10" t="s">
        <v>3190</v>
      </c>
      <c r="C392" s="11">
        <v>46166</v>
      </c>
      <c r="D392" s="12">
        <v>8.3333333333333329E-2</v>
      </c>
      <c r="E392" s="11">
        <v>46166.083333333336</v>
      </c>
      <c r="F392" s="10" t="s">
        <v>262</v>
      </c>
      <c r="G392" s="13" t="b">
        <v>0</v>
      </c>
      <c r="H392" s="10"/>
      <c r="I392" s="10" t="s">
        <v>264</v>
      </c>
      <c r="J392" s="13" t="b">
        <v>0</v>
      </c>
      <c r="K392" s="13" t="b">
        <v>1</v>
      </c>
      <c r="L392" s="10" t="s">
        <v>124</v>
      </c>
      <c r="M392" s="10" t="s">
        <v>91</v>
      </c>
      <c r="N392" s="10" t="s">
        <v>92</v>
      </c>
      <c r="O392" s="10"/>
      <c r="P392" s="10"/>
      <c r="Q392" s="10"/>
      <c r="R392" s="10"/>
      <c r="S392" s="10"/>
      <c r="T392" s="10"/>
      <c r="U392" s="10" t="s">
        <v>334</v>
      </c>
      <c r="V392" s="10" t="s">
        <v>292</v>
      </c>
      <c r="W392" s="10" t="s">
        <v>272</v>
      </c>
      <c r="X392" s="10" t="s">
        <v>130</v>
      </c>
      <c r="Y392" s="10" t="s">
        <v>130</v>
      </c>
      <c r="Z392" s="10" t="s">
        <v>99</v>
      </c>
      <c r="AA392" s="10" t="s">
        <v>131</v>
      </c>
      <c r="AB392" s="10" t="s">
        <v>273</v>
      </c>
      <c r="AC392" s="10" t="s">
        <v>274</v>
      </c>
      <c r="AD392" s="10" t="s">
        <v>3191</v>
      </c>
      <c r="AE392" s="10" t="s">
        <v>3192</v>
      </c>
      <c r="AF392" s="15"/>
      <c r="AG392" s="10"/>
      <c r="AH392" s="10"/>
      <c r="AI392" s="10"/>
      <c r="AJ392" s="10"/>
      <c r="AK392" s="10"/>
      <c r="AL392" s="10" t="s">
        <v>3172</v>
      </c>
      <c r="AM392" s="10"/>
      <c r="AN392" s="10"/>
      <c r="AO392" s="13" t="b">
        <v>1</v>
      </c>
      <c r="AP392" s="10" t="s">
        <v>104</v>
      </c>
      <c r="AQ392" s="10"/>
      <c r="AR392" s="17"/>
      <c r="AS392" s="17"/>
      <c r="AT392" s="17"/>
      <c r="AU392" s="17"/>
      <c r="AV392" s="17"/>
      <c r="AW392" s="10"/>
      <c r="AX392" s="17"/>
      <c r="AY392" s="18" t="s">
        <v>257</v>
      </c>
      <c r="AZ392" s="10"/>
      <c r="BA392" s="20" t="b">
        <v>0</v>
      </c>
      <c r="BB392" s="10"/>
      <c r="BC392" s="17" t="s">
        <v>257</v>
      </c>
      <c r="BD392" s="17" t="s">
        <v>257</v>
      </c>
      <c r="BE392" s="17" t="s">
        <v>257</v>
      </c>
      <c r="BF392" s="17" t="s">
        <v>257</v>
      </c>
      <c r="BG392" s="11">
        <f ca="1">IFERROR(__xludf.DUMMYFUNCTION("""COMPUTED_VALUE"""),46166)</f>
        <v>46166</v>
      </c>
      <c r="BH392" s="17"/>
      <c r="BI392" s="17"/>
      <c r="BJ392" s="15"/>
      <c r="BK392" s="15"/>
      <c r="BL392" s="13" t="b">
        <v>0</v>
      </c>
      <c r="BM392" s="10"/>
      <c r="BN392" s="10" t="s">
        <v>223</v>
      </c>
      <c r="BO392" s="11">
        <v>45827.420949074076</v>
      </c>
      <c r="BP392" s="11">
        <v>45827.420949074076</v>
      </c>
      <c r="BQ392" s="15"/>
      <c r="BR392" s="15"/>
      <c r="BS392" s="10"/>
      <c r="BT392" s="10"/>
      <c r="BU392" s="10"/>
      <c r="BV392" s="10"/>
      <c r="BW392" s="10"/>
      <c r="BX392" s="10"/>
      <c r="BY392" s="23"/>
      <c r="BZ392" s="24" t="s">
        <v>2844</v>
      </c>
      <c r="CA392" s="23"/>
      <c r="CB392" s="23"/>
      <c r="CC392" s="23"/>
      <c r="CD392" s="23"/>
      <c r="CE392" s="23"/>
      <c r="CF392" s="23"/>
      <c r="CG392" s="23"/>
      <c r="CH392" s="23"/>
      <c r="CI392" s="23"/>
    </row>
    <row r="393" spans="1:87" x14ac:dyDescent="0.3">
      <c r="A393" s="9" t="s">
        <v>3193</v>
      </c>
      <c r="B393" s="10" t="s">
        <v>3194</v>
      </c>
      <c r="C393" s="11">
        <v>46166</v>
      </c>
      <c r="D393" s="12">
        <v>8.3333333333333329E-2</v>
      </c>
      <c r="E393" s="11">
        <v>46166.083333333336</v>
      </c>
      <c r="F393" s="10" t="s">
        <v>262</v>
      </c>
      <c r="G393" s="13" t="b">
        <v>0</v>
      </c>
      <c r="H393" s="10"/>
      <c r="I393" s="10" t="s">
        <v>264</v>
      </c>
      <c r="J393" s="13" t="b">
        <v>0</v>
      </c>
      <c r="K393" s="13" t="b">
        <v>1</v>
      </c>
      <c r="L393" s="10" t="s">
        <v>124</v>
      </c>
      <c r="M393" s="10" t="s">
        <v>91</v>
      </c>
      <c r="N393" s="10" t="s">
        <v>92</v>
      </c>
      <c r="O393" s="10"/>
      <c r="P393" s="10"/>
      <c r="Q393" s="10"/>
      <c r="R393" s="10"/>
      <c r="S393" s="10"/>
      <c r="T393" s="10"/>
      <c r="U393" s="10" t="s">
        <v>320</v>
      </c>
      <c r="V393" s="10" t="s">
        <v>271</v>
      </c>
      <c r="W393" s="10" t="s">
        <v>272</v>
      </c>
      <c r="X393" s="10" t="s">
        <v>130</v>
      </c>
      <c r="Y393" s="10" t="s">
        <v>130</v>
      </c>
      <c r="Z393" s="10" t="s">
        <v>99</v>
      </c>
      <c r="AA393" s="10" t="s">
        <v>131</v>
      </c>
      <c r="AB393" s="10" t="s">
        <v>273</v>
      </c>
      <c r="AC393" s="10" t="s">
        <v>274</v>
      </c>
      <c r="AD393" s="10" t="s">
        <v>3195</v>
      </c>
      <c r="AE393" s="10" t="s">
        <v>3196</v>
      </c>
      <c r="AF393" s="15"/>
      <c r="AG393" s="10"/>
      <c r="AH393" s="10"/>
      <c r="AI393" s="10"/>
      <c r="AJ393" s="10"/>
      <c r="AK393" s="10"/>
      <c r="AL393" s="10" t="s">
        <v>3172</v>
      </c>
      <c r="AM393" s="10"/>
      <c r="AN393" s="10"/>
      <c r="AO393" s="13" t="b">
        <v>0</v>
      </c>
      <c r="AP393" s="10" t="s">
        <v>104</v>
      </c>
      <c r="AQ393" s="10"/>
      <c r="AR393" s="17"/>
      <c r="AS393" s="17"/>
      <c r="AT393" s="17"/>
      <c r="AU393" s="17"/>
      <c r="AV393" s="17"/>
      <c r="AW393" s="10"/>
      <c r="AX393" s="17"/>
      <c r="AY393" s="18" t="s">
        <v>257</v>
      </c>
      <c r="AZ393" s="10"/>
      <c r="BA393" s="20" t="b">
        <v>0</v>
      </c>
      <c r="BB393" s="10"/>
      <c r="BC393" s="17" t="s">
        <v>257</v>
      </c>
      <c r="BD393" s="17" t="s">
        <v>257</v>
      </c>
      <c r="BE393" s="17" t="s">
        <v>257</v>
      </c>
      <c r="BF393" s="17" t="s">
        <v>257</v>
      </c>
      <c r="BG393" s="11">
        <f ca="1">IFERROR(__xludf.DUMMYFUNCTION("""COMPUTED_VALUE"""),46166)</f>
        <v>46166</v>
      </c>
      <c r="BH393" s="17"/>
      <c r="BI393" s="17"/>
      <c r="BJ393" s="15"/>
      <c r="BK393" s="15"/>
      <c r="BL393" s="13" t="b">
        <v>0</v>
      </c>
      <c r="BM393" s="10"/>
      <c r="BN393" s="10" t="s">
        <v>223</v>
      </c>
      <c r="BO393" s="11">
        <v>45827.420949074076</v>
      </c>
      <c r="BP393" s="11">
        <v>45827.420949074076</v>
      </c>
      <c r="BQ393" s="15"/>
      <c r="BR393" s="15"/>
      <c r="BS393" s="10"/>
      <c r="BT393" s="10"/>
      <c r="BU393" s="10"/>
      <c r="BV393" s="10"/>
      <c r="BW393" s="10"/>
      <c r="BX393" s="10"/>
      <c r="BY393" s="23"/>
      <c r="BZ393" s="24" t="s">
        <v>299</v>
      </c>
      <c r="CA393" s="23"/>
      <c r="CB393" s="23"/>
      <c r="CC393" s="23"/>
      <c r="CD393" s="23"/>
      <c r="CE393" s="23"/>
      <c r="CF393" s="23"/>
      <c r="CG393" s="23"/>
      <c r="CH393" s="23"/>
      <c r="CI393" s="23"/>
    </row>
    <row r="394" spans="1:87" x14ac:dyDescent="0.3">
      <c r="A394" s="9" t="s">
        <v>3197</v>
      </c>
      <c r="B394" s="10" t="s">
        <v>3198</v>
      </c>
      <c r="C394" s="11">
        <v>46166</v>
      </c>
      <c r="D394" s="12">
        <v>8.3333333333333329E-2</v>
      </c>
      <c r="E394" s="11">
        <v>46166.083333333336</v>
      </c>
      <c r="F394" s="10" t="s">
        <v>262</v>
      </c>
      <c r="G394" s="13" t="b">
        <v>0</v>
      </c>
      <c r="H394" s="10"/>
      <c r="I394" s="10" t="s">
        <v>264</v>
      </c>
      <c r="J394" s="13" t="b">
        <v>0</v>
      </c>
      <c r="K394" s="13" t="b">
        <v>1</v>
      </c>
      <c r="L394" s="10" t="s">
        <v>124</v>
      </c>
      <c r="M394" s="10" t="s">
        <v>91</v>
      </c>
      <c r="N394" s="10" t="s">
        <v>92</v>
      </c>
      <c r="O394" s="10"/>
      <c r="P394" s="10"/>
      <c r="Q394" s="10"/>
      <c r="R394" s="10"/>
      <c r="S394" s="10"/>
      <c r="T394" s="10"/>
      <c r="U394" s="10" t="s">
        <v>588</v>
      </c>
      <c r="V394" s="10" t="s">
        <v>346</v>
      </c>
      <c r="W394" s="10" t="s">
        <v>272</v>
      </c>
      <c r="X394" s="10" t="s">
        <v>130</v>
      </c>
      <c r="Y394" s="10" t="s">
        <v>130</v>
      </c>
      <c r="Z394" s="10" t="s">
        <v>99</v>
      </c>
      <c r="AA394" s="10" t="s">
        <v>131</v>
      </c>
      <c r="AB394" s="10" t="s">
        <v>273</v>
      </c>
      <c r="AC394" s="10" t="s">
        <v>274</v>
      </c>
      <c r="AD394" s="10" t="s">
        <v>3199</v>
      </c>
      <c r="AE394" s="10" t="s">
        <v>3200</v>
      </c>
      <c r="AF394" s="15"/>
      <c r="AG394" s="10"/>
      <c r="AH394" s="10"/>
      <c r="AI394" s="10"/>
      <c r="AJ394" s="10"/>
      <c r="AK394" s="10"/>
      <c r="AL394" s="10" t="s">
        <v>3172</v>
      </c>
      <c r="AM394" s="10"/>
      <c r="AN394" s="10"/>
      <c r="AO394" s="13" t="b">
        <v>1</v>
      </c>
      <c r="AP394" s="10" t="s">
        <v>104</v>
      </c>
      <c r="AQ394" s="10"/>
      <c r="AR394" s="17"/>
      <c r="AS394" s="17"/>
      <c r="AT394" s="17"/>
      <c r="AU394" s="17"/>
      <c r="AV394" s="17"/>
      <c r="AW394" s="10"/>
      <c r="AX394" s="17"/>
      <c r="AY394" s="18" t="s">
        <v>257</v>
      </c>
      <c r="AZ394" s="10"/>
      <c r="BA394" s="20" t="b">
        <v>0</v>
      </c>
      <c r="BB394" s="10"/>
      <c r="BC394" s="17" t="s">
        <v>257</v>
      </c>
      <c r="BD394" s="17" t="s">
        <v>257</v>
      </c>
      <c r="BE394" s="17" t="s">
        <v>257</v>
      </c>
      <c r="BF394" s="17" t="s">
        <v>257</v>
      </c>
      <c r="BG394" s="11">
        <f ca="1">IFERROR(__xludf.DUMMYFUNCTION("""COMPUTED_VALUE"""),46166)</f>
        <v>46166</v>
      </c>
      <c r="BH394" s="17"/>
      <c r="BI394" s="17"/>
      <c r="BJ394" s="15"/>
      <c r="BK394" s="15"/>
      <c r="BL394" s="13" t="b">
        <v>0</v>
      </c>
      <c r="BM394" s="10"/>
      <c r="BN394" s="10" t="s">
        <v>223</v>
      </c>
      <c r="BO394" s="11">
        <v>45827.420949074076</v>
      </c>
      <c r="BP394" s="11">
        <v>45827.420949074076</v>
      </c>
      <c r="BQ394" s="15"/>
      <c r="BR394" s="15"/>
      <c r="BS394" s="10"/>
      <c r="BT394" s="10"/>
      <c r="BU394" s="10"/>
      <c r="BV394" s="10"/>
      <c r="BW394" s="10"/>
      <c r="BX394" s="10"/>
      <c r="BY394" s="23"/>
      <c r="BZ394" s="24" t="s">
        <v>284</v>
      </c>
      <c r="CA394" s="23"/>
      <c r="CB394" s="23"/>
      <c r="CC394" s="23"/>
      <c r="CD394" s="23"/>
      <c r="CE394" s="23"/>
      <c r="CF394" s="23"/>
      <c r="CG394" s="23"/>
      <c r="CH394" s="23"/>
      <c r="CI394" s="23"/>
    </row>
    <row r="395" spans="1:87" x14ac:dyDescent="0.3">
      <c r="A395" s="9" t="s">
        <v>3201</v>
      </c>
      <c r="B395" s="10" t="s">
        <v>3202</v>
      </c>
      <c r="C395" s="11">
        <v>46166</v>
      </c>
      <c r="D395" s="12">
        <v>8.3333333333333329E-2</v>
      </c>
      <c r="E395" s="11">
        <v>46166.083333333336</v>
      </c>
      <c r="F395" s="10" t="s">
        <v>262</v>
      </c>
      <c r="G395" s="13" t="b">
        <v>0</v>
      </c>
      <c r="H395" s="10"/>
      <c r="I395" s="10" t="s">
        <v>264</v>
      </c>
      <c r="J395" s="13" t="b">
        <v>0</v>
      </c>
      <c r="K395" s="13" t="b">
        <v>1</v>
      </c>
      <c r="L395" s="10" t="s">
        <v>124</v>
      </c>
      <c r="M395" s="10" t="s">
        <v>91</v>
      </c>
      <c r="N395" s="10" t="s">
        <v>92</v>
      </c>
      <c r="O395" s="10"/>
      <c r="P395" s="10"/>
      <c r="Q395" s="10"/>
      <c r="R395" s="10"/>
      <c r="S395" s="10"/>
      <c r="T395" s="10"/>
      <c r="U395" s="10" t="s">
        <v>429</v>
      </c>
      <c r="V395" s="10" t="s">
        <v>407</v>
      </c>
      <c r="W395" s="10" t="s">
        <v>272</v>
      </c>
      <c r="X395" s="10" t="s">
        <v>130</v>
      </c>
      <c r="Y395" s="10" t="s">
        <v>130</v>
      </c>
      <c r="Z395" s="10" t="s">
        <v>99</v>
      </c>
      <c r="AA395" s="10" t="s">
        <v>131</v>
      </c>
      <c r="AB395" s="10" t="s">
        <v>273</v>
      </c>
      <c r="AC395" s="10" t="s">
        <v>274</v>
      </c>
      <c r="AD395" s="10" t="s">
        <v>3203</v>
      </c>
      <c r="AE395" s="10" t="s">
        <v>3204</v>
      </c>
      <c r="AF395" s="15"/>
      <c r="AG395" s="10"/>
      <c r="AH395" s="10"/>
      <c r="AI395" s="10"/>
      <c r="AJ395" s="10"/>
      <c r="AK395" s="10"/>
      <c r="AL395" s="10" t="s">
        <v>3172</v>
      </c>
      <c r="AM395" s="10"/>
      <c r="AN395" s="10"/>
      <c r="AO395" s="13" t="b">
        <v>1</v>
      </c>
      <c r="AP395" s="10" t="s">
        <v>104</v>
      </c>
      <c r="AQ395" s="10"/>
      <c r="AR395" s="17"/>
      <c r="AS395" s="17"/>
      <c r="AT395" s="17"/>
      <c r="AU395" s="17"/>
      <c r="AV395" s="17"/>
      <c r="AW395" s="10"/>
      <c r="AX395" s="17"/>
      <c r="AY395" s="18" t="s">
        <v>257</v>
      </c>
      <c r="AZ395" s="10"/>
      <c r="BA395" s="20" t="b">
        <v>0</v>
      </c>
      <c r="BB395" s="10"/>
      <c r="BC395" s="17" t="s">
        <v>257</v>
      </c>
      <c r="BD395" s="17" t="s">
        <v>257</v>
      </c>
      <c r="BE395" s="17" t="s">
        <v>257</v>
      </c>
      <c r="BF395" s="17" t="s">
        <v>257</v>
      </c>
      <c r="BG395" s="11">
        <f ca="1">IFERROR(__xludf.DUMMYFUNCTION("""COMPUTED_VALUE"""),46166)</f>
        <v>46166</v>
      </c>
      <c r="BH395" s="17"/>
      <c r="BI395" s="17"/>
      <c r="BJ395" s="15"/>
      <c r="BK395" s="15"/>
      <c r="BL395" s="13" t="b">
        <v>0</v>
      </c>
      <c r="BM395" s="10"/>
      <c r="BN395" s="10" t="s">
        <v>223</v>
      </c>
      <c r="BO395" s="11">
        <v>45827.420949074076</v>
      </c>
      <c r="BP395" s="11">
        <v>45827.420949074076</v>
      </c>
      <c r="BQ395" s="15"/>
      <c r="BR395" s="15"/>
      <c r="BS395" s="10"/>
      <c r="BT395" s="10"/>
      <c r="BU395" s="10"/>
      <c r="BV395" s="10"/>
      <c r="BW395" s="10"/>
      <c r="BX395" s="10"/>
      <c r="BY395" s="23"/>
      <c r="BZ395" s="24" t="s">
        <v>284</v>
      </c>
      <c r="CA395" s="23"/>
      <c r="CB395" s="23"/>
      <c r="CC395" s="23"/>
      <c r="CD395" s="23"/>
      <c r="CE395" s="23"/>
      <c r="CF395" s="23"/>
      <c r="CG395" s="23"/>
      <c r="CH395" s="23"/>
      <c r="CI395" s="23"/>
    </row>
    <row r="396" spans="1:87" x14ac:dyDescent="0.3">
      <c r="A396" s="9" t="s">
        <v>3205</v>
      </c>
      <c r="B396" s="10" t="s">
        <v>3206</v>
      </c>
      <c r="C396" s="11">
        <v>46166</v>
      </c>
      <c r="D396" s="12">
        <v>8.3333333333333329E-2</v>
      </c>
      <c r="E396" s="11">
        <v>46166.083333333336</v>
      </c>
      <c r="F396" s="10" t="s">
        <v>262</v>
      </c>
      <c r="G396" s="13" t="b">
        <v>0</v>
      </c>
      <c r="H396" s="10"/>
      <c r="I396" s="10" t="s">
        <v>264</v>
      </c>
      <c r="J396" s="13" t="b">
        <v>0</v>
      </c>
      <c r="K396" s="13" t="b">
        <v>1</v>
      </c>
      <c r="L396" s="10" t="s">
        <v>124</v>
      </c>
      <c r="M396" s="10" t="s">
        <v>91</v>
      </c>
      <c r="N396" s="10" t="s">
        <v>92</v>
      </c>
      <c r="O396" s="10"/>
      <c r="P396" s="10"/>
      <c r="Q396" s="10"/>
      <c r="R396" s="10"/>
      <c r="S396" s="10"/>
      <c r="T396" s="10"/>
      <c r="U396" s="10" t="s">
        <v>451</v>
      </c>
      <c r="V396" s="10" t="s">
        <v>663</v>
      </c>
      <c r="W396" s="10" t="s">
        <v>272</v>
      </c>
      <c r="X396" s="10" t="s">
        <v>130</v>
      </c>
      <c r="Y396" s="10" t="s">
        <v>130</v>
      </c>
      <c r="Z396" s="10" t="s">
        <v>99</v>
      </c>
      <c r="AA396" s="10" t="s">
        <v>131</v>
      </c>
      <c r="AB396" s="10" t="s">
        <v>273</v>
      </c>
      <c r="AC396" s="10" t="s">
        <v>274</v>
      </c>
      <c r="AD396" s="10" t="s">
        <v>3207</v>
      </c>
      <c r="AE396" s="10" t="s">
        <v>3208</v>
      </c>
      <c r="AF396" s="15"/>
      <c r="AG396" s="10"/>
      <c r="AH396" s="10"/>
      <c r="AI396" s="10"/>
      <c r="AJ396" s="10"/>
      <c r="AK396" s="10"/>
      <c r="AL396" s="10" t="s">
        <v>3172</v>
      </c>
      <c r="AM396" s="10"/>
      <c r="AN396" s="10"/>
      <c r="AO396" s="13" t="b">
        <v>0</v>
      </c>
      <c r="AP396" s="10" t="s">
        <v>104</v>
      </c>
      <c r="AQ396" s="10"/>
      <c r="AR396" s="17"/>
      <c r="AS396" s="17"/>
      <c r="AT396" s="17"/>
      <c r="AU396" s="17"/>
      <c r="AV396" s="17"/>
      <c r="AW396" s="10"/>
      <c r="AX396" s="17"/>
      <c r="AY396" s="18" t="s">
        <v>257</v>
      </c>
      <c r="AZ396" s="10"/>
      <c r="BA396" s="20" t="b">
        <v>0</v>
      </c>
      <c r="BB396" s="10"/>
      <c r="BC396" s="17" t="s">
        <v>257</v>
      </c>
      <c r="BD396" s="17" t="s">
        <v>257</v>
      </c>
      <c r="BE396" s="17" t="s">
        <v>257</v>
      </c>
      <c r="BF396" s="17" t="s">
        <v>257</v>
      </c>
      <c r="BG396" s="11">
        <f ca="1">IFERROR(__xludf.DUMMYFUNCTION("""COMPUTED_VALUE"""),46166)</f>
        <v>46166</v>
      </c>
      <c r="BH396" s="17"/>
      <c r="BI396" s="17"/>
      <c r="BJ396" s="15"/>
      <c r="BK396" s="15"/>
      <c r="BL396" s="13" t="b">
        <v>0</v>
      </c>
      <c r="BM396" s="10"/>
      <c r="BN396" s="10" t="s">
        <v>223</v>
      </c>
      <c r="BO396" s="11">
        <v>45827.420949074076</v>
      </c>
      <c r="BP396" s="11">
        <v>45827.420949074076</v>
      </c>
      <c r="BQ396" s="15"/>
      <c r="BR396" s="15"/>
      <c r="BS396" s="10"/>
      <c r="BT396" s="10"/>
      <c r="BU396" s="10"/>
      <c r="BV396" s="10"/>
      <c r="BW396" s="10"/>
      <c r="BX396" s="10"/>
      <c r="BY396" s="23"/>
      <c r="BZ396" s="24" t="s">
        <v>299</v>
      </c>
      <c r="CA396" s="23"/>
      <c r="CB396" s="23"/>
      <c r="CC396" s="23"/>
      <c r="CD396" s="23"/>
      <c r="CE396" s="23"/>
      <c r="CF396" s="23"/>
      <c r="CG396" s="23"/>
      <c r="CH396" s="23"/>
      <c r="CI396" s="23"/>
    </row>
    <row r="397" spans="1:87" x14ac:dyDescent="0.3">
      <c r="A397" s="9" t="s">
        <v>3209</v>
      </c>
      <c r="B397" s="10" t="s">
        <v>3210</v>
      </c>
      <c r="C397" s="11">
        <v>45892.979166666664</v>
      </c>
      <c r="D397" s="12">
        <v>8.3333333333333329E-2</v>
      </c>
      <c r="E397" s="11">
        <v>45893.0625</v>
      </c>
      <c r="F397" s="10" t="s">
        <v>3211</v>
      </c>
      <c r="G397" s="13" t="b">
        <v>0</v>
      </c>
      <c r="H397" s="10" t="s">
        <v>3212</v>
      </c>
      <c r="I397" s="10" t="s">
        <v>3213</v>
      </c>
      <c r="J397" s="13" t="b">
        <v>0</v>
      </c>
      <c r="K397" s="13" t="b">
        <v>1</v>
      </c>
      <c r="L397" s="10" t="s">
        <v>124</v>
      </c>
      <c r="M397" s="10" t="s">
        <v>91</v>
      </c>
      <c r="N397" s="10" t="s">
        <v>92</v>
      </c>
      <c r="O397" s="19" t="s">
        <v>3214</v>
      </c>
      <c r="P397" s="10" t="s">
        <v>3215</v>
      </c>
      <c r="Q397" s="10" t="s">
        <v>94</v>
      </c>
      <c r="R397" s="10"/>
      <c r="S397" s="19" t="s">
        <v>3216</v>
      </c>
      <c r="T397" s="10"/>
      <c r="U397" s="10" t="s">
        <v>3217</v>
      </c>
      <c r="V397" s="10" t="s">
        <v>3218</v>
      </c>
      <c r="W397" s="10" t="s">
        <v>3219</v>
      </c>
      <c r="X397" s="10" t="s">
        <v>130</v>
      </c>
      <c r="Y397" s="10" t="s">
        <v>130</v>
      </c>
      <c r="Z397" s="10" t="s">
        <v>99</v>
      </c>
      <c r="AA397" s="10" t="s">
        <v>131</v>
      </c>
      <c r="AB397" s="10" t="s">
        <v>3220</v>
      </c>
      <c r="AC397" s="10" t="s">
        <v>3221</v>
      </c>
      <c r="AD397" s="10" t="s">
        <v>3222</v>
      </c>
      <c r="AE397" s="10" t="s">
        <v>3223</v>
      </c>
      <c r="AF397" s="15"/>
      <c r="AG397" s="10"/>
      <c r="AH397" s="10"/>
      <c r="AI397" s="10"/>
      <c r="AJ397" s="10"/>
      <c r="AK397" s="10" t="s">
        <v>102</v>
      </c>
      <c r="AL397" s="10" t="s">
        <v>103</v>
      </c>
      <c r="AM397" s="10"/>
      <c r="AN397" s="10"/>
      <c r="AO397" s="13" t="b">
        <v>0</v>
      </c>
      <c r="AP397" s="10" t="s">
        <v>104</v>
      </c>
      <c r="AQ397" s="10">
        <f ca="1">IFERROR(__xludf.DUMMYFUNCTION("""COMPUTED_VALUE"""),4514272)</f>
        <v>4514272</v>
      </c>
      <c r="AR397" s="17">
        <v>10822</v>
      </c>
      <c r="AS397" s="17">
        <v>8200</v>
      </c>
      <c r="AT397" s="17">
        <v>48691.5</v>
      </c>
      <c r="AU397" s="17">
        <v>72.5</v>
      </c>
      <c r="AV397" s="17">
        <v>35.85</v>
      </c>
      <c r="AW397" s="10" t="s">
        <v>105</v>
      </c>
      <c r="AX397" s="17">
        <v>1353</v>
      </c>
      <c r="AY397" s="18">
        <v>5.9379878048780483</v>
      </c>
      <c r="AZ397" s="10" t="s">
        <v>117</v>
      </c>
      <c r="BA397" s="20" t="b">
        <v>0</v>
      </c>
      <c r="BB397" s="10"/>
      <c r="BC397" s="17">
        <v>10822</v>
      </c>
      <c r="BD397" s="17">
        <v>8200</v>
      </c>
      <c r="BE397" s="17">
        <v>48691.5</v>
      </c>
      <c r="BF397" s="17">
        <v>35.85</v>
      </c>
      <c r="BG397" s="11">
        <f ca="1">IFERROR(__xludf.DUMMYFUNCTION("""COMPUTED_VALUE"""),45892.9791666666)</f>
        <v>45892.979166666599</v>
      </c>
      <c r="BH397" s="17" t="s">
        <v>105</v>
      </c>
      <c r="BI397" s="17"/>
      <c r="BJ397" s="15"/>
      <c r="BK397" s="15"/>
      <c r="BL397" s="13" t="b">
        <v>0</v>
      </c>
      <c r="BM397" s="10"/>
      <c r="BN397" s="10" t="s">
        <v>118</v>
      </c>
      <c r="BO397" s="11">
        <v>45833.697222222225</v>
      </c>
      <c r="BP397" s="11">
        <v>45889.693773148145</v>
      </c>
      <c r="BQ397" s="15">
        <v>45883.570706018516</v>
      </c>
      <c r="BR397" s="15">
        <v>45890.744837962964</v>
      </c>
      <c r="BS397" s="10" t="s">
        <v>118</v>
      </c>
      <c r="BT397" s="10" t="s">
        <v>99</v>
      </c>
      <c r="BU397" s="10"/>
      <c r="BV397" s="10"/>
      <c r="BW397" s="10"/>
      <c r="BX397" s="10"/>
      <c r="BY397" s="23"/>
      <c r="BZ397" s="23"/>
      <c r="CA397" s="19" t="s">
        <v>3224</v>
      </c>
      <c r="CB397" s="23"/>
      <c r="CC397" s="23"/>
      <c r="CD397" s="23"/>
      <c r="CE397" s="23"/>
      <c r="CF397" s="23"/>
      <c r="CG397" s="23"/>
      <c r="CH397" s="23"/>
      <c r="CI397" s="23"/>
    </row>
    <row r="398" spans="1:87" x14ac:dyDescent="0.3">
      <c r="A398" s="9" t="s">
        <v>3225</v>
      </c>
      <c r="B398" s="10" t="s">
        <v>3226</v>
      </c>
      <c r="C398" s="11">
        <v>45893.072916666664</v>
      </c>
      <c r="D398" s="12">
        <v>8.3333333333333329E-2</v>
      </c>
      <c r="E398" s="11">
        <v>45893.15625</v>
      </c>
      <c r="F398" s="10" t="s">
        <v>3211</v>
      </c>
      <c r="G398" s="13" t="b">
        <v>0</v>
      </c>
      <c r="H398" s="10" t="s">
        <v>3212</v>
      </c>
      <c r="I398" s="10" t="s">
        <v>3213</v>
      </c>
      <c r="J398" s="13" t="b">
        <v>0</v>
      </c>
      <c r="K398" s="13" t="b">
        <v>1</v>
      </c>
      <c r="L398" s="10" t="s">
        <v>124</v>
      </c>
      <c r="M398" s="10" t="s">
        <v>91</v>
      </c>
      <c r="N398" s="10" t="s">
        <v>92</v>
      </c>
      <c r="O398" s="19" t="s">
        <v>3227</v>
      </c>
      <c r="P398" s="10" t="s">
        <v>3215</v>
      </c>
      <c r="Q398" s="10" t="s">
        <v>126</v>
      </c>
      <c r="R398" s="10"/>
      <c r="S398" s="19" t="s">
        <v>3228</v>
      </c>
      <c r="T398" s="10"/>
      <c r="U398" s="10" t="s">
        <v>3229</v>
      </c>
      <c r="V398" s="10" t="s">
        <v>3230</v>
      </c>
      <c r="W398" s="10" t="s">
        <v>3219</v>
      </c>
      <c r="X398" s="10" t="s">
        <v>130</v>
      </c>
      <c r="Y398" s="10" t="s">
        <v>130</v>
      </c>
      <c r="Z398" s="10" t="s">
        <v>99</v>
      </c>
      <c r="AA398" s="10" t="s">
        <v>131</v>
      </c>
      <c r="AB398" s="10" t="s">
        <v>3220</v>
      </c>
      <c r="AC398" s="10" t="s">
        <v>3221</v>
      </c>
      <c r="AD398" s="10" t="s">
        <v>3231</v>
      </c>
      <c r="AE398" s="10" t="s">
        <v>3232</v>
      </c>
      <c r="AF398" s="15"/>
      <c r="AG398" s="10"/>
      <c r="AH398" s="10"/>
      <c r="AI398" s="10"/>
      <c r="AJ398" s="10"/>
      <c r="AK398" s="10" t="s">
        <v>102</v>
      </c>
      <c r="AL398" s="10" t="s">
        <v>103</v>
      </c>
      <c r="AM398" s="10"/>
      <c r="AN398" s="10"/>
      <c r="AO398" s="13" t="b">
        <v>1</v>
      </c>
      <c r="AP398" s="10" t="s">
        <v>104</v>
      </c>
      <c r="AQ398" s="10">
        <f ca="1">IFERROR(__xludf.DUMMYFUNCTION("""COMPUTED_VALUE"""),4514293)</f>
        <v>4514293</v>
      </c>
      <c r="AR398" s="17">
        <v>13323</v>
      </c>
      <c r="AS398" s="17">
        <v>9188</v>
      </c>
      <c r="AT398" s="17">
        <v>264134</v>
      </c>
      <c r="AU398" s="17">
        <v>223.95</v>
      </c>
      <c r="AV398" s="17">
        <v>95.8</v>
      </c>
      <c r="AW398" s="10" t="s">
        <v>105</v>
      </c>
      <c r="AX398" s="17">
        <v>3196</v>
      </c>
      <c r="AY398" s="18">
        <v>28.74771441010013</v>
      </c>
      <c r="AZ398" s="10" t="s">
        <v>117</v>
      </c>
      <c r="BA398" s="20" t="b">
        <v>0</v>
      </c>
      <c r="BB398" s="10"/>
      <c r="BC398" s="17">
        <v>13323</v>
      </c>
      <c r="BD398" s="17">
        <v>9188</v>
      </c>
      <c r="BE398" s="17">
        <v>264134</v>
      </c>
      <c r="BF398" s="17">
        <v>95.8</v>
      </c>
      <c r="BG398" s="11">
        <f ca="1">IFERROR(__xludf.DUMMYFUNCTION("""COMPUTED_VALUE"""),45893.0729166666)</f>
        <v>45893.072916666599</v>
      </c>
      <c r="BH398" s="17" t="s">
        <v>105</v>
      </c>
      <c r="BI398" s="17"/>
      <c r="BJ398" s="15"/>
      <c r="BK398" s="15"/>
      <c r="BL398" s="13" t="b">
        <v>0</v>
      </c>
      <c r="BM398" s="10"/>
      <c r="BN398" s="10" t="s">
        <v>667</v>
      </c>
      <c r="BO398" s="11">
        <v>45833.698611111111</v>
      </c>
      <c r="BP398" s="11">
        <v>45889.694131944445</v>
      </c>
      <c r="BQ398" s="15">
        <v>45883.571296296293</v>
      </c>
      <c r="BR398" s="15">
        <v>45890.756076388891</v>
      </c>
      <c r="BS398" s="10" t="s">
        <v>667</v>
      </c>
      <c r="BT398" s="10" t="s">
        <v>279</v>
      </c>
      <c r="BU398" s="10" t="s">
        <v>298</v>
      </c>
      <c r="BV398" s="10"/>
      <c r="BW398" s="10"/>
      <c r="BX398" s="10"/>
      <c r="BY398" s="23"/>
      <c r="BZ398" s="23"/>
      <c r="CA398" s="19" t="s">
        <v>3233</v>
      </c>
      <c r="CB398" s="23"/>
      <c r="CC398" s="23"/>
      <c r="CD398" s="19" t="s">
        <v>3234</v>
      </c>
      <c r="CE398" s="23"/>
      <c r="CF398" s="23"/>
      <c r="CG398" s="23"/>
      <c r="CH398" s="23"/>
      <c r="CI398" s="23"/>
    </row>
    <row r="399" spans="1:87" x14ac:dyDescent="0.3">
      <c r="A399" s="9" t="s">
        <v>3235</v>
      </c>
      <c r="B399" s="10" t="s">
        <v>3236</v>
      </c>
      <c r="C399" s="11">
        <v>45893.979166666664</v>
      </c>
      <c r="D399" s="12">
        <v>8.3333333333333329E-2</v>
      </c>
      <c r="E399" s="11">
        <v>45894.0625</v>
      </c>
      <c r="F399" s="10" t="s">
        <v>3211</v>
      </c>
      <c r="G399" s="13" t="b">
        <v>0</v>
      </c>
      <c r="H399" s="10" t="s">
        <v>3212</v>
      </c>
      <c r="I399" s="10" t="s">
        <v>3213</v>
      </c>
      <c r="J399" s="13" t="b">
        <v>0</v>
      </c>
      <c r="K399" s="13" t="b">
        <v>1</v>
      </c>
      <c r="L399" s="10" t="s">
        <v>124</v>
      </c>
      <c r="M399" s="10" t="s">
        <v>91</v>
      </c>
      <c r="N399" s="10" t="s">
        <v>92</v>
      </c>
      <c r="O399" s="19" t="s">
        <v>3237</v>
      </c>
      <c r="P399" s="10" t="s">
        <v>3215</v>
      </c>
      <c r="Q399" s="10" t="s">
        <v>126</v>
      </c>
      <c r="R399" s="10"/>
      <c r="S399" s="19" t="s">
        <v>3238</v>
      </c>
      <c r="T399" s="10"/>
      <c r="U399" s="10" t="s">
        <v>3239</v>
      </c>
      <c r="V399" s="10" t="s">
        <v>3240</v>
      </c>
      <c r="W399" s="10" t="s">
        <v>3219</v>
      </c>
      <c r="X399" s="10" t="s">
        <v>130</v>
      </c>
      <c r="Y399" s="10" t="s">
        <v>130</v>
      </c>
      <c r="Z399" s="10" t="s">
        <v>99</v>
      </c>
      <c r="AA399" s="10" t="s">
        <v>131</v>
      </c>
      <c r="AB399" s="10" t="s">
        <v>3220</v>
      </c>
      <c r="AC399" s="10" t="s">
        <v>3221</v>
      </c>
      <c r="AD399" s="10" t="s">
        <v>3241</v>
      </c>
      <c r="AE399" s="10" t="s">
        <v>3242</v>
      </c>
      <c r="AF399" s="15"/>
      <c r="AG399" s="10"/>
      <c r="AH399" s="10"/>
      <c r="AI399" s="10"/>
      <c r="AJ399" s="10"/>
      <c r="AK399" s="10" t="s">
        <v>102</v>
      </c>
      <c r="AL399" s="10" t="s">
        <v>103</v>
      </c>
      <c r="AM399" s="10"/>
      <c r="AN399" s="10"/>
      <c r="AO399" s="13" t="b">
        <v>0</v>
      </c>
      <c r="AP399" s="10" t="s">
        <v>104</v>
      </c>
      <c r="AQ399" s="10">
        <f ca="1">IFERROR(__xludf.DUMMYFUNCTION("""COMPUTED_VALUE"""),4520554)</f>
        <v>4520554</v>
      </c>
      <c r="AR399" s="17">
        <v>9440</v>
      </c>
      <c r="AS399" s="17">
        <v>7669</v>
      </c>
      <c r="AT399" s="17">
        <v>95933.25</v>
      </c>
      <c r="AU399" s="17">
        <v>49.35</v>
      </c>
      <c r="AV399" s="17">
        <v>23.35</v>
      </c>
      <c r="AW399" s="10" t="s">
        <v>105</v>
      </c>
      <c r="AX399" s="17">
        <v>1965</v>
      </c>
      <c r="AY399" s="18">
        <v>12.509225453122962</v>
      </c>
      <c r="AZ399" s="10" t="s">
        <v>117</v>
      </c>
      <c r="BA399" s="20" t="b">
        <v>0</v>
      </c>
      <c r="BB399" s="10"/>
      <c r="BC399" s="17">
        <v>9440</v>
      </c>
      <c r="BD399" s="17">
        <v>7669</v>
      </c>
      <c r="BE399" s="17">
        <v>95933.25</v>
      </c>
      <c r="BF399" s="17">
        <v>23.35</v>
      </c>
      <c r="BG399" s="11">
        <f ca="1">IFERROR(__xludf.DUMMYFUNCTION("""COMPUTED_VALUE"""),45893.9791666666)</f>
        <v>45893.979166666599</v>
      </c>
      <c r="BH399" s="17" t="s">
        <v>105</v>
      </c>
      <c r="BI399" s="17"/>
      <c r="BJ399" s="15"/>
      <c r="BK399" s="15"/>
      <c r="BL399" s="13" t="b">
        <v>0</v>
      </c>
      <c r="BM399" s="10"/>
      <c r="BN399" s="10" t="s">
        <v>157</v>
      </c>
      <c r="BO399" s="11">
        <v>45833.7</v>
      </c>
      <c r="BP399" s="11">
        <v>45889.694641203707</v>
      </c>
      <c r="BQ399" s="15">
        <v>45883.571759259263</v>
      </c>
      <c r="BR399" s="15">
        <v>45893.410277777781</v>
      </c>
      <c r="BS399" s="10" t="s">
        <v>157</v>
      </c>
      <c r="BT399" s="10" t="s">
        <v>99</v>
      </c>
      <c r="BU399" s="10" t="s">
        <v>498</v>
      </c>
      <c r="BV399" s="10"/>
      <c r="BW399" s="10"/>
      <c r="BX399" s="10"/>
      <c r="BY399" s="23"/>
      <c r="BZ399" s="23"/>
      <c r="CA399" s="19" t="s">
        <v>3243</v>
      </c>
      <c r="CB399" s="23"/>
      <c r="CC399" s="23"/>
      <c r="CD399" s="19" t="s">
        <v>3244</v>
      </c>
      <c r="CE399" s="23"/>
      <c r="CF399" s="23"/>
      <c r="CG399" s="23"/>
      <c r="CH399" s="23"/>
      <c r="CI399" s="23"/>
    </row>
    <row r="400" spans="1:87" x14ac:dyDescent="0.3">
      <c r="A400" s="9" t="s">
        <v>3245</v>
      </c>
      <c r="B400" s="10" t="s">
        <v>3246</v>
      </c>
      <c r="C400" s="11">
        <v>45893.979166666664</v>
      </c>
      <c r="D400" s="12">
        <v>8.3333333333333329E-2</v>
      </c>
      <c r="E400" s="11">
        <v>45894.0625</v>
      </c>
      <c r="F400" s="10" t="s">
        <v>3211</v>
      </c>
      <c r="G400" s="13" t="b">
        <v>0</v>
      </c>
      <c r="H400" s="10" t="s">
        <v>3212</v>
      </c>
      <c r="I400" s="10" t="s">
        <v>3213</v>
      </c>
      <c r="J400" s="13" t="b">
        <v>0</v>
      </c>
      <c r="K400" s="13" t="b">
        <v>1</v>
      </c>
      <c r="L400" s="10" t="s">
        <v>124</v>
      </c>
      <c r="M400" s="10" t="s">
        <v>91</v>
      </c>
      <c r="N400" s="10" t="s">
        <v>92</v>
      </c>
      <c r="O400" s="19" t="s">
        <v>3247</v>
      </c>
      <c r="P400" s="10" t="s">
        <v>88</v>
      </c>
      <c r="Q400" s="10" t="s">
        <v>126</v>
      </c>
      <c r="R400" s="10"/>
      <c r="S400" s="19" t="s">
        <v>3248</v>
      </c>
      <c r="T400" s="10"/>
      <c r="U400" s="10" t="s">
        <v>3249</v>
      </c>
      <c r="V400" s="10" t="s">
        <v>3250</v>
      </c>
      <c r="W400" s="10" t="s">
        <v>3219</v>
      </c>
      <c r="X400" s="10" t="s">
        <v>130</v>
      </c>
      <c r="Y400" s="10" t="s">
        <v>130</v>
      </c>
      <c r="Z400" s="10" t="s">
        <v>99</v>
      </c>
      <c r="AA400" s="10" t="s">
        <v>131</v>
      </c>
      <c r="AB400" s="10" t="s">
        <v>3220</v>
      </c>
      <c r="AC400" s="10" t="s">
        <v>3221</v>
      </c>
      <c r="AD400" s="10" t="s">
        <v>3251</v>
      </c>
      <c r="AE400" s="10" t="s">
        <v>3252</v>
      </c>
      <c r="AF400" s="15"/>
      <c r="AG400" s="10"/>
      <c r="AH400" s="10"/>
      <c r="AI400" s="10"/>
      <c r="AJ400" s="10"/>
      <c r="AK400" s="10" t="s">
        <v>102</v>
      </c>
      <c r="AL400" s="10" t="s">
        <v>103</v>
      </c>
      <c r="AM400" s="10"/>
      <c r="AN400" s="10"/>
      <c r="AO400" s="13" t="b">
        <v>0</v>
      </c>
      <c r="AP400" s="10" t="s">
        <v>104</v>
      </c>
      <c r="AQ400" s="10">
        <f ca="1">IFERROR(__xludf.DUMMYFUNCTION("""COMPUTED_VALUE"""),4514312)</f>
        <v>4514312</v>
      </c>
      <c r="AR400" s="17">
        <v>21275</v>
      </c>
      <c r="AS400" s="17">
        <v>17062</v>
      </c>
      <c r="AT400" s="17">
        <v>369380.5</v>
      </c>
      <c r="AU400" s="17">
        <v>280.35000000000002</v>
      </c>
      <c r="AV400" s="17">
        <v>109.15</v>
      </c>
      <c r="AW400" s="10" t="s">
        <v>105</v>
      </c>
      <c r="AX400" s="17">
        <v>4826</v>
      </c>
      <c r="AY400" s="18">
        <v>21.649308404641893</v>
      </c>
      <c r="AZ400" s="10" t="s">
        <v>117</v>
      </c>
      <c r="BA400" s="20" t="b">
        <v>0</v>
      </c>
      <c r="BB400" s="10"/>
      <c r="BC400" s="17">
        <v>21275</v>
      </c>
      <c r="BD400" s="17">
        <v>17062</v>
      </c>
      <c r="BE400" s="17">
        <v>369380.5</v>
      </c>
      <c r="BF400" s="17">
        <v>109.15</v>
      </c>
      <c r="BG400" s="11">
        <f ca="1">IFERROR(__xludf.DUMMYFUNCTION("""COMPUTED_VALUE"""),45893.9791666666)</f>
        <v>45893.979166666599</v>
      </c>
      <c r="BH400" s="17" t="s">
        <v>105</v>
      </c>
      <c r="BI400" s="17"/>
      <c r="BJ400" s="15"/>
      <c r="BK400" s="15"/>
      <c r="BL400" s="13" t="b">
        <v>0</v>
      </c>
      <c r="BM400" s="10"/>
      <c r="BN400" s="10" t="s">
        <v>157</v>
      </c>
      <c r="BO400" s="11">
        <v>45833.70208333333</v>
      </c>
      <c r="BP400" s="11">
        <v>45889.694745370369</v>
      </c>
      <c r="BQ400" s="15">
        <v>45883.571956018517</v>
      </c>
      <c r="BR400" s="15">
        <v>45890.759733796294</v>
      </c>
      <c r="BS400" s="10" t="s">
        <v>157</v>
      </c>
      <c r="BT400" s="10" t="s">
        <v>99</v>
      </c>
      <c r="BU400" s="10" t="s">
        <v>816</v>
      </c>
      <c r="BV400" s="10"/>
      <c r="BW400" s="10"/>
      <c r="BX400" s="10"/>
      <c r="BY400" s="23"/>
      <c r="BZ400" s="23"/>
      <c r="CA400" s="19" t="s">
        <v>3253</v>
      </c>
      <c r="CB400" s="23"/>
      <c r="CC400" s="23"/>
      <c r="CD400" s="19" t="s">
        <v>3254</v>
      </c>
      <c r="CE400" s="23"/>
      <c r="CF400" s="23"/>
      <c r="CG400" s="23"/>
      <c r="CH400" s="23"/>
      <c r="CI400" s="23"/>
    </row>
    <row r="401" spans="1:87" x14ac:dyDescent="0.3">
      <c r="A401" s="9" t="s">
        <v>3255</v>
      </c>
      <c r="B401" s="10" t="s">
        <v>3256</v>
      </c>
      <c r="C401" s="11">
        <v>45894.072916666664</v>
      </c>
      <c r="D401" s="12">
        <v>8.3333333333333329E-2</v>
      </c>
      <c r="E401" s="11">
        <v>45894.15625</v>
      </c>
      <c r="F401" s="10" t="s">
        <v>3211</v>
      </c>
      <c r="G401" s="13" t="b">
        <v>0</v>
      </c>
      <c r="H401" s="10" t="s">
        <v>3212</v>
      </c>
      <c r="I401" s="10" t="s">
        <v>3213</v>
      </c>
      <c r="J401" s="13" t="b">
        <v>0</v>
      </c>
      <c r="K401" s="13" t="b">
        <v>1</v>
      </c>
      <c r="L401" s="10" t="s">
        <v>124</v>
      </c>
      <c r="M401" s="10" t="s">
        <v>91</v>
      </c>
      <c r="N401" s="10" t="s">
        <v>92</v>
      </c>
      <c r="O401" s="19" t="s">
        <v>3257</v>
      </c>
      <c r="P401" s="10" t="s">
        <v>88</v>
      </c>
      <c r="Q401" s="10" t="s">
        <v>126</v>
      </c>
      <c r="R401" s="10"/>
      <c r="S401" s="19" t="s">
        <v>3258</v>
      </c>
      <c r="T401" s="10"/>
      <c r="U401" s="10" t="s">
        <v>3259</v>
      </c>
      <c r="V401" s="10" t="s">
        <v>3260</v>
      </c>
      <c r="W401" s="10" t="s">
        <v>3219</v>
      </c>
      <c r="X401" s="10" t="s">
        <v>130</v>
      </c>
      <c r="Y401" s="10" t="s">
        <v>130</v>
      </c>
      <c r="Z401" s="10" t="s">
        <v>99</v>
      </c>
      <c r="AA401" s="10" t="s">
        <v>131</v>
      </c>
      <c r="AB401" s="10" t="s">
        <v>3220</v>
      </c>
      <c r="AC401" s="10" t="s">
        <v>3221</v>
      </c>
      <c r="AD401" s="10" t="s">
        <v>3261</v>
      </c>
      <c r="AE401" s="10" t="s">
        <v>3262</v>
      </c>
      <c r="AF401" s="15"/>
      <c r="AG401" s="10"/>
      <c r="AH401" s="10"/>
      <c r="AI401" s="10"/>
      <c r="AJ401" s="10"/>
      <c r="AK401" s="10" t="s">
        <v>102</v>
      </c>
      <c r="AL401" s="10" t="s">
        <v>103</v>
      </c>
      <c r="AM401" s="10"/>
      <c r="AN401" s="10"/>
      <c r="AO401" s="13" t="b">
        <v>1</v>
      </c>
      <c r="AP401" s="10" t="s">
        <v>104</v>
      </c>
      <c r="AQ401" s="10">
        <f ca="1">IFERROR(__xludf.DUMMYFUNCTION("""COMPUTED_VALUE"""),4520557)</f>
        <v>4520557</v>
      </c>
      <c r="AR401" s="17">
        <v>21204</v>
      </c>
      <c r="AS401" s="17">
        <v>14713</v>
      </c>
      <c r="AT401" s="17">
        <v>535599.25</v>
      </c>
      <c r="AU401" s="17">
        <v>506.65</v>
      </c>
      <c r="AV401" s="17">
        <v>217.4</v>
      </c>
      <c r="AW401" s="10" t="s">
        <v>105</v>
      </c>
      <c r="AX401" s="17">
        <v>6144</v>
      </c>
      <c r="AY401" s="18">
        <v>36.403129885135591</v>
      </c>
      <c r="AZ401" s="10" t="s">
        <v>117</v>
      </c>
      <c r="BA401" s="20" t="b">
        <v>0</v>
      </c>
      <c r="BB401" s="10"/>
      <c r="BC401" s="17">
        <v>21204</v>
      </c>
      <c r="BD401" s="17">
        <v>14713</v>
      </c>
      <c r="BE401" s="17">
        <v>535599.25</v>
      </c>
      <c r="BF401" s="17">
        <v>217.4</v>
      </c>
      <c r="BG401" s="11">
        <f ca="1">IFERROR(__xludf.DUMMYFUNCTION("""COMPUTED_VALUE"""),45894.0729166666)</f>
        <v>45894.072916666599</v>
      </c>
      <c r="BH401" s="17" t="s">
        <v>105</v>
      </c>
      <c r="BI401" s="17"/>
      <c r="BJ401" s="15"/>
      <c r="BK401" s="15"/>
      <c r="BL401" s="13" t="b">
        <v>0</v>
      </c>
      <c r="BM401" s="10"/>
      <c r="BN401" s="10" t="s">
        <v>197</v>
      </c>
      <c r="BO401" s="11">
        <v>45833.702777777777</v>
      </c>
      <c r="BP401" s="11">
        <v>45889.694884259261</v>
      </c>
      <c r="BQ401" s="15">
        <v>45883.57230324074</v>
      </c>
      <c r="BR401" s="15">
        <v>45893.417060185187</v>
      </c>
      <c r="BS401" s="10" t="s">
        <v>197</v>
      </c>
      <c r="BT401" s="10" t="s">
        <v>279</v>
      </c>
      <c r="BU401" s="10"/>
      <c r="BV401" s="10"/>
      <c r="BW401" s="10"/>
      <c r="BX401" s="10"/>
      <c r="BY401" s="23"/>
      <c r="BZ401" s="23"/>
      <c r="CA401" s="19" t="s">
        <v>3263</v>
      </c>
      <c r="CB401" s="23"/>
      <c r="CC401" s="23"/>
      <c r="CD401" s="19" t="s">
        <v>3264</v>
      </c>
      <c r="CE401" s="23"/>
      <c r="CF401" s="23"/>
      <c r="CG401" s="23"/>
      <c r="CH401" s="23"/>
      <c r="CI401" s="23"/>
    </row>
    <row r="402" spans="1:87" x14ac:dyDescent="0.3">
      <c r="A402" s="9" t="s">
        <v>3265</v>
      </c>
      <c r="B402" s="10" t="s">
        <v>3266</v>
      </c>
      <c r="C402" s="11">
        <v>45894.979166666664</v>
      </c>
      <c r="D402" s="12">
        <v>8.3333333333333329E-2</v>
      </c>
      <c r="E402" s="11">
        <v>45895.0625</v>
      </c>
      <c r="F402" s="10" t="s">
        <v>3211</v>
      </c>
      <c r="G402" s="13" t="b">
        <v>0</v>
      </c>
      <c r="H402" s="10" t="s">
        <v>3212</v>
      </c>
      <c r="I402" s="10" t="s">
        <v>3213</v>
      </c>
      <c r="J402" s="13" t="b">
        <v>0</v>
      </c>
      <c r="K402" s="13" t="b">
        <v>1</v>
      </c>
      <c r="L402" s="10" t="s">
        <v>124</v>
      </c>
      <c r="M402" s="10" t="s">
        <v>91</v>
      </c>
      <c r="N402" s="10" t="s">
        <v>92</v>
      </c>
      <c r="O402" s="19" t="s">
        <v>3267</v>
      </c>
      <c r="P402" s="10" t="s">
        <v>3215</v>
      </c>
      <c r="Q402" s="10" t="s">
        <v>94</v>
      </c>
      <c r="R402" s="10"/>
      <c r="S402" s="19" t="s">
        <v>3268</v>
      </c>
      <c r="T402" s="10"/>
      <c r="U402" s="10" t="s">
        <v>3269</v>
      </c>
      <c r="V402" s="10" t="s">
        <v>3270</v>
      </c>
      <c r="W402" s="10" t="s">
        <v>3219</v>
      </c>
      <c r="X402" s="10" t="s">
        <v>130</v>
      </c>
      <c r="Y402" s="10" t="s">
        <v>130</v>
      </c>
      <c r="Z402" s="10" t="s">
        <v>99</v>
      </c>
      <c r="AA402" s="10" t="s">
        <v>131</v>
      </c>
      <c r="AB402" s="10" t="s">
        <v>3220</v>
      </c>
      <c r="AC402" s="10" t="s">
        <v>3221</v>
      </c>
      <c r="AD402" s="10" t="s">
        <v>3271</v>
      </c>
      <c r="AE402" s="10" t="s">
        <v>3272</v>
      </c>
      <c r="AF402" s="15"/>
      <c r="AG402" s="10"/>
      <c r="AH402" s="10"/>
      <c r="AI402" s="10"/>
      <c r="AJ402" s="10"/>
      <c r="AK402" s="10" t="s">
        <v>102</v>
      </c>
      <c r="AL402" s="10" t="s">
        <v>103</v>
      </c>
      <c r="AM402" s="10"/>
      <c r="AN402" s="10"/>
      <c r="AO402" s="13" t="b">
        <v>0</v>
      </c>
      <c r="AP402" s="10" t="s">
        <v>104</v>
      </c>
      <c r="AQ402" s="10">
        <f ca="1">IFERROR(__xludf.DUMMYFUNCTION("""COMPUTED_VALUE"""),4520564)</f>
        <v>4520564</v>
      </c>
      <c r="AR402" s="17">
        <v>8305</v>
      </c>
      <c r="AS402" s="17">
        <v>6895</v>
      </c>
      <c r="AT402" s="17">
        <v>129137.5</v>
      </c>
      <c r="AU402" s="17">
        <v>90.25</v>
      </c>
      <c r="AV402" s="17">
        <v>37.200000000000003</v>
      </c>
      <c r="AW402" s="10" t="s">
        <v>105</v>
      </c>
      <c r="AX402" s="17">
        <v>1753</v>
      </c>
      <c r="AY402" s="18">
        <v>18.729151559100799</v>
      </c>
      <c r="AZ402" s="10" t="s">
        <v>117</v>
      </c>
      <c r="BA402" s="20" t="b">
        <v>0</v>
      </c>
      <c r="BB402" s="10"/>
      <c r="BC402" s="17">
        <v>8305</v>
      </c>
      <c r="BD402" s="17">
        <v>6895</v>
      </c>
      <c r="BE402" s="17">
        <v>129137.5</v>
      </c>
      <c r="BF402" s="17">
        <v>37.200000000000003</v>
      </c>
      <c r="BG402" s="11">
        <f ca="1">IFERROR(__xludf.DUMMYFUNCTION("""COMPUTED_VALUE"""),45894.9791666666)</f>
        <v>45894.979166666599</v>
      </c>
      <c r="BH402" s="17" t="s">
        <v>105</v>
      </c>
      <c r="BI402" s="17"/>
      <c r="BJ402" s="15"/>
      <c r="BK402" s="15"/>
      <c r="BL402" s="13" t="b">
        <v>0</v>
      </c>
      <c r="BM402" s="10"/>
      <c r="BN402" s="10" t="s">
        <v>197</v>
      </c>
      <c r="BO402" s="11">
        <v>45833.70416666667</v>
      </c>
      <c r="BP402" s="11">
        <v>45889.695069444446</v>
      </c>
      <c r="BQ402" s="15">
        <v>45883.572916666664</v>
      </c>
      <c r="BR402" s="15">
        <v>45893.434386574074</v>
      </c>
      <c r="BS402" s="10" t="s">
        <v>197</v>
      </c>
      <c r="BT402" s="10"/>
      <c r="BU402" s="10"/>
      <c r="BV402" s="10"/>
      <c r="BW402" s="10"/>
      <c r="BX402" s="10"/>
      <c r="BY402" s="23"/>
      <c r="BZ402" s="23"/>
      <c r="CA402" s="19" t="s">
        <v>3273</v>
      </c>
      <c r="CB402" s="23"/>
      <c r="CC402" s="23"/>
      <c r="CD402" s="23"/>
      <c r="CE402" s="23"/>
      <c r="CF402" s="23"/>
      <c r="CG402" s="23"/>
      <c r="CH402" s="23"/>
      <c r="CI402" s="23"/>
    </row>
    <row r="403" spans="1:87" x14ac:dyDescent="0.3">
      <c r="A403" s="9" t="s">
        <v>3274</v>
      </c>
      <c r="B403" s="10" t="s">
        <v>3275</v>
      </c>
      <c r="C403" s="11">
        <v>45895.072916666664</v>
      </c>
      <c r="D403" s="12">
        <v>8.3333333333333329E-2</v>
      </c>
      <c r="E403" s="11">
        <v>45895.15625</v>
      </c>
      <c r="F403" s="10" t="s">
        <v>3211</v>
      </c>
      <c r="G403" s="13" t="b">
        <v>0</v>
      </c>
      <c r="H403" s="10" t="s">
        <v>3212</v>
      </c>
      <c r="I403" s="10" t="s">
        <v>3213</v>
      </c>
      <c r="J403" s="13" t="b">
        <v>0</v>
      </c>
      <c r="K403" s="13" t="b">
        <v>1</v>
      </c>
      <c r="L403" s="10" t="s">
        <v>124</v>
      </c>
      <c r="M403" s="10" t="s">
        <v>91</v>
      </c>
      <c r="N403" s="10" t="s">
        <v>92</v>
      </c>
      <c r="O403" s="19" t="s">
        <v>3276</v>
      </c>
      <c r="P403" s="10" t="s">
        <v>3215</v>
      </c>
      <c r="Q403" s="10" t="s">
        <v>126</v>
      </c>
      <c r="R403" s="10"/>
      <c r="S403" s="19" t="s">
        <v>3277</v>
      </c>
      <c r="T403" s="10"/>
      <c r="U403" s="10" t="s">
        <v>3278</v>
      </c>
      <c r="V403" s="10" t="s">
        <v>3279</v>
      </c>
      <c r="W403" s="10" t="s">
        <v>3219</v>
      </c>
      <c r="X403" s="10" t="s">
        <v>130</v>
      </c>
      <c r="Y403" s="10" t="s">
        <v>130</v>
      </c>
      <c r="Z403" s="10" t="s">
        <v>99</v>
      </c>
      <c r="AA403" s="10" t="s">
        <v>131</v>
      </c>
      <c r="AB403" s="10" t="s">
        <v>3220</v>
      </c>
      <c r="AC403" s="10" t="s">
        <v>3221</v>
      </c>
      <c r="AD403" s="10" t="s">
        <v>3280</v>
      </c>
      <c r="AE403" s="10" t="s">
        <v>3281</v>
      </c>
      <c r="AF403" s="15"/>
      <c r="AG403" s="10"/>
      <c r="AH403" s="10"/>
      <c r="AI403" s="10"/>
      <c r="AJ403" s="10"/>
      <c r="AK403" s="10" t="s">
        <v>102</v>
      </c>
      <c r="AL403" s="10" t="s">
        <v>103</v>
      </c>
      <c r="AM403" s="10"/>
      <c r="AN403" s="10"/>
      <c r="AO403" s="13" t="b">
        <v>1</v>
      </c>
      <c r="AP403" s="10" t="s">
        <v>104</v>
      </c>
      <c r="AQ403" s="10">
        <f ca="1">IFERROR(__xludf.DUMMYFUNCTION("""COMPUTED_VALUE"""),4523391)</f>
        <v>4523391</v>
      </c>
      <c r="AR403" s="17">
        <v>23256</v>
      </c>
      <c r="AS403" s="17">
        <v>15426</v>
      </c>
      <c r="AT403" s="17">
        <v>608799</v>
      </c>
      <c r="AU403" s="17">
        <v>694.15</v>
      </c>
      <c r="AV403" s="17">
        <v>276.45</v>
      </c>
      <c r="AW403" s="10" t="s">
        <v>105</v>
      </c>
      <c r="AX403" s="17">
        <v>6863</v>
      </c>
      <c r="AY403" s="18">
        <v>39.465772073123297</v>
      </c>
      <c r="AZ403" s="10" t="s">
        <v>117</v>
      </c>
      <c r="BA403" s="20" t="b">
        <v>0</v>
      </c>
      <c r="BB403" s="10"/>
      <c r="BC403" s="17">
        <v>23256</v>
      </c>
      <c r="BD403" s="17">
        <v>15426</v>
      </c>
      <c r="BE403" s="17">
        <v>608799</v>
      </c>
      <c r="BF403" s="17">
        <v>276.45</v>
      </c>
      <c r="BG403" s="11">
        <f ca="1">IFERROR(__xludf.DUMMYFUNCTION("""COMPUTED_VALUE"""),45895.0729166666)</f>
        <v>45895.072916666599</v>
      </c>
      <c r="BH403" s="17" t="s">
        <v>105</v>
      </c>
      <c r="BI403" s="17"/>
      <c r="BJ403" s="15"/>
      <c r="BK403" s="15"/>
      <c r="BL403" s="13" t="b">
        <v>0</v>
      </c>
      <c r="BM403" s="10"/>
      <c r="BN403" s="10" t="s">
        <v>278</v>
      </c>
      <c r="BO403" s="11">
        <v>45833.704861111109</v>
      </c>
      <c r="BP403" s="11">
        <v>45889.695162037038</v>
      </c>
      <c r="BQ403" s="15">
        <v>45894.442129629628</v>
      </c>
      <c r="BR403" s="15">
        <v>45894.484317129631</v>
      </c>
      <c r="BS403" s="10" t="s">
        <v>278</v>
      </c>
      <c r="BT403" s="10" t="s">
        <v>99</v>
      </c>
      <c r="BU403" s="10" t="s">
        <v>280</v>
      </c>
      <c r="BV403" s="10"/>
      <c r="BW403" s="10"/>
      <c r="BX403" s="10"/>
      <c r="BY403" s="23"/>
      <c r="BZ403" s="23"/>
      <c r="CA403" s="19" t="s">
        <v>3282</v>
      </c>
      <c r="CB403" s="23"/>
      <c r="CC403" s="23"/>
      <c r="CD403" s="19" t="s">
        <v>3283</v>
      </c>
      <c r="CE403" s="23"/>
      <c r="CF403" s="23"/>
      <c r="CG403" s="23"/>
      <c r="CH403" s="23"/>
      <c r="CI403" s="23"/>
    </row>
    <row r="404" spans="1:87" x14ac:dyDescent="0.3">
      <c r="A404" s="9" t="s">
        <v>3284</v>
      </c>
      <c r="B404" s="10" t="s">
        <v>3285</v>
      </c>
      <c r="C404" s="11">
        <v>45899.072916666664</v>
      </c>
      <c r="D404" s="12">
        <v>8.3333333333333329E-2</v>
      </c>
      <c r="E404" s="11">
        <v>45899.15625</v>
      </c>
      <c r="F404" s="10" t="s">
        <v>3211</v>
      </c>
      <c r="G404" s="13" t="b">
        <v>0</v>
      </c>
      <c r="H404" s="10" t="s">
        <v>3212</v>
      </c>
      <c r="I404" s="10" t="s">
        <v>3213</v>
      </c>
      <c r="J404" s="13" t="b">
        <v>0</v>
      </c>
      <c r="K404" s="13" t="b">
        <v>1</v>
      </c>
      <c r="L404" s="10" t="s">
        <v>124</v>
      </c>
      <c r="M404" s="10" t="s">
        <v>91</v>
      </c>
      <c r="N404" s="10" t="s">
        <v>92</v>
      </c>
      <c r="O404" s="19" t="s">
        <v>3286</v>
      </c>
      <c r="P404" s="10" t="s">
        <v>88</v>
      </c>
      <c r="Q404" s="10" t="s">
        <v>126</v>
      </c>
      <c r="R404" s="10"/>
      <c r="S404" s="19" t="s">
        <v>3287</v>
      </c>
      <c r="T404" s="19" t="s">
        <v>3288</v>
      </c>
      <c r="U404" s="10" t="s">
        <v>3218</v>
      </c>
      <c r="V404" s="10" t="s">
        <v>3289</v>
      </c>
      <c r="W404" s="10" t="s">
        <v>3219</v>
      </c>
      <c r="X404" s="10" t="s">
        <v>130</v>
      </c>
      <c r="Y404" s="10" t="s">
        <v>130</v>
      </c>
      <c r="Z404" s="10" t="s">
        <v>99</v>
      </c>
      <c r="AA404" s="10" t="s">
        <v>131</v>
      </c>
      <c r="AB404" s="10" t="s">
        <v>3220</v>
      </c>
      <c r="AC404" s="10" t="s">
        <v>3221</v>
      </c>
      <c r="AD404" s="10" t="s">
        <v>3290</v>
      </c>
      <c r="AE404" s="10" t="s">
        <v>3291</v>
      </c>
      <c r="AF404" s="15"/>
      <c r="AG404" s="10"/>
      <c r="AH404" s="10"/>
      <c r="AI404" s="10"/>
      <c r="AJ404" s="10"/>
      <c r="AK404" s="10" t="s">
        <v>102</v>
      </c>
      <c r="AL404" s="10" t="s">
        <v>116</v>
      </c>
      <c r="AM404" s="10"/>
      <c r="AN404" s="10"/>
      <c r="AO404" s="13" t="b">
        <v>1</v>
      </c>
      <c r="AP404" s="10" t="s">
        <v>104</v>
      </c>
      <c r="AQ404" s="10">
        <f ca="1">IFERROR(__xludf.DUMMYFUNCTION("""COMPUTED_VALUE"""),4525579)</f>
        <v>4525579</v>
      </c>
      <c r="AR404" s="17">
        <v>24863</v>
      </c>
      <c r="AS404" s="17">
        <v>16719</v>
      </c>
      <c r="AT404" s="17">
        <v>934510.75</v>
      </c>
      <c r="AU404" s="17">
        <v>382.3</v>
      </c>
      <c r="AV404" s="17">
        <v>139</v>
      </c>
      <c r="AW404" s="10" t="s">
        <v>105</v>
      </c>
      <c r="AX404" s="17">
        <v>9019</v>
      </c>
      <c r="AY404" s="18">
        <v>55.89513427836593</v>
      </c>
      <c r="AZ404" s="10" t="s">
        <v>117</v>
      </c>
      <c r="BA404" s="20" t="b">
        <v>0</v>
      </c>
      <c r="BB404" s="10"/>
      <c r="BC404" s="17">
        <v>24863</v>
      </c>
      <c r="BD404" s="17">
        <v>16719</v>
      </c>
      <c r="BE404" s="17">
        <v>934510.75</v>
      </c>
      <c r="BF404" s="17">
        <v>139</v>
      </c>
      <c r="BG404" s="11">
        <f ca="1">IFERROR(__xludf.DUMMYFUNCTION("""COMPUTED_VALUE"""),45899.0729166666)</f>
        <v>45899.072916666599</v>
      </c>
      <c r="BH404" s="17" t="s">
        <v>105</v>
      </c>
      <c r="BI404" s="17"/>
      <c r="BJ404" s="15"/>
      <c r="BK404" s="15"/>
      <c r="BL404" s="13" t="b">
        <v>0</v>
      </c>
      <c r="BM404" s="10"/>
      <c r="BN404" s="10" t="s">
        <v>3292</v>
      </c>
      <c r="BO404" s="11">
        <v>45833.705555555556</v>
      </c>
      <c r="BP404" s="11">
        <v>45889.695347222223</v>
      </c>
      <c r="BQ404" s="15">
        <v>45894.651018518518</v>
      </c>
      <c r="BR404" s="15">
        <v>45895.42150462963</v>
      </c>
      <c r="BS404" s="10"/>
      <c r="BT404" s="10" t="s">
        <v>99</v>
      </c>
      <c r="BU404" s="10" t="s">
        <v>816</v>
      </c>
      <c r="BV404" s="10"/>
      <c r="BW404" s="10"/>
      <c r="BX404" s="10"/>
      <c r="BY404" s="23"/>
      <c r="BZ404" s="23"/>
      <c r="CA404" s="19" t="s">
        <v>3293</v>
      </c>
      <c r="CB404" s="19" t="s">
        <v>3294</v>
      </c>
      <c r="CC404" s="23"/>
      <c r="CD404" s="19" t="s">
        <v>3295</v>
      </c>
      <c r="CE404" s="23"/>
      <c r="CF404" s="23"/>
      <c r="CG404" s="23"/>
      <c r="CH404" s="23"/>
      <c r="CI404" s="23"/>
    </row>
    <row r="405" spans="1:87" x14ac:dyDescent="0.3">
      <c r="A405" s="9" t="s">
        <v>3296</v>
      </c>
      <c r="B405" s="10" t="s">
        <v>3297</v>
      </c>
      <c r="C405" s="11">
        <v>45899.979166666664</v>
      </c>
      <c r="D405" s="12">
        <v>8.3333333333333329E-2</v>
      </c>
      <c r="E405" s="11">
        <v>45900.0625</v>
      </c>
      <c r="F405" s="10" t="s">
        <v>3211</v>
      </c>
      <c r="G405" s="13" t="b">
        <v>0</v>
      </c>
      <c r="H405" s="10" t="s">
        <v>3212</v>
      </c>
      <c r="I405" s="10" t="s">
        <v>3213</v>
      </c>
      <c r="J405" s="13" t="b">
        <v>0</v>
      </c>
      <c r="K405" s="13" t="b">
        <v>1</v>
      </c>
      <c r="L405" s="10" t="s">
        <v>124</v>
      </c>
      <c r="M405" s="10" t="s">
        <v>91</v>
      </c>
      <c r="N405" s="10" t="s">
        <v>92</v>
      </c>
      <c r="O405" s="19" t="s">
        <v>3298</v>
      </c>
      <c r="P405" s="10" t="s">
        <v>88</v>
      </c>
      <c r="Q405" s="10" t="s">
        <v>94</v>
      </c>
      <c r="R405" s="10"/>
      <c r="S405" s="19" t="s">
        <v>3299</v>
      </c>
      <c r="T405" s="19" t="s">
        <v>3288</v>
      </c>
      <c r="U405" s="10" t="s">
        <v>3230</v>
      </c>
      <c r="V405" s="10" t="s">
        <v>3249</v>
      </c>
      <c r="W405" s="10" t="s">
        <v>3219</v>
      </c>
      <c r="X405" s="10" t="s">
        <v>130</v>
      </c>
      <c r="Y405" s="10" t="s">
        <v>130</v>
      </c>
      <c r="Z405" s="10" t="s">
        <v>99</v>
      </c>
      <c r="AA405" s="10" t="s">
        <v>131</v>
      </c>
      <c r="AB405" s="10" t="s">
        <v>3220</v>
      </c>
      <c r="AC405" s="10" t="s">
        <v>3221</v>
      </c>
      <c r="AD405" s="10" t="s">
        <v>3300</v>
      </c>
      <c r="AE405" s="10" t="s">
        <v>3301</v>
      </c>
      <c r="AF405" s="15"/>
      <c r="AG405" s="10"/>
      <c r="AH405" s="10"/>
      <c r="AI405" s="10"/>
      <c r="AJ405" s="10"/>
      <c r="AK405" s="10" t="s">
        <v>102</v>
      </c>
      <c r="AL405" s="10" t="s">
        <v>116</v>
      </c>
      <c r="AM405" s="10"/>
      <c r="AN405" s="10"/>
      <c r="AO405" s="13" t="b">
        <v>0</v>
      </c>
      <c r="AP405" s="10" t="s">
        <v>104</v>
      </c>
      <c r="AQ405" s="10">
        <f ca="1">IFERROR(__xludf.DUMMYFUNCTION("""COMPUTED_VALUE"""),4527528)</f>
        <v>4527528</v>
      </c>
      <c r="AR405" s="17">
        <v>17798</v>
      </c>
      <c r="AS405" s="17">
        <v>13636</v>
      </c>
      <c r="AT405" s="17">
        <v>201039.25</v>
      </c>
      <c r="AU405" s="17">
        <v>70.150000000000006</v>
      </c>
      <c r="AV405" s="17">
        <v>27.7</v>
      </c>
      <c r="AW405" s="10" t="s">
        <v>105</v>
      </c>
      <c r="AX405" s="17">
        <v>2745</v>
      </c>
      <c r="AY405" s="18">
        <v>14.74327148723966</v>
      </c>
      <c r="AZ405" s="10" t="s">
        <v>117</v>
      </c>
      <c r="BA405" s="20" t="b">
        <v>0</v>
      </c>
      <c r="BB405" s="10"/>
      <c r="BC405" s="17">
        <v>17798</v>
      </c>
      <c r="BD405" s="17">
        <v>13636</v>
      </c>
      <c r="BE405" s="17">
        <v>201039.25</v>
      </c>
      <c r="BF405" s="17">
        <v>27.7</v>
      </c>
      <c r="BG405" s="11">
        <f ca="1">IFERROR(__xludf.DUMMYFUNCTION("""COMPUTED_VALUE"""),45899.9791666666)</f>
        <v>45899.979166666599</v>
      </c>
      <c r="BH405" s="17" t="s">
        <v>105</v>
      </c>
      <c r="BI405" s="17"/>
      <c r="BJ405" s="15"/>
      <c r="BK405" s="15"/>
      <c r="BL405" s="13" t="b">
        <v>0</v>
      </c>
      <c r="BM405" s="10"/>
      <c r="BN405" s="10" t="s">
        <v>197</v>
      </c>
      <c r="BO405" s="11">
        <v>45833.706944444442</v>
      </c>
      <c r="BP405" s="11">
        <v>45889.695451388892</v>
      </c>
      <c r="BQ405" s="15">
        <v>45894.65116898148</v>
      </c>
      <c r="BR405" s="15">
        <v>45896.405949074076</v>
      </c>
      <c r="BS405" s="10" t="s">
        <v>197</v>
      </c>
      <c r="BT405" s="10" t="s">
        <v>99</v>
      </c>
      <c r="BU405" s="10" t="s">
        <v>421</v>
      </c>
      <c r="BV405" s="10"/>
      <c r="BW405" s="10"/>
      <c r="BX405" s="10"/>
      <c r="BY405" s="23"/>
      <c r="BZ405" s="23"/>
      <c r="CA405" s="19" t="s">
        <v>3302</v>
      </c>
      <c r="CB405" s="19" t="s">
        <v>3303</v>
      </c>
      <c r="CC405" s="23"/>
      <c r="CD405" s="23"/>
      <c r="CE405" s="23"/>
      <c r="CF405" s="23"/>
      <c r="CG405" s="23"/>
      <c r="CH405" s="23"/>
      <c r="CI405" s="23"/>
    </row>
    <row r="406" spans="1:87" x14ac:dyDescent="0.3">
      <c r="A406" s="9" t="s">
        <v>3304</v>
      </c>
      <c r="B406" s="10" t="s">
        <v>3305</v>
      </c>
      <c r="C406" s="11">
        <v>45899.979166666664</v>
      </c>
      <c r="D406" s="12">
        <v>8.3333333333333329E-2</v>
      </c>
      <c r="E406" s="11">
        <v>45900.0625</v>
      </c>
      <c r="F406" s="10" t="s">
        <v>3211</v>
      </c>
      <c r="G406" s="13" t="b">
        <v>0</v>
      </c>
      <c r="H406" s="10" t="s">
        <v>3212</v>
      </c>
      <c r="I406" s="10" t="s">
        <v>3213</v>
      </c>
      <c r="J406" s="13" t="b">
        <v>0</v>
      </c>
      <c r="K406" s="13" t="b">
        <v>1</v>
      </c>
      <c r="L406" s="10" t="s">
        <v>124</v>
      </c>
      <c r="M406" s="10" t="s">
        <v>91</v>
      </c>
      <c r="N406" s="10" t="s">
        <v>92</v>
      </c>
      <c r="O406" s="19" t="s">
        <v>3306</v>
      </c>
      <c r="P406" s="10" t="s">
        <v>3215</v>
      </c>
      <c r="Q406" s="10" t="s">
        <v>126</v>
      </c>
      <c r="R406" s="10"/>
      <c r="S406" s="19" t="s">
        <v>3307</v>
      </c>
      <c r="T406" s="19" t="s">
        <v>3288</v>
      </c>
      <c r="U406" s="10" t="s">
        <v>3260</v>
      </c>
      <c r="V406" s="10" t="s">
        <v>3308</v>
      </c>
      <c r="W406" s="10" t="s">
        <v>3219</v>
      </c>
      <c r="X406" s="10" t="s">
        <v>130</v>
      </c>
      <c r="Y406" s="10" t="s">
        <v>130</v>
      </c>
      <c r="Z406" s="10" t="s">
        <v>99</v>
      </c>
      <c r="AA406" s="10" t="s">
        <v>131</v>
      </c>
      <c r="AB406" s="10" t="s">
        <v>3220</v>
      </c>
      <c r="AC406" s="10" t="s">
        <v>3221</v>
      </c>
      <c r="AD406" s="10" t="s">
        <v>3309</v>
      </c>
      <c r="AE406" s="10" t="s">
        <v>3310</v>
      </c>
      <c r="AF406" s="15"/>
      <c r="AG406" s="10"/>
      <c r="AH406" s="10"/>
      <c r="AI406" s="10"/>
      <c r="AJ406" s="10"/>
      <c r="AK406" s="10" t="s">
        <v>102</v>
      </c>
      <c r="AL406" s="10" t="s">
        <v>116</v>
      </c>
      <c r="AM406" s="10"/>
      <c r="AN406" s="10"/>
      <c r="AO406" s="13" t="b">
        <v>0</v>
      </c>
      <c r="AP406" s="10" t="s">
        <v>104</v>
      </c>
      <c r="AQ406" s="10">
        <f ca="1">IFERROR(__xludf.DUMMYFUNCTION("""COMPUTED_VALUE"""),4527529)</f>
        <v>4527529</v>
      </c>
      <c r="AR406" s="17">
        <v>10933</v>
      </c>
      <c r="AS406" s="17">
        <v>8826</v>
      </c>
      <c r="AT406" s="17">
        <v>98910.25</v>
      </c>
      <c r="AU406" s="17">
        <v>48.25</v>
      </c>
      <c r="AV406" s="17">
        <v>23.6</v>
      </c>
      <c r="AW406" s="10" t="s">
        <v>105</v>
      </c>
      <c r="AX406" s="17">
        <v>1514</v>
      </c>
      <c r="AY406" s="18">
        <v>11.206690460004532</v>
      </c>
      <c r="AZ406" s="10" t="s">
        <v>117</v>
      </c>
      <c r="BA406" s="20" t="b">
        <v>0</v>
      </c>
      <c r="BB406" s="10"/>
      <c r="BC406" s="17">
        <v>10933</v>
      </c>
      <c r="BD406" s="17">
        <v>8826</v>
      </c>
      <c r="BE406" s="17">
        <v>98910.25</v>
      </c>
      <c r="BF406" s="17">
        <v>23.6</v>
      </c>
      <c r="BG406" s="11">
        <f ca="1">IFERROR(__xludf.DUMMYFUNCTION("""COMPUTED_VALUE"""),45899.9791666666)</f>
        <v>45899.979166666599</v>
      </c>
      <c r="BH406" s="17" t="s">
        <v>105</v>
      </c>
      <c r="BI406" s="17"/>
      <c r="BJ406" s="15"/>
      <c r="BK406" s="15"/>
      <c r="BL406" s="13" t="b">
        <v>0</v>
      </c>
      <c r="BM406" s="10"/>
      <c r="BN406" s="10" t="s">
        <v>197</v>
      </c>
      <c r="BO406" s="11">
        <v>45833.708333333336</v>
      </c>
      <c r="BP406" s="11">
        <v>45889.695648148147</v>
      </c>
      <c r="BQ406" s="15">
        <v>45894.651319444441</v>
      </c>
      <c r="BR406" s="15">
        <v>45896.406134259261</v>
      </c>
      <c r="BS406" s="10" t="s">
        <v>197</v>
      </c>
      <c r="BT406" s="10" t="s">
        <v>99</v>
      </c>
      <c r="BU406" s="10" t="s">
        <v>498</v>
      </c>
      <c r="BV406" s="10"/>
      <c r="BW406" s="10"/>
      <c r="BX406" s="10"/>
      <c r="BY406" s="23"/>
      <c r="BZ406" s="23"/>
      <c r="CA406" s="19" t="s">
        <v>3311</v>
      </c>
      <c r="CB406" s="19" t="s">
        <v>3312</v>
      </c>
      <c r="CC406" s="23"/>
      <c r="CD406" s="19" t="s">
        <v>3313</v>
      </c>
      <c r="CE406" s="23"/>
      <c r="CF406" s="23"/>
      <c r="CG406" s="23"/>
      <c r="CH406" s="23"/>
      <c r="CI406" s="23"/>
    </row>
    <row r="407" spans="1:87" x14ac:dyDescent="0.3">
      <c r="A407" s="9" t="s">
        <v>3314</v>
      </c>
      <c r="B407" s="10" t="s">
        <v>3315</v>
      </c>
      <c r="C407" s="11">
        <v>45900.072916666664</v>
      </c>
      <c r="D407" s="12">
        <v>8.3333333333333329E-2</v>
      </c>
      <c r="E407" s="11">
        <v>45900.15625</v>
      </c>
      <c r="F407" s="10" t="s">
        <v>3211</v>
      </c>
      <c r="G407" s="13" t="b">
        <v>0</v>
      </c>
      <c r="H407" s="10" t="s">
        <v>3212</v>
      </c>
      <c r="I407" s="10" t="s">
        <v>3213</v>
      </c>
      <c r="J407" s="13" t="b">
        <v>0</v>
      </c>
      <c r="K407" s="13" t="b">
        <v>1</v>
      </c>
      <c r="L407" s="10" t="s">
        <v>124</v>
      </c>
      <c r="M407" s="10" t="s">
        <v>91</v>
      </c>
      <c r="N407" s="10" t="s">
        <v>92</v>
      </c>
      <c r="O407" s="19" t="s">
        <v>3316</v>
      </c>
      <c r="P407" s="10" t="s">
        <v>88</v>
      </c>
      <c r="Q407" s="10" t="s">
        <v>126</v>
      </c>
      <c r="R407" s="10"/>
      <c r="S407" s="19" t="s">
        <v>3317</v>
      </c>
      <c r="T407" s="19" t="s">
        <v>3288</v>
      </c>
      <c r="U407" s="10" t="s">
        <v>3318</v>
      </c>
      <c r="V407" s="10" t="s">
        <v>3239</v>
      </c>
      <c r="W407" s="10" t="s">
        <v>3219</v>
      </c>
      <c r="X407" s="10" t="s">
        <v>130</v>
      </c>
      <c r="Y407" s="10" t="s">
        <v>130</v>
      </c>
      <c r="Z407" s="10" t="s">
        <v>99</v>
      </c>
      <c r="AA407" s="10" t="s">
        <v>131</v>
      </c>
      <c r="AB407" s="10" t="s">
        <v>3220</v>
      </c>
      <c r="AC407" s="10" t="s">
        <v>3221</v>
      </c>
      <c r="AD407" s="10" t="s">
        <v>3319</v>
      </c>
      <c r="AE407" s="10" t="s">
        <v>3320</v>
      </c>
      <c r="AF407" s="15"/>
      <c r="AG407" s="10"/>
      <c r="AH407" s="10"/>
      <c r="AI407" s="10"/>
      <c r="AJ407" s="10"/>
      <c r="AK407" s="10" t="s">
        <v>102</v>
      </c>
      <c r="AL407" s="10" t="s">
        <v>116</v>
      </c>
      <c r="AM407" s="10"/>
      <c r="AN407" s="10"/>
      <c r="AO407" s="13" t="b">
        <v>1</v>
      </c>
      <c r="AP407" s="10" t="s">
        <v>104</v>
      </c>
      <c r="AQ407" s="10">
        <f ca="1">IFERROR(__xludf.DUMMYFUNCTION("""COMPUTED_VALUE"""),4527532)</f>
        <v>4527532</v>
      </c>
      <c r="AR407" s="17">
        <v>13365</v>
      </c>
      <c r="AS407" s="17">
        <v>9550</v>
      </c>
      <c r="AT407" s="17">
        <v>273517.5</v>
      </c>
      <c r="AU407" s="17">
        <v>32.5</v>
      </c>
      <c r="AV407" s="17">
        <v>11.75</v>
      </c>
      <c r="AW407" s="10" t="s">
        <v>105</v>
      </c>
      <c r="AX407" s="17">
        <v>3107</v>
      </c>
      <c r="AY407" s="18">
        <v>28.640575916230368</v>
      </c>
      <c r="AZ407" s="10" t="s">
        <v>117</v>
      </c>
      <c r="BA407" s="20" t="b">
        <v>0</v>
      </c>
      <c r="BB407" s="10"/>
      <c r="BC407" s="17">
        <v>13365</v>
      </c>
      <c r="BD407" s="17">
        <v>9550</v>
      </c>
      <c r="BE407" s="17">
        <v>273517.5</v>
      </c>
      <c r="BF407" s="17">
        <v>11.75</v>
      </c>
      <c r="BG407" s="11">
        <f ca="1">IFERROR(__xludf.DUMMYFUNCTION("""COMPUTED_VALUE"""),45900.0729166666)</f>
        <v>45900.072916666599</v>
      </c>
      <c r="BH407" s="17" t="s">
        <v>105</v>
      </c>
      <c r="BI407" s="17"/>
      <c r="BJ407" s="15"/>
      <c r="BK407" s="15"/>
      <c r="BL407" s="13" t="b">
        <v>0</v>
      </c>
      <c r="BM407" s="10"/>
      <c r="BN407" s="10" t="s">
        <v>197</v>
      </c>
      <c r="BO407" s="11">
        <v>45833.709722222222</v>
      </c>
      <c r="BP407" s="11">
        <v>45889.695810185185</v>
      </c>
      <c r="BQ407" s="15">
        <v>45894.65152777778</v>
      </c>
      <c r="BR407" s="15">
        <v>45896.413993055554</v>
      </c>
      <c r="BS407" s="10" t="s">
        <v>197</v>
      </c>
      <c r="BT407" s="10" t="s">
        <v>99</v>
      </c>
      <c r="BU407" s="10" t="s">
        <v>421</v>
      </c>
      <c r="BV407" s="10"/>
      <c r="BW407" s="10"/>
      <c r="BX407" s="10"/>
      <c r="BY407" s="23"/>
      <c r="BZ407" s="23"/>
      <c r="CA407" s="19" t="s">
        <v>3321</v>
      </c>
      <c r="CB407" s="19" t="s">
        <v>3322</v>
      </c>
      <c r="CC407" s="23"/>
      <c r="CD407" s="19" t="s">
        <v>3323</v>
      </c>
      <c r="CE407" s="23"/>
      <c r="CF407" s="23"/>
      <c r="CG407" s="23"/>
      <c r="CH407" s="23"/>
      <c r="CI407" s="23"/>
    </row>
    <row r="408" spans="1:87" x14ac:dyDescent="0.3">
      <c r="A408" s="25" t="s">
        <v>3324</v>
      </c>
      <c r="B408" s="10" t="s">
        <v>3325</v>
      </c>
      <c r="C408" s="11">
        <v>45900.979166666664</v>
      </c>
      <c r="D408" s="12">
        <v>8.3333333333333329E-2</v>
      </c>
      <c r="E408" s="11">
        <v>45901.0625</v>
      </c>
      <c r="F408" s="10" t="s">
        <v>3211</v>
      </c>
      <c r="G408" s="13" t="b">
        <v>0</v>
      </c>
      <c r="H408" s="10" t="s">
        <v>3212</v>
      </c>
      <c r="I408" s="10" t="s">
        <v>3213</v>
      </c>
      <c r="J408" s="13" t="b">
        <v>0</v>
      </c>
      <c r="K408" s="13" t="b">
        <v>1</v>
      </c>
      <c r="L408" s="10" t="s">
        <v>124</v>
      </c>
      <c r="M408" s="10" t="s">
        <v>91</v>
      </c>
      <c r="N408" s="10" t="s">
        <v>92</v>
      </c>
      <c r="O408" s="19" t="s">
        <v>3326</v>
      </c>
      <c r="P408" s="10" t="s">
        <v>88</v>
      </c>
      <c r="Q408" s="10" t="s">
        <v>126</v>
      </c>
      <c r="R408" s="10"/>
      <c r="S408" s="19" t="s">
        <v>3327</v>
      </c>
      <c r="T408" s="19" t="s">
        <v>3288</v>
      </c>
      <c r="U408" s="10" t="s">
        <v>3217</v>
      </c>
      <c r="V408" s="10" t="s">
        <v>3259</v>
      </c>
      <c r="W408" s="10" t="s">
        <v>3219</v>
      </c>
      <c r="X408" s="10" t="s">
        <v>130</v>
      </c>
      <c r="Y408" s="10" t="s">
        <v>130</v>
      </c>
      <c r="Z408" s="10" t="s">
        <v>99</v>
      </c>
      <c r="AA408" s="10" t="s">
        <v>131</v>
      </c>
      <c r="AB408" s="10" t="s">
        <v>3220</v>
      </c>
      <c r="AC408" s="10" t="s">
        <v>3221</v>
      </c>
      <c r="AD408" s="10" t="s">
        <v>3328</v>
      </c>
      <c r="AE408" s="10" t="s">
        <v>3329</v>
      </c>
      <c r="AF408" s="15"/>
      <c r="AG408" s="10"/>
      <c r="AH408" s="10"/>
      <c r="AI408" s="10"/>
      <c r="AJ408" s="10"/>
      <c r="AK408" s="10" t="s">
        <v>102</v>
      </c>
      <c r="AL408" s="10" t="s">
        <v>116</v>
      </c>
      <c r="AM408" s="10"/>
      <c r="AN408" s="10"/>
      <c r="AO408" s="13" t="b">
        <v>1</v>
      </c>
      <c r="AP408" s="10" t="s">
        <v>104</v>
      </c>
      <c r="AQ408" s="10">
        <f ca="1">IFERROR(__xludf.DUMMYFUNCTION("""COMPUTED_VALUE"""),4527536)</f>
        <v>4527536</v>
      </c>
      <c r="AR408" s="17">
        <v>39798</v>
      </c>
      <c r="AS408" s="17">
        <v>30523</v>
      </c>
      <c r="AT408" s="17">
        <v>799357</v>
      </c>
      <c r="AU408" s="17">
        <v>771.8</v>
      </c>
      <c r="AV408" s="17">
        <v>322.89999999999998</v>
      </c>
      <c r="AW408" s="10" t="s">
        <v>105</v>
      </c>
      <c r="AX408" s="17">
        <v>10396</v>
      </c>
      <c r="AY408" s="18">
        <v>26.188677390820036</v>
      </c>
      <c r="AZ408" s="10" t="s">
        <v>117</v>
      </c>
      <c r="BA408" s="20" t="b">
        <v>0</v>
      </c>
      <c r="BB408" s="10"/>
      <c r="BC408" s="17">
        <v>39798</v>
      </c>
      <c r="BD408" s="17">
        <v>30523</v>
      </c>
      <c r="BE408" s="17">
        <v>799357</v>
      </c>
      <c r="BF408" s="17">
        <v>322.89999999999998</v>
      </c>
      <c r="BG408" s="11">
        <f ca="1">IFERROR(__xludf.DUMMYFUNCTION("""COMPUTED_VALUE"""),45900.9791666666)</f>
        <v>45900.979166666599</v>
      </c>
      <c r="BH408" s="17" t="s">
        <v>105</v>
      </c>
      <c r="BI408" s="17"/>
      <c r="BJ408" s="15"/>
      <c r="BK408" s="15"/>
      <c r="BL408" s="13" t="b">
        <v>0</v>
      </c>
      <c r="BM408" s="10"/>
      <c r="BN408" s="10" t="s">
        <v>533</v>
      </c>
      <c r="BO408" s="11">
        <v>45833.711805555555</v>
      </c>
      <c r="BP408" s="11">
        <v>45889.69599537037</v>
      </c>
      <c r="BQ408" s="15">
        <v>45894.65184027778</v>
      </c>
      <c r="BR408" s="15">
        <v>45896.422581018516</v>
      </c>
      <c r="BS408" s="10"/>
      <c r="BT408" s="10" t="s">
        <v>99</v>
      </c>
      <c r="BU408" s="10" t="s">
        <v>456</v>
      </c>
      <c r="BV408" s="10"/>
      <c r="BW408" s="10"/>
      <c r="BX408" s="10"/>
      <c r="BY408" s="23"/>
      <c r="BZ408" s="23"/>
      <c r="CA408" s="19" t="s">
        <v>3330</v>
      </c>
      <c r="CB408" s="19" t="s">
        <v>3331</v>
      </c>
      <c r="CC408" s="23"/>
      <c r="CD408" s="19" t="s">
        <v>3332</v>
      </c>
      <c r="CE408" s="23"/>
      <c r="CF408" s="23"/>
      <c r="CG408" s="23"/>
      <c r="CH408" s="23"/>
      <c r="CI408" s="23"/>
    </row>
    <row r="409" spans="1:87" x14ac:dyDescent="0.3">
      <c r="A409" s="9" t="s">
        <v>3333</v>
      </c>
      <c r="B409" s="10" t="s">
        <v>3334</v>
      </c>
      <c r="C409" s="11">
        <v>45900.979166666664</v>
      </c>
      <c r="D409" s="12">
        <v>8.3333333333333329E-2</v>
      </c>
      <c r="E409" s="11">
        <v>45901.0625</v>
      </c>
      <c r="F409" s="10" t="s">
        <v>3211</v>
      </c>
      <c r="G409" s="13" t="b">
        <v>0</v>
      </c>
      <c r="H409" s="10" t="s">
        <v>3212</v>
      </c>
      <c r="I409" s="10" t="s">
        <v>3213</v>
      </c>
      <c r="J409" s="13" t="b">
        <v>0</v>
      </c>
      <c r="K409" s="13" t="b">
        <v>1</v>
      </c>
      <c r="L409" s="10" t="s">
        <v>124</v>
      </c>
      <c r="M409" s="10" t="s">
        <v>91</v>
      </c>
      <c r="N409" s="10" t="s">
        <v>92</v>
      </c>
      <c r="O409" s="19" t="s">
        <v>3335</v>
      </c>
      <c r="P409" s="10" t="s">
        <v>3215</v>
      </c>
      <c r="Q409" s="10" t="s">
        <v>126</v>
      </c>
      <c r="R409" s="10"/>
      <c r="S409" s="19" t="s">
        <v>3336</v>
      </c>
      <c r="T409" s="19" t="s">
        <v>3288</v>
      </c>
      <c r="U409" s="10" t="s">
        <v>3279</v>
      </c>
      <c r="V409" s="10" t="s">
        <v>3240</v>
      </c>
      <c r="W409" s="10" t="s">
        <v>3219</v>
      </c>
      <c r="X409" s="10" t="s">
        <v>130</v>
      </c>
      <c r="Y409" s="10" t="s">
        <v>130</v>
      </c>
      <c r="Z409" s="10" t="s">
        <v>99</v>
      </c>
      <c r="AA409" s="10" t="s">
        <v>131</v>
      </c>
      <c r="AB409" s="10" t="s">
        <v>3220</v>
      </c>
      <c r="AC409" s="10" t="s">
        <v>3221</v>
      </c>
      <c r="AD409" s="10" t="s">
        <v>3337</v>
      </c>
      <c r="AE409" s="10" t="s">
        <v>3338</v>
      </c>
      <c r="AF409" s="15"/>
      <c r="AG409" s="10"/>
      <c r="AH409" s="10"/>
      <c r="AI409" s="10"/>
      <c r="AJ409" s="10"/>
      <c r="AK409" s="10" t="s">
        <v>102</v>
      </c>
      <c r="AL409" s="10" t="s">
        <v>116</v>
      </c>
      <c r="AM409" s="10"/>
      <c r="AN409" s="10"/>
      <c r="AO409" s="13" t="b">
        <v>0</v>
      </c>
      <c r="AP409" s="10" t="s">
        <v>104</v>
      </c>
      <c r="AQ409" s="10">
        <f ca="1">IFERROR(__xludf.DUMMYFUNCTION("""COMPUTED_VALUE"""),4527538)</f>
        <v>4527538</v>
      </c>
      <c r="AR409" s="17">
        <v>7705</v>
      </c>
      <c r="AS409" s="17">
        <v>6332</v>
      </c>
      <c r="AT409" s="17">
        <v>68279.75</v>
      </c>
      <c r="AU409" s="17">
        <v>23.15</v>
      </c>
      <c r="AV409" s="17">
        <v>6.95</v>
      </c>
      <c r="AW409" s="10" t="s">
        <v>105</v>
      </c>
      <c r="AX409" s="17">
        <v>1546</v>
      </c>
      <c r="AY409" s="18">
        <v>10.783283322804801</v>
      </c>
      <c r="AZ409" s="10" t="s">
        <v>117</v>
      </c>
      <c r="BA409" s="20" t="b">
        <v>0</v>
      </c>
      <c r="BB409" s="10"/>
      <c r="BC409" s="17">
        <v>7705</v>
      </c>
      <c r="BD409" s="17">
        <v>6332</v>
      </c>
      <c r="BE409" s="17">
        <v>68279.75</v>
      </c>
      <c r="BF409" s="17">
        <v>6.95</v>
      </c>
      <c r="BG409" s="11">
        <f ca="1">IFERROR(__xludf.DUMMYFUNCTION("""COMPUTED_VALUE"""),45900.9791666666)</f>
        <v>45900.979166666599</v>
      </c>
      <c r="BH409" s="17" t="s">
        <v>105</v>
      </c>
      <c r="BI409" s="17"/>
      <c r="BJ409" s="15"/>
      <c r="BK409" s="15"/>
      <c r="BL409" s="13" t="b">
        <v>0</v>
      </c>
      <c r="BM409" s="10"/>
      <c r="BN409" s="10" t="s">
        <v>197</v>
      </c>
      <c r="BO409" s="11">
        <v>45833.713888888888</v>
      </c>
      <c r="BP409" s="11">
        <v>45889.696111111109</v>
      </c>
      <c r="BQ409" s="15">
        <v>45894.652002314811</v>
      </c>
      <c r="BR409" s="15">
        <v>45896.423379629632</v>
      </c>
      <c r="BS409" s="10" t="s">
        <v>197</v>
      </c>
      <c r="BT409" s="10" t="s">
        <v>99</v>
      </c>
      <c r="BU409" s="10" t="s">
        <v>718</v>
      </c>
      <c r="BV409" s="10"/>
      <c r="BW409" s="10"/>
      <c r="BX409" s="10"/>
      <c r="BY409" s="23"/>
      <c r="BZ409" s="23"/>
      <c r="CA409" s="19" t="s">
        <v>3339</v>
      </c>
      <c r="CB409" s="19" t="s">
        <v>3340</v>
      </c>
      <c r="CC409" s="23"/>
      <c r="CD409" s="19" t="s">
        <v>3341</v>
      </c>
      <c r="CE409" s="23"/>
      <c r="CF409" s="23"/>
      <c r="CG409" s="23"/>
      <c r="CH409" s="23"/>
      <c r="CI409" s="23"/>
    </row>
    <row r="410" spans="1:87" x14ac:dyDescent="0.3">
      <c r="A410" s="9" t="s">
        <v>3342</v>
      </c>
      <c r="B410" s="10" t="s">
        <v>3343</v>
      </c>
      <c r="C410" s="11">
        <v>45901.072916666664</v>
      </c>
      <c r="D410" s="12">
        <v>8.3333333333333329E-2</v>
      </c>
      <c r="E410" s="11">
        <v>45901.15625</v>
      </c>
      <c r="F410" s="10" t="s">
        <v>3211</v>
      </c>
      <c r="G410" s="13" t="b">
        <v>0</v>
      </c>
      <c r="H410" s="10" t="s">
        <v>3212</v>
      </c>
      <c r="I410" s="10" t="s">
        <v>3213</v>
      </c>
      <c r="J410" s="13" t="b">
        <v>0</v>
      </c>
      <c r="K410" s="13" t="b">
        <v>1</v>
      </c>
      <c r="L410" s="10" t="s">
        <v>124</v>
      </c>
      <c r="M410" s="10" t="s">
        <v>91</v>
      </c>
      <c r="N410" s="10" t="s">
        <v>92</v>
      </c>
      <c r="O410" s="19" t="s">
        <v>3344</v>
      </c>
      <c r="P410" s="10" t="s">
        <v>88</v>
      </c>
      <c r="Q410" s="10" t="s">
        <v>126</v>
      </c>
      <c r="R410" s="10"/>
      <c r="S410" s="19" t="s">
        <v>3345</v>
      </c>
      <c r="T410" s="19" t="s">
        <v>3288</v>
      </c>
      <c r="U410" s="10" t="s">
        <v>3278</v>
      </c>
      <c r="V410" s="10" t="s">
        <v>3269</v>
      </c>
      <c r="W410" s="10" t="s">
        <v>3219</v>
      </c>
      <c r="X410" s="10" t="s">
        <v>130</v>
      </c>
      <c r="Y410" s="10" t="s">
        <v>130</v>
      </c>
      <c r="Z410" s="10" t="s">
        <v>99</v>
      </c>
      <c r="AA410" s="10" t="s">
        <v>131</v>
      </c>
      <c r="AB410" s="10" t="s">
        <v>3220</v>
      </c>
      <c r="AC410" s="10" t="s">
        <v>3221</v>
      </c>
      <c r="AD410" s="10" t="s">
        <v>3346</v>
      </c>
      <c r="AE410" s="10" t="s">
        <v>3347</v>
      </c>
      <c r="AF410" s="15"/>
      <c r="AG410" s="10"/>
      <c r="AH410" s="10"/>
      <c r="AI410" s="10"/>
      <c r="AJ410" s="10"/>
      <c r="AK410" s="10" t="s">
        <v>102</v>
      </c>
      <c r="AL410" s="10" t="s">
        <v>116</v>
      </c>
      <c r="AM410" s="10"/>
      <c r="AN410" s="10"/>
      <c r="AO410" s="13" t="b">
        <v>1</v>
      </c>
      <c r="AP410" s="10" t="s">
        <v>104</v>
      </c>
      <c r="AQ410" s="10">
        <f ca="1">IFERROR(__xludf.DUMMYFUNCTION("""COMPUTED_VALUE"""),4535796)</f>
        <v>4535796</v>
      </c>
      <c r="AR410" s="17">
        <v>23456</v>
      </c>
      <c r="AS410" s="17">
        <v>15060</v>
      </c>
      <c r="AT410" s="17">
        <v>746519.25</v>
      </c>
      <c r="AU410" s="17">
        <v>359.35</v>
      </c>
      <c r="AV410" s="17">
        <v>163.30000000000001</v>
      </c>
      <c r="AW410" s="10" t="s">
        <v>105</v>
      </c>
      <c r="AX410" s="17">
        <v>9182</v>
      </c>
      <c r="AY410" s="18">
        <v>49.569671314741036</v>
      </c>
      <c r="AZ410" s="10" t="s">
        <v>117</v>
      </c>
      <c r="BA410" s="20" t="b">
        <v>0</v>
      </c>
      <c r="BB410" s="10"/>
      <c r="BC410" s="17">
        <v>23456</v>
      </c>
      <c r="BD410" s="17">
        <v>15060</v>
      </c>
      <c r="BE410" s="17">
        <v>746519.25</v>
      </c>
      <c r="BF410" s="17">
        <v>163.30000000000001</v>
      </c>
      <c r="BG410" s="11">
        <f ca="1">IFERROR(__xludf.DUMMYFUNCTION("""COMPUTED_VALUE"""),45901.0729166666)</f>
        <v>45901.072916666599</v>
      </c>
      <c r="BH410" s="17" t="s">
        <v>105</v>
      </c>
      <c r="BI410" s="17"/>
      <c r="BJ410" s="15"/>
      <c r="BK410" s="15"/>
      <c r="BL410" s="13" t="b">
        <v>0</v>
      </c>
      <c r="BM410" s="10"/>
      <c r="BN410" s="10" t="s">
        <v>351</v>
      </c>
      <c r="BO410" s="11">
        <v>45833.714583333334</v>
      </c>
      <c r="BP410" s="11">
        <v>45889.694282407407</v>
      </c>
      <c r="BQ410" s="15">
        <v>45894.65351851852</v>
      </c>
      <c r="BR410" s="15">
        <v>45900.561851851853</v>
      </c>
      <c r="BS410" s="10"/>
      <c r="BT410" s="10" t="s">
        <v>99</v>
      </c>
      <c r="BU410" s="10" t="s">
        <v>534</v>
      </c>
      <c r="BV410" s="10"/>
      <c r="BW410" s="10"/>
      <c r="BX410" s="10"/>
      <c r="BY410" s="23"/>
      <c r="BZ410" s="23"/>
      <c r="CA410" s="19" t="s">
        <v>3348</v>
      </c>
      <c r="CB410" s="19" t="s">
        <v>3349</v>
      </c>
      <c r="CC410" s="23"/>
      <c r="CD410" s="19" t="s">
        <v>3350</v>
      </c>
      <c r="CE410" s="23"/>
      <c r="CF410" s="23"/>
      <c r="CG410" s="23"/>
      <c r="CH410" s="23"/>
      <c r="CI410" s="23"/>
    </row>
    <row r="411" spans="1:87" x14ac:dyDescent="0.3">
      <c r="A411" s="9" t="s">
        <v>3351</v>
      </c>
      <c r="B411" s="10" t="s">
        <v>3352</v>
      </c>
      <c r="C411" s="11">
        <v>45901.072916666664</v>
      </c>
      <c r="D411" s="12">
        <v>8.3333333333333329E-2</v>
      </c>
      <c r="E411" s="11">
        <v>45901.15625</v>
      </c>
      <c r="F411" s="10" t="s">
        <v>3211</v>
      </c>
      <c r="G411" s="13" t="b">
        <v>0</v>
      </c>
      <c r="H411" s="10" t="s">
        <v>3212</v>
      </c>
      <c r="I411" s="10" t="s">
        <v>3213</v>
      </c>
      <c r="J411" s="13" t="b">
        <v>0</v>
      </c>
      <c r="K411" s="13" t="b">
        <v>1</v>
      </c>
      <c r="L411" s="10" t="s">
        <v>124</v>
      </c>
      <c r="M411" s="10" t="s">
        <v>91</v>
      </c>
      <c r="N411" s="10" t="s">
        <v>92</v>
      </c>
      <c r="O411" s="19" t="s">
        <v>3353</v>
      </c>
      <c r="P411" s="10" t="s">
        <v>3215</v>
      </c>
      <c r="Q411" s="10" t="s">
        <v>126</v>
      </c>
      <c r="R411" s="10"/>
      <c r="S411" s="19" t="s">
        <v>3354</v>
      </c>
      <c r="T411" s="19" t="s">
        <v>3288</v>
      </c>
      <c r="U411" s="10" t="s">
        <v>3250</v>
      </c>
      <c r="V411" s="10" t="s">
        <v>3270</v>
      </c>
      <c r="W411" s="10" t="s">
        <v>3219</v>
      </c>
      <c r="X411" s="10" t="s">
        <v>130</v>
      </c>
      <c r="Y411" s="10" t="s">
        <v>130</v>
      </c>
      <c r="Z411" s="10" t="s">
        <v>99</v>
      </c>
      <c r="AA411" s="10" t="s">
        <v>131</v>
      </c>
      <c r="AB411" s="10" t="s">
        <v>3220</v>
      </c>
      <c r="AC411" s="10" t="s">
        <v>3221</v>
      </c>
      <c r="AD411" s="10" t="s">
        <v>3355</v>
      </c>
      <c r="AE411" s="10" t="s">
        <v>3356</v>
      </c>
      <c r="AF411" s="15"/>
      <c r="AG411" s="10"/>
      <c r="AH411" s="10"/>
      <c r="AI411" s="10"/>
      <c r="AJ411" s="10"/>
      <c r="AK411" s="10" t="s">
        <v>102</v>
      </c>
      <c r="AL411" s="10" t="s">
        <v>116</v>
      </c>
      <c r="AM411" s="10"/>
      <c r="AN411" s="10"/>
      <c r="AO411" s="13" t="b">
        <v>0</v>
      </c>
      <c r="AP411" s="10" t="s">
        <v>104</v>
      </c>
      <c r="AQ411" s="10">
        <f ca="1">IFERROR(__xludf.DUMMYFUNCTION("""COMPUTED_VALUE"""),4535797)</f>
        <v>4535797</v>
      </c>
      <c r="AR411" s="17">
        <v>3818</v>
      </c>
      <c r="AS411" s="17">
        <v>2887</v>
      </c>
      <c r="AT411" s="17">
        <v>52908.25</v>
      </c>
      <c r="AU411" s="17">
        <v>15.7</v>
      </c>
      <c r="AV411" s="17">
        <v>7.6</v>
      </c>
      <c r="AW411" s="10" t="s">
        <v>105</v>
      </c>
      <c r="AX411" s="17">
        <v>815</v>
      </c>
      <c r="AY411" s="18">
        <v>18.326376861794252</v>
      </c>
      <c r="AZ411" s="10" t="s">
        <v>117</v>
      </c>
      <c r="BA411" s="20" t="b">
        <v>0</v>
      </c>
      <c r="BB411" s="10"/>
      <c r="BC411" s="17">
        <v>3818</v>
      </c>
      <c r="BD411" s="17">
        <v>2887</v>
      </c>
      <c r="BE411" s="17">
        <v>52908.25</v>
      </c>
      <c r="BF411" s="17">
        <v>7.6</v>
      </c>
      <c r="BG411" s="11">
        <f ca="1">IFERROR(__xludf.DUMMYFUNCTION("""COMPUTED_VALUE"""),45901.0729166666)</f>
        <v>45901.072916666599</v>
      </c>
      <c r="BH411" s="17" t="s">
        <v>105</v>
      </c>
      <c r="BI411" s="17"/>
      <c r="BJ411" s="15"/>
      <c r="BK411" s="15"/>
      <c r="BL411" s="13" t="b">
        <v>0</v>
      </c>
      <c r="BM411" s="10"/>
      <c r="BN411" s="10" t="s">
        <v>197</v>
      </c>
      <c r="BO411" s="11">
        <v>45833.715277777781</v>
      </c>
      <c r="BP411" s="11">
        <v>45889.694398148145</v>
      </c>
      <c r="BQ411" s="15">
        <v>45894.653680555559</v>
      </c>
      <c r="BR411" s="15">
        <v>45900.562048611115</v>
      </c>
      <c r="BS411" s="10" t="s">
        <v>197</v>
      </c>
      <c r="BT411" s="10" t="s">
        <v>99</v>
      </c>
      <c r="BU411" s="10" t="s">
        <v>718</v>
      </c>
      <c r="BV411" s="10"/>
      <c r="BW411" s="10"/>
      <c r="BX411" s="10"/>
      <c r="BY411" s="23"/>
      <c r="BZ411" s="23"/>
      <c r="CA411" s="19" t="s">
        <v>3357</v>
      </c>
      <c r="CB411" s="19" t="s">
        <v>3358</v>
      </c>
      <c r="CC411" s="23"/>
      <c r="CD411" s="19" t="s">
        <v>3359</v>
      </c>
      <c r="CE411" s="23"/>
      <c r="CF411" s="23"/>
      <c r="CG411" s="23"/>
      <c r="CH411" s="23"/>
      <c r="CI411" s="23"/>
    </row>
    <row r="412" spans="1:87" x14ac:dyDescent="0.3">
      <c r="A412" s="9" t="s">
        <v>3360</v>
      </c>
      <c r="B412" s="10" t="s">
        <v>3361</v>
      </c>
      <c r="C412" s="11">
        <v>45913.833333333336</v>
      </c>
      <c r="D412" s="12">
        <v>8.3333333333333329E-2</v>
      </c>
      <c r="E412" s="11">
        <v>45913.916666666664</v>
      </c>
      <c r="F412" s="10" t="s">
        <v>3211</v>
      </c>
      <c r="G412" s="13" t="b">
        <v>0</v>
      </c>
      <c r="H412" s="10" t="s">
        <v>3212</v>
      </c>
      <c r="I412" s="10" t="s">
        <v>3213</v>
      </c>
      <c r="J412" s="13" t="b">
        <v>0</v>
      </c>
      <c r="K412" s="13" t="b">
        <v>1</v>
      </c>
      <c r="L412" s="10" t="s">
        <v>124</v>
      </c>
      <c r="M412" s="10" t="s">
        <v>91</v>
      </c>
      <c r="N412" s="10" t="s">
        <v>92</v>
      </c>
      <c r="O412" s="19" t="s">
        <v>3362</v>
      </c>
      <c r="P412" s="10" t="s">
        <v>3215</v>
      </c>
      <c r="Q412" s="10" t="s">
        <v>94</v>
      </c>
      <c r="R412" s="10"/>
      <c r="S412" s="19" t="s">
        <v>3363</v>
      </c>
      <c r="T412" s="19" t="s">
        <v>3364</v>
      </c>
      <c r="U412" s="10" t="s">
        <v>3239</v>
      </c>
      <c r="V412" s="10" t="s">
        <v>3260</v>
      </c>
      <c r="W412" s="10" t="s">
        <v>3219</v>
      </c>
      <c r="X412" s="10" t="s">
        <v>130</v>
      </c>
      <c r="Y412" s="10" t="s">
        <v>130</v>
      </c>
      <c r="Z412" s="10" t="s">
        <v>99</v>
      </c>
      <c r="AA412" s="10" t="s">
        <v>131</v>
      </c>
      <c r="AB412" s="10" t="s">
        <v>3220</v>
      </c>
      <c r="AC412" s="10" t="s">
        <v>3221</v>
      </c>
      <c r="AD412" s="10" t="s">
        <v>3365</v>
      </c>
      <c r="AE412" s="10" t="s">
        <v>3366</v>
      </c>
      <c r="AF412" s="15"/>
      <c r="AG412" s="10"/>
      <c r="AH412" s="10"/>
      <c r="AI412" s="10"/>
      <c r="AJ412" s="10"/>
      <c r="AK412" s="10" t="s">
        <v>102</v>
      </c>
      <c r="AL412" s="10" t="s">
        <v>147</v>
      </c>
      <c r="AM412" s="10"/>
      <c r="AN412" s="10"/>
      <c r="AO412" s="13" t="b">
        <v>0</v>
      </c>
      <c r="AP412" s="10" t="s">
        <v>104</v>
      </c>
      <c r="AQ412" s="10">
        <f ca="1">IFERROR(__xludf.DUMMYFUNCTION("""COMPUTED_VALUE"""),4557257)</f>
        <v>4557257</v>
      </c>
      <c r="AR412" s="17">
        <v>23979</v>
      </c>
      <c r="AS412" s="17">
        <v>19034</v>
      </c>
      <c r="AT412" s="17">
        <v>166376.5</v>
      </c>
      <c r="AU412" s="17">
        <v>166.15</v>
      </c>
      <c r="AV412" s="17">
        <v>78.5</v>
      </c>
      <c r="AW412" s="10" t="s">
        <v>105</v>
      </c>
      <c r="AX412" s="17">
        <v>2961</v>
      </c>
      <c r="AY412" s="18">
        <v>8.7410160764946934</v>
      </c>
      <c r="AZ412" s="10" t="s">
        <v>117</v>
      </c>
      <c r="BA412" s="20" t="b">
        <v>0</v>
      </c>
      <c r="BB412" s="10"/>
      <c r="BC412" s="17">
        <v>23979</v>
      </c>
      <c r="BD412" s="17">
        <v>19034</v>
      </c>
      <c r="BE412" s="17">
        <v>166376.5</v>
      </c>
      <c r="BF412" s="17">
        <v>78.5</v>
      </c>
      <c r="BG412" s="11">
        <f ca="1">IFERROR(__xludf.DUMMYFUNCTION("""COMPUTED_VALUE"""),45913.8333333333)</f>
        <v>45913.833333333299</v>
      </c>
      <c r="BH412" s="17" t="s">
        <v>105</v>
      </c>
      <c r="BI412" s="17"/>
      <c r="BJ412" s="15"/>
      <c r="BK412" s="15"/>
      <c r="BL412" s="13" t="b">
        <v>0</v>
      </c>
      <c r="BM412" s="10"/>
      <c r="BN412" s="10" t="s">
        <v>1160</v>
      </c>
      <c r="BO412" s="11">
        <v>45833.716666666667</v>
      </c>
      <c r="BP412" s="11">
        <v>45889.706006944441</v>
      </c>
      <c r="BQ412" s="15">
        <v>45901.850659722222</v>
      </c>
      <c r="BR412" s="15">
        <v>45907.921574074076</v>
      </c>
      <c r="BS412" s="10" t="s">
        <v>1160</v>
      </c>
      <c r="BT412" s="10"/>
      <c r="BU412" s="10"/>
      <c r="BV412" s="10"/>
      <c r="BW412" s="10"/>
      <c r="BX412" s="10"/>
      <c r="BY412" s="23"/>
      <c r="BZ412" s="23"/>
      <c r="CA412" s="19" t="s">
        <v>3367</v>
      </c>
      <c r="CB412" s="19" t="s">
        <v>3368</v>
      </c>
      <c r="CC412" s="23"/>
      <c r="CD412" s="23"/>
      <c r="CE412" s="23"/>
      <c r="CF412" s="23"/>
      <c r="CG412" s="23"/>
      <c r="CH412" s="23"/>
      <c r="CI412" s="23"/>
    </row>
    <row r="413" spans="1:87" x14ac:dyDescent="0.3">
      <c r="A413" s="9" t="s">
        <v>3369</v>
      </c>
      <c r="B413" s="10" t="s">
        <v>3370</v>
      </c>
      <c r="C413" s="11">
        <v>45913.958333333336</v>
      </c>
      <c r="D413" s="12">
        <v>8.3333333333333329E-2</v>
      </c>
      <c r="E413" s="11">
        <v>45914.041666666664</v>
      </c>
      <c r="F413" s="10" t="s">
        <v>3211</v>
      </c>
      <c r="G413" s="13" t="b">
        <v>0</v>
      </c>
      <c r="H413" s="10" t="s">
        <v>3212</v>
      </c>
      <c r="I413" s="10" t="s">
        <v>3213</v>
      </c>
      <c r="J413" s="13" t="b">
        <v>0</v>
      </c>
      <c r="K413" s="13" t="b">
        <v>1</v>
      </c>
      <c r="L413" s="10" t="s">
        <v>358</v>
      </c>
      <c r="M413" s="10" t="s">
        <v>91</v>
      </c>
      <c r="N413" s="10" t="s">
        <v>92</v>
      </c>
      <c r="O413" s="19" t="s">
        <v>3371</v>
      </c>
      <c r="P413" s="10" t="s">
        <v>3215</v>
      </c>
      <c r="Q413" s="10" t="s">
        <v>126</v>
      </c>
      <c r="R413" s="10"/>
      <c r="S413" s="19" t="s">
        <v>3372</v>
      </c>
      <c r="T413" s="19" t="s">
        <v>3364</v>
      </c>
      <c r="U413" s="10" t="s">
        <v>3259</v>
      </c>
      <c r="V413" s="10" t="s">
        <v>3278</v>
      </c>
      <c r="W413" s="10" t="s">
        <v>3219</v>
      </c>
      <c r="X413" s="10" t="s">
        <v>130</v>
      </c>
      <c r="Y413" s="10" t="s">
        <v>130</v>
      </c>
      <c r="Z413" s="10" t="s">
        <v>99</v>
      </c>
      <c r="AA413" s="10" t="s">
        <v>131</v>
      </c>
      <c r="AB413" s="10" t="s">
        <v>3220</v>
      </c>
      <c r="AC413" s="10" t="s">
        <v>3221</v>
      </c>
      <c r="AD413" s="10" t="s">
        <v>3373</v>
      </c>
      <c r="AE413" s="10" t="s">
        <v>3374</v>
      </c>
      <c r="AF413" s="15"/>
      <c r="AG413" s="10"/>
      <c r="AH413" s="10"/>
      <c r="AI413" s="10"/>
      <c r="AJ413" s="10"/>
      <c r="AK413" s="10" t="s">
        <v>102</v>
      </c>
      <c r="AL413" s="10" t="s">
        <v>147</v>
      </c>
      <c r="AM413" s="10"/>
      <c r="AN413" s="10"/>
      <c r="AO413" s="13" t="b">
        <v>1</v>
      </c>
      <c r="AP413" s="10" t="s">
        <v>104</v>
      </c>
      <c r="AQ413" s="10">
        <f ca="1">IFERROR(__xludf.DUMMYFUNCTION("""COMPUTED_VALUE"""),4557258)</f>
        <v>4557258</v>
      </c>
      <c r="AR413" s="17">
        <v>166945</v>
      </c>
      <c r="AS413" s="17">
        <v>129485</v>
      </c>
      <c r="AT413" s="17">
        <v>3200374.25</v>
      </c>
      <c r="AU413" s="17">
        <v>3373</v>
      </c>
      <c r="AV413" s="17">
        <v>1481.75</v>
      </c>
      <c r="AW413" s="10" t="s">
        <v>297</v>
      </c>
      <c r="AX413" s="17">
        <v>44737</v>
      </c>
      <c r="AY413" s="18">
        <v>24.71617754952311</v>
      </c>
      <c r="AZ413" s="10" t="s">
        <v>117</v>
      </c>
      <c r="BA413" s="20" t="b">
        <v>0</v>
      </c>
      <c r="BB413" s="10"/>
      <c r="BC413" s="17">
        <v>166945</v>
      </c>
      <c r="BD413" s="17">
        <v>129485</v>
      </c>
      <c r="BE413" s="17">
        <v>3200374.25</v>
      </c>
      <c r="BF413" s="17">
        <v>1481.75</v>
      </c>
      <c r="BG413" s="11">
        <f ca="1">IFERROR(__xludf.DUMMYFUNCTION("""COMPUTED_VALUE"""),45913.9583333333)</f>
        <v>45913.958333333299</v>
      </c>
      <c r="BH413" s="17" t="s">
        <v>297</v>
      </c>
      <c r="BI413" s="17"/>
      <c r="BJ413" s="15"/>
      <c r="BK413" s="15"/>
      <c r="BL413" s="13" t="b">
        <v>0</v>
      </c>
      <c r="BM413" s="10"/>
      <c r="BN413" s="10" t="s">
        <v>455</v>
      </c>
      <c r="BO413" s="11">
        <v>45833.71875</v>
      </c>
      <c r="BP413" s="11">
        <v>45889.694525462961</v>
      </c>
      <c r="BQ413" s="15">
        <v>45901.850810185184</v>
      </c>
      <c r="BR413" s="15">
        <v>45907.921817129631</v>
      </c>
      <c r="BS413" s="10" t="s">
        <v>455</v>
      </c>
      <c r="BT413" s="10" t="s">
        <v>279</v>
      </c>
      <c r="BU413" s="10" t="s">
        <v>1253</v>
      </c>
      <c r="BV413" s="10" t="s">
        <v>281</v>
      </c>
      <c r="BW413" s="10" t="s">
        <v>3375</v>
      </c>
      <c r="BX413" s="10"/>
      <c r="BY413" s="23"/>
      <c r="BZ413" s="23"/>
      <c r="CA413" s="19" t="s">
        <v>3376</v>
      </c>
      <c r="CB413" s="19" t="s">
        <v>3377</v>
      </c>
      <c r="CC413" s="23"/>
      <c r="CD413" s="19" t="s">
        <v>3378</v>
      </c>
      <c r="CE413" s="23"/>
      <c r="CF413" s="23"/>
      <c r="CG413" s="23"/>
      <c r="CH413" s="23"/>
      <c r="CI413" s="23"/>
    </row>
    <row r="414" spans="1:87" x14ac:dyDescent="0.3">
      <c r="A414" s="9" t="s">
        <v>3379</v>
      </c>
      <c r="B414" s="10" t="s">
        <v>3380</v>
      </c>
      <c r="C414" s="11">
        <v>45914.072916666664</v>
      </c>
      <c r="D414" s="12">
        <v>8.3333333333333329E-2</v>
      </c>
      <c r="E414" s="11">
        <v>45914.15625</v>
      </c>
      <c r="F414" s="10" t="s">
        <v>3211</v>
      </c>
      <c r="G414" s="13" t="b">
        <v>0</v>
      </c>
      <c r="H414" s="10" t="s">
        <v>3212</v>
      </c>
      <c r="I414" s="10" t="s">
        <v>3213</v>
      </c>
      <c r="J414" s="13" t="b">
        <v>0</v>
      </c>
      <c r="K414" s="13" t="b">
        <v>1</v>
      </c>
      <c r="L414" s="10" t="s">
        <v>124</v>
      </c>
      <c r="M414" s="10" t="s">
        <v>91</v>
      </c>
      <c r="N414" s="10" t="s">
        <v>92</v>
      </c>
      <c r="O414" s="19" t="s">
        <v>3381</v>
      </c>
      <c r="P414" s="10" t="s">
        <v>3215</v>
      </c>
      <c r="Q414" s="10" t="s">
        <v>126</v>
      </c>
      <c r="R414" s="10"/>
      <c r="S414" s="19" t="s">
        <v>3382</v>
      </c>
      <c r="T414" s="19" t="s">
        <v>3364</v>
      </c>
      <c r="U414" s="10" t="s">
        <v>3240</v>
      </c>
      <c r="V414" s="10" t="s">
        <v>3318</v>
      </c>
      <c r="W414" s="10" t="s">
        <v>3219</v>
      </c>
      <c r="X414" s="10" t="s">
        <v>130</v>
      </c>
      <c r="Y414" s="10" t="s">
        <v>130</v>
      </c>
      <c r="Z414" s="10" t="s">
        <v>99</v>
      </c>
      <c r="AA414" s="10" t="s">
        <v>131</v>
      </c>
      <c r="AB414" s="10" t="s">
        <v>3220</v>
      </c>
      <c r="AC414" s="10" t="s">
        <v>3221</v>
      </c>
      <c r="AD414" s="10" t="s">
        <v>3383</v>
      </c>
      <c r="AE414" s="10" t="s">
        <v>3384</v>
      </c>
      <c r="AF414" s="15"/>
      <c r="AG414" s="10"/>
      <c r="AH414" s="10"/>
      <c r="AI414" s="10"/>
      <c r="AJ414" s="10"/>
      <c r="AK414" s="10" t="s">
        <v>102</v>
      </c>
      <c r="AL414" s="10" t="s">
        <v>147</v>
      </c>
      <c r="AM414" s="10"/>
      <c r="AN414" s="10"/>
      <c r="AO414" s="13" t="b">
        <v>1</v>
      </c>
      <c r="AP414" s="10" t="s">
        <v>104</v>
      </c>
      <c r="AQ414" s="10">
        <f ca="1">IFERROR(__xludf.DUMMYFUNCTION("""COMPUTED_VALUE"""),4557259)</f>
        <v>4557259</v>
      </c>
      <c r="AR414" s="17">
        <v>16292</v>
      </c>
      <c r="AS414" s="17">
        <v>12367</v>
      </c>
      <c r="AT414" s="17">
        <v>317177.5</v>
      </c>
      <c r="AU414" s="17">
        <v>39.700000000000003</v>
      </c>
      <c r="AV414" s="17">
        <v>9.6</v>
      </c>
      <c r="AW414" s="10" t="s">
        <v>105</v>
      </c>
      <c r="AX414" s="17">
        <v>7658</v>
      </c>
      <c r="AY414" s="18">
        <v>25.647084984232229</v>
      </c>
      <c r="AZ414" s="10" t="s">
        <v>117</v>
      </c>
      <c r="BA414" s="20" t="b">
        <v>0</v>
      </c>
      <c r="BB414" s="10"/>
      <c r="BC414" s="17">
        <v>16292</v>
      </c>
      <c r="BD414" s="17">
        <v>12367</v>
      </c>
      <c r="BE414" s="17">
        <v>317177.5</v>
      </c>
      <c r="BF414" s="17">
        <v>9.6</v>
      </c>
      <c r="BG414" s="11">
        <f ca="1">IFERROR(__xludf.DUMMYFUNCTION("""COMPUTED_VALUE"""),45914.0729166666)</f>
        <v>45914.072916666599</v>
      </c>
      <c r="BH414" s="17" t="s">
        <v>105</v>
      </c>
      <c r="BI414" s="17"/>
      <c r="BJ414" s="15"/>
      <c r="BK414" s="15"/>
      <c r="BL414" s="13" t="b">
        <v>0</v>
      </c>
      <c r="BM414" s="10"/>
      <c r="BN414" s="10" t="s">
        <v>455</v>
      </c>
      <c r="BO414" s="11">
        <v>45833.719444444447</v>
      </c>
      <c r="BP414" s="11">
        <v>45889.694641203707</v>
      </c>
      <c r="BQ414" s="15">
        <v>45901.851006944446</v>
      </c>
      <c r="BR414" s="15">
        <v>45907.921956018516</v>
      </c>
      <c r="BS414" s="10" t="s">
        <v>455</v>
      </c>
      <c r="BT414" s="10" t="s">
        <v>279</v>
      </c>
      <c r="BU414" s="10" t="s">
        <v>534</v>
      </c>
      <c r="BV414" s="10"/>
      <c r="BW414" s="10"/>
      <c r="BX414" s="10"/>
      <c r="BY414" s="23"/>
      <c r="BZ414" s="23"/>
      <c r="CA414" s="19" t="s">
        <v>3385</v>
      </c>
      <c r="CB414" s="19" t="s">
        <v>3386</v>
      </c>
      <c r="CC414" s="23"/>
      <c r="CD414" s="19" t="s">
        <v>3387</v>
      </c>
      <c r="CE414" s="23"/>
      <c r="CF414" s="23"/>
      <c r="CG414" s="23"/>
      <c r="CH414" s="23"/>
      <c r="CI414" s="23"/>
    </row>
    <row r="415" spans="1:87" x14ac:dyDescent="0.3">
      <c r="A415" s="9" t="s">
        <v>3388</v>
      </c>
      <c r="B415" s="10" t="s">
        <v>3389</v>
      </c>
      <c r="C415" s="11">
        <v>45914.729166666664</v>
      </c>
      <c r="D415" s="12">
        <v>8.3333333333333329E-2</v>
      </c>
      <c r="E415" s="11">
        <v>45914.8125</v>
      </c>
      <c r="F415" s="10" t="s">
        <v>3211</v>
      </c>
      <c r="G415" s="13" t="b">
        <v>0</v>
      </c>
      <c r="H415" s="10" t="s">
        <v>3212</v>
      </c>
      <c r="I415" s="10" t="s">
        <v>3213</v>
      </c>
      <c r="J415" s="13" t="b">
        <v>0</v>
      </c>
      <c r="K415" s="13" t="b">
        <v>1</v>
      </c>
      <c r="L415" s="10" t="s">
        <v>124</v>
      </c>
      <c r="M415" s="10" t="s">
        <v>91</v>
      </c>
      <c r="N415" s="10" t="s">
        <v>92</v>
      </c>
      <c r="O415" s="19" t="s">
        <v>3390</v>
      </c>
      <c r="P415" s="10" t="s">
        <v>3215</v>
      </c>
      <c r="Q415" s="10" t="s">
        <v>126</v>
      </c>
      <c r="R415" s="10"/>
      <c r="S415" s="19" t="s">
        <v>3391</v>
      </c>
      <c r="T415" s="19" t="s">
        <v>3364</v>
      </c>
      <c r="U415" s="10" t="s">
        <v>3229</v>
      </c>
      <c r="V415" s="10" t="s">
        <v>3279</v>
      </c>
      <c r="W415" s="10" t="s">
        <v>3219</v>
      </c>
      <c r="X415" s="10" t="s">
        <v>130</v>
      </c>
      <c r="Y415" s="10" t="s">
        <v>130</v>
      </c>
      <c r="Z415" s="10" t="s">
        <v>99</v>
      </c>
      <c r="AA415" s="10" t="s">
        <v>131</v>
      </c>
      <c r="AB415" s="10" t="s">
        <v>3220</v>
      </c>
      <c r="AC415" s="10" t="s">
        <v>3221</v>
      </c>
      <c r="AD415" s="10" t="s">
        <v>3392</v>
      </c>
      <c r="AE415" s="10" t="s">
        <v>3393</v>
      </c>
      <c r="AF415" s="15"/>
      <c r="AG415" s="10"/>
      <c r="AH415" s="10"/>
      <c r="AI415" s="10"/>
      <c r="AJ415" s="10"/>
      <c r="AK415" s="10" t="s">
        <v>102</v>
      </c>
      <c r="AL415" s="10" t="s">
        <v>147</v>
      </c>
      <c r="AM415" s="10"/>
      <c r="AN415" s="10"/>
      <c r="AO415" s="13" t="b">
        <v>1</v>
      </c>
      <c r="AP415" s="10" t="s">
        <v>104</v>
      </c>
      <c r="AQ415" s="10">
        <f ca="1">IFERROR(__xludf.DUMMYFUNCTION("""COMPUTED_VALUE"""),4557260)</f>
        <v>4557260</v>
      </c>
      <c r="AR415" s="17">
        <v>68421</v>
      </c>
      <c r="AS415" s="17">
        <v>41761</v>
      </c>
      <c r="AT415" s="17">
        <v>923643.25</v>
      </c>
      <c r="AU415" s="17">
        <v>513.79999999999995</v>
      </c>
      <c r="AV415" s="17">
        <v>201.35</v>
      </c>
      <c r="AW415" s="10" t="s">
        <v>105</v>
      </c>
      <c r="AX415" s="17">
        <v>11673</v>
      </c>
      <c r="AY415" s="18">
        <v>22.117364287253658</v>
      </c>
      <c r="AZ415" s="10" t="s">
        <v>117</v>
      </c>
      <c r="BA415" s="20" t="b">
        <v>0</v>
      </c>
      <c r="BB415" s="10"/>
      <c r="BC415" s="17">
        <v>68421</v>
      </c>
      <c r="BD415" s="17">
        <v>41761</v>
      </c>
      <c r="BE415" s="17">
        <v>923643.25</v>
      </c>
      <c r="BF415" s="17">
        <v>201.35</v>
      </c>
      <c r="BG415" s="11">
        <f ca="1">IFERROR(__xludf.DUMMYFUNCTION("""COMPUTED_VALUE"""),45914.7291666666)</f>
        <v>45914.729166666599</v>
      </c>
      <c r="BH415" s="17" t="s">
        <v>105</v>
      </c>
      <c r="BI415" s="17"/>
      <c r="BJ415" s="15"/>
      <c r="BK415" s="15"/>
      <c r="BL415" s="13" t="b">
        <v>0</v>
      </c>
      <c r="BM415" s="10"/>
      <c r="BN415" s="10" t="s">
        <v>634</v>
      </c>
      <c r="BO415" s="11">
        <v>45833.720138888886</v>
      </c>
      <c r="BP415" s="11">
        <v>45889.694745370369</v>
      </c>
      <c r="BQ415" s="15">
        <v>45901.851203703707</v>
      </c>
      <c r="BR415" s="15">
        <v>45907.9221412037</v>
      </c>
      <c r="BS415" s="10" t="s">
        <v>634</v>
      </c>
      <c r="BT415" s="10" t="s">
        <v>279</v>
      </c>
      <c r="BU415" s="10" t="s">
        <v>3394</v>
      </c>
      <c r="BV415" s="10"/>
      <c r="BW415" s="10"/>
      <c r="BX415" s="10"/>
      <c r="BY415" s="23"/>
      <c r="BZ415" s="23"/>
      <c r="CA415" s="19" t="s">
        <v>3395</v>
      </c>
      <c r="CB415" s="19" t="s">
        <v>3396</v>
      </c>
      <c r="CC415" s="23"/>
      <c r="CD415" s="19" t="s">
        <v>3397</v>
      </c>
      <c r="CE415" s="23"/>
      <c r="CF415" s="23"/>
      <c r="CG415" s="23"/>
      <c r="CH415" s="23"/>
      <c r="CI415" s="23"/>
    </row>
    <row r="416" spans="1:87" x14ac:dyDescent="0.3">
      <c r="A416" s="9" t="s">
        <v>3398</v>
      </c>
      <c r="B416" s="10" t="s">
        <v>3399</v>
      </c>
      <c r="C416" s="11">
        <v>45914.833333333336</v>
      </c>
      <c r="D416" s="12">
        <v>8.3333333333333329E-2</v>
      </c>
      <c r="E416" s="11">
        <v>45914.916666666664</v>
      </c>
      <c r="F416" s="10" t="s">
        <v>3211</v>
      </c>
      <c r="G416" s="13" t="b">
        <v>0</v>
      </c>
      <c r="H416" s="10" t="s">
        <v>3212</v>
      </c>
      <c r="I416" s="10" t="s">
        <v>3213</v>
      </c>
      <c r="J416" s="13" t="b">
        <v>0</v>
      </c>
      <c r="K416" s="13" t="b">
        <v>1</v>
      </c>
      <c r="L416" s="10" t="s">
        <v>124</v>
      </c>
      <c r="M416" s="10" t="s">
        <v>91</v>
      </c>
      <c r="N416" s="10" t="s">
        <v>92</v>
      </c>
      <c r="O416" s="19" t="s">
        <v>3400</v>
      </c>
      <c r="P416" s="10" t="s">
        <v>3215</v>
      </c>
      <c r="Q416" s="10" t="s">
        <v>126</v>
      </c>
      <c r="R416" s="10"/>
      <c r="S416" s="19" t="s">
        <v>3401</v>
      </c>
      <c r="T416" s="19" t="s">
        <v>3364</v>
      </c>
      <c r="U416" s="10" t="s">
        <v>3308</v>
      </c>
      <c r="V416" s="10" t="s">
        <v>3218</v>
      </c>
      <c r="W416" s="10" t="s">
        <v>3219</v>
      </c>
      <c r="X416" s="10" t="s">
        <v>130</v>
      </c>
      <c r="Y416" s="10" t="s">
        <v>130</v>
      </c>
      <c r="Z416" s="10" t="s">
        <v>99</v>
      </c>
      <c r="AA416" s="10" t="s">
        <v>131</v>
      </c>
      <c r="AB416" s="10" t="s">
        <v>3220</v>
      </c>
      <c r="AC416" s="10" t="s">
        <v>3221</v>
      </c>
      <c r="AD416" s="10" t="s">
        <v>3402</v>
      </c>
      <c r="AE416" s="10" t="s">
        <v>3403</v>
      </c>
      <c r="AF416" s="15"/>
      <c r="AG416" s="10"/>
      <c r="AH416" s="10"/>
      <c r="AI416" s="10"/>
      <c r="AJ416" s="10"/>
      <c r="AK416" s="10" t="s">
        <v>102</v>
      </c>
      <c r="AL416" s="10" t="s">
        <v>147</v>
      </c>
      <c r="AM416" s="10"/>
      <c r="AN416" s="10"/>
      <c r="AO416" s="13" t="b">
        <v>0</v>
      </c>
      <c r="AP416" s="10" t="s">
        <v>104</v>
      </c>
      <c r="AQ416" s="10">
        <f ca="1">IFERROR(__xludf.DUMMYFUNCTION("""COMPUTED_VALUE"""),4557261)</f>
        <v>4557261</v>
      </c>
      <c r="AR416" s="17">
        <v>25816</v>
      </c>
      <c r="AS416" s="17">
        <v>20105</v>
      </c>
      <c r="AT416" s="17">
        <v>160192.5</v>
      </c>
      <c r="AU416" s="17">
        <v>62.8</v>
      </c>
      <c r="AV416" s="17">
        <v>24.4</v>
      </c>
      <c r="AW416" s="10" t="s">
        <v>105</v>
      </c>
      <c r="AX416" s="17">
        <v>4201</v>
      </c>
      <c r="AY416" s="18">
        <v>7.9677940810743593</v>
      </c>
      <c r="AZ416" s="10" t="s">
        <v>117</v>
      </c>
      <c r="BA416" s="20" t="b">
        <v>0</v>
      </c>
      <c r="BB416" s="10"/>
      <c r="BC416" s="17">
        <v>25816</v>
      </c>
      <c r="BD416" s="17">
        <v>20105</v>
      </c>
      <c r="BE416" s="17">
        <v>160192.5</v>
      </c>
      <c r="BF416" s="17">
        <v>24.4</v>
      </c>
      <c r="BG416" s="11">
        <f ca="1">IFERROR(__xludf.DUMMYFUNCTION("""COMPUTED_VALUE"""),45914.8333333333)</f>
        <v>45914.833333333299</v>
      </c>
      <c r="BH416" s="17" t="s">
        <v>105</v>
      </c>
      <c r="BI416" s="17"/>
      <c r="BJ416" s="15"/>
      <c r="BK416" s="15"/>
      <c r="BL416" s="13" t="b">
        <v>0</v>
      </c>
      <c r="BM416" s="10"/>
      <c r="BN416" s="10" t="s">
        <v>1160</v>
      </c>
      <c r="BO416" s="11">
        <v>45833.72152777778</v>
      </c>
      <c r="BP416" s="11">
        <v>45889.694884259261</v>
      </c>
      <c r="BQ416" s="15">
        <v>45901.851388888892</v>
      </c>
      <c r="BR416" s="15">
        <v>45907.922314814816</v>
      </c>
      <c r="BS416" s="10" t="s">
        <v>1160</v>
      </c>
      <c r="BT416" s="10"/>
      <c r="BU416" s="10"/>
      <c r="BV416" s="10"/>
      <c r="BW416" s="10"/>
      <c r="BX416" s="10"/>
      <c r="BY416" s="23"/>
      <c r="BZ416" s="23"/>
      <c r="CA416" s="19" t="s">
        <v>3404</v>
      </c>
      <c r="CB416" s="19" t="s">
        <v>3405</v>
      </c>
      <c r="CC416" s="23"/>
      <c r="CD416" s="19" t="s">
        <v>3406</v>
      </c>
      <c r="CE416" s="23"/>
      <c r="CF416" s="23"/>
      <c r="CG416" s="23"/>
      <c r="CH416" s="23"/>
      <c r="CI416" s="23"/>
    </row>
    <row r="417" spans="1:87" x14ac:dyDescent="0.3">
      <c r="A417" s="9" t="s">
        <v>3407</v>
      </c>
      <c r="B417" s="10" t="s">
        <v>3408</v>
      </c>
      <c r="C417" s="11">
        <v>45915.072916666664</v>
      </c>
      <c r="D417" s="12">
        <v>8.3333333333333329E-2</v>
      </c>
      <c r="E417" s="11">
        <v>45915.15625</v>
      </c>
      <c r="F417" s="10" t="s">
        <v>3211</v>
      </c>
      <c r="G417" s="13" t="b">
        <v>0</v>
      </c>
      <c r="H417" s="10" t="s">
        <v>3212</v>
      </c>
      <c r="I417" s="10" t="s">
        <v>3213</v>
      </c>
      <c r="J417" s="13" t="b">
        <v>0</v>
      </c>
      <c r="K417" s="13" t="b">
        <v>1</v>
      </c>
      <c r="L417" s="10" t="s">
        <v>124</v>
      </c>
      <c r="M417" s="10" t="s">
        <v>91</v>
      </c>
      <c r="N417" s="10" t="s">
        <v>92</v>
      </c>
      <c r="O417" s="19" t="s">
        <v>3409</v>
      </c>
      <c r="P417" s="10" t="s">
        <v>3215</v>
      </c>
      <c r="Q417" s="10" t="s">
        <v>126</v>
      </c>
      <c r="R417" s="10"/>
      <c r="S417" s="19" t="s">
        <v>3410</v>
      </c>
      <c r="T417" s="19" t="s">
        <v>3364</v>
      </c>
      <c r="U417" s="10" t="s">
        <v>3289</v>
      </c>
      <c r="V417" s="10" t="s">
        <v>3230</v>
      </c>
      <c r="W417" s="10" t="s">
        <v>3219</v>
      </c>
      <c r="X417" s="10" t="s">
        <v>130</v>
      </c>
      <c r="Y417" s="10" t="s">
        <v>130</v>
      </c>
      <c r="Z417" s="10" t="s">
        <v>99</v>
      </c>
      <c r="AA417" s="10" t="s">
        <v>131</v>
      </c>
      <c r="AB417" s="10" t="s">
        <v>3220</v>
      </c>
      <c r="AC417" s="10" t="s">
        <v>3221</v>
      </c>
      <c r="AD417" s="10" t="s">
        <v>3411</v>
      </c>
      <c r="AE417" s="10" t="s">
        <v>3412</v>
      </c>
      <c r="AF417" s="15"/>
      <c r="AG417" s="10"/>
      <c r="AH417" s="10"/>
      <c r="AI417" s="10"/>
      <c r="AJ417" s="10"/>
      <c r="AK417" s="10" t="s">
        <v>102</v>
      </c>
      <c r="AL417" s="10" t="s">
        <v>147</v>
      </c>
      <c r="AM417" s="10"/>
      <c r="AN417" s="10"/>
      <c r="AO417" s="13" t="b">
        <v>1</v>
      </c>
      <c r="AP417" s="10" t="s">
        <v>104</v>
      </c>
      <c r="AQ417" s="10">
        <f ca="1">IFERROR(__xludf.DUMMYFUNCTION("""COMPUTED_VALUE"""),4569293)</f>
        <v>4569293</v>
      </c>
      <c r="AR417" s="17">
        <v>41085</v>
      </c>
      <c r="AS417" s="17">
        <v>18335</v>
      </c>
      <c r="AT417" s="17">
        <v>909390.75</v>
      </c>
      <c r="AU417" s="17">
        <v>284</v>
      </c>
      <c r="AV417" s="17">
        <v>115.5</v>
      </c>
      <c r="AW417" s="10" t="s">
        <v>105</v>
      </c>
      <c r="AX417" s="17">
        <v>9354</v>
      </c>
      <c r="AY417" s="18">
        <v>49.598622852467955</v>
      </c>
      <c r="AZ417" s="10" t="s">
        <v>117</v>
      </c>
      <c r="BA417" s="20" t="b">
        <v>0</v>
      </c>
      <c r="BB417" s="10"/>
      <c r="BC417" s="17">
        <v>41085</v>
      </c>
      <c r="BD417" s="17">
        <v>18335</v>
      </c>
      <c r="BE417" s="17">
        <v>909390.75</v>
      </c>
      <c r="BF417" s="17">
        <v>115.5</v>
      </c>
      <c r="BG417" s="11">
        <f ca="1">IFERROR(__xludf.DUMMYFUNCTION("""COMPUTED_VALUE"""),45915.0729166666)</f>
        <v>45915.072916666599</v>
      </c>
      <c r="BH417" s="17" t="s">
        <v>105</v>
      </c>
      <c r="BI417" s="17"/>
      <c r="BJ417" s="15"/>
      <c r="BK417" s="15"/>
      <c r="BL417" s="13" t="b">
        <v>0</v>
      </c>
      <c r="BM417" s="10"/>
      <c r="BN417" s="10" t="s">
        <v>278</v>
      </c>
      <c r="BO417" s="11">
        <v>45833.722222222219</v>
      </c>
      <c r="BP417" s="11">
        <v>45889.695127314815</v>
      </c>
      <c r="BQ417" s="15">
        <v>45901.851956018516</v>
      </c>
      <c r="BR417" s="15">
        <v>45913.747465277775</v>
      </c>
      <c r="BS417" s="10" t="s">
        <v>278</v>
      </c>
      <c r="BT417" s="10" t="s">
        <v>99</v>
      </c>
      <c r="BU417" s="10" t="s">
        <v>655</v>
      </c>
      <c r="BV417" s="10"/>
      <c r="BW417" s="10"/>
      <c r="BX417" s="10"/>
      <c r="BY417" s="23"/>
      <c r="BZ417" s="23"/>
      <c r="CA417" s="19" t="s">
        <v>3413</v>
      </c>
      <c r="CB417" s="19" t="s">
        <v>3414</v>
      </c>
      <c r="CC417" s="23"/>
      <c r="CD417" s="19" t="s">
        <v>3415</v>
      </c>
      <c r="CE417" s="23"/>
      <c r="CF417" s="23"/>
      <c r="CG417" s="23"/>
      <c r="CH417" s="23"/>
      <c r="CI417" s="23"/>
    </row>
    <row r="418" spans="1:87" x14ac:dyDescent="0.3">
      <c r="A418" s="9" t="s">
        <v>3416</v>
      </c>
      <c r="B418" s="10" t="s">
        <v>3417</v>
      </c>
      <c r="C418" s="11">
        <v>45916.072916666664</v>
      </c>
      <c r="D418" s="12">
        <v>8.3333333333333329E-2</v>
      </c>
      <c r="E418" s="11">
        <v>45916.15625</v>
      </c>
      <c r="F418" s="10" t="s">
        <v>3211</v>
      </c>
      <c r="G418" s="13" t="b">
        <v>0</v>
      </c>
      <c r="H418" s="10" t="s">
        <v>3212</v>
      </c>
      <c r="I418" s="10" t="s">
        <v>3213</v>
      </c>
      <c r="J418" s="13" t="b">
        <v>0</v>
      </c>
      <c r="K418" s="13" t="b">
        <v>1</v>
      </c>
      <c r="L418" s="10" t="s">
        <v>124</v>
      </c>
      <c r="M418" s="10" t="s">
        <v>91</v>
      </c>
      <c r="N418" s="10" t="s">
        <v>92</v>
      </c>
      <c r="O418" s="19" t="s">
        <v>3418</v>
      </c>
      <c r="P418" s="10" t="s">
        <v>3215</v>
      </c>
      <c r="Q418" s="10" t="s">
        <v>94</v>
      </c>
      <c r="R418" s="10"/>
      <c r="S418" s="19" t="s">
        <v>3419</v>
      </c>
      <c r="T418" s="19" t="s">
        <v>3364</v>
      </c>
      <c r="U418" s="10" t="s">
        <v>3249</v>
      </c>
      <c r="V418" s="10" t="s">
        <v>3217</v>
      </c>
      <c r="W418" s="10" t="s">
        <v>3219</v>
      </c>
      <c r="X418" s="10" t="s">
        <v>130</v>
      </c>
      <c r="Y418" s="10" t="s">
        <v>130</v>
      </c>
      <c r="Z418" s="10" t="s">
        <v>99</v>
      </c>
      <c r="AA418" s="10" t="s">
        <v>131</v>
      </c>
      <c r="AB418" s="10" t="s">
        <v>3220</v>
      </c>
      <c r="AC418" s="10" t="s">
        <v>3221</v>
      </c>
      <c r="AD418" s="10" t="s">
        <v>3420</v>
      </c>
      <c r="AE418" s="10" t="s">
        <v>3421</v>
      </c>
      <c r="AF418" s="15"/>
      <c r="AG418" s="10"/>
      <c r="AH418" s="10"/>
      <c r="AI418" s="10"/>
      <c r="AJ418" s="10"/>
      <c r="AK418" s="10" t="s">
        <v>102</v>
      </c>
      <c r="AL418" s="10" t="s">
        <v>147</v>
      </c>
      <c r="AM418" s="10"/>
      <c r="AN418" s="10"/>
      <c r="AO418" s="13" t="b">
        <v>0</v>
      </c>
      <c r="AP418" s="10" t="s">
        <v>104</v>
      </c>
      <c r="AQ418" s="10">
        <f ca="1">IFERROR(__xludf.DUMMYFUNCTION("""COMPUTED_VALUE"""),4573413)</f>
        <v>4573413</v>
      </c>
      <c r="AR418" s="17">
        <v>5783</v>
      </c>
      <c r="AS418" s="17">
        <v>4443</v>
      </c>
      <c r="AT418" s="17">
        <v>144154.5</v>
      </c>
      <c r="AU418" s="17">
        <v>34.5</v>
      </c>
      <c r="AV418" s="17">
        <v>4.45</v>
      </c>
      <c r="AW418" s="10" t="s">
        <v>105</v>
      </c>
      <c r="AX418" s="17">
        <v>4355</v>
      </c>
      <c r="AY418" s="18">
        <v>32.445307224848072</v>
      </c>
      <c r="AZ418" s="10" t="s">
        <v>117</v>
      </c>
      <c r="BA418" s="20" t="b">
        <v>0</v>
      </c>
      <c r="BB418" s="10"/>
      <c r="BC418" s="17">
        <v>5783</v>
      </c>
      <c r="BD418" s="17">
        <v>4443</v>
      </c>
      <c r="BE418" s="17">
        <v>144154.5</v>
      </c>
      <c r="BF418" s="17">
        <v>4.45</v>
      </c>
      <c r="BG418" s="11">
        <f ca="1">IFERROR(__xludf.DUMMYFUNCTION("""COMPUTED_VALUE"""),45916.0729166666)</f>
        <v>45916.072916666599</v>
      </c>
      <c r="BH418" s="17" t="s">
        <v>105</v>
      </c>
      <c r="BI418" s="17"/>
      <c r="BJ418" s="15"/>
      <c r="BK418" s="15"/>
      <c r="BL418" s="13" t="b">
        <v>0</v>
      </c>
      <c r="BM418" s="10"/>
      <c r="BN418" s="10" t="s">
        <v>3422</v>
      </c>
      <c r="BO418" s="11">
        <v>45833.722916666666</v>
      </c>
      <c r="BP418" s="11">
        <v>45889.706354166665</v>
      </c>
      <c r="BQ418" s="15">
        <v>45901.854803240742</v>
      </c>
      <c r="BR418" s="15">
        <v>45915.399710648147</v>
      </c>
      <c r="BS418" s="10"/>
      <c r="BT418" s="10" t="s">
        <v>99</v>
      </c>
      <c r="BU418" s="10"/>
      <c r="BV418" s="10"/>
      <c r="BW418" s="10"/>
      <c r="BX418" s="10"/>
      <c r="BY418" s="23"/>
      <c r="BZ418" s="23"/>
      <c r="CA418" s="19" t="s">
        <v>3423</v>
      </c>
      <c r="CB418" s="19" t="s">
        <v>3424</v>
      </c>
      <c r="CC418" s="23"/>
      <c r="CD418" s="23"/>
      <c r="CE418" s="23"/>
      <c r="CF418" s="23"/>
      <c r="CG418" s="23"/>
      <c r="CH418" s="23"/>
      <c r="CI418" s="23"/>
    </row>
    <row r="419" spans="1:87" x14ac:dyDescent="0.3">
      <c r="A419" s="9" t="s">
        <v>3425</v>
      </c>
      <c r="B419" s="10" t="s">
        <v>3426</v>
      </c>
      <c r="C419" s="11">
        <v>45892.979166666664</v>
      </c>
      <c r="D419" s="12">
        <v>8.3333333333333329E-2</v>
      </c>
      <c r="E419" s="11">
        <v>45893.0625</v>
      </c>
      <c r="F419" s="10" t="s">
        <v>3211</v>
      </c>
      <c r="G419" s="13" t="b">
        <v>0</v>
      </c>
      <c r="H419" s="10" t="s">
        <v>3212</v>
      </c>
      <c r="I419" s="10" t="s">
        <v>3213</v>
      </c>
      <c r="J419" s="13" t="b">
        <v>0</v>
      </c>
      <c r="K419" s="13" t="b">
        <v>1</v>
      </c>
      <c r="L419" s="10" t="s">
        <v>124</v>
      </c>
      <c r="M419" s="10" t="s">
        <v>91</v>
      </c>
      <c r="N419" s="10" t="s">
        <v>92</v>
      </c>
      <c r="O419" s="19" t="s">
        <v>3427</v>
      </c>
      <c r="P419" s="10" t="s">
        <v>88</v>
      </c>
      <c r="Q419" s="10" t="s">
        <v>126</v>
      </c>
      <c r="R419" s="10"/>
      <c r="S419" s="19" t="s">
        <v>3428</v>
      </c>
      <c r="T419" s="10"/>
      <c r="U419" s="10" t="s">
        <v>3429</v>
      </c>
      <c r="V419" s="10" t="s">
        <v>3318</v>
      </c>
      <c r="W419" s="10" t="s">
        <v>3219</v>
      </c>
      <c r="X419" s="10" t="s">
        <v>130</v>
      </c>
      <c r="Y419" s="10" t="s">
        <v>130</v>
      </c>
      <c r="Z419" s="10" t="s">
        <v>99</v>
      </c>
      <c r="AA419" s="10" t="s">
        <v>131</v>
      </c>
      <c r="AB419" s="10" t="s">
        <v>3220</v>
      </c>
      <c r="AC419" s="10" t="s">
        <v>3221</v>
      </c>
      <c r="AD419" s="10" t="s">
        <v>3430</v>
      </c>
      <c r="AE419" s="10" t="s">
        <v>3431</v>
      </c>
      <c r="AF419" s="15"/>
      <c r="AG419" s="10"/>
      <c r="AH419" s="10"/>
      <c r="AI419" s="10"/>
      <c r="AJ419" s="10"/>
      <c r="AK419" s="10" t="s">
        <v>102</v>
      </c>
      <c r="AL419" s="10" t="s">
        <v>103</v>
      </c>
      <c r="AM419" s="10"/>
      <c r="AN419" s="10"/>
      <c r="AO419" s="13" t="b">
        <v>1</v>
      </c>
      <c r="AP419" s="10" t="s">
        <v>104</v>
      </c>
      <c r="AQ419" s="10">
        <f ca="1">IFERROR(__xludf.DUMMYFUNCTION("""COMPUTED_VALUE"""),4514274)</f>
        <v>4514274</v>
      </c>
      <c r="AR419" s="17">
        <v>56959</v>
      </c>
      <c r="AS419" s="17">
        <v>43903</v>
      </c>
      <c r="AT419" s="17">
        <v>607316</v>
      </c>
      <c r="AU419" s="17">
        <v>1013.05</v>
      </c>
      <c r="AV419" s="17">
        <v>407.75</v>
      </c>
      <c r="AW419" s="10" t="s">
        <v>105</v>
      </c>
      <c r="AX419" s="17">
        <v>9038</v>
      </c>
      <c r="AY419" s="18">
        <v>13.833132132200532</v>
      </c>
      <c r="AZ419" s="10" t="s">
        <v>117</v>
      </c>
      <c r="BA419" s="20" t="b">
        <v>0</v>
      </c>
      <c r="BB419" s="10"/>
      <c r="BC419" s="17">
        <v>56959</v>
      </c>
      <c r="BD419" s="17">
        <v>43903</v>
      </c>
      <c r="BE419" s="17">
        <v>607316</v>
      </c>
      <c r="BF419" s="17">
        <v>407.75</v>
      </c>
      <c r="BG419" s="11">
        <f ca="1">IFERROR(__xludf.DUMMYFUNCTION("""COMPUTED_VALUE"""),45892.9791666666)</f>
        <v>45892.979166666599</v>
      </c>
      <c r="BH419" s="17" t="s">
        <v>105</v>
      </c>
      <c r="BI419" s="17"/>
      <c r="BJ419" s="15"/>
      <c r="BK419" s="15"/>
      <c r="BL419" s="13" t="b">
        <v>0</v>
      </c>
      <c r="BM419" s="10"/>
      <c r="BN419" s="10" t="s">
        <v>118</v>
      </c>
      <c r="BO419" s="11">
        <v>45834.559027777781</v>
      </c>
      <c r="BP419" s="11">
        <v>45889.693969907406</v>
      </c>
      <c r="BQ419" s="15">
        <v>45883.570868055554</v>
      </c>
      <c r="BR419" s="15">
        <v>45890.748912037037</v>
      </c>
      <c r="BS419" s="10" t="s">
        <v>118</v>
      </c>
      <c r="BT419" s="10" t="s">
        <v>279</v>
      </c>
      <c r="BU419" s="10"/>
      <c r="BV419" s="10" t="s">
        <v>281</v>
      </c>
      <c r="BW419" s="10" t="s">
        <v>3432</v>
      </c>
      <c r="BX419" s="19" t="s">
        <v>3433</v>
      </c>
      <c r="BY419" s="23"/>
      <c r="BZ419" s="23"/>
      <c r="CA419" s="19" t="s">
        <v>3434</v>
      </c>
      <c r="CB419" s="23"/>
      <c r="CC419" s="23"/>
      <c r="CD419" s="19" t="s">
        <v>3435</v>
      </c>
      <c r="CE419" s="23"/>
      <c r="CF419" s="23"/>
      <c r="CG419" s="23"/>
      <c r="CH419" s="23"/>
      <c r="CI419" s="23"/>
    </row>
    <row r="420" spans="1:87" x14ac:dyDescent="0.3">
      <c r="A420" s="9" t="s">
        <v>3436</v>
      </c>
      <c r="B420" s="10" t="s">
        <v>3437</v>
      </c>
      <c r="C420" s="11">
        <v>45893.072916666664</v>
      </c>
      <c r="D420" s="12">
        <v>8.3333333333333329E-2</v>
      </c>
      <c r="E420" s="11">
        <v>45893.15625</v>
      </c>
      <c r="F420" s="10" t="s">
        <v>3211</v>
      </c>
      <c r="G420" s="13" t="b">
        <v>0</v>
      </c>
      <c r="H420" s="10" t="s">
        <v>3212</v>
      </c>
      <c r="I420" s="10" t="s">
        <v>3213</v>
      </c>
      <c r="J420" s="13" t="b">
        <v>0</v>
      </c>
      <c r="K420" s="13" t="b">
        <v>1</v>
      </c>
      <c r="L420" s="10" t="s">
        <v>124</v>
      </c>
      <c r="M420" s="10" t="s">
        <v>91</v>
      </c>
      <c r="N420" s="10" t="s">
        <v>92</v>
      </c>
      <c r="O420" s="19" t="s">
        <v>3438</v>
      </c>
      <c r="P420" s="10" t="s">
        <v>88</v>
      </c>
      <c r="Q420" s="10" t="s">
        <v>126</v>
      </c>
      <c r="R420" s="10"/>
      <c r="S420" s="19" t="s">
        <v>3439</v>
      </c>
      <c r="T420" s="10"/>
      <c r="U420" s="10" t="s">
        <v>3289</v>
      </c>
      <c r="V420" s="10" t="s">
        <v>3440</v>
      </c>
      <c r="W420" s="10" t="s">
        <v>3219</v>
      </c>
      <c r="X420" s="10" t="s">
        <v>130</v>
      </c>
      <c r="Y420" s="10" t="s">
        <v>130</v>
      </c>
      <c r="Z420" s="10" t="s">
        <v>99</v>
      </c>
      <c r="AA420" s="10" t="s">
        <v>131</v>
      </c>
      <c r="AB420" s="10" t="s">
        <v>3220</v>
      </c>
      <c r="AC420" s="10" t="s">
        <v>3221</v>
      </c>
      <c r="AD420" s="10" t="s">
        <v>3441</v>
      </c>
      <c r="AE420" s="10" t="s">
        <v>3442</v>
      </c>
      <c r="AF420" s="15"/>
      <c r="AG420" s="10"/>
      <c r="AH420" s="10"/>
      <c r="AI420" s="10"/>
      <c r="AJ420" s="10"/>
      <c r="AK420" s="10" t="s">
        <v>102</v>
      </c>
      <c r="AL420" s="10" t="s">
        <v>103</v>
      </c>
      <c r="AM420" s="10"/>
      <c r="AN420" s="10"/>
      <c r="AO420" s="13" t="b">
        <v>1</v>
      </c>
      <c r="AP420" s="10" t="s">
        <v>104</v>
      </c>
      <c r="AQ420" s="10">
        <f ca="1">IFERROR(__xludf.DUMMYFUNCTION("""COMPUTED_VALUE"""),4514279)</f>
        <v>4514279</v>
      </c>
      <c r="AR420" s="17">
        <v>46808</v>
      </c>
      <c r="AS420" s="17">
        <v>31615</v>
      </c>
      <c r="AT420" s="17">
        <v>1170569.25</v>
      </c>
      <c r="AU420" s="17">
        <v>1146</v>
      </c>
      <c r="AV420" s="17">
        <v>472.15</v>
      </c>
      <c r="AW420" s="10" t="s">
        <v>105</v>
      </c>
      <c r="AX420" s="17">
        <v>12755</v>
      </c>
      <c r="AY420" s="18">
        <v>37.025755179503399</v>
      </c>
      <c r="AZ420" s="10" t="s">
        <v>117</v>
      </c>
      <c r="BA420" s="20" t="b">
        <v>0</v>
      </c>
      <c r="BB420" s="10"/>
      <c r="BC420" s="17">
        <v>46808</v>
      </c>
      <c r="BD420" s="17">
        <v>31615</v>
      </c>
      <c r="BE420" s="17">
        <v>1170569.25</v>
      </c>
      <c r="BF420" s="17">
        <v>472.15</v>
      </c>
      <c r="BG420" s="11">
        <f ca="1">IFERROR(__xludf.DUMMYFUNCTION("""COMPUTED_VALUE"""),45893.0729166666)</f>
        <v>45893.072916666599</v>
      </c>
      <c r="BH420" s="17" t="s">
        <v>105</v>
      </c>
      <c r="BI420" s="17"/>
      <c r="BJ420" s="15"/>
      <c r="BK420" s="15"/>
      <c r="BL420" s="13" t="b">
        <v>0</v>
      </c>
      <c r="BM420" s="10"/>
      <c r="BN420" s="10" t="s">
        <v>667</v>
      </c>
      <c r="BO420" s="11">
        <v>45834.55972222222</v>
      </c>
      <c r="BP420" s="11">
        <v>45889.694548611114</v>
      </c>
      <c r="BQ420" s="15">
        <v>45883.571157407408</v>
      </c>
      <c r="BR420" s="15">
        <v>45890.75476851852</v>
      </c>
      <c r="BS420" s="10" t="s">
        <v>667</v>
      </c>
      <c r="BT420" s="10" t="s">
        <v>279</v>
      </c>
      <c r="BU420" s="10" t="s">
        <v>280</v>
      </c>
      <c r="BV420" s="10" t="s">
        <v>124</v>
      </c>
      <c r="BW420" s="10" t="s">
        <v>3443</v>
      </c>
      <c r="BX420" s="19" t="s">
        <v>3444</v>
      </c>
      <c r="BY420" s="23"/>
      <c r="BZ420" s="23"/>
      <c r="CA420" s="19" t="s">
        <v>3445</v>
      </c>
      <c r="CB420" s="23"/>
      <c r="CC420" s="23"/>
      <c r="CD420" s="19" t="s">
        <v>3446</v>
      </c>
      <c r="CE420" s="23"/>
      <c r="CF420" s="23"/>
      <c r="CG420" s="23"/>
      <c r="CH420" s="23"/>
      <c r="CI420" s="23"/>
    </row>
    <row r="421" spans="1:87" x14ac:dyDescent="0.3">
      <c r="A421" s="9" t="s">
        <v>3447</v>
      </c>
      <c r="B421" s="10" t="s">
        <v>3448</v>
      </c>
      <c r="C421" s="11">
        <v>45894.072916666664</v>
      </c>
      <c r="D421" s="12">
        <v>8.3333333333333329E-2</v>
      </c>
      <c r="E421" s="11">
        <v>45894.15625</v>
      </c>
      <c r="F421" s="10" t="s">
        <v>3211</v>
      </c>
      <c r="G421" s="13" t="b">
        <v>0</v>
      </c>
      <c r="H421" s="10" t="s">
        <v>3212</v>
      </c>
      <c r="I421" s="10" t="s">
        <v>3213</v>
      </c>
      <c r="J421" s="13" t="b">
        <v>0</v>
      </c>
      <c r="K421" s="13" t="b">
        <v>1</v>
      </c>
      <c r="L421" s="10" t="s">
        <v>124</v>
      </c>
      <c r="M421" s="10" t="s">
        <v>91</v>
      </c>
      <c r="N421" s="10" t="s">
        <v>92</v>
      </c>
      <c r="O421" s="19" t="s">
        <v>3449</v>
      </c>
      <c r="P421" s="10" t="s">
        <v>3215</v>
      </c>
      <c r="Q421" s="10" t="s">
        <v>126</v>
      </c>
      <c r="R421" s="10"/>
      <c r="S421" s="19" t="s">
        <v>3450</v>
      </c>
      <c r="T421" s="10"/>
      <c r="U421" s="10" t="s">
        <v>3308</v>
      </c>
      <c r="V421" s="10" t="s">
        <v>3451</v>
      </c>
      <c r="W421" s="10" t="s">
        <v>3219</v>
      </c>
      <c r="X421" s="10" t="s">
        <v>130</v>
      </c>
      <c r="Y421" s="10" t="s">
        <v>130</v>
      </c>
      <c r="Z421" s="10" t="s">
        <v>99</v>
      </c>
      <c r="AA421" s="10" t="s">
        <v>131</v>
      </c>
      <c r="AB421" s="10" t="s">
        <v>3220</v>
      </c>
      <c r="AC421" s="10" t="s">
        <v>3221</v>
      </c>
      <c r="AD421" s="10" t="s">
        <v>3452</v>
      </c>
      <c r="AE421" s="10" t="s">
        <v>3453</v>
      </c>
      <c r="AF421" s="15"/>
      <c r="AG421" s="10"/>
      <c r="AH421" s="10"/>
      <c r="AI421" s="10"/>
      <c r="AJ421" s="10"/>
      <c r="AK421" s="10" t="s">
        <v>102</v>
      </c>
      <c r="AL421" s="10" t="s">
        <v>103</v>
      </c>
      <c r="AM421" s="10"/>
      <c r="AN421" s="10"/>
      <c r="AO421" s="13" t="b">
        <v>0</v>
      </c>
      <c r="AP421" s="10" t="s">
        <v>104</v>
      </c>
      <c r="AQ421" s="10">
        <f ca="1">IFERROR(__xludf.DUMMYFUNCTION("""COMPUTED_VALUE"""),4520553)</f>
        <v>4520553</v>
      </c>
      <c r="AR421" s="17">
        <v>5207</v>
      </c>
      <c r="AS421" s="17">
        <v>3630</v>
      </c>
      <c r="AT421" s="17">
        <v>51818.75</v>
      </c>
      <c r="AU421" s="17">
        <v>13.8</v>
      </c>
      <c r="AV421" s="17">
        <v>3.9</v>
      </c>
      <c r="AW421" s="10" t="s">
        <v>105</v>
      </c>
      <c r="AX421" s="17">
        <v>1413</v>
      </c>
      <c r="AY421" s="18">
        <v>14.275137741046832</v>
      </c>
      <c r="AZ421" s="10" t="s">
        <v>117</v>
      </c>
      <c r="BA421" s="20" t="b">
        <v>0</v>
      </c>
      <c r="BB421" s="10"/>
      <c r="BC421" s="17">
        <v>5207</v>
      </c>
      <c r="BD421" s="17">
        <v>3630</v>
      </c>
      <c r="BE421" s="17">
        <v>51818.75</v>
      </c>
      <c r="BF421" s="17">
        <v>3.9</v>
      </c>
      <c r="BG421" s="11">
        <f ca="1">IFERROR(__xludf.DUMMYFUNCTION("""COMPUTED_VALUE"""),45894.0729166666)</f>
        <v>45894.072916666599</v>
      </c>
      <c r="BH421" s="17" t="s">
        <v>105</v>
      </c>
      <c r="BI421" s="17"/>
      <c r="BJ421" s="15"/>
      <c r="BK421" s="15"/>
      <c r="BL421" s="13" t="b">
        <v>0</v>
      </c>
      <c r="BM421" s="10"/>
      <c r="BN421" s="10" t="s">
        <v>197</v>
      </c>
      <c r="BO421" s="11">
        <v>45834.561111111114</v>
      </c>
      <c r="BP421" s="11">
        <v>45889.694976851853</v>
      </c>
      <c r="BQ421" s="15">
        <v>45883.572152777779</v>
      </c>
      <c r="BR421" s="15">
        <v>45893.41002314815</v>
      </c>
      <c r="BS421" s="10" t="s">
        <v>197</v>
      </c>
      <c r="BT421" s="10" t="s">
        <v>99</v>
      </c>
      <c r="BU421" s="10"/>
      <c r="BV421" s="10"/>
      <c r="BW421" s="10"/>
      <c r="BX421" s="10"/>
      <c r="BY421" s="23"/>
      <c r="BZ421" s="23"/>
      <c r="CA421" s="19" t="s">
        <v>3454</v>
      </c>
      <c r="CB421" s="23"/>
      <c r="CC421" s="23"/>
      <c r="CD421" s="19" t="s">
        <v>3455</v>
      </c>
      <c r="CE421" s="23"/>
      <c r="CF421" s="23"/>
      <c r="CG421" s="23"/>
      <c r="CH421" s="23"/>
      <c r="CI421" s="23"/>
    </row>
    <row r="422" spans="1:87" x14ac:dyDescent="0.3">
      <c r="A422" s="9" t="s">
        <v>3456</v>
      </c>
      <c r="B422" s="10" t="s">
        <v>3457</v>
      </c>
      <c r="C422" s="11">
        <v>45898.979166666664</v>
      </c>
      <c r="D422" s="12">
        <v>8.3333333333333329E-2</v>
      </c>
      <c r="E422" s="11">
        <v>45899.0625</v>
      </c>
      <c r="F422" s="10" t="s">
        <v>3211</v>
      </c>
      <c r="G422" s="13" t="b">
        <v>0</v>
      </c>
      <c r="H422" s="10" t="s">
        <v>3212</v>
      </c>
      <c r="I422" s="10" t="s">
        <v>3213</v>
      </c>
      <c r="J422" s="13" t="b">
        <v>0</v>
      </c>
      <c r="K422" s="13" t="b">
        <v>1</v>
      </c>
      <c r="L422" s="10" t="s">
        <v>124</v>
      </c>
      <c r="M422" s="10" t="s">
        <v>91</v>
      </c>
      <c r="N422" s="10" t="s">
        <v>92</v>
      </c>
      <c r="O422" s="19" t="s">
        <v>3458</v>
      </c>
      <c r="P422" s="10" t="s">
        <v>88</v>
      </c>
      <c r="Q422" s="10" t="s">
        <v>126</v>
      </c>
      <c r="R422" s="10"/>
      <c r="S422" s="19" t="s">
        <v>3459</v>
      </c>
      <c r="T422" s="19" t="s">
        <v>3288</v>
      </c>
      <c r="U422" s="10" t="s">
        <v>3440</v>
      </c>
      <c r="V422" s="10" t="s">
        <v>3429</v>
      </c>
      <c r="W422" s="10" t="s">
        <v>3219</v>
      </c>
      <c r="X422" s="10" t="s">
        <v>130</v>
      </c>
      <c r="Y422" s="10" t="s">
        <v>130</v>
      </c>
      <c r="Z422" s="10" t="s">
        <v>99</v>
      </c>
      <c r="AA422" s="10" t="s">
        <v>131</v>
      </c>
      <c r="AB422" s="10" t="s">
        <v>3220</v>
      </c>
      <c r="AC422" s="10" t="s">
        <v>3221</v>
      </c>
      <c r="AD422" s="10" t="s">
        <v>3460</v>
      </c>
      <c r="AE422" s="10" t="s">
        <v>3461</v>
      </c>
      <c r="AF422" s="15"/>
      <c r="AG422" s="10"/>
      <c r="AH422" s="10"/>
      <c r="AI422" s="10"/>
      <c r="AJ422" s="10"/>
      <c r="AK422" s="10" t="s">
        <v>102</v>
      </c>
      <c r="AL422" s="10" t="s">
        <v>116</v>
      </c>
      <c r="AM422" s="10"/>
      <c r="AN422" s="10"/>
      <c r="AO422" s="13" t="b">
        <v>1</v>
      </c>
      <c r="AP422" s="10" t="s">
        <v>104</v>
      </c>
      <c r="AQ422" s="10">
        <f ca="1">IFERROR(__xludf.DUMMYFUNCTION("""COMPUTED_VALUE"""),4525578)</f>
        <v>4525578</v>
      </c>
      <c r="AR422" s="17">
        <v>39694</v>
      </c>
      <c r="AS422" s="17">
        <v>31954</v>
      </c>
      <c r="AT422" s="17">
        <v>653855.75</v>
      </c>
      <c r="AU422" s="17">
        <v>679.45</v>
      </c>
      <c r="AV422" s="17">
        <v>182.55</v>
      </c>
      <c r="AW422" s="10" t="s">
        <v>105</v>
      </c>
      <c r="AX422" s="17">
        <v>8164</v>
      </c>
      <c r="AY422" s="18">
        <v>20.462406897415033</v>
      </c>
      <c r="AZ422" s="10" t="s">
        <v>117</v>
      </c>
      <c r="BA422" s="20" t="b">
        <v>0</v>
      </c>
      <c r="BB422" s="10"/>
      <c r="BC422" s="17">
        <v>39694</v>
      </c>
      <c r="BD422" s="17">
        <v>31954</v>
      </c>
      <c r="BE422" s="17">
        <v>653855.75</v>
      </c>
      <c r="BF422" s="17">
        <v>182.55</v>
      </c>
      <c r="BG422" s="11">
        <f ca="1">IFERROR(__xludf.DUMMYFUNCTION("""COMPUTED_VALUE"""),45898.9791666666)</f>
        <v>45898.979166666599</v>
      </c>
      <c r="BH422" s="17" t="s">
        <v>105</v>
      </c>
      <c r="BI422" s="17"/>
      <c r="BJ422" s="15"/>
      <c r="BK422" s="15"/>
      <c r="BL422" s="13" t="b">
        <v>0</v>
      </c>
      <c r="BM422" s="10"/>
      <c r="BN422" s="10" t="s">
        <v>3292</v>
      </c>
      <c r="BO422" s="11">
        <v>45834.561805555553</v>
      </c>
      <c r="BP422" s="11">
        <v>45889.695243055554</v>
      </c>
      <c r="BQ422" s="15">
        <v>45894.650543981479</v>
      </c>
      <c r="BR422" s="15">
        <v>45895.421331018515</v>
      </c>
      <c r="BS422" s="10"/>
      <c r="BT422" s="10" t="s">
        <v>99</v>
      </c>
      <c r="BU422" s="10" t="s">
        <v>498</v>
      </c>
      <c r="BV422" s="10" t="s">
        <v>281</v>
      </c>
      <c r="BW422" s="10" t="s">
        <v>3462</v>
      </c>
      <c r="BX422" s="10"/>
      <c r="BY422" s="23"/>
      <c r="BZ422" s="23"/>
      <c r="CA422" s="19" t="s">
        <v>3463</v>
      </c>
      <c r="CB422" s="19" t="s">
        <v>3464</v>
      </c>
      <c r="CC422" s="23"/>
      <c r="CD422" s="19" t="s">
        <v>3465</v>
      </c>
      <c r="CE422" s="23"/>
      <c r="CF422" s="23"/>
      <c r="CG422" s="23"/>
      <c r="CH422" s="23"/>
      <c r="CI422" s="23"/>
    </row>
    <row r="423" spans="1:87" x14ac:dyDescent="0.3">
      <c r="A423" s="9" t="s">
        <v>3466</v>
      </c>
      <c r="B423" s="10" t="s">
        <v>3467</v>
      </c>
      <c r="C423" s="11">
        <v>45900.072916666664</v>
      </c>
      <c r="D423" s="12">
        <v>8.3333333333333329E-2</v>
      </c>
      <c r="E423" s="11">
        <v>45900.15625</v>
      </c>
      <c r="F423" s="10" t="s">
        <v>3211</v>
      </c>
      <c r="G423" s="13" t="b">
        <v>0</v>
      </c>
      <c r="H423" s="10" t="s">
        <v>3212</v>
      </c>
      <c r="I423" s="10" t="s">
        <v>3213</v>
      </c>
      <c r="J423" s="13" t="b">
        <v>0</v>
      </c>
      <c r="K423" s="13" t="b">
        <v>1</v>
      </c>
      <c r="L423" s="10" t="s">
        <v>124</v>
      </c>
      <c r="M423" s="10" t="s">
        <v>91</v>
      </c>
      <c r="N423" s="10" t="s">
        <v>92</v>
      </c>
      <c r="O423" s="19" t="s">
        <v>3468</v>
      </c>
      <c r="P423" s="10" t="s">
        <v>3215</v>
      </c>
      <c r="Q423" s="10" t="s">
        <v>126</v>
      </c>
      <c r="R423" s="10"/>
      <c r="S423" s="19" t="s">
        <v>3469</v>
      </c>
      <c r="T423" s="19" t="s">
        <v>3288</v>
      </c>
      <c r="U423" s="10" t="s">
        <v>3451</v>
      </c>
      <c r="V423" s="10" t="s">
        <v>3229</v>
      </c>
      <c r="W423" s="10" t="s">
        <v>3219</v>
      </c>
      <c r="X423" s="10" t="s">
        <v>130</v>
      </c>
      <c r="Y423" s="10" t="s">
        <v>130</v>
      </c>
      <c r="Z423" s="10" t="s">
        <v>99</v>
      </c>
      <c r="AA423" s="10" t="s">
        <v>131</v>
      </c>
      <c r="AB423" s="10" t="s">
        <v>3220</v>
      </c>
      <c r="AC423" s="10" t="s">
        <v>3221</v>
      </c>
      <c r="AD423" s="10" t="s">
        <v>3470</v>
      </c>
      <c r="AE423" s="10" t="s">
        <v>3471</v>
      </c>
      <c r="AF423" s="15"/>
      <c r="AG423" s="10"/>
      <c r="AH423" s="10"/>
      <c r="AI423" s="10"/>
      <c r="AJ423" s="10"/>
      <c r="AK423" s="10" t="s">
        <v>102</v>
      </c>
      <c r="AL423" s="10" t="s">
        <v>116</v>
      </c>
      <c r="AM423" s="10"/>
      <c r="AN423" s="10"/>
      <c r="AO423" s="13" t="b">
        <v>1</v>
      </c>
      <c r="AP423" s="10" t="s">
        <v>104</v>
      </c>
      <c r="AQ423" s="10">
        <f ca="1">IFERROR(__xludf.DUMMYFUNCTION("""COMPUTED_VALUE"""),4527533)</f>
        <v>4527533</v>
      </c>
      <c r="AR423" s="17">
        <v>10418</v>
      </c>
      <c r="AS423" s="17">
        <v>7161</v>
      </c>
      <c r="AT423" s="17">
        <v>253211.25</v>
      </c>
      <c r="AU423" s="17">
        <v>109.05</v>
      </c>
      <c r="AV423" s="17">
        <v>48.9</v>
      </c>
      <c r="AW423" s="10" t="s">
        <v>105</v>
      </c>
      <c r="AX423" s="17">
        <v>2708</v>
      </c>
      <c r="AY423" s="18">
        <v>35.359761206535403</v>
      </c>
      <c r="AZ423" s="10" t="s">
        <v>117</v>
      </c>
      <c r="BA423" s="20" t="b">
        <v>0</v>
      </c>
      <c r="BB423" s="10"/>
      <c r="BC423" s="17">
        <v>10418</v>
      </c>
      <c r="BD423" s="17">
        <v>7161</v>
      </c>
      <c r="BE423" s="17">
        <v>253211.25</v>
      </c>
      <c r="BF423" s="17">
        <v>48.9</v>
      </c>
      <c r="BG423" s="11">
        <f ca="1">IFERROR(__xludf.DUMMYFUNCTION("""COMPUTED_VALUE"""),45900.0729166666)</f>
        <v>45900.072916666599</v>
      </c>
      <c r="BH423" s="17" t="s">
        <v>105</v>
      </c>
      <c r="BI423" s="17"/>
      <c r="BJ423" s="15"/>
      <c r="BK423" s="15"/>
      <c r="BL423" s="13" t="b">
        <v>0</v>
      </c>
      <c r="BM423" s="10"/>
      <c r="BN423" s="10" t="s">
        <v>197</v>
      </c>
      <c r="BO423" s="11">
        <v>45834.5625</v>
      </c>
      <c r="BP423" s="11">
        <v>45889.695891203701</v>
      </c>
      <c r="BQ423" s="15">
        <v>45894.651701388888</v>
      </c>
      <c r="BR423" s="15">
        <v>45896.414143518516</v>
      </c>
      <c r="BS423" s="10" t="s">
        <v>197</v>
      </c>
      <c r="BT423" s="10" t="s">
        <v>99</v>
      </c>
      <c r="BU423" s="10" t="s">
        <v>498</v>
      </c>
      <c r="BV423" s="10"/>
      <c r="BW423" s="10"/>
      <c r="BX423" s="10"/>
      <c r="BY423" s="23"/>
      <c r="BZ423" s="23"/>
      <c r="CA423" s="19" t="s">
        <v>3472</v>
      </c>
      <c r="CB423" s="19" t="s">
        <v>3473</v>
      </c>
      <c r="CC423" s="23"/>
      <c r="CD423" s="19" t="s">
        <v>3474</v>
      </c>
      <c r="CE423" s="23"/>
      <c r="CF423" s="23"/>
      <c r="CG423" s="23"/>
      <c r="CH423" s="23"/>
      <c r="CI423" s="23"/>
    </row>
    <row r="424" spans="1:87" x14ac:dyDescent="0.3">
      <c r="A424" s="9" t="s">
        <v>3475</v>
      </c>
      <c r="B424" s="10" t="s">
        <v>3476</v>
      </c>
      <c r="C424" s="11">
        <v>45914.833333333336</v>
      </c>
      <c r="D424" s="12">
        <v>8.3333333333333329E-2</v>
      </c>
      <c r="E424" s="11">
        <v>45914.916666666664</v>
      </c>
      <c r="F424" s="10" t="s">
        <v>3211</v>
      </c>
      <c r="G424" s="13" t="b">
        <v>0</v>
      </c>
      <c r="H424" s="10" t="s">
        <v>3212</v>
      </c>
      <c r="I424" s="10" t="s">
        <v>3213</v>
      </c>
      <c r="J424" s="13" t="b">
        <v>0</v>
      </c>
      <c r="K424" s="13" t="b">
        <v>1</v>
      </c>
      <c r="L424" s="10" t="s">
        <v>124</v>
      </c>
      <c r="M424" s="10" t="s">
        <v>91</v>
      </c>
      <c r="N424" s="10" t="s">
        <v>92</v>
      </c>
      <c r="O424" s="19" t="s">
        <v>3477</v>
      </c>
      <c r="P424" s="10" t="s">
        <v>3478</v>
      </c>
      <c r="Q424" s="10" t="s">
        <v>94</v>
      </c>
      <c r="R424" s="10"/>
      <c r="S424" s="19" t="s">
        <v>3479</v>
      </c>
      <c r="T424" s="19" t="s">
        <v>3364</v>
      </c>
      <c r="U424" s="10" t="s">
        <v>3451</v>
      </c>
      <c r="V424" s="10" t="s">
        <v>3269</v>
      </c>
      <c r="W424" s="10" t="s">
        <v>3219</v>
      </c>
      <c r="X424" s="10" t="s">
        <v>130</v>
      </c>
      <c r="Y424" s="10" t="s">
        <v>130</v>
      </c>
      <c r="Z424" s="10" t="s">
        <v>99</v>
      </c>
      <c r="AA424" s="10" t="s">
        <v>131</v>
      </c>
      <c r="AB424" s="10" t="s">
        <v>3220</v>
      </c>
      <c r="AC424" s="10" t="s">
        <v>3221</v>
      </c>
      <c r="AD424" s="10" t="s">
        <v>3480</v>
      </c>
      <c r="AE424" s="10" t="s">
        <v>3481</v>
      </c>
      <c r="AF424" s="15"/>
      <c r="AG424" s="10"/>
      <c r="AH424" s="10"/>
      <c r="AI424" s="10"/>
      <c r="AJ424" s="10"/>
      <c r="AK424" s="10" t="s">
        <v>102</v>
      </c>
      <c r="AL424" s="10" t="s">
        <v>147</v>
      </c>
      <c r="AM424" s="10"/>
      <c r="AN424" s="10"/>
      <c r="AO424" s="13" t="b">
        <v>0</v>
      </c>
      <c r="AP424" s="10" t="s">
        <v>104</v>
      </c>
      <c r="AQ424" s="10">
        <f ca="1">IFERROR(__xludf.DUMMYFUNCTION("""COMPUTED_VALUE"""),4558601)</f>
        <v>4558601</v>
      </c>
      <c r="AR424" s="17">
        <v>11465</v>
      </c>
      <c r="AS424" s="17">
        <v>9274</v>
      </c>
      <c r="AT424" s="17">
        <v>48282</v>
      </c>
      <c r="AU424" s="17">
        <v>12.9</v>
      </c>
      <c r="AV424" s="17">
        <v>2.85</v>
      </c>
      <c r="AW424" s="10" t="s">
        <v>105</v>
      </c>
      <c r="AX424" s="17">
        <v>1716</v>
      </c>
      <c r="AY424" s="18">
        <v>5.2061677808928186</v>
      </c>
      <c r="AZ424" s="10" t="s">
        <v>117</v>
      </c>
      <c r="BA424" s="20" t="b">
        <v>0</v>
      </c>
      <c r="BB424" s="10"/>
      <c r="BC424" s="17">
        <v>11465</v>
      </c>
      <c r="BD424" s="17">
        <v>9274</v>
      </c>
      <c r="BE424" s="17">
        <v>48282</v>
      </c>
      <c r="BF424" s="17">
        <v>2.85</v>
      </c>
      <c r="BG424" s="11">
        <f ca="1">IFERROR(__xludf.DUMMYFUNCTION("""COMPUTED_VALUE"""),45914.8333333333)</f>
        <v>45914.833333333299</v>
      </c>
      <c r="BH424" s="17" t="s">
        <v>105</v>
      </c>
      <c r="BI424" s="17"/>
      <c r="BJ424" s="15"/>
      <c r="BK424" s="15"/>
      <c r="BL424" s="13" t="b">
        <v>0</v>
      </c>
      <c r="BM424" s="10"/>
      <c r="BN424" s="10" t="s">
        <v>118</v>
      </c>
      <c r="BO424" s="11">
        <v>45834.563888888886</v>
      </c>
      <c r="BP424" s="11">
        <v>45889.706122685187</v>
      </c>
      <c r="BQ424" s="15">
        <v>45901.851539351854</v>
      </c>
      <c r="BR424" s="15">
        <v>45908.391423611109</v>
      </c>
      <c r="BS424" s="10" t="s">
        <v>118</v>
      </c>
      <c r="BT424" s="10"/>
      <c r="BU424" s="10"/>
      <c r="BV424" s="10"/>
      <c r="BW424" s="10"/>
      <c r="BX424" s="10"/>
      <c r="BY424" s="23"/>
      <c r="BZ424" s="23"/>
      <c r="CA424" s="19" t="s">
        <v>3482</v>
      </c>
      <c r="CB424" s="19" t="s">
        <v>3483</v>
      </c>
      <c r="CC424" s="23"/>
      <c r="CD424" s="23"/>
      <c r="CE424" s="23"/>
      <c r="CF424" s="23"/>
      <c r="CG424" s="23"/>
      <c r="CH424" s="23"/>
      <c r="CI424" s="23"/>
    </row>
    <row r="425" spans="1:87" x14ac:dyDescent="0.3">
      <c r="A425" s="9" t="s">
        <v>3484</v>
      </c>
      <c r="B425" s="10" t="s">
        <v>3485</v>
      </c>
      <c r="C425" s="11">
        <v>45914.958333333336</v>
      </c>
      <c r="D425" s="12">
        <v>8.3333333333333329E-2</v>
      </c>
      <c r="E425" s="11">
        <v>45915.041666666664</v>
      </c>
      <c r="F425" s="10" t="s">
        <v>3211</v>
      </c>
      <c r="G425" s="13" t="b">
        <v>0</v>
      </c>
      <c r="H425" s="10" t="s">
        <v>3212</v>
      </c>
      <c r="I425" s="10" t="s">
        <v>3213</v>
      </c>
      <c r="J425" s="13" t="b">
        <v>0</v>
      </c>
      <c r="K425" s="13" t="b">
        <v>1</v>
      </c>
      <c r="L425" s="10" t="s">
        <v>124</v>
      </c>
      <c r="M425" s="10" t="s">
        <v>91</v>
      </c>
      <c r="N425" s="10" t="s">
        <v>92</v>
      </c>
      <c r="O425" s="19" t="s">
        <v>3486</v>
      </c>
      <c r="P425" s="10" t="s">
        <v>3215</v>
      </c>
      <c r="Q425" s="10" t="s">
        <v>126</v>
      </c>
      <c r="R425" s="10"/>
      <c r="S425" s="19" t="s">
        <v>3487</v>
      </c>
      <c r="T425" s="19" t="s">
        <v>3364</v>
      </c>
      <c r="U425" s="10" t="s">
        <v>3429</v>
      </c>
      <c r="V425" s="10" t="s">
        <v>3250</v>
      </c>
      <c r="W425" s="10" t="s">
        <v>3219</v>
      </c>
      <c r="X425" s="10" t="s">
        <v>130</v>
      </c>
      <c r="Y425" s="10" t="s">
        <v>130</v>
      </c>
      <c r="Z425" s="10" t="s">
        <v>99</v>
      </c>
      <c r="AA425" s="10" t="s">
        <v>131</v>
      </c>
      <c r="AB425" s="10" t="s">
        <v>3220</v>
      </c>
      <c r="AC425" s="10" t="s">
        <v>3221</v>
      </c>
      <c r="AD425" s="10" t="s">
        <v>3488</v>
      </c>
      <c r="AE425" s="10" t="s">
        <v>3489</v>
      </c>
      <c r="AF425" s="15"/>
      <c r="AG425" s="10"/>
      <c r="AH425" s="10"/>
      <c r="AI425" s="10"/>
      <c r="AJ425" s="10"/>
      <c r="AK425" s="10" t="s">
        <v>102</v>
      </c>
      <c r="AL425" s="10" t="s">
        <v>147</v>
      </c>
      <c r="AM425" s="10"/>
      <c r="AN425" s="10"/>
      <c r="AO425" s="13" t="b">
        <v>1</v>
      </c>
      <c r="AP425" s="10" t="s">
        <v>104</v>
      </c>
      <c r="AQ425" s="10">
        <f ca="1">IFERROR(__xludf.DUMMYFUNCTION("""COMPUTED_VALUE"""),4557262)</f>
        <v>4557262</v>
      </c>
      <c r="AR425" s="17">
        <v>52323</v>
      </c>
      <c r="AS425" s="17">
        <v>43173</v>
      </c>
      <c r="AT425" s="17">
        <v>898249</v>
      </c>
      <c r="AU425" s="17">
        <v>483.05</v>
      </c>
      <c r="AV425" s="17">
        <v>106.85</v>
      </c>
      <c r="AW425" s="10" t="s">
        <v>105</v>
      </c>
      <c r="AX425" s="17">
        <v>12786</v>
      </c>
      <c r="AY425" s="18">
        <v>20.805804553772035</v>
      </c>
      <c r="AZ425" s="10" t="s">
        <v>117</v>
      </c>
      <c r="BA425" s="20" t="b">
        <v>0</v>
      </c>
      <c r="BB425" s="10"/>
      <c r="BC425" s="17">
        <v>52323</v>
      </c>
      <c r="BD425" s="17">
        <v>43173</v>
      </c>
      <c r="BE425" s="17">
        <v>898249</v>
      </c>
      <c r="BF425" s="17">
        <v>106.85</v>
      </c>
      <c r="BG425" s="11">
        <f ca="1">IFERROR(__xludf.DUMMYFUNCTION("""COMPUTED_VALUE"""),45914.9583333333)</f>
        <v>45914.958333333299</v>
      </c>
      <c r="BH425" s="17" t="s">
        <v>105</v>
      </c>
      <c r="BI425" s="17"/>
      <c r="BJ425" s="15"/>
      <c r="BK425" s="15"/>
      <c r="BL425" s="13" t="b">
        <v>0</v>
      </c>
      <c r="BM425" s="10"/>
      <c r="BN425" s="10" t="s">
        <v>278</v>
      </c>
      <c r="BO425" s="11">
        <v>45834.56527777778</v>
      </c>
      <c r="BP425" s="11">
        <v>45889.695023148146</v>
      </c>
      <c r="BQ425" s="15">
        <v>45901.851701388892</v>
      </c>
      <c r="BR425" s="15">
        <v>45907.922534722224</v>
      </c>
      <c r="BS425" s="10" t="s">
        <v>278</v>
      </c>
      <c r="BT425" s="10" t="s">
        <v>99</v>
      </c>
      <c r="BU425" s="10" t="s">
        <v>456</v>
      </c>
      <c r="BV425" s="10"/>
      <c r="BW425" s="10"/>
      <c r="BX425" s="10"/>
      <c r="BY425" s="23"/>
      <c r="BZ425" s="23"/>
      <c r="CA425" s="19" t="s">
        <v>3490</v>
      </c>
      <c r="CB425" s="19" t="s">
        <v>3491</v>
      </c>
      <c r="CC425" s="23"/>
      <c r="CD425" s="19" t="s">
        <v>3492</v>
      </c>
      <c r="CE425" s="23"/>
      <c r="CF425" s="23"/>
      <c r="CG425" s="23"/>
      <c r="CH425" s="23"/>
      <c r="CI425" s="23"/>
    </row>
    <row r="426" spans="1:87" x14ac:dyDescent="0.3">
      <c r="A426" s="9" t="s">
        <v>3493</v>
      </c>
      <c r="B426" s="10" t="s">
        <v>3494</v>
      </c>
      <c r="C426" s="11">
        <v>45915.979166666664</v>
      </c>
      <c r="D426" s="12">
        <v>8.3333333333333329E-2</v>
      </c>
      <c r="E426" s="11">
        <v>45916.0625</v>
      </c>
      <c r="F426" s="10" t="s">
        <v>3211</v>
      </c>
      <c r="G426" s="13" t="b">
        <v>0</v>
      </c>
      <c r="H426" s="10" t="s">
        <v>3212</v>
      </c>
      <c r="I426" s="10" t="s">
        <v>3213</v>
      </c>
      <c r="J426" s="13" t="b">
        <v>0</v>
      </c>
      <c r="K426" s="13" t="b">
        <v>1</v>
      </c>
      <c r="L426" s="10" t="s">
        <v>124</v>
      </c>
      <c r="M426" s="10" t="s">
        <v>91</v>
      </c>
      <c r="N426" s="10" t="s">
        <v>92</v>
      </c>
      <c r="O426" s="19" t="s">
        <v>3495</v>
      </c>
      <c r="P426" s="10" t="s">
        <v>3215</v>
      </c>
      <c r="Q426" s="10" t="s">
        <v>3496</v>
      </c>
      <c r="R426" s="10"/>
      <c r="S426" s="19" t="s">
        <v>3497</v>
      </c>
      <c r="T426" s="19" t="s">
        <v>3364</v>
      </c>
      <c r="U426" s="10" t="s">
        <v>3270</v>
      </c>
      <c r="V426" s="10" t="s">
        <v>3440</v>
      </c>
      <c r="W426" s="10" t="s">
        <v>3219</v>
      </c>
      <c r="X426" s="10" t="s">
        <v>130</v>
      </c>
      <c r="Y426" s="10" t="s">
        <v>130</v>
      </c>
      <c r="Z426" s="10" t="s">
        <v>99</v>
      </c>
      <c r="AA426" s="10" t="s">
        <v>131</v>
      </c>
      <c r="AB426" s="10" t="s">
        <v>3220</v>
      </c>
      <c r="AC426" s="10" t="s">
        <v>3221</v>
      </c>
      <c r="AD426" s="10" t="s">
        <v>3498</v>
      </c>
      <c r="AE426" s="10" t="s">
        <v>3499</v>
      </c>
      <c r="AF426" s="15"/>
      <c r="AG426" s="10"/>
      <c r="AH426" s="10"/>
      <c r="AI426" s="10"/>
      <c r="AJ426" s="10"/>
      <c r="AK426" s="10" t="s">
        <v>102</v>
      </c>
      <c r="AL426" s="10" t="s">
        <v>147</v>
      </c>
      <c r="AM426" s="10"/>
      <c r="AN426" s="10"/>
      <c r="AO426" s="13" t="b">
        <v>1</v>
      </c>
      <c r="AP426" s="10" t="s">
        <v>104</v>
      </c>
      <c r="AQ426" s="10">
        <f ca="1">IFERROR(__xludf.DUMMYFUNCTION("""COMPUTED_VALUE"""),4569294)</f>
        <v>4569294</v>
      </c>
      <c r="AR426" s="17">
        <v>18320</v>
      </c>
      <c r="AS426" s="17">
        <v>15256</v>
      </c>
      <c r="AT426" s="17">
        <v>358279.25</v>
      </c>
      <c r="AU426" s="17">
        <v>169.2</v>
      </c>
      <c r="AV426" s="17">
        <v>16.55</v>
      </c>
      <c r="AW426" s="10" t="s">
        <v>105</v>
      </c>
      <c r="AX426" s="17">
        <v>4420</v>
      </c>
      <c r="AY426" s="18">
        <v>23.484481515469323</v>
      </c>
      <c r="AZ426" s="10" t="s">
        <v>117</v>
      </c>
      <c r="BA426" s="20" t="b">
        <v>0</v>
      </c>
      <c r="BB426" s="10"/>
      <c r="BC426" s="17">
        <v>18320</v>
      </c>
      <c r="BD426" s="17">
        <v>15256</v>
      </c>
      <c r="BE426" s="17">
        <v>358279.25</v>
      </c>
      <c r="BF426" s="17">
        <v>16.55</v>
      </c>
      <c r="BG426" s="11">
        <f ca="1">IFERROR(__xludf.DUMMYFUNCTION("""COMPUTED_VALUE"""),45915.9791666666)</f>
        <v>45915.979166666599</v>
      </c>
      <c r="BH426" s="17" t="s">
        <v>105</v>
      </c>
      <c r="BI426" s="17"/>
      <c r="BJ426" s="15"/>
      <c r="BK426" s="15"/>
      <c r="BL426" s="13" t="b">
        <v>0</v>
      </c>
      <c r="BM426" s="10"/>
      <c r="BN426" s="10" t="s">
        <v>118</v>
      </c>
      <c r="BO426" s="11">
        <v>45834.565972222219</v>
      </c>
      <c r="BP426" s="11">
        <v>45897.623449074075</v>
      </c>
      <c r="BQ426" s="15">
        <v>45901.852094907408</v>
      </c>
      <c r="BR426" s="15">
        <v>45913.747858796298</v>
      </c>
      <c r="BS426" s="10" t="s">
        <v>118</v>
      </c>
      <c r="BT426" s="10" t="s">
        <v>99</v>
      </c>
      <c r="BU426" s="10"/>
      <c r="BV426" s="10"/>
      <c r="BW426" s="10"/>
      <c r="BX426" s="10"/>
      <c r="BY426" s="23"/>
      <c r="BZ426" s="23"/>
      <c r="CA426" s="19" t="s">
        <v>3500</v>
      </c>
      <c r="CB426" s="19" t="s">
        <v>3501</v>
      </c>
      <c r="CC426" s="23"/>
      <c r="CD426" s="19" t="s">
        <v>3502</v>
      </c>
      <c r="CE426" s="23"/>
      <c r="CF426" s="23"/>
      <c r="CG426" s="23"/>
      <c r="CH426" s="23"/>
      <c r="CI426" s="23"/>
    </row>
    <row r="427" spans="1:87" x14ac:dyDescent="0.3">
      <c r="A427" s="25" t="s">
        <v>3503</v>
      </c>
      <c r="B427" s="10" t="s">
        <v>3504</v>
      </c>
      <c r="C427" s="11">
        <v>45885.416666666664</v>
      </c>
      <c r="D427" s="12">
        <v>0.20833333333333334</v>
      </c>
      <c r="E427" s="11">
        <v>45885.625</v>
      </c>
      <c r="F427" s="10" t="s">
        <v>210</v>
      </c>
      <c r="G427" s="13" t="b">
        <v>0</v>
      </c>
      <c r="H427" s="10" t="s">
        <v>211</v>
      </c>
      <c r="I427" s="10" t="s">
        <v>212</v>
      </c>
      <c r="J427" s="13" t="b">
        <v>1</v>
      </c>
      <c r="K427" s="13" t="b">
        <v>0</v>
      </c>
      <c r="L427" s="10" t="s">
        <v>124</v>
      </c>
      <c r="M427" s="10" t="s">
        <v>91</v>
      </c>
      <c r="N427" s="10" t="s">
        <v>92</v>
      </c>
      <c r="O427" s="10"/>
      <c r="P427" s="10"/>
      <c r="Q427" s="10" t="s">
        <v>126</v>
      </c>
      <c r="R427" s="10"/>
      <c r="S427" s="10"/>
      <c r="T427" s="10"/>
      <c r="U427" s="10"/>
      <c r="V427" s="10"/>
      <c r="W427" s="10" t="s">
        <v>215</v>
      </c>
      <c r="X427" s="10" t="s">
        <v>216</v>
      </c>
      <c r="Y427" s="10" t="s">
        <v>216</v>
      </c>
      <c r="Z427" s="10" t="s">
        <v>99</v>
      </c>
      <c r="AA427" s="10" t="s">
        <v>131</v>
      </c>
      <c r="AB427" s="10" t="s">
        <v>217</v>
      </c>
      <c r="AC427" s="10" t="s">
        <v>218</v>
      </c>
      <c r="AD427" s="10" t="s">
        <v>165</v>
      </c>
      <c r="AE427" s="10" t="s">
        <v>3505</v>
      </c>
      <c r="AF427" s="15"/>
      <c r="AG427" s="10"/>
      <c r="AH427" s="10"/>
      <c r="AI427" s="10"/>
      <c r="AJ427" s="10"/>
      <c r="AK427" s="10" t="s">
        <v>256</v>
      </c>
      <c r="AL427" s="10" t="s">
        <v>220</v>
      </c>
      <c r="AM427" s="10"/>
      <c r="AN427" s="10"/>
      <c r="AO427" s="13" t="b">
        <v>0</v>
      </c>
      <c r="AP427" s="10" t="s">
        <v>221</v>
      </c>
      <c r="AQ427" s="10"/>
      <c r="AR427" s="17"/>
      <c r="AS427" s="17"/>
      <c r="AT427" s="17"/>
      <c r="AU427" s="17"/>
      <c r="AV427" s="17"/>
      <c r="AW427" s="10"/>
      <c r="AX427" s="17"/>
      <c r="AY427" s="18" t="s">
        <v>257</v>
      </c>
      <c r="AZ427" s="10"/>
      <c r="BA427" s="20" t="b">
        <v>0</v>
      </c>
      <c r="BB427" s="10"/>
      <c r="BC427" s="17" t="s">
        <v>257</v>
      </c>
      <c r="BD427" s="17" t="s">
        <v>257</v>
      </c>
      <c r="BE427" s="17" t="s">
        <v>257</v>
      </c>
      <c r="BF427" s="17" t="s">
        <v>257</v>
      </c>
      <c r="BG427" s="11">
        <f ca="1">IFERROR(__xludf.DUMMYFUNCTION("""COMPUTED_VALUE"""),45885.4166666666)</f>
        <v>45885.416666666599</v>
      </c>
      <c r="BH427" s="17"/>
      <c r="BI427" s="17"/>
      <c r="BJ427" s="15"/>
      <c r="BK427" s="15"/>
      <c r="BL427" s="13" t="b">
        <v>0</v>
      </c>
      <c r="BM427" s="10"/>
      <c r="BN427" s="10" t="s">
        <v>241</v>
      </c>
      <c r="BO427" s="11">
        <v>45847.477777777778</v>
      </c>
      <c r="BP427" s="11">
        <v>45852.372106481482</v>
      </c>
      <c r="BQ427" s="15"/>
      <c r="BR427" s="15"/>
      <c r="BS427" s="10"/>
      <c r="BT427" s="10"/>
      <c r="BU427" s="10"/>
      <c r="BV427" s="10"/>
      <c r="BW427" s="10"/>
      <c r="BX427" s="10"/>
      <c r="BY427" s="23"/>
      <c r="BZ427" s="23"/>
      <c r="CA427" s="23"/>
      <c r="CB427" s="23"/>
      <c r="CC427" s="23"/>
      <c r="CD427" s="23"/>
      <c r="CE427" s="23"/>
      <c r="CF427" s="23"/>
      <c r="CG427" s="23"/>
      <c r="CH427" s="23"/>
      <c r="CI427" s="23"/>
    </row>
    <row r="428" spans="1:87" x14ac:dyDescent="0.3">
      <c r="A428" s="9" t="s">
        <v>3506</v>
      </c>
      <c r="B428" s="10" t="s">
        <v>3507</v>
      </c>
      <c r="C428" s="11">
        <v>45899.416666666664</v>
      </c>
      <c r="D428" s="12">
        <v>0.20833333333333334</v>
      </c>
      <c r="E428" s="11">
        <v>45899.625</v>
      </c>
      <c r="F428" s="10" t="s">
        <v>210</v>
      </c>
      <c r="G428" s="13" t="b">
        <v>0</v>
      </c>
      <c r="H428" s="10" t="s">
        <v>211</v>
      </c>
      <c r="I428" s="10" t="s">
        <v>212</v>
      </c>
      <c r="J428" s="13" t="b">
        <v>1</v>
      </c>
      <c r="K428" s="13" t="b">
        <v>0</v>
      </c>
      <c r="L428" s="10" t="s">
        <v>124</v>
      </c>
      <c r="M428" s="10" t="s">
        <v>91</v>
      </c>
      <c r="N428" s="10" t="s">
        <v>92</v>
      </c>
      <c r="O428" s="10"/>
      <c r="P428" s="10"/>
      <c r="Q428" s="10" t="s">
        <v>126</v>
      </c>
      <c r="R428" s="10"/>
      <c r="S428" s="10"/>
      <c r="T428" s="10"/>
      <c r="U428" s="10"/>
      <c r="V428" s="10"/>
      <c r="W428" s="10" t="s">
        <v>215</v>
      </c>
      <c r="X428" s="10" t="s">
        <v>216</v>
      </c>
      <c r="Y428" s="10" t="s">
        <v>216</v>
      </c>
      <c r="Z428" s="10" t="s">
        <v>99</v>
      </c>
      <c r="AA428" s="10" t="s">
        <v>131</v>
      </c>
      <c r="AB428" s="10" t="s">
        <v>217</v>
      </c>
      <c r="AC428" s="10" t="s">
        <v>218</v>
      </c>
      <c r="AD428" s="10" t="s">
        <v>165</v>
      </c>
      <c r="AE428" s="10" t="s">
        <v>3508</v>
      </c>
      <c r="AF428" s="15"/>
      <c r="AG428" s="10"/>
      <c r="AH428" s="10"/>
      <c r="AI428" s="10"/>
      <c r="AJ428" s="10"/>
      <c r="AK428" s="10" t="s">
        <v>256</v>
      </c>
      <c r="AL428" s="10" t="s">
        <v>220</v>
      </c>
      <c r="AM428" s="10"/>
      <c r="AN428" s="10"/>
      <c r="AO428" s="13" t="b">
        <v>0</v>
      </c>
      <c r="AP428" s="10" t="s">
        <v>221</v>
      </c>
      <c r="AQ428" s="10"/>
      <c r="AR428" s="17"/>
      <c r="AS428" s="17"/>
      <c r="AT428" s="17"/>
      <c r="AU428" s="17"/>
      <c r="AV428" s="17"/>
      <c r="AW428" s="10"/>
      <c r="AX428" s="17"/>
      <c r="AY428" s="18" t="s">
        <v>257</v>
      </c>
      <c r="AZ428" s="10"/>
      <c r="BA428" s="20" t="b">
        <v>0</v>
      </c>
      <c r="BB428" s="10"/>
      <c r="BC428" s="17" t="s">
        <v>257</v>
      </c>
      <c r="BD428" s="17" t="s">
        <v>257</v>
      </c>
      <c r="BE428" s="17" t="s">
        <v>257</v>
      </c>
      <c r="BF428" s="17" t="s">
        <v>257</v>
      </c>
      <c r="BG428" s="11">
        <f ca="1">IFERROR(__xludf.DUMMYFUNCTION("""COMPUTED_VALUE"""),45899.4166666666)</f>
        <v>45899.416666666599</v>
      </c>
      <c r="BH428" s="17"/>
      <c r="BI428" s="17"/>
      <c r="BJ428" s="15"/>
      <c r="BK428" s="15"/>
      <c r="BL428" s="13" t="b">
        <v>0</v>
      </c>
      <c r="BM428" s="10"/>
      <c r="BN428" s="10" t="s">
        <v>241</v>
      </c>
      <c r="BO428" s="11">
        <v>45847.480555555558</v>
      </c>
      <c r="BP428" s="11">
        <v>45852.372199074074</v>
      </c>
      <c r="BQ428" s="15"/>
      <c r="BR428" s="15"/>
      <c r="BS428" s="10"/>
      <c r="BT428" s="10"/>
      <c r="BU428" s="10"/>
      <c r="BV428" s="10"/>
      <c r="BW428" s="10"/>
      <c r="BX428" s="10"/>
      <c r="BY428" s="23"/>
      <c r="BZ428" s="23"/>
      <c r="CA428" s="23"/>
      <c r="CB428" s="23"/>
      <c r="CC428" s="23"/>
      <c r="CD428" s="23"/>
      <c r="CE428" s="23"/>
      <c r="CF428" s="23"/>
      <c r="CG428" s="23"/>
      <c r="CH428" s="23"/>
      <c r="CI428" s="23"/>
    </row>
    <row r="429" spans="1:87" x14ac:dyDescent="0.3">
      <c r="A429" s="9" t="s">
        <v>3509</v>
      </c>
      <c r="B429" s="10" t="s">
        <v>3510</v>
      </c>
      <c r="C429" s="11">
        <v>45877.645833333336</v>
      </c>
      <c r="D429" s="12">
        <v>8.3333333333333329E-2</v>
      </c>
      <c r="E429" s="11">
        <v>45877.729166666664</v>
      </c>
      <c r="F429" s="10" t="s">
        <v>3511</v>
      </c>
      <c r="G429" s="13" t="b">
        <v>0</v>
      </c>
      <c r="H429" s="10" t="s">
        <v>3512</v>
      </c>
      <c r="I429" s="10" t="s">
        <v>212</v>
      </c>
      <c r="J429" s="13" t="b">
        <v>1</v>
      </c>
      <c r="K429" s="13" t="b">
        <v>0</v>
      </c>
      <c r="L429" s="10" t="s">
        <v>124</v>
      </c>
      <c r="M429" s="10" t="s">
        <v>91</v>
      </c>
      <c r="N429" s="10" t="s">
        <v>3513</v>
      </c>
      <c r="O429" s="19" t="s">
        <v>3514</v>
      </c>
      <c r="P429" s="10"/>
      <c r="Q429" s="10" t="s">
        <v>126</v>
      </c>
      <c r="R429" s="10"/>
      <c r="S429" s="19" t="s">
        <v>3515</v>
      </c>
      <c r="T429" s="19" t="s">
        <v>3516</v>
      </c>
      <c r="U429" s="10" t="s">
        <v>3517</v>
      </c>
      <c r="V429" s="10" t="s">
        <v>3518</v>
      </c>
      <c r="W429" s="10" t="s">
        <v>3519</v>
      </c>
      <c r="X429" s="10" t="s">
        <v>130</v>
      </c>
      <c r="Y429" s="10" t="s">
        <v>130</v>
      </c>
      <c r="Z429" s="10" t="s">
        <v>99</v>
      </c>
      <c r="AA429" s="10" t="s">
        <v>131</v>
      </c>
      <c r="AB429" s="10" t="s">
        <v>3520</v>
      </c>
      <c r="AC429" s="10" t="s">
        <v>3521</v>
      </c>
      <c r="AD429" s="10" t="s">
        <v>3522</v>
      </c>
      <c r="AE429" s="10" t="s">
        <v>3523</v>
      </c>
      <c r="AF429" s="15"/>
      <c r="AG429" s="10" t="s">
        <v>3524</v>
      </c>
      <c r="AH429" s="10" t="s">
        <v>3525</v>
      </c>
      <c r="AI429" s="10" t="s">
        <v>3525</v>
      </c>
      <c r="AJ429" s="10" t="s">
        <v>3526</v>
      </c>
      <c r="AK429" s="10" t="s">
        <v>102</v>
      </c>
      <c r="AL429" s="10" t="s">
        <v>103</v>
      </c>
      <c r="AM429" s="10"/>
      <c r="AN429" s="10"/>
      <c r="AO429" s="13" t="b">
        <v>0</v>
      </c>
      <c r="AP429" s="10" t="s">
        <v>104</v>
      </c>
      <c r="AQ429" s="10">
        <f ca="1">IFERROR(__xludf.DUMMYFUNCTION("""COMPUTED_VALUE"""),4484474)</f>
        <v>4484474</v>
      </c>
      <c r="AR429" s="17">
        <v>222264</v>
      </c>
      <c r="AS429" s="17">
        <v>117729</v>
      </c>
      <c r="AT429" s="17">
        <v>3697483.5</v>
      </c>
      <c r="AU429" s="17">
        <v>4901.6000000000004</v>
      </c>
      <c r="AV429" s="17">
        <v>2399.0500000000002</v>
      </c>
      <c r="AW429" s="10" t="s">
        <v>297</v>
      </c>
      <c r="AX429" s="17">
        <v>46769</v>
      </c>
      <c r="AY429" s="18">
        <v>31.406734959100987</v>
      </c>
      <c r="AZ429" s="10" t="s">
        <v>185</v>
      </c>
      <c r="BA429" s="20" t="b">
        <v>0</v>
      </c>
      <c r="BB429" s="10"/>
      <c r="BC429" s="17">
        <v>222264</v>
      </c>
      <c r="BD429" s="17">
        <v>117729</v>
      </c>
      <c r="BE429" s="17">
        <v>3697483.5</v>
      </c>
      <c r="BF429" s="17">
        <v>2399.0500000000002</v>
      </c>
      <c r="BG429" s="11">
        <f ca="1">IFERROR(__xludf.DUMMYFUNCTION("""COMPUTED_VALUE"""),45877.6458333333)</f>
        <v>45877.645833333299</v>
      </c>
      <c r="BH429" s="17" t="s">
        <v>297</v>
      </c>
      <c r="BI429" s="17"/>
      <c r="BJ429" s="15"/>
      <c r="BK429" s="15"/>
      <c r="BL429" s="13" t="b">
        <v>1</v>
      </c>
      <c r="BM429" s="10"/>
      <c r="BN429" s="10" t="s">
        <v>3527</v>
      </c>
      <c r="BO429" s="11">
        <v>45855.685416666667</v>
      </c>
      <c r="BP429" s="11">
        <v>45877.010289351849</v>
      </c>
      <c r="BQ429" s="15">
        <v>45877.016388888886</v>
      </c>
      <c r="BR429" s="15">
        <v>45876.937083333331</v>
      </c>
      <c r="BS429" s="10"/>
      <c r="BT429" s="10" t="s">
        <v>99</v>
      </c>
      <c r="BU429" s="10" t="s">
        <v>498</v>
      </c>
      <c r="BV429" s="10"/>
      <c r="BW429" s="10"/>
      <c r="BX429" s="10"/>
      <c r="BY429" s="23"/>
      <c r="BZ429" s="26" t="s">
        <v>299</v>
      </c>
      <c r="CA429" s="19" t="s">
        <v>3528</v>
      </c>
      <c r="CB429" s="19" t="s">
        <v>3529</v>
      </c>
      <c r="CC429" s="23"/>
      <c r="CD429" s="19" t="s">
        <v>3530</v>
      </c>
      <c r="CE429" s="23"/>
      <c r="CF429" s="23"/>
      <c r="CG429" s="23"/>
      <c r="CH429" s="23"/>
      <c r="CI429" s="23"/>
    </row>
    <row r="430" spans="1:87" x14ac:dyDescent="0.3">
      <c r="A430" s="9" t="s">
        <v>3531</v>
      </c>
      <c r="B430" s="10" t="s">
        <v>3532</v>
      </c>
      <c r="C430" s="11">
        <v>45877.791666666664</v>
      </c>
      <c r="D430" s="12">
        <v>8.3333333333333329E-2</v>
      </c>
      <c r="E430" s="11">
        <v>45877.875</v>
      </c>
      <c r="F430" s="10" t="s">
        <v>3511</v>
      </c>
      <c r="G430" s="13" t="b">
        <v>0</v>
      </c>
      <c r="H430" s="10" t="s">
        <v>3512</v>
      </c>
      <c r="I430" s="10" t="s">
        <v>212</v>
      </c>
      <c r="J430" s="13" t="b">
        <v>1</v>
      </c>
      <c r="K430" s="13" t="b">
        <v>0</v>
      </c>
      <c r="L430" s="10" t="s">
        <v>124</v>
      </c>
      <c r="M430" s="10" t="s">
        <v>91</v>
      </c>
      <c r="N430" s="10" t="s">
        <v>3513</v>
      </c>
      <c r="O430" s="19" t="s">
        <v>3533</v>
      </c>
      <c r="P430" s="10"/>
      <c r="Q430" s="10" t="s">
        <v>126</v>
      </c>
      <c r="R430" s="10"/>
      <c r="S430" s="19" t="s">
        <v>3534</v>
      </c>
      <c r="T430" s="19" t="s">
        <v>3516</v>
      </c>
      <c r="U430" s="10" t="s">
        <v>3535</v>
      </c>
      <c r="V430" s="10" t="s">
        <v>3536</v>
      </c>
      <c r="W430" s="10" t="s">
        <v>3519</v>
      </c>
      <c r="X430" s="10" t="s">
        <v>130</v>
      </c>
      <c r="Y430" s="10" t="s">
        <v>130</v>
      </c>
      <c r="Z430" s="10" t="s">
        <v>99</v>
      </c>
      <c r="AA430" s="10" t="s">
        <v>131</v>
      </c>
      <c r="AB430" s="10" t="s">
        <v>3520</v>
      </c>
      <c r="AC430" s="10" t="s">
        <v>3521</v>
      </c>
      <c r="AD430" s="10" t="s">
        <v>3537</v>
      </c>
      <c r="AE430" s="10" t="s">
        <v>3538</v>
      </c>
      <c r="AF430" s="15"/>
      <c r="AG430" s="10" t="s">
        <v>3524</v>
      </c>
      <c r="AH430" s="10" t="s">
        <v>3539</v>
      </c>
      <c r="AI430" s="10" t="s">
        <v>3539</v>
      </c>
      <c r="AJ430" s="10" t="s">
        <v>3540</v>
      </c>
      <c r="AK430" s="10" t="s">
        <v>102</v>
      </c>
      <c r="AL430" s="10" t="s">
        <v>103</v>
      </c>
      <c r="AM430" s="10"/>
      <c r="AN430" s="10"/>
      <c r="AO430" s="13" t="b">
        <v>0</v>
      </c>
      <c r="AP430" s="10" t="s">
        <v>104</v>
      </c>
      <c r="AQ430" s="10">
        <f ca="1">IFERROR(__xludf.DUMMYFUNCTION("""COMPUTED_VALUE"""),4485243)</f>
        <v>4485243</v>
      </c>
      <c r="AR430" s="17">
        <v>253350</v>
      </c>
      <c r="AS430" s="17">
        <v>113596</v>
      </c>
      <c r="AT430" s="17">
        <v>3428467</v>
      </c>
      <c r="AU430" s="17">
        <v>3100.55</v>
      </c>
      <c r="AV430" s="17">
        <v>2042.55</v>
      </c>
      <c r="AW430" s="10" t="s">
        <v>297</v>
      </c>
      <c r="AX430" s="17">
        <v>41852</v>
      </c>
      <c r="AY430" s="18">
        <v>30.181229972886371</v>
      </c>
      <c r="AZ430" s="10" t="s">
        <v>185</v>
      </c>
      <c r="BA430" s="20" t="b">
        <v>0</v>
      </c>
      <c r="BB430" s="10"/>
      <c r="BC430" s="17">
        <v>253350</v>
      </c>
      <c r="BD430" s="17">
        <v>113596</v>
      </c>
      <c r="BE430" s="17">
        <v>3428467</v>
      </c>
      <c r="BF430" s="17">
        <v>2042.55</v>
      </c>
      <c r="BG430" s="11">
        <f ca="1">IFERROR(__xludf.DUMMYFUNCTION("""COMPUTED_VALUE"""),45877.7916666666)</f>
        <v>45877.791666666599</v>
      </c>
      <c r="BH430" s="17" t="s">
        <v>297</v>
      </c>
      <c r="BI430" s="17"/>
      <c r="BJ430" s="15"/>
      <c r="BK430" s="15"/>
      <c r="BL430" s="13" t="b">
        <v>1</v>
      </c>
      <c r="BM430" s="10"/>
      <c r="BN430" s="10" t="s">
        <v>3527</v>
      </c>
      <c r="BO430" s="11">
        <v>45855.686805555553</v>
      </c>
      <c r="BP430" s="11">
        <v>45877.011053240742</v>
      </c>
      <c r="BQ430" s="15">
        <v>45877.438263888886</v>
      </c>
      <c r="BR430" s="15">
        <v>45877.44222222222</v>
      </c>
      <c r="BS430" s="10"/>
      <c r="BT430" s="10" t="s">
        <v>99</v>
      </c>
      <c r="BU430" s="10" t="s">
        <v>456</v>
      </c>
      <c r="BV430" s="10" t="s">
        <v>124</v>
      </c>
      <c r="BW430" s="10" t="s">
        <v>3541</v>
      </c>
      <c r="BX430" s="19" t="s">
        <v>3542</v>
      </c>
      <c r="BY430" s="23"/>
      <c r="BZ430" s="24" t="s">
        <v>299</v>
      </c>
      <c r="CA430" s="19" t="s">
        <v>3543</v>
      </c>
      <c r="CB430" s="19" t="s">
        <v>3544</v>
      </c>
      <c r="CC430" s="23"/>
      <c r="CD430" s="19" t="s">
        <v>3545</v>
      </c>
      <c r="CE430" s="23"/>
      <c r="CF430" s="23"/>
      <c r="CG430" s="23"/>
      <c r="CH430" s="23"/>
      <c r="CI430" s="23"/>
    </row>
    <row r="431" spans="1:87" x14ac:dyDescent="0.3">
      <c r="A431" s="9" t="s">
        <v>3546</v>
      </c>
      <c r="B431" s="10" t="s">
        <v>3547</v>
      </c>
      <c r="C431" s="11">
        <v>45877.791666666664</v>
      </c>
      <c r="D431" s="12">
        <v>8.3333333333333329E-2</v>
      </c>
      <c r="E431" s="11">
        <v>45877.875</v>
      </c>
      <c r="F431" s="10" t="s">
        <v>3511</v>
      </c>
      <c r="G431" s="13" t="b">
        <v>0</v>
      </c>
      <c r="H431" s="10" t="s">
        <v>123</v>
      </c>
      <c r="I431" s="10" t="s">
        <v>3548</v>
      </c>
      <c r="J431" s="13" t="b">
        <v>0</v>
      </c>
      <c r="K431" s="13" t="b">
        <v>1</v>
      </c>
      <c r="L431" s="10" t="s">
        <v>358</v>
      </c>
      <c r="M431" s="10" t="s">
        <v>91</v>
      </c>
      <c r="N431" s="10" t="s">
        <v>3513</v>
      </c>
      <c r="O431" s="19" t="s">
        <v>3549</v>
      </c>
      <c r="P431" s="10"/>
      <c r="Q431" s="10" t="s">
        <v>126</v>
      </c>
      <c r="R431" s="10"/>
      <c r="S431" s="19" t="s">
        <v>3550</v>
      </c>
      <c r="T431" s="19" t="s">
        <v>3516</v>
      </c>
      <c r="U431" s="10" t="s">
        <v>3551</v>
      </c>
      <c r="V431" s="10" t="s">
        <v>3552</v>
      </c>
      <c r="W431" s="10" t="s">
        <v>3519</v>
      </c>
      <c r="X431" s="10" t="s">
        <v>130</v>
      </c>
      <c r="Y431" s="10" t="s">
        <v>130</v>
      </c>
      <c r="Z431" s="10" t="s">
        <v>99</v>
      </c>
      <c r="AA431" s="10" t="s">
        <v>131</v>
      </c>
      <c r="AB431" s="10" t="s">
        <v>3520</v>
      </c>
      <c r="AC431" s="10" t="s">
        <v>3521</v>
      </c>
      <c r="AD431" s="10" t="s">
        <v>3553</v>
      </c>
      <c r="AE431" s="10" t="s">
        <v>3554</v>
      </c>
      <c r="AF431" s="15"/>
      <c r="AG431" s="10" t="s">
        <v>3524</v>
      </c>
      <c r="AH431" s="10" t="s">
        <v>3539</v>
      </c>
      <c r="AI431" s="10" t="s">
        <v>3539</v>
      </c>
      <c r="AJ431" s="10" t="s">
        <v>3555</v>
      </c>
      <c r="AK431" s="10" t="s">
        <v>102</v>
      </c>
      <c r="AL431" s="10" t="s">
        <v>103</v>
      </c>
      <c r="AM431" s="10"/>
      <c r="AN431" s="10"/>
      <c r="AO431" s="13" t="b">
        <v>1</v>
      </c>
      <c r="AP431" s="10" t="s">
        <v>104</v>
      </c>
      <c r="AQ431" s="10">
        <f ca="1">IFERROR(__xludf.DUMMYFUNCTION("""COMPUTED_VALUE"""),4484475)</f>
        <v>4484475</v>
      </c>
      <c r="AR431" s="17">
        <v>484142</v>
      </c>
      <c r="AS431" s="17">
        <v>265300</v>
      </c>
      <c r="AT431" s="17">
        <v>7773932.25</v>
      </c>
      <c r="AU431" s="17">
        <v>12096.6</v>
      </c>
      <c r="AV431" s="17">
        <v>5055.8</v>
      </c>
      <c r="AW431" s="10" t="s">
        <v>297</v>
      </c>
      <c r="AX431" s="17">
        <v>79671</v>
      </c>
      <c r="AY431" s="18">
        <v>29.302420844327177</v>
      </c>
      <c r="AZ431" s="10" t="s">
        <v>185</v>
      </c>
      <c r="BA431" s="20" t="b">
        <v>0</v>
      </c>
      <c r="BB431" s="10"/>
      <c r="BC431" s="17">
        <v>484142</v>
      </c>
      <c r="BD431" s="17">
        <v>265300</v>
      </c>
      <c r="BE431" s="17">
        <v>7773932.25</v>
      </c>
      <c r="BF431" s="17">
        <v>5055.8</v>
      </c>
      <c r="BG431" s="11">
        <f ca="1">IFERROR(__xludf.DUMMYFUNCTION("""COMPUTED_VALUE"""),45877.7916666666)</f>
        <v>45877.791666666599</v>
      </c>
      <c r="BH431" s="17" t="s">
        <v>297</v>
      </c>
      <c r="BI431" s="17"/>
      <c r="BJ431" s="15"/>
      <c r="BK431" s="15"/>
      <c r="BL431" s="13" t="b">
        <v>0</v>
      </c>
      <c r="BM431" s="10"/>
      <c r="BN431" s="10" t="s">
        <v>278</v>
      </c>
      <c r="BO431" s="11">
        <v>45855.6875</v>
      </c>
      <c r="BP431" s="11">
        <v>45877.011261574073</v>
      </c>
      <c r="BQ431" s="15">
        <v>45877.048773148148</v>
      </c>
      <c r="BR431" s="15">
        <v>45877.140381944446</v>
      </c>
      <c r="BS431" s="10" t="s">
        <v>278</v>
      </c>
      <c r="BT431" s="10" t="s">
        <v>99</v>
      </c>
      <c r="BU431" s="10" t="s">
        <v>655</v>
      </c>
      <c r="BV431" s="10" t="s">
        <v>281</v>
      </c>
      <c r="BW431" s="10" t="s">
        <v>3556</v>
      </c>
      <c r="BX431" s="19" t="s">
        <v>3557</v>
      </c>
      <c r="BY431" s="23"/>
      <c r="BZ431" s="24" t="s">
        <v>284</v>
      </c>
      <c r="CA431" s="19" t="s">
        <v>3558</v>
      </c>
      <c r="CB431" s="19" t="s">
        <v>3559</v>
      </c>
      <c r="CC431" s="23"/>
      <c r="CD431" s="19" t="s">
        <v>3560</v>
      </c>
      <c r="CE431" s="23"/>
      <c r="CF431" s="23"/>
      <c r="CG431" s="23"/>
      <c r="CH431" s="23"/>
      <c r="CI431" s="23"/>
    </row>
    <row r="432" spans="1:87" x14ac:dyDescent="0.3">
      <c r="A432" s="9" t="s">
        <v>3561</v>
      </c>
      <c r="B432" s="10" t="s">
        <v>3562</v>
      </c>
      <c r="C432" s="11">
        <v>45889.083333333336</v>
      </c>
      <c r="D432" s="12">
        <v>8.3333333333333329E-2</v>
      </c>
      <c r="E432" s="11">
        <v>45889.166666666664</v>
      </c>
      <c r="F432" s="10" t="s">
        <v>3563</v>
      </c>
      <c r="G432" s="13" t="b">
        <v>0</v>
      </c>
      <c r="H432" s="10" t="s">
        <v>3564</v>
      </c>
      <c r="I432" s="10" t="s">
        <v>89</v>
      </c>
      <c r="J432" s="13" t="b">
        <v>0</v>
      </c>
      <c r="K432" s="13" t="b">
        <v>1</v>
      </c>
      <c r="L432" s="10" t="s">
        <v>124</v>
      </c>
      <c r="M432" s="10" t="s">
        <v>91</v>
      </c>
      <c r="N432" s="10" t="s">
        <v>92</v>
      </c>
      <c r="O432" s="19" t="s">
        <v>3565</v>
      </c>
      <c r="P432" s="10"/>
      <c r="Q432" s="10" t="s">
        <v>94</v>
      </c>
      <c r="R432" s="10"/>
      <c r="S432" s="19" t="s">
        <v>3566</v>
      </c>
      <c r="T432" s="10"/>
      <c r="U432" s="10" t="s">
        <v>3567</v>
      </c>
      <c r="V432" s="10" t="s">
        <v>3568</v>
      </c>
      <c r="W432" s="10" t="s">
        <v>3569</v>
      </c>
      <c r="X432" s="10" t="s">
        <v>130</v>
      </c>
      <c r="Y432" s="10" t="s">
        <v>130</v>
      </c>
      <c r="Z432" s="10" t="s">
        <v>99</v>
      </c>
      <c r="AA432" s="10" t="s">
        <v>131</v>
      </c>
      <c r="AB432" s="10" t="s">
        <v>3570</v>
      </c>
      <c r="AC432" s="10" t="s">
        <v>3571</v>
      </c>
      <c r="AD432" s="10" t="s">
        <v>3572</v>
      </c>
      <c r="AE432" s="10" t="s">
        <v>3573</v>
      </c>
      <c r="AF432" s="15"/>
      <c r="AG432" s="10"/>
      <c r="AH432" s="10"/>
      <c r="AI432" s="10"/>
      <c r="AJ432" s="10"/>
      <c r="AK432" s="10" t="s">
        <v>102</v>
      </c>
      <c r="AL432" s="10"/>
      <c r="AM432" s="10"/>
      <c r="AN432" s="10"/>
      <c r="AO432" s="13" t="b">
        <v>0</v>
      </c>
      <c r="AP432" s="10" t="s">
        <v>104</v>
      </c>
      <c r="AQ432" s="10">
        <f ca="1">IFERROR(__xludf.DUMMYFUNCTION("""COMPUTED_VALUE"""),4506552)</f>
        <v>4506552</v>
      </c>
      <c r="AR432" s="17">
        <v>4474</v>
      </c>
      <c r="AS432" s="17">
        <v>3182</v>
      </c>
      <c r="AT432" s="17">
        <v>24825.75</v>
      </c>
      <c r="AU432" s="17">
        <v>2.65</v>
      </c>
      <c r="AV432" s="17">
        <v>1.3</v>
      </c>
      <c r="AW432" s="10" t="s">
        <v>105</v>
      </c>
      <c r="AX432" s="17">
        <v>930</v>
      </c>
      <c r="AY432" s="18">
        <v>7.8019327467001887</v>
      </c>
      <c r="AZ432" s="10" t="s">
        <v>136</v>
      </c>
      <c r="BA432" s="20" t="b">
        <v>0</v>
      </c>
      <c r="BB432" s="10"/>
      <c r="BC432" s="17">
        <v>4474</v>
      </c>
      <c r="BD432" s="17">
        <v>3182</v>
      </c>
      <c r="BE432" s="17">
        <v>24825.75</v>
      </c>
      <c r="BF432" s="17">
        <v>1.3</v>
      </c>
      <c r="BG432" s="11">
        <f ca="1">IFERROR(__xludf.DUMMYFUNCTION("""COMPUTED_VALUE"""),45889.0833333333)</f>
        <v>45889.083333333299</v>
      </c>
      <c r="BH432" s="17" t="s">
        <v>105</v>
      </c>
      <c r="BI432" s="17"/>
      <c r="BJ432" s="15"/>
      <c r="BK432" s="15"/>
      <c r="BL432" s="13" t="b">
        <v>0</v>
      </c>
      <c r="BM432" s="10"/>
      <c r="BN432" s="10" t="s">
        <v>157</v>
      </c>
      <c r="BO432" s="11">
        <v>45855.695833333331</v>
      </c>
      <c r="BP432" s="11">
        <v>45883.736041666663</v>
      </c>
      <c r="BQ432" s="15">
        <v>45886.645011574074</v>
      </c>
      <c r="BR432" s="15">
        <v>45886.942615740743</v>
      </c>
      <c r="BS432" s="10" t="s">
        <v>157</v>
      </c>
      <c r="BT432" s="10" t="s">
        <v>279</v>
      </c>
      <c r="BU432" s="10" t="s">
        <v>3574</v>
      </c>
      <c r="BV432" s="10"/>
      <c r="BW432" s="10"/>
      <c r="BX432" s="10"/>
      <c r="BY432" s="23"/>
      <c r="BZ432" s="23"/>
      <c r="CA432" s="19" t="s">
        <v>3575</v>
      </c>
      <c r="CB432" s="23"/>
      <c r="CC432" s="23"/>
      <c r="CD432" s="23"/>
      <c r="CE432" s="23"/>
      <c r="CF432" s="23"/>
      <c r="CG432" s="23"/>
      <c r="CH432" s="23"/>
      <c r="CI432" s="23"/>
    </row>
    <row r="433" spans="1:87" x14ac:dyDescent="0.3">
      <c r="A433" s="9" t="s">
        <v>3576</v>
      </c>
      <c r="B433" s="10" t="s">
        <v>3577</v>
      </c>
      <c r="C433" s="11">
        <v>45890.083333333336</v>
      </c>
      <c r="D433" s="12">
        <v>8.3333333333333329E-2</v>
      </c>
      <c r="E433" s="11">
        <v>45890.166666666664</v>
      </c>
      <c r="F433" s="10" t="s">
        <v>3563</v>
      </c>
      <c r="G433" s="13" t="b">
        <v>0</v>
      </c>
      <c r="H433" s="10" t="s">
        <v>3578</v>
      </c>
      <c r="I433" s="10" t="s">
        <v>89</v>
      </c>
      <c r="J433" s="13" t="b">
        <v>0</v>
      </c>
      <c r="K433" s="13" t="b">
        <v>1</v>
      </c>
      <c r="L433" s="10" t="s">
        <v>124</v>
      </c>
      <c r="M433" s="10" t="s">
        <v>91</v>
      </c>
      <c r="N433" s="10" t="s">
        <v>92</v>
      </c>
      <c r="O433" s="19" t="s">
        <v>3579</v>
      </c>
      <c r="P433" s="10"/>
      <c r="Q433" s="10" t="s">
        <v>94</v>
      </c>
      <c r="R433" s="10"/>
      <c r="S433" s="19" t="s">
        <v>3580</v>
      </c>
      <c r="T433" s="10"/>
      <c r="U433" s="10" t="s">
        <v>3581</v>
      </c>
      <c r="V433" s="10" t="s">
        <v>3582</v>
      </c>
      <c r="W433" s="10" t="s">
        <v>3569</v>
      </c>
      <c r="X433" s="10" t="s">
        <v>130</v>
      </c>
      <c r="Y433" s="10" t="s">
        <v>130</v>
      </c>
      <c r="Z433" s="10" t="s">
        <v>99</v>
      </c>
      <c r="AA433" s="10" t="s">
        <v>131</v>
      </c>
      <c r="AB433" s="10" t="s">
        <v>3570</v>
      </c>
      <c r="AC433" s="10" t="s">
        <v>3571</v>
      </c>
      <c r="AD433" s="10" t="s">
        <v>3583</v>
      </c>
      <c r="AE433" s="10" t="s">
        <v>3584</v>
      </c>
      <c r="AF433" s="15"/>
      <c r="AG433" s="10"/>
      <c r="AH433" s="10"/>
      <c r="AI433" s="10"/>
      <c r="AJ433" s="10"/>
      <c r="AK433" s="10" t="s">
        <v>102</v>
      </c>
      <c r="AL433" s="10"/>
      <c r="AM433" s="10"/>
      <c r="AN433" s="10"/>
      <c r="AO433" s="13" t="b">
        <v>0</v>
      </c>
      <c r="AP433" s="10" t="s">
        <v>104</v>
      </c>
      <c r="AQ433" s="10">
        <f ca="1">IFERROR(__xludf.DUMMYFUNCTION("""COMPUTED_VALUE"""),4506554)</f>
        <v>4506554</v>
      </c>
      <c r="AR433" s="17">
        <v>7396</v>
      </c>
      <c r="AS433" s="17">
        <v>4905</v>
      </c>
      <c r="AT433" s="17">
        <v>227679</v>
      </c>
      <c r="AU433" s="17">
        <v>26.35</v>
      </c>
      <c r="AV433" s="17">
        <v>13.6</v>
      </c>
      <c r="AW433" s="10" t="s">
        <v>105</v>
      </c>
      <c r="AX433" s="17">
        <v>2176</v>
      </c>
      <c r="AY433" s="18">
        <v>46.417737003058107</v>
      </c>
      <c r="AZ433" s="10" t="s">
        <v>136</v>
      </c>
      <c r="BA433" s="20" t="b">
        <v>0</v>
      </c>
      <c r="BB433" s="10"/>
      <c r="BC433" s="17">
        <v>7396</v>
      </c>
      <c r="BD433" s="17">
        <v>4905</v>
      </c>
      <c r="BE433" s="17">
        <v>227679</v>
      </c>
      <c r="BF433" s="17">
        <v>13.6</v>
      </c>
      <c r="BG433" s="11">
        <f ca="1">IFERROR(__xludf.DUMMYFUNCTION("""COMPUTED_VALUE"""),45890.0833333333)</f>
        <v>45890.083333333299</v>
      </c>
      <c r="BH433" s="17" t="s">
        <v>105</v>
      </c>
      <c r="BI433" s="17"/>
      <c r="BJ433" s="15"/>
      <c r="BK433" s="15"/>
      <c r="BL433" s="13" t="b">
        <v>0</v>
      </c>
      <c r="BM433" s="10"/>
      <c r="BN433" s="10" t="s">
        <v>455</v>
      </c>
      <c r="BO433" s="11">
        <v>45855.700694444444</v>
      </c>
      <c r="BP433" s="11">
        <v>45883.738194444442</v>
      </c>
      <c r="BQ433" s="15">
        <v>45886.645520833335</v>
      </c>
      <c r="BR433" s="15">
        <v>45886.947094907409</v>
      </c>
      <c r="BS433" s="10" t="s">
        <v>455</v>
      </c>
      <c r="BT433" s="10" t="s">
        <v>279</v>
      </c>
      <c r="BU433" s="10" t="s">
        <v>421</v>
      </c>
      <c r="BV433" s="10"/>
      <c r="BW433" s="10"/>
      <c r="BX433" s="10"/>
      <c r="BY433" s="23"/>
      <c r="BZ433" s="23"/>
      <c r="CA433" s="19" t="s">
        <v>3585</v>
      </c>
      <c r="CB433" s="23"/>
      <c r="CC433" s="23"/>
      <c r="CD433" s="23"/>
      <c r="CE433" s="23"/>
      <c r="CF433" s="23"/>
      <c r="CG433" s="23"/>
      <c r="CH433" s="23"/>
      <c r="CI433" s="23"/>
    </row>
    <row r="434" spans="1:87" x14ac:dyDescent="0.3">
      <c r="A434" s="9" t="s">
        <v>3586</v>
      </c>
      <c r="B434" s="10" t="s">
        <v>3587</v>
      </c>
      <c r="C434" s="11">
        <v>45896.083333333336</v>
      </c>
      <c r="D434" s="12">
        <v>8.3333333333333329E-2</v>
      </c>
      <c r="E434" s="11">
        <v>45896.166666666664</v>
      </c>
      <c r="F434" s="10" t="s">
        <v>3563</v>
      </c>
      <c r="G434" s="13" t="b">
        <v>0</v>
      </c>
      <c r="H434" s="10" t="s">
        <v>3578</v>
      </c>
      <c r="I434" s="10" t="s">
        <v>89</v>
      </c>
      <c r="J434" s="13" t="b">
        <v>0</v>
      </c>
      <c r="K434" s="13" t="b">
        <v>1</v>
      </c>
      <c r="L434" s="10" t="s">
        <v>124</v>
      </c>
      <c r="M434" s="10" t="s">
        <v>91</v>
      </c>
      <c r="N434" s="10" t="s">
        <v>92</v>
      </c>
      <c r="O434" s="19" t="s">
        <v>3588</v>
      </c>
      <c r="P434" s="10"/>
      <c r="Q434" s="10" t="s">
        <v>94</v>
      </c>
      <c r="R434" s="10"/>
      <c r="S434" s="19" t="s">
        <v>3589</v>
      </c>
      <c r="T434" s="10"/>
      <c r="U434" s="10" t="s">
        <v>3590</v>
      </c>
      <c r="V434" s="10" t="s">
        <v>3591</v>
      </c>
      <c r="W434" s="10" t="s">
        <v>3569</v>
      </c>
      <c r="X434" s="10" t="s">
        <v>130</v>
      </c>
      <c r="Y434" s="10" t="s">
        <v>130</v>
      </c>
      <c r="Z434" s="10" t="s">
        <v>99</v>
      </c>
      <c r="AA434" s="10" t="s">
        <v>131</v>
      </c>
      <c r="AB434" s="10" t="s">
        <v>3570</v>
      </c>
      <c r="AC434" s="10" t="s">
        <v>3571</v>
      </c>
      <c r="AD434" s="10" t="s">
        <v>3592</v>
      </c>
      <c r="AE434" s="10" t="s">
        <v>3593</v>
      </c>
      <c r="AF434" s="15"/>
      <c r="AG434" s="10"/>
      <c r="AH434" s="10"/>
      <c r="AI434" s="10"/>
      <c r="AJ434" s="10"/>
      <c r="AK434" s="10" t="s">
        <v>102</v>
      </c>
      <c r="AL434" s="10"/>
      <c r="AM434" s="10"/>
      <c r="AN434" s="10"/>
      <c r="AO434" s="13" t="b">
        <v>0</v>
      </c>
      <c r="AP434" s="10" t="s">
        <v>104</v>
      </c>
      <c r="AQ434" s="10">
        <f ca="1">IFERROR(__xludf.DUMMYFUNCTION("""COMPUTED_VALUE"""),4525653)</f>
        <v>4525653</v>
      </c>
      <c r="AR434" s="17">
        <v>2558</v>
      </c>
      <c r="AS434" s="17">
        <v>1632</v>
      </c>
      <c r="AT434" s="17">
        <v>44382.25</v>
      </c>
      <c r="AU434" s="17">
        <v>1.85</v>
      </c>
      <c r="AV434" s="17">
        <v>0.35</v>
      </c>
      <c r="AW434" s="10" t="s">
        <v>105</v>
      </c>
      <c r="AX434" s="17">
        <v>646</v>
      </c>
      <c r="AY434" s="18">
        <v>27.195006127450981</v>
      </c>
      <c r="AZ434" s="10" t="s">
        <v>136</v>
      </c>
      <c r="BA434" s="20" t="b">
        <v>0</v>
      </c>
      <c r="BB434" s="10"/>
      <c r="BC434" s="17">
        <v>2558</v>
      </c>
      <c r="BD434" s="17">
        <v>1632</v>
      </c>
      <c r="BE434" s="17">
        <v>44382.25</v>
      </c>
      <c r="BF434" s="17">
        <v>0.35</v>
      </c>
      <c r="BG434" s="11">
        <f ca="1">IFERROR(__xludf.DUMMYFUNCTION("""COMPUTED_VALUE"""),45896.0833333333)</f>
        <v>45896.083333333299</v>
      </c>
      <c r="BH434" s="17" t="s">
        <v>105</v>
      </c>
      <c r="BI434" s="17"/>
      <c r="BJ434" s="15"/>
      <c r="BK434" s="15"/>
      <c r="BL434" s="13" t="b">
        <v>0</v>
      </c>
      <c r="BM434" s="10"/>
      <c r="BN434" s="10" t="s">
        <v>3292</v>
      </c>
      <c r="BO434" s="11">
        <v>45855.700694444444</v>
      </c>
      <c r="BP434" s="11">
        <v>45883.742581018516</v>
      </c>
      <c r="BQ434" s="15">
        <v>45895.721331018518</v>
      </c>
      <c r="BR434" s="15">
        <v>45895.724340277775</v>
      </c>
      <c r="BS434" s="10"/>
      <c r="BT434" s="10" t="s">
        <v>99</v>
      </c>
      <c r="BU434" s="10" t="s">
        <v>793</v>
      </c>
      <c r="BV434" s="10"/>
      <c r="BW434" s="10"/>
      <c r="BX434" s="10"/>
      <c r="BY434" s="23"/>
      <c r="BZ434" s="23"/>
      <c r="CA434" s="19" t="s">
        <v>3594</v>
      </c>
      <c r="CB434" s="23"/>
      <c r="CC434" s="23"/>
      <c r="CD434" s="23"/>
      <c r="CE434" s="23"/>
      <c r="CF434" s="23"/>
      <c r="CG434" s="23"/>
      <c r="CH434" s="23"/>
      <c r="CI434" s="23"/>
    </row>
    <row r="435" spans="1:87" x14ac:dyDescent="0.3">
      <c r="A435" s="9" t="s">
        <v>3595</v>
      </c>
      <c r="B435" s="10" t="s">
        <v>3596</v>
      </c>
      <c r="C435" s="11">
        <v>45896.989583333336</v>
      </c>
      <c r="D435" s="12">
        <v>8.3333333333333329E-2</v>
      </c>
      <c r="E435" s="11">
        <v>45897.072916666664</v>
      </c>
      <c r="F435" s="10" t="s">
        <v>3563</v>
      </c>
      <c r="G435" s="13" t="b">
        <v>0</v>
      </c>
      <c r="H435" s="10" t="s">
        <v>3578</v>
      </c>
      <c r="I435" s="10" t="s">
        <v>89</v>
      </c>
      <c r="J435" s="13" t="b">
        <v>0</v>
      </c>
      <c r="K435" s="13" t="b">
        <v>1</v>
      </c>
      <c r="L435" s="10" t="s">
        <v>124</v>
      </c>
      <c r="M435" s="10" t="s">
        <v>91</v>
      </c>
      <c r="N435" s="10" t="s">
        <v>92</v>
      </c>
      <c r="O435" s="19" t="s">
        <v>3597</v>
      </c>
      <c r="P435" s="10"/>
      <c r="Q435" s="10" t="s">
        <v>94</v>
      </c>
      <c r="R435" s="10"/>
      <c r="S435" s="19" t="s">
        <v>3598</v>
      </c>
      <c r="T435" s="10"/>
      <c r="U435" s="10" t="s">
        <v>3599</v>
      </c>
      <c r="V435" s="10" t="s">
        <v>3600</v>
      </c>
      <c r="W435" s="10" t="s">
        <v>3569</v>
      </c>
      <c r="X435" s="10" t="s">
        <v>130</v>
      </c>
      <c r="Y435" s="10" t="s">
        <v>130</v>
      </c>
      <c r="Z435" s="10" t="s">
        <v>99</v>
      </c>
      <c r="AA435" s="10" t="s">
        <v>131</v>
      </c>
      <c r="AB435" s="10" t="s">
        <v>3570</v>
      </c>
      <c r="AC435" s="10" t="s">
        <v>3571</v>
      </c>
      <c r="AD435" s="10" t="s">
        <v>3601</v>
      </c>
      <c r="AE435" s="10" t="s">
        <v>3602</v>
      </c>
      <c r="AF435" s="15"/>
      <c r="AG435" s="10"/>
      <c r="AH435" s="10"/>
      <c r="AI435" s="10"/>
      <c r="AJ435" s="10"/>
      <c r="AK435" s="10" t="s">
        <v>102</v>
      </c>
      <c r="AL435" s="10"/>
      <c r="AM435" s="10"/>
      <c r="AN435" s="10"/>
      <c r="AO435" s="13" t="b">
        <v>0</v>
      </c>
      <c r="AP435" s="10" t="s">
        <v>104</v>
      </c>
      <c r="AQ435" s="10">
        <f ca="1">IFERROR(__xludf.DUMMYFUNCTION("""COMPUTED_VALUE"""),4527682)</f>
        <v>4527682</v>
      </c>
      <c r="AR435" s="17">
        <v>4926</v>
      </c>
      <c r="AS435" s="17">
        <v>3764</v>
      </c>
      <c r="AT435" s="17">
        <v>104597.75</v>
      </c>
      <c r="AU435" s="17">
        <v>15</v>
      </c>
      <c r="AV435" s="17">
        <v>4.4000000000000004</v>
      </c>
      <c r="AW435" s="10" t="s">
        <v>105</v>
      </c>
      <c r="AX435" s="17">
        <v>1415</v>
      </c>
      <c r="AY435" s="18">
        <v>27.788987778958553</v>
      </c>
      <c r="AZ435" s="10" t="s">
        <v>136</v>
      </c>
      <c r="BA435" s="20" t="b">
        <v>0</v>
      </c>
      <c r="BB435" s="10"/>
      <c r="BC435" s="17">
        <v>4926</v>
      </c>
      <c r="BD435" s="17">
        <v>3764</v>
      </c>
      <c r="BE435" s="17">
        <v>104597.75</v>
      </c>
      <c r="BF435" s="17">
        <v>4.4000000000000004</v>
      </c>
      <c r="BG435" s="11">
        <f ca="1">IFERROR(__xludf.DUMMYFUNCTION("""COMPUTED_VALUE"""),45896.9895833333)</f>
        <v>45896.989583333299</v>
      </c>
      <c r="BH435" s="17" t="s">
        <v>105</v>
      </c>
      <c r="BI435" s="17"/>
      <c r="BJ435" s="15"/>
      <c r="BK435" s="15"/>
      <c r="BL435" s="13" t="b">
        <v>0</v>
      </c>
      <c r="BM435" s="10" t="s">
        <v>240</v>
      </c>
      <c r="BN435" s="10" t="s">
        <v>351</v>
      </c>
      <c r="BO435" s="11">
        <v>45855.701388888891</v>
      </c>
      <c r="BP435" s="11">
        <v>45923.695972222224</v>
      </c>
      <c r="BQ435" s="15">
        <v>45895.782199074078</v>
      </c>
      <c r="BR435" s="15">
        <v>45896.618194444447</v>
      </c>
      <c r="BS435" s="10"/>
      <c r="BT435" s="10" t="s">
        <v>99</v>
      </c>
      <c r="BU435" s="10" t="s">
        <v>280</v>
      </c>
      <c r="BV435" s="10"/>
      <c r="BW435" s="10"/>
      <c r="BX435" s="10"/>
      <c r="BY435" s="23"/>
      <c r="BZ435" s="23"/>
      <c r="CA435" s="19" t="s">
        <v>3603</v>
      </c>
      <c r="CB435" s="23"/>
      <c r="CC435" s="23"/>
      <c r="CD435" s="23"/>
      <c r="CE435" s="23"/>
      <c r="CF435" s="23"/>
      <c r="CG435" s="23"/>
      <c r="CH435" s="23"/>
      <c r="CI435" s="23"/>
    </row>
    <row r="436" spans="1:87" x14ac:dyDescent="0.3">
      <c r="A436" s="9" t="s">
        <v>3604</v>
      </c>
      <c r="B436" s="10" t="s">
        <v>3605</v>
      </c>
      <c r="C436" s="11">
        <v>45878.645833333336</v>
      </c>
      <c r="D436" s="12">
        <v>8.3333333333333329E-2</v>
      </c>
      <c r="E436" s="11">
        <v>45878.729166666664</v>
      </c>
      <c r="F436" s="10" t="s">
        <v>3511</v>
      </c>
      <c r="G436" s="13" t="b">
        <v>0</v>
      </c>
      <c r="H436" s="10" t="s">
        <v>123</v>
      </c>
      <c r="I436" s="10" t="s">
        <v>3548</v>
      </c>
      <c r="J436" s="13" t="b">
        <v>0</v>
      </c>
      <c r="K436" s="13" t="b">
        <v>1</v>
      </c>
      <c r="L436" s="10" t="s">
        <v>358</v>
      </c>
      <c r="M436" s="10" t="s">
        <v>91</v>
      </c>
      <c r="N436" s="10" t="s">
        <v>3513</v>
      </c>
      <c r="O436" s="19" t="s">
        <v>3606</v>
      </c>
      <c r="P436" s="10"/>
      <c r="Q436" s="10" t="s">
        <v>126</v>
      </c>
      <c r="R436" s="19" t="s">
        <v>3607</v>
      </c>
      <c r="S436" s="19" t="s">
        <v>3608</v>
      </c>
      <c r="T436" s="10"/>
      <c r="U436" s="10" t="s">
        <v>3609</v>
      </c>
      <c r="V436" s="10" t="s">
        <v>3610</v>
      </c>
      <c r="W436" s="10" t="s">
        <v>3519</v>
      </c>
      <c r="X436" s="10" t="s">
        <v>130</v>
      </c>
      <c r="Y436" s="10" t="s">
        <v>130</v>
      </c>
      <c r="Z436" s="10" t="s">
        <v>99</v>
      </c>
      <c r="AA436" s="10" t="s">
        <v>131</v>
      </c>
      <c r="AB436" s="10" t="s">
        <v>3520</v>
      </c>
      <c r="AC436" s="10" t="s">
        <v>3521</v>
      </c>
      <c r="AD436" s="10" t="s">
        <v>3611</v>
      </c>
      <c r="AE436" s="10" t="s">
        <v>3612</v>
      </c>
      <c r="AF436" s="15"/>
      <c r="AG436" s="10" t="s">
        <v>3524</v>
      </c>
      <c r="AH436" s="10" t="s">
        <v>3525</v>
      </c>
      <c r="AI436" s="10" t="s">
        <v>3525</v>
      </c>
      <c r="AJ436" s="10" t="s">
        <v>3613</v>
      </c>
      <c r="AK436" s="10" t="s">
        <v>102</v>
      </c>
      <c r="AL436" s="10" t="s">
        <v>103</v>
      </c>
      <c r="AM436" s="10"/>
      <c r="AN436" s="10"/>
      <c r="AO436" s="13" t="b">
        <v>1</v>
      </c>
      <c r="AP436" s="10" t="s">
        <v>104</v>
      </c>
      <c r="AQ436" s="10">
        <f ca="1">IFERROR(__xludf.DUMMYFUNCTION("""COMPUTED_VALUE"""),4486633)</f>
        <v>4486633</v>
      </c>
      <c r="AR436" s="17">
        <v>552901</v>
      </c>
      <c r="AS436" s="17">
        <v>277837</v>
      </c>
      <c r="AT436" s="17">
        <v>11948816.5</v>
      </c>
      <c r="AU436" s="17">
        <v>19771.650000000001</v>
      </c>
      <c r="AV436" s="17">
        <v>8460.9</v>
      </c>
      <c r="AW436" s="10" t="s">
        <v>297</v>
      </c>
      <c r="AX436" s="17">
        <v>129805</v>
      </c>
      <c r="AY436" s="18">
        <v>43.006570399190892</v>
      </c>
      <c r="AZ436" s="10" t="s">
        <v>185</v>
      </c>
      <c r="BA436" s="20" t="b">
        <v>0</v>
      </c>
      <c r="BB436" s="10"/>
      <c r="BC436" s="17">
        <v>552901</v>
      </c>
      <c r="BD436" s="17">
        <v>277837</v>
      </c>
      <c r="BE436" s="17">
        <v>11948816.5</v>
      </c>
      <c r="BF436" s="17">
        <v>8460.9</v>
      </c>
      <c r="BG436" s="11">
        <f ca="1">IFERROR(__xludf.DUMMYFUNCTION("""COMPUTED_VALUE"""),45878.6458333333)</f>
        <v>45878.645833333299</v>
      </c>
      <c r="BH436" s="17" t="s">
        <v>297</v>
      </c>
      <c r="BI436" s="17"/>
      <c r="BJ436" s="15"/>
      <c r="BK436" s="15"/>
      <c r="BL436" s="13" t="b">
        <v>0</v>
      </c>
      <c r="BM436" s="10"/>
      <c r="BN436" s="10" t="s">
        <v>278</v>
      </c>
      <c r="BO436" s="11">
        <v>45856.561805555553</v>
      </c>
      <c r="BP436" s="11">
        <v>45877.777094907404</v>
      </c>
      <c r="BQ436" s="15">
        <v>45877.80709490741</v>
      </c>
      <c r="BR436" s="15">
        <v>45877.820347222223</v>
      </c>
      <c r="BS436" s="10" t="s">
        <v>278</v>
      </c>
      <c r="BT436" s="10" t="s">
        <v>99</v>
      </c>
      <c r="BU436" s="10" t="s">
        <v>2406</v>
      </c>
      <c r="BV436" s="10" t="s">
        <v>281</v>
      </c>
      <c r="BW436" s="10" t="s">
        <v>3614</v>
      </c>
      <c r="BX436" s="19" t="s">
        <v>3615</v>
      </c>
      <c r="BY436" s="23"/>
      <c r="BZ436" s="24" t="s">
        <v>284</v>
      </c>
      <c r="CA436" s="19" t="s">
        <v>3616</v>
      </c>
      <c r="CB436" s="23"/>
      <c r="CC436" s="23"/>
      <c r="CD436" s="19" t="s">
        <v>3617</v>
      </c>
      <c r="CE436" s="23"/>
      <c r="CF436" s="23"/>
      <c r="CG436" s="23"/>
      <c r="CH436" s="23"/>
      <c r="CI436" s="23"/>
    </row>
    <row r="437" spans="1:87" x14ac:dyDescent="0.3">
      <c r="A437" s="9" t="s">
        <v>3618</v>
      </c>
      <c r="B437" s="10" t="s">
        <v>3619</v>
      </c>
      <c r="C437" s="11">
        <v>45878.791666666664</v>
      </c>
      <c r="D437" s="12">
        <v>8.3333333333333329E-2</v>
      </c>
      <c r="E437" s="11">
        <v>45878.875</v>
      </c>
      <c r="F437" s="10" t="s">
        <v>3511</v>
      </c>
      <c r="G437" s="13" t="b">
        <v>0</v>
      </c>
      <c r="H437" s="10" t="s">
        <v>123</v>
      </c>
      <c r="I437" s="10" t="s">
        <v>3548</v>
      </c>
      <c r="J437" s="13" t="b">
        <v>0</v>
      </c>
      <c r="K437" s="13" t="b">
        <v>1</v>
      </c>
      <c r="L437" s="10" t="s">
        <v>358</v>
      </c>
      <c r="M437" s="10" t="s">
        <v>91</v>
      </c>
      <c r="N437" s="10" t="s">
        <v>3513</v>
      </c>
      <c r="O437" s="19" t="s">
        <v>3620</v>
      </c>
      <c r="P437" s="10"/>
      <c r="Q437" s="10" t="s">
        <v>126</v>
      </c>
      <c r="R437" s="10"/>
      <c r="S437" s="19" t="s">
        <v>3621</v>
      </c>
      <c r="T437" s="10"/>
      <c r="U437" s="10" t="s">
        <v>3622</v>
      </c>
      <c r="V437" s="10" t="s">
        <v>3623</v>
      </c>
      <c r="W437" s="10" t="s">
        <v>3519</v>
      </c>
      <c r="X437" s="10" t="s">
        <v>130</v>
      </c>
      <c r="Y437" s="10" t="s">
        <v>130</v>
      </c>
      <c r="Z437" s="10" t="s">
        <v>99</v>
      </c>
      <c r="AA437" s="10" t="s">
        <v>131</v>
      </c>
      <c r="AB437" s="10" t="s">
        <v>3520</v>
      </c>
      <c r="AC437" s="10" t="s">
        <v>3521</v>
      </c>
      <c r="AD437" s="10" t="s">
        <v>3624</v>
      </c>
      <c r="AE437" s="10" t="s">
        <v>3625</v>
      </c>
      <c r="AF437" s="15"/>
      <c r="AG437" s="10" t="s">
        <v>3524</v>
      </c>
      <c r="AH437" s="10" t="s">
        <v>3525</v>
      </c>
      <c r="AI437" s="10" t="s">
        <v>3525</v>
      </c>
      <c r="AJ437" s="10" t="s">
        <v>3626</v>
      </c>
      <c r="AK437" s="10" t="s">
        <v>102</v>
      </c>
      <c r="AL437" s="10" t="s">
        <v>103</v>
      </c>
      <c r="AM437" s="10"/>
      <c r="AN437" s="10"/>
      <c r="AO437" s="13" t="b">
        <v>0</v>
      </c>
      <c r="AP437" s="10" t="s">
        <v>104</v>
      </c>
      <c r="AQ437" s="10">
        <f ca="1">IFERROR(__xludf.DUMMYFUNCTION("""COMPUTED_VALUE"""),4488293)</f>
        <v>4488293</v>
      </c>
      <c r="AR437" s="17">
        <v>433335</v>
      </c>
      <c r="AS437" s="17">
        <v>231959</v>
      </c>
      <c r="AT437" s="17">
        <v>8286185.5</v>
      </c>
      <c r="AU437" s="17">
        <v>6770.05</v>
      </c>
      <c r="AV437" s="17">
        <v>2741.35</v>
      </c>
      <c r="AW437" s="10" t="s">
        <v>297</v>
      </c>
      <c r="AX437" s="17">
        <v>93863</v>
      </c>
      <c r="AY437" s="18">
        <v>35.722629861311695</v>
      </c>
      <c r="AZ437" s="10" t="s">
        <v>185</v>
      </c>
      <c r="BA437" s="20" t="b">
        <v>0</v>
      </c>
      <c r="BB437" s="10"/>
      <c r="BC437" s="17">
        <v>433335</v>
      </c>
      <c r="BD437" s="17">
        <v>231959</v>
      </c>
      <c r="BE437" s="17">
        <v>8286185.5</v>
      </c>
      <c r="BF437" s="17">
        <v>2741.35</v>
      </c>
      <c r="BG437" s="11">
        <f ca="1">IFERROR(__xludf.DUMMYFUNCTION("""COMPUTED_VALUE"""),45878.7916666666)</f>
        <v>45878.791666666599</v>
      </c>
      <c r="BH437" s="17" t="s">
        <v>297</v>
      </c>
      <c r="BI437" s="17"/>
      <c r="BJ437" s="15"/>
      <c r="BK437" s="15"/>
      <c r="BL437" s="13" t="b">
        <v>0</v>
      </c>
      <c r="BM437" s="10"/>
      <c r="BN437" s="10" t="s">
        <v>278</v>
      </c>
      <c r="BO437" s="11">
        <v>45856.5625</v>
      </c>
      <c r="BP437" s="11">
        <v>45877.490324074075</v>
      </c>
      <c r="BQ437" s="15">
        <v>45877.917604166665</v>
      </c>
      <c r="BR437" s="15">
        <v>45878.377638888887</v>
      </c>
      <c r="BS437" s="10" t="s">
        <v>278</v>
      </c>
      <c r="BT437" s="10" t="s">
        <v>99</v>
      </c>
      <c r="BU437" s="10" t="s">
        <v>2406</v>
      </c>
      <c r="BV437" s="10" t="s">
        <v>124</v>
      </c>
      <c r="BW437" s="10" t="s">
        <v>3627</v>
      </c>
      <c r="BX437" s="19" t="s">
        <v>3628</v>
      </c>
      <c r="BY437" s="23"/>
      <c r="BZ437" s="24" t="s">
        <v>284</v>
      </c>
      <c r="CA437" s="19" t="s">
        <v>3629</v>
      </c>
      <c r="CB437" s="23"/>
      <c r="CC437" s="23"/>
      <c r="CD437" s="19" t="s">
        <v>3630</v>
      </c>
      <c r="CE437" s="23"/>
      <c r="CF437" s="23"/>
      <c r="CG437" s="23"/>
      <c r="CH437" s="23"/>
      <c r="CI437" s="23"/>
    </row>
    <row r="438" spans="1:87" x14ac:dyDescent="0.3">
      <c r="A438" s="9" t="s">
        <v>3631</v>
      </c>
      <c r="B438" s="10" t="s">
        <v>3632</v>
      </c>
      <c r="C438" s="11">
        <v>45878.791666666664</v>
      </c>
      <c r="D438" s="12">
        <v>8.3333333333333329E-2</v>
      </c>
      <c r="E438" s="11">
        <v>45878.875</v>
      </c>
      <c r="F438" s="10" t="s">
        <v>3511</v>
      </c>
      <c r="G438" s="13" t="b">
        <v>0</v>
      </c>
      <c r="H438" s="10" t="s">
        <v>3512</v>
      </c>
      <c r="I438" s="10" t="s">
        <v>212</v>
      </c>
      <c r="J438" s="13" t="b">
        <v>1</v>
      </c>
      <c r="K438" s="13" t="b">
        <v>0</v>
      </c>
      <c r="L438" s="10" t="s">
        <v>124</v>
      </c>
      <c r="M438" s="10" t="s">
        <v>91</v>
      </c>
      <c r="N438" s="10" t="s">
        <v>3513</v>
      </c>
      <c r="O438" s="19" t="s">
        <v>3633</v>
      </c>
      <c r="P438" s="10"/>
      <c r="Q438" s="10" t="s">
        <v>126</v>
      </c>
      <c r="R438" s="10"/>
      <c r="S438" s="19" t="s">
        <v>3634</v>
      </c>
      <c r="T438" s="10"/>
      <c r="U438" s="10" t="s">
        <v>3635</v>
      </c>
      <c r="V438" s="10" t="s">
        <v>3636</v>
      </c>
      <c r="W438" s="10" t="s">
        <v>3519</v>
      </c>
      <c r="X438" s="10" t="s">
        <v>130</v>
      </c>
      <c r="Y438" s="10" t="s">
        <v>130</v>
      </c>
      <c r="Z438" s="10" t="s">
        <v>99</v>
      </c>
      <c r="AA438" s="10" t="s">
        <v>131</v>
      </c>
      <c r="AB438" s="10" t="s">
        <v>3520</v>
      </c>
      <c r="AC438" s="10" t="s">
        <v>3521</v>
      </c>
      <c r="AD438" s="10" t="s">
        <v>3637</v>
      </c>
      <c r="AE438" s="10" t="s">
        <v>3638</v>
      </c>
      <c r="AF438" s="15"/>
      <c r="AG438" s="10"/>
      <c r="AH438" s="10"/>
      <c r="AI438" s="10"/>
      <c r="AJ438" s="10" t="s">
        <v>3639</v>
      </c>
      <c r="AK438" s="10" t="s">
        <v>102</v>
      </c>
      <c r="AL438" s="10" t="s">
        <v>103</v>
      </c>
      <c r="AM438" s="10"/>
      <c r="AN438" s="10"/>
      <c r="AO438" s="13" t="b">
        <v>0</v>
      </c>
      <c r="AP438" s="10" t="s">
        <v>104</v>
      </c>
      <c r="AQ438" s="10">
        <f ca="1">IFERROR(__xludf.DUMMYFUNCTION("""COMPUTED_VALUE"""),4484907)</f>
        <v>4484907</v>
      </c>
      <c r="AR438" s="17">
        <v>146240</v>
      </c>
      <c r="AS438" s="17">
        <v>76375</v>
      </c>
      <c r="AT438" s="17">
        <v>1761597.5</v>
      </c>
      <c r="AU438" s="17">
        <v>1021.8</v>
      </c>
      <c r="AV438" s="17">
        <v>670.85</v>
      </c>
      <c r="AW438" s="10" t="s">
        <v>105</v>
      </c>
      <c r="AX438" s="17">
        <v>31371</v>
      </c>
      <c r="AY438" s="18">
        <v>23.065106382978723</v>
      </c>
      <c r="AZ438" s="10" t="s">
        <v>117</v>
      </c>
      <c r="BA438" s="20" t="b">
        <v>0</v>
      </c>
      <c r="BB438" s="10"/>
      <c r="BC438" s="17">
        <v>146240</v>
      </c>
      <c r="BD438" s="17">
        <v>76375</v>
      </c>
      <c r="BE438" s="17">
        <v>1761597.5</v>
      </c>
      <c r="BF438" s="17">
        <v>670.85</v>
      </c>
      <c r="BG438" s="11">
        <f ca="1">IFERROR(__xludf.DUMMYFUNCTION("""COMPUTED_VALUE"""),45878.7916666666)</f>
        <v>45878.791666666599</v>
      </c>
      <c r="BH438" s="17" t="s">
        <v>105</v>
      </c>
      <c r="BI438" s="17"/>
      <c r="BJ438" s="15"/>
      <c r="BK438" s="15"/>
      <c r="BL438" s="13" t="b">
        <v>1</v>
      </c>
      <c r="BM438" s="10"/>
      <c r="BN438" s="10" t="s">
        <v>278</v>
      </c>
      <c r="BO438" s="11">
        <v>45856.563194444447</v>
      </c>
      <c r="BP438" s="11">
        <v>45875.550555555557</v>
      </c>
      <c r="BQ438" s="15">
        <v>45877.016875000001</v>
      </c>
      <c r="BR438" s="15">
        <v>45877.024606481478</v>
      </c>
      <c r="BS438" s="10" t="s">
        <v>278</v>
      </c>
      <c r="BT438" s="10" t="s">
        <v>99</v>
      </c>
      <c r="BU438" s="10" t="s">
        <v>2448</v>
      </c>
      <c r="BV438" s="10"/>
      <c r="BW438" s="10"/>
      <c r="BX438" s="10"/>
      <c r="BY438" s="23"/>
      <c r="BZ438" s="24" t="s">
        <v>299</v>
      </c>
      <c r="CA438" s="19" t="s">
        <v>3640</v>
      </c>
      <c r="CB438" s="23"/>
      <c r="CC438" s="23"/>
      <c r="CD438" s="19" t="s">
        <v>3641</v>
      </c>
      <c r="CE438" s="23"/>
      <c r="CF438" s="23"/>
      <c r="CG438" s="23"/>
      <c r="CH438" s="23"/>
      <c r="CI438" s="23"/>
    </row>
    <row r="439" spans="1:87" x14ac:dyDescent="0.3">
      <c r="A439" s="9" t="s">
        <v>3642</v>
      </c>
      <c r="B439" s="10" t="s">
        <v>3643</v>
      </c>
      <c r="C439" s="11">
        <v>45879.791666666664</v>
      </c>
      <c r="D439" s="12">
        <v>8.3333333333333329E-2</v>
      </c>
      <c r="E439" s="11">
        <v>45879.875</v>
      </c>
      <c r="F439" s="10" t="s">
        <v>3511</v>
      </c>
      <c r="G439" s="13" t="b">
        <v>0</v>
      </c>
      <c r="H439" s="10" t="s">
        <v>123</v>
      </c>
      <c r="I439" s="10" t="s">
        <v>3548</v>
      </c>
      <c r="J439" s="13" t="b">
        <v>0</v>
      </c>
      <c r="K439" s="13" t="b">
        <v>1</v>
      </c>
      <c r="L439" s="10" t="s">
        <v>358</v>
      </c>
      <c r="M439" s="10" t="s">
        <v>91</v>
      </c>
      <c r="N439" s="10" t="s">
        <v>3513</v>
      </c>
      <c r="O439" s="19" t="s">
        <v>3644</v>
      </c>
      <c r="P439" s="10"/>
      <c r="Q439" s="10" t="s">
        <v>126</v>
      </c>
      <c r="R439" s="19" t="s">
        <v>3607</v>
      </c>
      <c r="S439" s="19" t="s">
        <v>3645</v>
      </c>
      <c r="T439" s="19" t="s">
        <v>3646</v>
      </c>
      <c r="U439" s="10" t="s">
        <v>3647</v>
      </c>
      <c r="V439" s="10" t="s">
        <v>3648</v>
      </c>
      <c r="W439" s="10" t="s">
        <v>3519</v>
      </c>
      <c r="X439" s="10" t="s">
        <v>130</v>
      </c>
      <c r="Y439" s="10" t="s">
        <v>130</v>
      </c>
      <c r="Z439" s="10" t="s">
        <v>99</v>
      </c>
      <c r="AA439" s="10" t="s">
        <v>131</v>
      </c>
      <c r="AB439" s="10" t="s">
        <v>3520</v>
      </c>
      <c r="AC439" s="10" t="s">
        <v>3521</v>
      </c>
      <c r="AD439" s="10" t="s">
        <v>3649</v>
      </c>
      <c r="AE439" s="10" t="s">
        <v>3650</v>
      </c>
      <c r="AF439" s="15"/>
      <c r="AG439" s="10"/>
      <c r="AH439" s="10"/>
      <c r="AI439" s="10"/>
      <c r="AJ439" s="10" t="s">
        <v>3651</v>
      </c>
      <c r="AK439" s="10" t="s">
        <v>102</v>
      </c>
      <c r="AL439" s="10" t="s">
        <v>103</v>
      </c>
      <c r="AM439" s="10"/>
      <c r="AN439" s="10"/>
      <c r="AO439" s="13" t="b">
        <v>1</v>
      </c>
      <c r="AP439" s="10" t="s">
        <v>104</v>
      </c>
      <c r="AQ439" s="10">
        <f ca="1">IFERROR(__xludf.DUMMYFUNCTION("""COMPUTED_VALUE"""),4488715)</f>
        <v>4488715</v>
      </c>
      <c r="AR439" s="17">
        <v>504420</v>
      </c>
      <c r="AS439" s="17">
        <v>272041</v>
      </c>
      <c r="AT439" s="17">
        <v>9885579</v>
      </c>
      <c r="AU439" s="17">
        <v>7486.4</v>
      </c>
      <c r="AV439" s="17">
        <v>4270.6499999999996</v>
      </c>
      <c r="AW439" s="10" t="s">
        <v>297</v>
      </c>
      <c r="AX439" s="17">
        <v>110946</v>
      </c>
      <c r="AY439" s="18">
        <v>36.338562937204316</v>
      </c>
      <c r="AZ439" s="10" t="s">
        <v>185</v>
      </c>
      <c r="BA439" s="20" t="b">
        <v>0</v>
      </c>
      <c r="BB439" s="10"/>
      <c r="BC439" s="17">
        <v>504420</v>
      </c>
      <c r="BD439" s="17">
        <v>272041</v>
      </c>
      <c r="BE439" s="17">
        <v>9885579</v>
      </c>
      <c r="BF439" s="17">
        <v>4270.6499999999996</v>
      </c>
      <c r="BG439" s="11">
        <f ca="1">IFERROR(__xludf.DUMMYFUNCTION("""COMPUTED_VALUE"""),45879.7916666666)</f>
        <v>45879.791666666599</v>
      </c>
      <c r="BH439" s="17" t="s">
        <v>297</v>
      </c>
      <c r="BI439" s="17"/>
      <c r="BJ439" s="15"/>
      <c r="BK439" s="15"/>
      <c r="BL439" s="13" t="b">
        <v>0</v>
      </c>
      <c r="BM439" s="10"/>
      <c r="BN439" s="10" t="s">
        <v>278</v>
      </c>
      <c r="BO439" s="11">
        <v>45856.563888888886</v>
      </c>
      <c r="BP439" s="11">
        <v>45874.664907407408</v>
      </c>
      <c r="BQ439" s="15">
        <v>45878.776400462964</v>
      </c>
      <c r="BR439" s="15">
        <v>45878.804976851854</v>
      </c>
      <c r="BS439" s="10" t="s">
        <v>278</v>
      </c>
      <c r="BT439" s="10" t="s">
        <v>99</v>
      </c>
      <c r="BU439" s="10" t="s">
        <v>498</v>
      </c>
      <c r="BV439" s="10" t="s">
        <v>281</v>
      </c>
      <c r="BW439" s="10" t="s">
        <v>3652</v>
      </c>
      <c r="BX439" s="10"/>
      <c r="BY439" s="23">
        <v>45874.66474537037</v>
      </c>
      <c r="BZ439" s="24" t="s">
        <v>284</v>
      </c>
      <c r="CA439" s="19" t="s">
        <v>3653</v>
      </c>
      <c r="CB439" s="19" t="s">
        <v>3654</v>
      </c>
      <c r="CC439" s="23"/>
      <c r="CD439" s="19" t="s">
        <v>3655</v>
      </c>
      <c r="CE439" s="23"/>
      <c r="CF439" s="23"/>
      <c r="CG439" s="23"/>
      <c r="CH439" s="23"/>
      <c r="CI439" s="23"/>
    </row>
    <row r="440" spans="1:87" x14ac:dyDescent="0.3">
      <c r="A440" s="9" t="s">
        <v>3656</v>
      </c>
      <c r="B440" s="10" t="s">
        <v>3657</v>
      </c>
      <c r="C440" s="11">
        <v>45879.645833333336</v>
      </c>
      <c r="D440" s="12">
        <v>8.3333333333333329E-2</v>
      </c>
      <c r="E440" s="11">
        <v>45879.729166666664</v>
      </c>
      <c r="F440" s="10" t="s">
        <v>3511</v>
      </c>
      <c r="G440" s="13" t="b">
        <v>0</v>
      </c>
      <c r="H440" s="10" t="s">
        <v>123</v>
      </c>
      <c r="I440" s="10" t="s">
        <v>3548</v>
      </c>
      <c r="J440" s="13" t="b">
        <v>0</v>
      </c>
      <c r="K440" s="13" t="b">
        <v>1</v>
      </c>
      <c r="L440" s="10" t="s">
        <v>358</v>
      </c>
      <c r="M440" s="10" t="s">
        <v>91</v>
      </c>
      <c r="N440" s="10" t="s">
        <v>3513</v>
      </c>
      <c r="O440" s="19" t="s">
        <v>3658</v>
      </c>
      <c r="P440" s="10"/>
      <c r="Q440" s="10" t="s">
        <v>126</v>
      </c>
      <c r="R440" s="10"/>
      <c r="S440" s="19" t="s">
        <v>3659</v>
      </c>
      <c r="T440" s="19" t="s">
        <v>3660</v>
      </c>
      <c r="U440" s="10" t="s">
        <v>3661</v>
      </c>
      <c r="V440" s="10" t="s">
        <v>3662</v>
      </c>
      <c r="W440" s="10" t="s">
        <v>3519</v>
      </c>
      <c r="X440" s="10" t="s">
        <v>130</v>
      </c>
      <c r="Y440" s="10" t="s">
        <v>130</v>
      </c>
      <c r="Z440" s="10" t="s">
        <v>99</v>
      </c>
      <c r="AA440" s="10" t="s">
        <v>131</v>
      </c>
      <c r="AB440" s="10" t="s">
        <v>3520</v>
      </c>
      <c r="AC440" s="10" t="s">
        <v>3521</v>
      </c>
      <c r="AD440" s="10" t="s">
        <v>3663</v>
      </c>
      <c r="AE440" s="10" t="s">
        <v>3664</v>
      </c>
      <c r="AF440" s="15"/>
      <c r="AG440" s="10"/>
      <c r="AH440" s="10"/>
      <c r="AI440" s="10"/>
      <c r="AJ440" s="10" t="s">
        <v>3665</v>
      </c>
      <c r="AK440" s="10" t="s">
        <v>102</v>
      </c>
      <c r="AL440" s="10" t="s">
        <v>103</v>
      </c>
      <c r="AM440" s="10"/>
      <c r="AN440" s="10"/>
      <c r="AO440" s="13" t="b">
        <v>0</v>
      </c>
      <c r="AP440" s="10" t="s">
        <v>104</v>
      </c>
      <c r="AQ440" s="10">
        <f ca="1">IFERROR(__xludf.DUMMYFUNCTION("""COMPUTED_VALUE"""),4485790)</f>
        <v>4485790</v>
      </c>
      <c r="AR440" s="17">
        <v>258277</v>
      </c>
      <c r="AS440" s="17">
        <v>152195</v>
      </c>
      <c r="AT440" s="17">
        <v>4856243</v>
      </c>
      <c r="AU440" s="17">
        <v>2653.1</v>
      </c>
      <c r="AV440" s="17">
        <v>1410.2</v>
      </c>
      <c r="AW440" s="10" t="s">
        <v>297</v>
      </c>
      <c r="AX440" s="17">
        <v>61768</v>
      </c>
      <c r="AY440" s="18">
        <v>31.90803245835934</v>
      </c>
      <c r="AZ440" s="10" t="s">
        <v>117</v>
      </c>
      <c r="BA440" s="20" t="b">
        <v>0</v>
      </c>
      <c r="BB440" s="10"/>
      <c r="BC440" s="17">
        <v>258277</v>
      </c>
      <c r="BD440" s="17">
        <v>152195</v>
      </c>
      <c r="BE440" s="17">
        <v>4856243</v>
      </c>
      <c r="BF440" s="17">
        <v>1410.2</v>
      </c>
      <c r="BG440" s="11">
        <f ca="1">IFERROR(__xludf.DUMMYFUNCTION("""COMPUTED_VALUE"""),45879.6458333333)</f>
        <v>45879.645833333299</v>
      </c>
      <c r="BH440" s="17" t="s">
        <v>297</v>
      </c>
      <c r="BI440" s="17"/>
      <c r="BJ440" s="15"/>
      <c r="BK440" s="15"/>
      <c r="BL440" s="13" t="b">
        <v>0</v>
      </c>
      <c r="BM440" s="10"/>
      <c r="BN440" s="10" t="s">
        <v>278</v>
      </c>
      <c r="BO440" s="11">
        <v>45856.615972222222</v>
      </c>
      <c r="BP440" s="11">
        <v>45876.536782407406</v>
      </c>
      <c r="BQ440" s="15">
        <v>45877.041226851848</v>
      </c>
      <c r="BR440" s="15">
        <v>45877.148240740738</v>
      </c>
      <c r="BS440" s="10" t="s">
        <v>278</v>
      </c>
      <c r="BT440" s="10" t="s">
        <v>99</v>
      </c>
      <c r="BU440" s="10" t="s">
        <v>498</v>
      </c>
      <c r="BV440" s="10" t="s">
        <v>124</v>
      </c>
      <c r="BW440" s="10" t="s">
        <v>3666</v>
      </c>
      <c r="BX440" s="19" t="s">
        <v>3667</v>
      </c>
      <c r="BY440" s="23"/>
      <c r="BZ440" s="24" t="s">
        <v>284</v>
      </c>
      <c r="CA440" s="19" t="s">
        <v>3668</v>
      </c>
      <c r="CB440" s="19" t="s">
        <v>3669</v>
      </c>
      <c r="CC440" s="23"/>
      <c r="CD440" s="19" t="s">
        <v>3670</v>
      </c>
      <c r="CE440" s="23"/>
      <c r="CF440" s="23"/>
      <c r="CG440" s="23"/>
      <c r="CH440" s="23"/>
      <c r="CI440" s="23"/>
    </row>
    <row r="441" spans="1:87" x14ac:dyDescent="0.3">
      <c r="A441" s="9" t="s">
        <v>3671</v>
      </c>
      <c r="B441" s="10" t="s">
        <v>3672</v>
      </c>
      <c r="C441" s="11">
        <v>45880.645833333336</v>
      </c>
      <c r="D441" s="12">
        <v>8.3333333333333329E-2</v>
      </c>
      <c r="E441" s="11">
        <v>45880.729166666664</v>
      </c>
      <c r="F441" s="10" t="s">
        <v>3511</v>
      </c>
      <c r="G441" s="13" t="b">
        <v>0</v>
      </c>
      <c r="H441" s="10" t="s">
        <v>123</v>
      </c>
      <c r="I441" s="10" t="s">
        <v>3548</v>
      </c>
      <c r="J441" s="13" t="b">
        <v>0</v>
      </c>
      <c r="K441" s="13" t="b">
        <v>1</v>
      </c>
      <c r="L441" s="10" t="s">
        <v>358</v>
      </c>
      <c r="M441" s="10" t="s">
        <v>91</v>
      </c>
      <c r="N441" s="10" t="s">
        <v>3513</v>
      </c>
      <c r="O441" s="19" t="s">
        <v>3673</v>
      </c>
      <c r="P441" s="10"/>
      <c r="Q441" s="10" t="s">
        <v>126</v>
      </c>
      <c r="R441" s="10"/>
      <c r="S441" s="19" t="s">
        <v>3674</v>
      </c>
      <c r="T441" s="19" t="s">
        <v>3675</v>
      </c>
      <c r="U441" s="10" t="s">
        <v>3676</v>
      </c>
      <c r="V441" s="10" t="s">
        <v>3677</v>
      </c>
      <c r="W441" s="10" t="s">
        <v>3519</v>
      </c>
      <c r="X441" s="10" t="s">
        <v>130</v>
      </c>
      <c r="Y441" s="10" t="s">
        <v>130</v>
      </c>
      <c r="Z441" s="10" t="s">
        <v>99</v>
      </c>
      <c r="AA441" s="10" t="s">
        <v>131</v>
      </c>
      <c r="AB441" s="10" t="s">
        <v>3520</v>
      </c>
      <c r="AC441" s="10" t="s">
        <v>3521</v>
      </c>
      <c r="AD441" s="10" t="s">
        <v>3678</v>
      </c>
      <c r="AE441" s="10" t="s">
        <v>3679</v>
      </c>
      <c r="AF441" s="15"/>
      <c r="AG441" s="10"/>
      <c r="AH441" s="10"/>
      <c r="AI441" s="10"/>
      <c r="AJ441" s="10" t="s">
        <v>3680</v>
      </c>
      <c r="AK441" s="10" t="s">
        <v>102</v>
      </c>
      <c r="AL441" s="10" t="s">
        <v>103</v>
      </c>
      <c r="AM441" s="10"/>
      <c r="AN441" s="10"/>
      <c r="AO441" s="13" t="b">
        <v>0</v>
      </c>
      <c r="AP441" s="10" t="s">
        <v>104</v>
      </c>
      <c r="AQ441" s="10">
        <f ca="1">IFERROR(__xludf.DUMMYFUNCTION("""COMPUTED_VALUE"""),4488446)</f>
        <v>4488446</v>
      </c>
      <c r="AR441" s="17">
        <v>204310</v>
      </c>
      <c r="AS441" s="17">
        <v>134070</v>
      </c>
      <c r="AT441" s="17">
        <v>3341425.25</v>
      </c>
      <c r="AU441" s="17">
        <v>1860.2</v>
      </c>
      <c r="AV441" s="17">
        <v>721.1</v>
      </c>
      <c r="AW441" s="10" t="s">
        <v>105</v>
      </c>
      <c r="AX441" s="17">
        <v>39542</v>
      </c>
      <c r="AY441" s="18">
        <v>24.922989856045348</v>
      </c>
      <c r="AZ441" s="10" t="s">
        <v>117</v>
      </c>
      <c r="BA441" s="20" t="b">
        <v>0</v>
      </c>
      <c r="BB441" s="10"/>
      <c r="BC441" s="17">
        <v>204310</v>
      </c>
      <c r="BD441" s="17">
        <v>134070</v>
      </c>
      <c r="BE441" s="17">
        <v>3341425.25</v>
      </c>
      <c r="BF441" s="17">
        <v>721.1</v>
      </c>
      <c r="BG441" s="11">
        <f ca="1">IFERROR(__xludf.DUMMYFUNCTION("""COMPUTED_VALUE"""),45880.6458333333)</f>
        <v>45880.645833333299</v>
      </c>
      <c r="BH441" s="17" t="s">
        <v>105</v>
      </c>
      <c r="BI441" s="17"/>
      <c r="BJ441" s="15"/>
      <c r="BK441" s="15"/>
      <c r="BL441" s="13" t="b">
        <v>0</v>
      </c>
      <c r="BM441" s="10"/>
      <c r="BN441" s="10" t="s">
        <v>667</v>
      </c>
      <c r="BO441" s="11">
        <v>45856.625694444447</v>
      </c>
      <c r="BP441" s="11">
        <v>45876.533761574072</v>
      </c>
      <c r="BQ441" s="15">
        <v>45877.779965277776</v>
      </c>
      <c r="BR441" s="15">
        <v>45878.432199074072</v>
      </c>
      <c r="BS441" s="10" t="s">
        <v>667</v>
      </c>
      <c r="BT441" s="10" t="s">
        <v>99</v>
      </c>
      <c r="BU441" s="10" t="s">
        <v>498</v>
      </c>
      <c r="BV441" s="10" t="s">
        <v>124</v>
      </c>
      <c r="BW441" s="10" t="s">
        <v>3541</v>
      </c>
      <c r="BX441" s="19" t="s">
        <v>3681</v>
      </c>
      <c r="BY441" s="23"/>
      <c r="BZ441" s="24" t="s">
        <v>284</v>
      </c>
      <c r="CA441" s="19" t="s">
        <v>3682</v>
      </c>
      <c r="CB441" s="19" t="s">
        <v>3683</v>
      </c>
      <c r="CC441" s="23"/>
      <c r="CD441" s="19" t="s">
        <v>3684</v>
      </c>
      <c r="CE441" s="23"/>
      <c r="CF441" s="23"/>
      <c r="CG441" s="23"/>
      <c r="CH441" s="23"/>
      <c r="CI441" s="23"/>
    </row>
    <row r="442" spans="1:87" x14ac:dyDescent="0.3">
      <c r="A442" s="9" t="s">
        <v>3685</v>
      </c>
      <c r="B442" s="10" t="s">
        <v>3686</v>
      </c>
      <c r="C442" s="11">
        <v>45878.989583333336</v>
      </c>
      <c r="D442" s="12">
        <v>8.3333333333333329E-2</v>
      </c>
      <c r="E442" s="11">
        <v>45879.072916666664</v>
      </c>
      <c r="F442" s="10" t="s">
        <v>3687</v>
      </c>
      <c r="G442" s="13" t="b">
        <v>0</v>
      </c>
      <c r="H442" s="10" t="s">
        <v>88</v>
      </c>
      <c r="I442" s="10" t="s">
        <v>89</v>
      </c>
      <c r="J442" s="13" t="b">
        <v>0</v>
      </c>
      <c r="K442" s="13" t="b">
        <v>1</v>
      </c>
      <c r="L442" s="10" t="s">
        <v>124</v>
      </c>
      <c r="M442" s="10" t="s">
        <v>91</v>
      </c>
      <c r="N442" s="10" t="s">
        <v>92</v>
      </c>
      <c r="O442" s="19" t="s">
        <v>3688</v>
      </c>
      <c r="P442" s="10"/>
      <c r="Q442" s="10" t="s">
        <v>126</v>
      </c>
      <c r="R442" s="10"/>
      <c r="S442" s="19" t="s">
        <v>3689</v>
      </c>
      <c r="T442" s="10"/>
      <c r="U442" s="10" t="s">
        <v>3690</v>
      </c>
      <c r="V442" s="10" t="s">
        <v>3691</v>
      </c>
      <c r="W442" s="10" t="s">
        <v>3692</v>
      </c>
      <c r="X442" s="10" t="s">
        <v>130</v>
      </c>
      <c r="Y442" s="10" t="s">
        <v>130</v>
      </c>
      <c r="Z442" s="10" t="s">
        <v>99</v>
      </c>
      <c r="AA442" s="10" t="s">
        <v>131</v>
      </c>
      <c r="AB442" s="10" t="s">
        <v>3693</v>
      </c>
      <c r="AC442" s="10" t="s">
        <v>3694</v>
      </c>
      <c r="AD442" s="10" t="s">
        <v>3695</v>
      </c>
      <c r="AE442" s="10" t="s">
        <v>3696</v>
      </c>
      <c r="AF442" s="15"/>
      <c r="AG442" s="10"/>
      <c r="AH442" s="10"/>
      <c r="AI442" s="10"/>
      <c r="AJ442" s="10" t="s">
        <v>3697</v>
      </c>
      <c r="AK442" s="10" t="s">
        <v>102</v>
      </c>
      <c r="AL442" s="10" t="s">
        <v>103</v>
      </c>
      <c r="AM442" s="10"/>
      <c r="AN442" s="10"/>
      <c r="AO442" s="13" t="b">
        <v>0</v>
      </c>
      <c r="AP442" s="10" t="s">
        <v>104</v>
      </c>
      <c r="AQ442" s="10">
        <f ca="1">IFERROR(__xludf.DUMMYFUNCTION("""COMPUTED_VALUE"""),4485888)</f>
        <v>4485888</v>
      </c>
      <c r="AR442" s="17">
        <v>6008</v>
      </c>
      <c r="AS442" s="17">
        <v>4927</v>
      </c>
      <c r="AT442" s="17">
        <v>82674.25</v>
      </c>
      <c r="AU442" s="17">
        <v>32</v>
      </c>
      <c r="AV442" s="17">
        <v>12.8</v>
      </c>
      <c r="AW442" s="10" t="s">
        <v>105</v>
      </c>
      <c r="AX442" s="17">
        <v>1218</v>
      </c>
      <c r="AY442" s="18">
        <v>16.779835599756446</v>
      </c>
      <c r="AZ442" s="10" t="s">
        <v>196</v>
      </c>
      <c r="BA442" s="20" t="b">
        <v>0</v>
      </c>
      <c r="BB442" s="10"/>
      <c r="BC442" s="17">
        <v>6008</v>
      </c>
      <c r="BD442" s="17">
        <v>4927</v>
      </c>
      <c r="BE442" s="17">
        <v>82674.25</v>
      </c>
      <c r="BF442" s="17">
        <v>12.8</v>
      </c>
      <c r="BG442" s="11">
        <f ca="1">IFERROR(__xludf.DUMMYFUNCTION("""COMPUTED_VALUE"""),45878.9895833333)</f>
        <v>45878.989583333299</v>
      </c>
      <c r="BH442" s="17" t="s">
        <v>105</v>
      </c>
      <c r="BI442" s="17"/>
      <c r="BJ442" s="15"/>
      <c r="BK442" s="15"/>
      <c r="BL442" s="13" t="b">
        <v>0</v>
      </c>
      <c r="BM442" s="10"/>
      <c r="BN442" s="10" t="s">
        <v>455</v>
      </c>
      <c r="BO442" s="11">
        <v>45859.765277777777</v>
      </c>
      <c r="BP442" s="11">
        <v>45873.664722222224</v>
      </c>
      <c r="BQ442" s="15">
        <v>45877.460219907407</v>
      </c>
      <c r="BR442" s="15">
        <v>45877.637476851851</v>
      </c>
      <c r="BS442" s="10" t="s">
        <v>455</v>
      </c>
      <c r="BT442" s="10" t="s">
        <v>279</v>
      </c>
      <c r="BU442" s="10" t="s">
        <v>298</v>
      </c>
      <c r="BV442" s="10"/>
      <c r="BW442" s="10"/>
      <c r="BX442" s="10"/>
      <c r="BY442" s="23"/>
      <c r="BZ442" s="23"/>
      <c r="CA442" s="19" t="s">
        <v>3698</v>
      </c>
      <c r="CB442" s="23"/>
      <c r="CC442" s="23"/>
      <c r="CD442" s="19" t="s">
        <v>3699</v>
      </c>
      <c r="CE442" s="23"/>
      <c r="CF442" s="23"/>
      <c r="CG442" s="23"/>
      <c r="CH442" s="23"/>
      <c r="CI442" s="23"/>
    </row>
    <row r="443" spans="1:87" x14ac:dyDescent="0.3">
      <c r="A443" s="9" t="s">
        <v>3700</v>
      </c>
      <c r="B443" s="10" t="s">
        <v>3701</v>
      </c>
      <c r="C443" s="11">
        <v>45879.083333333336</v>
      </c>
      <c r="D443" s="12">
        <v>8.3333333333333329E-2</v>
      </c>
      <c r="E443" s="11">
        <v>45879.166666666664</v>
      </c>
      <c r="F443" s="10" t="s">
        <v>3687</v>
      </c>
      <c r="G443" s="13" t="b">
        <v>0</v>
      </c>
      <c r="H443" s="10" t="s">
        <v>88</v>
      </c>
      <c r="I443" s="10" t="s">
        <v>89</v>
      </c>
      <c r="J443" s="13" t="b">
        <v>0</v>
      </c>
      <c r="K443" s="13" t="b">
        <v>1</v>
      </c>
      <c r="L443" s="10" t="s">
        <v>124</v>
      </c>
      <c r="M443" s="10" t="s">
        <v>91</v>
      </c>
      <c r="N443" s="10" t="s">
        <v>92</v>
      </c>
      <c r="O443" s="19" t="s">
        <v>3702</v>
      </c>
      <c r="P443" s="10"/>
      <c r="Q443" s="10" t="s">
        <v>126</v>
      </c>
      <c r="R443" s="10"/>
      <c r="S443" s="19" t="s">
        <v>3703</v>
      </c>
      <c r="T443" s="10"/>
      <c r="U443" s="10" t="s">
        <v>3704</v>
      </c>
      <c r="V443" s="10" t="s">
        <v>3705</v>
      </c>
      <c r="W443" s="10" t="s">
        <v>3692</v>
      </c>
      <c r="X443" s="10" t="s">
        <v>130</v>
      </c>
      <c r="Y443" s="10" t="s">
        <v>130</v>
      </c>
      <c r="Z443" s="10" t="s">
        <v>99</v>
      </c>
      <c r="AA443" s="10" t="s">
        <v>131</v>
      </c>
      <c r="AB443" s="10" t="s">
        <v>3693</v>
      </c>
      <c r="AC443" s="10" t="s">
        <v>3694</v>
      </c>
      <c r="AD443" s="10" t="s">
        <v>3706</v>
      </c>
      <c r="AE443" s="10" t="s">
        <v>3707</v>
      </c>
      <c r="AF443" s="15"/>
      <c r="AG443" s="10"/>
      <c r="AH443" s="10"/>
      <c r="AI443" s="10"/>
      <c r="AJ443" s="10" t="s">
        <v>3708</v>
      </c>
      <c r="AK443" s="10" t="s">
        <v>102</v>
      </c>
      <c r="AL443" s="10" t="s">
        <v>103</v>
      </c>
      <c r="AM443" s="10"/>
      <c r="AN443" s="10"/>
      <c r="AO443" s="13" t="b">
        <v>0</v>
      </c>
      <c r="AP443" s="10" t="s">
        <v>104</v>
      </c>
      <c r="AQ443" s="10">
        <f ca="1">IFERROR(__xludf.DUMMYFUNCTION("""COMPUTED_VALUE"""),4485989)</f>
        <v>4485989</v>
      </c>
      <c r="AR443" s="17">
        <v>2926</v>
      </c>
      <c r="AS443" s="17">
        <v>2278</v>
      </c>
      <c r="AT443" s="17">
        <v>87385.25</v>
      </c>
      <c r="AU443" s="17">
        <v>5.6</v>
      </c>
      <c r="AV443" s="17">
        <v>3.7</v>
      </c>
      <c r="AW443" s="10" t="s">
        <v>105</v>
      </c>
      <c r="AX443" s="17">
        <v>904</v>
      </c>
      <c r="AY443" s="18">
        <v>38.360513608428448</v>
      </c>
      <c r="AZ443" s="10" t="s">
        <v>196</v>
      </c>
      <c r="BA443" s="20" t="b">
        <v>0</v>
      </c>
      <c r="BB443" s="10"/>
      <c r="BC443" s="17">
        <v>2926</v>
      </c>
      <c r="BD443" s="17">
        <v>2278</v>
      </c>
      <c r="BE443" s="17">
        <v>87385.25</v>
      </c>
      <c r="BF443" s="17">
        <v>3.7</v>
      </c>
      <c r="BG443" s="11">
        <f ca="1">IFERROR(__xludf.DUMMYFUNCTION("""COMPUTED_VALUE"""),45879.0833333333)</f>
        <v>45879.083333333299</v>
      </c>
      <c r="BH443" s="17" t="s">
        <v>105</v>
      </c>
      <c r="BI443" s="17"/>
      <c r="BJ443" s="15"/>
      <c r="BK443" s="15"/>
      <c r="BL443" s="13" t="b">
        <v>0</v>
      </c>
      <c r="BM443" s="10"/>
      <c r="BN443" s="10" t="s">
        <v>455</v>
      </c>
      <c r="BO443" s="11">
        <v>45859.768055555556</v>
      </c>
      <c r="BP443" s="11">
        <v>45876.880567129629</v>
      </c>
      <c r="BQ443" s="15">
        <v>45877.623344907406</v>
      </c>
      <c r="BR443" s="15">
        <v>45877.642442129632</v>
      </c>
      <c r="BS443" s="10" t="s">
        <v>455</v>
      </c>
      <c r="BT443" s="10" t="s">
        <v>279</v>
      </c>
      <c r="BU443" s="10" t="s">
        <v>280</v>
      </c>
      <c r="BV443" s="10"/>
      <c r="BW443" s="10"/>
      <c r="BX443" s="10"/>
      <c r="BY443" s="23"/>
      <c r="BZ443" s="23"/>
      <c r="CA443" s="19" t="s">
        <v>3709</v>
      </c>
      <c r="CB443" s="23"/>
      <c r="CC443" s="23"/>
      <c r="CD443" s="19" t="s">
        <v>3710</v>
      </c>
      <c r="CE443" s="23"/>
      <c r="CF443" s="23"/>
      <c r="CG443" s="23"/>
      <c r="CH443" s="23"/>
      <c r="CI443" s="23"/>
    </row>
    <row r="444" spans="1:87" x14ac:dyDescent="0.3">
      <c r="A444" s="9" t="s">
        <v>3711</v>
      </c>
      <c r="B444" s="10" t="s">
        <v>3712</v>
      </c>
      <c r="C444" s="11">
        <v>45879.8125</v>
      </c>
      <c r="D444" s="12">
        <v>8.3333333333333329E-2</v>
      </c>
      <c r="E444" s="11">
        <v>45879.895833333336</v>
      </c>
      <c r="F444" s="10" t="s">
        <v>3687</v>
      </c>
      <c r="G444" s="13" t="b">
        <v>0</v>
      </c>
      <c r="H444" s="10" t="s">
        <v>88</v>
      </c>
      <c r="I444" s="10" t="s">
        <v>89</v>
      </c>
      <c r="J444" s="13" t="b">
        <v>0</v>
      </c>
      <c r="K444" s="13" t="b">
        <v>1</v>
      </c>
      <c r="L444" s="10" t="s">
        <v>124</v>
      </c>
      <c r="M444" s="10" t="s">
        <v>91</v>
      </c>
      <c r="N444" s="10" t="s">
        <v>92</v>
      </c>
      <c r="O444" s="19" t="s">
        <v>3713</v>
      </c>
      <c r="P444" s="10"/>
      <c r="Q444" s="10" t="s">
        <v>126</v>
      </c>
      <c r="R444" s="10"/>
      <c r="S444" s="19" t="s">
        <v>3714</v>
      </c>
      <c r="T444" s="10"/>
      <c r="U444" s="10" t="s">
        <v>3715</v>
      </c>
      <c r="V444" s="10" t="s">
        <v>3716</v>
      </c>
      <c r="W444" s="10" t="s">
        <v>3692</v>
      </c>
      <c r="X444" s="10" t="s">
        <v>130</v>
      </c>
      <c r="Y444" s="10" t="s">
        <v>130</v>
      </c>
      <c r="Z444" s="10" t="s">
        <v>99</v>
      </c>
      <c r="AA444" s="10" t="s">
        <v>131</v>
      </c>
      <c r="AB444" s="10" t="s">
        <v>3693</v>
      </c>
      <c r="AC444" s="10" t="s">
        <v>3694</v>
      </c>
      <c r="AD444" s="10" t="s">
        <v>3717</v>
      </c>
      <c r="AE444" s="10" t="s">
        <v>3718</v>
      </c>
      <c r="AF444" s="15"/>
      <c r="AG444" s="10"/>
      <c r="AH444" s="10"/>
      <c r="AI444" s="10"/>
      <c r="AJ444" s="10" t="s">
        <v>3719</v>
      </c>
      <c r="AK444" s="10" t="s">
        <v>102</v>
      </c>
      <c r="AL444" s="10" t="s">
        <v>103</v>
      </c>
      <c r="AM444" s="10"/>
      <c r="AN444" s="10"/>
      <c r="AO444" s="13" t="b">
        <v>0</v>
      </c>
      <c r="AP444" s="10" t="s">
        <v>104</v>
      </c>
      <c r="AQ444" s="10">
        <f ca="1">IFERROR(__xludf.DUMMYFUNCTION("""COMPUTED_VALUE"""),4485990)</f>
        <v>4485990</v>
      </c>
      <c r="AR444" s="17">
        <v>20177</v>
      </c>
      <c r="AS444" s="17">
        <v>15325</v>
      </c>
      <c r="AT444" s="17">
        <v>160652.5</v>
      </c>
      <c r="AU444" s="17">
        <v>124.55</v>
      </c>
      <c r="AV444" s="17">
        <v>48.2</v>
      </c>
      <c r="AW444" s="10" t="s">
        <v>105</v>
      </c>
      <c r="AX444" s="17">
        <v>3144</v>
      </c>
      <c r="AY444" s="18">
        <v>10.483034257748777</v>
      </c>
      <c r="AZ444" s="10" t="s">
        <v>196</v>
      </c>
      <c r="BA444" s="20" t="b">
        <v>0</v>
      </c>
      <c r="BB444" s="10"/>
      <c r="BC444" s="17">
        <v>20177</v>
      </c>
      <c r="BD444" s="17">
        <v>15325</v>
      </c>
      <c r="BE444" s="17">
        <v>160652.5</v>
      </c>
      <c r="BF444" s="17">
        <v>48.2</v>
      </c>
      <c r="BG444" s="11">
        <f ca="1">IFERROR(__xludf.DUMMYFUNCTION("""COMPUTED_VALUE"""),45879.8125)</f>
        <v>45879.8125</v>
      </c>
      <c r="BH444" s="17" t="s">
        <v>105</v>
      </c>
      <c r="BI444" s="17"/>
      <c r="BJ444" s="15"/>
      <c r="BK444" s="15"/>
      <c r="BL444" s="13" t="b">
        <v>0</v>
      </c>
      <c r="BM444" s="10"/>
      <c r="BN444" s="10" t="s">
        <v>3720</v>
      </c>
      <c r="BO444" s="11">
        <v>45859.769444444442</v>
      </c>
      <c r="BP444" s="11">
        <v>45874.53869212963</v>
      </c>
      <c r="BQ444" s="15">
        <v>45877.623472222222</v>
      </c>
      <c r="BR444" s="15">
        <v>45877.646979166668</v>
      </c>
      <c r="BS444" s="10"/>
      <c r="BT444" s="10" t="s">
        <v>99</v>
      </c>
      <c r="BU444" s="10" t="s">
        <v>421</v>
      </c>
      <c r="BV444" s="10"/>
      <c r="BW444" s="10"/>
      <c r="BX444" s="10"/>
      <c r="BY444" s="23"/>
      <c r="BZ444" s="23"/>
      <c r="CA444" s="19" t="s">
        <v>3721</v>
      </c>
      <c r="CB444" s="23"/>
      <c r="CC444" s="23"/>
      <c r="CD444" s="19" t="s">
        <v>3722</v>
      </c>
      <c r="CE444" s="23"/>
      <c r="CF444" s="23"/>
      <c r="CG444" s="23"/>
      <c r="CH444" s="23"/>
      <c r="CI444" s="23"/>
    </row>
    <row r="445" spans="1:87" x14ac:dyDescent="0.3">
      <c r="A445" s="9" t="s">
        <v>3723</v>
      </c>
      <c r="B445" s="10" t="s">
        <v>3724</v>
      </c>
      <c r="C445" s="11">
        <v>45879.8125</v>
      </c>
      <c r="D445" s="12">
        <v>8.3333333333333329E-2</v>
      </c>
      <c r="E445" s="11">
        <v>45879.895833333336</v>
      </c>
      <c r="F445" s="10" t="s">
        <v>3687</v>
      </c>
      <c r="G445" s="13" t="b">
        <v>0</v>
      </c>
      <c r="H445" s="10" t="s">
        <v>3478</v>
      </c>
      <c r="I445" s="10" t="s">
        <v>89</v>
      </c>
      <c r="J445" s="13" t="b">
        <v>0</v>
      </c>
      <c r="K445" s="13" t="b">
        <v>1</v>
      </c>
      <c r="L445" s="10" t="s">
        <v>124</v>
      </c>
      <c r="M445" s="10" t="s">
        <v>91</v>
      </c>
      <c r="N445" s="10" t="s">
        <v>92</v>
      </c>
      <c r="O445" s="19" t="s">
        <v>3725</v>
      </c>
      <c r="P445" s="10"/>
      <c r="Q445" s="10" t="s">
        <v>126</v>
      </c>
      <c r="R445" s="10"/>
      <c r="S445" s="19" t="s">
        <v>3726</v>
      </c>
      <c r="T445" s="10"/>
      <c r="U445" s="10" t="s">
        <v>3727</v>
      </c>
      <c r="V445" s="10" t="s">
        <v>3728</v>
      </c>
      <c r="W445" s="10" t="s">
        <v>3692</v>
      </c>
      <c r="X445" s="10" t="s">
        <v>130</v>
      </c>
      <c r="Y445" s="10" t="s">
        <v>130</v>
      </c>
      <c r="Z445" s="10" t="s">
        <v>99</v>
      </c>
      <c r="AA445" s="10" t="s">
        <v>131</v>
      </c>
      <c r="AB445" s="10" t="s">
        <v>3693</v>
      </c>
      <c r="AC445" s="10" t="s">
        <v>3694</v>
      </c>
      <c r="AD445" s="10" t="s">
        <v>3729</v>
      </c>
      <c r="AE445" s="10" t="s">
        <v>3730</v>
      </c>
      <c r="AF445" s="15"/>
      <c r="AG445" s="10"/>
      <c r="AH445" s="10"/>
      <c r="AI445" s="10"/>
      <c r="AJ445" s="10" t="s">
        <v>3731</v>
      </c>
      <c r="AK445" s="10" t="s">
        <v>102</v>
      </c>
      <c r="AL445" s="10" t="s">
        <v>103</v>
      </c>
      <c r="AM445" s="10"/>
      <c r="AN445" s="10"/>
      <c r="AO445" s="13" t="b">
        <v>0</v>
      </c>
      <c r="AP445" s="10" t="s">
        <v>104</v>
      </c>
      <c r="AQ445" s="10">
        <f ca="1">IFERROR(__xludf.DUMMYFUNCTION("""COMPUTED_VALUE"""),4485991)</f>
        <v>4485991</v>
      </c>
      <c r="AR445" s="17">
        <v>12419</v>
      </c>
      <c r="AS445" s="17">
        <v>10088</v>
      </c>
      <c r="AT445" s="17">
        <v>48050</v>
      </c>
      <c r="AU445" s="17">
        <v>27.65</v>
      </c>
      <c r="AV445" s="17">
        <v>10</v>
      </c>
      <c r="AW445" s="10" t="s">
        <v>105</v>
      </c>
      <c r="AX445" s="17">
        <v>1833</v>
      </c>
      <c r="AY445" s="18">
        <v>4.7630848532910388</v>
      </c>
      <c r="AZ445" s="10" t="s">
        <v>196</v>
      </c>
      <c r="BA445" s="20" t="b">
        <v>0</v>
      </c>
      <c r="BB445" s="10"/>
      <c r="BC445" s="17">
        <v>12419</v>
      </c>
      <c r="BD445" s="17">
        <v>10088</v>
      </c>
      <c r="BE445" s="17">
        <v>48050</v>
      </c>
      <c r="BF445" s="17">
        <v>10</v>
      </c>
      <c r="BG445" s="11">
        <f ca="1">IFERROR(__xludf.DUMMYFUNCTION("""COMPUTED_VALUE"""),45879.8125)</f>
        <v>45879.8125</v>
      </c>
      <c r="BH445" s="17" t="s">
        <v>105</v>
      </c>
      <c r="BI445" s="17"/>
      <c r="BJ445" s="15"/>
      <c r="BK445" s="15"/>
      <c r="BL445" s="13" t="b">
        <v>0</v>
      </c>
      <c r="BM445" s="10"/>
      <c r="BN445" s="10" t="s">
        <v>3720</v>
      </c>
      <c r="BO445" s="11">
        <v>45859.770833333336</v>
      </c>
      <c r="BP445" s="11">
        <v>45873.739606481482</v>
      </c>
      <c r="BQ445" s="15">
        <v>45877.623611111114</v>
      </c>
      <c r="BR445" s="15">
        <v>45877.647141203706</v>
      </c>
      <c r="BS445" s="10"/>
      <c r="BT445" s="10" t="s">
        <v>99</v>
      </c>
      <c r="BU445" s="10" t="s">
        <v>793</v>
      </c>
      <c r="BV445" s="10"/>
      <c r="BW445" s="10"/>
      <c r="BX445" s="10"/>
      <c r="BY445" s="23"/>
      <c r="BZ445" s="23"/>
      <c r="CA445" s="19" t="s">
        <v>3732</v>
      </c>
      <c r="CB445" s="23"/>
      <c r="CC445" s="23"/>
      <c r="CD445" s="19" t="s">
        <v>3733</v>
      </c>
      <c r="CE445" s="23"/>
      <c r="CF445" s="23"/>
      <c r="CG445" s="23"/>
      <c r="CH445" s="23"/>
      <c r="CI445" s="23"/>
    </row>
    <row r="446" spans="1:87" x14ac:dyDescent="0.3">
      <c r="A446" s="9" t="s">
        <v>3734</v>
      </c>
      <c r="B446" s="10" t="s">
        <v>3735</v>
      </c>
      <c r="C446" s="11">
        <v>45884.645833333336</v>
      </c>
      <c r="D446" s="12">
        <v>8.3333333333333329E-2</v>
      </c>
      <c r="E446" s="11">
        <v>45884.729166666664</v>
      </c>
      <c r="F446" s="10" t="s">
        <v>3511</v>
      </c>
      <c r="G446" s="13" t="b">
        <v>0</v>
      </c>
      <c r="H446" s="10" t="s">
        <v>123</v>
      </c>
      <c r="I446" s="10" t="s">
        <v>3548</v>
      </c>
      <c r="J446" s="13" t="b">
        <v>0</v>
      </c>
      <c r="K446" s="13" t="b">
        <v>1</v>
      </c>
      <c r="L446" s="10" t="s">
        <v>358</v>
      </c>
      <c r="M446" s="10" t="s">
        <v>91</v>
      </c>
      <c r="N446" s="10" t="s">
        <v>3513</v>
      </c>
      <c r="O446" s="19" t="s">
        <v>3736</v>
      </c>
      <c r="P446" s="10"/>
      <c r="Q446" s="10" t="s">
        <v>126</v>
      </c>
      <c r="R446" s="10"/>
      <c r="S446" s="19" t="s">
        <v>3737</v>
      </c>
      <c r="T446" s="19" t="s">
        <v>3738</v>
      </c>
      <c r="U446" s="10" t="s">
        <v>3610</v>
      </c>
      <c r="V446" s="10" t="s">
        <v>3622</v>
      </c>
      <c r="W446" s="10" t="s">
        <v>3519</v>
      </c>
      <c r="X446" s="10" t="s">
        <v>130</v>
      </c>
      <c r="Y446" s="10" t="s">
        <v>130</v>
      </c>
      <c r="Z446" s="10" t="s">
        <v>99</v>
      </c>
      <c r="AA446" s="10" t="s">
        <v>131</v>
      </c>
      <c r="AB446" s="10" t="s">
        <v>3520</v>
      </c>
      <c r="AC446" s="10" t="s">
        <v>3521</v>
      </c>
      <c r="AD446" s="10" t="s">
        <v>3739</v>
      </c>
      <c r="AE446" s="10" t="s">
        <v>3740</v>
      </c>
      <c r="AF446" s="15"/>
      <c r="AG446" s="10" t="s">
        <v>3524</v>
      </c>
      <c r="AH446" s="10" t="s">
        <v>3539</v>
      </c>
      <c r="AI446" s="10" t="s">
        <v>3539</v>
      </c>
      <c r="AJ446" s="10" t="s">
        <v>3741</v>
      </c>
      <c r="AK446" s="10" t="s">
        <v>102</v>
      </c>
      <c r="AL446" s="10" t="s">
        <v>116</v>
      </c>
      <c r="AM446" s="10"/>
      <c r="AN446" s="10"/>
      <c r="AO446" s="13" t="b">
        <v>0</v>
      </c>
      <c r="AP446" s="10" t="s">
        <v>104</v>
      </c>
      <c r="AQ446" s="10">
        <f ca="1">IFERROR(__xludf.DUMMYFUNCTION("""COMPUTED_VALUE"""),4501377)</f>
        <v>4501377</v>
      </c>
      <c r="AR446" s="17">
        <v>260927</v>
      </c>
      <c r="AS446" s="17">
        <v>153313</v>
      </c>
      <c r="AT446" s="17">
        <v>4464771.75</v>
      </c>
      <c r="AU446" s="17">
        <v>2110.35</v>
      </c>
      <c r="AV446" s="17">
        <v>906.85</v>
      </c>
      <c r="AW446" s="10" t="s">
        <v>105</v>
      </c>
      <c r="AX446" s="17">
        <v>59985</v>
      </c>
      <c r="AY446" s="18">
        <v>29.121938452707859</v>
      </c>
      <c r="AZ446" s="10" t="s">
        <v>185</v>
      </c>
      <c r="BA446" s="20" t="b">
        <v>0</v>
      </c>
      <c r="BB446" s="10"/>
      <c r="BC446" s="17">
        <v>260927</v>
      </c>
      <c r="BD446" s="17">
        <v>153313</v>
      </c>
      <c r="BE446" s="17">
        <v>4464771.75</v>
      </c>
      <c r="BF446" s="17">
        <v>906.85</v>
      </c>
      <c r="BG446" s="11">
        <f ca="1">IFERROR(__xludf.DUMMYFUNCTION("""COMPUTED_VALUE"""),45884.6458333333)</f>
        <v>45884.645833333299</v>
      </c>
      <c r="BH446" s="17" t="s">
        <v>105</v>
      </c>
      <c r="BI446" s="17"/>
      <c r="BJ446" s="15"/>
      <c r="BK446" s="15"/>
      <c r="BL446" s="13" t="b">
        <v>0</v>
      </c>
      <c r="BM446" s="10"/>
      <c r="BN446" s="10" t="s">
        <v>118</v>
      </c>
      <c r="BO446" s="11">
        <v>45860.370833333334</v>
      </c>
      <c r="BP446" s="11">
        <v>45880.718032407407</v>
      </c>
      <c r="BQ446" s="15">
        <v>45883.46502314815</v>
      </c>
      <c r="BR446" s="15">
        <v>45884.550879629627</v>
      </c>
      <c r="BS446" s="10" t="s">
        <v>118</v>
      </c>
      <c r="BT446" s="10" t="s">
        <v>99</v>
      </c>
      <c r="BU446" s="10" t="s">
        <v>298</v>
      </c>
      <c r="BV446" s="10" t="s">
        <v>124</v>
      </c>
      <c r="BW446" s="10" t="s">
        <v>3541</v>
      </c>
      <c r="BX446" s="10"/>
      <c r="BY446" s="23"/>
      <c r="BZ446" s="24" t="s">
        <v>284</v>
      </c>
      <c r="CA446" s="19" t="s">
        <v>3742</v>
      </c>
      <c r="CB446" s="19" t="s">
        <v>3743</v>
      </c>
      <c r="CC446" s="23"/>
      <c r="CD446" s="19" t="s">
        <v>3744</v>
      </c>
      <c r="CE446" s="23"/>
      <c r="CF446" s="23"/>
      <c r="CG446" s="23"/>
      <c r="CH446" s="23"/>
      <c r="CI446" s="23"/>
    </row>
    <row r="447" spans="1:87" x14ac:dyDescent="0.3">
      <c r="A447" s="9" t="s">
        <v>3745</v>
      </c>
      <c r="B447" s="10" t="s">
        <v>3746</v>
      </c>
      <c r="C447" s="11">
        <v>45884.791666666664</v>
      </c>
      <c r="D447" s="12">
        <v>8.3333333333333329E-2</v>
      </c>
      <c r="E447" s="11">
        <v>45884.875</v>
      </c>
      <c r="F447" s="10" t="s">
        <v>3511</v>
      </c>
      <c r="G447" s="13" t="b">
        <v>0</v>
      </c>
      <c r="H447" s="10" t="s">
        <v>3512</v>
      </c>
      <c r="I447" s="10" t="s">
        <v>3548</v>
      </c>
      <c r="J447" s="13" t="b">
        <v>0</v>
      </c>
      <c r="K447" s="13" t="b">
        <v>1</v>
      </c>
      <c r="L447" s="10" t="s">
        <v>358</v>
      </c>
      <c r="M447" s="10" t="s">
        <v>91</v>
      </c>
      <c r="N447" s="10" t="s">
        <v>3513</v>
      </c>
      <c r="O447" s="19" t="s">
        <v>3747</v>
      </c>
      <c r="P447" s="10"/>
      <c r="Q447" s="10" t="s">
        <v>126</v>
      </c>
      <c r="R447" s="10"/>
      <c r="S447" s="19" t="s">
        <v>3748</v>
      </c>
      <c r="T447" s="19" t="s">
        <v>3738</v>
      </c>
      <c r="U447" s="10" t="s">
        <v>3623</v>
      </c>
      <c r="V447" s="10" t="s">
        <v>3661</v>
      </c>
      <c r="W447" s="10" t="s">
        <v>3519</v>
      </c>
      <c r="X447" s="10" t="s">
        <v>130</v>
      </c>
      <c r="Y447" s="10" t="s">
        <v>130</v>
      </c>
      <c r="Z447" s="10" t="s">
        <v>99</v>
      </c>
      <c r="AA447" s="10" t="s">
        <v>131</v>
      </c>
      <c r="AB447" s="10" t="s">
        <v>3520</v>
      </c>
      <c r="AC447" s="10" t="s">
        <v>3521</v>
      </c>
      <c r="AD447" s="10" t="s">
        <v>3749</v>
      </c>
      <c r="AE447" s="10" t="s">
        <v>3750</v>
      </c>
      <c r="AF447" s="15"/>
      <c r="AG447" s="10" t="s">
        <v>3524</v>
      </c>
      <c r="AH447" s="10" t="s">
        <v>3539</v>
      </c>
      <c r="AI447" s="10" t="s">
        <v>3539</v>
      </c>
      <c r="AJ447" s="10" t="s">
        <v>3751</v>
      </c>
      <c r="AK447" s="10" t="s">
        <v>102</v>
      </c>
      <c r="AL447" s="10" t="s">
        <v>116</v>
      </c>
      <c r="AM447" s="10"/>
      <c r="AN447" s="10"/>
      <c r="AO447" s="13" t="b">
        <v>0</v>
      </c>
      <c r="AP447" s="10" t="s">
        <v>104</v>
      </c>
      <c r="AQ447" s="10">
        <f ca="1">IFERROR(__xludf.DUMMYFUNCTION("""COMPUTED_VALUE"""),4499133)</f>
        <v>4499133</v>
      </c>
      <c r="AR447" s="17">
        <v>348242</v>
      </c>
      <c r="AS447" s="17">
        <v>181831</v>
      </c>
      <c r="AT447" s="17">
        <v>6084479.5</v>
      </c>
      <c r="AU447" s="17">
        <v>5417</v>
      </c>
      <c r="AV447" s="17">
        <v>2880.85</v>
      </c>
      <c r="AW447" s="10" t="s">
        <v>297</v>
      </c>
      <c r="AX447" s="17">
        <v>86633</v>
      </c>
      <c r="AY447" s="18">
        <v>33.462278159389761</v>
      </c>
      <c r="AZ447" s="10" t="s">
        <v>185</v>
      </c>
      <c r="BA447" s="20" t="b">
        <v>0</v>
      </c>
      <c r="BB447" s="10"/>
      <c r="BC447" s="17">
        <v>348242</v>
      </c>
      <c r="BD447" s="17">
        <v>181831</v>
      </c>
      <c r="BE447" s="17">
        <v>6084479.5</v>
      </c>
      <c r="BF447" s="17">
        <v>2880.85</v>
      </c>
      <c r="BG447" s="11">
        <f ca="1">IFERROR(__xludf.DUMMYFUNCTION("""COMPUTED_VALUE"""),45884.7916666666)</f>
        <v>45884.791666666599</v>
      </c>
      <c r="BH447" s="17" t="s">
        <v>297</v>
      </c>
      <c r="BI447" s="17"/>
      <c r="BJ447" s="15"/>
      <c r="BK447" s="15"/>
      <c r="BL447" s="13" t="b">
        <v>1</v>
      </c>
      <c r="BM447" s="10"/>
      <c r="BN447" s="10" t="s">
        <v>1160</v>
      </c>
      <c r="BO447" s="11">
        <v>45860.370833333334</v>
      </c>
      <c r="BP447" s="11">
        <v>45880.719884259262</v>
      </c>
      <c r="BQ447" s="15">
        <v>45883.468692129631</v>
      </c>
      <c r="BR447" s="15">
        <v>45883.485335648147</v>
      </c>
      <c r="BS447" s="10" t="s">
        <v>1160</v>
      </c>
      <c r="BT447" s="10" t="s">
        <v>99</v>
      </c>
      <c r="BU447" s="10" t="s">
        <v>3752</v>
      </c>
      <c r="BV447" s="10" t="s">
        <v>124</v>
      </c>
      <c r="BW447" s="10" t="s">
        <v>3541</v>
      </c>
      <c r="BX447" s="10"/>
      <c r="BY447" s="23"/>
      <c r="BZ447" s="24" t="s">
        <v>284</v>
      </c>
      <c r="CA447" s="19" t="s">
        <v>3753</v>
      </c>
      <c r="CB447" s="19" t="s">
        <v>3754</v>
      </c>
      <c r="CC447" s="23"/>
      <c r="CD447" s="19" t="s">
        <v>3755</v>
      </c>
      <c r="CE447" s="23"/>
      <c r="CF447" s="23"/>
      <c r="CG447" s="23"/>
      <c r="CH447" s="23"/>
      <c r="CI447" s="23"/>
    </row>
    <row r="448" spans="1:87" x14ac:dyDescent="0.3">
      <c r="A448" s="9" t="s">
        <v>3756</v>
      </c>
      <c r="B448" s="10" t="s">
        <v>3757</v>
      </c>
      <c r="C448" s="11">
        <v>45885.645833333336</v>
      </c>
      <c r="D448" s="12">
        <v>8.3333333333333329E-2</v>
      </c>
      <c r="E448" s="11">
        <v>45885.729166666664</v>
      </c>
      <c r="F448" s="10" t="s">
        <v>3511</v>
      </c>
      <c r="G448" s="13" t="b">
        <v>0</v>
      </c>
      <c r="H448" s="10" t="s">
        <v>3512</v>
      </c>
      <c r="I448" s="10" t="s">
        <v>212</v>
      </c>
      <c r="J448" s="13" t="b">
        <v>1</v>
      </c>
      <c r="K448" s="13" t="b">
        <v>1</v>
      </c>
      <c r="L448" s="10" t="s">
        <v>124</v>
      </c>
      <c r="M448" s="10" t="s">
        <v>91</v>
      </c>
      <c r="N448" s="10" t="s">
        <v>3513</v>
      </c>
      <c r="O448" s="19" t="s">
        <v>3758</v>
      </c>
      <c r="P448" s="10"/>
      <c r="Q448" s="10" t="s">
        <v>126</v>
      </c>
      <c r="R448" s="10"/>
      <c r="S448" s="19" t="s">
        <v>3759</v>
      </c>
      <c r="T448" s="19" t="s">
        <v>3738</v>
      </c>
      <c r="U448" s="10" t="s">
        <v>3662</v>
      </c>
      <c r="V448" s="10" t="s">
        <v>3635</v>
      </c>
      <c r="W448" s="10" t="s">
        <v>3519</v>
      </c>
      <c r="X448" s="10" t="s">
        <v>130</v>
      </c>
      <c r="Y448" s="10" t="s">
        <v>130</v>
      </c>
      <c r="Z448" s="10" t="s">
        <v>99</v>
      </c>
      <c r="AA448" s="10" t="s">
        <v>131</v>
      </c>
      <c r="AB448" s="10" t="s">
        <v>3520</v>
      </c>
      <c r="AC448" s="10" t="s">
        <v>3521</v>
      </c>
      <c r="AD448" s="10" t="s">
        <v>3760</v>
      </c>
      <c r="AE448" s="10" t="s">
        <v>3761</v>
      </c>
      <c r="AF448" s="15"/>
      <c r="AG448" s="10" t="s">
        <v>3524</v>
      </c>
      <c r="AH448" s="10" t="s">
        <v>3539</v>
      </c>
      <c r="AI448" s="10" t="s">
        <v>3539</v>
      </c>
      <c r="AJ448" s="10" t="s">
        <v>3762</v>
      </c>
      <c r="AK448" s="10" t="s">
        <v>102</v>
      </c>
      <c r="AL448" s="10" t="s">
        <v>116</v>
      </c>
      <c r="AM448" s="10"/>
      <c r="AN448" s="10"/>
      <c r="AO448" s="13" t="b">
        <v>0</v>
      </c>
      <c r="AP448" s="10" t="s">
        <v>104</v>
      </c>
      <c r="AQ448" s="10">
        <f ca="1">IFERROR(__xludf.DUMMYFUNCTION("""COMPUTED_VALUE"""),4501538)</f>
        <v>4501538</v>
      </c>
      <c r="AR448" s="17">
        <v>95546</v>
      </c>
      <c r="AS448" s="17">
        <v>49472</v>
      </c>
      <c r="AT448" s="17">
        <v>1044960.75</v>
      </c>
      <c r="AU448" s="17">
        <v>252.05</v>
      </c>
      <c r="AV448" s="17">
        <v>173.15</v>
      </c>
      <c r="AW448" s="10" t="s">
        <v>105</v>
      </c>
      <c r="AX448" s="17">
        <v>14615</v>
      </c>
      <c r="AY448" s="18">
        <v>21.122266130336353</v>
      </c>
      <c r="AZ448" s="10" t="s">
        <v>185</v>
      </c>
      <c r="BA448" s="20" t="b">
        <v>0</v>
      </c>
      <c r="BB448" s="10"/>
      <c r="BC448" s="17">
        <v>95546</v>
      </c>
      <c r="BD448" s="17">
        <v>49472</v>
      </c>
      <c r="BE448" s="17">
        <v>1044960.75</v>
      </c>
      <c r="BF448" s="17">
        <v>173.15</v>
      </c>
      <c r="BG448" s="11">
        <f ca="1">IFERROR(__xludf.DUMMYFUNCTION("""COMPUTED_VALUE"""),45885.6458333333)</f>
        <v>45885.645833333299</v>
      </c>
      <c r="BH448" s="17" t="s">
        <v>105</v>
      </c>
      <c r="BI448" s="17"/>
      <c r="BJ448" s="15"/>
      <c r="BK448" s="15"/>
      <c r="BL448" s="13" t="b">
        <v>1</v>
      </c>
      <c r="BM448" s="10"/>
      <c r="BN448" s="10" t="s">
        <v>118</v>
      </c>
      <c r="BO448" s="11">
        <v>45860.370833333334</v>
      </c>
      <c r="BP448" s="11">
        <v>45883.582951388889</v>
      </c>
      <c r="BQ448" s="15">
        <v>45884.61855324074</v>
      </c>
      <c r="BR448" s="15">
        <v>45884.645590277774</v>
      </c>
      <c r="BS448" s="10" t="s">
        <v>118</v>
      </c>
      <c r="BT448" s="10" t="s">
        <v>279</v>
      </c>
      <c r="BU448" s="10" t="s">
        <v>816</v>
      </c>
      <c r="BV448" s="10"/>
      <c r="BW448" s="10"/>
      <c r="BX448" s="10"/>
      <c r="BY448" s="23"/>
      <c r="BZ448" s="24" t="s">
        <v>299</v>
      </c>
      <c r="CA448" s="19" t="s">
        <v>3763</v>
      </c>
      <c r="CB448" s="19" t="s">
        <v>3764</v>
      </c>
      <c r="CC448" s="23"/>
      <c r="CD448" s="19" t="s">
        <v>3765</v>
      </c>
      <c r="CE448" s="23"/>
      <c r="CF448" s="23"/>
      <c r="CG448" s="23"/>
      <c r="CH448" s="23"/>
      <c r="CI448" s="23"/>
    </row>
    <row r="449" spans="1:87" x14ac:dyDescent="0.3">
      <c r="A449" s="9" t="s">
        <v>3766</v>
      </c>
      <c r="B449" s="10" t="s">
        <v>3767</v>
      </c>
      <c r="C449" s="11">
        <v>45885.645833333336</v>
      </c>
      <c r="D449" s="12">
        <v>8.3333333333333329E-2</v>
      </c>
      <c r="E449" s="11">
        <v>45885.729166666664</v>
      </c>
      <c r="F449" s="10" t="s">
        <v>3511</v>
      </c>
      <c r="G449" s="13" t="b">
        <v>0</v>
      </c>
      <c r="H449" s="10" t="s">
        <v>3512</v>
      </c>
      <c r="I449" s="10" t="s">
        <v>3548</v>
      </c>
      <c r="J449" s="13" t="b">
        <v>0</v>
      </c>
      <c r="K449" s="13" t="b">
        <v>1</v>
      </c>
      <c r="L449" s="10" t="s">
        <v>358</v>
      </c>
      <c r="M449" s="10" t="s">
        <v>91</v>
      </c>
      <c r="N449" s="10" t="s">
        <v>3513</v>
      </c>
      <c r="O449" s="19" t="s">
        <v>3768</v>
      </c>
      <c r="P449" s="10"/>
      <c r="Q449" s="10" t="s">
        <v>126</v>
      </c>
      <c r="R449" s="10"/>
      <c r="S449" s="19" t="s">
        <v>3769</v>
      </c>
      <c r="T449" s="19" t="s">
        <v>3738</v>
      </c>
      <c r="U449" s="10" t="s">
        <v>3552</v>
      </c>
      <c r="V449" s="10" t="s">
        <v>3676</v>
      </c>
      <c r="W449" s="10" t="s">
        <v>3519</v>
      </c>
      <c r="X449" s="10" t="s">
        <v>130</v>
      </c>
      <c r="Y449" s="10" t="s">
        <v>130</v>
      </c>
      <c r="Z449" s="10" t="s">
        <v>99</v>
      </c>
      <c r="AA449" s="10" t="s">
        <v>131</v>
      </c>
      <c r="AB449" s="10" t="s">
        <v>3520</v>
      </c>
      <c r="AC449" s="10" t="s">
        <v>3521</v>
      </c>
      <c r="AD449" s="10" t="s">
        <v>3770</v>
      </c>
      <c r="AE449" s="10" t="s">
        <v>3771</v>
      </c>
      <c r="AF449" s="15"/>
      <c r="AG449" s="10" t="s">
        <v>3524</v>
      </c>
      <c r="AH449" s="10" t="s">
        <v>3539</v>
      </c>
      <c r="AI449" s="10" t="s">
        <v>3539</v>
      </c>
      <c r="AJ449" s="10" t="s">
        <v>3772</v>
      </c>
      <c r="AK449" s="10" t="s">
        <v>102</v>
      </c>
      <c r="AL449" s="10" t="s">
        <v>116</v>
      </c>
      <c r="AM449" s="10"/>
      <c r="AN449" s="10"/>
      <c r="AO449" s="13" t="b">
        <v>0</v>
      </c>
      <c r="AP449" s="10" t="s">
        <v>104</v>
      </c>
      <c r="AQ449" s="10">
        <f ca="1">IFERROR(__xludf.DUMMYFUNCTION("""COMPUTED_VALUE"""),4501329)</f>
        <v>4501329</v>
      </c>
      <c r="AR449" s="17">
        <v>194177</v>
      </c>
      <c r="AS449" s="17">
        <v>106202</v>
      </c>
      <c r="AT449" s="17">
        <v>2553092</v>
      </c>
      <c r="AU449" s="17">
        <v>3044.35</v>
      </c>
      <c r="AV449" s="17">
        <v>1966.4</v>
      </c>
      <c r="AW449" s="10" t="s">
        <v>297</v>
      </c>
      <c r="AX449" s="17">
        <v>40728</v>
      </c>
      <c r="AY449" s="18">
        <v>24.039961582644395</v>
      </c>
      <c r="AZ449" s="10" t="s">
        <v>185</v>
      </c>
      <c r="BA449" s="20" t="b">
        <v>0</v>
      </c>
      <c r="BB449" s="10"/>
      <c r="BC449" s="17">
        <v>194177</v>
      </c>
      <c r="BD449" s="17">
        <v>106202</v>
      </c>
      <c r="BE449" s="17">
        <v>2553092</v>
      </c>
      <c r="BF449" s="17">
        <v>1966.4</v>
      </c>
      <c r="BG449" s="11">
        <f ca="1">IFERROR(__xludf.DUMMYFUNCTION("""COMPUTED_VALUE"""),45885.6458333333)</f>
        <v>45885.645833333299</v>
      </c>
      <c r="BH449" s="17" t="s">
        <v>297</v>
      </c>
      <c r="BI449" s="17"/>
      <c r="BJ449" s="15"/>
      <c r="BK449" s="15"/>
      <c r="BL449" s="13" t="b">
        <v>1</v>
      </c>
      <c r="BM449" s="10"/>
      <c r="BN449" s="10" t="s">
        <v>118</v>
      </c>
      <c r="BO449" s="11">
        <v>45860.370833333334</v>
      </c>
      <c r="BP449" s="11">
        <v>45883.583344907405</v>
      </c>
      <c r="BQ449" s="15">
        <v>45883.931122685186</v>
      </c>
      <c r="BR449" s="15">
        <v>45884.403240740743</v>
      </c>
      <c r="BS449" s="10" t="s">
        <v>118</v>
      </c>
      <c r="BT449" s="10" t="s">
        <v>279</v>
      </c>
      <c r="BU449" s="10" t="s">
        <v>521</v>
      </c>
      <c r="BV449" s="10"/>
      <c r="BW449" s="10"/>
      <c r="BX449" s="10"/>
      <c r="BY449" s="23"/>
      <c r="BZ449" s="24" t="s">
        <v>284</v>
      </c>
      <c r="CA449" s="19" t="s">
        <v>3773</v>
      </c>
      <c r="CB449" s="19" t="s">
        <v>3774</v>
      </c>
      <c r="CC449" s="23"/>
      <c r="CD449" s="19" t="s">
        <v>3775</v>
      </c>
      <c r="CE449" s="23"/>
      <c r="CF449" s="23"/>
      <c r="CG449" s="23"/>
      <c r="CH449" s="23"/>
      <c r="CI449" s="23"/>
    </row>
    <row r="450" spans="1:87" x14ac:dyDescent="0.3">
      <c r="A450" s="9" t="s">
        <v>3776</v>
      </c>
      <c r="B450" s="10" t="s">
        <v>3777</v>
      </c>
      <c r="C450" s="11">
        <v>45885.791666666664</v>
      </c>
      <c r="D450" s="12">
        <v>8.3333333333333329E-2</v>
      </c>
      <c r="E450" s="11">
        <v>45885.875</v>
      </c>
      <c r="F450" s="10" t="s">
        <v>3511</v>
      </c>
      <c r="G450" s="13" t="b">
        <v>0</v>
      </c>
      <c r="H450" s="10" t="s">
        <v>123</v>
      </c>
      <c r="I450" s="10" t="s">
        <v>3548</v>
      </c>
      <c r="J450" s="13" t="b">
        <v>0</v>
      </c>
      <c r="K450" s="13" t="b">
        <v>1</v>
      </c>
      <c r="L450" s="10" t="s">
        <v>358</v>
      </c>
      <c r="M450" s="10" t="s">
        <v>91</v>
      </c>
      <c r="N450" s="10" t="s">
        <v>3513</v>
      </c>
      <c r="O450" s="19" t="s">
        <v>3778</v>
      </c>
      <c r="P450" s="10"/>
      <c r="Q450" s="10" t="s">
        <v>126</v>
      </c>
      <c r="R450" s="10"/>
      <c r="S450" s="19" t="s">
        <v>3779</v>
      </c>
      <c r="T450" s="19" t="s">
        <v>3738</v>
      </c>
      <c r="U450" s="10" t="s">
        <v>3636</v>
      </c>
      <c r="V450" s="10" t="s">
        <v>3647</v>
      </c>
      <c r="W450" s="10" t="s">
        <v>3519</v>
      </c>
      <c r="X450" s="10" t="s">
        <v>130</v>
      </c>
      <c r="Y450" s="10" t="s">
        <v>130</v>
      </c>
      <c r="Z450" s="10" t="s">
        <v>99</v>
      </c>
      <c r="AA450" s="10" t="s">
        <v>131</v>
      </c>
      <c r="AB450" s="10" t="s">
        <v>3520</v>
      </c>
      <c r="AC450" s="10" t="s">
        <v>3521</v>
      </c>
      <c r="AD450" s="10" t="s">
        <v>3780</v>
      </c>
      <c r="AE450" s="10" t="s">
        <v>3781</v>
      </c>
      <c r="AF450" s="15"/>
      <c r="AG450" s="10" t="s">
        <v>3524</v>
      </c>
      <c r="AH450" s="10" t="s">
        <v>3539</v>
      </c>
      <c r="AI450" s="10" t="s">
        <v>3539</v>
      </c>
      <c r="AJ450" s="10" t="s">
        <v>3782</v>
      </c>
      <c r="AK450" s="10" t="s">
        <v>102</v>
      </c>
      <c r="AL450" s="10" t="s">
        <v>116</v>
      </c>
      <c r="AM450" s="10"/>
      <c r="AN450" s="10"/>
      <c r="AO450" s="13" t="b">
        <v>1</v>
      </c>
      <c r="AP450" s="10" t="s">
        <v>104</v>
      </c>
      <c r="AQ450" s="10">
        <f ca="1">IFERROR(__xludf.DUMMYFUNCTION("""COMPUTED_VALUE"""),4501933)</f>
        <v>4501933</v>
      </c>
      <c r="AR450" s="17">
        <v>496842</v>
      </c>
      <c r="AS450" s="17">
        <v>263663</v>
      </c>
      <c r="AT450" s="17">
        <v>9560361.25</v>
      </c>
      <c r="AU450" s="17">
        <v>6574.75</v>
      </c>
      <c r="AV450" s="17">
        <v>3348.8</v>
      </c>
      <c r="AW450" s="10" t="s">
        <v>297</v>
      </c>
      <c r="AX450" s="17">
        <v>105641</v>
      </c>
      <c r="AY450" s="18">
        <v>36.259775736451452</v>
      </c>
      <c r="AZ450" s="10" t="s">
        <v>3783</v>
      </c>
      <c r="BA450" s="20" t="b">
        <v>0</v>
      </c>
      <c r="BB450" s="10"/>
      <c r="BC450" s="17">
        <v>496842</v>
      </c>
      <c r="BD450" s="17">
        <v>263663</v>
      </c>
      <c r="BE450" s="17">
        <v>9560361.25</v>
      </c>
      <c r="BF450" s="17">
        <v>3348.8</v>
      </c>
      <c r="BG450" s="11">
        <f ca="1">IFERROR(__xludf.DUMMYFUNCTION("""COMPUTED_VALUE"""),45885.7916666666)</f>
        <v>45885.791666666599</v>
      </c>
      <c r="BH450" s="17" t="s">
        <v>297</v>
      </c>
      <c r="BI450" s="17"/>
      <c r="BJ450" s="15"/>
      <c r="BK450" s="15"/>
      <c r="BL450" s="13" t="b">
        <v>0</v>
      </c>
      <c r="BM450" s="10"/>
      <c r="BN450" s="10" t="s">
        <v>118</v>
      </c>
      <c r="BO450" s="11">
        <v>45860.370833333334</v>
      </c>
      <c r="BP450" s="11">
        <v>45881.659351851849</v>
      </c>
      <c r="BQ450" s="15">
        <v>45884.700474537036</v>
      </c>
      <c r="BR450" s="15">
        <v>45884.870856481481</v>
      </c>
      <c r="BS450" s="10" t="s">
        <v>118</v>
      </c>
      <c r="BT450" s="10" t="s">
        <v>99</v>
      </c>
      <c r="BU450" s="10" t="s">
        <v>498</v>
      </c>
      <c r="BV450" s="10" t="s">
        <v>281</v>
      </c>
      <c r="BW450" s="10" t="s">
        <v>3614</v>
      </c>
      <c r="BX450" s="10"/>
      <c r="BY450" s="23"/>
      <c r="BZ450" s="24" t="s">
        <v>284</v>
      </c>
      <c r="CA450" s="19" t="s">
        <v>3784</v>
      </c>
      <c r="CB450" s="19" t="s">
        <v>3785</v>
      </c>
      <c r="CC450" s="23"/>
      <c r="CD450" s="19" t="s">
        <v>3786</v>
      </c>
      <c r="CE450" s="23"/>
      <c r="CF450" s="23"/>
      <c r="CG450" s="23"/>
      <c r="CH450" s="23"/>
      <c r="CI450" s="23"/>
    </row>
    <row r="451" spans="1:87" x14ac:dyDescent="0.3">
      <c r="A451" s="9" t="s">
        <v>3787</v>
      </c>
      <c r="B451" s="10" t="s">
        <v>3788</v>
      </c>
      <c r="C451" s="11">
        <v>45885.645833333336</v>
      </c>
      <c r="D451" s="12">
        <v>8.3333333333333329E-2</v>
      </c>
      <c r="E451" s="11">
        <v>45885.729166666664</v>
      </c>
      <c r="F451" s="10" t="s">
        <v>3511</v>
      </c>
      <c r="G451" s="13" t="b">
        <v>0</v>
      </c>
      <c r="H451" s="10" t="s">
        <v>3512</v>
      </c>
      <c r="I451" s="10" t="s">
        <v>212</v>
      </c>
      <c r="J451" s="13" t="b">
        <v>1</v>
      </c>
      <c r="K451" s="13" t="b">
        <v>1</v>
      </c>
      <c r="L451" s="10" t="s">
        <v>124</v>
      </c>
      <c r="M451" s="10" t="s">
        <v>91</v>
      </c>
      <c r="N451" s="10" t="s">
        <v>3513</v>
      </c>
      <c r="O451" s="19" t="s">
        <v>3789</v>
      </c>
      <c r="P451" s="10"/>
      <c r="Q451" s="10" t="s">
        <v>126</v>
      </c>
      <c r="R451" s="10"/>
      <c r="S451" s="19" t="s">
        <v>3790</v>
      </c>
      <c r="T451" s="19" t="s">
        <v>3738</v>
      </c>
      <c r="U451" s="10" t="s">
        <v>3518</v>
      </c>
      <c r="V451" s="10" t="s">
        <v>3535</v>
      </c>
      <c r="W451" s="10" t="s">
        <v>3519</v>
      </c>
      <c r="X451" s="10" t="s">
        <v>130</v>
      </c>
      <c r="Y451" s="10" t="s">
        <v>130</v>
      </c>
      <c r="Z451" s="10" t="s">
        <v>99</v>
      </c>
      <c r="AA451" s="10" t="s">
        <v>131</v>
      </c>
      <c r="AB451" s="10" t="s">
        <v>3520</v>
      </c>
      <c r="AC451" s="10" t="s">
        <v>3521</v>
      </c>
      <c r="AD451" s="10" t="s">
        <v>3791</v>
      </c>
      <c r="AE451" s="10" t="s">
        <v>3792</v>
      </c>
      <c r="AF451" s="15"/>
      <c r="AG451" s="10" t="s">
        <v>3524</v>
      </c>
      <c r="AH451" s="10" t="s">
        <v>3539</v>
      </c>
      <c r="AI451" s="10" t="s">
        <v>3539</v>
      </c>
      <c r="AJ451" s="10" t="s">
        <v>3793</v>
      </c>
      <c r="AK451" s="10" t="s">
        <v>102</v>
      </c>
      <c r="AL451" s="10" t="s">
        <v>116</v>
      </c>
      <c r="AM451" s="10"/>
      <c r="AN451" s="10"/>
      <c r="AO451" s="13" t="b">
        <v>0</v>
      </c>
      <c r="AP451" s="10" t="s">
        <v>104</v>
      </c>
      <c r="AQ451" s="10">
        <f ca="1">IFERROR(__xludf.DUMMYFUNCTION("""COMPUTED_VALUE"""),4501347)</f>
        <v>4501347</v>
      </c>
      <c r="AR451" s="17">
        <v>173473</v>
      </c>
      <c r="AS451" s="17">
        <v>92707</v>
      </c>
      <c r="AT451" s="17">
        <v>2294219.25</v>
      </c>
      <c r="AU451" s="17">
        <v>982.2</v>
      </c>
      <c r="AV451" s="17">
        <v>573.75</v>
      </c>
      <c r="AW451" s="10" t="s">
        <v>105</v>
      </c>
      <c r="AX451" s="17">
        <v>32159</v>
      </c>
      <c r="AY451" s="18">
        <v>24.746990518515322</v>
      </c>
      <c r="AZ451" s="10" t="s">
        <v>185</v>
      </c>
      <c r="BA451" s="20" t="b">
        <v>0</v>
      </c>
      <c r="BB451" s="10"/>
      <c r="BC451" s="17">
        <v>173473</v>
      </c>
      <c r="BD451" s="17">
        <v>92707</v>
      </c>
      <c r="BE451" s="17">
        <v>2294219.25</v>
      </c>
      <c r="BF451" s="17">
        <v>573.75</v>
      </c>
      <c r="BG451" s="11">
        <f ca="1">IFERROR(__xludf.DUMMYFUNCTION("""COMPUTED_VALUE"""),45885.6458333333)</f>
        <v>45885.645833333299</v>
      </c>
      <c r="BH451" s="17" t="s">
        <v>105</v>
      </c>
      <c r="BI451" s="17"/>
      <c r="BJ451" s="15"/>
      <c r="BK451" s="15"/>
      <c r="BL451" s="13" t="b">
        <v>1</v>
      </c>
      <c r="BM451" s="10"/>
      <c r="BN451" s="10" t="s">
        <v>118</v>
      </c>
      <c r="BO451" s="11">
        <v>45860.370833333334</v>
      </c>
      <c r="BP451" s="11">
        <v>45883.58258101852</v>
      </c>
      <c r="BQ451" s="15">
        <v>45883.948171296295</v>
      </c>
      <c r="BR451" s="15">
        <v>45884.426412037035</v>
      </c>
      <c r="BS451" s="10" t="s">
        <v>118</v>
      </c>
      <c r="BT451" s="10" t="s">
        <v>279</v>
      </c>
      <c r="BU451" s="10" t="s">
        <v>655</v>
      </c>
      <c r="BV451" s="10"/>
      <c r="BW451" s="10"/>
      <c r="BX451" s="10"/>
      <c r="BY451" s="23"/>
      <c r="BZ451" s="24" t="s">
        <v>299</v>
      </c>
      <c r="CA451" s="19" t="s">
        <v>3794</v>
      </c>
      <c r="CB451" s="19" t="s">
        <v>3795</v>
      </c>
      <c r="CC451" s="23"/>
      <c r="CD451" s="19" t="s">
        <v>3796</v>
      </c>
      <c r="CE451" s="23"/>
      <c r="CF451" s="23"/>
      <c r="CG451" s="23"/>
      <c r="CH451" s="23"/>
      <c r="CI451" s="23"/>
    </row>
    <row r="452" spans="1:87" x14ac:dyDescent="0.3">
      <c r="A452" s="9" t="s">
        <v>3797</v>
      </c>
      <c r="B452" s="10" t="s">
        <v>3798</v>
      </c>
      <c r="C452" s="11">
        <v>45885.645833333336</v>
      </c>
      <c r="D452" s="12">
        <v>8.3333333333333329E-2</v>
      </c>
      <c r="E452" s="11">
        <v>45885.729166666664</v>
      </c>
      <c r="F452" s="10" t="s">
        <v>3511</v>
      </c>
      <c r="G452" s="13" t="b">
        <v>0</v>
      </c>
      <c r="H452" s="10" t="s">
        <v>123</v>
      </c>
      <c r="I452" s="10" t="s">
        <v>3548</v>
      </c>
      <c r="J452" s="13" t="b">
        <v>0</v>
      </c>
      <c r="K452" s="13" t="b">
        <v>1</v>
      </c>
      <c r="L452" s="10" t="s">
        <v>124</v>
      </c>
      <c r="M452" s="10" t="s">
        <v>91</v>
      </c>
      <c r="N452" s="10" t="s">
        <v>3513</v>
      </c>
      <c r="O452" s="19" t="s">
        <v>3799</v>
      </c>
      <c r="P452" s="10"/>
      <c r="Q452" s="10" t="s">
        <v>126</v>
      </c>
      <c r="R452" s="10"/>
      <c r="S452" s="19" t="s">
        <v>3800</v>
      </c>
      <c r="T452" s="19" t="s">
        <v>3801</v>
      </c>
      <c r="U452" s="10" t="s">
        <v>3648</v>
      </c>
      <c r="V452" s="10" t="s">
        <v>3551</v>
      </c>
      <c r="W452" s="10" t="s">
        <v>3519</v>
      </c>
      <c r="X452" s="10" t="s">
        <v>130</v>
      </c>
      <c r="Y452" s="10" t="s">
        <v>130</v>
      </c>
      <c r="Z452" s="10" t="s">
        <v>99</v>
      </c>
      <c r="AA452" s="10" t="s">
        <v>131</v>
      </c>
      <c r="AB452" s="10" t="s">
        <v>3520</v>
      </c>
      <c r="AC452" s="10" t="s">
        <v>3521</v>
      </c>
      <c r="AD452" s="10" t="s">
        <v>3802</v>
      </c>
      <c r="AE452" s="10" t="s">
        <v>3803</v>
      </c>
      <c r="AF452" s="15"/>
      <c r="AG452" s="10" t="s">
        <v>3524</v>
      </c>
      <c r="AH452" s="10" t="s">
        <v>3539</v>
      </c>
      <c r="AI452" s="10" t="s">
        <v>3539</v>
      </c>
      <c r="AJ452" s="10" t="s">
        <v>3804</v>
      </c>
      <c r="AK452" s="10" t="s">
        <v>102</v>
      </c>
      <c r="AL452" s="10" t="s">
        <v>116</v>
      </c>
      <c r="AM452" s="10"/>
      <c r="AN452" s="10"/>
      <c r="AO452" s="13" t="b">
        <v>1</v>
      </c>
      <c r="AP452" s="10" t="s">
        <v>104</v>
      </c>
      <c r="AQ452" s="10">
        <f ca="1">IFERROR(__xludf.DUMMYFUNCTION("""COMPUTED_VALUE"""),4499141)</f>
        <v>4499141</v>
      </c>
      <c r="AR452" s="17">
        <v>293906</v>
      </c>
      <c r="AS452" s="17">
        <v>163690</v>
      </c>
      <c r="AT452" s="17">
        <v>3907715</v>
      </c>
      <c r="AU452" s="17">
        <v>2297.75</v>
      </c>
      <c r="AV452" s="17">
        <v>971.15</v>
      </c>
      <c r="AW452" s="10" t="s">
        <v>105</v>
      </c>
      <c r="AX452" s="17">
        <v>49548</v>
      </c>
      <c r="AY452" s="18">
        <v>23.872655629543651</v>
      </c>
      <c r="AZ452" s="10" t="s">
        <v>185</v>
      </c>
      <c r="BA452" s="20" t="b">
        <v>0</v>
      </c>
      <c r="BB452" s="10"/>
      <c r="BC452" s="17">
        <v>293906</v>
      </c>
      <c r="BD452" s="17">
        <v>163690</v>
      </c>
      <c r="BE452" s="17">
        <v>3907715</v>
      </c>
      <c r="BF452" s="17">
        <v>971.15</v>
      </c>
      <c r="BG452" s="11">
        <f ca="1">IFERROR(__xludf.DUMMYFUNCTION("""COMPUTED_VALUE"""),45885.6458333333)</f>
        <v>45885.645833333299</v>
      </c>
      <c r="BH452" s="17" t="s">
        <v>105</v>
      </c>
      <c r="BI452" s="17"/>
      <c r="BJ452" s="15"/>
      <c r="BK452" s="15"/>
      <c r="BL452" s="13" t="b">
        <v>0</v>
      </c>
      <c r="BM452" s="10"/>
      <c r="BN452" s="10" t="s">
        <v>118</v>
      </c>
      <c r="BO452" s="11">
        <v>45860.370833333334</v>
      </c>
      <c r="BP452" s="11">
        <v>45880.724606481483</v>
      </c>
      <c r="BQ452" s="15">
        <v>45883.525636574072</v>
      </c>
      <c r="BR452" s="15">
        <v>45883.570694444446</v>
      </c>
      <c r="BS452" s="10" t="s">
        <v>118</v>
      </c>
      <c r="BT452" s="10" t="s">
        <v>99</v>
      </c>
      <c r="BU452" s="10" t="s">
        <v>498</v>
      </c>
      <c r="BV452" s="10" t="s">
        <v>281</v>
      </c>
      <c r="BW452" s="10" t="s">
        <v>3556</v>
      </c>
      <c r="BX452" s="10"/>
      <c r="BY452" s="23"/>
      <c r="BZ452" s="24" t="s">
        <v>284</v>
      </c>
      <c r="CA452" s="19" t="s">
        <v>3805</v>
      </c>
      <c r="CB452" s="19" t="s">
        <v>3806</v>
      </c>
      <c r="CC452" s="23"/>
      <c r="CD452" s="19" t="s">
        <v>3807</v>
      </c>
      <c r="CE452" s="23"/>
      <c r="CF452" s="23"/>
      <c r="CG452" s="23"/>
      <c r="CH452" s="23"/>
      <c r="CI452" s="23"/>
    </row>
    <row r="453" spans="1:87" x14ac:dyDescent="0.3">
      <c r="A453" s="9" t="s">
        <v>3808</v>
      </c>
      <c r="B453" s="10" t="s">
        <v>3809</v>
      </c>
      <c r="C453" s="11">
        <v>45887.645833333336</v>
      </c>
      <c r="D453" s="12">
        <v>8.3333333333333329E-2</v>
      </c>
      <c r="E453" s="11">
        <v>45887.729166666664</v>
      </c>
      <c r="F453" s="10" t="s">
        <v>3511</v>
      </c>
      <c r="G453" s="13" t="b">
        <v>0</v>
      </c>
      <c r="H453" s="10" t="s">
        <v>3512</v>
      </c>
      <c r="I453" s="10" t="s">
        <v>212</v>
      </c>
      <c r="J453" s="13" t="b">
        <v>1</v>
      </c>
      <c r="K453" s="13" t="b">
        <v>1</v>
      </c>
      <c r="L453" s="10" t="s">
        <v>124</v>
      </c>
      <c r="M453" s="10" t="s">
        <v>91</v>
      </c>
      <c r="N453" s="10" t="s">
        <v>3513</v>
      </c>
      <c r="O453" s="19" t="s">
        <v>3810</v>
      </c>
      <c r="P453" s="10"/>
      <c r="Q453" s="10" t="s">
        <v>126</v>
      </c>
      <c r="R453" s="10"/>
      <c r="S453" s="19" t="s">
        <v>3811</v>
      </c>
      <c r="T453" s="19" t="s">
        <v>3738</v>
      </c>
      <c r="U453" s="10" t="s">
        <v>3677</v>
      </c>
      <c r="V453" s="10" t="s">
        <v>3517</v>
      </c>
      <c r="W453" s="10" t="s">
        <v>3519</v>
      </c>
      <c r="X453" s="10" t="s">
        <v>130</v>
      </c>
      <c r="Y453" s="10" t="s">
        <v>130</v>
      </c>
      <c r="Z453" s="10" t="s">
        <v>99</v>
      </c>
      <c r="AA453" s="10" t="s">
        <v>131</v>
      </c>
      <c r="AB453" s="10" t="s">
        <v>3520</v>
      </c>
      <c r="AC453" s="10" t="s">
        <v>3521</v>
      </c>
      <c r="AD453" s="10" t="s">
        <v>3812</v>
      </c>
      <c r="AE453" s="10" t="s">
        <v>3813</v>
      </c>
      <c r="AF453" s="15"/>
      <c r="AG453" s="10" t="s">
        <v>3524</v>
      </c>
      <c r="AH453" s="10" t="s">
        <v>3539</v>
      </c>
      <c r="AI453" s="10" t="s">
        <v>3539</v>
      </c>
      <c r="AJ453" s="10" t="s">
        <v>3814</v>
      </c>
      <c r="AK453" s="10" t="s">
        <v>102</v>
      </c>
      <c r="AL453" s="10" t="s">
        <v>116</v>
      </c>
      <c r="AM453" s="10"/>
      <c r="AN453" s="10"/>
      <c r="AO453" s="13" t="b">
        <v>0</v>
      </c>
      <c r="AP453" s="10" t="s">
        <v>104</v>
      </c>
      <c r="AQ453" s="10">
        <f ca="1">IFERROR(__xludf.DUMMYFUNCTION("""COMPUTED_VALUE"""),4503849)</f>
        <v>4503849</v>
      </c>
      <c r="AR453" s="17">
        <v>187047</v>
      </c>
      <c r="AS453" s="17">
        <v>113049</v>
      </c>
      <c r="AT453" s="17">
        <v>3731711.75</v>
      </c>
      <c r="AU453" s="17">
        <v>809.8</v>
      </c>
      <c r="AV453" s="17">
        <v>314.85000000000002</v>
      </c>
      <c r="AW453" s="10" t="s">
        <v>105</v>
      </c>
      <c r="AX453" s="17">
        <v>46197</v>
      </c>
      <c r="AY453" s="18">
        <v>33.009683853904058</v>
      </c>
      <c r="AZ453" s="10" t="s">
        <v>3783</v>
      </c>
      <c r="BA453" s="20" t="b">
        <v>0</v>
      </c>
      <c r="BB453" s="10"/>
      <c r="BC453" s="17">
        <v>187047</v>
      </c>
      <c r="BD453" s="17">
        <v>113049</v>
      </c>
      <c r="BE453" s="17">
        <v>3731711.75</v>
      </c>
      <c r="BF453" s="17">
        <v>314.85000000000002</v>
      </c>
      <c r="BG453" s="11">
        <f ca="1">IFERROR(__xludf.DUMMYFUNCTION("""COMPUTED_VALUE"""),45887.6458333333)</f>
        <v>45887.645833333299</v>
      </c>
      <c r="BH453" s="17" t="s">
        <v>105</v>
      </c>
      <c r="BI453" s="17"/>
      <c r="BJ453" s="15"/>
      <c r="BK453" s="15"/>
      <c r="BL453" s="13" t="b">
        <v>0</v>
      </c>
      <c r="BM453" s="10"/>
      <c r="BN453" s="10" t="s">
        <v>197</v>
      </c>
      <c r="BO453" s="11">
        <v>45860.370833333334</v>
      </c>
      <c r="BP453" s="11">
        <v>45883.583622685182</v>
      </c>
      <c r="BQ453" s="15">
        <v>45884.697094907409</v>
      </c>
      <c r="BR453" s="15">
        <v>45885.471921296295</v>
      </c>
      <c r="BS453" s="10" t="s">
        <v>197</v>
      </c>
      <c r="BT453" s="10" t="s">
        <v>99</v>
      </c>
      <c r="BU453" s="10" t="s">
        <v>498</v>
      </c>
      <c r="BV453" s="10"/>
      <c r="BW453" s="10"/>
      <c r="BX453" s="10"/>
      <c r="BY453" s="23"/>
      <c r="BZ453" s="24" t="s">
        <v>299</v>
      </c>
      <c r="CA453" s="19" t="s">
        <v>3815</v>
      </c>
      <c r="CB453" s="19" t="s">
        <v>3816</v>
      </c>
      <c r="CC453" s="23"/>
      <c r="CD453" s="19" t="s">
        <v>3817</v>
      </c>
      <c r="CE453" s="23"/>
      <c r="CF453" s="23"/>
      <c r="CG453" s="23"/>
      <c r="CH453" s="23"/>
      <c r="CI453" s="23"/>
    </row>
    <row r="454" spans="1:87" x14ac:dyDescent="0.3">
      <c r="A454" s="9" t="s">
        <v>3818</v>
      </c>
      <c r="B454" s="10" t="s">
        <v>3819</v>
      </c>
      <c r="C454" s="11">
        <v>45887.770833333336</v>
      </c>
      <c r="D454" s="12">
        <v>8.3333333333333329E-2</v>
      </c>
      <c r="E454" s="11">
        <v>45887.854166666664</v>
      </c>
      <c r="F454" s="10" t="s">
        <v>3511</v>
      </c>
      <c r="G454" s="13" t="b">
        <v>0</v>
      </c>
      <c r="H454" s="10" t="s">
        <v>123</v>
      </c>
      <c r="I454" s="10" t="s">
        <v>3548</v>
      </c>
      <c r="J454" s="13" t="b">
        <v>0</v>
      </c>
      <c r="K454" s="13" t="b">
        <v>1</v>
      </c>
      <c r="L454" s="10" t="s">
        <v>358</v>
      </c>
      <c r="M454" s="10" t="s">
        <v>91</v>
      </c>
      <c r="N454" s="10" t="s">
        <v>3513</v>
      </c>
      <c r="O454" s="19" t="s">
        <v>3820</v>
      </c>
      <c r="P454" s="10"/>
      <c r="Q454" s="10" t="s">
        <v>126</v>
      </c>
      <c r="R454" s="10"/>
      <c r="S454" s="19" t="s">
        <v>3821</v>
      </c>
      <c r="T454" s="19" t="s">
        <v>3738</v>
      </c>
      <c r="U454" s="10" t="s">
        <v>3536</v>
      </c>
      <c r="V454" s="10" t="s">
        <v>3609</v>
      </c>
      <c r="W454" s="10" t="s">
        <v>3519</v>
      </c>
      <c r="X454" s="10" t="s">
        <v>130</v>
      </c>
      <c r="Y454" s="10" t="s">
        <v>130</v>
      </c>
      <c r="Z454" s="10" t="s">
        <v>99</v>
      </c>
      <c r="AA454" s="10" t="s">
        <v>131</v>
      </c>
      <c r="AB454" s="10" t="s">
        <v>3520</v>
      </c>
      <c r="AC454" s="10" t="s">
        <v>3521</v>
      </c>
      <c r="AD454" s="10" t="s">
        <v>3822</v>
      </c>
      <c r="AE454" s="10" t="s">
        <v>3823</v>
      </c>
      <c r="AF454" s="15"/>
      <c r="AG454" s="10" t="s">
        <v>3524</v>
      </c>
      <c r="AH454" s="10" t="s">
        <v>3539</v>
      </c>
      <c r="AI454" s="10" t="s">
        <v>3539</v>
      </c>
      <c r="AJ454" s="10" t="s">
        <v>3824</v>
      </c>
      <c r="AK454" s="10" t="s">
        <v>102</v>
      </c>
      <c r="AL454" s="10" t="s">
        <v>116</v>
      </c>
      <c r="AM454" s="10"/>
      <c r="AN454" s="10"/>
      <c r="AO454" s="13" t="b">
        <v>1</v>
      </c>
      <c r="AP454" s="10" t="s">
        <v>104</v>
      </c>
      <c r="AQ454" s="10">
        <f ca="1">IFERROR(__xludf.DUMMYFUNCTION("""COMPUTED_VALUE"""),4503851)</f>
        <v>4503851</v>
      </c>
      <c r="AR454" s="17">
        <v>778136</v>
      </c>
      <c r="AS454" s="17">
        <v>389852</v>
      </c>
      <c r="AT454" s="17">
        <v>15896153.25</v>
      </c>
      <c r="AU454" s="17">
        <v>10021.25</v>
      </c>
      <c r="AV454" s="17">
        <v>4552.8500000000004</v>
      </c>
      <c r="AW454" s="10" t="s">
        <v>297</v>
      </c>
      <c r="AX454" s="17">
        <v>187564</v>
      </c>
      <c r="AY454" s="18">
        <v>40.77484083703559</v>
      </c>
      <c r="AZ454" s="10" t="s">
        <v>3783</v>
      </c>
      <c r="BA454" s="20" t="b">
        <v>0</v>
      </c>
      <c r="BB454" s="10"/>
      <c r="BC454" s="17">
        <v>778136</v>
      </c>
      <c r="BD454" s="17">
        <v>389852</v>
      </c>
      <c r="BE454" s="17">
        <v>15896153.25</v>
      </c>
      <c r="BF454" s="17">
        <v>4552.8500000000004</v>
      </c>
      <c r="BG454" s="11">
        <f ca="1">IFERROR(__xludf.DUMMYFUNCTION("""COMPUTED_VALUE"""),45887.7708333333)</f>
        <v>45887.770833333299</v>
      </c>
      <c r="BH454" s="17" t="s">
        <v>297</v>
      </c>
      <c r="BI454" s="17"/>
      <c r="BJ454" s="15"/>
      <c r="BK454" s="15"/>
      <c r="BL454" s="13" t="b">
        <v>0</v>
      </c>
      <c r="BM454" s="10"/>
      <c r="BN454" s="10" t="s">
        <v>197</v>
      </c>
      <c r="BO454" s="11">
        <v>45860.370833333334</v>
      </c>
      <c r="BP454" s="11">
        <v>45882.643784722219</v>
      </c>
      <c r="BQ454" s="15">
        <v>45884.699930555558</v>
      </c>
      <c r="BR454" s="15">
        <v>45885.472291666665</v>
      </c>
      <c r="BS454" s="10" t="s">
        <v>197</v>
      </c>
      <c r="BT454" s="10" t="s">
        <v>99</v>
      </c>
      <c r="BU454" s="10" t="s">
        <v>816</v>
      </c>
      <c r="BV454" s="10" t="s">
        <v>281</v>
      </c>
      <c r="BW454" s="10"/>
      <c r="BX454" s="10"/>
      <c r="BY454" s="23"/>
      <c r="BZ454" s="24" t="s">
        <v>284</v>
      </c>
      <c r="CA454" s="19" t="s">
        <v>3825</v>
      </c>
      <c r="CB454" s="19" t="s">
        <v>3826</v>
      </c>
      <c r="CC454" s="23"/>
      <c r="CD454" s="19" t="s">
        <v>3827</v>
      </c>
      <c r="CE454" s="23"/>
      <c r="CF454" s="23"/>
      <c r="CG454" s="23"/>
      <c r="CH454" s="23"/>
      <c r="CI454" s="23"/>
    </row>
    <row r="455" spans="1:87" x14ac:dyDescent="0.3">
      <c r="A455" s="9" t="s">
        <v>3828</v>
      </c>
      <c r="B455" s="10" t="s">
        <v>3829</v>
      </c>
      <c r="C455" s="11">
        <v>45891.645833333336</v>
      </c>
      <c r="D455" s="12">
        <v>8.3333333333333329E-2</v>
      </c>
      <c r="E455" s="11">
        <v>45891.729166666664</v>
      </c>
      <c r="F455" s="10" t="s">
        <v>3511</v>
      </c>
      <c r="G455" s="13" t="b">
        <v>0</v>
      </c>
      <c r="H455" s="10" t="s">
        <v>123</v>
      </c>
      <c r="I455" s="10" t="s">
        <v>3548</v>
      </c>
      <c r="J455" s="13" t="b">
        <v>0</v>
      </c>
      <c r="K455" s="13" t="b">
        <v>1</v>
      </c>
      <c r="L455" s="10" t="s">
        <v>124</v>
      </c>
      <c r="M455" s="10" t="s">
        <v>91</v>
      </c>
      <c r="N455" s="10" t="s">
        <v>3513</v>
      </c>
      <c r="O455" s="19" t="s">
        <v>3830</v>
      </c>
      <c r="P455" s="10"/>
      <c r="Q455" s="10" t="s">
        <v>126</v>
      </c>
      <c r="R455" s="10"/>
      <c r="S455" s="19" t="s">
        <v>3831</v>
      </c>
      <c r="T455" s="19" t="s">
        <v>3832</v>
      </c>
      <c r="U455" s="10" t="s">
        <v>3676</v>
      </c>
      <c r="V455" s="10" t="s">
        <v>3518</v>
      </c>
      <c r="W455" s="10" t="s">
        <v>3519</v>
      </c>
      <c r="X455" s="10" t="s">
        <v>130</v>
      </c>
      <c r="Y455" s="10" t="s">
        <v>130</v>
      </c>
      <c r="Z455" s="10" t="s">
        <v>99</v>
      </c>
      <c r="AA455" s="10" t="s">
        <v>131</v>
      </c>
      <c r="AB455" s="10" t="s">
        <v>3520</v>
      </c>
      <c r="AC455" s="10" t="s">
        <v>3521</v>
      </c>
      <c r="AD455" s="10" t="s">
        <v>3833</v>
      </c>
      <c r="AE455" s="10" t="s">
        <v>3834</v>
      </c>
      <c r="AF455" s="15"/>
      <c r="AG455" s="10" t="s">
        <v>3524</v>
      </c>
      <c r="AH455" s="10" t="s">
        <v>3539</v>
      </c>
      <c r="AI455" s="10" t="s">
        <v>3539</v>
      </c>
      <c r="AJ455" s="10" t="s">
        <v>3835</v>
      </c>
      <c r="AK455" s="10" t="s">
        <v>102</v>
      </c>
      <c r="AL455" s="10" t="s">
        <v>147</v>
      </c>
      <c r="AM455" s="10"/>
      <c r="AN455" s="10"/>
      <c r="AO455" s="13" t="b">
        <v>0</v>
      </c>
      <c r="AP455" s="10" t="s">
        <v>104</v>
      </c>
      <c r="AQ455" s="10">
        <f ca="1">IFERROR(__xludf.DUMMYFUNCTION("""COMPUTED_VALUE"""),4510710)</f>
        <v>4510710</v>
      </c>
      <c r="AR455" s="17">
        <v>344843</v>
      </c>
      <c r="AS455" s="17">
        <v>155289</v>
      </c>
      <c r="AT455" s="17">
        <v>3296905</v>
      </c>
      <c r="AU455" s="17">
        <v>1217.55</v>
      </c>
      <c r="AV455" s="17">
        <v>404.15</v>
      </c>
      <c r="AW455" s="10" t="s">
        <v>105</v>
      </c>
      <c r="AX455" s="17">
        <v>45452</v>
      </c>
      <c r="AY455" s="18">
        <v>21.230769726123551</v>
      </c>
      <c r="AZ455" s="10" t="s">
        <v>185</v>
      </c>
      <c r="BA455" s="20" t="b">
        <v>0</v>
      </c>
      <c r="BB455" s="10"/>
      <c r="BC455" s="17">
        <v>344843</v>
      </c>
      <c r="BD455" s="17">
        <v>155289</v>
      </c>
      <c r="BE455" s="17">
        <v>3296905</v>
      </c>
      <c r="BF455" s="17">
        <v>404.15</v>
      </c>
      <c r="BG455" s="11">
        <f ca="1">IFERROR(__xludf.DUMMYFUNCTION("""COMPUTED_VALUE"""),45891.6458333333)</f>
        <v>45891.645833333299</v>
      </c>
      <c r="BH455" s="17" t="s">
        <v>105</v>
      </c>
      <c r="BI455" s="17"/>
      <c r="BJ455" s="15"/>
      <c r="BK455" s="15"/>
      <c r="BL455" s="13" t="b">
        <v>0</v>
      </c>
      <c r="BM455" s="10"/>
      <c r="BN455" s="10" t="s">
        <v>634</v>
      </c>
      <c r="BO455" s="11">
        <v>45860.370833333334</v>
      </c>
      <c r="BP455" s="11">
        <v>45887.772870370369</v>
      </c>
      <c r="BQ455" s="15">
        <v>45888.434212962966</v>
      </c>
      <c r="BR455" s="15">
        <v>45888.571712962963</v>
      </c>
      <c r="BS455" s="10" t="s">
        <v>634</v>
      </c>
      <c r="BT455" s="10" t="s">
        <v>99</v>
      </c>
      <c r="BU455" s="10" t="s">
        <v>456</v>
      </c>
      <c r="BV455" s="10"/>
      <c r="BW455" s="10"/>
      <c r="BX455" s="10"/>
      <c r="BY455" s="23"/>
      <c r="BZ455" s="24" t="s">
        <v>284</v>
      </c>
      <c r="CA455" s="19" t="s">
        <v>3836</v>
      </c>
      <c r="CB455" s="19" t="s">
        <v>3837</v>
      </c>
      <c r="CC455" s="23"/>
      <c r="CD455" s="19" t="s">
        <v>3838</v>
      </c>
      <c r="CE455" s="23"/>
      <c r="CF455" s="23"/>
      <c r="CG455" s="23"/>
      <c r="CH455" s="23"/>
      <c r="CI455" s="23"/>
    </row>
    <row r="456" spans="1:87" x14ac:dyDescent="0.3">
      <c r="A456" s="9" t="s">
        <v>3839</v>
      </c>
      <c r="B456" s="10" t="s">
        <v>3840</v>
      </c>
      <c r="C456" s="11">
        <v>45891.645833333336</v>
      </c>
      <c r="D456" s="12">
        <v>8.3333333333333329E-2</v>
      </c>
      <c r="E456" s="11">
        <v>45891.729166666664</v>
      </c>
      <c r="F456" s="10" t="s">
        <v>3511</v>
      </c>
      <c r="G456" s="13" t="b">
        <v>0</v>
      </c>
      <c r="H456" s="10" t="s">
        <v>3512</v>
      </c>
      <c r="I456" s="10" t="s">
        <v>212</v>
      </c>
      <c r="J456" s="13" t="b">
        <v>1</v>
      </c>
      <c r="K456" s="13" t="b">
        <v>1</v>
      </c>
      <c r="L456" s="10" t="s">
        <v>124</v>
      </c>
      <c r="M456" s="10" t="s">
        <v>91</v>
      </c>
      <c r="N456" s="10" t="s">
        <v>3513</v>
      </c>
      <c r="O456" s="19" t="s">
        <v>3841</v>
      </c>
      <c r="P456" s="10"/>
      <c r="Q456" s="10" t="s">
        <v>126</v>
      </c>
      <c r="R456" s="10"/>
      <c r="S456" s="19" t="s">
        <v>3842</v>
      </c>
      <c r="T456" s="19" t="s">
        <v>3832</v>
      </c>
      <c r="U456" s="10" t="s">
        <v>3610</v>
      </c>
      <c r="V456" s="10" t="s">
        <v>3535</v>
      </c>
      <c r="W456" s="10" t="s">
        <v>3519</v>
      </c>
      <c r="X456" s="10" t="s">
        <v>130</v>
      </c>
      <c r="Y456" s="10" t="s">
        <v>130</v>
      </c>
      <c r="Z456" s="10" t="s">
        <v>99</v>
      </c>
      <c r="AA456" s="10" t="s">
        <v>131</v>
      </c>
      <c r="AB456" s="10" t="s">
        <v>3520</v>
      </c>
      <c r="AC456" s="10" t="s">
        <v>3521</v>
      </c>
      <c r="AD456" s="10" t="s">
        <v>3843</v>
      </c>
      <c r="AE456" s="10" t="s">
        <v>3844</v>
      </c>
      <c r="AF456" s="15"/>
      <c r="AG456" s="10" t="s">
        <v>3524</v>
      </c>
      <c r="AH456" s="10" t="s">
        <v>3539</v>
      </c>
      <c r="AI456" s="10" t="s">
        <v>3539</v>
      </c>
      <c r="AJ456" s="10" t="s">
        <v>3845</v>
      </c>
      <c r="AK456" s="10" t="s">
        <v>102</v>
      </c>
      <c r="AL456" s="10" t="s">
        <v>147</v>
      </c>
      <c r="AM456" s="10"/>
      <c r="AN456" s="10"/>
      <c r="AO456" s="13" t="b">
        <v>0</v>
      </c>
      <c r="AP456" s="10" t="s">
        <v>104</v>
      </c>
      <c r="AQ456" s="10">
        <f ca="1">IFERROR(__xludf.DUMMYFUNCTION("""COMPUTED_VALUE"""),4510895)</f>
        <v>4510895</v>
      </c>
      <c r="AR456" s="17">
        <v>295759</v>
      </c>
      <c r="AS456" s="17">
        <v>106375</v>
      </c>
      <c r="AT456" s="17">
        <v>3123204.5</v>
      </c>
      <c r="AU456" s="17">
        <v>998.55</v>
      </c>
      <c r="AV456" s="17">
        <v>466.05</v>
      </c>
      <c r="AW456" s="10" t="s">
        <v>105</v>
      </c>
      <c r="AX456" s="17">
        <v>42710</v>
      </c>
      <c r="AY456" s="18">
        <v>29.360324324324324</v>
      </c>
      <c r="AZ456" s="10" t="s">
        <v>185</v>
      </c>
      <c r="BA456" s="20" t="b">
        <v>0</v>
      </c>
      <c r="BB456" s="10"/>
      <c r="BC456" s="17">
        <v>295759</v>
      </c>
      <c r="BD456" s="17">
        <v>106375</v>
      </c>
      <c r="BE456" s="17">
        <v>3123204.5</v>
      </c>
      <c r="BF456" s="17">
        <v>466.05</v>
      </c>
      <c r="BG456" s="11">
        <f ca="1">IFERROR(__xludf.DUMMYFUNCTION("""COMPUTED_VALUE"""),45891.6458333333)</f>
        <v>45891.645833333299</v>
      </c>
      <c r="BH456" s="17" t="s">
        <v>105</v>
      </c>
      <c r="BI456" s="17"/>
      <c r="BJ456" s="15"/>
      <c r="BK456" s="15"/>
      <c r="BL456" s="13" t="b">
        <v>1</v>
      </c>
      <c r="BM456" s="10"/>
      <c r="BN456" s="10" t="s">
        <v>634</v>
      </c>
      <c r="BO456" s="11">
        <v>45860.370833333334</v>
      </c>
      <c r="BP456" s="11">
        <v>45889.538206018522</v>
      </c>
      <c r="BQ456" s="15">
        <v>45888.434120370373</v>
      </c>
      <c r="BR456" s="15">
        <v>45888.575868055559</v>
      </c>
      <c r="BS456" s="10" t="s">
        <v>634</v>
      </c>
      <c r="BT456" s="10" t="s">
        <v>279</v>
      </c>
      <c r="BU456" s="10" t="s">
        <v>718</v>
      </c>
      <c r="BV456" s="10" t="s">
        <v>124</v>
      </c>
      <c r="BW456" s="10"/>
      <c r="BX456" s="10"/>
      <c r="BY456" s="23"/>
      <c r="BZ456" s="24" t="s">
        <v>299</v>
      </c>
      <c r="CA456" s="19" t="s">
        <v>3846</v>
      </c>
      <c r="CB456" s="19" t="s">
        <v>3847</v>
      </c>
      <c r="CC456" s="23"/>
      <c r="CD456" s="19" t="s">
        <v>3848</v>
      </c>
      <c r="CE456" s="23"/>
      <c r="CF456" s="23"/>
      <c r="CG456" s="23"/>
      <c r="CH456" s="23"/>
      <c r="CI456" s="23"/>
    </row>
    <row r="457" spans="1:87" x14ac:dyDescent="0.3">
      <c r="A457" s="9" t="s">
        <v>3849</v>
      </c>
      <c r="B457" s="10" t="s">
        <v>3850</v>
      </c>
      <c r="C457" s="11">
        <v>45891.791666666664</v>
      </c>
      <c r="D457" s="12">
        <v>8.3333333333333329E-2</v>
      </c>
      <c r="E457" s="11">
        <v>45891.875</v>
      </c>
      <c r="F457" s="10" t="s">
        <v>3511</v>
      </c>
      <c r="G457" s="13" t="b">
        <v>0</v>
      </c>
      <c r="H457" s="10" t="s">
        <v>123</v>
      </c>
      <c r="I457" s="10" t="s">
        <v>3548</v>
      </c>
      <c r="J457" s="13" t="b">
        <v>0</v>
      </c>
      <c r="K457" s="13" t="b">
        <v>1</v>
      </c>
      <c r="L457" s="10" t="s">
        <v>124</v>
      </c>
      <c r="M457" s="10" t="s">
        <v>91</v>
      </c>
      <c r="N457" s="10" t="s">
        <v>3513</v>
      </c>
      <c r="O457" s="19" t="s">
        <v>3851</v>
      </c>
      <c r="P457" s="10"/>
      <c r="Q457" s="10" t="s">
        <v>126</v>
      </c>
      <c r="R457" s="10"/>
      <c r="S457" s="19" t="s">
        <v>3852</v>
      </c>
      <c r="T457" s="19" t="s">
        <v>3832</v>
      </c>
      <c r="U457" s="10" t="s">
        <v>3622</v>
      </c>
      <c r="V457" s="10" t="s">
        <v>3662</v>
      </c>
      <c r="W457" s="10" t="s">
        <v>3519</v>
      </c>
      <c r="X457" s="10" t="s">
        <v>130</v>
      </c>
      <c r="Y457" s="10" t="s">
        <v>130</v>
      </c>
      <c r="Z457" s="10" t="s">
        <v>99</v>
      </c>
      <c r="AA457" s="10" t="s">
        <v>131</v>
      </c>
      <c r="AB457" s="10" t="s">
        <v>3520</v>
      </c>
      <c r="AC457" s="10" t="s">
        <v>3521</v>
      </c>
      <c r="AD457" s="10" t="s">
        <v>3853</v>
      </c>
      <c r="AE457" s="10" t="s">
        <v>3854</v>
      </c>
      <c r="AF457" s="15"/>
      <c r="AG457" s="10" t="s">
        <v>3524</v>
      </c>
      <c r="AH457" s="10" t="s">
        <v>3539</v>
      </c>
      <c r="AI457" s="10" t="s">
        <v>3539</v>
      </c>
      <c r="AJ457" s="10" t="s">
        <v>3855</v>
      </c>
      <c r="AK457" s="10" t="s">
        <v>102</v>
      </c>
      <c r="AL457" s="10" t="s">
        <v>147</v>
      </c>
      <c r="AM457" s="10"/>
      <c r="AN457" s="10"/>
      <c r="AO457" s="13" t="b">
        <v>0</v>
      </c>
      <c r="AP457" s="10" t="s">
        <v>104</v>
      </c>
      <c r="AQ457" s="10">
        <f ca="1">IFERROR(__xludf.DUMMYFUNCTION("""COMPUTED_VALUE"""),4510739)</f>
        <v>4510739</v>
      </c>
      <c r="AR457" s="17">
        <v>323414</v>
      </c>
      <c r="AS457" s="17">
        <v>196917</v>
      </c>
      <c r="AT457" s="17">
        <v>5699745.75</v>
      </c>
      <c r="AU457" s="17">
        <v>1830.75</v>
      </c>
      <c r="AV457" s="17">
        <v>503.85</v>
      </c>
      <c r="AW457" s="10" t="s">
        <v>105</v>
      </c>
      <c r="AX457" s="17">
        <v>65803</v>
      </c>
      <c r="AY457" s="18">
        <v>28.944914608693004</v>
      </c>
      <c r="AZ457" s="10" t="s">
        <v>185</v>
      </c>
      <c r="BA457" s="20" t="b">
        <v>0</v>
      </c>
      <c r="BB457" s="10"/>
      <c r="BC457" s="17">
        <v>323414</v>
      </c>
      <c r="BD457" s="17">
        <v>196917</v>
      </c>
      <c r="BE457" s="17">
        <v>5699745.75</v>
      </c>
      <c r="BF457" s="17">
        <v>503.85</v>
      </c>
      <c r="BG457" s="11">
        <f ca="1">IFERROR(__xludf.DUMMYFUNCTION("""COMPUTED_VALUE"""),45891.7916666666)</f>
        <v>45891.791666666599</v>
      </c>
      <c r="BH457" s="17" t="s">
        <v>105</v>
      </c>
      <c r="BI457" s="17"/>
      <c r="BJ457" s="15"/>
      <c r="BK457" s="15"/>
      <c r="BL457" s="13" t="b">
        <v>0</v>
      </c>
      <c r="BM457" s="10"/>
      <c r="BN457" s="10" t="s">
        <v>634</v>
      </c>
      <c r="BO457" s="11">
        <v>45860.370833333334</v>
      </c>
      <c r="BP457" s="11">
        <v>45888.478877314818</v>
      </c>
      <c r="BQ457" s="15">
        <v>45891.466249999998</v>
      </c>
      <c r="BR457" s="15">
        <v>45890.717106481483</v>
      </c>
      <c r="BS457" s="10" t="s">
        <v>634</v>
      </c>
      <c r="BT457" s="10" t="s">
        <v>99</v>
      </c>
      <c r="BU457" s="10" t="s">
        <v>456</v>
      </c>
      <c r="BV457" s="10" t="s">
        <v>124</v>
      </c>
      <c r="BW457" s="10"/>
      <c r="BX457" s="10"/>
      <c r="BY457" s="23"/>
      <c r="BZ457" s="24" t="s">
        <v>284</v>
      </c>
      <c r="CA457" s="19" t="s">
        <v>3856</v>
      </c>
      <c r="CB457" s="19" t="s">
        <v>3857</v>
      </c>
      <c r="CC457" s="23"/>
      <c r="CD457" s="19" t="s">
        <v>3858</v>
      </c>
      <c r="CE457" s="23"/>
      <c r="CF457" s="23"/>
      <c r="CG457" s="23"/>
      <c r="CH457" s="23"/>
      <c r="CI457" s="23"/>
    </row>
    <row r="458" spans="1:87" x14ac:dyDescent="0.3">
      <c r="A458" s="9" t="s">
        <v>3859</v>
      </c>
      <c r="B458" s="10" t="s">
        <v>3860</v>
      </c>
      <c r="C458" s="11">
        <v>45892.645833333336</v>
      </c>
      <c r="D458" s="12">
        <v>8.3333333333333329E-2</v>
      </c>
      <c r="E458" s="11">
        <v>45892.729166666664</v>
      </c>
      <c r="F458" s="10" t="s">
        <v>3511</v>
      </c>
      <c r="G458" s="13" t="b">
        <v>0</v>
      </c>
      <c r="H458" s="10" t="s">
        <v>123</v>
      </c>
      <c r="I458" s="10" t="s">
        <v>3548</v>
      </c>
      <c r="J458" s="13" t="b">
        <v>0</v>
      </c>
      <c r="K458" s="13" t="b">
        <v>1</v>
      </c>
      <c r="L458" s="10" t="s">
        <v>124</v>
      </c>
      <c r="M458" s="10" t="s">
        <v>91</v>
      </c>
      <c r="N458" s="10" t="s">
        <v>3513</v>
      </c>
      <c r="O458" s="19" t="s">
        <v>3861</v>
      </c>
      <c r="P458" s="10"/>
      <c r="Q458" s="10" t="s">
        <v>126</v>
      </c>
      <c r="R458" s="10"/>
      <c r="S458" s="19" t="s">
        <v>3862</v>
      </c>
      <c r="T458" s="19" t="s">
        <v>3832</v>
      </c>
      <c r="U458" s="10" t="s">
        <v>3647</v>
      </c>
      <c r="V458" s="10" t="s">
        <v>3623</v>
      </c>
      <c r="W458" s="10" t="s">
        <v>3519</v>
      </c>
      <c r="X458" s="10" t="s">
        <v>130</v>
      </c>
      <c r="Y458" s="10" t="s">
        <v>130</v>
      </c>
      <c r="Z458" s="10" t="s">
        <v>99</v>
      </c>
      <c r="AA458" s="10" t="s">
        <v>131</v>
      </c>
      <c r="AB458" s="10" t="s">
        <v>3520</v>
      </c>
      <c r="AC458" s="10" t="s">
        <v>3521</v>
      </c>
      <c r="AD458" s="10" t="s">
        <v>3863</v>
      </c>
      <c r="AE458" s="10" t="s">
        <v>3864</v>
      </c>
      <c r="AF458" s="15"/>
      <c r="AG458" s="10" t="s">
        <v>3524</v>
      </c>
      <c r="AH458" s="10" t="s">
        <v>3539</v>
      </c>
      <c r="AI458" s="10" t="s">
        <v>3539</v>
      </c>
      <c r="AJ458" s="10" t="s">
        <v>3865</v>
      </c>
      <c r="AK458" s="10" t="s">
        <v>102</v>
      </c>
      <c r="AL458" s="10" t="s">
        <v>147</v>
      </c>
      <c r="AM458" s="10"/>
      <c r="AN458" s="10"/>
      <c r="AO458" s="13" t="b">
        <v>1</v>
      </c>
      <c r="AP458" s="10" t="s">
        <v>104</v>
      </c>
      <c r="AQ458" s="10">
        <f ca="1">IFERROR(__xludf.DUMMYFUNCTION("""COMPUTED_VALUE"""),4510901)</f>
        <v>4510901</v>
      </c>
      <c r="AR458" s="17">
        <v>527707</v>
      </c>
      <c r="AS458" s="17">
        <v>273170</v>
      </c>
      <c r="AT458" s="17">
        <v>11277370.5</v>
      </c>
      <c r="AU458" s="17">
        <v>5032.8500000000004</v>
      </c>
      <c r="AV458" s="17">
        <v>2519.8000000000002</v>
      </c>
      <c r="AW458" s="10" t="s">
        <v>297</v>
      </c>
      <c r="AX458" s="17">
        <v>130912</v>
      </c>
      <c r="AY458" s="18">
        <v>41.283341875022877</v>
      </c>
      <c r="AZ458" s="10" t="s">
        <v>185</v>
      </c>
      <c r="BA458" s="20" t="b">
        <v>0</v>
      </c>
      <c r="BB458" s="10"/>
      <c r="BC458" s="17">
        <v>527707</v>
      </c>
      <c r="BD458" s="17">
        <v>273170</v>
      </c>
      <c r="BE458" s="17">
        <v>11277370.5</v>
      </c>
      <c r="BF458" s="17">
        <v>2519.8000000000002</v>
      </c>
      <c r="BG458" s="11">
        <f ca="1">IFERROR(__xludf.DUMMYFUNCTION("""COMPUTED_VALUE"""),45892.6458333333)</f>
        <v>45892.645833333299</v>
      </c>
      <c r="BH458" s="17" t="s">
        <v>297</v>
      </c>
      <c r="BI458" s="17"/>
      <c r="BJ458" s="15"/>
      <c r="BK458" s="15"/>
      <c r="BL458" s="13" t="b">
        <v>0</v>
      </c>
      <c r="BM458" s="10"/>
      <c r="BN458" s="10" t="s">
        <v>197</v>
      </c>
      <c r="BO458" s="11">
        <v>45860.370833333334</v>
      </c>
      <c r="BP458" s="11">
        <v>45888.670231481483</v>
      </c>
      <c r="BQ458" s="15">
        <v>45888.433842592596</v>
      </c>
      <c r="BR458" s="15">
        <v>45888.581226851849</v>
      </c>
      <c r="BS458" s="10" t="s">
        <v>197</v>
      </c>
      <c r="BT458" s="10" t="s">
        <v>99</v>
      </c>
      <c r="BU458" s="10" t="s">
        <v>456</v>
      </c>
      <c r="BV458" s="10" t="s">
        <v>281</v>
      </c>
      <c r="BW458" s="10"/>
      <c r="BX458" s="10"/>
      <c r="BY458" s="23"/>
      <c r="BZ458" s="24" t="s">
        <v>284</v>
      </c>
      <c r="CA458" s="19" t="s">
        <v>3866</v>
      </c>
      <c r="CB458" s="19" t="s">
        <v>3867</v>
      </c>
      <c r="CC458" s="23"/>
      <c r="CD458" s="19" t="s">
        <v>3868</v>
      </c>
      <c r="CE458" s="23"/>
      <c r="CF458" s="23"/>
      <c r="CG458" s="23"/>
      <c r="CH458" s="23"/>
      <c r="CI458" s="23"/>
    </row>
    <row r="459" spans="1:87" x14ac:dyDescent="0.3">
      <c r="A459" s="9" t="s">
        <v>3869</v>
      </c>
      <c r="B459" s="10" t="s">
        <v>3870</v>
      </c>
      <c r="C459" s="11">
        <v>45892.645833333336</v>
      </c>
      <c r="D459" s="12">
        <v>8.3333333333333329E-2</v>
      </c>
      <c r="E459" s="11">
        <v>45892.729166666664</v>
      </c>
      <c r="F459" s="10" t="s">
        <v>3511</v>
      </c>
      <c r="G459" s="13" t="b">
        <v>0</v>
      </c>
      <c r="H459" s="10" t="s">
        <v>3512</v>
      </c>
      <c r="I459" s="10" t="s">
        <v>3548</v>
      </c>
      <c r="J459" s="13" t="b">
        <v>0</v>
      </c>
      <c r="K459" s="13" t="b">
        <v>1</v>
      </c>
      <c r="L459" s="10" t="s">
        <v>124</v>
      </c>
      <c r="M459" s="10" t="s">
        <v>91</v>
      </c>
      <c r="N459" s="10" t="s">
        <v>3513</v>
      </c>
      <c r="O459" s="19" t="s">
        <v>3871</v>
      </c>
      <c r="P459" s="10"/>
      <c r="Q459" s="10" t="s">
        <v>126</v>
      </c>
      <c r="R459" s="10"/>
      <c r="S459" s="19" t="s">
        <v>3872</v>
      </c>
      <c r="T459" s="19" t="s">
        <v>3832</v>
      </c>
      <c r="U459" s="10" t="s">
        <v>3677</v>
      </c>
      <c r="V459" s="10" t="s">
        <v>3636</v>
      </c>
      <c r="W459" s="10" t="s">
        <v>3519</v>
      </c>
      <c r="X459" s="10" t="s">
        <v>130</v>
      </c>
      <c r="Y459" s="10" t="s">
        <v>130</v>
      </c>
      <c r="Z459" s="10" t="s">
        <v>99</v>
      </c>
      <c r="AA459" s="10" t="s">
        <v>131</v>
      </c>
      <c r="AB459" s="10" t="s">
        <v>3520</v>
      </c>
      <c r="AC459" s="10" t="s">
        <v>3521</v>
      </c>
      <c r="AD459" s="10" t="s">
        <v>3873</v>
      </c>
      <c r="AE459" s="10" t="s">
        <v>3874</v>
      </c>
      <c r="AF459" s="15"/>
      <c r="AG459" s="10" t="s">
        <v>3524</v>
      </c>
      <c r="AH459" s="10" t="s">
        <v>3539</v>
      </c>
      <c r="AI459" s="10" t="s">
        <v>3539</v>
      </c>
      <c r="AJ459" s="10" t="s">
        <v>3875</v>
      </c>
      <c r="AK459" s="10" t="s">
        <v>102</v>
      </c>
      <c r="AL459" s="10" t="s">
        <v>147</v>
      </c>
      <c r="AM459" s="10"/>
      <c r="AN459" s="10"/>
      <c r="AO459" s="13" t="b">
        <v>0</v>
      </c>
      <c r="AP459" s="10" t="s">
        <v>104</v>
      </c>
      <c r="AQ459" s="10">
        <f ca="1">IFERROR(__xludf.DUMMYFUNCTION("""COMPUTED_VALUE"""),4510907)</f>
        <v>4510907</v>
      </c>
      <c r="AR459" s="17">
        <v>61465</v>
      </c>
      <c r="AS459" s="17">
        <v>41005</v>
      </c>
      <c r="AT459" s="17">
        <v>548759</v>
      </c>
      <c r="AU459" s="17">
        <v>613.79999999999995</v>
      </c>
      <c r="AV459" s="17">
        <v>387.45</v>
      </c>
      <c r="AW459" s="10" t="s">
        <v>105</v>
      </c>
      <c r="AX459" s="17">
        <v>10985</v>
      </c>
      <c r="AY459" s="18">
        <v>13.38273381294964</v>
      </c>
      <c r="AZ459" s="10" t="s">
        <v>185</v>
      </c>
      <c r="BA459" s="20" t="b">
        <v>0</v>
      </c>
      <c r="BB459" s="10"/>
      <c r="BC459" s="17">
        <v>61465</v>
      </c>
      <c r="BD459" s="17">
        <v>41005</v>
      </c>
      <c r="BE459" s="17">
        <v>548759</v>
      </c>
      <c r="BF459" s="17">
        <v>387.45</v>
      </c>
      <c r="BG459" s="11">
        <f ca="1">IFERROR(__xludf.DUMMYFUNCTION("""COMPUTED_VALUE"""),45892.6458333333)</f>
        <v>45892.645833333299</v>
      </c>
      <c r="BH459" s="17" t="s">
        <v>105</v>
      </c>
      <c r="BI459" s="17"/>
      <c r="BJ459" s="15"/>
      <c r="BK459" s="15"/>
      <c r="BL459" s="13" t="b">
        <v>1</v>
      </c>
      <c r="BM459" s="10"/>
      <c r="BN459" s="10" t="s">
        <v>197</v>
      </c>
      <c r="BO459" s="11">
        <v>45860.370833333334</v>
      </c>
      <c r="BP459" s="11">
        <v>45888.672847222224</v>
      </c>
      <c r="BQ459" s="15">
        <v>45888.433761574073</v>
      </c>
      <c r="BR459" s="15">
        <v>45889.437245370369</v>
      </c>
      <c r="BS459" s="10" t="s">
        <v>197</v>
      </c>
      <c r="BT459" s="10" t="s">
        <v>279</v>
      </c>
      <c r="BU459" s="10" t="s">
        <v>718</v>
      </c>
      <c r="BV459" s="10"/>
      <c r="BW459" s="10"/>
      <c r="BX459" s="10"/>
      <c r="BY459" s="23"/>
      <c r="BZ459" s="24" t="s">
        <v>284</v>
      </c>
      <c r="CA459" s="19" t="s">
        <v>3876</v>
      </c>
      <c r="CB459" s="19" t="s">
        <v>3877</v>
      </c>
      <c r="CC459" s="23"/>
      <c r="CD459" s="19" t="s">
        <v>3878</v>
      </c>
      <c r="CE459" s="23"/>
      <c r="CF459" s="23"/>
      <c r="CG459" s="23"/>
      <c r="CH459" s="23"/>
      <c r="CI459" s="23"/>
    </row>
    <row r="460" spans="1:87" x14ac:dyDescent="0.3">
      <c r="A460" s="9" t="s">
        <v>3879</v>
      </c>
      <c r="B460" s="10" t="s">
        <v>3880</v>
      </c>
      <c r="C460" s="11">
        <v>45892.791666666664</v>
      </c>
      <c r="D460" s="12">
        <v>8.3333333333333329E-2</v>
      </c>
      <c r="E460" s="11">
        <v>45892.875</v>
      </c>
      <c r="F460" s="10" t="s">
        <v>3511</v>
      </c>
      <c r="G460" s="13" t="b">
        <v>0</v>
      </c>
      <c r="H460" s="10" t="s">
        <v>123</v>
      </c>
      <c r="I460" s="10" t="s">
        <v>3548</v>
      </c>
      <c r="J460" s="13" t="b">
        <v>0</v>
      </c>
      <c r="K460" s="13" t="b">
        <v>1</v>
      </c>
      <c r="L460" s="10" t="s">
        <v>124</v>
      </c>
      <c r="M460" s="10" t="s">
        <v>91</v>
      </c>
      <c r="N460" s="10" t="s">
        <v>3513</v>
      </c>
      <c r="O460" s="19" t="s">
        <v>3881</v>
      </c>
      <c r="P460" s="10"/>
      <c r="Q460" s="10" t="s">
        <v>126</v>
      </c>
      <c r="R460" s="10"/>
      <c r="S460" s="19" t="s">
        <v>3882</v>
      </c>
      <c r="T460" s="19" t="s">
        <v>3832</v>
      </c>
      <c r="U460" s="10" t="s">
        <v>3551</v>
      </c>
      <c r="V460" s="10" t="s">
        <v>3661</v>
      </c>
      <c r="W460" s="10" t="s">
        <v>3519</v>
      </c>
      <c r="X460" s="10" t="s">
        <v>130</v>
      </c>
      <c r="Y460" s="10" t="s">
        <v>130</v>
      </c>
      <c r="Z460" s="10" t="s">
        <v>99</v>
      </c>
      <c r="AA460" s="10" t="s">
        <v>131</v>
      </c>
      <c r="AB460" s="10" t="s">
        <v>3520</v>
      </c>
      <c r="AC460" s="10" t="s">
        <v>3521</v>
      </c>
      <c r="AD460" s="10" t="s">
        <v>3883</v>
      </c>
      <c r="AE460" s="10" t="s">
        <v>3884</v>
      </c>
      <c r="AF460" s="15"/>
      <c r="AG460" s="10" t="s">
        <v>3524</v>
      </c>
      <c r="AH460" s="10" t="s">
        <v>3539</v>
      </c>
      <c r="AI460" s="10" t="s">
        <v>3539</v>
      </c>
      <c r="AJ460" s="10" t="s">
        <v>3885</v>
      </c>
      <c r="AK460" s="10" t="s">
        <v>102</v>
      </c>
      <c r="AL460" s="10" t="s">
        <v>147</v>
      </c>
      <c r="AM460" s="10"/>
      <c r="AN460" s="10"/>
      <c r="AO460" s="13" t="b">
        <v>1</v>
      </c>
      <c r="AP460" s="10" t="s">
        <v>104</v>
      </c>
      <c r="AQ460" s="10">
        <f ca="1">IFERROR(__xludf.DUMMYFUNCTION("""COMPUTED_VALUE"""),4510902)</f>
        <v>4510902</v>
      </c>
      <c r="AR460" s="17">
        <v>393577</v>
      </c>
      <c r="AS460" s="17">
        <v>223701</v>
      </c>
      <c r="AT460" s="17">
        <v>7010154</v>
      </c>
      <c r="AU460" s="17">
        <v>3198.15</v>
      </c>
      <c r="AV460" s="17">
        <v>1292.5</v>
      </c>
      <c r="AW460" s="10" t="s">
        <v>297</v>
      </c>
      <c r="AX460" s="17">
        <v>90461</v>
      </c>
      <c r="AY460" s="18">
        <v>31.337159869647433</v>
      </c>
      <c r="AZ460" s="10" t="s">
        <v>185</v>
      </c>
      <c r="BA460" s="20" t="b">
        <v>0</v>
      </c>
      <c r="BB460" s="10"/>
      <c r="BC460" s="17">
        <v>393577</v>
      </c>
      <c r="BD460" s="17">
        <v>223701</v>
      </c>
      <c r="BE460" s="17">
        <v>7010154</v>
      </c>
      <c r="BF460" s="17">
        <v>1292.5</v>
      </c>
      <c r="BG460" s="11">
        <f ca="1">IFERROR(__xludf.DUMMYFUNCTION("""COMPUTED_VALUE"""),45892.7916666666)</f>
        <v>45892.791666666599</v>
      </c>
      <c r="BH460" s="17" t="s">
        <v>297</v>
      </c>
      <c r="BI460" s="17"/>
      <c r="BJ460" s="15"/>
      <c r="BK460" s="15"/>
      <c r="BL460" s="13" t="b">
        <v>0</v>
      </c>
      <c r="BM460" s="10"/>
      <c r="BN460" s="10" t="s">
        <v>197</v>
      </c>
      <c r="BO460" s="11">
        <v>45860.370833333334</v>
      </c>
      <c r="BP460" s="11">
        <v>45888.674756944441</v>
      </c>
      <c r="BQ460" s="15">
        <v>45888.433668981481</v>
      </c>
      <c r="BR460" s="15">
        <v>45888.581412037034</v>
      </c>
      <c r="BS460" s="10" t="s">
        <v>197</v>
      </c>
      <c r="BT460" s="10" t="s">
        <v>99</v>
      </c>
      <c r="BU460" s="10" t="s">
        <v>456</v>
      </c>
      <c r="BV460" s="10" t="s">
        <v>281</v>
      </c>
      <c r="BW460" s="10" t="s">
        <v>2629</v>
      </c>
      <c r="BX460" s="10"/>
      <c r="BY460" s="23"/>
      <c r="BZ460" s="24" t="s">
        <v>368</v>
      </c>
      <c r="CA460" s="19" t="s">
        <v>3886</v>
      </c>
      <c r="CB460" s="19" t="s">
        <v>3887</v>
      </c>
      <c r="CC460" s="23"/>
      <c r="CD460" s="19" t="s">
        <v>3888</v>
      </c>
      <c r="CE460" s="23"/>
      <c r="CF460" s="23"/>
      <c r="CG460" s="23"/>
      <c r="CH460" s="23"/>
      <c r="CI460" s="23"/>
    </row>
    <row r="461" spans="1:87" x14ac:dyDescent="0.3">
      <c r="A461" s="9" t="s">
        <v>3889</v>
      </c>
      <c r="B461" s="10" t="s">
        <v>3890</v>
      </c>
      <c r="C461" s="11">
        <v>45893.645833333336</v>
      </c>
      <c r="D461" s="12">
        <v>8.3333333333333329E-2</v>
      </c>
      <c r="E461" s="11">
        <v>45893.729166666664</v>
      </c>
      <c r="F461" s="10" t="s">
        <v>3511</v>
      </c>
      <c r="G461" s="13" t="b">
        <v>0</v>
      </c>
      <c r="H461" s="10" t="s">
        <v>3512</v>
      </c>
      <c r="I461" s="10" t="s">
        <v>212</v>
      </c>
      <c r="J461" s="13" t="b">
        <v>1</v>
      </c>
      <c r="K461" s="13" t="b">
        <v>1</v>
      </c>
      <c r="L461" s="10" t="s">
        <v>124</v>
      </c>
      <c r="M461" s="10" t="s">
        <v>91</v>
      </c>
      <c r="N461" s="10" t="s">
        <v>3513</v>
      </c>
      <c r="O461" s="19" t="s">
        <v>3891</v>
      </c>
      <c r="P461" s="10"/>
      <c r="Q461" s="10" t="s">
        <v>126</v>
      </c>
      <c r="R461" s="10"/>
      <c r="S461" s="19" t="s">
        <v>3892</v>
      </c>
      <c r="T461" s="19" t="s">
        <v>3832</v>
      </c>
      <c r="U461" s="10" t="s">
        <v>3517</v>
      </c>
      <c r="V461" s="10" t="s">
        <v>3536</v>
      </c>
      <c r="W461" s="10" t="s">
        <v>3519</v>
      </c>
      <c r="X461" s="10" t="s">
        <v>130</v>
      </c>
      <c r="Y461" s="10" t="s">
        <v>130</v>
      </c>
      <c r="Z461" s="10" t="s">
        <v>99</v>
      </c>
      <c r="AA461" s="10" t="s">
        <v>131</v>
      </c>
      <c r="AB461" s="10" t="s">
        <v>3520</v>
      </c>
      <c r="AC461" s="10" t="s">
        <v>3521</v>
      </c>
      <c r="AD461" s="10" t="s">
        <v>3893</v>
      </c>
      <c r="AE461" s="10" t="s">
        <v>3894</v>
      </c>
      <c r="AF461" s="15"/>
      <c r="AG461" s="10" t="s">
        <v>3524</v>
      </c>
      <c r="AH461" s="10" t="s">
        <v>3539</v>
      </c>
      <c r="AI461" s="10" t="s">
        <v>3539</v>
      </c>
      <c r="AJ461" s="10" t="s">
        <v>3895</v>
      </c>
      <c r="AK461" s="10" t="s">
        <v>102</v>
      </c>
      <c r="AL461" s="10" t="s">
        <v>147</v>
      </c>
      <c r="AM461" s="10"/>
      <c r="AN461" s="10"/>
      <c r="AO461" s="13" t="b">
        <v>0</v>
      </c>
      <c r="AP461" s="10" t="s">
        <v>104</v>
      </c>
      <c r="AQ461" s="10">
        <f ca="1">IFERROR(__xludf.DUMMYFUNCTION("""COMPUTED_VALUE"""),4512874)</f>
        <v>4512874</v>
      </c>
      <c r="AR461" s="17">
        <v>150065</v>
      </c>
      <c r="AS461" s="17">
        <v>83107</v>
      </c>
      <c r="AT461" s="17">
        <v>2135105</v>
      </c>
      <c r="AU461" s="17">
        <v>357.9</v>
      </c>
      <c r="AV461" s="17">
        <v>224.3</v>
      </c>
      <c r="AW461" s="10" t="s">
        <v>105</v>
      </c>
      <c r="AX461" s="17">
        <v>31480</v>
      </c>
      <c r="AY461" s="18">
        <v>25.691036856101171</v>
      </c>
      <c r="AZ461" s="10" t="s">
        <v>185</v>
      </c>
      <c r="BA461" s="20" t="b">
        <v>0</v>
      </c>
      <c r="BB461" s="10"/>
      <c r="BC461" s="17">
        <v>150065</v>
      </c>
      <c r="BD461" s="17">
        <v>83107</v>
      </c>
      <c r="BE461" s="17">
        <v>2135105</v>
      </c>
      <c r="BF461" s="17">
        <v>224.3</v>
      </c>
      <c r="BG461" s="11">
        <f ca="1">IFERROR(__xludf.DUMMYFUNCTION("""COMPUTED_VALUE"""),45893.6458333333)</f>
        <v>45893.645833333299</v>
      </c>
      <c r="BH461" s="17" t="s">
        <v>105</v>
      </c>
      <c r="BI461" s="17"/>
      <c r="BJ461" s="15"/>
      <c r="BK461" s="15"/>
      <c r="BL461" s="13" t="b">
        <v>1</v>
      </c>
      <c r="BM461" s="10"/>
      <c r="BN461" s="10" t="s">
        <v>197</v>
      </c>
      <c r="BO461" s="11">
        <v>45860.370833333334</v>
      </c>
      <c r="BP461" s="11">
        <v>45888.680856481478</v>
      </c>
      <c r="BQ461" s="15">
        <v>45888.433449074073</v>
      </c>
      <c r="BR461" s="15">
        <v>45890.420532407406</v>
      </c>
      <c r="BS461" s="10" t="s">
        <v>197</v>
      </c>
      <c r="BT461" s="10" t="s">
        <v>279</v>
      </c>
      <c r="BU461" s="10" t="s">
        <v>498</v>
      </c>
      <c r="BV461" s="10"/>
      <c r="BW461" s="10"/>
      <c r="BX461" s="10"/>
      <c r="BY461" s="23"/>
      <c r="BZ461" s="24" t="s">
        <v>299</v>
      </c>
      <c r="CA461" s="19" t="s">
        <v>3896</v>
      </c>
      <c r="CB461" s="19" t="s">
        <v>3897</v>
      </c>
      <c r="CC461" s="23"/>
      <c r="CD461" s="19" t="s">
        <v>3898</v>
      </c>
      <c r="CE461" s="23"/>
      <c r="CF461" s="23"/>
      <c r="CG461" s="23"/>
      <c r="CH461" s="23"/>
      <c r="CI461" s="23"/>
    </row>
    <row r="462" spans="1:87" x14ac:dyDescent="0.3">
      <c r="A462" s="9" t="s">
        <v>3899</v>
      </c>
      <c r="B462" s="10" t="s">
        <v>3900</v>
      </c>
      <c r="C462" s="11">
        <v>45893.645833333336</v>
      </c>
      <c r="D462" s="12">
        <v>8.3333333333333329E-2</v>
      </c>
      <c r="E462" s="11">
        <v>45893.729166666664</v>
      </c>
      <c r="F462" s="10" t="s">
        <v>3511</v>
      </c>
      <c r="G462" s="13" t="b">
        <v>0</v>
      </c>
      <c r="H462" s="10" t="s">
        <v>123</v>
      </c>
      <c r="I462" s="10" t="s">
        <v>3548</v>
      </c>
      <c r="J462" s="13" t="b">
        <v>0</v>
      </c>
      <c r="K462" s="13" t="b">
        <v>1</v>
      </c>
      <c r="L462" s="10" t="s">
        <v>124</v>
      </c>
      <c r="M462" s="10" t="s">
        <v>91</v>
      </c>
      <c r="N462" s="10" t="s">
        <v>3513</v>
      </c>
      <c r="O462" s="19" t="s">
        <v>3901</v>
      </c>
      <c r="P462" s="10"/>
      <c r="Q462" s="10" t="s">
        <v>126</v>
      </c>
      <c r="R462" s="10"/>
      <c r="S462" s="19" t="s">
        <v>3902</v>
      </c>
      <c r="T462" s="19" t="s">
        <v>3832</v>
      </c>
      <c r="U462" s="10" t="s">
        <v>3552</v>
      </c>
      <c r="V462" s="10" t="s">
        <v>3609</v>
      </c>
      <c r="W462" s="10" t="s">
        <v>3519</v>
      </c>
      <c r="X462" s="10" t="s">
        <v>130</v>
      </c>
      <c r="Y462" s="10" t="s">
        <v>130</v>
      </c>
      <c r="Z462" s="10" t="s">
        <v>99</v>
      </c>
      <c r="AA462" s="10" t="s">
        <v>131</v>
      </c>
      <c r="AB462" s="10" t="s">
        <v>3520</v>
      </c>
      <c r="AC462" s="10" t="s">
        <v>3521</v>
      </c>
      <c r="AD462" s="10" t="s">
        <v>3903</v>
      </c>
      <c r="AE462" s="10" t="s">
        <v>3904</v>
      </c>
      <c r="AF462" s="15"/>
      <c r="AG462" s="10" t="s">
        <v>3524</v>
      </c>
      <c r="AH462" s="10" t="s">
        <v>3539</v>
      </c>
      <c r="AI462" s="10" t="s">
        <v>3539</v>
      </c>
      <c r="AJ462" s="10" t="s">
        <v>3905</v>
      </c>
      <c r="AK462" s="10" t="s">
        <v>102</v>
      </c>
      <c r="AL462" s="10" t="s">
        <v>147</v>
      </c>
      <c r="AM462" s="10"/>
      <c r="AN462" s="10"/>
      <c r="AO462" s="13" t="b">
        <v>1</v>
      </c>
      <c r="AP462" s="10" t="s">
        <v>104</v>
      </c>
      <c r="AQ462" s="10">
        <f ca="1">IFERROR(__xludf.DUMMYFUNCTION("""COMPUTED_VALUE"""),4512887)</f>
        <v>4512887</v>
      </c>
      <c r="AR462" s="17">
        <v>613845</v>
      </c>
      <c r="AS462" s="17">
        <v>300620</v>
      </c>
      <c r="AT462" s="17">
        <v>14900578.5</v>
      </c>
      <c r="AU462" s="17">
        <v>5253.05</v>
      </c>
      <c r="AV462" s="17">
        <v>2589.15</v>
      </c>
      <c r="AW462" s="10" t="s">
        <v>297</v>
      </c>
      <c r="AX462" s="17">
        <v>151597</v>
      </c>
      <c r="AY462" s="18">
        <v>49.566158272902669</v>
      </c>
      <c r="AZ462" s="10" t="s">
        <v>185</v>
      </c>
      <c r="BA462" s="20" t="b">
        <v>0</v>
      </c>
      <c r="BB462" s="10"/>
      <c r="BC462" s="17">
        <v>613845</v>
      </c>
      <c r="BD462" s="17">
        <v>300620</v>
      </c>
      <c r="BE462" s="17">
        <v>14900578.5</v>
      </c>
      <c r="BF462" s="17">
        <v>2589.15</v>
      </c>
      <c r="BG462" s="11">
        <f ca="1">IFERROR(__xludf.DUMMYFUNCTION("""COMPUTED_VALUE"""),45893.6458333333)</f>
        <v>45893.645833333299</v>
      </c>
      <c r="BH462" s="17" t="s">
        <v>297</v>
      </c>
      <c r="BI462" s="17"/>
      <c r="BJ462" s="15"/>
      <c r="BK462" s="15"/>
      <c r="BL462" s="13" t="b">
        <v>0</v>
      </c>
      <c r="BM462" s="10"/>
      <c r="BN462" s="10" t="s">
        <v>197</v>
      </c>
      <c r="BO462" s="11">
        <v>45860.370833333334</v>
      </c>
      <c r="BP462" s="11">
        <v>45888.681689814817</v>
      </c>
      <c r="BQ462" s="15">
        <v>45888.433356481481</v>
      </c>
      <c r="BR462" s="15">
        <v>45890.420312499999</v>
      </c>
      <c r="BS462" s="10" t="s">
        <v>197</v>
      </c>
      <c r="BT462" s="10" t="s">
        <v>99</v>
      </c>
      <c r="BU462" s="10" t="s">
        <v>816</v>
      </c>
      <c r="BV462" s="10" t="s">
        <v>281</v>
      </c>
      <c r="BW462" s="10" t="s">
        <v>3906</v>
      </c>
      <c r="BX462" s="10"/>
      <c r="BY462" s="23"/>
      <c r="BZ462" s="24" t="s">
        <v>284</v>
      </c>
      <c r="CA462" s="19" t="s">
        <v>3907</v>
      </c>
      <c r="CB462" s="19" t="s">
        <v>3908</v>
      </c>
      <c r="CC462" s="23"/>
      <c r="CD462" s="19" t="s">
        <v>3909</v>
      </c>
      <c r="CE462" s="23"/>
      <c r="CF462" s="23"/>
      <c r="CG462" s="23"/>
      <c r="CH462" s="23"/>
      <c r="CI462" s="23"/>
    </row>
    <row r="463" spans="1:87" x14ac:dyDescent="0.3">
      <c r="A463" s="9" t="s">
        <v>3910</v>
      </c>
      <c r="B463" s="10" t="s">
        <v>3911</v>
      </c>
      <c r="C463" s="11">
        <v>45893.791666666664</v>
      </c>
      <c r="D463" s="12">
        <v>8.3333333333333329E-2</v>
      </c>
      <c r="E463" s="11">
        <v>45893.875</v>
      </c>
      <c r="F463" s="10" t="s">
        <v>3511</v>
      </c>
      <c r="G463" s="13" t="b">
        <v>0</v>
      </c>
      <c r="H463" s="10" t="s">
        <v>3512</v>
      </c>
      <c r="I463" s="10" t="s">
        <v>212</v>
      </c>
      <c r="J463" s="13" t="b">
        <v>1</v>
      </c>
      <c r="K463" s="13" t="b">
        <v>1</v>
      </c>
      <c r="L463" s="10" t="s">
        <v>124</v>
      </c>
      <c r="M463" s="10" t="s">
        <v>91</v>
      </c>
      <c r="N463" s="10" t="s">
        <v>3513</v>
      </c>
      <c r="O463" s="19" t="s">
        <v>3912</v>
      </c>
      <c r="P463" s="10"/>
      <c r="Q463" s="10" t="s">
        <v>126</v>
      </c>
      <c r="R463" s="10"/>
      <c r="S463" s="19" t="s">
        <v>3913</v>
      </c>
      <c r="T463" s="19" t="s">
        <v>3832</v>
      </c>
      <c r="U463" s="10" t="s">
        <v>3635</v>
      </c>
      <c r="V463" s="10" t="s">
        <v>3648</v>
      </c>
      <c r="W463" s="10" t="s">
        <v>3519</v>
      </c>
      <c r="X463" s="10" t="s">
        <v>130</v>
      </c>
      <c r="Y463" s="10" t="s">
        <v>130</v>
      </c>
      <c r="Z463" s="10" t="s">
        <v>99</v>
      </c>
      <c r="AA463" s="10" t="s">
        <v>131</v>
      </c>
      <c r="AB463" s="10" t="s">
        <v>3520</v>
      </c>
      <c r="AC463" s="10" t="s">
        <v>3521</v>
      </c>
      <c r="AD463" s="10" t="s">
        <v>3914</v>
      </c>
      <c r="AE463" s="10" t="s">
        <v>3915</v>
      </c>
      <c r="AF463" s="15"/>
      <c r="AG463" s="10" t="s">
        <v>3524</v>
      </c>
      <c r="AH463" s="10" t="s">
        <v>3539</v>
      </c>
      <c r="AI463" s="10" t="s">
        <v>3539</v>
      </c>
      <c r="AJ463" s="10" t="s">
        <v>3916</v>
      </c>
      <c r="AK463" s="10" t="s">
        <v>102</v>
      </c>
      <c r="AL463" s="10" t="s">
        <v>147</v>
      </c>
      <c r="AM463" s="10"/>
      <c r="AN463" s="10"/>
      <c r="AO463" s="13" t="b">
        <v>0</v>
      </c>
      <c r="AP463" s="10" t="s">
        <v>104</v>
      </c>
      <c r="AQ463" s="10">
        <f ca="1">IFERROR(__xludf.DUMMYFUNCTION("""COMPUTED_VALUE"""),4512889)</f>
        <v>4512889</v>
      </c>
      <c r="AR463" s="17">
        <v>188590</v>
      </c>
      <c r="AS463" s="17">
        <v>113932</v>
      </c>
      <c r="AT463" s="17">
        <v>3072918.5</v>
      </c>
      <c r="AU463" s="17">
        <v>477.45</v>
      </c>
      <c r="AV463" s="17">
        <v>172.65</v>
      </c>
      <c r="AW463" s="10" t="s">
        <v>105</v>
      </c>
      <c r="AX463" s="17">
        <v>41547</v>
      </c>
      <c r="AY463" s="18">
        <v>26.971513709932239</v>
      </c>
      <c r="AZ463" s="10" t="s">
        <v>185</v>
      </c>
      <c r="BA463" s="20" t="b">
        <v>0</v>
      </c>
      <c r="BB463" s="10"/>
      <c r="BC463" s="17">
        <v>188590</v>
      </c>
      <c r="BD463" s="17">
        <v>113932</v>
      </c>
      <c r="BE463" s="17">
        <v>3072918.5</v>
      </c>
      <c r="BF463" s="17">
        <v>172.65</v>
      </c>
      <c r="BG463" s="11">
        <f ca="1">IFERROR(__xludf.DUMMYFUNCTION("""COMPUTED_VALUE"""),45893.7916666666)</f>
        <v>45893.791666666599</v>
      </c>
      <c r="BH463" s="17" t="s">
        <v>105</v>
      </c>
      <c r="BI463" s="17"/>
      <c r="BJ463" s="15"/>
      <c r="BK463" s="15"/>
      <c r="BL463" s="13" t="b">
        <v>1</v>
      </c>
      <c r="BM463" s="10"/>
      <c r="BN463" s="10" t="s">
        <v>197</v>
      </c>
      <c r="BO463" s="11">
        <v>45860.370833333334</v>
      </c>
      <c r="BP463" s="11">
        <v>45890.600358796299</v>
      </c>
      <c r="BQ463" s="15">
        <v>45888.433252314811</v>
      </c>
      <c r="BR463" s="15">
        <v>45890.41983796296</v>
      </c>
      <c r="BS463" s="10" t="s">
        <v>197</v>
      </c>
      <c r="BT463" s="10" t="s">
        <v>99</v>
      </c>
      <c r="BU463" s="10" t="s">
        <v>655</v>
      </c>
      <c r="BV463" s="10"/>
      <c r="BW463" s="10"/>
      <c r="BX463" s="10"/>
      <c r="BY463" s="23"/>
      <c r="BZ463" s="24" t="s">
        <v>299</v>
      </c>
      <c r="CA463" s="19" t="s">
        <v>3917</v>
      </c>
      <c r="CB463" s="19" t="s">
        <v>3918</v>
      </c>
      <c r="CC463" s="23"/>
      <c r="CD463" s="19" t="s">
        <v>3919</v>
      </c>
      <c r="CE463" s="23"/>
      <c r="CF463" s="23"/>
      <c r="CG463" s="23"/>
      <c r="CH463" s="23"/>
      <c r="CI463" s="23"/>
    </row>
    <row r="464" spans="1:87" x14ac:dyDescent="0.3">
      <c r="A464" s="9" t="s">
        <v>3920</v>
      </c>
      <c r="B464" s="10" t="s">
        <v>3921</v>
      </c>
      <c r="C464" s="11">
        <v>45898.645833333336</v>
      </c>
      <c r="D464" s="12">
        <v>8.3333333333333329E-2</v>
      </c>
      <c r="E464" s="11">
        <v>45898.729166666664</v>
      </c>
      <c r="F464" s="10" t="s">
        <v>3511</v>
      </c>
      <c r="G464" s="13" t="b">
        <v>0</v>
      </c>
      <c r="H464" s="10" t="s">
        <v>3512</v>
      </c>
      <c r="I464" s="10" t="s">
        <v>212</v>
      </c>
      <c r="J464" s="13" t="b">
        <v>1</v>
      </c>
      <c r="K464" s="13" t="b">
        <v>0</v>
      </c>
      <c r="L464" s="10" t="s">
        <v>124</v>
      </c>
      <c r="M464" s="10" t="s">
        <v>91</v>
      </c>
      <c r="N464" s="10" t="s">
        <v>3513</v>
      </c>
      <c r="O464" s="19" t="s">
        <v>3922</v>
      </c>
      <c r="P464" s="10"/>
      <c r="Q464" s="10" t="s">
        <v>126</v>
      </c>
      <c r="R464" s="10"/>
      <c r="S464" s="19" t="s">
        <v>3923</v>
      </c>
      <c r="T464" s="19" t="s">
        <v>3924</v>
      </c>
      <c r="U464" s="10" t="s">
        <v>3518</v>
      </c>
      <c r="V464" s="10" t="s">
        <v>3636</v>
      </c>
      <c r="W464" s="10" t="s">
        <v>3519</v>
      </c>
      <c r="X464" s="10" t="s">
        <v>130</v>
      </c>
      <c r="Y464" s="10" t="s">
        <v>130</v>
      </c>
      <c r="Z464" s="10" t="s">
        <v>99</v>
      </c>
      <c r="AA464" s="10" t="s">
        <v>131</v>
      </c>
      <c r="AB464" s="10" t="s">
        <v>3520</v>
      </c>
      <c r="AC464" s="10" t="s">
        <v>3521</v>
      </c>
      <c r="AD464" s="10" t="s">
        <v>3925</v>
      </c>
      <c r="AE464" s="10" t="s">
        <v>3926</v>
      </c>
      <c r="AF464" s="15"/>
      <c r="AG464" s="10" t="s">
        <v>3524</v>
      </c>
      <c r="AH464" s="10" t="s">
        <v>3539</v>
      </c>
      <c r="AI464" s="10" t="s">
        <v>3539</v>
      </c>
      <c r="AJ464" s="10" t="s">
        <v>3927</v>
      </c>
      <c r="AK464" s="10" t="s">
        <v>102</v>
      </c>
      <c r="AL464" s="10" t="s">
        <v>156</v>
      </c>
      <c r="AM464" s="10"/>
      <c r="AN464" s="10"/>
      <c r="AO464" s="13" t="b">
        <v>0</v>
      </c>
      <c r="AP464" s="10" t="s">
        <v>104</v>
      </c>
      <c r="AQ464" s="10">
        <f ca="1">IFERROR(__xludf.DUMMYFUNCTION("""COMPUTED_VALUE"""),4529534)</f>
        <v>4529534</v>
      </c>
      <c r="AR464" s="17">
        <v>154472</v>
      </c>
      <c r="AS464" s="17">
        <v>88063</v>
      </c>
      <c r="AT464" s="17">
        <v>1915910.25</v>
      </c>
      <c r="AU464" s="17">
        <v>464.05</v>
      </c>
      <c r="AV464" s="17">
        <v>145.05000000000001</v>
      </c>
      <c r="AW464" s="10" t="s">
        <v>105</v>
      </c>
      <c r="AX464" s="17">
        <v>28001</v>
      </c>
      <c r="AY464" s="18">
        <v>21.756131973700647</v>
      </c>
      <c r="AZ464" s="10" t="s">
        <v>185</v>
      </c>
      <c r="BA464" s="20" t="b">
        <v>0</v>
      </c>
      <c r="BB464" s="10"/>
      <c r="BC464" s="17">
        <v>154472</v>
      </c>
      <c r="BD464" s="17">
        <v>88063</v>
      </c>
      <c r="BE464" s="17">
        <v>1915910.25</v>
      </c>
      <c r="BF464" s="17">
        <v>145.05000000000001</v>
      </c>
      <c r="BG464" s="11">
        <f ca="1">IFERROR(__xludf.DUMMYFUNCTION("""COMPUTED_VALUE"""),45898.6458333333)</f>
        <v>45898.645833333299</v>
      </c>
      <c r="BH464" s="17" t="s">
        <v>105</v>
      </c>
      <c r="BI464" s="17"/>
      <c r="BJ464" s="15"/>
      <c r="BK464" s="15"/>
      <c r="BL464" s="13" t="b">
        <v>1</v>
      </c>
      <c r="BM464" s="10"/>
      <c r="BN464" s="10" t="s">
        <v>667</v>
      </c>
      <c r="BO464" s="11">
        <v>45860.370833333334</v>
      </c>
      <c r="BP464" s="11">
        <v>45897.690578703703</v>
      </c>
      <c r="BQ464" s="15">
        <v>45895.610092592593</v>
      </c>
      <c r="BR464" s="15">
        <v>45897.815555555557</v>
      </c>
      <c r="BS464" s="10" t="s">
        <v>667</v>
      </c>
      <c r="BT464" s="10" t="s">
        <v>99</v>
      </c>
      <c r="BU464" s="10" t="s">
        <v>718</v>
      </c>
      <c r="BV464" s="10"/>
      <c r="BW464" s="10"/>
      <c r="BX464" s="10"/>
      <c r="BY464" s="23"/>
      <c r="BZ464" s="24"/>
      <c r="CA464" s="19" t="s">
        <v>3928</v>
      </c>
      <c r="CB464" s="19" t="s">
        <v>3929</v>
      </c>
      <c r="CC464" s="23"/>
      <c r="CD464" s="19" t="s">
        <v>3930</v>
      </c>
      <c r="CE464" s="23"/>
      <c r="CF464" s="23"/>
      <c r="CG464" s="23"/>
      <c r="CH464" s="23"/>
      <c r="CI464" s="23"/>
    </row>
    <row r="465" spans="1:87" x14ac:dyDescent="0.3">
      <c r="A465" s="9" t="s">
        <v>3931</v>
      </c>
      <c r="B465" s="10" t="s">
        <v>3932</v>
      </c>
      <c r="C465" s="11">
        <v>45898.791666666664</v>
      </c>
      <c r="D465" s="12">
        <v>8.3333333333333329E-2</v>
      </c>
      <c r="E465" s="11">
        <v>45898.875</v>
      </c>
      <c r="F465" s="10" t="s">
        <v>3511</v>
      </c>
      <c r="G465" s="13" t="b">
        <v>0</v>
      </c>
      <c r="H465" s="10" t="s">
        <v>123</v>
      </c>
      <c r="I465" s="10" t="s">
        <v>3548</v>
      </c>
      <c r="J465" s="13" t="b">
        <v>0</v>
      </c>
      <c r="K465" s="13" t="b">
        <v>1</v>
      </c>
      <c r="L465" s="10" t="s">
        <v>124</v>
      </c>
      <c r="M465" s="10" t="s">
        <v>91</v>
      </c>
      <c r="N465" s="10" t="s">
        <v>3513</v>
      </c>
      <c r="O465" s="19" t="s">
        <v>3933</v>
      </c>
      <c r="P465" s="10"/>
      <c r="Q465" s="10" t="s">
        <v>126</v>
      </c>
      <c r="R465" s="10"/>
      <c r="S465" s="19" t="s">
        <v>3934</v>
      </c>
      <c r="T465" s="19" t="s">
        <v>3924</v>
      </c>
      <c r="U465" s="10" t="s">
        <v>3622</v>
      </c>
      <c r="V465" s="10" t="s">
        <v>3647</v>
      </c>
      <c r="W465" s="10" t="s">
        <v>3519</v>
      </c>
      <c r="X465" s="10" t="s">
        <v>130</v>
      </c>
      <c r="Y465" s="10" t="s">
        <v>130</v>
      </c>
      <c r="Z465" s="10" t="s">
        <v>99</v>
      </c>
      <c r="AA465" s="10" t="s">
        <v>131</v>
      </c>
      <c r="AB465" s="10" t="s">
        <v>3520</v>
      </c>
      <c r="AC465" s="10" t="s">
        <v>3521</v>
      </c>
      <c r="AD465" s="10" t="s">
        <v>3935</v>
      </c>
      <c r="AE465" s="10" t="s">
        <v>3936</v>
      </c>
      <c r="AF465" s="15"/>
      <c r="AG465" s="10" t="s">
        <v>3524</v>
      </c>
      <c r="AH465" s="10" t="s">
        <v>3539</v>
      </c>
      <c r="AI465" s="10" t="s">
        <v>3539</v>
      </c>
      <c r="AJ465" s="10" t="s">
        <v>3937</v>
      </c>
      <c r="AK465" s="10" t="s">
        <v>102</v>
      </c>
      <c r="AL465" s="10" t="s">
        <v>156</v>
      </c>
      <c r="AM465" s="10"/>
      <c r="AN465" s="10"/>
      <c r="AO465" s="13" t="b">
        <v>1</v>
      </c>
      <c r="AP465" s="10" t="s">
        <v>104</v>
      </c>
      <c r="AQ465" s="10">
        <f ca="1">IFERROR(__xludf.DUMMYFUNCTION("""COMPUTED_VALUE"""),4525642)</f>
        <v>4525642</v>
      </c>
      <c r="AR465" s="17">
        <v>508034</v>
      </c>
      <c r="AS465" s="17">
        <v>265360</v>
      </c>
      <c r="AT465" s="17">
        <v>10657404.5</v>
      </c>
      <c r="AU465" s="17">
        <v>6506.65</v>
      </c>
      <c r="AV465" s="17">
        <v>1865.15</v>
      </c>
      <c r="AW465" s="10" t="s">
        <v>297</v>
      </c>
      <c r="AX465" s="17">
        <v>120508</v>
      </c>
      <c r="AY465" s="18">
        <v>40.162060973771482</v>
      </c>
      <c r="AZ465" s="10" t="s">
        <v>185</v>
      </c>
      <c r="BA465" s="20" t="b">
        <v>0</v>
      </c>
      <c r="BB465" s="10"/>
      <c r="BC465" s="17">
        <v>508034</v>
      </c>
      <c r="BD465" s="17">
        <v>265360</v>
      </c>
      <c r="BE465" s="17">
        <v>10657404.5</v>
      </c>
      <c r="BF465" s="17">
        <v>1865.15</v>
      </c>
      <c r="BG465" s="11">
        <f ca="1">IFERROR(__xludf.DUMMYFUNCTION("""COMPUTED_VALUE"""),45898.7916666666)</f>
        <v>45898.791666666599</v>
      </c>
      <c r="BH465" s="17" t="s">
        <v>297</v>
      </c>
      <c r="BI465" s="17"/>
      <c r="BJ465" s="15"/>
      <c r="BK465" s="15"/>
      <c r="BL465" s="13" t="b">
        <v>0</v>
      </c>
      <c r="BM465" s="10"/>
      <c r="BN465" s="10" t="s">
        <v>667</v>
      </c>
      <c r="BO465" s="11">
        <v>45860.370833333334</v>
      </c>
      <c r="BP465" s="11">
        <v>45895.479872685188</v>
      </c>
      <c r="BQ465" s="15">
        <v>45895.610300925924</v>
      </c>
      <c r="BR465" s="15">
        <v>45895.659479166665</v>
      </c>
      <c r="BS465" s="10" t="s">
        <v>667</v>
      </c>
      <c r="BT465" s="10" t="s">
        <v>99</v>
      </c>
      <c r="BU465" s="10" t="s">
        <v>456</v>
      </c>
      <c r="BV465" s="10" t="s">
        <v>281</v>
      </c>
      <c r="BW465" s="10"/>
      <c r="BX465" s="10"/>
      <c r="BY465" s="23"/>
      <c r="BZ465" s="24" t="s">
        <v>368</v>
      </c>
      <c r="CA465" s="19" t="s">
        <v>3938</v>
      </c>
      <c r="CB465" s="19" t="s">
        <v>3939</v>
      </c>
      <c r="CC465" s="23"/>
      <c r="CD465" s="19" t="s">
        <v>3940</v>
      </c>
      <c r="CE465" s="23"/>
      <c r="CF465" s="23"/>
      <c r="CG465" s="23"/>
      <c r="CH465" s="23"/>
      <c r="CI465" s="23"/>
    </row>
    <row r="466" spans="1:87" x14ac:dyDescent="0.3">
      <c r="A466" s="9" t="s">
        <v>3941</v>
      </c>
      <c r="B466" s="10" t="s">
        <v>3942</v>
      </c>
      <c r="C466" s="11">
        <v>45899.791666666664</v>
      </c>
      <c r="D466" s="12">
        <v>8.3333333333333329E-2</v>
      </c>
      <c r="E466" s="11">
        <v>45899.875</v>
      </c>
      <c r="F466" s="10" t="s">
        <v>3511</v>
      </c>
      <c r="G466" s="13" t="b">
        <v>0</v>
      </c>
      <c r="H466" s="10" t="s">
        <v>123</v>
      </c>
      <c r="I466" s="10" t="s">
        <v>3548</v>
      </c>
      <c r="J466" s="13" t="b">
        <v>0</v>
      </c>
      <c r="K466" s="13" t="b">
        <v>1</v>
      </c>
      <c r="L466" s="10" t="s">
        <v>124</v>
      </c>
      <c r="M466" s="10" t="s">
        <v>91</v>
      </c>
      <c r="N466" s="10" t="s">
        <v>3513</v>
      </c>
      <c r="O466" s="19" t="s">
        <v>3943</v>
      </c>
      <c r="P466" s="10"/>
      <c r="Q466" s="10" t="s">
        <v>126</v>
      </c>
      <c r="R466" s="10"/>
      <c r="S466" s="19" t="s">
        <v>3944</v>
      </c>
      <c r="T466" s="19" t="s">
        <v>3924</v>
      </c>
      <c r="U466" s="10" t="s">
        <v>3661</v>
      </c>
      <c r="V466" s="10" t="s">
        <v>3635</v>
      </c>
      <c r="W466" s="10" t="s">
        <v>3519</v>
      </c>
      <c r="X466" s="10" t="s">
        <v>130</v>
      </c>
      <c r="Y466" s="10" t="s">
        <v>130</v>
      </c>
      <c r="Z466" s="10" t="s">
        <v>99</v>
      </c>
      <c r="AA466" s="10" t="s">
        <v>131</v>
      </c>
      <c r="AB466" s="10" t="s">
        <v>3520</v>
      </c>
      <c r="AC466" s="10" t="s">
        <v>3521</v>
      </c>
      <c r="AD466" s="10" t="s">
        <v>3945</v>
      </c>
      <c r="AE466" s="10" t="s">
        <v>3946</v>
      </c>
      <c r="AF466" s="15"/>
      <c r="AG466" s="10" t="s">
        <v>3524</v>
      </c>
      <c r="AH466" s="10" t="s">
        <v>3539</v>
      </c>
      <c r="AI466" s="10" t="s">
        <v>3539</v>
      </c>
      <c r="AJ466" s="10" t="s">
        <v>3947</v>
      </c>
      <c r="AK466" s="10" t="s">
        <v>102</v>
      </c>
      <c r="AL466" s="10" t="s">
        <v>156</v>
      </c>
      <c r="AM466" s="10"/>
      <c r="AN466" s="10"/>
      <c r="AO466" s="13" t="b">
        <v>0</v>
      </c>
      <c r="AP466" s="10" t="s">
        <v>104</v>
      </c>
      <c r="AQ466" s="10">
        <f ca="1">IFERROR(__xludf.DUMMYFUNCTION("""COMPUTED_VALUE"""),4525644)</f>
        <v>4525644</v>
      </c>
      <c r="AR466" s="17">
        <v>230425</v>
      </c>
      <c r="AS466" s="17">
        <v>142951</v>
      </c>
      <c r="AT466" s="17">
        <v>3510432.5</v>
      </c>
      <c r="AU466" s="17">
        <v>1105.4000000000001</v>
      </c>
      <c r="AV466" s="17">
        <v>343.05</v>
      </c>
      <c r="AW466" s="10" t="s">
        <v>105</v>
      </c>
      <c r="AX466" s="17">
        <v>42044</v>
      </c>
      <c r="AY466" s="18">
        <v>24.556893620891074</v>
      </c>
      <c r="AZ466" s="10" t="s">
        <v>185</v>
      </c>
      <c r="BA466" s="20" t="b">
        <v>0</v>
      </c>
      <c r="BB466" s="10"/>
      <c r="BC466" s="17">
        <v>230425</v>
      </c>
      <c r="BD466" s="17">
        <v>142951</v>
      </c>
      <c r="BE466" s="17">
        <v>3510432.5</v>
      </c>
      <c r="BF466" s="17">
        <v>343.05</v>
      </c>
      <c r="BG466" s="11">
        <f ca="1">IFERROR(__xludf.DUMMYFUNCTION("""COMPUTED_VALUE"""),45899.7916666666)</f>
        <v>45899.791666666599</v>
      </c>
      <c r="BH466" s="17" t="s">
        <v>105</v>
      </c>
      <c r="BI466" s="17"/>
      <c r="BJ466" s="15"/>
      <c r="BK466" s="15"/>
      <c r="BL466" s="13" t="b">
        <v>0</v>
      </c>
      <c r="BM466" s="10"/>
      <c r="BN466" s="10" t="s">
        <v>149</v>
      </c>
      <c r="BO466" s="11">
        <v>45860.370833333334</v>
      </c>
      <c r="BP466" s="11">
        <v>45895.529363425929</v>
      </c>
      <c r="BQ466" s="15">
        <v>45895.611990740741</v>
      </c>
      <c r="BR466" s="15">
        <v>45895.659814814811</v>
      </c>
      <c r="BS466" s="10" t="s">
        <v>149</v>
      </c>
      <c r="BT466" s="10" t="s">
        <v>99</v>
      </c>
      <c r="BU466" s="10" t="s">
        <v>421</v>
      </c>
      <c r="BV466" s="10" t="s">
        <v>124</v>
      </c>
      <c r="BW466" s="10"/>
      <c r="BX466" s="10"/>
      <c r="BY466" s="23"/>
      <c r="BZ466" s="24" t="s">
        <v>284</v>
      </c>
      <c r="CA466" s="19" t="s">
        <v>3948</v>
      </c>
      <c r="CB466" s="19" t="s">
        <v>3949</v>
      </c>
      <c r="CC466" s="23"/>
      <c r="CD466" s="19" t="s">
        <v>3950</v>
      </c>
      <c r="CE466" s="23"/>
      <c r="CF466" s="23"/>
      <c r="CG466" s="23"/>
      <c r="CH466" s="23"/>
      <c r="CI466" s="23"/>
    </row>
    <row r="467" spans="1:87" x14ac:dyDescent="0.3">
      <c r="A467" s="9" t="s">
        <v>3951</v>
      </c>
      <c r="B467" s="10" t="s">
        <v>3952</v>
      </c>
      <c r="C467" s="11">
        <v>45899.645833333336</v>
      </c>
      <c r="D467" s="12">
        <v>8.3333333333333329E-2</v>
      </c>
      <c r="E467" s="11">
        <v>45899.729166666664</v>
      </c>
      <c r="F467" s="10" t="s">
        <v>3511</v>
      </c>
      <c r="G467" s="13" t="b">
        <v>0</v>
      </c>
      <c r="H467" s="10" t="s">
        <v>123</v>
      </c>
      <c r="I467" s="10" t="s">
        <v>3548</v>
      </c>
      <c r="J467" s="13" t="b">
        <v>0</v>
      </c>
      <c r="K467" s="13" t="b">
        <v>1</v>
      </c>
      <c r="L467" s="10" t="s">
        <v>124</v>
      </c>
      <c r="M467" s="10" t="s">
        <v>91</v>
      </c>
      <c r="N467" s="10" t="s">
        <v>3513</v>
      </c>
      <c r="O467" s="19" t="s">
        <v>3953</v>
      </c>
      <c r="P467" s="10"/>
      <c r="Q467" s="10" t="s">
        <v>126</v>
      </c>
      <c r="R467" s="10"/>
      <c r="S467" s="19" t="s">
        <v>3954</v>
      </c>
      <c r="T467" s="19" t="s">
        <v>3924</v>
      </c>
      <c r="U467" s="10" t="s">
        <v>3536</v>
      </c>
      <c r="V467" s="10" t="s">
        <v>3676</v>
      </c>
      <c r="W467" s="10" t="s">
        <v>3519</v>
      </c>
      <c r="X467" s="10" t="s">
        <v>130</v>
      </c>
      <c r="Y467" s="10" t="s">
        <v>130</v>
      </c>
      <c r="Z467" s="10" t="s">
        <v>99</v>
      </c>
      <c r="AA467" s="10" t="s">
        <v>131</v>
      </c>
      <c r="AB467" s="10" t="s">
        <v>3520</v>
      </c>
      <c r="AC467" s="10" t="s">
        <v>3521</v>
      </c>
      <c r="AD467" s="10" t="s">
        <v>3955</v>
      </c>
      <c r="AE467" s="10" t="s">
        <v>3956</v>
      </c>
      <c r="AF467" s="15"/>
      <c r="AG467" s="10" t="s">
        <v>3524</v>
      </c>
      <c r="AH467" s="10" t="s">
        <v>3539</v>
      </c>
      <c r="AI467" s="10" t="s">
        <v>3539</v>
      </c>
      <c r="AJ467" s="10" t="s">
        <v>3957</v>
      </c>
      <c r="AK467" s="10" t="s">
        <v>102</v>
      </c>
      <c r="AL467" s="10" t="s">
        <v>156</v>
      </c>
      <c r="AM467" s="10"/>
      <c r="AN467" s="10"/>
      <c r="AO467" s="13" t="b">
        <v>0</v>
      </c>
      <c r="AP467" s="10" t="s">
        <v>104</v>
      </c>
      <c r="AQ467" s="10">
        <f ca="1">IFERROR(__xludf.DUMMYFUNCTION("""COMPUTED_VALUE"""),4525643)</f>
        <v>4525643</v>
      </c>
      <c r="AR467" s="17">
        <v>219300</v>
      </c>
      <c r="AS467" s="17">
        <v>136638</v>
      </c>
      <c r="AT467" s="17">
        <v>4062661.75</v>
      </c>
      <c r="AU467" s="17">
        <v>1381.35</v>
      </c>
      <c r="AV467" s="17">
        <v>518.20000000000005</v>
      </c>
      <c r="AW467" s="10" t="s">
        <v>105</v>
      </c>
      <c r="AX467" s="17">
        <v>47297</v>
      </c>
      <c r="AY467" s="18">
        <v>29.733029977019569</v>
      </c>
      <c r="AZ467" s="10" t="s">
        <v>185</v>
      </c>
      <c r="BA467" s="20" t="b">
        <v>0</v>
      </c>
      <c r="BB467" s="10"/>
      <c r="BC467" s="17">
        <v>219300</v>
      </c>
      <c r="BD467" s="17">
        <v>136638</v>
      </c>
      <c r="BE467" s="17">
        <v>4062661.75</v>
      </c>
      <c r="BF467" s="17">
        <v>518.20000000000005</v>
      </c>
      <c r="BG467" s="11">
        <f ca="1">IFERROR(__xludf.DUMMYFUNCTION("""COMPUTED_VALUE"""),45899.6458333333)</f>
        <v>45899.645833333299</v>
      </c>
      <c r="BH467" s="17" t="s">
        <v>105</v>
      </c>
      <c r="BI467" s="17"/>
      <c r="BJ467" s="15"/>
      <c r="BK467" s="15"/>
      <c r="BL467" s="13" t="b">
        <v>0</v>
      </c>
      <c r="BM467" s="10"/>
      <c r="BN467" s="10" t="s">
        <v>667</v>
      </c>
      <c r="BO467" s="11">
        <v>45860.370833333334</v>
      </c>
      <c r="BP467" s="11">
        <v>45895.483460648145</v>
      </c>
      <c r="BQ467" s="15">
        <v>45895.61178240741</v>
      </c>
      <c r="BR467" s="15">
        <v>45895.65966435185</v>
      </c>
      <c r="BS467" s="10" t="s">
        <v>667</v>
      </c>
      <c r="BT467" s="10" t="s">
        <v>99</v>
      </c>
      <c r="BU467" s="10" t="s">
        <v>421</v>
      </c>
      <c r="BV467" s="10" t="s">
        <v>124</v>
      </c>
      <c r="BW467" s="10"/>
      <c r="BX467" s="10"/>
      <c r="BY467" s="23"/>
      <c r="BZ467" s="24" t="s">
        <v>284</v>
      </c>
      <c r="CA467" s="19" t="s">
        <v>3958</v>
      </c>
      <c r="CB467" s="19" t="s">
        <v>3959</v>
      </c>
      <c r="CC467" s="23"/>
      <c r="CD467" s="19" t="s">
        <v>3960</v>
      </c>
      <c r="CE467" s="23"/>
      <c r="CF467" s="23"/>
      <c r="CG467" s="23"/>
      <c r="CH467" s="23"/>
      <c r="CI467" s="23"/>
    </row>
    <row r="468" spans="1:87" x14ac:dyDescent="0.3">
      <c r="A468" s="9" t="s">
        <v>3961</v>
      </c>
      <c r="B468" s="10" t="s">
        <v>3962</v>
      </c>
      <c r="C468" s="11">
        <v>45898.645833333336</v>
      </c>
      <c r="D468" s="12">
        <v>8.3333333333333329E-2</v>
      </c>
      <c r="E468" s="11">
        <v>45898.729166666664</v>
      </c>
      <c r="F468" s="10" t="s">
        <v>3511</v>
      </c>
      <c r="G468" s="13" t="b">
        <v>0</v>
      </c>
      <c r="H468" s="10" t="s">
        <v>3512</v>
      </c>
      <c r="I468" s="10" t="s">
        <v>3548</v>
      </c>
      <c r="J468" s="13" t="b">
        <v>0</v>
      </c>
      <c r="K468" s="13" t="b">
        <v>1</v>
      </c>
      <c r="L468" s="10" t="s">
        <v>124</v>
      </c>
      <c r="M468" s="10" t="s">
        <v>91</v>
      </c>
      <c r="N468" s="10" t="s">
        <v>3513</v>
      </c>
      <c r="O468" s="19" t="s">
        <v>3963</v>
      </c>
      <c r="P468" s="10"/>
      <c r="Q468" s="10" t="s">
        <v>126</v>
      </c>
      <c r="R468" s="10"/>
      <c r="S468" s="19" t="s">
        <v>3964</v>
      </c>
      <c r="T468" s="19" t="s">
        <v>3924</v>
      </c>
      <c r="U468" s="10" t="s">
        <v>3677</v>
      </c>
      <c r="V468" s="10" t="s">
        <v>3662</v>
      </c>
      <c r="W468" s="10" t="s">
        <v>3519</v>
      </c>
      <c r="X468" s="10" t="s">
        <v>130</v>
      </c>
      <c r="Y468" s="10" t="s">
        <v>130</v>
      </c>
      <c r="Z468" s="10" t="s">
        <v>99</v>
      </c>
      <c r="AA468" s="10" t="s">
        <v>131</v>
      </c>
      <c r="AB468" s="10" t="s">
        <v>3520</v>
      </c>
      <c r="AC468" s="10" t="s">
        <v>3521</v>
      </c>
      <c r="AD468" s="10" t="s">
        <v>3965</v>
      </c>
      <c r="AE468" s="10" t="s">
        <v>3966</v>
      </c>
      <c r="AF468" s="15"/>
      <c r="AG468" s="10" t="s">
        <v>3524</v>
      </c>
      <c r="AH468" s="10" t="s">
        <v>3539</v>
      </c>
      <c r="AI468" s="10" t="s">
        <v>3539</v>
      </c>
      <c r="AJ468" s="10" t="s">
        <v>3967</v>
      </c>
      <c r="AK468" s="10" t="s">
        <v>102</v>
      </c>
      <c r="AL468" s="10" t="s">
        <v>156</v>
      </c>
      <c r="AM468" s="10"/>
      <c r="AN468" s="10"/>
      <c r="AO468" s="13" t="b">
        <v>0</v>
      </c>
      <c r="AP468" s="10" t="s">
        <v>104</v>
      </c>
      <c r="AQ468" s="10">
        <f ca="1">IFERROR(__xludf.DUMMYFUNCTION("""COMPUTED_VALUE"""),4525641)</f>
        <v>4525641</v>
      </c>
      <c r="AR468" s="17">
        <v>111047</v>
      </c>
      <c r="AS468" s="17">
        <v>68572</v>
      </c>
      <c r="AT468" s="17">
        <v>1243075.75</v>
      </c>
      <c r="AU468" s="17">
        <v>612.70000000000005</v>
      </c>
      <c r="AV468" s="17">
        <v>251.7</v>
      </c>
      <c r="AW468" s="10" t="s">
        <v>105</v>
      </c>
      <c r="AX468" s="17">
        <v>18749</v>
      </c>
      <c r="AY468" s="18">
        <v>18.128036953858718</v>
      </c>
      <c r="AZ468" s="10" t="s">
        <v>185</v>
      </c>
      <c r="BA468" s="20" t="b">
        <v>0</v>
      </c>
      <c r="BB468" s="10"/>
      <c r="BC468" s="17">
        <v>111047</v>
      </c>
      <c r="BD468" s="17">
        <v>68572</v>
      </c>
      <c r="BE468" s="17">
        <v>1243075.75</v>
      </c>
      <c r="BF468" s="17">
        <v>251.7</v>
      </c>
      <c r="BG468" s="11">
        <f ca="1">IFERROR(__xludf.DUMMYFUNCTION("""COMPUTED_VALUE"""),45898.6458333333)</f>
        <v>45898.645833333299</v>
      </c>
      <c r="BH468" s="17" t="s">
        <v>105</v>
      </c>
      <c r="BI468" s="17"/>
      <c r="BJ468" s="15"/>
      <c r="BK468" s="15"/>
      <c r="BL468" s="13" t="b">
        <v>1</v>
      </c>
      <c r="BM468" s="10"/>
      <c r="BN468" s="10" t="s">
        <v>667</v>
      </c>
      <c r="BO468" s="11">
        <v>45860.370833333334</v>
      </c>
      <c r="BP468" s="11">
        <v>45895.472858796296</v>
      </c>
      <c r="BQ468" s="15">
        <v>45895.610185185185</v>
      </c>
      <c r="BR468" s="15">
        <v>45895.65934027778</v>
      </c>
      <c r="BS468" s="10" t="s">
        <v>667</v>
      </c>
      <c r="BT468" s="10" t="s">
        <v>99</v>
      </c>
      <c r="BU468" s="10" t="s">
        <v>534</v>
      </c>
      <c r="BV468" s="10"/>
      <c r="BW468" s="10"/>
      <c r="BX468" s="10"/>
      <c r="BY468" s="23"/>
      <c r="BZ468" s="24" t="s">
        <v>284</v>
      </c>
      <c r="CA468" s="19" t="s">
        <v>3968</v>
      </c>
      <c r="CB468" s="19" t="s">
        <v>3969</v>
      </c>
      <c r="CC468" s="23"/>
      <c r="CD468" s="19" t="s">
        <v>3970</v>
      </c>
      <c r="CE468" s="23"/>
      <c r="CF468" s="23"/>
      <c r="CG468" s="23"/>
      <c r="CH468" s="23"/>
      <c r="CI468" s="23"/>
    </row>
    <row r="469" spans="1:87" x14ac:dyDescent="0.3">
      <c r="A469" s="9" t="s">
        <v>3971</v>
      </c>
      <c r="B469" s="10" t="s">
        <v>3972</v>
      </c>
      <c r="C469" s="11">
        <v>45899.791666666664</v>
      </c>
      <c r="D469" s="12">
        <v>8.3333333333333329E-2</v>
      </c>
      <c r="E469" s="11">
        <v>45899.875</v>
      </c>
      <c r="F469" s="10" t="s">
        <v>3511</v>
      </c>
      <c r="G469" s="13" t="b">
        <v>0</v>
      </c>
      <c r="H469" s="10" t="s">
        <v>3512</v>
      </c>
      <c r="I469" s="10" t="s">
        <v>212</v>
      </c>
      <c r="J469" s="13" t="b">
        <v>1</v>
      </c>
      <c r="K469" s="13" t="b">
        <v>0</v>
      </c>
      <c r="L469" s="10" t="s">
        <v>124</v>
      </c>
      <c r="M469" s="10" t="s">
        <v>91</v>
      </c>
      <c r="N469" s="10" t="s">
        <v>3513</v>
      </c>
      <c r="O469" s="19" t="s">
        <v>3973</v>
      </c>
      <c r="P469" s="10"/>
      <c r="Q469" s="10" t="s">
        <v>126</v>
      </c>
      <c r="R469" s="10"/>
      <c r="S469" s="19" t="s">
        <v>3974</v>
      </c>
      <c r="T469" s="19" t="s">
        <v>3924</v>
      </c>
      <c r="U469" s="10" t="s">
        <v>3623</v>
      </c>
      <c r="V469" s="10" t="s">
        <v>3552</v>
      </c>
      <c r="W469" s="10" t="s">
        <v>3519</v>
      </c>
      <c r="X469" s="10" t="s">
        <v>130</v>
      </c>
      <c r="Y469" s="10" t="s">
        <v>130</v>
      </c>
      <c r="Z469" s="10" t="s">
        <v>99</v>
      </c>
      <c r="AA469" s="10" t="s">
        <v>131</v>
      </c>
      <c r="AB469" s="10" t="s">
        <v>3520</v>
      </c>
      <c r="AC469" s="10" t="s">
        <v>3521</v>
      </c>
      <c r="AD469" s="10" t="s">
        <v>3975</v>
      </c>
      <c r="AE469" s="10" t="s">
        <v>3976</v>
      </c>
      <c r="AF469" s="15"/>
      <c r="AG469" s="10" t="s">
        <v>3524</v>
      </c>
      <c r="AH469" s="10" t="s">
        <v>3539</v>
      </c>
      <c r="AI469" s="10" t="s">
        <v>3539</v>
      </c>
      <c r="AJ469" s="10" t="s">
        <v>3977</v>
      </c>
      <c r="AK469" s="10" t="s">
        <v>102</v>
      </c>
      <c r="AL469" s="10" t="s">
        <v>156</v>
      </c>
      <c r="AM469" s="10"/>
      <c r="AN469" s="10"/>
      <c r="AO469" s="13" t="b">
        <v>0</v>
      </c>
      <c r="AP469" s="10" t="s">
        <v>104</v>
      </c>
      <c r="AQ469" s="10">
        <f ca="1">IFERROR(__xludf.DUMMYFUNCTION("""COMPUTED_VALUE"""),4524049)</f>
        <v>4524049</v>
      </c>
      <c r="AR469" s="17">
        <v>169244</v>
      </c>
      <c r="AS469" s="17">
        <v>90822</v>
      </c>
      <c r="AT469" s="17">
        <v>2767746</v>
      </c>
      <c r="AU469" s="17">
        <v>842.95</v>
      </c>
      <c r="AV469" s="17">
        <v>376.7</v>
      </c>
      <c r="AW469" s="10" t="s">
        <v>105</v>
      </c>
      <c r="AX469" s="17">
        <v>38892</v>
      </c>
      <c r="AY469" s="18">
        <v>30.474400475655678</v>
      </c>
      <c r="AZ469" s="10" t="s">
        <v>3783</v>
      </c>
      <c r="BA469" s="20" t="b">
        <v>0</v>
      </c>
      <c r="BB469" s="10"/>
      <c r="BC469" s="17">
        <v>169244</v>
      </c>
      <c r="BD469" s="17">
        <v>90822</v>
      </c>
      <c r="BE469" s="17">
        <v>2767746</v>
      </c>
      <c r="BF469" s="17">
        <v>376.7</v>
      </c>
      <c r="BG469" s="11">
        <f ca="1">IFERROR(__xludf.DUMMYFUNCTION("""COMPUTED_VALUE"""),45899.7916666666)</f>
        <v>45899.791666666599</v>
      </c>
      <c r="BH469" s="17" t="s">
        <v>105</v>
      </c>
      <c r="BI469" s="17"/>
      <c r="BJ469" s="15"/>
      <c r="BK469" s="15"/>
      <c r="BL469" s="13" t="b">
        <v>1</v>
      </c>
      <c r="BM469" s="10"/>
      <c r="BN469" s="10" t="s">
        <v>149</v>
      </c>
      <c r="BO469" s="11">
        <v>45860.370833333334</v>
      </c>
      <c r="BP469" s="11">
        <v>45895.54</v>
      </c>
      <c r="BQ469" s="15">
        <v>45894.616851851853</v>
      </c>
      <c r="BR469" s="15">
        <v>45894.775150462963</v>
      </c>
      <c r="BS469" s="10" t="s">
        <v>149</v>
      </c>
      <c r="BT469" s="10" t="s">
        <v>99</v>
      </c>
      <c r="BU469" s="10" t="s">
        <v>793</v>
      </c>
      <c r="BV469" s="10"/>
      <c r="BW469" s="10"/>
      <c r="BX469" s="10"/>
      <c r="BY469" s="23"/>
      <c r="BZ469" s="24" t="s">
        <v>299</v>
      </c>
      <c r="CA469" s="19" t="s">
        <v>3978</v>
      </c>
      <c r="CB469" s="19" t="s">
        <v>3979</v>
      </c>
      <c r="CC469" s="23"/>
      <c r="CD469" s="19" t="s">
        <v>3980</v>
      </c>
      <c r="CE469" s="23"/>
      <c r="CF469" s="23"/>
      <c r="CG469" s="23"/>
      <c r="CH469" s="23"/>
      <c r="CI469" s="23"/>
    </row>
    <row r="470" spans="1:87" x14ac:dyDescent="0.3">
      <c r="A470" s="9" t="s">
        <v>3981</v>
      </c>
      <c r="B470" s="10" t="s">
        <v>3982</v>
      </c>
      <c r="C470" s="11">
        <v>45900.645833333336</v>
      </c>
      <c r="D470" s="12">
        <v>8.3333333333333329E-2</v>
      </c>
      <c r="E470" s="11">
        <v>45900.729166666664</v>
      </c>
      <c r="F470" s="10" t="s">
        <v>3511</v>
      </c>
      <c r="G470" s="13" t="b">
        <v>0</v>
      </c>
      <c r="H470" s="10" t="s">
        <v>123</v>
      </c>
      <c r="I470" s="10" t="s">
        <v>3548</v>
      </c>
      <c r="J470" s="13" t="b">
        <v>0</v>
      </c>
      <c r="K470" s="13" t="b">
        <v>1</v>
      </c>
      <c r="L470" s="10" t="s">
        <v>124</v>
      </c>
      <c r="M470" s="10" t="s">
        <v>91</v>
      </c>
      <c r="N470" s="10" t="s">
        <v>3513</v>
      </c>
      <c r="O470" s="19" t="s">
        <v>3983</v>
      </c>
      <c r="P470" s="10"/>
      <c r="Q470" s="10" t="s">
        <v>126</v>
      </c>
      <c r="R470" s="10"/>
      <c r="S470" s="19" t="s">
        <v>3984</v>
      </c>
      <c r="T470" s="19" t="s">
        <v>3924</v>
      </c>
      <c r="U470" s="10" t="s">
        <v>3535</v>
      </c>
      <c r="V470" s="10" t="s">
        <v>3551</v>
      </c>
      <c r="W470" s="10" t="s">
        <v>3519</v>
      </c>
      <c r="X470" s="10" t="s">
        <v>130</v>
      </c>
      <c r="Y470" s="10" t="s">
        <v>130</v>
      </c>
      <c r="Z470" s="10" t="s">
        <v>99</v>
      </c>
      <c r="AA470" s="10" t="s">
        <v>131</v>
      </c>
      <c r="AB470" s="10" t="s">
        <v>3520</v>
      </c>
      <c r="AC470" s="10" t="s">
        <v>3521</v>
      </c>
      <c r="AD470" s="10" t="s">
        <v>3985</v>
      </c>
      <c r="AE470" s="10" t="s">
        <v>3986</v>
      </c>
      <c r="AF470" s="15"/>
      <c r="AG470" s="10" t="s">
        <v>3524</v>
      </c>
      <c r="AH470" s="10" t="s">
        <v>3539</v>
      </c>
      <c r="AI470" s="10" t="s">
        <v>3539</v>
      </c>
      <c r="AJ470" s="10" t="s">
        <v>3987</v>
      </c>
      <c r="AK470" s="10" t="s">
        <v>256</v>
      </c>
      <c r="AL470" s="10" t="s">
        <v>156</v>
      </c>
      <c r="AM470" s="10"/>
      <c r="AN470" s="10"/>
      <c r="AO470" s="13" t="b">
        <v>1</v>
      </c>
      <c r="AP470" s="10" t="s">
        <v>104</v>
      </c>
      <c r="AQ470" s="10">
        <f ca="1">IFERROR(__xludf.DUMMYFUNCTION("""COMPUTED_VALUE"""),4525581)</f>
        <v>4525581</v>
      </c>
      <c r="AR470" s="17"/>
      <c r="AS470" s="17"/>
      <c r="AT470" s="17"/>
      <c r="AU470" s="17"/>
      <c r="AV470" s="17"/>
      <c r="AW470" s="10"/>
      <c r="AX470" s="17"/>
      <c r="AY470" s="18" t="s">
        <v>257</v>
      </c>
      <c r="AZ470" s="10" t="s">
        <v>3783</v>
      </c>
      <c r="BA470" s="20" t="b">
        <v>0</v>
      </c>
      <c r="BB470" s="10"/>
      <c r="BC470" s="17" t="s">
        <v>257</v>
      </c>
      <c r="BD470" s="17" t="s">
        <v>257</v>
      </c>
      <c r="BE470" s="17" t="s">
        <v>257</v>
      </c>
      <c r="BF470" s="17" t="s">
        <v>257</v>
      </c>
      <c r="BG470" s="11">
        <f ca="1">IFERROR(__xludf.DUMMYFUNCTION("""COMPUTED_VALUE"""),45900.6458333333)</f>
        <v>45900.645833333299</v>
      </c>
      <c r="BH470" s="17"/>
      <c r="BI470" s="17"/>
      <c r="BJ470" s="15"/>
      <c r="BK470" s="15"/>
      <c r="BL470" s="13" t="b">
        <v>0</v>
      </c>
      <c r="BM470" s="10"/>
      <c r="BN470" s="10" t="s">
        <v>3527</v>
      </c>
      <c r="BO470" s="11">
        <v>45860.370833333334</v>
      </c>
      <c r="BP470" s="11">
        <v>45895.541967592595</v>
      </c>
      <c r="BQ470" s="15">
        <v>45894.617476851854</v>
      </c>
      <c r="BR470" s="15">
        <v>45895.429212962961</v>
      </c>
      <c r="BS470" s="10"/>
      <c r="BT470" s="10" t="s">
        <v>99</v>
      </c>
      <c r="BU470" s="10"/>
      <c r="BV470" s="10" t="s">
        <v>281</v>
      </c>
      <c r="BW470" s="10"/>
      <c r="BX470" s="10"/>
      <c r="BY470" s="23"/>
      <c r="BZ470" s="24" t="s">
        <v>284</v>
      </c>
      <c r="CA470" s="19" t="s">
        <v>3988</v>
      </c>
      <c r="CB470" s="19" t="s">
        <v>3989</v>
      </c>
      <c r="CC470" s="23"/>
      <c r="CD470" s="19" t="s">
        <v>3990</v>
      </c>
      <c r="CE470" s="23"/>
      <c r="CF470" s="23"/>
      <c r="CG470" s="23"/>
      <c r="CH470" s="23"/>
      <c r="CI470" s="23"/>
    </row>
    <row r="471" spans="1:87" x14ac:dyDescent="0.3">
      <c r="A471" s="9" t="s">
        <v>3991</v>
      </c>
      <c r="B471" s="10" t="s">
        <v>3992</v>
      </c>
      <c r="C471" s="11">
        <v>45900.791666666664</v>
      </c>
      <c r="D471" s="12">
        <v>8.3333333333333329E-2</v>
      </c>
      <c r="E471" s="11">
        <v>45900.875</v>
      </c>
      <c r="F471" s="10" t="s">
        <v>3511</v>
      </c>
      <c r="G471" s="13" t="b">
        <v>0</v>
      </c>
      <c r="H471" s="10" t="s">
        <v>123</v>
      </c>
      <c r="I471" s="10" t="s">
        <v>212</v>
      </c>
      <c r="J471" s="13" t="b">
        <v>1</v>
      </c>
      <c r="K471" s="13" t="b">
        <v>0</v>
      </c>
      <c r="L471" s="10" t="s">
        <v>124</v>
      </c>
      <c r="M471" s="10" t="s">
        <v>91</v>
      </c>
      <c r="N471" s="10" t="s">
        <v>3513</v>
      </c>
      <c r="O471" s="19" t="s">
        <v>3993</v>
      </c>
      <c r="P471" s="10"/>
      <c r="Q471" s="10" t="s">
        <v>126</v>
      </c>
      <c r="R471" s="10"/>
      <c r="S471" s="19" t="s">
        <v>3994</v>
      </c>
      <c r="T471" s="19" t="s">
        <v>3924</v>
      </c>
      <c r="U471" s="10" t="s">
        <v>3648</v>
      </c>
      <c r="V471" s="10" t="s">
        <v>3610</v>
      </c>
      <c r="W471" s="10" t="s">
        <v>3519</v>
      </c>
      <c r="X471" s="10" t="s">
        <v>130</v>
      </c>
      <c r="Y471" s="10" t="s">
        <v>130</v>
      </c>
      <c r="Z471" s="10" t="s">
        <v>99</v>
      </c>
      <c r="AA471" s="10" t="s">
        <v>131</v>
      </c>
      <c r="AB471" s="10" t="s">
        <v>3520</v>
      </c>
      <c r="AC471" s="10" t="s">
        <v>3521</v>
      </c>
      <c r="AD471" s="10" t="s">
        <v>3995</v>
      </c>
      <c r="AE471" s="10" t="s">
        <v>3996</v>
      </c>
      <c r="AF471" s="15"/>
      <c r="AG471" s="10" t="s">
        <v>3524</v>
      </c>
      <c r="AH471" s="10" t="s">
        <v>3539</v>
      </c>
      <c r="AI471" s="10" t="s">
        <v>3539</v>
      </c>
      <c r="AJ471" s="10" t="s">
        <v>3997</v>
      </c>
      <c r="AK471" s="10" t="s">
        <v>256</v>
      </c>
      <c r="AL471" s="10" t="s">
        <v>156</v>
      </c>
      <c r="AM471" s="10"/>
      <c r="AN471" s="10"/>
      <c r="AO471" s="13" t="b">
        <v>0</v>
      </c>
      <c r="AP471" s="10" t="s">
        <v>104</v>
      </c>
      <c r="AQ471" s="10">
        <f ca="1">IFERROR(__xludf.DUMMYFUNCTION("""COMPUTED_VALUE"""),4533792)</f>
        <v>4533792</v>
      </c>
      <c r="AR471" s="17"/>
      <c r="AS471" s="17"/>
      <c r="AT471" s="17"/>
      <c r="AU471" s="17"/>
      <c r="AV471" s="17"/>
      <c r="AW471" s="10"/>
      <c r="AX471" s="17"/>
      <c r="AY471" s="18" t="s">
        <v>257</v>
      </c>
      <c r="AZ471" s="10" t="s">
        <v>3998</v>
      </c>
      <c r="BA471" s="20" t="b">
        <v>0</v>
      </c>
      <c r="BB471" s="10"/>
      <c r="BC471" s="17" t="s">
        <v>257</v>
      </c>
      <c r="BD471" s="17" t="s">
        <v>257</v>
      </c>
      <c r="BE471" s="17" t="s">
        <v>257</v>
      </c>
      <c r="BF471" s="17" t="s">
        <v>257</v>
      </c>
      <c r="BG471" s="11">
        <f ca="1">IFERROR(__xludf.DUMMYFUNCTION("""COMPUTED_VALUE"""),45900.7916666666)</f>
        <v>45900.791666666599</v>
      </c>
      <c r="BH471" s="17"/>
      <c r="BI471" s="17"/>
      <c r="BJ471" s="15"/>
      <c r="BK471" s="15"/>
      <c r="BL471" s="13" t="b">
        <v>0</v>
      </c>
      <c r="BM471" s="10"/>
      <c r="BN471" s="10" t="s">
        <v>3527</v>
      </c>
      <c r="BO471" s="11">
        <v>45860.370833333334</v>
      </c>
      <c r="BP471" s="11">
        <v>45899.324872685182</v>
      </c>
      <c r="BQ471" s="15">
        <v>45896.473749999997</v>
      </c>
      <c r="BR471" s="15">
        <v>45899.546724537038</v>
      </c>
      <c r="BS471" s="10"/>
      <c r="BT471" s="10" t="s">
        <v>99</v>
      </c>
      <c r="BU471" s="10"/>
      <c r="BV471" s="10"/>
      <c r="BW471" s="10"/>
      <c r="BX471" s="10"/>
      <c r="BY471" s="23"/>
      <c r="BZ471" s="24" t="s">
        <v>299</v>
      </c>
      <c r="CA471" s="19" t="s">
        <v>3999</v>
      </c>
      <c r="CB471" s="19" t="s">
        <v>4000</v>
      </c>
      <c r="CC471" s="23"/>
      <c r="CD471" s="19" t="s">
        <v>4001</v>
      </c>
      <c r="CE471" s="23"/>
      <c r="CF471" s="23"/>
      <c r="CG471" s="23"/>
      <c r="CH471" s="23"/>
      <c r="CI471" s="23"/>
    </row>
    <row r="472" spans="1:87" x14ac:dyDescent="0.3">
      <c r="A472" s="9" t="s">
        <v>4002</v>
      </c>
      <c r="B472" s="10" t="s">
        <v>4003</v>
      </c>
      <c r="C472" s="11">
        <v>45900.791666666664</v>
      </c>
      <c r="D472" s="12">
        <v>8.3333333333333329E-2</v>
      </c>
      <c r="E472" s="11">
        <v>45900.875</v>
      </c>
      <c r="F472" s="10" t="s">
        <v>3511</v>
      </c>
      <c r="G472" s="13" t="b">
        <v>0</v>
      </c>
      <c r="H472" s="10" t="s">
        <v>123</v>
      </c>
      <c r="I472" s="10" t="s">
        <v>3548</v>
      </c>
      <c r="J472" s="13" t="b">
        <v>0</v>
      </c>
      <c r="K472" s="13" t="b">
        <v>1</v>
      </c>
      <c r="L472" s="10" t="s">
        <v>124</v>
      </c>
      <c r="M472" s="10" t="s">
        <v>91</v>
      </c>
      <c r="N472" s="10" t="s">
        <v>3513</v>
      </c>
      <c r="O472" s="19" t="s">
        <v>4004</v>
      </c>
      <c r="P472" s="10"/>
      <c r="Q472" s="10" t="s">
        <v>126</v>
      </c>
      <c r="R472" s="10"/>
      <c r="S472" s="19" t="s">
        <v>4005</v>
      </c>
      <c r="T472" s="19" t="s">
        <v>3924</v>
      </c>
      <c r="U472" s="10" t="s">
        <v>3609</v>
      </c>
      <c r="V472" s="10" t="s">
        <v>3517</v>
      </c>
      <c r="W472" s="10" t="s">
        <v>3519</v>
      </c>
      <c r="X472" s="10" t="s">
        <v>130</v>
      </c>
      <c r="Y472" s="10" t="s">
        <v>130</v>
      </c>
      <c r="Z472" s="10" t="s">
        <v>99</v>
      </c>
      <c r="AA472" s="10" t="s">
        <v>131</v>
      </c>
      <c r="AB472" s="10" t="s">
        <v>3520</v>
      </c>
      <c r="AC472" s="10" t="s">
        <v>3521</v>
      </c>
      <c r="AD472" s="10" t="s">
        <v>4006</v>
      </c>
      <c r="AE472" s="10" t="s">
        <v>4007</v>
      </c>
      <c r="AF472" s="15"/>
      <c r="AG472" s="10" t="s">
        <v>3524</v>
      </c>
      <c r="AH472" s="10" t="s">
        <v>3539</v>
      </c>
      <c r="AI472" s="10" t="s">
        <v>3539</v>
      </c>
      <c r="AJ472" s="10" t="s">
        <v>4008</v>
      </c>
      <c r="AK472" s="10" t="s">
        <v>256</v>
      </c>
      <c r="AL472" s="10" t="s">
        <v>156</v>
      </c>
      <c r="AM472" s="10"/>
      <c r="AN472" s="10"/>
      <c r="AO472" s="13" t="b">
        <v>1</v>
      </c>
      <c r="AP472" s="10" t="s">
        <v>104</v>
      </c>
      <c r="AQ472" s="10">
        <f ca="1">IFERROR(__xludf.DUMMYFUNCTION("""COMPUTED_VALUE"""),4527609)</f>
        <v>4527609</v>
      </c>
      <c r="AR472" s="17"/>
      <c r="AS472" s="17"/>
      <c r="AT472" s="17"/>
      <c r="AU472" s="17"/>
      <c r="AV472" s="17"/>
      <c r="AW472" s="10"/>
      <c r="AX472" s="17"/>
      <c r="AY472" s="18" t="s">
        <v>257</v>
      </c>
      <c r="AZ472" s="10" t="s">
        <v>3998</v>
      </c>
      <c r="BA472" s="20" t="b">
        <v>0</v>
      </c>
      <c r="BB472" s="10"/>
      <c r="BC472" s="17" t="s">
        <v>257</v>
      </c>
      <c r="BD472" s="17" t="s">
        <v>257</v>
      </c>
      <c r="BE472" s="17" t="s">
        <v>257</v>
      </c>
      <c r="BF472" s="17" t="s">
        <v>257</v>
      </c>
      <c r="BG472" s="11">
        <f ca="1">IFERROR(__xludf.DUMMYFUNCTION("""COMPUTED_VALUE"""),45900.7916666666)</f>
        <v>45900.791666666599</v>
      </c>
      <c r="BH472" s="17"/>
      <c r="BI472" s="17"/>
      <c r="BJ472" s="15"/>
      <c r="BK472" s="15"/>
      <c r="BL472" s="13" t="b">
        <v>0</v>
      </c>
      <c r="BM472" s="10"/>
      <c r="BN472" s="10" t="s">
        <v>3527</v>
      </c>
      <c r="BO472" s="11">
        <v>45860.370833333334</v>
      </c>
      <c r="BP472" s="11">
        <v>45895.544629629629</v>
      </c>
      <c r="BQ472" s="15">
        <v>45896.473483796297</v>
      </c>
      <c r="BR472" s="15">
        <v>45896.529664351852</v>
      </c>
      <c r="BS472" s="10"/>
      <c r="BT472" s="10" t="s">
        <v>99</v>
      </c>
      <c r="BU472" s="10"/>
      <c r="BV472" s="10" t="s">
        <v>281</v>
      </c>
      <c r="BW472" s="10"/>
      <c r="BX472" s="10"/>
      <c r="BY472" s="23"/>
      <c r="BZ472" s="24" t="s">
        <v>284</v>
      </c>
      <c r="CA472" s="19" t="s">
        <v>4009</v>
      </c>
      <c r="CB472" s="19" t="s">
        <v>4010</v>
      </c>
      <c r="CC472" s="23"/>
      <c r="CD472" s="19" t="s">
        <v>4011</v>
      </c>
      <c r="CE472" s="23"/>
      <c r="CF472" s="23"/>
      <c r="CG472" s="23"/>
      <c r="CH472" s="23"/>
      <c r="CI472" s="23"/>
    </row>
    <row r="473" spans="1:87" x14ac:dyDescent="0.3">
      <c r="A473" s="9" t="s">
        <v>4012</v>
      </c>
      <c r="B473" s="10" t="s">
        <v>4013</v>
      </c>
      <c r="C473" s="11">
        <v>45911.645833333336</v>
      </c>
      <c r="D473" s="12">
        <v>8.3333333333333329E-2</v>
      </c>
      <c r="E473" s="11">
        <v>45911.729166666664</v>
      </c>
      <c r="F473" s="10" t="s">
        <v>3511</v>
      </c>
      <c r="G473" s="13" t="b">
        <v>0</v>
      </c>
      <c r="H473" s="10" t="s">
        <v>236</v>
      </c>
      <c r="I473" s="10" t="s">
        <v>212</v>
      </c>
      <c r="J473" s="13" t="b">
        <v>1</v>
      </c>
      <c r="K473" s="13" t="b">
        <v>1</v>
      </c>
      <c r="L473" s="10" t="s">
        <v>124</v>
      </c>
      <c r="M473" s="10" t="s">
        <v>91</v>
      </c>
      <c r="N473" s="10" t="s">
        <v>3513</v>
      </c>
      <c r="O473" s="19" t="s">
        <v>4014</v>
      </c>
      <c r="P473" s="10"/>
      <c r="Q473" s="10" t="s">
        <v>126</v>
      </c>
      <c r="R473" s="10"/>
      <c r="S473" s="19" t="s">
        <v>4015</v>
      </c>
      <c r="T473" s="19" t="s">
        <v>4016</v>
      </c>
      <c r="U473" s="10" t="s">
        <v>3610</v>
      </c>
      <c r="V473" s="10" t="s">
        <v>3677</v>
      </c>
      <c r="W473" s="10" t="s">
        <v>3519</v>
      </c>
      <c r="X473" s="10" t="s">
        <v>130</v>
      </c>
      <c r="Y473" s="10" t="s">
        <v>130</v>
      </c>
      <c r="Z473" s="10" t="s">
        <v>99</v>
      </c>
      <c r="AA473" s="10" t="s">
        <v>131</v>
      </c>
      <c r="AB473" s="10" t="s">
        <v>3520</v>
      </c>
      <c r="AC473" s="10" t="s">
        <v>3521</v>
      </c>
      <c r="AD473" s="10" t="s">
        <v>4017</v>
      </c>
      <c r="AE473" s="10" t="s">
        <v>4018</v>
      </c>
      <c r="AF473" s="15"/>
      <c r="AG473" s="10" t="s">
        <v>3524</v>
      </c>
      <c r="AH473" s="10" t="s">
        <v>3539</v>
      </c>
      <c r="AI473" s="10" t="s">
        <v>3539</v>
      </c>
      <c r="AJ473" s="10" t="s">
        <v>4019</v>
      </c>
      <c r="AK473" s="10" t="s">
        <v>102</v>
      </c>
      <c r="AL473" s="10" t="s">
        <v>167</v>
      </c>
      <c r="AM473" s="10"/>
      <c r="AN473" s="10"/>
      <c r="AO473" s="13" t="b">
        <v>0</v>
      </c>
      <c r="AP473" s="10" t="s">
        <v>104</v>
      </c>
      <c r="AQ473" s="10">
        <f ca="1">IFERROR(__xludf.DUMMYFUNCTION("""COMPUTED_VALUE"""),4563113)</f>
        <v>4563113</v>
      </c>
      <c r="AR473" s="17">
        <v>211789</v>
      </c>
      <c r="AS473" s="17">
        <v>123339</v>
      </c>
      <c r="AT473" s="17">
        <v>4008547.25</v>
      </c>
      <c r="AU473" s="17">
        <v>840.15</v>
      </c>
      <c r="AV473" s="17">
        <v>125.95</v>
      </c>
      <c r="AW473" s="10" t="s">
        <v>105</v>
      </c>
      <c r="AX473" s="17">
        <v>43814</v>
      </c>
      <c r="AY473" s="18">
        <v>32.500241205133818</v>
      </c>
      <c r="AZ473" s="10"/>
      <c r="BA473" s="20" t="b">
        <v>0</v>
      </c>
      <c r="BB473" s="10"/>
      <c r="BC473" s="17">
        <v>211789</v>
      </c>
      <c r="BD473" s="17">
        <v>123339</v>
      </c>
      <c r="BE473" s="17">
        <v>4008547.25</v>
      </c>
      <c r="BF473" s="17">
        <v>125.95</v>
      </c>
      <c r="BG473" s="11">
        <f ca="1">IFERROR(__xludf.DUMMYFUNCTION("""COMPUTED_VALUE"""),45911.6458333333)</f>
        <v>45911.645833333299</v>
      </c>
      <c r="BH473" s="17" t="s">
        <v>105</v>
      </c>
      <c r="BI473" s="17"/>
      <c r="BJ473" s="15"/>
      <c r="BK473" s="15"/>
      <c r="BL473" s="13" t="b">
        <v>0</v>
      </c>
      <c r="BM473" s="10"/>
      <c r="BN473" s="10" t="s">
        <v>3527</v>
      </c>
      <c r="BO473" s="11">
        <v>45860.370833333334</v>
      </c>
      <c r="BP473" s="11">
        <v>45905.766655092593</v>
      </c>
      <c r="BQ473" s="15">
        <v>45910.483229166668</v>
      </c>
      <c r="BR473" s="15">
        <v>45910.548229166663</v>
      </c>
      <c r="BS473" s="10"/>
      <c r="BT473" s="10" t="s">
        <v>99</v>
      </c>
      <c r="BU473" s="10" t="s">
        <v>280</v>
      </c>
      <c r="BV473" s="10"/>
      <c r="BW473" s="10"/>
      <c r="BX473" s="10"/>
      <c r="BY473" s="23"/>
      <c r="BZ473" s="24" t="s">
        <v>299</v>
      </c>
      <c r="CA473" s="19" t="s">
        <v>4020</v>
      </c>
      <c r="CB473" s="19" t="s">
        <v>4021</v>
      </c>
      <c r="CC473" s="23"/>
      <c r="CD473" s="19" t="s">
        <v>4022</v>
      </c>
      <c r="CE473" s="23"/>
      <c r="CF473" s="23"/>
      <c r="CG473" s="23"/>
      <c r="CH473" s="23"/>
      <c r="CI473" s="23"/>
    </row>
    <row r="474" spans="1:87" x14ac:dyDescent="0.3">
      <c r="A474" s="9" t="s">
        <v>4023</v>
      </c>
      <c r="B474" s="10" t="s">
        <v>4024</v>
      </c>
      <c r="C474" s="11">
        <v>45911.791666666664</v>
      </c>
      <c r="D474" s="12">
        <v>8.3333333333333329E-2</v>
      </c>
      <c r="E474" s="11">
        <v>45911.875</v>
      </c>
      <c r="F474" s="10" t="s">
        <v>3511</v>
      </c>
      <c r="G474" s="13" t="b">
        <v>0</v>
      </c>
      <c r="H474" s="10" t="s">
        <v>3512</v>
      </c>
      <c r="I474" s="10" t="s">
        <v>3548</v>
      </c>
      <c r="J474" s="13" t="b">
        <v>0</v>
      </c>
      <c r="K474" s="13" t="b">
        <v>1</v>
      </c>
      <c r="L474" s="10" t="s">
        <v>124</v>
      </c>
      <c r="M474" s="10" t="s">
        <v>91</v>
      </c>
      <c r="N474" s="10" t="s">
        <v>3513</v>
      </c>
      <c r="O474" s="19" t="s">
        <v>4025</v>
      </c>
      <c r="P474" s="10"/>
      <c r="Q474" s="10" t="s">
        <v>126</v>
      </c>
      <c r="R474" s="10"/>
      <c r="S474" s="19" t="s">
        <v>4026</v>
      </c>
      <c r="T474" s="19" t="s">
        <v>4016</v>
      </c>
      <c r="U474" s="10" t="s">
        <v>3648</v>
      </c>
      <c r="V474" s="10" t="s">
        <v>3535</v>
      </c>
      <c r="W474" s="10" t="s">
        <v>3519</v>
      </c>
      <c r="X474" s="10" t="s">
        <v>130</v>
      </c>
      <c r="Y474" s="10" t="s">
        <v>130</v>
      </c>
      <c r="Z474" s="10" t="s">
        <v>99</v>
      </c>
      <c r="AA474" s="10" t="s">
        <v>131</v>
      </c>
      <c r="AB474" s="10" t="s">
        <v>3520</v>
      </c>
      <c r="AC474" s="10" t="s">
        <v>3521</v>
      </c>
      <c r="AD474" s="10" t="s">
        <v>4027</v>
      </c>
      <c r="AE474" s="10" t="s">
        <v>4028</v>
      </c>
      <c r="AF474" s="15"/>
      <c r="AG474" s="10" t="s">
        <v>3524</v>
      </c>
      <c r="AH474" s="10" t="s">
        <v>3539</v>
      </c>
      <c r="AI474" s="10" t="s">
        <v>3539</v>
      </c>
      <c r="AJ474" s="10" t="s">
        <v>4029</v>
      </c>
      <c r="AK474" s="10" t="s">
        <v>102</v>
      </c>
      <c r="AL474" s="10" t="s">
        <v>167</v>
      </c>
      <c r="AM474" s="10"/>
      <c r="AN474" s="10"/>
      <c r="AO474" s="13" t="b">
        <v>0</v>
      </c>
      <c r="AP474" s="10" t="s">
        <v>104</v>
      </c>
      <c r="AQ474" s="10">
        <f ca="1">IFERROR(__xludf.DUMMYFUNCTION("""COMPUTED_VALUE"""),4563118)</f>
        <v>4563118</v>
      </c>
      <c r="AR474" s="17">
        <v>212269</v>
      </c>
      <c r="AS474" s="17">
        <v>111465</v>
      </c>
      <c r="AT474" s="17">
        <v>3781786.75</v>
      </c>
      <c r="AU474" s="17">
        <v>2526.5</v>
      </c>
      <c r="AV474" s="17">
        <v>793</v>
      </c>
      <c r="AW474" s="10" t="s">
        <v>105</v>
      </c>
      <c r="AX474" s="17">
        <v>45470</v>
      </c>
      <c r="AY474" s="18">
        <v>33.928020006280001</v>
      </c>
      <c r="AZ474" s="10"/>
      <c r="BA474" s="20" t="b">
        <v>0</v>
      </c>
      <c r="BB474" s="10"/>
      <c r="BC474" s="17">
        <v>212269</v>
      </c>
      <c r="BD474" s="17">
        <v>111465</v>
      </c>
      <c r="BE474" s="17">
        <v>3781786.75</v>
      </c>
      <c r="BF474" s="17">
        <v>793</v>
      </c>
      <c r="BG474" s="11">
        <f ca="1">IFERROR(__xludf.DUMMYFUNCTION("""COMPUTED_VALUE"""),45911.7916666666)</f>
        <v>45911.791666666599</v>
      </c>
      <c r="BH474" s="17" t="s">
        <v>105</v>
      </c>
      <c r="BI474" s="17"/>
      <c r="BJ474" s="15"/>
      <c r="BK474" s="15"/>
      <c r="BL474" s="13" t="b">
        <v>1</v>
      </c>
      <c r="BM474" s="10"/>
      <c r="BN474" s="10" t="s">
        <v>4030</v>
      </c>
      <c r="BO474" s="11">
        <v>45860.370833333334</v>
      </c>
      <c r="BP474" s="11">
        <v>45905.78665509259</v>
      </c>
      <c r="BQ474" s="15">
        <v>45910.483287037037</v>
      </c>
      <c r="BR474" s="15">
        <v>45915.420937499999</v>
      </c>
      <c r="BS474" s="10" t="s">
        <v>4030</v>
      </c>
      <c r="BT474" s="10" t="s">
        <v>279</v>
      </c>
      <c r="BU474" s="10" t="s">
        <v>421</v>
      </c>
      <c r="BV474" s="10"/>
      <c r="BW474" s="10"/>
      <c r="BX474" s="10"/>
      <c r="BY474" s="23"/>
      <c r="BZ474" s="24" t="s">
        <v>284</v>
      </c>
      <c r="CA474" s="19" t="s">
        <v>4031</v>
      </c>
      <c r="CB474" s="19" t="s">
        <v>4032</v>
      </c>
      <c r="CC474" s="23"/>
      <c r="CD474" s="19" t="s">
        <v>4033</v>
      </c>
      <c r="CE474" s="23"/>
      <c r="CF474" s="23"/>
      <c r="CG474" s="23"/>
      <c r="CH474" s="23"/>
      <c r="CI474" s="23"/>
    </row>
    <row r="475" spans="1:87" x14ac:dyDescent="0.3">
      <c r="A475" s="9" t="s">
        <v>4034</v>
      </c>
      <c r="B475" s="10" t="s">
        <v>4035</v>
      </c>
      <c r="C475" s="11">
        <v>45912.645833333336</v>
      </c>
      <c r="D475" s="12">
        <v>8.3333333333333329E-2</v>
      </c>
      <c r="E475" s="11">
        <v>45912.729166666664</v>
      </c>
      <c r="F475" s="10" t="s">
        <v>3511</v>
      </c>
      <c r="G475" s="13" t="b">
        <v>0</v>
      </c>
      <c r="H475" s="10" t="s">
        <v>123</v>
      </c>
      <c r="I475" s="10" t="s">
        <v>3548</v>
      </c>
      <c r="J475" s="13" t="b">
        <v>0</v>
      </c>
      <c r="K475" s="13" t="b">
        <v>1</v>
      </c>
      <c r="L475" s="10" t="s">
        <v>124</v>
      </c>
      <c r="M475" s="10" t="s">
        <v>91</v>
      </c>
      <c r="N475" s="10" t="s">
        <v>3513</v>
      </c>
      <c r="O475" s="19" t="s">
        <v>4036</v>
      </c>
      <c r="P475" s="10"/>
      <c r="Q475" s="10" t="s">
        <v>126</v>
      </c>
      <c r="R475" s="10"/>
      <c r="S475" s="19" t="s">
        <v>4037</v>
      </c>
      <c r="T475" s="19" t="s">
        <v>4016</v>
      </c>
      <c r="U475" s="10" t="s">
        <v>3609</v>
      </c>
      <c r="V475" s="10" t="s">
        <v>3551</v>
      </c>
      <c r="W475" s="10" t="s">
        <v>3519</v>
      </c>
      <c r="X475" s="10" t="s">
        <v>130</v>
      </c>
      <c r="Y475" s="10" t="s">
        <v>130</v>
      </c>
      <c r="Z475" s="10" t="s">
        <v>99</v>
      </c>
      <c r="AA475" s="10" t="s">
        <v>131</v>
      </c>
      <c r="AB475" s="10" t="s">
        <v>3520</v>
      </c>
      <c r="AC475" s="10" t="s">
        <v>3521</v>
      </c>
      <c r="AD475" s="10" t="s">
        <v>4038</v>
      </c>
      <c r="AE475" s="10" t="s">
        <v>4039</v>
      </c>
      <c r="AF475" s="15"/>
      <c r="AG475" s="10" t="s">
        <v>3524</v>
      </c>
      <c r="AH475" s="10" t="s">
        <v>3539</v>
      </c>
      <c r="AI475" s="10" t="s">
        <v>3539</v>
      </c>
      <c r="AJ475" s="10" t="s">
        <v>4040</v>
      </c>
      <c r="AK475" s="10" t="s">
        <v>102</v>
      </c>
      <c r="AL475" s="10" t="s">
        <v>167</v>
      </c>
      <c r="AM475" s="10"/>
      <c r="AN475" s="10"/>
      <c r="AO475" s="13" t="b">
        <v>1</v>
      </c>
      <c r="AP475" s="10" t="s">
        <v>104</v>
      </c>
      <c r="AQ475" s="10">
        <f ca="1">IFERROR(__xludf.DUMMYFUNCTION("""COMPUTED_VALUE"""),4563121)</f>
        <v>4563121</v>
      </c>
      <c r="AR475" s="17">
        <v>1151462</v>
      </c>
      <c r="AS475" s="17">
        <v>447916</v>
      </c>
      <c r="AT475" s="17">
        <v>22727847.75</v>
      </c>
      <c r="AU475" s="17">
        <v>17008.55</v>
      </c>
      <c r="AV475" s="17">
        <v>5871</v>
      </c>
      <c r="AW475" s="10" t="s">
        <v>297</v>
      </c>
      <c r="AX475" s="17">
        <v>189883</v>
      </c>
      <c r="AY475" s="18">
        <v>50.741317010332295</v>
      </c>
      <c r="AZ475" s="10"/>
      <c r="BA475" s="20" t="b">
        <v>0</v>
      </c>
      <c r="BB475" s="10"/>
      <c r="BC475" s="17">
        <v>1151462</v>
      </c>
      <c r="BD475" s="17">
        <v>447916</v>
      </c>
      <c r="BE475" s="17">
        <v>22727847.75</v>
      </c>
      <c r="BF475" s="17">
        <v>5871</v>
      </c>
      <c r="BG475" s="11">
        <f ca="1">IFERROR(__xludf.DUMMYFUNCTION("""COMPUTED_VALUE"""),45912.6458333333)</f>
        <v>45912.645833333299</v>
      </c>
      <c r="BH475" s="17" t="s">
        <v>297</v>
      </c>
      <c r="BI475" s="17"/>
      <c r="BJ475" s="15"/>
      <c r="BK475" s="15"/>
      <c r="BL475" s="13" t="b">
        <v>0</v>
      </c>
      <c r="BM475" s="10"/>
      <c r="BN475" s="10" t="s">
        <v>667</v>
      </c>
      <c r="BO475" s="11">
        <v>45860.370833333334</v>
      </c>
      <c r="BP475" s="11">
        <v>45905.790266203701</v>
      </c>
      <c r="BQ475" s="15">
        <v>45910.483368055553</v>
      </c>
      <c r="BR475" s="15">
        <v>45910.555798611109</v>
      </c>
      <c r="BS475" s="10" t="s">
        <v>667</v>
      </c>
      <c r="BT475" s="10" t="s">
        <v>99</v>
      </c>
      <c r="BU475" s="10" t="s">
        <v>718</v>
      </c>
      <c r="BV475" s="10" t="s">
        <v>499</v>
      </c>
      <c r="BW475" s="10" t="s">
        <v>4041</v>
      </c>
      <c r="BX475" s="10"/>
      <c r="BY475" s="23"/>
      <c r="BZ475" s="24" t="s">
        <v>368</v>
      </c>
      <c r="CA475" s="19" t="s">
        <v>4042</v>
      </c>
      <c r="CB475" s="19" t="s">
        <v>4043</v>
      </c>
      <c r="CC475" s="23"/>
      <c r="CD475" s="19" t="s">
        <v>4044</v>
      </c>
      <c r="CE475" s="23"/>
      <c r="CF475" s="23"/>
      <c r="CG475" s="23"/>
      <c r="CH475" s="23"/>
      <c r="CI475" s="23"/>
    </row>
    <row r="476" spans="1:87" x14ac:dyDescent="0.3">
      <c r="A476" s="9" t="s">
        <v>4045</v>
      </c>
      <c r="B476" s="10" t="s">
        <v>4046</v>
      </c>
      <c r="C476" s="11">
        <v>45912.791666666664</v>
      </c>
      <c r="D476" s="12">
        <v>8.3333333333333329E-2</v>
      </c>
      <c r="E476" s="11">
        <v>45912.875</v>
      </c>
      <c r="F476" s="10" t="s">
        <v>3511</v>
      </c>
      <c r="G476" s="13" t="b">
        <v>0</v>
      </c>
      <c r="H476" s="10" t="s">
        <v>3512</v>
      </c>
      <c r="I476" s="10" t="s">
        <v>212</v>
      </c>
      <c r="J476" s="13" t="b">
        <v>1</v>
      </c>
      <c r="K476" s="13" t="b">
        <v>1</v>
      </c>
      <c r="L476" s="10" t="s">
        <v>124</v>
      </c>
      <c r="M476" s="10" t="s">
        <v>91</v>
      </c>
      <c r="N476" s="10" t="s">
        <v>3513</v>
      </c>
      <c r="O476" s="19" t="s">
        <v>4047</v>
      </c>
      <c r="P476" s="10"/>
      <c r="Q476" s="10" t="s">
        <v>126</v>
      </c>
      <c r="R476" s="10"/>
      <c r="S476" s="19" t="s">
        <v>4048</v>
      </c>
      <c r="T476" s="19" t="s">
        <v>4016</v>
      </c>
      <c r="U476" s="10" t="s">
        <v>3635</v>
      </c>
      <c r="V476" s="10" t="s">
        <v>3518</v>
      </c>
      <c r="W476" s="10" t="s">
        <v>3519</v>
      </c>
      <c r="X476" s="10" t="s">
        <v>130</v>
      </c>
      <c r="Y476" s="10" t="s">
        <v>130</v>
      </c>
      <c r="Z476" s="10" t="s">
        <v>99</v>
      </c>
      <c r="AA476" s="10" t="s">
        <v>131</v>
      </c>
      <c r="AB476" s="10" t="s">
        <v>3520</v>
      </c>
      <c r="AC476" s="10" t="s">
        <v>3521</v>
      </c>
      <c r="AD476" s="10" t="s">
        <v>4049</v>
      </c>
      <c r="AE476" s="10" t="s">
        <v>4050</v>
      </c>
      <c r="AF476" s="15"/>
      <c r="AG476" s="10" t="s">
        <v>3524</v>
      </c>
      <c r="AH476" s="10" t="s">
        <v>3539</v>
      </c>
      <c r="AI476" s="10" t="s">
        <v>3539</v>
      </c>
      <c r="AJ476" s="10" t="s">
        <v>4051</v>
      </c>
      <c r="AK476" s="10" t="s">
        <v>102</v>
      </c>
      <c r="AL476" s="10" t="s">
        <v>167</v>
      </c>
      <c r="AM476" s="10"/>
      <c r="AN476" s="10"/>
      <c r="AO476" s="13" t="b">
        <v>0</v>
      </c>
      <c r="AP476" s="10" t="s">
        <v>104</v>
      </c>
      <c r="AQ476" s="10">
        <f ca="1">IFERROR(__xludf.DUMMYFUNCTION("""COMPUTED_VALUE"""),4563127)</f>
        <v>4563127</v>
      </c>
      <c r="AR476" s="17">
        <v>168708</v>
      </c>
      <c r="AS476" s="17">
        <v>100443</v>
      </c>
      <c r="AT476" s="17">
        <v>2442603.25</v>
      </c>
      <c r="AU476" s="17">
        <v>384.35</v>
      </c>
      <c r="AV476" s="17">
        <v>102.2</v>
      </c>
      <c r="AW476" s="10" t="s">
        <v>105</v>
      </c>
      <c r="AX476" s="17">
        <v>33817</v>
      </c>
      <c r="AY476" s="18">
        <v>24.318302420278169</v>
      </c>
      <c r="AZ476" s="10"/>
      <c r="BA476" s="20" t="b">
        <v>0</v>
      </c>
      <c r="BB476" s="10"/>
      <c r="BC476" s="17">
        <v>168708</v>
      </c>
      <c r="BD476" s="17">
        <v>100443</v>
      </c>
      <c r="BE476" s="17">
        <v>2442603.25</v>
      </c>
      <c r="BF476" s="17">
        <v>102.2</v>
      </c>
      <c r="BG476" s="11">
        <f ca="1">IFERROR(__xludf.DUMMYFUNCTION("""COMPUTED_VALUE"""),45912.7916666666)</f>
        <v>45912.791666666599</v>
      </c>
      <c r="BH476" s="17" t="s">
        <v>105</v>
      </c>
      <c r="BI476" s="17"/>
      <c r="BJ476" s="15"/>
      <c r="BK476" s="15"/>
      <c r="BL476" s="13" t="b">
        <v>1</v>
      </c>
      <c r="BM476" s="10"/>
      <c r="BN476" s="10" t="s">
        <v>667</v>
      </c>
      <c r="BO476" s="11">
        <v>45860.370833333334</v>
      </c>
      <c r="BP476" s="11">
        <v>45905.81722222222</v>
      </c>
      <c r="BQ476" s="15">
        <v>45910.483437499999</v>
      </c>
      <c r="BR476" s="15">
        <v>45910.56627314815</v>
      </c>
      <c r="BS476" s="10" t="s">
        <v>667</v>
      </c>
      <c r="BT476" s="10" t="s">
        <v>279</v>
      </c>
      <c r="BU476" s="10" t="s">
        <v>534</v>
      </c>
      <c r="BV476" s="10"/>
      <c r="BW476" s="10"/>
      <c r="BX476" s="10"/>
      <c r="BY476" s="23"/>
      <c r="BZ476" s="24" t="s">
        <v>299</v>
      </c>
      <c r="CA476" s="19" t="s">
        <v>4052</v>
      </c>
      <c r="CB476" s="19" t="s">
        <v>4053</v>
      </c>
      <c r="CC476" s="23"/>
      <c r="CD476" s="19" t="s">
        <v>4054</v>
      </c>
      <c r="CE476" s="23"/>
      <c r="CF476" s="23"/>
      <c r="CG476" s="23"/>
      <c r="CH476" s="23"/>
      <c r="CI476" s="23"/>
    </row>
    <row r="477" spans="1:87" x14ac:dyDescent="0.3">
      <c r="A477" s="9" t="s">
        <v>4055</v>
      </c>
      <c r="B477" s="10" t="s">
        <v>4056</v>
      </c>
      <c r="C477" s="11">
        <v>45912.645833333336</v>
      </c>
      <c r="D477" s="12">
        <v>8.3333333333333329E-2</v>
      </c>
      <c r="E477" s="11">
        <v>45912.729166666664</v>
      </c>
      <c r="F477" s="10" t="s">
        <v>3511</v>
      </c>
      <c r="G477" s="13" t="b">
        <v>0</v>
      </c>
      <c r="H477" s="10" t="s">
        <v>3512</v>
      </c>
      <c r="I477" s="10" t="s">
        <v>3548</v>
      </c>
      <c r="J477" s="13" t="b">
        <v>0</v>
      </c>
      <c r="K477" s="13" t="b">
        <v>1</v>
      </c>
      <c r="L477" s="10" t="s">
        <v>124</v>
      </c>
      <c r="M477" s="10" t="s">
        <v>91</v>
      </c>
      <c r="N477" s="10" t="s">
        <v>3513</v>
      </c>
      <c r="O477" s="19" t="s">
        <v>4057</v>
      </c>
      <c r="P477" s="10"/>
      <c r="Q477" s="10" t="s">
        <v>126</v>
      </c>
      <c r="R477" s="10"/>
      <c r="S477" s="19" t="s">
        <v>4058</v>
      </c>
      <c r="T477" s="19" t="s">
        <v>4016</v>
      </c>
      <c r="U477" s="10" t="s">
        <v>3662</v>
      </c>
      <c r="V477" s="10" t="s">
        <v>3623</v>
      </c>
      <c r="W477" s="10" t="s">
        <v>3519</v>
      </c>
      <c r="X477" s="10" t="s">
        <v>130</v>
      </c>
      <c r="Y477" s="10" t="s">
        <v>130</v>
      </c>
      <c r="Z477" s="10" t="s">
        <v>99</v>
      </c>
      <c r="AA477" s="10" t="s">
        <v>131</v>
      </c>
      <c r="AB477" s="10" t="s">
        <v>3520</v>
      </c>
      <c r="AC477" s="10" t="s">
        <v>3521</v>
      </c>
      <c r="AD477" s="10" t="s">
        <v>4059</v>
      </c>
      <c r="AE477" s="10" t="s">
        <v>4060</v>
      </c>
      <c r="AF477" s="15"/>
      <c r="AG477" s="10" t="s">
        <v>3524</v>
      </c>
      <c r="AH477" s="10" t="s">
        <v>3539</v>
      </c>
      <c r="AI477" s="10" t="s">
        <v>3539</v>
      </c>
      <c r="AJ477" s="10" t="s">
        <v>4061</v>
      </c>
      <c r="AK477" s="10" t="s">
        <v>102</v>
      </c>
      <c r="AL477" s="10" t="s">
        <v>167</v>
      </c>
      <c r="AM477" s="10"/>
      <c r="AN477" s="10"/>
      <c r="AO477" s="13" t="b">
        <v>0</v>
      </c>
      <c r="AP477" s="10" t="s">
        <v>104</v>
      </c>
      <c r="AQ477" s="10">
        <f ca="1">IFERROR(__xludf.DUMMYFUNCTION("""COMPUTED_VALUE"""),4563124)</f>
        <v>4563124</v>
      </c>
      <c r="AR477" s="17">
        <v>144972</v>
      </c>
      <c r="AS477" s="17">
        <v>82561</v>
      </c>
      <c r="AT477" s="17">
        <v>1057657</v>
      </c>
      <c r="AU477" s="17">
        <v>651.75</v>
      </c>
      <c r="AV477" s="17">
        <v>225.9</v>
      </c>
      <c r="AW477" s="10" t="s">
        <v>105</v>
      </c>
      <c r="AX477" s="17">
        <v>37999</v>
      </c>
      <c r="AY477" s="18">
        <v>12.810612759050883</v>
      </c>
      <c r="AZ477" s="10"/>
      <c r="BA477" s="20" t="b">
        <v>0</v>
      </c>
      <c r="BB477" s="10"/>
      <c r="BC477" s="17">
        <v>144972</v>
      </c>
      <c r="BD477" s="17">
        <v>82561</v>
      </c>
      <c r="BE477" s="17">
        <v>1057657</v>
      </c>
      <c r="BF477" s="17">
        <v>225.9</v>
      </c>
      <c r="BG477" s="11">
        <f ca="1">IFERROR(__xludf.DUMMYFUNCTION("""COMPUTED_VALUE"""),45912.6458333333)</f>
        <v>45912.645833333299</v>
      </c>
      <c r="BH477" s="17" t="s">
        <v>105</v>
      </c>
      <c r="BI477" s="17"/>
      <c r="BJ477" s="15"/>
      <c r="BK477" s="15"/>
      <c r="BL477" s="13" t="b">
        <v>0</v>
      </c>
      <c r="BM477" s="10"/>
      <c r="BN477" s="10" t="s">
        <v>667</v>
      </c>
      <c r="BO477" s="11">
        <v>45860.370833333334</v>
      </c>
      <c r="BP477" s="11">
        <v>45909.577546296299</v>
      </c>
      <c r="BQ477" s="15">
        <v>45910.483402777776</v>
      </c>
      <c r="BR477" s="15">
        <v>45910.560428240744</v>
      </c>
      <c r="BS477" s="10" t="s">
        <v>667</v>
      </c>
      <c r="BT477" s="10" t="s">
        <v>99</v>
      </c>
      <c r="BU477" s="10" t="s">
        <v>534</v>
      </c>
      <c r="BV477" s="10"/>
      <c r="BW477" s="10"/>
      <c r="BX477" s="10"/>
      <c r="BY477" s="23"/>
      <c r="BZ477" s="24" t="s">
        <v>284</v>
      </c>
      <c r="CA477" s="19" t="s">
        <v>4062</v>
      </c>
      <c r="CB477" s="19" t="s">
        <v>4063</v>
      </c>
      <c r="CC477" s="23"/>
      <c r="CD477" s="19" t="s">
        <v>4064</v>
      </c>
      <c r="CE477" s="23"/>
      <c r="CF477" s="23"/>
      <c r="CG477" s="23"/>
      <c r="CH477" s="23"/>
      <c r="CI477" s="23"/>
    </row>
    <row r="478" spans="1:87" x14ac:dyDescent="0.3">
      <c r="A478" s="9" t="s">
        <v>4065</v>
      </c>
      <c r="B478" s="10" t="s">
        <v>4066</v>
      </c>
      <c r="C478" s="11">
        <v>45913.645833333336</v>
      </c>
      <c r="D478" s="12">
        <v>8.3333333333333329E-2</v>
      </c>
      <c r="E478" s="11">
        <v>45913.729166666664</v>
      </c>
      <c r="F478" s="10" t="s">
        <v>3511</v>
      </c>
      <c r="G478" s="13" t="b">
        <v>0</v>
      </c>
      <c r="H478" s="10" t="s">
        <v>123</v>
      </c>
      <c r="I478" s="10" t="s">
        <v>3548</v>
      </c>
      <c r="J478" s="13" t="b">
        <v>0</v>
      </c>
      <c r="K478" s="13" t="b">
        <v>1</v>
      </c>
      <c r="L478" s="10" t="s">
        <v>124</v>
      </c>
      <c r="M478" s="10" t="s">
        <v>91</v>
      </c>
      <c r="N478" s="10" t="s">
        <v>3513</v>
      </c>
      <c r="O478" s="19" t="s">
        <v>4067</v>
      </c>
      <c r="P478" s="10"/>
      <c r="Q478" s="10" t="s">
        <v>126</v>
      </c>
      <c r="R478" s="10"/>
      <c r="S478" s="19" t="s">
        <v>4068</v>
      </c>
      <c r="T478" s="19" t="s">
        <v>4016</v>
      </c>
      <c r="U478" s="10" t="s">
        <v>3676</v>
      </c>
      <c r="V478" s="10" t="s">
        <v>3622</v>
      </c>
      <c r="W478" s="10" t="s">
        <v>3519</v>
      </c>
      <c r="X478" s="10" t="s">
        <v>130</v>
      </c>
      <c r="Y478" s="10" t="s">
        <v>130</v>
      </c>
      <c r="Z478" s="10" t="s">
        <v>99</v>
      </c>
      <c r="AA478" s="10" t="s">
        <v>131</v>
      </c>
      <c r="AB478" s="10" t="s">
        <v>3520</v>
      </c>
      <c r="AC478" s="10" t="s">
        <v>3521</v>
      </c>
      <c r="AD478" s="10" t="s">
        <v>4069</v>
      </c>
      <c r="AE478" s="10" t="s">
        <v>4070</v>
      </c>
      <c r="AF478" s="15"/>
      <c r="AG478" s="10" t="s">
        <v>3524</v>
      </c>
      <c r="AH478" s="10" t="s">
        <v>3539</v>
      </c>
      <c r="AI478" s="10" t="s">
        <v>3539</v>
      </c>
      <c r="AJ478" s="10" t="s">
        <v>4071</v>
      </c>
      <c r="AK478" s="10" t="s">
        <v>102</v>
      </c>
      <c r="AL478" s="10" t="s">
        <v>167</v>
      </c>
      <c r="AM478" s="10"/>
      <c r="AN478" s="10"/>
      <c r="AO478" s="13" t="b">
        <v>1</v>
      </c>
      <c r="AP478" s="10" t="s">
        <v>104</v>
      </c>
      <c r="AQ478" s="10">
        <f ca="1">IFERROR(__xludf.DUMMYFUNCTION("""COMPUTED_VALUE"""),4563138)</f>
        <v>4563138</v>
      </c>
      <c r="AR478" s="17">
        <v>281843</v>
      </c>
      <c r="AS478" s="17">
        <v>175293</v>
      </c>
      <c r="AT478" s="17">
        <v>5297084</v>
      </c>
      <c r="AU478" s="17">
        <v>1369.3</v>
      </c>
      <c r="AV478" s="17">
        <v>307.7</v>
      </c>
      <c r="AW478" s="10" t="s">
        <v>105</v>
      </c>
      <c r="AX478" s="17">
        <v>63794</v>
      </c>
      <c r="AY478" s="18">
        <v>30.218457097545254</v>
      </c>
      <c r="AZ478" s="10"/>
      <c r="BA478" s="20" t="b">
        <v>0</v>
      </c>
      <c r="BB478" s="10"/>
      <c r="BC478" s="17">
        <v>281843</v>
      </c>
      <c r="BD478" s="17">
        <v>175293</v>
      </c>
      <c r="BE478" s="17">
        <v>5297084</v>
      </c>
      <c r="BF478" s="17">
        <v>307.7</v>
      </c>
      <c r="BG478" s="11">
        <f ca="1">IFERROR(__xludf.DUMMYFUNCTION("""COMPUTED_VALUE"""),45913.6458333333)</f>
        <v>45913.645833333299</v>
      </c>
      <c r="BH478" s="17" t="s">
        <v>105</v>
      </c>
      <c r="BI478" s="17"/>
      <c r="BJ478" s="15"/>
      <c r="BK478" s="15"/>
      <c r="BL478" s="13" t="b">
        <v>0</v>
      </c>
      <c r="BM478" s="10"/>
      <c r="BN478" s="10" t="s">
        <v>634</v>
      </c>
      <c r="BO478" s="11">
        <v>45860.370833333334</v>
      </c>
      <c r="BP478" s="11">
        <v>45905.830821759257</v>
      </c>
      <c r="BQ478" s="15">
        <v>45910.483483796299</v>
      </c>
      <c r="BR478" s="15">
        <v>45910.591550925928</v>
      </c>
      <c r="BS478" s="10" t="s">
        <v>634</v>
      </c>
      <c r="BT478" s="10" t="s">
        <v>99</v>
      </c>
      <c r="BU478" s="10" t="s">
        <v>298</v>
      </c>
      <c r="BV478" s="10" t="s">
        <v>281</v>
      </c>
      <c r="BW478" s="10"/>
      <c r="BX478" s="10"/>
      <c r="BY478" s="23"/>
      <c r="BZ478" s="24" t="s">
        <v>368</v>
      </c>
      <c r="CA478" s="19" t="s">
        <v>4072</v>
      </c>
      <c r="CB478" s="19" t="s">
        <v>4073</v>
      </c>
      <c r="CC478" s="23"/>
      <c r="CD478" s="19" t="s">
        <v>4074</v>
      </c>
      <c r="CE478" s="23"/>
      <c r="CF478" s="23"/>
      <c r="CG478" s="23"/>
      <c r="CH478" s="23"/>
      <c r="CI478" s="23"/>
    </row>
    <row r="479" spans="1:87" x14ac:dyDescent="0.3">
      <c r="A479" s="9" t="s">
        <v>4075</v>
      </c>
      <c r="B479" s="10" t="s">
        <v>4076</v>
      </c>
      <c r="C479" s="11">
        <v>45913.791666666664</v>
      </c>
      <c r="D479" s="12">
        <v>8.3333333333333329E-2</v>
      </c>
      <c r="E479" s="11">
        <v>45913.875</v>
      </c>
      <c r="F479" s="10" t="s">
        <v>3511</v>
      </c>
      <c r="G479" s="13" t="b">
        <v>0</v>
      </c>
      <c r="H479" s="10" t="s">
        <v>236</v>
      </c>
      <c r="I479" s="10" t="s">
        <v>212</v>
      </c>
      <c r="J479" s="13" t="b">
        <v>1</v>
      </c>
      <c r="K479" s="13" t="b">
        <v>1</v>
      </c>
      <c r="L479" s="10" t="s">
        <v>124</v>
      </c>
      <c r="M479" s="10" t="s">
        <v>91</v>
      </c>
      <c r="N479" s="10" t="s">
        <v>3513</v>
      </c>
      <c r="O479" s="19" t="s">
        <v>4077</v>
      </c>
      <c r="P479" s="10"/>
      <c r="Q479" s="10" t="s">
        <v>126</v>
      </c>
      <c r="R479" s="10"/>
      <c r="S479" s="19" t="s">
        <v>4078</v>
      </c>
      <c r="T479" s="19" t="s">
        <v>4016</v>
      </c>
      <c r="U479" s="10" t="s">
        <v>3636</v>
      </c>
      <c r="V479" s="10" t="s">
        <v>3536</v>
      </c>
      <c r="W479" s="10" t="s">
        <v>3519</v>
      </c>
      <c r="X479" s="10" t="s">
        <v>130</v>
      </c>
      <c r="Y479" s="10" t="s">
        <v>130</v>
      </c>
      <c r="Z479" s="10" t="s">
        <v>99</v>
      </c>
      <c r="AA479" s="10" t="s">
        <v>131</v>
      </c>
      <c r="AB479" s="10" t="s">
        <v>3520</v>
      </c>
      <c r="AC479" s="10" t="s">
        <v>3521</v>
      </c>
      <c r="AD479" s="10" t="s">
        <v>4079</v>
      </c>
      <c r="AE479" s="10" t="s">
        <v>4080</v>
      </c>
      <c r="AF479" s="15"/>
      <c r="AG479" s="10" t="s">
        <v>3524</v>
      </c>
      <c r="AH479" s="10" t="s">
        <v>3539</v>
      </c>
      <c r="AI479" s="10" t="s">
        <v>3539</v>
      </c>
      <c r="AJ479" s="10" t="s">
        <v>4081</v>
      </c>
      <c r="AK479" s="10" t="s">
        <v>102</v>
      </c>
      <c r="AL479" s="10" t="s">
        <v>167</v>
      </c>
      <c r="AM479" s="10"/>
      <c r="AN479" s="10"/>
      <c r="AO479" s="13" t="b">
        <v>0</v>
      </c>
      <c r="AP479" s="10" t="s">
        <v>104</v>
      </c>
      <c r="AQ479" s="10">
        <f ca="1">IFERROR(__xludf.DUMMYFUNCTION("""COMPUTED_VALUE"""),4568599)</f>
        <v>4568599</v>
      </c>
      <c r="AR479" s="17">
        <v>325773</v>
      </c>
      <c r="AS479" s="17">
        <v>196704</v>
      </c>
      <c r="AT479" s="17">
        <v>6153570.25</v>
      </c>
      <c r="AU479" s="17">
        <v>1118.8499999999999</v>
      </c>
      <c r="AV479" s="17">
        <v>301.5</v>
      </c>
      <c r="AW479" s="10" t="s">
        <v>105</v>
      </c>
      <c r="AX479" s="17">
        <v>76758</v>
      </c>
      <c r="AY479" s="18">
        <v>31.283401710183828</v>
      </c>
      <c r="AZ479" s="10"/>
      <c r="BA479" s="20" t="b">
        <v>0</v>
      </c>
      <c r="BB479" s="10"/>
      <c r="BC479" s="17">
        <v>325773</v>
      </c>
      <c r="BD479" s="17">
        <v>196704</v>
      </c>
      <c r="BE479" s="17">
        <v>6153570.25</v>
      </c>
      <c r="BF479" s="17">
        <v>301.5</v>
      </c>
      <c r="BG479" s="11">
        <f ca="1">IFERROR(__xludf.DUMMYFUNCTION("""COMPUTED_VALUE"""),45913.7916666666)</f>
        <v>45913.791666666599</v>
      </c>
      <c r="BH479" s="17" t="s">
        <v>105</v>
      </c>
      <c r="BI479" s="17"/>
      <c r="BJ479" s="15"/>
      <c r="BK479" s="15"/>
      <c r="BL479" s="13" t="b">
        <v>0</v>
      </c>
      <c r="BM479" s="10"/>
      <c r="BN479" s="10" t="s">
        <v>634</v>
      </c>
      <c r="BO479" s="11">
        <v>45860.370833333334</v>
      </c>
      <c r="BP479" s="11">
        <v>45905.836261574077</v>
      </c>
      <c r="BQ479" s="15">
        <v>45910.483518518522</v>
      </c>
      <c r="BR479" s="15">
        <v>45913.087696759256</v>
      </c>
      <c r="BS479" s="10" t="s">
        <v>634</v>
      </c>
      <c r="BT479" s="10" t="s">
        <v>99</v>
      </c>
      <c r="BU479" s="10" t="s">
        <v>4082</v>
      </c>
      <c r="BV479" s="10" t="s">
        <v>124</v>
      </c>
      <c r="BW479" s="10"/>
      <c r="BX479" s="10"/>
      <c r="BY479" s="23"/>
      <c r="BZ479" s="24" t="s">
        <v>299</v>
      </c>
      <c r="CA479" s="19" t="s">
        <v>4083</v>
      </c>
      <c r="CB479" s="19" t="s">
        <v>4084</v>
      </c>
      <c r="CC479" s="23"/>
      <c r="CD479" s="19" t="s">
        <v>4085</v>
      </c>
      <c r="CE479" s="23"/>
      <c r="CF479" s="23"/>
      <c r="CG479" s="23"/>
      <c r="CH479" s="23"/>
      <c r="CI479" s="23"/>
    </row>
    <row r="480" spans="1:87" x14ac:dyDescent="0.3">
      <c r="A480" s="9" t="s">
        <v>4086</v>
      </c>
      <c r="B480" s="10" t="s">
        <v>4087</v>
      </c>
      <c r="C480" s="11">
        <v>45914.645833333336</v>
      </c>
      <c r="D480" s="12">
        <v>8.3333333333333329E-2</v>
      </c>
      <c r="E480" s="11">
        <v>45914.729166666664</v>
      </c>
      <c r="F480" s="10" t="s">
        <v>3511</v>
      </c>
      <c r="G480" s="13" t="b">
        <v>0</v>
      </c>
      <c r="H480" s="10" t="s">
        <v>236</v>
      </c>
      <c r="I480" s="10" t="s">
        <v>212</v>
      </c>
      <c r="J480" s="13" t="b">
        <v>1</v>
      </c>
      <c r="K480" s="13" t="b">
        <v>1</v>
      </c>
      <c r="L480" s="10" t="s">
        <v>124</v>
      </c>
      <c r="M480" s="10" t="s">
        <v>91</v>
      </c>
      <c r="N480" s="10" t="s">
        <v>3513</v>
      </c>
      <c r="O480" s="19" t="s">
        <v>4088</v>
      </c>
      <c r="P480" s="10"/>
      <c r="Q480" s="10" t="s">
        <v>126</v>
      </c>
      <c r="R480" s="10"/>
      <c r="S480" s="19" t="s">
        <v>4089</v>
      </c>
      <c r="T480" s="19" t="s">
        <v>4016</v>
      </c>
      <c r="U480" s="10" t="s">
        <v>3552</v>
      </c>
      <c r="V480" s="10" t="s">
        <v>3517</v>
      </c>
      <c r="W480" s="10" t="s">
        <v>3519</v>
      </c>
      <c r="X480" s="10" t="s">
        <v>130</v>
      </c>
      <c r="Y480" s="10" t="s">
        <v>130</v>
      </c>
      <c r="Z480" s="10" t="s">
        <v>99</v>
      </c>
      <c r="AA480" s="10" t="s">
        <v>131</v>
      </c>
      <c r="AB480" s="10" t="s">
        <v>3520</v>
      </c>
      <c r="AC480" s="10" t="s">
        <v>3521</v>
      </c>
      <c r="AD480" s="10" t="s">
        <v>4090</v>
      </c>
      <c r="AE480" s="10" t="s">
        <v>4091</v>
      </c>
      <c r="AF480" s="15"/>
      <c r="AG480" s="10" t="s">
        <v>3524</v>
      </c>
      <c r="AH480" s="10" t="s">
        <v>3539</v>
      </c>
      <c r="AI480" s="10" t="s">
        <v>3539</v>
      </c>
      <c r="AJ480" s="10" t="s">
        <v>4092</v>
      </c>
      <c r="AK480" s="10" t="s">
        <v>102</v>
      </c>
      <c r="AL480" s="10" t="s">
        <v>167</v>
      </c>
      <c r="AM480" s="10"/>
      <c r="AN480" s="10"/>
      <c r="AO480" s="13" t="b">
        <v>0</v>
      </c>
      <c r="AP480" s="10" t="s">
        <v>104</v>
      </c>
      <c r="AQ480" s="10">
        <f ca="1">IFERROR(__xludf.DUMMYFUNCTION("""COMPUTED_VALUE"""),4570984)</f>
        <v>4570984</v>
      </c>
      <c r="AR480" s="17">
        <v>259687</v>
      </c>
      <c r="AS480" s="17">
        <v>155267</v>
      </c>
      <c r="AT480" s="17">
        <v>5342316.25</v>
      </c>
      <c r="AU480" s="17">
        <v>651.75</v>
      </c>
      <c r="AV480" s="17">
        <v>201.7</v>
      </c>
      <c r="AW480" s="10" t="s">
        <v>105</v>
      </c>
      <c r="AX480" s="17">
        <v>62837</v>
      </c>
      <c r="AY480" s="18">
        <v>34.407287124759286</v>
      </c>
      <c r="AZ480" s="10"/>
      <c r="BA480" s="20" t="b">
        <v>0</v>
      </c>
      <c r="BB480" s="10"/>
      <c r="BC480" s="17">
        <v>259687</v>
      </c>
      <c r="BD480" s="17">
        <v>155267</v>
      </c>
      <c r="BE480" s="17">
        <v>5342316.25</v>
      </c>
      <c r="BF480" s="17">
        <v>201.7</v>
      </c>
      <c r="BG480" s="11">
        <f ca="1">IFERROR(__xludf.DUMMYFUNCTION("""COMPUTED_VALUE"""),45914.6458333333)</f>
        <v>45914.645833333299</v>
      </c>
      <c r="BH480" s="17" t="s">
        <v>105</v>
      </c>
      <c r="BI480" s="17"/>
      <c r="BJ480" s="15"/>
      <c r="BK480" s="15"/>
      <c r="BL480" s="13" t="b">
        <v>0</v>
      </c>
      <c r="BM480" s="10"/>
      <c r="BN480" s="10" t="s">
        <v>634</v>
      </c>
      <c r="BO480" s="11">
        <v>45860.370833333334</v>
      </c>
      <c r="BP480" s="11">
        <v>45905.84269675926</v>
      </c>
      <c r="BQ480" s="15">
        <v>45910.483564814815</v>
      </c>
      <c r="BR480" s="15">
        <v>45914.497662037036</v>
      </c>
      <c r="BS480" s="10" t="s">
        <v>634</v>
      </c>
      <c r="BT480" s="10" t="s">
        <v>99</v>
      </c>
      <c r="BU480" s="10" t="s">
        <v>655</v>
      </c>
      <c r="BV480" s="10" t="s">
        <v>124</v>
      </c>
      <c r="BW480" s="10"/>
      <c r="BX480" s="10"/>
      <c r="BY480" s="23"/>
      <c r="BZ480" s="24" t="s">
        <v>299</v>
      </c>
      <c r="CA480" s="19" t="s">
        <v>4093</v>
      </c>
      <c r="CB480" s="19" t="s">
        <v>4094</v>
      </c>
      <c r="CC480" s="23"/>
      <c r="CD480" s="19" t="s">
        <v>4095</v>
      </c>
      <c r="CE480" s="23"/>
      <c r="CF480" s="23"/>
      <c r="CG480" s="23"/>
      <c r="CH480" s="23"/>
      <c r="CI480" s="23"/>
    </row>
    <row r="481" spans="1:87" x14ac:dyDescent="0.3">
      <c r="A481" s="9" t="s">
        <v>4096</v>
      </c>
      <c r="B481" s="10" t="s">
        <v>4097</v>
      </c>
      <c r="C481" s="11">
        <v>45914.791666666664</v>
      </c>
      <c r="D481" s="12">
        <v>8.3333333333333329E-2</v>
      </c>
      <c r="E481" s="11">
        <v>45914.875</v>
      </c>
      <c r="F481" s="10" t="s">
        <v>3511</v>
      </c>
      <c r="G481" s="13" t="b">
        <v>0</v>
      </c>
      <c r="H481" s="10" t="s">
        <v>123</v>
      </c>
      <c r="I481" s="10" t="s">
        <v>3548</v>
      </c>
      <c r="J481" s="13" t="b">
        <v>0</v>
      </c>
      <c r="K481" s="13" t="b">
        <v>1</v>
      </c>
      <c r="L481" s="10" t="s">
        <v>124</v>
      </c>
      <c r="M481" s="10" t="s">
        <v>91</v>
      </c>
      <c r="N481" s="10" t="s">
        <v>3513</v>
      </c>
      <c r="O481" s="19" t="s">
        <v>4098</v>
      </c>
      <c r="P481" s="10"/>
      <c r="Q481" s="10" t="s">
        <v>126</v>
      </c>
      <c r="R481" s="10"/>
      <c r="S481" s="19" t="s">
        <v>4099</v>
      </c>
      <c r="T481" s="19" t="s">
        <v>4016</v>
      </c>
      <c r="U481" s="10" t="s">
        <v>3647</v>
      </c>
      <c r="V481" s="10" t="s">
        <v>3661</v>
      </c>
      <c r="W481" s="10" t="s">
        <v>3519</v>
      </c>
      <c r="X481" s="10" t="s">
        <v>130</v>
      </c>
      <c r="Y481" s="10" t="s">
        <v>130</v>
      </c>
      <c r="Z481" s="10" t="s">
        <v>99</v>
      </c>
      <c r="AA481" s="10" t="s">
        <v>131</v>
      </c>
      <c r="AB481" s="10" t="s">
        <v>3520</v>
      </c>
      <c r="AC481" s="10" t="s">
        <v>3521</v>
      </c>
      <c r="AD481" s="10" t="s">
        <v>4100</v>
      </c>
      <c r="AE481" s="10" t="s">
        <v>4101</v>
      </c>
      <c r="AF481" s="15"/>
      <c r="AG481" s="10" t="s">
        <v>3524</v>
      </c>
      <c r="AH481" s="10" t="s">
        <v>3539</v>
      </c>
      <c r="AI481" s="10" t="s">
        <v>3539</v>
      </c>
      <c r="AJ481" s="10" t="s">
        <v>4102</v>
      </c>
      <c r="AK481" s="10" t="s">
        <v>102</v>
      </c>
      <c r="AL481" s="10" t="s">
        <v>167</v>
      </c>
      <c r="AM481" s="10"/>
      <c r="AN481" s="10"/>
      <c r="AO481" s="13" t="b">
        <v>1</v>
      </c>
      <c r="AP481" s="10" t="s">
        <v>104</v>
      </c>
      <c r="AQ481" s="10">
        <f ca="1">IFERROR(__xludf.DUMMYFUNCTION("""COMPUTED_VALUE"""),4563159)</f>
        <v>4563159</v>
      </c>
      <c r="AR481" s="17">
        <v>633812</v>
      </c>
      <c r="AS481" s="17">
        <v>335114</v>
      </c>
      <c r="AT481" s="17">
        <v>14312299.75</v>
      </c>
      <c r="AU481" s="17">
        <v>4864.95</v>
      </c>
      <c r="AV481" s="17">
        <v>1730.35</v>
      </c>
      <c r="AW481" s="10" t="s">
        <v>297</v>
      </c>
      <c r="AX481" s="17">
        <v>163232</v>
      </c>
      <c r="AY481" s="18">
        <v>42.708749112242401</v>
      </c>
      <c r="AZ481" s="10"/>
      <c r="BA481" s="20" t="b">
        <v>0</v>
      </c>
      <c r="BB481" s="10"/>
      <c r="BC481" s="17">
        <v>633812</v>
      </c>
      <c r="BD481" s="17">
        <v>335114</v>
      </c>
      <c r="BE481" s="17">
        <v>14312299.75</v>
      </c>
      <c r="BF481" s="17">
        <v>1730.35</v>
      </c>
      <c r="BG481" s="11">
        <f ca="1">IFERROR(__xludf.DUMMYFUNCTION("""COMPUTED_VALUE"""),45914.7916666666)</f>
        <v>45914.791666666599</v>
      </c>
      <c r="BH481" s="17" t="s">
        <v>297</v>
      </c>
      <c r="BI481" s="17"/>
      <c r="BJ481" s="15"/>
      <c r="BK481" s="15"/>
      <c r="BL481" s="13" t="b">
        <v>0</v>
      </c>
      <c r="BM481" s="10"/>
      <c r="BN481" s="10" t="s">
        <v>4030</v>
      </c>
      <c r="BO481" s="11">
        <v>45860.370833333334</v>
      </c>
      <c r="BP481" s="11">
        <v>45905.848391203705</v>
      </c>
      <c r="BQ481" s="15">
        <v>45912.668402777781</v>
      </c>
      <c r="BR481" s="15">
        <v>45915.420254629629</v>
      </c>
      <c r="BS481" s="10" t="s">
        <v>4030</v>
      </c>
      <c r="BT481" s="10" t="s">
        <v>99</v>
      </c>
      <c r="BU481" s="10" t="s">
        <v>655</v>
      </c>
      <c r="BV481" s="10" t="s">
        <v>281</v>
      </c>
      <c r="BW481" s="10"/>
      <c r="BX481" s="10"/>
      <c r="BY481" s="23"/>
      <c r="BZ481" s="24" t="s">
        <v>368</v>
      </c>
      <c r="CA481" s="19" t="s">
        <v>4103</v>
      </c>
      <c r="CB481" s="19" t="s">
        <v>4104</v>
      </c>
      <c r="CC481" s="23"/>
      <c r="CD481" s="19" t="s">
        <v>4105</v>
      </c>
      <c r="CE481" s="23"/>
      <c r="CF481" s="23"/>
      <c r="CG481" s="23"/>
      <c r="CH481" s="23"/>
      <c r="CI481" s="23"/>
    </row>
    <row r="482" spans="1:87" x14ac:dyDescent="0.3">
      <c r="A482" s="9" t="s">
        <v>4106</v>
      </c>
      <c r="B482" s="10" t="s">
        <v>4107</v>
      </c>
      <c r="C482" s="11">
        <v>45919.645833333336</v>
      </c>
      <c r="D482" s="12">
        <v>8.3333333333333329E-2</v>
      </c>
      <c r="E482" s="11">
        <v>45919.729166666664</v>
      </c>
      <c r="F482" s="10" t="s">
        <v>3511</v>
      </c>
      <c r="G482" s="13" t="b">
        <v>0</v>
      </c>
      <c r="H482" s="10" t="s">
        <v>236</v>
      </c>
      <c r="I482" s="10" t="s">
        <v>212</v>
      </c>
      <c r="J482" s="13" t="b">
        <v>1</v>
      </c>
      <c r="K482" s="13" t="b">
        <v>1</v>
      </c>
      <c r="L482" s="10" t="s">
        <v>124</v>
      </c>
      <c r="M482" s="10" t="s">
        <v>91</v>
      </c>
      <c r="N482" s="10" t="s">
        <v>3513</v>
      </c>
      <c r="O482" s="19" t="s">
        <v>4108</v>
      </c>
      <c r="P482" s="10"/>
      <c r="Q482" s="10" t="s">
        <v>126</v>
      </c>
      <c r="R482" s="10"/>
      <c r="S482" s="19" t="s">
        <v>4109</v>
      </c>
      <c r="T482" s="19" t="s">
        <v>4110</v>
      </c>
      <c r="U482" s="10" t="s">
        <v>3518</v>
      </c>
      <c r="V482" s="10" t="s">
        <v>3662</v>
      </c>
      <c r="W482" s="10" t="s">
        <v>3519</v>
      </c>
      <c r="X482" s="10" t="s">
        <v>130</v>
      </c>
      <c r="Y482" s="10" t="s">
        <v>130</v>
      </c>
      <c r="Z482" s="10" t="s">
        <v>99</v>
      </c>
      <c r="AA482" s="10" t="s">
        <v>131</v>
      </c>
      <c r="AB482" s="10" t="s">
        <v>3520</v>
      </c>
      <c r="AC482" s="10" t="s">
        <v>3521</v>
      </c>
      <c r="AD482" s="10" t="s">
        <v>4111</v>
      </c>
      <c r="AE482" s="10" t="s">
        <v>4112</v>
      </c>
      <c r="AF482" s="15"/>
      <c r="AG482" s="10" t="s">
        <v>3524</v>
      </c>
      <c r="AH482" s="10" t="s">
        <v>3539</v>
      </c>
      <c r="AI482" s="10" t="s">
        <v>3539</v>
      </c>
      <c r="AJ482" s="10" t="s">
        <v>4113</v>
      </c>
      <c r="AK482" s="10" t="s">
        <v>102</v>
      </c>
      <c r="AL482" s="10" t="s">
        <v>176</v>
      </c>
      <c r="AM482" s="10"/>
      <c r="AN482" s="10"/>
      <c r="AO482" s="13" t="b">
        <v>0</v>
      </c>
      <c r="AP482" s="10" t="s">
        <v>104</v>
      </c>
      <c r="AQ482" s="10">
        <f ca="1">IFERROR(__xludf.DUMMYFUNCTION("""COMPUTED_VALUE"""),4575839)</f>
        <v>4575839</v>
      </c>
      <c r="AR482" s="17">
        <v>201687</v>
      </c>
      <c r="AS482" s="17">
        <v>122552</v>
      </c>
      <c r="AT482" s="17">
        <v>3833364.75</v>
      </c>
      <c r="AU482" s="17">
        <v>441.9</v>
      </c>
      <c r="AV482" s="17">
        <v>71.849999999999994</v>
      </c>
      <c r="AW482" s="10" t="s">
        <v>105</v>
      </c>
      <c r="AX482" s="17">
        <v>42948</v>
      </c>
      <c r="AY482" s="18">
        <v>31.279495642665971</v>
      </c>
      <c r="AZ482" s="10"/>
      <c r="BA482" s="20" t="b">
        <v>0</v>
      </c>
      <c r="BB482" s="10"/>
      <c r="BC482" s="17">
        <v>201687</v>
      </c>
      <c r="BD482" s="17">
        <v>122552</v>
      </c>
      <c r="BE482" s="17">
        <v>3833364.75</v>
      </c>
      <c r="BF482" s="17">
        <v>71.849999999999994</v>
      </c>
      <c r="BG482" s="11">
        <f ca="1">IFERROR(__xludf.DUMMYFUNCTION("""COMPUTED_VALUE"""),45919.6458333333)</f>
        <v>45919.645833333299</v>
      </c>
      <c r="BH482" s="17" t="s">
        <v>105</v>
      </c>
      <c r="BI482" s="17"/>
      <c r="BJ482" s="15"/>
      <c r="BK482" s="15"/>
      <c r="BL482" s="13" t="b">
        <v>0</v>
      </c>
      <c r="BM482" s="10"/>
      <c r="BN482" s="10" t="s">
        <v>455</v>
      </c>
      <c r="BO482" s="11">
        <v>45860.370833333334</v>
      </c>
      <c r="BP482" s="11">
        <v>45915.534768518519</v>
      </c>
      <c r="BQ482" s="15">
        <v>45915.668379629627</v>
      </c>
      <c r="BR482" s="15">
        <v>45916.47084490741</v>
      </c>
      <c r="BS482" s="10" t="s">
        <v>455</v>
      </c>
      <c r="BT482" s="10" t="s">
        <v>99</v>
      </c>
      <c r="BU482" s="10" t="s">
        <v>1402</v>
      </c>
      <c r="BV482" s="10"/>
      <c r="BW482" s="10"/>
      <c r="BX482" s="10"/>
      <c r="BY482" s="23"/>
      <c r="BZ482" s="24" t="s">
        <v>299</v>
      </c>
      <c r="CA482" s="19" t="s">
        <v>4114</v>
      </c>
      <c r="CB482" s="19" t="s">
        <v>4115</v>
      </c>
      <c r="CC482" s="23"/>
      <c r="CD482" s="19" t="s">
        <v>4116</v>
      </c>
      <c r="CE482" s="23"/>
      <c r="CF482" s="23"/>
      <c r="CG482" s="23"/>
      <c r="CH482" s="23"/>
      <c r="CI482" s="23"/>
    </row>
    <row r="483" spans="1:87" x14ac:dyDescent="0.3">
      <c r="A483" s="9" t="s">
        <v>4117</v>
      </c>
      <c r="B483" s="10" t="s">
        <v>4118</v>
      </c>
      <c r="C483" s="11">
        <v>45919.791666666664</v>
      </c>
      <c r="D483" s="12">
        <v>8.3333333333333329E-2</v>
      </c>
      <c r="E483" s="11">
        <v>45919.875</v>
      </c>
      <c r="F483" s="10" t="s">
        <v>3511</v>
      </c>
      <c r="G483" s="13" t="b">
        <v>0</v>
      </c>
      <c r="H483" s="10" t="s">
        <v>123</v>
      </c>
      <c r="I483" s="10" t="s">
        <v>3548</v>
      </c>
      <c r="J483" s="13" t="b">
        <v>0</v>
      </c>
      <c r="K483" s="13" t="b">
        <v>1</v>
      </c>
      <c r="L483" s="10" t="s">
        <v>124</v>
      </c>
      <c r="M483" s="10" t="s">
        <v>91</v>
      </c>
      <c r="N483" s="10" t="s">
        <v>3513</v>
      </c>
      <c r="O483" s="19" t="s">
        <v>4119</v>
      </c>
      <c r="P483" s="10"/>
      <c r="Q483" s="10" t="s">
        <v>126</v>
      </c>
      <c r="R483" s="10"/>
      <c r="S483" s="19" t="s">
        <v>4120</v>
      </c>
      <c r="T483" s="19" t="s">
        <v>4110</v>
      </c>
      <c r="U483" s="10" t="s">
        <v>3551</v>
      </c>
      <c r="V483" s="10" t="s">
        <v>3610</v>
      </c>
      <c r="W483" s="10" t="s">
        <v>3519</v>
      </c>
      <c r="X483" s="10" t="s">
        <v>130</v>
      </c>
      <c r="Y483" s="10" t="s">
        <v>130</v>
      </c>
      <c r="Z483" s="10" t="s">
        <v>99</v>
      </c>
      <c r="AA483" s="10" t="s">
        <v>131</v>
      </c>
      <c r="AB483" s="10" t="s">
        <v>3520</v>
      </c>
      <c r="AC483" s="10" t="s">
        <v>3521</v>
      </c>
      <c r="AD483" s="10" t="s">
        <v>4121</v>
      </c>
      <c r="AE483" s="10" t="s">
        <v>4122</v>
      </c>
      <c r="AF483" s="15"/>
      <c r="AG483" s="10" t="s">
        <v>3524</v>
      </c>
      <c r="AH483" s="10" t="s">
        <v>3539</v>
      </c>
      <c r="AI483" s="10" t="s">
        <v>3539</v>
      </c>
      <c r="AJ483" s="10" t="s">
        <v>4123</v>
      </c>
      <c r="AK483" s="10" t="s">
        <v>102</v>
      </c>
      <c r="AL483" s="10" t="s">
        <v>176</v>
      </c>
      <c r="AM483" s="10"/>
      <c r="AN483" s="10"/>
      <c r="AO483" s="13" t="b">
        <v>1</v>
      </c>
      <c r="AP483" s="10" t="s">
        <v>104</v>
      </c>
      <c r="AQ483" s="10">
        <f ca="1">IFERROR(__xludf.DUMMYFUNCTION("""COMPUTED_VALUE"""),4575841)</f>
        <v>4575841</v>
      </c>
      <c r="AR483" s="17">
        <v>381048</v>
      </c>
      <c r="AS483" s="17">
        <v>225594</v>
      </c>
      <c r="AT483" s="17">
        <v>6259173</v>
      </c>
      <c r="AU483" s="17">
        <v>2855</v>
      </c>
      <c r="AV483" s="17">
        <v>476.1</v>
      </c>
      <c r="AW483" s="10" t="s">
        <v>105</v>
      </c>
      <c r="AX483" s="17">
        <v>69216</v>
      </c>
      <c r="AY483" s="18">
        <v>27.745299077103116</v>
      </c>
      <c r="AZ483" s="10"/>
      <c r="BA483" s="20" t="b">
        <v>0</v>
      </c>
      <c r="BB483" s="10"/>
      <c r="BC483" s="17">
        <v>381048</v>
      </c>
      <c r="BD483" s="17">
        <v>225594</v>
      </c>
      <c r="BE483" s="17">
        <v>6259173</v>
      </c>
      <c r="BF483" s="17">
        <v>476.1</v>
      </c>
      <c r="BG483" s="11">
        <f ca="1">IFERROR(__xludf.DUMMYFUNCTION("""COMPUTED_VALUE"""),45919.7916666666)</f>
        <v>45919.791666666599</v>
      </c>
      <c r="BH483" s="17" t="s">
        <v>105</v>
      </c>
      <c r="BI483" s="17"/>
      <c r="BJ483" s="15"/>
      <c r="BK483" s="15"/>
      <c r="BL483" s="13" t="b">
        <v>0</v>
      </c>
      <c r="BM483" s="10"/>
      <c r="BN483" s="10" t="s">
        <v>455</v>
      </c>
      <c r="BO483" s="11">
        <v>45860.370833333334</v>
      </c>
      <c r="BP483" s="11">
        <v>45915.587962962964</v>
      </c>
      <c r="BQ483" s="15">
        <v>45915.668275462966</v>
      </c>
      <c r="BR483" s="15">
        <v>45916.472037037034</v>
      </c>
      <c r="BS483" s="10" t="s">
        <v>455</v>
      </c>
      <c r="BT483" s="10" t="s">
        <v>99</v>
      </c>
      <c r="BU483" s="10" t="s">
        <v>1402</v>
      </c>
      <c r="BV483" s="10" t="s">
        <v>124</v>
      </c>
      <c r="BW483" s="10"/>
      <c r="BX483" s="10"/>
      <c r="BY483" s="23"/>
      <c r="BZ483" s="24" t="s">
        <v>284</v>
      </c>
      <c r="CA483" s="19" t="s">
        <v>4124</v>
      </c>
      <c r="CB483" s="19" t="s">
        <v>4125</v>
      </c>
      <c r="CC483" s="23"/>
      <c r="CD483" s="19" t="s">
        <v>4126</v>
      </c>
      <c r="CE483" s="23"/>
      <c r="CF483" s="23"/>
      <c r="CG483" s="23"/>
      <c r="CH483" s="23"/>
      <c r="CI483" s="23"/>
    </row>
    <row r="484" spans="1:87" x14ac:dyDescent="0.3">
      <c r="A484" s="9" t="s">
        <v>4127</v>
      </c>
      <c r="B484" s="10" t="s">
        <v>4128</v>
      </c>
      <c r="C484" s="11">
        <v>45919.791666666664</v>
      </c>
      <c r="D484" s="12">
        <v>8.3333333333333329E-2</v>
      </c>
      <c r="E484" s="11">
        <v>45919.875</v>
      </c>
      <c r="F484" s="10" t="s">
        <v>3511</v>
      </c>
      <c r="G484" s="13" t="b">
        <v>0</v>
      </c>
      <c r="H484" s="10" t="s">
        <v>3512</v>
      </c>
      <c r="I484" s="10" t="s">
        <v>212</v>
      </c>
      <c r="J484" s="13" t="b">
        <v>1</v>
      </c>
      <c r="K484" s="13" t="b">
        <v>1</v>
      </c>
      <c r="L484" s="10" t="s">
        <v>124</v>
      </c>
      <c r="M484" s="10" t="s">
        <v>91</v>
      </c>
      <c r="N484" s="10" t="s">
        <v>3513</v>
      </c>
      <c r="O484" s="19" t="s">
        <v>4129</v>
      </c>
      <c r="P484" s="10"/>
      <c r="Q484" s="10" t="s">
        <v>126</v>
      </c>
      <c r="R484" s="10"/>
      <c r="S484" s="19" t="s">
        <v>4130</v>
      </c>
      <c r="T484" s="19" t="s">
        <v>4110</v>
      </c>
      <c r="U484" s="10" t="s">
        <v>3623</v>
      </c>
      <c r="V484" s="10" t="s">
        <v>3635</v>
      </c>
      <c r="W484" s="10" t="s">
        <v>3519</v>
      </c>
      <c r="X484" s="10" t="s">
        <v>130</v>
      </c>
      <c r="Y484" s="10" t="s">
        <v>130</v>
      </c>
      <c r="Z484" s="10" t="s">
        <v>99</v>
      </c>
      <c r="AA484" s="10" t="s">
        <v>131</v>
      </c>
      <c r="AB484" s="10" t="s">
        <v>3520</v>
      </c>
      <c r="AC484" s="10" t="s">
        <v>3521</v>
      </c>
      <c r="AD484" s="10" t="s">
        <v>4131</v>
      </c>
      <c r="AE484" s="10" t="s">
        <v>4132</v>
      </c>
      <c r="AF484" s="15"/>
      <c r="AG484" s="10" t="s">
        <v>3524</v>
      </c>
      <c r="AH484" s="10" t="s">
        <v>3539</v>
      </c>
      <c r="AI484" s="10" t="s">
        <v>3539</v>
      </c>
      <c r="AJ484" s="10" t="s">
        <v>4133</v>
      </c>
      <c r="AK484" s="10" t="s">
        <v>102</v>
      </c>
      <c r="AL484" s="10" t="s">
        <v>176</v>
      </c>
      <c r="AM484" s="10"/>
      <c r="AN484" s="10"/>
      <c r="AO484" s="13" t="b">
        <v>0</v>
      </c>
      <c r="AP484" s="10" t="s">
        <v>104</v>
      </c>
      <c r="AQ484" s="10">
        <f ca="1">IFERROR(__xludf.DUMMYFUNCTION("""COMPUTED_VALUE"""),4577335)</f>
        <v>4577335</v>
      </c>
      <c r="AR484" s="17">
        <v>142719</v>
      </c>
      <c r="AS484" s="17">
        <v>80829</v>
      </c>
      <c r="AT484" s="17">
        <v>1418226</v>
      </c>
      <c r="AU484" s="17">
        <v>447.9</v>
      </c>
      <c r="AV484" s="17">
        <v>89.05</v>
      </c>
      <c r="AW484" s="10" t="s">
        <v>105</v>
      </c>
      <c r="AX484" s="17">
        <v>22554</v>
      </c>
      <c r="AY484" s="18">
        <v>17.546004528077795</v>
      </c>
      <c r="AZ484" s="10"/>
      <c r="BA484" s="20" t="b">
        <v>0</v>
      </c>
      <c r="BB484" s="10"/>
      <c r="BC484" s="17">
        <v>142719</v>
      </c>
      <c r="BD484" s="17">
        <v>80829</v>
      </c>
      <c r="BE484" s="17">
        <v>1418226</v>
      </c>
      <c r="BF484" s="17">
        <v>89.05</v>
      </c>
      <c r="BG484" s="11">
        <f ca="1">IFERROR(__xludf.DUMMYFUNCTION("""COMPUTED_VALUE"""),45919.7916666666)</f>
        <v>45919.791666666599</v>
      </c>
      <c r="BH484" s="17" t="s">
        <v>105</v>
      </c>
      <c r="BI484" s="17"/>
      <c r="BJ484" s="15"/>
      <c r="BK484" s="15"/>
      <c r="BL484" s="13" t="b">
        <v>1</v>
      </c>
      <c r="BM484" s="10"/>
      <c r="BN484" s="10" t="s">
        <v>455</v>
      </c>
      <c r="BO484" s="11">
        <v>45860.370833333334</v>
      </c>
      <c r="BP484" s="11">
        <v>45915.539861111109</v>
      </c>
      <c r="BQ484" s="15">
        <v>45915.668321759258</v>
      </c>
      <c r="BR484" s="15">
        <v>45917.451990740738</v>
      </c>
      <c r="BS484" s="10" t="s">
        <v>455</v>
      </c>
      <c r="BT484" s="10" t="s">
        <v>99</v>
      </c>
      <c r="BU484" s="10" t="s">
        <v>1455</v>
      </c>
      <c r="BV484" s="10"/>
      <c r="BW484" s="10"/>
      <c r="BX484" s="10"/>
      <c r="BY484" s="23"/>
      <c r="BZ484" s="24" t="s">
        <v>299</v>
      </c>
      <c r="CA484" s="19" t="s">
        <v>4134</v>
      </c>
      <c r="CB484" s="19" t="s">
        <v>4135</v>
      </c>
      <c r="CC484" s="23"/>
      <c r="CD484" s="19" t="s">
        <v>4136</v>
      </c>
      <c r="CE484" s="23"/>
      <c r="CF484" s="23"/>
      <c r="CG484" s="23"/>
      <c r="CH484" s="23"/>
      <c r="CI484" s="23"/>
    </row>
    <row r="485" spans="1:87" x14ac:dyDescent="0.3">
      <c r="A485" s="9" t="s">
        <v>4137</v>
      </c>
      <c r="B485" s="10" t="s">
        <v>4138</v>
      </c>
      <c r="C485" s="11">
        <v>45920.645833333336</v>
      </c>
      <c r="D485" s="12">
        <v>8.3333333333333329E-2</v>
      </c>
      <c r="E485" s="11">
        <v>45920.729166666664</v>
      </c>
      <c r="F485" s="10" t="s">
        <v>3511</v>
      </c>
      <c r="G485" s="13" t="b">
        <v>0</v>
      </c>
      <c r="H485" s="10" t="s">
        <v>123</v>
      </c>
      <c r="I485" s="10" t="s">
        <v>3548</v>
      </c>
      <c r="J485" s="13" t="b">
        <v>0</v>
      </c>
      <c r="K485" s="13" t="b">
        <v>1</v>
      </c>
      <c r="L485" s="10" t="s">
        <v>124</v>
      </c>
      <c r="M485" s="10" t="s">
        <v>91</v>
      </c>
      <c r="N485" s="10" t="s">
        <v>3513</v>
      </c>
      <c r="O485" s="19" t="s">
        <v>4139</v>
      </c>
      <c r="P485" s="10"/>
      <c r="Q485" s="10" t="s">
        <v>126</v>
      </c>
      <c r="R485" s="10"/>
      <c r="S485" s="19" t="s">
        <v>4140</v>
      </c>
      <c r="T485" s="19" t="s">
        <v>4110</v>
      </c>
      <c r="U485" s="10" t="s">
        <v>3622</v>
      </c>
      <c r="V485" s="10" t="s">
        <v>3677</v>
      </c>
      <c r="W485" s="10" t="s">
        <v>3519</v>
      </c>
      <c r="X485" s="10" t="s">
        <v>130</v>
      </c>
      <c r="Y485" s="10" t="s">
        <v>130</v>
      </c>
      <c r="Z485" s="10" t="s">
        <v>99</v>
      </c>
      <c r="AA485" s="10" t="s">
        <v>131</v>
      </c>
      <c r="AB485" s="10" t="s">
        <v>3520</v>
      </c>
      <c r="AC485" s="10" t="s">
        <v>3521</v>
      </c>
      <c r="AD485" s="10" t="s">
        <v>4141</v>
      </c>
      <c r="AE485" s="10" t="s">
        <v>4142</v>
      </c>
      <c r="AF485" s="15"/>
      <c r="AG485" s="10" t="s">
        <v>3524</v>
      </c>
      <c r="AH485" s="10" t="s">
        <v>3539</v>
      </c>
      <c r="AI485" s="10" t="s">
        <v>3539</v>
      </c>
      <c r="AJ485" s="10" t="s">
        <v>4143</v>
      </c>
      <c r="AK485" s="10" t="s">
        <v>102</v>
      </c>
      <c r="AL485" s="10" t="s">
        <v>176</v>
      </c>
      <c r="AM485" s="10"/>
      <c r="AN485" s="10"/>
      <c r="AO485" s="13" t="b">
        <v>0</v>
      </c>
      <c r="AP485" s="10" t="s">
        <v>104</v>
      </c>
      <c r="AQ485" s="10">
        <f ca="1">IFERROR(__xludf.DUMMYFUNCTION("""COMPUTED_VALUE"""),4578242)</f>
        <v>4578242</v>
      </c>
      <c r="AR485" s="17">
        <v>214965</v>
      </c>
      <c r="AS485" s="17">
        <v>144578</v>
      </c>
      <c r="AT485" s="17">
        <v>3604812</v>
      </c>
      <c r="AU485" s="17">
        <v>940.25</v>
      </c>
      <c r="AV485" s="17">
        <v>147.75</v>
      </c>
      <c r="AW485" s="10" t="s">
        <v>105</v>
      </c>
      <c r="AX485" s="17">
        <v>39594</v>
      </c>
      <c r="AY485" s="18">
        <v>24.933337022230216</v>
      </c>
      <c r="AZ485" s="10"/>
      <c r="BA485" s="20" t="b">
        <v>0</v>
      </c>
      <c r="BB485" s="10"/>
      <c r="BC485" s="17">
        <v>214965</v>
      </c>
      <c r="BD485" s="17">
        <v>144578</v>
      </c>
      <c r="BE485" s="17">
        <v>3604812</v>
      </c>
      <c r="BF485" s="17">
        <v>147.75</v>
      </c>
      <c r="BG485" s="11">
        <f ca="1">IFERROR(__xludf.DUMMYFUNCTION("""COMPUTED_VALUE"""),45920.6458333333)</f>
        <v>45920.645833333299</v>
      </c>
      <c r="BH485" s="17" t="s">
        <v>105</v>
      </c>
      <c r="BI485" s="17"/>
      <c r="BJ485" s="15"/>
      <c r="BK485" s="15"/>
      <c r="BL485" s="13" t="b">
        <v>0</v>
      </c>
      <c r="BM485" s="10"/>
      <c r="BN485" s="10" t="s">
        <v>455</v>
      </c>
      <c r="BO485" s="11">
        <v>45860.370833333334</v>
      </c>
      <c r="BP485" s="11">
        <v>45915.727824074071</v>
      </c>
      <c r="BQ485" s="15">
        <v>45915.668113425927</v>
      </c>
      <c r="BR485" s="15">
        <v>45917.577210648145</v>
      </c>
      <c r="BS485" s="10" t="s">
        <v>455</v>
      </c>
      <c r="BT485" s="10" t="s">
        <v>99</v>
      </c>
      <c r="BU485" s="10" t="s">
        <v>718</v>
      </c>
      <c r="BV485" s="10" t="s">
        <v>124</v>
      </c>
      <c r="BW485" s="10"/>
      <c r="BX485" s="10"/>
      <c r="BY485" s="23"/>
      <c r="BZ485" s="24" t="s">
        <v>284</v>
      </c>
      <c r="CA485" s="19" t="s">
        <v>4144</v>
      </c>
      <c r="CB485" s="19" t="s">
        <v>4145</v>
      </c>
      <c r="CC485" s="23"/>
      <c r="CD485" s="19" t="s">
        <v>4146</v>
      </c>
      <c r="CE485" s="23"/>
      <c r="CF485" s="23"/>
      <c r="CG485" s="23"/>
      <c r="CH485" s="23"/>
      <c r="CI485" s="23"/>
    </row>
    <row r="486" spans="1:87" x14ac:dyDescent="0.3">
      <c r="A486" s="9" t="s">
        <v>4147</v>
      </c>
      <c r="B486" s="10" t="s">
        <v>4148</v>
      </c>
      <c r="C486" s="11">
        <v>45920.791666666664</v>
      </c>
      <c r="D486" s="12">
        <v>8.3333333333333329E-2</v>
      </c>
      <c r="E486" s="11">
        <v>45920.875</v>
      </c>
      <c r="F486" s="10" t="s">
        <v>3511</v>
      </c>
      <c r="G486" s="13" t="b">
        <v>0</v>
      </c>
      <c r="H486" s="10" t="s">
        <v>123</v>
      </c>
      <c r="I486" s="10" t="s">
        <v>3548</v>
      </c>
      <c r="J486" s="13" t="b">
        <v>0</v>
      </c>
      <c r="K486" s="13" t="b">
        <v>1</v>
      </c>
      <c r="L486" s="10" t="s">
        <v>124</v>
      </c>
      <c r="M486" s="10" t="s">
        <v>91</v>
      </c>
      <c r="N486" s="10" t="s">
        <v>3513</v>
      </c>
      <c r="O486" s="19" t="s">
        <v>4149</v>
      </c>
      <c r="P486" s="10"/>
      <c r="Q486" s="10" t="s">
        <v>126</v>
      </c>
      <c r="R486" s="10"/>
      <c r="S486" s="19" t="s">
        <v>4150</v>
      </c>
      <c r="T486" s="19" t="s">
        <v>4110</v>
      </c>
      <c r="U486" s="10" t="s">
        <v>3661</v>
      </c>
      <c r="V486" s="10" t="s">
        <v>3552</v>
      </c>
      <c r="W486" s="10" t="s">
        <v>3519</v>
      </c>
      <c r="X486" s="10" t="s">
        <v>130</v>
      </c>
      <c r="Y486" s="10" t="s">
        <v>130</v>
      </c>
      <c r="Z486" s="10" t="s">
        <v>99</v>
      </c>
      <c r="AA486" s="10" t="s">
        <v>131</v>
      </c>
      <c r="AB486" s="10" t="s">
        <v>3520</v>
      </c>
      <c r="AC486" s="10" t="s">
        <v>3521</v>
      </c>
      <c r="AD486" s="10" t="s">
        <v>4151</v>
      </c>
      <c r="AE486" s="10" t="s">
        <v>4152</v>
      </c>
      <c r="AF486" s="15"/>
      <c r="AG486" s="10" t="s">
        <v>3524</v>
      </c>
      <c r="AH486" s="10" t="s">
        <v>3539</v>
      </c>
      <c r="AI486" s="10" t="s">
        <v>3539</v>
      </c>
      <c r="AJ486" s="10" t="s">
        <v>4153</v>
      </c>
      <c r="AK486" s="10" t="s">
        <v>102</v>
      </c>
      <c r="AL486" s="10" t="s">
        <v>176</v>
      </c>
      <c r="AM486" s="10"/>
      <c r="AN486" s="10"/>
      <c r="AO486" s="13" t="b">
        <v>0</v>
      </c>
      <c r="AP486" s="10" t="s">
        <v>104</v>
      </c>
      <c r="AQ486" s="10">
        <f ca="1">IFERROR(__xludf.DUMMYFUNCTION("""COMPUTED_VALUE"""),4578243)</f>
        <v>4578243</v>
      </c>
      <c r="AR486" s="17">
        <v>332115</v>
      </c>
      <c r="AS486" s="17">
        <v>199904</v>
      </c>
      <c r="AT486" s="17">
        <v>6385604.25</v>
      </c>
      <c r="AU486" s="17">
        <v>2303.6</v>
      </c>
      <c r="AV486" s="17">
        <v>522.75</v>
      </c>
      <c r="AW486" s="10" t="s">
        <v>105</v>
      </c>
      <c r="AX486" s="17">
        <v>74051</v>
      </c>
      <c r="AY486" s="18">
        <v>31.943354059948774</v>
      </c>
      <c r="AZ486" s="10"/>
      <c r="BA486" s="20" t="b">
        <v>0</v>
      </c>
      <c r="BB486" s="10"/>
      <c r="BC486" s="17">
        <v>332115</v>
      </c>
      <c r="BD486" s="17">
        <v>199904</v>
      </c>
      <c r="BE486" s="17">
        <v>6385604.25</v>
      </c>
      <c r="BF486" s="17">
        <v>522.75</v>
      </c>
      <c r="BG486" s="11">
        <f ca="1">IFERROR(__xludf.DUMMYFUNCTION("""COMPUTED_VALUE"""),45920.7916666666)</f>
        <v>45920.791666666599</v>
      </c>
      <c r="BH486" s="17" t="s">
        <v>105</v>
      </c>
      <c r="BI486" s="17"/>
      <c r="BJ486" s="15"/>
      <c r="BK486" s="15"/>
      <c r="BL486" s="13" t="b">
        <v>0</v>
      </c>
      <c r="BM486" s="10"/>
      <c r="BN486" s="10" t="s">
        <v>455</v>
      </c>
      <c r="BO486" s="11">
        <v>45860.370833333334</v>
      </c>
      <c r="BP486" s="11">
        <v>45915.732731481483</v>
      </c>
      <c r="BQ486" s="15">
        <v>45915.668067129627</v>
      </c>
      <c r="BR486" s="15">
        <v>45917.558634259258</v>
      </c>
      <c r="BS486" s="10" t="s">
        <v>455</v>
      </c>
      <c r="BT486" s="10" t="s">
        <v>99</v>
      </c>
      <c r="BU486" s="10" t="s">
        <v>718</v>
      </c>
      <c r="BV486" s="10" t="s">
        <v>124</v>
      </c>
      <c r="BW486" s="10"/>
      <c r="BX486" s="10"/>
      <c r="BY486" s="23"/>
      <c r="BZ486" s="24" t="s">
        <v>284</v>
      </c>
      <c r="CA486" s="19" t="s">
        <v>4154</v>
      </c>
      <c r="CB486" s="19" t="s">
        <v>4155</v>
      </c>
      <c r="CC486" s="23"/>
      <c r="CD486" s="19" t="s">
        <v>4156</v>
      </c>
      <c r="CE486" s="23"/>
      <c r="CF486" s="23"/>
      <c r="CG486" s="23"/>
      <c r="CH486" s="23"/>
      <c r="CI486" s="23"/>
    </row>
    <row r="487" spans="1:87" x14ac:dyDescent="0.3">
      <c r="A487" s="9" t="s">
        <v>4157</v>
      </c>
      <c r="B487" s="10" t="s">
        <v>4158</v>
      </c>
      <c r="C487" s="11">
        <v>45921.645833333336</v>
      </c>
      <c r="D487" s="12">
        <v>8.3333333333333329E-2</v>
      </c>
      <c r="E487" s="11">
        <v>45921.729166666664</v>
      </c>
      <c r="F487" s="10" t="s">
        <v>3511</v>
      </c>
      <c r="G487" s="13" t="b">
        <v>0</v>
      </c>
      <c r="H487" s="10" t="s">
        <v>236</v>
      </c>
      <c r="I487" s="10" t="s">
        <v>212</v>
      </c>
      <c r="J487" s="13" t="b">
        <v>1</v>
      </c>
      <c r="K487" s="13" t="b">
        <v>1</v>
      </c>
      <c r="L487" s="10" t="s">
        <v>124</v>
      </c>
      <c r="M487" s="10" t="s">
        <v>91</v>
      </c>
      <c r="N487" s="10" t="s">
        <v>3513</v>
      </c>
      <c r="O487" s="19" t="s">
        <v>4159</v>
      </c>
      <c r="P487" s="10"/>
      <c r="Q487" s="10" t="s">
        <v>126</v>
      </c>
      <c r="R487" s="10"/>
      <c r="S487" s="19" t="s">
        <v>4160</v>
      </c>
      <c r="T487" s="19" t="s">
        <v>4110</v>
      </c>
      <c r="U487" s="10" t="s">
        <v>3536</v>
      </c>
      <c r="V487" s="10" t="s">
        <v>3648</v>
      </c>
      <c r="W487" s="10" t="s">
        <v>3519</v>
      </c>
      <c r="X487" s="10" t="s">
        <v>130</v>
      </c>
      <c r="Y487" s="10" t="s">
        <v>130</v>
      </c>
      <c r="Z487" s="10" t="s">
        <v>99</v>
      </c>
      <c r="AA487" s="10" t="s">
        <v>131</v>
      </c>
      <c r="AB487" s="10" t="s">
        <v>3520</v>
      </c>
      <c r="AC487" s="10" t="s">
        <v>3521</v>
      </c>
      <c r="AD487" s="10" t="s">
        <v>4161</v>
      </c>
      <c r="AE487" s="10" t="s">
        <v>4162</v>
      </c>
      <c r="AF487" s="15"/>
      <c r="AG487" s="10" t="s">
        <v>3524</v>
      </c>
      <c r="AH487" s="10" t="s">
        <v>3539</v>
      </c>
      <c r="AI487" s="10" t="s">
        <v>3539</v>
      </c>
      <c r="AJ487" s="10" t="s">
        <v>4163</v>
      </c>
      <c r="AK487" s="10" t="s">
        <v>102</v>
      </c>
      <c r="AL487" s="10" t="s">
        <v>176</v>
      </c>
      <c r="AM487" s="10"/>
      <c r="AN487" s="10"/>
      <c r="AO487" s="13" t="b">
        <v>0</v>
      </c>
      <c r="AP487" s="10" t="s">
        <v>104</v>
      </c>
      <c r="AQ487" s="10">
        <f ca="1">IFERROR(__xludf.DUMMYFUNCTION("""COMPUTED_VALUE"""),4578240)</f>
        <v>4578240</v>
      </c>
      <c r="AR487" s="17">
        <v>243882</v>
      </c>
      <c r="AS487" s="17">
        <v>145113</v>
      </c>
      <c r="AT487" s="17">
        <v>4777609.25</v>
      </c>
      <c r="AU487" s="17">
        <v>457.8</v>
      </c>
      <c r="AV487" s="17">
        <v>111.45</v>
      </c>
      <c r="AW487" s="10" t="s">
        <v>105</v>
      </c>
      <c r="AX487" s="17">
        <v>59515</v>
      </c>
      <c r="AY487" s="18">
        <v>32.923371786125294</v>
      </c>
      <c r="AZ487" s="10"/>
      <c r="BA487" s="20" t="b">
        <v>0</v>
      </c>
      <c r="BB487" s="10"/>
      <c r="BC487" s="17">
        <v>243882</v>
      </c>
      <c r="BD487" s="17">
        <v>145113</v>
      </c>
      <c r="BE487" s="17">
        <v>4777609.25</v>
      </c>
      <c r="BF487" s="17">
        <v>111.45</v>
      </c>
      <c r="BG487" s="11">
        <f ca="1">IFERROR(__xludf.DUMMYFUNCTION("""COMPUTED_VALUE"""),45921.6458333333)</f>
        <v>45921.645833333299</v>
      </c>
      <c r="BH487" s="17" t="s">
        <v>105</v>
      </c>
      <c r="BI487" s="17"/>
      <c r="BJ487" s="15"/>
      <c r="BK487" s="15"/>
      <c r="BL487" s="13" t="b">
        <v>0</v>
      </c>
      <c r="BM487" s="10"/>
      <c r="BN487" s="10" t="s">
        <v>455</v>
      </c>
      <c r="BO487" s="11">
        <v>45860.370833333334</v>
      </c>
      <c r="BP487" s="11">
        <v>45915.748854166668</v>
      </c>
      <c r="BQ487" s="15">
        <v>45915.667905092596</v>
      </c>
      <c r="BR487" s="15">
        <v>45917.553611111114</v>
      </c>
      <c r="BS487" s="10" t="s">
        <v>455</v>
      </c>
      <c r="BT487" s="10" t="s">
        <v>99</v>
      </c>
      <c r="BU487" s="10" t="s">
        <v>280</v>
      </c>
      <c r="BV487" s="10"/>
      <c r="BW487" s="10"/>
      <c r="BX487" s="10"/>
      <c r="BY487" s="23"/>
      <c r="BZ487" s="24" t="s">
        <v>299</v>
      </c>
      <c r="CA487" s="19" t="s">
        <v>4164</v>
      </c>
      <c r="CB487" s="19" t="s">
        <v>4165</v>
      </c>
      <c r="CC487" s="23"/>
      <c r="CD487" s="19" t="s">
        <v>4166</v>
      </c>
      <c r="CE487" s="23"/>
      <c r="CF487" s="23"/>
      <c r="CG487" s="23"/>
      <c r="CH487" s="23"/>
      <c r="CI487" s="23"/>
    </row>
    <row r="488" spans="1:87" x14ac:dyDescent="0.3">
      <c r="A488" s="9" t="s">
        <v>4167</v>
      </c>
      <c r="B488" s="10" t="s">
        <v>4168</v>
      </c>
      <c r="C488" s="11">
        <v>45921.791666666664</v>
      </c>
      <c r="D488" s="12">
        <v>8.3333333333333329E-2</v>
      </c>
      <c r="E488" s="11">
        <v>45921.875</v>
      </c>
      <c r="F488" s="10" t="s">
        <v>3511</v>
      </c>
      <c r="G488" s="13" t="b">
        <v>0</v>
      </c>
      <c r="H488" s="10" t="s">
        <v>123</v>
      </c>
      <c r="I488" s="10" t="s">
        <v>3548</v>
      </c>
      <c r="J488" s="13" t="b">
        <v>0</v>
      </c>
      <c r="K488" s="13" t="b">
        <v>1</v>
      </c>
      <c r="L488" s="10" t="s">
        <v>124</v>
      </c>
      <c r="M488" s="10" t="s">
        <v>91</v>
      </c>
      <c r="N488" s="10" t="s">
        <v>3513</v>
      </c>
      <c r="O488" s="19" t="s">
        <v>4169</v>
      </c>
      <c r="P488" s="10"/>
      <c r="Q488" s="10" t="s">
        <v>126</v>
      </c>
      <c r="R488" s="10"/>
      <c r="S488" s="19" t="s">
        <v>4170</v>
      </c>
      <c r="T488" s="19" t="s">
        <v>4110</v>
      </c>
      <c r="U488" s="10" t="s">
        <v>3535</v>
      </c>
      <c r="V488" s="10" t="s">
        <v>3647</v>
      </c>
      <c r="W488" s="10" t="s">
        <v>3519</v>
      </c>
      <c r="X488" s="10" t="s">
        <v>130</v>
      </c>
      <c r="Y488" s="10" t="s">
        <v>130</v>
      </c>
      <c r="Z488" s="10" t="s">
        <v>99</v>
      </c>
      <c r="AA488" s="10" t="s">
        <v>131</v>
      </c>
      <c r="AB488" s="10" t="s">
        <v>3520</v>
      </c>
      <c r="AC488" s="10" t="s">
        <v>3521</v>
      </c>
      <c r="AD488" s="10" t="s">
        <v>4171</v>
      </c>
      <c r="AE488" s="10" t="s">
        <v>4172</v>
      </c>
      <c r="AF488" s="15"/>
      <c r="AG488" s="10" t="s">
        <v>3524</v>
      </c>
      <c r="AH488" s="10" t="s">
        <v>3539</v>
      </c>
      <c r="AI488" s="10" t="s">
        <v>3539</v>
      </c>
      <c r="AJ488" s="10" t="s">
        <v>4173</v>
      </c>
      <c r="AK488" s="10" t="s">
        <v>102</v>
      </c>
      <c r="AL488" s="10" t="s">
        <v>176</v>
      </c>
      <c r="AM488" s="10"/>
      <c r="AN488" s="10"/>
      <c r="AO488" s="13" t="b">
        <v>1</v>
      </c>
      <c r="AP488" s="10" t="s">
        <v>104</v>
      </c>
      <c r="AQ488" s="10">
        <f ca="1">IFERROR(__xludf.DUMMYFUNCTION("""COMPUTED_VALUE"""),4578244)</f>
        <v>4578244</v>
      </c>
      <c r="AR488" s="17">
        <v>572503</v>
      </c>
      <c r="AS488" s="17">
        <v>295580</v>
      </c>
      <c r="AT488" s="17">
        <v>12053234.5</v>
      </c>
      <c r="AU488" s="17">
        <v>4064.85</v>
      </c>
      <c r="AV488" s="17">
        <v>1218.75</v>
      </c>
      <c r="AW488" s="10" t="s">
        <v>297</v>
      </c>
      <c r="AX488" s="17">
        <v>130618</v>
      </c>
      <c r="AY488" s="18">
        <v>40.778247851681442</v>
      </c>
      <c r="AZ488" s="10"/>
      <c r="BA488" s="20" t="b">
        <v>0</v>
      </c>
      <c r="BB488" s="10"/>
      <c r="BC488" s="17">
        <v>572503</v>
      </c>
      <c r="BD488" s="17">
        <v>295580</v>
      </c>
      <c r="BE488" s="17">
        <v>12053234.5</v>
      </c>
      <c r="BF488" s="17">
        <v>1218.75</v>
      </c>
      <c r="BG488" s="11">
        <f ca="1">IFERROR(__xludf.DUMMYFUNCTION("""COMPUTED_VALUE"""),45921.7916666666)</f>
        <v>45921.791666666599</v>
      </c>
      <c r="BH488" s="17" t="s">
        <v>297</v>
      </c>
      <c r="BI488" s="17"/>
      <c r="BJ488" s="15"/>
      <c r="BK488" s="15"/>
      <c r="BL488" s="13" t="b">
        <v>0</v>
      </c>
      <c r="BM488" s="10"/>
      <c r="BN488" s="10" t="s">
        <v>455</v>
      </c>
      <c r="BO488" s="11">
        <v>45860.370833333334</v>
      </c>
      <c r="BP488" s="11">
        <v>45915.753217592595</v>
      </c>
      <c r="BQ488" s="15">
        <v>45915.66783564815</v>
      </c>
      <c r="BR488" s="15">
        <v>45917.557372685187</v>
      </c>
      <c r="BS488" s="10" t="s">
        <v>455</v>
      </c>
      <c r="BT488" s="10" t="s">
        <v>99</v>
      </c>
      <c r="BU488" s="10" t="s">
        <v>280</v>
      </c>
      <c r="BV488" s="10" t="s">
        <v>499</v>
      </c>
      <c r="BW488" s="10"/>
      <c r="BX488" s="10"/>
      <c r="BY488" s="23"/>
      <c r="BZ488" s="24" t="s">
        <v>284</v>
      </c>
      <c r="CA488" s="19" t="s">
        <v>4174</v>
      </c>
      <c r="CB488" s="19" t="s">
        <v>4175</v>
      </c>
      <c r="CC488" s="23"/>
      <c r="CD488" s="19" t="s">
        <v>4176</v>
      </c>
      <c r="CE488" s="23"/>
      <c r="CF488" s="23"/>
      <c r="CG488" s="23"/>
      <c r="CH488" s="23"/>
      <c r="CI488" s="23"/>
    </row>
    <row r="489" spans="1:87" x14ac:dyDescent="0.3">
      <c r="A489" s="9" t="s">
        <v>4177</v>
      </c>
      <c r="B489" s="10" t="s">
        <v>4178</v>
      </c>
      <c r="C489" s="11">
        <v>45922.645833333336</v>
      </c>
      <c r="D489" s="12">
        <v>8.3333333333333329E-2</v>
      </c>
      <c r="E489" s="11">
        <v>45922.729166666664</v>
      </c>
      <c r="F489" s="10" t="s">
        <v>3511</v>
      </c>
      <c r="G489" s="13" t="b">
        <v>0</v>
      </c>
      <c r="H489" s="10" t="s">
        <v>123</v>
      </c>
      <c r="I489" s="10" t="s">
        <v>3548</v>
      </c>
      <c r="J489" s="13" t="b">
        <v>0</v>
      </c>
      <c r="K489" s="13" t="b">
        <v>1</v>
      </c>
      <c r="L489" s="10" t="s">
        <v>124</v>
      </c>
      <c r="M489" s="10" t="s">
        <v>91</v>
      </c>
      <c r="N489" s="10" t="s">
        <v>3513</v>
      </c>
      <c r="O489" s="19" t="s">
        <v>4179</v>
      </c>
      <c r="P489" s="10"/>
      <c r="Q489" s="10" t="s">
        <v>126</v>
      </c>
      <c r="R489" s="10"/>
      <c r="S489" s="19" t="s">
        <v>4180</v>
      </c>
      <c r="T489" s="19" t="s">
        <v>4110</v>
      </c>
      <c r="U489" s="10" t="s">
        <v>3676</v>
      </c>
      <c r="V489" s="10" t="s">
        <v>3609</v>
      </c>
      <c r="W489" s="10" t="s">
        <v>3519</v>
      </c>
      <c r="X489" s="10" t="s">
        <v>130</v>
      </c>
      <c r="Y489" s="10" t="s">
        <v>130</v>
      </c>
      <c r="Z489" s="10" t="s">
        <v>99</v>
      </c>
      <c r="AA489" s="10" t="s">
        <v>131</v>
      </c>
      <c r="AB489" s="10" t="s">
        <v>3520</v>
      </c>
      <c r="AC489" s="10" t="s">
        <v>3521</v>
      </c>
      <c r="AD489" s="10" t="s">
        <v>4181</v>
      </c>
      <c r="AE489" s="10" t="s">
        <v>4182</v>
      </c>
      <c r="AF489" s="15"/>
      <c r="AG489" s="10" t="s">
        <v>3524</v>
      </c>
      <c r="AH489" s="10" t="s">
        <v>3539</v>
      </c>
      <c r="AI489" s="10" t="s">
        <v>3539</v>
      </c>
      <c r="AJ489" s="10" t="s">
        <v>4183</v>
      </c>
      <c r="AK489" s="10" t="s">
        <v>102</v>
      </c>
      <c r="AL489" s="10" t="s">
        <v>176</v>
      </c>
      <c r="AM489" s="10"/>
      <c r="AN489" s="10"/>
      <c r="AO489" s="13" t="b">
        <v>1</v>
      </c>
      <c r="AP489" s="10" t="s">
        <v>104</v>
      </c>
      <c r="AQ489" s="10">
        <f ca="1">IFERROR(__xludf.DUMMYFUNCTION("""COMPUTED_VALUE"""),4581463)</f>
        <v>4581463</v>
      </c>
      <c r="AR489" s="17">
        <v>653418</v>
      </c>
      <c r="AS489" s="17">
        <v>318059</v>
      </c>
      <c r="AT489" s="17">
        <v>15432027</v>
      </c>
      <c r="AU489" s="17">
        <v>6480.1</v>
      </c>
      <c r="AV489" s="17">
        <v>2343.25</v>
      </c>
      <c r="AW489" s="10" t="s">
        <v>297</v>
      </c>
      <c r="AX489" s="17">
        <v>165889</v>
      </c>
      <c r="AY489" s="18">
        <v>48.519384768234822</v>
      </c>
      <c r="AZ489" s="10"/>
      <c r="BA489" s="20" t="b">
        <v>0</v>
      </c>
      <c r="BB489" s="10"/>
      <c r="BC489" s="17">
        <v>653418</v>
      </c>
      <c r="BD489" s="17">
        <v>318059</v>
      </c>
      <c r="BE489" s="17">
        <v>15432027</v>
      </c>
      <c r="BF489" s="17">
        <v>2343.25</v>
      </c>
      <c r="BG489" s="11">
        <f ca="1">IFERROR(__xludf.DUMMYFUNCTION("""COMPUTED_VALUE"""),45922.6458333333)</f>
        <v>45922.645833333299</v>
      </c>
      <c r="BH489" s="17" t="s">
        <v>297</v>
      </c>
      <c r="BI489" s="17"/>
      <c r="BJ489" s="15"/>
      <c r="BK489" s="15"/>
      <c r="BL489" s="13" t="b">
        <v>0</v>
      </c>
      <c r="BM489" s="10" t="s">
        <v>4184</v>
      </c>
      <c r="BN489" s="10" t="s">
        <v>3527</v>
      </c>
      <c r="BO489" s="11">
        <v>45860.370833333334</v>
      </c>
      <c r="BP489" s="11">
        <v>45922.655960648146</v>
      </c>
      <c r="BQ489" s="15">
        <v>45915.667638888888</v>
      </c>
      <c r="BR489" s="15">
        <v>45919.414085648146</v>
      </c>
      <c r="BS489" s="10"/>
      <c r="BT489" s="10" t="s">
        <v>99</v>
      </c>
      <c r="BU489" s="10" t="s">
        <v>298</v>
      </c>
      <c r="BV489" s="10" t="s">
        <v>281</v>
      </c>
      <c r="BW489" s="10"/>
      <c r="BX489" s="10"/>
      <c r="BY489" s="23"/>
      <c r="BZ489" s="24" t="s">
        <v>368</v>
      </c>
      <c r="CA489" s="19" t="s">
        <v>4185</v>
      </c>
      <c r="CB489" s="19" t="s">
        <v>4186</v>
      </c>
      <c r="CC489" s="23"/>
      <c r="CD489" s="19" t="s">
        <v>4187</v>
      </c>
      <c r="CE489" s="23"/>
      <c r="CF489" s="23"/>
      <c r="CG489" s="23"/>
      <c r="CH489" s="23"/>
      <c r="CI489" s="23"/>
    </row>
    <row r="490" spans="1:87" x14ac:dyDescent="0.3">
      <c r="A490" s="9" t="s">
        <v>4188</v>
      </c>
      <c r="B490" s="10" t="s">
        <v>4189</v>
      </c>
      <c r="C490" s="11">
        <v>45922.791666666664</v>
      </c>
      <c r="D490" s="12">
        <v>8.3333333333333329E-2</v>
      </c>
      <c r="E490" s="11">
        <v>45922.875</v>
      </c>
      <c r="F490" s="10" t="s">
        <v>3511</v>
      </c>
      <c r="G490" s="13" t="b">
        <v>0</v>
      </c>
      <c r="H490" s="10" t="s">
        <v>236</v>
      </c>
      <c r="I490" s="10" t="s">
        <v>212</v>
      </c>
      <c r="J490" s="13" t="b">
        <v>1</v>
      </c>
      <c r="K490" s="13" t="b">
        <v>1</v>
      </c>
      <c r="L490" s="10" t="s">
        <v>124</v>
      </c>
      <c r="M490" s="10" t="s">
        <v>91</v>
      </c>
      <c r="N490" s="10" t="s">
        <v>3513</v>
      </c>
      <c r="O490" s="19" t="s">
        <v>4190</v>
      </c>
      <c r="P490" s="10"/>
      <c r="Q490" s="10" t="s">
        <v>126</v>
      </c>
      <c r="R490" s="10"/>
      <c r="S490" s="19" t="s">
        <v>4191</v>
      </c>
      <c r="T490" s="19" t="s">
        <v>4110</v>
      </c>
      <c r="U490" s="10" t="s">
        <v>3517</v>
      </c>
      <c r="V490" s="10" t="s">
        <v>3636</v>
      </c>
      <c r="W490" s="10" t="s">
        <v>3519</v>
      </c>
      <c r="X490" s="10" t="s">
        <v>130</v>
      </c>
      <c r="Y490" s="10" t="s">
        <v>130</v>
      </c>
      <c r="Z490" s="10" t="s">
        <v>99</v>
      </c>
      <c r="AA490" s="10" t="s">
        <v>131</v>
      </c>
      <c r="AB490" s="10" t="s">
        <v>3520</v>
      </c>
      <c r="AC490" s="10" t="s">
        <v>3521</v>
      </c>
      <c r="AD490" s="10" t="s">
        <v>4192</v>
      </c>
      <c r="AE490" s="10" t="s">
        <v>4193</v>
      </c>
      <c r="AF490" s="15"/>
      <c r="AG490" s="10" t="s">
        <v>3524</v>
      </c>
      <c r="AH490" s="10" t="s">
        <v>3539</v>
      </c>
      <c r="AI490" s="10" t="s">
        <v>3539</v>
      </c>
      <c r="AJ490" s="10" t="s">
        <v>4194</v>
      </c>
      <c r="AK490" s="10" t="s">
        <v>102</v>
      </c>
      <c r="AL490" s="10" t="s">
        <v>176</v>
      </c>
      <c r="AM490" s="10"/>
      <c r="AN490" s="10"/>
      <c r="AO490" s="13" t="b">
        <v>0</v>
      </c>
      <c r="AP490" s="10" t="s">
        <v>104</v>
      </c>
      <c r="AQ490" s="10">
        <f ca="1">IFERROR(__xludf.DUMMYFUNCTION("""COMPUTED_VALUE"""),4585681)</f>
        <v>4585681</v>
      </c>
      <c r="AR490" s="17">
        <v>361477</v>
      </c>
      <c r="AS490" s="17">
        <v>222935</v>
      </c>
      <c r="AT490" s="17">
        <v>7345473</v>
      </c>
      <c r="AU490" s="17">
        <v>823</v>
      </c>
      <c r="AV490" s="17">
        <v>204.65</v>
      </c>
      <c r="AW490" s="10" t="s">
        <v>105</v>
      </c>
      <c r="AX490" s="17">
        <v>81205</v>
      </c>
      <c r="AY490" s="18">
        <v>32.948944759683314</v>
      </c>
      <c r="AZ490" s="10"/>
      <c r="BA490" s="20" t="b">
        <v>0</v>
      </c>
      <c r="BB490" s="10"/>
      <c r="BC490" s="17">
        <v>361477</v>
      </c>
      <c r="BD490" s="17">
        <v>222935</v>
      </c>
      <c r="BE490" s="17">
        <v>7345473</v>
      </c>
      <c r="BF490" s="17">
        <v>204.65</v>
      </c>
      <c r="BG490" s="11">
        <f ca="1">IFERROR(__xludf.DUMMYFUNCTION("""COMPUTED_VALUE"""),45922.7916666666)</f>
        <v>45922.791666666599</v>
      </c>
      <c r="BH490" s="17" t="s">
        <v>105</v>
      </c>
      <c r="BI490" s="17"/>
      <c r="BJ490" s="15"/>
      <c r="BK490" s="15"/>
      <c r="BL490" s="13" t="b">
        <v>0</v>
      </c>
      <c r="BM490" s="10"/>
      <c r="BN490" s="10" t="s">
        <v>667</v>
      </c>
      <c r="BO490" s="11">
        <v>45860.370833333334</v>
      </c>
      <c r="BP490" s="11">
        <v>45916.688668981478</v>
      </c>
      <c r="BQ490" s="15">
        <v>45915.667581018519</v>
      </c>
      <c r="BR490" s="15">
        <v>45920.417384259257</v>
      </c>
      <c r="BS490" s="10" t="s">
        <v>667</v>
      </c>
      <c r="BT490" s="10" t="s">
        <v>99</v>
      </c>
      <c r="BU490" s="10" t="s">
        <v>298</v>
      </c>
      <c r="BV490" s="10"/>
      <c r="BW490" s="10"/>
      <c r="BX490" s="10"/>
      <c r="BY490" s="23"/>
      <c r="BZ490" s="24" t="s">
        <v>299</v>
      </c>
      <c r="CA490" s="19" t="s">
        <v>4195</v>
      </c>
      <c r="CB490" s="19" t="s">
        <v>4196</v>
      </c>
      <c r="CC490" s="23"/>
      <c r="CD490" s="19" t="s">
        <v>4197</v>
      </c>
      <c r="CE490" s="23"/>
      <c r="CF490" s="23"/>
      <c r="CG490" s="23"/>
      <c r="CH490" s="23"/>
      <c r="CI490" s="23"/>
    </row>
    <row r="491" spans="1:87" x14ac:dyDescent="0.3">
      <c r="A491" s="9" t="s">
        <v>4198</v>
      </c>
      <c r="B491" s="10" t="s">
        <v>4199</v>
      </c>
      <c r="C491" s="11">
        <v>45925.791666666664</v>
      </c>
      <c r="D491" s="12">
        <v>8.3333333333333329E-2</v>
      </c>
      <c r="E491" s="11">
        <v>45925.875</v>
      </c>
      <c r="F491" s="10" t="s">
        <v>3511</v>
      </c>
      <c r="G491" s="13" t="b">
        <v>0</v>
      </c>
      <c r="H491" s="10" t="s">
        <v>236</v>
      </c>
      <c r="I491" s="10" t="s">
        <v>212</v>
      </c>
      <c r="J491" s="13" t="b">
        <v>1</v>
      </c>
      <c r="K491" s="13" t="b">
        <v>1</v>
      </c>
      <c r="L491" s="10" t="s">
        <v>124</v>
      </c>
      <c r="M491" s="10" t="s">
        <v>91</v>
      </c>
      <c r="N491" s="10" t="s">
        <v>3513</v>
      </c>
      <c r="O491" s="19" t="s">
        <v>4200</v>
      </c>
      <c r="P491" s="10"/>
      <c r="Q491" s="10" t="s">
        <v>126</v>
      </c>
      <c r="R491" s="10"/>
      <c r="S491" s="19" t="s">
        <v>4201</v>
      </c>
      <c r="T491" s="19" t="s">
        <v>4202</v>
      </c>
      <c r="U491" s="10" t="s">
        <v>3677</v>
      </c>
      <c r="V491" s="10" t="s">
        <v>3635</v>
      </c>
      <c r="W491" s="10" t="s">
        <v>3519</v>
      </c>
      <c r="X491" s="10" t="s">
        <v>130</v>
      </c>
      <c r="Y491" s="10" t="s">
        <v>130</v>
      </c>
      <c r="Z491" s="10" t="s">
        <v>99</v>
      </c>
      <c r="AA491" s="10" t="s">
        <v>131</v>
      </c>
      <c r="AB491" s="10" t="s">
        <v>3520</v>
      </c>
      <c r="AC491" s="10" t="s">
        <v>3521</v>
      </c>
      <c r="AD491" s="10" t="s">
        <v>4203</v>
      </c>
      <c r="AE491" s="10" t="s">
        <v>4204</v>
      </c>
      <c r="AF491" s="15"/>
      <c r="AG491" s="10" t="s">
        <v>3524</v>
      </c>
      <c r="AH491" s="10" t="s">
        <v>3539</v>
      </c>
      <c r="AI491" s="10" t="s">
        <v>3539</v>
      </c>
      <c r="AJ491" s="10" t="s">
        <v>4205</v>
      </c>
      <c r="AK491" s="10" t="s">
        <v>102</v>
      </c>
      <c r="AL491" s="10" t="s">
        <v>184</v>
      </c>
      <c r="AM491" s="10"/>
      <c r="AN491" s="10"/>
      <c r="AO491" s="13" t="b">
        <v>0</v>
      </c>
      <c r="AP491" s="10" t="s">
        <v>104</v>
      </c>
      <c r="AQ491" s="10">
        <f ca="1">IFERROR(__xludf.DUMMYFUNCTION("""COMPUTED_VALUE"""),4594600)</f>
        <v>4594600</v>
      </c>
      <c r="AR491" s="17">
        <v>231744</v>
      </c>
      <c r="AS491" s="17">
        <v>157393</v>
      </c>
      <c r="AT491" s="17">
        <v>3339668.5</v>
      </c>
      <c r="AU491" s="17">
        <v>420.95</v>
      </c>
      <c r="AV491" s="17">
        <v>77.599999999999994</v>
      </c>
      <c r="AW491" s="10" t="s">
        <v>105</v>
      </c>
      <c r="AX491" s="17">
        <v>43387</v>
      </c>
      <c r="AY491" s="18">
        <v>21.218659660848957</v>
      </c>
      <c r="AZ491" s="10"/>
      <c r="BA491" s="20" t="b">
        <v>0</v>
      </c>
      <c r="BB491" s="10"/>
      <c r="BC491" s="17">
        <v>231744</v>
      </c>
      <c r="BD491" s="17">
        <v>157393</v>
      </c>
      <c r="BE491" s="17">
        <v>3339668.5</v>
      </c>
      <c r="BF491" s="17">
        <v>77.599999999999994</v>
      </c>
      <c r="BG491" s="11">
        <f ca="1">IFERROR(__xludf.DUMMYFUNCTION("""COMPUTED_VALUE"""),45925.7916666666)</f>
        <v>45925.791666666599</v>
      </c>
      <c r="BH491" s="17" t="s">
        <v>105</v>
      </c>
      <c r="BI491" s="17"/>
      <c r="BJ491" s="15"/>
      <c r="BK491" s="15"/>
      <c r="BL491" s="13" t="b">
        <v>0</v>
      </c>
      <c r="BM491" s="10"/>
      <c r="BN491" s="10" t="s">
        <v>157</v>
      </c>
      <c r="BO491" s="11">
        <v>45860.370833333334</v>
      </c>
      <c r="BP491" s="11">
        <v>45922.497812499998</v>
      </c>
      <c r="BQ491" s="15">
        <v>45923.816145833334</v>
      </c>
      <c r="BR491" s="15">
        <v>45924.343124999999</v>
      </c>
      <c r="BS491" s="10" t="s">
        <v>157</v>
      </c>
      <c r="BT491" s="10"/>
      <c r="BU491" s="10"/>
      <c r="BV491" s="10"/>
      <c r="BW491" s="10"/>
      <c r="BX491" s="10"/>
      <c r="BY491" s="23"/>
      <c r="BZ491" s="24" t="s">
        <v>299</v>
      </c>
      <c r="CA491" s="27" t="s">
        <v>4206</v>
      </c>
      <c r="CB491" s="19" t="s">
        <v>4207</v>
      </c>
      <c r="CC491" s="23"/>
      <c r="CD491" s="19" t="s">
        <v>4208</v>
      </c>
      <c r="CE491" s="23"/>
      <c r="CF491" s="23"/>
      <c r="CG491" s="23"/>
      <c r="CH491" s="23"/>
      <c r="CI491" s="23"/>
    </row>
    <row r="492" spans="1:87" x14ac:dyDescent="0.3">
      <c r="A492" s="25" t="s">
        <v>4209</v>
      </c>
      <c r="B492" s="10" t="s">
        <v>4210</v>
      </c>
      <c r="C492" s="11">
        <v>45925.645833333336</v>
      </c>
      <c r="D492" s="12">
        <v>8.3333333333333329E-2</v>
      </c>
      <c r="E492" s="11">
        <v>45925.729166666664</v>
      </c>
      <c r="F492" s="10" t="s">
        <v>3511</v>
      </c>
      <c r="G492" s="13" t="b">
        <v>0</v>
      </c>
      <c r="H492" s="10" t="s">
        <v>236</v>
      </c>
      <c r="I492" s="10" t="s">
        <v>212</v>
      </c>
      <c r="J492" s="13" t="b">
        <v>1</v>
      </c>
      <c r="K492" s="13" t="b">
        <v>1</v>
      </c>
      <c r="L492" s="10" t="s">
        <v>124</v>
      </c>
      <c r="M492" s="10" t="s">
        <v>91</v>
      </c>
      <c r="N492" s="10" t="s">
        <v>3513</v>
      </c>
      <c r="O492" s="19" t="s">
        <v>4211</v>
      </c>
      <c r="P492" s="10"/>
      <c r="Q492" s="10" t="s">
        <v>126</v>
      </c>
      <c r="R492" s="10"/>
      <c r="S492" s="19" t="s">
        <v>4212</v>
      </c>
      <c r="T492" s="19" t="s">
        <v>4202</v>
      </c>
      <c r="U492" s="10" t="s">
        <v>3518</v>
      </c>
      <c r="V492" s="10" t="s">
        <v>3623</v>
      </c>
      <c r="W492" s="10" t="s">
        <v>3519</v>
      </c>
      <c r="X492" s="10" t="s">
        <v>130</v>
      </c>
      <c r="Y492" s="10" t="s">
        <v>130</v>
      </c>
      <c r="Z492" s="10" t="s">
        <v>99</v>
      </c>
      <c r="AA492" s="10" t="s">
        <v>131</v>
      </c>
      <c r="AB492" s="10" t="s">
        <v>3520</v>
      </c>
      <c r="AC492" s="10" t="s">
        <v>3521</v>
      </c>
      <c r="AD492" s="10" t="s">
        <v>4213</v>
      </c>
      <c r="AE492" s="10" t="s">
        <v>4214</v>
      </c>
      <c r="AF492" s="15"/>
      <c r="AG492" s="10" t="s">
        <v>3524</v>
      </c>
      <c r="AH492" s="10" t="s">
        <v>3539</v>
      </c>
      <c r="AI492" s="10" t="s">
        <v>3539</v>
      </c>
      <c r="AJ492" s="10" t="s">
        <v>4215</v>
      </c>
      <c r="AK492" s="10" t="s">
        <v>102</v>
      </c>
      <c r="AL492" s="10" t="s">
        <v>184</v>
      </c>
      <c r="AM492" s="10"/>
      <c r="AN492" s="10"/>
      <c r="AO492" s="13" t="b">
        <v>0</v>
      </c>
      <c r="AP492" s="10" t="s">
        <v>104</v>
      </c>
      <c r="AQ492" s="10">
        <f ca="1">IFERROR(__xludf.DUMMYFUNCTION("""COMPUTED_VALUE"""),4594599)</f>
        <v>4594599</v>
      </c>
      <c r="AR492" s="17">
        <v>186705</v>
      </c>
      <c r="AS492" s="17">
        <v>114836</v>
      </c>
      <c r="AT492" s="17">
        <v>4501866.75</v>
      </c>
      <c r="AU492" s="17">
        <v>409.5</v>
      </c>
      <c r="AV492" s="17">
        <v>56.35</v>
      </c>
      <c r="AW492" s="10" t="s">
        <v>105</v>
      </c>
      <c r="AX492" s="17">
        <v>49050</v>
      </c>
      <c r="AY492" s="18">
        <v>39.202573670277616</v>
      </c>
      <c r="AZ492" s="10"/>
      <c r="BA492" s="20" t="b">
        <v>0</v>
      </c>
      <c r="BB492" s="10"/>
      <c r="BC492" s="17">
        <v>186705</v>
      </c>
      <c r="BD492" s="17">
        <v>114836</v>
      </c>
      <c r="BE492" s="17">
        <v>4501866.75</v>
      </c>
      <c r="BF492" s="17">
        <v>56.35</v>
      </c>
      <c r="BG492" s="11">
        <f ca="1">IFERROR(__xludf.DUMMYFUNCTION("""COMPUTED_VALUE"""),45925.6458333333)</f>
        <v>45925.645833333299</v>
      </c>
      <c r="BH492" s="17" t="s">
        <v>105</v>
      </c>
      <c r="BI492" s="17"/>
      <c r="BJ492" s="15"/>
      <c r="BK492" s="15"/>
      <c r="BL492" s="13" t="b">
        <v>0</v>
      </c>
      <c r="BM492" s="10"/>
      <c r="BN492" s="10" t="s">
        <v>157</v>
      </c>
      <c r="BO492" s="11">
        <v>45860.370833333334</v>
      </c>
      <c r="BP492" s="11">
        <v>45922.493391203701</v>
      </c>
      <c r="BQ492" s="15">
        <v>45923.816284722219</v>
      </c>
      <c r="BR492" s="15">
        <v>45924.342893518522</v>
      </c>
      <c r="BS492" s="10" t="s">
        <v>157</v>
      </c>
      <c r="BT492" s="10"/>
      <c r="BU492" s="10"/>
      <c r="BV492" s="10"/>
      <c r="BW492" s="10"/>
      <c r="BX492" s="10"/>
      <c r="BY492" s="23"/>
      <c r="BZ492" s="24" t="s">
        <v>299</v>
      </c>
      <c r="CA492" s="19" t="s">
        <v>4216</v>
      </c>
      <c r="CB492" s="19" t="s">
        <v>4217</v>
      </c>
      <c r="CC492" s="23"/>
      <c r="CD492" s="19" t="s">
        <v>4218</v>
      </c>
      <c r="CE492" s="23"/>
      <c r="CF492" s="23"/>
      <c r="CG492" s="23"/>
      <c r="CH492" s="23"/>
      <c r="CI492" s="23"/>
    </row>
    <row r="493" spans="1:87" x14ac:dyDescent="0.3">
      <c r="A493" s="9" t="s">
        <v>4219</v>
      </c>
      <c r="B493" s="10" t="s">
        <v>4220</v>
      </c>
      <c r="C493" s="11">
        <v>45926.645833333336</v>
      </c>
      <c r="D493" s="12">
        <v>8.3333333333333329E-2</v>
      </c>
      <c r="E493" s="11">
        <v>45926.729166666664</v>
      </c>
      <c r="F493" s="10" t="s">
        <v>3511</v>
      </c>
      <c r="G493" s="13" t="b">
        <v>0</v>
      </c>
      <c r="H493" s="10" t="s">
        <v>123</v>
      </c>
      <c r="I493" s="10" t="s">
        <v>3548</v>
      </c>
      <c r="J493" s="13" t="b">
        <v>0</v>
      </c>
      <c r="K493" s="13" t="b">
        <v>1</v>
      </c>
      <c r="L493" s="10" t="s">
        <v>124</v>
      </c>
      <c r="M493" s="10" t="s">
        <v>91</v>
      </c>
      <c r="N493" s="10" t="s">
        <v>3513</v>
      </c>
      <c r="O493" s="19" t="s">
        <v>4221</v>
      </c>
      <c r="P493" s="10"/>
      <c r="Q493" s="10" t="s">
        <v>126</v>
      </c>
      <c r="R493" s="10"/>
      <c r="S493" s="19" t="s">
        <v>4222</v>
      </c>
      <c r="T493" s="19" t="s">
        <v>4202</v>
      </c>
      <c r="U493" s="10" t="s">
        <v>3610</v>
      </c>
      <c r="V493" s="10" t="s">
        <v>3661</v>
      </c>
      <c r="W493" s="10" t="s">
        <v>3519</v>
      </c>
      <c r="X493" s="10" t="s">
        <v>130</v>
      </c>
      <c r="Y493" s="10" t="s">
        <v>130</v>
      </c>
      <c r="Z493" s="10" t="s">
        <v>99</v>
      </c>
      <c r="AA493" s="10" t="s">
        <v>131</v>
      </c>
      <c r="AB493" s="10" t="s">
        <v>3520</v>
      </c>
      <c r="AC493" s="10" t="s">
        <v>3521</v>
      </c>
      <c r="AD493" s="10" t="s">
        <v>4223</v>
      </c>
      <c r="AE493" s="10" t="s">
        <v>4224</v>
      </c>
      <c r="AF493" s="15"/>
      <c r="AG493" s="10" t="s">
        <v>3524</v>
      </c>
      <c r="AH493" s="10" t="s">
        <v>3539</v>
      </c>
      <c r="AI493" s="10" t="s">
        <v>3539</v>
      </c>
      <c r="AJ493" s="10" t="s">
        <v>4225</v>
      </c>
      <c r="AK493" s="10" t="s">
        <v>102</v>
      </c>
      <c r="AL493" s="10" t="s">
        <v>184</v>
      </c>
      <c r="AM493" s="10"/>
      <c r="AN493" s="10"/>
      <c r="AO493" s="13" t="b">
        <v>0</v>
      </c>
      <c r="AP493" s="10" t="s">
        <v>104</v>
      </c>
      <c r="AQ493" s="10">
        <f ca="1">IFERROR(__xludf.DUMMYFUNCTION("""COMPUTED_VALUE"""),4594759)</f>
        <v>4594759</v>
      </c>
      <c r="AR493" s="17">
        <v>177530</v>
      </c>
      <c r="AS493" s="17">
        <v>98981</v>
      </c>
      <c r="AT493" s="17">
        <v>3670524.5</v>
      </c>
      <c r="AU493" s="17">
        <v>1115.8</v>
      </c>
      <c r="AV493" s="17">
        <v>200.5</v>
      </c>
      <c r="AW493" s="10" t="s">
        <v>105</v>
      </c>
      <c r="AX493" s="17">
        <v>42485</v>
      </c>
      <c r="AY493" s="18">
        <v>37.083122013315688</v>
      </c>
      <c r="AZ493" s="10"/>
      <c r="BA493" s="20" t="b">
        <v>0</v>
      </c>
      <c r="BB493" s="10"/>
      <c r="BC493" s="17">
        <v>177530</v>
      </c>
      <c r="BD493" s="17">
        <v>98981</v>
      </c>
      <c r="BE493" s="17">
        <v>3670524.5</v>
      </c>
      <c r="BF493" s="17">
        <v>200.5</v>
      </c>
      <c r="BG493" s="11">
        <f ca="1">IFERROR(__xludf.DUMMYFUNCTION("""COMPUTED_VALUE"""),45926.6458333333)</f>
        <v>45926.645833333299</v>
      </c>
      <c r="BH493" s="17" t="s">
        <v>105</v>
      </c>
      <c r="BI493" s="17"/>
      <c r="BJ493" s="15"/>
      <c r="BK493" s="15"/>
      <c r="BL493" s="13" t="b">
        <v>0</v>
      </c>
      <c r="BM493" s="10"/>
      <c r="BN493" s="10" t="s">
        <v>455</v>
      </c>
      <c r="BO493" s="11">
        <v>45860.370833333334</v>
      </c>
      <c r="BP493" s="11">
        <v>45922.505856481483</v>
      </c>
      <c r="BQ493" s="15">
        <v>45923.816435185188</v>
      </c>
      <c r="BR493" s="15">
        <v>45924.449016203704</v>
      </c>
      <c r="BS493" s="10" t="s">
        <v>455</v>
      </c>
      <c r="BT493" s="10" t="s">
        <v>99</v>
      </c>
      <c r="BU493" s="10" t="s">
        <v>280</v>
      </c>
      <c r="BV493" s="10"/>
      <c r="BW493" s="10"/>
      <c r="BX493" s="10"/>
      <c r="BY493" s="23"/>
      <c r="BZ493" s="24" t="s">
        <v>284</v>
      </c>
      <c r="CA493" s="19" t="s">
        <v>4226</v>
      </c>
      <c r="CB493" s="19" t="s">
        <v>4227</v>
      </c>
      <c r="CC493" s="23"/>
      <c r="CD493" s="27" t="s">
        <v>4228</v>
      </c>
      <c r="CE493" s="23"/>
      <c r="CF493" s="23"/>
      <c r="CG493" s="23"/>
      <c r="CH493" s="23"/>
      <c r="CI493" s="23"/>
    </row>
    <row r="494" spans="1:87" x14ac:dyDescent="0.3">
      <c r="A494" s="9" t="s">
        <v>4229</v>
      </c>
      <c r="B494" s="10" t="s">
        <v>4230</v>
      </c>
      <c r="C494" s="11">
        <v>45926.791666666664</v>
      </c>
      <c r="D494" s="12">
        <v>8.3333333333333329E-2</v>
      </c>
      <c r="E494" s="11">
        <v>45926.875</v>
      </c>
      <c r="F494" s="10" t="s">
        <v>3511</v>
      </c>
      <c r="G494" s="13" t="b">
        <v>0</v>
      </c>
      <c r="H494" s="10" t="s">
        <v>123</v>
      </c>
      <c r="I494" s="10" t="s">
        <v>3548</v>
      </c>
      <c r="J494" s="13" t="b">
        <v>0</v>
      </c>
      <c r="K494" s="13" t="b">
        <v>1</v>
      </c>
      <c r="L494" s="10" t="s">
        <v>124</v>
      </c>
      <c r="M494" s="10" t="s">
        <v>91</v>
      </c>
      <c r="N494" s="10" t="s">
        <v>3513</v>
      </c>
      <c r="O494" s="19" t="s">
        <v>4231</v>
      </c>
      <c r="P494" s="10"/>
      <c r="Q494" s="10" t="s">
        <v>126</v>
      </c>
      <c r="R494" s="10"/>
      <c r="S494" s="19" t="s">
        <v>4232</v>
      </c>
      <c r="T494" s="19" t="s">
        <v>4202</v>
      </c>
      <c r="U494" s="10" t="s">
        <v>3622</v>
      </c>
      <c r="V494" s="10" t="s">
        <v>3551</v>
      </c>
      <c r="W494" s="10" t="s">
        <v>3519</v>
      </c>
      <c r="X494" s="10" t="s">
        <v>130</v>
      </c>
      <c r="Y494" s="10" t="s">
        <v>130</v>
      </c>
      <c r="Z494" s="10" t="s">
        <v>99</v>
      </c>
      <c r="AA494" s="10" t="s">
        <v>131</v>
      </c>
      <c r="AB494" s="10" t="s">
        <v>3520</v>
      </c>
      <c r="AC494" s="10" t="s">
        <v>3521</v>
      </c>
      <c r="AD494" s="10" t="s">
        <v>4233</v>
      </c>
      <c r="AE494" s="10" t="s">
        <v>4234</v>
      </c>
      <c r="AF494" s="15"/>
      <c r="AG494" s="10" t="s">
        <v>3524</v>
      </c>
      <c r="AH494" s="10" t="s">
        <v>3539</v>
      </c>
      <c r="AI494" s="10" t="s">
        <v>3539</v>
      </c>
      <c r="AJ494" s="10" t="s">
        <v>4235</v>
      </c>
      <c r="AK494" s="10" t="s">
        <v>102</v>
      </c>
      <c r="AL494" s="10" t="s">
        <v>184</v>
      </c>
      <c r="AM494" s="10"/>
      <c r="AN494" s="10"/>
      <c r="AO494" s="13" t="b">
        <v>1</v>
      </c>
      <c r="AP494" s="10" t="s">
        <v>104</v>
      </c>
      <c r="AQ494" s="10">
        <f ca="1">IFERROR(__xludf.DUMMYFUNCTION("""COMPUTED_VALUE"""),4594758)</f>
        <v>4594758</v>
      </c>
      <c r="AR494" s="17">
        <v>373084</v>
      </c>
      <c r="AS494" s="17">
        <v>222773</v>
      </c>
      <c r="AT494" s="17">
        <v>8411408</v>
      </c>
      <c r="AU494" s="17">
        <v>2812.5</v>
      </c>
      <c r="AV494" s="17">
        <v>535.95000000000005</v>
      </c>
      <c r="AW494" s="10" t="s">
        <v>105</v>
      </c>
      <c r="AX494" s="17">
        <v>88723</v>
      </c>
      <c r="AY494" s="18">
        <v>37.757753408177834</v>
      </c>
      <c r="AZ494" s="10"/>
      <c r="BA494" s="20" t="b">
        <v>0</v>
      </c>
      <c r="BB494" s="10"/>
      <c r="BC494" s="17">
        <v>373084</v>
      </c>
      <c r="BD494" s="17">
        <v>222773</v>
      </c>
      <c r="BE494" s="17">
        <v>8411408</v>
      </c>
      <c r="BF494" s="17">
        <v>535.95000000000005</v>
      </c>
      <c r="BG494" s="11">
        <f ca="1">IFERROR(__xludf.DUMMYFUNCTION("""COMPUTED_VALUE"""),45926.7916666666)</f>
        <v>45926.791666666599</v>
      </c>
      <c r="BH494" s="17" t="s">
        <v>105</v>
      </c>
      <c r="BI494" s="17"/>
      <c r="BJ494" s="15"/>
      <c r="BK494" s="15"/>
      <c r="BL494" s="13" t="b">
        <v>0</v>
      </c>
      <c r="BM494" s="10"/>
      <c r="BN494" s="10" t="s">
        <v>149</v>
      </c>
      <c r="BO494" s="11">
        <v>45860.370833333334</v>
      </c>
      <c r="BP494" s="11">
        <v>45922.514247685183</v>
      </c>
      <c r="BQ494" s="15">
        <v>45923.816481481481</v>
      </c>
      <c r="BR494" s="15">
        <v>45924.449490740742</v>
      </c>
      <c r="BS494" s="10" t="s">
        <v>149</v>
      </c>
      <c r="BT494" s="10" t="s">
        <v>99</v>
      </c>
      <c r="BU494" s="10"/>
      <c r="BV494" s="10" t="s">
        <v>124</v>
      </c>
      <c r="BW494" s="10"/>
      <c r="BX494" s="10"/>
      <c r="BY494" s="23"/>
      <c r="BZ494" s="24" t="s">
        <v>368</v>
      </c>
      <c r="CA494" s="19" t="s">
        <v>4236</v>
      </c>
      <c r="CB494" s="19" t="s">
        <v>4237</v>
      </c>
      <c r="CC494" s="23"/>
      <c r="CD494" s="19" t="s">
        <v>4238</v>
      </c>
      <c r="CE494" s="23"/>
      <c r="CF494" s="23"/>
      <c r="CG494" s="23"/>
      <c r="CH494" s="23"/>
      <c r="CI494" s="23"/>
    </row>
    <row r="495" spans="1:87" x14ac:dyDescent="0.3">
      <c r="A495" s="9" t="s">
        <v>4239</v>
      </c>
      <c r="B495" s="10" t="s">
        <v>4240</v>
      </c>
      <c r="C495" s="11">
        <v>45927.645833333336</v>
      </c>
      <c r="D495" s="12">
        <v>8.3333333333333329E-2</v>
      </c>
      <c r="E495" s="11">
        <v>45927.729166666664</v>
      </c>
      <c r="F495" s="10" t="s">
        <v>3511</v>
      </c>
      <c r="G495" s="13" t="b">
        <v>0</v>
      </c>
      <c r="H495" s="10" t="s">
        <v>236</v>
      </c>
      <c r="I495" s="10" t="s">
        <v>212</v>
      </c>
      <c r="J495" s="13" t="b">
        <v>1</v>
      </c>
      <c r="K495" s="13" t="b">
        <v>1</v>
      </c>
      <c r="L495" s="10" t="s">
        <v>124</v>
      </c>
      <c r="M495" s="10" t="s">
        <v>91</v>
      </c>
      <c r="N495" s="10" t="s">
        <v>3513</v>
      </c>
      <c r="O495" s="19" t="s">
        <v>4241</v>
      </c>
      <c r="P495" s="10"/>
      <c r="Q495" s="10" t="s">
        <v>126</v>
      </c>
      <c r="R495" s="10"/>
      <c r="S495" s="19" t="s">
        <v>4242</v>
      </c>
      <c r="T495" s="19" t="s">
        <v>4202</v>
      </c>
      <c r="U495" s="10" t="s">
        <v>3535</v>
      </c>
      <c r="V495" s="10" t="s">
        <v>3552</v>
      </c>
      <c r="W495" s="10" t="s">
        <v>3519</v>
      </c>
      <c r="X495" s="10" t="s">
        <v>130</v>
      </c>
      <c r="Y495" s="10" t="s">
        <v>130</v>
      </c>
      <c r="Z495" s="10" t="s">
        <v>99</v>
      </c>
      <c r="AA495" s="10" t="s">
        <v>131</v>
      </c>
      <c r="AB495" s="10" t="s">
        <v>3520</v>
      </c>
      <c r="AC495" s="10" t="s">
        <v>3521</v>
      </c>
      <c r="AD495" s="10" t="s">
        <v>4243</v>
      </c>
      <c r="AE495" s="10" t="s">
        <v>4244</v>
      </c>
      <c r="AF495" s="15"/>
      <c r="AG495" s="10" t="s">
        <v>3524</v>
      </c>
      <c r="AH495" s="10" t="s">
        <v>3539</v>
      </c>
      <c r="AI495" s="10" t="s">
        <v>3539</v>
      </c>
      <c r="AJ495" s="10" t="s">
        <v>4245</v>
      </c>
      <c r="AK495" s="10" t="s">
        <v>102</v>
      </c>
      <c r="AL495" s="10" t="s">
        <v>184</v>
      </c>
      <c r="AM495" s="10"/>
      <c r="AN495" s="10"/>
      <c r="AO495" s="13" t="b">
        <v>0</v>
      </c>
      <c r="AP495" s="10" t="s">
        <v>104</v>
      </c>
      <c r="AQ495" s="10">
        <f ca="1">IFERROR(__xludf.DUMMYFUNCTION("""COMPUTED_VALUE"""),4596308)</f>
        <v>4596308</v>
      </c>
      <c r="AR495" s="17">
        <v>308141</v>
      </c>
      <c r="AS495" s="17">
        <v>179076</v>
      </c>
      <c r="AT495" s="17">
        <v>6929060</v>
      </c>
      <c r="AU495" s="17">
        <v>1019.9</v>
      </c>
      <c r="AV495" s="17">
        <v>277</v>
      </c>
      <c r="AW495" s="10" t="s">
        <v>105</v>
      </c>
      <c r="AX495" s="17">
        <v>75762</v>
      </c>
      <c r="AY495" s="18">
        <v>38.693403917889611</v>
      </c>
      <c r="AZ495" s="10"/>
      <c r="BA495" s="20" t="b">
        <v>0</v>
      </c>
      <c r="BB495" s="10"/>
      <c r="BC495" s="17">
        <v>308141</v>
      </c>
      <c r="BD495" s="17">
        <v>179076</v>
      </c>
      <c r="BE495" s="17">
        <v>6929060</v>
      </c>
      <c r="BF495" s="17">
        <v>277</v>
      </c>
      <c r="BG495" s="11">
        <f ca="1">IFERROR(__xludf.DUMMYFUNCTION("""COMPUTED_VALUE"""),45927.6458333333)</f>
        <v>45927.645833333299</v>
      </c>
      <c r="BH495" s="17" t="s">
        <v>105</v>
      </c>
      <c r="BI495" s="17"/>
      <c r="BJ495" s="15"/>
      <c r="BK495" s="15"/>
      <c r="BL495" s="13" t="b">
        <v>0</v>
      </c>
      <c r="BM495" s="10"/>
      <c r="BN495" s="10" t="s">
        <v>278</v>
      </c>
      <c r="BO495" s="11">
        <v>45860.370833333334</v>
      </c>
      <c r="BP495" s="11">
        <v>45922.518576388888</v>
      </c>
      <c r="BQ495" s="15">
        <v>45923.817025462966</v>
      </c>
      <c r="BR495" s="15">
        <v>45925.352094907408</v>
      </c>
      <c r="BS495" s="10" t="s">
        <v>278</v>
      </c>
      <c r="BT495" s="10" t="s">
        <v>99</v>
      </c>
      <c r="BU495" s="10" t="s">
        <v>730</v>
      </c>
      <c r="BV495" s="10"/>
      <c r="BW495" s="10"/>
      <c r="BX495" s="10"/>
      <c r="BY495" s="23"/>
      <c r="BZ495" s="24" t="s">
        <v>299</v>
      </c>
      <c r="CA495" s="19" t="s">
        <v>4246</v>
      </c>
      <c r="CB495" s="19" t="s">
        <v>4247</v>
      </c>
      <c r="CC495" s="23"/>
      <c r="CD495" s="19" t="s">
        <v>4248</v>
      </c>
      <c r="CE495" s="23"/>
      <c r="CF495" s="23"/>
      <c r="CG495" s="23"/>
      <c r="CH495" s="23"/>
      <c r="CI495" s="23"/>
    </row>
    <row r="496" spans="1:87" x14ac:dyDescent="0.3">
      <c r="A496" s="9" t="s">
        <v>4249</v>
      </c>
      <c r="B496" s="10" t="s">
        <v>4250</v>
      </c>
      <c r="C496" s="11">
        <v>45927.791666666664</v>
      </c>
      <c r="D496" s="12">
        <v>8.3333333333333329E-2</v>
      </c>
      <c r="E496" s="11">
        <v>45927.875</v>
      </c>
      <c r="F496" s="10" t="s">
        <v>3511</v>
      </c>
      <c r="G496" s="13" t="b">
        <v>0</v>
      </c>
      <c r="H496" s="10" t="s">
        <v>123</v>
      </c>
      <c r="I496" s="10" t="s">
        <v>3548</v>
      </c>
      <c r="J496" s="13" t="b">
        <v>0</v>
      </c>
      <c r="K496" s="13" t="b">
        <v>1</v>
      </c>
      <c r="L496" s="10" t="s">
        <v>124</v>
      </c>
      <c r="M496" s="10" t="s">
        <v>91</v>
      </c>
      <c r="N496" s="10" t="s">
        <v>3513</v>
      </c>
      <c r="O496" s="19" t="s">
        <v>4251</v>
      </c>
      <c r="P496" s="10"/>
      <c r="Q496" s="10" t="s">
        <v>126</v>
      </c>
      <c r="R496" s="10"/>
      <c r="S496" s="19" t="s">
        <v>4252</v>
      </c>
      <c r="T496" s="19" t="s">
        <v>4202</v>
      </c>
      <c r="U496" s="10" t="s">
        <v>3648</v>
      </c>
      <c r="V496" s="10" t="s">
        <v>3609</v>
      </c>
      <c r="W496" s="10" t="s">
        <v>3519</v>
      </c>
      <c r="X496" s="10" t="s">
        <v>130</v>
      </c>
      <c r="Y496" s="10" t="s">
        <v>130</v>
      </c>
      <c r="Z496" s="10" t="s">
        <v>99</v>
      </c>
      <c r="AA496" s="10" t="s">
        <v>131</v>
      </c>
      <c r="AB496" s="10" t="s">
        <v>3520</v>
      </c>
      <c r="AC496" s="10" t="s">
        <v>3521</v>
      </c>
      <c r="AD496" s="10" t="s">
        <v>4253</v>
      </c>
      <c r="AE496" s="10" t="s">
        <v>4254</v>
      </c>
      <c r="AF496" s="15"/>
      <c r="AG496" s="10" t="s">
        <v>3524</v>
      </c>
      <c r="AH496" s="10" t="s">
        <v>3539</v>
      </c>
      <c r="AI496" s="10" t="s">
        <v>3539</v>
      </c>
      <c r="AJ496" s="10" t="s">
        <v>4255</v>
      </c>
      <c r="AK496" s="10" t="s">
        <v>102</v>
      </c>
      <c r="AL496" s="10" t="s">
        <v>184</v>
      </c>
      <c r="AM496" s="10"/>
      <c r="AN496" s="10"/>
      <c r="AO496" s="13" t="b">
        <v>1</v>
      </c>
      <c r="AP496" s="10" t="s">
        <v>104</v>
      </c>
      <c r="AQ496" s="10">
        <f ca="1">IFERROR(__xludf.DUMMYFUNCTION("""COMPUTED_VALUE"""),4596462)</f>
        <v>4596462</v>
      </c>
      <c r="AR496" s="17">
        <v>720447</v>
      </c>
      <c r="AS496" s="17">
        <v>354384</v>
      </c>
      <c r="AT496" s="17">
        <v>15661709.5</v>
      </c>
      <c r="AU496" s="17">
        <v>8707.7000000000007</v>
      </c>
      <c r="AV496" s="17">
        <v>3591.3</v>
      </c>
      <c r="AW496" s="10" t="s">
        <v>297</v>
      </c>
      <c r="AX496" s="17">
        <v>166486</v>
      </c>
      <c r="AY496" s="18">
        <v>44.194177784550092</v>
      </c>
      <c r="AZ496" s="10"/>
      <c r="BA496" s="20" t="b">
        <v>0</v>
      </c>
      <c r="BB496" s="10"/>
      <c r="BC496" s="17">
        <v>720447</v>
      </c>
      <c r="BD496" s="17">
        <v>354384</v>
      </c>
      <c r="BE496" s="17">
        <v>15661709.5</v>
      </c>
      <c r="BF496" s="17">
        <v>3591.3</v>
      </c>
      <c r="BG496" s="11">
        <f ca="1">IFERROR(__xludf.DUMMYFUNCTION("""COMPUTED_VALUE"""),45927.7916666666)</f>
        <v>45927.791666666599</v>
      </c>
      <c r="BH496" s="17" t="s">
        <v>297</v>
      </c>
      <c r="BI496" s="17"/>
      <c r="BJ496" s="15"/>
      <c r="BK496" s="15"/>
      <c r="BL496" s="13" t="b">
        <v>0</v>
      </c>
      <c r="BM496" s="10"/>
      <c r="BN496" s="10" t="s">
        <v>197</v>
      </c>
      <c r="BO496" s="11">
        <v>45860.370833333334</v>
      </c>
      <c r="BP496" s="11">
        <v>45922.525520833333</v>
      </c>
      <c r="BQ496" s="15">
        <v>45923.817083333335</v>
      </c>
      <c r="BR496" s="15">
        <v>45925.360879629632</v>
      </c>
      <c r="BS496" s="10" t="s">
        <v>197</v>
      </c>
      <c r="BT496" s="10" t="s">
        <v>99</v>
      </c>
      <c r="BU496" s="10"/>
      <c r="BV496" s="10" t="s">
        <v>281</v>
      </c>
      <c r="BW496" s="10"/>
      <c r="BX496" s="10"/>
      <c r="BY496" s="23"/>
      <c r="BZ496" s="24" t="s">
        <v>284</v>
      </c>
      <c r="CA496" s="19" t="s">
        <v>4256</v>
      </c>
      <c r="CB496" s="19" t="s">
        <v>4257</v>
      </c>
      <c r="CC496" s="23"/>
      <c r="CD496" s="19" t="s">
        <v>4258</v>
      </c>
      <c r="CE496" s="23"/>
      <c r="CF496" s="23"/>
      <c r="CG496" s="23"/>
      <c r="CH496" s="23"/>
      <c r="CI496" s="23"/>
    </row>
    <row r="497" spans="1:87" x14ac:dyDescent="0.3">
      <c r="A497" s="9" t="s">
        <v>4259</v>
      </c>
      <c r="B497" s="10" t="s">
        <v>4260</v>
      </c>
      <c r="C497" s="11">
        <v>45927.791666666664</v>
      </c>
      <c r="D497" s="12">
        <v>8.3333333333333329E-2</v>
      </c>
      <c r="E497" s="11">
        <v>45927.875</v>
      </c>
      <c r="F497" s="10" t="s">
        <v>3511</v>
      </c>
      <c r="G497" s="13" t="b">
        <v>0</v>
      </c>
      <c r="H497" s="10" t="s">
        <v>3512</v>
      </c>
      <c r="I497" s="10" t="s">
        <v>212</v>
      </c>
      <c r="J497" s="13" t="b">
        <v>1</v>
      </c>
      <c r="K497" s="13" t="b">
        <v>1</v>
      </c>
      <c r="L497" s="10" t="s">
        <v>124</v>
      </c>
      <c r="M497" s="10" t="s">
        <v>91</v>
      </c>
      <c r="N497" s="10" t="s">
        <v>3513</v>
      </c>
      <c r="O497" s="19" t="s">
        <v>4261</v>
      </c>
      <c r="P497" s="10"/>
      <c r="Q497" s="10" t="s">
        <v>126</v>
      </c>
      <c r="R497" s="10"/>
      <c r="S497" s="19" t="s">
        <v>4262</v>
      </c>
      <c r="T497" s="19" t="s">
        <v>4202</v>
      </c>
      <c r="U497" s="10" t="s">
        <v>3536</v>
      </c>
      <c r="V497" s="10" t="s">
        <v>3662</v>
      </c>
      <c r="W497" s="10" t="s">
        <v>3519</v>
      </c>
      <c r="X497" s="10" t="s">
        <v>130</v>
      </c>
      <c r="Y497" s="10" t="s">
        <v>130</v>
      </c>
      <c r="Z497" s="10" t="s">
        <v>99</v>
      </c>
      <c r="AA497" s="10" t="s">
        <v>131</v>
      </c>
      <c r="AB497" s="10" t="s">
        <v>3520</v>
      </c>
      <c r="AC497" s="10" t="s">
        <v>3521</v>
      </c>
      <c r="AD497" s="10" t="s">
        <v>4263</v>
      </c>
      <c r="AE497" s="10" t="s">
        <v>4264</v>
      </c>
      <c r="AF497" s="15"/>
      <c r="AG497" s="10" t="s">
        <v>3524</v>
      </c>
      <c r="AH497" s="10" t="s">
        <v>3539</v>
      </c>
      <c r="AI497" s="10" t="s">
        <v>3539</v>
      </c>
      <c r="AJ497" s="10" t="s">
        <v>4265</v>
      </c>
      <c r="AK497" s="10" t="s">
        <v>102</v>
      </c>
      <c r="AL497" s="10" t="s">
        <v>184</v>
      </c>
      <c r="AM497" s="10"/>
      <c r="AN497" s="10"/>
      <c r="AO497" s="13" t="b">
        <v>0</v>
      </c>
      <c r="AP497" s="10" t="s">
        <v>104</v>
      </c>
      <c r="AQ497" s="10">
        <f ca="1">IFERROR(__xludf.DUMMYFUNCTION("""COMPUTED_VALUE"""),4596465)</f>
        <v>4596465</v>
      </c>
      <c r="AR497" s="17">
        <v>163133</v>
      </c>
      <c r="AS497" s="17">
        <v>86030</v>
      </c>
      <c r="AT497" s="17">
        <v>2216052.25</v>
      </c>
      <c r="AU497" s="17">
        <v>346.2</v>
      </c>
      <c r="AV497" s="17">
        <v>123.45</v>
      </c>
      <c r="AW497" s="10" t="s">
        <v>105</v>
      </c>
      <c r="AX497" s="17">
        <v>28530</v>
      </c>
      <c r="AY497" s="18">
        <v>25.759063698709753</v>
      </c>
      <c r="AZ497" s="10"/>
      <c r="BA497" s="20" t="b">
        <v>0</v>
      </c>
      <c r="BB497" s="10"/>
      <c r="BC497" s="17">
        <v>163133</v>
      </c>
      <c r="BD497" s="17">
        <v>86030</v>
      </c>
      <c r="BE497" s="17">
        <v>2216052.25</v>
      </c>
      <c r="BF497" s="17">
        <v>123.45</v>
      </c>
      <c r="BG497" s="11">
        <f ca="1">IFERROR(__xludf.DUMMYFUNCTION("""COMPUTED_VALUE"""),45927.7916666666)</f>
        <v>45927.791666666599</v>
      </c>
      <c r="BH497" s="17" t="s">
        <v>105</v>
      </c>
      <c r="BI497" s="17"/>
      <c r="BJ497" s="15"/>
      <c r="BK497" s="15"/>
      <c r="BL497" s="13" t="b">
        <v>1</v>
      </c>
      <c r="BM497" s="10"/>
      <c r="BN497" s="10" t="s">
        <v>197</v>
      </c>
      <c r="BO497" s="11">
        <v>45860.370833333334</v>
      </c>
      <c r="BP497" s="11">
        <v>45922.838113425925</v>
      </c>
      <c r="BQ497" s="15">
        <v>45923.817118055558</v>
      </c>
      <c r="BR497" s="15">
        <v>45925.364305555559</v>
      </c>
      <c r="BS497" s="10" t="s">
        <v>197</v>
      </c>
      <c r="BT497" s="10" t="s">
        <v>99</v>
      </c>
      <c r="BU497" s="10"/>
      <c r="BV497" s="10"/>
      <c r="BW497" s="10"/>
      <c r="BX497" s="10"/>
      <c r="BY497" s="23"/>
      <c r="BZ497" s="24" t="s">
        <v>299</v>
      </c>
      <c r="CA497" s="19" t="s">
        <v>4266</v>
      </c>
      <c r="CB497" s="19" t="s">
        <v>4267</v>
      </c>
      <c r="CC497" s="23"/>
      <c r="CD497" s="19" t="s">
        <v>4268</v>
      </c>
      <c r="CE497" s="23"/>
      <c r="CF497" s="23"/>
      <c r="CG497" s="23"/>
      <c r="CH497" s="23"/>
      <c r="CI497" s="23"/>
    </row>
    <row r="498" spans="1:87" x14ac:dyDescent="0.3">
      <c r="A498" s="9" t="s">
        <v>4269</v>
      </c>
      <c r="B498" s="10" t="s">
        <v>4270</v>
      </c>
      <c r="C498" s="11">
        <v>45928.645833333336</v>
      </c>
      <c r="D498" s="12">
        <v>8.3333333333333329E-2</v>
      </c>
      <c r="E498" s="11">
        <v>45928.729166666664</v>
      </c>
      <c r="F498" s="10" t="s">
        <v>3511</v>
      </c>
      <c r="G498" s="13" t="b">
        <v>0</v>
      </c>
      <c r="H498" s="10" t="s">
        <v>123</v>
      </c>
      <c r="I498" s="10" t="s">
        <v>3548</v>
      </c>
      <c r="J498" s="13" t="b">
        <v>0</v>
      </c>
      <c r="K498" s="13" t="b">
        <v>1</v>
      </c>
      <c r="L498" s="10" t="s">
        <v>124</v>
      </c>
      <c r="M498" s="10" t="s">
        <v>91</v>
      </c>
      <c r="N498" s="10" t="s">
        <v>3513</v>
      </c>
      <c r="O498" s="19" t="s">
        <v>4271</v>
      </c>
      <c r="P498" s="10"/>
      <c r="Q498" s="10" t="s">
        <v>126</v>
      </c>
      <c r="R498" s="10"/>
      <c r="S498" s="19" t="s">
        <v>4272</v>
      </c>
      <c r="T498" s="19" t="s">
        <v>4202</v>
      </c>
      <c r="U498" s="10" t="s">
        <v>3636</v>
      </c>
      <c r="V498" s="10" t="s">
        <v>3676</v>
      </c>
      <c r="W498" s="10" t="s">
        <v>3519</v>
      </c>
      <c r="X498" s="10" t="s">
        <v>130</v>
      </c>
      <c r="Y498" s="10" t="s">
        <v>130</v>
      </c>
      <c r="Z498" s="10" t="s">
        <v>99</v>
      </c>
      <c r="AA498" s="10" t="s">
        <v>131</v>
      </c>
      <c r="AB498" s="10" t="s">
        <v>3520</v>
      </c>
      <c r="AC498" s="10" t="s">
        <v>3521</v>
      </c>
      <c r="AD498" s="10" t="s">
        <v>4273</v>
      </c>
      <c r="AE498" s="10" t="s">
        <v>4274</v>
      </c>
      <c r="AF498" s="15"/>
      <c r="AG498" s="10" t="s">
        <v>3524</v>
      </c>
      <c r="AH498" s="10" t="s">
        <v>3539</v>
      </c>
      <c r="AI498" s="10" t="s">
        <v>3539</v>
      </c>
      <c r="AJ498" s="10" t="s">
        <v>4275</v>
      </c>
      <c r="AK498" s="10" t="s">
        <v>102</v>
      </c>
      <c r="AL498" s="10" t="s">
        <v>184</v>
      </c>
      <c r="AM498" s="10"/>
      <c r="AN498" s="10"/>
      <c r="AO498" s="13" t="b">
        <v>0</v>
      </c>
      <c r="AP498" s="10" t="s">
        <v>104</v>
      </c>
      <c r="AQ498" s="10">
        <f ca="1">IFERROR(__xludf.DUMMYFUNCTION("""COMPUTED_VALUE"""),4596519)</f>
        <v>4596519</v>
      </c>
      <c r="AR498" s="17">
        <v>226145</v>
      </c>
      <c r="AS498" s="17">
        <v>145206</v>
      </c>
      <c r="AT498" s="17">
        <v>4617821.25</v>
      </c>
      <c r="AU498" s="17">
        <v>838.95</v>
      </c>
      <c r="AV498" s="17">
        <v>182.35</v>
      </c>
      <c r="AW498" s="10" t="s">
        <v>105</v>
      </c>
      <c r="AX498" s="17">
        <v>54734</v>
      </c>
      <c r="AY498" s="18">
        <v>31.801862526341885</v>
      </c>
      <c r="AZ498" s="10"/>
      <c r="BA498" s="20" t="b">
        <v>0</v>
      </c>
      <c r="BB498" s="10"/>
      <c r="BC498" s="17">
        <v>226145</v>
      </c>
      <c r="BD498" s="17">
        <v>145206</v>
      </c>
      <c r="BE498" s="17">
        <v>4617821.25</v>
      </c>
      <c r="BF498" s="17">
        <v>182.35</v>
      </c>
      <c r="BG498" s="11">
        <f ca="1">IFERROR(__xludf.DUMMYFUNCTION("""COMPUTED_VALUE"""),45928.6458333333)</f>
        <v>45928.645833333299</v>
      </c>
      <c r="BH498" s="17" t="s">
        <v>105</v>
      </c>
      <c r="BI498" s="17"/>
      <c r="BJ498" s="15"/>
      <c r="BK498" s="15"/>
      <c r="BL498" s="13" t="b">
        <v>0</v>
      </c>
      <c r="BM498" s="10"/>
      <c r="BN498" s="10" t="s">
        <v>667</v>
      </c>
      <c r="BO498" s="11">
        <v>45860.370833333334</v>
      </c>
      <c r="BP498" s="11">
        <v>45922.528298611112</v>
      </c>
      <c r="BQ498" s="15">
        <v>45923.817337962966</v>
      </c>
      <c r="BR498" s="15">
        <v>45925.43204861111</v>
      </c>
      <c r="BS498" s="10" t="s">
        <v>667</v>
      </c>
      <c r="BT498" s="10" t="s">
        <v>99</v>
      </c>
      <c r="BU498" s="10" t="s">
        <v>534</v>
      </c>
      <c r="BV498" s="10" t="s">
        <v>124</v>
      </c>
      <c r="BW498" s="10"/>
      <c r="BX498" s="10"/>
      <c r="BY498" s="23"/>
      <c r="BZ498" s="24" t="s">
        <v>284</v>
      </c>
      <c r="CA498" s="19" t="s">
        <v>4276</v>
      </c>
      <c r="CB498" s="19" t="s">
        <v>4277</v>
      </c>
      <c r="CC498" s="23"/>
      <c r="CD498" s="19" t="s">
        <v>4278</v>
      </c>
      <c r="CE498" s="23"/>
      <c r="CF498" s="23"/>
      <c r="CG498" s="23"/>
      <c r="CH498" s="23"/>
      <c r="CI498" s="23"/>
    </row>
    <row r="499" spans="1:87" x14ac:dyDescent="0.3">
      <c r="A499" s="9" t="s">
        <v>4279</v>
      </c>
      <c r="B499" s="10" t="s">
        <v>4280</v>
      </c>
      <c r="C499" s="11">
        <v>45928.791666666664</v>
      </c>
      <c r="D499" s="12">
        <v>8.3333333333333329E-2</v>
      </c>
      <c r="E499" s="11">
        <v>45928.875</v>
      </c>
      <c r="F499" s="10" t="s">
        <v>3511</v>
      </c>
      <c r="G499" s="13" t="b">
        <v>0</v>
      </c>
      <c r="H499" s="10" t="s">
        <v>123</v>
      </c>
      <c r="I499" s="10" t="s">
        <v>3548</v>
      </c>
      <c r="J499" s="13" t="b">
        <v>0</v>
      </c>
      <c r="K499" s="13" t="b">
        <v>1</v>
      </c>
      <c r="L499" s="10" t="s">
        <v>124</v>
      </c>
      <c r="M499" s="10" t="s">
        <v>91</v>
      </c>
      <c r="N499" s="10" t="s">
        <v>3513</v>
      </c>
      <c r="O499" s="19" t="s">
        <v>4281</v>
      </c>
      <c r="P499" s="10"/>
      <c r="Q499" s="10" t="s">
        <v>126</v>
      </c>
      <c r="R499" s="10"/>
      <c r="S499" s="19" t="s">
        <v>4282</v>
      </c>
      <c r="T499" s="19" t="s">
        <v>4202</v>
      </c>
      <c r="U499" s="10" t="s">
        <v>3517</v>
      </c>
      <c r="V499" s="10" t="s">
        <v>3647</v>
      </c>
      <c r="W499" s="10" t="s">
        <v>3519</v>
      </c>
      <c r="X499" s="10" t="s">
        <v>130</v>
      </c>
      <c r="Y499" s="10" t="s">
        <v>130</v>
      </c>
      <c r="Z499" s="10" t="s">
        <v>99</v>
      </c>
      <c r="AA499" s="10" t="s">
        <v>131</v>
      </c>
      <c r="AB499" s="10" t="s">
        <v>3520</v>
      </c>
      <c r="AC499" s="10" t="s">
        <v>3521</v>
      </c>
      <c r="AD499" s="10" t="s">
        <v>4283</v>
      </c>
      <c r="AE499" s="10" t="s">
        <v>4284</v>
      </c>
      <c r="AF499" s="15"/>
      <c r="AG499" s="10" t="s">
        <v>3524</v>
      </c>
      <c r="AH499" s="10" t="s">
        <v>3539</v>
      </c>
      <c r="AI499" s="10" t="s">
        <v>3539</v>
      </c>
      <c r="AJ499" s="10" t="s">
        <v>4285</v>
      </c>
      <c r="AK499" s="10" t="s">
        <v>102</v>
      </c>
      <c r="AL499" s="10" t="s">
        <v>184</v>
      </c>
      <c r="AM499" s="10"/>
      <c r="AN499" s="10"/>
      <c r="AO499" s="13" t="b">
        <v>1</v>
      </c>
      <c r="AP499" s="10" t="s">
        <v>104</v>
      </c>
      <c r="AQ499" s="10">
        <f ca="1">IFERROR(__xludf.DUMMYFUNCTION("""COMPUTED_VALUE"""),4596520)</f>
        <v>4596520</v>
      </c>
      <c r="AR499" s="17">
        <v>468241</v>
      </c>
      <c r="AS499" s="17">
        <v>255272</v>
      </c>
      <c r="AT499" s="17">
        <v>10576628.75</v>
      </c>
      <c r="AU499" s="17">
        <v>2825.35</v>
      </c>
      <c r="AV499" s="17">
        <v>877.8</v>
      </c>
      <c r="AW499" s="10" t="s">
        <v>297</v>
      </c>
      <c r="AX499" s="17">
        <v>110172</v>
      </c>
      <c r="AY499" s="18">
        <v>41.432780524303489</v>
      </c>
      <c r="AZ499" s="10"/>
      <c r="BA499" s="20" t="b">
        <v>0</v>
      </c>
      <c r="BB499" s="10"/>
      <c r="BC499" s="17">
        <v>468241</v>
      </c>
      <c r="BD499" s="17">
        <v>255272</v>
      </c>
      <c r="BE499" s="17">
        <v>10576628.75</v>
      </c>
      <c r="BF499" s="17">
        <v>877.8</v>
      </c>
      <c r="BG499" s="11">
        <f ca="1">IFERROR(__xludf.DUMMYFUNCTION("""COMPUTED_VALUE"""),45928.7916666666)</f>
        <v>45928.791666666599</v>
      </c>
      <c r="BH499" s="17" t="s">
        <v>297</v>
      </c>
      <c r="BI499" s="17"/>
      <c r="BJ499" s="15"/>
      <c r="BK499" s="15"/>
      <c r="BL499" s="13" t="b">
        <v>0</v>
      </c>
      <c r="BM499" s="10"/>
      <c r="BN499" s="10" t="s">
        <v>667</v>
      </c>
      <c r="BO499" s="11">
        <v>45860.370833333334</v>
      </c>
      <c r="BP499" s="11">
        <v>45922.531076388892</v>
      </c>
      <c r="BQ499" s="15">
        <v>45923.817303240743</v>
      </c>
      <c r="BR499" s="15">
        <v>45925.4374537037</v>
      </c>
      <c r="BS499" s="10" t="s">
        <v>667</v>
      </c>
      <c r="BT499" s="10" t="s">
        <v>99</v>
      </c>
      <c r="BU499" s="10" t="s">
        <v>534</v>
      </c>
      <c r="BV499" s="10" t="s">
        <v>281</v>
      </c>
      <c r="BW499" s="10"/>
      <c r="BX499" s="10"/>
      <c r="BY499" s="23"/>
      <c r="BZ499" s="24" t="s">
        <v>284</v>
      </c>
      <c r="CA499" s="19" t="s">
        <v>4286</v>
      </c>
      <c r="CB499" s="19" t="s">
        <v>4287</v>
      </c>
      <c r="CC499" s="23"/>
      <c r="CD499" s="19" t="s">
        <v>4288</v>
      </c>
      <c r="CE499" s="23"/>
      <c r="CF499" s="23"/>
      <c r="CG499" s="23"/>
      <c r="CH499" s="23"/>
      <c r="CI499" s="23"/>
    </row>
    <row r="500" spans="1:87" x14ac:dyDescent="0.3">
      <c r="A500" s="9" t="s">
        <v>4289</v>
      </c>
      <c r="B500" s="10" t="s">
        <v>4290</v>
      </c>
      <c r="C500" s="11">
        <v>45932.645833333336</v>
      </c>
      <c r="D500" s="12">
        <v>8.3333333333333329E-2</v>
      </c>
      <c r="E500" s="11">
        <v>45932.729166666664</v>
      </c>
      <c r="F500" s="10" t="s">
        <v>3511</v>
      </c>
      <c r="G500" s="13" t="b">
        <v>0</v>
      </c>
      <c r="H500" s="10"/>
      <c r="I500" s="10"/>
      <c r="J500" s="13" t="b">
        <v>0</v>
      </c>
      <c r="K500" s="13" t="b">
        <v>1</v>
      </c>
      <c r="L500" s="10" t="s">
        <v>124</v>
      </c>
      <c r="M500" s="10" t="s">
        <v>91</v>
      </c>
      <c r="N500" s="10" t="s">
        <v>3513</v>
      </c>
      <c r="O500" s="10"/>
      <c r="P500" s="10"/>
      <c r="Q500" s="10" t="s">
        <v>126</v>
      </c>
      <c r="R500" s="10"/>
      <c r="S500" s="10"/>
      <c r="T500" s="10"/>
      <c r="U500" s="10" t="s">
        <v>3552</v>
      </c>
      <c r="V500" s="10" t="s">
        <v>3677</v>
      </c>
      <c r="W500" s="10" t="s">
        <v>3519</v>
      </c>
      <c r="X500" s="10" t="s">
        <v>130</v>
      </c>
      <c r="Y500" s="10" t="s">
        <v>130</v>
      </c>
      <c r="Z500" s="10" t="s">
        <v>99</v>
      </c>
      <c r="AA500" s="10" t="s">
        <v>131</v>
      </c>
      <c r="AB500" s="10" t="s">
        <v>3520</v>
      </c>
      <c r="AC500" s="10" t="s">
        <v>3521</v>
      </c>
      <c r="AD500" s="10" t="s">
        <v>4291</v>
      </c>
      <c r="AE500" s="10" t="s">
        <v>4292</v>
      </c>
      <c r="AF500" s="15"/>
      <c r="AG500" s="10"/>
      <c r="AH500" s="10"/>
      <c r="AI500" s="10"/>
      <c r="AJ500" s="10"/>
      <c r="AK500" s="10" t="s">
        <v>256</v>
      </c>
      <c r="AL500" s="10" t="s">
        <v>195</v>
      </c>
      <c r="AM500" s="10"/>
      <c r="AN500" s="10"/>
      <c r="AO500" s="13" t="b">
        <v>0</v>
      </c>
      <c r="AP500" s="10" t="s">
        <v>104</v>
      </c>
      <c r="AQ500" s="10"/>
      <c r="AR500" s="17"/>
      <c r="AS500" s="17"/>
      <c r="AT500" s="17"/>
      <c r="AU500" s="17"/>
      <c r="AV500" s="17"/>
      <c r="AW500" s="10"/>
      <c r="AX500" s="17"/>
      <c r="AY500" s="18" t="s">
        <v>257</v>
      </c>
      <c r="AZ500" s="10"/>
      <c r="BA500" s="20" t="b">
        <v>0</v>
      </c>
      <c r="BB500" s="10"/>
      <c r="BC500" s="17" t="s">
        <v>257</v>
      </c>
      <c r="BD500" s="17" t="s">
        <v>257</v>
      </c>
      <c r="BE500" s="17" t="s">
        <v>257</v>
      </c>
      <c r="BF500" s="17" t="s">
        <v>257</v>
      </c>
      <c r="BG500" s="11">
        <f ca="1">IFERROR(__xludf.DUMMYFUNCTION("""COMPUTED_VALUE"""),45932.6458333333)</f>
        <v>45932.645833333299</v>
      </c>
      <c r="BH500" s="17"/>
      <c r="BI500" s="17"/>
      <c r="BJ500" s="15"/>
      <c r="BK500" s="15"/>
      <c r="BL500" s="13" t="b">
        <v>0</v>
      </c>
      <c r="BM500" s="10"/>
      <c r="BN500" s="10" t="s">
        <v>3527</v>
      </c>
      <c r="BO500" s="11">
        <v>45860.371215277781</v>
      </c>
      <c r="BP500" s="11">
        <v>45919.655925925923</v>
      </c>
      <c r="BQ500" s="15"/>
      <c r="BR500" s="15"/>
      <c r="BS500" s="10"/>
      <c r="BT500" s="10"/>
      <c r="BU500" s="10"/>
      <c r="BV500" s="10"/>
      <c r="BW500" s="10"/>
      <c r="BX500" s="10"/>
      <c r="BY500" s="23"/>
      <c r="BZ500" s="24" t="s">
        <v>299</v>
      </c>
      <c r="CA500" s="23"/>
      <c r="CB500" s="23"/>
      <c r="CC500" s="23"/>
      <c r="CD500" s="23"/>
      <c r="CE500" s="23"/>
      <c r="CF500" s="23"/>
      <c r="CG500" s="23"/>
      <c r="CH500" s="23"/>
      <c r="CI500" s="23"/>
    </row>
    <row r="501" spans="1:87" x14ac:dyDescent="0.3">
      <c r="A501" s="9" t="s">
        <v>4293</v>
      </c>
      <c r="B501" s="10" t="s">
        <v>4294</v>
      </c>
      <c r="C501" s="11">
        <v>45932.791666666664</v>
      </c>
      <c r="D501" s="12">
        <v>8.3333333333333329E-2</v>
      </c>
      <c r="E501" s="11">
        <v>45932.875</v>
      </c>
      <c r="F501" s="10" t="s">
        <v>3511</v>
      </c>
      <c r="G501" s="13" t="b">
        <v>0</v>
      </c>
      <c r="H501" s="10"/>
      <c r="I501" s="10"/>
      <c r="J501" s="13" t="b">
        <v>0</v>
      </c>
      <c r="K501" s="13" t="b">
        <v>1</v>
      </c>
      <c r="L501" s="10" t="s">
        <v>124</v>
      </c>
      <c r="M501" s="10" t="s">
        <v>91</v>
      </c>
      <c r="N501" s="10" t="s">
        <v>3513</v>
      </c>
      <c r="O501" s="10"/>
      <c r="P501" s="10"/>
      <c r="Q501" s="10" t="s">
        <v>126</v>
      </c>
      <c r="R501" s="10"/>
      <c r="S501" s="10"/>
      <c r="T501" s="10"/>
      <c r="U501" s="10" t="s">
        <v>3661</v>
      </c>
      <c r="V501" s="10" t="s">
        <v>3622</v>
      </c>
      <c r="W501" s="10" t="s">
        <v>3519</v>
      </c>
      <c r="X501" s="10" t="s">
        <v>130</v>
      </c>
      <c r="Y501" s="10" t="s">
        <v>130</v>
      </c>
      <c r="Z501" s="10" t="s">
        <v>99</v>
      </c>
      <c r="AA501" s="10" t="s">
        <v>131</v>
      </c>
      <c r="AB501" s="10" t="s">
        <v>3520</v>
      </c>
      <c r="AC501" s="10" t="s">
        <v>3521</v>
      </c>
      <c r="AD501" s="10" t="s">
        <v>4295</v>
      </c>
      <c r="AE501" s="10" t="s">
        <v>4296</v>
      </c>
      <c r="AF501" s="15"/>
      <c r="AG501" s="10"/>
      <c r="AH501" s="10"/>
      <c r="AI501" s="10"/>
      <c r="AJ501" s="10"/>
      <c r="AK501" s="10" t="s">
        <v>256</v>
      </c>
      <c r="AL501" s="10" t="s">
        <v>195</v>
      </c>
      <c r="AM501" s="10"/>
      <c r="AN501" s="10"/>
      <c r="AO501" s="13" t="b">
        <v>0</v>
      </c>
      <c r="AP501" s="10" t="s">
        <v>104</v>
      </c>
      <c r="AQ501" s="10"/>
      <c r="AR501" s="17"/>
      <c r="AS501" s="17"/>
      <c r="AT501" s="17"/>
      <c r="AU501" s="17"/>
      <c r="AV501" s="17"/>
      <c r="AW501" s="10"/>
      <c r="AX501" s="17"/>
      <c r="AY501" s="18" t="s">
        <v>257</v>
      </c>
      <c r="AZ501" s="10"/>
      <c r="BA501" s="20" t="b">
        <v>0</v>
      </c>
      <c r="BB501" s="10"/>
      <c r="BC501" s="17" t="s">
        <v>257</v>
      </c>
      <c r="BD501" s="17" t="s">
        <v>257</v>
      </c>
      <c r="BE501" s="17" t="s">
        <v>257</v>
      </c>
      <c r="BF501" s="17" t="s">
        <v>257</v>
      </c>
      <c r="BG501" s="11">
        <f ca="1">IFERROR(__xludf.DUMMYFUNCTION("""COMPUTED_VALUE"""),45932.7916666666)</f>
        <v>45932.791666666599</v>
      </c>
      <c r="BH501" s="17"/>
      <c r="BI501" s="17"/>
      <c r="BJ501" s="15"/>
      <c r="BK501" s="15"/>
      <c r="BL501" s="13" t="b">
        <v>0</v>
      </c>
      <c r="BM501" s="10"/>
      <c r="BN501" s="10" t="s">
        <v>4297</v>
      </c>
      <c r="BO501" s="11">
        <v>45860.370833333334</v>
      </c>
      <c r="BP501" s="11">
        <v>45919.657430555555</v>
      </c>
      <c r="BQ501" s="15"/>
      <c r="BR501" s="15"/>
      <c r="BS501" s="10"/>
      <c r="BT501" s="10"/>
      <c r="BU501" s="10"/>
      <c r="BV501" s="10" t="s">
        <v>124</v>
      </c>
      <c r="BW501" s="10"/>
      <c r="BX501" s="10"/>
      <c r="BY501" s="23"/>
      <c r="BZ501" s="24" t="s">
        <v>368</v>
      </c>
      <c r="CA501" s="23"/>
      <c r="CB501" s="23"/>
      <c r="CC501" s="23"/>
      <c r="CD501" s="23"/>
      <c r="CE501" s="23"/>
      <c r="CF501" s="23"/>
      <c r="CG501" s="23"/>
      <c r="CH501" s="23"/>
      <c r="CI501" s="23"/>
    </row>
    <row r="502" spans="1:87" x14ac:dyDescent="0.3">
      <c r="A502" s="9" t="s">
        <v>4298</v>
      </c>
      <c r="B502" s="10" t="s">
        <v>4299</v>
      </c>
      <c r="C502" s="11">
        <v>45933.645833333336</v>
      </c>
      <c r="D502" s="12">
        <v>8.3333333333333329E-2</v>
      </c>
      <c r="E502" s="11">
        <v>45933.729166666664</v>
      </c>
      <c r="F502" s="10" t="s">
        <v>3511</v>
      </c>
      <c r="G502" s="13" t="b">
        <v>0</v>
      </c>
      <c r="H502" s="10"/>
      <c r="I502" s="10"/>
      <c r="J502" s="13" t="b">
        <v>0</v>
      </c>
      <c r="K502" s="13" t="b">
        <v>1</v>
      </c>
      <c r="L502" s="10" t="s">
        <v>124</v>
      </c>
      <c r="M502" s="10" t="s">
        <v>91</v>
      </c>
      <c r="N502" s="10" t="s">
        <v>3513</v>
      </c>
      <c r="O502" s="10"/>
      <c r="P502" s="10"/>
      <c r="Q502" s="10" t="s">
        <v>126</v>
      </c>
      <c r="R502" s="10"/>
      <c r="S502" s="10"/>
      <c r="T502" s="10"/>
      <c r="U502" s="10" t="s">
        <v>3662</v>
      </c>
      <c r="V502" s="10" t="s">
        <v>3636</v>
      </c>
      <c r="W502" s="10" t="s">
        <v>3519</v>
      </c>
      <c r="X502" s="10" t="s">
        <v>130</v>
      </c>
      <c r="Y502" s="10" t="s">
        <v>130</v>
      </c>
      <c r="Z502" s="10" t="s">
        <v>99</v>
      </c>
      <c r="AA502" s="10" t="s">
        <v>131</v>
      </c>
      <c r="AB502" s="10" t="s">
        <v>3520</v>
      </c>
      <c r="AC502" s="10" t="s">
        <v>3521</v>
      </c>
      <c r="AD502" s="10" t="s">
        <v>4300</v>
      </c>
      <c r="AE502" s="10" t="s">
        <v>4301</v>
      </c>
      <c r="AF502" s="15"/>
      <c r="AG502" s="10"/>
      <c r="AH502" s="10"/>
      <c r="AI502" s="10"/>
      <c r="AJ502" s="10"/>
      <c r="AK502" s="10" t="s">
        <v>256</v>
      </c>
      <c r="AL502" s="10" t="s">
        <v>195</v>
      </c>
      <c r="AM502" s="10"/>
      <c r="AN502" s="10"/>
      <c r="AO502" s="13" t="b">
        <v>0</v>
      </c>
      <c r="AP502" s="10" t="s">
        <v>104</v>
      </c>
      <c r="AQ502" s="10"/>
      <c r="AR502" s="17"/>
      <c r="AS502" s="17"/>
      <c r="AT502" s="17"/>
      <c r="AU502" s="17"/>
      <c r="AV502" s="17"/>
      <c r="AW502" s="10"/>
      <c r="AX502" s="17"/>
      <c r="AY502" s="18" t="s">
        <v>257</v>
      </c>
      <c r="AZ502" s="10"/>
      <c r="BA502" s="20" t="b">
        <v>0</v>
      </c>
      <c r="BB502" s="10"/>
      <c r="BC502" s="17" t="s">
        <v>257</v>
      </c>
      <c r="BD502" s="17" t="s">
        <v>257</v>
      </c>
      <c r="BE502" s="17" t="s">
        <v>257</v>
      </c>
      <c r="BF502" s="17" t="s">
        <v>257</v>
      </c>
      <c r="BG502" s="11">
        <f ca="1">IFERROR(__xludf.DUMMYFUNCTION("""COMPUTED_VALUE"""),45933.6458333333)</f>
        <v>45933.645833333299</v>
      </c>
      <c r="BH502" s="17"/>
      <c r="BI502" s="17"/>
      <c r="BJ502" s="15"/>
      <c r="BK502" s="15"/>
      <c r="BL502" s="13" t="b">
        <v>0</v>
      </c>
      <c r="BM502" s="10"/>
      <c r="BN502" s="10" t="s">
        <v>4297</v>
      </c>
      <c r="BO502" s="11">
        <v>45860.370833333334</v>
      </c>
      <c r="BP502" s="11">
        <v>45919.657638888886</v>
      </c>
      <c r="BQ502" s="15"/>
      <c r="BR502" s="15"/>
      <c r="BS502" s="10"/>
      <c r="BT502" s="10"/>
      <c r="BU502" s="10"/>
      <c r="BV502" s="10"/>
      <c r="BW502" s="10"/>
      <c r="BX502" s="10"/>
      <c r="BY502" s="23"/>
      <c r="BZ502" s="24" t="s">
        <v>284</v>
      </c>
      <c r="CA502" s="23"/>
      <c r="CB502" s="23"/>
      <c r="CC502" s="23"/>
      <c r="CD502" s="23"/>
      <c r="CE502" s="23"/>
      <c r="CF502" s="23"/>
      <c r="CG502" s="23"/>
      <c r="CH502" s="23"/>
      <c r="CI502" s="23"/>
    </row>
    <row r="503" spans="1:87" x14ac:dyDescent="0.3">
      <c r="A503" s="9" t="s">
        <v>4302</v>
      </c>
      <c r="B503" s="10" t="s">
        <v>4303</v>
      </c>
      <c r="C503" s="11">
        <v>45933.791666666664</v>
      </c>
      <c r="D503" s="12">
        <v>8.3333333333333329E-2</v>
      </c>
      <c r="E503" s="11">
        <v>45933.875</v>
      </c>
      <c r="F503" s="10" t="s">
        <v>3511</v>
      </c>
      <c r="G503" s="13" t="b">
        <v>0</v>
      </c>
      <c r="H503" s="10"/>
      <c r="I503" s="10"/>
      <c r="J503" s="13" t="b">
        <v>0</v>
      </c>
      <c r="K503" s="13" t="b">
        <v>1</v>
      </c>
      <c r="L503" s="10" t="s">
        <v>124</v>
      </c>
      <c r="M503" s="10" t="s">
        <v>91</v>
      </c>
      <c r="N503" s="10" t="s">
        <v>3513</v>
      </c>
      <c r="O503" s="10"/>
      <c r="P503" s="10"/>
      <c r="Q503" s="10" t="s">
        <v>126</v>
      </c>
      <c r="R503" s="10"/>
      <c r="S503" s="10"/>
      <c r="T503" s="10"/>
      <c r="U503" s="10" t="s">
        <v>3551</v>
      </c>
      <c r="V503" s="10" t="s">
        <v>3536</v>
      </c>
      <c r="W503" s="10" t="s">
        <v>3519</v>
      </c>
      <c r="X503" s="10" t="s">
        <v>130</v>
      </c>
      <c r="Y503" s="10" t="s">
        <v>130</v>
      </c>
      <c r="Z503" s="10" t="s">
        <v>99</v>
      </c>
      <c r="AA503" s="10" t="s">
        <v>131</v>
      </c>
      <c r="AB503" s="10" t="s">
        <v>3520</v>
      </c>
      <c r="AC503" s="10" t="s">
        <v>3521</v>
      </c>
      <c r="AD503" s="10" t="s">
        <v>4304</v>
      </c>
      <c r="AE503" s="10" t="s">
        <v>4305</v>
      </c>
      <c r="AF503" s="15"/>
      <c r="AG503" s="10"/>
      <c r="AH503" s="10"/>
      <c r="AI503" s="10"/>
      <c r="AJ503" s="10"/>
      <c r="AK503" s="10" t="s">
        <v>256</v>
      </c>
      <c r="AL503" s="10" t="s">
        <v>195</v>
      </c>
      <c r="AM503" s="10"/>
      <c r="AN503" s="10"/>
      <c r="AO503" s="13" t="b">
        <v>1</v>
      </c>
      <c r="AP503" s="10" t="s">
        <v>104</v>
      </c>
      <c r="AQ503" s="10"/>
      <c r="AR503" s="17"/>
      <c r="AS503" s="17"/>
      <c r="AT503" s="17"/>
      <c r="AU503" s="17"/>
      <c r="AV503" s="17"/>
      <c r="AW503" s="10"/>
      <c r="AX503" s="17"/>
      <c r="AY503" s="18" t="s">
        <v>257</v>
      </c>
      <c r="AZ503" s="10"/>
      <c r="BA503" s="20" t="b">
        <v>0</v>
      </c>
      <c r="BB503" s="10"/>
      <c r="BC503" s="17" t="s">
        <v>257</v>
      </c>
      <c r="BD503" s="17" t="s">
        <v>257</v>
      </c>
      <c r="BE503" s="17" t="s">
        <v>257</v>
      </c>
      <c r="BF503" s="17" t="s">
        <v>257</v>
      </c>
      <c r="BG503" s="11">
        <f ca="1">IFERROR(__xludf.DUMMYFUNCTION("""COMPUTED_VALUE"""),45933.7916666666)</f>
        <v>45933.791666666599</v>
      </c>
      <c r="BH503" s="17"/>
      <c r="BI503" s="17"/>
      <c r="BJ503" s="15"/>
      <c r="BK503" s="15"/>
      <c r="BL503" s="13" t="b">
        <v>0</v>
      </c>
      <c r="BM503" s="10"/>
      <c r="BN503" s="10" t="s">
        <v>4297</v>
      </c>
      <c r="BO503" s="11">
        <v>45860.370833333334</v>
      </c>
      <c r="BP503" s="11">
        <v>45919.657754629632</v>
      </c>
      <c r="BQ503" s="15"/>
      <c r="BR503" s="15"/>
      <c r="BS503" s="10"/>
      <c r="BT503" s="10"/>
      <c r="BU503" s="10"/>
      <c r="BV503" s="10" t="s">
        <v>124</v>
      </c>
      <c r="BW503" s="10"/>
      <c r="BX503" s="10"/>
      <c r="BY503" s="23"/>
      <c r="BZ503" s="24" t="s">
        <v>284</v>
      </c>
      <c r="CA503" s="23"/>
      <c r="CB503" s="23"/>
      <c r="CC503" s="23"/>
      <c r="CD503" s="23"/>
      <c r="CE503" s="23"/>
      <c r="CF503" s="23"/>
      <c r="CG503" s="23"/>
      <c r="CH503" s="23"/>
      <c r="CI503" s="23"/>
    </row>
    <row r="504" spans="1:87" x14ac:dyDescent="0.3">
      <c r="A504" s="9" t="s">
        <v>4306</v>
      </c>
      <c r="B504" s="10" t="s">
        <v>4307</v>
      </c>
      <c r="C504" s="11">
        <v>45934.645833333336</v>
      </c>
      <c r="D504" s="12">
        <v>8.3333333333333329E-2</v>
      </c>
      <c r="E504" s="11">
        <v>45934.729166666664</v>
      </c>
      <c r="F504" s="10" t="s">
        <v>3511</v>
      </c>
      <c r="G504" s="13" t="b">
        <v>0</v>
      </c>
      <c r="H504" s="10"/>
      <c r="I504" s="10"/>
      <c r="J504" s="13" t="b">
        <v>0</v>
      </c>
      <c r="K504" s="13" t="b">
        <v>1</v>
      </c>
      <c r="L504" s="10" t="s">
        <v>124</v>
      </c>
      <c r="M504" s="10" t="s">
        <v>91</v>
      </c>
      <c r="N504" s="10" t="s">
        <v>3513</v>
      </c>
      <c r="O504" s="10"/>
      <c r="P504" s="10"/>
      <c r="Q504" s="10" t="s">
        <v>126</v>
      </c>
      <c r="R504" s="10"/>
      <c r="S504" s="10"/>
      <c r="T504" s="10"/>
      <c r="U504" s="10" t="s">
        <v>3647</v>
      </c>
      <c r="V504" s="10" t="s">
        <v>3518</v>
      </c>
      <c r="W504" s="10" t="s">
        <v>3519</v>
      </c>
      <c r="X504" s="10" t="s">
        <v>130</v>
      </c>
      <c r="Y504" s="10" t="s">
        <v>130</v>
      </c>
      <c r="Z504" s="10" t="s">
        <v>99</v>
      </c>
      <c r="AA504" s="10" t="s">
        <v>131</v>
      </c>
      <c r="AB504" s="10" t="s">
        <v>3520</v>
      </c>
      <c r="AC504" s="10" t="s">
        <v>3521</v>
      </c>
      <c r="AD504" s="10" t="s">
        <v>4308</v>
      </c>
      <c r="AE504" s="10" t="s">
        <v>4309</v>
      </c>
      <c r="AF504" s="15"/>
      <c r="AG504" s="10"/>
      <c r="AH504" s="10"/>
      <c r="AI504" s="10"/>
      <c r="AJ504" s="10"/>
      <c r="AK504" s="10" t="s">
        <v>256</v>
      </c>
      <c r="AL504" s="10" t="s">
        <v>195</v>
      </c>
      <c r="AM504" s="10"/>
      <c r="AN504" s="10"/>
      <c r="AO504" s="13" t="b">
        <v>1</v>
      </c>
      <c r="AP504" s="10" t="s">
        <v>104</v>
      </c>
      <c r="AQ504" s="10"/>
      <c r="AR504" s="17"/>
      <c r="AS504" s="17"/>
      <c r="AT504" s="17"/>
      <c r="AU504" s="17"/>
      <c r="AV504" s="17"/>
      <c r="AW504" s="10"/>
      <c r="AX504" s="17"/>
      <c r="AY504" s="18" t="s">
        <v>257</v>
      </c>
      <c r="AZ504" s="10"/>
      <c r="BA504" s="20" t="b">
        <v>0</v>
      </c>
      <c r="BB504" s="10"/>
      <c r="BC504" s="17" t="s">
        <v>257</v>
      </c>
      <c r="BD504" s="17" t="s">
        <v>257</v>
      </c>
      <c r="BE504" s="17" t="s">
        <v>257</v>
      </c>
      <c r="BF504" s="17" t="s">
        <v>257</v>
      </c>
      <c r="BG504" s="11">
        <f ca="1">IFERROR(__xludf.DUMMYFUNCTION("""COMPUTED_VALUE"""),45934.6458333333)</f>
        <v>45934.645833333299</v>
      </c>
      <c r="BH504" s="17"/>
      <c r="BI504" s="17"/>
      <c r="BJ504" s="15"/>
      <c r="BK504" s="15"/>
      <c r="BL504" s="13" t="b">
        <v>0</v>
      </c>
      <c r="BM504" s="10"/>
      <c r="BN504" s="10" t="s">
        <v>4297</v>
      </c>
      <c r="BO504" s="11">
        <v>45860.370833333334</v>
      </c>
      <c r="BP504" s="11">
        <v>45919.657893518517</v>
      </c>
      <c r="BQ504" s="15"/>
      <c r="BR504" s="15"/>
      <c r="BS504" s="10"/>
      <c r="BT504" s="10"/>
      <c r="BU504" s="10"/>
      <c r="BV504" s="10" t="s">
        <v>124</v>
      </c>
      <c r="BW504" s="10"/>
      <c r="BX504" s="10"/>
      <c r="BY504" s="23"/>
      <c r="BZ504" s="24" t="s">
        <v>284</v>
      </c>
      <c r="CA504" s="23"/>
      <c r="CB504" s="23"/>
      <c r="CC504" s="23"/>
      <c r="CD504" s="23"/>
      <c r="CE504" s="23"/>
      <c r="CF504" s="23"/>
      <c r="CG504" s="23"/>
      <c r="CH504" s="23"/>
      <c r="CI504" s="23"/>
    </row>
    <row r="505" spans="1:87" x14ac:dyDescent="0.3">
      <c r="A505" s="9" t="s">
        <v>4310</v>
      </c>
      <c r="B505" s="10" t="s">
        <v>4311</v>
      </c>
      <c r="C505" s="11">
        <v>45934.791666666664</v>
      </c>
      <c r="D505" s="12">
        <v>8.3333333333333329E-2</v>
      </c>
      <c r="E505" s="11">
        <v>45934.875</v>
      </c>
      <c r="F505" s="10" t="s">
        <v>3511</v>
      </c>
      <c r="G505" s="13" t="b">
        <v>0</v>
      </c>
      <c r="H505" s="10"/>
      <c r="I505" s="10"/>
      <c r="J505" s="13" t="b">
        <v>0</v>
      </c>
      <c r="K505" s="13" t="b">
        <v>1</v>
      </c>
      <c r="L505" s="10" t="s">
        <v>124</v>
      </c>
      <c r="M505" s="10" t="s">
        <v>91</v>
      </c>
      <c r="N505" s="10" t="s">
        <v>3513</v>
      </c>
      <c r="O505" s="10"/>
      <c r="P505" s="10"/>
      <c r="Q505" s="10" t="s">
        <v>4312</v>
      </c>
      <c r="R505" s="10"/>
      <c r="S505" s="10"/>
      <c r="T505" s="10"/>
      <c r="U505" s="10" t="s">
        <v>3623</v>
      </c>
      <c r="V505" s="10" t="s">
        <v>3517</v>
      </c>
      <c r="W505" s="10" t="s">
        <v>3519</v>
      </c>
      <c r="X505" s="10" t="s">
        <v>130</v>
      </c>
      <c r="Y505" s="10" t="s">
        <v>130</v>
      </c>
      <c r="Z505" s="10" t="s">
        <v>99</v>
      </c>
      <c r="AA505" s="10" t="s">
        <v>131</v>
      </c>
      <c r="AB505" s="10" t="s">
        <v>3520</v>
      </c>
      <c r="AC505" s="10" t="s">
        <v>3521</v>
      </c>
      <c r="AD505" s="10" t="s">
        <v>4313</v>
      </c>
      <c r="AE505" s="10" t="s">
        <v>4314</v>
      </c>
      <c r="AF505" s="15"/>
      <c r="AG505" s="10"/>
      <c r="AH505" s="10"/>
      <c r="AI505" s="10"/>
      <c r="AJ505" s="10"/>
      <c r="AK505" s="10" t="s">
        <v>256</v>
      </c>
      <c r="AL505" s="10" t="s">
        <v>195</v>
      </c>
      <c r="AM505" s="10"/>
      <c r="AN505" s="10"/>
      <c r="AO505" s="13" t="b">
        <v>0</v>
      </c>
      <c r="AP505" s="10" t="s">
        <v>104</v>
      </c>
      <c r="AQ505" s="10"/>
      <c r="AR505" s="17"/>
      <c r="AS505" s="17"/>
      <c r="AT505" s="17"/>
      <c r="AU505" s="17"/>
      <c r="AV505" s="17"/>
      <c r="AW505" s="10"/>
      <c r="AX505" s="17"/>
      <c r="AY505" s="18" t="s">
        <v>257</v>
      </c>
      <c r="AZ505" s="10"/>
      <c r="BA505" s="20" t="b">
        <v>0</v>
      </c>
      <c r="BB505" s="10"/>
      <c r="BC505" s="17" t="s">
        <v>257</v>
      </c>
      <c r="BD505" s="17" t="s">
        <v>257</v>
      </c>
      <c r="BE505" s="17" t="s">
        <v>257</v>
      </c>
      <c r="BF505" s="17" t="s">
        <v>257</v>
      </c>
      <c r="BG505" s="11">
        <f ca="1">IFERROR(__xludf.DUMMYFUNCTION("""COMPUTED_VALUE"""),45934.7916666666)</f>
        <v>45934.791666666599</v>
      </c>
      <c r="BH505" s="17"/>
      <c r="BI505" s="17"/>
      <c r="BJ505" s="15"/>
      <c r="BK505" s="15"/>
      <c r="BL505" s="13" t="b">
        <v>0</v>
      </c>
      <c r="BM505" s="10"/>
      <c r="BN505" s="10" t="s">
        <v>4297</v>
      </c>
      <c r="BO505" s="11">
        <v>45860.370833333334</v>
      </c>
      <c r="BP505" s="11">
        <v>45919.658032407409</v>
      </c>
      <c r="BQ505" s="15"/>
      <c r="BR505" s="15"/>
      <c r="BS505" s="10"/>
      <c r="BT505" s="10"/>
      <c r="BU505" s="10"/>
      <c r="BV505" s="10" t="s">
        <v>4315</v>
      </c>
      <c r="BW505" s="10"/>
      <c r="BX505" s="10"/>
      <c r="BY505" s="23"/>
      <c r="BZ505" s="24" t="s">
        <v>299</v>
      </c>
      <c r="CA505" s="23"/>
      <c r="CB505" s="23"/>
      <c r="CC505" s="23"/>
      <c r="CD505" s="23"/>
      <c r="CE505" s="23"/>
      <c r="CF505" s="23"/>
      <c r="CG505" s="23"/>
      <c r="CH505" s="23"/>
      <c r="CI505" s="23"/>
    </row>
    <row r="506" spans="1:87" x14ac:dyDescent="0.3">
      <c r="A506" s="9" t="s">
        <v>4316</v>
      </c>
      <c r="B506" s="10" t="s">
        <v>4317</v>
      </c>
      <c r="C506" s="11">
        <v>45934.791666666664</v>
      </c>
      <c r="D506" s="12">
        <v>8.3333333333333329E-2</v>
      </c>
      <c r="E506" s="11">
        <v>45934.875</v>
      </c>
      <c r="F506" s="10" t="s">
        <v>3511</v>
      </c>
      <c r="G506" s="13" t="b">
        <v>0</v>
      </c>
      <c r="H506" s="10"/>
      <c r="I506" s="10"/>
      <c r="J506" s="13" t="b">
        <v>0</v>
      </c>
      <c r="K506" s="13" t="b">
        <v>1</v>
      </c>
      <c r="L506" s="10" t="s">
        <v>124</v>
      </c>
      <c r="M506" s="10" t="s">
        <v>91</v>
      </c>
      <c r="N506" s="10" t="s">
        <v>3513</v>
      </c>
      <c r="O506" s="10"/>
      <c r="P506" s="10"/>
      <c r="Q506" s="10" t="s">
        <v>126</v>
      </c>
      <c r="R506" s="10"/>
      <c r="S506" s="10"/>
      <c r="T506" s="10"/>
      <c r="U506" s="10" t="s">
        <v>3635</v>
      </c>
      <c r="V506" s="10" t="s">
        <v>3610</v>
      </c>
      <c r="W506" s="10" t="s">
        <v>3519</v>
      </c>
      <c r="X506" s="10" t="s">
        <v>130</v>
      </c>
      <c r="Y506" s="10" t="s">
        <v>130</v>
      </c>
      <c r="Z506" s="10" t="s">
        <v>99</v>
      </c>
      <c r="AA506" s="10" t="s">
        <v>131</v>
      </c>
      <c r="AB506" s="10" t="s">
        <v>3520</v>
      </c>
      <c r="AC506" s="10" t="s">
        <v>3521</v>
      </c>
      <c r="AD506" s="10" t="s">
        <v>4318</v>
      </c>
      <c r="AE506" s="10" t="s">
        <v>4319</v>
      </c>
      <c r="AF506" s="15"/>
      <c r="AG506" s="10"/>
      <c r="AH506" s="10"/>
      <c r="AI506" s="10"/>
      <c r="AJ506" s="10"/>
      <c r="AK506" s="10" t="s">
        <v>256</v>
      </c>
      <c r="AL506" s="10" t="s">
        <v>195</v>
      </c>
      <c r="AM506" s="10"/>
      <c r="AN506" s="10"/>
      <c r="AO506" s="13" t="b">
        <v>0</v>
      </c>
      <c r="AP506" s="10" t="s">
        <v>104</v>
      </c>
      <c r="AQ506" s="10"/>
      <c r="AR506" s="17"/>
      <c r="AS506" s="17"/>
      <c r="AT506" s="17"/>
      <c r="AU506" s="17"/>
      <c r="AV506" s="17"/>
      <c r="AW506" s="10"/>
      <c r="AX506" s="17"/>
      <c r="AY506" s="18" t="s">
        <v>257</v>
      </c>
      <c r="AZ506" s="10"/>
      <c r="BA506" s="20" t="b">
        <v>0</v>
      </c>
      <c r="BB506" s="10"/>
      <c r="BC506" s="17" t="s">
        <v>257</v>
      </c>
      <c r="BD506" s="17" t="s">
        <v>257</v>
      </c>
      <c r="BE506" s="17" t="s">
        <v>257</v>
      </c>
      <c r="BF506" s="17" t="s">
        <v>257</v>
      </c>
      <c r="BG506" s="11">
        <f ca="1">IFERROR(__xludf.DUMMYFUNCTION("""COMPUTED_VALUE"""),45934.7916666666)</f>
        <v>45934.791666666599</v>
      </c>
      <c r="BH506" s="17"/>
      <c r="BI506" s="17"/>
      <c r="BJ506" s="15"/>
      <c r="BK506" s="15"/>
      <c r="BL506" s="13" t="b">
        <v>0</v>
      </c>
      <c r="BM506" s="10"/>
      <c r="BN506" s="10" t="s">
        <v>4297</v>
      </c>
      <c r="BO506" s="11">
        <v>45860.370833333334</v>
      </c>
      <c r="BP506" s="11">
        <v>45919.658159722225</v>
      </c>
      <c r="BQ506" s="15"/>
      <c r="BR506" s="15"/>
      <c r="BS506" s="10"/>
      <c r="BT506" s="10"/>
      <c r="BU506" s="10"/>
      <c r="BV506" s="10"/>
      <c r="BW506" s="10"/>
      <c r="BX506" s="10"/>
      <c r="BY506" s="23"/>
      <c r="BZ506" s="24" t="s">
        <v>299</v>
      </c>
      <c r="CA506" s="23"/>
      <c r="CB506" s="23"/>
      <c r="CC506" s="23"/>
      <c r="CD506" s="23"/>
      <c r="CE506" s="23"/>
      <c r="CF506" s="23"/>
      <c r="CG506" s="23"/>
      <c r="CH506" s="23"/>
      <c r="CI506" s="23"/>
    </row>
    <row r="507" spans="1:87" x14ac:dyDescent="0.3">
      <c r="A507" s="9" t="s">
        <v>4320</v>
      </c>
      <c r="B507" s="10" t="s">
        <v>4321</v>
      </c>
      <c r="C507" s="11">
        <v>45935.645833333336</v>
      </c>
      <c r="D507" s="12">
        <v>8.3333333333333329E-2</v>
      </c>
      <c r="E507" s="11">
        <v>45935.729166666664</v>
      </c>
      <c r="F507" s="10" t="s">
        <v>3511</v>
      </c>
      <c r="G507" s="13" t="b">
        <v>0</v>
      </c>
      <c r="H507" s="10"/>
      <c r="I507" s="10"/>
      <c r="J507" s="13" t="b">
        <v>0</v>
      </c>
      <c r="K507" s="13" t="b">
        <v>1</v>
      </c>
      <c r="L507" s="10" t="s">
        <v>124</v>
      </c>
      <c r="M507" s="10" t="s">
        <v>91</v>
      </c>
      <c r="N507" s="10" t="s">
        <v>3513</v>
      </c>
      <c r="O507" s="10"/>
      <c r="P507" s="10"/>
      <c r="Q507" s="10" t="s">
        <v>126</v>
      </c>
      <c r="R507" s="10"/>
      <c r="S507" s="10"/>
      <c r="T507" s="10"/>
      <c r="U507" s="10" t="s">
        <v>3676</v>
      </c>
      <c r="V507" s="10" t="s">
        <v>3648</v>
      </c>
      <c r="W507" s="10" t="s">
        <v>3519</v>
      </c>
      <c r="X507" s="10" t="s">
        <v>130</v>
      </c>
      <c r="Y507" s="10" t="s">
        <v>130</v>
      </c>
      <c r="Z507" s="10" t="s">
        <v>99</v>
      </c>
      <c r="AA507" s="10" t="s">
        <v>131</v>
      </c>
      <c r="AB507" s="10" t="s">
        <v>3520</v>
      </c>
      <c r="AC507" s="10" t="s">
        <v>3521</v>
      </c>
      <c r="AD507" s="10" t="s">
        <v>4322</v>
      </c>
      <c r="AE507" s="10" t="s">
        <v>4323</v>
      </c>
      <c r="AF507" s="15"/>
      <c r="AG507" s="10"/>
      <c r="AH507" s="10"/>
      <c r="AI507" s="10"/>
      <c r="AJ507" s="10"/>
      <c r="AK507" s="10" t="s">
        <v>256</v>
      </c>
      <c r="AL507" s="10" t="s">
        <v>195</v>
      </c>
      <c r="AM507" s="10"/>
      <c r="AN507" s="10"/>
      <c r="AO507" s="13" t="b">
        <v>0</v>
      </c>
      <c r="AP507" s="10" t="s">
        <v>104</v>
      </c>
      <c r="AQ507" s="10"/>
      <c r="AR507" s="17"/>
      <c r="AS507" s="17"/>
      <c r="AT507" s="17"/>
      <c r="AU507" s="17"/>
      <c r="AV507" s="17"/>
      <c r="AW507" s="10"/>
      <c r="AX507" s="17"/>
      <c r="AY507" s="18" t="s">
        <v>257</v>
      </c>
      <c r="AZ507" s="10"/>
      <c r="BA507" s="20" t="b">
        <v>0</v>
      </c>
      <c r="BB507" s="10"/>
      <c r="BC507" s="17" t="s">
        <v>257</v>
      </c>
      <c r="BD507" s="17" t="s">
        <v>257</v>
      </c>
      <c r="BE507" s="17" t="s">
        <v>257</v>
      </c>
      <c r="BF507" s="17" t="s">
        <v>257</v>
      </c>
      <c r="BG507" s="11">
        <f ca="1">IFERROR(__xludf.DUMMYFUNCTION("""COMPUTED_VALUE"""),45935.6458333333)</f>
        <v>45935.645833333299</v>
      </c>
      <c r="BH507" s="17"/>
      <c r="BI507" s="17"/>
      <c r="BJ507" s="15"/>
      <c r="BK507" s="15"/>
      <c r="BL507" s="13" t="b">
        <v>0</v>
      </c>
      <c r="BM507" s="10"/>
      <c r="BN507" s="10" t="s">
        <v>4297</v>
      </c>
      <c r="BO507" s="11">
        <v>45860.370833333334</v>
      </c>
      <c r="BP507" s="11">
        <v>45919.658229166664</v>
      </c>
      <c r="BQ507" s="15"/>
      <c r="BR507" s="15"/>
      <c r="BS507" s="10"/>
      <c r="BT507" s="10"/>
      <c r="BU507" s="10"/>
      <c r="BV507" s="10" t="s">
        <v>124</v>
      </c>
      <c r="BW507" s="10"/>
      <c r="BX507" s="10"/>
      <c r="BY507" s="23"/>
      <c r="BZ507" s="24" t="s">
        <v>284</v>
      </c>
      <c r="CA507" s="23"/>
      <c r="CB507" s="23"/>
      <c r="CC507" s="23"/>
      <c r="CD507" s="23"/>
      <c r="CE507" s="23"/>
      <c r="CF507" s="23"/>
      <c r="CG507" s="23"/>
      <c r="CH507" s="23"/>
      <c r="CI507" s="23"/>
    </row>
    <row r="508" spans="1:87" x14ac:dyDescent="0.3">
      <c r="A508" s="9" t="s">
        <v>4324</v>
      </c>
      <c r="B508" s="10" t="s">
        <v>4325</v>
      </c>
      <c r="C508" s="11">
        <v>45935.791666666664</v>
      </c>
      <c r="D508" s="12">
        <v>8.3333333333333329E-2</v>
      </c>
      <c r="E508" s="11">
        <v>45935.875</v>
      </c>
      <c r="F508" s="10" t="s">
        <v>3511</v>
      </c>
      <c r="G508" s="13" t="b">
        <v>0</v>
      </c>
      <c r="H508" s="10"/>
      <c r="I508" s="10"/>
      <c r="J508" s="13" t="b">
        <v>0</v>
      </c>
      <c r="K508" s="13" t="b">
        <v>1</v>
      </c>
      <c r="L508" s="10" t="s">
        <v>124</v>
      </c>
      <c r="M508" s="10" t="s">
        <v>91</v>
      </c>
      <c r="N508" s="10" t="s">
        <v>3513</v>
      </c>
      <c r="O508" s="10"/>
      <c r="P508" s="10"/>
      <c r="Q508" s="10" t="s">
        <v>126</v>
      </c>
      <c r="R508" s="10"/>
      <c r="S508" s="10"/>
      <c r="T508" s="10"/>
      <c r="U508" s="10" t="s">
        <v>3609</v>
      </c>
      <c r="V508" s="10" t="s">
        <v>3535</v>
      </c>
      <c r="W508" s="10" t="s">
        <v>3519</v>
      </c>
      <c r="X508" s="10" t="s">
        <v>130</v>
      </c>
      <c r="Y508" s="10" t="s">
        <v>130</v>
      </c>
      <c r="Z508" s="10" t="s">
        <v>99</v>
      </c>
      <c r="AA508" s="10" t="s">
        <v>131</v>
      </c>
      <c r="AB508" s="10" t="s">
        <v>3520</v>
      </c>
      <c r="AC508" s="10" t="s">
        <v>3521</v>
      </c>
      <c r="AD508" s="10" t="s">
        <v>4326</v>
      </c>
      <c r="AE508" s="10" t="s">
        <v>4327</v>
      </c>
      <c r="AF508" s="15"/>
      <c r="AG508" s="10"/>
      <c r="AH508" s="10"/>
      <c r="AI508" s="10"/>
      <c r="AJ508" s="10"/>
      <c r="AK508" s="10" t="s">
        <v>256</v>
      </c>
      <c r="AL508" s="10" t="s">
        <v>195</v>
      </c>
      <c r="AM508" s="10"/>
      <c r="AN508" s="10"/>
      <c r="AO508" s="13" t="b">
        <v>1</v>
      </c>
      <c r="AP508" s="10" t="s">
        <v>104</v>
      </c>
      <c r="AQ508" s="10"/>
      <c r="AR508" s="17"/>
      <c r="AS508" s="17"/>
      <c r="AT508" s="17"/>
      <c r="AU508" s="17"/>
      <c r="AV508" s="17"/>
      <c r="AW508" s="10"/>
      <c r="AX508" s="17"/>
      <c r="AY508" s="18" t="s">
        <v>257</v>
      </c>
      <c r="AZ508" s="10"/>
      <c r="BA508" s="20" t="b">
        <v>0</v>
      </c>
      <c r="BB508" s="10"/>
      <c r="BC508" s="17" t="s">
        <v>257</v>
      </c>
      <c r="BD508" s="17" t="s">
        <v>257</v>
      </c>
      <c r="BE508" s="17" t="s">
        <v>257</v>
      </c>
      <c r="BF508" s="17" t="s">
        <v>257</v>
      </c>
      <c r="BG508" s="11">
        <f ca="1">IFERROR(__xludf.DUMMYFUNCTION("""COMPUTED_VALUE"""),45935.7916666666)</f>
        <v>45935.791666666599</v>
      </c>
      <c r="BH508" s="17"/>
      <c r="BI508" s="17"/>
      <c r="BJ508" s="15"/>
      <c r="BK508" s="15"/>
      <c r="BL508" s="13" t="b">
        <v>0</v>
      </c>
      <c r="BM508" s="10"/>
      <c r="BN508" s="10" t="s">
        <v>4297</v>
      </c>
      <c r="BO508" s="11">
        <v>45860.370833333334</v>
      </c>
      <c r="BP508" s="11">
        <v>45919.658425925925</v>
      </c>
      <c r="BQ508" s="15"/>
      <c r="BR508" s="15"/>
      <c r="BS508" s="10"/>
      <c r="BT508" s="10"/>
      <c r="BU508" s="10"/>
      <c r="BV508" s="10" t="s">
        <v>281</v>
      </c>
      <c r="BW508" s="10"/>
      <c r="BX508" s="10"/>
      <c r="BY508" s="23"/>
      <c r="BZ508" s="24" t="s">
        <v>284</v>
      </c>
      <c r="CA508" s="23"/>
      <c r="CB508" s="23"/>
      <c r="CC508" s="23"/>
      <c r="CD508" s="23"/>
      <c r="CE508" s="23"/>
      <c r="CF508" s="23"/>
      <c r="CG508" s="23"/>
      <c r="CH508" s="23"/>
      <c r="CI508" s="23"/>
    </row>
    <row r="509" spans="1:87" ht="16.5" customHeight="1" x14ac:dyDescent="0.3">
      <c r="A509" s="9" t="s">
        <v>4328</v>
      </c>
      <c r="B509" s="10" t="s">
        <v>4329</v>
      </c>
      <c r="C509" s="11">
        <v>45946.791666666664</v>
      </c>
      <c r="D509" s="12">
        <v>8.3333333333333329E-2</v>
      </c>
      <c r="E509" s="11">
        <v>45946.875</v>
      </c>
      <c r="F509" s="10" t="s">
        <v>3511</v>
      </c>
      <c r="G509" s="13" t="b">
        <v>0</v>
      </c>
      <c r="H509" s="10" t="s">
        <v>123</v>
      </c>
      <c r="I509" s="10" t="s">
        <v>3548</v>
      </c>
      <c r="J509" s="13" t="b">
        <v>0</v>
      </c>
      <c r="K509" s="13" t="b">
        <v>1</v>
      </c>
      <c r="L509" s="10" t="s">
        <v>124</v>
      </c>
      <c r="M509" s="10" t="s">
        <v>91</v>
      </c>
      <c r="N509" s="10" t="s">
        <v>3513</v>
      </c>
      <c r="O509" s="19" t="s">
        <v>4330</v>
      </c>
      <c r="P509" s="10"/>
      <c r="Q509" s="10" t="s">
        <v>126</v>
      </c>
      <c r="R509" s="10"/>
      <c r="S509" s="19" t="s">
        <v>4331</v>
      </c>
      <c r="T509" s="19" t="s">
        <v>4332</v>
      </c>
      <c r="U509" s="10" t="s">
        <v>3622</v>
      </c>
      <c r="V509" s="10" t="s">
        <v>3635</v>
      </c>
      <c r="W509" s="10" t="s">
        <v>3519</v>
      </c>
      <c r="X509" s="10" t="s">
        <v>130</v>
      </c>
      <c r="Y509" s="10" t="s">
        <v>130</v>
      </c>
      <c r="Z509" s="10" t="s">
        <v>99</v>
      </c>
      <c r="AA509" s="10" t="s">
        <v>131</v>
      </c>
      <c r="AB509" s="10" t="s">
        <v>3520</v>
      </c>
      <c r="AC509" s="10" t="s">
        <v>3521</v>
      </c>
      <c r="AD509" s="10" t="s">
        <v>4333</v>
      </c>
      <c r="AE509" s="10" t="s">
        <v>4334</v>
      </c>
      <c r="AF509" s="15"/>
      <c r="AG509" s="10" t="s">
        <v>3524</v>
      </c>
      <c r="AH509" s="10" t="s">
        <v>3539</v>
      </c>
      <c r="AI509" s="10" t="s">
        <v>3539</v>
      </c>
      <c r="AJ509" s="10" t="s">
        <v>4335</v>
      </c>
      <c r="AK509" s="10" t="s">
        <v>102</v>
      </c>
      <c r="AL509" s="10" t="s">
        <v>205</v>
      </c>
      <c r="AM509" s="10"/>
      <c r="AN509" s="10"/>
      <c r="AO509" s="13" t="b">
        <v>0</v>
      </c>
      <c r="AP509" s="10" t="s">
        <v>104</v>
      </c>
      <c r="AQ509" s="10">
        <f ca="1">IFERROR(__xludf.DUMMYFUNCTION("""COMPUTED_VALUE"""),4651615)</f>
        <v>4651615</v>
      </c>
      <c r="AR509" s="17">
        <v>222200</v>
      </c>
      <c r="AS509" s="17">
        <v>156799</v>
      </c>
      <c r="AT509" s="17">
        <v>3677742.25</v>
      </c>
      <c r="AU509" s="17">
        <v>2212.3000000000002</v>
      </c>
      <c r="AV509" s="17">
        <v>197.4</v>
      </c>
      <c r="AW509" s="10" t="s">
        <v>105</v>
      </c>
      <c r="AX509" s="17">
        <v>40981</v>
      </c>
      <c r="AY509" s="18">
        <v>23.455138425627716</v>
      </c>
      <c r="AZ509" s="10"/>
      <c r="BA509" s="20" t="b">
        <v>0</v>
      </c>
      <c r="BB509" s="10"/>
      <c r="BC509" s="17">
        <v>222200</v>
      </c>
      <c r="BD509" s="17">
        <v>156799</v>
      </c>
      <c r="BE509" s="17">
        <v>3677742.25</v>
      </c>
      <c r="BF509" s="17">
        <v>197.4</v>
      </c>
      <c r="BG509" s="11">
        <f ca="1">IFERROR(__xludf.DUMMYFUNCTION("""COMPUTED_VALUE"""),45946.7916666666)</f>
        <v>45946.791666666599</v>
      </c>
      <c r="BH509" s="17" t="s">
        <v>105</v>
      </c>
      <c r="BI509" s="17"/>
      <c r="BJ509" s="15"/>
      <c r="BK509" s="15"/>
      <c r="BL509" s="13" t="b">
        <v>0</v>
      </c>
      <c r="BM509" s="10"/>
      <c r="BN509" s="10" t="s">
        <v>185</v>
      </c>
      <c r="BO509" s="11">
        <v>45860.370833333334</v>
      </c>
      <c r="BP509" s="11">
        <v>45933.425717592596</v>
      </c>
      <c r="BQ509" s="15">
        <v>45943.630949074075</v>
      </c>
      <c r="BR509" s="15">
        <v>45944.525891203702</v>
      </c>
      <c r="BS509" s="10"/>
      <c r="BT509" s="10" t="s">
        <v>99</v>
      </c>
      <c r="BU509" s="10"/>
      <c r="BV509" s="10"/>
      <c r="BW509" s="10"/>
      <c r="BX509" s="10"/>
      <c r="BY509" s="23"/>
      <c r="BZ509" s="24" t="s">
        <v>284</v>
      </c>
      <c r="CA509" s="19" t="s">
        <v>4336</v>
      </c>
      <c r="CB509" s="19" t="s">
        <v>4337</v>
      </c>
      <c r="CC509" s="23"/>
      <c r="CD509" s="19" t="s">
        <v>4338</v>
      </c>
      <c r="CE509" s="23"/>
      <c r="CF509" s="23"/>
      <c r="CG509" s="23"/>
      <c r="CH509" s="23"/>
      <c r="CI509" s="23"/>
    </row>
    <row r="510" spans="1:87" x14ac:dyDescent="0.3">
      <c r="A510" s="9" t="s">
        <v>4339</v>
      </c>
      <c r="B510" s="10" t="s">
        <v>4340</v>
      </c>
      <c r="C510" s="11">
        <v>45947.645833333336</v>
      </c>
      <c r="D510" s="12">
        <v>8.3333333333333329E-2</v>
      </c>
      <c r="E510" s="11">
        <v>45947.729166666664</v>
      </c>
      <c r="F510" s="10" t="s">
        <v>3511</v>
      </c>
      <c r="G510" s="13" t="b">
        <v>0</v>
      </c>
      <c r="H510" s="10" t="s">
        <v>236</v>
      </c>
      <c r="I510" s="10" t="s">
        <v>212</v>
      </c>
      <c r="J510" s="13" t="b">
        <v>1</v>
      </c>
      <c r="K510" s="13" t="b">
        <v>0</v>
      </c>
      <c r="L510" s="10" t="s">
        <v>124</v>
      </c>
      <c r="M510" s="10" t="s">
        <v>91</v>
      </c>
      <c r="N510" s="10" t="s">
        <v>3513</v>
      </c>
      <c r="O510" s="19" t="s">
        <v>4341</v>
      </c>
      <c r="P510" s="10"/>
      <c r="Q510" s="10" t="s">
        <v>126</v>
      </c>
      <c r="R510" s="10"/>
      <c r="S510" s="19" t="s">
        <v>4342</v>
      </c>
      <c r="T510" s="19" t="s">
        <v>4332</v>
      </c>
      <c r="U510" s="10" t="s">
        <v>3648</v>
      </c>
      <c r="V510" s="10" t="s">
        <v>3552</v>
      </c>
      <c r="W510" s="10" t="s">
        <v>3519</v>
      </c>
      <c r="X510" s="10" t="s">
        <v>130</v>
      </c>
      <c r="Y510" s="10" t="s">
        <v>130</v>
      </c>
      <c r="Z510" s="10" t="s">
        <v>99</v>
      </c>
      <c r="AA510" s="10" t="s">
        <v>131</v>
      </c>
      <c r="AB510" s="10" t="s">
        <v>3520</v>
      </c>
      <c r="AC510" s="10" t="s">
        <v>3521</v>
      </c>
      <c r="AD510" s="10" t="s">
        <v>4343</v>
      </c>
      <c r="AE510" s="10" t="s">
        <v>4344</v>
      </c>
      <c r="AF510" s="15"/>
      <c r="AG510" s="10" t="s">
        <v>3524</v>
      </c>
      <c r="AH510" s="10" t="s">
        <v>3539</v>
      </c>
      <c r="AI510" s="10" t="s">
        <v>3539</v>
      </c>
      <c r="AJ510" s="10" t="s">
        <v>4345</v>
      </c>
      <c r="AK510" s="10" t="s">
        <v>102</v>
      </c>
      <c r="AL510" s="10" t="s">
        <v>205</v>
      </c>
      <c r="AM510" s="10"/>
      <c r="AN510" s="10"/>
      <c r="AO510" s="13" t="b">
        <v>0</v>
      </c>
      <c r="AP510" s="10" t="s">
        <v>104</v>
      </c>
      <c r="AQ510" s="10">
        <f ca="1">IFERROR(__xludf.DUMMYFUNCTION("""COMPUTED_VALUE"""),4651622)</f>
        <v>4651622</v>
      </c>
      <c r="AR510" s="17">
        <v>209331</v>
      </c>
      <c r="AS510" s="17">
        <v>125324</v>
      </c>
      <c r="AT510" s="17">
        <v>3701685.75</v>
      </c>
      <c r="AU510" s="17">
        <v>1280.75</v>
      </c>
      <c r="AV510" s="17">
        <v>143.65</v>
      </c>
      <c r="AW510" s="10" t="s">
        <v>105</v>
      </c>
      <c r="AX510" s="17">
        <v>44443</v>
      </c>
      <c r="AY510" s="18">
        <v>29.536926287063931</v>
      </c>
      <c r="AZ510" s="10"/>
      <c r="BA510" s="20" t="b">
        <v>0</v>
      </c>
      <c r="BB510" s="10"/>
      <c r="BC510" s="17">
        <v>209331</v>
      </c>
      <c r="BD510" s="17">
        <v>125324</v>
      </c>
      <c r="BE510" s="17">
        <v>3701685.75</v>
      </c>
      <c r="BF510" s="17">
        <v>143.65</v>
      </c>
      <c r="BG510" s="11">
        <f ca="1">IFERROR(__xludf.DUMMYFUNCTION("""COMPUTED_VALUE"""),45947.6458333333)</f>
        <v>45947.645833333299</v>
      </c>
      <c r="BH510" s="17" t="s">
        <v>105</v>
      </c>
      <c r="BI510" s="17"/>
      <c r="BJ510" s="15"/>
      <c r="BK510" s="15"/>
      <c r="BL510" s="13" t="b">
        <v>0</v>
      </c>
      <c r="BM510" s="10"/>
      <c r="BN510" s="10" t="s">
        <v>278</v>
      </c>
      <c r="BO510" s="11">
        <v>45860.370833333334</v>
      </c>
      <c r="BP510" s="11">
        <v>45933.430266203701</v>
      </c>
      <c r="BQ510" s="15">
        <v>45943.630995370368</v>
      </c>
      <c r="BR510" s="15">
        <v>45944.526238425926</v>
      </c>
      <c r="BS510" s="10" t="s">
        <v>278</v>
      </c>
      <c r="BT510" s="10" t="s">
        <v>99</v>
      </c>
      <c r="BU510" s="10" t="s">
        <v>456</v>
      </c>
      <c r="BV510" s="10"/>
      <c r="BW510" s="10"/>
      <c r="BX510" s="10"/>
      <c r="BY510" s="23"/>
      <c r="BZ510" s="24" t="s">
        <v>299</v>
      </c>
      <c r="CA510" s="19" t="s">
        <v>4346</v>
      </c>
      <c r="CB510" s="19" t="s">
        <v>4347</v>
      </c>
      <c r="CC510" s="23"/>
      <c r="CD510" s="19" t="s">
        <v>4348</v>
      </c>
      <c r="CE510" s="23"/>
      <c r="CF510" s="23"/>
      <c r="CG510" s="23"/>
      <c r="CH510" s="23"/>
      <c r="CI510" s="23"/>
    </row>
    <row r="511" spans="1:87" x14ac:dyDescent="0.3">
      <c r="A511" s="9" t="s">
        <v>4349</v>
      </c>
      <c r="B511" s="10" t="s">
        <v>4350</v>
      </c>
      <c r="C511" s="11">
        <v>45947.791666666664</v>
      </c>
      <c r="D511" s="12">
        <v>8.3333333333333329E-2</v>
      </c>
      <c r="E511" s="11">
        <v>45947.875</v>
      </c>
      <c r="F511" s="10" t="s">
        <v>3511</v>
      </c>
      <c r="G511" s="13" t="b">
        <v>0</v>
      </c>
      <c r="H511" s="10" t="s">
        <v>123</v>
      </c>
      <c r="I511" s="10" t="s">
        <v>3548</v>
      </c>
      <c r="J511" s="13" t="b">
        <v>0</v>
      </c>
      <c r="K511" s="13" t="b">
        <v>1</v>
      </c>
      <c r="L511" s="10" t="s">
        <v>124</v>
      </c>
      <c r="M511" s="10" t="s">
        <v>91</v>
      </c>
      <c r="N511" s="10" t="s">
        <v>3513</v>
      </c>
      <c r="O511" s="19" t="s">
        <v>4351</v>
      </c>
      <c r="P511" s="10"/>
      <c r="Q511" s="10" t="s">
        <v>126</v>
      </c>
      <c r="R511" s="10"/>
      <c r="S511" s="19" t="s">
        <v>4352</v>
      </c>
      <c r="T511" s="19" t="s">
        <v>4332</v>
      </c>
      <c r="U511" s="10" t="s">
        <v>3677</v>
      </c>
      <c r="V511" s="10" t="s">
        <v>3609</v>
      </c>
      <c r="W511" s="10" t="s">
        <v>3519</v>
      </c>
      <c r="X511" s="10" t="s">
        <v>130</v>
      </c>
      <c r="Y511" s="10" t="s">
        <v>130</v>
      </c>
      <c r="Z511" s="10" t="s">
        <v>99</v>
      </c>
      <c r="AA511" s="10" t="s">
        <v>131</v>
      </c>
      <c r="AB511" s="10" t="s">
        <v>3520</v>
      </c>
      <c r="AC511" s="10" t="s">
        <v>3521</v>
      </c>
      <c r="AD511" s="10" t="s">
        <v>4353</v>
      </c>
      <c r="AE511" s="10" t="s">
        <v>4354</v>
      </c>
      <c r="AF511" s="15"/>
      <c r="AG511" s="10" t="s">
        <v>3524</v>
      </c>
      <c r="AH511" s="10" t="s">
        <v>3539</v>
      </c>
      <c r="AI511" s="10" t="s">
        <v>3539</v>
      </c>
      <c r="AJ511" s="10" t="s">
        <v>4355</v>
      </c>
      <c r="AK511" s="10" t="s">
        <v>102</v>
      </c>
      <c r="AL511" s="10" t="s">
        <v>205</v>
      </c>
      <c r="AM511" s="10"/>
      <c r="AN511" s="10"/>
      <c r="AO511" s="13" t="b">
        <v>1</v>
      </c>
      <c r="AP511" s="10" t="s">
        <v>104</v>
      </c>
      <c r="AQ511" s="10">
        <f ca="1">IFERROR(__xludf.DUMMYFUNCTION("""COMPUTED_VALUE"""),4651619)</f>
        <v>4651619</v>
      </c>
      <c r="AR511" s="17">
        <v>531487</v>
      </c>
      <c r="AS511" s="17">
        <v>211494</v>
      </c>
      <c r="AT511" s="17">
        <v>11803379.75</v>
      </c>
      <c r="AU511" s="17">
        <v>13578.6</v>
      </c>
      <c r="AV511" s="17">
        <v>2511.0500000000002</v>
      </c>
      <c r="AW511" s="10" t="s">
        <v>297</v>
      </c>
      <c r="AX511" s="17">
        <v>126378</v>
      </c>
      <c r="AY511" s="18">
        <v>55.809525329323762</v>
      </c>
      <c r="AZ511" s="10"/>
      <c r="BA511" s="20" t="b">
        <v>0</v>
      </c>
      <c r="BB511" s="10"/>
      <c r="BC511" s="17">
        <v>531487</v>
      </c>
      <c r="BD511" s="17">
        <v>211494</v>
      </c>
      <c r="BE511" s="17">
        <v>11803379.75</v>
      </c>
      <c r="BF511" s="17">
        <v>2511.0500000000002</v>
      </c>
      <c r="BG511" s="11">
        <f ca="1">IFERROR(__xludf.DUMMYFUNCTION("""COMPUTED_VALUE"""),45947.7916666666)</f>
        <v>45947.791666666599</v>
      </c>
      <c r="BH511" s="17" t="s">
        <v>297</v>
      </c>
      <c r="BI511" s="17"/>
      <c r="BJ511" s="15"/>
      <c r="BK511" s="15"/>
      <c r="BL511" s="13" t="b">
        <v>0</v>
      </c>
      <c r="BM511" s="10"/>
      <c r="BN511" s="10" t="s">
        <v>278</v>
      </c>
      <c r="BO511" s="11">
        <v>45860.370833333334</v>
      </c>
      <c r="BP511" s="11">
        <v>45933.435520833336</v>
      </c>
      <c r="BQ511" s="15">
        <v>45943.63108796296</v>
      </c>
      <c r="BR511" s="15">
        <v>45944.526550925926</v>
      </c>
      <c r="BS511" s="10" t="s">
        <v>278</v>
      </c>
      <c r="BT511" s="10" t="s">
        <v>99</v>
      </c>
      <c r="BU511" s="10" t="s">
        <v>456</v>
      </c>
      <c r="BV511" s="10" t="s">
        <v>281</v>
      </c>
      <c r="BW511" s="10" t="s">
        <v>282</v>
      </c>
      <c r="BX511" s="10"/>
      <c r="BY511" s="23"/>
      <c r="BZ511" s="24" t="s">
        <v>284</v>
      </c>
      <c r="CA511" s="19" t="s">
        <v>4356</v>
      </c>
      <c r="CB511" s="19" t="s">
        <v>4357</v>
      </c>
      <c r="CC511" s="23"/>
      <c r="CD511" s="19" t="s">
        <v>4358</v>
      </c>
      <c r="CE511" s="23"/>
      <c r="CF511" s="23"/>
      <c r="CG511" s="23"/>
      <c r="CH511" s="23"/>
      <c r="CI511" s="23"/>
    </row>
    <row r="512" spans="1:87" x14ac:dyDescent="0.3">
      <c r="A512" s="9" t="s">
        <v>4359</v>
      </c>
      <c r="B512" s="10" t="s">
        <v>4360</v>
      </c>
      <c r="C512" s="11">
        <v>45948.645833333336</v>
      </c>
      <c r="D512" s="12">
        <v>8.3333333333333329E-2</v>
      </c>
      <c r="E512" s="11">
        <v>45948.729166666664</v>
      </c>
      <c r="F512" s="10" t="s">
        <v>3511</v>
      </c>
      <c r="G512" s="13" t="b">
        <v>0</v>
      </c>
      <c r="H512" s="10" t="s">
        <v>236</v>
      </c>
      <c r="I512" s="10" t="s">
        <v>212</v>
      </c>
      <c r="J512" s="13" t="b">
        <v>1</v>
      </c>
      <c r="K512" s="13" t="b">
        <v>0</v>
      </c>
      <c r="L512" s="10" t="s">
        <v>124</v>
      </c>
      <c r="M512" s="10" t="s">
        <v>91</v>
      </c>
      <c r="N512" s="10" t="s">
        <v>3513</v>
      </c>
      <c r="O512" s="19" t="s">
        <v>4361</v>
      </c>
      <c r="P512" s="10"/>
      <c r="Q512" s="10" t="s">
        <v>126</v>
      </c>
      <c r="R512" s="10"/>
      <c r="S512" s="19" t="s">
        <v>4362</v>
      </c>
      <c r="T512" s="19" t="s">
        <v>4332</v>
      </c>
      <c r="U512" s="10" t="s">
        <v>3517</v>
      </c>
      <c r="V512" s="10" t="s">
        <v>3662</v>
      </c>
      <c r="W512" s="10" t="s">
        <v>3519</v>
      </c>
      <c r="X512" s="10" t="s">
        <v>130</v>
      </c>
      <c r="Y512" s="10" t="s">
        <v>130</v>
      </c>
      <c r="Z512" s="10" t="s">
        <v>99</v>
      </c>
      <c r="AA512" s="10" t="s">
        <v>131</v>
      </c>
      <c r="AB512" s="10" t="s">
        <v>3520</v>
      </c>
      <c r="AC512" s="10" t="s">
        <v>3521</v>
      </c>
      <c r="AD512" s="10" t="s">
        <v>4363</v>
      </c>
      <c r="AE512" s="10" t="s">
        <v>4364</v>
      </c>
      <c r="AF512" s="15"/>
      <c r="AG512" s="10" t="s">
        <v>3524</v>
      </c>
      <c r="AH512" s="10" t="s">
        <v>3539</v>
      </c>
      <c r="AI512" s="10" t="s">
        <v>3539</v>
      </c>
      <c r="AJ512" s="10" t="s">
        <v>4365</v>
      </c>
      <c r="AK512" s="10" t="s">
        <v>102</v>
      </c>
      <c r="AL512" s="10" t="s">
        <v>205</v>
      </c>
      <c r="AM512" s="10"/>
      <c r="AN512" s="10"/>
      <c r="AO512" s="13" t="b">
        <v>0</v>
      </c>
      <c r="AP512" s="10" t="s">
        <v>104</v>
      </c>
      <c r="AQ512" s="10">
        <f ca="1">IFERROR(__xludf.DUMMYFUNCTION("""COMPUTED_VALUE"""),4652392)</f>
        <v>4652392</v>
      </c>
      <c r="AR512" s="17">
        <v>217217</v>
      </c>
      <c r="AS512" s="17">
        <v>130620</v>
      </c>
      <c r="AT512" s="17">
        <v>4444748</v>
      </c>
      <c r="AU512" s="17">
        <v>855.2</v>
      </c>
      <c r="AV512" s="17">
        <v>112.15</v>
      </c>
      <c r="AW512" s="10" t="s">
        <v>105</v>
      </c>
      <c r="AX512" s="17">
        <v>49826</v>
      </c>
      <c r="AY512" s="18">
        <v>34.028081457663454</v>
      </c>
      <c r="AZ512" s="10"/>
      <c r="BA512" s="20" t="b">
        <v>0</v>
      </c>
      <c r="BB512" s="10"/>
      <c r="BC512" s="17">
        <v>217217</v>
      </c>
      <c r="BD512" s="17">
        <v>130620</v>
      </c>
      <c r="BE512" s="17">
        <v>4444748</v>
      </c>
      <c r="BF512" s="17">
        <v>112.15</v>
      </c>
      <c r="BG512" s="11">
        <f ca="1">IFERROR(__xludf.DUMMYFUNCTION("""COMPUTED_VALUE"""),45948.6458333333)</f>
        <v>45948.645833333299</v>
      </c>
      <c r="BH512" s="17" t="s">
        <v>105</v>
      </c>
      <c r="BI512" s="17"/>
      <c r="BJ512" s="15"/>
      <c r="BK512" s="15"/>
      <c r="BL512" s="13" t="b">
        <v>0</v>
      </c>
      <c r="BM512" s="10"/>
      <c r="BN512" s="10" t="s">
        <v>278</v>
      </c>
      <c r="BO512" s="11">
        <v>45860.370833333334</v>
      </c>
      <c r="BP512" s="11">
        <v>45933.665393518517</v>
      </c>
      <c r="BQ512" s="15">
        <v>45943.631122685183</v>
      </c>
      <c r="BR512" s="15">
        <v>45945.024085648147</v>
      </c>
      <c r="BS512" s="10" t="s">
        <v>278</v>
      </c>
      <c r="BT512" s="10" t="s">
        <v>99</v>
      </c>
      <c r="BU512" s="10" t="s">
        <v>298</v>
      </c>
      <c r="BV512" s="10"/>
      <c r="BW512" s="10"/>
      <c r="BX512" s="10"/>
      <c r="BY512" s="23"/>
      <c r="BZ512" s="24" t="s">
        <v>299</v>
      </c>
      <c r="CA512" s="19" t="s">
        <v>4366</v>
      </c>
      <c r="CB512" s="19" t="s">
        <v>4367</v>
      </c>
      <c r="CC512" s="23"/>
      <c r="CD512" s="19" t="s">
        <v>4368</v>
      </c>
      <c r="CE512" s="23"/>
      <c r="CF512" s="23"/>
      <c r="CG512" s="23"/>
      <c r="CH512" s="23"/>
      <c r="CI512" s="23"/>
    </row>
    <row r="513" spans="1:87" x14ac:dyDescent="0.3">
      <c r="A513" s="9" t="s">
        <v>4369</v>
      </c>
      <c r="B513" s="10" t="s">
        <v>4370</v>
      </c>
      <c r="C513" s="11">
        <v>45948.791666666664</v>
      </c>
      <c r="D513" s="12">
        <v>8.3333333333333329E-2</v>
      </c>
      <c r="E513" s="11">
        <v>45948.875</v>
      </c>
      <c r="F513" s="10" t="s">
        <v>3511</v>
      </c>
      <c r="G513" s="13" t="b">
        <v>0</v>
      </c>
      <c r="H513" s="10" t="s">
        <v>123</v>
      </c>
      <c r="I513" s="10" t="s">
        <v>3548</v>
      </c>
      <c r="J513" s="13" t="b">
        <v>0</v>
      </c>
      <c r="K513" s="13" t="b">
        <v>1</v>
      </c>
      <c r="L513" s="10" t="s">
        <v>124</v>
      </c>
      <c r="M513" s="10" t="s">
        <v>91</v>
      </c>
      <c r="N513" s="10" t="s">
        <v>3513</v>
      </c>
      <c r="O513" s="19" t="s">
        <v>4371</v>
      </c>
      <c r="P513" s="10"/>
      <c r="Q513" s="10" t="s">
        <v>126</v>
      </c>
      <c r="R513" s="10"/>
      <c r="S513" s="19" t="s">
        <v>4372</v>
      </c>
      <c r="T513" s="19" t="s">
        <v>4332</v>
      </c>
      <c r="U513" s="10" t="s">
        <v>3551</v>
      </c>
      <c r="V513" s="10" t="s">
        <v>3647</v>
      </c>
      <c r="W513" s="10" t="s">
        <v>3519</v>
      </c>
      <c r="X513" s="10" t="s">
        <v>130</v>
      </c>
      <c r="Y513" s="10" t="s">
        <v>130</v>
      </c>
      <c r="Z513" s="10" t="s">
        <v>99</v>
      </c>
      <c r="AA513" s="10" t="s">
        <v>131</v>
      </c>
      <c r="AB513" s="10" t="s">
        <v>3520</v>
      </c>
      <c r="AC513" s="10" t="s">
        <v>3521</v>
      </c>
      <c r="AD513" s="10" t="s">
        <v>4373</v>
      </c>
      <c r="AE513" s="10" t="s">
        <v>4374</v>
      </c>
      <c r="AF513" s="15"/>
      <c r="AG513" s="10" t="s">
        <v>3524</v>
      </c>
      <c r="AH513" s="10" t="s">
        <v>3539</v>
      </c>
      <c r="AI513" s="10" t="s">
        <v>3539</v>
      </c>
      <c r="AJ513" s="10" t="s">
        <v>4375</v>
      </c>
      <c r="AK513" s="10" t="s">
        <v>102</v>
      </c>
      <c r="AL513" s="10" t="s">
        <v>205</v>
      </c>
      <c r="AM513" s="10"/>
      <c r="AN513" s="10"/>
      <c r="AO513" s="13" t="b">
        <v>1</v>
      </c>
      <c r="AP513" s="10" t="s">
        <v>104</v>
      </c>
      <c r="AQ513" s="10">
        <f ca="1">IFERROR(__xludf.DUMMYFUNCTION("""COMPUTED_VALUE"""),4652393)</f>
        <v>4652393</v>
      </c>
      <c r="AR513" s="17">
        <v>525444</v>
      </c>
      <c r="AS513" s="17">
        <v>283658</v>
      </c>
      <c r="AT513" s="17">
        <v>11169509.75</v>
      </c>
      <c r="AU513" s="17">
        <v>7501.3</v>
      </c>
      <c r="AV513" s="17">
        <v>1395.45</v>
      </c>
      <c r="AW513" s="10" t="s">
        <v>297</v>
      </c>
      <c r="AX513" s="17">
        <v>107997</v>
      </c>
      <c r="AY513" s="18">
        <v>39.376678077121042</v>
      </c>
      <c r="AZ513" s="10"/>
      <c r="BA513" s="20" t="b">
        <v>0</v>
      </c>
      <c r="BB513" s="10"/>
      <c r="BC513" s="17">
        <v>525444</v>
      </c>
      <c r="BD513" s="17">
        <v>283658</v>
      </c>
      <c r="BE513" s="17">
        <v>11169509.75</v>
      </c>
      <c r="BF513" s="17">
        <v>1395.45</v>
      </c>
      <c r="BG513" s="11">
        <f ca="1">IFERROR(__xludf.DUMMYFUNCTION("""COMPUTED_VALUE"""),45948.7916666666)</f>
        <v>45948.791666666599</v>
      </c>
      <c r="BH513" s="17" t="s">
        <v>297</v>
      </c>
      <c r="BI513" s="17"/>
      <c r="BJ513" s="15"/>
      <c r="BK513" s="15"/>
      <c r="BL513" s="13" t="b">
        <v>0</v>
      </c>
      <c r="BM513" s="10"/>
      <c r="BN513" s="10" t="s">
        <v>278</v>
      </c>
      <c r="BO513" s="11">
        <v>45860.370833333334</v>
      </c>
      <c r="BP513" s="11">
        <v>45933.670127314814</v>
      </c>
      <c r="BQ513" s="15">
        <v>45943.631215277775</v>
      </c>
      <c r="BR513" s="15">
        <v>45945.023333333331</v>
      </c>
      <c r="BS513" s="10" t="s">
        <v>278</v>
      </c>
      <c r="BT513" s="10" t="s">
        <v>99</v>
      </c>
      <c r="BU513" s="10" t="s">
        <v>298</v>
      </c>
      <c r="BV513" s="10" t="s">
        <v>281</v>
      </c>
      <c r="BW513" s="10" t="s">
        <v>2100</v>
      </c>
      <c r="BX513" s="10"/>
      <c r="BY513" s="23"/>
      <c r="BZ513" s="24" t="s">
        <v>368</v>
      </c>
      <c r="CA513" s="19" t="s">
        <v>4376</v>
      </c>
      <c r="CB513" s="19" t="s">
        <v>4377</v>
      </c>
      <c r="CC513" s="23"/>
      <c r="CD513" s="19" t="s">
        <v>4378</v>
      </c>
      <c r="CE513" s="23"/>
      <c r="CF513" s="23"/>
      <c r="CG513" s="23"/>
      <c r="CH513" s="23"/>
      <c r="CI513" s="23"/>
    </row>
    <row r="514" spans="1:87" x14ac:dyDescent="0.3">
      <c r="A514" s="9" t="s">
        <v>4379</v>
      </c>
      <c r="B514" s="10" t="s">
        <v>4380</v>
      </c>
      <c r="C514" s="11">
        <v>45949.645833333336</v>
      </c>
      <c r="D514" s="12">
        <v>8.3333333333333329E-2</v>
      </c>
      <c r="E514" s="11">
        <v>45949.729166666664</v>
      </c>
      <c r="F514" s="10" t="s">
        <v>3511</v>
      </c>
      <c r="G514" s="13" t="b">
        <v>0</v>
      </c>
      <c r="H514" s="10" t="s">
        <v>123</v>
      </c>
      <c r="I514" s="10" t="s">
        <v>3548</v>
      </c>
      <c r="J514" s="13" t="b">
        <v>0</v>
      </c>
      <c r="K514" s="13" t="b">
        <v>1</v>
      </c>
      <c r="L514" s="10" t="s">
        <v>124</v>
      </c>
      <c r="M514" s="10" t="s">
        <v>91</v>
      </c>
      <c r="N514" s="10" t="s">
        <v>3513</v>
      </c>
      <c r="O514" s="19" t="s">
        <v>4381</v>
      </c>
      <c r="P514" s="10"/>
      <c r="Q514" s="10" t="s">
        <v>126</v>
      </c>
      <c r="R514" s="10"/>
      <c r="S514" s="19" t="s">
        <v>4382</v>
      </c>
      <c r="T514" s="19" t="s">
        <v>4332</v>
      </c>
      <c r="U514" s="10" t="s">
        <v>3535</v>
      </c>
      <c r="V514" s="10" t="s">
        <v>3676</v>
      </c>
      <c r="W514" s="10" t="s">
        <v>3519</v>
      </c>
      <c r="X514" s="10" t="s">
        <v>130</v>
      </c>
      <c r="Y514" s="10" t="s">
        <v>130</v>
      </c>
      <c r="Z514" s="10" t="s">
        <v>99</v>
      </c>
      <c r="AA514" s="10" t="s">
        <v>131</v>
      </c>
      <c r="AB514" s="10" t="s">
        <v>3520</v>
      </c>
      <c r="AC514" s="10" t="s">
        <v>3521</v>
      </c>
      <c r="AD514" s="10" t="s">
        <v>4383</v>
      </c>
      <c r="AE514" s="10" t="s">
        <v>4384</v>
      </c>
      <c r="AF514" s="15"/>
      <c r="AG514" s="10" t="s">
        <v>3524</v>
      </c>
      <c r="AH514" s="10" t="s">
        <v>3539</v>
      </c>
      <c r="AI514" s="10" t="s">
        <v>3539</v>
      </c>
      <c r="AJ514" s="10" t="s">
        <v>4385</v>
      </c>
      <c r="AK514" s="10" t="s">
        <v>102</v>
      </c>
      <c r="AL514" s="10" t="s">
        <v>205</v>
      </c>
      <c r="AM514" s="10"/>
      <c r="AN514" s="10"/>
      <c r="AO514" s="13" t="b">
        <v>0</v>
      </c>
      <c r="AP514" s="10" t="s">
        <v>104</v>
      </c>
      <c r="AQ514" s="10">
        <f ca="1">IFERROR(__xludf.DUMMYFUNCTION("""COMPUTED_VALUE"""),4653438)</f>
        <v>4653438</v>
      </c>
      <c r="AR514" s="17">
        <v>207947</v>
      </c>
      <c r="AS514" s="17">
        <v>134201</v>
      </c>
      <c r="AT514" s="17">
        <v>4068131.5</v>
      </c>
      <c r="AU514" s="17">
        <v>1783.95</v>
      </c>
      <c r="AV514" s="17">
        <v>286.60000000000002</v>
      </c>
      <c r="AW514" s="10" t="s">
        <v>105</v>
      </c>
      <c r="AX514" s="17">
        <v>45117</v>
      </c>
      <c r="AY514" s="18">
        <v>30.313719718929068</v>
      </c>
      <c r="AZ514" s="10" t="s">
        <v>185</v>
      </c>
      <c r="BA514" s="20" t="b">
        <v>0</v>
      </c>
      <c r="BB514" s="10"/>
      <c r="BC514" s="17">
        <v>207947</v>
      </c>
      <c r="BD514" s="17">
        <v>134201</v>
      </c>
      <c r="BE514" s="17">
        <v>4068131.5</v>
      </c>
      <c r="BF514" s="17">
        <v>286.60000000000002</v>
      </c>
      <c r="BG514" s="11">
        <f ca="1">IFERROR(__xludf.DUMMYFUNCTION("""COMPUTED_VALUE"""),45949.6458333333)</f>
        <v>45949.645833333299</v>
      </c>
      <c r="BH514" s="17" t="s">
        <v>105</v>
      </c>
      <c r="BI514" s="17"/>
      <c r="BJ514" s="15"/>
      <c r="BK514" s="15"/>
      <c r="BL514" s="13" t="b">
        <v>0</v>
      </c>
      <c r="BM514" s="10"/>
      <c r="BN514" s="10" t="s">
        <v>197</v>
      </c>
      <c r="BO514" s="11">
        <v>45860.370833333334</v>
      </c>
      <c r="BP514" s="11">
        <v>45945.617835648147</v>
      </c>
      <c r="BQ514" s="15">
        <v>45948.684317129628</v>
      </c>
      <c r="BR514" s="15">
        <v>45946.434918981482</v>
      </c>
      <c r="BS514" s="10" t="s">
        <v>197</v>
      </c>
      <c r="BT514" s="10" t="s">
        <v>99</v>
      </c>
      <c r="BU514" s="10" t="s">
        <v>655</v>
      </c>
      <c r="BV514" s="10" t="s">
        <v>124</v>
      </c>
      <c r="BW514" s="10"/>
      <c r="BX514" s="10"/>
      <c r="BY514" s="23"/>
      <c r="BZ514" s="24" t="s">
        <v>284</v>
      </c>
      <c r="CA514" s="19" t="s">
        <v>4386</v>
      </c>
      <c r="CB514" s="19" t="s">
        <v>4387</v>
      </c>
      <c r="CC514" s="23"/>
      <c r="CD514" s="19" t="s">
        <v>4388</v>
      </c>
      <c r="CE514" s="23"/>
      <c r="CF514" s="23"/>
      <c r="CG514" s="23"/>
      <c r="CH514" s="23"/>
      <c r="CI514" s="23"/>
    </row>
    <row r="515" spans="1:87" x14ac:dyDescent="0.3">
      <c r="A515" s="9" t="s">
        <v>4389</v>
      </c>
      <c r="B515" s="10" t="s">
        <v>4390</v>
      </c>
      <c r="C515" s="11">
        <v>45949.791666666664</v>
      </c>
      <c r="D515" s="12">
        <v>8.3333333333333329E-2</v>
      </c>
      <c r="E515" s="11">
        <v>45949.875</v>
      </c>
      <c r="F515" s="10" t="s">
        <v>3511</v>
      </c>
      <c r="G515" s="13" t="b">
        <v>0</v>
      </c>
      <c r="H515" s="10" t="s">
        <v>123</v>
      </c>
      <c r="I515" s="10" t="s">
        <v>3548</v>
      </c>
      <c r="J515" s="13" t="b">
        <v>0</v>
      </c>
      <c r="K515" s="13" t="b">
        <v>1</v>
      </c>
      <c r="L515" s="10" t="s">
        <v>124</v>
      </c>
      <c r="M515" s="10" t="s">
        <v>91</v>
      </c>
      <c r="N515" s="10" t="s">
        <v>3513</v>
      </c>
      <c r="O515" s="19" t="s">
        <v>4391</v>
      </c>
      <c r="P515" s="10"/>
      <c r="Q515" s="10" t="s">
        <v>126</v>
      </c>
      <c r="R515" s="10"/>
      <c r="S515" s="19" t="s">
        <v>4392</v>
      </c>
      <c r="T515" s="19" t="s">
        <v>4332</v>
      </c>
      <c r="U515" s="10" t="s">
        <v>3536</v>
      </c>
      <c r="V515" s="10" t="s">
        <v>3661</v>
      </c>
      <c r="W515" s="10" t="s">
        <v>3519</v>
      </c>
      <c r="X515" s="10" t="s">
        <v>130</v>
      </c>
      <c r="Y515" s="10" t="s">
        <v>130</v>
      </c>
      <c r="Z515" s="10" t="s">
        <v>99</v>
      </c>
      <c r="AA515" s="10" t="s">
        <v>131</v>
      </c>
      <c r="AB515" s="10" t="s">
        <v>3520</v>
      </c>
      <c r="AC515" s="10" t="s">
        <v>3521</v>
      </c>
      <c r="AD515" s="10" t="s">
        <v>4393</v>
      </c>
      <c r="AE515" s="10" t="s">
        <v>4394</v>
      </c>
      <c r="AF515" s="15"/>
      <c r="AG515" s="10" t="s">
        <v>3524</v>
      </c>
      <c r="AH515" s="10" t="s">
        <v>3539</v>
      </c>
      <c r="AI515" s="10" t="s">
        <v>3539</v>
      </c>
      <c r="AJ515" s="10" t="s">
        <v>4395</v>
      </c>
      <c r="AK515" s="10" t="s">
        <v>102</v>
      </c>
      <c r="AL515" s="10" t="s">
        <v>205</v>
      </c>
      <c r="AM515" s="10"/>
      <c r="AN515" s="10"/>
      <c r="AO515" s="13" t="b">
        <v>0</v>
      </c>
      <c r="AP515" s="10" t="s">
        <v>104</v>
      </c>
      <c r="AQ515" s="10">
        <f ca="1">IFERROR(__xludf.DUMMYFUNCTION("""COMPUTED_VALUE"""),4652394)</f>
        <v>4652394</v>
      </c>
      <c r="AR515" s="17">
        <v>222399</v>
      </c>
      <c r="AS515" s="17">
        <v>143084</v>
      </c>
      <c r="AT515" s="17">
        <v>3805808.5</v>
      </c>
      <c r="AU515" s="17">
        <v>1450.6</v>
      </c>
      <c r="AV515" s="17">
        <v>280.05</v>
      </c>
      <c r="AW515" s="10" t="s">
        <v>105</v>
      </c>
      <c r="AX515" s="17">
        <v>42810</v>
      </c>
      <c r="AY515" s="18">
        <v>26.598421207123089</v>
      </c>
      <c r="AZ515" s="10" t="s">
        <v>185</v>
      </c>
      <c r="BA515" s="20" t="b">
        <v>0</v>
      </c>
      <c r="BB515" s="10"/>
      <c r="BC515" s="17">
        <v>222399</v>
      </c>
      <c r="BD515" s="17">
        <v>143084</v>
      </c>
      <c r="BE515" s="17">
        <v>3805808.5</v>
      </c>
      <c r="BF515" s="17">
        <v>280.05</v>
      </c>
      <c r="BG515" s="11">
        <f ca="1">IFERROR(__xludf.DUMMYFUNCTION("""COMPUTED_VALUE"""),45949.7916666666)</f>
        <v>45949.791666666599</v>
      </c>
      <c r="BH515" s="17" t="s">
        <v>105</v>
      </c>
      <c r="BI515" s="17"/>
      <c r="BJ515" s="15"/>
      <c r="BK515" s="15"/>
      <c r="BL515" s="13" t="b">
        <v>0</v>
      </c>
      <c r="BM515" s="10"/>
      <c r="BN515" s="10" t="s">
        <v>197</v>
      </c>
      <c r="BO515" s="11">
        <v>45860.370833333334</v>
      </c>
      <c r="BP515" s="11">
        <v>45937.645300925928</v>
      </c>
      <c r="BQ515" s="15">
        <v>45948.686608796299</v>
      </c>
      <c r="BR515" s="15">
        <v>45945.024409722224</v>
      </c>
      <c r="BS515" s="10" t="s">
        <v>197</v>
      </c>
      <c r="BT515" s="10" t="s">
        <v>99</v>
      </c>
      <c r="BU515" s="10" t="s">
        <v>655</v>
      </c>
      <c r="BV515" s="10" t="s">
        <v>124</v>
      </c>
      <c r="BW515" s="10"/>
      <c r="BX515" s="10"/>
      <c r="BY515" s="23"/>
      <c r="BZ515" s="24" t="s">
        <v>284</v>
      </c>
      <c r="CA515" s="19" t="s">
        <v>4396</v>
      </c>
      <c r="CB515" s="19" t="s">
        <v>4397</v>
      </c>
      <c r="CC515" s="23"/>
      <c r="CD515" s="19" t="s">
        <v>4398</v>
      </c>
      <c r="CE515" s="23"/>
      <c r="CF515" s="23"/>
      <c r="CG515" s="23"/>
      <c r="CH515" s="23"/>
      <c r="CI515" s="23"/>
    </row>
    <row r="516" spans="1:87" x14ac:dyDescent="0.3">
      <c r="A516" s="9" t="s">
        <v>4399</v>
      </c>
      <c r="B516" s="10" t="s">
        <v>4400</v>
      </c>
      <c r="C516" s="11">
        <v>45950.645833333336</v>
      </c>
      <c r="D516" s="12">
        <v>8.3333333333333329E-2</v>
      </c>
      <c r="E516" s="11">
        <v>45950.729166666664</v>
      </c>
      <c r="F516" s="10" t="s">
        <v>3511</v>
      </c>
      <c r="G516" s="13" t="b">
        <v>0</v>
      </c>
      <c r="H516" s="10" t="s">
        <v>236</v>
      </c>
      <c r="I516" s="10" t="s">
        <v>212</v>
      </c>
      <c r="J516" s="13" t="b">
        <v>1</v>
      </c>
      <c r="K516" s="13" t="b">
        <v>1</v>
      </c>
      <c r="L516" s="10" t="s">
        <v>124</v>
      </c>
      <c r="M516" s="10" t="s">
        <v>91</v>
      </c>
      <c r="N516" s="10" t="s">
        <v>3513</v>
      </c>
      <c r="O516" s="19" t="s">
        <v>4401</v>
      </c>
      <c r="P516" s="10"/>
      <c r="Q516" s="10" t="s">
        <v>126</v>
      </c>
      <c r="R516" s="10"/>
      <c r="S516" s="19" t="s">
        <v>4402</v>
      </c>
      <c r="T516" s="19" t="s">
        <v>4332</v>
      </c>
      <c r="U516" s="10" t="s">
        <v>3610</v>
      </c>
      <c r="V516" s="10" t="s">
        <v>3518</v>
      </c>
      <c r="W516" s="10" t="s">
        <v>3519</v>
      </c>
      <c r="X516" s="10" t="s">
        <v>130</v>
      </c>
      <c r="Y516" s="10" t="s">
        <v>130</v>
      </c>
      <c r="Z516" s="10" t="s">
        <v>99</v>
      </c>
      <c r="AA516" s="10" t="s">
        <v>131</v>
      </c>
      <c r="AB516" s="10" t="s">
        <v>3520</v>
      </c>
      <c r="AC516" s="10" t="s">
        <v>3521</v>
      </c>
      <c r="AD516" s="10" t="s">
        <v>4403</v>
      </c>
      <c r="AE516" s="10" t="s">
        <v>4404</v>
      </c>
      <c r="AF516" s="15"/>
      <c r="AG516" s="10" t="s">
        <v>3524</v>
      </c>
      <c r="AH516" s="10" t="s">
        <v>3539</v>
      </c>
      <c r="AI516" s="10" t="s">
        <v>3539</v>
      </c>
      <c r="AJ516" s="10" t="s">
        <v>4405</v>
      </c>
      <c r="AK516" s="10" t="s">
        <v>102</v>
      </c>
      <c r="AL516" s="10" t="s">
        <v>205</v>
      </c>
      <c r="AM516" s="10"/>
      <c r="AN516" s="10"/>
      <c r="AO516" s="13" t="b">
        <v>0</v>
      </c>
      <c r="AP516" s="10" t="s">
        <v>104</v>
      </c>
      <c r="AQ516" s="10">
        <f ca="1">IFERROR(__xludf.DUMMYFUNCTION("""COMPUTED_VALUE"""),4660726)</f>
        <v>4660726</v>
      </c>
      <c r="AR516" s="17">
        <v>152444</v>
      </c>
      <c r="AS516" s="17">
        <v>99097</v>
      </c>
      <c r="AT516" s="17">
        <v>3733258</v>
      </c>
      <c r="AU516" s="17">
        <v>421.4</v>
      </c>
      <c r="AV516" s="17">
        <v>42.65</v>
      </c>
      <c r="AW516" s="10" t="s">
        <v>105</v>
      </c>
      <c r="AX516" s="17">
        <v>37456</v>
      </c>
      <c r="AY516" s="18">
        <v>37.672765068569177</v>
      </c>
      <c r="AZ516" s="10" t="s">
        <v>185</v>
      </c>
      <c r="BA516" s="20" t="b">
        <v>0</v>
      </c>
      <c r="BB516" s="10"/>
      <c r="BC516" s="17">
        <v>152444</v>
      </c>
      <c r="BD516" s="17">
        <v>99097</v>
      </c>
      <c r="BE516" s="17">
        <v>3733258</v>
      </c>
      <c r="BF516" s="17">
        <v>42.65</v>
      </c>
      <c r="BG516" s="11">
        <f ca="1">IFERROR(__xludf.DUMMYFUNCTION("""COMPUTED_VALUE"""),45950.6458333333)</f>
        <v>45950.645833333299</v>
      </c>
      <c r="BH516" s="17" t="s">
        <v>105</v>
      </c>
      <c r="BI516" s="17"/>
      <c r="BJ516" s="15"/>
      <c r="BK516" s="15"/>
      <c r="BL516" s="13" t="b">
        <v>0</v>
      </c>
      <c r="BM516" s="10"/>
      <c r="BN516" s="10" t="s">
        <v>197</v>
      </c>
      <c r="BO516" s="11">
        <v>45860.370833333334</v>
      </c>
      <c r="BP516" s="11">
        <v>45937.648194444446</v>
      </c>
      <c r="BQ516" s="15">
        <v>45948.68546296296</v>
      </c>
      <c r="BR516" s="15">
        <v>45949.843807870369</v>
      </c>
      <c r="BS516" s="10" t="s">
        <v>197</v>
      </c>
      <c r="BT516" s="10" t="s">
        <v>99</v>
      </c>
      <c r="BU516" s="10" t="s">
        <v>498</v>
      </c>
      <c r="BV516" s="10"/>
      <c r="BW516" s="10"/>
      <c r="BX516" s="10"/>
      <c r="BY516" s="23"/>
      <c r="BZ516" s="24" t="s">
        <v>299</v>
      </c>
      <c r="CA516" s="19" t="s">
        <v>4406</v>
      </c>
      <c r="CB516" s="19" t="s">
        <v>4407</v>
      </c>
      <c r="CC516" s="23"/>
      <c r="CD516" s="19" t="s">
        <v>4408</v>
      </c>
      <c r="CE516" s="23"/>
      <c r="CF516" s="23"/>
      <c r="CG516" s="23"/>
      <c r="CH516" s="23"/>
      <c r="CI516" s="23"/>
    </row>
    <row r="517" spans="1:87" x14ac:dyDescent="0.3">
      <c r="A517" s="9" t="s">
        <v>4409</v>
      </c>
      <c r="B517" s="10" t="s">
        <v>4410</v>
      </c>
      <c r="C517" s="11">
        <v>45950.791666666664</v>
      </c>
      <c r="D517" s="12">
        <v>8.3333333333333329E-2</v>
      </c>
      <c r="E517" s="11">
        <v>45950.875</v>
      </c>
      <c r="F517" s="10" t="s">
        <v>3511</v>
      </c>
      <c r="G517" s="13" t="b">
        <v>0</v>
      </c>
      <c r="H517" s="10" t="s">
        <v>236</v>
      </c>
      <c r="I517" s="10" t="s">
        <v>212</v>
      </c>
      <c r="J517" s="13" t="b">
        <v>1</v>
      </c>
      <c r="K517" s="13" t="b">
        <v>1</v>
      </c>
      <c r="L517" s="10" t="s">
        <v>124</v>
      </c>
      <c r="M517" s="10" t="s">
        <v>91</v>
      </c>
      <c r="N517" s="10" t="s">
        <v>3513</v>
      </c>
      <c r="O517" s="19" t="s">
        <v>4411</v>
      </c>
      <c r="P517" s="10"/>
      <c r="Q517" s="10" t="s">
        <v>126</v>
      </c>
      <c r="R517" s="10"/>
      <c r="S517" s="19" t="s">
        <v>4412</v>
      </c>
      <c r="T517" s="19" t="s">
        <v>4332</v>
      </c>
      <c r="U517" s="10" t="s">
        <v>3636</v>
      </c>
      <c r="V517" s="10" t="s">
        <v>3623</v>
      </c>
      <c r="W517" s="10" t="s">
        <v>3519</v>
      </c>
      <c r="X517" s="10" t="s">
        <v>130</v>
      </c>
      <c r="Y517" s="10" t="s">
        <v>130</v>
      </c>
      <c r="Z517" s="10" t="s">
        <v>99</v>
      </c>
      <c r="AA517" s="10" t="s">
        <v>131</v>
      </c>
      <c r="AB517" s="10" t="s">
        <v>3520</v>
      </c>
      <c r="AC517" s="10" t="s">
        <v>3521</v>
      </c>
      <c r="AD517" s="10" t="s">
        <v>4413</v>
      </c>
      <c r="AE517" s="10" t="s">
        <v>4414</v>
      </c>
      <c r="AF517" s="15"/>
      <c r="AG517" s="10" t="s">
        <v>3524</v>
      </c>
      <c r="AH517" s="10" t="s">
        <v>3539</v>
      </c>
      <c r="AI517" s="10" t="s">
        <v>3539</v>
      </c>
      <c r="AJ517" s="10" t="s">
        <v>4415</v>
      </c>
      <c r="AK517" s="10" t="s">
        <v>102</v>
      </c>
      <c r="AL517" s="10" t="s">
        <v>205</v>
      </c>
      <c r="AM517" s="10"/>
      <c r="AN517" s="10"/>
      <c r="AO517" s="13" t="b">
        <v>0</v>
      </c>
      <c r="AP517" s="10" t="s">
        <v>104</v>
      </c>
      <c r="AQ517" s="10">
        <f ca="1">IFERROR(__xludf.DUMMYFUNCTION("""COMPUTED_VALUE"""),4660727)</f>
        <v>4660727</v>
      </c>
      <c r="AR517" s="17">
        <v>286895</v>
      </c>
      <c r="AS517" s="17">
        <v>185519</v>
      </c>
      <c r="AT517" s="17">
        <v>5286759.5</v>
      </c>
      <c r="AU517" s="17">
        <v>779.45</v>
      </c>
      <c r="AV517" s="17">
        <v>79.349999999999994</v>
      </c>
      <c r="AW517" s="10" t="s">
        <v>105</v>
      </c>
      <c r="AX517" s="17">
        <v>58583</v>
      </c>
      <c r="AY517" s="18">
        <v>28.497132369191295</v>
      </c>
      <c r="AZ517" s="10" t="s">
        <v>185</v>
      </c>
      <c r="BA517" s="20" t="b">
        <v>0</v>
      </c>
      <c r="BB517" s="10"/>
      <c r="BC517" s="17">
        <v>286895</v>
      </c>
      <c r="BD517" s="17">
        <v>185519</v>
      </c>
      <c r="BE517" s="17">
        <v>5286759.5</v>
      </c>
      <c r="BF517" s="17">
        <v>79.349999999999994</v>
      </c>
      <c r="BG517" s="11">
        <f ca="1">IFERROR(__xludf.DUMMYFUNCTION("""COMPUTED_VALUE"""),45950.7916666666)</f>
        <v>45950.791666666599</v>
      </c>
      <c r="BH517" s="17" t="s">
        <v>105</v>
      </c>
      <c r="BI517" s="17"/>
      <c r="BJ517" s="15"/>
      <c r="BK517" s="15"/>
      <c r="BL517" s="13" t="b">
        <v>0</v>
      </c>
      <c r="BM517" s="10"/>
      <c r="BN517" s="10" t="s">
        <v>197</v>
      </c>
      <c r="BO517" s="11">
        <v>45860.370833333334</v>
      </c>
      <c r="BP517" s="11">
        <v>45937.650914351849</v>
      </c>
      <c r="BQ517" s="15">
        <v>45948.685717592591</v>
      </c>
      <c r="BR517" s="15">
        <v>45949.843993055554</v>
      </c>
      <c r="BS517" s="10" t="s">
        <v>197</v>
      </c>
      <c r="BT517" s="10" t="s">
        <v>99</v>
      </c>
      <c r="BU517" s="10" t="s">
        <v>498</v>
      </c>
      <c r="BV517" s="10"/>
      <c r="BW517" s="10"/>
      <c r="BX517" s="10"/>
      <c r="BY517" s="23"/>
      <c r="BZ517" s="24" t="s">
        <v>284</v>
      </c>
      <c r="CA517" s="19" t="s">
        <v>4416</v>
      </c>
      <c r="CB517" s="19" t="s">
        <v>4417</v>
      </c>
      <c r="CC517" s="23"/>
      <c r="CD517" s="19" t="s">
        <v>4418</v>
      </c>
      <c r="CE517" s="23"/>
      <c r="CF517" s="23"/>
      <c r="CG517" s="23"/>
      <c r="CH517" s="23"/>
      <c r="CI517" s="23"/>
    </row>
    <row r="518" spans="1:87" x14ac:dyDescent="0.3">
      <c r="A518" s="9" t="s">
        <v>4419</v>
      </c>
      <c r="B518" s="10" t="s">
        <v>4420</v>
      </c>
      <c r="C518" s="11">
        <v>45952.645833333336</v>
      </c>
      <c r="D518" s="12">
        <v>8.3333333333333329E-2</v>
      </c>
      <c r="E518" s="11">
        <v>45952.729166666664</v>
      </c>
      <c r="F518" s="10" t="s">
        <v>3511</v>
      </c>
      <c r="G518" s="13" t="b">
        <v>0</v>
      </c>
      <c r="H518" s="10" t="s">
        <v>123</v>
      </c>
      <c r="I518" s="10" t="s">
        <v>3548</v>
      </c>
      <c r="J518" s="13" t="b">
        <v>0</v>
      </c>
      <c r="K518" s="13" t="b">
        <v>1</v>
      </c>
      <c r="L518" s="10" t="s">
        <v>124</v>
      </c>
      <c r="M518" s="10" t="s">
        <v>91</v>
      </c>
      <c r="N518" s="10" t="s">
        <v>3513</v>
      </c>
      <c r="O518" s="19" t="s">
        <v>4421</v>
      </c>
      <c r="P518" s="10"/>
      <c r="Q518" s="10" t="s">
        <v>126</v>
      </c>
      <c r="R518" s="10"/>
      <c r="S518" s="19" t="s">
        <v>4422</v>
      </c>
      <c r="T518" s="10"/>
      <c r="U518" s="10" t="s">
        <v>3552</v>
      </c>
      <c r="V518" s="10" t="s">
        <v>3622</v>
      </c>
      <c r="W518" s="10" t="s">
        <v>3519</v>
      </c>
      <c r="X518" s="10" t="s">
        <v>130</v>
      </c>
      <c r="Y518" s="10" t="s">
        <v>130</v>
      </c>
      <c r="Z518" s="10" t="s">
        <v>99</v>
      </c>
      <c r="AA518" s="10" t="s">
        <v>131</v>
      </c>
      <c r="AB518" s="10" t="s">
        <v>3520</v>
      </c>
      <c r="AC518" s="10" t="s">
        <v>3521</v>
      </c>
      <c r="AD518" s="10" t="s">
        <v>4423</v>
      </c>
      <c r="AE518" s="10" t="s">
        <v>4424</v>
      </c>
      <c r="AF518" s="15"/>
      <c r="AG518" s="10" t="s">
        <v>3524</v>
      </c>
      <c r="AH518" s="10" t="s">
        <v>3539</v>
      </c>
      <c r="AI518" s="10" t="s">
        <v>3539</v>
      </c>
      <c r="AJ518" s="10" t="s">
        <v>4425</v>
      </c>
      <c r="AK518" s="10" t="s">
        <v>102</v>
      </c>
      <c r="AL518" s="10" t="s">
        <v>1252</v>
      </c>
      <c r="AM518" s="10"/>
      <c r="AN518" s="10"/>
      <c r="AO518" s="13" t="b">
        <v>0</v>
      </c>
      <c r="AP518" s="10" t="s">
        <v>104</v>
      </c>
      <c r="AQ518" s="10">
        <f ca="1">IFERROR(__xludf.DUMMYFUNCTION("""COMPUTED_VALUE"""),4665765)</f>
        <v>4665765</v>
      </c>
      <c r="AR518" s="17">
        <v>167661</v>
      </c>
      <c r="AS518" s="17">
        <v>113486</v>
      </c>
      <c r="AT518" s="17">
        <v>2773123.75</v>
      </c>
      <c r="AU518" s="17">
        <v>1249.2</v>
      </c>
      <c r="AV518" s="17">
        <v>180</v>
      </c>
      <c r="AW518" s="10" t="s">
        <v>105</v>
      </c>
      <c r="AX518" s="17">
        <v>34542</v>
      </c>
      <c r="AY518" s="18">
        <v>24.435822480305941</v>
      </c>
      <c r="AZ518" s="10"/>
      <c r="BA518" s="20" t="b">
        <v>0</v>
      </c>
      <c r="BB518" s="10"/>
      <c r="BC518" s="17">
        <v>167661</v>
      </c>
      <c r="BD518" s="17">
        <v>113486</v>
      </c>
      <c r="BE518" s="17">
        <v>2773123.75</v>
      </c>
      <c r="BF518" s="17">
        <v>180</v>
      </c>
      <c r="BG518" s="11">
        <f ca="1">IFERROR(__xludf.DUMMYFUNCTION("""COMPUTED_VALUE"""),45952.6458333333)</f>
        <v>45952.645833333299</v>
      </c>
      <c r="BH518" s="17" t="s">
        <v>105</v>
      </c>
      <c r="BI518" s="17"/>
      <c r="BJ518" s="15"/>
      <c r="BK518" s="15"/>
      <c r="BL518" s="13" t="b">
        <v>0</v>
      </c>
      <c r="BM518" s="10"/>
      <c r="BN518" s="10" t="s">
        <v>118</v>
      </c>
      <c r="BO518" s="11">
        <v>45860.370833333334</v>
      </c>
      <c r="BP518" s="11">
        <v>45946.837939814817</v>
      </c>
      <c r="BQ518" s="15">
        <v>45951.604837962965</v>
      </c>
      <c r="BR518" s="15">
        <v>45951.749837962961</v>
      </c>
      <c r="BS518" s="10" t="s">
        <v>118</v>
      </c>
      <c r="BT518" s="10"/>
      <c r="BU518" s="10"/>
      <c r="BV518" s="10"/>
      <c r="BW518" s="10"/>
      <c r="BX518" s="10"/>
      <c r="BY518" s="23"/>
      <c r="BZ518" s="24" t="s">
        <v>284</v>
      </c>
      <c r="CA518" s="19" t="s">
        <v>4426</v>
      </c>
      <c r="CB518" s="23"/>
      <c r="CC518" s="23"/>
      <c r="CD518" s="19" t="s">
        <v>4427</v>
      </c>
      <c r="CE518" s="23"/>
      <c r="CF518" s="23"/>
      <c r="CG518" s="23"/>
      <c r="CH518" s="23"/>
      <c r="CI518" s="23"/>
    </row>
    <row r="519" spans="1:87" x14ac:dyDescent="0.3">
      <c r="A519" s="9" t="s">
        <v>4428</v>
      </c>
      <c r="B519" s="10" t="s">
        <v>4429</v>
      </c>
      <c r="C519" s="11">
        <v>45954.645833333336</v>
      </c>
      <c r="D519" s="12">
        <v>8.3333333333333329E-2</v>
      </c>
      <c r="E519" s="11">
        <v>45954.729166666664</v>
      </c>
      <c r="F519" s="10" t="s">
        <v>3511</v>
      </c>
      <c r="G519" s="13" t="b">
        <v>0</v>
      </c>
      <c r="H519" s="10" t="s">
        <v>123</v>
      </c>
      <c r="I519" s="10" t="s">
        <v>3548</v>
      </c>
      <c r="J519" s="13" t="b">
        <v>0</v>
      </c>
      <c r="K519" s="13" t="b">
        <v>1</v>
      </c>
      <c r="L519" s="10" t="s">
        <v>124</v>
      </c>
      <c r="M519" s="10" t="s">
        <v>91</v>
      </c>
      <c r="N519" s="10" t="s">
        <v>3513</v>
      </c>
      <c r="O519" s="19" t="s">
        <v>4430</v>
      </c>
      <c r="P519" s="10"/>
      <c r="Q519" s="10" t="s">
        <v>126</v>
      </c>
      <c r="R519" s="10"/>
      <c r="S519" s="19" t="s">
        <v>4431</v>
      </c>
      <c r="T519" s="19" t="s">
        <v>4432</v>
      </c>
      <c r="U519" s="10" t="s">
        <v>3677</v>
      </c>
      <c r="V519" s="10" t="s">
        <v>3551</v>
      </c>
      <c r="W519" s="10" t="s">
        <v>3519</v>
      </c>
      <c r="X519" s="10" t="s">
        <v>130</v>
      </c>
      <c r="Y519" s="10" t="s">
        <v>130</v>
      </c>
      <c r="Z519" s="10" t="s">
        <v>99</v>
      </c>
      <c r="AA519" s="10" t="s">
        <v>131</v>
      </c>
      <c r="AB519" s="10" t="s">
        <v>3520</v>
      </c>
      <c r="AC519" s="10" t="s">
        <v>3521</v>
      </c>
      <c r="AD519" s="10" t="s">
        <v>4433</v>
      </c>
      <c r="AE519" s="10" t="s">
        <v>4434</v>
      </c>
      <c r="AF519" s="15"/>
      <c r="AG519" s="10" t="s">
        <v>3524</v>
      </c>
      <c r="AH519" s="10" t="s">
        <v>3539</v>
      </c>
      <c r="AI519" s="10" t="s">
        <v>3539</v>
      </c>
      <c r="AJ519" s="10" t="s">
        <v>4435</v>
      </c>
      <c r="AK519" s="10" t="s">
        <v>102</v>
      </c>
      <c r="AL519" s="10" t="s">
        <v>1252</v>
      </c>
      <c r="AM519" s="10"/>
      <c r="AN519" s="10"/>
      <c r="AO519" s="13" t="b">
        <v>1</v>
      </c>
      <c r="AP519" s="10" t="s">
        <v>104</v>
      </c>
      <c r="AQ519" s="10">
        <f ca="1">IFERROR(__xludf.DUMMYFUNCTION("""COMPUTED_VALUE"""),4667499)</f>
        <v>4667499</v>
      </c>
      <c r="AR519" s="17">
        <v>223100</v>
      </c>
      <c r="AS519" s="17">
        <v>139721</v>
      </c>
      <c r="AT519" s="17">
        <v>4017364.75</v>
      </c>
      <c r="AU519" s="17">
        <v>1792.65</v>
      </c>
      <c r="AV519" s="17">
        <v>242.8</v>
      </c>
      <c r="AW519" s="10" t="s">
        <v>105</v>
      </c>
      <c r="AX519" s="17">
        <v>53035</v>
      </c>
      <c r="AY519" s="18">
        <v>28.752762648420781</v>
      </c>
      <c r="AZ519" s="10"/>
      <c r="BA519" s="20" t="b">
        <v>0</v>
      </c>
      <c r="BB519" s="10"/>
      <c r="BC519" s="17">
        <v>223100</v>
      </c>
      <c r="BD519" s="17">
        <v>139721</v>
      </c>
      <c r="BE519" s="17">
        <v>4017364.75</v>
      </c>
      <c r="BF519" s="17">
        <v>242.8</v>
      </c>
      <c r="BG519" s="11">
        <f ca="1">IFERROR(__xludf.DUMMYFUNCTION("""COMPUTED_VALUE"""),45954.6458333333)</f>
        <v>45954.645833333299</v>
      </c>
      <c r="BH519" s="17" t="s">
        <v>105</v>
      </c>
      <c r="BI519" s="17"/>
      <c r="BJ519" s="15"/>
      <c r="BK519" s="15"/>
      <c r="BL519" s="13" t="b">
        <v>0</v>
      </c>
      <c r="BM519" s="10"/>
      <c r="BN519" s="10" t="s">
        <v>137</v>
      </c>
      <c r="BO519" s="11">
        <v>45860.370833333334</v>
      </c>
      <c r="BP519" s="11">
        <v>45946.845902777779</v>
      </c>
      <c r="BQ519" s="15">
        <v>45953.633379629631</v>
      </c>
      <c r="BR519" s="15">
        <v>45953.661898148152</v>
      </c>
      <c r="BS519" s="10" t="s">
        <v>137</v>
      </c>
      <c r="BT519" s="10"/>
      <c r="BU519" s="10"/>
      <c r="BV519" s="10"/>
      <c r="BW519" s="10"/>
      <c r="BX519" s="10"/>
      <c r="BY519" s="23"/>
      <c r="BZ519" s="24" t="s">
        <v>284</v>
      </c>
      <c r="CA519" s="19" t="s">
        <v>4436</v>
      </c>
      <c r="CB519" s="19" t="s">
        <v>4437</v>
      </c>
      <c r="CC519" s="23"/>
      <c r="CD519" s="19" t="s">
        <v>4438</v>
      </c>
      <c r="CE519" s="23"/>
      <c r="CF519" s="23"/>
      <c r="CG519" s="23"/>
      <c r="CH519" s="23"/>
      <c r="CI519" s="23"/>
    </row>
    <row r="520" spans="1:87" x14ac:dyDescent="0.3">
      <c r="A520" s="9" t="s">
        <v>4439</v>
      </c>
      <c r="B520" s="10" t="s">
        <v>4440</v>
      </c>
      <c r="C520" s="11">
        <v>45954.791666666664</v>
      </c>
      <c r="D520" s="12">
        <v>8.3333333333333329E-2</v>
      </c>
      <c r="E520" s="11">
        <v>45954.875</v>
      </c>
      <c r="F520" s="10" t="s">
        <v>3511</v>
      </c>
      <c r="G520" s="13" t="b">
        <v>0</v>
      </c>
      <c r="H520" s="10" t="s">
        <v>123</v>
      </c>
      <c r="I520" s="10" t="s">
        <v>3548</v>
      </c>
      <c r="J520" s="13" t="b">
        <v>0</v>
      </c>
      <c r="K520" s="13" t="b">
        <v>1</v>
      </c>
      <c r="L520" s="10" t="s">
        <v>124</v>
      </c>
      <c r="M520" s="10" t="s">
        <v>91</v>
      </c>
      <c r="N520" s="10" t="s">
        <v>3513</v>
      </c>
      <c r="O520" s="19" t="s">
        <v>4441</v>
      </c>
      <c r="P520" s="10"/>
      <c r="Q520" s="10" t="s">
        <v>126</v>
      </c>
      <c r="R520" s="10"/>
      <c r="S520" s="19" t="s">
        <v>4442</v>
      </c>
      <c r="T520" s="19" t="s">
        <v>4432</v>
      </c>
      <c r="U520" s="10" t="s">
        <v>3635</v>
      </c>
      <c r="V520" s="10" t="s">
        <v>3647</v>
      </c>
      <c r="W520" s="10" t="s">
        <v>3519</v>
      </c>
      <c r="X520" s="10" t="s">
        <v>130</v>
      </c>
      <c r="Y520" s="10" t="s">
        <v>130</v>
      </c>
      <c r="Z520" s="10" t="s">
        <v>99</v>
      </c>
      <c r="AA520" s="10" t="s">
        <v>131</v>
      </c>
      <c r="AB520" s="10" t="s">
        <v>3520</v>
      </c>
      <c r="AC520" s="10" t="s">
        <v>3521</v>
      </c>
      <c r="AD520" s="10" t="s">
        <v>4443</v>
      </c>
      <c r="AE520" s="10" t="s">
        <v>4444</v>
      </c>
      <c r="AF520" s="15"/>
      <c r="AG520" s="10" t="s">
        <v>3524</v>
      </c>
      <c r="AH520" s="10" t="s">
        <v>3539</v>
      </c>
      <c r="AI520" s="10" t="s">
        <v>3539</v>
      </c>
      <c r="AJ520" s="10" t="s">
        <v>4445</v>
      </c>
      <c r="AK520" s="10" t="s">
        <v>102</v>
      </c>
      <c r="AL520" s="10" t="s">
        <v>1252</v>
      </c>
      <c r="AM520" s="10"/>
      <c r="AN520" s="10"/>
      <c r="AO520" s="13" t="b">
        <v>1</v>
      </c>
      <c r="AP520" s="10" t="s">
        <v>104</v>
      </c>
      <c r="AQ520" s="10">
        <f ca="1">IFERROR(__xludf.DUMMYFUNCTION("""COMPUTED_VALUE"""),4667500)</f>
        <v>4667500</v>
      </c>
      <c r="AR520" s="17">
        <v>326212</v>
      </c>
      <c r="AS520" s="17">
        <v>157519</v>
      </c>
      <c r="AT520" s="17">
        <v>6651091.5</v>
      </c>
      <c r="AU520" s="17">
        <v>3640.55</v>
      </c>
      <c r="AV520" s="17">
        <v>649.65</v>
      </c>
      <c r="AW520" s="10" t="s">
        <v>105</v>
      </c>
      <c r="AX520" s="17">
        <v>77476</v>
      </c>
      <c r="AY520" s="18">
        <v>42.224058684984037</v>
      </c>
      <c r="AZ520" s="10"/>
      <c r="BA520" s="20" t="b">
        <v>0</v>
      </c>
      <c r="BB520" s="10"/>
      <c r="BC520" s="17">
        <v>326212</v>
      </c>
      <c r="BD520" s="17">
        <v>157519</v>
      </c>
      <c r="BE520" s="17">
        <v>6651091.5</v>
      </c>
      <c r="BF520" s="17">
        <v>649.65</v>
      </c>
      <c r="BG520" s="11">
        <f ca="1">IFERROR(__xludf.DUMMYFUNCTION("""COMPUTED_VALUE"""),45954.7916666666)</f>
        <v>45954.791666666599</v>
      </c>
      <c r="BH520" s="17" t="s">
        <v>105</v>
      </c>
      <c r="BI520" s="17"/>
      <c r="BJ520" s="15"/>
      <c r="BK520" s="15"/>
      <c r="BL520" s="13" t="b">
        <v>0</v>
      </c>
      <c r="BM520" s="10"/>
      <c r="BN520" s="10" t="s">
        <v>137</v>
      </c>
      <c r="BO520" s="11">
        <v>45860.370833333334</v>
      </c>
      <c r="BP520" s="11">
        <v>45946.847314814811</v>
      </c>
      <c r="BQ520" s="15">
        <v>45953.633437500001</v>
      </c>
      <c r="BR520" s="15">
        <v>45953.662210648145</v>
      </c>
      <c r="BS520" s="10" t="s">
        <v>137</v>
      </c>
      <c r="BT520" s="10"/>
      <c r="BU520" s="10"/>
      <c r="BV520" s="10"/>
      <c r="BW520" s="10"/>
      <c r="BX520" s="10"/>
      <c r="BY520" s="23"/>
      <c r="BZ520" s="24" t="s">
        <v>284</v>
      </c>
      <c r="CA520" s="19" t="s">
        <v>4446</v>
      </c>
      <c r="CB520" s="19" t="s">
        <v>4447</v>
      </c>
      <c r="CC520" s="23"/>
      <c r="CD520" s="19" t="s">
        <v>4448</v>
      </c>
      <c r="CE520" s="23"/>
      <c r="CF520" s="23"/>
      <c r="CG520" s="23"/>
      <c r="CH520" s="23"/>
      <c r="CI520" s="23"/>
    </row>
    <row r="521" spans="1:87" x14ac:dyDescent="0.3">
      <c r="A521" s="9" t="s">
        <v>4449</v>
      </c>
      <c r="B521" s="10" t="s">
        <v>4450</v>
      </c>
      <c r="C521" s="11">
        <v>45955.645833333336</v>
      </c>
      <c r="D521" s="12">
        <v>8.3333333333333329E-2</v>
      </c>
      <c r="E521" s="11">
        <v>45955.729166666664</v>
      </c>
      <c r="F521" s="10" t="s">
        <v>3511</v>
      </c>
      <c r="G521" s="13" t="b">
        <v>0</v>
      </c>
      <c r="H521" s="10" t="s">
        <v>236</v>
      </c>
      <c r="I521" s="10" t="s">
        <v>212</v>
      </c>
      <c r="J521" s="13" t="b">
        <v>1</v>
      </c>
      <c r="K521" s="13" t="b">
        <v>1</v>
      </c>
      <c r="L521" s="10" t="s">
        <v>124</v>
      </c>
      <c r="M521" s="10" t="s">
        <v>91</v>
      </c>
      <c r="N521" s="10" t="s">
        <v>3513</v>
      </c>
      <c r="O521" s="19" t="s">
        <v>4451</v>
      </c>
      <c r="P521" s="10"/>
      <c r="Q521" s="10" t="s">
        <v>126</v>
      </c>
      <c r="R521" s="10"/>
      <c r="S521" s="19" t="s">
        <v>4452</v>
      </c>
      <c r="T521" s="19" t="s">
        <v>4432</v>
      </c>
      <c r="U521" s="10" t="s">
        <v>3662</v>
      </c>
      <c r="V521" s="10" t="s">
        <v>3535</v>
      </c>
      <c r="W521" s="10" t="s">
        <v>3519</v>
      </c>
      <c r="X521" s="10" t="s">
        <v>130</v>
      </c>
      <c r="Y521" s="10" t="s">
        <v>130</v>
      </c>
      <c r="Z521" s="10" t="s">
        <v>99</v>
      </c>
      <c r="AA521" s="10" t="s">
        <v>131</v>
      </c>
      <c r="AB521" s="10" t="s">
        <v>3520</v>
      </c>
      <c r="AC521" s="10" t="s">
        <v>3521</v>
      </c>
      <c r="AD521" s="10" t="s">
        <v>4453</v>
      </c>
      <c r="AE521" s="10" t="s">
        <v>4454</v>
      </c>
      <c r="AF521" s="15"/>
      <c r="AG521" s="10" t="s">
        <v>3524</v>
      </c>
      <c r="AH521" s="10" t="s">
        <v>3539</v>
      </c>
      <c r="AI521" s="10" t="s">
        <v>3539</v>
      </c>
      <c r="AJ521" s="10" t="s">
        <v>4455</v>
      </c>
      <c r="AK521" s="10" t="s">
        <v>102</v>
      </c>
      <c r="AL521" s="10" t="s">
        <v>1252</v>
      </c>
      <c r="AM521" s="10"/>
      <c r="AN521" s="10"/>
      <c r="AO521" s="13" t="b">
        <v>0</v>
      </c>
      <c r="AP521" s="10" t="s">
        <v>104</v>
      </c>
      <c r="AQ521" s="10">
        <f ca="1">IFERROR(__xludf.DUMMYFUNCTION("""COMPUTED_VALUE"""),4667503)</f>
        <v>4667503</v>
      </c>
      <c r="AR521" s="17">
        <v>215026</v>
      </c>
      <c r="AS521" s="17">
        <v>130422</v>
      </c>
      <c r="AT521" s="17">
        <v>4778380.75</v>
      </c>
      <c r="AU521" s="17">
        <v>686.85</v>
      </c>
      <c r="AV521" s="17">
        <v>75.400000000000006</v>
      </c>
      <c r="AW521" s="10" t="s">
        <v>105</v>
      </c>
      <c r="AX521" s="17">
        <v>53383</v>
      </c>
      <c r="AY521" s="18">
        <v>36.637842925273347</v>
      </c>
      <c r="AZ521" s="10"/>
      <c r="BA521" s="20" t="b">
        <v>0</v>
      </c>
      <c r="BB521" s="10"/>
      <c r="BC521" s="17">
        <v>215026</v>
      </c>
      <c r="BD521" s="17">
        <v>130422</v>
      </c>
      <c r="BE521" s="17">
        <v>4778380.75</v>
      </c>
      <c r="BF521" s="17">
        <v>75.400000000000006</v>
      </c>
      <c r="BG521" s="11">
        <f ca="1">IFERROR(__xludf.DUMMYFUNCTION("""COMPUTED_VALUE"""),45955.6458333333)</f>
        <v>45955.645833333299</v>
      </c>
      <c r="BH521" s="17" t="s">
        <v>105</v>
      </c>
      <c r="BI521" s="17"/>
      <c r="BJ521" s="15"/>
      <c r="BK521" s="15"/>
      <c r="BL521" s="13" t="b">
        <v>0</v>
      </c>
      <c r="BM521" s="10"/>
      <c r="BN521" s="10" t="s">
        <v>3527</v>
      </c>
      <c r="BO521" s="11">
        <v>45860.370833333334</v>
      </c>
      <c r="BP521" s="11">
        <v>45946.84883101852</v>
      </c>
      <c r="BQ521" s="15">
        <v>45953.63349537037</v>
      </c>
      <c r="BR521" s="15">
        <v>45953.662523148145</v>
      </c>
      <c r="BS521" s="10"/>
      <c r="BT521" s="10"/>
      <c r="BU521" s="10"/>
      <c r="BV521" s="10"/>
      <c r="BW521" s="10"/>
      <c r="BX521" s="10"/>
      <c r="BY521" s="23"/>
      <c r="BZ521" s="24" t="s">
        <v>284</v>
      </c>
      <c r="CA521" s="19" t="s">
        <v>4456</v>
      </c>
      <c r="CB521" s="19" t="s">
        <v>4457</v>
      </c>
      <c r="CC521" s="23"/>
      <c r="CD521" s="19" t="s">
        <v>4458</v>
      </c>
      <c r="CE521" s="23"/>
      <c r="CF521" s="23"/>
      <c r="CG521" s="23"/>
      <c r="CH521" s="23"/>
      <c r="CI521" s="23"/>
    </row>
    <row r="522" spans="1:87" x14ac:dyDescent="0.3">
      <c r="A522" s="9" t="s">
        <v>4459</v>
      </c>
      <c r="B522" s="10" t="s">
        <v>4460</v>
      </c>
      <c r="C522" s="11">
        <v>45955.791666666664</v>
      </c>
      <c r="D522" s="12">
        <v>8.3333333333333329E-2</v>
      </c>
      <c r="E522" s="11">
        <v>45955.875</v>
      </c>
      <c r="F522" s="10" t="s">
        <v>3511</v>
      </c>
      <c r="G522" s="13" t="b">
        <v>0</v>
      </c>
      <c r="H522" s="10" t="s">
        <v>123</v>
      </c>
      <c r="I522" s="10" t="s">
        <v>3548</v>
      </c>
      <c r="J522" s="13" t="b">
        <v>0</v>
      </c>
      <c r="K522" s="13" t="b">
        <v>1</v>
      </c>
      <c r="L522" s="10" t="s">
        <v>124</v>
      </c>
      <c r="M522" s="10" t="s">
        <v>91</v>
      </c>
      <c r="N522" s="10" t="s">
        <v>3513</v>
      </c>
      <c r="O522" s="19" t="s">
        <v>4461</v>
      </c>
      <c r="P522" s="10"/>
      <c r="Q522" s="10" t="s">
        <v>126</v>
      </c>
      <c r="R522" s="10"/>
      <c r="S522" s="19" t="s">
        <v>4462</v>
      </c>
      <c r="T522" s="19" t="s">
        <v>4432</v>
      </c>
      <c r="U522" s="10" t="s">
        <v>3661</v>
      </c>
      <c r="V522" s="10" t="s">
        <v>3648</v>
      </c>
      <c r="W522" s="10" t="s">
        <v>3519</v>
      </c>
      <c r="X522" s="10" t="s">
        <v>130</v>
      </c>
      <c r="Y522" s="10" t="s">
        <v>130</v>
      </c>
      <c r="Z522" s="10" t="s">
        <v>99</v>
      </c>
      <c r="AA522" s="10" t="s">
        <v>131</v>
      </c>
      <c r="AB522" s="10" t="s">
        <v>3520</v>
      </c>
      <c r="AC522" s="10" t="s">
        <v>3521</v>
      </c>
      <c r="AD522" s="10" t="s">
        <v>4463</v>
      </c>
      <c r="AE522" s="10" t="s">
        <v>4464</v>
      </c>
      <c r="AF522" s="15"/>
      <c r="AG522" s="10" t="s">
        <v>3524</v>
      </c>
      <c r="AH522" s="10" t="s">
        <v>3539</v>
      </c>
      <c r="AI522" s="10" t="s">
        <v>3539</v>
      </c>
      <c r="AJ522" s="10" t="s">
        <v>4465</v>
      </c>
      <c r="AK522" s="10" t="s">
        <v>102</v>
      </c>
      <c r="AL522" s="10" t="s">
        <v>1252</v>
      </c>
      <c r="AM522" s="10"/>
      <c r="AN522" s="10"/>
      <c r="AO522" s="13" t="b">
        <v>0</v>
      </c>
      <c r="AP522" s="10" t="s">
        <v>104</v>
      </c>
      <c r="AQ522" s="10">
        <f ca="1">IFERROR(__xludf.DUMMYFUNCTION("""COMPUTED_VALUE"""),4667501)</f>
        <v>4667501</v>
      </c>
      <c r="AR522" s="17">
        <v>245158</v>
      </c>
      <c r="AS522" s="17">
        <v>164316</v>
      </c>
      <c r="AT522" s="17">
        <v>4576051.25</v>
      </c>
      <c r="AU522" s="17">
        <v>1574.85</v>
      </c>
      <c r="AV522" s="17">
        <v>243.3</v>
      </c>
      <c r="AW522" s="10" t="s">
        <v>105</v>
      </c>
      <c r="AX522" s="17">
        <v>52990</v>
      </c>
      <c r="AY522" s="18">
        <v>27.849091080600793</v>
      </c>
      <c r="AZ522" s="10"/>
      <c r="BA522" s="20" t="b">
        <v>0</v>
      </c>
      <c r="BB522" s="10"/>
      <c r="BC522" s="17">
        <v>245158</v>
      </c>
      <c r="BD522" s="17">
        <v>164316</v>
      </c>
      <c r="BE522" s="17">
        <v>4576051.25</v>
      </c>
      <c r="BF522" s="17">
        <v>243.3</v>
      </c>
      <c r="BG522" s="11">
        <f ca="1">IFERROR(__xludf.DUMMYFUNCTION("""COMPUTED_VALUE"""),45955.7916666666)</f>
        <v>45955.791666666599</v>
      </c>
      <c r="BH522" s="17" t="s">
        <v>105</v>
      </c>
      <c r="BI522" s="17"/>
      <c r="BJ522" s="15"/>
      <c r="BK522" s="15"/>
      <c r="BL522" s="13" t="b">
        <v>0</v>
      </c>
      <c r="BM522" s="10"/>
      <c r="BN522" s="10" t="s">
        <v>137</v>
      </c>
      <c r="BO522" s="11">
        <v>45860.370833333334</v>
      </c>
      <c r="BP522" s="11">
        <v>45946.857199074075</v>
      </c>
      <c r="BQ522" s="15">
        <v>45953.63386574074</v>
      </c>
      <c r="BR522" s="15">
        <v>45953.662708333337</v>
      </c>
      <c r="BS522" s="10" t="s">
        <v>137</v>
      </c>
      <c r="BT522" s="10"/>
      <c r="BU522" s="10"/>
      <c r="BV522" s="10"/>
      <c r="BW522" s="10"/>
      <c r="BX522" s="10"/>
      <c r="BY522" s="23"/>
      <c r="BZ522" s="24" t="s">
        <v>284</v>
      </c>
      <c r="CA522" s="19" t="s">
        <v>4466</v>
      </c>
      <c r="CB522" s="19" t="s">
        <v>4467</v>
      </c>
      <c r="CC522" s="23"/>
      <c r="CD522" s="19" t="s">
        <v>4468</v>
      </c>
      <c r="CE522" s="23"/>
      <c r="CF522" s="23"/>
      <c r="CG522" s="23"/>
      <c r="CH522" s="23"/>
      <c r="CI522" s="23"/>
    </row>
    <row r="523" spans="1:87" x14ac:dyDescent="0.3">
      <c r="A523" s="9" t="s">
        <v>4469</v>
      </c>
      <c r="B523" s="10" t="s">
        <v>4470</v>
      </c>
      <c r="C523" s="11">
        <v>45956.645833333336</v>
      </c>
      <c r="D523" s="12">
        <v>8.3333333333333329E-2</v>
      </c>
      <c r="E523" s="11">
        <v>45956.729166666664</v>
      </c>
      <c r="F523" s="10" t="s">
        <v>3511</v>
      </c>
      <c r="G523" s="13" t="b">
        <v>0</v>
      </c>
      <c r="H523" s="10" t="s">
        <v>123</v>
      </c>
      <c r="I523" s="10" t="s">
        <v>3548</v>
      </c>
      <c r="J523" s="13" t="b">
        <v>0</v>
      </c>
      <c r="K523" s="13" t="b">
        <v>1</v>
      </c>
      <c r="L523" s="10" t="s">
        <v>124</v>
      </c>
      <c r="M523" s="10" t="s">
        <v>91</v>
      </c>
      <c r="N523" s="10" t="s">
        <v>3513</v>
      </c>
      <c r="O523" s="19" t="s">
        <v>4471</v>
      </c>
      <c r="P523" s="10"/>
      <c r="Q523" s="10" t="s">
        <v>126</v>
      </c>
      <c r="R523" s="10"/>
      <c r="S523" s="19" t="s">
        <v>4462</v>
      </c>
      <c r="T523" s="19" t="s">
        <v>4432</v>
      </c>
      <c r="U523" s="10" t="s">
        <v>3676</v>
      </c>
      <c r="V523" s="10" t="s">
        <v>3517</v>
      </c>
      <c r="W523" s="10" t="s">
        <v>3519</v>
      </c>
      <c r="X523" s="10" t="s">
        <v>130</v>
      </c>
      <c r="Y523" s="10" t="s">
        <v>130</v>
      </c>
      <c r="Z523" s="10" t="s">
        <v>99</v>
      </c>
      <c r="AA523" s="10" t="s">
        <v>131</v>
      </c>
      <c r="AB523" s="10" t="s">
        <v>3520</v>
      </c>
      <c r="AC523" s="10" t="s">
        <v>3521</v>
      </c>
      <c r="AD523" s="10" t="s">
        <v>4472</v>
      </c>
      <c r="AE523" s="10" t="s">
        <v>4473</v>
      </c>
      <c r="AF523" s="15"/>
      <c r="AG523" s="10" t="s">
        <v>3524</v>
      </c>
      <c r="AH523" s="10" t="s">
        <v>3539</v>
      </c>
      <c r="AI523" s="10" t="s">
        <v>3539</v>
      </c>
      <c r="AJ523" s="10" t="s">
        <v>4474</v>
      </c>
      <c r="AK523" s="10" t="s">
        <v>102</v>
      </c>
      <c r="AL523" s="10" t="s">
        <v>1252</v>
      </c>
      <c r="AM523" s="10"/>
      <c r="AN523" s="10"/>
      <c r="AO523" s="13" t="b">
        <v>0</v>
      </c>
      <c r="AP523" s="10" t="s">
        <v>104</v>
      </c>
      <c r="AQ523" s="10">
        <f ca="1">IFERROR(__xludf.DUMMYFUNCTION("""COMPUTED_VALUE"""),4667502)</f>
        <v>4667502</v>
      </c>
      <c r="AR523" s="17">
        <v>236250</v>
      </c>
      <c r="AS523" s="17">
        <v>147442</v>
      </c>
      <c r="AT523" s="17">
        <v>4689602</v>
      </c>
      <c r="AU523" s="17">
        <v>1582.95</v>
      </c>
      <c r="AV523" s="17">
        <v>354.2</v>
      </c>
      <c r="AW523" s="10" t="s">
        <v>105</v>
      </c>
      <c r="AX523" s="17">
        <v>52672</v>
      </c>
      <c r="AY523" s="18">
        <v>31.806418795187259</v>
      </c>
      <c r="AZ523" s="10"/>
      <c r="BA523" s="20" t="b">
        <v>0</v>
      </c>
      <c r="BB523" s="10"/>
      <c r="BC523" s="17">
        <v>236250</v>
      </c>
      <c r="BD523" s="17">
        <v>147442</v>
      </c>
      <c r="BE523" s="17">
        <v>4689602</v>
      </c>
      <c r="BF523" s="17">
        <v>354.2</v>
      </c>
      <c r="BG523" s="11">
        <f ca="1">IFERROR(__xludf.DUMMYFUNCTION("""COMPUTED_VALUE"""),45956.6458333333)</f>
        <v>45956.645833333299</v>
      </c>
      <c r="BH523" s="17" t="s">
        <v>105</v>
      </c>
      <c r="BI523" s="17"/>
      <c r="BJ523" s="15"/>
      <c r="BK523" s="15"/>
      <c r="BL523" s="13" t="b">
        <v>0</v>
      </c>
      <c r="BM523" s="10"/>
      <c r="BN523" s="10" t="s">
        <v>137</v>
      </c>
      <c r="BO523" s="11">
        <v>45860.370833333334</v>
      </c>
      <c r="BP523" s="11">
        <v>45946.882175925923</v>
      </c>
      <c r="BQ523" s="15">
        <v>45953.633912037039</v>
      </c>
      <c r="BR523" s="15">
        <v>45953.662962962961</v>
      </c>
      <c r="BS523" s="10" t="s">
        <v>137</v>
      </c>
      <c r="BT523" s="10"/>
      <c r="BU523" s="10"/>
      <c r="BV523" s="10" t="s">
        <v>124</v>
      </c>
      <c r="BW523" s="10" t="s">
        <v>282</v>
      </c>
      <c r="BX523" s="10"/>
      <c r="BY523" s="23"/>
      <c r="BZ523" s="24" t="s">
        <v>284</v>
      </c>
      <c r="CA523" s="19" t="s">
        <v>4475</v>
      </c>
      <c r="CB523" s="19" t="s">
        <v>4476</v>
      </c>
      <c r="CC523" s="23"/>
      <c r="CD523" s="19" t="s">
        <v>4477</v>
      </c>
      <c r="CE523" s="23"/>
      <c r="CF523" s="23"/>
      <c r="CG523" s="23"/>
      <c r="CH523" s="23"/>
      <c r="CI523" s="23"/>
    </row>
    <row r="524" spans="1:87" x14ac:dyDescent="0.3">
      <c r="A524" s="9" t="s">
        <v>4478</v>
      </c>
      <c r="B524" s="10" t="s">
        <v>4479</v>
      </c>
      <c r="C524" s="11">
        <v>45956.791666666664</v>
      </c>
      <c r="D524" s="12">
        <v>8.3333333333333329E-2</v>
      </c>
      <c r="E524" s="11">
        <v>45956.875</v>
      </c>
      <c r="F524" s="10" t="s">
        <v>3511</v>
      </c>
      <c r="G524" s="13" t="b">
        <v>0</v>
      </c>
      <c r="H524" s="10" t="s">
        <v>236</v>
      </c>
      <c r="I524" s="10" t="s">
        <v>212</v>
      </c>
      <c r="J524" s="13" t="b">
        <v>1</v>
      </c>
      <c r="K524" s="13" t="b">
        <v>1</v>
      </c>
      <c r="L524" s="10" t="s">
        <v>124</v>
      </c>
      <c r="M524" s="10" t="s">
        <v>91</v>
      </c>
      <c r="N524" s="10" t="s">
        <v>3513</v>
      </c>
      <c r="O524" s="19" t="s">
        <v>4480</v>
      </c>
      <c r="P524" s="10"/>
      <c r="Q524" s="10" t="s">
        <v>126</v>
      </c>
      <c r="R524" s="10"/>
      <c r="S524" s="19" t="s">
        <v>4462</v>
      </c>
      <c r="T524" s="19" t="s">
        <v>4432</v>
      </c>
      <c r="U524" s="10" t="s">
        <v>3623</v>
      </c>
      <c r="V524" s="10" t="s">
        <v>3610</v>
      </c>
      <c r="W524" s="10" t="s">
        <v>3519</v>
      </c>
      <c r="X524" s="10" t="s">
        <v>130</v>
      </c>
      <c r="Y524" s="10" t="s">
        <v>130</v>
      </c>
      <c r="Z524" s="10" t="s">
        <v>99</v>
      </c>
      <c r="AA524" s="10" t="s">
        <v>131</v>
      </c>
      <c r="AB524" s="10" t="s">
        <v>3520</v>
      </c>
      <c r="AC524" s="10" t="s">
        <v>3521</v>
      </c>
      <c r="AD524" s="10" t="s">
        <v>4481</v>
      </c>
      <c r="AE524" s="10" t="s">
        <v>4482</v>
      </c>
      <c r="AF524" s="15"/>
      <c r="AG524" s="10" t="s">
        <v>3524</v>
      </c>
      <c r="AH524" s="10" t="s">
        <v>3539</v>
      </c>
      <c r="AI524" s="10" t="s">
        <v>3539</v>
      </c>
      <c r="AJ524" s="10" t="s">
        <v>4483</v>
      </c>
      <c r="AK524" s="10" t="s">
        <v>102</v>
      </c>
      <c r="AL524" s="10" t="s">
        <v>1252</v>
      </c>
      <c r="AM524" s="10"/>
      <c r="AN524" s="10"/>
      <c r="AO524" s="13" t="b">
        <v>0</v>
      </c>
      <c r="AP524" s="10" t="s">
        <v>104</v>
      </c>
      <c r="AQ524" s="10">
        <f ca="1">IFERROR(__xludf.DUMMYFUNCTION("""COMPUTED_VALUE"""),4667504)</f>
        <v>4667504</v>
      </c>
      <c r="AR524" s="17">
        <v>289503</v>
      </c>
      <c r="AS524" s="17">
        <v>172239</v>
      </c>
      <c r="AT524" s="17">
        <v>5226255.25</v>
      </c>
      <c r="AU524" s="17">
        <v>1209.8499999999999</v>
      </c>
      <c r="AV524" s="17">
        <v>264.10000000000002</v>
      </c>
      <c r="AW524" s="10" t="s">
        <v>105</v>
      </c>
      <c r="AX524" s="17">
        <v>61343</v>
      </c>
      <c r="AY524" s="18">
        <v>30.343042226208929</v>
      </c>
      <c r="AZ524" s="10"/>
      <c r="BA524" s="20" t="b">
        <v>0</v>
      </c>
      <c r="BB524" s="10"/>
      <c r="BC524" s="17">
        <v>289503</v>
      </c>
      <c r="BD524" s="17">
        <v>172239</v>
      </c>
      <c r="BE524" s="17">
        <v>5226255.25</v>
      </c>
      <c r="BF524" s="17">
        <v>264.10000000000002</v>
      </c>
      <c r="BG524" s="11">
        <f ca="1">IFERROR(__xludf.DUMMYFUNCTION("""COMPUTED_VALUE"""),45956.7916666666)</f>
        <v>45956.791666666599</v>
      </c>
      <c r="BH524" s="17" t="s">
        <v>105</v>
      </c>
      <c r="BI524" s="17"/>
      <c r="BJ524" s="15"/>
      <c r="BK524" s="15"/>
      <c r="BL524" s="13" t="b">
        <v>0</v>
      </c>
      <c r="BM524" s="10"/>
      <c r="BN524" s="10" t="s">
        <v>3527</v>
      </c>
      <c r="BO524" s="11">
        <v>45860.370833333334</v>
      </c>
      <c r="BP524" s="11">
        <v>45946.888344907406</v>
      </c>
      <c r="BQ524" s="15">
        <v>45953.633981481478</v>
      </c>
      <c r="BR524" s="15">
        <v>45953.663159722222</v>
      </c>
      <c r="BS524" s="10"/>
      <c r="BT524" s="10"/>
      <c r="BU524" s="10"/>
      <c r="BV524" s="10"/>
      <c r="BW524" s="10"/>
      <c r="BX524" s="10"/>
      <c r="BY524" s="23"/>
      <c r="BZ524" s="24" t="s">
        <v>299</v>
      </c>
      <c r="CA524" s="19" t="s">
        <v>4484</v>
      </c>
      <c r="CB524" s="19" t="s">
        <v>4485</v>
      </c>
      <c r="CC524" s="23"/>
      <c r="CD524" s="19" t="s">
        <v>4486</v>
      </c>
      <c r="CE524" s="23"/>
      <c r="CF524" s="23"/>
      <c r="CG524" s="23"/>
      <c r="CH524" s="23"/>
      <c r="CI524" s="23"/>
    </row>
    <row r="525" spans="1:87" x14ac:dyDescent="0.3">
      <c r="A525" s="9" t="s">
        <v>4487</v>
      </c>
      <c r="B525" s="10" t="s">
        <v>4488</v>
      </c>
      <c r="C525" s="11">
        <v>45957.645833333336</v>
      </c>
      <c r="D525" s="12">
        <v>8.3333333333333329E-2</v>
      </c>
      <c r="E525" s="11">
        <v>45957.729166666664</v>
      </c>
      <c r="F525" s="10" t="s">
        <v>3511</v>
      </c>
      <c r="G525" s="13" t="b">
        <v>0</v>
      </c>
      <c r="H525" s="10" t="s">
        <v>236</v>
      </c>
      <c r="I525" s="10" t="s">
        <v>212</v>
      </c>
      <c r="J525" s="13" t="b">
        <v>1</v>
      </c>
      <c r="K525" s="13" t="b">
        <v>1</v>
      </c>
      <c r="L525" s="10" t="s">
        <v>124</v>
      </c>
      <c r="M525" s="10" t="s">
        <v>91</v>
      </c>
      <c r="N525" s="10" t="s">
        <v>3513</v>
      </c>
      <c r="O525" s="19" t="s">
        <v>4489</v>
      </c>
      <c r="P525" s="10"/>
      <c r="Q525" s="10" t="s">
        <v>126</v>
      </c>
      <c r="R525" s="10"/>
      <c r="S525" s="19" t="s">
        <v>4490</v>
      </c>
      <c r="T525" s="19" t="s">
        <v>4432</v>
      </c>
      <c r="U525" s="10" t="s">
        <v>3518</v>
      </c>
      <c r="V525" s="10" t="s">
        <v>3536</v>
      </c>
      <c r="W525" s="10" t="s">
        <v>3519</v>
      </c>
      <c r="X525" s="10" t="s">
        <v>130</v>
      </c>
      <c r="Y525" s="10" t="s">
        <v>130</v>
      </c>
      <c r="Z525" s="10" t="s">
        <v>99</v>
      </c>
      <c r="AA525" s="10" t="s">
        <v>131</v>
      </c>
      <c r="AB525" s="10" t="s">
        <v>3520</v>
      </c>
      <c r="AC525" s="10" t="s">
        <v>3521</v>
      </c>
      <c r="AD525" s="10" t="s">
        <v>4491</v>
      </c>
      <c r="AE525" s="10" t="s">
        <v>4492</v>
      </c>
      <c r="AF525" s="15"/>
      <c r="AG525" s="10" t="s">
        <v>3524</v>
      </c>
      <c r="AH525" s="10" t="s">
        <v>3539</v>
      </c>
      <c r="AI525" s="10" t="s">
        <v>3539</v>
      </c>
      <c r="AJ525" s="10" t="s">
        <v>4493</v>
      </c>
      <c r="AK525" s="10" t="s">
        <v>102</v>
      </c>
      <c r="AL525" s="10" t="s">
        <v>1252</v>
      </c>
      <c r="AM525" s="10"/>
      <c r="AN525" s="10"/>
      <c r="AO525" s="13" t="b">
        <v>0</v>
      </c>
      <c r="AP525" s="10" t="s">
        <v>104</v>
      </c>
      <c r="AQ525" s="10">
        <f ca="1">IFERROR(__xludf.DUMMYFUNCTION("""COMPUTED_VALUE"""),4671804)</f>
        <v>4671804</v>
      </c>
      <c r="AR525" s="17">
        <v>165853</v>
      </c>
      <c r="AS525" s="17">
        <v>107170</v>
      </c>
      <c r="AT525" s="17">
        <v>3574048.5</v>
      </c>
      <c r="AU525" s="17">
        <v>411.7</v>
      </c>
      <c r="AV525" s="17">
        <v>72.099999999999994</v>
      </c>
      <c r="AW525" s="10" t="s">
        <v>105</v>
      </c>
      <c r="AX525" s="17">
        <v>37137</v>
      </c>
      <c r="AY525" s="18">
        <v>33.349337501166374</v>
      </c>
      <c r="AZ525" s="10"/>
      <c r="BA525" s="20" t="b">
        <v>0</v>
      </c>
      <c r="BB525" s="10"/>
      <c r="BC525" s="17">
        <v>165853</v>
      </c>
      <c r="BD525" s="17">
        <v>107170</v>
      </c>
      <c r="BE525" s="17">
        <v>3574048.5</v>
      </c>
      <c r="BF525" s="17">
        <v>72.099999999999994</v>
      </c>
      <c r="BG525" s="11">
        <f ca="1">IFERROR(__xludf.DUMMYFUNCTION("""COMPUTED_VALUE"""),45957.6458333333)</f>
        <v>45957.645833333299</v>
      </c>
      <c r="BH525" s="17" t="s">
        <v>105</v>
      </c>
      <c r="BI525" s="17"/>
      <c r="BJ525" s="15"/>
      <c r="BK525" s="15"/>
      <c r="BL525" s="13" t="b">
        <v>0</v>
      </c>
      <c r="BM525" s="10"/>
      <c r="BN525" s="10" t="s">
        <v>118</v>
      </c>
      <c r="BO525" s="11">
        <v>45860.370833333334</v>
      </c>
      <c r="BP525" s="11">
        <v>45946.892627314817</v>
      </c>
      <c r="BQ525" s="15">
        <v>45953.634039351855</v>
      </c>
      <c r="BR525" s="15">
        <v>45956.482743055552</v>
      </c>
      <c r="BS525" s="10" t="s">
        <v>118</v>
      </c>
      <c r="BT525" s="10"/>
      <c r="BU525" s="10"/>
      <c r="BV525" s="10"/>
      <c r="BW525" s="10"/>
      <c r="BX525" s="10"/>
      <c r="BY525" s="23"/>
      <c r="BZ525" s="24" t="s">
        <v>299</v>
      </c>
      <c r="CA525" s="19" t="s">
        <v>4494</v>
      </c>
      <c r="CB525" s="19" t="s">
        <v>4495</v>
      </c>
      <c r="CC525" s="23"/>
      <c r="CD525" s="19" t="s">
        <v>4496</v>
      </c>
      <c r="CE525" s="23"/>
      <c r="CF525" s="23"/>
      <c r="CG525" s="23"/>
      <c r="CH525" s="23"/>
      <c r="CI525" s="23"/>
    </row>
    <row r="526" spans="1:87" x14ac:dyDescent="0.3">
      <c r="A526" s="9" t="s">
        <v>4497</v>
      </c>
      <c r="B526" s="10" t="s">
        <v>4498</v>
      </c>
      <c r="C526" s="11">
        <v>45957.791666666664</v>
      </c>
      <c r="D526" s="12">
        <v>8.3333333333333329E-2</v>
      </c>
      <c r="E526" s="11">
        <v>45957.875</v>
      </c>
      <c r="F526" s="10" t="s">
        <v>3511</v>
      </c>
      <c r="G526" s="13" t="b">
        <v>0</v>
      </c>
      <c r="H526" s="10" t="s">
        <v>123</v>
      </c>
      <c r="I526" s="10" t="s">
        <v>3548</v>
      </c>
      <c r="J526" s="13" t="b">
        <v>0</v>
      </c>
      <c r="K526" s="13" t="b">
        <v>1</v>
      </c>
      <c r="L526" s="10" t="s">
        <v>124</v>
      </c>
      <c r="M526" s="10" t="s">
        <v>91</v>
      </c>
      <c r="N526" s="10" t="s">
        <v>3513</v>
      </c>
      <c r="O526" s="19" t="s">
        <v>4499</v>
      </c>
      <c r="P526" s="10"/>
      <c r="Q526" s="10" t="s">
        <v>126</v>
      </c>
      <c r="R526" s="10"/>
      <c r="S526" s="19" t="s">
        <v>4500</v>
      </c>
      <c r="T526" s="10"/>
      <c r="U526" s="10" t="s">
        <v>3609</v>
      </c>
      <c r="V526" s="10" t="s">
        <v>3636</v>
      </c>
      <c r="W526" s="10" t="s">
        <v>3519</v>
      </c>
      <c r="X526" s="10" t="s">
        <v>130</v>
      </c>
      <c r="Y526" s="10" t="s">
        <v>130</v>
      </c>
      <c r="Z526" s="10" t="s">
        <v>99</v>
      </c>
      <c r="AA526" s="10" t="s">
        <v>131</v>
      </c>
      <c r="AB526" s="10" t="s">
        <v>3520</v>
      </c>
      <c r="AC526" s="10" t="s">
        <v>3521</v>
      </c>
      <c r="AD526" s="10" t="s">
        <v>4501</v>
      </c>
      <c r="AE526" s="10" t="s">
        <v>4502</v>
      </c>
      <c r="AF526" s="15"/>
      <c r="AG526" s="10" t="s">
        <v>3524</v>
      </c>
      <c r="AH526" s="10" t="s">
        <v>3539</v>
      </c>
      <c r="AI526" s="10" t="s">
        <v>3539</v>
      </c>
      <c r="AJ526" s="10" t="s">
        <v>4503</v>
      </c>
      <c r="AK526" s="10" t="s">
        <v>102</v>
      </c>
      <c r="AL526" s="10" t="s">
        <v>1252</v>
      </c>
      <c r="AM526" s="10"/>
      <c r="AN526" s="10"/>
      <c r="AO526" s="13" t="b">
        <v>1</v>
      </c>
      <c r="AP526" s="10" t="s">
        <v>104</v>
      </c>
      <c r="AQ526" s="10">
        <f ca="1">IFERROR(__xludf.DUMMYFUNCTION("""COMPUTED_VALUE"""),4670655)</f>
        <v>4670655</v>
      </c>
      <c r="AR526" s="17">
        <v>582759</v>
      </c>
      <c r="AS526" s="17">
        <v>323107</v>
      </c>
      <c r="AT526" s="17">
        <v>14314684.75</v>
      </c>
      <c r="AU526" s="17">
        <v>9596.25</v>
      </c>
      <c r="AV526" s="17">
        <v>2307.6</v>
      </c>
      <c r="AW526" s="10" t="s">
        <v>297</v>
      </c>
      <c r="AX526" s="17">
        <v>143348</v>
      </c>
      <c r="AY526" s="18">
        <v>44.303233139486302</v>
      </c>
      <c r="AZ526" s="10"/>
      <c r="BA526" s="20" t="b">
        <v>0</v>
      </c>
      <c r="BB526" s="10"/>
      <c r="BC526" s="17">
        <v>582759</v>
      </c>
      <c r="BD526" s="17">
        <v>323107</v>
      </c>
      <c r="BE526" s="17">
        <v>14314684.75</v>
      </c>
      <c r="BF526" s="17">
        <v>2307.6</v>
      </c>
      <c r="BG526" s="11">
        <f ca="1">IFERROR(__xludf.DUMMYFUNCTION("""COMPUTED_VALUE"""),45957.7916666666)</f>
        <v>45957.791666666599</v>
      </c>
      <c r="BH526" s="17" t="s">
        <v>297</v>
      </c>
      <c r="BI526" s="17"/>
      <c r="BJ526" s="15"/>
      <c r="BK526" s="15"/>
      <c r="BL526" s="13" t="b">
        <v>0</v>
      </c>
      <c r="BM526" s="10"/>
      <c r="BN526" s="10" t="s">
        <v>137</v>
      </c>
      <c r="BO526" s="11">
        <v>45860.370833333334</v>
      </c>
      <c r="BP526" s="11">
        <v>45951.628067129626</v>
      </c>
      <c r="BQ526" s="15">
        <v>45953.634120370371</v>
      </c>
      <c r="BR526" s="15">
        <v>45954.757939814815</v>
      </c>
      <c r="BS526" s="10" t="s">
        <v>137</v>
      </c>
      <c r="BT526" s="10"/>
      <c r="BU526" s="10"/>
      <c r="BV526" s="10" t="s">
        <v>281</v>
      </c>
      <c r="BW526" s="10"/>
      <c r="BX526" s="10"/>
      <c r="BY526" s="23"/>
      <c r="BZ526" s="24" t="s">
        <v>284</v>
      </c>
      <c r="CA526" s="19" t="s">
        <v>4504</v>
      </c>
      <c r="CB526" s="23"/>
      <c r="CC526" s="23"/>
      <c r="CD526" s="19" t="s">
        <v>4505</v>
      </c>
      <c r="CE526" s="23"/>
      <c r="CF526" s="23"/>
      <c r="CG526" s="23"/>
      <c r="CH526" s="23"/>
      <c r="CI526" s="23"/>
    </row>
    <row r="527" spans="1:87" x14ac:dyDescent="0.3">
      <c r="A527" s="9" t="s">
        <v>4506</v>
      </c>
      <c r="B527" s="10" t="s">
        <v>4507</v>
      </c>
      <c r="C527" s="11">
        <v>45961.645833333336</v>
      </c>
      <c r="D527" s="12">
        <v>8.3333333333333329E-2</v>
      </c>
      <c r="E527" s="11">
        <v>45961.729166666664</v>
      </c>
      <c r="F527" s="10" t="s">
        <v>3511</v>
      </c>
      <c r="G527" s="13" t="b">
        <v>0</v>
      </c>
      <c r="H527" s="10" t="s">
        <v>236</v>
      </c>
      <c r="I527" s="10" t="s">
        <v>212</v>
      </c>
      <c r="J527" s="13" t="b">
        <v>1</v>
      </c>
      <c r="K527" s="13" t="b">
        <v>1</v>
      </c>
      <c r="L527" s="10" t="s">
        <v>124</v>
      </c>
      <c r="M527" s="10" t="s">
        <v>91</v>
      </c>
      <c r="N527" s="10" t="s">
        <v>3513</v>
      </c>
      <c r="O527" s="19" t="s">
        <v>4508</v>
      </c>
      <c r="P527" s="10"/>
      <c r="Q527" s="10" t="s">
        <v>126</v>
      </c>
      <c r="R527" s="10"/>
      <c r="S527" s="19" t="s">
        <v>4509</v>
      </c>
      <c r="T527" s="19" t="s">
        <v>4510</v>
      </c>
      <c r="U527" s="10" t="s">
        <v>3552</v>
      </c>
      <c r="V527" s="10" t="s">
        <v>3662</v>
      </c>
      <c r="W527" s="10" t="s">
        <v>3519</v>
      </c>
      <c r="X527" s="10" t="s">
        <v>130</v>
      </c>
      <c r="Y527" s="10" t="s">
        <v>130</v>
      </c>
      <c r="Z527" s="10" t="s">
        <v>99</v>
      </c>
      <c r="AA527" s="10" t="s">
        <v>131</v>
      </c>
      <c r="AB527" s="10" t="s">
        <v>3520</v>
      </c>
      <c r="AC527" s="10" t="s">
        <v>3521</v>
      </c>
      <c r="AD527" s="10" t="s">
        <v>4511</v>
      </c>
      <c r="AE527" s="10" t="s">
        <v>4512</v>
      </c>
      <c r="AF527" s="15"/>
      <c r="AG527" s="10" t="s">
        <v>3524</v>
      </c>
      <c r="AH527" s="10" t="s">
        <v>3539</v>
      </c>
      <c r="AI527" s="10" t="s">
        <v>3539</v>
      </c>
      <c r="AJ527" s="10" t="s">
        <v>4513</v>
      </c>
      <c r="AK527" s="10" t="s">
        <v>102</v>
      </c>
      <c r="AL527" s="10" t="s">
        <v>1360</v>
      </c>
      <c r="AM527" s="10"/>
      <c r="AN527" s="10"/>
      <c r="AO527" s="13" t="b">
        <v>0</v>
      </c>
      <c r="AP527" s="10" t="s">
        <v>104</v>
      </c>
      <c r="AQ527" s="10">
        <f ca="1">IFERROR(__xludf.DUMMYFUNCTION("""COMPUTED_VALUE"""),4674546)</f>
        <v>4674546</v>
      </c>
      <c r="AR527" s="17">
        <v>185976</v>
      </c>
      <c r="AS527" s="17">
        <v>113500</v>
      </c>
      <c r="AT527" s="17">
        <v>3818179.75</v>
      </c>
      <c r="AU527" s="17">
        <v>542.20000000000005</v>
      </c>
      <c r="AV527" s="17">
        <v>70.55</v>
      </c>
      <c r="AW527" s="10" t="s">
        <v>105</v>
      </c>
      <c r="AX527" s="17">
        <v>46835</v>
      </c>
      <c r="AY527" s="18">
        <v>33.640350220264317</v>
      </c>
      <c r="AZ527" s="10"/>
      <c r="BA527" s="20" t="b">
        <v>0</v>
      </c>
      <c r="BB527" s="10"/>
      <c r="BC527" s="17">
        <v>185976</v>
      </c>
      <c r="BD527" s="17">
        <v>113500</v>
      </c>
      <c r="BE527" s="17">
        <v>3818179.75</v>
      </c>
      <c r="BF527" s="17">
        <v>70.55</v>
      </c>
      <c r="BG527" s="11">
        <f ca="1">IFERROR(__xludf.DUMMYFUNCTION("""COMPUTED_VALUE"""),45961.6458333333)</f>
        <v>45961.645833333299</v>
      </c>
      <c r="BH527" s="17" t="s">
        <v>105</v>
      </c>
      <c r="BI527" s="17"/>
      <c r="BJ527" s="15"/>
      <c r="BK527" s="15"/>
      <c r="BL527" s="13" t="b">
        <v>0</v>
      </c>
      <c r="BM527" s="10"/>
      <c r="BN527" s="10" t="s">
        <v>455</v>
      </c>
      <c r="BO527" s="11">
        <v>45860.370833333334</v>
      </c>
      <c r="BP527" s="11">
        <v>45958.598379629628</v>
      </c>
      <c r="BQ527" s="15">
        <v>45957.718368055554</v>
      </c>
      <c r="BR527" s="15">
        <v>45958.498159722221</v>
      </c>
      <c r="BS527" s="10" t="s">
        <v>455</v>
      </c>
      <c r="BT527" s="10" t="s">
        <v>99</v>
      </c>
      <c r="BU527" s="10" t="s">
        <v>718</v>
      </c>
      <c r="BV527" s="10"/>
      <c r="BW527" s="10"/>
      <c r="BX527" s="10"/>
      <c r="BY527" s="23"/>
      <c r="BZ527" s="24" t="s">
        <v>299</v>
      </c>
      <c r="CA527" s="19" t="s">
        <v>4514</v>
      </c>
      <c r="CB527" s="19" t="s">
        <v>4515</v>
      </c>
      <c r="CC527" s="23"/>
      <c r="CD527" s="19" t="s">
        <v>4516</v>
      </c>
      <c r="CE527" s="23"/>
      <c r="CF527" s="23"/>
      <c r="CG527" s="23"/>
      <c r="CH527" s="23"/>
      <c r="CI527" s="23"/>
    </row>
    <row r="528" spans="1:87" x14ac:dyDescent="0.3">
      <c r="A528" s="9" t="s">
        <v>4517</v>
      </c>
      <c r="B528" s="10" t="s">
        <v>4518</v>
      </c>
      <c r="C528" s="11">
        <v>45961.791666666664</v>
      </c>
      <c r="D528" s="12">
        <v>8.3333333333333329E-2</v>
      </c>
      <c r="E528" s="11">
        <v>45961.875</v>
      </c>
      <c r="F528" s="10" t="s">
        <v>3511</v>
      </c>
      <c r="G528" s="13" t="b">
        <v>0</v>
      </c>
      <c r="H528" s="10" t="s">
        <v>123</v>
      </c>
      <c r="I528" s="10" t="s">
        <v>3548</v>
      </c>
      <c r="J528" s="13" t="b">
        <v>0</v>
      </c>
      <c r="K528" s="13" t="b">
        <v>1</v>
      </c>
      <c r="L528" s="10" t="s">
        <v>124</v>
      </c>
      <c r="M528" s="10" t="s">
        <v>91</v>
      </c>
      <c r="N528" s="10" t="s">
        <v>3513</v>
      </c>
      <c r="O528" s="19" t="s">
        <v>4519</v>
      </c>
      <c r="P528" s="10"/>
      <c r="Q528" s="10" t="s">
        <v>126</v>
      </c>
      <c r="R528" s="10"/>
      <c r="S528" s="19" t="s">
        <v>4520</v>
      </c>
      <c r="T528" s="19" t="s">
        <v>4510</v>
      </c>
      <c r="U528" s="10" t="s">
        <v>3647</v>
      </c>
      <c r="V528" s="10" t="s">
        <v>3677</v>
      </c>
      <c r="W528" s="10" t="s">
        <v>3519</v>
      </c>
      <c r="X528" s="10" t="s">
        <v>130</v>
      </c>
      <c r="Y528" s="10" t="s">
        <v>130</v>
      </c>
      <c r="Z528" s="10" t="s">
        <v>99</v>
      </c>
      <c r="AA528" s="10" t="s">
        <v>131</v>
      </c>
      <c r="AB528" s="10" t="s">
        <v>3520</v>
      </c>
      <c r="AC528" s="10" t="s">
        <v>3521</v>
      </c>
      <c r="AD528" s="10" t="s">
        <v>4521</v>
      </c>
      <c r="AE528" s="10" t="s">
        <v>4522</v>
      </c>
      <c r="AF528" s="15"/>
      <c r="AG528" s="10" t="s">
        <v>3524</v>
      </c>
      <c r="AH528" s="10" t="s">
        <v>3539</v>
      </c>
      <c r="AI528" s="10" t="s">
        <v>3539</v>
      </c>
      <c r="AJ528" s="10" t="s">
        <v>4523</v>
      </c>
      <c r="AK528" s="10" t="s">
        <v>102</v>
      </c>
      <c r="AL528" s="10" t="s">
        <v>1360</v>
      </c>
      <c r="AM528" s="10"/>
      <c r="AN528" s="10"/>
      <c r="AO528" s="13" t="b">
        <v>1</v>
      </c>
      <c r="AP528" s="10" t="s">
        <v>104</v>
      </c>
      <c r="AQ528" s="10">
        <f ca="1">IFERROR(__xludf.DUMMYFUNCTION("""COMPUTED_VALUE"""),4674553)</f>
        <v>4674553</v>
      </c>
      <c r="AR528" s="17">
        <v>360603</v>
      </c>
      <c r="AS528" s="17">
        <v>217478</v>
      </c>
      <c r="AT528" s="17">
        <v>6514778.75</v>
      </c>
      <c r="AU528" s="17">
        <v>3439.75</v>
      </c>
      <c r="AV528" s="17">
        <v>648.95000000000005</v>
      </c>
      <c r="AW528" s="10" t="s">
        <v>105</v>
      </c>
      <c r="AX528" s="17">
        <v>72590</v>
      </c>
      <c r="AY528" s="18">
        <v>29.956035782929767</v>
      </c>
      <c r="AZ528" s="10"/>
      <c r="BA528" s="20" t="b">
        <v>0</v>
      </c>
      <c r="BB528" s="10"/>
      <c r="BC528" s="17">
        <v>360603</v>
      </c>
      <c r="BD528" s="17">
        <v>217478</v>
      </c>
      <c r="BE528" s="17">
        <v>6514778.75</v>
      </c>
      <c r="BF528" s="17">
        <v>648.95000000000005</v>
      </c>
      <c r="BG528" s="11">
        <f ca="1">IFERROR(__xludf.DUMMYFUNCTION("""COMPUTED_VALUE"""),45961.7916666666)</f>
        <v>45961.791666666599</v>
      </c>
      <c r="BH528" s="17" t="s">
        <v>105</v>
      </c>
      <c r="BI528" s="17"/>
      <c r="BJ528" s="15"/>
      <c r="BK528" s="15"/>
      <c r="BL528" s="13" t="b">
        <v>0</v>
      </c>
      <c r="BM528" s="10"/>
      <c r="BN528" s="10" t="s">
        <v>455</v>
      </c>
      <c r="BO528" s="11">
        <v>45860.370833333334</v>
      </c>
      <c r="BP528" s="11">
        <v>45958.610289351855</v>
      </c>
      <c r="BQ528" s="15">
        <v>45957.718414351853</v>
      </c>
      <c r="BR528" s="15">
        <v>45958.498900462961</v>
      </c>
      <c r="BS528" s="10" t="s">
        <v>455</v>
      </c>
      <c r="BT528" s="10" t="s">
        <v>99</v>
      </c>
      <c r="BU528" s="10" t="s">
        <v>718</v>
      </c>
      <c r="BV528" s="10" t="s">
        <v>124</v>
      </c>
      <c r="BW528" s="10"/>
      <c r="BX528" s="10"/>
      <c r="BY528" s="23"/>
      <c r="BZ528" s="24" t="s">
        <v>284</v>
      </c>
      <c r="CA528" s="19" t="s">
        <v>4524</v>
      </c>
      <c r="CB528" s="19" t="s">
        <v>4525</v>
      </c>
      <c r="CC528" s="23"/>
      <c r="CD528" s="19" t="s">
        <v>4526</v>
      </c>
      <c r="CE528" s="23"/>
      <c r="CF528" s="23"/>
      <c r="CG528" s="23"/>
      <c r="CH528" s="23"/>
      <c r="CI528" s="23"/>
    </row>
    <row r="529" spans="1:87" x14ac:dyDescent="0.3">
      <c r="A529" s="9" t="s">
        <v>4527</v>
      </c>
      <c r="B529" s="10" t="s">
        <v>4528</v>
      </c>
      <c r="C529" s="11">
        <v>45962.645833333336</v>
      </c>
      <c r="D529" s="12">
        <v>8.3333333333333329E-2</v>
      </c>
      <c r="E529" s="11">
        <v>45962.729166666664</v>
      </c>
      <c r="F529" s="10" t="s">
        <v>3511</v>
      </c>
      <c r="G529" s="13" t="b">
        <v>0</v>
      </c>
      <c r="H529" s="10" t="s">
        <v>236</v>
      </c>
      <c r="I529" s="10" t="s">
        <v>212</v>
      </c>
      <c r="J529" s="13" t="b">
        <v>1</v>
      </c>
      <c r="K529" s="13" t="b">
        <v>1</v>
      </c>
      <c r="L529" s="10" t="s">
        <v>124</v>
      </c>
      <c r="M529" s="10" t="s">
        <v>91</v>
      </c>
      <c r="N529" s="10" t="s">
        <v>3513</v>
      </c>
      <c r="O529" s="19" t="s">
        <v>4529</v>
      </c>
      <c r="P529" s="10"/>
      <c r="Q529" s="10" t="s">
        <v>126</v>
      </c>
      <c r="R529" s="10"/>
      <c r="S529" s="19" t="s">
        <v>4530</v>
      </c>
      <c r="T529" s="19" t="s">
        <v>4510</v>
      </c>
      <c r="U529" s="10" t="s">
        <v>3518</v>
      </c>
      <c r="V529" s="10" t="s">
        <v>3648</v>
      </c>
      <c r="W529" s="10" t="s">
        <v>3519</v>
      </c>
      <c r="X529" s="10" t="s">
        <v>130</v>
      </c>
      <c r="Y529" s="10" t="s">
        <v>130</v>
      </c>
      <c r="Z529" s="10" t="s">
        <v>99</v>
      </c>
      <c r="AA529" s="10" t="s">
        <v>131</v>
      </c>
      <c r="AB529" s="10" t="s">
        <v>3520</v>
      </c>
      <c r="AC529" s="10" t="s">
        <v>3521</v>
      </c>
      <c r="AD529" s="10" t="s">
        <v>4531</v>
      </c>
      <c r="AE529" s="10" t="s">
        <v>4532</v>
      </c>
      <c r="AF529" s="15"/>
      <c r="AG529" s="10" t="s">
        <v>3524</v>
      </c>
      <c r="AH529" s="10" t="s">
        <v>3539</v>
      </c>
      <c r="AI529" s="10" t="s">
        <v>3539</v>
      </c>
      <c r="AJ529" s="10" t="s">
        <v>4533</v>
      </c>
      <c r="AK529" s="10" t="s">
        <v>102</v>
      </c>
      <c r="AL529" s="10" t="s">
        <v>1360</v>
      </c>
      <c r="AM529" s="10"/>
      <c r="AN529" s="10"/>
      <c r="AO529" s="13" t="b">
        <v>0</v>
      </c>
      <c r="AP529" s="10" t="s">
        <v>104</v>
      </c>
      <c r="AQ529" s="10">
        <f ca="1">IFERROR(__xludf.DUMMYFUNCTION("""COMPUTED_VALUE"""),4674558)</f>
        <v>4674558</v>
      </c>
      <c r="AR529" s="17">
        <v>182586</v>
      </c>
      <c r="AS529" s="17">
        <v>116988</v>
      </c>
      <c r="AT529" s="17">
        <v>3503964.5</v>
      </c>
      <c r="AU529" s="17">
        <v>542.15</v>
      </c>
      <c r="AV529" s="17">
        <v>146.1</v>
      </c>
      <c r="AW529" s="10" t="s">
        <v>105</v>
      </c>
      <c r="AX529" s="17">
        <v>49018</v>
      </c>
      <c r="AY529" s="18">
        <v>29.951486477245531</v>
      </c>
      <c r="AZ529" s="10"/>
      <c r="BA529" s="20" t="b">
        <v>0</v>
      </c>
      <c r="BB529" s="10"/>
      <c r="BC529" s="17">
        <v>182586</v>
      </c>
      <c r="BD529" s="17">
        <v>116988</v>
      </c>
      <c r="BE529" s="17">
        <v>3503964.5</v>
      </c>
      <c r="BF529" s="17">
        <v>146.1</v>
      </c>
      <c r="BG529" s="11">
        <f ca="1">IFERROR(__xludf.DUMMYFUNCTION("""COMPUTED_VALUE"""),45962.6458333333)</f>
        <v>45962.645833333299</v>
      </c>
      <c r="BH529" s="17" t="s">
        <v>105</v>
      </c>
      <c r="BI529" s="17"/>
      <c r="BJ529" s="15"/>
      <c r="BK529" s="15"/>
      <c r="BL529" s="13" t="b">
        <v>0</v>
      </c>
      <c r="BM529" s="10"/>
      <c r="BN529" s="10" t="s">
        <v>1149</v>
      </c>
      <c r="BO529" s="11">
        <v>45860.370833333334</v>
      </c>
      <c r="BP529" s="11">
        <v>45958.613506944443</v>
      </c>
      <c r="BQ529" s="15">
        <v>45957.718472222223</v>
      </c>
      <c r="BR529" s="15">
        <v>45958.500069444446</v>
      </c>
      <c r="BS529" s="10" t="s">
        <v>1149</v>
      </c>
      <c r="BT529" s="10" t="s">
        <v>99</v>
      </c>
      <c r="BU529" s="10" t="s">
        <v>793</v>
      </c>
      <c r="BV529" s="10"/>
      <c r="BW529" s="10"/>
      <c r="BX529" s="10"/>
      <c r="BY529" s="23"/>
      <c r="BZ529" s="24" t="s">
        <v>299</v>
      </c>
      <c r="CA529" s="19" t="s">
        <v>4534</v>
      </c>
      <c r="CB529" s="19" t="s">
        <v>4535</v>
      </c>
      <c r="CC529" s="23"/>
      <c r="CD529" s="19" t="s">
        <v>4536</v>
      </c>
      <c r="CE529" s="23"/>
      <c r="CF529" s="23"/>
      <c r="CG529" s="23"/>
      <c r="CH529" s="23"/>
      <c r="CI529" s="23"/>
    </row>
    <row r="530" spans="1:87" x14ac:dyDescent="0.3">
      <c r="A530" s="9" t="s">
        <v>4537</v>
      </c>
      <c r="B530" s="10" t="s">
        <v>4538</v>
      </c>
      <c r="C530" s="11">
        <v>45962.791666666664</v>
      </c>
      <c r="D530" s="12">
        <v>8.3333333333333329E-2</v>
      </c>
      <c r="E530" s="11">
        <v>45962.875</v>
      </c>
      <c r="F530" s="10" t="s">
        <v>3511</v>
      </c>
      <c r="G530" s="13" t="b">
        <v>0</v>
      </c>
      <c r="H530" s="10" t="s">
        <v>123</v>
      </c>
      <c r="I530" s="10" t="s">
        <v>3548</v>
      </c>
      <c r="J530" s="13" t="b">
        <v>0</v>
      </c>
      <c r="K530" s="13" t="b">
        <v>1</v>
      </c>
      <c r="L530" s="10" t="s">
        <v>124</v>
      </c>
      <c r="M530" s="10" t="s">
        <v>91</v>
      </c>
      <c r="N530" s="10" t="s">
        <v>3513</v>
      </c>
      <c r="O530" s="19" t="s">
        <v>4539</v>
      </c>
      <c r="P530" s="10"/>
      <c r="Q530" s="10" t="s">
        <v>126</v>
      </c>
      <c r="R530" s="10"/>
      <c r="S530" s="19" t="s">
        <v>4540</v>
      </c>
      <c r="T530" s="19" t="s">
        <v>4510</v>
      </c>
      <c r="U530" s="10" t="s">
        <v>3661</v>
      </c>
      <c r="V530" s="10" t="s">
        <v>3609</v>
      </c>
      <c r="W530" s="10" t="s">
        <v>3519</v>
      </c>
      <c r="X530" s="10" t="s">
        <v>130</v>
      </c>
      <c r="Y530" s="10" t="s">
        <v>130</v>
      </c>
      <c r="Z530" s="10" t="s">
        <v>99</v>
      </c>
      <c r="AA530" s="10" t="s">
        <v>131</v>
      </c>
      <c r="AB530" s="10" t="s">
        <v>3520</v>
      </c>
      <c r="AC530" s="10" t="s">
        <v>3521</v>
      </c>
      <c r="AD530" s="10" t="s">
        <v>4541</v>
      </c>
      <c r="AE530" s="10" t="s">
        <v>4542</v>
      </c>
      <c r="AF530" s="15"/>
      <c r="AG530" s="10" t="s">
        <v>3524</v>
      </c>
      <c r="AH530" s="10" t="s">
        <v>3539</v>
      </c>
      <c r="AI530" s="10" t="s">
        <v>3539</v>
      </c>
      <c r="AJ530" s="10" t="s">
        <v>4543</v>
      </c>
      <c r="AK530" s="10" t="s">
        <v>102</v>
      </c>
      <c r="AL530" s="10" t="s">
        <v>1360</v>
      </c>
      <c r="AM530" s="10"/>
      <c r="AN530" s="10"/>
      <c r="AO530" s="13" t="b">
        <v>1</v>
      </c>
      <c r="AP530" s="10" t="s">
        <v>104</v>
      </c>
      <c r="AQ530" s="10">
        <f ca="1">IFERROR(__xludf.DUMMYFUNCTION("""COMPUTED_VALUE"""),4674559)</f>
        <v>4674559</v>
      </c>
      <c r="AR530" s="17">
        <v>653395</v>
      </c>
      <c r="AS530" s="17">
        <v>343378</v>
      </c>
      <c r="AT530" s="17">
        <v>16251626.25</v>
      </c>
      <c r="AU530" s="17">
        <v>10896.7</v>
      </c>
      <c r="AV530" s="17">
        <v>4404.8999999999996</v>
      </c>
      <c r="AW530" s="10" t="s">
        <v>297</v>
      </c>
      <c r="AX530" s="17">
        <v>170172</v>
      </c>
      <c r="AY530" s="18">
        <v>47.328676414913012</v>
      </c>
      <c r="AZ530" s="10"/>
      <c r="BA530" s="20" t="b">
        <v>0</v>
      </c>
      <c r="BB530" s="10"/>
      <c r="BC530" s="17">
        <v>653395</v>
      </c>
      <c r="BD530" s="17">
        <v>343378</v>
      </c>
      <c r="BE530" s="17">
        <v>16251626.25</v>
      </c>
      <c r="BF530" s="17">
        <v>4404.8999999999996</v>
      </c>
      <c r="BG530" s="11">
        <f ca="1">IFERROR(__xludf.DUMMYFUNCTION("""COMPUTED_VALUE"""),45962.7916666666)</f>
        <v>45962.791666666599</v>
      </c>
      <c r="BH530" s="17" t="s">
        <v>297</v>
      </c>
      <c r="BI530" s="17"/>
      <c r="BJ530" s="15"/>
      <c r="BK530" s="15"/>
      <c r="BL530" s="13" t="b">
        <v>0</v>
      </c>
      <c r="BM530" s="10"/>
      <c r="BN530" s="10" t="s">
        <v>1149</v>
      </c>
      <c r="BO530" s="11">
        <v>45860.370833333334</v>
      </c>
      <c r="BP530" s="11">
        <v>45958.614571759259</v>
      </c>
      <c r="BQ530" s="15">
        <v>45957.718506944446</v>
      </c>
      <c r="BR530" s="15">
        <v>45958.500868055555</v>
      </c>
      <c r="BS530" s="10" t="s">
        <v>1149</v>
      </c>
      <c r="BT530" s="10" t="s">
        <v>99</v>
      </c>
      <c r="BU530" s="10" t="s">
        <v>793</v>
      </c>
      <c r="BV530" s="10" t="s">
        <v>281</v>
      </c>
      <c r="BW530" s="10" t="s">
        <v>4544</v>
      </c>
      <c r="BX530" s="10"/>
      <c r="BY530" s="23"/>
      <c r="BZ530" s="24" t="s">
        <v>368</v>
      </c>
      <c r="CA530" s="19" t="s">
        <v>4545</v>
      </c>
      <c r="CB530" s="19" t="s">
        <v>4546</v>
      </c>
      <c r="CC530" s="23"/>
      <c r="CD530" s="19" t="s">
        <v>4547</v>
      </c>
      <c r="CE530" s="23"/>
      <c r="CF530" s="23"/>
      <c r="CG530" s="23"/>
      <c r="CH530" s="23"/>
      <c r="CI530" s="23"/>
    </row>
    <row r="531" spans="1:87" x14ac:dyDescent="0.3">
      <c r="A531" s="9" t="s">
        <v>4548</v>
      </c>
      <c r="B531" s="10" t="s">
        <v>4549</v>
      </c>
      <c r="C531" s="11">
        <v>45963.645833333336</v>
      </c>
      <c r="D531" s="12">
        <v>8.3333333333333329E-2</v>
      </c>
      <c r="E531" s="11">
        <v>45963.729166666664</v>
      </c>
      <c r="F531" s="10" t="s">
        <v>3511</v>
      </c>
      <c r="G531" s="13" t="b">
        <v>0</v>
      </c>
      <c r="H531" s="10" t="s">
        <v>236</v>
      </c>
      <c r="I531" s="10" t="s">
        <v>212</v>
      </c>
      <c r="J531" s="13" t="b">
        <v>1</v>
      </c>
      <c r="K531" s="13" t="b">
        <v>1</v>
      </c>
      <c r="L531" s="10" t="s">
        <v>124</v>
      </c>
      <c r="M531" s="10" t="s">
        <v>91</v>
      </c>
      <c r="N531" s="10" t="s">
        <v>3513</v>
      </c>
      <c r="O531" s="19" t="s">
        <v>4550</v>
      </c>
      <c r="P531" s="10"/>
      <c r="Q531" s="10" t="s">
        <v>126</v>
      </c>
      <c r="R531" s="10"/>
      <c r="S531" s="19" t="s">
        <v>4551</v>
      </c>
      <c r="T531" s="19" t="s">
        <v>4510</v>
      </c>
      <c r="U531" s="10" t="s">
        <v>3535</v>
      </c>
      <c r="V531" s="10" t="s">
        <v>3635</v>
      </c>
      <c r="W531" s="10" t="s">
        <v>3519</v>
      </c>
      <c r="X531" s="10" t="s">
        <v>130</v>
      </c>
      <c r="Y531" s="10" t="s">
        <v>130</v>
      </c>
      <c r="Z531" s="10" t="s">
        <v>99</v>
      </c>
      <c r="AA531" s="10" t="s">
        <v>131</v>
      </c>
      <c r="AB531" s="10" t="s">
        <v>3520</v>
      </c>
      <c r="AC531" s="10" t="s">
        <v>3521</v>
      </c>
      <c r="AD531" s="10" t="s">
        <v>4552</v>
      </c>
      <c r="AE531" s="10" t="s">
        <v>4553</v>
      </c>
      <c r="AF531" s="15"/>
      <c r="AG531" s="10" t="s">
        <v>3524</v>
      </c>
      <c r="AH531" s="10" t="s">
        <v>3539</v>
      </c>
      <c r="AI531" s="10" t="s">
        <v>3539</v>
      </c>
      <c r="AJ531" s="10" t="s">
        <v>4554</v>
      </c>
      <c r="AK531" s="10" t="s">
        <v>102</v>
      </c>
      <c r="AL531" s="10" t="s">
        <v>1360</v>
      </c>
      <c r="AM531" s="10"/>
      <c r="AN531" s="10"/>
      <c r="AO531" s="13" t="b">
        <v>0</v>
      </c>
      <c r="AP531" s="10" t="s">
        <v>104</v>
      </c>
      <c r="AQ531" s="10">
        <f ca="1">IFERROR(__xludf.DUMMYFUNCTION("""COMPUTED_VALUE"""),4674575)</f>
        <v>4674575</v>
      </c>
      <c r="AR531" s="17">
        <v>208468</v>
      </c>
      <c r="AS531" s="17">
        <v>129762</v>
      </c>
      <c r="AT531" s="17">
        <v>4985020.75</v>
      </c>
      <c r="AU531" s="17">
        <v>541.95000000000005</v>
      </c>
      <c r="AV531" s="17">
        <v>110.85</v>
      </c>
      <c r="AW531" s="10" t="s">
        <v>105</v>
      </c>
      <c r="AX531" s="17">
        <v>57871</v>
      </c>
      <c r="AY531" s="18">
        <v>38.416645474021671</v>
      </c>
      <c r="AZ531" s="10"/>
      <c r="BA531" s="20" t="b">
        <v>0</v>
      </c>
      <c r="BB531" s="10"/>
      <c r="BC531" s="17">
        <v>208468</v>
      </c>
      <c r="BD531" s="17">
        <v>129762</v>
      </c>
      <c r="BE531" s="17">
        <v>4985020.75</v>
      </c>
      <c r="BF531" s="17">
        <v>110.85</v>
      </c>
      <c r="BG531" s="11">
        <f ca="1">IFERROR(__xludf.DUMMYFUNCTION("""COMPUTED_VALUE"""),45963.6458333333)</f>
        <v>45963.645833333299</v>
      </c>
      <c r="BH531" s="17" t="s">
        <v>105</v>
      </c>
      <c r="BI531" s="17"/>
      <c r="BJ531" s="15"/>
      <c r="BK531" s="15"/>
      <c r="BL531" s="13" t="b">
        <v>0</v>
      </c>
      <c r="BM531" s="10"/>
      <c r="BN531" s="10" t="s">
        <v>1149</v>
      </c>
      <c r="BO531" s="11">
        <v>45860.370833333334</v>
      </c>
      <c r="BP531" s="11">
        <v>45958.617418981485</v>
      </c>
      <c r="BQ531" s="15">
        <v>45957.718576388892</v>
      </c>
      <c r="BR531" s="15">
        <v>45958.520324074074</v>
      </c>
      <c r="BS531" s="10" t="s">
        <v>1149</v>
      </c>
      <c r="BT531" s="10" t="s">
        <v>99</v>
      </c>
      <c r="BU531" s="10" t="s">
        <v>280</v>
      </c>
      <c r="BV531" s="10"/>
      <c r="BW531" s="10"/>
      <c r="BX531" s="10"/>
      <c r="BY531" s="23"/>
      <c r="BZ531" s="24" t="s">
        <v>299</v>
      </c>
      <c r="CA531" s="19" t="s">
        <v>4555</v>
      </c>
      <c r="CB531" s="19" t="s">
        <v>4556</v>
      </c>
      <c r="CC531" s="23"/>
      <c r="CD531" s="19" t="s">
        <v>4557</v>
      </c>
      <c r="CE531" s="23"/>
      <c r="CF531" s="23"/>
      <c r="CG531" s="23"/>
      <c r="CH531" s="23"/>
      <c r="CI531" s="23"/>
    </row>
    <row r="532" spans="1:87" x14ac:dyDescent="0.3">
      <c r="A532" s="9" t="s">
        <v>4558</v>
      </c>
      <c r="B532" s="10" t="s">
        <v>4559</v>
      </c>
      <c r="C532" s="11">
        <v>45963.791666666664</v>
      </c>
      <c r="D532" s="12">
        <v>8.3333333333333329E-2</v>
      </c>
      <c r="E532" s="11">
        <v>45963.875</v>
      </c>
      <c r="F532" s="10" t="s">
        <v>3511</v>
      </c>
      <c r="G532" s="13" t="b">
        <v>0</v>
      </c>
      <c r="H532" s="10" t="s">
        <v>123</v>
      </c>
      <c r="I532" s="10" t="s">
        <v>3548</v>
      </c>
      <c r="J532" s="13" t="b">
        <v>0</v>
      </c>
      <c r="K532" s="13" t="b">
        <v>1</v>
      </c>
      <c r="L532" s="10" t="s">
        <v>124</v>
      </c>
      <c r="M532" s="10" t="s">
        <v>91</v>
      </c>
      <c r="N532" s="10" t="s">
        <v>3513</v>
      </c>
      <c r="O532" s="19" t="s">
        <v>4560</v>
      </c>
      <c r="P532" s="10"/>
      <c r="Q532" s="10" t="s">
        <v>126</v>
      </c>
      <c r="R532" s="10"/>
      <c r="S532" s="19" t="s">
        <v>4561</v>
      </c>
      <c r="T532" s="19" t="s">
        <v>4510</v>
      </c>
      <c r="U532" s="10" t="s">
        <v>3551</v>
      </c>
      <c r="V532" s="10" t="s">
        <v>3636</v>
      </c>
      <c r="W532" s="10" t="s">
        <v>3519</v>
      </c>
      <c r="X532" s="10" t="s">
        <v>130</v>
      </c>
      <c r="Y532" s="10" t="s">
        <v>130</v>
      </c>
      <c r="Z532" s="10" t="s">
        <v>99</v>
      </c>
      <c r="AA532" s="10" t="s">
        <v>131</v>
      </c>
      <c r="AB532" s="10" t="s">
        <v>3520</v>
      </c>
      <c r="AC532" s="10" t="s">
        <v>3521</v>
      </c>
      <c r="AD532" s="10" t="s">
        <v>4562</v>
      </c>
      <c r="AE532" s="10" t="s">
        <v>4563</v>
      </c>
      <c r="AF532" s="15"/>
      <c r="AG532" s="10" t="s">
        <v>3524</v>
      </c>
      <c r="AH532" s="10" t="s">
        <v>3539</v>
      </c>
      <c r="AI532" s="10" t="s">
        <v>3539</v>
      </c>
      <c r="AJ532" s="10" t="s">
        <v>4564</v>
      </c>
      <c r="AK532" s="10" t="s">
        <v>102</v>
      </c>
      <c r="AL532" s="10" t="s">
        <v>1360</v>
      </c>
      <c r="AM532" s="10"/>
      <c r="AN532" s="10"/>
      <c r="AO532" s="13" t="b">
        <v>1</v>
      </c>
      <c r="AP532" s="10" t="s">
        <v>104</v>
      </c>
      <c r="AQ532" s="10">
        <f ca="1">IFERROR(__xludf.DUMMYFUNCTION("""COMPUTED_VALUE"""),4674560)</f>
        <v>4674560</v>
      </c>
      <c r="AR532" s="17">
        <v>295513</v>
      </c>
      <c r="AS532" s="17">
        <v>184892</v>
      </c>
      <c r="AT532" s="17">
        <v>6034001.75</v>
      </c>
      <c r="AU532" s="17">
        <v>1647.95</v>
      </c>
      <c r="AV532" s="17">
        <v>442.7</v>
      </c>
      <c r="AW532" s="10" t="s">
        <v>105</v>
      </c>
      <c r="AX532" s="17">
        <v>67174</v>
      </c>
      <c r="AY532" s="18">
        <v>32.635277621530406</v>
      </c>
      <c r="AZ532" s="10"/>
      <c r="BA532" s="20" t="b">
        <v>0</v>
      </c>
      <c r="BB532" s="10"/>
      <c r="BC532" s="17">
        <v>295513</v>
      </c>
      <c r="BD532" s="17">
        <v>184892</v>
      </c>
      <c r="BE532" s="17">
        <v>6034001.75</v>
      </c>
      <c r="BF532" s="17">
        <v>442.7</v>
      </c>
      <c r="BG532" s="11">
        <f ca="1">IFERROR(__xludf.DUMMYFUNCTION("""COMPUTED_VALUE"""),45963.7916666666)</f>
        <v>45963.791666666599</v>
      </c>
      <c r="BH532" s="17" t="s">
        <v>105</v>
      </c>
      <c r="BI532" s="17"/>
      <c r="BJ532" s="15"/>
      <c r="BK532" s="15"/>
      <c r="BL532" s="13" t="b">
        <v>0</v>
      </c>
      <c r="BM532" s="10"/>
      <c r="BN532" s="10" t="s">
        <v>1149</v>
      </c>
      <c r="BO532" s="11">
        <v>45860.370833333334</v>
      </c>
      <c r="BP532" s="11">
        <v>45958.621365740742</v>
      </c>
      <c r="BQ532" s="15">
        <v>45957.718611111108</v>
      </c>
      <c r="BR532" s="15">
        <v>45958.512800925928</v>
      </c>
      <c r="BS532" s="10" t="s">
        <v>1149</v>
      </c>
      <c r="BT532" s="10" t="s">
        <v>99</v>
      </c>
      <c r="BU532" s="10" t="s">
        <v>280</v>
      </c>
      <c r="BV532" s="10" t="s">
        <v>281</v>
      </c>
      <c r="BW532" s="10" t="s">
        <v>4565</v>
      </c>
      <c r="BX532" s="10"/>
      <c r="BY532" s="23"/>
      <c r="BZ532" s="24" t="s">
        <v>284</v>
      </c>
      <c r="CA532" s="19" t="s">
        <v>4566</v>
      </c>
      <c r="CB532" s="19" t="s">
        <v>4567</v>
      </c>
      <c r="CC532" s="23"/>
      <c r="CD532" s="19" t="s">
        <v>4568</v>
      </c>
      <c r="CE532" s="23"/>
      <c r="CF532" s="23"/>
      <c r="CG532" s="23"/>
      <c r="CH532" s="23"/>
      <c r="CI532" s="23"/>
    </row>
    <row r="533" spans="1:87" x14ac:dyDescent="0.3">
      <c r="A533" s="9" t="s">
        <v>4569</v>
      </c>
      <c r="B533" s="10" t="s">
        <v>4570</v>
      </c>
      <c r="C533" s="11">
        <v>45964.645833333336</v>
      </c>
      <c r="D533" s="12">
        <v>8.3333333333333329E-2</v>
      </c>
      <c r="E533" s="11">
        <v>45964.729166666664</v>
      </c>
      <c r="F533" s="10" t="s">
        <v>3511</v>
      </c>
      <c r="G533" s="13" t="b">
        <v>0</v>
      </c>
      <c r="H533" s="10" t="s">
        <v>236</v>
      </c>
      <c r="I533" s="10" t="s">
        <v>212</v>
      </c>
      <c r="J533" s="13" t="b">
        <v>1</v>
      </c>
      <c r="K533" s="13" t="b">
        <v>1</v>
      </c>
      <c r="L533" s="10" t="s">
        <v>124</v>
      </c>
      <c r="M533" s="10" t="s">
        <v>91</v>
      </c>
      <c r="N533" s="10" t="s">
        <v>3513</v>
      </c>
      <c r="O533" s="19" t="s">
        <v>4571</v>
      </c>
      <c r="P533" s="10"/>
      <c r="Q533" s="10" t="s">
        <v>126</v>
      </c>
      <c r="R533" s="10"/>
      <c r="S533" s="19" t="s">
        <v>4572</v>
      </c>
      <c r="T533" s="19" t="s">
        <v>4510</v>
      </c>
      <c r="U533" s="10" t="s">
        <v>3536</v>
      </c>
      <c r="V533" s="10" t="s">
        <v>3623</v>
      </c>
      <c r="W533" s="10" t="s">
        <v>3519</v>
      </c>
      <c r="X533" s="10" t="s">
        <v>130</v>
      </c>
      <c r="Y533" s="10" t="s">
        <v>130</v>
      </c>
      <c r="Z533" s="10" t="s">
        <v>99</v>
      </c>
      <c r="AA533" s="10" t="s">
        <v>131</v>
      </c>
      <c r="AB533" s="10" t="s">
        <v>3520</v>
      </c>
      <c r="AC533" s="10" t="s">
        <v>3521</v>
      </c>
      <c r="AD533" s="10" t="s">
        <v>4573</v>
      </c>
      <c r="AE533" s="10" t="s">
        <v>4574</v>
      </c>
      <c r="AF533" s="15"/>
      <c r="AG533" s="10" t="s">
        <v>3524</v>
      </c>
      <c r="AH533" s="10" t="s">
        <v>3539</v>
      </c>
      <c r="AI533" s="10" t="s">
        <v>3539</v>
      </c>
      <c r="AJ533" s="10" t="s">
        <v>4575</v>
      </c>
      <c r="AK533" s="10" t="s">
        <v>102</v>
      </c>
      <c r="AL533" s="10" t="s">
        <v>1360</v>
      </c>
      <c r="AM533" s="10"/>
      <c r="AN533" s="10"/>
      <c r="AO533" s="13" t="b">
        <v>0</v>
      </c>
      <c r="AP533" s="10" t="s">
        <v>104</v>
      </c>
      <c r="AQ533" s="10">
        <f ca="1">IFERROR(__xludf.DUMMYFUNCTION("""COMPUTED_VALUE"""),4691252)</f>
        <v>4691252</v>
      </c>
      <c r="AR533" s="17">
        <v>194966</v>
      </c>
      <c r="AS533" s="17">
        <v>123065</v>
      </c>
      <c r="AT533" s="17">
        <v>4303872.5</v>
      </c>
      <c r="AU533" s="17">
        <v>326.45</v>
      </c>
      <c r="AV533" s="17">
        <v>71.3</v>
      </c>
      <c r="AW533" s="10" t="s">
        <v>105</v>
      </c>
      <c r="AX533" s="17">
        <v>52974</v>
      </c>
      <c r="AY533" s="18">
        <v>34.972352009100881</v>
      </c>
      <c r="AZ533" s="10"/>
      <c r="BA533" s="20" t="b">
        <v>0</v>
      </c>
      <c r="BB533" s="10"/>
      <c r="BC533" s="17">
        <v>194966</v>
      </c>
      <c r="BD533" s="17">
        <v>123065</v>
      </c>
      <c r="BE533" s="17">
        <v>4303872.5</v>
      </c>
      <c r="BF533" s="17">
        <v>71.3</v>
      </c>
      <c r="BG533" s="11">
        <f ca="1">IFERROR(__xludf.DUMMYFUNCTION("""COMPUTED_VALUE"""),45964.6458333333)</f>
        <v>45964.645833333299</v>
      </c>
      <c r="BH533" s="17" t="s">
        <v>105</v>
      </c>
      <c r="BI533" s="17"/>
      <c r="BJ533" s="15"/>
      <c r="BK533" s="15"/>
      <c r="BL533" s="13" t="b">
        <v>0</v>
      </c>
      <c r="BM533" s="10"/>
      <c r="BN533" s="10" t="s">
        <v>118</v>
      </c>
      <c r="BO533" s="11">
        <v>45860.370833333334</v>
      </c>
      <c r="BP533" s="11">
        <v>45958.621840277781</v>
      </c>
      <c r="BQ533" s="15">
        <v>45957.718657407408</v>
      </c>
      <c r="BR533" s="15">
        <v>45963.793668981481</v>
      </c>
      <c r="BS533" s="10" t="s">
        <v>118</v>
      </c>
      <c r="BT533" s="10" t="s">
        <v>99</v>
      </c>
      <c r="BU533" s="10"/>
      <c r="BV533" s="10"/>
      <c r="BW533" s="10"/>
      <c r="BX533" s="10"/>
      <c r="BY533" s="23"/>
      <c r="BZ533" s="24" t="s">
        <v>299</v>
      </c>
      <c r="CA533" s="19" t="s">
        <v>4576</v>
      </c>
      <c r="CB533" s="19" t="s">
        <v>4577</v>
      </c>
      <c r="CC533" s="23"/>
      <c r="CD533" s="19" t="s">
        <v>4578</v>
      </c>
      <c r="CE533" s="23"/>
      <c r="CF533" s="23"/>
      <c r="CG533" s="23"/>
      <c r="CH533" s="23"/>
      <c r="CI533" s="23"/>
    </row>
    <row r="534" spans="1:87" x14ac:dyDescent="0.3">
      <c r="A534" s="9" t="s">
        <v>4579</v>
      </c>
      <c r="B534" s="10" t="s">
        <v>4580</v>
      </c>
      <c r="C534" s="11">
        <v>45964.791666666664</v>
      </c>
      <c r="D534" s="12">
        <v>8.3333333333333329E-2</v>
      </c>
      <c r="E534" s="11">
        <v>45964.875</v>
      </c>
      <c r="F534" s="10" t="s">
        <v>3511</v>
      </c>
      <c r="G534" s="13" t="b">
        <v>0</v>
      </c>
      <c r="H534" s="10" t="s">
        <v>123</v>
      </c>
      <c r="I534" s="10" t="s">
        <v>3548</v>
      </c>
      <c r="J534" s="13" t="b">
        <v>0</v>
      </c>
      <c r="K534" s="13" t="b">
        <v>1</v>
      </c>
      <c r="L534" s="10" t="s">
        <v>124</v>
      </c>
      <c r="M534" s="10" t="s">
        <v>91</v>
      </c>
      <c r="N534" s="10" t="s">
        <v>3513</v>
      </c>
      <c r="O534" s="19" t="s">
        <v>4581</v>
      </c>
      <c r="P534" s="10"/>
      <c r="Q534" s="10" t="s">
        <v>126</v>
      </c>
      <c r="R534" s="10"/>
      <c r="S534" s="19" t="s">
        <v>4582</v>
      </c>
      <c r="T534" s="19" t="s">
        <v>4510</v>
      </c>
      <c r="U534" s="10" t="s">
        <v>3610</v>
      </c>
      <c r="V534" s="10" t="s">
        <v>3676</v>
      </c>
      <c r="W534" s="10" t="s">
        <v>3519</v>
      </c>
      <c r="X534" s="10" t="s">
        <v>130</v>
      </c>
      <c r="Y534" s="10" t="s">
        <v>130</v>
      </c>
      <c r="Z534" s="10" t="s">
        <v>99</v>
      </c>
      <c r="AA534" s="10" t="s">
        <v>131</v>
      </c>
      <c r="AB534" s="10" t="s">
        <v>3520</v>
      </c>
      <c r="AC534" s="10" t="s">
        <v>3521</v>
      </c>
      <c r="AD534" s="10" t="s">
        <v>4583</v>
      </c>
      <c r="AE534" s="10" t="s">
        <v>4584</v>
      </c>
      <c r="AF534" s="15"/>
      <c r="AG534" s="10" t="s">
        <v>3524</v>
      </c>
      <c r="AH534" s="10" t="s">
        <v>3539</v>
      </c>
      <c r="AI534" s="10" t="s">
        <v>3539</v>
      </c>
      <c r="AJ534" s="10" t="s">
        <v>4585</v>
      </c>
      <c r="AK534" s="10" t="s">
        <v>102</v>
      </c>
      <c r="AL534" s="10" t="s">
        <v>1360</v>
      </c>
      <c r="AM534" s="10"/>
      <c r="AN534" s="10"/>
      <c r="AO534" s="13" t="b">
        <v>0</v>
      </c>
      <c r="AP534" s="10" t="s">
        <v>104</v>
      </c>
      <c r="AQ534" s="10">
        <f ca="1">IFERROR(__xludf.DUMMYFUNCTION("""COMPUTED_VALUE"""),4678563)</f>
        <v>4678563</v>
      </c>
      <c r="AR534" s="17">
        <v>257186</v>
      </c>
      <c r="AS534" s="17">
        <v>184681</v>
      </c>
      <c r="AT534" s="17">
        <v>4934530.5</v>
      </c>
      <c r="AU534" s="17">
        <v>1305.9000000000001</v>
      </c>
      <c r="AV534" s="17">
        <v>359.1</v>
      </c>
      <c r="AW534" s="10" t="s">
        <v>105</v>
      </c>
      <c r="AX534" s="17">
        <v>47906</v>
      </c>
      <c r="AY534" s="18">
        <v>26.719210422295742</v>
      </c>
      <c r="AZ534" s="10"/>
      <c r="BA534" s="20" t="b">
        <v>0</v>
      </c>
      <c r="BB534" s="10"/>
      <c r="BC534" s="17">
        <v>257186</v>
      </c>
      <c r="BD534" s="17">
        <v>184681</v>
      </c>
      <c r="BE534" s="17">
        <v>4934530.5</v>
      </c>
      <c r="BF534" s="17">
        <v>359.1</v>
      </c>
      <c r="BG534" s="11">
        <f ca="1">IFERROR(__xludf.DUMMYFUNCTION("""COMPUTED_VALUE"""),45964.7916666666)</f>
        <v>45964.791666666599</v>
      </c>
      <c r="BH534" s="17" t="s">
        <v>105</v>
      </c>
      <c r="BI534" s="17"/>
      <c r="BJ534" s="15"/>
      <c r="BK534" s="15"/>
      <c r="BL534" s="13" t="b">
        <v>0</v>
      </c>
      <c r="BM534" s="10"/>
      <c r="BN534" s="10" t="s">
        <v>137</v>
      </c>
      <c r="BO534" s="11">
        <v>45860.370833333334</v>
      </c>
      <c r="BP534" s="11">
        <v>45958.625856481478</v>
      </c>
      <c r="BQ534" s="15">
        <v>45957.718692129631</v>
      </c>
      <c r="BR534" s="15">
        <v>45960.773541666669</v>
      </c>
      <c r="BS534" s="10" t="s">
        <v>137</v>
      </c>
      <c r="BT534" s="10" t="s">
        <v>99</v>
      </c>
      <c r="BU534" s="10"/>
      <c r="BV534" s="10"/>
      <c r="BW534" s="10"/>
      <c r="BX534" s="10"/>
      <c r="BY534" s="23"/>
      <c r="BZ534" s="24" t="s">
        <v>284</v>
      </c>
      <c r="CA534" s="19" t="s">
        <v>4586</v>
      </c>
      <c r="CB534" s="19" t="s">
        <v>4587</v>
      </c>
      <c r="CC534" s="23"/>
      <c r="CD534" s="19" t="s">
        <v>4588</v>
      </c>
      <c r="CE534" s="23"/>
      <c r="CF534" s="23"/>
      <c r="CG534" s="23"/>
      <c r="CH534" s="23"/>
      <c r="CI534" s="23"/>
    </row>
    <row r="535" spans="1:87" x14ac:dyDescent="0.3">
      <c r="A535" s="9" t="s">
        <v>4589</v>
      </c>
      <c r="B535" s="10" t="s">
        <v>4590</v>
      </c>
      <c r="C535" s="11">
        <v>45966.791666666664</v>
      </c>
      <c r="D535" s="12">
        <v>8.3333333333333329E-2</v>
      </c>
      <c r="E535" s="11">
        <v>45966.875</v>
      </c>
      <c r="F535" s="10" t="s">
        <v>3511</v>
      </c>
      <c r="G535" s="13" t="b">
        <v>0</v>
      </c>
      <c r="H535" s="10" t="s">
        <v>3512</v>
      </c>
      <c r="I535" s="10" t="s">
        <v>3548</v>
      </c>
      <c r="J535" s="13" t="b">
        <v>0</v>
      </c>
      <c r="K535" s="13" t="b">
        <v>1</v>
      </c>
      <c r="L535" s="10" t="s">
        <v>124</v>
      </c>
      <c r="M535" s="10" t="s">
        <v>91</v>
      </c>
      <c r="N535" s="10" t="s">
        <v>3513</v>
      </c>
      <c r="O535" s="19" t="s">
        <v>4591</v>
      </c>
      <c r="P535" s="10"/>
      <c r="Q535" s="10" t="s">
        <v>126</v>
      </c>
      <c r="R535" s="10"/>
      <c r="S535" s="19" t="s">
        <v>4592</v>
      </c>
      <c r="T535" s="19" t="s">
        <v>4510</v>
      </c>
      <c r="U535" s="10" t="s">
        <v>3517</v>
      </c>
      <c r="V535" s="10" t="s">
        <v>3622</v>
      </c>
      <c r="W535" s="10" t="s">
        <v>3519</v>
      </c>
      <c r="X535" s="10" t="s">
        <v>130</v>
      </c>
      <c r="Y535" s="10" t="s">
        <v>130</v>
      </c>
      <c r="Z535" s="10" t="s">
        <v>99</v>
      </c>
      <c r="AA535" s="10" t="s">
        <v>131</v>
      </c>
      <c r="AB535" s="10" t="s">
        <v>3520</v>
      </c>
      <c r="AC535" s="10" t="s">
        <v>3521</v>
      </c>
      <c r="AD535" s="10" t="s">
        <v>4593</v>
      </c>
      <c r="AE535" s="10" t="s">
        <v>4594</v>
      </c>
      <c r="AF535" s="15"/>
      <c r="AG535" s="10" t="s">
        <v>3524</v>
      </c>
      <c r="AH535" s="10" t="s">
        <v>3539</v>
      </c>
      <c r="AI535" s="10" t="s">
        <v>3539</v>
      </c>
      <c r="AJ535" s="10" t="s">
        <v>4595</v>
      </c>
      <c r="AK535" s="10" t="s">
        <v>102</v>
      </c>
      <c r="AL535" s="10" t="s">
        <v>1360</v>
      </c>
      <c r="AM535" s="10"/>
      <c r="AN535" s="10"/>
      <c r="AO535" s="13" t="b">
        <v>0</v>
      </c>
      <c r="AP535" s="10" t="s">
        <v>104</v>
      </c>
      <c r="AQ535" s="10">
        <f ca="1">IFERROR(__xludf.DUMMYFUNCTION("""COMPUTED_VALUE"""),4684718)</f>
        <v>4684718</v>
      </c>
      <c r="AR535" s="17">
        <v>228965</v>
      </c>
      <c r="AS535" s="17">
        <v>143665</v>
      </c>
      <c r="AT535" s="17">
        <v>5026738.5</v>
      </c>
      <c r="AU535" s="17">
        <v>2671.55</v>
      </c>
      <c r="AV535" s="17">
        <v>908.35</v>
      </c>
      <c r="AW535" s="10" t="s">
        <v>105</v>
      </c>
      <c r="AX535" s="17">
        <v>64399</v>
      </c>
      <c r="AY535" s="18">
        <v>34.9893049803362</v>
      </c>
      <c r="AZ535" s="10"/>
      <c r="BA535" s="20" t="b">
        <v>0</v>
      </c>
      <c r="BB535" s="10"/>
      <c r="BC535" s="17">
        <v>228965</v>
      </c>
      <c r="BD535" s="17">
        <v>143665</v>
      </c>
      <c r="BE535" s="17">
        <v>5026738.5</v>
      </c>
      <c r="BF535" s="17">
        <v>908.35</v>
      </c>
      <c r="BG535" s="11">
        <f ca="1">IFERROR(__xludf.DUMMYFUNCTION("""COMPUTED_VALUE"""),45966.7916666666)</f>
        <v>45966.791666666599</v>
      </c>
      <c r="BH535" s="17" t="s">
        <v>105</v>
      </c>
      <c r="BI535" s="17"/>
      <c r="BJ535" s="15"/>
      <c r="BK535" s="15"/>
      <c r="BL535" s="13" t="b">
        <v>1</v>
      </c>
      <c r="BM535" s="10"/>
      <c r="BN535" s="10" t="s">
        <v>149</v>
      </c>
      <c r="BO535" s="11">
        <v>45860.370833333334</v>
      </c>
      <c r="BP535" s="11">
        <v>45961.421817129631</v>
      </c>
      <c r="BQ535" s="15">
        <v>45957.718773148146</v>
      </c>
      <c r="BR535" s="15">
        <v>45962.406111111108</v>
      </c>
      <c r="BS535" s="10" t="s">
        <v>149</v>
      </c>
      <c r="BT535" s="10" t="s">
        <v>99</v>
      </c>
      <c r="BU535" s="10" t="s">
        <v>2427</v>
      </c>
      <c r="BV535" s="10" t="s">
        <v>124</v>
      </c>
      <c r="BW535" s="10"/>
      <c r="BX535" s="10"/>
      <c r="BY535" s="23"/>
      <c r="BZ535" s="24" t="s">
        <v>284</v>
      </c>
      <c r="CA535" s="19" t="s">
        <v>4596</v>
      </c>
      <c r="CB535" s="19" t="s">
        <v>4597</v>
      </c>
      <c r="CC535" s="23"/>
      <c r="CD535" s="19" t="s">
        <v>4598</v>
      </c>
      <c r="CE535" s="23"/>
      <c r="CF535" s="23"/>
      <c r="CG535" s="23"/>
      <c r="CH535" s="23"/>
      <c r="CI535" s="23"/>
    </row>
    <row r="536" spans="1:87" x14ac:dyDescent="0.3">
      <c r="A536" s="9" t="s">
        <v>4599</v>
      </c>
      <c r="B536" s="10" t="s">
        <v>4600</v>
      </c>
      <c r="C536" s="11">
        <v>45967.645833333336</v>
      </c>
      <c r="D536" s="12">
        <v>8.3333333333333329E-2</v>
      </c>
      <c r="E536" s="11">
        <v>45967.729166666664</v>
      </c>
      <c r="F536" s="10" t="s">
        <v>3511</v>
      </c>
      <c r="G536" s="13" t="b">
        <v>0</v>
      </c>
      <c r="H536" s="10" t="s">
        <v>236</v>
      </c>
      <c r="I536" s="10" t="s">
        <v>212</v>
      </c>
      <c r="J536" s="13" t="b">
        <v>1</v>
      </c>
      <c r="K536" s="13" t="b">
        <v>1</v>
      </c>
      <c r="L536" s="10" t="s">
        <v>124</v>
      </c>
      <c r="M536" s="10" t="s">
        <v>91</v>
      </c>
      <c r="N536" s="10" t="s">
        <v>3513</v>
      </c>
      <c r="O536" s="19" t="s">
        <v>4601</v>
      </c>
      <c r="P536" s="10"/>
      <c r="Q536" s="10" t="s">
        <v>126</v>
      </c>
      <c r="R536" s="10"/>
      <c r="S536" s="19" t="s">
        <v>4602</v>
      </c>
      <c r="T536" s="19" t="s">
        <v>4603</v>
      </c>
      <c r="U536" s="10" t="s">
        <v>3677</v>
      </c>
      <c r="V536" s="10" t="s">
        <v>3648</v>
      </c>
      <c r="W536" s="10" t="s">
        <v>3519</v>
      </c>
      <c r="X536" s="10" t="s">
        <v>130</v>
      </c>
      <c r="Y536" s="10" t="s">
        <v>130</v>
      </c>
      <c r="Z536" s="10" t="s">
        <v>99</v>
      </c>
      <c r="AA536" s="10" t="s">
        <v>131</v>
      </c>
      <c r="AB536" s="10" t="s">
        <v>3520</v>
      </c>
      <c r="AC536" s="10" t="s">
        <v>3521</v>
      </c>
      <c r="AD536" s="10" t="s">
        <v>4604</v>
      </c>
      <c r="AE536" s="10" t="s">
        <v>4605</v>
      </c>
      <c r="AF536" s="15"/>
      <c r="AG536" s="10" t="s">
        <v>3524</v>
      </c>
      <c r="AH536" s="10" t="s">
        <v>3539</v>
      </c>
      <c r="AI536" s="10" t="s">
        <v>3539</v>
      </c>
      <c r="AJ536" s="10" t="s">
        <v>4606</v>
      </c>
      <c r="AK536" s="10" t="s">
        <v>102</v>
      </c>
      <c r="AL536" s="10" t="s">
        <v>1467</v>
      </c>
      <c r="AM536" s="10"/>
      <c r="AN536" s="10"/>
      <c r="AO536" s="13" t="b">
        <v>0</v>
      </c>
      <c r="AP536" s="10" t="s">
        <v>104</v>
      </c>
      <c r="AQ536" s="10">
        <f ca="1">IFERROR(__xludf.DUMMYFUNCTION("""COMPUTED_VALUE"""),4704473)</f>
        <v>4704473</v>
      </c>
      <c r="AR536" s="17">
        <v>150229</v>
      </c>
      <c r="AS536" s="17">
        <v>98079</v>
      </c>
      <c r="AT536" s="17">
        <v>3008508.25</v>
      </c>
      <c r="AU536" s="17">
        <v>264.45</v>
      </c>
      <c r="AV536" s="17">
        <v>37.950000000000003</v>
      </c>
      <c r="AW536" s="10" t="s">
        <v>105</v>
      </c>
      <c r="AX536" s="17">
        <v>36059</v>
      </c>
      <c r="AY536" s="18">
        <v>30.674336504246575</v>
      </c>
      <c r="AZ536" s="10" t="s">
        <v>185</v>
      </c>
      <c r="BA536" s="20" t="b">
        <v>0</v>
      </c>
      <c r="BB536" s="10"/>
      <c r="BC536" s="17">
        <v>150229</v>
      </c>
      <c r="BD536" s="17">
        <v>98079</v>
      </c>
      <c r="BE536" s="17">
        <v>3008508.25</v>
      </c>
      <c r="BF536" s="17">
        <v>37.950000000000003</v>
      </c>
      <c r="BG536" s="11">
        <f ca="1">IFERROR(__xludf.DUMMYFUNCTION("""COMPUTED_VALUE"""),45967.6458333333)</f>
        <v>45967.645833333299</v>
      </c>
      <c r="BH536" s="17" t="s">
        <v>105</v>
      </c>
      <c r="BI536" s="17"/>
      <c r="BJ536" s="15"/>
      <c r="BK536" s="15"/>
      <c r="BL536" s="13" t="b">
        <v>0</v>
      </c>
      <c r="BM536" s="10"/>
      <c r="BN536" s="10" t="s">
        <v>455</v>
      </c>
      <c r="BO536" s="11">
        <v>45860.370833333334</v>
      </c>
      <c r="BP536" s="11">
        <v>45964.523599537039</v>
      </c>
      <c r="BQ536" s="15">
        <v>45966.716747685183</v>
      </c>
      <c r="BR536" s="15">
        <v>45966.761273148149</v>
      </c>
      <c r="BS536" s="10" t="s">
        <v>455</v>
      </c>
      <c r="BT536" s="10" t="s">
        <v>99</v>
      </c>
      <c r="BU536" s="10" t="s">
        <v>2406</v>
      </c>
      <c r="BV536" s="10"/>
      <c r="BW536" s="10"/>
      <c r="BX536" s="10"/>
      <c r="BY536" s="23"/>
      <c r="BZ536" s="24" t="s">
        <v>284</v>
      </c>
      <c r="CA536" s="19" t="s">
        <v>4607</v>
      </c>
      <c r="CB536" s="19" t="s">
        <v>4608</v>
      </c>
      <c r="CC536" s="23"/>
      <c r="CD536" s="19" t="s">
        <v>4609</v>
      </c>
      <c r="CE536" s="23"/>
      <c r="CF536" s="23"/>
      <c r="CG536" s="23"/>
      <c r="CH536" s="23"/>
      <c r="CI536" s="23"/>
    </row>
    <row r="537" spans="1:87" x14ac:dyDescent="0.3">
      <c r="A537" s="9" t="s">
        <v>4610</v>
      </c>
      <c r="B537" s="10" t="s">
        <v>4611</v>
      </c>
      <c r="C537" s="11">
        <v>45968.645833333336</v>
      </c>
      <c r="D537" s="12">
        <v>8.3333333333333329E-2</v>
      </c>
      <c r="E537" s="11">
        <v>45968.729166666664</v>
      </c>
      <c r="F537" s="10" t="s">
        <v>3511</v>
      </c>
      <c r="G537" s="13" t="b">
        <v>0</v>
      </c>
      <c r="H537" s="10" t="s">
        <v>123</v>
      </c>
      <c r="I537" s="10" t="s">
        <v>3548</v>
      </c>
      <c r="J537" s="13" t="b">
        <v>0</v>
      </c>
      <c r="K537" s="13" t="b">
        <v>1</v>
      </c>
      <c r="L537" s="10" t="s">
        <v>124</v>
      </c>
      <c r="M537" s="10" t="s">
        <v>91</v>
      </c>
      <c r="N537" s="10" t="s">
        <v>3513</v>
      </c>
      <c r="O537" s="19" t="s">
        <v>4612</v>
      </c>
      <c r="P537" s="10"/>
      <c r="Q537" s="10" t="s">
        <v>126</v>
      </c>
      <c r="R537" s="10"/>
      <c r="S537" s="19" t="s">
        <v>4613</v>
      </c>
      <c r="T537" s="19" t="s">
        <v>4603</v>
      </c>
      <c r="U537" s="10" t="s">
        <v>3518</v>
      </c>
      <c r="V537" s="10" t="s">
        <v>3661</v>
      </c>
      <c r="W537" s="10" t="s">
        <v>3519</v>
      </c>
      <c r="X537" s="10" t="s">
        <v>130</v>
      </c>
      <c r="Y537" s="10" t="s">
        <v>130</v>
      </c>
      <c r="Z537" s="10" t="s">
        <v>99</v>
      </c>
      <c r="AA537" s="10" t="s">
        <v>131</v>
      </c>
      <c r="AB537" s="10" t="s">
        <v>3520</v>
      </c>
      <c r="AC537" s="10" t="s">
        <v>3521</v>
      </c>
      <c r="AD537" s="10" t="s">
        <v>4614</v>
      </c>
      <c r="AE537" s="10" t="s">
        <v>4615</v>
      </c>
      <c r="AF537" s="15"/>
      <c r="AG537" s="10" t="s">
        <v>3524</v>
      </c>
      <c r="AH537" s="10" t="s">
        <v>3539</v>
      </c>
      <c r="AI537" s="10" t="s">
        <v>3539</v>
      </c>
      <c r="AJ537" s="10" t="s">
        <v>4616</v>
      </c>
      <c r="AK537" s="10" t="s">
        <v>102</v>
      </c>
      <c r="AL537" s="10" t="s">
        <v>1467</v>
      </c>
      <c r="AM537" s="10"/>
      <c r="AN537" s="10"/>
      <c r="AO537" s="13" t="b">
        <v>0</v>
      </c>
      <c r="AP537" s="10" t="s">
        <v>104</v>
      </c>
      <c r="AQ537" s="10">
        <f ca="1">IFERROR(__xludf.DUMMYFUNCTION("""COMPUTED_VALUE"""),4706172)</f>
        <v>4706172</v>
      </c>
      <c r="AR537" s="17">
        <v>152371</v>
      </c>
      <c r="AS537" s="17">
        <v>107985</v>
      </c>
      <c r="AT537" s="17">
        <v>2523786.75</v>
      </c>
      <c r="AU537" s="17">
        <v>590.04999999999995</v>
      </c>
      <c r="AV537" s="17">
        <v>122.25</v>
      </c>
      <c r="AW537" s="10" t="s">
        <v>105</v>
      </c>
      <c r="AX537" s="17">
        <v>32035</v>
      </c>
      <c r="AY537" s="18">
        <v>23.371641894707597</v>
      </c>
      <c r="AZ537" s="10"/>
      <c r="BA537" s="20" t="b">
        <v>0</v>
      </c>
      <c r="BB537" s="10"/>
      <c r="BC537" s="17">
        <v>152371</v>
      </c>
      <c r="BD537" s="17">
        <v>107985</v>
      </c>
      <c r="BE537" s="17">
        <v>2523786.75</v>
      </c>
      <c r="BF537" s="17">
        <v>122.25</v>
      </c>
      <c r="BG537" s="11">
        <f ca="1">IFERROR(__xludf.DUMMYFUNCTION("""COMPUTED_VALUE"""),45968.6458333333)</f>
        <v>45968.645833333299</v>
      </c>
      <c r="BH537" s="17" t="s">
        <v>105</v>
      </c>
      <c r="BI537" s="17"/>
      <c r="BJ537" s="15"/>
      <c r="BK537" s="15"/>
      <c r="BL537" s="13" t="b">
        <v>0</v>
      </c>
      <c r="BM537" s="10"/>
      <c r="BN537" s="10" t="s">
        <v>149</v>
      </c>
      <c r="BO537" s="11">
        <v>45860.370833333334</v>
      </c>
      <c r="BP537" s="11">
        <v>45964.530381944445</v>
      </c>
      <c r="BQ537" s="15">
        <v>45966.794745370367</v>
      </c>
      <c r="BR537" s="15">
        <v>45967.344942129632</v>
      </c>
      <c r="BS537" s="10" t="s">
        <v>149</v>
      </c>
      <c r="BT537" s="10" t="s">
        <v>99</v>
      </c>
      <c r="BU537" s="10" t="s">
        <v>1402</v>
      </c>
      <c r="BV537" s="10"/>
      <c r="BW537" s="10"/>
      <c r="BX537" s="10"/>
      <c r="BY537" s="23"/>
      <c r="BZ537" s="24" t="s">
        <v>284</v>
      </c>
      <c r="CA537" s="19" t="s">
        <v>4617</v>
      </c>
      <c r="CB537" s="19" t="s">
        <v>4618</v>
      </c>
      <c r="CC537" s="23"/>
      <c r="CD537" s="19" t="s">
        <v>4619</v>
      </c>
      <c r="CE537" s="23"/>
      <c r="CF537" s="23"/>
      <c r="CG537" s="23"/>
      <c r="CH537" s="23"/>
      <c r="CI537" s="23"/>
    </row>
    <row r="538" spans="1:87" x14ac:dyDescent="0.3">
      <c r="A538" s="9" t="s">
        <v>4620</v>
      </c>
      <c r="B538" s="10" t="s">
        <v>4621</v>
      </c>
      <c r="C538" s="11">
        <v>45968.791666666664</v>
      </c>
      <c r="D538" s="12">
        <v>8.3333333333333329E-2</v>
      </c>
      <c r="E538" s="11">
        <v>45968.875</v>
      </c>
      <c r="F538" s="10" t="s">
        <v>3511</v>
      </c>
      <c r="G538" s="13" t="b">
        <v>0</v>
      </c>
      <c r="H538" s="10" t="s">
        <v>123</v>
      </c>
      <c r="I538" s="10" t="s">
        <v>3548</v>
      </c>
      <c r="J538" s="13" t="b">
        <v>0</v>
      </c>
      <c r="K538" s="13" t="b">
        <v>1</v>
      </c>
      <c r="L538" s="10" t="s">
        <v>124</v>
      </c>
      <c r="M538" s="10" t="s">
        <v>91</v>
      </c>
      <c r="N538" s="10" t="s">
        <v>3513</v>
      </c>
      <c r="O538" s="19" t="s">
        <v>4622</v>
      </c>
      <c r="P538" s="10"/>
      <c r="Q538" s="10" t="s">
        <v>126</v>
      </c>
      <c r="R538" s="10"/>
      <c r="S538" s="19" t="s">
        <v>4623</v>
      </c>
      <c r="T538" s="19" t="s">
        <v>4603</v>
      </c>
      <c r="U538" s="10" t="s">
        <v>3662</v>
      </c>
      <c r="V538" s="10" t="s">
        <v>3551</v>
      </c>
      <c r="W538" s="10" t="s">
        <v>3519</v>
      </c>
      <c r="X538" s="10" t="s">
        <v>130</v>
      </c>
      <c r="Y538" s="10" t="s">
        <v>130</v>
      </c>
      <c r="Z538" s="10" t="s">
        <v>99</v>
      </c>
      <c r="AA538" s="10" t="s">
        <v>131</v>
      </c>
      <c r="AB538" s="10" t="s">
        <v>3520</v>
      </c>
      <c r="AC538" s="10" t="s">
        <v>3521</v>
      </c>
      <c r="AD538" s="10" t="s">
        <v>4624</v>
      </c>
      <c r="AE538" s="10" t="s">
        <v>4625</v>
      </c>
      <c r="AF538" s="15"/>
      <c r="AG538" s="10" t="s">
        <v>3524</v>
      </c>
      <c r="AH538" s="10" t="s">
        <v>3539</v>
      </c>
      <c r="AI538" s="10" t="s">
        <v>3539</v>
      </c>
      <c r="AJ538" s="10" t="s">
        <v>4626</v>
      </c>
      <c r="AK538" s="10" t="s">
        <v>102</v>
      </c>
      <c r="AL538" s="10" t="s">
        <v>1467</v>
      </c>
      <c r="AM538" s="10"/>
      <c r="AN538" s="10"/>
      <c r="AO538" s="13" t="b">
        <v>1</v>
      </c>
      <c r="AP538" s="10" t="s">
        <v>104</v>
      </c>
      <c r="AQ538" s="10">
        <f ca="1">IFERROR(__xludf.DUMMYFUNCTION("""COMPUTED_VALUE"""),4706173)</f>
        <v>4706173</v>
      </c>
      <c r="AR538" s="17">
        <v>305443</v>
      </c>
      <c r="AS538" s="17">
        <v>213415</v>
      </c>
      <c r="AT538" s="17">
        <v>5198112</v>
      </c>
      <c r="AU538" s="17">
        <v>1505.35</v>
      </c>
      <c r="AV538" s="17">
        <v>415.6</v>
      </c>
      <c r="AW538" s="10" t="s">
        <v>105</v>
      </c>
      <c r="AX538" s="17">
        <v>57083</v>
      </c>
      <c r="AY538" s="18">
        <v>24.356825902584166</v>
      </c>
      <c r="AZ538" s="10"/>
      <c r="BA538" s="20" t="b">
        <v>0</v>
      </c>
      <c r="BB538" s="10"/>
      <c r="BC538" s="17">
        <v>305443</v>
      </c>
      <c r="BD538" s="17">
        <v>213415</v>
      </c>
      <c r="BE538" s="17">
        <v>5198112</v>
      </c>
      <c r="BF538" s="17">
        <v>415.6</v>
      </c>
      <c r="BG538" s="11">
        <f ca="1">IFERROR(__xludf.DUMMYFUNCTION("""COMPUTED_VALUE"""),45968.7916666666)</f>
        <v>45968.791666666599</v>
      </c>
      <c r="BH538" s="17" t="s">
        <v>105</v>
      </c>
      <c r="BI538" s="17"/>
      <c r="BJ538" s="15"/>
      <c r="BK538" s="15"/>
      <c r="BL538" s="13" t="b">
        <v>0</v>
      </c>
      <c r="BM538" s="10"/>
      <c r="BN538" s="10" t="s">
        <v>149</v>
      </c>
      <c r="BO538" s="11">
        <v>45860.370833333334</v>
      </c>
      <c r="BP538" s="11">
        <v>45964.534282407411</v>
      </c>
      <c r="BQ538" s="15">
        <v>45966.794849537036</v>
      </c>
      <c r="BR538" s="15">
        <v>45967.34584490741</v>
      </c>
      <c r="BS538" s="10" t="s">
        <v>149</v>
      </c>
      <c r="BT538" s="10" t="s">
        <v>99</v>
      </c>
      <c r="BU538" s="10" t="s">
        <v>1402</v>
      </c>
      <c r="BV538" s="10" t="s">
        <v>124</v>
      </c>
      <c r="BW538" s="10"/>
      <c r="BX538" s="10"/>
      <c r="BY538" s="23"/>
      <c r="BZ538" s="24" t="s">
        <v>284</v>
      </c>
      <c r="CA538" s="19" t="s">
        <v>4627</v>
      </c>
      <c r="CB538" s="19" t="s">
        <v>4628</v>
      </c>
      <c r="CC538" s="23"/>
      <c r="CD538" s="19" t="s">
        <v>4629</v>
      </c>
      <c r="CE538" s="23"/>
      <c r="CF538" s="23"/>
      <c r="CG538" s="23"/>
      <c r="CH538" s="23"/>
      <c r="CI538" s="23"/>
    </row>
    <row r="539" spans="1:87" x14ac:dyDescent="0.3">
      <c r="A539" s="9" t="s">
        <v>4630</v>
      </c>
      <c r="B539" s="10" t="s">
        <v>4631</v>
      </c>
      <c r="C539" s="11">
        <v>45969.645833333336</v>
      </c>
      <c r="D539" s="12">
        <v>8.3333333333333329E-2</v>
      </c>
      <c r="E539" s="11">
        <v>45969.729166666664</v>
      </c>
      <c r="F539" s="10" t="s">
        <v>3511</v>
      </c>
      <c r="G539" s="13" t="b">
        <v>0</v>
      </c>
      <c r="H539" s="10" t="s">
        <v>123</v>
      </c>
      <c r="I539" s="10" t="s">
        <v>3548</v>
      </c>
      <c r="J539" s="13" t="b">
        <v>0</v>
      </c>
      <c r="K539" s="13" t="b">
        <v>1</v>
      </c>
      <c r="L539" s="10" t="s">
        <v>124</v>
      </c>
      <c r="M539" s="10" t="s">
        <v>91</v>
      </c>
      <c r="N539" s="10" t="s">
        <v>3513</v>
      </c>
      <c r="O539" s="19" t="s">
        <v>4632</v>
      </c>
      <c r="P539" s="10"/>
      <c r="Q539" s="10" t="s">
        <v>126</v>
      </c>
      <c r="R539" s="10"/>
      <c r="S539" s="19" t="s">
        <v>4633</v>
      </c>
      <c r="T539" s="19" t="s">
        <v>4603</v>
      </c>
      <c r="U539" s="10" t="s">
        <v>3676</v>
      </c>
      <c r="V539" s="10" t="s">
        <v>3647</v>
      </c>
      <c r="W539" s="10" t="s">
        <v>3519</v>
      </c>
      <c r="X539" s="10" t="s">
        <v>130</v>
      </c>
      <c r="Y539" s="10" t="s">
        <v>130</v>
      </c>
      <c r="Z539" s="10" t="s">
        <v>99</v>
      </c>
      <c r="AA539" s="10" t="s">
        <v>131</v>
      </c>
      <c r="AB539" s="10" t="s">
        <v>3520</v>
      </c>
      <c r="AC539" s="10" t="s">
        <v>3521</v>
      </c>
      <c r="AD539" s="10" t="s">
        <v>4634</v>
      </c>
      <c r="AE539" s="10" t="s">
        <v>4635</v>
      </c>
      <c r="AF539" s="15"/>
      <c r="AG539" s="10" t="s">
        <v>3524</v>
      </c>
      <c r="AH539" s="10" t="s">
        <v>3539</v>
      </c>
      <c r="AI539" s="10" t="s">
        <v>3539</v>
      </c>
      <c r="AJ539" s="10" t="s">
        <v>4636</v>
      </c>
      <c r="AK539" s="10" t="s">
        <v>102</v>
      </c>
      <c r="AL539" s="10" t="s">
        <v>1467</v>
      </c>
      <c r="AM539" s="10"/>
      <c r="AN539" s="10"/>
      <c r="AO539" s="13" t="b">
        <v>1</v>
      </c>
      <c r="AP539" s="10" t="s">
        <v>104</v>
      </c>
      <c r="AQ539" s="10">
        <f ca="1">IFERROR(__xludf.DUMMYFUNCTION("""COMPUTED_VALUE"""),4706378)</f>
        <v>4706378</v>
      </c>
      <c r="AR539" s="17">
        <v>327258</v>
      </c>
      <c r="AS539" s="17">
        <v>152382</v>
      </c>
      <c r="AT539" s="17">
        <v>7566900.75</v>
      </c>
      <c r="AU539" s="17">
        <v>2655.2</v>
      </c>
      <c r="AV539" s="17">
        <v>876.95</v>
      </c>
      <c r="AW539" s="10" t="s">
        <v>105</v>
      </c>
      <c r="AX539" s="17">
        <v>80828</v>
      </c>
      <c r="AY539" s="18">
        <v>49.657444776942157</v>
      </c>
      <c r="AZ539" s="10"/>
      <c r="BA539" s="20" t="b">
        <v>0</v>
      </c>
      <c r="BB539" s="10"/>
      <c r="BC539" s="17">
        <v>327258</v>
      </c>
      <c r="BD539" s="17">
        <v>152382</v>
      </c>
      <c r="BE539" s="17">
        <v>7566900.75</v>
      </c>
      <c r="BF539" s="17">
        <v>876.95</v>
      </c>
      <c r="BG539" s="11">
        <f ca="1">IFERROR(__xludf.DUMMYFUNCTION("""COMPUTED_VALUE"""),45969.6458333333)</f>
        <v>45969.645833333299</v>
      </c>
      <c r="BH539" s="17" t="s">
        <v>105</v>
      </c>
      <c r="BI539" s="17"/>
      <c r="BJ539" s="15"/>
      <c r="BK539" s="15"/>
      <c r="BL539" s="13" t="b">
        <v>0</v>
      </c>
      <c r="BM539" s="10"/>
      <c r="BN539" s="10" t="s">
        <v>455</v>
      </c>
      <c r="BO539" s="11">
        <v>45860.370833333334</v>
      </c>
      <c r="BP539" s="11">
        <v>45964.539837962962</v>
      </c>
      <c r="BQ539" s="15">
        <v>45966.794270833336</v>
      </c>
      <c r="BR539" s="15">
        <v>45967.539039351854</v>
      </c>
      <c r="BS539" s="10" t="s">
        <v>455</v>
      </c>
      <c r="BT539" s="10" t="s">
        <v>99</v>
      </c>
      <c r="BU539" s="10" t="s">
        <v>2406</v>
      </c>
      <c r="BV539" s="10" t="s">
        <v>281</v>
      </c>
      <c r="BW539" s="10" t="s">
        <v>4637</v>
      </c>
      <c r="BX539" s="10"/>
      <c r="BY539" s="23"/>
      <c r="BZ539" s="24" t="s">
        <v>368</v>
      </c>
      <c r="CA539" s="19" t="s">
        <v>4638</v>
      </c>
      <c r="CB539" s="19" t="s">
        <v>4639</v>
      </c>
      <c r="CC539" s="23"/>
      <c r="CD539" s="19" t="s">
        <v>4640</v>
      </c>
      <c r="CE539" s="23"/>
      <c r="CF539" s="23"/>
      <c r="CG539" s="23"/>
      <c r="CH539" s="23"/>
      <c r="CI539" s="23"/>
    </row>
    <row r="540" spans="1:87" x14ac:dyDescent="0.3">
      <c r="A540" s="9" t="s">
        <v>4641</v>
      </c>
      <c r="B540" s="10" t="s">
        <v>4642</v>
      </c>
      <c r="C540" s="11">
        <v>45969.791666666664</v>
      </c>
      <c r="D540" s="12">
        <v>8.3333333333333329E-2</v>
      </c>
      <c r="E540" s="11">
        <v>45969.875</v>
      </c>
      <c r="F540" s="10" t="s">
        <v>3511</v>
      </c>
      <c r="G540" s="13" t="b">
        <v>0</v>
      </c>
      <c r="H540" s="10" t="s">
        <v>3512</v>
      </c>
      <c r="I540" s="10" t="s">
        <v>212</v>
      </c>
      <c r="J540" s="13" t="b">
        <v>1</v>
      </c>
      <c r="K540" s="13" t="b">
        <v>1</v>
      </c>
      <c r="L540" s="10" t="s">
        <v>124</v>
      </c>
      <c r="M540" s="10" t="s">
        <v>91</v>
      </c>
      <c r="N540" s="10" t="s">
        <v>3513</v>
      </c>
      <c r="O540" s="19" t="s">
        <v>4643</v>
      </c>
      <c r="P540" s="10"/>
      <c r="Q540" s="10" t="s">
        <v>126</v>
      </c>
      <c r="R540" s="10"/>
      <c r="S540" s="19" t="s">
        <v>4644</v>
      </c>
      <c r="T540" s="19" t="s">
        <v>4603</v>
      </c>
      <c r="U540" s="10" t="s">
        <v>3636</v>
      </c>
      <c r="V540" s="10" t="s">
        <v>3552</v>
      </c>
      <c r="W540" s="10" t="s">
        <v>3519</v>
      </c>
      <c r="X540" s="10" t="s">
        <v>130</v>
      </c>
      <c r="Y540" s="10" t="s">
        <v>130</v>
      </c>
      <c r="Z540" s="10" t="s">
        <v>99</v>
      </c>
      <c r="AA540" s="10" t="s">
        <v>131</v>
      </c>
      <c r="AB540" s="10" t="s">
        <v>3520</v>
      </c>
      <c r="AC540" s="10" t="s">
        <v>3521</v>
      </c>
      <c r="AD540" s="10" t="s">
        <v>4645</v>
      </c>
      <c r="AE540" s="10" t="s">
        <v>4646</v>
      </c>
      <c r="AF540" s="15"/>
      <c r="AG540" s="10" t="s">
        <v>3524</v>
      </c>
      <c r="AH540" s="10" t="s">
        <v>3539</v>
      </c>
      <c r="AI540" s="10" t="s">
        <v>3539</v>
      </c>
      <c r="AJ540" s="10" t="s">
        <v>4647</v>
      </c>
      <c r="AK540" s="10" t="s">
        <v>102</v>
      </c>
      <c r="AL540" s="10" t="s">
        <v>1467</v>
      </c>
      <c r="AM540" s="10"/>
      <c r="AN540" s="10"/>
      <c r="AO540" s="13" t="b">
        <v>0</v>
      </c>
      <c r="AP540" s="10" t="s">
        <v>104</v>
      </c>
      <c r="AQ540" s="10">
        <f ca="1">IFERROR(__xludf.DUMMYFUNCTION("""COMPUTED_VALUE"""),4706382)</f>
        <v>4706382</v>
      </c>
      <c r="AR540" s="17">
        <v>255538</v>
      </c>
      <c r="AS540" s="17">
        <v>137269</v>
      </c>
      <c r="AT540" s="17">
        <v>5153757.25</v>
      </c>
      <c r="AU540" s="17">
        <v>1540.45</v>
      </c>
      <c r="AV540" s="17">
        <v>639.5</v>
      </c>
      <c r="AW540" s="10" t="s">
        <v>105</v>
      </c>
      <c r="AX540" s="17">
        <v>62238</v>
      </c>
      <c r="AY540" s="18">
        <v>37.544946419074954</v>
      </c>
      <c r="AZ540" s="10"/>
      <c r="BA540" s="20" t="b">
        <v>0</v>
      </c>
      <c r="BB540" s="10"/>
      <c r="BC540" s="17">
        <v>255538</v>
      </c>
      <c r="BD540" s="17">
        <v>137269</v>
      </c>
      <c r="BE540" s="17">
        <v>5153757.25</v>
      </c>
      <c r="BF540" s="17">
        <v>639.5</v>
      </c>
      <c r="BG540" s="11">
        <f ca="1">IFERROR(__xludf.DUMMYFUNCTION("""COMPUTED_VALUE"""),45969.7916666666)</f>
        <v>45969.791666666599</v>
      </c>
      <c r="BH540" s="17" t="s">
        <v>105</v>
      </c>
      <c r="BI540" s="17"/>
      <c r="BJ540" s="15"/>
      <c r="BK540" s="15"/>
      <c r="BL540" s="13" t="b">
        <v>1</v>
      </c>
      <c r="BM540" s="10"/>
      <c r="BN540" s="10" t="s">
        <v>455</v>
      </c>
      <c r="BO540" s="11">
        <v>45860.370833333334</v>
      </c>
      <c r="BP540" s="11">
        <v>45964.545393518521</v>
      </c>
      <c r="BQ540" s="15">
        <v>45966.794189814813</v>
      </c>
      <c r="BR540" s="15">
        <v>45967.540138888886</v>
      </c>
      <c r="BS540" s="10" t="s">
        <v>455</v>
      </c>
      <c r="BT540" s="10" t="s">
        <v>99</v>
      </c>
      <c r="BU540" s="10" t="s">
        <v>2406</v>
      </c>
      <c r="BV540" s="10" t="s">
        <v>281</v>
      </c>
      <c r="BW540" s="10" t="s">
        <v>4648</v>
      </c>
      <c r="BX540" s="10"/>
      <c r="BY540" s="23"/>
      <c r="BZ540" s="24" t="s">
        <v>299</v>
      </c>
      <c r="CA540" s="19" t="s">
        <v>4649</v>
      </c>
      <c r="CB540" s="19" t="s">
        <v>4650</v>
      </c>
      <c r="CC540" s="23"/>
      <c r="CD540" s="19" t="s">
        <v>4651</v>
      </c>
      <c r="CE540" s="23"/>
      <c r="CF540" s="23"/>
      <c r="CG540" s="23"/>
      <c r="CH540" s="23"/>
      <c r="CI540" s="23"/>
    </row>
    <row r="541" spans="1:87" x14ac:dyDescent="0.3">
      <c r="A541" s="9" t="s">
        <v>4652</v>
      </c>
      <c r="B541" s="10" t="s">
        <v>4653</v>
      </c>
      <c r="C541" s="11">
        <v>45970.791666666664</v>
      </c>
      <c r="D541" s="12">
        <v>8.3333333333333329E-2</v>
      </c>
      <c r="E541" s="11">
        <v>45970.875</v>
      </c>
      <c r="F541" s="10" t="s">
        <v>3511</v>
      </c>
      <c r="G541" s="13" t="b">
        <v>0</v>
      </c>
      <c r="H541" s="10" t="s">
        <v>236</v>
      </c>
      <c r="I541" s="10" t="s">
        <v>212</v>
      </c>
      <c r="J541" s="13" t="b">
        <v>1</v>
      </c>
      <c r="K541" s="13" t="b">
        <v>1</v>
      </c>
      <c r="L541" s="10" t="s">
        <v>124</v>
      </c>
      <c r="M541" s="10" t="s">
        <v>91</v>
      </c>
      <c r="N541" s="10" t="s">
        <v>3513</v>
      </c>
      <c r="O541" s="19" t="s">
        <v>4654</v>
      </c>
      <c r="P541" s="10"/>
      <c r="Q541" s="10" t="s">
        <v>126</v>
      </c>
      <c r="R541" s="10"/>
      <c r="S541" s="19" t="s">
        <v>4655</v>
      </c>
      <c r="T541" s="19" t="s">
        <v>4603</v>
      </c>
      <c r="U541" s="10" t="s">
        <v>3610</v>
      </c>
      <c r="V541" s="10" t="s">
        <v>3517</v>
      </c>
      <c r="W541" s="10" t="s">
        <v>3519</v>
      </c>
      <c r="X541" s="10" t="s">
        <v>130</v>
      </c>
      <c r="Y541" s="10" t="s">
        <v>130</v>
      </c>
      <c r="Z541" s="10" t="s">
        <v>99</v>
      </c>
      <c r="AA541" s="10" t="s">
        <v>131</v>
      </c>
      <c r="AB541" s="10" t="s">
        <v>3520</v>
      </c>
      <c r="AC541" s="10" t="s">
        <v>3521</v>
      </c>
      <c r="AD541" s="10" t="s">
        <v>4656</v>
      </c>
      <c r="AE541" s="10" t="s">
        <v>4657</v>
      </c>
      <c r="AF541" s="15"/>
      <c r="AG541" s="10" t="s">
        <v>3524</v>
      </c>
      <c r="AH541" s="10" t="s">
        <v>3539</v>
      </c>
      <c r="AI541" s="10" t="s">
        <v>3539</v>
      </c>
      <c r="AJ541" s="10" t="s">
        <v>4658</v>
      </c>
      <c r="AK541" s="10" t="s">
        <v>102</v>
      </c>
      <c r="AL541" s="10" t="s">
        <v>1467</v>
      </c>
      <c r="AM541" s="10"/>
      <c r="AN541" s="10"/>
      <c r="AO541" s="13" t="b">
        <v>0</v>
      </c>
      <c r="AP541" s="10" t="s">
        <v>104</v>
      </c>
      <c r="AQ541" s="10">
        <f ca="1">IFERROR(__xludf.DUMMYFUNCTION("""COMPUTED_VALUE"""),4708915)</f>
        <v>4708915</v>
      </c>
      <c r="AR541" s="17">
        <v>323099</v>
      </c>
      <c r="AS541" s="17">
        <v>197374</v>
      </c>
      <c r="AT541" s="17">
        <v>5394375.25</v>
      </c>
      <c r="AU541" s="17">
        <v>777.35</v>
      </c>
      <c r="AV541" s="17">
        <v>152.6</v>
      </c>
      <c r="AW541" s="10" t="s">
        <v>105</v>
      </c>
      <c r="AX541" s="17">
        <v>58811</v>
      </c>
      <c r="AY541" s="18">
        <v>27.330728718068237</v>
      </c>
      <c r="AZ541" s="10"/>
      <c r="BA541" s="20" t="b">
        <v>0</v>
      </c>
      <c r="BB541" s="10"/>
      <c r="BC541" s="17">
        <v>323099</v>
      </c>
      <c r="BD541" s="17">
        <v>197374</v>
      </c>
      <c r="BE541" s="17">
        <v>5394375.25</v>
      </c>
      <c r="BF541" s="17">
        <v>152.6</v>
      </c>
      <c r="BG541" s="11">
        <f ca="1">IFERROR(__xludf.DUMMYFUNCTION("""COMPUTED_VALUE"""),45970.7916666666)</f>
        <v>45970.791666666599</v>
      </c>
      <c r="BH541" s="17" t="s">
        <v>105</v>
      </c>
      <c r="BI541" s="17"/>
      <c r="BJ541" s="15"/>
      <c r="BK541" s="15"/>
      <c r="BL541" s="13" t="b">
        <v>1</v>
      </c>
      <c r="BM541" s="10"/>
      <c r="BN541" s="10" t="s">
        <v>149</v>
      </c>
      <c r="BO541" s="11">
        <v>45860.370833333334</v>
      </c>
      <c r="BP541" s="11">
        <v>45964.555856481478</v>
      </c>
      <c r="BQ541" s="15">
        <v>45966.739085648151</v>
      </c>
      <c r="BR541" s="15">
        <v>45969.698206018518</v>
      </c>
      <c r="BS541" s="10" t="s">
        <v>149</v>
      </c>
      <c r="BT541" s="10" t="s">
        <v>99</v>
      </c>
      <c r="BU541" s="10" t="s">
        <v>280</v>
      </c>
      <c r="BV541" s="10"/>
      <c r="BW541" s="10"/>
      <c r="BX541" s="10"/>
      <c r="BY541" s="23"/>
      <c r="BZ541" s="24" t="s">
        <v>299</v>
      </c>
      <c r="CA541" s="19" t="s">
        <v>4659</v>
      </c>
      <c r="CB541" s="19" t="s">
        <v>4660</v>
      </c>
      <c r="CC541" s="23"/>
      <c r="CD541" s="19" t="s">
        <v>4661</v>
      </c>
      <c r="CE541" s="23"/>
      <c r="CF541" s="23"/>
      <c r="CG541" s="23"/>
      <c r="CH541" s="23"/>
      <c r="CI541" s="23"/>
    </row>
    <row r="542" spans="1:87" x14ac:dyDescent="0.3">
      <c r="A542" s="9" t="s">
        <v>4662</v>
      </c>
      <c r="B542" s="10" t="s">
        <v>4663</v>
      </c>
      <c r="C542" s="11">
        <v>45970.645833333336</v>
      </c>
      <c r="D542" s="12">
        <v>8.3333333333333329E-2</v>
      </c>
      <c r="E542" s="11">
        <v>45970.729166666664</v>
      </c>
      <c r="F542" s="10" t="s">
        <v>3511</v>
      </c>
      <c r="G542" s="13" t="b">
        <v>0</v>
      </c>
      <c r="H542" s="10" t="s">
        <v>123</v>
      </c>
      <c r="I542" s="10" t="s">
        <v>3548</v>
      </c>
      <c r="J542" s="13" t="b">
        <v>0</v>
      </c>
      <c r="K542" s="13" t="b">
        <v>1</v>
      </c>
      <c r="L542" s="10" t="s">
        <v>124</v>
      </c>
      <c r="M542" s="10" t="s">
        <v>91</v>
      </c>
      <c r="N542" s="10" t="s">
        <v>3513</v>
      </c>
      <c r="O542" s="19" t="s">
        <v>4664</v>
      </c>
      <c r="P542" s="10"/>
      <c r="Q542" s="10" t="s">
        <v>126</v>
      </c>
      <c r="R542" s="10"/>
      <c r="S542" s="19" t="s">
        <v>4665</v>
      </c>
      <c r="T542" s="19" t="s">
        <v>4603</v>
      </c>
      <c r="U542" s="10" t="s">
        <v>3622</v>
      </c>
      <c r="V542" s="10" t="s">
        <v>3535</v>
      </c>
      <c r="W542" s="10" t="s">
        <v>3519</v>
      </c>
      <c r="X542" s="10" t="s">
        <v>130</v>
      </c>
      <c r="Y542" s="10" t="s">
        <v>130</v>
      </c>
      <c r="Z542" s="10" t="s">
        <v>99</v>
      </c>
      <c r="AA542" s="10" t="s">
        <v>131</v>
      </c>
      <c r="AB542" s="10" t="s">
        <v>3520</v>
      </c>
      <c r="AC542" s="10" t="s">
        <v>3521</v>
      </c>
      <c r="AD542" s="10" t="s">
        <v>4666</v>
      </c>
      <c r="AE542" s="10" t="s">
        <v>4667</v>
      </c>
      <c r="AF542" s="15"/>
      <c r="AG542" s="10" t="s">
        <v>3524</v>
      </c>
      <c r="AH542" s="10" t="s">
        <v>3539</v>
      </c>
      <c r="AI542" s="10" t="s">
        <v>3539</v>
      </c>
      <c r="AJ542" s="10" t="s">
        <v>4668</v>
      </c>
      <c r="AK542" s="10" t="s">
        <v>102</v>
      </c>
      <c r="AL542" s="10" t="s">
        <v>1467</v>
      </c>
      <c r="AM542" s="10"/>
      <c r="AN542" s="10"/>
      <c r="AO542" s="13" t="b">
        <v>0</v>
      </c>
      <c r="AP542" s="10" t="s">
        <v>104</v>
      </c>
      <c r="AQ542" s="10">
        <f ca="1">IFERROR(__xludf.DUMMYFUNCTION("""COMPUTED_VALUE"""),4708214)</f>
        <v>4708214</v>
      </c>
      <c r="AR542" s="17">
        <v>212450</v>
      </c>
      <c r="AS542" s="17">
        <v>134758</v>
      </c>
      <c r="AT542" s="17">
        <v>4007881.25</v>
      </c>
      <c r="AU542" s="17">
        <v>1174.45</v>
      </c>
      <c r="AV542" s="17">
        <v>269.39999999999998</v>
      </c>
      <c r="AW542" s="10" t="s">
        <v>105</v>
      </c>
      <c r="AX542" s="17">
        <v>49899</v>
      </c>
      <c r="AY542" s="18">
        <v>29.741323335163774</v>
      </c>
      <c r="AZ542" s="10"/>
      <c r="BA542" s="20" t="b">
        <v>0</v>
      </c>
      <c r="BB542" s="10"/>
      <c r="BC542" s="17">
        <v>212450</v>
      </c>
      <c r="BD542" s="17">
        <v>134758</v>
      </c>
      <c r="BE542" s="17">
        <v>4007881.25</v>
      </c>
      <c r="BF542" s="17">
        <v>269.39999999999998</v>
      </c>
      <c r="BG542" s="11">
        <f ca="1">IFERROR(__xludf.DUMMYFUNCTION("""COMPUTED_VALUE"""),45970.6458333333)</f>
        <v>45970.645833333299</v>
      </c>
      <c r="BH542" s="17" t="s">
        <v>105</v>
      </c>
      <c r="BI542" s="17"/>
      <c r="BJ542" s="15"/>
      <c r="BK542" s="15"/>
      <c r="BL542" s="13" t="b">
        <v>0</v>
      </c>
      <c r="BM542" s="10"/>
      <c r="BN542" s="10" t="s">
        <v>149</v>
      </c>
      <c r="BO542" s="11">
        <v>45860.370833333334</v>
      </c>
      <c r="BP542" s="11">
        <v>45964.54886574074</v>
      </c>
      <c r="BQ542" s="15">
        <v>45966.739189814813</v>
      </c>
      <c r="BR542" s="15">
        <v>45968.882511574076</v>
      </c>
      <c r="BS542" s="10" t="s">
        <v>149</v>
      </c>
      <c r="BT542" s="10" t="s">
        <v>99</v>
      </c>
      <c r="BU542" s="10" t="s">
        <v>280</v>
      </c>
      <c r="BV542" s="10"/>
      <c r="BW542" s="10"/>
      <c r="BX542" s="10"/>
      <c r="BY542" s="23"/>
      <c r="BZ542" s="24" t="s">
        <v>284</v>
      </c>
      <c r="CA542" s="19" t="s">
        <v>4669</v>
      </c>
      <c r="CB542" s="19" t="s">
        <v>4670</v>
      </c>
      <c r="CC542" s="23"/>
      <c r="CD542" s="19" t="s">
        <v>4671</v>
      </c>
      <c r="CE542" s="23"/>
      <c r="CF542" s="23"/>
      <c r="CG542" s="23"/>
      <c r="CH542" s="23"/>
      <c r="CI542" s="23"/>
    </row>
    <row r="543" spans="1:87" x14ac:dyDescent="0.3">
      <c r="A543" s="9" t="s">
        <v>4672</v>
      </c>
      <c r="B543" s="10" t="s">
        <v>4673</v>
      </c>
      <c r="C543" s="11">
        <v>45970.791666666664</v>
      </c>
      <c r="D543" s="12">
        <v>8.3333333333333329E-2</v>
      </c>
      <c r="E543" s="11">
        <v>45970.875</v>
      </c>
      <c r="F543" s="10" t="s">
        <v>3511</v>
      </c>
      <c r="G543" s="13" t="b">
        <v>0</v>
      </c>
      <c r="H543" s="10" t="s">
        <v>3512</v>
      </c>
      <c r="I543" s="10" t="s">
        <v>212</v>
      </c>
      <c r="J543" s="13" t="b">
        <v>1</v>
      </c>
      <c r="K543" s="13" t="b">
        <v>1</v>
      </c>
      <c r="L543" s="10" t="s">
        <v>124</v>
      </c>
      <c r="M543" s="10" t="s">
        <v>91</v>
      </c>
      <c r="N543" s="10" t="s">
        <v>3513</v>
      </c>
      <c r="O543" s="19" t="s">
        <v>4674</v>
      </c>
      <c r="P543" s="10"/>
      <c r="Q543" s="10" t="s">
        <v>126</v>
      </c>
      <c r="R543" s="10"/>
      <c r="S543" s="19" t="s">
        <v>4675</v>
      </c>
      <c r="T543" s="19" t="s">
        <v>4603</v>
      </c>
      <c r="U543" s="10" t="s">
        <v>3635</v>
      </c>
      <c r="V543" s="10" t="s">
        <v>3536</v>
      </c>
      <c r="W543" s="10" t="s">
        <v>3519</v>
      </c>
      <c r="X543" s="10" t="s">
        <v>130</v>
      </c>
      <c r="Y543" s="10" t="s">
        <v>130</v>
      </c>
      <c r="Z543" s="10" t="s">
        <v>99</v>
      </c>
      <c r="AA543" s="10" t="s">
        <v>131</v>
      </c>
      <c r="AB543" s="10" t="s">
        <v>3520</v>
      </c>
      <c r="AC543" s="10" t="s">
        <v>3521</v>
      </c>
      <c r="AD543" s="10" t="s">
        <v>4676</v>
      </c>
      <c r="AE543" s="10" t="s">
        <v>4677</v>
      </c>
      <c r="AF543" s="15"/>
      <c r="AG543" s="10" t="s">
        <v>3524</v>
      </c>
      <c r="AH543" s="10" t="s">
        <v>3539</v>
      </c>
      <c r="AI543" s="10" t="s">
        <v>3539</v>
      </c>
      <c r="AJ543" s="10" t="s">
        <v>4678</v>
      </c>
      <c r="AK543" s="10" t="s">
        <v>102</v>
      </c>
      <c r="AL543" s="10" t="s">
        <v>1467</v>
      </c>
      <c r="AM543" s="10"/>
      <c r="AN543" s="10"/>
      <c r="AO543" s="13" t="b">
        <v>0</v>
      </c>
      <c r="AP543" s="10" t="s">
        <v>104</v>
      </c>
      <c r="AQ543" s="10">
        <f ca="1">IFERROR(__xludf.DUMMYFUNCTION("""COMPUTED_VALUE"""),4708846)</f>
        <v>4708846</v>
      </c>
      <c r="AR543" s="17">
        <v>119895</v>
      </c>
      <c r="AS543" s="17">
        <v>64992</v>
      </c>
      <c r="AT543" s="17">
        <v>1859940.5</v>
      </c>
      <c r="AU543" s="17">
        <v>235.4</v>
      </c>
      <c r="AV543" s="17">
        <v>49.75</v>
      </c>
      <c r="AW543" s="10" t="s">
        <v>105</v>
      </c>
      <c r="AX543" s="17">
        <v>29742</v>
      </c>
      <c r="AY543" s="18">
        <v>28.617991445100934</v>
      </c>
      <c r="AZ543" s="10"/>
      <c r="BA543" s="20" t="b">
        <v>0</v>
      </c>
      <c r="BB543" s="10"/>
      <c r="BC543" s="17">
        <v>119895</v>
      </c>
      <c r="BD543" s="17">
        <v>64992</v>
      </c>
      <c r="BE543" s="17">
        <v>1859940.5</v>
      </c>
      <c r="BF543" s="17">
        <v>49.75</v>
      </c>
      <c r="BG543" s="11">
        <f ca="1">IFERROR(__xludf.DUMMYFUNCTION("""COMPUTED_VALUE"""),45970.7916666666)</f>
        <v>45970.791666666599</v>
      </c>
      <c r="BH543" s="17" t="s">
        <v>105</v>
      </c>
      <c r="BI543" s="17"/>
      <c r="BJ543" s="15"/>
      <c r="BK543" s="15"/>
      <c r="BL543" s="13" t="b">
        <v>1</v>
      </c>
      <c r="BM543" s="10"/>
      <c r="BN543" s="10" t="s">
        <v>149</v>
      </c>
      <c r="BO543" s="11">
        <v>45860.370833333334</v>
      </c>
      <c r="BP543" s="11">
        <v>45965.6562962963</v>
      </c>
      <c r="BQ543" s="15">
        <v>45966.73914351852</v>
      </c>
      <c r="BR543" s="15">
        <v>45969.617488425924</v>
      </c>
      <c r="BS543" s="10" t="s">
        <v>149</v>
      </c>
      <c r="BT543" s="10" t="s">
        <v>99</v>
      </c>
      <c r="BU543" s="10" t="s">
        <v>298</v>
      </c>
      <c r="BV543" s="10"/>
      <c r="BW543" s="10"/>
      <c r="BX543" s="10"/>
      <c r="BY543" s="23"/>
      <c r="BZ543" s="24" t="s">
        <v>299</v>
      </c>
      <c r="CA543" s="19" t="s">
        <v>4679</v>
      </c>
      <c r="CB543" s="19" t="s">
        <v>4680</v>
      </c>
      <c r="CC543" s="23"/>
      <c r="CD543" s="19" t="s">
        <v>4681</v>
      </c>
      <c r="CE543" s="23"/>
      <c r="CF543" s="23"/>
      <c r="CG543" s="23"/>
      <c r="CH543" s="23"/>
      <c r="CI543" s="23"/>
    </row>
    <row r="544" spans="1:87" x14ac:dyDescent="0.3">
      <c r="A544" s="9" t="s">
        <v>4682</v>
      </c>
      <c r="B544" s="10" t="s">
        <v>4683</v>
      </c>
      <c r="C544" s="11">
        <v>46005.5625</v>
      </c>
      <c r="D544" s="12">
        <v>8.3333333333333329E-2</v>
      </c>
      <c r="E544" s="11">
        <v>46005.645833333336</v>
      </c>
      <c r="F544" s="10" t="s">
        <v>3511</v>
      </c>
      <c r="G544" s="13" t="b">
        <v>0</v>
      </c>
      <c r="H544" s="10" t="s">
        <v>123</v>
      </c>
      <c r="I544" s="10" t="s">
        <v>3548</v>
      </c>
      <c r="J544" s="13" t="b">
        <v>0</v>
      </c>
      <c r="K544" s="13" t="b">
        <v>1</v>
      </c>
      <c r="L544" s="10" t="s">
        <v>124</v>
      </c>
      <c r="M544" s="10" t="s">
        <v>91</v>
      </c>
      <c r="N544" s="10" t="s">
        <v>3513</v>
      </c>
      <c r="O544" s="19" t="s">
        <v>4684</v>
      </c>
      <c r="P544" s="10"/>
      <c r="Q544" s="10" t="s">
        <v>126</v>
      </c>
      <c r="R544" s="10"/>
      <c r="S544" s="19" t="s">
        <v>4685</v>
      </c>
      <c r="T544" s="19" t="s">
        <v>4686</v>
      </c>
      <c r="U544" s="10" t="s">
        <v>3623</v>
      </c>
      <c r="V544" s="10" t="s">
        <v>3609</v>
      </c>
      <c r="W544" s="10" t="s">
        <v>3519</v>
      </c>
      <c r="X544" s="10" t="s">
        <v>130</v>
      </c>
      <c r="Y544" s="10" t="s">
        <v>130</v>
      </c>
      <c r="Z544" s="10" t="s">
        <v>99</v>
      </c>
      <c r="AA544" s="10" t="s">
        <v>131</v>
      </c>
      <c r="AB544" s="10" t="s">
        <v>3520</v>
      </c>
      <c r="AC544" s="10" t="s">
        <v>3521</v>
      </c>
      <c r="AD544" s="10" t="s">
        <v>4687</v>
      </c>
      <c r="AE544" s="10" t="s">
        <v>4688</v>
      </c>
      <c r="AF544" s="15"/>
      <c r="AG544" s="10" t="s">
        <v>3524</v>
      </c>
      <c r="AH544" s="10" t="s">
        <v>3539</v>
      </c>
      <c r="AI544" s="10" t="s">
        <v>3539</v>
      </c>
      <c r="AJ544" s="10"/>
      <c r="AK544" s="10" t="s">
        <v>102</v>
      </c>
      <c r="AL544" s="10" t="s">
        <v>1467</v>
      </c>
      <c r="AM544" s="10"/>
      <c r="AN544" s="10"/>
      <c r="AO544" s="13" t="b">
        <v>1</v>
      </c>
      <c r="AP544" s="10" t="s">
        <v>104</v>
      </c>
      <c r="AQ544" s="10">
        <f ca="1">IFERROR(__xludf.DUMMYFUNCTION("""COMPUTED_VALUE"""),4772127)</f>
        <v>4772127</v>
      </c>
      <c r="AR544" s="17">
        <v>577231</v>
      </c>
      <c r="AS544" s="17">
        <v>231312</v>
      </c>
      <c r="AT544" s="17">
        <v>14420345.25</v>
      </c>
      <c r="AU544" s="17">
        <v>8500.0499999999993</v>
      </c>
      <c r="AV544" s="17">
        <v>3764.2</v>
      </c>
      <c r="AW544" s="10" t="s">
        <v>297</v>
      </c>
      <c r="AX544" s="17">
        <v>143323</v>
      </c>
      <c r="AY544" s="18">
        <v>62.341535458601371</v>
      </c>
      <c r="AZ544" s="10"/>
      <c r="BA544" s="20" t="b">
        <v>0</v>
      </c>
      <c r="BB544" s="10"/>
      <c r="BC544" s="17">
        <v>577231</v>
      </c>
      <c r="BD544" s="17">
        <v>231312</v>
      </c>
      <c r="BE544" s="17">
        <v>14420345.25</v>
      </c>
      <c r="BF544" s="17">
        <v>3764.2</v>
      </c>
      <c r="BG544" s="11">
        <f ca="1">IFERROR(__xludf.DUMMYFUNCTION("""COMPUTED_VALUE"""),46005.5625)</f>
        <v>46005.5625</v>
      </c>
      <c r="BH544" s="17" t="s">
        <v>297</v>
      </c>
      <c r="BI544" s="17"/>
      <c r="BJ544" s="15"/>
      <c r="BK544" s="15"/>
      <c r="BL544" s="13" t="b">
        <v>0</v>
      </c>
      <c r="BM544" s="10"/>
      <c r="BN544" s="10" t="s">
        <v>197</v>
      </c>
      <c r="BO544" s="11">
        <v>45860.370833333334</v>
      </c>
      <c r="BP544" s="11">
        <v>45993.668912037036</v>
      </c>
      <c r="BQ544" s="15">
        <v>45996.483055555553</v>
      </c>
      <c r="BR544" s="15">
        <v>45999.42664351852</v>
      </c>
      <c r="BS544" s="10" t="s">
        <v>197</v>
      </c>
      <c r="BT544" s="10" t="s">
        <v>99</v>
      </c>
      <c r="BU544" s="10" t="s">
        <v>298</v>
      </c>
      <c r="BV544" s="10" t="s">
        <v>281</v>
      </c>
      <c r="BW544" s="10" t="s">
        <v>4689</v>
      </c>
      <c r="BX544" s="10"/>
      <c r="BY544" s="23"/>
      <c r="BZ544" s="24" t="s">
        <v>284</v>
      </c>
      <c r="CA544" s="19" t="s">
        <v>4690</v>
      </c>
      <c r="CB544" s="19" t="s">
        <v>4691</v>
      </c>
      <c r="CC544" s="23"/>
      <c r="CD544" s="19" t="s">
        <v>4692</v>
      </c>
      <c r="CE544" s="23"/>
      <c r="CF544" s="23"/>
      <c r="CG544" s="23"/>
      <c r="CH544" s="23"/>
      <c r="CI544" s="23"/>
    </row>
    <row r="545" spans="1:87" x14ac:dyDescent="0.3">
      <c r="A545" s="9" t="s">
        <v>4693</v>
      </c>
      <c r="B545" s="10" t="s">
        <v>4694</v>
      </c>
      <c r="C545" s="11">
        <v>45981.645833333336</v>
      </c>
      <c r="D545" s="12">
        <v>8.3333333333333329E-2</v>
      </c>
      <c r="E545" s="11">
        <v>45981.729166666664</v>
      </c>
      <c r="F545" s="10" t="s">
        <v>3511</v>
      </c>
      <c r="G545" s="13" t="b">
        <v>0</v>
      </c>
      <c r="H545" s="10" t="s">
        <v>236</v>
      </c>
      <c r="I545" s="10" t="s">
        <v>212</v>
      </c>
      <c r="J545" s="13" t="b">
        <v>1</v>
      </c>
      <c r="K545" s="13" t="b">
        <v>1</v>
      </c>
      <c r="L545" s="10" t="s">
        <v>124</v>
      </c>
      <c r="M545" s="10" t="s">
        <v>91</v>
      </c>
      <c r="N545" s="10" t="s">
        <v>3513</v>
      </c>
      <c r="O545" s="19" t="s">
        <v>4695</v>
      </c>
      <c r="P545" s="10"/>
      <c r="Q545" s="10" t="s">
        <v>126</v>
      </c>
      <c r="R545" s="10"/>
      <c r="S545" s="19" t="s">
        <v>4696</v>
      </c>
      <c r="T545" s="19" t="s">
        <v>4697</v>
      </c>
      <c r="U545" s="10" t="s">
        <v>3536</v>
      </c>
      <c r="V545" s="10" t="s">
        <v>3610</v>
      </c>
      <c r="W545" s="10" t="s">
        <v>3519</v>
      </c>
      <c r="X545" s="10" t="s">
        <v>130</v>
      </c>
      <c r="Y545" s="10" t="s">
        <v>130</v>
      </c>
      <c r="Z545" s="10" t="s">
        <v>99</v>
      </c>
      <c r="AA545" s="10" t="s">
        <v>131</v>
      </c>
      <c r="AB545" s="10" t="s">
        <v>3520</v>
      </c>
      <c r="AC545" s="10" t="s">
        <v>3521</v>
      </c>
      <c r="AD545" s="10" t="s">
        <v>4698</v>
      </c>
      <c r="AE545" s="10" t="s">
        <v>4699</v>
      </c>
      <c r="AF545" s="15"/>
      <c r="AG545" s="10" t="s">
        <v>3524</v>
      </c>
      <c r="AH545" s="10" t="s">
        <v>3539</v>
      </c>
      <c r="AI545" s="10" t="s">
        <v>3539</v>
      </c>
      <c r="AJ545" s="10" t="s">
        <v>4700</v>
      </c>
      <c r="AK545" s="10" t="s">
        <v>102</v>
      </c>
      <c r="AL545" s="10" t="s">
        <v>1569</v>
      </c>
      <c r="AM545" s="10"/>
      <c r="AN545" s="10"/>
      <c r="AO545" s="13" t="b">
        <v>0</v>
      </c>
      <c r="AP545" s="10" t="s">
        <v>104</v>
      </c>
      <c r="AQ545" s="10">
        <f ca="1">IFERROR(__xludf.DUMMYFUNCTION("""COMPUTED_VALUE"""),4724834)</f>
        <v>4724834</v>
      </c>
      <c r="AR545" s="17">
        <v>212521</v>
      </c>
      <c r="AS545" s="17">
        <v>130396</v>
      </c>
      <c r="AT545" s="17">
        <v>4436796.25</v>
      </c>
      <c r="AU545" s="17">
        <v>776.45</v>
      </c>
      <c r="AV545" s="17">
        <v>78.75</v>
      </c>
      <c r="AW545" s="10" t="s">
        <v>105</v>
      </c>
      <c r="AX545" s="17">
        <v>53723</v>
      </c>
      <c r="AY545" s="18">
        <v>34.025554848308232</v>
      </c>
      <c r="AZ545" s="10"/>
      <c r="BA545" s="20" t="b">
        <v>0</v>
      </c>
      <c r="BB545" s="10"/>
      <c r="BC545" s="17">
        <v>212521</v>
      </c>
      <c r="BD545" s="17">
        <v>130396</v>
      </c>
      <c r="BE545" s="17">
        <v>4436796.25</v>
      </c>
      <c r="BF545" s="17">
        <v>78.75</v>
      </c>
      <c r="BG545" s="11">
        <f ca="1">IFERROR(__xludf.DUMMYFUNCTION("""COMPUTED_VALUE"""),45981.6458333333)</f>
        <v>45981.645833333299</v>
      </c>
      <c r="BH545" s="17" t="s">
        <v>105</v>
      </c>
      <c r="BI545" s="17"/>
      <c r="BJ545" s="15"/>
      <c r="BK545" s="15"/>
      <c r="BL545" s="13" t="b">
        <v>0</v>
      </c>
      <c r="BM545" s="10"/>
      <c r="BN545" s="10" t="s">
        <v>197</v>
      </c>
      <c r="BO545" s="11">
        <v>45860.370833333334</v>
      </c>
      <c r="BP545" s="11">
        <v>45978.681851851848</v>
      </c>
      <c r="BQ545" s="15">
        <v>45980.484814814816</v>
      </c>
      <c r="BR545" s="15">
        <v>45980.51935185185</v>
      </c>
      <c r="BS545" s="10" t="s">
        <v>197</v>
      </c>
      <c r="BT545" s="10" t="s">
        <v>99</v>
      </c>
      <c r="BU545" s="10" t="s">
        <v>498</v>
      </c>
      <c r="BV545" s="10"/>
      <c r="BW545" s="10"/>
      <c r="BX545" s="10"/>
      <c r="BY545" s="23"/>
      <c r="BZ545" s="24" t="s">
        <v>299</v>
      </c>
      <c r="CA545" s="19" t="s">
        <v>4701</v>
      </c>
      <c r="CB545" s="19" t="s">
        <v>4702</v>
      </c>
      <c r="CC545" s="23"/>
      <c r="CD545" s="19" t="s">
        <v>4703</v>
      </c>
      <c r="CE545" s="23"/>
      <c r="CF545" s="23"/>
      <c r="CG545" s="23"/>
      <c r="CH545" s="23"/>
      <c r="CI545" s="23"/>
    </row>
    <row r="546" spans="1:87" x14ac:dyDescent="0.3">
      <c r="A546" s="9" t="s">
        <v>4704</v>
      </c>
      <c r="B546" s="10" t="s">
        <v>4705</v>
      </c>
      <c r="C546" s="11">
        <v>45981.791666666664</v>
      </c>
      <c r="D546" s="12">
        <v>8.3333333333333329E-2</v>
      </c>
      <c r="E546" s="11">
        <v>45981.875</v>
      </c>
      <c r="F546" s="10" t="s">
        <v>3511</v>
      </c>
      <c r="G546" s="13" t="b">
        <v>0</v>
      </c>
      <c r="H546" s="10" t="s">
        <v>123</v>
      </c>
      <c r="I546" s="10" t="s">
        <v>3548</v>
      </c>
      <c r="J546" s="13" t="b">
        <v>0</v>
      </c>
      <c r="K546" s="13" t="b">
        <v>1</v>
      </c>
      <c r="L546" s="10" t="s">
        <v>124</v>
      </c>
      <c r="M546" s="10" t="s">
        <v>91</v>
      </c>
      <c r="N546" s="10" t="s">
        <v>3513</v>
      </c>
      <c r="O546" s="19" t="s">
        <v>4706</v>
      </c>
      <c r="P546" s="10"/>
      <c r="Q546" s="10" t="s">
        <v>126</v>
      </c>
      <c r="R546" s="10"/>
      <c r="S546" s="19" t="s">
        <v>4707</v>
      </c>
      <c r="T546" s="19" t="s">
        <v>4697</v>
      </c>
      <c r="U546" s="10" t="s">
        <v>3647</v>
      </c>
      <c r="V546" s="10" t="s">
        <v>3662</v>
      </c>
      <c r="W546" s="10" t="s">
        <v>3519</v>
      </c>
      <c r="X546" s="10" t="s">
        <v>130</v>
      </c>
      <c r="Y546" s="10" t="s">
        <v>130</v>
      </c>
      <c r="Z546" s="10" t="s">
        <v>99</v>
      </c>
      <c r="AA546" s="10" t="s">
        <v>131</v>
      </c>
      <c r="AB546" s="10" t="s">
        <v>3520</v>
      </c>
      <c r="AC546" s="10" t="s">
        <v>3521</v>
      </c>
      <c r="AD546" s="10" t="s">
        <v>4708</v>
      </c>
      <c r="AE546" s="10" t="s">
        <v>4709</v>
      </c>
      <c r="AF546" s="15"/>
      <c r="AG546" s="10" t="s">
        <v>3524</v>
      </c>
      <c r="AH546" s="10" t="s">
        <v>3539</v>
      </c>
      <c r="AI546" s="10" t="s">
        <v>3539</v>
      </c>
      <c r="AJ546" s="10" t="s">
        <v>4710</v>
      </c>
      <c r="AK546" s="10" t="s">
        <v>102</v>
      </c>
      <c r="AL546" s="10" t="s">
        <v>1569</v>
      </c>
      <c r="AM546" s="10"/>
      <c r="AN546" s="10"/>
      <c r="AO546" s="13" t="b">
        <v>1</v>
      </c>
      <c r="AP546" s="10" t="s">
        <v>104</v>
      </c>
      <c r="AQ546" s="10">
        <f ca="1">IFERROR(__xludf.DUMMYFUNCTION("""COMPUTED_VALUE"""),4724836)</f>
        <v>4724836</v>
      </c>
      <c r="AR546" s="17">
        <v>657696</v>
      </c>
      <c r="AS546" s="17">
        <v>313545</v>
      </c>
      <c r="AT546" s="17">
        <v>12154747</v>
      </c>
      <c r="AU546" s="17">
        <v>6934.25</v>
      </c>
      <c r="AV546" s="17">
        <v>1072.8</v>
      </c>
      <c r="AW546" s="10" t="s">
        <v>297</v>
      </c>
      <c r="AX546" s="17">
        <v>89058</v>
      </c>
      <c r="AY546" s="18">
        <v>38.765558372801351</v>
      </c>
      <c r="AZ546" s="10"/>
      <c r="BA546" s="20" t="b">
        <v>0</v>
      </c>
      <c r="BB546" s="10"/>
      <c r="BC546" s="17">
        <v>657696</v>
      </c>
      <c r="BD546" s="17">
        <v>313545</v>
      </c>
      <c r="BE546" s="17">
        <v>12154747</v>
      </c>
      <c r="BF546" s="17">
        <v>1072.8</v>
      </c>
      <c r="BG546" s="11">
        <f ca="1">IFERROR(__xludf.DUMMYFUNCTION("""COMPUTED_VALUE"""),45981.7916666666)</f>
        <v>45981.791666666599</v>
      </c>
      <c r="BH546" s="17" t="s">
        <v>297</v>
      </c>
      <c r="BI546" s="17"/>
      <c r="BJ546" s="15"/>
      <c r="BK546" s="15"/>
      <c r="BL546" s="13" t="b">
        <v>0</v>
      </c>
      <c r="BM546" s="10"/>
      <c r="BN546" s="10" t="s">
        <v>197</v>
      </c>
      <c r="BO546" s="11">
        <v>45860.370833333334</v>
      </c>
      <c r="BP546" s="11">
        <v>45978.685694444444</v>
      </c>
      <c r="BQ546" s="15">
        <v>45980.484930555554</v>
      </c>
      <c r="BR546" s="15">
        <v>45980.528032407405</v>
      </c>
      <c r="BS546" s="10" t="s">
        <v>197</v>
      </c>
      <c r="BT546" s="10" t="s">
        <v>99</v>
      </c>
      <c r="BU546" s="10" t="s">
        <v>498</v>
      </c>
      <c r="BV546" s="10" t="s">
        <v>124</v>
      </c>
      <c r="BW546" s="10"/>
      <c r="BX546" s="10"/>
      <c r="BY546" s="23"/>
      <c r="BZ546" s="24" t="s">
        <v>284</v>
      </c>
      <c r="CA546" s="19" t="s">
        <v>4711</v>
      </c>
      <c r="CB546" s="19" t="s">
        <v>4712</v>
      </c>
      <c r="CC546" s="23"/>
      <c r="CD546" s="19" t="s">
        <v>4713</v>
      </c>
      <c r="CE546" s="23"/>
      <c r="CF546" s="23"/>
      <c r="CG546" s="23"/>
      <c r="CH546" s="23"/>
      <c r="CI546" s="23"/>
    </row>
    <row r="547" spans="1:87" x14ac:dyDescent="0.3">
      <c r="A547" s="9" t="s">
        <v>4714</v>
      </c>
      <c r="B547" s="10" t="s">
        <v>4715</v>
      </c>
      <c r="C547" s="11">
        <v>45982.645833333336</v>
      </c>
      <c r="D547" s="12">
        <v>8.3333333333333329E-2</v>
      </c>
      <c r="E547" s="11">
        <v>45982.729166666664</v>
      </c>
      <c r="F547" s="10" t="s">
        <v>3511</v>
      </c>
      <c r="G547" s="13" t="b">
        <v>0</v>
      </c>
      <c r="H547" s="10" t="s">
        <v>123</v>
      </c>
      <c r="I547" s="10" t="s">
        <v>3548</v>
      </c>
      <c r="J547" s="13" t="b">
        <v>0</v>
      </c>
      <c r="K547" s="13" t="b">
        <v>1</v>
      </c>
      <c r="L547" s="10" t="s">
        <v>124</v>
      </c>
      <c r="M547" s="10" t="s">
        <v>91</v>
      </c>
      <c r="N547" s="10" t="s">
        <v>3513</v>
      </c>
      <c r="O547" s="19" t="s">
        <v>4716</v>
      </c>
      <c r="P547" s="10"/>
      <c r="Q547" s="10" t="s">
        <v>126</v>
      </c>
      <c r="R547" s="10"/>
      <c r="S547" s="19" t="s">
        <v>4717</v>
      </c>
      <c r="T547" s="19" t="s">
        <v>4697</v>
      </c>
      <c r="U547" s="10" t="s">
        <v>3535</v>
      </c>
      <c r="V547" s="10" t="s">
        <v>3677</v>
      </c>
      <c r="W547" s="10" t="s">
        <v>3519</v>
      </c>
      <c r="X547" s="10" t="s">
        <v>130</v>
      </c>
      <c r="Y547" s="10" t="s">
        <v>130</v>
      </c>
      <c r="Z547" s="10" t="s">
        <v>99</v>
      </c>
      <c r="AA547" s="10" t="s">
        <v>131</v>
      </c>
      <c r="AB547" s="10" t="s">
        <v>3520</v>
      </c>
      <c r="AC547" s="10" t="s">
        <v>3521</v>
      </c>
      <c r="AD547" s="10" t="s">
        <v>4718</v>
      </c>
      <c r="AE547" s="10" t="s">
        <v>4719</v>
      </c>
      <c r="AF547" s="15"/>
      <c r="AG547" s="10" t="s">
        <v>3524</v>
      </c>
      <c r="AH547" s="10" t="s">
        <v>3539</v>
      </c>
      <c r="AI547" s="10" t="s">
        <v>3539</v>
      </c>
      <c r="AJ547" s="10" t="s">
        <v>4720</v>
      </c>
      <c r="AK547" s="10" t="s">
        <v>102</v>
      </c>
      <c r="AL547" s="10" t="s">
        <v>1569</v>
      </c>
      <c r="AM547" s="10"/>
      <c r="AN547" s="10"/>
      <c r="AO547" s="13" t="b">
        <v>0</v>
      </c>
      <c r="AP547" s="10" t="s">
        <v>104</v>
      </c>
      <c r="AQ547" s="10">
        <f ca="1">IFERROR(__xludf.DUMMYFUNCTION("""COMPUTED_VALUE"""),4724839)</f>
        <v>4724839</v>
      </c>
      <c r="AR547" s="17">
        <v>183602</v>
      </c>
      <c r="AS547" s="17">
        <v>128443</v>
      </c>
      <c r="AT547" s="17">
        <v>2936839</v>
      </c>
      <c r="AU547" s="17">
        <v>1853.25</v>
      </c>
      <c r="AV547" s="17">
        <v>361.5</v>
      </c>
      <c r="AW547" s="10" t="s">
        <v>105</v>
      </c>
      <c r="AX547" s="17">
        <v>35265</v>
      </c>
      <c r="AY547" s="18">
        <v>22.864920626270017</v>
      </c>
      <c r="AZ547" s="10"/>
      <c r="BA547" s="20" t="b">
        <v>0</v>
      </c>
      <c r="BB547" s="10"/>
      <c r="BC547" s="17">
        <v>183602</v>
      </c>
      <c r="BD547" s="17">
        <v>128443</v>
      </c>
      <c r="BE547" s="17">
        <v>2936839</v>
      </c>
      <c r="BF547" s="17">
        <v>361.5</v>
      </c>
      <c r="BG547" s="11">
        <f ca="1">IFERROR(__xludf.DUMMYFUNCTION("""COMPUTED_VALUE"""),45982.6458333333)</f>
        <v>45982.645833333299</v>
      </c>
      <c r="BH547" s="17" t="s">
        <v>105</v>
      </c>
      <c r="BI547" s="17"/>
      <c r="BJ547" s="15"/>
      <c r="BK547" s="15"/>
      <c r="BL547" s="13" t="b">
        <v>0</v>
      </c>
      <c r="BM547" s="10"/>
      <c r="BN547" s="10" t="s">
        <v>149</v>
      </c>
      <c r="BO547" s="11">
        <v>45860.370833333334</v>
      </c>
      <c r="BP547" s="11">
        <v>45980.681168981479</v>
      </c>
      <c r="BQ547" s="15">
        <v>45980.48510416667</v>
      </c>
      <c r="BR547" s="15">
        <v>45980.536365740743</v>
      </c>
      <c r="BS547" s="10" t="s">
        <v>149</v>
      </c>
      <c r="BT547" s="10" t="s">
        <v>99</v>
      </c>
      <c r="BU547" s="10" t="s">
        <v>498</v>
      </c>
      <c r="BV547" s="10"/>
      <c r="BW547" s="10"/>
      <c r="BX547" s="10"/>
      <c r="BY547" s="23"/>
      <c r="BZ547" s="24" t="s">
        <v>284</v>
      </c>
      <c r="CA547" s="19" t="s">
        <v>4721</v>
      </c>
      <c r="CB547" s="19" t="s">
        <v>4722</v>
      </c>
      <c r="CC547" s="23"/>
      <c r="CD547" s="19" t="s">
        <v>4723</v>
      </c>
      <c r="CE547" s="23"/>
      <c r="CF547" s="23"/>
      <c r="CG547" s="23"/>
      <c r="CH547" s="23"/>
      <c r="CI547" s="23"/>
    </row>
    <row r="548" spans="1:87" x14ac:dyDescent="0.3">
      <c r="A548" s="9" t="s">
        <v>4724</v>
      </c>
      <c r="B548" s="10" t="s">
        <v>4725</v>
      </c>
      <c r="C548" s="11">
        <v>45982.791666666664</v>
      </c>
      <c r="D548" s="12">
        <v>8.3333333333333329E-2</v>
      </c>
      <c r="E548" s="11">
        <v>45982.875</v>
      </c>
      <c r="F548" s="10" t="s">
        <v>3511</v>
      </c>
      <c r="G548" s="13" t="b">
        <v>0</v>
      </c>
      <c r="H548" s="10" t="s">
        <v>123</v>
      </c>
      <c r="I548" s="10" t="s">
        <v>3548</v>
      </c>
      <c r="J548" s="13" t="b">
        <v>0</v>
      </c>
      <c r="K548" s="13" t="b">
        <v>1</v>
      </c>
      <c r="L548" s="10" t="s">
        <v>124</v>
      </c>
      <c r="M548" s="10" t="s">
        <v>91</v>
      </c>
      <c r="N548" s="10" t="s">
        <v>3513</v>
      </c>
      <c r="O548" s="19" t="s">
        <v>4726</v>
      </c>
      <c r="P548" s="10"/>
      <c r="Q548" s="10" t="s">
        <v>126</v>
      </c>
      <c r="R548" s="10"/>
      <c r="S548" s="19" t="s">
        <v>4727</v>
      </c>
      <c r="T548" s="19" t="s">
        <v>4697</v>
      </c>
      <c r="U548" s="10" t="s">
        <v>3609</v>
      </c>
      <c r="V548" s="10" t="s">
        <v>3622</v>
      </c>
      <c r="W548" s="10" t="s">
        <v>3519</v>
      </c>
      <c r="X548" s="10" t="s">
        <v>130</v>
      </c>
      <c r="Y548" s="10" t="s">
        <v>130</v>
      </c>
      <c r="Z548" s="10" t="s">
        <v>99</v>
      </c>
      <c r="AA548" s="10" t="s">
        <v>131</v>
      </c>
      <c r="AB548" s="10" t="s">
        <v>3520</v>
      </c>
      <c r="AC548" s="10" t="s">
        <v>3521</v>
      </c>
      <c r="AD548" s="10" t="s">
        <v>4728</v>
      </c>
      <c r="AE548" s="10" t="s">
        <v>4729</v>
      </c>
      <c r="AF548" s="15"/>
      <c r="AG548" s="10" t="s">
        <v>3524</v>
      </c>
      <c r="AH548" s="10" t="s">
        <v>3539</v>
      </c>
      <c r="AI548" s="10" t="s">
        <v>3539</v>
      </c>
      <c r="AJ548" s="10" t="s">
        <v>4730</v>
      </c>
      <c r="AK548" s="10" t="s">
        <v>102</v>
      </c>
      <c r="AL548" s="10" t="s">
        <v>1569</v>
      </c>
      <c r="AM548" s="10"/>
      <c r="AN548" s="10"/>
      <c r="AO548" s="13" t="b">
        <v>1</v>
      </c>
      <c r="AP548" s="10" t="s">
        <v>104</v>
      </c>
      <c r="AQ548" s="10">
        <f ca="1">IFERROR(__xludf.DUMMYFUNCTION("""COMPUTED_VALUE"""),4724842)</f>
        <v>4724842</v>
      </c>
      <c r="AR548" s="17">
        <v>728801</v>
      </c>
      <c r="AS548" s="17">
        <v>298865</v>
      </c>
      <c r="AT548" s="17">
        <v>15369575.75</v>
      </c>
      <c r="AU548" s="17">
        <v>15666.55</v>
      </c>
      <c r="AV548" s="17">
        <v>4668.3999999999996</v>
      </c>
      <c r="AW548" s="10" t="s">
        <v>297</v>
      </c>
      <c r="AX548" s="17">
        <v>168039</v>
      </c>
      <c r="AY548" s="18">
        <v>51.426482692854634</v>
      </c>
      <c r="AZ548" s="10"/>
      <c r="BA548" s="20" t="b">
        <v>0</v>
      </c>
      <c r="BB548" s="10"/>
      <c r="BC548" s="17">
        <v>728801</v>
      </c>
      <c r="BD548" s="17">
        <v>298865</v>
      </c>
      <c r="BE548" s="17">
        <v>15369575.75</v>
      </c>
      <c r="BF548" s="17">
        <v>4668.3999999999996</v>
      </c>
      <c r="BG548" s="11">
        <f ca="1">IFERROR(__xludf.DUMMYFUNCTION("""COMPUTED_VALUE"""),45982.7916666666)</f>
        <v>45982.791666666599</v>
      </c>
      <c r="BH548" s="17" t="s">
        <v>297</v>
      </c>
      <c r="BI548" s="17"/>
      <c r="BJ548" s="15"/>
      <c r="BK548" s="15"/>
      <c r="BL548" s="13" t="b">
        <v>0</v>
      </c>
      <c r="BM548" s="10"/>
      <c r="BN548" s="10" t="s">
        <v>149</v>
      </c>
      <c r="BO548" s="11">
        <v>45860.370833333334</v>
      </c>
      <c r="BP548" s="11">
        <v>45978.693287037036</v>
      </c>
      <c r="BQ548" s="15">
        <v>45980.485185185185</v>
      </c>
      <c r="BR548" s="15">
        <v>45980.540150462963</v>
      </c>
      <c r="BS548" s="10" t="s">
        <v>149</v>
      </c>
      <c r="BT548" s="10" t="s">
        <v>99</v>
      </c>
      <c r="BU548" s="10" t="s">
        <v>498</v>
      </c>
      <c r="BV548" s="10" t="s">
        <v>281</v>
      </c>
      <c r="BW548" s="10" t="s">
        <v>2629</v>
      </c>
      <c r="BX548" s="10"/>
      <c r="BY548" s="23"/>
      <c r="BZ548" s="24" t="s">
        <v>368</v>
      </c>
      <c r="CA548" s="19" t="s">
        <v>4731</v>
      </c>
      <c r="CB548" s="19" t="s">
        <v>4732</v>
      </c>
      <c r="CC548" s="23"/>
      <c r="CD548" s="19" t="s">
        <v>4733</v>
      </c>
      <c r="CE548" s="23"/>
      <c r="CF548" s="23"/>
      <c r="CG548" s="23"/>
      <c r="CH548" s="23"/>
      <c r="CI548" s="23"/>
    </row>
    <row r="549" spans="1:87" x14ac:dyDescent="0.3">
      <c r="A549" s="9" t="s">
        <v>4734</v>
      </c>
      <c r="B549" s="10" t="s">
        <v>4735</v>
      </c>
      <c r="C549" s="11">
        <v>45983.645833333336</v>
      </c>
      <c r="D549" s="12">
        <v>8.3333333333333329E-2</v>
      </c>
      <c r="E549" s="11">
        <v>45983.729166666664</v>
      </c>
      <c r="F549" s="10" t="s">
        <v>3511</v>
      </c>
      <c r="G549" s="13" t="b">
        <v>0</v>
      </c>
      <c r="H549" s="10" t="s">
        <v>123</v>
      </c>
      <c r="I549" s="10" t="s">
        <v>3548</v>
      </c>
      <c r="J549" s="13" t="b">
        <v>0</v>
      </c>
      <c r="K549" s="13" t="b">
        <v>1</v>
      </c>
      <c r="L549" s="10" t="s">
        <v>124</v>
      </c>
      <c r="M549" s="10" t="s">
        <v>91</v>
      </c>
      <c r="N549" s="10" t="s">
        <v>3513</v>
      </c>
      <c r="O549" s="19" t="s">
        <v>4736</v>
      </c>
      <c r="P549" s="10"/>
      <c r="Q549" s="10" t="s">
        <v>126</v>
      </c>
      <c r="R549" s="10"/>
      <c r="S549" s="19" t="s">
        <v>4737</v>
      </c>
      <c r="T549" s="19" t="s">
        <v>4697</v>
      </c>
      <c r="U549" s="10" t="s">
        <v>3551</v>
      </c>
      <c r="V549" s="10" t="s">
        <v>3676</v>
      </c>
      <c r="W549" s="10" t="s">
        <v>3519</v>
      </c>
      <c r="X549" s="10" t="s">
        <v>130</v>
      </c>
      <c r="Y549" s="10" t="s">
        <v>130</v>
      </c>
      <c r="Z549" s="10" t="s">
        <v>99</v>
      </c>
      <c r="AA549" s="10" t="s">
        <v>131</v>
      </c>
      <c r="AB549" s="10" t="s">
        <v>3520</v>
      </c>
      <c r="AC549" s="10" t="s">
        <v>3521</v>
      </c>
      <c r="AD549" s="10" t="s">
        <v>4738</v>
      </c>
      <c r="AE549" s="10" t="s">
        <v>4739</v>
      </c>
      <c r="AF549" s="15"/>
      <c r="AG549" s="10" t="s">
        <v>3524</v>
      </c>
      <c r="AH549" s="10" t="s">
        <v>3539</v>
      </c>
      <c r="AI549" s="10" t="s">
        <v>3539</v>
      </c>
      <c r="AJ549" s="10" t="s">
        <v>4740</v>
      </c>
      <c r="AK549" s="10" t="s">
        <v>102</v>
      </c>
      <c r="AL549" s="10" t="s">
        <v>1569</v>
      </c>
      <c r="AM549" s="10"/>
      <c r="AN549" s="10"/>
      <c r="AO549" s="13" t="b">
        <v>1</v>
      </c>
      <c r="AP549" s="10" t="s">
        <v>104</v>
      </c>
      <c r="AQ549" s="10">
        <f ca="1">IFERROR(__xludf.DUMMYFUNCTION("""COMPUTED_VALUE"""),4724844)</f>
        <v>4724844</v>
      </c>
      <c r="AR549" s="17">
        <v>352622</v>
      </c>
      <c r="AS549" s="17">
        <v>207465</v>
      </c>
      <c r="AT549" s="17">
        <v>6903047</v>
      </c>
      <c r="AU549" s="17">
        <v>3892.45</v>
      </c>
      <c r="AV549" s="17">
        <v>1238.95</v>
      </c>
      <c r="AW549" s="10" t="s">
        <v>297</v>
      </c>
      <c r="AX549" s="17">
        <v>82941</v>
      </c>
      <c r="AY549" s="18">
        <v>33.273308750873639</v>
      </c>
      <c r="AZ549" s="10"/>
      <c r="BA549" s="20" t="b">
        <v>0</v>
      </c>
      <c r="BB549" s="10"/>
      <c r="BC549" s="17">
        <v>352622</v>
      </c>
      <c r="BD549" s="17">
        <v>207465</v>
      </c>
      <c r="BE549" s="17">
        <v>6903047</v>
      </c>
      <c r="BF549" s="17">
        <v>1238.95</v>
      </c>
      <c r="BG549" s="11">
        <f ca="1">IFERROR(__xludf.DUMMYFUNCTION("""COMPUTED_VALUE"""),45983.6458333333)</f>
        <v>45983.645833333299</v>
      </c>
      <c r="BH549" s="17" t="s">
        <v>297</v>
      </c>
      <c r="BI549" s="17"/>
      <c r="BJ549" s="15"/>
      <c r="BK549" s="15"/>
      <c r="BL549" s="13" t="b">
        <v>0</v>
      </c>
      <c r="BM549" s="10"/>
      <c r="BN549" s="10" t="s">
        <v>149</v>
      </c>
      <c r="BO549" s="11">
        <v>45860.370833333334</v>
      </c>
      <c r="BP549" s="11">
        <v>45978.69599537037</v>
      </c>
      <c r="BQ549" s="15">
        <v>45980.48541666667</v>
      </c>
      <c r="BR549" s="15">
        <v>45980.550891203704</v>
      </c>
      <c r="BS549" s="10" t="s">
        <v>149</v>
      </c>
      <c r="BT549" s="10" t="s">
        <v>99</v>
      </c>
      <c r="BU549" s="10" t="s">
        <v>298</v>
      </c>
      <c r="BV549" s="10" t="s">
        <v>281</v>
      </c>
      <c r="BW549" s="10" t="s">
        <v>2629</v>
      </c>
      <c r="BX549" s="10"/>
      <c r="BY549" s="23"/>
      <c r="BZ549" s="24" t="s">
        <v>368</v>
      </c>
      <c r="CA549" s="19" t="s">
        <v>4741</v>
      </c>
      <c r="CB549" s="19" t="s">
        <v>4742</v>
      </c>
      <c r="CC549" s="23"/>
      <c r="CD549" s="19" t="s">
        <v>4743</v>
      </c>
      <c r="CE549" s="23"/>
      <c r="CF549" s="23"/>
      <c r="CG549" s="23"/>
      <c r="CH549" s="23"/>
      <c r="CI549" s="23"/>
    </row>
    <row r="550" spans="1:87" x14ac:dyDescent="0.3">
      <c r="A550" s="9" t="s">
        <v>4744</v>
      </c>
      <c r="B550" s="10" t="s">
        <v>4745</v>
      </c>
      <c r="C550" s="11">
        <v>45983.645833333336</v>
      </c>
      <c r="D550" s="12">
        <v>8.3333333333333329E-2</v>
      </c>
      <c r="E550" s="11">
        <v>45983.729166666664</v>
      </c>
      <c r="F550" s="10" t="s">
        <v>3511</v>
      </c>
      <c r="G550" s="13" t="b">
        <v>0</v>
      </c>
      <c r="H550" s="10" t="s">
        <v>3512</v>
      </c>
      <c r="I550" s="10" t="s">
        <v>3548</v>
      </c>
      <c r="J550" s="13" t="b">
        <v>0</v>
      </c>
      <c r="K550" s="13" t="b">
        <v>1</v>
      </c>
      <c r="L550" s="10" t="s">
        <v>124</v>
      </c>
      <c r="M550" s="10" t="s">
        <v>91</v>
      </c>
      <c r="N550" s="10" t="s">
        <v>3513</v>
      </c>
      <c r="O550" s="19" t="s">
        <v>4746</v>
      </c>
      <c r="P550" s="10"/>
      <c r="Q550" s="10" t="s">
        <v>126</v>
      </c>
      <c r="R550" s="10"/>
      <c r="S550" s="19" t="s">
        <v>4747</v>
      </c>
      <c r="T550" s="19" t="s">
        <v>4697</v>
      </c>
      <c r="U550" s="10" t="s">
        <v>3552</v>
      </c>
      <c r="V550" s="10" t="s">
        <v>3518</v>
      </c>
      <c r="W550" s="10" t="s">
        <v>3519</v>
      </c>
      <c r="X550" s="10" t="s">
        <v>130</v>
      </c>
      <c r="Y550" s="10" t="s">
        <v>130</v>
      </c>
      <c r="Z550" s="10" t="s">
        <v>99</v>
      </c>
      <c r="AA550" s="10" t="s">
        <v>131</v>
      </c>
      <c r="AB550" s="10" t="s">
        <v>3520</v>
      </c>
      <c r="AC550" s="10" t="s">
        <v>3521</v>
      </c>
      <c r="AD550" s="10" t="s">
        <v>4748</v>
      </c>
      <c r="AE550" s="10" t="s">
        <v>4749</v>
      </c>
      <c r="AF550" s="15"/>
      <c r="AG550" s="10" t="s">
        <v>3524</v>
      </c>
      <c r="AH550" s="10" t="s">
        <v>3539</v>
      </c>
      <c r="AI550" s="10" t="s">
        <v>3539</v>
      </c>
      <c r="AJ550" s="10" t="s">
        <v>4750</v>
      </c>
      <c r="AK550" s="10" t="s">
        <v>102</v>
      </c>
      <c r="AL550" s="10" t="s">
        <v>1569</v>
      </c>
      <c r="AM550" s="10"/>
      <c r="AN550" s="10"/>
      <c r="AO550" s="13" t="b">
        <v>0</v>
      </c>
      <c r="AP550" s="10" t="s">
        <v>104</v>
      </c>
      <c r="AQ550" s="10">
        <f ca="1">IFERROR(__xludf.DUMMYFUNCTION("""COMPUTED_VALUE"""),4724847)</f>
        <v>4724847</v>
      </c>
      <c r="AR550" s="17">
        <v>63946</v>
      </c>
      <c r="AS550" s="17">
        <v>39444</v>
      </c>
      <c r="AT550" s="17">
        <v>732014.75</v>
      </c>
      <c r="AU550" s="17">
        <v>840.65</v>
      </c>
      <c r="AV550" s="17">
        <v>239.9</v>
      </c>
      <c r="AW550" s="10" t="s">
        <v>105</v>
      </c>
      <c r="AX550" s="17">
        <v>10508</v>
      </c>
      <c r="AY550" s="18">
        <v>18.558329530473582</v>
      </c>
      <c r="AZ550" s="10"/>
      <c r="BA550" s="20" t="b">
        <v>0</v>
      </c>
      <c r="BB550" s="10"/>
      <c r="BC550" s="17">
        <v>63946</v>
      </c>
      <c r="BD550" s="17">
        <v>39444</v>
      </c>
      <c r="BE550" s="17">
        <v>732014.75</v>
      </c>
      <c r="BF550" s="17">
        <v>239.9</v>
      </c>
      <c r="BG550" s="11">
        <f ca="1">IFERROR(__xludf.DUMMYFUNCTION("""COMPUTED_VALUE"""),45983.6458333333)</f>
        <v>45983.645833333299</v>
      </c>
      <c r="BH550" s="17" t="s">
        <v>105</v>
      </c>
      <c r="BI550" s="17"/>
      <c r="BJ550" s="15"/>
      <c r="BK550" s="15"/>
      <c r="BL550" s="13" t="b">
        <v>1</v>
      </c>
      <c r="BM550" s="10"/>
      <c r="BN550" s="10" t="s">
        <v>149</v>
      </c>
      <c r="BO550" s="11">
        <v>45860.370833333334</v>
      </c>
      <c r="BP550" s="11">
        <v>45980.682997685188</v>
      </c>
      <c r="BQ550" s="15">
        <v>45980.485486111109</v>
      </c>
      <c r="BR550" s="15">
        <v>45980.561145833337</v>
      </c>
      <c r="BS550" s="10" t="s">
        <v>149</v>
      </c>
      <c r="BT550" s="10" t="s">
        <v>99</v>
      </c>
      <c r="BU550" s="10" t="s">
        <v>816</v>
      </c>
      <c r="BV550" s="10"/>
      <c r="BW550" s="10"/>
      <c r="BX550" s="10"/>
      <c r="BY550" s="23"/>
      <c r="BZ550" s="24" t="s">
        <v>299</v>
      </c>
      <c r="CA550" s="19" t="s">
        <v>4751</v>
      </c>
      <c r="CB550" s="19" t="s">
        <v>4752</v>
      </c>
      <c r="CC550" s="23"/>
      <c r="CD550" s="19" t="s">
        <v>4753</v>
      </c>
      <c r="CE550" s="23"/>
      <c r="CF550" s="23"/>
      <c r="CG550" s="23"/>
      <c r="CH550" s="23"/>
      <c r="CI550" s="23"/>
    </row>
    <row r="551" spans="1:87" x14ac:dyDescent="0.3">
      <c r="A551" s="9" t="s">
        <v>4754</v>
      </c>
      <c r="B551" s="10" t="s">
        <v>4755</v>
      </c>
      <c r="C551" s="11">
        <v>45983.791666666664</v>
      </c>
      <c r="D551" s="12">
        <v>8.3333333333333329E-2</v>
      </c>
      <c r="E551" s="11">
        <v>45983.875</v>
      </c>
      <c r="F551" s="10" t="s">
        <v>3511</v>
      </c>
      <c r="G551" s="13" t="b">
        <v>0</v>
      </c>
      <c r="H551" s="10" t="s">
        <v>123</v>
      </c>
      <c r="I551" s="10" t="s">
        <v>3548</v>
      </c>
      <c r="J551" s="13" t="b">
        <v>0</v>
      </c>
      <c r="K551" s="13" t="b">
        <v>1</v>
      </c>
      <c r="L551" s="10" t="s">
        <v>124</v>
      </c>
      <c r="M551" s="10" t="s">
        <v>91</v>
      </c>
      <c r="N551" s="10" t="s">
        <v>3513</v>
      </c>
      <c r="O551" s="19" t="s">
        <v>4756</v>
      </c>
      <c r="P551" s="10"/>
      <c r="Q551" s="10" t="s">
        <v>126</v>
      </c>
      <c r="R551" s="10"/>
      <c r="S551" s="19" t="s">
        <v>4757</v>
      </c>
      <c r="T551" s="19" t="s">
        <v>4697</v>
      </c>
      <c r="U551" s="10" t="s">
        <v>3517</v>
      </c>
      <c r="V551" s="10" t="s">
        <v>3635</v>
      </c>
      <c r="W551" s="10" t="s">
        <v>3519</v>
      </c>
      <c r="X551" s="10" t="s">
        <v>130</v>
      </c>
      <c r="Y551" s="10" t="s">
        <v>130</v>
      </c>
      <c r="Z551" s="10" t="s">
        <v>99</v>
      </c>
      <c r="AA551" s="10" t="s">
        <v>131</v>
      </c>
      <c r="AB551" s="10" t="s">
        <v>3520</v>
      </c>
      <c r="AC551" s="10" t="s">
        <v>3521</v>
      </c>
      <c r="AD551" s="10" t="s">
        <v>4758</v>
      </c>
      <c r="AE551" s="10" t="s">
        <v>4759</v>
      </c>
      <c r="AF551" s="15"/>
      <c r="AG551" s="10" t="s">
        <v>3524</v>
      </c>
      <c r="AH551" s="10" t="s">
        <v>3539</v>
      </c>
      <c r="AI551" s="10" t="s">
        <v>3539</v>
      </c>
      <c r="AJ551" s="10" t="s">
        <v>4760</v>
      </c>
      <c r="AK551" s="10" t="s">
        <v>102</v>
      </c>
      <c r="AL551" s="10" t="s">
        <v>1569</v>
      </c>
      <c r="AM551" s="10"/>
      <c r="AN551" s="10"/>
      <c r="AO551" s="13" t="b">
        <v>0</v>
      </c>
      <c r="AP551" s="10" t="s">
        <v>104</v>
      </c>
      <c r="AQ551" s="10">
        <f ca="1">IFERROR(__xludf.DUMMYFUNCTION("""COMPUTED_VALUE"""),4724849)</f>
        <v>4724849</v>
      </c>
      <c r="AR551" s="17">
        <v>296311</v>
      </c>
      <c r="AS551" s="17">
        <v>189201</v>
      </c>
      <c r="AT551" s="17">
        <v>5604372.5</v>
      </c>
      <c r="AU551" s="17">
        <v>1672.45</v>
      </c>
      <c r="AV551" s="17">
        <v>387.55</v>
      </c>
      <c r="AW551" s="10" t="s">
        <v>105</v>
      </c>
      <c r="AX551" s="17">
        <v>72812</v>
      </c>
      <c r="AY551" s="18">
        <v>29.621262572607968</v>
      </c>
      <c r="AZ551" s="10"/>
      <c r="BA551" s="20" t="b">
        <v>0</v>
      </c>
      <c r="BB551" s="10"/>
      <c r="BC551" s="17">
        <v>296311</v>
      </c>
      <c r="BD551" s="17">
        <v>189201</v>
      </c>
      <c r="BE551" s="17">
        <v>5604372.5</v>
      </c>
      <c r="BF551" s="17">
        <v>387.55</v>
      </c>
      <c r="BG551" s="11">
        <f ca="1">IFERROR(__xludf.DUMMYFUNCTION("""COMPUTED_VALUE"""),45983.7916666666)</f>
        <v>45983.791666666599</v>
      </c>
      <c r="BH551" s="17" t="s">
        <v>105</v>
      </c>
      <c r="BI551" s="17"/>
      <c r="BJ551" s="15"/>
      <c r="BK551" s="15"/>
      <c r="BL551" s="13" t="b">
        <v>0</v>
      </c>
      <c r="BM551" s="10"/>
      <c r="BN551" s="10" t="s">
        <v>149</v>
      </c>
      <c r="BO551" s="11">
        <v>45860.370833333334</v>
      </c>
      <c r="BP551" s="11">
        <v>45980.683263888888</v>
      </c>
      <c r="BQ551" s="15">
        <v>45980.485532407409</v>
      </c>
      <c r="BR551" s="15">
        <v>45980.575995370367</v>
      </c>
      <c r="BS551" s="10" t="s">
        <v>149</v>
      </c>
      <c r="BT551" s="10" t="s">
        <v>99</v>
      </c>
      <c r="BU551" s="10" t="s">
        <v>298</v>
      </c>
      <c r="BV551" s="10"/>
      <c r="BW551" s="10"/>
      <c r="BX551" s="10"/>
      <c r="BY551" s="23"/>
      <c r="BZ551" s="24" t="s">
        <v>299</v>
      </c>
      <c r="CA551" s="19" t="s">
        <v>4761</v>
      </c>
      <c r="CB551" s="19" t="s">
        <v>4762</v>
      </c>
      <c r="CC551" s="23"/>
      <c r="CD551" s="19" t="s">
        <v>4763</v>
      </c>
      <c r="CE551" s="23"/>
      <c r="CF551" s="23"/>
      <c r="CG551" s="23"/>
      <c r="CH551" s="23"/>
      <c r="CI551" s="23"/>
    </row>
    <row r="552" spans="1:87" x14ac:dyDescent="0.3">
      <c r="A552" s="9" t="s">
        <v>4764</v>
      </c>
      <c r="B552" s="10" t="s">
        <v>4765</v>
      </c>
      <c r="C552" s="11">
        <v>45984.645833333336</v>
      </c>
      <c r="D552" s="12">
        <v>8.3333333333333329E-2</v>
      </c>
      <c r="E552" s="11">
        <v>45984.729166666664</v>
      </c>
      <c r="F552" s="10" t="s">
        <v>3511</v>
      </c>
      <c r="G552" s="13" t="b">
        <v>0</v>
      </c>
      <c r="H552" s="10" t="s">
        <v>123</v>
      </c>
      <c r="I552" s="10" t="s">
        <v>3548</v>
      </c>
      <c r="J552" s="13" t="b">
        <v>0</v>
      </c>
      <c r="K552" s="13" t="b">
        <v>1</v>
      </c>
      <c r="L552" s="10" t="s">
        <v>124</v>
      </c>
      <c r="M552" s="10" t="s">
        <v>91</v>
      </c>
      <c r="N552" s="10" t="s">
        <v>3513</v>
      </c>
      <c r="O552" s="19" t="s">
        <v>4766</v>
      </c>
      <c r="P552" s="10"/>
      <c r="Q552" s="10" t="s">
        <v>126</v>
      </c>
      <c r="R552" s="10"/>
      <c r="S552" s="19" t="s">
        <v>4767</v>
      </c>
      <c r="T552" s="19" t="s">
        <v>4697</v>
      </c>
      <c r="U552" s="10" t="s">
        <v>3648</v>
      </c>
      <c r="V552" s="10" t="s">
        <v>3623</v>
      </c>
      <c r="W552" s="10" t="s">
        <v>3519</v>
      </c>
      <c r="X552" s="10" t="s">
        <v>130</v>
      </c>
      <c r="Y552" s="10" t="s">
        <v>130</v>
      </c>
      <c r="Z552" s="10" t="s">
        <v>99</v>
      </c>
      <c r="AA552" s="10" t="s">
        <v>131</v>
      </c>
      <c r="AB552" s="10" t="s">
        <v>3520</v>
      </c>
      <c r="AC552" s="10" t="s">
        <v>3521</v>
      </c>
      <c r="AD552" s="10" t="s">
        <v>4768</v>
      </c>
      <c r="AE552" s="10" t="s">
        <v>4769</v>
      </c>
      <c r="AF552" s="15"/>
      <c r="AG552" s="10" t="s">
        <v>3524</v>
      </c>
      <c r="AH552" s="10" t="s">
        <v>3539</v>
      </c>
      <c r="AI552" s="10" t="s">
        <v>3539</v>
      </c>
      <c r="AJ552" s="10" t="s">
        <v>4770</v>
      </c>
      <c r="AK552" s="10" t="s">
        <v>102</v>
      </c>
      <c r="AL552" s="10" t="s">
        <v>1569</v>
      </c>
      <c r="AM552" s="10"/>
      <c r="AN552" s="10"/>
      <c r="AO552" s="13" t="b">
        <v>0</v>
      </c>
      <c r="AP552" s="10" t="s">
        <v>104</v>
      </c>
      <c r="AQ552" s="10">
        <f ca="1">IFERROR(__xludf.DUMMYFUNCTION("""COMPUTED_VALUE"""),4725594)</f>
        <v>4725594</v>
      </c>
      <c r="AR552" s="17">
        <v>170233</v>
      </c>
      <c r="AS552" s="17">
        <v>99319</v>
      </c>
      <c r="AT552" s="17">
        <v>3302165.25</v>
      </c>
      <c r="AU552" s="17">
        <v>701.4</v>
      </c>
      <c r="AV552" s="17">
        <v>130.19999999999999</v>
      </c>
      <c r="AW552" s="10" t="s">
        <v>105</v>
      </c>
      <c r="AX552" s="17">
        <v>45295</v>
      </c>
      <c r="AY552" s="18">
        <v>33.248071869430824</v>
      </c>
      <c r="AZ552" s="10"/>
      <c r="BA552" s="20" t="b">
        <v>0</v>
      </c>
      <c r="BB552" s="10"/>
      <c r="BC552" s="17">
        <v>170233</v>
      </c>
      <c r="BD552" s="17">
        <v>99319</v>
      </c>
      <c r="BE552" s="17">
        <v>3302165.25</v>
      </c>
      <c r="BF552" s="17">
        <v>130.19999999999999</v>
      </c>
      <c r="BG552" s="11">
        <f ca="1">IFERROR(__xludf.DUMMYFUNCTION("""COMPUTED_VALUE"""),45984.6458333333)</f>
        <v>45984.645833333299</v>
      </c>
      <c r="BH552" s="17" t="s">
        <v>105</v>
      </c>
      <c r="BI552" s="17"/>
      <c r="BJ552" s="15"/>
      <c r="BK552" s="15"/>
      <c r="BL552" s="13" t="b">
        <v>0</v>
      </c>
      <c r="BM552" s="10"/>
      <c r="BN552" s="10" t="s">
        <v>149</v>
      </c>
      <c r="BO552" s="11">
        <v>45860.370833333334</v>
      </c>
      <c r="BP552" s="11">
        <v>45980.681446759256</v>
      </c>
      <c r="BQ552" s="15">
        <v>45980.485844907409</v>
      </c>
      <c r="BR552" s="15">
        <v>45980.87427083333</v>
      </c>
      <c r="BS552" s="10" t="s">
        <v>149</v>
      </c>
      <c r="BT552" s="10" t="s">
        <v>99</v>
      </c>
      <c r="BU552" s="10" t="s">
        <v>498</v>
      </c>
      <c r="BV552" s="10"/>
      <c r="BW552" s="10"/>
      <c r="BX552" s="10"/>
      <c r="BY552" s="23"/>
      <c r="BZ552" s="24" t="s">
        <v>284</v>
      </c>
      <c r="CA552" s="19" t="s">
        <v>4771</v>
      </c>
      <c r="CB552" s="19" t="s">
        <v>4772</v>
      </c>
      <c r="CC552" s="23"/>
      <c r="CD552" s="19" t="s">
        <v>4773</v>
      </c>
      <c r="CE552" s="23"/>
      <c r="CF552" s="23"/>
      <c r="CG552" s="23"/>
      <c r="CH552" s="23"/>
      <c r="CI552" s="23"/>
    </row>
    <row r="553" spans="1:87" x14ac:dyDescent="0.3">
      <c r="A553" s="25" t="s">
        <v>4774</v>
      </c>
      <c r="B553" s="10" t="s">
        <v>4775</v>
      </c>
      <c r="C553" s="11">
        <v>45984.791666666664</v>
      </c>
      <c r="D553" s="12">
        <v>8.3333333333333329E-2</v>
      </c>
      <c r="E553" s="11">
        <v>45984.875</v>
      </c>
      <c r="F553" s="10" t="s">
        <v>3511</v>
      </c>
      <c r="G553" s="13" t="b">
        <v>0</v>
      </c>
      <c r="H553" s="10" t="s">
        <v>123</v>
      </c>
      <c r="I553" s="10" t="s">
        <v>3548</v>
      </c>
      <c r="J553" s="13" t="b">
        <v>0</v>
      </c>
      <c r="K553" s="13" t="b">
        <v>1</v>
      </c>
      <c r="L553" s="10" t="s">
        <v>124</v>
      </c>
      <c r="M553" s="10" t="s">
        <v>91</v>
      </c>
      <c r="N553" s="10" t="s">
        <v>3513</v>
      </c>
      <c r="O553" s="19" t="s">
        <v>4776</v>
      </c>
      <c r="P553" s="10"/>
      <c r="Q553" s="10" t="s">
        <v>126</v>
      </c>
      <c r="R553" s="10"/>
      <c r="S553" s="19" t="s">
        <v>4777</v>
      </c>
      <c r="T553" s="19" t="s">
        <v>4697</v>
      </c>
      <c r="U553" s="10" t="s">
        <v>3661</v>
      </c>
      <c r="V553" s="10" t="s">
        <v>3636</v>
      </c>
      <c r="W553" s="10" t="s">
        <v>3519</v>
      </c>
      <c r="X553" s="10" t="s">
        <v>130</v>
      </c>
      <c r="Y553" s="10" t="s">
        <v>130</v>
      </c>
      <c r="Z553" s="10" t="s">
        <v>99</v>
      </c>
      <c r="AA553" s="10" t="s">
        <v>131</v>
      </c>
      <c r="AB553" s="10" t="s">
        <v>3520</v>
      </c>
      <c r="AC553" s="10" t="s">
        <v>3521</v>
      </c>
      <c r="AD553" s="10" t="s">
        <v>4778</v>
      </c>
      <c r="AE553" s="10" t="s">
        <v>4779</v>
      </c>
      <c r="AF553" s="15"/>
      <c r="AG553" s="10" t="s">
        <v>3524</v>
      </c>
      <c r="AH553" s="10" t="s">
        <v>3539</v>
      </c>
      <c r="AI553" s="10" t="s">
        <v>3539</v>
      </c>
      <c r="AJ553" s="10" t="s">
        <v>4780</v>
      </c>
      <c r="AK553" s="10" t="s">
        <v>102</v>
      </c>
      <c r="AL553" s="10" t="s">
        <v>1569</v>
      </c>
      <c r="AM553" s="10"/>
      <c r="AN553" s="10"/>
      <c r="AO553" s="13" t="b">
        <v>0</v>
      </c>
      <c r="AP553" s="10" t="s">
        <v>104</v>
      </c>
      <c r="AQ553" s="10">
        <f ca="1">IFERROR(__xludf.DUMMYFUNCTION("""COMPUTED_VALUE"""),4725595)</f>
        <v>4725595</v>
      </c>
      <c r="AR553" s="17">
        <v>286417</v>
      </c>
      <c r="AS553" s="17">
        <v>197232</v>
      </c>
      <c r="AT553" s="17">
        <v>5253953.25</v>
      </c>
      <c r="AU553" s="17">
        <v>1185.55</v>
      </c>
      <c r="AV553" s="17">
        <v>243.55</v>
      </c>
      <c r="AW553" s="10" t="s">
        <v>105</v>
      </c>
      <c r="AX553" s="17">
        <v>60017</v>
      </c>
      <c r="AY553" s="18">
        <v>26.638442291311755</v>
      </c>
      <c r="AZ553" s="10"/>
      <c r="BA553" s="20" t="b">
        <v>0</v>
      </c>
      <c r="BB553" s="10"/>
      <c r="BC553" s="17">
        <v>286417</v>
      </c>
      <c r="BD553" s="17">
        <v>197232</v>
      </c>
      <c r="BE553" s="17">
        <v>5253953.25</v>
      </c>
      <c r="BF553" s="17">
        <v>243.55</v>
      </c>
      <c r="BG553" s="11">
        <f ca="1">IFERROR(__xludf.DUMMYFUNCTION("""COMPUTED_VALUE"""),45984.7916666666)</f>
        <v>45984.791666666599</v>
      </c>
      <c r="BH553" s="17" t="s">
        <v>105</v>
      </c>
      <c r="BI553" s="17"/>
      <c r="BJ553" s="15"/>
      <c r="BK553" s="15"/>
      <c r="BL553" s="13" t="b">
        <v>0</v>
      </c>
      <c r="BM553" s="10"/>
      <c r="BN553" s="10" t="s">
        <v>149</v>
      </c>
      <c r="BO553" s="11">
        <v>45860.370833333334</v>
      </c>
      <c r="BP553" s="11">
        <v>45978.70857638889</v>
      </c>
      <c r="BQ553" s="15">
        <v>45980.485914351855</v>
      </c>
      <c r="BR553" s="15">
        <v>45980.874444444446</v>
      </c>
      <c r="BS553" s="10" t="s">
        <v>149</v>
      </c>
      <c r="BT553" s="10" t="s">
        <v>99</v>
      </c>
      <c r="BU553" s="10" t="s">
        <v>498</v>
      </c>
      <c r="BV553" s="10" t="s">
        <v>124</v>
      </c>
      <c r="BW553" s="10"/>
      <c r="BX553" s="10"/>
      <c r="BY553" s="23"/>
      <c r="BZ553" s="24" t="s">
        <v>284</v>
      </c>
      <c r="CA553" s="19" t="s">
        <v>4781</v>
      </c>
      <c r="CB553" s="19" t="s">
        <v>4782</v>
      </c>
      <c r="CC553" s="23"/>
      <c r="CD553" s="19" t="s">
        <v>4783</v>
      </c>
      <c r="CE553" s="23"/>
      <c r="CF553" s="23"/>
      <c r="CG553" s="23"/>
      <c r="CH553" s="23"/>
      <c r="CI553" s="23"/>
    </row>
    <row r="554" spans="1:87" x14ac:dyDescent="0.3">
      <c r="A554" s="9" t="s">
        <v>4784</v>
      </c>
      <c r="B554" s="10" t="s">
        <v>4785</v>
      </c>
      <c r="C554" s="11">
        <v>45988.791666666664</v>
      </c>
      <c r="D554" s="12">
        <v>8.3333333333333329E-2</v>
      </c>
      <c r="E554" s="11">
        <v>45988.875</v>
      </c>
      <c r="F554" s="10" t="s">
        <v>3511</v>
      </c>
      <c r="G554" s="13" t="b">
        <v>0</v>
      </c>
      <c r="H554" s="10" t="s">
        <v>236</v>
      </c>
      <c r="I554" s="10" t="s">
        <v>212</v>
      </c>
      <c r="J554" s="13" t="b">
        <v>1</v>
      </c>
      <c r="K554" s="13" t="b">
        <v>1</v>
      </c>
      <c r="L554" s="10" t="s">
        <v>124</v>
      </c>
      <c r="M554" s="10" t="s">
        <v>91</v>
      </c>
      <c r="N554" s="10" t="s">
        <v>3513</v>
      </c>
      <c r="O554" s="19" t="s">
        <v>4786</v>
      </c>
      <c r="P554" s="10"/>
      <c r="Q554" s="10" t="s">
        <v>126</v>
      </c>
      <c r="R554" s="10"/>
      <c r="S554" s="19" t="s">
        <v>4787</v>
      </c>
      <c r="T554" s="19" t="s">
        <v>4788</v>
      </c>
      <c r="U554" s="10" t="s">
        <v>3677</v>
      </c>
      <c r="V554" s="10" t="s">
        <v>3536</v>
      </c>
      <c r="W554" s="10" t="s">
        <v>3519</v>
      </c>
      <c r="X554" s="10" t="s">
        <v>130</v>
      </c>
      <c r="Y554" s="10" t="s">
        <v>130</v>
      </c>
      <c r="Z554" s="10" t="s">
        <v>99</v>
      </c>
      <c r="AA554" s="10" t="s">
        <v>131</v>
      </c>
      <c r="AB554" s="10" t="s">
        <v>3520</v>
      </c>
      <c r="AC554" s="10" t="s">
        <v>3521</v>
      </c>
      <c r="AD554" s="10" t="s">
        <v>4789</v>
      </c>
      <c r="AE554" s="10" t="s">
        <v>4790</v>
      </c>
      <c r="AF554" s="15"/>
      <c r="AG554" s="10" t="s">
        <v>3524</v>
      </c>
      <c r="AH554" s="10" t="s">
        <v>3539</v>
      </c>
      <c r="AI554" s="10" t="s">
        <v>3539</v>
      </c>
      <c r="AJ554" s="10" t="s">
        <v>4791</v>
      </c>
      <c r="AK554" s="10" t="s">
        <v>102</v>
      </c>
      <c r="AL554" s="10" t="s">
        <v>1671</v>
      </c>
      <c r="AM554" s="10"/>
      <c r="AN554" s="10"/>
      <c r="AO554" s="13" t="b">
        <v>0</v>
      </c>
      <c r="AP554" s="10" t="s">
        <v>104</v>
      </c>
      <c r="AQ554" s="10">
        <f ca="1">IFERROR(__xludf.DUMMYFUNCTION("""COMPUTED_VALUE"""),4739602)</f>
        <v>4739602</v>
      </c>
      <c r="AR554" s="17">
        <v>331801</v>
      </c>
      <c r="AS554" s="17">
        <v>225345</v>
      </c>
      <c r="AT554" s="17">
        <v>4191498.75</v>
      </c>
      <c r="AU554" s="17">
        <v>533.4</v>
      </c>
      <c r="AV554" s="17">
        <v>67.400000000000006</v>
      </c>
      <c r="AW554" s="10" t="s">
        <v>105</v>
      </c>
      <c r="AX554" s="17">
        <v>47422</v>
      </c>
      <c r="AY554" s="18">
        <v>18.600362777075151</v>
      </c>
      <c r="AZ554" s="10"/>
      <c r="BA554" s="20" t="b">
        <v>0</v>
      </c>
      <c r="BB554" s="10"/>
      <c r="BC554" s="17">
        <v>331801</v>
      </c>
      <c r="BD554" s="17">
        <v>225345</v>
      </c>
      <c r="BE554" s="17">
        <v>4191498.75</v>
      </c>
      <c r="BF554" s="17">
        <v>67.400000000000006</v>
      </c>
      <c r="BG554" s="11">
        <f ca="1">IFERROR(__xludf.DUMMYFUNCTION("""COMPUTED_VALUE"""),45988.7916666666)</f>
        <v>45988.791666666599</v>
      </c>
      <c r="BH554" s="17" t="s">
        <v>105</v>
      </c>
      <c r="BI554" s="17"/>
      <c r="BJ554" s="15"/>
      <c r="BK554" s="15"/>
      <c r="BL554" s="13" t="b">
        <v>0</v>
      </c>
      <c r="BM554" s="10"/>
      <c r="BN554" s="10" t="s">
        <v>149</v>
      </c>
      <c r="BO554" s="11">
        <v>45860.370833333334</v>
      </c>
      <c r="BP554" s="11">
        <v>45986.9452662037</v>
      </c>
      <c r="BQ554" s="15">
        <v>45987.634317129632</v>
      </c>
      <c r="BR554" s="15">
        <v>45987.643460648149</v>
      </c>
      <c r="BS554" s="10" t="s">
        <v>149</v>
      </c>
      <c r="BT554" s="10" t="s">
        <v>99</v>
      </c>
      <c r="BU554" s="10" t="s">
        <v>498</v>
      </c>
      <c r="BV554" s="10"/>
      <c r="BW554" s="10"/>
      <c r="BX554" s="10"/>
      <c r="BY554" s="23"/>
      <c r="BZ554" s="24" t="s">
        <v>299</v>
      </c>
      <c r="CA554" s="19" t="s">
        <v>4792</v>
      </c>
      <c r="CB554" s="19" t="s">
        <v>4793</v>
      </c>
      <c r="CC554" s="23"/>
      <c r="CD554" s="19" t="s">
        <v>4794</v>
      </c>
      <c r="CE554" s="23"/>
      <c r="CF554" s="23"/>
      <c r="CG554" s="23"/>
      <c r="CH554" s="23"/>
      <c r="CI554" s="23"/>
    </row>
    <row r="555" spans="1:87" x14ac:dyDescent="0.3">
      <c r="A555" s="9" t="s">
        <v>4795</v>
      </c>
      <c r="B555" s="10" t="s">
        <v>4796</v>
      </c>
      <c r="C555" s="11">
        <v>45988.645833333336</v>
      </c>
      <c r="D555" s="12">
        <v>8.3333333333333329E-2</v>
      </c>
      <c r="E555" s="11">
        <v>45988.729166666664</v>
      </c>
      <c r="F555" s="10" t="s">
        <v>3511</v>
      </c>
      <c r="G555" s="13" t="b">
        <v>0</v>
      </c>
      <c r="H555" s="10" t="s">
        <v>236</v>
      </c>
      <c r="I555" s="10" t="s">
        <v>3548</v>
      </c>
      <c r="J555" s="13" t="b">
        <v>0</v>
      </c>
      <c r="K555" s="13" t="b">
        <v>1</v>
      </c>
      <c r="L555" s="10" t="s">
        <v>124</v>
      </c>
      <c r="M555" s="10" t="s">
        <v>91</v>
      </c>
      <c r="N555" s="10" t="s">
        <v>3513</v>
      </c>
      <c r="O555" s="19" t="s">
        <v>4797</v>
      </c>
      <c r="P555" s="10"/>
      <c r="Q555" s="10" t="s">
        <v>126</v>
      </c>
      <c r="R555" s="10"/>
      <c r="S555" s="19" t="s">
        <v>4798</v>
      </c>
      <c r="T555" s="19" t="s">
        <v>4788</v>
      </c>
      <c r="U555" s="10" t="s">
        <v>3662</v>
      </c>
      <c r="V555" s="10" t="s">
        <v>3610</v>
      </c>
      <c r="W555" s="10" t="s">
        <v>3519</v>
      </c>
      <c r="X555" s="10" t="s">
        <v>130</v>
      </c>
      <c r="Y555" s="10" t="s">
        <v>130</v>
      </c>
      <c r="Z555" s="10" t="s">
        <v>99</v>
      </c>
      <c r="AA555" s="10" t="s">
        <v>131</v>
      </c>
      <c r="AB555" s="10" t="s">
        <v>3520</v>
      </c>
      <c r="AC555" s="10" t="s">
        <v>3521</v>
      </c>
      <c r="AD555" s="10" t="s">
        <v>4799</v>
      </c>
      <c r="AE555" s="10" t="s">
        <v>4800</v>
      </c>
      <c r="AF555" s="15"/>
      <c r="AG555" s="10" t="s">
        <v>3524</v>
      </c>
      <c r="AH555" s="10" t="s">
        <v>3539</v>
      </c>
      <c r="AI555" s="10" t="s">
        <v>3539</v>
      </c>
      <c r="AJ555" s="10" t="s">
        <v>4801</v>
      </c>
      <c r="AK555" s="10" t="s">
        <v>102</v>
      </c>
      <c r="AL555" s="10" t="s">
        <v>1671</v>
      </c>
      <c r="AM555" s="10"/>
      <c r="AN555" s="10"/>
      <c r="AO555" s="13" t="b">
        <v>0</v>
      </c>
      <c r="AP555" s="10" t="s">
        <v>104</v>
      </c>
      <c r="AQ555" s="10">
        <f ca="1">IFERROR(__xludf.DUMMYFUNCTION("""COMPUTED_VALUE"""),4739600)</f>
        <v>4739600</v>
      </c>
      <c r="AR555" s="17">
        <v>150607</v>
      </c>
      <c r="AS555" s="17">
        <v>97036</v>
      </c>
      <c r="AT555" s="17">
        <v>2693131.5</v>
      </c>
      <c r="AU555" s="17">
        <v>396.6</v>
      </c>
      <c r="AV555" s="17">
        <v>40.950000000000003</v>
      </c>
      <c r="AW555" s="10" t="s">
        <v>105</v>
      </c>
      <c r="AX555" s="17">
        <v>37398</v>
      </c>
      <c r="AY555" s="18">
        <v>27.753941836019621</v>
      </c>
      <c r="AZ555" s="10"/>
      <c r="BA555" s="20" t="b">
        <v>0</v>
      </c>
      <c r="BB555" s="10"/>
      <c r="BC555" s="17">
        <v>150607</v>
      </c>
      <c r="BD555" s="17">
        <v>97036</v>
      </c>
      <c r="BE555" s="17">
        <v>2693131.5</v>
      </c>
      <c r="BF555" s="17">
        <v>40.950000000000003</v>
      </c>
      <c r="BG555" s="11">
        <f ca="1">IFERROR(__xludf.DUMMYFUNCTION("""COMPUTED_VALUE"""),45988.6458333333)</f>
        <v>45988.645833333299</v>
      </c>
      <c r="BH555" s="17" t="s">
        <v>105</v>
      </c>
      <c r="BI555" s="17"/>
      <c r="BJ555" s="15"/>
      <c r="BK555" s="15"/>
      <c r="BL555" s="13" t="b">
        <v>0</v>
      </c>
      <c r="BM555" s="10"/>
      <c r="BN555" s="10" t="s">
        <v>149</v>
      </c>
      <c r="BO555" s="11">
        <v>45860.370833333334</v>
      </c>
      <c r="BP555" s="11">
        <v>45986.487361111111</v>
      </c>
      <c r="BQ555" s="15">
        <v>45987.634120370371</v>
      </c>
      <c r="BR555" s="15">
        <v>45987.643136574072</v>
      </c>
      <c r="BS555" s="10" t="s">
        <v>149</v>
      </c>
      <c r="BT555" s="10" t="s">
        <v>99</v>
      </c>
      <c r="BU555" s="10" t="s">
        <v>498</v>
      </c>
      <c r="BV555" s="10"/>
      <c r="BW555" s="10"/>
      <c r="BX555" s="10"/>
      <c r="BY555" s="23"/>
      <c r="BZ555" s="24" t="s">
        <v>299</v>
      </c>
      <c r="CA555" s="19" t="s">
        <v>4802</v>
      </c>
      <c r="CB555" s="19" t="s">
        <v>4803</v>
      </c>
      <c r="CC555" s="23"/>
      <c r="CD555" s="19" t="s">
        <v>4804</v>
      </c>
      <c r="CE555" s="23"/>
      <c r="CF555" s="23"/>
      <c r="CG555" s="23"/>
      <c r="CH555" s="23"/>
      <c r="CI555" s="23"/>
    </row>
    <row r="556" spans="1:87" x14ac:dyDescent="0.3">
      <c r="A556" s="9" t="s">
        <v>4805</v>
      </c>
      <c r="B556" s="10" t="s">
        <v>4806</v>
      </c>
      <c r="C556" s="11">
        <v>45989.645833333336</v>
      </c>
      <c r="D556" s="12">
        <v>8.3333333333333329E-2</v>
      </c>
      <c r="E556" s="11">
        <v>45989.729166666664</v>
      </c>
      <c r="F556" s="10" t="s">
        <v>3511</v>
      </c>
      <c r="G556" s="13" t="b">
        <v>0</v>
      </c>
      <c r="H556" s="10" t="s">
        <v>123</v>
      </c>
      <c r="I556" s="10" t="s">
        <v>3548</v>
      </c>
      <c r="J556" s="13" t="b">
        <v>0</v>
      </c>
      <c r="K556" s="13" t="b">
        <v>1</v>
      </c>
      <c r="L556" s="10" t="s">
        <v>124</v>
      </c>
      <c r="M556" s="10" t="s">
        <v>91</v>
      </c>
      <c r="N556" s="10" t="s">
        <v>3513</v>
      </c>
      <c r="O556" s="19" t="s">
        <v>4807</v>
      </c>
      <c r="P556" s="10"/>
      <c r="Q556" s="10" t="s">
        <v>126</v>
      </c>
      <c r="R556" s="10"/>
      <c r="S556" s="19" t="s">
        <v>4808</v>
      </c>
      <c r="T556" s="19" t="s">
        <v>4788</v>
      </c>
      <c r="U556" s="10" t="s">
        <v>3518</v>
      </c>
      <c r="V556" s="10" t="s">
        <v>3551</v>
      </c>
      <c r="W556" s="10" t="s">
        <v>3519</v>
      </c>
      <c r="X556" s="10" t="s">
        <v>130</v>
      </c>
      <c r="Y556" s="10" t="s">
        <v>130</v>
      </c>
      <c r="Z556" s="10" t="s">
        <v>99</v>
      </c>
      <c r="AA556" s="10" t="s">
        <v>131</v>
      </c>
      <c r="AB556" s="10" t="s">
        <v>3520</v>
      </c>
      <c r="AC556" s="10" t="s">
        <v>3521</v>
      </c>
      <c r="AD556" s="10" t="s">
        <v>4809</v>
      </c>
      <c r="AE556" s="10" t="s">
        <v>4810</v>
      </c>
      <c r="AF556" s="15"/>
      <c r="AG556" s="10" t="s">
        <v>3524</v>
      </c>
      <c r="AH556" s="10" t="s">
        <v>3539</v>
      </c>
      <c r="AI556" s="10" t="s">
        <v>3539</v>
      </c>
      <c r="AJ556" s="10" t="s">
        <v>4811</v>
      </c>
      <c r="AK556" s="10" t="s">
        <v>102</v>
      </c>
      <c r="AL556" s="10" t="s">
        <v>1671</v>
      </c>
      <c r="AM556" s="10"/>
      <c r="AN556" s="10"/>
      <c r="AO556" s="13" t="b">
        <v>1</v>
      </c>
      <c r="AP556" s="10" t="s">
        <v>104</v>
      </c>
      <c r="AQ556" s="10">
        <f ca="1">IFERROR(__xludf.DUMMYFUNCTION("""COMPUTED_VALUE"""),4739840)</f>
        <v>4739840</v>
      </c>
      <c r="AR556" s="17">
        <v>248798</v>
      </c>
      <c r="AS556" s="17">
        <v>150891</v>
      </c>
      <c r="AT556" s="17">
        <v>5001658.5</v>
      </c>
      <c r="AU556" s="17">
        <v>1425.15</v>
      </c>
      <c r="AV556" s="17">
        <v>243.6</v>
      </c>
      <c r="AW556" s="10" t="s">
        <v>105</v>
      </c>
      <c r="AX556" s="17">
        <v>63046</v>
      </c>
      <c r="AY556" s="18">
        <v>33.147493886315289</v>
      </c>
      <c r="AZ556" s="10"/>
      <c r="BA556" s="20" t="b">
        <v>0</v>
      </c>
      <c r="BB556" s="10"/>
      <c r="BC556" s="17">
        <v>248798</v>
      </c>
      <c r="BD556" s="17">
        <v>150891</v>
      </c>
      <c r="BE556" s="17">
        <v>5001658.5</v>
      </c>
      <c r="BF556" s="17">
        <v>243.6</v>
      </c>
      <c r="BG556" s="11">
        <f ca="1">IFERROR(__xludf.DUMMYFUNCTION("""COMPUTED_VALUE"""),45989.6458333333)</f>
        <v>45989.645833333299</v>
      </c>
      <c r="BH556" s="17" t="s">
        <v>105</v>
      </c>
      <c r="BI556" s="17"/>
      <c r="BJ556" s="15"/>
      <c r="BK556" s="15"/>
      <c r="BL556" s="13" t="b">
        <v>0</v>
      </c>
      <c r="BM556" s="10"/>
      <c r="BN556" s="10" t="s">
        <v>137</v>
      </c>
      <c r="BO556" s="11">
        <v>45860.370833333334</v>
      </c>
      <c r="BP556" s="11">
        <v>45986.476493055554</v>
      </c>
      <c r="BQ556" s="15">
        <v>45987.634618055556</v>
      </c>
      <c r="BR556" s="15">
        <v>45988.424155092594</v>
      </c>
      <c r="BS556" s="10" t="s">
        <v>137</v>
      </c>
      <c r="BT556" s="10" t="s">
        <v>99</v>
      </c>
      <c r="BU556" s="10" t="s">
        <v>498</v>
      </c>
      <c r="BV556" s="10" t="s">
        <v>124</v>
      </c>
      <c r="BW556" s="10"/>
      <c r="BX556" s="10"/>
      <c r="BY556" s="23"/>
      <c r="BZ556" s="24" t="s">
        <v>284</v>
      </c>
      <c r="CA556" s="19" t="s">
        <v>4812</v>
      </c>
      <c r="CB556" s="19" t="s">
        <v>4813</v>
      </c>
      <c r="CC556" s="23"/>
      <c r="CD556" s="19" t="s">
        <v>4814</v>
      </c>
      <c r="CE556" s="23"/>
      <c r="CF556" s="23"/>
      <c r="CG556" s="23"/>
      <c r="CH556" s="23"/>
      <c r="CI556" s="23"/>
    </row>
    <row r="557" spans="1:87" x14ac:dyDescent="0.3">
      <c r="A557" s="9" t="s">
        <v>4815</v>
      </c>
      <c r="B557" s="10" t="s">
        <v>4816</v>
      </c>
      <c r="C557" s="11">
        <v>45989.791666666664</v>
      </c>
      <c r="D557" s="12">
        <v>8.3333333333333329E-2</v>
      </c>
      <c r="E557" s="11">
        <v>45989.875</v>
      </c>
      <c r="F557" s="10" t="s">
        <v>3511</v>
      </c>
      <c r="G557" s="13" t="b">
        <v>0</v>
      </c>
      <c r="H557" s="10" t="s">
        <v>123</v>
      </c>
      <c r="I557" s="10" t="s">
        <v>3548</v>
      </c>
      <c r="J557" s="13" t="b">
        <v>0</v>
      </c>
      <c r="K557" s="13" t="b">
        <v>1</v>
      </c>
      <c r="L557" s="10" t="s">
        <v>124</v>
      </c>
      <c r="M557" s="10" t="s">
        <v>91</v>
      </c>
      <c r="N557" s="10" t="s">
        <v>3513</v>
      </c>
      <c r="O557" s="19" t="s">
        <v>4817</v>
      </c>
      <c r="P557" s="10"/>
      <c r="Q557" s="10" t="s">
        <v>126</v>
      </c>
      <c r="R557" s="10"/>
      <c r="S557" s="19" t="s">
        <v>4818</v>
      </c>
      <c r="T557" s="19" t="s">
        <v>4788</v>
      </c>
      <c r="U557" s="10" t="s">
        <v>3647</v>
      </c>
      <c r="V557" s="10" t="s">
        <v>3552</v>
      </c>
      <c r="W557" s="10" t="s">
        <v>3519</v>
      </c>
      <c r="X557" s="10" t="s">
        <v>130</v>
      </c>
      <c r="Y557" s="10" t="s">
        <v>130</v>
      </c>
      <c r="Z557" s="10" t="s">
        <v>99</v>
      </c>
      <c r="AA557" s="10" t="s">
        <v>131</v>
      </c>
      <c r="AB557" s="10" t="s">
        <v>3520</v>
      </c>
      <c r="AC557" s="10" t="s">
        <v>3521</v>
      </c>
      <c r="AD557" s="10" t="s">
        <v>4819</v>
      </c>
      <c r="AE557" s="10" t="s">
        <v>4820</v>
      </c>
      <c r="AF557" s="15"/>
      <c r="AG557" s="10" t="s">
        <v>3524</v>
      </c>
      <c r="AH557" s="10" t="s">
        <v>3539</v>
      </c>
      <c r="AI557" s="10" t="s">
        <v>3539</v>
      </c>
      <c r="AJ557" s="10" t="s">
        <v>4821</v>
      </c>
      <c r="AK557" s="10" t="s">
        <v>102</v>
      </c>
      <c r="AL557" s="10" t="s">
        <v>1671</v>
      </c>
      <c r="AM557" s="10"/>
      <c r="AN557" s="10"/>
      <c r="AO557" s="13" t="b">
        <v>1</v>
      </c>
      <c r="AP557" s="10" t="s">
        <v>104</v>
      </c>
      <c r="AQ557" s="10">
        <f ca="1">IFERROR(__xludf.DUMMYFUNCTION("""COMPUTED_VALUE"""),4739841)</f>
        <v>4739841</v>
      </c>
      <c r="AR557" s="17">
        <v>624330</v>
      </c>
      <c r="AS557" s="17">
        <v>351102</v>
      </c>
      <c r="AT557" s="17">
        <v>11048151.75</v>
      </c>
      <c r="AU557" s="17">
        <v>6979.75</v>
      </c>
      <c r="AV557" s="17">
        <v>2123.3000000000002</v>
      </c>
      <c r="AW557" s="10" t="s">
        <v>297</v>
      </c>
      <c r="AX557" s="17">
        <v>115590</v>
      </c>
      <c r="AY557" s="18">
        <v>31.467071534767673</v>
      </c>
      <c r="AZ557" s="10"/>
      <c r="BA557" s="20" t="b">
        <v>0</v>
      </c>
      <c r="BB557" s="10"/>
      <c r="BC557" s="17">
        <v>624330</v>
      </c>
      <c r="BD557" s="17">
        <v>351102</v>
      </c>
      <c r="BE557" s="17">
        <v>11048151.75</v>
      </c>
      <c r="BF557" s="17">
        <v>2123.3000000000002</v>
      </c>
      <c r="BG557" s="11">
        <f ca="1">IFERROR(__xludf.DUMMYFUNCTION("""COMPUTED_VALUE"""),45989.7916666666)</f>
        <v>45989.791666666599</v>
      </c>
      <c r="BH557" s="17" t="s">
        <v>297</v>
      </c>
      <c r="BI557" s="17"/>
      <c r="BJ557" s="15"/>
      <c r="BK557" s="15"/>
      <c r="BL557" s="13" t="b">
        <v>0</v>
      </c>
      <c r="BM557" s="10"/>
      <c r="BN557" s="10" t="s">
        <v>149</v>
      </c>
      <c r="BO557" s="11">
        <v>45860.370833333334</v>
      </c>
      <c r="BP557" s="11">
        <v>45986.477141203701</v>
      </c>
      <c r="BQ557" s="15">
        <v>45987.63484953704</v>
      </c>
      <c r="BR557" s="15">
        <v>45988.424328703702</v>
      </c>
      <c r="BS557" s="10" t="s">
        <v>149</v>
      </c>
      <c r="BT557" s="10" t="s">
        <v>99</v>
      </c>
      <c r="BU557" s="10" t="s">
        <v>498</v>
      </c>
      <c r="BV557" s="10" t="s">
        <v>281</v>
      </c>
      <c r="BW557" s="10" t="s">
        <v>2100</v>
      </c>
      <c r="BX557" s="10"/>
      <c r="BY557" s="23"/>
      <c r="BZ557" s="24" t="s">
        <v>284</v>
      </c>
      <c r="CA557" s="19" t="s">
        <v>4822</v>
      </c>
      <c r="CB557" s="19" t="s">
        <v>4823</v>
      </c>
      <c r="CC557" s="23"/>
      <c r="CD557" s="19" t="s">
        <v>4824</v>
      </c>
      <c r="CE557" s="23"/>
      <c r="CF557" s="23"/>
      <c r="CG557" s="23"/>
      <c r="CH557" s="23"/>
      <c r="CI557" s="23"/>
    </row>
    <row r="558" spans="1:87" x14ac:dyDescent="0.3">
      <c r="A558" s="25" t="s">
        <v>4825</v>
      </c>
      <c r="B558" s="10" t="s">
        <v>4826</v>
      </c>
      <c r="C558" s="11">
        <v>45990.645833333336</v>
      </c>
      <c r="D558" s="12">
        <v>8.3333333333333329E-2</v>
      </c>
      <c r="E558" s="11">
        <v>45990.729166666664</v>
      </c>
      <c r="F558" s="10" t="s">
        <v>3511</v>
      </c>
      <c r="G558" s="13" t="b">
        <v>0</v>
      </c>
      <c r="H558" s="10" t="s">
        <v>123</v>
      </c>
      <c r="I558" s="10" t="s">
        <v>3548</v>
      </c>
      <c r="J558" s="13" t="b">
        <v>0</v>
      </c>
      <c r="K558" s="13" t="b">
        <v>1</v>
      </c>
      <c r="L558" s="10" t="s">
        <v>124</v>
      </c>
      <c r="M558" s="10" t="s">
        <v>91</v>
      </c>
      <c r="N558" s="10" t="s">
        <v>3513</v>
      </c>
      <c r="O558" s="19" t="s">
        <v>4827</v>
      </c>
      <c r="P558" s="10"/>
      <c r="Q558" s="10" t="s">
        <v>126</v>
      </c>
      <c r="R558" s="10"/>
      <c r="S558" s="19" t="s">
        <v>4828</v>
      </c>
      <c r="T558" s="19" t="s">
        <v>4788</v>
      </c>
      <c r="U558" s="10" t="s">
        <v>3622</v>
      </c>
      <c r="V558" s="10" t="s">
        <v>3648</v>
      </c>
      <c r="W558" s="10" t="s">
        <v>3519</v>
      </c>
      <c r="X558" s="10" t="s">
        <v>130</v>
      </c>
      <c r="Y558" s="10" t="s">
        <v>130</v>
      </c>
      <c r="Z558" s="10" t="s">
        <v>99</v>
      </c>
      <c r="AA558" s="10" t="s">
        <v>131</v>
      </c>
      <c r="AB558" s="10" t="s">
        <v>3520</v>
      </c>
      <c r="AC558" s="10" t="s">
        <v>3521</v>
      </c>
      <c r="AD558" s="10" t="s">
        <v>4829</v>
      </c>
      <c r="AE558" s="10" t="s">
        <v>4830</v>
      </c>
      <c r="AF558" s="15"/>
      <c r="AG558" s="10" t="s">
        <v>3524</v>
      </c>
      <c r="AH558" s="10" t="s">
        <v>3539</v>
      </c>
      <c r="AI558" s="10" t="s">
        <v>3539</v>
      </c>
      <c r="AJ558" s="10" t="s">
        <v>4831</v>
      </c>
      <c r="AK558" s="10" t="s">
        <v>102</v>
      </c>
      <c r="AL558" s="10" t="s">
        <v>1671</v>
      </c>
      <c r="AM558" s="10"/>
      <c r="AN558" s="10"/>
      <c r="AO558" s="13" t="b">
        <v>0</v>
      </c>
      <c r="AP558" s="10" t="s">
        <v>104</v>
      </c>
      <c r="AQ558" s="10">
        <f ca="1">IFERROR(__xludf.DUMMYFUNCTION("""COMPUTED_VALUE"""),4741025)</f>
        <v>4741025</v>
      </c>
      <c r="AR558" s="17">
        <v>147515</v>
      </c>
      <c r="AS558" s="17">
        <v>88551</v>
      </c>
      <c r="AT558" s="17">
        <v>2941634</v>
      </c>
      <c r="AU558" s="17">
        <v>726.4</v>
      </c>
      <c r="AV558" s="17">
        <v>121.3</v>
      </c>
      <c r="AW558" s="10" t="s">
        <v>105</v>
      </c>
      <c r="AX558" s="17">
        <v>37232</v>
      </c>
      <c r="AY558" s="18">
        <v>33.219658727738818</v>
      </c>
      <c r="AZ558" s="10"/>
      <c r="BA558" s="20" t="b">
        <v>0</v>
      </c>
      <c r="BB558" s="10"/>
      <c r="BC558" s="17">
        <v>147515</v>
      </c>
      <c r="BD558" s="17">
        <v>88551</v>
      </c>
      <c r="BE558" s="17">
        <v>2941634</v>
      </c>
      <c r="BF558" s="17">
        <v>121.3</v>
      </c>
      <c r="BG558" s="11">
        <f ca="1">IFERROR(__xludf.DUMMYFUNCTION("""COMPUTED_VALUE"""),45990.6458333333)</f>
        <v>45990.645833333299</v>
      </c>
      <c r="BH558" s="17" t="s">
        <v>105</v>
      </c>
      <c r="BI558" s="17"/>
      <c r="BJ558" s="15"/>
      <c r="BK558" s="15"/>
      <c r="BL558" s="13" t="b">
        <v>0</v>
      </c>
      <c r="BM558" s="10"/>
      <c r="BN558" s="10" t="s">
        <v>149</v>
      </c>
      <c r="BO558" s="11">
        <v>45860.370833333334</v>
      </c>
      <c r="BP558" s="11">
        <v>45986.479166666664</v>
      </c>
      <c r="BQ558" s="15">
        <v>45987.63722222222</v>
      </c>
      <c r="BR558" s="15">
        <v>45988.856342592589</v>
      </c>
      <c r="BS558" s="10" t="s">
        <v>149</v>
      </c>
      <c r="BT558" s="10" t="s">
        <v>99</v>
      </c>
      <c r="BU558" s="10" t="s">
        <v>421</v>
      </c>
      <c r="BV558" s="10"/>
      <c r="BW558" s="10"/>
      <c r="BX558" s="10"/>
      <c r="BY558" s="23"/>
      <c r="BZ558" s="24" t="s">
        <v>284</v>
      </c>
      <c r="CA558" s="19" t="s">
        <v>4832</v>
      </c>
      <c r="CB558" s="19" t="s">
        <v>4833</v>
      </c>
      <c r="CC558" s="23"/>
      <c r="CD558" s="19" t="s">
        <v>4834</v>
      </c>
      <c r="CE558" s="23"/>
      <c r="CF558" s="23"/>
      <c r="CG558" s="23"/>
      <c r="CH558" s="23"/>
      <c r="CI558" s="23"/>
    </row>
    <row r="559" spans="1:87" x14ac:dyDescent="0.3">
      <c r="A559" s="9" t="s">
        <v>4835</v>
      </c>
      <c r="B559" s="10" t="s">
        <v>4836</v>
      </c>
      <c r="C559" s="11">
        <v>45990.791666666664</v>
      </c>
      <c r="D559" s="12">
        <v>8.3333333333333329E-2</v>
      </c>
      <c r="E559" s="11">
        <v>45990.875</v>
      </c>
      <c r="F559" s="10" t="s">
        <v>3511</v>
      </c>
      <c r="G559" s="13" t="b">
        <v>0</v>
      </c>
      <c r="H559" s="10" t="s">
        <v>3512</v>
      </c>
      <c r="I559" s="10" t="s">
        <v>3548</v>
      </c>
      <c r="J559" s="13" t="b">
        <v>0</v>
      </c>
      <c r="K559" s="13" t="b">
        <v>1</v>
      </c>
      <c r="L559" s="10" t="s">
        <v>124</v>
      </c>
      <c r="M559" s="10" t="s">
        <v>91</v>
      </c>
      <c r="N559" s="10" t="s">
        <v>3513</v>
      </c>
      <c r="O559" s="19" t="s">
        <v>4837</v>
      </c>
      <c r="P559" s="10"/>
      <c r="Q559" s="10" t="s">
        <v>126</v>
      </c>
      <c r="R559" s="10"/>
      <c r="S559" s="19" t="s">
        <v>4838</v>
      </c>
      <c r="T559" s="19" t="s">
        <v>4788</v>
      </c>
      <c r="U559" s="10" t="s">
        <v>3636</v>
      </c>
      <c r="V559" s="10" t="s">
        <v>3535</v>
      </c>
      <c r="W559" s="10" t="s">
        <v>3519</v>
      </c>
      <c r="X559" s="10" t="s">
        <v>130</v>
      </c>
      <c r="Y559" s="10" t="s">
        <v>130</v>
      </c>
      <c r="Z559" s="10" t="s">
        <v>99</v>
      </c>
      <c r="AA559" s="10" t="s">
        <v>131</v>
      </c>
      <c r="AB559" s="10" t="s">
        <v>3520</v>
      </c>
      <c r="AC559" s="10" t="s">
        <v>3521</v>
      </c>
      <c r="AD559" s="10" t="s">
        <v>4839</v>
      </c>
      <c r="AE559" s="10" t="s">
        <v>4840</v>
      </c>
      <c r="AF559" s="15"/>
      <c r="AG559" s="10" t="s">
        <v>3524</v>
      </c>
      <c r="AH559" s="10" t="s">
        <v>3539</v>
      </c>
      <c r="AI559" s="10" t="s">
        <v>3539</v>
      </c>
      <c r="AJ559" s="10" t="s">
        <v>4841</v>
      </c>
      <c r="AK559" s="10" t="s">
        <v>102</v>
      </c>
      <c r="AL559" s="10" t="s">
        <v>1671</v>
      </c>
      <c r="AM559" s="10"/>
      <c r="AN559" s="10"/>
      <c r="AO559" s="13" t="b">
        <v>0</v>
      </c>
      <c r="AP559" s="10" t="s">
        <v>104</v>
      </c>
      <c r="AQ559" s="10">
        <f ca="1">IFERROR(__xludf.DUMMYFUNCTION("""COMPUTED_VALUE"""),4739846)</f>
        <v>4739846</v>
      </c>
      <c r="AR559" s="17">
        <v>205763</v>
      </c>
      <c r="AS559" s="17">
        <v>127706</v>
      </c>
      <c r="AT559" s="17">
        <v>4332882</v>
      </c>
      <c r="AU559" s="17">
        <v>2822.05</v>
      </c>
      <c r="AV559" s="17">
        <v>820.45</v>
      </c>
      <c r="AW559" s="10" t="s">
        <v>105</v>
      </c>
      <c r="AX559" s="17">
        <v>52894</v>
      </c>
      <c r="AY559" s="18">
        <v>33.92857030993062</v>
      </c>
      <c r="AZ559" s="10"/>
      <c r="BA559" s="20" t="b">
        <v>0</v>
      </c>
      <c r="BB559" s="10"/>
      <c r="BC559" s="17">
        <v>205763</v>
      </c>
      <c r="BD559" s="17">
        <v>127706</v>
      </c>
      <c r="BE559" s="17">
        <v>4332882</v>
      </c>
      <c r="BF559" s="17">
        <v>820.45</v>
      </c>
      <c r="BG559" s="11">
        <f ca="1">IFERROR(__xludf.DUMMYFUNCTION("""COMPUTED_VALUE"""),45990.7916666666)</f>
        <v>45990.791666666599</v>
      </c>
      <c r="BH559" s="17" t="s">
        <v>105</v>
      </c>
      <c r="BI559" s="17"/>
      <c r="BJ559" s="15"/>
      <c r="BK559" s="15"/>
      <c r="BL559" s="13" t="b">
        <v>1</v>
      </c>
      <c r="BM559" s="10"/>
      <c r="BN559" s="10" t="s">
        <v>149</v>
      </c>
      <c r="BO559" s="11">
        <v>45860.370833333334</v>
      </c>
      <c r="BP559" s="11">
        <v>45986.488611111112</v>
      </c>
      <c r="BQ559" s="15">
        <v>45987.63894675926</v>
      </c>
      <c r="BR559" s="15">
        <v>45988.424756944441</v>
      </c>
      <c r="BS559" s="10" t="s">
        <v>149</v>
      </c>
      <c r="BT559" s="10" t="s">
        <v>279</v>
      </c>
      <c r="BU559" s="10" t="s">
        <v>498</v>
      </c>
      <c r="BV559" s="10"/>
      <c r="BW559" s="10"/>
      <c r="BX559" s="10"/>
      <c r="BY559" s="23"/>
      <c r="BZ559" s="24" t="s">
        <v>284</v>
      </c>
      <c r="CA559" s="19" t="s">
        <v>4842</v>
      </c>
      <c r="CB559" s="19" t="s">
        <v>4843</v>
      </c>
      <c r="CC559" s="23"/>
      <c r="CD559" s="19" t="s">
        <v>4844</v>
      </c>
      <c r="CE559" s="23"/>
      <c r="CF559" s="23"/>
      <c r="CG559" s="23"/>
      <c r="CH559" s="23"/>
      <c r="CI559" s="23"/>
    </row>
    <row r="560" spans="1:87" x14ac:dyDescent="0.3">
      <c r="A560" s="9" t="s">
        <v>4845</v>
      </c>
      <c r="B560" s="10" t="s">
        <v>4846</v>
      </c>
      <c r="C560" s="11">
        <v>45990.5625</v>
      </c>
      <c r="D560" s="12">
        <v>8.3333333333333329E-2</v>
      </c>
      <c r="E560" s="11">
        <v>45990.645833333336</v>
      </c>
      <c r="F560" s="10" t="s">
        <v>3511</v>
      </c>
      <c r="G560" s="13" t="b">
        <v>0</v>
      </c>
      <c r="H560" s="10" t="s">
        <v>123</v>
      </c>
      <c r="I560" s="10" t="s">
        <v>3548</v>
      </c>
      <c r="J560" s="13" t="b">
        <v>0</v>
      </c>
      <c r="K560" s="13" t="b">
        <v>1</v>
      </c>
      <c r="L560" s="10" t="s">
        <v>124</v>
      </c>
      <c r="M560" s="10" t="s">
        <v>91</v>
      </c>
      <c r="N560" s="10" t="s">
        <v>3513</v>
      </c>
      <c r="O560" s="19" t="s">
        <v>4847</v>
      </c>
      <c r="P560" s="10"/>
      <c r="Q560" s="10" t="s">
        <v>126</v>
      </c>
      <c r="R560" s="10"/>
      <c r="S560" s="19" t="s">
        <v>4848</v>
      </c>
      <c r="T560" s="19" t="s">
        <v>4788</v>
      </c>
      <c r="U560" s="10" t="s">
        <v>3623</v>
      </c>
      <c r="V560" s="10" t="s">
        <v>3676</v>
      </c>
      <c r="W560" s="10" t="s">
        <v>3519</v>
      </c>
      <c r="X560" s="10" t="s">
        <v>130</v>
      </c>
      <c r="Y560" s="10" t="s">
        <v>130</v>
      </c>
      <c r="Z560" s="10" t="s">
        <v>99</v>
      </c>
      <c r="AA560" s="10" t="s">
        <v>131</v>
      </c>
      <c r="AB560" s="10" t="s">
        <v>3520</v>
      </c>
      <c r="AC560" s="10" t="s">
        <v>3521</v>
      </c>
      <c r="AD560" s="10" t="s">
        <v>4849</v>
      </c>
      <c r="AE560" s="10" t="s">
        <v>4850</v>
      </c>
      <c r="AF560" s="15"/>
      <c r="AG560" s="10" t="s">
        <v>3524</v>
      </c>
      <c r="AH560" s="10" t="s">
        <v>3539</v>
      </c>
      <c r="AI560" s="10" t="s">
        <v>3539</v>
      </c>
      <c r="AJ560" s="10" t="s">
        <v>4851</v>
      </c>
      <c r="AK560" s="10" t="s">
        <v>102</v>
      </c>
      <c r="AL560" s="10" t="s">
        <v>1671</v>
      </c>
      <c r="AM560" s="10"/>
      <c r="AN560" s="10"/>
      <c r="AO560" s="13" t="b">
        <v>0</v>
      </c>
      <c r="AP560" s="10" t="s">
        <v>104</v>
      </c>
      <c r="AQ560" s="10">
        <f ca="1">IFERROR(__xludf.DUMMYFUNCTION("""COMPUTED_VALUE"""),4739842)</f>
        <v>4739842</v>
      </c>
      <c r="AR560" s="17">
        <v>121072</v>
      </c>
      <c r="AS560" s="17">
        <v>81969</v>
      </c>
      <c r="AT560" s="17">
        <v>2175985.5</v>
      </c>
      <c r="AU560" s="17">
        <v>841.4</v>
      </c>
      <c r="AV560" s="17">
        <v>162.35</v>
      </c>
      <c r="AW560" s="10" t="s">
        <v>105</v>
      </c>
      <c r="AX560" s="17">
        <v>31366</v>
      </c>
      <c r="AY560" s="18">
        <v>26.546444387512352</v>
      </c>
      <c r="AZ560" s="10"/>
      <c r="BA560" s="20" t="b">
        <v>0</v>
      </c>
      <c r="BB560" s="10"/>
      <c r="BC560" s="17">
        <v>121072</v>
      </c>
      <c r="BD560" s="17">
        <v>81969</v>
      </c>
      <c r="BE560" s="17">
        <v>2175985.5</v>
      </c>
      <c r="BF560" s="17">
        <v>162.35</v>
      </c>
      <c r="BG560" s="11">
        <f ca="1">IFERROR(__xludf.DUMMYFUNCTION("""COMPUTED_VALUE"""),45990.5625)</f>
        <v>45990.5625</v>
      </c>
      <c r="BH560" s="17" t="s">
        <v>105</v>
      </c>
      <c r="BI560" s="17"/>
      <c r="BJ560" s="15"/>
      <c r="BK560" s="15"/>
      <c r="BL560" s="13" t="b">
        <v>0</v>
      </c>
      <c r="BM560" s="10"/>
      <c r="BN560" s="10" t="s">
        <v>149</v>
      </c>
      <c r="BO560" s="11">
        <v>45860.370833333334</v>
      </c>
      <c r="BP560" s="11">
        <v>45986.949097222219</v>
      </c>
      <c r="BQ560" s="15">
        <v>45987.637083333335</v>
      </c>
      <c r="BR560" s="15">
        <v>45988.424513888887</v>
      </c>
      <c r="BS560" s="10" t="s">
        <v>149</v>
      </c>
      <c r="BT560" s="10" t="s">
        <v>99</v>
      </c>
      <c r="BU560" s="10" t="s">
        <v>498</v>
      </c>
      <c r="BV560" s="10" t="s">
        <v>124</v>
      </c>
      <c r="BW560" s="10"/>
      <c r="BX560" s="10"/>
      <c r="BY560" s="23"/>
      <c r="BZ560" s="24" t="s">
        <v>284</v>
      </c>
      <c r="CA560" s="19" t="s">
        <v>4852</v>
      </c>
      <c r="CB560" s="19" t="s">
        <v>4853</v>
      </c>
      <c r="CC560" s="23"/>
      <c r="CD560" s="19" t="s">
        <v>4854</v>
      </c>
      <c r="CE560" s="23"/>
      <c r="CF560" s="23"/>
      <c r="CG560" s="23"/>
      <c r="CH560" s="23"/>
      <c r="CI560" s="23"/>
    </row>
    <row r="561" spans="1:87" x14ac:dyDescent="0.3">
      <c r="A561" s="9" t="s">
        <v>4855</v>
      </c>
      <c r="B561" s="10" t="s">
        <v>4856</v>
      </c>
      <c r="C561" s="11">
        <v>45991.645833333336</v>
      </c>
      <c r="D561" s="12">
        <v>8.3333333333333329E-2</v>
      </c>
      <c r="E561" s="11">
        <v>45991.729166666664</v>
      </c>
      <c r="F561" s="10" t="s">
        <v>3511</v>
      </c>
      <c r="G561" s="13" t="b">
        <v>0</v>
      </c>
      <c r="H561" s="10" t="s">
        <v>123</v>
      </c>
      <c r="I561" s="10" t="s">
        <v>3548</v>
      </c>
      <c r="J561" s="13" t="b">
        <v>0</v>
      </c>
      <c r="K561" s="13" t="b">
        <v>1</v>
      </c>
      <c r="L561" s="10" t="s">
        <v>124</v>
      </c>
      <c r="M561" s="10" t="s">
        <v>91</v>
      </c>
      <c r="N561" s="10" t="s">
        <v>3513</v>
      </c>
      <c r="O561" s="19" t="s">
        <v>4857</v>
      </c>
      <c r="P561" s="10"/>
      <c r="Q561" s="10" t="s">
        <v>126</v>
      </c>
      <c r="R561" s="10"/>
      <c r="S561" s="19" t="s">
        <v>4858</v>
      </c>
      <c r="T561" s="19" t="s">
        <v>4788</v>
      </c>
      <c r="U561" s="10" t="s">
        <v>3517</v>
      </c>
      <c r="V561" s="10" t="s">
        <v>3661</v>
      </c>
      <c r="W561" s="10" t="s">
        <v>3519</v>
      </c>
      <c r="X561" s="10" t="s">
        <v>130</v>
      </c>
      <c r="Y561" s="10" t="s">
        <v>130</v>
      </c>
      <c r="Z561" s="10" t="s">
        <v>99</v>
      </c>
      <c r="AA561" s="10" t="s">
        <v>131</v>
      </c>
      <c r="AB561" s="10" t="s">
        <v>3520</v>
      </c>
      <c r="AC561" s="10" t="s">
        <v>3521</v>
      </c>
      <c r="AD561" s="10" t="s">
        <v>4859</v>
      </c>
      <c r="AE561" s="10" t="s">
        <v>4860</v>
      </c>
      <c r="AF561" s="15"/>
      <c r="AG561" s="10" t="s">
        <v>3524</v>
      </c>
      <c r="AH561" s="10" t="s">
        <v>3539</v>
      </c>
      <c r="AI561" s="10" t="s">
        <v>3539</v>
      </c>
      <c r="AJ561" s="10" t="s">
        <v>4861</v>
      </c>
      <c r="AK561" s="10" t="s">
        <v>102</v>
      </c>
      <c r="AL561" s="10" t="s">
        <v>1671</v>
      </c>
      <c r="AM561" s="10"/>
      <c r="AN561" s="10"/>
      <c r="AO561" s="13" t="b">
        <v>0</v>
      </c>
      <c r="AP561" s="10" t="s">
        <v>104</v>
      </c>
      <c r="AQ561" s="10">
        <f ca="1">IFERROR(__xludf.DUMMYFUNCTION("""COMPUTED_VALUE"""),4739843)</f>
        <v>4739843</v>
      </c>
      <c r="AR561" s="17">
        <v>229230</v>
      </c>
      <c r="AS561" s="17">
        <v>122155</v>
      </c>
      <c r="AT561" s="17">
        <v>4922265.75</v>
      </c>
      <c r="AU561" s="17">
        <v>1811.6</v>
      </c>
      <c r="AV561" s="17">
        <v>378.45</v>
      </c>
      <c r="AW561" s="10" t="s">
        <v>105</v>
      </c>
      <c r="AX561" s="17">
        <v>73482</v>
      </c>
      <c r="AY561" s="18">
        <v>40.295245794277761</v>
      </c>
      <c r="AZ561" s="10"/>
      <c r="BA561" s="20" t="b">
        <v>0</v>
      </c>
      <c r="BB561" s="10"/>
      <c r="BC561" s="17">
        <v>229230</v>
      </c>
      <c r="BD561" s="17">
        <v>122155</v>
      </c>
      <c r="BE561" s="17">
        <v>4922265.75</v>
      </c>
      <c r="BF561" s="17">
        <v>378.45</v>
      </c>
      <c r="BG561" s="11">
        <f ca="1">IFERROR(__xludf.DUMMYFUNCTION("""COMPUTED_VALUE"""),45991.6458333333)</f>
        <v>45991.645833333299</v>
      </c>
      <c r="BH561" s="17" t="s">
        <v>105</v>
      </c>
      <c r="BI561" s="17"/>
      <c r="BJ561" s="15"/>
      <c r="BK561" s="15"/>
      <c r="BL561" s="13" t="b">
        <v>0</v>
      </c>
      <c r="BM561" s="10"/>
      <c r="BN561" s="10" t="s">
        <v>137</v>
      </c>
      <c r="BO561" s="11">
        <v>45860.370833333334</v>
      </c>
      <c r="BP561" s="11">
        <v>45986.480173611111</v>
      </c>
      <c r="BQ561" s="15">
        <v>45987.640729166669</v>
      </c>
      <c r="BR561" s="15">
        <v>45988.425636574073</v>
      </c>
      <c r="BS561" s="10" t="s">
        <v>137</v>
      </c>
      <c r="BT561" s="10"/>
      <c r="BU561" s="10"/>
      <c r="BV561" s="10" t="s">
        <v>281</v>
      </c>
      <c r="BW561" s="10" t="s">
        <v>4862</v>
      </c>
      <c r="BX561" s="10"/>
      <c r="BY561" s="23"/>
      <c r="BZ561" s="24" t="s">
        <v>284</v>
      </c>
      <c r="CA561" s="19" t="s">
        <v>4863</v>
      </c>
      <c r="CB561" s="19" t="s">
        <v>4864</v>
      </c>
      <c r="CC561" s="23"/>
      <c r="CD561" s="19" t="s">
        <v>4865</v>
      </c>
      <c r="CE561" s="23"/>
      <c r="CF561" s="23"/>
      <c r="CG561" s="23"/>
      <c r="CH561" s="23"/>
      <c r="CI561" s="23"/>
    </row>
    <row r="562" spans="1:87" x14ac:dyDescent="0.3">
      <c r="A562" s="9" t="s">
        <v>4866</v>
      </c>
      <c r="B562" s="10" t="s">
        <v>4867</v>
      </c>
      <c r="C562" s="11">
        <v>45991.791666666664</v>
      </c>
      <c r="D562" s="12">
        <v>8.3333333333333329E-2</v>
      </c>
      <c r="E562" s="11">
        <v>45991.875</v>
      </c>
      <c r="F562" s="10" t="s">
        <v>3511</v>
      </c>
      <c r="G562" s="13" t="b">
        <v>0</v>
      </c>
      <c r="H562" s="10" t="s">
        <v>123</v>
      </c>
      <c r="I562" s="10" t="s">
        <v>3548</v>
      </c>
      <c r="J562" s="13" t="b">
        <v>0</v>
      </c>
      <c r="K562" s="13" t="b">
        <v>1</v>
      </c>
      <c r="L562" s="10" t="s">
        <v>124</v>
      </c>
      <c r="M562" s="10" t="s">
        <v>91</v>
      </c>
      <c r="N562" s="10" t="s">
        <v>3513</v>
      </c>
      <c r="O562" s="19" t="s">
        <v>4868</v>
      </c>
      <c r="P562" s="10"/>
      <c r="Q562" s="10" t="s">
        <v>126</v>
      </c>
      <c r="R562" s="10"/>
      <c r="S562" s="19" t="s">
        <v>4869</v>
      </c>
      <c r="T562" s="19" t="s">
        <v>4788</v>
      </c>
      <c r="U562" s="10" t="s">
        <v>3635</v>
      </c>
      <c r="V562" s="10" t="s">
        <v>3609</v>
      </c>
      <c r="W562" s="10" t="s">
        <v>3519</v>
      </c>
      <c r="X562" s="10" t="s">
        <v>130</v>
      </c>
      <c r="Y562" s="10" t="s">
        <v>130</v>
      </c>
      <c r="Z562" s="10" t="s">
        <v>99</v>
      </c>
      <c r="AA562" s="10" t="s">
        <v>131</v>
      </c>
      <c r="AB562" s="10" t="s">
        <v>3520</v>
      </c>
      <c r="AC562" s="10" t="s">
        <v>3521</v>
      </c>
      <c r="AD562" s="10" t="s">
        <v>4870</v>
      </c>
      <c r="AE562" s="10" t="s">
        <v>4871</v>
      </c>
      <c r="AF562" s="15"/>
      <c r="AG562" s="10" t="s">
        <v>3524</v>
      </c>
      <c r="AH562" s="10" t="s">
        <v>3539</v>
      </c>
      <c r="AI562" s="10" t="s">
        <v>3539</v>
      </c>
      <c r="AJ562" s="10" t="s">
        <v>4872</v>
      </c>
      <c r="AK562" s="10" t="s">
        <v>102</v>
      </c>
      <c r="AL562" s="10" t="s">
        <v>1671</v>
      </c>
      <c r="AM562" s="10"/>
      <c r="AN562" s="10"/>
      <c r="AO562" s="13" t="b">
        <v>1</v>
      </c>
      <c r="AP562" s="10" t="s">
        <v>104</v>
      </c>
      <c r="AQ562" s="10">
        <f ca="1">IFERROR(__xludf.DUMMYFUNCTION("""COMPUTED_VALUE"""),4739844)</f>
        <v>4739844</v>
      </c>
      <c r="AR562" s="17">
        <v>623326</v>
      </c>
      <c r="AS562" s="17">
        <v>350429</v>
      </c>
      <c r="AT562" s="17">
        <v>14773217.25</v>
      </c>
      <c r="AU562" s="17">
        <v>10020.25</v>
      </c>
      <c r="AV562" s="17">
        <v>3017.5</v>
      </c>
      <c r="AW562" s="10" t="s">
        <v>297</v>
      </c>
      <c r="AX562" s="17">
        <v>150164</v>
      </c>
      <c r="AY562" s="18">
        <v>42.157519069483406</v>
      </c>
      <c r="AZ562" s="10"/>
      <c r="BA562" s="20" t="b">
        <v>0</v>
      </c>
      <c r="BB562" s="10"/>
      <c r="BC562" s="17">
        <v>623326</v>
      </c>
      <c r="BD562" s="17">
        <v>350429</v>
      </c>
      <c r="BE562" s="17">
        <v>14773217.25</v>
      </c>
      <c r="BF562" s="17">
        <v>3017.5</v>
      </c>
      <c r="BG562" s="11">
        <f ca="1">IFERROR(__xludf.DUMMYFUNCTION("""COMPUTED_VALUE"""),45991.7916666666)</f>
        <v>45991.791666666599</v>
      </c>
      <c r="BH562" s="17" t="s">
        <v>297</v>
      </c>
      <c r="BI562" s="17"/>
      <c r="BJ562" s="15"/>
      <c r="BK562" s="15"/>
      <c r="BL562" s="13" t="b">
        <v>0</v>
      </c>
      <c r="BM562" s="10"/>
      <c r="BN562" s="10" t="s">
        <v>197</v>
      </c>
      <c r="BO562" s="11">
        <v>45860.370833333334</v>
      </c>
      <c r="BP562" s="11">
        <v>45986.480729166666</v>
      </c>
      <c r="BQ562" s="15">
        <v>45987.640949074077</v>
      </c>
      <c r="BR562" s="15">
        <v>45988.425891203704</v>
      </c>
      <c r="BS562" s="10" t="s">
        <v>197</v>
      </c>
      <c r="BT562" s="10" t="s">
        <v>99</v>
      </c>
      <c r="BU562" s="10" t="s">
        <v>498</v>
      </c>
      <c r="BV562" s="10" t="s">
        <v>281</v>
      </c>
      <c r="BW562" s="10" t="s">
        <v>4873</v>
      </c>
      <c r="BX562" s="10"/>
      <c r="BY562" s="23"/>
      <c r="BZ562" s="24" t="s">
        <v>284</v>
      </c>
      <c r="CA562" s="19" t="s">
        <v>4874</v>
      </c>
      <c r="CB562" s="19" t="s">
        <v>4875</v>
      </c>
      <c r="CC562" s="23"/>
      <c r="CD562" s="19" t="s">
        <v>4876</v>
      </c>
      <c r="CE562" s="23"/>
      <c r="CF562" s="23"/>
      <c r="CG562" s="23"/>
      <c r="CH562" s="23"/>
      <c r="CI562" s="23"/>
    </row>
    <row r="563" spans="1:87" x14ac:dyDescent="0.3">
      <c r="A563" s="9" t="s">
        <v>4877</v>
      </c>
      <c r="B563" s="10" t="s">
        <v>4878</v>
      </c>
      <c r="C563" s="11">
        <v>46011.645833333336</v>
      </c>
      <c r="D563" s="12">
        <v>8.3333333333333329E-2</v>
      </c>
      <c r="E563" s="11">
        <v>46011.729166666664</v>
      </c>
      <c r="F563" s="10" t="s">
        <v>3511</v>
      </c>
      <c r="G563" s="13" t="b">
        <v>0</v>
      </c>
      <c r="H563" s="10" t="s">
        <v>123</v>
      </c>
      <c r="I563" s="10" t="s">
        <v>3548</v>
      </c>
      <c r="J563" s="13" t="b">
        <v>0</v>
      </c>
      <c r="K563" s="13" t="b">
        <v>1</v>
      </c>
      <c r="L563" s="10" t="s">
        <v>124</v>
      </c>
      <c r="M563" s="10" t="s">
        <v>91</v>
      </c>
      <c r="N563" s="10" t="s">
        <v>3513</v>
      </c>
      <c r="O563" s="19" t="s">
        <v>4879</v>
      </c>
      <c r="P563" s="10"/>
      <c r="Q563" s="10" t="s">
        <v>126</v>
      </c>
      <c r="R563" s="10"/>
      <c r="S563" s="19" t="s">
        <v>4880</v>
      </c>
      <c r="T563" s="19" t="s">
        <v>4881</v>
      </c>
      <c r="U563" s="10" t="s">
        <v>3622</v>
      </c>
      <c r="V563" s="10" t="s">
        <v>3636</v>
      </c>
      <c r="W563" s="10" t="s">
        <v>3519</v>
      </c>
      <c r="X563" s="10" t="s">
        <v>130</v>
      </c>
      <c r="Y563" s="10" t="s">
        <v>130</v>
      </c>
      <c r="Z563" s="10" t="s">
        <v>99</v>
      </c>
      <c r="AA563" s="10" t="s">
        <v>131</v>
      </c>
      <c r="AB563" s="10" t="s">
        <v>3520</v>
      </c>
      <c r="AC563" s="10" t="s">
        <v>3521</v>
      </c>
      <c r="AD563" s="10" t="s">
        <v>4882</v>
      </c>
      <c r="AE563" s="10" t="s">
        <v>4883</v>
      </c>
      <c r="AF563" s="15"/>
      <c r="AG563" s="10" t="s">
        <v>3524</v>
      </c>
      <c r="AH563" s="10" t="s">
        <v>3539</v>
      </c>
      <c r="AI563" s="10" t="s">
        <v>3539</v>
      </c>
      <c r="AJ563" s="10"/>
      <c r="AK563" s="10" t="s">
        <v>102</v>
      </c>
      <c r="AL563" s="10" t="s">
        <v>1773</v>
      </c>
      <c r="AM563" s="10"/>
      <c r="AN563" s="10"/>
      <c r="AO563" s="13" t="b">
        <v>0</v>
      </c>
      <c r="AP563" s="10" t="s">
        <v>104</v>
      </c>
      <c r="AQ563" s="10">
        <f ca="1">IFERROR(__xludf.DUMMYFUNCTION("""COMPUTED_VALUE"""),4783334)</f>
        <v>4783334</v>
      </c>
      <c r="AR563" s="17">
        <v>126266</v>
      </c>
      <c r="AS563" s="17">
        <v>79472</v>
      </c>
      <c r="AT563" s="17">
        <v>2393529.25</v>
      </c>
      <c r="AU563" s="17">
        <v>1589.4</v>
      </c>
      <c r="AV563" s="17">
        <v>193.75</v>
      </c>
      <c r="AW563" s="10" t="s">
        <v>105</v>
      </c>
      <c r="AX563" s="17">
        <v>29068</v>
      </c>
      <c r="AY563" s="18">
        <v>30.117893723575598</v>
      </c>
      <c r="AZ563" s="10" t="s">
        <v>185</v>
      </c>
      <c r="BA563" s="20" t="b">
        <v>0</v>
      </c>
      <c r="BB563" s="10"/>
      <c r="BC563" s="17">
        <v>126266</v>
      </c>
      <c r="BD563" s="17">
        <v>79472</v>
      </c>
      <c r="BE563" s="17">
        <v>2393529.25</v>
      </c>
      <c r="BF563" s="17">
        <v>193.75</v>
      </c>
      <c r="BG563" s="11">
        <f ca="1">IFERROR(__xludf.DUMMYFUNCTION("""COMPUTED_VALUE"""),46011.6458333333)</f>
        <v>46011.645833333299</v>
      </c>
      <c r="BH563" s="17" t="s">
        <v>105</v>
      </c>
      <c r="BI563" s="17"/>
      <c r="BJ563" s="15"/>
      <c r="BK563" s="15"/>
      <c r="BL563" s="13" t="b">
        <v>0</v>
      </c>
      <c r="BM563" s="10"/>
      <c r="BN563" s="10" t="s">
        <v>1057</v>
      </c>
      <c r="BO563" s="11">
        <v>45860.370833333334</v>
      </c>
      <c r="BP563" s="11">
        <v>45996.598645833335</v>
      </c>
      <c r="BQ563" s="15">
        <v>46006.736041666663</v>
      </c>
      <c r="BR563" s="15">
        <v>46007.687754629631</v>
      </c>
      <c r="BS563" s="10"/>
      <c r="BT563" s="10" t="s">
        <v>279</v>
      </c>
      <c r="BU563" s="10" t="s">
        <v>568</v>
      </c>
      <c r="BV563" s="10" t="s">
        <v>281</v>
      </c>
      <c r="BW563" s="10" t="s">
        <v>4884</v>
      </c>
      <c r="BX563" s="10"/>
      <c r="BY563" s="23"/>
      <c r="BZ563" s="24" t="s">
        <v>284</v>
      </c>
      <c r="CA563" s="19" t="s">
        <v>4885</v>
      </c>
      <c r="CB563" s="19" t="s">
        <v>4886</v>
      </c>
      <c r="CC563" s="23"/>
      <c r="CD563" s="19" t="s">
        <v>4887</v>
      </c>
      <c r="CE563" s="23"/>
      <c r="CF563" s="23"/>
      <c r="CG563" s="23"/>
      <c r="CH563" s="23"/>
      <c r="CI563" s="23"/>
    </row>
    <row r="564" spans="1:87" x14ac:dyDescent="0.3">
      <c r="A564" s="9" t="s">
        <v>4888</v>
      </c>
      <c r="B564" s="10" t="s">
        <v>4889</v>
      </c>
      <c r="C564" s="11">
        <v>46011.791666666664</v>
      </c>
      <c r="D564" s="12">
        <v>8.3333333333333329E-2</v>
      </c>
      <c r="E564" s="11">
        <v>46011.875</v>
      </c>
      <c r="F564" s="10" t="s">
        <v>3511</v>
      </c>
      <c r="G564" s="13" t="b">
        <v>0</v>
      </c>
      <c r="H564" s="10" t="s">
        <v>123</v>
      </c>
      <c r="I564" s="10" t="s">
        <v>3548</v>
      </c>
      <c r="J564" s="13" t="b">
        <v>0</v>
      </c>
      <c r="K564" s="13" t="b">
        <v>1</v>
      </c>
      <c r="L564" s="10" t="s">
        <v>124</v>
      </c>
      <c r="M564" s="10" t="s">
        <v>91</v>
      </c>
      <c r="N564" s="10" t="s">
        <v>3513</v>
      </c>
      <c r="O564" s="19" t="s">
        <v>4890</v>
      </c>
      <c r="P564" s="10"/>
      <c r="Q564" s="10" t="s">
        <v>126</v>
      </c>
      <c r="R564" s="10"/>
      <c r="S564" s="19" t="s">
        <v>4891</v>
      </c>
      <c r="T564" s="19" t="s">
        <v>4892</v>
      </c>
      <c r="U564" s="10" t="s">
        <v>3551</v>
      </c>
      <c r="V564" s="10" t="s">
        <v>3517</v>
      </c>
      <c r="W564" s="10" t="s">
        <v>3519</v>
      </c>
      <c r="X564" s="10" t="s">
        <v>130</v>
      </c>
      <c r="Y564" s="10" t="s">
        <v>130</v>
      </c>
      <c r="Z564" s="10" t="s">
        <v>99</v>
      </c>
      <c r="AA564" s="10" t="s">
        <v>131</v>
      </c>
      <c r="AB564" s="10" t="s">
        <v>3520</v>
      </c>
      <c r="AC564" s="10" t="s">
        <v>3521</v>
      </c>
      <c r="AD564" s="10" t="s">
        <v>4893</v>
      </c>
      <c r="AE564" s="10" t="s">
        <v>4894</v>
      </c>
      <c r="AF564" s="15"/>
      <c r="AG564" s="10" t="s">
        <v>3524</v>
      </c>
      <c r="AH564" s="10" t="s">
        <v>3539</v>
      </c>
      <c r="AI564" s="10" t="s">
        <v>3539</v>
      </c>
      <c r="AJ564" s="10"/>
      <c r="AK564" s="10" t="s">
        <v>102</v>
      </c>
      <c r="AL564" s="10" t="s">
        <v>1773</v>
      </c>
      <c r="AM564" s="10"/>
      <c r="AN564" s="10"/>
      <c r="AO564" s="13" t="b">
        <v>1</v>
      </c>
      <c r="AP564" s="10" t="s">
        <v>104</v>
      </c>
      <c r="AQ564" s="10">
        <f ca="1">IFERROR(__xludf.DUMMYFUNCTION("""COMPUTED_VALUE"""),4783335)</f>
        <v>4783335</v>
      </c>
      <c r="AR564" s="17">
        <v>297533</v>
      </c>
      <c r="AS564" s="17">
        <v>155118</v>
      </c>
      <c r="AT564" s="17">
        <v>6169518</v>
      </c>
      <c r="AU564" s="17">
        <v>4246.2</v>
      </c>
      <c r="AV564" s="17">
        <v>571.1</v>
      </c>
      <c r="AW564" s="10" t="s">
        <v>105</v>
      </c>
      <c r="AX564" s="17">
        <v>71973</v>
      </c>
      <c r="AY564" s="18">
        <v>39.773063087456002</v>
      </c>
      <c r="AZ564" s="10" t="s">
        <v>185</v>
      </c>
      <c r="BA564" s="20" t="b">
        <v>0</v>
      </c>
      <c r="BB564" s="10"/>
      <c r="BC564" s="17">
        <v>297533</v>
      </c>
      <c r="BD564" s="17">
        <v>155118</v>
      </c>
      <c r="BE564" s="17">
        <v>6169518</v>
      </c>
      <c r="BF564" s="17">
        <v>571.1</v>
      </c>
      <c r="BG564" s="11">
        <f ca="1">IFERROR(__xludf.DUMMYFUNCTION("""COMPUTED_VALUE"""),46011.7916666666)</f>
        <v>46011.791666666599</v>
      </c>
      <c r="BH564" s="17" t="s">
        <v>105</v>
      </c>
      <c r="BI564" s="17"/>
      <c r="BJ564" s="15"/>
      <c r="BK564" s="15"/>
      <c r="BL564" s="13" t="b">
        <v>0</v>
      </c>
      <c r="BM564" s="10"/>
      <c r="BN564" s="10" t="s">
        <v>1057</v>
      </c>
      <c r="BO564" s="11">
        <v>45860.370833333334</v>
      </c>
      <c r="BP564" s="11">
        <v>45996.599085648151</v>
      </c>
      <c r="BQ564" s="15">
        <v>46006.73641203704</v>
      </c>
      <c r="BR564" s="15">
        <v>46007.68787037037</v>
      </c>
      <c r="BS564" s="10"/>
      <c r="BT564" s="10" t="s">
        <v>279</v>
      </c>
      <c r="BU564" s="10" t="s">
        <v>568</v>
      </c>
      <c r="BV564" s="10" t="s">
        <v>281</v>
      </c>
      <c r="BW564" s="10" t="s">
        <v>4884</v>
      </c>
      <c r="BX564" s="10"/>
      <c r="BY564" s="23"/>
      <c r="BZ564" s="24" t="s">
        <v>284</v>
      </c>
      <c r="CA564" s="19" t="s">
        <v>4895</v>
      </c>
      <c r="CB564" s="19" t="s">
        <v>4896</v>
      </c>
      <c r="CC564" s="23"/>
      <c r="CD564" s="19" t="s">
        <v>4897</v>
      </c>
      <c r="CE564" s="23"/>
      <c r="CF564" s="23"/>
      <c r="CG564" s="23"/>
      <c r="CH564" s="23"/>
      <c r="CI564" s="23"/>
    </row>
    <row r="565" spans="1:87" x14ac:dyDescent="0.3">
      <c r="A565" s="9" t="s">
        <v>4898</v>
      </c>
      <c r="B565" s="10" t="s">
        <v>4899</v>
      </c>
      <c r="C565" s="11">
        <v>46012.645833333336</v>
      </c>
      <c r="D565" s="12">
        <v>8.3333333333333329E-2</v>
      </c>
      <c r="E565" s="11">
        <v>46012.729166666664</v>
      </c>
      <c r="F565" s="10" t="s">
        <v>3511</v>
      </c>
      <c r="G565" s="13" t="b">
        <v>0</v>
      </c>
      <c r="H565" s="10" t="s">
        <v>3512</v>
      </c>
      <c r="I565" s="10" t="s">
        <v>3548</v>
      </c>
      <c r="J565" s="13" t="b">
        <v>0</v>
      </c>
      <c r="K565" s="13" t="b">
        <v>1</v>
      </c>
      <c r="L565" s="10" t="s">
        <v>124</v>
      </c>
      <c r="M565" s="10" t="s">
        <v>91</v>
      </c>
      <c r="N565" s="10" t="s">
        <v>3513</v>
      </c>
      <c r="O565" s="19" t="s">
        <v>4900</v>
      </c>
      <c r="P565" s="10"/>
      <c r="Q565" s="10" t="s">
        <v>126</v>
      </c>
      <c r="R565" s="10"/>
      <c r="S565" s="19" t="s">
        <v>4901</v>
      </c>
      <c r="T565" s="19" t="s">
        <v>4902</v>
      </c>
      <c r="U565" s="10" t="s">
        <v>3648</v>
      </c>
      <c r="V565" s="10" t="s">
        <v>3662</v>
      </c>
      <c r="W565" s="10" t="s">
        <v>3519</v>
      </c>
      <c r="X565" s="10" t="s">
        <v>130</v>
      </c>
      <c r="Y565" s="10" t="s">
        <v>130</v>
      </c>
      <c r="Z565" s="10" t="s">
        <v>99</v>
      </c>
      <c r="AA565" s="10" t="s">
        <v>131</v>
      </c>
      <c r="AB565" s="10" t="s">
        <v>3520</v>
      </c>
      <c r="AC565" s="10" t="s">
        <v>3521</v>
      </c>
      <c r="AD565" s="10" t="s">
        <v>4903</v>
      </c>
      <c r="AE565" s="10" t="s">
        <v>4904</v>
      </c>
      <c r="AF565" s="15"/>
      <c r="AG565" s="10" t="s">
        <v>3524</v>
      </c>
      <c r="AH565" s="10" t="s">
        <v>3539</v>
      </c>
      <c r="AI565" s="10" t="s">
        <v>3539</v>
      </c>
      <c r="AJ565" s="10" t="s">
        <v>4905</v>
      </c>
      <c r="AK565" s="10" t="s">
        <v>102</v>
      </c>
      <c r="AL565" s="10" t="s">
        <v>1773</v>
      </c>
      <c r="AM565" s="10"/>
      <c r="AN565" s="10"/>
      <c r="AO565" s="13" t="b">
        <v>0</v>
      </c>
      <c r="AP565" s="10" t="s">
        <v>104</v>
      </c>
      <c r="AQ565" s="10">
        <f ca="1">IFERROR(__xludf.DUMMYFUNCTION("""COMPUTED_VALUE"""),4783339)</f>
        <v>4783339</v>
      </c>
      <c r="AR565" s="17">
        <v>71586</v>
      </c>
      <c r="AS565" s="17">
        <v>47803</v>
      </c>
      <c r="AT565" s="17">
        <v>608671.75</v>
      </c>
      <c r="AU565" s="17">
        <v>560.4</v>
      </c>
      <c r="AV565" s="17">
        <v>212.8</v>
      </c>
      <c r="AW565" s="10" t="s">
        <v>105</v>
      </c>
      <c r="AX565" s="17">
        <v>10086</v>
      </c>
      <c r="AY565" s="18">
        <v>12.732919482040876</v>
      </c>
      <c r="AZ565" s="10" t="s">
        <v>185</v>
      </c>
      <c r="BA565" s="20" t="b">
        <v>0</v>
      </c>
      <c r="BB565" s="10"/>
      <c r="BC565" s="17">
        <v>71586</v>
      </c>
      <c r="BD565" s="17">
        <v>47803</v>
      </c>
      <c r="BE565" s="17">
        <v>608671.75</v>
      </c>
      <c r="BF565" s="17">
        <v>212.8</v>
      </c>
      <c r="BG565" s="11">
        <f ca="1">IFERROR(__xludf.DUMMYFUNCTION("""COMPUTED_VALUE"""),46012.6458333333)</f>
        <v>46012.645833333299</v>
      </c>
      <c r="BH565" s="17" t="s">
        <v>105</v>
      </c>
      <c r="BI565" s="17"/>
      <c r="BJ565" s="15"/>
      <c r="BK565" s="15"/>
      <c r="BL565" s="13" t="b">
        <v>1</v>
      </c>
      <c r="BM565" s="10"/>
      <c r="BN565" s="10" t="s">
        <v>149</v>
      </c>
      <c r="BO565" s="11">
        <v>45860.370833333334</v>
      </c>
      <c r="BP565" s="11">
        <v>46008.541701388887</v>
      </c>
      <c r="BQ565" s="15">
        <v>46009.693576388891</v>
      </c>
      <c r="BR565" s="15">
        <v>46007.688171296293</v>
      </c>
      <c r="BS565" s="10" t="s">
        <v>149</v>
      </c>
      <c r="BT565" s="10" t="s">
        <v>279</v>
      </c>
      <c r="BU565" s="10" t="s">
        <v>280</v>
      </c>
      <c r="BV565" s="10"/>
      <c r="BW565" s="10"/>
      <c r="BX565" s="10"/>
      <c r="BY565" s="23"/>
      <c r="BZ565" s="24" t="s">
        <v>284</v>
      </c>
      <c r="CA565" s="19" t="s">
        <v>4906</v>
      </c>
      <c r="CB565" s="19" t="s">
        <v>4907</v>
      </c>
      <c r="CC565" s="23"/>
      <c r="CD565" s="19" t="s">
        <v>4908</v>
      </c>
      <c r="CE565" s="23"/>
      <c r="CF565" s="23"/>
      <c r="CG565" s="23"/>
      <c r="CH565" s="23"/>
      <c r="CI565" s="23"/>
    </row>
    <row r="566" spans="1:87" x14ac:dyDescent="0.3">
      <c r="A566" s="9" t="s">
        <v>4909</v>
      </c>
      <c r="B566" s="10" t="s">
        <v>4910</v>
      </c>
      <c r="C566" s="11">
        <v>46012.645833333336</v>
      </c>
      <c r="D566" s="12">
        <v>8.3333333333333329E-2</v>
      </c>
      <c r="E566" s="11">
        <v>46012.729166666664</v>
      </c>
      <c r="F566" s="10" t="s">
        <v>3511</v>
      </c>
      <c r="G566" s="13" t="b">
        <v>0</v>
      </c>
      <c r="H566" s="10" t="s">
        <v>123</v>
      </c>
      <c r="I566" s="10" t="s">
        <v>3548</v>
      </c>
      <c r="J566" s="13" t="b">
        <v>0</v>
      </c>
      <c r="K566" s="13" t="b">
        <v>1</v>
      </c>
      <c r="L566" s="10" t="s">
        <v>124</v>
      </c>
      <c r="M566" s="10" t="s">
        <v>91</v>
      </c>
      <c r="N566" s="10" t="s">
        <v>3513</v>
      </c>
      <c r="O566" s="19" t="s">
        <v>4911</v>
      </c>
      <c r="P566" s="10"/>
      <c r="Q566" s="10" t="s">
        <v>126</v>
      </c>
      <c r="R566" s="10"/>
      <c r="S566" s="19" t="s">
        <v>4912</v>
      </c>
      <c r="T566" s="19" t="s">
        <v>4913</v>
      </c>
      <c r="U566" s="10" t="s">
        <v>3535</v>
      </c>
      <c r="V566" s="10" t="s">
        <v>3623</v>
      </c>
      <c r="W566" s="10" t="s">
        <v>3519</v>
      </c>
      <c r="X566" s="10" t="s">
        <v>130</v>
      </c>
      <c r="Y566" s="10" t="s">
        <v>130</v>
      </c>
      <c r="Z566" s="10" t="s">
        <v>99</v>
      </c>
      <c r="AA566" s="10" t="s">
        <v>131</v>
      </c>
      <c r="AB566" s="10" t="s">
        <v>3520</v>
      </c>
      <c r="AC566" s="10" t="s">
        <v>3521</v>
      </c>
      <c r="AD566" s="10" t="s">
        <v>4914</v>
      </c>
      <c r="AE566" s="10" t="s">
        <v>4915</v>
      </c>
      <c r="AF566" s="15"/>
      <c r="AG566" s="10" t="s">
        <v>3524</v>
      </c>
      <c r="AH566" s="10" t="s">
        <v>3539</v>
      </c>
      <c r="AI566" s="10" t="s">
        <v>3539</v>
      </c>
      <c r="AJ566" s="10" t="s">
        <v>4916</v>
      </c>
      <c r="AK566" s="10" t="s">
        <v>102</v>
      </c>
      <c r="AL566" s="10" t="s">
        <v>1773</v>
      </c>
      <c r="AM566" s="10"/>
      <c r="AN566" s="10"/>
      <c r="AO566" s="13" t="b">
        <v>0</v>
      </c>
      <c r="AP566" s="10" t="s">
        <v>104</v>
      </c>
      <c r="AQ566" s="10">
        <f ca="1">IFERROR(__xludf.DUMMYFUNCTION("""COMPUTED_VALUE"""),4783337)</f>
        <v>4783337</v>
      </c>
      <c r="AR566" s="17">
        <v>240407</v>
      </c>
      <c r="AS566" s="17">
        <v>145084</v>
      </c>
      <c r="AT566" s="17">
        <v>4303022.5</v>
      </c>
      <c r="AU566" s="17">
        <v>2390.1999999999998</v>
      </c>
      <c r="AV566" s="17">
        <v>437.1</v>
      </c>
      <c r="AW566" s="10" t="s">
        <v>105</v>
      </c>
      <c r="AX566" s="17">
        <v>50016</v>
      </c>
      <c r="AY566" s="18">
        <v>29.658835571117422</v>
      </c>
      <c r="AZ566" s="10" t="s">
        <v>185</v>
      </c>
      <c r="BA566" s="20" t="b">
        <v>0</v>
      </c>
      <c r="BB566" s="10"/>
      <c r="BC566" s="17">
        <v>240407</v>
      </c>
      <c r="BD566" s="17">
        <v>145084</v>
      </c>
      <c r="BE566" s="17">
        <v>4303022.5</v>
      </c>
      <c r="BF566" s="17">
        <v>437.1</v>
      </c>
      <c r="BG566" s="11">
        <f ca="1">IFERROR(__xludf.DUMMYFUNCTION("""COMPUTED_VALUE"""),46012.6458333333)</f>
        <v>46012.645833333299</v>
      </c>
      <c r="BH566" s="17" t="s">
        <v>105</v>
      </c>
      <c r="BI566" s="17"/>
      <c r="BJ566" s="15"/>
      <c r="BK566" s="15"/>
      <c r="BL566" s="13" t="b">
        <v>0</v>
      </c>
      <c r="BM566" s="10"/>
      <c r="BN566" s="10" t="s">
        <v>149</v>
      </c>
      <c r="BO566" s="11">
        <v>45860.370833333334</v>
      </c>
      <c r="BP566" s="11">
        <v>46008.54074074074</v>
      </c>
      <c r="BQ566" s="15">
        <v>46006.736805555556</v>
      </c>
      <c r="BR566" s="15">
        <v>46007.688252314816</v>
      </c>
      <c r="BS566" s="10" t="s">
        <v>149</v>
      </c>
      <c r="BT566" s="10" t="s">
        <v>99</v>
      </c>
      <c r="BU566" s="10" t="s">
        <v>421</v>
      </c>
      <c r="BV566" s="10"/>
      <c r="BW566" s="10"/>
      <c r="BX566" s="10"/>
      <c r="BY566" s="23"/>
      <c r="BZ566" s="24" t="s">
        <v>284</v>
      </c>
      <c r="CA566" s="19" t="s">
        <v>4917</v>
      </c>
      <c r="CB566" s="19" t="s">
        <v>4918</v>
      </c>
      <c r="CC566" s="23"/>
      <c r="CD566" s="19" t="s">
        <v>4919</v>
      </c>
      <c r="CE566" s="23"/>
      <c r="CF566" s="23"/>
      <c r="CG566" s="23"/>
      <c r="CH566" s="23"/>
      <c r="CI566" s="23"/>
    </row>
    <row r="567" spans="1:87" x14ac:dyDescent="0.3">
      <c r="A567" s="9" t="s">
        <v>4920</v>
      </c>
      <c r="B567" s="10" t="s">
        <v>4921</v>
      </c>
      <c r="C567" s="11">
        <v>46012.791666666664</v>
      </c>
      <c r="D567" s="12">
        <v>8.3333333333333329E-2</v>
      </c>
      <c r="E567" s="11">
        <v>46012.875</v>
      </c>
      <c r="F567" s="10" t="s">
        <v>3511</v>
      </c>
      <c r="G567" s="13" t="b">
        <v>0</v>
      </c>
      <c r="H567" s="10" t="s">
        <v>123</v>
      </c>
      <c r="I567" s="10" t="s">
        <v>3548</v>
      </c>
      <c r="J567" s="13" t="b">
        <v>0</v>
      </c>
      <c r="K567" s="13" t="b">
        <v>1</v>
      </c>
      <c r="L567" s="10" t="s">
        <v>124</v>
      </c>
      <c r="M567" s="10" t="s">
        <v>91</v>
      </c>
      <c r="N567" s="10" t="s">
        <v>3513</v>
      </c>
      <c r="O567" s="19" t="s">
        <v>4922</v>
      </c>
      <c r="P567" s="10"/>
      <c r="Q567" s="10" t="s">
        <v>126</v>
      </c>
      <c r="R567" s="10"/>
      <c r="S567" s="19" t="s">
        <v>4923</v>
      </c>
      <c r="T567" s="19" t="s">
        <v>4924</v>
      </c>
      <c r="U567" s="10" t="s">
        <v>3609</v>
      </c>
      <c r="V567" s="10" t="s">
        <v>3518</v>
      </c>
      <c r="W567" s="10" t="s">
        <v>3519</v>
      </c>
      <c r="X567" s="10" t="s">
        <v>130</v>
      </c>
      <c r="Y567" s="10" t="s">
        <v>130</v>
      </c>
      <c r="Z567" s="10" t="s">
        <v>99</v>
      </c>
      <c r="AA567" s="10" t="s">
        <v>131</v>
      </c>
      <c r="AB567" s="10" t="s">
        <v>3520</v>
      </c>
      <c r="AC567" s="10" t="s">
        <v>3521</v>
      </c>
      <c r="AD567" s="10" t="s">
        <v>4925</v>
      </c>
      <c r="AE567" s="10" t="s">
        <v>4926</v>
      </c>
      <c r="AF567" s="15"/>
      <c r="AG567" s="10" t="s">
        <v>3524</v>
      </c>
      <c r="AH567" s="10" t="s">
        <v>3539</v>
      </c>
      <c r="AI567" s="10" t="s">
        <v>3539</v>
      </c>
      <c r="AJ567" s="10"/>
      <c r="AK567" s="10" t="s">
        <v>102</v>
      </c>
      <c r="AL567" s="10" t="s">
        <v>1773</v>
      </c>
      <c r="AM567" s="10"/>
      <c r="AN567" s="10"/>
      <c r="AO567" s="13" t="b">
        <v>1</v>
      </c>
      <c r="AP567" s="10" t="s">
        <v>104</v>
      </c>
      <c r="AQ567" s="10">
        <f ca="1">IFERROR(__xludf.DUMMYFUNCTION("""COMPUTED_VALUE"""),4786953)</f>
        <v>4786953</v>
      </c>
      <c r="AR567" s="17">
        <v>648271</v>
      </c>
      <c r="AS567" s="17">
        <v>366130</v>
      </c>
      <c r="AT567" s="17">
        <v>16715356.75</v>
      </c>
      <c r="AU567" s="17">
        <v>12556.75</v>
      </c>
      <c r="AV567" s="17">
        <v>3135.7</v>
      </c>
      <c r="AW567" s="10" t="s">
        <v>297</v>
      </c>
      <c r="AX567" s="17">
        <v>168430</v>
      </c>
      <c r="AY567" s="18">
        <v>45.654157676235215</v>
      </c>
      <c r="AZ567" s="10" t="s">
        <v>185</v>
      </c>
      <c r="BA567" s="20" t="b">
        <v>0</v>
      </c>
      <c r="BB567" s="10"/>
      <c r="BC567" s="17">
        <v>648271</v>
      </c>
      <c r="BD567" s="17">
        <v>366130</v>
      </c>
      <c r="BE567" s="17">
        <v>16715356.75</v>
      </c>
      <c r="BF567" s="17">
        <v>3135.7</v>
      </c>
      <c r="BG567" s="11">
        <f ca="1">IFERROR(__xludf.DUMMYFUNCTION("""COMPUTED_VALUE"""),46012.7916666666)</f>
        <v>46012.791666666599</v>
      </c>
      <c r="BH567" s="17" t="s">
        <v>297</v>
      </c>
      <c r="BI567" s="17"/>
      <c r="BJ567" s="15"/>
      <c r="BK567" s="15"/>
      <c r="BL567" s="13" t="b">
        <v>0</v>
      </c>
      <c r="BM567" s="10"/>
      <c r="BN567" s="10" t="s">
        <v>149</v>
      </c>
      <c r="BO567" s="11">
        <v>45860.370833333334</v>
      </c>
      <c r="BP567" s="11">
        <v>46010.735312500001</v>
      </c>
      <c r="BQ567" s="15">
        <v>46009.713437500002</v>
      </c>
      <c r="BR567" s="15">
        <v>46010.750439814816</v>
      </c>
      <c r="BS567" s="10" t="s">
        <v>149</v>
      </c>
      <c r="BT567" s="10" t="s">
        <v>99</v>
      </c>
      <c r="BU567" s="10" t="s">
        <v>421</v>
      </c>
      <c r="BV567" s="10" t="s">
        <v>281</v>
      </c>
      <c r="BW567" s="10"/>
      <c r="BX567" s="10"/>
      <c r="BY567" s="23"/>
      <c r="BZ567" s="24" t="s">
        <v>284</v>
      </c>
      <c r="CA567" s="19" t="s">
        <v>4927</v>
      </c>
      <c r="CB567" s="19" t="s">
        <v>4928</v>
      </c>
      <c r="CC567" s="23"/>
      <c r="CD567" s="19" t="s">
        <v>4929</v>
      </c>
      <c r="CE567" s="23"/>
      <c r="CF567" s="23"/>
      <c r="CG567" s="23"/>
      <c r="CH567" s="23"/>
      <c r="CI567" s="23"/>
    </row>
    <row r="568" spans="1:87" x14ac:dyDescent="0.3">
      <c r="A568" s="9" t="s">
        <v>4930</v>
      </c>
      <c r="B568" s="10" t="s">
        <v>4931</v>
      </c>
      <c r="C568" s="11">
        <v>46013.645833333336</v>
      </c>
      <c r="D568" s="12">
        <v>8.3333333333333329E-2</v>
      </c>
      <c r="E568" s="11">
        <v>46013.729166666664</v>
      </c>
      <c r="F568" s="10" t="s">
        <v>3511</v>
      </c>
      <c r="G568" s="13" t="b">
        <v>0</v>
      </c>
      <c r="H568" s="10" t="s">
        <v>123</v>
      </c>
      <c r="I568" s="10" t="s">
        <v>3548</v>
      </c>
      <c r="J568" s="13" t="b">
        <v>0</v>
      </c>
      <c r="K568" s="13" t="b">
        <v>1</v>
      </c>
      <c r="L568" s="10" t="s">
        <v>124</v>
      </c>
      <c r="M568" s="10" t="s">
        <v>91</v>
      </c>
      <c r="N568" s="10" t="s">
        <v>3513</v>
      </c>
      <c r="O568" s="19" t="s">
        <v>4932</v>
      </c>
      <c r="P568" s="10"/>
      <c r="Q568" s="10" t="s">
        <v>126</v>
      </c>
      <c r="R568" s="10"/>
      <c r="S568" s="19" t="s">
        <v>4933</v>
      </c>
      <c r="T568" s="19" t="s">
        <v>4934</v>
      </c>
      <c r="U568" s="10" t="s">
        <v>3677</v>
      </c>
      <c r="V568" s="10" t="s">
        <v>3661</v>
      </c>
      <c r="W568" s="10" t="s">
        <v>3519</v>
      </c>
      <c r="X568" s="10" t="s">
        <v>130</v>
      </c>
      <c r="Y568" s="10" t="s">
        <v>130</v>
      </c>
      <c r="Z568" s="10" t="s">
        <v>99</v>
      </c>
      <c r="AA568" s="10" t="s">
        <v>131</v>
      </c>
      <c r="AB568" s="10" t="s">
        <v>3520</v>
      </c>
      <c r="AC568" s="10" t="s">
        <v>3521</v>
      </c>
      <c r="AD568" s="10" t="s">
        <v>4935</v>
      </c>
      <c r="AE568" s="10" t="s">
        <v>4936</v>
      </c>
      <c r="AF568" s="15"/>
      <c r="AG568" s="10" t="s">
        <v>3524</v>
      </c>
      <c r="AH568" s="10" t="s">
        <v>3539</v>
      </c>
      <c r="AI568" s="10" t="s">
        <v>3539</v>
      </c>
      <c r="AJ568" s="10"/>
      <c r="AK568" s="10" t="s">
        <v>102</v>
      </c>
      <c r="AL568" s="10" t="s">
        <v>1773</v>
      </c>
      <c r="AM568" s="10"/>
      <c r="AN568" s="10"/>
      <c r="AO568" s="13" t="b">
        <v>0</v>
      </c>
      <c r="AP568" s="10" t="s">
        <v>104</v>
      </c>
      <c r="AQ568" s="10">
        <f ca="1">IFERROR(__xludf.DUMMYFUNCTION("""COMPUTED_VALUE"""),4783774)</f>
        <v>4783774</v>
      </c>
      <c r="AR568" s="17">
        <v>138128</v>
      </c>
      <c r="AS568" s="17">
        <v>101149</v>
      </c>
      <c r="AT568" s="17">
        <v>2313225</v>
      </c>
      <c r="AU568" s="17">
        <v>792.95</v>
      </c>
      <c r="AV568" s="17">
        <v>126.05</v>
      </c>
      <c r="AW568" s="10" t="s">
        <v>105</v>
      </c>
      <c r="AX568" s="17">
        <v>29209</v>
      </c>
      <c r="AY568" s="18">
        <v>22.869479678494102</v>
      </c>
      <c r="AZ568" s="10" t="s">
        <v>185</v>
      </c>
      <c r="BA568" s="20" t="b">
        <v>0</v>
      </c>
      <c r="BB568" s="10"/>
      <c r="BC568" s="17">
        <v>138128</v>
      </c>
      <c r="BD568" s="17">
        <v>101149</v>
      </c>
      <c r="BE568" s="17">
        <v>2313225</v>
      </c>
      <c r="BF568" s="17">
        <v>126.05</v>
      </c>
      <c r="BG568" s="11">
        <f ca="1">IFERROR(__xludf.DUMMYFUNCTION("""COMPUTED_VALUE"""),46013.6458333333)</f>
        <v>46013.645833333299</v>
      </c>
      <c r="BH568" s="17" t="s">
        <v>105</v>
      </c>
      <c r="BI568" s="17"/>
      <c r="BJ568" s="15"/>
      <c r="BK568" s="15"/>
      <c r="BL568" s="13" t="b">
        <v>0</v>
      </c>
      <c r="BM568" s="10"/>
      <c r="BN568" s="10" t="s">
        <v>137</v>
      </c>
      <c r="BO568" s="11">
        <v>45860.370833333334</v>
      </c>
      <c r="BP568" s="11">
        <v>45996.603009259263</v>
      </c>
      <c r="BQ568" s="15">
        <v>46006.737719907411</v>
      </c>
      <c r="BR568" s="15">
        <v>46010.427037037036</v>
      </c>
      <c r="BS568" s="10" t="s">
        <v>137</v>
      </c>
      <c r="BT568" s="10" t="s">
        <v>99</v>
      </c>
      <c r="BU568" s="10" t="s">
        <v>421</v>
      </c>
      <c r="BV568" s="10" t="s">
        <v>124</v>
      </c>
      <c r="BW568" s="10"/>
      <c r="BX568" s="10"/>
      <c r="BY568" s="23"/>
      <c r="BZ568" s="24" t="s">
        <v>284</v>
      </c>
      <c r="CA568" s="19" t="s">
        <v>4937</v>
      </c>
      <c r="CB568" s="19" t="s">
        <v>4938</v>
      </c>
      <c r="CC568" s="23"/>
      <c r="CD568" s="19" t="s">
        <v>4939</v>
      </c>
      <c r="CE568" s="23"/>
      <c r="CF568" s="23"/>
      <c r="CG568" s="23"/>
      <c r="CH568" s="23"/>
      <c r="CI568" s="23"/>
    </row>
    <row r="569" spans="1:87" x14ac:dyDescent="0.3">
      <c r="A569" s="9" t="s">
        <v>4940</v>
      </c>
      <c r="B569" s="10" t="s">
        <v>4941</v>
      </c>
      <c r="C569" s="11">
        <v>46013.791666666664</v>
      </c>
      <c r="D569" s="12">
        <v>8.3333333333333329E-2</v>
      </c>
      <c r="E569" s="11">
        <v>46013.875</v>
      </c>
      <c r="F569" s="10" t="s">
        <v>3511</v>
      </c>
      <c r="G569" s="13" t="b">
        <v>0</v>
      </c>
      <c r="H569" s="10" t="s">
        <v>123</v>
      </c>
      <c r="I569" s="10" t="s">
        <v>3548</v>
      </c>
      <c r="J569" s="13" t="b">
        <v>0</v>
      </c>
      <c r="K569" s="13" t="b">
        <v>1</v>
      </c>
      <c r="L569" s="10" t="s">
        <v>124</v>
      </c>
      <c r="M569" s="10" t="s">
        <v>91</v>
      </c>
      <c r="N569" s="10" t="s">
        <v>3513</v>
      </c>
      <c r="O569" s="19" t="s">
        <v>4942</v>
      </c>
      <c r="P569" s="10"/>
      <c r="Q569" s="10" t="s">
        <v>126</v>
      </c>
      <c r="R569" s="10"/>
      <c r="S569" s="19" t="s">
        <v>4943</v>
      </c>
      <c r="T569" s="19" t="s">
        <v>4944</v>
      </c>
      <c r="U569" s="10" t="s">
        <v>3610</v>
      </c>
      <c r="V569" s="10" t="s">
        <v>3647</v>
      </c>
      <c r="W569" s="10" t="s">
        <v>3519</v>
      </c>
      <c r="X569" s="10" t="s">
        <v>130</v>
      </c>
      <c r="Y569" s="10" t="s">
        <v>130</v>
      </c>
      <c r="Z569" s="10" t="s">
        <v>99</v>
      </c>
      <c r="AA569" s="10" t="s">
        <v>131</v>
      </c>
      <c r="AB569" s="10" t="s">
        <v>3520</v>
      </c>
      <c r="AC569" s="10" t="s">
        <v>3521</v>
      </c>
      <c r="AD569" s="10" t="s">
        <v>4945</v>
      </c>
      <c r="AE569" s="10" t="s">
        <v>4946</v>
      </c>
      <c r="AF569" s="15"/>
      <c r="AG569" s="10" t="s">
        <v>3524</v>
      </c>
      <c r="AH569" s="10" t="s">
        <v>3539</v>
      </c>
      <c r="AI569" s="10" t="s">
        <v>3539</v>
      </c>
      <c r="AJ569" s="10"/>
      <c r="AK569" s="10" t="s">
        <v>102</v>
      </c>
      <c r="AL569" s="10" t="s">
        <v>1773</v>
      </c>
      <c r="AM569" s="10"/>
      <c r="AN569" s="10"/>
      <c r="AO569" s="13" t="b">
        <v>1</v>
      </c>
      <c r="AP569" s="10" t="s">
        <v>104</v>
      </c>
      <c r="AQ569" s="10">
        <f ca="1">IFERROR(__xludf.DUMMYFUNCTION("""COMPUTED_VALUE"""),4783773)</f>
        <v>4783773</v>
      </c>
      <c r="AR569" s="17">
        <v>506714</v>
      </c>
      <c r="AS569" s="17">
        <v>293713</v>
      </c>
      <c r="AT569" s="17">
        <v>10940699.75</v>
      </c>
      <c r="AU569" s="17">
        <v>5177.6000000000004</v>
      </c>
      <c r="AV569" s="17">
        <v>857.1</v>
      </c>
      <c r="AW569" s="10" t="s">
        <v>297</v>
      </c>
      <c r="AX569" s="17">
        <v>112831</v>
      </c>
      <c r="AY569" s="18">
        <v>37.249627187083988</v>
      </c>
      <c r="AZ569" s="10" t="s">
        <v>185</v>
      </c>
      <c r="BA569" s="20" t="b">
        <v>0</v>
      </c>
      <c r="BB569" s="10"/>
      <c r="BC569" s="17">
        <v>506714</v>
      </c>
      <c r="BD569" s="17">
        <v>293713</v>
      </c>
      <c r="BE569" s="17">
        <v>10940699.75</v>
      </c>
      <c r="BF569" s="17">
        <v>857.1</v>
      </c>
      <c r="BG569" s="11">
        <f ca="1">IFERROR(__xludf.DUMMYFUNCTION("""COMPUTED_VALUE"""),46013.7916666666)</f>
        <v>46013.791666666599</v>
      </c>
      <c r="BH569" s="17" t="s">
        <v>297</v>
      </c>
      <c r="BI569" s="17"/>
      <c r="BJ569" s="15"/>
      <c r="BK569" s="15"/>
      <c r="BL569" s="13" t="b">
        <v>0</v>
      </c>
      <c r="BM569" s="10"/>
      <c r="BN569" s="10" t="s">
        <v>137</v>
      </c>
      <c r="BO569" s="11">
        <v>45860.370833333334</v>
      </c>
      <c r="BP569" s="11">
        <v>45996.603263888886</v>
      </c>
      <c r="BQ569" s="15">
        <v>46006.737870370373</v>
      </c>
      <c r="BR569" s="15">
        <v>46010.427407407406</v>
      </c>
      <c r="BS569" s="10" t="s">
        <v>137</v>
      </c>
      <c r="BT569" s="10" t="s">
        <v>99</v>
      </c>
      <c r="BU569" s="10" t="s">
        <v>421</v>
      </c>
      <c r="BV569" s="10" t="s">
        <v>124</v>
      </c>
      <c r="BW569" s="10"/>
      <c r="BX569" s="10"/>
      <c r="BY569" s="23"/>
      <c r="BZ569" s="24" t="s">
        <v>284</v>
      </c>
      <c r="CA569" s="19" t="s">
        <v>4947</v>
      </c>
      <c r="CB569" s="19" t="s">
        <v>4948</v>
      </c>
      <c r="CC569" s="23"/>
      <c r="CD569" s="19" t="s">
        <v>4949</v>
      </c>
      <c r="CE569" s="23"/>
      <c r="CF569" s="23"/>
      <c r="CG569" s="23"/>
      <c r="CH569" s="23"/>
      <c r="CI569" s="23"/>
    </row>
    <row r="570" spans="1:87" x14ac:dyDescent="0.3">
      <c r="A570" s="9" t="s">
        <v>4950</v>
      </c>
      <c r="B570" s="10" t="s">
        <v>4951</v>
      </c>
      <c r="C570" s="11">
        <v>46014.645833333336</v>
      </c>
      <c r="D570" s="12">
        <v>8.3333333333333329E-2</v>
      </c>
      <c r="E570" s="11">
        <v>46014.729166666664</v>
      </c>
      <c r="F570" s="10" t="s">
        <v>3511</v>
      </c>
      <c r="G570" s="13" t="b">
        <v>0</v>
      </c>
      <c r="H570" s="10" t="s">
        <v>123</v>
      </c>
      <c r="I570" s="10" t="s">
        <v>3548</v>
      </c>
      <c r="J570" s="13" t="b">
        <v>0</v>
      </c>
      <c r="K570" s="13" t="b">
        <v>1</v>
      </c>
      <c r="L570" s="10" t="s">
        <v>124</v>
      </c>
      <c r="M570" s="10" t="s">
        <v>91</v>
      </c>
      <c r="N570" s="10" t="s">
        <v>3513</v>
      </c>
      <c r="O570" s="19" t="s">
        <v>4952</v>
      </c>
      <c r="P570" s="10"/>
      <c r="Q570" s="10" t="s">
        <v>126</v>
      </c>
      <c r="R570" s="10"/>
      <c r="S570" s="19" t="s">
        <v>4953</v>
      </c>
      <c r="T570" s="19" t="s">
        <v>4954</v>
      </c>
      <c r="U570" s="10" t="s">
        <v>3676</v>
      </c>
      <c r="V570" s="10" t="s">
        <v>3635</v>
      </c>
      <c r="W570" s="10" t="s">
        <v>3519</v>
      </c>
      <c r="X570" s="10" t="s">
        <v>130</v>
      </c>
      <c r="Y570" s="10" t="s">
        <v>130</v>
      </c>
      <c r="Z570" s="10" t="s">
        <v>99</v>
      </c>
      <c r="AA570" s="10" t="s">
        <v>131</v>
      </c>
      <c r="AB570" s="10" t="s">
        <v>3520</v>
      </c>
      <c r="AC570" s="10" t="s">
        <v>3521</v>
      </c>
      <c r="AD570" s="10" t="s">
        <v>4955</v>
      </c>
      <c r="AE570" s="10" t="s">
        <v>4956</v>
      </c>
      <c r="AF570" s="15"/>
      <c r="AG570" s="10" t="s">
        <v>3524</v>
      </c>
      <c r="AH570" s="10" t="s">
        <v>3539</v>
      </c>
      <c r="AI570" s="10" t="s">
        <v>3539</v>
      </c>
      <c r="AJ570" s="10"/>
      <c r="AK570" s="10" t="s">
        <v>102</v>
      </c>
      <c r="AL570" s="10" t="s">
        <v>1773</v>
      </c>
      <c r="AM570" s="10"/>
      <c r="AN570" s="10"/>
      <c r="AO570" s="13" t="b">
        <v>0</v>
      </c>
      <c r="AP570" s="10" t="s">
        <v>104</v>
      </c>
      <c r="AQ570" s="10">
        <f ca="1">IFERROR(__xludf.DUMMYFUNCTION("""COMPUTED_VALUE"""),4790143)</f>
        <v>4790143</v>
      </c>
      <c r="AR570" s="17">
        <v>139320</v>
      </c>
      <c r="AS570" s="17">
        <v>98144</v>
      </c>
      <c r="AT570" s="17">
        <v>2524281.25</v>
      </c>
      <c r="AU570" s="17">
        <v>1070.3499999999999</v>
      </c>
      <c r="AV570" s="17">
        <v>144.30000000000001</v>
      </c>
      <c r="AW570" s="10" t="s">
        <v>105</v>
      </c>
      <c r="AX570" s="17">
        <v>32633</v>
      </c>
      <c r="AY570" s="18">
        <v>25.720179022660581</v>
      </c>
      <c r="AZ570" s="10" t="s">
        <v>185</v>
      </c>
      <c r="BA570" s="20" t="b">
        <v>0</v>
      </c>
      <c r="BB570" s="10"/>
      <c r="BC570" s="17">
        <v>139320</v>
      </c>
      <c r="BD570" s="17">
        <v>98144</v>
      </c>
      <c r="BE570" s="17">
        <v>2524281.25</v>
      </c>
      <c r="BF570" s="17">
        <v>144.30000000000001</v>
      </c>
      <c r="BG570" s="11">
        <f ca="1">IFERROR(__xludf.DUMMYFUNCTION("""COMPUTED_VALUE"""),46014.6458333333)</f>
        <v>46014.645833333299</v>
      </c>
      <c r="BH570" s="17" t="s">
        <v>105</v>
      </c>
      <c r="BI570" s="17"/>
      <c r="BJ570" s="15"/>
      <c r="BK570" s="15"/>
      <c r="BL570" s="13" t="b">
        <v>0</v>
      </c>
      <c r="BM570" s="10"/>
      <c r="BN570" s="10" t="s">
        <v>149</v>
      </c>
      <c r="BO570" s="11">
        <v>45860.370833333334</v>
      </c>
      <c r="BP570" s="11">
        <v>45996.603518518517</v>
      </c>
      <c r="BQ570" s="15">
        <v>46009.708645833336</v>
      </c>
      <c r="BR570" s="15">
        <v>46012.707939814813</v>
      </c>
      <c r="BS570" s="10" t="s">
        <v>149</v>
      </c>
      <c r="BT570" s="10" t="s">
        <v>99</v>
      </c>
      <c r="BU570" s="10" t="s">
        <v>298</v>
      </c>
      <c r="BV570" s="10" t="s">
        <v>124</v>
      </c>
      <c r="BW570" s="10"/>
      <c r="BX570" s="10"/>
      <c r="BY570" s="23"/>
      <c r="BZ570" s="24" t="s">
        <v>284</v>
      </c>
      <c r="CA570" s="19" t="s">
        <v>4957</v>
      </c>
      <c r="CB570" s="19" t="s">
        <v>4958</v>
      </c>
      <c r="CC570" s="23"/>
      <c r="CD570" s="19" t="s">
        <v>4959</v>
      </c>
      <c r="CE570" s="23"/>
      <c r="CF570" s="23"/>
      <c r="CG570" s="23"/>
      <c r="CH570" s="23"/>
      <c r="CI570" s="23"/>
    </row>
    <row r="571" spans="1:87" x14ac:dyDescent="0.3">
      <c r="A571" s="9" t="s">
        <v>4960</v>
      </c>
      <c r="B571" s="10" t="s">
        <v>4961</v>
      </c>
      <c r="C571" s="11">
        <v>46014.791666666664</v>
      </c>
      <c r="D571" s="12">
        <v>8.3333333333333329E-2</v>
      </c>
      <c r="E571" s="11">
        <v>46014.875</v>
      </c>
      <c r="F571" s="10" t="s">
        <v>3511</v>
      </c>
      <c r="G571" s="13" t="b">
        <v>0</v>
      </c>
      <c r="H571" s="10" t="s">
        <v>236</v>
      </c>
      <c r="I571" s="10" t="s">
        <v>212</v>
      </c>
      <c r="J571" s="13" t="b">
        <v>1</v>
      </c>
      <c r="K571" s="13" t="b">
        <v>1</v>
      </c>
      <c r="L571" s="10" t="s">
        <v>124</v>
      </c>
      <c r="M571" s="10" t="s">
        <v>91</v>
      </c>
      <c r="N571" s="10" t="s">
        <v>3513</v>
      </c>
      <c r="O571" s="19" t="s">
        <v>4962</v>
      </c>
      <c r="P571" s="10"/>
      <c r="Q571" s="10" t="s">
        <v>126</v>
      </c>
      <c r="R571" s="10"/>
      <c r="S571" s="19" t="s">
        <v>4963</v>
      </c>
      <c r="T571" s="19" t="s">
        <v>4964</v>
      </c>
      <c r="U571" s="10" t="s">
        <v>3536</v>
      </c>
      <c r="V571" s="10" t="s">
        <v>3552</v>
      </c>
      <c r="W571" s="10" t="s">
        <v>3519</v>
      </c>
      <c r="X571" s="10" t="s">
        <v>130</v>
      </c>
      <c r="Y571" s="10" t="s">
        <v>130</v>
      </c>
      <c r="Z571" s="10" t="s">
        <v>99</v>
      </c>
      <c r="AA571" s="10" t="s">
        <v>131</v>
      </c>
      <c r="AB571" s="10" t="s">
        <v>3520</v>
      </c>
      <c r="AC571" s="10" t="s">
        <v>3521</v>
      </c>
      <c r="AD571" s="10" t="s">
        <v>4965</v>
      </c>
      <c r="AE571" s="10" t="s">
        <v>4966</v>
      </c>
      <c r="AF571" s="15"/>
      <c r="AG571" s="10" t="s">
        <v>3524</v>
      </c>
      <c r="AH571" s="10" t="s">
        <v>3539</v>
      </c>
      <c r="AI571" s="10" t="s">
        <v>3539</v>
      </c>
      <c r="AJ571" s="10"/>
      <c r="AK571" s="10" t="s">
        <v>102</v>
      </c>
      <c r="AL571" s="10" t="s">
        <v>1773</v>
      </c>
      <c r="AM571" s="10"/>
      <c r="AN571" s="10"/>
      <c r="AO571" s="13" t="b">
        <v>0</v>
      </c>
      <c r="AP571" s="10" t="s">
        <v>104</v>
      </c>
      <c r="AQ571" s="10">
        <f ca="1">IFERROR(__xludf.DUMMYFUNCTION("""COMPUTED_VALUE"""),4790144)</f>
        <v>4790144</v>
      </c>
      <c r="AR571" s="17">
        <v>340971</v>
      </c>
      <c r="AS571" s="17">
        <v>226951</v>
      </c>
      <c r="AT571" s="17">
        <v>5282506.75</v>
      </c>
      <c r="AU571" s="17">
        <v>849.4</v>
      </c>
      <c r="AV571" s="17">
        <v>90.15</v>
      </c>
      <c r="AW571" s="10" t="s">
        <v>105</v>
      </c>
      <c r="AX571" s="17">
        <v>55421</v>
      </c>
      <c r="AY571" s="18">
        <v>23.275979176121719</v>
      </c>
      <c r="AZ571" s="10" t="s">
        <v>185</v>
      </c>
      <c r="BA571" s="20" t="b">
        <v>0</v>
      </c>
      <c r="BB571" s="10"/>
      <c r="BC571" s="17">
        <v>340971</v>
      </c>
      <c r="BD571" s="17">
        <v>226951</v>
      </c>
      <c r="BE571" s="17">
        <v>5282506.75</v>
      </c>
      <c r="BF571" s="17">
        <v>90.15</v>
      </c>
      <c r="BG571" s="11">
        <f ca="1">IFERROR(__xludf.DUMMYFUNCTION("""COMPUTED_VALUE"""),46014.7916666666)</f>
        <v>46014.791666666599</v>
      </c>
      <c r="BH571" s="17" t="s">
        <v>105</v>
      </c>
      <c r="BI571" s="17"/>
      <c r="BJ571" s="15"/>
      <c r="BK571" s="15"/>
      <c r="BL571" s="13" t="b">
        <v>0</v>
      </c>
      <c r="BM571" s="10"/>
      <c r="BN571" s="10" t="s">
        <v>149</v>
      </c>
      <c r="BO571" s="11">
        <v>45860.370833333334</v>
      </c>
      <c r="BP571" s="11">
        <v>45996.603888888887</v>
      </c>
      <c r="BQ571" s="15">
        <v>46006.738379629627</v>
      </c>
      <c r="BR571" s="15">
        <v>46012.657071759262</v>
      </c>
      <c r="BS571" s="10" t="s">
        <v>149</v>
      </c>
      <c r="BT571" s="10" t="s">
        <v>99</v>
      </c>
      <c r="BU571" s="10" t="s">
        <v>298</v>
      </c>
      <c r="BV571" s="10"/>
      <c r="BW571" s="10"/>
      <c r="BX571" s="10"/>
      <c r="BY571" s="23"/>
      <c r="BZ571" s="24" t="s">
        <v>299</v>
      </c>
      <c r="CA571" s="19" t="s">
        <v>4967</v>
      </c>
      <c r="CB571" s="19" t="s">
        <v>4968</v>
      </c>
      <c r="CC571" s="23"/>
      <c r="CD571" s="19" t="s">
        <v>4969</v>
      </c>
      <c r="CE571" s="23"/>
      <c r="CF571" s="23"/>
      <c r="CG571" s="23"/>
      <c r="CH571" s="23"/>
      <c r="CI571" s="23"/>
    </row>
    <row r="572" spans="1:87" x14ac:dyDescent="0.3">
      <c r="A572" s="9" t="s">
        <v>4970</v>
      </c>
      <c r="B572" s="10" t="s">
        <v>3504</v>
      </c>
      <c r="C572" s="11">
        <v>45885.416666666664</v>
      </c>
      <c r="D572" s="12">
        <v>0.20833333333333334</v>
      </c>
      <c r="E572" s="11">
        <v>45885.625</v>
      </c>
      <c r="F572" s="10" t="s">
        <v>210</v>
      </c>
      <c r="G572" s="13" t="b">
        <v>0</v>
      </c>
      <c r="H572" s="10" t="s">
        <v>211</v>
      </c>
      <c r="I572" s="10" t="s">
        <v>212</v>
      </c>
      <c r="J572" s="13" t="b">
        <v>1</v>
      </c>
      <c r="K572" s="13" t="b">
        <v>0</v>
      </c>
      <c r="L572" s="10" t="s">
        <v>124</v>
      </c>
      <c r="M572" s="10" t="s">
        <v>91</v>
      </c>
      <c r="N572" s="10" t="s">
        <v>92</v>
      </c>
      <c r="O572" s="19" t="s">
        <v>4971</v>
      </c>
      <c r="P572" s="10"/>
      <c r="Q572" s="10" t="s">
        <v>126</v>
      </c>
      <c r="R572" s="10"/>
      <c r="S572" s="19" t="s">
        <v>4972</v>
      </c>
      <c r="T572" s="10"/>
      <c r="U572" s="10"/>
      <c r="V572" s="10"/>
      <c r="W572" s="10" t="s">
        <v>215</v>
      </c>
      <c r="X572" s="10" t="s">
        <v>216</v>
      </c>
      <c r="Y572" s="10" t="s">
        <v>216</v>
      </c>
      <c r="Z572" s="10" t="s">
        <v>99</v>
      </c>
      <c r="AA572" s="10" t="s">
        <v>131</v>
      </c>
      <c r="AB572" s="10" t="s">
        <v>217</v>
      </c>
      <c r="AC572" s="10" t="s">
        <v>218</v>
      </c>
      <c r="AD572" s="10" t="s">
        <v>165</v>
      </c>
      <c r="AE572" s="10" t="s">
        <v>3505</v>
      </c>
      <c r="AF572" s="15"/>
      <c r="AG572" s="10"/>
      <c r="AH572" s="10"/>
      <c r="AI572" s="10"/>
      <c r="AJ572" s="10"/>
      <c r="AK572" s="10" t="s">
        <v>102</v>
      </c>
      <c r="AL572" s="10" t="s">
        <v>220</v>
      </c>
      <c r="AM572" s="10"/>
      <c r="AN572" s="10"/>
      <c r="AO572" s="13" t="b">
        <v>0</v>
      </c>
      <c r="AP572" s="22" t="s">
        <v>221</v>
      </c>
      <c r="AQ572" s="10">
        <f ca="1">IFERROR(__xludf.DUMMYFUNCTION("""COMPUTED_VALUE"""),4494860)</f>
        <v>4494860</v>
      </c>
      <c r="AR572" s="17">
        <v>14263</v>
      </c>
      <c r="AS572" s="17">
        <v>11321</v>
      </c>
      <c r="AT572" s="17">
        <v>135206.75</v>
      </c>
      <c r="AU572" s="17">
        <v>47.7</v>
      </c>
      <c r="AV572" s="17">
        <v>12.9</v>
      </c>
      <c r="AW572" s="10" t="s">
        <v>105</v>
      </c>
      <c r="AX572" s="17">
        <v>780</v>
      </c>
      <c r="AY572" s="18">
        <v>11.943004151576716</v>
      </c>
      <c r="AZ572" s="10" t="s">
        <v>106</v>
      </c>
      <c r="BA572" s="20" t="b">
        <v>0</v>
      </c>
      <c r="BB572" s="10"/>
      <c r="BC572" s="17">
        <v>14263</v>
      </c>
      <c r="BD572" s="17">
        <v>11321</v>
      </c>
      <c r="BE572" s="17">
        <v>135206.75</v>
      </c>
      <c r="BF572" s="17">
        <v>12.9</v>
      </c>
      <c r="BG572" s="11">
        <f ca="1">IFERROR(__xludf.DUMMYFUNCTION("""COMPUTED_VALUE"""),45885.4166666666)</f>
        <v>45885.416666666599</v>
      </c>
      <c r="BH572" s="17" t="s">
        <v>105</v>
      </c>
      <c r="BI572" s="17"/>
      <c r="BJ572" s="15"/>
      <c r="BK572" s="15"/>
      <c r="BL572" s="13" t="b">
        <v>0</v>
      </c>
      <c r="BM572" s="10"/>
      <c r="BN572" s="10" t="s">
        <v>149</v>
      </c>
      <c r="BO572" s="11">
        <v>45861.638194444444</v>
      </c>
      <c r="BP572" s="11">
        <v>45861.638483796298</v>
      </c>
      <c r="BQ572" s="15">
        <v>45881.618020833332</v>
      </c>
      <c r="BR572" s="15">
        <v>45881.671574074076</v>
      </c>
      <c r="BS572" s="10" t="s">
        <v>149</v>
      </c>
      <c r="BT572" s="10"/>
      <c r="BU572" s="10"/>
      <c r="BV572" s="10"/>
      <c r="BW572" s="10"/>
      <c r="BX572" s="10"/>
      <c r="BY572" s="23"/>
      <c r="BZ572" s="23"/>
      <c r="CA572" s="19" t="s">
        <v>4973</v>
      </c>
      <c r="CB572" s="23"/>
      <c r="CC572" s="23"/>
      <c r="CD572" s="19" t="s">
        <v>4974</v>
      </c>
      <c r="CE572" s="23"/>
      <c r="CF572" s="23"/>
      <c r="CG572" s="23"/>
      <c r="CH572" s="23"/>
      <c r="CI572" s="23"/>
    </row>
    <row r="573" spans="1:87" x14ac:dyDescent="0.3">
      <c r="A573" s="9" t="s">
        <v>4975</v>
      </c>
      <c r="B573" s="10" t="s">
        <v>3507</v>
      </c>
      <c r="C573" s="11">
        <v>45899.416666666664</v>
      </c>
      <c r="D573" s="12">
        <v>0.20833333333333334</v>
      </c>
      <c r="E573" s="11">
        <v>45899.625</v>
      </c>
      <c r="F573" s="10" t="s">
        <v>210</v>
      </c>
      <c r="G573" s="13" t="b">
        <v>0</v>
      </c>
      <c r="H573" s="10" t="s">
        <v>211</v>
      </c>
      <c r="I573" s="10" t="s">
        <v>212</v>
      </c>
      <c r="J573" s="13" t="b">
        <v>1</v>
      </c>
      <c r="K573" s="13" t="b">
        <v>0</v>
      </c>
      <c r="L573" s="10" t="s">
        <v>124</v>
      </c>
      <c r="M573" s="10" t="s">
        <v>91</v>
      </c>
      <c r="N573" s="10" t="s">
        <v>92</v>
      </c>
      <c r="O573" s="19" t="s">
        <v>4976</v>
      </c>
      <c r="P573" s="10"/>
      <c r="Q573" s="10" t="s">
        <v>126</v>
      </c>
      <c r="R573" s="10"/>
      <c r="S573" s="19" t="s">
        <v>4977</v>
      </c>
      <c r="T573" s="10"/>
      <c r="U573" s="10"/>
      <c r="V573" s="10"/>
      <c r="W573" s="10" t="s">
        <v>215</v>
      </c>
      <c r="X573" s="10" t="s">
        <v>216</v>
      </c>
      <c r="Y573" s="10" t="s">
        <v>216</v>
      </c>
      <c r="Z573" s="10" t="s">
        <v>99</v>
      </c>
      <c r="AA573" s="10" t="s">
        <v>131</v>
      </c>
      <c r="AB573" s="10" t="s">
        <v>217</v>
      </c>
      <c r="AC573" s="10" t="s">
        <v>218</v>
      </c>
      <c r="AD573" s="10" t="s">
        <v>165</v>
      </c>
      <c r="AE573" s="10" t="s">
        <v>3508</v>
      </c>
      <c r="AF573" s="15"/>
      <c r="AG573" s="10"/>
      <c r="AH573" s="10"/>
      <c r="AI573" s="10"/>
      <c r="AJ573" s="10"/>
      <c r="AK573" s="10" t="s">
        <v>102</v>
      </c>
      <c r="AL573" s="10" t="s">
        <v>220</v>
      </c>
      <c r="AM573" s="10"/>
      <c r="AN573" s="10"/>
      <c r="AO573" s="13" t="b">
        <v>0</v>
      </c>
      <c r="AP573" s="22" t="s">
        <v>221</v>
      </c>
      <c r="AQ573" s="10">
        <f ca="1">IFERROR(__xludf.DUMMYFUNCTION("""COMPUTED_VALUE"""),4523998)</f>
        <v>4523998</v>
      </c>
      <c r="AR573" s="17">
        <v>6211</v>
      </c>
      <c r="AS573" s="17">
        <v>5111</v>
      </c>
      <c r="AT573" s="17">
        <v>47816.25</v>
      </c>
      <c r="AU573" s="17">
        <v>9.4499999999999993</v>
      </c>
      <c r="AV573" s="17">
        <v>1</v>
      </c>
      <c r="AW573" s="10" t="s">
        <v>105</v>
      </c>
      <c r="AX573" s="17">
        <v>685</v>
      </c>
      <c r="AY573" s="18">
        <v>9.3555566425357082</v>
      </c>
      <c r="AZ573" s="10" t="s">
        <v>106</v>
      </c>
      <c r="BA573" s="20" t="b">
        <v>0</v>
      </c>
      <c r="BB573" s="10"/>
      <c r="BC573" s="17">
        <v>6211</v>
      </c>
      <c r="BD573" s="17">
        <v>5111</v>
      </c>
      <c r="BE573" s="17">
        <v>47816.25</v>
      </c>
      <c r="BF573" s="17">
        <v>1</v>
      </c>
      <c r="BG573" s="11">
        <f ca="1">IFERROR(__xludf.DUMMYFUNCTION("""COMPUTED_VALUE"""),45899.4166666666)</f>
        <v>45899.416666666599</v>
      </c>
      <c r="BH573" s="17" t="s">
        <v>105</v>
      </c>
      <c r="BI573" s="17"/>
      <c r="BJ573" s="15"/>
      <c r="BK573" s="15"/>
      <c r="BL573" s="13" t="b">
        <v>0</v>
      </c>
      <c r="BM573" s="10"/>
      <c r="BN573" s="10" t="s">
        <v>197</v>
      </c>
      <c r="BO573" s="11">
        <v>45861.638888888891</v>
      </c>
      <c r="BP573" s="11">
        <v>45861.639108796298</v>
      </c>
      <c r="BQ573" s="15">
        <v>45887.638159722221</v>
      </c>
      <c r="BR573" s="15">
        <v>45894.7658912037</v>
      </c>
      <c r="BS573" s="10" t="s">
        <v>197</v>
      </c>
      <c r="BT573" s="10"/>
      <c r="BU573" s="10"/>
      <c r="BV573" s="10"/>
      <c r="BW573" s="10"/>
      <c r="BX573" s="10"/>
      <c r="BY573" s="23"/>
      <c r="BZ573" s="23"/>
      <c r="CA573" s="19" t="s">
        <v>4978</v>
      </c>
      <c r="CB573" s="23"/>
      <c r="CC573" s="23"/>
      <c r="CD573" s="19" t="s">
        <v>4979</v>
      </c>
      <c r="CE573" s="23"/>
      <c r="CF573" s="23"/>
      <c r="CG573" s="23"/>
      <c r="CH573" s="23"/>
      <c r="CI573" s="23"/>
    </row>
    <row r="574" spans="1:87" x14ac:dyDescent="0.3">
      <c r="A574" s="9" t="s">
        <v>4980</v>
      </c>
      <c r="B574" s="10" t="s">
        <v>4981</v>
      </c>
      <c r="C574" s="11">
        <v>45865.270833333336</v>
      </c>
      <c r="D574" s="12">
        <v>0.16666666666666666</v>
      </c>
      <c r="E574" s="11">
        <v>45865.4375</v>
      </c>
      <c r="F574" s="10" t="s">
        <v>87</v>
      </c>
      <c r="G574" s="13" t="b">
        <v>0</v>
      </c>
      <c r="H574" s="10" t="s">
        <v>88</v>
      </c>
      <c r="I574" s="10" t="s">
        <v>89</v>
      </c>
      <c r="J574" s="13" t="b">
        <v>0</v>
      </c>
      <c r="K574" s="13" t="b">
        <v>1</v>
      </c>
      <c r="L574" s="10" t="s">
        <v>124</v>
      </c>
      <c r="M574" s="10" t="s">
        <v>91</v>
      </c>
      <c r="N574" s="10" t="s">
        <v>92</v>
      </c>
      <c r="O574" s="19" t="s">
        <v>4982</v>
      </c>
      <c r="P574" s="10"/>
      <c r="Q574" s="10" t="s">
        <v>126</v>
      </c>
      <c r="R574" s="19" t="s">
        <v>4983</v>
      </c>
      <c r="S574" s="19" t="s">
        <v>4984</v>
      </c>
      <c r="T574" s="10"/>
      <c r="U574" s="10"/>
      <c r="V574" s="10"/>
      <c r="W574" s="10" t="s">
        <v>97</v>
      </c>
      <c r="X574" s="10" t="s">
        <v>98</v>
      </c>
      <c r="Y574" s="10" t="s">
        <v>98</v>
      </c>
      <c r="Z574" s="10" t="s">
        <v>99</v>
      </c>
      <c r="AA574" s="10" t="s">
        <v>100</v>
      </c>
      <c r="AB574" s="10" t="s">
        <v>87</v>
      </c>
      <c r="AC574" s="10"/>
      <c r="AD574" s="10" t="s">
        <v>165</v>
      </c>
      <c r="AE574" s="10" t="s">
        <v>4985</v>
      </c>
      <c r="AF574" s="15"/>
      <c r="AG574" s="10"/>
      <c r="AH574" s="10"/>
      <c r="AI574" s="10"/>
      <c r="AJ574" s="10"/>
      <c r="AK574" s="10" t="s">
        <v>102</v>
      </c>
      <c r="AL574" s="10"/>
      <c r="AM574" s="10"/>
      <c r="AN574" s="10"/>
      <c r="AO574" s="13" t="b">
        <v>0</v>
      </c>
      <c r="AP574" s="10" t="s">
        <v>104</v>
      </c>
      <c r="AQ574" s="10">
        <f ca="1">IFERROR(__xludf.DUMMYFUNCTION("""COMPUTED_VALUE"""),4452180)</f>
        <v>4452180</v>
      </c>
      <c r="AR574" s="17">
        <v>6211</v>
      </c>
      <c r="AS574" s="17">
        <v>4225</v>
      </c>
      <c r="AT574" s="17">
        <v>116883.75</v>
      </c>
      <c r="AU574" s="17">
        <v>12.1</v>
      </c>
      <c r="AV574" s="17">
        <v>2.4500000000000002</v>
      </c>
      <c r="AW574" s="10" t="s">
        <v>105</v>
      </c>
      <c r="AX574" s="17">
        <v>934</v>
      </c>
      <c r="AY574" s="18">
        <v>27.664792899408283</v>
      </c>
      <c r="AZ574" s="10" t="s">
        <v>106</v>
      </c>
      <c r="BA574" s="20" t="b">
        <v>0</v>
      </c>
      <c r="BB574" s="10"/>
      <c r="BC574" s="17">
        <v>6211</v>
      </c>
      <c r="BD574" s="17">
        <v>4225</v>
      </c>
      <c r="BE574" s="17">
        <v>116883.75</v>
      </c>
      <c r="BF574" s="17">
        <v>2.4500000000000002</v>
      </c>
      <c r="BG574" s="11">
        <f ca="1">IFERROR(__xludf.DUMMYFUNCTION("""COMPUTED_VALUE"""),45865.2708333333)</f>
        <v>45865.270833333299</v>
      </c>
      <c r="BH574" s="17" t="s">
        <v>105</v>
      </c>
      <c r="BI574" s="17"/>
      <c r="BJ574" s="15"/>
      <c r="BK574" s="15"/>
      <c r="BL574" s="13" t="b">
        <v>0</v>
      </c>
      <c r="BM574" s="10"/>
      <c r="BN574" s="10" t="s">
        <v>667</v>
      </c>
      <c r="BO574" s="11">
        <v>45863.355555555558</v>
      </c>
      <c r="BP574" s="11">
        <v>45864.554328703707</v>
      </c>
      <c r="BQ574" s="15">
        <v>45863.81453703704</v>
      </c>
      <c r="BR574" s="15">
        <v>45863.879270833335</v>
      </c>
      <c r="BS574" s="10" t="s">
        <v>667</v>
      </c>
      <c r="BT574" s="10" t="s">
        <v>99</v>
      </c>
      <c r="BU574" s="10" t="s">
        <v>280</v>
      </c>
      <c r="BV574" s="10"/>
      <c r="BW574" s="10"/>
      <c r="BX574" s="10"/>
      <c r="BY574" s="23"/>
      <c r="BZ574" s="23"/>
      <c r="CA574" s="19" t="s">
        <v>4986</v>
      </c>
      <c r="CB574" s="23"/>
      <c r="CC574" s="23"/>
      <c r="CD574" s="19" t="s">
        <v>4987</v>
      </c>
      <c r="CE574" s="23"/>
      <c r="CF574" s="23"/>
      <c r="CG574" s="23"/>
      <c r="CH574" s="23"/>
      <c r="CI574" s="23"/>
    </row>
    <row r="575" spans="1:87" x14ac:dyDescent="0.3">
      <c r="A575" s="9" t="s">
        <v>4988</v>
      </c>
      <c r="B575" s="10" t="s">
        <v>4989</v>
      </c>
      <c r="C575" s="11">
        <v>45878.041666666664</v>
      </c>
      <c r="D575" s="12">
        <v>8.3333333333333329E-2</v>
      </c>
      <c r="E575" s="11">
        <v>45878.125</v>
      </c>
      <c r="F575" s="10" t="s">
        <v>3687</v>
      </c>
      <c r="G575" s="13" t="b">
        <v>0</v>
      </c>
      <c r="H575" s="10" t="s">
        <v>88</v>
      </c>
      <c r="I575" s="10" t="s">
        <v>89</v>
      </c>
      <c r="J575" s="13" t="b">
        <v>0</v>
      </c>
      <c r="K575" s="13" t="b">
        <v>1</v>
      </c>
      <c r="L575" s="10" t="s">
        <v>124</v>
      </c>
      <c r="M575" s="10" t="s">
        <v>91</v>
      </c>
      <c r="N575" s="10" t="s">
        <v>92</v>
      </c>
      <c r="O575" s="19" t="s">
        <v>4990</v>
      </c>
      <c r="P575" s="10"/>
      <c r="Q575" s="10" t="s">
        <v>126</v>
      </c>
      <c r="R575" s="10"/>
      <c r="S575" s="19" t="s">
        <v>4991</v>
      </c>
      <c r="T575" s="10"/>
      <c r="U575" s="10" t="s">
        <v>4992</v>
      </c>
      <c r="V575" s="10" t="s">
        <v>4993</v>
      </c>
      <c r="W575" s="10" t="s">
        <v>3692</v>
      </c>
      <c r="X575" s="10" t="s">
        <v>130</v>
      </c>
      <c r="Y575" s="10" t="s">
        <v>130</v>
      </c>
      <c r="Z575" s="10" t="s">
        <v>99</v>
      </c>
      <c r="AA575" s="10" t="s">
        <v>131</v>
      </c>
      <c r="AB575" s="10" t="s">
        <v>3693</v>
      </c>
      <c r="AC575" s="10" t="s">
        <v>3694</v>
      </c>
      <c r="AD575" s="10" t="s">
        <v>4994</v>
      </c>
      <c r="AE575" s="10" t="s">
        <v>4995</v>
      </c>
      <c r="AF575" s="15"/>
      <c r="AG575" s="10"/>
      <c r="AH575" s="10"/>
      <c r="AI575" s="10"/>
      <c r="AJ575" s="10" t="s">
        <v>4996</v>
      </c>
      <c r="AK575" s="10" t="s">
        <v>102</v>
      </c>
      <c r="AL575" s="10" t="s">
        <v>103</v>
      </c>
      <c r="AM575" s="10"/>
      <c r="AN575" s="10"/>
      <c r="AO575" s="13" t="b">
        <v>0</v>
      </c>
      <c r="AP575" s="10" t="s">
        <v>104</v>
      </c>
      <c r="AQ575" s="10">
        <f ca="1">IFERROR(__xludf.DUMMYFUNCTION("""COMPUTED_VALUE"""),4484472)</f>
        <v>4484472</v>
      </c>
      <c r="AR575" s="17">
        <v>8421</v>
      </c>
      <c r="AS575" s="17">
        <v>5856</v>
      </c>
      <c r="AT575" s="17">
        <v>247765.75</v>
      </c>
      <c r="AU575" s="17">
        <v>89</v>
      </c>
      <c r="AV575" s="17">
        <v>33.75</v>
      </c>
      <c r="AW575" s="10" t="s">
        <v>105</v>
      </c>
      <c r="AX575" s="17">
        <v>1980</v>
      </c>
      <c r="AY575" s="18">
        <v>42.309725068306008</v>
      </c>
      <c r="AZ575" s="10" t="s">
        <v>196</v>
      </c>
      <c r="BA575" s="20" t="b">
        <v>0</v>
      </c>
      <c r="BB575" s="10"/>
      <c r="BC575" s="17">
        <v>8421</v>
      </c>
      <c r="BD575" s="17">
        <v>5856</v>
      </c>
      <c r="BE575" s="17">
        <v>247765.75</v>
      </c>
      <c r="BF575" s="17">
        <v>33.75</v>
      </c>
      <c r="BG575" s="11">
        <f ca="1">IFERROR(__xludf.DUMMYFUNCTION("""COMPUTED_VALUE"""),45878.0416666666)</f>
        <v>45878.041666666599</v>
      </c>
      <c r="BH575" s="17" t="s">
        <v>105</v>
      </c>
      <c r="BI575" s="17"/>
      <c r="BJ575" s="15"/>
      <c r="BK575" s="15"/>
      <c r="BL575" s="13" t="b">
        <v>0</v>
      </c>
      <c r="BM575" s="10"/>
      <c r="BN575" s="10" t="s">
        <v>455</v>
      </c>
      <c r="BO575" s="11">
        <v>45863.97152777778</v>
      </c>
      <c r="BP575" s="11">
        <v>45873.655497685184</v>
      </c>
      <c r="BQ575" s="15">
        <v>45876.830405092594</v>
      </c>
      <c r="BR575" s="15">
        <v>45876.85974537037</v>
      </c>
      <c r="BS575" s="10" t="s">
        <v>455</v>
      </c>
      <c r="BT575" s="10" t="s">
        <v>279</v>
      </c>
      <c r="BU575" s="10" t="s">
        <v>298</v>
      </c>
      <c r="BV575" s="10"/>
      <c r="BW575" s="10"/>
      <c r="BX575" s="10"/>
      <c r="BY575" s="23"/>
      <c r="BZ575" s="23"/>
      <c r="CA575" s="19" t="s">
        <v>4997</v>
      </c>
      <c r="CB575" s="23"/>
      <c r="CC575" s="23"/>
      <c r="CD575" s="19" t="s">
        <v>4998</v>
      </c>
      <c r="CE575" s="23"/>
      <c r="CF575" s="23"/>
      <c r="CG575" s="23"/>
      <c r="CH575" s="23"/>
      <c r="CI575" s="23"/>
    </row>
    <row r="576" spans="1:87" x14ac:dyDescent="0.3">
      <c r="A576" s="9" t="s">
        <v>4999</v>
      </c>
      <c r="B576" s="10" t="s">
        <v>5000</v>
      </c>
      <c r="C576" s="11">
        <v>45885</v>
      </c>
      <c r="D576" s="12">
        <v>8.3333333333333329E-2</v>
      </c>
      <c r="E576" s="11">
        <v>45885.083333333336</v>
      </c>
      <c r="F576" s="10" t="s">
        <v>5001</v>
      </c>
      <c r="G576" s="13" t="b">
        <v>0</v>
      </c>
      <c r="H576" s="10" t="s">
        <v>3578</v>
      </c>
      <c r="I576" s="10" t="s">
        <v>89</v>
      </c>
      <c r="J576" s="13" t="b">
        <v>0</v>
      </c>
      <c r="K576" s="13" t="b">
        <v>1</v>
      </c>
      <c r="L576" s="10" t="s">
        <v>124</v>
      </c>
      <c r="M576" s="10" t="s">
        <v>91</v>
      </c>
      <c r="N576" s="10" t="s">
        <v>92</v>
      </c>
      <c r="O576" s="19" t="s">
        <v>5002</v>
      </c>
      <c r="P576" s="10"/>
      <c r="Q576" s="10" t="s">
        <v>94</v>
      </c>
      <c r="R576" s="10"/>
      <c r="S576" s="19" t="s">
        <v>5003</v>
      </c>
      <c r="T576" s="19" t="s">
        <v>5004</v>
      </c>
      <c r="U576" s="10" t="s">
        <v>5005</v>
      </c>
      <c r="V576" s="10" t="s">
        <v>5006</v>
      </c>
      <c r="W576" s="10" t="s">
        <v>5007</v>
      </c>
      <c r="X576" s="10" t="s">
        <v>130</v>
      </c>
      <c r="Y576" s="10" t="s">
        <v>130</v>
      </c>
      <c r="Z576" s="10" t="s">
        <v>99</v>
      </c>
      <c r="AA576" s="10" t="s">
        <v>131</v>
      </c>
      <c r="AB576" s="10" t="s">
        <v>5008</v>
      </c>
      <c r="AC576" s="10" t="s">
        <v>5009</v>
      </c>
      <c r="AD576" s="10" t="s">
        <v>5010</v>
      </c>
      <c r="AE576" s="10" t="s">
        <v>5011</v>
      </c>
      <c r="AF576" s="15"/>
      <c r="AG576" s="10"/>
      <c r="AH576" s="10"/>
      <c r="AI576" s="10"/>
      <c r="AJ576" s="10"/>
      <c r="AK576" s="10" t="s">
        <v>102</v>
      </c>
      <c r="AL576" s="10" t="s">
        <v>103</v>
      </c>
      <c r="AM576" s="10"/>
      <c r="AN576" s="10"/>
      <c r="AO576" s="13" t="b">
        <v>0</v>
      </c>
      <c r="AP576" s="10" t="s">
        <v>104</v>
      </c>
      <c r="AQ576" s="10">
        <f ca="1">IFERROR(__xludf.DUMMYFUNCTION("""COMPUTED_VALUE"""),4499122)</f>
        <v>4499122</v>
      </c>
      <c r="AR576" s="17">
        <v>9460</v>
      </c>
      <c r="AS576" s="17">
        <v>7064</v>
      </c>
      <c r="AT576" s="17">
        <v>178424</v>
      </c>
      <c r="AU576" s="17">
        <v>136.44999999999999</v>
      </c>
      <c r="AV576" s="17">
        <v>65.95</v>
      </c>
      <c r="AW576" s="10" t="s">
        <v>105</v>
      </c>
      <c r="AX576" s="17">
        <v>1633</v>
      </c>
      <c r="AY576" s="18">
        <v>25.258210645526614</v>
      </c>
      <c r="AZ576" s="10" t="s">
        <v>106</v>
      </c>
      <c r="BA576" s="20" t="b">
        <v>0</v>
      </c>
      <c r="BB576" s="10"/>
      <c r="BC576" s="17">
        <v>9460</v>
      </c>
      <c r="BD576" s="17">
        <v>7064</v>
      </c>
      <c r="BE576" s="17">
        <v>178424</v>
      </c>
      <c r="BF576" s="17">
        <v>65.95</v>
      </c>
      <c r="BG576" s="11">
        <f ca="1">IFERROR(__xludf.DUMMYFUNCTION("""COMPUTED_VALUE"""),45885)</f>
        <v>45885</v>
      </c>
      <c r="BH576" s="17" t="s">
        <v>105</v>
      </c>
      <c r="BI576" s="17"/>
      <c r="BJ576" s="15"/>
      <c r="BK576" s="15"/>
      <c r="BL576" s="13" t="b">
        <v>0</v>
      </c>
      <c r="BM576" s="10"/>
      <c r="BN576" s="10" t="s">
        <v>278</v>
      </c>
      <c r="BO576" s="11">
        <v>45866.101388888892</v>
      </c>
      <c r="BP576" s="11">
        <v>45875.530034722222</v>
      </c>
      <c r="BQ576" s="15">
        <v>45883.459270833337</v>
      </c>
      <c r="BR576" s="15">
        <v>45883.464444444442</v>
      </c>
      <c r="BS576" s="10" t="s">
        <v>278</v>
      </c>
      <c r="BT576" s="10" t="s">
        <v>99</v>
      </c>
      <c r="BU576" s="10" t="s">
        <v>298</v>
      </c>
      <c r="BV576" s="10"/>
      <c r="BW576" s="10"/>
      <c r="BX576" s="10"/>
      <c r="BY576" s="23"/>
      <c r="BZ576" s="23"/>
      <c r="CA576" s="19" t="s">
        <v>5012</v>
      </c>
      <c r="CB576" s="19" t="s">
        <v>5013</v>
      </c>
      <c r="CC576" s="23"/>
      <c r="CD576" s="23"/>
      <c r="CE576" s="23"/>
      <c r="CF576" s="23"/>
      <c r="CG576" s="23"/>
      <c r="CH576" s="23"/>
      <c r="CI576" s="23"/>
    </row>
    <row r="577" spans="1:87" x14ac:dyDescent="0.3">
      <c r="A577" s="9" t="s">
        <v>5014</v>
      </c>
      <c r="B577" s="10" t="s">
        <v>5015</v>
      </c>
      <c r="C577" s="11">
        <v>45885.104166666664</v>
      </c>
      <c r="D577" s="12">
        <v>8.3333333333333329E-2</v>
      </c>
      <c r="E577" s="11">
        <v>45885.1875</v>
      </c>
      <c r="F577" s="10" t="s">
        <v>5001</v>
      </c>
      <c r="G577" s="13" t="b">
        <v>0</v>
      </c>
      <c r="H577" s="10" t="s">
        <v>3578</v>
      </c>
      <c r="I577" s="10" t="s">
        <v>89</v>
      </c>
      <c r="J577" s="13" t="b">
        <v>0</v>
      </c>
      <c r="K577" s="13" t="b">
        <v>1</v>
      </c>
      <c r="L577" s="10" t="s">
        <v>124</v>
      </c>
      <c r="M577" s="10" t="s">
        <v>91</v>
      </c>
      <c r="N577" s="10" t="s">
        <v>92</v>
      </c>
      <c r="O577" s="19" t="s">
        <v>5016</v>
      </c>
      <c r="P577" s="10"/>
      <c r="Q577" s="10" t="s">
        <v>126</v>
      </c>
      <c r="R577" s="10"/>
      <c r="S577" s="19" t="s">
        <v>5017</v>
      </c>
      <c r="T577" s="19" t="s">
        <v>5004</v>
      </c>
      <c r="U577" s="10" t="s">
        <v>5018</v>
      </c>
      <c r="V577" s="10" t="s">
        <v>5019</v>
      </c>
      <c r="W577" s="10" t="s">
        <v>5007</v>
      </c>
      <c r="X577" s="10" t="s">
        <v>130</v>
      </c>
      <c r="Y577" s="10" t="s">
        <v>130</v>
      </c>
      <c r="Z577" s="10" t="s">
        <v>99</v>
      </c>
      <c r="AA577" s="10" t="s">
        <v>131</v>
      </c>
      <c r="AB577" s="10" t="s">
        <v>5008</v>
      </c>
      <c r="AC577" s="10" t="s">
        <v>5009</v>
      </c>
      <c r="AD577" s="10" t="s">
        <v>5020</v>
      </c>
      <c r="AE577" s="10" t="s">
        <v>5021</v>
      </c>
      <c r="AF577" s="15"/>
      <c r="AG577" s="10"/>
      <c r="AH577" s="10"/>
      <c r="AI577" s="10"/>
      <c r="AJ577" s="10" t="s">
        <v>5022</v>
      </c>
      <c r="AK577" s="10" t="s">
        <v>102</v>
      </c>
      <c r="AL577" s="10" t="s">
        <v>103</v>
      </c>
      <c r="AM577" s="10"/>
      <c r="AN577" s="10"/>
      <c r="AO577" s="13" t="b">
        <v>0</v>
      </c>
      <c r="AP577" s="10" t="s">
        <v>104</v>
      </c>
      <c r="AQ577" s="10">
        <f ca="1">IFERROR(__xludf.DUMMYFUNCTION("""COMPUTED_VALUE"""),4499130)</f>
        <v>4499130</v>
      </c>
      <c r="AR577" s="17">
        <v>5901</v>
      </c>
      <c r="AS577" s="17">
        <v>4484</v>
      </c>
      <c r="AT577" s="17">
        <v>85013</v>
      </c>
      <c r="AU577" s="17">
        <v>35</v>
      </c>
      <c r="AV577" s="17">
        <v>15.6</v>
      </c>
      <c r="AW577" s="10" t="s">
        <v>105</v>
      </c>
      <c r="AX577" s="17">
        <v>1405</v>
      </c>
      <c r="AY577" s="18">
        <v>18.959188224799288</v>
      </c>
      <c r="AZ577" s="10" t="s">
        <v>106</v>
      </c>
      <c r="BA577" s="20" t="b">
        <v>0</v>
      </c>
      <c r="BB577" s="10"/>
      <c r="BC577" s="17">
        <v>5901</v>
      </c>
      <c r="BD577" s="17">
        <v>4484</v>
      </c>
      <c r="BE577" s="17">
        <v>85013</v>
      </c>
      <c r="BF577" s="17">
        <v>15.6</v>
      </c>
      <c r="BG577" s="11">
        <f ca="1">IFERROR(__xludf.DUMMYFUNCTION("""COMPUTED_VALUE"""),45885.1041666666)</f>
        <v>45885.104166666599</v>
      </c>
      <c r="BH577" s="17" t="s">
        <v>105</v>
      </c>
      <c r="BI577" s="17"/>
      <c r="BJ577" s="15"/>
      <c r="BK577" s="15"/>
      <c r="BL577" s="13" t="b">
        <v>0</v>
      </c>
      <c r="BM577" s="10"/>
      <c r="BN577" s="10" t="s">
        <v>136</v>
      </c>
      <c r="BO577" s="11">
        <v>45866.101388888892</v>
      </c>
      <c r="BP577" s="11">
        <v>45883.497766203705</v>
      </c>
      <c r="BQ577" s="15">
        <v>45883.459421296298</v>
      </c>
      <c r="BR577" s="15">
        <v>45883.485046296293</v>
      </c>
      <c r="BS577" s="10"/>
      <c r="BT577" s="10"/>
      <c r="BU577" s="10"/>
      <c r="BV577" s="10"/>
      <c r="BW577" s="10"/>
      <c r="BX577" s="10"/>
      <c r="BY577" s="23"/>
      <c r="BZ577" s="23"/>
      <c r="CA577" s="19" t="s">
        <v>5023</v>
      </c>
      <c r="CB577" s="19" t="s">
        <v>5024</v>
      </c>
      <c r="CC577" s="23"/>
      <c r="CD577" s="19" t="s">
        <v>5025</v>
      </c>
      <c r="CE577" s="23"/>
      <c r="CF577" s="23"/>
      <c r="CG577" s="23"/>
      <c r="CH577" s="23"/>
      <c r="CI577" s="23"/>
    </row>
    <row r="578" spans="1:87" x14ac:dyDescent="0.3">
      <c r="A578" s="9" t="s">
        <v>5026</v>
      </c>
      <c r="B578" s="10" t="s">
        <v>5027</v>
      </c>
      <c r="C578" s="11">
        <v>45886.104166666664</v>
      </c>
      <c r="D578" s="12">
        <v>8.3333333333333329E-2</v>
      </c>
      <c r="E578" s="11">
        <v>45886.1875</v>
      </c>
      <c r="F578" s="10" t="s">
        <v>5001</v>
      </c>
      <c r="G578" s="13" t="b">
        <v>0</v>
      </c>
      <c r="H578" s="10" t="s">
        <v>3564</v>
      </c>
      <c r="I578" s="10" t="s">
        <v>89</v>
      </c>
      <c r="J578" s="13" t="b">
        <v>0</v>
      </c>
      <c r="K578" s="13" t="b">
        <v>1</v>
      </c>
      <c r="L578" s="10" t="s">
        <v>124</v>
      </c>
      <c r="M578" s="10" t="s">
        <v>91</v>
      </c>
      <c r="N578" s="10" t="s">
        <v>92</v>
      </c>
      <c r="O578" s="19" t="s">
        <v>5028</v>
      </c>
      <c r="P578" s="10"/>
      <c r="Q578" s="10" t="s">
        <v>94</v>
      </c>
      <c r="R578" s="10"/>
      <c r="S578" s="19" t="s">
        <v>5029</v>
      </c>
      <c r="T578" s="19" t="s">
        <v>5030</v>
      </c>
      <c r="U578" s="10" t="s">
        <v>5031</v>
      </c>
      <c r="V578" s="10" t="s">
        <v>5032</v>
      </c>
      <c r="W578" s="10" t="s">
        <v>5007</v>
      </c>
      <c r="X578" s="10" t="s">
        <v>130</v>
      </c>
      <c r="Y578" s="10" t="s">
        <v>130</v>
      </c>
      <c r="Z578" s="10" t="s">
        <v>99</v>
      </c>
      <c r="AA578" s="10" t="s">
        <v>131</v>
      </c>
      <c r="AB578" s="10" t="s">
        <v>5008</v>
      </c>
      <c r="AC578" s="10" t="s">
        <v>5009</v>
      </c>
      <c r="AD578" s="10" t="s">
        <v>5033</v>
      </c>
      <c r="AE578" s="10" t="s">
        <v>5034</v>
      </c>
      <c r="AF578" s="15"/>
      <c r="AG578" s="10"/>
      <c r="AH578" s="10"/>
      <c r="AI578" s="10"/>
      <c r="AJ578" s="10"/>
      <c r="AK578" s="10" t="s">
        <v>102</v>
      </c>
      <c r="AL578" s="10" t="s">
        <v>103</v>
      </c>
      <c r="AM578" s="10"/>
      <c r="AN578" s="10"/>
      <c r="AO578" s="13" t="b">
        <v>0</v>
      </c>
      <c r="AP578" s="10" t="s">
        <v>104</v>
      </c>
      <c r="AQ578" s="10">
        <f ca="1">IFERROR(__xludf.DUMMYFUNCTION("""COMPUTED_VALUE"""),4499134)</f>
        <v>4499134</v>
      </c>
      <c r="AR578" s="17">
        <v>2431</v>
      </c>
      <c r="AS578" s="17">
        <v>1825</v>
      </c>
      <c r="AT578" s="17">
        <v>31012.75</v>
      </c>
      <c r="AU578" s="17">
        <v>7.05</v>
      </c>
      <c r="AV578" s="17">
        <v>2.35</v>
      </c>
      <c r="AW578" s="10" t="s">
        <v>105</v>
      </c>
      <c r="AX578" s="17">
        <v>380</v>
      </c>
      <c r="AY578" s="18">
        <v>16.993287671232878</v>
      </c>
      <c r="AZ578" s="10" t="s">
        <v>106</v>
      </c>
      <c r="BA578" s="20" t="b">
        <v>0</v>
      </c>
      <c r="BB578" s="10"/>
      <c r="BC578" s="17">
        <v>2431</v>
      </c>
      <c r="BD578" s="17">
        <v>1825</v>
      </c>
      <c r="BE578" s="17">
        <v>31012.75</v>
      </c>
      <c r="BF578" s="17">
        <v>2.35</v>
      </c>
      <c r="BG578" s="11">
        <f ca="1">IFERROR(__xludf.DUMMYFUNCTION("""COMPUTED_VALUE"""),45886.1041666666)</f>
        <v>45886.104166666599</v>
      </c>
      <c r="BH578" s="17" t="s">
        <v>105</v>
      </c>
      <c r="BI578" s="17"/>
      <c r="BJ578" s="15"/>
      <c r="BK578" s="15"/>
      <c r="BL578" s="13" t="b">
        <v>0</v>
      </c>
      <c r="BM578" s="10"/>
      <c r="BN578" s="10" t="s">
        <v>136</v>
      </c>
      <c r="BO578" s="11">
        <v>45866.101388888892</v>
      </c>
      <c r="BP578" s="11">
        <v>45881.694571759261</v>
      </c>
      <c r="BQ578" s="15">
        <v>45883.47284722222</v>
      </c>
      <c r="BR578" s="15">
        <v>45883.485706018517</v>
      </c>
      <c r="BS578" s="10"/>
      <c r="BT578" s="10"/>
      <c r="BU578" s="10"/>
      <c r="BV578" s="10"/>
      <c r="BW578" s="10"/>
      <c r="BX578" s="10"/>
      <c r="BY578" s="23"/>
      <c r="BZ578" s="23"/>
      <c r="CA578" s="19" t="s">
        <v>5035</v>
      </c>
      <c r="CB578" s="19" t="s">
        <v>5036</v>
      </c>
      <c r="CC578" s="23"/>
      <c r="CD578" s="23"/>
      <c r="CE578" s="23"/>
      <c r="CF578" s="23"/>
      <c r="CG578" s="23"/>
      <c r="CH578" s="23"/>
      <c r="CI578" s="23"/>
    </row>
    <row r="579" spans="1:87" x14ac:dyDescent="0.3">
      <c r="A579" s="9" t="s">
        <v>5037</v>
      </c>
      <c r="B579" s="10" t="s">
        <v>5038</v>
      </c>
      <c r="C579" s="11">
        <v>45886.020833333336</v>
      </c>
      <c r="D579" s="12">
        <v>8.3333333333333329E-2</v>
      </c>
      <c r="E579" s="11">
        <v>45886.104166666664</v>
      </c>
      <c r="F579" s="10" t="s">
        <v>5001</v>
      </c>
      <c r="G579" s="13" t="b">
        <v>0</v>
      </c>
      <c r="H579" s="10" t="s">
        <v>3578</v>
      </c>
      <c r="I579" s="10" t="s">
        <v>89</v>
      </c>
      <c r="J579" s="13" t="b">
        <v>0</v>
      </c>
      <c r="K579" s="13" t="b">
        <v>1</v>
      </c>
      <c r="L579" s="10" t="s">
        <v>124</v>
      </c>
      <c r="M579" s="10" t="s">
        <v>91</v>
      </c>
      <c r="N579" s="10" t="s">
        <v>92</v>
      </c>
      <c r="O579" s="19" t="s">
        <v>5039</v>
      </c>
      <c r="P579" s="10"/>
      <c r="Q579" s="10" t="s">
        <v>126</v>
      </c>
      <c r="R579" s="10"/>
      <c r="S579" s="19" t="s">
        <v>5040</v>
      </c>
      <c r="T579" s="19" t="s">
        <v>5030</v>
      </c>
      <c r="U579" s="10" t="s">
        <v>5041</v>
      </c>
      <c r="V579" s="10" t="s">
        <v>5042</v>
      </c>
      <c r="W579" s="10" t="s">
        <v>5007</v>
      </c>
      <c r="X579" s="10" t="s">
        <v>130</v>
      </c>
      <c r="Y579" s="10" t="s">
        <v>130</v>
      </c>
      <c r="Z579" s="10" t="s">
        <v>99</v>
      </c>
      <c r="AA579" s="10" t="s">
        <v>131</v>
      </c>
      <c r="AB579" s="10" t="s">
        <v>5008</v>
      </c>
      <c r="AC579" s="10" t="s">
        <v>5009</v>
      </c>
      <c r="AD579" s="10" t="s">
        <v>5043</v>
      </c>
      <c r="AE579" s="10" t="s">
        <v>5044</v>
      </c>
      <c r="AF579" s="15"/>
      <c r="AG579" s="10"/>
      <c r="AH579" s="10"/>
      <c r="AI579" s="10"/>
      <c r="AJ579" s="10" t="s">
        <v>5045</v>
      </c>
      <c r="AK579" s="10" t="s">
        <v>102</v>
      </c>
      <c r="AL579" s="10" t="s">
        <v>103</v>
      </c>
      <c r="AM579" s="10"/>
      <c r="AN579" s="10"/>
      <c r="AO579" s="13" t="b">
        <v>1</v>
      </c>
      <c r="AP579" s="10" t="s">
        <v>104</v>
      </c>
      <c r="AQ579" s="10">
        <f ca="1">IFERROR(__xludf.DUMMYFUNCTION("""COMPUTED_VALUE"""),4499127)</f>
        <v>4499127</v>
      </c>
      <c r="AR579" s="17">
        <v>103276</v>
      </c>
      <c r="AS579" s="17">
        <v>60451</v>
      </c>
      <c r="AT579" s="17">
        <v>3602283.25</v>
      </c>
      <c r="AU579" s="17">
        <v>2572.9499999999998</v>
      </c>
      <c r="AV579" s="17">
        <v>1488</v>
      </c>
      <c r="AW579" s="10" t="s">
        <v>105</v>
      </c>
      <c r="AX579" s="17">
        <v>27146</v>
      </c>
      <c r="AY579" s="18">
        <v>59.590134985360045</v>
      </c>
      <c r="AZ579" s="10" t="s">
        <v>106</v>
      </c>
      <c r="BA579" s="20" t="b">
        <v>0</v>
      </c>
      <c r="BB579" s="10"/>
      <c r="BC579" s="17">
        <v>103276</v>
      </c>
      <c r="BD579" s="17">
        <v>60451</v>
      </c>
      <c r="BE579" s="17">
        <v>3602283.25</v>
      </c>
      <c r="BF579" s="17">
        <v>1488</v>
      </c>
      <c r="BG579" s="11">
        <f ca="1">IFERROR(__xludf.DUMMYFUNCTION("""COMPUTED_VALUE"""),45886.0208333333)</f>
        <v>45886.020833333299</v>
      </c>
      <c r="BH579" s="17" t="s">
        <v>105</v>
      </c>
      <c r="BI579" s="17"/>
      <c r="BJ579" s="15"/>
      <c r="BK579" s="15"/>
      <c r="BL579" s="13" t="b">
        <v>0</v>
      </c>
      <c r="BM579" s="10"/>
      <c r="BN579" s="10" t="s">
        <v>278</v>
      </c>
      <c r="BO579" s="11">
        <v>45866.101388888892</v>
      </c>
      <c r="BP579" s="11">
        <v>45883.4996875</v>
      </c>
      <c r="BQ579" s="15">
        <v>45883.472696759258</v>
      </c>
      <c r="BR579" s="15">
        <v>45883.485312500001</v>
      </c>
      <c r="BS579" s="10" t="s">
        <v>278</v>
      </c>
      <c r="BT579" s="10" t="s">
        <v>99</v>
      </c>
      <c r="BU579" s="10" t="s">
        <v>5046</v>
      </c>
      <c r="BV579" s="10" t="s">
        <v>124</v>
      </c>
      <c r="BW579" s="10"/>
      <c r="BX579" s="10"/>
      <c r="BY579" s="23"/>
      <c r="BZ579" s="23"/>
      <c r="CA579" s="19" t="s">
        <v>5047</v>
      </c>
      <c r="CB579" s="19" t="s">
        <v>5048</v>
      </c>
      <c r="CC579" s="23"/>
      <c r="CD579" s="19" t="s">
        <v>5049</v>
      </c>
      <c r="CE579" s="23"/>
      <c r="CF579" s="23"/>
      <c r="CG579" s="23"/>
      <c r="CH579" s="23"/>
      <c r="CI579" s="23"/>
    </row>
    <row r="580" spans="1:87" x14ac:dyDescent="0.3">
      <c r="A580" s="9" t="s">
        <v>5050</v>
      </c>
      <c r="B580" s="10" t="s">
        <v>5051</v>
      </c>
      <c r="C580" s="11">
        <v>45886.104166666664</v>
      </c>
      <c r="D580" s="12">
        <v>8.3333333333333329E-2</v>
      </c>
      <c r="E580" s="11">
        <v>45886.1875</v>
      </c>
      <c r="F580" s="10" t="s">
        <v>5001</v>
      </c>
      <c r="G580" s="13" t="b">
        <v>0</v>
      </c>
      <c r="H580" s="10" t="s">
        <v>3578</v>
      </c>
      <c r="I580" s="10" t="s">
        <v>89</v>
      </c>
      <c r="J580" s="13" t="b">
        <v>0</v>
      </c>
      <c r="K580" s="13" t="b">
        <v>1</v>
      </c>
      <c r="L580" s="10" t="s">
        <v>124</v>
      </c>
      <c r="M580" s="10" t="s">
        <v>91</v>
      </c>
      <c r="N580" s="10" t="s">
        <v>92</v>
      </c>
      <c r="O580" s="19" t="s">
        <v>5052</v>
      </c>
      <c r="P580" s="10"/>
      <c r="Q580" s="10" t="s">
        <v>126</v>
      </c>
      <c r="R580" s="10"/>
      <c r="S580" s="19" t="s">
        <v>5053</v>
      </c>
      <c r="T580" s="19" t="s">
        <v>5030</v>
      </c>
      <c r="U580" s="10" t="s">
        <v>5054</v>
      </c>
      <c r="V580" s="10" t="s">
        <v>5055</v>
      </c>
      <c r="W580" s="10" t="s">
        <v>5007</v>
      </c>
      <c r="X580" s="10" t="s">
        <v>130</v>
      </c>
      <c r="Y580" s="10" t="s">
        <v>130</v>
      </c>
      <c r="Z580" s="10" t="s">
        <v>99</v>
      </c>
      <c r="AA580" s="10" t="s">
        <v>131</v>
      </c>
      <c r="AB580" s="10" t="s">
        <v>5008</v>
      </c>
      <c r="AC580" s="10" t="s">
        <v>5009</v>
      </c>
      <c r="AD580" s="10" t="s">
        <v>5056</v>
      </c>
      <c r="AE580" s="10" t="s">
        <v>5057</v>
      </c>
      <c r="AF580" s="15"/>
      <c r="AG580" s="10"/>
      <c r="AH580" s="10"/>
      <c r="AI580" s="10"/>
      <c r="AJ580" s="10" t="s">
        <v>5058</v>
      </c>
      <c r="AK580" s="10" t="s">
        <v>102</v>
      </c>
      <c r="AL580" s="10" t="s">
        <v>103</v>
      </c>
      <c r="AM580" s="10"/>
      <c r="AN580" s="10"/>
      <c r="AO580" s="13" t="b">
        <v>0</v>
      </c>
      <c r="AP580" s="10" t="s">
        <v>104</v>
      </c>
      <c r="AQ580" s="10">
        <f ca="1">IFERROR(__xludf.DUMMYFUNCTION("""COMPUTED_VALUE"""),4499131)</f>
        <v>4499131</v>
      </c>
      <c r="AR580" s="17">
        <v>6388</v>
      </c>
      <c r="AS580" s="17">
        <v>4777</v>
      </c>
      <c r="AT580" s="17">
        <v>136414.5</v>
      </c>
      <c r="AU580" s="17">
        <v>29.15</v>
      </c>
      <c r="AV580" s="17">
        <v>13.75</v>
      </c>
      <c r="AW580" s="10" t="s">
        <v>105</v>
      </c>
      <c r="AX580" s="17">
        <v>24961</v>
      </c>
      <c r="AY580" s="18">
        <v>28.556520828972157</v>
      </c>
      <c r="AZ580" s="10" t="s">
        <v>136</v>
      </c>
      <c r="BA580" s="20" t="b">
        <v>0</v>
      </c>
      <c r="BB580" s="10"/>
      <c r="BC580" s="17">
        <v>6388</v>
      </c>
      <c r="BD580" s="17">
        <v>4777</v>
      </c>
      <c r="BE580" s="17">
        <v>136414.5</v>
      </c>
      <c r="BF580" s="17">
        <v>13.75</v>
      </c>
      <c r="BG580" s="11">
        <f ca="1">IFERROR(__xludf.DUMMYFUNCTION("""COMPUTED_VALUE"""),45886.1041666666)</f>
        <v>45886.104166666599</v>
      </c>
      <c r="BH580" s="17" t="s">
        <v>105</v>
      </c>
      <c r="BI580" s="17"/>
      <c r="BJ580" s="15"/>
      <c r="BK580" s="15"/>
      <c r="BL580" s="13" t="b">
        <v>0</v>
      </c>
      <c r="BM580" s="10"/>
      <c r="BN580" s="10" t="s">
        <v>278</v>
      </c>
      <c r="BO580" s="11">
        <v>45866.101388888892</v>
      </c>
      <c r="BP580" s="11">
        <v>45883.502349537041</v>
      </c>
      <c r="BQ580" s="15">
        <v>45883.472997685189</v>
      </c>
      <c r="BR580" s="15">
        <v>45883.485937500001</v>
      </c>
      <c r="BS580" s="10" t="s">
        <v>278</v>
      </c>
      <c r="BT580" s="10" t="s">
        <v>99</v>
      </c>
      <c r="BU580" s="10" t="s">
        <v>3394</v>
      </c>
      <c r="BV580" s="10"/>
      <c r="BW580" s="10"/>
      <c r="BX580" s="10"/>
      <c r="BY580" s="23"/>
      <c r="BZ580" s="23"/>
      <c r="CA580" s="19" t="s">
        <v>5059</v>
      </c>
      <c r="CB580" s="19" t="s">
        <v>5060</v>
      </c>
      <c r="CC580" s="23"/>
      <c r="CD580" s="19" t="s">
        <v>5061</v>
      </c>
      <c r="CE580" s="23"/>
      <c r="CF580" s="23"/>
      <c r="CG580" s="23"/>
      <c r="CH580" s="23"/>
      <c r="CI580" s="23"/>
    </row>
    <row r="581" spans="1:87" x14ac:dyDescent="0.3">
      <c r="A581" s="9" t="s">
        <v>5062</v>
      </c>
      <c r="B581" s="10" t="s">
        <v>5063</v>
      </c>
      <c r="C581" s="11">
        <v>45886.916666666664</v>
      </c>
      <c r="D581" s="12">
        <v>8.3333333333333329E-2</v>
      </c>
      <c r="E581" s="11">
        <v>45887</v>
      </c>
      <c r="F581" s="10" t="s">
        <v>5001</v>
      </c>
      <c r="G581" s="13" t="b">
        <v>0</v>
      </c>
      <c r="H581" s="10" t="s">
        <v>3578</v>
      </c>
      <c r="I581" s="10" t="s">
        <v>89</v>
      </c>
      <c r="J581" s="13" t="b">
        <v>0</v>
      </c>
      <c r="K581" s="13" t="b">
        <v>1</v>
      </c>
      <c r="L581" s="10" t="s">
        <v>124</v>
      </c>
      <c r="M581" s="10" t="s">
        <v>91</v>
      </c>
      <c r="N581" s="10" t="s">
        <v>92</v>
      </c>
      <c r="O581" s="19" t="s">
        <v>5064</v>
      </c>
      <c r="P581" s="10"/>
      <c r="Q581" s="10" t="s">
        <v>94</v>
      </c>
      <c r="R581" s="10"/>
      <c r="S581" s="19" t="s">
        <v>5065</v>
      </c>
      <c r="T581" s="19" t="s">
        <v>5030</v>
      </c>
      <c r="U581" s="10" t="s">
        <v>5066</v>
      </c>
      <c r="V581" s="10" t="s">
        <v>5067</v>
      </c>
      <c r="W581" s="10" t="s">
        <v>5007</v>
      </c>
      <c r="X581" s="10" t="s">
        <v>130</v>
      </c>
      <c r="Y581" s="10" t="s">
        <v>130</v>
      </c>
      <c r="Z581" s="10" t="s">
        <v>99</v>
      </c>
      <c r="AA581" s="10" t="s">
        <v>131</v>
      </c>
      <c r="AB581" s="10" t="s">
        <v>5008</v>
      </c>
      <c r="AC581" s="10" t="s">
        <v>5009</v>
      </c>
      <c r="AD581" s="10" t="s">
        <v>5068</v>
      </c>
      <c r="AE581" s="10" t="s">
        <v>5069</v>
      </c>
      <c r="AF581" s="15"/>
      <c r="AG581" s="10"/>
      <c r="AH581" s="10"/>
      <c r="AI581" s="10"/>
      <c r="AJ581" s="10"/>
      <c r="AK581" s="10" t="s">
        <v>102</v>
      </c>
      <c r="AL581" s="10" t="s">
        <v>103</v>
      </c>
      <c r="AM581" s="10"/>
      <c r="AN581" s="10"/>
      <c r="AO581" s="13" t="b">
        <v>0</v>
      </c>
      <c r="AP581" s="10" t="s">
        <v>104</v>
      </c>
      <c r="AQ581" s="10">
        <f ca="1">IFERROR(__xludf.DUMMYFUNCTION("""COMPUTED_VALUE"""),4499135)</f>
        <v>4499135</v>
      </c>
      <c r="AR581" s="17">
        <v>19538</v>
      </c>
      <c r="AS581" s="17">
        <v>15289</v>
      </c>
      <c r="AT581" s="17">
        <v>135337.75</v>
      </c>
      <c r="AU581" s="17">
        <v>171.8</v>
      </c>
      <c r="AV581" s="17">
        <v>83.65</v>
      </c>
      <c r="AW581" s="10" t="s">
        <v>105</v>
      </c>
      <c r="AX581" s="17">
        <v>2881</v>
      </c>
      <c r="AY581" s="18">
        <v>8.8519687356923278</v>
      </c>
      <c r="AZ581" s="10" t="s">
        <v>106</v>
      </c>
      <c r="BA581" s="20" t="b">
        <v>0</v>
      </c>
      <c r="BB581" s="10"/>
      <c r="BC581" s="17">
        <v>19538</v>
      </c>
      <c r="BD581" s="17">
        <v>15289</v>
      </c>
      <c r="BE581" s="17">
        <v>135337.75</v>
      </c>
      <c r="BF581" s="17">
        <v>83.65</v>
      </c>
      <c r="BG581" s="11">
        <f ca="1">IFERROR(__xludf.DUMMYFUNCTION("""COMPUTED_VALUE"""),45886.9166666666)</f>
        <v>45886.916666666599</v>
      </c>
      <c r="BH581" s="17" t="s">
        <v>105</v>
      </c>
      <c r="BI581" s="17"/>
      <c r="BJ581" s="15"/>
      <c r="BK581" s="15"/>
      <c r="BL581" s="13" t="b">
        <v>0</v>
      </c>
      <c r="BM581" s="10"/>
      <c r="BN581" s="10" t="s">
        <v>136</v>
      </c>
      <c r="BO581" s="11">
        <v>45866.101388888892</v>
      </c>
      <c r="BP581" s="11">
        <v>45875.554201388892</v>
      </c>
      <c r="BQ581" s="15">
        <v>45883.473124999997</v>
      </c>
      <c r="BR581" s="15">
        <v>45883.488587962966</v>
      </c>
      <c r="BS581" s="10"/>
      <c r="BT581" s="10"/>
      <c r="BU581" s="10"/>
      <c r="BV581" s="10"/>
      <c r="BW581" s="10"/>
      <c r="BX581" s="10"/>
      <c r="BY581" s="23"/>
      <c r="BZ581" s="23"/>
      <c r="CA581" s="19" t="s">
        <v>5070</v>
      </c>
      <c r="CB581" s="19" t="s">
        <v>5071</v>
      </c>
      <c r="CC581" s="23"/>
      <c r="CD581" s="23"/>
      <c r="CE581" s="23"/>
      <c r="CF581" s="23"/>
      <c r="CG581" s="23"/>
      <c r="CH581" s="23"/>
      <c r="CI581" s="23"/>
    </row>
    <row r="582" spans="1:87" x14ac:dyDescent="0.3">
      <c r="A582" s="9" t="s">
        <v>5072</v>
      </c>
      <c r="B582" s="10" t="s">
        <v>5073</v>
      </c>
      <c r="C582" s="11">
        <v>45887.020833333336</v>
      </c>
      <c r="D582" s="12">
        <v>8.3333333333333329E-2</v>
      </c>
      <c r="E582" s="11">
        <v>45887.104166666664</v>
      </c>
      <c r="F582" s="10" t="s">
        <v>5001</v>
      </c>
      <c r="G582" s="13" t="b">
        <v>0</v>
      </c>
      <c r="H582" s="10" t="s">
        <v>3578</v>
      </c>
      <c r="I582" s="10" t="s">
        <v>89</v>
      </c>
      <c r="J582" s="13" t="b">
        <v>0</v>
      </c>
      <c r="K582" s="13" t="b">
        <v>1</v>
      </c>
      <c r="L582" s="10" t="s">
        <v>124</v>
      </c>
      <c r="M582" s="10" t="s">
        <v>91</v>
      </c>
      <c r="N582" s="10" t="s">
        <v>92</v>
      </c>
      <c r="O582" s="19" t="s">
        <v>5074</v>
      </c>
      <c r="P582" s="10"/>
      <c r="Q582" s="10" t="s">
        <v>126</v>
      </c>
      <c r="R582" s="10"/>
      <c r="S582" s="19" t="s">
        <v>5075</v>
      </c>
      <c r="T582" s="19" t="s">
        <v>5030</v>
      </c>
      <c r="U582" s="10" t="s">
        <v>5076</v>
      </c>
      <c r="V582" s="10" t="s">
        <v>5077</v>
      </c>
      <c r="W582" s="10" t="s">
        <v>5007</v>
      </c>
      <c r="X582" s="10" t="s">
        <v>130</v>
      </c>
      <c r="Y582" s="10" t="s">
        <v>130</v>
      </c>
      <c r="Z582" s="10" t="s">
        <v>99</v>
      </c>
      <c r="AA582" s="10" t="s">
        <v>131</v>
      </c>
      <c r="AB582" s="10" t="s">
        <v>5008</v>
      </c>
      <c r="AC582" s="10" t="s">
        <v>5009</v>
      </c>
      <c r="AD582" s="10" t="s">
        <v>5078</v>
      </c>
      <c r="AE582" s="10" t="s">
        <v>5079</v>
      </c>
      <c r="AF582" s="15"/>
      <c r="AG582" s="10"/>
      <c r="AH582" s="10"/>
      <c r="AI582" s="10"/>
      <c r="AJ582" s="10" t="s">
        <v>5080</v>
      </c>
      <c r="AK582" s="10" t="s">
        <v>102</v>
      </c>
      <c r="AL582" s="10" t="s">
        <v>103</v>
      </c>
      <c r="AM582" s="10"/>
      <c r="AN582" s="10"/>
      <c r="AO582" s="13" t="b">
        <v>0</v>
      </c>
      <c r="AP582" s="10" t="s">
        <v>104</v>
      </c>
      <c r="AQ582" s="10">
        <f ca="1">IFERROR(__xludf.DUMMYFUNCTION("""COMPUTED_VALUE"""),4499136)</f>
        <v>4499136</v>
      </c>
      <c r="AR582" s="17">
        <v>18039</v>
      </c>
      <c r="AS582" s="17">
        <v>13548</v>
      </c>
      <c r="AT582" s="17">
        <v>670057.75</v>
      </c>
      <c r="AU582" s="17">
        <v>60.05</v>
      </c>
      <c r="AV582" s="17">
        <v>24.6</v>
      </c>
      <c r="AW582" s="10" t="s">
        <v>105</v>
      </c>
      <c r="AX582" s="17">
        <v>4745</v>
      </c>
      <c r="AY582" s="18">
        <v>49.458056539710661</v>
      </c>
      <c r="AZ582" s="10" t="s">
        <v>148</v>
      </c>
      <c r="BA582" s="20" t="b">
        <v>0</v>
      </c>
      <c r="BB582" s="10"/>
      <c r="BC582" s="17">
        <v>18039</v>
      </c>
      <c r="BD582" s="17">
        <v>13548</v>
      </c>
      <c r="BE582" s="17">
        <v>670057.75</v>
      </c>
      <c r="BF582" s="17">
        <v>24.6</v>
      </c>
      <c r="BG582" s="11">
        <f ca="1">IFERROR(__xludf.DUMMYFUNCTION("""COMPUTED_VALUE"""),45887.0208333333)</f>
        <v>45887.020833333299</v>
      </c>
      <c r="BH582" s="17" t="s">
        <v>105</v>
      </c>
      <c r="BI582" s="17"/>
      <c r="BJ582" s="15"/>
      <c r="BK582" s="15"/>
      <c r="BL582" s="13" t="b">
        <v>0</v>
      </c>
      <c r="BM582" s="10"/>
      <c r="BN582" s="10" t="s">
        <v>667</v>
      </c>
      <c r="BO582" s="11">
        <v>45866.101388888892</v>
      </c>
      <c r="BP582" s="11">
        <v>45883.503553240742</v>
      </c>
      <c r="BQ582" s="15">
        <v>45883.473553240743</v>
      </c>
      <c r="BR582" s="15">
        <v>45883.519756944443</v>
      </c>
      <c r="BS582" s="10" t="s">
        <v>667</v>
      </c>
      <c r="BT582" s="10" t="s">
        <v>99</v>
      </c>
      <c r="BU582" s="10" t="s">
        <v>5081</v>
      </c>
      <c r="BV582" s="10"/>
      <c r="BW582" s="10"/>
      <c r="BX582" s="10"/>
      <c r="BY582" s="23"/>
      <c r="BZ582" s="23"/>
      <c r="CA582" s="19" t="s">
        <v>5082</v>
      </c>
      <c r="CB582" s="19" t="s">
        <v>5083</v>
      </c>
      <c r="CC582" s="23"/>
      <c r="CD582" s="19" t="s">
        <v>5084</v>
      </c>
      <c r="CE582" s="23"/>
      <c r="CF582" s="23"/>
      <c r="CG582" s="23"/>
      <c r="CH582" s="23"/>
      <c r="CI582" s="23"/>
    </row>
    <row r="583" spans="1:87" x14ac:dyDescent="0.3">
      <c r="A583" s="9" t="s">
        <v>5085</v>
      </c>
      <c r="B583" s="10" t="s">
        <v>5086</v>
      </c>
      <c r="C583" s="11">
        <v>45887.104166666664</v>
      </c>
      <c r="D583" s="12">
        <v>8.3333333333333329E-2</v>
      </c>
      <c r="E583" s="11">
        <v>45887.1875</v>
      </c>
      <c r="F583" s="10" t="s">
        <v>5001</v>
      </c>
      <c r="G583" s="13" t="b">
        <v>0</v>
      </c>
      <c r="H583" s="10" t="s">
        <v>3578</v>
      </c>
      <c r="I583" s="10" t="s">
        <v>89</v>
      </c>
      <c r="J583" s="13" t="b">
        <v>0</v>
      </c>
      <c r="K583" s="13" t="b">
        <v>1</v>
      </c>
      <c r="L583" s="10" t="s">
        <v>124</v>
      </c>
      <c r="M583" s="10" t="s">
        <v>91</v>
      </c>
      <c r="N583" s="10" t="s">
        <v>92</v>
      </c>
      <c r="O583" s="19" t="s">
        <v>5087</v>
      </c>
      <c r="P583" s="10"/>
      <c r="Q583" s="10" t="s">
        <v>126</v>
      </c>
      <c r="R583" s="10"/>
      <c r="S583" s="19" t="s">
        <v>5088</v>
      </c>
      <c r="T583" s="19" t="s">
        <v>5030</v>
      </c>
      <c r="U583" s="10" t="s">
        <v>5089</v>
      </c>
      <c r="V583" s="10" t="s">
        <v>5090</v>
      </c>
      <c r="W583" s="10" t="s">
        <v>5007</v>
      </c>
      <c r="X583" s="10" t="s">
        <v>130</v>
      </c>
      <c r="Y583" s="10" t="s">
        <v>130</v>
      </c>
      <c r="Z583" s="10" t="s">
        <v>99</v>
      </c>
      <c r="AA583" s="10" t="s">
        <v>131</v>
      </c>
      <c r="AB583" s="10" t="s">
        <v>5008</v>
      </c>
      <c r="AC583" s="10" t="s">
        <v>5009</v>
      </c>
      <c r="AD583" s="10" t="s">
        <v>5091</v>
      </c>
      <c r="AE583" s="10" t="s">
        <v>5092</v>
      </c>
      <c r="AF583" s="15"/>
      <c r="AG583" s="10"/>
      <c r="AH583" s="10"/>
      <c r="AI583" s="10"/>
      <c r="AJ583" s="10" t="s">
        <v>5093</v>
      </c>
      <c r="AK583" s="10" t="s">
        <v>102</v>
      </c>
      <c r="AL583" s="10" t="s">
        <v>103</v>
      </c>
      <c r="AM583" s="10"/>
      <c r="AN583" s="10"/>
      <c r="AO583" s="13" t="b">
        <v>0</v>
      </c>
      <c r="AP583" s="10" t="s">
        <v>104</v>
      </c>
      <c r="AQ583" s="10">
        <f ca="1">IFERROR(__xludf.DUMMYFUNCTION("""COMPUTED_VALUE"""),4499137)</f>
        <v>4499137</v>
      </c>
      <c r="AR583" s="17">
        <v>9582</v>
      </c>
      <c r="AS583" s="17">
        <v>7174</v>
      </c>
      <c r="AT583" s="17">
        <v>285955.25</v>
      </c>
      <c r="AU583" s="17">
        <v>32.549999999999997</v>
      </c>
      <c r="AV583" s="17">
        <v>15.1</v>
      </c>
      <c r="AW583" s="10" t="s">
        <v>105</v>
      </c>
      <c r="AX583" s="17">
        <v>3739</v>
      </c>
      <c r="AY583" s="18">
        <v>39.859945637022584</v>
      </c>
      <c r="AZ583" s="10" t="s">
        <v>148</v>
      </c>
      <c r="BA583" s="20" t="b">
        <v>0</v>
      </c>
      <c r="BB583" s="10"/>
      <c r="BC583" s="17">
        <v>9582</v>
      </c>
      <c r="BD583" s="17">
        <v>7174</v>
      </c>
      <c r="BE583" s="17">
        <v>285955.25</v>
      </c>
      <c r="BF583" s="17">
        <v>15.1</v>
      </c>
      <c r="BG583" s="11">
        <f ca="1">IFERROR(__xludf.DUMMYFUNCTION("""COMPUTED_VALUE"""),45887.1041666666)</f>
        <v>45887.104166666599</v>
      </c>
      <c r="BH583" s="17" t="s">
        <v>105</v>
      </c>
      <c r="BI583" s="17"/>
      <c r="BJ583" s="15"/>
      <c r="BK583" s="15"/>
      <c r="BL583" s="13" t="b">
        <v>0</v>
      </c>
      <c r="BM583" s="10"/>
      <c r="BN583" s="10" t="s">
        <v>157</v>
      </c>
      <c r="BO583" s="11">
        <v>45866.101388888892</v>
      </c>
      <c r="BP583" s="11">
        <v>45883.505243055559</v>
      </c>
      <c r="BQ583" s="15">
        <v>45883.473703703705</v>
      </c>
      <c r="BR583" s="15">
        <v>45883.519872685189</v>
      </c>
      <c r="BS583" s="10" t="s">
        <v>157</v>
      </c>
      <c r="BT583" s="10" t="s">
        <v>99</v>
      </c>
      <c r="BU583" s="10" t="s">
        <v>5081</v>
      </c>
      <c r="BV583" s="10"/>
      <c r="BW583" s="10"/>
      <c r="BX583" s="10"/>
      <c r="BY583" s="23"/>
      <c r="BZ583" s="23"/>
      <c r="CA583" s="19" t="s">
        <v>5094</v>
      </c>
      <c r="CB583" s="19" t="s">
        <v>5095</v>
      </c>
      <c r="CC583" s="23"/>
      <c r="CD583" s="19" t="s">
        <v>5096</v>
      </c>
      <c r="CE583" s="23"/>
      <c r="CF583" s="23"/>
      <c r="CG583" s="23"/>
      <c r="CH583" s="23"/>
      <c r="CI583" s="23"/>
    </row>
    <row r="584" spans="1:87" x14ac:dyDescent="0.3">
      <c r="A584" s="9" t="s">
        <v>5097</v>
      </c>
      <c r="B584" s="10" t="s">
        <v>5098</v>
      </c>
      <c r="C584" s="11">
        <v>45888.083333333336</v>
      </c>
      <c r="D584" s="12">
        <v>8.3333333333333329E-2</v>
      </c>
      <c r="E584" s="11">
        <v>45888.166666666664</v>
      </c>
      <c r="F584" s="10" t="s">
        <v>5001</v>
      </c>
      <c r="G584" s="13" t="b">
        <v>0</v>
      </c>
      <c r="H584" s="10" t="s">
        <v>3578</v>
      </c>
      <c r="I584" s="10" t="s">
        <v>89</v>
      </c>
      <c r="J584" s="13" t="b">
        <v>0</v>
      </c>
      <c r="K584" s="13" t="b">
        <v>1</v>
      </c>
      <c r="L584" s="10" t="s">
        <v>124</v>
      </c>
      <c r="M584" s="10" t="s">
        <v>91</v>
      </c>
      <c r="N584" s="10" t="s">
        <v>92</v>
      </c>
      <c r="O584" s="19" t="s">
        <v>5099</v>
      </c>
      <c r="P584" s="10"/>
      <c r="Q584" s="10" t="s">
        <v>126</v>
      </c>
      <c r="R584" s="10"/>
      <c r="S584" s="19" t="s">
        <v>5100</v>
      </c>
      <c r="T584" s="19" t="s">
        <v>5030</v>
      </c>
      <c r="U584" s="10" t="s">
        <v>5101</v>
      </c>
      <c r="V584" s="10" t="s">
        <v>5102</v>
      </c>
      <c r="W584" s="10" t="s">
        <v>5007</v>
      </c>
      <c r="X584" s="10" t="s">
        <v>130</v>
      </c>
      <c r="Y584" s="10" t="s">
        <v>130</v>
      </c>
      <c r="Z584" s="10" t="s">
        <v>99</v>
      </c>
      <c r="AA584" s="10" t="s">
        <v>131</v>
      </c>
      <c r="AB584" s="10" t="s">
        <v>5008</v>
      </c>
      <c r="AC584" s="10" t="s">
        <v>5009</v>
      </c>
      <c r="AD584" s="10" t="s">
        <v>5103</v>
      </c>
      <c r="AE584" s="10" t="s">
        <v>5104</v>
      </c>
      <c r="AF584" s="15"/>
      <c r="AG584" s="10"/>
      <c r="AH584" s="10"/>
      <c r="AI584" s="10"/>
      <c r="AJ584" s="10" t="s">
        <v>5105</v>
      </c>
      <c r="AK584" s="10" t="s">
        <v>102</v>
      </c>
      <c r="AL584" s="10" t="s">
        <v>103</v>
      </c>
      <c r="AM584" s="10"/>
      <c r="AN584" s="10"/>
      <c r="AO584" s="13" t="b">
        <v>0</v>
      </c>
      <c r="AP584" s="10" t="s">
        <v>104</v>
      </c>
      <c r="AQ584" s="10">
        <f ca="1">IFERROR(__xludf.DUMMYFUNCTION("""COMPUTED_VALUE"""),4499140)</f>
        <v>4499140</v>
      </c>
      <c r="AR584" s="17">
        <v>4452</v>
      </c>
      <c r="AS584" s="17">
        <v>3303</v>
      </c>
      <c r="AT584" s="17">
        <v>88545.5</v>
      </c>
      <c r="AU584" s="17">
        <v>12.4</v>
      </c>
      <c r="AV584" s="17">
        <v>6</v>
      </c>
      <c r="AW584" s="10" t="s">
        <v>105</v>
      </c>
      <c r="AX584" s="17">
        <v>897</v>
      </c>
      <c r="AY584" s="18">
        <v>26.8075991522858</v>
      </c>
      <c r="AZ584" s="10" t="s">
        <v>196</v>
      </c>
      <c r="BA584" s="20" t="b">
        <v>0</v>
      </c>
      <c r="BB584" s="10"/>
      <c r="BC584" s="17">
        <v>4452</v>
      </c>
      <c r="BD584" s="17">
        <v>3303</v>
      </c>
      <c r="BE584" s="17">
        <v>88545.5</v>
      </c>
      <c r="BF584" s="17">
        <v>6</v>
      </c>
      <c r="BG584" s="11">
        <f ca="1">IFERROR(__xludf.DUMMYFUNCTION("""COMPUTED_VALUE"""),45888.0833333333)</f>
        <v>45888.083333333299</v>
      </c>
      <c r="BH584" s="17" t="s">
        <v>105</v>
      </c>
      <c r="BI584" s="17"/>
      <c r="BJ584" s="15"/>
      <c r="BK584" s="15"/>
      <c r="BL584" s="13" t="b">
        <v>0</v>
      </c>
      <c r="BM584" s="10"/>
      <c r="BN584" s="10" t="s">
        <v>667</v>
      </c>
      <c r="BO584" s="11">
        <v>45866.101388888892</v>
      </c>
      <c r="BP584" s="11">
        <v>45883.506342592591</v>
      </c>
      <c r="BQ584" s="15">
        <v>45883.487800925926</v>
      </c>
      <c r="BR584" s="15">
        <v>45883.52003472222</v>
      </c>
      <c r="BS584" s="10" t="s">
        <v>667</v>
      </c>
      <c r="BT584" s="10" t="s">
        <v>99</v>
      </c>
      <c r="BU584" s="10" t="s">
        <v>5081</v>
      </c>
      <c r="BV584" s="10"/>
      <c r="BW584" s="10"/>
      <c r="BX584" s="10"/>
      <c r="BY584" s="23"/>
      <c r="BZ584" s="23"/>
      <c r="CA584" s="19" t="s">
        <v>5106</v>
      </c>
      <c r="CB584" s="19" t="s">
        <v>5107</v>
      </c>
      <c r="CC584" s="23"/>
      <c r="CD584" s="19" t="s">
        <v>5108</v>
      </c>
      <c r="CE584" s="23"/>
      <c r="CF584" s="23"/>
      <c r="CG584" s="23"/>
      <c r="CH584" s="23"/>
      <c r="CI584" s="23"/>
    </row>
    <row r="585" spans="1:87" x14ac:dyDescent="0.3">
      <c r="A585" s="9" t="s">
        <v>5109</v>
      </c>
      <c r="B585" s="10" t="s">
        <v>5110</v>
      </c>
      <c r="C585" s="11">
        <v>45889.083333333336</v>
      </c>
      <c r="D585" s="12">
        <v>8.3333333333333329E-2</v>
      </c>
      <c r="E585" s="11">
        <v>45889.166666666664</v>
      </c>
      <c r="F585" s="10" t="s">
        <v>5001</v>
      </c>
      <c r="G585" s="13" t="b">
        <v>0</v>
      </c>
      <c r="H585" s="10" t="s">
        <v>3578</v>
      </c>
      <c r="I585" s="10" t="s">
        <v>89</v>
      </c>
      <c r="J585" s="13" t="b">
        <v>0</v>
      </c>
      <c r="K585" s="13" t="b">
        <v>1</v>
      </c>
      <c r="L585" s="10" t="s">
        <v>124</v>
      </c>
      <c r="M585" s="10" t="s">
        <v>91</v>
      </c>
      <c r="N585" s="10" t="s">
        <v>92</v>
      </c>
      <c r="O585" s="19" t="s">
        <v>5111</v>
      </c>
      <c r="P585" s="10"/>
      <c r="Q585" s="10" t="s">
        <v>126</v>
      </c>
      <c r="R585" s="10"/>
      <c r="S585" s="19" t="s">
        <v>5112</v>
      </c>
      <c r="T585" s="19" t="s">
        <v>5004</v>
      </c>
      <c r="U585" s="10" t="s">
        <v>5113</v>
      </c>
      <c r="V585" s="10" t="s">
        <v>5114</v>
      </c>
      <c r="W585" s="10" t="s">
        <v>5007</v>
      </c>
      <c r="X585" s="10" t="s">
        <v>130</v>
      </c>
      <c r="Y585" s="10" t="s">
        <v>130</v>
      </c>
      <c r="Z585" s="10" t="s">
        <v>99</v>
      </c>
      <c r="AA585" s="10" t="s">
        <v>131</v>
      </c>
      <c r="AB585" s="10" t="s">
        <v>5008</v>
      </c>
      <c r="AC585" s="10" t="s">
        <v>5009</v>
      </c>
      <c r="AD585" s="10" t="s">
        <v>5115</v>
      </c>
      <c r="AE585" s="10" t="s">
        <v>5116</v>
      </c>
      <c r="AF585" s="15"/>
      <c r="AG585" s="10"/>
      <c r="AH585" s="10"/>
      <c r="AI585" s="10"/>
      <c r="AJ585" s="10"/>
      <c r="AK585" s="10" t="s">
        <v>102</v>
      </c>
      <c r="AL585" s="10" t="s">
        <v>103</v>
      </c>
      <c r="AM585" s="10"/>
      <c r="AN585" s="10"/>
      <c r="AO585" s="13" t="b">
        <v>1</v>
      </c>
      <c r="AP585" s="10" t="s">
        <v>104</v>
      </c>
      <c r="AQ585" s="10">
        <f ca="1">IFERROR(__xludf.DUMMYFUNCTION("""COMPUTED_VALUE"""),4503852)</f>
        <v>4503852</v>
      </c>
      <c r="AR585" s="17">
        <v>69178</v>
      </c>
      <c r="AS585" s="17">
        <v>40800</v>
      </c>
      <c r="AT585" s="17">
        <v>2547314.75</v>
      </c>
      <c r="AU585" s="17">
        <v>1370.85</v>
      </c>
      <c r="AV585" s="17">
        <v>765.25</v>
      </c>
      <c r="AW585" s="10" t="s">
        <v>105</v>
      </c>
      <c r="AX585" s="17">
        <v>24395</v>
      </c>
      <c r="AY585" s="18">
        <v>62.434185049019611</v>
      </c>
      <c r="AZ585" s="10" t="s">
        <v>196</v>
      </c>
      <c r="BA585" s="20" t="b">
        <v>0</v>
      </c>
      <c r="BB585" s="10"/>
      <c r="BC585" s="17">
        <v>69178</v>
      </c>
      <c r="BD585" s="17">
        <v>40800</v>
      </c>
      <c r="BE585" s="17">
        <v>2547314.75</v>
      </c>
      <c r="BF585" s="17">
        <v>765.25</v>
      </c>
      <c r="BG585" s="11">
        <f ca="1">IFERROR(__xludf.DUMMYFUNCTION("""COMPUTED_VALUE"""),45889.0833333333)</f>
        <v>45889.083333333299</v>
      </c>
      <c r="BH585" s="17" t="s">
        <v>105</v>
      </c>
      <c r="BI585" s="17"/>
      <c r="BJ585" s="15"/>
      <c r="BK585" s="15"/>
      <c r="BL585" s="13" t="b">
        <v>0</v>
      </c>
      <c r="BM585" s="10"/>
      <c r="BN585" s="10" t="s">
        <v>157</v>
      </c>
      <c r="BO585" s="11">
        <v>45866.101388888892</v>
      </c>
      <c r="BP585" s="11">
        <v>45875.554502314815</v>
      </c>
      <c r="BQ585" s="15">
        <v>45883.921817129631</v>
      </c>
      <c r="BR585" s="15">
        <v>45885.477800925924</v>
      </c>
      <c r="BS585" s="10" t="s">
        <v>157</v>
      </c>
      <c r="BT585" s="10" t="s">
        <v>99</v>
      </c>
      <c r="BU585" s="10" t="s">
        <v>5081</v>
      </c>
      <c r="BV585" s="10" t="s">
        <v>124</v>
      </c>
      <c r="BW585" s="10"/>
      <c r="BX585" s="10"/>
      <c r="BY585" s="23"/>
      <c r="BZ585" s="23"/>
      <c r="CA585" s="19" t="s">
        <v>5117</v>
      </c>
      <c r="CB585" s="19" t="s">
        <v>5118</v>
      </c>
      <c r="CC585" s="23"/>
      <c r="CD585" s="19" t="s">
        <v>5119</v>
      </c>
      <c r="CE585" s="23"/>
      <c r="CF585" s="23"/>
      <c r="CG585" s="23"/>
      <c r="CH585" s="23"/>
      <c r="CI585" s="23"/>
    </row>
    <row r="586" spans="1:87" x14ac:dyDescent="0.3">
      <c r="A586" s="9" t="s">
        <v>5120</v>
      </c>
      <c r="B586" s="10" t="s">
        <v>5121</v>
      </c>
      <c r="C586" s="11">
        <v>45892.104166666664</v>
      </c>
      <c r="D586" s="12">
        <v>8.3333333333333329E-2</v>
      </c>
      <c r="E586" s="11">
        <v>45892.1875</v>
      </c>
      <c r="F586" s="10" t="s">
        <v>5001</v>
      </c>
      <c r="G586" s="13" t="b">
        <v>0</v>
      </c>
      <c r="H586" s="10" t="s">
        <v>3578</v>
      </c>
      <c r="I586" s="10" t="s">
        <v>89</v>
      </c>
      <c r="J586" s="13" t="b">
        <v>0</v>
      </c>
      <c r="K586" s="13" t="b">
        <v>1</v>
      </c>
      <c r="L586" s="10" t="s">
        <v>124</v>
      </c>
      <c r="M586" s="10" t="s">
        <v>91</v>
      </c>
      <c r="N586" s="10" t="s">
        <v>92</v>
      </c>
      <c r="O586" s="19" t="s">
        <v>5122</v>
      </c>
      <c r="P586" s="10"/>
      <c r="Q586" s="10" t="s">
        <v>126</v>
      </c>
      <c r="R586" s="10"/>
      <c r="S586" s="19" t="s">
        <v>5123</v>
      </c>
      <c r="T586" s="19" t="s">
        <v>5124</v>
      </c>
      <c r="U586" s="10" t="s">
        <v>5102</v>
      </c>
      <c r="V586" s="10" t="s">
        <v>5031</v>
      </c>
      <c r="W586" s="10" t="s">
        <v>5007</v>
      </c>
      <c r="X586" s="10" t="s">
        <v>130</v>
      </c>
      <c r="Y586" s="10" t="s">
        <v>130</v>
      </c>
      <c r="Z586" s="10" t="s">
        <v>99</v>
      </c>
      <c r="AA586" s="10" t="s">
        <v>131</v>
      </c>
      <c r="AB586" s="10" t="s">
        <v>5008</v>
      </c>
      <c r="AC586" s="10" t="s">
        <v>5009</v>
      </c>
      <c r="AD586" s="10" t="s">
        <v>5125</v>
      </c>
      <c r="AE586" s="10" t="s">
        <v>5126</v>
      </c>
      <c r="AF586" s="15"/>
      <c r="AG586" s="10"/>
      <c r="AH586" s="10"/>
      <c r="AI586" s="10"/>
      <c r="AJ586" s="10" t="s">
        <v>5127</v>
      </c>
      <c r="AK586" s="10" t="s">
        <v>102</v>
      </c>
      <c r="AL586" s="10" t="s">
        <v>116</v>
      </c>
      <c r="AM586" s="10"/>
      <c r="AN586" s="10"/>
      <c r="AO586" s="13" t="b">
        <v>0</v>
      </c>
      <c r="AP586" s="10" t="s">
        <v>104</v>
      </c>
      <c r="AQ586" s="10">
        <f ca="1">IFERROR(__xludf.DUMMYFUNCTION("""COMPUTED_VALUE"""),4512790)</f>
        <v>4512790</v>
      </c>
      <c r="AR586" s="17">
        <v>7261</v>
      </c>
      <c r="AS586" s="17">
        <v>5523</v>
      </c>
      <c r="AT586" s="17">
        <v>137821.75</v>
      </c>
      <c r="AU586" s="17">
        <v>24.2</v>
      </c>
      <c r="AV586" s="17">
        <v>8.4</v>
      </c>
      <c r="AW586" s="10" t="s">
        <v>105</v>
      </c>
      <c r="AX586" s="17">
        <v>1633</v>
      </c>
      <c r="AY586" s="18">
        <v>24.954146297302191</v>
      </c>
      <c r="AZ586" s="10"/>
      <c r="BA586" s="20" t="b">
        <v>0</v>
      </c>
      <c r="BB586" s="10"/>
      <c r="BC586" s="17">
        <v>7261</v>
      </c>
      <c r="BD586" s="17">
        <v>5523</v>
      </c>
      <c r="BE586" s="17">
        <v>137821.75</v>
      </c>
      <c r="BF586" s="17">
        <v>8.4</v>
      </c>
      <c r="BG586" s="11">
        <f ca="1">IFERROR(__xludf.DUMMYFUNCTION("""COMPUTED_VALUE"""),45892.1041666666)</f>
        <v>45892.104166666599</v>
      </c>
      <c r="BH586" s="17" t="s">
        <v>105</v>
      </c>
      <c r="BI586" s="17"/>
      <c r="BJ586" s="15"/>
      <c r="BK586" s="15"/>
      <c r="BL586" s="13" t="b">
        <v>0</v>
      </c>
      <c r="BM586" s="10"/>
      <c r="BN586" s="10" t="s">
        <v>455</v>
      </c>
      <c r="BO586" s="11">
        <v>45866.101388888892</v>
      </c>
      <c r="BP586" s="11">
        <v>45885.684884259259</v>
      </c>
      <c r="BQ586" s="15">
        <v>45887.791134259256</v>
      </c>
      <c r="BR586" s="15">
        <v>45889.421863425923</v>
      </c>
      <c r="BS586" s="10" t="s">
        <v>455</v>
      </c>
      <c r="BT586" s="10" t="s">
        <v>99</v>
      </c>
      <c r="BU586" s="10" t="s">
        <v>718</v>
      </c>
      <c r="BV586" s="10"/>
      <c r="BW586" s="10"/>
      <c r="BX586" s="10"/>
      <c r="BY586" s="23"/>
      <c r="BZ586" s="23"/>
      <c r="CA586" s="19" t="s">
        <v>5128</v>
      </c>
      <c r="CB586" s="19" t="s">
        <v>5129</v>
      </c>
      <c r="CC586" s="23"/>
      <c r="CD586" s="19" t="s">
        <v>5130</v>
      </c>
      <c r="CE586" s="23"/>
      <c r="CF586" s="23"/>
      <c r="CG586" s="23"/>
      <c r="CH586" s="23"/>
      <c r="CI586" s="23"/>
    </row>
    <row r="587" spans="1:87" x14ac:dyDescent="0.3">
      <c r="A587" s="9" t="s">
        <v>5131</v>
      </c>
      <c r="B587" s="10" t="s">
        <v>5132</v>
      </c>
      <c r="C587" s="11">
        <v>45892.916666666664</v>
      </c>
      <c r="D587" s="12">
        <v>8.3333333333333329E-2</v>
      </c>
      <c r="E587" s="11">
        <v>45893</v>
      </c>
      <c r="F587" s="10" t="s">
        <v>5001</v>
      </c>
      <c r="G587" s="13" t="b">
        <v>0</v>
      </c>
      <c r="H587" s="10" t="s">
        <v>3578</v>
      </c>
      <c r="I587" s="10" t="s">
        <v>89</v>
      </c>
      <c r="J587" s="13" t="b">
        <v>0</v>
      </c>
      <c r="K587" s="13" t="b">
        <v>1</v>
      </c>
      <c r="L587" s="10" t="s">
        <v>124</v>
      </c>
      <c r="M587" s="10" t="s">
        <v>91</v>
      </c>
      <c r="N587" s="10" t="s">
        <v>92</v>
      </c>
      <c r="O587" s="19" t="s">
        <v>5133</v>
      </c>
      <c r="P587" s="10"/>
      <c r="Q587" s="10" t="s">
        <v>94</v>
      </c>
      <c r="R587" s="10"/>
      <c r="S587" s="19" t="s">
        <v>5134</v>
      </c>
      <c r="T587" s="19" t="s">
        <v>5124</v>
      </c>
      <c r="U587" s="10" t="s">
        <v>5041</v>
      </c>
      <c r="V587" s="10" t="s">
        <v>5066</v>
      </c>
      <c r="W587" s="10" t="s">
        <v>5007</v>
      </c>
      <c r="X587" s="10" t="s">
        <v>130</v>
      </c>
      <c r="Y587" s="10" t="s">
        <v>130</v>
      </c>
      <c r="Z587" s="10" t="s">
        <v>99</v>
      </c>
      <c r="AA587" s="10" t="s">
        <v>131</v>
      </c>
      <c r="AB587" s="10" t="s">
        <v>5008</v>
      </c>
      <c r="AC587" s="10" t="s">
        <v>5009</v>
      </c>
      <c r="AD587" s="10" t="s">
        <v>5135</v>
      </c>
      <c r="AE587" s="10" t="s">
        <v>5136</v>
      </c>
      <c r="AF587" s="15"/>
      <c r="AG587" s="10"/>
      <c r="AH587" s="10"/>
      <c r="AI587" s="10"/>
      <c r="AJ587" s="10"/>
      <c r="AK587" s="10" t="s">
        <v>102</v>
      </c>
      <c r="AL587" s="10" t="s">
        <v>116</v>
      </c>
      <c r="AM587" s="10"/>
      <c r="AN587" s="10"/>
      <c r="AO587" s="13" t="b">
        <v>0</v>
      </c>
      <c r="AP587" s="10" t="s">
        <v>104</v>
      </c>
      <c r="AQ587" s="10">
        <f ca="1">IFERROR(__xludf.DUMMYFUNCTION("""COMPUTED_VALUE"""),4512827)</f>
        <v>4512827</v>
      </c>
      <c r="AR587" s="17">
        <v>12606</v>
      </c>
      <c r="AS587" s="17">
        <v>9858</v>
      </c>
      <c r="AT587" s="17">
        <v>112947.5</v>
      </c>
      <c r="AU587" s="17">
        <v>82.6</v>
      </c>
      <c r="AV587" s="17">
        <v>41.7</v>
      </c>
      <c r="AW587" s="10" t="s">
        <v>105</v>
      </c>
      <c r="AX587" s="17">
        <v>2205</v>
      </c>
      <c r="AY587" s="18">
        <v>11.457445729356868</v>
      </c>
      <c r="AZ587" s="10"/>
      <c r="BA587" s="20" t="b">
        <v>0</v>
      </c>
      <c r="BB587" s="10"/>
      <c r="BC587" s="17">
        <v>12606</v>
      </c>
      <c r="BD587" s="17">
        <v>9858</v>
      </c>
      <c r="BE587" s="17">
        <v>112947.5</v>
      </c>
      <c r="BF587" s="17">
        <v>41.7</v>
      </c>
      <c r="BG587" s="11">
        <f ca="1">IFERROR(__xludf.DUMMYFUNCTION("""COMPUTED_VALUE"""),45892.9166666666)</f>
        <v>45892.916666666599</v>
      </c>
      <c r="BH587" s="17" t="s">
        <v>105</v>
      </c>
      <c r="BI587" s="17"/>
      <c r="BJ587" s="15"/>
      <c r="BK587" s="15"/>
      <c r="BL587" s="13" t="b">
        <v>0</v>
      </c>
      <c r="BM587" s="10"/>
      <c r="BN587" s="10" t="s">
        <v>197</v>
      </c>
      <c r="BO587" s="11">
        <v>45866.101388888892</v>
      </c>
      <c r="BP587" s="11">
        <v>45875.554675925923</v>
      </c>
      <c r="BQ587" s="15">
        <v>45887.791342592594</v>
      </c>
      <c r="BR587" s="15">
        <v>45889.576064814813</v>
      </c>
      <c r="BS587" s="10" t="s">
        <v>197</v>
      </c>
      <c r="BT587" s="10" t="s">
        <v>99</v>
      </c>
      <c r="BU587" s="10" t="s">
        <v>3574</v>
      </c>
      <c r="BV587" s="10"/>
      <c r="BW587" s="10"/>
      <c r="BX587" s="10"/>
      <c r="BY587" s="23"/>
      <c r="BZ587" s="23"/>
      <c r="CA587" s="19" t="s">
        <v>5137</v>
      </c>
      <c r="CB587" s="19" t="s">
        <v>5138</v>
      </c>
      <c r="CC587" s="23"/>
      <c r="CD587" s="23"/>
      <c r="CE587" s="23"/>
      <c r="CF587" s="23"/>
      <c r="CG587" s="23"/>
      <c r="CH587" s="23"/>
      <c r="CI587" s="23"/>
    </row>
    <row r="588" spans="1:87" x14ac:dyDescent="0.3">
      <c r="A588" s="9" t="s">
        <v>5139</v>
      </c>
      <c r="B588" s="10" t="s">
        <v>5140</v>
      </c>
      <c r="C588" s="11">
        <v>45893.020833333336</v>
      </c>
      <c r="D588" s="12">
        <v>8.3333333333333329E-2</v>
      </c>
      <c r="E588" s="11">
        <v>45893.104166666664</v>
      </c>
      <c r="F588" s="10" t="s">
        <v>5001</v>
      </c>
      <c r="G588" s="13" t="b">
        <v>0</v>
      </c>
      <c r="H588" s="10" t="s">
        <v>3578</v>
      </c>
      <c r="I588" s="10" t="s">
        <v>89</v>
      </c>
      <c r="J588" s="13" t="b">
        <v>0</v>
      </c>
      <c r="K588" s="13" t="b">
        <v>1</v>
      </c>
      <c r="L588" s="10" t="s">
        <v>124</v>
      </c>
      <c r="M588" s="10" t="s">
        <v>91</v>
      </c>
      <c r="N588" s="10" t="s">
        <v>92</v>
      </c>
      <c r="O588" s="19" t="s">
        <v>5141</v>
      </c>
      <c r="P588" s="10"/>
      <c r="Q588" s="10" t="s">
        <v>126</v>
      </c>
      <c r="R588" s="10"/>
      <c r="S588" s="19" t="s">
        <v>5142</v>
      </c>
      <c r="T588" s="19" t="s">
        <v>5124</v>
      </c>
      <c r="U588" s="10" t="s">
        <v>5090</v>
      </c>
      <c r="V588" s="10" t="s">
        <v>5101</v>
      </c>
      <c r="W588" s="10" t="s">
        <v>5007</v>
      </c>
      <c r="X588" s="10" t="s">
        <v>130</v>
      </c>
      <c r="Y588" s="10" t="s">
        <v>130</v>
      </c>
      <c r="Z588" s="10" t="s">
        <v>99</v>
      </c>
      <c r="AA588" s="10" t="s">
        <v>131</v>
      </c>
      <c r="AB588" s="10" t="s">
        <v>5008</v>
      </c>
      <c r="AC588" s="10" t="s">
        <v>5009</v>
      </c>
      <c r="AD588" s="10" t="s">
        <v>5143</v>
      </c>
      <c r="AE588" s="10" t="s">
        <v>5144</v>
      </c>
      <c r="AF588" s="15"/>
      <c r="AG588" s="10"/>
      <c r="AH588" s="10"/>
      <c r="AI588" s="10"/>
      <c r="AJ588" s="10" t="s">
        <v>5145</v>
      </c>
      <c r="AK588" s="10" t="s">
        <v>102</v>
      </c>
      <c r="AL588" s="10" t="s">
        <v>116</v>
      </c>
      <c r="AM588" s="10"/>
      <c r="AN588" s="10"/>
      <c r="AO588" s="13" t="b">
        <v>0</v>
      </c>
      <c r="AP588" s="10" t="s">
        <v>104</v>
      </c>
      <c r="AQ588" s="10">
        <f ca="1">IFERROR(__xludf.DUMMYFUNCTION("""COMPUTED_VALUE"""),4512867)</f>
        <v>4512867</v>
      </c>
      <c r="AR588" s="17">
        <v>45516</v>
      </c>
      <c r="AS588" s="17">
        <v>23904</v>
      </c>
      <c r="AT588" s="17">
        <v>967648.75</v>
      </c>
      <c r="AU588" s="17">
        <v>202.45</v>
      </c>
      <c r="AV588" s="17">
        <v>98.85</v>
      </c>
      <c r="AW588" s="10" t="s">
        <v>105</v>
      </c>
      <c r="AX588" s="17">
        <v>12101</v>
      </c>
      <c r="AY588" s="18">
        <v>40.480620398259703</v>
      </c>
      <c r="AZ588" s="10"/>
      <c r="BA588" s="20" t="b">
        <v>0</v>
      </c>
      <c r="BB588" s="10"/>
      <c r="BC588" s="17">
        <v>45516</v>
      </c>
      <c r="BD588" s="17">
        <v>23904</v>
      </c>
      <c r="BE588" s="17">
        <v>967648.75</v>
      </c>
      <c r="BF588" s="17">
        <v>98.85</v>
      </c>
      <c r="BG588" s="11">
        <f ca="1">IFERROR(__xludf.DUMMYFUNCTION("""COMPUTED_VALUE"""),45893.0208333333)</f>
        <v>45893.020833333299</v>
      </c>
      <c r="BH588" s="17" t="s">
        <v>105</v>
      </c>
      <c r="BI588" s="17"/>
      <c r="BJ588" s="15"/>
      <c r="BK588" s="15"/>
      <c r="BL588" s="13" t="b">
        <v>0</v>
      </c>
      <c r="BM588" s="10"/>
      <c r="BN588" s="10" t="s">
        <v>667</v>
      </c>
      <c r="BO588" s="11">
        <v>45866.101388888892</v>
      </c>
      <c r="BP588" s="11">
        <v>45885.690648148149</v>
      </c>
      <c r="BQ588" s="15">
        <v>45887.791574074072</v>
      </c>
      <c r="BR588" s="15">
        <v>45889.698078703703</v>
      </c>
      <c r="BS588" s="10" t="s">
        <v>667</v>
      </c>
      <c r="BT588" s="10" t="s">
        <v>99</v>
      </c>
      <c r="BU588" s="10" t="s">
        <v>3574</v>
      </c>
      <c r="BV588" s="10"/>
      <c r="BW588" s="10"/>
      <c r="BX588" s="10"/>
      <c r="BY588" s="23"/>
      <c r="BZ588" s="23"/>
      <c r="CA588" s="19" t="s">
        <v>5146</v>
      </c>
      <c r="CB588" s="19" t="s">
        <v>5147</v>
      </c>
      <c r="CC588" s="23"/>
      <c r="CD588" s="19" t="s">
        <v>5148</v>
      </c>
      <c r="CE588" s="23"/>
      <c r="CF588" s="23"/>
      <c r="CG588" s="23"/>
      <c r="CH588" s="23"/>
      <c r="CI588" s="23"/>
    </row>
    <row r="589" spans="1:87" x14ac:dyDescent="0.3">
      <c r="A589" s="9" t="s">
        <v>5149</v>
      </c>
      <c r="B589" s="10" t="s">
        <v>5150</v>
      </c>
      <c r="C589" s="11">
        <v>45893.104166666664</v>
      </c>
      <c r="D589" s="12">
        <v>8.3333333333333329E-2</v>
      </c>
      <c r="E589" s="11">
        <v>45893.1875</v>
      </c>
      <c r="F589" s="10" t="s">
        <v>5001</v>
      </c>
      <c r="G589" s="13" t="b">
        <v>0</v>
      </c>
      <c r="H589" s="10" t="s">
        <v>3578</v>
      </c>
      <c r="I589" s="10" t="s">
        <v>89</v>
      </c>
      <c r="J589" s="13" t="b">
        <v>0</v>
      </c>
      <c r="K589" s="13" t="b">
        <v>1</v>
      </c>
      <c r="L589" s="10" t="s">
        <v>124</v>
      </c>
      <c r="M589" s="10" t="s">
        <v>91</v>
      </c>
      <c r="N589" s="10" t="s">
        <v>92</v>
      </c>
      <c r="O589" s="19" t="s">
        <v>5151</v>
      </c>
      <c r="P589" s="10"/>
      <c r="Q589" s="10" t="s">
        <v>126</v>
      </c>
      <c r="R589" s="10"/>
      <c r="S589" s="19" t="s">
        <v>5152</v>
      </c>
      <c r="T589" s="19" t="s">
        <v>5124</v>
      </c>
      <c r="U589" s="10" t="s">
        <v>5032</v>
      </c>
      <c r="V589" s="10" t="s">
        <v>5042</v>
      </c>
      <c r="W589" s="10" t="s">
        <v>5007</v>
      </c>
      <c r="X589" s="10" t="s">
        <v>130</v>
      </c>
      <c r="Y589" s="10" t="s">
        <v>130</v>
      </c>
      <c r="Z589" s="10" t="s">
        <v>99</v>
      </c>
      <c r="AA589" s="10" t="s">
        <v>131</v>
      </c>
      <c r="AB589" s="10" t="s">
        <v>5008</v>
      </c>
      <c r="AC589" s="10" t="s">
        <v>5009</v>
      </c>
      <c r="AD589" s="10" t="s">
        <v>5153</v>
      </c>
      <c r="AE589" s="10" t="s">
        <v>5154</v>
      </c>
      <c r="AF589" s="15"/>
      <c r="AG589" s="10"/>
      <c r="AH589" s="10"/>
      <c r="AI589" s="10"/>
      <c r="AJ589" s="10" t="s">
        <v>5155</v>
      </c>
      <c r="AK589" s="10" t="s">
        <v>102</v>
      </c>
      <c r="AL589" s="10" t="s">
        <v>116</v>
      </c>
      <c r="AM589" s="10"/>
      <c r="AN589" s="10"/>
      <c r="AO589" s="13" t="b">
        <v>1</v>
      </c>
      <c r="AP589" s="10" t="s">
        <v>104</v>
      </c>
      <c r="AQ589" s="10">
        <f ca="1">IFERROR(__xludf.DUMMYFUNCTION("""COMPUTED_VALUE"""),4512873)</f>
        <v>4512873</v>
      </c>
      <c r="AR589" s="17">
        <v>75048</v>
      </c>
      <c r="AS589" s="17">
        <v>44953</v>
      </c>
      <c r="AT589" s="17">
        <v>2546180.5</v>
      </c>
      <c r="AU589" s="17">
        <v>938.5</v>
      </c>
      <c r="AV589" s="17">
        <v>499.9</v>
      </c>
      <c r="AW589" s="10" t="s">
        <v>105</v>
      </c>
      <c r="AX589" s="17">
        <v>28962</v>
      </c>
      <c r="AY589" s="18">
        <v>56.640947211532044</v>
      </c>
      <c r="AZ589" s="10"/>
      <c r="BA589" s="20" t="b">
        <v>0</v>
      </c>
      <c r="BB589" s="10"/>
      <c r="BC589" s="17">
        <v>75048</v>
      </c>
      <c r="BD589" s="17">
        <v>44953</v>
      </c>
      <c r="BE589" s="17">
        <v>2546180.5</v>
      </c>
      <c r="BF589" s="17">
        <v>499.9</v>
      </c>
      <c r="BG589" s="11">
        <f ca="1">IFERROR(__xludf.DUMMYFUNCTION("""COMPUTED_VALUE"""),45893.1041666666)</f>
        <v>45893.104166666599</v>
      </c>
      <c r="BH589" s="17" t="s">
        <v>105</v>
      </c>
      <c r="BI589" s="17"/>
      <c r="BJ589" s="15"/>
      <c r="BK589" s="15"/>
      <c r="BL589" s="13" t="b">
        <v>0</v>
      </c>
      <c r="BM589" s="10"/>
      <c r="BN589" s="10" t="s">
        <v>667</v>
      </c>
      <c r="BO589" s="11">
        <v>45866.101388888892</v>
      </c>
      <c r="BP589" s="11">
        <v>45885.693784722222</v>
      </c>
      <c r="BQ589" s="15">
        <v>45887.79173611111</v>
      </c>
      <c r="BR589" s="15">
        <v>45890.422488425924</v>
      </c>
      <c r="BS589" s="10" t="s">
        <v>667</v>
      </c>
      <c r="BT589" s="10" t="s">
        <v>99</v>
      </c>
      <c r="BU589" s="10" t="s">
        <v>3574</v>
      </c>
      <c r="BV589" s="10" t="s">
        <v>124</v>
      </c>
      <c r="BW589" s="10"/>
      <c r="BX589" s="10"/>
      <c r="BY589" s="23"/>
      <c r="BZ589" s="23"/>
      <c r="CA589" s="19" t="s">
        <v>5156</v>
      </c>
      <c r="CB589" s="19" t="s">
        <v>5157</v>
      </c>
      <c r="CC589" s="23"/>
      <c r="CD589" s="19" t="s">
        <v>5158</v>
      </c>
      <c r="CE589" s="23"/>
      <c r="CF589" s="23"/>
      <c r="CG589" s="23"/>
      <c r="CH589" s="23"/>
      <c r="CI589" s="23"/>
    </row>
    <row r="590" spans="1:87" x14ac:dyDescent="0.3">
      <c r="A590" s="9" t="s">
        <v>5159</v>
      </c>
      <c r="B590" s="10" t="s">
        <v>5160</v>
      </c>
      <c r="C590" s="11">
        <v>45893.916666666664</v>
      </c>
      <c r="D590" s="12">
        <v>8.3333333333333329E-2</v>
      </c>
      <c r="E590" s="11">
        <v>45894</v>
      </c>
      <c r="F590" s="10" t="s">
        <v>5001</v>
      </c>
      <c r="G590" s="13" t="b">
        <v>0</v>
      </c>
      <c r="H590" s="10" t="s">
        <v>3578</v>
      </c>
      <c r="I590" s="10" t="s">
        <v>89</v>
      </c>
      <c r="J590" s="13" t="b">
        <v>0</v>
      </c>
      <c r="K590" s="13" t="b">
        <v>1</v>
      </c>
      <c r="L590" s="10" t="s">
        <v>124</v>
      </c>
      <c r="M590" s="10" t="s">
        <v>91</v>
      </c>
      <c r="N590" s="10" t="s">
        <v>92</v>
      </c>
      <c r="O590" s="19" t="s">
        <v>5161</v>
      </c>
      <c r="P590" s="10"/>
      <c r="Q590" s="10" t="s">
        <v>126</v>
      </c>
      <c r="R590" s="10"/>
      <c r="S590" s="19" t="s">
        <v>5162</v>
      </c>
      <c r="T590" s="19" t="s">
        <v>5124</v>
      </c>
      <c r="U590" s="10" t="s">
        <v>5114</v>
      </c>
      <c r="V590" s="10" t="s">
        <v>5054</v>
      </c>
      <c r="W590" s="10" t="s">
        <v>5007</v>
      </c>
      <c r="X590" s="10" t="s">
        <v>130</v>
      </c>
      <c r="Y590" s="10" t="s">
        <v>130</v>
      </c>
      <c r="Z590" s="10" t="s">
        <v>99</v>
      </c>
      <c r="AA590" s="10" t="s">
        <v>131</v>
      </c>
      <c r="AB590" s="10" t="s">
        <v>5008</v>
      </c>
      <c r="AC590" s="10" t="s">
        <v>5009</v>
      </c>
      <c r="AD590" s="10" t="s">
        <v>5163</v>
      </c>
      <c r="AE590" s="10" t="s">
        <v>5164</v>
      </c>
      <c r="AF590" s="15"/>
      <c r="AG590" s="10"/>
      <c r="AH590" s="10"/>
      <c r="AI590" s="10"/>
      <c r="AJ590" s="10" t="s">
        <v>5165</v>
      </c>
      <c r="AK590" s="10" t="s">
        <v>102</v>
      </c>
      <c r="AL590" s="10" t="s">
        <v>116</v>
      </c>
      <c r="AM590" s="10"/>
      <c r="AN590" s="10"/>
      <c r="AO590" s="13" t="b">
        <v>0</v>
      </c>
      <c r="AP590" s="10" t="s">
        <v>104</v>
      </c>
      <c r="AQ590" s="10">
        <f ca="1">IFERROR(__xludf.DUMMYFUNCTION("""COMPUTED_VALUE"""),4514012)</f>
        <v>4514012</v>
      </c>
      <c r="AR590" s="17">
        <v>15323</v>
      </c>
      <c r="AS590" s="17">
        <v>12126</v>
      </c>
      <c r="AT590" s="17">
        <v>143459.75</v>
      </c>
      <c r="AU590" s="17">
        <v>78.45</v>
      </c>
      <c r="AV590" s="17">
        <v>34.299999999999997</v>
      </c>
      <c r="AW590" s="10" t="s">
        <v>105</v>
      </c>
      <c r="AX590" s="17">
        <v>2646</v>
      </c>
      <c r="AY590" s="18">
        <v>11.830756226290616</v>
      </c>
      <c r="AZ590" s="10"/>
      <c r="BA590" s="20" t="b">
        <v>0</v>
      </c>
      <c r="BB590" s="10"/>
      <c r="BC590" s="17">
        <v>15323</v>
      </c>
      <c r="BD590" s="17">
        <v>12126</v>
      </c>
      <c r="BE590" s="17">
        <v>143459.75</v>
      </c>
      <c r="BF590" s="17">
        <v>34.299999999999997</v>
      </c>
      <c r="BG590" s="11">
        <f ca="1">IFERROR(__xludf.DUMMYFUNCTION("""COMPUTED_VALUE"""),45893.9166666666)</f>
        <v>45893.916666666599</v>
      </c>
      <c r="BH590" s="17" t="s">
        <v>105</v>
      </c>
      <c r="BI590" s="17"/>
      <c r="BJ590" s="15"/>
      <c r="BK590" s="15"/>
      <c r="BL590" s="13" t="b">
        <v>0</v>
      </c>
      <c r="BM590" s="10"/>
      <c r="BN590" s="10" t="s">
        <v>197</v>
      </c>
      <c r="BO590" s="11">
        <v>45866.101388888892</v>
      </c>
      <c r="BP590" s="11">
        <v>45885.695810185185</v>
      </c>
      <c r="BQ590" s="15">
        <v>45887.791886574072</v>
      </c>
      <c r="BR590" s="15">
        <v>45890.411203703705</v>
      </c>
      <c r="BS590" s="10" t="s">
        <v>197</v>
      </c>
      <c r="BT590" s="10" t="s">
        <v>99</v>
      </c>
      <c r="BU590" s="10" t="s">
        <v>3574</v>
      </c>
      <c r="BV590" s="10"/>
      <c r="BW590" s="10"/>
      <c r="BX590" s="10"/>
      <c r="BY590" s="23"/>
      <c r="BZ590" s="23"/>
      <c r="CA590" s="19" t="s">
        <v>5166</v>
      </c>
      <c r="CB590" s="19" t="s">
        <v>5167</v>
      </c>
      <c r="CC590" s="23"/>
      <c r="CD590" s="19" t="s">
        <v>5168</v>
      </c>
      <c r="CE590" s="23"/>
      <c r="CF590" s="23"/>
      <c r="CG590" s="23"/>
      <c r="CH590" s="23"/>
      <c r="CI590" s="23"/>
    </row>
    <row r="591" spans="1:87" x14ac:dyDescent="0.3">
      <c r="A591" s="9" t="s">
        <v>5169</v>
      </c>
      <c r="B591" s="10" t="s">
        <v>5170</v>
      </c>
      <c r="C591" s="11">
        <v>45894.020833333336</v>
      </c>
      <c r="D591" s="12">
        <v>8.3333333333333329E-2</v>
      </c>
      <c r="E591" s="11">
        <v>45894.104166666664</v>
      </c>
      <c r="F591" s="10" t="s">
        <v>5001</v>
      </c>
      <c r="G591" s="13" t="b">
        <v>0</v>
      </c>
      <c r="H591" s="10" t="s">
        <v>3578</v>
      </c>
      <c r="I591" s="10" t="s">
        <v>89</v>
      </c>
      <c r="J591" s="13" t="b">
        <v>0</v>
      </c>
      <c r="K591" s="13" t="b">
        <v>1</v>
      </c>
      <c r="L591" s="10" t="s">
        <v>124</v>
      </c>
      <c r="M591" s="10" t="s">
        <v>91</v>
      </c>
      <c r="N591" s="10" t="s">
        <v>92</v>
      </c>
      <c r="O591" s="19" t="s">
        <v>5171</v>
      </c>
      <c r="P591" s="10"/>
      <c r="Q591" s="10" t="s">
        <v>126</v>
      </c>
      <c r="R591" s="10"/>
      <c r="S591" s="19" t="s">
        <v>5172</v>
      </c>
      <c r="T591" s="19" t="s">
        <v>5124</v>
      </c>
      <c r="U591" s="10" t="s">
        <v>5055</v>
      </c>
      <c r="V591" s="10" t="s">
        <v>5089</v>
      </c>
      <c r="W591" s="10" t="s">
        <v>5007</v>
      </c>
      <c r="X591" s="10" t="s">
        <v>130</v>
      </c>
      <c r="Y591" s="10" t="s">
        <v>130</v>
      </c>
      <c r="Z591" s="10" t="s">
        <v>99</v>
      </c>
      <c r="AA591" s="10" t="s">
        <v>131</v>
      </c>
      <c r="AB591" s="10" t="s">
        <v>5008</v>
      </c>
      <c r="AC591" s="10" t="s">
        <v>5009</v>
      </c>
      <c r="AD591" s="10" t="s">
        <v>5173</v>
      </c>
      <c r="AE591" s="10" t="s">
        <v>5174</v>
      </c>
      <c r="AF591" s="15"/>
      <c r="AG591" s="10"/>
      <c r="AH591" s="10"/>
      <c r="AI591" s="10"/>
      <c r="AJ591" s="10" t="s">
        <v>5175</v>
      </c>
      <c r="AK591" s="10" t="s">
        <v>102</v>
      </c>
      <c r="AL591" s="10" t="s">
        <v>116</v>
      </c>
      <c r="AM591" s="10"/>
      <c r="AN591" s="10"/>
      <c r="AO591" s="13" t="b">
        <v>0</v>
      </c>
      <c r="AP591" s="10" t="s">
        <v>104</v>
      </c>
      <c r="AQ591" s="10">
        <f ca="1">IFERROR(__xludf.DUMMYFUNCTION("""COMPUTED_VALUE"""),4514038)</f>
        <v>4514038</v>
      </c>
      <c r="AR591" s="17">
        <v>26106</v>
      </c>
      <c r="AS591" s="17">
        <v>15853</v>
      </c>
      <c r="AT591" s="17">
        <v>565042.75</v>
      </c>
      <c r="AU591" s="17">
        <v>104.5</v>
      </c>
      <c r="AV591" s="17">
        <v>47.5</v>
      </c>
      <c r="AW591" s="10" t="s">
        <v>105</v>
      </c>
      <c r="AX591" s="17">
        <v>9027</v>
      </c>
      <c r="AY591" s="18">
        <v>35.642638617296413</v>
      </c>
      <c r="AZ591" s="10"/>
      <c r="BA591" s="20" t="b">
        <v>0</v>
      </c>
      <c r="BB591" s="10"/>
      <c r="BC591" s="17">
        <v>26106</v>
      </c>
      <c r="BD591" s="17">
        <v>15853</v>
      </c>
      <c r="BE591" s="17">
        <v>565042.75</v>
      </c>
      <c r="BF591" s="17">
        <v>47.5</v>
      </c>
      <c r="BG591" s="11">
        <f ca="1">IFERROR(__xludf.DUMMYFUNCTION("""COMPUTED_VALUE"""),45894.0208333333)</f>
        <v>45894.020833333299</v>
      </c>
      <c r="BH591" s="17" t="s">
        <v>105</v>
      </c>
      <c r="BI591" s="17"/>
      <c r="BJ591" s="15"/>
      <c r="BK591" s="15"/>
      <c r="BL591" s="13" t="b">
        <v>0</v>
      </c>
      <c r="BM591" s="10"/>
      <c r="BN591" s="10" t="s">
        <v>157</v>
      </c>
      <c r="BO591" s="11">
        <v>45866.101388888892</v>
      </c>
      <c r="BP591" s="11">
        <v>45885.69734953704</v>
      </c>
      <c r="BQ591" s="15">
        <v>45887.792094907411</v>
      </c>
      <c r="BR591" s="15">
        <v>45890.581875000003</v>
      </c>
      <c r="BS591" s="10" t="s">
        <v>157</v>
      </c>
      <c r="BT591" s="10" t="s">
        <v>99</v>
      </c>
      <c r="BU591" s="10" t="s">
        <v>3574</v>
      </c>
      <c r="BV591" s="10"/>
      <c r="BW591" s="10"/>
      <c r="BX591" s="10"/>
      <c r="BY591" s="23"/>
      <c r="BZ591" s="23"/>
      <c r="CA591" s="19" t="s">
        <v>5176</v>
      </c>
      <c r="CB591" s="19" t="s">
        <v>5177</v>
      </c>
      <c r="CC591" s="23"/>
      <c r="CD591" s="19" t="s">
        <v>5178</v>
      </c>
      <c r="CE591" s="23"/>
      <c r="CF591" s="23"/>
      <c r="CG591" s="23"/>
      <c r="CH591" s="23"/>
      <c r="CI591" s="23"/>
    </row>
    <row r="592" spans="1:87" x14ac:dyDescent="0.3">
      <c r="A592" s="9" t="s">
        <v>5179</v>
      </c>
      <c r="B592" s="10" t="s">
        <v>5180</v>
      </c>
      <c r="C592" s="11">
        <v>45894.020833333336</v>
      </c>
      <c r="D592" s="12">
        <v>8.3333333333333329E-2</v>
      </c>
      <c r="E592" s="11">
        <v>45894.104166666664</v>
      </c>
      <c r="F592" s="10" t="s">
        <v>5001</v>
      </c>
      <c r="G592" s="13" t="b">
        <v>0</v>
      </c>
      <c r="H592" s="10" t="s">
        <v>3564</v>
      </c>
      <c r="I592" s="10" t="s">
        <v>89</v>
      </c>
      <c r="J592" s="13" t="b">
        <v>0</v>
      </c>
      <c r="K592" s="13" t="b">
        <v>1</v>
      </c>
      <c r="L592" s="10" t="s">
        <v>124</v>
      </c>
      <c r="M592" s="10" t="s">
        <v>91</v>
      </c>
      <c r="N592" s="10" t="s">
        <v>92</v>
      </c>
      <c r="O592" s="19" t="s">
        <v>5181</v>
      </c>
      <c r="P592" s="10"/>
      <c r="Q592" s="10" t="s">
        <v>126</v>
      </c>
      <c r="R592" s="10"/>
      <c r="S592" s="19" t="s">
        <v>5182</v>
      </c>
      <c r="T592" s="19" t="s">
        <v>5124</v>
      </c>
      <c r="U592" s="10" t="s">
        <v>5018</v>
      </c>
      <c r="V592" s="10" t="s">
        <v>5005</v>
      </c>
      <c r="W592" s="10" t="s">
        <v>5007</v>
      </c>
      <c r="X592" s="10" t="s">
        <v>130</v>
      </c>
      <c r="Y592" s="10" t="s">
        <v>130</v>
      </c>
      <c r="Z592" s="10" t="s">
        <v>99</v>
      </c>
      <c r="AA592" s="10" t="s">
        <v>131</v>
      </c>
      <c r="AB592" s="10" t="s">
        <v>5008</v>
      </c>
      <c r="AC592" s="10" t="s">
        <v>5009</v>
      </c>
      <c r="AD592" s="10" t="s">
        <v>5183</v>
      </c>
      <c r="AE592" s="10" t="s">
        <v>5184</v>
      </c>
      <c r="AF592" s="15"/>
      <c r="AG592" s="10"/>
      <c r="AH592" s="10"/>
      <c r="AI592" s="10"/>
      <c r="AJ592" s="10" t="s">
        <v>5185</v>
      </c>
      <c r="AK592" s="10" t="s">
        <v>102</v>
      </c>
      <c r="AL592" s="10" t="s">
        <v>116</v>
      </c>
      <c r="AM592" s="10"/>
      <c r="AN592" s="10"/>
      <c r="AO592" s="13" t="b">
        <v>0</v>
      </c>
      <c r="AP592" s="10" t="s">
        <v>104</v>
      </c>
      <c r="AQ592" s="10">
        <f ca="1">IFERROR(__xludf.DUMMYFUNCTION("""COMPUTED_VALUE"""),4514039)</f>
        <v>4514039</v>
      </c>
      <c r="AR592" s="17">
        <v>5214</v>
      </c>
      <c r="AS592" s="17">
        <v>4046</v>
      </c>
      <c r="AT592" s="17">
        <v>98290.25</v>
      </c>
      <c r="AU592" s="17">
        <v>8.1</v>
      </c>
      <c r="AV592" s="17">
        <v>3.35</v>
      </c>
      <c r="AW592" s="10" t="s">
        <v>105</v>
      </c>
      <c r="AX592" s="17">
        <v>908</v>
      </c>
      <c r="AY592" s="18">
        <v>24.29319080573406</v>
      </c>
      <c r="AZ592" s="10"/>
      <c r="BA592" s="20" t="b">
        <v>0</v>
      </c>
      <c r="BB592" s="10"/>
      <c r="BC592" s="17">
        <v>5214</v>
      </c>
      <c r="BD592" s="17">
        <v>4046</v>
      </c>
      <c r="BE592" s="17">
        <v>98290.25</v>
      </c>
      <c r="BF592" s="17">
        <v>3.35</v>
      </c>
      <c r="BG592" s="11">
        <f ca="1">IFERROR(__xludf.DUMMYFUNCTION("""COMPUTED_VALUE"""),45894.0208333333)</f>
        <v>45894.020833333299</v>
      </c>
      <c r="BH592" s="17" t="s">
        <v>105</v>
      </c>
      <c r="BI592" s="17"/>
      <c r="BJ592" s="15"/>
      <c r="BK592" s="15"/>
      <c r="BL592" s="13" t="b">
        <v>0</v>
      </c>
      <c r="BM592" s="10"/>
      <c r="BN592" s="10" t="s">
        <v>106</v>
      </c>
      <c r="BO592" s="11">
        <v>45866.101388888892</v>
      </c>
      <c r="BP592" s="11">
        <v>45885.698425925926</v>
      </c>
      <c r="BQ592" s="15">
        <v>45887.792245370372</v>
      </c>
      <c r="BR592" s="15">
        <v>45890.582048611112</v>
      </c>
      <c r="BS592" s="10"/>
      <c r="BT592" s="10" t="s">
        <v>99</v>
      </c>
      <c r="BU592" s="10"/>
      <c r="BV592" s="10"/>
      <c r="BW592" s="10"/>
      <c r="BX592" s="10"/>
      <c r="BY592" s="23"/>
      <c r="BZ592" s="23"/>
      <c r="CA592" s="19" t="s">
        <v>5186</v>
      </c>
      <c r="CB592" s="19" t="s">
        <v>5187</v>
      </c>
      <c r="CC592" s="23"/>
      <c r="CD592" s="19" t="s">
        <v>5188</v>
      </c>
      <c r="CE592" s="23"/>
      <c r="CF592" s="23"/>
      <c r="CG592" s="23"/>
      <c r="CH592" s="23"/>
      <c r="CI592" s="23"/>
    </row>
    <row r="593" spans="1:87" x14ac:dyDescent="0.3">
      <c r="A593" s="9" t="s">
        <v>5189</v>
      </c>
      <c r="B593" s="10" t="s">
        <v>5190</v>
      </c>
      <c r="C593" s="11">
        <v>45894.104166666664</v>
      </c>
      <c r="D593" s="12">
        <v>8.3333333333333329E-2</v>
      </c>
      <c r="E593" s="11">
        <v>45894.1875</v>
      </c>
      <c r="F593" s="10" t="s">
        <v>5001</v>
      </c>
      <c r="G593" s="13" t="b">
        <v>0</v>
      </c>
      <c r="H593" s="10" t="s">
        <v>3578</v>
      </c>
      <c r="I593" s="10" t="s">
        <v>89</v>
      </c>
      <c r="J593" s="13" t="b">
        <v>0</v>
      </c>
      <c r="K593" s="13" t="b">
        <v>1</v>
      </c>
      <c r="L593" s="10" t="s">
        <v>124</v>
      </c>
      <c r="M593" s="10" t="s">
        <v>91</v>
      </c>
      <c r="N593" s="10" t="s">
        <v>92</v>
      </c>
      <c r="O593" s="19" t="s">
        <v>5191</v>
      </c>
      <c r="P593" s="10"/>
      <c r="Q593" s="10" t="s">
        <v>126</v>
      </c>
      <c r="R593" s="10"/>
      <c r="S593" s="19" t="s">
        <v>5192</v>
      </c>
      <c r="T593" s="19" t="s">
        <v>5124</v>
      </c>
      <c r="U593" s="10" t="s">
        <v>5019</v>
      </c>
      <c r="V593" s="10" t="s">
        <v>5113</v>
      </c>
      <c r="W593" s="10" t="s">
        <v>5007</v>
      </c>
      <c r="X593" s="10" t="s">
        <v>130</v>
      </c>
      <c r="Y593" s="10" t="s">
        <v>130</v>
      </c>
      <c r="Z593" s="10" t="s">
        <v>99</v>
      </c>
      <c r="AA593" s="10" t="s">
        <v>131</v>
      </c>
      <c r="AB593" s="10" t="s">
        <v>5008</v>
      </c>
      <c r="AC593" s="10" t="s">
        <v>5009</v>
      </c>
      <c r="AD593" s="10" t="s">
        <v>5193</v>
      </c>
      <c r="AE593" s="10" t="s">
        <v>5194</v>
      </c>
      <c r="AF593" s="15"/>
      <c r="AG593" s="10"/>
      <c r="AH593" s="10"/>
      <c r="AI593" s="10"/>
      <c r="AJ593" s="10" t="s">
        <v>5195</v>
      </c>
      <c r="AK593" s="10" t="s">
        <v>102</v>
      </c>
      <c r="AL593" s="10" t="s">
        <v>116</v>
      </c>
      <c r="AM593" s="10"/>
      <c r="AN593" s="10"/>
      <c r="AO593" s="13" t="b">
        <v>1</v>
      </c>
      <c r="AP593" s="10" t="s">
        <v>104</v>
      </c>
      <c r="AQ593" s="10">
        <f ca="1">IFERROR(__xludf.DUMMYFUNCTION("""COMPUTED_VALUE"""),4514041)</f>
        <v>4514041</v>
      </c>
      <c r="AR593" s="17">
        <v>57846</v>
      </c>
      <c r="AS593" s="17">
        <v>37095</v>
      </c>
      <c r="AT593" s="17">
        <v>2039004.5</v>
      </c>
      <c r="AU593" s="17">
        <v>634.54999999999995</v>
      </c>
      <c r="AV593" s="17">
        <v>309.05</v>
      </c>
      <c r="AW593" s="10" t="s">
        <v>105</v>
      </c>
      <c r="AX593" s="17">
        <v>22426</v>
      </c>
      <c r="AY593" s="18">
        <v>54.96709799164308</v>
      </c>
      <c r="AZ593" s="10"/>
      <c r="BA593" s="20" t="b">
        <v>0</v>
      </c>
      <c r="BB593" s="10"/>
      <c r="BC593" s="17">
        <v>57846</v>
      </c>
      <c r="BD593" s="17">
        <v>37095</v>
      </c>
      <c r="BE593" s="17">
        <v>2039004.5</v>
      </c>
      <c r="BF593" s="17">
        <v>309.05</v>
      </c>
      <c r="BG593" s="11">
        <f ca="1">IFERROR(__xludf.DUMMYFUNCTION("""COMPUTED_VALUE"""),45894.1041666666)</f>
        <v>45894.104166666599</v>
      </c>
      <c r="BH593" s="17" t="s">
        <v>105</v>
      </c>
      <c r="BI593" s="17"/>
      <c r="BJ593" s="15"/>
      <c r="BK593" s="15"/>
      <c r="BL593" s="13" t="b">
        <v>0</v>
      </c>
      <c r="BM593" s="10"/>
      <c r="BN593" s="10" t="s">
        <v>106</v>
      </c>
      <c r="BO593" s="11">
        <v>45866.101388888892</v>
      </c>
      <c r="BP593" s="11">
        <v>45885.699560185189</v>
      </c>
      <c r="BQ593" s="15">
        <v>45887.792395833334</v>
      </c>
      <c r="BR593" s="15">
        <v>45890.58222222222</v>
      </c>
      <c r="BS593" s="10"/>
      <c r="BT593" s="10" t="s">
        <v>99</v>
      </c>
      <c r="BU593" s="10"/>
      <c r="BV593" s="10" t="s">
        <v>124</v>
      </c>
      <c r="BW593" s="10"/>
      <c r="BX593" s="10"/>
      <c r="BY593" s="23"/>
      <c r="BZ593" s="23"/>
      <c r="CA593" s="19" t="s">
        <v>5196</v>
      </c>
      <c r="CB593" s="19" t="s">
        <v>5197</v>
      </c>
      <c r="CC593" s="23"/>
      <c r="CD593" s="19" t="s">
        <v>5198</v>
      </c>
      <c r="CE593" s="23"/>
      <c r="CF593" s="23"/>
      <c r="CG593" s="23"/>
      <c r="CH593" s="23"/>
      <c r="CI593" s="23"/>
    </row>
    <row r="594" spans="1:87" x14ac:dyDescent="0.3">
      <c r="A594" s="9" t="s">
        <v>5199</v>
      </c>
      <c r="B594" s="10" t="s">
        <v>5200</v>
      </c>
      <c r="C594" s="11">
        <v>45895.020833333336</v>
      </c>
      <c r="D594" s="12">
        <v>8.3333333333333329E-2</v>
      </c>
      <c r="E594" s="11">
        <v>45895.104166666664</v>
      </c>
      <c r="F594" s="10" t="s">
        <v>5001</v>
      </c>
      <c r="G594" s="13" t="b">
        <v>0</v>
      </c>
      <c r="H594" s="10" t="s">
        <v>3578</v>
      </c>
      <c r="I594" s="10" t="s">
        <v>89</v>
      </c>
      <c r="J594" s="13" t="b">
        <v>0</v>
      </c>
      <c r="K594" s="13" t="b">
        <v>1</v>
      </c>
      <c r="L594" s="10" t="s">
        <v>124</v>
      </c>
      <c r="M594" s="10" t="s">
        <v>91</v>
      </c>
      <c r="N594" s="10" t="s">
        <v>92</v>
      </c>
      <c r="O594" s="19" t="s">
        <v>5201</v>
      </c>
      <c r="P594" s="10"/>
      <c r="Q594" s="10" t="s">
        <v>126</v>
      </c>
      <c r="R594" s="10"/>
      <c r="S594" s="19" t="s">
        <v>5202</v>
      </c>
      <c r="T594" s="19" t="s">
        <v>5124</v>
      </c>
      <c r="U594" s="10" t="s">
        <v>5076</v>
      </c>
      <c r="V594" s="10" t="s">
        <v>5006</v>
      </c>
      <c r="W594" s="10" t="s">
        <v>5007</v>
      </c>
      <c r="X594" s="10" t="s">
        <v>130</v>
      </c>
      <c r="Y594" s="10" t="s">
        <v>130</v>
      </c>
      <c r="Z594" s="10" t="s">
        <v>99</v>
      </c>
      <c r="AA594" s="10" t="s">
        <v>131</v>
      </c>
      <c r="AB594" s="10" t="s">
        <v>5008</v>
      </c>
      <c r="AC594" s="10" t="s">
        <v>5009</v>
      </c>
      <c r="AD594" s="10" t="s">
        <v>5203</v>
      </c>
      <c r="AE594" s="10" t="s">
        <v>5204</v>
      </c>
      <c r="AF594" s="15"/>
      <c r="AG594" s="10"/>
      <c r="AH594" s="10"/>
      <c r="AI594" s="10"/>
      <c r="AJ594" s="10" t="s">
        <v>5205</v>
      </c>
      <c r="AK594" s="10" t="s">
        <v>102</v>
      </c>
      <c r="AL594" s="10" t="s">
        <v>116</v>
      </c>
      <c r="AM594" s="10"/>
      <c r="AN594" s="10"/>
      <c r="AO594" s="13" t="b">
        <v>0</v>
      </c>
      <c r="AP594" s="10" t="s">
        <v>104</v>
      </c>
      <c r="AQ594" s="10">
        <f ca="1">IFERROR(__xludf.DUMMYFUNCTION("""COMPUTED_VALUE"""),4520817)</f>
        <v>4520817</v>
      </c>
      <c r="AR594" s="17">
        <v>7108</v>
      </c>
      <c r="AS594" s="17">
        <v>4884</v>
      </c>
      <c r="AT594" s="17">
        <v>185397.75</v>
      </c>
      <c r="AU594" s="17">
        <v>13.25</v>
      </c>
      <c r="AV594" s="17">
        <v>5.5</v>
      </c>
      <c r="AW594" s="10" t="s">
        <v>105</v>
      </c>
      <c r="AX594" s="17">
        <v>1739</v>
      </c>
      <c r="AY594" s="18">
        <v>37.960227272727273</v>
      </c>
      <c r="AZ594" s="10"/>
      <c r="BA594" s="20" t="b">
        <v>0</v>
      </c>
      <c r="BB594" s="10"/>
      <c r="BC594" s="17">
        <v>7108</v>
      </c>
      <c r="BD594" s="17">
        <v>4884</v>
      </c>
      <c r="BE594" s="17">
        <v>185397.75</v>
      </c>
      <c r="BF594" s="17">
        <v>5.5</v>
      </c>
      <c r="BG594" s="11">
        <f ca="1">IFERROR(__xludf.DUMMYFUNCTION("""COMPUTED_VALUE"""),45895.0208333333)</f>
        <v>45895.020833333299</v>
      </c>
      <c r="BH594" s="17" t="s">
        <v>105</v>
      </c>
      <c r="BI594" s="17"/>
      <c r="BJ594" s="15"/>
      <c r="BK594" s="15"/>
      <c r="BL594" s="13" t="b">
        <v>0</v>
      </c>
      <c r="BM594" s="10"/>
      <c r="BN594" s="10" t="s">
        <v>278</v>
      </c>
      <c r="BO594" s="11">
        <v>45866.101388888892</v>
      </c>
      <c r="BP594" s="11">
        <v>45885.700520833336</v>
      </c>
      <c r="BQ594" s="15">
        <v>45887.792615740742</v>
      </c>
      <c r="BR594" s="15">
        <v>45893.605324074073</v>
      </c>
      <c r="BS594" s="10" t="s">
        <v>278</v>
      </c>
      <c r="BT594" s="10" t="s">
        <v>99</v>
      </c>
      <c r="BU594" s="10" t="s">
        <v>298</v>
      </c>
      <c r="BV594" s="10"/>
      <c r="BW594" s="10"/>
      <c r="BX594" s="10"/>
      <c r="BY594" s="23"/>
      <c r="BZ594" s="23"/>
      <c r="CA594" s="19" t="s">
        <v>5206</v>
      </c>
      <c r="CB594" s="19" t="s">
        <v>5207</v>
      </c>
      <c r="CC594" s="23"/>
      <c r="CD594" s="19" t="s">
        <v>5208</v>
      </c>
      <c r="CE594" s="23"/>
      <c r="CF594" s="23"/>
      <c r="CG594" s="23"/>
      <c r="CH594" s="23"/>
      <c r="CI594" s="23"/>
    </row>
    <row r="595" spans="1:87" x14ac:dyDescent="0.3">
      <c r="A595" s="9" t="s">
        <v>5209</v>
      </c>
      <c r="B595" s="10" t="s">
        <v>5210</v>
      </c>
      <c r="C595" s="11">
        <v>45895.104166666664</v>
      </c>
      <c r="D595" s="12">
        <v>8.3333333333333329E-2</v>
      </c>
      <c r="E595" s="11">
        <v>45895.1875</v>
      </c>
      <c r="F595" s="10" t="s">
        <v>5001</v>
      </c>
      <c r="G595" s="13" t="b">
        <v>0</v>
      </c>
      <c r="H595" s="10" t="s">
        <v>3578</v>
      </c>
      <c r="I595" s="10" t="s">
        <v>89</v>
      </c>
      <c r="J595" s="13" t="b">
        <v>0</v>
      </c>
      <c r="K595" s="13" t="b">
        <v>1</v>
      </c>
      <c r="L595" s="10" t="s">
        <v>124</v>
      </c>
      <c r="M595" s="10" t="s">
        <v>91</v>
      </c>
      <c r="N595" s="10" t="s">
        <v>92</v>
      </c>
      <c r="O595" s="19" t="s">
        <v>5211</v>
      </c>
      <c r="P595" s="10"/>
      <c r="Q595" s="10" t="s">
        <v>94</v>
      </c>
      <c r="R595" s="10"/>
      <c r="S595" s="19" t="s">
        <v>5212</v>
      </c>
      <c r="T595" s="19" t="s">
        <v>5124</v>
      </c>
      <c r="U595" s="10" t="s">
        <v>5077</v>
      </c>
      <c r="V595" s="10" t="s">
        <v>5067</v>
      </c>
      <c r="W595" s="10" t="s">
        <v>5007</v>
      </c>
      <c r="X595" s="10" t="s">
        <v>130</v>
      </c>
      <c r="Y595" s="10" t="s">
        <v>130</v>
      </c>
      <c r="Z595" s="10" t="s">
        <v>99</v>
      </c>
      <c r="AA595" s="10" t="s">
        <v>131</v>
      </c>
      <c r="AB595" s="10" t="s">
        <v>5008</v>
      </c>
      <c r="AC595" s="10" t="s">
        <v>5009</v>
      </c>
      <c r="AD595" s="10" t="s">
        <v>5213</v>
      </c>
      <c r="AE595" s="10" t="s">
        <v>5214</v>
      </c>
      <c r="AF595" s="15"/>
      <c r="AG595" s="10"/>
      <c r="AH595" s="10"/>
      <c r="AI595" s="10"/>
      <c r="AJ595" s="10"/>
      <c r="AK595" s="10" t="s">
        <v>102</v>
      </c>
      <c r="AL595" s="10" t="s">
        <v>116</v>
      </c>
      <c r="AM595" s="10"/>
      <c r="AN595" s="10"/>
      <c r="AO595" s="13" t="b">
        <v>0</v>
      </c>
      <c r="AP595" s="10" t="s">
        <v>104</v>
      </c>
      <c r="AQ595" s="10">
        <f ca="1">IFERROR(__xludf.DUMMYFUNCTION("""COMPUTED_VALUE"""),4520835)</f>
        <v>4520835</v>
      </c>
      <c r="AR595" s="17">
        <v>5573</v>
      </c>
      <c r="AS595" s="17">
        <v>4057</v>
      </c>
      <c r="AT595" s="17">
        <v>105158</v>
      </c>
      <c r="AU595" s="17">
        <v>9.75</v>
      </c>
      <c r="AV595" s="17">
        <v>2.5499999999999998</v>
      </c>
      <c r="AW595" s="10" t="s">
        <v>105</v>
      </c>
      <c r="AX595" s="17">
        <v>1693</v>
      </c>
      <c r="AY595" s="18">
        <v>25.920138033029332</v>
      </c>
      <c r="AZ595" s="10"/>
      <c r="BA595" s="20" t="b">
        <v>0</v>
      </c>
      <c r="BB595" s="10"/>
      <c r="BC595" s="17">
        <v>5573</v>
      </c>
      <c r="BD595" s="17">
        <v>4057</v>
      </c>
      <c r="BE595" s="17">
        <v>105158</v>
      </c>
      <c r="BF595" s="17">
        <v>2.5499999999999998</v>
      </c>
      <c r="BG595" s="11">
        <f ca="1">IFERROR(__xludf.DUMMYFUNCTION("""COMPUTED_VALUE"""),45895.1041666666)</f>
        <v>45895.104166666599</v>
      </c>
      <c r="BH595" s="17" t="s">
        <v>105</v>
      </c>
      <c r="BI595" s="17"/>
      <c r="BJ595" s="15"/>
      <c r="BK595" s="15"/>
      <c r="BL595" s="13" t="b">
        <v>0</v>
      </c>
      <c r="BM595" s="10"/>
      <c r="BN595" s="10" t="s">
        <v>278</v>
      </c>
      <c r="BO595" s="11">
        <v>45866.101388888892</v>
      </c>
      <c r="BP595" s="11">
        <v>45885.6955787037</v>
      </c>
      <c r="BQ595" s="15">
        <v>45887.792754629627</v>
      </c>
      <c r="BR595" s="15">
        <v>45893.609502314815</v>
      </c>
      <c r="BS595" s="10" t="s">
        <v>278</v>
      </c>
      <c r="BT595" s="10" t="s">
        <v>99</v>
      </c>
      <c r="BU595" s="10" t="s">
        <v>298</v>
      </c>
      <c r="BV595" s="10"/>
      <c r="BW595" s="10"/>
      <c r="BX595" s="10"/>
      <c r="BY595" s="23"/>
      <c r="BZ595" s="23"/>
      <c r="CA595" s="19" t="s">
        <v>5215</v>
      </c>
      <c r="CB595" s="19" t="s">
        <v>5216</v>
      </c>
      <c r="CC595" s="23"/>
      <c r="CD595" s="23"/>
      <c r="CE595" s="23"/>
      <c r="CF595" s="23"/>
      <c r="CG595" s="23"/>
      <c r="CH595" s="23"/>
      <c r="CI595" s="23"/>
    </row>
    <row r="596" spans="1:87" x14ac:dyDescent="0.3">
      <c r="A596" s="9" t="s">
        <v>5217</v>
      </c>
      <c r="B596" s="10" t="s">
        <v>5218</v>
      </c>
      <c r="C596" s="11">
        <v>45897.083333333336</v>
      </c>
      <c r="D596" s="12">
        <v>8.3333333333333329E-2</v>
      </c>
      <c r="E596" s="11">
        <v>45897.166666666664</v>
      </c>
      <c r="F596" s="10" t="s">
        <v>5001</v>
      </c>
      <c r="G596" s="13" t="b">
        <v>0</v>
      </c>
      <c r="H596" s="10" t="s">
        <v>3578</v>
      </c>
      <c r="I596" s="10" t="s">
        <v>89</v>
      </c>
      <c r="J596" s="13" t="b">
        <v>0</v>
      </c>
      <c r="K596" s="13" t="b">
        <v>1</v>
      </c>
      <c r="L596" s="10" t="s">
        <v>124</v>
      </c>
      <c r="M596" s="10" t="s">
        <v>91</v>
      </c>
      <c r="N596" s="10" t="s">
        <v>92</v>
      </c>
      <c r="O596" s="19" t="s">
        <v>5219</v>
      </c>
      <c r="P596" s="10"/>
      <c r="Q596" s="10" t="s">
        <v>126</v>
      </c>
      <c r="R596" s="10"/>
      <c r="S596" s="19" t="s">
        <v>5220</v>
      </c>
      <c r="T596" s="19" t="s">
        <v>5221</v>
      </c>
      <c r="U596" s="10" t="s">
        <v>5066</v>
      </c>
      <c r="V596" s="10" t="s">
        <v>5102</v>
      </c>
      <c r="W596" s="10" t="s">
        <v>5007</v>
      </c>
      <c r="X596" s="10" t="s">
        <v>130</v>
      </c>
      <c r="Y596" s="10" t="s">
        <v>130</v>
      </c>
      <c r="Z596" s="10" t="s">
        <v>99</v>
      </c>
      <c r="AA596" s="10" t="s">
        <v>131</v>
      </c>
      <c r="AB596" s="10" t="s">
        <v>5008</v>
      </c>
      <c r="AC596" s="10" t="s">
        <v>5009</v>
      </c>
      <c r="AD596" s="10" t="s">
        <v>5222</v>
      </c>
      <c r="AE596" s="10" t="s">
        <v>5223</v>
      </c>
      <c r="AF596" s="15"/>
      <c r="AG596" s="10"/>
      <c r="AH596" s="10"/>
      <c r="AI596" s="10"/>
      <c r="AJ596" s="10" t="s">
        <v>5224</v>
      </c>
      <c r="AK596" s="10" t="s">
        <v>102</v>
      </c>
      <c r="AL596" s="10" t="s">
        <v>176</v>
      </c>
      <c r="AM596" s="10"/>
      <c r="AN596" s="10"/>
      <c r="AO596" s="13" t="b">
        <v>0</v>
      </c>
      <c r="AP596" s="10" t="s">
        <v>104</v>
      </c>
      <c r="AQ596" s="10">
        <f ca="1">IFERROR(__xludf.DUMMYFUNCTION("""COMPUTED_VALUE"""),4527686)</f>
        <v>4527686</v>
      </c>
      <c r="AR596" s="17">
        <v>3384</v>
      </c>
      <c r="AS596" s="17">
        <v>2378</v>
      </c>
      <c r="AT596" s="17">
        <v>40073</v>
      </c>
      <c r="AU596" s="17">
        <v>7.5</v>
      </c>
      <c r="AV596" s="17">
        <v>5.5</v>
      </c>
      <c r="AW596" s="10" t="s">
        <v>105</v>
      </c>
      <c r="AX596" s="17">
        <v>757</v>
      </c>
      <c r="AY596" s="18">
        <v>16.851555929352397</v>
      </c>
      <c r="AZ596" s="10" t="s">
        <v>106</v>
      </c>
      <c r="BA596" s="20" t="b">
        <v>0</v>
      </c>
      <c r="BB596" s="10"/>
      <c r="BC596" s="17">
        <v>3384</v>
      </c>
      <c r="BD596" s="17">
        <v>2378</v>
      </c>
      <c r="BE596" s="17">
        <v>40073</v>
      </c>
      <c r="BF596" s="17">
        <v>5.5</v>
      </c>
      <c r="BG596" s="11">
        <f ca="1">IFERROR(__xludf.DUMMYFUNCTION("""COMPUTED_VALUE"""),45897.0833333333)</f>
        <v>45897.083333333299</v>
      </c>
      <c r="BH596" s="17" t="s">
        <v>105</v>
      </c>
      <c r="BI596" s="17"/>
      <c r="BJ596" s="15"/>
      <c r="BK596" s="15"/>
      <c r="BL596" s="13" t="b">
        <v>0</v>
      </c>
      <c r="BM596" s="10"/>
      <c r="BN596" s="10" t="s">
        <v>106</v>
      </c>
      <c r="BO596" s="11">
        <v>45866.101388888892</v>
      </c>
      <c r="BP596" s="11">
        <v>45885.703888888886</v>
      </c>
      <c r="BQ596" s="15">
        <v>45895.582627314812</v>
      </c>
      <c r="BR596" s="15">
        <v>45896.618321759262</v>
      </c>
      <c r="BS596" s="10"/>
      <c r="BT596" s="10"/>
      <c r="BU596" s="10"/>
      <c r="BV596" s="10"/>
      <c r="BW596" s="10"/>
      <c r="BX596" s="10"/>
      <c r="BY596" s="23"/>
      <c r="BZ596" s="23"/>
      <c r="CA596" s="19" t="s">
        <v>5225</v>
      </c>
      <c r="CB596" s="19" t="s">
        <v>5226</v>
      </c>
      <c r="CC596" s="23"/>
      <c r="CD596" s="19" t="s">
        <v>5227</v>
      </c>
      <c r="CE596" s="23"/>
      <c r="CF596" s="23"/>
      <c r="CG596" s="23"/>
      <c r="CH596" s="23"/>
      <c r="CI596" s="23"/>
    </row>
    <row r="597" spans="1:87" x14ac:dyDescent="0.3">
      <c r="A597" s="9" t="s">
        <v>5228</v>
      </c>
      <c r="B597" s="10" t="s">
        <v>5229</v>
      </c>
      <c r="C597" s="11">
        <v>45899.020833333336</v>
      </c>
      <c r="D597" s="12">
        <v>8.3333333333333329E-2</v>
      </c>
      <c r="E597" s="11">
        <v>45899.104166666664</v>
      </c>
      <c r="F597" s="10" t="s">
        <v>5001</v>
      </c>
      <c r="G597" s="13" t="b">
        <v>0</v>
      </c>
      <c r="H597" s="10" t="s">
        <v>3564</v>
      </c>
      <c r="I597" s="10" t="s">
        <v>89</v>
      </c>
      <c r="J597" s="13" t="b">
        <v>0</v>
      </c>
      <c r="K597" s="13" t="b">
        <v>1</v>
      </c>
      <c r="L597" s="10" t="s">
        <v>124</v>
      </c>
      <c r="M597" s="10" t="s">
        <v>91</v>
      </c>
      <c r="N597" s="10" t="s">
        <v>92</v>
      </c>
      <c r="O597" s="19" t="s">
        <v>5230</v>
      </c>
      <c r="P597" s="10"/>
      <c r="Q597" s="10" t="s">
        <v>94</v>
      </c>
      <c r="R597" s="10"/>
      <c r="S597" s="19" t="s">
        <v>5231</v>
      </c>
      <c r="T597" s="19" t="s">
        <v>5232</v>
      </c>
      <c r="U597" s="10" t="s">
        <v>5101</v>
      </c>
      <c r="V597" s="10" t="s">
        <v>5032</v>
      </c>
      <c r="W597" s="10" t="s">
        <v>5007</v>
      </c>
      <c r="X597" s="10" t="s">
        <v>130</v>
      </c>
      <c r="Y597" s="10" t="s">
        <v>130</v>
      </c>
      <c r="Z597" s="10" t="s">
        <v>99</v>
      </c>
      <c r="AA597" s="10" t="s">
        <v>131</v>
      </c>
      <c r="AB597" s="10" t="s">
        <v>5008</v>
      </c>
      <c r="AC597" s="10" t="s">
        <v>5009</v>
      </c>
      <c r="AD597" s="10" t="s">
        <v>5233</v>
      </c>
      <c r="AE597" s="10" t="s">
        <v>5234</v>
      </c>
      <c r="AF597" s="15"/>
      <c r="AG597" s="10"/>
      <c r="AH597" s="10"/>
      <c r="AI597" s="10"/>
      <c r="AJ597" s="10"/>
      <c r="AK597" s="10" t="s">
        <v>102</v>
      </c>
      <c r="AL597" s="10" t="s">
        <v>147</v>
      </c>
      <c r="AM597" s="10"/>
      <c r="AN597" s="10"/>
      <c r="AO597" s="13" t="b">
        <v>0</v>
      </c>
      <c r="AP597" s="10" t="s">
        <v>104</v>
      </c>
      <c r="AQ597" s="10">
        <f ca="1">IFERROR(__xludf.DUMMYFUNCTION("""COMPUTED_VALUE"""),4525631)</f>
        <v>4525631</v>
      </c>
      <c r="AR597" s="17">
        <v>4302</v>
      </c>
      <c r="AS597" s="17">
        <v>3138</v>
      </c>
      <c r="AT597" s="17">
        <v>106667</v>
      </c>
      <c r="AU597" s="17">
        <v>11.3</v>
      </c>
      <c r="AV597" s="17">
        <v>5.45</v>
      </c>
      <c r="AW597" s="10" t="s">
        <v>105</v>
      </c>
      <c r="AX597" s="17">
        <v>1097</v>
      </c>
      <c r="AY597" s="18">
        <v>33.992033142128747</v>
      </c>
      <c r="AZ597" s="10" t="s">
        <v>106</v>
      </c>
      <c r="BA597" s="20" t="b">
        <v>0</v>
      </c>
      <c r="BB597" s="10"/>
      <c r="BC597" s="17">
        <v>4302</v>
      </c>
      <c r="BD597" s="17">
        <v>3138</v>
      </c>
      <c r="BE597" s="17">
        <v>106667</v>
      </c>
      <c r="BF597" s="17">
        <v>5.45</v>
      </c>
      <c r="BG597" s="11">
        <f ca="1">IFERROR(__xludf.DUMMYFUNCTION("""COMPUTED_VALUE"""),45899.0208333333)</f>
        <v>45899.020833333299</v>
      </c>
      <c r="BH597" s="17" t="s">
        <v>105</v>
      </c>
      <c r="BI597" s="17"/>
      <c r="BJ597" s="15"/>
      <c r="BK597" s="15"/>
      <c r="BL597" s="13" t="b">
        <v>0</v>
      </c>
      <c r="BM597" s="10"/>
      <c r="BN597" s="10" t="s">
        <v>106</v>
      </c>
      <c r="BO597" s="11">
        <v>45866.101388888892</v>
      </c>
      <c r="BP597" s="11">
        <v>45875.555613425924</v>
      </c>
      <c r="BQ597" s="15">
        <v>45895.582881944443</v>
      </c>
      <c r="BR597" s="15">
        <v>45895.600856481484</v>
      </c>
      <c r="BS597" s="10"/>
      <c r="BT597" s="10"/>
      <c r="BU597" s="10"/>
      <c r="BV597" s="10"/>
      <c r="BW597" s="10"/>
      <c r="BX597" s="10"/>
      <c r="BY597" s="23"/>
      <c r="BZ597" s="23"/>
      <c r="CA597" s="19" t="s">
        <v>5235</v>
      </c>
      <c r="CB597" s="19" t="s">
        <v>5236</v>
      </c>
      <c r="CC597" s="23"/>
      <c r="CD597" s="23"/>
      <c r="CE597" s="23"/>
      <c r="CF597" s="23"/>
      <c r="CG597" s="23"/>
      <c r="CH597" s="23"/>
      <c r="CI597" s="23"/>
    </row>
    <row r="598" spans="1:87" x14ac:dyDescent="0.3">
      <c r="A598" s="9" t="s">
        <v>5237</v>
      </c>
      <c r="B598" s="10" t="s">
        <v>5238</v>
      </c>
      <c r="C598" s="11">
        <v>45899.104166666664</v>
      </c>
      <c r="D598" s="12">
        <v>8.3333333333333329E-2</v>
      </c>
      <c r="E598" s="11">
        <v>45899.1875</v>
      </c>
      <c r="F598" s="10" t="s">
        <v>5001</v>
      </c>
      <c r="G598" s="13" t="b">
        <v>0</v>
      </c>
      <c r="H598" s="10" t="s">
        <v>5239</v>
      </c>
      <c r="I598" s="10" t="s">
        <v>89</v>
      </c>
      <c r="J598" s="13" t="b">
        <v>0</v>
      </c>
      <c r="K598" s="13" t="b">
        <v>1</v>
      </c>
      <c r="L598" s="10" t="s">
        <v>124</v>
      </c>
      <c r="M598" s="10" t="s">
        <v>91</v>
      </c>
      <c r="N598" s="10" t="s">
        <v>92</v>
      </c>
      <c r="O598" s="19" t="s">
        <v>5240</v>
      </c>
      <c r="P598" s="10"/>
      <c r="Q598" s="10" t="s">
        <v>126</v>
      </c>
      <c r="R598" s="10"/>
      <c r="S598" s="19" t="s">
        <v>5241</v>
      </c>
      <c r="T598" s="19" t="s">
        <v>5232</v>
      </c>
      <c r="U598" s="10" t="s">
        <v>5054</v>
      </c>
      <c r="V598" s="10" t="s">
        <v>5067</v>
      </c>
      <c r="W598" s="10" t="s">
        <v>5007</v>
      </c>
      <c r="X598" s="10" t="s">
        <v>130</v>
      </c>
      <c r="Y598" s="10" t="s">
        <v>130</v>
      </c>
      <c r="Z598" s="10" t="s">
        <v>99</v>
      </c>
      <c r="AA598" s="10" t="s">
        <v>131</v>
      </c>
      <c r="AB598" s="10" t="s">
        <v>5008</v>
      </c>
      <c r="AC598" s="10" t="s">
        <v>5009</v>
      </c>
      <c r="AD598" s="10" t="s">
        <v>5242</v>
      </c>
      <c r="AE598" s="10" t="s">
        <v>5243</v>
      </c>
      <c r="AF598" s="15"/>
      <c r="AG598" s="10"/>
      <c r="AH598" s="10"/>
      <c r="AI598" s="10"/>
      <c r="AJ598" s="10" t="s">
        <v>5244</v>
      </c>
      <c r="AK598" s="10" t="s">
        <v>102</v>
      </c>
      <c r="AL598" s="10" t="s">
        <v>147</v>
      </c>
      <c r="AM598" s="10"/>
      <c r="AN598" s="10"/>
      <c r="AO598" s="13" t="b">
        <v>0</v>
      </c>
      <c r="AP598" s="10" t="s">
        <v>104</v>
      </c>
      <c r="AQ598" s="10">
        <f ca="1">IFERROR(__xludf.DUMMYFUNCTION("""COMPUTED_VALUE"""),4527595)</f>
        <v>4527595</v>
      </c>
      <c r="AR598" s="17">
        <v>4670</v>
      </c>
      <c r="AS598" s="17">
        <v>3676</v>
      </c>
      <c r="AT598" s="17">
        <v>94351.5</v>
      </c>
      <c r="AU598" s="17">
        <v>13</v>
      </c>
      <c r="AV598" s="17">
        <v>3.3</v>
      </c>
      <c r="AW598" s="10" t="s">
        <v>105</v>
      </c>
      <c r="AX598" s="17">
        <v>1381</v>
      </c>
      <c r="AY598" s="18">
        <v>25.666893362350383</v>
      </c>
      <c r="AZ598" s="10" t="s">
        <v>106</v>
      </c>
      <c r="BA598" s="20" t="b">
        <v>0</v>
      </c>
      <c r="BB598" s="10"/>
      <c r="BC598" s="17">
        <v>4670</v>
      </c>
      <c r="BD598" s="17">
        <v>3676</v>
      </c>
      <c r="BE598" s="17">
        <v>94351.5</v>
      </c>
      <c r="BF598" s="17">
        <v>3.3</v>
      </c>
      <c r="BG598" s="11">
        <f ca="1">IFERROR(__xludf.DUMMYFUNCTION("""COMPUTED_VALUE"""),45899.1041666666)</f>
        <v>45899.104166666599</v>
      </c>
      <c r="BH598" s="17" t="s">
        <v>105</v>
      </c>
      <c r="BI598" s="17"/>
      <c r="BJ598" s="15"/>
      <c r="BK598" s="15"/>
      <c r="BL598" s="13" t="b">
        <v>0</v>
      </c>
      <c r="BM598" s="10"/>
      <c r="BN598" s="10" t="s">
        <v>106</v>
      </c>
      <c r="BO598" s="11">
        <v>45866.101388888892</v>
      </c>
      <c r="BP598" s="11">
        <v>45896.458483796298</v>
      </c>
      <c r="BQ598" s="15">
        <v>45895.583020833335</v>
      </c>
      <c r="BR598" s="15">
        <v>45896.519004629627</v>
      </c>
      <c r="BS598" s="10"/>
      <c r="BT598" s="10"/>
      <c r="BU598" s="10"/>
      <c r="BV598" s="10"/>
      <c r="BW598" s="10"/>
      <c r="BX598" s="10"/>
      <c r="BY598" s="23"/>
      <c r="BZ598" s="23"/>
      <c r="CA598" s="19" t="s">
        <v>5245</v>
      </c>
      <c r="CB598" s="19" t="s">
        <v>5246</v>
      </c>
      <c r="CC598" s="23"/>
      <c r="CD598" s="19" t="s">
        <v>5247</v>
      </c>
      <c r="CE598" s="23"/>
      <c r="CF598" s="23"/>
      <c r="CG598" s="23"/>
      <c r="CH598" s="23"/>
      <c r="CI598" s="23"/>
    </row>
    <row r="599" spans="1:87" x14ac:dyDescent="0.3">
      <c r="A599" s="9" t="s">
        <v>5248</v>
      </c>
      <c r="B599" s="10" t="s">
        <v>5249</v>
      </c>
      <c r="C599" s="11">
        <v>45899.916666666664</v>
      </c>
      <c r="D599" s="12">
        <v>8.3333333333333329E-2</v>
      </c>
      <c r="E599" s="11">
        <v>45900</v>
      </c>
      <c r="F599" s="10" t="s">
        <v>5001</v>
      </c>
      <c r="G599" s="13" t="b">
        <v>0</v>
      </c>
      <c r="H599" s="10" t="s">
        <v>3564</v>
      </c>
      <c r="I599" s="10" t="s">
        <v>89</v>
      </c>
      <c r="J599" s="13" t="b">
        <v>0</v>
      </c>
      <c r="K599" s="13" t="b">
        <v>1</v>
      </c>
      <c r="L599" s="10" t="s">
        <v>124</v>
      </c>
      <c r="M599" s="10" t="s">
        <v>91</v>
      </c>
      <c r="N599" s="10" t="s">
        <v>92</v>
      </c>
      <c r="O599" s="19" t="s">
        <v>5250</v>
      </c>
      <c r="P599" s="10"/>
      <c r="Q599" s="10" t="s">
        <v>126</v>
      </c>
      <c r="R599" s="10"/>
      <c r="S599" s="19" t="s">
        <v>5251</v>
      </c>
      <c r="T599" s="19" t="s">
        <v>5232</v>
      </c>
      <c r="U599" s="10" t="s">
        <v>5031</v>
      </c>
      <c r="V599" s="10" t="s">
        <v>5090</v>
      </c>
      <c r="W599" s="10" t="s">
        <v>5007</v>
      </c>
      <c r="X599" s="10" t="s">
        <v>130</v>
      </c>
      <c r="Y599" s="10" t="s">
        <v>130</v>
      </c>
      <c r="Z599" s="10" t="s">
        <v>99</v>
      </c>
      <c r="AA599" s="10" t="s">
        <v>131</v>
      </c>
      <c r="AB599" s="10" t="s">
        <v>5008</v>
      </c>
      <c r="AC599" s="10" t="s">
        <v>5009</v>
      </c>
      <c r="AD599" s="10" t="s">
        <v>5252</v>
      </c>
      <c r="AE599" s="10" t="s">
        <v>5253</v>
      </c>
      <c r="AF599" s="15"/>
      <c r="AG599" s="10"/>
      <c r="AH599" s="10"/>
      <c r="AI599" s="10"/>
      <c r="AJ599" s="10" t="s">
        <v>5254</v>
      </c>
      <c r="AK599" s="10" t="s">
        <v>102</v>
      </c>
      <c r="AL599" s="10" t="s">
        <v>147</v>
      </c>
      <c r="AM599" s="10"/>
      <c r="AN599" s="10"/>
      <c r="AO599" s="13" t="b">
        <v>0</v>
      </c>
      <c r="AP599" s="10" t="s">
        <v>104</v>
      </c>
      <c r="AQ599" s="10">
        <f ca="1">IFERROR(__xludf.DUMMYFUNCTION("""COMPUTED_VALUE"""),4527527)</f>
        <v>4527527</v>
      </c>
      <c r="AR599" s="17">
        <v>29234</v>
      </c>
      <c r="AS599" s="17">
        <v>22640</v>
      </c>
      <c r="AT599" s="17">
        <v>394390.5</v>
      </c>
      <c r="AU599" s="17">
        <v>250.3</v>
      </c>
      <c r="AV599" s="17">
        <v>113.2</v>
      </c>
      <c r="AW599" s="10" t="s">
        <v>105</v>
      </c>
      <c r="AX599" s="17">
        <v>7245</v>
      </c>
      <c r="AY599" s="18">
        <v>17.420075088339221</v>
      </c>
      <c r="AZ599" s="10" t="s">
        <v>106</v>
      </c>
      <c r="BA599" s="20" t="b">
        <v>0</v>
      </c>
      <c r="BB599" s="10"/>
      <c r="BC599" s="17">
        <v>29234</v>
      </c>
      <c r="BD599" s="17">
        <v>22640</v>
      </c>
      <c r="BE599" s="17">
        <v>394390.5</v>
      </c>
      <c r="BF599" s="17">
        <v>113.2</v>
      </c>
      <c r="BG599" s="11">
        <f ca="1">IFERROR(__xludf.DUMMYFUNCTION("""COMPUTED_VALUE"""),45899.9166666666)</f>
        <v>45899.916666666599</v>
      </c>
      <c r="BH599" s="17" t="s">
        <v>105</v>
      </c>
      <c r="BI599" s="17"/>
      <c r="BJ599" s="15"/>
      <c r="BK599" s="15"/>
      <c r="BL599" s="13" t="b">
        <v>0</v>
      </c>
      <c r="BM599" s="10"/>
      <c r="BN599" s="10" t="s">
        <v>157</v>
      </c>
      <c r="BO599" s="11">
        <v>45866.101388888892</v>
      </c>
      <c r="BP599" s="11">
        <v>45895.483946759261</v>
      </c>
      <c r="BQ599" s="15">
        <v>45895.58315972222</v>
      </c>
      <c r="BR599" s="15">
        <v>45896.398819444446</v>
      </c>
      <c r="BS599" s="10" t="s">
        <v>157</v>
      </c>
      <c r="BT599" s="10" t="s">
        <v>99</v>
      </c>
      <c r="BU599" s="10" t="s">
        <v>5081</v>
      </c>
      <c r="BV599" s="10" t="s">
        <v>124</v>
      </c>
      <c r="BW599" s="10"/>
      <c r="BX599" s="10"/>
      <c r="BY599" s="23"/>
      <c r="BZ599" s="23"/>
      <c r="CA599" s="19" t="s">
        <v>5255</v>
      </c>
      <c r="CB599" s="19" t="s">
        <v>5256</v>
      </c>
      <c r="CC599" s="23"/>
      <c r="CD599" s="19" t="s">
        <v>5257</v>
      </c>
      <c r="CE599" s="23"/>
      <c r="CF599" s="23"/>
      <c r="CG599" s="23"/>
      <c r="CH599" s="23"/>
      <c r="CI599" s="23"/>
    </row>
    <row r="600" spans="1:87" x14ac:dyDescent="0.3">
      <c r="A600" s="9" t="s">
        <v>5258</v>
      </c>
      <c r="B600" s="10" t="s">
        <v>5259</v>
      </c>
      <c r="C600" s="11">
        <v>45900</v>
      </c>
      <c r="D600" s="12">
        <v>8.3333333333333329E-2</v>
      </c>
      <c r="E600" s="11">
        <v>45900.083333333336</v>
      </c>
      <c r="F600" s="10" t="s">
        <v>5001</v>
      </c>
      <c r="G600" s="13" t="b">
        <v>0</v>
      </c>
      <c r="H600" s="10" t="s">
        <v>3564</v>
      </c>
      <c r="I600" s="10" t="s">
        <v>89</v>
      </c>
      <c r="J600" s="13" t="b">
        <v>0</v>
      </c>
      <c r="K600" s="13" t="b">
        <v>1</v>
      </c>
      <c r="L600" s="10" t="s">
        <v>124</v>
      </c>
      <c r="M600" s="10" t="s">
        <v>91</v>
      </c>
      <c r="N600" s="10" t="s">
        <v>92</v>
      </c>
      <c r="O600" s="19" t="s">
        <v>5260</v>
      </c>
      <c r="P600" s="10"/>
      <c r="Q600" s="10" t="s">
        <v>126</v>
      </c>
      <c r="R600" s="10"/>
      <c r="S600" s="19" t="s">
        <v>5261</v>
      </c>
      <c r="T600" s="19" t="s">
        <v>5232</v>
      </c>
      <c r="U600" s="10" t="s">
        <v>5019</v>
      </c>
      <c r="V600" s="10" t="s">
        <v>5055</v>
      </c>
      <c r="W600" s="10" t="s">
        <v>5007</v>
      </c>
      <c r="X600" s="10" t="s">
        <v>130</v>
      </c>
      <c r="Y600" s="10" t="s">
        <v>130</v>
      </c>
      <c r="Z600" s="10" t="s">
        <v>99</v>
      </c>
      <c r="AA600" s="10" t="s">
        <v>131</v>
      </c>
      <c r="AB600" s="10" t="s">
        <v>5008</v>
      </c>
      <c r="AC600" s="10" t="s">
        <v>5009</v>
      </c>
      <c r="AD600" s="10" t="s">
        <v>5262</v>
      </c>
      <c r="AE600" s="10" t="s">
        <v>5263</v>
      </c>
      <c r="AF600" s="15"/>
      <c r="AG600" s="10"/>
      <c r="AH600" s="10"/>
      <c r="AI600" s="10"/>
      <c r="AJ600" s="10" t="s">
        <v>5264</v>
      </c>
      <c r="AK600" s="10" t="s">
        <v>102</v>
      </c>
      <c r="AL600" s="10" t="s">
        <v>147</v>
      </c>
      <c r="AM600" s="10"/>
      <c r="AN600" s="10"/>
      <c r="AO600" s="13" t="b">
        <v>0</v>
      </c>
      <c r="AP600" s="10" t="s">
        <v>104</v>
      </c>
      <c r="AQ600" s="10">
        <f ca="1">IFERROR(__xludf.DUMMYFUNCTION("""COMPUTED_VALUE"""),4527530)</f>
        <v>4527530</v>
      </c>
      <c r="AR600" s="17">
        <v>7679</v>
      </c>
      <c r="AS600" s="17">
        <v>5842</v>
      </c>
      <c r="AT600" s="17">
        <v>145089.75</v>
      </c>
      <c r="AU600" s="17">
        <v>23.1</v>
      </c>
      <c r="AV600" s="17">
        <v>12.85</v>
      </c>
      <c r="AW600" s="10" t="s">
        <v>105</v>
      </c>
      <c r="AX600" s="17">
        <v>6516</v>
      </c>
      <c r="AY600" s="18">
        <v>24.835629921259841</v>
      </c>
      <c r="AZ600" s="10" t="s">
        <v>106</v>
      </c>
      <c r="BA600" s="20" t="b">
        <v>0</v>
      </c>
      <c r="BB600" s="10"/>
      <c r="BC600" s="17">
        <v>7679</v>
      </c>
      <c r="BD600" s="17">
        <v>5842</v>
      </c>
      <c r="BE600" s="17">
        <v>145089.75</v>
      </c>
      <c r="BF600" s="17">
        <v>12.85</v>
      </c>
      <c r="BG600" s="11">
        <f ca="1">IFERROR(__xludf.DUMMYFUNCTION("""COMPUTED_VALUE"""),45900)</f>
        <v>45900</v>
      </c>
      <c r="BH600" s="17" t="s">
        <v>105</v>
      </c>
      <c r="BI600" s="17"/>
      <c r="BJ600" s="15"/>
      <c r="BK600" s="15"/>
      <c r="BL600" s="13" t="b">
        <v>0</v>
      </c>
      <c r="BM600" s="10"/>
      <c r="BN600" s="10" t="s">
        <v>106</v>
      </c>
      <c r="BO600" s="11">
        <v>45866.101388888892</v>
      </c>
      <c r="BP600" s="11">
        <v>45895.537905092591</v>
      </c>
      <c r="BQ600" s="15">
        <v>45895.583472222221</v>
      </c>
      <c r="BR600" s="15">
        <v>45896.414699074077</v>
      </c>
      <c r="BS600" s="10"/>
      <c r="BT600" s="10"/>
      <c r="BU600" s="10"/>
      <c r="BV600" s="10"/>
      <c r="BW600" s="10"/>
      <c r="BX600" s="10"/>
      <c r="BY600" s="23"/>
      <c r="BZ600" s="23"/>
      <c r="CA600" s="19" t="s">
        <v>5265</v>
      </c>
      <c r="CB600" s="19" t="s">
        <v>5266</v>
      </c>
      <c r="CC600" s="23"/>
      <c r="CD600" s="19" t="s">
        <v>5267</v>
      </c>
      <c r="CE600" s="23"/>
      <c r="CF600" s="23"/>
      <c r="CG600" s="23"/>
      <c r="CH600" s="23"/>
      <c r="CI600" s="23"/>
    </row>
    <row r="601" spans="1:87" x14ac:dyDescent="0.3">
      <c r="A601" s="9" t="s">
        <v>5268</v>
      </c>
      <c r="B601" s="10" t="s">
        <v>5269</v>
      </c>
      <c r="C601" s="11">
        <v>45900.020833333336</v>
      </c>
      <c r="D601" s="12">
        <v>8.3333333333333329E-2</v>
      </c>
      <c r="E601" s="11">
        <v>45900.104166666664</v>
      </c>
      <c r="F601" s="10" t="s">
        <v>5001</v>
      </c>
      <c r="G601" s="13" t="b">
        <v>0</v>
      </c>
      <c r="H601" s="10" t="s">
        <v>5239</v>
      </c>
      <c r="I601" s="10" t="s">
        <v>89</v>
      </c>
      <c r="J601" s="13" t="b">
        <v>0</v>
      </c>
      <c r="K601" s="13" t="b">
        <v>1</v>
      </c>
      <c r="L601" s="10" t="s">
        <v>124</v>
      </c>
      <c r="M601" s="10" t="s">
        <v>91</v>
      </c>
      <c r="N601" s="10" t="s">
        <v>92</v>
      </c>
      <c r="O601" s="19" t="s">
        <v>5270</v>
      </c>
      <c r="P601" s="10"/>
      <c r="Q601" s="10" t="s">
        <v>126</v>
      </c>
      <c r="R601" s="10"/>
      <c r="S601" s="19" t="s">
        <v>5271</v>
      </c>
      <c r="T601" s="19" t="s">
        <v>5232</v>
      </c>
      <c r="U601" s="10" t="s">
        <v>5005</v>
      </c>
      <c r="V601" s="10" t="s">
        <v>5077</v>
      </c>
      <c r="W601" s="10" t="s">
        <v>5007</v>
      </c>
      <c r="X601" s="10" t="s">
        <v>130</v>
      </c>
      <c r="Y601" s="10" t="s">
        <v>130</v>
      </c>
      <c r="Z601" s="10" t="s">
        <v>99</v>
      </c>
      <c r="AA601" s="10" t="s">
        <v>131</v>
      </c>
      <c r="AB601" s="10" t="s">
        <v>5008</v>
      </c>
      <c r="AC601" s="10" t="s">
        <v>5009</v>
      </c>
      <c r="AD601" s="10" t="s">
        <v>5272</v>
      </c>
      <c r="AE601" s="10" t="s">
        <v>5273</v>
      </c>
      <c r="AF601" s="15"/>
      <c r="AG601" s="10"/>
      <c r="AH601" s="10"/>
      <c r="AI601" s="10"/>
      <c r="AJ601" s="10" t="s">
        <v>5274</v>
      </c>
      <c r="AK601" s="10" t="s">
        <v>102</v>
      </c>
      <c r="AL601" s="10" t="s">
        <v>147</v>
      </c>
      <c r="AM601" s="10"/>
      <c r="AN601" s="10"/>
      <c r="AO601" s="13" t="b">
        <v>0</v>
      </c>
      <c r="AP601" s="10" t="s">
        <v>104</v>
      </c>
      <c r="AQ601" s="10">
        <f ca="1">IFERROR(__xludf.DUMMYFUNCTION("""COMPUTED_VALUE"""),4527598)</f>
        <v>4527598</v>
      </c>
      <c r="AR601" s="17">
        <v>6162</v>
      </c>
      <c r="AS601" s="17">
        <v>4901</v>
      </c>
      <c r="AT601" s="17">
        <v>83836</v>
      </c>
      <c r="AU601" s="17">
        <v>19</v>
      </c>
      <c r="AV601" s="17">
        <v>7.95</v>
      </c>
      <c r="AW601" s="10" t="s">
        <v>105</v>
      </c>
      <c r="AX601" s="17">
        <v>1388</v>
      </c>
      <c r="AY601" s="18">
        <v>17.105896755764128</v>
      </c>
      <c r="AZ601" s="10" t="s">
        <v>106</v>
      </c>
      <c r="BA601" s="20" t="b">
        <v>0</v>
      </c>
      <c r="BB601" s="10"/>
      <c r="BC601" s="17">
        <v>6162</v>
      </c>
      <c r="BD601" s="17">
        <v>4901</v>
      </c>
      <c r="BE601" s="17">
        <v>83836</v>
      </c>
      <c r="BF601" s="17">
        <v>7.95</v>
      </c>
      <c r="BG601" s="11">
        <f ca="1">IFERROR(__xludf.DUMMYFUNCTION("""COMPUTED_VALUE"""),45900.0208333333)</f>
        <v>45900.020833333299</v>
      </c>
      <c r="BH601" s="17" t="s">
        <v>105</v>
      </c>
      <c r="BI601" s="17"/>
      <c r="BJ601" s="15"/>
      <c r="BK601" s="15"/>
      <c r="BL601" s="13" t="b">
        <v>0</v>
      </c>
      <c r="BM601" s="10"/>
      <c r="BN601" s="10" t="s">
        <v>106</v>
      </c>
      <c r="BO601" s="11">
        <v>45866.101388888892</v>
      </c>
      <c r="BP601" s="11">
        <v>45896.458587962959</v>
      </c>
      <c r="BQ601" s="15">
        <v>45895.583645833336</v>
      </c>
      <c r="BR601" s="15">
        <v>45896.518842592595</v>
      </c>
      <c r="BS601" s="10"/>
      <c r="BT601" s="10"/>
      <c r="BU601" s="10"/>
      <c r="BV601" s="10"/>
      <c r="BW601" s="10"/>
      <c r="BX601" s="10"/>
      <c r="BY601" s="23"/>
      <c r="BZ601" s="23"/>
      <c r="CA601" s="19" t="s">
        <v>5275</v>
      </c>
      <c r="CB601" s="19" t="s">
        <v>5276</v>
      </c>
      <c r="CC601" s="23"/>
      <c r="CD601" s="19" t="s">
        <v>5277</v>
      </c>
      <c r="CE601" s="23"/>
      <c r="CF601" s="23"/>
      <c r="CG601" s="23"/>
      <c r="CH601" s="23"/>
      <c r="CI601" s="23"/>
    </row>
    <row r="602" spans="1:87" x14ac:dyDescent="0.3">
      <c r="A602" s="9" t="s">
        <v>5278</v>
      </c>
      <c r="B602" s="10" t="s">
        <v>5279</v>
      </c>
      <c r="C602" s="11">
        <v>45900.104166666664</v>
      </c>
      <c r="D602" s="12">
        <v>8.3333333333333329E-2</v>
      </c>
      <c r="E602" s="11">
        <v>45900.1875</v>
      </c>
      <c r="F602" s="10" t="s">
        <v>5001</v>
      </c>
      <c r="G602" s="13" t="b">
        <v>0</v>
      </c>
      <c r="H602" s="10" t="s">
        <v>5239</v>
      </c>
      <c r="I602" s="10" t="s">
        <v>89</v>
      </c>
      <c r="J602" s="13" t="b">
        <v>0</v>
      </c>
      <c r="K602" s="13" t="b">
        <v>1</v>
      </c>
      <c r="L602" s="10" t="s">
        <v>124</v>
      </c>
      <c r="M602" s="10" t="s">
        <v>91</v>
      </c>
      <c r="N602" s="10" t="s">
        <v>92</v>
      </c>
      <c r="O602" s="19" t="s">
        <v>5280</v>
      </c>
      <c r="P602" s="10"/>
      <c r="Q602" s="10" t="s">
        <v>126</v>
      </c>
      <c r="R602" s="10"/>
      <c r="S602" s="19" t="s">
        <v>5281</v>
      </c>
      <c r="T602" s="19" t="s">
        <v>5232</v>
      </c>
      <c r="U602" s="10" t="s">
        <v>5113</v>
      </c>
      <c r="V602" s="10" t="s">
        <v>5041</v>
      </c>
      <c r="W602" s="10" t="s">
        <v>5007</v>
      </c>
      <c r="X602" s="10" t="s">
        <v>130</v>
      </c>
      <c r="Y602" s="10" t="s">
        <v>130</v>
      </c>
      <c r="Z602" s="10" t="s">
        <v>99</v>
      </c>
      <c r="AA602" s="10" t="s">
        <v>131</v>
      </c>
      <c r="AB602" s="10" t="s">
        <v>5008</v>
      </c>
      <c r="AC602" s="10" t="s">
        <v>5009</v>
      </c>
      <c r="AD602" s="10" t="s">
        <v>5282</v>
      </c>
      <c r="AE602" s="10" t="s">
        <v>5283</v>
      </c>
      <c r="AF602" s="15"/>
      <c r="AG602" s="10"/>
      <c r="AH602" s="10"/>
      <c r="AI602" s="10"/>
      <c r="AJ602" s="10" t="s">
        <v>5284</v>
      </c>
      <c r="AK602" s="10" t="s">
        <v>102</v>
      </c>
      <c r="AL602" s="10" t="s">
        <v>147</v>
      </c>
      <c r="AM602" s="10"/>
      <c r="AN602" s="10"/>
      <c r="AO602" s="13" t="b">
        <v>1</v>
      </c>
      <c r="AP602" s="10" t="s">
        <v>104</v>
      </c>
      <c r="AQ602" s="10">
        <f ca="1">IFERROR(__xludf.DUMMYFUNCTION("""COMPUTED_VALUE"""),4527601)</f>
        <v>4527601</v>
      </c>
      <c r="AR602" s="17">
        <v>79984</v>
      </c>
      <c r="AS602" s="17">
        <v>51080</v>
      </c>
      <c r="AT602" s="17">
        <v>2725713</v>
      </c>
      <c r="AU602" s="17">
        <v>1064.3499999999999</v>
      </c>
      <c r="AV602" s="17">
        <v>469.9</v>
      </c>
      <c r="AW602" s="10" t="s">
        <v>105</v>
      </c>
      <c r="AX602" s="17">
        <v>25768</v>
      </c>
      <c r="AY602" s="18">
        <v>53.361648394675022</v>
      </c>
      <c r="AZ602" s="10" t="s">
        <v>106</v>
      </c>
      <c r="BA602" s="20" t="b">
        <v>0</v>
      </c>
      <c r="BB602" s="10"/>
      <c r="BC602" s="17">
        <v>79984</v>
      </c>
      <c r="BD602" s="17">
        <v>51080</v>
      </c>
      <c r="BE602" s="17">
        <v>2725713</v>
      </c>
      <c r="BF602" s="17">
        <v>469.9</v>
      </c>
      <c r="BG602" s="11">
        <f ca="1">IFERROR(__xludf.DUMMYFUNCTION("""COMPUTED_VALUE"""),45900.1041666666)</f>
        <v>45900.104166666599</v>
      </c>
      <c r="BH602" s="17" t="s">
        <v>105</v>
      </c>
      <c r="BI602" s="17"/>
      <c r="BJ602" s="15"/>
      <c r="BK602" s="15"/>
      <c r="BL602" s="13" t="b">
        <v>0</v>
      </c>
      <c r="BM602" s="10"/>
      <c r="BN602" s="10" t="s">
        <v>197</v>
      </c>
      <c r="BO602" s="11">
        <v>45866.101388888892</v>
      </c>
      <c r="BP602" s="11">
        <v>45896.458761574075</v>
      </c>
      <c r="BQ602" s="15">
        <v>45895.583796296298</v>
      </c>
      <c r="BR602" s="15">
        <v>45896.519212962965</v>
      </c>
      <c r="BS602" s="10" t="s">
        <v>197</v>
      </c>
      <c r="BT602" s="10" t="s">
        <v>99</v>
      </c>
      <c r="BU602" s="10" t="s">
        <v>655</v>
      </c>
      <c r="BV602" s="10" t="s">
        <v>124</v>
      </c>
      <c r="BW602" s="10"/>
      <c r="BX602" s="10"/>
      <c r="BY602" s="23"/>
      <c r="BZ602" s="23"/>
      <c r="CA602" s="19" t="s">
        <v>5285</v>
      </c>
      <c r="CB602" s="19" t="s">
        <v>5286</v>
      </c>
      <c r="CC602" s="23"/>
      <c r="CD602" s="19" t="s">
        <v>5287</v>
      </c>
      <c r="CE602" s="23"/>
      <c r="CF602" s="23"/>
      <c r="CG602" s="23"/>
      <c r="CH602" s="23"/>
      <c r="CI602" s="23"/>
    </row>
    <row r="603" spans="1:87" x14ac:dyDescent="0.3">
      <c r="A603" s="9" t="s">
        <v>5288</v>
      </c>
      <c r="B603" s="10" t="s">
        <v>5289</v>
      </c>
      <c r="C603" s="11">
        <v>45900.916666666664</v>
      </c>
      <c r="D603" s="12">
        <v>8.3333333333333329E-2</v>
      </c>
      <c r="E603" s="11">
        <v>45901</v>
      </c>
      <c r="F603" s="10" t="s">
        <v>5001</v>
      </c>
      <c r="G603" s="13" t="b">
        <v>0</v>
      </c>
      <c r="H603" s="10" t="s">
        <v>3564</v>
      </c>
      <c r="I603" s="10" t="s">
        <v>89</v>
      </c>
      <c r="J603" s="13" t="b">
        <v>0</v>
      </c>
      <c r="K603" s="13" t="b">
        <v>1</v>
      </c>
      <c r="L603" s="10" t="s">
        <v>124</v>
      </c>
      <c r="M603" s="10" t="s">
        <v>91</v>
      </c>
      <c r="N603" s="10" t="s">
        <v>92</v>
      </c>
      <c r="O603" s="19" t="s">
        <v>5290</v>
      </c>
      <c r="P603" s="10"/>
      <c r="Q603" s="10" t="s">
        <v>126</v>
      </c>
      <c r="R603" s="10"/>
      <c r="S603" s="19" t="s">
        <v>5291</v>
      </c>
      <c r="T603" s="19" t="s">
        <v>5232</v>
      </c>
      <c r="U603" s="10" t="s">
        <v>5066</v>
      </c>
      <c r="V603" s="10" t="s">
        <v>5018</v>
      </c>
      <c r="W603" s="10" t="s">
        <v>5007</v>
      </c>
      <c r="X603" s="10" t="s">
        <v>130</v>
      </c>
      <c r="Y603" s="10" t="s">
        <v>130</v>
      </c>
      <c r="Z603" s="10" t="s">
        <v>99</v>
      </c>
      <c r="AA603" s="10" t="s">
        <v>131</v>
      </c>
      <c r="AB603" s="10" t="s">
        <v>5008</v>
      </c>
      <c r="AC603" s="10" t="s">
        <v>5009</v>
      </c>
      <c r="AD603" s="10" t="s">
        <v>5292</v>
      </c>
      <c r="AE603" s="10" t="s">
        <v>5293</v>
      </c>
      <c r="AF603" s="15"/>
      <c r="AG603" s="10"/>
      <c r="AH603" s="10"/>
      <c r="AI603" s="10"/>
      <c r="AJ603" s="10" t="s">
        <v>5294</v>
      </c>
      <c r="AK603" s="10" t="s">
        <v>102</v>
      </c>
      <c r="AL603" s="10" t="s">
        <v>147</v>
      </c>
      <c r="AM603" s="10"/>
      <c r="AN603" s="10"/>
      <c r="AO603" s="13" t="b">
        <v>0</v>
      </c>
      <c r="AP603" s="10" t="s">
        <v>104</v>
      </c>
      <c r="AQ603" s="10">
        <f ca="1">IFERROR(__xludf.DUMMYFUNCTION("""COMPUTED_VALUE"""),4527535)</f>
        <v>4527535</v>
      </c>
      <c r="AR603" s="17">
        <v>15553</v>
      </c>
      <c r="AS603" s="17">
        <v>11922</v>
      </c>
      <c r="AT603" s="17">
        <v>183803.75</v>
      </c>
      <c r="AU603" s="17">
        <v>105.8</v>
      </c>
      <c r="AV603" s="17">
        <v>53.45</v>
      </c>
      <c r="AW603" s="10" t="s">
        <v>105</v>
      </c>
      <c r="AX603" s="17">
        <v>3203</v>
      </c>
      <c r="AY603" s="18">
        <v>15.417190907565844</v>
      </c>
      <c r="AZ603" s="10" t="s">
        <v>106</v>
      </c>
      <c r="BA603" s="20" t="b">
        <v>0</v>
      </c>
      <c r="BB603" s="10"/>
      <c r="BC603" s="17">
        <v>15553</v>
      </c>
      <c r="BD603" s="17">
        <v>11922</v>
      </c>
      <c r="BE603" s="17">
        <v>183803.75</v>
      </c>
      <c r="BF603" s="17">
        <v>53.45</v>
      </c>
      <c r="BG603" s="11">
        <f ca="1">IFERROR(__xludf.DUMMYFUNCTION("""COMPUTED_VALUE"""),45900.9166666666)</f>
        <v>45900.916666666599</v>
      </c>
      <c r="BH603" s="17" t="s">
        <v>105</v>
      </c>
      <c r="BI603" s="17"/>
      <c r="BJ603" s="15"/>
      <c r="BK603" s="15"/>
      <c r="BL603" s="13" t="b">
        <v>0</v>
      </c>
      <c r="BM603" s="10"/>
      <c r="BN603" s="10" t="s">
        <v>106</v>
      </c>
      <c r="BO603" s="11">
        <v>45866.101388888892</v>
      </c>
      <c r="BP603" s="11">
        <v>45895.555891203701</v>
      </c>
      <c r="BQ603" s="15">
        <v>45895.58394675926</v>
      </c>
      <c r="BR603" s="15">
        <v>45896.422951388886</v>
      </c>
      <c r="BS603" s="10"/>
      <c r="BT603" s="10"/>
      <c r="BU603" s="10"/>
      <c r="BV603" s="10"/>
      <c r="BW603" s="10"/>
      <c r="BX603" s="10"/>
      <c r="BY603" s="23"/>
      <c r="BZ603" s="23"/>
      <c r="CA603" s="19" t="s">
        <v>5295</v>
      </c>
      <c r="CB603" s="19" t="s">
        <v>5296</v>
      </c>
      <c r="CC603" s="23"/>
      <c r="CD603" s="19" t="s">
        <v>5297</v>
      </c>
      <c r="CE603" s="23"/>
      <c r="CF603" s="23"/>
      <c r="CG603" s="23"/>
      <c r="CH603" s="23"/>
      <c r="CI603" s="23"/>
    </row>
    <row r="604" spans="1:87" x14ac:dyDescent="0.3">
      <c r="A604" s="9" t="s">
        <v>5298</v>
      </c>
      <c r="B604" s="10" t="s">
        <v>5299</v>
      </c>
      <c r="C604" s="11">
        <v>45901</v>
      </c>
      <c r="D604" s="12">
        <v>8.3333333333333329E-2</v>
      </c>
      <c r="E604" s="11">
        <v>45901.083333333336</v>
      </c>
      <c r="F604" s="10" t="s">
        <v>5001</v>
      </c>
      <c r="G604" s="13" t="b">
        <v>0</v>
      </c>
      <c r="H604" s="10" t="s">
        <v>5239</v>
      </c>
      <c r="I604" s="10" t="s">
        <v>89</v>
      </c>
      <c r="J604" s="13" t="b">
        <v>0</v>
      </c>
      <c r="K604" s="13" t="b">
        <v>1</v>
      </c>
      <c r="L604" s="10" t="s">
        <v>124</v>
      </c>
      <c r="M604" s="10" t="s">
        <v>91</v>
      </c>
      <c r="N604" s="10" t="s">
        <v>92</v>
      </c>
      <c r="O604" s="19" t="s">
        <v>5300</v>
      </c>
      <c r="P604" s="10"/>
      <c r="Q604" s="10" t="s">
        <v>126</v>
      </c>
      <c r="R604" s="10"/>
      <c r="S604" s="19" t="s">
        <v>5301</v>
      </c>
      <c r="T604" s="19" t="s">
        <v>5232</v>
      </c>
      <c r="U604" s="10" t="s">
        <v>5102</v>
      </c>
      <c r="V604" s="10" t="s">
        <v>5076</v>
      </c>
      <c r="W604" s="10" t="s">
        <v>5007</v>
      </c>
      <c r="X604" s="10" t="s">
        <v>130</v>
      </c>
      <c r="Y604" s="10" t="s">
        <v>130</v>
      </c>
      <c r="Z604" s="10" t="s">
        <v>99</v>
      </c>
      <c r="AA604" s="10" t="s">
        <v>131</v>
      </c>
      <c r="AB604" s="10" t="s">
        <v>5008</v>
      </c>
      <c r="AC604" s="10" t="s">
        <v>5009</v>
      </c>
      <c r="AD604" s="10" t="s">
        <v>5302</v>
      </c>
      <c r="AE604" s="10" t="s">
        <v>5303</v>
      </c>
      <c r="AF604" s="15"/>
      <c r="AG604" s="10"/>
      <c r="AH604" s="10"/>
      <c r="AI604" s="10"/>
      <c r="AJ604" s="10" t="s">
        <v>5304</v>
      </c>
      <c r="AK604" s="10" t="s">
        <v>102</v>
      </c>
      <c r="AL604" s="10" t="s">
        <v>147</v>
      </c>
      <c r="AM604" s="10"/>
      <c r="AN604" s="10"/>
      <c r="AO604" s="13" t="b">
        <v>0</v>
      </c>
      <c r="AP604" s="10" t="s">
        <v>104</v>
      </c>
      <c r="AQ604" s="10">
        <f ca="1">IFERROR(__xludf.DUMMYFUNCTION("""COMPUTED_VALUE"""),4527659)</f>
        <v>4527659</v>
      </c>
      <c r="AR604" s="17">
        <v>9983</v>
      </c>
      <c r="AS604" s="17">
        <v>7809</v>
      </c>
      <c r="AT604" s="17">
        <v>174903.5</v>
      </c>
      <c r="AU604" s="17">
        <v>58.1</v>
      </c>
      <c r="AV604" s="17">
        <v>29.75</v>
      </c>
      <c r="AW604" s="10" t="s">
        <v>105</v>
      </c>
      <c r="AX604" s="17">
        <v>2572</v>
      </c>
      <c r="AY604" s="18">
        <v>22.397682161608401</v>
      </c>
      <c r="AZ604" s="10" t="s">
        <v>106</v>
      </c>
      <c r="BA604" s="20" t="b">
        <v>0</v>
      </c>
      <c r="BB604" s="10"/>
      <c r="BC604" s="17">
        <v>9983</v>
      </c>
      <c r="BD604" s="17">
        <v>7809</v>
      </c>
      <c r="BE604" s="17">
        <v>174903.5</v>
      </c>
      <c r="BF604" s="17">
        <v>29.75</v>
      </c>
      <c r="BG604" s="11">
        <f ca="1">IFERROR(__xludf.DUMMYFUNCTION("""COMPUTED_VALUE"""),45901)</f>
        <v>45901</v>
      </c>
      <c r="BH604" s="17" t="s">
        <v>105</v>
      </c>
      <c r="BI604" s="17"/>
      <c r="BJ604" s="15"/>
      <c r="BK604" s="15"/>
      <c r="BL604" s="13" t="b">
        <v>0</v>
      </c>
      <c r="BM604" s="10"/>
      <c r="BN604" s="10" t="s">
        <v>106</v>
      </c>
      <c r="BO604" s="11">
        <v>45866.101388888892</v>
      </c>
      <c r="BP604" s="11">
        <v>45896.459004629629</v>
      </c>
      <c r="BQ604" s="15">
        <v>45895.584247685183</v>
      </c>
      <c r="BR604" s="15">
        <v>45896.558472222219</v>
      </c>
      <c r="BS604" s="10"/>
      <c r="BT604" s="10"/>
      <c r="BU604" s="10"/>
      <c r="BV604" s="10" t="s">
        <v>4315</v>
      </c>
      <c r="BW604" s="10"/>
      <c r="BX604" s="10"/>
      <c r="BY604" s="23"/>
      <c r="BZ604" s="23"/>
      <c r="CA604" s="19" t="s">
        <v>5305</v>
      </c>
      <c r="CB604" s="19" t="s">
        <v>5306</v>
      </c>
      <c r="CC604" s="23"/>
      <c r="CD604" s="19" t="s">
        <v>5307</v>
      </c>
      <c r="CE604" s="23"/>
      <c r="CF604" s="23"/>
      <c r="CG604" s="23"/>
      <c r="CH604" s="23"/>
      <c r="CI604" s="23"/>
    </row>
    <row r="605" spans="1:87" x14ac:dyDescent="0.3">
      <c r="A605" s="9" t="s">
        <v>5308</v>
      </c>
      <c r="B605" s="10" t="s">
        <v>5309</v>
      </c>
      <c r="C605" s="11">
        <v>45901.020833333336</v>
      </c>
      <c r="D605" s="12">
        <v>8.3333333333333329E-2</v>
      </c>
      <c r="E605" s="11">
        <v>45901.104166666664</v>
      </c>
      <c r="F605" s="10" t="s">
        <v>5001</v>
      </c>
      <c r="G605" s="13" t="b">
        <v>0</v>
      </c>
      <c r="H605" s="10" t="s">
        <v>3564</v>
      </c>
      <c r="I605" s="10" t="s">
        <v>89</v>
      </c>
      <c r="J605" s="13" t="b">
        <v>0</v>
      </c>
      <c r="K605" s="13" t="b">
        <v>1</v>
      </c>
      <c r="L605" s="10" t="s">
        <v>124</v>
      </c>
      <c r="M605" s="10" t="s">
        <v>91</v>
      </c>
      <c r="N605" s="10" t="s">
        <v>92</v>
      </c>
      <c r="O605" s="19" t="s">
        <v>5310</v>
      </c>
      <c r="P605" s="10"/>
      <c r="Q605" s="10" t="s">
        <v>94</v>
      </c>
      <c r="R605" s="10"/>
      <c r="S605" s="19" t="s">
        <v>5311</v>
      </c>
      <c r="T605" s="19" t="s">
        <v>5232</v>
      </c>
      <c r="U605" s="10" t="s">
        <v>5089</v>
      </c>
      <c r="V605" s="10" t="s">
        <v>5114</v>
      </c>
      <c r="W605" s="10" t="s">
        <v>5007</v>
      </c>
      <c r="X605" s="10" t="s">
        <v>130</v>
      </c>
      <c r="Y605" s="10" t="s">
        <v>130</v>
      </c>
      <c r="Z605" s="10" t="s">
        <v>99</v>
      </c>
      <c r="AA605" s="10" t="s">
        <v>131</v>
      </c>
      <c r="AB605" s="10" t="s">
        <v>5008</v>
      </c>
      <c r="AC605" s="10" t="s">
        <v>5009</v>
      </c>
      <c r="AD605" s="10" t="s">
        <v>5312</v>
      </c>
      <c r="AE605" s="10" t="s">
        <v>5313</v>
      </c>
      <c r="AF605" s="15"/>
      <c r="AG605" s="10"/>
      <c r="AH605" s="10"/>
      <c r="AI605" s="10"/>
      <c r="AJ605" s="10"/>
      <c r="AK605" s="10" t="s">
        <v>102</v>
      </c>
      <c r="AL605" s="10" t="s">
        <v>147</v>
      </c>
      <c r="AM605" s="10"/>
      <c r="AN605" s="10"/>
      <c r="AO605" s="13" t="b">
        <v>0</v>
      </c>
      <c r="AP605" s="10" t="s">
        <v>104</v>
      </c>
      <c r="AQ605" s="10">
        <f ca="1">IFERROR(__xludf.DUMMYFUNCTION("""COMPUTED_VALUE"""),4537169)</f>
        <v>4537169</v>
      </c>
      <c r="AR605" s="17">
        <v>3448</v>
      </c>
      <c r="AS605" s="17">
        <v>2661</v>
      </c>
      <c r="AT605" s="17">
        <v>47285</v>
      </c>
      <c r="AU605" s="17">
        <v>8.65</v>
      </c>
      <c r="AV605" s="17">
        <v>3</v>
      </c>
      <c r="AW605" s="10" t="s">
        <v>105</v>
      </c>
      <c r="AX605" s="17">
        <v>1003</v>
      </c>
      <c r="AY605" s="18">
        <v>17.769635475385194</v>
      </c>
      <c r="AZ605" s="10" t="s">
        <v>106</v>
      </c>
      <c r="BA605" s="20" t="b">
        <v>0</v>
      </c>
      <c r="BB605" s="10"/>
      <c r="BC605" s="17">
        <v>3448</v>
      </c>
      <c r="BD605" s="17">
        <v>2661</v>
      </c>
      <c r="BE605" s="17">
        <v>47285</v>
      </c>
      <c r="BF605" s="17">
        <v>3</v>
      </c>
      <c r="BG605" s="11">
        <f ca="1">IFERROR(__xludf.DUMMYFUNCTION("""COMPUTED_VALUE"""),45901.0208333333)</f>
        <v>45901.020833333299</v>
      </c>
      <c r="BH605" s="17" t="s">
        <v>105</v>
      </c>
      <c r="BI605" s="17"/>
      <c r="BJ605" s="15"/>
      <c r="BK605" s="15"/>
      <c r="BL605" s="13" t="b">
        <v>0</v>
      </c>
      <c r="BM605" s="10"/>
      <c r="BN605" s="10" t="s">
        <v>149</v>
      </c>
      <c r="BO605" s="11">
        <v>45866.101388888892</v>
      </c>
      <c r="BP605" s="11">
        <v>45877.682557870372</v>
      </c>
      <c r="BQ605" s="15">
        <v>45895.584456018521</v>
      </c>
      <c r="BR605" s="15">
        <v>45900.561550925922</v>
      </c>
      <c r="BS605" s="10" t="s">
        <v>149</v>
      </c>
      <c r="BT605" s="10"/>
      <c r="BU605" s="10"/>
      <c r="BV605" s="10"/>
      <c r="BW605" s="10"/>
      <c r="BX605" s="10"/>
      <c r="BY605" s="23"/>
      <c r="BZ605" s="23"/>
      <c r="CA605" s="19" t="s">
        <v>5314</v>
      </c>
      <c r="CB605" s="19" t="s">
        <v>5315</v>
      </c>
      <c r="CC605" s="23"/>
      <c r="CD605" s="23"/>
      <c r="CE605" s="23"/>
      <c r="CF605" s="23"/>
      <c r="CG605" s="23"/>
      <c r="CH605" s="23"/>
      <c r="CI605" s="23"/>
    </row>
    <row r="606" spans="1:87" x14ac:dyDescent="0.3">
      <c r="A606" s="9" t="s">
        <v>5316</v>
      </c>
      <c r="B606" s="10" t="s">
        <v>5317</v>
      </c>
      <c r="C606" s="11">
        <v>45901.104166666664</v>
      </c>
      <c r="D606" s="12">
        <v>8.3333333333333329E-2</v>
      </c>
      <c r="E606" s="11">
        <v>45901.1875</v>
      </c>
      <c r="F606" s="10" t="s">
        <v>5001</v>
      </c>
      <c r="G606" s="13" t="b">
        <v>0</v>
      </c>
      <c r="H606" s="10" t="s">
        <v>5239</v>
      </c>
      <c r="I606" s="10" t="s">
        <v>89</v>
      </c>
      <c r="J606" s="13" t="b">
        <v>0</v>
      </c>
      <c r="K606" s="13" t="b">
        <v>1</v>
      </c>
      <c r="L606" s="10" t="s">
        <v>124</v>
      </c>
      <c r="M606" s="10" t="s">
        <v>91</v>
      </c>
      <c r="N606" s="10" t="s">
        <v>92</v>
      </c>
      <c r="O606" s="19" t="s">
        <v>5318</v>
      </c>
      <c r="P606" s="10"/>
      <c r="Q606" s="10" t="s">
        <v>126</v>
      </c>
      <c r="R606" s="10"/>
      <c r="S606" s="19" t="s">
        <v>5319</v>
      </c>
      <c r="T606" s="19" t="s">
        <v>5232</v>
      </c>
      <c r="U606" s="10" t="s">
        <v>5006</v>
      </c>
      <c r="V606" s="10" t="s">
        <v>5042</v>
      </c>
      <c r="W606" s="10" t="s">
        <v>5007</v>
      </c>
      <c r="X606" s="10" t="s">
        <v>130</v>
      </c>
      <c r="Y606" s="10" t="s">
        <v>130</v>
      </c>
      <c r="Z606" s="10" t="s">
        <v>99</v>
      </c>
      <c r="AA606" s="10" t="s">
        <v>131</v>
      </c>
      <c r="AB606" s="10" t="s">
        <v>5008</v>
      </c>
      <c r="AC606" s="10" t="s">
        <v>5009</v>
      </c>
      <c r="AD606" s="10" t="s">
        <v>5320</v>
      </c>
      <c r="AE606" s="10" t="s">
        <v>5321</v>
      </c>
      <c r="AF606" s="15"/>
      <c r="AG606" s="10"/>
      <c r="AH606" s="10"/>
      <c r="AI606" s="10"/>
      <c r="AJ606" s="10" t="s">
        <v>5322</v>
      </c>
      <c r="AK606" s="10" t="s">
        <v>102</v>
      </c>
      <c r="AL606" s="10" t="s">
        <v>147</v>
      </c>
      <c r="AM606" s="10"/>
      <c r="AN606" s="10"/>
      <c r="AO606" s="13" t="b">
        <v>1</v>
      </c>
      <c r="AP606" s="10" t="s">
        <v>104</v>
      </c>
      <c r="AQ606" s="10">
        <f ca="1">IFERROR(__xludf.DUMMYFUNCTION("""COMPUTED_VALUE"""),4527660)</f>
        <v>4527660</v>
      </c>
      <c r="AR606" s="17">
        <v>68198</v>
      </c>
      <c r="AS606" s="17">
        <v>43333</v>
      </c>
      <c r="AT606" s="17">
        <v>2373762.5</v>
      </c>
      <c r="AU606" s="17">
        <v>790.4</v>
      </c>
      <c r="AV606" s="17">
        <v>441.25</v>
      </c>
      <c r="AW606" s="10" t="s">
        <v>105</v>
      </c>
      <c r="AX606" s="17">
        <v>25129</v>
      </c>
      <c r="AY606" s="18">
        <v>54.779555996584591</v>
      </c>
      <c r="AZ606" s="10" t="s">
        <v>106</v>
      </c>
      <c r="BA606" s="20" t="b">
        <v>0</v>
      </c>
      <c r="BB606" s="10"/>
      <c r="BC606" s="17">
        <v>68198</v>
      </c>
      <c r="BD606" s="17">
        <v>43333</v>
      </c>
      <c r="BE606" s="17">
        <v>2373762.5</v>
      </c>
      <c r="BF606" s="17">
        <v>441.25</v>
      </c>
      <c r="BG606" s="11">
        <f ca="1">IFERROR(__xludf.DUMMYFUNCTION("""COMPUTED_VALUE"""),45901.1041666666)</f>
        <v>45901.104166666599</v>
      </c>
      <c r="BH606" s="17" t="s">
        <v>105</v>
      </c>
      <c r="BI606" s="17"/>
      <c r="BJ606" s="15"/>
      <c r="BK606" s="15"/>
      <c r="BL606" s="13" t="b">
        <v>0</v>
      </c>
      <c r="BM606" s="10"/>
      <c r="BN606" s="10" t="s">
        <v>197</v>
      </c>
      <c r="BO606" s="11">
        <v>45866.101388888892</v>
      </c>
      <c r="BP606" s="11">
        <v>45896.459131944444</v>
      </c>
      <c r="BQ606" s="15">
        <v>45895.584618055553</v>
      </c>
      <c r="BR606" s="15">
        <v>45896.580474537041</v>
      </c>
      <c r="BS606" s="10" t="s">
        <v>197</v>
      </c>
      <c r="BT606" s="10" t="s">
        <v>99</v>
      </c>
      <c r="BU606" s="10" t="s">
        <v>655</v>
      </c>
      <c r="BV606" s="10" t="s">
        <v>124</v>
      </c>
      <c r="BW606" s="10" t="s">
        <v>5323</v>
      </c>
      <c r="BX606" s="10"/>
      <c r="BY606" s="23"/>
      <c r="BZ606" s="23"/>
      <c r="CA606" s="19" t="s">
        <v>5324</v>
      </c>
      <c r="CB606" s="19" t="s">
        <v>5325</v>
      </c>
      <c r="CC606" s="23"/>
      <c r="CD606" s="19" t="s">
        <v>5326</v>
      </c>
      <c r="CE606" s="23"/>
      <c r="CF606" s="23"/>
      <c r="CG606" s="23"/>
      <c r="CH606" s="23"/>
      <c r="CI606" s="23"/>
    </row>
    <row r="607" spans="1:87" x14ac:dyDescent="0.3">
      <c r="A607" s="9" t="s">
        <v>5327</v>
      </c>
      <c r="B607" s="10" t="s">
        <v>5328</v>
      </c>
      <c r="C607" s="11">
        <v>45913.979166666664</v>
      </c>
      <c r="D607" s="12">
        <v>8.3333333333333329E-2</v>
      </c>
      <c r="E607" s="11">
        <v>45914.0625</v>
      </c>
      <c r="F607" s="10" t="s">
        <v>5001</v>
      </c>
      <c r="G607" s="13" t="b">
        <v>0</v>
      </c>
      <c r="H607" s="10" t="s">
        <v>3578</v>
      </c>
      <c r="I607" s="10" t="s">
        <v>89</v>
      </c>
      <c r="J607" s="13" t="b">
        <v>0</v>
      </c>
      <c r="K607" s="13" t="b">
        <v>1</v>
      </c>
      <c r="L607" s="10" t="s">
        <v>124</v>
      </c>
      <c r="M607" s="10" t="s">
        <v>91</v>
      </c>
      <c r="N607" s="10" t="s">
        <v>92</v>
      </c>
      <c r="O607" s="19" t="s">
        <v>5329</v>
      </c>
      <c r="P607" s="10"/>
      <c r="Q607" s="10" t="s">
        <v>126</v>
      </c>
      <c r="R607" s="10"/>
      <c r="S607" s="19" t="s">
        <v>5330</v>
      </c>
      <c r="T607" s="19" t="s">
        <v>5331</v>
      </c>
      <c r="U607" s="10" t="s">
        <v>5076</v>
      </c>
      <c r="V607" s="10" t="s">
        <v>5031</v>
      </c>
      <c r="W607" s="10" t="s">
        <v>5007</v>
      </c>
      <c r="X607" s="10" t="s">
        <v>130</v>
      </c>
      <c r="Y607" s="10" t="s">
        <v>130</v>
      </c>
      <c r="Z607" s="10" t="s">
        <v>99</v>
      </c>
      <c r="AA607" s="10" t="s">
        <v>131</v>
      </c>
      <c r="AB607" s="10" t="s">
        <v>5008</v>
      </c>
      <c r="AC607" s="10" t="s">
        <v>5009</v>
      </c>
      <c r="AD607" s="10" t="s">
        <v>5332</v>
      </c>
      <c r="AE607" s="10" t="s">
        <v>5333</v>
      </c>
      <c r="AF607" s="15"/>
      <c r="AG607" s="10"/>
      <c r="AH607" s="10"/>
      <c r="AI607" s="10"/>
      <c r="AJ607" s="10" t="s">
        <v>5334</v>
      </c>
      <c r="AK607" s="10" t="s">
        <v>102</v>
      </c>
      <c r="AL607" s="10" t="s">
        <v>156</v>
      </c>
      <c r="AM607" s="10"/>
      <c r="AN607" s="10"/>
      <c r="AO607" s="13" t="b">
        <v>0</v>
      </c>
      <c r="AP607" s="10" t="s">
        <v>104</v>
      </c>
      <c r="AQ607" s="10">
        <f ca="1">IFERROR(__xludf.DUMMYFUNCTION("""COMPUTED_VALUE"""),4563084)</f>
        <v>4563084</v>
      </c>
      <c r="AR607" s="17">
        <v>17147</v>
      </c>
      <c r="AS607" s="17">
        <v>13626</v>
      </c>
      <c r="AT607" s="17">
        <v>178273.5</v>
      </c>
      <c r="AU607" s="17">
        <v>44.95</v>
      </c>
      <c r="AV607" s="17">
        <v>21</v>
      </c>
      <c r="AW607" s="10" t="s">
        <v>105</v>
      </c>
      <c r="AX607" s="17">
        <v>17898</v>
      </c>
      <c r="AY607" s="18">
        <v>13.083333333333334</v>
      </c>
      <c r="AZ607" s="10" t="s">
        <v>106</v>
      </c>
      <c r="BA607" s="20" t="b">
        <v>0</v>
      </c>
      <c r="BB607" s="10"/>
      <c r="BC607" s="17">
        <v>17147</v>
      </c>
      <c r="BD607" s="17">
        <v>13626</v>
      </c>
      <c r="BE607" s="17">
        <v>178273.5</v>
      </c>
      <c r="BF607" s="17">
        <v>21</v>
      </c>
      <c r="BG607" s="11">
        <f ca="1">IFERROR(__xludf.DUMMYFUNCTION("""COMPUTED_VALUE"""),45913.9791666666)</f>
        <v>45913.979166666599</v>
      </c>
      <c r="BH607" s="17" t="s">
        <v>105</v>
      </c>
      <c r="BI607" s="17"/>
      <c r="BJ607" s="15"/>
      <c r="BK607" s="15"/>
      <c r="BL607" s="13" t="b">
        <v>0</v>
      </c>
      <c r="BM607" s="10"/>
      <c r="BN607" s="10" t="s">
        <v>106</v>
      </c>
      <c r="BO607" s="11">
        <v>45866.101388888892</v>
      </c>
      <c r="BP607" s="11">
        <v>45902.730081018519</v>
      </c>
      <c r="BQ607" s="15">
        <v>45909.520162037035</v>
      </c>
      <c r="BR607" s="15">
        <v>45910.455682870372</v>
      </c>
      <c r="BS607" s="10"/>
      <c r="BT607" s="10"/>
      <c r="BU607" s="10"/>
      <c r="BV607" s="10"/>
      <c r="BW607" s="10"/>
      <c r="BX607" s="10"/>
      <c r="BY607" s="23"/>
      <c r="BZ607" s="23"/>
      <c r="CA607" s="19" t="s">
        <v>5335</v>
      </c>
      <c r="CB607" s="19" t="s">
        <v>5336</v>
      </c>
      <c r="CC607" s="23"/>
      <c r="CD607" s="19" t="s">
        <v>5337</v>
      </c>
      <c r="CE607" s="23"/>
      <c r="CF607" s="23"/>
      <c r="CG607" s="23"/>
      <c r="CH607" s="23"/>
      <c r="CI607" s="23"/>
    </row>
    <row r="608" spans="1:87" x14ac:dyDescent="0.3">
      <c r="A608" s="9" t="s">
        <v>5338</v>
      </c>
      <c r="B608" s="10" t="s">
        <v>5339</v>
      </c>
      <c r="C608" s="11">
        <v>45913.083333333336</v>
      </c>
      <c r="D608" s="12">
        <v>8.3333333333333329E-2</v>
      </c>
      <c r="E608" s="11">
        <v>45913.166666666664</v>
      </c>
      <c r="F608" s="10" t="s">
        <v>5001</v>
      </c>
      <c r="G608" s="13" t="b">
        <v>0</v>
      </c>
      <c r="H608" s="10" t="s">
        <v>3578</v>
      </c>
      <c r="I608" s="10" t="s">
        <v>89</v>
      </c>
      <c r="J608" s="13" t="b">
        <v>0</v>
      </c>
      <c r="K608" s="13" t="b">
        <v>1</v>
      </c>
      <c r="L608" s="10" t="s">
        <v>124</v>
      </c>
      <c r="M608" s="10" t="s">
        <v>91</v>
      </c>
      <c r="N608" s="10" t="s">
        <v>92</v>
      </c>
      <c r="O608" s="19" t="s">
        <v>5340</v>
      </c>
      <c r="P608" s="10"/>
      <c r="Q608" s="10" t="s">
        <v>94</v>
      </c>
      <c r="R608" s="10"/>
      <c r="S608" s="19" t="s">
        <v>5341</v>
      </c>
      <c r="T608" s="19" t="s">
        <v>5331</v>
      </c>
      <c r="U608" s="10" t="s">
        <v>5077</v>
      </c>
      <c r="V608" s="10" t="s">
        <v>5101</v>
      </c>
      <c r="W608" s="10" t="s">
        <v>5007</v>
      </c>
      <c r="X608" s="10" t="s">
        <v>130</v>
      </c>
      <c r="Y608" s="10" t="s">
        <v>130</v>
      </c>
      <c r="Z608" s="10" t="s">
        <v>99</v>
      </c>
      <c r="AA608" s="10" t="s">
        <v>131</v>
      </c>
      <c r="AB608" s="10" t="s">
        <v>5008</v>
      </c>
      <c r="AC608" s="10" t="s">
        <v>5009</v>
      </c>
      <c r="AD608" s="10" t="s">
        <v>5342</v>
      </c>
      <c r="AE608" s="10" t="s">
        <v>5343</v>
      </c>
      <c r="AF608" s="15"/>
      <c r="AG608" s="10"/>
      <c r="AH608" s="10"/>
      <c r="AI608" s="10"/>
      <c r="AJ608" s="10"/>
      <c r="AK608" s="10" t="s">
        <v>102</v>
      </c>
      <c r="AL608" s="10" t="s">
        <v>156</v>
      </c>
      <c r="AM608" s="10"/>
      <c r="AN608" s="10"/>
      <c r="AO608" s="13" t="b">
        <v>0</v>
      </c>
      <c r="AP608" s="10" t="s">
        <v>104</v>
      </c>
      <c r="AQ608" s="10">
        <f ca="1">IFERROR(__xludf.DUMMYFUNCTION("""COMPUTED_VALUE"""),4563079)</f>
        <v>4563079</v>
      </c>
      <c r="AR608" s="17">
        <v>5124</v>
      </c>
      <c r="AS608" s="17">
        <v>3698</v>
      </c>
      <c r="AT608" s="17">
        <v>133870.25</v>
      </c>
      <c r="AU608" s="17">
        <v>10.199999999999999</v>
      </c>
      <c r="AV608" s="17">
        <v>2.2000000000000002</v>
      </c>
      <c r="AW608" s="10" t="s">
        <v>105</v>
      </c>
      <c r="AX608" s="17">
        <v>1307</v>
      </c>
      <c r="AY608" s="18">
        <v>36.200716603569496</v>
      </c>
      <c r="AZ608" s="10" t="s">
        <v>106</v>
      </c>
      <c r="BA608" s="20" t="b">
        <v>0</v>
      </c>
      <c r="BB608" s="10"/>
      <c r="BC608" s="17">
        <v>5124</v>
      </c>
      <c r="BD608" s="17">
        <v>3698</v>
      </c>
      <c r="BE608" s="17">
        <v>133870.25</v>
      </c>
      <c r="BF608" s="17">
        <v>2.2000000000000002</v>
      </c>
      <c r="BG608" s="11">
        <f ca="1">IFERROR(__xludf.DUMMYFUNCTION("""COMPUTED_VALUE"""),45913.0833333333)</f>
        <v>45913.083333333299</v>
      </c>
      <c r="BH608" s="17" t="s">
        <v>105</v>
      </c>
      <c r="BI608" s="17"/>
      <c r="BJ608" s="15"/>
      <c r="BK608" s="15"/>
      <c r="BL608" s="13" t="b">
        <v>0</v>
      </c>
      <c r="BM608" s="10"/>
      <c r="BN608" s="10" t="s">
        <v>106</v>
      </c>
      <c r="BO608" s="11">
        <v>45866.101388888892</v>
      </c>
      <c r="BP608" s="11">
        <v>45896.686828703707</v>
      </c>
      <c r="BQ608" s="15">
        <v>45909.51966435185</v>
      </c>
      <c r="BR608" s="15">
        <v>45910.450115740743</v>
      </c>
      <c r="BS608" s="10"/>
      <c r="BT608" s="10"/>
      <c r="BU608" s="10"/>
      <c r="BV608" s="10"/>
      <c r="BW608" s="10"/>
      <c r="BX608" s="10"/>
      <c r="BY608" s="23"/>
      <c r="BZ608" s="23"/>
      <c r="CA608" s="19" t="s">
        <v>5344</v>
      </c>
      <c r="CB608" s="19" t="s">
        <v>5345</v>
      </c>
      <c r="CC608" s="23"/>
      <c r="CD608" s="23"/>
      <c r="CE608" s="23"/>
      <c r="CF608" s="23"/>
      <c r="CG608" s="23"/>
      <c r="CH608" s="23"/>
      <c r="CI608" s="23"/>
    </row>
    <row r="609" spans="1:87" x14ac:dyDescent="0.3">
      <c r="A609" s="9" t="s">
        <v>5346</v>
      </c>
      <c r="B609" s="10" t="s">
        <v>5347</v>
      </c>
      <c r="C609" s="11">
        <v>45913.791666666664</v>
      </c>
      <c r="D609" s="12">
        <v>8.3333333333333329E-2</v>
      </c>
      <c r="E609" s="11">
        <v>45913.875</v>
      </c>
      <c r="F609" s="10" t="s">
        <v>5001</v>
      </c>
      <c r="G609" s="13" t="b">
        <v>0</v>
      </c>
      <c r="H609" s="10" t="s">
        <v>3578</v>
      </c>
      <c r="I609" s="10" t="s">
        <v>89</v>
      </c>
      <c r="J609" s="13" t="b">
        <v>0</v>
      </c>
      <c r="K609" s="13" t="b">
        <v>1</v>
      </c>
      <c r="L609" s="10" t="s">
        <v>124</v>
      </c>
      <c r="M609" s="10" t="s">
        <v>91</v>
      </c>
      <c r="N609" s="10" t="s">
        <v>92</v>
      </c>
      <c r="O609" s="19" t="s">
        <v>5348</v>
      </c>
      <c r="P609" s="10"/>
      <c r="Q609" s="10" t="s">
        <v>94</v>
      </c>
      <c r="R609" s="10"/>
      <c r="S609" s="19" t="s">
        <v>5349</v>
      </c>
      <c r="T609" s="19" t="s">
        <v>5331</v>
      </c>
      <c r="U609" s="10" t="s">
        <v>5067</v>
      </c>
      <c r="V609" s="10" t="s">
        <v>5019</v>
      </c>
      <c r="W609" s="10" t="s">
        <v>5007</v>
      </c>
      <c r="X609" s="10" t="s">
        <v>130</v>
      </c>
      <c r="Y609" s="10" t="s">
        <v>130</v>
      </c>
      <c r="Z609" s="10" t="s">
        <v>99</v>
      </c>
      <c r="AA609" s="10" t="s">
        <v>131</v>
      </c>
      <c r="AB609" s="10" t="s">
        <v>5008</v>
      </c>
      <c r="AC609" s="10" t="s">
        <v>5009</v>
      </c>
      <c r="AD609" s="10" t="s">
        <v>5350</v>
      </c>
      <c r="AE609" s="10" t="s">
        <v>5351</v>
      </c>
      <c r="AF609" s="15"/>
      <c r="AG609" s="10"/>
      <c r="AH609" s="10"/>
      <c r="AI609" s="10"/>
      <c r="AJ609" s="10"/>
      <c r="AK609" s="10" t="s">
        <v>102</v>
      </c>
      <c r="AL609" s="10" t="s">
        <v>156</v>
      </c>
      <c r="AM609" s="10"/>
      <c r="AN609" s="10"/>
      <c r="AO609" s="13" t="b">
        <v>0</v>
      </c>
      <c r="AP609" s="10" t="s">
        <v>104</v>
      </c>
      <c r="AQ609" s="10">
        <f ca="1">IFERROR(__xludf.DUMMYFUNCTION("""COMPUTED_VALUE"""),4563080)</f>
        <v>4563080</v>
      </c>
      <c r="AR609" s="17">
        <v>31539</v>
      </c>
      <c r="AS609" s="17">
        <v>23422</v>
      </c>
      <c r="AT609" s="17">
        <v>257008.25</v>
      </c>
      <c r="AU609" s="17">
        <v>233.05</v>
      </c>
      <c r="AV609" s="17">
        <v>149.30000000000001</v>
      </c>
      <c r="AW609" s="10" t="s">
        <v>105</v>
      </c>
      <c r="AX609" s="17">
        <v>6194</v>
      </c>
      <c r="AY609" s="18">
        <v>10.972942105712578</v>
      </c>
      <c r="AZ609" s="10" t="s">
        <v>106</v>
      </c>
      <c r="BA609" s="20" t="b">
        <v>0</v>
      </c>
      <c r="BB609" s="10"/>
      <c r="BC609" s="17">
        <v>31539</v>
      </c>
      <c r="BD609" s="17">
        <v>23422</v>
      </c>
      <c r="BE609" s="17">
        <v>257008.25</v>
      </c>
      <c r="BF609" s="17">
        <v>149.30000000000001</v>
      </c>
      <c r="BG609" s="11">
        <f ca="1">IFERROR(__xludf.DUMMYFUNCTION("""COMPUTED_VALUE"""),45913.7916666666)</f>
        <v>45913.791666666599</v>
      </c>
      <c r="BH609" s="17" t="s">
        <v>105</v>
      </c>
      <c r="BI609" s="17"/>
      <c r="BJ609" s="15"/>
      <c r="BK609" s="15"/>
      <c r="BL609" s="13" t="b">
        <v>0</v>
      </c>
      <c r="BM609" s="10"/>
      <c r="BN609" s="10" t="s">
        <v>106</v>
      </c>
      <c r="BO609" s="11">
        <v>45866.101388888892</v>
      </c>
      <c r="BP609" s="11">
        <v>45896.687094907407</v>
      </c>
      <c r="BQ609" s="15">
        <v>45909.519791666666</v>
      </c>
      <c r="BR609" s="15">
        <v>45910.450462962966</v>
      </c>
      <c r="BS609" s="10"/>
      <c r="BT609" s="10"/>
      <c r="BU609" s="10"/>
      <c r="BV609" s="10"/>
      <c r="BW609" s="10"/>
      <c r="BX609" s="10"/>
      <c r="BY609" s="23"/>
      <c r="BZ609" s="23"/>
      <c r="CA609" s="19" t="s">
        <v>5352</v>
      </c>
      <c r="CB609" s="19" t="s">
        <v>5353</v>
      </c>
      <c r="CC609" s="23"/>
      <c r="CD609" s="23"/>
      <c r="CE609" s="23"/>
      <c r="CF609" s="23"/>
      <c r="CG609" s="23"/>
      <c r="CH609" s="23"/>
      <c r="CI609" s="23"/>
    </row>
    <row r="610" spans="1:87" x14ac:dyDescent="0.3">
      <c r="A610" s="9" t="s">
        <v>5354</v>
      </c>
      <c r="B610" s="10" t="s">
        <v>5355</v>
      </c>
      <c r="C610" s="11">
        <v>45914.885416666664</v>
      </c>
      <c r="D610" s="12">
        <v>8.3333333333333329E-2</v>
      </c>
      <c r="E610" s="11">
        <v>45914.96875</v>
      </c>
      <c r="F610" s="10" t="s">
        <v>5001</v>
      </c>
      <c r="G610" s="13" t="b">
        <v>0</v>
      </c>
      <c r="H610" s="10" t="s">
        <v>3578</v>
      </c>
      <c r="I610" s="10" t="s">
        <v>89</v>
      </c>
      <c r="J610" s="13" t="b">
        <v>0</v>
      </c>
      <c r="K610" s="13" t="b">
        <v>1</v>
      </c>
      <c r="L610" s="10" t="s">
        <v>124</v>
      </c>
      <c r="M610" s="10" t="s">
        <v>91</v>
      </c>
      <c r="N610" s="10" t="s">
        <v>92</v>
      </c>
      <c r="O610" s="19" t="s">
        <v>5356</v>
      </c>
      <c r="P610" s="10"/>
      <c r="Q610" s="10" t="s">
        <v>126</v>
      </c>
      <c r="R610" s="10"/>
      <c r="S610" s="19" t="s">
        <v>5357</v>
      </c>
      <c r="T610" s="19" t="s">
        <v>5331</v>
      </c>
      <c r="U610" s="10" t="s">
        <v>5032</v>
      </c>
      <c r="V610" s="10" t="s">
        <v>5102</v>
      </c>
      <c r="W610" s="10" t="s">
        <v>5007</v>
      </c>
      <c r="X610" s="10" t="s">
        <v>130</v>
      </c>
      <c r="Y610" s="10" t="s">
        <v>130</v>
      </c>
      <c r="Z610" s="10" t="s">
        <v>99</v>
      </c>
      <c r="AA610" s="10" t="s">
        <v>131</v>
      </c>
      <c r="AB610" s="10" t="s">
        <v>5008</v>
      </c>
      <c r="AC610" s="10" t="s">
        <v>5009</v>
      </c>
      <c r="AD610" s="10" t="s">
        <v>5358</v>
      </c>
      <c r="AE610" s="10" t="s">
        <v>5359</v>
      </c>
      <c r="AF610" s="15"/>
      <c r="AG610" s="10"/>
      <c r="AH610" s="10"/>
      <c r="AI610" s="10"/>
      <c r="AJ610" s="10" t="s">
        <v>5360</v>
      </c>
      <c r="AK610" s="10" t="s">
        <v>102</v>
      </c>
      <c r="AL610" s="10" t="s">
        <v>156</v>
      </c>
      <c r="AM610" s="10"/>
      <c r="AN610" s="10"/>
      <c r="AO610" s="13" t="b">
        <v>0</v>
      </c>
      <c r="AP610" s="10" t="s">
        <v>104</v>
      </c>
      <c r="AQ610" s="10">
        <f ca="1">IFERROR(__xludf.DUMMYFUNCTION("""COMPUTED_VALUE"""),4563092)</f>
        <v>4563092</v>
      </c>
      <c r="AR610" s="17">
        <v>34295</v>
      </c>
      <c r="AS610" s="17">
        <v>25553</v>
      </c>
      <c r="AT610" s="17">
        <v>366157.75</v>
      </c>
      <c r="AU610" s="17">
        <v>132.5</v>
      </c>
      <c r="AV610" s="17">
        <v>66.400000000000006</v>
      </c>
      <c r="AW610" s="10" t="s">
        <v>105</v>
      </c>
      <c r="AX610" s="17">
        <v>7467</v>
      </c>
      <c r="AY610" s="18">
        <v>14.329344891010841</v>
      </c>
      <c r="AZ610" s="10" t="s">
        <v>106</v>
      </c>
      <c r="BA610" s="20" t="b">
        <v>0</v>
      </c>
      <c r="BB610" s="10"/>
      <c r="BC610" s="17">
        <v>34295</v>
      </c>
      <c r="BD610" s="17">
        <v>25553</v>
      </c>
      <c r="BE610" s="17">
        <v>366157.75</v>
      </c>
      <c r="BF610" s="17">
        <v>66.400000000000006</v>
      </c>
      <c r="BG610" s="11">
        <f ca="1">IFERROR(__xludf.DUMMYFUNCTION("""COMPUTED_VALUE"""),45914.8854166666)</f>
        <v>45914.885416666599</v>
      </c>
      <c r="BH610" s="17" t="s">
        <v>105</v>
      </c>
      <c r="BI610" s="17"/>
      <c r="BJ610" s="15"/>
      <c r="BK610" s="15"/>
      <c r="BL610" s="13" t="b">
        <v>0</v>
      </c>
      <c r="BM610" s="10"/>
      <c r="BN610" s="10" t="s">
        <v>455</v>
      </c>
      <c r="BO610" s="11">
        <v>45866.101388888892</v>
      </c>
      <c r="BP610" s="11">
        <v>45902.742476851854</v>
      </c>
      <c r="BQ610" s="15">
        <v>45909.520682870374</v>
      </c>
      <c r="BR610" s="15">
        <v>45910.460729166669</v>
      </c>
      <c r="BS610" s="10" t="s">
        <v>455</v>
      </c>
      <c r="BT610" s="10" t="s">
        <v>99</v>
      </c>
      <c r="BU610" s="10" t="s">
        <v>793</v>
      </c>
      <c r="BV610" s="10"/>
      <c r="BW610" s="10"/>
      <c r="BX610" s="10"/>
      <c r="BY610" s="23"/>
      <c r="BZ610" s="23"/>
      <c r="CA610" s="19" t="s">
        <v>5361</v>
      </c>
      <c r="CB610" s="19" t="s">
        <v>5362</v>
      </c>
      <c r="CC610" s="23"/>
      <c r="CD610" s="19" t="s">
        <v>5363</v>
      </c>
      <c r="CE610" s="23"/>
      <c r="CF610" s="23"/>
      <c r="CG610" s="23"/>
      <c r="CH610" s="23"/>
      <c r="CI610" s="23"/>
    </row>
    <row r="611" spans="1:87" x14ac:dyDescent="0.3">
      <c r="A611" s="9" t="s">
        <v>5364</v>
      </c>
      <c r="B611" s="10" t="s">
        <v>5365</v>
      </c>
      <c r="C611" s="11">
        <v>45914.083333333336</v>
      </c>
      <c r="D611" s="12">
        <v>8.3333333333333329E-2</v>
      </c>
      <c r="E611" s="11">
        <v>45914.166666666664</v>
      </c>
      <c r="F611" s="10" t="s">
        <v>5001</v>
      </c>
      <c r="G611" s="13" t="b">
        <v>0</v>
      </c>
      <c r="H611" s="10" t="s">
        <v>3578</v>
      </c>
      <c r="I611" s="10" t="s">
        <v>89</v>
      </c>
      <c r="J611" s="13" t="b">
        <v>0</v>
      </c>
      <c r="K611" s="13" t="b">
        <v>1</v>
      </c>
      <c r="L611" s="10" t="s">
        <v>124</v>
      </c>
      <c r="M611" s="10" t="s">
        <v>91</v>
      </c>
      <c r="N611" s="10" t="s">
        <v>92</v>
      </c>
      <c r="O611" s="19" t="s">
        <v>5366</v>
      </c>
      <c r="P611" s="10"/>
      <c r="Q611" s="10" t="s">
        <v>126</v>
      </c>
      <c r="R611" s="10"/>
      <c r="S611" s="19" t="s">
        <v>5367</v>
      </c>
      <c r="T611" s="19" t="s">
        <v>5331</v>
      </c>
      <c r="U611" s="10" t="s">
        <v>5090</v>
      </c>
      <c r="V611" s="10" t="s">
        <v>5018</v>
      </c>
      <c r="W611" s="10" t="s">
        <v>5007</v>
      </c>
      <c r="X611" s="10" t="s">
        <v>130</v>
      </c>
      <c r="Y611" s="10" t="s">
        <v>130</v>
      </c>
      <c r="Z611" s="10" t="s">
        <v>99</v>
      </c>
      <c r="AA611" s="10" t="s">
        <v>131</v>
      </c>
      <c r="AB611" s="10" t="s">
        <v>5008</v>
      </c>
      <c r="AC611" s="10" t="s">
        <v>5009</v>
      </c>
      <c r="AD611" s="10" t="s">
        <v>5368</v>
      </c>
      <c r="AE611" s="10" t="s">
        <v>5369</v>
      </c>
      <c r="AF611" s="15"/>
      <c r="AG611" s="10"/>
      <c r="AH611" s="10"/>
      <c r="AI611" s="10"/>
      <c r="AJ611" s="10" t="s">
        <v>5370</v>
      </c>
      <c r="AK611" s="10" t="s">
        <v>102</v>
      </c>
      <c r="AL611" s="10" t="s">
        <v>156</v>
      </c>
      <c r="AM611" s="10"/>
      <c r="AN611" s="10"/>
      <c r="AO611" s="13" t="b">
        <v>0</v>
      </c>
      <c r="AP611" s="10" t="s">
        <v>104</v>
      </c>
      <c r="AQ611" s="10">
        <f ca="1">IFERROR(__xludf.DUMMYFUNCTION("""COMPUTED_VALUE"""),4563087)</f>
        <v>4563087</v>
      </c>
      <c r="AR611" s="17">
        <v>9446</v>
      </c>
      <c r="AS611" s="17">
        <v>6934</v>
      </c>
      <c r="AT611" s="17">
        <v>191147.75</v>
      </c>
      <c r="AU611" s="17">
        <v>22.55</v>
      </c>
      <c r="AV611" s="17">
        <v>10.45</v>
      </c>
      <c r="AW611" s="10" t="s">
        <v>105</v>
      </c>
      <c r="AX611" s="17">
        <v>3658</v>
      </c>
      <c r="AY611" s="18">
        <v>27.566736371502738</v>
      </c>
      <c r="AZ611" s="10" t="s">
        <v>106</v>
      </c>
      <c r="BA611" s="20" t="b">
        <v>0</v>
      </c>
      <c r="BB611" s="10"/>
      <c r="BC611" s="17">
        <v>9446</v>
      </c>
      <c r="BD611" s="17">
        <v>6934</v>
      </c>
      <c r="BE611" s="17">
        <v>191147.75</v>
      </c>
      <c r="BF611" s="17">
        <v>10.45</v>
      </c>
      <c r="BG611" s="11">
        <f ca="1">IFERROR(__xludf.DUMMYFUNCTION("""COMPUTED_VALUE"""),45914.0833333333)</f>
        <v>45914.083333333299</v>
      </c>
      <c r="BH611" s="17" t="s">
        <v>105</v>
      </c>
      <c r="BI611" s="17"/>
      <c r="BJ611" s="15"/>
      <c r="BK611" s="15"/>
      <c r="BL611" s="13" t="b">
        <v>0</v>
      </c>
      <c r="BM611" s="10"/>
      <c r="BN611" s="10" t="s">
        <v>106</v>
      </c>
      <c r="BO611" s="11">
        <v>45866.101388888892</v>
      </c>
      <c r="BP611" s="11">
        <v>45902.736840277779</v>
      </c>
      <c r="BQ611" s="15">
        <v>45909.52039351852</v>
      </c>
      <c r="BR611" s="15">
        <v>45910.544675925928</v>
      </c>
      <c r="BS611" s="10"/>
      <c r="BT611" s="10"/>
      <c r="BU611" s="10"/>
      <c r="BV611" s="10" t="s">
        <v>124</v>
      </c>
      <c r="BW611" s="10"/>
      <c r="BX611" s="10"/>
      <c r="BY611" s="23"/>
      <c r="BZ611" s="23"/>
      <c r="CA611" s="19" t="s">
        <v>5371</v>
      </c>
      <c r="CB611" s="19" t="s">
        <v>5372</v>
      </c>
      <c r="CC611" s="23"/>
      <c r="CD611" s="19" t="s">
        <v>5373</v>
      </c>
      <c r="CE611" s="23"/>
      <c r="CF611" s="23"/>
      <c r="CG611" s="23"/>
      <c r="CH611" s="23"/>
      <c r="CI611" s="23"/>
    </row>
    <row r="612" spans="1:87" x14ac:dyDescent="0.3">
      <c r="A612" s="9" t="s">
        <v>5374</v>
      </c>
      <c r="B612" s="10" t="s">
        <v>5375</v>
      </c>
      <c r="C612" s="11">
        <v>45913.885416666664</v>
      </c>
      <c r="D612" s="12">
        <v>8.3333333333333329E-2</v>
      </c>
      <c r="E612" s="11">
        <v>45913.96875</v>
      </c>
      <c r="F612" s="10" t="s">
        <v>5001</v>
      </c>
      <c r="G612" s="13" t="b">
        <v>0</v>
      </c>
      <c r="H612" s="10" t="s">
        <v>3578</v>
      </c>
      <c r="I612" s="10" t="s">
        <v>89</v>
      </c>
      <c r="J612" s="13" t="b">
        <v>0</v>
      </c>
      <c r="K612" s="13" t="b">
        <v>1</v>
      </c>
      <c r="L612" s="10" t="s">
        <v>124</v>
      </c>
      <c r="M612" s="10" t="s">
        <v>91</v>
      </c>
      <c r="N612" s="10" t="s">
        <v>92</v>
      </c>
      <c r="O612" s="19" t="s">
        <v>5376</v>
      </c>
      <c r="P612" s="10"/>
      <c r="Q612" s="10" t="s">
        <v>126</v>
      </c>
      <c r="R612" s="10"/>
      <c r="S612" s="19" t="s">
        <v>5377</v>
      </c>
      <c r="T612" s="19" t="s">
        <v>5331</v>
      </c>
      <c r="U612" s="10" t="s">
        <v>5055</v>
      </c>
      <c r="V612" s="10" t="s">
        <v>5113</v>
      </c>
      <c r="W612" s="10" t="s">
        <v>5007</v>
      </c>
      <c r="X612" s="10" t="s">
        <v>130</v>
      </c>
      <c r="Y612" s="10" t="s">
        <v>130</v>
      </c>
      <c r="Z612" s="10" t="s">
        <v>99</v>
      </c>
      <c r="AA612" s="10" t="s">
        <v>131</v>
      </c>
      <c r="AB612" s="10" t="s">
        <v>5008</v>
      </c>
      <c r="AC612" s="10" t="s">
        <v>5009</v>
      </c>
      <c r="AD612" s="10" t="s">
        <v>5378</v>
      </c>
      <c r="AE612" s="10" t="s">
        <v>5379</v>
      </c>
      <c r="AF612" s="15"/>
      <c r="AG612" s="10"/>
      <c r="AH612" s="10"/>
      <c r="AI612" s="10"/>
      <c r="AJ612" s="10" t="s">
        <v>5380</v>
      </c>
      <c r="AK612" s="10" t="s">
        <v>102</v>
      </c>
      <c r="AL612" s="10" t="s">
        <v>156</v>
      </c>
      <c r="AM612" s="10"/>
      <c r="AN612" s="10"/>
      <c r="AO612" s="13" t="b">
        <v>1</v>
      </c>
      <c r="AP612" s="10" t="s">
        <v>104</v>
      </c>
      <c r="AQ612" s="10">
        <f ca="1">IFERROR(__xludf.DUMMYFUNCTION("""COMPUTED_VALUE"""),4563083)</f>
        <v>4563083</v>
      </c>
      <c r="AR612" s="17">
        <v>324772</v>
      </c>
      <c r="AS612" s="17">
        <v>165787</v>
      </c>
      <c r="AT612" s="17">
        <v>6137865.25</v>
      </c>
      <c r="AU612" s="17">
        <v>4574.25</v>
      </c>
      <c r="AV612" s="17">
        <v>2488.1</v>
      </c>
      <c r="AW612" s="10" t="s">
        <v>297</v>
      </c>
      <c r="AX612" s="17">
        <v>69831</v>
      </c>
      <c r="AY612" s="18">
        <v>37.022596765729517</v>
      </c>
      <c r="AZ612" s="10" t="s">
        <v>106</v>
      </c>
      <c r="BA612" s="20" t="b">
        <v>0</v>
      </c>
      <c r="BB612" s="10"/>
      <c r="BC612" s="17">
        <v>324772</v>
      </c>
      <c r="BD612" s="17">
        <v>165787</v>
      </c>
      <c r="BE612" s="17">
        <v>6137865.25</v>
      </c>
      <c r="BF612" s="17">
        <v>2488.1</v>
      </c>
      <c r="BG612" s="11">
        <f ca="1">IFERROR(__xludf.DUMMYFUNCTION("""COMPUTED_VALUE"""),45913.8854166666)</f>
        <v>45913.885416666599</v>
      </c>
      <c r="BH612" s="17" t="s">
        <v>297</v>
      </c>
      <c r="BI612" s="17"/>
      <c r="BJ612" s="15"/>
      <c r="BK612" s="15"/>
      <c r="BL612" s="13" t="b">
        <v>0</v>
      </c>
      <c r="BM612" s="10"/>
      <c r="BN612" s="10" t="s">
        <v>3422</v>
      </c>
      <c r="BO612" s="11">
        <v>45866.101388888892</v>
      </c>
      <c r="BP612" s="11">
        <v>45902.722280092596</v>
      </c>
      <c r="BQ612" s="15">
        <v>45909.519942129627</v>
      </c>
      <c r="BR612" s="15">
        <v>45910.45548611111</v>
      </c>
      <c r="BS612" s="10"/>
      <c r="BT612" s="10" t="s">
        <v>99</v>
      </c>
      <c r="BU612" s="10"/>
      <c r="BV612" s="10" t="s">
        <v>124</v>
      </c>
      <c r="BW612" s="10"/>
      <c r="BX612" s="10"/>
      <c r="BY612" s="23"/>
      <c r="BZ612" s="23"/>
      <c r="CA612" s="19" t="s">
        <v>5381</v>
      </c>
      <c r="CB612" s="19" t="s">
        <v>5382</v>
      </c>
      <c r="CC612" s="23"/>
      <c r="CD612" s="19" t="s">
        <v>5383</v>
      </c>
      <c r="CE612" s="23"/>
      <c r="CF612" s="23"/>
      <c r="CG612" s="23"/>
      <c r="CH612" s="23"/>
      <c r="CI612" s="23"/>
    </row>
    <row r="613" spans="1:87" x14ac:dyDescent="0.3">
      <c r="A613" s="9" t="s">
        <v>5384</v>
      </c>
      <c r="B613" s="10" t="s">
        <v>5385</v>
      </c>
      <c r="C613" s="11">
        <v>45914.791666666664</v>
      </c>
      <c r="D613" s="12">
        <v>8.3333333333333329E-2</v>
      </c>
      <c r="E613" s="11">
        <v>45914.875</v>
      </c>
      <c r="F613" s="10" t="s">
        <v>5001</v>
      </c>
      <c r="G613" s="13" t="b">
        <v>0</v>
      </c>
      <c r="H613" s="10" t="s">
        <v>3578</v>
      </c>
      <c r="I613" s="10" t="s">
        <v>89</v>
      </c>
      <c r="J613" s="13" t="b">
        <v>0</v>
      </c>
      <c r="K613" s="13" t="b">
        <v>1</v>
      </c>
      <c r="L613" s="10" t="s">
        <v>124</v>
      </c>
      <c r="M613" s="10" t="s">
        <v>91</v>
      </c>
      <c r="N613" s="10" t="s">
        <v>92</v>
      </c>
      <c r="O613" s="19" t="s">
        <v>5386</v>
      </c>
      <c r="P613" s="10"/>
      <c r="Q613" s="10" t="s">
        <v>94</v>
      </c>
      <c r="R613" s="10"/>
      <c r="S613" s="19" t="s">
        <v>5387</v>
      </c>
      <c r="T613" s="19" t="s">
        <v>5331</v>
      </c>
      <c r="U613" s="10" t="s">
        <v>5066</v>
      </c>
      <c r="V613" s="10" t="s">
        <v>5005</v>
      </c>
      <c r="W613" s="10" t="s">
        <v>5007</v>
      </c>
      <c r="X613" s="10" t="s">
        <v>130</v>
      </c>
      <c r="Y613" s="10" t="s">
        <v>130</v>
      </c>
      <c r="Z613" s="10" t="s">
        <v>99</v>
      </c>
      <c r="AA613" s="10" t="s">
        <v>131</v>
      </c>
      <c r="AB613" s="10" t="s">
        <v>5008</v>
      </c>
      <c r="AC613" s="10" t="s">
        <v>5009</v>
      </c>
      <c r="AD613" s="10" t="s">
        <v>5388</v>
      </c>
      <c r="AE613" s="10" t="s">
        <v>5389</v>
      </c>
      <c r="AF613" s="15"/>
      <c r="AG613" s="10"/>
      <c r="AH613" s="10"/>
      <c r="AI613" s="10"/>
      <c r="AJ613" s="10"/>
      <c r="AK613" s="10" t="s">
        <v>102</v>
      </c>
      <c r="AL613" s="10" t="s">
        <v>156</v>
      </c>
      <c r="AM613" s="10"/>
      <c r="AN613" s="10"/>
      <c r="AO613" s="13" t="b">
        <v>0</v>
      </c>
      <c r="AP613" s="10" t="s">
        <v>104</v>
      </c>
      <c r="AQ613" s="10">
        <f ca="1">IFERROR(__xludf.DUMMYFUNCTION("""COMPUTED_VALUE"""),4563089)</f>
        <v>4563089</v>
      </c>
      <c r="AR613" s="17">
        <v>16859</v>
      </c>
      <c r="AS613" s="17">
        <v>12996</v>
      </c>
      <c r="AT613" s="17">
        <v>121000.25</v>
      </c>
      <c r="AU613" s="17">
        <v>28.8</v>
      </c>
      <c r="AV613" s="17">
        <v>14.5</v>
      </c>
      <c r="AW613" s="10" t="s">
        <v>105</v>
      </c>
      <c r="AX613" s="17">
        <v>3374</v>
      </c>
      <c r="AY613" s="18">
        <v>9.3105763311788241</v>
      </c>
      <c r="AZ613" s="10" t="s">
        <v>106</v>
      </c>
      <c r="BA613" s="20" t="b">
        <v>0</v>
      </c>
      <c r="BB613" s="10"/>
      <c r="BC613" s="17">
        <v>16859</v>
      </c>
      <c r="BD613" s="17">
        <v>12996</v>
      </c>
      <c r="BE613" s="17">
        <v>121000.25</v>
      </c>
      <c r="BF613" s="17">
        <v>14.5</v>
      </c>
      <c r="BG613" s="11">
        <f ca="1">IFERROR(__xludf.DUMMYFUNCTION("""COMPUTED_VALUE"""),45914.7916666666)</f>
        <v>45914.791666666599</v>
      </c>
      <c r="BH613" s="17" t="s">
        <v>105</v>
      </c>
      <c r="BI613" s="17"/>
      <c r="BJ613" s="15"/>
      <c r="BK613" s="15"/>
      <c r="BL613" s="13" t="b">
        <v>0</v>
      </c>
      <c r="BM613" s="10"/>
      <c r="BN613" s="10" t="s">
        <v>106</v>
      </c>
      <c r="BO613" s="11">
        <v>45866.101388888892</v>
      </c>
      <c r="BP613" s="11">
        <v>45902.736585648148</v>
      </c>
      <c r="BQ613" s="15">
        <v>45909.520520833335</v>
      </c>
      <c r="BR613" s="15">
        <v>45910.460555555554</v>
      </c>
      <c r="BS613" s="10"/>
      <c r="BT613" s="10"/>
      <c r="BU613" s="10"/>
      <c r="BV613" s="10"/>
      <c r="BW613" s="10"/>
      <c r="BX613" s="10"/>
      <c r="BY613" s="23"/>
      <c r="BZ613" s="23"/>
      <c r="CA613" s="19" t="s">
        <v>5390</v>
      </c>
      <c r="CB613" s="19" t="s">
        <v>5391</v>
      </c>
      <c r="CC613" s="23"/>
      <c r="CD613" s="23"/>
      <c r="CE613" s="23"/>
      <c r="CF613" s="23"/>
      <c r="CG613" s="23"/>
      <c r="CH613" s="23"/>
      <c r="CI613" s="23"/>
    </row>
    <row r="614" spans="1:87" x14ac:dyDescent="0.3">
      <c r="A614" s="9" t="s">
        <v>5392</v>
      </c>
      <c r="B614" s="10" t="s">
        <v>5393</v>
      </c>
      <c r="C614" s="11">
        <v>45914.979166666664</v>
      </c>
      <c r="D614" s="12">
        <v>8.3333333333333329E-2</v>
      </c>
      <c r="E614" s="11">
        <v>45915.0625</v>
      </c>
      <c r="F614" s="10" t="s">
        <v>5001</v>
      </c>
      <c r="G614" s="13" t="b">
        <v>0</v>
      </c>
      <c r="H614" s="10" t="s">
        <v>3578</v>
      </c>
      <c r="I614" s="10" t="s">
        <v>89</v>
      </c>
      <c r="J614" s="13" t="b">
        <v>0</v>
      </c>
      <c r="K614" s="13" t="b">
        <v>1</v>
      </c>
      <c r="L614" s="10" t="s">
        <v>124</v>
      </c>
      <c r="M614" s="10" t="s">
        <v>91</v>
      </c>
      <c r="N614" s="10" t="s">
        <v>92</v>
      </c>
      <c r="O614" s="19" t="s">
        <v>5394</v>
      </c>
      <c r="P614" s="10"/>
      <c r="Q614" s="10" t="s">
        <v>94</v>
      </c>
      <c r="R614" s="10"/>
      <c r="S614" s="19" t="s">
        <v>5395</v>
      </c>
      <c r="T614" s="19" t="s">
        <v>5331</v>
      </c>
      <c r="U614" s="10" t="s">
        <v>5114</v>
      </c>
      <c r="V614" s="10" t="s">
        <v>5006</v>
      </c>
      <c r="W614" s="10" t="s">
        <v>5007</v>
      </c>
      <c r="X614" s="10" t="s">
        <v>130</v>
      </c>
      <c r="Y614" s="10" t="s">
        <v>130</v>
      </c>
      <c r="Z614" s="10" t="s">
        <v>99</v>
      </c>
      <c r="AA614" s="10" t="s">
        <v>131</v>
      </c>
      <c r="AB614" s="10" t="s">
        <v>5008</v>
      </c>
      <c r="AC614" s="10" t="s">
        <v>5009</v>
      </c>
      <c r="AD614" s="10" t="s">
        <v>5396</v>
      </c>
      <c r="AE614" s="10" t="s">
        <v>5397</v>
      </c>
      <c r="AF614" s="15"/>
      <c r="AG614" s="10"/>
      <c r="AH614" s="10"/>
      <c r="AI614" s="10"/>
      <c r="AJ614" s="10"/>
      <c r="AK614" s="10" t="s">
        <v>102</v>
      </c>
      <c r="AL614" s="10" t="s">
        <v>156</v>
      </c>
      <c r="AM614" s="10"/>
      <c r="AN614" s="10"/>
      <c r="AO614" s="13" t="b">
        <v>0</v>
      </c>
      <c r="AP614" s="10" t="s">
        <v>104</v>
      </c>
      <c r="AQ614" s="10">
        <f ca="1">IFERROR(__xludf.DUMMYFUNCTION("""COMPUTED_VALUE"""),4563095)</f>
        <v>4563095</v>
      </c>
      <c r="AR614" s="17">
        <v>10843</v>
      </c>
      <c r="AS614" s="17">
        <v>8886</v>
      </c>
      <c r="AT614" s="17">
        <v>166929.75</v>
      </c>
      <c r="AU614" s="17">
        <v>40.950000000000003</v>
      </c>
      <c r="AV614" s="17">
        <v>11.6</v>
      </c>
      <c r="AW614" s="10" t="s">
        <v>105</v>
      </c>
      <c r="AX614" s="17">
        <v>4814</v>
      </c>
      <c r="AY614" s="18">
        <v>18.785702228224174</v>
      </c>
      <c r="AZ614" s="10" t="s">
        <v>106</v>
      </c>
      <c r="BA614" s="20" t="b">
        <v>0</v>
      </c>
      <c r="BB614" s="10"/>
      <c r="BC614" s="17">
        <v>10843</v>
      </c>
      <c r="BD614" s="17">
        <v>8886</v>
      </c>
      <c r="BE614" s="17">
        <v>166929.75</v>
      </c>
      <c r="BF614" s="17">
        <v>11.6</v>
      </c>
      <c r="BG614" s="11">
        <f ca="1">IFERROR(__xludf.DUMMYFUNCTION("""COMPUTED_VALUE"""),45914.9791666666)</f>
        <v>45914.979166666599</v>
      </c>
      <c r="BH614" s="17" t="s">
        <v>105</v>
      </c>
      <c r="BI614" s="17"/>
      <c r="BJ614" s="15"/>
      <c r="BK614" s="15"/>
      <c r="BL614" s="13" t="b">
        <v>0</v>
      </c>
      <c r="BM614" s="10"/>
      <c r="BN614" s="10" t="s">
        <v>106</v>
      </c>
      <c r="BO614" s="11">
        <v>45866.101388888892</v>
      </c>
      <c r="BP614" s="11">
        <v>45896.689421296294</v>
      </c>
      <c r="BQ614" s="15">
        <v>45909.520810185182</v>
      </c>
      <c r="BR614" s="15">
        <v>45910.461111111108</v>
      </c>
      <c r="BS614" s="10"/>
      <c r="BT614" s="10"/>
      <c r="BU614" s="10"/>
      <c r="BV614" s="10"/>
      <c r="BW614" s="10"/>
      <c r="BX614" s="10"/>
      <c r="BY614" s="23"/>
      <c r="BZ614" s="23"/>
      <c r="CA614" s="19" t="s">
        <v>5398</v>
      </c>
      <c r="CB614" s="19" t="s">
        <v>5399</v>
      </c>
      <c r="CC614" s="23"/>
      <c r="CD614" s="23"/>
      <c r="CE614" s="23"/>
      <c r="CF614" s="23"/>
      <c r="CG614" s="23"/>
      <c r="CH614" s="23"/>
      <c r="CI614" s="23"/>
    </row>
    <row r="615" spans="1:87" x14ac:dyDescent="0.3">
      <c r="A615" s="9" t="s">
        <v>5400</v>
      </c>
      <c r="B615" s="10" t="s">
        <v>5401</v>
      </c>
      <c r="C615" s="11">
        <v>45916.083333333336</v>
      </c>
      <c r="D615" s="12">
        <v>8.3333333333333329E-2</v>
      </c>
      <c r="E615" s="11">
        <v>45916.166666666664</v>
      </c>
      <c r="F615" s="10" t="s">
        <v>5001</v>
      </c>
      <c r="G615" s="13" t="b">
        <v>0</v>
      </c>
      <c r="H615" s="10" t="s">
        <v>3578</v>
      </c>
      <c r="I615" s="10" t="s">
        <v>89</v>
      </c>
      <c r="J615" s="13" t="b">
        <v>0</v>
      </c>
      <c r="K615" s="13" t="b">
        <v>1</v>
      </c>
      <c r="L615" s="10" t="s">
        <v>124</v>
      </c>
      <c r="M615" s="10" t="s">
        <v>91</v>
      </c>
      <c r="N615" s="10" t="s">
        <v>92</v>
      </c>
      <c r="O615" s="19" t="s">
        <v>5402</v>
      </c>
      <c r="P615" s="10"/>
      <c r="Q615" s="10" t="s">
        <v>94</v>
      </c>
      <c r="R615" s="10"/>
      <c r="S615" s="19" t="s">
        <v>5403</v>
      </c>
      <c r="T615" s="19" t="s">
        <v>5331</v>
      </c>
      <c r="U615" s="10" t="s">
        <v>5089</v>
      </c>
      <c r="V615" s="10" t="s">
        <v>5041</v>
      </c>
      <c r="W615" s="10" t="s">
        <v>5007</v>
      </c>
      <c r="X615" s="10" t="s">
        <v>130</v>
      </c>
      <c r="Y615" s="10" t="s">
        <v>130</v>
      </c>
      <c r="Z615" s="10" t="s">
        <v>99</v>
      </c>
      <c r="AA615" s="10" t="s">
        <v>131</v>
      </c>
      <c r="AB615" s="10" t="s">
        <v>5008</v>
      </c>
      <c r="AC615" s="10" t="s">
        <v>5009</v>
      </c>
      <c r="AD615" s="10" t="s">
        <v>5404</v>
      </c>
      <c r="AE615" s="10" t="s">
        <v>5405</v>
      </c>
      <c r="AF615" s="15"/>
      <c r="AG615" s="10"/>
      <c r="AH615" s="10"/>
      <c r="AI615" s="10"/>
      <c r="AJ615" s="10"/>
      <c r="AK615" s="10" t="s">
        <v>102</v>
      </c>
      <c r="AL615" s="10" t="s">
        <v>156</v>
      </c>
      <c r="AM615" s="10"/>
      <c r="AN615" s="10"/>
      <c r="AO615" s="13" t="b">
        <v>0</v>
      </c>
      <c r="AP615" s="10" t="s">
        <v>104</v>
      </c>
      <c r="AQ615" s="10">
        <f ca="1">IFERROR(__xludf.DUMMYFUNCTION("""COMPUTED_VALUE"""),4569125)</f>
        <v>4569125</v>
      </c>
      <c r="AR615" s="17">
        <v>4821</v>
      </c>
      <c r="AS615" s="17">
        <v>3464</v>
      </c>
      <c r="AT615" s="17">
        <v>112913.5</v>
      </c>
      <c r="AU615" s="17">
        <v>13.9</v>
      </c>
      <c r="AV615" s="17">
        <v>4.8</v>
      </c>
      <c r="AW615" s="10" t="s">
        <v>105</v>
      </c>
      <c r="AX615" s="17">
        <v>1204</v>
      </c>
      <c r="AY615" s="18">
        <v>32.596275981524251</v>
      </c>
      <c r="AZ615" s="10" t="s">
        <v>106</v>
      </c>
      <c r="BA615" s="20" t="b">
        <v>0</v>
      </c>
      <c r="BB615" s="10"/>
      <c r="BC615" s="17">
        <v>4821</v>
      </c>
      <c r="BD615" s="17">
        <v>3464</v>
      </c>
      <c r="BE615" s="17">
        <v>112913.5</v>
      </c>
      <c r="BF615" s="17">
        <v>4.8</v>
      </c>
      <c r="BG615" s="11">
        <f ca="1">IFERROR(__xludf.DUMMYFUNCTION("""COMPUTED_VALUE"""),45916.0833333333)</f>
        <v>45916.083333333299</v>
      </c>
      <c r="BH615" s="17" t="s">
        <v>105</v>
      </c>
      <c r="BI615" s="17"/>
      <c r="BJ615" s="15"/>
      <c r="BK615" s="15"/>
      <c r="BL615" s="13" t="b">
        <v>0</v>
      </c>
      <c r="BM615" s="10"/>
      <c r="BN615" s="10" t="s">
        <v>118</v>
      </c>
      <c r="BO615" s="11">
        <v>45866.101388888892</v>
      </c>
      <c r="BP615" s="11">
        <v>45896.690752314818</v>
      </c>
      <c r="BQ615" s="15">
        <v>45909.521180555559</v>
      </c>
      <c r="BR615" s="15">
        <v>45913.582280092596</v>
      </c>
      <c r="BS615" s="10" t="s">
        <v>118</v>
      </c>
      <c r="BT615" s="10"/>
      <c r="BU615" s="10"/>
      <c r="BV615" s="10"/>
      <c r="BW615" s="10"/>
      <c r="BX615" s="10"/>
      <c r="BY615" s="23"/>
      <c r="BZ615" s="23"/>
      <c r="CA615" s="19" t="s">
        <v>5406</v>
      </c>
      <c r="CB615" s="19" t="s">
        <v>5407</v>
      </c>
      <c r="CC615" s="23"/>
      <c r="CD615" s="23"/>
      <c r="CE615" s="23"/>
      <c r="CF615" s="23"/>
      <c r="CG615" s="23"/>
      <c r="CH615" s="23"/>
      <c r="CI615" s="23"/>
    </row>
    <row r="616" spans="1:87" x14ac:dyDescent="0.3">
      <c r="A616" s="9" t="s">
        <v>5408</v>
      </c>
      <c r="B616" s="10" t="s">
        <v>5409</v>
      </c>
      <c r="C616" s="11">
        <v>45915.083333333336</v>
      </c>
      <c r="D616" s="12">
        <v>8.3333333333333329E-2</v>
      </c>
      <c r="E616" s="11">
        <v>45915.166666666664</v>
      </c>
      <c r="F616" s="10" t="s">
        <v>5001</v>
      </c>
      <c r="G616" s="13" t="b">
        <v>0</v>
      </c>
      <c r="H616" s="10" t="s">
        <v>3578</v>
      </c>
      <c r="I616" s="10" t="s">
        <v>89</v>
      </c>
      <c r="J616" s="13" t="b">
        <v>0</v>
      </c>
      <c r="K616" s="13" t="b">
        <v>1</v>
      </c>
      <c r="L616" s="10" t="s">
        <v>124</v>
      </c>
      <c r="M616" s="10" t="s">
        <v>91</v>
      </c>
      <c r="N616" s="10" t="s">
        <v>92</v>
      </c>
      <c r="O616" s="19" t="s">
        <v>5410</v>
      </c>
      <c r="P616" s="10"/>
      <c r="Q616" s="10" t="s">
        <v>126</v>
      </c>
      <c r="R616" s="10"/>
      <c r="S616" s="19" t="s">
        <v>5411</v>
      </c>
      <c r="T616" s="19" t="s">
        <v>5331</v>
      </c>
      <c r="U616" s="10" t="s">
        <v>5042</v>
      </c>
      <c r="V616" s="10" t="s">
        <v>5054</v>
      </c>
      <c r="W616" s="10" t="s">
        <v>5007</v>
      </c>
      <c r="X616" s="10" t="s">
        <v>130</v>
      </c>
      <c r="Y616" s="10" t="s">
        <v>130</v>
      </c>
      <c r="Z616" s="10" t="s">
        <v>99</v>
      </c>
      <c r="AA616" s="10" t="s">
        <v>131</v>
      </c>
      <c r="AB616" s="10" t="s">
        <v>5008</v>
      </c>
      <c r="AC616" s="10" t="s">
        <v>5009</v>
      </c>
      <c r="AD616" s="10" t="s">
        <v>5412</v>
      </c>
      <c r="AE616" s="10" t="s">
        <v>5413</v>
      </c>
      <c r="AF616" s="15"/>
      <c r="AG616" s="10"/>
      <c r="AH616" s="10"/>
      <c r="AI616" s="10"/>
      <c r="AJ616" s="10" t="s">
        <v>5414</v>
      </c>
      <c r="AK616" s="10" t="s">
        <v>102</v>
      </c>
      <c r="AL616" s="10" t="s">
        <v>156</v>
      </c>
      <c r="AM616" s="10"/>
      <c r="AN616" s="10"/>
      <c r="AO616" s="13" t="b">
        <v>1</v>
      </c>
      <c r="AP616" s="10" t="s">
        <v>104</v>
      </c>
      <c r="AQ616" s="10">
        <f ca="1">IFERROR(__xludf.DUMMYFUNCTION("""COMPUTED_VALUE"""),4568561)</f>
        <v>4568561</v>
      </c>
      <c r="AR616" s="17">
        <v>64343</v>
      </c>
      <c r="AS616" s="17">
        <v>41899</v>
      </c>
      <c r="AT616" s="17">
        <v>2353162.25</v>
      </c>
      <c r="AU616" s="17">
        <v>484.45</v>
      </c>
      <c r="AV616" s="17">
        <v>237.4</v>
      </c>
      <c r="AW616" s="10" t="s">
        <v>105</v>
      </c>
      <c r="AX616" s="17">
        <v>20895</v>
      </c>
      <c r="AY616" s="18">
        <v>56.1627306140958</v>
      </c>
      <c r="AZ616" s="10" t="s">
        <v>106</v>
      </c>
      <c r="BA616" s="20" t="b">
        <v>0</v>
      </c>
      <c r="BB616" s="10"/>
      <c r="BC616" s="17">
        <v>64343</v>
      </c>
      <c r="BD616" s="17">
        <v>41899</v>
      </c>
      <c r="BE616" s="17">
        <v>2353162.25</v>
      </c>
      <c r="BF616" s="17">
        <v>237.4</v>
      </c>
      <c r="BG616" s="11">
        <f ca="1">IFERROR(__xludf.DUMMYFUNCTION("""COMPUTED_VALUE"""),45915.0833333333)</f>
        <v>45915.083333333299</v>
      </c>
      <c r="BH616" s="17" t="s">
        <v>105</v>
      </c>
      <c r="BI616" s="17"/>
      <c r="BJ616" s="15"/>
      <c r="BK616" s="15"/>
      <c r="BL616" s="13" t="b">
        <v>0</v>
      </c>
      <c r="BM616" s="10"/>
      <c r="BN616" s="10" t="s">
        <v>278</v>
      </c>
      <c r="BO616" s="11">
        <v>45866.101388888892</v>
      </c>
      <c r="BP616" s="11">
        <v>45902.755729166667</v>
      </c>
      <c r="BQ616" s="15">
        <v>45909.520995370367</v>
      </c>
      <c r="BR616" s="15">
        <v>45913.081620370373</v>
      </c>
      <c r="BS616" s="10" t="s">
        <v>278</v>
      </c>
      <c r="BT616" s="10" t="s">
        <v>99</v>
      </c>
      <c r="BU616" s="10" t="s">
        <v>521</v>
      </c>
      <c r="BV616" s="10" t="s">
        <v>124</v>
      </c>
      <c r="BW616" s="10"/>
      <c r="BX616" s="10"/>
      <c r="BY616" s="23"/>
      <c r="BZ616" s="23"/>
      <c r="CA616" s="19" t="s">
        <v>5415</v>
      </c>
      <c r="CB616" s="19" t="s">
        <v>5416</v>
      </c>
      <c r="CC616" s="23"/>
      <c r="CD616" s="19" t="s">
        <v>5417</v>
      </c>
      <c r="CE616" s="23"/>
      <c r="CF616" s="23"/>
      <c r="CG616" s="23"/>
      <c r="CH616" s="23"/>
      <c r="CI616" s="23"/>
    </row>
    <row r="617" spans="1:87" x14ac:dyDescent="0.3">
      <c r="A617" s="9" t="s">
        <v>5418</v>
      </c>
      <c r="B617" s="10" t="s">
        <v>5419</v>
      </c>
      <c r="C617" s="11">
        <v>45920.791666666664</v>
      </c>
      <c r="D617" s="12">
        <v>8.3333333333333329E-2</v>
      </c>
      <c r="E617" s="11">
        <v>45920.875</v>
      </c>
      <c r="F617" s="10" t="s">
        <v>5001</v>
      </c>
      <c r="G617" s="13" t="b">
        <v>0</v>
      </c>
      <c r="H617" s="10" t="s">
        <v>3564</v>
      </c>
      <c r="I617" s="10" t="s">
        <v>89</v>
      </c>
      <c r="J617" s="13" t="b">
        <v>0</v>
      </c>
      <c r="K617" s="13" t="b">
        <v>1</v>
      </c>
      <c r="L617" s="10" t="s">
        <v>124</v>
      </c>
      <c r="M617" s="10" t="s">
        <v>91</v>
      </c>
      <c r="N617" s="10" t="s">
        <v>92</v>
      </c>
      <c r="O617" s="19" t="s">
        <v>5420</v>
      </c>
      <c r="P617" s="10"/>
      <c r="Q617" s="10" t="s">
        <v>94</v>
      </c>
      <c r="R617" s="10"/>
      <c r="S617" s="19" t="s">
        <v>5421</v>
      </c>
      <c r="T617" s="19" t="s">
        <v>5422</v>
      </c>
      <c r="U617" s="10" t="s">
        <v>5005</v>
      </c>
      <c r="V617" s="10" t="s">
        <v>5032</v>
      </c>
      <c r="W617" s="10" t="s">
        <v>5007</v>
      </c>
      <c r="X617" s="10" t="s">
        <v>130</v>
      </c>
      <c r="Y617" s="10" t="s">
        <v>130</v>
      </c>
      <c r="Z617" s="10" t="s">
        <v>99</v>
      </c>
      <c r="AA617" s="10" t="s">
        <v>131</v>
      </c>
      <c r="AB617" s="10" t="s">
        <v>5008</v>
      </c>
      <c r="AC617" s="10" t="s">
        <v>5009</v>
      </c>
      <c r="AD617" s="10" t="s">
        <v>5423</v>
      </c>
      <c r="AE617" s="10" t="s">
        <v>5424</v>
      </c>
      <c r="AF617" s="15"/>
      <c r="AG617" s="10"/>
      <c r="AH617" s="10"/>
      <c r="AI617" s="10"/>
      <c r="AJ617" s="10"/>
      <c r="AK617" s="10" t="s">
        <v>102</v>
      </c>
      <c r="AL617" s="10" t="s">
        <v>167</v>
      </c>
      <c r="AM617" s="10"/>
      <c r="AN617" s="10"/>
      <c r="AO617" s="13" t="b">
        <v>0</v>
      </c>
      <c r="AP617" s="10" t="s">
        <v>104</v>
      </c>
      <c r="AQ617" s="10">
        <f ca="1">IFERROR(__xludf.DUMMYFUNCTION("""COMPUTED_VALUE"""),4577347)</f>
        <v>4577347</v>
      </c>
      <c r="AR617" s="17">
        <v>17270</v>
      </c>
      <c r="AS617" s="17">
        <v>12722</v>
      </c>
      <c r="AT617" s="17">
        <v>107214.75</v>
      </c>
      <c r="AU617" s="17">
        <v>83.95</v>
      </c>
      <c r="AV617" s="17">
        <v>30.55</v>
      </c>
      <c r="AW617" s="10" t="s">
        <v>105</v>
      </c>
      <c r="AX617" s="17">
        <v>2374</v>
      </c>
      <c r="AY617" s="18">
        <v>8.4275074673793426</v>
      </c>
      <c r="AZ617" s="10" t="s">
        <v>106</v>
      </c>
      <c r="BA617" s="20" t="b">
        <v>0</v>
      </c>
      <c r="BB617" s="10"/>
      <c r="BC617" s="17">
        <v>17270</v>
      </c>
      <c r="BD617" s="17">
        <v>12722</v>
      </c>
      <c r="BE617" s="17">
        <v>107214.75</v>
      </c>
      <c r="BF617" s="17">
        <v>30.55</v>
      </c>
      <c r="BG617" s="11">
        <f ca="1">IFERROR(__xludf.DUMMYFUNCTION("""COMPUTED_VALUE"""),45920.7916666666)</f>
        <v>45920.791666666599</v>
      </c>
      <c r="BH617" s="17" t="s">
        <v>105</v>
      </c>
      <c r="BI617" s="17"/>
      <c r="BJ617" s="15"/>
      <c r="BK617" s="15"/>
      <c r="BL617" s="13" t="b">
        <v>0</v>
      </c>
      <c r="BM617" s="10"/>
      <c r="BN617" s="10" t="s">
        <v>106</v>
      </c>
      <c r="BO617" s="11">
        <v>45866.101388888892</v>
      </c>
      <c r="BP617" s="11">
        <v>45912.603032407409</v>
      </c>
      <c r="BQ617" s="15">
        <v>45916.425937499997</v>
      </c>
      <c r="BR617" s="15">
        <v>45917.425358796296</v>
      </c>
      <c r="BS617" s="10"/>
      <c r="BT617" s="10"/>
      <c r="BU617" s="10"/>
      <c r="BV617" s="10"/>
      <c r="BW617" s="10"/>
      <c r="BX617" s="10"/>
      <c r="BY617" s="23"/>
      <c r="BZ617" s="23"/>
      <c r="CA617" s="19" t="s">
        <v>5425</v>
      </c>
      <c r="CB617" s="19" t="s">
        <v>5426</v>
      </c>
      <c r="CC617" s="23"/>
      <c r="CD617" s="23"/>
      <c r="CE617" s="23"/>
      <c r="CF617" s="23"/>
      <c r="CG617" s="23"/>
      <c r="CH617" s="23"/>
      <c r="CI617" s="23"/>
    </row>
    <row r="618" spans="1:87" x14ac:dyDescent="0.3">
      <c r="A618" s="9" t="s">
        <v>5427</v>
      </c>
      <c r="B618" s="10" t="s">
        <v>5428</v>
      </c>
      <c r="C618" s="11">
        <v>45921.083333333336</v>
      </c>
      <c r="D618" s="12">
        <v>8.3333333333333329E-2</v>
      </c>
      <c r="E618" s="11">
        <v>45921.166666666664</v>
      </c>
      <c r="F618" s="10" t="s">
        <v>5001</v>
      </c>
      <c r="G618" s="13" t="b">
        <v>0</v>
      </c>
      <c r="H618" s="10" t="s">
        <v>3578</v>
      </c>
      <c r="I618" s="10" t="s">
        <v>89</v>
      </c>
      <c r="J618" s="13" t="b">
        <v>0</v>
      </c>
      <c r="K618" s="13" t="b">
        <v>1</v>
      </c>
      <c r="L618" s="10" t="s">
        <v>124</v>
      </c>
      <c r="M618" s="10" t="s">
        <v>91</v>
      </c>
      <c r="N618" s="10" t="s">
        <v>92</v>
      </c>
      <c r="O618" s="19" t="s">
        <v>5429</v>
      </c>
      <c r="P618" s="10"/>
      <c r="Q618" s="10" t="s">
        <v>126</v>
      </c>
      <c r="R618" s="10"/>
      <c r="S618" s="19" t="s">
        <v>5430</v>
      </c>
      <c r="T618" s="19" t="s">
        <v>5422</v>
      </c>
      <c r="U618" s="10" t="s">
        <v>5054</v>
      </c>
      <c r="V618" s="10" t="s">
        <v>5076</v>
      </c>
      <c r="W618" s="10" t="s">
        <v>5007</v>
      </c>
      <c r="X618" s="10" t="s">
        <v>130</v>
      </c>
      <c r="Y618" s="10" t="s">
        <v>130</v>
      </c>
      <c r="Z618" s="10" t="s">
        <v>99</v>
      </c>
      <c r="AA618" s="10" t="s">
        <v>131</v>
      </c>
      <c r="AB618" s="10" t="s">
        <v>5008</v>
      </c>
      <c r="AC618" s="10" t="s">
        <v>5009</v>
      </c>
      <c r="AD618" s="10" t="s">
        <v>5431</v>
      </c>
      <c r="AE618" s="10" t="s">
        <v>5432</v>
      </c>
      <c r="AF618" s="15"/>
      <c r="AG618" s="10"/>
      <c r="AH618" s="10"/>
      <c r="AI618" s="10"/>
      <c r="AJ618" s="10" t="s">
        <v>5433</v>
      </c>
      <c r="AK618" s="10" t="s">
        <v>102</v>
      </c>
      <c r="AL618" s="10" t="s">
        <v>167</v>
      </c>
      <c r="AM618" s="10"/>
      <c r="AN618" s="10"/>
      <c r="AO618" s="13" t="b">
        <v>0</v>
      </c>
      <c r="AP618" s="10" t="s">
        <v>104</v>
      </c>
      <c r="AQ618" s="10">
        <f ca="1">IFERROR(__xludf.DUMMYFUNCTION("""COMPUTED_VALUE"""),4577356)</f>
        <v>4577356</v>
      </c>
      <c r="AR618" s="17">
        <v>6713</v>
      </c>
      <c r="AS618" s="17">
        <v>5012</v>
      </c>
      <c r="AT618" s="17">
        <v>149698.75</v>
      </c>
      <c r="AU618" s="17">
        <v>9.75</v>
      </c>
      <c r="AV618" s="17">
        <v>6.15</v>
      </c>
      <c r="AW618" s="10" t="s">
        <v>105</v>
      </c>
      <c r="AX618" s="17">
        <v>1718</v>
      </c>
      <c r="AY618" s="18">
        <v>29.868066640063848</v>
      </c>
      <c r="AZ618" s="10" t="s">
        <v>106</v>
      </c>
      <c r="BA618" s="20" t="b">
        <v>0</v>
      </c>
      <c r="BB618" s="10"/>
      <c r="BC618" s="17">
        <v>6713</v>
      </c>
      <c r="BD618" s="17">
        <v>5012</v>
      </c>
      <c r="BE618" s="17">
        <v>149698.75</v>
      </c>
      <c r="BF618" s="17">
        <v>6.15</v>
      </c>
      <c r="BG618" s="11">
        <f ca="1">IFERROR(__xludf.DUMMYFUNCTION("""COMPUTED_VALUE"""),45921.0833333333)</f>
        <v>45921.083333333299</v>
      </c>
      <c r="BH618" s="17" t="s">
        <v>105</v>
      </c>
      <c r="BI618" s="17"/>
      <c r="BJ618" s="15"/>
      <c r="BK618" s="15"/>
      <c r="BL618" s="13" t="b">
        <v>0</v>
      </c>
      <c r="BM618" s="10"/>
      <c r="BN618" s="10" t="s">
        <v>106</v>
      </c>
      <c r="BO618" s="11">
        <v>45866.101388888892</v>
      </c>
      <c r="BP618" s="11">
        <v>45915.558333333334</v>
      </c>
      <c r="BQ618" s="15">
        <v>45916.426608796297</v>
      </c>
      <c r="BR618" s="15">
        <v>45917.437037037038</v>
      </c>
      <c r="BS618" s="10"/>
      <c r="BT618" s="10"/>
      <c r="BU618" s="10"/>
      <c r="BV618" s="10"/>
      <c r="BW618" s="10"/>
      <c r="BX618" s="10"/>
      <c r="BY618" s="23"/>
      <c r="BZ618" s="23"/>
      <c r="CA618" s="19" t="s">
        <v>5434</v>
      </c>
      <c r="CB618" s="19" t="s">
        <v>5435</v>
      </c>
      <c r="CC618" s="23"/>
      <c r="CD618" s="19" t="s">
        <v>5436</v>
      </c>
      <c r="CE618" s="23"/>
      <c r="CF618" s="23"/>
      <c r="CG618" s="23"/>
      <c r="CH618" s="23"/>
      <c r="CI618" s="23"/>
    </row>
    <row r="619" spans="1:87" x14ac:dyDescent="0.3">
      <c r="A619" s="9" t="s">
        <v>5437</v>
      </c>
      <c r="B619" s="10" t="s">
        <v>5438</v>
      </c>
      <c r="C619" s="11">
        <v>45920.979166666664</v>
      </c>
      <c r="D619" s="12">
        <v>8.3333333333333329E-2</v>
      </c>
      <c r="E619" s="11">
        <v>45921.0625</v>
      </c>
      <c r="F619" s="10" t="s">
        <v>5001</v>
      </c>
      <c r="G619" s="13" t="b">
        <v>0</v>
      </c>
      <c r="H619" s="10" t="s">
        <v>3564</v>
      </c>
      <c r="I619" s="10" t="s">
        <v>89</v>
      </c>
      <c r="J619" s="13" t="b">
        <v>0</v>
      </c>
      <c r="K619" s="13" t="b">
        <v>1</v>
      </c>
      <c r="L619" s="10" t="s">
        <v>124</v>
      </c>
      <c r="M619" s="10" t="s">
        <v>91</v>
      </c>
      <c r="N619" s="10" t="s">
        <v>92</v>
      </c>
      <c r="O619" s="19" t="s">
        <v>5439</v>
      </c>
      <c r="P619" s="10"/>
      <c r="Q619" s="10" t="s">
        <v>126</v>
      </c>
      <c r="R619" s="10"/>
      <c r="S619" s="19" t="s">
        <v>5440</v>
      </c>
      <c r="T619" s="19" t="s">
        <v>5422</v>
      </c>
      <c r="U619" s="10" t="s">
        <v>5018</v>
      </c>
      <c r="V619" s="10" t="s">
        <v>5114</v>
      </c>
      <c r="W619" s="10" t="s">
        <v>5007</v>
      </c>
      <c r="X619" s="10" t="s">
        <v>130</v>
      </c>
      <c r="Y619" s="10" t="s">
        <v>130</v>
      </c>
      <c r="Z619" s="10" t="s">
        <v>99</v>
      </c>
      <c r="AA619" s="10" t="s">
        <v>131</v>
      </c>
      <c r="AB619" s="10" t="s">
        <v>5008</v>
      </c>
      <c r="AC619" s="10" t="s">
        <v>5009</v>
      </c>
      <c r="AD619" s="10" t="s">
        <v>5441</v>
      </c>
      <c r="AE619" s="10" t="s">
        <v>5442</v>
      </c>
      <c r="AF619" s="15"/>
      <c r="AG619" s="10"/>
      <c r="AH619" s="10"/>
      <c r="AI619" s="10"/>
      <c r="AJ619" s="10" t="s">
        <v>5443</v>
      </c>
      <c r="AK619" s="10" t="s">
        <v>102</v>
      </c>
      <c r="AL619" s="10" t="s">
        <v>167</v>
      </c>
      <c r="AM619" s="10"/>
      <c r="AN619" s="10"/>
      <c r="AO619" s="13" t="b">
        <v>0</v>
      </c>
      <c r="AP619" s="10" t="s">
        <v>104</v>
      </c>
      <c r="AQ619" s="10">
        <f ca="1">IFERROR(__xludf.DUMMYFUNCTION("""COMPUTED_VALUE"""),4577348)</f>
        <v>4577348</v>
      </c>
      <c r="AR619" s="17">
        <v>11412</v>
      </c>
      <c r="AS619" s="17">
        <v>8905</v>
      </c>
      <c r="AT619" s="17">
        <v>93717</v>
      </c>
      <c r="AU619" s="17">
        <v>29.75</v>
      </c>
      <c r="AV619" s="17">
        <v>13.85</v>
      </c>
      <c r="AW619" s="10" t="s">
        <v>105</v>
      </c>
      <c r="AX619" s="17">
        <v>1527</v>
      </c>
      <c r="AY619" s="18">
        <v>10.524087591240876</v>
      </c>
      <c r="AZ619" s="10" t="s">
        <v>106</v>
      </c>
      <c r="BA619" s="20" t="b">
        <v>0</v>
      </c>
      <c r="BB619" s="10"/>
      <c r="BC619" s="17">
        <v>11412</v>
      </c>
      <c r="BD619" s="17">
        <v>8905</v>
      </c>
      <c r="BE619" s="17">
        <v>93717</v>
      </c>
      <c r="BF619" s="17">
        <v>13.85</v>
      </c>
      <c r="BG619" s="11">
        <f ca="1">IFERROR(__xludf.DUMMYFUNCTION("""COMPUTED_VALUE"""),45920.9791666666)</f>
        <v>45920.979166666599</v>
      </c>
      <c r="BH619" s="17" t="s">
        <v>105</v>
      </c>
      <c r="BI619" s="17"/>
      <c r="BJ619" s="15"/>
      <c r="BK619" s="15"/>
      <c r="BL619" s="13" t="b">
        <v>0</v>
      </c>
      <c r="BM619" s="10"/>
      <c r="BN619" s="10" t="s">
        <v>106</v>
      </c>
      <c r="BO619" s="11">
        <v>45866.101388888892</v>
      </c>
      <c r="BP619" s="11">
        <v>45915.543738425928</v>
      </c>
      <c r="BQ619" s="15">
        <v>45916.426400462966</v>
      </c>
      <c r="BR619" s="15">
        <v>45917.425543981481</v>
      </c>
      <c r="BS619" s="10"/>
      <c r="BT619" s="10"/>
      <c r="BU619" s="10"/>
      <c r="BV619" s="10"/>
      <c r="BW619" s="10"/>
      <c r="BX619" s="10"/>
      <c r="BY619" s="23"/>
      <c r="BZ619" s="23"/>
      <c r="CA619" s="19" t="s">
        <v>5444</v>
      </c>
      <c r="CB619" s="19" t="s">
        <v>5445</v>
      </c>
      <c r="CC619" s="23"/>
      <c r="CD619" s="19" t="s">
        <v>5446</v>
      </c>
      <c r="CE619" s="23"/>
      <c r="CF619" s="23"/>
      <c r="CG619" s="23"/>
      <c r="CH619" s="23"/>
      <c r="CI619" s="23"/>
    </row>
    <row r="620" spans="1:87" x14ac:dyDescent="0.3">
      <c r="A620" s="9" t="s">
        <v>5447</v>
      </c>
      <c r="B620" s="10" t="s">
        <v>5448</v>
      </c>
      <c r="C620" s="11">
        <v>45921.885416666664</v>
      </c>
      <c r="D620" s="12">
        <v>8.3333333333333329E-2</v>
      </c>
      <c r="E620" s="11">
        <v>45921.96875</v>
      </c>
      <c r="F620" s="10" t="s">
        <v>5001</v>
      </c>
      <c r="G620" s="13" t="b">
        <v>0</v>
      </c>
      <c r="H620" s="10" t="s">
        <v>5239</v>
      </c>
      <c r="I620" s="10" t="s">
        <v>89</v>
      </c>
      <c r="J620" s="13" t="b">
        <v>0</v>
      </c>
      <c r="K620" s="13" t="b">
        <v>1</v>
      </c>
      <c r="L620" s="10" t="s">
        <v>124</v>
      </c>
      <c r="M620" s="10" t="s">
        <v>91</v>
      </c>
      <c r="N620" s="10" t="s">
        <v>92</v>
      </c>
      <c r="O620" s="19" t="s">
        <v>5449</v>
      </c>
      <c r="P620" s="10"/>
      <c r="Q620" s="10" t="s">
        <v>126</v>
      </c>
      <c r="R620" s="10"/>
      <c r="S620" s="19" t="s">
        <v>5450</v>
      </c>
      <c r="T620" s="19" t="s">
        <v>5422</v>
      </c>
      <c r="U620" s="10" t="s">
        <v>5041</v>
      </c>
      <c r="V620" s="10" t="s">
        <v>5090</v>
      </c>
      <c r="W620" s="10" t="s">
        <v>5007</v>
      </c>
      <c r="X620" s="10" t="s">
        <v>130</v>
      </c>
      <c r="Y620" s="10" t="s">
        <v>130</v>
      </c>
      <c r="Z620" s="10" t="s">
        <v>99</v>
      </c>
      <c r="AA620" s="10" t="s">
        <v>131</v>
      </c>
      <c r="AB620" s="10" t="s">
        <v>5008</v>
      </c>
      <c r="AC620" s="10" t="s">
        <v>5009</v>
      </c>
      <c r="AD620" s="10" t="s">
        <v>5451</v>
      </c>
      <c r="AE620" s="10" t="s">
        <v>5452</v>
      </c>
      <c r="AF620" s="15"/>
      <c r="AG620" s="10"/>
      <c r="AH620" s="10"/>
      <c r="AI620" s="10"/>
      <c r="AJ620" s="10" t="s">
        <v>5453</v>
      </c>
      <c r="AK620" s="10" t="s">
        <v>102</v>
      </c>
      <c r="AL620" s="10" t="s">
        <v>167</v>
      </c>
      <c r="AM620" s="10"/>
      <c r="AN620" s="10"/>
      <c r="AO620" s="13" t="b">
        <v>0</v>
      </c>
      <c r="AP620" s="10" t="s">
        <v>104</v>
      </c>
      <c r="AQ620" s="10">
        <f ca="1">IFERROR(__xludf.DUMMYFUNCTION("""COMPUTED_VALUE"""),4577360)</f>
        <v>4577360</v>
      </c>
      <c r="AR620" s="17">
        <v>40066</v>
      </c>
      <c r="AS620" s="17">
        <v>26684</v>
      </c>
      <c r="AT620" s="17">
        <v>479545.25</v>
      </c>
      <c r="AU620" s="17">
        <v>155.69999999999999</v>
      </c>
      <c r="AV620" s="17">
        <v>60.05</v>
      </c>
      <c r="AW620" s="10" t="s">
        <v>105</v>
      </c>
      <c r="AX620" s="17">
        <v>8719</v>
      </c>
      <c r="AY620" s="18">
        <v>17.971265552390946</v>
      </c>
      <c r="AZ620" s="10" t="s">
        <v>106</v>
      </c>
      <c r="BA620" s="20" t="b">
        <v>0</v>
      </c>
      <c r="BB620" s="10"/>
      <c r="BC620" s="17">
        <v>40066</v>
      </c>
      <c r="BD620" s="17">
        <v>26684</v>
      </c>
      <c r="BE620" s="17">
        <v>479545.25</v>
      </c>
      <c r="BF620" s="17">
        <v>60.05</v>
      </c>
      <c r="BG620" s="11">
        <f ca="1">IFERROR(__xludf.DUMMYFUNCTION("""COMPUTED_VALUE"""),45921.8854166666)</f>
        <v>45921.885416666599</v>
      </c>
      <c r="BH620" s="17" t="s">
        <v>105</v>
      </c>
      <c r="BI620" s="17"/>
      <c r="BJ620" s="15"/>
      <c r="BK620" s="15"/>
      <c r="BL620" s="13" t="b">
        <v>0</v>
      </c>
      <c r="BM620" s="10"/>
      <c r="BN620" s="10" t="s">
        <v>106</v>
      </c>
      <c r="BO620" s="11">
        <v>45866.101388888892</v>
      </c>
      <c r="BP620" s="11">
        <v>45915.573495370372</v>
      </c>
      <c r="BQ620" s="15">
        <v>45916.426921296297</v>
      </c>
      <c r="BR620" s="15">
        <v>45917.451979166668</v>
      </c>
      <c r="BS620" s="10"/>
      <c r="BT620" s="10"/>
      <c r="BU620" s="10"/>
      <c r="BV620" s="10"/>
      <c r="BW620" s="10"/>
      <c r="BX620" s="10"/>
      <c r="BY620" s="23"/>
      <c r="BZ620" s="23"/>
      <c r="CA620" s="19" t="s">
        <v>5454</v>
      </c>
      <c r="CB620" s="19" t="s">
        <v>5455</v>
      </c>
      <c r="CC620" s="23"/>
      <c r="CD620" s="19" t="s">
        <v>5456</v>
      </c>
      <c r="CE620" s="23"/>
      <c r="CF620" s="23"/>
      <c r="CG620" s="23"/>
      <c r="CH620" s="23"/>
      <c r="CI620" s="23"/>
    </row>
    <row r="621" spans="1:87" x14ac:dyDescent="0.3">
      <c r="A621" s="9" t="s">
        <v>5457</v>
      </c>
      <c r="B621" s="10" t="s">
        <v>5458</v>
      </c>
      <c r="C621" s="11">
        <v>45921.791666666664</v>
      </c>
      <c r="D621" s="12">
        <v>8.3333333333333329E-2</v>
      </c>
      <c r="E621" s="11">
        <v>45921.875</v>
      </c>
      <c r="F621" s="10" t="s">
        <v>5001</v>
      </c>
      <c r="G621" s="13" t="b">
        <v>0</v>
      </c>
      <c r="H621" s="10" t="s">
        <v>3564</v>
      </c>
      <c r="I621" s="10" t="s">
        <v>89</v>
      </c>
      <c r="J621" s="13" t="b">
        <v>0</v>
      </c>
      <c r="K621" s="13" t="b">
        <v>1</v>
      </c>
      <c r="L621" s="10" t="s">
        <v>124</v>
      </c>
      <c r="M621" s="10" t="s">
        <v>91</v>
      </c>
      <c r="N621" s="10" t="s">
        <v>92</v>
      </c>
      <c r="O621" s="19" t="s">
        <v>5459</v>
      </c>
      <c r="P621" s="10"/>
      <c r="Q621" s="10" t="s">
        <v>94</v>
      </c>
      <c r="R621" s="10"/>
      <c r="S621" s="19" t="s">
        <v>5460</v>
      </c>
      <c r="T621" s="19" t="s">
        <v>5422</v>
      </c>
      <c r="U621" s="10" t="s">
        <v>5006</v>
      </c>
      <c r="V621" s="10" t="s">
        <v>5066</v>
      </c>
      <c r="W621" s="10" t="s">
        <v>5007</v>
      </c>
      <c r="X621" s="10" t="s">
        <v>130</v>
      </c>
      <c r="Y621" s="10" t="s">
        <v>130</v>
      </c>
      <c r="Z621" s="10" t="s">
        <v>99</v>
      </c>
      <c r="AA621" s="10" t="s">
        <v>131</v>
      </c>
      <c r="AB621" s="10" t="s">
        <v>5008</v>
      </c>
      <c r="AC621" s="10" t="s">
        <v>5009</v>
      </c>
      <c r="AD621" s="10" t="s">
        <v>5461</v>
      </c>
      <c r="AE621" s="10" t="s">
        <v>5462</v>
      </c>
      <c r="AF621" s="15"/>
      <c r="AG621" s="10"/>
      <c r="AH621" s="10"/>
      <c r="AI621" s="10"/>
      <c r="AJ621" s="10"/>
      <c r="AK621" s="10" t="s">
        <v>102</v>
      </c>
      <c r="AL621" s="10" t="s">
        <v>167</v>
      </c>
      <c r="AM621" s="10"/>
      <c r="AN621" s="10"/>
      <c r="AO621" s="13" t="b">
        <v>0</v>
      </c>
      <c r="AP621" s="10" t="s">
        <v>104</v>
      </c>
      <c r="AQ621" s="10">
        <f ca="1">IFERROR(__xludf.DUMMYFUNCTION("""COMPUTED_VALUE"""),4587616)</f>
        <v>4587616</v>
      </c>
      <c r="AR621" s="17">
        <v>9067</v>
      </c>
      <c r="AS621" s="17">
        <v>7079</v>
      </c>
      <c r="AT621" s="17">
        <v>69755.25</v>
      </c>
      <c r="AU621" s="17">
        <v>18.899999999999999</v>
      </c>
      <c r="AV621" s="17">
        <v>5.8</v>
      </c>
      <c r="AW621" s="10" t="s">
        <v>105</v>
      </c>
      <c r="AX621" s="17">
        <v>1504</v>
      </c>
      <c r="AY621" s="18">
        <v>9.8538282243254702</v>
      </c>
      <c r="AZ621" s="10" t="s">
        <v>106</v>
      </c>
      <c r="BA621" s="20" t="b">
        <v>0</v>
      </c>
      <c r="BB621" s="10"/>
      <c r="BC621" s="17">
        <v>9067</v>
      </c>
      <c r="BD621" s="17">
        <v>7079</v>
      </c>
      <c r="BE621" s="17">
        <v>69755.25</v>
      </c>
      <c r="BF621" s="17">
        <v>5.8</v>
      </c>
      <c r="BG621" s="11">
        <f ca="1">IFERROR(__xludf.DUMMYFUNCTION("""COMPUTED_VALUE"""),45921.7916666666)</f>
        <v>45921.791666666599</v>
      </c>
      <c r="BH621" s="17" t="s">
        <v>105</v>
      </c>
      <c r="BI621" s="17"/>
      <c r="BJ621" s="15"/>
      <c r="BK621" s="15"/>
      <c r="BL621" s="13" t="b">
        <v>0</v>
      </c>
      <c r="BM621" s="10"/>
      <c r="BN621" s="10" t="s">
        <v>137</v>
      </c>
      <c r="BO621" s="11">
        <v>45866.101388888892</v>
      </c>
      <c r="BP621" s="11">
        <v>45912.604270833333</v>
      </c>
      <c r="BQ621" s="15">
        <v>45916.426759259259</v>
      </c>
      <c r="BR621" s="15">
        <v>45921.605127314811</v>
      </c>
      <c r="BS621" s="10" t="s">
        <v>137</v>
      </c>
      <c r="BT621" s="10" t="s">
        <v>99</v>
      </c>
      <c r="BU621" s="10" t="s">
        <v>5463</v>
      </c>
      <c r="BV621" s="10"/>
      <c r="BW621" s="10"/>
      <c r="BX621" s="10"/>
      <c r="BY621" s="23"/>
      <c r="BZ621" s="23"/>
      <c r="CA621" s="19" t="s">
        <v>5464</v>
      </c>
      <c r="CB621" s="19" t="s">
        <v>5465</v>
      </c>
      <c r="CC621" s="23"/>
      <c r="CD621" s="23"/>
      <c r="CE621" s="23"/>
      <c r="CF621" s="23"/>
      <c r="CG621" s="23"/>
      <c r="CH621" s="23"/>
      <c r="CI621" s="23"/>
    </row>
    <row r="622" spans="1:87" x14ac:dyDescent="0.3">
      <c r="A622" s="9" t="s">
        <v>5466</v>
      </c>
      <c r="B622" s="10" t="s">
        <v>5467</v>
      </c>
      <c r="C622" s="11">
        <v>45921.979166666664</v>
      </c>
      <c r="D622" s="12">
        <v>8.3333333333333329E-2</v>
      </c>
      <c r="E622" s="11">
        <v>45922.0625</v>
      </c>
      <c r="F622" s="10" t="s">
        <v>5001</v>
      </c>
      <c r="G622" s="13" t="b">
        <v>0</v>
      </c>
      <c r="H622" s="10" t="s">
        <v>3578</v>
      </c>
      <c r="I622" s="10" t="s">
        <v>89</v>
      </c>
      <c r="J622" s="13" t="b">
        <v>0</v>
      </c>
      <c r="K622" s="13" t="b">
        <v>1</v>
      </c>
      <c r="L622" s="10" t="s">
        <v>124</v>
      </c>
      <c r="M622" s="10" t="s">
        <v>91</v>
      </c>
      <c r="N622" s="10" t="s">
        <v>92</v>
      </c>
      <c r="O622" s="19" t="s">
        <v>5468</v>
      </c>
      <c r="P622" s="10"/>
      <c r="Q622" s="10" t="s">
        <v>94</v>
      </c>
      <c r="R622" s="10"/>
      <c r="S622" s="19" t="s">
        <v>5469</v>
      </c>
      <c r="T622" s="19" t="s">
        <v>5422</v>
      </c>
      <c r="U622" s="10" t="s">
        <v>5101</v>
      </c>
      <c r="V622" s="10" t="s">
        <v>5019</v>
      </c>
      <c r="W622" s="10" t="s">
        <v>5007</v>
      </c>
      <c r="X622" s="10" t="s">
        <v>130</v>
      </c>
      <c r="Y622" s="10" t="s">
        <v>130</v>
      </c>
      <c r="Z622" s="10" t="s">
        <v>99</v>
      </c>
      <c r="AA622" s="10" t="s">
        <v>131</v>
      </c>
      <c r="AB622" s="10" t="s">
        <v>5008</v>
      </c>
      <c r="AC622" s="10" t="s">
        <v>5009</v>
      </c>
      <c r="AD622" s="10" t="s">
        <v>5470</v>
      </c>
      <c r="AE622" s="10" t="s">
        <v>5471</v>
      </c>
      <c r="AF622" s="15"/>
      <c r="AG622" s="10"/>
      <c r="AH622" s="10"/>
      <c r="AI622" s="10"/>
      <c r="AJ622" s="10"/>
      <c r="AK622" s="10" t="s">
        <v>102</v>
      </c>
      <c r="AL622" s="10" t="s">
        <v>167</v>
      </c>
      <c r="AM622" s="10"/>
      <c r="AN622" s="10"/>
      <c r="AO622" s="13" t="b">
        <v>0</v>
      </c>
      <c r="AP622" s="10" t="s">
        <v>104</v>
      </c>
      <c r="AQ622" s="10">
        <f ca="1">IFERROR(__xludf.DUMMYFUNCTION("""COMPUTED_VALUE"""),4577357)</f>
        <v>4577357</v>
      </c>
      <c r="AR622" s="17">
        <v>9666</v>
      </c>
      <c r="AS622" s="17">
        <v>7881</v>
      </c>
      <c r="AT622" s="17">
        <v>176061</v>
      </c>
      <c r="AU622" s="17">
        <v>26.3</v>
      </c>
      <c r="AV622" s="17">
        <v>8.3000000000000007</v>
      </c>
      <c r="AW622" s="10" t="s">
        <v>105</v>
      </c>
      <c r="AX622" s="17">
        <v>2353</v>
      </c>
      <c r="AY622" s="18">
        <v>22.339931480776553</v>
      </c>
      <c r="AZ622" s="10" t="s">
        <v>106</v>
      </c>
      <c r="BA622" s="20" t="b">
        <v>0</v>
      </c>
      <c r="BB622" s="10"/>
      <c r="BC622" s="17">
        <v>9666</v>
      </c>
      <c r="BD622" s="17">
        <v>7881</v>
      </c>
      <c r="BE622" s="17">
        <v>176061</v>
      </c>
      <c r="BF622" s="17">
        <v>8.3000000000000007</v>
      </c>
      <c r="BG622" s="11">
        <f ca="1">IFERROR(__xludf.DUMMYFUNCTION("""COMPUTED_VALUE"""),45921.9791666666)</f>
        <v>45921.979166666599</v>
      </c>
      <c r="BH622" s="17" t="s">
        <v>105</v>
      </c>
      <c r="BI622" s="17"/>
      <c r="BJ622" s="15"/>
      <c r="BK622" s="15"/>
      <c r="BL622" s="13" t="b">
        <v>0</v>
      </c>
      <c r="BM622" s="10"/>
      <c r="BN622" s="10" t="s">
        <v>106</v>
      </c>
      <c r="BO622" s="11">
        <v>45866.101388888892</v>
      </c>
      <c r="BP622" s="11">
        <v>45912.604398148149</v>
      </c>
      <c r="BQ622" s="15">
        <v>45916.427129629628</v>
      </c>
      <c r="BR622" s="15">
        <v>45917.437268518515</v>
      </c>
      <c r="BS622" s="10"/>
      <c r="BT622" s="10"/>
      <c r="BU622" s="10"/>
      <c r="BV622" s="10"/>
      <c r="BW622" s="10"/>
      <c r="BX622" s="10"/>
      <c r="BY622" s="23"/>
      <c r="BZ622" s="23"/>
      <c r="CA622" s="19" t="s">
        <v>5472</v>
      </c>
      <c r="CB622" s="19" t="s">
        <v>5473</v>
      </c>
      <c r="CC622" s="23"/>
      <c r="CD622" s="23"/>
      <c r="CE622" s="23"/>
      <c r="CF622" s="23"/>
      <c r="CG622" s="23"/>
      <c r="CH622" s="23"/>
      <c r="CI622" s="23"/>
    </row>
    <row r="623" spans="1:87" x14ac:dyDescent="0.3">
      <c r="A623" s="9" t="s">
        <v>5474</v>
      </c>
      <c r="B623" s="10" t="s">
        <v>5475</v>
      </c>
      <c r="C623" s="11">
        <v>45920.083333333336</v>
      </c>
      <c r="D623" s="12">
        <v>8.3333333333333329E-2</v>
      </c>
      <c r="E623" s="11">
        <v>45920.166666666664</v>
      </c>
      <c r="F623" s="10" t="s">
        <v>5001</v>
      </c>
      <c r="G623" s="13" t="b">
        <v>0</v>
      </c>
      <c r="H623" s="10" t="s">
        <v>3564</v>
      </c>
      <c r="I623" s="10" t="s">
        <v>89</v>
      </c>
      <c r="J623" s="13" t="b">
        <v>0</v>
      </c>
      <c r="K623" s="13" t="b">
        <v>1</v>
      </c>
      <c r="L623" s="10" t="s">
        <v>124</v>
      </c>
      <c r="M623" s="10" t="s">
        <v>91</v>
      </c>
      <c r="N623" s="10" t="s">
        <v>92</v>
      </c>
      <c r="O623" s="19" t="s">
        <v>5476</v>
      </c>
      <c r="P623" s="10"/>
      <c r="Q623" s="10" t="s">
        <v>126</v>
      </c>
      <c r="R623" s="10"/>
      <c r="S623" s="19" t="s">
        <v>5477</v>
      </c>
      <c r="T623" s="19" t="s">
        <v>5422</v>
      </c>
      <c r="U623" s="10" t="s">
        <v>5102</v>
      </c>
      <c r="V623" s="10" t="s">
        <v>5055</v>
      </c>
      <c r="W623" s="10" t="s">
        <v>5007</v>
      </c>
      <c r="X623" s="10" t="s">
        <v>130</v>
      </c>
      <c r="Y623" s="10" t="s">
        <v>130</v>
      </c>
      <c r="Z623" s="10" t="s">
        <v>99</v>
      </c>
      <c r="AA623" s="10" t="s">
        <v>131</v>
      </c>
      <c r="AB623" s="10" t="s">
        <v>5008</v>
      </c>
      <c r="AC623" s="10" t="s">
        <v>5009</v>
      </c>
      <c r="AD623" s="10" t="s">
        <v>5478</v>
      </c>
      <c r="AE623" s="10" t="s">
        <v>5479</v>
      </c>
      <c r="AF623" s="15"/>
      <c r="AG623" s="10"/>
      <c r="AH623" s="10"/>
      <c r="AI623" s="10"/>
      <c r="AJ623" s="10" t="s">
        <v>5480</v>
      </c>
      <c r="AK623" s="10" t="s">
        <v>102</v>
      </c>
      <c r="AL623" s="10" t="s">
        <v>167</v>
      </c>
      <c r="AM623" s="10"/>
      <c r="AN623" s="10"/>
      <c r="AO623" s="13" t="b">
        <v>0</v>
      </c>
      <c r="AP623" s="10" t="s">
        <v>104</v>
      </c>
      <c r="AQ623" s="10">
        <f ca="1">IFERROR(__xludf.DUMMYFUNCTION("""COMPUTED_VALUE"""),4577342)</f>
        <v>4577342</v>
      </c>
      <c r="AR623" s="17">
        <v>13811</v>
      </c>
      <c r="AS623" s="17">
        <v>10123</v>
      </c>
      <c r="AT623" s="17">
        <v>442724.5</v>
      </c>
      <c r="AU623" s="17">
        <v>34.65</v>
      </c>
      <c r="AV623" s="17">
        <v>15.5</v>
      </c>
      <c r="AW623" s="10" t="s">
        <v>105</v>
      </c>
      <c r="AX623" s="17">
        <v>3307</v>
      </c>
      <c r="AY623" s="18">
        <v>43.734515459843919</v>
      </c>
      <c r="AZ623" s="10" t="s">
        <v>106</v>
      </c>
      <c r="BA623" s="20" t="b">
        <v>0</v>
      </c>
      <c r="BB623" s="10"/>
      <c r="BC623" s="17">
        <v>13811</v>
      </c>
      <c r="BD623" s="17">
        <v>10123</v>
      </c>
      <c r="BE623" s="17">
        <v>442724.5</v>
      </c>
      <c r="BF623" s="17">
        <v>15.5</v>
      </c>
      <c r="BG623" s="11">
        <f ca="1">IFERROR(__xludf.DUMMYFUNCTION("""COMPUTED_VALUE"""),45920.0833333333)</f>
        <v>45920.083333333299</v>
      </c>
      <c r="BH623" s="17" t="s">
        <v>105</v>
      </c>
      <c r="BI623" s="17"/>
      <c r="BJ623" s="15"/>
      <c r="BK623" s="15"/>
      <c r="BL623" s="13" t="b">
        <v>0</v>
      </c>
      <c r="BM623" s="10"/>
      <c r="BN623" s="10" t="s">
        <v>1160</v>
      </c>
      <c r="BO623" s="11">
        <v>45866.101388888892</v>
      </c>
      <c r="BP623" s="11">
        <v>45915.52884259259</v>
      </c>
      <c r="BQ623" s="15">
        <v>45916.425763888888</v>
      </c>
      <c r="BR623" s="15">
        <v>45917.413483796299</v>
      </c>
      <c r="BS623" s="10" t="s">
        <v>1160</v>
      </c>
      <c r="BT623" s="10" t="s">
        <v>99</v>
      </c>
      <c r="BU623" s="10" t="s">
        <v>5481</v>
      </c>
      <c r="BV623" s="10"/>
      <c r="BW623" s="10"/>
      <c r="BX623" s="10"/>
      <c r="BY623" s="23"/>
      <c r="BZ623" s="23"/>
      <c r="CA623" s="19" t="s">
        <v>5482</v>
      </c>
      <c r="CB623" s="19" t="s">
        <v>5483</v>
      </c>
      <c r="CC623" s="23"/>
      <c r="CD623" s="19" t="s">
        <v>5484</v>
      </c>
      <c r="CE623" s="23"/>
      <c r="CF623" s="23"/>
      <c r="CG623" s="23"/>
      <c r="CH623" s="23"/>
      <c r="CI623" s="23"/>
    </row>
    <row r="624" spans="1:87" x14ac:dyDescent="0.3">
      <c r="A624" s="9" t="s">
        <v>5485</v>
      </c>
      <c r="B624" s="10" t="s">
        <v>5486</v>
      </c>
      <c r="C624" s="11">
        <v>45922.083333333336</v>
      </c>
      <c r="D624" s="12">
        <v>8.3333333333333329E-2</v>
      </c>
      <c r="E624" s="11">
        <v>45922.166666666664</v>
      </c>
      <c r="F624" s="10" t="s">
        <v>5001</v>
      </c>
      <c r="G624" s="13" t="b">
        <v>0</v>
      </c>
      <c r="H624" s="10" t="s">
        <v>3578</v>
      </c>
      <c r="I624" s="10" t="s">
        <v>89</v>
      </c>
      <c r="J624" s="13" t="b">
        <v>0</v>
      </c>
      <c r="K624" s="13" t="b">
        <v>1</v>
      </c>
      <c r="L624" s="10" t="s">
        <v>124</v>
      </c>
      <c r="M624" s="10" t="s">
        <v>91</v>
      </c>
      <c r="N624" s="10" t="s">
        <v>92</v>
      </c>
      <c r="O624" s="19" t="s">
        <v>5487</v>
      </c>
      <c r="P624" s="10"/>
      <c r="Q624" s="10" t="s">
        <v>126</v>
      </c>
      <c r="R624" s="10"/>
      <c r="S624" s="19" t="s">
        <v>5488</v>
      </c>
      <c r="T624" s="19" t="s">
        <v>5422</v>
      </c>
      <c r="U624" s="10" t="s">
        <v>5042</v>
      </c>
      <c r="V624" s="10" t="s">
        <v>5067</v>
      </c>
      <c r="W624" s="10" t="s">
        <v>5007</v>
      </c>
      <c r="X624" s="10" t="s">
        <v>130</v>
      </c>
      <c r="Y624" s="10" t="s">
        <v>130</v>
      </c>
      <c r="Z624" s="10" t="s">
        <v>99</v>
      </c>
      <c r="AA624" s="10" t="s">
        <v>131</v>
      </c>
      <c r="AB624" s="10" t="s">
        <v>5008</v>
      </c>
      <c r="AC624" s="10" t="s">
        <v>5009</v>
      </c>
      <c r="AD624" s="10" t="s">
        <v>5489</v>
      </c>
      <c r="AE624" s="10" t="s">
        <v>5490</v>
      </c>
      <c r="AF624" s="15"/>
      <c r="AG624" s="10"/>
      <c r="AH624" s="10"/>
      <c r="AI624" s="10"/>
      <c r="AJ624" s="10" t="s">
        <v>5491</v>
      </c>
      <c r="AK624" s="10" t="s">
        <v>102</v>
      </c>
      <c r="AL624" s="10" t="s">
        <v>167</v>
      </c>
      <c r="AM624" s="10"/>
      <c r="AN624" s="10"/>
      <c r="AO624" s="13" t="b">
        <v>1</v>
      </c>
      <c r="AP624" s="10" t="s">
        <v>104</v>
      </c>
      <c r="AQ624" s="10">
        <f ca="1">IFERROR(__xludf.DUMMYFUNCTION("""COMPUTED_VALUE"""),4585668)</f>
        <v>4585668</v>
      </c>
      <c r="AR624" s="17">
        <v>66975</v>
      </c>
      <c r="AS624" s="17">
        <v>43110</v>
      </c>
      <c r="AT624" s="17">
        <v>2591827.75</v>
      </c>
      <c r="AU624" s="17">
        <v>426.6</v>
      </c>
      <c r="AV624" s="17">
        <v>157.69999999999999</v>
      </c>
      <c r="AW624" s="10" t="s">
        <v>105</v>
      </c>
      <c r="AX624" s="17">
        <v>22815</v>
      </c>
      <c r="AY624" s="18">
        <v>60.121265367664115</v>
      </c>
      <c r="AZ624" s="10" t="s">
        <v>106</v>
      </c>
      <c r="BA624" s="20" t="b">
        <v>0</v>
      </c>
      <c r="BB624" s="10"/>
      <c r="BC624" s="17">
        <v>66975</v>
      </c>
      <c r="BD624" s="17">
        <v>43110</v>
      </c>
      <c r="BE624" s="17">
        <v>2591827.75</v>
      </c>
      <c r="BF624" s="17">
        <v>157.69999999999999</v>
      </c>
      <c r="BG624" s="11">
        <f ca="1">IFERROR(__xludf.DUMMYFUNCTION("""COMPUTED_VALUE"""),45922.0833333333)</f>
        <v>45922.083333333299</v>
      </c>
      <c r="BH624" s="17" t="s">
        <v>105</v>
      </c>
      <c r="BI624" s="17"/>
      <c r="BJ624" s="15"/>
      <c r="BK624" s="15"/>
      <c r="BL624" s="13" t="b">
        <v>0</v>
      </c>
      <c r="BM624" s="10"/>
      <c r="BN624" s="10" t="s">
        <v>278</v>
      </c>
      <c r="BO624" s="11">
        <v>45866.101388888892</v>
      </c>
      <c r="BP624" s="11">
        <v>45915.581203703703</v>
      </c>
      <c r="BQ624" s="15">
        <v>45916.42732638889</v>
      </c>
      <c r="BR624" s="15">
        <v>45920.41002314815</v>
      </c>
      <c r="BS624" s="10" t="s">
        <v>278</v>
      </c>
      <c r="BT624" s="10" t="s">
        <v>99</v>
      </c>
      <c r="BU624" s="10" t="s">
        <v>5492</v>
      </c>
      <c r="BV624" s="10" t="s">
        <v>124</v>
      </c>
      <c r="BW624" s="10"/>
      <c r="BX624" s="10"/>
      <c r="BY624" s="23"/>
      <c r="BZ624" s="23"/>
      <c r="CA624" s="19" t="s">
        <v>5493</v>
      </c>
      <c r="CB624" s="19" t="s">
        <v>5494</v>
      </c>
      <c r="CC624" s="23"/>
      <c r="CD624" s="19" t="s">
        <v>5495</v>
      </c>
      <c r="CE624" s="23"/>
      <c r="CF624" s="23"/>
      <c r="CG624" s="23"/>
      <c r="CH624" s="23"/>
      <c r="CI624" s="23"/>
    </row>
    <row r="625" spans="1:87" x14ac:dyDescent="0.3">
      <c r="A625" s="9" t="s">
        <v>5496</v>
      </c>
      <c r="B625" s="10" t="s">
        <v>5497</v>
      </c>
      <c r="C625" s="11">
        <v>45920.979166666664</v>
      </c>
      <c r="D625" s="12">
        <v>8.3333333333333329E-2</v>
      </c>
      <c r="E625" s="11">
        <v>45921.0625</v>
      </c>
      <c r="F625" s="10" t="s">
        <v>5001</v>
      </c>
      <c r="G625" s="13" t="b">
        <v>0</v>
      </c>
      <c r="H625" s="10" t="s">
        <v>3578</v>
      </c>
      <c r="I625" s="10" t="s">
        <v>89</v>
      </c>
      <c r="J625" s="13" t="b">
        <v>0</v>
      </c>
      <c r="K625" s="13" t="b">
        <v>1</v>
      </c>
      <c r="L625" s="10" t="s">
        <v>124</v>
      </c>
      <c r="M625" s="10" t="s">
        <v>91</v>
      </c>
      <c r="N625" s="10" t="s">
        <v>92</v>
      </c>
      <c r="O625" s="19" t="s">
        <v>5498</v>
      </c>
      <c r="P625" s="10"/>
      <c r="Q625" s="10" t="s">
        <v>126</v>
      </c>
      <c r="R625" s="10"/>
      <c r="S625" s="19" t="s">
        <v>5499</v>
      </c>
      <c r="T625" s="19" t="s">
        <v>5422</v>
      </c>
      <c r="U625" s="10" t="s">
        <v>5031</v>
      </c>
      <c r="V625" s="10" t="s">
        <v>5077</v>
      </c>
      <c r="W625" s="10" t="s">
        <v>5007</v>
      </c>
      <c r="X625" s="10" t="s">
        <v>130</v>
      </c>
      <c r="Y625" s="10" t="s">
        <v>130</v>
      </c>
      <c r="Z625" s="10" t="s">
        <v>99</v>
      </c>
      <c r="AA625" s="10" t="s">
        <v>131</v>
      </c>
      <c r="AB625" s="10" t="s">
        <v>5008</v>
      </c>
      <c r="AC625" s="10" t="s">
        <v>5009</v>
      </c>
      <c r="AD625" s="10" t="s">
        <v>5500</v>
      </c>
      <c r="AE625" s="10" t="s">
        <v>5501</v>
      </c>
      <c r="AF625" s="15"/>
      <c r="AG625" s="10"/>
      <c r="AH625" s="10"/>
      <c r="AI625" s="10"/>
      <c r="AJ625" s="10" t="s">
        <v>5502</v>
      </c>
      <c r="AK625" s="10" t="s">
        <v>102</v>
      </c>
      <c r="AL625" s="10" t="s">
        <v>167</v>
      </c>
      <c r="AM625" s="10"/>
      <c r="AN625" s="10"/>
      <c r="AO625" s="13" t="b">
        <v>0</v>
      </c>
      <c r="AP625" s="10" t="s">
        <v>104</v>
      </c>
      <c r="AQ625" s="10">
        <f ca="1">IFERROR(__xludf.DUMMYFUNCTION("""COMPUTED_VALUE"""),4577355)</f>
        <v>4577355</v>
      </c>
      <c r="AR625" s="17">
        <v>10307</v>
      </c>
      <c r="AS625" s="17">
        <v>8280</v>
      </c>
      <c r="AT625" s="17">
        <v>72407.75</v>
      </c>
      <c r="AU625" s="17">
        <v>19.2</v>
      </c>
      <c r="AV625" s="17">
        <v>10.5</v>
      </c>
      <c r="AW625" s="10" t="s">
        <v>105</v>
      </c>
      <c r="AX625" s="17">
        <v>1055</v>
      </c>
      <c r="AY625" s="18">
        <v>8.74489734299517</v>
      </c>
      <c r="AZ625" s="10" t="s">
        <v>106</v>
      </c>
      <c r="BA625" s="20" t="b">
        <v>0</v>
      </c>
      <c r="BB625" s="10"/>
      <c r="BC625" s="17">
        <v>10307</v>
      </c>
      <c r="BD625" s="17">
        <v>8280</v>
      </c>
      <c r="BE625" s="17">
        <v>72407.75</v>
      </c>
      <c r="BF625" s="17">
        <v>10.5</v>
      </c>
      <c r="BG625" s="11">
        <f ca="1">IFERROR(__xludf.DUMMYFUNCTION("""COMPUTED_VALUE"""),45920.9791666666)</f>
        <v>45920.979166666599</v>
      </c>
      <c r="BH625" s="17" t="s">
        <v>105</v>
      </c>
      <c r="BI625" s="17"/>
      <c r="BJ625" s="15"/>
      <c r="BK625" s="15"/>
      <c r="BL625" s="13" t="b">
        <v>0</v>
      </c>
      <c r="BM625" s="10"/>
      <c r="BN625" s="10" t="s">
        <v>106</v>
      </c>
      <c r="BO625" s="11">
        <v>45866.101388888892</v>
      </c>
      <c r="BP625" s="11">
        <v>45915.551874999997</v>
      </c>
      <c r="BQ625" s="15">
        <v>45916.426261574074</v>
      </c>
      <c r="BR625" s="15">
        <v>45917.43681712963</v>
      </c>
      <c r="BS625" s="10"/>
      <c r="BT625" s="10"/>
      <c r="BU625" s="10"/>
      <c r="BV625" s="10"/>
      <c r="BW625" s="10"/>
      <c r="BX625" s="10"/>
      <c r="BY625" s="23"/>
      <c r="BZ625" s="23"/>
      <c r="CA625" s="19" t="s">
        <v>5503</v>
      </c>
      <c r="CB625" s="19" t="s">
        <v>5504</v>
      </c>
      <c r="CC625" s="23"/>
      <c r="CD625" s="19" t="s">
        <v>5505</v>
      </c>
      <c r="CE625" s="23"/>
      <c r="CF625" s="23"/>
      <c r="CG625" s="23"/>
      <c r="CH625" s="23"/>
      <c r="CI625" s="23"/>
    </row>
    <row r="626" spans="1:87" x14ac:dyDescent="0.3">
      <c r="A626" s="9" t="s">
        <v>5506</v>
      </c>
      <c r="B626" s="10" t="s">
        <v>5507</v>
      </c>
      <c r="C626" s="11">
        <v>45920.885416666664</v>
      </c>
      <c r="D626" s="12">
        <v>8.3333333333333329E-2</v>
      </c>
      <c r="E626" s="11">
        <v>45920.96875</v>
      </c>
      <c r="F626" s="10" t="s">
        <v>5001</v>
      </c>
      <c r="G626" s="13" t="b">
        <v>0</v>
      </c>
      <c r="H626" s="10" t="s">
        <v>5239</v>
      </c>
      <c r="I626" s="10" t="s">
        <v>89</v>
      </c>
      <c r="J626" s="13" t="b">
        <v>0</v>
      </c>
      <c r="K626" s="13" t="b">
        <v>1</v>
      </c>
      <c r="L626" s="10" t="s">
        <v>124</v>
      </c>
      <c r="M626" s="10" t="s">
        <v>91</v>
      </c>
      <c r="N626" s="10" t="s">
        <v>92</v>
      </c>
      <c r="O626" s="19" t="s">
        <v>5508</v>
      </c>
      <c r="P626" s="10"/>
      <c r="Q626" s="10" t="s">
        <v>126</v>
      </c>
      <c r="R626" s="10"/>
      <c r="S626" s="19" t="s">
        <v>5509</v>
      </c>
      <c r="T626" s="19" t="s">
        <v>5422</v>
      </c>
      <c r="U626" s="10" t="s">
        <v>5113</v>
      </c>
      <c r="V626" s="10" t="s">
        <v>5089</v>
      </c>
      <c r="W626" s="10" t="s">
        <v>5007</v>
      </c>
      <c r="X626" s="10" t="s">
        <v>130</v>
      </c>
      <c r="Y626" s="10" t="s">
        <v>130</v>
      </c>
      <c r="Z626" s="10" t="s">
        <v>99</v>
      </c>
      <c r="AA626" s="10" t="s">
        <v>131</v>
      </c>
      <c r="AB626" s="10" t="s">
        <v>5008</v>
      </c>
      <c r="AC626" s="10" t="s">
        <v>5009</v>
      </c>
      <c r="AD626" s="10" t="s">
        <v>5510</v>
      </c>
      <c r="AE626" s="10" t="s">
        <v>5511</v>
      </c>
      <c r="AF626" s="15"/>
      <c r="AG626" s="10"/>
      <c r="AH626" s="10"/>
      <c r="AI626" s="10"/>
      <c r="AJ626" s="10" t="s">
        <v>5512</v>
      </c>
      <c r="AK626" s="10" t="s">
        <v>102</v>
      </c>
      <c r="AL626" s="10" t="s">
        <v>167</v>
      </c>
      <c r="AM626" s="10"/>
      <c r="AN626" s="10"/>
      <c r="AO626" s="13" t="b">
        <v>1</v>
      </c>
      <c r="AP626" s="10" t="s">
        <v>104</v>
      </c>
      <c r="AQ626" s="10">
        <f ca="1">IFERROR(__xludf.DUMMYFUNCTION("""COMPUTED_VALUE"""),4577359)</f>
        <v>4577359</v>
      </c>
      <c r="AR626" s="17">
        <v>307869</v>
      </c>
      <c r="AS626" s="17">
        <v>180841</v>
      </c>
      <c r="AT626" s="17">
        <v>7143746.75</v>
      </c>
      <c r="AU626" s="17">
        <v>5675.7</v>
      </c>
      <c r="AV626" s="17">
        <v>1816.65</v>
      </c>
      <c r="AW626" s="10" t="s">
        <v>297</v>
      </c>
      <c r="AX626" s="17">
        <v>76711</v>
      </c>
      <c r="AY626" s="18">
        <v>39.502915544594423</v>
      </c>
      <c r="AZ626" s="10" t="s">
        <v>106</v>
      </c>
      <c r="BA626" s="20" t="b">
        <v>0</v>
      </c>
      <c r="BB626" s="10"/>
      <c r="BC626" s="17">
        <v>307869</v>
      </c>
      <c r="BD626" s="17">
        <v>180841</v>
      </c>
      <c r="BE626" s="17">
        <v>7143746.75</v>
      </c>
      <c r="BF626" s="17">
        <v>1816.65</v>
      </c>
      <c r="BG626" s="11">
        <f ca="1">IFERROR(__xludf.DUMMYFUNCTION("""COMPUTED_VALUE"""),45920.8854166666)</f>
        <v>45920.885416666599</v>
      </c>
      <c r="BH626" s="17" t="s">
        <v>297</v>
      </c>
      <c r="BI626" s="17"/>
      <c r="BJ626" s="15"/>
      <c r="BK626" s="15"/>
      <c r="BL626" s="13" t="b">
        <v>0</v>
      </c>
      <c r="BM626" s="10"/>
      <c r="BN626" s="10" t="s">
        <v>455</v>
      </c>
      <c r="BO626" s="11">
        <v>45866.101388888892</v>
      </c>
      <c r="BP626" s="11">
        <v>45915.529097222221</v>
      </c>
      <c r="BQ626" s="15">
        <v>45916.426111111112</v>
      </c>
      <c r="BR626" s="15">
        <v>45917.451817129629</v>
      </c>
      <c r="BS626" s="10" t="s">
        <v>455</v>
      </c>
      <c r="BT626" s="10" t="s">
        <v>99</v>
      </c>
      <c r="BU626" s="10" t="s">
        <v>655</v>
      </c>
      <c r="BV626" s="10" t="s">
        <v>281</v>
      </c>
      <c r="BW626" s="10"/>
      <c r="BX626" s="10"/>
      <c r="BY626" s="23"/>
      <c r="BZ626" s="23"/>
      <c r="CA626" s="19" t="s">
        <v>5513</v>
      </c>
      <c r="CB626" s="19" t="s">
        <v>5514</v>
      </c>
      <c r="CC626" s="23"/>
      <c r="CD626" s="19" t="s">
        <v>5515</v>
      </c>
      <c r="CE626" s="23"/>
      <c r="CF626" s="23"/>
      <c r="CG626" s="23"/>
      <c r="CH626" s="23"/>
      <c r="CI626" s="23"/>
    </row>
    <row r="627" spans="1:87" x14ac:dyDescent="0.3">
      <c r="A627" s="9" t="s">
        <v>5516</v>
      </c>
      <c r="B627" s="10" t="s">
        <v>5517</v>
      </c>
      <c r="C627" s="11">
        <v>45926.020833333336</v>
      </c>
      <c r="D627" s="12">
        <v>8.3333333333333329E-2</v>
      </c>
      <c r="E627" s="11">
        <v>45926.104166666664</v>
      </c>
      <c r="F627" s="10" t="s">
        <v>5001</v>
      </c>
      <c r="G627" s="13" t="b">
        <v>0</v>
      </c>
      <c r="H627" s="10" t="s">
        <v>5239</v>
      </c>
      <c r="I627" s="10" t="s">
        <v>89</v>
      </c>
      <c r="J627" s="13" t="b">
        <v>0</v>
      </c>
      <c r="K627" s="13" t="b">
        <v>1</v>
      </c>
      <c r="L627" s="10" t="s">
        <v>124</v>
      </c>
      <c r="M627" s="10" t="s">
        <v>91</v>
      </c>
      <c r="N627" s="10" t="s">
        <v>92</v>
      </c>
      <c r="O627" s="19" t="s">
        <v>5518</v>
      </c>
      <c r="P627" s="10"/>
      <c r="Q627" s="10" t="s">
        <v>94</v>
      </c>
      <c r="R627" s="10"/>
      <c r="S627" s="19" t="s">
        <v>5519</v>
      </c>
      <c r="T627" s="19" t="s">
        <v>5221</v>
      </c>
      <c r="U627" s="10" t="s">
        <v>5114</v>
      </c>
      <c r="V627" s="10" t="s">
        <v>5101</v>
      </c>
      <c r="W627" s="10" t="s">
        <v>5007</v>
      </c>
      <c r="X627" s="10" t="s">
        <v>130</v>
      </c>
      <c r="Y627" s="10" t="s">
        <v>130</v>
      </c>
      <c r="Z627" s="10" t="s">
        <v>99</v>
      </c>
      <c r="AA627" s="10" t="s">
        <v>131</v>
      </c>
      <c r="AB627" s="10" t="s">
        <v>5008</v>
      </c>
      <c r="AC627" s="10" t="s">
        <v>5009</v>
      </c>
      <c r="AD627" s="10" t="s">
        <v>5520</v>
      </c>
      <c r="AE627" s="10" t="s">
        <v>5521</v>
      </c>
      <c r="AF627" s="15"/>
      <c r="AG627" s="10"/>
      <c r="AH627" s="10"/>
      <c r="AI627" s="10"/>
      <c r="AJ627" s="10"/>
      <c r="AK627" s="10" t="s">
        <v>102</v>
      </c>
      <c r="AL627" s="10" t="s">
        <v>176</v>
      </c>
      <c r="AM627" s="10"/>
      <c r="AN627" s="10"/>
      <c r="AO627" s="13" t="b">
        <v>0</v>
      </c>
      <c r="AP627" s="10" t="s">
        <v>104</v>
      </c>
      <c r="AQ627" s="10">
        <f ca="1">IFERROR(__xludf.DUMMYFUNCTION("""COMPUTED_VALUE"""),4592586)</f>
        <v>4592586</v>
      </c>
      <c r="AR627" s="17">
        <v>7128</v>
      </c>
      <c r="AS627" s="17">
        <v>5125</v>
      </c>
      <c r="AT627" s="17">
        <v>106184</v>
      </c>
      <c r="AU627" s="17">
        <v>15.15</v>
      </c>
      <c r="AV627" s="17">
        <v>5.45</v>
      </c>
      <c r="AW627" s="10" t="s">
        <v>105</v>
      </c>
      <c r="AX627" s="17">
        <v>1484</v>
      </c>
      <c r="AY627" s="18">
        <v>20.718829268292684</v>
      </c>
      <c r="AZ627" s="10" t="s">
        <v>106</v>
      </c>
      <c r="BA627" s="20" t="b">
        <v>0</v>
      </c>
      <c r="BB627" s="10"/>
      <c r="BC627" s="17">
        <v>7128</v>
      </c>
      <c r="BD627" s="17">
        <v>5125</v>
      </c>
      <c r="BE627" s="17">
        <v>106184</v>
      </c>
      <c r="BF627" s="17">
        <v>5.45</v>
      </c>
      <c r="BG627" s="11">
        <f ca="1">IFERROR(__xludf.DUMMYFUNCTION("""COMPUTED_VALUE"""),45926.0208333333)</f>
        <v>45926.020833333299</v>
      </c>
      <c r="BH627" s="17" t="s">
        <v>105</v>
      </c>
      <c r="BI627" s="17"/>
      <c r="BJ627" s="15"/>
      <c r="BK627" s="15"/>
      <c r="BL627" s="13" t="b">
        <v>0</v>
      </c>
      <c r="BM627" s="10"/>
      <c r="BN627" s="10" t="s">
        <v>149</v>
      </c>
      <c r="BO627" s="11">
        <v>45866.101388888892</v>
      </c>
      <c r="BP627" s="11">
        <v>45915.63417824074</v>
      </c>
      <c r="BQ627" s="15">
        <v>45922.960960648146</v>
      </c>
      <c r="BR627" s="15">
        <v>45923.449861111112</v>
      </c>
      <c r="BS627" s="10" t="s">
        <v>149</v>
      </c>
      <c r="BT627" s="10"/>
      <c r="BU627" s="10"/>
      <c r="BV627" s="10"/>
      <c r="BW627" s="10"/>
      <c r="BX627" s="10"/>
      <c r="BY627" s="23"/>
      <c r="BZ627" s="23"/>
      <c r="CA627" s="19" t="s">
        <v>5522</v>
      </c>
      <c r="CB627" s="19" t="s">
        <v>5523</v>
      </c>
      <c r="CC627" s="23"/>
      <c r="CD627" s="23"/>
      <c r="CE627" s="23"/>
      <c r="CF627" s="23"/>
      <c r="CG627" s="23"/>
      <c r="CH627" s="23"/>
      <c r="CI627" s="23"/>
    </row>
    <row r="628" spans="1:87" x14ac:dyDescent="0.3">
      <c r="A628" s="9" t="s">
        <v>5524</v>
      </c>
      <c r="B628" s="10" t="s">
        <v>5525</v>
      </c>
      <c r="C628" s="11">
        <v>45925.104166666664</v>
      </c>
      <c r="D628" s="12">
        <v>8.3333333333333329E-2</v>
      </c>
      <c r="E628" s="11">
        <v>45925.1875</v>
      </c>
      <c r="F628" s="10" t="s">
        <v>5001</v>
      </c>
      <c r="G628" s="13" t="b">
        <v>0</v>
      </c>
      <c r="H628" s="10" t="s">
        <v>5239</v>
      </c>
      <c r="I628" s="10" t="s">
        <v>89</v>
      </c>
      <c r="J628" s="13" t="b">
        <v>0</v>
      </c>
      <c r="K628" s="13" t="b">
        <v>1</v>
      </c>
      <c r="L628" s="10" t="s">
        <v>124</v>
      </c>
      <c r="M628" s="10" t="s">
        <v>91</v>
      </c>
      <c r="N628" s="10" t="s">
        <v>92</v>
      </c>
      <c r="O628" s="19" t="s">
        <v>5526</v>
      </c>
      <c r="P628" s="10"/>
      <c r="Q628" s="10" t="s">
        <v>126</v>
      </c>
      <c r="R628" s="10"/>
      <c r="S628" s="19" t="s">
        <v>5527</v>
      </c>
      <c r="T628" s="19" t="s">
        <v>5221</v>
      </c>
      <c r="U628" s="10" t="s">
        <v>5055</v>
      </c>
      <c r="V628" s="10" t="s">
        <v>5041</v>
      </c>
      <c r="W628" s="10" t="s">
        <v>5007</v>
      </c>
      <c r="X628" s="10" t="s">
        <v>130</v>
      </c>
      <c r="Y628" s="10" t="s">
        <v>130</v>
      </c>
      <c r="Z628" s="10" t="s">
        <v>99</v>
      </c>
      <c r="AA628" s="10" t="s">
        <v>131</v>
      </c>
      <c r="AB628" s="10" t="s">
        <v>5008</v>
      </c>
      <c r="AC628" s="10" t="s">
        <v>5009</v>
      </c>
      <c r="AD628" s="10" t="s">
        <v>5528</v>
      </c>
      <c r="AE628" s="10" t="s">
        <v>5529</v>
      </c>
      <c r="AF628" s="15"/>
      <c r="AG628" s="10"/>
      <c r="AH628" s="10"/>
      <c r="AI628" s="10"/>
      <c r="AJ628" s="10" t="s">
        <v>5530</v>
      </c>
      <c r="AK628" s="10" t="s">
        <v>102</v>
      </c>
      <c r="AL628" s="10" t="s">
        <v>176</v>
      </c>
      <c r="AM628" s="10"/>
      <c r="AN628" s="10"/>
      <c r="AO628" s="13" t="b">
        <v>0</v>
      </c>
      <c r="AP628" s="10" t="s">
        <v>104</v>
      </c>
      <c r="AQ628" s="10">
        <f ca="1">IFERROR(__xludf.DUMMYFUNCTION("""COMPUTED_VALUE"""),4592585)</f>
        <v>4592585</v>
      </c>
      <c r="AR628" s="17">
        <v>2499</v>
      </c>
      <c r="AS628" s="17">
        <v>1711</v>
      </c>
      <c r="AT628" s="17">
        <v>16767.25</v>
      </c>
      <c r="AU628" s="17">
        <v>3.15</v>
      </c>
      <c r="AV628" s="17">
        <v>1</v>
      </c>
      <c r="AW628" s="10" t="s">
        <v>105</v>
      </c>
      <c r="AX628" s="17">
        <v>428</v>
      </c>
      <c r="AY628" s="18">
        <v>9.7996785505552317</v>
      </c>
      <c r="AZ628" s="10" t="s">
        <v>106</v>
      </c>
      <c r="BA628" s="20" t="b">
        <v>0</v>
      </c>
      <c r="BB628" s="10"/>
      <c r="BC628" s="17">
        <v>2499</v>
      </c>
      <c r="BD628" s="17">
        <v>1711</v>
      </c>
      <c r="BE628" s="17">
        <v>16767.25</v>
      </c>
      <c r="BF628" s="17">
        <v>1</v>
      </c>
      <c r="BG628" s="11">
        <f ca="1">IFERROR(__xludf.DUMMYFUNCTION("""COMPUTED_VALUE"""),45925.1041666666)</f>
        <v>45925.104166666599</v>
      </c>
      <c r="BH628" s="17" t="s">
        <v>105</v>
      </c>
      <c r="BI628" s="17"/>
      <c r="BJ628" s="15"/>
      <c r="BK628" s="15"/>
      <c r="BL628" s="13" t="b">
        <v>0</v>
      </c>
      <c r="BM628" s="10"/>
      <c r="BN628" s="10" t="s">
        <v>149</v>
      </c>
      <c r="BO628" s="11">
        <v>45866.101388888892</v>
      </c>
      <c r="BP628" s="11">
        <v>45919.729270833333</v>
      </c>
      <c r="BQ628" s="15">
        <v>45922.960706018515</v>
      </c>
      <c r="BR628" s="15">
        <v>45923.446446759262</v>
      </c>
      <c r="BS628" s="10" t="s">
        <v>149</v>
      </c>
      <c r="BT628" s="10"/>
      <c r="BU628" s="10"/>
      <c r="BV628" s="10"/>
      <c r="BW628" s="10"/>
      <c r="BX628" s="10"/>
      <c r="BY628" s="23"/>
      <c r="BZ628" s="23"/>
      <c r="CA628" s="19" t="s">
        <v>5531</v>
      </c>
      <c r="CB628" s="19" t="s">
        <v>5532</v>
      </c>
      <c r="CC628" s="23"/>
      <c r="CD628" s="19" t="s">
        <v>5533</v>
      </c>
      <c r="CE628" s="23"/>
      <c r="CF628" s="23"/>
      <c r="CG628" s="23"/>
      <c r="CH628" s="23"/>
      <c r="CI628" s="23"/>
    </row>
    <row r="629" spans="1:87" x14ac:dyDescent="0.3">
      <c r="A629" s="9" t="s">
        <v>5534</v>
      </c>
      <c r="B629" s="10" t="s">
        <v>5535</v>
      </c>
      <c r="C629" s="11">
        <v>45925</v>
      </c>
      <c r="D629" s="12">
        <v>8.3333333333333329E-2</v>
      </c>
      <c r="E629" s="11">
        <v>45925.083333333336</v>
      </c>
      <c r="F629" s="10" t="s">
        <v>5001</v>
      </c>
      <c r="G629" s="13" t="b">
        <v>0</v>
      </c>
      <c r="H629" s="10" t="s">
        <v>5239</v>
      </c>
      <c r="I629" s="10" t="s">
        <v>89</v>
      </c>
      <c r="J629" s="13" t="b">
        <v>0</v>
      </c>
      <c r="K629" s="13" t="b">
        <v>1</v>
      </c>
      <c r="L629" s="10" t="s">
        <v>124</v>
      </c>
      <c r="M629" s="10" t="s">
        <v>91</v>
      </c>
      <c r="N629" s="10" t="s">
        <v>92</v>
      </c>
      <c r="O629" s="19" t="s">
        <v>5536</v>
      </c>
      <c r="P629" s="10"/>
      <c r="Q629" s="10" t="s">
        <v>94</v>
      </c>
      <c r="R629" s="10"/>
      <c r="S629" s="19" t="s">
        <v>5537</v>
      </c>
      <c r="T629" s="19" t="s">
        <v>5221</v>
      </c>
      <c r="U629" s="10" t="s">
        <v>5067</v>
      </c>
      <c r="V629" s="10" t="s">
        <v>5031</v>
      </c>
      <c r="W629" s="10" t="s">
        <v>5007</v>
      </c>
      <c r="X629" s="10" t="s">
        <v>130</v>
      </c>
      <c r="Y629" s="10" t="s">
        <v>130</v>
      </c>
      <c r="Z629" s="10" t="s">
        <v>99</v>
      </c>
      <c r="AA629" s="10" t="s">
        <v>131</v>
      </c>
      <c r="AB629" s="10" t="s">
        <v>5008</v>
      </c>
      <c r="AC629" s="10" t="s">
        <v>5009</v>
      </c>
      <c r="AD629" s="10" t="s">
        <v>5538</v>
      </c>
      <c r="AE629" s="10" t="s">
        <v>5539</v>
      </c>
      <c r="AF629" s="15"/>
      <c r="AG629" s="10"/>
      <c r="AH629" s="10"/>
      <c r="AI629" s="10"/>
      <c r="AJ629" s="10"/>
      <c r="AK629" s="10" t="s">
        <v>102</v>
      </c>
      <c r="AL629" s="10" t="s">
        <v>176</v>
      </c>
      <c r="AM629" s="10"/>
      <c r="AN629" s="10"/>
      <c r="AO629" s="13" t="b">
        <v>0</v>
      </c>
      <c r="AP629" s="10" t="s">
        <v>104</v>
      </c>
      <c r="AQ629" s="10">
        <f ca="1">IFERROR(__xludf.DUMMYFUNCTION("""COMPUTED_VALUE"""),4592583)</f>
        <v>4592583</v>
      </c>
      <c r="AR629" s="17">
        <v>7067</v>
      </c>
      <c r="AS629" s="17">
        <v>5213</v>
      </c>
      <c r="AT629" s="17">
        <v>112301.5</v>
      </c>
      <c r="AU629" s="17">
        <v>26.45</v>
      </c>
      <c r="AV629" s="17">
        <v>3.65</v>
      </c>
      <c r="AW629" s="10" t="s">
        <v>105</v>
      </c>
      <c r="AX629" s="17">
        <v>1633</v>
      </c>
      <c r="AY629" s="18">
        <v>21.542585843084595</v>
      </c>
      <c r="AZ629" s="10" t="s">
        <v>106</v>
      </c>
      <c r="BA629" s="20" t="b">
        <v>0</v>
      </c>
      <c r="BB629" s="10"/>
      <c r="BC629" s="17">
        <v>7067</v>
      </c>
      <c r="BD629" s="17">
        <v>5213</v>
      </c>
      <c r="BE629" s="17">
        <v>112301.5</v>
      </c>
      <c r="BF629" s="17">
        <v>3.65</v>
      </c>
      <c r="BG629" s="11">
        <f ca="1">IFERROR(__xludf.DUMMYFUNCTION("""COMPUTED_VALUE"""),45925)</f>
        <v>45925</v>
      </c>
      <c r="BH629" s="17" t="s">
        <v>105</v>
      </c>
      <c r="BI629" s="17"/>
      <c r="BJ629" s="15"/>
      <c r="BK629" s="15"/>
      <c r="BL629" s="13" t="b">
        <v>0</v>
      </c>
      <c r="BM629" s="10"/>
      <c r="BN629" s="10" t="s">
        <v>149</v>
      </c>
      <c r="BO629" s="11">
        <v>45866.101388888892</v>
      </c>
      <c r="BP629" s="11">
        <v>45915.634004629632</v>
      </c>
      <c r="BQ629" s="15">
        <v>45922.960138888891</v>
      </c>
      <c r="BR629" s="15">
        <v>45923.445532407408</v>
      </c>
      <c r="BS629" s="10" t="s">
        <v>149</v>
      </c>
      <c r="BT629" s="10"/>
      <c r="BU629" s="10"/>
      <c r="BV629" s="10"/>
      <c r="BW629" s="10"/>
      <c r="BX629" s="10"/>
      <c r="BY629" s="23"/>
      <c r="BZ629" s="23"/>
      <c r="CA629" s="19" t="s">
        <v>5540</v>
      </c>
      <c r="CB629" s="19" t="s">
        <v>5541</v>
      </c>
      <c r="CC629" s="23"/>
      <c r="CD629" s="23"/>
      <c r="CE629" s="23"/>
      <c r="CF629" s="23"/>
      <c r="CG629" s="23"/>
      <c r="CH629" s="23"/>
      <c r="CI629" s="23"/>
    </row>
    <row r="630" spans="1:87" x14ac:dyDescent="0.3">
      <c r="A630" s="9" t="s">
        <v>5542</v>
      </c>
      <c r="B630" s="10" t="s">
        <v>5543</v>
      </c>
      <c r="C630" s="11">
        <v>45924</v>
      </c>
      <c r="D630" s="12">
        <v>8.3333333333333329E-2</v>
      </c>
      <c r="E630" s="11">
        <v>45924.083333333336</v>
      </c>
      <c r="F630" s="10" t="s">
        <v>5001</v>
      </c>
      <c r="G630" s="13" t="b">
        <v>0</v>
      </c>
      <c r="H630" s="10" t="s">
        <v>3564</v>
      </c>
      <c r="I630" s="10" t="s">
        <v>89</v>
      </c>
      <c r="J630" s="13" t="b">
        <v>0</v>
      </c>
      <c r="K630" s="13" t="b">
        <v>1</v>
      </c>
      <c r="L630" s="10" t="s">
        <v>124</v>
      </c>
      <c r="M630" s="10" t="s">
        <v>91</v>
      </c>
      <c r="N630" s="10" t="s">
        <v>92</v>
      </c>
      <c r="O630" s="19" t="s">
        <v>5544</v>
      </c>
      <c r="P630" s="10"/>
      <c r="Q630" s="10" t="s">
        <v>126</v>
      </c>
      <c r="R630" s="10"/>
      <c r="S630" s="19" t="s">
        <v>5545</v>
      </c>
      <c r="T630" s="19" t="s">
        <v>5221</v>
      </c>
      <c r="U630" s="10" t="s">
        <v>5089</v>
      </c>
      <c r="V630" s="10" t="s">
        <v>5054</v>
      </c>
      <c r="W630" s="10" t="s">
        <v>5007</v>
      </c>
      <c r="X630" s="10" t="s">
        <v>130</v>
      </c>
      <c r="Y630" s="10" t="s">
        <v>130</v>
      </c>
      <c r="Z630" s="10" t="s">
        <v>99</v>
      </c>
      <c r="AA630" s="10" t="s">
        <v>131</v>
      </c>
      <c r="AB630" s="10" t="s">
        <v>5008</v>
      </c>
      <c r="AC630" s="10" t="s">
        <v>5009</v>
      </c>
      <c r="AD630" s="10" t="s">
        <v>5546</v>
      </c>
      <c r="AE630" s="10" t="s">
        <v>5547</v>
      </c>
      <c r="AF630" s="15"/>
      <c r="AG630" s="10"/>
      <c r="AH630" s="10"/>
      <c r="AI630" s="10"/>
      <c r="AJ630" s="10" t="s">
        <v>5548</v>
      </c>
      <c r="AK630" s="10" t="s">
        <v>102</v>
      </c>
      <c r="AL630" s="10" t="s">
        <v>176</v>
      </c>
      <c r="AM630" s="10"/>
      <c r="AN630" s="10"/>
      <c r="AO630" s="13" t="b">
        <v>0</v>
      </c>
      <c r="AP630" s="10" t="s">
        <v>104</v>
      </c>
      <c r="AQ630" s="10">
        <f ca="1">IFERROR(__xludf.DUMMYFUNCTION("""COMPUTED_VALUE"""),4592574)</f>
        <v>4592574</v>
      </c>
      <c r="AR630" s="17">
        <v>11683</v>
      </c>
      <c r="AS630" s="17">
        <v>8242</v>
      </c>
      <c r="AT630" s="17">
        <v>216812.5</v>
      </c>
      <c r="AU630" s="17">
        <v>50.1</v>
      </c>
      <c r="AV630" s="17">
        <v>11.7</v>
      </c>
      <c r="AW630" s="10" t="s">
        <v>105</v>
      </c>
      <c r="AX630" s="17">
        <v>2295</v>
      </c>
      <c r="AY630" s="18">
        <v>26.305811696190244</v>
      </c>
      <c r="AZ630" s="10" t="s">
        <v>106</v>
      </c>
      <c r="BA630" s="20" t="b">
        <v>0</v>
      </c>
      <c r="BB630" s="10"/>
      <c r="BC630" s="17">
        <v>11683</v>
      </c>
      <c r="BD630" s="17">
        <v>8242</v>
      </c>
      <c r="BE630" s="17">
        <v>216812.5</v>
      </c>
      <c r="BF630" s="17">
        <v>11.7</v>
      </c>
      <c r="BG630" s="11">
        <f ca="1">IFERROR(__xludf.DUMMYFUNCTION("""COMPUTED_VALUE"""),45924)</f>
        <v>45924</v>
      </c>
      <c r="BH630" s="17" t="s">
        <v>105</v>
      </c>
      <c r="BI630" s="17"/>
      <c r="BJ630" s="15"/>
      <c r="BK630" s="15"/>
      <c r="BL630" s="13" t="b">
        <v>0</v>
      </c>
      <c r="BM630" s="10"/>
      <c r="BN630" s="10" t="s">
        <v>197</v>
      </c>
      <c r="BO630" s="11">
        <v>45866.101388888892</v>
      </c>
      <c r="BP630" s="11">
        <v>45919.591122685182</v>
      </c>
      <c r="BQ630" s="15">
        <v>45922.959351851852</v>
      </c>
      <c r="BR630" s="15">
        <v>45923.352314814816</v>
      </c>
      <c r="BS630" s="10" t="s">
        <v>197</v>
      </c>
      <c r="BT630" s="10"/>
      <c r="BU630" s="10"/>
      <c r="BV630" s="10"/>
      <c r="BW630" s="10"/>
      <c r="BX630" s="10"/>
      <c r="BY630" s="23"/>
      <c r="BZ630" s="23"/>
      <c r="CA630" s="19" t="s">
        <v>5549</v>
      </c>
      <c r="CB630" s="19" t="s">
        <v>5550</v>
      </c>
      <c r="CC630" s="23"/>
      <c r="CD630" s="19" t="s">
        <v>5551</v>
      </c>
      <c r="CE630" s="23"/>
      <c r="CF630" s="23"/>
      <c r="CG630" s="23"/>
      <c r="CH630" s="23"/>
      <c r="CI630" s="23"/>
    </row>
    <row r="631" spans="1:87" x14ac:dyDescent="0.3">
      <c r="A631" s="9" t="s">
        <v>5552</v>
      </c>
      <c r="B631" s="10" t="s">
        <v>5553</v>
      </c>
      <c r="C631" s="11">
        <v>45925.104166666664</v>
      </c>
      <c r="D631" s="12">
        <v>8.3333333333333329E-2</v>
      </c>
      <c r="E631" s="11">
        <v>45925.1875</v>
      </c>
      <c r="F631" s="10" t="s">
        <v>5001</v>
      </c>
      <c r="G631" s="13" t="b">
        <v>0</v>
      </c>
      <c r="H631" s="10" t="s">
        <v>5239</v>
      </c>
      <c r="I631" s="10" t="s">
        <v>89</v>
      </c>
      <c r="J631" s="13" t="b">
        <v>0</v>
      </c>
      <c r="K631" s="13" t="b">
        <v>1</v>
      </c>
      <c r="L631" s="10" t="s">
        <v>124</v>
      </c>
      <c r="M631" s="10" t="s">
        <v>91</v>
      </c>
      <c r="N631" s="10" t="s">
        <v>92</v>
      </c>
      <c r="O631" s="19" t="s">
        <v>5554</v>
      </c>
      <c r="P631" s="10"/>
      <c r="Q631" s="10" t="s">
        <v>126</v>
      </c>
      <c r="R631" s="10"/>
      <c r="S631" s="19" t="s">
        <v>5555</v>
      </c>
      <c r="T631" s="19" t="s">
        <v>5221</v>
      </c>
      <c r="U631" s="10" t="s">
        <v>5090</v>
      </c>
      <c r="V631" s="10" t="s">
        <v>5006</v>
      </c>
      <c r="W631" s="10" t="s">
        <v>5007</v>
      </c>
      <c r="X631" s="10" t="s">
        <v>130</v>
      </c>
      <c r="Y631" s="10" t="s">
        <v>130</v>
      </c>
      <c r="Z631" s="10" t="s">
        <v>99</v>
      </c>
      <c r="AA631" s="10" t="s">
        <v>131</v>
      </c>
      <c r="AB631" s="10" t="s">
        <v>5008</v>
      </c>
      <c r="AC631" s="10" t="s">
        <v>5009</v>
      </c>
      <c r="AD631" s="10" t="s">
        <v>5556</v>
      </c>
      <c r="AE631" s="10" t="s">
        <v>5557</v>
      </c>
      <c r="AF631" s="15"/>
      <c r="AG631" s="10"/>
      <c r="AH631" s="10"/>
      <c r="AI631" s="10"/>
      <c r="AJ631" s="10" t="s">
        <v>5558</v>
      </c>
      <c r="AK631" s="10" t="s">
        <v>102</v>
      </c>
      <c r="AL631" s="10" t="s">
        <v>176</v>
      </c>
      <c r="AM631" s="10"/>
      <c r="AN631" s="10"/>
      <c r="AO631" s="13" t="b">
        <v>0</v>
      </c>
      <c r="AP631" s="10" t="s">
        <v>104</v>
      </c>
      <c r="AQ631" s="10">
        <f ca="1">IFERROR(__xludf.DUMMYFUNCTION("""COMPUTED_VALUE"""),4592584)</f>
        <v>4592584</v>
      </c>
      <c r="AR631" s="17">
        <v>11322</v>
      </c>
      <c r="AS631" s="17">
        <v>8017</v>
      </c>
      <c r="AT631" s="17">
        <v>175778.5</v>
      </c>
      <c r="AU631" s="17">
        <v>23.3</v>
      </c>
      <c r="AV631" s="17">
        <v>5.6</v>
      </c>
      <c r="AW631" s="10" t="s">
        <v>105</v>
      </c>
      <c r="AX631" s="17">
        <v>3499</v>
      </c>
      <c r="AY631" s="18">
        <v>21.925720344268431</v>
      </c>
      <c r="AZ631" s="10" t="s">
        <v>106</v>
      </c>
      <c r="BA631" s="20" t="b">
        <v>0</v>
      </c>
      <c r="BB631" s="10"/>
      <c r="BC631" s="17">
        <v>11322</v>
      </c>
      <c r="BD631" s="17">
        <v>8017</v>
      </c>
      <c r="BE631" s="17">
        <v>175778.5</v>
      </c>
      <c r="BF631" s="17">
        <v>5.6</v>
      </c>
      <c r="BG631" s="11">
        <f ca="1">IFERROR(__xludf.DUMMYFUNCTION("""COMPUTED_VALUE"""),45925.1041666666)</f>
        <v>45925.104166666599</v>
      </c>
      <c r="BH631" s="17" t="s">
        <v>105</v>
      </c>
      <c r="BI631" s="17"/>
      <c r="BJ631" s="15"/>
      <c r="BK631" s="15"/>
      <c r="BL631" s="13" t="b">
        <v>0</v>
      </c>
      <c r="BM631" s="10"/>
      <c r="BN631" s="10" t="s">
        <v>667</v>
      </c>
      <c r="BO631" s="11">
        <v>45866.101388888892</v>
      </c>
      <c r="BP631" s="11">
        <v>45919.734791666669</v>
      </c>
      <c r="BQ631" s="15">
        <v>45922.960439814815</v>
      </c>
      <c r="BR631" s="15">
        <v>45923.446111111109</v>
      </c>
      <c r="BS631" s="10" t="s">
        <v>667</v>
      </c>
      <c r="BT631" s="10" t="s">
        <v>99</v>
      </c>
      <c r="BU631" s="10" t="s">
        <v>534</v>
      </c>
      <c r="BV631" s="10"/>
      <c r="BW631" s="10"/>
      <c r="BX631" s="10"/>
      <c r="BY631" s="23"/>
      <c r="BZ631" s="23"/>
      <c r="CA631" s="19" t="s">
        <v>5559</v>
      </c>
      <c r="CB631" s="19" t="s">
        <v>5560</v>
      </c>
      <c r="CC631" s="23"/>
      <c r="CD631" s="19" t="s">
        <v>5561</v>
      </c>
      <c r="CE631" s="23"/>
      <c r="CF631" s="23"/>
      <c r="CG631" s="23"/>
      <c r="CH631" s="23"/>
      <c r="CI631" s="23"/>
    </row>
    <row r="632" spans="1:87" x14ac:dyDescent="0.3">
      <c r="A632" s="9" t="s">
        <v>5562</v>
      </c>
      <c r="B632" s="10" t="s">
        <v>5563</v>
      </c>
      <c r="C632" s="11">
        <v>45924.104166666664</v>
      </c>
      <c r="D632" s="12">
        <v>8.3333333333333329E-2</v>
      </c>
      <c r="E632" s="11">
        <v>45924.1875</v>
      </c>
      <c r="F632" s="10" t="s">
        <v>5001</v>
      </c>
      <c r="G632" s="13" t="b">
        <v>0</v>
      </c>
      <c r="H632" s="10" t="s">
        <v>3564</v>
      </c>
      <c r="I632" s="10" t="s">
        <v>89</v>
      </c>
      <c r="J632" s="13" t="b">
        <v>0</v>
      </c>
      <c r="K632" s="13" t="b">
        <v>1</v>
      </c>
      <c r="L632" s="10" t="s">
        <v>124</v>
      </c>
      <c r="M632" s="10" t="s">
        <v>91</v>
      </c>
      <c r="N632" s="10" t="s">
        <v>92</v>
      </c>
      <c r="O632" s="19" t="s">
        <v>5564</v>
      </c>
      <c r="P632" s="10"/>
      <c r="Q632" s="10" t="s">
        <v>126</v>
      </c>
      <c r="R632" s="10"/>
      <c r="S632" s="19" t="s">
        <v>5565</v>
      </c>
      <c r="T632" s="19" t="s">
        <v>5221</v>
      </c>
      <c r="U632" s="10" t="s">
        <v>5077</v>
      </c>
      <c r="V632" s="10" t="s">
        <v>5018</v>
      </c>
      <c r="W632" s="10" t="s">
        <v>5007</v>
      </c>
      <c r="X632" s="10" t="s">
        <v>130</v>
      </c>
      <c r="Y632" s="10" t="s">
        <v>130</v>
      </c>
      <c r="Z632" s="10" t="s">
        <v>99</v>
      </c>
      <c r="AA632" s="10" t="s">
        <v>131</v>
      </c>
      <c r="AB632" s="10" t="s">
        <v>5008</v>
      </c>
      <c r="AC632" s="10" t="s">
        <v>5009</v>
      </c>
      <c r="AD632" s="10" t="s">
        <v>5566</v>
      </c>
      <c r="AE632" s="10" t="s">
        <v>5567</v>
      </c>
      <c r="AF632" s="15"/>
      <c r="AG632" s="10"/>
      <c r="AH632" s="10"/>
      <c r="AI632" s="10"/>
      <c r="AJ632" s="10" t="s">
        <v>5568</v>
      </c>
      <c r="AK632" s="10" t="s">
        <v>102</v>
      </c>
      <c r="AL632" s="10" t="s">
        <v>176</v>
      </c>
      <c r="AM632" s="10"/>
      <c r="AN632" s="10"/>
      <c r="AO632" s="13" t="b">
        <v>0</v>
      </c>
      <c r="AP632" s="10" t="s">
        <v>104</v>
      </c>
      <c r="AQ632" s="10">
        <f ca="1">IFERROR(__xludf.DUMMYFUNCTION("""COMPUTED_VALUE"""),4592575)</f>
        <v>4592575</v>
      </c>
      <c r="AR632" s="17">
        <v>5369</v>
      </c>
      <c r="AS632" s="17">
        <v>3915</v>
      </c>
      <c r="AT632" s="17">
        <v>54899.25</v>
      </c>
      <c r="AU632" s="17">
        <v>4.3499999999999996</v>
      </c>
      <c r="AV632" s="17">
        <v>2.1</v>
      </c>
      <c r="AW632" s="10" t="s">
        <v>105</v>
      </c>
      <c r="AX632" s="17">
        <v>1588</v>
      </c>
      <c r="AY632" s="18">
        <v>14.0227969348659</v>
      </c>
      <c r="AZ632" s="10" t="s">
        <v>106</v>
      </c>
      <c r="BA632" s="20" t="b">
        <v>0</v>
      </c>
      <c r="BB632" s="10"/>
      <c r="BC632" s="17">
        <v>5369</v>
      </c>
      <c r="BD632" s="17">
        <v>3915</v>
      </c>
      <c r="BE632" s="17">
        <v>54899.25</v>
      </c>
      <c r="BF632" s="17">
        <v>2.1</v>
      </c>
      <c r="BG632" s="11">
        <f ca="1">IFERROR(__xludf.DUMMYFUNCTION("""COMPUTED_VALUE"""),45924.1041666666)</f>
        <v>45924.104166666599</v>
      </c>
      <c r="BH632" s="17" t="s">
        <v>105</v>
      </c>
      <c r="BI632" s="17"/>
      <c r="BJ632" s="15"/>
      <c r="BK632" s="15"/>
      <c r="BL632" s="13" t="b">
        <v>0</v>
      </c>
      <c r="BM632" s="10"/>
      <c r="BN632" s="10" t="s">
        <v>197</v>
      </c>
      <c r="BO632" s="11">
        <v>45866.101388888892</v>
      </c>
      <c r="BP632" s="11">
        <v>45919.670324074075</v>
      </c>
      <c r="BQ632" s="15">
        <v>45922.959849537037</v>
      </c>
      <c r="BR632" s="15">
        <v>45923.352465277778</v>
      </c>
      <c r="BS632" s="10" t="s">
        <v>197</v>
      </c>
      <c r="BT632" s="10"/>
      <c r="BU632" s="10"/>
      <c r="BV632" s="10"/>
      <c r="BW632" s="10"/>
      <c r="BX632" s="10"/>
      <c r="BY632" s="23"/>
      <c r="BZ632" s="23"/>
      <c r="CA632" s="19" t="s">
        <v>5569</v>
      </c>
      <c r="CB632" s="19" t="s">
        <v>5570</v>
      </c>
      <c r="CC632" s="23"/>
      <c r="CD632" s="19" t="s">
        <v>5571</v>
      </c>
      <c r="CE632" s="23"/>
      <c r="CF632" s="23"/>
      <c r="CG632" s="23"/>
      <c r="CH632" s="23"/>
      <c r="CI632" s="23"/>
    </row>
    <row r="633" spans="1:87" x14ac:dyDescent="0.3">
      <c r="A633" s="9" t="s">
        <v>5572</v>
      </c>
      <c r="B633" s="10" t="s">
        <v>5573</v>
      </c>
      <c r="C633" s="11">
        <v>45924</v>
      </c>
      <c r="D633" s="12">
        <v>8.3333333333333329E-2</v>
      </c>
      <c r="E633" s="11">
        <v>45924.083333333336</v>
      </c>
      <c r="F633" s="10" t="s">
        <v>5001</v>
      </c>
      <c r="G633" s="13" t="b">
        <v>0</v>
      </c>
      <c r="H633" s="10" t="s">
        <v>3578</v>
      </c>
      <c r="I633" s="10" t="s">
        <v>89</v>
      </c>
      <c r="J633" s="13" t="b">
        <v>0</v>
      </c>
      <c r="K633" s="13" t="b">
        <v>1</v>
      </c>
      <c r="L633" s="10" t="s">
        <v>124</v>
      </c>
      <c r="M633" s="10" t="s">
        <v>91</v>
      </c>
      <c r="N633" s="10" t="s">
        <v>92</v>
      </c>
      <c r="O633" s="19" t="s">
        <v>5574</v>
      </c>
      <c r="P633" s="10"/>
      <c r="Q633" s="10" t="s">
        <v>126</v>
      </c>
      <c r="R633" s="10"/>
      <c r="S633" s="19" t="s">
        <v>5575</v>
      </c>
      <c r="T633" s="19" t="s">
        <v>5221</v>
      </c>
      <c r="U633" s="10" t="s">
        <v>5076</v>
      </c>
      <c r="V633" s="10" t="s">
        <v>5005</v>
      </c>
      <c r="W633" s="10" t="s">
        <v>5007</v>
      </c>
      <c r="X633" s="10" t="s">
        <v>130</v>
      </c>
      <c r="Y633" s="10" t="s">
        <v>130</v>
      </c>
      <c r="Z633" s="10" t="s">
        <v>99</v>
      </c>
      <c r="AA633" s="10" t="s">
        <v>131</v>
      </c>
      <c r="AB633" s="10" t="s">
        <v>5008</v>
      </c>
      <c r="AC633" s="10" t="s">
        <v>5009</v>
      </c>
      <c r="AD633" s="10" t="s">
        <v>5576</v>
      </c>
      <c r="AE633" s="10" t="s">
        <v>5577</v>
      </c>
      <c r="AF633" s="15"/>
      <c r="AG633" s="10"/>
      <c r="AH633" s="10"/>
      <c r="AI633" s="10"/>
      <c r="AJ633" s="10" t="s">
        <v>5578</v>
      </c>
      <c r="AK633" s="10" t="s">
        <v>102</v>
      </c>
      <c r="AL633" s="10" t="s">
        <v>176</v>
      </c>
      <c r="AM633" s="10"/>
      <c r="AN633" s="10"/>
      <c r="AO633" s="13" t="b">
        <v>0</v>
      </c>
      <c r="AP633" s="10" t="s">
        <v>104</v>
      </c>
      <c r="AQ633" s="10">
        <f ca="1">IFERROR(__xludf.DUMMYFUNCTION("""COMPUTED_VALUE"""),4592570)</f>
        <v>4592570</v>
      </c>
      <c r="AR633" s="17">
        <v>13864</v>
      </c>
      <c r="AS633" s="17">
        <v>9414</v>
      </c>
      <c r="AT633" s="17">
        <v>279340.5</v>
      </c>
      <c r="AU633" s="17">
        <v>60.85</v>
      </c>
      <c r="AV633" s="17">
        <v>11.35</v>
      </c>
      <c r="AW633" s="10" t="s">
        <v>105</v>
      </c>
      <c r="AX633" s="17">
        <v>3121</v>
      </c>
      <c r="AY633" s="18">
        <v>29.672880815806245</v>
      </c>
      <c r="AZ633" s="10" t="s">
        <v>106</v>
      </c>
      <c r="BA633" s="20" t="b">
        <v>0</v>
      </c>
      <c r="BB633" s="10"/>
      <c r="BC633" s="17">
        <v>13864</v>
      </c>
      <c r="BD633" s="17">
        <v>9414</v>
      </c>
      <c r="BE633" s="17">
        <v>279340.5</v>
      </c>
      <c r="BF633" s="17">
        <v>11.35</v>
      </c>
      <c r="BG633" s="11">
        <f ca="1">IFERROR(__xludf.DUMMYFUNCTION("""COMPUTED_VALUE"""),45924)</f>
        <v>45924</v>
      </c>
      <c r="BH633" s="17" t="s">
        <v>105</v>
      </c>
      <c r="BI633" s="17"/>
      <c r="BJ633" s="15"/>
      <c r="BK633" s="15"/>
      <c r="BL633" s="13" t="b">
        <v>0</v>
      </c>
      <c r="BM633" s="10"/>
      <c r="BN633" s="10" t="s">
        <v>197</v>
      </c>
      <c r="BO633" s="11">
        <v>45866.101388888892</v>
      </c>
      <c r="BP633" s="11">
        <v>45919.664305555554</v>
      </c>
      <c r="BQ633" s="15">
        <v>45922.95888888889</v>
      </c>
      <c r="BR633" s="15">
        <v>45923.348611111112</v>
      </c>
      <c r="BS633" s="10" t="s">
        <v>197</v>
      </c>
      <c r="BT633" s="10"/>
      <c r="BU633" s="10"/>
      <c r="BV633" s="10"/>
      <c r="BW633" s="10"/>
      <c r="BX633" s="10"/>
      <c r="BY633" s="23"/>
      <c r="BZ633" s="23"/>
      <c r="CA633" s="19" t="s">
        <v>5579</v>
      </c>
      <c r="CB633" s="19" t="s">
        <v>5580</v>
      </c>
      <c r="CC633" s="23"/>
      <c r="CD633" s="19" t="s">
        <v>5581</v>
      </c>
      <c r="CE633" s="23"/>
      <c r="CF633" s="23"/>
      <c r="CG633" s="23"/>
      <c r="CH633" s="23"/>
      <c r="CI633" s="23"/>
    </row>
    <row r="634" spans="1:87" x14ac:dyDescent="0.3">
      <c r="A634" s="9" t="s">
        <v>5582</v>
      </c>
      <c r="B634" s="10" t="s">
        <v>5583</v>
      </c>
      <c r="C634" s="11">
        <v>45926.104166666664</v>
      </c>
      <c r="D634" s="12">
        <v>8.3333333333333329E-2</v>
      </c>
      <c r="E634" s="11">
        <v>45926.1875</v>
      </c>
      <c r="F634" s="10" t="s">
        <v>5001</v>
      </c>
      <c r="G634" s="13" t="b">
        <v>0</v>
      </c>
      <c r="H634" s="10" t="s">
        <v>3564</v>
      </c>
      <c r="I634" s="10" t="s">
        <v>89</v>
      </c>
      <c r="J634" s="13" t="b">
        <v>0</v>
      </c>
      <c r="K634" s="13" t="b">
        <v>1</v>
      </c>
      <c r="L634" s="10" t="s">
        <v>124</v>
      </c>
      <c r="M634" s="10" t="s">
        <v>91</v>
      </c>
      <c r="N634" s="10" t="s">
        <v>92</v>
      </c>
      <c r="O634" s="19" t="s">
        <v>5584</v>
      </c>
      <c r="P634" s="10"/>
      <c r="Q634" s="10" t="s">
        <v>126</v>
      </c>
      <c r="R634" s="10"/>
      <c r="S634" s="19" t="s">
        <v>5585</v>
      </c>
      <c r="T634" s="19" t="s">
        <v>5221</v>
      </c>
      <c r="U634" s="10" t="s">
        <v>5019</v>
      </c>
      <c r="V634" s="10" t="s">
        <v>5042</v>
      </c>
      <c r="W634" s="10" t="s">
        <v>5007</v>
      </c>
      <c r="X634" s="10" t="s">
        <v>130</v>
      </c>
      <c r="Y634" s="10" t="s">
        <v>130</v>
      </c>
      <c r="Z634" s="10" t="s">
        <v>99</v>
      </c>
      <c r="AA634" s="10" t="s">
        <v>131</v>
      </c>
      <c r="AB634" s="10" t="s">
        <v>5008</v>
      </c>
      <c r="AC634" s="10" t="s">
        <v>5009</v>
      </c>
      <c r="AD634" s="10" t="s">
        <v>5586</v>
      </c>
      <c r="AE634" s="10" t="s">
        <v>5587</v>
      </c>
      <c r="AF634" s="15"/>
      <c r="AG634" s="10"/>
      <c r="AH634" s="10"/>
      <c r="AI634" s="10"/>
      <c r="AJ634" s="10" t="s">
        <v>5588</v>
      </c>
      <c r="AK634" s="10" t="s">
        <v>102</v>
      </c>
      <c r="AL634" s="10" t="s">
        <v>176</v>
      </c>
      <c r="AM634" s="10"/>
      <c r="AN634" s="10"/>
      <c r="AO634" s="13" t="b">
        <v>1</v>
      </c>
      <c r="AP634" s="10" t="s">
        <v>104</v>
      </c>
      <c r="AQ634" s="10">
        <f ca="1">IFERROR(__xludf.DUMMYFUNCTION("""COMPUTED_VALUE"""),4592587)</f>
        <v>4592587</v>
      </c>
      <c r="AR634" s="17">
        <v>71041</v>
      </c>
      <c r="AS634" s="17">
        <v>43660</v>
      </c>
      <c r="AT634" s="17">
        <v>2528852</v>
      </c>
      <c r="AU634" s="17">
        <v>585.85</v>
      </c>
      <c r="AV634" s="17">
        <v>161.5</v>
      </c>
      <c r="AW634" s="10" t="s">
        <v>105</v>
      </c>
      <c r="AX634" s="17">
        <v>26201</v>
      </c>
      <c r="AY634" s="18">
        <v>57.921484196060469</v>
      </c>
      <c r="AZ634" s="10" t="s">
        <v>106</v>
      </c>
      <c r="BA634" s="20" t="b">
        <v>0</v>
      </c>
      <c r="BB634" s="10"/>
      <c r="BC634" s="17">
        <v>71041</v>
      </c>
      <c r="BD634" s="17">
        <v>43660</v>
      </c>
      <c r="BE634" s="17">
        <v>2528852</v>
      </c>
      <c r="BF634" s="17">
        <v>161.5</v>
      </c>
      <c r="BG634" s="11">
        <f ca="1">IFERROR(__xludf.DUMMYFUNCTION("""COMPUTED_VALUE"""),45926.1041666666)</f>
        <v>45926.104166666599</v>
      </c>
      <c r="BH634" s="17" t="s">
        <v>105</v>
      </c>
      <c r="BI634" s="17"/>
      <c r="BJ634" s="15"/>
      <c r="BK634" s="15"/>
      <c r="BL634" s="13" t="b">
        <v>0</v>
      </c>
      <c r="BM634" s="10"/>
      <c r="BN634" s="10" t="s">
        <v>197</v>
      </c>
      <c r="BO634" s="11">
        <v>45866.101388888892</v>
      </c>
      <c r="BP634" s="11">
        <v>45919.739398148151</v>
      </c>
      <c r="BQ634" s="15">
        <v>45922.9612037037</v>
      </c>
      <c r="BR634" s="15">
        <v>45923.450023148151</v>
      </c>
      <c r="BS634" s="10" t="s">
        <v>197</v>
      </c>
      <c r="BT634" s="10" t="s">
        <v>99</v>
      </c>
      <c r="BU634" s="10" t="s">
        <v>534</v>
      </c>
      <c r="BV634" s="10" t="s">
        <v>124</v>
      </c>
      <c r="BW634" s="10"/>
      <c r="BX634" s="10"/>
      <c r="BY634" s="23"/>
      <c r="BZ634" s="23"/>
      <c r="CA634" s="19" t="s">
        <v>5589</v>
      </c>
      <c r="CB634" s="19" t="s">
        <v>5590</v>
      </c>
      <c r="CC634" s="23"/>
      <c r="CD634" s="19" t="s">
        <v>5591</v>
      </c>
      <c r="CE634" s="23"/>
      <c r="CF634" s="23"/>
      <c r="CG634" s="23"/>
      <c r="CH634" s="23"/>
      <c r="CI634" s="23"/>
    </row>
    <row r="635" spans="1:87" x14ac:dyDescent="0.3">
      <c r="A635" s="9" t="s">
        <v>5592</v>
      </c>
      <c r="B635" s="10" t="s">
        <v>5593</v>
      </c>
      <c r="C635" s="11">
        <v>45924.104166666664</v>
      </c>
      <c r="D635" s="12">
        <v>8.3333333333333329E-2</v>
      </c>
      <c r="E635" s="11">
        <v>45924.1875</v>
      </c>
      <c r="F635" s="10" t="s">
        <v>5001</v>
      </c>
      <c r="G635" s="13" t="b">
        <v>0</v>
      </c>
      <c r="H635" s="10" t="s">
        <v>3578</v>
      </c>
      <c r="I635" s="10" t="s">
        <v>89</v>
      </c>
      <c r="J635" s="13" t="b">
        <v>0</v>
      </c>
      <c r="K635" s="13" t="b">
        <v>1</v>
      </c>
      <c r="L635" s="10" t="s">
        <v>124</v>
      </c>
      <c r="M635" s="10" t="s">
        <v>91</v>
      </c>
      <c r="N635" s="10" t="s">
        <v>92</v>
      </c>
      <c r="O635" s="19" t="s">
        <v>5594</v>
      </c>
      <c r="P635" s="10"/>
      <c r="Q635" s="10" t="s">
        <v>126</v>
      </c>
      <c r="R635" s="10"/>
      <c r="S635" s="19" t="s">
        <v>5595</v>
      </c>
      <c r="T635" s="19" t="s">
        <v>5221</v>
      </c>
      <c r="U635" s="10" t="s">
        <v>5032</v>
      </c>
      <c r="V635" s="10" t="s">
        <v>5113</v>
      </c>
      <c r="W635" s="10" t="s">
        <v>5007</v>
      </c>
      <c r="X635" s="10" t="s">
        <v>130</v>
      </c>
      <c r="Y635" s="10" t="s">
        <v>130</v>
      </c>
      <c r="Z635" s="10" t="s">
        <v>99</v>
      </c>
      <c r="AA635" s="10" t="s">
        <v>131</v>
      </c>
      <c r="AB635" s="10" t="s">
        <v>5008</v>
      </c>
      <c r="AC635" s="10" t="s">
        <v>5009</v>
      </c>
      <c r="AD635" s="10" t="s">
        <v>5596</v>
      </c>
      <c r="AE635" s="10" t="s">
        <v>5597</v>
      </c>
      <c r="AF635" s="15"/>
      <c r="AG635" s="10"/>
      <c r="AH635" s="10"/>
      <c r="AI635" s="10"/>
      <c r="AJ635" s="10" t="s">
        <v>5598</v>
      </c>
      <c r="AK635" s="10" t="s">
        <v>102</v>
      </c>
      <c r="AL635" s="10" t="s">
        <v>176</v>
      </c>
      <c r="AM635" s="10"/>
      <c r="AN635" s="10"/>
      <c r="AO635" s="13" t="b">
        <v>1</v>
      </c>
      <c r="AP635" s="10" t="s">
        <v>104</v>
      </c>
      <c r="AQ635" s="10">
        <f ca="1">IFERROR(__xludf.DUMMYFUNCTION("""COMPUTED_VALUE"""),4592571)</f>
        <v>4592571</v>
      </c>
      <c r="AR635" s="17">
        <v>73193</v>
      </c>
      <c r="AS635" s="17">
        <v>45006</v>
      </c>
      <c r="AT635" s="17">
        <v>2300485.75</v>
      </c>
      <c r="AU635" s="17">
        <v>449.5</v>
      </c>
      <c r="AV635" s="17">
        <v>165.05</v>
      </c>
      <c r="AW635" s="10" t="s">
        <v>105</v>
      </c>
      <c r="AX635" s="17">
        <v>24427</v>
      </c>
      <c r="AY635" s="18">
        <v>51.115090210194197</v>
      </c>
      <c r="AZ635" s="10" t="s">
        <v>106</v>
      </c>
      <c r="BA635" s="20" t="b">
        <v>0</v>
      </c>
      <c r="BB635" s="10"/>
      <c r="BC635" s="17">
        <v>73193</v>
      </c>
      <c r="BD635" s="17">
        <v>45006</v>
      </c>
      <c r="BE635" s="17">
        <v>2300485.75</v>
      </c>
      <c r="BF635" s="17">
        <v>165.05</v>
      </c>
      <c r="BG635" s="11">
        <f ca="1">IFERROR(__xludf.DUMMYFUNCTION("""COMPUTED_VALUE"""),45924.1041666666)</f>
        <v>45924.104166666599</v>
      </c>
      <c r="BH635" s="17" t="s">
        <v>105</v>
      </c>
      <c r="BI635" s="17"/>
      <c r="BJ635" s="15"/>
      <c r="BK635" s="15"/>
      <c r="BL635" s="13" t="b">
        <v>0</v>
      </c>
      <c r="BM635" s="10"/>
      <c r="BN635" s="10" t="s">
        <v>3422</v>
      </c>
      <c r="BO635" s="11">
        <v>45866.101388888892</v>
      </c>
      <c r="BP635" s="11">
        <v>45919.674687500003</v>
      </c>
      <c r="BQ635" s="15">
        <v>45922.959560185183</v>
      </c>
      <c r="BR635" s="15">
        <v>45923.348761574074</v>
      </c>
      <c r="BS635" s="10"/>
      <c r="BT635" s="10" t="s">
        <v>99</v>
      </c>
      <c r="BU635" s="10"/>
      <c r="BV635" s="10" t="s">
        <v>124</v>
      </c>
      <c r="BW635" s="10"/>
      <c r="BX635" s="10"/>
      <c r="BY635" s="23"/>
      <c r="BZ635" s="23"/>
      <c r="CA635" s="19" t="s">
        <v>5599</v>
      </c>
      <c r="CB635" s="19" t="s">
        <v>5600</v>
      </c>
      <c r="CC635" s="23"/>
      <c r="CD635" s="19" t="s">
        <v>5601</v>
      </c>
      <c r="CE635" s="23"/>
      <c r="CF635" s="23"/>
      <c r="CG635" s="23"/>
      <c r="CH635" s="23"/>
      <c r="CI635" s="23"/>
    </row>
    <row r="636" spans="1:87" x14ac:dyDescent="0.3">
      <c r="A636" s="9" t="s">
        <v>5602</v>
      </c>
      <c r="B636" s="10" t="s">
        <v>5603</v>
      </c>
      <c r="C636" s="11">
        <v>45928.791666666664</v>
      </c>
      <c r="D636" s="12">
        <v>8.3333333333333329E-2</v>
      </c>
      <c r="E636" s="11">
        <v>45928.875</v>
      </c>
      <c r="F636" s="10" t="s">
        <v>5001</v>
      </c>
      <c r="G636" s="13" t="b">
        <v>0</v>
      </c>
      <c r="H636" s="10" t="s">
        <v>3578</v>
      </c>
      <c r="I636" s="10" t="s">
        <v>89</v>
      </c>
      <c r="J636" s="13" t="b">
        <v>0</v>
      </c>
      <c r="K636" s="13" t="b">
        <v>1</v>
      </c>
      <c r="L636" s="10" t="s">
        <v>124</v>
      </c>
      <c r="M636" s="10" t="s">
        <v>91</v>
      </c>
      <c r="N636" s="10" t="s">
        <v>92</v>
      </c>
      <c r="O636" s="19" t="s">
        <v>5604</v>
      </c>
      <c r="P636" s="10"/>
      <c r="Q636" s="10" t="s">
        <v>126</v>
      </c>
      <c r="R636" s="10"/>
      <c r="S636" s="19" t="s">
        <v>5605</v>
      </c>
      <c r="T636" s="19" t="s">
        <v>5606</v>
      </c>
      <c r="U636" s="10" t="s">
        <v>5006</v>
      </c>
      <c r="V636" s="10" t="s">
        <v>5077</v>
      </c>
      <c r="W636" s="10" t="s">
        <v>5007</v>
      </c>
      <c r="X636" s="10" t="s">
        <v>130</v>
      </c>
      <c r="Y636" s="10" t="s">
        <v>130</v>
      </c>
      <c r="Z636" s="10" t="s">
        <v>99</v>
      </c>
      <c r="AA636" s="10" t="s">
        <v>131</v>
      </c>
      <c r="AB636" s="10" t="s">
        <v>5008</v>
      </c>
      <c r="AC636" s="10" t="s">
        <v>5009</v>
      </c>
      <c r="AD636" s="10" t="s">
        <v>5607</v>
      </c>
      <c r="AE636" s="10" t="s">
        <v>5608</v>
      </c>
      <c r="AF636" s="15"/>
      <c r="AG636" s="10"/>
      <c r="AH636" s="10"/>
      <c r="AI636" s="10"/>
      <c r="AJ636" s="10" t="s">
        <v>5609</v>
      </c>
      <c r="AK636" s="10" t="s">
        <v>102</v>
      </c>
      <c r="AL636" s="10" t="s">
        <v>184</v>
      </c>
      <c r="AM636" s="10"/>
      <c r="AN636" s="10"/>
      <c r="AO636" s="13" t="b">
        <v>0</v>
      </c>
      <c r="AP636" s="10" t="s">
        <v>104</v>
      </c>
      <c r="AQ636" s="10">
        <f ca="1">IFERROR(__xludf.DUMMYFUNCTION("""COMPUTED_VALUE"""),4598332)</f>
        <v>4598332</v>
      </c>
      <c r="AR636" s="17">
        <v>16350</v>
      </c>
      <c r="AS636" s="17">
        <v>12589</v>
      </c>
      <c r="AT636" s="17">
        <v>158658.25</v>
      </c>
      <c r="AU636" s="17">
        <v>48.75</v>
      </c>
      <c r="AV636" s="17">
        <v>23</v>
      </c>
      <c r="AW636" s="10" t="s">
        <v>105</v>
      </c>
      <c r="AX636" s="17">
        <v>3450</v>
      </c>
      <c r="AY636" s="18">
        <v>12.60292715863055</v>
      </c>
      <c r="AZ636" s="10" t="s">
        <v>106</v>
      </c>
      <c r="BA636" s="20" t="b">
        <v>0</v>
      </c>
      <c r="BB636" s="10"/>
      <c r="BC636" s="17">
        <v>16350</v>
      </c>
      <c r="BD636" s="17">
        <v>12589</v>
      </c>
      <c r="BE636" s="17">
        <v>158658.25</v>
      </c>
      <c r="BF636" s="17">
        <v>23</v>
      </c>
      <c r="BG636" s="11">
        <f ca="1">IFERROR(__xludf.DUMMYFUNCTION("""COMPUTED_VALUE"""),45928.7916666666)</f>
        <v>45928.791666666599</v>
      </c>
      <c r="BH636" s="17" t="s">
        <v>105</v>
      </c>
      <c r="BI636" s="17"/>
      <c r="BJ636" s="15"/>
      <c r="BK636" s="15"/>
      <c r="BL636" s="13" t="b">
        <v>0</v>
      </c>
      <c r="BM636" s="10"/>
      <c r="BN636" s="10" t="s">
        <v>118</v>
      </c>
      <c r="BO636" s="11">
        <v>45866.101388888892</v>
      </c>
      <c r="BP636" s="11">
        <v>45923.607372685183</v>
      </c>
      <c r="BQ636" s="15">
        <v>45925.676192129627</v>
      </c>
      <c r="BR636" s="15">
        <v>45925.692962962959</v>
      </c>
      <c r="BS636" s="10" t="s">
        <v>118</v>
      </c>
      <c r="BT636" s="10"/>
      <c r="BU636" s="10"/>
      <c r="BV636" s="10"/>
      <c r="BW636" s="10"/>
      <c r="BX636" s="10"/>
      <c r="BY636" s="23"/>
      <c r="BZ636" s="23"/>
      <c r="CA636" s="19" t="s">
        <v>5610</v>
      </c>
      <c r="CB636" s="19" t="s">
        <v>5611</v>
      </c>
      <c r="CC636" s="23"/>
      <c r="CD636" s="19" t="s">
        <v>5612</v>
      </c>
      <c r="CE636" s="23"/>
      <c r="CF636" s="23"/>
      <c r="CG636" s="23"/>
      <c r="CH636" s="23"/>
      <c r="CI636" s="23"/>
    </row>
    <row r="637" spans="1:87" x14ac:dyDescent="0.3">
      <c r="A637" s="9" t="s">
        <v>5613</v>
      </c>
      <c r="B637" s="10" t="s">
        <v>5614</v>
      </c>
      <c r="C637" s="11">
        <v>45927.083333333336</v>
      </c>
      <c r="D637" s="12">
        <v>8.3333333333333329E-2</v>
      </c>
      <c r="E637" s="11">
        <v>45927.166666666664</v>
      </c>
      <c r="F637" s="10" t="s">
        <v>5001</v>
      </c>
      <c r="G637" s="13" t="b">
        <v>0</v>
      </c>
      <c r="H637" s="10" t="s">
        <v>3578</v>
      </c>
      <c r="I637" s="10" t="s">
        <v>89</v>
      </c>
      <c r="J637" s="13" t="b">
        <v>0</v>
      </c>
      <c r="K637" s="13" t="b">
        <v>1</v>
      </c>
      <c r="L637" s="10" t="s">
        <v>124</v>
      </c>
      <c r="M637" s="10" t="s">
        <v>91</v>
      </c>
      <c r="N637" s="10" t="s">
        <v>92</v>
      </c>
      <c r="O637" s="19" t="s">
        <v>5615</v>
      </c>
      <c r="P637" s="10"/>
      <c r="Q637" s="10" t="s">
        <v>94</v>
      </c>
      <c r="R637" s="10"/>
      <c r="S637" s="19" t="s">
        <v>5616</v>
      </c>
      <c r="T637" s="19" t="s">
        <v>5606</v>
      </c>
      <c r="U637" s="10" t="s">
        <v>5005</v>
      </c>
      <c r="V637" s="10" t="s">
        <v>5089</v>
      </c>
      <c r="W637" s="10" t="s">
        <v>5007</v>
      </c>
      <c r="X637" s="10" t="s">
        <v>130</v>
      </c>
      <c r="Y637" s="10" t="s">
        <v>130</v>
      </c>
      <c r="Z637" s="10" t="s">
        <v>99</v>
      </c>
      <c r="AA637" s="10" t="s">
        <v>131</v>
      </c>
      <c r="AB637" s="10" t="s">
        <v>5008</v>
      </c>
      <c r="AC637" s="10" t="s">
        <v>5009</v>
      </c>
      <c r="AD637" s="10" t="s">
        <v>5617</v>
      </c>
      <c r="AE637" s="10" t="s">
        <v>5618</v>
      </c>
      <c r="AF637" s="15"/>
      <c r="AG637" s="10"/>
      <c r="AH637" s="10"/>
      <c r="AI637" s="10"/>
      <c r="AJ637" s="10"/>
      <c r="AK637" s="10" t="s">
        <v>102</v>
      </c>
      <c r="AL637" s="10" t="s">
        <v>184</v>
      </c>
      <c r="AM637" s="10"/>
      <c r="AN637" s="10"/>
      <c r="AO637" s="13" t="b">
        <v>0</v>
      </c>
      <c r="AP637" s="10" t="s">
        <v>104</v>
      </c>
      <c r="AQ637" s="10">
        <f ca="1">IFERROR(__xludf.DUMMYFUNCTION("""COMPUTED_VALUE"""),4597933)</f>
        <v>4597933</v>
      </c>
      <c r="AR637" s="17">
        <v>6831</v>
      </c>
      <c r="AS637" s="17">
        <v>5181</v>
      </c>
      <c r="AT637" s="17">
        <v>180503.5</v>
      </c>
      <c r="AU637" s="17">
        <v>12.1</v>
      </c>
      <c r="AV637" s="17">
        <v>4.0999999999999996</v>
      </c>
      <c r="AW637" s="10" t="s">
        <v>105</v>
      </c>
      <c r="AX637" s="17">
        <v>1770</v>
      </c>
      <c r="AY637" s="18">
        <v>34.839509747153059</v>
      </c>
      <c r="AZ637" s="10" t="s">
        <v>106</v>
      </c>
      <c r="BA637" s="20" t="b">
        <v>0</v>
      </c>
      <c r="BB637" s="10"/>
      <c r="BC637" s="17">
        <v>6831</v>
      </c>
      <c r="BD637" s="17">
        <v>5181</v>
      </c>
      <c r="BE637" s="17">
        <v>180503.5</v>
      </c>
      <c r="BF637" s="17">
        <v>4.0999999999999996</v>
      </c>
      <c r="BG637" s="11">
        <f ca="1">IFERROR(__xludf.DUMMYFUNCTION("""COMPUTED_VALUE"""),45927.0833333333)</f>
        <v>45927.083333333299</v>
      </c>
      <c r="BH637" s="17" t="s">
        <v>105</v>
      </c>
      <c r="BI637" s="17"/>
      <c r="BJ637" s="15"/>
      <c r="BK637" s="15"/>
      <c r="BL637" s="13" t="b">
        <v>0</v>
      </c>
      <c r="BM637" s="10"/>
      <c r="BN637" s="10" t="s">
        <v>1160</v>
      </c>
      <c r="BO637" s="11">
        <v>45866.101388888892</v>
      </c>
      <c r="BP637" s="11">
        <v>45915.608541666668</v>
      </c>
      <c r="BQ637" s="15">
        <v>45925.675266203703</v>
      </c>
      <c r="BR637" s="15">
        <v>45925.685532407406</v>
      </c>
      <c r="BS637" s="10" t="s">
        <v>1160</v>
      </c>
      <c r="BT637" s="10"/>
      <c r="BU637" s="10"/>
      <c r="BV637" s="10"/>
      <c r="BW637" s="10"/>
      <c r="BX637" s="10"/>
      <c r="BY637" s="23"/>
      <c r="BZ637" s="23"/>
      <c r="CA637" s="19" t="s">
        <v>5619</v>
      </c>
      <c r="CB637" s="19" t="s">
        <v>5620</v>
      </c>
      <c r="CC637" s="23"/>
      <c r="CD637" s="23"/>
      <c r="CE637" s="23"/>
      <c r="CF637" s="23"/>
      <c r="CG637" s="23"/>
      <c r="CH637" s="23"/>
      <c r="CI637" s="23"/>
    </row>
    <row r="638" spans="1:87" x14ac:dyDescent="0.3">
      <c r="A638" s="9" t="s">
        <v>5621</v>
      </c>
      <c r="B638" s="10" t="s">
        <v>5622</v>
      </c>
      <c r="C638" s="11">
        <v>45927.979166666664</v>
      </c>
      <c r="D638" s="12">
        <v>8.3333333333333329E-2</v>
      </c>
      <c r="E638" s="11">
        <v>45928.0625</v>
      </c>
      <c r="F638" s="10" t="s">
        <v>5001</v>
      </c>
      <c r="G638" s="13" t="b">
        <v>0</v>
      </c>
      <c r="H638" s="10" t="s">
        <v>3578</v>
      </c>
      <c r="I638" s="10" t="s">
        <v>89</v>
      </c>
      <c r="J638" s="13" t="b">
        <v>0</v>
      </c>
      <c r="K638" s="13" t="b">
        <v>1</v>
      </c>
      <c r="L638" s="10" t="s">
        <v>124</v>
      </c>
      <c r="M638" s="10" t="s">
        <v>91</v>
      </c>
      <c r="N638" s="10" t="s">
        <v>92</v>
      </c>
      <c r="O638" s="19" t="s">
        <v>5623</v>
      </c>
      <c r="P638" s="10"/>
      <c r="Q638" s="10" t="s">
        <v>94</v>
      </c>
      <c r="R638" s="10"/>
      <c r="S638" s="19" t="s">
        <v>5624</v>
      </c>
      <c r="T638" s="19" t="s">
        <v>5606</v>
      </c>
      <c r="U638" s="10" t="s">
        <v>5041</v>
      </c>
      <c r="V638" s="10" t="s">
        <v>5031</v>
      </c>
      <c r="W638" s="10" t="s">
        <v>5007</v>
      </c>
      <c r="X638" s="10" t="s">
        <v>130</v>
      </c>
      <c r="Y638" s="10" t="s">
        <v>130</v>
      </c>
      <c r="Z638" s="10" t="s">
        <v>99</v>
      </c>
      <c r="AA638" s="10" t="s">
        <v>131</v>
      </c>
      <c r="AB638" s="10" t="s">
        <v>5008</v>
      </c>
      <c r="AC638" s="10" t="s">
        <v>5009</v>
      </c>
      <c r="AD638" s="10" t="s">
        <v>5625</v>
      </c>
      <c r="AE638" s="10" t="s">
        <v>5626</v>
      </c>
      <c r="AF638" s="15"/>
      <c r="AG638" s="10"/>
      <c r="AH638" s="10"/>
      <c r="AI638" s="10"/>
      <c r="AJ638" s="10"/>
      <c r="AK638" s="10" t="s">
        <v>102</v>
      </c>
      <c r="AL638" s="10" t="s">
        <v>184</v>
      </c>
      <c r="AM638" s="10"/>
      <c r="AN638" s="10"/>
      <c r="AO638" s="13" t="b">
        <v>0</v>
      </c>
      <c r="AP638" s="10" t="s">
        <v>104</v>
      </c>
      <c r="AQ638" s="10">
        <f ca="1">IFERROR(__xludf.DUMMYFUNCTION("""COMPUTED_VALUE"""),4598207)</f>
        <v>4598207</v>
      </c>
      <c r="AR638" s="17">
        <v>14666</v>
      </c>
      <c r="AS638" s="17">
        <v>11827</v>
      </c>
      <c r="AT638" s="17">
        <v>131479.5</v>
      </c>
      <c r="AU638" s="17">
        <v>25.85</v>
      </c>
      <c r="AV638" s="17">
        <v>7.6</v>
      </c>
      <c r="AW638" s="10" t="s">
        <v>105</v>
      </c>
      <c r="AX638" s="17">
        <v>82489</v>
      </c>
      <c r="AY638" s="18">
        <v>11.116893548659846</v>
      </c>
      <c r="AZ638" s="10" t="s">
        <v>106</v>
      </c>
      <c r="BA638" s="20" t="b">
        <v>0</v>
      </c>
      <c r="BB638" s="10"/>
      <c r="BC638" s="17">
        <v>14666</v>
      </c>
      <c r="BD638" s="17">
        <v>11827</v>
      </c>
      <c r="BE638" s="17">
        <v>131479.5</v>
      </c>
      <c r="BF638" s="17">
        <v>7.6</v>
      </c>
      <c r="BG638" s="11">
        <f ca="1">IFERROR(__xludf.DUMMYFUNCTION("""COMPUTED_VALUE"""),45927.9791666666)</f>
        <v>45927.979166666599</v>
      </c>
      <c r="BH638" s="17" t="s">
        <v>105</v>
      </c>
      <c r="BI638" s="17"/>
      <c r="BJ638" s="15"/>
      <c r="BK638" s="15"/>
      <c r="BL638" s="13" t="b">
        <v>0</v>
      </c>
      <c r="BM638" s="10"/>
      <c r="BN638" s="10" t="s">
        <v>455</v>
      </c>
      <c r="BO638" s="11">
        <v>45866.101388888892</v>
      </c>
      <c r="BP638" s="11">
        <v>45915.609270833331</v>
      </c>
      <c r="BQ638" s="15">
        <v>45925.675752314812</v>
      </c>
      <c r="BR638" s="15">
        <v>45925.713356481479</v>
      </c>
      <c r="BS638" s="10" t="s">
        <v>455</v>
      </c>
      <c r="BT638" s="10"/>
      <c r="BU638" s="10"/>
      <c r="BV638" s="10"/>
      <c r="BW638" s="10"/>
      <c r="BX638" s="10"/>
      <c r="BY638" s="23"/>
      <c r="BZ638" s="23"/>
      <c r="CA638" s="19" t="s">
        <v>5627</v>
      </c>
      <c r="CB638" s="19" t="s">
        <v>5628</v>
      </c>
      <c r="CC638" s="23"/>
      <c r="CD638" s="23"/>
      <c r="CE638" s="23"/>
      <c r="CF638" s="23"/>
      <c r="CG638" s="23"/>
      <c r="CH638" s="23"/>
      <c r="CI638" s="23"/>
    </row>
    <row r="639" spans="1:87" x14ac:dyDescent="0.3">
      <c r="A639" s="9" t="s">
        <v>5629</v>
      </c>
      <c r="B639" s="10" t="s">
        <v>5630</v>
      </c>
      <c r="C639" s="11">
        <v>45929.083333333336</v>
      </c>
      <c r="D639" s="12">
        <v>8.3333333333333329E-2</v>
      </c>
      <c r="E639" s="11">
        <v>45929.166666666664</v>
      </c>
      <c r="F639" s="10" t="s">
        <v>5001</v>
      </c>
      <c r="G639" s="13" t="b">
        <v>0</v>
      </c>
      <c r="H639" s="10" t="s">
        <v>3578</v>
      </c>
      <c r="I639" s="10" t="s">
        <v>89</v>
      </c>
      <c r="J639" s="13" t="b">
        <v>0</v>
      </c>
      <c r="K639" s="13" t="b">
        <v>1</v>
      </c>
      <c r="L639" s="10" t="s">
        <v>124</v>
      </c>
      <c r="M639" s="10" t="s">
        <v>91</v>
      </c>
      <c r="N639" s="10" t="s">
        <v>92</v>
      </c>
      <c r="O639" s="19" t="s">
        <v>5631</v>
      </c>
      <c r="P639" s="10"/>
      <c r="Q639" s="10" t="s">
        <v>126</v>
      </c>
      <c r="R639" s="10"/>
      <c r="S639" s="19" t="s">
        <v>5632</v>
      </c>
      <c r="T639" s="19" t="s">
        <v>5606</v>
      </c>
      <c r="U639" s="10" t="s">
        <v>5102</v>
      </c>
      <c r="V639" s="10" t="s">
        <v>5114</v>
      </c>
      <c r="W639" s="10" t="s">
        <v>5007</v>
      </c>
      <c r="X639" s="10" t="s">
        <v>130</v>
      </c>
      <c r="Y639" s="10" t="s">
        <v>130</v>
      </c>
      <c r="Z639" s="10" t="s">
        <v>99</v>
      </c>
      <c r="AA639" s="10" t="s">
        <v>131</v>
      </c>
      <c r="AB639" s="10" t="s">
        <v>5008</v>
      </c>
      <c r="AC639" s="10" t="s">
        <v>5009</v>
      </c>
      <c r="AD639" s="10" t="s">
        <v>5633</v>
      </c>
      <c r="AE639" s="10" t="s">
        <v>5634</v>
      </c>
      <c r="AF639" s="15"/>
      <c r="AG639" s="10"/>
      <c r="AH639" s="10"/>
      <c r="AI639" s="10"/>
      <c r="AJ639" s="10" t="s">
        <v>5635</v>
      </c>
      <c r="AK639" s="10" t="s">
        <v>102</v>
      </c>
      <c r="AL639" s="10" t="s">
        <v>184</v>
      </c>
      <c r="AM639" s="10"/>
      <c r="AN639" s="10"/>
      <c r="AO639" s="13" t="b">
        <v>0</v>
      </c>
      <c r="AP639" s="10" t="s">
        <v>104</v>
      </c>
      <c r="AQ639" s="10">
        <f ca="1">IFERROR(__xludf.DUMMYFUNCTION("""COMPUTED_VALUE"""),4601999)</f>
        <v>4601999</v>
      </c>
      <c r="AR639" s="17">
        <v>6109</v>
      </c>
      <c r="AS639" s="17">
        <v>4637</v>
      </c>
      <c r="AT639" s="17">
        <v>134055</v>
      </c>
      <c r="AU639" s="17">
        <v>11.5</v>
      </c>
      <c r="AV639" s="17">
        <v>4.1500000000000004</v>
      </c>
      <c r="AW639" s="10" t="s">
        <v>105</v>
      </c>
      <c r="AX639" s="17">
        <v>9177</v>
      </c>
      <c r="AY639" s="18">
        <v>28.909855510028034</v>
      </c>
      <c r="AZ639" s="10" t="s">
        <v>106</v>
      </c>
      <c r="BA639" s="20" t="b">
        <v>0</v>
      </c>
      <c r="BB639" s="10"/>
      <c r="BC639" s="17">
        <v>6109</v>
      </c>
      <c r="BD639" s="17">
        <v>4637</v>
      </c>
      <c r="BE639" s="17">
        <v>134055</v>
      </c>
      <c r="BF639" s="17">
        <v>4.1500000000000004</v>
      </c>
      <c r="BG639" s="11">
        <f ca="1">IFERROR(__xludf.DUMMYFUNCTION("""COMPUTED_VALUE"""),45929.0833333333)</f>
        <v>45929.083333333299</v>
      </c>
      <c r="BH639" s="17" t="s">
        <v>105</v>
      </c>
      <c r="BI639" s="17"/>
      <c r="BJ639" s="15"/>
      <c r="BK639" s="15"/>
      <c r="BL639" s="13" t="b">
        <v>0</v>
      </c>
      <c r="BM639" s="10"/>
      <c r="BN639" s="10" t="s">
        <v>137</v>
      </c>
      <c r="BO639" s="11">
        <v>45866.101388888892</v>
      </c>
      <c r="BP639" s="11">
        <v>45923.599374999998</v>
      </c>
      <c r="BQ639" s="15">
        <v>45925.676689814813</v>
      </c>
      <c r="BR639" s="15">
        <v>45927.404722222222</v>
      </c>
      <c r="BS639" s="10" t="s">
        <v>137</v>
      </c>
      <c r="BT639" s="10"/>
      <c r="BU639" s="10"/>
      <c r="BV639" s="10"/>
      <c r="BW639" s="10"/>
      <c r="BX639" s="10"/>
      <c r="BY639" s="23"/>
      <c r="BZ639" s="23"/>
      <c r="CA639" s="19" t="s">
        <v>5636</v>
      </c>
      <c r="CB639" s="19" t="s">
        <v>5637</v>
      </c>
      <c r="CC639" s="23"/>
      <c r="CD639" s="19" t="s">
        <v>5638</v>
      </c>
      <c r="CE639" s="23"/>
      <c r="CF639" s="23"/>
      <c r="CG639" s="23"/>
      <c r="CH639" s="23"/>
      <c r="CI639" s="23"/>
    </row>
    <row r="640" spans="1:87" x14ac:dyDescent="0.3">
      <c r="A640" s="9" t="s">
        <v>5639</v>
      </c>
      <c r="B640" s="10" t="s">
        <v>5640</v>
      </c>
      <c r="C640" s="11">
        <v>45928.083333333336</v>
      </c>
      <c r="D640" s="12">
        <v>8.3333333333333329E-2</v>
      </c>
      <c r="E640" s="11">
        <v>45928.166666666664</v>
      </c>
      <c r="F640" s="10" t="s">
        <v>5001</v>
      </c>
      <c r="G640" s="13" t="b">
        <v>0</v>
      </c>
      <c r="H640" s="10" t="s">
        <v>3578</v>
      </c>
      <c r="I640" s="10" t="s">
        <v>89</v>
      </c>
      <c r="J640" s="13" t="b">
        <v>0</v>
      </c>
      <c r="K640" s="13" t="b">
        <v>1</v>
      </c>
      <c r="L640" s="10" t="s">
        <v>124</v>
      </c>
      <c r="M640" s="10" t="s">
        <v>91</v>
      </c>
      <c r="N640" s="10" t="s">
        <v>92</v>
      </c>
      <c r="O640" s="19" t="s">
        <v>5641</v>
      </c>
      <c r="P640" s="10"/>
      <c r="Q640" s="10" t="s">
        <v>126</v>
      </c>
      <c r="R640" s="10"/>
      <c r="S640" s="19" t="s">
        <v>5642</v>
      </c>
      <c r="T640" s="19" t="s">
        <v>5606</v>
      </c>
      <c r="U640" s="10" t="s">
        <v>5018</v>
      </c>
      <c r="V640" s="10" t="s">
        <v>5076</v>
      </c>
      <c r="W640" s="10" t="s">
        <v>5007</v>
      </c>
      <c r="X640" s="10" t="s">
        <v>130</v>
      </c>
      <c r="Y640" s="10" t="s">
        <v>130</v>
      </c>
      <c r="Z640" s="10" t="s">
        <v>99</v>
      </c>
      <c r="AA640" s="10" t="s">
        <v>131</v>
      </c>
      <c r="AB640" s="10" t="s">
        <v>5008</v>
      </c>
      <c r="AC640" s="10" t="s">
        <v>5009</v>
      </c>
      <c r="AD640" s="10" t="s">
        <v>5643</v>
      </c>
      <c r="AE640" s="10" t="s">
        <v>5644</v>
      </c>
      <c r="AF640" s="15"/>
      <c r="AG640" s="10"/>
      <c r="AH640" s="10"/>
      <c r="AI640" s="10"/>
      <c r="AJ640" s="10" t="s">
        <v>5645</v>
      </c>
      <c r="AK640" s="10" t="s">
        <v>102</v>
      </c>
      <c r="AL640" s="10" t="s">
        <v>184</v>
      </c>
      <c r="AM640" s="10"/>
      <c r="AN640" s="10"/>
      <c r="AO640" s="13" t="b">
        <v>0</v>
      </c>
      <c r="AP640" s="10" t="s">
        <v>104</v>
      </c>
      <c r="AQ640" s="10">
        <f ca="1">IFERROR(__xludf.DUMMYFUNCTION("""COMPUTED_VALUE"""),4598289)</f>
        <v>4598289</v>
      </c>
      <c r="AR640" s="17">
        <v>5447</v>
      </c>
      <c r="AS640" s="17">
        <v>4044</v>
      </c>
      <c r="AT640" s="17">
        <v>100417.25</v>
      </c>
      <c r="AU640" s="17">
        <v>4.8499999999999996</v>
      </c>
      <c r="AV640" s="17">
        <v>2.75</v>
      </c>
      <c r="AW640" s="10" t="s">
        <v>105</v>
      </c>
      <c r="AX640" s="17">
        <v>4242</v>
      </c>
      <c r="AY640" s="18">
        <v>24.831169634025716</v>
      </c>
      <c r="AZ640" s="10" t="s">
        <v>106</v>
      </c>
      <c r="BA640" s="20" t="b">
        <v>0</v>
      </c>
      <c r="BB640" s="10"/>
      <c r="BC640" s="17">
        <v>5447</v>
      </c>
      <c r="BD640" s="17">
        <v>4044</v>
      </c>
      <c r="BE640" s="17">
        <v>100417.25</v>
      </c>
      <c r="BF640" s="17">
        <v>2.75</v>
      </c>
      <c r="BG640" s="11">
        <f ca="1">IFERROR(__xludf.DUMMYFUNCTION("""COMPUTED_VALUE"""),45928.0833333333)</f>
        <v>45928.083333333299</v>
      </c>
      <c r="BH640" s="17" t="s">
        <v>105</v>
      </c>
      <c r="BI640" s="17"/>
      <c r="BJ640" s="15"/>
      <c r="BK640" s="15"/>
      <c r="BL640" s="13" t="b">
        <v>0</v>
      </c>
      <c r="BM640" s="10"/>
      <c r="BN640" s="10" t="s">
        <v>455</v>
      </c>
      <c r="BO640" s="11">
        <v>45866.101388888892</v>
      </c>
      <c r="BP640" s="11">
        <v>45923.552662037036</v>
      </c>
      <c r="BQ640" s="15">
        <v>45925.676041666666</v>
      </c>
      <c r="BR640" s="15">
        <v>45925.716481481482</v>
      </c>
      <c r="BS640" s="10" t="s">
        <v>455</v>
      </c>
      <c r="BT640" s="10"/>
      <c r="BU640" s="10"/>
      <c r="BV640" s="10"/>
      <c r="BW640" s="10"/>
      <c r="BX640" s="10"/>
      <c r="BY640" s="23"/>
      <c r="BZ640" s="23"/>
      <c r="CA640" s="19" t="s">
        <v>5646</v>
      </c>
      <c r="CB640" s="19" t="s">
        <v>5647</v>
      </c>
      <c r="CC640" s="23"/>
      <c r="CD640" s="19" t="s">
        <v>5648</v>
      </c>
      <c r="CE640" s="23"/>
      <c r="CF640" s="23"/>
      <c r="CG640" s="23"/>
      <c r="CH640" s="23"/>
      <c r="CI640" s="23"/>
    </row>
    <row r="641" spans="1:87" x14ac:dyDescent="0.3">
      <c r="A641" s="9" t="s">
        <v>5649</v>
      </c>
      <c r="B641" s="10" t="s">
        <v>5650</v>
      </c>
      <c r="C641" s="11">
        <v>45927.791666666664</v>
      </c>
      <c r="D641" s="12">
        <v>8.3333333333333329E-2</v>
      </c>
      <c r="E641" s="11">
        <v>45927.875</v>
      </c>
      <c r="F641" s="10" t="s">
        <v>5001</v>
      </c>
      <c r="G641" s="13" t="b">
        <v>0</v>
      </c>
      <c r="H641" s="10" t="s">
        <v>3578</v>
      </c>
      <c r="I641" s="10" t="s">
        <v>89</v>
      </c>
      <c r="J641" s="13" t="b">
        <v>0</v>
      </c>
      <c r="K641" s="13" t="b">
        <v>1</v>
      </c>
      <c r="L641" s="10" t="s">
        <v>124</v>
      </c>
      <c r="M641" s="10" t="s">
        <v>91</v>
      </c>
      <c r="N641" s="10" t="s">
        <v>92</v>
      </c>
      <c r="O641" s="19" t="s">
        <v>5651</v>
      </c>
      <c r="P641" s="10"/>
      <c r="Q641" s="10" t="s">
        <v>94</v>
      </c>
      <c r="R641" s="10"/>
      <c r="S641" s="19" t="s">
        <v>5652</v>
      </c>
      <c r="T641" s="19" t="s">
        <v>5606</v>
      </c>
      <c r="U641" s="10" t="s">
        <v>5067</v>
      </c>
      <c r="V641" s="10" t="s">
        <v>5032</v>
      </c>
      <c r="W641" s="10" t="s">
        <v>5007</v>
      </c>
      <c r="X641" s="10" t="s">
        <v>130</v>
      </c>
      <c r="Y641" s="10" t="s">
        <v>130</v>
      </c>
      <c r="Z641" s="10" t="s">
        <v>99</v>
      </c>
      <c r="AA641" s="10" t="s">
        <v>131</v>
      </c>
      <c r="AB641" s="10" t="s">
        <v>5008</v>
      </c>
      <c r="AC641" s="10" t="s">
        <v>5009</v>
      </c>
      <c r="AD641" s="10" t="s">
        <v>5653</v>
      </c>
      <c r="AE641" s="10" t="s">
        <v>5654</v>
      </c>
      <c r="AF641" s="15"/>
      <c r="AG641" s="10"/>
      <c r="AH641" s="10"/>
      <c r="AI641" s="10"/>
      <c r="AJ641" s="10"/>
      <c r="AK641" s="10" t="s">
        <v>102</v>
      </c>
      <c r="AL641" s="10" t="s">
        <v>184</v>
      </c>
      <c r="AM641" s="10"/>
      <c r="AN641" s="10"/>
      <c r="AO641" s="13" t="b">
        <v>0</v>
      </c>
      <c r="AP641" s="10" t="s">
        <v>104</v>
      </c>
      <c r="AQ641" s="10">
        <f ca="1">IFERROR(__xludf.DUMMYFUNCTION("""COMPUTED_VALUE"""),4597934)</f>
        <v>4597934</v>
      </c>
      <c r="AR641" s="17">
        <v>31473</v>
      </c>
      <c r="AS641" s="17">
        <v>25291</v>
      </c>
      <c r="AT641" s="17">
        <v>248093.25</v>
      </c>
      <c r="AU641" s="17">
        <v>266.60000000000002</v>
      </c>
      <c r="AV641" s="17">
        <v>168</v>
      </c>
      <c r="AW641" s="10" t="s">
        <v>105</v>
      </c>
      <c r="AX641" s="17">
        <v>6150</v>
      </c>
      <c r="AY641" s="18">
        <v>9.8095468743821908</v>
      </c>
      <c r="AZ641" s="10" t="s">
        <v>106</v>
      </c>
      <c r="BA641" s="20" t="b">
        <v>0</v>
      </c>
      <c r="BB641" s="10"/>
      <c r="BC641" s="17">
        <v>31473</v>
      </c>
      <c r="BD641" s="17">
        <v>25291</v>
      </c>
      <c r="BE641" s="17">
        <v>248093.25</v>
      </c>
      <c r="BF641" s="17">
        <v>168</v>
      </c>
      <c r="BG641" s="11">
        <f ca="1">IFERROR(__xludf.DUMMYFUNCTION("""COMPUTED_VALUE"""),45927.7916666666)</f>
        <v>45927.791666666599</v>
      </c>
      <c r="BH641" s="17" t="s">
        <v>105</v>
      </c>
      <c r="BI641" s="17"/>
      <c r="BJ641" s="15"/>
      <c r="BK641" s="15"/>
      <c r="BL641" s="13" t="b">
        <v>0</v>
      </c>
      <c r="BM641" s="10"/>
      <c r="BN641" s="10" t="s">
        <v>455</v>
      </c>
      <c r="BO641" s="11">
        <v>45866.101388888892</v>
      </c>
      <c r="BP641" s="11">
        <v>45923.54791666667</v>
      </c>
      <c r="BQ641" s="15">
        <v>45925.675393518519</v>
      </c>
      <c r="BR641" s="15">
        <v>45925.714108796295</v>
      </c>
      <c r="BS641" s="10" t="s">
        <v>455</v>
      </c>
      <c r="BT641" s="10"/>
      <c r="BU641" s="10"/>
      <c r="BV641" s="10"/>
      <c r="BW641" s="10"/>
      <c r="BX641" s="10"/>
      <c r="BY641" s="23"/>
      <c r="BZ641" s="23"/>
      <c r="CA641" s="19" t="s">
        <v>5655</v>
      </c>
      <c r="CB641" s="19" t="s">
        <v>5656</v>
      </c>
      <c r="CC641" s="23"/>
      <c r="CD641" s="23"/>
      <c r="CE641" s="23"/>
      <c r="CF641" s="23"/>
      <c r="CG641" s="23"/>
      <c r="CH641" s="23"/>
      <c r="CI641" s="23"/>
    </row>
    <row r="642" spans="1:87" x14ac:dyDescent="0.3">
      <c r="A642" s="9" t="s">
        <v>5657</v>
      </c>
      <c r="B642" s="10" t="s">
        <v>5658</v>
      </c>
      <c r="C642" s="11">
        <v>45927.885416666664</v>
      </c>
      <c r="D642" s="12">
        <v>8.3333333333333329E-2</v>
      </c>
      <c r="E642" s="11">
        <v>45927.96875</v>
      </c>
      <c r="F642" s="10" t="s">
        <v>5001</v>
      </c>
      <c r="G642" s="13" t="b">
        <v>0</v>
      </c>
      <c r="H642" s="10" t="s">
        <v>3578</v>
      </c>
      <c r="I642" s="10" t="s">
        <v>89</v>
      </c>
      <c r="J642" s="13" t="b">
        <v>0</v>
      </c>
      <c r="K642" s="13" t="b">
        <v>1</v>
      </c>
      <c r="L642" s="10" t="s">
        <v>124</v>
      </c>
      <c r="M642" s="10" t="s">
        <v>91</v>
      </c>
      <c r="N642" s="10" t="s">
        <v>92</v>
      </c>
      <c r="O642" s="19" t="s">
        <v>5659</v>
      </c>
      <c r="P642" s="10"/>
      <c r="Q642" s="10" t="s">
        <v>126</v>
      </c>
      <c r="R642" s="10"/>
      <c r="S642" s="19" t="s">
        <v>5660</v>
      </c>
      <c r="T642" s="19" t="s">
        <v>5606</v>
      </c>
      <c r="U642" s="10" t="s">
        <v>5090</v>
      </c>
      <c r="V642" s="10" t="s">
        <v>5113</v>
      </c>
      <c r="W642" s="10" t="s">
        <v>5007</v>
      </c>
      <c r="X642" s="10" t="s">
        <v>130</v>
      </c>
      <c r="Y642" s="10" t="s">
        <v>130</v>
      </c>
      <c r="Z642" s="10" t="s">
        <v>99</v>
      </c>
      <c r="AA642" s="10" t="s">
        <v>131</v>
      </c>
      <c r="AB642" s="10" t="s">
        <v>5008</v>
      </c>
      <c r="AC642" s="10" t="s">
        <v>5009</v>
      </c>
      <c r="AD642" s="10" t="s">
        <v>5661</v>
      </c>
      <c r="AE642" s="10" t="s">
        <v>5662</v>
      </c>
      <c r="AF642" s="15"/>
      <c r="AG642" s="10"/>
      <c r="AH642" s="10"/>
      <c r="AI642" s="10"/>
      <c r="AJ642" s="10" t="s">
        <v>5663</v>
      </c>
      <c r="AK642" s="10" t="s">
        <v>102</v>
      </c>
      <c r="AL642" s="10" t="s">
        <v>184</v>
      </c>
      <c r="AM642" s="10"/>
      <c r="AN642" s="10"/>
      <c r="AO642" s="13" t="b">
        <v>1</v>
      </c>
      <c r="AP642" s="10" t="s">
        <v>104</v>
      </c>
      <c r="AQ642" s="10">
        <f ca="1">IFERROR(__xludf.DUMMYFUNCTION("""COMPUTED_VALUE"""),4598124)</f>
        <v>4598124</v>
      </c>
      <c r="AR642" s="17">
        <v>556373</v>
      </c>
      <c r="AS642" s="17">
        <v>292137</v>
      </c>
      <c r="AT642" s="17">
        <v>12380520.75</v>
      </c>
      <c r="AU642" s="17">
        <v>9587.25</v>
      </c>
      <c r="AV642" s="17">
        <v>4907.45</v>
      </c>
      <c r="AW642" s="10" t="s">
        <v>297</v>
      </c>
      <c r="AX642" s="17">
        <v>138147</v>
      </c>
      <c r="AY642" s="18">
        <v>42.379160291233219</v>
      </c>
      <c r="AZ642" s="10" t="s">
        <v>106</v>
      </c>
      <c r="BA642" s="20" t="b">
        <v>0</v>
      </c>
      <c r="BB642" s="10"/>
      <c r="BC642" s="17">
        <v>556373</v>
      </c>
      <c r="BD642" s="17">
        <v>292137</v>
      </c>
      <c r="BE642" s="17">
        <v>12380520.75</v>
      </c>
      <c r="BF642" s="17">
        <v>4907.45</v>
      </c>
      <c r="BG642" s="11">
        <f ca="1">IFERROR(__xludf.DUMMYFUNCTION("""COMPUTED_VALUE"""),45927.8854166666)</f>
        <v>45927.885416666599</v>
      </c>
      <c r="BH642" s="17" t="s">
        <v>297</v>
      </c>
      <c r="BI642" s="17"/>
      <c r="BJ642" s="15"/>
      <c r="BK642" s="15"/>
      <c r="BL642" s="13" t="b">
        <v>0</v>
      </c>
      <c r="BM642" s="10"/>
      <c r="BN642" s="10" t="s">
        <v>5664</v>
      </c>
      <c r="BO642" s="11">
        <v>45866.101388888892</v>
      </c>
      <c r="BP642" s="11">
        <v>45925.891180555554</v>
      </c>
      <c r="BQ642" s="15">
        <v>45925.675555555557</v>
      </c>
      <c r="BR642" s="15">
        <v>45925.715798611112</v>
      </c>
      <c r="BS642" s="10"/>
      <c r="BT642" s="10" t="s">
        <v>99</v>
      </c>
      <c r="BU642" s="10"/>
      <c r="BV642" s="10" t="s">
        <v>499</v>
      </c>
      <c r="BW642" s="10"/>
      <c r="BX642" s="10"/>
      <c r="BY642" s="23"/>
      <c r="BZ642" s="23"/>
      <c r="CA642" s="19" t="s">
        <v>5665</v>
      </c>
      <c r="CB642" s="19" t="s">
        <v>5666</v>
      </c>
      <c r="CC642" s="23"/>
      <c r="CD642" s="19" t="s">
        <v>5667</v>
      </c>
      <c r="CE642" s="23"/>
      <c r="CF642" s="23"/>
      <c r="CG642" s="23"/>
      <c r="CH642" s="23"/>
      <c r="CI642" s="23"/>
    </row>
    <row r="643" spans="1:87" x14ac:dyDescent="0.3">
      <c r="A643" s="9" t="s">
        <v>5668</v>
      </c>
      <c r="B643" s="10" t="s">
        <v>5669</v>
      </c>
      <c r="C643" s="11">
        <v>45928.979166666664</v>
      </c>
      <c r="D643" s="12">
        <v>8.3333333333333329E-2</v>
      </c>
      <c r="E643" s="11">
        <v>45929.0625</v>
      </c>
      <c r="F643" s="10" t="s">
        <v>5001</v>
      </c>
      <c r="G643" s="13" t="b">
        <v>0</v>
      </c>
      <c r="H643" s="10" t="s">
        <v>3578</v>
      </c>
      <c r="I643" s="10" t="s">
        <v>89</v>
      </c>
      <c r="J643" s="13" t="b">
        <v>0</v>
      </c>
      <c r="K643" s="13" t="b">
        <v>1</v>
      </c>
      <c r="L643" s="10" t="s">
        <v>124</v>
      </c>
      <c r="M643" s="10" t="s">
        <v>91</v>
      </c>
      <c r="N643" s="10" t="s">
        <v>92</v>
      </c>
      <c r="O643" s="19" t="s">
        <v>5670</v>
      </c>
      <c r="P643" s="10"/>
      <c r="Q643" s="10" t="s">
        <v>126</v>
      </c>
      <c r="R643" s="10"/>
      <c r="S643" s="19" t="s">
        <v>5671</v>
      </c>
      <c r="T643" s="19" t="s">
        <v>5606</v>
      </c>
      <c r="U643" s="10" t="s">
        <v>5042</v>
      </c>
      <c r="V643" s="10" t="s">
        <v>5055</v>
      </c>
      <c r="W643" s="10" t="s">
        <v>5007</v>
      </c>
      <c r="X643" s="10" t="s">
        <v>130</v>
      </c>
      <c r="Y643" s="10" t="s">
        <v>130</v>
      </c>
      <c r="Z643" s="10" t="s">
        <v>99</v>
      </c>
      <c r="AA643" s="10" t="s">
        <v>131</v>
      </c>
      <c r="AB643" s="10" t="s">
        <v>5008</v>
      </c>
      <c r="AC643" s="10" t="s">
        <v>5009</v>
      </c>
      <c r="AD643" s="10" t="s">
        <v>5672</v>
      </c>
      <c r="AE643" s="10" t="s">
        <v>5673</v>
      </c>
      <c r="AF643" s="15"/>
      <c r="AG643" s="10"/>
      <c r="AH643" s="10"/>
      <c r="AI643" s="10"/>
      <c r="AJ643" s="10" t="s">
        <v>5674</v>
      </c>
      <c r="AK643" s="10" t="s">
        <v>102</v>
      </c>
      <c r="AL643" s="10" t="s">
        <v>184</v>
      </c>
      <c r="AM643" s="10"/>
      <c r="AN643" s="10"/>
      <c r="AO643" s="13" t="b">
        <v>1</v>
      </c>
      <c r="AP643" s="10" t="s">
        <v>104</v>
      </c>
      <c r="AQ643" s="10">
        <f ca="1">IFERROR(__xludf.DUMMYFUNCTION("""COMPUTED_VALUE"""),4598334)</f>
        <v>4598334</v>
      </c>
      <c r="AR643" s="17">
        <v>215045</v>
      </c>
      <c r="AS643" s="17">
        <v>128259</v>
      </c>
      <c r="AT643" s="17">
        <v>4407668.5</v>
      </c>
      <c r="AU643" s="17">
        <v>1973.9</v>
      </c>
      <c r="AV643" s="17">
        <v>876.8</v>
      </c>
      <c r="AW643" s="10" t="s">
        <v>105</v>
      </c>
      <c r="AX643" s="17">
        <v>53320</v>
      </c>
      <c r="AY643" s="18">
        <v>34.365373969857863</v>
      </c>
      <c r="AZ643" s="10" t="s">
        <v>106</v>
      </c>
      <c r="BA643" s="20" t="b">
        <v>0</v>
      </c>
      <c r="BB643" s="10"/>
      <c r="BC643" s="17">
        <v>215045</v>
      </c>
      <c r="BD643" s="17">
        <v>128259</v>
      </c>
      <c r="BE643" s="17">
        <v>4407668.5</v>
      </c>
      <c r="BF643" s="17">
        <v>876.8</v>
      </c>
      <c r="BG643" s="11">
        <f ca="1">IFERROR(__xludf.DUMMYFUNCTION("""COMPUTED_VALUE"""),45928.9791666666)</f>
        <v>45928.979166666599</v>
      </c>
      <c r="BH643" s="17" t="s">
        <v>105</v>
      </c>
      <c r="BI643" s="17"/>
      <c r="BJ643" s="15"/>
      <c r="BK643" s="15"/>
      <c r="BL643" s="13" t="b">
        <v>0</v>
      </c>
      <c r="BM643" s="10"/>
      <c r="BN643" s="10" t="s">
        <v>278</v>
      </c>
      <c r="BO643" s="11">
        <v>45866.101388888892</v>
      </c>
      <c r="BP643" s="11">
        <v>45923.592465277776</v>
      </c>
      <c r="BQ643" s="15">
        <v>45925.676504629628</v>
      </c>
      <c r="BR643" s="15">
        <v>45925.718321759261</v>
      </c>
      <c r="BS643" s="10" t="s">
        <v>278</v>
      </c>
      <c r="BT643" s="10" t="s">
        <v>99</v>
      </c>
      <c r="BU643" s="10" t="s">
        <v>5675</v>
      </c>
      <c r="BV643" s="10" t="s">
        <v>124</v>
      </c>
      <c r="BW643" s="10"/>
      <c r="BX643" s="10"/>
      <c r="BY643" s="23"/>
      <c r="BZ643" s="23"/>
      <c r="CA643" s="19" t="s">
        <v>5676</v>
      </c>
      <c r="CB643" s="19" t="s">
        <v>5677</v>
      </c>
      <c r="CC643" s="23"/>
      <c r="CD643" s="19" t="s">
        <v>5678</v>
      </c>
      <c r="CE643" s="23"/>
      <c r="CF643" s="23"/>
      <c r="CG643" s="23"/>
      <c r="CH643" s="23"/>
      <c r="CI643" s="23"/>
    </row>
    <row r="644" spans="1:87" x14ac:dyDescent="0.3">
      <c r="A644" s="9" t="s">
        <v>5679</v>
      </c>
      <c r="B644" s="10" t="s">
        <v>5680</v>
      </c>
      <c r="C644" s="11">
        <v>45931.041666666664</v>
      </c>
      <c r="D644" s="12">
        <v>8.3333333333333329E-2</v>
      </c>
      <c r="E644" s="11">
        <v>45931.125</v>
      </c>
      <c r="F644" s="10" t="s">
        <v>5001</v>
      </c>
      <c r="G644" s="13" t="b">
        <v>0</v>
      </c>
      <c r="H644" s="10" t="s">
        <v>5239</v>
      </c>
      <c r="I644" s="10" t="s">
        <v>89</v>
      </c>
      <c r="J644" s="13" t="b">
        <v>0</v>
      </c>
      <c r="K644" s="13" t="b">
        <v>1</v>
      </c>
      <c r="L644" s="10" t="s">
        <v>124</v>
      </c>
      <c r="M644" s="10" t="s">
        <v>91</v>
      </c>
      <c r="N644" s="10" t="s">
        <v>92</v>
      </c>
      <c r="O644" s="19" t="s">
        <v>5681</v>
      </c>
      <c r="P644" s="10"/>
      <c r="Q644" s="10" t="s">
        <v>94</v>
      </c>
      <c r="R644" s="10"/>
      <c r="S644" s="19" t="s">
        <v>5682</v>
      </c>
      <c r="T644" s="19" t="s">
        <v>5606</v>
      </c>
      <c r="U644" s="10" t="s">
        <v>5054</v>
      </c>
      <c r="V644" s="10" t="s">
        <v>5019</v>
      </c>
      <c r="W644" s="10" t="s">
        <v>5007</v>
      </c>
      <c r="X644" s="10" t="s">
        <v>130</v>
      </c>
      <c r="Y644" s="10" t="s">
        <v>130</v>
      </c>
      <c r="Z644" s="10" t="s">
        <v>99</v>
      </c>
      <c r="AA644" s="10" t="s">
        <v>131</v>
      </c>
      <c r="AB644" s="10" t="s">
        <v>5008</v>
      </c>
      <c r="AC644" s="10" t="s">
        <v>5009</v>
      </c>
      <c r="AD644" s="10" t="s">
        <v>5683</v>
      </c>
      <c r="AE644" s="10" t="s">
        <v>5684</v>
      </c>
      <c r="AF644" s="15"/>
      <c r="AG644" s="10"/>
      <c r="AH644" s="10"/>
      <c r="AI644" s="10"/>
      <c r="AJ644" s="10"/>
      <c r="AK644" s="10" t="s">
        <v>102</v>
      </c>
      <c r="AL644" s="10" t="s">
        <v>184</v>
      </c>
      <c r="AM644" s="10"/>
      <c r="AN644" s="10"/>
      <c r="AO644" s="13" t="b">
        <v>0</v>
      </c>
      <c r="AP644" s="10" t="s">
        <v>104</v>
      </c>
      <c r="AQ644" s="10">
        <f ca="1">IFERROR(__xludf.DUMMYFUNCTION("""COMPUTED_VALUE"""),4612071)</f>
        <v>4612071</v>
      </c>
      <c r="AR644" s="17">
        <v>6091</v>
      </c>
      <c r="AS644" s="17">
        <v>4551</v>
      </c>
      <c r="AT644" s="17">
        <v>43983</v>
      </c>
      <c r="AU644" s="17">
        <v>8.25</v>
      </c>
      <c r="AV644" s="17">
        <v>1.45</v>
      </c>
      <c r="AW644" s="10" t="s">
        <v>105</v>
      </c>
      <c r="AX644" s="17">
        <v>1952</v>
      </c>
      <c r="AY644" s="18">
        <v>9.6644693473961762</v>
      </c>
      <c r="AZ644" s="10" t="s">
        <v>106</v>
      </c>
      <c r="BA644" s="20" t="b">
        <v>0</v>
      </c>
      <c r="BB644" s="10"/>
      <c r="BC644" s="17">
        <v>6091</v>
      </c>
      <c r="BD644" s="17">
        <v>4551</v>
      </c>
      <c r="BE644" s="17">
        <v>43983</v>
      </c>
      <c r="BF644" s="17">
        <v>1.45</v>
      </c>
      <c r="BG644" s="11">
        <f ca="1">IFERROR(__xludf.DUMMYFUNCTION("""COMPUTED_VALUE"""),45931.0416666666)</f>
        <v>45931.041666666599</v>
      </c>
      <c r="BH644" s="17" t="s">
        <v>105</v>
      </c>
      <c r="BI644" s="17"/>
      <c r="BJ644" s="15"/>
      <c r="BK644" s="15"/>
      <c r="BL644" s="13" t="b">
        <v>0</v>
      </c>
      <c r="BM644" s="10" t="s">
        <v>107</v>
      </c>
      <c r="BN644" s="10" t="s">
        <v>5685</v>
      </c>
      <c r="BO644" s="11">
        <v>45866.101388888892</v>
      </c>
      <c r="BP644" s="11">
        <v>45930.390810185185</v>
      </c>
      <c r="BQ644" s="15">
        <v>45925.676886574074</v>
      </c>
      <c r="BR644" s="15">
        <v>45930.319872685184</v>
      </c>
      <c r="BS644" s="10"/>
      <c r="BT644" s="10"/>
      <c r="BU644" s="10"/>
      <c r="BV644" s="10"/>
      <c r="BW644" s="10"/>
      <c r="BX644" s="10"/>
      <c r="BY644" s="23"/>
      <c r="BZ644" s="23"/>
      <c r="CA644" s="19" t="s">
        <v>5686</v>
      </c>
      <c r="CB644" s="19" t="s">
        <v>5687</v>
      </c>
      <c r="CC644" s="23"/>
      <c r="CD644" s="23"/>
      <c r="CE644" s="23"/>
      <c r="CF644" s="23"/>
      <c r="CG644" s="23"/>
      <c r="CH644" s="23"/>
      <c r="CI644" s="23"/>
    </row>
    <row r="645" spans="1:87" x14ac:dyDescent="0.3">
      <c r="A645" s="9" t="s">
        <v>5688</v>
      </c>
      <c r="B645" s="10" t="s">
        <v>5689</v>
      </c>
      <c r="C645" s="11">
        <v>45928.885416666664</v>
      </c>
      <c r="D645" s="12">
        <v>8.3333333333333329E-2</v>
      </c>
      <c r="E645" s="11">
        <v>45928.96875</v>
      </c>
      <c r="F645" s="10" t="s">
        <v>5001</v>
      </c>
      <c r="G645" s="13" t="b">
        <v>0</v>
      </c>
      <c r="H645" s="10" t="s">
        <v>3578</v>
      </c>
      <c r="I645" s="10" t="s">
        <v>89</v>
      </c>
      <c r="J645" s="13" t="b">
        <v>0</v>
      </c>
      <c r="K645" s="13" t="b">
        <v>1</v>
      </c>
      <c r="L645" s="10" t="s">
        <v>124</v>
      </c>
      <c r="M645" s="10" t="s">
        <v>91</v>
      </c>
      <c r="N645" s="10" t="s">
        <v>92</v>
      </c>
      <c r="O645" s="19" t="s">
        <v>5690</v>
      </c>
      <c r="P645" s="10"/>
      <c r="Q645" s="10" t="s">
        <v>94</v>
      </c>
      <c r="R645" s="10"/>
      <c r="S645" s="19" t="s">
        <v>5691</v>
      </c>
      <c r="T645" s="19" t="s">
        <v>5606</v>
      </c>
      <c r="U645" s="10" t="s">
        <v>5101</v>
      </c>
      <c r="V645" s="10" t="s">
        <v>5066</v>
      </c>
      <c r="W645" s="10" t="s">
        <v>5007</v>
      </c>
      <c r="X645" s="10" t="s">
        <v>130</v>
      </c>
      <c r="Y645" s="10" t="s">
        <v>130</v>
      </c>
      <c r="Z645" s="10" t="s">
        <v>99</v>
      </c>
      <c r="AA645" s="10" t="s">
        <v>131</v>
      </c>
      <c r="AB645" s="10" t="s">
        <v>5008</v>
      </c>
      <c r="AC645" s="10" t="s">
        <v>5009</v>
      </c>
      <c r="AD645" s="10" t="s">
        <v>5692</v>
      </c>
      <c r="AE645" s="10" t="s">
        <v>5693</v>
      </c>
      <c r="AF645" s="15"/>
      <c r="AG645" s="10"/>
      <c r="AH645" s="10"/>
      <c r="AI645" s="10"/>
      <c r="AJ645" s="10"/>
      <c r="AK645" s="10" t="s">
        <v>102</v>
      </c>
      <c r="AL645" s="10" t="s">
        <v>184</v>
      </c>
      <c r="AM645" s="10"/>
      <c r="AN645" s="10"/>
      <c r="AO645" s="13" t="b">
        <v>0</v>
      </c>
      <c r="AP645" s="10" t="s">
        <v>104</v>
      </c>
      <c r="AQ645" s="10">
        <f ca="1">IFERROR(__xludf.DUMMYFUNCTION("""COMPUTED_VALUE"""),4598333)</f>
        <v>4598333</v>
      </c>
      <c r="AR645" s="17">
        <v>21506</v>
      </c>
      <c r="AS645" s="17">
        <v>15274</v>
      </c>
      <c r="AT645" s="17">
        <v>171012.5</v>
      </c>
      <c r="AU645" s="17">
        <v>87.35</v>
      </c>
      <c r="AV645" s="17">
        <v>34.35</v>
      </c>
      <c r="AW645" s="10" t="s">
        <v>105</v>
      </c>
      <c r="AX645" s="17">
        <v>3233</v>
      </c>
      <c r="AY645" s="18">
        <v>11.196313997643054</v>
      </c>
      <c r="AZ645" s="10" t="s">
        <v>106</v>
      </c>
      <c r="BA645" s="20" t="b">
        <v>0</v>
      </c>
      <c r="BB645" s="10"/>
      <c r="BC645" s="17">
        <v>21506</v>
      </c>
      <c r="BD645" s="17">
        <v>15274</v>
      </c>
      <c r="BE645" s="17">
        <v>171012.5</v>
      </c>
      <c r="BF645" s="17">
        <v>34.35</v>
      </c>
      <c r="BG645" s="11">
        <f ca="1">IFERROR(__xludf.DUMMYFUNCTION("""COMPUTED_VALUE"""),45928.8854166666)</f>
        <v>45928.885416666599</v>
      </c>
      <c r="BH645" s="17" t="s">
        <v>105</v>
      </c>
      <c r="BI645" s="17"/>
      <c r="BJ645" s="15"/>
      <c r="BK645" s="15"/>
      <c r="BL645" s="13" t="b">
        <v>0</v>
      </c>
      <c r="BM645" s="10"/>
      <c r="BN645" s="10" t="s">
        <v>118</v>
      </c>
      <c r="BO645" s="11">
        <v>45866.101388888892</v>
      </c>
      <c r="BP645" s="11">
        <v>45915.609907407408</v>
      </c>
      <c r="BQ645" s="15">
        <v>45925.67633101852</v>
      </c>
      <c r="BR645" s="15">
        <v>45925.693171296298</v>
      </c>
      <c r="BS645" s="10" t="s">
        <v>118</v>
      </c>
      <c r="BT645" s="10"/>
      <c r="BU645" s="10"/>
      <c r="BV645" s="10"/>
      <c r="BW645" s="10"/>
      <c r="BX645" s="10"/>
      <c r="BY645" s="23"/>
      <c r="BZ645" s="23"/>
      <c r="CA645" s="19" t="s">
        <v>5694</v>
      </c>
      <c r="CB645" s="19" t="s">
        <v>5695</v>
      </c>
      <c r="CC645" s="23"/>
      <c r="CD645" s="23"/>
      <c r="CE645" s="23"/>
      <c r="CF645" s="23"/>
      <c r="CG645" s="23"/>
      <c r="CH645" s="23"/>
      <c r="CI645" s="23"/>
    </row>
    <row r="646" spans="1:87" x14ac:dyDescent="0.3">
      <c r="A646" s="9" t="s">
        <v>5696</v>
      </c>
      <c r="B646" s="10" t="s">
        <v>5697</v>
      </c>
      <c r="C646" s="11">
        <v>45934.885416666664</v>
      </c>
      <c r="D646" s="12">
        <v>8.3333333333333329E-2</v>
      </c>
      <c r="E646" s="11">
        <v>45934.96875</v>
      </c>
      <c r="F646" s="10" t="s">
        <v>5001</v>
      </c>
      <c r="G646" s="13" t="b">
        <v>0</v>
      </c>
      <c r="H646" s="10" t="s">
        <v>3564</v>
      </c>
      <c r="I646" s="10" t="s">
        <v>89</v>
      </c>
      <c r="J646" s="13" t="b">
        <v>0</v>
      </c>
      <c r="K646" s="13" t="b">
        <v>1</v>
      </c>
      <c r="L646" s="10" t="s">
        <v>124</v>
      </c>
      <c r="M646" s="10" t="s">
        <v>91</v>
      </c>
      <c r="N646" s="10" t="s">
        <v>92</v>
      </c>
      <c r="O646" s="19" t="s">
        <v>5698</v>
      </c>
      <c r="P646" s="10"/>
      <c r="Q646" s="10" t="s">
        <v>126</v>
      </c>
      <c r="R646" s="10"/>
      <c r="S646" s="19" t="s">
        <v>5699</v>
      </c>
      <c r="T646" s="19" t="s">
        <v>5700</v>
      </c>
      <c r="U646" s="10" t="s">
        <v>5005</v>
      </c>
      <c r="V646" s="10" t="s">
        <v>5054</v>
      </c>
      <c r="W646" s="10" t="s">
        <v>5007</v>
      </c>
      <c r="X646" s="10" t="s">
        <v>130</v>
      </c>
      <c r="Y646" s="10" t="s">
        <v>130</v>
      </c>
      <c r="Z646" s="10" t="s">
        <v>99</v>
      </c>
      <c r="AA646" s="10" t="s">
        <v>131</v>
      </c>
      <c r="AB646" s="10" t="s">
        <v>5008</v>
      </c>
      <c r="AC646" s="10" t="s">
        <v>5009</v>
      </c>
      <c r="AD646" s="10" t="s">
        <v>5701</v>
      </c>
      <c r="AE646" s="10" t="s">
        <v>5702</v>
      </c>
      <c r="AF646" s="15"/>
      <c r="AG646" s="10"/>
      <c r="AH646" s="10"/>
      <c r="AI646" s="10"/>
      <c r="AJ646" s="10" t="s">
        <v>5703</v>
      </c>
      <c r="AK646" s="10" t="s">
        <v>102</v>
      </c>
      <c r="AL646" s="10" t="s">
        <v>195</v>
      </c>
      <c r="AM646" s="10"/>
      <c r="AN646" s="10"/>
      <c r="AO646" s="13" t="b">
        <v>0</v>
      </c>
      <c r="AP646" s="10" t="s">
        <v>104</v>
      </c>
      <c r="AQ646" s="10">
        <f ca="1">IFERROR(__xludf.DUMMYFUNCTION("""COMPUTED_VALUE"""),4614513)</f>
        <v>4614513</v>
      </c>
      <c r="AR646" s="17">
        <v>17841</v>
      </c>
      <c r="AS646" s="17">
        <v>13905</v>
      </c>
      <c r="AT646" s="17">
        <v>202026.75</v>
      </c>
      <c r="AU646" s="17">
        <v>80.650000000000006</v>
      </c>
      <c r="AV646" s="17">
        <v>28.95</v>
      </c>
      <c r="AW646" s="10" t="s">
        <v>105</v>
      </c>
      <c r="AX646" s="17">
        <v>3622</v>
      </c>
      <c r="AY646" s="18">
        <v>14.529072276159654</v>
      </c>
      <c r="AZ646" s="10"/>
      <c r="BA646" s="20" t="b">
        <v>0</v>
      </c>
      <c r="BB646" s="10"/>
      <c r="BC646" s="17">
        <v>17841</v>
      </c>
      <c r="BD646" s="17">
        <v>13905</v>
      </c>
      <c r="BE646" s="17">
        <v>202026.75</v>
      </c>
      <c r="BF646" s="17">
        <v>28.95</v>
      </c>
      <c r="BG646" s="11">
        <f ca="1">IFERROR(__xludf.DUMMYFUNCTION("""COMPUTED_VALUE"""),45934.8854166666)</f>
        <v>45934.885416666599</v>
      </c>
      <c r="BH646" s="17" t="s">
        <v>105</v>
      </c>
      <c r="BI646" s="17"/>
      <c r="BJ646" s="15"/>
      <c r="BK646" s="15"/>
      <c r="BL646" s="13" t="b">
        <v>0</v>
      </c>
      <c r="BM646" s="10"/>
      <c r="BN646" s="10" t="s">
        <v>118</v>
      </c>
      <c r="BO646" s="11">
        <v>45866.101388888892</v>
      </c>
      <c r="BP646" s="11">
        <v>45930.638043981482</v>
      </c>
      <c r="BQ646" s="15">
        <v>45930.441990740743</v>
      </c>
      <c r="BR646" s="15">
        <v>45931.429212962961</v>
      </c>
      <c r="BS646" s="10" t="s">
        <v>118</v>
      </c>
      <c r="BT646" s="10"/>
      <c r="BU646" s="10"/>
      <c r="BV646" s="10"/>
      <c r="BW646" s="10"/>
      <c r="BX646" s="10"/>
      <c r="BY646" s="23"/>
      <c r="BZ646" s="23"/>
      <c r="CA646" s="19" t="s">
        <v>5704</v>
      </c>
      <c r="CB646" s="19" t="s">
        <v>5705</v>
      </c>
      <c r="CC646" s="23"/>
      <c r="CD646" s="19" t="s">
        <v>5706</v>
      </c>
      <c r="CE646" s="23"/>
      <c r="CF646" s="23"/>
      <c r="CG646" s="23"/>
      <c r="CH646" s="23"/>
      <c r="CI646" s="23"/>
    </row>
    <row r="647" spans="1:87" x14ac:dyDescent="0.3">
      <c r="A647" s="25" t="s">
        <v>5707</v>
      </c>
      <c r="B647" s="10" t="s">
        <v>5708</v>
      </c>
      <c r="C647" s="11">
        <v>45935.885416666664</v>
      </c>
      <c r="D647" s="12">
        <v>8.3333333333333329E-2</v>
      </c>
      <c r="E647" s="11">
        <v>45935.96875</v>
      </c>
      <c r="F647" s="10" t="s">
        <v>5001</v>
      </c>
      <c r="G647" s="13" t="b">
        <v>0</v>
      </c>
      <c r="H647" s="10" t="s">
        <v>3564</v>
      </c>
      <c r="I647" s="10" t="s">
        <v>89</v>
      </c>
      <c r="J647" s="13" t="b">
        <v>0</v>
      </c>
      <c r="K647" s="13" t="b">
        <v>1</v>
      </c>
      <c r="L647" s="10" t="s">
        <v>124</v>
      </c>
      <c r="M647" s="10" t="s">
        <v>91</v>
      </c>
      <c r="N647" s="10" t="s">
        <v>92</v>
      </c>
      <c r="O647" s="19" t="s">
        <v>5709</v>
      </c>
      <c r="P647" s="10"/>
      <c r="Q647" s="10" t="s">
        <v>126</v>
      </c>
      <c r="R647" s="10"/>
      <c r="S647" s="19" t="s">
        <v>5710</v>
      </c>
      <c r="T647" s="19" t="s">
        <v>5700</v>
      </c>
      <c r="U647" s="10" t="s">
        <v>5077</v>
      </c>
      <c r="V647" s="10" t="s">
        <v>5042</v>
      </c>
      <c r="W647" s="10" t="s">
        <v>5007</v>
      </c>
      <c r="X647" s="10" t="s">
        <v>130</v>
      </c>
      <c r="Y647" s="10" t="s">
        <v>130</v>
      </c>
      <c r="Z647" s="10" t="s">
        <v>99</v>
      </c>
      <c r="AA647" s="10" t="s">
        <v>131</v>
      </c>
      <c r="AB647" s="10" t="s">
        <v>5008</v>
      </c>
      <c r="AC647" s="10" t="s">
        <v>5009</v>
      </c>
      <c r="AD647" s="10" t="s">
        <v>5711</v>
      </c>
      <c r="AE647" s="10" t="s">
        <v>5712</v>
      </c>
      <c r="AF647" s="15"/>
      <c r="AG647" s="10"/>
      <c r="AH647" s="10"/>
      <c r="AI647" s="10"/>
      <c r="AJ647" s="10" t="s">
        <v>5713</v>
      </c>
      <c r="AK647" s="10" t="s">
        <v>102</v>
      </c>
      <c r="AL647" s="10" t="s">
        <v>195</v>
      </c>
      <c r="AM647" s="10"/>
      <c r="AN647" s="10"/>
      <c r="AO647" s="13" t="b">
        <v>1</v>
      </c>
      <c r="AP647" s="10" t="s">
        <v>104</v>
      </c>
      <c r="AQ647" s="10">
        <f ca="1">IFERROR(__xludf.DUMMYFUNCTION("""COMPUTED_VALUE"""),4626139)</f>
        <v>4626139</v>
      </c>
      <c r="AR647" s="17">
        <v>294603</v>
      </c>
      <c r="AS647" s="17">
        <v>169190</v>
      </c>
      <c r="AT647" s="17">
        <v>7133119.75</v>
      </c>
      <c r="AU647" s="17">
        <v>3211.4</v>
      </c>
      <c r="AV647" s="17">
        <v>1066.95</v>
      </c>
      <c r="AW647" s="10" t="s">
        <v>297</v>
      </c>
      <c r="AX647" s="17">
        <v>82992</v>
      </c>
      <c r="AY647" s="18">
        <v>42.160409894201784</v>
      </c>
      <c r="AZ647" s="10"/>
      <c r="BA647" s="20" t="b">
        <v>0</v>
      </c>
      <c r="BB647" s="10"/>
      <c r="BC647" s="17">
        <v>294603</v>
      </c>
      <c r="BD647" s="17">
        <v>169190</v>
      </c>
      <c r="BE647" s="17">
        <v>7133119.75</v>
      </c>
      <c r="BF647" s="17">
        <v>1066.95</v>
      </c>
      <c r="BG647" s="11">
        <f ca="1">IFERROR(__xludf.DUMMYFUNCTION("""COMPUTED_VALUE"""),45935.8854166666)</f>
        <v>45935.885416666599</v>
      </c>
      <c r="BH647" s="17" t="s">
        <v>297</v>
      </c>
      <c r="BI647" s="17"/>
      <c r="BJ647" s="15"/>
      <c r="BK647" s="15"/>
      <c r="BL647" s="13" t="b">
        <v>0</v>
      </c>
      <c r="BM647" s="10"/>
      <c r="BN647" s="10" t="s">
        <v>137</v>
      </c>
      <c r="BO647" s="11">
        <v>45866.101388888892</v>
      </c>
      <c r="BP647" s="11">
        <v>45930.65552083333</v>
      </c>
      <c r="BQ647" s="15">
        <v>45930.442870370367</v>
      </c>
      <c r="BR647" s="15">
        <v>45932.340567129628</v>
      </c>
      <c r="BS647" s="10" t="s">
        <v>137</v>
      </c>
      <c r="BT647" s="10" t="s">
        <v>99</v>
      </c>
      <c r="BU647" s="10" t="s">
        <v>5675</v>
      </c>
      <c r="BV647" s="10" t="s">
        <v>124</v>
      </c>
      <c r="BW647" s="10"/>
      <c r="BX647" s="10"/>
      <c r="BY647" s="23"/>
      <c r="BZ647" s="23"/>
      <c r="CA647" s="19" t="s">
        <v>5714</v>
      </c>
      <c r="CB647" s="19" t="s">
        <v>5715</v>
      </c>
      <c r="CC647" s="23"/>
      <c r="CD647" s="19" t="s">
        <v>5716</v>
      </c>
      <c r="CE647" s="23"/>
      <c r="CF647" s="23"/>
      <c r="CG647" s="23"/>
      <c r="CH647" s="23"/>
      <c r="CI647" s="23"/>
    </row>
    <row r="648" spans="1:87" x14ac:dyDescent="0.3">
      <c r="A648" s="9" t="s">
        <v>5717</v>
      </c>
      <c r="B648" s="10" t="s">
        <v>5718</v>
      </c>
      <c r="C648" s="11">
        <v>45934.083333333336</v>
      </c>
      <c r="D648" s="12">
        <v>8.3333333333333329E-2</v>
      </c>
      <c r="E648" s="11">
        <v>45934.166666666664</v>
      </c>
      <c r="F648" s="10" t="s">
        <v>5001</v>
      </c>
      <c r="G648" s="13" t="b">
        <v>0</v>
      </c>
      <c r="H648" s="10" t="s">
        <v>3578</v>
      </c>
      <c r="I648" s="10" t="s">
        <v>89</v>
      </c>
      <c r="J648" s="13" t="b">
        <v>0</v>
      </c>
      <c r="K648" s="13" t="b">
        <v>1</v>
      </c>
      <c r="L648" s="10" t="s">
        <v>124</v>
      </c>
      <c r="M648" s="10" t="s">
        <v>91</v>
      </c>
      <c r="N648" s="10" t="s">
        <v>92</v>
      </c>
      <c r="O648" s="19" t="s">
        <v>5719</v>
      </c>
      <c r="P648" s="10"/>
      <c r="Q648" s="10" t="s">
        <v>94</v>
      </c>
      <c r="R648" s="10"/>
      <c r="S648" s="19" t="s">
        <v>5720</v>
      </c>
      <c r="T648" s="19" t="s">
        <v>5700</v>
      </c>
      <c r="U648" s="10" t="s">
        <v>5114</v>
      </c>
      <c r="V648" s="10" t="s">
        <v>5067</v>
      </c>
      <c r="W648" s="10" t="s">
        <v>5007</v>
      </c>
      <c r="X648" s="10" t="s">
        <v>130</v>
      </c>
      <c r="Y648" s="10" t="s">
        <v>130</v>
      </c>
      <c r="Z648" s="10" t="s">
        <v>99</v>
      </c>
      <c r="AA648" s="10" t="s">
        <v>131</v>
      </c>
      <c r="AB648" s="10" t="s">
        <v>5008</v>
      </c>
      <c r="AC648" s="10" t="s">
        <v>5009</v>
      </c>
      <c r="AD648" s="10" t="s">
        <v>5721</v>
      </c>
      <c r="AE648" s="10" t="s">
        <v>5722</v>
      </c>
      <c r="AF648" s="15"/>
      <c r="AG648" s="10"/>
      <c r="AH648" s="10"/>
      <c r="AI648" s="10"/>
      <c r="AJ648" s="10"/>
      <c r="AK648" s="10" t="s">
        <v>102</v>
      </c>
      <c r="AL648" s="10" t="s">
        <v>195</v>
      </c>
      <c r="AM648" s="10"/>
      <c r="AN648" s="10"/>
      <c r="AO648" s="13" t="b">
        <v>0</v>
      </c>
      <c r="AP648" s="10" t="s">
        <v>104</v>
      </c>
      <c r="AQ648" s="10">
        <f ca="1">IFERROR(__xludf.DUMMYFUNCTION("""COMPUTED_VALUE"""),4614507)</f>
        <v>4614507</v>
      </c>
      <c r="AR648" s="17">
        <v>4100</v>
      </c>
      <c r="AS648" s="17">
        <v>2905</v>
      </c>
      <c r="AT648" s="17">
        <v>77009.75</v>
      </c>
      <c r="AU648" s="17">
        <v>5.75</v>
      </c>
      <c r="AV648" s="17">
        <v>2.35</v>
      </c>
      <c r="AW648" s="10" t="s">
        <v>105</v>
      </c>
      <c r="AX648" s="17">
        <v>937</v>
      </c>
      <c r="AY648" s="18">
        <v>26.509380378657486</v>
      </c>
      <c r="AZ648" s="10"/>
      <c r="BA648" s="20" t="b">
        <v>0</v>
      </c>
      <c r="BB648" s="10"/>
      <c r="BC648" s="17">
        <v>4100</v>
      </c>
      <c r="BD648" s="17">
        <v>2905</v>
      </c>
      <c r="BE648" s="17">
        <v>77009.75</v>
      </c>
      <c r="BF648" s="17">
        <v>2.35</v>
      </c>
      <c r="BG648" s="11">
        <f ca="1">IFERROR(__xludf.DUMMYFUNCTION("""COMPUTED_VALUE"""),45934.0833333333)</f>
        <v>45934.083333333299</v>
      </c>
      <c r="BH648" s="17" t="s">
        <v>105</v>
      </c>
      <c r="BI648" s="17"/>
      <c r="BJ648" s="15"/>
      <c r="BK648" s="15"/>
      <c r="BL648" s="13" t="b">
        <v>0</v>
      </c>
      <c r="BM648" s="10"/>
      <c r="BN648" s="10" t="s">
        <v>118</v>
      </c>
      <c r="BO648" s="11">
        <v>45866.101388888892</v>
      </c>
      <c r="BP648" s="11">
        <v>45925.060671296298</v>
      </c>
      <c r="BQ648" s="15">
        <v>45930.441678240742</v>
      </c>
      <c r="BR648" s="15">
        <v>45931.428067129629</v>
      </c>
      <c r="BS648" s="10" t="s">
        <v>118</v>
      </c>
      <c r="BT648" s="10"/>
      <c r="BU648" s="10"/>
      <c r="BV648" s="10"/>
      <c r="BW648" s="10"/>
      <c r="BX648" s="10"/>
      <c r="BY648" s="23"/>
      <c r="BZ648" s="23"/>
      <c r="CA648" s="19" t="s">
        <v>5723</v>
      </c>
      <c r="CB648" s="19" t="s">
        <v>5724</v>
      </c>
      <c r="CC648" s="23"/>
      <c r="CD648" s="23"/>
      <c r="CE648" s="23"/>
      <c r="CF648" s="23"/>
      <c r="CG648" s="23"/>
      <c r="CH648" s="23"/>
      <c r="CI648" s="23"/>
    </row>
    <row r="649" spans="1:87" x14ac:dyDescent="0.3">
      <c r="A649" s="9" t="s">
        <v>5725</v>
      </c>
      <c r="B649" s="10" t="s">
        <v>5726</v>
      </c>
      <c r="C649" s="11">
        <v>45935.979166666664</v>
      </c>
      <c r="D649" s="12">
        <v>8.3333333333333329E-2</v>
      </c>
      <c r="E649" s="11">
        <v>45936.0625</v>
      </c>
      <c r="F649" s="10" t="s">
        <v>5001</v>
      </c>
      <c r="G649" s="13" t="b">
        <v>0</v>
      </c>
      <c r="H649" s="10" t="s">
        <v>3578</v>
      </c>
      <c r="I649" s="10" t="s">
        <v>89</v>
      </c>
      <c r="J649" s="13" t="b">
        <v>0</v>
      </c>
      <c r="K649" s="13" t="b">
        <v>1</v>
      </c>
      <c r="L649" s="10" t="s">
        <v>124</v>
      </c>
      <c r="M649" s="10" t="s">
        <v>91</v>
      </c>
      <c r="N649" s="10" t="s">
        <v>92</v>
      </c>
      <c r="O649" s="19" t="s">
        <v>5727</v>
      </c>
      <c r="P649" s="10"/>
      <c r="Q649" s="10" t="s">
        <v>126</v>
      </c>
      <c r="R649" s="10"/>
      <c r="S649" s="19" t="s">
        <v>5728</v>
      </c>
      <c r="T649" s="19" t="s">
        <v>5700</v>
      </c>
      <c r="U649" s="10" t="s">
        <v>5089</v>
      </c>
      <c r="V649" s="10" t="s">
        <v>5102</v>
      </c>
      <c r="W649" s="10" t="s">
        <v>5007</v>
      </c>
      <c r="X649" s="10" t="s">
        <v>130</v>
      </c>
      <c r="Y649" s="10" t="s">
        <v>130</v>
      </c>
      <c r="Z649" s="10" t="s">
        <v>99</v>
      </c>
      <c r="AA649" s="10" t="s">
        <v>131</v>
      </c>
      <c r="AB649" s="10" t="s">
        <v>5008</v>
      </c>
      <c r="AC649" s="10" t="s">
        <v>5009</v>
      </c>
      <c r="AD649" s="10" t="s">
        <v>5729</v>
      </c>
      <c r="AE649" s="10" t="s">
        <v>5730</v>
      </c>
      <c r="AF649" s="15"/>
      <c r="AG649" s="10"/>
      <c r="AH649" s="10"/>
      <c r="AI649" s="10"/>
      <c r="AJ649" s="10" t="s">
        <v>5731</v>
      </c>
      <c r="AK649" s="10" t="s">
        <v>102</v>
      </c>
      <c r="AL649" s="10" t="s">
        <v>195</v>
      </c>
      <c r="AM649" s="10"/>
      <c r="AN649" s="10"/>
      <c r="AO649" s="13" t="b">
        <v>0</v>
      </c>
      <c r="AP649" s="10" t="s">
        <v>104</v>
      </c>
      <c r="AQ649" s="10">
        <f ca="1">IFERROR(__xludf.DUMMYFUNCTION("""COMPUTED_VALUE"""),4626131)</f>
        <v>4626131</v>
      </c>
      <c r="AR649" s="17">
        <v>11245</v>
      </c>
      <c r="AS649" s="17">
        <v>9055</v>
      </c>
      <c r="AT649" s="17">
        <v>209233.25</v>
      </c>
      <c r="AU649" s="17">
        <v>39.85</v>
      </c>
      <c r="AV649" s="17">
        <v>15.65</v>
      </c>
      <c r="AW649" s="10" t="s">
        <v>105</v>
      </c>
      <c r="AX649" s="17">
        <v>2708</v>
      </c>
      <c r="AY649" s="18">
        <v>23.106929872998343</v>
      </c>
      <c r="AZ649" s="10"/>
      <c r="BA649" s="20" t="b">
        <v>0</v>
      </c>
      <c r="BB649" s="10"/>
      <c r="BC649" s="17">
        <v>11245</v>
      </c>
      <c r="BD649" s="17">
        <v>9055</v>
      </c>
      <c r="BE649" s="17">
        <v>209233.25</v>
      </c>
      <c r="BF649" s="17">
        <v>15.65</v>
      </c>
      <c r="BG649" s="11">
        <f ca="1">IFERROR(__xludf.DUMMYFUNCTION("""COMPUTED_VALUE"""),45935.9791666666)</f>
        <v>45935.979166666599</v>
      </c>
      <c r="BH649" s="17" t="s">
        <v>105</v>
      </c>
      <c r="BI649" s="17"/>
      <c r="BJ649" s="15"/>
      <c r="BK649" s="15"/>
      <c r="BL649" s="13" t="b">
        <v>0</v>
      </c>
      <c r="BM649" s="10"/>
      <c r="BN649" s="10" t="s">
        <v>1160</v>
      </c>
      <c r="BO649" s="11">
        <v>45866.101388888892</v>
      </c>
      <c r="BP649" s="11">
        <v>45930.660486111112</v>
      </c>
      <c r="BQ649" s="15">
        <v>45930.443055555559</v>
      </c>
      <c r="BR649" s="15">
        <v>45932.341527777775</v>
      </c>
      <c r="BS649" s="10" t="s">
        <v>1160</v>
      </c>
      <c r="BT649" s="10"/>
      <c r="BU649" s="10"/>
      <c r="BV649" s="10"/>
      <c r="BW649" s="10"/>
      <c r="BX649" s="10"/>
      <c r="BY649" s="23"/>
      <c r="BZ649" s="23"/>
      <c r="CA649" s="19" t="s">
        <v>5732</v>
      </c>
      <c r="CB649" s="19" t="s">
        <v>5733</v>
      </c>
      <c r="CC649" s="23"/>
      <c r="CD649" s="19" t="s">
        <v>5734</v>
      </c>
      <c r="CE649" s="23"/>
      <c r="CF649" s="23"/>
      <c r="CG649" s="23"/>
      <c r="CH649" s="23"/>
      <c r="CI649" s="23"/>
    </row>
    <row r="650" spans="1:87" x14ac:dyDescent="0.3">
      <c r="A650" s="9" t="s">
        <v>5735</v>
      </c>
      <c r="B650" s="10" t="s">
        <v>5736</v>
      </c>
      <c r="C650" s="11">
        <v>45935.979166666664</v>
      </c>
      <c r="D650" s="12">
        <v>8.3333333333333329E-2</v>
      </c>
      <c r="E650" s="11">
        <v>45936.0625</v>
      </c>
      <c r="F650" s="10" t="s">
        <v>5001</v>
      </c>
      <c r="G650" s="13" t="b">
        <v>0</v>
      </c>
      <c r="H650" s="10" t="s">
        <v>3564</v>
      </c>
      <c r="I650" s="10" t="s">
        <v>89</v>
      </c>
      <c r="J650" s="13" t="b">
        <v>0</v>
      </c>
      <c r="K650" s="13" t="b">
        <v>1</v>
      </c>
      <c r="L650" s="10" t="s">
        <v>124</v>
      </c>
      <c r="M650" s="10" t="s">
        <v>91</v>
      </c>
      <c r="N650" s="10" t="s">
        <v>92</v>
      </c>
      <c r="O650" s="19" t="s">
        <v>5737</v>
      </c>
      <c r="P650" s="10"/>
      <c r="Q650" s="10" t="s">
        <v>126</v>
      </c>
      <c r="R650" s="10"/>
      <c r="S650" s="19" t="s">
        <v>5738</v>
      </c>
      <c r="T650" s="19" t="s">
        <v>5700</v>
      </c>
      <c r="U650" s="10" t="s">
        <v>5055</v>
      </c>
      <c r="V650" s="10" t="s">
        <v>5006</v>
      </c>
      <c r="W650" s="10" t="s">
        <v>5007</v>
      </c>
      <c r="X650" s="10" t="s">
        <v>130</v>
      </c>
      <c r="Y650" s="10" t="s">
        <v>130</v>
      </c>
      <c r="Z650" s="10" t="s">
        <v>99</v>
      </c>
      <c r="AA650" s="10" t="s">
        <v>131</v>
      </c>
      <c r="AB650" s="10" t="s">
        <v>5008</v>
      </c>
      <c r="AC650" s="10" t="s">
        <v>5009</v>
      </c>
      <c r="AD650" s="10" t="s">
        <v>5739</v>
      </c>
      <c r="AE650" s="10" t="s">
        <v>5740</v>
      </c>
      <c r="AF650" s="15"/>
      <c r="AG650" s="10"/>
      <c r="AH650" s="10"/>
      <c r="AI650" s="10"/>
      <c r="AJ650" s="10" t="s">
        <v>5741</v>
      </c>
      <c r="AK650" s="10" t="s">
        <v>102</v>
      </c>
      <c r="AL650" s="10" t="s">
        <v>195</v>
      </c>
      <c r="AM650" s="10"/>
      <c r="AN650" s="10"/>
      <c r="AO650" s="13" t="b">
        <v>0</v>
      </c>
      <c r="AP650" s="10" t="s">
        <v>104</v>
      </c>
      <c r="AQ650" s="10">
        <f ca="1">IFERROR(__xludf.DUMMYFUNCTION("""COMPUTED_VALUE"""),4626140)</f>
        <v>4626140</v>
      </c>
      <c r="AR650" s="17">
        <v>7592</v>
      </c>
      <c r="AS650" s="17">
        <v>6192</v>
      </c>
      <c r="AT650" s="17">
        <v>88483.25</v>
      </c>
      <c r="AU650" s="17">
        <v>16.8</v>
      </c>
      <c r="AV650" s="17">
        <v>4.1500000000000004</v>
      </c>
      <c r="AW650" s="10" t="s">
        <v>105</v>
      </c>
      <c r="AX650" s="17">
        <v>32200</v>
      </c>
      <c r="AY650" s="18">
        <v>14.289930555555555</v>
      </c>
      <c r="AZ650" s="10"/>
      <c r="BA650" s="20" t="b">
        <v>0</v>
      </c>
      <c r="BB650" s="10"/>
      <c r="BC650" s="17">
        <v>7592</v>
      </c>
      <c r="BD650" s="17">
        <v>6192</v>
      </c>
      <c r="BE650" s="17">
        <v>88483.25</v>
      </c>
      <c r="BF650" s="17">
        <v>4.1500000000000004</v>
      </c>
      <c r="BG650" s="11">
        <f ca="1">IFERROR(__xludf.DUMMYFUNCTION("""COMPUTED_VALUE"""),45935.9791666666)</f>
        <v>45935.979166666599</v>
      </c>
      <c r="BH650" s="17" t="s">
        <v>105</v>
      </c>
      <c r="BI650" s="17"/>
      <c r="BJ650" s="15"/>
      <c r="BK650" s="15"/>
      <c r="BL650" s="13" t="b">
        <v>0</v>
      </c>
      <c r="BM650" s="10"/>
      <c r="BN650" s="10" t="s">
        <v>1160</v>
      </c>
      <c r="BO650" s="11">
        <v>45866.101388888892</v>
      </c>
      <c r="BP650" s="11">
        <v>45930.709363425929</v>
      </c>
      <c r="BQ650" s="15">
        <v>45930.44321759259</v>
      </c>
      <c r="BR650" s="15">
        <v>45932.341736111113</v>
      </c>
      <c r="BS650" s="10" t="s">
        <v>1160</v>
      </c>
      <c r="BT650" s="10"/>
      <c r="BU650" s="10"/>
      <c r="BV650" s="10"/>
      <c r="BW650" s="10"/>
      <c r="BX650" s="10"/>
      <c r="BY650" s="23"/>
      <c r="BZ650" s="23"/>
      <c r="CA650" s="19" t="s">
        <v>5742</v>
      </c>
      <c r="CB650" s="19" t="s">
        <v>5743</v>
      </c>
      <c r="CC650" s="23"/>
      <c r="CD650" s="19" t="s">
        <v>5744</v>
      </c>
      <c r="CE650" s="23"/>
      <c r="CF650" s="23"/>
      <c r="CG650" s="23"/>
      <c r="CH650" s="23"/>
      <c r="CI650" s="23"/>
    </row>
    <row r="651" spans="1:87" x14ac:dyDescent="0.3">
      <c r="A651" s="9" t="s">
        <v>5745</v>
      </c>
      <c r="B651" s="10" t="s">
        <v>5746</v>
      </c>
      <c r="C651" s="11">
        <v>45934.979166666664</v>
      </c>
      <c r="D651" s="12">
        <v>8.3333333333333329E-2</v>
      </c>
      <c r="E651" s="11">
        <v>45935.0625</v>
      </c>
      <c r="F651" s="10" t="s">
        <v>5001</v>
      </c>
      <c r="G651" s="13" t="b">
        <v>0</v>
      </c>
      <c r="H651" s="10" t="s">
        <v>3578</v>
      </c>
      <c r="I651" s="10" t="s">
        <v>89</v>
      </c>
      <c r="J651" s="13" t="b">
        <v>0</v>
      </c>
      <c r="K651" s="13" t="b">
        <v>1</v>
      </c>
      <c r="L651" s="10" t="s">
        <v>124</v>
      </c>
      <c r="M651" s="10" t="s">
        <v>91</v>
      </c>
      <c r="N651" s="10" t="s">
        <v>92</v>
      </c>
      <c r="O651" s="19" t="s">
        <v>5747</v>
      </c>
      <c r="P651" s="10"/>
      <c r="Q651" s="10" t="s">
        <v>126</v>
      </c>
      <c r="R651" s="10"/>
      <c r="S651" s="19" t="s">
        <v>5748</v>
      </c>
      <c r="T651" s="19" t="s">
        <v>5700</v>
      </c>
      <c r="U651" s="10" t="s">
        <v>5076</v>
      </c>
      <c r="V651" s="10" t="s">
        <v>5041</v>
      </c>
      <c r="W651" s="10" t="s">
        <v>5007</v>
      </c>
      <c r="X651" s="10" t="s">
        <v>130</v>
      </c>
      <c r="Y651" s="10" t="s">
        <v>130</v>
      </c>
      <c r="Z651" s="10" t="s">
        <v>99</v>
      </c>
      <c r="AA651" s="10" t="s">
        <v>131</v>
      </c>
      <c r="AB651" s="10" t="s">
        <v>5008</v>
      </c>
      <c r="AC651" s="10" t="s">
        <v>5009</v>
      </c>
      <c r="AD651" s="10" t="s">
        <v>5749</v>
      </c>
      <c r="AE651" s="10" t="s">
        <v>5750</v>
      </c>
      <c r="AF651" s="15"/>
      <c r="AG651" s="10"/>
      <c r="AH651" s="10"/>
      <c r="AI651" s="10"/>
      <c r="AJ651" s="10" t="s">
        <v>5751</v>
      </c>
      <c r="AK651" s="10" t="s">
        <v>102</v>
      </c>
      <c r="AL651" s="10" t="s">
        <v>195</v>
      </c>
      <c r="AM651" s="10"/>
      <c r="AN651" s="10"/>
      <c r="AO651" s="13" t="b">
        <v>0</v>
      </c>
      <c r="AP651" s="10" t="s">
        <v>104</v>
      </c>
      <c r="AQ651" s="10">
        <f ca="1">IFERROR(__xludf.DUMMYFUNCTION("""COMPUTED_VALUE"""),4614515)</f>
        <v>4614515</v>
      </c>
      <c r="AR651" s="17">
        <v>14198</v>
      </c>
      <c r="AS651" s="17">
        <v>11827</v>
      </c>
      <c r="AT651" s="17">
        <v>186538.25</v>
      </c>
      <c r="AU651" s="17">
        <v>30.8</v>
      </c>
      <c r="AV651" s="17">
        <v>11.9</v>
      </c>
      <c r="AW651" s="10" t="s">
        <v>105</v>
      </c>
      <c r="AX651" s="17">
        <v>2939</v>
      </c>
      <c r="AY651" s="18">
        <v>15.772237253741439</v>
      </c>
      <c r="AZ651" s="10"/>
      <c r="BA651" s="20" t="b">
        <v>0</v>
      </c>
      <c r="BB651" s="10"/>
      <c r="BC651" s="17">
        <v>14198</v>
      </c>
      <c r="BD651" s="17">
        <v>11827</v>
      </c>
      <c r="BE651" s="17">
        <v>186538.25</v>
      </c>
      <c r="BF651" s="17">
        <v>11.9</v>
      </c>
      <c r="BG651" s="11">
        <f ca="1">IFERROR(__xludf.DUMMYFUNCTION("""COMPUTED_VALUE"""),45934.9791666666)</f>
        <v>45934.979166666599</v>
      </c>
      <c r="BH651" s="17" t="s">
        <v>105</v>
      </c>
      <c r="BI651" s="17"/>
      <c r="BJ651" s="15"/>
      <c r="BK651" s="15"/>
      <c r="BL651" s="13" t="b">
        <v>0</v>
      </c>
      <c r="BM651" s="10"/>
      <c r="BN651" s="10" t="s">
        <v>118</v>
      </c>
      <c r="BO651" s="11">
        <v>45866.101388888892</v>
      </c>
      <c r="BP651" s="11">
        <v>45930.64503472222</v>
      </c>
      <c r="BQ651" s="15">
        <v>45930.442233796297</v>
      </c>
      <c r="BR651" s="15">
        <v>45931.4294212963</v>
      </c>
      <c r="BS651" s="10" t="s">
        <v>118</v>
      </c>
      <c r="BT651" s="10"/>
      <c r="BU651" s="10"/>
      <c r="BV651" s="10"/>
      <c r="BW651" s="10"/>
      <c r="BX651" s="10"/>
      <c r="BY651" s="23"/>
      <c r="BZ651" s="23"/>
      <c r="CA651" s="19" t="s">
        <v>5752</v>
      </c>
      <c r="CB651" s="19" t="s">
        <v>5753</v>
      </c>
      <c r="CC651" s="23"/>
      <c r="CD651" s="19" t="s">
        <v>5754</v>
      </c>
      <c r="CE651" s="23"/>
      <c r="CF651" s="23"/>
      <c r="CG651" s="23"/>
      <c r="CH651" s="23"/>
      <c r="CI651" s="23"/>
    </row>
    <row r="652" spans="1:87" x14ac:dyDescent="0.3">
      <c r="A652" s="9" t="s">
        <v>5755</v>
      </c>
      <c r="B652" s="10" t="s">
        <v>5756</v>
      </c>
      <c r="C652" s="11">
        <v>45935.083333333336</v>
      </c>
      <c r="D652" s="12">
        <v>8.3333333333333329E-2</v>
      </c>
      <c r="E652" s="11">
        <v>45935.166666666664</v>
      </c>
      <c r="F652" s="10" t="s">
        <v>5001</v>
      </c>
      <c r="G652" s="13" t="b">
        <v>0</v>
      </c>
      <c r="H652" s="10" t="s">
        <v>3578</v>
      </c>
      <c r="I652" s="10" t="s">
        <v>89</v>
      </c>
      <c r="J652" s="13" t="b">
        <v>0</v>
      </c>
      <c r="K652" s="13" t="b">
        <v>1</v>
      </c>
      <c r="L652" s="10" t="s">
        <v>124</v>
      </c>
      <c r="M652" s="10" t="s">
        <v>91</v>
      </c>
      <c r="N652" s="10" t="s">
        <v>92</v>
      </c>
      <c r="O652" s="19" t="s">
        <v>5757</v>
      </c>
      <c r="P652" s="10"/>
      <c r="Q652" s="10" t="s">
        <v>126</v>
      </c>
      <c r="R652" s="10"/>
      <c r="S652" s="19" t="s">
        <v>5758</v>
      </c>
      <c r="T652" s="19" t="s">
        <v>5700</v>
      </c>
      <c r="U652" s="10" t="s">
        <v>5113</v>
      </c>
      <c r="V652" s="10" t="s">
        <v>5018</v>
      </c>
      <c r="W652" s="10" t="s">
        <v>5007</v>
      </c>
      <c r="X652" s="10" t="s">
        <v>130</v>
      </c>
      <c r="Y652" s="10" t="s">
        <v>130</v>
      </c>
      <c r="Z652" s="10" t="s">
        <v>99</v>
      </c>
      <c r="AA652" s="10" t="s">
        <v>131</v>
      </c>
      <c r="AB652" s="10" t="s">
        <v>5008</v>
      </c>
      <c r="AC652" s="10" t="s">
        <v>5009</v>
      </c>
      <c r="AD652" s="10" t="s">
        <v>5759</v>
      </c>
      <c r="AE652" s="10" t="s">
        <v>5760</v>
      </c>
      <c r="AF652" s="15"/>
      <c r="AG652" s="10"/>
      <c r="AH652" s="10"/>
      <c r="AI652" s="10"/>
      <c r="AJ652" s="10" t="s">
        <v>5761</v>
      </c>
      <c r="AK652" s="10" t="s">
        <v>102</v>
      </c>
      <c r="AL652" s="10" t="s">
        <v>195</v>
      </c>
      <c r="AM652" s="10"/>
      <c r="AN652" s="10"/>
      <c r="AO652" s="13" t="b">
        <v>1</v>
      </c>
      <c r="AP652" s="10" t="s">
        <v>104</v>
      </c>
      <c r="AQ652" s="10">
        <f ca="1">IFERROR(__xludf.DUMMYFUNCTION("""COMPUTED_VALUE"""),4626129)</f>
        <v>4626129</v>
      </c>
      <c r="AR652" s="17">
        <v>103542</v>
      </c>
      <c r="AS652" s="17">
        <v>67262</v>
      </c>
      <c r="AT652" s="17">
        <v>4024433.5</v>
      </c>
      <c r="AU652" s="17">
        <v>552.29999999999995</v>
      </c>
      <c r="AV652" s="17">
        <v>211.5</v>
      </c>
      <c r="AW652" s="10" t="s">
        <v>105</v>
      </c>
      <c r="AX652" s="17">
        <v>35233</v>
      </c>
      <c r="AY652" s="18">
        <v>59.832200945556181</v>
      </c>
      <c r="AZ652" s="10"/>
      <c r="BA652" s="20" t="b">
        <v>0</v>
      </c>
      <c r="BB652" s="10"/>
      <c r="BC652" s="17">
        <v>103542</v>
      </c>
      <c r="BD652" s="17">
        <v>67262</v>
      </c>
      <c r="BE652" s="17">
        <v>4024433.5</v>
      </c>
      <c r="BF652" s="17">
        <v>211.5</v>
      </c>
      <c r="BG652" s="11">
        <f ca="1">IFERROR(__xludf.DUMMYFUNCTION("""COMPUTED_VALUE"""),45935.0833333333)</f>
        <v>45935.083333333299</v>
      </c>
      <c r="BH652" s="17" t="s">
        <v>105</v>
      </c>
      <c r="BI652" s="17"/>
      <c r="BJ652" s="15"/>
      <c r="BK652" s="15"/>
      <c r="BL652" s="13" t="b">
        <v>0</v>
      </c>
      <c r="BM652" s="10"/>
      <c r="BN652" s="10" t="s">
        <v>278</v>
      </c>
      <c r="BO652" s="11">
        <v>45866.101388888892</v>
      </c>
      <c r="BP652" s="11">
        <v>45930.650219907409</v>
      </c>
      <c r="BQ652" s="15">
        <v>45930.442488425928</v>
      </c>
      <c r="BR652" s="15">
        <v>45932.337685185186</v>
      </c>
      <c r="BS652" s="10" t="s">
        <v>278</v>
      </c>
      <c r="BT652" s="10" t="s">
        <v>99</v>
      </c>
      <c r="BU652" s="10" t="s">
        <v>5762</v>
      </c>
      <c r="BV652" s="10" t="s">
        <v>124</v>
      </c>
      <c r="BW652" s="10"/>
      <c r="BX652" s="10"/>
      <c r="BY652" s="23"/>
      <c r="BZ652" s="23"/>
      <c r="CA652" s="19" t="s">
        <v>5763</v>
      </c>
      <c r="CB652" s="19" t="s">
        <v>5764</v>
      </c>
      <c r="CC652" s="23"/>
      <c r="CD652" s="19" t="s">
        <v>5765</v>
      </c>
      <c r="CE652" s="23"/>
      <c r="CF652" s="23"/>
      <c r="CG652" s="23"/>
      <c r="CH652" s="23"/>
      <c r="CI652" s="23"/>
    </row>
    <row r="653" spans="1:87" x14ac:dyDescent="0.3">
      <c r="A653" s="9" t="s">
        <v>5766</v>
      </c>
      <c r="B653" s="10" t="s">
        <v>5767</v>
      </c>
      <c r="C653" s="11">
        <v>45935.791666666664</v>
      </c>
      <c r="D653" s="12">
        <v>8.3333333333333329E-2</v>
      </c>
      <c r="E653" s="11">
        <v>45935.875</v>
      </c>
      <c r="F653" s="10" t="s">
        <v>5001</v>
      </c>
      <c r="G653" s="13" t="b">
        <v>0</v>
      </c>
      <c r="H653" s="10" t="s">
        <v>3564</v>
      </c>
      <c r="I653" s="10" t="s">
        <v>89</v>
      </c>
      <c r="J653" s="13" t="b">
        <v>0</v>
      </c>
      <c r="K653" s="13" t="b">
        <v>1</v>
      </c>
      <c r="L653" s="10" t="s">
        <v>124</v>
      </c>
      <c r="M653" s="10" t="s">
        <v>91</v>
      </c>
      <c r="N653" s="10" t="s">
        <v>92</v>
      </c>
      <c r="O653" s="19" t="s">
        <v>5768</v>
      </c>
      <c r="P653" s="10"/>
      <c r="Q653" s="10" t="s">
        <v>94</v>
      </c>
      <c r="R653" s="10"/>
      <c r="S653" s="19" t="s">
        <v>5769</v>
      </c>
      <c r="T653" s="19" t="s">
        <v>5700</v>
      </c>
      <c r="U653" s="10" t="s">
        <v>5031</v>
      </c>
      <c r="V653" s="10" t="s">
        <v>5101</v>
      </c>
      <c r="W653" s="10" t="s">
        <v>5007</v>
      </c>
      <c r="X653" s="10" t="s">
        <v>130</v>
      </c>
      <c r="Y653" s="10" t="s">
        <v>130</v>
      </c>
      <c r="Z653" s="10" t="s">
        <v>99</v>
      </c>
      <c r="AA653" s="10" t="s">
        <v>131</v>
      </c>
      <c r="AB653" s="10" t="s">
        <v>5008</v>
      </c>
      <c r="AC653" s="10" t="s">
        <v>5009</v>
      </c>
      <c r="AD653" s="10" t="s">
        <v>5770</v>
      </c>
      <c r="AE653" s="10" t="s">
        <v>5771</v>
      </c>
      <c r="AF653" s="15"/>
      <c r="AG653" s="10"/>
      <c r="AH653" s="10"/>
      <c r="AI653" s="10"/>
      <c r="AJ653" s="10"/>
      <c r="AK653" s="10" t="s">
        <v>102</v>
      </c>
      <c r="AL653" s="10" t="s">
        <v>195</v>
      </c>
      <c r="AM653" s="10"/>
      <c r="AN653" s="10"/>
      <c r="AO653" s="13" t="b">
        <v>0</v>
      </c>
      <c r="AP653" s="10" t="s">
        <v>104</v>
      </c>
      <c r="AQ653" s="10">
        <f ca="1">IFERROR(__xludf.DUMMYFUNCTION("""COMPUTED_VALUE"""),4626138)</f>
        <v>4626138</v>
      </c>
      <c r="AR653" s="17">
        <v>18666</v>
      </c>
      <c r="AS653" s="17">
        <v>14256</v>
      </c>
      <c r="AT653" s="17">
        <v>237079.75</v>
      </c>
      <c r="AU653" s="17">
        <v>99.75</v>
      </c>
      <c r="AV653" s="17">
        <v>39.799999999999997</v>
      </c>
      <c r="AW653" s="10" t="s">
        <v>105</v>
      </c>
      <c r="AX653" s="17">
        <v>3859</v>
      </c>
      <c r="AY653" s="18">
        <v>16.630173260381593</v>
      </c>
      <c r="AZ653" s="10"/>
      <c r="BA653" s="20" t="b">
        <v>0</v>
      </c>
      <c r="BB653" s="10"/>
      <c r="BC653" s="17">
        <v>18666</v>
      </c>
      <c r="BD653" s="17">
        <v>14256</v>
      </c>
      <c r="BE653" s="17">
        <v>237079.75</v>
      </c>
      <c r="BF653" s="17">
        <v>39.799999999999997</v>
      </c>
      <c r="BG653" s="11">
        <f ca="1">IFERROR(__xludf.DUMMYFUNCTION("""COMPUTED_VALUE"""),45935.7916666666)</f>
        <v>45935.791666666599</v>
      </c>
      <c r="BH653" s="17" t="s">
        <v>105</v>
      </c>
      <c r="BI653" s="17"/>
      <c r="BJ653" s="15"/>
      <c r="BK653" s="15"/>
      <c r="BL653" s="13" t="b">
        <v>0</v>
      </c>
      <c r="BM653" s="10"/>
      <c r="BN653" s="10" t="s">
        <v>1160</v>
      </c>
      <c r="BO653" s="11">
        <v>45866.101388888892</v>
      </c>
      <c r="BP653" s="11">
        <v>45925.062152777777</v>
      </c>
      <c r="BQ653" s="15">
        <v>45930.442650462966</v>
      </c>
      <c r="BR653" s="15">
        <v>45932.339560185188</v>
      </c>
      <c r="BS653" s="10" t="s">
        <v>1160</v>
      </c>
      <c r="BT653" s="10"/>
      <c r="BU653" s="10"/>
      <c r="BV653" s="10"/>
      <c r="BW653" s="10"/>
      <c r="BX653" s="10"/>
      <c r="BY653" s="23"/>
      <c r="BZ653" s="23"/>
      <c r="CA653" s="19" t="s">
        <v>5772</v>
      </c>
      <c r="CB653" s="19" t="s">
        <v>5773</v>
      </c>
      <c r="CC653" s="23"/>
      <c r="CD653" s="23"/>
      <c r="CE653" s="23"/>
      <c r="CF653" s="23"/>
      <c r="CG653" s="23"/>
      <c r="CH653" s="23"/>
      <c r="CI653" s="23"/>
    </row>
    <row r="654" spans="1:87" x14ac:dyDescent="0.3">
      <c r="A654" s="9" t="s">
        <v>5774</v>
      </c>
      <c r="B654" s="10" t="s">
        <v>5775</v>
      </c>
      <c r="C654" s="11">
        <v>45934.791666666664</v>
      </c>
      <c r="D654" s="12">
        <v>8.3333333333333329E-2</v>
      </c>
      <c r="E654" s="11">
        <v>45934.875</v>
      </c>
      <c r="F654" s="10" t="s">
        <v>5001</v>
      </c>
      <c r="G654" s="13" t="b">
        <v>0</v>
      </c>
      <c r="H654" s="10" t="s">
        <v>3564</v>
      </c>
      <c r="I654" s="10" t="s">
        <v>89</v>
      </c>
      <c r="J654" s="13" t="b">
        <v>0</v>
      </c>
      <c r="K654" s="13" t="b">
        <v>1</v>
      </c>
      <c r="L654" s="10" t="s">
        <v>124</v>
      </c>
      <c r="M654" s="10" t="s">
        <v>91</v>
      </c>
      <c r="N654" s="10" t="s">
        <v>92</v>
      </c>
      <c r="O654" s="19" t="s">
        <v>5776</v>
      </c>
      <c r="P654" s="10"/>
      <c r="Q654" s="10" t="s">
        <v>94</v>
      </c>
      <c r="R654" s="10"/>
      <c r="S654" s="19" t="s">
        <v>5777</v>
      </c>
      <c r="T654" s="19" t="s">
        <v>5700</v>
      </c>
      <c r="U654" s="10" t="s">
        <v>5019</v>
      </c>
      <c r="V654" s="10" t="s">
        <v>5032</v>
      </c>
      <c r="W654" s="10" t="s">
        <v>5007</v>
      </c>
      <c r="X654" s="10" t="s">
        <v>130</v>
      </c>
      <c r="Y654" s="10" t="s">
        <v>130</v>
      </c>
      <c r="Z654" s="10" t="s">
        <v>99</v>
      </c>
      <c r="AA654" s="10" t="s">
        <v>131</v>
      </c>
      <c r="AB654" s="10" t="s">
        <v>5008</v>
      </c>
      <c r="AC654" s="10" t="s">
        <v>5009</v>
      </c>
      <c r="AD654" s="10" t="s">
        <v>5778</v>
      </c>
      <c r="AE654" s="10" t="s">
        <v>5779</v>
      </c>
      <c r="AF654" s="15"/>
      <c r="AG654" s="10"/>
      <c r="AH654" s="10"/>
      <c r="AI654" s="10"/>
      <c r="AJ654" s="10"/>
      <c r="AK654" s="10" t="s">
        <v>102</v>
      </c>
      <c r="AL654" s="10" t="s">
        <v>195</v>
      </c>
      <c r="AM654" s="10"/>
      <c r="AN654" s="10"/>
      <c r="AO654" s="13" t="b">
        <v>0</v>
      </c>
      <c r="AP654" s="10" t="s">
        <v>104</v>
      </c>
      <c r="AQ654" s="10">
        <f ca="1">IFERROR(__xludf.DUMMYFUNCTION("""COMPUTED_VALUE"""),4614511)</f>
        <v>4614511</v>
      </c>
      <c r="AR654" s="17">
        <v>12352</v>
      </c>
      <c r="AS654" s="17">
        <v>9534</v>
      </c>
      <c r="AT654" s="17">
        <v>122248.25</v>
      </c>
      <c r="AU654" s="17">
        <v>40.65</v>
      </c>
      <c r="AV654" s="17">
        <v>12.45</v>
      </c>
      <c r="AW654" s="10" t="s">
        <v>105</v>
      </c>
      <c r="AX654" s="17">
        <v>1845</v>
      </c>
      <c r="AY654" s="18">
        <v>12.822346339416823</v>
      </c>
      <c r="AZ654" s="10"/>
      <c r="BA654" s="20" t="b">
        <v>0</v>
      </c>
      <c r="BB654" s="10"/>
      <c r="BC654" s="17">
        <v>12352</v>
      </c>
      <c r="BD654" s="17">
        <v>9534</v>
      </c>
      <c r="BE654" s="17">
        <v>122248.25</v>
      </c>
      <c r="BF654" s="17">
        <v>12.45</v>
      </c>
      <c r="BG654" s="11">
        <f ca="1">IFERROR(__xludf.DUMMYFUNCTION("""COMPUTED_VALUE"""),45934.7916666666)</f>
        <v>45934.791666666599</v>
      </c>
      <c r="BH654" s="17" t="s">
        <v>105</v>
      </c>
      <c r="BI654" s="17"/>
      <c r="BJ654" s="15"/>
      <c r="BK654" s="15"/>
      <c r="BL654" s="13" t="b">
        <v>0</v>
      </c>
      <c r="BM654" s="10"/>
      <c r="BN654" s="10" t="s">
        <v>118</v>
      </c>
      <c r="BO654" s="11">
        <v>45866.101388888892</v>
      </c>
      <c r="BP654" s="11">
        <v>45925.061898148146</v>
      </c>
      <c r="BQ654" s="15">
        <v>45930.441828703704</v>
      </c>
      <c r="BR654" s="15">
        <v>45931.428865740738</v>
      </c>
      <c r="BS654" s="10" t="s">
        <v>118</v>
      </c>
      <c r="BT654" s="10"/>
      <c r="BU654" s="10"/>
      <c r="BV654" s="10"/>
      <c r="BW654" s="10"/>
      <c r="BX654" s="10"/>
      <c r="BY654" s="23"/>
      <c r="BZ654" s="23"/>
      <c r="CA654" s="19" t="s">
        <v>5780</v>
      </c>
      <c r="CB654" s="19" t="s">
        <v>5781</v>
      </c>
      <c r="CC654" s="23"/>
      <c r="CD654" s="23"/>
      <c r="CE654" s="23"/>
      <c r="CF654" s="23"/>
      <c r="CG654" s="23"/>
      <c r="CH654" s="23"/>
      <c r="CI654" s="23"/>
    </row>
    <row r="655" spans="1:87" x14ac:dyDescent="0.3">
      <c r="A655" s="9" t="s">
        <v>5782</v>
      </c>
      <c r="B655" s="10" t="s">
        <v>5783</v>
      </c>
      <c r="C655" s="11">
        <v>45936.083333333336</v>
      </c>
      <c r="D655" s="12">
        <v>8.3333333333333329E-2</v>
      </c>
      <c r="E655" s="11">
        <v>45936.166666666664</v>
      </c>
      <c r="F655" s="10" t="s">
        <v>5001</v>
      </c>
      <c r="G655" s="13" t="b">
        <v>0</v>
      </c>
      <c r="H655" s="10" t="s">
        <v>3578</v>
      </c>
      <c r="I655" s="10" t="s">
        <v>89</v>
      </c>
      <c r="J655" s="13" t="b">
        <v>0</v>
      </c>
      <c r="K655" s="13" t="b">
        <v>1</v>
      </c>
      <c r="L655" s="10" t="s">
        <v>124</v>
      </c>
      <c r="M655" s="10" t="s">
        <v>91</v>
      </c>
      <c r="N655" s="10" t="s">
        <v>92</v>
      </c>
      <c r="O655" s="19" t="s">
        <v>5784</v>
      </c>
      <c r="P655" s="10"/>
      <c r="Q655" s="10" t="s">
        <v>126</v>
      </c>
      <c r="R655" s="10"/>
      <c r="S655" s="19" t="s">
        <v>5785</v>
      </c>
      <c r="T655" s="19" t="s">
        <v>5700</v>
      </c>
      <c r="U655" s="10" t="s">
        <v>5066</v>
      </c>
      <c r="V655" s="10" t="s">
        <v>5090</v>
      </c>
      <c r="W655" s="10" t="s">
        <v>5007</v>
      </c>
      <c r="X655" s="10" t="s">
        <v>130</v>
      </c>
      <c r="Y655" s="10" t="s">
        <v>130</v>
      </c>
      <c r="Z655" s="10" t="s">
        <v>99</v>
      </c>
      <c r="AA655" s="10" t="s">
        <v>131</v>
      </c>
      <c r="AB655" s="10" t="s">
        <v>5008</v>
      </c>
      <c r="AC655" s="10" t="s">
        <v>5009</v>
      </c>
      <c r="AD655" s="10" t="s">
        <v>5786</v>
      </c>
      <c r="AE655" s="10" t="s">
        <v>5787</v>
      </c>
      <c r="AF655" s="15"/>
      <c r="AG655" s="10"/>
      <c r="AH655" s="10"/>
      <c r="AI655" s="10"/>
      <c r="AJ655" s="10" t="s">
        <v>5788</v>
      </c>
      <c r="AK655" s="10" t="s">
        <v>102</v>
      </c>
      <c r="AL655" s="10" t="s">
        <v>195</v>
      </c>
      <c r="AM655" s="10"/>
      <c r="AN655" s="10"/>
      <c r="AO655" s="13" t="b">
        <v>0</v>
      </c>
      <c r="AP655" s="10" t="s">
        <v>104</v>
      </c>
      <c r="AQ655" s="10">
        <f ca="1">IFERROR(__xludf.DUMMYFUNCTION("""COMPUTED_VALUE"""),4630481)</f>
        <v>4630481</v>
      </c>
      <c r="AR655" s="17">
        <v>11306</v>
      </c>
      <c r="AS655" s="17">
        <v>8401</v>
      </c>
      <c r="AT655" s="17">
        <v>247058</v>
      </c>
      <c r="AU655" s="17">
        <v>17.899999999999999</v>
      </c>
      <c r="AV655" s="17">
        <v>9.15</v>
      </c>
      <c r="AW655" s="10" t="s">
        <v>105</v>
      </c>
      <c r="AX655" s="17">
        <v>3540</v>
      </c>
      <c r="AY655" s="18">
        <v>29.408165694560171</v>
      </c>
      <c r="AZ655" s="10"/>
      <c r="BA655" s="20" t="b">
        <v>0</v>
      </c>
      <c r="BB655" s="10"/>
      <c r="BC655" s="17">
        <v>11306</v>
      </c>
      <c r="BD655" s="17">
        <v>8401</v>
      </c>
      <c r="BE655" s="17">
        <v>247058</v>
      </c>
      <c r="BF655" s="17">
        <v>9.15</v>
      </c>
      <c r="BG655" s="11">
        <f ca="1">IFERROR(__xludf.DUMMYFUNCTION("""COMPUTED_VALUE"""),45936.0833333333)</f>
        <v>45936.083333333299</v>
      </c>
      <c r="BH655" s="17" t="s">
        <v>105</v>
      </c>
      <c r="BI655" s="17"/>
      <c r="BJ655" s="15"/>
      <c r="BK655" s="15"/>
      <c r="BL655" s="13" t="b">
        <v>0</v>
      </c>
      <c r="BM655" s="10"/>
      <c r="BN655" s="10" t="s">
        <v>149</v>
      </c>
      <c r="BO655" s="11">
        <v>45866.101388888892</v>
      </c>
      <c r="BP655" s="11">
        <v>45930.718506944446</v>
      </c>
      <c r="BQ655" s="15">
        <v>45930.443425925929</v>
      </c>
      <c r="BR655" s="15">
        <v>45934.524259259262</v>
      </c>
      <c r="BS655" s="10" t="s">
        <v>149</v>
      </c>
      <c r="BT655" s="10"/>
      <c r="BU655" s="10"/>
      <c r="BV655" s="10"/>
      <c r="BW655" s="10"/>
      <c r="BX655" s="10"/>
      <c r="BY655" s="23"/>
      <c r="BZ655" s="23"/>
      <c r="CA655" s="19" t="s">
        <v>5789</v>
      </c>
      <c r="CB655" s="19" t="s">
        <v>5790</v>
      </c>
      <c r="CC655" s="23"/>
      <c r="CD655" s="19" t="s">
        <v>5791</v>
      </c>
      <c r="CE655" s="23"/>
      <c r="CF655" s="23"/>
      <c r="CG655" s="23"/>
      <c r="CH655" s="23"/>
      <c r="CI655" s="23"/>
    </row>
    <row r="656" spans="1:87" x14ac:dyDescent="0.3">
      <c r="A656" s="9" t="s">
        <v>5792</v>
      </c>
      <c r="B656" s="10" t="s">
        <v>5793</v>
      </c>
      <c r="C656" s="11">
        <v>45949.791666666664</v>
      </c>
      <c r="D656" s="12">
        <v>8.3333333333333329E-2</v>
      </c>
      <c r="E656" s="11">
        <v>45949.875</v>
      </c>
      <c r="F656" s="10" t="s">
        <v>5001</v>
      </c>
      <c r="G656" s="13" t="b">
        <v>0</v>
      </c>
      <c r="H656" s="10" t="s">
        <v>3578</v>
      </c>
      <c r="I656" s="10" t="s">
        <v>89</v>
      </c>
      <c r="J656" s="13" t="b">
        <v>0</v>
      </c>
      <c r="K656" s="13" t="b">
        <v>1</v>
      </c>
      <c r="L656" s="10" t="s">
        <v>124</v>
      </c>
      <c r="M656" s="10" t="s">
        <v>91</v>
      </c>
      <c r="N656" s="10" t="s">
        <v>92</v>
      </c>
      <c r="O656" s="19" t="s">
        <v>5794</v>
      </c>
      <c r="P656" s="10"/>
      <c r="Q656" s="10" t="s">
        <v>126</v>
      </c>
      <c r="R656" s="10"/>
      <c r="S656" s="19" t="s">
        <v>5795</v>
      </c>
      <c r="T656" s="19" t="s">
        <v>5796</v>
      </c>
      <c r="U656" s="10" t="s">
        <v>5101</v>
      </c>
      <c r="V656" s="10" t="s">
        <v>5076</v>
      </c>
      <c r="W656" s="10" t="s">
        <v>5007</v>
      </c>
      <c r="X656" s="10" t="s">
        <v>130</v>
      </c>
      <c r="Y656" s="10" t="s">
        <v>130</v>
      </c>
      <c r="Z656" s="10" t="s">
        <v>99</v>
      </c>
      <c r="AA656" s="10" t="s">
        <v>131</v>
      </c>
      <c r="AB656" s="10" t="s">
        <v>5008</v>
      </c>
      <c r="AC656" s="10" t="s">
        <v>5009</v>
      </c>
      <c r="AD656" s="10" t="s">
        <v>5797</v>
      </c>
      <c r="AE656" s="10" t="s">
        <v>5798</v>
      </c>
      <c r="AF656" s="15"/>
      <c r="AG656" s="10"/>
      <c r="AH656" s="10"/>
      <c r="AI656" s="10"/>
      <c r="AJ656" s="10" t="s">
        <v>5799</v>
      </c>
      <c r="AK656" s="10" t="s">
        <v>102</v>
      </c>
      <c r="AL656" s="10" t="s">
        <v>205</v>
      </c>
      <c r="AM656" s="10"/>
      <c r="AN656" s="10"/>
      <c r="AO656" s="13" t="b">
        <v>0</v>
      </c>
      <c r="AP656" s="10" t="s">
        <v>104</v>
      </c>
      <c r="AQ656" s="10">
        <f ca="1">IFERROR(__xludf.DUMMYFUNCTION("""COMPUTED_VALUE"""),4655939)</f>
        <v>4655939</v>
      </c>
      <c r="AR656" s="17">
        <v>17037</v>
      </c>
      <c r="AS656" s="17">
        <v>12783</v>
      </c>
      <c r="AT656" s="17">
        <v>185484.25</v>
      </c>
      <c r="AU656" s="17">
        <v>55.3</v>
      </c>
      <c r="AV656" s="17">
        <v>10.7</v>
      </c>
      <c r="AW656" s="10" t="s">
        <v>105</v>
      </c>
      <c r="AX656" s="17">
        <v>3769</v>
      </c>
      <c r="AY656" s="18">
        <v>14.510228428381444</v>
      </c>
      <c r="AZ656" s="10" t="s">
        <v>106</v>
      </c>
      <c r="BA656" s="20" t="b">
        <v>0</v>
      </c>
      <c r="BB656" s="10"/>
      <c r="BC656" s="17">
        <v>17037</v>
      </c>
      <c r="BD656" s="17">
        <v>12783</v>
      </c>
      <c r="BE656" s="17">
        <v>185484.25</v>
      </c>
      <c r="BF656" s="17">
        <v>10.7</v>
      </c>
      <c r="BG656" s="11">
        <f ca="1">IFERROR(__xludf.DUMMYFUNCTION("""COMPUTED_VALUE"""),45949.7916666666)</f>
        <v>45949.791666666599</v>
      </c>
      <c r="BH656" s="17" t="s">
        <v>105</v>
      </c>
      <c r="BI656" s="17"/>
      <c r="BJ656" s="15"/>
      <c r="BK656" s="15"/>
      <c r="BL656" s="13" t="b">
        <v>0</v>
      </c>
      <c r="BM656" s="10"/>
      <c r="BN656" s="10" t="s">
        <v>137</v>
      </c>
      <c r="BO656" s="11">
        <v>45866.101388888892</v>
      </c>
      <c r="BP656" s="11">
        <v>45940.625532407408</v>
      </c>
      <c r="BQ656" s="15">
        <v>45944.438877314817</v>
      </c>
      <c r="BR656" s="15">
        <v>45947.501493055555</v>
      </c>
      <c r="BS656" s="10" t="s">
        <v>137</v>
      </c>
      <c r="BT656" s="10"/>
      <c r="BU656" s="10"/>
      <c r="BV656" s="10"/>
      <c r="BW656" s="10"/>
      <c r="BX656" s="10"/>
      <c r="BY656" s="23"/>
      <c r="BZ656" s="23"/>
      <c r="CA656" s="19" t="s">
        <v>5800</v>
      </c>
      <c r="CB656" s="19" t="s">
        <v>5801</v>
      </c>
      <c r="CC656" s="23"/>
      <c r="CD656" s="19" t="s">
        <v>5802</v>
      </c>
      <c r="CE656" s="23"/>
      <c r="CF656" s="23"/>
      <c r="CG656" s="23"/>
      <c r="CH656" s="23"/>
      <c r="CI656" s="23"/>
    </row>
    <row r="657" spans="1:87" x14ac:dyDescent="0.3">
      <c r="A657" s="9" t="s">
        <v>5803</v>
      </c>
      <c r="B657" s="10" t="s">
        <v>5804</v>
      </c>
      <c r="C657" s="11">
        <v>45949.979166666664</v>
      </c>
      <c r="D657" s="12">
        <v>8.3333333333333329E-2</v>
      </c>
      <c r="E657" s="11">
        <v>45950.0625</v>
      </c>
      <c r="F657" s="10" t="s">
        <v>5001</v>
      </c>
      <c r="G657" s="13" t="b">
        <v>0</v>
      </c>
      <c r="H657" s="10" t="s">
        <v>3564</v>
      </c>
      <c r="I657" s="10" t="s">
        <v>89</v>
      </c>
      <c r="J657" s="13" t="b">
        <v>0</v>
      </c>
      <c r="K657" s="13" t="b">
        <v>1</v>
      </c>
      <c r="L657" s="10" t="s">
        <v>124</v>
      </c>
      <c r="M657" s="10" t="s">
        <v>91</v>
      </c>
      <c r="N657" s="10" t="s">
        <v>92</v>
      </c>
      <c r="O657" s="19" t="s">
        <v>5805</v>
      </c>
      <c r="P657" s="10"/>
      <c r="Q657" s="10" t="s">
        <v>94</v>
      </c>
      <c r="R657" s="10"/>
      <c r="S657" s="19" t="s">
        <v>5806</v>
      </c>
      <c r="T657" s="19" t="s">
        <v>5796</v>
      </c>
      <c r="U657" s="10" t="s">
        <v>5032</v>
      </c>
      <c r="V657" s="10" t="s">
        <v>5006</v>
      </c>
      <c r="W657" s="10" t="s">
        <v>5007</v>
      </c>
      <c r="X657" s="10" t="s">
        <v>130</v>
      </c>
      <c r="Y657" s="10" t="s">
        <v>130</v>
      </c>
      <c r="Z657" s="10" t="s">
        <v>99</v>
      </c>
      <c r="AA657" s="10" t="s">
        <v>131</v>
      </c>
      <c r="AB657" s="10" t="s">
        <v>5008</v>
      </c>
      <c r="AC657" s="10" t="s">
        <v>5009</v>
      </c>
      <c r="AD657" s="10" t="s">
        <v>5807</v>
      </c>
      <c r="AE657" s="10" t="s">
        <v>5808</v>
      </c>
      <c r="AF657" s="15"/>
      <c r="AG657" s="10"/>
      <c r="AH657" s="10"/>
      <c r="AI657" s="10"/>
      <c r="AJ657" s="10"/>
      <c r="AK657" s="10" t="s">
        <v>102</v>
      </c>
      <c r="AL657" s="10" t="s">
        <v>205</v>
      </c>
      <c r="AM657" s="10"/>
      <c r="AN657" s="10"/>
      <c r="AO657" s="13" t="b">
        <v>0</v>
      </c>
      <c r="AP657" s="10" t="s">
        <v>104</v>
      </c>
      <c r="AQ657" s="10">
        <f ca="1">IFERROR(__xludf.DUMMYFUNCTION("""COMPUTED_VALUE"""),4655971)</f>
        <v>4655971</v>
      </c>
      <c r="AR657" s="17">
        <v>12570</v>
      </c>
      <c r="AS657" s="17">
        <v>10846</v>
      </c>
      <c r="AT657" s="17">
        <v>195361.5</v>
      </c>
      <c r="AU657" s="17">
        <v>57.8</v>
      </c>
      <c r="AV657" s="17">
        <v>9.75</v>
      </c>
      <c r="AW657" s="10" t="s">
        <v>105</v>
      </c>
      <c r="AX657" s="17">
        <v>2399</v>
      </c>
      <c r="AY657" s="18">
        <v>18.012308685229577</v>
      </c>
      <c r="AZ657" s="10" t="s">
        <v>106</v>
      </c>
      <c r="BA657" s="20" t="b">
        <v>0</v>
      </c>
      <c r="BB657" s="10"/>
      <c r="BC657" s="17">
        <v>12570</v>
      </c>
      <c r="BD657" s="17">
        <v>10846</v>
      </c>
      <c r="BE657" s="17">
        <v>195361.5</v>
      </c>
      <c r="BF657" s="17">
        <v>9.75</v>
      </c>
      <c r="BG657" s="11">
        <f ca="1">IFERROR(__xludf.DUMMYFUNCTION("""COMPUTED_VALUE"""),45949.9791666666)</f>
        <v>45949.979166666599</v>
      </c>
      <c r="BH657" s="17" t="s">
        <v>105</v>
      </c>
      <c r="BI657" s="17"/>
      <c r="BJ657" s="15"/>
      <c r="BK657" s="15"/>
      <c r="BL657" s="13" t="b">
        <v>0</v>
      </c>
      <c r="BM657" s="10"/>
      <c r="BN657" s="10" t="s">
        <v>137</v>
      </c>
      <c r="BO657" s="11">
        <v>45866.101898148147</v>
      </c>
      <c r="BP657" s="11">
        <v>45930.733888888892</v>
      </c>
      <c r="BQ657" s="15">
        <v>45944.439120370371</v>
      </c>
      <c r="BR657" s="15">
        <v>45947.508599537039</v>
      </c>
      <c r="BS657" s="10" t="s">
        <v>137</v>
      </c>
      <c r="BT657" s="10"/>
      <c r="BU657" s="10"/>
      <c r="BV657" s="10"/>
      <c r="BW657" s="10"/>
      <c r="BX657" s="10"/>
      <c r="BY657" s="23"/>
      <c r="BZ657" s="23"/>
      <c r="CA657" s="19" t="s">
        <v>5809</v>
      </c>
      <c r="CB657" s="19" t="s">
        <v>5810</v>
      </c>
      <c r="CC657" s="23"/>
      <c r="CD657" s="23"/>
      <c r="CE657" s="23"/>
      <c r="CF657" s="23"/>
      <c r="CG657" s="23"/>
      <c r="CH657" s="23"/>
      <c r="CI657" s="23"/>
    </row>
    <row r="658" spans="1:87" x14ac:dyDescent="0.3">
      <c r="A658" s="9" t="s">
        <v>5811</v>
      </c>
      <c r="B658" s="10" t="s">
        <v>5812</v>
      </c>
      <c r="C658" s="11">
        <v>45948.083333333336</v>
      </c>
      <c r="D658" s="12">
        <v>8.3333333333333329E-2</v>
      </c>
      <c r="E658" s="11">
        <v>45948.166666666664</v>
      </c>
      <c r="F658" s="10" t="s">
        <v>5001</v>
      </c>
      <c r="G658" s="13" t="b">
        <v>0</v>
      </c>
      <c r="H658" s="10" t="s">
        <v>5239</v>
      </c>
      <c r="I658" s="10" t="s">
        <v>89</v>
      </c>
      <c r="J658" s="13" t="b">
        <v>0</v>
      </c>
      <c r="K658" s="13" t="b">
        <v>1</v>
      </c>
      <c r="L658" s="10" t="s">
        <v>124</v>
      </c>
      <c r="M658" s="10" t="s">
        <v>91</v>
      </c>
      <c r="N658" s="10" t="s">
        <v>92</v>
      </c>
      <c r="O658" s="19" t="s">
        <v>5813</v>
      </c>
      <c r="P658" s="10"/>
      <c r="Q658" s="10" t="s">
        <v>94</v>
      </c>
      <c r="R658" s="10"/>
      <c r="S658" s="19" t="s">
        <v>5814</v>
      </c>
      <c r="T658" s="19" t="s">
        <v>5796</v>
      </c>
      <c r="U658" s="10" t="s">
        <v>5019</v>
      </c>
      <c r="V658" s="10" t="s">
        <v>5089</v>
      </c>
      <c r="W658" s="10" t="s">
        <v>5007</v>
      </c>
      <c r="X658" s="10" t="s">
        <v>130</v>
      </c>
      <c r="Y658" s="10" t="s">
        <v>130</v>
      </c>
      <c r="Z658" s="10" t="s">
        <v>99</v>
      </c>
      <c r="AA658" s="10" t="s">
        <v>131</v>
      </c>
      <c r="AB658" s="10" t="s">
        <v>5008</v>
      </c>
      <c r="AC658" s="10" t="s">
        <v>5009</v>
      </c>
      <c r="AD658" s="10" t="s">
        <v>5815</v>
      </c>
      <c r="AE658" s="10" t="s">
        <v>5816</v>
      </c>
      <c r="AF658" s="15"/>
      <c r="AG658" s="10"/>
      <c r="AH658" s="10"/>
      <c r="AI658" s="10"/>
      <c r="AJ658" s="10"/>
      <c r="AK658" s="10" t="s">
        <v>102</v>
      </c>
      <c r="AL658" s="10" t="s">
        <v>205</v>
      </c>
      <c r="AM658" s="10"/>
      <c r="AN658" s="10"/>
      <c r="AO658" s="13" t="b">
        <v>0</v>
      </c>
      <c r="AP658" s="10" t="s">
        <v>104</v>
      </c>
      <c r="AQ658" s="10">
        <f ca="1">IFERROR(__xludf.DUMMYFUNCTION("""COMPUTED_VALUE"""),4652438)</f>
        <v>4652438</v>
      </c>
      <c r="AR658" s="17">
        <v>3879</v>
      </c>
      <c r="AS658" s="17">
        <v>2986</v>
      </c>
      <c r="AT658" s="17">
        <v>84296.75</v>
      </c>
      <c r="AU658" s="17">
        <v>18.399999999999999</v>
      </c>
      <c r="AV658" s="17">
        <v>0.1</v>
      </c>
      <c r="AW658" s="10" t="s">
        <v>105</v>
      </c>
      <c r="AX658" s="17">
        <v>928</v>
      </c>
      <c r="AY658" s="18">
        <v>28.230659745478903</v>
      </c>
      <c r="AZ658" s="10" t="s">
        <v>106</v>
      </c>
      <c r="BA658" s="20" t="b">
        <v>0</v>
      </c>
      <c r="BB658" s="10"/>
      <c r="BC658" s="17">
        <v>3879</v>
      </c>
      <c r="BD658" s="17">
        <v>2986</v>
      </c>
      <c r="BE658" s="17">
        <v>84296.75</v>
      </c>
      <c r="BF658" s="17">
        <v>0.1</v>
      </c>
      <c r="BG658" s="11">
        <f ca="1">IFERROR(__xludf.DUMMYFUNCTION("""COMPUTED_VALUE"""),45948.0833333333)</f>
        <v>45948.083333333299</v>
      </c>
      <c r="BH658" s="17" t="s">
        <v>105</v>
      </c>
      <c r="BI658" s="17"/>
      <c r="BJ658" s="15"/>
      <c r="BK658" s="15"/>
      <c r="BL658" s="13" t="b">
        <v>0</v>
      </c>
      <c r="BM658" s="10"/>
      <c r="BN658" s="10" t="s">
        <v>118</v>
      </c>
      <c r="BO658" s="11">
        <v>45866.101388888892</v>
      </c>
      <c r="BP658" s="11">
        <v>45943.56212962963</v>
      </c>
      <c r="BQ658" s="15">
        <v>45944.438113425924</v>
      </c>
      <c r="BR658" s="15">
        <v>45945.435219907406</v>
      </c>
      <c r="BS658" s="10" t="s">
        <v>118</v>
      </c>
      <c r="BT658" s="10"/>
      <c r="BU658" s="10"/>
      <c r="BV658" s="10"/>
      <c r="BW658" s="10"/>
      <c r="BX658" s="10"/>
      <c r="BY658" s="23"/>
      <c r="BZ658" s="23"/>
      <c r="CA658" s="19" t="s">
        <v>5817</v>
      </c>
      <c r="CB658" s="19" t="s">
        <v>5818</v>
      </c>
      <c r="CC658" s="23"/>
      <c r="CD658" s="23"/>
      <c r="CE658" s="23"/>
      <c r="CF658" s="23"/>
      <c r="CG658" s="23"/>
      <c r="CH658" s="23"/>
      <c r="CI658" s="23"/>
    </row>
    <row r="659" spans="1:87" x14ac:dyDescent="0.3">
      <c r="A659" s="9" t="s">
        <v>5819</v>
      </c>
      <c r="B659" s="10" t="s">
        <v>5820</v>
      </c>
      <c r="C659" s="11">
        <v>45948.979166666664</v>
      </c>
      <c r="D659" s="12">
        <v>8.3333333333333329E-2</v>
      </c>
      <c r="E659" s="11">
        <v>45949.0625</v>
      </c>
      <c r="F659" s="10" t="s">
        <v>5001</v>
      </c>
      <c r="G659" s="13" t="b">
        <v>0</v>
      </c>
      <c r="H659" s="10" t="s">
        <v>3564</v>
      </c>
      <c r="I659" s="10" t="s">
        <v>89</v>
      </c>
      <c r="J659" s="13" t="b">
        <v>0</v>
      </c>
      <c r="K659" s="13" t="b">
        <v>1</v>
      </c>
      <c r="L659" s="10" t="s">
        <v>124</v>
      </c>
      <c r="M659" s="10" t="s">
        <v>91</v>
      </c>
      <c r="N659" s="10" t="s">
        <v>92</v>
      </c>
      <c r="O659" s="19" t="s">
        <v>5821</v>
      </c>
      <c r="P659" s="10"/>
      <c r="Q659" s="10" t="s">
        <v>126</v>
      </c>
      <c r="R659" s="10"/>
      <c r="S659" s="19" t="s">
        <v>5822</v>
      </c>
      <c r="T659" s="19" t="s">
        <v>5796</v>
      </c>
      <c r="U659" s="10" t="s">
        <v>5018</v>
      </c>
      <c r="V659" s="10" t="s">
        <v>5102</v>
      </c>
      <c r="W659" s="10" t="s">
        <v>5007</v>
      </c>
      <c r="X659" s="10" t="s">
        <v>130</v>
      </c>
      <c r="Y659" s="10" t="s">
        <v>130</v>
      </c>
      <c r="Z659" s="10" t="s">
        <v>99</v>
      </c>
      <c r="AA659" s="10" t="s">
        <v>131</v>
      </c>
      <c r="AB659" s="10" t="s">
        <v>5008</v>
      </c>
      <c r="AC659" s="10" t="s">
        <v>5009</v>
      </c>
      <c r="AD659" s="10" t="s">
        <v>5823</v>
      </c>
      <c r="AE659" s="10" t="s">
        <v>5824</v>
      </c>
      <c r="AF659" s="15"/>
      <c r="AG659" s="10"/>
      <c r="AH659" s="10"/>
      <c r="AI659" s="10"/>
      <c r="AJ659" s="10" t="s">
        <v>5825</v>
      </c>
      <c r="AK659" s="10" t="s">
        <v>102</v>
      </c>
      <c r="AL659" s="10" t="s">
        <v>205</v>
      </c>
      <c r="AM659" s="10"/>
      <c r="AN659" s="10"/>
      <c r="AO659" s="13" t="b">
        <v>0</v>
      </c>
      <c r="AP659" s="10" t="s">
        <v>104</v>
      </c>
      <c r="AQ659" s="10">
        <f ca="1">IFERROR(__xludf.DUMMYFUNCTION("""COMPUTED_VALUE"""),4655969)</f>
        <v>4655969</v>
      </c>
      <c r="AR659" s="17">
        <v>12242</v>
      </c>
      <c r="AS659" s="17">
        <v>10022</v>
      </c>
      <c r="AT659" s="17">
        <v>147858.5</v>
      </c>
      <c r="AU659" s="17">
        <v>43.55</v>
      </c>
      <c r="AV659" s="17">
        <v>9.5</v>
      </c>
      <c r="AW659" s="10" t="s">
        <v>105</v>
      </c>
      <c r="AX659" s="17">
        <v>12772</v>
      </c>
      <c r="AY659" s="18">
        <v>14.753392536419875</v>
      </c>
      <c r="AZ659" s="10" t="s">
        <v>106</v>
      </c>
      <c r="BA659" s="20" t="b">
        <v>0</v>
      </c>
      <c r="BB659" s="10"/>
      <c r="BC659" s="17">
        <v>12242</v>
      </c>
      <c r="BD659" s="17">
        <v>10022</v>
      </c>
      <c r="BE659" s="17">
        <v>147858.5</v>
      </c>
      <c r="BF659" s="17">
        <v>9.5</v>
      </c>
      <c r="BG659" s="11">
        <f ca="1">IFERROR(__xludf.DUMMYFUNCTION("""COMPUTED_VALUE"""),45948.9791666666)</f>
        <v>45948.979166666599</v>
      </c>
      <c r="BH659" s="17" t="s">
        <v>105</v>
      </c>
      <c r="BI659" s="17"/>
      <c r="BJ659" s="15"/>
      <c r="BK659" s="15"/>
      <c r="BL659" s="13" t="b">
        <v>0</v>
      </c>
      <c r="BM659" s="10"/>
      <c r="BN659" s="10" t="s">
        <v>137</v>
      </c>
      <c r="BO659" s="11">
        <v>45866.101388888892</v>
      </c>
      <c r="BP659" s="11">
        <v>45940.620706018519</v>
      </c>
      <c r="BQ659" s="15">
        <v>45944.438518518517</v>
      </c>
      <c r="BR659" s="15">
        <v>45947.50917824074</v>
      </c>
      <c r="BS659" s="10" t="s">
        <v>137</v>
      </c>
      <c r="BT659" s="10"/>
      <c r="BU659" s="10"/>
      <c r="BV659" s="10"/>
      <c r="BW659" s="10"/>
      <c r="BX659" s="10"/>
      <c r="BY659" s="23"/>
      <c r="BZ659" s="23"/>
      <c r="CA659" s="19" t="s">
        <v>5826</v>
      </c>
      <c r="CB659" s="19" t="s">
        <v>5827</v>
      </c>
      <c r="CC659" s="23"/>
      <c r="CD659" s="19" t="s">
        <v>5828</v>
      </c>
      <c r="CE659" s="23"/>
      <c r="CF659" s="23"/>
      <c r="CG659" s="23"/>
      <c r="CH659" s="23"/>
      <c r="CI659" s="23"/>
    </row>
    <row r="660" spans="1:87" x14ac:dyDescent="0.3">
      <c r="A660" s="9" t="s">
        <v>5829</v>
      </c>
      <c r="B660" s="10" t="s">
        <v>5830</v>
      </c>
      <c r="C660" s="11">
        <v>45951.083333333336</v>
      </c>
      <c r="D660" s="12">
        <v>8.3333333333333329E-2</v>
      </c>
      <c r="E660" s="11">
        <v>45951.166666666664</v>
      </c>
      <c r="F660" s="10" t="s">
        <v>5001</v>
      </c>
      <c r="G660" s="13" t="b">
        <v>0</v>
      </c>
      <c r="H660" s="10" t="s">
        <v>3578</v>
      </c>
      <c r="I660" s="10" t="s">
        <v>89</v>
      </c>
      <c r="J660" s="13" t="b">
        <v>0</v>
      </c>
      <c r="K660" s="13" t="b">
        <v>1</v>
      </c>
      <c r="L660" s="10" t="s">
        <v>124</v>
      </c>
      <c r="M660" s="10" t="s">
        <v>91</v>
      </c>
      <c r="N660" s="10" t="s">
        <v>92</v>
      </c>
      <c r="O660" s="19" t="s">
        <v>5831</v>
      </c>
      <c r="P660" s="10"/>
      <c r="Q660" s="10" t="s">
        <v>94</v>
      </c>
      <c r="R660" s="10"/>
      <c r="S660" s="19" t="s">
        <v>5832</v>
      </c>
      <c r="T660" s="19" t="s">
        <v>5796</v>
      </c>
      <c r="U660" s="10" t="s">
        <v>5031</v>
      </c>
      <c r="V660" s="10" t="s">
        <v>5054</v>
      </c>
      <c r="W660" s="10" t="s">
        <v>5007</v>
      </c>
      <c r="X660" s="10" t="s">
        <v>130</v>
      </c>
      <c r="Y660" s="10" t="s">
        <v>130</v>
      </c>
      <c r="Z660" s="10" t="s">
        <v>99</v>
      </c>
      <c r="AA660" s="10" t="s">
        <v>131</v>
      </c>
      <c r="AB660" s="10" t="s">
        <v>5008</v>
      </c>
      <c r="AC660" s="10" t="s">
        <v>5009</v>
      </c>
      <c r="AD660" s="10" t="s">
        <v>5833</v>
      </c>
      <c r="AE660" s="10" t="s">
        <v>5834</v>
      </c>
      <c r="AF660" s="15"/>
      <c r="AG660" s="10"/>
      <c r="AH660" s="10"/>
      <c r="AI660" s="10"/>
      <c r="AJ660" s="10"/>
      <c r="AK660" s="10" t="s">
        <v>102</v>
      </c>
      <c r="AL660" s="10" t="s">
        <v>205</v>
      </c>
      <c r="AM660" s="10"/>
      <c r="AN660" s="10"/>
      <c r="AO660" s="13" t="b">
        <v>0</v>
      </c>
      <c r="AP660" s="10" t="s">
        <v>104</v>
      </c>
      <c r="AQ660" s="10">
        <f ca="1">IFERROR(__xludf.DUMMYFUNCTION("""COMPUTED_VALUE"""),4660126)</f>
        <v>4660126</v>
      </c>
      <c r="AR660" s="17">
        <v>3115</v>
      </c>
      <c r="AS660" s="17">
        <v>2216</v>
      </c>
      <c r="AT660" s="17">
        <v>60624.75</v>
      </c>
      <c r="AU660" s="17">
        <v>9.0500000000000007</v>
      </c>
      <c r="AV660" s="17">
        <v>1.4</v>
      </c>
      <c r="AW660" s="10" t="s">
        <v>105</v>
      </c>
      <c r="AX660" s="17">
        <v>704</v>
      </c>
      <c r="AY660" s="18">
        <v>27.357739169675089</v>
      </c>
      <c r="AZ660" s="10" t="s">
        <v>106</v>
      </c>
      <c r="BA660" s="20" t="b">
        <v>0</v>
      </c>
      <c r="BB660" s="10"/>
      <c r="BC660" s="17">
        <v>3115</v>
      </c>
      <c r="BD660" s="17">
        <v>2216</v>
      </c>
      <c r="BE660" s="17">
        <v>60624.75</v>
      </c>
      <c r="BF660" s="17">
        <v>1.4</v>
      </c>
      <c r="BG660" s="11">
        <f ca="1">IFERROR(__xludf.DUMMYFUNCTION("""COMPUTED_VALUE"""),45951.0833333333)</f>
        <v>45951.083333333299</v>
      </c>
      <c r="BH660" s="17" t="s">
        <v>105</v>
      </c>
      <c r="BI660" s="17"/>
      <c r="BJ660" s="15"/>
      <c r="BK660" s="15"/>
      <c r="BL660" s="13" t="b">
        <v>0</v>
      </c>
      <c r="BM660" s="10"/>
      <c r="BN660" s="10" t="s">
        <v>157</v>
      </c>
      <c r="BO660" s="11">
        <v>45866.101898148147</v>
      </c>
      <c r="BP660" s="11">
        <v>45930.732893518521</v>
      </c>
      <c r="BQ660" s="15">
        <v>45944.43949074074</v>
      </c>
      <c r="BR660" s="15">
        <v>45949.340474537035</v>
      </c>
      <c r="BS660" s="10" t="s">
        <v>157</v>
      </c>
      <c r="BT660" s="10"/>
      <c r="BU660" s="10"/>
      <c r="BV660" s="10"/>
      <c r="BW660" s="10"/>
      <c r="BX660" s="10"/>
      <c r="BY660" s="23"/>
      <c r="BZ660" s="23"/>
      <c r="CA660" s="19" t="s">
        <v>5835</v>
      </c>
      <c r="CB660" s="19" t="s">
        <v>5836</v>
      </c>
      <c r="CC660" s="23"/>
      <c r="CD660" s="23"/>
      <c r="CE660" s="23"/>
      <c r="CF660" s="23"/>
      <c r="CG660" s="23"/>
      <c r="CH660" s="23"/>
      <c r="CI660" s="23"/>
    </row>
    <row r="661" spans="1:87" x14ac:dyDescent="0.3">
      <c r="A661" s="9" t="s">
        <v>5837</v>
      </c>
      <c r="B661" s="10" t="s">
        <v>5838</v>
      </c>
      <c r="C661" s="11">
        <v>45949.083333333336</v>
      </c>
      <c r="D661" s="12">
        <v>8.3333333333333329E-2</v>
      </c>
      <c r="E661" s="11">
        <v>45949.166666666664</v>
      </c>
      <c r="F661" s="10" t="s">
        <v>5001</v>
      </c>
      <c r="G661" s="13" t="b">
        <v>0</v>
      </c>
      <c r="H661" s="10" t="s">
        <v>3564</v>
      </c>
      <c r="I661" s="10" t="s">
        <v>89</v>
      </c>
      <c r="J661" s="13" t="b">
        <v>0</v>
      </c>
      <c r="K661" s="13" t="b">
        <v>1</v>
      </c>
      <c r="L661" s="10" t="s">
        <v>124</v>
      </c>
      <c r="M661" s="10" t="s">
        <v>91</v>
      </c>
      <c r="N661" s="10" t="s">
        <v>92</v>
      </c>
      <c r="O661" s="19" t="s">
        <v>5839</v>
      </c>
      <c r="P661" s="10"/>
      <c r="Q661" s="10" t="s">
        <v>126</v>
      </c>
      <c r="R661" s="10"/>
      <c r="S661" s="19" t="s">
        <v>5840</v>
      </c>
      <c r="T661" s="19" t="s">
        <v>5796</v>
      </c>
      <c r="U661" s="10" t="s">
        <v>5090</v>
      </c>
      <c r="V661" s="10" t="s">
        <v>5114</v>
      </c>
      <c r="W661" s="10" t="s">
        <v>5007</v>
      </c>
      <c r="X661" s="10" t="s">
        <v>130</v>
      </c>
      <c r="Y661" s="10" t="s">
        <v>130</v>
      </c>
      <c r="Z661" s="10" t="s">
        <v>99</v>
      </c>
      <c r="AA661" s="10" t="s">
        <v>131</v>
      </c>
      <c r="AB661" s="10" t="s">
        <v>5008</v>
      </c>
      <c r="AC661" s="10" t="s">
        <v>5009</v>
      </c>
      <c r="AD661" s="10" t="s">
        <v>5841</v>
      </c>
      <c r="AE661" s="10" t="s">
        <v>5842</v>
      </c>
      <c r="AF661" s="15"/>
      <c r="AG661" s="10"/>
      <c r="AH661" s="10"/>
      <c r="AI661" s="10"/>
      <c r="AJ661" s="10" t="s">
        <v>5843</v>
      </c>
      <c r="AK661" s="10" t="s">
        <v>102</v>
      </c>
      <c r="AL661" s="10" t="s">
        <v>205</v>
      </c>
      <c r="AM661" s="10"/>
      <c r="AN661" s="10"/>
      <c r="AO661" s="13" t="b">
        <v>0</v>
      </c>
      <c r="AP661" s="10" t="s">
        <v>104</v>
      </c>
      <c r="AQ661" s="10">
        <f ca="1">IFERROR(__xludf.DUMMYFUNCTION("""COMPUTED_VALUE"""),4655970)</f>
        <v>4655970</v>
      </c>
      <c r="AR661" s="17">
        <v>10656</v>
      </c>
      <c r="AS661" s="17">
        <v>7894</v>
      </c>
      <c r="AT661" s="17">
        <v>274244.75</v>
      </c>
      <c r="AU661" s="17">
        <v>19.75</v>
      </c>
      <c r="AV661" s="17">
        <v>3.5</v>
      </c>
      <c r="AW661" s="10" t="s">
        <v>105</v>
      </c>
      <c r="AX661" s="17">
        <v>3975</v>
      </c>
      <c r="AY661" s="18">
        <v>34.740910818343046</v>
      </c>
      <c r="AZ661" s="10" t="s">
        <v>106</v>
      </c>
      <c r="BA661" s="20" t="b">
        <v>0</v>
      </c>
      <c r="BB661" s="10"/>
      <c r="BC661" s="17">
        <v>10656</v>
      </c>
      <c r="BD661" s="17">
        <v>7894</v>
      </c>
      <c r="BE661" s="17">
        <v>274244.75</v>
      </c>
      <c r="BF661" s="17">
        <v>3.5</v>
      </c>
      <c r="BG661" s="11">
        <f ca="1">IFERROR(__xludf.DUMMYFUNCTION("""COMPUTED_VALUE"""),45949.0833333333)</f>
        <v>45949.083333333299</v>
      </c>
      <c r="BH661" s="17" t="s">
        <v>105</v>
      </c>
      <c r="BI661" s="17"/>
      <c r="BJ661" s="15"/>
      <c r="BK661" s="15"/>
      <c r="BL661" s="13" t="b">
        <v>0</v>
      </c>
      <c r="BM661" s="10"/>
      <c r="BN661" s="10" t="s">
        <v>137</v>
      </c>
      <c r="BO661" s="11">
        <v>45866.101388888892</v>
      </c>
      <c r="BP661" s="11">
        <v>45940.621782407405</v>
      </c>
      <c r="BQ661" s="15">
        <v>45944.438738425924</v>
      </c>
      <c r="BR661" s="15">
        <v>45947.508958333332</v>
      </c>
      <c r="BS661" s="10" t="s">
        <v>137</v>
      </c>
      <c r="BT661" s="10"/>
      <c r="BU661" s="10"/>
      <c r="BV661" s="10"/>
      <c r="BW661" s="10"/>
      <c r="BX661" s="10"/>
      <c r="BY661" s="23"/>
      <c r="BZ661" s="23"/>
      <c r="CA661" s="19" t="s">
        <v>5844</v>
      </c>
      <c r="CB661" s="19" t="s">
        <v>5845</v>
      </c>
      <c r="CC661" s="23"/>
      <c r="CD661" s="19" t="s">
        <v>5846</v>
      </c>
      <c r="CE661" s="23"/>
      <c r="CF661" s="23"/>
      <c r="CG661" s="23"/>
      <c r="CH661" s="23"/>
      <c r="CI661" s="23"/>
    </row>
    <row r="662" spans="1:87" x14ac:dyDescent="0.3">
      <c r="A662" s="9" t="s">
        <v>5847</v>
      </c>
      <c r="B662" s="10" t="s">
        <v>5848</v>
      </c>
      <c r="C662" s="11">
        <v>45950.083333333336</v>
      </c>
      <c r="D662" s="12">
        <v>8.3333333333333329E-2</v>
      </c>
      <c r="E662" s="11">
        <v>45950.166666666664</v>
      </c>
      <c r="F662" s="10" t="s">
        <v>5001</v>
      </c>
      <c r="G662" s="13" t="b">
        <v>0</v>
      </c>
      <c r="H662" s="10" t="s">
        <v>3564</v>
      </c>
      <c r="I662" s="10" t="s">
        <v>89</v>
      </c>
      <c r="J662" s="13" t="b">
        <v>0</v>
      </c>
      <c r="K662" s="13" t="b">
        <v>1</v>
      </c>
      <c r="L662" s="10" t="s">
        <v>124</v>
      </c>
      <c r="M662" s="10" t="s">
        <v>91</v>
      </c>
      <c r="N662" s="10" t="s">
        <v>92</v>
      </c>
      <c r="O662" s="19" t="s">
        <v>5849</v>
      </c>
      <c r="P662" s="10"/>
      <c r="Q662" s="10" t="s">
        <v>126</v>
      </c>
      <c r="R662" s="10"/>
      <c r="S662" s="19" t="s">
        <v>5850</v>
      </c>
      <c r="T662" s="19" t="s">
        <v>5796</v>
      </c>
      <c r="U662" s="10" t="s">
        <v>5067</v>
      </c>
      <c r="V662" s="10" t="s">
        <v>5113</v>
      </c>
      <c r="W662" s="10" t="s">
        <v>5007</v>
      </c>
      <c r="X662" s="10" t="s">
        <v>130</v>
      </c>
      <c r="Y662" s="10" t="s">
        <v>130</v>
      </c>
      <c r="Z662" s="10" t="s">
        <v>99</v>
      </c>
      <c r="AA662" s="10" t="s">
        <v>131</v>
      </c>
      <c r="AB662" s="10" t="s">
        <v>5008</v>
      </c>
      <c r="AC662" s="10" t="s">
        <v>5009</v>
      </c>
      <c r="AD662" s="10" t="s">
        <v>5851</v>
      </c>
      <c r="AE662" s="10" t="s">
        <v>5852</v>
      </c>
      <c r="AF662" s="15"/>
      <c r="AG662" s="10"/>
      <c r="AH662" s="10"/>
      <c r="AI662" s="10"/>
      <c r="AJ662" s="10" t="s">
        <v>5853</v>
      </c>
      <c r="AK662" s="10" t="s">
        <v>102</v>
      </c>
      <c r="AL662" s="10" t="s">
        <v>205</v>
      </c>
      <c r="AM662" s="10"/>
      <c r="AN662" s="10"/>
      <c r="AO662" s="13" t="b">
        <v>1</v>
      </c>
      <c r="AP662" s="10" t="s">
        <v>104</v>
      </c>
      <c r="AQ662" s="10">
        <f ca="1">IFERROR(__xludf.DUMMYFUNCTION("""COMPUTED_VALUE"""),4655972)</f>
        <v>4655972</v>
      </c>
      <c r="AR662" s="17">
        <v>67468</v>
      </c>
      <c r="AS662" s="17">
        <v>44499</v>
      </c>
      <c r="AT662" s="17">
        <v>2597701.75</v>
      </c>
      <c r="AU662" s="17">
        <v>731.7</v>
      </c>
      <c r="AV662" s="17">
        <v>113</v>
      </c>
      <c r="AW662" s="10" t="s">
        <v>105</v>
      </c>
      <c r="AX662" s="17">
        <v>25012</v>
      </c>
      <c r="AY662" s="18">
        <v>58.376632059147397</v>
      </c>
      <c r="AZ662" s="10" t="s">
        <v>106</v>
      </c>
      <c r="BA662" s="20" t="b">
        <v>0</v>
      </c>
      <c r="BB662" s="10"/>
      <c r="BC662" s="17">
        <v>67468</v>
      </c>
      <c r="BD662" s="17">
        <v>44499</v>
      </c>
      <c r="BE662" s="17">
        <v>2597701.75</v>
      </c>
      <c r="BF662" s="17">
        <v>113</v>
      </c>
      <c r="BG662" s="11">
        <f ca="1">IFERROR(__xludf.DUMMYFUNCTION("""COMPUTED_VALUE"""),45950.0833333333)</f>
        <v>45950.083333333299</v>
      </c>
      <c r="BH662" s="17" t="s">
        <v>105</v>
      </c>
      <c r="BI662" s="17"/>
      <c r="BJ662" s="15"/>
      <c r="BK662" s="15"/>
      <c r="BL662" s="13" t="b">
        <v>0</v>
      </c>
      <c r="BM662" s="10"/>
      <c r="BN662" s="10" t="s">
        <v>1149</v>
      </c>
      <c r="BO662" s="11">
        <v>45866.101388888892</v>
      </c>
      <c r="BP662" s="11">
        <v>45940.637592592589</v>
      </c>
      <c r="BQ662" s="15">
        <v>45944.439293981479</v>
      </c>
      <c r="BR662" s="15">
        <v>45947.508414351854</v>
      </c>
      <c r="BS662" s="10" t="s">
        <v>1149</v>
      </c>
      <c r="BT662" s="10" t="s">
        <v>99</v>
      </c>
      <c r="BU662" s="10" t="s">
        <v>5854</v>
      </c>
      <c r="BV662" s="10" t="s">
        <v>124</v>
      </c>
      <c r="BW662" s="10" t="s">
        <v>5855</v>
      </c>
      <c r="BX662" s="10"/>
      <c r="BY662" s="23"/>
      <c r="BZ662" s="23"/>
      <c r="CA662" s="19" t="s">
        <v>5856</v>
      </c>
      <c r="CB662" s="19" t="s">
        <v>5857</v>
      </c>
      <c r="CC662" s="23"/>
      <c r="CD662" s="19" t="s">
        <v>5858</v>
      </c>
      <c r="CE662" s="23"/>
      <c r="CF662" s="23"/>
      <c r="CG662" s="23"/>
      <c r="CH662" s="23"/>
      <c r="CI662" s="23"/>
    </row>
    <row r="663" spans="1:87" x14ac:dyDescent="0.3">
      <c r="A663" s="9" t="s">
        <v>5859</v>
      </c>
      <c r="B663" s="10" t="s">
        <v>5860</v>
      </c>
      <c r="C663" s="11">
        <v>45949.885416666664</v>
      </c>
      <c r="D663" s="12">
        <v>8.3333333333333329E-2</v>
      </c>
      <c r="E663" s="11">
        <v>45949.96875</v>
      </c>
      <c r="F663" s="10" t="s">
        <v>5001</v>
      </c>
      <c r="G663" s="13" t="b">
        <v>0</v>
      </c>
      <c r="H663" s="10" t="s">
        <v>3578</v>
      </c>
      <c r="I663" s="10" t="s">
        <v>89</v>
      </c>
      <c r="J663" s="13" t="b">
        <v>0</v>
      </c>
      <c r="K663" s="13" t="b">
        <v>1</v>
      </c>
      <c r="L663" s="10" t="s">
        <v>124</v>
      </c>
      <c r="M663" s="10" t="s">
        <v>91</v>
      </c>
      <c r="N663" s="10" t="s">
        <v>92</v>
      </c>
      <c r="O663" s="19" t="s">
        <v>5861</v>
      </c>
      <c r="P663" s="10"/>
      <c r="Q663" s="10" t="s">
        <v>126</v>
      </c>
      <c r="R663" s="10"/>
      <c r="S663" s="19" t="s">
        <v>5862</v>
      </c>
      <c r="T663" s="19" t="s">
        <v>5796</v>
      </c>
      <c r="U663" s="10" t="s">
        <v>5066</v>
      </c>
      <c r="V663" s="10" t="s">
        <v>5055</v>
      </c>
      <c r="W663" s="10" t="s">
        <v>5007</v>
      </c>
      <c r="X663" s="10" t="s">
        <v>130</v>
      </c>
      <c r="Y663" s="10" t="s">
        <v>130</v>
      </c>
      <c r="Z663" s="10" t="s">
        <v>99</v>
      </c>
      <c r="AA663" s="10" t="s">
        <v>131</v>
      </c>
      <c r="AB663" s="10" t="s">
        <v>5008</v>
      </c>
      <c r="AC663" s="10" t="s">
        <v>5009</v>
      </c>
      <c r="AD663" s="10" t="s">
        <v>5863</v>
      </c>
      <c r="AE663" s="10" t="s">
        <v>5864</v>
      </c>
      <c r="AF663" s="15"/>
      <c r="AG663" s="10"/>
      <c r="AH663" s="10"/>
      <c r="AI663" s="10"/>
      <c r="AJ663" s="10" t="s">
        <v>5865</v>
      </c>
      <c r="AK663" s="10" t="s">
        <v>102</v>
      </c>
      <c r="AL663" s="10" t="s">
        <v>205</v>
      </c>
      <c r="AM663" s="10"/>
      <c r="AN663" s="10"/>
      <c r="AO663" s="13" t="b">
        <v>0</v>
      </c>
      <c r="AP663" s="10" t="s">
        <v>104</v>
      </c>
      <c r="AQ663" s="10">
        <f ca="1">IFERROR(__xludf.DUMMYFUNCTION("""COMPUTED_VALUE"""),4655940)</f>
        <v>4655940</v>
      </c>
      <c r="AR663" s="17">
        <v>15633</v>
      </c>
      <c r="AS663" s="17">
        <v>12169</v>
      </c>
      <c r="AT663" s="17">
        <v>169229.75</v>
      </c>
      <c r="AU663" s="17">
        <v>69.400000000000006</v>
      </c>
      <c r="AV663" s="17">
        <v>17.75</v>
      </c>
      <c r="AW663" s="10" t="s">
        <v>105</v>
      </c>
      <c r="AX663" s="17">
        <v>3314</v>
      </c>
      <c r="AY663" s="18">
        <v>13.90662749609664</v>
      </c>
      <c r="AZ663" s="10" t="s">
        <v>106</v>
      </c>
      <c r="BA663" s="20" t="b">
        <v>0</v>
      </c>
      <c r="BB663" s="10"/>
      <c r="BC663" s="17">
        <v>15633</v>
      </c>
      <c r="BD663" s="17">
        <v>12169</v>
      </c>
      <c r="BE663" s="17">
        <v>169229.75</v>
      </c>
      <c r="BF663" s="17">
        <v>17.75</v>
      </c>
      <c r="BG663" s="11">
        <f ca="1">IFERROR(__xludf.DUMMYFUNCTION("""COMPUTED_VALUE"""),45949.8854166666)</f>
        <v>45949.885416666599</v>
      </c>
      <c r="BH663" s="17" t="s">
        <v>105</v>
      </c>
      <c r="BI663" s="17"/>
      <c r="BJ663" s="15"/>
      <c r="BK663" s="15"/>
      <c r="BL663" s="13" t="b">
        <v>0</v>
      </c>
      <c r="BM663" s="10"/>
      <c r="BN663" s="10" t="s">
        <v>137</v>
      </c>
      <c r="BO663" s="11">
        <v>45866.101388888892</v>
      </c>
      <c r="BP663" s="11">
        <v>45940.631493055553</v>
      </c>
      <c r="BQ663" s="15">
        <v>45944.439004629632</v>
      </c>
      <c r="BR663" s="15">
        <v>45947.501342592594</v>
      </c>
      <c r="BS663" s="10" t="s">
        <v>137</v>
      </c>
      <c r="BT663" s="10"/>
      <c r="BU663" s="10"/>
      <c r="BV663" s="10"/>
      <c r="BW663" s="10"/>
      <c r="BX663" s="10"/>
      <c r="BY663" s="23"/>
      <c r="BZ663" s="23"/>
      <c r="CA663" s="19" t="s">
        <v>5866</v>
      </c>
      <c r="CB663" s="19" t="s">
        <v>5867</v>
      </c>
      <c r="CC663" s="23"/>
      <c r="CD663" s="19" t="s">
        <v>5868</v>
      </c>
      <c r="CE663" s="23"/>
      <c r="CF663" s="23"/>
      <c r="CG663" s="23"/>
      <c r="CH663" s="23"/>
      <c r="CI663" s="23"/>
    </row>
    <row r="664" spans="1:87" x14ac:dyDescent="0.3">
      <c r="A664" s="9" t="s">
        <v>5869</v>
      </c>
      <c r="B664" s="10" t="s">
        <v>5870</v>
      </c>
      <c r="C664" s="11">
        <v>45948.885416666664</v>
      </c>
      <c r="D664" s="12">
        <v>8.3333333333333329E-2</v>
      </c>
      <c r="E664" s="11">
        <v>45948.96875</v>
      </c>
      <c r="F664" s="10" t="s">
        <v>5001</v>
      </c>
      <c r="G664" s="13" t="b">
        <v>0</v>
      </c>
      <c r="H664" s="10" t="s">
        <v>3564</v>
      </c>
      <c r="I664" s="10" t="s">
        <v>89</v>
      </c>
      <c r="J664" s="13" t="b">
        <v>0</v>
      </c>
      <c r="K664" s="13" t="b">
        <v>1</v>
      </c>
      <c r="L664" s="10" t="s">
        <v>124</v>
      </c>
      <c r="M664" s="10" t="s">
        <v>91</v>
      </c>
      <c r="N664" s="10" t="s">
        <v>92</v>
      </c>
      <c r="O664" s="19" t="s">
        <v>5871</v>
      </c>
      <c r="P664" s="10"/>
      <c r="Q664" s="10" t="s">
        <v>126</v>
      </c>
      <c r="R664" s="10"/>
      <c r="S664" s="19" t="s">
        <v>5872</v>
      </c>
      <c r="T664" s="19" t="s">
        <v>5796</v>
      </c>
      <c r="U664" s="10" t="s">
        <v>5042</v>
      </c>
      <c r="V664" s="10" t="s">
        <v>5005</v>
      </c>
      <c r="W664" s="10" t="s">
        <v>5007</v>
      </c>
      <c r="X664" s="10" t="s">
        <v>130</v>
      </c>
      <c r="Y664" s="10" t="s">
        <v>130</v>
      </c>
      <c r="Z664" s="10" t="s">
        <v>99</v>
      </c>
      <c r="AA664" s="10" t="s">
        <v>131</v>
      </c>
      <c r="AB664" s="10" t="s">
        <v>5008</v>
      </c>
      <c r="AC664" s="10" t="s">
        <v>5009</v>
      </c>
      <c r="AD664" s="10" t="s">
        <v>5873</v>
      </c>
      <c r="AE664" s="10" t="s">
        <v>5874</v>
      </c>
      <c r="AF664" s="15"/>
      <c r="AG664" s="10"/>
      <c r="AH664" s="10"/>
      <c r="AI664" s="10"/>
      <c r="AJ664" s="10" t="s">
        <v>5875</v>
      </c>
      <c r="AK664" s="10" t="s">
        <v>102</v>
      </c>
      <c r="AL664" s="10" t="s">
        <v>205</v>
      </c>
      <c r="AM664" s="10"/>
      <c r="AN664" s="10"/>
      <c r="AO664" s="13" t="b">
        <v>1</v>
      </c>
      <c r="AP664" s="10" t="s">
        <v>104</v>
      </c>
      <c r="AQ664" s="10">
        <f ca="1">IFERROR(__xludf.DUMMYFUNCTION("""COMPUTED_VALUE"""),4655968)</f>
        <v>4655968</v>
      </c>
      <c r="AR664" s="17">
        <v>235944</v>
      </c>
      <c r="AS664" s="17">
        <v>137716</v>
      </c>
      <c r="AT664" s="17">
        <v>5206676</v>
      </c>
      <c r="AU664" s="17">
        <v>3948.3</v>
      </c>
      <c r="AV664" s="17">
        <v>762.85</v>
      </c>
      <c r="AW664" s="10" t="s">
        <v>105</v>
      </c>
      <c r="AX664" s="17">
        <v>65912</v>
      </c>
      <c r="AY664" s="18">
        <v>37.807342647186964</v>
      </c>
      <c r="AZ664" s="10" t="s">
        <v>106</v>
      </c>
      <c r="BA664" s="20" t="b">
        <v>0</v>
      </c>
      <c r="BB664" s="10"/>
      <c r="BC664" s="17">
        <v>235944</v>
      </c>
      <c r="BD664" s="17">
        <v>137716</v>
      </c>
      <c r="BE664" s="17">
        <v>5206676</v>
      </c>
      <c r="BF664" s="17">
        <v>762.85</v>
      </c>
      <c r="BG664" s="11">
        <f ca="1">IFERROR(__xludf.DUMMYFUNCTION("""COMPUTED_VALUE"""),45948.8854166666)</f>
        <v>45948.885416666599</v>
      </c>
      <c r="BH664" s="17" t="s">
        <v>105</v>
      </c>
      <c r="BI664" s="17"/>
      <c r="BJ664" s="15"/>
      <c r="BK664" s="15"/>
      <c r="BL664" s="13" t="b">
        <v>0</v>
      </c>
      <c r="BM664" s="10"/>
      <c r="BN664" s="10" t="s">
        <v>667</v>
      </c>
      <c r="BO664" s="11">
        <v>45866.101388888892</v>
      </c>
      <c r="BP664" s="11">
        <v>45940.60533564815</v>
      </c>
      <c r="BQ664" s="15">
        <v>45944.438391203701</v>
      </c>
      <c r="BR664" s="15">
        <v>45947.509375000001</v>
      </c>
      <c r="BS664" s="10" t="s">
        <v>667</v>
      </c>
      <c r="BT664" s="10" t="s">
        <v>99</v>
      </c>
      <c r="BU664" s="10" t="s">
        <v>3574</v>
      </c>
      <c r="BV664" s="10" t="s">
        <v>281</v>
      </c>
      <c r="BW664" s="10" t="s">
        <v>2100</v>
      </c>
      <c r="BX664" s="10"/>
      <c r="BY664" s="23"/>
      <c r="BZ664" s="23"/>
      <c r="CA664" s="19" t="s">
        <v>5876</v>
      </c>
      <c r="CB664" s="19" t="s">
        <v>5877</v>
      </c>
      <c r="CC664" s="23"/>
      <c r="CD664" s="19" t="s">
        <v>5878</v>
      </c>
      <c r="CE664" s="23"/>
      <c r="CF664" s="23"/>
      <c r="CG664" s="23"/>
      <c r="CH664" s="23"/>
      <c r="CI664" s="23"/>
    </row>
    <row r="665" spans="1:87" x14ac:dyDescent="0.3">
      <c r="A665" s="9" t="s">
        <v>5879</v>
      </c>
      <c r="B665" s="10" t="s">
        <v>5880</v>
      </c>
      <c r="C665" s="11">
        <v>45948.791666666664</v>
      </c>
      <c r="D665" s="12">
        <v>8.3333333333333329E-2</v>
      </c>
      <c r="E665" s="11">
        <v>45948.875</v>
      </c>
      <c r="F665" s="10" t="s">
        <v>5001</v>
      </c>
      <c r="G665" s="13" t="b">
        <v>0</v>
      </c>
      <c r="H665" s="10" t="s">
        <v>3578</v>
      </c>
      <c r="I665" s="10" t="s">
        <v>89</v>
      </c>
      <c r="J665" s="13" t="b">
        <v>0</v>
      </c>
      <c r="K665" s="13" t="b">
        <v>1</v>
      </c>
      <c r="L665" s="10" t="s">
        <v>124</v>
      </c>
      <c r="M665" s="10" t="s">
        <v>91</v>
      </c>
      <c r="N665" s="10" t="s">
        <v>92</v>
      </c>
      <c r="O665" s="19" t="s">
        <v>5881</v>
      </c>
      <c r="P665" s="10"/>
      <c r="Q665" s="10" t="s">
        <v>126</v>
      </c>
      <c r="R665" s="10"/>
      <c r="S665" s="19" t="s">
        <v>5882</v>
      </c>
      <c r="T665" s="19" t="s">
        <v>5796</v>
      </c>
      <c r="U665" s="10" t="s">
        <v>5077</v>
      </c>
      <c r="V665" s="10" t="s">
        <v>5041</v>
      </c>
      <c r="W665" s="10" t="s">
        <v>5007</v>
      </c>
      <c r="X665" s="10" t="s">
        <v>130</v>
      </c>
      <c r="Y665" s="10" t="s">
        <v>130</v>
      </c>
      <c r="Z665" s="10" t="s">
        <v>99</v>
      </c>
      <c r="AA665" s="10" t="s">
        <v>131</v>
      </c>
      <c r="AB665" s="10" t="s">
        <v>5008</v>
      </c>
      <c r="AC665" s="10" t="s">
        <v>5009</v>
      </c>
      <c r="AD665" s="10" t="s">
        <v>5883</v>
      </c>
      <c r="AE665" s="10" t="s">
        <v>5884</v>
      </c>
      <c r="AF665" s="15"/>
      <c r="AG665" s="10"/>
      <c r="AH665" s="10"/>
      <c r="AI665" s="10"/>
      <c r="AJ665" s="10" t="s">
        <v>5885</v>
      </c>
      <c r="AK665" s="10" t="s">
        <v>102</v>
      </c>
      <c r="AL665" s="10" t="s">
        <v>205</v>
      </c>
      <c r="AM665" s="10"/>
      <c r="AN665" s="10"/>
      <c r="AO665" s="13" t="b">
        <v>0</v>
      </c>
      <c r="AP665" s="10" t="s">
        <v>104</v>
      </c>
      <c r="AQ665" s="10">
        <f ca="1">IFERROR(__xludf.DUMMYFUNCTION("""COMPUTED_VALUE"""),4655938)</f>
        <v>4655938</v>
      </c>
      <c r="AR665" s="17">
        <v>16942</v>
      </c>
      <c r="AS665" s="17">
        <v>12587</v>
      </c>
      <c r="AT665" s="17">
        <v>153106.75</v>
      </c>
      <c r="AU665" s="17">
        <v>119.85</v>
      </c>
      <c r="AV665" s="17">
        <v>19.05</v>
      </c>
      <c r="AW665" s="10" t="s">
        <v>105</v>
      </c>
      <c r="AX665" s="17">
        <v>2829</v>
      </c>
      <c r="AY665" s="18">
        <v>12.163879399380313</v>
      </c>
      <c r="AZ665" s="10" t="s">
        <v>106</v>
      </c>
      <c r="BA665" s="20" t="b">
        <v>0</v>
      </c>
      <c r="BB665" s="10"/>
      <c r="BC665" s="17">
        <v>16942</v>
      </c>
      <c r="BD665" s="17">
        <v>12587</v>
      </c>
      <c r="BE665" s="17">
        <v>153106.75</v>
      </c>
      <c r="BF665" s="17">
        <v>19.05</v>
      </c>
      <c r="BG665" s="11">
        <f ca="1">IFERROR(__xludf.DUMMYFUNCTION("""COMPUTED_VALUE"""),45948.7916666666)</f>
        <v>45948.791666666599</v>
      </c>
      <c r="BH665" s="17" t="s">
        <v>105</v>
      </c>
      <c r="BI665" s="17"/>
      <c r="BJ665" s="15"/>
      <c r="BK665" s="15"/>
      <c r="BL665" s="13" t="b">
        <v>0</v>
      </c>
      <c r="BM665" s="10"/>
      <c r="BN665" s="10" t="s">
        <v>137</v>
      </c>
      <c r="BO665" s="11">
        <v>45866.101388888892</v>
      </c>
      <c r="BP665" s="11">
        <v>45940.600289351853</v>
      </c>
      <c r="BQ665" s="15">
        <v>45944.438240740739</v>
      </c>
      <c r="BR665" s="15">
        <v>45947.501979166664</v>
      </c>
      <c r="BS665" s="10" t="s">
        <v>137</v>
      </c>
      <c r="BT665" s="10"/>
      <c r="BU665" s="10"/>
      <c r="BV665" s="10"/>
      <c r="BW665" s="10"/>
      <c r="BX665" s="10"/>
      <c r="BY665" s="23"/>
      <c r="BZ665" s="23"/>
      <c r="CA665" s="19" t="s">
        <v>5886</v>
      </c>
      <c r="CB665" s="19" t="s">
        <v>5887</v>
      </c>
      <c r="CC665" s="23"/>
      <c r="CD665" s="19" t="s">
        <v>5888</v>
      </c>
      <c r="CE665" s="23"/>
      <c r="CF665" s="23"/>
      <c r="CG665" s="23"/>
      <c r="CH665" s="23"/>
      <c r="CI665" s="23"/>
    </row>
    <row r="666" spans="1:87" x14ac:dyDescent="0.3">
      <c r="A666" s="9" t="s">
        <v>5889</v>
      </c>
      <c r="B666" s="10" t="s">
        <v>5890</v>
      </c>
      <c r="C666" s="11">
        <v>45956.083333333336</v>
      </c>
      <c r="D666" s="12">
        <v>8.3333333333333329E-2</v>
      </c>
      <c r="E666" s="11">
        <v>45956.166666666664</v>
      </c>
      <c r="F666" s="10" t="s">
        <v>5001</v>
      </c>
      <c r="G666" s="13" t="b">
        <v>0</v>
      </c>
      <c r="H666" s="10" t="s">
        <v>3564</v>
      </c>
      <c r="I666" s="10" t="s">
        <v>89</v>
      </c>
      <c r="J666" s="13" t="b">
        <v>0</v>
      </c>
      <c r="K666" s="13" t="b">
        <v>1</v>
      </c>
      <c r="L666" s="10" t="s">
        <v>124</v>
      </c>
      <c r="M666" s="10" t="s">
        <v>91</v>
      </c>
      <c r="N666" s="10" t="s">
        <v>92</v>
      </c>
      <c r="O666" s="19" t="s">
        <v>5891</v>
      </c>
      <c r="P666" s="10"/>
      <c r="Q666" s="10" t="s">
        <v>126</v>
      </c>
      <c r="R666" s="10"/>
      <c r="S666" s="19" t="s">
        <v>5892</v>
      </c>
      <c r="T666" s="19" t="s">
        <v>5893</v>
      </c>
      <c r="U666" s="10" t="s">
        <v>5054</v>
      </c>
      <c r="V666" s="10" t="s">
        <v>5018</v>
      </c>
      <c r="W666" s="10" t="s">
        <v>5007</v>
      </c>
      <c r="X666" s="10" t="s">
        <v>130</v>
      </c>
      <c r="Y666" s="10" t="s">
        <v>130</v>
      </c>
      <c r="Z666" s="10" t="s">
        <v>99</v>
      </c>
      <c r="AA666" s="10" t="s">
        <v>131</v>
      </c>
      <c r="AB666" s="10" t="s">
        <v>5008</v>
      </c>
      <c r="AC666" s="10" t="s">
        <v>5009</v>
      </c>
      <c r="AD666" s="10" t="s">
        <v>5894</v>
      </c>
      <c r="AE666" s="10" t="s">
        <v>5895</v>
      </c>
      <c r="AF666" s="15"/>
      <c r="AG666" s="10"/>
      <c r="AH666" s="10"/>
      <c r="AI666" s="10"/>
      <c r="AJ666" s="10" t="s">
        <v>5896</v>
      </c>
      <c r="AK666" s="10" t="s">
        <v>102</v>
      </c>
      <c r="AL666" s="10" t="s">
        <v>1252</v>
      </c>
      <c r="AM666" s="10"/>
      <c r="AN666" s="10"/>
      <c r="AO666" s="13" t="b">
        <v>0</v>
      </c>
      <c r="AP666" s="10" t="s">
        <v>104</v>
      </c>
      <c r="AQ666" s="10">
        <f ca="1">IFERROR(__xludf.DUMMYFUNCTION("""COMPUTED_VALUE"""),4665864)</f>
        <v>4665864</v>
      </c>
      <c r="AR666" s="17">
        <v>5948</v>
      </c>
      <c r="AS666" s="17">
        <v>4793</v>
      </c>
      <c r="AT666" s="17">
        <v>110066</v>
      </c>
      <c r="AU666" s="17">
        <v>13.2</v>
      </c>
      <c r="AV666" s="17">
        <v>5.8</v>
      </c>
      <c r="AW666" s="10" t="s">
        <v>105</v>
      </c>
      <c r="AX666" s="17">
        <v>1500</v>
      </c>
      <c r="AY666" s="18">
        <v>22.963905695806385</v>
      </c>
      <c r="AZ666" s="10" t="s">
        <v>106</v>
      </c>
      <c r="BA666" s="20" t="b">
        <v>0</v>
      </c>
      <c r="BB666" s="10"/>
      <c r="BC666" s="17">
        <v>5948</v>
      </c>
      <c r="BD666" s="17">
        <v>4793</v>
      </c>
      <c r="BE666" s="17">
        <v>110066</v>
      </c>
      <c r="BF666" s="17">
        <v>5.8</v>
      </c>
      <c r="BG666" s="11">
        <f ca="1">IFERROR(__xludf.DUMMYFUNCTION("""COMPUTED_VALUE"""),45956.0833333333)</f>
        <v>45956.083333333299</v>
      </c>
      <c r="BH666" s="17" t="s">
        <v>105</v>
      </c>
      <c r="BI666" s="17"/>
      <c r="BJ666" s="15"/>
      <c r="BK666" s="15"/>
      <c r="BL666" s="13" t="b">
        <v>0</v>
      </c>
      <c r="BM666" s="10"/>
      <c r="BN666" s="10" t="s">
        <v>149</v>
      </c>
      <c r="BO666" s="11">
        <v>45866.101388888892</v>
      </c>
      <c r="BP666" s="11">
        <v>45951.74355324074</v>
      </c>
      <c r="BQ666" s="15">
        <v>45951.874884259261</v>
      </c>
      <c r="BR666" s="15">
        <v>45952.484016203707</v>
      </c>
      <c r="BS666" s="10" t="s">
        <v>149</v>
      </c>
      <c r="BT666" s="10"/>
      <c r="BU666" s="10"/>
      <c r="BV666" s="10"/>
      <c r="BW666" s="10"/>
      <c r="BX666" s="10"/>
      <c r="BY666" s="23"/>
      <c r="BZ666" s="23"/>
      <c r="CA666" s="19" t="s">
        <v>5897</v>
      </c>
      <c r="CB666" s="19" t="s">
        <v>5898</v>
      </c>
      <c r="CC666" s="23"/>
      <c r="CD666" s="19" t="s">
        <v>5899</v>
      </c>
      <c r="CE666" s="23"/>
      <c r="CF666" s="23"/>
      <c r="CG666" s="23"/>
      <c r="CH666" s="23"/>
      <c r="CI666" s="23"/>
    </row>
    <row r="667" spans="1:87" x14ac:dyDescent="0.3">
      <c r="A667" s="9" t="s">
        <v>5900</v>
      </c>
      <c r="B667" s="10" t="s">
        <v>5901</v>
      </c>
      <c r="C667" s="11">
        <v>45957.125</v>
      </c>
      <c r="D667" s="12">
        <v>8.3333333333333329E-2</v>
      </c>
      <c r="E667" s="11">
        <v>45957.208333333336</v>
      </c>
      <c r="F667" s="10" t="s">
        <v>5001</v>
      </c>
      <c r="G667" s="13" t="b">
        <v>0</v>
      </c>
      <c r="H667" s="10" t="s">
        <v>3564</v>
      </c>
      <c r="I667" s="10" t="s">
        <v>89</v>
      </c>
      <c r="J667" s="13" t="b">
        <v>0</v>
      </c>
      <c r="K667" s="13" t="b">
        <v>1</v>
      </c>
      <c r="L667" s="10" t="s">
        <v>124</v>
      </c>
      <c r="M667" s="10" t="s">
        <v>91</v>
      </c>
      <c r="N667" s="10" t="s">
        <v>92</v>
      </c>
      <c r="O667" s="19" t="s">
        <v>5902</v>
      </c>
      <c r="P667" s="10"/>
      <c r="Q667" s="10" t="s">
        <v>94</v>
      </c>
      <c r="R667" s="10"/>
      <c r="S667" s="19" t="s">
        <v>5903</v>
      </c>
      <c r="T667" s="19" t="s">
        <v>5893</v>
      </c>
      <c r="U667" s="10" t="s">
        <v>5006</v>
      </c>
      <c r="V667" s="10" t="s">
        <v>5031</v>
      </c>
      <c r="W667" s="10" t="s">
        <v>5007</v>
      </c>
      <c r="X667" s="10" t="s">
        <v>130</v>
      </c>
      <c r="Y667" s="10" t="s">
        <v>130</v>
      </c>
      <c r="Z667" s="10" t="s">
        <v>99</v>
      </c>
      <c r="AA667" s="10" t="s">
        <v>131</v>
      </c>
      <c r="AB667" s="10" t="s">
        <v>5008</v>
      </c>
      <c r="AC667" s="10" t="s">
        <v>5009</v>
      </c>
      <c r="AD667" s="10" t="s">
        <v>5904</v>
      </c>
      <c r="AE667" s="10" t="s">
        <v>5905</v>
      </c>
      <c r="AF667" s="15"/>
      <c r="AG667" s="10"/>
      <c r="AH667" s="10"/>
      <c r="AI667" s="10"/>
      <c r="AJ667" s="10"/>
      <c r="AK667" s="10" t="s">
        <v>102</v>
      </c>
      <c r="AL667" s="10" t="s">
        <v>1252</v>
      </c>
      <c r="AM667" s="10"/>
      <c r="AN667" s="10"/>
      <c r="AO667" s="13" t="b">
        <v>0</v>
      </c>
      <c r="AP667" s="10" t="s">
        <v>104</v>
      </c>
      <c r="AQ667" s="10">
        <f ca="1">IFERROR(__xludf.DUMMYFUNCTION("""COMPUTED_VALUE"""),4671772)</f>
        <v>4671772</v>
      </c>
      <c r="AR667" s="17">
        <v>2251</v>
      </c>
      <c r="AS667" s="17">
        <v>1717</v>
      </c>
      <c r="AT667" s="17">
        <v>43582</v>
      </c>
      <c r="AU667" s="17">
        <v>3.25</v>
      </c>
      <c r="AV667" s="17">
        <v>1.1499999999999999</v>
      </c>
      <c r="AW667" s="10" t="s">
        <v>105</v>
      </c>
      <c r="AX667" s="17">
        <v>828</v>
      </c>
      <c r="AY667" s="18">
        <v>25.382644146767618</v>
      </c>
      <c r="AZ667" s="10" t="s">
        <v>106</v>
      </c>
      <c r="BA667" s="20" t="b">
        <v>0</v>
      </c>
      <c r="BB667" s="10"/>
      <c r="BC667" s="17">
        <v>2251</v>
      </c>
      <c r="BD667" s="17">
        <v>1717</v>
      </c>
      <c r="BE667" s="17">
        <v>43582</v>
      </c>
      <c r="BF667" s="17">
        <v>1.1499999999999999</v>
      </c>
      <c r="BG667" s="11">
        <f ca="1">IFERROR(__xludf.DUMMYFUNCTION("""COMPUTED_VALUE"""),45957.125)</f>
        <v>45957.125</v>
      </c>
      <c r="BH667" s="17" t="s">
        <v>105</v>
      </c>
      <c r="BI667" s="17"/>
      <c r="BJ667" s="15"/>
      <c r="BK667" s="15"/>
      <c r="BL667" s="13" t="b">
        <v>0</v>
      </c>
      <c r="BM667" s="10"/>
      <c r="BN667" s="10" t="s">
        <v>1149</v>
      </c>
      <c r="BO667" s="11">
        <v>45866.101388888892</v>
      </c>
      <c r="BP667" s="11">
        <v>45937.710763888892</v>
      </c>
      <c r="BQ667" s="15">
        <v>45951.875567129631</v>
      </c>
      <c r="BR667" s="15">
        <v>45956.407627314817</v>
      </c>
      <c r="BS667" s="10" t="s">
        <v>1149</v>
      </c>
      <c r="BT667" s="10"/>
      <c r="BU667" s="10"/>
      <c r="BV667" s="10"/>
      <c r="BW667" s="10"/>
      <c r="BX667" s="10"/>
      <c r="BY667" s="23"/>
      <c r="BZ667" s="23"/>
      <c r="CA667" s="19" t="s">
        <v>5906</v>
      </c>
      <c r="CB667" s="19" t="s">
        <v>5907</v>
      </c>
      <c r="CC667" s="23"/>
      <c r="CD667" s="23"/>
      <c r="CE667" s="23"/>
      <c r="CF667" s="23"/>
      <c r="CG667" s="23"/>
      <c r="CH667" s="23"/>
      <c r="CI667" s="23"/>
    </row>
    <row r="668" spans="1:87" x14ac:dyDescent="0.3">
      <c r="A668" s="9" t="s">
        <v>5908</v>
      </c>
      <c r="B668" s="10" t="s">
        <v>5909</v>
      </c>
      <c r="C668" s="11">
        <v>45956.833333333336</v>
      </c>
      <c r="D668" s="12">
        <v>8.3333333333333329E-2</v>
      </c>
      <c r="E668" s="11">
        <v>45956.916666666664</v>
      </c>
      <c r="F668" s="10" t="s">
        <v>5001</v>
      </c>
      <c r="G668" s="13" t="b">
        <v>0</v>
      </c>
      <c r="H668" s="10" t="s">
        <v>3578</v>
      </c>
      <c r="I668" s="10" t="s">
        <v>89</v>
      </c>
      <c r="J668" s="13" t="b">
        <v>0</v>
      </c>
      <c r="K668" s="13" t="b">
        <v>1</v>
      </c>
      <c r="L668" s="10" t="s">
        <v>124</v>
      </c>
      <c r="M668" s="10" t="s">
        <v>91</v>
      </c>
      <c r="N668" s="10" t="s">
        <v>92</v>
      </c>
      <c r="O668" s="19" t="s">
        <v>5910</v>
      </c>
      <c r="P668" s="10"/>
      <c r="Q668" s="10" t="s">
        <v>94</v>
      </c>
      <c r="R668" s="10"/>
      <c r="S668" s="19" t="s">
        <v>5911</v>
      </c>
      <c r="T668" s="19" t="s">
        <v>5893</v>
      </c>
      <c r="U668" s="10" t="s">
        <v>5041</v>
      </c>
      <c r="V668" s="10" t="s">
        <v>5032</v>
      </c>
      <c r="W668" s="10" t="s">
        <v>5007</v>
      </c>
      <c r="X668" s="10" t="s">
        <v>130</v>
      </c>
      <c r="Y668" s="10" t="s">
        <v>130</v>
      </c>
      <c r="Z668" s="10" t="s">
        <v>99</v>
      </c>
      <c r="AA668" s="10" t="s">
        <v>131</v>
      </c>
      <c r="AB668" s="10" t="s">
        <v>5008</v>
      </c>
      <c r="AC668" s="10" t="s">
        <v>5009</v>
      </c>
      <c r="AD668" s="10" t="s">
        <v>5912</v>
      </c>
      <c r="AE668" s="10" t="s">
        <v>5913</v>
      </c>
      <c r="AF668" s="15"/>
      <c r="AG668" s="10"/>
      <c r="AH668" s="10"/>
      <c r="AI668" s="10"/>
      <c r="AJ668" s="10"/>
      <c r="AK668" s="10" t="s">
        <v>102</v>
      </c>
      <c r="AL668" s="10" t="s">
        <v>1252</v>
      </c>
      <c r="AM668" s="10"/>
      <c r="AN668" s="10"/>
      <c r="AO668" s="13" t="b">
        <v>0</v>
      </c>
      <c r="AP668" s="10" t="s">
        <v>104</v>
      </c>
      <c r="AQ668" s="10">
        <f ca="1">IFERROR(__xludf.DUMMYFUNCTION("""COMPUTED_VALUE"""),4665858)</f>
        <v>4665858</v>
      </c>
      <c r="AR668" s="17">
        <v>139307</v>
      </c>
      <c r="AS668" s="17">
        <v>101416</v>
      </c>
      <c r="AT668" s="17">
        <v>1479478</v>
      </c>
      <c r="AU668" s="17">
        <v>3172.6</v>
      </c>
      <c r="AV668" s="17">
        <v>1902.35</v>
      </c>
      <c r="AW668" s="10" t="s">
        <v>297</v>
      </c>
      <c r="AX668" s="17">
        <v>33953</v>
      </c>
      <c r="AY668" s="18">
        <v>14.588210933186085</v>
      </c>
      <c r="AZ668" s="10" t="s">
        <v>106</v>
      </c>
      <c r="BA668" s="20" t="b">
        <v>0</v>
      </c>
      <c r="BB668" s="10"/>
      <c r="BC668" s="17">
        <v>139307</v>
      </c>
      <c r="BD668" s="17">
        <v>101416</v>
      </c>
      <c r="BE668" s="17">
        <v>1479478</v>
      </c>
      <c r="BF668" s="17">
        <v>1902.35</v>
      </c>
      <c r="BG668" s="11">
        <f ca="1">IFERROR(__xludf.DUMMYFUNCTION("""COMPUTED_VALUE"""),45956.8333333333)</f>
        <v>45956.833333333299</v>
      </c>
      <c r="BH668" s="17" t="s">
        <v>297</v>
      </c>
      <c r="BI668" s="17"/>
      <c r="BJ668" s="15"/>
      <c r="BK668" s="15"/>
      <c r="BL668" s="13" t="b">
        <v>0</v>
      </c>
      <c r="BM668" s="10"/>
      <c r="BN668" s="10" t="s">
        <v>149</v>
      </c>
      <c r="BO668" s="11">
        <v>45866.101388888892</v>
      </c>
      <c r="BP668" s="11">
        <v>45937.710532407407</v>
      </c>
      <c r="BQ668" s="15">
        <v>45951.875023148146</v>
      </c>
      <c r="BR668" s="15">
        <v>45952.471250000002</v>
      </c>
      <c r="BS668" s="10" t="s">
        <v>149</v>
      </c>
      <c r="BT668" s="10"/>
      <c r="BU668" s="10"/>
      <c r="BV668" s="10"/>
      <c r="BW668" s="10"/>
      <c r="BX668" s="10"/>
      <c r="BY668" s="23"/>
      <c r="BZ668" s="23"/>
      <c r="CA668" s="19" t="s">
        <v>5914</v>
      </c>
      <c r="CB668" s="19" t="s">
        <v>5915</v>
      </c>
      <c r="CC668" s="23"/>
      <c r="CD668" s="23"/>
      <c r="CE668" s="23"/>
      <c r="CF668" s="23"/>
      <c r="CG668" s="23"/>
      <c r="CH668" s="23"/>
      <c r="CI668" s="23"/>
    </row>
    <row r="669" spans="1:87" x14ac:dyDescent="0.3">
      <c r="A669" s="9" t="s">
        <v>5916</v>
      </c>
      <c r="B669" s="10" t="s">
        <v>5917</v>
      </c>
      <c r="C669" s="11">
        <v>45957.020833333336</v>
      </c>
      <c r="D669" s="12">
        <v>8.3333333333333329E-2</v>
      </c>
      <c r="E669" s="11">
        <v>45957.104166666664</v>
      </c>
      <c r="F669" s="10" t="s">
        <v>5001</v>
      </c>
      <c r="G669" s="13" t="b">
        <v>0</v>
      </c>
      <c r="H669" s="10" t="s">
        <v>3564</v>
      </c>
      <c r="I669" s="10" t="s">
        <v>89</v>
      </c>
      <c r="J669" s="13" t="b">
        <v>0</v>
      </c>
      <c r="K669" s="13" t="b">
        <v>1</v>
      </c>
      <c r="L669" s="10" t="s">
        <v>124</v>
      </c>
      <c r="M669" s="10" t="s">
        <v>91</v>
      </c>
      <c r="N669" s="10" t="s">
        <v>92</v>
      </c>
      <c r="O669" s="19" t="s">
        <v>5918</v>
      </c>
      <c r="P669" s="10"/>
      <c r="Q669" s="10" t="s">
        <v>94</v>
      </c>
      <c r="R669" s="10"/>
      <c r="S669" s="19" t="s">
        <v>5919</v>
      </c>
      <c r="T669" s="19" t="s">
        <v>5893</v>
      </c>
      <c r="U669" s="10" t="s">
        <v>5114</v>
      </c>
      <c r="V669" s="10" t="s">
        <v>5066</v>
      </c>
      <c r="W669" s="10" t="s">
        <v>5007</v>
      </c>
      <c r="X669" s="10" t="s">
        <v>130</v>
      </c>
      <c r="Y669" s="10" t="s">
        <v>130</v>
      </c>
      <c r="Z669" s="10" t="s">
        <v>99</v>
      </c>
      <c r="AA669" s="10" t="s">
        <v>131</v>
      </c>
      <c r="AB669" s="10" t="s">
        <v>5008</v>
      </c>
      <c r="AC669" s="10" t="s">
        <v>5009</v>
      </c>
      <c r="AD669" s="10" t="s">
        <v>5920</v>
      </c>
      <c r="AE669" s="10" t="s">
        <v>5921</v>
      </c>
      <c r="AF669" s="15"/>
      <c r="AG669" s="10"/>
      <c r="AH669" s="10"/>
      <c r="AI669" s="10"/>
      <c r="AJ669" s="10"/>
      <c r="AK669" s="10" t="s">
        <v>102</v>
      </c>
      <c r="AL669" s="10" t="s">
        <v>1252</v>
      </c>
      <c r="AM669" s="10"/>
      <c r="AN669" s="10"/>
      <c r="AO669" s="13" t="b">
        <v>0</v>
      </c>
      <c r="AP669" s="10" t="s">
        <v>104</v>
      </c>
      <c r="AQ669" s="10">
        <f ca="1">IFERROR(__xludf.DUMMYFUNCTION("""COMPUTED_VALUE"""),4671771)</f>
        <v>4671771</v>
      </c>
      <c r="AR669" s="17">
        <v>5811</v>
      </c>
      <c r="AS669" s="17">
        <v>4612</v>
      </c>
      <c r="AT669" s="17">
        <v>178005.25</v>
      </c>
      <c r="AU669" s="17">
        <v>7.55</v>
      </c>
      <c r="AV669" s="17">
        <v>4.4000000000000004</v>
      </c>
      <c r="AW669" s="10" t="s">
        <v>105</v>
      </c>
      <c r="AX669" s="17">
        <v>1599</v>
      </c>
      <c r="AY669" s="18">
        <v>38.596107979184737</v>
      </c>
      <c r="AZ669" s="10" t="s">
        <v>106</v>
      </c>
      <c r="BA669" s="20" t="b">
        <v>0</v>
      </c>
      <c r="BB669" s="10"/>
      <c r="BC669" s="17">
        <v>5811</v>
      </c>
      <c r="BD669" s="17">
        <v>4612</v>
      </c>
      <c r="BE669" s="17">
        <v>178005.25</v>
      </c>
      <c r="BF669" s="17">
        <v>4.4000000000000004</v>
      </c>
      <c r="BG669" s="11">
        <f ca="1">IFERROR(__xludf.DUMMYFUNCTION("""COMPUTED_VALUE"""),45957.0208333333)</f>
        <v>45957.020833333299</v>
      </c>
      <c r="BH669" s="17" t="s">
        <v>105</v>
      </c>
      <c r="BI669" s="17"/>
      <c r="BJ669" s="15"/>
      <c r="BK669" s="15"/>
      <c r="BL669" s="13" t="b">
        <v>0</v>
      </c>
      <c r="BM669" s="10"/>
      <c r="BN669" s="10" t="s">
        <v>118</v>
      </c>
      <c r="BO669" s="11">
        <v>45866.101388888892</v>
      </c>
      <c r="BP669" s="11">
        <v>45937.710694444446</v>
      </c>
      <c r="BQ669" s="15">
        <v>45951.875405092593</v>
      </c>
      <c r="BR669" s="15">
        <v>45956.403449074074</v>
      </c>
      <c r="BS669" s="10" t="s">
        <v>118</v>
      </c>
      <c r="BT669" s="10"/>
      <c r="BU669" s="10"/>
      <c r="BV669" s="10"/>
      <c r="BW669" s="10"/>
      <c r="BX669" s="10"/>
      <c r="BY669" s="23"/>
      <c r="BZ669" s="23"/>
      <c r="CA669" s="19" t="s">
        <v>5922</v>
      </c>
      <c r="CB669" s="19" t="s">
        <v>5923</v>
      </c>
      <c r="CC669" s="23"/>
      <c r="CD669" s="23"/>
      <c r="CE669" s="23"/>
      <c r="CF669" s="23"/>
      <c r="CG669" s="23"/>
      <c r="CH669" s="23"/>
      <c r="CI669" s="23"/>
    </row>
    <row r="670" spans="1:87" x14ac:dyDescent="0.3">
      <c r="A670" s="9" t="s">
        <v>5924</v>
      </c>
      <c r="B670" s="10" t="s">
        <v>5925</v>
      </c>
      <c r="C670" s="11">
        <v>45955.083333333336</v>
      </c>
      <c r="D670" s="12">
        <v>8.3333333333333329E-2</v>
      </c>
      <c r="E670" s="11">
        <v>45955.166666666664</v>
      </c>
      <c r="F670" s="10" t="s">
        <v>5001</v>
      </c>
      <c r="G670" s="13" t="b">
        <v>0</v>
      </c>
      <c r="H670" s="10" t="s">
        <v>3564</v>
      </c>
      <c r="I670" s="10" t="s">
        <v>89</v>
      </c>
      <c r="J670" s="13" t="b">
        <v>0</v>
      </c>
      <c r="K670" s="13" t="b">
        <v>1</v>
      </c>
      <c r="L670" s="10" t="s">
        <v>124</v>
      </c>
      <c r="M670" s="10" t="s">
        <v>91</v>
      </c>
      <c r="N670" s="10" t="s">
        <v>92</v>
      </c>
      <c r="O670" s="19" t="s">
        <v>5926</v>
      </c>
      <c r="P670" s="10"/>
      <c r="Q670" s="10" t="s">
        <v>126</v>
      </c>
      <c r="R670" s="10"/>
      <c r="S670" s="19" t="s">
        <v>5927</v>
      </c>
      <c r="T670" s="19" t="s">
        <v>5893</v>
      </c>
      <c r="U670" s="10" t="s">
        <v>5055</v>
      </c>
      <c r="V670" s="10" t="s">
        <v>5077</v>
      </c>
      <c r="W670" s="10" t="s">
        <v>5007</v>
      </c>
      <c r="X670" s="10" t="s">
        <v>130</v>
      </c>
      <c r="Y670" s="10" t="s">
        <v>130</v>
      </c>
      <c r="Z670" s="10" t="s">
        <v>99</v>
      </c>
      <c r="AA670" s="10" t="s">
        <v>131</v>
      </c>
      <c r="AB670" s="10" t="s">
        <v>5008</v>
      </c>
      <c r="AC670" s="10" t="s">
        <v>5009</v>
      </c>
      <c r="AD670" s="10" t="s">
        <v>5928</v>
      </c>
      <c r="AE670" s="10" t="s">
        <v>5929</v>
      </c>
      <c r="AF670" s="15"/>
      <c r="AG670" s="10"/>
      <c r="AH670" s="10"/>
      <c r="AI670" s="10"/>
      <c r="AJ670" s="10" t="s">
        <v>5930</v>
      </c>
      <c r="AK670" s="10" t="s">
        <v>102</v>
      </c>
      <c r="AL670" s="10" t="s">
        <v>1252</v>
      </c>
      <c r="AM670" s="10"/>
      <c r="AN670" s="10"/>
      <c r="AO670" s="13" t="b">
        <v>0</v>
      </c>
      <c r="AP670" s="10" t="s">
        <v>104</v>
      </c>
      <c r="AQ670" s="10">
        <f ca="1">IFERROR(__xludf.DUMMYFUNCTION("""COMPUTED_VALUE"""),4665856)</f>
        <v>4665856</v>
      </c>
      <c r="AR670" s="17">
        <v>5006</v>
      </c>
      <c r="AS670" s="17">
        <v>3731</v>
      </c>
      <c r="AT670" s="17">
        <v>112683.75</v>
      </c>
      <c r="AU670" s="17">
        <v>16.899999999999999</v>
      </c>
      <c r="AV670" s="17">
        <v>4.45</v>
      </c>
      <c r="AW670" s="10" t="s">
        <v>105</v>
      </c>
      <c r="AX670" s="17">
        <v>1199</v>
      </c>
      <c r="AY670" s="18">
        <v>30.202023586169929</v>
      </c>
      <c r="AZ670" s="10" t="s">
        <v>106</v>
      </c>
      <c r="BA670" s="20" t="b">
        <v>0</v>
      </c>
      <c r="BB670" s="10"/>
      <c r="BC670" s="17">
        <v>5006</v>
      </c>
      <c r="BD670" s="17">
        <v>3731</v>
      </c>
      <c r="BE670" s="17">
        <v>112683.75</v>
      </c>
      <c r="BF670" s="17">
        <v>4.45</v>
      </c>
      <c r="BG670" s="11">
        <f ca="1">IFERROR(__xludf.DUMMYFUNCTION("""COMPUTED_VALUE"""),45955.0833333333)</f>
        <v>45955.083333333299</v>
      </c>
      <c r="BH670" s="17" t="s">
        <v>105</v>
      </c>
      <c r="BI670" s="17"/>
      <c r="BJ670" s="15"/>
      <c r="BK670" s="15"/>
      <c r="BL670" s="13" t="b">
        <v>0</v>
      </c>
      <c r="BM670" s="10"/>
      <c r="BN670" s="10" t="s">
        <v>149</v>
      </c>
      <c r="BO670" s="11">
        <v>45866.101388888892</v>
      </c>
      <c r="BP670" s="11">
        <v>45951.732951388891</v>
      </c>
      <c r="BQ670" s="15">
        <v>45951.874189814815</v>
      </c>
      <c r="BR670" s="15">
        <v>45952.469421296293</v>
      </c>
      <c r="BS670" s="10" t="s">
        <v>149</v>
      </c>
      <c r="BT670" s="10"/>
      <c r="BU670" s="10"/>
      <c r="BV670" s="10"/>
      <c r="BW670" s="10"/>
      <c r="BX670" s="10"/>
      <c r="BY670" s="23"/>
      <c r="BZ670" s="23"/>
      <c r="CA670" s="19" t="s">
        <v>5931</v>
      </c>
      <c r="CB670" s="19" t="s">
        <v>5932</v>
      </c>
      <c r="CC670" s="23"/>
      <c r="CD670" s="19" t="s">
        <v>5933</v>
      </c>
      <c r="CE670" s="23"/>
      <c r="CF670" s="23"/>
      <c r="CG670" s="23"/>
      <c r="CH670" s="23"/>
      <c r="CI670" s="23"/>
    </row>
    <row r="671" spans="1:87" x14ac:dyDescent="0.3">
      <c r="A671" s="9" t="s">
        <v>5934</v>
      </c>
      <c r="B671" s="10" t="s">
        <v>5935</v>
      </c>
      <c r="C671" s="11">
        <v>45955.979166666664</v>
      </c>
      <c r="D671" s="12">
        <v>8.3333333333333329E-2</v>
      </c>
      <c r="E671" s="11">
        <v>45956.0625</v>
      </c>
      <c r="F671" s="10" t="s">
        <v>5001</v>
      </c>
      <c r="G671" s="13" t="b">
        <v>0</v>
      </c>
      <c r="H671" s="10" t="s">
        <v>3564</v>
      </c>
      <c r="I671" s="10" t="s">
        <v>89</v>
      </c>
      <c r="J671" s="13" t="b">
        <v>0</v>
      </c>
      <c r="K671" s="13" t="b">
        <v>1</v>
      </c>
      <c r="L671" s="10" t="s">
        <v>124</v>
      </c>
      <c r="M671" s="10" t="s">
        <v>91</v>
      </c>
      <c r="N671" s="10" t="s">
        <v>92</v>
      </c>
      <c r="O671" s="19" t="s">
        <v>5936</v>
      </c>
      <c r="P671" s="10"/>
      <c r="Q671" s="10" t="s">
        <v>126</v>
      </c>
      <c r="R671" s="10"/>
      <c r="S671" s="19" t="s">
        <v>5937</v>
      </c>
      <c r="T671" s="19" t="s">
        <v>5893</v>
      </c>
      <c r="U671" s="10" t="s">
        <v>5076</v>
      </c>
      <c r="V671" s="10" t="s">
        <v>5067</v>
      </c>
      <c r="W671" s="10" t="s">
        <v>5007</v>
      </c>
      <c r="X671" s="10" t="s">
        <v>130</v>
      </c>
      <c r="Y671" s="10" t="s">
        <v>130</v>
      </c>
      <c r="Z671" s="10" t="s">
        <v>99</v>
      </c>
      <c r="AA671" s="10" t="s">
        <v>131</v>
      </c>
      <c r="AB671" s="10" t="s">
        <v>5008</v>
      </c>
      <c r="AC671" s="10" t="s">
        <v>5009</v>
      </c>
      <c r="AD671" s="10" t="s">
        <v>5938</v>
      </c>
      <c r="AE671" s="10" t="s">
        <v>5939</v>
      </c>
      <c r="AF671" s="15"/>
      <c r="AG671" s="10"/>
      <c r="AH671" s="10"/>
      <c r="AI671" s="10"/>
      <c r="AJ671" s="10" t="s">
        <v>5940</v>
      </c>
      <c r="AK671" s="10" t="s">
        <v>102</v>
      </c>
      <c r="AL671" s="10" t="s">
        <v>1252</v>
      </c>
      <c r="AM671" s="10"/>
      <c r="AN671" s="10"/>
      <c r="AO671" s="13" t="b">
        <v>0</v>
      </c>
      <c r="AP671" s="10" t="s">
        <v>104</v>
      </c>
      <c r="AQ671" s="10">
        <f ca="1">IFERROR(__xludf.DUMMYFUNCTION("""COMPUTED_VALUE"""),4665863)</f>
        <v>4665863</v>
      </c>
      <c r="AR671" s="17">
        <v>13533</v>
      </c>
      <c r="AS671" s="17">
        <v>11194</v>
      </c>
      <c r="AT671" s="17">
        <v>164096.25</v>
      </c>
      <c r="AU671" s="17">
        <v>37.6</v>
      </c>
      <c r="AV671" s="17">
        <v>15.6</v>
      </c>
      <c r="AW671" s="10" t="s">
        <v>105</v>
      </c>
      <c r="AX671" s="17">
        <v>2810</v>
      </c>
      <c r="AY671" s="18">
        <v>14.659304091477578</v>
      </c>
      <c r="AZ671" s="10" t="s">
        <v>106</v>
      </c>
      <c r="BA671" s="20" t="b">
        <v>0</v>
      </c>
      <c r="BB671" s="10"/>
      <c r="BC671" s="17">
        <v>13533</v>
      </c>
      <c r="BD671" s="17">
        <v>11194</v>
      </c>
      <c r="BE671" s="17">
        <v>164096.25</v>
      </c>
      <c r="BF671" s="17">
        <v>15.6</v>
      </c>
      <c r="BG671" s="11">
        <f ca="1">IFERROR(__xludf.DUMMYFUNCTION("""COMPUTED_VALUE"""),45955.9791666666)</f>
        <v>45955.979166666599</v>
      </c>
      <c r="BH671" s="17" t="s">
        <v>105</v>
      </c>
      <c r="BI671" s="17"/>
      <c r="BJ671" s="15"/>
      <c r="BK671" s="15"/>
      <c r="BL671" s="13" t="b">
        <v>0</v>
      </c>
      <c r="BM671" s="10"/>
      <c r="BN671" s="10" t="s">
        <v>149</v>
      </c>
      <c r="BO671" s="11">
        <v>45866.101388888892</v>
      </c>
      <c r="BP671" s="11">
        <v>45951.741226851853</v>
      </c>
      <c r="BQ671" s="15">
        <v>45951.874675925923</v>
      </c>
      <c r="BR671" s="15">
        <v>45952.483020833337</v>
      </c>
      <c r="BS671" s="10" t="s">
        <v>149</v>
      </c>
      <c r="BT671" s="10"/>
      <c r="BU671" s="10"/>
      <c r="BV671" s="10"/>
      <c r="BW671" s="10"/>
      <c r="BX671" s="10"/>
      <c r="BY671" s="23"/>
      <c r="BZ671" s="23"/>
      <c r="CA671" s="19" t="s">
        <v>5941</v>
      </c>
      <c r="CB671" s="19" t="s">
        <v>5942</v>
      </c>
      <c r="CC671" s="23"/>
      <c r="CD671" s="19" t="s">
        <v>5943</v>
      </c>
      <c r="CE671" s="23"/>
      <c r="CF671" s="23"/>
      <c r="CG671" s="23"/>
      <c r="CH671" s="23"/>
      <c r="CI671" s="23"/>
    </row>
    <row r="672" spans="1:87" x14ac:dyDescent="0.3">
      <c r="A672" s="9" t="s">
        <v>5944</v>
      </c>
      <c r="B672" s="10" t="s">
        <v>5945</v>
      </c>
      <c r="C672" s="11">
        <v>45955.885416666664</v>
      </c>
      <c r="D672" s="12">
        <v>8.3333333333333329E-2</v>
      </c>
      <c r="E672" s="11">
        <v>45955.96875</v>
      </c>
      <c r="F672" s="10" t="s">
        <v>5001</v>
      </c>
      <c r="G672" s="13" t="b">
        <v>0</v>
      </c>
      <c r="H672" s="10" t="s">
        <v>3578</v>
      </c>
      <c r="I672" s="10" t="s">
        <v>89</v>
      </c>
      <c r="J672" s="13" t="b">
        <v>0</v>
      </c>
      <c r="K672" s="13" t="b">
        <v>1</v>
      </c>
      <c r="L672" s="10" t="s">
        <v>124</v>
      </c>
      <c r="M672" s="10" t="s">
        <v>91</v>
      </c>
      <c r="N672" s="10" t="s">
        <v>92</v>
      </c>
      <c r="O672" s="19" t="s">
        <v>5946</v>
      </c>
      <c r="P672" s="10"/>
      <c r="Q672" s="10" t="s">
        <v>94</v>
      </c>
      <c r="R672" s="10"/>
      <c r="S672" s="19" t="s">
        <v>5947</v>
      </c>
      <c r="T672" s="19" t="s">
        <v>5893</v>
      </c>
      <c r="U672" s="10" t="s">
        <v>5089</v>
      </c>
      <c r="V672" s="10" t="s">
        <v>5101</v>
      </c>
      <c r="W672" s="10" t="s">
        <v>5007</v>
      </c>
      <c r="X672" s="10" t="s">
        <v>130</v>
      </c>
      <c r="Y672" s="10" t="s">
        <v>130</v>
      </c>
      <c r="Z672" s="10" t="s">
        <v>99</v>
      </c>
      <c r="AA672" s="10" t="s">
        <v>131</v>
      </c>
      <c r="AB672" s="10" t="s">
        <v>5008</v>
      </c>
      <c r="AC672" s="10" t="s">
        <v>5009</v>
      </c>
      <c r="AD672" s="10" t="s">
        <v>5948</v>
      </c>
      <c r="AE672" s="10" t="s">
        <v>5949</v>
      </c>
      <c r="AF672" s="15"/>
      <c r="AG672" s="10"/>
      <c r="AH672" s="10"/>
      <c r="AI672" s="10"/>
      <c r="AJ672" s="10"/>
      <c r="AK672" s="10" t="s">
        <v>102</v>
      </c>
      <c r="AL672" s="10" t="s">
        <v>1252</v>
      </c>
      <c r="AM672" s="10"/>
      <c r="AN672" s="10"/>
      <c r="AO672" s="13" t="b">
        <v>0</v>
      </c>
      <c r="AP672" s="10" t="s">
        <v>104</v>
      </c>
      <c r="AQ672" s="10">
        <f ca="1">IFERROR(__xludf.DUMMYFUNCTION("""COMPUTED_VALUE"""),4665859)</f>
        <v>4665859</v>
      </c>
      <c r="AR672" s="17">
        <v>21572</v>
      </c>
      <c r="AS672" s="17">
        <v>16599</v>
      </c>
      <c r="AT672" s="17">
        <v>180915.25</v>
      </c>
      <c r="AU672" s="17">
        <v>132.05000000000001</v>
      </c>
      <c r="AV672" s="17">
        <v>46.75</v>
      </c>
      <c r="AW672" s="10" t="s">
        <v>105</v>
      </c>
      <c r="AX672" s="17">
        <v>3019</v>
      </c>
      <c r="AY672" s="18">
        <v>10.899165612386287</v>
      </c>
      <c r="AZ672" s="10" t="s">
        <v>106</v>
      </c>
      <c r="BA672" s="20" t="b">
        <v>0</v>
      </c>
      <c r="BB672" s="10"/>
      <c r="BC672" s="17">
        <v>21572</v>
      </c>
      <c r="BD672" s="17">
        <v>16599</v>
      </c>
      <c r="BE672" s="17">
        <v>180915.25</v>
      </c>
      <c r="BF672" s="17">
        <v>46.75</v>
      </c>
      <c r="BG672" s="11">
        <f ca="1">IFERROR(__xludf.DUMMYFUNCTION("""COMPUTED_VALUE"""),45955.8854166666)</f>
        <v>45955.885416666599</v>
      </c>
      <c r="BH672" s="17" t="s">
        <v>105</v>
      </c>
      <c r="BI672" s="17"/>
      <c r="BJ672" s="15"/>
      <c r="BK672" s="15"/>
      <c r="BL672" s="13" t="b">
        <v>0</v>
      </c>
      <c r="BM672" s="10"/>
      <c r="BN672" s="10" t="s">
        <v>149</v>
      </c>
      <c r="BO672" s="11">
        <v>45866.101388888892</v>
      </c>
      <c r="BP672" s="11">
        <v>45937.709768518522</v>
      </c>
      <c r="BQ672" s="15">
        <v>45951.874525462961</v>
      </c>
      <c r="BR672" s="15">
        <v>45952.469965277778</v>
      </c>
      <c r="BS672" s="10" t="s">
        <v>149</v>
      </c>
      <c r="BT672" s="10"/>
      <c r="BU672" s="10"/>
      <c r="BV672" s="10"/>
      <c r="BW672" s="10"/>
      <c r="BX672" s="10"/>
      <c r="BY672" s="23"/>
      <c r="BZ672" s="23"/>
      <c r="CA672" s="19" t="s">
        <v>5950</v>
      </c>
      <c r="CB672" s="19" t="s">
        <v>5951</v>
      </c>
      <c r="CC672" s="23"/>
      <c r="CD672" s="23"/>
      <c r="CE672" s="23"/>
      <c r="CF672" s="23"/>
      <c r="CG672" s="23"/>
      <c r="CH672" s="23"/>
      <c r="CI672" s="23"/>
    </row>
    <row r="673" spans="1:87" x14ac:dyDescent="0.3">
      <c r="A673" s="9" t="s">
        <v>5952</v>
      </c>
      <c r="B673" s="10" t="s">
        <v>5953</v>
      </c>
      <c r="C673" s="11">
        <v>45956.927083333336</v>
      </c>
      <c r="D673" s="12">
        <v>8.3333333333333329E-2</v>
      </c>
      <c r="E673" s="11">
        <v>45957.010416666664</v>
      </c>
      <c r="F673" s="10" t="s">
        <v>5001</v>
      </c>
      <c r="G673" s="13" t="b">
        <v>0</v>
      </c>
      <c r="H673" s="10" t="s">
        <v>3578</v>
      </c>
      <c r="I673" s="10" t="s">
        <v>89</v>
      </c>
      <c r="J673" s="13" t="b">
        <v>0</v>
      </c>
      <c r="K673" s="13" t="b">
        <v>1</v>
      </c>
      <c r="L673" s="10" t="s">
        <v>124</v>
      </c>
      <c r="M673" s="10" t="s">
        <v>91</v>
      </c>
      <c r="N673" s="10" t="s">
        <v>92</v>
      </c>
      <c r="O673" s="19" t="s">
        <v>5954</v>
      </c>
      <c r="P673" s="10"/>
      <c r="Q673" s="10" t="s">
        <v>126</v>
      </c>
      <c r="R673" s="10"/>
      <c r="S673" s="19" t="s">
        <v>5955</v>
      </c>
      <c r="T673" s="19" t="s">
        <v>5893</v>
      </c>
      <c r="U673" s="10" t="s">
        <v>5113</v>
      </c>
      <c r="V673" s="10" t="s">
        <v>5042</v>
      </c>
      <c r="W673" s="10" t="s">
        <v>5007</v>
      </c>
      <c r="X673" s="10" t="s">
        <v>130</v>
      </c>
      <c r="Y673" s="10" t="s">
        <v>130</v>
      </c>
      <c r="Z673" s="10" t="s">
        <v>99</v>
      </c>
      <c r="AA673" s="10" t="s">
        <v>131</v>
      </c>
      <c r="AB673" s="10" t="s">
        <v>5008</v>
      </c>
      <c r="AC673" s="10" t="s">
        <v>5009</v>
      </c>
      <c r="AD673" s="10" t="s">
        <v>5956</v>
      </c>
      <c r="AE673" s="10" t="s">
        <v>5957</v>
      </c>
      <c r="AF673" s="15"/>
      <c r="AG673" s="10"/>
      <c r="AH673" s="10"/>
      <c r="AI673" s="10"/>
      <c r="AJ673" s="10" t="s">
        <v>5958</v>
      </c>
      <c r="AK673" s="10" t="s">
        <v>102</v>
      </c>
      <c r="AL673" s="10" t="s">
        <v>1252</v>
      </c>
      <c r="AM673" s="10"/>
      <c r="AN673" s="10"/>
      <c r="AO673" s="13" t="b">
        <v>1</v>
      </c>
      <c r="AP673" s="10" t="s">
        <v>104</v>
      </c>
      <c r="AQ673" s="10">
        <f ca="1">IFERROR(__xludf.DUMMYFUNCTION("""COMPUTED_VALUE"""),4665857)</f>
        <v>4665857</v>
      </c>
      <c r="AR673" s="17">
        <v>1112406</v>
      </c>
      <c r="AS673" s="17">
        <v>666866</v>
      </c>
      <c r="AT673" s="17">
        <v>25339849.5</v>
      </c>
      <c r="AU673" s="17">
        <v>33743.9</v>
      </c>
      <c r="AV673" s="17">
        <v>19009</v>
      </c>
      <c r="AW673" s="10" t="s">
        <v>366</v>
      </c>
      <c r="AX673" s="17">
        <v>310738</v>
      </c>
      <c r="AY673" s="18">
        <v>37.998412724595347</v>
      </c>
      <c r="AZ673" s="10" t="s">
        <v>106</v>
      </c>
      <c r="BA673" s="20" t="b">
        <v>0</v>
      </c>
      <c r="BB673" s="10"/>
      <c r="BC673" s="17">
        <v>1112406</v>
      </c>
      <c r="BD673" s="17">
        <v>666866</v>
      </c>
      <c r="BE673" s="17">
        <v>25339849.5</v>
      </c>
      <c r="BF673" s="17">
        <v>19009</v>
      </c>
      <c r="BG673" s="11">
        <f ca="1">IFERROR(__xludf.DUMMYFUNCTION("""COMPUTED_VALUE"""),45956.9270833333)</f>
        <v>45956.927083333299</v>
      </c>
      <c r="BH673" s="17" t="s">
        <v>366</v>
      </c>
      <c r="BI673" s="17"/>
      <c r="BJ673" s="15"/>
      <c r="BK673" s="15"/>
      <c r="BL673" s="13" t="b">
        <v>0</v>
      </c>
      <c r="BM673" s="10"/>
      <c r="BN673" s="10" t="s">
        <v>455</v>
      </c>
      <c r="BO673" s="11">
        <v>45866.101388888892</v>
      </c>
      <c r="BP673" s="11">
        <v>45951.749965277777</v>
      </c>
      <c r="BQ673" s="15">
        <v>45951.875208333331</v>
      </c>
      <c r="BR673" s="15">
        <v>45952.47016203704</v>
      </c>
      <c r="BS673" s="10" t="s">
        <v>455</v>
      </c>
      <c r="BT673" s="10" t="s">
        <v>99</v>
      </c>
      <c r="BU673" s="10" t="s">
        <v>5463</v>
      </c>
      <c r="BV673" s="10" t="s">
        <v>499</v>
      </c>
      <c r="BW673" s="10"/>
      <c r="BX673" s="10"/>
      <c r="BY673" s="23"/>
      <c r="BZ673" s="23"/>
      <c r="CA673" s="19" t="s">
        <v>5959</v>
      </c>
      <c r="CB673" s="19" t="s">
        <v>5960</v>
      </c>
      <c r="CC673" s="23"/>
      <c r="CD673" s="19" t="s">
        <v>5961</v>
      </c>
      <c r="CE673" s="23"/>
      <c r="CF673" s="23"/>
      <c r="CG673" s="23"/>
      <c r="CH673" s="23"/>
      <c r="CI673" s="23"/>
    </row>
    <row r="674" spans="1:87" x14ac:dyDescent="0.3">
      <c r="A674" s="9" t="s">
        <v>5962</v>
      </c>
      <c r="B674" s="10" t="s">
        <v>5963</v>
      </c>
      <c r="C674" s="11">
        <v>45955.791666666664</v>
      </c>
      <c r="D674" s="12">
        <v>8.3333333333333329E-2</v>
      </c>
      <c r="E674" s="11">
        <v>45955.875</v>
      </c>
      <c r="F674" s="10" t="s">
        <v>5001</v>
      </c>
      <c r="G674" s="13" t="b">
        <v>0</v>
      </c>
      <c r="H674" s="10" t="s">
        <v>3578</v>
      </c>
      <c r="I674" s="10" t="s">
        <v>89</v>
      </c>
      <c r="J674" s="13" t="b">
        <v>0</v>
      </c>
      <c r="K674" s="13" t="b">
        <v>1</v>
      </c>
      <c r="L674" s="10" t="s">
        <v>124</v>
      </c>
      <c r="M674" s="10" t="s">
        <v>91</v>
      </c>
      <c r="N674" s="10" t="s">
        <v>92</v>
      </c>
      <c r="O674" s="19" t="s">
        <v>5964</v>
      </c>
      <c r="P674" s="10"/>
      <c r="Q674" s="10" t="s">
        <v>126</v>
      </c>
      <c r="R674" s="10"/>
      <c r="S674" s="19" t="s">
        <v>5965</v>
      </c>
      <c r="T674" s="19" t="s">
        <v>5893</v>
      </c>
      <c r="U674" s="10" t="s">
        <v>5005</v>
      </c>
      <c r="V674" s="10" t="s">
        <v>5019</v>
      </c>
      <c r="W674" s="10" t="s">
        <v>5007</v>
      </c>
      <c r="X674" s="10" t="s">
        <v>130</v>
      </c>
      <c r="Y674" s="10" t="s">
        <v>130</v>
      </c>
      <c r="Z674" s="10" t="s">
        <v>99</v>
      </c>
      <c r="AA674" s="10" t="s">
        <v>131</v>
      </c>
      <c r="AB674" s="10" t="s">
        <v>5008</v>
      </c>
      <c r="AC674" s="10" t="s">
        <v>5009</v>
      </c>
      <c r="AD674" s="10" t="s">
        <v>5966</v>
      </c>
      <c r="AE674" s="10" t="s">
        <v>5967</v>
      </c>
      <c r="AF674" s="15"/>
      <c r="AG674" s="10"/>
      <c r="AH674" s="10"/>
      <c r="AI674" s="10"/>
      <c r="AJ674" s="10" t="s">
        <v>5968</v>
      </c>
      <c r="AK674" s="10" t="s">
        <v>102</v>
      </c>
      <c r="AL674" s="10" t="s">
        <v>1252</v>
      </c>
      <c r="AM674" s="10"/>
      <c r="AN674" s="10"/>
      <c r="AO674" s="13" t="b">
        <v>0</v>
      </c>
      <c r="AP674" s="10" t="s">
        <v>104</v>
      </c>
      <c r="AQ674" s="10">
        <f ca="1">IFERROR(__xludf.DUMMYFUNCTION("""COMPUTED_VALUE"""),4665860)</f>
        <v>4665860</v>
      </c>
      <c r="AR674" s="17">
        <v>20054</v>
      </c>
      <c r="AS674" s="17">
        <v>15129</v>
      </c>
      <c r="AT674" s="17">
        <v>210811.5</v>
      </c>
      <c r="AU674" s="17">
        <v>150.55000000000001</v>
      </c>
      <c r="AV674" s="17">
        <v>37.4</v>
      </c>
      <c r="AW674" s="10" t="s">
        <v>105</v>
      </c>
      <c r="AX674" s="17">
        <v>3573</v>
      </c>
      <c r="AY674" s="18">
        <v>13.934265318262939</v>
      </c>
      <c r="AZ674" s="10" t="s">
        <v>106</v>
      </c>
      <c r="BA674" s="20" t="b">
        <v>0</v>
      </c>
      <c r="BB674" s="10"/>
      <c r="BC674" s="17">
        <v>20054</v>
      </c>
      <c r="BD674" s="17">
        <v>15129</v>
      </c>
      <c r="BE674" s="17">
        <v>210811.5</v>
      </c>
      <c r="BF674" s="17">
        <v>37.4</v>
      </c>
      <c r="BG674" s="11">
        <f ca="1">IFERROR(__xludf.DUMMYFUNCTION("""COMPUTED_VALUE"""),45955.7916666666)</f>
        <v>45955.791666666599</v>
      </c>
      <c r="BH674" s="17" t="s">
        <v>105</v>
      </c>
      <c r="BI674" s="17"/>
      <c r="BJ674" s="15"/>
      <c r="BK674" s="15"/>
      <c r="BL674" s="13" t="b">
        <v>0</v>
      </c>
      <c r="BM674" s="10"/>
      <c r="BN674" s="10" t="s">
        <v>149</v>
      </c>
      <c r="BO674" s="11">
        <v>45866.101388888892</v>
      </c>
      <c r="BP674" s="11">
        <v>45951.739004629628</v>
      </c>
      <c r="BQ674" s="15">
        <v>45951.874363425923</v>
      </c>
      <c r="BR674" s="15">
        <v>45952.46974537037</v>
      </c>
      <c r="BS674" s="10" t="s">
        <v>149</v>
      </c>
      <c r="BT674" s="10"/>
      <c r="BU674" s="10"/>
      <c r="BV674" s="10"/>
      <c r="BW674" s="10"/>
      <c r="BX674" s="10"/>
      <c r="BY674" s="23"/>
      <c r="BZ674" s="23"/>
      <c r="CA674" s="19" t="s">
        <v>5969</v>
      </c>
      <c r="CB674" s="19" t="s">
        <v>5970</v>
      </c>
      <c r="CC674" s="23"/>
      <c r="CD674" s="19" t="s">
        <v>5971</v>
      </c>
      <c r="CE674" s="23"/>
      <c r="CF674" s="23"/>
      <c r="CG674" s="23"/>
      <c r="CH674" s="23"/>
      <c r="CI674" s="23"/>
    </row>
    <row r="675" spans="1:87" x14ac:dyDescent="0.3">
      <c r="A675" s="9" t="s">
        <v>5972</v>
      </c>
      <c r="B675" s="10" t="s">
        <v>5973</v>
      </c>
      <c r="C675" s="11">
        <v>45958.125</v>
      </c>
      <c r="D675" s="12">
        <v>8.3333333333333329E-2</v>
      </c>
      <c r="E675" s="11">
        <v>45958.208333333336</v>
      </c>
      <c r="F675" s="10" t="s">
        <v>5001</v>
      </c>
      <c r="G675" s="13" t="b">
        <v>0</v>
      </c>
      <c r="H675" s="10" t="s">
        <v>3578</v>
      </c>
      <c r="I675" s="10" t="s">
        <v>89</v>
      </c>
      <c r="J675" s="13" t="b">
        <v>0</v>
      </c>
      <c r="K675" s="13" t="b">
        <v>1</v>
      </c>
      <c r="L675" s="10" t="s">
        <v>124</v>
      </c>
      <c r="M675" s="10" t="s">
        <v>91</v>
      </c>
      <c r="N675" s="10" t="s">
        <v>92</v>
      </c>
      <c r="O675" s="19" t="s">
        <v>5974</v>
      </c>
      <c r="P675" s="10"/>
      <c r="Q675" s="10" t="s">
        <v>126</v>
      </c>
      <c r="R675" s="10"/>
      <c r="S675" s="19" t="s">
        <v>5975</v>
      </c>
      <c r="T675" s="19" t="s">
        <v>5893</v>
      </c>
      <c r="U675" s="10" t="s">
        <v>5102</v>
      </c>
      <c r="V675" s="10" t="s">
        <v>5090</v>
      </c>
      <c r="W675" s="10" t="s">
        <v>5007</v>
      </c>
      <c r="X675" s="10" t="s">
        <v>130</v>
      </c>
      <c r="Y675" s="10" t="s">
        <v>130</v>
      </c>
      <c r="Z675" s="10" t="s">
        <v>99</v>
      </c>
      <c r="AA675" s="10" t="s">
        <v>131</v>
      </c>
      <c r="AB675" s="10" t="s">
        <v>5008</v>
      </c>
      <c r="AC675" s="10" t="s">
        <v>5009</v>
      </c>
      <c r="AD675" s="10" t="s">
        <v>5976</v>
      </c>
      <c r="AE675" s="10" t="s">
        <v>5977</v>
      </c>
      <c r="AF675" s="15"/>
      <c r="AG675" s="10"/>
      <c r="AH675" s="10"/>
      <c r="AI675" s="10"/>
      <c r="AJ675" s="10" t="s">
        <v>5978</v>
      </c>
      <c r="AK675" s="10" t="s">
        <v>102</v>
      </c>
      <c r="AL675" s="10" t="s">
        <v>1252</v>
      </c>
      <c r="AM675" s="10"/>
      <c r="AN675" s="10"/>
      <c r="AO675" s="13" t="b">
        <v>0</v>
      </c>
      <c r="AP675" s="10" t="s">
        <v>104</v>
      </c>
      <c r="AQ675" s="10">
        <f ca="1">IFERROR(__xludf.DUMMYFUNCTION("""COMPUTED_VALUE"""),4671775)</f>
        <v>4671775</v>
      </c>
      <c r="AR675" s="17">
        <v>16074</v>
      </c>
      <c r="AS675" s="17">
        <v>11892</v>
      </c>
      <c r="AT675" s="17">
        <v>471863</v>
      </c>
      <c r="AU675" s="17">
        <v>52.9</v>
      </c>
      <c r="AV675" s="17">
        <v>7.6</v>
      </c>
      <c r="AW675" s="10" t="s">
        <v>105</v>
      </c>
      <c r="AX675" s="17">
        <v>4256</v>
      </c>
      <c r="AY675" s="18">
        <v>39.679027917928018</v>
      </c>
      <c r="AZ675" s="10" t="s">
        <v>106</v>
      </c>
      <c r="BA675" s="20" t="b">
        <v>0</v>
      </c>
      <c r="BB675" s="10"/>
      <c r="BC675" s="17">
        <v>16074</v>
      </c>
      <c r="BD675" s="17">
        <v>11892</v>
      </c>
      <c r="BE675" s="17">
        <v>471863</v>
      </c>
      <c r="BF675" s="17">
        <v>7.6</v>
      </c>
      <c r="BG675" s="11">
        <f ca="1">IFERROR(__xludf.DUMMYFUNCTION("""COMPUTED_VALUE"""),45958.125)</f>
        <v>45958.125</v>
      </c>
      <c r="BH675" s="17" t="s">
        <v>105</v>
      </c>
      <c r="BI675" s="17"/>
      <c r="BJ675" s="15"/>
      <c r="BK675" s="15"/>
      <c r="BL675" s="13" t="b">
        <v>0</v>
      </c>
      <c r="BM675" s="10"/>
      <c r="BN675" s="10" t="s">
        <v>197</v>
      </c>
      <c r="BO675" s="11">
        <v>45866.101388888892</v>
      </c>
      <c r="BP675" s="11">
        <v>45951.745821759258</v>
      </c>
      <c r="BQ675" s="15">
        <v>45951.875810185185</v>
      </c>
      <c r="BR675" s="15">
        <v>45956.407962962963</v>
      </c>
      <c r="BS675" s="10" t="s">
        <v>197</v>
      </c>
      <c r="BT675" s="10" t="s">
        <v>99</v>
      </c>
      <c r="BU675" s="10" t="s">
        <v>1253</v>
      </c>
      <c r="BV675" s="10" t="s">
        <v>124</v>
      </c>
      <c r="BW675" s="10"/>
      <c r="BX675" s="10"/>
      <c r="BY675" s="23"/>
      <c r="BZ675" s="23"/>
      <c r="CA675" s="19" t="s">
        <v>5979</v>
      </c>
      <c r="CB675" s="19" t="s">
        <v>5980</v>
      </c>
      <c r="CC675" s="23"/>
      <c r="CD675" s="19" t="s">
        <v>5981</v>
      </c>
      <c r="CE675" s="23"/>
      <c r="CF675" s="23"/>
      <c r="CG675" s="23"/>
      <c r="CH675" s="23"/>
      <c r="CI675" s="23"/>
    </row>
    <row r="676" spans="1:87" x14ac:dyDescent="0.3">
      <c r="A676" s="9" t="s">
        <v>5982</v>
      </c>
      <c r="B676" s="10" t="s">
        <v>5983</v>
      </c>
      <c r="C676" s="11">
        <v>45963.020833333336</v>
      </c>
      <c r="D676" s="12">
        <v>8.3333333333333329E-2</v>
      </c>
      <c r="E676" s="11">
        <v>45963.104166666664</v>
      </c>
      <c r="F676" s="10" t="s">
        <v>5001</v>
      </c>
      <c r="G676" s="13" t="b">
        <v>0</v>
      </c>
      <c r="H676" s="10" t="s">
        <v>3578</v>
      </c>
      <c r="I676" s="10" t="s">
        <v>89</v>
      </c>
      <c r="J676" s="13" t="b">
        <v>0</v>
      </c>
      <c r="K676" s="13" t="b">
        <v>1</v>
      </c>
      <c r="L676" s="10" t="s">
        <v>124</v>
      </c>
      <c r="M676" s="10" t="s">
        <v>91</v>
      </c>
      <c r="N676" s="10" t="s">
        <v>92</v>
      </c>
      <c r="O676" s="19" t="s">
        <v>5984</v>
      </c>
      <c r="P676" s="10"/>
      <c r="Q676" s="10" t="s">
        <v>126</v>
      </c>
      <c r="R676" s="10"/>
      <c r="S676" s="19" t="s">
        <v>5985</v>
      </c>
      <c r="T676" s="19" t="s">
        <v>5986</v>
      </c>
      <c r="U676" s="10" t="s">
        <v>5055</v>
      </c>
      <c r="V676" s="10" t="s">
        <v>5076</v>
      </c>
      <c r="W676" s="10" t="s">
        <v>5007</v>
      </c>
      <c r="X676" s="10" t="s">
        <v>130</v>
      </c>
      <c r="Y676" s="10" t="s">
        <v>130</v>
      </c>
      <c r="Z676" s="10" t="s">
        <v>99</v>
      </c>
      <c r="AA676" s="10" t="s">
        <v>131</v>
      </c>
      <c r="AB676" s="10" t="s">
        <v>5008</v>
      </c>
      <c r="AC676" s="10" t="s">
        <v>5009</v>
      </c>
      <c r="AD676" s="10" t="s">
        <v>5987</v>
      </c>
      <c r="AE676" s="10" t="s">
        <v>5988</v>
      </c>
      <c r="AF676" s="15"/>
      <c r="AG676" s="10"/>
      <c r="AH676" s="10"/>
      <c r="AI676" s="10"/>
      <c r="AJ676" s="10" t="s">
        <v>5989</v>
      </c>
      <c r="AK676" s="10" t="s">
        <v>102</v>
      </c>
      <c r="AL676" s="10" t="s">
        <v>1360</v>
      </c>
      <c r="AM676" s="10"/>
      <c r="AN676" s="10"/>
      <c r="AO676" s="13" t="b">
        <v>0</v>
      </c>
      <c r="AP676" s="10" t="s">
        <v>104</v>
      </c>
      <c r="AQ676" s="10">
        <f ca="1">IFERROR(__xludf.DUMMYFUNCTION("""COMPUTED_VALUE"""),4677361)</f>
        <v>4677361</v>
      </c>
      <c r="AR676" s="17">
        <v>12245</v>
      </c>
      <c r="AS676" s="17">
        <v>9305</v>
      </c>
      <c r="AT676" s="17">
        <v>238808.5</v>
      </c>
      <c r="AU676" s="17">
        <v>30.1</v>
      </c>
      <c r="AV676" s="17">
        <v>7.9</v>
      </c>
      <c r="AW676" s="10" t="s">
        <v>105</v>
      </c>
      <c r="AX676" s="17">
        <v>3381</v>
      </c>
      <c r="AY676" s="18">
        <v>25.664535196131112</v>
      </c>
      <c r="AZ676" s="10" t="s">
        <v>106</v>
      </c>
      <c r="BA676" s="20" t="b">
        <v>0</v>
      </c>
      <c r="BB676" s="10"/>
      <c r="BC676" s="17">
        <v>12245</v>
      </c>
      <c r="BD676" s="17">
        <v>9305</v>
      </c>
      <c r="BE676" s="17">
        <v>238808.5</v>
      </c>
      <c r="BF676" s="17">
        <v>7.9</v>
      </c>
      <c r="BG676" s="11">
        <f ca="1">IFERROR(__xludf.DUMMYFUNCTION("""COMPUTED_VALUE"""),45963.0208333333)</f>
        <v>45963.020833333299</v>
      </c>
      <c r="BH676" s="17" t="s">
        <v>105</v>
      </c>
      <c r="BI676" s="17"/>
      <c r="BJ676" s="15"/>
      <c r="BK676" s="15"/>
      <c r="BL676" s="13" t="b">
        <v>0</v>
      </c>
      <c r="BM676" s="10"/>
      <c r="BN676" s="10" t="s">
        <v>106</v>
      </c>
      <c r="BO676" s="11">
        <v>45866.101388888892</v>
      </c>
      <c r="BP676" s="11">
        <v>45958.707951388889</v>
      </c>
      <c r="BQ676" s="15">
        <v>45959.617037037038</v>
      </c>
      <c r="BR676" s="15">
        <v>45959.765659722223</v>
      </c>
      <c r="BS676" s="10"/>
      <c r="BT676" s="10"/>
      <c r="BU676" s="10"/>
      <c r="BV676" s="10"/>
      <c r="BW676" s="10"/>
      <c r="BX676" s="10"/>
      <c r="BY676" s="23"/>
      <c r="BZ676" s="23"/>
      <c r="CA676" s="19" t="s">
        <v>5990</v>
      </c>
      <c r="CB676" s="19" t="s">
        <v>5991</v>
      </c>
      <c r="CC676" s="23"/>
      <c r="CD676" s="19" t="s">
        <v>5992</v>
      </c>
      <c r="CE676" s="23"/>
      <c r="CF676" s="23"/>
      <c r="CG676" s="23"/>
      <c r="CH676" s="23"/>
      <c r="CI676" s="23"/>
    </row>
    <row r="677" spans="1:87" x14ac:dyDescent="0.3">
      <c r="A677" s="9" t="s">
        <v>5993</v>
      </c>
      <c r="B677" s="10" t="s">
        <v>5994</v>
      </c>
      <c r="C677" s="11">
        <v>45964.020833333336</v>
      </c>
      <c r="D677" s="12">
        <v>8.3333333333333329E-2</v>
      </c>
      <c r="E677" s="11">
        <v>45964.104166666664</v>
      </c>
      <c r="F677" s="10" t="s">
        <v>5001</v>
      </c>
      <c r="G677" s="13" t="b">
        <v>0</v>
      </c>
      <c r="H677" s="10" t="s">
        <v>3578</v>
      </c>
      <c r="I677" s="10" t="s">
        <v>89</v>
      </c>
      <c r="J677" s="13" t="b">
        <v>0</v>
      </c>
      <c r="K677" s="13" t="b">
        <v>1</v>
      </c>
      <c r="L677" s="10" t="s">
        <v>124</v>
      </c>
      <c r="M677" s="10" t="s">
        <v>91</v>
      </c>
      <c r="N677" s="10" t="s">
        <v>92</v>
      </c>
      <c r="O677" s="19" t="s">
        <v>5995</v>
      </c>
      <c r="P677" s="10"/>
      <c r="Q677" s="10" t="s">
        <v>126</v>
      </c>
      <c r="R677" s="10"/>
      <c r="S677" s="19" t="s">
        <v>5996</v>
      </c>
      <c r="T677" s="19" t="s">
        <v>5986</v>
      </c>
      <c r="U677" s="10" t="s">
        <v>5042</v>
      </c>
      <c r="V677" s="10" t="s">
        <v>5101</v>
      </c>
      <c r="W677" s="10" t="s">
        <v>5007</v>
      </c>
      <c r="X677" s="10" t="s">
        <v>130</v>
      </c>
      <c r="Y677" s="10" t="s">
        <v>130</v>
      </c>
      <c r="Z677" s="10" t="s">
        <v>99</v>
      </c>
      <c r="AA677" s="10" t="s">
        <v>131</v>
      </c>
      <c r="AB677" s="10" t="s">
        <v>5008</v>
      </c>
      <c r="AC677" s="10" t="s">
        <v>5009</v>
      </c>
      <c r="AD677" s="10" t="s">
        <v>5997</v>
      </c>
      <c r="AE677" s="10" t="s">
        <v>5998</v>
      </c>
      <c r="AF677" s="15"/>
      <c r="AG677" s="10"/>
      <c r="AH677" s="10"/>
      <c r="AI677" s="10"/>
      <c r="AJ677" s="10" t="s">
        <v>5999</v>
      </c>
      <c r="AK677" s="10" t="s">
        <v>102</v>
      </c>
      <c r="AL677" s="10" t="s">
        <v>1360</v>
      </c>
      <c r="AM677" s="10"/>
      <c r="AN677" s="10"/>
      <c r="AO677" s="13" t="b">
        <v>1</v>
      </c>
      <c r="AP677" s="10" t="s">
        <v>104</v>
      </c>
      <c r="AQ677" s="10">
        <f ca="1">IFERROR(__xludf.DUMMYFUNCTION("""COMPUTED_VALUE"""),4678458)</f>
        <v>4678458</v>
      </c>
      <c r="AR677" s="17">
        <v>89112</v>
      </c>
      <c r="AS677" s="17">
        <v>57454</v>
      </c>
      <c r="AT677" s="17">
        <v>3371427</v>
      </c>
      <c r="AU677" s="17">
        <v>719.15</v>
      </c>
      <c r="AV677" s="17">
        <v>155.25</v>
      </c>
      <c r="AW677" s="10" t="s">
        <v>105</v>
      </c>
      <c r="AX677" s="17">
        <v>27709</v>
      </c>
      <c r="AY677" s="18">
        <v>58.680457409405783</v>
      </c>
      <c r="AZ677" s="10" t="s">
        <v>106</v>
      </c>
      <c r="BA677" s="20" t="b">
        <v>0</v>
      </c>
      <c r="BB677" s="10"/>
      <c r="BC677" s="17">
        <v>89112</v>
      </c>
      <c r="BD677" s="17">
        <v>57454</v>
      </c>
      <c r="BE677" s="17">
        <v>3371427</v>
      </c>
      <c r="BF677" s="17">
        <v>155.25</v>
      </c>
      <c r="BG677" s="11">
        <f ca="1">IFERROR(__xludf.DUMMYFUNCTION("""COMPUTED_VALUE"""),45964.0208333333)</f>
        <v>45964.020833333299</v>
      </c>
      <c r="BH677" s="17" t="s">
        <v>105</v>
      </c>
      <c r="BI677" s="17"/>
      <c r="BJ677" s="15"/>
      <c r="BK677" s="15"/>
      <c r="BL677" s="13" t="b">
        <v>0</v>
      </c>
      <c r="BM677" s="10"/>
      <c r="BN677" s="10" t="s">
        <v>197</v>
      </c>
      <c r="BO677" s="11">
        <v>45866.101388888892</v>
      </c>
      <c r="BP677" s="11">
        <v>45958.713368055556</v>
      </c>
      <c r="BQ677" s="15">
        <v>45959.617789351854</v>
      </c>
      <c r="BR677" s="15">
        <v>45960.702974537038</v>
      </c>
      <c r="BS677" s="10" t="s">
        <v>197</v>
      </c>
      <c r="BT677" s="10" t="s">
        <v>99</v>
      </c>
      <c r="BU677" s="10" t="s">
        <v>3394</v>
      </c>
      <c r="BV677" s="10" t="s">
        <v>124</v>
      </c>
      <c r="BW677" s="10"/>
      <c r="BX677" s="10"/>
      <c r="BY677" s="23"/>
      <c r="BZ677" s="23"/>
      <c r="CA677" s="19" t="s">
        <v>6000</v>
      </c>
      <c r="CB677" s="19" t="s">
        <v>6001</v>
      </c>
      <c r="CC677" s="23"/>
      <c r="CD677" s="19" t="s">
        <v>6002</v>
      </c>
      <c r="CE677" s="23"/>
      <c r="CF677" s="23"/>
      <c r="CG677" s="23"/>
      <c r="CH677" s="23"/>
      <c r="CI677" s="23"/>
    </row>
    <row r="678" spans="1:87" x14ac:dyDescent="0.3">
      <c r="A678" s="9" t="s">
        <v>6003</v>
      </c>
      <c r="B678" s="10" t="s">
        <v>6004</v>
      </c>
      <c r="C678" s="11">
        <v>45963.927083333336</v>
      </c>
      <c r="D678" s="12">
        <v>8.3333333333333329E-2</v>
      </c>
      <c r="E678" s="11">
        <v>45964.010416666664</v>
      </c>
      <c r="F678" s="10" t="s">
        <v>5001</v>
      </c>
      <c r="G678" s="13" t="b">
        <v>0</v>
      </c>
      <c r="H678" s="10" t="s">
        <v>3578</v>
      </c>
      <c r="I678" s="10" t="s">
        <v>89</v>
      </c>
      <c r="J678" s="13" t="b">
        <v>0</v>
      </c>
      <c r="K678" s="13" t="b">
        <v>1</v>
      </c>
      <c r="L678" s="10" t="s">
        <v>124</v>
      </c>
      <c r="M678" s="10" t="s">
        <v>91</v>
      </c>
      <c r="N678" s="10" t="s">
        <v>92</v>
      </c>
      <c r="O678" s="19" t="s">
        <v>6005</v>
      </c>
      <c r="P678" s="10"/>
      <c r="Q678" s="10" t="s">
        <v>94</v>
      </c>
      <c r="R678" s="10"/>
      <c r="S678" s="19" t="s">
        <v>6006</v>
      </c>
      <c r="T678" s="19" t="s">
        <v>5986</v>
      </c>
      <c r="U678" s="10" t="s">
        <v>5031</v>
      </c>
      <c r="V678" s="10" t="s">
        <v>5089</v>
      </c>
      <c r="W678" s="10" t="s">
        <v>5007</v>
      </c>
      <c r="X678" s="10" t="s">
        <v>130</v>
      </c>
      <c r="Y678" s="10" t="s">
        <v>130</v>
      </c>
      <c r="Z678" s="10" t="s">
        <v>99</v>
      </c>
      <c r="AA678" s="10" t="s">
        <v>131</v>
      </c>
      <c r="AB678" s="10" t="s">
        <v>5008</v>
      </c>
      <c r="AC678" s="10" t="s">
        <v>5009</v>
      </c>
      <c r="AD678" s="10" t="s">
        <v>6007</v>
      </c>
      <c r="AE678" s="10" t="s">
        <v>6008</v>
      </c>
      <c r="AF678" s="15"/>
      <c r="AG678" s="10"/>
      <c r="AH678" s="10"/>
      <c r="AI678" s="10"/>
      <c r="AJ678" s="10"/>
      <c r="AK678" s="10" t="s">
        <v>102</v>
      </c>
      <c r="AL678" s="10" t="s">
        <v>1360</v>
      </c>
      <c r="AM678" s="10"/>
      <c r="AN678" s="10"/>
      <c r="AO678" s="13" t="b">
        <v>0</v>
      </c>
      <c r="AP678" s="10" t="s">
        <v>104</v>
      </c>
      <c r="AQ678" s="10">
        <f ca="1">IFERROR(__xludf.DUMMYFUNCTION("""COMPUTED_VALUE"""),4677364)</f>
        <v>4677364</v>
      </c>
      <c r="AR678" s="17">
        <v>16941</v>
      </c>
      <c r="AS678" s="17">
        <v>13568</v>
      </c>
      <c r="AT678" s="17">
        <v>242150.75</v>
      </c>
      <c r="AU678" s="17">
        <v>82.25</v>
      </c>
      <c r="AV678" s="17">
        <v>16.3</v>
      </c>
      <c r="AW678" s="10" t="s">
        <v>105</v>
      </c>
      <c r="AX678" s="17">
        <v>3446</v>
      </c>
      <c r="AY678" s="18">
        <v>17.84719560731132</v>
      </c>
      <c r="AZ678" s="10" t="s">
        <v>106</v>
      </c>
      <c r="BA678" s="20" t="b">
        <v>0</v>
      </c>
      <c r="BB678" s="10"/>
      <c r="BC678" s="17">
        <v>16941</v>
      </c>
      <c r="BD678" s="17">
        <v>13568</v>
      </c>
      <c r="BE678" s="17">
        <v>242150.75</v>
      </c>
      <c r="BF678" s="17">
        <v>16.3</v>
      </c>
      <c r="BG678" s="11">
        <f ca="1">IFERROR(__xludf.DUMMYFUNCTION("""COMPUTED_VALUE"""),45963.9270833333)</f>
        <v>45963.927083333299</v>
      </c>
      <c r="BH678" s="17" t="s">
        <v>105</v>
      </c>
      <c r="BI678" s="17"/>
      <c r="BJ678" s="15"/>
      <c r="BK678" s="15"/>
      <c r="BL678" s="13" t="b">
        <v>0</v>
      </c>
      <c r="BM678" s="10"/>
      <c r="BN678" s="10" t="s">
        <v>106</v>
      </c>
      <c r="BO678" s="11">
        <v>45866.101388888892</v>
      </c>
      <c r="BP678" s="11">
        <v>45956.834803240738</v>
      </c>
      <c r="BQ678" s="15">
        <v>45959.61755787037</v>
      </c>
      <c r="BR678" s="15">
        <v>45959.765231481484</v>
      </c>
      <c r="BS678" s="10"/>
      <c r="BT678" s="10"/>
      <c r="BU678" s="10"/>
      <c r="BV678" s="10"/>
      <c r="BW678" s="10"/>
      <c r="BX678" s="10"/>
      <c r="BY678" s="23"/>
      <c r="BZ678" s="23"/>
      <c r="CA678" s="19" t="s">
        <v>6009</v>
      </c>
      <c r="CB678" s="19" t="s">
        <v>6010</v>
      </c>
      <c r="CC678" s="23"/>
      <c r="CD678" s="23"/>
      <c r="CE678" s="23"/>
      <c r="CF678" s="23"/>
      <c r="CG678" s="23"/>
      <c r="CH678" s="23"/>
      <c r="CI678" s="23"/>
    </row>
    <row r="679" spans="1:87" x14ac:dyDescent="0.3">
      <c r="A679" s="9" t="s">
        <v>6011</v>
      </c>
      <c r="B679" s="10" t="s">
        <v>6012</v>
      </c>
      <c r="C679" s="11">
        <v>45962.927083333336</v>
      </c>
      <c r="D679" s="12">
        <v>8.3333333333333329E-2</v>
      </c>
      <c r="E679" s="11">
        <v>45963.010416666664</v>
      </c>
      <c r="F679" s="10" t="s">
        <v>5001</v>
      </c>
      <c r="G679" s="13" t="b">
        <v>0</v>
      </c>
      <c r="H679" s="10" t="s">
        <v>3578</v>
      </c>
      <c r="I679" s="10" t="s">
        <v>89</v>
      </c>
      <c r="J679" s="13" t="b">
        <v>0</v>
      </c>
      <c r="K679" s="13" t="b">
        <v>1</v>
      </c>
      <c r="L679" s="10" t="s">
        <v>124</v>
      </c>
      <c r="M679" s="10" t="s">
        <v>91</v>
      </c>
      <c r="N679" s="10" t="s">
        <v>92</v>
      </c>
      <c r="O679" s="19" t="s">
        <v>6013</v>
      </c>
      <c r="P679" s="10"/>
      <c r="Q679" s="10" t="s">
        <v>126</v>
      </c>
      <c r="R679" s="10"/>
      <c r="S679" s="19" t="s">
        <v>6014</v>
      </c>
      <c r="T679" s="19" t="s">
        <v>5986</v>
      </c>
      <c r="U679" s="10" t="s">
        <v>5090</v>
      </c>
      <c r="V679" s="10" t="s">
        <v>5077</v>
      </c>
      <c r="W679" s="10" t="s">
        <v>5007</v>
      </c>
      <c r="X679" s="10" t="s">
        <v>130</v>
      </c>
      <c r="Y679" s="10" t="s">
        <v>130</v>
      </c>
      <c r="Z679" s="10" t="s">
        <v>99</v>
      </c>
      <c r="AA679" s="10" t="s">
        <v>131</v>
      </c>
      <c r="AB679" s="10" t="s">
        <v>5008</v>
      </c>
      <c r="AC679" s="10" t="s">
        <v>5009</v>
      </c>
      <c r="AD679" s="10" t="s">
        <v>6015</v>
      </c>
      <c r="AE679" s="10" t="s">
        <v>6016</v>
      </c>
      <c r="AF679" s="15"/>
      <c r="AG679" s="10"/>
      <c r="AH679" s="10"/>
      <c r="AI679" s="10"/>
      <c r="AJ679" s="10" t="s">
        <v>6017</v>
      </c>
      <c r="AK679" s="10" t="s">
        <v>102</v>
      </c>
      <c r="AL679" s="10" t="s">
        <v>1360</v>
      </c>
      <c r="AM679" s="10"/>
      <c r="AN679" s="10"/>
      <c r="AO679" s="13" t="b">
        <v>0</v>
      </c>
      <c r="AP679" s="10" t="s">
        <v>104</v>
      </c>
      <c r="AQ679" s="10">
        <f ca="1">IFERROR(__xludf.DUMMYFUNCTION("""COMPUTED_VALUE"""),4677360)</f>
        <v>4677360</v>
      </c>
      <c r="AR679" s="17">
        <v>43553</v>
      </c>
      <c r="AS679" s="17">
        <v>33873</v>
      </c>
      <c r="AT679" s="17">
        <v>503750.5</v>
      </c>
      <c r="AU679" s="17">
        <v>188.45</v>
      </c>
      <c r="AV679" s="17">
        <v>51.25</v>
      </c>
      <c r="AW679" s="10" t="s">
        <v>105</v>
      </c>
      <c r="AX679" s="17">
        <v>10196</v>
      </c>
      <c r="AY679" s="18">
        <v>14.871741505033507</v>
      </c>
      <c r="AZ679" s="10" t="s">
        <v>106</v>
      </c>
      <c r="BA679" s="20" t="b">
        <v>0</v>
      </c>
      <c r="BB679" s="10"/>
      <c r="BC679" s="17">
        <v>43553</v>
      </c>
      <c r="BD679" s="17">
        <v>33873</v>
      </c>
      <c r="BE679" s="17">
        <v>503750.5</v>
      </c>
      <c r="BF679" s="17">
        <v>51.25</v>
      </c>
      <c r="BG679" s="11">
        <f ca="1">IFERROR(__xludf.DUMMYFUNCTION("""COMPUTED_VALUE"""),45962.9270833333)</f>
        <v>45962.927083333299</v>
      </c>
      <c r="BH679" s="17" t="s">
        <v>105</v>
      </c>
      <c r="BI679" s="17"/>
      <c r="BJ679" s="15"/>
      <c r="BK679" s="15"/>
      <c r="BL679" s="13" t="b">
        <v>0</v>
      </c>
      <c r="BM679" s="10"/>
      <c r="BN679" s="10" t="s">
        <v>106</v>
      </c>
      <c r="BO679" s="11">
        <v>45866.101388888892</v>
      </c>
      <c r="BP679" s="11">
        <v>45958.705127314817</v>
      </c>
      <c r="BQ679" s="15">
        <v>45959.61681712963</v>
      </c>
      <c r="BR679" s="15">
        <v>45959.765787037039</v>
      </c>
      <c r="BS679" s="10"/>
      <c r="BT679" s="10"/>
      <c r="BU679" s="10"/>
      <c r="BV679" s="10"/>
      <c r="BW679" s="10"/>
      <c r="BX679" s="10"/>
      <c r="BY679" s="23"/>
      <c r="BZ679" s="23"/>
      <c r="CA679" s="19" t="s">
        <v>6018</v>
      </c>
      <c r="CB679" s="19" t="s">
        <v>6019</v>
      </c>
      <c r="CC679" s="23"/>
      <c r="CD679" s="19" t="s">
        <v>6020</v>
      </c>
      <c r="CE679" s="23"/>
      <c r="CF679" s="23"/>
      <c r="CG679" s="23"/>
      <c r="CH679" s="23"/>
      <c r="CI679" s="23"/>
    </row>
    <row r="680" spans="1:87" x14ac:dyDescent="0.3">
      <c r="A680" s="9" t="s">
        <v>6021</v>
      </c>
      <c r="B680" s="10" t="s">
        <v>6022</v>
      </c>
      <c r="C680" s="11">
        <v>45964.125</v>
      </c>
      <c r="D680" s="12">
        <v>8.3333333333333329E-2</v>
      </c>
      <c r="E680" s="11">
        <v>45964.208333333336</v>
      </c>
      <c r="F680" s="10" t="s">
        <v>5001</v>
      </c>
      <c r="G680" s="13" t="b">
        <v>0</v>
      </c>
      <c r="H680" s="10" t="s">
        <v>3578</v>
      </c>
      <c r="I680" s="10" t="s">
        <v>89</v>
      </c>
      <c r="J680" s="13" t="b">
        <v>0</v>
      </c>
      <c r="K680" s="13" t="b">
        <v>1</v>
      </c>
      <c r="L680" s="10" t="s">
        <v>124</v>
      </c>
      <c r="M680" s="10" t="s">
        <v>91</v>
      </c>
      <c r="N680" s="10" t="s">
        <v>92</v>
      </c>
      <c r="O680" s="19" t="s">
        <v>6023</v>
      </c>
      <c r="P680" s="10"/>
      <c r="Q680" s="10" t="s">
        <v>126</v>
      </c>
      <c r="R680" s="10"/>
      <c r="S680" s="19" t="s">
        <v>6024</v>
      </c>
      <c r="T680" s="19" t="s">
        <v>5986</v>
      </c>
      <c r="U680" s="10" t="s">
        <v>5102</v>
      </c>
      <c r="V680" s="10" t="s">
        <v>5041</v>
      </c>
      <c r="W680" s="10" t="s">
        <v>5007</v>
      </c>
      <c r="X680" s="10" t="s">
        <v>130</v>
      </c>
      <c r="Y680" s="10" t="s">
        <v>130</v>
      </c>
      <c r="Z680" s="10" t="s">
        <v>99</v>
      </c>
      <c r="AA680" s="10" t="s">
        <v>131</v>
      </c>
      <c r="AB680" s="10" t="s">
        <v>5008</v>
      </c>
      <c r="AC680" s="10" t="s">
        <v>5009</v>
      </c>
      <c r="AD680" s="10" t="s">
        <v>6025</v>
      </c>
      <c r="AE680" s="10" t="s">
        <v>6026</v>
      </c>
      <c r="AF680" s="15"/>
      <c r="AG680" s="10"/>
      <c r="AH680" s="10"/>
      <c r="AI680" s="10"/>
      <c r="AJ680" s="10" t="s">
        <v>6027</v>
      </c>
      <c r="AK680" s="10" t="s">
        <v>102</v>
      </c>
      <c r="AL680" s="10" t="s">
        <v>1360</v>
      </c>
      <c r="AM680" s="10"/>
      <c r="AN680" s="10"/>
      <c r="AO680" s="13" t="b">
        <v>0</v>
      </c>
      <c r="AP680" s="10" t="s">
        <v>104</v>
      </c>
      <c r="AQ680" s="10">
        <f ca="1">IFERROR(__xludf.DUMMYFUNCTION("""COMPUTED_VALUE"""),4678459)</f>
        <v>4678459</v>
      </c>
      <c r="AR680" s="17">
        <v>6271</v>
      </c>
      <c r="AS680" s="17">
        <v>5051</v>
      </c>
      <c r="AT680" s="17">
        <v>101740</v>
      </c>
      <c r="AU680" s="17">
        <v>10.65</v>
      </c>
      <c r="AV680" s="17">
        <v>2</v>
      </c>
      <c r="AW680" s="10" t="s">
        <v>105</v>
      </c>
      <c r="AX680" s="17">
        <v>7503</v>
      </c>
      <c r="AY680" s="18">
        <v>20.142546030489012</v>
      </c>
      <c r="AZ680" s="10" t="s">
        <v>106</v>
      </c>
      <c r="BA680" s="20" t="b">
        <v>0</v>
      </c>
      <c r="BB680" s="10"/>
      <c r="BC680" s="17">
        <v>6271</v>
      </c>
      <c r="BD680" s="17">
        <v>5051</v>
      </c>
      <c r="BE680" s="17">
        <v>101740</v>
      </c>
      <c r="BF680" s="17">
        <v>2</v>
      </c>
      <c r="BG680" s="11">
        <f ca="1">IFERROR(__xludf.DUMMYFUNCTION("""COMPUTED_VALUE"""),45964.125)</f>
        <v>45964.125</v>
      </c>
      <c r="BH680" s="17" t="s">
        <v>105</v>
      </c>
      <c r="BI680" s="17"/>
      <c r="BJ680" s="15"/>
      <c r="BK680" s="15"/>
      <c r="BL680" s="13" t="b">
        <v>0</v>
      </c>
      <c r="BM680" s="10"/>
      <c r="BN680" s="10" t="s">
        <v>157</v>
      </c>
      <c r="BO680" s="11">
        <v>45866.101388888892</v>
      </c>
      <c r="BP680" s="11">
        <v>45958.715833333335</v>
      </c>
      <c r="BQ680" s="15">
        <v>45959.617986111109</v>
      </c>
      <c r="BR680" s="15">
        <v>45960.704722222225</v>
      </c>
      <c r="BS680" s="10" t="s">
        <v>157</v>
      </c>
      <c r="BT680" s="10"/>
      <c r="BU680" s="10"/>
      <c r="BV680" s="10"/>
      <c r="BW680" s="10"/>
      <c r="BX680" s="10"/>
      <c r="BY680" s="23"/>
      <c r="BZ680" s="23"/>
      <c r="CA680" s="19" t="s">
        <v>6028</v>
      </c>
      <c r="CB680" s="19" t="s">
        <v>6029</v>
      </c>
      <c r="CC680" s="23"/>
      <c r="CD680" s="19" t="s">
        <v>6030</v>
      </c>
      <c r="CE680" s="23"/>
      <c r="CF680" s="23"/>
      <c r="CG680" s="23"/>
      <c r="CH680" s="23"/>
      <c r="CI680" s="23"/>
    </row>
    <row r="681" spans="1:87" x14ac:dyDescent="0.3">
      <c r="A681" s="9" t="s">
        <v>6031</v>
      </c>
      <c r="B681" s="10" t="s">
        <v>6032</v>
      </c>
      <c r="C681" s="11">
        <v>45965.125</v>
      </c>
      <c r="D681" s="12">
        <v>8.3333333333333329E-2</v>
      </c>
      <c r="E681" s="11">
        <v>45965.208333333336</v>
      </c>
      <c r="F681" s="10" t="s">
        <v>5001</v>
      </c>
      <c r="G681" s="13" t="b">
        <v>0</v>
      </c>
      <c r="H681" s="10" t="s">
        <v>3578</v>
      </c>
      <c r="I681" s="10" t="s">
        <v>89</v>
      </c>
      <c r="J681" s="13" t="b">
        <v>0</v>
      </c>
      <c r="K681" s="13" t="b">
        <v>1</v>
      </c>
      <c r="L681" s="10" t="s">
        <v>124</v>
      </c>
      <c r="M681" s="10" t="s">
        <v>91</v>
      </c>
      <c r="N681" s="10" t="s">
        <v>92</v>
      </c>
      <c r="O681" s="19" t="s">
        <v>6033</v>
      </c>
      <c r="P681" s="10"/>
      <c r="Q681" s="10" t="s">
        <v>94</v>
      </c>
      <c r="R681" s="10"/>
      <c r="S681" s="19" t="s">
        <v>6034</v>
      </c>
      <c r="T681" s="19" t="s">
        <v>5986</v>
      </c>
      <c r="U681" s="10" t="s">
        <v>5019</v>
      </c>
      <c r="V681" s="10" t="s">
        <v>5114</v>
      </c>
      <c r="W681" s="10" t="s">
        <v>5007</v>
      </c>
      <c r="X681" s="10" t="s">
        <v>130</v>
      </c>
      <c r="Y681" s="10" t="s">
        <v>130</v>
      </c>
      <c r="Z681" s="10" t="s">
        <v>99</v>
      </c>
      <c r="AA681" s="10" t="s">
        <v>131</v>
      </c>
      <c r="AB681" s="10" t="s">
        <v>5008</v>
      </c>
      <c r="AC681" s="10" t="s">
        <v>5009</v>
      </c>
      <c r="AD681" s="10" t="s">
        <v>6035</v>
      </c>
      <c r="AE681" s="10" t="s">
        <v>6036</v>
      </c>
      <c r="AF681" s="15"/>
      <c r="AG681" s="10"/>
      <c r="AH681" s="10"/>
      <c r="AI681" s="10"/>
      <c r="AJ681" s="10"/>
      <c r="AK681" s="10" t="s">
        <v>102</v>
      </c>
      <c r="AL681" s="10" t="s">
        <v>1360</v>
      </c>
      <c r="AM681" s="10"/>
      <c r="AN681" s="10"/>
      <c r="AO681" s="13" t="b">
        <v>0</v>
      </c>
      <c r="AP681" s="10" t="s">
        <v>104</v>
      </c>
      <c r="AQ681" s="10">
        <f ca="1">IFERROR(__xludf.DUMMYFUNCTION("""COMPUTED_VALUE"""),4679199)</f>
        <v>4679199</v>
      </c>
      <c r="AR681" s="17">
        <v>2785</v>
      </c>
      <c r="AS681" s="17">
        <v>2092</v>
      </c>
      <c r="AT681" s="17">
        <v>32424.25</v>
      </c>
      <c r="AU681" s="17">
        <v>5.25</v>
      </c>
      <c r="AV681" s="17">
        <v>1.85</v>
      </c>
      <c r="AW681" s="10" t="s">
        <v>105</v>
      </c>
      <c r="AX681" s="17">
        <v>727</v>
      </c>
      <c r="AY681" s="18">
        <v>15.499163479923519</v>
      </c>
      <c r="AZ681" s="10" t="s">
        <v>106</v>
      </c>
      <c r="BA681" s="20" t="b">
        <v>0</v>
      </c>
      <c r="BB681" s="10"/>
      <c r="BC681" s="17">
        <v>2785</v>
      </c>
      <c r="BD681" s="17">
        <v>2092</v>
      </c>
      <c r="BE681" s="17">
        <v>32424.25</v>
      </c>
      <c r="BF681" s="17">
        <v>1.85</v>
      </c>
      <c r="BG681" s="11">
        <f ca="1">IFERROR(__xludf.DUMMYFUNCTION("""COMPUTED_VALUE"""),45965.125)</f>
        <v>45965.125</v>
      </c>
      <c r="BH681" s="17" t="s">
        <v>105</v>
      </c>
      <c r="BI681" s="17"/>
      <c r="BJ681" s="15"/>
      <c r="BK681" s="15"/>
      <c r="BL681" s="13" t="b">
        <v>0</v>
      </c>
      <c r="BM681" s="10"/>
      <c r="BN681" s="10" t="s">
        <v>455</v>
      </c>
      <c r="BO681" s="11">
        <v>45866.101388888892</v>
      </c>
      <c r="BP681" s="11">
        <v>45956.835231481484</v>
      </c>
      <c r="BQ681" s="15">
        <v>45959.618263888886</v>
      </c>
      <c r="BR681" s="15">
        <v>45961.406331018516</v>
      </c>
      <c r="BS681" s="10" t="s">
        <v>455</v>
      </c>
      <c r="BT681" s="10"/>
      <c r="BU681" s="10"/>
      <c r="BV681" s="10"/>
      <c r="BW681" s="10"/>
      <c r="BX681" s="10"/>
      <c r="BY681" s="23"/>
      <c r="BZ681" s="23"/>
      <c r="CA681" s="19" t="s">
        <v>6037</v>
      </c>
      <c r="CB681" s="19" t="s">
        <v>6038</v>
      </c>
      <c r="CC681" s="23"/>
      <c r="CD681" s="23"/>
      <c r="CE681" s="23"/>
      <c r="CF681" s="23"/>
      <c r="CG681" s="23"/>
      <c r="CH681" s="23"/>
      <c r="CI681" s="23"/>
    </row>
    <row r="682" spans="1:87" x14ac:dyDescent="0.3">
      <c r="A682" s="9" t="s">
        <v>6039</v>
      </c>
      <c r="B682" s="10" t="s">
        <v>6040</v>
      </c>
      <c r="C682" s="11">
        <v>45963.833333333336</v>
      </c>
      <c r="D682" s="12">
        <v>8.3333333333333329E-2</v>
      </c>
      <c r="E682" s="11">
        <v>45963.916666666664</v>
      </c>
      <c r="F682" s="10" t="s">
        <v>5001</v>
      </c>
      <c r="G682" s="13" t="b">
        <v>0</v>
      </c>
      <c r="H682" s="10" t="s">
        <v>3578</v>
      </c>
      <c r="I682" s="10" t="s">
        <v>89</v>
      </c>
      <c r="J682" s="13" t="b">
        <v>0</v>
      </c>
      <c r="K682" s="13" t="b">
        <v>1</v>
      </c>
      <c r="L682" s="10" t="s">
        <v>124</v>
      </c>
      <c r="M682" s="10" t="s">
        <v>91</v>
      </c>
      <c r="N682" s="10" t="s">
        <v>92</v>
      </c>
      <c r="O682" s="19" t="s">
        <v>6041</v>
      </c>
      <c r="P682" s="10"/>
      <c r="Q682" s="10" t="s">
        <v>94</v>
      </c>
      <c r="R682" s="10"/>
      <c r="S682" s="19" t="s">
        <v>6042</v>
      </c>
      <c r="T682" s="19" t="s">
        <v>5986</v>
      </c>
      <c r="U682" s="10" t="s">
        <v>5032</v>
      </c>
      <c r="V682" s="10" t="s">
        <v>5066</v>
      </c>
      <c r="W682" s="10" t="s">
        <v>5007</v>
      </c>
      <c r="X682" s="10" t="s">
        <v>130</v>
      </c>
      <c r="Y682" s="10" t="s">
        <v>130</v>
      </c>
      <c r="Z682" s="10" t="s">
        <v>99</v>
      </c>
      <c r="AA682" s="10" t="s">
        <v>131</v>
      </c>
      <c r="AB682" s="10" t="s">
        <v>5008</v>
      </c>
      <c r="AC682" s="10" t="s">
        <v>5009</v>
      </c>
      <c r="AD682" s="10" t="s">
        <v>6043</v>
      </c>
      <c r="AE682" s="10" t="s">
        <v>6044</v>
      </c>
      <c r="AF682" s="15"/>
      <c r="AG682" s="10"/>
      <c r="AH682" s="10"/>
      <c r="AI682" s="10"/>
      <c r="AJ682" s="10"/>
      <c r="AK682" s="10" t="s">
        <v>102</v>
      </c>
      <c r="AL682" s="10" t="s">
        <v>1360</v>
      </c>
      <c r="AM682" s="10"/>
      <c r="AN682" s="10"/>
      <c r="AO682" s="13" t="b">
        <v>0</v>
      </c>
      <c r="AP682" s="10" t="s">
        <v>104</v>
      </c>
      <c r="AQ682" s="10">
        <f ca="1">IFERROR(__xludf.DUMMYFUNCTION("""COMPUTED_VALUE"""),4677363)</f>
        <v>4677363</v>
      </c>
      <c r="AR682" s="17">
        <v>14107</v>
      </c>
      <c r="AS682" s="17">
        <v>10634</v>
      </c>
      <c r="AT682" s="17">
        <v>208032.75</v>
      </c>
      <c r="AU682" s="17">
        <v>56.35</v>
      </c>
      <c r="AV682" s="17">
        <v>21.25</v>
      </c>
      <c r="AW682" s="10" t="s">
        <v>105</v>
      </c>
      <c r="AX682" s="17">
        <v>3055</v>
      </c>
      <c r="AY682" s="18">
        <v>19.562981944705662</v>
      </c>
      <c r="AZ682" s="10" t="s">
        <v>106</v>
      </c>
      <c r="BA682" s="20" t="b">
        <v>0</v>
      </c>
      <c r="BB682" s="10"/>
      <c r="BC682" s="17">
        <v>14107</v>
      </c>
      <c r="BD682" s="17">
        <v>10634</v>
      </c>
      <c r="BE682" s="17">
        <v>208032.75</v>
      </c>
      <c r="BF682" s="17">
        <v>21.25</v>
      </c>
      <c r="BG682" s="11">
        <f ca="1">IFERROR(__xludf.DUMMYFUNCTION("""COMPUTED_VALUE"""),45963.8333333333)</f>
        <v>45963.833333333299</v>
      </c>
      <c r="BH682" s="17" t="s">
        <v>105</v>
      </c>
      <c r="BI682" s="17"/>
      <c r="BJ682" s="15"/>
      <c r="BK682" s="15"/>
      <c r="BL682" s="13" t="b">
        <v>0</v>
      </c>
      <c r="BM682" s="10"/>
      <c r="BN682" s="10" t="s">
        <v>106</v>
      </c>
      <c r="BO682" s="11">
        <v>45866.101388888892</v>
      </c>
      <c r="BP682" s="11">
        <v>45956.834756944445</v>
      </c>
      <c r="BQ682" s="15">
        <v>45959.617349537039</v>
      </c>
      <c r="BR682" s="15">
        <v>45959.765335648146</v>
      </c>
      <c r="BS682" s="10"/>
      <c r="BT682" s="10"/>
      <c r="BU682" s="10"/>
      <c r="BV682" s="10"/>
      <c r="BW682" s="10"/>
      <c r="BX682" s="10"/>
      <c r="BY682" s="23"/>
      <c r="BZ682" s="23"/>
      <c r="CA682" s="19" t="s">
        <v>6045</v>
      </c>
      <c r="CB682" s="19" t="s">
        <v>6046</v>
      </c>
      <c r="CC682" s="23"/>
      <c r="CD682" s="23"/>
      <c r="CE682" s="23"/>
      <c r="CF682" s="23"/>
      <c r="CG682" s="23"/>
      <c r="CH682" s="23"/>
      <c r="CI682" s="23"/>
    </row>
    <row r="683" spans="1:87" x14ac:dyDescent="0.3">
      <c r="A683" s="9" t="s">
        <v>6047</v>
      </c>
      <c r="B683" s="10" t="s">
        <v>6048</v>
      </c>
      <c r="C683" s="11">
        <v>45962.833333333336</v>
      </c>
      <c r="D683" s="12">
        <v>8.3333333333333329E-2</v>
      </c>
      <c r="E683" s="11">
        <v>45962.916666666664</v>
      </c>
      <c r="F683" s="10" t="s">
        <v>5001</v>
      </c>
      <c r="G683" s="13" t="b">
        <v>0</v>
      </c>
      <c r="H683" s="10" t="s">
        <v>3578</v>
      </c>
      <c r="I683" s="10" t="s">
        <v>89</v>
      </c>
      <c r="J683" s="13" t="b">
        <v>0</v>
      </c>
      <c r="K683" s="13" t="b">
        <v>1</v>
      </c>
      <c r="L683" s="10" t="s">
        <v>124</v>
      </c>
      <c r="M683" s="10" t="s">
        <v>91</v>
      </c>
      <c r="N683" s="10" t="s">
        <v>92</v>
      </c>
      <c r="O683" s="19" t="s">
        <v>6049</v>
      </c>
      <c r="P683" s="10"/>
      <c r="Q683" s="10" t="s">
        <v>126</v>
      </c>
      <c r="R683" s="10"/>
      <c r="S683" s="19" t="s">
        <v>6050</v>
      </c>
      <c r="T683" s="19" t="s">
        <v>5986</v>
      </c>
      <c r="U683" s="10" t="s">
        <v>5018</v>
      </c>
      <c r="V683" s="10" t="s">
        <v>5006</v>
      </c>
      <c r="W683" s="10" t="s">
        <v>5007</v>
      </c>
      <c r="X683" s="10" t="s">
        <v>130</v>
      </c>
      <c r="Y683" s="10" t="s">
        <v>130</v>
      </c>
      <c r="Z683" s="10" t="s">
        <v>99</v>
      </c>
      <c r="AA683" s="10" t="s">
        <v>131</v>
      </c>
      <c r="AB683" s="10" t="s">
        <v>5008</v>
      </c>
      <c r="AC683" s="10" t="s">
        <v>5009</v>
      </c>
      <c r="AD683" s="10" t="s">
        <v>6051</v>
      </c>
      <c r="AE683" s="10" t="s">
        <v>6052</v>
      </c>
      <c r="AF683" s="15"/>
      <c r="AG683" s="10"/>
      <c r="AH683" s="10"/>
      <c r="AI683" s="10"/>
      <c r="AJ683" s="10" t="s">
        <v>6053</v>
      </c>
      <c r="AK683" s="10" t="s">
        <v>102</v>
      </c>
      <c r="AL683" s="10" t="s">
        <v>1360</v>
      </c>
      <c r="AM683" s="10"/>
      <c r="AN683" s="10"/>
      <c r="AO683" s="13" t="b">
        <v>0</v>
      </c>
      <c r="AP683" s="10" t="s">
        <v>104</v>
      </c>
      <c r="AQ683" s="10">
        <f ca="1">IFERROR(__xludf.DUMMYFUNCTION("""COMPUTED_VALUE"""),4677365)</f>
        <v>4677365</v>
      </c>
      <c r="AR683" s="17">
        <v>31518</v>
      </c>
      <c r="AS683" s="17">
        <v>23623</v>
      </c>
      <c r="AT683" s="17">
        <v>478376.5</v>
      </c>
      <c r="AU683" s="17">
        <v>229.8</v>
      </c>
      <c r="AV683" s="17">
        <v>59.2</v>
      </c>
      <c r="AW683" s="10" t="s">
        <v>105</v>
      </c>
      <c r="AX683" s="17">
        <v>6784</v>
      </c>
      <c r="AY683" s="18">
        <v>20.250455064979047</v>
      </c>
      <c r="AZ683" s="10" t="s">
        <v>106</v>
      </c>
      <c r="BA683" s="20" t="b">
        <v>0</v>
      </c>
      <c r="BB683" s="10"/>
      <c r="BC683" s="17">
        <v>31518</v>
      </c>
      <c r="BD683" s="17">
        <v>23623</v>
      </c>
      <c r="BE683" s="17">
        <v>478376.5</v>
      </c>
      <c r="BF683" s="17">
        <v>59.2</v>
      </c>
      <c r="BG683" s="11">
        <f ca="1">IFERROR(__xludf.DUMMYFUNCTION("""COMPUTED_VALUE"""),45962.8333333333)</f>
        <v>45962.833333333299</v>
      </c>
      <c r="BH683" s="17" t="s">
        <v>105</v>
      </c>
      <c r="BI683" s="17"/>
      <c r="BJ683" s="15"/>
      <c r="BK683" s="15"/>
      <c r="BL683" s="13" t="b">
        <v>0</v>
      </c>
      <c r="BM683" s="10"/>
      <c r="BN683" s="10" t="s">
        <v>106</v>
      </c>
      <c r="BO683" s="11">
        <v>45866.101388888892</v>
      </c>
      <c r="BP683" s="11">
        <v>45958.698206018518</v>
      </c>
      <c r="BQ683" s="15">
        <v>45959.616643518515</v>
      </c>
      <c r="BR683" s="15">
        <v>45959.769085648149</v>
      </c>
      <c r="BS683" s="10"/>
      <c r="BT683" s="10"/>
      <c r="BU683" s="10"/>
      <c r="BV683" s="10"/>
      <c r="BW683" s="10"/>
      <c r="BX683" s="10"/>
      <c r="BY683" s="23"/>
      <c r="BZ683" s="23"/>
      <c r="CA683" s="19" t="s">
        <v>6054</v>
      </c>
      <c r="CB683" s="19" t="s">
        <v>6055</v>
      </c>
      <c r="CC683" s="23"/>
      <c r="CD683" s="19" t="s">
        <v>6056</v>
      </c>
      <c r="CE683" s="23"/>
      <c r="CF683" s="23"/>
      <c r="CG683" s="23"/>
      <c r="CH683" s="23"/>
      <c r="CI683" s="23"/>
    </row>
    <row r="684" spans="1:87" x14ac:dyDescent="0.3">
      <c r="A684" s="9" t="s">
        <v>6057</v>
      </c>
      <c r="B684" s="10" t="s">
        <v>6058</v>
      </c>
      <c r="C684" s="11">
        <v>45963.125</v>
      </c>
      <c r="D684" s="12">
        <v>8.3333333333333329E-2</v>
      </c>
      <c r="E684" s="11">
        <v>45963.208333333336</v>
      </c>
      <c r="F684" s="10" t="s">
        <v>5001</v>
      </c>
      <c r="G684" s="13" t="b">
        <v>0</v>
      </c>
      <c r="H684" s="10" t="s">
        <v>3578</v>
      </c>
      <c r="I684" s="10" t="s">
        <v>89</v>
      </c>
      <c r="J684" s="13" t="b">
        <v>0</v>
      </c>
      <c r="K684" s="13" t="b">
        <v>1</v>
      </c>
      <c r="L684" s="10" t="s">
        <v>124</v>
      </c>
      <c r="M684" s="10" t="s">
        <v>91</v>
      </c>
      <c r="N684" s="10" t="s">
        <v>92</v>
      </c>
      <c r="O684" s="19" t="s">
        <v>6059</v>
      </c>
      <c r="P684" s="10"/>
      <c r="Q684" s="10" t="s">
        <v>126</v>
      </c>
      <c r="R684" s="10"/>
      <c r="S684" s="19" t="s">
        <v>6060</v>
      </c>
      <c r="T684" s="19" t="s">
        <v>5986</v>
      </c>
      <c r="U684" s="10" t="s">
        <v>5113</v>
      </c>
      <c r="V684" s="10" t="s">
        <v>5054</v>
      </c>
      <c r="W684" s="10" t="s">
        <v>5007</v>
      </c>
      <c r="X684" s="10" t="s">
        <v>130</v>
      </c>
      <c r="Y684" s="10" t="s">
        <v>130</v>
      </c>
      <c r="Z684" s="10" t="s">
        <v>99</v>
      </c>
      <c r="AA684" s="10" t="s">
        <v>131</v>
      </c>
      <c r="AB684" s="10" t="s">
        <v>5008</v>
      </c>
      <c r="AC684" s="10" t="s">
        <v>5009</v>
      </c>
      <c r="AD684" s="10" t="s">
        <v>6061</v>
      </c>
      <c r="AE684" s="10" t="s">
        <v>6062</v>
      </c>
      <c r="AF684" s="15"/>
      <c r="AG684" s="10"/>
      <c r="AH684" s="10"/>
      <c r="AI684" s="10"/>
      <c r="AJ684" s="10" t="s">
        <v>6063</v>
      </c>
      <c r="AK684" s="10" t="s">
        <v>102</v>
      </c>
      <c r="AL684" s="10" t="s">
        <v>1360</v>
      </c>
      <c r="AM684" s="10"/>
      <c r="AN684" s="10"/>
      <c r="AO684" s="13" t="b">
        <v>1</v>
      </c>
      <c r="AP684" s="10" t="s">
        <v>104</v>
      </c>
      <c r="AQ684" s="10">
        <f ca="1">IFERROR(__xludf.DUMMYFUNCTION("""COMPUTED_VALUE"""),4677362)</f>
        <v>4677362</v>
      </c>
      <c r="AR684" s="17">
        <v>94616</v>
      </c>
      <c r="AS684" s="17">
        <v>61955</v>
      </c>
      <c r="AT684" s="17">
        <v>3182846.25</v>
      </c>
      <c r="AU684" s="17">
        <v>868.95</v>
      </c>
      <c r="AV684" s="17">
        <v>218.95</v>
      </c>
      <c r="AW684" s="10" t="s">
        <v>105</v>
      </c>
      <c r="AX684" s="17">
        <v>30877</v>
      </c>
      <c r="AY684" s="18">
        <v>51.373517068840286</v>
      </c>
      <c r="AZ684" s="10" t="s">
        <v>106</v>
      </c>
      <c r="BA684" s="20" t="b">
        <v>0</v>
      </c>
      <c r="BB684" s="10"/>
      <c r="BC684" s="17">
        <v>94616</v>
      </c>
      <c r="BD684" s="17">
        <v>61955</v>
      </c>
      <c r="BE684" s="17">
        <v>3182846.25</v>
      </c>
      <c r="BF684" s="17">
        <v>218.95</v>
      </c>
      <c r="BG684" s="11">
        <f ca="1">IFERROR(__xludf.DUMMYFUNCTION("""COMPUTED_VALUE"""),45963.125)</f>
        <v>45963.125</v>
      </c>
      <c r="BH684" s="17" t="s">
        <v>105</v>
      </c>
      <c r="BI684" s="17"/>
      <c r="BJ684" s="15"/>
      <c r="BK684" s="15"/>
      <c r="BL684" s="13" t="b">
        <v>0</v>
      </c>
      <c r="BM684" s="10"/>
      <c r="BN684" s="10" t="s">
        <v>197</v>
      </c>
      <c r="BO684" s="11">
        <v>45866.101388888892</v>
      </c>
      <c r="BP684" s="11">
        <v>45958.710625</v>
      </c>
      <c r="BQ684" s="15">
        <v>45959.6171875</v>
      </c>
      <c r="BR684" s="15">
        <v>45959.7655787037</v>
      </c>
      <c r="BS684" s="10" t="s">
        <v>197</v>
      </c>
      <c r="BT684" s="10" t="s">
        <v>99</v>
      </c>
      <c r="BU684" s="10" t="s">
        <v>5046</v>
      </c>
      <c r="BV684" s="10" t="s">
        <v>124</v>
      </c>
      <c r="BW684" s="10"/>
      <c r="BX684" s="10"/>
      <c r="BY684" s="23"/>
      <c r="BZ684" s="23"/>
      <c r="CA684" s="19" t="s">
        <v>6064</v>
      </c>
      <c r="CB684" s="19" t="s">
        <v>6065</v>
      </c>
      <c r="CC684" s="23"/>
      <c r="CD684" s="19" t="s">
        <v>6066</v>
      </c>
      <c r="CE684" s="23"/>
      <c r="CF684" s="23"/>
      <c r="CG684" s="23"/>
      <c r="CH684" s="23"/>
      <c r="CI684" s="23"/>
    </row>
    <row r="685" spans="1:87" x14ac:dyDescent="0.3">
      <c r="A685" s="9" t="s">
        <v>6067</v>
      </c>
      <c r="B685" s="10" t="s">
        <v>6068</v>
      </c>
      <c r="C685" s="11">
        <v>45962.125</v>
      </c>
      <c r="D685" s="12">
        <v>8.3333333333333329E-2</v>
      </c>
      <c r="E685" s="11">
        <v>45962.208333333336</v>
      </c>
      <c r="F685" s="10" t="s">
        <v>5001</v>
      </c>
      <c r="G685" s="13" t="b">
        <v>0</v>
      </c>
      <c r="H685" s="10" t="s">
        <v>3578</v>
      </c>
      <c r="I685" s="10" t="s">
        <v>89</v>
      </c>
      <c r="J685" s="13" t="b">
        <v>0</v>
      </c>
      <c r="K685" s="13" t="b">
        <v>1</v>
      </c>
      <c r="L685" s="10" t="s">
        <v>124</v>
      </c>
      <c r="M685" s="10" t="s">
        <v>91</v>
      </c>
      <c r="N685" s="10" t="s">
        <v>92</v>
      </c>
      <c r="O685" s="19" t="s">
        <v>6069</v>
      </c>
      <c r="P685" s="10"/>
      <c r="Q685" s="10" t="s">
        <v>94</v>
      </c>
      <c r="R685" s="10"/>
      <c r="S685" s="19" t="s">
        <v>6070</v>
      </c>
      <c r="T685" s="19" t="s">
        <v>5986</v>
      </c>
      <c r="U685" s="10" t="s">
        <v>5067</v>
      </c>
      <c r="V685" s="10" t="s">
        <v>5005</v>
      </c>
      <c r="W685" s="10" t="s">
        <v>5007</v>
      </c>
      <c r="X685" s="10" t="s">
        <v>130</v>
      </c>
      <c r="Y685" s="10" t="s">
        <v>130</v>
      </c>
      <c r="Z685" s="10" t="s">
        <v>99</v>
      </c>
      <c r="AA685" s="10" t="s">
        <v>131</v>
      </c>
      <c r="AB685" s="10" t="s">
        <v>5008</v>
      </c>
      <c r="AC685" s="10" t="s">
        <v>5009</v>
      </c>
      <c r="AD685" s="10" t="s">
        <v>6071</v>
      </c>
      <c r="AE685" s="10" t="s">
        <v>6072</v>
      </c>
      <c r="AF685" s="15"/>
      <c r="AG685" s="10"/>
      <c r="AH685" s="10"/>
      <c r="AI685" s="10"/>
      <c r="AJ685" s="10"/>
      <c r="AK685" s="10" t="s">
        <v>102</v>
      </c>
      <c r="AL685" s="10" t="s">
        <v>1360</v>
      </c>
      <c r="AM685" s="10"/>
      <c r="AN685" s="10"/>
      <c r="AO685" s="13" t="b">
        <v>0</v>
      </c>
      <c r="AP685" s="10" t="s">
        <v>104</v>
      </c>
      <c r="AQ685" s="10">
        <f ca="1">IFERROR(__xludf.DUMMYFUNCTION("""COMPUTED_VALUE"""),4677359)</f>
        <v>4677359</v>
      </c>
      <c r="AR685" s="17">
        <v>4283</v>
      </c>
      <c r="AS685" s="17">
        <v>3169</v>
      </c>
      <c r="AT685" s="17">
        <v>94377.5</v>
      </c>
      <c r="AU685" s="17">
        <v>9.5500000000000007</v>
      </c>
      <c r="AV685" s="17">
        <v>3.4</v>
      </c>
      <c r="AW685" s="10" t="s">
        <v>105</v>
      </c>
      <c r="AX685" s="17">
        <v>1015</v>
      </c>
      <c r="AY685" s="18">
        <v>29.781476806563585</v>
      </c>
      <c r="AZ685" s="10" t="s">
        <v>106</v>
      </c>
      <c r="BA685" s="20" t="b">
        <v>0</v>
      </c>
      <c r="BB685" s="10"/>
      <c r="BC685" s="17">
        <v>4283</v>
      </c>
      <c r="BD685" s="17">
        <v>3169</v>
      </c>
      <c r="BE685" s="17">
        <v>94377.5</v>
      </c>
      <c r="BF685" s="17">
        <v>3.4</v>
      </c>
      <c r="BG685" s="11">
        <f ca="1">IFERROR(__xludf.DUMMYFUNCTION("""COMPUTED_VALUE"""),45962.125)</f>
        <v>45962.125</v>
      </c>
      <c r="BH685" s="17" t="s">
        <v>105</v>
      </c>
      <c r="BI685" s="17"/>
      <c r="BJ685" s="15"/>
      <c r="BK685" s="15"/>
      <c r="BL685" s="13" t="b">
        <v>0</v>
      </c>
      <c r="BM685" s="10"/>
      <c r="BN685" s="10" t="s">
        <v>106</v>
      </c>
      <c r="BO685" s="11">
        <v>45866.101388888892</v>
      </c>
      <c r="BP685" s="11">
        <v>45956.832673611112</v>
      </c>
      <c r="BQ685" s="15">
        <v>45959.616481481484</v>
      </c>
      <c r="BR685" s="15">
        <v>45959.766030092593</v>
      </c>
      <c r="BS685" s="10"/>
      <c r="BT685" s="10"/>
      <c r="BU685" s="10"/>
      <c r="BV685" s="10"/>
      <c r="BW685" s="10"/>
      <c r="BX685" s="10"/>
      <c r="BY685" s="23"/>
      <c r="BZ685" s="23"/>
      <c r="CA685" s="19" t="s">
        <v>6073</v>
      </c>
      <c r="CB685" s="19" t="s">
        <v>6074</v>
      </c>
      <c r="CC685" s="23"/>
      <c r="CD685" s="23"/>
      <c r="CE685" s="23"/>
      <c r="CF685" s="23"/>
      <c r="CG685" s="23"/>
      <c r="CH685" s="23"/>
      <c r="CI685" s="23"/>
    </row>
    <row r="686" spans="1:87" x14ac:dyDescent="0.3">
      <c r="A686" s="9" t="s">
        <v>6075</v>
      </c>
      <c r="B686" s="10" t="s">
        <v>6076</v>
      </c>
      <c r="C686" s="11">
        <v>45970.020833333336</v>
      </c>
      <c r="D686" s="12">
        <v>8.3333333333333329E-2</v>
      </c>
      <c r="E686" s="11">
        <v>45970.104166666664</v>
      </c>
      <c r="F686" s="10" t="s">
        <v>5001</v>
      </c>
      <c r="G686" s="13" t="b">
        <v>0</v>
      </c>
      <c r="H686" s="10" t="s">
        <v>3564</v>
      </c>
      <c r="I686" s="10" t="s">
        <v>89</v>
      </c>
      <c r="J686" s="13" t="b">
        <v>0</v>
      </c>
      <c r="K686" s="13" t="b">
        <v>1</v>
      </c>
      <c r="L686" s="10" t="s">
        <v>124</v>
      </c>
      <c r="M686" s="10" t="s">
        <v>91</v>
      </c>
      <c r="N686" s="10" t="s">
        <v>92</v>
      </c>
      <c r="O686" s="19" t="s">
        <v>6077</v>
      </c>
      <c r="P686" s="10"/>
      <c r="Q686" s="10" t="s">
        <v>126</v>
      </c>
      <c r="R686" s="10"/>
      <c r="S686" s="19" t="s">
        <v>6078</v>
      </c>
      <c r="T686" s="19" t="s">
        <v>6079</v>
      </c>
      <c r="U686" s="10" t="s">
        <v>5090</v>
      </c>
      <c r="V686" s="10" t="s">
        <v>5032</v>
      </c>
      <c r="W686" s="10" t="s">
        <v>5007</v>
      </c>
      <c r="X686" s="10" t="s">
        <v>130</v>
      </c>
      <c r="Y686" s="10" t="s">
        <v>130</v>
      </c>
      <c r="Z686" s="10" t="s">
        <v>99</v>
      </c>
      <c r="AA686" s="10" t="s">
        <v>131</v>
      </c>
      <c r="AB686" s="10" t="s">
        <v>5008</v>
      </c>
      <c r="AC686" s="10" t="s">
        <v>5009</v>
      </c>
      <c r="AD686" s="10" t="s">
        <v>6080</v>
      </c>
      <c r="AE686" s="10" t="s">
        <v>6081</v>
      </c>
      <c r="AF686" s="15"/>
      <c r="AG686" s="10"/>
      <c r="AH686" s="10"/>
      <c r="AI686" s="10"/>
      <c r="AJ686" s="10" t="s">
        <v>6082</v>
      </c>
      <c r="AK686" s="10" t="s">
        <v>102</v>
      </c>
      <c r="AL686" s="10" t="s">
        <v>1467</v>
      </c>
      <c r="AM686" s="10"/>
      <c r="AN686" s="10"/>
      <c r="AO686" s="13" t="b">
        <v>0</v>
      </c>
      <c r="AP686" s="10" t="s">
        <v>104</v>
      </c>
      <c r="AQ686" s="10">
        <f ca="1">IFERROR(__xludf.DUMMYFUNCTION("""COMPUTED_VALUE"""),4704451)</f>
        <v>4704451</v>
      </c>
      <c r="AR686" s="17">
        <v>14594</v>
      </c>
      <c r="AS686" s="17">
        <v>10130</v>
      </c>
      <c r="AT686" s="17">
        <v>296721.25</v>
      </c>
      <c r="AU686" s="17">
        <v>19.600000000000001</v>
      </c>
      <c r="AV686" s="17">
        <v>4.75</v>
      </c>
      <c r="AW686" s="10" t="s">
        <v>105</v>
      </c>
      <c r="AX686" s="17">
        <v>3050</v>
      </c>
      <c r="AY686" s="18">
        <v>29.291337611056267</v>
      </c>
      <c r="AZ686" s="10" t="s">
        <v>106</v>
      </c>
      <c r="BA686" s="20" t="b">
        <v>0</v>
      </c>
      <c r="BB686" s="10"/>
      <c r="BC686" s="17">
        <v>14594</v>
      </c>
      <c r="BD686" s="17">
        <v>10130</v>
      </c>
      <c r="BE686" s="17">
        <v>296721.25</v>
      </c>
      <c r="BF686" s="17">
        <v>4.75</v>
      </c>
      <c r="BG686" s="11">
        <f ca="1">IFERROR(__xludf.DUMMYFUNCTION("""COMPUTED_VALUE"""),45970.0208333333)</f>
        <v>45970.020833333299</v>
      </c>
      <c r="BH686" s="17" t="s">
        <v>105</v>
      </c>
      <c r="BI686" s="17"/>
      <c r="BJ686" s="15"/>
      <c r="BK686" s="15"/>
      <c r="BL686" s="13" t="b">
        <v>0</v>
      </c>
      <c r="BM686" s="10"/>
      <c r="BN686" s="10" t="s">
        <v>106</v>
      </c>
      <c r="BO686" s="11">
        <v>45866.101388888892</v>
      </c>
      <c r="BP686" s="11">
        <v>45965.533182870371</v>
      </c>
      <c r="BQ686" s="15">
        <v>45966.441365740742</v>
      </c>
      <c r="BR686" s="15">
        <v>45966.657754629632</v>
      </c>
      <c r="BS686" s="10"/>
      <c r="BT686" s="10"/>
      <c r="BU686" s="10"/>
      <c r="BV686" s="10" t="s">
        <v>124</v>
      </c>
      <c r="BW686" s="10"/>
      <c r="BX686" s="10"/>
      <c r="BY686" s="23"/>
      <c r="BZ686" s="23"/>
      <c r="CA686" s="19" t="s">
        <v>6083</v>
      </c>
      <c r="CB686" s="19" t="s">
        <v>6084</v>
      </c>
      <c r="CC686" s="23"/>
      <c r="CD686" s="19" t="s">
        <v>6085</v>
      </c>
      <c r="CE686" s="23"/>
      <c r="CF686" s="23"/>
      <c r="CG686" s="23"/>
      <c r="CH686" s="23"/>
      <c r="CI686" s="23"/>
    </row>
    <row r="687" spans="1:87" x14ac:dyDescent="0.3">
      <c r="A687" s="9" t="s">
        <v>6086</v>
      </c>
      <c r="B687" s="10" t="s">
        <v>6087</v>
      </c>
      <c r="C687" s="11">
        <v>45969.927083333336</v>
      </c>
      <c r="D687" s="12">
        <v>8.3333333333333329E-2</v>
      </c>
      <c r="E687" s="11">
        <v>45970.010416666664</v>
      </c>
      <c r="F687" s="10" t="s">
        <v>5001</v>
      </c>
      <c r="G687" s="13" t="b">
        <v>0</v>
      </c>
      <c r="H687" s="10" t="s">
        <v>3564</v>
      </c>
      <c r="I687" s="10" t="s">
        <v>89</v>
      </c>
      <c r="J687" s="13" t="b">
        <v>0</v>
      </c>
      <c r="K687" s="13" t="b">
        <v>1</v>
      </c>
      <c r="L687" s="10" t="s">
        <v>124</v>
      </c>
      <c r="M687" s="10" t="s">
        <v>91</v>
      </c>
      <c r="N687" s="10" t="s">
        <v>92</v>
      </c>
      <c r="O687" s="19" t="s">
        <v>6088</v>
      </c>
      <c r="P687" s="10"/>
      <c r="Q687" s="10" t="s">
        <v>126</v>
      </c>
      <c r="R687" s="10"/>
      <c r="S687" s="19" t="s">
        <v>6089</v>
      </c>
      <c r="T687" s="19" t="s">
        <v>6079</v>
      </c>
      <c r="U687" s="10" t="s">
        <v>5077</v>
      </c>
      <c r="V687" s="10" t="s">
        <v>5114</v>
      </c>
      <c r="W687" s="10" t="s">
        <v>5007</v>
      </c>
      <c r="X687" s="10" t="s">
        <v>130</v>
      </c>
      <c r="Y687" s="10" t="s">
        <v>130</v>
      </c>
      <c r="Z687" s="10" t="s">
        <v>99</v>
      </c>
      <c r="AA687" s="10" t="s">
        <v>131</v>
      </c>
      <c r="AB687" s="10" t="s">
        <v>5008</v>
      </c>
      <c r="AC687" s="10" t="s">
        <v>5009</v>
      </c>
      <c r="AD687" s="10" t="s">
        <v>6090</v>
      </c>
      <c r="AE687" s="10" t="s">
        <v>6091</v>
      </c>
      <c r="AF687" s="15"/>
      <c r="AG687" s="10"/>
      <c r="AH687" s="10"/>
      <c r="AI687" s="10"/>
      <c r="AJ687" s="10" t="s">
        <v>6092</v>
      </c>
      <c r="AK687" s="10" t="s">
        <v>102</v>
      </c>
      <c r="AL687" s="10" t="s">
        <v>1467</v>
      </c>
      <c r="AM687" s="10"/>
      <c r="AN687" s="10"/>
      <c r="AO687" s="13" t="b">
        <v>0</v>
      </c>
      <c r="AP687" s="10" t="s">
        <v>104</v>
      </c>
      <c r="AQ687" s="10">
        <f ca="1">IFERROR(__xludf.DUMMYFUNCTION("""COMPUTED_VALUE"""),4704450)</f>
        <v>4704450</v>
      </c>
      <c r="AR687" s="17">
        <v>14262</v>
      </c>
      <c r="AS687" s="17">
        <v>11632</v>
      </c>
      <c r="AT687" s="17">
        <v>156211.25</v>
      </c>
      <c r="AU687" s="17">
        <v>31.05</v>
      </c>
      <c r="AV687" s="17">
        <v>12.8</v>
      </c>
      <c r="AW687" s="10" t="s">
        <v>105</v>
      </c>
      <c r="AX687" s="17">
        <v>3067</v>
      </c>
      <c r="AY687" s="18">
        <v>13.429440337001376</v>
      </c>
      <c r="AZ687" s="10" t="s">
        <v>106</v>
      </c>
      <c r="BA687" s="20" t="b">
        <v>0</v>
      </c>
      <c r="BB687" s="10"/>
      <c r="BC687" s="17">
        <v>14262</v>
      </c>
      <c r="BD687" s="17">
        <v>11632</v>
      </c>
      <c r="BE687" s="17">
        <v>156211.25</v>
      </c>
      <c r="BF687" s="17">
        <v>12.8</v>
      </c>
      <c r="BG687" s="11">
        <f ca="1">IFERROR(__xludf.DUMMYFUNCTION("""COMPUTED_VALUE"""),45969.9270833333)</f>
        <v>45969.927083333299</v>
      </c>
      <c r="BH687" s="17" t="s">
        <v>105</v>
      </c>
      <c r="BI687" s="17"/>
      <c r="BJ687" s="15"/>
      <c r="BK687" s="15"/>
      <c r="BL687" s="13" t="b">
        <v>0</v>
      </c>
      <c r="BM687" s="10"/>
      <c r="BN687" s="10" t="s">
        <v>106</v>
      </c>
      <c r="BO687" s="11">
        <v>45866.101388888892</v>
      </c>
      <c r="BP687" s="11">
        <v>45965.53229166667</v>
      </c>
      <c r="BQ687" s="15">
        <v>45966.441111111111</v>
      </c>
      <c r="BR687" s="15">
        <v>45966.657418981478</v>
      </c>
      <c r="BS687" s="10"/>
      <c r="BT687" s="10"/>
      <c r="BU687" s="10"/>
      <c r="BV687" s="10"/>
      <c r="BW687" s="10"/>
      <c r="BX687" s="10"/>
      <c r="BY687" s="23"/>
      <c r="BZ687" s="23"/>
      <c r="CA687" s="19" t="s">
        <v>6093</v>
      </c>
      <c r="CB687" s="19" t="s">
        <v>6094</v>
      </c>
      <c r="CC687" s="23"/>
      <c r="CD687" s="19" t="s">
        <v>6095</v>
      </c>
      <c r="CE687" s="23"/>
      <c r="CF687" s="23"/>
      <c r="CG687" s="23"/>
      <c r="CH687" s="23"/>
      <c r="CI687" s="23"/>
    </row>
    <row r="688" spans="1:87" x14ac:dyDescent="0.3">
      <c r="A688" s="9" t="s">
        <v>6096</v>
      </c>
      <c r="B688" s="10" t="s">
        <v>6097</v>
      </c>
      <c r="C688" s="11">
        <v>45969.833333333336</v>
      </c>
      <c r="D688" s="12">
        <v>8.3333333333333329E-2</v>
      </c>
      <c r="E688" s="11">
        <v>45969.916666666664</v>
      </c>
      <c r="F688" s="10" t="s">
        <v>5001</v>
      </c>
      <c r="G688" s="13" t="b">
        <v>0</v>
      </c>
      <c r="H688" s="10" t="s">
        <v>3564</v>
      </c>
      <c r="I688" s="10" t="s">
        <v>89</v>
      </c>
      <c r="J688" s="13" t="b">
        <v>0</v>
      </c>
      <c r="K688" s="13" t="b">
        <v>1</v>
      </c>
      <c r="L688" s="10" t="s">
        <v>124</v>
      </c>
      <c r="M688" s="10" t="s">
        <v>91</v>
      </c>
      <c r="N688" s="10" t="s">
        <v>92</v>
      </c>
      <c r="O688" s="19" t="s">
        <v>6098</v>
      </c>
      <c r="P688" s="10"/>
      <c r="Q688" s="10" t="s">
        <v>126</v>
      </c>
      <c r="R688" s="10"/>
      <c r="S688" s="19" t="s">
        <v>6099</v>
      </c>
      <c r="T688" s="19" t="s">
        <v>6079</v>
      </c>
      <c r="U688" s="10" t="s">
        <v>5005</v>
      </c>
      <c r="V688" s="10" t="s">
        <v>5031</v>
      </c>
      <c r="W688" s="10" t="s">
        <v>5007</v>
      </c>
      <c r="X688" s="10" t="s">
        <v>130</v>
      </c>
      <c r="Y688" s="10" t="s">
        <v>130</v>
      </c>
      <c r="Z688" s="10" t="s">
        <v>99</v>
      </c>
      <c r="AA688" s="10" t="s">
        <v>131</v>
      </c>
      <c r="AB688" s="10" t="s">
        <v>5008</v>
      </c>
      <c r="AC688" s="10" t="s">
        <v>5009</v>
      </c>
      <c r="AD688" s="10" t="s">
        <v>6100</v>
      </c>
      <c r="AE688" s="10" t="s">
        <v>6101</v>
      </c>
      <c r="AF688" s="15"/>
      <c r="AG688" s="10"/>
      <c r="AH688" s="10"/>
      <c r="AI688" s="10"/>
      <c r="AJ688" s="10" t="s">
        <v>6102</v>
      </c>
      <c r="AK688" s="10" t="s">
        <v>102</v>
      </c>
      <c r="AL688" s="10" t="s">
        <v>1467</v>
      </c>
      <c r="AM688" s="10"/>
      <c r="AN688" s="10"/>
      <c r="AO688" s="13" t="b">
        <v>0</v>
      </c>
      <c r="AP688" s="10" t="s">
        <v>104</v>
      </c>
      <c r="AQ688" s="10">
        <f ca="1">IFERROR(__xludf.DUMMYFUNCTION("""COMPUTED_VALUE"""),4704449)</f>
        <v>4704449</v>
      </c>
      <c r="AR688" s="17">
        <v>18151</v>
      </c>
      <c r="AS688" s="17">
        <v>14471</v>
      </c>
      <c r="AT688" s="17">
        <v>233434.75</v>
      </c>
      <c r="AU688" s="17">
        <v>68.7</v>
      </c>
      <c r="AV688" s="17">
        <v>19.75</v>
      </c>
      <c r="AW688" s="10" t="s">
        <v>105</v>
      </c>
      <c r="AX688" s="17">
        <v>3936</v>
      </c>
      <c r="AY688" s="18">
        <v>16.131210697256581</v>
      </c>
      <c r="AZ688" s="10" t="s">
        <v>106</v>
      </c>
      <c r="BA688" s="20" t="b">
        <v>0</v>
      </c>
      <c r="BB688" s="10"/>
      <c r="BC688" s="17">
        <v>18151</v>
      </c>
      <c r="BD688" s="17">
        <v>14471</v>
      </c>
      <c r="BE688" s="17">
        <v>233434.75</v>
      </c>
      <c r="BF688" s="17">
        <v>19.75</v>
      </c>
      <c r="BG688" s="11">
        <f ca="1">IFERROR(__xludf.DUMMYFUNCTION("""COMPUTED_VALUE"""),45969.8333333333)</f>
        <v>45969.833333333299</v>
      </c>
      <c r="BH688" s="17" t="s">
        <v>105</v>
      </c>
      <c r="BI688" s="17"/>
      <c r="BJ688" s="15"/>
      <c r="BK688" s="15"/>
      <c r="BL688" s="13" t="b">
        <v>0</v>
      </c>
      <c r="BM688" s="10"/>
      <c r="BN688" s="10" t="s">
        <v>106</v>
      </c>
      <c r="BO688" s="11">
        <v>45866.101388888892</v>
      </c>
      <c r="BP688" s="11">
        <v>45965.523518518516</v>
      </c>
      <c r="BQ688" s="15">
        <v>45966.44090277778</v>
      </c>
      <c r="BR688" s="15">
        <v>45966.657083333332</v>
      </c>
      <c r="BS688" s="10"/>
      <c r="BT688" s="10"/>
      <c r="BU688" s="10"/>
      <c r="BV688" s="10"/>
      <c r="BW688" s="10"/>
      <c r="BX688" s="10"/>
      <c r="BY688" s="23"/>
      <c r="BZ688" s="23"/>
      <c r="CA688" s="19" t="s">
        <v>6103</v>
      </c>
      <c r="CB688" s="19" t="s">
        <v>6104</v>
      </c>
      <c r="CC688" s="23"/>
      <c r="CD688" s="19" t="s">
        <v>6105</v>
      </c>
      <c r="CE688" s="23"/>
      <c r="CF688" s="23"/>
      <c r="CG688" s="23"/>
      <c r="CH688" s="23"/>
      <c r="CI688" s="23"/>
    </row>
    <row r="689" spans="1:87" x14ac:dyDescent="0.3">
      <c r="A689" s="9" t="s">
        <v>6106</v>
      </c>
      <c r="B689" s="10" t="s">
        <v>6107</v>
      </c>
      <c r="C689" s="11">
        <v>45969.125</v>
      </c>
      <c r="D689" s="12">
        <v>8.3333333333333329E-2</v>
      </c>
      <c r="E689" s="11">
        <v>45969.208333333336</v>
      </c>
      <c r="F689" s="10" t="s">
        <v>5001</v>
      </c>
      <c r="G689" s="13" t="b">
        <v>0</v>
      </c>
      <c r="H689" s="10" t="s">
        <v>5239</v>
      </c>
      <c r="I689" s="10" t="s">
        <v>89</v>
      </c>
      <c r="J689" s="13" t="b">
        <v>0</v>
      </c>
      <c r="K689" s="13" t="b">
        <v>1</v>
      </c>
      <c r="L689" s="10" t="s">
        <v>124</v>
      </c>
      <c r="M689" s="10" t="s">
        <v>91</v>
      </c>
      <c r="N689" s="10" t="s">
        <v>92</v>
      </c>
      <c r="O689" s="19" t="s">
        <v>6108</v>
      </c>
      <c r="P689" s="10"/>
      <c r="Q689" s="10" t="s">
        <v>126</v>
      </c>
      <c r="R689" s="10"/>
      <c r="S689" s="19" t="s">
        <v>6109</v>
      </c>
      <c r="T689" s="19" t="s">
        <v>6079</v>
      </c>
      <c r="U689" s="10" t="s">
        <v>5101</v>
      </c>
      <c r="V689" s="10" t="s">
        <v>5055</v>
      </c>
      <c r="W689" s="10" t="s">
        <v>5007</v>
      </c>
      <c r="X689" s="10" t="s">
        <v>130</v>
      </c>
      <c r="Y689" s="10" t="s">
        <v>130</v>
      </c>
      <c r="Z689" s="10" t="s">
        <v>99</v>
      </c>
      <c r="AA689" s="10" t="s">
        <v>131</v>
      </c>
      <c r="AB689" s="10" t="s">
        <v>5008</v>
      </c>
      <c r="AC689" s="10" t="s">
        <v>5009</v>
      </c>
      <c r="AD689" s="10" t="s">
        <v>6110</v>
      </c>
      <c r="AE689" s="10" t="s">
        <v>6111</v>
      </c>
      <c r="AF689" s="15"/>
      <c r="AG689" s="10"/>
      <c r="AH689" s="10"/>
      <c r="AI689" s="10"/>
      <c r="AJ689" s="10" t="s">
        <v>6112</v>
      </c>
      <c r="AK689" s="10" t="s">
        <v>102</v>
      </c>
      <c r="AL689" s="10" t="s">
        <v>1467</v>
      </c>
      <c r="AM689" s="10"/>
      <c r="AN689" s="10"/>
      <c r="AO689" s="13" t="b">
        <v>0</v>
      </c>
      <c r="AP689" s="10" t="s">
        <v>104</v>
      </c>
      <c r="AQ689" s="10">
        <f ca="1">IFERROR(__xludf.DUMMYFUNCTION("""COMPUTED_VALUE"""),4704446)</f>
        <v>4704446</v>
      </c>
      <c r="AR689" s="17">
        <v>5334</v>
      </c>
      <c r="AS689" s="17">
        <v>3897</v>
      </c>
      <c r="AT689" s="17">
        <v>114693.25</v>
      </c>
      <c r="AU689" s="17">
        <v>13.4</v>
      </c>
      <c r="AV689" s="17">
        <v>4.0999999999999996</v>
      </c>
      <c r="AW689" s="10" t="s">
        <v>105</v>
      </c>
      <c r="AX689" s="17">
        <v>1377</v>
      </c>
      <c r="AY689" s="18">
        <v>29.431164998716962</v>
      </c>
      <c r="AZ689" s="10" t="s">
        <v>106</v>
      </c>
      <c r="BA689" s="20" t="b">
        <v>0</v>
      </c>
      <c r="BB689" s="10"/>
      <c r="BC689" s="17">
        <v>5334</v>
      </c>
      <c r="BD689" s="17">
        <v>3897</v>
      </c>
      <c r="BE689" s="17">
        <v>114693.25</v>
      </c>
      <c r="BF689" s="17">
        <v>4.0999999999999996</v>
      </c>
      <c r="BG689" s="11">
        <f ca="1">IFERROR(__xludf.DUMMYFUNCTION("""COMPUTED_VALUE"""),45969.125)</f>
        <v>45969.125</v>
      </c>
      <c r="BH689" s="17" t="s">
        <v>105</v>
      </c>
      <c r="BI689" s="17"/>
      <c r="BJ689" s="15"/>
      <c r="BK689" s="15"/>
      <c r="BL689" s="13" t="b">
        <v>0</v>
      </c>
      <c r="BM689" s="10"/>
      <c r="BN689" s="10" t="s">
        <v>106</v>
      </c>
      <c r="BO689" s="11">
        <v>45866.101388888892</v>
      </c>
      <c r="BP689" s="11">
        <v>45965.518506944441</v>
      </c>
      <c r="BQ689" s="15">
        <v>45966.440706018519</v>
      </c>
      <c r="BR689" s="15">
        <v>45966.568541666667</v>
      </c>
      <c r="BS689" s="10"/>
      <c r="BT689" s="10"/>
      <c r="BU689" s="10"/>
      <c r="BV689" s="10"/>
      <c r="BW689" s="10"/>
      <c r="BX689" s="10"/>
      <c r="BY689" s="23"/>
      <c r="BZ689" s="23"/>
      <c r="CA689" s="19" t="s">
        <v>6113</v>
      </c>
      <c r="CB689" s="19" t="s">
        <v>6114</v>
      </c>
      <c r="CC689" s="23"/>
      <c r="CD689" s="19" t="s">
        <v>6115</v>
      </c>
      <c r="CE689" s="23"/>
      <c r="CF689" s="23"/>
      <c r="CG689" s="23"/>
      <c r="CH689" s="23"/>
      <c r="CI689" s="23"/>
    </row>
    <row r="690" spans="1:87" x14ac:dyDescent="0.3">
      <c r="A690" s="9" t="s">
        <v>6116</v>
      </c>
      <c r="B690" s="10" t="s">
        <v>6117</v>
      </c>
      <c r="C690" s="11">
        <v>45970.927083333336</v>
      </c>
      <c r="D690" s="12">
        <v>8.3333333333333329E-2</v>
      </c>
      <c r="E690" s="11">
        <v>45971.010416666664</v>
      </c>
      <c r="F690" s="10" t="s">
        <v>5001</v>
      </c>
      <c r="G690" s="13" t="b">
        <v>0</v>
      </c>
      <c r="H690" s="10" t="s">
        <v>3564</v>
      </c>
      <c r="I690" s="10" t="s">
        <v>89</v>
      </c>
      <c r="J690" s="13" t="b">
        <v>0</v>
      </c>
      <c r="K690" s="13" t="b">
        <v>1</v>
      </c>
      <c r="L690" s="10" t="s">
        <v>124</v>
      </c>
      <c r="M690" s="10" t="s">
        <v>91</v>
      </c>
      <c r="N690" s="10" t="s">
        <v>92</v>
      </c>
      <c r="O690" s="19" t="s">
        <v>6118</v>
      </c>
      <c r="P690" s="10"/>
      <c r="Q690" s="10" t="s">
        <v>126</v>
      </c>
      <c r="R690" s="10"/>
      <c r="S690" s="19" t="s">
        <v>6119</v>
      </c>
      <c r="T690" s="19" t="s">
        <v>6079</v>
      </c>
      <c r="U690" s="10" t="s">
        <v>5006</v>
      </c>
      <c r="V690" s="10" t="s">
        <v>5113</v>
      </c>
      <c r="W690" s="10" t="s">
        <v>5007</v>
      </c>
      <c r="X690" s="10" t="s">
        <v>130</v>
      </c>
      <c r="Y690" s="10" t="s">
        <v>130</v>
      </c>
      <c r="Z690" s="10" t="s">
        <v>99</v>
      </c>
      <c r="AA690" s="10" t="s">
        <v>131</v>
      </c>
      <c r="AB690" s="10" t="s">
        <v>5008</v>
      </c>
      <c r="AC690" s="10" t="s">
        <v>5009</v>
      </c>
      <c r="AD690" s="10" t="s">
        <v>6120</v>
      </c>
      <c r="AE690" s="10" t="s">
        <v>6121</v>
      </c>
      <c r="AF690" s="15"/>
      <c r="AG690" s="10"/>
      <c r="AH690" s="10"/>
      <c r="AI690" s="10"/>
      <c r="AJ690" s="10" t="s">
        <v>6122</v>
      </c>
      <c r="AK690" s="10" t="s">
        <v>102</v>
      </c>
      <c r="AL690" s="10" t="s">
        <v>1467</v>
      </c>
      <c r="AM690" s="10"/>
      <c r="AN690" s="10"/>
      <c r="AO690" s="13" t="b">
        <v>1</v>
      </c>
      <c r="AP690" s="10" t="s">
        <v>104</v>
      </c>
      <c r="AQ690" s="10">
        <f ca="1">IFERROR(__xludf.DUMMYFUNCTION("""COMPUTED_VALUE"""),4704456)</f>
        <v>4704456</v>
      </c>
      <c r="AR690" s="17">
        <v>201335</v>
      </c>
      <c r="AS690" s="17">
        <v>128691</v>
      </c>
      <c r="AT690" s="17">
        <v>4278041.25</v>
      </c>
      <c r="AU690" s="17">
        <v>1477.65</v>
      </c>
      <c r="AV690" s="17">
        <v>466.8</v>
      </c>
      <c r="AW690" s="10" t="s">
        <v>105</v>
      </c>
      <c r="AX690" s="17">
        <v>62120</v>
      </c>
      <c r="AY690" s="18">
        <v>33.242738419936124</v>
      </c>
      <c r="AZ690" s="10" t="s">
        <v>106</v>
      </c>
      <c r="BA690" s="20" t="b">
        <v>0</v>
      </c>
      <c r="BB690" s="10"/>
      <c r="BC690" s="17">
        <v>201335</v>
      </c>
      <c r="BD690" s="17">
        <v>128691</v>
      </c>
      <c r="BE690" s="17">
        <v>4278041.25</v>
      </c>
      <c r="BF690" s="17">
        <v>466.8</v>
      </c>
      <c r="BG690" s="11">
        <f ca="1">IFERROR(__xludf.DUMMYFUNCTION("""COMPUTED_VALUE"""),45970.9270833333)</f>
        <v>45970.927083333299</v>
      </c>
      <c r="BH690" s="17" t="s">
        <v>105</v>
      </c>
      <c r="BI690" s="17"/>
      <c r="BJ690" s="15"/>
      <c r="BK690" s="15"/>
      <c r="BL690" s="13" t="b">
        <v>0</v>
      </c>
      <c r="BM690" s="10"/>
      <c r="BN690" s="10" t="s">
        <v>106</v>
      </c>
      <c r="BO690" s="11">
        <v>45866.101388888892</v>
      </c>
      <c r="BP690" s="11">
        <v>45965.548425925925</v>
      </c>
      <c r="BQ690" s="15">
        <v>45966.441979166666</v>
      </c>
      <c r="BR690" s="15">
        <v>45966.666979166665</v>
      </c>
      <c r="BS690" s="10"/>
      <c r="BT690" s="10" t="s">
        <v>99</v>
      </c>
      <c r="BU690" s="10"/>
      <c r="BV690" s="10" t="s">
        <v>281</v>
      </c>
      <c r="BW690" s="10" t="s">
        <v>282</v>
      </c>
      <c r="BX690" s="10"/>
      <c r="BY690" s="23"/>
      <c r="BZ690" s="23"/>
      <c r="CA690" s="19" t="s">
        <v>6123</v>
      </c>
      <c r="CB690" s="19" t="s">
        <v>6124</v>
      </c>
      <c r="CC690" s="23"/>
      <c r="CD690" s="19" t="s">
        <v>6125</v>
      </c>
      <c r="CE690" s="23"/>
      <c r="CF690" s="23"/>
      <c r="CG690" s="23"/>
      <c r="CH690" s="23"/>
      <c r="CI690" s="23"/>
    </row>
    <row r="691" spans="1:87" x14ac:dyDescent="0.3">
      <c r="A691" s="9" t="s">
        <v>6126</v>
      </c>
      <c r="B691" s="10" t="s">
        <v>6127</v>
      </c>
      <c r="C691" s="11">
        <v>45971.125</v>
      </c>
      <c r="D691" s="12">
        <v>8.3333333333333329E-2</v>
      </c>
      <c r="E691" s="11">
        <v>45971.208333333336</v>
      </c>
      <c r="F691" s="10" t="s">
        <v>5001</v>
      </c>
      <c r="G691" s="13" t="b">
        <v>0</v>
      </c>
      <c r="H691" s="10" t="s">
        <v>3564</v>
      </c>
      <c r="I691" s="10" t="s">
        <v>89</v>
      </c>
      <c r="J691" s="13" t="b">
        <v>0</v>
      </c>
      <c r="K691" s="13" t="b">
        <v>1</v>
      </c>
      <c r="L691" s="10" t="s">
        <v>124</v>
      </c>
      <c r="M691" s="10" t="s">
        <v>91</v>
      </c>
      <c r="N691" s="10" t="s">
        <v>92</v>
      </c>
      <c r="O691" s="19" t="s">
        <v>6128</v>
      </c>
      <c r="P691" s="10"/>
      <c r="Q691" s="10" t="s">
        <v>126</v>
      </c>
      <c r="R691" s="10"/>
      <c r="S691" s="19" t="s">
        <v>6129</v>
      </c>
      <c r="T691" s="19" t="s">
        <v>6079</v>
      </c>
      <c r="U691" s="10" t="s">
        <v>5066</v>
      </c>
      <c r="V691" s="10" t="s">
        <v>5042</v>
      </c>
      <c r="W691" s="10" t="s">
        <v>5007</v>
      </c>
      <c r="X691" s="10" t="s">
        <v>130</v>
      </c>
      <c r="Y691" s="10" t="s">
        <v>130</v>
      </c>
      <c r="Z691" s="10" t="s">
        <v>99</v>
      </c>
      <c r="AA691" s="10" t="s">
        <v>131</v>
      </c>
      <c r="AB691" s="10" t="s">
        <v>5008</v>
      </c>
      <c r="AC691" s="10" t="s">
        <v>5009</v>
      </c>
      <c r="AD691" s="10" t="s">
        <v>6130</v>
      </c>
      <c r="AE691" s="10" t="s">
        <v>6131</v>
      </c>
      <c r="AF691" s="15"/>
      <c r="AG691" s="10"/>
      <c r="AH691" s="10"/>
      <c r="AI691" s="10"/>
      <c r="AJ691" s="10" t="s">
        <v>6132</v>
      </c>
      <c r="AK691" s="10" t="s">
        <v>102</v>
      </c>
      <c r="AL691" s="10" t="s">
        <v>1467</v>
      </c>
      <c r="AM691" s="10"/>
      <c r="AN691" s="10"/>
      <c r="AO691" s="13" t="b">
        <v>1</v>
      </c>
      <c r="AP691" s="10" t="s">
        <v>104</v>
      </c>
      <c r="AQ691" s="10">
        <f ca="1">IFERROR(__xludf.DUMMYFUNCTION("""COMPUTED_VALUE"""),4704458)</f>
        <v>4704458</v>
      </c>
      <c r="AR691" s="17">
        <v>78111</v>
      </c>
      <c r="AS691" s="17">
        <v>51238</v>
      </c>
      <c r="AT691" s="17">
        <v>2579975.5</v>
      </c>
      <c r="AU691" s="17">
        <v>323.55</v>
      </c>
      <c r="AV691" s="17">
        <v>86.4</v>
      </c>
      <c r="AW691" s="10" t="s">
        <v>105</v>
      </c>
      <c r="AX691" s="17">
        <v>29067</v>
      </c>
      <c r="AY691" s="18">
        <v>50.352775283968931</v>
      </c>
      <c r="AZ691" s="10" t="s">
        <v>106</v>
      </c>
      <c r="BA691" s="20" t="b">
        <v>0</v>
      </c>
      <c r="BB691" s="10"/>
      <c r="BC691" s="17">
        <v>78111</v>
      </c>
      <c r="BD691" s="17">
        <v>51238</v>
      </c>
      <c r="BE691" s="17">
        <v>2579975.5</v>
      </c>
      <c r="BF691" s="17">
        <v>86.4</v>
      </c>
      <c r="BG691" s="11">
        <f ca="1">IFERROR(__xludf.DUMMYFUNCTION("""COMPUTED_VALUE"""),45971.125)</f>
        <v>45971.125</v>
      </c>
      <c r="BH691" s="17" t="s">
        <v>105</v>
      </c>
      <c r="BI691" s="17"/>
      <c r="BJ691" s="15"/>
      <c r="BK691" s="15"/>
      <c r="BL691" s="13" t="b">
        <v>0</v>
      </c>
      <c r="BM691" s="10"/>
      <c r="BN691" s="10" t="s">
        <v>106</v>
      </c>
      <c r="BO691" s="11">
        <v>45866.101388888892</v>
      </c>
      <c r="BP691" s="11">
        <v>45965.556967592594</v>
      </c>
      <c r="BQ691" s="15">
        <v>45966.44263888889</v>
      </c>
      <c r="BR691" s="15">
        <v>45966.667546296296</v>
      </c>
      <c r="BS691" s="10"/>
      <c r="BT691" s="10" t="s">
        <v>99</v>
      </c>
      <c r="BU691" s="10"/>
      <c r="BV691" s="10" t="s">
        <v>124</v>
      </c>
      <c r="BW691" s="10"/>
      <c r="BX691" s="10"/>
      <c r="BY691" s="23"/>
      <c r="BZ691" s="23"/>
      <c r="CA691" s="19" t="s">
        <v>6133</v>
      </c>
      <c r="CB691" s="19" t="s">
        <v>6134</v>
      </c>
      <c r="CC691" s="23"/>
      <c r="CD691" s="19" t="s">
        <v>6135</v>
      </c>
      <c r="CE691" s="23"/>
      <c r="CF691" s="23"/>
      <c r="CG691" s="23"/>
      <c r="CH691" s="23"/>
      <c r="CI691" s="23"/>
    </row>
    <row r="692" spans="1:87" x14ac:dyDescent="0.3">
      <c r="A692" s="9" t="s">
        <v>6136</v>
      </c>
      <c r="B692" s="10" t="s">
        <v>6137</v>
      </c>
      <c r="C692" s="11">
        <v>45970.833333333336</v>
      </c>
      <c r="D692" s="12">
        <v>8.3333333333333329E-2</v>
      </c>
      <c r="E692" s="11">
        <v>45970.916666666664</v>
      </c>
      <c r="F692" s="10" t="s">
        <v>5001</v>
      </c>
      <c r="G692" s="13" t="b">
        <v>0</v>
      </c>
      <c r="H692" s="10" t="s">
        <v>3578</v>
      </c>
      <c r="I692" s="10" t="s">
        <v>89</v>
      </c>
      <c r="J692" s="13" t="b">
        <v>0</v>
      </c>
      <c r="K692" s="13" t="b">
        <v>1</v>
      </c>
      <c r="L692" s="10" t="s">
        <v>124</v>
      </c>
      <c r="M692" s="10" t="s">
        <v>91</v>
      </c>
      <c r="N692" s="10" t="s">
        <v>92</v>
      </c>
      <c r="O692" s="19" t="s">
        <v>6138</v>
      </c>
      <c r="P692" s="10"/>
      <c r="Q692" s="10" t="s">
        <v>126</v>
      </c>
      <c r="R692" s="10"/>
      <c r="S692" s="19" t="s">
        <v>6139</v>
      </c>
      <c r="T692" s="19" t="s">
        <v>6079</v>
      </c>
      <c r="U692" s="10" t="s">
        <v>5076</v>
      </c>
      <c r="V692" s="10" t="s">
        <v>5019</v>
      </c>
      <c r="W692" s="10" t="s">
        <v>5007</v>
      </c>
      <c r="X692" s="10" t="s">
        <v>130</v>
      </c>
      <c r="Y692" s="10" t="s">
        <v>130</v>
      </c>
      <c r="Z692" s="10" t="s">
        <v>99</v>
      </c>
      <c r="AA692" s="10" t="s">
        <v>131</v>
      </c>
      <c r="AB692" s="10" t="s">
        <v>5008</v>
      </c>
      <c r="AC692" s="10" t="s">
        <v>5009</v>
      </c>
      <c r="AD692" s="10" t="s">
        <v>6140</v>
      </c>
      <c r="AE692" s="10" t="s">
        <v>6141</v>
      </c>
      <c r="AF692" s="15"/>
      <c r="AG692" s="10"/>
      <c r="AH692" s="10"/>
      <c r="AI692" s="10"/>
      <c r="AJ692" s="10" t="s">
        <v>6142</v>
      </c>
      <c r="AK692" s="10" t="s">
        <v>102</v>
      </c>
      <c r="AL692" s="10" t="s">
        <v>1467</v>
      </c>
      <c r="AM692" s="10"/>
      <c r="AN692" s="10"/>
      <c r="AO692" s="13" t="b">
        <v>0</v>
      </c>
      <c r="AP692" s="10" t="s">
        <v>104</v>
      </c>
      <c r="AQ692" s="10">
        <f ca="1">IFERROR(__xludf.DUMMYFUNCTION("""COMPUTED_VALUE"""),4704455)</f>
        <v>4704455</v>
      </c>
      <c r="AR692" s="17">
        <v>22089</v>
      </c>
      <c r="AS692" s="17">
        <v>17131</v>
      </c>
      <c r="AT692" s="17">
        <v>266216.75</v>
      </c>
      <c r="AU692" s="17">
        <v>73.8</v>
      </c>
      <c r="AV692" s="17">
        <v>31.35</v>
      </c>
      <c r="AW692" s="10" t="s">
        <v>105</v>
      </c>
      <c r="AX692" s="17">
        <v>5162</v>
      </c>
      <c r="AY692" s="18">
        <v>15.540058957445567</v>
      </c>
      <c r="AZ692" s="10" t="s">
        <v>106</v>
      </c>
      <c r="BA692" s="20" t="b">
        <v>0</v>
      </c>
      <c r="BB692" s="10"/>
      <c r="BC692" s="17">
        <v>22089</v>
      </c>
      <c r="BD692" s="17">
        <v>17131</v>
      </c>
      <c r="BE692" s="17">
        <v>266216.75</v>
      </c>
      <c r="BF692" s="17">
        <v>31.35</v>
      </c>
      <c r="BG692" s="11">
        <f ca="1">IFERROR(__xludf.DUMMYFUNCTION("""COMPUTED_VALUE"""),45970.8333333333)</f>
        <v>45970.833333333299</v>
      </c>
      <c r="BH692" s="17" t="s">
        <v>105</v>
      </c>
      <c r="BI692" s="17"/>
      <c r="BJ692" s="15"/>
      <c r="BK692" s="15"/>
      <c r="BL692" s="13" t="b">
        <v>0</v>
      </c>
      <c r="BM692" s="10"/>
      <c r="BN692" s="10" t="s">
        <v>106</v>
      </c>
      <c r="BO692" s="11">
        <v>45866.101388888892</v>
      </c>
      <c r="BP692" s="11">
        <v>45965.543090277781</v>
      </c>
      <c r="BQ692" s="15">
        <v>45966.441759259258</v>
      </c>
      <c r="BR692" s="15">
        <v>45966.666620370372</v>
      </c>
      <c r="BS692" s="10"/>
      <c r="BT692" s="10"/>
      <c r="BU692" s="10"/>
      <c r="BV692" s="10"/>
      <c r="BW692" s="10"/>
      <c r="BX692" s="10"/>
      <c r="BY692" s="23"/>
      <c r="BZ692" s="23"/>
      <c r="CA692" s="19" t="s">
        <v>6143</v>
      </c>
      <c r="CB692" s="19" t="s">
        <v>6144</v>
      </c>
      <c r="CC692" s="23"/>
      <c r="CD692" s="19" t="s">
        <v>6145</v>
      </c>
      <c r="CE692" s="23"/>
      <c r="CF692" s="23"/>
      <c r="CG692" s="23"/>
      <c r="CH692" s="23"/>
      <c r="CI692" s="23"/>
    </row>
    <row r="693" spans="1:87" x14ac:dyDescent="0.3">
      <c r="A693" s="9" t="s">
        <v>6146</v>
      </c>
      <c r="B693" s="10" t="s">
        <v>6147</v>
      </c>
      <c r="C693" s="11">
        <v>45970.125</v>
      </c>
      <c r="D693" s="12">
        <v>8.3333333333333329E-2</v>
      </c>
      <c r="E693" s="11">
        <v>45970.208333333336</v>
      </c>
      <c r="F693" s="10" t="s">
        <v>5001</v>
      </c>
      <c r="G693" s="13" t="b">
        <v>0</v>
      </c>
      <c r="H693" s="10" t="s">
        <v>3564</v>
      </c>
      <c r="I693" s="10" t="s">
        <v>89</v>
      </c>
      <c r="J693" s="13" t="b">
        <v>0</v>
      </c>
      <c r="K693" s="13" t="b">
        <v>1</v>
      </c>
      <c r="L693" s="10" t="s">
        <v>124</v>
      </c>
      <c r="M693" s="10" t="s">
        <v>91</v>
      </c>
      <c r="N693" s="10" t="s">
        <v>92</v>
      </c>
      <c r="O693" s="19" t="s">
        <v>6148</v>
      </c>
      <c r="P693" s="10"/>
      <c r="Q693" s="10" t="s">
        <v>126</v>
      </c>
      <c r="R693" s="10"/>
      <c r="S693" s="19" t="s">
        <v>6149</v>
      </c>
      <c r="T693" s="19" t="s">
        <v>6079</v>
      </c>
      <c r="U693" s="10" t="s">
        <v>5089</v>
      </c>
      <c r="V693" s="10" t="s">
        <v>5018</v>
      </c>
      <c r="W693" s="10" t="s">
        <v>5007</v>
      </c>
      <c r="X693" s="10" t="s">
        <v>130</v>
      </c>
      <c r="Y693" s="10" t="s">
        <v>130</v>
      </c>
      <c r="Z693" s="10" t="s">
        <v>99</v>
      </c>
      <c r="AA693" s="10" t="s">
        <v>131</v>
      </c>
      <c r="AB693" s="10" t="s">
        <v>5008</v>
      </c>
      <c r="AC693" s="10" t="s">
        <v>5009</v>
      </c>
      <c r="AD693" s="10" t="s">
        <v>6150</v>
      </c>
      <c r="AE693" s="10" t="s">
        <v>6151</v>
      </c>
      <c r="AF693" s="15"/>
      <c r="AG693" s="10"/>
      <c r="AH693" s="10"/>
      <c r="AI693" s="10"/>
      <c r="AJ693" s="10" t="s">
        <v>6152</v>
      </c>
      <c r="AK693" s="10" t="s">
        <v>102</v>
      </c>
      <c r="AL693" s="10" t="s">
        <v>1467</v>
      </c>
      <c r="AM693" s="10"/>
      <c r="AN693" s="10"/>
      <c r="AO693" s="13" t="b">
        <v>0</v>
      </c>
      <c r="AP693" s="10" t="s">
        <v>104</v>
      </c>
      <c r="AQ693" s="10">
        <f ca="1">IFERROR(__xludf.DUMMYFUNCTION("""COMPUTED_VALUE"""),4704452)</f>
        <v>4704452</v>
      </c>
      <c r="AR693" s="17">
        <v>4685</v>
      </c>
      <c r="AS693" s="17">
        <v>3730</v>
      </c>
      <c r="AT693" s="17">
        <v>81885.25</v>
      </c>
      <c r="AU693" s="17">
        <v>1.9</v>
      </c>
      <c r="AV693" s="17">
        <v>0.65</v>
      </c>
      <c r="AW693" s="10" t="s">
        <v>105</v>
      </c>
      <c r="AX693" s="17">
        <v>1404</v>
      </c>
      <c r="AY693" s="18">
        <v>21.953150134048258</v>
      </c>
      <c r="AZ693" s="10" t="s">
        <v>106</v>
      </c>
      <c r="BA693" s="20" t="b">
        <v>0</v>
      </c>
      <c r="BB693" s="10"/>
      <c r="BC693" s="17">
        <v>4685</v>
      </c>
      <c r="BD693" s="17">
        <v>3730</v>
      </c>
      <c r="BE693" s="17">
        <v>81885.25</v>
      </c>
      <c r="BF693" s="17">
        <v>0.65</v>
      </c>
      <c r="BG693" s="11">
        <f ca="1">IFERROR(__xludf.DUMMYFUNCTION("""COMPUTED_VALUE"""),45970.125)</f>
        <v>45970.125</v>
      </c>
      <c r="BH693" s="17" t="s">
        <v>105</v>
      </c>
      <c r="BI693" s="17"/>
      <c r="BJ693" s="15"/>
      <c r="BK693" s="15"/>
      <c r="BL693" s="13" t="b">
        <v>0</v>
      </c>
      <c r="BM693" s="10"/>
      <c r="BN693" s="10" t="s">
        <v>106</v>
      </c>
      <c r="BO693" s="11">
        <v>45866.101388888892</v>
      </c>
      <c r="BP693" s="11">
        <v>45965.536828703705</v>
      </c>
      <c r="BQ693" s="15">
        <v>45966.441550925927</v>
      </c>
      <c r="BR693" s="15">
        <v>45966.658043981479</v>
      </c>
      <c r="BS693" s="10"/>
      <c r="BT693" s="10"/>
      <c r="BU693" s="10"/>
      <c r="BV693" s="10"/>
      <c r="BW693" s="10"/>
      <c r="BX693" s="10"/>
      <c r="BY693" s="23"/>
      <c r="BZ693" s="23"/>
      <c r="CA693" s="19" t="s">
        <v>6153</v>
      </c>
      <c r="CB693" s="19" t="s">
        <v>6154</v>
      </c>
      <c r="CC693" s="23"/>
      <c r="CD693" s="19" t="s">
        <v>6155</v>
      </c>
      <c r="CE693" s="23"/>
      <c r="CF693" s="23"/>
      <c r="CG693" s="23"/>
      <c r="CH693" s="23"/>
      <c r="CI693" s="23"/>
    </row>
    <row r="694" spans="1:87" x14ac:dyDescent="0.3">
      <c r="A694" s="9" t="s">
        <v>6156</v>
      </c>
      <c r="B694" s="10" t="s">
        <v>6157</v>
      </c>
      <c r="C694" s="11">
        <v>45971.020833333336</v>
      </c>
      <c r="D694" s="12">
        <v>8.3333333333333329E-2</v>
      </c>
      <c r="E694" s="11">
        <v>45971.104166666664</v>
      </c>
      <c r="F694" s="10" t="s">
        <v>5001</v>
      </c>
      <c r="G694" s="13" t="b">
        <v>0</v>
      </c>
      <c r="H694" s="10" t="s">
        <v>5239</v>
      </c>
      <c r="I694" s="10" t="s">
        <v>89</v>
      </c>
      <c r="J694" s="13" t="b">
        <v>0</v>
      </c>
      <c r="K694" s="13" t="b">
        <v>1</v>
      </c>
      <c r="L694" s="10" t="s">
        <v>124</v>
      </c>
      <c r="M694" s="10" t="s">
        <v>91</v>
      </c>
      <c r="N694" s="10" t="s">
        <v>92</v>
      </c>
      <c r="O694" s="19" t="s">
        <v>6158</v>
      </c>
      <c r="P694" s="10"/>
      <c r="Q694" s="10" t="s">
        <v>94</v>
      </c>
      <c r="R694" s="10"/>
      <c r="S694" s="19" t="s">
        <v>6159</v>
      </c>
      <c r="T694" s="19" t="s">
        <v>6079</v>
      </c>
      <c r="U694" s="10" t="s">
        <v>5041</v>
      </c>
      <c r="V694" s="10" t="s">
        <v>5067</v>
      </c>
      <c r="W694" s="10" t="s">
        <v>5007</v>
      </c>
      <c r="X694" s="10" t="s">
        <v>130</v>
      </c>
      <c r="Y694" s="10" t="s">
        <v>130</v>
      </c>
      <c r="Z694" s="10" t="s">
        <v>99</v>
      </c>
      <c r="AA694" s="10" t="s">
        <v>131</v>
      </c>
      <c r="AB694" s="10" t="s">
        <v>5008</v>
      </c>
      <c r="AC694" s="10" t="s">
        <v>5009</v>
      </c>
      <c r="AD694" s="10" t="s">
        <v>6160</v>
      </c>
      <c r="AE694" s="10" t="s">
        <v>6161</v>
      </c>
      <c r="AF694" s="15"/>
      <c r="AG694" s="10"/>
      <c r="AH694" s="10"/>
      <c r="AI694" s="10"/>
      <c r="AJ694" s="10"/>
      <c r="AK694" s="10" t="s">
        <v>102</v>
      </c>
      <c r="AL694" s="10" t="s">
        <v>1467</v>
      </c>
      <c r="AM694" s="10"/>
      <c r="AN694" s="10"/>
      <c r="AO694" s="13" t="b">
        <v>0</v>
      </c>
      <c r="AP694" s="10" t="s">
        <v>104</v>
      </c>
      <c r="AQ694" s="10">
        <f ca="1">IFERROR(__xludf.DUMMYFUNCTION("""COMPUTED_VALUE"""),4704466)</f>
        <v>4704466</v>
      </c>
      <c r="AR694" s="17">
        <v>3043</v>
      </c>
      <c r="AS694" s="17">
        <v>2346</v>
      </c>
      <c r="AT694" s="17">
        <v>29849.25</v>
      </c>
      <c r="AU694" s="17">
        <v>1.75</v>
      </c>
      <c r="AV694" s="17">
        <v>0.85</v>
      </c>
      <c r="AW694" s="10" t="s">
        <v>105</v>
      </c>
      <c r="AX694" s="17">
        <v>691</v>
      </c>
      <c r="AY694" s="18">
        <v>12.723465473145779</v>
      </c>
      <c r="AZ694" s="10" t="s">
        <v>106</v>
      </c>
      <c r="BA694" s="20" t="b">
        <v>0</v>
      </c>
      <c r="BB694" s="10"/>
      <c r="BC694" s="17">
        <v>3043</v>
      </c>
      <c r="BD694" s="17">
        <v>2346</v>
      </c>
      <c r="BE694" s="17">
        <v>29849.25</v>
      </c>
      <c r="BF694" s="17">
        <v>0.85</v>
      </c>
      <c r="BG694" s="11">
        <f ca="1">IFERROR(__xludf.DUMMYFUNCTION("""COMPUTED_VALUE"""),45971.0208333333)</f>
        <v>45971.020833333299</v>
      </c>
      <c r="BH694" s="17" t="s">
        <v>105</v>
      </c>
      <c r="BI694" s="17"/>
      <c r="BJ694" s="15"/>
      <c r="BK694" s="15"/>
      <c r="BL694" s="13" t="b">
        <v>0</v>
      </c>
      <c r="BM694" s="10"/>
      <c r="BN694" s="10" t="s">
        <v>106</v>
      </c>
      <c r="BO694" s="11">
        <v>45866.101388888892</v>
      </c>
      <c r="BP694" s="11">
        <v>45957.695462962962</v>
      </c>
      <c r="BQ694" s="15">
        <v>45966.442233796297</v>
      </c>
      <c r="BR694" s="15">
        <v>45966.681250000001</v>
      </c>
      <c r="BS694" s="10"/>
      <c r="BT694" s="10"/>
      <c r="BU694" s="10"/>
      <c r="BV694" s="10"/>
      <c r="BW694" s="10"/>
      <c r="BX694" s="10"/>
      <c r="BY694" s="23"/>
      <c r="BZ694" s="23"/>
      <c r="CA694" s="19" t="s">
        <v>6162</v>
      </c>
      <c r="CB694" s="19" t="s">
        <v>6163</v>
      </c>
      <c r="CC694" s="23"/>
      <c r="CD694" s="23"/>
      <c r="CE694" s="23"/>
      <c r="CF694" s="23"/>
      <c r="CG694" s="23"/>
      <c r="CH694" s="23"/>
      <c r="CI694" s="23"/>
    </row>
    <row r="695" spans="1:87" x14ac:dyDescent="0.3">
      <c r="A695" s="9" t="s">
        <v>6164</v>
      </c>
      <c r="B695" s="10" t="s">
        <v>6165</v>
      </c>
      <c r="C695" s="11">
        <v>45971.020833333336</v>
      </c>
      <c r="D695" s="12">
        <v>8.3333333333333329E-2</v>
      </c>
      <c r="E695" s="11">
        <v>45971.104166666664</v>
      </c>
      <c r="F695" s="10" t="s">
        <v>5001</v>
      </c>
      <c r="G695" s="13" t="b">
        <v>0</v>
      </c>
      <c r="H695" s="10" t="s">
        <v>3564</v>
      </c>
      <c r="I695" s="10" t="s">
        <v>89</v>
      </c>
      <c r="J695" s="13" t="b">
        <v>0</v>
      </c>
      <c r="K695" s="13" t="b">
        <v>1</v>
      </c>
      <c r="L695" s="10" t="s">
        <v>124</v>
      </c>
      <c r="M695" s="10" t="s">
        <v>91</v>
      </c>
      <c r="N695" s="10" t="s">
        <v>92</v>
      </c>
      <c r="O695" s="19" t="s">
        <v>6166</v>
      </c>
      <c r="P695" s="10"/>
      <c r="Q695" s="10" t="s">
        <v>126</v>
      </c>
      <c r="R695" s="10"/>
      <c r="S695" s="19" t="s">
        <v>6167</v>
      </c>
      <c r="T695" s="19" t="s">
        <v>6079</v>
      </c>
      <c r="U695" s="10" t="s">
        <v>5054</v>
      </c>
      <c r="V695" s="10" t="s">
        <v>5102</v>
      </c>
      <c r="W695" s="10" t="s">
        <v>5007</v>
      </c>
      <c r="X695" s="10" t="s">
        <v>130</v>
      </c>
      <c r="Y695" s="10" t="s">
        <v>130</v>
      </c>
      <c r="Z695" s="10" t="s">
        <v>99</v>
      </c>
      <c r="AA695" s="10" t="s">
        <v>131</v>
      </c>
      <c r="AB695" s="10" t="s">
        <v>5008</v>
      </c>
      <c r="AC695" s="10" t="s">
        <v>5009</v>
      </c>
      <c r="AD695" s="10" t="s">
        <v>6168</v>
      </c>
      <c r="AE695" s="10" t="s">
        <v>6169</v>
      </c>
      <c r="AF695" s="15"/>
      <c r="AG695" s="10"/>
      <c r="AH695" s="10"/>
      <c r="AI695" s="10"/>
      <c r="AJ695" s="10" t="s">
        <v>6170</v>
      </c>
      <c r="AK695" s="10" t="s">
        <v>102</v>
      </c>
      <c r="AL695" s="10" t="s">
        <v>1467</v>
      </c>
      <c r="AM695" s="10"/>
      <c r="AN695" s="10"/>
      <c r="AO695" s="13" t="b">
        <v>0</v>
      </c>
      <c r="AP695" s="10" t="s">
        <v>104</v>
      </c>
      <c r="AQ695" s="10">
        <f ca="1">IFERROR(__xludf.DUMMYFUNCTION("""COMPUTED_VALUE"""),4704457)</f>
        <v>4704457</v>
      </c>
      <c r="AR695" s="17">
        <v>11940</v>
      </c>
      <c r="AS695" s="17">
        <v>9151</v>
      </c>
      <c r="AT695" s="17">
        <v>288900.75</v>
      </c>
      <c r="AU695" s="17">
        <v>19.45</v>
      </c>
      <c r="AV695" s="17">
        <v>10.7</v>
      </c>
      <c r="AW695" s="10" t="s">
        <v>105</v>
      </c>
      <c r="AX695" s="17">
        <v>10193</v>
      </c>
      <c r="AY695" s="18">
        <v>31.570402141842422</v>
      </c>
      <c r="AZ695" s="10" t="s">
        <v>106</v>
      </c>
      <c r="BA695" s="20" t="b">
        <v>0</v>
      </c>
      <c r="BB695" s="10"/>
      <c r="BC695" s="17">
        <v>11940</v>
      </c>
      <c r="BD695" s="17">
        <v>9151</v>
      </c>
      <c r="BE695" s="17">
        <v>288900.75</v>
      </c>
      <c r="BF695" s="17">
        <v>10.7</v>
      </c>
      <c r="BG695" s="11">
        <f ca="1">IFERROR(__xludf.DUMMYFUNCTION("""COMPUTED_VALUE"""),45971.0208333333)</f>
        <v>45971.020833333299</v>
      </c>
      <c r="BH695" s="17" t="s">
        <v>105</v>
      </c>
      <c r="BI695" s="17"/>
      <c r="BJ695" s="15"/>
      <c r="BK695" s="15"/>
      <c r="BL695" s="13" t="b">
        <v>0</v>
      </c>
      <c r="BM695" s="10"/>
      <c r="BN695" s="10" t="s">
        <v>106</v>
      </c>
      <c r="BO695" s="11">
        <v>45866.101388888892</v>
      </c>
      <c r="BP695" s="11">
        <v>45965.552997685183</v>
      </c>
      <c r="BQ695" s="15">
        <v>45966.442418981482</v>
      </c>
      <c r="BR695" s="15">
        <v>45966.667268518519</v>
      </c>
      <c r="BS695" s="10"/>
      <c r="BT695" s="10"/>
      <c r="BU695" s="10"/>
      <c r="BV695" s="10"/>
      <c r="BW695" s="10"/>
      <c r="BX695" s="10"/>
      <c r="BY695" s="23"/>
      <c r="BZ695" s="23"/>
      <c r="CA695" s="19" t="s">
        <v>6171</v>
      </c>
      <c r="CB695" s="19" t="s">
        <v>6172</v>
      </c>
      <c r="CC695" s="23"/>
      <c r="CD695" s="19" t="s">
        <v>6173</v>
      </c>
      <c r="CE695" s="23"/>
      <c r="CF695" s="23"/>
      <c r="CG695" s="23"/>
      <c r="CH695" s="23"/>
      <c r="CI695" s="23"/>
    </row>
    <row r="696" spans="1:87" x14ac:dyDescent="0.3">
      <c r="A696" s="9" t="s">
        <v>6174</v>
      </c>
      <c r="B696" s="10" t="s">
        <v>6175</v>
      </c>
      <c r="C696" s="11">
        <v>45984.020833333336</v>
      </c>
      <c r="D696" s="12">
        <v>8.3333333333333329E-2</v>
      </c>
      <c r="E696" s="11">
        <v>45984.104166666664</v>
      </c>
      <c r="F696" s="10" t="s">
        <v>5001</v>
      </c>
      <c r="G696" s="13" t="b">
        <v>0</v>
      </c>
      <c r="H696" s="10" t="s">
        <v>3578</v>
      </c>
      <c r="I696" s="10" t="s">
        <v>89</v>
      </c>
      <c r="J696" s="13" t="b">
        <v>0</v>
      </c>
      <c r="K696" s="13" t="b">
        <v>1</v>
      </c>
      <c r="L696" s="10" t="s">
        <v>124</v>
      </c>
      <c r="M696" s="10" t="s">
        <v>91</v>
      </c>
      <c r="N696" s="10" t="s">
        <v>92</v>
      </c>
      <c r="O696" s="19" t="s">
        <v>6176</v>
      </c>
      <c r="P696" s="10"/>
      <c r="Q696" s="10" t="s">
        <v>126</v>
      </c>
      <c r="R696" s="10"/>
      <c r="S696" s="19" t="s">
        <v>6177</v>
      </c>
      <c r="T696" s="19" t="s">
        <v>6178</v>
      </c>
      <c r="U696" s="10" t="s">
        <v>5114</v>
      </c>
      <c r="V696" s="10" t="s">
        <v>5055</v>
      </c>
      <c r="W696" s="10" t="s">
        <v>5007</v>
      </c>
      <c r="X696" s="10" t="s">
        <v>130</v>
      </c>
      <c r="Y696" s="10" t="s">
        <v>130</v>
      </c>
      <c r="Z696" s="10" t="s">
        <v>99</v>
      </c>
      <c r="AA696" s="10" t="s">
        <v>131</v>
      </c>
      <c r="AB696" s="10" t="s">
        <v>5008</v>
      </c>
      <c r="AC696" s="10" t="s">
        <v>5009</v>
      </c>
      <c r="AD696" s="10" t="s">
        <v>6179</v>
      </c>
      <c r="AE696" s="10" t="s">
        <v>6180</v>
      </c>
      <c r="AF696" s="15"/>
      <c r="AG696" s="10"/>
      <c r="AH696" s="10"/>
      <c r="AI696" s="10"/>
      <c r="AJ696" s="10" t="s">
        <v>6181</v>
      </c>
      <c r="AK696" s="10" t="s">
        <v>102</v>
      </c>
      <c r="AL696" s="10" t="s">
        <v>1569</v>
      </c>
      <c r="AM696" s="10"/>
      <c r="AN696" s="10"/>
      <c r="AO696" s="13" t="b">
        <v>0</v>
      </c>
      <c r="AP696" s="10" t="s">
        <v>104</v>
      </c>
      <c r="AQ696" s="10">
        <f ca="1">IFERROR(__xludf.DUMMYFUNCTION("""COMPUTED_VALUE"""),4724318)</f>
        <v>4724318</v>
      </c>
      <c r="AR696" s="17">
        <v>8675</v>
      </c>
      <c r="AS696" s="17">
        <v>6933</v>
      </c>
      <c r="AT696" s="17">
        <v>108934</v>
      </c>
      <c r="AU696" s="17">
        <v>9.5</v>
      </c>
      <c r="AV696" s="17">
        <v>3.1</v>
      </c>
      <c r="AW696" s="10" t="s">
        <v>105</v>
      </c>
      <c r="AX696" s="17">
        <v>19010</v>
      </c>
      <c r="AY696" s="18">
        <v>15.712390018750902</v>
      </c>
      <c r="AZ696" s="10" t="s">
        <v>106</v>
      </c>
      <c r="BA696" s="20" t="b">
        <v>0</v>
      </c>
      <c r="BB696" s="10"/>
      <c r="BC696" s="17">
        <v>8675</v>
      </c>
      <c r="BD696" s="17">
        <v>6933</v>
      </c>
      <c r="BE696" s="17">
        <v>108934</v>
      </c>
      <c r="BF696" s="17">
        <v>3.1</v>
      </c>
      <c r="BG696" s="11">
        <f ca="1">IFERROR(__xludf.DUMMYFUNCTION("""COMPUTED_VALUE"""),45984.0208333333)</f>
        <v>45984.020833333299</v>
      </c>
      <c r="BH696" s="17" t="s">
        <v>105</v>
      </c>
      <c r="BI696" s="17"/>
      <c r="BJ696" s="15"/>
      <c r="BK696" s="15"/>
      <c r="BL696" s="13" t="b">
        <v>0</v>
      </c>
      <c r="BM696" s="10"/>
      <c r="BN696" s="10" t="s">
        <v>197</v>
      </c>
      <c r="BO696" s="11">
        <v>45866.101388888892</v>
      </c>
      <c r="BP696" s="11">
        <v>45973.624826388892</v>
      </c>
      <c r="BQ696" s="15">
        <v>45978.468877314815</v>
      </c>
      <c r="BR696" s="15">
        <v>45979.49659722222</v>
      </c>
      <c r="BS696" s="10" t="s">
        <v>197</v>
      </c>
      <c r="BT696" s="10"/>
      <c r="BU696" s="10"/>
      <c r="BV696" s="10"/>
      <c r="BW696" s="10"/>
      <c r="BX696" s="10"/>
      <c r="BY696" s="23"/>
      <c r="BZ696" s="23"/>
      <c r="CA696" s="19" t="s">
        <v>6182</v>
      </c>
      <c r="CB696" s="19" t="s">
        <v>6183</v>
      </c>
      <c r="CC696" s="23"/>
      <c r="CD696" s="19" t="s">
        <v>6184</v>
      </c>
      <c r="CE696" s="23"/>
      <c r="CF696" s="23"/>
      <c r="CG696" s="23"/>
      <c r="CH696" s="23"/>
      <c r="CI696" s="23"/>
    </row>
    <row r="697" spans="1:87" x14ac:dyDescent="0.3">
      <c r="A697" s="9" t="s">
        <v>6185</v>
      </c>
      <c r="B697" s="10" t="s">
        <v>6186</v>
      </c>
      <c r="C697" s="11">
        <v>45985.020833333336</v>
      </c>
      <c r="D697" s="12">
        <v>8.3333333333333329E-2</v>
      </c>
      <c r="E697" s="11">
        <v>45985.104166666664</v>
      </c>
      <c r="F697" s="10" t="s">
        <v>5001</v>
      </c>
      <c r="G697" s="13" t="b">
        <v>0</v>
      </c>
      <c r="H697" s="10" t="s">
        <v>3578</v>
      </c>
      <c r="I697" s="10" t="s">
        <v>89</v>
      </c>
      <c r="J697" s="13" t="b">
        <v>0</v>
      </c>
      <c r="K697" s="13" t="b">
        <v>1</v>
      </c>
      <c r="L697" s="10" t="s">
        <v>124</v>
      </c>
      <c r="M697" s="10" t="s">
        <v>91</v>
      </c>
      <c r="N697" s="10" t="s">
        <v>92</v>
      </c>
      <c r="O697" s="19" t="s">
        <v>6187</v>
      </c>
      <c r="P697" s="10"/>
      <c r="Q697" s="10" t="s">
        <v>126</v>
      </c>
      <c r="R697" s="10"/>
      <c r="S697" s="19" t="s">
        <v>6188</v>
      </c>
      <c r="T697" s="19" t="s">
        <v>6178</v>
      </c>
      <c r="U697" s="10" t="s">
        <v>5067</v>
      </c>
      <c r="V697" s="10" t="s">
        <v>5090</v>
      </c>
      <c r="W697" s="10" t="s">
        <v>5007</v>
      </c>
      <c r="X697" s="10" t="s">
        <v>130</v>
      </c>
      <c r="Y697" s="10" t="s">
        <v>130</v>
      </c>
      <c r="Z697" s="10" t="s">
        <v>99</v>
      </c>
      <c r="AA697" s="10" t="s">
        <v>131</v>
      </c>
      <c r="AB697" s="10" t="s">
        <v>5008</v>
      </c>
      <c r="AC697" s="10" t="s">
        <v>5009</v>
      </c>
      <c r="AD697" s="10" t="s">
        <v>6189</v>
      </c>
      <c r="AE697" s="10" t="s">
        <v>6190</v>
      </c>
      <c r="AF697" s="15"/>
      <c r="AG697" s="10"/>
      <c r="AH697" s="10"/>
      <c r="AI697" s="10"/>
      <c r="AJ697" s="10" t="s">
        <v>6191</v>
      </c>
      <c r="AK697" s="10" t="s">
        <v>102</v>
      </c>
      <c r="AL697" s="10" t="s">
        <v>1569</v>
      </c>
      <c r="AM697" s="10"/>
      <c r="AN697" s="10"/>
      <c r="AO697" s="13" t="b">
        <v>0</v>
      </c>
      <c r="AP697" s="10" t="s">
        <v>104</v>
      </c>
      <c r="AQ697" s="10">
        <f ca="1">IFERROR(__xludf.DUMMYFUNCTION("""COMPUTED_VALUE"""),4726811)</f>
        <v>4726811</v>
      </c>
      <c r="AR697" s="17">
        <v>17756</v>
      </c>
      <c r="AS697" s="17">
        <v>13103</v>
      </c>
      <c r="AT697" s="17">
        <v>458752</v>
      </c>
      <c r="AU697" s="17">
        <v>46.45</v>
      </c>
      <c r="AV697" s="17">
        <v>11.8</v>
      </c>
      <c r="AW697" s="10" t="s">
        <v>105</v>
      </c>
      <c r="AX697" s="17">
        <v>5488</v>
      </c>
      <c r="AY697" s="18">
        <v>35.011218804853847</v>
      </c>
      <c r="AZ697" s="10" t="s">
        <v>106</v>
      </c>
      <c r="BA697" s="20" t="b">
        <v>0</v>
      </c>
      <c r="BB697" s="10"/>
      <c r="BC697" s="17">
        <v>17756</v>
      </c>
      <c r="BD697" s="17">
        <v>13103</v>
      </c>
      <c r="BE697" s="17">
        <v>458752</v>
      </c>
      <c r="BF697" s="17">
        <v>11.8</v>
      </c>
      <c r="BG697" s="11">
        <f ca="1">IFERROR(__xludf.DUMMYFUNCTION("""COMPUTED_VALUE"""),45985.0208333333)</f>
        <v>45985.020833333299</v>
      </c>
      <c r="BH697" s="17" t="s">
        <v>105</v>
      </c>
      <c r="BI697" s="17"/>
      <c r="BJ697" s="15"/>
      <c r="BK697" s="15"/>
      <c r="BL697" s="13" t="b">
        <v>0</v>
      </c>
      <c r="BM697" s="10"/>
      <c r="BN697" s="10" t="s">
        <v>149</v>
      </c>
      <c r="BO697" s="11">
        <v>45866.101388888892</v>
      </c>
      <c r="BP697" s="11">
        <v>45973.638715277775</v>
      </c>
      <c r="BQ697" s="15">
        <v>45978.469571759262</v>
      </c>
      <c r="BR697" s="15">
        <v>45982.538935185185</v>
      </c>
      <c r="BS697" s="10" t="s">
        <v>149</v>
      </c>
      <c r="BT697" s="10"/>
      <c r="BU697" s="10"/>
      <c r="BV697" s="10"/>
      <c r="BW697" s="10"/>
      <c r="BX697" s="10"/>
      <c r="BY697" s="23"/>
      <c r="BZ697" s="23"/>
      <c r="CA697" s="19" t="s">
        <v>6192</v>
      </c>
      <c r="CB697" s="19" t="s">
        <v>6193</v>
      </c>
      <c r="CC697" s="23"/>
      <c r="CD697" s="19" t="s">
        <v>6194</v>
      </c>
      <c r="CE697" s="23"/>
      <c r="CF697" s="23"/>
      <c r="CG697" s="23"/>
      <c r="CH697" s="23"/>
      <c r="CI697" s="23"/>
    </row>
    <row r="698" spans="1:87" x14ac:dyDescent="0.3">
      <c r="A698" s="9" t="s">
        <v>6195</v>
      </c>
      <c r="B698" s="10" t="s">
        <v>6196</v>
      </c>
      <c r="C698" s="11">
        <v>45983.927083333336</v>
      </c>
      <c r="D698" s="12">
        <v>8.3333333333333329E-2</v>
      </c>
      <c r="E698" s="11">
        <v>45984.010416666664</v>
      </c>
      <c r="F698" s="10" t="s">
        <v>5001</v>
      </c>
      <c r="G698" s="13" t="b">
        <v>0</v>
      </c>
      <c r="H698" s="10" t="s">
        <v>3578</v>
      </c>
      <c r="I698" s="10" t="s">
        <v>89</v>
      </c>
      <c r="J698" s="13" t="b">
        <v>0</v>
      </c>
      <c r="K698" s="13" t="b">
        <v>1</v>
      </c>
      <c r="L698" s="10" t="s">
        <v>124</v>
      </c>
      <c r="M698" s="10" t="s">
        <v>91</v>
      </c>
      <c r="N698" s="10" t="s">
        <v>92</v>
      </c>
      <c r="O698" s="19" t="s">
        <v>6197</v>
      </c>
      <c r="P698" s="10"/>
      <c r="Q698" s="10" t="s">
        <v>126</v>
      </c>
      <c r="R698" s="10"/>
      <c r="S698" s="19" t="s">
        <v>6198</v>
      </c>
      <c r="T698" s="19" t="s">
        <v>6178</v>
      </c>
      <c r="U698" s="10" t="s">
        <v>5042</v>
      </c>
      <c r="V698" s="10" t="s">
        <v>5076</v>
      </c>
      <c r="W698" s="10" t="s">
        <v>5007</v>
      </c>
      <c r="X698" s="10" t="s">
        <v>130</v>
      </c>
      <c r="Y698" s="10" t="s">
        <v>130</v>
      </c>
      <c r="Z698" s="10" t="s">
        <v>99</v>
      </c>
      <c r="AA698" s="10" t="s">
        <v>131</v>
      </c>
      <c r="AB698" s="10" t="s">
        <v>5008</v>
      </c>
      <c r="AC698" s="10" t="s">
        <v>5009</v>
      </c>
      <c r="AD698" s="10" t="s">
        <v>6199</v>
      </c>
      <c r="AE698" s="10" t="s">
        <v>6200</v>
      </c>
      <c r="AF698" s="15"/>
      <c r="AG698" s="10"/>
      <c r="AH698" s="10"/>
      <c r="AI698" s="10"/>
      <c r="AJ698" s="10" t="s">
        <v>6201</v>
      </c>
      <c r="AK698" s="10" t="s">
        <v>102</v>
      </c>
      <c r="AL698" s="10" t="s">
        <v>1569</v>
      </c>
      <c r="AM698" s="10"/>
      <c r="AN698" s="10"/>
      <c r="AO698" s="13" t="b">
        <v>1</v>
      </c>
      <c r="AP698" s="10" t="s">
        <v>104</v>
      </c>
      <c r="AQ698" s="10">
        <f ca="1">IFERROR(__xludf.DUMMYFUNCTION("""COMPUTED_VALUE"""),4724317)</f>
        <v>4724317</v>
      </c>
      <c r="AR698" s="17">
        <v>215638</v>
      </c>
      <c r="AS698" s="17">
        <v>134285</v>
      </c>
      <c r="AT698" s="17">
        <v>4290595.5</v>
      </c>
      <c r="AU698" s="17">
        <v>3921.4</v>
      </c>
      <c r="AV698" s="17">
        <v>767.95</v>
      </c>
      <c r="AW698" s="10" t="s">
        <v>105</v>
      </c>
      <c r="AX698" s="17">
        <v>59621</v>
      </c>
      <c r="AY698" s="18">
        <v>31.95141303943106</v>
      </c>
      <c r="AZ698" s="10" t="s">
        <v>106</v>
      </c>
      <c r="BA698" s="20" t="b">
        <v>0</v>
      </c>
      <c r="BB698" s="10"/>
      <c r="BC698" s="17">
        <v>215638</v>
      </c>
      <c r="BD698" s="17">
        <v>134285</v>
      </c>
      <c r="BE698" s="17">
        <v>4290595.5</v>
      </c>
      <c r="BF698" s="17">
        <v>767.95</v>
      </c>
      <c r="BG698" s="11">
        <f ca="1">IFERROR(__xludf.DUMMYFUNCTION("""COMPUTED_VALUE"""),45983.9270833333)</f>
        <v>45983.927083333299</v>
      </c>
      <c r="BH698" s="17" t="s">
        <v>105</v>
      </c>
      <c r="BI698" s="17"/>
      <c r="BJ698" s="15"/>
      <c r="BK698" s="15"/>
      <c r="BL698" s="13" t="b">
        <v>0</v>
      </c>
      <c r="BM698" s="10"/>
      <c r="BN698" s="10" t="s">
        <v>149</v>
      </c>
      <c r="BO698" s="11">
        <v>45866.101388888892</v>
      </c>
      <c r="BP698" s="11">
        <v>45973.619432870371</v>
      </c>
      <c r="BQ698" s="15">
        <v>45978.468587962961</v>
      </c>
      <c r="BR698" s="15">
        <v>45979.496458333335</v>
      </c>
      <c r="BS698" s="10" t="s">
        <v>149</v>
      </c>
      <c r="BT698" s="10" t="s">
        <v>99</v>
      </c>
      <c r="BU698" s="10" t="s">
        <v>5081</v>
      </c>
      <c r="BV698" s="10" t="s">
        <v>281</v>
      </c>
      <c r="BW698" s="10" t="s">
        <v>2629</v>
      </c>
      <c r="BX698" s="10"/>
      <c r="BY698" s="23"/>
      <c r="BZ698" s="23"/>
      <c r="CA698" s="19" t="s">
        <v>6202</v>
      </c>
      <c r="CB698" s="19" t="s">
        <v>6203</v>
      </c>
      <c r="CC698" s="23"/>
      <c r="CD698" s="19" t="s">
        <v>6204</v>
      </c>
      <c r="CE698" s="23"/>
      <c r="CF698" s="23"/>
      <c r="CG698" s="23"/>
      <c r="CH698" s="23"/>
      <c r="CI698" s="23"/>
    </row>
    <row r="699" spans="1:87" x14ac:dyDescent="0.3">
      <c r="A699" s="9" t="s">
        <v>6205</v>
      </c>
      <c r="B699" s="10" t="s">
        <v>6206</v>
      </c>
      <c r="C699" s="11">
        <v>45986.125</v>
      </c>
      <c r="D699" s="12">
        <v>8.3333333333333329E-2</v>
      </c>
      <c r="E699" s="11">
        <v>45986.208333333336</v>
      </c>
      <c r="F699" s="10" t="s">
        <v>5001</v>
      </c>
      <c r="G699" s="13" t="b">
        <v>0</v>
      </c>
      <c r="H699" s="10" t="s">
        <v>3578</v>
      </c>
      <c r="I699" s="10" t="s">
        <v>89</v>
      </c>
      <c r="J699" s="13" t="b">
        <v>0</v>
      </c>
      <c r="K699" s="13" t="b">
        <v>1</v>
      </c>
      <c r="L699" s="10" t="s">
        <v>124</v>
      </c>
      <c r="M699" s="10" t="s">
        <v>91</v>
      </c>
      <c r="N699" s="10" t="s">
        <v>92</v>
      </c>
      <c r="O699" s="19" t="s">
        <v>6207</v>
      </c>
      <c r="P699" s="10"/>
      <c r="Q699" s="10" t="s">
        <v>126</v>
      </c>
      <c r="R699" s="10"/>
      <c r="S699" s="19" t="s">
        <v>6208</v>
      </c>
      <c r="T699" s="19" t="s">
        <v>6178</v>
      </c>
      <c r="U699" s="10" t="s">
        <v>5089</v>
      </c>
      <c r="V699" s="10" t="s">
        <v>5077</v>
      </c>
      <c r="W699" s="10" t="s">
        <v>5007</v>
      </c>
      <c r="X699" s="10" t="s">
        <v>130</v>
      </c>
      <c r="Y699" s="10" t="s">
        <v>130</v>
      </c>
      <c r="Z699" s="10" t="s">
        <v>99</v>
      </c>
      <c r="AA699" s="10" t="s">
        <v>131</v>
      </c>
      <c r="AB699" s="10" t="s">
        <v>5008</v>
      </c>
      <c r="AC699" s="10" t="s">
        <v>5009</v>
      </c>
      <c r="AD699" s="10" t="s">
        <v>6209</v>
      </c>
      <c r="AE699" s="10" t="s">
        <v>6210</v>
      </c>
      <c r="AF699" s="15"/>
      <c r="AG699" s="10"/>
      <c r="AH699" s="10"/>
      <c r="AI699" s="10"/>
      <c r="AJ699" s="10" t="s">
        <v>6211</v>
      </c>
      <c r="AK699" s="10" t="s">
        <v>102</v>
      </c>
      <c r="AL699" s="10" t="s">
        <v>1569</v>
      </c>
      <c r="AM699" s="10"/>
      <c r="AN699" s="10"/>
      <c r="AO699" s="13" t="b">
        <v>0</v>
      </c>
      <c r="AP699" s="10" t="s">
        <v>104</v>
      </c>
      <c r="AQ699" s="10">
        <f ca="1">IFERROR(__xludf.DUMMYFUNCTION("""COMPUTED_VALUE"""),4726813)</f>
        <v>4726813</v>
      </c>
      <c r="AR699" s="17">
        <v>5064</v>
      </c>
      <c r="AS699" s="17">
        <v>3819</v>
      </c>
      <c r="AT699" s="17">
        <v>68920.5</v>
      </c>
      <c r="AU699" s="17">
        <v>5.85</v>
      </c>
      <c r="AV699" s="17">
        <v>2.2999999999999998</v>
      </c>
      <c r="AW699" s="10" t="s">
        <v>105</v>
      </c>
      <c r="AX699" s="17">
        <v>1250</v>
      </c>
      <c r="AY699" s="18">
        <v>18.046739984289079</v>
      </c>
      <c r="AZ699" s="10" t="s">
        <v>106</v>
      </c>
      <c r="BA699" s="20" t="b">
        <v>0</v>
      </c>
      <c r="BB699" s="10"/>
      <c r="BC699" s="17">
        <v>5064</v>
      </c>
      <c r="BD699" s="17">
        <v>3819</v>
      </c>
      <c r="BE699" s="17">
        <v>68920.5</v>
      </c>
      <c r="BF699" s="17">
        <v>2.2999999999999998</v>
      </c>
      <c r="BG699" s="11">
        <f ca="1">IFERROR(__xludf.DUMMYFUNCTION("""COMPUTED_VALUE"""),45986.125)</f>
        <v>45986.125</v>
      </c>
      <c r="BH699" s="17" t="s">
        <v>105</v>
      </c>
      <c r="BI699" s="17"/>
      <c r="BJ699" s="15"/>
      <c r="BK699" s="15"/>
      <c r="BL699" s="13" t="b">
        <v>0</v>
      </c>
      <c r="BM699" s="10"/>
      <c r="BN699" s="10" t="s">
        <v>149</v>
      </c>
      <c r="BO699" s="11">
        <v>45866.101388888892</v>
      </c>
      <c r="BP699" s="11">
        <v>45973.643773148149</v>
      </c>
      <c r="BQ699" s="15">
        <v>45978.469965277778</v>
      </c>
      <c r="BR699" s="15">
        <v>45982.539305555554</v>
      </c>
      <c r="BS699" s="10" t="s">
        <v>149</v>
      </c>
      <c r="BT699" s="10"/>
      <c r="BU699" s="10"/>
      <c r="BV699" s="10"/>
      <c r="BW699" s="10"/>
      <c r="BX699" s="10"/>
      <c r="BY699" s="23"/>
      <c r="BZ699" s="23"/>
      <c r="CA699" s="19" t="s">
        <v>6212</v>
      </c>
      <c r="CB699" s="19" t="s">
        <v>6213</v>
      </c>
      <c r="CC699" s="23"/>
      <c r="CD699" s="19" t="s">
        <v>6214</v>
      </c>
      <c r="CE699" s="23"/>
      <c r="CF699" s="23"/>
      <c r="CG699" s="23"/>
      <c r="CH699" s="23"/>
      <c r="CI699" s="23"/>
    </row>
    <row r="700" spans="1:87" x14ac:dyDescent="0.3">
      <c r="A700" s="9" t="s">
        <v>6215</v>
      </c>
      <c r="B700" s="10" t="s">
        <v>6216</v>
      </c>
      <c r="C700" s="11">
        <v>45984.927083333336</v>
      </c>
      <c r="D700" s="12">
        <v>8.3333333333333329E-2</v>
      </c>
      <c r="E700" s="11">
        <v>45985.010416666664</v>
      </c>
      <c r="F700" s="10" t="s">
        <v>5001</v>
      </c>
      <c r="G700" s="13" t="b">
        <v>0</v>
      </c>
      <c r="H700" s="10" t="s">
        <v>3578</v>
      </c>
      <c r="I700" s="10" t="s">
        <v>89</v>
      </c>
      <c r="J700" s="13" t="b">
        <v>0</v>
      </c>
      <c r="K700" s="13" t="b">
        <v>1</v>
      </c>
      <c r="L700" s="10" t="s">
        <v>124</v>
      </c>
      <c r="M700" s="10" t="s">
        <v>91</v>
      </c>
      <c r="N700" s="10" t="s">
        <v>92</v>
      </c>
      <c r="O700" s="19" t="s">
        <v>6217</v>
      </c>
      <c r="P700" s="10"/>
      <c r="Q700" s="10" t="s">
        <v>126</v>
      </c>
      <c r="R700" s="10"/>
      <c r="S700" s="19" t="s">
        <v>6218</v>
      </c>
      <c r="T700" s="19" t="s">
        <v>6178</v>
      </c>
      <c r="U700" s="10" t="s">
        <v>5102</v>
      </c>
      <c r="V700" s="10" t="s">
        <v>5005</v>
      </c>
      <c r="W700" s="10" t="s">
        <v>5007</v>
      </c>
      <c r="X700" s="10" t="s">
        <v>130</v>
      </c>
      <c r="Y700" s="10" t="s">
        <v>130</v>
      </c>
      <c r="Z700" s="10" t="s">
        <v>99</v>
      </c>
      <c r="AA700" s="10" t="s">
        <v>131</v>
      </c>
      <c r="AB700" s="10" t="s">
        <v>5008</v>
      </c>
      <c r="AC700" s="10" t="s">
        <v>5009</v>
      </c>
      <c r="AD700" s="10" t="s">
        <v>6219</v>
      </c>
      <c r="AE700" s="10" t="s">
        <v>6220</v>
      </c>
      <c r="AF700" s="15"/>
      <c r="AG700" s="10"/>
      <c r="AH700" s="10"/>
      <c r="AI700" s="10"/>
      <c r="AJ700" s="10" t="s">
        <v>6221</v>
      </c>
      <c r="AK700" s="10" t="s">
        <v>102</v>
      </c>
      <c r="AL700" s="10" t="s">
        <v>1569</v>
      </c>
      <c r="AM700" s="10"/>
      <c r="AN700" s="10"/>
      <c r="AO700" s="13" t="b">
        <v>0</v>
      </c>
      <c r="AP700" s="10" t="s">
        <v>104</v>
      </c>
      <c r="AQ700" s="10">
        <f ca="1">IFERROR(__xludf.DUMMYFUNCTION("""COMPUTED_VALUE"""),4724321)</f>
        <v>4724321</v>
      </c>
      <c r="AR700" s="17">
        <v>20933</v>
      </c>
      <c r="AS700" s="17">
        <v>16273</v>
      </c>
      <c r="AT700" s="17">
        <v>280037</v>
      </c>
      <c r="AU700" s="17">
        <v>76.349999999999994</v>
      </c>
      <c r="AV700" s="17">
        <v>16.05</v>
      </c>
      <c r="AW700" s="10" t="s">
        <v>105</v>
      </c>
      <c r="AX700" s="17">
        <v>5940</v>
      </c>
      <c r="AY700" s="18">
        <v>17.208689239845143</v>
      </c>
      <c r="AZ700" s="10" t="s">
        <v>106</v>
      </c>
      <c r="BA700" s="20" t="b">
        <v>0</v>
      </c>
      <c r="BB700" s="10"/>
      <c r="BC700" s="17">
        <v>20933</v>
      </c>
      <c r="BD700" s="17">
        <v>16273</v>
      </c>
      <c r="BE700" s="17">
        <v>280037</v>
      </c>
      <c r="BF700" s="17">
        <v>16.05</v>
      </c>
      <c r="BG700" s="11">
        <f ca="1">IFERROR(__xludf.DUMMYFUNCTION("""COMPUTED_VALUE"""),45984.9270833333)</f>
        <v>45984.927083333299</v>
      </c>
      <c r="BH700" s="17" t="s">
        <v>105</v>
      </c>
      <c r="BI700" s="17"/>
      <c r="BJ700" s="15"/>
      <c r="BK700" s="15"/>
      <c r="BL700" s="13" t="b">
        <v>0</v>
      </c>
      <c r="BM700" s="10"/>
      <c r="BN700" s="10" t="s">
        <v>4030</v>
      </c>
      <c r="BO700" s="11">
        <v>45866.101388888892</v>
      </c>
      <c r="BP700" s="11">
        <v>45973.63517361111</v>
      </c>
      <c r="BQ700" s="15">
        <v>45978.469375000001</v>
      </c>
      <c r="BR700" s="15">
        <v>45979.991446759261</v>
      </c>
      <c r="BS700" s="10" t="s">
        <v>4030</v>
      </c>
      <c r="BT700" s="10"/>
      <c r="BU700" s="10"/>
      <c r="BV700" s="10"/>
      <c r="BW700" s="10"/>
      <c r="BX700" s="10"/>
      <c r="BY700" s="23"/>
      <c r="BZ700" s="23"/>
      <c r="CA700" s="19" t="s">
        <v>6222</v>
      </c>
      <c r="CB700" s="19" t="s">
        <v>6223</v>
      </c>
      <c r="CC700" s="23"/>
      <c r="CD700" s="19" t="s">
        <v>6224</v>
      </c>
      <c r="CE700" s="23"/>
      <c r="CF700" s="23"/>
      <c r="CG700" s="23"/>
      <c r="CH700" s="23"/>
      <c r="CI700" s="23"/>
    </row>
    <row r="701" spans="1:87" x14ac:dyDescent="0.3">
      <c r="A701" s="9" t="s">
        <v>6225</v>
      </c>
      <c r="B701" s="10" t="s">
        <v>6226</v>
      </c>
      <c r="C701" s="11">
        <v>45983.833333333336</v>
      </c>
      <c r="D701" s="12">
        <v>8.3333333333333329E-2</v>
      </c>
      <c r="E701" s="11">
        <v>45983.916666666664</v>
      </c>
      <c r="F701" s="10" t="s">
        <v>5001</v>
      </c>
      <c r="G701" s="13" t="b">
        <v>0</v>
      </c>
      <c r="H701" s="10" t="s">
        <v>3578</v>
      </c>
      <c r="I701" s="10" t="s">
        <v>89</v>
      </c>
      <c r="J701" s="13" t="b">
        <v>0</v>
      </c>
      <c r="K701" s="13" t="b">
        <v>1</v>
      </c>
      <c r="L701" s="10" t="s">
        <v>124</v>
      </c>
      <c r="M701" s="10" t="s">
        <v>91</v>
      </c>
      <c r="N701" s="10" t="s">
        <v>92</v>
      </c>
      <c r="O701" s="19" t="s">
        <v>6227</v>
      </c>
      <c r="P701" s="10"/>
      <c r="Q701" s="10" t="s">
        <v>94</v>
      </c>
      <c r="R701" s="10"/>
      <c r="S701" s="19" t="s">
        <v>6228</v>
      </c>
      <c r="T701" s="19" t="s">
        <v>6178</v>
      </c>
      <c r="U701" s="10" t="s">
        <v>5031</v>
      </c>
      <c r="V701" s="10" t="s">
        <v>5066</v>
      </c>
      <c r="W701" s="10" t="s">
        <v>5007</v>
      </c>
      <c r="X701" s="10" t="s">
        <v>130</v>
      </c>
      <c r="Y701" s="10" t="s">
        <v>130</v>
      </c>
      <c r="Z701" s="10" t="s">
        <v>99</v>
      </c>
      <c r="AA701" s="10" t="s">
        <v>131</v>
      </c>
      <c r="AB701" s="10" t="s">
        <v>5008</v>
      </c>
      <c r="AC701" s="10" t="s">
        <v>5009</v>
      </c>
      <c r="AD701" s="10" t="s">
        <v>6229</v>
      </c>
      <c r="AE701" s="10" t="s">
        <v>6230</v>
      </c>
      <c r="AF701" s="15"/>
      <c r="AG701" s="10"/>
      <c r="AH701" s="10"/>
      <c r="AI701" s="10"/>
      <c r="AJ701" s="10"/>
      <c r="AK701" s="10" t="s">
        <v>102</v>
      </c>
      <c r="AL701" s="10" t="s">
        <v>1569</v>
      </c>
      <c r="AM701" s="10"/>
      <c r="AN701" s="10"/>
      <c r="AO701" s="13" t="b">
        <v>0</v>
      </c>
      <c r="AP701" s="10" t="s">
        <v>104</v>
      </c>
      <c r="AQ701" s="10">
        <f ca="1">IFERROR(__xludf.DUMMYFUNCTION("""COMPUTED_VALUE"""),4724316)</f>
        <v>4724316</v>
      </c>
      <c r="AR701" s="17">
        <v>32737</v>
      </c>
      <c r="AS701" s="17">
        <v>24281</v>
      </c>
      <c r="AT701" s="17">
        <v>478916.5</v>
      </c>
      <c r="AU701" s="17">
        <v>432.35</v>
      </c>
      <c r="AV701" s="17">
        <v>79.5</v>
      </c>
      <c r="AW701" s="10" t="s">
        <v>105</v>
      </c>
      <c r="AX701" s="17">
        <v>7263</v>
      </c>
      <c r="AY701" s="18">
        <v>19.723919937399614</v>
      </c>
      <c r="AZ701" s="10" t="s">
        <v>106</v>
      </c>
      <c r="BA701" s="20" t="b">
        <v>0</v>
      </c>
      <c r="BB701" s="10"/>
      <c r="BC701" s="17">
        <v>32737</v>
      </c>
      <c r="BD701" s="17">
        <v>24281</v>
      </c>
      <c r="BE701" s="17">
        <v>478916.5</v>
      </c>
      <c r="BF701" s="17">
        <v>79.5</v>
      </c>
      <c r="BG701" s="11">
        <f ca="1">IFERROR(__xludf.DUMMYFUNCTION("""COMPUTED_VALUE"""),45983.8333333333)</f>
        <v>45983.833333333299</v>
      </c>
      <c r="BH701" s="17" t="s">
        <v>105</v>
      </c>
      <c r="BI701" s="17"/>
      <c r="BJ701" s="15"/>
      <c r="BK701" s="15"/>
      <c r="BL701" s="13" t="b">
        <v>0</v>
      </c>
      <c r="BM701" s="10"/>
      <c r="BN701" s="10" t="s">
        <v>197</v>
      </c>
      <c r="BO701" s="11">
        <v>45866.101388888892</v>
      </c>
      <c r="BP701" s="11">
        <v>45957.705335648148</v>
      </c>
      <c r="BQ701" s="15">
        <v>45978.468368055554</v>
      </c>
      <c r="BR701" s="15">
        <v>45979.496331018519</v>
      </c>
      <c r="BS701" s="10" t="s">
        <v>197</v>
      </c>
      <c r="BT701" s="10"/>
      <c r="BU701" s="10"/>
      <c r="BV701" s="10"/>
      <c r="BW701" s="10"/>
      <c r="BX701" s="10"/>
      <c r="BY701" s="23"/>
      <c r="BZ701" s="23"/>
      <c r="CA701" s="19" t="s">
        <v>6231</v>
      </c>
      <c r="CB701" s="19" t="s">
        <v>6232</v>
      </c>
      <c r="CC701" s="23"/>
      <c r="CD701" s="23"/>
      <c r="CE701" s="23"/>
      <c r="CF701" s="23"/>
      <c r="CG701" s="23"/>
      <c r="CH701" s="23"/>
      <c r="CI701" s="23"/>
    </row>
    <row r="702" spans="1:87" x14ac:dyDescent="0.3">
      <c r="A702" s="9" t="s">
        <v>6233</v>
      </c>
      <c r="B702" s="10" t="s">
        <v>6234</v>
      </c>
      <c r="C702" s="11">
        <v>45984.125</v>
      </c>
      <c r="D702" s="12">
        <v>8.3333333333333329E-2</v>
      </c>
      <c r="E702" s="11">
        <v>45984.208333333336</v>
      </c>
      <c r="F702" s="10" t="s">
        <v>5001</v>
      </c>
      <c r="G702" s="13" t="b">
        <v>0</v>
      </c>
      <c r="H702" s="10" t="s">
        <v>3578</v>
      </c>
      <c r="I702" s="10" t="s">
        <v>89</v>
      </c>
      <c r="J702" s="13" t="b">
        <v>0</v>
      </c>
      <c r="K702" s="13" t="b">
        <v>1</v>
      </c>
      <c r="L702" s="10" t="s">
        <v>124</v>
      </c>
      <c r="M702" s="10" t="s">
        <v>91</v>
      </c>
      <c r="N702" s="10" t="s">
        <v>92</v>
      </c>
      <c r="O702" s="19" t="s">
        <v>6235</v>
      </c>
      <c r="P702" s="10"/>
      <c r="Q702" s="10" t="s">
        <v>126</v>
      </c>
      <c r="R702" s="10"/>
      <c r="S702" s="19" t="s">
        <v>6236</v>
      </c>
      <c r="T702" s="19" t="s">
        <v>6178</v>
      </c>
      <c r="U702" s="10" t="s">
        <v>5018</v>
      </c>
      <c r="V702" s="10" t="s">
        <v>5041</v>
      </c>
      <c r="W702" s="10" t="s">
        <v>5007</v>
      </c>
      <c r="X702" s="10" t="s">
        <v>130</v>
      </c>
      <c r="Y702" s="10" t="s">
        <v>130</v>
      </c>
      <c r="Z702" s="10" t="s">
        <v>99</v>
      </c>
      <c r="AA702" s="10" t="s">
        <v>131</v>
      </c>
      <c r="AB702" s="10" t="s">
        <v>5008</v>
      </c>
      <c r="AC702" s="10" t="s">
        <v>5009</v>
      </c>
      <c r="AD702" s="10" t="s">
        <v>6237</v>
      </c>
      <c r="AE702" s="10" t="s">
        <v>6238</v>
      </c>
      <c r="AF702" s="15"/>
      <c r="AG702" s="10"/>
      <c r="AH702" s="10"/>
      <c r="AI702" s="10"/>
      <c r="AJ702" s="10" t="s">
        <v>6239</v>
      </c>
      <c r="AK702" s="10" t="s">
        <v>102</v>
      </c>
      <c r="AL702" s="10" t="s">
        <v>1569</v>
      </c>
      <c r="AM702" s="10"/>
      <c r="AN702" s="10"/>
      <c r="AO702" s="13" t="b">
        <v>0</v>
      </c>
      <c r="AP702" s="10" t="s">
        <v>104</v>
      </c>
      <c r="AQ702" s="10">
        <f ca="1">IFERROR(__xludf.DUMMYFUNCTION("""COMPUTED_VALUE"""),4724319)</f>
        <v>4724319</v>
      </c>
      <c r="AR702" s="17">
        <v>5005</v>
      </c>
      <c r="AS702" s="17">
        <v>3806</v>
      </c>
      <c r="AT702" s="17">
        <v>104193</v>
      </c>
      <c r="AU702" s="17">
        <v>10.5</v>
      </c>
      <c r="AV702" s="17">
        <v>1.75</v>
      </c>
      <c r="AW702" s="10" t="s">
        <v>105</v>
      </c>
      <c r="AX702" s="17">
        <v>3042</v>
      </c>
      <c r="AY702" s="18">
        <v>27.375985286389909</v>
      </c>
      <c r="AZ702" s="10" t="s">
        <v>106</v>
      </c>
      <c r="BA702" s="20" t="b">
        <v>0</v>
      </c>
      <c r="BB702" s="10"/>
      <c r="BC702" s="17">
        <v>5005</v>
      </c>
      <c r="BD702" s="17">
        <v>3806</v>
      </c>
      <c r="BE702" s="17">
        <v>104193</v>
      </c>
      <c r="BF702" s="17">
        <v>1.75</v>
      </c>
      <c r="BG702" s="11">
        <f ca="1">IFERROR(__xludf.DUMMYFUNCTION("""COMPUTED_VALUE"""),45984.125)</f>
        <v>45984.125</v>
      </c>
      <c r="BH702" s="17" t="s">
        <v>105</v>
      </c>
      <c r="BI702" s="17"/>
      <c r="BJ702" s="15"/>
      <c r="BK702" s="15"/>
      <c r="BL702" s="13" t="b">
        <v>0</v>
      </c>
      <c r="BM702" s="10"/>
      <c r="BN702" s="10" t="s">
        <v>197</v>
      </c>
      <c r="BO702" s="11">
        <v>45866.101388888892</v>
      </c>
      <c r="BP702" s="11">
        <v>45973.630810185183</v>
      </c>
      <c r="BQ702" s="15">
        <v>45978.469074074077</v>
      </c>
      <c r="BR702" s="15">
        <v>45979.496990740743</v>
      </c>
      <c r="BS702" s="10" t="s">
        <v>197</v>
      </c>
      <c r="BT702" s="10"/>
      <c r="BU702" s="10"/>
      <c r="BV702" s="10"/>
      <c r="BW702" s="10"/>
      <c r="BX702" s="10"/>
      <c r="BY702" s="23"/>
      <c r="BZ702" s="23"/>
      <c r="CA702" s="19" t="s">
        <v>6240</v>
      </c>
      <c r="CB702" s="19" t="s">
        <v>6241</v>
      </c>
      <c r="CC702" s="23"/>
      <c r="CD702" s="19" t="s">
        <v>6242</v>
      </c>
      <c r="CE702" s="23"/>
      <c r="CF702" s="23"/>
      <c r="CG702" s="23"/>
      <c r="CH702" s="23"/>
      <c r="CI702" s="23"/>
    </row>
    <row r="703" spans="1:87" x14ac:dyDescent="0.3">
      <c r="A703" s="9" t="s">
        <v>6243</v>
      </c>
      <c r="B703" s="10" t="s">
        <v>6244</v>
      </c>
      <c r="C703" s="11">
        <v>45984.833333333336</v>
      </c>
      <c r="D703" s="12">
        <v>8.3333333333333329E-2</v>
      </c>
      <c r="E703" s="11">
        <v>45984.916666666664</v>
      </c>
      <c r="F703" s="10" t="s">
        <v>5001</v>
      </c>
      <c r="G703" s="13" t="b">
        <v>0</v>
      </c>
      <c r="H703" s="10" t="s">
        <v>3578</v>
      </c>
      <c r="I703" s="10" t="s">
        <v>89</v>
      </c>
      <c r="J703" s="13" t="b">
        <v>0</v>
      </c>
      <c r="K703" s="13" t="b">
        <v>1</v>
      </c>
      <c r="L703" s="10" t="s">
        <v>124</v>
      </c>
      <c r="M703" s="10" t="s">
        <v>91</v>
      </c>
      <c r="N703" s="10" t="s">
        <v>92</v>
      </c>
      <c r="O703" s="19" t="s">
        <v>6245</v>
      </c>
      <c r="P703" s="10"/>
      <c r="Q703" s="10" t="s">
        <v>94</v>
      </c>
      <c r="R703" s="10"/>
      <c r="S703" s="19" t="s">
        <v>6246</v>
      </c>
      <c r="T703" s="19" t="s">
        <v>6178</v>
      </c>
      <c r="U703" s="10" t="s">
        <v>5019</v>
      </c>
      <c r="V703" s="10" t="s">
        <v>5006</v>
      </c>
      <c r="W703" s="10" t="s">
        <v>5007</v>
      </c>
      <c r="X703" s="10" t="s">
        <v>130</v>
      </c>
      <c r="Y703" s="10" t="s">
        <v>130</v>
      </c>
      <c r="Z703" s="10" t="s">
        <v>99</v>
      </c>
      <c r="AA703" s="10" t="s">
        <v>131</v>
      </c>
      <c r="AB703" s="10" t="s">
        <v>5008</v>
      </c>
      <c r="AC703" s="10" t="s">
        <v>5009</v>
      </c>
      <c r="AD703" s="10" t="s">
        <v>6247</v>
      </c>
      <c r="AE703" s="10" t="s">
        <v>6248</v>
      </c>
      <c r="AF703" s="15"/>
      <c r="AG703" s="10"/>
      <c r="AH703" s="10"/>
      <c r="AI703" s="10"/>
      <c r="AJ703" s="10"/>
      <c r="AK703" s="10" t="s">
        <v>102</v>
      </c>
      <c r="AL703" s="10" t="s">
        <v>1569</v>
      </c>
      <c r="AM703" s="10"/>
      <c r="AN703" s="10"/>
      <c r="AO703" s="13" t="b">
        <v>0</v>
      </c>
      <c r="AP703" s="10" t="s">
        <v>104</v>
      </c>
      <c r="AQ703" s="10">
        <f ca="1">IFERROR(__xludf.DUMMYFUNCTION("""COMPUTED_VALUE"""),4724320)</f>
        <v>4724320</v>
      </c>
      <c r="AR703" s="17">
        <v>13270</v>
      </c>
      <c r="AS703" s="17">
        <v>9941</v>
      </c>
      <c r="AT703" s="17">
        <v>204574.5</v>
      </c>
      <c r="AU703" s="17">
        <v>52</v>
      </c>
      <c r="AV703" s="17">
        <v>12.3</v>
      </c>
      <c r="AW703" s="10" t="s">
        <v>105</v>
      </c>
      <c r="AX703" s="17">
        <v>2948</v>
      </c>
      <c r="AY703" s="18">
        <v>20.578865305301278</v>
      </c>
      <c r="AZ703" s="10" t="s">
        <v>106</v>
      </c>
      <c r="BA703" s="20" t="b">
        <v>0</v>
      </c>
      <c r="BB703" s="10"/>
      <c r="BC703" s="17">
        <v>13270</v>
      </c>
      <c r="BD703" s="17">
        <v>9941</v>
      </c>
      <c r="BE703" s="17">
        <v>204574.5</v>
      </c>
      <c r="BF703" s="17">
        <v>12.3</v>
      </c>
      <c r="BG703" s="11">
        <f ca="1">IFERROR(__xludf.DUMMYFUNCTION("""COMPUTED_VALUE"""),45984.8333333333)</f>
        <v>45984.833333333299</v>
      </c>
      <c r="BH703" s="17" t="s">
        <v>105</v>
      </c>
      <c r="BI703" s="17"/>
      <c r="BJ703" s="15"/>
      <c r="BK703" s="15"/>
      <c r="BL703" s="13" t="b">
        <v>0</v>
      </c>
      <c r="BM703" s="10"/>
      <c r="BN703" s="10" t="s">
        <v>4030</v>
      </c>
      <c r="BO703" s="11">
        <v>45866.101388888892</v>
      </c>
      <c r="BP703" s="11">
        <v>45957.705636574072</v>
      </c>
      <c r="BQ703" s="15">
        <v>45978.469224537039</v>
      </c>
      <c r="BR703" s="15">
        <v>45979.991678240738</v>
      </c>
      <c r="BS703" s="10" t="s">
        <v>4030</v>
      </c>
      <c r="BT703" s="10"/>
      <c r="BU703" s="10"/>
      <c r="BV703" s="10"/>
      <c r="BW703" s="10"/>
      <c r="BX703" s="10"/>
      <c r="BY703" s="23"/>
      <c r="BZ703" s="23"/>
      <c r="CA703" s="19" t="s">
        <v>6249</v>
      </c>
      <c r="CB703" s="19" t="s">
        <v>6250</v>
      </c>
      <c r="CC703" s="23"/>
      <c r="CD703" s="23"/>
      <c r="CE703" s="23"/>
      <c r="CF703" s="23"/>
      <c r="CG703" s="23"/>
      <c r="CH703" s="23"/>
      <c r="CI703" s="23"/>
    </row>
    <row r="704" spans="1:87" x14ac:dyDescent="0.3">
      <c r="A704" s="9" t="s">
        <v>6251</v>
      </c>
      <c r="B704" s="10" t="s">
        <v>6252</v>
      </c>
      <c r="C704" s="11">
        <v>45985.125</v>
      </c>
      <c r="D704" s="12">
        <v>8.3333333333333329E-2</v>
      </c>
      <c r="E704" s="11">
        <v>45985.208333333336</v>
      </c>
      <c r="F704" s="10" t="s">
        <v>5001</v>
      </c>
      <c r="G704" s="13" t="b">
        <v>0</v>
      </c>
      <c r="H704" s="10" t="s">
        <v>3578</v>
      </c>
      <c r="I704" s="10" t="s">
        <v>89</v>
      </c>
      <c r="J704" s="13" t="b">
        <v>0</v>
      </c>
      <c r="K704" s="13" t="b">
        <v>1</v>
      </c>
      <c r="L704" s="10" t="s">
        <v>124</v>
      </c>
      <c r="M704" s="10" t="s">
        <v>91</v>
      </c>
      <c r="N704" s="10" t="s">
        <v>92</v>
      </c>
      <c r="O704" s="19" t="s">
        <v>6253</v>
      </c>
      <c r="P704" s="10"/>
      <c r="Q704" s="10" t="s">
        <v>126</v>
      </c>
      <c r="R704" s="10"/>
      <c r="S704" s="19" t="s">
        <v>6254</v>
      </c>
      <c r="T704" s="19" t="s">
        <v>6178</v>
      </c>
      <c r="U704" s="10" t="s">
        <v>5101</v>
      </c>
      <c r="V704" s="10" t="s">
        <v>5113</v>
      </c>
      <c r="W704" s="10" t="s">
        <v>5007</v>
      </c>
      <c r="X704" s="10" t="s">
        <v>130</v>
      </c>
      <c r="Y704" s="10" t="s">
        <v>130</v>
      </c>
      <c r="Z704" s="10" t="s">
        <v>99</v>
      </c>
      <c r="AA704" s="10" t="s">
        <v>131</v>
      </c>
      <c r="AB704" s="10" t="s">
        <v>5008</v>
      </c>
      <c r="AC704" s="10" t="s">
        <v>5009</v>
      </c>
      <c r="AD704" s="10" t="s">
        <v>6255</v>
      </c>
      <c r="AE704" s="10" t="s">
        <v>6256</v>
      </c>
      <c r="AF704" s="15"/>
      <c r="AG704" s="10"/>
      <c r="AH704" s="10"/>
      <c r="AI704" s="10"/>
      <c r="AJ704" s="10" t="s">
        <v>6257</v>
      </c>
      <c r="AK704" s="10" t="s">
        <v>102</v>
      </c>
      <c r="AL704" s="10" t="s">
        <v>1569</v>
      </c>
      <c r="AM704" s="10"/>
      <c r="AN704" s="10"/>
      <c r="AO704" s="13" t="b">
        <v>1</v>
      </c>
      <c r="AP704" s="10" t="s">
        <v>104</v>
      </c>
      <c r="AQ704" s="10">
        <f ca="1">IFERROR(__xludf.DUMMYFUNCTION("""COMPUTED_VALUE"""),4726812)</f>
        <v>4726812</v>
      </c>
      <c r="AR704" s="17">
        <v>83024</v>
      </c>
      <c r="AS704" s="17">
        <v>53811</v>
      </c>
      <c r="AT704" s="17">
        <v>2287141</v>
      </c>
      <c r="AU704" s="17">
        <v>675.2</v>
      </c>
      <c r="AV704" s="17">
        <v>74.900000000000006</v>
      </c>
      <c r="AW704" s="10" t="s">
        <v>105</v>
      </c>
      <c r="AX704" s="17">
        <v>33039</v>
      </c>
      <c r="AY704" s="18">
        <v>42.503224247830367</v>
      </c>
      <c r="AZ704" s="10" t="s">
        <v>106</v>
      </c>
      <c r="BA704" s="20" t="b">
        <v>0</v>
      </c>
      <c r="BB704" s="10"/>
      <c r="BC704" s="17">
        <v>83024</v>
      </c>
      <c r="BD704" s="17">
        <v>53811</v>
      </c>
      <c r="BE704" s="17">
        <v>2287141</v>
      </c>
      <c r="BF704" s="17">
        <v>74.900000000000006</v>
      </c>
      <c r="BG704" s="11">
        <f ca="1">IFERROR(__xludf.DUMMYFUNCTION("""COMPUTED_VALUE"""),45985.125)</f>
        <v>45985.125</v>
      </c>
      <c r="BH704" s="17" t="s">
        <v>105</v>
      </c>
      <c r="BI704" s="17"/>
      <c r="BJ704" s="15"/>
      <c r="BK704" s="15"/>
      <c r="BL704" s="13" t="b">
        <v>0</v>
      </c>
      <c r="BM704" s="10"/>
      <c r="BN704" s="10" t="s">
        <v>278</v>
      </c>
      <c r="BO704" s="11">
        <v>45866.101388888892</v>
      </c>
      <c r="BP704" s="11">
        <v>45973.641168981485</v>
      </c>
      <c r="BQ704" s="15">
        <v>45978.469756944447</v>
      </c>
      <c r="BR704" s="15">
        <v>45982.539074074077</v>
      </c>
      <c r="BS704" s="10" t="s">
        <v>278</v>
      </c>
      <c r="BT704" s="10" t="s">
        <v>99</v>
      </c>
      <c r="BU704" s="10" t="s">
        <v>942</v>
      </c>
      <c r="BV704" s="10" t="s">
        <v>124</v>
      </c>
      <c r="BW704" s="10"/>
      <c r="BX704" s="10"/>
      <c r="BY704" s="23"/>
      <c r="BZ704" s="23"/>
      <c r="CA704" s="19" t="s">
        <v>6258</v>
      </c>
      <c r="CB704" s="19" t="s">
        <v>6259</v>
      </c>
      <c r="CC704" s="23"/>
      <c r="CD704" s="19" t="s">
        <v>6260</v>
      </c>
      <c r="CE704" s="23"/>
      <c r="CF704" s="23"/>
      <c r="CG704" s="23"/>
      <c r="CH704" s="23"/>
      <c r="CI704" s="23"/>
    </row>
    <row r="705" spans="1:87" x14ac:dyDescent="0.3">
      <c r="A705" s="9" t="s">
        <v>6261</v>
      </c>
      <c r="B705" s="10" t="s">
        <v>6262</v>
      </c>
      <c r="C705" s="11">
        <v>45983.125</v>
      </c>
      <c r="D705" s="12">
        <v>8.3333333333333329E-2</v>
      </c>
      <c r="E705" s="11">
        <v>45983.208333333336</v>
      </c>
      <c r="F705" s="10" t="s">
        <v>5001</v>
      </c>
      <c r="G705" s="13" t="b">
        <v>0</v>
      </c>
      <c r="H705" s="10" t="s">
        <v>3578</v>
      </c>
      <c r="I705" s="10" t="s">
        <v>89</v>
      </c>
      <c r="J705" s="13" t="b">
        <v>0</v>
      </c>
      <c r="K705" s="13" t="b">
        <v>1</v>
      </c>
      <c r="L705" s="10" t="s">
        <v>124</v>
      </c>
      <c r="M705" s="10" t="s">
        <v>91</v>
      </c>
      <c r="N705" s="10" t="s">
        <v>92</v>
      </c>
      <c r="O705" s="19" t="s">
        <v>6263</v>
      </c>
      <c r="P705" s="10"/>
      <c r="Q705" s="10" t="s">
        <v>94</v>
      </c>
      <c r="R705" s="10"/>
      <c r="S705" s="19" t="s">
        <v>6264</v>
      </c>
      <c r="T705" s="19" t="s">
        <v>6178</v>
      </c>
      <c r="U705" s="10" t="s">
        <v>5054</v>
      </c>
      <c r="V705" s="10" t="s">
        <v>5032</v>
      </c>
      <c r="W705" s="10" t="s">
        <v>5007</v>
      </c>
      <c r="X705" s="10" t="s">
        <v>130</v>
      </c>
      <c r="Y705" s="10" t="s">
        <v>130</v>
      </c>
      <c r="Z705" s="10" t="s">
        <v>99</v>
      </c>
      <c r="AA705" s="10" t="s">
        <v>131</v>
      </c>
      <c r="AB705" s="10" t="s">
        <v>5008</v>
      </c>
      <c r="AC705" s="10" t="s">
        <v>5009</v>
      </c>
      <c r="AD705" s="10" t="s">
        <v>6265</v>
      </c>
      <c r="AE705" s="10" t="s">
        <v>6266</v>
      </c>
      <c r="AF705" s="15"/>
      <c r="AG705" s="10"/>
      <c r="AH705" s="10"/>
      <c r="AI705" s="10"/>
      <c r="AJ705" s="10"/>
      <c r="AK705" s="10" t="s">
        <v>102</v>
      </c>
      <c r="AL705" s="10" t="s">
        <v>1569</v>
      </c>
      <c r="AM705" s="10"/>
      <c r="AN705" s="10"/>
      <c r="AO705" s="13" t="b">
        <v>0</v>
      </c>
      <c r="AP705" s="10" t="s">
        <v>104</v>
      </c>
      <c r="AQ705" s="10">
        <f ca="1">IFERROR(__xludf.DUMMYFUNCTION("""COMPUTED_VALUE"""),4724315)</f>
        <v>4724315</v>
      </c>
      <c r="AR705" s="17">
        <v>5054</v>
      </c>
      <c r="AS705" s="17">
        <v>4001</v>
      </c>
      <c r="AT705" s="17">
        <v>134209.25</v>
      </c>
      <c r="AU705" s="17">
        <v>23.3</v>
      </c>
      <c r="AV705" s="17">
        <v>2.95</v>
      </c>
      <c r="AW705" s="10" t="s">
        <v>105</v>
      </c>
      <c r="AX705" s="17">
        <v>1458</v>
      </c>
      <c r="AY705" s="18">
        <v>33.543926518370405</v>
      </c>
      <c r="AZ705" s="10" t="s">
        <v>106</v>
      </c>
      <c r="BA705" s="20" t="b">
        <v>0</v>
      </c>
      <c r="BB705" s="10"/>
      <c r="BC705" s="17">
        <v>5054</v>
      </c>
      <c r="BD705" s="17">
        <v>4001</v>
      </c>
      <c r="BE705" s="17">
        <v>134209.25</v>
      </c>
      <c r="BF705" s="17">
        <v>2.95</v>
      </c>
      <c r="BG705" s="11">
        <f ca="1">IFERROR(__xludf.DUMMYFUNCTION("""COMPUTED_VALUE"""),45983.125)</f>
        <v>45983.125</v>
      </c>
      <c r="BH705" s="17" t="s">
        <v>105</v>
      </c>
      <c r="BI705" s="17"/>
      <c r="BJ705" s="15"/>
      <c r="BK705" s="15"/>
      <c r="BL705" s="13" t="b">
        <v>0</v>
      </c>
      <c r="BM705" s="10"/>
      <c r="BN705" s="10" t="s">
        <v>197</v>
      </c>
      <c r="BO705" s="11">
        <v>45866.101388888892</v>
      </c>
      <c r="BP705" s="11">
        <v>45957.705266203702</v>
      </c>
      <c r="BQ705" s="15">
        <v>45978.468171296299</v>
      </c>
      <c r="BR705" s="15">
        <v>45979.496087962965</v>
      </c>
      <c r="BS705" s="10" t="s">
        <v>197</v>
      </c>
      <c r="BT705" s="10"/>
      <c r="BU705" s="10"/>
      <c r="BV705" s="10"/>
      <c r="BW705" s="10"/>
      <c r="BX705" s="10"/>
      <c r="BY705" s="23"/>
      <c r="BZ705" s="23"/>
      <c r="CA705" s="19" t="s">
        <v>6267</v>
      </c>
      <c r="CB705" s="19" t="s">
        <v>6268</v>
      </c>
      <c r="CC705" s="23"/>
      <c r="CD705" s="23"/>
      <c r="CE705" s="23"/>
      <c r="CF705" s="23"/>
      <c r="CG705" s="23"/>
      <c r="CH705" s="23"/>
      <c r="CI705" s="23"/>
    </row>
    <row r="706" spans="1:87" x14ac:dyDescent="0.3">
      <c r="A706" s="9" t="s">
        <v>6269</v>
      </c>
      <c r="B706" s="10" t="s">
        <v>6270</v>
      </c>
      <c r="C706" s="11">
        <v>45991.125</v>
      </c>
      <c r="D706" s="12">
        <v>8.3333333333333329E-2</v>
      </c>
      <c r="E706" s="11">
        <v>45991.208333333336</v>
      </c>
      <c r="F706" s="10" t="s">
        <v>5001</v>
      </c>
      <c r="G706" s="13" t="b">
        <v>0</v>
      </c>
      <c r="H706" s="10" t="s">
        <v>6271</v>
      </c>
      <c r="I706" s="10" t="s">
        <v>89</v>
      </c>
      <c r="J706" s="13" t="b">
        <v>0</v>
      </c>
      <c r="K706" s="13" t="b">
        <v>1</v>
      </c>
      <c r="L706" s="10" t="s">
        <v>124</v>
      </c>
      <c r="M706" s="10" t="s">
        <v>91</v>
      </c>
      <c r="N706" s="10" t="s">
        <v>92</v>
      </c>
      <c r="O706" s="19" t="s">
        <v>6272</v>
      </c>
      <c r="P706" s="10"/>
      <c r="Q706" s="10" t="s">
        <v>126</v>
      </c>
      <c r="R706" s="10"/>
      <c r="S706" s="19" t="s">
        <v>6273</v>
      </c>
      <c r="T706" s="19" t="s">
        <v>6274</v>
      </c>
      <c r="U706" s="10" t="s">
        <v>5090</v>
      </c>
      <c r="V706" s="10" t="s">
        <v>5019</v>
      </c>
      <c r="W706" s="10" t="s">
        <v>5007</v>
      </c>
      <c r="X706" s="10" t="s">
        <v>130</v>
      </c>
      <c r="Y706" s="10" t="s">
        <v>130</v>
      </c>
      <c r="Z706" s="10" t="s">
        <v>99</v>
      </c>
      <c r="AA706" s="10" t="s">
        <v>131</v>
      </c>
      <c r="AB706" s="10" t="s">
        <v>5008</v>
      </c>
      <c r="AC706" s="10" t="s">
        <v>5009</v>
      </c>
      <c r="AD706" s="10" t="s">
        <v>6275</v>
      </c>
      <c r="AE706" s="10" t="s">
        <v>6276</v>
      </c>
      <c r="AF706" s="15"/>
      <c r="AG706" s="10"/>
      <c r="AH706" s="10"/>
      <c r="AI706" s="10"/>
      <c r="AJ706" s="10" t="s">
        <v>6277</v>
      </c>
      <c r="AK706" s="10" t="s">
        <v>102</v>
      </c>
      <c r="AL706" s="10" t="s">
        <v>1671</v>
      </c>
      <c r="AM706" s="10"/>
      <c r="AN706" s="10"/>
      <c r="AO706" s="13" t="b">
        <v>0</v>
      </c>
      <c r="AP706" s="10" t="s">
        <v>104</v>
      </c>
      <c r="AQ706" s="10">
        <f ca="1">IFERROR(__xludf.DUMMYFUNCTION("""COMPUTED_VALUE"""),4736024)</f>
        <v>4736024</v>
      </c>
      <c r="AR706" s="17">
        <v>7365</v>
      </c>
      <c r="AS706" s="17">
        <v>5701</v>
      </c>
      <c r="AT706" s="17">
        <v>134734.75</v>
      </c>
      <c r="AU706" s="17">
        <v>9.3000000000000007</v>
      </c>
      <c r="AV706" s="17">
        <v>1.95</v>
      </c>
      <c r="AW706" s="10" t="s">
        <v>105</v>
      </c>
      <c r="AX706" s="17">
        <v>3534</v>
      </c>
      <c r="AY706" s="18">
        <v>23.63352920540256</v>
      </c>
      <c r="AZ706" s="10" t="s">
        <v>106</v>
      </c>
      <c r="BA706" s="20" t="b">
        <v>0</v>
      </c>
      <c r="BB706" s="10"/>
      <c r="BC706" s="17">
        <v>7365</v>
      </c>
      <c r="BD706" s="17">
        <v>5701</v>
      </c>
      <c r="BE706" s="17">
        <v>134734.75</v>
      </c>
      <c r="BF706" s="17">
        <v>1.95</v>
      </c>
      <c r="BG706" s="11">
        <f ca="1">IFERROR(__xludf.DUMMYFUNCTION("""COMPUTED_VALUE"""),45991.125)</f>
        <v>45991.125</v>
      </c>
      <c r="BH706" s="17" t="s">
        <v>105</v>
      </c>
      <c r="BI706" s="17"/>
      <c r="BJ706" s="15"/>
      <c r="BK706" s="15"/>
      <c r="BL706" s="13" t="b">
        <v>0</v>
      </c>
      <c r="BM706" s="10"/>
      <c r="BN706" s="10" t="s">
        <v>6278</v>
      </c>
      <c r="BO706" s="11">
        <v>45866.101388888892</v>
      </c>
      <c r="BP706" s="11">
        <v>45986.576249999998</v>
      </c>
      <c r="BQ706" s="15">
        <v>45986.488842592589</v>
      </c>
      <c r="BR706" s="15">
        <v>45987.538842592592</v>
      </c>
      <c r="BS706" s="10" t="s">
        <v>6278</v>
      </c>
      <c r="BT706" s="10" t="s">
        <v>99</v>
      </c>
      <c r="BU706" s="10" t="s">
        <v>1286</v>
      </c>
      <c r="BV706" s="10"/>
      <c r="BW706" s="10"/>
      <c r="BX706" s="10"/>
      <c r="BY706" s="23"/>
      <c r="BZ706" s="23"/>
      <c r="CA706" s="19" t="s">
        <v>6279</v>
      </c>
      <c r="CB706" s="19" t="s">
        <v>6280</v>
      </c>
      <c r="CC706" s="23"/>
      <c r="CD706" s="19" t="s">
        <v>6281</v>
      </c>
      <c r="CE706" s="23"/>
      <c r="CF706" s="23"/>
      <c r="CG706" s="23"/>
      <c r="CH706" s="23"/>
      <c r="CI706" s="23"/>
    </row>
    <row r="707" spans="1:87" x14ac:dyDescent="0.3">
      <c r="A707" s="9" t="s">
        <v>6282</v>
      </c>
      <c r="B707" s="10" t="s">
        <v>6283</v>
      </c>
      <c r="C707" s="11">
        <v>45991.833333333336</v>
      </c>
      <c r="D707" s="12">
        <v>8.3333333333333329E-2</v>
      </c>
      <c r="E707" s="11">
        <v>45991.916666666664</v>
      </c>
      <c r="F707" s="10" t="s">
        <v>5001</v>
      </c>
      <c r="G707" s="13" t="b">
        <v>0</v>
      </c>
      <c r="H707" s="10" t="s">
        <v>6271</v>
      </c>
      <c r="I707" s="10" t="s">
        <v>89</v>
      </c>
      <c r="J707" s="13" t="b">
        <v>0</v>
      </c>
      <c r="K707" s="13" t="b">
        <v>1</v>
      </c>
      <c r="L707" s="10" t="s">
        <v>124</v>
      </c>
      <c r="M707" s="10" t="s">
        <v>91</v>
      </c>
      <c r="N707" s="10" t="s">
        <v>92</v>
      </c>
      <c r="O707" s="19" t="s">
        <v>6284</v>
      </c>
      <c r="P707" s="10"/>
      <c r="Q707" s="10" t="s">
        <v>126</v>
      </c>
      <c r="R707" s="10"/>
      <c r="S707" s="19" t="s">
        <v>6285</v>
      </c>
      <c r="T707" s="19" t="s">
        <v>6274</v>
      </c>
      <c r="U707" s="10" t="s">
        <v>5055</v>
      </c>
      <c r="V707" s="10" t="s">
        <v>5018</v>
      </c>
      <c r="W707" s="10" t="s">
        <v>5007</v>
      </c>
      <c r="X707" s="10" t="s">
        <v>130</v>
      </c>
      <c r="Y707" s="10" t="s">
        <v>130</v>
      </c>
      <c r="Z707" s="10" t="s">
        <v>99</v>
      </c>
      <c r="AA707" s="10" t="s">
        <v>131</v>
      </c>
      <c r="AB707" s="10" t="s">
        <v>5008</v>
      </c>
      <c r="AC707" s="10" t="s">
        <v>5009</v>
      </c>
      <c r="AD707" s="10" t="s">
        <v>6286</v>
      </c>
      <c r="AE707" s="10" t="s">
        <v>6287</v>
      </c>
      <c r="AF707" s="15"/>
      <c r="AG707" s="10"/>
      <c r="AH707" s="10"/>
      <c r="AI707" s="10"/>
      <c r="AJ707" s="10" t="s">
        <v>6288</v>
      </c>
      <c r="AK707" s="10" t="s">
        <v>102</v>
      </c>
      <c r="AL707" s="10" t="s">
        <v>1671</v>
      </c>
      <c r="AM707" s="10"/>
      <c r="AN707" s="10"/>
      <c r="AO707" s="13" t="b">
        <v>0</v>
      </c>
      <c r="AP707" s="10" t="s">
        <v>104</v>
      </c>
      <c r="AQ707" s="10">
        <f ca="1">IFERROR(__xludf.DUMMYFUNCTION("""COMPUTED_VALUE"""),4736023)</f>
        <v>4736023</v>
      </c>
      <c r="AR707" s="17">
        <v>19067</v>
      </c>
      <c r="AS707" s="17">
        <v>14610</v>
      </c>
      <c r="AT707" s="17">
        <v>249935.75</v>
      </c>
      <c r="AU707" s="17">
        <v>81.400000000000006</v>
      </c>
      <c r="AV707" s="17">
        <v>17.399999999999999</v>
      </c>
      <c r="AW707" s="10" t="s">
        <v>105</v>
      </c>
      <c r="AX707" s="17">
        <v>4488</v>
      </c>
      <c r="AY707" s="18">
        <v>17.107169746748802</v>
      </c>
      <c r="AZ707" s="10" t="s">
        <v>106</v>
      </c>
      <c r="BA707" s="20" t="b">
        <v>0</v>
      </c>
      <c r="BB707" s="10"/>
      <c r="BC707" s="17">
        <v>19067</v>
      </c>
      <c r="BD707" s="17">
        <v>14610</v>
      </c>
      <c r="BE707" s="17">
        <v>249935.75</v>
      </c>
      <c r="BF707" s="17">
        <v>17.399999999999999</v>
      </c>
      <c r="BG707" s="11">
        <f ca="1">IFERROR(__xludf.DUMMYFUNCTION("""COMPUTED_VALUE"""),45991.8333333333)</f>
        <v>45991.833333333299</v>
      </c>
      <c r="BH707" s="17" t="s">
        <v>105</v>
      </c>
      <c r="BI707" s="17"/>
      <c r="BJ707" s="15"/>
      <c r="BK707" s="15"/>
      <c r="BL707" s="13" t="b">
        <v>0</v>
      </c>
      <c r="BM707" s="10"/>
      <c r="BN707" s="10" t="s">
        <v>1149</v>
      </c>
      <c r="BO707" s="11">
        <v>45866.101388888892</v>
      </c>
      <c r="BP707" s="11">
        <v>45986.937615740739</v>
      </c>
      <c r="BQ707" s="15">
        <v>45986.489027777781</v>
      </c>
      <c r="BR707" s="15">
        <v>45987.538668981484</v>
      </c>
      <c r="BS707" s="10" t="s">
        <v>1149</v>
      </c>
      <c r="BT707" s="10"/>
      <c r="BU707" s="10"/>
      <c r="BV707" s="10"/>
      <c r="BW707" s="10"/>
      <c r="BX707" s="10"/>
      <c r="BY707" s="23"/>
      <c r="BZ707" s="23"/>
      <c r="CA707" s="19" t="s">
        <v>6289</v>
      </c>
      <c r="CB707" s="19" t="s">
        <v>6290</v>
      </c>
      <c r="CC707" s="23"/>
      <c r="CD707" s="19" t="s">
        <v>6291</v>
      </c>
      <c r="CE707" s="23"/>
      <c r="CF707" s="23"/>
      <c r="CG707" s="23"/>
      <c r="CH707" s="23"/>
      <c r="CI707" s="23"/>
    </row>
    <row r="708" spans="1:87" x14ac:dyDescent="0.3">
      <c r="A708" s="9" t="s">
        <v>6292</v>
      </c>
      <c r="B708" s="10" t="s">
        <v>6293</v>
      </c>
      <c r="C708" s="11">
        <v>45991.020833333336</v>
      </c>
      <c r="D708" s="12">
        <v>8.3333333333333329E-2</v>
      </c>
      <c r="E708" s="11">
        <v>45991.104166666664</v>
      </c>
      <c r="F708" s="10" t="s">
        <v>5001</v>
      </c>
      <c r="G708" s="13" t="b">
        <v>0</v>
      </c>
      <c r="H708" s="10" t="s">
        <v>6271</v>
      </c>
      <c r="I708" s="10" t="s">
        <v>89</v>
      </c>
      <c r="J708" s="13" t="b">
        <v>0</v>
      </c>
      <c r="K708" s="13" t="b">
        <v>1</v>
      </c>
      <c r="L708" s="10" t="s">
        <v>124</v>
      </c>
      <c r="M708" s="10" t="s">
        <v>91</v>
      </c>
      <c r="N708" s="10" t="s">
        <v>92</v>
      </c>
      <c r="O708" s="19" t="s">
        <v>6294</v>
      </c>
      <c r="P708" s="10"/>
      <c r="Q708" s="10" t="s">
        <v>126</v>
      </c>
      <c r="R708" s="10"/>
      <c r="S708" s="19" t="s">
        <v>6295</v>
      </c>
      <c r="T708" s="19" t="s">
        <v>6274</v>
      </c>
      <c r="U708" s="10" t="s">
        <v>5032</v>
      </c>
      <c r="V708" s="10" t="s">
        <v>5076</v>
      </c>
      <c r="W708" s="10" t="s">
        <v>5007</v>
      </c>
      <c r="X708" s="10" t="s">
        <v>130</v>
      </c>
      <c r="Y708" s="10" t="s">
        <v>130</v>
      </c>
      <c r="Z708" s="10" t="s">
        <v>99</v>
      </c>
      <c r="AA708" s="10" t="s">
        <v>131</v>
      </c>
      <c r="AB708" s="10" t="s">
        <v>5008</v>
      </c>
      <c r="AC708" s="10" t="s">
        <v>5009</v>
      </c>
      <c r="AD708" s="10" t="s">
        <v>6296</v>
      </c>
      <c r="AE708" s="10" t="s">
        <v>6297</v>
      </c>
      <c r="AF708" s="15"/>
      <c r="AG708" s="10"/>
      <c r="AH708" s="10"/>
      <c r="AI708" s="10"/>
      <c r="AJ708" s="10" t="s">
        <v>6298</v>
      </c>
      <c r="AK708" s="10" t="s">
        <v>102</v>
      </c>
      <c r="AL708" s="10" t="s">
        <v>1671</v>
      </c>
      <c r="AM708" s="10"/>
      <c r="AN708" s="10"/>
      <c r="AO708" s="13" t="b">
        <v>0</v>
      </c>
      <c r="AP708" s="10" t="s">
        <v>104</v>
      </c>
      <c r="AQ708" s="10">
        <f ca="1">IFERROR(__xludf.DUMMYFUNCTION("""COMPUTED_VALUE"""),4736025)</f>
        <v>4736025</v>
      </c>
      <c r="AR708" s="17">
        <v>6184</v>
      </c>
      <c r="AS708" s="17">
        <v>4947</v>
      </c>
      <c r="AT708" s="17">
        <v>122772</v>
      </c>
      <c r="AU708" s="17">
        <v>9.35</v>
      </c>
      <c r="AV708" s="17">
        <v>3.65</v>
      </c>
      <c r="AW708" s="10" t="s">
        <v>105</v>
      </c>
      <c r="AX708" s="17">
        <v>17216</v>
      </c>
      <c r="AY708" s="18">
        <v>24.81746513038205</v>
      </c>
      <c r="AZ708" s="10" t="s">
        <v>106</v>
      </c>
      <c r="BA708" s="20" t="b">
        <v>0</v>
      </c>
      <c r="BB708" s="10"/>
      <c r="BC708" s="17">
        <v>6184</v>
      </c>
      <c r="BD708" s="17">
        <v>4947</v>
      </c>
      <c r="BE708" s="17">
        <v>122772</v>
      </c>
      <c r="BF708" s="17">
        <v>3.65</v>
      </c>
      <c r="BG708" s="11">
        <f ca="1">IFERROR(__xludf.DUMMYFUNCTION("""COMPUTED_VALUE"""),45991.0208333333)</f>
        <v>45991.020833333299</v>
      </c>
      <c r="BH708" s="17" t="s">
        <v>105</v>
      </c>
      <c r="BI708" s="17"/>
      <c r="BJ708" s="15"/>
      <c r="BK708" s="15"/>
      <c r="BL708" s="13" t="b">
        <v>0</v>
      </c>
      <c r="BM708" s="10"/>
      <c r="BN708" s="10" t="s">
        <v>1149</v>
      </c>
      <c r="BO708" s="11">
        <v>45866.101388888892</v>
      </c>
      <c r="BP708" s="11">
        <v>45986.572708333333</v>
      </c>
      <c r="BQ708" s="15">
        <v>45986.488645833335</v>
      </c>
      <c r="BR708" s="15">
        <v>45987.539942129632</v>
      </c>
      <c r="BS708" s="10" t="s">
        <v>1149</v>
      </c>
      <c r="BT708" s="10"/>
      <c r="BU708" s="10"/>
      <c r="BV708" s="10"/>
      <c r="BW708" s="10"/>
      <c r="BX708" s="10"/>
      <c r="BY708" s="23"/>
      <c r="BZ708" s="23"/>
      <c r="CA708" s="19" t="s">
        <v>6299</v>
      </c>
      <c r="CB708" s="19" t="s">
        <v>6300</v>
      </c>
      <c r="CC708" s="23"/>
      <c r="CD708" s="19" t="s">
        <v>6301</v>
      </c>
      <c r="CE708" s="23"/>
      <c r="CF708" s="23"/>
      <c r="CG708" s="23"/>
      <c r="CH708" s="23"/>
      <c r="CI708" s="23"/>
    </row>
    <row r="709" spans="1:87" x14ac:dyDescent="0.3">
      <c r="A709" s="9" t="s">
        <v>6302</v>
      </c>
      <c r="B709" s="10" t="s">
        <v>6303</v>
      </c>
      <c r="C709" s="11">
        <v>45990.927083333336</v>
      </c>
      <c r="D709" s="12">
        <v>8.3333333333333329E-2</v>
      </c>
      <c r="E709" s="11">
        <v>45991.010416666664</v>
      </c>
      <c r="F709" s="10" t="s">
        <v>5001</v>
      </c>
      <c r="G709" s="13" t="b">
        <v>0</v>
      </c>
      <c r="H709" s="10" t="s">
        <v>6271</v>
      </c>
      <c r="I709" s="10" t="s">
        <v>89</v>
      </c>
      <c r="J709" s="13" t="b">
        <v>0</v>
      </c>
      <c r="K709" s="13" t="b">
        <v>1</v>
      </c>
      <c r="L709" s="10" t="s">
        <v>124</v>
      </c>
      <c r="M709" s="10" t="s">
        <v>91</v>
      </c>
      <c r="N709" s="10" t="s">
        <v>92</v>
      </c>
      <c r="O709" s="19" t="s">
        <v>6304</v>
      </c>
      <c r="P709" s="10"/>
      <c r="Q709" s="10" t="s">
        <v>126</v>
      </c>
      <c r="R709" s="10"/>
      <c r="S709" s="19" t="s">
        <v>6305</v>
      </c>
      <c r="T709" s="19" t="s">
        <v>6274</v>
      </c>
      <c r="U709" s="10" t="s">
        <v>5042</v>
      </c>
      <c r="V709" s="10" t="s">
        <v>5031</v>
      </c>
      <c r="W709" s="10" t="s">
        <v>5007</v>
      </c>
      <c r="X709" s="10" t="s">
        <v>130</v>
      </c>
      <c r="Y709" s="10" t="s">
        <v>130</v>
      </c>
      <c r="Z709" s="10" t="s">
        <v>99</v>
      </c>
      <c r="AA709" s="10" t="s">
        <v>131</v>
      </c>
      <c r="AB709" s="10" t="s">
        <v>5008</v>
      </c>
      <c r="AC709" s="10" t="s">
        <v>5009</v>
      </c>
      <c r="AD709" s="10" t="s">
        <v>6306</v>
      </c>
      <c r="AE709" s="10" t="s">
        <v>6307</v>
      </c>
      <c r="AF709" s="15"/>
      <c r="AG709" s="10"/>
      <c r="AH709" s="10"/>
      <c r="AI709" s="10"/>
      <c r="AJ709" s="10" t="s">
        <v>6308</v>
      </c>
      <c r="AK709" s="10" t="s">
        <v>102</v>
      </c>
      <c r="AL709" s="10" t="s">
        <v>1671</v>
      </c>
      <c r="AM709" s="10"/>
      <c r="AN709" s="10"/>
      <c r="AO709" s="13" t="b">
        <v>1</v>
      </c>
      <c r="AP709" s="10" t="s">
        <v>104</v>
      </c>
      <c r="AQ709" s="10">
        <f ca="1">IFERROR(__xludf.DUMMYFUNCTION("""COMPUTED_VALUE"""),4736027)</f>
        <v>4736027</v>
      </c>
      <c r="AR709" s="17">
        <v>214623</v>
      </c>
      <c r="AS709" s="17">
        <v>135747</v>
      </c>
      <c r="AT709" s="17">
        <v>4447957.75</v>
      </c>
      <c r="AU709" s="17">
        <v>2628</v>
      </c>
      <c r="AV709" s="17">
        <v>482.1</v>
      </c>
      <c r="AW709" s="10" t="s">
        <v>105</v>
      </c>
      <c r="AX709" s="17">
        <v>59389</v>
      </c>
      <c r="AY709" s="18">
        <v>32.766527068738171</v>
      </c>
      <c r="AZ709" s="10" t="s">
        <v>106</v>
      </c>
      <c r="BA709" s="20" t="b">
        <v>0</v>
      </c>
      <c r="BB709" s="10"/>
      <c r="BC709" s="17">
        <v>214623</v>
      </c>
      <c r="BD709" s="17">
        <v>135747</v>
      </c>
      <c r="BE709" s="17">
        <v>4447957.75</v>
      </c>
      <c r="BF709" s="17">
        <v>482.1</v>
      </c>
      <c r="BG709" s="11">
        <f ca="1">IFERROR(__xludf.DUMMYFUNCTION("""COMPUTED_VALUE"""),45990.9270833333)</f>
        <v>45990.927083333299</v>
      </c>
      <c r="BH709" s="17" t="s">
        <v>105</v>
      </c>
      <c r="BI709" s="17"/>
      <c r="BJ709" s="15"/>
      <c r="BK709" s="15"/>
      <c r="BL709" s="13" t="b">
        <v>0</v>
      </c>
      <c r="BM709" s="10"/>
      <c r="BN709" s="10" t="s">
        <v>667</v>
      </c>
      <c r="BO709" s="11">
        <v>45866.101388888892</v>
      </c>
      <c r="BP709" s="11">
        <v>45986.859826388885</v>
      </c>
      <c r="BQ709" s="15">
        <v>45986.488344907404</v>
      </c>
      <c r="BR709" s="15">
        <v>45987.538981481484</v>
      </c>
      <c r="BS709" s="10" t="s">
        <v>667</v>
      </c>
      <c r="BT709" s="10" t="s">
        <v>99</v>
      </c>
      <c r="BU709" s="10" t="s">
        <v>1286</v>
      </c>
      <c r="BV709" s="10" t="s">
        <v>281</v>
      </c>
      <c r="BW709" s="10" t="s">
        <v>282</v>
      </c>
      <c r="BX709" s="10"/>
      <c r="BY709" s="23"/>
      <c r="BZ709" s="23"/>
      <c r="CA709" s="19" t="s">
        <v>6309</v>
      </c>
      <c r="CB709" s="19" t="s">
        <v>6310</v>
      </c>
      <c r="CC709" s="23"/>
      <c r="CD709" s="19" t="s">
        <v>6311</v>
      </c>
      <c r="CE709" s="23"/>
      <c r="CF709" s="23"/>
      <c r="CG709" s="23"/>
      <c r="CH709" s="23"/>
      <c r="CI709" s="23"/>
    </row>
    <row r="710" spans="1:87" x14ac:dyDescent="0.3">
      <c r="A710" s="9" t="s">
        <v>6312</v>
      </c>
      <c r="B710" s="10" t="s">
        <v>6313</v>
      </c>
      <c r="C710" s="11">
        <v>45992.020833333336</v>
      </c>
      <c r="D710" s="12">
        <v>8.3333333333333329E-2</v>
      </c>
      <c r="E710" s="11">
        <v>45992.104166666664</v>
      </c>
      <c r="F710" s="10" t="s">
        <v>5001</v>
      </c>
      <c r="G710" s="13" t="b">
        <v>0</v>
      </c>
      <c r="H710" s="10" t="s">
        <v>6271</v>
      </c>
      <c r="I710" s="10" t="s">
        <v>89</v>
      </c>
      <c r="J710" s="13" t="b">
        <v>0</v>
      </c>
      <c r="K710" s="13" t="b">
        <v>1</v>
      </c>
      <c r="L710" s="10" t="s">
        <v>124</v>
      </c>
      <c r="M710" s="10" t="s">
        <v>91</v>
      </c>
      <c r="N710" s="10" t="s">
        <v>92</v>
      </c>
      <c r="O710" s="19" t="s">
        <v>6314</v>
      </c>
      <c r="P710" s="10"/>
      <c r="Q710" s="10" t="s">
        <v>94</v>
      </c>
      <c r="R710" s="10"/>
      <c r="S710" s="19" t="s">
        <v>6315</v>
      </c>
      <c r="T710" s="19" t="s">
        <v>6274</v>
      </c>
      <c r="U710" s="10" t="s">
        <v>5066</v>
      </c>
      <c r="V710" s="10" t="s">
        <v>5089</v>
      </c>
      <c r="W710" s="10" t="s">
        <v>5007</v>
      </c>
      <c r="X710" s="10" t="s">
        <v>130</v>
      </c>
      <c r="Y710" s="10" t="s">
        <v>130</v>
      </c>
      <c r="Z710" s="10" t="s">
        <v>99</v>
      </c>
      <c r="AA710" s="10" t="s">
        <v>131</v>
      </c>
      <c r="AB710" s="10" t="s">
        <v>5008</v>
      </c>
      <c r="AC710" s="10" t="s">
        <v>5009</v>
      </c>
      <c r="AD710" s="10" t="s">
        <v>6316</v>
      </c>
      <c r="AE710" s="10" t="s">
        <v>6317</v>
      </c>
      <c r="AF710" s="15"/>
      <c r="AG710" s="10"/>
      <c r="AH710" s="10"/>
      <c r="AI710" s="10"/>
      <c r="AJ710" s="10"/>
      <c r="AK710" s="10" t="s">
        <v>102</v>
      </c>
      <c r="AL710" s="10" t="s">
        <v>1671</v>
      </c>
      <c r="AM710" s="10"/>
      <c r="AN710" s="10"/>
      <c r="AO710" s="13" t="b">
        <v>0</v>
      </c>
      <c r="AP710" s="10" t="s">
        <v>104</v>
      </c>
      <c r="AQ710" s="10">
        <f ca="1">IFERROR(__xludf.DUMMYFUNCTION("""COMPUTED_VALUE"""),4736031)</f>
        <v>4736031</v>
      </c>
      <c r="AR710" s="17">
        <v>6473</v>
      </c>
      <c r="AS710" s="17">
        <v>5029</v>
      </c>
      <c r="AT710" s="17">
        <v>156540</v>
      </c>
      <c r="AU710" s="17">
        <v>16.7</v>
      </c>
      <c r="AV710" s="17">
        <v>3.4</v>
      </c>
      <c r="AW710" s="10" t="s">
        <v>105</v>
      </c>
      <c r="AX710" s="17">
        <v>2255</v>
      </c>
      <c r="AY710" s="18">
        <v>31.127460727778882</v>
      </c>
      <c r="AZ710" s="10" t="s">
        <v>106</v>
      </c>
      <c r="BA710" s="20" t="b">
        <v>0</v>
      </c>
      <c r="BB710" s="10"/>
      <c r="BC710" s="17">
        <v>6473</v>
      </c>
      <c r="BD710" s="17">
        <v>5029</v>
      </c>
      <c r="BE710" s="17">
        <v>156540</v>
      </c>
      <c r="BF710" s="17">
        <v>3.4</v>
      </c>
      <c r="BG710" s="11">
        <f ca="1">IFERROR(__xludf.DUMMYFUNCTION("""COMPUTED_VALUE"""),45992.0208333333)</f>
        <v>45992.020833333299</v>
      </c>
      <c r="BH710" s="17" t="s">
        <v>105</v>
      </c>
      <c r="BI710" s="17"/>
      <c r="BJ710" s="15"/>
      <c r="BK710" s="15"/>
      <c r="BL710" s="13" t="b">
        <v>0</v>
      </c>
      <c r="BM710" s="10"/>
      <c r="BN710" s="10" t="s">
        <v>1149</v>
      </c>
      <c r="BO710" s="11">
        <v>45866.101388888892</v>
      </c>
      <c r="BP710" s="11">
        <v>45987.529652777775</v>
      </c>
      <c r="BQ710" s="15">
        <v>45986.48946759259</v>
      </c>
      <c r="BR710" s="15">
        <v>45987.539537037039</v>
      </c>
      <c r="BS710" s="10" t="s">
        <v>1149</v>
      </c>
      <c r="BT710" s="10"/>
      <c r="BU710" s="10"/>
      <c r="BV710" s="10"/>
      <c r="BW710" s="10"/>
      <c r="BX710" s="10"/>
      <c r="BY710" s="23"/>
      <c r="BZ710" s="23"/>
      <c r="CA710" s="19" t="s">
        <v>6318</v>
      </c>
      <c r="CB710" s="19" t="s">
        <v>6319</v>
      </c>
      <c r="CC710" s="23"/>
      <c r="CD710" s="23"/>
      <c r="CE710" s="23"/>
      <c r="CF710" s="23"/>
      <c r="CG710" s="23"/>
      <c r="CH710" s="23"/>
      <c r="CI710" s="23"/>
    </row>
    <row r="711" spans="1:87" x14ac:dyDescent="0.3">
      <c r="A711" s="9" t="s">
        <v>6320</v>
      </c>
      <c r="B711" s="10" t="s">
        <v>6321</v>
      </c>
      <c r="C711" s="11">
        <v>45992.125</v>
      </c>
      <c r="D711" s="12">
        <v>8.3333333333333329E-2</v>
      </c>
      <c r="E711" s="11">
        <v>45992.208333333336</v>
      </c>
      <c r="F711" s="10" t="s">
        <v>5001</v>
      </c>
      <c r="G711" s="13" t="b">
        <v>0</v>
      </c>
      <c r="H711" s="10" t="s">
        <v>6271</v>
      </c>
      <c r="I711" s="10" t="s">
        <v>89</v>
      </c>
      <c r="J711" s="13" t="b">
        <v>0</v>
      </c>
      <c r="K711" s="13" t="b">
        <v>1</v>
      </c>
      <c r="L711" s="10" t="s">
        <v>124</v>
      </c>
      <c r="M711" s="10" t="s">
        <v>91</v>
      </c>
      <c r="N711" s="10" t="s">
        <v>92</v>
      </c>
      <c r="O711" s="19" t="s">
        <v>6322</v>
      </c>
      <c r="P711" s="10"/>
      <c r="Q711" s="10" t="s">
        <v>126</v>
      </c>
      <c r="R711" s="10"/>
      <c r="S711" s="19" t="s">
        <v>6323</v>
      </c>
      <c r="T711" s="19" t="s">
        <v>6274</v>
      </c>
      <c r="U711" s="10" t="s">
        <v>5005</v>
      </c>
      <c r="V711" s="10" t="s">
        <v>5113</v>
      </c>
      <c r="W711" s="10" t="s">
        <v>5007</v>
      </c>
      <c r="X711" s="10" t="s">
        <v>130</v>
      </c>
      <c r="Y711" s="10" t="s">
        <v>130</v>
      </c>
      <c r="Z711" s="10" t="s">
        <v>99</v>
      </c>
      <c r="AA711" s="10" t="s">
        <v>131</v>
      </c>
      <c r="AB711" s="10" t="s">
        <v>5008</v>
      </c>
      <c r="AC711" s="10" t="s">
        <v>5009</v>
      </c>
      <c r="AD711" s="10" t="s">
        <v>6324</v>
      </c>
      <c r="AE711" s="10" t="s">
        <v>6325</v>
      </c>
      <c r="AF711" s="15"/>
      <c r="AG711" s="10"/>
      <c r="AH711" s="10"/>
      <c r="AI711" s="10"/>
      <c r="AJ711" s="10" t="s">
        <v>6326</v>
      </c>
      <c r="AK711" s="10" t="s">
        <v>102</v>
      </c>
      <c r="AL711" s="10" t="s">
        <v>1671</v>
      </c>
      <c r="AM711" s="10"/>
      <c r="AN711" s="10"/>
      <c r="AO711" s="13" t="b">
        <v>1</v>
      </c>
      <c r="AP711" s="10" t="s">
        <v>104</v>
      </c>
      <c r="AQ711" s="10">
        <f ca="1">IFERROR(__xludf.DUMMYFUNCTION("""COMPUTED_VALUE"""),4736030)</f>
        <v>4736030</v>
      </c>
      <c r="AR711" s="17">
        <v>78524</v>
      </c>
      <c r="AS711" s="17">
        <v>51504</v>
      </c>
      <c r="AT711" s="17">
        <v>2478220.25</v>
      </c>
      <c r="AU711" s="17">
        <v>545.75</v>
      </c>
      <c r="AV711" s="17">
        <v>104.15</v>
      </c>
      <c r="AW711" s="10" t="s">
        <v>105</v>
      </c>
      <c r="AX711" s="17">
        <v>34048</v>
      </c>
      <c r="AY711" s="18">
        <v>48.117044307238274</v>
      </c>
      <c r="AZ711" s="10" t="s">
        <v>106</v>
      </c>
      <c r="BA711" s="20" t="b">
        <v>0</v>
      </c>
      <c r="BB711" s="10"/>
      <c r="BC711" s="17">
        <v>78524</v>
      </c>
      <c r="BD711" s="17">
        <v>51504</v>
      </c>
      <c r="BE711" s="17">
        <v>2478220.25</v>
      </c>
      <c r="BF711" s="17">
        <v>104.15</v>
      </c>
      <c r="BG711" s="11">
        <f ca="1">IFERROR(__xludf.DUMMYFUNCTION("""COMPUTED_VALUE"""),45992.125)</f>
        <v>45992.125</v>
      </c>
      <c r="BH711" s="17" t="s">
        <v>105</v>
      </c>
      <c r="BI711" s="17"/>
      <c r="BJ711" s="15"/>
      <c r="BK711" s="15"/>
      <c r="BL711" s="13" t="b">
        <v>0</v>
      </c>
      <c r="BM711" s="10"/>
      <c r="BN711" s="10" t="s">
        <v>667</v>
      </c>
      <c r="BO711" s="11">
        <v>45866.101388888892</v>
      </c>
      <c r="BP711" s="11">
        <v>45987.529768518521</v>
      </c>
      <c r="BQ711" s="15">
        <v>45986.489629629628</v>
      </c>
      <c r="BR711" s="15">
        <v>45987.53943287037</v>
      </c>
      <c r="BS711" s="10" t="s">
        <v>667</v>
      </c>
      <c r="BT711" s="10" t="s">
        <v>99</v>
      </c>
      <c r="BU711" s="10" t="s">
        <v>3394</v>
      </c>
      <c r="BV711" s="10" t="s">
        <v>124</v>
      </c>
      <c r="BW711" s="10"/>
      <c r="BX711" s="10"/>
      <c r="BY711" s="23"/>
      <c r="BZ711" s="23"/>
      <c r="CA711" s="19" t="s">
        <v>6327</v>
      </c>
      <c r="CB711" s="19" t="s">
        <v>6328</v>
      </c>
      <c r="CC711" s="23"/>
      <c r="CD711" s="19" t="s">
        <v>6329</v>
      </c>
      <c r="CE711" s="23"/>
      <c r="CF711" s="23"/>
      <c r="CG711" s="23"/>
      <c r="CH711" s="23"/>
      <c r="CI711" s="23"/>
    </row>
    <row r="712" spans="1:87" x14ac:dyDescent="0.3">
      <c r="A712" s="9" t="s">
        <v>6330</v>
      </c>
      <c r="B712" s="10" t="s">
        <v>6331</v>
      </c>
      <c r="C712" s="11">
        <v>45990.833333333336</v>
      </c>
      <c r="D712" s="12">
        <v>8.3333333333333329E-2</v>
      </c>
      <c r="E712" s="11">
        <v>45990.916666666664</v>
      </c>
      <c r="F712" s="10" t="s">
        <v>5001</v>
      </c>
      <c r="G712" s="13" t="b">
        <v>0</v>
      </c>
      <c r="H712" s="10" t="s">
        <v>6271</v>
      </c>
      <c r="I712" s="10" t="s">
        <v>89</v>
      </c>
      <c r="J712" s="13" t="b">
        <v>0</v>
      </c>
      <c r="K712" s="13" t="b">
        <v>1</v>
      </c>
      <c r="L712" s="10" t="s">
        <v>124</v>
      </c>
      <c r="M712" s="10" t="s">
        <v>91</v>
      </c>
      <c r="N712" s="10" t="s">
        <v>92</v>
      </c>
      <c r="O712" s="19" t="s">
        <v>6332</v>
      </c>
      <c r="P712" s="10"/>
      <c r="Q712" s="10" t="s">
        <v>94</v>
      </c>
      <c r="R712" s="10"/>
      <c r="S712" s="19" t="s">
        <v>6333</v>
      </c>
      <c r="T712" s="19" t="s">
        <v>6274</v>
      </c>
      <c r="U712" s="10" t="s">
        <v>5041</v>
      </c>
      <c r="V712" s="10" t="s">
        <v>5114</v>
      </c>
      <c r="W712" s="10" t="s">
        <v>5007</v>
      </c>
      <c r="X712" s="10" t="s">
        <v>130</v>
      </c>
      <c r="Y712" s="10" t="s">
        <v>130</v>
      </c>
      <c r="Z712" s="10" t="s">
        <v>99</v>
      </c>
      <c r="AA712" s="10" t="s">
        <v>131</v>
      </c>
      <c r="AB712" s="10" t="s">
        <v>5008</v>
      </c>
      <c r="AC712" s="10" t="s">
        <v>5009</v>
      </c>
      <c r="AD712" s="10" t="s">
        <v>6334</v>
      </c>
      <c r="AE712" s="10" t="s">
        <v>6335</v>
      </c>
      <c r="AF712" s="15"/>
      <c r="AG712" s="10"/>
      <c r="AH712" s="10"/>
      <c r="AI712" s="10"/>
      <c r="AJ712" s="10"/>
      <c r="AK712" s="10" t="s">
        <v>102</v>
      </c>
      <c r="AL712" s="10" t="s">
        <v>1671</v>
      </c>
      <c r="AM712" s="10"/>
      <c r="AN712" s="10"/>
      <c r="AO712" s="13" t="b">
        <v>0</v>
      </c>
      <c r="AP712" s="10" t="s">
        <v>104</v>
      </c>
      <c r="AQ712" s="10">
        <f ca="1">IFERROR(__xludf.DUMMYFUNCTION("""COMPUTED_VALUE"""),4736028)</f>
        <v>4736028</v>
      </c>
      <c r="AR712" s="17">
        <v>20349</v>
      </c>
      <c r="AS712" s="17">
        <v>16041</v>
      </c>
      <c r="AT712" s="17">
        <v>315584</v>
      </c>
      <c r="AU712" s="17">
        <v>153.05000000000001</v>
      </c>
      <c r="AV712" s="17">
        <v>34</v>
      </c>
      <c r="AW712" s="10" t="s">
        <v>105</v>
      </c>
      <c r="AX712" s="17">
        <v>5524</v>
      </c>
      <c r="AY712" s="18">
        <v>19.673586434760924</v>
      </c>
      <c r="AZ712" s="10" t="s">
        <v>106</v>
      </c>
      <c r="BA712" s="20" t="b">
        <v>0</v>
      </c>
      <c r="BB712" s="10"/>
      <c r="BC712" s="17">
        <v>20349</v>
      </c>
      <c r="BD712" s="17">
        <v>16041</v>
      </c>
      <c r="BE712" s="17">
        <v>315584</v>
      </c>
      <c r="BF712" s="17">
        <v>34</v>
      </c>
      <c r="BG712" s="11">
        <f ca="1">IFERROR(__xludf.DUMMYFUNCTION("""COMPUTED_VALUE"""),45990.8333333333)</f>
        <v>45990.833333333299</v>
      </c>
      <c r="BH712" s="17" t="s">
        <v>105</v>
      </c>
      <c r="BI712" s="17"/>
      <c r="BJ712" s="15"/>
      <c r="BK712" s="15"/>
      <c r="BL712" s="13" t="b">
        <v>0</v>
      </c>
      <c r="BM712" s="10"/>
      <c r="BN712" s="10" t="s">
        <v>1149</v>
      </c>
      <c r="BO712" s="11">
        <v>45866.101388888892</v>
      </c>
      <c r="BP712" s="11">
        <v>45985.521921296298</v>
      </c>
      <c r="BQ712" s="15">
        <v>45986.488171296296</v>
      </c>
      <c r="BR712" s="15">
        <v>45987.539155092592</v>
      </c>
      <c r="BS712" s="10" t="s">
        <v>1149</v>
      </c>
      <c r="BT712" s="10"/>
      <c r="BU712" s="10"/>
      <c r="BV712" s="10"/>
      <c r="BW712" s="10"/>
      <c r="BX712" s="10"/>
      <c r="BY712" s="23"/>
      <c r="BZ712" s="23"/>
      <c r="CA712" s="19" t="s">
        <v>6336</v>
      </c>
      <c r="CB712" s="19" t="s">
        <v>6337</v>
      </c>
      <c r="CC712" s="23"/>
      <c r="CD712" s="23"/>
      <c r="CE712" s="23"/>
      <c r="CF712" s="23"/>
      <c r="CG712" s="23"/>
      <c r="CH712" s="23"/>
      <c r="CI712" s="23"/>
    </row>
    <row r="713" spans="1:87" x14ac:dyDescent="0.3">
      <c r="A713" s="9" t="s">
        <v>6338</v>
      </c>
      <c r="B713" s="10" t="s">
        <v>6339</v>
      </c>
      <c r="C713" s="11">
        <v>45990.125</v>
      </c>
      <c r="D713" s="12">
        <v>8.3333333333333329E-2</v>
      </c>
      <c r="E713" s="11">
        <v>45990.208333333336</v>
      </c>
      <c r="F713" s="10" t="s">
        <v>5001</v>
      </c>
      <c r="G713" s="13" t="b">
        <v>0</v>
      </c>
      <c r="H713" s="10" t="s">
        <v>6271</v>
      </c>
      <c r="I713" s="10" t="s">
        <v>89</v>
      </c>
      <c r="J713" s="13" t="b">
        <v>0</v>
      </c>
      <c r="K713" s="13" t="b">
        <v>1</v>
      </c>
      <c r="L713" s="10" t="s">
        <v>124</v>
      </c>
      <c r="M713" s="10" t="s">
        <v>91</v>
      </c>
      <c r="N713" s="10" t="s">
        <v>92</v>
      </c>
      <c r="O713" s="19" t="s">
        <v>6340</v>
      </c>
      <c r="P713" s="10"/>
      <c r="Q713" s="10" t="s">
        <v>94</v>
      </c>
      <c r="R713" s="10"/>
      <c r="S713" s="19" t="s">
        <v>6341</v>
      </c>
      <c r="T713" s="19" t="s">
        <v>6274</v>
      </c>
      <c r="U713" s="10" t="s">
        <v>5067</v>
      </c>
      <c r="V713" s="10" t="s">
        <v>5101</v>
      </c>
      <c r="W713" s="10" t="s">
        <v>5007</v>
      </c>
      <c r="X713" s="10" t="s">
        <v>130</v>
      </c>
      <c r="Y713" s="10" t="s">
        <v>130</v>
      </c>
      <c r="Z713" s="10" t="s">
        <v>99</v>
      </c>
      <c r="AA713" s="10" t="s">
        <v>131</v>
      </c>
      <c r="AB713" s="10" t="s">
        <v>5008</v>
      </c>
      <c r="AC713" s="10" t="s">
        <v>5009</v>
      </c>
      <c r="AD713" s="10" t="s">
        <v>6342</v>
      </c>
      <c r="AE713" s="10" t="s">
        <v>6343</v>
      </c>
      <c r="AF713" s="15"/>
      <c r="AG713" s="10"/>
      <c r="AH713" s="10"/>
      <c r="AI713" s="10"/>
      <c r="AJ713" s="10"/>
      <c r="AK713" s="10" t="s">
        <v>102</v>
      </c>
      <c r="AL713" s="10" t="s">
        <v>1671</v>
      </c>
      <c r="AM713" s="10"/>
      <c r="AN713" s="10"/>
      <c r="AO713" s="13" t="b">
        <v>0</v>
      </c>
      <c r="AP713" s="10" t="s">
        <v>104</v>
      </c>
      <c r="AQ713" s="10">
        <f ca="1">IFERROR(__xludf.DUMMYFUNCTION("""COMPUTED_VALUE"""),4736029)</f>
        <v>4736029</v>
      </c>
      <c r="AR713" s="17">
        <v>3177</v>
      </c>
      <c r="AS713" s="17">
        <v>2358</v>
      </c>
      <c r="AT713" s="17">
        <v>66429</v>
      </c>
      <c r="AU713" s="17">
        <v>6.75</v>
      </c>
      <c r="AV713" s="17">
        <v>1</v>
      </c>
      <c r="AW713" s="10" t="s">
        <v>105</v>
      </c>
      <c r="AX713" s="17">
        <v>904</v>
      </c>
      <c r="AY713" s="18">
        <v>28.171755725190838</v>
      </c>
      <c r="AZ713" s="10" t="s">
        <v>106</v>
      </c>
      <c r="BA713" s="20" t="b">
        <v>0</v>
      </c>
      <c r="BB713" s="10"/>
      <c r="BC713" s="17">
        <v>3177</v>
      </c>
      <c r="BD713" s="17">
        <v>2358</v>
      </c>
      <c r="BE713" s="17">
        <v>66429</v>
      </c>
      <c r="BF713" s="17">
        <v>1</v>
      </c>
      <c r="BG713" s="11">
        <f ca="1">IFERROR(__xludf.DUMMYFUNCTION("""COMPUTED_VALUE"""),45990.125)</f>
        <v>45990.125</v>
      </c>
      <c r="BH713" s="17" t="s">
        <v>105</v>
      </c>
      <c r="BI713" s="17"/>
      <c r="BJ713" s="15"/>
      <c r="BK713" s="15"/>
      <c r="BL713" s="13" t="b">
        <v>0</v>
      </c>
      <c r="BM713" s="10"/>
      <c r="BN713" s="10" t="s">
        <v>1149</v>
      </c>
      <c r="BO713" s="11">
        <v>45866.101388888892</v>
      </c>
      <c r="BP713" s="11">
        <v>45985.521874999999</v>
      </c>
      <c r="BQ713" s="15">
        <v>45986.487951388888</v>
      </c>
      <c r="BR713" s="15">
        <v>45987.539305555554</v>
      </c>
      <c r="BS713" s="10" t="s">
        <v>1149</v>
      </c>
      <c r="BT713" s="10"/>
      <c r="BU713" s="10"/>
      <c r="BV713" s="10"/>
      <c r="BW713" s="10"/>
      <c r="BX713" s="10"/>
      <c r="BY713" s="23"/>
      <c r="BZ713" s="23"/>
      <c r="CA713" s="19" t="s">
        <v>6344</v>
      </c>
      <c r="CB713" s="19" t="s">
        <v>6345</v>
      </c>
      <c r="CC713" s="23"/>
      <c r="CD713" s="23"/>
      <c r="CE713" s="23"/>
      <c r="CF713" s="23"/>
      <c r="CG713" s="23"/>
      <c r="CH713" s="23"/>
      <c r="CI713" s="23"/>
    </row>
    <row r="714" spans="1:87" x14ac:dyDescent="0.3">
      <c r="A714" s="25" t="s">
        <v>6346</v>
      </c>
      <c r="B714" s="10" t="s">
        <v>6347</v>
      </c>
      <c r="C714" s="11">
        <v>45991.927083333336</v>
      </c>
      <c r="D714" s="12">
        <v>8.3333333333333329E-2</v>
      </c>
      <c r="E714" s="11">
        <v>45992.010416666664</v>
      </c>
      <c r="F714" s="10" t="s">
        <v>5001</v>
      </c>
      <c r="G714" s="13" t="b">
        <v>0</v>
      </c>
      <c r="H714" s="10" t="s">
        <v>6271</v>
      </c>
      <c r="I714" s="10" t="s">
        <v>89</v>
      </c>
      <c r="J714" s="13" t="b">
        <v>0</v>
      </c>
      <c r="K714" s="13" t="b">
        <v>1</v>
      </c>
      <c r="L714" s="10" t="s">
        <v>124</v>
      </c>
      <c r="M714" s="10" t="s">
        <v>91</v>
      </c>
      <c r="N714" s="10" t="s">
        <v>92</v>
      </c>
      <c r="O714" s="19" t="s">
        <v>6348</v>
      </c>
      <c r="P714" s="10"/>
      <c r="Q714" s="10" t="s">
        <v>126</v>
      </c>
      <c r="R714" s="10"/>
      <c r="S714" s="19" t="s">
        <v>6349</v>
      </c>
      <c r="T714" s="19" t="s">
        <v>6274</v>
      </c>
      <c r="U714" s="10" t="s">
        <v>5077</v>
      </c>
      <c r="V714" s="10" t="s">
        <v>5102</v>
      </c>
      <c r="W714" s="10" t="s">
        <v>5007</v>
      </c>
      <c r="X714" s="10" t="s">
        <v>130</v>
      </c>
      <c r="Y714" s="10" t="s">
        <v>130</v>
      </c>
      <c r="Z714" s="10" t="s">
        <v>99</v>
      </c>
      <c r="AA714" s="10" t="s">
        <v>131</v>
      </c>
      <c r="AB714" s="10" t="s">
        <v>5008</v>
      </c>
      <c r="AC714" s="10" t="s">
        <v>5009</v>
      </c>
      <c r="AD714" s="10" t="s">
        <v>6350</v>
      </c>
      <c r="AE714" s="10" t="s">
        <v>6351</v>
      </c>
      <c r="AF714" s="15"/>
      <c r="AG714" s="10"/>
      <c r="AH714" s="10"/>
      <c r="AI714" s="10"/>
      <c r="AJ714" s="10" t="s">
        <v>6352</v>
      </c>
      <c r="AK714" s="10" t="s">
        <v>102</v>
      </c>
      <c r="AL714" s="10" t="s">
        <v>1671</v>
      </c>
      <c r="AM714" s="10"/>
      <c r="AN714" s="10"/>
      <c r="AO714" s="13" t="b">
        <v>0</v>
      </c>
      <c r="AP714" s="10" t="s">
        <v>104</v>
      </c>
      <c r="AQ714" s="10">
        <f ca="1">IFERROR(__xludf.DUMMYFUNCTION("""COMPUTED_VALUE"""),4736022)</f>
        <v>4736022</v>
      </c>
      <c r="AR714" s="17">
        <v>16089</v>
      </c>
      <c r="AS714" s="17">
        <v>12917</v>
      </c>
      <c r="AT714" s="17">
        <v>181289.25</v>
      </c>
      <c r="AU714" s="17">
        <v>66.25</v>
      </c>
      <c r="AV714" s="17">
        <v>14.3</v>
      </c>
      <c r="AW714" s="10" t="s">
        <v>105</v>
      </c>
      <c r="AX714" s="17">
        <v>3839</v>
      </c>
      <c r="AY714" s="18">
        <v>14.03493458233336</v>
      </c>
      <c r="AZ714" s="10" t="s">
        <v>106</v>
      </c>
      <c r="BA714" s="20" t="b">
        <v>0</v>
      </c>
      <c r="BB714" s="10"/>
      <c r="BC714" s="17">
        <v>16089</v>
      </c>
      <c r="BD714" s="17">
        <v>12917</v>
      </c>
      <c r="BE714" s="17">
        <v>181289.25</v>
      </c>
      <c r="BF714" s="17">
        <v>14.3</v>
      </c>
      <c r="BG714" s="11">
        <f ca="1">IFERROR(__xludf.DUMMYFUNCTION("""COMPUTED_VALUE"""),45991.9270833333)</f>
        <v>45991.927083333299</v>
      </c>
      <c r="BH714" s="17" t="s">
        <v>105</v>
      </c>
      <c r="BI714" s="17"/>
      <c r="BJ714" s="15"/>
      <c r="BK714" s="15"/>
      <c r="BL714" s="13" t="b">
        <v>0</v>
      </c>
      <c r="BM714" s="10"/>
      <c r="BN714" s="10" t="s">
        <v>197</v>
      </c>
      <c r="BO714" s="11">
        <v>45866.101388888892</v>
      </c>
      <c r="BP714" s="11">
        <v>45986.941678240742</v>
      </c>
      <c r="BQ714" s="15">
        <v>45986.489201388889</v>
      </c>
      <c r="BR714" s="15">
        <v>45987.538506944446</v>
      </c>
      <c r="BS714" s="10" t="s">
        <v>197</v>
      </c>
      <c r="BT714" s="10" t="s">
        <v>99</v>
      </c>
      <c r="BU714" s="10" t="s">
        <v>5046</v>
      </c>
      <c r="BV714" s="10"/>
      <c r="BW714" s="10"/>
      <c r="BX714" s="10"/>
      <c r="BY714" s="23"/>
      <c r="BZ714" s="23"/>
      <c r="CA714" s="19" t="s">
        <v>6353</v>
      </c>
      <c r="CB714" s="19" t="s">
        <v>6354</v>
      </c>
      <c r="CC714" s="23"/>
      <c r="CD714" s="19" t="s">
        <v>6355</v>
      </c>
      <c r="CE714" s="23"/>
      <c r="CF714" s="23"/>
      <c r="CG714" s="23"/>
      <c r="CH714" s="23"/>
      <c r="CI714" s="23"/>
    </row>
    <row r="715" spans="1:87" x14ac:dyDescent="0.3">
      <c r="A715" s="9" t="s">
        <v>6356</v>
      </c>
      <c r="B715" s="10" t="s">
        <v>6357</v>
      </c>
      <c r="C715" s="11">
        <v>45993.125</v>
      </c>
      <c r="D715" s="12">
        <v>8.3333333333333329E-2</v>
      </c>
      <c r="E715" s="11">
        <v>45993.208333333336</v>
      </c>
      <c r="F715" s="10" t="s">
        <v>5001</v>
      </c>
      <c r="G715" s="13" t="b">
        <v>0</v>
      </c>
      <c r="H715" s="10" t="s">
        <v>3578</v>
      </c>
      <c r="I715" s="10" t="s">
        <v>89</v>
      </c>
      <c r="J715" s="13" t="b">
        <v>0</v>
      </c>
      <c r="K715" s="13" t="b">
        <v>1</v>
      </c>
      <c r="L715" s="10" t="s">
        <v>124</v>
      </c>
      <c r="M715" s="10" t="s">
        <v>91</v>
      </c>
      <c r="N715" s="10" t="s">
        <v>92</v>
      </c>
      <c r="O715" s="19" t="s">
        <v>6358</v>
      </c>
      <c r="P715" s="10"/>
      <c r="Q715" s="10" t="s">
        <v>126</v>
      </c>
      <c r="R715" s="10"/>
      <c r="S715" s="19" t="s">
        <v>6359</v>
      </c>
      <c r="T715" s="19" t="s">
        <v>6274</v>
      </c>
      <c r="U715" s="10" t="s">
        <v>5006</v>
      </c>
      <c r="V715" s="10" t="s">
        <v>5054</v>
      </c>
      <c r="W715" s="10" t="s">
        <v>5007</v>
      </c>
      <c r="X715" s="10" t="s">
        <v>130</v>
      </c>
      <c r="Y715" s="10" t="s">
        <v>130</v>
      </c>
      <c r="Z715" s="10" t="s">
        <v>99</v>
      </c>
      <c r="AA715" s="10" t="s">
        <v>131</v>
      </c>
      <c r="AB715" s="10" t="s">
        <v>5008</v>
      </c>
      <c r="AC715" s="10" t="s">
        <v>5009</v>
      </c>
      <c r="AD715" s="10" t="s">
        <v>6360</v>
      </c>
      <c r="AE715" s="10" t="s">
        <v>6361</v>
      </c>
      <c r="AF715" s="15"/>
      <c r="AG715" s="10"/>
      <c r="AH715" s="10"/>
      <c r="AI715" s="10"/>
      <c r="AJ715" s="10" t="s">
        <v>6362</v>
      </c>
      <c r="AK715" s="10" t="s">
        <v>102</v>
      </c>
      <c r="AL715" s="10" t="s">
        <v>1671</v>
      </c>
      <c r="AM715" s="10"/>
      <c r="AN715" s="10"/>
      <c r="AO715" s="13" t="b">
        <v>0</v>
      </c>
      <c r="AP715" s="10" t="s">
        <v>104</v>
      </c>
      <c r="AQ715" s="10">
        <f ca="1">IFERROR(__xludf.DUMMYFUNCTION("""COMPUTED_VALUE"""),4736032)</f>
        <v>4736032</v>
      </c>
      <c r="AR715" s="17">
        <v>5419</v>
      </c>
      <c r="AS715" s="17">
        <v>4130</v>
      </c>
      <c r="AT715" s="17">
        <v>98892.75</v>
      </c>
      <c r="AU715" s="17">
        <v>13.95</v>
      </c>
      <c r="AV715" s="17">
        <v>4.3499999999999996</v>
      </c>
      <c r="AW715" s="10" t="s">
        <v>105</v>
      </c>
      <c r="AX715" s="17">
        <v>1584</v>
      </c>
      <c r="AY715" s="18">
        <v>23.944975786924939</v>
      </c>
      <c r="AZ715" s="10" t="s">
        <v>106</v>
      </c>
      <c r="BA715" s="20" t="b">
        <v>0</v>
      </c>
      <c r="BB715" s="10"/>
      <c r="BC715" s="17">
        <v>5419</v>
      </c>
      <c r="BD715" s="17">
        <v>4130</v>
      </c>
      <c r="BE715" s="17">
        <v>98892.75</v>
      </c>
      <c r="BF715" s="17">
        <v>4.3499999999999996</v>
      </c>
      <c r="BG715" s="11">
        <f ca="1">IFERROR(__xludf.DUMMYFUNCTION("""COMPUTED_VALUE"""),45993.125)</f>
        <v>45993.125</v>
      </c>
      <c r="BH715" s="17" t="s">
        <v>105</v>
      </c>
      <c r="BI715" s="17"/>
      <c r="BJ715" s="15"/>
      <c r="BK715" s="15"/>
      <c r="BL715" s="13" t="b">
        <v>0</v>
      </c>
      <c r="BM715" s="10"/>
      <c r="BN715" s="10" t="s">
        <v>1149</v>
      </c>
      <c r="BO715" s="11">
        <v>45866.101388888892</v>
      </c>
      <c r="BP715" s="11">
        <v>45987.52721064815</v>
      </c>
      <c r="BQ715" s="15">
        <v>45986.489872685182</v>
      </c>
      <c r="BR715" s="15">
        <v>45987.548981481479</v>
      </c>
      <c r="BS715" s="10" t="s">
        <v>1149</v>
      </c>
      <c r="BT715" s="10"/>
      <c r="BU715" s="10"/>
      <c r="BV715" s="10"/>
      <c r="BW715" s="10"/>
      <c r="BX715" s="10"/>
      <c r="BY715" s="23"/>
      <c r="BZ715" s="23"/>
      <c r="CA715" s="19" t="s">
        <v>6363</v>
      </c>
      <c r="CB715" s="19" t="s">
        <v>6364</v>
      </c>
      <c r="CC715" s="23"/>
      <c r="CD715" s="19" t="s">
        <v>6365</v>
      </c>
      <c r="CE715" s="23"/>
      <c r="CF715" s="23"/>
      <c r="CG715" s="23"/>
      <c r="CH715" s="23"/>
      <c r="CI715" s="23"/>
    </row>
    <row r="716" spans="1:87" x14ac:dyDescent="0.3">
      <c r="A716" s="9" t="s">
        <v>6366</v>
      </c>
      <c r="B716" s="10" t="s">
        <v>6367</v>
      </c>
      <c r="C716" s="11">
        <v>45999.020833333336</v>
      </c>
      <c r="D716" s="12">
        <v>8.3333333333333329E-2</v>
      </c>
      <c r="E716" s="11">
        <v>45999.104166666664</v>
      </c>
      <c r="F716" s="10" t="s">
        <v>5001</v>
      </c>
      <c r="G716" s="13" t="b">
        <v>0</v>
      </c>
      <c r="H716" s="10" t="s">
        <v>6271</v>
      </c>
      <c r="I716" s="10" t="s">
        <v>89</v>
      </c>
      <c r="J716" s="13" t="b">
        <v>0</v>
      </c>
      <c r="K716" s="13" t="b">
        <v>1</v>
      </c>
      <c r="L716" s="10" t="s">
        <v>124</v>
      </c>
      <c r="M716" s="10" t="s">
        <v>91</v>
      </c>
      <c r="N716" s="10" t="s">
        <v>92</v>
      </c>
      <c r="O716" s="19" t="s">
        <v>6368</v>
      </c>
      <c r="P716" s="10"/>
      <c r="Q716" s="10" t="s">
        <v>94</v>
      </c>
      <c r="R716" s="10"/>
      <c r="S716" s="19" t="s">
        <v>6369</v>
      </c>
      <c r="T716" s="19" t="s">
        <v>6370</v>
      </c>
      <c r="U716" s="10" t="s">
        <v>5089</v>
      </c>
      <c r="V716" s="10" t="s">
        <v>5006</v>
      </c>
      <c r="W716" s="10" t="s">
        <v>5007</v>
      </c>
      <c r="X716" s="10" t="s">
        <v>130</v>
      </c>
      <c r="Y716" s="10" t="s">
        <v>130</v>
      </c>
      <c r="Z716" s="10" t="s">
        <v>99</v>
      </c>
      <c r="AA716" s="10" t="s">
        <v>131</v>
      </c>
      <c r="AB716" s="10" t="s">
        <v>5008</v>
      </c>
      <c r="AC716" s="10" t="s">
        <v>5009</v>
      </c>
      <c r="AD716" s="10" t="s">
        <v>6371</v>
      </c>
      <c r="AE716" s="10" t="s">
        <v>6372</v>
      </c>
      <c r="AF716" s="15"/>
      <c r="AG716" s="10"/>
      <c r="AH716" s="10"/>
      <c r="AI716" s="10"/>
      <c r="AJ716" s="10"/>
      <c r="AK716" s="10" t="s">
        <v>102</v>
      </c>
      <c r="AL716" s="10" t="s">
        <v>1773</v>
      </c>
      <c r="AM716" s="10"/>
      <c r="AN716" s="10"/>
      <c r="AO716" s="13" t="b">
        <v>0</v>
      </c>
      <c r="AP716" s="10" t="s">
        <v>104</v>
      </c>
      <c r="AQ716" s="10">
        <f ca="1">IFERROR(__xludf.DUMMYFUNCTION("""COMPUTED_VALUE"""),4768730)</f>
        <v>4768730</v>
      </c>
      <c r="AR716" s="17">
        <v>5558</v>
      </c>
      <c r="AS716" s="17">
        <v>4310</v>
      </c>
      <c r="AT716" s="17">
        <v>151517.5</v>
      </c>
      <c r="AU716" s="17">
        <v>8.1999999999999993</v>
      </c>
      <c r="AV716" s="17">
        <v>2.4500000000000002</v>
      </c>
      <c r="AW716" s="10" t="s">
        <v>105</v>
      </c>
      <c r="AX716" s="17">
        <v>2574</v>
      </c>
      <c r="AY716" s="18">
        <v>35.15487238979118</v>
      </c>
      <c r="AZ716" s="10"/>
      <c r="BA716" s="20" t="b">
        <v>0</v>
      </c>
      <c r="BB716" s="10"/>
      <c r="BC716" s="17">
        <v>5558</v>
      </c>
      <c r="BD716" s="17">
        <v>4310</v>
      </c>
      <c r="BE716" s="17">
        <v>151517.5</v>
      </c>
      <c r="BF716" s="17">
        <v>2.4500000000000002</v>
      </c>
      <c r="BG716" s="11">
        <f ca="1">IFERROR(__xludf.DUMMYFUNCTION("""COMPUTED_VALUE"""),45999.0208333333)</f>
        <v>45999.020833333299</v>
      </c>
      <c r="BH716" s="17" t="s">
        <v>105</v>
      </c>
      <c r="BI716" s="17"/>
      <c r="BJ716" s="15"/>
      <c r="BK716" s="15"/>
      <c r="BL716" s="13" t="b">
        <v>0</v>
      </c>
      <c r="BM716" s="10"/>
      <c r="BN716" s="10" t="s">
        <v>136</v>
      </c>
      <c r="BO716" s="11">
        <v>45866.101898148147</v>
      </c>
      <c r="BP716" s="11">
        <v>45988.648344907408</v>
      </c>
      <c r="BQ716" s="15">
        <v>46007.788993055554</v>
      </c>
      <c r="BR716" s="15">
        <v>45997.319340277776</v>
      </c>
      <c r="BS716" s="10"/>
      <c r="BT716" s="10"/>
      <c r="BU716" s="10"/>
      <c r="BV716" s="10"/>
      <c r="BW716" s="10"/>
      <c r="BX716" s="10"/>
      <c r="BY716" s="23"/>
      <c r="BZ716" s="23"/>
      <c r="CA716" s="19" t="s">
        <v>6369</v>
      </c>
      <c r="CB716" s="19" t="s">
        <v>6373</v>
      </c>
      <c r="CC716" s="23"/>
      <c r="CD716" s="23"/>
      <c r="CE716" s="23"/>
      <c r="CF716" s="23"/>
      <c r="CG716" s="23"/>
      <c r="CH716" s="23"/>
      <c r="CI716" s="23"/>
    </row>
    <row r="717" spans="1:87" x14ac:dyDescent="0.3">
      <c r="A717" s="9" t="s">
        <v>6374</v>
      </c>
      <c r="B717" s="10" t="s">
        <v>6375</v>
      </c>
      <c r="C717" s="11">
        <v>45997.927083333336</v>
      </c>
      <c r="D717" s="12">
        <v>8.3333333333333329E-2</v>
      </c>
      <c r="E717" s="11">
        <v>45998.010416666664</v>
      </c>
      <c r="F717" s="10" t="s">
        <v>5001</v>
      </c>
      <c r="G717" s="13" t="b">
        <v>0</v>
      </c>
      <c r="H717" s="10" t="s">
        <v>6271</v>
      </c>
      <c r="I717" s="10" t="s">
        <v>89</v>
      </c>
      <c r="J717" s="13" t="b">
        <v>0</v>
      </c>
      <c r="K717" s="13" t="b">
        <v>1</v>
      </c>
      <c r="L717" s="10" t="s">
        <v>124</v>
      </c>
      <c r="M717" s="10" t="s">
        <v>91</v>
      </c>
      <c r="N717" s="10" t="s">
        <v>92</v>
      </c>
      <c r="O717" s="19" t="s">
        <v>6376</v>
      </c>
      <c r="P717" s="10"/>
      <c r="Q717" s="10" t="s">
        <v>126</v>
      </c>
      <c r="R717" s="10"/>
      <c r="S717" s="19" t="s">
        <v>6377</v>
      </c>
      <c r="T717" s="19" t="s">
        <v>6378</v>
      </c>
      <c r="U717" s="10" t="s">
        <v>5031</v>
      </c>
      <c r="V717" s="10" t="s">
        <v>5055</v>
      </c>
      <c r="W717" s="10" t="s">
        <v>5007</v>
      </c>
      <c r="X717" s="10" t="s">
        <v>130</v>
      </c>
      <c r="Y717" s="10" t="s">
        <v>130</v>
      </c>
      <c r="Z717" s="10" t="s">
        <v>99</v>
      </c>
      <c r="AA717" s="10" t="s">
        <v>131</v>
      </c>
      <c r="AB717" s="10" t="s">
        <v>5008</v>
      </c>
      <c r="AC717" s="10" t="s">
        <v>5009</v>
      </c>
      <c r="AD717" s="10" t="s">
        <v>6379</v>
      </c>
      <c r="AE717" s="10" t="s">
        <v>6380</v>
      </c>
      <c r="AF717" s="15"/>
      <c r="AG717" s="10"/>
      <c r="AH717" s="10"/>
      <c r="AI717" s="10"/>
      <c r="AJ717" s="10" t="s">
        <v>6381</v>
      </c>
      <c r="AK717" s="10" t="s">
        <v>102</v>
      </c>
      <c r="AL717" s="10" t="s">
        <v>1773</v>
      </c>
      <c r="AM717" s="10"/>
      <c r="AN717" s="10"/>
      <c r="AO717" s="13" t="b">
        <v>0</v>
      </c>
      <c r="AP717" s="10" t="s">
        <v>104</v>
      </c>
      <c r="AQ717" s="10">
        <f ca="1">IFERROR(__xludf.DUMMYFUNCTION("""COMPUTED_VALUE"""),4759277)</f>
        <v>4759277</v>
      </c>
      <c r="AR717" s="17">
        <v>15704</v>
      </c>
      <c r="AS717" s="17">
        <v>12999</v>
      </c>
      <c r="AT717" s="17">
        <v>152485.5</v>
      </c>
      <c r="AU717" s="17">
        <v>71.75</v>
      </c>
      <c r="AV717" s="17">
        <v>22.8</v>
      </c>
      <c r="AW717" s="10" t="s">
        <v>105</v>
      </c>
      <c r="AX717" s="17">
        <v>3526</v>
      </c>
      <c r="AY717" s="18">
        <v>11.730556196630509</v>
      </c>
      <c r="AZ717" s="10"/>
      <c r="BA717" s="20" t="b">
        <v>0</v>
      </c>
      <c r="BB717" s="10"/>
      <c r="BC717" s="17">
        <v>15704</v>
      </c>
      <c r="BD717" s="17">
        <v>12999</v>
      </c>
      <c r="BE717" s="17">
        <v>152485.5</v>
      </c>
      <c r="BF717" s="17">
        <v>22.8</v>
      </c>
      <c r="BG717" s="11">
        <f ca="1">IFERROR(__xludf.DUMMYFUNCTION("""COMPUTED_VALUE"""),45997.9270833333)</f>
        <v>45997.927083333299</v>
      </c>
      <c r="BH717" s="17" t="s">
        <v>105</v>
      </c>
      <c r="BI717" s="17"/>
      <c r="BJ717" s="15"/>
      <c r="BK717" s="15"/>
      <c r="BL717" s="13" t="b">
        <v>0</v>
      </c>
      <c r="BM717" s="10"/>
      <c r="BN717" s="10" t="s">
        <v>5685</v>
      </c>
      <c r="BO717" s="11">
        <v>45866.101388888892</v>
      </c>
      <c r="BP717" s="11">
        <v>45994.661273148151</v>
      </c>
      <c r="BQ717" s="15">
        <v>45993.920115740744</v>
      </c>
      <c r="BR717" s="15">
        <v>45994.453680555554</v>
      </c>
      <c r="BS717" s="10"/>
      <c r="BT717" s="10"/>
      <c r="BU717" s="10"/>
      <c r="BV717" s="10"/>
      <c r="BW717" s="10"/>
      <c r="BX717" s="10"/>
      <c r="BY717" s="23"/>
      <c r="BZ717" s="23"/>
      <c r="CA717" s="19" t="s">
        <v>6382</v>
      </c>
      <c r="CB717" s="19" t="s">
        <v>6383</v>
      </c>
      <c r="CC717" s="23"/>
      <c r="CD717" s="19" t="s">
        <v>6384</v>
      </c>
      <c r="CE717" s="23"/>
      <c r="CF717" s="23"/>
      <c r="CG717" s="23"/>
      <c r="CH717" s="23"/>
      <c r="CI717" s="23"/>
    </row>
    <row r="718" spans="1:87" x14ac:dyDescent="0.3">
      <c r="A718" s="9" t="s">
        <v>6385</v>
      </c>
      <c r="B718" s="10" t="s">
        <v>6386</v>
      </c>
      <c r="C718" s="11">
        <v>46000.125</v>
      </c>
      <c r="D718" s="12">
        <v>8.3333333333333329E-2</v>
      </c>
      <c r="E718" s="11">
        <v>46000.208333333336</v>
      </c>
      <c r="F718" s="10" t="s">
        <v>5001</v>
      </c>
      <c r="G718" s="13" t="b">
        <v>0</v>
      </c>
      <c r="H718" s="10" t="s">
        <v>3578</v>
      </c>
      <c r="I718" s="10" t="s">
        <v>89</v>
      </c>
      <c r="J718" s="13" t="b">
        <v>0</v>
      </c>
      <c r="K718" s="13" t="b">
        <v>1</v>
      </c>
      <c r="L718" s="10" t="s">
        <v>124</v>
      </c>
      <c r="M718" s="10" t="s">
        <v>91</v>
      </c>
      <c r="N718" s="10" t="s">
        <v>92</v>
      </c>
      <c r="O718" s="19" t="s">
        <v>6387</v>
      </c>
      <c r="P718" s="10"/>
      <c r="Q718" s="10" t="s">
        <v>94</v>
      </c>
      <c r="R718" s="10"/>
      <c r="S718" s="19" t="s">
        <v>6388</v>
      </c>
      <c r="T718" s="19" t="s">
        <v>6389</v>
      </c>
      <c r="U718" s="10" t="s">
        <v>5114</v>
      </c>
      <c r="V718" s="10" t="s">
        <v>5032</v>
      </c>
      <c r="W718" s="10" t="s">
        <v>5007</v>
      </c>
      <c r="X718" s="10" t="s">
        <v>130</v>
      </c>
      <c r="Y718" s="10" t="s">
        <v>130</v>
      </c>
      <c r="Z718" s="10" t="s">
        <v>99</v>
      </c>
      <c r="AA718" s="10" t="s">
        <v>131</v>
      </c>
      <c r="AB718" s="10" t="s">
        <v>5008</v>
      </c>
      <c r="AC718" s="10" t="s">
        <v>5009</v>
      </c>
      <c r="AD718" s="10" t="s">
        <v>6390</v>
      </c>
      <c r="AE718" s="10" t="s">
        <v>6391</v>
      </c>
      <c r="AF718" s="15"/>
      <c r="AG718" s="10"/>
      <c r="AH718" s="10"/>
      <c r="AI718" s="10"/>
      <c r="AJ718" s="10"/>
      <c r="AK718" s="10" t="s">
        <v>102</v>
      </c>
      <c r="AL718" s="10" t="s">
        <v>1773</v>
      </c>
      <c r="AM718" s="10"/>
      <c r="AN718" s="10"/>
      <c r="AO718" s="13" t="b">
        <v>0</v>
      </c>
      <c r="AP718" s="10" t="s">
        <v>104</v>
      </c>
      <c r="AQ718" s="10">
        <f ca="1">IFERROR(__xludf.DUMMYFUNCTION("""COMPUTED_VALUE"""),4768736)</f>
        <v>4768736</v>
      </c>
      <c r="AR718" s="17">
        <v>2884</v>
      </c>
      <c r="AS718" s="17">
        <v>2184</v>
      </c>
      <c r="AT718" s="17">
        <v>27828.25</v>
      </c>
      <c r="AU718" s="17">
        <v>3.7</v>
      </c>
      <c r="AV718" s="17">
        <v>1.1499999999999999</v>
      </c>
      <c r="AW718" s="10" t="s">
        <v>105</v>
      </c>
      <c r="AX718" s="17">
        <v>661</v>
      </c>
      <c r="AY718" s="18">
        <v>12.74187271062271</v>
      </c>
      <c r="AZ718" s="10"/>
      <c r="BA718" s="20" t="b">
        <v>0</v>
      </c>
      <c r="BB718" s="10"/>
      <c r="BC718" s="17">
        <v>2884</v>
      </c>
      <c r="BD718" s="17">
        <v>2184</v>
      </c>
      <c r="BE718" s="17">
        <v>27828.25</v>
      </c>
      <c r="BF718" s="17">
        <v>1.1499999999999999</v>
      </c>
      <c r="BG718" s="11">
        <f ca="1">IFERROR(__xludf.DUMMYFUNCTION("""COMPUTED_VALUE"""),46000.125)</f>
        <v>46000.125</v>
      </c>
      <c r="BH718" s="17" t="s">
        <v>105</v>
      </c>
      <c r="BI718" s="17"/>
      <c r="BJ718" s="15"/>
      <c r="BK718" s="15"/>
      <c r="BL718" s="13" t="b">
        <v>0</v>
      </c>
      <c r="BM718" s="10"/>
      <c r="BN718" s="10" t="s">
        <v>136</v>
      </c>
      <c r="BO718" s="11">
        <v>45866.101388888892</v>
      </c>
      <c r="BP718" s="11">
        <v>45988.64334490741</v>
      </c>
      <c r="BQ718" s="15">
        <v>46007.789074074077</v>
      </c>
      <c r="BR718" s="15">
        <v>45997.333310185182</v>
      </c>
      <c r="BS718" s="10"/>
      <c r="BT718" s="10"/>
      <c r="BU718" s="10"/>
      <c r="BV718" s="10"/>
      <c r="BW718" s="10"/>
      <c r="BX718" s="10"/>
      <c r="BY718" s="23"/>
      <c r="BZ718" s="23"/>
      <c r="CA718" s="19" t="s">
        <v>6388</v>
      </c>
      <c r="CB718" s="19" t="s">
        <v>6392</v>
      </c>
      <c r="CC718" s="23"/>
      <c r="CD718" s="23"/>
      <c r="CE718" s="23"/>
      <c r="CF718" s="23"/>
      <c r="CG718" s="23"/>
      <c r="CH718" s="23"/>
      <c r="CI718" s="23"/>
    </row>
    <row r="719" spans="1:87" x14ac:dyDescent="0.3">
      <c r="A719" s="9" t="s">
        <v>6393</v>
      </c>
      <c r="B719" s="10" t="s">
        <v>6394</v>
      </c>
      <c r="C719" s="11">
        <v>45998.833333333336</v>
      </c>
      <c r="D719" s="12">
        <v>8.3333333333333329E-2</v>
      </c>
      <c r="E719" s="11">
        <v>45998.916666666664</v>
      </c>
      <c r="F719" s="10" t="s">
        <v>5001</v>
      </c>
      <c r="G719" s="13" t="b">
        <v>0</v>
      </c>
      <c r="H719" s="10" t="s">
        <v>6271</v>
      </c>
      <c r="I719" s="10" t="s">
        <v>89</v>
      </c>
      <c r="J719" s="13" t="b">
        <v>0</v>
      </c>
      <c r="K719" s="13" t="b">
        <v>1</v>
      </c>
      <c r="L719" s="10" t="s">
        <v>124</v>
      </c>
      <c r="M719" s="10" t="s">
        <v>91</v>
      </c>
      <c r="N719" s="10" t="s">
        <v>92</v>
      </c>
      <c r="O719" s="19" t="s">
        <v>6395</v>
      </c>
      <c r="P719" s="10"/>
      <c r="Q719" s="10" t="s">
        <v>94</v>
      </c>
      <c r="R719" s="10"/>
      <c r="S719" s="19" t="s">
        <v>6396</v>
      </c>
      <c r="T719" s="19" t="s">
        <v>6397</v>
      </c>
      <c r="U719" s="10" t="s">
        <v>5101</v>
      </c>
      <c r="V719" s="10" t="s">
        <v>5005</v>
      </c>
      <c r="W719" s="10" t="s">
        <v>5007</v>
      </c>
      <c r="X719" s="10" t="s">
        <v>130</v>
      </c>
      <c r="Y719" s="10" t="s">
        <v>130</v>
      </c>
      <c r="Z719" s="10" t="s">
        <v>99</v>
      </c>
      <c r="AA719" s="10" t="s">
        <v>131</v>
      </c>
      <c r="AB719" s="10" t="s">
        <v>5008</v>
      </c>
      <c r="AC719" s="10" t="s">
        <v>5009</v>
      </c>
      <c r="AD719" s="10" t="s">
        <v>6398</v>
      </c>
      <c r="AE719" s="10" t="s">
        <v>6399</v>
      </c>
      <c r="AF719" s="15"/>
      <c r="AG719" s="10"/>
      <c r="AH719" s="10"/>
      <c r="AI719" s="10"/>
      <c r="AJ719" s="10"/>
      <c r="AK719" s="10" t="s">
        <v>102</v>
      </c>
      <c r="AL719" s="10" t="s">
        <v>1773</v>
      </c>
      <c r="AM719" s="10"/>
      <c r="AN719" s="10"/>
      <c r="AO719" s="13" t="b">
        <v>0</v>
      </c>
      <c r="AP719" s="10" t="s">
        <v>104</v>
      </c>
      <c r="AQ719" s="10">
        <f ca="1">IFERROR(__xludf.DUMMYFUNCTION("""COMPUTED_VALUE"""),4762550)</f>
        <v>4762550</v>
      </c>
      <c r="AR719" s="17">
        <v>12659</v>
      </c>
      <c r="AS719" s="17">
        <v>9758</v>
      </c>
      <c r="AT719" s="17">
        <v>189926.75</v>
      </c>
      <c r="AU719" s="17">
        <v>32.85</v>
      </c>
      <c r="AV719" s="17">
        <v>10.85</v>
      </c>
      <c r="AW719" s="10" t="s">
        <v>105</v>
      </c>
      <c r="AX719" s="17">
        <v>2750</v>
      </c>
      <c r="AY719" s="18">
        <v>19.463696454191432</v>
      </c>
      <c r="AZ719" s="10"/>
      <c r="BA719" s="20" t="b">
        <v>0</v>
      </c>
      <c r="BB719" s="10"/>
      <c r="BC719" s="17">
        <v>12659</v>
      </c>
      <c r="BD719" s="17">
        <v>9758</v>
      </c>
      <c r="BE719" s="17">
        <v>189926.75</v>
      </c>
      <c r="BF719" s="17">
        <v>10.85</v>
      </c>
      <c r="BG719" s="11">
        <f ca="1">IFERROR(__xludf.DUMMYFUNCTION("""COMPUTED_VALUE"""),45998.8333333333)</f>
        <v>45998.833333333299</v>
      </c>
      <c r="BH719" s="17" t="s">
        <v>105</v>
      </c>
      <c r="BI719" s="17"/>
      <c r="BJ719" s="15"/>
      <c r="BK719" s="15"/>
      <c r="BL719" s="13" t="b">
        <v>0</v>
      </c>
      <c r="BM719" s="10"/>
      <c r="BN719" s="10" t="s">
        <v>136</v>
      </c>
      <c r="BO719" s="11">
        <v>45866.101898148147</v>
      </c>
      <c r="BP719" s="11">
        <v>45988.648101851853</v>
      </c>
      <c r="BQ719" s="15">
        <v>46007.788368055553</v>
      </c>
      <c r="BR719" s="15">
        <v>45995.59951388889</v>
      </c>
      <c r="BS719" s="10"/>
      <c r="BT719" s="10"/>
      <c r="BU719" s="10"/>
      <c r="BV719" s="10"/>
      <c r="BW719" s="10"/>
      <c r="BX719" s="10"/>
      <c r="BY719" s="23"/>
      <c r="BZ719" s="23"/>
      <c r="CA719" s="19" t="s">
        <v>6396</v>
      </c>
      <c r="CB719" s="19" t="s">
        <v>6400</v>
      </c>
      <c r="CC719" s="23"/>
      <c r="CD719" s="23"/>
      <c r="CE719" s="23"/>
      <c r="CF719" s="23"/>
      <c r="CG719" s="23"/>
      <c r="CH719" s="23"/>
      <c r="CI719" s="23"/>
    </row>
    <row r="720" spans="1:87" x14ac:dyDescent="0.3">
      <c r="A720" s="9" t="s">
        <v>6401</v>
      </c>
      <c r="B720" s="10" t="s">
        <v>6402</v>
      </c>
      <c r="C720" s="11">
        <v>45999.125</v>
      </c>
      <c r="D720" s="12">
        <v>8.3333333333333329E-2</v>
      </c>
      <c r="E720" s="11">
        <v>45999.208333333336</v>
      </c>
      <c r="F720" s="10" t="s">
        <v>5001</v>
      </c>
      <c r="G720" s="13" t="b">
        <v>0</v>
      </c>
      <c r="H720" s="10" t="s">
        <v>3578</v>
      </c>
      <c r="I720" s="10" t="s">
        <v>89</v>
      </c>
      <c r="J720" s="13" t="b">
        <v>0</v>
      </c>
      <c r="K720" s="13" t="b">
        <v>1</v>
      </c>
      <c r="L720" s="10" t="s">
        <v>124</v>
      </c>
      <c r="M720" s="10" t="s">
        <v>91</v>
      </c>
      <c r="N720" s="10" t="s">
        <v>92</v>
      </c>
      <c r="O720" s="19" t="s">
        <v>6403</v>
      </c>
      <c r="P720" s="10"/>
      <c r="Q720" s="10" t="s">
        <v>126</v>
      </c>
      <c r="R720" s="10"/>
      <c r="S720" s="19" t="s">
        <v>6404</v>
      </c>
      <c r="T720" s="19" t="s">
        <v>6405</v>
      </c>
      <c r="U720" s="10" t="s">
        <v>5113</v>
      </c>
      <c r="V720" s="10" t="s">
        <v>5066</v>
      </c>
      <c r="W720" s="10" t="s">
        <v>5007</v>
      </c>
      <c r="X720" s="10" t="s">
        <v>130</v>
      </c>
      <c r="Y720" s="10" t="s">
        <v>130</v>
      </c>
      <c r="Z720" s="10" t="s">
        <v>99</v>
      </c>
      <c r="AA720" s="10" t="s">
        <v>131</v>
      </c>
      <c r="AB720" s="10" t="s">
        <v>5008</v>
      </c>
      <c r="AC720" s="10" t="s">
        <v>5009</v>
      </c>
      <c r="AD720" s="10" t="s">
        <v>6406</v>
      </c>
      <c r="AE720" s="10" t="s">
        <v>6407</v>
      </c>
      <c r="AF720" s="15"/>
      <c r="AG720" s="10"/>
      <c r="AH720" s="10"/>
      <c r="AI720" s="10"/>
      <c r="AJ720" s="10" t="s">
        <v>6408</v>
      </c>
      <c r="AK720" s="10" t="s">
        <v>102</v>
      </c>
      <c r="AL720" s="10" t="s">
        <v>1773</v>
      </c>
      <c r="AM720" s="10"/>
      <c r="AN720" s="10"/>
      <c r="AO720" s="13" t="b">
        <v>1</v>
      </c>
      <c r="AP720" s="10" t="s">
        <v>104</v>
      </c>
      <c r="AQ720" s="10">
        <f ca="1">IFERROR(__xludf.DUMMYFUNCTION("""COMPUTED_VALUE"""),4768735)</f>
        <v>4768735</v>
      </c>
      <c r="AR720" s="17">
        <v>90299</v>
      </c>
      <c r="AS720" s="17">
        <v>58919</v>
      </c>
      <c r="AT720" s="17">
        <v>2961167.5</v>
      </c>
      <c r="AU720" s="17">
        <v>514.20000000000005</v>
      </c>
      <c r="AV720" s="17">
        <v>89.8</v>
      </c>
      <c r="AW720" s="10" t="s">
        <v>105</v>
      </c>
      <c r="AX720" s="17">
        <v>35689</v>
      </c>
      <c r="AY720" s="18">
        <v>50.2582783142959</v>
      </c>
      <c r="AZ720" s="10"/>
      <c r="BA720" s="20" t="b">
        <v>0</v>
      </c>
      <c r="BB720" s="10"/>
      <c r="BC720" s="17">
        <v>90299</v>
      </c>
      <c r="BD720" s="17">
        <v>58919</v>
      </c>
      <c r="BE720" s="17">
        <v>2961167.5</v>
      </c>
      <c r="BF720" s="17">
        <v>89.8</v>
      </c>
      <c r="BG720" s="11">
        <f ca="1">IFERROR(__xludf.DUMMYFUNCTION("""COMPUTED_VALUE"""),45999.125)</f>
        <v>45999.125</v>
      </c>
      <c r="BH720" s="17" t="s">
        <v>105</v>
      </c>
      <c r="BI720" s="17"/>
      <c r="BJ720" s="15"/>
      <c r="BK720" s="15"/>
      <c r="BL720" s="13" t="b">
        <v>0</v>
      </c>
      <c r="BM720" s="10"/>
      <c r="BN720" s="10" t="s">
        <v>106</v>
      </c>
      <c r="BO720" s="11">
        <v>45866.101388888892</v>
      </c>
      <c r="BP720" s="11">
        <v>45993.739687499998</v>
      </c>
      <c r="BQ720" s="15">
        <v>45999.622453703705</v>
      </c>
      <c r="BR720" s="15">
        <v>45997.331944444442</v>
      </c>
      <c r="BS720" s="10"/>
      <c r="BT720" s="10" t="s">
        <v>99</v>
      </c>
      <c r="BU720" s="10" t="s">
        <v>6409</v>
      </c>
      <c r="BV720" s="10" t="s">
        <v>124</v>
      </c>
      <c r="BW720" s="10"/>
      <c r="BX720" s="10"/>
      <c r="BY720" s="23"/>
      <c r="BZ720" s="23"/>
      <c r="CA720" s="19" t="s">
        <v>6410</v>
      </c>
      <c r="CB720" s="19" t="s">
        <v>6411</v>
      </c>
      <c r="CC720" s="23"/>
      <c r="CD720" s="19" t="s">
        <v>6412</v>
      </c>
      <c r="CE720" s="23"/>
      <c r="CF720" s="23"/>
      <c r="CG720" s="23"/>
      <c r="CH720" s="23"/>
      <c r="CI720" s="23"/>
    </row>
    <row r="721" spans="1:87" x14ac:dyDescent="0.3">
      <c r="A721" s="9" t="s">
        <v>6413</v>
      </c>
      <c r="B721" s="10" t="s">
        <v>6414</v>
      </c>
      <c r="C721" s="11">
        <v>45997.833333333336</v>
      </c>
      <c r="D721" s="12">
        <v>8.3333333333333329E-2</v>
      </c>
      <c r="E721" s="11">
        <v>45997.916666666664</v>
      </c>
      <c r="F721" s="10" t="s">
        <v>5001</v>
      </c>
      <c r="G721" s="13" t="b">
        <v>0</v>
      </c>
      <c r="H721" s="10" t="s">
        <v>3564</v>
      </c>
      <c r="I721" s="10" t="s">
        <v>89</v>
      </c>
      <c r="J721" s="13" t="b">
        <v>0</v>
      </c>
      <c r="K721" s="13" t="b">
        <v>1</v>
      </c>
      <c r="L721" s="10" t="s">
        <v>124</v>
      </c>
      <c r="M721" s="10" t="s">
        <v>91</v>
      </c>
      <c r="N721" s="10" t="s">
        <v>92</v>
      </c>
      <c r="O721" s="19" t="s">
        <v>6415</v>
      </c>
      <c r="P721" s="10"/>
      <c r="Q721" s="10" t="s">
        <v>126</v>
      </c>
      <c r="R721" s="10"/>
      <c r="S721" s="19" t="s">
        <v>6416</v>
      </c>
      <c r="T721" s="19" t="s">
        <v>6417</v>
      </c>
      <c r="U721" s="10" t="s">
        <v>5018</v>
      </c>
      <c r="V721" s="10" t="s">
        <v>5067</v>
      </c>
      <c r="W721" s="10" t="s">
        <v>5007</v>
      </c>
      <c r="X721" s="10" t="s">
        <v>130</v>
      </c>
      <c r="Y721" s="10" t="s">
        <v>130</v>
      </c>
      <c r="Z721" s="10" t="s">
        <v>99</v>
      </c>
      <c r="AA721" s="10" t="s">
        <v>131</v>
      </c>
      <c r="AB721" s="10" t="s">
        <v>5008</v>
      </c>
      <c r="AC721" s="10" t="s">
        <v>5009</v>
      </c>
      <c r="AD721" s="10" t="s">
        <v>6418</v>
      </c>
      <c r="AE721" s="10" t="s">
        <v>6419</v>
      </c>
      <c r="AF721" s="15"/>
      <c r="AG721" s="10"/>
      <c r="AH721" s="10"/>
      <c r="AI721" s="10"/>
      <c r="AJ721" s="10" t="s">
        <v>6420</v>
      </c>
      <c r="AK721" s="10" t="s">
        <v>102</v>
      </c>
      <c r="AL721" s="10" t="s">
        <v>1773</v>
      </c>
      <c r="AM721" s="10"/>
      <c r="AN721" s="10"/>
      <c r="AO721" s="13" t="b">
        <v>0</v>
      </c>
      <c r="AP721" s="10" t="s">
        <v>104</v>
      </c>
      <c r="AQ721" s="10">
        <f ca="1">IFERROR(__xludf.DUMMYFUNCTION("""COMPUTED_VALUE"""),4762165)</f>
        <v>4762165</v>
      </c>
      <c r="AR721" s="17">
        <v>18853</v>
      </c>
      <c r="AS721" s="17">
        <v>14349</v>
      </c>
      <c r="AT721" s="17">
        <v>232129.25</v>
      </c>
      <c r="AU721" s="17">
        <v>101.4</v>
      </c>
      <c r="AV721" s="17">
        <v>30.45</v>
      </c>
      <c r="AW721" s="10" t="s">
        <v>105</v>
      </c>
      <c r="AX721" s="17">
        <v>3959</v>
      </c>
      <c r="AY721" s="18">
        <v>16.177381699073106</v>
      </c>
      <c r="AZ721" s="10"/>
      <c r="BA721" s="20" t="b">
        <v>0</v>
      </c>
      <c r="BB721" s="10"/>
      <c r="BC721" s="17">
        <v>18853</v>
      </c>
      <c r="BD721" s="17">
        <v>14349</v>
      </c>
      <c r="BE721" s="17">
        <v>232129.25</v>
      </c>
      <c r="BF721" s="17">
        <v>30.45</v>
      </c>
      <c r="BG721" s="11">
        <f ca="1">IFERROR(__xludf.DUMMYFUNCTION("""COMPUTED_VALUE"""),45997.8333333333)</f>
        <v>45997.833333333299</v>
      </c>
      <c r="BH721" s="17" t="s">
        <v>105</v>
      </c>
      <c r="BI721" s="17"/>
      <c r="BJ721" s="15"/>
      <c r="BK721" s="15"/>
      <c r="BL721" s="13" t="b">
        <v>0</v>
      </c>
      <c r="BM721" s="10"/>
      <c r="BN721" s="10" t="s">
        <v>136</v>
      </c>
      <c r="BO721" s="11">
        <v>45866.101388888892</v>
      </c>
      <c r="BP721" s="11">
        <v>45993.733368055553</v>
      </c>
      <c r="BQ721" s="15">
        <v>46007.78701388889</v>
      </c>
      <c r="BR721" s="15">
        <v>45995.589629629627</v>
      </c>
      <c r="BS721" s="10"/>
      <c r="BT721" s="10"/>
      <c r="BU721" s="10"/>
      <c r="BV721" s="10"/>
      <c r="BW721" s="10"/>
      <c r="BX721" s="10"/>
      <c r="BY721" s="23"/>
      <c r="BZ721" s="23"/>
      <c r="CA721" s="19" t="s">
        <v>6421</v>
      </c>
      <c r="CB721" s="19" t="s">
        <v>6422</v>
      </c>
      <c r="CC721" s="23"/>
      <c r="CD721" s="19" t="s">
        <v>6423</v>
      </c>
      <c r="CE721" s="23"/>
      <c r="CF721" s="23"/>
      <c r="CG721" s="23"/>
      <c r="CH721" s="23"/>
      <c r="CI721" s="23"/>
    </row>
    <row r="722" spans="1:87" x14ac:dyDescent="0.3">
      <c r="A722" s="9" t="s">
        <v>6424</v>
      </c>
      <c r="B722" s="10" t="s">
        <v>6425</v>
      </c>
      <c r="C722" s="11">
        <v>45997.125</v>
      </c>
      <c r="D722" s="12">
        <v>8.3333333333333329E-2</v>
      </c>
      <c r="E722" s="11">
        <v>45997.208333333336</v>
      </c>
      <c r="F722" s="10" t="s">
        <v>5001</v>
      </c>
      <c r="G722" s="13" t="b">
        <v>0</v>
      </c>
      <c r="H722" s="10" t="s">
        <v>3578</v>
      </c>
      <c r="I722" s="10" t="s">
        <v>89</v>
      </c>
      <c r="J722" s="13" t="b">
        <v>0</v>
      </c>
      <c r="K722" s="13" t="b">
        <v>1</v>
      </c>
      <c r="L722" s="10" t="s">
        <v>124</v>
      </c>
      <c r="M722" s="10" t="s">
        <v>91</v>
      </c>
      <c r="N722" s="10" t="s">
        <v>92</v>
      </c>
      <c r="O722" s="19" t="s">
        <v>6426</v>
      </c>
      <c r="P722" s="10"/>
      <c r="Q722" s="10" t="s">
        <v>94</v>
      </c>
      <c r="R722" s="10"/>
      <c r="S722" s="19" t="s">
        <v>6427</v>
      </c>
      <c r="T722" s="19" t="s">
        <v>6428</v>
      </c>
      <c r="U722" s="10" t="s">
        <v>5019</v>
      </c>
      <c r="V722" s="10" t="s">
        <v>5041</v>
      </c>
      <c r="W722" s="10" t="s">
        <v>5007</v>
      </c>
      <c r="X722" s="10" t="s">
        <v>130</v>
      </c>
      <c r="Y722" s="10" t="s">
        <v>130</v>
      </c>
      <c r="Z722" s="10" t="s">
        <v>99</v>
      </c>
      <c r="AA722" s="10" t="s">
        <v>131</v>
      </c>
      <c r="AB722" s="10" t="s">
        <v>5008</v>
      </c>
      <c r="AC722" s="10" t="s">
        <v>5009</v>
      </c>
      <c r="AD722" s="10" t="s">
        <v>6429</v>
      </c>
      <c r="AE722" s="10" t="s">
        <v>6430</v>
      </c>
      <c r="AF722" s="15"/>
      <c r="AG722" s="10"/>
      <c r="AH722" s="10"/>
      <c r="AI722" s="10"/>
      <c r="AJ722" s="10"/>
      <c r="AK722" s="10" t="s">
        <v>102</v>
      </c>
      <c r="AL722" s="10" t="s">
        <v>1773</v>
      </c>
      <c r="AM722" s="10"/>
      <c r="AN722" s="10"/>
      <c r="AO722" s="13" t="b">
        <v>0</v>
      </c>
      <c r="AP722" s="10" t="s">
        <v>104</v>
      </c>
      <c r="AQ722" s="10">
        <f ca="1">IFERROR(__xludf.DUMMYFUNCTION("""COMPUTED_VALUE"""),4762163)</f>
        <v>4762163</v>
      </c>
      <c r="AR722" s="17">
        <v>3081</v>
      </c>
      <c r="AS722" s="17">
        <v>2324</v>
      </c>
      <c r="AT722" s="17">
        <v>77057</v>
      </c>
      <c r="AU722" s="17">
        <v>7.2</v>
      </c>
      <c r="AV722" s="17">
        <v>0.5</v>
      </c>
      <c r="AW722" s="10" t="s">
        <v>105</v>
      </c>
      <c r="AX722" s="17">
        <v>888</v>
      </c>
      <c r="AY722" s="18">
        <v>33.157056798623067</v>
      </c>
      <c r="AZ722" s="10"/>
      <c r="BA722" s="20" t="b">
        <v>0</v>
      </c>
      <c r="BB722" s="10"/>
      <c r="BC722" s="17">
        <v>3081</v>
      </c>
      <c r="BD722" s="17">
        <v>2324</v>
      </c>
      <c r="BE722" s="17">
        <v>77057</v>
      </c>
      <c r="BF722" s="17">
        <v>0.5</v>
      </c>
      <c r="BG722" s="11">
        <f ca="1">IFERROR(__xludf.DUMMYFUNCTION("""COMPUTED_VALUE"""),45997.125)</f>
        <v>45997.125</v>
      </c>
      <c r="BH722" s="17" t="s">
        <v>105</v>
      </c>
      <c r="BI722" s="17"/>
      <c r="BJ722" s="15"/>
      <c r="BK722" s="15"/>
      <c r="BL722" s="13" t="b">
        <v>0</v>
      </c>
      <c r="BM722" s="10"/>
      <c r="BN722" s="10" t="s">
        <v>136</v>
      </c>
      <c r="BO722" s="11">
        <v>45866.101388888892</v>
      </c>
      <c r="BP722" s="11">
        <v>45988.642766203702</v>
      </c>
      <c r="BQ722" s="15">
        <v>46007.788136574076</v>
      </c>
      <c r="BR722" s="15">
        <v>45995.589444444442</v>
      </c>
      <c r="BS722" s="10"/>
      <c r="BT722" s="10"/>
      <c r="BU722" s="10"/>
      <c r="BV722" s="10"/>
      <c r="BW722" s="10"/>
      <c r="BX722" s="10"/>
      <c r="BY722" s="23"/>
      <c r="BZ722" s="23"/>
      <c r="CA722" s="19" t="s">
        <v>6431</v>
      </c>
      <c r="CB722" s="19" t="s">
        <v>6432</v>
      </c>
      <c r="CC722" s="23"/>
      <c r="CD722" s="23"/>
      <c r="CE722" s="23"/>
      <c r="CF722" s="23"/>
      <c r="CG722" s="23"/>
      <c r="CH722" s="23"/>
      <c r="CI722" s="23"/>
    </row>
    <row r="723" spans="1:87" x14ac:dyDescent="0.3">
      <c r="A723" s="9" t="s">
        <v>6433</v>
      </c>
      <c r="B723" s="10" t="s">
        <v>6434</v>
      </c>
      <c r="C723" s="11">
        <v>45998.927083333336</v>
      </c>
      <c r="D723" s="12">
        <v>8.3333333333333329E-2</v>
      </c>
      <c r="E723" s="11">
        <v>45999.010416666664</v>
      </c>
      <c r="F723" s="10" t="s">
        <v>5001</v>
      </c>
      <c r="G723" s="13" t="b">
        <v>0</v>
      </c>
      <c r="H723" s="10" t="s">
        <v>6271</v>
      </c>
      <c r="I723" s="10" t="s">
        <v>89</v>
      </c>
      <c r="J723" s="13" t="b">
        <v>0</v>
      </c>
      <c r="K723" s="13" t="b">
        <v>1</v>
      </c>
      <c r="L723" s="10" t="s">
        <v>124</v>
      </c>
      <c r="M723" s="10" t="s">
        <v>91</v>
      </c>
      <c r="N723" s="10" t="s">
        <v>92</v>
      </c>
      <c r="O723" s="19" t="s">
        <v>6435</v>
      </c>
      <c r="P723" s="10"/>
      <c r="Q723" s="10" t="s">
        <v>126</v>
      </c>
      <c r="R723" s="10"/>
      <c r="S723" s="19" t="s">
        <v>6436</v>
      </c>
      <c r="T723" s="19" t="s">
        <v>6437</v>
      </c>
      <c r="U723" s="10" t="s">
        <v>5054</v>
      </c>
      <c r="V723" s="10" t="s">
        <v>5077</v>
      </c>
      <c r="W723" s="10" t="s">
        <v>5007</v>
      </c>
      <c r="X723" s="10" t="s">
        <v>130</v>
      </c>
      <c r="Y723" s="10" t="s">
        <v>130</v>
      </c>
      <c r="Z723" s="10" t="s">
        <v>99</v>
      </c>
      <c r="AA723" s="10" t="s">
        <v>131</v>
      </c>
      <c r="AB723" s="10" t="s">
        <v>5008</v>
      </c>
      <c r="AC723" s="10" t="s">
        <v>5009</v>
      </c>
      <c r="AD723" s="10" t="s">
        <v>6438</v>
      </c>
      <c r="AE723" s="10" t="s">
        <v>6439</v>
      </c>
      <c r="AF723" s="15"/>
      <c r="AG723" s="10"/>
      <c r="AH723" s="10"/>
      <c r="AI723" s="10"/>
      <c r="AJ723" s="10" t="s">
        <v>6440</v>
      </c>
      <c r="AK723" s="10" t="s">
        <v>102</v>
      </c>
      <c r="AL723" s="10" t="s">
        <v>1773</v>
      </c>
      <c r="AM723" s="10"/>
      <c r="AN723" s="10"/>
      <c r="AO723" s="13" t="b">
        <v>0</v>
      </c>
      <c r="AP723" s="10" t="s">
        <v>104</v>
      </c>
      <c r="AQ723" s="10">
        <f ca="1">IFERROR(__xludf.DUMMYFUNCTION("""COMPUTED_VALUE"""),4762551)</f>
        <v>4762551</v>
      </c>
      <c r="AR723" s="17">
        <v>14587</v>
      </c>
      <c r="AS723" s="17">
        <v>11760</v>
      </c>
      <c r="AT723" s="17">
        <v>213823.25</v>
      </c>
      <c r="AU723" s="17">
        <v>57.6</v>
      </c>
      <c r="AV723" s="17">
        <v>16</v>
      </c>
      <c r="AW723" s="10" t="s">
        <v>105</v>
      </c>
      <c r="AX723" s="17">
        <v>3804</v>
      </c>
      <c r="AY723" s="18">
        <v>18.182249149659864</v>
      </c>
      <c r="AZ723" s="10"/>
      <c r="BA723" s="20" t="b">
        <v>0</v>
      </c>
      <c r="BB723" s="10"/>
      <c r="BC723" s="17">
        <v>14587</v>
      </c>
      <c r="BD723" s="17">
        <v>11760</v>
      </c>
      <c r="BE723" s="17">
        <v>213823.25</v>
      </c>
      <c r="BF723" s="17">
        <v>16</v>
      </c>
      <c r="BG723" s="11">
        <f ca="1">IFERROR(__xludf.DUMMYFUNCTION("""COMPUTED_VALUE"""),45998.9270833333)</f>
        <v>45998.927083333299</v>
      </c>
      <c r="BH723" s="17" t="s">
        <v>105</v>
      </c>
      <c r="BI723" s="17"/>
      <c r="BJ723" s="15"/>
      <c r="BK723" s="15"/>
      <c r="BL723" s="13" t="b">
        <v>0</v>
      </c>
      <c r="BM723" s="10"/>
      <c r="BN723" s="10" t="s">
        <v>136</v>
      </c>
      <c r="BO723" s="11">
        <v>45866.101388888892</v>
      </c>
      <c r="BP723" s="11">
        <v>45993.738518518519</v>
      </c>
      <c r="BQ723" s="15">
        <v>46007.788564814815</v>
      </c>
      <c r="BR723" s="15">
        <v>45995.599849537037</v>
      </c>
      <c r="BS723" s="10"/>
      <c r="BT723" s="10"/>
      <c r="BU723" s="10"/>
      <c r="BV723" s="10"/>
      <c r="BW723" s="10"/>
      <c r="BX723" s="10"/>
      <c r="BY723" s="23"/>
      <c r="BZ723" s="23"/>
      <c r="CA723" s="19" t="s">
        <v>6441</v>
      </c>
      <c r="CB723" s="19" t="s">
        <v>6442</v>
      </c>
      <c r="CC723" s="23"/>
      <c r="CD723" s="19" t="s">
        <v>6443</v>
      </c>
      <c r="CE723" s="23"/>
      <c r="CF723" s="23"/>
      <c r="CG723" s="23"/>
      <c r="CH723" s="23"/>
      <c r="CI723" s="23"/>
    </row>
    <row r="724" spans="1:87" x14ac:dyDescent="0.3">
      <c r="A724" s="9" t="s">
        <v>6444</v>
      </c>
      <c r="B724" s="10" t="s">
        <v>6445</v>
      </c>
      <c r="C724" s="11">
        <v>45998.125</v>
      </c>
      <c r="D724" s="12">
        <v>8.3333333333333329E-2</v>
      </c>
      <c r="E724" s="11">
        <v>45998.208333333336</v>
      </c>
      <c r="F724" s="10" t="s">
        <v>5001</v>
      </c>
      <c r="G724" s="13" t="b">
        <v>0</v>
      </c>
      <c r="H724" s="10" t="s">
        <v>3578</v>
      </c>
      <c r="I724" s="10" t="s">
        <v>89</v>
      </c>
      <c r="J724" s="13" t="b">
        <v>0</v>
      </c>
      <c r="K724" s="13" t="b">
        <v>1</v>
      </c>
      <c r="L724" s="10" t="s">
        <v>124</v>
      </c>
      <c r="M724" s="10" t="s">
        <v>91</v>
      </c>
      <c r="N724" s="10" t="s">
        <v>92</v>
      </c>
      <c r="O724" s="19" t="s">
        <v>6446</v>
      </c>
      <c r="P724" s="10"/>
      <c r="Q724" s="10" t="s">
        <v>126</v>
      </c>
      <c r="R724" s="10"/>
      <c r="S724" s="19" t="s">
        <v>6447</v>
      </c>
      <c r="T724" s="19" t="s">
        <v>6448</v>
      </c>
      <c r="U724" s="10" t="s">
        <v>5076</v>
      </c>
      <c r="V724" s="10" t="s">
        <v>5090</v>
      </c>
      <c r="W724" s="10" t="s">
        <v>5007</v>
      </c>
      <c r="X724" s="10" t="s">
        <v>130</v>
      </c>
      <c r="Y724" s="10" t="s">
        <v>130</v>
      </c>
      <c r="Z724" s="10" t="s">
        <v>99</v>
      </c>
      <c r="AA724" s="10" t="s">
        <v>131</v>
      </c>
      <c r="AB724" s="10" t="s">
        <v>5008</v>
      </c>
      <c r="AC724" s="10" t="s">
        <v>5009</v>
      </c>
      <c r="AD724" s="10" t="s">
        <v>6449</v>
      </c>
      <c r="AE724" s="10" t="s">
        <v>6450</v>
      </c>
      <c r="AF724" s="15"/>
      <c r="AG724" s="10"/>
      <c r="AH724" s="10"/>
      <c r="AI724" s="10"/>
      <c r="AJ724" s="10" t="s">
        <v>6451</v>
      </c>
      <c r="AK724" s="10" t="s">
        <v>102</v>
      </c>
      <c r="AL724" s="10" t="s">
        <v>1773</v>
      </c>
      <c r="AM724" s="10"/>
      <c r="AN724" s="10"/>
      <c r="AO724" s="13" t="b">
        <v>0</v>
      </c>
      <c r="AP724" s="10" t="s">
        <v>104</v>
      </c>
      <c r="AQ724" s="10">
        <f ca="1">IFERROR(__xludf.DUMMYFUNCTION("""COMPUTED_VALUE"""),4768732)</f>
        <v>4768732</v>
      </c>
      <c r="AR724" s="17">
        <v>16740</v>
      </c>
      <c r="AS724" s="17">
        <v>12730</v>
      </c>
      <c r="AT724" s="17">
        <v>514378.5</v>
      </c>
      <c r="AU724" s="17">
        <v>48.55</v>
      </c>
      <c r="AV724" s="17">
        <v>12.95</v>
      </c>
      <c r="AW724" s="10" t="s">
        <v>105</v>
      </c>
      <c r="AX724" s="17">
        <v>4924</v>
      </c>
      <c r="AY724" s="18">
        <v>40.406794972505892</v>
      </c>
      <c r="AZ724" s="10"/>
      <c r="BA724" s="20" t="b">
        <v>0</v>
      </c>
      <c r="BB724" s="10"/>
      <c r="BC724" s="17">
        <v>16740</v>
      </c>
      <c r="BD724" s="17">
        <v>12730</v>
      </c>
      <c r="BE724" s="17">
        <v>514378.5</v>
      </c>
      <c r="BF724" s="17">
        <v>12.95</v>
      </c>
      <c r="BG724" s="11">
        <f ca="1">IFERROR(__xludf.DUMMYFUNCTION("""COMPUTED_VALUE"""),45998.125)</f>
        <v>45998.125</v>
      </c>
      <c r="BH724" s="17" t="s">
        <v>105</v>
      </c>
      <c r="BI724" s="17"/>
      <c r="BJ724" s="15"/>
      <c r="BK724" s="15"/>
      <c r="BL724" s="13" t="b">
        <v>0</v>
      </c>
      <c r="BM724" s="10"/>
      <c r="BN724" s="10" t="s">
        <v>136</v>
      </c>
      <c r="BO724" s="11">
        <v>45866.101388888892</v>
      </c>
      <c r="BP724" s="11">
        <v>45993.737337962964</v>
      </c>
      <c r="BQ724" s="15">
        <v>46007.787222222221</v>
      </c>
      <c r="BR724" s="15">
        <v>45997.325370370374</v>
      </c>
      <c r="BS724" s="10"/>
      <c r="BT724" s="10" t="s">
        <v>99</v>
      </c>
      <c r="BU724" s="10" t="s">
        <v>5463</v>
      </c>
      <c r="BV724" s="10"/>
      <c r="BW724" s="10"/>
      <c r="BX724" s="10"/>
      <c r="BY724" s="23"/>
      <c r="BZ724" s="23"/>
      <c r="CA724" s="19" t="s">
        <v>6452</v>
      </c>
      <c r="CB724" s="19" t="s">
        <v>6453</v>
      </c>
      <c r="CC724" s="23"/>
      <c r="CD724" s="19" t="s">
        <v>6454</v>
      </c>
      <c r="CE724" s="23"/>
      <c r="CF724" s="23"/>
      <c r="CG724" s="23"/>
      <c r="CH724" s="23"/>
      <c r="CI724" s="23"/>
    </row>
    <row r="725" spans="1:87" x14ac:dyDescent="0.3">
      <c r="A725" s="9" t="s">
        <v>6455</v>
      </c>
      <c r="B725" s="10" t="s">
        <v>6456</v>
      </c>
      <c r="C725" s="11">
        <v>45998.020833333336</v>
      </c>
      <c r="D725" s="12">
        <v>8.3333333333333329E-2</v>
      </c>
      <c r="E725" s="11">
        <v>45998.104166666664</v>
      </c>
      <c r="F725" s="10" t="s">
        <v>5001</v>
      </c>
      <c r="G725" s="13" t="b">
        <v>0</v>
      </c>
      <c r="H725" s="10" t="s">
        <v>6271</v>
      </c>
      <c r="I725" s="10" t="s">
        <v>89</v>
      </c>
      <c r="J725" s="13" t="b">
        <v>0</v>
      </c>
      <c r="K725" s="13" t="b">
        <v>1</v>
      </c>
      <c r="L725" s="10" t="s">
        <v>124</v>
      </c>
      <c r="M725" s="10" t="s">
        <v>91</v>
      </c>
      <c r="N725" s="10" t="s">
        <v>92</v>
      </c>
      <c r="O725" s="19" t="s">
        <v>6457</v>
      </c>
      <c r="P725" s="10"/>
      <c r="Q725" s="10" t="s">
        <v>126</v>
      </c>
      <c r="R725" s="10"/>
      <c r="S725" s="19" t="s">
        <v>6458</v>
      </c>
      <c r="T725" s="19" t="s">
        <v>6459</v>
      </c>
      <c r="U725" s="10" t="s">
        <v>5102</v>
      </c>
      <c r="V725" s="10" t="s">
        <v>5042</v>
      </c>
      <c r="W725" s="10" t="s">
        <v>5007</v>
      </c>
      <c r="X725" s="10" t="s">
        <v>130</v>
      </c>
      <c r="Y725" s="10" t="s">
        <v>130</v>
      </c>
      <c r="Z725" s="10" t="s">
        <v>99</v>
      </c>
      <c r="AA725" s="10" t="s">
        <v>131</v>
      </c>
      <c r="AB725" s="10" t="s">
        <v>5008</v>
      </c>
      <c r="AC725" s="10" t="s">
        <v>5009</v>
      </c>
      <c r="AD725" s="10" t="s">
        <v>6460</v>
      </c>
      <c r="AE725" s="10" t="s">
        <v>6461</v>
      </c>
      <c r="AF725" s="15"/>
      <c r="AG725" s="10"/>
      <c r="AH725" s="10"/>
      <c r="AI725" s="10"/>
      <c r="AJ725" s="10" t="s">
        <v>6462</v>
      </c>
      <c r="AK725" s="10" t="s">
        <v>102</v>
      </c>
      <c r="AL725" s="10" t="s">
        <v>1773</v>
      </c>
      <c r="AM725" s="10"/>
      <c r="AN725" s="10"/>
      <c r="AO725" s="13" t="b">
        <v>1</v>
      </c>
      <c r="AP725" s="10" t="s">
        <v>104</v>
      </c>
      <c r="AQ725" s="10">
        <f ca="1">IFERROR(__xludf.DUMMYFUNCTION("""COMPUTED_VALUE"""),4759280)</f>
        <v>4759280</v>
      </c>
      <c r="AR725" s="17">
        <v>169915</v>
      </c>
      <c r="AS725" s="17">
        <v>88728</v>
      </c>
      <c r="AT725" s="17">
        <v>5061565.5</v>
      </c>
      <c r="AU725" s="17">
        <v>956.85</v>
      </c>
      <c r="AV725" s="17">
        <v>249.75</v>
      </c>
      <c r="AW725" s="10" t="s">
        <v>105</v>
      </c>
      <c r="AX725" s="17">
        <v>45504</v>
      </c>
      <c r="AY725" s="18">
        <v>57.045864890451718</v>
      </c>
      <c r="AZ725" s="10" t="s">
        <v>106</v>
      </c>
      <c r="BA725" s="20" t="b">
        <v>0</v>
      </c>
      <c r="BB725" s="10"/>
      <c r="BC725" s="17">
        <v>169915</v>
      </c>
      <c r="BD725" s="17">
        <v>88728</v>
      </c>
      <c r="BE725" s="17">
        <v>5061565.5</v>
      </c>
      <c r="BF725" s="17">
        <v>249.75</v>
      </c>
      <c r="BG725" s="11">
        <f ca="1">IFERROR(__xludf.DUMMYFUNCTION("""COMPUTED_VALUE"""),45998.0208333333)</f>
        <v>45998.020833333299</v>
      </c>
      <c r="BH725" s="17" t="s">
        <v>105</v>
      </c>
      <c r="BI725" s="17"/>
      <c r="BJ725" s="15"/>
      <c r="BK725" s="15"/>
      <c r="BL725" s="13" t="b">
        <v>0</v>
      </c>
      <c r="BM725" s="10"/>
      <c r="BN725" s="10" t="s">
        <v>1149</v>
      </c>
      <c r="BO725" s="11">
        <v>45866.101388888892</v>
      </c>
      <c r="BP725" s="11">
        <v>45994.660763888889</v>
      </c>
      <c r="BQ725" s="15">
        <v>45993.920393518521</v>
      </c>
      <c r="BR725" s="15">
        <v>45994.459953703707</v>
      </c>
      <c r="BS725" s="10" t="s">
        <v>1149</v>
      </c>
      <c r="BT725" s="10" t="s">
        <v>99</v>
      </c>
      <c r="BU725" s="10" t="s">
        <v>5762</v>
      </c>
      <c r="BV725" s="10" t="s">
        <v>281</v>
      </c>
      <c r="BW725" s="10"/>
      <c r="BX725" s="10"/>
      <c r="BY725" s="23"/>
      <c r="BZ725" s="23"/>
      <c r="CA725" s="19" t="s">
        <v>6463</v>
      </c>
      <c r="CB725" s="19" t="s">
        <v>6464</v>
      </c>
      <c r="CC725" s="23"/>
      <c r="CD725" s="19" t="s">
        <v>6465</v>
      </c>
      <c r="CE725" s="23"/>
      <c r="CF725" s="23"/>
      <c r="CG725" s="23"/>
      <c r="CH725" s="23"/>
      <c r="CI725" s="23"/>
    </row>
    <row r="726" spans="1:87" x14ac:dyDescent="0.3">
      <c r="A726" s="9" t="s">
        <v>6466</v>
      </c>
      <c r="B726" s="10" t="s">
        <v>6467</v>
      </c>
      <c r="C726" s="11">
        <v>46007.125</v>
      </c>
      <c r="D726" s="12">
        <v>8.3333333333333329E-2</v>
      </c>
      <c r="E726" s="11">
        <v>46007.208333333336</v>
      </c>
      <c r="F726" s="10" t="s">
        <v>5001</v>
      </c>
      <c r="G726" s="13" t="b">
        <v>0</v>
      </c>
      <c r="H726" s="10" t="s">
        <v>3578</v>
      </c>
      <c r="I726" s="10" t="s">
        <v>89</v>
      </c>
      <c r="J726" s="13" t="b">
        <v>0</v>
      </c>
      <c r="K726" s="13" t="b">
        <v>1</v>
      </c>
      <c r="L726" s="10" t="s">
        <v>124</v>
      </c>
      <c r="M726" s="10" t="s">
        <v>91</v>
      </c>
      <c r="N726" s="10" t="s">
        <v>92</v>
      </c>
      <c r="O726" s="19" t="s">
        <v>6468</v>
      </c>
      <c r="P726" s="10"/>
      <c r="Q726" s="10" t="s">
        <v>126</v>
      </c>
      <c r="R726" s="10"/>
      <c r="S726" s="19" t="s">
        <v>6469</v>
      </c>
      <c r="T726" s="19" t="s">
        <v>6470</v>
      </c>
      <c r="U726" s="10" t="s">
        <v>5006</v>
      </c>
      <c r="V726" s="10" t="s">
        <v>5102</v>
      </c>
      <c r="W726" s="10" t="s">
        <v>5007</v>
      </c>
      <c r="X726" s="10" t="s">
        <v>130</v>
      </c>
      <c r="Y726" s="10" t="s">
        <v>130</v>
      </c>
      <c r="Z726" s="10" t="s">
        <v>99</v>
      </c>
      <c r="AA726" s="10" t="s">
        <v>131</v>
      </c>
      <c r="AB726" s="10" t="s">
        <v>5008</v>
      </c>
      <c r="AC726" s="10" t="s">
        <v>5009</v>
      </c>
      <c r="AD726" s="10" t="s">
        <v>6471</v>
      </c>
      <c r="AE726" s="10" t="s">
        <v>6472</v>
      </c>
      <c r="AF726" s="15"/>
      <c r="AG726" s="10"/>
      <c r="AH726" s="10"/>
      <c r="AI726" s="10"/>
      <c r="AJ726" s="10" t="s">
        <v>6473</v>
      </c>
      <c r="AK726" s="10" t="s">
        <v>102</v>
      </c>
      <c r="AL726" s="10" t="s">
        <v>1876</v>
      </c>
      <c r="AM726" s="10"/>
      <c r="AN726" s="10"/>
      <c r="AO726" s="13" t="b">
        <v>0</v>
      </c>
      <c r="AP726" s="10" t="s">
        <v>104</v>
      </c>
      <c r="AQ726" s="10">
        <f ca="1">IFERROR(__xludf.DUMMYFUNCTION("""COMPUTED_VALUE"""),4779485)</f>
        <v>4779485</v>
      </c>
      <c r="AR726" s="17">
        <v>6004</v>
      </c>
      <c r="AS726" s="17">
        <v>4075</v>
      </c>
      <c r="AT726" s="17">
        <v>87627.25</v>
      </c>
      <c r="AU726" s="17">
        <v>4.55</v>
      </c>
      <c r="AV726" s="17">
        <v>1.4</v>
      </c>
      <c r="AW726" s="10" t="s">
        <v>105</v>
      </c>
      <c r="AX726" s="17">
        <v>1311</v>
      </c>
      <c r="AY726" s="18">
        <v>21.503619631901842</v>
      </c>
      <c r="AZ726" s="10" t="s">
        <v>106</v>
      </c>
      <c r="BA726" s="20" t="b">
        <v>0</v>
      </c>
      <c r="BB726" s="10"/>
      <c r="BC726" s="17">
        <v>6004</v>
      </c>
      <c r="BD726" s="17">
        <v>4075</v>
      </c>
      <c r="BE726" s="17">
        <v>87627.25</v>
      </c>
      <c r="BF726" s="17">
        <v>1.4</v>
      </c>
      <c r="BG726" s="11">
        <f ca="1">IFERROR(__xludf.DUMMYFUNCTION("""COMPUTED_VALUE"""),46007.125)</f>
        <v>46007.125</v>
      </c>
      <c r="BH726" s="17" t="s">
        <v>105</v>
      </c>
      <c r="BI726" s="17"/>
      <c r="BJ726" s="15"/>
      <c r="BK726" s="15"/>
      <c r="BL726" s="13" t="b">
        <v>0</v>
      </c>
      <c r="BM726" s="10"/>
      <c r="BN726" s="10" t="s">
        <v>118</v>
      </c>
      <c r="BO726" s="11">
        <v>45866.101388888892</v>
      </c>
      <c r="BP726" s="11">
        <v>46001.538703703707</v>
      </c>
      <c r="BQ726" s="15">
        <v>46000.709594907406</v>
      </c>
      <c r="BR726" s="15">
        <v>46005.418136574073</v>
      </c>
      <c r="BS726" s="10" t="s">
        <v>118</v>
      </c>
      <c r="BT726" s="10"/>
      <c r="BU726" s="10"/>
      <c r="BV726" s="10"/>
      <c r="BW726" s="10"/>
      <c r="BX726" s="10"/>
      <c r="BY726" s="23"/>
      <c r="BZ726" s="23"/>
      <c r="CA726" s="19" t="s">
        <v>6474</v>
      </c>
      <c r="CB726" s="19" t="s">
        <v>6475</v>
      </c>
      <c r="CC726" s="23"/>
      <c r="CD726" s="19" t="s">
        <v>6476</v>
      </c>
      <c r="CE726" s="23"/>
      <c r="CF726" s="23"/>
      <c r="CG726" s="23"/>
      <c r="CH726" s="23"/>
      <c r="CI726" s="23"/>
    </row>
    <row r="727" spans="1:87" x14ac:dyDescent="0.3">
      <c r="A727" s="9" t="s">
        <v>6477</v>
      </c>
      <c r="B727" s="10" t="s">
        <v>6478</v>
      </c>
      <c r="C727" s="11">
        <v>46004.125</v>
      </c>
      <c r="D727" s="12">
        <v>8.3333333333333329E-2</v>
      </c>
      <c r="E727" s="11">
        <v>46004.208333333336</v>
      </c>
      <c r="F727" s="10" t="s">
        <v>5001</v>
      </c>
      <c r="G727" s="13" t="b">
        <v>0</v>
      </c>
      <c r="H727" s="10" t="s">
        <v>3578</v>
      </c>
      <c r="I727" s="10" t="s">
        <v>89</v>
      </c>
      <c r="J727" s="13" t="b">
        <v>0</v>
      </c>
      <c r="K727" s="13" t="b">
        <v>1</v>
      </c>
      <c r="L727" s="10" t="s">
        <v>124</v>
      </c>
      <c r="M727" s="10" t="s">
        <v>91</v>
      </c>
      <c r="N727" s="10" t="s">
        <v>92</v>
      </c>
      <c r="O727" s="19" t="s">
        <v>6479</v>
      </c>
      <c r="P727" s="10"/>
      <c r="Q727" s="10" t="s">
        <v>126</v>
      </c>
      <c r="R727" s="10"/>
      <c r="S727" s="19" t="s">
        <v>6480</v>
      </c>
      <c r="T727" s="19" t="s">
        <v>6481</v>
      </c>
      <c r="U727" s="10" t="s">
        <v>5055</v>
      </c>
      <c r="V727" s="10" t="s">
        <v>5005</v>
      </c>
      <c r="W727" s="10" t="s">
        <v>5007</v>
      </c>
      <c r="X727" s="10" t="s">
        <v>130</v>
      </c>
      <c r="Y727" s="10" t="s">
        <v>130</v>
      </c>
      <c r="Z727" s="10" t="s">
        <v>99</v>
      </c>
      <c r="AA727" s="10" t="s">
        <v>131</v>
      </c>
      <c r="AB727" s="10" t="s">
        <v>5008</v>
      </c>
      <c r="AC727" s="10" t="s">
        <v>5009</v>
      </c>
      <c r="AD727" s="10" t="s">
        <v>6482</v>
      </c>
      <c r="AE727" s="10" t="s">
        <v>6483</v>
      </c>
      <c r="AF727" s="15"/>
      <c r="AG727" s="10"/>
      <c r="AH727" s="10"/>
      <c r="AI727" s="10"/>
      <c r="AJ727" s="10" t="s">
        <v>6484</v>
      </c>
      <c r="AK727" s="10" t="s">
        <v>102</v>
      </c>
      <c r="AL727" s="10" t="s">
        <v>1876</v>
      </c>
      <c r="AM727" s="10"/>
      <c r="AN727" s="10"/>
      <c r="AO727" s="13" t="b">
        <v>0</v>
      </c>
      <c r="AP727" s="10" t="s">
        <v>104</v>
      </c>
      <c r="AQ727" s="10">
        <f ca="1">IFERROR(__xludf.DUMMYFUNCTION("""COMPUTED_VALUE"""),4773609)</f>
        <v>4773609</v>
      </c>
      <c r="AR727" s="17">
        <v>5758</v>
      </c>
      <c r="AS727" s="17">
        <v>4314</v>
      </c>
      <c r="AT727" s="17">
        <v>161219.5</v>
      </c>
      <c r="AU727" s="17">
        <v>11.15</v>
      </c>
      <c r="AV727" s="17">
        <v>3.8</v>
      </c>
      <c r="AW727" s="10" t="s">
        <v>105</v>
      </c>
      <c r="AX727" s="17">
        <v>1566</v>
      </c>
      <c r="AY727" s="18">
        <v>37.371233194251275</v>
      </c>
      <c r="AZ727" s="10" t="s">
        <v>106</v>
      </c>
      <c r="BA727" s="20" t="b">
        <v>0</v>
      </c>
      <c r="BB727" s="10"/>
      <c r="BC727" s="17">
        <v>5758</v>
      </c>
      <c r="BD727" s="17">
        <v>4314</v>
      </c>
      <c r="BE727" s="17">
        <v>161219.5</v>
      </c>
      <c r="BF727" s="17">
        <v>3.8</v>
      </c>
      <c r="BG727" s="11">
        <f ca="1">IFERROR(__xludf.DUMMYFUNCTION("""COMPUTED_VALUE"""),46004.125)</f>
        <v>46004.125</v>
      </c>
      <c r="BH727" s="17" t="s">
        <v>105</v>
      </c>
      <c r="BI727" s="17"/>
      <c r="BJ727" s="15"/>
      <c r="BK727" s="15"/>
      <c r="BL727" s="13" t="b">
        <v>0</v>
      </c>
      <c r="BM727" s="10"/>
      <c r="BN727" s="10" t="s">
        <v>149</v>
      </c>
      <c r="BO727" s="11">
        <v>45866.101388888892</v>
      </c>
      <c r="BP727" s="11">
        <v>46001.526631944442</v>
      </c>
      <c r="BQ727" s="15">
        <v>46000.708437499998</v>
      </c>
      <c r="BR727" s="15">
        <v>46001.550891203704</v>
      </c>
      <c r="BS727" s="10" t="s">
        <v>149</v>
      </c>
      <c r="BT727" s="10"/>
      <c r="BU727" s="10"/>
      <c r="BV727" s="10"/>
      <c r="BW727" s="10"/>
      <c r="BX727" s="10"/>
      <c r="BY727" s="23"/>
      <c r="BZ727" s="23"/>
      <c r="CA727" s="19" t="s">
        <v>6485</v>
      </c>
      <c r="CB727" s="19" t="s">
        <v>6486</v>
      </c>
      <c r="CC727" s="23"/>
      <c r="CD727" s="19" t="s">
        <v>6487</v>
      </c>
      <c r="CE727" s="23"/>
      <c r="CF727" s="23"/>
      <c r="CG727" s="23"/>
      <c r="CH727" s="23"/>
      <c r="CI727" s="23"/>
    </row>
    <row r="728" spans="1:87" x14ac:dyDescent="0.3">
      <c r="A728" s="9" t="s">
        <v>6488</v>
      </c>
      <c r="B728" s="10" t="s">
        <v>6489</v>
      </c>
      <c r="C728" s="11">
        <v>46006.020833333336</v>
      </c>
      <c r="D728" s="12">
        <v>8.3333333333333329E-2</v>
      </c>
      <c r="E728" s="11">
        <v>46006.104166666664</v>
      </c>
      <c r="F728" s="10" t="s">
        <v>5001</v>
      </c>
      <c r="G728" s="13" t="b">
        <v>0</v>
      </c>
      <c r="H728" s="10" t="s">
        <v>3578</v>
      </c>
      <c r="I728" s="10" t="s">
        <v>89</v>
      </c>
      <c r="J728" s="13" t="b">
        <v>0</v>
      </c>
      <c r="K728" s="13" t="b">
        <v>1</v>
      </c>
      <c r="L728" s="10" t="s">
        <v>124</v>
      </c>
      <c r="M728" s="10" t="s">
        <v>91</v>
      </c>
      <c r="N728" s="10" t="s">
        <v>92</v>
      </c>
      <c r="O728" s="19" t="s">
        <v>6490</v>
      </c>
      <c r="P728" s="10"/>
      <c r="Q728" s="10" t="s">
        <v>126</v>
      </c>
      <c r="R728" s="10"/>
      <c r="S728" s="19" t="s">
        <v>6491</v>
      </c>
      <c r="T728" s="19" t="s">
        <v>6492</v>
      </c>
      <c r="U728" s="10" t="s">
        <v>5032</v>
      </c>
      <c r="V728" s="10" t="s">
        <v>5018</v>
      </c>
      <c r="W728" s="10" t="s">
        <v>5007</v>
      </c>
      <c r="X728" s="10" t="s">
        <v>130</v>
      </c>
      <c r="Y728" s="10" t="s">
        <v>130</v>
      </c>
      <c r="Z728" s="10" t="s">
        <v>99</v>
      </c>
      <c r="AA728" s="10" t="s">
        <v>131</v>
      </c>
      <c r="AB728" s="10" t="s">
        <v>5008</v>
      </c>
      <c r="AC728" s="10" t="s">
        <v>5009</v>
      </c>
      <c r="AD728" s="10" t="s">
        <v>6493</v>
      </c>
      <c r="AE728" s="10" t="s">
        <v>6494</v>
      </c>
      <c r="AF728" s="15"/>
      <c r="AG728" s="10"/>
      <c r="AH728" s="10"/>
      <c r="AI728" s="10"/>
      <c r="AJ728" s="10" t="s">
        <v>6495</v>
      </c>
      <c r="AK728" s="10" t="s">
        <v>256</v>
      </c>
      <c r="AL728" s="10" t="s">
        <v>1876</v>
      </c>
      <c r="AM728" s="10"/>
      <c r="AN728" s="10"/>
      <c r="AO728" s="13" t="b">
        <v>0</v>
      </c>
      <c r="AP728" s="10" t="s">
        <v>104</v>
      </c>
      <c r="AQ728" s="10">
        <f ca="1">IFERROR(__xludf.DUMMYFUNCTION("""COMPUTED_VALUE"""),4779478)</f>
        <v>4779478</v>
      </c>
      <c r="AR728" s="17"/>
      <c r="AS728" s="17"/>
      <c r="AT728" s="17"/>
      <c r="AU728" s="17"/>
      <c r="AV728" s="17"/>
      <c r="AW728" s="10"/>
      <c r="AX728" s="17"/>
      <c r="AY728" s="18" t="s">
        <v>257</v>
      </c>
      <c r="AZ728" s="10" t="s">
        <v>106</v>
      </c>
      <c r="BA728" s="20" t="b">
        <v>0</v>
      </c>
      <c r="BB728" s="10"/>
      <c r="BC728" s="17" t="s">
        <v>257</v>
      </c>
      <c r="BD728" s="17" t="s">
        <v>257</v>
      </c>
      <c r="BE728" s="17" t="s">
        <v>257</v>
      </c>
      <c r="BF728" s="17" t="s">
        <v>257</v>
      </c>
      <c r="BG728" s="11">
        <f ca="1">IFERROR(__xludf.DUMMYFUNCTION("""COMPUTED_VALUE"""),46006.0208333333)</f>
        <v>46006.020833333299</v>
      </c>
      <c r="BH728" s="17"/>
      <c r="BI728" s="17"/>
      <c r="BJ728" s="15"/>
      <c r="BK728" s="15"/>
      <c r="BL728" s="13" t="b">
        <v>0</v>
      </c>
      <c r="BM728" s="10"/>
      <c r="BN728" s="10" t="s">
        <v>351</v>
      </c>
      <c r="BO728" s="11">
        <v>45866.101388888892</v>
      </c>
      <c r="BP728" s="11">
        <v>46001.535925925928</v>
      </c>
      <c r="BQ728" s="15">
        <v>46003.72384259259</v>
      </c>
      <c r="BR728" s="15">
        <v>46005.396874999999</v>
      </c>
      <c r="BS728" s="10"/>
      <c r="BT728" s="10"/>
      <c r="BU728" s="10"/>
      <c r="BV728" s="10"/>
      <c r="BW728" s="10"/>
      <c r="BX728" s="10"/>
      <c r="BY728" s="23"/>
      <c r="BZ728" s="23"/>
      <c r="CA728" s="19" t="s">
        <v>6496</v>
      </c>
      <c r="CB728" s="19" t="s">
        <v>6497</v>
      </c>
      <c r="CC728" s="23"/>
      <c r="CD728" s="19" t="s">
        <v>6498</v>
      </c>
      <c r="CE728" s="23"/>
      <c r="CF728" s="23"/>
      <c r="CG728" s="23"/>
      <c r="CH728" s="23"/>
      <c r="CI728" s="23"/>
    </row>
    <row r="729" spans="1:87" x14ac:dyDescent="0.3">
      <c r="A729" s="9" t="s">
        <v>6499</v>
      </c>
      <c r="B729" s="10" t="s">
        <v>6500</v>
      </c>
      <c r="C729" s="11">
        <v>46006.125</v>
      </c>
      <c r="D729" s="12">
        <v>8.3333333333333329E-2</v>
      </c>
      <c r="E729" s="11">
        <v>46006.208333333336</v>
      </c>
      <c r="F729" s="10" t="s">
        <v>5001</v>
      </c>
      <c r="G729" s="13" t="b">
        <v>0</v>
      </c>
      <c r="H729" s="10" t="s">
        <v>3578</v>
      </c>
      <c r="I729" s="10" t="s">
        <v>89</v>
      </c>
      <c r="J729" s="13" t="b">
        <v>0</v>
      </c>
      <c r="K729" s="13" t="b">
        <v>1</v>
      </c>
      <c r="L729" s="10" t="s">
        <v>124</v>
      </c>
      <c r="M729" s="10" t="s">
        <v>91</v>
      </c>
      <c r="N729" s="10" t="s">
        <v>92</v>
      </c>
      <c r="O729" s="19" t="s">
        <v>6501</v>
      </c>
      <c r="P729" s="10"/>
      <c r="Q729" s="10" t="s">
        <v>126</v>
      </c>
      <c r="R729" s="10"/>
      <c r="S729" s="19" t="s">
        <v>6502</v>
      </c>
      <c r="T729" s="19" t="s">
        <v>6503</v>
      </c>
      <c r="U729" s="10" t="s">
        <v>5031</v>
      </c>
      <c r="V729" s="10" t="s">
        <v>5113</v>
      </c>
      <c r="W729" s="10" t="s">
        <v>5007</v>
      </c>
      <c r="X729" s="10" t="s">
        <v>130</v>
      </c>
      <c r="Y729" s="10" t="s">
        <v>130</v>
      </c>
      <c r="Z729" s="10" t="s">
        <v>99</v>
      </c>
      <c r="AA729" s="10" t="s">
        <v>131</v>
      </c>
      <c r="AB729" s="10" t="s">
        <v>5008</v>
      </c>
      <c r="AC729" s="10" t="s">
        <v>5009</v>
      </c>
      <c r="AD729" s="10" t="s">
        <v>6504</v>
      </c>
      <c r="AE729" s="10" t="s">
        <v>6505</v>
      </c>
      <c r="AF729" s="15"/>
      <c r="AG729" s="10"/>
      <c r="AH729" s="10"/>
      <c r="AI729" s="10"/>
      <c r="AJ729" s="10" t="s">
        <v>6506</v>
      </c>
      <c r="AK729" s="10" t="s">
        <v>102</v>
      </c>
      <c r="AL729" s="10" t="s">
        <v>1876</v>
      </c>
      <c r="AM729" s="10"/>
      <c r="AN729" s="10"/>
      <c r="AO729" s="13" t="b">
        <v>1</v>
      </c>
      <c r="AP729" s="10" t="s">
        <v>104</v>
      </c>
      <c r="AQ729" s="10">
        <f ca="1">IFERROR(__xludf.DUMMYFUNCTION("""COMPUTED_VALUE"""),4779505)</f>
        <v>4779505</v>
      </c>
      <c r="AR729" s="17">
        <v>82257</v>
      </c>
      <c r="AS729" s="17">
        <v>56981</v>
      </c>
      <c r="AT729" s="17">
        <v>2722762.5</v>
      </c>
      <c r="AU729" s="17">
        <v>292.7</v>
      </c>
      <c r="AV729" s="17">
        <v>46.5</v>
      </c>
      <c r="AW729" s="10" t="s">
        <v>105</v>
      </c>
      <c r="AX729" s="17">
        <v>32696</v>
      </c>
      <c r="AY729" s="18">
        <v>47.783691054913042</v>
      </c>
      <c r="AZ729" s="10" t="s">
        <v>106</v>
      </c>
      <c r="BA729" s="20" t="b">
        <v>0</v>
      </c>
      <c r="BB729" s="10"/>
      <c r="BC729" s="17">
        <v>82257</v>
      </c>
      <c r="BD729" s="17">
        <v>56981</v>
      </c>
      <c r="BE729" s="17">
        <v>2722762.5</v>
      </c>
      <c r="BF729" s="17">
        <v>46.5</v>
      </c>
      <c r="BG729" s="11">
        <f ca="1">IFERROR(__xludf.DUMMYFUNCTION("""COMPUTED_VALUE"""),46006.125)</f>
        <v>46006.125</v>
      </c>
      <c r="BH729" s="17" t="s">
        <v>105</v>
      </c>
      <c r="BI729" s="17"/>
      <c r="BJ729" s="15"/>
      <c r="BK729" s="15"/>
      <c r="BL729" s="13" t="b">
        <v>0</v>
      </c>
      <c r="BM729" s="10"/>
      <c r="BN729" s="10" t="s">
        <v>1149</v>
      </c>
      <c r="BO729" s="11">
        <v>45866.101388888892</v>
      </c>
      <c r="BP729" s="11">
        <v>46001.53701388889</v>
      </c>
      <c r="BQ729" s="15">
        <v>46000.709155092591</v>
      </c>
      <c r="BR729" s="15">
        <v>46005.419733796298</v>
      </c>
      <c r="BS729" s="10" t="s">
        <v>1149</v>
      </c>
      <c r="BT729" s="10" t="s">
        <v>99</v>
      </c>
      <c r="BU729" s="10" t="s">
        <v>5492</v>
      </c>
      <c r="BV729" s="10" t="s">
        <v>124</v>
      </c>
      <c r="BW729" s="10"/>
      <c r="BX729" s="10"/>
      <c r="BY729" s="23"/>
      <c r="BZ729" s="23"/>
      <c r="CA729" s="19" t="s">
        <v>6507</v>
      </c>
      <c r="CB729" s="19" t="s">
        <v>6508</v>
      </c>
      <c r="CC729" s="23"/>
      <c r="CD729" s="19" t="s">
        <v>6509</v>
      </c>
      <c r="CE729" s="23"/>
      <c r="CF729" s="23"/>
      <c r="CG729" s="23"/>
      <c r="CH729" s="23"/>
      <c r="CI729" s="23"/>
    </row>
    <row r="730" spans="1:87" x14ac:dyDescent="0.3">
      <c r="A730" s="9" t="s">
        <v>6510</v>
      </c>
      <c r="B730" s="10" t="s">
        <v>6511</v>
      </c>
      <c r="C730" s="11">
        <v>46005.020833333336</v>
      </c>
      <c r="D730" s="12">
        <v>8.3333333333333329E-2</v>
      </c>
      <c r="E730" s="11">
        <v>46005.104166666664</v>
      </c>
      <c r="F730" s="10" t="s">
        <v>5001</v>
      </c>
      <c r="G730" s="13" t="b">
        <v>0</v>
      </c>
      <c r="H730" s="10" t="s">
        <v>3578</v>
      </c>
      <c r="I730" s="10" t="s">
        <v>89</v>
      </c>
      <c r="J730" s="13" t="b">
        <v>0</v>
      </c>
      <c r="K730" s="13" t="b">
        <v>1</v>
      </c>
      <c r="L730" s="10" t="s">
        <v>124</v>
      </c>
      <c r="M730" s="10" t="s">
        <v>91</v>
      </c>
      <c r="N730" s="10" t="s">
        <v>92</v>
      </c>
      <c r="O730" s="19" t="s">
        <v>6512</v>
      </c>
      <c r="P730" s="10"/>
      <c r="Q730" s="10" t="s">
        <v>126</v>
      </c>
      <c r="R730" s="10"/>
      <c r="S730" s="19" t="s">
        <v>6513</v>
      </c>
      <c r="T730" s="19" t="s">
        <v>6514</v>
      </c>
      <c r="U730" s="10" t="s">
        <v>5042</v>
      </c>
      <c r="V730" s="10" t="s">
        <v>5114</v>
      </c>
      <c r="W730" s="10" t="s">
        <v>5007</v>
      </c>
      <c r="X730" s="10" t="s">
        <v>130</v>
      </c>
      <c r="Y730" s="10" t="s">
        <v>130</v>
      </c>
      <c r="Z730" s="10" t="s">
        <v>99</v>
      </c>
      <c r="AA730" s="10" t="s">
        <v>131</v>
      </c>
      <c r="AB730" s="10" t="s">
        <v>5008</v>
      </c>
      <c r="AC730" s="10" t="s">
        <v>5009</v>
      </c>
      <c r="AD730" s="10" t="s">
        <v>6515</v>
      </c>
      <c r="AE730" s="10" t="s">
        <v>6516</v>
      </c>
      <c r="AF730" s="15"/>
      <c r="AG730" s="10"/>
      <c r="AH730" s="10"/>
      <c r="AI730" s="10"/>
      <c r="AJ730" s="10" t="s">
        <v>6517</v>
      </c>
      <c r="AK730" s="10" t="s">
        <v>102</v>
      </c>
      <c r="AL730" s="10" t="s">
        <v>1876</v>
      </c>
      <c r="AM730" s="10"/>
      <c r="AN730" s="10"/>
      <c r="AO730" s="13" t="b">
        <v>1</v>
      </c>
      <c r="AP730" s="10" t="s">
        <v>104</v>
      </c>
      <c r="AQ730" s="10">
        <f ca="1">IFERROR(__xludf.DUMMYFUNCTION("""COMPUTED_VALUE"""),4773363)</f>
        <v>4773363</v>
      </c>
      <c r="AR730" s="17">
        <v>144578</v>
      </c>
      <c r="AS730" s="17">
        <v>88711</v>
      </c>
      <c r="AT730" s="17">
        <v>5304165</v>
      </c>
      <c r="AU730" s="17">
        <v>647.29999999999995</v>
      </c>
      <c r="AV730" s="17">
        <v>206.4</v>
      </c>
      <c r="AW730" s="10" t="s">
        <v>105</v>
      </c>
      <c r="AX730" s="17">
        <v>45992</v>
      </c>
      <c r="AY730" s="18">
        <v>59.791514017427374</v>
      </c>
      <c r="AZ730" s="10" t="s">
        <v>106</v>
      </c>
      <c r="BA730" s="20" t="b">
        <v>0</v>
      </c>
      <c r="BB730" s="10"/>
      <c r="BC730" s="17">
        <v>144578</v>
      </c>
      <c r="BD730" s="17">
        <v>88711</v>
      </c>
      <c r="BE730" s="17">
        <v>5304165</v>
      </c>
      <c r="BF730" s="17">
        <v>206.4</v>
      </c>
      <c r="BG730" s="11">
        <f ca="1">IFERROR(__xludf.DUMMYFUNCTION("""COMPUTED_VALUE"""),46005.0208333333)</f>
        <v>46005.020833333299</v>
      </c>
      <c r="BH730" s="17" t="s">
        <v>105</v>
      </c>
      <c r="BI730" s="17"/>
      <c r="BJ730" s="15"/>
      <c r="BK730" s="15"/>
      <c r="BL730" s="13" t="b">
        <v>0</v>
      </c>
      <c r="BM730" s="10"/>
      <c r="BN730" s="10" t="s">
        <v>1149</v>
      </c>
      <c r="BO730" s="11">
        <v>45866.101388888892</v>
      </c>
      <c r="BP730" s="11">
        <v>46001.530358796299</v>
      </c>
      <c r="BQ730" s="15">
        <v>46003.723368055558</v>
      </c>
      <c r="BR730" s="15">
        <v>46000.658587962964</v>
      </c>
      <c r="BS730" s="10" t="s">
        <v>1149</v>
      </c>
      <c r="BT730" s="10" t="s">
        <v>99</v>
      </c>
      <c r="BU730" s="10" t="s">
        <v>6518</v>
      </c>
      <c r="BV730" s="10" t="s">
        <v>281</v>
      </c>
      <c r="BW730" s="10" t="s">
        <v>282</v>
      </c>
      <c r="BX730" s="10"/>
      <c r="BY730" s="23"/>
      <c r="BZ730" s="23"/>
      <c r="CA730" s="19" t="s">
        <v>6519</v>
      </c>
      <c r="CB730" s="19" t="s">
        <v>6520</v>
      </c>
      <c r="CC730" s="23"/>
      <c r="CD730" s="19" t="s">
        <v>6521</v>
      </c>
      <c r="CE730" s="23"/>
      <c r="CF730" s="23"/>
      <c r="CG730" s="23"/>
      <c r="CH730" s="23"/>
      <c r="CI730" s="23"/>
    </row>
    <row r="731" spans="1:87" x14ac:dyDescent="0.3">
      <c r="A731" s="9" t="s">
        <v>6522</v>
      </c>
      <c r="B731" s="10" t="s">
        <v>6523</v>
      </c>
      <c r="C731" s="11">
        <v>46004.927083333336</v>
      </c>
      <c r="D731" s="12">
        <v>8.3333333333333329E-2</v>
      </c>
      <c r="E731" s="11">
        <v>46005.010416666664</v>
      </c>
      <c r="F731" s="10" t="s">
        <v>5001</v>
      </c>
      <c r="G731" s="13" t="b">
        <v>0</v>
      </c>
      <c r="H731" s="10" t="s">
        <v>3578</v>
      </c>
      <c r="I731" s="10" t="s">
        <v>89</v>
      </c>
      <c r="J731" s="13" t="b">
        <v>0</v>
      </c>
      <c r="K731" s="13" t="b">
        <v>1</v>
      </c>
      <c r="L731" s="10" t="s">
        <v>124</v>
      </c>
      <c r="M731" s="10" t="s">
        <v>91</v>
      </c>
      <c r="N731" s="10" t="s">
        <v>92</v>
      </c>
      <c r="O731" s="19" t="s">
        <v>6524</v>
      </c>
      <c r="P731" s="10"/>
      <c r="Q731" s="10" t="s">
        <v>94</v>
      </c>
      <c r="R731" s="10"/>
      <c r="S731" s="19" t="s">
        <v>6525</v>
      </c>
      <c r="T731" s="10"/>
      <c r="U731" s="10" t="s">
        <v>5041</v>
      </c>
      <c r="V731" s="10" t="s">
        <v>5101</v>
      </c>
      <c r="W731" s="10" t="s">
        <v>5007</v>
      </c>
      <c r="X731" s="10" t="s">
        <v>130</v>
      </c>
      <c r="Y731" s="10" t="s">
        <v>130</v>
      </c>
      <c r="Z731" s="10" t="s">
        <v>99</v>
      </c>
      <c r="AA731" s="10" t="s">
        <v>131</v>
      </c>
      <c r="AB731" s="10" t="s">
        <v>5008</v>
      </c>
      <c r="AC731" s="10" t="s">
        <v>5009</v>
      </c>
      <c r="AD731" s="10" t="s">
        <v>6526</v>
      </c>
      <c r="AE731" s="10" t="s">
        <v>6527</v>
      </c>
      <c r="AF731" s="15"/>
      <c r="AG731" s="10"/>
      <c r="AH731" s="10"/>
      <c r="AI731" s="10"/>
      <c r="AJ731" s="10"/>
      <c r="AK731" s="10" t="s">
        <v>102</v>
      </c>
      <c r="AL731" s="10" t="s">
        <v>1876</v>
      </c>
      <c r="AM731" s="10"/>
      <c r="AN731" s="10"/>
      <c r="AO731" s="13" t="b">
        <v>0</v>
      </c>
      <c r="AP731" s="10" t="s">
        <v>104</v>
      </c>
      <c r="AQ731" s="10">
        <f ca="1">IFERROR(__xludf.DUMMYFUNCTION("""COMPUTED_VALUE"""),4773336)</f>
        <v>4773336</v>
      </c>
      <c r="AR731" s="17">
        <v>22623</v>
      </c>
      <c r="AS731" s="17">
        <v>17511</v>
      </c>
      <c r="AT731" s="17">
        <v>336114.25</v>
      </c>
      <c r="AU731" s="17">
        <v>70.5</v>
      </c>
      <c r="AV731" s="17">
        <v>23.45</v>
      </c>
      <c r="AW731" s="10" t="s">
        <v>105</v>
      </c>
      <c r="AX731" s="17">
        <v>13575</v>
      </c>
      <c r="AY731" s="18">
        <v>19.194463480098225</v>
      </c>
      <c r="AZ731" s="10" t="s">
        <v>106</v>
      </c>
      <c r="BA731" s="20" t="b">
        <v>0</v>
      </c>
      <c r="BB731" s="10"/>
      <c r="BC731" s="17">
        <v>22623</v>
      </c>
      <c r="BD731" s="17">
        <v>17511</v>
      </c>
      <c r="BE731" s="17">
        <v>336114.25</v>
      </c>
      <c r="BF731" s="17">
        <v>23.45</v>
      </c>
      <c r="BG731" s="11">
        <f ca="1">IFERROR(__xludf.DUMMYFUNCTION("""COMPUTED_VALUE"""),46004.9270833333)</f>
        <v>46004.927083333299</v>
      </c>
      <c r="BH731" s="17" t="s">
        <v>105</v>
      </c>
      <c r="BI731" s="17"/>
      <c r="BJ731" s="15"/>
      <c r="BK731" s="15"/>
      <c r="BL731" s="13" t="b">
        <v>0</v>
      </c>
      <c r="BM731" s="10"/>
      <c r="BN731" s="10" t="s">
        <v>106</v>
      </c>
      <c r="BO731" s="11">
        <v>45866.101898148147</v>
      </c>
      <c r="BP731" s="11">
        <v>45993.624293981484</v>
      </c>
      <c r="BQ731" s="15">
        <v>46000.749594907407</v>
      </c>
      <c r="BR731" s="15">
        <v>46000.539664351854</v>
      </c>
      <c r="BS731" s="10"/>
      <c r="BT731" s="10"/>
      <c r="BU731" s="10"/>
      <c r="BV731" s="10"/>
      <c r="BW731" s="10"/>
      <c r="BX731" s="10"/>
      <c r="BY731" s="23"/>
      <c r="BZ731" s="23"/>
      <c r="CA731" s="19" t="s">
        <v>6528</v>
      </c>
      <c r="CB731" s="23"/>
      <c r="CC731" s="23"/>
      <c r="CD731" s="23"/>
      <c r="CE731" s="23"/>
      <c r="CF731" s="23"/>
      <c r="CG731" s="23"/>
      <c r="CH731" s="23"/>
      <c r="CI731" s="23"/>
    </row>
    <row r="732" spans="1:87" x14ac:dyDescent="0.3">
      <c r="A732" s="9" t="s">
        <v>6529</v>
      </c>
      <c r="B732" s="10" t="s">
        <v>6530</v>
      </c>
      <c r="C732" s="11">
        <v>46004.833333333336</v>
      </c>
      <c r="D732" s="12">
        <v>8.3333333333333329E-2</v>
      </c>
      <c r="E732" s="11">
        <v>46004.916666666664</v>
      </c>
      <c r="F732" s="10" t="s">
        <v>5001</v>
      </c>
      <c r="G732" s="13" t="b">
        <v>0</v>
      </c>
      <c r="H732" s="10" t="s">
        <v>3578</v>
      </c>
      <c r="I732" s="10" t="s">
        <v>89</v>
      </c>
      <c r="J732" s="13" t="b">
        <v>0</v>
      </c>
      <c r="K732" s="13" t="b">
        <v>1</v>
      </c>
      <c r="L732" s="10" t="s">
        <v>124</v>
      </c>
      <c r="M732" s="10" t="s">
        <v>91</v>
      </c>
      <c r="N732" s="10" t="s">
        <v>92</v>
      </c>
      <c r="O732" s="19" t="s">
        <v>6531</v>
      </c>
      <c r="P732" s="10"/>
      <c r="Q732" s="10" t="s">
        <v>126</v>
      </c>
      <c r="R732" s="10"/>
      <c r="S732" s="19" t="s">
        <v>6532</v>
      </c>
      <c r="T732" s="19" t="s">
        <v>6533</v>
      </c>
      <c r="U732" s="10" t="s">
        <v>5090</v>
      </c>
      <c r="V732" s="10" t="s">
        <v>5054</v>
      </c>
      <c r="W732" s="10" t="s">
        <v>5007</v>
      </c>
      <c r="X732" s="10" t="s">
        <v>130</v>
      </c>
      <c r="Y732" s="10" t="s">
        <v>130</v>
      </c>
      <c r="Z732" s="10" t="s">
        <v>99</v>
      </c>
      <c r="AA732" s="10" t="s">
        <v>131</v>
      </c>
      <c r="AB732" s="10" t="s">
        <v>5008</v>
      </c>
      <c r="AC732" s="10" t="s">
        <v>5009</v>
      </c>
      <c r="AD732" s="10" t="s">
        <v>6534</v>
      </c>
      <c r="AE732" s="10" t="s">
        <v>6535</v>
      </c>
      <c r="AF732" s="15"/>
      <c r="AG732" s="10"/>
      <c r="AH732" s="10"/>
      <c r="AI732" s="10"/>
      <c r="AJ732" s="10" t="s">
        <v>6536</v>
      </c>
      <c r="AK732" s="10" t="s">
        <v>102</v>
      </c>
      <c r="AL732" s="10" t="s">
        <v>1876</v>
      </c>
      <c r="AM732" s="10"/>
      <c r="AN732" s="10"/>
      <c r="AO732" s="13" t="b">
        <v>0</v>
      </c>
      <c r="AP732" s="10" t="s">
        <v>104</v>
      </c>
      <c r="AQ732" s="10">
        <f ca="1">IFERROR(__xludf.DUMMYFUNCTION("""COMPUTED_VALUE"""),4773335)</f>
        <v>4773335</v>
      </c>
      <c r="AR732" s="17">
        <v>67505</v>
      </c>
      <c r="AS732" s="17">
        <v>43478</v>
      </c>
      <c r="AT732" s="17">
        <v>1250888.25</v>
      </c>
      <c r="AU732" s="17">
        <v>466.9</v>
      </c>
      <c r="AV732" s="17">
        <v>101.7</v>
      </c>
      <c r="AW732" s="10" t="s">
        <v>105</v>
      </c>
      <c r="AX732" s="17">
        <v>14607</v>
      </c>
      <c r="AY732" s="18">
        <v>28.770602373614242</v>
      </c>
      <c r="AZ732" s="10" t="s">
        <v>106</v>
      </c>
      <c r="BA732" s="20" t="b">
        <v>0</v>
      </c>
      <c r="BB732" s="10"/>
      <c r="BC732" s="17">
        <v>67505</v>
      </c>
      <c r="BD732" s="17">
        <v>43478</v>
      </c>
      <c r="BE732" s="17">
        <v>1250888.25</v>
      </c>
      <c r="BF732" s="17">
        <v>101.7</v>
      </c>
      <c r="BG732" s="11">
        <f ca="1">IFERROR(__xludf.DUMMYFUNCTION("""COMPUTED_VALUE"""),46004.8333333333)</f>
        <v>46004.833333333299</v>
      </c>
      <c r="BH732" s="17" t="s">
        <v>105</v>
      </c>
      <c r="BI732" s="17"/>
      <c r="BJ732" s="15"/>
      <c r="BK732" s="15"/>
      <c r="BL732" s="13" t="b">
        <v>0</v>
      </c>
      <c r="BM732" s="10"/>
      <c r="BN732" s="10" t="s">
        <v>136</v>
      </c>
      <c r="BO732" s="11">
        <v>45866.101388888892</v>
      </c>
      <c r="BP732" s="11">
        <v>46001.528564814813</v>
      </c>
      <c r="BQ732" s="15">
        <v>46007.789444444446</v>
      </c>
      <c r="BR732" s="15">
        <v>46000.53769675926</v>
      </c>
      <c r="BS732" s="10"/>
      <c r="BT732" s="10" t="s">
        <v>99</v>
      </c>
      <c r="BU732" s="10"/>
      <c r="BV732" s="10" t="s">
        <v>124</v>
      </c>
      <c r="BW732" s="10"/>
      <c r="BX732" s="10"/>
      <c r="BY732" s="23"/>
      <c r="BZ732" s="23"/>
      <c r="CA732" s="19" t="s">
        <v>6537</v>
      </c>
      <c r="CB732" s="19" t="s">
        <v>6538</v>
      </c>
      <c r="CC732" s="23"/>
      <c r="CD732" s="19" t="s">
        <v>6539</v>
      </c>
      <c r="CE732" s="23"/>
      <c r="CF732" s="23"/>
      <c r="CG732" s="23"/>
      <c r="CH732" s="23"/>
      <c r="CI732" s="23"/>
    </row>
    <row r="733" spans="1:87" x14ac:dyDescent="0.3">
      <c r="A733" s="9" t="s">
        <v>6540</v>
      </c>
      <c r="B733" s="10" t="s">
        <v>6541</v>
      </c>
      <c r="C733" s="11">
        <v>46005.927083333336</v>
      </c>
      <c r="D733" s="12">
        <v>8.3333333333333329E-2</v>
      </c>
      <c r="E733" s="11">
        <v>46006.010416666664</v>
      </c>
      <c r="F733" s="10" t="s">
        <v>5001</v>
      </c>
      <c r="G733" s="13" t="b">
        <v>0</v>
      </c>
      <c r="H733" s="10" t="s">
        <v>3578</v>
      </c>
      <c r="I733" s="10" t="s">
        <v>89</v>
      </c>
      <c r="J733" s="13" t="b">
        <v>0</v>
      </c>
      <c r="K733" s="13" t="b">
        <v>1</v>
      </c>
      <c r="L733" s="10" t="s">
        <v>124</v>
      </c>
      <c r="M733" s="10" t="s">
        <v>91</v>
      </c>
      <c r="N733" s="10" t="s">
        <v>92</v>
      </c>
      <c r="O733" s="19" t="s">
        <v>6542</v>
      </c>
      <c r="P733" s="10"/>
      <c r="Q733" s="10" t="s">
        <v>126</v>
      </c>
      <c r="R733" s="10"/>
      <c r="S733" s="19" t="s">
        <v>6543</v>
      </c>
      <c r="T733" s="19" t="s">
        <v>6544</v>
      </c>
      <c r="U733" s="10" t="s">
        <v>5066</v>
      </c>
      <c r="V733" s="10" t="s">
        <v>5076</v>
      </c>
      <c r="W733" s="10" t="s">
        <v>5007</v>
      </c>
      <c r="X733" s="10" t="s">
        <v>130</v>
      </c>
      <c r="Y733" s="10" t="s">
        <v>130</v>
      </c>
      <c r="Z733" s="10" t="s">
        <v>99</v>
      </c>
      <c r="AA733" s="10" t="s">
        <v>131</v>
      </c>
      <c r="AB733" s="10" t="s">
        <v>5008</v>
      </c>
      <c r="AC733" s="10" t="s">
        <v>5009</v>
      </c>
      <c r="AD733" s="10" t="s">
        <v>6545</v>
      </c>
      <c r="AE733" s="10" t="s">
        <v>6546</v>
      </c>
      <c r="AF733" s="15"/>
      <c r="AG733" s="10"/>
      <c r="AH733" s="10"/>
      <c r="AI733" s="10"/>
      <c r="AJ733" s="10" t="s">
        <v>6547</v>
      </c>
      <c r="AK733" s="10" t="s">
        <v>102</v>
      </c>
      <c r="AL733" s="10" t="s">
        <v>1876</v>
      </c>
      <c r="AM733" s="10"/>
      <c r="AN733" s="10"/>
      <c r="AO733" s="13" t="b">
        <v>0</v>
      </c>
      <c r="AP733" s="10" t="s">
        <v>104</v>
      </c>
      <c r="AQ733" s="10">
        <f ca="1">IFERROR(__xludf.DUMMYFUNCTION("""COMPUTED_VALUE"""),4773366)</f>
        <v>4773366</v>
      </c>
      <c r="AR733" s="17">
        <v>12223</v>
      </c>
      <c r="AS733" s="17">
        <v>9727</v>
      </c>
      <c r="AT733" s="17">
        <v>156156.5</v>
      </c>
      <c r="AU733" s="17">
        <v>32.85</v>
      </c>
      <c r="AV733" s="17">
        <v>9.6999999999999993</v>
      </c>
      <c r="AW733" s="10" t="s">
        <v>105</v>
      </c>
      <c r="AX733" s="17">
        <v>2982</v>
      </c>
      <c r="AY733" s="18">
        <v>16.053922072581475</v>
      </c>
      <c r="AZ733" s="10" t="s">
        <v>106</v>
      </c>
      <c r="BA733" s="20" t="b">
        <v>0</v>
      </c>
      <c r="BB733" s="10"/>
      <c r="BC733" s="17">
        <v>12223</v>
      </c>
      <c r="BD733" s="17">
        <v>9727</v>
      </c>
      <c r="BE733" s="17">
        <v>156156.5</v>
      </c>
      <c r="BF733" s="17">
        <v>9.6999999999999993</v>
      </c>
      <c r="BG733" s="11">
        <f ca="1">IFERROR(__xludf.DUMMYFUNCTION("""COMPUTED_VALUE"""),46005.9270833333)</f>
        <v>46005.927083333299</v>
      </c>
      <c r="BH733" s="17" t="s">
        <v>105</v>
      </c>
      <c r="BI733" s="17"/>
      <c r="BJ733" s="15"/>
      <c r="BK733" s="15"/>
      <c r="BL733" s="13" t="b">
        <v>0</v>
      </c>
      <c r="BM733" s="10"/>
      <c r="BN733" s="10" t="s">
        <v>136</v>
      </c>
      <c r="BO733" s="11">
        <v>45866.101388888892</v>
      </c>
      <c r="BP733" s="11">
        <v>46001.534247685187</v>
      </c>
      <c r="BQ733" s="15">
        <v>46003.723692129628</v>
      </c>
      <c r="BR733" s="15">
        <v>46000.65966435185</v>
      </c>
      <c r="BS733" s="10"/>
      <c r="BT733" s="10"/>
      <c r="BU733" s="10"/>
      <c r="BV733" s="10"/>
      <c r="BW733" s="10"/>
      <c r="BX733" s="10"/>
      <c r="BY733" s="23"/>
      <c r="BZ733" s="23"/>
      <c r="CA733" s="19" t="s">
        <v>6548</v>
      </c>
      <c r="CB733" s="19" t="s">
        <v>6549</v>
      </c>
      <c r="CC733" s="23"/>
      <c r="CD733" s="19" t="s">
        <v>6550</v>
      </c>
      <c r="CE733" s="23"/>
      <c r="CF733" s="23"/>
      <c r="CG733" s="23"/>
      <c r="CH733" s="23"/>
      <c r="CI733" s="23"/>
    </row>
    <row r="734" spans="1:87" x14ac:dyDescent="0.3">
      <c r="A734" s="9" t="s">
        <v>6551</v>
      </c>
      <c r="B734" s="10" t="s">
        <v>6552</v>
      </c>
      <c r="C734" s="11">
        <v>46005.125</v>
      </c>
      <c r="D734" s="12">
        <v>8.3333333333333329E-2</v>
      </c>
      <c r="E734" s="11">
        <v>46005.208333333336</v>
      </c>
      <c r="F734" s="10" t="s">
        <v>5001</v>
      </c>
      <c r="G734" s="13" t="b">
        <v>0</v>
      </c>
      <c r="H734" s="10" t="s">
        <v>3578</v>
      </c>
      <c r="I734" s="10" t="s">
        <v>89</v>
      </c>
      <c r="J734" s="13" t="b">
        <v>0</v>
      </c>
      <c r="K734" s="13" t="b">
        <v>1</v>
      </c>
      <c r="L734" s="10" t="s">
        <v>124</v>
      </c>
      <c r="M734" s="10" t="s">
        <v>91</v>
      </c>
      <c r="N734" s="10" t="s">
        <v>92</v>
      </c>
      <c r="O734" s="19" t="s">
        <v>6553</v>
      </c>
      <c r="P734" s="10"/>
      <c r="Q734" s="10" t="s">
        <v>94</v>
      </c>
      <c r="R734" s="10"/>
      <c r="S734" s="19" t="s">
        <v>6554</v>
      </c>
      <c r="T734" s="19" t="s">
        <v>6555</v>
      </c>
      <c r="U734" s="10" t="s">
        <v>5067</v>
      </c>
      <c r="V734" s="10" t="s">
        <v>5089</v>
      </c>
      <c r="W734" s="10" t="s">
        <v>5007</v>
      </c>
      <c r="X734" s="10" t="s">
        <v>130</v>
      </c>
      <c r="Y734" s="10" t="s">
        <v>130</v>
      </c>
      <c r="Z734" s="10" t="s">
        <v>99</v>
      </c>
      <c r="AA734" s="10" t="s">
        <v>131</v>
      </c>
      <c r="AB734" s="10" t="s">
        <v>5008</v>
      </c>
      <c r="AC734" s="10" t="s">
        <v>5009</v>
      </c>
      <c r="AD734" s="10" t="s">
        <v>6556</v>
      </c>
      <c r="AE734" s="10" t="s">
        <v>6557</v>
      </c>
      <c r="AF734" s="15"/>
      <c r="AG734" s="10"/>
      <c r="AH734" s="10"/>
      <c r="AI734" s="10"/>
      <c r="AJ734" s="10"/>
      <c r="AK734" s="10" t="s">
        <v>102</v>
      </c>
      <c r="AL734" s="10" t="s">
        <v>1876</v>
      </c>
      <c r="AM734" s="10"/>
      <c r="AN734" s="10"/>
      <c r="AO734" s="13" t="b">
        <v>0</v>
      </c>
      <c r="AP734" s="10" t="s">
        <v>104</v>
      </c>
      <c r="AQ734" s="10">
        <f ca="1">IFERROR(__xludf.DUMMYFUNCTION("""COMPUTED_VALUE"""),4773364)</f>
        <v>4773364</v>
      </c>
      <c r="AR734" s="17">
        <v>3962</v>
      </c>
      <c r="AS734" s="17">
        <v>3083</v>
      </c>
      <c r="AT734" s="17">
        <v>58066.5</v>
      </c>
      <c r="AU734" s="17">
        <v>5.85</v>
      </c>
      <c r="AV734" s="17">
        <v>1.65</v>
      </c>
      <c r="AW734" s="10" t="s">
        <v>105</v>
      </c>
      <c r="AX734" s="17">
        <v>10105</v>
      </c>
      <c r="AY734" s="18">
        <v>18.834414531300681</v>
      </c>
      <c r="AZ734" s="10" t="s">
        <v>106</v>
      </c>
      <c r="BA734" s="20" t="b">
        <v>0</v>
      </c>
      <c r="BB734" s="10"/>
      <c r="BC734" s="17">
        <v>3962</v>
      </c>
      <c r="BD734" s="17">
        <v>3083</v>
      </c>
      <c r="BE734" s="17">
        <v>58066.5</v>
      </c>
      <c r="BF734" s="17">
        <v>1.65</v>
      </c>
      <c r="BG734" s="11">
        <f ca="1">IFERROR(__xludf.DUMMYFUNCTION("""COMPUTED_VALUE"""),46005.125)</f>
        <v>46005.125</v>
      </c>
      <c r="BH734" s="17" t="s">
        <v>105</v>
      </c>
      <c r="BI734" s="17"/>
      <c r="BJ734" s="15"/>
      <c r="BK734" s="15"/>
      <c r="BL734" s="13" t="b">
        <v>0</v>
      </c>
      <c r="BM734" s="10"/>
      <c r="BN734" s="10" t="s">
        <v>136</v>
      </c>
      <c r="BO734" s="11">
        <v>45866.101898148147</v>
      </c>
      <c r="BP734" s="11">
        <v>45993.624502314815</v>
      </c>
      <c r="BQ734" s="15">
        <v>46007.789722222224</v>
      </c>
      <c r="BR734" s="15">
        <v>46000.658796296295</v>
      </c>
      <c r="BS734" s="10"/>
      <c r="BT734" s="10"/>
      <c r="BU734" s="10"/>
      <c r="BV734" s="10"/>
      <c r="BW734" s="10"/>
      <c r="BX734" s="10"/>
      <c r="BY734" s="23"/>
      <c r="BZ734" s="23"/>
      <c r="CA734" s="19" t="s">
        <v>6554</v>
      </c>
      <c r="CB734" s="19" t="s">
        <v>6558</v>
      </c>
      <c r="CC734" s="23"/>
      <c r="CD734" s="23"/>
      <c r="CE734" s="23"/>
      <c r="CF734" s="23"/>
      <c r="CG734" s="23"/>
      <c r="CH734" s="23"/>
      <c r="CI734" s="23"/>
    </row>
    <row r="735" spans="1:87" x14ac:dyDescent="0.3">
      <c r="A735" s="9" t="s">
        <v>6559</v>
      </c>
      <c r="B735" s="10" t="s">
        <v>6560</v>
      </c>
      <c r="C735" s="11">
        <v>46005.833333333336</v>
      </c>
      <c r="D735" s="12">
        <v>8.3333333333333329E-2</v>
      </c>
      <c r="E735" s="11">
        <v>46005.916666666664</v>
      </c>
      <c r="F735" s="10" t="s">
        <v>5001</v>
      </c>
      <c r="G735" s="13" t="b">
        <v>0</v>
      </c>
      <c r="H735" s="10" t="s">
        <v>3578</v>
      </c>
      <c r="I735" s="10" t="s">
        <v>89</v>
      </c>
      <c r="J735" s="13" t="b">
        <v>0</v>
      </c>
      <c r="K735" s="13" t="b">
        <v>1</v>
      </c>
      <c r="L735" s="10" t="s">
        <v>124</v>
      </c>
      <c r="M735" s="10" t="s">
        <v>91</v>
      </c>
      <c r="N735" s="10" t="s">
        <v>92</v>
      </c>
      <c r="O735" s="19" t="s">
        <v>6561</v>
      </c>
      <c r="P735" s="10"/>
      <c r="Q735" s="10" t="s">
        <v>126</v>
      </c>
      <c r="R735" s="10"/>
      <c r="S735" s="19" t="s">
        <v>6562</v>
      </c>
      <c r="T735" s="19" t="s">
        <v>6563</v>
      </c>
      <c r="U735" s="10" t="s">
        <v>5077</v>
      </c>
      <c r="V735" s="10" t="s">
        <v>5019</v>
      </c>
      <c r="W735" s="10" t="s">
        <v>5007</v>
      </c>
      <c r="X735" s="10" t="s">
        <v>130</v>
      </c>
      <c r="Y735" s="10" t="s">
        <v>130</v>
      </c>
      <c r="Z735" s="10" t="s">
        <v>99</v>
      </c>
      <c r="AA735" s="10" t="s">
        <v>131</v>
      </c>
      <c r="AB735" s="10" t="s">
        <v>5008</v>
      </c>
      <c r="AC735" s="10" t="s">
        <v>5009</v>
      </c>
      <c r="AD735" s="10" t="s">
        <v>6564</v>
      </c>
      <c r="AE735" s="10" t="s">
        <v>6565</v>
      </c>
      <c r="AF735" s="15"/>
      <c r="AG735" s="10"/>
      <c r="AH735" s="10"/>
      <c r="AI735" s="10"/>
      <c r="AJ735" s="10" t="s">
        <v>6566</v>
      </c>
      <c r="AK735" s="10" t="s">
        <v>102</v>
      </c>
      <c r="AL735" s="10" t="s">
        <v>1876</v>
      </c>
      <c r="AM735" s="10"/>
      <c r="AN735" s="10"/>
      <c r="AO735" s="13" t="b">
        <v>0</v>
      </c>
      <c r="AP735" s="10" t="s">
        <v>104</v>
      </c>
      <c r="AQ735" s="10">
        <f ca="1">IFERROR(__xludf.DUMMYFUNCTION("""COMPUTED_VALUE"""),4773365)</f>
        <v>4773365</v>
      </c>
      <c r="AR735" s="17">
        <v>14694</v>
      </c>
      <c r="AS735" s="17">
        <v>11806</v>
      </c>
      <c r="AT735" s="17">
        <v>178416.25</v>
      </c>
      <c r="AU735" s="17">
        <v>48.25</v>
      </c>
      <c r="AV735" s="17">
        <v>10.6</v>
      </c>
      <c r="AW735" s="10" t="s">
        <v>105</v>
      </c>
      <c r="AX735" s="17">
        <v>2965</v>
      </c>
      <c r="AY735" s="18">
        <v>15.112336947314924</v>
      </c>
      <c r="AZ735" s="10" t="s">
        <v>106</v>
      </c>
      <c r="BA735" s="20" t="b">
        <v>0</v>
      </c>
      <c r="BB735" s="10"/>
      <c r="BC735" s="17">
        <v>14694</v>
      </c>
      <c r="BD735" s="17">
        <v>11806</v>
      </c>
      <c r="BE735" s="17">
        <v>178416.25</v>
      </c>
      <c r="BF735" s="17">
        <v>10.6</v>
      </c>
      <c r="BG735" s="11">
        <f ca="1">IFERROR(__xludf.DUMMYFUNCTION("""COMPUTED_VALUE"""),46005.8333333333)</f>
        <v>46005.833333333299</v>
      </c>
      <c r="BH735" s="17" t="s">
        <v>105</v>
      </c>
      <c r="BI735" s="17"/>
      <c r="BJ735" s="15"/>
      <c r="BK735" s="15"/>
      <c r="BL735" s="13" t="b">
        <v>0</v>
      </c>
      <c r="BM735" s="10"/>
      <c r="BN735" s="10" t="s">
        <v>136</v>
      </c>
      <c r="BO735" s="11">
        <v>45866.101388888892</v>
      </c>
      <c r="BP735" s="11">
        <v>46001.533692129633</v>
      </c>
      <c r="BQ735" s="15">
        <v>46003.723530092589</v>
      </c>
      <c r="BR735" s="15">
        <v>46000.658958333333</v>
      </c>
      <c r="BS735" s="10"/>
      <c r="BT735" s="10"/>
      <c r="BU735" s="10"/>
      <c r="BV735" s="10"/>
      <c r="BW735" s="10"/>
      <c r="BX735" s="10"/>
      <c r="BY735" s="23"/>
      <c r="BZ735" s="23"/>
      <c r="CA735" s="19" t="s">
        <v>6567</v>
      </c>
      <c r="CB735" s="19" t="s">
        <v>6568</v>
      </c>
      <c r="CC735" s="23"/>
      <c r="CD735" s="19" t="s">
        <v>6569</v>
      </c>
      <c r="CE735" s="23"/>
      <c r="CF735" s="23"/>
      <c r="CG735" s="23"/>
      <c r="CH735" s="23"/>
      <c r="CI735" s="23"/>
    </row>
    <row r="736" spans="1:87" x14ac:dyDescent="0.3">
      <c r="A736" s="9" t="s">
        <v>6570</v>
      </c>
      <c r="B736" s="10" t="s">
        <v>6571</v>
      </c>
      <c r="C736" s="11">
        <v>46011.125</v>
      </c>
      <c r="D736" s="12">
        <v>8.3333333333333329E-2</v>
      </c>
      <c r="E736" s="11">
        <v>46011.208333333336</v>
      </c>
      <c r="F736" s="10" t="s">
        <v>5001</v>
      </c>
      <c r="G736" s="13" t="b">
        <v>0</v>
      </c>
      <c r="H736" s="10" t="s">
        <v>3578</v>
      </c>
      <c r="I736" s="10" t="s">
        <v>89</v>
      </c>
      <c r="J736" s="13" t="b">
        <v>0</v>
      </c>
      <c r="K736" s="13" t="b">
        <v>1</v>
      </c>
      <c r="L736" s="10" t="s">
        <v>124</v>
      </c>
      <c r="M736" s="10" t="s">
        <v>91</v>
      </c>
      <c r="N736" s="10" t="s">
        <v>92</v>
      </c>
      <c r="O736" s="19" t="s">
        <v>6572</v>
      </c>
      <c r="P736" s="10"/>
      <c r="Q736" s="10" t="s">
        <v>126</v>
      </c>
      <c r="R736" s="10"/>
      <c r="S736" s="19" t="s">
        <v>6573</v>
      </c>
      <c r="T736" s="10"/>
      <c r="U736" s="10" t="s">
        <v>5054</v>
      </c>
      <c r="V736" s="10" t="s">
        <v>5041</v>
      </c>
      <c r="W736" s="10" t="s">
        <v>5007</v>
      </c>
      <c r="X736" s="10" t="s">
        <v>130</v>
      </c>
      <c r="Y736" s="10" t="s">
        <v>130</v>
      </c>
      <c r="Z736" s="10" t="s">
        <v>99</v>
      </c>
      <c r="AA736" s="10" t="s">
        <v>131</v>
      </c>
      <c r="AB736" s="10" t="s">
        <v>5008</v>
      </c>
      <c r="AC736" s="10" t="s">
        <v>5009</v>
      </c>
      <c r="AD736" s="10" t="s">
        <v>6574</v>
      </c>
      <c r="AE736" s="10" t="s">
        <v>6575</v>
      </c>
      <c r="AF736" s="15"/>
      <c r="AG736" s="10"/>
      <c r="AH736" s="10"/>
      <c r="AI736" s="10"/>
      <c r="AJ736" s="10" t="s">
        <v>6576</v>
      </c>
      <c r="AK736" s="10" t="s">
        <v>102</v>
      </c>
      <c r="AL736" s="10" t="s">
        <v>1988</v>
      </c>
      <c r="AM736" s="10"/>
      <c r="AN736" s="10"/>
      <c r="AO736" s="13" t="b">
        <v>0</v>
      </c>
      <c r="AP736" s="10" t="s">
        <v>104</v>
      </c>
      <c r="AQ736" s="10">
        <f ca="1">IFERROR(__xludf.DUMMYFUNCTION("""COMPUTED_VALUE"""),4783089)</f>
        <v>4783089</v>
      </c>
      <c r="AR736" s="17">
        <v>5389</v>
      </c>
      <c r="AS736" s="17">
        <v>4046</v>
      </c>
      <c r="AT736" s="17">
        <v>124313.75</v>
      </c>
      <c r="AU736" s="17">
        <v>12.45</v>
      </c>
      <c r="AV736" s="17">
        <v>3.25</v>
      </c>
      <c r="AW736" s="10" t="s">
        <v>105</v>
      </c>
      <c r="AX736" s="17">
        <v>1611</v>
      </c>
      <c r="AY736" s="18">
        <v>30.725098863074642</v>
      </c>
      <c r="AZ736" s="10" t="s">
        <v>106</v>
      </c>
      <c r="BA736" s="20" t="b">
        <v>0</v>
      </c>
      <c r="BB736" s="10"/>
      <c r="BC736" s="17">
        <v>5389</v>
      </c>
      <c r="BD736" s="17">
        <v>4046</v>
      </c>
      <c r="BE736" s="17">
        <v>124313.75</v>
      </c>
      <c r="BF736" s="17">
        <v>3.25</v>
      </c>
      <c r="BG736" s="11">
        <f ca="1">IFERROR(__xludf.DUMMYFUNCTION("""COMPUTED_VALUE"""),46011.125)</f>
        <v>46011.125</v>
      </c>
      <c r="BH736" s="17" t="s">
        <v>105</v>
      </c>
      <c r="BI736" s="17"/>
      <c r="BJ736" s="15"/>
      <c r="BK736" s="15"/>
      <c r="BL736" s="13" t="b">
        <v>0</v>
      </c>
      <c r="BM736" s="10"/>
      <c r="BN736" s="10" t="s">
        <v>106</v>
      </c>
      <c r="BO736" s="11">
        <v>45866.101388888892</v>
      </c>
      <c r="BP736" s="11">
        <v>46008.634780092594</v>
      </c>
      <c r="BQ736" s="15">
        <v>46009.521817129629</v>
      </c>
      <c r="BR736" s="15">
        <v>46006.781446759262</v>
      </c>
      <c r="BS736" s="10"/>
      <c r="BT736" s="10"/>
      <c r="BU736" s="10"/>
      <c r="BV736" s="10"/>
      <c r="BW736" s="10"/>
      <c r="BX736" s="10"/>
      <c r="BY736" s="23"/>
      <c r="BZ736" s="23"/>
      <c r="CA736" s="19" t="s">
        <v>6577</v>
      </c>
      <c r="CB736" s="19" t="s">
        <v>6578</v>
      </c>
      <c r="CC736" s="23"/>
      <c r="CD736" s="19" t="s">
        <v>6579</v>
      </c>
      <c r="CE736" s="23"/>
      <c r="CF736" s="23"/>
      <c r="CG736" s="23"/>
      <c r="CH736" s="23"/>
      <c r="CI736" s="23"/>
    </row>
    <row r="737" spans="1:87" x14ac:dyDescent="0.3">
      <c r="A737" s="9" t="s">
        <v>6580</v>
      </c>
      <c r="B737" s="10" t="s">
        <v>6581</v>
      </c>
      <c r="C737" s="11">
        <v>46014.125</v>
      </c>
      <c r="D737" s="12">
        <v>8.3333333333333329E-2</v>
      </c>
      <c r="E737" s="11">
        <v>46014.208333333336</v>
      </c>
      <c r="F737" s="10" t="s">
        <v>5001</v>
      </c>
      <c r="G737" s="13" t="b">
        <v>0</v>
      </c>
      <c r="H737" s="10" t="s">
        <v>3578</v>
      </c>
      <c r="I737" s="10" t="s">
        <v>89</v>
      </c>
      <c r="J737" s="13" t="b">
        <v>0</v>
      </c>
      <c r="K737" s="13" t="b">
        <v>1</v>
      </c>
      <c r="L737" s="10" t="s">
        <v>124</v>
      </c>
      <c r="M737" s="10" t="s">
        <v>91</v>
      </c>
      <c r="N737" s="10" t="s">
        <v>92</v>
      </c>
      <c r="O737" s="19" t="s">
        <v>6582</v>
      </c>
      <c r="P737" s="10"/>
      <c r="Q737" s="10" t="s">
        <v>126</v>
      </c>
      <c r="R737" s="10"/>
      <c r="S737" s="19" t="s">
        <v>6583</v>
      </c>
      <c r="T737" s="10"/>
      <c r="U737" s="10" t="s">
        <v>5076</v>
      </c>
      <c r="V737" s="10" t="s">
        <v>5089</v>
      </c>
      <c r="W737" s="10" t="s">
        <v>5007</v>
      </c>
      <c r="X737" s="10" t="s">
        <v>130</v>
      </c>
      <c r="Y737" s="10" t="s">
        <v>130</v>
      </c>
      <c r="Z737" s="10" t="s">
        <v>99</v>
      </c>
      <c r="AA737" s="10" t="s">
        <v>131</v>
      </c>
      <c r="AB737" s="10" t="s">
        <v>5008</v>
      </c>
      <c r="AC737" s="10" t="s">
        <v>5009</v>
      </c>
      <c r="AD737" s="10" t="s">
        <v>6584</v>
      </c>
      <c r="AE737" s="10" t="s">
        <v>6585</v>
      </c>
      <c r="AF737" s="15"/>
      <c r="AG737" s="10"/>
      <c r="AH737" s="10"/>
      <c r="AI737" s="10"/>
      <c r="AJ737" s="10" t="s">
        <v>6586</v>
      </c>
      <c r="AK737" s="10" t="s">
        <v>102</v>
      </c>
      <c r="AL737" s="10" t="s">
        <v>1988</v>
      </c>
      <c r="AM737" s="10"/>
      <c r="AN737" s="10"/>
      <c r="AO737" s="13" t="b">
        <v>0</v>
      </c>
      <c r="AP737" s="10" t="s">
        <v>104</v>
      </c>
      <c r="AQ737" s="10">
        <f ca="1">IFERROR(__xludf.DUMMYFUNCTION("""COMPUTED_VALUE"""),4784948)</f>
        <v>4784948</v>
      </c>
      <c r="AR737" s="17">
        <v>5391</v>
      </c>
      <c r="AS737" s="17">
        <v>3557</v>
      </c>
      <c r="AT737" s="17">
        <v>98702</v>
      </c>
      <c r="AU737" s="17">
        <v>13.65</v>
      </c>
      <c r="AV737" s="17">
        <v>2.15</v>
      </c>
      <c r="AW737" s="10" t="s">
        <v>105</v>
      </c>
      <c r="AX737" s="17">
        <v>1600</v>
      </c>
      <c r="AY737" s="18">
        <v>27.748664605004215</v>
      </c>
      <c r="AZ737" s="10" t="s">
        <v>106</v>
      </c>
      <c r="BA737" s="20" t="b">
        <v>0</v>
      </c>
      <c r="BB737" s="10"/>
      <c r="BC737" s="17">
        <v>5391</v>
      </c>
      <c r="BD737" s="17">
        <v>3557</v>
      </c>
      <c r="BE737" s="17">
        <v>98702</v>
      </c>
      <c r="BF737" s="17">
        <v>2.15</v>
      </c>
      <c r="BG737" s="11">
        <f ca="1">IFERROR(__xludf.DUMMYFUNCTION("""COMPUTED_VALUE"""),46014.125)</f>
        <v>46014.125</v>
      </c>
      <c r="BH737" s="17" t="s">
        <v>105</v>
      </c>
      <c r="BI737" s="17"/>
      <c r="BJ737" s="15"/>
      <c r="BK737" s="15"/>
      <c r="BL737" s="13" t="b">
        <v>0</v>
      </c>
      <c r="BM737" s="10"/>
      <c r="BN737" s="10" t="s">
        <v>118</v>
      </c>
      <c r="BO737" s="11">
        <v>45866.101388888892</v>
      </c>
      <c r="BP737" s="11">
        <v>46008.643842592595</v>
      </c>
      <c r="BQ737" s="15">
        <v>46009.523009259261</v>
      </c>
      <c r="BR737" s="15">
        <v>46010.424490740741</v>
      </c>
      <c r="BS737" s="10" t="s">
        <v>118</v>
      </c>
      <c r="BT737" s="10"/>
      <c r="BU737" s="10"/>
      <c r="BV737" s="10"/>
      <c r="BW737" s="10"/>
      <c r="BX737" s="10"/>
      <c r="BY737" s="23"/>
      <c r="BZ737" s="23"/>
      <c r="CA737" s="19" t="s">
        <v>6587</v>
      </c>
      <c r="CB737" s="19" t="s">
        <v>6588</v>
      </c>
      <c r="CC737" s="23"/>
      <c r="CD737" s="19" t="s">
        <v>6589</v>
      </c>
      <c r="CE737" s="23"/>
      <c r="CF737" s="23"/>
      <c r="CG737" s="23"/>
      <c r="CH737" s="23"/>
      <c r="CI737" s="23"/>
    </row>
    <row r="738" spans="1:87" x14ac:dyDescent="0.3">
      <c r="A738" s="9" t="s">
        <v>6590</v>
      </c>
      <c r="B738" s="10" t="s">
        <v>6591</v>
      </c>
      <c r="C738" s="11">
        <v>46012.927083333336</v>
      </c>
      <c r="D738" s="12">
        <v>8.3333333333333329E-2</v>
      </c>
      <c r="E738" s="11">
        <v>46013.010416666664</v>
      </c>
      <c r="F738" s="10" t="s">
        <v>5001</v>
      </c>
      <c r="G738" s="13" t="b">
        <v>0</v>
      </c>
      <c r="H738" s="10" t="s">
        <v>3578</v>
      </c>
      <c r="I738" s="10" t="s">
        <v>89</v>
      </c>
      <c r="J738" s="13" t="b">
        <v>0</v>
      </c>
      <c r="K738" s="13" t="b">
        <v>1</v>
      </c>
      <c r="L738" s="10" t="s">
        <v>124</v>
      </c>
      <c r="M738" s="10" t="s">
        <v>91</v>
      </c>
      <c r="N738" s="10" t="s">
        <v>92</v>
      </c>
      <c r="O738" s="19" t="s">
        <v>6592</v>
      </c>
      <c r="P738" s="10"/>
      <c r="Q738" s="10" t="s">
        <v>126</v>
      </c>
      <c r="R738" s="10"/>
      <c r="S738" s="19" t="s">
        <v>6593</v>
      </c>
      <c r="T738" s="10"/>
      <c r="U738" s="10" t="s">
        <v>5018</v>
      </c>
      <c r="V738" s="10" t="s">
        <v>5042</v>
      </c>
      <c r="W738" s="10" t="s">
        <v>5007</v>
      </c>
      <c r="X738" s="10" t="s">
        <v>130</v>
      </c>
      <c r="Y738" s="10" t="s">
        <v>130</v>
      </c>
      <c r="Z738" s="10" t="s">
        <v>99</v>
      </c>
      <c r="AA738" s="10" t="s">
        <v>131</v>
      </c>
      <c r="AB738" s="10" t="s">
        <v>5008</v>
      </c>
      <c r="AC738" s="10" t="s">
        <v>5009</v>
      </c>
      <c r="AD738" s="10" t="s">
        <v>6594</v>
      </c>
      <c r="AE738" s="10" t="s">
        <v>6595</v>
      </c>
      <c r="AF738" s="15"/>
      <c r="AG738" s="10"/>
      <c r="AH738" s="10"/>
      <c r="AI738" s="10"/>
      <c r="AJ738" s="10" t="s">
        <v>6596</v>
      </c>
      <c r="AK738" s="10" t="s">
        <v>102</v>
      </c>
      <c r="AL738" s="10" t="s">
        <v>1988</v>
      </c>
      <c r="AM738" s="10"/>
      <c r="AN738" s="10"/>
      <c r="AO738" s="13" t="b">
        <v>1</v>
      </c>
      <c r="AP738" s="10" t="s">
        <v>104</v>
      </c>
      <c r="AQ738" s="10">
        <f ca="1">IFERROR(__xludf.DUMMYFUNCTION("""COMPUTED_VALUE"""),4783768)</f>
        <v>4783768</v>
      </c>
      <c r="AR738" s="17">
        <v>196890</v>
      </c>
      <c r="AS738" s="17">
        <v>124871</v>
      </c>
      <c r="AT738" s="17">
        <v>4486989.25</v>
      </c>
      <c r="AU738" s="17">
        <v>1982.75</v>
      </c>
      <c r="AV738" s="17">
        <v>384.7</v>
      </c>
      <c r="AW738" s="10" t="s">
        <v>105</v>
      </c>
      <c r="AX738" s="17">
        <v>63691</v>
      </c>
      <c r="AY738" s="18">
        <v>35.932996852752041</v>
      </c>
      <c r="AZ738" s="10" t="s">
        <v>106</v>
      </c>
      <c r="BA738" s="20" t="b">
        <v>0</v>
      </c>
      <c r="BB738" s="10"/>
      <c r="BC738" s="17">
        <v>196890</v>
      </c>
      <c r="BD738" s="17">
        <v>124871</v>
      </c>
      <c r="BE738" s="17">
        <v>4486989.25</v>
      </c>
      <c r="BF738" s="17">
        <v>384.7</v>
      </c>
      <c r="BG738" s="11">
        <f ca="1">IFERROR(__xludf.DUMMYFUNCTION("""COMPUTED_VALUE"""),46012.9270833333)</f>
        <v>46012.927083333299</v>
      </c>
      <c r="BH738" s="17" t="s">
        <v>105</v>
      </c>
      <c r="BI738" s="17"/>
      <c r="BJ738" s="15"/>
      <c r="BK738" s="15"/>
      <c r="BL738" s="13" t="b">
        <v>0</v>
      </c>
      <c r="BM738" s="10"/>
      <c r="BN738" s="10" t="s">
        <v>667</v>
      </c>
      <c r="BO738" s="11">
        <v>45866.101388888892</v>
      </c>
      <c r="BP738" s="11">
        <v>46008.640636574077</v>
      </c>
      <c r="BQ738" s="15">
        <v>46010.483923611115</v>
      </c>
      <c r="BR738" s="15">
        <v>46009.403981481482</v>
      </c>
      <c r="BS738" s="10" t="s">
        <v>667</v>
      </c>
      <c r="BT738" s="10" t="s">
        <v>99</v>
      </c>
      <c r="BU738" s="10" t="s">
        <v>5046</v>
      </c>
      <c r="BV738" s="10" t="s">
        <v>281</v>
      </c>
      <c r="BW738" s="10" t="s">
        <v>282</v>
      </c>
      <c r="BX738" s="10"/>
      <c r="BY738" s="23"/>
      <c r="BZ738" s="23"/>
      <c r="CA738" s="19" t="s">
        <v>6597</v>
      </c>
      <c r="CB738" s="19" t="s">
        <v>6598</v>
      </c>
      <c r="CC738" s="23"/>
      <c r="CD738" s="19" t="s">
        <v>6599</v>
      </c>
      <c r="CE738" s="23"/>
      <c r="CF738" s="23"/>
      <c r="CG738" s="23"/>
      <c r="CH738" s="23"/>
      <c r="CI738" s="23"/>
    </row>
    <row r="739" spans="1:87" x14ac:dyDescent="0.3">
      <c r="A739" s="9" t="s">
        <v>6600</v>
      </c>
      <c r="B739" s="10" t="s">
        <v>6601</v>
      </c>
      <c r="C739" s="11">
        <v>46013.125</v>
      </c>
      <c r="D739" s="12">
        <v>8.3333333333333329E-2</v>
      </c>
      <c r="E739" s="11">
        <v>46013.208333333336</v>
      </c>
      <c r="F739" s="10" t="s">
        <v>5001</v>
      </c>
      <c r="G739" s="13" t="b">
        <v>0</v>
      </c>
      <c r="H739" s="10" t="s">
        <v>3578</v>
      </c>
      <c r="I739" s="10" t="s">
        <v>89</v>
      </c>
      <c r="J739" s="13" t="b">
        <v>0</v>
      </c>
      <c r="K739" s="13" t="b">
        <v>1</v>
      </c>
      <c r="L739" s="10" t="s">
        <v>124</v>
      </c>
      <c r="M739" s="10" t="s">
        <v>91</v>
      </c>
      <c r="N739" s="10" t="s">
        <v>92</v>
      </c>
      <c r="O739" s="19" t="s">
        <v>6602</v>
      </c>
      <c r="P739" s="10"/>
      <c r="Q739" s="10" t="s">
        <v>126</v>
      </c>
      <c r="R739" s="10"/>
      <c r="S739" s="19" t="s">
        <v>6603</v>
      </c>
      <c r="T739" s="10"/>
      <c r="U739" s="10" t="s">
        <v>5102</v>
      </c>
      <c r="V739" s="10" t="s">
        <v>5067</v>
      </c>
      <c r="W739" s="10" t="s">
        <v>5007</v>
      </c>
      <c r="X739" s="10" t="s">
        <v>130</v>
      </c>
      <c r="Y739" s="10" t="s">
        <v>130</v>
      </c>
      <c r="Z739" s="10" t="s">
        <v>99</v>
      </c>
      <c r="AA739" s="10" t="s">
        <v>131</v>
      </c>
      <c r="AB739" s="10" t="s">
        <v>5008</v>
      </c>
      <c r="AC739" s="10" t="s">
        <v>5009</v>
      </c>
      <c r="AD739" s="10" t="s">
        <v>6604</v>
      </c>
      <c r="AE739" s="10" t="s">
        <v>6605</v>
      </c>
      <c r="AF739" s="15"/>
      <c r="AG739" s="10"/>
      <c r="AH739" s="10"/>
      <c r="AI739" s="10"/>
      <c r="AJ739" s="10" t="s">
        <v>6606</v>
      </c>
      <c r="AK739" s="10" t="s">
        <v>102</v>
      </c>
      <c r="AL739" s="10" t="s">
        <v>1988</v>
      </c>
      <c r="AM739" s="10"/>
      <c r="AN739" s="10"/>
      <c r="AO739" s="13" t="b">
        <v>0</v>
      </c>
      <c r="AP739" s="10" t="s">
        <v>104</v>
      </c>
      <c r="AQ739" s="10">
        <f ca="1">IFERROR(__xludf.DUMMYFUNCTION("""COMPUTED_VALUE"""),4784756)</f>
        <v>4784756</v>
      </c>
      <c r="AR739" s="17">
        <v>6382</v>
      </c>
      <c r="AS739" s="17">
        <v>4617</v>
      </c>
      <c r="AT739" s="17">
        <v>149168.25</v>
      </c>
      <c r="AU739" s="17">
        <v>11.3</v>
      </c>
      <c r="AV739" s="17">
        <v>4.25</v>
      </c>
      <c r="AW739" s="10" t="s">
        <v>105</v>
      </c>
      <c r="AX739" s="17">
        <v>3563</v>
      </c>
      <c r="AY739" s="18">
        <v>32.308479532163744</v>
      </c>
      <c r="AZ739" s="10" t="s">
        <v>106</v>
      </c>
      <c r="BA739" s="20" t="b">
        <v>0</v>
      </c>
      <c r="BB739" s="10"/>
      <c r="BC739" s="17">
        <v>6382</v>
      </c>
      <c r="BD739" s="17">
        <v>4617</v>
      </c>
      <c r="BE739" s="17">
        <v>149168.25</v>
      </c>
      <c r="BF739" s="17">
        <v>4.25</v>
      </c>
      <c r="BG739" s="11">
        <f ca="1">IFERROR(__xludf.DUMMYFUNCTION("""COMPUTED_VALUE"""),46013.125)</f>
        <v>46013.125</v>
      </c>
      <c r="BH739" s="17" t="s">
        <v>105</v>
      </c>
      <c r="BI739" s="17"/>
      <c r="BJ739" s="15"/>
      <c r="BK739" s="15"/>
      <c r="BL739" s="13" t="b">
        <v>0</v>
      </c>
      <c r="BM739" s="10"/>
      <c r="BN739" s="10" t="s">
        <v>118</v>
      </c>
      <c r="BO739" s="11">
        <v>45866.101388888892</v>
      </c>
      <c r="BP739" s="11">
        <v>46008.641898148147</v>
      </c>
      <c r="BQ739" s="15">
        <v>46009.522719907407</v>
      </c>
      <c r="BR739" s="15">
        <v>46010.425335648149</v>
      </c>
      <c r="BS739" s="10" t="s">
        <v>118</v>
      </c>
      <c r="BT739" s="10"/>
      <c r="BU739" s="10"/>
      <c r="BV739" s="10"/>
      <c r="BW739" s="10"/>
      <c r="BX739" s="10"/>
      <c r="BY739" s="23"/>
      <c r="BZ739" s="23"/>
      <c r="CA739" s="19" t="s">
        <v>6607</v>
      </c>
      <c r="CB739" s="19" t="s">
        <v>6608</v>
      </c>
      <c r="CC739" s="23"/>
      <c r="CD739" s="19" t="s">
        <v>6609</v>
      </c>
      <c r="CE739" s="23"/>
      <c r="CF739" s="23"/>
      <c r="CG739" s="23"/>
      <c r="CH739" s="23"/>
      <c r="CI739" s="23"/>
    </row>
    <row r="740" spans="1:87" x14ac:dyDescent="0.3">
      <c r="A740" s="9" t="s">
        <v>6610</v>
      </c>
      <c r="B740" s="10" t="s">
        <v>6611</v>
      </c>
      <c r="C740" s="11">
        <v>46012.125</v>
      </c>
      <c r="D740" s="12">
        <v>8.3333333333333329E-2</v>
      </c>
      <c r="E740" s="11">
        <v>46012.208333333336</v>
      </c>
      <c r="F740" s="10" t="s">
        <v>5001</v>
      </c>
      <c r="G740" s="13" t="b">
        <v>0</v>
      </c>
      <c r="H740" s="10" t="s">
        <v>3578</v>
      </c>
      <c r="I740" s="10" t="s">
        <v>89</v>
      </c>
      <c r="J740" s="13" t="b">
        <v>0</v>
      </c>
      <c r="K740" s="13" t="b">
        <v>1</v>
      </c>
      <c r="L740" s="10" t="s">
        <v>124</v>
      </c>
      <c r="M740" s="10" t="s">
        <v>91</v>
      </c>
      <c r="N740" s="10" t="s">
        <v>92</v>
      </c>
      <c r="O740" s="19" t="s">
        <v>6612</v>
      </c>
      <c r="P740" s="10"/>
      <c r="Q740" s="10" t="s">
        <v>126</v>
      </c>
      <c r="R740" s="10"/>
      <c r="S740" s="19" t="s">
        <v>6613</v>
      </c>
      <c r="T740" s="10"/>
      <c r="U740" s="10" t="s">
        <v>5113</v>
      </c>
      <c r="V740" s="10" t="s">
        <v>5077</v>
      </c>
      <c r="W740" s="10" t="s">
        <v>5007</v>
      </c>
      <c r="X740" s="10" t="s">
        <v>130</v>
      </c>
      <c r="Y740" s="10" t="s">
        <v>130</v>
      </c>
      <c r="Z740" s="10" t="s">
        <v>99</v>
      </c>
      <c r="AA740" s="10" t="s">
        <v>131</v>
      </c>
      <c r="AB740" s="10" t="s">
        <v>5008</v>
      </c>
      <c r="AC740" s="10" t="s">
        <v>5009</v>
      </c>
      <c r="AD740" s="10" t="s">
        <v>6614</v>
      </c>
      <c r="AE740" s="10" t="s">
        <v>6615</v>
      </c>
      <c r="AF740" s="15"/>
      <c r="AG740" s="10"/>
      <c r="AH740" s="10"/>
      <c r="AI740" s="10"/>
      <c r="AJ740" s="10" t="s">
        <v>6616</v>
      </c>
      <c r="AK740" s="10" t="s">
        <v>102</v>
      </c>
      <c r="AL740" s="10" t="s">
        <v>1988</v>
      </c>
      <c r="AM740" s="10"/>
      <c r="AN740" s="10"/>
      <c r="AO740" s="13" t="b">
        <v>1</v>
      </c>
      <c r="AP740" s="10" t="s">
        <v>104</v>
      </c>
      <c r="AQ740" s="10">
        <f ca="1">IFERROR(__xludf.DUMMYFUNCTION("""COMPUTED_VALUE"""),4783758)</f>
        <v>4783758</v>
      </c>
      <c r="AR740" s="17">
        <v>80474</v>
      </c>
      <c r="AS740" s="17">
        <v>52561</v>
      </c>
      <c r="AT740" s="17">
        <v>2589523.25</v>
      </c>
      <c r="AU740" s="17">
        <v>422.45</v>
      </c>
      <c r="AV740" s="17">
        <v>74.349999999999994</v>
      </c>
      <c r="AW740" s="10" t="s">
        <v>105</v>
      </c>
      <c r="AX740" s="17">
        <v>28290</v>
      </c>
      <c r="AY740" s="18">
        <v>49.267008808812619</v>
      </c>
      <c r="AZ740" s="10" t="s">
        <v>106</v>
      </c>
      <c r="BA740" s="20" t="b">
        <v>0</v>
      </c>
      <c r="BB740" s="10"/>
      <c r="BC740" s="17">
        <v>80474</v>
      </c>
      <c r="BD740" s="17">
        <v>52561</v>
      </c>
      <c r="BE740" s="17">
        <v>2589523.25</v>
      </c>
      <c r="BF740" s="17">
        <v>74.349999999999994</v>
      </c>
      <c r="BG740" s="11">
        <f ca="1">IFERROR(__xludf.DUMMYFUNCTION("""COMPUTED_VALUE"""),46012.125)</f>
        <v>46012.125</v>
      </c>
      <c r="BH740" s="17" t="s">
        <v>105</v>
      </c>
      <c r="BI740" s="17"/>
      <c r="BJ740" s="15"/>
      <c r="BK740" s="15"/>
      <c r="BL740" s="13" t="b">
        <v>0</v>
      </c>
      <c r="BM740" s="10"/>
      <c r="BN740" s="10" t="s">
        <v>634</v>
      </c>
      <c r="BO740" s="11">
        <v>45866.101388888892</v>
      </c>
      <c r="BP740" s="11">
        <v>46008.637974537036</v>
      </c>
      <c r="BQ740" s="15">
        <v>46010.483622685184</v>
      </c>
      <c r="BR740" s="15">
        <v>46009.396377314813</v>
      </c>
      <c r="BS740" s="10" t="s">
        <v>634</v>
      </c>
      <c r="BT740" s="10" t="s">
        <v>99</v>
      </c>
      <c r="BU740" s="10" t="s">
        <v>6518</v>
      </c>
      <c r="BV740" s="10" t="s">
        <v>124</v>
      </c>
      <c r="BW740" s="10"/>
      <c r="BX740" s="10"/>
      <c r="BY740" s="23"/>
      <c r="BZ740" s="23"/>
      <c r="CA740" s="19" t="s">
        <v>6617</v>
      </c>
      <c r="CB740" s="19" t="s">
        <v>6618</v>
      </c>
      <c r="CC740" s="23"/>
      <c r="CD740" s="19" t="s">
        <v>6619</v>
      </c>
      <c r="CE740" s="23"/>
      <c r="CF740" s="23"/>
      <c r="CG740" s="23"/>
      <c r="CH740" s="23"/>
      <c r="CI740" s="23"/>
    </row>
    <row r="741" spans="1:87" x14ac:dyDescent="0.3">
      <c r="A741" s="9" t="s">
        <v>6620</v>
      </c>
      <c r="B741" s="10" t="s">
        <v>6621</v>
      </c>
      <c r="C741" s="11">
        <v>46012.833333333336</v>
      </c>
      <c r="D741" s="12">
        <v>8.3333333333333329E-2</v>
      </c>
      <c r="E741" s="11">
        <v>46012.916666666664</v>
      </c>
      <c r="F741" s="10" t="s">
        <v>5001</v>
      </c>
      <c r="G741" s="13" t="b">
        <v>0</v>
      </c>
      <c r="H741" s="10" t="s">
        <v>3578</v>
      </c>
      <c r="I741" s="10" t="s">
        <v>89</v>
      </c>
      <c r="J741" s="13" t="b">
        <v>0</v>
      </c>
      <c r="K741" s="13" t="b">
        <v>1</v>
      </c>
      <c r="L741" s="10" t="s">
        <v>124</v>
      </c>
      <c r="M741" s="10" t="s">
        <v>91</v>
      </c>
      <c r="N741" s="10" t="s">
        <v>92</v>
      </c>
      <c r="O741" s="19" t="s">
        <v>6622</v>
      </c>
      <c r="P741" s="10"/>
      <c r="Q741" s="10" t="s">
        <v>126</v>
      </c>
      <c r="R741" s="10"/>
      <c r="S741" s="19" t="s">
        <v>6623</v>
      </c>
      <c r="T741" s="10"/>
      <c r="U741" s="10" t="s">
        <v>5005</v>
      </c>
      <c r="V741" s="10" t="s">
        <v>5090</v>
      </c>
      <c r="W741" s="10" t="s">
        <v>5007</v>
      </c>
      <c r="X741" s="10" t="s">
        <v>130</v>
      </c>
      <c r="Y741" s="10" t="s">
        <v>130</v>
      </c>
      <c r="Z741" s="10" t="s">
        <v>99</v>
      </c>
      <c r="AA741" s="10" t="s">
        <v>131</v>
      </c>
      <c r="AB741" s="10" t="s">
        <v>5008</v>
      </c>
      <c r="AC741" s="10" t="s">
        <v>5009</v>
      </c>
      <c r="AD741" s="10" t="s">
        <v>6624</v>
      </c>
      <c r="AE741" s="10" t="s">
        <v>6625</v>
      </c>
      <c r="AF741" s="15"/>
      <c r="AG741" s="10"/>
      <c r="AH741" s="10"/>
      <c r="AI741" s="10"/>
      <c r="AJ741" s="10" t="s">
        <v>6626</v>
      </c>
      <c r="AK741" s="10" t="s">
        <v>102</v>
      </c>
      <c r="AL741" s="10" t="s">
        <v>1988</v>
      </c>
      <c r="AM741" s="10"/>
      <c r="AN741" s="10"/>
      <c r="AO741" s="13" t="b">
        <v>0</v>
      </c>
      <c r="AP741" s="10" t="s">
        <v>104</v>
      </c>
      <c r="AQ741" s="10">
        <f ca="1">IFERROR(__xludf.DUMMYFUNCTION("""COMPUTED_VALUE"""),4783764)</f>
        <v>4783764</v>
      </c>
      <c r="AR741" s="17">
        <v>50942</v>
      </c>
      <c r="AS741" s="17">
        <v>37798</v>
      </c>
      <c r="AT741" s="17">
        <v>908375.75</v>
      </c>
      <c r="AU741" s="17">
        <v>262.14999999999998</v>
      </c>
      <c r="AV741" s="17">
        <v>69.05</v>
      </c>
      <c r="AW741" s="10" t="s">
        <v>105</v>
      </c>
      <c r="AX741" s="17">
        <v>12151</v>
      </c>
      <c r="AY741" s="18">
        <v>24.032376051642945</v>
      </c>
      <c r="AZ741" s="10" t="s">
        <v>106</v>
      </c>
      <c r="BA741" s="20" t="b">
        <v>0</v>
      </c>
      <c r="BB741" s="10"/>
      <c r="BC741" s="17">
        <v>50942</v>
      </c>
      <c r="BD741" s="17">
        <v>37798</v>
      </c>
      <c r="BE741" s="17">
        <v>908375.75</v>
      </c>
      <c r="BF741" s="17">
        <v>69.05</v>
      </c>
      <c r="BG741" s="11">
        <f ca="1">IFERROR(__xludf.DUMMYFUNCTION("""COMPUTED_VALUE"""),46012.8333333333)</f>
        <v>46012.833333333299</v>
      </c>
      <c r="BH741" s="17" t="s">
        <v>105</v>
      </c>
      <c r="BI741" s="17"/>
      <c r="BJ741" s="15"/>
      <c r="BK741" s="15"/>
      <c r="BL741" s="13" t="b">
        <v>0</v>
      </c>
      <c r="BM741" s="10"/>
      <c r="BN741" s="10" t="s">
        <v>106</v>
      </c>
      <c r="BO741" s="11">
        <v>45866.101388888892</v>
      </c>
      <c r="BP741" s="11">
        <v>46008.639374999999</v>
      </c>
      <c r="BQ741" s="15">
        <v>46010.483796296299</v>
      </c>
      <c r="BR741" s="15">
        <v>46009.403287037036</v>
      </c>
      <c r="BS741" s="10"/>
      <c r="BT741" s="10"/>
      <c r="BU741" s="10"/>
      <c r="BV741" s="10"/>
      <c r="BW741" s="10"/>
      <c r="BX741" s="10"/>
      <c r="BY741" s="23"/>
      <c r="BZ741" s="23"/>
      <c r="CA741" s="19" t="s">
        <v>6627</v>
      </c>
      <c r="CB741" s="19" t="s">
        <v>6628</v>
      </c>
      <c r="CC741" s="23"/>
      <c r="CD741" s="19" t="s">
        <v>6629</v>
      </c>
      <c r="CE741" s="23"/>
      <c r="CF741" s="23"/>
      <c r="CG741" s="23"/>
      <c r="CH741" s="23"/>
      <c r="CI741" s="23"/>
    </row>
    <row r="742" spans="1:87" x14ac:dyDescent="0.3">
      <c r="A742" s="9" t="s">
        <v>6630</v>
      </c>
      <c r="B742" s="10" t="s">
        <v>6631</v>
      </c>
      <c r="C742" s="11">
        <v>46013.020833333336</v>
      </c>
      <c r="D742" s="12">
        <v>8.3333333333333329E-2</v>
      </c>
      <c r="E742" s="11">
        <v>46013.104166666664</v>
      </c>
      <c r="F742" s="10" t="s">
        <v>5001</v>
      </c>
      <c r="G742" s="13" t="b">
        <v>0</v>
      </c>
      <c r="H742" s="10" t="s">
        <v>3578</v>
      </c>
      <c r="I742" s="10" t="s">
        <v>89</v>
      </c>
      <c r="J742" s="13" t="b">
        <v>0</v>
      </c>
      <c r="K742" s="13" t="b">
        <v>1</v>
      </c>
      <c r="L742" s="10" t="s">
        <v>124</v>
      </c>
      <c r="M742" s="10" t="s">
        <v>91</v>
      </c>
      <c r="N742" s="10" t="s">
        <v>92</v>
      </c>
      <c r="O742" s="19" t="s">
        <v>6632</v>
      </c>
      <c r="P742" s="10"/>
      <c r="Q742" s="10" t="s">
        <v>94</v>
      </c>
      <c r="R742" s="10"/>
      <c r="S742" s="10"/>
      <c r="T742" s="10"/>
      <c r="U742" s="10" t="s">
        <v>5101</v>
      </c>
      <c r="V742" s="10" t="s">
        <v>5006</v>
      </c>
      <c r="W742" s="10" t="s">
        <v>5007</v>
      </c>
      <c r="X742" s="10" t="s">
        <v>130</v>
      </c>
      <c r="Y742" s="10" t="s">
        <v>130</v>
      </c>
      <c r="Z742" s="10" t="s">
        <v>99</v>
      </c>
      <c r="AA742" s="10" t="s">
        <v>131</v>
      </c>
      <c r="AB742" s="10" t="s">
        <v>5008</v>
      </c>
      <c r="AC742" s="10" t="s">
        <v>5009</v>
      </c>
      <c r="AD742" s="10" t="s">
        <v>6633</v>
      </c>
      <c r="AE742" s="10" t="s">
        <v>6634</v>
      </c>
      <c r="AF742" s="15"/>
      <c r="AG742" s="10"/>
      <c r="AH742" s="10"/>
      <c r="AI742" s="10"/>
      <c r="AJ742" s="10"/>
      <c r="AK742" s="10" t="s">
        <v>102</v>
      </c>
      <c r="AL742" s="10" t="s">
        <v>1988</v>
      </c>
      <c r="AM742" s="10"/>
      <c r="AN742" s="10"/>
      <c r="AO742" s="13" t="b">
        <v>0</v>
      </c>
      <c r="AP742" s="10" t="s">
        <v>104</v>
      </c>
      <c r="AQ742" s="10">
        <f ca="1">IFERROR(__xludf.DUMMYFUNCTION("""COMPUTED_VALUE"""),4784752)</f>
        <v>4784752</v>
      </c>
      <c r="AR742" s="17">
        <v>6453</v>
      </c>
      <c r="AS742" s="17">
        <v>5109</v>
      </c>
      <c r="AT742" s="17">
        <v>114077</v>
      </c>
      <c r="AU742" s="17">
        <v>4.3</v>
      </c>
      <c r="AV742" s="17">
        <v>0.85</v>
      </c>
      <c r="AW742" s="10" t="s">
        <v>105</v>
      </c>
      <c r="AX742" s="17">
        <v>12271</v>
      </c>
      <c r="AY742" s="18">
        <v>22.328635740849482</v>
      </c>
      <c r="AZ742" s="10" t="s">
        <v>106</v>
      </c>
      <c r="BA742" s="20" t="b">
        <v>0</v>
      </c>
      <c r="BB742" s="10"/>
      <c r="BC742" s="17">
        <v>6453</v>
      </c>
      <c r="BD742" s="17">
        <v>5109</v>
      </c>
      <c r="BE742" s="17">
        <v>114077</v>
      </c>
      <c r="BF742" s="17">
        <v>0.85</v>
      </c>
      <c r="BG742" s="11">
        <f ca="1">IFERROR(__xludf.DUMMYFUNCTION("""COMPUTED_VALUE"""),46013.0208333333)</f>
        <v>46013.020833333299</v>
      </c>
      <c r="BH742" s="17" t="s">
        <v>105</v>
      </c>
      <c r="BI742" s="17"/>
      <c r="BJ742" s="15"/>
      <c r="BK742" s="15"/>
      <c r="BL742" s="13" t="b">
        <v>0</v>
      </c>
      <c r="BM742" s="10"/>
      <c r="BN742" s="10" t="s">
        <v>118</v>
      </c>
      <c r="BO742" s="11">
        <v>45866.101388888892</v>
      </c>
      <c r="BP742" s="11">
        <v>46001.718333333331</v>
      </c>
      <c r="BQ742" s="15"/>
      <c r="BR742" s="15">
        <v>46010.425023148149</v>
      </c>
      <c r="BS742" s="10" t="s">
        <v>118</v>
      </c>
      <c r="BT742" s="10"/>
      <c r="BU742" s="10"/>
      <c r="BV742" s="10"/>
      <c r="BW742" s="10"/>
      <c r="BX742" s="10"/>
      <c r="BY742" s="23"/>
      <c r="BZ742" s="23"/>
      <c r="CA742" s="19" t="s">
        <v>6635</v>
      </c>
      <c r="CB742" s="19" t="s">
        <v>6636</v>
      </c>
      <c r="CC742" s="23"/>
      <c r="CD742" s="23"/>
      <c r="CE742" s="23"/>
      <c r="CF742" s="23"/>
      <c r="CG742" s="23"/>
      <c r="CH742" s="23"/>
      <c r="CI742" s="23"/>
    </row>
    <row r="743" spans="1:87" x14ac:dyDescent="0.3">
      <c r="A743" s="9" t="s">
        <v>6637</v>
      </c>
      <c r="B743" s="10" t="s">
        <v>6638</v>
      </c>
      <c r="C743" s="11">
        <v>46012.020833333336</v>
      </c>
      <c r="D743" s="12">
        <v>8.3333333333333329E-2</v>
      </c>
      <c r="E743" s="11">
        <v>46012.104166666664</v>
      </c>
      <c r="F743" s="10" t="s">
        <v>5001</v>
      </c>
      <c r="G743" s="13" t="b">
        <v>0</v>
      </c>
      <c r="H743" s="10" t="s">
        <v>3578</v>
      </c>
      <c r="I743" s="10" t="s">
        <v>89</v>
      </c>
      <c r="J743" s="13" t="b">
        <v>0</v>
      </c>
      <c r="K743" s="13" t="b">
        <v>1</v>
      </c>
      <c r="L743" s="10" t="s">
        <v>124</v>
      </c>
      <c r="M743" s="10" t="s">
        <v>91</v>
      </c>
      <c r="N743" s="10" t="s">
        <v>92</v>
      </c>
      <c r="O743" s="19" t="s">
        <v>6639</v>
      </c>
      <c r="P743" s="10"/>
      <c r="Q743" s="10" t="s">
        <v>94</v>
      </c>
      <c r="R743" s="10"/>
      <c r="S743" s="10"/>
      <c r="T743" s="10"/>
      <c r="U743" s="10" t="s">
        <v>5114</v>
      </c>
      <c r="V743" s="10" t="s">
        <v>5031</v>
      </c>
      <c r="W743" s="10" t="s">
        <v>5007</v>
      </c>
      <c r="X743" s="10" t="s">
        <v>130</v>
      </c>
      <c r="Y743" s="10" t="s">
        <v>130</v>
      </c>
      <c r="Z743" s="10" t="s">
        <v>99</v>
      </c>
      <c r="AA743" s="10" t="s">
        <v>131</v>
      </c>
      <c r="AB743" s="10" t="s">
        <v>5008</v>
      </c>
      <c r="AC743" s="10" t="s">
        <v>5009</v>
      </c>
      <c r="AD743" s="10" t="s">
        <v>6640</v>
      </c>
      <c r="AE743" s="10" t="s">
        <v>6641</v>
      </c>
      <c r="AF743" s="15"/>
      <c r="AG743" s="10"/>
      <c r="AH743" s="10"/>
      <c r="AI743" s="10"/>
      <c r="AJ743" s="10"/>
      <c r="AK743" s="10" t="s">
        <v>102</v>
      </c>
      <c r="AL743" s="10" t="s">
        <v>1988</v>
      </c>
      <c r="AM743" s="10"/>
      <c r="AN743" s="10"/>
      <c r="AO743" s="13" t="b">
        <v>0</v>
      </c>
      <c r="AP743" s="10" t="s">
        <v>104</v>
      </c>
      <c r="AQ743" s="10">
        <f ca="1">IFERROR(__xludf.DUMMYFUNCTION("""COMPUTED_VALUE"""),4783750)</f>
        <v>4783750</v>
      </c>
      <c r="AR743" s="17">
        <v>5149</v>
      </c>
      <c r="AS743" s="17">
        <v>4123</v>
      </c>
      <c r="AT743" s="17">
        <v>107995.25</v>
      </c>
      <c r="AU743" s="17">
        <v>11.35</v>
      </c>
      <c r="AV743" s="17">
        <v>3.05</v>
      </c>
      <c r="AW743" s="10" t="s">
        <v>105</v>
      </c>
      <c r="AX743" s="17">
        <v>1369</v>
      </c>
      <c r="AY743" s="18">
        <v>26.193366480717923</v>
      </c>
      <c r="AZ743" s="10" t="s">
        <v>106</v>
      </c>
      <c r="BA743" s="20" t="b">
        <v>0</v>
      </c>
      <c r="BB743" s="10"/>
      <c r="BC743" s="17">
        <v>5149</v>
      </c>
      <c r="BD743" s="17">
        <v>4123</v>
      </c>
      <c r="BE743" s="17">
        <v>107995.25</v>
      </c>
      <c r="BF743" s="17">
        <v>3.05</v>
      </c>
      <c r="BG743" s="11">
        <f ca="1">IFERROR(__xludf.DUMMYFUNCTION("""COMPUTED_VALUE"""),46012.0208333333)</f>
        <v>46012.020833333299</v>
      </c>
      <c r="BH743" s="17" t="s">
        <v>105</v>
      </c>
      <c r="BI743" s="17"/>
      <c r="BJ743" s="15"/>
      <c r="BK743" s="15"/>
      <c r="BL743" s="13" t="b">
        <v>0</v>
      </c>
      <c r="BM743" s="10"/>
      <c r="BN743" s="10" t="s">
        <v>106</v>
      </c>
      <c r="BO743" s="11">
        <v>45866.101388888892</v>
      </c>
      <c r="BP743" s="11">
        <v>46001.717048611114</v>
      </c>
      <c r="BQ743" s="15"/>
      <c r="BR743" s="15"/>
      <c r="BS743" s="10"/>
      <c r="BT743" s="10"/>
      <c r="BU743" s="10"/>
      <c r="BV743" s="10"/>
      <c r="BW743" s="10"/>
      <c r="BX743" s="10"/>
      <c r="BY743" s="23"/>
      <c r="BZ743" s="23"/>
      <c r="CA743" s="19" t="s">
        <v>6642</v>
      </c>
      <c r="CB743" s="19" t="s">
        <v>6643</v>
      </c>
      <c r="CC743" s="23"/>
      <c r="CD743" s="23"/>
      <c r="CE743" s="23"/>
      <c r="CF743" s="23"/>
      <c r="CG743" s="23"/>
      <c r="CH743" s="23"/>
      <c r="CI743" s="23"/>
    </row>
    <row r="744" spans="1:87" x14ac:dyDescent="0.3">
      <c r="A744" s="9" t="s">
        <v>6644</v>
      </c>
      <c r="B744" s="10" t="s">
        <v>6645</v>
      </c>
      <c r="C744" s="11">
        <v>46011.833333333336</v>
      </c>
      <c r="D744" s="12">
        <v>8.3333333333333329E-2</v>
      </c>
      <c r="E744" s="11">
        <v>46011.916666666664</v>
      </c>
      <c r="F744" s="10" t="s">
        <v>5001</v>
      </c>
      <c r="G744" s="13" t="b">
        <v>0</v>
      </c>
      <c r="H744" s="10" t="s">
        <v>3578</v>
      </c>
      <c r="I744" s="10" t="s">
        <v>89</v>
      </c>
      <c r="J744" s="13" t="b">
        <v>0</v>
      </c>
      <c r="K744" s="13" t="b">
        <v>1</v>
      </c>
      <c r="L744" s="10" t="s">
        <v>124</v>
      </c>
      <c r="M744" s="10" t="s">
        <v>91</v>
      </c>
      <c r="N744" s="10" t="s">
        <v>92</v>
      </c>
      <c r="O744" s="19" t="s">
        <v>6646</v>
      </c>
      <c r="P744" s="10"/>
      <c r="Q744" s="10" t="s">
        <v>94</v>
      </c>
      <c r="R744" s="10"/>
      <c r="S744" s="10"/>
      <c r="T744" s="10"/>
      <c r="U744" s="10" t="s">
        <v>5019</v>
      </c>
      <c r="V744" s="10" t="s">
        <v>5066</v>
      </c>
      <c r="W744" s="10" t="s">
        <v>5007</v>
      </c>
      <c r="X744" s="10" t="s">
        <v>130</v>
      </c>
      <c r="Y744" s="10" t="s">
        <v>130</v>
      </c>
      <c r="Z744" s="10" t="s">
        <v>99</v>
      </c>
      <c r="AA744" s="10" t="s">
        <v>131</v>
      </c>
      <c r="AB744" s="10" t="s">
        <v>5008</v>
      </c>
      <c r="AC744" s="10" t="s">
        <v>5009</v>
      </c>
      <c r="AD744" s="10" t="s">
        <v>6647</v>
      </c>
      <c r="AE744" s="10" t="s">
        <v>6648</v>
      </c>
      <c r="AF744" s="15"/>
      <c r="AG744" s="10"/>
      <c r="AH744" s="10"/>
      <c r="AI744" s="10"/>
      <c r="AJ744" s="10"/>
      <c r="AK744" s="10" t="s">
        <v>102</v>
      </c>
      <c r="AL744" s="10" t="s">
        <v>1988</v>
      </c>
      <c r="AM744" s="10"/>
      <c r="AN744" s="10"/>
      <c r="AO744" s="13" t="b">
        <v>0</v>
      </c>
      <c r="AP744" s="10" t="s">
        <v>104</v>
      </c>
      <c r="AQ744" s="10">
        <f ca="1">IFERROR(__xludf.DUMMYFUNCTION("""COMPUTED_VALUE"""),4783738)</f>
        <v>4783738</v>
      </c>
      <c r="AR744" s="17">
        <v>11903</v>
      </c>
      <c r="AS744" s="17">
        <v>9170</v>
      </c>
      <c r="AT744" s="17">
        <v>169354.25</v>
      </c>
      <c r="AU744" s="17">
        <v>64.650000000000006</v>
      </c>
      <c r="AV744" s="17">
        <v>21.25</v>
      </c>
      <c r="AW744" s="10" t="s">
        <v>105</v>
      </c>
      <c r="AX744" s="17">
        <v>3385</v>
      </c>
      <c r="AY744" s="18">
        <v>18.468293347873502</v>
      </c>
      <c r="AZ744" s="10" t="s">
        <v>106</v>
      </c>
      <c r="BA744" s="20" t="b">
        <v>0</v>
      </c>
      <c r="BB744" s="10"/>
      <c r="BC744" s="17">
        <v>11903</v>
      </c>
      <c r="BD744" s="17">
        <v>9170</v>
      </c>
      <c r="BE744" s="17">
        <v>169354.25</v>
      </c>
      <c r="BF744" s="17">
        <v>21.25</v>
      </c>
      <c r="BG744" s="11">
        <f ca="1">IFERROR(__xludf.DUMMYFUNCTION("""COMPUTED_VALUE"""),46011.8333333333)</f>
        <v>46011.833333333299</v>
      </c>
      <c r="BH744" s="17" t="s">
        <v>105</v>
      </c>
      <c r="BI744" s="17"/>
      <c r="BJ744" s="15"/>
      <c r="BK744" s="15"/>
      <c r="BL744" s="13" t="b">
        <v>0</v>
      </c>
      <c r="BM744" s="10"/>
      <c r="BN744" s="10" t="s">
        <v>106</v>
      </c>
      <c r="BO744" s="11">
        <v>45866.101388888892</v>
      </c>
      <c r="BP744" s="11">
        <v>46001.716851851852</v>
      </c>
      <c r="BQ744" s="15"/>
      <c r="BR744" s="15">
        <v>46009.385891203703</v>
      </c>
      <c r="BS744" s="10"/>
      <c r="BT744" s="10"/>
      <c r="BU744" s="10"/>
      <c r="BV744" s="10"/>
      <c r="BW744" s="10"/>
      <c r="BX744" s="10"/>
      <c r="BY744" s="23"/>
      <c r="BZ744" s="23"/>
      <c r="CA744" s="19" t="s">
        <v>6649</v>
      </c>
      <c r="CB744" s="19" t="s">
        <v>6650</v>
      </c>
      <c r="CC744" s="23"/>
      <c r="CD744" s="23"/>
      <c r="CE744" s="23"/>
      <c r="CF744" s="23"/>
      <c r="CG744" s="23"/>
      <c r="CH744" s="23"/>
      <c r="CI744" s="23"/>
    </row>
    <row r="745" spans="1:87" x14ac:dyDescent="0.3">
      <c r="A745" s="9" t="s">
        <v>6651</v>
      </c>
      <c r="B745" s="10" t="s">
        <v>6652</v>
      </c>
      <c r="C745" s="11">
        <v>46011.927083333336</v>
      </c>
      <c r="D745" s="12">
        <v>8.3333333333333329E-2</v>
      </c>
      <c r="E745" s="11">
        <v>46012.010416666664</v>
      </c>
      <c r="F745" s="10" t="s">
        <v>5001</v>
      </c>
      <c r="G745" s="13" t="b">
        <v>0</v>
      </c>
      <c r="H745" s="10" t="s">
        <v>3578</v>
      </c>
      <c r="I745" s="10" t="s">
        <v>89</v>
      </c>
      <c r="J745" s="13" t="b">
        <v>0</v>
      </c>
      <c r="K745" s="13" t="b">
        <v>1</v>
      </c>
      <c r="L745" s="10" t="s">
        <v>124</v>
      </c>
      <c r="M745" s="10" t="s">
        <v>91</v>
      </c>
      <c r="N745" s="10" t="s">
        <v>92</v>
      </c>
      <c r="O745" s="19" t="s">
        <v>6653</v>
      </c>
      <c r="P745" s="10"/>
      <c r="Q745" s="10" t="s">
        <v>126</v>
      </c>
      <c r="R745" s="10"/>
      <c r="S745" s="19" t="s">
        <v>6654</v>
      </c>
      <c r="T745" s="10"/>
      <c r="U745" s="10" t="s">
        <v>5032</v>
      </c>
      <c r="V745" s="10" t="s">
        <v>5055</v>
      </c>
      <c r="W745" s="10" t="s">
        <v>5007</v>
      </c>
      <c r="X745" s="10" t="s">
        <v>130</v>
      </c>
      <c r="Y745" s="10" t="s">
        <v>130</v>
      </c>
      <c r="Z745" s="10" t="s">
        <v>99</v>
      </c>
      <c r="AA745" s="10" t="s">
        <v>131</v>
      </c>
      <c r="AB745" s="10" t="s">
        <v>5008</v>
      </c>
      <c r="AC745" s="10" t="s">
        <v>5009</v>
      </c>
      <c r="AD745" s="10" t="s">
        <v>6655</v>
      </c>
      <c r="AE745" s="10" t="s">
        <v>6656</v>
      </c>
      <c r="AF745" s="15"/>
      <c r="AG745" s="10"/>
      <c r="AH745" s="10"/>
      <c r="AI745" s="10"/>
      <c r="AJ745" s="10" t="s">
        <v>6657</v>
      </c>
      <c r="AK745" s="10" t="s">
        <v>102</v>
      </c>
      <c r="AL745" s="10" t="s">
        <v>1988</v>
      </c>
      <c r="AM745" s="10"/>
      <c r="AN745" s="10"/>
      <c r="AO745" s="13" t="b">
        <v>0</v>
      </c>
      <c r="AP745" s="10" t="s">
        <v>104</v>
      </c>
      <c r="AQ745" s="10">
        <f ca="1">IFERROR(__xludf.DUMMYFUNCTION("""COMPUTED_VALUE"""),4783746)</f>
        <v>4783746</v>
      </c>
      <c r="AR745" s="17">
        <v>11049</v>
      </c>
      <c r="AS745" s="17">
        <v>9019</v>
      </c>
      <c r="AT745" s="17">
        <v>125146.25</v>
      </c>
      <c r="AU745" s="17">
        <v>31.55</v>
      </c>
      <c r="AV745" s="17">
        <v>9.25</v>
      </c>
      <c r="AW745" s="10" t="s">
        <v>105</v>
      </c>
      <c r="AX745" s="17">
        <v>2749</v>
      </c>
      <c r="AY745" s="18">
        <v>13.875845437409913</v>
      </c>
      <c r="AZ745" s="10" t="s">
        <v>106</v>
      </c>
      <c r="BA745" s="20" t="b">
        <v>0</v>
      </c>
      <c r="BB745" s="10"/>
      <c r="BC745" s="17">
        <v>11049</v>
      </c>
      <c r="BD745" s="17">
        <v>9019</v>
      </c>
      <c r="BE745" s="17">
        <v>125146.25</v>
      </c>
      <c r="BF745" s="17">
        <v>9.25</v>
      </c>
      <c r="BG745" s="11">
        <f ca="1">IFERROR(__xludf.DUMMYFUNCTION("""COMPUTED_VALUE"""),46011.9270833333)</f>
        <v>46011.927083333299</v>
      </c>
      <c r="BH745" s="17" t="s">
        <v>105</v>
      </c>
      <c r="BI745" s="17"/>
      <c r="BJ745" s="15"/>
      <c r="BK745" s="15"/>
      <c r="BL745" s="13" t="b">
        <v>0</v>
      </c>
      <c r="BM745" s="10"/>
      <c r="BN745" s="10" t="s">
        <v>106</v>
      </c>
      <c r="BO745" s="11">
        <v>45866.101388888892</v>
      </c>
      <c r="BP745" s="11">
        <v>46008.636747685188</v>
      </c>
      <c r="BQ745" s="15">
        <v>46009.521597222221</v>
      </c>
      <c r="BR745" s="15"/>
      <c r="BS745" s="10"/>
      <c r="BT745" s="10"/>
      <c r="BU745" s="10"/>
      <c r="BV745" s="10"/>
      <c r="BW745" s="10"/>
      <c r="BX745" s="10"/>
      <c r="BY745" s="23"/>
      <c r="BZ745" s="23"/>
      <c r="CA745" s="19" t="s">
        <v>6658</v>
      </c>
      <c r="CB745" s="19" t="s">
        <v>6659</v>
      </c>
      <c r="CC745" s="23"/>
      <c r="CD745" s="19" t="s">
        <v>6660</v>
      </c>
      <c r="CE745" s="23"/>
      <c r="CF745" s="23"/>
      <c r="CG745" s="23"/>
      <c r="CH745" s="23"/>
      <c r="CI745" s="23"/>
    </row>
    <row r="746" spans="1:87" x14ac:dyDescent="0.3">
      <c r="A746" s="9" t="s">
        <v>6661</v>
      </c>
      <c r="B746" s="10" t="s">
        <v>6662</v>
      </c>
      <c r="C746" s="11">
        <v>46026.833333333336</v>
      </c>
      <c r="D746" s="12">
        <v>8.3333333333333329E-2</v>
      </c>
      <c r="E746" s="11">
        <v>46026.916666666664</v>
      </c>
      <c r="F746" s="10" t="s">
        <v>5001</v>
      </c>
      <c r="G746" s="13" t="b">
        <v>0</v>
      </c>
      <c r="H746" s="10" t="s">
        <v>3578</v>
      </c>
      <c r="I746" s="10" t="s">
        <v>89</v>
      </c>
      <c r="J746" s="13" t="b">
        <v>0</v>
      </c>
      <c r="K746" s="13" t="b">
        <v>1</v>
      </c>
      <c r="L746" s="10" t="s">
        <v>124</v>
      </c>
      <c r="M746" s="10" t="s">
        <v>91</v>
      </c>
      <c r="N746" s="10" t="s">
        <v>92</v>
      </c>
      <c r="O746" s="19" t="s">
        <v>6663</v>
      </c>
      <c r="P746" s="10"/>
      <c r="Q746" s="10" t="s">
        <v>126</v>
      </c>
      <c r="R746" s="10"/>
      <c r="S746" s="19" t="s">
        <v>6664</v>
      </c>
      <c r="T746" s="10"/>
      <c r="U746" s="10" t="s">
        <v>5077</v>
      </c>
      <c r="V746" s="10" t="s">
        <v>5032</v>
      </c>
      <c r="W746" s="10" t="s">
        <v>5007</v>
      </c>
      <c r="X746" s="10" t="s">
        <v>130</v>
      </c>
      <c r="Y746" s="10" t="s">
        <v>130</v>
      </c>
      <c r="Z746" s="10" t="s">
        <v>99</v>
      </c>
      <c r="AA746" s="10" t="s">
        <v>131</v>
      </c>
      <c r="AB746" s="10" t="s">
        <v>5008</v>
      </c>
      <c r="AC746" s="10" t="s">
        <v>5009</v>
      </c>
      <c r="AD746" s="10" t="s">
        <v>6665</v>
      </c>
      <c r="AE746" s="10" t="s">
        <v>6666</v>
      </c>
      <c r="AF746" s="15"/>
      <c r="AG746" s="10"/>
      <c r="AH746" s="10"/>
      <c r="AI746" s="10"/>
      <c r="AJ746" s="10" t="s">
        <v>6667</v>
      </c>
      <c r="AK746" s="10" t="s">
        <v>102</v>
      </c>
      <c r="AL746" s="10" t="s">
        <v>2098</v>
      </c>
      <c r="AM746" s="10"/>
      <c r="AN746" s="10"/>
      <c r="AO746" s="13" t="b">
        <v>0</v>
      </c>
      <c r="AP746" s="10" t="s">
        <v>104</v>
      </c>
      <c r="AQ746" s="10">
        <f ca="1">IFERROR(__xludf.DUMMYFUNCTION("""COMPUTED_VALUE"""),4819776)</f>
        <v>4819776</v>
      </c>
      <c r="AR746" s="17">
        <v>28163</v>
      </c>
      <c r="AS746" s="17">
        <v>21203</v>
      </c>
      <c r="AT746" s="17">
        <v>406801.25</v>
      </c>
      <c r="AU746" s="17">
        <v>217.5</v>
      </c>
      <c r="AV746" s="17">
        <v>58.5</v>
      </c>
      <c r="AW746" s="10" t="s">
        <v>105</v>
      </c>
      <c r="AX746" s="17">
        <v>6844</v>
      </c>
      <c r="AY746" s="18">
        <v>19.186023204263549</v>
      </c>
      <c r="AZ746" s="10" t="s">
        <v>136</v>
      </c>
      <c r="BA746" s="20" t="b">
        <v>0</v>
      </c>
      <c r="BB746" s="10"/>
      <c r="BC746" s="17">
        <v>28163</v>
      </c>
      <c r="BD746" s="17">
        <v>21203</v>
      </c>
      <c r="BE746" s="17">
        <v>406801.25</v>
      </c>
      <c r="BF746" s="17">
        <v>58.5</v>
      </c>
      <c r="BG746" s="11">
        <f ca="1">IFERROR(__xludf.DUMMYFUNCTION("""COMPUTED_VALUE"""),46026.8333333333)</f>
        <v>46026.833333333299</v>
      </c>
      <c r="BH746" s="17" t="s">
        <v>105</v>
      </c>
      <c r="BI746" s="17"/>
      <c r="BJ746" s="15"/>
      <c r="BK746" s="15"/>
      <c r="BL746" s="13" t="b">
        <v>0</v>
      </c>
      <c r="BM746" s="10"/>
      <c r="BN746" s="10" t="s">
        <v>1149</v>
      </c>
      <c r="BO746" s="11">
        <v>45866.101388888892</v>
      </c>
      <c r="BP746" s="11">
        <v>46014.701064814813</v>
      </c>
      <c r="BQ746" s="15">
        <v>46019.914375</v>
      </c>
      <c r="BR746" s="15">
        <v>46022.409120370372</v>
      </c>
      <c r="BS746" s="10" t="s">
        <v>1149</v>
      </c>
      <c r="BT746" s="10"/>
      <c r="BU746" s="10"/>
      <c r="BV746" s="10"/>
      <c r="BW746" s="10"/>
      <c r="BX746" s="10"/>
      <c r="BY746" s="23"/>
      <c r="BZ746" s="23"/>
      <c r="CA746" s="19" t="s">
        <v>6668</v>
      </c>
      <c r="CB746" s="19" t="s">
        <v>6669</v>
      </c>
      <c r="CC746" s="23"/>
      <c r="CD746" s="19" t="s">
        <v>6670</v>
      </c>
      <c r="CE746" s="23"/>
      <c r="CF746" s="23"/>
      <c r="CG746" s="23"/>
      <c r="CH746" s="23"/>
      <c r="CI746" s="23"/>
    </row>
    <row r="747" spans="1:87" x14ac:dyDescent="0.3">
      <c r="A747" s="9" t="s">
        <v>6671</v>
      </c>
      <c r="B747" s="10" t="s">
        <v>6672</v>
      </c>
      <c r="C747" s="11">
        <v>46026.927083333336</v>
      </c>
      <c r="D747" s="12">
        <v>8.3333333333333329E-2</v>
      </c>
      <c r="E747" s="11">
        <v>46027.010416666664</v>
      </c>
      <c r="F747" s="10" t="s">
        <v>5001</v>
      </c>
      <c r="G747" s="13" t="b">
        <v>0</v>
      </c>
      <c r="H747" s="10" t="s">
        <v>3578</v>
      </c>
      <c r="I747" s="10" t="s">
        <v>89</v>
      </c>
      <c r="J747" s="13" t="b">
        <v>0</v>
      </c>
      <c r="K747" s="13" t="b">
        <v>1</v>
      </c>
      <c r="L747" s="10" t="s">
        <v>124</v>
      </c>
      <c r="M747" s="10" t="s">
        <v>91</v>
      </c>
      <c r="N747" s="10" t="s">
        <v>92</v>
      </c>
      <c r="O747" s="19" t="s">
        <v>6673</v>
      </c>
      <c r="P747" s="10"/>
      <c r="Q747" s="10" t="s">
        <v>126</v>
      </c>
      <c r="R747" s="10"/>
      <c r="S747" s="19" t="s">
        <v>6674</v>
      </c>
      <c r="T747" s="10"/>
      <c r="U747" s="10" t="s">
        <v>5113</v>
      </c>
      <c r="V747" s="10" t="s">
        <v>5102</v>
      </c>
      <c r="W747" s="10" t="s">
        <v>5007</v>
      </c>
      <c r="X747" s="10" t="s">
        <v>130</v>
      </c>
      <c r="Y747" s="10" t="s">
        <v>130</v>
      </c>
      <c r="Z747" s="10" t="s">
        <v>99</v>
      </c>
      <c r="AA747" s="10" t="s">
        <v>131</v>
      </c>
      <c r="AB747" s="10" t="s">
        <v>5008</v>
      </c>
      <c r="AC747" s="10" t="s">
        <v>5009</v>
      </c>
      <c r="AD747" s="10" t="s">
        <v>6675</v>
      </c>
      <c r="AE747" s="10" t="s">
        <v>6676</v>
      </c>
      <c r="AF747" s="15"/>
      <c r="AG747" s="10"/>
      <c r="AH747" s="10"/>
      <c r="AI747" s="10"/>
      <c r="AJ747" s="10" t="s">
        <v>6677</v>
      </c>
      <c r="AK747" s="10" t="s">
        <v>102</v>
      </c>
      <c r="AL747" s="10" t="s">
        <v>2098</v>
      </c>
      <c r="AM747" s="10"/>
      <c r="AN747" s="10"/>
      <c r="AO747" s="13" t="b">
        <v>1</v>
      </c>
      <c r="AP747" s="10" t="s">
        <v>104</v>
      </c>
      <c r="AQ747" s="10">
        <f ca="1">IFERROR(__xludf.DUMMYFUNCTION("""COMPUTED_VALUE"""),4819775)</f>
        <v>4819775</v>
      </c>
      <c r="AR747" s="17">
        <v>164698</v>
      </c>
      <c r="AS747" s="17">
        <v>107453</v>
      </c>
      <c r="AT747" s="17">
        <v>3309467</v>
      </c>
      <c r="AU747" s="17">
        <v>2999.85</v>
      </c>
      <c r="AV747" s="17">
        <v>655.95</v>
      </c>
      <c r="AW747" s="10" t="s">
        <v>105</v>
      </c>
      <c r="AX747" s="17">
        <v>49445</v>
      </c>
      <c r="AY747" s="18">
        <v>30.799205233916222</v>
      </c>
      <c r="AZ747" s="10" t="s">
        <v>136</v>
      </c>
      <c r="BA747" s="20" t="b">
        <v>0</v>
      </c>
      <c r="BB747" s="10"/>
      <c r="BC747" s="17">
        <v>164698</v>
      </c>
      <c r="BD747" s="17">
        <v>107453</v>
      </c>
      <c r="BE747" s="17">
        <v>3309467</v>
      </c>
      <c r="BF747" s="17">
        <v>655.95</v>
      </c>
      <c r="BG747" s="11">
        <f ca="1">IFERROR(__xludf.DUMMYFUNCTION("""COMPUTED_VALUE"""),46026.9270833333)</f>
        <v>46026.927083333299</v>
      </c>
      <c r="BH747" s="17" t="s">
        <v>105</v>
      </c>
      <c r="BI747" s="17"/>
      <c r="BJ747" s="15"/>
      <c r="BK747" s="15"/>
      <c r="BL747" s="13" t="b">
        <v>0</v>
      </c>
      <c r="BM747" s="10"/>
      <c r="BN747" s="10" t="s">
        <v>667</v>
      </c>
      <c r="BO747" s="11">
        <v>45866.101388888892</v>
      </c>
      <c r="BP747" s="11">
        <v>46014.702256944445</v>
      </c>
      <c r="BQ747" s="15">
        <v>46019.910717592589</v>
      </c>
      <c r="BR747" s="15">
        <v>46022.409236111111</v>
      </c>
      <c r="BS747" s="10" t="s">
        <v>667</v>
      </c>
      <c r="BT747" s="10" t="s">
        <v>99</v>
      </c>
      <c r="BU747" s="10" t="s">
        <v>942</v>
      </c>
      <c r="BV747" s="10" t="s">
        <v>281</v>
      </c>
      <c r="BW747" s="10" t="s">
        <v>282</v>
      </c>
      <c r="BX747" s="10"/>
      <c r="BY747" s="23"/>
      <c r="BZ747" s="23"/>
      <c r="CA747" s="19" t="s">
        <v>6678</v>
      </c>
      <c r="CB747" s="19" t="s">
        <v>6679</v>
      </c>
      <c r="CC747" s="23"/>
      <c r="CD747" s="19" t="s">
        <v>6680</v>
      </c>
      <c r="CE747" s="23"/>
      <c r="CF747" s="23"/>
      <c r="CG747" s="23"/>
      <c r="CH747" s="23"/>
      <c r="CI747" s="23"/>
    </row>
    <row r="748" spans="1:87" x14ac:dyDescent="0.3">
      <c r="A748" s="9" t="s">
        <v>6681</v>
      </c>
      <c r="B748" s="10" t="s">
        <v>6682</v>
      </c>
      <c r="C748" s="11">
        <v>46025.125</v>
      </c>
      <c r="D748" s="12">
        <v>8.3333333333333329E-2</v>
      </c>
      <c r="E748" s="11">
        <v>46025.208333333336</v>
      </c>
      <c r="F748" s="10" t="s">
        <v>5001</v>
      </c>
      <c r="G748" s="13" t="b">
        <v>0</v>
      </c>
      <c r="H748" s="10" t="s">
        <v>3578</v>
      </c>
      <c r="I748" s="10" t="s">
        <v>89</v>
      </c>
      <c r="J748" s="13" t="b">
        <v>0</v>
      </c>
      <c r="K748" s="13" t="b">
        <v>1</v>
      </c>
      <c r="L748" s="10" t="s">
        <v>124</v>
      </c>
      <c r="M748" s="10" t="s">
        <v>91</v>
      </c>
      <c r="N748" s="10" t="s">
        <v>92</v>
      </c>
      <c r="O748" s="19" t="s">
        <v>6683</v>
      </c>
      <c r="P748" s="10"/>
      <c r="Q748" s="10" t="s">
        <v>94</v>
      </c>
      <c r="R748" s="10"/>
      <c r="S748" s="10"/>
      <c r="T748" s="10"/>
      <c r="U748" s="10" t="s">
        <v>5006</v>
      </c>
      <c r="V748" s="10" t="s">
        <v>5067</v>
      </c>
      <c r="W748" s="10" t="s">
        <v>5007</v>
      </c>
      <c r="X748" s="10" t="s">
        <v>130</v>
      </c>
      <c r="Y748" s="10" t="s">
        <v>130</v>
      </c>
      <c r="Z748" s="10" t="s">
        <v>99</v>
      </c>
      <c r="AA748" s="10" t="s">
        <v>131</v>
      </c>
      <c r="AB748" s="10" t="s">
        <v>5008</v>
      </c>
      <c r="AC748" s="10" t="s">
        <v>5009</v>
      </c>
      <c r="AD748" s="10" t="s">
        <v>6684</v>
      </c>
      <c r="AE748" s="10" t="s">
        <v>6685</v>
      </c>
      <c r="AF748" s="15"/>
      <c r="AG748" s="10"/>
      <c r="AH748" s="10"/>
      <c r="AI748" s="10"/>
      <c r="AJ748" s="10"/>
      <c r="AK748" s="10" t="s">
        <v>102</v>
      </c>
      <c r="AL748" s="10" t="s">
        <v>2098</v>
      </c>
      <c r="AM748" s="10"/>
      <c r="AN748" s="10"/>
      <c r="AO748" s="13" t="b">
        <v>0</v>
      </c>
      <c r="AP748" s="10" t="s">
        <v>104</v>
      </c>
      <c r="AQ748" s="10">
        <f ca="1">IFERROR(__xludf.DUMMYFUNCTION("""COMPUTED_VALUE"""),4819764)</f>
        <v>4819764</v>
      </c>
      <c r="AR748" s="17">
        <v>4067</v>
      </c>
      <c r="AS748" s="17">
        <v>3063</v>
      </c>
      <c r="AT748" s="17">
        <v>78693.75</v>
      </c>
      <c r="AU748" s="17">
        <v>8.9</v>
      </c>
      <c r="AV748" s="17">
        <v>1.4</v>
      </c>
      <c r="AW748" s="10" t="s">
        <v>105</v>
      </c>
      <c r="AX748" s="17">
        <v>1240</v>
      </c>
      <c r="AY748" s="18">
        <v>25.691723800195888</v>
      </c>
      <c r="AZ748" s="10"/>
      <c r="BA748" s="20" t="b">
        <v>0</v>
      </c>
      <c r="BB748" s="10"/>
      <c r="BC748" s="17">
        <v>4067</v>
      </c>
      <c r="BD748" s="17">
        <v>3063</v>
      </c>
      <c r="BE748" s="17">
        <v>78693.75</v>
      </c>
      <c r="BF748" s="17">
        <v>1.4</v>
      </c>
      <c r="BG748" s="11">
        <f ca="1">IFERROR(__xludf.DUMMYFUNCTION("""COMPUTED_VALUE"""),46025.125)</f>
        <v>46025.125</v>
      </c>
      <c r="BH748" s="17" t="s">
        <v>105</v>
      </c>
      <c r="BI748" s="17"/>
      <c r="BJ748" s="15"/>
      <c r="BK748" s="15"/>
      <c r="BL748" s="13" t="b">
        <v>0</v>
      </c>
      <c r="BM748" s="10"/>
      <c r="BN748" s="10" t="s">
        <v>118</v>
      </c>
      <c r="BO748" s="11">
        <v>45866.101388888892</v>
      </c>
      <c r="BP748" s="11">
        <v>46001.726875</v>
      </c>
      <c r="BQ748" s="15"/>
      <c r="BR748" s="15">
        <v>46022.398032407407</v>
      </c>
      <c r="BS748" s="10" t="s">
        <v>118</v>
      </c>
      <c r="BT748" s="10"/>
      <c r="BU748" s="10"/>
      <c r="BV748" s="10"/>
      <c r="BW748" s="10"/>
      <c r="BX748" s="10"/>
      <c r="BY748" s="23"/>
      <c r="BZ748" s="23"/>
      <c r="CA748" s="19" t="s">
        <v>6686</v>
      </c>
      <c r="CB748" s="19" t="s">
        <v>6687</v>
      </c>
      <c r="CC748" s="23"/>
      <c r="CD748" s="23"/>
      <c r="CE748" s="23"/>
      <c r="CF748" s="23"/>
      <c r="CG748" s="23"/>
      <c r="CH748" s="23"/>
      <c r="CI748" s="23"/>
    </row>
    <row r="749" spans="1:87" x14ac:dyDescent="0.3">
      <c r="A749" s="9" t="s">
        <v>6688</v>
      </c>
      <c r="B749" s="10" t="s">
        <v>6689</v>
      </c>
      <c r="C749" s="11">
        <v>46026.020833333336</v>
      </c>
      <c r="D749" s="12">
        <v>8.3333333333333329E-2</v>
      </c>
      <c r="E749" s="11">
        <v>46026.104166666664</v>
      </c>
      <c r="F749" s="10" t="s">
        <v>5001</v>
      </c>
      <c r="G749" s="13" t="b">
        <v>0</v>
      </c>
      <c r="H749" s="10" t="s">
        <v>3578</v>
      </c>
      <c r="I749" s="10" t="s">
        <v>89</v>
      </c>
      <c r="J749" s="13" t="b">
        <v>0</v>
      </c>
      <c r="K749" s="13" t="b">
        <v>1</v>
      </c>
      <c r="L749" s="10" t="s">
        <v>124</v>
      </c>
      <c r="M749" s="10" t="s">
        <v>91</v>
      </c>
      <c r="N749" s="10" t="s">
        <v>92</v>
      </c>
      <c r="O749" s="19" t="s">
        <v>6690</v>
      </c>
      <c r="P749" s="10"/>
      <c r="Q749" s="10" t="s">
        <v>126</v>
      </c>
      <c r="R749" s="10"/>
      <c r="S749" s="19" t="s">
        <v>6691</v>
      </c>
      <c r="T749" s="10"/>
      <c r="U749" s="10" t="s">
        <v>5101</v>
      </c>
      <c r="V749" s="10" t="s">
        <v>5018</v>
      </c>
      <c r="W749" s="10" t="s">
        <v>5007</v>
      </c>
      <c r="X749" s="10" t="s">
        <v>130</v>
      </c>
      <c r="Y749" s="10" t="s">
        <v>130</v>
      </c>
      <c r="Z749" s="10" t="s">
        <v>99</v>
      </c>
      <c r="AA749" s="10" t="s">
        <v>131</v>
      </c>
      <c r="AB749" s="10" t="s">
        <v>5008</v>
      </c>
      <c r="AC749" s="10" t="s">
        <v>5009</v>
      </c>
      <c r="AD749" s="10" t="s">
        <v>6692</v>
      </c>
      <c r="AE749" s="10" t="s">
        <v>6693</v>
      </c>
      <c r="AF749" s="15"/>
      <c r="AG749" s="10"/>
      <c r="AH749" s="10"/>
      <c r="AI749" s="10"/>
      <c r="AJ749" s="10" t="s">
        <v>6694</v>
      </c>
      <c r="AK749" s="10" t="s">
        <v>102</v>
      </c>
      <c r="AL749" s="10" t="s">
        <v>2098</v>
      </c>
      <c r="AM749" s="10"/>
      <c r="AN749" s="10"/>
      <c r="AO749" s="13" t="b">
        <v>0</v>
      </c>
      <c r="AP749" s="10" t="s">
        <v>104</v>
      </c>
      <c r="AQ749" s="10">
        <f ca="1">IFERROR(__xludf.DUMMYFUNCTION("""COMPUTED_VALUE"""),4819773)</f>
        <v>4819773</v>
      </c>
      <c r="AR749" s="17">
        <v>8172</v>
      </c>
      <c r="AS749" s="17">
        <v>6126</v>
      </c>
      <c r="AT749" s="17">
        <v>150152.5</v>
      </c>
      <c r="AU749" s="17">
        <v>31.95</v>
      </c>
      <c r="AV749" s="17">
        <v>8.3000000000000007</v>
      </c>
      <c r="AW749" s="10" t="s">
        <v>105</v>
      </c>
      <c r="AX749" s="17">
        <v>2039</v>
      </c>
      <c r="AY749" s="18">
        <v>24.510692131896832</v>
      </c>
      <c r="AZ749" s="10" t="s">
        <v>136</v>
      </c>
      <c r="BA749" s="20" t="b">
        <v>0</v>
      </c>
      <c r="BB749" s="10"/>
      <c r="BC749" s="17">
        <v>8172</v>
      </c>
      <c r="BD749" s="17">
        <v>6126</v>
      </c>
      <c r="BE749" s="17">
        <v>150152.5</v>
      </c>
      <c r="BF749" s="17">
        <v>8.3000000000000007</v>
      </c>
      <c r="BG749" s="11">
        <f ca="1">IFERROR(__xludf.DUMMYFUNCTION("""COMPUTED_VALUE"""),46026.0208333333)</f>
        <v>46026.020833333299</v>
      </c>
      <c r="BH749" s="17" t="s">
        <v>105</v>
      </c>
      <c r="BI749" s="17"/>
      <c r="BJ749" s="15"/>
      <c r="BK749" s="15"/>
      <c r="BL749" s="13" t="b">
        <v>0</v>
      </c>
      <c r="BM749" s="10"/>
      <c r="BN749" s="10" t="s">
        <v>1149</v>
      </c>
      <c r="BO749" s="11">
        <v>45866.101388888892</v>
      </c>
      <c r="BP749" s="11">
        <v>46014.698368055557</v>
      </c>
      <c r="BQ749" s="15">
        <v>46019.907754629632</v>
      </c>
      <c r="BR749" s="15">
        <v>46022.407129629632</v>
      </c>
      <c r="BS749" s="10" t="s">
        <v>1149</v>
      </c>
      <c r="BT749" s="10"/>
      <c r="BU749" s="10"/>
      <c r="BV749" s="10"/>
      <c r="BW749" s="10"/>
      <c r="BX749" s="10"/>
      <c r="BY749" s="23"/>
      <c r="BZ749" s="23"/>
      <c r="CA749" s="19" t="s">
        <v>6695</v>
      </c>
      <c r="CB749" s="19" t="s">
        <v>6696</v>
      </c>
      <c r="CC749" s="23"/>
      <c r="CD749" s="19" t="s">
        <v>6697</v>
      </c>
      <c r="CE749" s="23"/>
      <c r="CF749" s="23"/>
      <c r="CG749" s="23"/>
      <c r="CH749" s="23"/>
      <c r="CI749" s="23"/>
    </row>
    <row r="750" spans="1:87" x14ac:dyDescent="0.3">
      <c r="A750" s="9" t="s">
        <v>6698</v>
      </c>
      <c r="B750" s="10" t="s">
        <v>6699</v>
      </c>
      <c r="C750" s="11">
        <v>46027.020833333336</v>
      </c>
      <c r="D750" s="12">
        <v>8.3333333333333329E-2</v>
      </c>
      <c r="E750" s="11">
        <v>46027.104166666664</v>
      </c>
      <c r="F750" s="10" t="s">
        <v>5001</v>
      </c>
      <c r="G750" s="13" t="b">
        <v>0</v>
      </c>
      <c r="H750" s="10" t="s">
        <v>6271</v>
      </c>
      <c r="I750" s="10" t="s">
        <v>89</v>
      </c>
      <c r="J750" s="13" t="b">
        <v>0</v>
      </c>
      <c r="K750" s="13" t="b">
        <v>1</v>
      </c>
      <c r="L750" s="10" t="s">
        <v>124</v>
      </c>
      <c r="M750" s="10" t="s">
        <v>91</v>
      </c>
      <c r="N750" s="10" t="s">
        <v>92</v>
      </c>
      <c r="O750" s="19" t="s">
        <v>6700</v>
      </c>
      <c r="P750" s="10"/>
      <c r="Q750" s="10" t="s">
        <v>94</v>
      </c>
      <c r="R750" s="10"/>
      <c r="S750" s="10"/>
      <c r="T750" s="10"/>
      <c r="U750" s="10" t="s">
        <v>5031</v>
      </c>
      <c r="V750" s="10" t="s">
        <v>5019</v>
      </c>
      <c r="W750" s="10" t="s">
        <v>5007</v>
      </c>
      <c r="X750" s="10" t="s">
        <v>130</v>
      </c>
      <c r="Y750" s="10" t="s">
        <v>130</v>
      </c>
      <c r="Z750" s="10" t="s">
        <v>99</v>
      </c>
      <c r="AA750" s="10" t="s">
        <v>131</v>
      </c>
      <c r="AB750" s="10" t="s">
        <v>5008</v>
      </c>
      <c r="AC750" s="10" t="s">
        <v>5009</v>
      </c>
      <c r="AD750" s="10" t="s">
        <v>6701</v>
      </c>
      <c r="AE750" s="10" t="s">
        <v>6702</v>
      </c>
      <c r="AF750" s="15"/>
      <c r="AG750" s="10"/>
      <c r="AH750" s="10"/>
      <c r="AI750" s="10"/>
      <c r="AJ750" s="10"/>
      <c r="AK750" s="10" t="s">
        <v>102</v>
      </c>
      <c r="AL750" s="10" t="s">
        <v>2098</v>
      </c>
      <c r="AM750" s="10"/>
      <c r="AN750" s="10"/>
      <c r="AO750" s="13" t="b">
        <v>0</v>
      </c>
      <c r="AP750" s="10" t="s">
        <v>104</v>
      </c>
      <c r="AQ750" s="10">
        <f ca="1">IFERROR(__xludf.DUMMYFUNCTION("""COMPUTED_VALUE"""),4827317)</f>
        <v>4827317</v>
      </c>
      <c r="AR750" s="17">
        <v>2014</v>
      </c>
      <c r="AS750" s="17">
        <v>1443</v>
      </c>
      <c r="AT750" s="17">
        <v>26871.25</v>
      </c>
      <c r="AU750" s="17">
        <v>0.85</v>
      </c>
      <c r="AV750" s="17">
        <v>0</v>
      </c>
      <c r="AW750" s="10" t="s">
        <v>105</v>
      </c>
      <c r="AX750" s="17">
        <v>438</v>
      </c>
      <c r="AY750" s="18">
        <v>18.621794871794872</v>
      </c>
      <c r="AZ750" s="10"/>
      <c r="BA750" s="20" t="b">
        <v>0</v>
      </c>
      <c r="BB750" s="10"/>
      <c r="BC750" s="17">
        <v>2014</v>
      </c>
      <c r="BD750" s="17">
        <v>1443</v>
      </c>
      <c r="BE750" s="17">
        <v>26871.25</v>
      </c>
      <c r="BF750" s="17">
        <v>0</v>
      </c>
      <c r="BG750" s="11">
        <f ca="1">IFERROR(__xludf.DUMMYFUNCTION("""COMPUTED_VALUE"""),46027.0208333333)</f>
        <v>46027.020833333299</v>
      </c>
      <c r="BH750" s="17" t="s">
        <v>105</v>
      </c>
      <c r="BI750" s="17"/>
      <c r="BJ750" s="15"/>
      <c r="BK750" s="15"/>
      <c r="BL750" s="13" t="b">
        <v>0</v>
      </c>
      <c r="BM750" s="10"/>
      <c r="BN750" s="10" t="s">
        <v>149</v>
      </c>
      <c r="BO750" s="11">
        <v>45866.101388888892</v>
      </c>
      <c r="BP750" s="11">
        <v>46014.63140046296</v>
      </c>
      <c r="BQ750" s="15"/>
      <c r="BR750" s="15">
        <v>46025.60732638889</v>
      </c>
      <c r="BS750" s="10" t="s">
        <v>149</v>
      </c>
      <c r="BT750" s="10"/>
      <c r="BU750" s="10"/>
      <c r="BV750" s="10"/>
      <c r="BW750" s="10"/>
      <c r="BX750" s="10"/>
      <c r="BY750" s="23"/>
      <c r="BZ750" s="23"/>
      <c r="CA750" s="19" t="s">
        <v>6703</v>
      </c>
      <c r="CB750" s="19" t="s">
        <v>6704</v>
      </c>
      <c r="CC750" s="23"/>
      <c r="CD750" s="23"/>
      <c r="CE750" s="23"/>
      <c r="CF750" s="23"/>
      <c r="CG750" s="23"/>
      <c r="CH750" s="23"/>
      <c r="CI750" s="23"/>
    </row>
    <row r="751" spans="1:87" x14ac:dyDescent="0.3">
      <c r="A751" s="9" t="s">
        <v>6705</v>
      </c>
      <c r="B751" s="10" t="s">
        <v>6706</v>
      </c>
      <c r="C751" s="11">
        <v>46025.927083333336</v>
      </c>
      <c r="D751" s="12">
        <v>8.3333333333333329E-2</v>
      </c>
      <c r="E751" s="11">
        <v>46026.010416666664</v>
      </c>
      <c r="F751" s="10" t="s">
        <v>5001</v>
      </c>
      <c r="G751" s="13" t="b">
        <v>0</v>
      </c>
      <c r="H751" s="10" t="s">
        <v>3578</v>
      </c>
      <c r="I751" s="10" t="s">
        <v>89</v>
      </c>
      <c r="J751" s="13" t="b">
        <v>0</v>
      </c>
      <c r="K751" s="13" t="b">
        <v>1</v>
      </c>
      <c r="L751" s="10" t="s">
        <v>124</v>
      </c>
      <c r="M751" s="10" t="s">
        <v>91</v>
      </c>
      <c r="N751" s="10" t="s">
        <v>92</v>
      </c>
      <c r="O751" s="19" t="s">
        <v>6707</v>
      </c>
      <c r="P751" s="10"/>
      <c r="Q751" s="10" t="s">
        <v>126</v>
      </c>
      <c r="R751" s="10"/>
      <c r="S751" s="19" t="s">
        <v>6708</v>
      </c>
      <c r="T751" s="10"/>
      <c r="U751" s="10" t="s">
        <v>5114</v>
      </c>
      <c r="V751" s="10" t="s">
        <v>5076</v>
      </c>
      <c r="W751" s="10" t="s">
        <v>5007</v>
      </c>
      <c r="X751" s="10" t="s">
        <v>130</v>
      </c>
      <c r="Y751" s="10" t="s">
        <v>130</v>
      </c>
      <c r="Z751" s="10" t="s">
        <v>99</v>
      </c>
      <c r="AA751" s="10" t="s">
        <v>131</v>
      </c>
      <c r="AB751" s="10" t="s">
        <v>5008</v>
      </c>
      <c r="AC751" s="10" t="s">
        <v>5009</v>
      </c>
      <c r="AD751" s="10" t="s">
        <v>6709</v>
      </c>
      <c r="AE751" s="10" t="s">
        <v>6710</v>
      </c>
      <c r="AF751" s="15"/>
      <c r="AG751" s="10"/>
      <c r="AH751" s="10"/>
      <c r="AI751" s="10"/>
      <c r="AJ751" s="10" t="s">
        <v>6711</v>
      </c>
      <c r="AK751" s="10" t="s">
        <v>102</v>
      </c>
      <c r="AL751" s="10" t="s">
        <v>2098</v>
      </c>
      <c r="AM751" s="10"/>
      <c r="AN751" s="10"/>
      <c r="AO751" s="13" t="b">
        <v>0</v>
      </c>
      <c r="AP751" s="10" t="s">
        <v>104</v>
      </c>
      <c r="AQ751" s="10">
        <f ca="1">IFERROR(__xludf.DUMMYFUNCTION("""COMPUTED_VALUE"""),4819771)</f>
        <v>4819771</v>
      </c>
      <c r="AR751" s="17">
        <v>13548</v>
      </c>
      <c r="AS751" s="17">
        <v>10417</v>
      </c>
      <c r="AT751" s="17">
        <v>145544.25</v>
      </c>
      <c r="AU751" s="17">
        <v>75.7</v>
      </c>
      <c r="AV751" s="17">
        <v>17.25</v>
      </c>
      <c r="AW751" s="10" t="s">
        <v>105</v>
      </c>
      <c r="AX751" s="17">
        <v>3333</v>
      </c>
      <c r="AY751" s="18">
        <v>13.971800902371124</v>
      </c>
      <c r="AZ751" s="10" t="s">
        <v>136</v>
      </c>
      <c r="BA751" s="20" t="b">
        <v>0</v>
      </c>
      <c r="BB751" s="10"/>
      <c r="BC751" s="17">
        <v>13548</v>
      </c>
      <c r="BD751" s="17">
        <v>10417</v>
      </c>
      <c r="BE751" s="17">
        <v>145544.25</v>
      </c>
      <c r="BF751" s="17">
        <v>17.25</v>
      </c>
      <c r="BG751" s="11">
        <f ca="1">IFERROR(__xludf.DUMMYFUNCTION("""COMPUTED_VALUE"""),46025.9270833333)</f>
        <v>46025.927083333299</v>
      </c>
      <c r="BH751" s="17" t="s">
        <v>105</v>
      </c>
      <c r="BI751" s="17"/>
      <c r="BJ751" s="15"/>
      <c r="BK751" s="15"/>
      <c r="BL751" s="13" t="b">
        <v>0</v>
      </c>
      <c r="BM751" s="10"/>
      <c r="BN751" s="10" t="s">
        <v>1149</v>
      </c>
      <c r="BO751" s="11">
        <v>45866.101388888892</v>
      </c>
      <c r="BP751" s="11">
        <v>46014.696828703702</v>
      </c>
      <c r="BQ751" s="15">
        <v>46019.907569444447</v>
      </c>
      <c r="BR751" s="15">
        <v>46022.407013888886</v>
      </c>
      <c r="BS751" s="10" t="s">
        <v>1149</v>
      </c>
      <c r="BT751" s="10"/>
      <c r="BU751" s="10"/>
      <c r="BV751" s="10"/>
      <c r="BW751" s="10"/>
      <c r="BX751" s="10"/>
      <c r="BY751" s="23"/>
      <c r="BZ751" s="23"/>
      <c r="CA751" s="19" t="s">
        <v>6712</v>
      </c>
      <c r="CB751" s="19" t="s">
        <v>6713</v>
      </c>
      <c r="CC751" s="23"/>
      <c r="CD751" s="19" t="s">
        <v>6714</v>
      </c>
      <c r="CE751" s="23"/>
      <c r="CF751" s="23"/>
      <c r="CG751" s="23"/>
      <c r="CH751" s="23"/>
      <c r="CI751" s="23"/>
    </row>
    <row r="752" spans="1:87" x14ac:dyDescent="0.3">
      <c r="A752" s="9" t="s">
        <v>6715</v>
      </c>
      <c r="B752" s="10" t="s">
        <v>6716</v>
      </c>
      <c r="C752" s="11">
        <v>46027.020833333336</v>
      </c>
      <c r="D752" s="12">
        <v>8.3333333333333329E-2</v>
      </c>
      <c r="E752" s="11">
        <v>46027.104166666664</v>
      </c>
      <c r="F752" s="10" t="s">
        <v>5001</v>
      </c>
      <c r="G752" s="13" t="b">
        <v>0</v>
      </c>
      <c r="H752" s="10" t="s">
        <v>3578</v>
      </c>
      <c r="I752" s="10" t="s">
        <v>89</v>
      </c>
      <c r="J752" s="13" t="b">
        <v>0</v>
      </c>
      <c r="K752" s="13" t="b">
        <v>1</v>
      </c>
      <c r="L752" s="10" t="s">
        <v>124</v>
      </c>
      <c r="M752" s="10" t="s">
        <v>91</v>
      </c>
      <c r="N752" s="10" t="s">
        <v>92</v>
      </c>
      <c r="O752" s="19" t="s">
        <v>6717</v>
      </c>
      <c r="P752" s="10"/>
      <c r="Q752" s="10" t="s">
        <v>126</v>
      </c>
      <c r="R752" s="10"/>
      <c r="S752" s="19" t="s">
        <v>6718</v>
      </c>
      <c r="T752" s="10"/>
      <c r="U752" s="10" t="s">
        <v>5041</v>
      </c>
      <c r="V752" s="10" t="s">
        <v>5005</v>
      </c>
      <c r="W752" s="10" t="s">
        <v>5007</v>
      </c>
      <c r="X752" s="10" t="s">
        <v>130</v>
      </c>
      <c r="Y752" s="10" t="s">
        <v>130</v>
      </c>
      <c r="Z752" s="10" t="s">
        <v>99</v>
      </c>
      <c r="AA752" s="10" t="s">
        <v>131</v>
      </c>
      <c r="AB752" s="10" t="s">
        <v>5008</v>
      </c>
      <c r="AC752" s="10" t="s">
        <v>5009</v>
      </c>
      <c r="AD752" s="10" t="s">
        <v>6719</v>
      </c>
      <c r="AE752" s="10" t="s">
        <v>6720</v>
      </c>
      <c r="AF752" s="15"/>
      <c r="AG752" s="10"/>
      <c r="AH752" s="10"/>
      <c r="AI752" s="10"/>
      <c r="AJ752" s="10" t="s">
        <v>6721</v>
      </c>
      <c r="AK752" s="10" t="s">
        <v>102</v>
      </c>
      <c r="AL752" s="10" t="s">
        <v>2098</v>
      </c>
      <c r="AM752" s="10"/>
      <c r="AN752" s="10"/>
      <c r="AO752" s="13" t="b">
        <v>0</v>
      </c>
      <c r="AP752" s="10" t="s">
        <v>104</v>
      </c>
      <c r="AQ752" s="10">
        <f ca="1">IFERROR(__xludf.DUMMYFUNCTION("""COMPUTED_VALUE"""),4827323)</f>
        <v>4827323</v>
      </c>
      <c r="AR752" s="17">
        <v>8385</v>
      </c>
      <c r="AS752" s="17">
        <v>6626</v>
      </c>
      <c r="AT752" s="17">
        <v>81930</v>
      </c>
      <c r="AU752" s="17">
        <v>3.05</v>
      </c>
      <c r="AV752" s="17">
        <v>1</v>
      </c>
      <c r="AW752" s="10" t="s">
        <v>105</v>
      </c>
      <c r="AX752" s="17">
        <v>38644</v>
      </c>
      <c r="AY752" s="18">
        <v>12.36492604889828</v>
      </c>
      <c r="AZ752" s="10" t="s">
        <v>136</v>
      </c>
      <c r="BA752" s="20" t="b">
        <v>0</v>
      </c>
      <c r="BB752" s="10"/>
      <c r="BC752" s="17">
        <v>8385</v>
      </c>
      <c r="BD752" s="17">
        <v>6626</v>
      </c>
      <c r="BE752" s="17">
        <v>81930</v>
      </c>
      <c r="BF752" s="17">
        <v>1</v>
      </c>
      <c r="BG752" s="11">
        <f ca="1">IFERROR(__xludf.DUMMYFUNCTION("""COMPUTED_VALUE"""),46027.0208333333)</f>
        <v>46027.020833333299</v>
      </c>
      <c r="BH752" s="17" t="s">
        <v>105</v>
      </c>
      <c r="BI752" s="17"/>
      <c r="BJ752" s="15"/>
      <c r="BK752" s="15"/>
      <c r="BL752" s="13" t="b">
        <v>0</v>
      </c>
      <c r="BM752" s="10"/>
      <c r="BN752" s="10" t="s">
        <v>149</v>
      </c>
      <c r="BO752" s="11">
        <v>45866.101388888892</v>
      </c>
      <c r="BP752" s="11">
        <v>46014.703460648147</v>
      </c>
      <c r="BQ752" s="15">
        <v>46019.910150462965</v>
      </c>
      <c r="BR752" s="15">
        <v>46025.692361111112</v>
      </c>
      <c r="BS752" s="10" t="s">
        <v>149</v>
      </c>
      <c r="BT752" s="10"/>
      <c r="BU752" s="10"/>
      <c r="BV752" s="10"/>
      <c r="BW752" s="10"/>
      <c r="BX752" s="10"/>
      <c r="BY752" s="23"/>
      <c r="BZ752" s="23"/>
      <c r="CA752" s="19" t="s">
        <v>6722</v>
      </c>
      <c r="CB752" s="19" t="s">
        <v>6723</v>
      </c>
      <c r="CC752" s="23"/>
      <c r="CD752" s="19" t="s">
        <v>6724</v>
      </c>
      <c r="CE752" s="23"/>
      <c r="CF752" s="23"/>
      <c r="CG752" s="23"/>
      <c r="CH752" s="23"/>
      <c r="CI752" s="23"/>
    </row>
    <row r="753" spans="1:87" x14ac:dyDescent="0.3">
      <c r="A753" s="9" t="s">
        <v>6725</v>
      </c>
      <c r="B753" s="10" t="s">
        <v>6726</v>
      </c>
      <c r="C753" s="11">
        <v>46027.125</v>
      </c>
      <c r="D753" s="12">
        <v>8.3333333333333329E-2</v>
      </c>
      <c r="E753" s="11">
        <v>46027.208333333336</v>
      </c>
      <c r="F753" s="10" t="s">
        <v>5001</v>
      </c>
      <c r="G753" s="13" t="b">
        <v>0</v>
      </c>
      <c r="H753" s="10" t="s">
        <v>3578</v>
      </c>
      <c r="I753" s="10" t="s">
        <v>89</v>
      </c>
      <c r="J753" s="13" t="b">
        <v>0</v>
      </c>
      <c r="K753" s="13" t="b">
        <v>1</v>
      </c>
      <c r="L753" s="10" t="s">
        <v>124</v>
      </c>
      <c r="M753" s="10" t="s">
        <v>91</v>
      </c>
      <c r="N753" s="10" t="s">
        <v>92</v>
      </c>
      <c r="O753" s="19" t="s">
        <v>6727</v>
      </c>
      <c r="P753" s="10"/>
      <c r="Q753" s="10" t="s">
        <v>126</v>
      </c>
      <c r="R753" s="10"/>
      <c r="S753" s="19" t="s">
        <v>6728</v>
      </c>
      <c r="T753" s="10"/>
      <c r="U753" s="10" t="s">
        <v>5055</v>
      </c>
      <c r="V753" s="10" t="s">
        <v>5090</v>
      </c>
      <c r="W753" s="10" t="s">
        <v>5007</v>
      </c>
      <c r="X753" s="10" t="s">
        <v>130</v>
      </c>
      <c r="Y753" s="10" t="s">
        <v>130</v>
      </c>
      <c r="Z753" s="10" t="s">
        <v>99</v>
      </c>
      <c r="AA753" s="10" t="s">
        <v>131</v>
      </c>
      <c r="AB753" s="10" t="s">
        <v>5008</v>
      </c>
      <c r="AC753" s="10" t="s">
        <v>5009</v>
      </c>
      <c r="AD753" s="10" t="s">
        <v>6729</v>
      </c>
      <c r="AE753" s="10" t="s">
        <v>6730</v>
      </c>
      <c r="AF753" s="15"/>
      <c r="AG753" s="10"/>
      <c r="AH753" s="10"/>
      <c r="AI753" s="10"/>
      <c r="AJ753" s="10" t="s">
        <v>6731</v>
      </c>
      <c r="AK753" s="10" t="s">
        <v>102</v>
      </c>
      <c r="AL753" s="10" t="s">
        <v>2098</v>
      </c>
      <c r="AM753" s="10"/>
      <c r="AN753" s="10"/>
      <c r="AO753" s="13" t="b">
        <v>0</v>
      </c>
      <c r="AP753" s="10" t="s">
        <v>104</v>
      </c>
      <c r="AQ753" s="10">
        <f ca="1">IFERROR(__xludf.DUMMYFUNCTION("""COMPUTED_VALUE"""),4827324)</f>
        <v>4827324</v>
      </c>
      <c r="AR753" s="17">
        <v>10729</v>
      </c>
      <c r="AS753" s="17">
        <v>8160</v>
      </c>
      <c r="AT753" s="17">
        <v>243972.75</v>
      </c>
      <c r="AU753" s="17">
        <v>24.05</v>
      </c>
      <c r="AV753" s="17">
        <v>5.4</v>
      </c>
      <c r="AW753" s="10" t="s">
        <v>105</v>
      </c>
      <c r="AX753" s="17">
        <v>4323</v>
      </c>
      <c r="AY753" s="18">
        <v>29.898621323529412</v>
      </c>
      <c r="AZ753" s="10" t="s">
        <v>136</v>
      </c>
      <c r="BA753" s="20" t="b">
        <v>0</v>
      </c>
      <c r="BB753" s="10"/>
      <c r="BC753" s="17">
        <v>10729</v>
      </c>
      <c r="BD753" s="17">
        <v>8160</v>
      </c>
      <c r="BE753" s="17">
        <v>243972.75</v>
      </c>
      <c r="BF753" s="17">
        <v>5.4</v>
      </c>
      <c r="BG753" s="11">
        <f ca="1">IFERROR(__xludf.DUMMYFUNCTION("""COMPUTED_VALUE"""),46027.125)</f>
        <v>46027.125</v>
      </c>
      <c r="BH753" s="17" t="s">
        <v>105</v>
      </c>
      <c r="BI753" s="17"/>
      <c r="BJ753" s="15"/>
      <c r="BK753" s="15"/>
      <c r="BL753" s="13" t="b">
        <v>0</v>
      </c>
      <c r="BM753" s="10"/>
      <c r="BN753" s="10" t="s">
        <v>278</v>
      </c>
      <c r="BO753" s="11">
        <v>45866.101388888892</v>
      </c>
      <c r="BP753" s="11">
        <v>46014.70453703704</v>
      </c>
      <c r="BQ753" s="15">
        <v>46019.910312499997</v>
      </c>
      <c r="BR753" s="15">
        <v>46025.692650462966</v>
      </c>
      <c r="BS753" s="10" t="s">
        <v>278</v>
      </c>
      <c r="BT753" s="10" t="s">
        <v>99</v>
      </c>
      <c r="BU753" s="10" t="s">
        <v>6732</v>
      </c>
      <c r="BV753" s="10"/>
      <c r="BW753" s="10"/>
      <c r="BX753" s="10"/>
      <c r="BY753" s="23"/>
      <c r="BZ753" s="23"/>
      <c r="CA753" s="19" t="s">
        <v>6733</v>
      </c>
      <c r="CB753" s="19" t="s">
        <v>6734</v>
      </c>
      <c r="CC753" s="23"/>
      <c r="CD753" s="19" t="s">
        <v>6735</v>
      </c>
      <c r="CE753" s="23"/>
      <c r="CF753" s="23"/>
      <c r="CG753" s="23"/>
      <c r="CH753" s="23"/>
      <c r="CI753" s="23"/>
    </row>
    <row r="754" spans="1:87" x14ac:dyDescent="0.3">
      <c r="A754" s="9" t="s">
        <v>6736</v>
      </c>
      <c r="B754" s="10" t="s">
        <v>6737</v>
      </c>
      <c r="C754" s="11">
        <v>46025.833333333336</v>
      </c>
      <c r="D754" s="12">
        <v>8.3333333333333329E-2</v>
      </c>
      <c r="E754" s="11">
        <v>46025.916666666664</v>
      </c>
      <c r="F754" s="10" t="s">
        <v>5001</v>
      </c>
      <c r="G754" s="13" t="b">
        <v>0</v>
      </c>
      <c r="H754" s="10" t="s">
        <v>3578</v>
      </c>
      <c r="I754" s="10" t="s">
        <v>89</v>
      </c>
      <c r="J754" s="13" t="b">
        <v>0</v>
      </c>
      <c r="K754" s="13" t="b">
        <v>1</v>
      </c>
      <c r="L754" s="10" t="s">
        <v>124</v>
      </c>
      <c r="M754" s="10" t="s">
        <v>91</v>
      </c>
      <c r="N754" s="10" t="s">
        <v>92</v>
      </c>
      <c r="O754" s="19" t="s">
        <v>6738</v>
      </c>
      <c r="P754" s="10"/>
      <c r="Q754" s="10" t="s">
        <v>126</v>
      </c>
      <c r="R754" s="10"/>
      <c r="S754" s="19" t="s">
        <v>6739</v>
      </c>
      <c r="T754" s="10"/>
      <c r="U754" s="10" t="s">
        <v>5066</v>
      </c>
      <c r="V754" s="10" t="s">
        <v>5054</v>
      </c>
      <c r="W754" s="10" t="s">
        <v>5007</v>
      </c>
      <c r="X754" s="10" t="s">
        <v>130</v>
      </c>
      <c r="Y754" s="10" t="s">
        <v>130</v>
      </c>
      <c r="Z754" s="10" t="s">
        <v>99</v>
      </c>
      <c r="AA754" s="10" t="s">
        <v>131</v>
      </c>
      <c r="AB754" s="10" t="s">
        <v>5008</v>
      </c>
      <c r="AC754" s="10" t="s">
        <v>5009</v>
      </c>
      <c r="AD754" s="10" t="s">
        <v>6740</v>
      </c>
      <c r="AE754" s="10" t="s">
        <v>6741</v>
      </c>
      <c r="AF754" s="15"/>
      <c r="AG754" s="10"/>
      <c r="AH754" s="10"/>
      <c r="AI754" s="10"/>
      <c r="AJ754" s="10" t="s">
        <v>6742</v>
      </c>
      <c r="AK754" s="10" t="s">
        <v>102</v>
      </c>
      <c r="AL754" s="10" t="s">
        <v>2098</v>
      </c>
      <c r="AM754" s="10"/>
      <c r="AN754" s="10"/>
      <c r="AO754" s="13" t="b">
        <v>0</v>
      </c>
      <c r="AP754" s="10" t="s">
        <v>104</v>
      </c>
      <c r="AQ754" s="10">
        <f ca="1">IFERROR(__xludf.DUMMYFUNCTION("""COMPUTED_VALUE"""),4819768)</f>
        <v>4819768</v>
      </c>
      <c r="AR754" s="17">
        <v>18278</v>
      </c>
      <c r="AS754" s="17">
        <v>13833</v>
      </c>
      <c r="AT754" s="17">
        <v>267819.75</v>
      </c>
      <c r="AU754" s="17">
        <v>139.69999999999999</v>
      </c>
      <c r="AV754" s="17">
        <v>17.649999999999999</v>
      </c>
      <c r="AW754" s="10" t="s">
        <v>105</v>
      </c>
      <c r="AX754" s="17">
        <v>4753</v>
      </c>
      <c r="AY754" s="18">
        <v>19.360930383864673</v>
      </c>
      <c r="AZ754" s="10" t="s">
        <v>136</v>
      </c>
      <c r="BA754" s="20" t="b">
        <v>0</v>
      </c>
      <c r="BB754" s="10"/>
      <c r="BC754" s="17">
        <v>18278</v>
      </c>
      <c r="BD754" s="17">
        <v>13833</v>
      </c>
      <c r="BE754" s="17">
        <v>267819.75</v>
      </c>
      <c r="BF754" s="17">
        <v>17.649999999999999</v>
      </c>
      <c r="BG754" s="11">
        <f ca="1">IFERROR(__xludf.DUMMYFUNCTION("""COMPUTED_VALUE"""),46025.8333333333)</f>
        <v>46025.833333333299</v>
      </c>
      <c r="BH754" s="17" t="s">
        <v>105</v>
      </c>
      <c r="BI754" s="17"/>
      <c r="BJ754" s="15"/>
      <c r="BK754" s="15"/>
      <c r="BL754" s="13" t="b">
        <v>0</v>
      </c>
      <c r="BM754" s="10"/>
      <c r="BN754" s="10" t="s">
        <v>118</v>
      </c>
      <c r="BO754" s="11">
        <v>45866.101388888892</v>
      </c>
      <c r="BP754" s="11">
        <v>46014.694641203707</v>
      </c>
      <c r="BQ754" s="15">
        <v>46019.907418981478</v>
      </c>
      <c r="BR754" s="15">
        <v>46022.400057870371</v>
      </c>
      <c r="BS754" s="10" t="s">
        <v>118</v>
      </c>
      <c r="BT754" s="10"/>
      <c r="BU754" s="10"/>
      <c r="BV754" s="10"/>
      <c r="BW754" s="10"/>
      <c r="BX754" s="10"/>
      <c r="BY754" s="23"/>
      <c r="BZ754" s="23"/>
      <c r="CA754" s="19" t="s">
        <v>6743</v>
      </c>
      <c r="CB754" s="19" t="s">
        <v>6744</v>
      </c>
      <c r="CC754" s="23"/>
      <c r="CD754" s="19" t="s">
        <v>6745</v>
      </c>
      <c r="CE754" s="23"/>
      <c r="CF754" s="23"/>
      <c r="CG754" s="23"/>
      <c r="CH754" s="23"/>
      <c r="CI754" s="23"/>
    </row>
    <row r="755" spans="1:87" x14ac:dyDescent="0.3">
      <c r="A755" s="9" t="s">
        <v>6746</v>
      </c>
      <c r="B755" s="10" t="s">
        <v>6747</v>
      </c>
      <c r="C755" s="11">
        <v>46026.125</v>
      </c>
      <c r="D755" s="12">
        <v>8.3333333333333329E-2</v>
      </c>
      <c r="E755" s="11">
        <v>46026.208333333336</v>
      </c>
      <c r="F755" s="10" t="s">
        <v>5001</v>
      </c>
      <c r="G755" s="13" t="b">
        <v>0</v>
      </c>
      <c r="H755" s="10" t="s">
        <v>3578</v>
      </c>
      <c r="I755" s="10" t="s">
        <v>89</v>
      </c>
      <c r="J755" s="13" t="b">
        <v>0</v>
      </c>
      <c r="K755" s="13" t="b">
        <v>1</v>
      </c>
      <c r="L755" s="10" t="s">
        <v>124</v>
      </c>
      <c r="M755" s="10" t="s">
        <v>91</v>
      </c>
      <c r="N755" s="10" t="s">
        <v>92</v>
      </c>
      <c r="O755" s="19" t="s">
        <v>6748</v>
      </c>
      <c r="P755" s="10"/>
      <c r="Q755" s="10" t="s">
        <v>126</v>
      </c>
      <c r="R755" s="10"/>
      <c r="S755" s="19" t="s">
        <v>6749</v>
      </c>
      <c r="T755" s="10"/>
      <c r="U755" s="10" t="s">
        <v>5089</v>
      </c>
      <c r="V755" s="10" t="s">
        <v>5042</v>
      </c>
      <c r="W755" s="10" t="s">
        <v>5007</v>
      </c>
      <c r="X755" s="10" t="s">
        <v>130</v>
      </c>
      <c r="Y755" s="10" t="s">
        <v>130</v>
      </c>
      <c r="Z755" s="10" t="s">
        <v>99</v>
      </c>
      <c r="AA755" s="10" t="s">
        <v>131</v>
      </c>
      <c r="AB755" s="10" t="s">
        <v>5008</v>
      </c>
      <c r="AC755" s="10" t="s">
        <v>5009</v>
      </c>
      <c r="AD755" s="10" t="s">
        <v>6750</v>
      </c>
      <c r="AE755" s="10" t="s">
        <v>6751</v>
      </c>
      <c r="AF755" s="15"/>
      <c r="AG755" s="10"/>
      <c r="AH755" s="10"/>
      <c r="AI755" s="10"/>
      <c r="AJ755" s="10" t="s">
        <v>6752</v>
      </c>
      <c r="AK755" s="10" t="s">
        <v>102</v>
      </c>
      <c r="AL755" s="10" t="s">
        <v>2098</v>
      </c>
      <c r="AM755" s="10"/>
      <c r="AN755" s="10"/>
      <c r="AO755" s="13" t="b">
        <v>1</v>
      </c>
      <c r="AP755" s="10" t="s">
        <v>104</v>
      </c>
      <c r="AQ755" s="10">
        <f ca="1">IFERROR(__xludf.DUMMYFUNCTION("""COMPUTED_VALUE"""),4819774)</f>
        <v>4819774</v>
      </c>
      <c r="AR755" s="17">
        <v>77968</v>
      </c>
      <c r="AS755" s="17">
        <v>51348</v>
      </c>
      <c r="AT755" s="17">
        <v>2886250.25</v>
      </c>
      <c r="AU755" s="17">
        <v>1448.3</v>
      </c>
      <c r="AV755" s="17">
        <v>177.4</v>
      </c>
      <c r="AW755" s="10" t="s">
        <v>105</v>
      </c>
      <c r="AX755" s="17">
        <v>32212</v>
      </c>
      <c r="AY755" s="18">
        <v>56.209594336683026</v>
      </c>
      <c r="AZ755" s="10" t="s">
        <v>136</v>
      </c>
      <c r="BA755" s="20" t="b">
        <v>0</v>
      </c>
      <c r="BB755" s="10"/>
      <c r="BC755" s="17">
        <v>77968</v>
      </c>
      <c r="BD755" s="17">
        <v>51348</v>
      </c>
      <c r="BE755" s="17">
        <v>2886250.25</v>
      </c>
      <c r="BF755" s="17">
        <v>177.4</v>
      </c>
      <c r="BG755" s="11">
        <f ca="1">IFERROR(__xludf.DUMMYFUNCTION("""COMPUTED_VALUE"""),46026.125)</f>
        <v>46026.125</v>
      </c>
      <c r="BH755" s="17" t="s">
        <v>105</v>
      </c>
      <c r="BI755" s="17"/>
      <c r="BJ755" s="15"/>
      <c r="BK755" s="15"/>
      <c r="BL755" s="13" t="b">
        <v>0</v>
      </c>
      <c r="BM755" s="10"/>
      <c r="BN755" s="10" t="s">
        <v>278</v>
      </c>
      <c r="BO755" s="11">
        <v>45866.101388888892</v>
      </c>
      <c r="BP755" s="11">
        <v>46014.699803240743</v>
      </c>
      <c r="BQ755" s="15">
        <v>46019.909930555557</v>
      </c>
      <c r="BR755" s="15">
        <v>46022.407430555555</v>
      </c>
      <c r="BS755" s="10" t="s">
        <v>278</v>
      </c>
      <c r="BT755" s="10" t="s">
        <v>99</v>
      </c>
      <c r="BU755" s="10" t="s">
        <v>6753</v>
      </c>
      <c r="BV755" s="10" t="s">
        <v>124</v>
      </c>
      <c r="BW755" s="10"/>
      <c r="BX755" s="10"/>
      <c r="BY755" s="23"/>
      <c r="BZ755" s="23"/>
      <c r="CA755" s="19" t="s">
        <v>6754</v>
      </c>
      <c r="CB755" s="19" t="s">
        <v>6755</v>
      </c>
      <c r="CC755" s="23"/>
      <c r="CD755" s="19" t="s">
        <v>6756</v>
      </c>
      <c r="CE755" s="23"/>
      <c r="CF755" s="23"/>
      <c r="CG755" s="23"/>
      <c r="CH755" s="23"/>
      <c r="CI755" s="23"/>
    </row>
    <row r="756" spans="1:87" x14ac:dyDescent="0.3">
      <c r="A756" s="9" t="s">
        <v>6757</v>
      </c>
      <c r="B756" s="10" t="s">
        <v>6758</v>
      </c>
      <c r="C756" s="11">
        <v>46033.927083333336</v>
      </c>
      <c r="D756" s="12">
        <v>8.3333333333333329E-2</v>
      </c>
      <c r="E756" s="11">
        <v>46034.010416666664</v>
      </c>
      <c r="F756" s="10" t="s">
        <v>5001</v>
      </c>
      <c r="G756" s="13" t="b">
        <v>0</v>
      </c>
      <c r="H756" s="10" t="s">
        <v>3578</v>
      </c>
      <c r="I756" s="10" t="s">
        <v>89</v>
      </c>
      <c r="J756" s="13" t="b">
        <v>0</v>
      </c>
      <c r="K756" s="13" t="b">
        <v>1</v>
      </c>
      <c r="L756" s="10" t="s">
        <v>124</v>
      </c>
      <c r="M756" s="10" t="s">
        <v>91</v>
      </c>
      <c r="N756" s="10" t="s">
        <v>92</v>
      </c>
      <c r="O756" s="19" t="s">
        <v>6759</v>
      </c>
      <c r="P756" s="10"/>
      <c r="Q756" s="10" t="s">
        <v>94</v>
      </c>
      <c r="R756" s="10"/>
      <c r="S756" s="10"/>
      <c r="T756" s="10"/>
      <c r="U756" s="10" t="s">
        <v>5032</v>
      </c>
      <c r="V756" s="10" t="s">
        <v>5089</v>
      </c>
      <c r="W756" s="10" t="s">
        <v>5007</v>
      </c>
      <c r="X756" s="10" t="s">
        <v>130</v>
      </c>
      <c r="Y756" s="10" t="s">
        <v>130</v>
      </c>
      <c r="Z756" s="10" t="s">
        <v>99</v>
      </c>
      <c r="AA756" s="10" t="s">
        <v>131</v>
      </c>
      <c r="AB756" s="10" t="s">
        <v>5008</v>
      </c>
      <c r="AC756" s="10" t="s">
        <v>5009</v>
      </c>
      <c r="AD756" s="10" t="s">
        <v>6760</v>
      </c>
      <c r="AE756" s="10" t="s">
        <v>6761</v>
      </c>
      <c r="AF756" s="15"/>
      <c r="AG756" s="10"/>
      <c r="AH756" s="10"/>
      <c r="AI756" s="10"/>
      <c r="AJ756" s="10"/>
      <c r="AK756" s="10" t="s">
        <v>102</v>
      </c>
      <c r="AL756" s="10" t="s">
        <v>2201</v>
      </c>
      <c r="AM756" s="10"/>
      <c r="AN756" s="10"/>
      <c r="AO756" s="13" t="b">
        <v>0</v>
      </c>
      <c r="AP756" s="10" t="s">
        <v>104</v>
      </c>
      <c r="AQ756" s="10">
        <f ca="1">IFERROR(__xludf.DUMMYFUNCTION("""COMPUTED_VALUE"""),4832533)</f>
        <v>4832533</v>
      </c>
      <c r="AR756" s="17"/>
      <c r="AS756" s="17"/>
      <c r="AT756" s="17"/>
      <c r="AU756" s="17"/>
      <c r="AV756" s="17"/>
      <c r="AW756" s="10"/>
      <c r="AX756" s="17"/>
      <c r="AY756" s="18" t="s">
        <v>257</v>
      </c>
      <c r="AZ756" s="10"/>
      <c r="BA756" s="20" t="b">
        <v>0</v>
      </c>
      <c r="BB756" s="10"/>
      <c r="BC756" s="17" t="s">
        <v>257</v>
      </c>
      <c r="BD756" s="17" t="s">
        <v>257</v>
      </c>
      <c r="BE756" s="17" t="s">
        <v>257</v>
      </c>
      <c r="BF756" s="17" t="s">
        <v>257</v>
      </c>
      <c r="BG756" s="11">
        <f ca="1">IFERROR(__xludf.DUMMYFUNCTION("""COMPUTED_VALUE"""),46033.9270833333)</f>
        <v>46033.927083333299</v>
      </c>
      <c r="BH756" s="17"/>
      <c r="BI756" s="17"/>
      <c r="BJ756" s="15"/>
      <c r="BK756" s="15"/>
      <c r="BL756" s="13" t="b">
        <v>0</v>
      </c>
      <c r="BM756" s="10"/>
      <c r="BN756" s="10" t="s">
        <v>149</v>
      </c>
      <c r="BO756" s="11">
        <v>45866.101388888892</v>
      </c>
      <c r="BP756" s="11">
        <v>46014.634965277779</v>
      </c>
      <c r="BQ756" s="15"/>
      <c r="BR756" s="15">
        <v>46030.414351851854</v>
      </c>
      <c r="BS756" s="10" t="s">
        <v>149</v>
      </c>
      <c r="BT756" s="10"/>
      <c r="BU756" s="10"/>
      <c r="BV756" s="10"/>
      <c r="BW756" s="10"/>
      <c r="BX756" s="10"/>
      <c r="BY756" s="23"/>
      <c r="BZ756" s="23"/>
      <c r="CA756" s="19" t="s">
        <v>6762</v>
      </c>
      <c r="CB756" s="19" t="s">
        <v>6763</v>
      </c>
      <c r="CC756" s="23"/>
      <c r="CD756" s="23"/>
      <c r="CE756" s="23"/>
      <c r="CF756" s="23"/>
      <c r="CG756" s="23"/>
      <c r="CH756" s="23"/>
      <c r="CI756" s="23"/>
    </row>
    <row r="757" spans="1:87" x14ac:dyDescent="0.3">
      <c r="A757" s="9" t="s">
        <v>6764</v>
      </c>
      <c r="B757" s="10" t="s">
        <v>6765</v>
      </c>
      <c r="C757" s="11">
        <v>46033.833333333336</v>
      </c>
      <c r="D757" s="12">
        <v>8.3333333333333329E-2</v>
      </c>
      <c r="E757" s="11">
        <v>46033.916666666664</v>
      </c>
      <c r="F757" s="10" t="s">
        <v>5001</v>
      </c>
      <c r="G757" s="13" t="b">
        <v>0</v>
      </c>
      <c r="H757" s="10" t="s">
        <v>3578</v>
      </c>
      <c r="I757" s="10" t="s">
        <v>89</v>
      </c>
      <c r="J757" s="13" t="b">
        <v>0</v>
      </c>
      <c r="K757" s="13" t="b">
        <v>1</v>
      </c>
      <c r="L757" s="10" t="s">
        <v>124</v>
      </c>
      <c r="M757" s="10" t="s">
        <v>91</v>
      </c>
      <c r="N757" s="10" t="s">
        <v>92</v>
      </c>
      <c r="O757" s="19" t="s">
        <v>6766</v>
      </c>
      <c r="P757" s="10"/>
      <c r="Q757" s="10" t="s">
        <v>94</v>
      </c>
      <c r="R757" s="10"/>
      <c r="S757" s="10"/>
      <c r="T757" s="10"/>
      <c r="U757" s="10" t="s">
        <v>5006</v>
      </c>
      <c r="V757" s="10" t="s">
        <v>5041</v>
      </c>
      <c r="W757" s="10" t="s">
        <v>5007</v>
      </c>
      <c r="X757" s="10" t="s">
        <v>130</v>
      </c>
      <c r="Y757" s="10" t="s">
        <v>130</v>
      </c>
      <c r="Z757" s="10" t="s">
        <v>99</v>
      </c>
      <c r="AA757" s="10" t="s">
        <v>131</v>
      </c>
      <c r="AB757" s="10" t="s">
        <v>5008</v>
      </c>
      <c r="AC757" s="10" t="s">
        <v>5009</v>
      </c>
      <c r="AD757" s="10" t="s">
        <v>6767</v>
      </c>
      <c r="AE757" s="10" t="s">
        <v>6768</v>
      </c>
      <c r="AF757" s="15"/>
      <c r="AG757" s="10"/>
      <c r="AH757" s="10"/>
      <c r="AI757" s="10"/>
      <c r="AJ757" s="10"/>
      <c r="AK757" s="10" t="s">
        <v>102</v>
      </c>
      <c r="AL757" s="10" t="s">
        <v>2201</v>
      </c>
      <c r="AM757" s="10"/>
      <c r="AN757" s="10"/>
      <c r="AO757" s="13" t="b">
        <v>0</v>
      </c>
      <c r="AP757" s="10" t="s">
        <v>104</v>
      </c>
      <c r="AQ757" s="10">
        <f ca="1">IFERROR(__xludf.DUMMYFUNCTION("""COMPUTED_VALUE"""),4832531)</f>
        <v>4832531</v>
      </c>
      <c r="AR757" s="17"/>
      <c r="AS757" s="17"/>
      <c r="AT757" s="17"/>
      <c r="AU757" s="17"/>
      <c r="AV757" s="17"/>
      <c r="AW757" s="10"/>
      <c r="AX757" s="17"/>
      <c r="AY757" s="18" t="s">
        <v>257</v>
      </c>
      <c r="AZ757" s="10"/>
      <c r="BA757" s="20" t="b">
        <v>0</v>
      </c>
      <c r="BB757" s="10"/>
      <c r="BC757" s="17" t="s">
        <v>257</v>
      </c>
      <c r="BD757" s="17" t="s">
        <v>257</v>
      </c>
      <c r="BE757" s="17" t="s">
        <v>257</v>
      </c>
      <c r="BF757" s="17" t="s">
        <v>257</v>
      </c>
      <c r="BG757" s="11">
        <f ca="1">IFERROR(__xludf.DUMMYFUNCTION("""COMPUTED_VALUE"""),46033.8333333333)</f>
        <v>46033.833333333299</v>
      </c>
      <c r="BH757" s="17"/>
      <c r="BI757" s="17"/>
      <c r="BJ757" s="15"/>
      <c r="BK757" s="15"/>
      <c r="BL757" s="13" t="b">
        <v>0</v>
      </c>
      <c r="BM757" s="10"/>
      <c r="BN757" s="10" t="s">
        <v>149</v>
      </c>
      <c r="BO757" s="11">
        <v>45866.101388888892</v>
      </c>
      <c r="BP757" s="11">
        <v>46014.635405092595</v>
      </c>
      <c r="BQ757" s="15"/>
      <c r="BR757" s="15">
        <v>46030.413969907408</v>
      </c>
      <c r="BS757" s="10" t="s">
        <v>149</v>
      </c>
      <c r="BT757" s="10"/>
      <c r="BU757" s="10"/>
      <c r="BV757" s="10"/>
      <c r="BW757" s="10"/>
      <c r="BX757" s="10"/>
      <c r="BY757" s="23"/>
      <c r="BZ757" s="23"/>
      <c r="CA757" s="19" t="s">
        <v>6769</v>
      </c>
      <c r="CB757" s="19" t="s">
        <v>6770</v>
      </c>
      <c r="CC757" s="23"/>
      <c r="CD757" s="23"/>
      <c r="CE757" s="23"/>
      <c r="CF757" s="23"/>
      <c r="CG757" s="23"/>
      <c r="CH757" s="23"/>
      <c r="CI757" s="23"/>
    </row>
    <row r="758" spans="1:87" x14ac:dyDescent="0.3">
      <c r="A758" s="9" t="s">
        <v>6771</v>
      </c>
      <c r="B758" s="10" t="s">
        <v>6772</v>
      </c>
      <c r="C758" s="11">
        <v>46032.833333333336</v>
      </c>
      <c r="D758" s="12">
        <v>8.3333333333333329E-2</v>
      </c>
      <c r="E758" s="11">
        <v>46032.916666666664</v>
      </c>
      <c r="F758" s="10" t="s">
        <v>5001</v>
      </c>
      <c r="G758" s="13" t="b">
        <v>0</v>
      </c>
      <c r="H758" s="10" t="s">
        <v>3578</v>
      </c>
      <c r="I758" s="10" t="s">
        <v>89</v>
      </c>
      <c r="J758" s="13" t="b">
        <v>0</v>
      </c>
      <c r="K758" s="13" t="b">
        <v>1</v>
      </c>
      <c r="L758" s="10" t="s">
        <v>124</v>
      </c>
      <c r="M758" s="10" t="s">
        <v>91</v>
      </c>
      <c r="N758" s="10" t="s">
        <v>92</v>
      </c>
      <c r="O758" s="19" t="s">
        <v>6773</v>
      </c>
      <c r="P758" s="10"/>
      <c r="Q758" s="10" t="s">
        <v>126</v>
      </c>
      <c r="R758" s="10"/>
      <c r="S758" s="19" t="s">
        <v>6774</v>
      </c>
      <c r="T758" s="10"/>
      <c r="U758" s="10" t="s">
        <v>5019</v>
      </c>
      <c r="V758" s="10" t="s">
        <v>5102</v>
      </c>
      <c r="W758" s="10" t="s">
        <v>5007</v>
      </c>
      <c r="X758" s="10" t="s">
        <v>130</v>
      </c>
      <c r="Y758" s="10" t="s">
        <v>130</v>
      </c>
      <c r="Z758" s="10" t="s">
        <v>99</v>
      </c>
      <c r="AA758" s="10" t="s">
        <v>131</v>
      </c>
      <c r="AB758" s="10" t="s">
        <v>5008</v>
      </c>
      <c r="AC758" s="10" t="s">
        <v>5009</v>
      </c>
      <c r="AD758" s="10" t="s">
        <v>6775</v>
      </c>
      <c r="AE758" s="10" t="s">
        <v>6776</v>
      </c>
      <c r="AF758" s="15"/>
      <c r="AG758" s="10"/>
      <c r="AH758" s="10"/>
      <c r="AI758" s="10"/>
      <c r="AJ758" s="10" t="s">
        <v>6777</v>
      </c>
      <c r="AK758" s="10" t="s">
        <v>102</v>
      </c>
      <c r="AL758" s="10" t="s">
        <v>2201</v>
      </c>
      <c r="AM758" s="10"/>
      <c r="AN758" s="10"/>
      <c r="AO758" s="13" t="b">
        <v>0</v>
      </c>
      <c r="AP758" s="10" t="s">
        <v>104</v>
      </c>
      <c r="AQ758" s="10">
        <f ca="1">IFERROR(__xludf.DUMMYFUNCTION("""COMPUTED_VALUE"""),4832295)</f>
        <v>4832295</v>
      </c>
      <c r="AR758" s="17">
        <v>18592</v>
      </c>
      <c r="AS758" s="17">
        <v>13398</v>
      </c>
      <c r="AT758" s="17">
        <v>296227.25</v>
      </c>
      <c r="AU758" s="17">
        <v>85.1</v>
      </c>
      <c r="AV758" s="17">
        <v>22.65</v>
      </c>
      <c r="AW758" s="10" t="s">
        <v>105</v>
      </c>
      <c r="AX758" s="17">
        <v>4751</v>
      </c>
      <c r="AY758" s="18">
        <v>22.109811165845649</v>
      </c>
      <c r="AZ758" s="10" t="s">
        <v>6778</v>
      </c>
      <c r="BA758" s="20" t="b">
        <v>0</v>
      </c>
      <c r="BB758" s="10"/>
      <c r="BC758" s="17">
        <v>18592</v>
      </c>
      <c r="BD758" s="17">
        <v>13398</v>
      </c>
      <c r="BE758" s="17">
        <v>296227.25</v>
      </c>
      <c r="BF758" s="17">
        <v>22.65</v>
      </c>
      <c r="BG758" s="11">
        <f ca="1">IFERROR(__xludf.DUMMYFUNCTION("""COMPUTED_VALUE"""),46032.8333333333)</f>
        <v>46032.833333333299</v>
      </c>
      <c r="BH758" s="17" t="s">
        <v>105</v>
      </c>
      <c r="BI758" s="17"/>
      <c r="BJ758" s="15"/>
      <c r="BK758" s="15"/>
      <c r="BL758" s="13" t="b">
        <v>0</v>
      </c>
      <c r="BM758" s="10"/>
      <c r="BN758" s="10" t="s">
        <v>6778</v>
      </c>
      <c r="BO758" s="11">
        <v>45866.101388888892</v>
      </c>
      <c r="BP758" s="11">
        <v>46029.708495370367</v>
      </c>
      <c r="BQ758" s="15">
        <v>46030.63989583333</v>
      </c>
      <c r="BR758" s="15">
        <v>46029.455694444441</v>
      </c>
      <c r="BS758" s="10"/>
      <c r="BT758" s="10"/>
      <c r="BU758" s="10"/>
      <c r="BV758" s="10"/>
      <c r="BW758" s="10"/>
      <c r="BX758" s="10"/>
      <c r="BY758" s="23"/>
      <c r="BZ758" s="23"/>
      <c r="CA758" s="19" t="s">
        <v>6779</v>
      </c>
      <c r="CB758" s="19" t="s">
        <v>6780</v>
      </c>
      <c r="CC758" s="23"/>
      <c r="CD758" s="19" t="s">
        <v>6781</v>
      </c>
      <c r="CE758" s="23"/>
      <c r="CF758" s="23"/>
      <c r="CG758" s="23"/>
      <c r="CH758" s="23"/>
      <c r="CI758" s="23"/>
    </row>
    <row r="759" spans="1:87" x14ac:dyDescent="0.3">
      <c r="A759" s="9" t="s">
        <v>6782</v>
      </c>
      <c r="B759" s="10" t="s">
        <v>6783</v>
      </c>
      <c r="C759" s="11">
        <v>46032.125</v>
      </c>
      <c r="D759" s="12">
        <v>8.3333333333333329E-2</v>
      </c>
      <c r="E759" s="11">
        <v>46032.208333333336</v>
      </c>
      <c r="F759" s="10" t="s">
        <v>5001</v>
      </c>
      <c r="G759" s="13" t="b">
        <v>0</v>
      </c>
      <c r="H759" s="10" t="s">
        <v>3578</v>
      </c>
      <c r="I759" s="10" t="s">
        <v>89</v>
      </c>
      <c r="J759" s="13" t="b">
        <v>0</v>
      </c>
      <c r="K759" s="13" t="b">
        <v>1</v>
      </c>
      <c r="L759" s="10" t="s">
        <v>124</v>
      </c>
      <c r="M759" s="10" t="s">
        <v>91</v>
      </c>
      <c r="N759" s="10" t="s">
        <v>92</v>
      </c>
      <c r="O759" s="19" t="s">
        <v>6784</v>
      </c>
      <c r="P759" s="10"/>
      <c r="Q759" s="10" t="s">
        <v>126</v>
      </c>
      <c r="R759" s="10"/>
      <c r="S759" s="19" t="s">
        <v>6785</v>
      </c>
      <c r="T759" s="10"/>
      <c r="U759" s="10" t="s">
        <v>5067</v>
      </c>
      <c r="V759" s="10" t="s">
        <v>5055</v>
      </c>
      <c r="W759" s="10" t="s">
        <v>5007</v>
      </c>
      <c r="X759" s="10" t="s">
        <v>130</v>
      </c>
      <c r="Y759" s="10" t="s">
        <v>130</v>
      </c>
      <c r="Z759" s="10" t="s">
        <v>99</v>
      </c>
      <c r="AA759" s="10" t="s">
        <v>131</v>
      </c>
      <c r="AB759" s="10" t="s">
        <v>5008</v>
      </c>
      <c r="AC759" s="10" t="s">
        <v>5009</v>
      </c>
      <c r="AD759" s="10" t="s">
        <v>6786</v>
      </c>
      <c r="AE759" s="10" t="s">
        <v>6787</v>
      </c>
      <c r="AF759" s="15"/>
      <c r="AG759" s="10"/>
      <c r="AH759" s="10"/>
      <c r="AI759" s="10"/>
      <c r="AJ759" s="10"/>
      <c r="AK759" s="10" t="s">
        <v>102</v>
      </c>
      <c r="AL759" s="10" t="s">
        <v>2201</v>
      </c>
      <c r="AM759" s="10"/>
      <c r="AN759" s="10"/>
      <c r="AO759" s="13" t="b">
        <v>0</v>
      </c>
      <c r="AP759" s="10" t="s">
        <v>104</v>
      </c>
      <c r="AQ759" s="10">
        <f ca="1">IFERROR(__xludf.DUMMYFUNCTION("""COMPUTED_VALUE"""),4832271)</f>
        <v>4832271</v>
      </c>
      <c r="AR759" s="17">
        <v>4310</v>
      </c>
      <c r="AS759" s="17">
        <v>3321</v>
      </c>
      <c r="AT759" s="17">
        <v>94309.75</v>
      </c>
      <c r="AU759" s="17">
        <v>5.2</v>
      </c>
      <c r="AV759" s="17">
        <v>1.25</v>
      </c>
      <c r="AW759" s="10" t="s">
        <v>105</v>
      </c>
      <c r="AX759" s="17">
        <v>1191</v>
      </c>
      <c r="AY759" s="18">
        <v>28.397997591087023</v>
      </c>
      <c r="AZ759" s="10" t="s">
        <v>6778</v>
      </c>
      <c r="BA759" s="20" t="b">
        <v>0</v>
      </c>
      <c r="BB759" s="10"/>
      <c r="BC759" s="17">
        <v>4310</v>
      </c>
      <c r="BD759" s="17">
        <v>3321</v>
      </c>
      <c r="BE759" s="17">
        <v>94309.75</v>
      </c>
      <c r="BF759" s="17">
        <v>1.25</v>
      </c>
      <c r="BG759" s="11">
        <f ca="1">IFERROR(__xludf.DUMMYFUNCTION("""COMPUTED_VALUE"""),46032.125)</f>
        <v>46032.125</v>
      </c>
      <c r="BH759" s="17" t="s">
        <v>105</v>
      </c>
      <c r="BI759" s="17"/>
      <c r="BJ759" s="15"/>
      <c r="BK759" s="15"/>
      <c r="BL759" s="13" t="b">
        <v>0</v>
      </c>
      <c r="BM759" s="10"/>
      <c r="BN759" s="10" t="s">
        <v>118</v>
      </c>
      <c r="BO759" s="11">
        <v>45866.101388888892</v>
      </c>
      <c r="BP759" s="11">
        <v>46014.636157407411</v>
      </c>
      <c r="BQ759" s="15">
        <v>46028.587546296294</v>
      </c>
      <c r="BR759" s="15">
        <v>46029.452164351853</v>
      </c>
      <c r="BS759" s="10" t="s">
        <v>118</v>
      </c>
      <c r="BT759" s="10"/>
      <c r="BU759" s="10"/>
      <c r="BV759" s="10"/>
      <c r="BW759" s="10"/>
      <c r="BX759" s="10"/>
      <c r="BY759" s="23"/>
      <c r="BZ759" s="23"/>
      <c r="CA759" s="19" t="s">
        <v>6788</v>
      </c>
      <c r="CB759" s="19" t="s">
        <v>6789</v>
      </c>
      <c r="CC759" s="23"/>
      <c r="CD759" s="19" t="s">
        <v>6790</v>
      </c>
      <c r="CE759" s="23"/>
      <c r="CF759" s="23"/>
      <c r="CG759" s="23"/>
      <c r="CH759" s="23"/>
      <c r="CI759" s="23"/>
    </row>
    <row r="760" spans="1:87" x14ac:dyDescent="0.3">
      <c r="A760" s="9" t="s">
        <v>6791</v>
      </c>
      <c r="B760" s="10" t="s">
        <v>6792</v>
      </c>
      <c r="C760" s="11">
        <v>45994.125</v>
      </c>
      <c r="D760" s="12">
        <v>8.3333333333333329E-2</v>
      </c>
      <c r="E760" s="11">
        <v>45994.208333333336</v>
      </c>
      <c r="F760" s="10" t="s">
        <v>5001</v>
      </c>
      <c r="G760" s="13" t="b">
        <v>0</v>
      </c>
      <c r="H760" s="10" t="s">
        <v>3578</v>
      </c>
      <c r="I760" s="10" t="s">
        <v>89</v>
      </c>
      <c r="J760" s="13" t="b">
        <v>0</v>
      </c>
      <c r="K760" s="13" t="b">
        <v>1</v>
      </c>
      <c r="L760" s="10" t="s">
        <v>124</v>
      </c>
      <c r="M760" s="10" t="s">
        <v>91</v>
      </c>
      <c r="N760" s="10" t="s">
        <v>92</v>
      </c>
      <c r="O760" s="19" t="s">
        <v>6793</v>
      </c>
      <c r="P760" s="10"/>
      <c r="Q760" s="10" t="s">
        <v>126</v>
      </c>
      <c r="R760" s="10"/>
      <c r="S760" s="19" t="s">
        <v>6794</v>
      </c>
      <c r="T760" s="19" t="s">
        <v>6795</v>
      </c>
      <c r="U760" s="10" t="s">
        <v>5042</v>
      </c>
      <c r="V760" s="10" t="s">
        <v>5090</v>
      </c>
      <c r="W760" s="10" t="s">
        <v>5007</v>
      </c>
      <c r="X760" s="10" t="s">
        <v>130</v>
      </c>
      <c r="Y760" s="10" t="s">
        <v>130</v>
      </c>
      <c r="Z760" s="10" t="s">
        <v>99</v>
      </c>
      <c r="AA760" s="10" t="s">
        <v>131</v>
      </c>
      <c r="AB760" s="10" t="s">
        <v>5008</v>
      </c>
      <c r="AC760" s="10" t="s">
        <v>5009</v>
      </c>
      <c r="AD760" s="10" t="s">
        <v>6796</v>
      </c>
      <c r="AE760" s="10" t="s">
        <v>6797</v>
      </c>
      <c r="AF760" s="15"/>
      <c r="AG760" s="10"/>
      <c r="AH760" s="10"/>
      <c r="AI760" s="10"/>
      <c r="AJ760" s="10" t="s">
        <v>6798</v>
      </c>
      <c r="AK760" s="10" t="s">
        <v>102</v>
      </c>
      <c r="AL760" s="10" t="s">
        <v>2201</v>
      </c>
      <c r="AM760" s="10"/>
      <c r="AN760" s="10"/>
      <c r="AO760" s="13" t="b">
        <v>1</v>
      </c>
      <c r="AP760" s="10" t="s">
        <v>104</v>
      </c>
      <c r="AQ760" s="10">
        <f ca="1">IFERROR(__xludf.DUMMYFUNCTION("""COMPUTED_VALUE"""),4758876)</f>
        <v>4758876</v>
      </c>
      <c r="AR760" s="17">
        <v>157561</v>
      </c>
      <c r="AS760" s="17">
        <v>93039</v>
      </c>
      <c r="AT760" s="17">
        <v>5154833.5</v>
      </c>
      <c r="AU760" s="17">
        <v>1639.6</v>
      </c>
      <c r="AV760" s="17">
        <v>326.14999999999998</v>
      </c>
      <c r="AW760" s="10" t="s">
        <v>105</v>
      </c>
      <c r="AX760" s="17">
        <v>54788</v>
      </c>
      <c r="AY760" s="18">
        <v>55.405082814733603</v>
      </c>
      <c r="AZ760" s="10" t="s">
        <v>168</v>
      </c>
      <c r="BA760" s="20" t="b">
        <v>0</v>
      </c>
      <c r="BB760" s="10"/>
      <c r="BC760" s="17">
        <v>157561</v>
      </c>
      <c r="BD760" s="17">
        <v>93039</v>
      </c>
      <c r="BE760" s="17">
        <v>5154833.5</v>
      </c>
      <c r="BF760" s="17">
        <v>326.14999999999998</v>
      </c>
      <c r="BG760" s="11">
        <f ca="1">IFERROR(__xludf.DUMMYFUNCTION("""COMPUTED_VALUE"""),45994.125)</f>
        <v>45994.125</v>
      </c>
      <c r="BH760" s="17" t="s">
        <v>105</v>
      </c>
      <c r="BI760" s="17"/>
      <c r="BJ760" s="15"/>
      <c r="BK760" s="15"/>
      <c r="BL760" s="13" t="b">
        <v>0</v>
      </c>
      <c r="BM760" s="10"/>
      <c r="BN760" s="10" t="s">
        <v>197</v>
      </c>
      <c r="BO760" s="11">
        <v>45866.101388888892</v>
      </c>
      <c r="BP760" s="11">
        <v>45987.527407407404</v>
      </c>
      <c r="BQ760" s="15">
        <v>45992.669502314813</v>
      </c>
      <c r="BR760" s="15">
        <v>45993.521238425928</v>
      </c>
      <c r="BS760" s="10" t="s">
        <v>197</v>
      </c>
      <c r="BT760" s="10" t="s">
        <v>279</v>
      </c>
      <c r="BU760" s="10" t="s">
        <v>498</v>
      </c>
      <c r="BV760" s="10" t="s">
        <v>281</v>
      </c>
      <c r="BW760" s="10" t="s">
        <v>2100</v>
      </c>
      <c r="BX760" s="10"/>
      <c r="BY760" s="23"/>
      <c r="BZ760" s="23"/>
      <c r="CA760" s="19" t="s">
        <v>6799</v>
      </c>
      <c r="CB760" s="19" t="s">
        <v>6795</v>
      </c>
      <c r="CC760" s="23"/>
      <c r="CD760" s="19" t="s">
        <v>6800</v>
      </c>
      <c r="CE760" s="23"/>
      <c r="CF760" s="23"/>
      <c r="CG760" s="23"/>
      <c r="CH760" s="23"/>
      <c r="CI760" s="23"/>
    </row>
    <row r="761" spans="1:87" x14ac:dyDescent="0.3">
      <c r="A761" s="9" t="s">
        <v>6801</v>
      </c>
      <c r="B761" s="10" t="s">
        <v>6802</v>
      </c>
      <c r="C761" s="11">
        <v>46033.020833333336</v>
      </c>
      <c r="D761" s="12">
        <v>8.3333333333333329E-2</v>
      </c>
      <c r="E761" s="11">
        <v>46033.104166666664</v>
      </c>
      <c r="F761" s="10" t="s">
        <v>5001</v>
      </c>
      <c r="G761" s="13" t="b">
        <v>0</v>
      </c>
      <c r="H761" s="10" t="s">
        <v>3578</v>
      </c>
      <c r="I761" s="10" t="s">
        <v>89</v>
      </c>
      <c r="J761" s="13" t="b">
        <v>0</v>
      </c>
      <c r="K761" s="13" t="b">
        <v>1</v>
      </c>
      <c r="L761" s="10" t="s">
        <v>124</v>
      </c>
      <c r="M761" s="10" t="s">
        <v>91</v>
      </c>
      <c r="N761" s="10" t="s">
        <v>92</v>
      </c>
      <c r="O761" s="19" t="s">
        <v>6803</v>
      </c>
      <c r="P761" s="10"/>
      <c r="Q761" s="10" t="s">
        <v>126</v>
      </c>
      <c r="R761" s="10"/>
      <c r="S761" s="19" t="s">
        <v>6804</v>
      </c>
      <c r="T761" s="10"/>
      <c r="U761" s="10" t="s">
        <v>5005</v>
      </c>
      <c r="V761" s="10" t="s">
        <v>5114</v>
      </c>
      <c r="W761" s="10" t="s">
        <v>5007</v>
      </c>
      <c r="X761" s="10" t="s">
        <v>130</v>
      </c>
      <c r="Y761" s="10" t="s">
        <v>130</v>
      </c>
      <c r="Z761" s="10" t="s">
        <v>99</v>
      </c>
      <c r="AA761" s="10" t="s">
        <v>131</v>
      </c>
      <c r="AB761" s="10" t="s">
        <v>5008</v>
      </c>
      <c r="AC761" s="10" t="s">
        <v>5009</v>
      </c>
      <c r="AD761" s="10" t="s">
        <v>6805</v>
      </c>
      <c r="AE761" s="10" t="s">
        <v>6806</v>
      </c>
      <c r="AF761" s="15"/>
      <c r="AG761" s="10"/>
      <c r="AH761" s="10"/>
      <c r="AI761" s="10"/>
      <c r="AJ761" s="10" t="s">
        <v>6807</v>
      </c>
      <c r="AK761" s="10" t="s">
        <v>102</v>
      </c>
      <c r="AL761" s="10" t="s">
        <v>2201</v>
      </c>
      <c r="AM761" s="10"/>
      <c r="AN761" s="10"/>
      <c r="AO761" s="13" t="b">
        <v>0</v>
      </c>
      <c r="AP761" s="10" t="s">
        <v>104</v>
      </c>
      <c r="AQ761" s="10">
        <f ca="1">IFERROR(__xludf.DUMMYFUNCTION("""COMPUTED_VALUE"""),4832526)</f>
        <v>4832526</v>
      </c>
      <c r="AR761" s="17"/>
      <c r="AS761" s="17"/>
      <c r="AT761" s="17"/>
      <c r="AU761" s="17"/>
      <c r="AV761" s="17"/>
      <c r="AW761" s="10"/>
      <c r="AX761" s="17"/>
      <c r="AY761" s="18" t="s">
        <v>257</v>
      </c>
      <c r="AZ761" s="10" t="s">
        <v>6778</v>
      </c>
      <c r="BA761" s="20" t="b">
        <v>0</v>
      </c>
      <c r="BB761" s="10"/>
      <c r="BC761" s="17" t="s">
        <v>257</v>
      </c>
      <c r="BD761" s="17" t="s">
        <v>257</v>
      </c>
      <c r="BE761" s="17" t="s">
        <v>257</v>
      </c>
      <c r="BF761" s="17" t="s">
        <v>257</v>
      </c>
      <c r="BG761" s="11">
        <f ca="1">IFERROR(__xludf.DUMMYFUNCTION("""COMPUTED_VALUE"""),46033.0208333333)</f>
        <v>46033.020833333299</v>
      </c>
      <c r="BH761" s="17"/>
      <c r="BI761" s="17"/>
      <c r="BJ761" s="15"/>
      <c r="BK761" s="15"/>
      <c r="BL761" s="13" t="b">
        <v>0</v>
      </c>
      <c r="BM761" s="10"/>
      <c r="BN761" s="10" t="s">
        <v>6778</v>
      </c>
      <c r="BO761" s="11">
        <v>45866.101388888892</v>
      </c>
      <c r="BP761" s="11">
        <v>46029.713067129633</v>
      </c>
      <c r="BQ761" s="15">
        <v>46031.899907407409</v>
      </c>
      <c r="BR761" s="15">
        <v>46030.406585648147</v>
      </c>
      <c r="BS761" s="10"/>
      <c r="BT761" s="10"/>
      <c r="BU761" s="10"/>
      <c r="BV761" s="10"/>
      <c r="BW761" s="10"/>
      <c r="BX761" s="10"/>
      <c r="BY761" s="23"/>
      <c r="BZ761" s="23"/>
      <c r="CA761" s="19" t="s">
        <v>6808</v>
      </c>
      <c r="CB761" s="19" t="s">
        <v>6809</v>
      </c>
      <c r="CC761" s="23"/>
      <c r="CD761" s="19" t="s">
        <v>6810</v>
      </c>
      <c r="CE761" s="23"/>
      <c r="CF761" s="23"/>
      <c r="CG761" s="23"/>
      <c r="CH761" s="23"/>
      <c r="CI761" s="23"/>
    </row>
    <row r="762" spans="1:87" x14ac:dyDescent="0.3">
      <c r="A762" s="9" t="s">
        <v>6811</v>
      </c>
      <c r="B762" s="10" t="s">
        <v>6812</v>
      </c>
      <c r="C762" s="11">
        <v>46032.927083333336</v>
      </c>
      <c r="D762" s="12">
        <v>8.3333333333333329E-2</v>
      </c>
      <c r="E762" s="11">
        <v>46033.010416666664</v>
      </c>
      <c r="F762" s="10" t="s">
        <v>5001</v>
      </c>
      <c r="G762" s="13" t="b">
        <v>0</v>
      </c>
      <c r="H762" s="10" t="s">
        <v>3578</v>
      </c>
      <c r="I762" s="10" t="s">
        <v>89</v>
      </c>
      <c r="J762" s="13" t="b">
        <v>0</v>
      </c>
      <c r="K762" s="13" t="b">
        <v>1</v>
      </c>
      <c r="L762" s="10" t="s">
        <v>124</v>
      </c>
      <c r="M762" s="10" t="s">
        <v>91</v>
      </c>
      <c r="N762" s="10" t="s">
        <v>92</v>
      </c>
      <c r="O762" s="19" t="s">
        <v>6813</v>
      </c>
      <c r="P762" s="10"/>
      <c r="Q762" s="10" t="s">
        <v>126</v>
      </c>
      <c r="R762" s="10"/>
      <c r="S762" s="19" t="s">
        <v>6814</v>
      </c>
      <c r="T762" s="10"/>
      <c r="U762" s="10" t="s">
        <v>5018</v>
      </c>
      <c r="V762" s="10" t="s">
        <v>5031</v>
      </c>
      <c r="W762" s="10" t="s">
        <v>5007</v>
      </c>
      <c r="X762" s="10" t="s">
        <v>130</v>
      </c>
      <c r="Y762" s="10" t="s">
        <v>130</v>
      </c>
      <c r="Z762" s="10" t="s">
        <v>99</v>
      </c>
      <c r="AA762" s="10" t="s">
        <v>131</v>
      </c>
      <c r="AB762" s="10" t="s">
        <v>5008</v>
      </c>
      <c r="AC762" s="10" t="s">
        <v>5009</v>
      </c>
      <c r="AD762" s="10" t="s">
        <v>6815</v>
      </c>
      <c r="AE762" s="10" t="s">
        <v>6816</v>
      </c>
      <c r="AF762" s="15"/>
      <c r="AG762" s="10"/>
      <c r="AH762" s="10"/>
      <c r="AI762" s="10"/>
      <c r="AJ762" s="10" t="s">
        <v>6817</v>
      </c>
      <c r="AK762" s="10" t="s">
        <v>102</v>
      </c>
      <c r="AL762" s="10" t="s">
        <v>2201</v>
      </c>
      <c r="AM762" s="10"/>
      <c r="AN762" s="10"/>
      <c r="AO762" s="13" t="b">
        <v>0</v>
      </c>
      <c r="AP762" s="10" t="s">
        <v>104</v>
      </c>
      <c r="AQ762" s="10">
        <f ca="1">IFERROR(__xludf.DUMMYFUNCTION("""COMPUTED_VALUE"""),4832299)</f>
        <v>4832299</v>
      </c>
      <c r="AR762" s="17"/>
      <c r="AS762" s="17"/>
      <c r="AT762" s="17"/>
      <c r="AU762" s="17"/>
      <c r="AV762" s="17"/>
      <c r="AW762" s="10"/>
      <c r="AX762" s="17"/>
      <c r="AY762" s="18" t="s">
        <v>257</v>
      </c>
      <c r="AZ762" s="10" t="s">
        <v>6778</v>
      </c>
      <c r="BA762" s="20" t="b">
        <v>0</v>
      </c>
      <c r="BB762" s="10"/>
      <c r="BC762" s="17" t="s">
        <v>257</v>
      </c>
      <c r="BD762" s="17" t="s">
        <v>257</v>
      </c>
      <c r="BE762" s="17" t="s">
        <v>257</v>
      </c>
      <c r="BF762" s="17" t="s">
        <v>257</v>
      </c>
      <c r="BG762" s="11">
        <f ca="1">IFERROR(__xludf.DUMMYFUNCTION("""COMPUTED_VALUE"""),46032.9270833333)</f>
        <v>46032.927083333299</v>
      </c>
      <c r="BH762" s="17"/>
      <c r="BI762" s="17"/>
      <c r="BJ762" s="15"/>
      <c r="BK762" s="15"/>
      <c r="BL762" s="13" t="b">
        <v>0</v>
      </c>
      <c r="BM762" s="10"/>
      <c r="BN762" s="10" t="s">
        <v>6778</v>
      </c>
      <c r="BO762" s="11">
        <v>45866.101388888892</v>
      </c>
      <c r="BP762" s="11">
        <v>46029.711863425924</v>
      </c>
      <c r="BQ762" s="15">
        <v>46031.899525462963</v>
      </c>
      <c r="BR762" s="15">
        <v>46029.476655092592</v>
      </c>
      <c r="BS762" s="10"/>
      <c r="BT762" s="10"/>
      <c r="BU762" s="10"/>
      <c r="BV762" s="10"/>
      <c r="BW762" s="10"/>
      <c r="BX762" s="10"/>
      <c r="BY762" s="23"/>
      <c r="BZ762" s="23"/>
      <c r="CA762" s="19" t="s">
        <v>6818</v>
      </c>
      <c r="CB762" s="19" t="s">
        <v>6819</v>
      </c>
      <c r="CC762" s="23"/>
      <c r="CD762" s="19" t="s">
        <v>6820</v>
      </c>
      <c r="CE762" s="23"/>
      <c r="CF762" s="23"/>
      <c r="CG762" s="23"/>
      <c r="CH762" s="23"/>
      <c r="CI762" s="23"/>
    </row>
    <row r="763" spans="1:87" x14ac:dyDescent="0.3">
      <c r="A763" s="9" t="s">
        <v>6821</v>
      </c>
      <c r="B763" s="10" t="s">
        <v>6822</v>
      </c>
      <c r="C763" s="11">
        <v>45995.041666666664</v>
      </c>
      <c r="D763" s="12">
        <v>8.3333333333333329E-2</v>
      </c>
      <c r="E763" s="11">
        <v>45995.125</v>
      </c>
      <c r="F763" s="10" t="s">
        <v>5001</v>
      </c>
      <c r="G763" s="13" t="b">
        <v>0</v>
      </c>
      <c r="H763" s="10" t="s">
        <v>3578</v>
      </c>
      <c r="I763" s="10" t="s">
        <v>89</v>
      </c>
      <c r="J763" s="13" t="b">
        <v>0</v>
      </c>
      <c r="K763" s="13" t="b">
        <v>1</v>
      </c>
      <c r="L763" s="10" t="s">
        <v>124</v>
      </c>
      <c r="M763" s="10" t="s">
        <v>91</v>
      </c>
      <c r="N763" s="10" t="s">
        <v>92</v>
      </c>
      <c r="O763" s="19" t="s">
        <v>6823</v>
      </c>
      <c r="P763" s="10"/>
      <c r="Q763" s="10" t="s">
        <v>126</v>
      </c>
      <c r="R763" s="10"/>
      <c r="S763" s="19" t="s">
        <v>6824</v>
      </c>
      <c r="T763" s="19" t="s">
        <v>6825</v>
      </c>
      <c r="U763" s="10" t="s">
        <v>5076</v>
      </c>
      <c r="V763" s="10" t="s">
        <v>5113</v>
      </c>
      <c r="W763" s="10" t="s">
        <v>5007</v>
      </c>
      <c r="X763" s="10" t="s">
        <v>130</v>
      </c>
      <c r="Y763" s="10" t="s">
        <v>130</v>
      </c>
      <c r="Z763" s="10" t="s">
        <v>99</v>
      </c>
      <c r="AA763" s="10" t="s">
        <v>131</v>
      </c>
      <c r="AB763" s="10" t="s">
        <v>5008</v>
      </c>
      <c r="AC763" s="10" t="s">
        <v>5009</v>
      </c>
      <c r="AD763" s="10" t="s">
        <v>6826</v>
      </c>
      <c r="AE763" s="10" t="s">
        <v>6827</v>
      </c>
      <c r="AF763" s="15"/>
      <c r="AG763" s="10"/>
      <c r="AH763" s="10"/>
      <c r="AI763" s="10"/>
      <c r="AJ763" s="10" t="s">
        <v>6828</v>
      </c>
      <c r="AK763" s="10" t="s">
        <v>102</v>
      </c>
      <c r="AL763" s="10" t="s">
        <v>2201</v>
      </c>
      <c r="AM763" s="10"/>
      <c r="AN763" s="10"/>
      <c r="AO763" s="13" t="b">
        <v>1</v>
      </c>
      <c r="AP763" s="10" t="s">
        <v>104</v>
      </c>
      <c r="AQ763" s="10">
        <f ca="1">IFERROR(__xludf.DUMMYFUNCTION("""COMPUTED_VALUE"""),4758878)</f>
        <v>4758878</v>
      </c>
      <c r="AR763" s="17">
        <v>114108</v>
      </c>
      <c r="AS763" s="17">
        <v>70253</v>
      </c>
      <c r="AT763" s="17">
        <v>3614700.75</v>
      </c>
      <c r="AU763" s="17">
        <v>911.8</v>
      </c>
      <c r="AV763" s="17">
        <v>208.65</v>
      </c>
      <c r="AW763" s="10" t="s">
        <v>105</v>
      </c>
      <c r="AX763" s="17">
        <v>35935</v>
      </c>
      <c r="AY763" s="18">
        <v>51.452617681807183</v>
      </c>
      <c r="AZ763" s="10" t="s">
        <v>168</v>
      </c>
      <c r="BA763" s="20" t="b">
        <v>0</v>
      </c>
      <c r="BB763" s="10"/>
      <c r="BC763" s="17">
        <v>114108</v>
      </c>
      <c r="BD763" s="17">
        <v>70253</v>
      </c>
      <c r="BE763" s="17">
        <v>3614700.75</v>
      </c>
      <c r="BF763" s="17">
        <v>208.65</v>
      </c>
      <c r="BG763" s="11">
        <f ca="1">IFERROR(__xludf.DUMMYFUNCTION("""COMPUTED_VALUE"""),45995.0416666666)</f>
        <v>45995.041666666599</v>
      </c>
      <c r="BH763" s="17" t="s">
        <v>105</v>
      </c>
      <c r="BI763" s="17"/>
      <c r="BJ763" s="15"/>
      <c r="BK763" s="15"/>
      <c r="BL763" s="13" t="b">
        <v>0</v>
      </c>
      <c r="BM763" s="10"/>
      <c r="BN763" s="10" t="s">
        <v>667</v>
      </c>
      <c r="BO763" s="11">
        <v>45866.101388888892</v>
      </c>
      <c r="BP763" s="11">
        <v>45987.527592592596</v>
      </c>
      <c r="BQ763" s="15">
        <v>45992.671469907407</v>
      </c>
      <c r="BR763" s="15">
        <v>45993.52134259259</v>
      </c>
      <c r="BS763" s="10" t="s">
        <v>667</v>
      </c>
      <c r="BT763" s="10" t="s">
        <v>99</v>
      </c>
      <c r="BU763" s="10" t="s">
        <v>5854</v>
      </c>
      <c r="BV763" s="10" t="s">
        <v>124</v>
      </c>
      <c r="BW763" s="10"/>
      <c r="BX763" s="10"/>
      <c r="BY763" s="23"/>
      <c r="BZ763" s="23"/>
      <c r="CA763" s="19" t="s">
        <v>6829</v>
      </c>
      <c r="CB763" s="19" t="s">
        <v>6825</v>
      </c>
      <c r="CC763" s="23"/>
      <c r="CD763" s="19" t="s">
        <v>6830</v>
      </c>
      <c r="CE763" s="23"/>
      <c r="CF763" s="23"/>
      <c r="CG763" s="23"/>
      <c r="CH763" s="23"/>
      <c r="CI763" s="23"/>
    </row>
    <row r="764" spans="1:87" x14ac:dyDescent="0.3">
      <c r="A764" s="9" t="s">
        <v>6831</v>
      </c>
      <c r="B764" s="10" t="s">
        <v>6832</v>
      </c>
      <c r="C764" s="11">
        <v>46033.125</v>
      </c>
      <c r="D764" s="12">
        <v>8.3333333333333329E-2</v>
      </c>
      <c r="E764" s="11">
        <v>46033.208333333336</v>
      </c>
      <c r="F764" s="10" t="s">
        <v>5001</v>
      </c>
      <c r="G764" s="13" t="b">
        <v>0</v>
      </c>
      <c r="H764" s="10" t="s">
        <v>3578</v>
      </c>
      <c r="I764" s="10" t="s">
        <v>89</v>
      </c>
      <c r="J764" s="13" t="b">
        <v>0</v>
      </c>
      <c r="K764" s="13" t="b">
        <v>1</v>
      </c>
      <c r="L764" s="10" t="s">
        <v>124</v>
      </c>
      <c r="M764" s="10" t="s">
        <v>91</v>
      </c>
      <c r="N764" s="10" t="s">
        <v>92</v>
      </c>
      <c r="O764" s="19" t="s">
        <v>6833</v>
      </c>
      <c r="P764" s="10"/>
      <c r="Q764" s="10" t="s">
        <v>126</v>
      </c>
      <c r="R764" s="10"/>
      <c r="S764" s="19" t="s">
        <v>6834</v>
      </c>
      <c r="T764" s="10"/>
      <c r="U764" s="10" t="s">
        <v>5054</v>
      </c>
      <c r="V764" s="10" t="s">
        <v>5101</v>
      </c>
      <c r="W764" s="10" t="s">
        <v>5007</v>
      </c>
      <c r="X764" s="10" t="s">
        <v>130</v>
      </c>
      <c r="Y764" s="10" t="s">
        <v>130</v>
      </c>
      <c r="Z764" s="10" t="s">
        <v>99</v>
      </c>
      <c r="AA764" s="10" t="s">
        <v>131</v>
      </c>
      <c r="AB764" s="10" t="s">
        <v>5008</v>
      </c>
      <c r="AC764" s="10" t="s">
        <v>5009</v>
      </c>
      <c r="AD764" s="10" t="s">
        <v>6835</v>
      </c>
      <c r="AE764" s="10" t="s">
        <v>6836</v>
      </c>
      <c r="AF764" s="15"/>
      <c r="AG764" s="10"/>
      <c r="AH764" s="10"/>
      <c r="AI764" s="10"/>
      <c r="AJ764" s="10" t="s">
        <v>6837</v>
      </c>
      <c r="AK764" s="10" t="s">
        <v>102</v>
      </c>
      <c r="AL764" s="10" t="s">
        <v>2201</v>
      </c>
      <c r="AM764" s="10"/>
      <c r="AN764" s="10"/>
      <c r="AO764" s="13" t="b">
        <v>0</v>
      </c>
      <c r="AP764" s="10" t="s">
        <v>104</v>
      </c>
      <c r="AQ764" s="10">
        <f ca="1">IFERROR(__xludf.DUMMYFUNCTION("""COMPUTED_VALUE"""),4832527)</f>
        <v>4832527</v>
      </c>
      <c r="AR764" s="17"/>
      <c r="AS764" s="17"/>
      <c r="AT764" s="17"/>
      <c r="AU764" s="17"/>
      <c r="AV764" s="17"/>
      <c r="AW764" s="10"/>
      <c r="AX764" s="17"/>
      <c r="AY764" s="18" t="s">
        <v>257</v>
      </c>
      <c r="AZ764" s="10" t="s">
        <v>6778</v>
      </c>
      <c r="BA764" s="20" t="b">
        <v>0</v>
      </c>
      <c r="BB764" s="10"/>
      <c r="BC764" s="17" t="s">
        <v>257</v>
      </c>
      <c r="BD764" s="17" t="s">
        <v>257</v>
      </c>
      <c r="BE764" s="17" t="s">
        <v>257</v>
      </c>
      <c r="BF764" s="17" t="s">
        <v>257</v>
      </c>
      <c r="BG764" s="11">
        <f ca="1">IFERROR(__xludf.DUMMYFUNCTION("""COMPUTED_VALUE"""),46033.125)</f>
        <v>46033.125</v>
      </c>
      <c r="BH764" s="17"/>
      <c r="BI764" s="17"/>
      <c r="BJ764" s="15"/>
      <c r="BK764" s="15"/>
      <c r="BL764" s="13" t="b">
        <v>0</v>
      </c>
      <c r="BM764" s="10"/>
      <c r="BN764" s="10" t="s">
        <v>6778</v>
      </c>
      <c r="BO764" s="11">
        <v>45866.101388888892</v>
      </c>
      <c r="BP764" s="11">
        <v>46029.71435185185</v>
      </c>
      <c r="BQ764" s="15">
        <v>46031.900555555556</v>
      </c>
      <c r="BR764" s="15">
        <v>46030.413715277777</v>
      </c>
      <c r="BS764" s="10"/>
      <c r="BT764" s="10"/>
      <c r="BU764" s="10"/>
      <c r="BV764" s="10"/>
      <c r="BW764" s="10"/>
      <c r="BX764" s="10"/>
      <c r="BY764" s="23"/>
      <c r="BZ764" s="23"/>
      <c r="CA764" s="19" t="s">
        <v>6838</v>
      </c>
      <c r="CB764" s="19" t="s">
        <v>6839</v>
      </c>
      <c r="CC764" s="23"/>
      <c r="CD764" s="19" t="s">
        <v>6840</v>
      </c>
      <c r="CE764" s="23"/>
      <c r="CF764" s="23"/>
      <c r="CG764" s="23"/>
      <c r="CH764" s="23"/>
      <c r="CI764" s="23"/>
    </row>
    <row r="765" spans="1:87" x14ac:dyDescent="0.3">
      <c r="A765" s="9" t="s">
        <v>6841</v>
      </c>
      <c r="B765" s="10" t="s">
        <v>6842</v>
      </c>
      <c r="C765" s="11">
        <v>46035.125</v>
      </c>
      <c r="D765" s="12">
        <v>8.3333333333333329E-2</v>
      </c>
      <c r="E765" s="11">
        <v>46035.208333333336</v>
      </c>
      <c r="F765" s="10" t="s">
        <v>5001</v>
      </c>
      <c r="G765" s="13" t="b">
        <v>0</v>
      </c>
      <c r="H765" s="10" t="s">
        <v>3578</v>
      </c>
      <c r="I765" s="10" t="s">
        <v>89</v>
      </c>
      <c r="J765" s="13" t="b">
        <v>0</v>
      </c>
      <c r="K765" s="13" t="b">
        <v>1</v>
      </c>
      <c r="L765" s="10" t="s">
        <v>124</v>
      </c>
      <c r="M765" s="10" t="s">
        <v>91</v>
      </c>
      <c r="N765" s="10" t="s">
        <v>92</v>
      </c>
      <c r="O765" s="19" t="s">
        <v>6843</v>
      </c>
      <c r="P765" s="10"/>
      <c r="Q765" s="10" t="s">
        <v>126</v>
      </c>
      <c r="R765" s="10"/>
      <c r="S765" s="19" t="s">
        <v>6844</v>
      </c>
      <c r="T765" s="10"/>
      <c r="U765" s="10" t="s">
        <v>5077</v>
      </c>
      <c r="V765" s="10" t="s">
        <v>5066</v>
      </c>
      <c r="W765" s="10" t="s">
        <v>5007</v>
      </c>
      <c r="X765" s="10" t="s">
        <v>130</v>
      </c>
      <c r="Y765" s="10" t="s">
        <v>130</v>
      </c>
      <c r="Z765" s="10" t="s">
        <v>99</v>
      </c>
      <c r="AA765" s="10" t="s">
        <v>131</v>
      </c>
      <c r="AB765" s="10" t="s">
        <v>5008</v>
      </c>
      <c r="AC765" s="10" t="s">
        <v>5009</v>
      </c>
      <c r="AD765" s="10" t="s">
        <v>6845</v>
      </c>
      <c r="AE765" s="10" t="s">
        <v>6846</v>
      </c>
      <c r="AF765" s="15"/>
      <c r="AG765" s="10"/>
      <c r="AH765" s="10"/>
      <c r="AI765" s="10"/>
      <c r="AJ765" s="10" t="s">
        <v>6847</v>
      </c>
      <c r="AK765" s="10" t="s">
        <v>102</v>
      </c>
      <c r="AL765" s="10" t="s">
        <v>2201</v>
      </c>
      <c r="AM765" s="10"/>
      <c r="AN765" s="10"/>
      <c r="AO765" s="13" t="b">
        <v>0</v>
      </c>
      <c r="AP765" s="10" t="s">
        <v>104</v>
      </c>
      <c r="AQ765" s="10">
        <f ca="1">IFERROR(__xludf.DUMMYFUNCTION("""COMPUTED_VALUE"""),4835442)</f>
        <v>4835442</v>
      </c>
      <c r="AR765" s="17"/>
      <c r="AS765" s="17"/>
      <c r="AT765" s="17"/>
      <c r="AU765" s="17"/>
      <c r="AV765" s="17"/>
      <c r="AW765" s="10"/>
      <c r="AX765" s="17"/>
      <c r="AY765" s="18" t="s">
        <v>257</v>
      </c>
      <c r="AZ765" s="10" t="s">
        <v>6778</v>
      </c>
      <c r="BA765" s="20" t="b">
        <v>0</v>
      </c>
      <c r="BB765" s="10"/>
      <c r="BC765" s="17" t="s">
        <v>257</v>
      </c>
      <c r="BD765" s="17" t="s">
        <v>257</v>
      </c>
      <c r="BE765" s="17" t="s">
        <v>257</v>
      </c>
      <c r="BF765" s="17" t="s">
        <v>257</v>
      </c>
      <c r="BG765" s="11">
        <f ca="1">IFERROR(__xludf.DUMMYFUNCTION("""COMPUTED_VALUE"""),46035.125)</f>
        <v>46035.125</v>
      </c>
      <c r="BH765" s="17"/>
      <c r="BI765" s="17"/>
      <c r="BJ765" s="15"/>
      <c r="BK765" s="15"/>
      <c r="BL765" s="13" t="b">
        <v>0</v>
      </c>
      <c r="BM765" s="10"/>
      <c r="BN765" s="10" t="s">
        <v>149</v>
      </c>
      <c r="BO765" s="11">
        <v>45866.101388888892</v>
      </c>
      <c r="BP765" s="11">
        <v>46029.716053240743</v>
      </c>
      <c r="BQ765" s="15">
        <v>46031.901134259257</v>
      </c>
      <c r="BR765" s="15">
        <v>46032.426423611112</v>
      </c>
      <c r="BS765" s="10" t="s">
        <v>149</v>
      </c>
      <c r="BT765" s="10"/>
      <c r="BU765" s="10"/>
      <c r="BV765" s="10"/>
      <c r="BW765" s="10"/>
      <c r="BX765" s="10"/>
      <c r="BY765" s="23"/>
      <c r="BZ765" s="23"/>
      <c r="CA765" s="19" t="s">
        <v>6848</v>
      </c>
      <c r="CB765" s="19" t="s">
        <v>6849</v>
      </c>
      <c r="CC765" s="23"/>
      <c r="CD765" s="19" t="s">
        <v>6850</v>
      </c>
      <c r="CE765" s="23"/>
      <c r="CF765" s="23"/>
      <c r="CG765" s="23"/>
      <c r="CH765" s="23"/>
      <c r="CI765" s="23"/>
    </row>
    <row r="766" spans="1:87" x14ac:dyDescent="0.3">
      <c r="A766" s="9" t="s">
        <v>6851</v>
      </c>
      <c r="B766" s="10" t="s">
        <v>6852</v>
      </c>
      <c r="C766" s="11">
        <v>46041.125</v>
      </c>
      <c r="D766" s="12">
        <v>8.3333333333333329E-2</v>
      </c>
      <c r="E766" s="11">
        <v>46041.208333333336</v>
      </c>
      <c r="F766" s="10" t="s">
        <v>5001</v>
      </c>
      <c r="G766" s="13" t="b">
        <v>0</v>
      </c>
      <c r="H766" s="10" t="s">
        <v>3578</v>
      </c>
      <c r="I766" s="10" t="s">
        <v>89</v>
      </c>
      <c r="J766" s="13" t="b">
        <v>0</v>
      </c>
      <c r="K766" s="13" t="b">
        <v>1</v>
      </c>
      <c r="L766" s="10" t="s">
        <v>124</v>
      </c>
      <c r="M766" s="10" t="s">
        <v>91</v>
      </c>
      <c r="N766" s="10" t="s">
        <v>92</v>
      </c>
      <c r="O766" s="10"/>
      <c r="P766" s="10"/>
      <c r="Q766" s="10" t="s">
        <v>126</v>
      </c>
      <c r="R766" s="10"/>
      <c r="S766" s="10"/>
      <c r="T766" s="10"/>
      <c r="U766" s="10" t="s">
        <v>5055</v>
      </c>
      <c r="V766" s="10" t="s">
        <v>5042</v>
      </c>
      <c r="W766" s="10" t="s">
        <v>5007</v>
      </c>
      <c r="X766" s="10" t="s">
        <v>130</v>
      </c>
      <c r="Y766" s="10" t="s">
        <v>130</v>
      </c>
      <c r="Z766" s="10" t="s">
        <v>99</v>
      </c>
      <c r="AA766" s="10" t="s">
        <v>131</v>
      </c>
      <c r="AB766" s="10" t="s">
        <v>5008</v>
      </c>
      <c r="AC766" s="10" t="s">
        <v>5009</v>
      </c>
      <c r="AD766" s="10" t="s">
        <v>6853</v>
      </c>
      <c r="AE766" s="10" t="s">
        <v>6854</v>
      </c>
      <c r="AF766" s="15"/>
      <c r="AG766" s="10"/>
      <c r="AH766" s="10"/>
      <c r="AI766" s="10"/>
      <c r="AJ766" s="10"/>
      <c r="AK766" s="10"/>
      <c r="AL766" s="10" t="s">
        <v>2303</v>
      </c>
      <c r="AM766" s="10"/>
      <c r="AN766" s="10"/>
      <c r="AO766" s="13" t="b">
        <v>1</v>
      </c>
      <c r="AP766" s="10" t="s">
        <v>104</v>
      </c>
      <c r="AQ766" s="10"/>
      <c r="AR766" s="17"/>
      <c r="AS766" s="17"/>
      <c r="AT766" s="17"/>
      <c r="AU766" s="17"/>
      <c r="AV766" s="17"/>
      <c r="AW766" s="10"/>
      <c r="AX766" s="17"/>
      <c r="AY766" s="18" t="s">
        <v>257</v>
      </c>
      <c r="AZ766" s="10"/>
      <c r="BA766" s="20" t="b">
        <v>0</v>
      </c>
      <c r="BB766" s="10"/>
      <c r="BC766" s="17" t="s">
        <v>257</v>
      </c>
      <c r="BD766" s="17" t="s">
        <v>257</v>
      </c>
      <c r="BE766" s="17" t="s">
        <v>257</v>
      </c>
      <c r="BF766" s="17" t="s">
        <v>257</v>
      </c>
      <c r="BG766" s="11">
        <f ca="1">IFERROR(__xludf.DUMMYFUNCTION("""COMPUTED_VALUE"""),46041.125)</f>
        <v>46041.125</v>
      </c>
      <c r="BH766" s="17"/>
      <c r="BI766" s="17"/>
      <c r="BJ766" s="15"/>
      <c r="BK766" s="15"/>
      <c r="BL766" s="13" t="b">
        <v>0</v>
      </c>
      <c r="BM766" s="10"/>
      <c r="BN766" s="10" t="s">
        <v>5664</v>
      </c>
      <c r="BO766" s="11">
        <v>45866.101388888892</v>
      </c>
      <c r="BP766" s="11">
        <v>46024.337893518517</v>
      </c>
      <c r="BQ766" s="15"/>
      <c r="BR766" s="15"/>
      <c r="BS766" s="10"/>
      <c r="BT766" s="10" t="s">
        <v>99</v>
      </c>
      <c r="BU766" s="10"/>
      <c r="BV766" s="10" t="s">
        <v>124</v>
      </c>
      <c r="BW766" s="10"/>
      <c r="BX766" s="10"/>
      <c r="BY766" s="23"/>
      <c r="BZ766" s="23"/>
      <c r="CA766" s="23"/>
      <c r="CB766" s="23"/>
      <c r="CC766" s="23"/>
      <c r="CD766" s="23"/>
      <c r="CE766" s="23"/>
      <c r="CF766" s="23"/>
      <c r="CG766" s="23"/>
      <c r="CH766" s="23"/>
      <c r="CI766" s="23"/>
    </row>
    <row r="767" spans="1:87" x14ac:dyDescent="0.3">
      <c r="A767" s="9" t="s">
        <v>6855</v>
      </c>
      <c r="B767" s="10" t="s">
        <v>6856</v>
      </c>
      <c r="C767" s="11">
        <v>46039.833333333336</v>
      </c>
      <c r="D767" s="12">
        <v>8.3333333333333329E-2</v>
      </c>
      <c r="E767" s="11">
        <v>46039.916666666664</v>
      </c>
      <c r="F767" s="10" t="s">
        <v>5001</v>
      </c>
      <c r="G767" s="13" t="b">
        <v>0</v>
      </c>
      <c r="H767" s="10" t="s">
        <v>3578</v>
      </c>
      <c r="I767" s="10" t="s">
        <v>89</v>
      </c>
      <c r="J767" s="13" t="b">
        <v>0</v>
      </c>
      <c r="K767" s="13" t="b">
        <v>1</v>
      </c>
      <c r="L767" s="10" t="s">
        <v>124</v>
      </c>
      <c r="M767" s="10" t="s">
        <v>91</v>
      </c>
      <c r="N767" s="10" t="s">
        <v>92</v>
      </c>
      <c r="O767" s="10"/>
      <c r="P767" s="10"/>
      <c r="Q767" s="10" t="s">
        <v>126</v>
      </c>
      <c r="R767" s="10"/>
      <c r="S767" s="10"/>
      <c r="T767" s="10"/>
      <c r="U767" s="10" t="s">
        <v>5113</v>
      </c>
      <c r="V767" s="10" t="s">
        <v>5032</v>
      </c>
      <c r="W767" s="10" t="s">
        <v>5007</v>
      </c>
      <c r="X767" s="10" t="s">
        <v>130</v>
      </c>
      <c r="Y767" s="10" t="s">
        <v>130</v>
      </c>
      <c r="Z767" s="10" t="s">
        <v>99</v>
      </c>
      <c r="AA767" s="10" t="s">
        <v>131</v>
      </c>
      <c r="AB767" s="10" t="s">
        <v>5008</v>
      </c>
      <c r="AC767" s="10" t="s">
        <v>5009</v>
      </c>
      <c r="AD767" s="10" t="s">
        <v>6857</v>
      </c>
      <c r="AE767" s="10" t="s">
        <v>6858</v>
      </c>
      <c r="AF767" s="15"/>
      <c r="AG767" s="10"/>
      <c r="AH767" s="10"/>
      <c r="AI767" s="10"/>
      <c r="AJ767" s="10"/>
      <c r="AK767" s="10"/>
      <c r="AL767" s="10" t="s">
        <v>2303</v>
      </c>
      <c r="AM767" s="10"/>
      <c r="AN767" s="10"/>
      <c r="AO767" s="13" t="b">
        <v>1</v>
      </c>
      <c r="AP767" s="10" t="s">
        <v>104</v>
      </c>
      <c r="AQ767" s="10"/>
      <c r="AR767" s="17"/>
      <c r="AS767" s="17"/>
      <c r="AT767" s="17"/>
      <c r="AU767" s="17"/>
      <c r="AV767" s="17"/>
      <c r="AW767" s="10"/>
      <c r="AX767" s="17"/>
      <c r="AY767" s="18" t="s">
        <v>257</v>
      </c>
      <c r="AZ767" s="10"/>
      <c r="BA767" s="20" t="b">
        <v>0</v>
      </c>
      <c r="BB767" s="10"/>
      <c r="BC767" s="17" t="s">
        <v>257</v>
      </c>
      <c r="BD767" s="17" t="s">
        <v>257</v>
      </c>
      <c r="BE767" s="17" t="s">
        <v>257</v>
      </c>
      <c r="BF767" s="17" t="s">
        <v>257</v>
      </c>
      <c r="BG767" s="11">
        <f ca="1">IFERROR(__xludf.DUMMYFUNCTION("""COMPUTED_VALUE"""),46039.8333333333)</f>
        <v>46039.833333333299</v>
      </c>
      <c r="BH767" s="17"/>
      <c r="BI767" s="17"/>
      <c r="BJ767" s="15"/>
      <c r="BK767" s="15"/>
      <c r="BL767" s="13" t="b">
        <v>0</v>
      </c>
      <c r="BM767" s="10"/>
      <c r="BN767" s="10" t="s">
        <v>5664</v>
      </c>
      <c r="BO767" s="11">
        <v>45866.101388888892</v>
      </c>
      <c r="BP767" s="11">
        <v>46024.336504629631</v>
      </c>
      <c r="BQ767" s="15"/>
      <c r="BR767" s="15"/>
      <c r="BS767" s="10"/>
      <c r="BT767" s="10" t="s">
        <v>99</v>
      </c>
      <c r="BU767" s="10"/>
      <c r="BV767" s="10" t="s">
        <v>281</v>
      </c>
      <c r="BW767" s="10" t="s">
        <v>282</v>
      </c>
      <c r="BX767" s="10"/>
      <c r="BY767" s="23"/>
      <c r="BZ767" s="23"/>
      <c r="CA767" s="23"/>
      <c r="CB767" s="23"/>
      <c r="CC767" s="23"/>
      <c r="CD767" s="23"/>
      <c r="CE767" s="23"/>
      <c r="CF767" s="23"/>
      <c r="CG767" s="23"/>
      <c r="CH767" s="23"/>
      <c r="CI767" s="23"/>
    </row>
    <row r="768" spans="1:87" x14ac:dyDescent="0.3">
      <c r="A768" s="9" t="s">
        <v>6859</v>
      </c>
      <c r="B768" s="10" t="s">
        <v>6860</v>
      </c>
      <c r="C768" s="11">
        <v>46040.020833333336</v>
      </c>
      <c r="D768" s="12">
        <v>8.3333333333333329E-2</v>
      </c>
      <c r="E768" s="11">
        <v>46040.104166666664</v>
      </c>
      <c r="F768" s="10" t="s">
        <v>5001</v>
      </c>
      <c r="G768" s="13" t="b">
        <v>0</v>
      </c>
      <c r="H768" s="10" t="s">
        <v>3578</v>
      </c>
      <c r="I768" s="10" t="s">
        <v>89</v>
      </c>
      <c r="J768" s="13" t="b">
        <v>0</v>
      </c>
      <c r="K768" s="13" t="b">
        <v>1</v>
      </c>
      <c r="L768" s="10" t="s">
        <v>124</v>
      </c>
      <c r="M768" s="10" t="s">
        <v>91</v>
      </c>
      <c r="N768" s="10" t="s">
        <v>92</v>
      </c>
      <c r="O768" s="10"/>
      <c r="P768" s="10"/>
      <c r="Q768" s="10" t="s">
        <v>94</v>
      </c>
      <c r="R768" s="10"/>
      <c r="S768" s="10"/>
      <c r="T768" s="10"/>
      <c r="U768" s="10" t="s">
        <v>5114</v>
      </c>
      <c r="V768" s="10" t="s">
        <v>5019</v>
      </c>
      <c r="W768" s="10" t="s">
        <v>5007</v>
      </c>
      <c r="X768" s="10" t="s">
        <v>130</v>
      </c>
      <c r="Y768" s="10" t="s">
        <v>130</v>
      </c>
      <c r="Z768" s="10" t="s">
        <v>99</v>
      </c>
      <c r="AA768" s="10" t="s">
        <v>131</v>
      </c>
      <c r="AB768" s="10" t="s">
        <v>5008</v>
      </c>
      <c r="AC768" s="10" t="s">
        <v>5009</v>
      </c>
      <c r="AD768" s="10" t="s">
        <v>6861</v>
      </c>
      <c r="AE768" s="10" t="s">
        <v>6862</v>
      </c>
      <c r="AF768" s="15"/>
      <c r="AG768" s="10"/>
      <c r="AH768" s="10"/>
      <c r="AI768" s="10"/>
      <c r="AJ768" s="10"/>
      <c r="AK768" s="10"/>
      <c r="AL768" s="10" t="s">
        <v>2303</v>
      </c>
      <c r="AM768" s="10"/>
      <c r="AN768" s="10"/>
      <c r="AO768" s="13" t="b">
        <v>0</v>
      </c>
      <c r="AP768" s="10" t="s">
        <v>104</v>
      </c>
      <c r="AQ768" s="10"/>
      <c r="AR768" s="17"/>
      <c r="AS768" s="17"/>
      <c r="AT768" s="17"/>
      <c r="AU768" s="17"/>
      <c r="AV768" s="17"/>
      <c r="AW768" s="10"/>
      <c r="AX768" s="17"/>
      <c r="AY768" s="18" t="s">
        <v>257</v>
      </c>
      <c r="AZ768" s="10"/>
      <c r="BA768" s="20" t="b">
        <v>0</v>
      </c>
      <c r="BB768" s="10"/>
      <c r="BC768" s="17" t="s">
        <v>257</v>
      </c>
      <c r="BD768" s="17" t="s">
        <v>257</v>
      </c>
      <c r="BE768" s="17" t="s">
        <v>257</v>
      </c>
      <c r="BF768" s="17" t="s">
        <v>257</v>
      </c>
      <c r="BG768" s="11">
        <f ca="1">IFERROR(__xludf.DUMMYFUNCTION("""COMPUTED_VALUE"""),46040.0208333333)</f>
        <v>46040.020833333299</v>
      </c>
      <c r="BH768" s="17"/>
      <c r="BI768" s="17"/>
      <c r="BJ768" s="15"/>
      <c r="BK768" s="15"/>
      <c r="BL768" s="13" t="b">
        <v>0</v>
      </c>
      <c r="BM768" s="10"/>
      <c r="BN768" s="10" t="s">
        <v>108</v>
      </c>
      <c r="BO768" s="11">
        <v>45866.101388888892</v>
      </c>
      <c r="BP768" s="11">
        <v>46024.337025462963</v>
      </c>
      <c r="BQ768" s="15"/>
      <c r="BR768" s="15"/>
      <c r="BS768" s="10"/>
      <c r="BT768" s="10"/>
      <c r="BU768" s="10"/>
      <c r="BV768" s="10"/>
      <c r="BW768" s="10"/>
      <c r="BX768" s="10"/>
      <c r="BY768" s="23"/>
      <c r="BZ768" s="23"/>
      <c r="CA768" s="23"/>
      <c r="CB768" s="23"/>
      <c r="CC768" s="23"/>
      <c r="CD768" s="23"/>
      <c r="CE768" s="23"/>
      <c r="CF768" s="23"/>
      <c r="CG768" s="23"/>
      <c r="CH768" s="23"/>
      <c r="CI768" s="23"/>
    </row>
    <row r="769" spans="1:87" x14ac:dyDescent="0.3">
      <c r="A769" s="9" t="s">
        <v>6863</v>
      </c>
      <c r="B769" s="10" t="s">
        <v>6864</v>
      </c>
      <c r="C769" s="11">
        <v>46040.927083333336</v>
      </c>
      <c r="D769" s="12">
        <v>8.3333333333333329E-2</v>
      </c>
      <c r="E769" s="11">
        <v>46041.010416666664</v>
      </c>
      <c r="F769" s="10" t="s">
        <v>5001</v>
      </c>
      <c r="G769" s="13" t="b">
        <v>0</v>
      </c>
      <c r="H769" s="10" t="s">
        <v>3578</v>
      </c>
      <c r="I769" s="10" t="s">
        <v>89</v>
      </c>
      <c r="J769" s="13" t="b">
        <v>0</v>
      </c>
      <c r="K769" s="13" t="b">
        <v>1</v>
      </c>
      <c r="L769" s="10" t="s">
        <v>124</v>
      </c>
      <c r="M769" s="10" t="s">
        <v>91</v>
      </c>
      <c r="N769" s="10" t="s">
        <v>92</v>
      </c>
      <c r="O769" s="10"/>
      <c r="P769" s="10"/>
      <c r="Q769" s="10" t="s">
        <v>126</v>
      </c>
      <c r="R769" s="10"/>
      <c r="S769" s="10"/>
      <c r="T769" s="10"/>
      <c r="U769" s="10" t="s">
        <v>5090</v>
      </c>
      <c r="V769" s="10" t="s">
        <v>5031</v>
      </c>
      <c r="W769" s="10" t="s">
        <v>5007</v>
      </c>
      <c r="X769" s="10" t="s">
        <v>130</v>
      </c>
      <c r="Y769" s="10" t="s">
        <v>130</v>
      </c>
      <c r="Z769" s="10" t="s">
        <v>99</v>
      </c>
      <c r="AA769" s="10" t="s">
        <v>131</v>
      </c>
      <c r="AB769" s="10" t="s">
        <v>5008</v>
      </c>
      <c r="AC769" s="10" t="s">
        <v>5009</v>
      </c>
      <c r="AD769" s="10" t="s">
        <v>6865</v>
      </c>
      <c r="AE769" s="10" t="s">
        <v>6866</v>
      </c>
      <c r="AF769" s="15"/>
      <c r="AG769" s="10"/>
      <c r="AH769" s="10"/>
      <c r="AI769" s="10"/>
      <c r="AJ769" s="10"/>
      <c r="AK769" s="10"/>
      <c r="AL769" s="10" t="s">
        <v>2303</v>
      </c>
      <c r="AM769" s="10"/>
      <c r="AN769" s="10"/>
      <c r="AO769" s="13" t="b">
        <v>0</v>
      </c>
      <c r="AP769" s="10" t="s">
        <v>104</v>
      </c>
      <c r="AQ769" s="10"/>
      <c r="AR769" s="17"/>
      <c r="AS769" s="17"/>
      <c r="AT769" s="17"/>
      <c r="AU769" s="17"/>
      <c r="AV769" s="17"/>
      <c r="AW769" s="10"/>
      <c r="AX769" s="17"/>
      <c r="AY769" s="18" t="s">
        <v>257</v>
      </c>
      <c r="AZ769" s="10"/>
      <c r="BA769" s="20" t="b">
        <v>0</v>
      </c>
      <c r="BB769" s="10"/>
      <c r="BC769" s="17" t="s">
        <v>257</v>
      </c>
      <c r="BD769" s="17" t="s">
        <v>257</v>
      </c>
      <c r="BE769" s="17" t="s">
        <v>257</v>
      </c>
      <c r="BF769" s="17" t="s">
        <v>257</v>
      </c>
      <c r="BG769" s="11">
        <f ca="1">IFERROR(__xludf.DUMMYFUNCTION("""COMPUTED_VALUE"""),46040.9270833333)</f>
        <v>46040.927083333299</v>
      </c>
      <c r="BH769" s="17"/>
      <c r="BI769" s="17"/>
      <c r="BJ769" s="15"/>
      <c r="BK769" s="15"/>
      <c r="BL769" s="13" t="b">
        <v>0</v>
      </c>
      <c r="BM769" s="10"/>
      <c r="BN769" s="10" t="s">
        <v>108</v>
      </c>
      <c r="BO769" s="11">
        <v>45866.101388888892</v>
      </c>
      <c r="BP769" s="11">
        <v>46024.337592592594</v>
      </c>
      <c r="BQ769" s="15"/>
      <c r="BR769" s="15"/>
      <c r="BS769" s="10"/>
      <c r="BT769" s="10"/>
      <c r="BU769" s="10"/>
      <c r="BV769" s="10" t="s">
        <v>124</v>
      </c>
      <c r="BW769" s="10"/>
      <c r="BX769" s="10"/>
      <c r="BY769" s="23"/>
      <c r="BZ769" s="23"/>
      <c r="CA769" s="23"/>
      <c r="CB769" s="23"/>
      <c r="CC769" s="23"/>
      <c r="CD769" s="23"/>
      <c r="CE769" s="23"/>
      <c r="CF769" s="23"/>
      <c r="CG769" s="23"/>
      <c r="CH769" s="23"/>
      <c r="CI769" s="23"/>
    </row>
    <row r="770" spans="1:87" x14ac:dyDescent="0.3">
      <c r="A770" s="9" t="s">
        <v>6867</v>
      </c>
      <c r="B770" s="10" t="s">
        <v>6868</v>
      </c>
      <c r="C770" s="11">
        <v>46040.125</v>
      </c>
      <c r="D770" s="12">
        <v>8.3333333333333329E-2</v>
      </c>
      <c r="E770" s="11">
        <v>46040.208333333336</v>
      </c>
      <c r="F770" s="10" t="s">
        <v>5001</v>
      </c>
      <c r="G770" s="13" t="b">
        <v>0</v>
      </c>
      <c r="H770" s="10" t="s">
        <v>3578</v>
      </c>
      <c r="I770" s="10" t="s">
        <v>89</v>
      </c>
      <c r="J770" s="13" t="b">
        <v>0</v>
      </c>
      <c r="K770" s="13" t="b">
        <v>1</v>
      </c>
      <c r="L770" s="10" t="s">
        <v>124</v>
      </c>
      <c r="M770" s="10" t="s">
        <v>91</v>
      </c>
      <c r="N770" s="10" t="s">
        <v>92</v>
      </c>
      <c r="O770" s="10"/>
      <c r="P770" s="10"/>
      <c r="Q770" s="10" t="s">
        <v>126</v>
      </c>
      <c r="R770" s="10"/>
      <c r="S770" s="10"/>
      <c r="T770" s="10"/>
      <c r="U770" s="10" t="s">
        <v>5102</v>
      </c>
      <c r="V770" s="10" t="s">
        <v>5018</v>
      </c>
      <c r="W770" s="10" t="s">
        <v>5007</v>
      </c>
      <c r="X770" s="10" t="s">
        <v>130</v>
      </c>
      <c r="Y770" s="10" t="s">
        <v>130</v>
      </c>
      <c r="Z770" s="10" t="s">
        <v>99</v>
      </c>
      <c r="AA770" s="10" t="s">
        <v>131</v>
      </c>
      <c r="AB770" s="10" t="s">
        <v>5008</v>
      </c>
      <c r="AC770" s="10" t="s">
        <v>5009</v>
      </c>
      <c r="AD770" s="10" t="s">
        <v>6869</v>
      </c>
      <c r="AE770" s="10" t="s">
        <v>6870</v>
      </c>
      <c r="AF770" s="15"/>
      <c r="AG770" s="10"/>
      <c r="AH770" s="10"/>
      <c r="AI770" s="10"/>
      <c r="AJ770" s="10"/>
      <c r="AK770" s="10"/>
      <c r="AL770" s="10" t="s">
        <v>2303</v>
      </c>
      <c r="AM770" s="10"/>
      <c r="AN770" s="10"/>
      <c r="AO770" s="13" t="b">
        <v>0</v>
      </c>
      <c r="AP770" s="10" t="s">
        <v>104</v>
      </c>
      <c r="AQ770" s="10"/>
      <c r="AR770" s="17"/>
      <c r="AS770" s="17"/>
      <c r="AT770" s="17"/>
      <c r="AU770" s="17"/>
      <c r="AV770" s="17"/>
      <c r="AW770" s="10"/>
      <c r="AX770" s="17"/>
      <c r="AY770" s="18" t="s">
        <v>257</v>
      </c>
      <c r="AZ770" s="10"/>
      <c r="BA770" s="20" t="b">
        <v>0</v>
      </c>
      <c r="BB770" s="10"/>
      <c r="BC770" s="17" t="s">
        <v>257</v>
      </c>
      <c r="BD770" s="17" t="s">
        <v>257</v>
      </c>
      <c r="BE770" s="17" t="s">
        <v>257</v>
      </c>
      <c r="BF770" s="17" t="s">
        <v>257</v>
      </c>
      <c r="BG770" s="11">
        <f ca="1">IFERROR(__xludf.DUMMYFUNCTION("""COMPUTED_VALUE"""),46040.125)</f>
        <v>46040.125</v>
      </c>
      <c r="BH770" s="17"/>
      <c r="BI770" s="17"/>
      <c r="BJ770" s="15"/>
      <c r="BK770" s="15"/>
      <c r="BL770" s="13" t="b">
        <v>0</v>
      </c>
      <c r="BM770" s="10"/>
      <c r="BN770" s="10" t="s">
        <v>108</v>
      </c>
      <c r="BO770" s="11">
        <v>45866.101388888892</v>
      </c>
      <c r="BP770" s="11">
        <v>46024.337210648147</v>
      </c>
      <c r="BQ770" s="15"/>
      <c r="BR770" s="15"/>
      <c r="BS770" s="10"/>
      <c r="BT770" s="10"/>
      <c r="BU770" s="10"/>
      <c r="BV770" s="10"/>
      <c r="BW770" s="10"/>
      <c r="BX770" s="10"/>
      <c r="BY770" s="23"/>
      <c r="BZ770" s="23"/>
      <c r="CA770" s="23"/>
      <c r="CB770" s="23"/>
      <c r="CC770" s="23"/>
      <c r="CD770" s="23"/>
      <c r="CE770" s="23"/>
      <c r="CF770" s="23"/>
      <c r="CG770" s="23"/>
      <c r="CH770" s="23"/>
      <c r="CI770" s="23"/>
    </row>
    <row r="771" spans="1:87" x14ac:dyDescent="0.3">
      <c r="A771" s="9" t="s">
        <v>6871</v>
      </c>
      <c r="B771" s="10" t="s">
        <v>6872</v>
      </c>
      <c r="C771" s="11">
        <v>46042.125</v>
      </c>
      <c r="D771" s="12">
        <v>8.3333333333333329E-2</v>
      </c>
      <c r="E771" s="11">
        <v>46042.208333333336</v>
      </c>
      <c r="F771" s="10" t="s">
        <v>5001</v>
      </c>
      <c r="G771" s="13" t="b">
        <v>0</v>
      </c>
      <c r="H771" s="10" t="s">
        <v>3578</v>
      </c>
      <c r="I771" s="10" t="s">
        <v>89</v>
      </c>
      <c r="J771" s="13" t="b">
        <v>0</v>
      </c>
      <c r="K771" s="13" t="b">
        <v>1</v>
      </c>
      <c r="L771" s="10" t="s">
        <v>124</v>
      </c>
      <c r="M771" s="10" t="s">
        <v>91</v>
      </c>
      <c r="N771" s="10" t="s">
        <v>92</v>
      </c>
      <c r="O771" s="10"/>
      <c r="P771" s="10"/>
      <c r="Q771" s="10" t="s">
        <v>126</v>
      </c>
      <c r="R771" s="10"/>
      <c r="S771" s="10"/>
      <c r="T771" s="10"/>
      <c r="U771" s="10" t="s">
        <v>5101</v>
      </c>
      <c r="V771" s="10" t="s">
        <v>5077</v>
      </c>
      <c r="W771" s="10" t="s">
        <v>5007</v>
      </c>
      <c r="X771" s="10" t="s">
        <v>130</v>
      </c>
      <c r="Y771" s="10" t="s">
        <v>130</v>
      </c>
      <c r="Z771" s="10" t="s">
        <v>99</v>
      </c>
      <c r="AA771" s="10" t="s">
        <v>131</v>
      </c>
      <c r="AB771" s="10" t="s">
        <v>5008</v>
      </c>
      <c r="AC771" s="10" t="s">
        <v>5009</v>
      </c>
      <c r="AD771" s="10" t="s">
        <v>6873</v>
      </c>
      <c r="AE771" s="10" t="s">
        <v>6874</v>
      </c>
      <c r="AF771" s="15"/>
      <c r="AG771" s="10"/>
      <c r="AH771" s="10"/>
      <c r="AI771" s="10"/>
      <c r="AJ771" s="10"/>
      <c r="AK771" s="10"/>
      <c r="AL771" s="10" t="s">
        <v>2303</v>
      </c>
      <c r="AM771" s="10"/>
      <c r="AN771" s="10"/>
      <c r="AO771" s="13" t="b">
        <v>0</v>
      </c>
      <c r="AP771" s="10" t="s">
        <v>104</v>
      </c>
      <c r="AQ771" s="10"/>
      <c r="AR771" s="17"/>
      <c r="AS771" s="17"/>
      <c r="AT771" s="17"/>
      <c r="AU771" s="17"/>
      <c r="AV771" s="17"/>
      <c r="AW771" s="10"/>
      <c r="AX771" s="17"/>
      <c r="AY771" s="18" t="s">
        <v>257</v>
      </c>
      <c r="AZ771" s="10"/>
      <c r="BA771" s="20" t="b">
        <v>0</v>
      </c>
      <c r="BB771" s="10"/>
      <c r="BC771" s="17" t="s">
        <v>257</v>
      </c>
      <c r="BD771" s="17" t="s">
        <v>257</v>
      </c>
      <c r="BE771" s="17" t="s">
        <v>257</v>
      </c>
      <c r="BF771" s="17" t="s">
        <v>257</v>
      </c>
      <c r="BG771" s="11">
        <f ca="1">IFERROR(__xludf.DUMMYFUNCTION("""COMPUTED_VALUE"""),46042.125)</f>
        <v>46042.125</v>
      </c>
      <c r="BH771" s="17"/>
      <c r="BI771" s="17"/>
      <c r="BJ771" s="15"/>
      <c r="BK771" s="15"/>
      <c r="BL771" s="13" t="b">
        <v>0</v>
      </c>
      <c r="BM771" s="10"/>
      <c r="BN771" s="10" t="s">
        <v>108</v>
      </c>
      <c r="BO771" s="11">
        <v>45866.101388888892</v>
      </c>
      <c r="BP771" s="11">
        <v>46024.33803240741</v>
      </c>
      <c r="BQ771" s="15"/>
      <c r="BR771" s="15"/>
      <c r="BS771" s="10"/>
      <c r="BT771" s="10"/>
      <c r="BU771" s="10"/>
      <c r="BV771" s="10"/>
      <c r="BW771" s="10"/>
      <c r="BX771" s="10"/>
      <c r="BY771" s="23"/>
      <c r="BZ771" s="23"/>
      <c r="CA771" s="23"/>
      <c r="CB771" s="23"/>
      <c r="CC771" s="23"/>
      <c r="CD771" s="23"/>
      <c r="CE771" s="23"/>
      <c r="CF771" s="23"/>
      <c r="CG771" s="23"/>
      <c r="CH771" s="23"/>
      <c r="CI771" s="23"/>
    </row>
    <row r="772" spans="1:87" x14ac:dyDescent="0.3">
      <c r="A772" s="9" t="s">
        <v>6875</v>
      </c>
      <c r="B772" s="10" t="s">
        <v>6876</v>
      </c>
      <c r="C772" s="11">
        <v>46041.020833333336</v>
      </c>
      <c r="D772" s="12">
        <v>8.3333333333333329E-2</v>
      </c>
      <c r="E772" s="11">
        <v>46041.104166666664</v>
      </c>
      <c r="F772" s="10" t="s">
        <v>5001</v>
      </c>
      <c r="G772" s="13" t="b">
        <v>0</v>
      </c>
      <c r="H772" s="10" t="s">
        <v>3578</v>
      </c>
      <c r="I772" s="10" t="s">
        <v>89</v>
      </c>
      <c r="J772" s="13" t="b">
        <v>0</v>
      </c>
      <c r="K772" s="13" t="b">
        <v>1</v>
      </c>
      <c r="L772" s="10" t="s">
        <v>124</v>
      </c>
      <c r="M772" s="10" t="s">
        <v>91</v>
      </c>
      <c r="N772" s="10" t="s">
        <v>92</v>
      </c>
      <c r="O772" s="10"/>
      <c r="P772" s="10"/>
      <c r="Q772" s="10" t="s">
        <v>94</v>
      </c>
      <c r="R772" s="10"/>
      <c r="S772" s="10"/>
      <c r="T772" s="10"/>
      <c r="U772" s="10" t="s">
        <v>5066</v>
      </c>
      <c r="V772" s="10" t="s">
        <v>5006</v>
      </c>
      <c r="W772" s="10" t="s">
        <v>5007</v>
      </c>
      <c r="X772" s="10" t="s">
        <v>130</v>
      </c>
      <c r="Y772" s="10" t="s">
        <v>130</v>
      </c>
      <c r="Z772" s="10" t="s">
        <v>99</v>
      </c>
      <c r="AA772" s="10" t="s">
        <v>131</v>
      </c>
      <c r="AB772" s="10" t="s">
        <v>5008</v>
      </c>
      <c r="AC772" s="10" t="s">
        <v>5009</v>
      </c>
      <c r="AD772" s="10" t="s">
        <v>6877</v>
      </c>
      <c r="AE772" s="10" t="s">
        <v>6878</v>
      </c>
      <c r="AF772" s="15"/>
      <c r="AG772" s="10"/>
      <c r="AH772" s="10"/>
      <c r="AI772" s="10"/>
      <c r="AJ772" s="10"/>
      <c r="AK772" s="10"/>
      <c r="AL772" s="10" t="s">
        <v>2303</v>
      </c>
      <c r="AM772" s="10"/>
      <c r="AN772" s="10"/>
      <c r="AO772" s="13" t="b">
        <v>0</v>
      </c>
      <c r="AP772" s="10" t="s">
        <v>104</v>
      </c>
      <c r="AQ772" s="10"/>
      <c r="AR772" s="17"/>
      <c r="AS772" s="17"/>
      <c r="AT772" s="17"/>
      <c r="AU772" s="17"/>
      <c r="AV772" s="17"/>
      <c r="AW772" s="10"/>
      <c r="AX772" s="17"/>
      <c r="AY772" s="18" t="s">
        <v>257</v>
      </c>
      <c r="AZ772" s="10"/>
      <c r="BA772" s="20" t="b">
        <v>0</v>
      </c>
      <c r="BB772" s="10"/>
      <c r="BC772" s="17" t="s">
        <v>257</v>
      </c>
      <c r="BD772" s="17" t="s">
        <v>257</v>
      </c>
      <c r="BE772" s="17" t="s">
        <v>257</v>
      </c>
      <c r="BF772" s="17" t="s">
        <v>257</v>
      </c>
      <c r="BG772" s="11">
        <f ca="1">IFERROR(__xludf.DUMMYFUNCTION("""COMPUTED_VALUE"""),46041.0208333333)</f>
        <v>46041.020833333299</v>
      </c>
      <c r="BH772" s="17"/>
      <c r="BI772" s="17"/>
      <c r="BJ772" s="15"/>
      <c r="BK772" s="15"/>
      <c r="BL772" s="13" t="b">
        <v>0</v>
      </c>
      <c r="BM772" s="10"/>
      <c r="BN772" s="10" t="s">
        <v>108</v>
      </c>
      <c r="BO772" s="11">
        <v>45866.101388888892</v>
      </c>
      <c r="BP772" s="11">
        <v>46024.337719907409</v>
      </c>
      <c r="BQ772" s="15"/>
      <c r="BR772" s="15"/>
      <c r="BS772" s="10"/>
      <c r="BT772" s="10"/>
      <c r="BU772" s="10"/>
      <c r="BV772" s="10"/>
      <c r="BW772" s="10"/>
      <c r="BX772" s="10"/>
      <c r="BY772" s="23"/>
      <c r="BZ772" s="23"/>
      <c r="CA772" s="23"/>
      <c r="CB772" s="23"/>
      <c r="CC772" s="23"/>
      <c r="CD772" s="23"/>
      <c r="CE772" s="23"/>
      <c r="CF772" s="23"/>
      <c r="CG772" s="23"/>
      <c r="CH772" s="23"/>
      <c r="CI772" s="23"/>
    </row>
    <row r="773" spans="1:87" x14ac:dyDescent="0.3">
      <c r="A773" s="9" t="s">
        <v>6879</v>
      </c>
      <c r="B773" s="10" t="s">
        <v>6880</v>
      </c>
      <c r="C773" s="11">
        <v>46039.927083333336</v>
      </c>
      <c r="D773" s="12">
        <v>8.3333333333333329E-2</v>
      </c>
      <c r="E773" s="11">
        <v>46040.010416666664</v>
      </c>
      <c r="F773" s="10" t="s">
        <v>5001</v>
      </c>
      <c r="G773" s="13" t="b">
        <v>0</v>
      </c>
      <c r="H773" s="10" t="s">
        <v>3578</v>
      </c>
      <c r="I773" s="10" t="s">
        <v>89</v>
      </c>
      <c r="J773" s="13" t="b">
        <v>0</v>
      </c>
      <c r="K773" s="13" t="b">
        <v>1</v>
      </c>
      <c r="L773" s="10" t="s">
        <v>124</v>
      </c>
      <c r="M773" s="10" t="s">
        <v>91</v>
      </c>
      <c r="N773" s="10" t="s">
        <v>92</v>
      </c>
      <c r="O773" s="10"/>
      <c r="P773" s="10"/>
      <c r="Q773" s="10" t="s">
        <v>126</v>
      </c>
      <c r="R773" s="10"/>
      <c r="S773" s="10"/>
      <c r="T773" s="10"/>
      <c r="U773" s="10" t="s">
        <v>5041</v>
      </c>
      <c r="V773" s="10" t="s">
        <v>5076</v>
      </c>
      <c r="W773" s="10" t="s">
        <v>5007</v>
      </c>
      <c r="X773" s="10" t="s">
        <v>130</v>
      </c>
      <c r="Y773" s="10" t="s">
        <v>130</v>
      </c>
      <c r="Z773" s="10" t="s">
        <v>99</v>
      </c>
      <c r="AA773" s="10" t="s">
        <v>131</v>
      </c>
      <c r="AB773" s="10" t="s">
        <v>5008</v>
      </c>
      <c r="AC773" s="10" t="s">
        <v>5009</v>
      </c>
      <c r="AD773" s="10" t="s">
        <v>6881</v>
      </c>
      <c r="AE773" s="10" t="s">
        <v>6882</v>
      </c>
      <c r="AF773" s="15"/>
      <c r="AG773" s="10"/>
      <c r="AH773" s="10"/>
      <c r="AI773" s="10"/>
      <c r="AJ773" s="10"/>
      <c r="AK773" s="10"/>
      <c r="AL773" s="10" t="s">
        <v>2303</v>
      </c>
      <c r="AM773" s="10"/>
      <c r="AN773" s="10"/>
      <c r="AO773" s="13" t="b">
        <v>0</v>
      </c>
      <c r="AP773" s="10" t="s">
        <v>104</v>
      </c>
      <c r="AQ773" s="10"/>
      <c r="AR773" s="17"/>
      <c r="AS773" s="17"/>
      <c r="AT773" s="17"/>
      <c r="AU773" s="17"/>
      <c r="AV773" s="17"/>
      <c r="AW773" s="10"/>
      <c r="AX773" s="17"/>
      <c r="AY773" s="18" t="s">
        <v>257</v>
      </c>
      <c r="AZ773" s="10"/>
      <c r="BA773" s="20" t="b">
        <v>0</v>
      </c>
      <c r="BB773" s="10"/>
      <c r="BC773" s="17" t="s">
        <v>257</v>
      </c>
      <c r="BD773" s="17" t="s">
        <v>257</v>
      </c>
      <c r="BE773" s="17" t="s">
        <v>257</v>
      </c>
      <c r="BF773" s="17" t="s">
        <v>257</v>
      </c>
      <c r="BG773" s="11">
        <f ca="1">IFERROR(__xludf.DUMMYFUNCTION("""COMPUTED_VALUE"""),46039.9270833333)</f>
        <v>46039.927083333299</v>
      </c>
      <c r="BH773" s="17"/>
      <c r="BI773" s="17"/>
      <c r="BJ773" s="15"/>
      <c r="BK773" s="15"/>
      <c r="BL773" s="13" t="b">
        <v>0</v>
      </c>
      <c r="BM773" s="10"/>
      <c r="BN773" s="10" t="s">
        <v>108</v>
      </c>
      <c r="BO773" s="11">
        <v>45866.101388888892</v>
      </c>
      <c r="BP773" s="11">
        <v>46024.336701388886</v>
      </c>
      <c r="BQ773" s="15"/>
      <c r="BR773" s="15"/>
      <c r="BS773" s="10"/>
      <c r="BT773" s="10"/>
      <c r="BU773" s="10"/>
      <c r="BV773" s="10"/>
      <c r="BW773" s="10"/>
      <c r="BX773" s="10"/>
      <c r="BY773" s="23"/>
      <c r="BZ773" s="23"/>
      <c r="CA773" s="23"/>
      <c r="CB773" s="23"/>
      <c r="CC773" s="23"/>
      <c r="CD773" s="23"/>
      <c r="CE773" s="23"/>
      <c r="CF773" s="23"/>
      <c r="CG773" s="23"/>
      <c r="CH773" s="23"/>
      <c r="CI773" s="23"/>
    </row>
    <row r="774" spans="1:87" x14ac:dyDescent="0.3">
      <c r="A774" s="9" t="s">
        <v>6883</v>
      </c>
      <c r="B774" s="10" t="s">
        <v>6884</v>
      </c>
      <c r="C774" s="11">
        <v>46039.125</v>
      </c>
      <c r="D774" s="12">
        <v>8.3333333333333329E-2</v>
      </c>
      <c r="E774" s="11">
        <v>46039.208333333336</v>
      </c>
      <c r="F774" s="10" t="s">
        <v>5001</v>
      </c>
      <c r="G774" s="13" t="b">
        <v>0</v>
      </c>
      <c r="H774" s="10" t="s">
        <v>3578</v>
      </c>
      <c r="I774" s="10" t="s">
        <v>89</v>
      </c>
      <c r="J774" s="13" t="b">
        <v>0</v>
      </c>
      <c r="K774" s="13" t="b">
        <v>1</v>
      </c>
      <c r="L774" s="10" t="s">
        <v>124</v>
      </c>
      <c r="M774" s="10" t="s">
        <v>91</v>
      </c>
      <c r="N774" s="10" t="s">
        <v>92</v>
      </c>
      <c r="O774" s="10"/>
      <c r="P774" s="10"/>
      <c r="Q774" s="10" t="s">
        <v>94</v>
      </c>
      <c r="R774" s="10"/>
      <c r="S774" s="10"/>
      <c r="T774" s="10"/>
      <c r="U774" s="10" t="s">
        <v>5089</v>
      </c>
      <c r="V774" s="10" t="s">
        <v>5005</v>
      </c>
      <c r="W774" s="10" t="s">
        <v>5007</v>
      </c>
      <c r="X774" s="10" t="s">
        <v>130</v>
      </c>
      <c r="Y774" s="10" t="s">
        <v>130</v>
      </c>
      <c r="Z774" s="10" t="s">
        <v>99</v>
      </c>
      <c r="AA774" s="10" t="s">
        <v>131</v>
      </c>
      <c r="AB774" s="10" t="s">
        <v>5008</v>
      </c>
      <c r="AC774" s="10" t="s">
        <v>5009</v>
      </c>
      <c r="AD774" s="10" t="s">
        <v>6885</v>
      </c>
      <c r="AE774" s="10" t="s">
        <v>6886</v>
      </c>
      <c r="AF774" s="15"/>
      <c r="AG774" s="10"/>
      <c r="AH774" s="10"/>
      <c r="AI774" s="10"/>
      <c r="AJ774" s="10"/>
      <c r="AK774" s="10"/>
      <c r="AL774" s="10" t="s">
        <v>2303</v>
      </c>
      <c r="AM774" s="10"/>
      <c r="AN774" s="10"/>
      <c r="AO774" s="13" t="b">
        <v>0</v>
      </c>
      <c r="AP774" s="10" t="s">
        <v>104</v>
      </c>
      <c r="AQ774" s="10"/>
      <c r="AR774" s="17"/>
      <c r="AS774" s="17"/>
      <c r="AT774" s="17"/>
      <c r="AU774" s="17"/>
      <c r="AV774" s="17"/>
      <c r="AW774" s="10"/>
      <c r="AX774" s="17"/>
      <c r="AY774" s="18" t="s">
        <v>257</v>
      </c>
      <c r="AZ774" s="10"/>
      <c r="BA774" s="20" t="b">
        <v>0</v>
      </c>
      <c r="BB774" s="10"/>
      <c r="BC774" s="17" t="s">
        <v>257</v>
      </c>
      <c r="BD774" s="17" t="s">
        <v>257</v>
      </c>
      <c r="BE774" s="17" t="s">
        <v>257</v>
      </c>
      <c r="BF774" s="17" t="s">
        <v>257</v>
      </c>
      <c r="BG774" s="11">
        <f ca="1">IFERROR(__xludf.DUMMYFUNCTION("""COMPUTED_VALUE"""),46039.125)</f>
        <v>46039.125</v>
      </c>
      <c r="BH774" s="17"/>
      <c r="BI774" s="17"/>
      <c r="BJ774" s="15"/>
      <c r="BK774" s="15"/>
      <c r="BL774" s="13" t="b">
        <v>0</v>
      </c>
      <c r="BM774" s="10"/>
      <c r="BN774" s="10" t="s">
        <v>108</v>
      </c>
      <c r="BO774" s="11">
        <v>45866.101388888892</v>
      </c>
      <c r="BP774" s="11">
        <v>46024.335729166669</v>
      </c>
      <c r="BQ774" s="15"/>
      <c r="BR774" s="15"/>
      <c r="BS774" s="10"/>
      <c r="BT774" s="10"/>
      <c r="BU774" s="10"/>
      <c r="BV774" s="10"/>
      <c r="BW774" s="10"/>
      <c r="BX774" s="10"/>
      <c r="BY774" s="23"/>
      <c r="BZ774" s="23"/>
      <c r="CA774" s="23"/>
      <c r="CB774" s="23"/>
      <c r="CC774" s="23"/>
      <c r="CD774" s="23"/>
      <c r="CE774" s="23"/>
      <c r="CF774" s="23"/>
      <c r="CG774" s="23"/>
      <c r="CH774" s="23"/>
      <c r="CI774" s="23"/>
    </row>
    <row r="775" spans="1:87" x14ac:dyDescent="0.3">
      <c r="A775" s="9" t="s">
        <v>6887</v>
      </c>
      <c r="B775" s="10" t="s">
        <v>6888</v>
      </c>
      <c r="C775" s="11">
        <v>46040.833333333336</v>
      </c>
      <c r="D775" s="12">
        <v>8.3333333333333329E-2</v>
      </c>
      <c r="E775" s="11">
        <v>46040.916666666664</v>
      </c>
      <c r="F775" s="10" t="s">
        <v>5001</v>
      </c>
      <c r="G775" s="13" t="b">
        <v>0</v>
      </c>
      <c r="H775" s="10" t="s">
        <v>3578</v>
      </c>
      <c r="I775" s="10" t="s">
        <v>89</v>
      </c>
      <c r="J775" s="13" t="b">
        <v>0</v>
      </c>
      <c r="K775" s="13" t="b">
        <v>1</v>
      </c>
      <c r="L775" s="10" t="s">
        <v>124</v>
      </c>
      <c r="M775" s="10" t="s">
        <v>91</v>
      </c>
      <c r="N775" s="10" t="s">
        <v>92</v>
      </c>
      <c r="O775" s="10"/>
      <c r="P775" s="10"/>
      <c r="Q775" s="10" t="s">
        <v>126</v>
      </c>
      <c r="R775" s="10"/>
      <c r="S775" s="10"/>
      <c r="T775" s="10"/>
      <c r="U775" s="10" t="s">
        <v>5067</v>
      </c>
      <c r="V775" s="10" t="s">
        <v>5054</v>
      </c>
      <c r="W775" s="10" t="s">
        <v>5007</v>
      </c>
      <c r="X775" s="10" t="s">
        <v>130</v>
      </c>
      <c r="Y775" s="10" t="s">
        <v>130</v>
      </c>
      <c r="Z775" s="10" t="s">
        <v>99</v>
      </c>
      <c r="AA775" s="10" t="s">
        <v>131</v>
      </c>
      <c r="AB775" s="10" t="s">
        <v>5008</v>
      </c>
      <c r="AC775" s="10" t="s">
        <v>5009</v>
      </c>
      <c r="AD775" s="10" t="s">
        <v>6889</v>
      </c>
      <c r="AE775" s="10" t="s">
        <v>6890</v>
      </c>
      <c r="AF775" s="15"/>
      <c r="AG775" s="10"/>
      <c r="AH775" s="10"/>
      <c r="AI775" s="10"/>
      <c r="AJ775" s="10"/>
      <c r="AK775" s="10"/>
      <c r="AL775" s="10" t="s">
        <v>2303</v>
      </c>
      <c r="AM775" s="10"/>
      <c r="AN775" s="10"/>
      <c r="AO775" s="13" t="b">
        <v>0</v>
      </c>
      <c r="AP775" s="10" t="s">
        <v>104</v>
      </c>
      <c r="AQ775" s="10"/>
      <c r="AR775" s="17"/>
      <c r="AS775" s="17"/>
      <c r="AT775" s="17"/>
      <c r="AU775" s="17"/>
      <c r="AV775" s="17"/>
      <c r="AW775" s="10"/>
      <c r="AX775" s="17"/>
      <c r="AY775" s="18" t="s">
        <v>257</v>
      </c>
      <c r="AZ775" s="10"/>
      <c r="BA775" s="20" t="b">
        <v>0</v>
      </c>
      <c r="BB775" s="10"/>
      <c r="BC775" s="17" t="s">
        <v>257</v>
      </c>
      <c r="BD775" s="17" t="s">
        <v>257</v>
      </c>
      <c r="BE775" s="17" t="s">
        <v>257</v>
      </c>
      <c r="BF775" s="17" t="s">
        <v>257</v>
      </c>
      <c r="BG775" s="11">
        <f ca="1">IFERROR(__xludf.DUMMYFUNCTION("""COMPUTED_VALUE"""),46040.8333333333)</f>
        <v>46040.833333333299</v>
      </c>
      <c r="BH775" s="17"/>
      <c r="BI775" s="17"/>
      <c r="BJ775" s="15"/>
      <c r="BK775" s="15"/>
      <c r="BL775" s="13" t="b">
        <v>0</v>
      </c>
      <c r="BM775" s="10"/>
      <c r="BN775" s="10" t="s">
        <v>108</v>
      </c>
      <c r="BO775" s="11">
        <v>45866.101388888892</v>
      </c>
      <c r="BP775" s="11">
        <v>46024.337407407409</v>
      </c>
      <c r="BQ775" s="15"/>
      <c r="BR775" s="15"/>
      <c r="BS775" s="10"/>
      <c r="BT775" s="10"/>
      <c r="BU775" s="10"/>
      <c r="BV775" s="10"/>
      <c r="BW775" s="10"/>
      <c r="BX775" s="10"/>
      <c r="BY775" s="23"/>
      <c r="BZ775" s="23"/>
      <c r="CA775" s="23"/>
      <c r="CB775" s="23"/>
      <c r="CC775" s="23"/>
      <c r="CD775" s="23"/>
      <c r="CE775" s="23"/>
      <c r="CF775" s="23"/>
      <c r="CG775" s="23"/>
      <c r="CH775" s="23"/>
      <c r="CI775" s="23"/>
    </row>
    <row r="776" spans="1:87" x14ac:dyDescent="0.3">
      <c r="A776" s="9" t="s">
        <v>6891</v>
      </c>
      <c r="B776" s="10" t="s">
        <v>6892</v>
      </c>
      <c r="C776" s="11">
        <v>46046.833333333336</v>
      </c>
      <c r="D776" s="12">
        <v>8.3333333333333329E-2</v>
      </c>
      <c r="E776" s="11">
        <v>46046.916666666664</v>
      </c>
      <c r="F776" s="10" t="s">
        <v>5001</v>
      </c>
      <c r="G776" s="13" t="b">
        <v>0</v>
      </c>
      <c r="H776" s="10" t="s">
        <v>3578</v>
      </c>
      <c r="I776" s="10" t="s">
        <v>89</v>
      </c>
      <c r="J776" s="13" t="b">
        <v>0</v>
      </c>
      <c r="K776" s="13" t="b">
        <v>1</v>
      </c>
      <c r="L776" s="10" t="s">
        <v>124</v>
      </c>
      <c r="M776" s="10" t="s">
        <v>91</v>
      </c>
      <c r="N776" s="10" t="s">
        <v>92</v>
      </c>
      <c r="O776" s="10"/>
      <c r="P776" s="10"/>
      <c r="Q776" s="10" t="s">
        <v>94</v>
      </c>
      <c r="R776" s="10"/>
      <c r="S776" s="10"/>
      <c r="T776" s="10"/>
      <c r="U776" s="10" t="s">
        <v>5006</v>
      </c>
      <c r="V776" s="10" t="s">
        <v>5114</v>
      </c>
      <c r="W776" s="10" t="s">
        <v>5007</v>
      </c>
      <c r="X776" s="10" t="s">
        <v>130</v>
      </c>
      <c r="Y776" s="10" t="s">
        <v>130</v>
      </c>
      <c r="Z776" s="10" t="s">
        <v>99</v>
      </c>
      <c r="AA776" s="10" t="s">
        <v>131</v>
      </c>
      <c r="AB776" s="10" t="s">
        <v>5008</v>
      </c>
      <c r="AC776" s="10" t="s">
        <v>5009</v>
      </c>
      <c r="AD776" s="10" t="s">
        <v>6893</v>
      </c>
      <c r="AE776" s="10" t="s">
        <v>6894</v>
      </c>
      <c r="AF776" s="15"/>
      <c r="AG776" s="10"/>
      <c r="AH776" s="10"/>
      <c r="AI776" s="10"/>
      <c r="AJ776" s="10"/>
      <c r="AK776" s="10"/>
      <c r="AL776" s="10" t="s">
        <v>2405</v>
      </c>
      <c r="AM776" s="10"/>
      <c r="AN776" s="10"/>
      <c r="AO776" s="13" t="b">
        <v>0</v>
      </c>
      <c r="AP776" s="10" t="s">
        <v>104</v>
      </c>
      <c r="AQ776" s="10"/>
      <c r="AR776" s="17"/>
      <c r="AS776" s="17"/>
      <c r="AT776" s="17"/>
      <c r="AU776" s="17"/>
      <c r="AV776" s="17"/>
      <c r="AW776" s="10"/>
      <c r="AX776" s="17"/>
      <c r="AY776" s="18" t="s">
        <v>257</v>
      </c>
      <c r="AZ776" s="10"/>
      <c r="BA776" s="20" t="b">
        <v>0</v>
      </c>
      <c r="BB776" s="10"/>
      <c r="BC776" s="17" t="s">
        <v>257</v>
      </c>
      <c r="BD776" s="17" t="s">
        <v>257</v>
      </c>
      <c r="BE776" s="17" t="s">
        <v>257</v>
      </c>
      <c r="BF776" s="17" t="s">
        <v>257</v>
      </c>
      <c r="BG776" s="11">
        <f ca="1">IFERROR(__xludf.DUMMYFUNCTION("""COMPUTED_VALUE"""),46046.8333333333)</f>
        <v>46046.833333333299</v>
      </c>
      <c r="BH776" s="17"/>
      <c r="BI776" s="17"/>
      <c r="BJ776" s="15"/>
      <c r="BK776" s="15"/>
      <c r="BL776" s="13" t="b">
        <v>0</v>
      </c>
      <c r="BM776" s="10"/>
      <c r="BN776" s="10" t="s">
        <v>108</v>
      </c>
      <c r="BO776" s="11">
        <v>45866.101388888892</v>
      </c>
      <c r="BP776" s="11">
        <v>46031.660405092596</v>
      </c>
      <c r="BQ776" s="15"/>
      <c r="BR776" s="15"/>
      <c r="BS776" s="10"/>
      <c r="BT776" s="10"/>
      <c r="BU776" s="10"/>
      <c r="BV776" s="10"/>
      <c r="BW776" s="10"/>
      <c r="BX776" s="10"/>
      <c r="BY776" s="23"/>
      <c r="BZ776" s="23"/>
      <c r="CA776" s="23"/>
      <c r="CB776" s="23"/>
      <c r="CC776" s="23"/>
      <c r="CD776" s="23"/>
      <c r="CE776" s="23"/>
      <c r="CF776" s="23"/>
      <c r="CG776" s="23"/>
      <c r="CH776" s="23"/>
      <c r="CI776" s="23"/>
    </row>
    <row r="777" spans="1:87" x14ac:dyDescent="0.3">
      <c r="A777" s="9" t="s">
        <v>6895</v>
      </c>
      <c r="B777" s="10" t="s">
        <v>6896</v>
      </c>
      <c r="C777" s="11">
        <v>46047.125</v>
      </c>
      <c r="D777" s="12">
        <v>8.3333333333333329E-2</v>
      </c>
      <c r="E777" s="11">
        <v>46047.208333333336</v>
      </c>
      <c r="F777" s="10" t="s">
        <v>5001</v>
      </c>
      <c r="G777" s="13" t="b">
        <v>0</v>
      </c>
      <c r="H777" s="10" t="s">
        <v>3578</v>
      </c>
      <c r="I777" s="10" t="s">
        <v>89</v>
      </c>
      <c r="J777" s="13" t="b">
        <v>0</v>
      </c>
      <c r="K777" s="13" t="b">
        <v>1</v>
      </c>
      <c r="L777" s="10" t="s">
        <v>124</v>
      </c>
      <c r="M777" s="10" t="s">
        <v>91</v>
      </c>
      <c r="N777" s="10" t="s">
        <v>92</v>
      </c>
      <c r="O777" s="10"/>
      <c r="P777" s="10"/>
      <c r="Q777" s="10" t="s">
        <v>126</v>
      </c>
      <c r="R777" s="10"/>
      <c r="S777" s="10"/>
      <c r="T777" s="10"/>
      <c r="U777" s="10" t="s">
        <v>5018</v>
      </c>
      <c r="V777" s="10" t="s">
        <v>5113</v>
      </c>
      <c r="W777" s="10" t="s">
        <v>5007</v>
      </c>
      <c r="X777" s="10" t="s">
        <v>130</v>
      </c>
      <c r="Y777" s="10" t="s">
        <v>130</v>
      </c>
      <c r="Z777" s="10" t="s">
        <v>99</v>
      </c>
      <c r="AA777" s="10" t="s">
        <v>131</v>
      </c>
      <c r="AB777" s="10" t="s">
        <v>5008</v>
      </c>
      <c r="AC777" s="10" t="s">
        <v>5009</v>
      </c>
      <c r="AD777" s="10" t="s">
        <v>6897</v>
      </c>
      <c r="AE777" s="10" t="s">
        <v>6898</v>
      </c>
      <c r="AF777" s="15"/>
      <c r="AG777" s="10"/>
      <c r="AH777" s="10"/>
      <c r="AI777" s="10"/>
      <c r="AJ777" s="10"/>
      <c r="AK777" s="10"/>
      <c r="AL777" s="10" t="s">
        <v>2405</v>
      </c>
      <c r="AM777" s="10"/>
      <c r="AN777" s="10"/>
      <c r="AO777" s="13" t="b">
        <v>1</v>
      </c>
      <c r="AP777" s="10" t="s">
        <v>104</v>
      </c>
      <c r="AQ777" s="10"/>
      <c r="AR777" s="17"/>
      <c r="AS777" s="17"/>
      <c r="AT777" s="17"/>
      <c r="AU777" s="17"/>
      <c r="AV777" s="17"/>
      <c r="AW777" s="10"/>
      <c r="AX777" s="17"/>
      <c r="AY777" s="18" t="s">
        <v>257</v>
      </c>
      <c r="AZ777" s="10"/>
      <c r="BA777" s="20" t="b">
        <v>0</v>
      </c>
      <c r="BB777" s="10"/>
      <c r="BC777" s="17" t="s">
        <v>257</v>
      </c>
      <c r="BD777" s="17" t="s">
        <v>257</v>
      </c>
      <c r="BE777" s="17" t="s">
        <v>257</v>
      </c>
      <c r="BF777" s="17" t="s">
        <v>257</v>
      </c>
      <c r="BG777" s="11">
        <f ca="1">IFERROR(__xludf.DUMMYFUNCTION("""COMPUTED_VALUE"""),46047.125)</f>
        <v>46047.125</v>
      </c>
      <c r="BH777" s="17"/>
      <c r="BI777" s="17"/>
      <c r="BJ777" s="15"/>
      <c r="BK777" s="15"/>
      <c r="BL777" s="13" t="b">
        <v>0</v>
      </c>
      <c r="BM777" s="10" t="s">
        <v>107</v>
      </c>
      <c r="BN777" s="10" t="s">
        <v>108</v>
      </c>
      <c r="BO777" s="11">
        <v>45866.101388888892</v>
      </c>
      <c r="BP777" s="11">
        <v>46031.656122685185</v>
      </c>
      <c r="BQ777" s="15"/>
      <c r="BR777" s="15"/>
      <c r="BS777" s="10"/>
      <c r="BT777" s="10"/>
      <c r="BU777" s="10"/>
      <c r="BV777" s="10"/>
      <c r="BW777" s="10"/>
      <c r="BX777" s="10"/>
      <c r="BY777" s="23"/>
      <c r="BZ777" s="23"/>
      <c r="CA777" s="23"/>
      <c r="CB777" s="23"/>
      <c r="CC777" s="23"/>
      <c r="CD777" s="23"/>
      <c r="CE777" s="23"/>
      <c r="CF777" s="23"/>
      <c r="CG777" s="23"/>
      <c r="CH777" s="23"/>
      <c r="CI777" s="23"/>
    </row>
    <row r="778" spans="1:87" x14ac:dyDescent="0.3">
      <c r="A778" s="9" t="s">
        <v>6899</v>
      </c>
      <c r="B778" s="10" t="s">
        <v>6900</v>
      </c>
      <c r="C778" s="11">
        <v>46049.125</v>
      </c>
      <c r="D778" s="12">
        <v>8.3333333333333329E-2</v>
      </c>
      <c r="E778" s="11">
        <v>46049.208333333336</v>
      </c>
      <c r="F778" s="10" t="s">
        <v>5001</v>
      </c>
      <c r="G778" s="13" t="b">
        <v>0</v>
      </c>
      <c r="H778" s="10" t="s">
        <v>3578</v>
      </c>
      <c r="I778" s="10" t="s">
        <v>89</v>
      </c>
      <c r="J778" s="13" t="b">
        <v>0</v>
      </c>
      <c r="K778" s="13" t="b">
        <v>1</v>
      </c>
      <c r="L778" s="10" t="s">
        <v>124</v>
      </c>
      <c r="M778" s="10" t="s">
        <v>91</v>
      </c>
      <c r="N778" s="10" t="s">
        <v>92</v>
      </c>
      <c r="O778" s="10"/>
      <c r="P778" s="10"/>
      <c r="Q778" s="10" t="s">
        <v>126</v>
      </c>
      <c r="R778" s="10"/>
      <c r="S778" s="10"/>
      <c r="T778" s="10"/>
      <c r="U778" s="10" t="s">
        <v>5005</v>
      </c>
      <c r="V778" s="10" t="s">
        <v>5067</v>
      </c>
      <c r="W778" s="10" t="s">
        <v>5007</v>
      </c>
      <c r="X778" s="10" t="s">
        <v>130</v>
      </c>
      <c r="Y778" s="10" t="s">
        <v>130</v>
      </c>
      <c r="Z778" s="10" t="s">
        <v>99</v>
      </c>
      <c r="AA778" s="10" t="s">
        <v>131</v>
      </c>
      <c r="AB778" s="10" t="s">
        <v>5008</v>
      </c>
      <c r="AC778" s="10" t="s">
        <v>5009</v>
      </c>
      <c r="AD778" s="10" t="s">
        <v>6901</v>
      </c>
      <c r="AE778" s="10" t="s">
        <v>6902</v>
      </c>
      <c r="AF778" s="15"/>
      <c r="AG778" s="10"/>
      <c r="AH778" s="10"/>
      <c r="AI778" s="10"/>
      <c r="AJ778" s="10"/>
      <c r="AK778" s="10"/>
      <c r="AL778" s="10" t="s">
        <v>2405</v>
      </c>
      <c r="AM778" s="10"/>
      <c r="AN778" s="10"/>
      <c r="AO778" s="13" t="b">
        <v>0</v>
      </c>
      <c r="AP778" s="10" t="s">
        <v>104</v>
      </c>
      <c r="AQ778" s="10"/>
      <c r="AR778" s="17"/>
      <c r="AS778" s="17"/>
      <c r="AT778" s="17"/>
      <c r="AU778" s="17"/>
      <c r="AV778" s="17"/>
      <c r="AW778" s="10"/>
      <c r="AX778" s="17"/>
      <c r="AY778" s="18" t="s">
        <v>257</v>
      </c>
      <c r="AZ778" s="10"/>
      <c r="BA778" s="20" t="b">
        <v>0</v>
      </c>
      <c r="BB778" s="10"/>
      <c r="BC778" s="17" t="s">
        <v>257</v>
      </c>
      <c r="BD778" s="17" t="s">
        <v>257</v>
      </c>
      <c r="BE778" s="17" t="s">
        <v>257</v>
      </c>
      <c r="BF778" s="17" t="s">
        <v>257</v>
      </c>
      <c r="BG778" s="11">
        <f ca="1">IFERROR(__xludf.DUMMYFUNCTION("""COMPUTED_VALUE"""),46049.125)</f>
        <v>46049.125</v>
      </c>
      <c r="BH778" s="17"/>
      <c r="BI778" s="17"/>
      <c r="BJ778" s="15"/>
      <c r="BK778" s="15"/>
      <c r="BL778" s="13" t="b">
        <v>0</v>
      </c>
      <c r="BM778" s="10" t="s">
        <v>107</v>
      </c>
      <c r="BN778" s="10" t="s">
        <v>108</v>
      </c>
      <c r="BO778" s="11">
        <v>45866.101388888892</v>
      </c>
      <c r="BP778" s="11">
        <v>46031.658125000002</v>
      </c>
      <c r="BQ778" s="15"/>
      <c r="BR778" s="15"/>
      <c r="BS778" s="10"/>
      <c r="BT778" s="10"/>
      <c r="BU778" s="10"/>
      <c r="BV778" s="10"/>
      <c r="BW778" s="10"/>
      <c r="BX778" s="10"/>
      <c r="BY778" s="23"/>
      <c r="BZ778" s="23"/>
      <c r="CA778" s="23"/>
      <c r="CB778" s="23"/>
      <c r="CC778" s="23"/>
      <c r="CD778" s="23"/>
      <c r="CE778" s="23"/>
      <c r="CF778" s="23"/>
      <c r="CG778" s="23"/>
      <c r="CH778" s="23"/>
      <c r="CI778" s="23"/>
    </row>
    <row r="779" spans="1:87" x14ac:dyDescent="0.3">
      <c r="A779" s="9" t="s">
        <v>6903</v>
      </c>
      <c r="B779" s="10" t="s">
        <v>6904</v>
      </c>
      <c r="C779" s="11">
        <v>46048.125</v>
      </c>
      <c r="D779" s="12">
        <v>8.3333333333333329E-2</v>
      </c>
      <c r="E779" s="11">
        <v>46048.208333333336</v>
      </c>
      <c r="F779" s="10" t="s">
        <v>5001</v>
      </c>
      <c r="G779" s="13" t="b">
        <v>0</v>
      </c>
      <c r="H779" s="10" t="s">
        <v>3578</v>
      </c>
      <c r="I779" s="10" t="s">
        <v>89</v>
      </c>
      <c r="J779" s="13" t="b">
        <v>0</v>
      </c>
      <c r="K779" s="13" t="b">
        <v>1</v>
      </c>
      <c r="L779" s="10" t="s">
        <v>124</v>
      </c>
      <c r="M779" s="10" t="s">
        <v>91</v>
      </c>
      <c r="N779" s="10" t="s">
        <v>92</v>
      </c>
      <c r="O779" s="10"/>
      <c r="P779" s="10"/>
      <c r="Q779" s="10" t="s">
        <v>126</v>
      </c>
      <c r="R779" s="10"/>
      <c r="S779" s="10"/>
      <c r="T779" s="10"/>
      <c r="U779" s="10" t="s">
        <v>5031</v>
      </c>
      <c r="V779" s="10" t="s">
        <v>5102</v>
      </c>
      <c r="W779" s="10" t="s">
        <v>5007</v>
      </c>
      <c r="X779" s="10" t="s">
        <v>130</v>
      </c>
      <c r="Y779" s="10" t="s">
        <v>130</v>
      </c>
      <c r="Z779" s="10" t="s">
        <v>99</v>
      </c>
      <c r="AA779" s="10" t="s">
        <v>131</v>
      </c>
      <c r="AB779" s="10" t="s">
        <v>5008</v>
      </c>
      <c r="AC779" s="10" t="s">
        <v>5009</v>
      </c>
      <c r="AD779" s="10" t="s">
        <v>6905</v>
      </c>
      <c r="AE779" s="10" t="s">
        <v>6906</v>
      </c>
      <c r="AF779" s="15"/>
      <c r="AG779" s="10"/>
      <c r="AH779" s="10"/>
      <c r="AI779" s="10"/>
      <c r="AJ779" s="10"/>
      <c r="AK779" s="10"/>
      <c r="AL779" s="10" t="s">
        <v>2405</v>
      </c>
      <c r="AM779" s="10"/>
      <c r="AN779" s="10"/>
      <c r="AO779" s="13" t="b">
        <v>0</v>
      </c>
      <c r="AP779" s="10" t="s">
        <v>104</v>
      </c>
      <c r="AQ779" s="10"/>
      <c r="AR779" s="17"/>
      <c r="AS779" s="17"/>
      <c r="AT779" s="17"/>
      <c r="AU779" s="17"/>
      <c r="AV779" s="17"/>
      <c r="AW779" s="10"/>
      <c r="AX779" s="17"/>
      <c r="AY779" s="18" t="s">
        <v>257</v>
      </c>
      <c r="AZ779" s="10"/>
      <c r="BA779" s="20" t="b">
        <v>0</v>
      </c>
      <c r="BB779" s="10"/>
      <c r="BC779" s="17" t="s">
        <v>257</v>
      </c>
      <c r="BD779" s="17" t="s">
        <v>257</v>
      </c>
      <c r="BE779" s="17" t="s">
        <v>257</v>
      </c>
      <c r="BF779" s="17" t="s">
        <v>257</v>
      </c>
      <c r="BG779" s="11">
        <f ca="1">IFERROR(__xludf.DUMMYFUNCTION("""COMPUTED_VALUE"""),46048.125)</f>
        <v>46048.125</v>
      </c>
      <c r="BH779" s="17"/>
      <c r="BI779" s="17"/>
      <c r="BJ779" s="15"/>
      <c r="BK779" s="15"/>
      <c r="BL779" s="13" t="b">
        <v>0</v>
      </c>
      <c r="BM779" s="10" t="s">
        <v>107</v>
      </c>
      <c r="BN779" s="10" t="s">
        <v>108</v>
      </c>
      <c r="BO779" s="11">
        <v>45866.101388888892</v>
      </c>
      <c r="BP779" s="11">
        <v>46031.657858796294</v>
      </c>
      <c r="BQ779" s="15"/>
      <c r="BR779" s="15"/>
      <c r="BS779" s="10"/>
      <c r="BT779" s="10"/>
      <c r="BU779" s="10"/>
      <c r="BV779" s="10"/>
      <c r="BW779" s="10"/>
      <c r="BX779" s="10"/>
      <c r="BY779" s="23"/>
      <c r="BZ779" s="23"/>
      <c r="CA779" s="23"/>
      <c r="CB779" s="23"/>
      <c r="CC779" s="23"/>
      <c r="CD779" s="23"/>
      <c r="CE779" s="23"/>
      <c r="CF779" s="23"/>
      <c r="CG779" s="23"/>
      <c r="CH779" s="23"/>
      <c r="CI779" s="23"/>
    </row>
    <row r="780" spans="1:87" x14ac:dyDescent="0.3">
      <c r="A780" s="9" t="s">
        <v>6907</v>
      </c>
      <c r="B780" s="10" t="s">
        <v>6908</v>
      </c>
      <c r="C780" s="11">
        <v>46047.927083333336</v>
      </c>
      <c r="D780" s="12">
        <v>8.3333333333333329E-2</v>
      </c>
      <c r="E780" s="11">
        <v>46048.010416666664</v>
      </c>
      <c r="F780" s="10" t="s">
        <v>5001</v>
      </c>
      <c r="G780" s="13" t="b">
        <v>0</v>
      </c>
      <c r="H780" s="10" t="s">
        <v>3578</v>
      </c>
      <c r="I780" s="10" t="s">
        <v>89</v>
      </c>
      <c r="J780" s="13" t="b">
        <v>0</v>
      </c>
      <c r="K780" s="13" t="b">
        <v>1</v>
      </c>
      <c r="L780" s="10" t="s">
        <v>124</v>
      </c>
      <c r="M780" s="10" t="s">
        <v>91</v>
      </c>
      <c r="N780" s="10" t="s">
        <v>92</v>
      </c>
      <c r="O780" s="10"/>
      <c r="P780" s="10"/>
      <c r="Q780" s="10" t="s">
        <v>126</v>
      </c>
      <c r="R780" s="10"/>
      <c r="S780" s="10"/>
      <c r="T780" s="10"/>
      <c r="U780" s="10" t="s">
        <v>5042</v>
      </c>
      <c r="V780" s="10" t="s">
        <v>5019</v>
      </c>
      <c r="W780" s="10" t="s">
        <v>5007</v>
      </c>
      <c r="X780" s="10" t="s">
        <v>130</v>
      </c>
      <c r="Y780" s="10" t="s">
        <v>130</v>
      </c>
      <c r="Z780" s="10" t="s">
        <v>99</v>
      </c>
      <c r="AA780" s="10" t="s">
        <v>131</v>
      </c>
      <c r="AB780" s="10" t="s">
        <v>5008</v>
      </c>
      <c r="AC780" s="10" t="s">
        <v>5009</v>
      </c>
      <c r="AD780" s="10" t="s">
        <v>6909</v>
      </c>
      <c r="AE780" s="10" t="s">
        <v>6910</v>
      </c>
      <c r="AF780" s="15"/>
      <c r="AG780" s="10"/>
      <c r="AH780" s="10"/>
      <c r="AI780" s="10"/>
      <c r="AJ780" s="10"/>
      <c r="AK780" s="10"/>
      <c r="AL780" s="10" t="s">
        <v>2405</v>
      </c>
      <c r="AM780" s="10"/>
      <c r="AN780" s="10"/>
      <c r="AO780" s="13" t="b">
        <v>1</v>
      </c>
      <c r="AP780" s="10" t="s">
        <v>104</v>
      </c>
      <c r="AQ780" s="10"/>
      <c r="AR780" s="17"/>
      <c r="AS780" s="17"/>
      <c r="AT780" s="17"/>
      <c r="AU780" s="17"/>
      <c r="AV780" s="17"/>
      <c r="AW780" s="10"/>
      <c r="AX780" s="17"/>
      <c r="AY780" s="18" t="s">
        <v>257</v>
      </c>
      <c r="AZ780" s="10"/>
      <c r="BA780" s="20" t="b">
        <v>0</v>
      </c>
      <c r="BB780" s="10"/>
      <c r="BC780" s="17" t="s">
        <v>257</v>
      </c>
      <c r="BD780" s="17" t="s">
        <v>257</v>
      </c>
      <c r="BE780" s="17" t="s">
        <v>257</v>
      </c>
      <c r="BF780" s="17" t="s">
        <v>257</v>
      </c>
      <c r="BG780" s="11">
        <f ca="1">IFERROR(__xludf.DUMMYFUNCTION("""COMPUTED_VALUE"""),46047.9270833333)</f>
        <v>46047.927083333299</v>
      </c>
      <c r="BH780" s="17"/>
      <c r="BI780" s="17"/>
      <c r="BJ780" s="15"/>
      <c r="BK780" s="15"/>
      <c r="BL780" s="13" t="b">
        <v>0</v>
      </c>
      <c r="BM780" s="10" t="s">
        <v>107</v>
      </c>
      <c r="BN780" s="10" t="s">
        <v>108</v>
      </c>
      <c r="BO780" s="11">
        <v>45866.101388888892</v>
      </c>
      <c r="BP780" s="11">
        <v>46031.65697916667</v>
      </c>
      <c r="BQ780" s="15"/>
      <c r="BR780" s="15"/>
      <c r="BS780" s="10"/>
      <c r="BT780" s="10"/>
      <c r="BU780" s="10"/>
      <c r="BV780" s="10"/>
      <c r="BW780" s="10"/>
      <c r="BX780" s="10"/>
      <c r="BY780" s="23"/>
      <c r="BZ780" s="23"/>
      <c r="CA780" s="23"/>
      <c r="CB780" s="23"/>
      <c r="CC780" s="23"/>
      <c r="CD780" s="23"/>
      <c r="CE780" s="23"/>
      <c r="CF780" s="23"/>
      <c r="CG780" s="23"/>
      <c r="CH780" s="23"/>
      <c r="CI780" s="23"/>
    </row>
    <row r="781" spans="1:87" x14ac:dyDescent="0.3">
      <c r="A781" s="9" t="s">
        <v>6911</v>
      </c>
      <c r="B781" s="10" t="s">
        <v>6912</v>
      </c>
      <c r="C781" s="11">
        <v>46047.020833333336</v>
      </c>
      <c r="D781" s="12">
        <v>8.3333333333333329E-2</v>
      </c>
      <c r="E781" s="11">
        <v>46047.104166666664</v>
      </c>
      <c r="F781" s="10" t="s">
        <v>5001</v>
      </c>
      <c r="G781" s="13" t="b">
        <v>0</v>
      </c>
      <c r="H781" s="10" t="s">
        <v>3578</v>
      </c>
      <c r="I781" s="10" t="s">
        <v>89</v>
      </c>
      <c r="J781" s="13" t="b">
        <v>0</v>
      </c>
      <c r="K781" s="13" t="b">
        <v>1</v>
      </c>
      <c r="L781" s="10" t="s">
        <v>124</v>
      </c>
      <c r="M781" s="10" t="s">
        <v>91</v>
      </c>
      <c r="N781" s="10" t="s">
        <v>92</v>
      </c>
      <c r="O781" s="10"/>
      <c r="P781" s="10"/>
      <c r="Q781" s="10" t="s">
        <v>126</v>
      </c>
      <c r="R781" s="10"/>
      <c r="S781" s="10"/>
      <c r="T781" s="10"/>
      <c r="U781" s="10" t="s">
        <v>5077</v>
      </c>
      <c r="V781" s="10" t="s">
        <v>5076</v>
      </c>
      <c r="W781" s="10" t="s">
        <v>5007</v>
      </c>
      <c r="X781" s="10" t="s">
        <v>130</v>
      </c>
      <c r="Y781" s="10" t="s">
        <v>130</v>
      </c>
      <c r="Z781" s="10" t="s">
        <v>99</v>
      </c>
      <c r="AA781" s="10" t="s">
        <v>131</v>
      </c>
      <c r="AB781" s="10" t="s">
        <v>5008</v>
      </c>
      <c r="AC781" s="10" t="s">
        <v>5009</v>
      </c>
      <c r="AD781" s="10" t="s">
        <v>6913</v>
      </c>
      <c r="AE781" s="10" t="s">
        <v>6914</v>
      </c>
      <c r="AF781" s="15"/>
      <c r="AG781" s="10"/>
      <c r="AH781" s="10"/>
      <c r="AI781" s="10"/>
      <c r="AJ781" s="10"/>
      <c r="AK781" s="10"/>
      <c r="AL781" s="10" t="s">
        <v>2405</v>
      </c>
      <c r="AM781" s="10"/>
      <c r="AN781" s="10"/>
      <c r="AO781" s="13" t="b">
        <v>0</v>
      </c>
      <c r="AP781" s="10" t="s">
        <v>104</v>
      </c>
      <c r="AQ781" s="10"/>
      <c r="AR781" s="17"/>
      <c r="AS781" s="17"/>
      <c r="AT781" s="17"/>
      <c r="AU781" s="17"/>
      <c r="AV781" s="17"/>
      <c r="AW781" s="10"/>
      <c r="AX781" s="17"/>
      <c r="AY781" s="18" t="s">
        <v>257</v>
      </c>
      <c r="AZ781" s="10"/>
      <c r="BA781" s="20" t="b">
        <v>0</v>
      </c>
      <c r="BB781" s="10"/>
      <c r="BC781" s="17" t="s">
        <v>257</v>
      </c>
      <c r="BD781" s="17" t="s">
        <v>257</v>
      </c>
      <c r="BE781" s="17" t="s">
        <v>257</v>
      </c>
      <c r="BF781" s="17" t="s">
        <v>257</v>
      </c>
      <c r="BG781" s="11">
        <f ca="1">IFERROR(__xludf.DUMMYFUNCTION("""COMPUTED_VALUE"""),46047.0208333333)</f>
        <v>46047.020833333299</v>
      </c>
      <c r="BH781" s="17"/>
      <c r="BI781" s="17"/>
      <c r="BJ781" s="15"/>
      <c r="BK781" s="15"/>
      <c r="BL781" s="13" t="b">
        <v>0</v>
      </c>
      <c r="BM781" s="10" t="s">
        <v>107</v>
      </c>
      <c r="BN781" s="10" t="s">
        <v>108</v>
      </c>
      <c r="BO781" s="11">
        <v>45866.101388888892</v>
      </c>
      <c r="BP781" s="11">
        <v>46031.655763888892</v>
      </c>
      <c r="BQ781" s="15"/>
      <c r="BR781" s="15"/>
      <c r="BS781" s="10"/>
      <c r="BT781" s="10"/>
      <c r="BU781" s="10"/>
      <c r="BV781" s="10"/>
      <c r="BW781" s="10"/>
      <c r="BX781" s="10"/>
      <c r="BY781" s="23"/>
      <c r="BZ781" s="23"/>
      <c r="CA781" s="23"/>
      <c r="CB781" s="23"/>
      <c r="CC781" s="23"/>
      <c r="CD781" s="23"/>
      <c r="CE781" s="23"/>
      <c r="CF781" s="23"/>
      <c r="CG781" s="23"/>
      <c r="CH781" s="23"/>
      <c r="CI781" s="23"/>
    </row>
    <row r="782" spans="1:87" x14ac:dyDescent="0.3">
      <c r="A782" s="9" t="s">
        <v>6915</v>
      </c>
      <c r="B782" s="10" t="s">
        <v>6916</v>
      </c>
      <c r="C782" s="11">
        <v>46047.833333333336</v>
      </c>
      <c r="D782" s="12">
        <v>8.3333333333333329E-2</v>
      </c>
      <c r="E782" s="11">
        <v>46047.916666666664</v>
      </c>
      <c r="F782" s="10" t="s">
        <v>5001</v>
      </c>
      <c r="G782" s="13" t="b">
        <v>0</v>
      </c>
      <c r="H782" s="10" t="s">
        <v>3578</v>
      </c>
      <c r="I782" s="10" t="s">
        <v>89</v>
      </c>
      <c r="J782" s="13" t="b">
        <v>0</v>
      </c>
      <c r="K782" s="13" t="b">
        <v>1</v>
      </c>
      <c r="L782" s="10" t="s">
        <v>124</v>
      </c>
      <c r="M782" s="10" t="s">
        <v>91</v>
      </c>
      <c r="N782" s="10" t="s">
        <v>92</v>
      </c>
      <c r="O782" s="10"/>
      <c r="P782" s="10"/>
      <c r="Q782" s="10" t="s">
        <v>126</v>
      </c>
      <c r="R782" s="10"/>
      <c r="S782" s="10"/>
      <c r="T782" s="10"/>
      <c r="U782" s="10" t="s">
        <v>5090</v>
      </c>
      <c r="V782" s="10" t="s">
        <v>5041</v>
      </c>
      <c r="W782" s="10" t="s">
        <v>5007</v>
      </c>
      <c r="X782" s="10" t="s">
        <v>130</v>
      </c>
      <c r="Y782" s="10" t="s">
        <v>130</v>
      </c>
      <c r="Z782" s="10" t="s">
        <v>99</v>
      </c>
      <c r="AA782" s="10" t="s">
        <v>131</v>
      </c>
      <c r="AB782" s="10" t="s">
        <v>5008</v>
      </c>
      <c r="AC782" s="10" t="s">
        <v>5009</v>
      </c>
      <c r="AD782" s="10" t="s">
        <v>6917</v>
      </c>
      <c r="AE782" s="10" t="s">
        <v>6918</v>
      </c>
      <c r="AF782" s="15"/>
      <c r="AG782" s="10"/>
      <c r="AH782" s="10"/>
      <c r="AI782" s="10"/>
      <c r="AJ782" s="10"/>
      <c r="AK782" s="10"/>
      <c r="AL782" s="10" t="s">
        <v>2405</v>
      </c>
      <c r="AM782" s="10"/>
      <c r="AN782" s="10"/>
      <c r="AO782" s="13" t="b">
        <v>0</v>
      </c>
      <c r="AP782" s="10" t="s">
        <v>104</v>
      </c>
      <c r="AQ782" s="10"/>
      <c r="AR782" s="17"/>
      <c r="AS782" s="17"/>
      <c r="AT782" s="17"/>
      <c r="AU782" s="17"/>
      <c r="AV782" s="17"/>
      <c r="AW782" s="10"/>
      <c r="AX782" s="17"/>
      <c r="AY782" s="18" t="s">
        <v>257</v>
      </c>
      <c r="AZ782" s="10"/>
      <c r="BA782" s="20" t="b">
        <v>0</v>
      </c>
      <c r="BB782" s="10"/>
      <c r="BC782" s="17" t="s">
        <v>257</v>
      </c>
      <c r="BD782" s="17" t="s">
        <v>257</v>
      </c>
      <c r="BE782" s="17" t="s">
        <v>257</v>
      </c>
      <c r="BF782" s="17" t="s">
        <v>257</v>
      </c>
      <c r="BG782" s="11">
        <f ca="1">IFERROR(__xludf.DUMMYFUNCTION("""COMPUTED_VALUE"""),46047.8333333333)</f>
        <v>46047.833333333299</v>
      </c>
      <c r="BH782" s="17"/>
      <c r="BI782" s="17"/>
      <c r="BJ782" s="15"/>
      <c r="BK782" s="15"/>
      <c r="BL782" s="13" t="b">
        <v>0</v>
      </c>
      <c r="BM782" s="10" t="s">
        <v>107</v>
      </c>
      <c r="BN782" s="10" t="s">
        <v>108</v>
      </c>
      <c r="BO782" s="11">
        <v>45866.101388888892</v>
      </c>
      <c r="BP782" s="11">
        <v>46031.65662037037</v>
      </c>
      <c r="BQ782" s="15"/>
      <c r="BR782" s="15"/>
      <c r="BS782" s="10"/>
      <c r="BT782" s="10"/>
      <c r="BU782" s="10"/>
      <c r="BV782" s="10"/>
      <c r="BW782" s="10"/>
      <c r="BX782" s="10"/>
      <c r="BY782" s="23"/>
      <c r="BZ782" s="23"/>
      <c r="CA782" s="23"/>
      <c r="CB782" s="23"/>
      <c r="CC782" s="23"/>
      <c r="CD782" s="23"/>
      <c r="CE782" s="23"/>
      <c r="CF782" s="23"/>
      <c r="CG782" s="23"/>
      <c r="CH782" s="23"/>
      <c r="CI782" s="23"/>
    </row>
    <row r="783" spans="1:87" x14ac:dyDescent="0.3">
      <c r="A783" s="9" t="s">
        <v>6919</v>
      </c>
      <c r="B783" s="10" t="s">
        <v>6920</v>
      </c>
      <c r="C783" s="11">
        <v>46046.125</v>
      </c>
      <c r="D783" s="12">
        <v>8.3333333333333329E-2</v>
      </c>
      <c r="E783" s="11">
        <v>46046.208333333336</v>
      </c>
      <c r="F783" s="10" t="s">
        <v>5001</v>
      </c>
      <c r="G783" s="13" t="b">
        <v>0</v>
      </c>
      <c r="H783" s="10" t="s">
        <v>3578</v>
      </c>
      <c r="I783" s="10" t="s">
        <v>89</v>
      </c>
      <c r="J783" s="13" t="b">
        <v>0</v>
      </c>
      <c r="K783" s="13" t="b">
        <v>1</v>
      </c>
      <c r="L783" s="10" t="s">
        <v>124</v>
      </c>
      <c r="M783" s="10" t="s">
        <v>91</v>
      </c>
      <c r="N783" s="10" t="s">
        <v>92</v>
      </c>
      <c r="O783" s="10"/>
      <c r="P783" s="10"/>
      <c r="Q783" s="10" t="s">
        <v>94</v>
      </c>
      <c r="R783" s="10"/>
      <c r="S783" s="10"/>
      <c r="T783" s="10"/>
      <c r="U783" s="10" t="s">
        <v>5032</v>
      </c>
      <c r="V783" s="10" t="s">
        <v>5101</v>
      </c>
      <c r="W783" s="10" t="s">
        <v>5007</v>
      </c>
      <c r="X783" s="10" t="s">
        <v>130</v>
      </c>
      <c r="Y783" s="10" t="s">
        <v>130</v>
      </c>
      <c r="Z783" s="10" t="s">
        <v>99</v>
      </c>
      <c r="AA783" s="10" t="s">
        <v>131</v>
      </c>
      <c r="AB783" s="10" t="s">
        <v>5008</v>
      </c>
      <c r="AC783" s="10" t="s">
        <v>5009</v>
      </c>
      <c r="AD783" s="10" t="s">
        <v>6921</v>
      </c>
      <c r="AE783" s="10" t="s">
        <v>6922</v>
      </c>
      <c r="AF783" s="15"/>
      <c r="AG783" s="10"/>
      <c r="AH783" s="10"/>
      <c r="AI783" s="10"/>
      <c r="AJ783" s="10"/>
      <c r="AK783" s="10"/>
      <c r="AL783" s="10" t="s">
        <v>2405</v>
      </c>
      <c r="AM783" s="10"/>
      <c r="AN783" s="10"/>
      <c r="AO783" s="13" t="b">
        <v>0</v>
      </c>
      <c r="AP783" s="10" t="s">
        <v>104</v>
      </c>
      <c r="AQ783" s="10"/>
      <c r="AR783" s="17"/>
      <c r="AS783" s="17"/>
      <c r="AT783" s="17"/>
      <c r="AU783" s="17"/>
      <c r="AV783" s="17"/>
      <c r="AW783" s="10"/>
      <c r="AX783" s="17"/>
      <c r="AY783" s="18" t="s">
        <v>257</v>
      </c>
      <c r="AZ783" s="10"/>
      <c r="BA783" s="20" t="b">
        <v>0</v>
      </c>
      <c r="BB783" s="10"/>
      <c r="BC783" s="17" t="s">
        <v>257</v>
      </c>
      <c r="BD783" s="17" t="s">
        <v>257</v>
      </c>
      <c r="BE783" s="17" t="s">
        <v>257</v>
      </c>
      <c r="BF783" s="17" t="s">
        <v>257</v>
      </c>
      <c r="BG783" s="11">
        <f ca="1">IFERROR(__xludf.DUMMYFUNCTION("""COMPUTED_VALUE"""),46046.125)</f>
        <v>46046.125</v>
      </c>
      <c r="BH783" s="17"/>
      <c r="BI783" s="17"/>
      <c r="BJ783" s="15"/>
      <c r="BK783" s="15"/>
      <c r="BL783" s="13" t="b">
        <v>0</v>
      </c>
      <c r="BM783" s="10" t="s">
        <v>107</v>
      </c>
      <c r="BN783" s="10" t="s">
        <v>108</v>
      </c>
      <c r="BO783" s="11">
        <v>45866.101388888892</v>
      </c>
      <c r="BP783" s="11">
        <v>46031.653680555559</v>
      </c>
      <c r="BQ783" s="15"/>
      <c r="BR783" s="15"/>
      <c r="BS783" s="10"/>
      <c r="BT783" s="10"/>
      <c r="BU783" s="10"/>
      <c r="BV783" s="10"/>
      <c r="BW783" s="10"/>
      <c r="BX783" s="10"/>
      <c r="BY783" s="23"/>
      <c r="BZ783" s="23"/>
      <c r="CA783" s="23"/>
      <c r="CB783" s="23"/>
      <c r="CC783" s="23"/>
      <c r="CD783" s="23"/>
      <c r="CE783" s="23"/>
      <c r="CF783" s="23"/>
      <c r="CG783" s="23"/>
      <c r="CH783" s="23"/>
      <c r="CI783" s="23"/>
    </row>
    <row r="784" spans="1:87" x14ac:dyDescent="0.3">
      <c r="A784" s="9" t="s">
        <v>6923</v>
      </c>
      <c r="B784" s="10" t="s">
        <v>6924</v>
      </c>
      <c r="C784" s="11">
        <v>46048.020833333336</v>
      </c>
      <c r="D784" s="12">
        <v>8.3333333333333329E-2</v>
      </c>
      <c r="E784" s="11">
        <v>46048.104166666664</v>
      </c>
      <c r="F784" s="10" t="s">
        <v>5001</v>
      </c>
      <c r="G784" s="13" t="b">
        <v>0</v>
      </c>
      <c r="H784" s="10" t="s">
        <v>3578</v>
      </c>
      <c r="I784" s="10" t="s">
        <v>89</v>
      </c>
      <c r="J784" s="13" t="b">
        <v>0</v>
      </c>
      <c r="K784" s="13" t="b">
        <v>1</v>
      </c>
      <c r="L784" s="10" t="s">
        <v>124</v>
      </c>
      <c r="M784" s="10" t="s">
        <v>91</v>
      </c>
      <c r="N784" s="10" t="s">
        <v>92</v>
      </c>
      <c r="O784" s="10"/>
      <c r="P784" s="10"/>
      <c r="Q784" s="10" t="s">
        <v>126</v>
      </c>
      <c r="R784" s="10"/>
      <c r="S784" s="10"/>
      <c r="T784" s="10"/>
      <c r="U784" s="10" t="s">
        <v>5055</v>
      </c>
      <c r="V784" s="10" t="s">
        <v>5066</v>
      </c>
      <c r="W784" s="10" t="s">
        <v>5007</v>
      </c>
      <c r="X784" s="10" t="s">
        <v>130</v>
      </c>
      <c r="Y784" s="10" t="s">
        <v>130</v>
      </c>
      <c r="Z784" s="10" t="s">
        <v>99</v>
      </c>
      <c r="AA784" s="10" t="s">
        <v>131</v>
      </c>
      <c r="AB784" s="10" t="s">
        <v>5008</v>
      </c>
      <c r="AC784" s="10" t="s">
        <v>5009</v>
      </c>
      <c r="AD784" s="10" t="s">
        <v>6925</v>
      </c>
      <c r="AE784" s="10" t="s">
        <v>6926</v>
      </c>
      <c r="AF784" s="15"/>
      <c r="AG784" s="10"/>
      <c r="AH784" s="10"/>
      <c r="AI784" s="10"/>
      <c r="AJ784" s="10"/>
      <c r="AK784" s="10"/>
      <c r="AL784" s="10" t="s">
        <v>2405</v>
      </c>
      <c r="AM784" s="10"/>
      <c r="AN784" s="10"/>
      <c r="AO784" s="13" t="b">
        <v>0</v>
      </c>
      <c r="AP784" s="10" t="s">
        <v>104</v>
      </c>
      <c r="AQ784" s="10"/>
      <c r="AR784" s="17"/>
      <c r="AS784" s="17"/>
      <c r="AT784" s="17"/>
      <c r="AU784" s="17"/>
      <c r="AV784" s="17"/>
      <c r="AW784" s="10"/>
      <c r="AX784" s="17"/>
      <c r="AY784" s="18" t="s">
        <v>257</v>
      </c>
      <c r="AZ784" s="10"/>
      <c r="BA784" s="20" t="b">
        <v>0</v>
      </c>
      <c r="BB784" s="10"/>
      <c r="BC784" s="17" t="s">
        <v>257</v>
      </c>
      <c r="BD784" s="17" t="s">
        <v>257</v>
      </c>
      <c r="BE784" s="17" t="s">
        <v>257</v>
      </c>
      <c r="BF784" s="17" t="s">
        <v>257</v>
      </c>
      <c r="BG784" s="11">
        <f ca="1">IFERROR(__xludf.DUMMYFUNCTION("""COMPUTED_VALUE"""),46048.0208333333)</f>
        <v>46048.020833333299</v>
      </c>
      <c r="BH784" s="17"/>
      <c r="BI784" s="17"/>
      <c r="BJ784" s="15"/>
      <c r="BK784" s="15"/>
      <c r="BL784" s="13" t="b">
        <v>0</v>
      </c>
      <c r="BM784" s="10" t="s">
        <v>107</v>
      </c>
      <c r="BN784" s="10" t="s">
        <v>108</v>
      </c>
      <c r="BO784" s="11">
        <v>45866.101388888892</v>
      </c>
      <c r="BP784" s="11">
        <v>46031.657476851855</v>
      </c>
      <c r="BQ784" s="15"/>
      <c r="BR784" s="15"/>
      <c r="BS784" s="10"/>
      <c r="BT784" s="10"/>
      <c r="BU784" s="10"/>
      <c r="BV784" s="10"/>
      <c r="BW784" s="10"/>
      <c r="BX784" s="10"/>
      <c r="BY784" s="23"/>
      <c r="BZ784" s="23"/>
      <c r="CA784" s="23"/>
      <c r="CB784" s="23"/>
      <c r="CC784" s="23"/>
      <c r="CD784" s="23"/>
      <c r="CE784" s="23"/>
      <c r="CF784" s="23"/>
      <c r="CG784" s="23"/>
      <c r="CH784" s="23"/>
      <c r="CI784" s="23"/>
    </row>
    <row r="785" spans="1:87" x14ac:dyDescent="0.3">
      <c r="A785" s="9" t="s">
        <v>6927</v>
      </c>
      <c r="B785" s="10" t="s">
        <v>6928</v>
      </c>
      <c r="C785" s="11">
        <v>46046.927083333336</v>
      </c>
      <c r="D785" s="12">
        <v>8.3333333333333329E-2</v>
      </c>
      <c r="E785" s="11">
        <v>46047.010416666664</v>
      </c>
      <c r="F785" s="10" t="s">
        <v>5001</v>
      </c>
      <c r="G785" s="13" t="b">
        <v>0</v>
      </c>
      <c r="H785" s="10" t="s">
        <v>3578</v>
      </c>
      <c r="I785" s="10" t="s">
        <v>89</v>
      </c>
      <c r="J785" s="13" t="b">
        <v>0</v>
      </c>
      <c r="K785" s="13" t="b">
        <v>1</v>
      </c>
      <c r="L785" s="10" t="s">
        <v>124</v>
      </c>
      <c r="M785" s="10" t="s">
        <v>91</v>
      </c>
      <c r="N785" s="10" t="s">
        <v>92</v>
      </c>
      <c r="O785" s="10"/>
      <c r="P785" s="10"/>
      <c r="Q785" s="10" t="s">
        <v>126</v>
      </c>
      <c r="R785" s="10"/>
      <c r="S785" s="10"/>
      <c r="T785" s="10"/>
      <c r="U785" s="10" t="s">
        <v>5054</v>
      </c>
      <c r="V785" s="10" t="s">
        <v>5089</v>
      </c>
      <c r="W785" s="10" t="s">
        <v>5007</v>
      </c>
      <c r="X785" s="10" t="s">
        <v>130</v>
      </c>
      <c r="Y785" s="10" t="s">
        <v>130</v>
      </c>
      <c r="Z785" s="10" t="s">
        <v>99</v>
      </c>
      <c r="AA785" s="10" t="s">
        <v>131</v>
      </c>
      <c r="AB785" s="10" t="s">
        <v>5008</v>
      </c>
      <c r="AC785" s="10" t="s">
        <v>5009</v>
      </c>
      <c r="AD785" s="10" t="s">
        <v>6929</v>
      </c>
      <c r="AE785" s="10" t="s">
        <v>6930</v>
      </c>
      <c r="AF785" s="15"/>
      <c r="AG785" s="10"/>
      <c r="AH785" s="10"/>
      <c r="AI785" s="10"/>
      <c r="AJ785" s="10"/>
      <c r="AK785" s="10"/>
      <c r="AL785" s="10" t="s">
        <v>2405</v>
      </c>
      <c r="AM785" s="10"/>
      <c r="AN785" s="10"/>
      <c r="AO785" s="13" t="b">
        <v>0</v>
      </c>
      <c r="AP785" s="10" t="s">
        <v>104</v>
      </c>
      <c r="AQ785" s="10"/>
      <c r="AR785" s="17"/>
      <c r="AS785" s="17"/>
      <c r="AT785" s="17"/>
      <c r="AU785" s="17"/>
      <c r="AV785" s="17"/>
      <c r="AW785" s="10"/>
      <c r="AX785" s="17"/>
      <c r="AY785" s="18" t="s">
        <v>257</v>
      </c>
      <c r="AZ785" s="10"/>
      <c r="BA785" s="20" t="b">
        <v>0</v>
      </c>
      <c r="BB785" s="10"/>
      <c r="BC785" s="17" t="s">
        <v>257</v>
      </c>
      <c r="BD785" s="17" t="s">
        <v>257</v>
      </c>
      <c r="BE785" s="17" t="s">
        <v>257</v>
      </c>
      <c r="BF785" s="17" t="s">
        <v>257</v>
      </c>
      <c r="BG785" s="11">
        <f ca="1">IFERROR(__xludf.DUMMYFUNCTION("""COMPUTED_VALUE"""),46046.9270833333)</f>
        <v>46046.927083333299</v>
      </c>
      <c r="BH785" s="17"/>
      <c r="BI785" s="17"/>
      <c r="BJ785" s="15"/>
      <c r="BK785" s="15"/>
      <c r="BL785" s="13" t="b">
        <v>0</v>
      </c>
      <c r="BM785" s="10"/>
      <c r="BN785" s="10" t="s">
        <v>108</v>
      </c>
      <c r="BO785" s="11">
        <v>45866.101388888892</v>
      </c>
      <c r="BP785" s="11">
        <v>46031.660694444443</v>
      </c>
      <c r="BQ785" s="15"/>
      <c r="BR785" s="15"/>
      <c r="BS785" s="10"/>
      <c r="BT785" s="10"/>
      <c r="BU785" s="10"/>
      <c r="BV785" s="10"/>
      <c r="BW785" s="10"/>
      <c r="BX785" s="10"/>
      <c r="BY785" s="23"/>
      <c r="BZ785" s="23"/>
      <c r="CA785" s="23"/>
      <c r="CB785" s="23"/>
      <c r="CC785" s="23"/>
      <c r="CD785" s="23"/>
      <c r="CE785" s="23"/>
      <c r="CF785" s="23"/>
      <c r="CG785" s="23"/>
      <c r="CH785" s="23"/>
      <c r="CI785" s="23"/>
    </row>
    <row r="786" spans="1:87" x14ac:dyDescent="0.3">
      <c r="A786" s="9" t="s">
        <v>6931</v>
      </c>
      <c r="B786" s="10" t="s">
        <v>6932</v>
      </c>
      <c r="C786" s="11">
        <v>46054</v>
      </c>
      <c r="D786" s="12">
        <v>8.3333333333333329E-2</v>
      </c>
      <c r="E786" s="11">
        <v>46054.083333333336</v>
      </c>
      <c r="F786" s="10" t="s">
        <v>5001</v>
      </c>
      <c r="G786" s="13" t="b">
        <v>0</v>
      </c>
      <c r="H786" s="10"/>
      <c r="I786" s="10" t="s">
        <v>89</v>
      </c>
      <c r="J786" s="13" t="b">
        <v>0</v>
      </c>
      <c r="K786" s="13" t="b">
        <v>1</v>
      </c>
      <c r="L786" s="10" t="s">
        <v>124</v>
      </c>
      <c r="M786" s="10" t="s">
        <v>91</v>
      </c>
      <c r="N786" s="10" t="s">
        <v>92</v>
      </c>
      <c r="O786" s="10"/>
      <c r="P786" s="10"/>
      <c r="Q786" s="10"/>
      <c r="R786" s="10"/>
      <c r="S786" s="10"/>
      <c r="T786" s="10"/>
      <c r="U786" s="10" t="s">
        <v>5076</v>
      </c>
      <c r="V786" s="10" t="s">
        <v>5055</v>
      </c>
      <c r="W786" s="10" t="s">
        <v>5007</v>
      </c>
      <c r="X786" s="10" t="s">
        <v>130</v>
      </c>
      <c r="Y786" s="10" t="s">
        <v>130</v>
      </c>
      <c r="Z786" s="10" t="s">
        <v>99</v>
      </c>
      <c r="AA786" s="10" t="s">
        <v>131</v>
      </c>
      <c r="AB786" s="10" t="s">
        <v>5008</v>
      </c>
      <c r="AC786" s="10" t="s">
        <v>5009</v>
      </c>
      <c r="AD786" s="10" t="s">
        <v>6933</v>
      </c>
      <c r="AE786" s="10" t="s">
        <v>6934</v>
      </c>
      <c r="AF786" s="15"/>
      <c r="AG786" s="10"/>
      <c r="AH786" s="10"/>
      <c r="AI786" s="10"/>
      <c r="AJ786" s="10"/>
      <c r="AK786" s="10"/>
      <c r="AL786" s="10" t="s">
        <v>2509</v>
      </c>
      <c r="AM786" s="10"/>
      <c r="AN786" s="10"/>
      <c r="AO786" s="13" t="b">
        <v>0</v>
      </c>
      <c r="AP786" s="10" t="s">
        <v>104</v>
      </c>
      <c r="AQ786" s="10"/>
      <c r="AR786" s="17"/>
      <c r="AS786" s="17"/>
      <c r="AT786" s="17"/>
      <c r="AU786" s="17"/>
      <c r="AV786" s="17"/>
      <c r="AW786" s="10"/>
      <c r="AX786" s="17"/>
      <c r="AY786" s="18" t="s">
        <v>257</v>
      </c>
      <c r="AZ786" s="10"/>
      <c r="BA786" s="20" t="b">
        <v>0</v>
      </c>
      <c r="BB786" s="10"/>
      <c r="BC786" s="17" t="s">
        <v>257</v>
      </c>
      <c r="BD786" s="17" t="s">
        <v>257</v>
      </c>
      <c r="BE786" s="17" t="s">
        <v>257</v>
      </c>
      <c r="BF786" s="17" t="s">
        <v>257</v>
      </c>
      <c r="BG786" s="11">
        <f ca="1">IFERROR(__xludf.DUMMYFUNCTION("""COMPUTED_VALUE"""),46054)</f>
        <v>46054</v>
      </c>
      <c r="BH786" s="17"/>
      <c r="BI786" s="17"/>
      <c r="BJ786" s="15"/>
      <c r="BK786" s="15"/>
      <c r="BL786" s="13" t="b">
        <v>0</v>
      </c>
      <c r="BM786" s="10"/>
      <c r="BN786" s="10" t="s">
        <v>223</v>
      </c>
      <c r="BO786" s="11">
        <v>45866.101898148147</v>
      </c>
      <c r="BP786" s="11">
        <v>45866.101898148147</v>
      </c>
      <c r="BQ786" s="15"/>
      <c r="BR786" s="15"/>
      <c r="BS786" s="10"/>
      <c r="BT786" s="10"/>
      <c r="BU786" s="10"/>
      <c r="BV786" s="10"/>
      <c r="BW786" s="10"/>
      <c r="BX786" s="10"/>
      <c r="BY786" s="23"/>
      <c r="BZ786" s="23"/>
      <c r="CA786" s="23"/>
      <c r="CB786" s="23"/>
      <c r="CC786" s="23"/>
      <c r="CD786" s="23"/>
      <c r="CE786" s="23"/>
      <c r="CF786" s="23"/>
      <c r="CG786" s="23"/>
      <c r="CH786" s="23"/>
      <c r="CI786" s="23"/>
    </row>
    <row r="787" spans="1:87" x14ac:dyDescent="0.3">
      <c r="A787" s="9" t="s">
        <v>6935</v>
      </c>
      <c r="B787" s="10" t="s">
        <v>6936</v>
      </c>
      <c r="C787" s="11">
        <v>46054</v>
      </c>
      <c r="D787" s="12">
        <v>8.3333333333333329E-2</v>
      </c>
      <c r="E787" s="11">
        <v>46054.083333333336</v>
      </c>
      <c r="F787" s="10" t="s">
        <v>5001</v>
      </c>
      <c r="G787" s="13" t="b">
        <v>0</v>
      </c>
      <c r="H787" s="10"/>
      <c r="I787" s="10" t="s">
        <v>89</v>
      </c>
      <c r="J787" s="13" t="b">
        <v>0</v>
      </c>
      <c r="K787" s="13" t="b">
        <v>1</v>
      </c>
      <c r="L787" s="10" t="s">
        <v>124</v>
      </c>
      <c r="M787" s="10" t="s">
        <v>91</v>
      </c>
      <c r="N787" s="10" t="s">
        <v>92</v>
      </c>
      <c r="O787" s="10"/>
      <c r="P787" s="10"/>
      <c r="Q787" s="10"/>
      <c r="R787" s="10"/>
      <c r="S787" s="10"/>
      <c r="T787" s="10"/>
      <c r="U787" s="10" t="s">
        <v>5102</v>
      </c>
      <c r="V787" s="10" t="s">
        <v>5054</v>
      </c>
      <c r="W787" s="10" t="s">
        <v>5007</v>
      </c>
      <c r="X787" s="10" t="s">
        <v>130</v>
      </c>
      <c r="Y787" s="10" t="s">
        <v>130</v>
      </c>
      <c r="Z787" s="10" t="s">
        <v>99</v>
      </c>
      <c r="AA787" s="10" t="s">
        <v>131</v>
      </c>
      <c r="AB787" s="10" t="s">
        <v>5008</v>
      </c>
      <c r="AC787" s="10" t="s">
        <v>5009</v>
      </c>
      <c r="AD787" s="10" t="s">
        <v>6937</v>
      </c>
      <c r="AE787" s="10" t="s">
        <v>6938</v>
      </c>
      <c r="AF787" s="15"/>
      <c r="AG787" s="10"/>
      <c r="AH787" s="10"/>
      <c r="AI787" s="10"/>
      <c r="AJ787" s="10"/>
      <c r="AK787" s="10"/>
      <c r="AL787" s="10" t="s">
        <v>2509</v>
      </c>
      <c r="AM787" s="10"/>
      <c r="AN787" s="10"/>
      <c r="AO787" s="13" t="b">
        <v>0</v>
      </c>
      <c r="AP787" s="10" t="s">
        <v>104</v>
      </c>
      <c r="AQ787" s="10"/>
      <c r="AR787" s="17"/>
      <c r="AS787" s="17"/>
      <c r="AT787" s="17"/>
      <c r="AU787" s="17"/>
      <c r="AV787" s="17"/>
      <c r="AW787" s="10"/>
      <c r="AX787" s="17"/>
      <c r="AY787" s="18" t="s">
        <v>257</v>
      </c>
      <c r="AZ787" s="10"/>
      <c r="BA787" s="20" t="b">
        <v>0</v>
      </c>
      <c r="BB787" s="10"/>
      <c r="BC787" s="17" t="s">
        <v>257</v>
      </c>
      <c r="BD787" s="17" t="s">
        <v>257</v>
      </c>
      <c r="BE787" s="17" t="s">
        <v>257</v>
      </c>
      <c r="BF787" s="17" t="s">
        <v>257</v>
      </c>
      <c r="BG787" s="11">
        <f ca="1">IFERROR(__xludf.DUMMYFUNCTION("""COMPUTED_VALUE"""),46054)</f>
        <v>46054</v>
      </c>
      <c r="BH787" s="17"/>
      <c r="BI787" s="17"/>
      <c r="BJ787" s="15"/>
      <c r="BK787" s="15"/>
      <c r="BL787" s="13" t="b">
        <v>0</v>
      </c>
      <c r="BM787" s="10"/>
      <c r="BN787" s="10" t="s">
        <v>223</v>
      </c>
      <c r="BO787" s="11">
        <v>45866.101898148147</v>
      </c>
      <c r="BP787" s="11">
        <v>45866.101898148147</v>
      </c>
      <c r="BQ787" s="15"/>
      <c r="BR787" s="15"/>
      <c r="BS787" s="10"/>
      <c r="BT787" s="10"/>
      <c r="BU787" s="10"/>
      <c r="BV787" s="10"/>
      <c r="BW787" s="10"/>
      <c r="BX787" s="10"/>
      <c r="BY787" s="23"/>
      <c r="BZ787" s="23"/>
      <c r="CA787" s="23"/>
      <c r="CB787" s="23"/>
      <c r="CC787" s="23"/>
      <c r="CD787" s="23"/>
      <c r="CE787" s="23"/>
      <c r="CF787" s="23"/>
      <c r="CG787" s="23"/>
      <c r="CH787" s="23"/>
      <c r="CI787" s="23"/>
    </row>
    <row r="788" spans="1:87" x14ac:dyDescent="0.3">
      <c r="A788" s="9" t="s">
        <v>6939</v>
      </c>
      <c r="B788" s="10" t="s">
        <v>6940</v>
      </c>
      <c r="C788" s="11">
        <v>46054</v>
      </c>
      <c r="D788" s="12">
        <v>8.3333333333333329E-2</v>
      </c>
      <c r="E788" s="11">
        <v>46054.083333333336</v>
      </c>
      <c r="F788" s="10" t="s">
        <v>5001</v>
      </c>
      <c r="G788" s="13" t="b">
        <v>0</v>
      </c>
      <c r="H788" s="10"/>
      <c r="I788" s="10" t="s">
        <v>89</v>
      </c>
      <c r="J788" s="13" t="b">
        <v>0</v>
      </c>
      <c r="K788" s="13" t="b">
        <v>1</v>
      </c>
      <c r="L788" s="10" t="s">
        <v>124</v>
      </c>
      <c r="M788" s="10" t="s">
        <v>91</v>
      </c>
      <c r="N788" s="10" t="s">
        <v>92</v>
      </c>
      <c r="O788" s="10"/>
      <c r="P788" s="10"/>
      <c r="Q788" s="10"/>
      <c r="R788" s="10"/>
      <c r="S788" s="10"/>
      <c r="T788" s="10"/>
      <c r="U788" s="10" t="s">
        <v>5067</v>
      </c>
      <c r="V788" s="10" t="s">
        <v>5066</v>
      </c>
      <c r="W788" s="10" t="s">
        <v>5007</v>
      </c>
      <c r="X788" s="10" t="s">
        <v>130</v>
      </c>
      <c r="Y788" s="10" t="s">
        <v>130</v>
      </c>
      <c r="Z788" s="10" t="s">
        <v>99</v>
      </c>
      <c r="AA788" s="10" t="s">
        <v>131</v>
      </c>
      <c r="AB788" s="10" t="s">
        <v>5008</v>
      </c>
      <c r="AC788" s="10" t="s">
        <v>5009</v>
      </c>
      <c r="AD788" s="10" t="s">
        <v>6941</v>
      </c>
      <c r="AE788" s="10" t="s">
        <v>6942</v>
      </c>
      <c r="AF788" s="15"/>
      <c r="AG788" s="10"/>
      <c r="AH788" s="10"/>
      <c r="AI788" s="10"/>
      <c r="AJ788" s="10"/>
      <c r="AK788" s="10"/>
      <c r="AL788" s="10" t="s">
        <v>2509</v>
      </c>
      <c r="AM788" s="10"/>
      <c r="AN788" s="10"/>
      <c r="AO788" s="13" t="b">
        <v>0</v>
      </c>
      <c r="AP788" s="10" t="s">
        <v>104</v>
      </c>
      <c r="AQ788" s="10"/>
      <c r="AR788" s="17"/>
      <c r="AS788" s="17"/>
      <c r="AT788" s="17"/>
      <c r="AU788" s="17"/>
      <c r="AV788" s="17"/>
      <c r="AW788" s="10"/>
      <c r="AX788" s="17"/>
      <c r="AY788" s="18" t="s">
        <v>257</v>
      </c>
      <c r="AZ788" s="10"/>
      <c r="BA788" s="20" t="b">
        <v>0</v>
      </c>
      <c r="BB788" s="10"/>
      <c r="BC788" s="17" t="s">
        <v>257</v>
      </c>
      <c r="BD788" s="17" t="s">
        <v>257</v>
      </c>
      <c r="BE788" s="17" t="s">
        <v>257</v>
      </c>
      <c r="BF788" s="17" t="s">
        <v>257</v>
      </c>
      <c r="BG788" s="11">
        <f ca="1">IFERROR(__xludf.DUMMYFUNCTION("""COMPUTED_VALUE"""),46054)</f>
        <v>46054</v>
      </c>
      <c r="BH788" s="17"/>
      <c r="BI788" s="17"/>
      <c r="BJ788" s="15"/>
      <c r="BK788" s="15"/>
      <c r="BL788" s="13" t="b">
        <v>0</v>
      </c>
      <c r="BM788" s="10"/>
      <c r="BN788" s="10" t="s">
        <v>223</v>
      </c>
      <c r="BO788" s="11">
        <v>45866.101898148147</v>
      </c>
      <c r="BP788" s="11">
        <v>45866.101898148147</v>
      </c>
      <c r="BQ788" s="15"/>
      <c r="BR788" s="15"/>
      <c r="BS788" s="10"/>
      <c r="BT788" s="10"/>
      <c r="BU788" s="10"/>
      <c r="BV788" s="10"/>
      <c r="BW788" s="10"/>
      <c r="BX788" s="10"/>
      <c r="BY788" s="23"/>
      <c r="BZ788" s="23"/>
      <c r="CA788" s="23"/>
      <c r="CB788" s="23"/>
      <c r="CC788" s="23"/>
      <c r="CD788" s="23"/>
      <c r="CE788" s="23"/>
      <c r="CF788" s="23"/>
      <c r="CG788" s="23"/>
      <c r="CH788" s="23"/>
      <c r="CI788" s="23"/>
    </row>
    <row r="789" spans="1:87" x14ac:dyDescent="0.3">
      <c r="A789" s="9" t="s">
        <v>6943</v>
      </c>
      <c r="B789" s="10" t="s">
        <v>6944</v>
      </c>
      <c r="C789" s="11">
        <v>46054</v>
      </c>
      <c r="D789" s="12">
        <v>8.3333333333333329E-2</v>
      </c>
      <c r="E789" s="11">
        <v>46054.083333333336</v>
      </c>
      <c r="F789" s="10" t="s">
        <v>5001</v>
      </c>
      <c r="G789" s="13" t="b">
        <v>0</v>
      </c>
      <c r="H789" s="10"/>
      <c r="I789" s="10" t="s">
        <v>89</v>
      </c>
      <c r="J789" s="13" t="b">
        <v>0</v>
      </c>
      <c r="K789" s="13" t="b">
        <v>1</v>
      </c>
      <c r="L789" s="10" t="s">
        <v>124</v>
      </c>
      <c r="M789" s="10" t="s">
        <v>91</v>
      </c>
      <c r="N789" s="10" t="s">
        <v>92</v>
      </c>
      <c r="O789" s="10"/>
      <c r="P789" s="10"/>
      <c r="Q789" s="10"/>
      <c r="R789" s="10"/>
      <c r="S789" s="10"/>
      <c r="T789" s="10"/>
      <c r="U789" s="10" t="s">
        <v>5114</v>
      </c>
      <c r="V789" s="10" t="s">
        <v>5018</v>
      </c>
      <c r="W789" s="10" t="s">
        <v>5007</v>
      </c>
      <c r="X789" s="10" t="s">
        <v>130</v>
      </c>
      <c r="Y789" s="10" t="s">
        <v>130</v>
      </c>
      <c r="Z789" s="10" t="s">
        <v>99</v>
      </c>
      <c r="AA789" s="10" t="s">
        <v>131</v>
      </c>
      <c r="AB789" s="10" t="s">
        <v>5008</v>
      </c>
      <c r="AC789" s="10" t="s">
        <v>5009</v>
      </c>
      <c r="AD789" s="10" t="s">
        <v>6945</v>
      </c>
      <c r="AE789" s="10" t="s">
        <v>6946</v>
      </c>
      <c r="AF789" s="15"/>
      <c r="AG789" s="10"/>
      <c r="AH789" s="10"/>
      <c r="AI789" s="10"/>
      <c r="AJ789" s="10"/>
      <c r="AK789" s="10"/>
      <c r="AL789" s="10" t="s">
        <v>2509</v>
      </c>
      <c r="AM789" s="10"/>
      <c r="AN789" s="10"/>
      <c r="AO789" s="13" t="b">
        <v>0</v>
      </c>
      <c r="AP789" s="10" t="s">
        <v>104</v>
      </c>
      <c r="AQ789" s="10"/>
      <c r="AR789" s="17"/>
      <c r="AS789" s="17"/>
      <c r="AT789" s="17"/>
      <c r="AU789" s="17"/>
      <c r="AV789" s="17"/>
      <c r="AW789" s="10"/>
      <c r="AX789" s="17"/>
      <c r="AY789" s="18" t="s">
        <v>257</v>
      </c>
      <c r="AZ789" s="10"/>
      <c r="BA789" s="20" t="b">
        <v>0</v>
      </c>
      <c r="BB789" s="10"/>
      <c r="BC789" s="17" t="s">
        <v>257</v>
      </c>
      <c r="BD789" s="17" t="s">
        <v>257</v>
      </c>
      <c r="BE789" s="17" t="s">
        <v>257</v>
      </c>
      <c r="BF789" s="17" t="s">
        <v>257</v>
      </c>
      <c r="BG789" s="11">
        <f ca="1">IFERROR(__xludf.DUMMYFUNCTION("""COMPUTED_VALUE"""),46054)</f>
        <v>46054</v>
      </c>
      <c r="BH789" s="17"/>
      <c r="BI789" s="17"/>
      <c r="BJ789" s="15"/>
      <c r="BK789" s="15"/>
      <c r="BL789" s="13" t="b">
        <v>0</v>
      </c>
      <c r="BM789" s="10"/>
      <c r="BN789" s="10" t="s">
        <v>223</v>
      </c>
      <c r="BO789" s="11">
        <v>45866.101898148147</v>
      </c>
      <c r="BP789" s="11">
        <v>45866.101898148147</v>
      </c>
      <c r="BQ789" s="15"/>
      <c r="BR789" s="15"/>
      <c r="BS789" s="10"/>
      <c r="BT789" s="10"/>
      <c r="BU789" s="10"/>
      <c r="BV789" s="10"/>
      <c r="BW789" s="10"/>
      <c r="BX789" s="10"/>
      <c r="BY789" s="23"/>
      <c r="BZ789" s="23"/>
      <c r="CA789" s="23"/>
      <c r="CB789" s="23"/>
      <c r="CC789" s="23"/>
      <c r="CD789" s="23"/>
      <c r="CE789" s="23"/>
      <c r="CF789" s="23"/>
      <c r="CG789" s="23"/>
      <c r="CH789" s="23"/>
      <c r="CI789" s="23"/>
    </row>
    <row r="790" spans="1:87" x14ac:dyDescent="0.3">
      <c r="A790" s="9" t="s">
        <v>6947</v>
      </c>
      <c r="B790" s="10" t="s">
        <v>6948</v>
      </c>
      <c r="C790" s="11">
        <v>46054</v>
      </c>
      <c r="D790" s="12">
        <v>8.3333333333333329E-2</v>
      </c>
      <c r="E790" s="11">
        <v>46054.083333333336</v>
      </c>
      <c r="F790" s="10" t="s">
        <v>5001</v>
      </c>
      <c r="G790" s="13" t="b">
        <v>0</v>
      </c>
      <c r="H790" s="10"/>
      <c r="I790" s="10" t="s">
        <v>89</v>
      </c>
      <c r="J790" s="13" t="b">
        <v>0</v>
      </c>
      <c r="K790" s="13" t="b">
        <v>1</v>
      </c>
      <c r="L790" s="10" t="s">
        <v>124</v>
      </c>
      <c r="M790" s="10" t="s">
        <v>91</v>
      </c>
      <c r="N790" s="10" t="s">
        <v>92</v>
      </c>
      <c r="O790" s="10"/>
      <c r="P790" s="10"/>
      <c r="Q790" s="10"/>
      <c r="R790" s="10"/>
      <c r="S790" s="10"/>
      <c r="T790" s="10"/>
      <c r="U790" s="10" t="s">
        <v>5101</v>
      </c>
      <c r="V790" s="10" t="s">
        <v>5042</v>
      </c>
      <c r="W790" s="10" t="s">
        <v>5007</v>
      </c>
      <c r="X790" s="10" t="s">
        <v>130</v>
      </c>
      <c r="Y790" s="10" t="s">
        <v>130</v>
      </c>
      <c r="Z790" s="10" t="s">
        <v>99</v>
      </c>
      <c r="AA790" s="10" t="s">
        <v>131</v>
      </c>
      <c r="AB790" s="10" t="s">
        <v>5008</v>
      </c>
      <c r="AC790" s="10" t="s">
        <v>5009</v>
      </c>
      <c r="AD790" s="10" t="s">
        <v>6949</v>
      </c>
      <c r="AE790" s="10" t="s">
        <v>6950</v>
      </c>
      <c r="AF790" s="15"/>
      <c r="AG790" s="10"/>
      <c r="AH790" s="10"/>
      <c r="AI790" s="10"/>
      <c r="AJ790" s="10"/>
      <c r="AK790" s="10"/>
      <c r="AL790" s="10" t="s">
        <v>2509</v>
      </c>
      <c r="AM790" s="10"/>
      <c r="AN790" s="10"/>
      <c r="AO790" s="13" t="b">
        <v>1</v>
      </c>
      <c r="AP790" s="10" t="s">
        <v>104</v>
      </c>
      <c r="AQ790" s="10"/>
      <c r="AR790" s="17"/>
      <c r="AS790" s="17"/>
      <c r="AT790" s="17"/>
      <c r="AU790" s="17"/>
      <c r="AV790" s="17"/>
      <c r="AW790" s="10"/>
      <c r="AX790" s="17"/>
      <c r="AY790" s="18" t="s">
        <v>257</v>
      </c>
      <c r="AZ790" s="10"/>
      <c r="BA790" s="20" t="b">
        <v>0</v>
      </c>
      <c r="BB790" s="10"/>
      <c r="BC790" s="17" t="s">
        <v>257</v>
      </c>
      <c r="BD790" s="17" t="s">
        <v>257</v>
      </c>
      <c r="BE790" s="17" t="s">
        <v>257</v>
      </c>
      <c r="BF790" s="17" t="s">
        <v>257</v>
      </c>
      <c r="BG790" s="11">
        <f ca="1">IFERROR(__xludf.DUMMYFUNCTION("""COMPUTED_VALUE"""),46054)</f>
        <v>46054</v>
      </c>
      <c r="BH790" s="17"/>
      <c r="BI790" s="17"/>
      <c r="BJ790" s="15"/>
      <c r="BK790" s="15"/>
      <c r="BL790" s="13" t="b">
        <v>0</v>
      </c>
      <c r="BM790" s="10"/>
      <c r="BN790" s="10" t="s">
        <v>223</v>
      </c>
      <c r="BO790" s="11">
        <v>45866.101898148147</v>
      </c>
      <c r="BP790" s="11">
        <v>45866.101898148147</v>
      </c>
      <c r="BQ790" s="15"/>
      <c r="BR790" s="15"/>
      <c r="BS790" s="10"/>
      <c r="BT790" s="10"/>
      <c r="BU790" s="10"/>
      <c r="BV790" s="10"/>
      <c r="BW790" s="10"/>
      <c r="BX790" s="10"/>
      <c r="BY790" s="23"/>
      <c r="BZ790" s="23"/>
      <c r="CA790" s="23"/>
      <c r="CB790" s="23"/>
      <c r="CC790" s="23"/>
      <c r="CD790" s="23"/>
      <c r="CE790" s="23"/>
      <c r="CF790" s="23"/>
      <c r="CG790" s="23"/>
      <c r="CH790" s="23"/>
      <c r="CI790" s="23"/>
    </row>
    <row r="791" spans="1:87" x14ac:dyDescent="0.3">
      <c r="A791" s="9" t="s">
        <v>6951</v>
      </c>
      <c r="B791" s="10" t="s">
        <v>6952</v>
      </c>
      <c r="C791" s="11">
        <v>46054</v>
      </c>
      <c r="D791" s="12">
        <v>8.3333333333333329E-2</v>
      </c>
      <c r="E791" s="11">
        <v>46054.083333333336</v>
      </c>
      <c r="F791" s="10" t="s">
        <v>5001</v>
      </c>
      <c r="G791" s="13" t="b">
        <v>0</v>
      </c>
      <c r="H791" s="10"/>
      <c r="I791" s="10" t="s">
        <v>89</v>
      </c>
      <c r="J791" s="13" t="b">
        <v>0</v>
      </c>
      <c r="K791" s="13" t="b">
        <v>1</v>
      </c>
      <c r="L791" s="10" t="s">
        <v>124</v>
      </c>
      <c r="M791" s="10" t="s">
        <v>91</v>
      </c>
      <c r="N791" s="10" t="s">
        <v>92</v>
      </c>
      <c r="O791" s="10"/>
      <c r="P791" s="10"/>
      <c r="Q791" s="10"/>
      <c r="R791" s="10"/>
      <c r="S791" s="10"/>
      <c r="T791" s="10"/>
      <c r="U791" s="10" t="s">
        <v>5041</v>
      </c>
      <c r="V791" s="10" t="s">
        <v>5077</v>
      </c>
      <c r="W791" s="10" t="s">
        <v>5007</v>
      </c>
      <c r="X791" s="10" t="s">
        <v>130</v>
      </c>
      <c r="Y791" s="10" t="s">
        <v>130</v>
      </c>
      <c r="Z791" s="10" t="s">
        <v>99</v>
      </c>
      <c r="AA791" s="10" t="s">
        <v>131</v>
      </c>
      <c r="AB791" s="10" t="s">
        <v>5008</v>
      </c>
      <c r="AC791" s="10" t="s">
        <v>5009</v>
      </c>
      <c r="AD791" s="10" t="s">
        <v>6953</v>
      </c>
      <c r="AE791" s="10" t="s">
        <v>6954</v>
      </c>
      <c r="AF791" s="15"/>
      <c r="AG791" s="10"/>
      <c r="AH791" s="10"/>
      <c r="AI791" s="10"/>
      <c r="AJ791" s="10"/>
      <c r="AK791" s="10"/>
      <c r="AL791" s="10" t="s">
        <v>2509</v>
      </c>
      <c r="AM791" s="10"/>
      <c r="AN791" s="10"/>
      <c r="AO791" s="13" t="b">
        <v>0</v>
      </c>
      <c r="AP791" s="10" t="s">
        <v>104</v>
      </c>
      <c r="AQ791" s="10"/>
      <c r="AR791" s="17"/>
      <c r="AS791" s="17"/>
      <c r="AT791" s="17"/>
      <c r="AU791" s="17"/>
      <c r="AV791" s="17"/>
      <c r="AW791" s="10"/>
      <c r="AX791" s="17"/>
      <c r="AY791" s="18" t="s">
        <v>257</v>
      </c>
      <c r="AZ791" s="10"/>
      <c r="BA791" s="20" t="b">
        <v>0</v>
      </c>
      <c r="BB791" s="10"/>
      <c r="BC791" s="17" t="s">
        <v>257</v>
      </c>
      <c r="BD791" s="17" t="s">
        <v>257</v>
      </c>
      <c r="BE791" s="17" t="s">
        <v>257</v>
      </c>
      <c r="BF791" s="17" t="s">
        <v>257</v>
      </c>
      <c r="BG791" s="11">
        <f ca="1">IFERROR(__xludf.DUMMYFUNCTION("""COMPUTED_VALUE"""),46054)</f>
        <v>46054</v>
      </c>
      <c r="BH791" s="17"/>
      <c r="BI791" s="17"/>
      <c r="BJ791" s="15"/>
      <c r="BK791" s="15"/>
      <c r="BL791" s="13" t="b">
        <v>0</v>
      </c>
      <c r="BM791" s="10"/>
      <c r="BN791" s="10" t="s">
        <v>223</v>
      </c>
      <c r="BO791" s="11">
        <v>45866.101898148147</v>
      </c>
      <c r="BP791" s="11">
        <v>45866.101898148147</v>
      </c>
      <c r="BQ791" s="15"/>
      <c r="BR791" s="15"/>
      <c r="BS791" s="10"/>
      <c r="BT791" s="10"/>
      <c r="BU791" s="10"/>
      <c r="BV791" s="10"/>
      <c r="BW791" s="10"/>
      <c r="BX791" s="10"/>
      <c r="BY791" s="23"/>
      <c r="BZ791" s="23"/>
      <c r="CA791" s="23"/>
      <c r="CB791" s="23"/>
      <c r="CC791" s="23"/>
      <c r="CD791" s="23"/>
      <c r="CE791" s="23"/>
      <c r="CF791" s="23"/>
      <c r="CG791" s="23"/>
      <c r="CH791" s="23"/>
      <c r="CI791" s="23"/>
    </row>
    <row r="792" spans="1:87" x14ac:dyDescent="0.3">
      <c r="A792" s="9" t="s">
        <v>6955</v>
      </c>
      <c r="B792" s="10" t="s">
        <v>6956</v>
      </c>
      <c r="C792" s="11">
        <v>46054</v>
      </c>
      <c r="D792" s="12">
        <v>8.3333333333333329E-2</v>
      </c>
      <c r="E792" s="11">
        <v>46054.083333333336</v>
      </c>
      <c r="F792" s="10" t="s">
        <v>5001</v>
      </c>
      <c r="G792" s="13" t="b">
        <v>0</v>
      </c>
      <c r="H792" s="10"/>
      <c r="I792" s="10" t="s">
        <v>89</v>
      </c>
      <c r="J792" s="13" t="b">
        <v>0</v>
      </c>
      <c r="K792" s="13" t="b">
        <v>1</v>
      </c>
      <c r="L792" s="10" t="s">
        <v>124</v>
      </c>
      <c r="M792" s="10" t="s">
        <v>91</v>
      </c>
      <c r="N792" s="10" t="s">
        <v>92</v>
      </c>
      <c r="O792" s="10"/>
      <c r="P792" s="10"/>
      <c r="Q792" s="10"/>
      <c r="R792" s="10"/>
      <c r="S792" s="10"/>
      <c r="T792" s="10"/>
      <c r="U792" s="10" t="s">
        <v>5032</v>
      </c>
      <c r="V792" s="10" t="s">
        <v>5090</v>
      </c>
      <c r="W792" s="10" t="s">
        <v>5007</v>
      </c>
      <c r="X792" s="10" t="s">
        <v>130</v>
      </c>
      <c r="Y792" s="10" t="s">
        <v>130</v>
      </c>
      <c r="Z792" s="10" t="s">
        <v>99</v>
      </c>
      <c r="AA792" s="10" t="s">
        <v>131</v>
      </c>
      <c r="AB792" s="10" t="s">
        <v>5008</v>
      </c>
      <c r="AC792" s="10" t="s">
        <v>5009</v>
      </c>
      <c r="AD792" s="10" t="s">
        <v>6957</v>
      </c>
      <c r="AE792" s="10" t="s">
        <v>6958</v>
      </c>
      <c r="AF792" s="15"/>
      <c r="AG792" s="10"/>
      <c r="AH792" s="10"/>
      <c r="AI792" s="10"/>
      <c r="AJ792" s="10"/>
      <c r="AK792" s="10"/>
      <c r="AL792" s="10" t="s">
        <v>2509</v>
      </c>
      <c r="AM792" s="10"/>
      <c r="AN792" s="10"/>
      <c r="AO792" s="13" t="b">
        <v>0</v>
      </c>
      <c r="AP792" s="10" t="s">
        <v>104</v>
      </c>
      <c r="AQ792" s="10"/>
      <c r="AR792" s="17"/>
      <c r="AS792" s="17"/>
      <c r="AT792" s="17"/>
      <c r="AU792" s="17"/>
      <c r="AV792" s="17"/>
      <c r="AW792" s="10"/>
      <c r="AX792" s="17"/>
      <c r="AY792" s="18" t="s">
        <v>257</v>
      </c>
      <c r="AZ792" s="10"/>
      <c r="BA792" s="20" t="b">
        <v>0</v>
      </c>
      <c r="BB792" s="10"/>
      <c r="BC792" s="17" t="s">
        <v>257</v>
      </c>
      <c r="BD792" s="17" t="s">
        <v>257</v>
      </c>
      <c r="BE792" s="17" t="s">
        <v>257</v>
      </c>
      <c r="BF792" s="17" t="s">
        <v>257</v>
      </c>
      <c r="BG792" s="11">
        <f ca="1">IFERROR(__xludf.DUMMYFUNCTION("""COMPUTED_VALUE"""),46054)</f>
        <v>46054</v>
      </c>
      <c r="BH792" s="17"/>
      <c r="BI792" s="17"/>
      <c r="BJ792" s="15"/>
      <c r="BK792" s="15"/>
      <c r="BL792" s="13" t="b">
        <v>0</v>
      </c>
      <c r="BM792" s="10"/>
      <c r="BN792" s="10" t="s">
        <v>223</v>
      </c>
      <c r="BO792" s="11">
        <v>45866.101898148147</v>
      </c>
      <c r="BP792" s="11">
        <v>45866.101898148147</v>
      </c>
      <c r="BQ792" s="15"/>
      <c r="BR792" s="15"/>
      <c r="BS792" s="10"/>
      <c r="BT792" s="10"/>
      <c r="BU792" s="10"/>
      <c r="BV792" s="10"/>
      <c r="BW792" s="10"/>
      <c r="BX792" s="10"/>
      <c r="BY792" s="23"/>
      <c r="BZ792" s="23"/>
      <c r="CA792" s="23"/>
      <c r="CB792" s="23"/>
      <c r="CC792" s="23"/>
      <c r="CD792" s="23"/>
      <c r="CE792" s="23"/>
      <c r="CF792" s="23"/>
      <c r="CG792" s="23"/>
      <c r="CH792" s="23"/>
      <c r="CI792" s="23"/>
    </row>
    <row r="793" spans="1:87" x14ac:dyDescent="0.3">
      <c r="A793" s="9" t="s">
        <v>6959</v>
      </c>
      <c r="B793" s="10" t="s">
        <v>6960</v>
      </c>
      <c r="C793" s="11">
        <v>46054</v>
      </c>
      <c r="D793" s="12">
        <v>8.3333333333333329E-2</v>
      </c>
      <c r="E793" s="11">
        <v>46054.083333333336</v>
      </c>
      <c r="F793" s="10" t="s">
        <v>5001</v>
      </c>
      <c r="G793" s="13" t="b">
        <v>0</v>
      </c>
      <c r="H793" s="10"/>
      <c r="I793" s="10" t="s">
        <v>89</v>
      </c>
      <c r="J793" s="13" t="b">
        <v>0</v>
      </c>
      <c r="K793" s="13" t="b">
        <v>1</v>
      </c>
      <c r="L793" s="10" t="s">
        <v>124</v>
      </c>
      <c r="M793" s="10" t="s">
        <v>91</v>
      </c>
      <c r="N793" s="10" t="s">
        <v>92</v>
      </c>
      <c r="O793" s="10"/>
      <c r="P793" s="10"/>
      <c r="Q793" s="10"/>
      <c r="R793" s="10"/>
      <c r="S793" s="10"/>
      <c r="T793" s="10"/>
      <c r="U793" s="10" t="s">
        <v>5019</v>
      </c>
      <c r="V793" s="10" t="s">
        <v>5005</v>
      </c>
      <c r="W793" s="10" t="s">
        <v>5007</v>
      </c>
      <c r="X793" s="10" t="s">
        <v>130</v>
      </c>
      <c r="Y793" s="10" t="s">
        <v>130</v>
      </c>
      <c r="Z793" s="10" t="s">
        <v>99</v>
      </c>
      <c r="AA793" s="10" t="s">
        <v>131</v>
      </c>
      <c r="AB793" s="10" t="s">
        <v>5008</v>
      </c>
      <c r="AC793" s="10" t="s">
        <v>5009</v>
      </c>
      <c r="AD793" s="10" t="s">
        <v>6961</v>
      </c>
      <c r="AE793" s="10" t="s">
        <v>6962</v>
      </c>
      <c r="AF793" s="15"/>
      <c r="AG793" s="10"/>
      <c r="AH793" s="10"/>
      <c r="AI793" s="10"/>
      <c r="AJ793" s="10"/>
      <c r="AK793" s="10"/>
      <c r="AL793" s="10" t="s">
        <v>2509</v>
      </c>
      <c r="AM793" s="10"/>
      <c r="AN793" s="10"/>
      <c r="AO793" s="13" t="b">
        <v>0</v>
      </c>
      <c r="AP793" s="10" t="s">
        <v>104</v>
      </c>
      <c r="AQ793" s="10"/>
      <c r="AR793" s="17"/>
      <c r="AS793" s="17"/>
      <c r="AT793" s="17"/>
      <c r="AU793" s="17"/>
      <c r="AV793" s="17"/>
      <c r="AW793" s="10"/>
      <c r="AX793" s="17"/>
      <c r="AY793" s="18" t="s">
        <v>257</v>
      </c>
      <c r="AZ793" s="10"/>
      <c r="BA793" s="20" t="b">
        <v>0</v>
      </c>
      <c r="BB793" s="10"/>
      <c r="BC793" s="17" t="s">
        <v>257</v>
      </c>
      <c r="BD793" s="17" t="s">
        <v>257</v>
      </c>
      <c r="BE793" s="17" t="s">
        <v>257</v>
      </c>
      <c r="BF793" s="17" t="s">
        <v>257</v>
      </c>
      <c r="BG793" s="11">
        <f ca="1">IFERROR(__xludf.DUMMYFUNCTION("""COMPUTED_VALUE"""),46054)</f>
        <v>46054</v>
      </c>
      <c r="BH793" s="17"/>
      <c r="BI793" s="17"/>
      <c r="BJ793" s="15"/>
      <c r="BK793" s="15"/>
      <c r="BL793" s="13" t="b">
        <v>0</v>
      </c>
      <c r="BM793" s="10"/>
      <c r="BN793" s="10" t="s">
        <v>223</v>
      </c>
      <c r="BO793" s="11">
        <v>45866.101898148147</v>
      </c>
      <c r="BP793" s="11">
        <v>45866.101898148147</v>
      </c>
      <c r="BQ793" s="15"/>
      <c r="BR793" s="15"/>
      <c r="BS793" s="10"/>
      <c r="BT793" s="10"/>
      <c r="BU793" s="10"/>
      <c r="BV793" s="10"/>
      <c r="BW793" s="10"/>
      <c r="BX793" s="10"/>
      <c r="BY793" s="23"/>
      <c r="BZ793" s="23"/>
      <c r="CA793" s="23"/>
      <c r="CB793" s="23"/>
      <c r="CC793" s="23"/>
      <c r="CD793" s="23"/>
      <c r="CE793" s="23"/>
      <c r="CF793" s="23"/>
      <c r="CG793" s="23"/>
      <c r="CH793" s="23"/>
      <c r="CI793" s="23"/>
    </row>
    <row r="794" spans="1:87" x14ac:dyDescent="0.3">
      <c r="A794" s="9" t="s">
        <v>6963</v>
      </c>
      <c r="B794" s="10" t="s">
        <v>6964</v>
      </c>
      <c r="C794" s="11">
        <v>46054</v>
      </c>
      <c r="D794" s="12">
        <v>8.3333333333333329E-2</v>
      </c>
      <c r="E794" s="11">
        <v>46054.083333333336</v>
      </c>
      <c r="F794" s="10" t="s">
        <v>5001</v>
      </c>
      <c r="G794" s="13" t="b">
        <v>0</v>
      </c>
      <c r="H794" s="10"/>
      <c r="I794" s="10" t="s">
        <v>89</v>
      </c>
      <c r="J794" s="13" t="b">
        <v>0</v>
      </c>
      <c r="K794" s="13" t="b">
        <v>1</v>
      </c>
      <c r="L794" s="10" t="s">
        <v>124</v>
      </c>
      <c r="M794" s="10" t="s">
        <v>91</v>
      </c>
      <c r="N794" s="10" t="s">
        <v>92</v>
      </c>
      <c r="O794" s="10"/>
      <c r="P794" s="10"/>
      <c r="Q794" s="10"/>
      <c r="R794" s="10"/>
      <c r="S794" s="10"/>
      <c r="T794" s="10"/>
      <c r="U794" s="10" t="s">
        <v>5089</v>
      </c>
      <c r="V794" s="10" t="s">
        <v>5031</v>
      </c>
      <c r="W794" s="10" t="s">
        <v>5007</v>
      </c>
      <c r="X794" s="10" t="s">
        <v>130</v>
      </c>
      <c r="Y794" s="10" t="s">
        <v>130</v>
      </c>
      <c r="Z794" s="10" t="s">
        <v>99</v>
      </c>
      <c r="AA794" s="10" t="s">
        <v>131</v>
      </c>
      <c r="AB794" s="10" t="s">
        <v>5008</v>
      </c>
      <c r="AC794" s="10" t="s">
        <v>5009</v>
      </c>
      <c r="AD794" s="10" t="s">
        <v>6965</v>
      </c>
      <c r="AE794" s="10" t="s">
        <v>6966</v>
      </c>
      <c r="AF794" s="15"/>
      <c r="AG794" s="10"/>
      <c r="AH794" s="10"/>
      <c r="AI794" s="10"/>
      <c r="AJ794" s="10"/>
      <c r="AK794" s="10"/>
      <c r="AL794" s="10" t="s">
        <v>2509</v>
      </c>
      <c r="AM794" s="10"/>
      <c r="AN794" s="10"/>
      <c r="AO794" s="13" t="b">
        <v>0</v>
      </c>
      <c r="AP794" s="10" t="s">
        <v>104</v>
      </c>
      <c r="AQ794" s="10"/>
      <c r="AR794" s="17"/>
      <c r="AS794" s="17"/>
      <c r="AT794" s="17"/>
      <c r="AU794" s="17"/>
      <c r="AV794" s="17"/>
      <c r="AW794" s="10"/>
      <c r="AX794" s="17"/>
      <c r="AY794" s="18" t="s">
        <v>257</v>
      </c>
      <c r="AZ794" s="10"/>
      <c r="BA794" s="20" t="b">
        <v>0</v>
      </c>
      <c r="BB794" s="10"/>
      <c r="BC794" s="17" t="s">
        <v>257</v>
      </c>
      <c r="BD794" s="17" t="s">
        <v>257</v>
      </c>
      <c r="BE794" s="17" t="s">
        <v>257</v>
      </c>
      <c r="BF794" s="17" t="s">
        <v>257</v>
      </c>
      <c r="BG794" s="11">
        <f ca="1">IFERROR(__xludf.DUMMYFUNCTION("""COMPUTED_VALUE"""),46054)</f>
        <v>46054</v>
      </c>
      <c r="BH794" s="17"/>
      <c r="BI794" s="17"/>
      <c r="BJ794" s="15"/>
      <c r="BK794" s="15"/>
      <c r="BL794" s="13" t="b">
        <v>0</v>
      </c>
      <c r="BM794" s="10"/>
      <c r="BN794" s="10" t="s">
        <v>223</v>
      </c>
      <c r="BO794" s="11">
        <v>45866.101898148147</v>
      </c>
      <c r="BP794" s="11">
        <v>45866.101898148147</v>
      </c>
      <c r="BQ794" s="15"/>
      <c r="BR794" s="15"/>
      <c r="BS794" s="10"/>
      <c r="BT794" s="10"/>
      <c r="BU794" s="10"/>
      <c r="BV794" s="10"/>
      <c r="BW794" s="10"/>
      <c r="BX794" s="10"/>
      <c r="BY794" s="23"/>
      <c r="BZ794" s="23"/>
      <c r="CA794" s="23"/>
      <c r="CB794" s="23"/>
      <c r="CC794" s="23"/>
      <c r="CD794" s="23"/>
      <c r="CE794" s="23"/>
      <c r="CF794" s="23"/>
      <c r="CG794" s="23"/>
      <c r="CH794" s="23"/>
      <c r="CI794" s="23"/>
    </row>
    <row r="795" spans="1:87" x14ac:dyDescent="0.3">
      <c r="A795" s="9" t="s">
        <v>6967</v>
      </c>
      <c r="B795" s="10" t="s">
        <v>6968</v>
      </c>
      <c r="C795" s="11">
        <v>46054</v>
      </c>
      <c r="D795" s="12">
        <v>8.3333333333333329E-2</v>
      </c>
      <c r="E795" s="11">
        <v>46054.083333333336</v>
      </c>
      <c r="F795" s="10" t="s">
        <v>5001</v>
      </c>
      <c r="G795" s="13" t="b">
        <v>0</v>
      </c>
      <c r="H795" s="10"/>
      <c r="I795" s="10" t="s">
        <v>89</v>
      </c>
      <c r="J795" s="13" t="b">
        <v>0</v>
      </c>
      <c r="K795" s="13" t="b">
        <v>1</v>
      </c>
      <c r="L795" s="10" t="s">
        <v>124</v>
      </c>
      <c r="M795" s="10" t="s">
        <v>91</v>
      </c>
      <c r="N795" s="10" t="s">
        <v>92</v>
      </c>
      <c r="O795" s="10"/>
      <c r="P795" s="10"/>
      <c r="Q795" s="10"/>
      <c r="R795" s="10"/>
      <c r="S795" s="10"/>
      <c r="T795" s="10"/>
      <c r="U795" s="10" t="s">
        <v>5113</v>
      </c>
      <c r="V795" s="10" t="s">
        <v>5006</v>
      </c>
      <c r="W795" s="10" t="s">
        <v>5007</v>
      </c>
      <c r="X795" s="10" t="s">
        <v>130</v>
      </c>
      <c r="Y795" s="10" t="s">
        <v>130</v>
      </c>
      <c r="Z795" s="10" t="s">
        <v>99</v>
      </c>
      <c r="AA795" s="10" t="s">
        <v>131</v>
      </c>
      <c r="AB795" s="10" t="s">
        <v>5008</v>
      </c>
      <c r="AC795" s="10" t="s">
        <v>5009</v>
      </c>
      <c r="AD795" s="10" t="s">
        <v>6969</v>
      </c>
      <c r="AE795" s="10" t="s">
        <v>6970</v>
      </c>
      <c r="AF795" s="15"/>
      <c r="AG795" s="10"/>
      <c r="AH795" s="10"/>
      <c r="AI795" s="10"/>
      <c r="AJ795" s="10"/>
      <c r="AK795" s="10"/>
      <c r="AL795" s="10" t="s">
        <v>2509</v>
      </c>
      <c r="AM795" s="10"/>
      <c r="AN795" s="10"/>
      <c r="AO795" s="13" t="b">
        <v>1</v>
      </c>
      <c r="AP795" s="10" t="s">
        <v>104</v>
      </c>
      <c r="AQ795" s="10"/>
      <c r="AR795" s="17"/>
      <c r="AS795" s="17"/>
      <c r="AT795" s="17"/>
      <c r="AU795" s="17"/>
      <c r="AV795" s="17"/>
      <c r="AW795" s="10"/>
      <c r="AX795" s="17"/>
      <c r="AY795" s="18" t="s">
        <v>257</v>
      </c>
      <c r="AZ795" s="10"/>
      <c r="BA795" s="20" t="b">
        <v>0</v>
      </c>
      <c r="BB795" s="10"/>
      <c r="BC795" s="17" t="s">
        <v>257</v>
      </c>
      <c r="BD795" s="17" t="s">
        <v>257</v>
      </c>
      <c r="BE795" s="17" t="s">
        <v>257</v>
      </c>
      <c r="BF795" s="17" t="s">
        <v>257</v>
      </c>
      <c r="BG795" s="11">
        <f ca="1">IFERROR(__xludf.DUMMYFUNCTION("""COMPUTED_VALUE"""),46054)</f>
        <v>46054</v>
      </c>
      <c r="BH795" s="17"/>
      <c r="BI795" s="17"/>
      <c r="BJ795" s="15"/>
      <c r="BK795" s="15"/>
      <c r="BL795" s="13" t="b">
        <v>0</v>
      </c>
      <c r="BM795" s="10"/>
      <c r="BN795" s="10" t="s">
        <v>223</v>
      </c>
      <c r="BO795" s="11">
        <v>45866.101898148147</v>
      </c>
      <c r="BP795" s="11">
        <v>45866.101898148147</v>
      </c>
      <c r="BQ795" s="15"/>
      <c r="BR795" s="15"/>
      <c r="BS795" s="10"/>
      <c r="BT795" s="10"/>
      <c r="BU795" s="10"/>
      <c r="BV795" s="10"/>
      <c r="BW795" s="10"/>
      <c r="BX795" s="10"/>
      <c r="BY795" s="23"/>
      <c r="BZ795" s="23"/>
      <c r="CA795" s="23"/>
      <c r="CB795" s="23"/>
      <c r="CC795" s="23"/>
      <c r="CD795" s="23"/>
      <c r="CE795" s="23"/>
      <c r="CF795" s="23"/>
      <c r="CG795" s="23"/>
      <c r="CH795" s="23"/>
      <c r="CI795" s="23"/>
    </row>
    <row r="796" spans="1:87" x14ac:dyDescent="0.3">
      <c r="A796" s="9" t="s">
        <v>6971</v>
      </c>
      <c r="B796" s="10" t="s">
        <v>6972</v>
      </c>
      <c r="C796" s="11">
        <v>46061</v>
      </c>
      <c r="D796" s="12">
        <v>8.3333333333333329E-2</v>
      </c>
      <c r="E796" s="11">
        <v>46061.083333333336</v>
      </c>
      <c r="F796" s="10" t="s">
        <v>5001</v>
      </c>
      <c r="G796" s="13" t="b">
        <v>0</v>
      </c>
      <c r="H796" s="10"/>
      <c r="I796" s="10" t="s">
        <v>89</v>
      </c>
      <c r="J796" s="13" t="b">
        <v>0</v>
      </c>
      <c r="K796" s="13" t="b">
        <v>1</v>
      </c>
      <c r="L796" s="10" t="s">
        <v>124</v>
      </c>
      <c r="M796" s="10" t="s">
        <v>91</v>
      </c>
      <c r="N796" s="10" t="s">
        <v>92</v>
      </c>
      <c r="O796" s="10"/>
      <c r="P796" s="10"/>
      <c r="Q796" s="10"/>
      <c r="R796" s="10"/>
      <c r="S796" s="10"/>
      <c r="T796" s="10"/>
      <c r="U796" s="10" t="s">
        <v>5055</v>
      </c>
      <c r="V796" s="10" t="s">
        <v>5101</v>
      </c>
      <c r="W796" s="10" t="s">
        <v>5007</v>
      </c>
      <c r="X796" s="10" t="s">
        <v>130</v>
      </c>
      <c r="Y796" s="10" t="s">
        <v>130</v>
      </c>
      <c r="Z796" s="10" t="s">
        <v>99</v>
      </c>
      <c r="AA796" s="10" t="s">
        <v>131</v>
      </c>
      <c r="AB796" s="10" t="s">
        <v>5008</v>
      </c>
      <c r="AC796" s="10" t="s">
        <v>5009</v>
      </c>
      <c r="AD796" s="10" t="s">
        <v>6973</v>
      </c>
      <c r="AE796" s="10" t="s">
        <v>6974</v>
      </c>
      <c r="AF796" s="15"/>
      <c r="AG796" s="10"/>
      <c r="AH796" s="10"/>
      <c r="AI796" s="10"/>
      <c r="AJ796" s="10"/>
      <c r="AK796" s="10"/>
      <c r="AL796" s="10" t="s">
        <v>2553</v>
      </c>
      <c r="AM796" s="10"/>
      <c r="AN796" s="10"/>
      <c r="AO796" s="13" t="b">
        <v>0</v>
      </c>
      <c r="AP796" s="10" t="s">
        <v>104</v>
      </c>
      <c r="AQ796" s="10"/>
      <c r="AR796" s="17"/>
      <c r="AS796" s="17"/>
      <c r="AT796" s="17"/>
      <c r="AU796" s="17"/>
      <c r="AV796" s="17"/>
      <c r="AW796" s="10"/>
      <c r="AX796" s="17"/>
      <c r="AY796" s="18" t="s">
        <v>257</v>
      </c>
      <c r="AZ796" s="10"/>
      <c r="BA796" s="20" t="b">
        <v>0</v>
      </c>
      <c r="BB796" s="10"/>
      <c r="BC796" s="17" t="s">
        <v>257</v>
      </c>
      <c r="BD796" s="17" t="s">
        <v>257</v>
      </c>
      <c r="BE796" s="17" t="s">
        <v>257</v>
      </c>
      <c r="BF796" s="17" t="s">
        <v>257</v>
      </c>
      <c r="BG796" s="11">
        <f ca="1">IFERROR(__xludf.DUMMYFUNCTION("""COMPUTED_VALUE"""),46061)</f>
        <v>46061</v>
      </c>
      <c r="BH796" s="17"/>
      <c r="BI796" s="17"/>
      <c r="BJ796" s="15"/>
      <c r="BK796" s="15"/>
      <c r="BL796" s="13" t="b">
        <v>0</v>
      </c>
      <c r="BM796" s="10"/>
      <c r="BN796" s="10" t="s">
        <v>223</v>
      </c>
      <c r="BO796" s="11">
        <v>45866.101898148147</v>
      </c>
      <c r="BP796" s="11">
        <v>45866.101898148147</v>
      </c>
      <c r="BQ796" s="15"/>
      <c r="BR796" s="15"/>
      <c r="BS796" s="10"/>
      <c r="BT796" s="10"/>
      <c r="BU796" s="10"/>
      <c r="BV796" s="10"/>
      <c r="BW796" s="10"/>
      <c r="BX796" s="10"/>
      <c r="BY796" s="23"/>
      <c r="BZ796" s="23"/>
      <c r="CA796" s="23"/>
      <c r="CB796" s="23"/>
      <c r="CC796" s="23"/>
      <c r="CD796" s="23"/>
      <c r="CE796" s="23"/>
      <c r="CF796" s="23"/>
      <c r="CG796" s="23"/>
      <c r="CH796" s="23"/>
      <c r="CI796" s="23"/>
    </row>
    <row r="797" spans="1:87" x14ac:dyDescent="0.3">
      <c r="A797" s="9" t="s">
        <v>6975</v>
      </c>
      <c r="B797" s="10" t="s">
        <v>6976</v>
      </c>
      <c r="C797" s="11">
        <v>46061</v>
      </c>
      <c r="D797" s="12">
        <v>8.3333333333333329E-2</v>
      </c>
      <c r="E797" s="11">
        <v>46061.083333333336</v>
      </c>
      <c r="F797" s="10" t="s">
        <v>5001</v>
      </c>
      <c r="G797" s="13" t="b">
        <v>0</v>
      </c>
      <c r="H797" s="10"/>
      <c r="I797" s="10" t="s">
        <v>89</v>
      </c>
      <c r="J797" s="13" t="b">
        <v>0</v>
      </c>
      <c r="K797" s="13" t="b">
        <v>1</v>
      </c>
      <c r="L797" s="10" t="s">
        <v>124</v>
      </c>
      <c r="M797" s="10" t="s">
        <v>91</v>
      </c>
      <c r="N797" s="10" t="s">
        <v>92</v>
      </c>
      <c r="O797" s="10"/>
      <c r="P797" s="10"/>
      <c r="Q797" s="10"/>
      <c r="R797" s="10"/>
      <c r="S797" s="10"/>
      <c r="T797" s="10"/>
      <c r="U797" s="10" t="s">
        <v>5018</v>
      </c>
      <c r="V797" s="10" t="s">
        <v>5089</v>
      </c>
      <c r="W797" s="10" t="s">
        <v>5007</v>
      </c>
      <c r="X797" s="10" t="s">
        <v>130</v>
      </c>
      <c r="Y797" s="10" t="s">
        <v>130</v>
      </c>
      <c r="Z797" s="10" t="s">
        <v>99</v>
      </c>
      <c r="AA797" s="10" t="s">
        <v>131</v>
      </c>
      <c r="AB797" s="10" t="s">
        <v>5008</v>
      </c>
      <c r="AC797" s="10" t="s">
        <v>5009</v>
      </c>
      <c r="AD797" s="10" t="s">
        <v>6977</v>
      </c>
      <c r="AE797" s="10" t="s">
        <v>6978</v>
      </c>
      <c r="AF797" s="15"/>
      <c r="AG797" s="10"/>
      <c r="AH797" s="10"/>
      <c r="AI797" s="10"/>
      <c r="AJ797" s="10"/>
      <c r="AK797" s="10"/>
      <c r="AL797" s="10" t="s">
        <v>2553</v>
      </c>
      <c r="AM797" s="10"/>
      <c r="AN797" s="10"/>
      <c r="AO797" s="13" t="b">
        <v>0</v>
      </c>
      <c r="AP797" s="10" t="s">
        <v>104</v>
      </c>
      <c r="AQ797" s="10"/>
      <c r="AR797" s="17"/>
      <c r="AS797" s="17"/>
      <c r="AT797" s="17"/>
      <c r="AU797" s="17"/>
      <c r="AV797" s="17"/>
      <c r="AW797" s="10"/>
      <c r="AX797" s="17"/>
      <c r="AY797" s="18" t="s">
        <v>257</v>
      </c>
      <c r="AZ797" s="10"/>
      <c r="BA797" s="20" t="b">
        <v>0</v>
      </c>
      <c r="BB797" s="10"/>
      <c r="BC797" s="17" t="s">
        <v>257</v>
      </c>
      <c r="BD797" s="17" t="s">
        <v>257</v>
      </c>
      <c r="BE797" s="17" t="s">
        <v>257</v>
      </c>
      <c r="BF797" s="17" t="s">
        <v>257</v>
      </c>
      <c r="BG797" s="11">
        <f ca="1">IFERROR(__xludf.DUMMYFUNCTION("""COMPUTED_VALUE"""),46061)</f>
        <v>46061</v>
      </c>
      <c r="BH797" s="17"/>
      <c r="BI797" s="17"/>
      <c r="BJ797" s="15"/>
      <c r="BK797" s="15"/>
      <c r="BL797" s="13" t="b">
        <v>0</v>
      </c>
      <c r="BM797" s="10"/>
      <c r="BN797" s="10" t="s">
        <v>223</v>
      </c>
      <c r="BO797" s="11">
        <v>45866.101898148147</v>
      </c>
      <c r="BP797" s="11">
        <v>45866.101898148147</v>
      </c>
      <c r="BQ797" s="15"/>
      <c r="BR797" s="15"/>
      <c r="BS797" s="10"/>
      <c r="BT797" s="10"/>
      <c r="BU797" s="10"/>
      <c r="BV797" s="10"/>
      <c r="BW797" s="10"/>
      <c r="BX797" s="10"/>
      <c r="BY797" s="23"/>
      <c r="BZ797" s="23"/>
      <c r="CA797" s="23"/>
      <c r="CB797" s="23"/>
      <c r="CC797" s="23"/>
      <c r="CD797" s="23"/>
      <c r="CE797" s="23"/>
      <c r="CF797" s="23"/>
      <c r="CG797" s="23"/>
      <c r="CH797" s="23"/>
      <c r="CI797" s="23"/>
    </row>
    <row r="798" spans="1:87" x14ac:dyDescent="0.3">
      <c r="A798" s="9" t="s">
        <v>6979</v>
      </c>
      <c r="B798" s="10" t="s">
        <v>6980</v>
      </c>
      <c r="C798" s="11">
        <v>46061</v>
      </c>
      <c r="D798" s="12">
        <v>8.3333333333333329E-2</v>
      </c>
      <c r="E798" s="11">
        <v>46061.083333333336</v>
      </c>
      <c r="F798" s="10" t="s">
        <v>5001</v>
      </c>
      <c r="G798" s="13" t="b">
        <v>0</v>
      </c>
      <c r="H798" s="10"/>
      <c r="I798" s="10" t="s">
        <v>89</v>
      </c>
      <c r="J798" s="13" t="b">
        <v>0</v>
      </c>
      <c r="K798" s="13" t="b">
        <v>1</v>
      </c>
      <c r="L798" s="10" t="s">
        <v>124</v>
      </c>
      <c r="M798" s="10" t="s">
        <v>91</v>
      </c>
      <c r="N798" s="10" t="s">
        <v>92</v>
      </c>
      <c r="O798" s="10"/>
      <c r="P798" s="10"/>
      <c r="Q798" s="10"/>
      <c r="R798" s="10"/>
      <c r="S798" s="10"/>
      <c r="T798" s="10"/>
      <c r="U798" s="10" t="s">
        <v>5066</v>
      </c>
      <c r="V798" s="10" t="s">
        <v>5114</v>
      </c>
      <c r="W798" s="10" t="s">
        <v>5007</v>
      </c>
      <c r="X798" s="10" t="s">
        <v>130</v>
      </c>
      <c r="Y798" s="10" t="s">
        <v>130</v>
      </c>
      <c r="Z798" s="10" t="s">
        <v>99</v>
      </c>
      <c r="AA798" s="10" t="s">
        <v>131</v>
      </c>
      <c r="AB798" s="10" t="s">
        <v>5008</v>
      </c>
      <c r="AC798" s="10" t="s">
        <v>5009</v>
      </c>
      <c r="AD798" s="10" t="s">
        <v>6981</v>
      </c>
      <c r="AE798" s="10" t="s">
        <v>6982</v>
      </c>
      <c r="AF798" s="15"/>
      <c r="AG798" s="10"/>
      <c r="AH798" s="10"/>
      <c r="AI798" s="10"/>
      <c r="AJ798" s="10"/>
      <c r="AK798" s="10"/>
      <c r="AL798" s="10" t="s">
        <v>2553</v>
      </c>
      <c r="AM798" s="10"/>
      <c r="AN798" s="10"/>
      <c r="AO798" s="13" t="b">
        <v>0</v>
      </c>
      <c r="AP798" s="10" t="s">
        <v>104</v>
      </c>
      <c r="AQ798" s="10"/>
      <c r="AR798" s="17"/>
      <c r="AS798" s="17"/>
      <c r="AT798" s="17"/>
      <c r="AU798" s="17"/>
      <c r="AV798" s="17"/>
      <c r="AW798" s="10"/>
      <c r="AX798" s="17"/>
      <c r="AY798" s="18" t="s">
        <v>257</v>
      </c>
      <c r="AZ798" s="10"/>
      <c r="BA798" s="20" t="b">
        <v>0</v>
      </c>
      <c r="BB798" s="10"/>
      <c r="BC798" s="17" t="s">
        <v>257</v>
      </c>
      <c r="BD798" s="17" t="s">
        <v>257</v>
      </c>
      <c r="BE798" s="17" t="s">
        <v>257</v>
      </c>
      <c r="BF798" s="17" t="s">
        <v>257</v>
      </c>
      <c r="BG798" s="11">
        <f ca="1">IFERROR(__xludf.DUMMYFUNCTION("""COMPUTED_VALUE"""),46061)</f>
        <v>46061</v>
      </c>
      <c r="BH798" s="17"/>
      <c r="BI798" s="17"/>
      <c r="BJ798" s="15"/>
      <c r="BK798" s="15"/>
      <c r="BL798" s="13" t="b">
        <v>0</v>
      </c>
      <c r="BM798" s="10"/>
      <c r="BN798" s="10" t="s">
        <v>223</v>
      </c>
      <c r="BO798" s="11">
        <v>45866.101898148147</v>
      </c>
      <c r="BP798" s="11">
        <v>45866.101898148147</v>
      </c>
      <c r="BQ798" s="15"/>
      <c r="BR798" s="15"/>
      <c r="BS798" s="10"/>
      <c r="BT798" s="10"/>
      <c r="BU798" s="10"/>
      <c r="BV798" s="10"/>
      <c r="BW798" s="10"/>
      <c r="BX798" s="10"/>
      <c r="BY798" s="23"/>
      <c r="BZ798" s="23"/>
      <c r="CA798" s="23"/>
      <c r="CB798" s="23"/>
      <c r="CC798" s="23"/>
      <c r="CD798" s="23"/>
      <c r="CE798" s="23"/>
      <c r="CF798" s="23"/>
      <c r="CG798" s="23"/>
      <c r="CH798" s="23"/>
      <c r="CI798" s="23"/>
    </row>
    <row r="799" spans="1:87" x14ac:dyDescent="0.3">
      <c r="A799" s="9" t="s">
        <v>6983</v>
      </c>
      <c r="B799" s="10" t="s">
        <v>6984</v>
      </c>
      <c r="C799" s="11">
        <v>46061</v>
      </c>
      <c r="D799" s="12">
        <v>8.3333333333333329E-2</v>
      </c>
      <c r="E799" s="11">
        <v>46061.083333333336</v>
      </c>
      <c r="F799" s="10" t="s">
        <v>5001</v>
      </c>
      <c r="G799" s="13" t="b">
        <v>0</v>
      </c>
      <c r="H799" s="10"/>
      <c r="I799" s="10" t="s">
        <v>89</v>
      </c>
      <c r="J799" s="13" t="b">
        <v>0</v>
      </c>
      <c r="K799" s="13" t="b">
        <v>1</v>
      </c>
      <c r="L799" s="10" t="s">
        <v>124</v>
      </c>
      <c r="M799" s="10" t="s">
        <v>91</v>
      </c>
      <c r="N799" s="10" t="s">
        <v>92</v>
      </c>
      <c r="O799" s="10"/>
      <c r="P799" s="10"/>
      <c r="Q799" s="10"/>
      <c r="R799" s="10"/>
      <c r="S799" s="10"/>
      <c r="T799" s="10"/>
      <c r="U799" s="10" t="s">
        <v>5076</v>
      </c>
      <c r="V799" s="10" t="s">
        <v>5032</v>
      </c>
      <c r="W799" s="10" t="s">
        <v>5007</v>
      </c>
      <c r="X799" s="10" t="s">
        <v>130</v>
      </c>
      <c r="Y799" s="10" t="s">
        <v>130</v>
      </c>
      <c r="Z799" s="10" t="s">
        <v>99</v>
      </c>
      <c r="AA799" s="10" t="s">
        <v>131</v>
      </c>
      <c r="AB799" s="10" t="s">
        <v>5008</v>
      </c>
      <c r="AC799" s="10" t="s">
        <v>5009</v>
      </c>
      <c r="AD799" s="10" t="s">
        <v>6985</v>
      </c>
      <c r="AE799" s="10" t="s">
        <v>6986</v>
      </c>
      <c r="AF799" s="15"/>
      <c r="AG799" s="10"/>
      <c r="AH799" s="10"/>
      <c r="AI799" s="10"/>
      <c r="AJ799" s="10"/>
      <c r="AK799" s="10"/>
      <c r="AL799" s="10" t="s">
        <v>2553</v>
      </c>
      <c r="AM799" s="10"/>
      <c r="AN799" s="10"/>
      <c r="AO799" s="13" t="b">
        <v>0</v>
      </c>
      <c r="AP799" s="10" t="s">
        <v>104</v>
      </c>
      <c r="AQ799" s="10"/>
      <c r="AR799" s="17"/>
      <c r="AS799" s="17"/>
      <c r="AT799" s="17"/>
      <c r="AU799" s="17"/>
      <c r="AV799" s="17"/>
      <c r="AW799" s="10"/>
      <c r="AX799" s="17"/>
      <c r="AY799" s="18" t="s">
        <v>257</v>
      </c>
      <c r="AZ799" s="10"/>
      <c r="BA799" s="20" t="b">
        <v>0</v>
      </c>
      <c r="BB799" s="10"/>
      <c r="BC799" s="17" t="s">
        <v>257</v>
      </c>
      <c r="BD799" s="17" t="s">
        <v>257</v>
      </c>
      <c r="BE799" s="17" t="s">
        <v>257</v>
      </c>
      <c r="BF799" s="17" t="s">
        <v>257</v>
      </c>
      <c r="BG799" s="11">
        <f ca="1">IFERROR(__xludf.DUMMYFUNCTION("""COMPUTED_VALUE"""),46061)</f>
        <v>46061</v>
      </c>
      <c r="BH799" s="17"/>
      <c r="BI799" s="17"/>
      <c r="BJ799" s="15"/>
      <c r="BK799" s="15"/>
      <c r="BL799" s="13" t="b">
        <v>0</v>
      </c>
      <c r="BM799" s="10"/>
      <c r="BN799" s="10" t="s">
        <v>223</v>
      </c>
      <c r="BO799" s="11">
        <v>45866.101898148147</v>
      </c>
      <c r="BP799" s="11">
        <v>45866.101898148147</v>
      </c>
      <c r="BQ799" s="15"/>
      <c r="BR799" s="15"/>
      <c r="BS799" s="10"/>
      <c r="BT799" s="10"/>
      <c r="BU799" s="10"/>
      <c r="BV799" s="10"/>
      <c r="BW799" s="10"/>
      <c r="BX799" s="10"/>
      <c r="BY799" s="23"/>
      <c r="BZ799" s="23"/>
      <c r="CA799" s="23"/>
      <c r="CB799" s="23"/>
      <c r="CC799" s="23"/>
      <c r="CD799" s="23"/>
      <c r="CE799" s="23"/>
      <c r="CF799" s="23"/>
      <c r="CG799" s="23"/>
      <c r="CH799" s="23"/>
      <c r="CI799" s="23"/>
    </row>
    <row r="800" spans="1:87" x14ac:dyDescent="0.3">
      <c r="A800" s="9" t="s">
        <v>6987</v>
      </c>
      <c r="B800" s="10" t="s">
        <v>6988</v>
      </c>
      <c r="C800" s="11">
        <v>46061</v>
      </c>
      <c r="D800" s="12">
        <v>8.3333333333333329E-2</v>
      </c>
      <c r="E800" s="11">
        <v>46061.083333333336</v>
      </c>
      <c r="F800" s="10" t="s">
        <v>5001</v>
      </c>
      <c r="G800" s="13" t="b">
        <v>0</v>
      </c>
      <c r="H800" s="10"/>
      <c r="I800" s="10" t="s">
        <v>89</v>
      </c>
      <c r="J800" s="13" t="b">
        <v>0</v>
      </c>
      <c r="K800" s="13" t="b">
        <v>1</v>
      </c>
      <c r="L800" s="10" t="s">
        <v>124</v>
      </c>
      <c r="M800" s="10" t="s">
        <v>91</v>
      </c>
      <c r="N800" s="10" t="s">
        <v>92</v>
      </c>
      <c r="O800" s="10"/>
      <c r="P800" s="10"/>
      <c r="Q800" s="10"/>
      <c r="R800" s="10"/>
      <c r="S800" s="10"/>
      <c r="T800" s="10"/>
      <c r="U800" s="10" t="s">
        <v>5042</v>
      </c>
      <c r="V800" s="10" t="s">
        <v>5041</v>
      </c>
      <c r="W800" s="10" t="s">
        <v>5007</v>
      </c>
      <c r="X800" s="10" t="s">
        <v>130</v>
      </c>
      <c r="Y800" s="10" t="s">
        <v>130</v>
      </c>
      <c r="Z800" s="10" t="s">
        <v>99</v>
      </c>
      <c r="AA800" s="10" t="s">
        <v>131</v>
      </c>
      <c r="AB800" s="10" t="s">
        <v>5008</v>
      </c>
      <c r="AC800" s="10" t="s">
        <v>5009</v>
      </c>
      <c r="AD800" s="10" t="s">
        <v>6989</v>
      </c>
      <c r="AE800" s="10" t="s">
        <v>6990</v>
      </c>
      <c r="AF800" s="15"/>
      <c r="AG800" s="10"/>
      <c r="AH800" s="10"/>
      <c r="AI800" s="10"/>
      <c r="AJ800" s="10"/>
      <c r="AK800" s="10"/>
      <c r="AL800" s="10" t="s">
        <v>2553</v>
      </c>
      <c r="AM800" s="10"/>
      <c r="AN800" s="10"/>
      <c r="AO800" s="13" t="b">
        <v>1</v>
      </c>
      <c r="AP800" s="10" t="s">
        <v>104</v>
      </c>
      <c r="AQ800" s="10"/>
      <c r="AR800" s="17"/>
      <c r="AS800" s="17"/>
      <c r="AT800" s="17"/>
      <c r="AU800" s="17"/>
      <c r="AV800" s="17"/>
      <c r="AW800" s="10"/>
      <c r="AX800" s="17"/>
      <c r="AY800" s="18" t="s">
        <v>257</v>
      </c>
      <c r="AZ800" s="10"/>
      <c r="BA800" s="20" t="b">
        <v>0</v>
      </c>
      <c r="BB800" s="10"/>
      <c r="BC800" s="17" t="s">
        <v>257</v>
      </c>
      <c r="BD800" s="17" t="s">
        <v>257</v>
      </c>
      <c r="BE800" s="17" t="s">
        <v>257</v>
      </c>
      <c r="BF800" s="17" t="s">
        <v>257</v>
      </c>
      <c r="BG800" s="11">
        <f ca="1">IFERROR(__xludf.DUMMYFUNCTION("""COMPUTED_VALUE"""),46061)</f>
        <v>46061</v>
      </c>
      <c r="BH800" s="17"/>
      <c r="BI800" s="17"/>
      <c r="BJ800" s="15"/>
      <c r="BK800" s="15"/>
      <c r="BL800" s="13" t="b">
        <v>0</v>
      </c>
      <c r="BM800" s="10"/>
      <c r="BN800" s="10" t="s">
        <v>223</v>
      </c>
      <c r="BO800" s="11">
        <v>45866.101898148147</v>
      </c>
      <c r="BP800" s="11">
        <v>45866.101898148147</v>
      </c>
      <c r="BQ800" s="15"/>
      <c r="BR800" s="15"/>
      <c r="BS800" s="10"/>
      <c r="BT800" s="10"/>
      <c r="BU800" s="10"/>
      <c r="BV800" s="10"/>
      <c r="BW800" s="10"/>
      <c r="BX800" s="10"/>
      <c r="BY800" s="23"/>
      <c r="BZ800" s="23"/>
      <c r="CA800" s="23"/>
      <c r="CB800" s="23"/>
      <c r="CC800" s="23"/>
      <c r="CD800" s="23"/>
      <c r="CE800" s="23"/>
      <c r="CF800" s="23"/>
      <c r="CG800" s="23"/>
      <c r="CH800" s="23"/>
      <c r="CI800" s="23"/>
    </row>
    <row r="801" spans="1:87" x14ac:dyDescent="0.3">
      <c r="A801" s="9" t="s">
        <v>6991</v>
      </c>
      <c r="B801" s="10" t="s">
        <v>6992</v>
      </c>
      <c r="C801" s="11">
        <v>46061</v>
      </c>
      <c r="D801" s="12">
        <v>8.3333333333333329E-2</v>
      </c>
      <c r="E801" s="11">
        <v>46061.083333333336</v>
      </c>
      <c r="F801" s="10" t="s">
        <v>5001</v>
      </c>
      <c r="G801" s="13" t="b">
        <v>0</v>
      </c>
      <c r="H801" s="10"/>
      <c r="I801" s="10" t="s">
        <v>89</v>
      </c>
      <c r="J801" s="13" t="b">
        <v>0</v>
      </c>
      <c r="K801" s="13" t="b">
        <v>1</v>
      </c>
      <c r="L801" s="10" t="s">
        <v>124</v>
      </c>
      <c r="M801" s="10" t="s">
        <v>91</v>
      </c>
      <c r="N801" s="10" t="s">
        <v>92</v>
      </c>
      <c r="O801" s="10"/>
      <c r="P801" s="10"/>
      <c r="Q801" s="10"/>
      <c r="R801" s="10"/>
      <c r="S801" s="10"/>
      <c r="T801" s="10"/>
      <c r="U801" s="10" t="s">
        <v>5077</v>
      </c>
      <c r="V801" s="10" t="s">
        <v>5005</v>
      </c>
      <c r="W801" s="10" t="s">
        <v>5007</v>
      </c>
      <c r="X801" s="10" t="s">
        <v>130</v>
      </c>
      <c r="Y801" s="10" t="s">
        <v>130</v>
      </c>
      <c r="Z801" s="10" t="s">
        <v>99</v>
      </c>
      <c r="AA801" s="10" t="s">
        <v>131</v>
      </c>
      <c r="AB801" s="10" t="s">
        <v>5008</v>
      </c>
      <c r="AC801" s="10" t="s">
        <v>5009</v>
      </c>
      <c r="AD801" s="10" t="s">
        <v>6993</v>
      </c>
      <c r="AE801" s="10" t="s">
        <v>6994</v>
      </c>
      <c r="AF801" s="15"/>
      <c r="AG801" s="10"/>
      <c r="AH801" s="10"/>
      <c r="AI801" s="10"/>
      <c r="AJ801" s="10"/>
      <c r="AK801" s="10"/>
      <c r="AL801" s="10" t="s">
        <v>2553</v>
      </c>
      <c r="AM801" s="10"/>
      <c r="AN801" s="10"/>
      <c r="AO801" s="13" t="b">
        <v>0</v>
      </c>
      <c r="AP801" s="10" t="s">
        <v>104</v>
      </c>
      <c r="AQ801" s="10"/>
      <c r="AR801" s="17"/>
      <c r="AS801" s="17"/>
      <c r="AT801" s="17"/>
      <c r="AU801" s="17"/>
      <c r="AV801" s="17"/>
      <c r="AW801" s="10"/>
      <c r="AX801" s="17"/>
      <c r="AY801" s="18" t="s">
        <v>257</v>
      </c>
      <c r="AZ801" s="10"/>
      <c r="BA801" s="20" t="b">
        <v>0</v>
      </c>
      <c r="BB801" s="10"/>
      <c r="BC801" s="17" t="s">
        <v>257</v>
      </c>
      <c r="BD801" s="17" t="s">
        <v>257</v>
      </c>
      <c r="BE801" s="17" t="s">
        <v>257</v>
      </c>
      <c r="BF801" s="17" t="s">
        <v>257</v>
      </c>
      <c r="BG801" s="11">
        <f ca="1">IFERROR(__xludf.DUMMYFUNCTION("""COMPUTED_VALUE"""),46061)</f>
        <v>46061</v>
      </c>
      <c r="BH801" s="17"/>
      <c r="BI801" s="17"/>
      <c r="BJ801" s="15"/>
      <c r="BK801" s="15"/>
      <c r="BL801" s="13" t="b">
        <v>0</v>
      </c>
      <c r="BM801" s="10"/>
      <c r="BN801" s="10" t="s">
        <v>223</v>
      </c>
      <c r="BO801" s="11">
        <v>45866.101898148147</v>
      </c>
      <c r="BP801" s="11">
        <v>45866.101898148147</v>
      </c>
      <c r="BQ801" s="15"/>
      <c r="BR801" s="15"/>
      <c r="BS801" s="10"/>
      <c r="BT801" s="10"/>
      <c r="BU801" s="10"/>
      <c r="BV801" s="10"/>
      <c r="BW801" s="10"/>
      <c r="BX801" s="10"/>
      <c r="BY801" s="23"/>
      <c r="BZ801" s="23"/>
      <c r="CA801" s="23"/>
      <c r="CB801" s="23"/>
      <c r="CC801" s="23"/>
      <c r="CD801" s="23"/>
      <c r="CE801" s="23"/>
      <c r="CF801" s="23"/>
      <c r="CG801" s="23"/>
      <c r="CH801" s="23"/>
      <c r="CI801" s="23"/>
    </row>
    <row r="802" spans="1:87" x14ac:dyDescent="0.3">
      <c r="A802" s="9" t="s">
        <v>6995</v>
      </c>
      <c r="B802" s="10" t="s">
        <v>6996</v>
      </c>
      <c r="C802" s="11">
        <v>46061</v>
      </c>
      <c r="D802" s="12">
        <v>8.3333333333333329E-2</v>
      </c>
      <c r="E802" s="11">
        <v>46061.083333333336</v>
      </c>
      <c r="F802" s="10" t="s">
        <v>5001</v>
      </c>
      <c r="G802" s="13" t="b">
        <v>0</v>
      </c>
      <c r="H802" s="10"/>
      <c r="I802" s="10" t="s">
        <v>89</v>
      </c>
      <c r="J802" s="13" t="b">
        <v>0</v>
      </c>
      <c r="K802" s="13" t="b">
        <v>1</v>
      </c>
      <c r="L802" s="10" t="s">
        <v>124</v>
      </c>
      <c r="M802" s="10" t="s">
        <v>91</v>
      </c>
      <c r="N802" s="10" t="s">
        <v>92</v>
      </c>
      <c r="O802" s="10"/>
      <c r="P802" s="10"/>
      <c r="Q802" s="10"/>
      <c r="R802" s="10"/>
      <c r="S802" s="10"/>
      <c r="T802" s="10"/>
      <c r="U802" s="10" t="s">
        <v>5090</v>
      </c>
      <c r="V802" s="10" t="s">
        <v>5102</v>
      </c>
      <c r="W802" s="10" t="s">
        <v>5007</v>
      </c>
      <c r="X802" s="10" t="s">
        <v>130</v>
      </c>
      <c r="Y802" s="10" t="s">
        <v>130</v>
      </c>
      <c r="Z802" s="10" t="s">
        <v>99</v>
      </c>
      <c r="AA802" s="10" t="s">
        <v>131</v>
      </c>
      <c r="AB802" s="10" t="s">
        <v>5008</v>
      </c>
      <c r="AC802" s="10" t="s">
        <v>5009</v>
      </c>
      <c r="AD802" s="10" t="s">
        <v>6997</v>
      </c>
      <c r="AE802" s="10" t="s">
        <v>6998</v>
      </c>
      <c r="AF802" s="15"/>
      <c r="AG802" s="10"/>
      <c r="AH802" s="10"/>
      <c r="AI802" s="10"/>
      <c r="AJ802" s="10"/>
      <c r="AK802" s="10"/>
      <c r="AL802" s="10" t="s">
        <v>2553</v>
      </c>
      <c r="AM802" s="10"/>
      <c r="AN802" s="10"/>
      <c r="AO802" s="13" t="b">
        <v>0</v>
      </c>
      <c r="AP802" s="10" t="s">
        <v>104</v>
      </c>
      <c r="AQ802" s="10"/>
      <c r="AR802" s="17"/>
      <c r="AS802" s="17"/>
      <c r="AT802" s="17"/>
      <c r="AU802" s="17"/>
      <c r="AV802" s="17"/>
      <c r="AW802" s="10"/>
      <c r="AX802" s="17"/>
      <c r="AY802" s="18" t="s">
        <v>257</v>
      </c>
      <c r="AZ802" s="10"/>
      <c r="BA802" s="20" t="b">
        <v>0</v>
      </c>
      <c r="BB802" s="10"/>
      <c r="BC802" s="17" t="s">
        <v>257</v>
      </c>
      <c r="BD802" s="17" t="s">
        <v>257</v>
      </c>
      <c r="BE802" s="17" t="s">
        <v>257</v>
      </c>
      <c r="BF802" s="17" t="s">
        <v>257</v>
      </c>
      <c r="BG802" s="11">
        <f ca="1">IFERROR(__xludf.DUMMYFUNCTION("""COMPUTED_VALUE"""),46061)</f>
        <v>46061</v>
      </c>
      <c r="BH802" s="17"/>
      <c r="BI802" s="17"/>
      <c r="BJ802" s="15"/>
      <c r="BK802" s="15"/>
      <c r="BL802" s="13" t="b">
        <v>0</v>
      </c>
      <c r="BM802" s="10"/>
      <c r="BN802" s="10" t="s">
        <v>223</v>
      </c>
      <c r="BO802" s="11">
        <v>45866.101898148147</v>
      </c>
      <c r="BP802" s="11">
        <v>45866.101898148147</v>
      </c>
      <c r="BQ802" s="15"/>
      <c r="BR802" s="15"/>
      <c r="BS802" s="10"/>
      <c r="BT802" s="10"/>
      <c r="BU802" s="10"/>
      <c r="BV802" s="10"/>
      <c r="BW802" s="10"/>
      <c r="BX802" s="10"/>
      <c r="BY802" s="23"/>
      <c r="BZ802" s="23"/>
      <c r="CA802" s="23"/>
      <c r="CB802" s="23"/>
      <c r="CC802" s="23"/>
      <c r="CD802" s="23"/>
      <c r="CE802" s="23"/>
      <c r="CF802" s="23"/>
      <c r="CG802" s="23"/>
      <c r="CH802" s="23"/>
      <c r="CI802" s="23"/>
    </row>
    <row r="803" spans="1:87" x14ac:dyDescent="0.3">
      <c r="A803" s="9" t="s">
        <v>6999</v>
      </c>
      <c r="B803" s="10" t="s">
        <v>7000</v>
      </c>
      <c r="C803" s="11">
        <v>46061</v>
      </c>
      <c r="D803" s="12">
        <v>8.3333333333333329E-2</v>
      </c>
      <c r="E803" s="11">
        <v>46061.083333333336</v>
      </c>
      <c r="F803" s="10" t="s">
        <v>5001</v>
      </c>
      <c r="G803" s="13" t="b">
        <v>0</v>
      </c>
      <c r="H803" s="10"/>
      <c r="I803" s="10" t="s">
        <v>89</v>
      </c>
      <c r="J803" s="13" t="b">
        <v>0</v>
      </c>
      <c r="K803" s="13" t="b">
        <v>1</v>
      </c>
      <c r="L803" s="10" t="s">
        <v>124</v>
      </c>
      <c r="M803" s="10" t="s">
        <v>91</v>
      </c>
      <c r="N803" s="10" t="s">
        <v>92</v>
      </c>
      <c r="O803" s="10"/>
      <c r="P803" s="10"/>
      <c r="Q803" s="10"/>
      <c r="R803" s="10"/>
      <c r="S803" s="10"/>
      <c r="T803" s="10"/>
      <c r="U803" s="10" t="s">
        <v>5031</v>
      </c>
      <c r="V803" s="10" t="s">
        <v>5067</v>
      </c>
      <c r="W803" s="10" t="s">
        <v>5007</v>
      </c>
      <c r="X803" s="10" t="s">
        <v>130</v>
      </c>
      <c r="Y803" s="10" t="s">
        <v>130</v>
      </c>
      <c r="Z803" s="10" t="s">
        <v>99</v>
      </c>
      <c r="AA803" s="10" t="s">
        <v>131</v>
      </c>
      <c r="AB803" s="10" t="s">
        <v>5008</v>
      </c>
      <c r="AC803" s="10" t="s">
        <v>5009</v>
      </c>
      <c r="AD803" s="10" t="s">
        <v>7001</v>
      </c>
      <c r="AE803" s="10" t="s">
        <v>7002</v>
      </c>
      <c r="AF803" s="15"/>
      <c r="AG803" s="10"/>
      <c r="AH803" s="10"/>
      <c r="AI803" s="10"/>
      <c r="AJ803" s="10"/>
      <c r="AK803" s="10"/>
      <c r="AL803" s="10" t="s">
        <v>2553</v>
      </c>
      <c r="AM803" s="10"/>
      <c r="AN803" s="10"/>
      <c r="AO803" s="13" t="b">
        <v>0</v>
      </c>
      <c r="AP803" s="10" t="s">
        <v>104</v>
      </c>
      <c r="AQ803" s="10"/>
      <c r="AR803" s="17"/>
      <c r="AS803" s="17"/>
      <c r="AT803" s="17"/>
      <c r="AU803" s="17"/>
      <c r="AV803" s="17"/>
      <c r="AW803" s="10"/>
      <c r="AX803" s="17"/>
      <c r="AY803" s="18" t="s">
        <v>257</v>
      </c>
      <c r="AZ803" s="10"/>
      <c r="BA803" s="20" t="b">
        <v>0</v>
      </c>
      <c r="BB803" s="10"/>
      <c r="BC803" s="17" t="s">
        <v>257</v>
      </c>
      <c r="BD803" s="17" t="s">
        <v>257</v>
      </c>
      <c r="BE803" s="17" t="s">
        <v>257</v>
      </c>
      <c r="BF803" s="17" t="s">
        <v>257</v>
      </c>
      <c r="BG803" s="11">
        <f ca="1">IFERROR(__xludf.DUMMYFUNCTION("""COMPUTED_VALUE"""),46061)</f>
        <v>46061</v>
      </c>
      <c r="BH803" s="17"/>
      <c r="BI803" s="17"/>
      <c r="BJ803" s="15"/>
      <c r="BK803" s="15"/>
      <c r="BL803" s="13" t="b">
        <v>0</v>
      </c>
      <c r="BM803" s="10"/>
      <c r="BN803" s="10" t="s">
        <v>223</v>
      </c>
      <c r="BO803" s="11">
        <v>45866.101898148147</v>
      </c>
      <c r="BP803" s="11">
        <v>45866.101898148147</v>
      </c>
      <c r="BQ803" s="15"/>
      <c r="BR803" s="15"/>
      <c r="BS803" s="10"/>
      <c r="BT803" s="10"/>
      <c r="BU803" s="10"/>
      <c r="BV803" s="10"/>
      <c r="BW803" s="10"/>
      <c r="BX803" s="10"/>
      <c r="BY803" s="23"/>
      <c r="BZ803" s="23"/>
      <c r="CA803" s="23"/>
      <c r="CB803" s="23"/>
      <c r="CC803" s="23"/>
      <c r="CD803" s="23"/>
      <c r="CE803" s="23"/>
      <c r="CF803" s="23"/>
      <c r="CG803" s="23"/>
      <c r="CH803" s="23"/>
      <c r="CI803" s="23"/>
    </row>
    <row r="804" spans="1:87" x14ac:dyDescent="0.3">
      <c r="A804" s="9" t="s">
        <v>7003</v>
      </c>
      <c r="B804" s="10" t="s">
        <v>7004</v>
      </c>
      <c r="C804" s="11">
        <v>46061</v>
      </c>
      <c r="D804" s="12">
        <v>8.3333333333333329E-2</v>
      </c>
      <c r="E804" s="11">
        <v>46061.083333333336</v>
      </c>
      <c r="F804" s="10" t="s">
        <v>5001</v>
      </c>
      <c r="G804" s="13" t="b">
        <v>0</v>
      </c>
      <c r="H804" s="10"/>
      <c r="I804" s="10" t="s">
        <v>89</v>
      </c>
      <c r="J804" s="13" t="b">
        <v>0</v>
      </c>
      <c r="K804" s="13" t="b">
        <v>1</v>
      </c>
      <c r="L804" s="10" t="s">
        <v>124</v>
      </c>
      <c r="M804" s="10" t="s">
        <v>91</v>
      </c>
      <c r="N804" s="10" t="s">
        <v>92</v>
      </c>
      <c r="O804" s="10"/>
      <c r="P804" s="10"/>
      <c r="Q804" s="10"/>
      <c r="R804" s="10"/>
      <c r="S804" s="10"/>
      <c r="T804" s="10"/>
      <c r="U804" s="10" t="s">
        <v>5006</v>
      </c>
      <c r="V804" s="10" t="s">
        <v>5019</v>
      </c>
      <c r="W804" s="10" t="s">
        <v>5007</v>
      </c>
      <c r="X804" s="10" t="s">
        <v>130</v>
      </c>
      <c r="Y804" s="10" t="s">
        <v>130</v>
      </c>
      <c r="Z804" s="10" t="s">
        <v>99</v>
      </c>
      <c r="AA804" s="10" t="s">
        <v>131</v>
      </c>
      <c r="AB804" s="10" t="s">
        <v>5008</v>
      </c>
      <c r="AC804" s="10" t="s">
        <v>5009</v>
      </c>
      <c r="AD804" s="10" t="s">
        <v>7005</v>
      </c>
      <c r="AE804" s="10" t="s">
        <v>7006</v>
      </c>
      <c r="AF804" s="15"/>
      <c r="AG804" s="10"/>
      <c r="AH804" s="10"/>
      <c r="AI804" s="10"/>
      <c r="AJ804" s="10"/>
      <c r="AK804" s="10"/>
      <c r="AL804" s="10" t="s">
        <v>2553</v>
      </c>
      <c r="AM804" s="10"/>
      <c r="AN804" s="10"/>
      <c r="AO804" s="13" t="b">
        <v>0</v>
      </c>
      <c r="AP804" s="10" t="s">
        <v>104</v>
      </c>
      <c r="AQ804" s="10"/>
      <c r="AR804" s="17"/>
      <c r="AS804" s="17"/>
      <c r="AT804" s="17"/>
      <c r="AU804" s="17"/>
      <c r="AV804" s="17"/>
      <c r="AW804" s="10"/>
      <c r="AX804" s="17"/>
      <c r="AY804" s="18" t="s">
        <v>257</v>
      </c>
      <c r="AZ804" s="10"/>
      <c r="BA804" s="20" t="b">
        <v>0</v>
      </c>
      <c r="BB804" s="10"/>
      <c r="BC804" s="17" t="s">
        <v>257</v>
      </c>
      <c r="BD804" s="17" t="s">
        <v>257</v>
      </c>
      <c r="BE804" s="17" t="s">
        <v>257</v>
      </c>
      <c r="BF804" s="17" t="s">
        <v>257</v>
      </c>
      <c r="BG804" s="11">
        <f ca="1">IFERROR(__xludf.DUMMYFUNCTION("""COMPUTED_VALUE"""),46061)</f>
        <v>46061</v>
      </c>
      <c r="BH804" s="17"/>
      <c r="BI804" s="17"/>
      <c r="BJ804" s="15"/>
      <c r="BK804" s="15"/>
      <c r="BL804" s="13" t="b">
        <v>0</v>
      </c>
      <c r="BM804" s="10"/>
      <c r="BN804" s="10" t="s">
        <v>223</v>
      </c>
      <c r="BO804" s="11">
        <v>45866.101898148147</v>
      </c>
      <c r="BP804" s="11">
        <v>45866.101898148147</v>
      </c>
      <c r="BQ804" s="15"/>
      <c r="BR804" s="15"/>
      <c r="BS804" s="10"/>
      <c r="BT804" s="10"/>
      <c r="BU804" s="10"/>
      <c r="BV804" s="10"/>
      <c r="BW804" s="10"/>
      <c r="BX804" s="10"/>
      <c r="BY804" s="23"/>
      <c r="BZ804" s="23"/>
      <c r="CA804" s="23"/>
      <c r="CB804" s="23"/>
      <c r="CC804" s="23"/>
      <c r="CD804" s="23"/>
      <c r="CE804" s="23"/>
      <c r="CF804" s="23"/>
      <c r="CG804" s="23"/>
      <c r="CH804" s="23"/>
      <c r="CI804" s="23"/>
    </row>
    <row r="805" spans="1:87" x14ac:dyDescent="0.3">
      <c r="A805" s="9" t="s">
        <v>7007</v>
      </c>
      <c r="B805" s="10" t="s">
        <v>7008</v>
      </c>
      <c r="C805" s="11">
        <v>46061</v>
      </c>
      <c r="D805" s="12">
        <v>8.3333333333333329E-2</v>
      </c>
      <c r="E805" s="11">
        <v>46061.083333333336</v>
      </c>
      <c r="F805" s="10" t="s">
        <v>5001</v>
      </c>
      <c r="G805" s="13" t="b">
        <v>0</v>
      </c>
      <c r="H805" s="10"/>
      <c r="I805" s="10" t="s">
        <v>89</v>
      </c>
      <c r="J805" s="13" t="b">
        <v>0</v>
      </c>
      <c r="K805" s="13" t="b">
        <v>1</v>
      </c>
      <c r="L805" s="10" t="s">
        <v>124</v>
      </c>
      <c r="M805" s="10" t="s">
        <v>91</v>
      </c>
      <c r="N805" s="10" t="s">
        <v>92</v>
      </c>
      <c r="O805" s="10"/>
      <c r="P805" s="10"/>
      <c r="Q805" s="10"/>
      <c r="R805" s="10"/>
      <c r="S805" s="10"/>
      <c r="T805" s="10"/>
      <c r="U805" s="10" t="s">
        <v>5054</v>
      </c>
      <c r="V805" s="10" t="s">
        <v>5113</v>
      </c>
      <c r="W805" s="10" t="s">
        <v>5007</v>
      </c>
      <c r="X805" s="10" t="s">
        <v>130</v>
      </c>
      <c r="Y805" s="10" t="s">
        <v>130</v>
      </c>
      <c r="Z805" s="10" t="s">
        <v>99</v>
      </c>
      <c r="AA805" s="10" t="s">
        <v>131</v>
      </c>
      <c r="AB805" s="10" t="s">
        <v>5008</v>
      </c>
      <c r="AC805" s="10" t="s">
        <v>5009</v>
      </c>
      <c r="AD805" s="10" t="s">
        <v>7009</v>
      </c>
      <c r="AE805" s="10" t="s">
        <v>7010</v>
      </c>
      <c r="AF805" s="15"/>
      <c r="AG805" s="10"/>
      <c r="AH805" s="10"/>
      <c r="AI805" s="10"/>
      <c r="AJ805" s="10"/>
      <c r="AK805" s="10"/>
      <c r="AL805" s="10" t="s">
        <v>2553</v>
      </c>
      <c r="AM805" s="10"/>
      <c r="AN805" s="10"/>
      <c r="AO805" s="13" t="b">
        <v>1</v>
      </c>
      <c r="AP805" s="10" t="s">
        <v>104</v>
      </c>
      <c r="AQ805" s="10"/>
      <c r="AR805" s="17"/>
      <c r="AS805" s="17"/>
      <c r="AT805" s="17"/>
      <c r="AU805" s="17"/>
      <c r="AV805" s="17"/>
      <c r="AW805" s="10"/>
      <c r="AX805" s="17"/>
      <c r="AY805" s="18" t="s">
        <v>257</v>
      </c>
      <c r="AZ805" s="10"/>
      <c r="BA805" s="20" t="b">
        <v>0</v>
      </c>
      <c r="BB805" s="10"/>
      <c r="BC805" s="17" t="s">
        <v>257</v>
      </c>
      <c r="BD805" s="17" t="s">
        <v>257</v>
      </c>
      <c r="BE805" s="17" t="s">
        <v>257</v>
      </c>
      <c r="BF805" s="17" t="s">
        <v>257</v>
      </c>
      <c r="BG805" s="11">
        <f ca="1">IFERROR(__xludf.DUMMYFUNCTION("""COMPUTED_VALUE"""),46061)</f>
        <v>46061</v>
      </c>
      <c r="BH805" s="17"/>
      <c r="BI805" s="17"/>
      <c r="BJ805" s="15"/>
      <c r="BK805" s="15"/>
      <c r="BL805" s="13" t="b">
        <v>0</v>
      </c>
      <c r="BM805" s="10"/>
      <c r="BN805" s="10" t="s">
        <v>223</v>
      </c>
      <c r="BO805" s="11">
        <v>45866.101898148147</v>
      </c>
      <c r="BP805" s="11">
        <v>45866.101898148147</v>
      </c>
      <c r="BQ805" s="15"/>
      <c r="BR805" s="15"/>
      <c r="BS805" s="10"/>
      <c r="BT805" s="10"/>
      <c r="BU805" s="10"/>
      <c r="BV805" s="10"/>
      <c r="BW805" s="10"/>
      <c r="BX805" s="10"/>
      <c r="BY805" s="23"/>
      <c r="BZ805" s="23"/>
      <c r="CA805" s="23"/>
      <c r="CB805" s="23"/>
      <c r="CC805" s="23"/>
      <c r="CD805" s="23"/>
      <c r="CE805" s="23"/>
      <c r="CF805" s="23"/>
      <c r="CG805" s="23"/>
      <c r="CH805" s="23"/>
      <c r="CI805" s="23"/>
    </row>
    <row r="806" spans="1:87" x14ac:dyDescent="0.3">
      <c r="A806" s="9" t="s">
        <v>7011</v>
      </c>
      <c r="B806" s="10" t="s">
        <v>7012</v>
      </c>
      <c r="C806" s="11">
        <v>46068</v>
      </c>
      <c r="D806" s="12">
        <v>8.3333333333333329E-2</v>
      </c>
      <c r="E806" s="11">
        <v>46068.083333333336</v>
      </c>
      <c r="F806" s="10" t="s">
        <v>5001</v>
      </c>
      <c r="G806" s="13" t="b">
        <v>0</v>
      </c>
      <c r="H806" s="10"/>
      <c r="I806" s="10" t="s">
        <v>89</v>
      </c>
      <c r="J806" s="13" t="b">
        <v>0</v>
      </c>
      <c r="K806" s="13" t="b">
        <v>1</v>
      </c>
      <c r="L806" s="10" t="s">
        <v>124</v>
      </c>
      <c r="M806" s="10" t="s">
        <v>91</v>
      </c>
      <c r="N806" s="10" t="s">
        <v>92</v>
      </c>
      <c r="O806" s="10"/>
      <c r="P806" s="10"/>
      <c r="Q806" s="10"/>
      <c r="R806" s="10"/>
      <c r="S806" s="10"/>
      <c r="T806" s="10"/>
      <c r="U806" s="10" t="s">
        <v>5041</v>
      </c>
      <c r="V806" s="10" t="s">
        <v>5102</v>
      </c>
      <c r="W806" s="10" t="s">
        <v>5007</v>
      </c>
      <c r="X806" s="10" t="s">
        <v>130</v>
      </c>
      <c r="Y806" s="10" t="s">
        <v>130</v>
      </c>
      <c r="Z806" s="10" t="s">
        <v>99</v>
      </c>
      <c r="AA806" s="10" t="s">
        <v>131</v>
      </c>
      <c r="AB806" s="10" t="s">
        <v>5008</v>
      </c>
      <c r="AC806" s="10" t="s">
        <v>5009</v>
      </c>
      <c r="AD806" s="10" t="s">
        <v>7013</v>
      </c>
      <c r="AE806" s="10" t="s">
        <v>7014</v>
      </c>
      <c r="AF806" s="15"/>
      <c r="AG806" s="10"/>
      <c r="AH806" s="10"/>
      <c r="AI806" s="10"/>
      <c r="AJ806" s="10"/>
      <c r="AK806" s="10"/>
      <c r="AL806" s="10" t="s">
        <v>2596</v>
      </c>
      <c r="AM806" s="10"/>
      <c r="AN806" s="10"/>
      <c r="AO806" s="13" t="b">
        <v>0</v>
      </c>
      <c r="AP806" s="10" t="s">
        <v>104</v>
      </c>
      <c r="AQ806" s="10"/>
      <c r="AR806" s="17"/>
      <c r="AS806" s="17"/>
      <c r="AT806" s="17"/>
      <c r="AU806" s="17"/>
      <c r="AV806" s="17"/>
      <c r="AW806" s="10"/>
      <c r="AX806" s="17"/>
      <c r="AY806" s="18" t="s">
        <v>257</v>
      </c>
      <c r="AZ806" s="10"/>
      <c r="BA806" s="20" t="b">
        <v>0</v>
      </c>
      <c r="BB806" s="10"/>
      <c r="BC806" s="17" t="s">
        <v>257</v>
      </c>
      <c r="BD806" s="17" t="s">
        <v>257</v>
      </c>
      <c r="BE806" s="17" t="s">
        <v>257</v>
      </c>
      <c r="BF806" s="17" t="s">
        <v>257</v>
      </c>
      <c r="BG806" s="11">
        <f ca="1">IFERROR(__xludf.DUMMYFUNCTION("""COMPUTED_VALUE"""),46068)</f>
        <v>46068</v>
      </c>
      <c r="BH806" s="17"/>
      <c r="BI806" s="17"/>
      <c r="BJ806" s="15"/>
      <c r="BK806" s="15"/>
      <c r="BL806" s="13" t="b">
        <v>0</v>
      </c>
      <c r="BM806" s="10"/>
      <c r="BN806" s="10" t="s">
        <v>223</v>
      </c>
      <c r="BO806" s="11">
        <v>45866.101898148147</v>
      </c>
      <c r="BP806" s="11">
        <v>45866.101898148147</v>
      </c>
      <c r="BQ806" s="15"/>
      <c r="BR806" s="15"/>
      <c r="BS806" s="10"/>
      <c r="BT806" s="10"/>
      <c r="BU806" s="10"/>
      <c r="BV806" s="10"/>
      <c r="BW806" s="10"/>
      <c r="BX806" s="10"/>
      <c r="BY806" s="23"/>
      <c r="BZ806" s="23"/>
      <c r="CA806" s="23"/>
      <c r="CB806" s="23"/>
      <c r="CC806" s="23"/>
      <c r="CD806" s="23"/>
      <c r="CE806" s="23"/>
      <c r="CF806" s="23"/>
      <c r="CG806" s="23"/>
      <c r="CH806" s="23"/>
      <c r="CI806" s="23"/>
    </row>
    <row r="807" spans="1:87" x14ac:dyDescent="0.3">
      <c r="A807" s="9" t="s">
        <v>7015</v>
      </c>
      <c r="B807" s="10" t="s">
        <v>7016</v>
      </c>
      <c r="C807" s="11">
        <v>46068</v>
      </c>
      <c r="D807" s="12">
        <v>8.3333333333333329E-2</v>
      </c>
      <c r="E807" s="11">
        <v>46068.083333333336</v>
      </c>
      <c r="F807" s="10" t="s">
        <v>5001</v>
      </c>
      <c r="G807" s="13" t="b">
        <v>0</v>
      </c>
      <c r="H807" s="10"/>
      <c r="I807" s="10" t="s">
        <v>89</v>
      </c>
      <c r="J807" s="13" t="b">
        <v>0</v>
      </c>
      <c r="K807" s="13" t="b">
        <v>1</v>
      </c>
      <c r="L807" s="10" t="s">
        <v>124</v>
      </c>
      <c r="M807" s="10" t="s">
        <v>91</v>
      </c>
      <c r="N807" s="10" t="s">
        <v>92</v>
      </c>
      <c r="O807" s="10"/>
      <c r="P807" s="10"/>
      <c r="Q807" s="10"/>
      <c r="R807" s="10"/>
      <c r="S807" s="10"/>
      <c r="T807" s="10"/>
      <c r="U807" s="10" t="s">
        <v>5089</v>
      </c>
      <c r="V807" s="10" t="s">
        <v>5066</v>
      </c>
      <c r="W807" s="10" t="s">
        <v>5007</v>
      </c>
      <c r="X807" s="10" t="s">
        <v>130</v>
      </c>
      <c r="Y807" s="10" t="s">
        <v>130</v>
      </c>
      <c r="Z807" s="10" t="s">
        <v>99</v>
      </c>
      <c r="AA807" s="10" t="s">
        <v>131</v>
      </c>
      <c r="AB807" s="10" t="s">
        <v>5008</v>
      </c>
      <c r="AC807" s="10" t="s">
        <v>5009</v>
      </c>
      <c r="AD807" s="10" t="s">
        <v>7017</v>
      </c>
      <c r="AE807" s="10" t="s">
        <v>7018</v>
      </c>
      <c r="AF807" s="15"/>
      <c r="AG807" s="10"/>
      <c r="AH807" s="10"/>
      <c r="AI807" s="10"/>
      <c r="AJ807" s="10"/>
      <c r="AK807" s="10"/>
      <c r="AL807" s="10" t="s">
        <v>2596</v>
      </c>
      <c r="AM807" s="10"/>
      <c r="AN807" s="10"/>
      <c r="AO807" s="13" t="b">
        <v>0</v>
      </c>
      <c r="AP807" s="10" t="s">
        <v>104</v>
      </c>
      <c r="AQ807" s="10"/>
      <c r="AR807" s="17"/>
      <c r="AS807" s="17"/>
      <c r="AT807" s="17"/>
      <c r="AU807" s="17"/>
      <c r="AV807" s="17"/>
      <c r="AW807" s="10"/>
      <c r="AX807" s="17"/>
      <c r="AY807" s="18" t="s">
        <v>257</v>
      </c>
      <c r="AZ807" s="10"/>
      <c r="BA807" s="20" t="b">
        <v>0</v>
      </c>
      <c r="BB807" s="10"/>
      <c r="BC807" s="17" t="s">
        <v>257</v>
      </c>
      <c r="BD807" s="17" t="s">
        <v>257</v>
      </c>
      <c r="BE807" s="17" t="s">
        <v>257</v>
      </c>
      <c r="BF807" s="17" t="s">
        <v>257</v>
      </c>
      <c r="BG807" s="11">
        <f ca="1">IFERROR(__xludf.DUMMYFUNCTION("""COMPUTED_VALUE"""),46068)</f>
        <v>46068</v>
      </c>
      <c r="BH807" s="17"/>
      <c r="BI807" s="17"/>
      <c r="BJ807" s="15"/>
      <c r="BK807" s="15"/>
      <c r="BL807" s="13" t="b">
        <v>0</v>
      </c>
      <c r="BM807" s="10"/>
      <c r="BN807" s="10" t="s">
        <v>223</v>
      </c>
      <c r="BO807" s="11">
        <v>45866.101898148147</v>
      </c>
      <c r="BP807" s="11">
        <v>45866.101898148147</v>
      </c>
      <c r="BQ807" s="15"/>
      <c r="BR807" s="15"/>
      <c r="BS807" s="10"/>
      <c r="BT807" s="10"/>
      <c r="BU807" s="10"/>
      <c r="BV807" s="10"/>
      <c r="BW807" s="10"/>
      <c r="BX807" s="10"/>
      <c r="BY807" s="23"/>
      <c r="BZ807" s="23"/>
      <c r="CA807" s="23"/>
      <c r="CB807" s="23"/>
      <c r="CC807" s="23"/>
      <c r="CD807" s="23"/>
      <c r="CE807" s="23"/>
      <c r="CF807" s="23"/>
      <c r="CG807" s="23"/>
      <c r="CH807" s="23"/>
      <c r="CI807" s="23"/>
    </row>
    <row r="808" spans="1:87" x14ac:dyDescent="0.3">
      <c r="A808" s="9" t="s">
        <v>7019</v>
      </c>
      <c r="B808" s="10" t="s">
        <v>7020</v>
      </c>
      <c r="C808" s="11">
        <v>46068</v>
      </c>
      <c r="D808" s="12">
        <v>8.3333333333333329E-2</v>
      </c>
      <c r="E808" s="11">
        <v>46068.083333333336</v>
      </c>
      <c r="F808" s="10" t="s">
        <v>5001</v>
      </c>
      <c r="G808" s="13" t="b">
        <v>0</v>
      </c>
      <c r="H808" s="10"/>
      <c r="I808" s="10" t="s">
        <v>89</v>
      </c>
      <c r="J808" s="13" t="b">
        <v>0</v>
      </c>
      <c r="K808" s="13" t="b">
        <v>1</v>
      </c>
      <c r="L808" s="10" t="s">
        <v>124</v>
      </c>
      <c r="M808" s="10" t="s">
        <v>91</v>
      </c>
      <c r="N808" s="10" t="s">
        <v>92</v>
      </c>
      <c r="O808" s="10"/>
      <c r="P808" s="10"/>
      <c r="Q808" s="10"/>
      <c r="R808" s="10"/>
      <c r="S808" s="10"/>
      <c r="T808" s="10"/>
      <c r="U808" s="10" t="s">
        <v>5006</v>
      </c>
      <c r="V808" s="10" t="s">
        <v>5090</v>
      </c>
      <c r="W808" s="10" t="s">
        <v>5007</v>
      </c>
      <c r="X808" s="10" t="s">
        <v>130</v>
      </c>
      <c r="Y808" s="10" t="s">
        <v>130</v>
      </c>
      <c r="Z808" s="10" t="s">
        <v>99</v>
      </c>
      <c r="AA808" s="10" t="s">
        <v>131</v>
      </c>
      <c r="AB808" s="10" t="s">
        <v>5008</v>
      </c>
      <c r="AC808" s="10" t="s">
        <v>5009</v>
      </c>
      <c r="AD808" s="10" t="s">
        <v>7021</v>
      </c>
      <c r="AE808" s="10" t="s">
        <v>7022</v>
      </c>
      <c r="AF808" s="15"/>
      <c r="AG808" s="10"/>
      <c r="AH808" s="10"/>
      <c r="AI808" s="10"/>
      <c r="AJ808" s="10"/>
      <c r="AK808" s="10"/>
      <c r="AL808" s="10" t="s">
        <v>2596</v>
      </c>
      <c r="AM808" s="10"/>
      <c r="AN808" s="10"/>
      <c r="AO808" s="13" t="b">
        <v>0</v>
      </c>
      <c r="AP808" s="10" t="s">
        <v>104</v>
      </c>
      <c r="AQ808" s="10"/>
      <c r="AR808" s="17"/>
      <c r="AS808" s="17"/>
      <c r="AT808" s="17"/>
      <c r="AU808" s="17"/>
      <c r="AV808" s="17"/>
      <c r="AW808" s="10"/>
      <c r="AX808" s="17"/>
      <c r="AY808" s="18" t="s">
        <v>257</v>
      </c>
      <c r="AZ808" s="10"/>
      <c r="BA808" s="20" t="b">
        <v>0</v>
      </c>
      <c r="BB808" s="10"/>
      <c r="BC808" s="17" t="s">
        <v>257</v>
      </c>
      <c r="BD808" s="17" t="s">
        <v>257</v>
      </c>
      <c r="BE808" s="17" t="s">
        <v>257</v>
      </c>
      <c r="BF808" s="17" t="s">
        <v>257</v>
      </c>
      <c r="BG808" s="11">
        <f ca="1">IFERROR(__xludf.DUMMYFUNCTION("""COMPUTED_VALUE"""),46068)</f>
        <v>46068</v>
      </c>
      <c r="BH808" s="17"/>
      <c r="BI808" s="17"/>
      <c r="BJ808" s="15"/>
      <c r="BK808" s="15"/>
      <c r="BL808" s="13" t="b">
        <v>0</v>
      </c>
      <c r="BM808" s="10"/>
      <c r="BN808" s="10" t="s">
        <v>223</v>
      </c>
      <c r="BO808" s="11">
        <v>45866.101898148147</v>
      </c>
      <c r="BP808" s="11">
        <v>45866.101898148147</v>
      </c>
      <c r="BQ808" s="15"/>
      <c r="BR808" s="15"/>
      <c r="BS808" s="10"/>
      <c r="BT808" s="10"/>
      <c r="BU808" s="10"/>
      <c r="BV808" s="10"/>
      <c r="BW808" s="10"/>
      <c r="BX808" s="10"/>
      <c r="BY808" s="23"/>
      <c r="BZ808" s="23"/>
      <c r="CA808" s="23"/>
      <c r="CB808" s="23"/>
      <c r="CC808" s="23"/>
      <c r="CD808" s="23"/>
      <c r="CE808" s="23"/>
      <c r="CF808" s="23"/>
      <c r="CG808" s="23"/>
      <c r="CH808" s="23"/>
      <c r="CI808" s="23"/>
    </row>
    <row r="809" spans="1:87" x14ac:dyDescent="0.3">
      <c r="A809" s="9" t="s">
        <v>7023</v>
      </c>
      <c r="B809" s="10" t="s">
        <v>7024</v>
      </c>
      <c r="C809" s="11">
        <v>46068</v>
      </c>
      <c r="D809" s="12">
        <v>8.3333333333333329E-2</v>
      </c>
      <c r="E809" s="11">
        <v>46068.083333333336</v>
      </c>
      <c r="F809" s="10" t="s">
        <v>5001</v>
      </c>
      <c r="G809" s="13" t="b">
        <v>0</v>
      </c>
      <c r="H809" s="10"/>
      <c r="I809" s="10" t="s">
        <v>89</v>
      </c>
      <c r="J809" s="13" t="b">
        <v>0</v>
      </c>
      <c r="K809" s="13" t="b">
        <v>1</v>
      </c>
      <c r="L809" s="10" t="s">
        <v>124</v>
      </c>
      <c r="M809" s="10" t="s">
        <v>91</v>
      </c>
      <c r="N809" s="10" t="s">
        <v>92</v>
      </c>
      <c r="O809" s="10"/>
      <c r="P809" s="10"/>
      <c r="Q809" s="10"/>
      <c r="R809" s="10"/>
      <c r="S809" s="10"/>
      <c r="T809" s="10"/>
      <c r="U809" s="10" t="s">
        <v>5067</v>
      </c>
      <c r="V809" s="10" t="s">
        <v>5018</v>
      </c>
      <c r="W809" s="10" t="s">
        <v>5007</v>
      </c>
      <c r="X809" s="10" t="s">
        <v>130</v>
      </c>
      <c r="Y809" s="10" t="s">
        <v>130</v>
      </c>
      <c r="Z809" s="10" t="s">
        <v>99</v>
      </c>
      <c r="AA809" s="10" t="s">
        <v>131</v>
      </c>
      <c r="AB809" s="10" t="s">
        <v>5008</v>
      </c>
      <c r="AC809" s="10" t="s">
        <v>5009</v>
      </c>
      <c r="AD809" s="10" t="s">
        <v>7025</v>
      </c>
      <c r="AE809" s="10" t="s">
        <v>7026</v>
      </c>
      <c r="AF809" s="15"/>
      <c r="AG809" s="10"/>
      <c r="AH809" s="10"/>
      <c r="AI809" s="10"/>
      <c r="AJ809" s="10"/>
      <c r="AK809" s="10"/>
      <c r="AL809" s="10" t="s">
        <v>2596</v>
      </c>
      <c r="AM809" s="10"/>
      <c r="AN809" s="10"/>
      <c r="AO809" s="13" t="b">
        <v>0</v>
      </c>
      <c r="AP809" s="10" t="s">
        <v>104</v>
      </c>
      <c r="AQ809" s="10"/>
      <c r="AR809" s="17"/>
      <c r="AS809" s="17"/>
      <c r="AT809" s="17"/>
      <c r="AU809" s="17"/>
      <c r="AV809" s="17"/>
      <c r="AW809" s="10"/>
      <c r="AX809" s="17"/>
      <c r="AY809" s="18" t="s">
        <v>257</v>
      </c>
      <c r="AZ809" s="10"/>
      <c r="BA809" s="20" t="b">
        <v>0</v>
      </c>
      <c r="BB809" s="10"/>
      <c r="BC809" s="17" t="s">
        <v>257</v>
      </c>
      <c r="BD809" s="17" t="s">
        <v>257</v>
      </c>
      <c r="BE809" s="17" t="s">
        <v>257</v>
      </c>
      <c r="BF809" s="17" t="s">
        <v>257</v>
      </c>
      <c r="BG809" s="11">
        <f ca="1">IFERROR(__xludf.DUMMYFUNCTION("""COMPUTED_VALUE"""),46068)</f>
        <v>46068</v>
      </c>
      <c r="BH809" s="17"/>
      <c r="BI809" s="17"/>
      <c r="BJ809" s="15"/>
      <c r="BK809" s="15"/>
      <c r="BL809" s="13" t="b">
        <v>0</v>
      </c>
      <c r="BM809" s="10"/>
      <c r="BN809" s="10" t="s">
        <v>223</v>
      </c>
      <c r="BO809" s="11">
        <v>45866.101898148147</v>
      </c>
      <c r="BP809" s="11">
        <v>45866.101898148147</v>
      </c>
      <c r="BQ809" s="15"/>
      <c r="BR809" s="15"/>
      <c r="BS809" s="10"/>
      <c r="BT809" s="10"/>
      <c r="BU809" s="10"/>
      <c r="BV809" s="10"/>
      <c r="BW809" s="10"/>
      <c r="BX809" s="10"/>
      <c r="BY809" s="23"/>
      <c r="BZ809" s="23"/>
      <c r="CA809" s="23"/>
      <c r="CB809" s="23"/>
      <c r="CC809" s="23"/>
      <c r="CD809" s="23"/>
      <c r="CE809" s="23"/>
      <c r="CF809" s="23"/>
      <c r="CG809" s="23"/>
      <c r="CH809" s="23"/>
      <c r="CI809" s="23"/>
    </row>
    <row r="810" spans="1:87" x14ac:dyDescent="0.3">
      <c r="A810" s="9" t="s">
        <v>7027</v>
      </c>
      <c r="B810" s="10" t="s">
        <v>7028</v>
      </c>
      <c r="C810" s="11">
        <v>46068</v>
      </c>
      <c r="D810" s="12">
        <v>8.3333333333333329E-2</v>
      </c>
      <c r="E810" s="11">
        <v>46068.083333333336</v>
      </c>
      <c r="F810" s="10" t="s">
        <v>5001</v>
      </c>
      <c r="G810" s="13" t="b">
        <v>0</v>
      </c>
      <c r="H810" s="10"/>
      <c r="I810" s="10" t="s">
        <v>89</v>
      </c>
      <c r="J810" s="13" t="b">
        <v>0</v>
      </c>
      <c r="K810" s="13" t="b">
        <v>1</v>
      </c>
      <c r="L810" s="10" t="s">
        <v>124</v>
      </c>
      <c r="M810" s="10" t="s">
        <v>91</v>
      </c>
      <c r="N810" s="10" t="s">
        <v>92</v>
      </c>
      <c r="O810" s="10"/>
      <c r="P810" s="10"/>
      <c r="Q810" s="10"/>
      <c r="R810" s="10"/>
      <c r="S810" s="10"/>
      <c r="T810" s="10"/>
      <c r="U810" s="10" t="s">
        <v>5019</v>
      </c>
      <c r="V810" s="10" t="s">
        <v>5076</v>
      </c>
      <c r="W810" s="10" t="s">
        <v>5007</v>
      </c>
      <c r="X810" s="10" t="s">
        <v>130</v>
      </c>
      <c r="Y810" s="10" t="s">
        <v>130</v>
      </c>
      <c r="Z810" s="10" t="s">
        <v>99</v>
      </c>
      <c r="AA810" s="10" t="s">
        <v>131</v>
      </c>
      <c r="AB810" s="10" t="s">
        <v>5008</v>
      </c>
      <c r="AC810" s="10" t="s">
        <v>5009</v>
      </c>
      <c r="AD810" s="10" t="s">
        <v>7029</v>
      </c>
      <c r="AE810" s="10" t="s">
        <v>7030</v>
      </c>
      <c r="AF810" s="15"/>
      <c r="AG810" s="10"/>
      <c r="AH810" s="10"/>
      <c r="AI810" s="10"/>
      <c r="AJ810" s="10"/>
      <c r="AK810" s="10"/>
      <c r="AL810" s="10" t="s">
        <v>2596</v>
      </c>
      <c r="AM810" s="10"/>
      <c r="AN810" s="10"/>
      <c r="AO810" s="13" t="b">
        <v>0</v>
      </c>
      <c r="AP810" s="10" t="s">
        <v>104</v>
      </c>
      <c r="AQ810" s="10"/>
      <c r="AR810" s="17"/>
      <c r="AS810" s="17"/>
      <c r="AT810" s="17"/>
      <c r="AU810" s="17"/>
      <c r="AV810" s="17"/>
      <c r="AW810" s="10"/>
      <c r="AX810" s="17"/>
      <c r="AY810" s="18" t="s">
        <v>257</v>
      </c>
      <c r="AZ810" s="10"/>
      <c r="BA810" s="20" t="b">
        <v>0</v>
      </c>
      <c r="BB810" s="10"/>
      <c r="BC810" s="17" t="s">
        <v>257</v>
      </c>
      <c r="BD810" s="17" t="s">
        <v>257</v>
      </c>
      <c r="BE810" s="17" t="s">
        <v>257</v>
      </c>
      <c r="BF810" s="17" t="s">
        <v>257</v>
      </c>
      <c r="BG810" s="11">
        <f ca="1">IFERROR(__xludf.DUMMYFUNCTION("""COMPUTED_VALUE"""),46068)</f>
        <v>46068</v>
      </c>
      <c r="BH810" s="17"/>
      <c r="BI810" s="17"/>
      <c r="BJ810" s="15"/>
      <c r="BK810" s="15"/>
      <c r="BL810" s="13" t="b">
        <v>0</v>
      </c>
      <c r="BM810" s="10"/>
      <c r="BN810" s="10" t="s">
        <v>223</v>
      </c>
      <c r="BO810" s="11">
        <v>45866.101898148147</v>
      </c>
      <c r="BP810" s="11">
        <v>45866.101898148147</v>
      </c>
      <c r="BQ810" s="15"/>
      <c r="BR810" s="15"/>
      <c r="BS810" s="10"/>
      <c r="BT810" s="10"/>
      <c r="BU810" s="10"/>
      <c r="BV810" s="10"/>
      <c r="BW810" s="10"/>
      <c r="BX810" s="10"/>
      <c r="BY810" s="23"/>
      <c r="BZ810" s="23"/>
      <c r="CA810" s="23"/>
      <c r="CB810" s="23"/>
      <c r="CC810" s="23"/>
      <c r="CD810" s="23"/>
      <c r="CE810" s="23"/>
      <c r="CF810" s="23"/>
      <c r="CG810" s="23"/>
      <c r="CH810" s="23"/>
      <c r="CI810" s="23"/>
    </row>
    <row r="811" spans="1:87" x14ac:dyDescent="0.3">
      <c r="A811" s="9" t="s">
        <v>7031</v>
      </c>
      <c r="B811" s="10" t="s">
        <v>7032</v>
      </c>
      <c r="C811" s="11">
        <v>46068</v>
      </c>
      <c r="D811" s="12">
        <v>8.3333333333333329E-2</v>
      </c>
      <c r="E811" s="11">
        <v>46068.083333333336</v>
      </c>
      <c r="F811" s="10" t="s">
        <v>5001</v>
      </c>
      <c r="G811" s="13" t="b">
        <v>0</v>
      </c>
      <c r="H811" s="10"/>
      <c r="I811" s="10" t="s">
        <v>89</v>
      </c>
      <c r="J811" s="13" t="b">
        <v>0</v>
      </c>
      <c r="K811" s="13" t="b">
        <v>1</v>
      </c>
      <c r="L811" s="10" t="s">
        <v>124</v>
      </c>
      <c r="M811" s="10" t="s">
        <v>91</v>
      </c>
      <c r="N811" s="10" t="s">
        <v>92</v>
      </c>
      <c r="O811" s="10"/>
      <c r="P811" s="10"/>
      <c r="Q811" s="10"/>
      <c r="R811" s="10"/>
      <c r="S811" s="10"/>
      <c r="T811" s="10"/>
      <c r="U811" s="10" t="s">
        <v>5077</v>
      </c>
      <c r="V811" s="10" t="s">
        <v>5031</v>
      </c>
      <c r="W811" s="10" t="s">
        <v>5007</v>
      </c>
      <c r="X811" s="10" t="s">
        <v>130</v>
      </c>
      <c r="Y811" s="10" t="s">
        <v>130</v>
      </c>
      <c r="Z811" s="10" t="s">
        <v>99</v>
      </c>
      <c r="AA811" s="10" t="s">
        <v>131</v>
      </c>
      <c r="AB811" s="10" t="s">
        <v>5008</v>
      </c>
      <c r="AC811" s="10" t="s">
        <v>5009</v>
      </c>
      <c r="AD811" s="10" t="s">
        <v>7033</v>
      </c>
      <c r="AE811" s="10" t="s">
        <v>7034</v>
      </c>
      <c r="AF811" s="15"/>
      <c r="AG811" s="10"/>
      <c r="AH811" s="10"/>
      <c r="AI811" s="10"/>
      <c r="AJ811" s="10"/>
      <c r="AK811" s="10"/>
      <c r="AL811" s="10" t="s">
        <v>2596</v>
      </c>
      <c r="AM811" s="10"/>
      <c r="AN811" s="10"/>
      <c r="AO811" s="13" t="b">
        <v>0</v>
      </c>
      <c r="AP811" s="10" t="s">
        <v>104</v>
      </c>
      <c r="AQ811" s="10"/>
      <c r="AR811" s="17"/>
      <c r="AS811" s="17"/>
      <c r="AT811" s="17"/>
      <c r="AU811" s="17"/>
      <c r="AV811" s="17"/>
      <c r="AW811" s="10"/>
      <c r="AX811" s="17"/>
      <c r="AY811" s="18" t="s">
        <v>257</v>
      </c>
      <c r="AZ811" s="10"/>
      <c r="BA811" s="20" t="b">
        <v>0</v>
      </c>
      <c r="BB811" s="10"/>
      <c r="BC811" s="17" t="s">
        <v>257</v>
      </c>
      <c r="BD811" s="17" t="s">
        <v>257</v>
      </c>
      <c r="BE811" s="17" t="s">
        <v>257</v>
      </c>
      <c r="BF811" s="17" t="s">
        <v>257</v>
      </c>
      <c r="BG811" s="11">
        <f ca="1">IFERROR(__xludf.DUMMYFUNCTION("""COMPUTED_VALUE"""),46068)</f>
        <v>46068</v>
      </c>
      <c r="BH811" s="17"/>
      <c r="BI811" s="17"/>
      <c r="BJ811" s="15"/>
      <c r="BK811" s="15"/>
      <c r="BL811" s="13" t="b">
        <v>0</v>
      </c>
      <c r="BM811" s="10"/>
      <c r="BN811" s="10" t="s">
        <v>223</v>
      </c>
      <c r="BO811" s="11">
        <v>45866.101898148147</v>
      </c>
      <c r="BP811" s="11">
        <v>45866.101898148147</v>
      </c>
      <c r="BQ811" s="15"/>
      <c r="BR811" s="15"/>
      <c r="BS811" s="10"/>
      <c r="BT811" s="10"/>
      <c r="BU811" s="10"/>
      <c r="BV811" s="10"/>
      <c r="BW811" s="10"/>
      <c r="BX811" s="10"/>
      <c r="BY811" s="23"/>
      <c r="BZ811" s="23"/>
      <c r="CA811" s="23"/>
      <c r="CB811" s="23"/>
      <c r="CC811" s="23"/>
      <c r="CD811" s="23"/>
      <c r="CE811" s="23"/>
      <c r="CF811" s="23"/>
      <c r="CG811" s="23"/>
      <c r="CH811" s="23"/>
      <c r="CI811" s="23"/>
    </row>
    <row r="812" spans="1:87" x14ac:dyDescent="0.3">
      <c r="A812" s="9" t="s">
        <v>7035</v>
      </c>
      <c r="B812" s="10" t="s">
        <v>7036</v>
      </c>
      <c r="C812" s="11">
        <v>46068</v>
      </c>
      <c r="D812" s="12">
        <v>8.3333333333333329E-2</v>
      </c>
      <c r="E812" s="11">
        <v>46068.083333333336</v>
      </c>
      <c r="F812" s="10" t="s">
        <v>5001</v>
      </c>
      <c r="G812" s="13" t="b">
        <v>0</v>
      </c>
      <c r="H812" s="10"/>
      <c r="I812" s="10" t="s">
        <v>89</v>
      </c>
      <c r="J812" s="13" t="b">
        <v>0</v>
      </c>
      <c r="K812" s="13" t="b">
        <v>1</v>
      </c>
      <c r="L812" s="10" t="s">
        <v>124</v>
      </c>
      <c r="M812" s="10" t="s">
        <v>91</v>
      </c>
      <c r="N812" s="10" t="s">
        <v>92</v>
      </c>
      <c r="O812" s="10"/>
      <c r="P812" s="10"/>
      <c r="Q812" s="10"/>
      <c r="R812" s="10"/>
      <c r="S812" s="10"/>
      <c r="T812" s="10"/>
      <c r="U812" s="10" t="s">
        <v>5005</v>
      </c>
      <c r="V812" s="10" t="s">
        <v>5042</v>
      </c>
      <c r="W812" s="10" t="s">
        <v>5007</v>
      </c>
      <c r="X812" s="10" t="s">
        <v>130</v>
      </c>
      <c r="Y812" s="10" t="s">
        <v>130</v>
      </c>
      <c r="Z812" s="10" t="s">
        <v>99</v>
      </c>
      <c r="AA812" s="10" t="s">
        <v>131</v>
      </c>
      <c r="AB812" s="10" t="s">
        <v>5008</v>
      </c>
      <c r="AC812" s="10" t="s">
        <v>5009</v>
      </c>
      <c r="AD812" s="10" t="s">
        <v>7037</v>
      </c>
      <c r="AE812" s="10" t="s">
        <v>7038</v>
      </c>
      <c r="AF812" s="15"/>
      <c r="AG812" s="10"/>
      <c r="AH812" s="10"/>
      <c r="AI812" s="10"/>
      <c r="AJ812" s="10"/>
      <c r="AK812" s="10"/>
      <c r="AL812" s="10" t="s">
        <v>2596</v>
      </c>
      <c r="AM812" s="10"/>
      <c r="AN812" s="10"/>
      <c r="AO812" s="13" t="b">
        <v>1</v>
      </c>
      <c r="AP812" s="10" t="s">
        <v>104</v>
      </c>
      <c r="AQ812" s="10"/>
      <c r="AR812" s="17"/>
      <c r="AS812" s="17"/>
      <c r="AT812" s="17"/>
      <c r="AU812" s="17"/>
      <c r="AV812" s="17"/>
      <c r="AW812" s="10"/>
      <c r="AX812" s="17"/>
      <c r="AY812" s="18" t="s">
        <v>257</v>
      </c>
      <c r="AZ812" s="10"/>
      <c r="BA812" s="20" t="b">
        <v>0</v>
      </c>
      <c r="BB812" s="10"/>
      <c r="BC812" s="17" t="s">
        <v>257</v>
      </c>
      <c r="BD812" s="17" t="s">
        <v>257</v>
      </c>
      <c r="BE812" s="17" t="s">
        <v>257</v>
      </c>
      <c r="BF812" s="17" t="s">
        <v>257</v>
      </c>
      <c r="BG812" s="11">
        <f ca="1">IFERROR(__xludf.DUMMYFUNCTION("""COMPUTED_VALUE"""),46068)</f>
        <v>46068</v>
      </c>
      <c r="BH812" s="17"/>
      <c r="BI812" s="17"/>
      <c r="BJ812" s="15"/>
      <c r="BK812" s="15"/>
      <c r="BL812" s="13" t="b">
        <v>0</v>
      </c>
      <c r="BM812" s="10"/>
      <c r="BN812" s="10" t="s">
        <v>223</v>
      </c>
      <c r="BO812" s="11">
        <v>45866.101898148147</v>
      </c>
      <c r="BP812" s="11">
        <v>45866.101898148147</v>
      </c>
      <c r="BQ812" s="15"/>
      <c r="BR812" s="15"/>
      <c r="BS812" s="10"/>
      <c r="BT812" s="10"/>
      <c r="BU812" s="10"/>
      <c r="BV812" s="10"/>
      <c r="BW812" s="10"/>
      <c r="BX812" s="10"/>
      <c r="BY812" s="23"/>
      <c r="BZ812" s="23"/>
      <c r="CA812" s="23"/>
      <c r="CB812" s="23"/>
      <c r="CC812" s="23"/>
      <c r="CD812" s="23"/>
      <c r="CE812" s="23"/>
      <c r="CF812" s="23"/>
      <c r="CG812" s="23"/>
      <c r="CH812" s="23"/>
      <c r="CI812" s="23"/>
    </row>
    <row r="813" spans="1:87" x14ac:dyDescent="0.3">
      <c r="A813" s="9" t="s">
        <v>7039</v>
      </c>
      <c r="B813" s="10" t="s">
        <v>7040</v>
      </c>
      <c r="C813" s="11">
        <v>46068</v>
      </c>
      <c r="D813" s="12">
        <v>8.3333333333333329E-2</v>
      </c>
      <c r="E813" s="11">
        <v>46068.083333333336</v>
      </c>
      <c r="F813" s="10" t="s">
        <v>5001</v>
      </c>
      <c r="G813" s="13" t="b">
        <v>0</v>
      </c>
      <c r="H813" s="10"/>
      <c r="I813" s="10" t="s">
        <v>89</v>
      </c>
      <c r="J813" s="13" t="b">
        <v>0</v>
      </c>
      <c r="K813" s="13" t="b">
        <v>1</v>
      </c>
      <c r="L813" s="10" t="s">
        <v>124</v>
      </c>
      <c r="M813" s="10" t="s">
        <v>91</v>
      </c>
      <c r="N813" s="10" t="s">
        <v>92</v>
      </c>
      <c r="O813" s="10"/>
      <c r="P813" s="10"/>
      <c r="Q813" s="10"/>
      <c r="R813" s="10"/>
      <c r="S813" s="10"/>
      <c r="T813" s="10"/>
      <c r="U813" s="10" t="s">
        <v>5032</v>
      </c>
      <c r="V813" s="10" t="s">
        <v>5054</v>
      </c>
      <c r="W813" s="10" t="s">
        <v>5007</v>
      </c>
      <c r="X813" s="10" t="s">
        <v>130</v>
      </c>
      <c r="Y813" s="10" t="s">
        <v>130</v>
      </c>
      <c r="Z813" s="10" t="s">
        <v>99</v>
      </c>
      <c r="AA813" s="10" t="s">
        <v>131</v>
      </c>
      <c r="AB813" s="10" t="s">
        <v>5008</v>
      </c>
      <c r="AC813" s="10" t="s">
        <v>5009</v>
      </c>
      <c r="AD813" s="10" t="s">
        <v>7041</v>
      </c>
      <c r="AE813" s="10" t="s">
        <v>7042</v>
      </c>
      <c r="AF813" s="15"/>
      <c r="AG813" s="10"/>
      <c r="AH813" s="10"/>
      <c r="AI813" s="10"/>
      <c r="AJ813" s="10"/>
      <c r="AK813" s="10"/>
      <c r="AL813" s="10" t="s">
        <v>2596</v>
      </c>
      <c r="AM813" s="10"/>
      <c r="AN813" s="10"/>
      <c r="AO813" s="13" t="b">
        <v>0</v>
      </c>
      <c r="AP813" s="10" t="s">
        <v>104</v>
      </c>
      <c r="AQ813" s="10"/>
      <c r="AR813" s="17"/>
      <c r="AS813" s="17"/>
      <c r="AT813" s="17"/>
      <c r="AU813" s="17"/>
      <c r="AV813" s="17"/>
      <c r="AW813" s="10"/>
      <c r="AX813" s="17"/>
      <c r="AY813" s="18" t="s">
        <v>257</v>
      </c>
      <c r="AZ813" s="10"/>
      <c r="BA813" s="20" t="b">
        <v>0</v>
      </c>
      <c r="BB813" s="10"/>
      <c r="BC813" s="17" t="s">
        <v>257</v>
      </c>
      <c r="BD813" s="17" t="s">
        <v>257</v>
      </c>
      <c r="BE813" s="17" t="s">
        <v>257</v>
      </c>
      <c r="BF813" s="17" t="s">
        <v>257</v>
      </c>
      <c r="BG813" s="11">
        <f ca="1">IFERROR(__xludf.DUMMYFUNCTION("""COMPUTED_VALUE"""),46068)</f>
        <v>46068</v>
      </c>
      <c r="BH813" s="17"/>
      <c r="BI813" s="17"/>
      <c r="BJ813" s="15"/>
      <c r="BK813" s="15"/>
      <c r="BL813" s="13" t="b">
        <v>0</v>
      </c>
      <c r="BM813" s="10"/>
      <c r="BN813" s="10" t="s">
        <v>223</v>
      </c>
      <c r="BO813" s="11">
        <v>45866.101898148147</v>
      </c>
      <c r="BP813" s="11">
        <v>45866.101898148147</v>
      </c>
      <c r="BQ813" s="15"/>
      <c r="BR813" s="15"/>
      <c r="BS813" s="10"/>
      <c r="BT813" s="10"/>
      <c r="BU813" s="10"/>
      <c r="BV813" s="10"/>
      <c r="BW813" s="10"/>
      <c r="BX813" s="10"/>
      <c r="BY813" s="23"/>
      <c r="BZ813" s="23"/>
      <c r="CA813" s="23"/>
      <c r="CB813" s="23"/>
      <c r="CC813" s="23"/>
      <c r="CD813" s="23"/>
      <c r="CE813" s="23"/>
      <c r="CF813" s="23"/>
      <c r="CG813" s="23"/>
      <c r="CH813" s="23"/>
      <c r="CI813" s="23"/>
    </row>
    <row r="814" spans="1:87" x14ac:dyDescent="0.3">
      <c r="A814" s="9" t="s">
        <v>7043</v>
      </c>
      <c r="B814" s="10" t="s">
        <v>7044</v>
      </c>
      <c r="C814" s="11">
        <v>46068</v>
      </c>
      <c r="D814" s="12">
        <v>8.3333333333333329E-2</v>
      </c>
      <c r="E814" s="11">
        <v>46068.083333333336</v>
      </c>
      <c r="F814" s="10" t="s">
        <v>5001</v>
      </c>
      <c r="G814" s="13" t="b">
        <v>0</v>
      </c>
      <c r="H814" s="10"/>
      <c r="I814" s="10" t="s">
        <v>89</v>
      </c>
      <c r="J814" s="13" t="b">
        <v>0</v>
      </c>
      <c r="K814" s="13" t="b">
        <v>1</v>
      </c>
      <c r="L814" s="10" t="s">
        <v>124</v>
      </c>
      <c r="M814" s="10" t="s">
        <v>91</v>
      </c>
      <c r="N814" s="10" t="s">
        <v>92</v>
      </c>
      <c r="O814" s="10"/>
      <c r="P814" s="10"/>
      <c r="Q814" s="10"/>
      <c r="R814" s="10"/>
      <c r="S814" s="10"/>
      <c r="T814" s="10"/>
      <c r="U814" s="10" t="s">
        <v>5101</v>
      </c>
      <c r="V814" s="10" t="s">
        <v>5114</v>
      </c>
      <c r="W814" s="10" t="s">
        <v>5007</v>
      </c>
      <c r="X814" s="10" t="s">
        <v>130</v>
      </c>
      <c r="Y814" s="10" t="s">
        <v>130</v>
      </c>
      <c r="Z814" s="10" t="s">
        <v>99</v>
      </c>
      <c r="AA814" s="10" t="s">
        <v>131</v>
      </c>
      <c r="AB814" s="10" t="s">
        <v>5008</v>
      </c>
      <c r="AC814" s="10" t="s">
        <v>5009</v>
      </c>
      <c r="AD814" s="10" t="s">
        <v>7045</v>
      </c>
      <c r="AE814" s="10" t="s">
        <v>7046</v>
      </c>
      <c r="AF814" s="15"/>
      <c r="AG814" s="10"/>
      <c r="AH814" s="10"/>
      <c r="AI814" s="10"/>
      <c r="AJ814" s="10"/>
      <c r="AK814" s="10"/>
      <c r="AL814" s="10" t="s">
        <v>2596</v>
      </c>
      <c r="AM814" s="10"/>
      <c r="AN814" s="10"/>
      <c r="AO814" s="13" t="b">
        <v>0</v>
      </c>
      <c r="AP814" s="10" t="s">
        <v>104</v>
      </c>
      <c r="AQ814" s="10"/>
      <c r="AR814" s="17"/>
      <c r="AS814" s="17"/>
      <c r="AT814" s="17"/>
      <c r="AU814" s="17"/>
      <c r="AV814" s="17"/>
      <c r="AW814" s="10"/>
      <c r="AX814" s="17"/>
      <c r="AY814" s="18" t="s">
        <v>257</v>
      </c>
      <c r="AZ814" s="10"/>
      <c r="BA814" s="20" t="b">
        <v>0</v>
      </c>
      <c r="BB814" s="10"/>
      <c r="BC814" s="17" t="s">
        <v>257</v>
      </c>
      <c r="BD814" s="17" t="s">
        <v>257</v>
      </c>
      <c r="BE814" s="17" t="s">
        <v>257</v>
      </c>
      <c r="BF814" s="17" t="s">
        <v>257</v>
      </c>
      <c r="BG814" s="11">
        <f ca="1">IFERROR(__xludf.DUMMYFUNCTION("""COMPUTED_VALUE"""),46068)</f>
        <v>46068</v>
      </c>
      <c r="BH814" s="17"/>
      <c r="BI814" s="17"/>
      <c r="BJ814" s="15"/>
      <c r="BK814" s="15"/>
      <c r="BL814" s="13" t="b">
        <v>0</v>
      </c>
      <c r="BM814" s="10"/>
      <c r="BN814" s="10" t="s">
        <v>223</v>
      </c>
      <c r="BO814" s="11">
        <v>45866.101898148147</v>
      </c>
      <c r="BP814" s="11">
        <v>45866.101898148147</v>
      </c>
      <c r="BQ814" s="15"/>
      <c r="BR814" s="15"/>
      <c r="BS814" s="10"/>
      <c r="BT814" s="10"/>
      <c r="BU814" s="10"/>
      <c r="BV814" s="10"/>
      <c r="BW814" s="10"/>
      <c r="BX814" s="10"/>
      <c r="BY814" s="23"/>
      <c r="BZ814" s="23"/>
      <c r="CA814" s="23"/>
      <c r="CB814" s="23"/>
      <c r="CC814" s="23"/>
      <c r="CD814" s="23"/>
      <c r="CE814" s="23"/>
      <c r="CF814" s="23"/>
      <c r="CG814" s="23"/>
      <c r="CH814" s="23"/>
      <c r="CI814" s="23"/>
    </row>
    <row r="815" spans="1:87" x14ac:dyDescent="0.3">
      <c r="A815" s="9" t="s">
        <v>7047</v>
      </c>
      <c r="B815" s="10" t="s">
        <v>7048</v>
      </c>
      <c r="C815" s="11">
        <v>46068</v>
      </c>
      <c r="D815" s="12">
        <v>8.3333333333333329E-2</v>
      </c>
      <c r="E815" s="11">
        <v>46068.083333333336</v>
      </c>
      <c r="F815" s="10" t="s">
        <v>5001</v>
      </c>
      <c r="G815" s="13" t="b">
        <v>0</v>
      </c>
      <c r="H815" s="10"/>
      <c r="I815" s="10" t="s">
        <v>89</v>
      </c>
      <c r="J815" s="13" t="b">
        <v>0</v>
      </c>
      <c r="K815" s="13" t="b">
        <v>1</v>
      </c>
      <c r="L815" s="10" t="s">
        <v>124</v>
      </c>
      <c r="M815" s="10" t="s">
        <v>91</v>
      </c>
      <c r="N815" s="10" t="s">
        <v>92</v>
      </c>
      <c r="O815" s="10"/>
      <c r="P815" s="10"/>
      <c r="Q815" s="10"/>
      <c r="R815" s="10"/>
      <c r="S815" s="10"/>
      <c r="T815" s="10"/>
      <c r="U815" s="10" t="s">
        <v>5113</v>
      </c>
      <c r="V815" s="10" t="s">
        <v>5055</v>
      </c>
      <c r="W815" s="10" t="s">
        <v>5007</v>
      </c>
      <c r="X815" s="10" t="s">
        <v>130</v>
      </c>
      <c r="Y815" s="10" t="s">
        <v>130</v>
      </c>
      <c r="Z815" s="10" t="s">
        <v>99</v>
      </c>
      <c r="AA815" s="10" t="s">
        <v>131</v>
      </c>
      <c r="AB815" s="10" t="s">
        <v>5008</v>
      </c>
      <c r="AC815" s="10" t="s">
        <v>5009</v>
      </c>
      <c r="AD815" s="10" t="s">
        <v>7049</v>
      </c>
      <c r="AE815" s="10" t="s">
        <v>7050</v>
      </c>
      <c r="AF815" s="15"/>
      <c r="AG815" s="10"/>
      <c r="AH815" s="10"/>
      <c r="AI815" s="10"/>
      <c r="AJ815" s="10"/>
      <c r="AK815" s="10"/>
      <c r="AL815" s="10" t="s">
        <v>2596</v>
      </c>
      <c r="AM815" s="10"/>
      <c r="AN815" s="10"/>
      <c r="AO815" s="13" t="b">
        <v>1</v>
      </c>
      <c r="AP815" s="10" t="s">
        <v>104</v>
      </c>
      <c r="AQ815" s="10"/>
      <c r="AR815" s="17"/>
      <c r="AS815" s="17"/>
      <c r="AT815" s="17"/>
      <c r="AU815" s="17"/>
      <c r="AV815" s="17"/>
      <c r="AW815" s="10"/>
      <c r="AX815" s="17"/>
      <c r="AY815" s="18" t="s">
        <v>257</v>
      </c>
      <c r="AZ815" s="10"/>
      <c r="BA815" s="20" t="b">
        <v>0</v>
      </c>
      <c r="BB815" s="10"/>
      <c r="BC815" s="17" t="s">
        <v>257</v>
      </c>
      <c r="BD815" s="17" t="s">
        <v>257</v>
      </c>
      <c r="BE815" s="17" t="s">
        <v>257</v>
      </c>
      <c r="BF815" s="17" t="s">
        <v>257</v>
      </c>
      <c r="BG815" s="11">
        <f ca="1">IFERROR(__xludf.DUMMYFUNCTION("""COMPUTED_VALUE"""),46068)</f>
        <v>46068</v>
      </c>
      <c r="BH815" s="17"/>
      <c r="BI815" s="17"/>
      <c r="BJ815" s="15"/>
      <c r="BK815" s="15"/>
      <c r="BL815" s="13" t="b">
        <v>0</v>
      </c>
      <c r="BM815" s="10"/>
      <c r="BN815" s="10" t="s">
        <v>223</v>
      </c>
      <c r="BO815" s="11">
        <v>45866.101898148147</v>
      </c>
      <c r="BP815" s="11">
        <v>45866.101898148147</v>
      </c>
      <c r="BQ815" s="15"/>
      <c r="BR815" s="15"/>
      <c r="BS815" s="10"/>
      <c r="BT815" s="10"/>
      <c r="BU815" s="10"/>
      <c r="BV815" s="10"/>
      <c r="BW815" s="10"/>
      <c r="BX815" s="10"/>
      <c r="BY815" s="23"/>
      <c r="BZ815" s="23"/>
      <c r="CA815" s="23"/>
      <c r="CB815" s="23"/>
      <c r="CC815" s="23"/>
      <c r="CD815" s="23"/>
      <c r="CE815" s="23"/>
      <c r="CF815" s="23"/>
      <c r="CG815" s="23"/>
      <c r="CH815" s="23"/>
      <c r="CI815" s="23"/>
    </row>
    <row r="816" spans="1:87" x14ac:dyDescent="0.3">
      <c r="A816" s="9" t="s">
        <v>7051</v>
      </c>
      <c r="B816" s="10" t="s">
        <v>7052</v>
      </c>
      <c r="C816" s="11">
        <v>46075</v>
      </c>
      <c r="D816" s="12">
        <v>8.3333333333333329E-2</v>
      </c>
      <c r="E816" s="11">
        <v>46075.083333333336</v>
      </c>
      <c r="F816" s="10" t="s">
        <v>5001</v>
      </c>
      <c r="G816" s="13" t="b">
        <v>0</v>
      </c>
      <c r="H816" s="10"/>
      <c r="I816" s="10" t="s">
        <v>89</v>
      </c>
      <c r="J816" s="13" t="b">
        <v>0</v>
      </c>
      <c r="K816" s="13" t="b">
        <v>1</v>
      </c>
      <c r="L816" s="10" t="s">
        <v>124</v>
      </c>
      <c r="M816" s="10" t="s">
        <v>91</v>
      </c>
      <c r="N816" s="10" t="s">
        <v>92</v>
      </c>
      <c r="O816" s="10"/>
      <c r="P816" s="10"/>
      <c r="Q816" s="10"/>
      <c r="R816" s="10"/>
      <c r="S816" s="10"/>
      <c r="T816" s="10"/>
      <c r="U816" s="10" t="s">
        <v>5018</v>
      </c>
      <c r="V816" s="10" t="s">
        <v>5054</v>
      </c>
      <c r="W816" s="10" t="s">
        <v>5007</v>
      </c>
      <c r="X816" s="10" t="s">
        <v>130</v>
      </c>
      <c r="Y816" s="10" t="s">
        <v>130</v>
      </c>
      <c r="Z816" s="10" t="s">
        <v>99</v>
      </c>
      <c r="AA816" s="10" t="s">
        <v>131</v>
      </c>
      <c r="AB816" s="10" t="s">
        <v>5008</v>
      </c>
      <c r="AC816" s="10" t="s">
        <v>5009</v>
      </c>
      <c r="AD816" s="10" t="s">
        <v>7053</v>
      </c>
      <c r="AE816" s="10" t="s">
        <v>7054</v>
      </c>
      <c r="AF816" s="15"/>
      <c r="AG816" s="10"/>
      <c r="AH816" s="10"/>
      <c r="AI816" s="10"/>
      <c r="AJ816" s="10"/>
      <c r="AK816" s="10"/>
      <c r="AL816" s="10" t="s">
        <v>2638</v>
      </c>
      <c r="AM816" s="10"/>
      <c r="AN816" s="10"/>
      <c r="AO816" s="13" t="b">
        <v>0</v>
      </c>
      <c r="AP816" s="10" t="s">
        <v>104</v>
      </c>
      <c r="AQ816" s="10"/>
      <c r="AR816" s="17"/>
      <c r="AS816" s="17"/>
      <c r="AT816" s="17"/>
      <c r="AU816" s="17"/>
      <c r="AV816" s="17"/>
      <c r="AW816" s="10"/>
      <c r="AX816" s="17"/>
      <c r="AY816" s="18" t="s">
        <v>257</v>
      </c>
      <c r="AZ816" s="10"/>
      <c r="BA816" s="20" t="b">
        <v>0</v>
      </c>
      <c r="BB816" s="10"/>
      <c r="BC816" s="17" t="s">
        <v>257</v>
      </c>
      <c r="BD816" s="17" t="s">
        <v>257</v>
      </c>
      <c r="BE816" s="17" t="s">
        <v>257</v>
      </c>
      <c r="BF816" s="17" t="s">
        <v>257</v>
      </c>
      <c r="BG816" s="11">
        <f ca="1">IFERROR(__xludf.DUMMYFUNCTION("""COMPUTED_VALUE"""),46075)</f>
        <v>46075</v>
      </c>
      <c r="BH816" s="17"/>
      <c r="BI816" s="17"/>
      <c r="BJ816" s="15"/>
      <c r="BK816" s="15"/>
      <c r="BL816" s="13" t="b">
        <v>0</v>
      </c>
      <c r="BM816" s="10"/>
      <c r="BN816" s="10" t="s">
        <v>223</v>
      </c>
      <c r="BO816" s="11">
        <v>45866.101898148147</v>
      </c>
      <c r="BP816" s="11">
        <v>45866.101898148147</v>
      </c>
      <c r="BQ816" s="15"/>
      <c r="BR816" s="15"/>
      <c r="BS816" s="10"/>
      <c r="BT816" s="10"/>
      <c r="BU816" s="10"/>
      <c r="BV816" s="10"/>
      <c r="BW816" s="10"/>
      <c r="BX816" s="10"/>
      <c r="BY816" s="23"/>
      <c r="BZ816" s="23"/>
      <c r="CA816" s="23"/>
      <c r="CB816" s="23"/>
      <c r="CC816" s="23"/>
      <c r="CD816" s="23"/>
      <c r="CE816" s="23"/>
      <c r="CF816" s="23"/>
      <c r="CG816" s="23"/>
      <c r="CH816" s="23"/>
      <c r="CI816" s="23"/>
    </row>
    <row r="817" spans="1:87" x14ac:dyDescent="0.3">
      <c r="A817" s="9" t="s">
        <v>7055</v>
      </c>
      <c r="B817" s="10" t="s">
        <v>7056</v>
      </c>
      <c r="C817" s="11">
        <v>46075</v>
      </c>
      <c r="D817" s="12">
        <v>8.3333333333333329E-2</v>
      </c>
      <c r="E817" s="11">
        <v>46075.083333333336</v>
      </c>
      <c r="F817" s="10" t="s">
        <v>5001</v>
      </c>
      <c r="G817" s="13" t="b">
        <v>0</v>
      </c>
      <c r="H817" s="10"/>
      <c r="I817" s="10" t="s">
        <v>89</v>
      </c>
      <c r="J817" s="13" t="b">
        <v>0</v>
      </c>
      <c r="K817" s="13" t="b">
        <v>1</v>
      </c>
      <c r="L817" s="10" t="s">
        <v>124</v>
      </c>
      <c r="M817" s="10" t="s">
        <v>91</v>
      </c>
      <c r="N817" s="10" t="s">
        <v>92</v>
      </c>
      <c r="O817" s="10"/>
      <c r="P817" s="10"/>
      <c r="Q817" s="10"/>
      <c r="R817" s="10"/>
      <c r="S817" s="10"/>
      <c r="T817" s="10"/>
      <c r="U817" s="10" t="s">
        <v>5031</v>
      </c>
      <c r="V817" s="10" t="s">
        <v>5005</v>
      </c>
      <c r="W817" s="10" t="s">
        <v>5007</v>
      </c>
      <c r="X817" s="10" t="s">
        <v>130</v>
      </c>
      <c r="Y817" s="10" t="s">
        <v>130</v>
      </c>
      <c r="Z817" s="10" t="s">
        <v>99</v>
      </c>
      <c r="AA817" s="10" t="s">
        <v>131</v>
      </c>
      <c r="AB817" s="10" t="s">
        <v>5008</v>
      </c>
      <c r="AC817" s="10" t="s">
        <v>5009</v>
      </c>
      <c r="AD817" s="10" t="s">
        <v>7057</v>
      </c>
      <c r="AE817" s="10" t="s">
        <v>7058</v>
      </c>
      <c r="AF817" s="15"/>
      <c r="AG817" s="10"/>
      <c r="AH817" s="10"/>
      <c r="AI817" s="10"/>
      <c r="AJ817" s="10"/>
      <c r="AK817" s="10"/>
      <c r="AL817" s="10" t="s">
        <v>2638</v>
      </c>
      <c r="AM817" s="10"/>
      <c r="AN817" s="10"/>
      <c r="AO817" s="13" t="b">
        <v>0</v>
      </c>
      <c r="AP817" s="10" t="s">
        <v>104</v>
      </c>
      <c r="AQ817" s="10"/>
      <c r="AR817" s="17"/>
      <c r="AS817" s="17"/>
      <c r="AT817" s="17"/>
      <c r="AU817" s="17"/>
      <c r="AV817" s="17"/>
      <c r="AW817" s="10"/>
      <c r="AX817" s="17"/>
      <c r="AY817" s="18" t="s">
        <v>257</v>
      </c>
      <c r="AZ817" s="10"/>
      <c r="BA817" s="20" t="b">
        <v>0</v>
      </c>
      <c r="BB817" s="10"/>
      <c r="BC817" s="17" t="s">
        <v>257</v>
      </c>
      <c r="BD817" s="17" t="s">
        <v>257</v>
      </c>
      <c r="BE817" s="17" t="s">
        <v>257</v>
      </c>
      <c r="BF817" s="17" t="s">
        <v>257</v>
      </c>
      <c r="BG817" s="11">
        <f ca="1">IFERROR(__xludf.DUMMYFUNCTION("""COMPUTED_VALUE"""),46075)</f>
        <v>46075</v>
      </c>
      <c r="BH817" s="17"/>
      <c r="BI817" s="17"/>
      <c r="BJ817" s="15"/>
      <c r="BK817" s="15"/>
      <c r="BL817" s="13" t="b">
        <v>0</v>
      </c>
      <c r="BM817" s="10"/>
      <c r="BN817" s="10" t="s">
        <v>223</v>
      </c>
      <c r="BO817" s="11">
        <v>45866.101898148147</v>
      </c>
      <c r="BP817" s="11">
        <v>45866.101898148147</v>
      </c>
      <c r="BQ817" s="15"/>
      <c r="BR817" s="15"/>
      <c r="BS817" s="10"/>
      <c r="BT817" s="10"/>
      <c r="BU817" s="10"/>
      <c r="BV817" s="10"/>
      <c r="BW817" s="10"/>
      <c r="BX817" s="10"/>
      <c r="BY817" s="23"/>
      <c r="BZ817" s="23"/>
      <c r="CA817" s="23"/>
      <c r="CB817" s="23"/>
      <c r="CC817" s="23"/>
      <c r="CD817" s="23"/>
      <c r="CE817" s="23"/>
      <c r="CF817" s="23"/>
      <c r="CG817" s="23"/>
      <c r="CH817" s="23"/>
      <c r="CI817" s="23"/>
    </row>
    <row r="818" spans="1:87" x14ac:dyDescent="0.3">
      <c r="A818" s="9" t="s">
        <v>7059</v>
      </c>
      <c r="B818" s="10" t="s">
        <v>7060</v>
      </c>
      <c r="C818" s="11">
        <v>46075</v>
      </c>
      <c r="D818" s="12">
        <v>8.3333333333333329E-2</v>
      </c>
      <c r="E818" s="11">
        <v>46075.083333333336</v>
      </c>
      <c r="F818" s="10" t="s">
        <v>5001</v>
      </c>
      <c r="G818" s="13" t="b">
        <v>0</v>
      </c>
      <c r="H818" s="10"/>
      <c r="I818" s="10" t="s">
        <v>89</v>
      </c>
      <c r="J818" s="13" t="b">
        <v>0</v>
      </c>
      <c r="K818" s="13" t="b">
        <v>1</v>
      </c>
      <c r="L818" s="10" t="s">
        <v>124</v>
      </c>
      <c r="M818" s="10" t="s">
        <v>91</v>
      </c>
      <c r="N818" s="10" t="s">
        <v>92</v>
      </c>
      <c r="O818" s="10"/>
      <c r="P818" s="10"/>
      <c r="Q818" s="10"/>
      <c r="R818" s="10"/>
      <c r="S818" s="10"/>
      <c r="T818" s="10"/>
      <c r="U818" s="10" t="s">
        <v>5055</v>
      </c>
      <c r="V818" s="10" t="s">
        <v>5019</v>
      </c>
      <c r="W818" s="10" t="s">
        <v>5007</v>
      </c>
      <c r="X818" s="10" t="s">
        <v>130</v>
      </c>
      <c r="Y818" s="10" t="s">
        <v>130</v>
      </c>
      <c r="Z818" s="10" t="s">
        <v>99</v>
      </c>
      <c r="AA818" s="10" t="s">
        <v>131</v>
      </c>
      <c r="AB818" s="10" t="s">
        <v>5008</v>
      </c>
      <c r="AC818" s="10" t="s">
        <v>5009</v>
      </c>
      <c r="AD818" s="10" t="s">
        <v>7061</v>
      </c>
      <c r="AE818" s="10" t="s">
        <v>7062</v>
      </c>
      <c r="AF818" s="15"/>
      <c r="AG818" s="10"/>
      <c r="AH818" s="10"/>
      <c r="AI818" s="10"/>
      <c r="AJ818" s="10"/>
      <c r="AK818" s="10"/>
      <c r="AL818" s="10" t="s">
        <v>2638</v>
      </c>
      <c r="AM818" s="10"/>
      <c r="AN818" s="10"/>
      <c r="AO818" s="13" t="b">
        <v>0</v>
      </c>
      <c r="AP818" s="10" t="s">
        <v>104</v>
      </c>
      <c r="AQ818" s="10"/>
      <c r="AR818" s="17"/>
      <c r="AS818" s="17"/>
      <c r="AT818" s="17"/>
      <c r="AU818" s="17"/>
      <c r="AV818" s="17"/>
      <c r="AW818" s="10"/>
      <c r="AX818" s="17"/>
      <c r="AY818" s="18" t="s">
        <v>257</v>
      </c>
      <c r="AZ818" s="10"/>
      <c r="BA818" s="20" t="b">
        <v>0</v>
      </c>
      <c r="BB818" s="10"/>
      <c r="BC818" s="17" t="s">
        <v>257</v>
      </c>
      <c r="BD818" s="17" t="s">
        <v>257</v>
      </c>
      <c r="BE818" s="17" t="s">
        <v>257</v>
      </c>
      <c r="BF818" s="17" t="s">
        <v>257</v>
      </c>
      <c r="BG818" s="11">
        <f ca="1">IFERROR(__xludf.DUMMYFUNCTION("""COMPUTED_VALUE"""),46075)</f>
        <v>46075</v>
      </c>
      <c r="BH818" s="17"/>
      <c r="BI818" s="17"/>
      <c r="BJ818" s="15"/>
      <c r="BK818" s="15"/>
      <c r="BL818" s="13" t="b">
        <v>0</v>
      </c>
      <c r="BM818" s="10"/>
      <c r="BN818" s="10" t="s">
        <v>223</v>
      </c>
      <c r="BO818" s="11">
        <v>45866.101898148147</v>
      </c>
      <c r="BP818" s="11">
        <v>45866.101898148147</v>
      </c>
      <c r="BQ818" s="15"/>
      <c r="BR818" s="15"/>
      <c r="BS818" s="10"/>
      <c r="BT818" s="10"/>
      <c r="BU818" s="10"/>
      <c r="BV818" s="10"/>
      <c r="BW818" s="10"/>
      <c r="BX818" s="10"/>
      <c r="BY818" s="23"/>
      <c r="BZ818" s="23"/>
      <c r="CA818" s="23"/>
      <c r="CB818" s="23"/>
      <c r="CC818" s="23"/>
      <c r="CD818" s="23"/>
      <c r="CE818" s="23"/>
      <c r="CF818" s="23"/>
      <c r="CG818" s="23"/>
      <c r="CH818" s="23"/>
      <c r="CI818" s="23"/>
    </row>
    <row r="819" spans="1:87" x14ac:dyDescent="0.3">
      <c r="A819" s="9" t="s">
        <v>7063</v>
      </c>
      <c r="B819" s="10" t="s">
        <v>7064</v>
      </c>
      <c r="C819" s="11">
        <v>46075</v>
      </c>
      <c r="D819" s="12">
        <v>8.3333333333333329E-2</v>
      </c>
      <c r="E819" s="11">
        <v>46075.083333333336</v>
      </c>
      <c r="F819" s="10" t="s">
        <v>5001</v>
      </c>
      <c r="G819" s="13" t="b">
        <v>0</v>
      </c>
      <c r="H819" s="10"/>
      <c r="I819" s="10" t="s">
        <v>89</v>
      </c>
      <c r="J819" s="13" t="b">
        <v>0</v>
      </c>
      <c r="K819" s="13" t="b">
        <v>1</v>
      </c>
      <c r="L819" s="10" t="s">
        <v>124</v>
      </c>
      <c r="M819" s="10" t="s">
        <v>91</v>
      </c>
      <c r="N819" s="10" t="s">
        <v>92</v>
      </c>
      <c r="O819" s="10"/>
      <c r="P819" s="10"/>
      <c r="Q819" s="10"/>
      <c r="R819" s="10"/>
      <c r="S819" s="10"/>
      <c r="T819" s="10"/>
      <c r="U819" s="10" t="s">
        <v>5076</v>
      </c>
      <c r="V819" s="10" t="s">
        <v>5101</v>
      </c>
      <c r="W819" s="10" t="s">
        <v>5007</v>
      </c>
      <c r="X819" s="10" t="s">
        <v>130</v>
      </c>
      <c r="Y819" s="10" t="s">
        <v>130</v>
      </c>
      <c r="Z819" s="10" t="s">
        <v>99</v>
      </c>
      <c r="AA819" s="10" t="s">
        <v>131</v>
      </c>
      <c r="AB819" s="10" t="s">
        <v>5008</v>
      </c>
      <c r="AC819" s="10" t="s">
        <v>5009</v>
      </c>
      <c r="AD819" s="10" t="s">
        <v>7065</v>
      </c>
      <c r="AE819" s="10" t="s">
        <v>7066</v>
      </c>
      <c r="AF819" s="15"/>
      <c r="AG819" s="10"/>
      <c r="AH819" s="10"/>
      <c r="AI819" s="10"/>
      <c r="AJ819" s="10"/>
      <c r="AK819" s="10"/>
      <c r="AL819" s="10" t="s">
        <v>2638</v>
      </c>
      <c r="AM819" s="10"/>
      <c r="AN819" s="10"/>
      <c r="AO819" s="13" t="b">
        <v>0</v>
      </c>
      <c r="AP819" s="10" t="s">
        <v>104</v>
      </c>
      <c r="AQ819" s="10"/>
      <c r="AR819" s="17"/>
      <c r="AS819" s="17"/>
      <c r="AT819" s="17"/>
      <c r="AU819" s="17"/>
      <c r="AV819" s="17"/>
      <c r="AW819" s="10"/>
      <c r="AX819" s="17"/>
      <c r="AY819" s="18" t="s">
        <v>257</v>
      </c>
      <c r="AZ819" s="10"/>
      <c r="BA819" s="20" t="b">
        <v>0</v>
      </c>
      <c r="BB819" s="10"/>
      <c r="BC819" s="17" t="s">
        <v>257</v>
      </c>
      <c r="BD819" s="17" t="s">
        <v>257</v>
      </c>
      <c r="BE819" s="17" t="s">
        <v>257</v>
      </c>
      <c r="BF819" s="17" t="s">
        <v>257</v>
      </c>
      <c r="BG819" s="11">
        <f ca="1">IFERROR(__xludf.DUMMYFUNCTION("""COMPUTED_VALUE"""),46075)</f>
        <v>46075</v>
      </c>
      <c r="BH819" s="17"/>
      <c r="BI819" s="17"/>
      <c r="BJ819" s="15"/>
      <c r="BK819" s="15"/>
      <c r="BL819" s="13" t="b">
        <v>0</v>
      </c>
      <c r="BM819" s="10"/>
      <c r="BN819" s="10" t="s">
        <v>223</v>
      </c>
      <c r="BO819" s="11">
        <v>45866.101898148147</v>
      </c>
      <c r="BP819" s="11">
        <v>45866.101898148147</v>
      </c>
      <c r="BQ819" s="15"/>
      <c r="BR819" s="15"/>
      <c r="BS819" s="10"/>
      <c r="BT819" s="10"/>
      <c r="BU819" s="10"/>
      <c r="BV819" s="10"/>
      <c r="BW819" s="10"/>
      <c r="BX819" s="10"/>
      <c r="BY819" s="23"/>
      <c r="BZ819" s="23"/>
      <c r="CA819" s="23"/>
      <c r="CB819" s="23"/>
      <c r="CC819" s="23"/>
      <c r="CD819" s="23"/>
      <c r="CE819" s="23"/>
      <c r="CF819" s="23"/>
      <c r="CG819" s="23"/>
      <c r="CH819" s="23"/>
      <c r="CI819" s="23"/>
    </row>
    <row r="820" spans="1:87" x14ac:dyDescent="0.3">
      <c r="A820" s="9" t="s">
        <v>7067</v>
      </c>
      <c r="B820" s="10" t="s">
        <v>7068</v>
      </c>
      <c r="C820" s="11">
        <v>46075</v>
      </c>
      <c r="D820" s="12">
        <v>8.3333333333333329E-2</v>
      </c>
      <c r="E820" s="11">
        <v>46075.083333333336</v>
      </c>
      <c r="F820" s="10" t="s">
        <v>5001</v>
      </c>
      <c r="G820" s="13" t="b">
        <v>0</v>
      </c>
      <c r="H820" s="10"/>
      <c r="I820" s="10" t="s">
        <v>89</v>
      </c>
      <c r="J820" s="13" t="b">
        <v>0</v>
      </c>
      <c r="K820" s="13" t="b">
        <v>1</v>
      </c>
      <c r="L820" s="10" t="s">
        <v>124</v>
      </c>
      <c r="M820" s="10" t="s">
        <v>91</v>
      </c>
      <c r="N820" s="10" t="s">
        <v>92</v>
      </c>
      <c r="O820" s="10"/>
      <c r="P820" s="10"/>
      <c r="Q820" s="10"/>
      <c r="R820" s="10"/>
      <c r="S820" s="10"/>
      <c r="T820" s="10"/>
      <c r="U820" s="10" t="s">
        <v>5067</v>
      </c>
      <c r="V820" s="10" t="s">
        <v>5077</v>
      </c>
      <c r="W820" s="10" t="s">
        <v>5007</v>
      </c>
      <c r="X820" s="10" t="s">
        <v>130</v>
      </c>
      <c r="Y820" s="10" t="s">
        <v>130</v>
      </c>
      <c r="Z820" s="10" t="s">
        <v>99</v>
      </c>
      <c r="AA820" s="10" t="s">
        <v>131</v>
      </c>
      <c r="AB820" s="10" t="s">
        <v>5008</v>
      </c>
      <c r="AC820" s="10" t="s">
        <v>5009</v>
      </c>
      <c r="AD820" s="10" t="s">
        <v>7069</v>
      </c>
      <c r="AE820" s="10" t="s">
        <v>7070</v>
      </c>
      <c r="AF820" s="15"/>
      <c r="AG820" s="10"/>
      <c r="AH820" s="10"/>
      <c r="AI820" s="10"/>
      <c r="AJ820" s="10"/>
      <c r="AK820" s="10"/>
      <c r="AL820" s="10" t="s">
        <v>2638</v>
      </c>
      <c r="AM820" s="10"/>
      <c r="AN820" s="10"/>
      <c r="AO820" s="13" t="b">
        <v>0</v>
      </c>
      <c r="AP820" s="10" t="s">
        <v>104</v>
      </c>
      <c r="AQ820" s="10"/>
      <c r="AR820" s="17"/>
      <c r="AS820" s="17"/>
      <c r="AT820" s="17"/>
      <c r="AU820" s="17"/>
      <c r="AV820" s="17"/>
      <c r="AW820" s="10"/>
      <c r="AX820" s="17"/>
      <c r="AY820" s="18" t="s">
        <v>257</v>
      </c>
      <c r="AZ820" s="10"/>
      <c r="BA820" s="20" t="b">
        <v>0</v>
      </c>
      <c r="BB820" s="10"/>
      <c r="BC820" s="17" t="s">
        <v>257</v>
      </c>
      <c r="BD820" s="17" t="s">
        <v>257</v>
      </c>
      <c r="BE820" s="17" t="s">
        <v>257</v>
      </c>
      <c r="BF820" s="17" t="s">
        <v>257</v>
      </c>
      <c r="BG820" s="11">
        <f ca="1">IFERROR(__xludf.DUMMYFUNCTION("""COMPUTED_VALUE"""),46075)</f>
        <v>46075</v>
      </c>
      <c r="BH820" s="17"/>
      <c r="BI820" s="17"/>
      <c r="BJ820" s="15"/>
      <c r="BK820" s="15"/>
      <c r="BL820" s="13" t="b">
        <v>0</v>
      </c>
      <c r="BM820" s="10"/>
      <c r="BN820" s="10" t="s">
        <v>223</v>
      </c>
      <c r="BO820" s="11">
        <v>45866.101898148147</v>
      </c>
      <c r="BP820" s="11">
        <v>45866.101898148147</v>
      </c>
      <c r="BQ820" s="15"/>
      <c r="BR820" s="15"/>
      <c r="BS820" s="10"/>
      <c r="BT820" s="10"/>
      <c r="BU820" s="10"/>
      <c r="BV820" s="10"/>
      <c r="BW820" s="10"/>
      <c r="BX820" s="10"/>
      <c r="BY820" s="23"/>
      <c r="BZ820" s="23"/>
      <c r="CA820" s="23"/>
      <c r="CB820" s="23"/>
      <c r="CC820" s="23"/>
      <c r="CD820" s="23"/>
      <c r="CE820" s="23"/>
      <c r="CF820" s="23"/>
      <c r="CG820" s="23"/>
      <c r="CH820" s="23"/>
      <c r="CI820" s="23"/>
    </row>
    <row r="821" spans="1:87" x14ac:dyDescent="0.3">
      <c r="A821" s="9" t="s">
        <v>7071</v>
      </c>
      <c r="B821" s="10" t="s">
        <v>7072</v>
      </c>
      <c r="C821" s="11">
        <v>46075</v>
      </c>
      <c r="D821" s="12">
        <v>8.3333333333333329E-2</v>
      </c>
      <c r="E821" s="11">
        <v>46075.083333333336</v>
      </c>
      <c r="F821" s="10" t="s">
        <v>5001</v>
      </c>
      <c r="G821" s="13" t="b">
        <v>0</v>
      </c>
      <c r="H821" s="10"/>
      <c r="I821" s="10" t="s">
        <v>89</v>
      </c>
      <c r="J821" s="13" t="b">
        <v>0</v>
      </c>
      <c r="K821" s="13" t="b">
        <v>1</v>
      </c>
      <c r="L821" s="10" t="s">
        <v>124</v>
      </c>
      <c r="M821" s="10" t="s">
        <v>91</v>
      </c>
      <c r="N821" s="10" t="s">
        <v>92</v>
      </c>
      <c r="O821" s="10"/>
      <c r="P821" s="10"/>
      <c r="Q821" s="10"/>
      <c r="R821" s="10"/>
      <c r="S821" s="10"/>
      <c r="T821" s="10"/>
      <c r="U821" s="10" t="s">
        <v>5090</v>
      </c>
      <c r="V821" s="10" t="s">
        <v>5089</v>
      </c>
      <c r="W821" s="10" t="s">
        <v>5007</v>
      </c>
      <c r="X821" s="10" t="s">
        <v>130</v>
      </c>
      <c r="Y821" s="10" t="s">
        <v>130</v>
      </c>
      <c r="Z821" s="10" t="s">
        <v>99</v>
      </c>
      <c r="AA821" s="10" t="s">
        <v>131</v>
      </c>
      <c r="AB821" s="10" t="s">
        <v>5008</v>
      </c>
      <c r="AC821" s="10" t="s">
        <v>5009</v>
      </c>
      <c r="AD821" s="10" t="s">
        <v>7073</v>
      </c>
      <c r="AE821" s="10" t="s">
        <v>7074</v>
      </c>
      <c r="AF821" s="15"/>
      <c r="AG821" s="10"/>
      <c r="AH821" s="10"/>
      <c r="AI821" s="10"/>
      <c r="AJ821" s="10"/>
      <c r="AK821" s="10"/>
      <c r="AL821" s="10" t="s">
        <v>2638</v>
      </c>
      <c r="AM821" s="10"/>
      <c r="AN821" s="10"/>
      <c r="AO821" s="13" t="b">
        <v>0</v>
      </c>
      <c r="AP821" s="10" t="s">
        <v>104</v>
      </c>
      <c r="AQ821" s="10"/>
      <c r="AR821" s="17"/>
      <c r="AS821" s="17"/>
      <c r="AT821" s="17"/>
      <c r="AU821" s="17"/>
      <c r="AV821" s="17"/>
      <c r="AW821" s="10"/>
      <c r="AX821" s="17"/>
      <c r="AY821" s="18" t="s">
        <v>257</v>
      </c>
      <c r="AZ821" s="10"/>
      <c r="BA821" s="20" t="b">
        <v>0</v>
      </c>
      <c r="BB821" s="10"/>
      <c r="BC821" s="17" t="s">
        <v>257</v>
      </c>
      <c r="BD821" s="17" t="s">
        <v>257</v>
      </c>
      <c r="BE821" s="17" t="s">
        <v>257</v>
      </c>
      <c r="BF821" s="17" t="s">
        <v>257</v>
      </c>
      <c r="BG821" s="11">
        <f ca="1">IFERROR(__xludf.DUMMYFUNCTION("""COMPUTED_VALUE"""),46075)</f>
        <v>46075</v>
      </c>
      <c r="BH821" s="17"/>
      <c r="BI821" s="17"/>
      <c r="BJ821" s="15"/>
      <c r="BK821" s="15"/>
      <c r="BL821" s="13" t="b">
        <v>0</v>
      </c>
      <c r="BM821" s="10"/>
      <c r="BN821" s="10" t="s">
        <v>223</v>
      </c>
      <c r="BO821" s="11">
        <v>45866.101898148147</v>
      </c>
      <c r="BP821" s="11">
        <v>45866.101898148147</v>
      </c>
      <c r="BQ821" s="15"/>
      <c r="BR821" s="15"/>
      <c r="BS821" s="10"/>
      <c r="BT821" s="10"/>
      <c r="BU821" s="10"/>
      <c r="BV821" s="10"/>
      <c r="BW821" s="10"/>
      <c r="BX821" s="10"/>
      <c r="BY821" s="23"/>
      <c r="BZ821" s="23"/>
      <c r="CA821" s="23"/>
      <c r="CB821" s="23"/>
      <c r="CC821" s="23"/>
      <c r="CD821" s="23"/>
      <c r="CE821" s="23"/>
      <c r="CF821" s="23"/>
      <c r="CG821" s="23"/>
      <c r="CH821" s="23"/>
      <c r="CI821" s="23"/>
    </row>
    <row r="822" spans="1:87" x14ac:dyDescent="0.3">
      <c r="A822" s="9" t="s">
        <v>7075</v>
      </c>
      <c r="B822" s="10" t="s">
        <v>7076</v>
      </c>
      <c r="C822" s="11">
        <v>46075</v>
      </c>
      <c r="D822" s="12">
        <v>8.3333333333333329E-2</v>
      </c>
      <c r="E822" s="11">
        <v>46075.083333333336</v>
      </c>
      <c r="F822" s="10" t="s">
        <v>5001</v>
      </c>
      <c r="G822" s="13" t="b">
        <v>0</v>
      </c>
      <c r="H822" s="10"/>
      <c r="I822" s="10" t="s">
        <v>89</v>
      </c>
      <c r="J822" s="13" t="b">
        <v>0</v>
      </c>
      <c r="K822" s="13" t="b">
        <v>1</v>
      </c>
      <c r="L822" s="10" t="s">
        <v>124</v>
      </c>
      <c r="M822" s="10" t="s">
        <v>91</v>
      </c>
      <c r="N822" s="10" t="s">
        <v>92</v>
      </c>
      <c r="O822" s="10"/>
      <c r="P822" s="10"/>
      <c r="Q822" s="10"/>
      <c r="R822" s="10"/>
      <c r="S822" s="10"/>
      <c r="T822" s="10"/>
      <c r="U822" s="10" t="s">
        <v>5102</v>
      </c>
      <c r="V822" s="10" t="s">
        <v>5006</v>
      </c>
      <c r="W822" s="10" t="s">
        <v>5007</v>
      </c>
      <c r="X822" s="10" t="s">
        <v>130</v>
      </c>
      <c r="Y822" s="10" t="s">
        <v>130</v>
      </c>
      <c r="Z822" s="10" t="s">
        <v>99</v>
      </c>
      <c r="AA822" s="10" t="s">
        <v>131</v>
      </c>
      <c r="AB822" s="10" t="s">
        <v>5008</v>
      </c>
      <c r="AC822" s="10" t="s">
        <v>5009</v>
      </c>
      <c r="AD822" s="10" t="s">
        <v>7077</v>
      </c>
      <c r="AE822" s="10" t="s">
        <v>7078</v>
      </c>
      <c r="AF822" s="15"/>
      <c r="AG822" s="10"/>
      <c r="AH822" s="10"/>
      <c r="AI822" s="10"/>
      <c r="AJ822" s="10"/>
      <c r="AK822" s="10"/>
      <c r="AL822" s="10" t="s">
        <v>2638</v>
      </c>
      <c r="AM822" s="10"/>
      <c r="AN822" s="10"/>
      <c r="AO822" s="13" t="b">
        <v>0</v>
      </c>
      <c r="AP822" s="10" t="s">
        <v>104</v>
      </c>
      <c r="AQ822" s="10"/>
      <c r="AR822" s="17"/>
      <c r="AS822" s="17"/>
      <c r="AT822" s="17"/>
      <c r="AU822" s="17"/>
      <c r="AV822" s="17"/>
      <c r="AW822" s="10"/>
      <c r="AX822" s="17"/>
      <c r="AY822" s="18" t="s">
        <v>257</v>
      </c>
      <c r="AZ822" s="10"/>
      <c r="BA822" s="20" t="b">
        <v>0</v>
      </c>
      <c r="BB822" s="10"/>
      <c r="BC822" s="17" t="s">
        <v>257</v>
      </c>
      <c r="BD822" s="17" t="s">
        <v>257</v>
      </c>
      <c r="BE822" s="17" t="s">
        <v>257</v>
      </c>
      <c r="BF822" s="17" t="s">
        <v>257</v>
      </c>
      <c r="BG822" s="11">
        <f ca="1">IFERROR(__xludf.DUMMYFUNCTION("""COMPUTED_VALUE"""),46075)</f>
        <v>46075</v>
      </c>
      <c r="BH822" s="17"/>
      <c r="BI822" s="17"/>
      <c r="BJ822" s="15"/>
      <c r="BK822" s="15"/>
      <c r="BL822" s="13" t="b">
        <v>0</v>
      </c>
      <c r="BM822" s="10"/>
      <c r="BN822" s="10" t="s">
        <v>223</v>
      </c>
      <c r="BO822" s="11">
        <v>45866.101898148147</v>
      </c>
      <c r="BP822" s="11">
        <v>45866.101898148147</v>
      </c>
      <c r="BQ822" s="15"/>
      <c r="BR822" s="15"/>
      <c r="BS822" s="10"/>
      <c r="BT822" s="10"/>
      <c r="BU822" s="10"/>
      <c r="BV822" s="10"/>
      <c r="BW822" s="10"/>
      <c r="BX822" s="10"/>
      <c r="BY822" s="23"/>
      <c r="BZ822" s="23"/>
      <c r="CA822" s="23"/>
      <c r="CB822" s="23"/>
      <c r="CC822" s="23"/>
      <c r="CD822" s="23"/>
      <c r="CE822" s="23"/>
      <c r="CF822" s="23"/>
      <c r="CG822" s="23"/>
      <c r="CH822" s="23"/>
      <c r="CI822" s="23"/>
    </row>
    <row r="823" spans="1:87" x14ac:dyDescent="0.3">
      <c r="A823" s="9" t="s">
        <v>7079</v>
      </c>
      <c r="B823" s="10" t="s">
        <v>7080</v>
      </c>
      <c r="C823" s="11">
        <v>46075</v>
      </c>
      <c r="D823" s="12">
        <v>8.3333333333333329E-2</v>
      </c>
      <c r="E823" s="11">
        <v>46075.083333333336</v>
      </c>
      <c r="F823" s="10" t="s">
        <v>5001</v>
      </c>
      <c r="G823" s="13" t="b">
        <v>0</v>
      </c>
      <c r="H823" s="10"/>
      <c r="I823" s="10" t="s">
        <v>89</v>
      </c>
      <c r="J823" s="13" t="b">
        <v>0</v>
      </c>
      <c r="K823" s="13" t="b">
        <v>1</v>
      </c>
      <c r="L823" s="10" t="s">
        <v>124</v>
      </c>
      <c r="M823" s="10" t="s">
        <v>91</v>
      </c>
      <c r="N823" s="10" t="s">
        <v>92</v>
      </c>
      <c r="O823" s="10"/>
      <c r="P823" s="10"/>
      <c r="Q823" s="10"/>
      <c r="R823" s="10"/>
      <c r="S823" s="10"/>
      <c r="T823" s="10"/>
      <c r="U823" s="10" t="s">
        <v>5114</v>
      </c>
      <c r="V823" s="10" t="s">
        <v>5113</v>
      </c>
      <c r="W823" s="10" t="s">
        <v>5007</v>
      </c>
      <c r="X823" s="10" t="s">
        <v>130</v>
      </c>
      <c r="Y823" s="10" t="s">
        <v>130</v>
      </c>
      <c r="Z823" s="10" t="s">
        <v>99</v>
      </c>
      <c r="AA823" s="10" t="s">
        <v>131</v>
      </c>
      <c r="AB823" s="10" t="s">
        <v>5008</v>
      </c>
      <c r="AC823" s="10" t="s">
        <v>5009</v>
      </c>
      <c r="AD823" s="10" t="s">
        <v>7081</v>
      </c>
      <c r="AE823" s="10" t="s">
        <v>7082</v>
      </c>
      <c r="AF823" s="15"/>
      <c r="AG823" s="10"/>
      <c r="AH823" s="10"/>
      <c r="AI823" s="10"/>
      <c r="AJ823" s="10"/>
      <c r="AK823" s="10"/>
      <c r="AL823" s="10" t="s">
        <v>2638</v>
      </c>
      <c r="AM823" s="10"/>
      <c r="AN823" s="10"/>
      <c r="AO823" s="13" t="b">
        <v>1</v>
      </c>
      <c r="AP823" s="10" t="s">
        <v>104</v>
      </c>
      <c r="AQ823" s="10"/>
      <c r="AR823" s="17"/>
      <c r="AS823" s="17"/>
      <c r="AT823" s="17"/>
      <c r="AU823" s="17"/>
      <c r="AV823" s="17"/>
      <c r="AW823" s="10"/>
      <c r="AX823" s="17"/>
      <c r="AY823" s="18" t="s">
        <v>257</v>
      </c>
      <c r="AZ823" s="10"/>
      <c r="BA823" s="20" t="b">
        <v>0</v>
      </c>
      <c r="BB823" s="10"/>
      <c r="BC823" s="17" t="s">
        <v>257</v>
      </c>
      <c r="BD823" s="17" t="s">
        <v>257</v>
      </c>
      <c r="BE823" s="17" t="s">
        <v>257</v>
      </c>
      <c r="BF823" s="17" t="s">
        <v>257</v>
      </c>
      <c r="BG823" s="11">
        <f ca="1">IFERROR(__xludf.DUMMYFUNCTION("""COMPUTED_VALUE"""),46075)</f>
        <v>46075</v>
      </c>
      <c r="BH823" s="17"/>
      <c r="BI823" s="17"/>
      <c r="BJ823" s="15"/>
      <c r="BK823" s="15"/>
      <c r="BL823" s="13" t="b">
        <v>0</v>
      </c>
      <c r="BM823" s="10"/>
      <c r="BN823" s="10" t="s">
        <v>223</v>
      </c>
      <c r="BO823" s="11">
        <v>45866.101898148147</v>
      </c>
      <c r="BP823" s="11">
        <v>45866.101898148147</v>
      </c>
      <c r="BQ823" s="15"/>
      <c r="BR823" s="15"/>
      <c r="BS823" s="10"/>
      <c r="BT823" s="10"/>
      <c r="BU823" s="10"/>
      <c r="BV823" s="10"/>
      <c r="BW823" s="10"/>
      <c r="BX823" s="10"/>
      <c r="BY823" s="23"/>
      <c r="BZ823" s="23"/>
      <c r="CA823" s="23"/>
      <c r="CB823" s="23"/>
      <c r="CC823" s="23"/>
      <c r="CD823" s="23"/>
      <c r="CE823" s="23"/>
      <c r="CF823" s="23"/>
      <c r="CG823" s="23"/>
      <c r="CH823" s="23"/>
      <c r="CI823" s="23"/>
    </row>
    <row r="824" spans="1:87" x14ac:dyDescent="0.3">
      <c r="A824" s="9" t="s">
        <v>7083</v>
      </c>
      <c r="B824" s="10" t="s">
        <v>7084</v>
      </c>
      <c r="C824" s="11">
        <v>46075</v>
      </c>
      <c r="D824" s="12">
        <v>8.3333333333333329E-2</v>
      </c>
      <c r="E824" s="11">
        <v>46075.083333333336</v>
      </c>
      <c r="F824" s="10" t="s">
        <v>5001</v>
      </c>
      <c r="G824" s="13" t="b">
        <v>0</v>
      </c>
      <c r="H824" s="10"/>
      <c r="I824" s="10" t="s">
        <v>89</v>
      </c>
      <c r="J824" s="13" t="b">
        <v>0</v>
      </c>
      <c r="K824" s="13" t="b">
        <v>1</v>
      </c>
      <c r="L824" s="10" t="s">
        <v>124</v>
      </c>
      <c r="M824" s="10" t="s">
        <v>91</v>
      </c>
      <c r="N824" s="10" t="s">
        <v>92</v>
      </c>
      <c r="O824" s="10"/>
      <c r="P824" s="10"/>
      <c r="Q824" s="10"/>
      <c r="R824" s="10"/>
      <c r="S824" s="10"/>
      <c r="T824" s="10"/>
      <c r="U824" s="10" t="s">
        <v>5042</v>
      </c>
      <c r="V824" s="10" t="s">
        <v>5032</v>
      </c>
      <c r="W824" s="10" t="s">
        <v>5007</v>
      </c>
      <c r="X824" s="10" t="s">
        <v>130</v>
      </c>
      <c r="Y824" s="10" t="s">
        <v>130</v>
      </c>
      <c r="Z824" s="10" t="s">
        <v>99</v>
      </c>
      <c r="AA824" s="10" t="s">
        <v>131</v>
      </c>
      <c r="AB824" s="10" t="s">
        <v>5008</v>
      </c>
      <c r="AC824" s="10" t="s">
        <v>5009</v>
      </c>
      <c r="AD824" s="10" t="s">
        <v>7085</v>
      </c>
      <c r="AE824" s="10" t="s">
        <v>7086</v>
      </c>
      <c r="AF824" s="15"/>
      <c r="AG824" s="10"/>
      <c r="AH824" s="10"/>
      <c r="AI824" s="10"/>
      <c r="AJ824" s="10"/>
      <c r="AK824" s="10"/>
      <c r="AL824" s="10" t="s">
        <v>2638</v>
      </c>
      <c r="AM824" s="10"/>
      <c r="AN824" s="10"/>
      <c r="AO824" s="13" t="b">
        <v>1</v>
      </c>
      <c r="AP824" s="10" t="s">
        <v>104</v>
      </c>
      <c r="AQ824" s="10"/>
      <c r="AR824" s="17"/>
      <c r="AS824" s="17"/>
      <c r="AT824" s="17"/>
      <c r="AU824" s="17"/>
      <c r="AV824" s="17"/>
      <c r="AW824" s="10"/>
      <c r="AX824" s="17"/>
      <c r="AY824" s="18" t="s">
        <v>257</v>
      </c>
      <c r="AZ824" s="10"/>
      <c r="BA824" s="20" t="b">
        <v>0</v>
      </c>
      <c r="BB824" s="10"/>
      <c r="BC824" s="17" t="s">
        <v>257</v>
      </c>
      <c r="BD824" s="17" t="s">
        <v>257</v>
      </c>
      <c r="BE824" s="17" t="s">
        <v>257</v>
      </c>
      <c r="BF824" s="17" t="s">
        <v>257</v>
      </c>
      <c r="BG824" s="11">
        <f ca="1">IFERROR(__xludf.DUMMYFUNCTION("""COMPUTED_VALUE"""),46075)</f>
        <v>46075</v>
      </c>
      <c r="BH824" s="17"/>
      <c r="BI824" s="17"/>
      <c r="BJ824" s="15"/>
      <c r="BK824" s="15"/>
      <c r="BL824" s="13" t="b">
        <v>0</v>
      </c>
      <c r="BM824" s="10"/>
      <c r="BN824" s="10" t="s">
        <v>223</v>
      </c>
      <c r="BO824" s="11">
        <v>45866.101898148147</v>
      </c>
      <c r="BP824" s="11">
        <v>45866.101898148147</v>
      </c>
      <c r="BQ824" s="15"/>
      <c r="BR824" s="15"/>
      <c r="BS824" s="10"/>
      <c r="BT824" s="10"/>
      <c r="BU824" s="10"/>
      <c r="BV824" s="10"/>
      <c r="BW824" s="10"/>
      <c r="BX824" s="10"/>
      <c r="BY824" s="23"/>
      <c r="BZ824" s="23"/>
      <c r="CA824" s="23"/>
      <c r="CB824" s="23"/>
      <c r="CC824" s="23"/>
      <c r="CD824" s="23"/>
      <c r="CE824" s="23"/>
      <c r="CF824" s="23"/>
      <c r="CG824" s="23"/>
      <c r="CH824" s="23"/>
      <c r="CI824" s="23"/>
    </row>
    <row r="825" spans="1:87" x14ac:dyDescent="0.3">
      <c r="A825" s="9" t="s">
        <v>7087</v>
      </c>
      <c r="B825" s="10" t="s">
        <v>7088</v>
      </c>
      <c r="C825" s="11">
        <v>46075</v>
      </c>
      <c r="D825" s="12">
        <v>8.3333333333333329E-2</v>
      </c>
      <c r="E825" s="11">
        <v>46075.083333333336</v>
      </c>
      <c r="F825" s="10" t="s">
        <v>5001</v>
      </c>
      <c r="G825" s="13" t="b">
        <v>0</v>
      </c>
      <c r="H825" s="10"/>
      <c r="I825" s="10" t="s">
        <v>89</v>
      </c>
      <c r="J825" s="13" t="b">
        <v>0</v>
      </c>
      <c r="K825" s="13" t="b">
        <v>1</v>
      </c>
      <c r="L825" s="10" t="s">
        <v>124</v>
      </c>
      <c r="M825" s="10" t="s">
        <v>91</v>
      </c>
      <c r="N825" s="10" t="s">
        <v>92</v>
      </c>
      <c r="O825" s="10"/>
      <c r="P825" s="10"/>
      <c r="Q825" s="10"/>
      <c r="R825" s="10"/>
      <c r="S825" s="10"/>
      <c r="T825" s="10"/>
      <c r="U825" s="10" t="s">
        <v>5066</v>
      </c>
      <c r="V825" s="10" t="s">
        <v>5041</v>
      </c>
      <c r="W825" s="10" t="s">
        <v>5007</v>
      </c>
      <c r="X825" s="10" t="s">
        <v>130</v>
      </c>
      <c r="Y825" s="10" t="s">
        <v>130</v>
      </c>
      <c r="Z825" s="10" t="s">
        <v>99</v>
      </c>
      <c r="AA825" s="10" t="s">
        <v>131</v>
      </c>
      <c r="AB825" s="10" t="s">
        <v>5008</v>
      </c>
      <c r="AC825" s="10" t="s">
        <v>5009</v>
      </c>
      <c r="AD825" s="10" t="s">
        <v>7089</v>
      </c>
      <c r="AE825" s="10" t="s">
        <v>7090</v>
      </c>
      <c r="AF825" s="15"/>
      <c r="AG825" s="10"/>
      <c r="AH825" s="10"/>
      <c r="AI825" s="10"/>
      <c r="AJ825" s="10"/>
      <c r="AK825" s="10"/>
      <c r="AL825" s="10" t="s">
        <v>2638</v>
      </c>
      <c r="AM825" s="10"/>
      <c r="AN825" s="10"/>
      <c r="AO825" s="13" t="b">
        <v>0</v>
      </c>
      <c r="AP825" s="10" t="s">
        <v>104</v>
      </c>
      <c r="AQ825" s="10"/>
      <c r="AR825" s="17"/>
      <c r="AS825" s="17"/>
      <c r="AT825" s="17"/>
      <c r="AU825" s="17"/>
      <c r="AV825" s="17"/>
      <c r="AW825" s="10"/>
      <c r="AX825" s="17"/>
      <c r="AY825" s="18" t="s">
        <v>257</v>
      </c>
      <c r="AZ825" s="10"/>
      <c r="BA825" s="20" t="b">
        <v>0</v>
      </c>
      <c r="BB825" s="10"/>
      <c r="BC825" s="17" t="s">
        <v>257</v>
      </c>
      <c r="BD825" s="17" t="s">
        <v>257</v>
      </c>
      <c r="BE825" s="17" t="s">
        <v>257</v>
      </c>
      <c r="BF825" s="17" t="s">
        <v>257</v>
      </c>
      <c r="BG825" s="11">
        <f ca="1">IFERROR(__xludf.DUMMYFUNCTION("""COMPUTED_VALUE"""),46075)</f>
        <v>46075</v>
      </c>
      <c r="BH825" s="17"/>
      <c r="BI825" s="17"/>
      <c r="BJ825" s="15"/>
      <c r="BK825" s="15"/>
      <c r="BL825" s="13" t="b">
        <v>0</v>
      </c>
      <c r="BM825" s="10"/>
      <c r="BN825" s="10" t="s">
        <v>223</v>
      </c>
      <c r="BO825" s="11">
        <v>45866.101898148147</v>
      </c>
      <c r="BP825" s="11">
        <v>45866.101898148147</v>
      </c>
      <c r="BQ825" s="15"/>
      <c r="BR825" s="15"/>
      <c r="BS825" s="10"/>
      <c r="BT825" s="10"/>
      <c r="BU825" s="10"/>
      <c r="BV825" s="10"/>
      <c r="BW825" s="10"/>
      <c r="BX825" s="10"/>
      <c r="BY825" s="23"/>
      <c r="BZ825" s="23"/>
      <c r="CA825" s="23"/>
      <c r="CB825" s="23"/>
      <c r="CC825" s="23"/>
      <c r="CD825" s="23"/>
      <c r="CE825" s="23"/>
      <c r="CF825" s="23"/>
      <c r="CG825" s="23"/>
      <c r="CH825" s="23"/>
      <c r="CI825" s="23"/>
    </row>
    <row r="826" spans="1:87" x14ac:dyDescent="0.3">
      <c r="A826" s="9" t="s">
        <v>7091</v>
      </c>
      <c r="B826" s="10" t="s">
        <v>7092</v>
      </c>
      <c r="C826" s="11">
        <v>46082</v>
      </c>
      <c r="D826" s="12">
        <v>8.3333333333333329E-2</v>
      </c>
      <c r="E826" s="11">
        <v>46082.083333333336</v>
      </c>
      <c r="F826" s="10" t="s">
        <v>5001</v>
      </c>
      <c r="G826" s="13" t="b">
        <v>0</v>
      </c>
      <c r="H826" s="10"/>
      <c r="I826" s="10" t="s">
        <v>89</v>
      </c>
      <c r="J826" s="13" t="b">
        <v>0</v>
      </c>
      <c r="K826" s="13" t="b">
        <v>1</v>
      </c>
      <c r="L826" s="10" t="s">
        <v>124</v>
      </c>
      <c r="M826" s="10" t="s">
        <v>91</v>
      </c>
      <c r="N826" s="10" t="s">
        <v>92</v>
      </c>
      <c r="O826" s="10"/>
      <c r="P826" s="10"/>
      <c r="Q826" s="10"/>
      <c r="R826" s="10"/>
      <c r="S826" s="10"/>
      <c r="T826" s="10"/>
      <c r="U826" s="10" t="s">
        <v>5019</v>
      </c>
      <c r="V826" s="10" t="s">
        <v>5090</v>
      </c>
      <c r="W826" s="10" t="s">
        <v>5007</v>
      </c>
      <c r="X826" s="10" t="s">
        <v>130</v>
      </c>
      <c r="Y826" s="10" t="s">
        <v>130</v>
      </c>
      <c r="Z826" s="10" t="s">
        <v>99</v>
      </c>
      <c r="AA826" s="10" t="s">
        <v>131</v>
      </c>
      <c r="AB826" s="10" t="s">
        <v>5008</v>
      </c>
      <c r="AC826" s="10" t="s">
        <v>5009</v>
      </c>
      <c r="AD826" s="10" t="s">
        <v>7093</v>
      </c>
      <c r="AE826" s="10" t="s">
        <v>7094</v>
      </c>
      <c r="AF826" s="15"/>
      <c r="AG826" s="10"/>
      <c r="AH826" s="10"/>
      <c r="AI826" s="10"/>
      <c r="AJ826" s="10"/>
      <c r="AK826" s="10"/>
      <c r="AL826" s="10" t="s">
        <v>2679</v>
      </c>
      <c r="AM826" s="10"/>
      <c r="AN826" s="10"/>
      <c r="AO826" s="13" t="b">
        <v>0</v>
      </c>
      <c r="AP826" s="10" t="s">
        <v>104</v>
      </c>
      <c r="AQ826" s="10"/>
      <c r="AR826" s="17"/>
      <c r="AS826" s="17"/>
      <c r="AT826" s="17"/>
      <c r="AU826" s="17"/>
      <c r="AV826" s="17"/>
      <c r="AW826" s="10"/>
      <c r="AX826" s="17"/>
      <c r="AY826" s="18" t="s">
        <v>257</v>
      </c>
      <c r="AZ826" s="10"/>
      <c r="BA826" s="20" t="b">
        <v>0</v>
      </c>
      <c r="BB826" s="10"/>
      <c r="BC826" s="17" t="s">
        <v>257</v>
      </c>
      <c r="BD826" s="17" t="s">
        <v>257</v>
      </c>
      <c r="BE826" s="17" t="s">
        <v>257</v>
      </c>
      <c r="BF826" s="17" t="s">
        <v>257</v>
      </c>
      <c r="BG826" s="11">
        <f ca="1">IFERROR(__xludf.DUMMYFUNCTION("""COMPUTED_VALUE"""),46082)</f>
        <v>46082</v>
      </c>
      <c r="BH826" s="17"/>
      <c r="BI826" s="17"/>
      <c r="BJ826" s="15"/>
      <c r="BK826" s="15"/>
      <c r="BL826" s="13" t="b">
        <v>0</v>
      </c>
      <c r="BM826" s="10"/>
      <c r="BN826" s="10" t="s">
        <v>223</v>
      </c>
      <c r="BO826" s="11">
        <v>45866.101898148147</v>
      </c>
      <c r="BP826" s="11">
        <v>45866.101898148147</v>
      </c>
      <c r="BQ826" s="15"/>
      <c r="BR826" s="15"/>
      <c r="BS826" s="10"/>
      <c r="BT826" s="10"/>
      <c r="BU826" s="10"/>
      <c r="BV826" s="10"/>
      <c r="BW826" s="10"/>
      <c r="BX826" s="10"/>
      <c r="BY826" s="23"/>
      <c r="BZ826" s="23"/>
      <c r="CA826" s="23"/>
      <c r="CB826" s="23"/>
      <c r="CC826" s="23"/>
      <c r="CD826" s="23"/>
      <c r="CE826" s="23"/>
      <c r="CF826" s="23"/>
      <c r="CG826" s="23"/>
      <c r="CH826" s="23"/>
      <c r="CI826" s="23"/>
    </row>
    <row r="827" spans="1:87" x14ac:dyDescent="0.3">
      <c r="A827" s="9" t="s">
        <v>7095</v>
      </c>
      <c r="B827" s="10" t="s">
        <v>7096</v>
      </c>
      <c r="C827" s="11">
        <v>46082</v>
      </c>
      <c r="D827" s="12">
        <v>8.3333333333333329E-2</v>
      </c>
      <c r="E827" s="11">
        <v>46082.083333333336</v>
      </c>
      <c r="F827" s="10" t="s">
        <v>5001</v>
      </c>
      <c r="G827" s="13" t="b">
        <v>0</v>
      </c>
      <c r="H827" s="10"/>
      <c r="I827" s="10" t="s">
        <v>89</v>
      </c>
      <c r="J827" s="13" t="b">
        <v>0</v>
      </c>
      <c r="K827" s="13" t="b">
        <v>1</v>
      </c>
      <c r="L827" s="10" t="s">
        <v>124</v>
      </c>
      <c r="M827" s="10" t="s">
        <v>91</v>
      </c>
      <c r="N827" s="10" t="s">
        <v>92</v>
      </c>
      <c r="O827" s="10"/>
      <c r="P827" s="10"/>
      <c r="Q827" s="10"/>
      <c r="R827" s="10"/>
      <c r="S827" s="10"/>
      <c r="T827" s="10"/>
      <c r="U827" s="10" t="s">
        <v>5101</v>
      </c>
      <c r="V827" s="10" t="s">
        <v>5089</v>
      </c>
      <c r="W827" s="10" t="s">
        <v>5007</v>
      </c>
      <c r="X827" s="10" t="s">
        <v>130</v>
      </c>
      <c r="Y827" s="10" t="s">
        <v>130</v>
      </c>
      <c r="Z827" s="10" t="s">
        <v>99</v>
      </c>
      <c r="AA827" s="10" t="s">
        <v>131</v>
      </c>
      <c r="AB827" s="10" t="s">
        <v>5008</v>
      </c>
      <c r="AC827" s="10" t="s">
        <v>5009</v>
      </c>
      <c r="AD827" s="10" t="s">
        <v>7097</v>
      </c>
      <c r="AE827" s="10" t="s">
        <v>7098</v>
      </c>
      <c r="AF827" s="15"/>
      <c r="AG827" s="10"/>
      <c r="AH827" s="10"/>
      <c r="AI827" s="10"/>
      <c r="AJ827" s="10"/>
      <c r="AK827" s="10"/>
      <c r="AL827" s="10" t="s">
        <v>2679</v>
      </c>
      <c r="AM827" s="10"/>
      <c r="AN827" s="10"/>
      <c r="AO827" s="13" t="b">
        <v>0</v>
      </c>
      <c r="AP827" s="10" t="s">
        <v>104</v>
      </c>
      <c r="AQ827" s="10"/>
      <c r="AR827" s="17"/>
      <c r="AS827" s="17"/>
      <c r="AT827" s="17"/>
      <c r="AU827" s="17"/>
      <c r="AV827" s="17"/>
      <c r="AW827" s="10"/>
      <c r="AX827" s="17"/>
      <c r="AY827" s="18" t="s">
        <v>257</v>
      </c>
      <c r="AZ827" s="10"/>
      <c r="BA827" s="20" t="b">
        <v>0</v>
      </c>
      <c r="BB827" s="10"/>
      <c r="BC827" s="17" t="s">
        <v>257</v>
      </c>
      <c r="BD827" s="17" t="s">
        <v>257</v>
      </c>
      <c r="BE827" s="17" t="s">
        <v>257</v>
      </c>
      <c r="BF827" s="17" t="s">
        <v>257</v>
      </c>
      <c r="BG827" s="11">
        <f ca="1">IFERROR(__xludf.DUMMYFUNCTION("""COMPUTED_VALUE"""),46082)</f>
        <v>46082</v>
      </c>
      <c r="BH827" s="17"/>
      <c r="BI827" s="17"/>
      <c r="BJ827" s="15"/>
      <c r="BK827" s="15"/>
      <c r="BL827" s="13" t="b">
        <v>0</v>
      </c>
      <c r="BM827" s="10"/>
      <c r="BN827" s="10" t="s">
        <v>223</v>
      </c>
      <c r="BO827" s="11">
        <v>45866.101898148147</v>
      </c>
      <c r="BP827" s="11">
        <v>45866.101898148147</v>
      </c>
      <c r="BQ827" s="15"/>
      <c r="BR827" s="15"/>
      <c r="BS827" s="10"/>
      <c r="BT827" s="10"/>
      <c r="BU827" s="10"/>
      <c r="BV827" s="10"/>
      <c r="BW827" s="10"/>
      <c r="BX827" s="10"/>
      <c r="BY827" s="23"/>
      <c r="BZ827" s="23"/>
      <c r="CA827" s="23"/>
      <c r="CB827" s="23"/>
      <c r="CC827" s="23"/>
      <c r="CD827" s="23"/>
      <c r="CE827" s="23"/>
      <c r="CF827" s="23"/>
      <c r="CG827" s="23"/>
      <c r="CH827" s="23"/>
      <c r="CI827" s="23"/>
    </row>
    <row r="828" spans="1:87" x14ac:dyDescent="0.3">
      <c r="A828" s="9" t="s">
        <v>7099</v>
      </c>
      <c r="B828" s="10" t="s">
        <v>7100</v>
      </c>
      <c r="C828" s="11">
        <v>46082</v>
      </c>
      <c r="D828" s="12">
        <v>8.3333333333333329E-2</v>
      </c>
      <c r="E828" s="11">
        <v>46082.083333333336</v>
      </c>
      <c r="F828" s="10" t="s">
        <v>5001</v>
      </c>
      <c r="G828" s="13" t="b">
        <v>0</v>
      </c>
      <c r="H828" s="10"/>
      <c r="I828" s="10" t="s">
        <v>89</v>
      </c>
      <c r="J828" s="13" t="b">
        <v>0</v>
      </c>
      <c r="K828" s="13" t="b">
        <v>1</v>
      </c>
      <c r="L828" s="10" t="s">
        <v>124</v>
      </c>
      <c r="M828" s="10" t="s">
        <v>91</v>
      </c>
      <c r="N828" s="10" t="s">
        <v>92</v>
      </c>
      <c r="O828" s="10"/>
      <c r="P828" s="10"/>
      <c r="Q828" s="10"/>
      <c r="R828" s="10"/>
      <c r="S828" s="10"/>
      <c r="T828" s="10"/>
      <c r="U828" s="10" t="s">
        <v>5005</v>
      </c>
      <c r="V828" s="10" t="s">
        <v>5066</v>
      </c>
      <c r="W828" s="10" t="s">
        <v>5007</v>
      </c>
      <c r="X828" s="10" t="s">
        <v>130</v>
      </c>
      <c r="Y828" s="10" t="s">
        <v>130</v>
      </c>
      <c r="Z828" s="10" t="s">
        <v>99</v>
      </c>
      <c r="AA828" s="10" t="s">
        <v>131</v>
      </c>
      <c r="AB828" s="10" t="s">
        <v>5008</v>
      </c>
      <c r="AC828" s="10" t="s">
        <v>5009</v>
      </c>
      <c r="AD828" s="10" t="s">
        <v>7101</v>
      </c>
      <c r="AE828" s="10" t="s">
        <v>7102</v>
      </c>
      <c r="AF828" s="15"/>
      <c r="AG828" s="10"/>
      <c r="AH828" s="10"/>
      <c r="AI828" s="10"/>
      <c r="AJ828" s="10"/>
      <c r="AK828" s="10"/>
      <c r="AL828" s="10" t="s">
        <v>2679</v>
      </c>
      <c r="AM828" s="10"/>
      <c r="AN828" s="10"/>
      <c r="AO828" s="13" t="b">
        <v>0</v>
      </c>
      <c r="AP828" s="10" t="s">
        <v>104</v>
      </c>
      <c r="AQ828" s="10"/>
      <c r="AR828" s="17"/>
      <c r="AS828" s="17"/>
      <c r="AT828" s="17"/>
      <c r="AU828" s="17"/>
      <c r="AV828" s="17"/>
      <c r="AW828" s="10"/>
      <c r="AX828" s="17"/>
      <c r="AY828" s="18" t="s">
        <v>257</v>
      </c>
      <c r="AZ828" s="10"/>
      <c r="BA828" s="20" t="b">
        <v>0</v>
      </c>
      <c r="BB828" s="10"/>
      <c r="BC828" s="17" t="s">
        <v>257</v>
      </c>
      <c r="BD828" s="17" t="s">
        <v>257</v>
      </c>
      <c r="BE828" s="17" t="s">
        <v>257</v>
      </c>
      <c r="BF828" s="17" t="s">
        <v>257</v>
      </c>
      <c r="BG828" s="11">
        <f ca="1">IFERROR(__xludf.DUMMYFUNCTION("""COMPUTED_VALUE"""),46082)</f>
        <v>46082</v>
      </c>
      <c r="BH828" s="17"/>
      <c r="BI828" s="17"/>
      <c r="BJ828" s="15"/>
      <c r="BK828" s="15"/>
      <c r="BL828" s="13" t="b">
        <v>0</v>
      </c>
      <c r="BM828" s="10"/>
      <c r="BN828" s="10" t="s">
        <v>223</v>
      </c>
      <c r="BO828" s="11">
        <v>45866.101898148147</v>
      </c>
      <c r="BP828" s="11">
        <v>45866.101898148147</v>
      </c>
      <c r="BQ828" s="15"/>
      <c r="BR828" s="15"/>
      <c r="BS828" s="10"/>
      <c r="BT828" s="10"/>
      <c r="BU828" s="10"/>
      <c r="BV828" s="10"/>
      <c r="BW828" s="10"/>
      <c r="BX828" s="10"/>
      <c r="BY828" s="23"/>
      <c r="BZ828" s="23"/>
      <c r="CA828" s="23"/>
      <c r="CB828" s="23"/>
      <c r="CC828" s="23"/>
      <c r="CD828" s="23"/>
      <c r="CE828" s="23"/>
      <c r="CF828" s="23"/>
      <c r="CG828" s="23"/>
      <c r="CH828" s="23"/>
      <c r="CI828" s="23"/>
    </row>
    <row r="829" spans="1:87" x14ac:dyDescent="0.3">
      <c r="A829" s="9" t="s">
        <v>7103</v>
      </c>
      <c r="B829" s="10" t="s">
        <v>7104</v>
      </c>
      <c r="C829" s="11">
        <v>46082</v>
      </c>
      <c r="D829" s="12">
        <v>8.3333333333333329E-2</v>
      </c>
      <c r="E829" s="11">
        <v>46082.083333333336</v>
      </c>
      <c r="F829" s="10" t="s">
        <v>5001</v>
      </c>
      <c r="G829" s="13" t="b">
        <v>0</v>
      </c>
      <c r="H829" s="10"/>
      <c r="I829" s="10" t="s">
        <v>89</v>
      </c>
      <c r="J829" s="13" t="b">
        <v>0</v>
      </c>
      <c r="K829" s="13" t="b">
        <v>1</v>
      </c>
      <c r="L829" s="10" t="s">
        <v>124</v>
      </c>
      <c r="M829" s="10" t="s">
        <v>91</v>
      </c>
      <c r="N829" s="10" t="s">
        <v>92</v>
      </c>
      <c r="O829" s="10"/>
      <c r="P829" s="10"/>
      <c r="Q829" s="10"/>
      <c r="R829" s="10"/>
      <c r="S829" s="10"/>
      <c r="T829" s="10"/>
      <c r="U829" s="10" t="s">
        <v>5113</v>
      </c>
      <c r="V829" s="10" t="s">
        <v>5067</v>
      </c>
      <c r="W829" s="10" t="s">
        <v>5007</v>
      </c>
      <c r="X829" s="10" t="s">
        <v>130</v>
      </c>
      <c r="Y829" s="10" t="s">
        <v>130</v>
      </c>
      <c r="Z829" s="10" t="s">
        <v>99</v>
      </c>
      <c r="AA829" s="10" t="s">
        <v>131</v>
      </c>
      <c r="AB829" s="10" t="s">
        <v>5008</v>
      </c>
      <c r="AC829" s="10" t="s">
        <v>5009</v>
      </c>
      <c r="AD829" s="10" t="s">
        <v>7105</v>
      </c>
      <c r="AE829" s="10" t="s">
        <v>7106</v>
      </c>
      <c r="AF829" s="15"/>
      <c r="AG829" s="10"/>
      <c r="AH829" s="10"/>
      <c r="AI829" s="10"/>
      <c r="AJ829" s="10"/>
      <c r="AK829" s="10"/>
      <c r="AL829" s="10" t="s">
        <v>2679</v>
      </c>
      <c r="AM829" s="10"/>
      <c r="AN829" s="10"/>
      <c r="AO829" s="13" t="b">
        <v>1</v>
      </c>
      <c r="AP829" s="10" t="s">
        <v>104</v>
      </c>
      <c r="AQ829" s="10"/>
      <c r="AR829" s="17"/>
      <c r="AS829" s="17"/>
      <c r="AT829" s="17"/>
      <c r="AU829" s="17"/>
      <c r="AV829" s="17"/>
      <c r="AW829" s="10"/>
      <c r="AX829" s="17"/>
      <c r="AY829" s="18" t="s">
        <v>257</v>
      </c>
      <c r="AZ829" s="10"/>
      <c r="BA829" s="20" t="b">
        <v>0</v>
      </c>
      <c r="BB829" s="10"/>
      <c r="BC829" s="17" t="s">
        <v>257</v>
      </c>
      <c r="BD829" s="17" t="s">
        <v>257</v>
      </c>
      <c r="BE829" s="17" t="s">
        <v>257</v>
      </c>
      <c r="BF829" s="17" t="s">
        <v>257</v>
      </c>
      <c r="BG829" s="11">
        <f ca="1">IFERROR(__xludf.DUMMYFUNCTION("""COMPUTED_VALUE"""),46082)</f>
        <v>46082</v>
      </c>
      <c r="BH829" s="17"/>
      <c r="BI829" s="17"/>
      <c r="BJ829" s="15"/>
      <c r="BK829" s="15"/>
      <c r="BL829" s="13" t="b">
        <v>0</v>
      </c>
      <c r="BM829" s="10"/>
      <c r="BN829" s="10" t="s">
        <v>223</v>
      </c>
      <c r="BO829" s="11">
        <v>45866.101898148147</v>
      </c>
      <c r="BP829" s="11">
        <v>45866.101898148147</v>
      </c>
      <c r="BQ829" s="15"/>
      <c r="BR829" s="15"/>
      <c r="BS829" s="10"/>
      <c r="BT829" s="10"/>
      <c r="BU829" s="10"/>
      <c r="BV829" s="10"/>
      <c r="BW829" s="10"/>
      <c r="BX829" s="10"/>
      <c r="BY829" s="23"/>
      <c r="BZ829" s="23"/>
      <c r="CA829" s="23"/>
      <c r="CB829" s="23"/>
      <c r="CC829" s="23"/>
      <c r="CD829" s="23"/>
      <c r="CE829" s="23"/>
      <c r="CF829" s="23"/>
      <c r="CG829" s="23"/>
      <c r="CH829" s="23"/>
      <c r="CI829" s="23"/>
    </row>
    <row r="830" spans="1:87" x14ac:dyDescent="0.3">
      <c r="A830" s="9" t="s">
        <v>7107</v>
      </c>
      <c r="B830" s="10" t="s">
        <v>7108</v>
      </c>
      <c r="C830" s="11">
        <v>46082</v>
      </c>
      <c r="D830" s="12">
        <v>8.3333333333333329E-2</v>
      </c>
      <c r="E830" s="11">
        <v>46082.083333333336</v>
      </c>
      <c r="F830" s="10" t="s">
        <v>5001</v>
      </c>
      <c r="G830" s="13" t="b">
        <v>0</v>
      </c>
      <c r="H830" s="10"/>
      <c r="I830" s="10" t="s">
        <v>89</v>
      </c>
      <c r="J830" s="13" t="b">
        <v>0</v>
      </c>
      <c r="K830" s="13" t="b">
        <v>1</v>
      </c>
      <c r="L830" s="10" t="s">
        <v>124</v>
      </c>
      <c r="M830" s="10" t="s">
        <v>91</v>
      </c>
      <c r="N830" s="10" t="s">
        <v>92</v>
      </c>
      <c r="O830" s="10"/>
      <c r="P830" s="10"/>
      <c r="Q830" s="10"/>
      <c r="R830" s="10"/>
      <c r="S830" s="10"/>
      <c r="T830" s="10"/>
      <c r="U830" s="10" t="s">
        <v>5041</v>
      </c>
      <c r="V830" s="10" t="s">
        <v>5055</v>
      </c>
      <c r="W830" s="10" t="s">
        <v>5007</v>
      </c>
      <c r="X830" s="10" t="s">
        <v>130</v>
      </c>
      <c r="Y830" s="10" t="s">
        <v>130</v>
      </c>
      <c r="Z830" s="10" t="s">
        <v>99</v>
      </c>
      <c r="AA830" s="10" t="s">
        <v>131</v>
      </c>
      <c r="AB830" s="10" t="s">
        <v>5008</v>
      </c>
      <c r="AC830" s="10" t="s">
        <v>5009</v>
      </c>
      <c r="AD830" s="10" t="s">
        <v>7109</v>
      </c>
      <c r="AE830" s="10" t="s">
        <v>7110</v>
      </c>
      <c r="AF830" s="15"/>
      <c r="AG830" s="10"/>
      <c r="AH830" s="10"/>
      <c r="AI830" s="10"/>
      <c r="AJ830" s="10"/>
      <c r="AK830" s="10"/>
      <c r="AL830" s="10" t="s">
        <v>2679</v>
      </c>
      <c r="AM830" s="10"/>
      <c r="AN830" s="10"/>
      <c r="AO830" s="13" t="b">
        <v>0</v>
      </c>
      <c r="AP830" s="10" t="s">
        <v>104</v>
      </c>
      <c r="AQ830" s="10"/>
      <c r="AR830" s="17"/>
      <c r="AS830" s="17"/>
      <c r="AT830" s="17"/>
      <c r="AU830" s="17"/>
      <c r="AV830" s="17"/>
      <c r="AW830" s="10"/>
      <c r="AX830" s="17"/>
      <c r="AY830" s="18" t="s">
        <v>257</v>
      </c>
      <c r="AZ830" s="10"/>
      <c r="BA830" s="20" t="b">
        <v>0</v>
      </c>
      <c r="BB830" s="10"/>
      <c r="BC830" s="17" t="s">
        <v>257</v>
      </c>
      <c r="BD830" s="17" t="s">
        <v>257</v>
      </c>
      <c r="BE830" s="17" t="s">
        <v>257</v>
      </c>
      <c r="BF830" s="17" t="s">
        <v>257</v>
      </c>
      <c r="BG830" s="11">
        <f ca="1">IFERROR(__xludf.DUMMYFUNCTION("""COMPUTED_VALUE"""),46082)</f>
        <v>46082</v>
      </c>
      <c r="BH830" s="17"/>
      <c r="BI830" s="17"/>
      <c r="BJ830" s="15"/>
      <c r="BK830" s="15"/>
      <c r="BL830" s="13" t="b">
        <v>0</v>
      </c>
      <c r="BM830" s="10"/>
      <c r="BN830" s="10" t="s">
        <v>223</v>
      </c>
      <c r="BO830" s="11">
        <v>45866.101898148147</v>
      </c>
      <c r="BP830" s="11">
        <v>45866.101898148147</v>
      </c>
      <c r="BQ830" s="15"/>
      <c r="BR830" s="15"/>
      <c r="BS830" s="10"/>
      <c r="BT830" s="10"/>
      <c r="BU830" s="10"/>
      <c r="BV830" s="10"/>
      <c r="BW830" s="10"/>
      <c r="BX830" s="10"/>
      <c r="BY830" s="23"/>
      <c r="BZ830" s="23"/>
      <c r="CA830" s="23"/>
      <c r="CB830" s="23"/>
      <c r="CC830" s="23"/>
      <c r="CD830" s="23"/>
      <c r="CE830" s="23"/>
      <c r="CF830" s="23"/>
      <c r="CG830" s="23"/>
      <c r="CH830" s="23"/>
      <c r="CI830" s="23"/>
    </row>
    <row r="831" spans="1:87" x14ac:dyDescent="0.3">
      <c r="A831" s="9" t="s">
        <v>7111</v>
      </c>
      <c r="B831" s="10" t="s">
        <v>7112</v>
      </c>
      <c r="C831" s="11">
        <v>46082</v>
      </c>
      <c r="D831" s="12">
        <v>8.3333333333333329E-2</v>
      </c>
      <c r="E831" s="11">
        <v>46082.083333333336</v>
      </c>
      <c r="F831" s="10" t="s">
        <v>5001</v>
      </c>
      <c r="G831" s="13" t="b">
        <v>0</v>
      </c>
      <c r="H831" s="10"/>
      <c r="I831" s="10" t="s">
        <v>89</v>
      </c>
      <c r="J831" s="13" t="b">
        <v>0</v>
      </c>
      <c r="K831" s="13" t="b">
        <v>1</v>
      </c>
      <c r="L831" s="10" t="s">
        <v>124</v>
      </c>
      <c r="M831" s="10" t="s">
        <v>91</v>
      </c>
      <c r="N831" s="10" t="s">
        <v>92</v>
      </c>
      <c r="O831" s="10"/>
      <c r="P831" s="10"/>
      <c r="Q831" s="10"/>
      <c r="R831" s="10"/>
      <c r="S831" s="10"/>
      <c r="T831" s="10"/>
      <c r="U831" s="10" t="s">
        <v>5006</v>
      </c>
      <c r="V831" s="10" t="s">
        <v>5076</v>
      </c>
      <c r="W831" s="10" t="s">
        <v>5007</v>
      </c>
      <c r="X831" s="10" t="s">
        <v>130</v>
      </c>
      <c r="Y831" s="10" t="s">
        <v>130</v>
      </c>
      <c r="Z831" s="10" t="s">
        <v>99</v>
      </c>
      <c r="AA831" s="10" t="s">
        <v>131</v>
      </c>
      <c r="AB831" s="10" t="s">
        <v>5008</v>
      </c>
      <c r="AC831" s="10" t="s">
        <v>5009</v>
      </c>
      <c r="AD831" s="10" t="s">
        <v>7113</v>
      </c>
      <c r="AE831" s="10" t="s">
        <v>7114</v>
      </c>
      <c r="AF831" s="15"/>
      <c r="AG831" s="10"/>
      <c r="AH831" s="10"/>
      <c r="AI831" s="10"/>
      <c r="AJ831" s="10"/>
      <c r="AK831" s="10"/>
      <c r="AL831" s="10" t="s">
        <v>2679</v>
      </c>
      <c r="AM831" s="10"/>
      <c r="AN831" s="10"/>
      <c r="AO831" s="13" t="b">
        <v>0</v>
      </c>
      <c r="AP831" s="10" t="s">
        <v>104</v>
      </c>
      <c r="AQ831" s="10"/>
      <c r="AR831" s="17"/>
      <c r="AS831" s="17"/>
      <c r="AT831" s="17"/>
      <c r="AU831" s="17"/>
      <c r="AV831" s="17"/>
      <c r="AW831" s="10"/>
      <c r="AX831" s="17"/>
      <c r="AY831" s="18" t="s">
        <v>257</v>
      </c>
      <c r="AZ831" s="10"/>
      <c r="BA831" s="20" t="b">
        <v>0</v>
      </c>
      <c r="BB831" s="10"/>
      <c r="BC831" s="17" t="s">
        <v>257</v>
      </c>
      <c r="BD831" s="17" t="s">
        <v>257</v>
      </c>
      <c r="BE831" s="17" t="s">
        <v>257</v>
      </c>
      <c r="BF831" s="17" t="s">
        <v>257</v>
      </c>
      <c r="BG831" s="11">
        <f ca="1">IFERROR(__xludf.DUMMYFUNCTION("""COMPUTED_VALUE"""),46082)</f>
        <v>46082</v>
      </c>
      <c r="BH831" s="17"/>
      <c r="BI831" s="17"/>
      <c r="BJ831" s="15"/>
      <c r="BK831" s="15"/>
      <c r="BL831" s="13" t="b">
        <v>0</v>
      </c>
      <c r="BM831" s="10"/>
      <c r="BN831" s="10" t="s">
        <v>223</v>
      </c>
      <c r="BO831" s="11">
        <v>45866.101898148147</v>
      </c>
      <c r="BP831" s="11">
        <v>45866.101898148147</v>
      </c>
      <c r="BQ831" s="15"/>
      <c r="BR831" s="15"/>
      <c r="BS831" s="10"/>
      <c r="BT831" s="10"/>
      <c r="BU831" s="10"/>
      <c r="BV831" s="10"/>
      <c r="BW831" s="10"/>
      <c r="BX831" s="10"/>
      <c r="BY831" s="23"/>
      <c r="BZ831" s="23"/>
      <c r="CA831" s="23"/>
      <c r="CB831" s="23"/>
      <c r="CC831" s="23"/>
      <c r="CD831" s="23"/>
      <c r="CE831" s="23"/>
      <c r="CF831" s="23"/>
      <c r="CG831" s="23"/>
      <c r="CH831" s="23"/>
      <c r="CI831" s="23"/>
    </row>
    <row r="832" spans="1:87" x14ac:dyDescent="0.3">
      <c r="A832" s="9" t="s">
        <v>7115</v>
      </c>
      <c r="B832" s="10" t="s">
        <v>7116</v>
      </c>
      <c r="C832" s="11">
        <v>46082</v>
      </c>
      <c r="D832" s="12">
        <v>8.3333333333333329E-2</v>
      </c>
      <c r="E832" s="11">
        <v>46082.083333333336</v>
      </c>
      <c r="F832" s="10" t="s">
        <v>5001</v>
      </c>
      <c r="G832" s="13" t="b">
        <v>0</v>
      </c>
      <c r="H832" s="10"/>
      <c r="I832" s="10" t="s">
        <v>89</v>
      </c>
      <c r="J832" s="13" t="b">
        <v>0</v>
      </c>
      <c r="K832" s="13" t="b">
        <v>1</v>
      </c>
      <c r="L832" s="10" t="s">
        <v>124</v>
      </c>
      <c r="M832" s="10" t="s">
        <v>91</v>
      </c>
      <c r="N832" s="10" t="s">
        <v>92</v>
      </c>
      <c r="O832" s="10"/>
      <c r="P832" s="10"/>
      <c r="Q832" s="10"/>
      <c r="R832" s="10"/>
      <c r="S832" s="10"/>
      <c r="T832" s="10"/>
      <c r="U832" s="10" t="s">
        <v>5032</v>
      </c>
      <c r="V832" s="10" t="s">
        <v>5031</v>
      </c>
      <c r="W832" s="10" t="s">
        <v>5007</v>
      </c>
      <c r="X832" s="10" t="s">
        <v>130</v>
      </c>
      <c r="Y832" s="10" t="s">
        <v>130</v>
      </c>
      <c r="Z832" s="10" t="s">
        <v>99</v>
      </c>
      <c r="AA832" s="10" t="s">
        <v>131</v>
      </c>
      <c r="AB832" s="10" t="s">
        <v>5008</v>
      </c>
      <c r="AC832" s="10" t="s">
        <v>5009</v>
      </c>
      <c r="AD832" s="10" t="s">
        <v>7117</v>
      </c>
      <c r="AE832" s="10" t="s">
        <v>7118</v>
      </c>
      <c r="AF832" s="15"/>
      <c r="AG832" s="10"/>
      <c r="AH832" s="10"/>
      <c r="AI832" s="10"/>
      <c r="AJ832" s="10"/>
      <c r="AK832" s="10"/>
      <c r="AL832" s="10" t="s">
        <v>2679</v>
      </c>
      <c r="AM832" s="10"/>
      <c r="AN832" s="10"/>
      <c r="AO832" s="13" t="b">
        <v>0</v>
      </c>
      <c r="AP832" s="10" t="s">
        <v>104</v>
      </c>
      <c r="AQ832" s="10"/>
      <c r="AR832" s="17"/>
      <c r="AS832" s="17"/>
      <c r="AT832" s="17"/>
      <c r="AU832" s="17"/>
      <c r="AV832" s="17"/>
      <c r="AW832" s="10"/>
      <c r="AX832" s="17"/>
      <c r="AY832" s="18" t="s">
        <v>257</v>
      </c>
      <c r="AZ832" s="10"/>
      <c r="BA832" s="20" t="b">
        <v>0</v>
      </c>
      <c r="BB832" s="10"/>
      <c r="BC832" s="17" t="s">
        <v>257</v>
      </c>
      <c r="BD832" s="17" t="s">
        <v>257</v>
      </c>
      <c r="BE832" s="17" t="s">
        <v>257</v>
      </c>
      <c r="BF832" s="17" t="s">
        <v>257</v>
      </c>
      <c r="BG832" s="11">
        <f ca="1">IFERROR(__xludf.DUMMYFUNCTION("""COMPUTED_VALUE"""),46082)</f>
        <v>46082</v>
      </c>
      <c r="BH832" s="17"/>
      <c r="BI832" s="17"/>
      <c r="BJ832" s="15"/>
      <c r="BK832" s="15"/>
      <c r="BL832" s="13" t="b">
        <v>0</v>
      </c>
      <c r="BM832" s="10"/>
      <c r="BN832" s="10" t="s">
        <v>223</v>
      </c>
      <c r="BO832" s="11">
        <v>45866.101898148147</v>
      </c>
      <c r="BP832" s="11">
        <v>45866.101898148147</v>
      </c>
      <c r="BQ832" s="15"/>
      <c r="BR832" s="15"/>
      <c r="BS832" s="10"/>
      <c r="BT832" s="10"/>
      <c r="BU832" s="10"/>
      <c r="BV832" s="10"/>
      <c r="BW832" s="10"/>
      <c r="BX832" s="10"/>
      <c r="BY832" s="23"/>
      <c r="BZ832" s="23"/>
      <c r="CA832" s="23"/>
      <c r="CB832" s="23"/>
      <c r="CC832" s="23"/>
      <c r="CD832" s="23"/>
      <c r="CE832" s="23"/>
      <c r="CF832" s="23"/>
      <c r="CG832" s="23"/>
      <c r="CH832" s="23"/>
      <c r="CI832" s="23"/>
    </row>
    <row r="833" spans="1:87" x14ac:dyDescent="0.3">
      <c r="A833" s="9" t="s">
        <v>7119</v>
      </c>
      <c r="B833" s="10" t="s">
        <v>7120</v>
      </c>
      <c r="C833" s="11">
        <v>46082</v>
      </c>
      <c r="D833" s="12">
        <v>8.3333333333333329E-2</v>
      </c>
      <c r="E833" s="11">
        <v>46082.083333333336</v>
      </c>
      <c r="F833" s="10" t="s">
        <v>5001</v>
      </c>
      <c r="G833" s="13" t="b">
        <v>0</v>
      </c>
      <c r="H833" s="10"/>
      <c r="I833" s="10" t="s">
        <v>89</v>
      </c>
      <c r="J833" s="13" t="b">
        <v>0</v>
      </c>
      <c r="K833" s="13" t="b">
        <v>1</v>
      </c>
      <c r="L833" s="10" t="s">
        <v>124</v>
      </c>
      <c r="M833" s="10" t="s">
        <v>91</v>
      </c>
      <c r="N833" s="10" t="s">
        <v>92</v>
      </c>
      <c r="O833" s="10"/>
      <c r="P833" s="10"/>
      <c r="Q833" s="10"/>
      <c r="R833" s="10"/>
      <c r="S833" s="10"/>
      <c r="T833" s="10"/>
      <c r="U833" s="10" t="s">
        <v>5102</v>
      </c>
      <c r="V833" s="10" t="s">
        <v>5077</v>
      </c>
      <c r="W833" s="10" t="s">
        <v>5007</v>
      </c>
      <c r="X833" s="10" t="s">
        <v>130</v>
      </c>
      <c r="Y833" s="10" t="s">
        <v>130</v>
      </c>
      <c r="Z833" s="10" t="s">
        <v>99</v>
      </c>
      <c r="AA833" s="10" t="s">
        <v>131</v>
      </c>
      <c r="AB833" s="10" t="s">
        <v>5008</v>
      </c>
      <c r="AC833" s="10" t="s">
        <v>5009</v>
      </c>
      <c r="AD833" s="10" t="s">
        <v>7121</v>
      </c>
      <c r="AE833" s="10" t="s">
        <v>7122</v>
      </c>
      <c r="AF833" s="15"/>
      <c r="AG833" s="10"/>
      <c r="AH833" s="10"/>
      <c r="AI833" s="10"/>
      <c r="AJ833" s="10"/>
      <c r="AK833" s="10"/>
      <c r="AL833" s="10" t="s">
        <v>2679</v>
      </c>
      <c r="AM833" s="10"/>
      <c r="AN833" s="10"/>
      <c r="AO833" s="13" t="b">
        <v>0</v>
      </c>
      <c r="AP833" s="10" t="s">
        <v>104</v>
      </c>
      <c r="AQ833" s="10"/>
      <c r="AR833" s="17"/>
      <c r="AS833" s="17"/>
      <c r="AT833" s="17"/>
      <c r="AU833" s="17"/>
      <c r="AV833" s="17"/>
      <c r="AW833" s="10"/>
      <c r="AX833" s="17"/>
      <c r="AY833" s="18" t="s">
        <v>257</v>
      </c>
      <c r="AZ833" s="10"/>
      <c r="BA833" s="20" t="b">
        <v>0</v>
      </c>
      <c r="BB833" s="10"/>
      <c r="BC833" s="17" t="s">
        <v>257</v>
      </c>
      <c r="BD833" s="17" t="s">
        <v>257</v>
      </c>
      <c r="BE833" s="17" t="s">
        <v>257</v>
      </c>
      <c r="BF833" s="17" t="s">
        <v>257</v>
      </c>
      <c r="BG833" s="11">
        <f ca="1">IFERROR(__xludf.DUMMYFUNCTION("""COMPUTED_VALUE"""),46082)</f>
        <v>46082</v>
      </c>
      <c r="BH833" s="17"/>
      <c r="BI833" s="17"/>
      <c r="BJ833" s="15"/>
      <c r="BK833" s="15"/>
      <c r="BL833" s="13" t="b">
        <v>0</v>
      </c>
      <c r="BM833" s="10"/>
      <c r="BN833" s="10" t="s">
        <v>223</v>
      </c>
      <c r="BO833" s="11">
        <v>45866.101898148147</v>
      </c>
      <c r="BP833" s="11">
        <v>45866.101898148147</v>
      </c>
      <c r="BQ833" s="15"/>
      <c r="BR833" s="15"/>
      <c r="BS833" s="10"/>
      <c r="BT833" s="10"/>
      <c r="BU833" s="10"/>
      <c r="BV833" s="10"/>
      <c r="BW833" s="10"/>
      <c r="BX833" s="10"/>
      <c r="BY833" s="23"/>
      <c r="BZ833" s="23"/>
      <c r="CA833" s="23"/>
      <c r="CB833" s="23"/>
      <c r="CC833" s="23"/>
      <c r="CD833" s="23"/>
      <c r="CE833" s="23"/>
      <c r="CF833" s="23"/>
      <c r="CG833" s="23"/>
      <c r="CH833" s="23"/>
      <c r="CI833" s="23"/>
    </row>
    <row r="834" spans="1:87" x14ac:dyDescent="0.3">
      <c r="A834" s="25" t="s">
        <v>7123</v>
      </c>
      <c r="B834" s="10" t="s">
        <v>7124</v>
      </c>
      <c r="C834" s="11">
        <v>46082</v>
      </c>
      <c r="D834" s="12">
        <v>8.3333333333333329E-2</v>
      </c>
      <c r="E834" s="11">
        <v>46082.083333333336</v>
      </c>
      <c r="F834" s="10" t="s">
        <v>5001</v>
      </c>
      <c r="G834" s="13" t="b">
        <v>0</v>
      </c>
      <c r="H834" s="10"/>
      <c r="I834" s="10" t="s">
        <v>89</v>
      </c>
      <c r="J834" s="13" t="b">
        <v>0</v>
      </c>
      <c r="K834" s="13" t="b">
        <v>1</v>
      </c>
      <c r="L834" s="10" t="s">
        <v>124</v>
      </c>
      <c r="M834" s="10" t="s">
        <v>91</v>
      </c>
      <c r="N834" s="10" t="s">
        <v>92</v>
      </c>
      <c r="O834" s="10"/>
      <c r="P834" s="10"/>
      <c r="Q834" s="10"/>
      <c r="R834" s="10"/>
      <c r="S834" s="10"/>
      <c r="T834" s="10"/>
      <c r="U834" s="10" t="s">
        <v>5042</v>
      </c>
      <c r="V834" s="10" t="s">
        <v>5018</v>
      </c>
      <c r="W834" s="10" t="s">
        <v>5007</v>
      </c>
      <c r="X834" s="10" t="s">
        <v>130</v>
      </c>
      <c r="Y834" s="10" t="s">
        <v>130</v>
      </c>
      <c r="Z834" s="10" t="s">
        <v>99</v>
      </c>
      <c r="AA834" s="10" t="s">
        <v>131</v>
      </c>
      <c r="AB834" s="10" t="s">
        <v>5008</v>
      </c>
      <c r="AC834" s="10" t="s">
        <v>5009</v>
      </c>
      <c r="AD834" s="10" t="s">
        <v>7125</v>
      </c>
      <c r="AE834" s="10" t="s">
        <v>7126</v>
      </c>
      <c r="AF834" s="15"/>
      <c r="AG834" s="10"/>
      <c r="AH834" s="10"/>
      <c r="AI834" s="10"/>
      <c r="AJ834" s="10"/>
      <c r="AK834" s="10"/>
      <c r="AL834" s="10" t="s">
        <v>2679</v>
      </c>
      <c r="AM834" s="10"/>
      <c r="AN834" s="10"/>
      <c r="AO834" s="13" t="b">
        <v>1</v>
      </c>
      <c r="AP834" s="10" t="s">
        <v>104</v>
      </c>
      <c r="AQ834" s="10"/>
      <c r="AR834" s="17"/>
      <c r="AS834" s="17"/>
      <c r="AT834" s="17"/>
      <c r="AU834" s="17"/>
      <c r="AV834" s="17"/>
      <c r="AW834" s="10"/>
      <c r="AX834" s="17"/>
      <c r="AY834" s="18" t="s">
        <v>257</v>
      </c>
      <c r="AZ834" s="10"/>
      <c r="BA834" s="20" t="b">
        <v>0</v>
      </c>
      <c r="BB834" s="10"/>
      <c r="BC834" s="17" t="s">
        <v>257</v>
      </c>
      <c r="BD834" s="17" t="s">
        <v>257</v>
      </c>
      <c r="BE834" s="17" t="s">
        <v>257</v>
      </c>
      <c r="BF834" s="17" t="s">
        <v>257</v>
      </c>
      <c r="BG834" s="11">
        <f ca="1">IFERROR(__xludf.DUMMYFUNCTION("""COMPUTED_VALUE"""),46082)</f>
        <v>46082</v>
      </c>
      <c r="BH834" s="17"/>
      <c r="BI834" s="17"/>
      <c r="BJ834" s="15"/>
      <c r="BK834" s="15"/>
      <c r="BL834" s="13" t="b">
        <v>0</v>
      </c>
      <c r="BM834" s="10"/>
      <c r="BN834" s="10" t="s">
        <v>223</v>
      </c>
      <c r="BO834" s="11">
        <v>45866.101898148147</v>
      </c>
      <c r="BP834" s="11">
        <v>45866.101898148147</v>
      </c>
      <c r="BQ834" s="15"/>
      <c r="BR834" s="15"/>
      <c r="BS834" s="10"/>
      <c r="BT834" s="10"/>
      <c r="BU834" s="10"/>
      <c r="BV834" s="10"/>
      <c r="BW834" s="10"/>
      <c r="BX834" s="10"/>
      <c r="BY834" s="23"/>
      <c r="BZ834" s="23"/>
      <c r="CA834" s="23"/>
      <c r="CB834" s="23"/>
      <c r="CC834" s="23"/>
      <c r="CD834" s="23"/>
      <c r="CE834" s="23"/>
      <c r="CF834" s="23"/>
      <c r="CG834" s="23"/>
      <c r="CH834" s="23"/>
      <c r="CI834" s="23"/>
    </row>
    <row r="835" spans="1:87" x14ac:dyDescent="0.3">
      <c r="A835" s="9" t="s">
        <v>7127</v>
      </c>
      <c r="B835" s="10" t="s">
        <v>7128</v>
      </c>
      <c r="C835" s="11">
        <v>46082</v>
      </c>
      <c r="D835" s="12">
        <v>8.3333333333333329E-2</v>
      </c>
      <c r="E835" s="11">
        <v>46082.083333333336</v>
      </c>
      <c r="F835" s="10" t="s">
        <v>5001</v>
      </c>
      <c r="G835" s="13" t="b">
        <v>0</v>
      </c>
      <c r="H835" s="10"/>
      <c r="I835" s="10" t="s">
        <v>89</v>
      </c>
      <c r="J835" s="13" t="b">
        <v>0</v>
      </c>
      <c r="K835" s="13" t="b">
        <v>1</v>
      </c>
      <c r="L835" s="10" t="s">
        <v>124</v>
      </c>
      <c r="M835" s="10" t="s">
        <v>91</v>
      </c>
      <c r="N835" s="10" t="s">
        <v>92</v>
      </c>
      <c r="O835" s="10"/>
      <c r="P835" s="10"/>
      <c r="Q835" s="10"/>
      <c r="R835" s="10"/>
      <c r="S835" s="10"/>
      <c r="T835" s="10"/>
      <c r="U835" s="10" t="s">
        <v>5054</v>
      </c>
      <c r="V835" s="10" t="s">
        <v>5114</v>
      </c>
      <c r="W835" s="10" t="s">
        <v>5007</v>
      </c>
      <c r="X835" s="10" t="s">
        <v>130</v>
      </c>
      <c r="Y835" s="10" t="s">
        <v>130</v>
      </c>
      <c r="Z835" s="10" t="s">
        <v>99</v>
      </c>
      <c r="AA835" s="10" t="s">
        <v>131</v>
      </c>
      <c r="AB835" s="10" t="s">
        <v>5008</v>
      </c>
      <c r="AC835" s="10" t="s">
        <v>5009</v>
      </c>
      <c r="AD835" s="10" t="s">
        <v>7129</v>
      </c>
      <c r="AE835" s="10" t="s">
        <v>7130</v>
      </c>
      <c r="AF835" s="15"/>
      <c r="AG835" s="10"/>
      <c r="AH835" s="10"/>
      <c r="AI835" s="10"/>
      <c r="AJ835" s="10"/>
      <c r="AK835" s="10"/>
      <c r="AL835" s="10" t="s">
        <v>2679</v>
      </c>
      <c r="AM835" s="10"/>
      <c r="AN835" s="10"/>
      <c r="AO835" s="13" t="b">
        <v>0</v>
      </c>
      <c r="AP835" s="10" t="s">
        <v>104</v>
      </c>
      <c r="AQ835" s="10"/>
      <c r="AR835" s="17"/>
      <c r="AS835" s="17"/>
      <c r="AT835" s="17"/>
      <c r="AU835" s="17"/>
      <c r="AV835" s="17"/>
      <c r="AW835" s="10"/>
      <c r="AX835" s="17"/>
      <c r="AY835" s="18" t="s">
        <v>257</v>
      </c>
      <c r="AZ835" s="10"/>
      <c r="BA835" s="20" t="b">
        <v>0</v>
      </c>
      <c r="BB835" s="10"/>
      <c r="BC835" s="17" t="s">
        <v>257</v>
      </c>
      <c r="BD835" s="17" t="s">
        <v>257</v>
      </c>
      <c r="BE835" s="17" t="s">
        <v>257</v>
      </c>
      <c r="BF835" s="17" t="s">
        <v>257</v>
      </c>
      <c r="BG835" s="11">
        <f ca="1">IFERROR(__xludf.DUMMYFUNCTION("""COMPUTED_VALUE"""),46082)</f>
        <v>46082</v>
      </c>
      <c r="BH835" s="17"/>
      <c r="BI835" s="17"/>
      <c r="BJ835" s="15"/>
      <c r="BK835" s="15"/>
      <c r="BL835" s="13" t="b">
        <v>0</v>
      </c>
      <c r="BM835" s="10"/>
      <c r="BN835" s="10" t="s">
        <v>223</v>
      </c>
      <c r="BO835" s="11">
        <v>45866.101898148147</v>
      </c>
      <c r="BP835" s="11">
        <v>45866.101898148147</v>
      </c>
      <c r="BQ835" s="15"/>
      <c r="BR835" s="15"/>
      <c r="BS835" s="10"/>
      <c r="BT835" s="10"/>
      <c r="BU835" s="10"/>
      <c r="BV835" s="10"/>
      <c r="BW835" s="10"/>
      <c r="BX835" s="10"/>
      <c r="BY835" s="23"/>
      <c r="BZ835" s="23"/>
      <c r="CA835" s="23"/>
      <c r="CB835" s="23"/>
      <c r="CC835" s="23"/>
      <c r="CD835" s="23"/>
      <c r="CE835" s="23"/>
      <c r="CF835" s="23"/>
      <c r="CG835" s="23"/>
      <c r="CH835" s="23"/>
      <c r="CI835" s="23"/>
    </row>
    <row r="836" spans="1:87" x14ac:dyDescent="0.3">
      <c r="A836" s="9" t="s">
        <v>7131</v>
      </c>
      <c r="B836" s="10" t="s">
        <v>7132</v>
      </c>
      <c r="C836" s="11">
        <v>46089</v>
      </c>
      <c r="D836" s="12">
        <v>8.3333333333333329E-2</v>
      </c>
      <c r="E836" s="11">
        <v>46089.083333333336</v>
      </c>
      <c r="F836" s="10" t="s">
        <v>5001</v>
      </c>
      <c r="G836" s="13" t="b">
        <v>0</v>
      </c>
      <c r="H836" s="10"/>
      <c r="I836" s="10" t="s">
        <v>89</v>
      </c>
      <c r="J836" s="13" t="b">
        <v>0</v>
      </c>
      <c r="K836" s="13" t="b">
        <v>1</v>
      </c>
      <c r="L836" s="10" t="s">
        <v>124</v>
      </c>
      <c r="M836" s="10" t="s">
        <v>91</v>
      </c>
      <c r="N836" s="10" t="s">
        <v>92</v>
      </c>
      <c r="O836" s="10"/>
      <c r="P836" s="10"/>
      <c r="Q836" s="10"/>
      <c r="R836" s="10"/>
      <c r="S836" s="10"/>
      <c r="T836" s="10"/>
      <c r="U836" s="10" t="s">
        <v>5066</v>
      </c>
      <c r="V836" s="10" t="s">
        <v>5113</v>
      </c>
      <c r="W836" s="10" t="s">
        <v>5007</v>
      </c>
      <c r="X836" s="10" t="s">
        <v>130</v>
      </c>
      <c r="Y836" s="10" t="s">
        <v>130</v>
      </c>
      <c r="Z836" s="10" t="s">
        <v>99</v>
      </c>
      <c r="AA836" s="10" t="s">
        <v>131</v>
      </c>
      <c r="AB836" s="10" t="s">
        <v>5008</v>
      </c>
      <c r="AC836" s="10" t="s">
        <v>5009</v>
      </c>
      <c r="AD836" s="10" t="s">
        <v>7133</v>
      </c>
      <c r="AE836" s="10" t="s">
        <v>7134</v>
      </c>
      <c r="AF836" s="15"/>
      <c r="AG836" s="10"/>
      <c r="AH836" s="10"/>
      <c r="AI836" s="10"/>
      <c r="AJ836" s="10"/>
      <c r="AK836" s="10"/>
      <c r="AL836" s="10" t="s">
        <v>2720</v>
      </c>
      <c r="AM836" s="10"/>
      <c r="AN836" s="10"/>
      <c r="AO836" s="13" t="b">
        <v>1</v>
      </c>
      <c r="AP836" s="10" t="s">
        <v>104</v>
      </c>
      <c r="AQ836" s="10"/>
      <c r="AR836" s="17"/>
      <c r="AS836" s="17"/>
      <c r="AT836" s="17"/>
      <c r="AU836" s="17"/>
      <c r="AV836" s="17"/>
      <c r="AW836" s="10"/>
      <c r="AX836" s="17"/>
      <c r="AY836" s="18" t="s">
        <v>257</v>
      </c>
      <c r="AZ836" s="10"/>
      <c r="BA836" s="20" t="b">
        <v>0</v>
      </c>
      <c r="BB836" s="10"/>
      <c r="BC836" s="17" t="s">
        <v>257</v>
      </c>
      <c r="BD836" s="17" t="s">
        <v>257</v>
      </c>
      <c r="BE836" s="17" t="s">
        <v>257</v>
      </c>
      <c r="BF836" s="17" t="s">
        <v>257</v>
      </c>
      <c r="BG836" s="11">
        <f ca="1">IFERROR(__xludf.DUMMYFUNCTION("""COMPUTED_VALUE"""),46089)</f>
        <v>46089</v>
      </c>
      <c r="BH836" s="17"/>
      <c r="BI836" s="17"/>
      <c r="BJ836" s="15"/>
      <c r="BK836" s="15"/>
      <c r="BL836" s="13" t="b">
        <v>0</v>
      </c>
      <c r="BM836" s="10"/>
      <c r="BN836" s="10" t="s">
        <v>223</v>
      </c>
      <c r="BO836" s="11">
        <v>45866.101898148147</v>
      </c>
      <c r="BP836" s="11">
        <v>45866.101898148147</v>
      </c>
      <c r="BQ836" s="15"/>
      <c r="BR836" s="15"/>
      <c r="BS836" s="10"/>
      <c r="BT836" s="10"/>
      <c r="BU836" s="10"/>
      <c r="BV836" s="10"/>
      <c r="BW836" s="10"/>
      <c r="BX836" s="10"/>
      <c r="BY836" s="23"/>
      <c r="BZ836" s="23"/>
      <c r="CA836" s="23"/>
      <c r="CB836" s="23"/>
      <c r="CC836" s="23"/>
      <c r="CD836" s="23"/>
      <c r="CE836" s="23"/>
      <c r="CF836" s="23"/>
      <c r="CG836" s="23"/>
      <c r="CH836" s="23"/>
      <c r="CI836" s="23"/>
    </row>
    <row r="837" spans="1:87" x14ac:dyDescent="0.3">
      <c r="A837" s="9" t="s">
        <v>7135</v>
      </c>
      <c r="B837" s="10" t="s">
        <v>7136</v>
      </c>
      <c r="C837" s="11">
        <v>46089</v>
      </c>
      <c r="D837" s="12">
        <v>8.3333333333333329E-2</v>
      </c>
      <c r="E837" s="11">
        <v>46089.083333333336</v>
      </c>
      <c r="F837" s="10" t="s">
        <v>5001</v>
      </c>
      <c r="G837" s="13" t="b">
        <v>0</v>
      </c>
      <c r="H837" s="10"/>
      <c r="I837" s="10" t="s">
        <v>89</v>
      </c>
      <c r="J837" s="13" t="b">
        <v>0</v>
      </c>
      <c r="K837" s="13" t="b">
        <v>1</v>
      </c>
      <c r="L837" s="10" t="s">
        <v>124</v>
      </c>
      <c r="M837" s="10" t="s">
        <v>91</v>
      </c>
      <c r="N837" s="10" t="s">
        <v>92</v>
      </c>
      <c r="O837" s="10"/>
      <c r="P837" s="10"/>
      <c r="Q837" s="10"/>
      <c r="R837" s="10"/>
      <c r="S837" s="10"/>
      <c r="T837" s="10"/>
      <c r="U837" s="10" t="s">
        <v>5077</v>
      </c>
      <c r="V837" s="10" t="s">
        <v>5006</v>
      </c>
      <c r="W837" s="10" t="s">
        <v>5007</v>
      </c>
      <c r="X837" s="10" t="s">
        <v>130</v>
      </c>
      <c r="Y837" s="10" t="s">
        <v>130</v>
      </c>
      <c r="Z837" s="10" t="s">
        <v>99</v>
      </c>
      <c r="AA837" s="10" t="s">
        <v>131</v>
      </c>
      <c r="AB837" s="10" t="s">
        <v>5008</v>
      </c>
      <c r="AC837" s="10" t="s">
        <v>5009</v>
      </c>
      <c r="AD837" s="10" t="s">
        <v>7137</v>
      </c>
      <c r="AE837" s="10" t="s">
        <v>7138</v>
      </c>
      <c r="AF837" s="15"/>
      <c r="AG837" s="10"/>
      <c r="AH837" s="10"/>
      <c r="AI837" s="10"/>
      <c r="AJ837" s="10"/>
      <c r="AK837" s="10"/>
      <c r="AL837" s="10" t="s">
        <v>2720</v>
      </c>
      <c r="AM837" s="10"/>
      <c r="AN837" s="10"/>
      <c r="AO837" s="13" t="b">
        <v>0</v>
      </c>
      <c r="AP837" s="10" t="s">
        <v>104</v>
      </c>
      <c r="AQ837" s="10"/>
      <c r="AR837" s="17"/>
      <c r="AS837" s="17"/>
      <c r="AT837" s="17"/>
      <c r="AU837" s="17"/>
      <c r="AV837" s="17"/>
      <c r="AW837" s="10"/>
      <c r="AX837" s="17"/>
      <c r="AY837" s="18" t="s">
        <v>257</v>
      </c>
      <c r="AZ837" s="10"/>
      <c r="BA837" s="20" t="b">
        <v>0</v>
      </c>
      <c r="BB837" s="10"/>
      <c r="BC837" s="17" t="s">
        <v>257</v>
      </c>
      <c r="BD837" s="17" t="s">
        <v>257</v>
      </c>
      <c r="BE837" s="17" t="s">
        <v>257</v>
      </c>
      <c r="BF837" s="17" t="s">
        <v>257</v>
      </c>
      <c r="BG837" s="11">
        <f ca="1">IFERROR(__xludf.DUMMYFUNCTION("""COMPUTED_VALUE"""),46089)</f>
        <v>46089</v>
      </c>
      <c r="BH837" s="17"/>
      <c r="BI837" s="17"/>
      <c r="BJ837" s="15"/>
      <c r="BK837" s="15"/>
      <c r="BL837" s="13" t="b">
        <v>0</v>
      </c>
      <c r="BM837" s="10"/>
      <c r="BN837" s="10" t="s">
        <v>223</v>
      </c>
      <c r="BO837" s="11">
        <v>45866.101898148147</v>
      </c>
      <c r="BP837" s="11">
        <v>45866.101898148147</v>
      </c>
      <c r="BQ837" s="15"/>
      <c r="BR837" s="15"/>
      <c r="BS837" s="10"/>
      <c r="BT837" s="10"/>
      <c r="BU837" s="10"/>
      <c r="BV837" s="10"/>
      <c r="BW837" s="10"/>
      <c r="BX837" s="10"/>
      <c r="BY837" s="23"/>
      <c r="BZ837" s="23"/>
      <c r="CA837" s="23"/>
      <c r="CB837" s="23"/>
      <c r="CC837" s="23"/>
      <c r="CD837" s="23"/>
      <c r="CE837" s="23"/>
      <c r="CF837" s="23"/>
      <c r="CG837" s="23"/>
      <c r="CH837" s="23"/>
      <c r="CI837" s="23"/>
    </row>
    <row r="838" spans="1:87" x14ac:dyDescent="0.3">
      <c r="A838" s="9" t="s">
        <v>7139</v>
      </c>
      <c r="B838" s="10" t="s">
        <v>7140</v>
      </c>
      <c r="C838" s="11">
        <v>46089</v>
      </c>
      <c r="D838" s="12">
        <v>8.3333333333333329E-2</v>
      </c>
      <c r="E838" s="11">
        <v>46089.083333333336</v>
      </c>
      <c r="F838" s="10" t="s">
        <v>5001</v>
      </c>
      <c r="G838" s="13" t="b">
        <v>0</v>
      </c>
      <c r="H838" s="10"/>
      <c r="I838" s="10" t="s">
        <v>89</v>
      </c>
      <c r="J838" s="13" t="b">
        <v>0</v>
      </c>
      <c r="K838" s="13" t="b">
        <v>1</v>
      </c>
      <c r="L838" s="10" t="s">
        <v>124</v>
      </c>
      <c r="M838" s="10" t="s">
        <v>91</v>
      </c>
      <c r="N838" s="10" t="s">
        <v>92</v>
      </c>
      <c r="O838" s="10"/>
      <c r="P838" s="10"/>
      <c r="Q838" s="10"/>
      <c r="R838" s="10"/>
      <c r="S838" s="10"/>
      <c r="T838" s="10"/>
      <c r="U838" s="10" t="s">
        <v>5114</v>
      </c>
      <c r="V838" s="10" t="s">
        <v>5041</v>
      </c>
      <c r="W838" s="10" t="s">
        <v>5007</v>
      </c>
      <c r="X838" s="10" t="s">
        <v>130</v>
      </c>
      <c r="Y838" s="10" t="s">
        <v>130</v>
      </c>
      <c r="Z838" s="10" t="s">
        <v>99</v>
      </c>
      <c r="AA838" s="10" t="s">
        <v>131</v>
      </c>
      <c r="AB838" s="10" t="s">
        <v>5008</v>
      </c>
      <c r="AC838" s="10" t="s">
        <v>5009</v>
      </c>
      <c r="AD838" s="10" t="s">
        <v>7141</v>
      </c>
      <c r="AE838" s="10" t="s">
        <v>7142</v>
      </c>
      <c r="AF838" s="15"/>
      <c r="AG838" s="10"/>
      <c r="AH838" s="10"/>
      <c r="AI838" s="10"/>
      <c r="AJ838" s="10"/>
      <c r="AK838" s="10"/>
      <c r="AL838" s="10" t="s">
        <v>2720</v>
      </c>
      <c r="AM838" s="10"/>
      <c r="AN838" s="10"/>
      <c r="AO838" s="13" t="b">
        <v>0</v>
      </c>
      <c r="AP838" s="10" t="s">
        <v>104</v>
      </c>
      <c r="AQ838" s="10"/>
      <c r="AR838" s="17"/>
      <c r="AS838" s="17"/>
      <c r="AT838" s="17"/>
      <c r="AU838" s="17"/>
      <c r="AV838" s="17"/>
      <c r="AW838" s="10"/>
      <c r="AX838" s="17"/>
      <c r="AY838" s="18" t="s">
        <v>257</v>
      </c>
      <c r="AZ838" s="10"/>
      <c r="BA838" s="20" t="b">
        <v>0</v>
      </c>
      <c r="BB838" s="10"/>
      <c r="BC838" s="17" t="s">
        <v>257</v>
      </c>
      <c r="BD838" s="17" t="s">
        <v>257</v>
      </c>
      <c r="BE838" s="17" t="s">
        <v>257</v>
      </c>
      <c r="BF838" s="17" t="s">
        <v>257</v>
      </c>
      <c r="BG838" s="11">
        <f ca="1">IFERROR(__xludf.DUMMYFUNCTION("""COMPUTED_VALUE"""),46089)</f>
        <v>46089</v>
      </c>
      <c r="BH838" s="17"/>
      <c r="BI838" s="17"/>
      <c r="BJ838" s="15"/>
      <c r="BK838" s="15"/>
      <c r="BL838" s="13" t="b">
        <v>0</v>
      </c>
      <c r="BM838" s="10"/>
      <c r="BN838" s="10" t="s">
        <v>223</v>
      </c>
      <c r="BO838" s="11">
        <v>45866.101898148147</v>
      </c>
      <c r="BP838" s="11">
        <v>45866.101898148147</v>
      </c>
      <c r="BQ838" s="15"/>
      <c r="BR838" s="15"/>
      <c r="BS838" s="10"/>
      <c r="BT838" s="10"/>
      <c r="BU838" s="10"/>
      <c r="BV838" s="10"/>
      <c r="BW838" s="10"/>
      <c r="BX838" s="10"/>
      <c r="BY838" s="23"/>
      <c r="BZ838" s="23"/>
      <c r="CA838" s="23"/>
      <c r="CB838" s="23"/>
      <c r="CC838" s="23"/>
      <c r="CD838" s="23"/>
      <c r="CE838" s="23"/>
      <c r="CF838" s="23"/>
      <c r="CG838" s="23"/>
      <c r="CH838" s="23"/>
      <c r="CI838" s="23"/>
    </row>
    <row r="839" spans="1:87" x14ac:dyDescent="0.3">
      <c r="A839" s="9" t="s">
        <v>7143</v>
      </c>
      <c r="B839" s="10" t="s">
        <v>7144</v>
      </c>
      <c r="C839" s="11">
        <v>46089</v>
      </c>
      <c r="D839" s="12">
        <v>8.3333333333333329E-2</v>
      </c>
      <c r="E839" s="11">
        <v>46089.083333333336</v>
      </c>
      <c r="F839" s="10" t="s">
        <v>5001</v>
      </c>
      <c r="G839" s="13" t="b">
        <v>0</v>
      </c>
      <c r="H839" s="10"/>
      <c r="I839" s="10" t="s">
        <v>89</v>
      </c>
      <c r="J839" s="13" t="b">
        <v>0</v>
      </c>
      <c r="K839" s="13" t="b">
        <v>1</v>
      </c>
      <c r="L839" s="10" t="s">
        <v>124</v>
      </c>
      <c r="M839" s="10" t="s">
        <v>91</v>
      </c>
      <c r="N839" s="10" t="s">
        <v>92</v>
      </c>
      <c r="O839" s="10"/>
      <c r="P839" s="10"/>
      <c r="Q839" s="10"/>
      <c r="R839" s="10"/>
      <c r="S839" s="10"/>
      <c r="T839" s="10"/>
      <c r="U839" s="10" t="s">
        <v>5018</v>
      </c>
      <c r="V839" s="10" t="s">
        <v>5101</v>
      </c>
      <c r="W839" s="10" t="s">
        <v>5007</v>
      </c>
      <c r="X839" s="10" t="s">
        <v>130</v>
      </c>
      <c r="Y839" s="10" t="s">
        <v>130</v>
      </c>
      <c r="Z839" s="10" t="s">
        <v>99</v>
      </c>
      <c r="AA839" s="10" t="s">
        <v>131</v>
      </c>
      <c r="AB839" s="10" t="s">
        <v>5008</v>
      </c>
      <c r="AC839" s="10" t="s">
        <v>5009</v>
      </c>
      <c r="AD839" s="10" t="s">
        <v>7145</v>
      </c>
      <c r="AE839" s="10" t="s">
        <v>7146</v>
      </c>
      <c r="AF839" s="15"/>
      <c r="AG839" s="10"/>
      <c r="AH839" s="10"/>
      <c r="AI839" s="10"/>
      <c r="AJ839" s="10"/>
      <c r="AK839" s="10"/>
      <c r="AL839" s="10" t="s">
        <v>2720</v>
      </c>
      <c r="AM839" s="10"/>
      <c r="AN839" s="10"/>
      <c r="AO839" s="13" t="b">
        <v>0</v>
      </c>
      <c r="AP839" s="10" t="s">
        <v>104</v>
      </c>
      <c r="AQ839" s="10"/>
      <c r="AR839" s="17"/>
      <c r="AS839" s="17"/>
      <c r="AT839" s="17"/>
      <c r="AU839" s="17"/>
      <c r="AV839" s="17"/>
      <c r="AW839" s="10"/>
      <c r="AX839" s="17"/>
      <c r="AY839" s="18" t="s">
        <v>257</v>
      </c>
      <c r="AZ839" s="10"/>
      <c r="BA839" s="20" t="b">
        <v>0</v>
      </c>
      <c r="BB839" s="10"/>
      <c r="BC839" s="17" t="s">
        <v>257</v>
      </c>
      <c r="BD839" s="17" t="s">
        <v>257</v>
      </c>
      <c r="BE839" s="17" t="s">
        <v>257</v>
      </c>
      <c r="BF839" s="17" t="s">
        <v>257</v>
      </c>
      <c r="BG839" s="11">
        <f ca="1">IFERROR(__xludf.DUMMYFUNCTION("""COMPUTED_VALUE"""),46089)</f>
        <v>46089</v>
      </c>
      <c r="BH839" s="17"/>
      <c r="BI839" s="17"/>
      <c r="BJ839" s="15"/>
      <c r="BK839" s="15"/>
      <c r="BL839" s="13" t="b">
        <v>0</v>
      </c>
      <c r="BM839" s="10"/>
      <c r="BN839" s="10" t="s">
        <v>223</v>
      </c>
      <c r="BO839" s="11">
        <v>45866.101898148147</v>
      </c>
      <c r="BP839" s="11">
        <v>45866.101898148147</v>
      </c>
      <c r="BQ839" s="15"/>
      <c r="BR839" s="15"/>
      <c r="BS839" s="10"/>
      <c r="BT839" s="10"/>
      <c r="BU839" s="10"/>
      <c r="BV839" s="10"/>
      <c r="BW839" s="10"/>
      <c r="BX839" s="10"/>
      <c r="BY839" s="23"/>
      <c r="BZ839" s="23"/>
      <c r="CA839" s="23"/>
      <c r="CB839" s="23"/>
      <c r="CC839" s="23"/>
      <c r="CD839" s="23"/>
      <c r="CE839" s="23"/>
      <c r="CF839" s="23"/>
      <c r="CG839" s="23"/>
      <c r="CH839" s="23"/>
      <c r="CI839" s="23"/>
    </row>
    <row r="840" spans="1:87" x14ac:dyDescent="0.3">
      <c r="A840" s="9" t="s">
        <v>7147</v>
      </c>
      <c r="B840" s="10" t="s">
        <v>7148</v>
      </c>
      <c r="C840" s="11">
        <v>46089</v>
      </c>
      <c r="D840" s="12">
        <v>8.3333333333333329E-2</v>
      </c>
      <c r="E840" s="11">
        <v>46089.083333333336</v>
      </c>
      <c r="F840" s="10" t="s">
        <v>5001</v>
      </c>
      <c r="G840" s="13" t="b">
        <v>0</v>
      </c>
      <c r="H840" s="10"/>
      <c r="I840" s="10" t="s">
        <v>89</v>
      </c>
      <c r="J840" s="13" t="b">
        <v>0</v>
      </c>
      <c r="K840" s="13" t="b">
        <v>1</v>
      </c>
      <c r="L840" s="10" t="s">
        <v>124</v>
      </c>
      <c r="M840" s="10" t="s">
        <v>91</v>
      </c>
      <c r="N840" s="10" t="s">
        <v>92</v>
      </c>
      <c r="O840" s="10"/>
      <c r="P840" s="10"/>
      <c r="Q840" s="10"/>
      <c r="R840" s="10"/>
      <c r="S840" s="10"/>
      <c r="T840" s="10"/>
      <c r="U840" s="10" t="s">
        <v>5090</v>
      </c>
      <c r="V840" s="10" t="s">
        <v>5055</v>
      </c>
      <c r="W840" s="10" t="s">
        <v>5007</v>
      </c>
      <c r="X840" s="10" t="s">
        <v>130</v>
      </c>
      <c r="Y840" s="10" t="s">
        <v>130</v>
      </c>
      <c r="Z840" s="10" t="s">
        <v>99</v>
      </c>
      <c r="AA840" s="10" t="s">
        <v>131</v>
      </c>
      <c r="AB840" s="10" t="s">
        <v>5008</v>
      </c>
      <c r="AC840" s="10" t="s">
        <v>5009</v>
      </c>
      <c r="AD840" s="10" t="s">
        <v>7149</v>
      </c>
      <c r="AE840" s="10" t="s">
        <v>7150</v>
      </c>
      <c r="AF840" s="15"/>
      <c r="AG840" s="10"/>
      <c r="AH840" s="10"/>
      <c r="AI840" s="10"/>
      <c r="AJ840" s="10"/>
      <c r="AK840" s="10"/>
      <c r="AL840" s="10" t="s">
        <v>2720</v>
      </c>
      <c r="AM840" s="10"/>
      <c r="AN840" s="10"/>
      <c r="AO840" s="13" t="b">
        <v>0</v>
      </c>
      <c r="AP840" s="10" t="s">
        <v>104</v>
      </c>
      <c r="AQ840" s="10"/>
      <c r="AR840" s="17"/>
      <c r="AS840" s="17"/>
      <c r="AT840" s="17"/>
      <c r="AU840" s="17"/>
      <c r="AV840" s="17"/>
      <c r="AW840" s="10"/>
      <c r="AX840" s="17"/>
      <c r="AY840" s="18" t="s">
        <v>257</v>
      </c>
      <c r="AZ840" s="10"/>
      <c r="BA840" s="20" t="b">
        <v>0</v>
      </c>
      <c r="BB840" s="10"/>
      <c r="BC840" s="17" t="s">
        <v>257</v>
      </c>
      <c r="BD840" s="17" t="s">
        <v>257</v>
      </c>
      <c r="BE840" s="17" t="s">
        <v>257</v>
      </c>
      <c r="BF840" s="17" t="s">
        <v>257</v>
      </c>
      <c r="BG840" s="11">
        <f ca="1">IFERROR(__xludf.DUMMYFUNCTION("""COMPUTED_VALUE"""),46089)</f>
        <v>46089</v>
      </c>
      <c r="BH840" s="17"/>
      <c r="BI840" s="17"/>
      <c r="BJ840" s="15"/>
      <c r="BK840" s="15"/>
      <c r="BL840" s="13" t="b">
        <v>0</v>
      </c>
      <c r="BM840" s="10"/>
      <c r="BN840" s="10" t="s">
        <v>223</v>
      </c>
      <c r="BO840" s="11">
        <v>45866.101898148147</v>
      </c>
      <c r="BP840" s="11">
        <v>45866.101898148147</v>
      </c>
      <c r="BQ840" s="15"/>
      <c r="BR840" s="15"/>
      <c r="BS840" s="10"/>
      <c r="BT840" s="10"/>
      <c r="BU840" s="10"/>
      <c r="BV840" s="10"/>
      <c r="BW840" s="10"/>
      <c r="BX840" s="10"/>
      <c r="BY840" s="23"/>
      <c r="BZ840" s="23"/>
      <c r="CA840" s="23"/>
      <c r="CB840" s="23"/>
      <c r="CC840" s="23"/>
      <c r="CD840" s="23"/>
      <c r="CE840" s="23"/>
      <c r="CF840" s="23"/>
      <c r="CG840" s="23"/>
      <c r="CH840" s="23"/>
      <c r="CI840" s="23"/>
    </row>
    <row r="841" spans="1:87" x14ac:dyDescent="0.3">
      <c r="A841" s="9" t="s">
        <v>7151</v>
      </c>
      <c r="B841" s="10" t="s">
        <v>7152</v>
      </c>
      <c r="C841" s="11">
        <v>46089</v>
      </c>
      <c r="D841" s="12">
        <v>8.3333333333333329E-2</v>
      </c>
      <c r="E841" s="11">
        <v>46089.083333333336</v>
      </c>
      <c r="F841" s="10" t="s">
        <v>5001</v>
      </c>
      <c r="G841" s="13" t="b">
        <v>0</v>
      </c>
      <c r="H841" s="10"/>
      <c r="I841" s="10" t="s">
        <v>89</v>
      </c>
      <c r="J841" s="13" t="b">
        <v>0</v>
      </c>
      <c r="K841" s="13" t="b">
        <v>1</v>
      </c>
      <c r="L841" s="10" t="s">
        <v>124</v>
      </c>
      <c r="M841" s="10" t="s">
        <v>91</v>
      </c>
      <c r="N841" s="10" t="s">
        <v>92</v>
      </c>
      <c r="O841" s="10"/>
      <c r="P841" s="10"/>
      <c r="Q841" s="10"/>
      <c r="R841" s="10"/>
      <c r="S841" s="10"/>
      <c r="T841" s="10"/>
      <c r="U841" s="10" t="s">
        <v>5076</v>
      </c>
      <c r="V841" s="10" t="s">
        <v>5042</v>
      </c>
      <c r="W841" s="10" t="s">
        <v>5007</v>
      </c>
      <c r="X841" s="10" t="s">
        <v>130</v>
      </c>
      <c r="Y841" s="10" t="s">
        <v>130</v>
      </c>
      <c r="Z841" s="10" t="s">
        <v>99</v>
      </c>
      <c r="AA841" s="10" t="s">
        <v>131</v>
      </c>
      <c r="AB841" s="10" t="s">
        <v>5008</v>
      </c>
      <c r="AC841" s="10" t="s">
        <v>5009</v>
      </c>
      <c r="AD841" s="10" t="s">
        <v>7153</v>
      </c>
      <c r="AE841" s="10" t="s">
        <v>7154</v>
      </c>
      <c r="AF841" s="15"/>
      <c r="AG841" s="10"/>
      <c r="AH841" s="10"/>
      <c r="AI841" s="10"/>
      <c r="AJ841" s="10"/>
      <c r="AK841" s="10"/>
      <c r="AL841" s="10" t="s">
        <v>2720</v>
      </c>
      <c r="AM841" s="10"/>
      <c r="AN841" s="10"/>
      <c r="AO841" s="13" t="b">
        <v>1</v>
      </c>
      <c r="AP841" s="10" t="s">
        <v>104</v>
      </c>
      <c r="AQ841" s="10"/>
      <c r="AR841" s="17"/>
      <c r="AS841" s="17"/>
      <c r="AT841" s="17"/>
      <c r="AU841" s="17"/>
      <c r="AV841" s="17"/>
      <c r="AW841" s="10"/>
      <c r="AX841" s="17"/>
      <c r="AY841" s="18" t="s">
        <v>257</v>
      </c>
      <c r="AZ841" s="10"/>
      <c r="BA841" s="20" t="b">
        <v>0</v>
      </c>
      <c r="BB841" s="10"/>
      <c r="BC841" s="17" t="s">
        <v>257</v>
      </c>
      <c r="BD841" s="17" t="s">
        <v>257</v>
      </c>
      <c r="BE841" s="17" t="s">
        <v>257</v>
      </c>
      <c r="BF841" s="17" t="s">
        <v>257</v>
      </c>
      <c r="BG841" s="11">
        <f ca="1">IFERROR(__xludf.DUMMYFUNCTION("""COMPUTED_VALUE"""),46089)</f>
        <v>46089</v>
      </c>
      <c r="BH841" s="17"/>
      <c r="BI841" s="17"/>
      <c r="BJ841" s="15"/>
      <c r="BK841" s="15"/>
      <c r="BL841" s="13" t="b">
        <v>0</v>
      </c>
      <c r="BM841" s="10"/>
      <c r="BN841" s="10" t="s">
        <v>223</v>
      </c>
      <c r="BO841" s="11">
        <v>45866.101898148147</v>
      </c>
      <c r="BP841" s="11">
        <v>45866.101898148147</v>
      </c>
      <c r="BQ841" s="15"/>
      <c r="BR841" s="15"/>
      <c r="BS841" s="10"/>
      <c r="BT841" s="10"/>
      <c r="BU841" s="10"/>
      <c r="BV841" s="10"/>
      <c r="BW841" s="10"/>
      <c r="BX841" s="10"/>
      <c r="BY841" s="23"/>
      <c r="BZ841" s="23"/>
      <c r="CA841" s="23"/>
      <c r="CB841" s="23"/>
      <c r="CC841" s="23"/>
      <c r="CD841" s="23"/>
      <c r="CE841" s="23"/>
      <c r="CF841" s="23"/>
      <c r="CG841" s="23"/>
      <c r="CH841" s="23"/>
      <c r="CI841" s="23"/>
    </row>
    <row r="842" spans="1:87" x14ac:dyDescent="0.3">
      <c r="A842" s="9" t="s">
        <v>7155</v>
      </c>
      <c r="B842" s="10" t="s">
        <v>7156</v>
      </c>
      <c r="C842" s="11">
        <v>46089</v>
      </c>
      <c r="D842" s="12">
        <v>8.3333333333333329E-2</v>
      </c>
      <c r="E842" s="11">
        <v>46089.083333333336</v>
      </c>
      <c r="F842" s="10" t="s">
        <v>5001</v>
      </c>
      <c r="G842" s="13" t="b">
        <v>0</v>
      </c>
      <c r="H842" s="10"/>
      <c r="I842" s="10" t="s">
        <v>89</v>
      </c>
      <c r="J842" s="13" t="b">
        <v>0</v>
      </c>
      <c r="K842" s="13" t="b">
        <v>1</v>
      </c>
      <c r="L842" s="10" t="s">
        <v>124</v>
      </c>
      <c r="M842" s="10" t="s">
        <v>91</v>
      </c>
      <c r="N842" s="10" t="s">
        <v>92</v>
      </c>
      <c r="O842" s="10"/>
      <c r="P842" s="10"/>
      <c r="Q842" s="10"/>
      <c r="R842" s="10"/>
      <c r="S842" s="10"/>
      <c r="T842" s="10"/>
      <c r="U842" s="10" t="s">
        <v>5054</v>
      </c>
      <c r="V842" s="10" t="s">
        <v>5031</v>
      </c>
      <c r="W842" s="10" t="s">
        <v>5007</v>
      </c>
      <c r="X842" s="10" t="s">
        <v>130</v>
      </c>
      <c r="Y842" s="10" t="s">
        <v>130</v>
      </c>
      <c r="Z842" s="10" t="s">
        <v>99</v>
      </c>
      <c r="AA842" s="10" t="s">
        <v>131</v>
      </c>
      <c r="AB842" s="10" t="s">
        <v>5008</v>
      </c>
      <c r="AC842" s="10" t="s">
        <v>5009</v>
      </c>
      <c r="AD842" s="10" t="s">
        <v>7157</v>
      </c>
      <c r="AE842" s="10" t="s">
        <v>7158</v>
      </c>
      <c r="AF842" s="15"/>
      <c r="AG842" s="10"/>
      <c r="AH842" s="10"/>
      <c r="AI842" s="10"/>
      <c r="AJ842" s="10"/>
      <c r="AK842" s="10"/>
      <c r="AL842" s="10" t="s">
        <v>2720</v>
      </c>
      <c r="AM842" s="10"/>
      <c r="AN842" s="10"/>
      <c r="AO842" s="13" t="b">
        <v>0</v>
      </c>
      <c r="AP842" s="10" t="s">
        <v>104</v>
      </c>
      <c r="AQ842" s="10"/>
      <c r="AR842" s="17"/>
      <c r="AS842" s="17"/>
      <c r="AT842" s="17"/>
      <c r="AU842" s="17"/>
      <c r="AV842" s="17"/>
      <c r="AW842" s="10"/>
      <c r="AX842" s="17"/>
      <c r="AY842" s="18" t="s">
        <v>257</v>
      </c>
      <c r="AZ842" s="10"/>
      <c r="BA842" s="20" t="b">
        <v>0</v>
      </c>
      <c r="BB842" s="10"/>
      <c r="BC842" s="17" t="s">
        <v>257</v>
      </c>
      <c r="BD842" s="17" t="s">
        <v>257</v>
      </c>
      <c r="BE842" s="17" t="s">
        <v>257</v>
      </c>
      <c r="BF842" s="17" t="s">
        <v>257</v>
      </c>
      <c r="BG842" s="11">
        <f ca="1">IFERROR(__xludf.DUMMYFUNCTION("""COMPUTED_VALUE"""),46089)</f>
        <v>46089</v>
      </c>
      <c r="BH842" s="17"/>
      <c r="BI842" s="17"/>
      <c r="BJ842" s="15"/>
      <c r="BK842" s="15"/>
      <c r="BL842" s="13" t="b">
        <v>0</v>
      </c>
      <c r="BM842" s="10"/>
      <c r="BN842" s="10" t="s">
        <v>223</v>
      </c>
      <c r="BO842" s="11">
        <v>45866.101898148147</v>
      </c>
      <c r="BP842" s="11">
        <v>45866.101898148147</v>
      </c>
      <c r="BQ842" s="15"/>
      <c r="BR842" s="15"/>
      <c r="BS842" s="10"/>
      <c r="BT842" s="10"/>
      <c r="BU842" s="10"/>
      <c r="BV842" s="10"/>
      <c r="BW842" s="10"/>
      <c r="BX842" s="10"/>
      <c r="BY842" s="23"/>
      <c r="BZ842" s="23"/>
      <c r="CA842" s="23"/>
      <c r="CB842" s="23"/>
      <c r="CC842" s="23"/>
      <c r="CD842" s="23"/>
      <c r="CE842" s="23"/>
      <c r="CF842" s="23"/>
      <c r="CG842" s="23"/>
      <c r="CH842" s="23"/>
      <c r="CI842" s="23"/>
    </row>
    <row r="843" spans="1:87" x14ac:dyDescent="0.3">
      <c r="A843" s="9" t="s">
        <v>7159</v>
      </c>
      <c r="B843" s="10" t="s">
        <v>7160</v>
      </c>
      <c r="C843" s="11">
        <v>46089</v>
      </c>
      <c r="D843" s="12">
        <v>8.3333333333333329E-2</v>
      </c>
      <c r="E843" s="11">
        <v>46089.083333333336</v>
      </c>
      <c r="F843" s="10" t="s">
        <v>5001</v>
      </c>
      <c r="G843" s="13" t="b">
        <v>0</v>
      </c>
      <c r="H843" s="10"/>
      <c r="I843" s="10" t="s">
        <v>89</v>
      </c>
      <c r="J843" s="13" t="b">
        <v>0</v>
      </c>
      <c r="K843" s="13" t="b">
        <v>1</v>
      </c>
      <c r="L843" s="10" t="s">
        <v>124</v>
      </c>
      <c r="M843" s="10" t="s">
        <v>91</v>
      </c>
      <c r="N843" s="10" t="s">
        <v>92</v>
      </c>
      <c r="O843" s="10"/>
      <c r="P843" s="10"/>
      <c r="Q843" s="10"/>
      <c r="R843" s="10"/>
      <c r="S843" s="10"/>
      <c r="T843" s="10"/>
      <c r="U843" s="10" t="s">
        <v>5032</v>
      </c>
      <c r="V843" s="10" t="s">
        <v>5005</v>
      </c>
      <c r="W843" s="10" t="s">
        <v>5007</v>
      </c>
      <c r="X843" s="10" t="s">
        <v>130</v>
      </c>
      <c r="Y843" s="10" t="s">
        <v>130</v>
      </c>
      <c r="Z843" s="10" t="s">
        <v>99</v>
      </c>
      <c r="AA843" s="10" t="s">
        <v>131</v>
      </c>
      <c r="AB843" s="10" t="s">
        <v>5008</v>
      </c>
      <c r="AC843" s="10" t="s">
        <v>5009</v>
      </c>
      <c r="AD843" s="10" t="s">
        <v>7161</v>
      </c>
      <c r="AE843" s="10" t="s">
        <v>7162</v>
      </c>
      <c r="AF843" s="15"/>
      <c r="AG843" s="10"/>
      <c r="AH843" s="10"/>
      <c r="AI843" s="10"/>
      <c r="AJ843" s="10"/>
      <c r="AK843" s="10"/>
      <c r="AL843" s="10" t="s">
        <v>2720</v>
      </c>
      <c r="AM843" s="10"/>
      <c r="AN843" s="10"/>
      <c r="AO843" s="13" t="b">
        <v>0</v>
      </c>
      <c r="AP843" s="10" t="s">
        <v>104</v>
      </c>
      <c r="AQ843" s="10"/>
      <c r="AR843" s="17"/>
      <c r="AS843" s="17"/>
      <c r="AT843" s="17"/>
      <c r="AU843" s="17"/>
      <c r="AV843" s="17"/>
      <c r="AW843" s="10"/>
      <c r="AX843" s="17"/>
      <c r="AY843" s="18" t="s">
        <v>257</v>
      </c>
      <c r="AZ843" s="10"/>
      <c r="BA843" s="20" t="b">
        <v>0</v>
      </c>
      <c r="BB843" s="10"/>
      <c r="BC843" s="17" t="s">
        <v>257</v>
      </c>
      <c r="BD843" s="17" t="s">
        <v>257</v>
      </c>
      <c r="BE843" s="17" t="s">
        <v>257</v>
      </c>
      <c r="BF843" s="17" t="s">
        <v>257</v>
      </c>
      <c r="BG843" s="11">
        <f ca="1">IFERROR(__xludf.DUMMYFUNCTION("""COMPUTED_VALUE"""),46089)</f>
        <v>46089</v>
      </c>
      <c r="BH843" s="17"/>
      <c r="BI843" s="17"/>
      <c r="BJ843" s="15"/>
      <c r="BK843" s="15"/>
      <c r="BL843" s="13" t="b">
        <v>0</v>
      </c>
      <c r="BM843" s="10"/>
      <c r="BN843" s="10" t="s">
        <v>223</v>
      </c>
      <c r="BO843" s="11">
        <v>45866.101898148147</v>
      </c>
      <c r="BP843" s="11">
        <v>45866.101898148147</v>
      </c>
      <c r="BQ843" s="15"/>
      <c r="BR843" s="15"/>
      <c r="BS843" s="10"/>
      <c r="BT843" s="10"/>
      <c r="BU843" s="10"/>
      <c r="BV843" s="10"/>
      <c r="BW843" s="10"/>
      <c r="BX843" s="10"/>
      <c r="BY843" s="23"/>
      <c r="BZ843" s="23"/>
      <c r="CA843" s="23"/>
      <c r="CB843" s="23"/>
      <c r="CC843" s="23"/>
      <c r="CD843" s="23"/>
      <c r="CE843" s="23"/>
      <c r="CF843" s="23"/>
      <c r="CG843" s="23"/>
      <c r="CH843" s="23"/>
      <c r="CI843" s="23"/>
    </row>
    <row r="844" spans="1:87" x14ac:dyDescent="0.3">
      <c r="A844" s="9" t="s">
        <v>7163</v>
      </c>
      <c r="B844" s="10" t="s">
        <v>7164</v>
      </c>
      <c r="C844" s="11">
        <v>46089</v>
      </c>
      <c r="D844" s="12">
        <v>8.3333333333333329E-2</v>
      </c>
      <c r="E844" s="11">
        <v>46089.083333333336</v>
      </c>
      <c r="F844" s="10" t="s">
        <v>5001</v>
      </c>
      <c r="G844" s="13" t="b">
        <v>0</v>
      </c>
      <c r="H844" s="10"/>
      <c r="I844" s="10" t="s">
        <v>89</v>
      </c>
      <c r="J844" s="13" t="b">
        <v>0</v>
      </c>
      <c r="K844" s="13" t="b">
        <v>1</v>
      </c>
      <c r="L844" s="10" t="s">
        <v>124</v>
      </c>
      <c r="M844" s="10" t="s">
        <v>91</v>
      </c>
      <c r="N844" s="10" t="s">
        <v>92</v>
      </c>
      <c r="O844" s="10"/>
      <c r="P844" s="10"/>
      <c r="Q844" s="10"/>
      <c r="R844" s="10"/>
      <c r="S844" s="10"/>
      <c r="T844" s="10"/>
      <c r="U844" s="10" t="s">
        <v>5089</v>
      </c>
      <c r="V844" s="10" t="s">
        <v>5019</v>
      </c>
      <c r="W844" s="10" t="s">
        <v>5007</v>
      </c>
      <c r="X844" s="10" t="s">
        <v>130</v>
      </c>
      <c r="Y844" s="10" t="s">
        <v>130</v>
      </c>
      <c r="Z844" s="10" t="s">
        <v>99</v>
      </c>
      <c r="AA844" s="10" t="s">
        <v>131</v>
      </c>
      <c r="AB844" s="10" t="s">
        <v>5008</v>
      </c>
      <c r="AC844" s="10" t="s">
        <v>5009</v>
      </c>
      <c r="AD844" s="10" t="s">
        <v>7165</v>
      </c>
      <c r="AE844" s="10" t="s">
        <v>7166</v>
      </c>
      <c r="AF844" s="15"/>
      <c r="AG844" s="10"/>
      <c r="AH844" s="10"/>
      <c r="AI844" s="10"/>
      <c r="AJ844" s="10"/>
      <c r="AK844" s="10"/>
      <c r="AL844" s="10" t="s">
        <v>2720</v>
      </c>
      <c r="AM844" s="10"/>
      <c r="AN844" s="10"/>
      <c r="AO844" s="13" t="b">
        <v>0</v>
      </c>
      <c r="AP844" s="10" t="s">
        <v>104</v>
      </c>
      <c r="AQ844" s="10"/>
      <c r="AR844" s="17"/>
      <c r="AS844" s="17"/>
      <c r="AT844" s="17"/>
      <c r="AU844" s="17"/>
      <c r="AV844" s="17"/>
      <c r="AW844" s="10"/>
      <c r="AX844" s="17"/>
      <c r="AY844" s="18" t="s">
        <v>257</v>
      </c>
      <c r="AZ844" s="10"/>
      <c r="BA844" s="20" t="b">
        <v>0</v>
      </c>
      <c r="BB844" s="10"/>
      <c r="BC844" s="17" t="s">
        <v>257</v>
      </c>
      <c r="BD844" s="17" t="s">
        <v>257</v>
      </c>
      <c r="BE844" s="17" t="s">
        <v>257</v>
      </c>
      <c r="BF844" s="17" t="s">
        <v>257</v>
      </c>
      <c r="BG844" s="11">
        <f ca="1">IFERROR(__xludf.DUMMYFUNCTION("""COMPUTED_VALUE"""),46089)</f>
        <v>46089</v>
      </c>
      <c r="BH844" s="17"/>
      <c r="BI844" s="17"/>
      <c r="BJ844" s="15"/>
      <c r="BK844" s="15"/>
      <c r="BL844" s="13" t="b">
        <v>0</v>
      </c>
      <c r="BM844" s="10"/>
      <c r="BN844" s="10" t="s">
        <v>223</v>
      </c>
      <c r="BO844" s="11">
        <v>45866.101898148147</v>
      </c>
      <c r="BP844" s="11">
        <v>45866.101898148147</v>
      </c>
      <c r="BQ844" s="15"/>
      <c r="BR844" s="15"/>
      <c r="BS844" s="10"/>
      <c r="BT844" s="10"/>
      <c r="BU844" s="10"/>
      <c r="BV844" s="10"/>
      <c r="BW844" s="10"/>
      <c r="BX844" s="10"/>
      <c r="BY844" s="23"/>
      <c r="BZ844" s="23"/>
      <c r="CA844" s="23"/>
      <c r="CB844" s="23"/>
      <c r="CC844" s="23"/>
      <c r="CD844" s="23"/>
      <c r="CE844" s="23"/>
      <c r="CF844" s="23"/>
      <c r="CG844" s="23"/>
      <c r="CH844" s="23"/>
      <c r="CI844" s="23"/>
    </row>
    <row r="845" spans="1:87" x14ac:dyDescent="0.3">
      <c r="A845" s="9" t="s">
        <v>7167</v>
      </c>
      <c r="B845" s="10" t="s">
        <v>7168</v>
      </c>
      <c r="C845" s="11">
        <v>46089</v>
      </c>
      <c r="D845" s="12">
        <v>8.3333333333333329E-2</v>
      </c>
      <c r="E845" s="11">
        <v>46089.083333333336</v>
      </c>
      <c r="F845" s="10" t="s">
        <v>5001</v>
      </c>
      <c r="G845" s="13" t="b">
        <v>0</v>
      </c>
      <c r="H845" s="10"/>
      <c r="I845" s="10" t="s">
        <v>89</v>
      </c>
      <c r="J845" s="13" t="b">
        <v>0</v>
      </c>
      <c r="K845" s="13" t="b">
        <v>1</v>
      </c>
      <c r="L845" s="10" t="s">
        <v>124</v>
      </c>
      <c r="M845" s="10" t="s">
        <v>91</v>
      </c>
      <c r="N845" s="10" t="s">
        <v>92</v>
      </c>
      <c r="O845" s="10"/>
      <c r="P845" s="10"/>
      <c r="Q845" s="10"/>
      <c r="R845" s="10"/>
      <c r="S845" s="10"/>
      <c r="T845" s="10"/>
      <c r="U845" s="10" t="s">
        <v>5067</v>
      </c>
      <c r="V845" s="10" t="s">
        <v>5102</v>
      </c>
      <c r="W845" s="10" t="s">
        <v>5007</v>
      </c>
      <c r="X845" s="10" t="s">
        <v>130</v>
      </c>
      <c r="Y845" s="10" t="s">
        <v>130</v>
      </c>
      <c r="Z845" s="10" t="s">
        <v>99</v>
      </c>
      <c r="AA845" s="10" t="s">
        <v>131</v>
      </c>
      <c r="AB845" s="10" t="s">
        <v>5008</v>
      </c>
      <c r="AC845" s="10" t="s">
        <v>5009</v>
      </c>
      <c r="AD845" s="10" t="s">
        <v>7169</v>
      </c>
      <c r="AE845" s="10" t="s">
        <v>7170</v>
      </c>
      <c r="AF845" s="15"/>
      <c r="AG845" s="10"/>
      <c r="AH845" s="10"/>
      <c r="AI845" s="10"/>
      <c r="AJ845" s="10"/>
      <c r="AK845" s="10"/>
      <c r="AL845" s="10" t="s">
        <v>2720</v>
      </c>
      <c r="AM845" s="10"/>
      <c r="AN845" s="10"/>
      <c r="AO845" s="13" t="b">
        <v>0</v>
      </c>
      <c r="AP845" s="10" t="s">
        <v>104</v>
      </c>
      <c r="AQ845" s="10"/>
      <c r="AR845" s="17"/>
      <c r="AS845" s="17"/>
      <c r="AT845" s="17"/>
      <c r="AU845" s="17"/>
      <c r="AV845" s="17"/>
      <c r="AW845" s="10"/>
      <c r="AX845" s="17"/>
      <c r="AY845" s="18" t="s">
        <v>257</v>
      </c>
      <c r="AZ845" s="10"/>
      <c r="BA845" s="20" t="b">
        <v>0</v>
      </c>
      <c r="BB845" s="10"/>
      <c r="BC845" s="17" t="s">
        <v>257</v>
      </c>
      <c r="BD845" s="17" t="s">
        <v>257</v>
      </c>
      <c r="BE845" s="17" t="s">
        <v>257</v>
      </c>
      <c r="BF845" s="17" t="s">
        <v>257</v>
      </c>
      <c r="BG845" s="11">
        <f ca="1">IFERROR(__xludf.DUMMYFUNCTION("""COMPUTED_VALUE"""),46089)</f>
        <v>46089</v>
      </c>
      <c r="BH845" s="17"/>
      <c r="BI845" s="17"/>
      <c r="BJ845" s="15"/>
      <c r="BK845" s="15"/>
      <c r="BL845" s="13" t="b">
        <v>0</v>
      </c>
      <c r="BM845" s="10"/>
      <c r="BN845" s="10" t="s">
        <v>223</v>
      </c>
      <c r="BO845" s="11">
        <v>45866.101898148147</v>
      </c>
      <c r="BP845" s="11">
        <v>45866.101898148147</v>
      </c>
      <c r="BQ845" s="15"/>
      <c r="BR845" s="15"/>
      <c r="BS845" s="10"/>
      <c r="BT845" s="10"/>
      <c r="BU845" s="10"/>
      <c r="BV845" s="10"/>
      <c r="BW845" s="10"/>
      <c r="BX845" s="10"/>
      <c r="BY845" s="23"/>
      <c r="BZ845" s="23"/>
      <c r="CA845" s="23"/>
      <c r="CB845" s="23"/>
      <c r="CC845" s="23"/>
      <c r="CD845" s="23"/>
      <c r="CE845" s="23"/>
      <c r="CF845" s="23"/>
      <c r="CG845" s="23"/>
      <c r="CH845" s="23"/>
      <c r="CI845" s="23"/>
    </row>
    <row r="846" spans="1:87" x14ac:dyDescent="0.3">
      <c r="A846" s="9" t="s">
        <v>7171</v>
      </c>
      <c r="B846" s="10" t="s">
        <v>7172</v>
      </c>
      <c r="C846" s="11">
        <v>46096</v>
      </c>
      <c r="D846" s="12">
        <v>8.3333333333333329E-2</v>
      </c>
      <c r="E846" s="11">
        <v>46096.083333333336</v>
      </c>
      <c r="F846" s="10" t="s">
        <v>5001</v>
      </c>
      <c r="G846" s="13" t="b">
        <v>0</v>
      </c>
      <c r="H846" s="10"/>
      <c r="I846" s="10" t="s">
        <v>89</v>
      </c>
      <c r="J846" s="13" t="b">
        <v>0</v>
      </c>
      <c r="K846" s="13" t="b">
        <v>1</v>
      </c>
      <c r="L846" s="10" t="s">
        <v>124</v>
      </c>
      <c r="M846" s="10" t="s">
        <v>91</v>
      </c>
      <c r="N846" s="10" t="s">
        <v>92</v>
      </c>
      <c r="O846" s="10"/>
      <c r="P846" s="10"/>
      <c r="Q846" s="10"/>
      <c r="R846" s="10"/>
      <c r="S846" s="10"/>
      <c r="T846" s="10"/>
      <c r="U846" s="10" t="s">
        <v>5055</v>
      </c>
      <c r="V846" s="10" t="s">
        <v>5114</v>
      </c>
      <c r="W846" s="10" t="s">
        <v>5007</v>
      </c>
      <c r="X846" s="10" t="s">
        <v>130</v>
      </c>
      <c r="Y846" s="10" t="s">
        <v>130</v>
      </c>
      <c r="Z846" s="10" t="s">
        <v>99</v>
      </c>
      <c r="AA846" s="10" t="s">
        <v>131</v>
      </c>
      <c r="AB846" s="10" t="s">
        <v>5008</v>
      </c>
      <c r="AC846" s="10" t="s">
        <v>5009</v>
      </c>
      <c r="AD846" s="10" t="s">
        <v>7173</v>
      </c>
      <c r="AE846" s="10" t="s">
        <v>7174</v>
      </c>
      <c r="AF846" s="15"/>
      <c r="AG846" s="10"/>
      <c r="AH846" s="10"/>
      <c r="AI846" s="10"/>
      <c r="AJ846" s="10"/>
      <c r="AK846" s="10"/>
      <c r="AL846" s="10" t="s">
        <v>2761</v>
      </c>
      <c r="AM846" s="10"/>
      <c r="AN846" s="10"/>
      <c r="AO846" s="13" t="b">
        <v>0</v>
      </c>
      <c r="AP846" s="10" t="s">
        <v>104</v>
      </c>
      <c r="AQ846" s="10"/>
      <c r="AR846" s="17"/>
      <c r="AS846" s="17"/>
      <c r="AT846" s="17"/>
      <c r="AU846" s="17"/>
      <c r="AV846" s="17"/>
      <c r="AW846" s="10"/>
      <c r="AX846" s="17"/>
      <c r="AY846" s="18" t="s">
        <v>257</v>
      </c>
      <c r="AZ846" s="10"/>
      <c r="BA846" s="20" t="b">
        <v>0</v>
      </c>
      <c r="BB846" s="10"/>
      <c r="BC846" s="17" t="s">
        <v>257</v>
      </c>
      <c r="BD846" s="17" t="s">
        <v>257</v>
      </c>
      <c r="BE846" s="17" t="s">
        <v>257</v>
      </c>
      <c r="BF846" s="17" t="s">
        <v>257</v>
      </c>
      <c r="BG846" s="11">
        <f ca="1">IFERROR(__xludf.DUMMYFUNCTION("""COMPUTED_VALUE"""),46096)</f>
        <v>46096</v>
      </c>
      <c r="BH846" s="17"/>
      <c r="BI846" s="17"/>
      <c r="BJ846" s="15"/>
      <c r="BK846" s="15"/>
      <c r="BL846" s="13" t="b">
        <v>0</v>
      </c>
      <c r="BM846" s="10"/>
      <c r="BN846" s="10" t="s">
        <v>223</v>
      </c>
      <c r="BO846" s="11">
        <v>45866.101898148147</v>
      </c>
      <c r="BP846" s="11">
        <v>45866.101898148147</v>
      </c>
      <c r="BQ846" s="15"/>
      <c r="BR846" s="15"/>
      <c r="BS846" s="10"/>
      <c r="BT846" s="10"/>
      <c r="BU846" s="10"/>
      <c r="BV846" s="10"/>
      <c r="BW846" s="10"/>
      <c r="BX846" s="10"/>
      <c r="BY846" s="23"/>
      <c r="BZ846" s="23"/>
      <c r="CA846" s="23"/>
      <c r="CB846" s="23"/>
      <c r="CC846" s="23"/>
      <c r="CD846" s="23"/>
      <c r="CE846" s="23"/>
      <c r="CF846" s="23"/>
      <c r="CG846" s="23"/>
      <c r="CH846" s="23"/>
      <c r="CI846" s="23"/>
    </row>
    <row r="847" spans="1:87" x14ac:dyDescent="0.3">
      <c r="A847" s="9" t="s">
        <v>7175</v>
      </c>
      <c r="B847" s="10" t="s">
        <v>7176</v>
      </c>
      <c r="C847" s="11">
        <v>46096</v>
      </c>
      <c r="D847" s="12">
        <v>8.3333333333333329E-2</v>
      </c>
      <c r="E847" s="11">
        <v>46096.083333333336</v>
      </c>
      <c r="F847" s="10" t="s">
        <v>5001</v>
      </c>
      <c r="G847" s="13" t="b">
        <v>0</v>
      </c>
      <c r="H847" s="10"/>
      <c r="I847" s="10" t="s">
        <v>89</v>
      </c>
      <c r="J847" s="13" t="b">
        <v>0</v>
      </c>
      <c r="K847" s="13" t="b">
        <v>1</v>
      </c>
      <c r="L847" s="10" t="s">
        <v>124</v>
      </c>
      <c r="M847" s="10" t="s">
        <v>91</v>
      </c>
      <c r="N847" s="10" t="s">
        <v>92</v>
      </c>
      <c r="O847" s="10"/>
      <c r="P847" s="10"/>
      <c r="Q847" s="10"/>
      <c r="R847" s="10"/>
      <c r="S847" s="10"/>
      <c r="T847" s="10"/>
      <c r="U847" s="10" t="s">
        <v>5019</v>
      </c>
      <c r="V847" s="10" t="s">
        <v>5054</v>
      </c>
      <c r="W847" s="10" t="s">
        <v>5007</v>
      </c>
      <c r="X847" s="10" t="s">
        <v>130</v>
      </c>
      <c r="Y847" s="10" t="s">
        <v>130</v>
      </c>
      <c r="Z847" s="10" t="s">
        <v>99</v>
      </c>
      <c r="AA847" s="10" t="s">
        <v>131</v>
      </c>
      <c r="AB847" s="10" t="s">
        <v>5008</v>
      </c>
      <c r="AC847" s="10" t="s">
        <v>5009</v>
      </c>
      <c r="AD847" s="10" t="s">
        <v>7177</v>
      </c>
      <c r="AE847" s="10" t="s">
        <v>7178</v>
      </c>
      <c r="AF847" s="15"/>
      <c r="AG847" s="10"/>
      <c r="AH847" s="10"/>
      <c r="AI847" s="10"/>
      <c r="AJ847" s="10"/>
      <c r="AK847" s="10"/>
      <c r="AL847" s="10" t="s">
        <v>2761</v>
      </c>
      <c r="AM847" s="10"/>
      <c r="AN847" s="10"/>
      <c r="AO847" s="13" t="b">
        <v>0</v>
      </c>
      <c r="AP847" s="10" t="s">
        <v>104</v>
      </c>
      <c r="AQ847" s="10"/>
      <c r="AR847" s="17"/>
      <c r="AS847" s="17"/>
      <c r="AT847" s="17"/>
      <c r="AU847" s="17"/>
      <c r="AV847" s="17"/>
      <c r="AW847" s="10"/>
      <c r="AX847" s="17"/>
      <c r="AY847" s="18" t="s">
        <v>257</v>
      </c>
      <c r="AZ847" s="10"/>
      <c r="BA847" s="20" t="b">
        <v>0</v>
      </c>
      <c r="BB847" s="10"/>
      <c r="BC847" s="17" t="s">
        <v>257</v>
      </c>
      <c r="BD847" s="17" t="s">
        <v>257</v>
      </c>
      <c r="BE847" s="17" t="s">
        <v>257</v>
      </c>
      <c r="BF847" s="17" t="s">
        <v>257</v>
      </c>
      <c r="BG847" s="11">
        <f ca="1">IFERROR(__xludf.DUMMYFUNCTION("""COMPUTED_VALUE"""),46096)</f>
        <v>46096</v>
      </c>
      <c r="BH847" s="17"/>
      <c r="BI847" s="17"/>
      <c r="BJ847" s="15"/>
      <c r="BK847" s="15"/>
      <c r="BL847" s="13" t="b">
        <v>0</v>
      </c>
      <c r="BM847" s="10"/>
      <c r="BN847" s="10" t="s">
        <v>223</v>
      </c>
      <c r="BO847" s="11">
        <v>45866.101898148147</v>
      </c>
      <c r="BP847" s="11">
        <v>45866.101898148147</v>
      </c>
      <c r="BQ847" s="15"/>
      <c r="BR847" s="15"/>
      <c r="BS847" s="10"/>
      <c r="BT847" s="10"/>
      <c r="BU847" s="10"/>
      <c r="BV847" s="10"/>
      <c r="BW847" s="10"/>
      <c r="BX847" s="10"/>
      <c r="BY847" s="23"/>
      <c r="BZ847" s="23"/>
      <c r="CA847" s="23"/>
      <c r="CB847" s="23"/>
      <c r="CC847" s="23"/>
      <c r="CD847" s="23"/>
      <c r="CE847" s="23"/>
      <c r="CF847" s="23"/>
      <c r="CG847" s="23"/>
      <c r="CH847" s="23"/>
      <c r="CI847" s="23"/>
    </row>
    <row r="848" spans="1:87" x14ac:dyDescent="0.3">
      <c r="A848" s="9" t="s">
        <v>7179</v>
      </c>
      <c r="B848" s="10" t="s">
        <v>7180</v>
      </c>
      <c r="C848" s="11">
        <v>46096</v>
      </c>
      <c r="D848" s="12">
        <v>8.3333333333333329E-2</v>
      </c>
      <c r="E848" s="11">
        <v>46096.083333333336</v>
      </c>
      <c r="F848" s="10" t="s">
        <v>5001</v>
      </c>
      <c r="G848" s="13" t="b">
        <v>0</v>
      </c>
      <c r="H848" s="10"/>
      <c r="I848" s="10" t="s">
        <v>89</v>
      </c>
      <c r="J848" s="13" t="b">
        <v>0</v>
      </c>
      <c r="K848" s="13" t="b">
        <v>1</v>
      </c>
      <c r="L848" s="10" t="s">
        <v>124</v>
      </c>
      <c r="M848" s="10" t="s">
        <v>91</v>
      </c>
      <c r="N848" s="10" t="s">
        <v>92</v>
      </c>
      <c r="O848" s="10"/>
      <c r="P848" s="10"/>
      <c r="Q848" s="10"/>
      <c r="R848" s="10"/>
      <c r="S848" s="10"/>
      <c r="T848" s="10"/>
      <c r="U848" s="10" t="s">
        <v>5102</v>
      </c>
      <c r="V848" s="10" t="s">
        <v>5066</v>
      </c>
      <c r="W848" s="10" t="s">
        <v>5007</v>
      </c>
      <c r="X848" s="10" t="s">
        <v>130</v>
      </c>
      <c r="Y848" s="10" t="s">
        <v>130</v>
      </c>
      <c r="Z848" s="10" t="s">
        <v>99</v>
      </c>
      <c r="AA848" s="10" t="s">
        <v>131</v>
      </c>
      <c r="AB848" s="10" t="s">
        <v>5008</v>
      </c>
      <c r="AC848" s="10" t="s">
        <v>5009</v>
      </c>
      <c r="AD848" s="10" t="s">
        <v>7181</v>
      </c>
      <c r="AE848" s="10" t="s">
        <v>7182</v>
      </c>
      <c r="AF848" s="15"/>
      <c r="AG848" s="10"/>
      <c r="AH848" s="10"/>
      <c r="AI848" s="10"/>
      <c r="AJ848" s="10"/>
      <c r="AK848" s="10"/>
      <c r="AL848" s="10" t="s">
        <v>2761</v>
      </c>
      <c r="AM848" s="10"/>
      <c r="AN848" s="10"/>
      <c r="AO848" s="13" t="b">
        <v>0</v>
      </c>
      <c r="AP848" s="10" t="s">
        <v>104</v>
      </c>
      <c r="AQ848" s="10"/>
      <c r="AR848" s="17"/>
      <c r="AS848" s="17"/>
      <c r="AT848" s="17"/>
      <c r="AU848" s="17"/>
      <c r="AV848" s="17"/>
      <c r="AW848" s="10"/>
      <c r="AX848" s="17"/>
      <c r="AY848" s="18" t="s">
        <v>257</v>
      </c>
      <c r="AZ848" s="10"/>
      <c r="BA848" s="20" t="b">
        <v>0</v>
      </c>
      <c r="BB848" s="10"/>
      <c r="BC848" s="17" t="s">
        <v>257</v>
      </c>
      <c r="BD848" s="17" t="s">
        <v>257</v>
      </c>
      <c r="BE848" s="17" t="s">
        <v>257</v>
      </c>
      <c r="BF848" s="17" t="s">
        <v>257</v>
      </c>
      <c r="BG848" s="11">
        <f ca="1">IFERROR(__xludf.DUMMYFUNCTION("""COMPUTED_VALUE"""),46096)</f>
        <v>46096</v>
      </c>
      <c r="BH848" s="17"/>
      <c r="BI848" s="17"/>
      <c r="BJ848" s="15"/>
      <c r="BK848" s="15"/>
      <c r="BL848" s="13" t="b">
        <v>0</v>
      </c>
      <c r="BM848" s="10"/>
      <c r="BN848" s="10" t="s">
        <v>223</v>
      </c>
      <c r="BO848" s="11">
        <v>45866.101898148147</v>
      </c>
      <c r="BP848" s="11">
        <v>45866.101898148147</v>
      </c>
      <c r="BQ848" s="15"/>
      <c r="BR848" s="15"/>
      <c r="BS848" s="10"/>
      <c r="BT848" s="10"/>
      <c r="BU848" s="10"/>
      <c r="BV848" s="10"/>
      <c r="BW848" s="10"/>
      <c r="BX848" s="10"/>
      <c r="BY848" s="23"/>
      <c r="BZ848" s="23"/>
      <c r="CA848" s="23"/>
      <c r="CB848" s="23"/>
      <c r="CC848" s="23"/>
      <c r="CD848" s="23"/>
      <c r="CE848" s="23"/>
      <c r="CF848" s="23"/>
      <c r="CG848" s="23"/>
      <c r="CH848" s="23"/>
      <c r="CI848" s="23"/>
    </row>
    <row r="849" spans="1:87" x14ac:dyDescent="0.3">
      <c r="A849" s="9" t="s">
        <v>7183</v>
      </c>
      <c r="B849" s="10" t="s">
        <v>7184</v>
      </c>
      <c r="C849" s="11">
        <v>46096</v>
      </c>
      <c r="D849" s="12">
        <v>8.3333333333333329E-2</v>
      </c>
      <c r="E849" s="11">
        <v>46096.083333333336</v>
      </c>
      <c r="F849" s="10" t="s">
        <v>5001</v>
      </c>
      <c r="G849" s="13" t="b">
        <v>0</v>
      </c>
      <c r="H849" s="10"/>
      <c r="I849" s="10" t="s">
        <v>89</v>
      </c>
      <c r="J849" s="13" t="b">
        <v>0</v>
      </c>
      <c r="K849" s="13" t="b">
        <v>1</v>
      </c>
      <c r="L849" s="10" t="s">
        <v>124</v>
      </c>
      <c r="M849" s="10" t="s">
        <v>91</v>
      </c>
      <c r="N849" s="10" t="s">
        <v>92</v>
      </c>
      <c r="O849" s="10"/>
      <c r="P849" s="10"/>
      <c r="Q849" s="10"/>
      <c r="R849" s="10"/>
      <c r="S849" s="10"/>
      <c r="T849" s="10"/>
      <c r="U849" s="10" t="s">
        <v>5090</v>
      </c>
      <c r="V849" s="10" t="s">
        <v>5067</v>
      </c>
      <c r="W849" s="10" t="s">
        <v>5007</v>
      </c>
      <c r="X849" s="10" t="s">
        <v>130</v>
      </c>
      <c r="Y849" s="10" t="s">
        <v>130</v>
      </c>
      <c r="Z849" s="10" t="s">
        <v>99</v>
      </c>
      <c r="AA849" s="10" t="s">
        <v>131</v>
      </c>
      <c r="AB849" s="10" t="s">
        <v>5008</v>
      </c>
      <c r="AC849" s="10" t="s">
        <v>5009</v>
      </c>
      <c r="AD849" s="10" t="s">
        <v>7185</v>
      </c>
      <c r="AE849" s="10" t="s">
        <v>7186</v>
      </c>
      <c r="AF849" s="15"/>
      <c r="AG849" s="10"/>
      <c r="AH849" s="10"/>
      <c r="AI849" s="10"/>
      <c r="AJ849" s="10"/>
      <c r="AK849" s="10"/>
      <c r="AL849" s="10" t="s">
        <v>2761</v>
      </c>
      <c r="AM849" s="10"/>
      <c r="AN849" s="10"/>
      <c r="AO849" s="13" t="b">
        <v>0</v>
      </c>
      <c r="AP849" s="10" t="s">
        <v>104</v>
      </c>
      <c r="AQ849" s="10"/>
      <c r="AR849" s="17"/>
      <c r="AS849" s="17"/>
      <c r="AT849" s="17"/>
      <c r="AU849" s="17"/>
      <c r="AV849" s="17"/>
      <c r="AW849" s="10"/>
      <c r="AX849" s="17"/>
      <c r="AY849" s="18" t="s">
        <v>257</v>
      </c>
      <c r="AZ849" s="10"/>
      <c r="BA849" s="20" t="b">
        <v>0</v>
      </c>
      <c r="BB849" s="10"/>
      <c r="BC849" s="17" t="s">
        <v>257</v>
      </c>
      <c r="BD849" s="17" t="s">
        <v>257</v>
      </c>
      <c r="BE849" s="17" t="s">
        <v>257</v>
      </c>
      <c r="BF849" s="17" t="s">
        <v>257</v>
      </c>
      <c r="BG849" s="11">
        <f ca="1">IFERROR(__xludf.DUMMYFUNCTION("""COMPUTED_VALUE"""),46096)</f>
        <v>46096</v>
      </c>
      <c r="BH849" s="17"/>
      <c r="BI849" s="17"/>
      <c r="BJ849" s="15"/>
      <c r="BK849" s="15"/>
      <c r="BL849" s="13" t="b">
        <v>0</v>
      </c>
      <c r="BM849" s="10"/>
      <c r="BN849" s="10" t="s">
        <v>223</v>
      </c>
      <c r="BO849" s="11">
        <v>45866.101898148147</v>
      </c>
      <c r="BP849" s="11">
        <v>45866.101898148147</v>
      </c>
      <c r="BQ849" s="15"/>
      <c r="BR849" s="15"/>
      <c r="BS849" s="10"/>
      <c r="BT849" s="10"/>
      <c r="BU849" s="10"/>
      <c r="BV849" s="10"/>
      <c r="BW849" s="10"/>
      <c r="BX849" s="10"/>
      <c r="BY849" s="23"/>
      <c r="BZ849" s="23"/>
      <c r="CA849" s="23"/>
      <c r="CB849" s="23"/>
      <c r="CC849" s="23"/>
      <c r="CD849" s="23"/>
      <c r="CE849" s="23"/>
      <c r="CF849" s="23"/>
      <c r="CG849" s="23"/>
      <c r="CH849" s="23"/>
      <c r="CI849" s="23"/>
    </row>
    <row r="850" spans="1:87" x14ac:dyDescent="0.3">
      <c r="A850" s="9" t="s">
        <v>7187</v>
      </c>
      <c r="B850" s="10" t="s">
        <v>7188</v>
      </c>
      <c r="C850" s="11">
        <v>46096</v>
      </c>
      <c r="D850" s="12">
        <v>8.3333333333333329E-2</v>
      </c>
      <c r="E850" s="11">
        <v>46096.083333333336</v>
      </c>
      <c r="F850" s="10" t="s">
        <v>5001</v>
      </c>
      <c r="G850" s="13" t="b">
        <v>0</v>
      </c>
      <c r="H850" s="10"/>
      <c r="I850" s="10" t="s">
        <v>89</v>
      </c>
      <c r="J850" s="13" t="b">
        <v>0</v>
      </c>
      <c r="K850" s="13" t="b">
        <v>1</v>
      </c>
      <c r="L850" s="10" t="s">
        <v>124</v>
      </c>
      <c r="M850" s="10" t="s">
        <v>91</v>
      </c>
      <c r="N850" s="10" t="s">
        <v>92</v>
      </c>
      <c r="O850" s="10"/>
      <c r="P850" s="10"/>
      <c r="Q850" s="10"/>
      <c r="R850" s="10"/>
      <c r="S850" s="10"/>
      <c r="T850" s="10"/>
      <c r="U850" s="10" t="s">
        <v>5031</v>
      </c>
      <c r="V850" s="10" t="s">
        <v>5018</v>
      </c>
      <c r="W850" s="10" t="s">
        <v>5007</v>
      </c>
      <c r="X850" s="10" t="s">
        <v>130</v>
      </c>
      <c r="Y850" s="10" t="s">
        <v>130</v>
      </c>
      <c r="Z850" s="10" t="s">
        <v>99</v>
      </c>
      <c r="AA850" s="10" t="s">
        <v>131</v>
      </c>
      <c r="AB850" s="10" t="s">
        <v>5008</v>
      </c>
      <c r="AC850" s="10" t="s">
        <v>5009</v>
      </c>
      <c r="AD850" s="10" t="s">
        <v>7189</v>
      </c>
      <c r="AE850" s="10" t="s">
        <v>7190</v>
      </c>
      <c r="AF850" s="15"/>
      <c r="AG850" s="10"/>
      <c r="AH850" s="10"/>
      <c r="AI850" s="10"/>
      <c r="AJ850" s="10"/>
      <c r="AK850" s="10"/>
      <c r="AL850" s="10" t="s">
        <v>2761</v>
      </c>
      <c r="AM850" s="10"/>
      <c r="AN850" s="10"/>
      <c r="AO850" s="13" t="b">
        <v>0</v>
      </c>
      <c r="AP850" s="10" t="s">
        <v>104</v>
      </c>
      <c r="AQ850" s="10"/>
      <c r="AR850" s="17"/>
      <c r="AS850" s="17"/>
      <c r="AT850" s="17"/>
      <c r="AU850" s="17"/>
      <c r="AV850" s="17"/>
      <c r="AW850" s="10"/>
      <c r="AX850" s="17"/>
      <c r="AY850" s="18" t="s">
        <v>257</v>
      </c>
      <c r="AZ850" s="10"/>
      <c r="BA850" s="20" t="b">
        <v>0</v>
      </c>
      <c r="BB850" s="10"/>
      <c r="BC850" s="17" t="s">
        <v>257</v>
      </c>
      <c r="BD850" s="17" t="s">
        <v>257</v>
      </c>
      <c r="BE850" s="17" t="s">
        <v>257</v>
      </c>
      <c r="BF850" s="17" t="s">
        <v>257</v>
      </c>
      <c r="BG850" s="11">
        <f ca="1">IFERROR(__xludf.DUMMYFUNCTION("""COMPUTED_VALUE"""),46096)</f>
        <v>46096</v>
      </c>
      <c r="BH850" s="17"/>
      <c r="BI850" s="17"/>
      <c r="BJ850" s="15"/>
      <c r="BK850" s="15"/>
      <c r="BL850" s="13" t="b">
        <v>0</v>
      </c>
      <c r="BM850" s="10"/>
      <c r="BN850" s="10" t="s">
        <v>223</v>
      </c>
      <c r="BO850" s="11">
        <v>45866.101898148147</v>
      </c>
      <c r="BP850" s="11">
        <v>45866.101898148147</v>
      </c>
      <c r="BQ850" s="15"/>
      <c r="BR850" s="15"/>
      <c r="BS850" s="10"/>
      <c r="BT850" s="10"/>
      <c r="BU850" s="10"/>
      <c r="BV850" s="10"/>
      <c r="BW850" s="10"/>
      <c r="BX850" s="10"/>
      <c r="BY850" s="23"/>
      <c r="BZ850" s="23"/>
      <c r="CA850" s="23"/>
      <c r="CB850" s="23"/>
      <c r="CC850" s="23"/>
      <c r="CD850" s="23"/>
      <c r="CE850" s="23"/>
      <c r="CF850" s="23"/>
      <c r="CG850" s="23"/>
      <c r="CH850" s="23"/>
      <c r="CI850" s="23"/>
    </row>
    <row r="851" spans="1:87" x14ac:dyDescent="0.3">
      <c r="A851" s="9" t="s">
        <v>7191</v>
      </c>
      <c r="B851" s="10" t="s">
        <v>7192</v>
      </c>
      <c r="C851" s="11">
        <v>46096</v>
      </c>
      <c r="D851" s="12">
        <v>8.3333333333333329E-2</v>
      </c>
      <c r="E851" s="11">
        <v>46096.083333333336</v>
      </c>
      <c r="F851" s="10" t="s">
        <v>5001</v>
      </c>
      <c r="G851" s="13" t="b">
        <v>0</v>
      </c>
      <c r="H851" s="10"/>
      <c r="I851" s="10" t="s">
        <v>89</v>
      </c>
      <c r="J851" s="13" t="b">
        <v>0</v>
      </c>
      <c r="K851" s="13" t="b">
        <v>1</v>
      </c>
      <c r="L851" s="10" t="s">
        <v>124</v>
      </c>
      <c r="M851" s="10" t="s">
        <v>91</v>
      </c>
      <c r="N851" s="10" t="s">
        <v>92</v>
      </c>
      <c r="O851" s="10"/>
      <c r="P851" s="10"/>
      <c r="Q851" s="10"/>
      <c r="R851" s="10"/>
      <c r="S851" s="10"/>
      <c r="T851" s="10"/>
      <c r="U851" s="10" t="s">
        <v>5006</v>
      </c>
      <c r="V851" s="10" t="s">
        <v>5032</v>
      </c>
      <c r="W851" s="10" t="s">
        <v>5007</v>
      </c>
      <c r="X851" s="10" t="s">
        <v>130</v>
      </c>
      <c r="Y851" s="10" t="s">
        <v>130</v>
      </c>
      <c r="Z851" s="10" t="s">
        <v>99</v>
      </c>
      <c r="AA851" s="10" t="s">
        <v>131</v>
      </c>
      <c r="AB851" s="10" t="s">
        <v>5008</v>
      </c>
      <c r="AC851" s="10" t="s">
        <v>5009</v>
      </c>
      <c r="AD851" s="10" t="s">
        <v>7193</v>
      </c>
      <c r="AE851" s="10" t="s">
        <v>7194</v>
      </c>
      <c r="AF851" s="15"/>
      <c r="AG851" s="10"/>
      <c r="AH851" s="10"/>
      <c r="AI851" s="10"/>
      <c r="AJ851" s="10"/>
      <c r="AK851" s="10"/>
      <c r="AL851" s="10" t="s">
        <v>2761</v>
      </c>
      <c r="AM851" s="10"/>
      <c r="AN851" s="10"/>
      <c r="AO851" s="13" t="b">
        <v>0</v>
      </c>
      <c r="AP851" s="10" t="s">
        <v>104</v>
      </c>
      <c r="AQ851" s="10"/>
      <c r="AR851" s="17"/>
      <c r="AS851" s="17"/>
      <c r="AT851" s="17"/>
      <c r="AU851" s="17"/>
      <c r="AV851" s="17"/>
      <c r="AW851" s="10"/>
      <c r="AX851" s="17"/>
      <c r="AY851" s="18" t="s">
        <v>257</v>
      </c>
      <c r="AZ851" s="10"/>
      <c r="BA851" s="20" t="b">
        <v>0</v>
      </c>
      <c r="BB851" s="10"/>
      <c r="BC851" s="17" t="s">
        <v>257</v>
      </c>
      <c r="BD851" s="17" t="s">
        <v>257</v>
      </c>
      <c r="BE851" s="17" t="s">
        <v>257</v>
      </c>
      <c r="BF851" s="17" t="s">
        <v>257</v>
      </c>
      <c r="BG851" s="11">
        <f ca="1">IFERROR(__xludf.DUMMYFUNCTION("""COMPUTED_VALUE"""),46096)</f>
        <v>46096</v>
      </c>
      <c r="BH851" s="17"/>
      <c r="BI851" s="17"/>
      <c r="BJ851" s="15"/>
      <c r="BK851" s="15"/>
      <c r="BL851" s="13" t="b">
        <v>0</v>
      </c>
      <c r="BM851" s="10"/>
      <c r="BN851" s="10" t="s">
        <v>223</v>
      </c>
      <c r="BO851" s="11">
        <v>45866.101898148147</v>
      </c>
      <c r="BP851" s="11">
        <v>45866.101898148147</v>
      </c>
      <c r="BQ851" s="15"/>
      <c r="BR851" s="15"/>
      <c r="BS851" s="10"/>
      <c r="BT851" s="10"/>
      <c r="BU851" s="10"/>
      <c r="BV851" s="10"/>
      <c r="BW851" s="10"/>
      <c r="BX851" s="10"/>
      <c r="BY851" s="23"/>
      <c r="BZ851" s="23"/>
      <c r="CA851" s="23"/>
      <c r="CB851" s="23"/>
      <c r="CC851" s="23"/>
      <c r="CD851" s="23"/>
      <c r="CE851" s="23"/>
      <c r="CF851" s="23"/>
      <c r="CG851" s="23"/>
      <c r="CH851" s="23"/>
      <c r="CI851" s="23"/>
    </row>
    <row r="852" spans="1:87" x14ac:dyDescent="0.3">
      <c r="A852" s="9" t="s">
        <v>7195</v>
      </c>
      <c r="B852" s="10" t="s">
        <v>7196</v>
      </c>
      <c r="C852" s="11">
        <v>46096</v>
      </c>
      <c r="D852" s="12">
        <v>8.3333333333333329E-2</v>
      </c>
      <c r="E852" s="11">
        <v>46096.083333333336</v>
      </c>
      <c r="F852" s="10" t="s">
        <v>5001</v>
      </c>
      <c r="G852" s="13" t="b">
        <v>0</v>
      </c>
      <c r="H852" s="10"/>
      <c r="I852" s="10" t="s">
        <v>89</v>
      </c>
      <c r="J852" s="13" t="b">
        <v>0</v>
      </c>
      <c r="K852" s="13" t="b">
        <v>1</v>
      </c>
      <c r="L852" s="10" t="s">
        <v>124</v>
      </c>
      <c r="M852" s="10" t="s">
        <v>91</v>
      </c>
      <c r="N852" s="10" t="s">
        <v>92</v>
      </c>
      <c r="O852" s="10"/>
      <c r="P852" s="10"/>
      <c r="Q852" s="10"/>
      <c r="R852" s="10"/>
      <c r="S852" s="10"/>
      <c r="T852" s="10"/>
      <c r="U852" s="10" t="s">
        <v>5042</v>
      </c>
      <c r="V852" s="10" t="s">
        <v>5077</v>
      </c>
      <c r="W852" s="10" t="s">
        <v>5007</v>
      </c>
      <c r="X852" s="10" t="s">
        <v>130</v>
      </c>
      <c r="Y852" s="10" t="s">
        <v>130</v>
      </c>
      <c r="Z852" s="10" t="s">
        <v>99</v>
      </c>
      <c r="AA852" s="10" t="s">
        <v>131</v>
      </c>
      <c r="AB852" s="10" t="s">
        <v>5008</v>
      </c>
      <c r="AC852" s="10" t="s">
        <v>5009</v>
      </c>
      <c r="AD852" s="10" t="s">
        <v>7197</v>
      </c>
      <c r="AE852" s="10" t="s">
        <v>7198</v>
      </c>
      <c r="AF852" s="15"/>
      <c r="AG852" s="10"/>
      <c r="AH852" s="10"/>
      <c r="AI852" s="10"/>
      <c r="AJ852" s="10"/>
      <c r="AK852" s="10"/>
      <c r="AL852" s="10" t="s">
        <v>2761</v>
      </c>
      <c r="AM852" s="10"/>
      <c r="AN852" s="10"/>
      <c r="AO852" s="13" t="b">
        <v>1</v>
      </c>
      <c r="AP852" s="10" t="s">
        <v>104</v>
      </c>
      <c r="AQ852" s="10"/>
      <c r="AR852" s="17"/>
      <c r="AS852" s="17"/>
      <c r="AT852" s="17"/>
      <c r="AU852" s="17"/>
      <c r="AV852" s="17"/>
      <c r="AW852" s="10"/>
      <c r="AX852" s="17"/>
      <c r="AY852" s="18" t="s">
        <v>257</v>
      </c>
      <c r="AZ852" s="10"/>
      <c r="BA852" s="20" t="b">
        <v>0</v>
      </c>
      <c r="BB852" s="10"/>
      <c r="BC852" s="17" t="s">
        <v>257</v>
      </c>
      <c r="BD852" s="17" t="s">
        <v>257</v>
      </c>
      <c r="BE852" s="17" t="s">
        <v>257</v>
      </c>
      <c r="BF852" s="17" t="s">
        <v>257</v>
      </c>
      <c r="BG852" s="11">
        <f ca="1">IFERROR(__xludf.DUMMYFUNCTION("""COMPUTED_VALUE"""),46096)</f>
        <v>46096</v>
      </c>
      <c r="BH852" s="17"/>
      <c r="BI852" s="17"/>
      <c r="BJ852" s="15"/>
      <c r="BK852" s="15"/>
      <c r="BL852" s="13" t="b">
        <v>0</v>
      </c>
      <c r="BM852" s="10"/>
      <c r="BN852" s="10" t="s">
        <v>223</v>
      </c>
      <c r="BO852" s="11">
        <v>45866.101898148147</v>
      </c>
      <c r="BP852" s="11">
        <v>45866.101898148147</v>
      </c>
      <c r="BQ852" s="15"/>
      <c r="BR852" s="15"/>
      <c r="BS852" s="10"/>
      <c r="BT852" s="10"/>
      <c r="BU852" s="10"/>
      <c r="BV852" s="10"/>
      <c r="BW852" s="10"/>
      <c r="BX852" s="10"/>
      <c r="BY852" s="23"/>
      <c r="BZ852" s="23"/>
      <c r="CA852" s="23"/>
      <c r="CB852" s="23"/>
      <c r="CC852" s="23"/>
      <c r="CD852" s="23"/>
      <c r="CE852" s="23"/>
      <c r="CF852" s="23"/>
      <c r="CG852" s="23"/>
      <c r="CH852" s="23"/>
      <c r="CI852" s="23"/>
    </row>
    <row r="853" spans="1:87" x14ac:dyDescent="0.3">
      <c r="A853" s="9" t="s">
        <v>7199</v>
      </c>
      <c r="B853" s="10" t="s">
        <v>7200</v>
      </c>
      <c r="C853" s="11">
        <v>46096</v>
      </c>
      <c r="D853" s="12">
        <v>8.3333333333333329E-2</v>
      </c>
      <c r="E853" s="11">
        <v>46096.083333333336</v>
      </c>
      <c r="F853" s="10" t="s">
        <v>5001</v>
      </c>
      <c r="G853" s="13" t="b">
        <v>0</v>
      </c>
      <c r="H853" s="10"/>
      <c r="I853" s="10" t="s">
        <v>89</v>
      </c>
      <c r="J853" s="13" t="b">
        <v>0</v>
      </c>
      <c r="K853" s="13" t="b">
        <v>1</v>
      </c>
      <c r="L853" s="10" t="s">
        <v>124</v>
      </c>
      <c r="M853" s="10" t="s">
        <v>91</v>
      </c>
      <c r="N853" s="10" t="s">
        <v>92</v>
      </c>
      <c r="O853" s="10"/>
      <c r="P853" s="10"/>
      <c r="Q853" s="10"/>
      <c r="R853" s="10"/>
      <c r="S853" s="10"/>
      <c r="T853" s="10"/>
      <c r="U853" s="10" t="s">
        <v>5041</v>
      </c>
      <c r="V853" s="10" t="s">
        <v>5089</v>
      </c>
      <c r="W853" s="10" t="s">
        <v>5007</v>
      </c>
      <c r="X853" s="10" t="s">
        <v>130</v>
      </c>
      <c r="Y853" s="10" t="s">
        <v>130</v>
      </c>
      <c r="Z853" s="10" t="s">
        <v>99</v>
      </c>
      <c r="AA853" s="10" t="s">
        <v>131</v>
      </c>
      <c r="AB853" s="10" t="s">
        <v>5008</v>
      </c>
      <c r="AC853" s="10" t="s">
        <v>5009</v>
      </c>
      <c r="AD853" s="10" t="s">
        <v>7201</v>
      </c>
      <c r="AE853" s="10" t="s">
        <v>7202</v>
      </c>
      <c r="AF853" s="15"/>
      <c r="AG853" s="10"/>
      <c r="AH853" s="10"/>
      <c r="AI853" s="10"/>
      <c r="AJ853" s="10"/>
      <c r="AK853" s="10"/>
      <c r="AL853" s="10" t="s">
        <v>2761</v>
      </c>
      <c r="AM853" s="10"/>
      <c r="AN853" s="10"/>
      <c r="AO853" s="13" t="b">
        <v>0</v>
      </c>
      <c r="AP853" s="10" t="s">
        <v>104</v>
      </c>
      <c r="AQ853" s="10"/>
      <c r="AR853" s="17"/>
      <c r="AS853" s="17"/>
      <c r="AT853" s="17"/>
      <c r="AU853" s="17"/>
      <c r="AV853" s="17"/>
      <c r="AW853" s="10"/>
      <c r="AX853" s="17"/>
      <c r="AY853" s="18" t="s">
        <v>257</v>
      </c>
      <c r="AZ853" s="10"/>
      <c r="BA853" s="20" t="b">
        <v>0</v>
      </c>
      <c r="BB853" s="10"/>
      <c r="BC853" s="17" t="s">
        <v>257</v>
      </c>
      <c r="BD853" s="17" t="s">
        <v>257</v>
      </c>
      <c r="BE853" s="17" t="s">
        <v>257</v>
      </c>
      <c r="BF853" s="17" t="s">
        <v>257</v>
      </c>
      <c r="BG853" s="11">
        <f ca="1">IFERROR(__xludf.DUMMYFUNCTION("""COMPUTED_VALUE"""),46096)</f>
        <v>46096</v>
      </c>
      <c r="BH853" s="17"/>
      <c r="BI853" s="17"/>
      <c r="BJ853" s="15"/>
      <c r="BK853" s="15"/>
      <c r="BL853" s="13" t="b">
        <v>0</v>
      </c>
      <c r="BM853" s="10"/>
      <c r="BN853" s="10" t="s">
        <v>223</v>
      </c>
      <c r="BO853" s="11">
        <v>45866.101898148147</v>
      </c>
      <c r="BP853" s="11">
        <v>45866.101898148147</v>
      </c>
      <c r="BQ853" s="15"/>
      <c r="BR853" s="15"/>
      <c r="BS853" s="10"/>
      <c r="BT853" s="10"/>
      <c r="BU853" s="10"/>
      <c r="BV853" s="10"/>
      <c r="BW853" s="10"/>
      <c r="BX853" s="10"/>
      <c r="BY853" s="23"/>
      <c r="BZ853" s="23"/>
      <c r="CA853" s="23"/>
      <c r="CB853" s="23"/>
      <c r="CC853" s="23"/>
      <c r="CD853" s="23"/>
      <c r="CE853" s="23"/>
      <c r="CF853" s="23"/>
      <c r="CG853" s="23"/>
      <c r="CH853" s="23"/>
      <c r="CI853" s="23"/>
    </row>
    <row r="854" spans="1:87" x14ac:dyDescent="0.3">
      <c r="A854" s="9" t="s">
        <v>7203</v>
      </c>
      <c r="B854" s="10" t="s">
        <v>7204</v>
      </c>
      <c r="C854" s="11">
        <v>46096</v>
      </c>
      <c r="D854" s="12">
        <v>8.3333333333333329E-2</v>
      </c>
      <c r="E854" s="11">
        <v>46096.083333333336</v>
      </c>
      <c r="F854" s="10" t="s">
        <v>5001</v>
      </c>
      <c r="G854" s="13" t="b">
        <v>0</v>
      </c>
      <c r="H854" s="10"/>
      <c r="I854" s="10" t="s">
        <v>89</v>
      </c>
      <c r="J854" s="13" t="b">
        <v>0</v>
      </c>
      <c r="K854" s="13" t="b">
        <v>1</v>
      </c>
      <c r="L854" s="10" t="s">
        <v>124</v>
      </c>
      <c r="M854" s="10" t="s">
        <v>91</v>
      </c>
      <c r="N854" s="10" t="s">
        <v>92</v>
      </c>
      <c r="O854" s="10"/>
      <c r="P854" s="10"/>
      <c r="Q854" s="10"/>
      <c r="R854" s="10"/>
      <c r="S854" s="10"/>
      <c r="T854" s="10"/>
      <c r="U854" s="10" t="s">
        <v>5005</v>
      </c>
      <c r="V854" s="10" t="s">
        <v>5076</v>
      </c>
      <c r="W854" s="10" t="s">
        <v>5007</v>
      </c>
      <c r="X854" s="10" t="s">
        <v>130</v>
      </c>
      <c r="Y854" s="10" t="s">
        <v>130</v>
      </c>
      <c r="Z854" s="10" t="s">
        <v>99</v>
      </c>
      <c r="AA854" s="10" t="s">
        <v>131</v>
      </c>
      <c r="AB854" s="10" t="s">
        <v>5008</v>
      </c>
      <c r="AC854" s="10" t="s">
        <v>5009</v>
      </c>
      <c r="AD854" s="10" t="s">
        <v>7205</v>
      </c>
      <c r="AE854" s="10" t="s">
        <v>7206</v>
      </c>
      <c r="AF854" s="15"/>
      <c r="AG854" s="10"/>
      <c r="AH854" s="10"/>
      <c r="AI854" s="10"/>
      <c r="AJ854" s="10"/>
      <c r="AK854" s="10"/>
      <c r="AL854" s="10" t="s">
        <v>2761</v>
      </c>
      <c r="AM854" s="10"/>
      <c r="AN854" s="10"/>
      <c r="AO854" s="13" t="b">
        <v>0</v>
      </c>
      <c r="AP854" s="10" t="s">
        <v>104</v>
      </c>
      <c r="AQ854" s="10"/>
      <c r="AR854" s="17"/>
      <c r="AS854" s="17"/>
      <c r="AT854" s="17"/>
      <c r="AU854" s="17"/>
      <c r="AV854" s="17"/>
      <c r="AW854" s="10"/>
      <c r="AX854" s="17"/>
      <c r="AY854" s="18" t="s">
        <v>257</v>
      </c>
      <c r="AZ854" s="10"/>
      <c r="BA854" s="20" t="b">
        <v>0</v>
      </c>
      <c r="BB854" s="10"/>
      <c r="BC854" s="17" t="s">
        <v>257</v>
      </c>
      <c r="BD854" s="17" t="s">
        <v>257</v>
      </c>
      <c r="BE854" s="17" t="s">
        <v>257</v>
      </c>
      <c r="BF854" s="17" t="s">
        <v>257</v>
      </c>
      <c r="BG854" s="11">
        <f ca="1">IFERROR(__xludf.DUMMYFUNCTION("""COMPUTED_VALUE"""),46096)</f>
        <v>46096</v>
      </c>
      <c r="BH854" s="17"/>
      <c r="BI854" s="17"/>
      <c r="BJ854" s="15"/>
      <c r="BK854" s="15"/>
      <c r="BL854" s="13" t="b">
        <v>0</v>
      </c>
      <c r="BM854" s="10"/>
      <c r="BN854" s="10" t="s">
        <v>223</v>
      </c>
      <c r="BO854" s="11">
        <v>45866.101898148147</v>
      </c>
      <c r="BP854" s="11">
        <v>45866.101898148147</v>
      </c>
      <c r="BQ854" s="15"/>
      <c r="BR854" s="15"/>
      <c r="BS854" s="10"/>
      <c r="BT854" s="10"/>
      <c r="BU854" s="10"/>
      <c r="BV854" s="10"/>
      <c r="BW854" s="10"/>
      <c r="BX854" s="10"/>
      <c r="BY854" s="23"/>
      <c r="BZ854" s="23"/>
      <c r="CA854" s="23"/>
      <c r="CB854" s="23"/>
      <c r="CC854" s="23"/>
      <c r="CD854" s="23"/>
      <c r="CE854" s="23"/>
      <c r="CF854" s="23"/>
      <c r="CG854" s="23"/>
      <c r="CH854" s="23"/>
      <c r="CI854" s="23"/>
    </row>
    <row r="855" spans="1:87" x14ac:dyDescent="0.3">
      <c r="A855" s="9" t="s">
        <v>7207</v>
      </c>
      <c r="B855" s="10" t="s">
        <v>7208</v>
      </c>
      <c r="C855" s="11">
        <v>46096</v>
      </c>
      <c r="D855" s="12">
        <v>8.3333333333333329E-2</v>
      </c>
      <c r="E855" s="11">
        <v>46096.083333333336</v>
      </c>
      <c r="F855" s="10" t="s">
        <v>5001</v>
      </c>
      <c r="G855" s="13" t="b">
        <v>0</v>
      </c>
      <c r="H855" s="10"/>
      <c r="I855" s="10" t="s">
        <v>89</v>
      </c>
      <c r="J855" s="13" t="b">
        <v>0</v>
      </c>
      <c r="K855" s="13" t="b">
        <v>1</v>
      </c>
      <c r="L855" s="10" t="s">
        <v>124</v>
      </c>
      <c r="M855" s="10" t="s">
        <v>91</v>
      </c>
      <c r="N855" s="10" t="s">
        <v>92</v>
      </c>
      <c r="O855" s="10"/>
      <c r="P855" s="10"/>
      <c r="Q855" s="10"/>
      <c r="R855" s="10"/>
      <c r="S855" s="10"/>
      <c r="T855" s="10"/>
      <c r="U855" s="10" t="s">
        <v>5113</v>
      </c>
      <c r="V855" s="10" t="s">
        <v>5101</v>
      </c>
      <c r="W855" s="10" t="s">
        <v>5007</v>
      </c>
      <c r="X855" s="10" t="s">
        <v>130</v>
      </c>
      <c r="Y855" s="10" t="s">
        <v>130</v>
      </c>
      <c r="Z855" s="10" t="s">
        <v>99</v>
      </c>
      <c r="AA855" s="10" t="s">
        <v>131</v>
      </c>
      <c r="AB855" s="10" t="s">
        <v>5008</v>
      </c>
      <c r="AC855" s="10" t="s">
        <v>5009</v>
      </c>
      <c r="AD855" s="10" t="s">
        <v>7209</v>
      </c>
      <c r="AE855" s="10" t="s">
        <v>7210</v>
      </c>
      <c r="AF855" s="15"/>
      <c r="AG855" s="10"/>
      <c r="AH855" s="10"/>
      <c r="AI855" s="10"/>
      <c r="AJ855" s="10"/>
      <c r="AK855" s="10"/>
      <c r="AL855" s="10" t="s">
        <v>2761</v>
      </c>
      <c r="AM855" s="10"/>
      <c r="AN855" s="10"/>
      <c r="AO855" s="13" t="b">
        <v>1</v>
      </c>
      <c r="AP855" s="10" t="s">
        <v>104</v>
      </c>
      <c r="AQ855" s="10"/>
      <c r="AR855" s="17"/>
      <c r="AS855" s="17"/>
      <c r="AT855" s="17"/>
      <c r="AU855" s="17"/>
      <c r="AV855" s="17"/>
      <c r="AW855" s="10"/>
      <c r="AX855" s="17"/>
      <c r="AY855" s="18" t="s">
        <v>257</v>
      </c>
      <c r="AZ855" s="10"/>
      <c r="BA855" s="20" t="b">
        <v>0</v>
      </c>
      <c r="BB855" s="10"/>
      <c r="BC855" s="17" t="s">
        <v>257</v>
      </c>
      <c r="BD855" s="17" t="s">
        <v>257</v>
      </c>
      <c r="BE855" s="17" t="s">
        <v>257</v>
      </c>
      <c r="BF855" s="17" t="s">
        <v>257</v>
      </c>
      <c r="BG855" s="11">
        <f ca="1">IFERROR(__xludf.DUMMYFUNCTION("""COMPUTED_VALUE"""),46096)</f>
        <v>46096</v>
      </c>
      <c r="BH855" s="17"/>
      <c r="BI855" s="17"/>
      <c r="BJ855" s="15"/>
      <c r="BK855" s="15"/>
      <c r="BL855" s="13" t="b">
        <v>0</v>
      </c>
      <c r="BM855" s="10"/>
      <c r="BN855" s="10" t="s">
        <v>223</v>
      </c>
      <c r="BO855" s="11">
        <v>45866.101898148147</v>
      </c>
      <c r="BP855" s="11">
        <v>45866.101898148147</v>
      </c>
      <c r="BQ855" s="15"/>
      <c r="BR855" s="15"/>
      <c r="BS855" s="10"/>
      <c r="BT855" s="10"/>
      <c r="BU855" s="10"/>
      <c r="BV855" s="10"/>
      <c r="BW855" s="10"/>
      <c r="BX855" s="10"/>
      <c r="BY855" s="23"/>
      <c r="BZ855" s="23"/>
      <c r="CA855" s="23"/>
      <c r="CB855" s="23"/>
      <c r="CC855" s="23"/>
      <c r="CD855" s="23"/>
      <c r="CE855" s="23"/>
      <c r="CF855" s="23"/>
      <c r="CG855" s="23"/>
      <c r="CH855" s="23"/>
      <c r="CI855" s="23"/>
    </row>
    <row r="856" spans="1:87" x14ac:dyDescent="0.3">
      <c r="A856" s="9" t="s">
        <v>7211</v>
      </c>
      <c r="B856" s="10" t="s">
        <v>7212</v>
      </c>
      <c r="C856" s="11">
        <v>46103</v>
      </c>
      <c r="D856" s="12">
        <v>8.3333333333333329E-2</v>
      </c>
      <c r="E856" s="11">
        <v>46103.083333333336</v>
      </c>
      <c r="F856" s="10" t="s">
        <v>5001</v>
      </c>
      <c r="G856" s="13" t="b">
        <v>0</v>
      </c>
      <c r="H856" s="10"/>
      <c r="I856" s="10" t="s">
        <v>89</v>
      </c>
      <c r="J856" s="13" t="b">
        <v>0</v>
      </c>
      <c r="K856" s="13" t="b">
        <v>1</v>
      </c>
      <c r="L856" s="10" t="s">
        <v>124</v>
      </c>
      <c r="M856" s="10" t="s">
        <v>91</v>
      </c>
      <c r="N856" s="10" t="s">
        <v>92</v>
      </c>
      <c r="O856" s="10"/>
      <c r="P856" s="10"/>
      <c r="Q856" s="10"/>
      <c r="R856" s="10"/>
      <c r="S856" s="10"/>
      <c r="T856" s="10"/>
      <c r="U856" s="10" t="s">
        <v>5114</v>
      </c>
      <c r="V856" s="10" t="s">
        <v>5005</v>
      </c>
      <c r="W856" s="10" t="s">
        <v>5007</v>
      </c>
      <c r="X856" s="10" t="s">
        <v>130</v>
      </c>
      <c r="Y856" s="10" t="s">
        <v>130</v>
      </c>
      <c r="Z856" s="10" t="s">
        <v>99</v>
      </c>
      <c r="AA856" s="10" t="s">
        <v>131</v>
      </c>
      <c r="AB856" s="10" t="s">
        <v>5008</v>
      </c>
      <c r="AC856" s="10" t="s">
        <v>5009</v>
      </c>
      <c r="AD856" s="10" t="s">
        <v>7213</v>
      </c>
      <c r="AE856" s="10" t="s">
        <v>7214</v>
      </c>
      <c r="AF856" s="15"/>
      <c r="AG856" s="10"/>
      <c r="AH856" s="10"/>
      <c r="AI856" s="10"/>
      <c r="AJ856" s="10"/>
      <c r="AK856" s="10"/>
      <c r="AL856" s="10" t="s">
        <v>2802</v>
      </c>
      <c r="AM856" s="10"/>
      <c r="AN856" s="10"/>
      <c r="AO856" s="13" t="b">
        <v>0</v>
      </c>
      <c r="AP856" s="10" t="s">
        <v>104</v>
      </c>
      <c r="AQ856" s="10"/>
      <c r="AR856" s="17"/>
      <c r="AS856" s="17"/>
      <c r="AT856" s="17"/>
      <c r="AU856" s="17"/>
      <c r="AV856" s="17"/>
      <c r="AW856" s="10"/>
      <c r="AX856" s="17"/>
      <c r="AY856" s="18" t="s">
        <v>257</v>
      </c>
      <c r="AZ856" s="10"/>
      <c r="BA856" s="20" t="b">
        <v>0</v>
      </c>
      <c r="BB856" s="10"/>
      <c r="BC856" s="17" t="s">
        <v>257</v>
      </c>
      <c r="BD856" s="17" t="s">
        <v>257</v>
      </c>
      <c r="BE856" s="17" t="s">
        <v>257</v>
      </c>
      <c r="BF856" s="17" t="s">
        <v>257</v>
      </c>
      <c r="BG856" s="11">
        <f ca="1">IFERROR(__xludf.DUMMYFUNCTION("""COMPUTED_VALUE"""),46103)</f>
        <v>46103</v>
      </c>
      <c r="BH856" s="17"/>
      <c r="BI856" s="17"/>
      <c r="BJ856" s="15"/>
      <c r="BK856" s="15"/>
      <c r="BL856" s="13" t="b">
        <v>0</v>
      </c>
      <c r="BM856" s="10"/>
      <c r="BN856" s="10" t="s">
        <v>223</v>
      </c>
      <c r="BO856" s="11">
        <v>45866.101898148147</v>
      </c>
      <c r="BP856" s="11">
        <v>45866.101898148147</v>
      </c>
      <c r="BQ856" s="15"/>
      <c r="BR856" s="15"/>
      <c r="BS856" s="10"/>
      <c r="BT856" s="10"/>
      <c r="BU856" s="10"/>
      <c r="BV856" s="10"/>
      <c r="BW856" s="10"/>
      <c r="BX856" s="10"/>
      <c r="BY856" s="23"/>
      <c r="BZ856" s="23"/>
      <c r="CA856" s="23"/>
      <c r="CB856" s="23"/>
      <c r="CC856" s="23"/>
      <c r="CD856" s="23"/>
      <c r="CE856" s="23"/>
      <c r="CF856" s="23"/>
      <c r="CG856" s="23"/>
      <c r="CH856" s="23"/>
      <c r="CI856" s="23"/>
    </row>
    <row r="857" spans="1:87" x14ac:dyDescent="0.3">
      <c r="A857" s="9" t="s">
        <v>7215</v>
      </c>
      <c r="B857" s="10" t="s">
        <v>7216</v>
      </c>
      <c r="C857" s="11">
        <v>46103</v>
      </c>
      <c r="D857" s="12">
        <v>8.3333333333333329E-2</v>
      </c>
      <c r="E857" s="11">
        <v>46103.083333333336</v>
      </c>
      <c r="F857" s="10" t="s">
        <v>5001</v>
      </c>
      <c r="G857" s="13" t="b">
        <v>0</v>
      </c>
      <c r="H857" s="10"/>
      <c r="I857" s="10" t="s">
        <v>89</v>
      </c>
      <c r="J857" s="13" t="b">
        <v>0</v>
      </c>
      <c r="K857" s="13" t="b">
        <v>1</v>
      </c>
      <c r="L857" s="10" t="s">
        <v>124</v>
      </c>
      <c r="M857" s="10" t="s">
        <v>91</v>
      </c>
      <c r="N857" s="10" t="s">
        <v>92</v>
      </c>
      <c r="O857" s="10"/>
      <c r="P857" s="10"/>
      <c r="Q857" s="10"/>
      <c r="R857" s="10"/>
      <c r="S857" s="10"/>
      <c r="T857" s="10"/>
      <c r="U857" s="10" t="s">
        <v>5018</v>
      </c>
      <c r="V857" s="10" t="s">
        <v>5055</v>
      </c>
      <c r="W857" s="10" t="s">
        <v>5007</v>
      </c>
      <c r="X857" s="10" t="s">
        <v>130</v>
      </c>
      <c r="Y857" s="10" t="s">
        <v>130</v>
      </c>
      <c r="Z857" s="10" t="s">
        <v>99</v>
      </c>
      <c r="AA857" s="10" t="s">
        <v>131</v>
      </c>
      <c r="AB857" s="10" t="s">
        <v>5008</v>
      </c>
      <c r="AC857" s="10" t="s">
        <v>5009</v>
      </c>
      <c r="AD857" s="10" t="s">
        <v>7217</v>
      </c>
      <c r="AE857" s="10" t="s">
        <v>7218</v>
      </c>
      <c r="AF857" s="15"/>
      <c r="AG857" s="10"/>
      <c r="AH857" s="10"/>
      <c r="AI857" s="10"/>
      <c r="AJ857" s="10"/>
      <c r="AK857" s="10"/>
      <c r="AL857" s="10" t="s">
        <v>2802</v>
      </c>
      <c r="AM857" s="10"/>
      <c r="AN857" s="10"/>
      <c r="AO857" s="13" t="b">
        <v>0</v>
      </c>
      <c r="AP857" s="10" t="s">
        <v>104</v>
      </c>
      <c r="AQ857" s="10"/>
      <c r="AR857" s="17"/>
      <c r="AS857" s="17"/>
      <c r="AT857" s="17"/>
      <c r="AU857" s="17"/>
      <c r="AV857" s="17"/>
      <c r="AW857" s="10"/>
      <c r="AX857" s="17"/>
      <c r="AY857" s="18" t="s">
        <v>257</v>
      </c>
      <c r="AZ857" s="10"/>
      <c r="BA857" s="20" t="b">
        <v>0</v>
      </c>
      <c r="BB857" s="10"/>
      <c r="BC857" s="17" t="s">
        <v>257</v>
      </c>
      <c r="BD857" s="17" t="s">
        <v>257</v>
      </c>
      <c r="BE857" s="17" t="s">
        <v>257</v>
      </c>
      <c r="BF857" s="17" t="s">
        <v>257</v>
      </c>
      <c r="BG857" s="11">
        <f ca="1">IFERROR(__xludf.DUMMYFUNCTION("""COMPUTED_VALUE"""),46103)</f>
        <v>46103</v>
      </c>
      <c r="BH857" s="17"/>
      <c r="BI857" s="17"/>
      <c r="BJ857" s="15"/>
      <c r="BK857" s="15"/>
      <c r="BL857" s="13" t="b">
        <v>0</v>
      </c>
      <c r="BM857" s="10"/>
      <c r="BN857" s="10" t="s">
        <v>223</v>
      </c>
      <c r="BO857" s="11">
        <v>45866.101898148147</v>
      </c>
      <c r="BP857" s="11">
        <v>45866.101898148147</v>
      </c>
      <c r="BQ857" s="15"/>
      <c r="BR857" s="15"/>
      <c r="BS857" s="10"/>
      <c r="BT857" s="10"/>
      <c r="BU857" s="10"/>
      <c r="BV857" s="10"/>
      <c r="BW857" s="10"/>
      <c r="BX857" s="10"/>
      <c r="BY857" s="23"/>
      <c r="BZ857" s="23"/>
      <c r="CA857" s="23"/>
      <c r="CB857" s="23"/>
      <c r="CC857" s="23"/>
      <c r="CD857" s="23"/>
      <c r="CE857" s="23"/>
      <c r="CF857" s="23"/>
      <c r="CG857" s="23"/>
      <c r="CH857" s="23"/>
      <c r="CI857" s="23"/>
    </row>
    <row r="858" spans="1:87" x14ac:dyDescent="0.3">
      <c r="A858" s="9" t="s">
        <v>7219</v>
      </c>
      <c r="B858" s="10" t="s">
        <v>7220</v>
      </c>
      <c r="C858" s="11">
        <v>46103</v>
      </c>
      <c r="D858" s="12">
        <v>8.3333333333333329E-2</v>
      </c>
      <c r="E858" s="11">
        <v>46103.083333333336</v>
      </c>
      <c r="F858" s="10" t="s">
        <v>5001</v>
      </c>
      <c r="G858" s="13" t="b">
        <v>0</v>
      </c>
      <c r="H858" s="10"/>
      <c r="I858" s="10" t="s">
        <v>89</v>
      </c>
      <c r="J858" s="13" t="b">
        <v>0</v>
      </c>
      <c r="K858" s="13" t="b">
        <v>1</v>
      </c>
      <c r="L858" s="10" t="s">
        <v>124</v>
      </c>
      <c r="M858" s="10" t="s">
        <v>91</v>
      </c>
      <c r="N858" s="10" t="s">
        <v>92</v>
      </c>
      <c r="O858" s="10"/>
      <c r="P858" s="10"/>
      <c r="Q858" s="10"/>
      <c r="R858" s="10"/>
      <c r="S858" s="10"/>
      <c r="T858" s="10"/>
      <c r="U858" s="10" t="s">
        <v>5076</v>
      </c>
      <c r="V858" s="10" t="s">
        <v>5102</v>
      </c>
      <c r="W858" s="10" t="s">
        <v>5007</v>
      </c>
      <c r="X858" s="10" t="s">
        <v>130</v>
      </c>
      <c r="Y858" s="10" t="s">
        <v>130</v>
      </c>
      <c r="Z858" s="10" t="s">
        <v>99</v>
      </c>
      <c r="AA858" s="10" t="s">
        <v>131</v>
      </c>
      <c r="AB858" s="10" t="s">
        <v>5008</v>
      </c>
      <c r="AC858" s="10" t="s">
        <v>5009</v>
      </c>
      <c r="AD858" s="10" t="s">
        <v>7221</v>
      </c>
      <c r="AE858" s="10" t="s">
        <v>7222</v>
      </c>
      <c r="AF858" s="15"/>
      <c r="AG858" s="10"/>
      <c r="AH858" s="10"/>
      <c r="AI858" s="10"/>
      <c r="AJ858" s="10"/>
      <c r="AK858" s="10"/>
      <c r="AL858" s="10" t="s">
        <v>2802</v>
      </c>
      <c r="AM858" s="10"/>
      <c r="AN858" s="10"/>
      <c r="AO858" s="13" t="b">
        <v>0</v>
      </c>
      <c r="AP858" s="10" t="s">
        <v>104</v>
      </c>
      <c r="AQ858" s="10"/>
      <c r="AR858" s="17"/>
      <c r="AS858" s="17"/>
      <c r="AT858" s="17"/>
      <c r="AU858" s="17"/>
      <c r="AV858" s="17"/>
      <c r="AW858" s="10"/>
      <c r="AX858" s="17"/>
      <c r="AY858" s="18" t="s">
        <v>257</v>
      </c>
      <c r="AZ858" s="10"/>
      <c r="BA858" s="20" t="b">
        <v>0</v>
      </c>
      <c r="BB858" s="10"/>
      <c r="BC858" s="17" t="s">
        <v>257</v>
      </c>
      <c r="BD858" s="17" t="s">
        <v>257</v>
      </c>
      <c r="BE858" s="17" t="s">
        <v>257</v>
      </c>
      <c r="BF858" s="17" t="s">
        <v>257</v>
      </c>
      <c r="BG858" s="11">
        <f ca="1">IFERROR(__xludf.DUMMYFUNCTION("""COMPUTED_VALUE"""),46103)</f>
        <v>46103</v>
      </c>
      <c r="BH858" s="17"/>
      <c r="BI858" s="17"/>
      <c r="BJ858" s="15"/>
      <c r="BK858" s="15"/>
      <c r="BL858" s="13" t="b">
        <v>0</v>
      </c>
      <c r="BM858" s="10"/>
      <c r="BN858" s="10" t="s">
        <v>223</v>
      </c>
      <c r="BO858" s="11">
        <v>45866.101898148147</v>
      </c>
      <c r="BP858" s="11">
        <v>45866.101898148147</v>
      </c>
      <c r="BQ858" s="15"/>
      <c r="BR858" s="15"/>
      <c r="BS858" s="10"/>
      <c r="BT858" s="10"/>
      <c r="BU858" s="10"/>
      <c r="BV858" s="10"/>
      <c r="BW858" s="10"/>
      <c r="BX858" s="10"/>
      <c r="BY858" s="23"/>
      <c r="BZ858" s="23"/>
      <c r="CA858" s="23"/>
      <c r="CB858" s="23"/>
      <c r="CC858" s="23"/>
      <c r="CD858" s="23"/>
      <c r="CE858" s="23"/>
      <c r="CF858" s="23"/>
      <c r="CG858" s="23"/>
      <c r="CH858" s="23"/>
      <c r="CI858" s="23"/>
    </row>
    <row r="859" spans="1:87" x14ac:dyDescent="0.3">
      <c r="A859" s="9" t="s">
        <v>7223</v>
      </c>
      <c r="B859" s="10" t="s">
        <v>7224</v>
      </c>
      <c r="C859" s="11">
        <v>46103</v>
      </c>
      <c r="D859" s="12">
        <v>8.3333333333333329E-2</v>
      </c>
      <c r="E859" s="11">
        <v>46103.083333333336</v>
      </c>
      <c r="F859" s="10" t="s">
        <v>5001</v>
      </c>
      <c r="G859" s="13" t="b">
        <v>0</v>
      </c>
      <c r="H859" s="10"/>
      <c r="I859" s="10" t="s">
        <v>89</v>
      </c>
      <c r="J859" s="13" t="b">
        <v>0</v>
      </c>
      <c r="K859" s="13" t="b">
        <v>1</v>
      </c>
      <c r="L859" s="10" t="s">
        <v>124</v>
      </c>
      <c r="M859" s="10" t="s">
        <v>91</v>
      </c>
      <c r="N859" s="10" t="s">
        <v>92</v>
      </c>
      <c r="O859" s="10"/>
      <c r="P859" s="10"/>
      <c r="Q859" s="10"/>
      <c r="R859" s="10"/>
      <c r="S859" s="10"/>
      <c r="T859" s="10"/>
      <c r="U859" s="10" t="s">
        <v>5077</v>
      </c>
      <c r="V859" s="10" t="s">
        <v>5054</v>
      </c>
      <c r="W859" s="10" t="s">
        <v>5007</v>
      </c>
      <c r="X859" s="10" t="s">
        <v>130</v>
      </c>
      <c r="Y859" s="10" t="s">
        <v>130</v>
      </c>
      <c r="Z859" s="10" t="s">
        <v>99</v>
      </c>
      <c r="AA859" s="10" t="s">
        <v>131</v>
      </c>
      <c r="AB859" s="10" t="s">
        <v>5008</v>
      </c>
      <c r="AC859" s="10" t="s">
        <v>5009</v>
      </c>
      <c r="AD859" s="10" t="s">
        <v>7225</v>
      </c>
      <c r="AE859" s="10" t="s">
        <v>7226</v>
      </c>
      <c r="AF859" s="15"/>
      <c r="AG859" s="10"/>
      <c r="AH859" s="10"/>
      <c r="AI859" s="10"/>
      <c r="AJ859" s="10"/>
      <c r="AK859" s="10"/>
      <c r="AL859" s="10" t="s">
        <v>2802</v>
      </c>
      <c r="AM859" s="10"/>
      <c r="AN859" s="10"/>
      <c r="AO859" s="13" t="b">
        <v>0</v>
      </c>
      <c r="AP859" s="10" t="s">
        <v>104</v>
      </c>
      <c r="AQ859" s="10"/>
      <c r="AR859" s="17"/>
      <c r="AS859" s="17"/>
      <c r="AT859" s="17"/>
      <c r="AU859" s="17"/>
      <c r="AV859" s="17"/>
      <c r="AW859" s="10"/>
      <c r="AX859" s="17"/>
      <c r="AY859" s="18" t="s">
        <v>257</v>
      </c>
      <c r="AZ859" s="10"/>
      <c r="BA859" s="20" t="b">
        <v>0</v>
      </c>
      <c r="BB859" s="10"/>
      <c r="BC859" s="17" t="s">
        <v>257</v>
      </c>
      <c r="BD859" s="17" t="s">
        <v>257</v>
      </c>
      <c r="BE859" s="17" t="s">
        <v>257</v>
      </c>
      <c r="BF859" s="17" t="s">
        <v>257</v>
      </c>
      <c r="BG859" s="11">
        <f ca="1">IFERROR(__xludf.DUMMYFUNCTION("""COMPUTED_VALUE"""),46103)</f>
        <v>46103</v>
      </c>
      <c r="BH859" s="17"/>
      <c r="BI859" s="17"/>
      <c r="BJ859" s="15"/>
      <c r="BK859" s="15"/>
      <c r="BL859" s="13" t="b">
        <v>0</v>
      </c>
      <c r="BM859" s="10"/>
      <c r="BN859" s="10" t="s">
        <v>223</v>
      </c>
      <c r="BO859" s="11">
        <v>45866.101898148147</v>
      </c>
      <c r="BP859" s="11">
        <v>45866.101898148147</v>
      </c>
      <c r="BQ859" s="15"/>
      <c r="BR859" s="15"/>
      <c r="BS859" s="10"/>
      <c r="BT859" s="10"/>
      <c r="BU859" s="10"/>
      <c r="BV859" s="10"/>
      <c r="BW859" s="10"/>
      <c r="BX859" s="10"/>
      <c r="BY859" s="23"/>
      <c r="BZ859" s="23"/>
      <c r="CA859" s="23"/>
      <c r="CB859" s="23"/>
      <c r="CC859" s="23"/>
      <c r="CD859" s="23"/>
      <c r="CE859" s="23"/>
      <c r="CF859" s="23"/>
      <c r="CG859" s="23"/>
      <c r="CH859" s="23"/>
      <c r="CI859" s="23"/>
    </row>
    <row r="860" spans="1:87" x14ac:dyDescent="0.3">
      <c r="A860" s="9" t="s">
        <v>7227</v>
      </c>
      <c r="B860" s="10" t="s">
        <v>7228</v>
      </c>
      <c r="C860" s="11">
        <v>46103</v>
      </c>
      <c r="D860" s="12">
        <v>8.3333333333333329E-2</v>
      </c>
      <c r="E860" s="11">
        <v>46103.083333333336</v>
      </c>
      <c r="F860" s="10" t="s">
        <v>5001</v>
      </c>
      <c r="G860" s="13" t="b">
        <v>0</v>
      </c>
      <c r="H860" s="10"/>
      <c r="I860" s="10" t="s">
        <v>89</v>
      </c>
      <c r="J860" s="13" t="b">
        <v>0</v>
      </c>
      <c r="K860" s="13" t="b">
        <v>1</v>
      </c>
      <c r="L860" s="10" t="s">
        <v>124</v>
      </c>
      <c r="M860" s="10" t="s">
        <v>91</v>
      </c>
      <c r="N860" s="10" t="s">
        <v>92</v>
      </c>
      <c r="O860" s="10"/>
      <c r="P860" s="10"/>
      <c r="Q860" s="10"/>
      <c r="R860" s="10"/>
      <c r="S860" s="10"/>
      <c r="T860" s="10"/>
      <c r="U860" s="10" t="s">
        <v>5113</v>
      </c>
      <c r="V860" s="10" t="s">
        <v>5090</v>
      </c>
      <c r="W860" s="10" t="s">
        <v>5007</v>
      </c>
      <c r="X860" s="10" t="s">
        <v>130</v>
      </c>
      <c r="Y860" s="10" t="s">
        <v>130</v>
      </c>
      <c r="Z860" s="10" t="s">
        <v>99</v>
      </c>
      <c r="AA860" s="10" t="s">
        <v>131</v>
      </c>
      <c r="AB860" s="10" t="s">
        <v>5008</v>
      </c>
      <c r="AC860" s="10" t="s">
        <v>5009</v>
      </c>
      <c r="AD860" s="10" t="s">
        <v>7229</v>
      </c>
      <c r="AE860" s="10" t="s">
        <v>7230</v>
      </c>
      <c r="AF860" s="15"/>
      <c r="AG860" s="10"/>
      <c r="AH860" s="10"/>
      <c r="AI860" s="10"/>
      <c r="AJ860" s="10"/>
      <c r="AK860" s="10"/>
      <c r="AL860" s="10" t="s">
        <v>2802</v>
      </c>
      <c r="AM860" s="10"/>
      <c r="AN860" s="10"/>
      <c r="AO860" s="13" t="b">
        <v>1</v>
      </c>
      <c r="AP860" s="10" t="s">
        <v>104</v>
      </c>
      <c r="AQ860" s="10"/>
      <c r="AR860" s="17"/>
      <c r="AS860" s="17"/>
      <c r="AT860" s="17"/>
      <c r="AU860" s="17"/>
      <c r="AV860" s="17"/>
      <c r="AW860" s="10"/>
      <c r="AX860" s="17"/>
      <c r="AY860" s="18" t="s">
        <v>257</v>
      </c>
      <c r="AZ860" s="10"/>
      <c r="BA860" s="20" t="b">
        <v>0</v>
      </c>
      <c r="BB860" s="10"/>
      <c r="BC860" s="17" t="s">
        <v>257</v>
      </c>
      <c r="BD860" s="17" t="s">
        <v>257</v>
      </c>
      <c r="BE860" s="17" t="s">
        <v>257</v>
      </c>
      <c r="BF860" s="17" t="s">
        <v>257</v>
      </c>
      <c r="BG860" s="11">
        <f ca="1">IFERROR(__xludf.DUMMYFUNCTION("""COMPUTED_VALUE"""),46103)</f>
        <v>46103</v>
      </c>
      <c r="BH860" s="17"/>
      <c r="BI860" s="17"/>
      <c r="BJ860" s="15"/>
      <c r="BK860" s="15"/>
      <c r="BL860" s="13" t="b">
        <v>0</v>
      </c>
      <c r="BM860" s="10"/>
      <c r="BN860" s="10" t="s">
        <v>223</v>
      </c>
      <c r="BO860" s="11">
        <v>45866.101898148147</v>
      </c>
      <c r="BP860" s="11">
        <v>45866.101898148147</v>
      </c>
      <c r="BQ860" s="15"/>
      <c r="BR860" s="15"/>
      <c r="BS860" s="10"/>
      <c r="BT860" s="10"/>
      <c r="BU860" s="10"/>
      <c r="BV860" s="10"/>
      <c r="BW860" s="10"/>
      <c r="BX860" s="10"/>
      <c r="BY860" s="23"/>
      <c r="BZ860" s="23"/>
      <c r="CA860" s="23"/>
      <c r="CB860" s="23"/>
      <c r="CC860" s="23"/>
      <c r="CD860" s="23"/>
      <c r="CE860" s="23"/>
      <c r="CF860" s="23"/>
      <c r="CG860" s="23"/>
      <c r="CH860" s="23"/>
      <c r="CI860" s="23"/>
    </row>
    <row r="861" spans="1:87" x14ac:dyDescent="0.3">
      <c r="A861" s="9" t="s">
        <v>7231</v>
      </c>
      <c r="B861" s="10" t="s">
        <v>7232</v>
      </c>
      <c r="C861" s="11">
        <v>46103</v>
      </c>
      <c r="D861" s="12">
        <v>8.3333333333333329E-2</v>
      </c>
      <c r="E861" s="11">
        <v>46103.083333333336</v>
      </c>
      <c r="F861" s="10" t="s">
        <v>5001</v>
      </c>
      <c r="G861" s="13" t="b">
        <v>0</v>
      </c>
      <c r="H861" s="10"/>
      <c r="I861" s="10" t="s">
        <v>89</v>
      </c>
      <c r="J861" s="13" t="b">
        <v>0</v>
      </c>
      <c r="K861" s="13" t="b">
        <v>1</v>
      </c>
      <c r="L861" s="10" t="s">
        <v>124</v>
      </c>
      <c r="M861" s="10" t="s">
        <v>91</v>
      </c>
      <c r="N861" s="10" t="s">
        <v>92</v>
      </c>
      <c r="O861" s="10"/>
      <c r="P861" s="10"/>
      <c r="Q861" s="10"/>
      <c r="R861" s="10"/>
      <c r="S861" s="10"/>
      <c r="T861" s="10"/>
      <c r="U861" s="10" t="s">
        <v>5066</v>
      </c>
      <c r="V861" s="10" t="s">
        <v>5031</v>
      </c>
      <c r="W861" s="10" t="s">
        <v>5007</v>
      </c>
      <c r="X861" s="10" t="s">
        <v>130</v>
      </c>
      <c r="Y861" s="10" t="s">
        <v>130</v>
      </c>
      <c r="Z861" s="10" t="s">
        <v>99</v>
      </c>
      <c r="AA861" s="10" t="s">
        <v>131</v>
      </c>
      <c r="AB861" s="10" t="s">
        <v>5008</v>
      </c>
      <c r="AC861" s="10" t="s">
        <v>5009</v>
      </c>
      <c r="AD861" s="10" t="s">
        <v>7233</v>
      </c>
      <c r="AE861" s="10" t="s">
        <v>7234</v>
      </c>
      <c r="AF861" s="15"/>
      <c r="AG861" s="10"/>
      <c r="AH861" s="10"/>
      <c r="AI861" s="10"/>
      <c r="AJ861" s="10"/>
      <c r="AK861" s="10"/>
      <c r="AL861" s="10" t="s">
        <v>2802</v>
      </c>
      <c r="AM861" s="10"/>
      <c r="AN861" s="10"/>
      <c r="AO861" s="13" t="b">
        <v>0</v>
      </c>
      <c r="AP861" s="10" t="s">
        <v>104</v>
      </c>
      <c r="AQ861" s="10"/>
      <c r="AR861" s="17"/>
      <c r="AS861" s="17"/>
      <c r="AT861" s="17"/>
      <c r="AU861" s="17"/>
      <c r="AV861" s="17"/>
      <c r="AW861" s="10"/>
      <c r="AX861" s="17"/>
      <c r="AY861" s="18" t="s">
        <v>257</v>
      </c>
      <c r="AZ861" s="10"/>
      <c r="BA861" s="20" t="b">
        <v>0</v>
      </c>
      <c r="BB861" s="10"/>
      <c r="BC861" s="17" t="s">
        <v>257</v>
      </c>
      <c r="BD861" s="17" t="s">
        <v>257</v>
      </c>
      <c r="BE861" s="17" t="s">
        <v>257</v>
      </c>
      <c r="BF861" s="17" t="s">
        <v>257</v>
      </c>
      <c r="BG861" s="11">
        <f ca="1">IFERROR(__xludf.DUMMYFUNCTION("""COMPUTED_VALUE"""),46103)</f>
        <v>46103</v>
      </c>
      <c r="BH861" s="17"/>
      <c r="BI861" s="17"/>
      <c r="BJ861" s="15"/>
      <c r="BK861" s="15"/>
      <c r="BL861" s="13" t="b">
        <v>0</v>
      </c>
      <c r="BM861" s="10"/>
      <c r="BN861" s="10" t="s">
        <v>223</v>
      </c>
      <c r="BO861" s="11">
        <v>45866.101898148147</v>
      </c>
      <c r="BP861" s="11">
        <v>45866.101898148147</v>
      </c>
      <c r="BQ861" s="15"/>
      <c r="BR861" s="15"/>
      <c r="BS861" s="10"/>
      <c r="BT861" s="10"/>
      <c r="BU861" s="10"/>
      <c r="BV861" s="10"/>
      <c r="BW861" s="10"/>
      <c r="BX861" s="10"/>
      <c r="BY861" s="23"/>
      <c r="BZ861" s="23"/>
      <c r="CA861" s="23"/>
      <c r="CB861" s="23"/>
      <c r="CC861" s="23"/>
      <c r="CD861" s="23"/>
      <c r="CE861" s="23"/>
      <c r="CF861" s="23"/>
      <c r="CG861" s="23"/>
      <c r="CH861" s="23"/>
      <c r="CI861" s="23"/>
    </row>
    <row r="862" spans="1:87" x14ac:dyDescent="0.3">
      <c r="A862" s="9" t="s">
        <v>7235</v>
      </c>
      <c r="B862" s="10" t="s">
        <v>7236</v>
      </c>
      <c r="C862" s="11">
        <v>46103</v>
      </c>
      <c r="D862" s="12">
        <v>8.3333333333333329E-2</v>
      </c>
      <c r="E862" s="11">
        <v>46103.083333333336</v>
      </c>
      <c r="F862" s="10" t="s">
        <v>5001</v>
      </c>
      <c r="G862" s="13" t="b">
        <v>0</v>
      </c>
      <c r="H862" s="10"/>
      <c r="I862" s="10" t="s">
        <v>89</v>
      </c>
      <c r="J862" s="13" t="b">
        <v>0</v>
      </c>
      <c r="K862" s="13" t="b">
        <v>1</v>
      </c>
      <c r="L862" s="10" t="s">
        <v>124</v>
      </c>
      <c r="M862" s="10" t="s">
        <v>91</v>
      </c>
      <c r="N862" s="10" t="s">
        <v>92</v>
      </c>
      <c r="O862" s="10"/>
      <c r="P862" s="10"/>
      <c r="Q862" s="10"/>
      <c r="R862" s="10"/>
      <c r="S862" s="10"/>
      <c r="T862" s="10"/>
      <c r="U862" s="10" t="s">
        <v>5101</v>
      </c>
      <c r="V862" s="10" t="s">
        <v>5041</v>
      </c>
      <c r="W862" s="10" t="s">
        <v>5007</v>
      </c>
      <c r="X862" s="10" t="s">
        <v>130</v>
      </c>
      <c r="Y862" s="10" t="s">
        <v>130</v>
      </c>
      <c r="Z862" s="10" t="s">
        <v>99</v>
      </c>
      <c r="AA862" s="10" t="s">
        <v>131</v>
      </c>
      <c r="AB862" s="10" t="s">
        <v>5008</v>
      </c>
      <c r="AC862" s="10" t="s">
        <v>5009</v>
      </c>
      <c r="AD862" s="10" t="s">
        <v>7237</v>
      </c>
      <c r="AE862" s="10" t="s">
        <v>7238</v>
      </c>
      <c r="AF862" s="15"/>
      <c r="AG862" s="10"/>
      <c r="AH862" s="10"/>
      <c r="AI862" s="10"/>
      <c r="AJ862" s="10"/>
      <c r="AK862" s="10"/>
      <c r="AL862" s="10" t="s">
        <v>2802</v>
      </c>
      <c r="AM862" s="10"/>
      <c r="AN862" s="10"/>
      <c r="AO862" s="13" t="b">
        <v>0</v>
      </c>
      <c r="AP862" s="10" t="s">
        <v>104</v>
      </c>
      <c r="AQ862" s="10"/>
      <c r="AR862" s="17"/>
      <c r="AS862" s="17"/>
      <c r="AT862" s="17"/>
      <c r="AU862" s="17"/>
      <c r="AV862" s="17"/>
      <c r="AW862" s="10"/>
      <c r="AX862" s="17"/>
      <c r="AY862" s="18" t="s">
        <v>257</v>
      </c>
      <c r="AZ862" s="10"/>
      <c r="BA862" s="20" t="b">
        <v>0</v>
      </c>
      <c r="BB862" s="10"/>
      <c r="BC862" s="17" t="s">
        <v>257</v>
      </c>
      <c r="BD862" s="17" t="s">
        <v>257</v>
      </c>
      <c r="BE862" s="17" t="s">
        <v>257</v>
      </c>
      <c r="BF862" s="17" t="s">
        <v>257</v>
      </c>
      <c r="BG862" s="11">
        <f ca="1">IFERROR(__xludf.DUMMYFUNCTION("""COMPUTED_VALUE"""),46103)</f>
        <v>46103</v>
      </c>
      <c r="BH862" s="17"/>
      <c r="BI862" s="17"/>
      <c r="BJ862" s="15"/>
      <c r="BK862" s="15"/>
      <c r="BL862" s="13" t="b">
        <v>0</v>
      </c>
      <c r="BM862" s="10"/>
      <c r="BN862" s="10" t="s">
        <v>223</v>
      </c>
      <c r="BO862" s="11">
        <v>45866.101898148147</v>
      </c>
      <c r="BP862" s="11">
        <v>45866.101898148147</v>
      </c>
      <c r="BQ862" s="15"/>
      <c r="BR862" s="15"/>
      <c r="BS862" s="10"/>
      <c r="BT862" s="10"/>
      <c r="BU862" s="10"/>
      <c r="BV862" s="10"/>
      <c r="BW862" s="10"/>
      <c r="BX862" s="10"/>
      <c r="BY862" s="23"/>
      <c r="BZ862" s="23"/>
      <c r="CA862" s="23"/>
      <c r="CB862" s="23"/>
      <c r="CC862" s="23"/>
      <c r="CD862" s="23"/>
      <c r="CE862" s="23"/>
      <c r="CF862" s="23"/>
      <c r="CG862" s="23"/>
      <c r="CH862" s="23"/>
      <c r="CI862" s="23"/>
    </row>
    <row r="863" spans="1:87" x14ac:dyDescent="0.3">
      <c r="A863" s="9" t="s">
        <v>7239</v>
      </c>
      <c r="B863" s="10" t="s">
        <v>7240</v>
      </c>
      <c r="C863" s="11">
        <v>46103</v>
      </c>
      <c r="D863" s="12">
        <v>8.3333333333333329E-2</v>
      </c>
      <c r="E863" s="11">
        <v>46103.083333333336</v>
      </c>
      <c r="F863" s="10" t="s">
        <v>5001</v>
      </c>
      <c r="G863" s="13" t="b">
        <v>0</v>
      </c>
      <c r="H863" s="10"/>
      <c r="I863" s="10" t="s">
        <v>89</v>
      </c>
      <c r="J863" s="13" t="b">
        <v>0</v>
      </c>
      <c r="K863" s="13" t="b">
        <v>1</v>
      </c>
      <c r="L863" s="10" t="s">
        <v>124</v>
      </c>
      <c r="M863" s="10" t="s">
        <v>91</v>
      </c>
      <c r="N863" s="10" t="s">
        <v>92</v>
      </c>
      <c r="O863" s="10"/>
      <c r="P863" s="10"/>
      <c r="Q863" s="10"/>
      <c r="R863" s="10"/>
      <c r="S863" s="10"/>
      <c r="T863" s="10"/>
      <c r="U863" s="10" t="s">
        <v>5032</v>
      </c>
      <c r="V863" s="10" t="s">
        <v>5019</v>
      </c>
      <c r="W863" s="10" t="s">
        <v>5007</v>
      </c>
      <c r="X863" s="10" t="s">
        <v>130</v>
      </c>
      <c r="Y863" s="10" t="s">
        <v>130</v>
      </c>
      <c r="Z863" s="10" t="s">
        <v>99</v>
      </c>
      <c r="AA863" s="10" t="s">
        <v>131</v>
      </c>
      <c r="AB863" s="10" t="s">
        <v>5008</v>
      </c>
      <c r="AC863" s="10" t="s">
        <v>5009</v>
      </c>
      <c r="AD863" s="10" t="s">
        <v>7241</v>
      </c>
      <c r="AE863" s="10" t="s">
        <v>7242</v>
      </c>
      <c r="AF863" s="15"/>
      <c r="AG863" s="10"/>
      <c r="AH863" s="10"/>
      <c r="AI863" s="10"/>
      <c r="AJ863" s="10"/>
      <c r="AK863" s="10"/>
      <c r="AL863" s="10" t="s">
        <v>2802</v>
      </c>
      <c r="AM863" s="10"/>
      <c r="AN863" s="10"/>
      <c r="AO863" s="13" t="b">
        <v>0</v>
      </c>
      <c r="AP863" s="10" t="s">
        <v>104</v>
      </c>
      <c r="AQ863" s="10"/>
      <c r="AR863" s="17"/>
      <c r="AS863" s="17"/>
      <c r="AT863" s="17"/>
      <c r="AU863" s="17"/>
      <c r="AV863" s="17"/>
      <c r="AW863" s="10"/>
      <c r="AX863" s="17"/>
      <c r="AY863" s="18" t="s">
        <v>257</v>
      </c>
      <c r="AZ863" s="10"/>
      <c r="BA863" s="20" t="b">
        <v>0</v>
      </c>
      <c r="BB863" s="10"/>
      <c r="BC863" s="17" t="s">
        <v>257</v>
      </c>
      <c r="BD863" s="17" t="s">
        <v>257</v>
      </c>
      <c r="BE863" s="17" t="s">
        <v>257</v>
      </c>
      <c r="BF863" s="17" t="s">
        <v>257</v>
      </c>
      <c r="BG863" s="11">
        <f ca="1">IFERROR(__xludf.DUMMYFUNCTION("""COMPUTED_VALUE"""),46103)</f>
        <v>46103</v>
      </c>
      <c r="BH863" s="17"/>
      <c r="BI863" s="17"/>
      <c r="BJ863" s="15"/>
      <c r="BK863" s="15"/>
      <c r="BL863" s="13" t="b">
        <v>0</v>
      </c>
      <c r="BM863" s="10"/>
      <c r="BN863" s="10" t="s">
        <v>223</v>
      </c>
      <c r="BO863" s="11">
        <v>45866.101898148147</v>
      </c>
      <c r="BP863" s="11">
        <v>45866.101898148147</v>
      </c>
      <c r="BQ863" s="15"/>
      <c r="BR863" s="15"/>
      <c r="BS863" s="10"/>
      <c r="BT863" s="10"/>
      <c r="BU863" s="10"/>
      <c r="BV863" s="10"/>
      <c r="BW863" s="10"/>
      <c r="BX863" s="10"/>
      <c r="BY863" s="23"/>
      <c r="BZ863" s="23"/>
      <c r="CA863" s="23"/>
      <c r="CB863" s="23"/>
      <c r="CC863" s="23"/>
      <c r="CD863" s="23"/>
      <c r="CE863" s="23"/>
      <c r="CF863" s="23"/>
      <c r="CG863" s="23"/>
      <c r="CH863" s="23"/>
      <c r="CI863" s="23"/>
    </row>
    <row r="864" spans="1:87" x14ac:dyDescent="0.3">
      <c r="A864" s="9" t="s">
        <v>7243</v>
      </c>
      <c r="B864" s="10" t="s">
        <v>7244</v>
      </c>
      <c r="C864" s="11">
        <v>46103</v>
      </c>
      <c r="D864" s="12">
        <v>8.3333333333333329E-2</v>
      </c>
      <c r="E864" s="11">
        <v>46103.083333333336</v>
      </c>
      <c r="F864" s="10" t="s">
        <v>5001</v>
      </c>
      <c r="G864" s="13" t="b">
        <v>0</v>
      </c>
      <c r="H864" s="10"/>
      <c r="I864" s="10" t="s">
        <v>89</v>
      </c>
      <c r="J864" s="13" t="b">
        <v>0</v>
      </c>
      <c r="K864" s="13" t="b">
        <v>1</v>
      </c>
      <c r="L864" s="10" t="s">
        <v>124</v>
      </c>
      <c r="M864" s="10" t="s">
        <v>91</v>
      </c>
      <c r="N864" s="10" t="s">
        <v>92</v>
      </c>
      <c r="O864" s="10"/>
      <c r="P864" s="10"/>
      <c r="Q864" s="10"/>
      <c r="R864" s="10"/>
      <c r="S864" s="10"/>
      <c r="T864" s="10"/>
      <c r="U864" s="10" t="s">
        <v>5042</v>
      </c>
      <c r="V864" s="10" t="s">
        <v>5006</v>
      </c>
      <c r="W864" s="10" t="s">
        <v>5007</v>
      </c>
      <c r="X864" s="10" t="s">
        <v>130</v>
      </c>
      <c r="Y864" s="10" t="s">
        <v>130</v>
      </c>
      <c r="Z864" s="10" t="s">
        <v>99</v>
      </c>
      <c r="AA864" s="10" t="s">
        <v>131</v>
      </c>
      <c r="AB864" s="10" t="s">
        <v>5008</v>
      </c>
      <c r="AC864" s="10" t="s">
        <v>5009</v>
      </c>
      <c r="AD864" s="10" t="s">
        <v>7245</v>
      </c>
      <c r="AE864" s="10" t="s">
        <v>7246</v>
      </c>
      <c r="AF864" s="15"/>
      <c r="AG864" s="10"/>
      <c r="AH864" s="10"/>
      <c r="AI864" s="10"/>
      <c r="AJ864" s="10"/>
      <c r="AK864" s="10"/>
      <c r="AL864" s="10" t="s">
        <v>2802</v>
      </c>
      <c r="AM864" s="10"/>
      <c r="AN864" s="10"/>
      <c r="AO864" s="13" t="b">
        <v>1</v>
      </c>
      <c r="AP864" s="10" t="s">
        <v>104</v>
      </c>
      <c r="AQ864" s="10"/>
      <c r="AR864" s="17"/>
      <c r="AS864" s="17"/>
      <c r="AT864" s="17"/>
      <c r="AU864" s="17"/>
      <c r="AV864" s="17"/>
      <c r="AW864" s="10"/>
      <c r="AX864" s="17"/>
      <c r="AY864" s="18" t="s">
        <v>257</v>
      </c>
      <c r="AZ864" s="10"/>
      <c r="BA864" s="20" t="b">
        <v>0</v>
      </c>
      <c r="BB864" s="10"/>
      <c r="BC864" s="17" t="s">
        <v>257</v>
      </c>
      <c r="BD864" s="17" t="s">
        <v>257</v>
      </c>
      <c r="BE864" s="17" t="s">
        <v>257</v>
      </c>
      <c r="BF864" s="17" t="s">
        <v>257</v>
      </c>
      <c r="BG864" s="11">
        <f ca="1">IFERROR(__xludf.DUMMYFUNCTION("""COMPUTED_VALUE"""),46103)</f>
        <v>46103</v>
      </c>
      <c r="BH864" s="17"/>
      <c r="BI864" s="17"/>
      <c r="BJ864" s="15"/>
      <c r="BK864" s="15"/>
      <c r="BL864" s="13" t="b">
        <v>0</v>
      </c>
      <c r="BM864" s="10"/>
      <c r="BN864" s="10" t="s">
        <v>223</v>
      </c>
      <c r="BO864" s="11">
        <v>45866.101898148147</v>
      </c>
      <c r="BP864" s="11">
        <v>45866.101898148147</v>
      </c>
      <c r="BQ864" s="15"/>
      <c r="BR864" s="15"/>
      <c r="BS864" s="10"/>
      <c r="BT864" s="10"/>
      <c r="BU864" s="10"/>
      <c r="BV864" s="10"/>
      <c r="BW864" s="10"/>
      <c r="BX864" s="10"/>
      <c r="BY864" s="23"/>
      <c r="BZ864" s="23"/>
      <c r="CA864" s="23"/>
      <c r="CB864" s="23"/>
      <c r="CC864" s="23"/>
      <c r="CD864" s="23"/>
      <c r="CE864" s="23"/>
      <c r="CF864" s="23"/>
      <c r="CG864" s="23"/>
      <c r="CH864" s="23"/>
      <c r="CI864" s="23"/>
    </row>
    <row r="865" spans="1:87" x14ac:dyDescent="0.3">
      <c r="A865" s="9" t="s">
        <v>7247</v>
      </c>
      <c r="B865" s="10" t="s">
        <v>7248</v>
      </c>
      <c r="C865" s="11">
        <v>46103</v>
      </c>
      <c r="D865" s="12">
        <v>8.3333333333333329E-2</v>
      </c>
      <c r="E865" s="11">
        <v>46103.083333333336</v>
      </c>
      <c r="F865" s="10" t="s">
        <v>5001</v>
      </c>
      <c r="G865" s="13" t="b">
        <v>0</v>
      </c>
      <c r="H865" s="10"/>
      <c r="I865" s="10" t="s">
        <v>89</v>
      </c>
      <c r="J865" s="13" t="b">
        <v>0</v>
      </c>
      <c r="K865" s="13" t="b">
        <v>1</v>
      </c>
      <c r="L865" s="10" t="s">
        <v>124</v>
      </c>
      <c r="M865" s="10" t="s">
        <v>91</v>
      </c>
      <c r="N865" s="10" t="s">
        <v>92</v>
      </c>
      <c r="O865" s="10"/>
      <c r="P865" s="10"/>
      <c r="Q865" s="10"/>
      <c r="R865" s="10"/>
      <c r="S865" s="10"/>
      <c r="T865" s="10"/>
      <c r="U865" s="10" t="s">
        <v>5089</v>
      </c>
      <c r="V865" s="10" t="s">
        <v>5067</v>
      </c>
      <c r="W865" s="10" t="s">
        <v>5007</v>
      </c>
      <c r="X865" s="10" t="s">
        <v>130</v>
      </c>
      <c r="Y865" s="10" t="s">
        <v>130</v>
      </c>
      <c r="Z865" s="10" t="s">
        <v>99</v>
      </c>
      <c r="AA865" s="10" t="s">
        <v>131</v>
      </c>
      <c r="AB865" s="10" t="s">
        <v>5008</v>
      </c>
      <c r="AC865" s="10" t="s">
        <v>5009</v>
      </c>
      <c r="AD865" s="10" t="s">
        <v>7249</v>
      </c>
      <c r="AE865" s="10" t="s">
        <v>7250</v>
      </c>
      <c r="AF865" s="15"/>
      <c r="AG865" s="10"/>
      <c r="AH865" s="10"/>
      <c r="AI865" s="10"/>
      <c r="AJ865" s="10"/>
      <c r="AK865" s="10"/>
      <c r="AL865" s="10" t="s">
        <v>2802</v>
      </c>
      <c r="AM865" s="10"/>
      <c r="AN865" s="10"/>
      <c r="AO865" s="13" t="b">
        <v>0</v>
      </c>
      <c r="AP865" s="10" t="s">
        <v>104</v>
      </c>
      <c r="AQ865" s="10"/>
      <c r="AR865" s="17"/>
      <c r="AS865" s="17"/>
      <c r="AT865" s="17"/>
      <c r="AU865" s="17"/>
      <c r="AV865" s="17"/>
      <c r="AW865" s="10"/>
      <c r="AX865" s="17"/>
      <c r="AY865" s="18" t="s">
        <v>257</v>
      </c>
      <c r="AZ865" s="10"/>
      <c r="BA865" s="20" t="b">
        <v>0</v>
      </c>
      <c r="BB865" s="10"/>
      <c r="BC865" s="17" t="s">
        <v>257</v>
      </c>
      <c r="BD865" s="17" t="s">
        <v>257</v>
      </c>
      <c r="BE865" s="17" t="s">
        <v>257</v>
      </c>
      <c r="BF865" s="17" t="s">
        <v>257</v>
      </c>
      <c r="BG865" s="11">
        <f ca="1">IFERROR(__xludf.DUMMYFUNCTION("""COMPUTED_VALUE"""),46103)</f>
        <v>46103</v>
      </c>
      <c r="BH865" s="17"/>
      <c r="BI865" s="17"/>
      <c r="BJ865" s="15"/>
      <c r="BK865" s="15"/>
      <c r="BL865" s="13" t="b">
        <v>0</v>
      </c>
      <c r="BM865" s="10"/>
      <c r="BN865" s="10" t="s">
        <v>223</v>
      </c>
      <c r="BO865" s="11">
        <v>45866.101898148147</v>
      </c>
      <c r="BP865" s="11">
        <v>45866.101898148147</v>
      </c>
      <c r="BQ865" s="15"/>
      <c r="BR865" s="15"/>
      <c r="BS865" s="10"/>
      <c r="BT865" s="10"/>
      <c r="BU865" s="10"/>
      <c r="BV865" s="10"/>
      <c r="BW865" s="10"/>
      <c r="BX865" s="10"/>
      <c r="BY865" s="23"/>
      <c r="BZ865" s="23"/>
      <c r="CA865" s="23"/>
      <c r="CB865" s="23"/>
      <c r="CC865" s="23"/>
      <c r="CD865" s="23"/>
      <c r="CE865" s="23"/>
      <c r="CF865" s="23"/>
      <c r="CG865" s="23"/>
      <c r="CH865" s="23"/>
      <c r="CI865" s="23"/>
    </row>
    <row r="866" spans="1:87" x14ac:dyDescent="0.3">
      <c r="A866" s="9" t="s">
        <v>7251</v>
      </c>
      <c r="B866" s="10" t="s">
        <v>7252</v>
      </c>
      <c r="C866" s="11">
        <v>46117</v>
      </c>
      <c r="D866" s="12">
        <v>8.3333333333333329E-2</v>
      </c>
      <c r="E866" s="11">
        <v>46117.083333333336</v>
      </c>
      <c r="F866" s="10" t="s">
        <v>5001</v>
      </c>
      <c r="G866" s="13" t="b">
        <v>0</v>
      </c>
      <c r="H866" s="10"/>
      <c r="I866" s="10" t="s">
        <v>89</v>
      </c>
      <c r="J866" s="13" t="b">
        <v>0</v>
      </c>
      <c r="K866" s="13" t="b">
        <v>1</v>
      </c>
      <c r="L866" s="10" t="s">
        <v>124</v>
      </c>
      <c r="M866" s="10" t="s">
        <v>91</v>
      </c>
      <c r="N866" s="10" t="s">
        <v>92</v>
      </c>
      <c r="O866" s="10"/>
      <c r="P866" s="10"/>
      <c r="Q866" s="10"/>
      <c r="R866" s="10"/>
      <c r="S866" s="10"/>
      <c r="T866" s="10"/>
      <c r="U866" s="10" t="s">
        <v>5067</v>
      </c>
      <c r="V866" s="10" t="s">
        <v>5076</v>
      </c>
      <c r="W866" s="10" t="s">
        <v>5007</v>
      </c>
      <c r="X866" s="10" t="s">
        <v>130</v>
      </c>
      <c r="Y866" s="10" t="s">
        <v>130</v>
      </c>
      <c r="Z866" s="10" t="s">
        <v>99</v>
      </c>
      <c r="AA866" s="10" t="s">
        <v>131</v>
      </c>
      <c r="AB866" s="10" t="s">
        <v>5008</v>
      </c>
      <c r="AC866" s="10" t="s">
        <v>5009</v>
      </c>
      <c r="AD866" s="10" t="s">
        <v>7253</v>
      </c>
      <c r="AE866" s="10" t="s">
        <v>7254</v>
      </c>
      <c r="AF866" s="15"/>
      <c r="AG866" s="10"/>
      <c r="AH866" s="10"/>
      <c r="AI866" s="10"/>
      <c r="AJ866" s="10"/>
      <c r="AK866" s="10"/>
      <c r="AL866" s="10" t="s">
        <v>2843</v>
      </c>
      <c r="AM866" s="10"/>
      <c r="AN866" s="10"/>
      <c r="AO866" s="13" t="b">
        <v>0</v>
      </c>
      <c r="AP866" s="10" t="s">
        <v>104</v>
      </c>
      <c r="AQ866" s="10"/>
      <c r="AR866" s="17"/>
      <c r="AS866" s="17"/>
      <c r="AT866" s="17"/>
      <c r="AU866" s="17"/>
      <c r="AV866" s="17"/>
      <c r="AW866" s="10"/>
      <c r="AX866" s="17"/>
      <c r="AY866" s="18" t="s">
        <v>257</v>
      </c>
      <c r="AZ866" s="10"/>
      <c r="BA866" s="20" t="b">
        <v>0</v>
      </c>
      <c r="BB866" s="10"/>
      <c r="BC866" s="17" t="s">
        <v>257</v>
      </c>
      <c r="BD866" s="17" t="s">
        <v>257</v>
      </c>
      <c r="BE866" s="17" t="s">
        <v>257</v>
      </c>
      <c r="BF866" s="17" t="s">
        <v>257</v>
      </c>
      <c r="BG866" s="11">
        <f ca="1">IFERROR(__xludf.DUMMYFUNCTION("""COMPUTED_VALUE"""),46117)</f>
        <v>46117</v>
      </c>
      <c r="BH866" s="17"/>
      <c r="BI866" s="17"/>
      <c r="BJ866" s="15"/>
      <c r="BK866" s="15"/>
      <c r="BL866" s="13" t="b">
        <v>0</v>
      </c>
      <c r="BM866" s="10"/>
      <c r="BN866" s="10" t="s">
        <v>223</v>
      </c>
      <c r="BO866" s="11">
        <v>45866.101898148147</v>
      </c>
      <c r="BP866" s="11">
        <v>45866.101898148147</v>
      </c>
      <c r="BQ866" s="15"/>
      <c r="BR866" s="15"/>
      <c r="BS866" s="10"/>
      <c r="BT866" s="10"/>
      <c r="BU866" s="10"/>
      <c r="BV866" s="10"/>
      <c r="BW866" s="10"/>
      <c r="BX866" s="10"/>
      <c r="BY866" s="23"/>
      <c r="BZ866" s="23"/>
      <c r="CA866" s="23"/>
      <c r="CB866" s="23"/>
      <c r="CC866" s="23"/>
      <c r="CD866" s="23"/>
      <c r="CE866" s="23"/>
      <c r="CF866" s="23"/>
      <c r="CG866" s="23"/>
      <c r="CH866" s="23"/>
      <c r="CI866" s="23"/>
    </row>
    <row r="867" spans="1:87" x14ac:dyDescent="0.3">
      <c r="A867" s="9" t="s">
        <v>7255</v>
      </c>
      <c r="B867" s="10" t="s">
        <v>7256</v>
      </c>
      <c r="C867" s="11">
        <v>46117</v>
      </c>
      <c r="D867" s="12">
        <v>8.3333333333333329E-2</v>
      </c>
      <c r="E867" s="11">
        <v>46117.083333333336</v>
      </c>
      <c r="F867" s="10" t="s">
        <v>5001</v>
      </c>
      <c r="G867" s="13" t="b">
        <v>0</v>
      </c>
      <c r="H867" s="10"/>
      <c r="I867" s="10" t="s">
        <v>89</v>
      </c>
      <c r="J867" s="13" t="b">
        <v>0</v>
      </c>
      <c r="K867" s="13" t="b">
        <v>1</v>
      </c>
      <c r="L867" s="10" t="s">
        <v>124</v>
      </c>
      <c r="M867" s="10" t="s">
        <v>91</v>
      </c>
      <c r="N867" s="10" t="s">
        <v>92</v>
      </c>
      <c r="O867" s="10"/>
      <c r="P867" s="10"/>
      <c r="Q867" s="10"/>
      <c r="R867" s="10"/>
      <c r="S867" s="10"/>
      <c r="T867" s="10"/>
      <c r="U867" s="10" t="s">
        <v>5031</v>
      </c>
      <c r="V867" s="10" t="s">
        <v>5114</v>
      </c>
      <c r="W867" s="10" t="s">
        <v>5007</v>
      </c>
      <c r="X867" s="10" t="s">
        <v>130</v>
      </c>
      <c r="Y867" s="10" t="s">
        <v>130</v>
      </c>
      <c r="Z867" s="10" t="s">
        <v>99</v>
      </c>
      <c r="AA867" s="10" t="s">
        <v>131</v>
      </c>
      <c r="AB867" s="10" t="s">
        <v>5008</v>
      </c>
      <c r="AC867" s="10" t="s">
        <v>5009</v>
      </c>
      <c r="AD867" s="10" t="s">
        <v>7257</v>
      </c>
      <c r="AE867" s="10" t="s">
        <v>7258</v>
      </c>
      <c r="AF867" s="15"/>
      <c r="AG867" s="10"/>
      <c r="AH867" s="10"/>
      <c r="AI867" s="10"/>
      <c r="AJ867" s="10"/>
      <c r="AK867" s="10"/>
      <c r="AL867" s="10" t="s">
        <v>2843</v>
      </c>
      <c r="AM867" s="10"/>
      <c r="AN867" s="10"/>
      <c r="AO867" s="13" t="b">
        <v>0</v>
      </c>
      <c r="AP867" s="10" t="s">
        <v>104</v>
      </c>
      <c r="AQ867" s="10"/>
      <c r="AR867" s="17"/>
      <c r="AS867" s="17"/>
      <c r="AT867" s="17"/>
      <c r="AU867" s="17"/>
      <c r="AV867" s="17"/>
      <c r="AW867" s="10"/>
      <c r="AX867" s="17"/>
      <c r="AY867" s="18" t="s">
        <v>257</v>
      </c>
      <c r="AZ867" s="10"/>
      <c r="BA867" s="20" t="b">
        <v>0</v>
      </c>
      <c r="BB867" s="10"/>
      <c r="BC867" s="17" t="s">
        <v>257</v>
      </c>
      <c r="BD867" s="17" t="s">
        <v>257</v>
      </c>
      <c r="BE867" s="17" t="s">
        <v>257</v>
      </c>
      <c r="BF867" s="17" t="s">
        <v>257</v>
      </c>
      <c r="BG867" s="11">
        <f ca="1">IFERROR(__xludf.DUMMYFUNCTION("""COMPUTED_VALUE"""),46117)</f>
        <v>46117</v>
      </c>
      <c r="BH867" s="17"/>
      <c r="BI867" s="17"/>
      <c r="BJ867" s="15"/>
      <c r="BK867" s="15"/>
      <c r="BL867" s="13" t="b">
        <v>0</v>
      </c>
      <c r="BM867" s="10"/>
      <c r="BN867" s="10" t="s">
        <v>223</v>
      </c>
      <c r="BO867" s="11">
        <v>45866.101898148147</v>
      </c>
      <c r="BP867" s="11">
        <v>45866.101898148147</v>
      </c>
      <c r="BQ867" s="15"/>
      <c r="BR867" s="15"/>
      <c r="BS867" s="10"/>
      <c r="BT867" s="10"/>
      <c r="BU867" s="10"/>
      <c r="BV867" s="10"/>
      <c r="BW867" s="10"/>
      <c r="BX867" s="10"/>
      <c r="BY867" s="23"/>
      <c r="BZ867" s="23"/>
      <c r="CA867" s="23"/>
      <c r="CB867" s="23"/>
      <c r="CC867" s="23"/>
      <c r="CD867" s="23"/>
      <c r="CE867" s="23"/>
      <c r="CF867" s="23"/>
      <c r="CG867" s="23"/>
      <c r="CH867" s="23"/>
      <c r="CI867" s="23"/>
    </row>
    <row r="868" spans="1:87" x14ac:dyDescent="0.3">
      <c r="A868" s="9" t="s">
        <v>7259</v>
      </c>
      <c r="B868" s="10" t="s">
        <v>7260</v>
      </c>
      <c r="C868" s="11">
        <v>46117</v>
      </c>
      <c r="D868" s="12">
        <v>8.3333333333333329E-2</v>
      </c>
      <c r="E868" s="11">
        <v>46117.083333333336</v>
      </c>
      <c r="F868" s="10" t="s">
        <v>5001</v>
      </c>
      <c r="G868" s="13" t="b">
        <v>0</v>
      </c>
      <c r="H868" s="10"/>
      <c r="I868" s="10" t="s">
        <v>89</v>
      </c>
      <c r="J868" s="13" t="b">
        <v>0</v>
      </c>
      <c r="K868" s="13" t="b">
        <v>1</v>
      </c>
      <c r="L868" s="10" t="s">
        <v>124</v>
      </c>
      <c r="M868" s="10" t="s">
        <v>91</v>
      </c>
      <c r="N868" s="10" t="s">
        <v>92</v>
      </c>
      <c r="O868" s="10"/>
      <c r="P868" s="10"/>
      <c r="Q868" s="10"/>
      <c r="R868" s="10"/>
      <c r="S868" s="10"/>
      <c r="T868" s="10"/>
      <c r="U868" s="10" t="s">
        <v>5005</v>
      </c>
      <c r="V868" s="10" t="s">
        <v>5018</v>
      </c>
      <c r="W868" s="10" t="s">
        <v>5007</v>
      </c>
      <c r="X868" s="10" t="s">
        <v>130</v>
      </c>
      <c r="Y868" s="10" t="s">
        <v>130</v>
      </c>
      <c r="Z868" s="10" t="s">
        <v>99</v>
      </c>
      <c r="AA868" s="10" t="s">
        <v>131</v>
      </c>
      <c r="AB868" s="10" t="s">
        <v>5008</v>
      </c>
      <c r="AC868" s="10" t="s">
        <v>5009</v>
      </c>
      <c r="AD868" s="10" t="s">
        <v>7261</v>
      </c>
      <c r="AE868" s="10" t="s">
        <v>7262</v>
      </c>
      <c r="AF868" s="15"/>
      <c r="AG868" s="10"/>
      <c r="AH868" s="10"/>
      <c r="AI868" s="10"/>
      <c r="AJ868" s="10"/>
      <c r="AK868" s="10"/>
      <c r="AL868" s="10" t="s">
        <v>2843</v>
      </c>
      <c r="AM868" s="10"/>
      <c r="AN868" s="10"/>
      <c r="AO868" s="13" t="b">
        <v>0</v>
      </c>
      <c r="AP868" s="10" t="s">
        <v>104</v>
      </c>
      <c r="AQ868" s="10"/>
      <c r="AR868" s="17"/>
      <c r="AS868" s="17"/>
      <c r="AT868" s="17"/>
      <c r="AU868" s="17"/>
      <c r="AV868" s="17"/>
      <c r="AW868" s="10"/>
      <c r="AX868" s="17"/>
      <c r="AY868" s="18" t="s">
        <v>257</v>
      </c>
      <c r="AZ868" s="10"/>
      <c r="BA868" s="20" t="b">
        <v>0</v>
      </c>
      <c r="BB868" s="10"/>
      <c r="BC868" s="17" t="s">
        <v>257</v>
      </c>
      <c r="BD868" s="17" t="s">
        <v>257</v>
      </c>
      <c r="BE868" s="17" t="s">
        <v>257</v>
      </c>
      <c r="BF868" s="17" t="s">
        <v>257</v>
      </c>
      <c r="BG868" s="11">
        <f ca="1">IFERROR(__xludf.DUMMYFUNCTION("""COMPUTED_VALUE"""),46117)</f>
        <v>46117</v>
      </c>
      <c r="BH868" s="17"/>
      <c r="BI868" s="17"/>
      <c r="BJ868" s="15"/>
      <c r="BK868" s="15"/>
      <c r="BL868" s="13" t="b">
        <v>0</v>
      </c>
      <c r="BM868" s="10"/>
      <c r="BN868" s="10" t="s">
        <v>223</v>
      </c>
      <c r="BO868" s="11">
        <v>45866.101898148147</v>
      </c>
      <c r="BP868" s="11">
        <v>45866.101898148147</v>
      </c>
      <c r="BQ868" s="15"/>
      <c r="BR868" s="15"/>
      <c r="BS868" s="10"/>
      <c r="BT868" s="10"/>
      <c r="BU868" s="10"/>
      <c r="BV868" s="10"/>
      <c r="BW868" s="10"/>
      <c r="BX868" s="10"/>
      <c r="BY868" s="23"/>
      <c r="BZ868" s="23"/>
      <c r="CA868" s="23"/>
      <c r="CB868" s="23"/>
      <c r="CC868" s="23"/>
      <c r="CD868" s="23"/>
      <c r="CE868" s="23"/>
      <c r="CF868" s="23"/>
      <c r="CG868" s="23"/>
      <c r="CH868" s="23"/>
      <c r="CI868" s="23"/>
    </row>
    <row r="869" spans="1:87" x14ac:dyDescent="0.3">
      <c r="A869" s="9" t="s">
        <v>7263</v>
      </c>
      <c r="B869" s="10" t="s">
        <v>7264</v>
      </c>
      <c r="C869" s="11">
        <v>46117</v>
      </c>
      <c r="D869" s="12">
        <v>8.3333333333333329E-2</v>
      </c>
      <c r="E869" s="11">
        <v>46117.083333333336</v>
      </c>
      <c r="F869" s="10" t="s">
        <v>5001</v>
      </c>
      <c r="G869" s="13" t="b">
        <v>0</v>
      </c>
      <c r="H869" s="10"/>
      <c r="I869" s="10" t="s">
        <v>89</v>
      </c>
      <c r="J869" s="13" t="b">
        <v>0</v>
      </c>
      <c r="K869" s="13" t="b">
        <v>1</v>
      </c>
      <c r="L869" s="10" t="s">
        <v>124</v>
      </c>
      <c r="M869" s="10" t="s">
        <v>91</v>
      </c>
      <c r="N869" s="10" t="s">
        <v>92</v>
      </c>
      <c r="O869" s="10"/>
      <c r="P869" s="10"/>
      <c r="Q869" s="10"/>
      <c r="R869" s="10"/>
      <c r="S869" s="10"/>
      <c r="T869" s="10"/>
      <c r="U869" s="10" t="s">
        <v>5055</v>
      </c>
      <c r="V869" s="10" t="s">
        <v>5032</v>
      </c>
      <c r="W869" s="10" t="s">
        <v>5007</v>
      </c>
      <c r="X869" s="10" t="s">
        <v>130</v>
      </c>
      <c r="Y869" s="10" t="s">
        <v>130</v>
      </c>
      <c r="Z869" s="10" t="s">
        <v>99</v>
      </c>
      <c r="AA869" s="10" t="s">
        <v>131</v>
      </c>
      <c r="AB869" s="10" t="s">
        <v>5008</v>
      </c>
      <c r="AC869" s="10" t="s">
        <v>5009</v>
      </c>
      <c r="AD869" s="10" t="s">
        <v>7265</v>
      </c>
      <c r="AE869" s="10" t="s">
        <v>7266</v>
      </c>
      <c r="AF869" s="15"/>
      <c r="AG869" s="10"/>
      <c r="AH869" s="10"/>
      <c r="AI869" s="10"/>
      <c r="AJ869" s="10"/>
      <c r="AK869" s="10"/>
      <c r="AL869" s="10" t="s">
        <v>2843</v>
      </c>
      <c r="AM869" s="10"/>
      <c r="AN869" s="10"/>
      <c r="AO869" s="13" t="b">
        <v>0</v>
      </c>
      <c r="AP869" s="10" t="s">
        <v>104</v>
      </c>
      <c r="AQ869" s="10"/>
      <c r="AR869" s="17"/>
      <c r="AS869" s="17"/>
      <c r="AT869" s="17"/>
      <c r="AU869" s="17"/>
      <c r="AV869" s="17"/>
      <c r="AW869" s="10"/>
      <c r="AX869" s="17"/>
      <c r="AY869" s="18" t="s">
        <v>257</v>
      </c>
      <c r="AZ869" s="10"/>
      <c r="BA869" s="20" t="b">
        <v>0</v>
      </c>
      <c r="BB869" s="10"/>
      <c r="BC869" s="17" t="s">
        <v>257</v>
      </c>
      <c r="BD869" s="17" t="s">
        <v>257</v>
      </c>
      <c r="BE869" s="17" t="s">
        <v>257</v>
      </c>
      <c r="BF869" s="17" t="s">
        <v>257</v>
      </c>
      <c r="BG869" s="11">
        <f ca="1">IFERROR(__xludf.DUMMYFUNCTION("""COMPUTED_VALUE"""),46117)</f>
        <v>46117</v>
      </c>
      <c r="BH869" s="17"/>
      <c r="BI869" s="17"/>
      <c r="BJ869" s="15"/>
      <c r="BK869" s="15"/>
      <c r="BL869" s="13" t="b">
        <v>0</v>
      </c>
      <c r="BM869" s="10"/>
      <c r="BN869" s="10" t="s">
        <v>223</v>
      </c>
      <c r="BO869" s="11">
        <v>45866.101898148147</v>
      </c>
      <c r="BP869" s="11">
        <v>45866.101898148147</v>
      </c>
      <c r="BQ869" s="15"/>
      <c r="BR869" s="15"/>
      <c r="BS869" s="10"/>
      <c r="BT869" s="10"/>
      <c r="BU869" s="10"/>
      <c r="BV869" s="10"/>
      <c r="BW869" s="10"/>
      <c r="BX869" s="10"/>
      <c r="BY869" s="23"/>
      <c r="BZ869" s="23"/>
      <c r="CA869" s="23"/>
      <c r="CB869" s="23"/>
      <c r="CC869" s="23"/>
      <c r="CD869" s="23"/>
      <c r="CE869" s="23"/>
      <c r="CF869" s="23"/>
      <c r="CG869" s="23"/>
      <c r="CH869" s="23"/>
      <c r="CI869" s="23"/>
    </row>
    <row r="870" spans="1:87" x14ac:dyDescent="0.3">
      <c r="A870" s="9" t="s">
        <v>7267</v>
      </c>
      <c r="B870" s="10" t="s">
        <v>7268</v>
      </c>
      <c r="C870" s="11">
        <v>46117</v>
      </c>
      <c r="D870" s="12">
        <v>8.3333333333333329E-2</v>
      </c>
      <c r="E870" s="11">
        <v>46117.083333333336</v>
      </c>
      <c r="F870" s="10" t="s">
        <v>5001</v>
      </c>
      <c r="G870" s="13" t="b">
        <v>0</v>
      </c>
      <c r="H870" s="10"/>
      <c r="I870" s="10" t="s">
        <v>89</v>
      </c>
      <c r="J870" s="13" t="b">
        <v>0</v>
      </c>
      <c r="K870" s="13" t="b">
        <v>1</v>
      </c>
      <c r="L870" s="10" t="s">
        <v>124</v>
      </c>
      <c r="M870" s="10" t="s">
        <v>91</v>
      </c>
      <c r="N870" s="10" t="s">
        <v>92</v>
      </c>
      <c r="O870" s="10"/>
      <c r="P870" s="10"/>
      <c r="Q870" s="10"/>
      <c r="R870" s="10"/>
      <c r="S870" s="10"/>
      <c r="T870" s="10"/>
      <c r="U870" s="10" t="s">
        <v>5006</v>
      </c>
      <c r="V870" s="10" t="s">
        <v>5101</v>
      </c>
      <c r="W870" s="10" t="s">
        <v>5007</v>
      </c>
      <c r="X870" s="10" t="s">
        <v>130</v>
      </c>
      <c r="Y870" s="10" t="s">
        <v>130</v>
      </c>
      <c r="Z870" s="10" t="s">
        <v>99</v>
      </c>
      <c r="AA870" s="10" t="s">
        <v>131</v>
      </c>
      <c r="AB870" s="10" t="s">
        <v>5008</v>
      </c>
      <c r="AC870" s="10" t="s">
        <v>5009</v>
      </c>
      <c r="AD870" s="10" t="s">
        <v>7269</v>
      </c>
      <c r="AE870" s="10" t="s">
        <v>7270</v>
      </c>
      <c r="AF870" s="15"/>
      <c r="AG870" s="10"/>
      <c r="AH870" s="10"/>
      <c r="AI870" s="10"/>
      <c r="AJ870" s="10"/>
      <c r="AK870" s="10"/>
      <c r="AL870" s="10" t="s">
        <v>2843</v>
      </c>
      <c r="AM870" s="10"/>
      <c r="AN870" s="10"/>
      <c r="AO870" s="13" t="b">
        <v>0</v>
      </c>
      <c r="AP870" s="10" t="s">
        <v>104</v>
      </c>
      <c r="AQ870" s="10"/>
      <c r="AR870" s="17"/>
      <c r="AS870" s="17"/>
      <c r="AT870" s="17"/>
      <c r="AU870" s="17"/>
      <c r="AV870" s="17"/>
      <c r="AW870" s="10"/>
      <c r="AX870" s="17"/>
      <c r="AY870" s="18" t="s">
        <v>257</v>
      </c>
      <c r="AZ870" s="10"/>
      <c r="BA870" s="20" t="b">
        <v>0</v>
      </c>
      <c r="BB870" s="10"/>
      <c r="BC870" s="17" t="s">
        <v>257</v>
      </c>
      <c r="BD870" s="17" t="s">
        <v>257</v>
      </c>
      <c r="BE870" s="17" t="s">
        <v>257</v>
      </c>
      <c r="BF870" s="17" t="s">
        <v>257</v>
      </c>
      <c r="BG870" s="11">
        <f ca="1">IFERROR(__xludf.DUMMYFUNCTION("""COMPUTED_VALUE"""),46117)</f>
        <v>46117</v>
      </c>
      <c r="BH870" s="17"/>
      <c r="BI870" s="17"/>
      <c r="BJ870" s="15"/>
      <c r="BK870" s="15"/>
      <c r="BL870" s="13" t="b">
        <v>0</v>
      </c>
      <c r="BM870" s="10"/>
      <c r="BN870" s="10" t="s">
        <v>223</v>
      </c>
      <c r="BO870" s="11">
        <v>45866.101898148147</v>
      </c>
      <c r="BP870" s="11">
        <v>45866.101898148147</v>
      </c>
      <c r="BQ870" s="15"/>
      <c r="BR870" s="15"/>
      <c r="BS870" s="10"/>
      <c r="BT870" s="10"/>
      <c r="BU870" s="10"/>
      <c r="BV870" s="10"/>
      <c r="BW870" s="10"/>
      <c r="BX870" s="10"/>
      <c r="BY870" s="23"/>
      <c r="BZ870" s="23"/>
      <c r="CA870" s="23"/>
      <c r="CB870" s="23"/>
      <c r="CC870" s="23"/>
      <c r="CD870" s="23"/>
      <c r="CE870" s="23"/>
      <c r="CF870" s="23"/>
      <c r="CG870" s="23"/>
      <c r="CH870" s="23"/>
      <c r="CI870" s="23"/>
    </row>
    <row r="871" spans="1:87" x14ac:dyDescent="0.3">
      <c r="A871" s="9" t="s">
        <v>7271</v>
      </c>
      <c r="B871" s="10" t="s">
        <v>7272</v>
      </c>
      <c r="C871" s="11">
        <v>46117</v>
      </c>
      <c r="D871" s="12">
        <v>8.3333333333333329E-2</v>
      </c>
      <c r="E871" s="11">
        <v>46117.083333333336</v>
      </c>
      <c r="F871" s="10" t="s">
        <v>5001</v>
      </c>
      <c r="G871" s="13" t="b">
        <v>0</v>
      </c>
      <c r="H871" s="10"/>
      <c r="I871" s="10" t="s">
        <v>89</v>
      </c>
      <c r="J871" s="13" t="b">
        <v>0</v>
      </c>
      <c r="K871" s="13" t="b">
        <v>1</v>
      </c>
      <c r="L871" s="10" t="s">
        <v>124</v>
      </c>
      <c r="M871" s="10" t="s">
        <v>91</v>
      </c>
      <c r="N871" s="10" t="s">
        <v>92</v>
      </c>
      <c r="O871" s="10"/>
      <c r="P871" s="10"/>
      <c r="Q871" s="10"/>
      <c r="R871" s="10"/>
      <c r="S871" s="10"/>
      <c r="T871" s="10"/>
      <c r="U871" s="10" t="s">
        <v>5102</v>
      </c>
      <c r="V871" s="10" t="s">
        <v>5089</v>
      </c>
      <c r="W871" s="10" t="s">
        <v>5007</v>
      </c>
      <c r="X871" s="10" t="s">
        <v>130</v>
      </c>
      <c r="Y871" s="10" t="s">
        <v>130</v>
      </c>
      <c r="Z871" s="10" t="s">
        <v>99</v>
      </c>
      <c r="AA871" s="10" t="s">
        <v>131</v>
      </c>
      <c r="AB871" s="10" t="s">
        <v>5008</v>
      </c>
      <c r="AC871" s="10" t="s">
        <v>5009</v>
      </c>
      <c r="AD871" s="10" t="s">
        <v>7273</v>
      </c>
      <c r="AE871" s="10" t="s">
        <v>7274</v>
      </c>
      <c r="AF871" s="15"/>
      <c r="AG871" s="10"/>
      <c r="AH871" s="10"/>
      <c r="AI871" s="10"/>
      <c r="AJ871" s="10"/>
      <c r="AK871" s="10"/>
      <c r="AL871" s="10" t="s">
        <v>2843</v>
      </c>
      <c r="AM871" s="10"/>
      <c r="AN871" s="10"/>
      <c r="AO871" s="13" t="b">
        <v>0</v>
      </c>
      <c r="AP871" s="10" t="s">
        <v>104</v>
      </c>
      <c r="AQ871" s="10"/>
      <c r="AR871" s="17"/>
      <c r="AS871" s="17"/>
      <c r="AT871" s="17"/>
      <c r="AU871" s="17"/>
      <c r="AV871" s="17"/>
      <c r="AW871" s="10"/>
      <c r="AX871" s="17"/>
      <c r="AY871" s="18" t="s">
        <v>257</v>
      </c>
      <c r="AZ871" s="10"/>
      <c r="BA871" s="20" t="b">
        <v>0</v>
      </c>
      <c r="BB871" s="10"/>
      <c r="BC871" s="17" t="s">
        <v>257</v>
      </c>
      <c r="BD871" s="17" t="s">
        <v>257</v>
      </c>
      <c r="BE871" s="17" t="s">
        <v>257</v>
      </c>
      <c r="BF871" s="17" t="s">
        <v>257</v>
      </c>
      <c r="BG871" s="11">
        <f ca="1">IFERROR(__xludf.DUMMYFUNCTION("""COMPUTED_VALUE"""),46117)</f>
        <v>46117</v>
      </c>
      <c r="BH871" s="17"/>
      <c r="BI871" s="17"/>
      <c r="BJ871" s="15"/>
      <c r="BK871" s="15"/>
      <c r="BL871" s="13" t="b">
        <v>0</v>
      </c>
      <c r="BM871" s="10"/>
      <c r="BN871" s="10" t="s">
        <v>223</v>
      </c>
      <c r="BO871" s="11">
        <v>45866.101898148147</v>
      </c>
      <c r="BP871" s="11">
        <v>45866.101898148147</v>
      </c>
      <c r="BQ871" s="15"/>
      <c r="BR871" s="15"/>
      <c r="BS871" s="10"/>
      <c r="BT871" s="10"/>
      <c r="BU871" s="10"/>
      <c r="BV871" s="10"/>
      <c r="BW871" s="10"/>
      <c r="BX871" s="10"/>
      <c r="BY871" s="23"/>
      <c r="BZ871" s="23"/>
      <c r="CA871" s="23"/>
      <c r="CB871" s="23"/>
      <c r="CC871" s="23"/>
      <c r="CD871" s="23"/>
      <c r="CE871" s="23"/>
      <c r="CF871" s="23"/>
      <c r="CG871" s="23"/>
      <c r="CH871" s="23"/>
      <c r="CI871" s="23"/>
    </row>
    <row r="872" spans="1:87" x14ac:dyDescent="0.3">
      <c r="A872" s="9" t="s">
        <v>7275</v>
      </c>
      <c r="B872" s="10" t="s">
        <v>7276</v>
      </c>
      <c r="C872" s="11">
        <v>46117</v>
      </c>
      <c r="D872" s="12">
        <v>8.3333333333333329E-2</v>
      </c>
      <c r="E872" s="11">
        <v>46117.083333333336</v>
      </c>
      <c r="F872" s="10" t="s">
        <v>5001</v>
      </c>
      <c r="G872" s="13" t="b">
        <v>0</v>
      </c>
      <c r="H872" s="10"/>
      <c r="I872" s="10" t="s">
        <v>89</v>
      </c>
      <c r="J872" s="13" t="b">
        <v>0</v>
      </c>
      <c r="K872" s="13" t="b">
        <v>1</v>
      </c>
      <c r="L872" s="10" t="s">
        <v>124</v>
      </c>
      <c r="M872" s="10" t="s">
        <v>91</v>
      </c>
      <c r="N872" s="10" t="s">
        <v>92</v>
      </c>
      <c r="O872" s="10"/>
      <c r="P872" s="10"/>
      <c r="Q872" s="10"/>
      <c r="R872" s="10"/>
      <c r="S872" s="10"/>
      <c r="T872" s="10"/>
      <c r="U872" s="10" t="s">
        <v>5041</v>
      </c>
      <c r="V872" s="10" t="s">
        <v>5113</v>
      </c>
      <c r="W872" s="10" t="s">
        <v>5007</v>
      </c>
      <c r="X872" s="10" t="s">
        <v>130</v>
      </c>
      <c r="Y872" s="10" t="s">
        <v>130</v>
      </c>
      <c r="Z872" s="10" t="s">
        <v>99</v>
      </c>
      <c r="AA872" s="10" t="s">
        <v>131</v>
      </c>
      <c r="AB872" s="10" t="s">
        <v>5008</v>
      </c>
      <c r="AC872" s="10" t="s">
        <v>5009</v>
      </c>
      <c r="AD872" s="10" t="s">
        <v>7277</v>
      </c>
      <c r="AE872" s="10" t="s">
        <v>7278</v>
      </c>
      <c r="AF872" s="15"/>
      <c r="AG872" s="10"/>
      <c r="AH872" s="10"/>
      <c r="AI872" s="10"/>
      <c r="AJ872" s="10"/>
      <c r="AK872" s="10"/>
      <c r="AL872" s="10" t="s">
        <v>2843</v>
      </c>
      <c r="AM872" s="10"/>
      <c r="AN872" s="10"/>
      <c r="AO872" s="13" t="b">
        <v>1</v>
      </c>
      <c r="AP872" s="10" t="s">
        <v>104</v>
      </c>
      <c r="AQ872" s="10"/>
      <c r="AR872" s="17"/>
      <c r="AS872" s="17"/>
      <c r="AT872" s="17"/>
      <c r="AU872" s="17"/>
      <c r="AV872" s="17"/>
      <c r="AW872" s="10"/>
      <c r="AX872" s="17"/>
      <c r="AY872" s="18" t="s">
        <v>257</v>
      </c>
      <c r="AZ872" s="10"/>
      <c r="BA872" s="20" t="b">
        <v>0</v>
      </c>
      <c r="BB872" s="10"/>
      <c r="BC872" s="17" t="s">
        <v>257</v>
      </c>
      <c r="BD872" s="17" t="s">
        <v>257</v>
      </c>
      <c r="BE872" s="17" t="s">
        <v>257</v>
      </c>
      <c r="BF872" s="17" t="s">
        <v>257</v>
      </c>
      <c r="BG872" s="11">
        <f ca="1">IFERROR(__xludf.DUMMYFUNCTION("""COMPUTED_VALUE"""),46117)</f>
        <v>46117</v>
      </c>
      <c r="BH872" s="17"/>
      <c r="BI872" s="17"/>
      <c r="BJ872" s="15"/>
      <c r="BK872" s="15"/>
      <c r="BL872" s="13" t="b">
        <v>0</v>
      </c>
      <c r="BM872" s="10"/>
      <c r="BN872" s="10" t="s">
        <v>223</v>
      </c>
      <c r="BO872" s="11">
        <v>45866.101898148147</v>
      </c>
      <c r="BP872" s="11">
        <v>45866.101898148147</v>
      </c>
      <c r="BQ872" s="15"/>
      <c r="BR872" s="15"/>
      <c r="BS872" s="10"/>
      <c r="BT872" s="10"/>
      <c r="BU872" s="10"/>
      <c r="BV872" s="10"/>
      <c r="BW872" s="10"/>
      <c r="BX872" s="10"/>
      <c r="BY872" s="23"/>
      <c r="BZ872" s="23"/>
      <c r="CA872" s="23"/>
      <c r="CB872" s="23"/>
      <c r="CC872" s="23"/>
      <c r="CD872" s="23"/>
      <c r="CE872" s="23"/>
      <c r="CF872" s="23"/>
      <c r="CG872" s="23"/>
      <c r="CH872" s="23"/>
      <c r="CI872" s="23"/>
    </row>
    <row r="873" spans="1:87" x14ac:dyDescent="0.3">
      <c r="A873" s="9" t="s">
        <v>7279</v>
      </c>
      <c r="B873" s="10" t="s">
        <v>7280</v>
      </c>
      <c r="C873" s="11">
        <v>46117</v>
      </c>
      <c r="D873" s="12">
        <v>8.3333333333333329E-2</v>
      </c>
      <c r="E873" s="11">
        <v>46117.083333333336</v>
      </c>
      <c r="F873" s="10" t="s">
        <v>5001</v>
      </c>
      <c r="G873" s="13" t="b">
        <v>0</v>
      </c>
      <c r="H873" s="10"/>
      <c r="I873" s="10" t="s">
        <v>89</v>
      </c>
      <c r="J873" s="13" t="b">
        <v>0</v>
      </c>
      <c r="K873" s="13" t="b">
        <v>1</v>
      </c>
      <c r="L873" s="10" t="s">
        <v>124</v>
      </c>
      <c r="M873" s="10" t="s">
        <v>91</v>
      </c>
      <c r="N873" s="10" t="s">
        <v>92</v>
      </c>
      <c r="O873" s="10"/>
      <c r="P873" s="10"/>
      <c r="Q873" s="10"/>
      <c r="R873" s="10"/>
      <c r="S873" s="10"/>
      <c r="T873" s="10"/>
      <c r="U873" s="10" t="s">
        <v>5019</v>
      </c>
      <c r="V873" s="10" t="s">
        <v>5077</v>
      </c>
      <c r="W873" s="10" t="s">
        <v>5007</v>
      </c>
      <c r="X873" s="10" t="s">
        <v>130</v>
      </c>
      <c r="Y873" s="10" t="s">
        <v>130</v>
      </c>
      <c r="Z873" s="10" t="s">
        <v>99</v>
      </c>
      <c r="AA873" s="10" t="s">
        <v>131</v>
      </c>
      <c r="AB873" s="10" t="s">
        <v>5008</v>
      </c>
      <c r="AC873" s="10" t="s">
        <v>5009</v>
      </c>
      <c r="AD873" s="10" t="s">
        <v>7281</v>
      </c>
      <c r="AE873" s="10" t="s">
        <v>7282</v>
      </c>
      <c r="AF873" s="15"/>
      <c r="AG873" s="10"/>
      <c r="AH873" s="10"/>
      <c r="AI873" s="10"/>
      <c r="AJ873" s="10"/>
      <c r="AK873" s="10"/>
      <c r="AL873" s="10" t="s">
        <v>2843</v>
      </c>
      <c r="AM873" s="10"/>
      <c r="AN873" s="10"/>
      <c r="AO873" s="13" t="b">
        <v>0</v>
      </c>
      <c r="AP873" s="10" t="s">
        <v>104</v>
      </c>
      <c r="AQ873" s="10"/>
      <c r="AR873" s="17"/>
      <c r="AS873" s="17"/>
      <c r="AT873" s="17"/>
      <c r="AU873" s="17"/>
      <c r="AV873" s="17"/>
      <c r="AW873" s="10"/>
      <c r="AX873" s="17"/>
      <c r="AY873" s="18" t="s">
        <v>257</v>
      </c>
      <c r="AZ873" s="10"/>
      <c r="BA873" s="20" t="b">
        <v>0</v>
      </c>
      <c r="BB873" s="10"/>
      <c r="BC873" s="17" t="s">
        <v>257</v>
      </c>
      <c r="BD873" s="17" t="s">
        <v>257</v>
      </c>
      <c r="BE873" s="17" t="s">
        <v>257</v>
      </c>
      <c r="BF873" s="17" t="s">
        <v>257</v>
      </c>
      <c r="BG873" s="11">
        <f ca="1">IFERROR(__xludf.DUMMYFUNCTION("""COMPUTED_VALUE"""),46117)</f>
        <v>46117</v>
      </c>
      <c r="BH873" s="17"/>
      <c r="BI873" s="17"/>
      <c r="BJ873" s="15"/>
      <c r="BK873" s="15"/>
      <c r="BL873" s="13" t="b">
        <v>0</v>
      </c>
      <c r="BM873" s="10"/>
      <c r="BN873" s="10" t="s">
        <v>223</v>
      </c>
      <c r="BO873" s="11">
        <v>45866.101898148147</v>
      </c>
      <c r="BP873" s="11">
        <v>45866.101898148147</v>
      </c>
      <c r="BQ873" s="15"/>
      <c r="BR873" s="15"/>
      <c r="BS873" s="10"/>
      <c r="BT873" s="10"/>
      <c r="BU873" s="10"/>
      <c r="BV873" s="10"/>
      <c r="BW873" s="10"/>
      <c r="BX873" s="10"/>
      <c r="BY873" s="23"/>
      <c r="BZ873" s="23"/>
      <c r="CA873" s="23"/>
      <c r="CB873" s="23"/>
      <c r="CC873" s="23"/>
      <c r="CD873" s="23"/>
      <c r="CE873" s="23"/>
      <c r="CF873" s="23"/>
      <c r="CG873" s="23"/>
      <c r="CH873" s="23"/>
      <c r="CI873" s="23"/>
    </row>
    <row r="874" spans="1:87" x14ac:dyDescent="0.3">
      <c r="A874" s="9" t="s">
        <v>7283</v>
      </c>
      <c r="B874" s="10" t="s">
        <v>7284</v>
      </c>
      <c r="C874" s="11">
        <v>46117</v>
      </c>
      <c r="D874" s="12">
        <v>8.3333333333333329E-2</v>
      </c>
      <c r="E874" s="11">
        <v>46117.083333333336</v>
      </c>
      <c r="F874" s="10" t="s">
        <v>5001</v>
      </c>
      <c r="G874" s="13" t="b">
        <v>0</v>
      </c>
      <c r="H874" s="10"/>
      <c r="I874" s="10" t="s">
        <v>89</v>
      </c>
      <c r="J874" s="13" t="b">
        <v>0</v>
      </c>
      <c r="K874" s="13" t="b">
        <v>1</v>
      </c>
      <c r="L874" s="10" t="s">
        <v>124</v>
      </c>
      <c r="M874" s="10" t="s">
        <v>91</v>
      </c>
      <c r="N874" s="10" t="s">
        <v>92</v>
      </c>
      <c r="O874" s="10"/>
      <c r="P874" s="10"/>
      <c r="Q874" s="10"/>
      <c r="R874" s="10"/>
      <c r="S874" s="10"/>
      <c r="T874" s="10"/>
      <c r="U874" s="10" t="s">
        <v>5054</v>
      </c>
      <c r="V874" s="10" t="s">
        <v>5066</v>
      </c>
      <c r="W874" s="10" t="s">
        <v>5007</v>
      </c>
      <c r="X874" s="10" t="s">
        <v>130</v>
      </c>
      <c r="Y874" s="10" t="s">
        <v>130</v>
      </c>
      <c r="Z874" s="10" t="s">
        <v>99</v>
      </c>
      <c r="AA874" s="10" t="s">
        <v>131</v>
      </c>
      <c r="AB874" s="10" t="s">
        <v>5008</v>
      </c>
      <c r="AC874" s="10" t="s">
        <v>5009</v>
      </c>
      <c r="AD874" s="10" t="s">
        <v>7285</v>
      </c>
      <c r="AE874" s="10" t="s">
        <v>7286</v>
      </c>
      <c r="AF874" s="15"/>
      <c r="AG874" s="10"/>
      <c r="AH874" s="10"/>
      <c r="AI874" s="10"/>
      <c r="AJ874" s="10"/>
      <c r="AK874" s="10"/>
      <c r="AL874" s="10" t="s">
        <v>2843</v>
      </c>
      <c r="AM874" s="10"/>
      <c r="AN874" s="10"/>
      <c r="AO874" s="13" t="b">
        <v>0</v>
      </c>
      <c r="AP874" s="10" t="s">
        <v>104</v>
      </c>
      <c r="AQ874" s="10"/>
      <c r="AR874" s="17"/>
      <c r="AS874" s="17"/>
      <c r="AT874" s="17"/>
      <c r="AU874" s="17"/>
      <c r="AV874" s="17"/>
      <c r="AW874" s="10"/>
      <c r="AX874" s="17"/>
      <c r="AY874" s="18" t="s">
        <v>257</v>
      </c>
      <c r="AZ874" s="10"/>
      <c r="BA874" s="20" t="b">
        <v>0</v>
      </c>
      <c r="BB874" s="10"/>
      <c r="BC874" s="17" t="s">
        <v>257</v>
      </c>
      <c r="BD874" s="17" t="s">
        <v>257</v>
      </c>
      <c r="BE874" s="17" t="s">
        <v>257</v>
      </c>
      <c r="BF874" s="17" t="s">
        <v>257</v>
      </c>
      <c r="BG874" s="11">
        <f ca="1">IFERROR(__xludf.DUMMYFUNCTION("""COMPUTED_VALUE"""),46117)</f>
        <v>46117</v>
      </c>
      <c r="BH874" s="17"/>
      <c r="BI874" s="17"/>
      <c r="BJ874" s="15"/>
      <c r="BK874" s="15"/>
      <c r="BL874" s="13" t="b">
        <v>0</v>
      </c>
      <c r="BM874" s="10"/>
      <c r="BN874" s="10" t="s">
        <v>223</v>
      </c>
      <c r="BO874" s="11">
        <v>45866.101898148147</v>
      </c>
      <c r="BP874" s="11">
        <v>45866.101898148147</v>
      </c>
      <c r="BQ874" s="15"/>
      <c r="BR874" s="15"/>
      <c r="BS874" s="10"/>
      <c r="BT874" s="10"/>
      <c r="BU874" s="10"/>
      <c r="BV874" s="10"/>
      <c r="BW874" s="10"/>
      <c r="BX874" s="10"/>
      <c r="BY874" s="23"/>
      <c r="BZ874" s="23"/>
      <c r="CA874" s="23"/>
      <c r="CB874" s="23"/>
      <c r="CC874" s="23"/>
      <c r="CD874" s="23"/>
      <c r="CE874" s="23"/>
      <c r="CF874" s="23"/>
      <c r="CG874" s="23"/>
      <c r="CH874" s="23"/>
      <c r="CI874" s="23"/>
    </row>
    <row r="875" spans="1:87" x14ac:dyDescent="0.3">
      <c r="A875" s="9" t="s">
        <v>7287</v>
      </c>
      <c r="B875" s="10" t="s">
        <v>7288</v>
      </c>
      <c r="C875" s="11">
        <v>46117</v>
      </c>
      <c r="D875" s="12">
        <v>8.3333333333333329E-2</v>
      </c>
      <c r="E875" s="11">
        <v>46117.083333333336</v>
      </c>
      <c r="F875" s="10" t="s">
        <v>5001</v>
      </c>
      <c r="G875" s="13" t="b">
        <v>0</v>
      </c>
      <c r="H875" s="10"/>
      <c r="I875" s="10" t="s">
        <v>89</v>
      </c>
      <c r="J875" s="13" t="b">
        <v>0</v>
      </c>
      <c r="K875" s="13" t="b">
        <v>1</v>
      </c>
      <c r="L875" s="10" t="s">
        <v>124</v>
      </c>
      <c r="M875" s="10" t="s">
        <v>91</v>
      </c>
      <c r="N875" s="10" t="s">
        <v>92</v>
      </c>
      <c r="O875" s="10"/>
      <c r="P875" s="10"/>
      <c r="Q875" s="10"/>
      <c r="R875" s="10"/>
      <c r="S875" s="10"/>
      <c r="T875" s="10"/>
      <c r="U875" s="10" t="s">
        <v>5090</v>
      </c>
      <c r="V875" s="10" t="s">
        <v>5042</v>
      </c>
      <c r="W875" s="10" t="s">
        <v>5007</v>
      </c>
      <c r="X875" s="10" t="s">
        <v>130</v>
      </c>
      <c r="Y875" s="10" t="s">
        <v>130</v>
      </c>
      <c r="Z875" s="10" t="s">
        <v>99</v>
      </c>
      <c r="AA875" s="10" t="s">
        <v>131</v>
      </c>
      <c r="AB875" s="10" t="s">
        <v>5008</v>
      </c>
      <c r="AC875" s="10" t="s">
        <v>5009</v>
      </c>
      <c r="AD875" s="10" t="s">
        <v>7289</v>
      </c>
      <c r="AE875" s="10" t="s">
        <v>7290</v>
      </c>
      <c r="AF875" s="15"/>
      <c r="AG875" s="10"/>
      <c r="AH875" s="10"/>
      <c r="AI875" s="10"/>
      <c r="AJ875" s="10"/>
      <c r="AK875" s="10"/>
      <c r="AL875" s="10" t="s">
        <v>2843</v>
      </c>
      <c r="AM875" s="10"/>
      <c r="AN875" s="10"/>
      <c r="AO875" s="13" t="b">
        <v>1</v>
      </c>
      <c r="AP875" s="10" t="s">
        <v>104</v>
      </c>
      <c r="AQ875" s="10"/>
      <c r="AR875" s="17"/>
      <c r="AS875" s="17"/>
      <c r="AT875" s="17"/>
      <c r="AU875" s="17"/>
      <c r="AV875" s="17"/>
      <c r="AW875" s="10"/>
      <c r="AX875" s="17"/>
      <c r="AY875" s="18" t="s">
        <v>257</v>
      </c>
      <c r="AZ875" s="10"/>
      <c r="BA875" s="20" t="b">
        <v>0</v>
      </c>
      <c r="BB875" s="10"/>
      <c r="BC875" s="17" t="s">
        <v>257</v>
      </c>
      <c r="BD875" s="17" t="s">
        <v>257</v>
      </c>
      <c r="BE875" s="17" t="s">
        <v>257</v>
      </c>
      <c r="BF875" s="17" t="s">
        <v>257</v>
      </c>
      <c r="BG875" s="11">
        <f ca="1">IFERROR(__xludf.DUMMYFUNCTION("""COMPUTED_VALUE"""),46117)</f>
        <v>46117</v>
      </c>
      <c r="BH875" s="17"/>
      <c r="BI875" s="17"/>
      <c r="BJ875" s="15"/>
      <c r="BK875" s="15"/>
      <c r="BL875" s="13" t="b">
        <v>0</v>
      </c>
      <c r="BM875" s="10"/>
      <c r="BN875" s="10" t="s">
        <v>223</v>
      </c>
      <c r="BO875" s="11">
        <v>45866.101898148147</v>
      </c>
      <c r="BP875" s="11">
        <v>45866.101898148147</v>
      </c>
      <c r="BQ875" s="15"/>
      <c r="BR875" s="15"/>
      <c r="BS875" s="10"/>
      <c r="BT875" s="10"/>
      <c r="BU875" s="10"/>
      <c r="BV875" s="10"/>
      <c r="BW875" s="10"/>
      <c r="BX875" s="10"/>
      <c r="BY875" s="23"/>
      <c r="BZ875" s="23"/>
      <c r="CA875" s="23"/>
      <c r="CB875" s="23"/>
      <c r="CC875" s="23"/>
      <c r="CD875" s="23"/>
      <c r="CE875" s="23"/>
      <c r="CF875" s="23"/>
      <c r="CG875" s="23"/>
      <c r="CH875" s="23"/>
      <c r="CI875" s="23"/>
    </row>
    <row r="876" spans="1:87" x14ac:dyDescent="0.3">
      <c r="A876" s="9" t="s">
        <v>7291</v>
      </c>
      <c r="B876" s="10" t="s">
        <v>7292</v>
      </c>
      <c r="C876" s="11">
        <v>46124</v>
      </c>
      <c r="D876" s="12">
        <v>8.3333333333333329E-2</v>
      </c>
      <c r="E876" s="11">
        <v>46124.083333333336</v>
      </c>
      <c r="F876" s="10" t="s">
        <v>5001</v>
      </c>
      <c r="G876" s="13" t="b">
        <v>0</v>
      </c>
      <c r="H876" s="10"/>
      <c r="I876" s="10" t="s">
        <v>89</v>
      </c>
      <c r="J876" s="13" t="b">
        <v>0</v>
      </c>
      <c r="K876" s="13" t="b">
        <v>1</v>
      </c>
      <c r="L876" s="10" t="s">
        <v>124</v>
      </c>
      <c r="M876" s="10" t="s">
        <v>91</v>
      </c>
      <c r="N876" s="10" t="s">
        <v>92</v>
      </c>
      <c r="O876" s="10"/>
      <c r="P876" s="10"/>
      <c r="Q876" s="10"/>
      <c r="R876" s="10"/>
      <c r="S876" s="10"/>
      <c r="T876" s="10"/>
      <c r="U876" s="10" t="s">
        <v>5042</v>
      </c>
      <c r="V876" s="10" t="s">
        <v>5089</v>
      </c>
      <c r="W876" s="10" t="s">
        <v>5007</v>
      </c>
      <c r="X876" s="10" t="s">
        <v>130</v>
      </c>
      <c r="Y876" s="10" t="s">
        <v>130</v>
      </c>
      <c r="Z876" s="10" t="s">
        <v>99</v>
      </c>
      <c r="AA876" s="10" t="s">
        <v>131</v>
      </c>
      <c r="AB876" s="10" t="s">
        <v>5008</v>
      </c>
      <c r="AC876" s="10" t="s">
        <v>5009</v>
      </c>
      <c r="AD876" s="10" t="s">
        <v>7293</v>
      </c>
      <c r="AE876" s="10" t="s">
        <v>7294</v>
      </c>
      <c r="AF876" s="15"/>
      <c r="AG876" s="10"/>
      <c r="AH876" s="10"/>
      <c r="AI876" s="10"/>
      <c r="AJ876" s="10"/>
      <c r="AK876" s="10"/>
      <c r="AL876" s="10" t="s">
        <v>2885</v>
      </c>
      <c r="AM876" s="10"/>
      <c r="AN876" s="10"/>
      <c r="AO876" s="13" t="b">
        <v>1</v>
      </c>
      <c r="AP876" s="10" t="s">
        <v>104</v>
      </c>
      <c r="AQ876" s="10"/>
      <c r="AR876" s="17"/>
      <c r="AS876" s="17"/>
      <c r="AT876" s="17"/>
      <c r="AU876" s="17"/>
      <c r="AV876" s="17"/>
      <c r="AW876" s="10"/>
      <c r="AX876" s="17"/>
      <c r="AY876" s="18" t="s">
        <v>257</v>
      </c>
      <c r="AZ876" s="10"/>
      <c r="BA876" s="20" t="b">
        <v>0</v>
      </c>
      <c r="BB876" s="10"/>
      <c r="BC876" s="17" t="s">
        <v>257</v>
      </c>
      <c r="BD876" s="17" t="s">
        <v>257</v>
      </c>
      <c r="BE876" s="17" t="s">
        <v>257</v>
      </c>
      <c r="BF876" s="17" t="s">
        <v>257</v>
      </c>
      <c r="BG876" s="11">
        <f ca="1">IFERROR(__xludf.DUMMYFUNCTION("""COMPUTED_VALUE"""),46124)</f>
        <v>46124</v>
      </c>
      <c r="BH876" s="17"/>
      <c r="BI876" s="17"/>
      <c r="BJ876" s="15"/>
      <c r="BK876" s="15"/>
      <c r="BL876" s="13" t="b">
        <v>0</v>
      </c>
      <c r="BM876" s="10"/>
      <c r="BN876" s="10" t="s">
        <v>223</v>
      </c>
      <c r="BO876" s="11">
        <v>45866.101898148147</v>
      </c>
      <c r="BP876" s="11">
        <v>45866.101898148147</v>
      </c>
      <c r="BQ876" s="15"/>
      <c r="BR876" s="15"/>
      <c r="BS876" s="10"/>
      <c r="BT876" s="10"/>
      <c r="BU876" s="10"/>
      <c r="BV876" s="10"/>
      <c r="BW876" s="10"/>
      <c r="BX876" s="10"/>
      <c r="BY876" s="23"/>
      <c r="BZ876" s="23"/>
      <c r="CA876" s="23"/>
      <c r="CB876" s="23"/>
      <c r="CC876" s="23"/>
      <c r="CD876" s="23"/>
      <c r="CE876" s="23"/>
      <c r="CF876" s="23"/>
      <c r="CG876" s="23"/>
      <c r="CH876" s="23"/>
      <c r="CI876" s="23"/>
    </row>
    <row r="877" spans="1:87" x14ac:dyDescent="0.3">
      <c r="A877" s="9" t="s">
        <v>7295</v>
      </c>
      <c r="B877" s="10" t="s">
        <v>7296</v>
      </c>
      <c r="C877" s="11">
        <v>46124</v>
      </c>
      <c r="D877" s="12">
        <v>8.3333333333333329E-2</v>
      </c>
      <c r="E877" s="11">
        <v>46124.083333333336</v>
      </c>
      <c r="F877" s="10" t="s">
        <v>5001</v>
      </c>
      <c r="G877" s="13" t="b">
        <v>0</v>
      </c>
      <c r="H877" s="10"/>
      <c r="I877" s="10" t="s">
        <v>89</v>
      </c>
      <c r="J877" s="13" t="b">
        <v>0</v>
      </c>
      <c r="K877" s="13" t="b">
        <v>1</v>
      </c>
      <c r="L877" s="10" t="s">
        <v>124</v>
      </c>
      <c r="M877" s="10" t="s">
        <v>91</v>
      </c>
      <c r="N877" s="10" t="s">
        <v>92</v>
      </c>
      <c r="O877" s="10"/>
      <c r="P877" s="10"/>
      <c r="Q877" s="10"/>
      <c r="R877" s="10"/>
      <c r="S877" s="10"/>
      <c r="T877" s="10"/>
      <c r="U877" s="10" t="s">
        <v>5041</v>
      </c>
      <c r="V877" s="10" t="s">
        <v>5006</v>
      </c>
      <c r="W877" s="10" t="s">
        <v>5007</v>
      </c>
      <c r="X877" s="10" t="s">
        <v>130</v>
      </c>
      <c r="Y877" s="10" t="s">
        <v>130</v>
      </c>
      <c r="Z877" s="10" t="s">
        <v>99</v>
      </c>
      <c r="AA877" s="10" t="s">
        <v>131</v>
      </c>
      <c r="AB877" s="10" t="s">
        <v>5008</v>
      </c>
      <c r="AC877" s="10" t="s">
        <v>5009</v>
      </c>
      <c r="AD877" s="10" t="s">
        <v>7297</v>
      </c>
      <c r="AE877" s="10" t="s">
        <v>7298</v>
      </c>
      <c r="AF877" s="15"/>
      <c r="AG877" s="10"/>
      <c r="AH877" s="10"/>
      <c r="AI877" s="10"/>
      <c r="AJ877" s="10"/>
      <c r="AK877" s="10"/>
      <c r="AL877" s="10" t="s">
        <v>2885</v>
      </c>
      <c r="AM877" s="10"/>
      <c r="AN877" s="10"/>
      <c r="AO877" s="13" t="b">
        <v>0</v>
      </c>
      <c r="AP877" s="10" t="s">
        <v>104</v>
      </c>
      <c r="AQ877" s="10"/>
      <c r="AR877" s="17"/>
      <c r="AS877" s="17"/>
      <c r="AT877" s="17"/>
      <c r="AU877" s="17"/>
      <c r="AV877" s="17"/>
      <c r="AW877" s="10"/>
      <c r="AX877" s="17"/>
      <c r="AY877" s="18" t="s">
        <v>257</v>
      </c>
      <c r="AZ877" s="10"/>
      <c r="BA877" s="20" t="b">
        <v>0</v>
      </c>
      <c r="BB877" s="10"/>
      <c r="BC877" s="17" t="s">
        <v>257</v>
      </c>
      <c r="BD877" s="17" t="s">
        <v>257</v>
      </c>
      <c r="BE877" s="17" t="s">
        <v>257</v>
      </c>
      <c r="BF877" s="17" t="s">
        <v>257</v>
      </c>
      <c r="BG877" s="11">
        <f ca="1">IFERROR(__xludf.DUMMYFUNCTION("""COMPUTED_VALUE"""),46124)</f>
        <v>46124</v>
      </c>
      <c r="BH877" s="17"/>
      <c r="BI877" s="17"/>
      <c r="BJ877" s="15"/>
      <c r="BK877" s="15"/>
      <c r="BL877" s="13" t="b">
        <v>0</v>
      </c>
      <c r="BM877" s="10"/>
      <c r="BN877" s="10" t="s">
        <v>223</v>
      </c>
      <c r="BO877" s="11">
        <v>45866.101898148147</v>
      </c>
      <c r="BP877" s="11">
        <v>45866.101898148147</v>
      </c>
      <c r="BQ877" s="15"/>
      <c r="BR877" s="15"/>
      <c r="BS877" s="10"/>
      <c r="BT877" s="10"/>
      <c r="BU877" s="10"/>
      <c r="BV877" s="10"/>
      <c r="BW877" s="10"/>
      <c r="BX877" s="10"/>
      <c r="BY877" s="23"/>
      <c r="BZ877" s="23"/>
      <c r="CA877" s="23"/>
      <c r="CB877" s="23"/>
      <c r="CC877" s="23"/>
      <c r="CD877" s="23"/>
      <c r="CE877" s="23"/>
      <c r="CF877" s="23"/>
      <c r="CG877" s="23"/>
      <c r="CH877" s="23"/>
      <c r="CI877" s="23"/>
    </row>
    <row r="878" spans="1:87" x14ac:dyDescent="0.3">
      <c r="A878" s="9" t="s">
        <v>7299</v>
      </c>
      <c r="B878" s="10" t="s">
        <v>7300</v>
      </c>
      <c r="C878" s="11">
        <v>46124</v>
      </c>
      <c r="D878" s="12">
        <v>8.3333333333333329E-2</v>
      </c>
      <c r="E878" s="11">
        <v>46124.083333333336</v>
      </c>
      <c r="F878" s="10" t="s">
        <v>5001</v>
      </c>
      <c r="G878" s="13" t="b">
        <v>0</v>
      </c>
      <c r="H878" s="10"/>
      <c r="I878" s="10" t="s">
        <v>89</v>
      </c>
      <c r="J878" s="13" t="b">
        <v>0</v>
      </c>
      <c r="K878" s="13" t="b">
        <v>1</v>
      </c>
      <c r="L878" s="10" t="s">
        <v>124</v>
      </c>
      <c r="M878" s="10" t="s">
        <v>91</v>
      </c>
      <c r="N878" s="10" t="s">
        <v>92</v>
      </c>
      <c r="O878" s="10"/>
      <c r="P878" s="10"/>
      <c r="Q878" s="10"/>
      <c r="R878" s="10"/>
      <c r="S878" s="10"/>
      <c r="T878" s="10"/>
      <c r="U878" s="10" t="s">
        <v>5101</v>
      </c>
      <c r="V878" s="10" t="s">
        <v>5054</v>
      </c>
      <c r="W878" s="10" t="s">
        <v>5007</v>
      </c>
      <c r="X878" s="10" t="s">
        <v>130</v>
      </c>
      <c r="Y878" s="10" t="s">
        <v>130</v>
      </c>
      <c r="Z878" s="10" t="s">
        <v>99</v>
      </c>
      <c r="AA878" s="10" t="s">
        <v>131</v>
      </c>
      <c r="AB878" s="10" t="s">
        <v>5008</v>
      </c>
      <c r="AC878" s="10" t="s">
        <v>5009</v>
      </c>
      <c r="AD878" s="10" t="s">
        <v>7301</v>
      </c>
      <c r="AE878" s="10" t="s">
        <v>7302</v>
      </c>
      <c r="AF878" s="15"/>
      <c r="AG878" s="10"/>
      <c r="AH878" s="10"/>
      <c r="AI878" s="10"/>
      <c r="AJ878" s="10"/>
      <c r="AK878" s="10"/>
      <c r="AL878" s="10" t="s">
        <v>2885</v>
      </c>
      <c r="AM878" s="10"/>
      <c r="AN878" s="10"/>
      <c r="AO878" s="13" t="b">
        <v>0</v>
      </c>
      <c r="AP878" s="10" t="s">
        <v>104</v>
      </c>
      <c r="AQ878" s="10"/>
      <c r="AR878" s="17"/>
      <c r="AS878" s="17"/>
      <c r="AT878" s="17"/>
      <c r="AU878" s="17"/>
      <c r="AV878" s="17"/>
      <c r="AW878" s="10"/>
      <c r="AX878" s="17"/>
      <c r="AY878" s="18" t="s">
        <v>257</v>
      </c>
      <c r="AZ878" s="10"/>
      <c r="BA878" s="20" t="b">
        <v>0</v>
      </c>
      <c r="BB878" s="10"/>
      <c r="BC878" s="17" t="s">
        <v>257</v>
      </c>
      <c r="BD878" s="17" t="s">
        <v>257</v>
      </c>
      <c r="BE878" s="17" t="s">
        <v>257</v>
      </c>
      <c r="BF878" s="17" t="s">
        <v>257</v>
      </c>
      <c r="BG878" s="11">
        <f ca="1">IFERROR(__xludf.DUMMYFUNCTION("""COMPUTED_VALUE"""),46124)</f>
        <v>46124</v>
      </c>
      <c r="BH878" s="17"/>
      <c r="BI878" s="17"/>
      <c r="BJ878" s="15"/>
      <c r="BK878" s="15"/>
      <c r="BL878" s="13" t="b">
        <v>0</v>
      </c>
      <c r="BM878" s="10"/>
      <c r="BN878" s="10" t="s">
        <v>223</v>
      </c>
      <c r="BO878" s="11">
        <v>45866.101898148147</v>
      </c>
      <c r="BP878" s="11">
        <v>45866.101898148147</v>
      </c>
      <c r="BQ878" s="15"/>
      <c r="BR878" s="15"/>
      <c r="BS878" s="10"/>
      <c r="BT878" s="10"/>
      <c r="BU878" s="10"/>
      <c r="BV878" s="10"/>
      <c r="BW878" s="10"/>
      <c r="BX878" s="10"/>
      <c r="BY878" s="23"/>
      <c r="BZ878" s="23"/>
      <c r="CA878" s="23"/>
      <c r="CB878" s="23"/>
      <c r="CC878" s="23"/>
      <c r="CD878" s="23"/>
      <c r="CE878" s="23"/>
      <c r="CF878" s="23"/>
      <c r="CG878" s="23"/>
      <c r="CH878" s="23"/>
      <c r="CI878" s="23"/>
    </row>
    <row r="879" spans="1:87" x14ac:dyDescent="0.3">
      <c r="A879" s="9" t="s">
        <v>7303</v>
      </c>
      <c r="B879" s="10" t="s">
        <v>7304</v>
      </c>
      <c r="C879" s="11">
        <v>46124</v>
      </c>
      <c r="D879" s="12">
        <v>8.3333333333333329E-2</v>
      </c>
      <c r="E879" s="11">
        <v>46124.083333333336</v>
      </c>
      <c r="F879" s="10" t="s">
        <v>5001</v>
      </c>
      <c r="G879" s="13" t="b">
        <v>0</v>
      </c>
      <c r="H879" s="10"/>
      <c r="I879" s="10" t="s">
        <v>89</v>
      </c>
      <c r="J879" s="13" t="b">
        <v>0</v>
      </c>
      <c r="K879" s="13" t="b">
        <v>1</v>
      </c>
      <c r="L879" s="10" t="s">
        <v>124</v>
      </c>
      <c r="M879" s="10" t="s">
        <v>91</v>
      </c>
      <c r="N879" s="10" t="s">
        <v>92</v>
      </c>
      <c r="O879" s="10"/>
      <c r="P879" s="10"/>
      <c r="Q879" s="10"/>
      <c r="R879" s="10"/>
      <c r="S879" s="10"/>
      <c r="T879" s="10"/>
      <c r="U879" s="10" t="s">
        <v>5076</v>
      </c>
      <c r="V879" s="10" t="s">
        <v>5018</v>
      </c>
      <c r="W879" s="10" t="s">
        <v>5007</v>
      </c>
      <c r="X879" s="10" t="s">
        <v>130</v>
      </c>
      <c r="Y879" s="10" t="s">
        <v>130</v>
      </c>
      <c r="Z879" s="10" t="s">
        <v>99</v>
      </c>
      <c r="AA879" s="10" t="s">
        <v>131</v>
      </c>
      <c r="AB879" s="10" t="s">
        <v>5008</v>
      </c>
      <c r="AC879" s="10" t="s">
        <v>5009</v>
      </c>
      <c r="AD879" s="10" t="s">
        <v>7305</v>
      </c>
      <c r="AE879" s="10" t="s">
        <v>7306</v>
      </c>
      <c r="AF879" s="15"/>
      <c r="AG879" s="10"/>
      <c r="AH879" s="10"/>
      <c r="AI879" s="10"/>
      <c r="AJ879" s="10"/>
      <c r="AK879" s="10"/>
      <c r="AL879" s="10" t="s">
        <v>2885</v>
      </c>
      <c r="AM879" s="10"/>
      <c r="AN879" s="10"/>
      <c r="AO879" s="13" t="b">
        <v>0</v>
      </c>
      <c r="AP879" s="10" t="s">
        <v>104</v>
      </c>
      <c r="AQ879" s="10"/>
      <c r="AR879" s="17"/>
      <c r="AS879" s="17"/>
      <c r="AT879" s="17"/>
      <c r="AU879" s="17"/>
      <c r="AV879" s="17"/>
      <c r="AW879" s="10"/>
      <c r="AX879" s="17"/>
      <c r="AY879" s="18" t="s">
        <v>257</v>
      </c>
      <c r="AZ879" s="10"/>
      <c r="BA879" s="20" t="b">
        <v>0</v>
      </c>
      <c r="BB879" s="10"/>
      <c r="BC879" s="17" t="s">
        <v>257</v>
      </c>
      <c r="BD879" s="17" t="s">
        <v>257</v>
      </c>
      <c r="BE879" s="17" t="s">
        <v>257</v>
      </c>
      <c r="BF879" s="17" t="s">
        <v>257</v>
      </c>
      <c r="BG879" s="11">
        <f ca="1">IFERROR(__xludf.DUMMYFUNCTION("""COMPUTED_VALUE"""),46124)</f>
        <v>46124</v>
      </c>
      <c r="BH879" s="17"/>
      <c r="BI879" s="17"/>
      <c r="BJ879" s="15"/>
      <c r="BK879" s="15"/>
      <c r="BL879" s="13" t="b">
        <v>0</v>
      </c>
      <c r="BM879" s="10"/>
      <c r="BN879" s="10" t="s">
        <v>223</v>
      </c>
      <c r="BO879" s="11">
        <v>45866.101898148147</v>
      </c>
      <c r="BP879" s="11">
        <v>45866.101898148147</v>
      </c>
      <c r="BQ879" s="15"/>
      <c r="BR879" s="15"/>
      <c r="BS879" s="10"/>
      <c r="BT879" s="10"/>
      <c r="BU879" s="10"/>
      <c r="BV879" s="10"/>
      <c r="BW879" s="10"/>
      <c r="BX879" s="10"/>
      <c r="BY879" s="23"/>
      <c r="BZ879" s="23"/>
      <c r="CA879" s="23"/>
      <c r="CB879" s="23"/>
      <c r="CC879" s="23"/>
      <c r="CD879" s="23"/>
      <c r="CE879" s="23"/>
      <c r="CF879" s="23"/>
      <c r="CG879" s="23"/>
      <c r="CH879" s="23"/>
      <c r="CI879" s="23"/>
    </row>
    <row r="880" spans="1:87" x14ac:dyDescent="0.3">
      <c r="A880" s="9" t="s">
        <v>7307</v>
      </c>
      <c r="B880" s="10" t="s">
        <v>7308</v>
      </c>
      <c r="C880" s="11">
        <v>46124</v>
      </c>
      <c r="D880" s="12">
        <v>8.3333333333333329E-2</v>
      </c>
      <c r="E880" s="11">
        <v>46124.083333333336</v>
      </c>
      <c r="F880" s="10" t="s">
        <v>5001</v>
      </c>
      <c r="G880" s="13" t="b">
        <v>0</v>
      </c>
      <c r="H880" s="10"/>
      <c r="I880" s="10" t="s">
        <v>89</v>
      </c>
      <c r="J880" s="13" t="b">
        <v>0</v>
      </c>
      <c r="K880" s="13" t="b">
        <v>1</v>
      </c>
      <c r="L880" s="10" t="s">
        <v>124</v>
      </c>
      <c r="M880" s="10" t="s">
        <v>91</v>
      </c>
      <c r="N880" s="10" t="s">
        <v>92</v>
      </c>
      <c r="O880" s="10"/>
      <c r="P880" s="10"/>
      <c r="Q880" s="10"/>
      <c r="R880" s="10"/>
      <c r="S880" s="10"/>
      <c r="T880" s="10"/>
      <c r="U880" s="10" t="s">
        <v>5032</v>
      </c>
      <c r="V880" s="10" t="s">
        <v>5067</v>
      </c>
      <c r="W880" s="10" t="s">
        <v>5007</v>
      </c>
      <c r="X880" s="10" t="s">
        <v>130</v>
      </c>
      <c r="Y880" s="10" t="s">
        <v>130</v>
      </c>
      <c r="Z880" s="10" t="s">
        <v>99</v>
      </c>
      <c r="AA880" s="10" t="s">
        <v>131</v>
      </c>
      <c r="AB880" s="10" t="s">
        <v>5008</v>
      </c>
      <c r="AC880" s="10" t="s">
        <v>5009</v>
      </c>
      <c r="AD880" s="10" t="s">
        <v>7309</v>
      </c>
      <c r="AE880" s="10" t="s">
        <v>7310</v>
      </c>
      <c r="AF880" s="15"/>
      <c r="AG880" s="10"/>
      <c r="AH880" s="10"/>
      <c r="AI880" s="10"/>
      <c r="AJ880" s="10"/>
      <c r="AK880" s="10"/>
      <c r="AL880" s="10" t="s">
        <v>2885</v>
      </c>
      <c r="AM880" s="10"/>
      <c r="AN880" s="10"/>
      <c r="AO880" s="13" t="b">
        <v>0</v>
      </c>
      <c r="AP880" s="10" t="s">
        <v>104</v>
      </c>
      <c r="AQ880" s="10"/>
      <c r="AR880" s="17"/>
      <c r="AS880" s="17"/>
      <c r="AT880" s="17"/>
      <c r="AU880" s="17"/>
      <c r="AV880" s="17"/>
      <c r="AW880" s="10"/>
      <c r="AX880" s="17"/>
      <c r="AY880" s="18" t="s">
        <v>257</v>
      </c>
      <c r="AZ880" s="10"/>
      <c r="BA880" s="20" t="b">
        <v>0</v>
      </c>
      <c r="BB880" s="10"/>
      <c r="BC880" s="17" t="s">
        <v>257</v>
      </c>
      <c r="BD880" s="17" t="s">
        <v>257</v>
      </c>
      <c r="BE880" s="17" t="s">
        <v>257</v>
      </c>
      <c r="BF880" s="17" t="s">
        <v>257</v>
      </c>
      <c r="BG880" s="11">
        <f ca="1">IFERROR(__xludf.DUMMYFUNCTION("""COMPUTED_VALUE"""),46124)</f>
        <v>46124</v>
      </c>
      <c r="BH880" s="17"/>
      <c r="BI880" s="17"/>
      <c r="BJ880" s="15"/>
      <c r="BK880" s="15"/>
      <c r="BL880" s="13" t="b">
        <v>0</v>
      </c>
      <c r="BM880" s="10"/>
      <c r="BN880" s="10" t="s">
        <v>223</v>
      </c>
      <c r="BO880" s="11">
        <v>45866.101898148147</v>
      </c>
      <c r="BP880" s="11">
        <v>45866.101898148147</v>
      </c>
      <c r="BQ880" s="15"/>
      <c r="BR880" s="15"/>
      <c r="BS880" s="10"/>
      <c r="BT880" s="10"/>
      <c r="BU880" s="10"/>
      <c r="BV880" s="10"/>
      <c r="BW880" s="10"/>
      <c r="BX880" s="10"/>
      <c r="BY880" s="23"/>
      <c r="BZ880" s="23"/>
      <c r="CA880" s="23"/>
      <c r="CB880" s="23"/>
      <c r="CC880" s="23"/>
      <c r="CD880" s="23"/>
      <c r="CE880" s="23"/>
      <c r="CF880" s="23"/>
      <c r="CG880" s="23"/>
      <c r="CH880" s="23"/>
      <c r="CI880" s="23"/>
    </row>
    <row r="881" spans="1:87" x14ac:dyDescent="0.3">
      <c r="A881" s="9" t="s">
        <v>7311</v>
      </c>
      <c r="B881" s="10" t="s">
        <v>7312</v>
      </c>
      <c r="C881" s="11">
        <v>46124</v>
      </c>
      <c r="D881" s="12">
        <v>8.3333333333333329E-2</v>
      </c>
      <c r="E881" s="11">
        <v>46124.083333333336</v>
      </c>
      <c r="F881" s="10" t="s">
        <v>5001</v>
      </c>
      <c r="G881" s="13" t="b">
        <v>0</v>
      </c>
      <c r="H881" s="10"/>
      <c r="I881" s="10" t="s">
        <v>89</v>
      </c>
      <c r="J881" s="13" t="b">
        <v>0</v>
      </c>
      <c r="K881" s="13" t="b">
        <v>1</v>
      </c>
      <c r="L881" s="10" t="s">
        <v>124</v>
      </c>
      <c r="M881" s="10" t="s">
        <v>91</v>
      </c>
      <c r="N881" s="10" t="s">
        <v>92</v>
      </c>
      <c r="O881" s="10"/>
      <c r="P881" s="10"/>
      <c r="Q881" s="10"/>
      <c r="R881" s="10"/>
      <c r="S881" s="10"/>
      <c r="T881" s="10"/>
      <c r="U881" s="10" t="s">
        <v>5114</v>
      </c>
      <c r="V881" s="10" t="s">
        <v>5102</v>
      </c>
      <c r="W881" s="10" t="s">
        <v>5007</v>
      </c>
      <c r="X881" s="10" t="s">
        <v>130</v>
      </c>
      <c r="Y881" s="10" t="s">
        <v>130</v>
      </c>
      <c r="Z881" s="10" t="s">
        <v>99</v>
      </c>
      <c r="AA881" s="10" t="s">
        <v>131</v>
      </c>
      <c r="AB881" s="10" t="s">
        <v>5008</v>
      </c>
      <c r="AC881" s="10" t="s">
        <v>5009</v>
      </c>
      <c r="AD881" s="10" t="s">
        <v>7313</v>
      </c>
      <c r="AE881" s="10" t="s">
        <v>7314</v>
      </c>
      <c r="AF881" s="15"/>
      <c r="AG881" s="10"/>
      <c r="AH881" s="10"/>
      <c r="AI881" s="10"/>
      <c r="AJ881" s="10"/>
      <c r="AK881" s="10"/>
      <c r="AL881" s="10" t="s">
        <v>2885</v>
      </c>
      <c r="AM881" s="10"/>
      <c r="AN881" s="10"/>
      <c r="AO881" s="13" t="b">
        <v>0</v>
      </c>
      <c r="AP881" s="10" t="s">
        <v>104</v>
      </c>
      <c r="AQ881" s="10"/>
      <c r="AR881" s="17"/>
      <c r="AS881" s="17"/>
      <c r="AT881" s="17"/>
      <c r="AU881" s="17"/>
      <c r="AV881" s="17"/>
      <c r="AW881" s="10"/>
      <c r="AX881" s="17"/>
      <c r="AY881" s="18" t="s">
        <v>257</v>
      </c>
      <c r="AZ881" s="10"/>
      <c r="BA881" s="20" t="b">
        <v>0</v>
      </c>
      <c r="BB881" s="10"/>
      <c r="BC881" s="17" t="s">
        <v>257</v>
      </c>
      <c r="BD881" s="17" t="s">
        <v>257</v>
      </c>
      <c r="BE881" s="17" t="s">
        <v>257</v>
      </c>
      <c r="BF881" s="17" t="s">
        <v>257</v>
      </c>
      <c r="BG881" s="11">
        <f ca="1">IFERROR(__xludf.DUMMYFUNCTION("""COMPUTED_VALUE"""),46124)</f>
        <v>46124</v>
      </c>
      <c r="BH881" s="17"/>
      <c r="BI881" s="17"/>
      <c r="BJ881" s="15"/>
      <c r="BK881" s="15"/>
      <c r="BL881" s="13" t="b">
        <v>0</v>
      </c>
      <c r="BM881" s="10"/>
      <c r="BN881" s="10" t="s">
        <v>223</v>
      </c>
      <c r="BO881" s="11">
        <v>45866.101898148147</v>
      </c>
      <c r="BP881" s="11">
        <v>45866.101898148147</v>
      </c>
      <c r="BQ881" s="15"/>
      <c r="BR881" s="15"/>
      <c r="BS881" s="10"/>
      <c r="BT881" s="10"/>
      <c r="BU881" s="10"/>
      <c r="BV881" s="10"/>
      <c r="BW881" s="10"/>
      <c r="BX881" s="10"/>
      <c r="BY881" s="23"/>
      <c r="BZ881" s="23"/>
      <c r="CA881" s="23"/>
      <c r="CB881" s="23"/>
      <c r="CC881" s="23"/>
      <c r="CD881" s="23"/>
      <c r="CE881" s="23"/>
      <c r="CF881" s="23"/>
      <c r="CG881" s="23"/>
      <c r="CH881" s="23"/>
      <c r="CI881" s="23"/>
    </row>
    <row r="882" spans="1:87" x14ac:dyDescent="0.3">
      <c r="A882" s="9" t="s">
        <v>7315</v>
      </c>
      <c r="B882" s="10" t="s">
        <v>7316</v>
      </c>
      <c r="C882" s="11">
        <v>46124</v>
      </c>
      <c r="D882" s="12">
        <v>8.3333333333333329E-2</v>
      </c>
      <c r="E882" s="11">
        <v>46124.083333333336</v>
      </c>
      <c r="F882" s="10" t="s">
        <v>5001</v>
      </c>
      <c r="G882" s="13" t="b">
        <v>0</v>
      </c>
      <c r="H882" s="10"/>
      <c r="I882" s="10" t="s">
        <v>89</v>
      </c>
      <c r="J882" s="13" t="b">
        <v>0</v>
      </c>
      <c r="K882" s="13" t="b">
        <v>1</v>
      </c>
      <c r="L882" s="10" t="s">
        <v>124</v>
      </c>
      <c r="M882" s="10" t="s">
        <v>91</v>
      </c>
      <c r="N882" s="10" t="s">
        <v>92</v>
      </c>
      <c r="O882" s="10"/>
      <c r="P882" s="10"/>
      <c r="Q882" s="10"/>
      <c r="R882" s="10"/>
      <c r="S882" s="10"/>
      <c r="T882" s="10"/>
      <c r="U882" s="10" t="s">
        <v>5055</v>
      </c>
      <c r="V882" s="10" t="s">
        <v>5031</v>
      </c>
      <c r="W882" s="10" t="s">
        <v>5007</v>
      </c>
      <c r="X882" s="10" t="s">
        <v>130</v>
      </c>
      <c r="Y882" s="10" t="s">
        <v>130</v>
      </c>
      <c r="Z882" s="10" t="s">
        <v>99</v>
      </c>
      <c r="AA882" s="10" t="s">
        <v>131</v>
      </c>
      <c r="AB882" s="10" t="s">
        <v>5008</v>
      </c>
      <c r="AC882" s="10" t="s">
        <v>5009</v>
      </c>
      <c r="AD882" s="10" t="s">
        <v>7317</v>
      </c>
      <c r="AE882" s="10" t="s">
        <v>7318</v>
      </c>
      <c r="AF882" s="15"/>
      <c r="AG882" s="10"/>
      <c r="AH882" s="10"/>
      <c r="AI882" s="10"/>
      <c r="AJ882" s="10"/>
      <c r="AK882" s="10"/>
      <c r="AL882" s="10" t="s">
        <v>2885</v>
      </c>
      <c r="AM882" s="10"/>
      <c r="AN882" s="10"/>
      <c r="AO882" s="13" t="b">
        <v>0</v>
      </c>
      <c r="AP882" s="10" t="s">
        <v>104</v>
      </c>
      <c r="AQ882" s="10"/>
      <c r="AR882" s="17"/>
      <c r="AS882" s="17"/>
      <c r="AT882" s="17"/>
      <c r="AU882" s="17"/>
      <c r="AV882" s="17"/>
      <c r="AW882" s="10"/>
      <c r="AX882" s="17"/>
      <c r="AY882" s="18" t="s">
        <v>257</v>
      </c>
      <c r="AZ882" s="10"/>
      <c r="BA882" s="20" t="b">
        <v>0</v>
      </c>
      <c r="BB882" s="10"/>
      <c r="BC882" s="17" t="s">
        <v>257</v>
      </c>
      <c r="BD882" s="17" t="s">
        <v>257</v>
      </c>
      <c r="BE882" s="17" t="s">
        <v>257</v>
      </c>
      <c r="BF882" s="17" t="s">
        <v>257</v>
      </c>
      <c r="BG882" s="11">
        <f ca="1">IFERROR(__xludf.DUMMYFUNCTION("""COMPUTED_VALUE"""),46124)</f>
        <v>46124</v>
      </c>
      <c r="BH882" s="17"/>
      <c r="BI882" s="17"/>
      <c r="BJ882" s="15"/>
      <c r="BK882" s="15"/>
      <c r="BL882" s="13" t="b">
        <v>0</v>
      </c>
      <c r="BM882" s="10"/>
      <c r="BN882" s="10" t="s">
        <v>223</v>
      </c>
      <c r="BO882" s="11">
        <v>45866.101898148147</v>
      </c>
      <c r="BP882" s="11">
        <v>45866.101898148147</v>
      </c>
      <c r="BQ882" s="15"/>
      <c r="BR882" s="15"/>
      <c r="BS882" s="10"/>
      <c r="BT882" s="10"/>
      <c r="BU882" s="10"/>
      <c r="BV882" s="10"/>
      <c r="BW882" s="10"/>
      <c r="BX882" s="10"/>
      <c r="BY882" s="23"/>
      <c r="BZ882" s="23"/>
      <c r="CA882" s="23"/>
      <c r="CB882" s="23"/>
      <c r="CC882" s="23"/>
      <c r="CD882" s="23"/>
      <c r="CE882" s="23"/>
      <c r="CF882" s="23"/>
      <c r="CG882" s="23"/>
      <c r="CH882" s="23"/>
      <c r="CI882" s="23"/>
    </row>
    <row r="883" spans="1:87" x14ac:dyDescent="0.3">
      <c r="A883" s="9" t="s">
        <v>7319</v>
      </c>
      <c r="B883" s="10" t="s">
        <v>7320</v>
      </c>
      <c r="C883" s="11">
        <v>46124</v>
      </c>
      <c r="D883" s="12">
        <v>8.3333333333333329E-2</v>
      </c>
      <c r="E883" s="11">
        <v>46124.083333333336</v>
      </c>
      <c r="F883" s="10" t="s">
        <v>5001</v>
      </c>
      <c r="G883" s="13" t="b">
        <v>0</v>
      </c>
      <c r="H883" s="10"/>
      <c r="I883" s="10" t="s">
        <v>89</v>
      </c>
      <c r="J883" s="13" t="b">
        <v>0</v>
      </c>
      <c r="K883" s="13" t="b">
        <v>1</v>
      </c>
      <c r="L883" s="10" t="s">
        <v>124</v>
      </c>
      <c r="M883" s="10" t="s">
        <v>91</v>
      </c>
      <c r="N883" s="10" t="s">
        <v>92</v>
      </c>
      <c r="O883" s="10"/>
      <c r="P883" s="10"/>
      <c r="Q883" s="10"/>
      <c r="R883" s="10"/>
      <c r="S883" s="10"/>
      <c r="T883" s="10"/>
      <c r="U883" s="10" t="s">
        <v>5077</v>
      </c>
      <c r="V883" s="10" t="s">
        <v>5090</v>
      </c>
      <c r="W883" s="10" t="s">
        <v>5007</v>
      </c>
      <c r="X883" s="10" t="s">
        <v>130</v>
      </c>
      <c r="Y883" s="10" t="s">
        <v>130</v>
      </c>
      <c r="Z883" s="10" t="s">
        <v>99</v>
      </c>
      <c r="AA883" s="10" t="s">
        <v>131</v>
      </c>
      <c r="AB883" s="10" t="s">
        <v>5008</v>
      </c>
      <c r="AC883" s="10" t="s">
        <v>5009</v>
      </c>
      <c r="AD883" s="10" t="s">
        <v>7321</v>
      </c>
      <c r="AE883" s="10" t="s">
        <v>7322</v>
      </c>
      <c r="AF883" s="15"/>
      <c r="AG883" s="10"/>
      <c r="AH883" s="10"/>
      <c r="AI883" s="10"/>
      <c r="AJ883" s="10"/>
      <c r="AK883" s="10"/>
      <c r="AL883" s="10" t="s">
        <v>2885</v>
      </c>
      <c r="AM883" s="10"/>
      <c r="AN883" s="10"/>
      <c r="AO883" s="13" t="b">
        <v>0</v>
      </c>
      <c r="AP883" s="10" t="s">
        <v>104</v>
      </c>
      <c r="AQ883" s="10"/>
      <c r="AR883" s="17"/>
      <c r="AS883" s="17"/>
      <c r="AT883" s="17"/>
      <c r="AU883" s="17"/>
      <c r="AV883" s="17"/>
      <c r="AW883" s="10"/>
      <c r="AX883" s="17"/>
      <c r="AY883" s="18" t="s">
        <v>257</v>
      </c>
      <c r="AZ883" s="10"/>
      <c r="BA883" s="20" t="b">
        <v>0</v>
      </c>
      <c r="BB883" s="10"/>
      <c r="BC883" s="17" t="s">
        <v>257</v>
      </c>
      <c r="BD883" s="17" t="s">
        <v>257</v>
      </c>
      <c r="BE883" s="17" t="s">
        <v>257</v>
      </c>
      <c r="BF883" s="17" t="s">
        <v>257</v>
      </c>
      <c r="BG883" s="11">
        <f ca="1">IFERROR(__xludf.DUMMYFUNCTION("""COMPUTED_VALUE"""),46124)</f>
        <v>46124</v>
      </c>
      <c r="BH883" s="17"/>
      <c r="BI883" s="17"/>
      <c r="BJ883" s="15"/>
      <c r="BK883" s="15"/>
      <c r="BL883" s="13" t="b">
        <v>0</v>
      </c>
      <c r="BM883" s="10"/>
      <c r="BN883" s="10" t="s">
        <v>223</v>
      </c>
      <c r="BO883" s="11">
        <v>45866.101898148147</v>
      </c>
      <c r="BP883" s="11">
        <v>45866.101898148147</v>
      </c>
      <c r="BQ883" s="15"/>
      <c r="BR883" s="15"/>
      <c r="BS883" s="10"/>
      <c r="BT883" s="10"/>
      <c r="BU883" s="10"/>
      <c r="BV883" s="10"/>
      <c r="BW883" s="10"/>
      <c r="BX883" s="10"/>
      <c r="BY883" s="23"/>
      <c r="BZ883" s="23"/>
      <c r="CA883" s="23"/>
      <c r="CB883" s="23"/>
      <c r="CC883" s="23"/>
      <c r="CD883" s="23"/>
      <c r="CE883" s="23"/>
      <c r="CF883" s="23"/>
      <c r="CG883" s="23"/>
      <c r="CH883" s="23"/>
      <c r="CI883" s="23"/>
    </row>
    <row r="884" spans="1:87" x14ac:dyDescent="0.3">
      <c r="A884" s="9" t="s">
        <v>7323</v>
      </c>
      <c r="B884" s="10" t="s">
        <v>7324</v>
      </c>
      <c r="C884" s="11">
        <v>46124</v>
      </c>
      <c r="D884" s="12">
        <v>8.3333333333333329E-2</v>
      </c>
      <c r="E884" s="11">
        <v>46124.083333333336</v>
      </c>
      <c r="F884" s="10" t="s">
        <v>5001</v>
      </c>
      <c r="G884" s="13" t="b">
        <v>0</v>
      </c>
      <c r="H884" s="10"/>
      <c r="I884" s="10" t="s">
        <v>89</v>
      </c>
      <c r="J884" s="13" t="b">
        <v>0</v>
      </c>
      <c r="K884" s="13" t="b">
        <v>1</v>
      </c>
      <c r="L884" s="10" t="s">
        <v>124</v>
      </c>
      <c r="M884" s="10" t="s">
        <v>91</v>
      </c>
      <c r="N884" s="10" t="s">
        <v>92</v>
      </c>
      <c r="O884" s="10"/>
      <c r="P884" s="10"/>
      <c r="Q884" s="10"/>
      <c r="R884" s="10"/>
      <c r="S884" s="10"/>
      <c r="T884" s="10"/>
      <c r="U884" s="10" t="s">
        <v>5113</v>
      </c>
      <c r="V884" s="10" t="s">
        <v>5005</v>
      </c>
      <c r="W884" s="10" t="s">
        <v>5007</v>
      </c>
      <c r="X884" s="10" t="s">
        <v>130</v>
      </c>
      <c r="Y884" s="10" t="s">
        <v>130</v>
      </c>
      <c r="Z884" s="10" t="s">
        <v>99</v>
      </c>
      <c r="AA884" s="10" t="s">
        <v>131</v>
      </c>
      <c r="AB884" s="10" t="s">
        <v>5008</v>
      </c>
      <c r="AC884" s="10" t="s">
        <v>5009</v>
      </c>
      <c r="AD884" s="10" t="s">
        <v>7325</v>
      </c>
      <c r="AE884" s="10" t="s">
        <v>7326</v>
      </c>
      <c r="AF884" s="15"/>
      <c r="AG884" s="10"/>
      <c r="AH884" s="10"/>
      <c r="AI884" s="10"/>
      <c r="AJ884" s="10"/>
      <c r="AK884" s="10"/>
      <c r="AL884" s="10" t="s">
        <v>2885</v>
      </c>
      <c r="AM884" s="10"/>
      <c r="AN884" s="10"/>
      <c r="AO884" s="13" t="b">
        <v>1</v>
      </c>
      <c r="AP884" s="10" t="s">
        <v>104</v>
      </c>
      <c r="AQ884" s="10"/>
      <c r="AR884" s="17"/>
      <c r="AS884" s="17"/>
      <c r="AT884" s="17"/>
      <c r="AU884" s="17"/>
      <c r="AV884" s="17"/>
      <c r="AW884" s="10"/>
      <c r="AX884" s="17"/>
      <c r="AY884" s="18" t="s">
        <v>257</v>
      </c>
      <c r="AZ884" s="10"/>
      <c r="BA884" s="20" t="b">
        <v>0</v>
      </c>
      <c r="BB884" s="10"/>
      <c r="BC884" s="17" t="s">
        <v>257</v>
      </c>
      <c r="BD884" s="17" t="s">
        <v>257</v>
      </c>
      <c r="BE884" s="17" t="s">
        <v>257</v>
      </c>
      <c r="BF884" s="17" t="s">
        <v>257</v>
      </c>
      <c r="BG884" s="11">
        <f ca="1">IFERROR(__xludf.DUMMYFUNCTION("""COMPUTED_VALUE"""),46124)</f>
        <v>46124</v>
      </c>
      <c r="BH884" s="17"/>
      <c r="BI884" s="17"/>
      <c r="BJ884" s="15"/>
      <c r="BK884" s="15"/>
      <c r="BL884" s="13" t="b">
        <v>0</v>
      </c>
      <c r="BM884" s="10"/>
      <c r="BN884" s="10" t="s">
        <v>223</v>
      </c>
      <c r="BO884" s="11">
        <v>45866.101898148147</v>
      </c>
      <c r="BP884" s="11">
        <v>45866.101898148147</v>
      </c>
      <c r="BQ884" s="15"/>
      <c r="BR884" s="15"/>
      <c r="BS884" s="10"/>
      <c r="BT884" s="10"/>
      <c r="BU884" s="10"/>
      <c r="BV884" s="10"/>
      <c r="BW884" s="10"/>
      <c r="BX884" s="10"/>
      <c r="BY884" s="23"/>
      <c r="BZ884" s="23"/>
      <c r="CA884" s="23"/>
      <c r="CB884" s="23"/>
      <c r="CC884" s="23"/>
      <c r="CD884" s="23"/>
      <c r="CE884" s="23"/>
      <c r="CF884" s="23"/>
      <c r="CG884" s="23"/>
      <c r="CH884" s="23"/>
      <c r="CI884" s="23"/>
    </row>
    <row r="885" spans="1:87" x14ac:dyDescent="0.3">
      <c r="A885" s="9" t="s">
        <v>7327</v>
      </c>
      <c r="B885" s="10" t="s">
        <v>7328</v>
      </c>
      <c r="C885" s="11">
        <v>46124</v>
      </c>
      <c r="D885" s="12">
        <v>8.3333333333333329E-2</v>
      </c>
      <c r="E885" s="11">
        <v>46124.083333333336</v>
      </c>
      <c r="F885" s="10" t="s">
        <v>5001</v>
      </c>
      <c r="G885" s="13" t="b">
        <v>0</v>
      </c>
      <c r="H885" s="10"/>
      <c r="I885" s="10" t="s">
        <v>89</v>
      </c>
      <c r="J885" s="13" t="b">
        <v>0</v>
      </c>
      <c r="K885" s="13" t="b">
        <v>1</v>
      </c>
      <c r="L885" s="10" t="s">
        <v>124</v>
      </c>
      <c r="M885" s="10" t="s">
        <v>91</v>
      </c>
      <c r="N885" s="10" t="s">
        <v>92</v>
      </c>
      <c r="O885" s="10"/>
      <c r="P885" s="10"/>
      <c r="Q885" s="10"/>
      <c r="R885" s="10"/>
      <c r="S885" s="10"/>
      <c r="T885" s="10"/>
      <c r="U885" s="10" t="s">
        <v>5066</v>
      </c>
      <c r="V885" s="10" t="s">
        <v>5019</v>
      </c>
      <c r="W885" s="10" t="s">
        <v>5007</v>
      </c>
      <c r="X885" s="10" t="s">
        <v>130</v>
      </c>
      <c r="Y885" s="10" t="s">
        <v>130</v>
      </c>
      <c r="Z885" s="10" t="s">
        <v>99</v>
      </c>
      <c r="AA885" s="10" t="s">
        <v>131</v>
      </c>
      <c r="AB885" s="10" t="s">
        <v>5008</v>
      </c>
      <c r="AC885" s="10" t="s">
        <v>5009</v>
      </c>
      <c r="AD885" s="10" t="s">
        <v>7329</v>
      </c>
      <c r="AE885" s="10" t="s">
        <v>7330</v>
      </c>
      <c r="AF885" s="15"/>
      <c r="AG885" s="10"/>
      <c r="AH885" s="10"/>
      <c r="AI885" s="10"/>
      <c r="AJ885" s="10"/>
      <c r="AK885" s="10"/>
      <c r="AL885" s="10" t="s">
        <v>2885</v>
      </c>
      <c r="AM885" s="10"/>
      <c r="AN885" s="10"/>
      <c r="AO885" s="13" t="b">
        <v>0</v>
      </c>
      <c r="AP885" s="10" t="s">
        <v>104</v>
      </c>
      <c r="AQ885" s="10"/>
      <c r="AR885" s="17"/>
      <c r="AS885" s="17"/>
      <c r="AT885" s="17"/>
      <c r="AU885" s="17"/>
      <c r="AV885" s="17"/>
      <c r="AW885" s="10"/>
      <c r="AX885" s="17"/>
      <c r="AY885" s="18" t="s">
        <v>257</v>
      </c>
      <c r="AZ885" s="10"/>
      <c r="BA885" s="20" t="b">
        <v>0</v>
      </c>
      <c r="BB885" s="10"/>
      <c r="BC885" s="17" t="s">
        <v>257</v>
      </c>
      <c r="BD885" s="17" t="s">
        <v>257</v>
      </c>
      <c r="BE885" s="17" t="s">
        <v>257</v>
      </c>
      <c r="BF885" s="17" t="s">
        <v>257</v>
      </c>
      <c r="BG885" s="11">
        <f ca="1">IFERROR(__xludf.DUMMYFUNCTION("""COMPUTED_VALUE"""),46124)</f>
        <v>46124</v>
      </c>
      <c r="BH885" s="17"/>
      <c r="BI885" s="17"/>
      <c r="BJ885" s="15"/>
      <c r="BK885" s="15"/>
      <c r="BL885" s="13" t="b">
        <v>0</v>
      </c>
      <c r="BM885" s="10"/>
      <c r="BN885" s="10" t="s">
        <v>223</v>
      </c>
      <c r="BO885" s="11">
        <v>45866.101898148147</v>
      </c>
      <c r="BP885" s="11">
        <v>45866.101898148147</v>
      </c>
      <c r="BQ885" s="15"/>
      <c r="BR885" s="15"/>
      <c r="BS885" s="10"/>
      <c r="BT885" s="10"/>
      <c r="BU885" s="10"/>
      <c r="BV885" s="10"/>
      <c r="BW885" s="10"/>
      <c r="BX885" s="10"/>
      <c r="BY885" s="23"/>
      <c r="BZ885" s="23"/>
      <c r="CA885" s="23"/>
      <c r="CB885" s="23"/>
      <c r="CC885" s="23"/>
      <c r="CD885" s="23"/>
      <c r="CE885" s="23"/>
      <c r="CF885" s="23"/>
      <c r="CG885" s="23"/>
      <c r="CH885" s="23"/>
      <c r="CI885" s="23"/>
    </row>
    <row r="886" spans="1:87" x14ac:dyDescent="0.3">
      <c r="A886" s="9" t="s">
        <v>7331</v>
      </c>
      <c r="B886" s="10" t="s">
        <v>7332</v>
      </c>
      <c r="C886" s="11">
        <v>46131</v>
      </c>
      <c r="D886" s="12">
        <v>8.3333333333333329E-2</v>
      </c>
      <c r="E886" s="11">
        <v>46131.083333333336</v>
      </c>
      <c r="F886" s="10" t="s">
        <v>5001</v>
      </c>
      <c r="G886" s="13" t="b">
        <v>0</v>
      </c>
      <c r="H886" s="10"/>
      <c r="I886" s="10" t="s">
        <v>89</v>
      </c>
      <c r="J886" s="13" t="b">
        <v>0</v>
      </c>
      <c r="K886" s="13" t="b">
        <v>1</v>
      </c>
      <c r="L886" s="10" t="s">
        <v>124</v>
      </c>
      <c r="M886" s="10" t="s">
        <v>91</v>
      </c>
      <c r="N886" s="10" t="s">
        <v>92</v>
      </c>
      <c r="O886" s="10"/>
      <c r="P886" s="10"/>
      <c r="Q886" s="10"/>
      <c r="R886" s="10"/>
      <c r="S886" s="10"/>
      <c r="T886" s="10"/>
      <c r="U886" s="10" t="s">
        <v>5006</v>
      </c>
      <c r="V886" s="10" t="s">
        <v>5055</v>
      </c>
      <c r="W886" s="10" t="s">
        <v>5007</v>
      </c>
      <c r="X886" s="10" t="s">
        <v>130</v>
      </c>
      <c r="Y886" s="10" t="s">
        <v>130</v>
      </c>
      <c r="Z886" s="10" t="s">
        <v>99</v>
      </c>
      <c r="AA886" s="10" t="s">
        <v>131</v>
      </c>
      <c r="AB886" s="10" t="s">
        <v>5008</v>
      </c>
      <c r="AC886" s="10" t="s">
        <v>5009</v>
      </c>
      <c r="AD886" s="10" t="s">
        <v>7333</v>
      </c>
      <c r="AE886" s="10" t="s">
        <v>7334</v>
      </c>
      <c r="AF886" s="15"/>
      <c r="AG886" s="10"/>
      <c r="AH886" s="10"/>
      <c r="AI886" s="10"/>
      <c r="AJ886" s="10"/>
      <c r="AK886" s="10"/>
      <c r="AL886" s="10" t="s">
        <v>2926</v>
      </c>
      <c r="AM886" s="10"/>
      <c r="AN886" s="10"/>
      <c r="AO886" s="13" t="b">
        <v>0</v>
      </c>
      <c r="AP886" s="10" t="s">
        <v>104</v>
      </c>
      <c r="AQ886" s="10"/>
      <c r="AR886" s="17"/>
      <c r="AS886" s="17"/>
      <c r="AT886" s="17"/>
      <c r="AU886" s="17"/>
      <c r="AV886" s="17"/>
      <c r="AW886" s="10"/>
      <c r="AX886" s="17"/>
      <c r="AY886" s="18" t="s">
        <v>257</v>
      </c>
      <c r="AZ886" s="10"/>
      <c r="BA886" s="20" t="b">
        <v>0</v>
      </c>
      <c r="BB886" s="10"/>
      <c r="BC886" s="17" t="s">
        <v>257</v>
      </c>
      <c r="BD886" s="17" t="s">
        <v>257</v>
      </c>
      <c r="BE886" s="17" t="s">
        <v>257</v>
      </c>
      <c r="BF886" s="17" t="s">
        <v>257</v>
      </c>
      <c r="BG886" s="11">
        <f ca="1">IFERROR(__xludf.DUMMYFUNCTION("""COMPUTED_VALUE"""),46131)</f>
        <v>46131</v>
      </c>
      <c r="BH886" s="17"/>
      <c r="BI886" s="17"/>
      <c r="BJ886" s="15"/>
      <c r="BK886" s="15"/>
      <c r="BL886" s="13" t="b">
        <v>0</v>
      </c>
      <c r="BM886" s="10"/>
      <c r="BN886" s="10" t="s">
        <v>223</v>
      </c>
      <c r="BO886" s="11">
        <v>45866.101898148147</v>
      </c>
      <c r="BP886" s="11">
        <v>45866.101898148147</v>
      </c>
      <c r="BQ886" s="15"/>
      <c r="BR886" s="15"/>
      <c r="BS886" s="10"/>
      <c r="BT886" s="10"/>
      <c r="BU886" s="10"/>
      <c r="BV886" s="10"/>
      <c r="BW886" s="10"/>
      <c r="BX886" s="10"/>
      <c r="BY886" s="23"/>
      <c r="BZ886" s="23"/>
      <c r="CA886" s="23"/>
      <c r="CB886" s="23"/>
      <c r="CC886" s="23"/>
      <c r="CD886" s="23"/>
      <c r="CE886" s="23"/>
      <c r="CF886" s="23"/>
      <c r="CG886" s="23"/>
      <c r="CH886" s="23"/>
      <c r="CI886" s="23"/>
    </row>
    <row r="887" spans="1:87" x14ac:dyDescent="0.3">
      <c r="A887" s="9" t="s">
        <v>7335</v>
      </c>
      <c r="B887" s="10" t="s">
        <v>7336</v>
      </c>
      <c r="C887" s="11">
        <v>46131</v>
      </c>
      <c r="D887" s="12">
        <v>8.3333333333333329E-2</v>
      </c>
      <c r="E887" s="11">
        <v>46131.083333333336</v>
      </c>
      <c r="F887" s="10" t="s">
        <v>5001</v>
      </c>
      <c r="G887" s="13" t="b">
        <v>0</v>
      </c>
      <c r="H887" s="10"/>
      <c r="I887" s="10" t="s">
        <v>89</v>
      </c>
      <c r="J887" s="13" t="b">
        <v>0</v>
      </c>
      <c r="K887" s="13" t="b">
        <v>1</v>
      </c>
      <c r="L887" s="10" t="s">
        <v>124</v>
      </c>
      <c r="M887" s="10" t="s">
        <v>91</v>
      </c>
      <c r="N887" s="10" t="s">
        <v>92</v>
      </c>
      <c r="O887" s="10"/>
      <c r="P887" s="10"/>
      <c r="Q887" s="10"/>
      <c r="R887" s="10"/>
      <c r="S887" s="10"/>
      <c r="T887" s="10"/>
      <c r="U887" s="10" t="s">
        <v>5114</v>
      </c>
      <c r="V887" s="10" t="s">
        <v>5077</v>
      </c>
      <c r="W887" s="10" t="s">
        <v>5007</v>
      </c>
      <c r="X887" s="10" t="s">
        <v>130</v>
      </c>
      <c r="Y887" s="10" t="s">
        <v>130</v>
      </c>
      <c r="Z887" s="10" t="s">
        <v>99</v>
      </c>
      <c r="AA887" s="10" t="s">
        <v>131</v>
      </c>
      <c r="AB887" s="10" t="s">
        <v>5008</v>
      </c>
      <c r="AC887" s="10" t="s">
        <v>5009</v>
      </c>
      <c r="AD887" s="10" t="s">
        <v>7337</v>
      </c>
      <c r="AE887" s="10" t="s">
        <v>7338</v>
      </c>
      <c r="AF887" s="15"/>
      <c r="AG887" s="10"/>
      <c r="AH887" s="10"/>
      <c r="AI887" s="10"/>
      <c r="AJ887" s="10"/>
      <c r="AK887" s="10"/>
      <c r="AL887" s="10" t="s">
        <v>2926</v>
      </c>
      <c r="AM887" s="10"/>
      <c r="AN887" s="10"/>
      <c r="AO887" s="13" t="b">
        <v>0</v>
      </c>
      <c r="AP887" s="10" t="s">
        <v>104</v>
      </c>
      <c r="AQ887" s="10"/>
      <c r="AR887" s="17"/>
      <c r="AS887" s="17"/>
      <c r="AT887" s="17"/>
      <c r="AU887" s="17"/>
      <c r="AV887" s="17"/>
      <c r="AW887" s="10"/>
      <c r="AX887" s="17"/>
      <c r="AY887" s="18" t="s">
        <v>257</v>
      </c>
      <c r="AZ887" s="10"/>
      <c r="BA887" s="20" t="b">
        <v>0</v>
      </c>
      <c r="BB887" s="10"/>
      <c r="BC887" s="17" t="s">
        <v>257</v>
      </c>
      <c r="BD887" s="17" t="s">
        <v>257</v>
      </c>
      <c r="BE887" s="17" t="s">
        <v>257</v>
      </c>
      <c r="BF887" s="17" t="s">
        <v>257</v>
      </c>
      <c r="BG887" s="11">
        <f ca="1">IFERROR(__xludf.DUMMYFUNCTION("""COMPUTED_VALUE"""),46131)</f>
        <v>46131</v>
      </c>
      <c r="BH887" s="17"/>
      <c r="BI887" s="17"/>
      <c r="BJ887" s="15"/>
      <c r="BK887" s="15"/>
      <c r="BL887" s="13" t="b">
        <v>0</v>
      </c>
      <c r="BM887" s="10"/>
      <c r="BN887" s="10" t="s">
        <v>223</v>
      </c>
      <c r="BO887" s="11">
        <v>45866.101898148147</v>
      </c>
      <c r="BP887" s="11">
        <v>45866.101898148147</v>
      </c>
      <c r="BQ887" s="15"/>
      <c r="BR887" s="15"/>
      <c r="BS887" s="10"/>
      <c r="BT887" s="10"/>
      <c r="BU887" s="10"/>
      <c r="BV887" s="10"/>
      <c r="BW887" s="10"/>
      <c r="BX887" s="10"/>
      <c r="BY887" s="23"/>
      <c r="BZ887" s="23"/>
      <c r="CA887" s="23"/>
      <c r="CB887" s="23"/>
      <c r="CC887" s="23"/>
      <c r="CD887" s="23"/>
      <c r="CE887" s="23"/>
      <c r="CF887" s="23"/>
      <c r="CG887" s="23"/>
      <c r="CH887" s="23"/>
      <c r="CI887" s="23"/>
    </row>
    <row r="888" spans="1:87" x14ac:dyDescent="0.3">
      <c r="A888" s="9" t="s">
        <v>7339</v>
      </c>
      <c r="B888" s="10" t="s">
        <v>7340</v>
      </c>
      <c r="C888" s="11">
        <v>46131</v>
      </c>
      <c r="D888" s="12">
        <v>8.3333333333333329E-2</v>
      </c>
      <c r="E888" s="11">
        <v>46131.083333333336</v>
      </c>
      <c r="F888" s="10" t="s">
        <v>5001</v>
      </c>
      <c r="G888" s="13" t="b">
        <v>0</v>
      </c>
      <c r="H888" s="10"/>
      <c r="I888" s="10" t="s">
        <v>89</v>
      </c>
      <c r="J888" s="13" t="b">
        <v>0</v>
      </c>
      <c r="K888" s="13" t="b">
        <v>1</v>
      </c>
      <c r="L888" s="10" t="s">
        <v>124</v>
      </c>
      <c r="M888" s="10" t="s">
        <v>91</v>
      </c>
      <c r="N888" s="10" t="s">
        <v>92</v>
      </c>
      <c r="O888" s="10"/>
      <c r="P888" s="10"/>
      <c r="Q888" s="10"/>
      <c r="R888" s="10"/>
      <c r="S888" s="10"/>
      <c r="T888" s="10"/>
      <c r="U888" s="10" t="s">
        <v>5031</v>
      </c>
      <c r="V888" s="10" t="s">
        <v>5041</v>
      </c>
      <c r="W888" s="10" t="s">
        <v>5007</v>
      </c>
      <c r="X888" s="10" t="s">
        <v>130</v>
      </c>
      <c r="Y888" s="10" t="s">
        <v>130</v>
      </c>
      <c r="Z888" s="10" t="s">
        <v>99</v>
      </c>
      <c r="AA888" s="10" t="s">
        <v>131</v>
      </c>
      <c r="AB888" s="10" t="s">
        <v>5008</v>
      </c>
      <c r="AC888" s="10" t="s">
        <v>5009</v>
      </c>
      <c r="AD888" s="10" t="s">
        <v>7341</v>
      </c>
      <c r="AE888" s="10" t="s">
        <v>7342</v>
      </c>
      <c r="AF888" s="15"/>
      <c r="AG888" s="10"/>
      <c r="AH888" s="10"/>
      <c r="AI888" s="10"/>
      <c r="AJ888" s="10"/>
      <c r="AK888" s="10"/>
      <c r="AL888" s="10" t="s">
        <v>2926</v>
      </c>
      <c r="AM888" s="10"/>
      <c r="AN888" s="10"/>
      <c r="AO888" s="13" t="b">
        <v>0</v>
      </c>
      <c r="AP888" s="10" t="s">
        <v>104</v>
      </c>
      <c r="AQ888" s="10"/>
      <c r="AR888" s="17"/>
      <c r="AS888" s="17"/>
      <c r="AT888" s="17"/>
      <c r="AU888" s="17"/>
      <c r="AV888" s="17"/>
      <c r="AW888" s="10"/>
      <c r="AX888" s="17"/>
      <c r="AY888" s="18" t="s">
        <v>257</v>
      </c>
      <c r="AZ888" s="10"/>
      <c r="BA888" s="20" t="b">
        <v>0</v>
      </c>
      <c r="BB888" s="10"/>
      <c r="BC888" s="17" t="s">
        <v>257</v>
      </c>
      <c r="BD888" s="17" t="s">
        <v>257</v>
      </c>
      <c r="BE888" s="17" t="s">
        <v>257</v>
      </c>
      <c r="BF888" s="17" t="s">
        <v>257</v>
      </c>
      <c r="BG888" s="11">
        <f ca="1">IFERROR(__xludf.DUMMYFUNCTION("""COMPUTED_VALUE"""),46131)</f>
        <v>46131</v>
      </c>
      <c r="BH888" s="17"/>
      <c r="BI888" s="17"/>
      <c r="BJ888" s="15"/>
      <c r="BK888" s="15"/>
      <c r="BL888" s="13" t="b">
        <v>0</v>
      </c>
      <c r="BM888" s="10"/>
      <c r="BN888" s="10" t="s">
        <v>223</v>
      </c>
      <c r="BO888" s="11">
        <v>45866.101898148147</v>
      </c>
      <c r="BP888" s="11">
        <v>45866.101898148147</v>
      </c>
      <c r="BQ888" s="15"/>
      <c r="BR888" s="15"/>
      <c r="BS888" s="10"/>
      <c r="BT888" s="10"/>
      <c r="BU888" s="10"/>
      <c r="BV888" s="10"/>
      <c r="BW888" s="10"/>
      <c r="BX888" s="10"/>
      <c r="BY888" s="23"/>
      <c r="BZ888" s="23"/>
      <c r="CA888" s="23"/>
      <c r="CB888" s="23"/>
      <c r="CC888" s="23"/>
      <c r="CD888" s="23"/>
      <c r="CE888" s="23"/>
      <c r="CF888" s="23"/>
      <c r="CG888" s="23"/>
      <c r="CH888" s="23"/>
      <c r="CI888" s="23"/>
    </row>
    <row r="889" spans="1:87" x14ac:dyDescent="0.3">
      <c r="A889" s="9" t="s">
        <v>7343</v>
      </c>
      <c r="B889" s="10" t="s">
        <v>7344</v>
      </c>
      <c r="C889" s="11">
        <v>46131</v>
      </c>
      <c r="D889" s="12">
        <v>8.3333333333333329E-2</v>
      </c>
      <c r="E889" s="11">
        <v>46131.083333333336</v>
      </c>
      <c r="F889" s="10" t="s">
        <v>5001</v>
      </c>
      <c r="G889" s="13" t="b">
        <v>0</v>
      </c>
      <c r="H889" s="10"/>
      <c r="I889" s="10" t="s">
        <v>89</v>
      </c>
      <c r="J889" s="13" t="b">
        <v>0</v>
      </c>
      <c r="K889" s="13" t="b">
        <v>1</v>
      </c>
      <c r="L889" s="10" t="s">
        <v>124</v>
      </c>
      <c r="M889" s="10" t="s">
        <v>91</v>
      </c>
      <c r="N889" s="10" t="s">
        <v>92</v>
      </c>
      <c r="O889" s="10"/>
      <c r="P889" s="10"/>
      <c r="Q889" s="10"/>
      <c r="R889" s="10"/>
      <c r="S889" s="10"/>
      <c r="T889" s="10"/>
      <c r="U889" s="10" t="s">
        <v>5090</v>
      </c>
      <c r="V889" s="10" t="s">
        <v>5076</v>
      </c>
      <c r="W889" s="10" t="s">
        <v>5007</v>
      </c>
      <c r="X889" s="10" t="s">
        <v>130</v>
      </c>
      <c r="Y889" s="10" t="s">
        <v>130</v>
      </c>
      <c r="Z889" s="10" t="s">
        <v>99</v>
      </c>
      <c r="AA889" s="10" t="s">
        <v>131</v>
      </c>
      <c r="AB889" s="10" t="s">
        <v>5008</v>
      </c>
      <c r="AC889" s="10" t="s">
        <v>5009</v>
      </c>
      <c r="AD889" s="10" t="s">
        <v>7345</v>
      </c>
      <c r="AE889" s="10" t="s">
        <v>7346</v>
      </c>
      <c r="AF889" s="15"/>
      <c r="AG889" s="10"/>
      <c r="AH889" s="10"/>
      <c r="AI889" s="10"/>
      <c r="AJ889" s="10"/>
      <c r="AK889" s="10"/>
      <c r="AL889" s="10" t="s">
        <v>2926</v>
      </c>
      <c r="AM889" s="10"/>
      <c r="AN889" s="10"/>
      <c r="AO889" s="13" t="b">
        <v>0</v>
      </c>
      <c r="AP889" s="10" t="s">
        <v>104</v>
      </c>
      <c r="AQ889" s="10"/>
      <c r="AR889" s="17"/>
      <c r="AS889" s="17"/>
      <c r="AT889" s="17"/>
      <c r="AU889" s="17"/>
      <c r="AV889" s="17"/>
      <c r="AW889" s="10"/>
      <c r="AX889" s="17"/>
      <c r="AY889" s="18" t="s">
        <v>257</v>
      </c>
      <c r="AZ889" s="10"/>
      <c r="BA889" s="20" t="b">
        <v>0</v>
      </c>
      <c r="BB889" s="10"/>
      <c r="BC889" s="17" t="s">
        <v>257</v>
      </c>
      <c r="BD889" s="17" t="s">
        <v>257</v>
      </c>
      <c r="BE889" s="17" t="s">
        <v>257</v>
      </c>
      <c r="BF889" s="17" t="s">
        <v>257</v>
      </c>
      <c r="BG889" s="11">
        <f ca="1">IFERROR(__xludf.DUMMYFUNCTION("""COMPUTED_VALUE"""),46131)</f>
        <v>46131</v>
      </c>
      <c r="BH889" s="17"/>
      <c r="BI889" s="17"/>
      <c r="BJ889" s="15"/>
      <c r="BK889" s="15"/>
      <c r="BL889" s="13" t="b">
        <v>0</v>
      </c>
      <c r="BM889" s="10"/>
      <c r="BN889" s="10" t="s">
        <v>223</v>
      </c>
      <c r="BO889" s="11">
        <v>45866.101898148147</v>
      </c>
      <c r="BP889" s="11">
        <v>45866.101898148147</v>
      </c>
      <c r="BQ889" s="15"/>
      <c r="BR889" s="15"/>
      <c r="BS889" s="10"/>
      <c r="BT889" s="10"/>
      <c r="BU889" s="10"/>
      <c r="BV889" s="10"/>
      <c r="BW889" s="10"/>
      <c r="BX889" s="10"/>
      <c r="BY889" s="23"/>
      <c r="BZ889" s="23"/>
      <c r="CA889" s="23"/>
      <c r="CB889" s="23"/>
      <c r="CC889" s="23"/>
      <c r="CD889" s="23"/>
      <c r="CE889" s="23"/>
      <c r="CF889" s="23"/>
      <c r="CG889" s="23"/>
      <c r="CH889" s="23"/>
      <c r="CI889" s="23"/>
    </row>
    <row r="890" spans="1:87" x14ac:dyDescent="0.3">
      <c r="A890" s="9" t="s">
        <v>7347</v>
      </c>
      <c r="B890" s="10" t="s">
        <v>7348</v>
      </c>
      <c r="C890" s="11">
        <v>46131</v>
      </c>
      <c r="D890" s="12">
        <v>8.3333333333333329E-2</v>
      </c>
      <c r="E890" s="11">
        <v>46131.083333333336</v>
      </c>
      <c r="F890" s="10" t="s">
        <v>5001</v>
      </c>
      <c r="G890" s="13" t="b">
        <v>0</v>
      </c>
      <c r="H890" s="10"/>
      <c r="I890" s="10" t="s">
        <v>89</v>
      </c>
      <c r="J890" s="13" t="b">
        <v>0</v>
      </c>
      <c r="K890" s="13" t="b">
        <v>1</v>
      </c>
      <c r="L890" s="10" t="s">
        <v>124</v>
      </c>
      <c r="M890" s="10" t="s">
        <v>91</v>
      </c>
      <c r="N890" s="10" t="s">
        <v>92</v>
      </c>
      <c r="O890" s="10"/>
      <c r="P890" s="10"/>
      <c r="Q890" s="10"/>
      <c r="R890" s="10"/>
      <c r="S890" s="10"/>
      <c r="T890" s="10"/>
      <c r="U890" s="10" t="s">
        <v>5019</v>
      </c>
      <c r="V890" s="10" t="s">
        <v>5101</v>
      </c>
      <c r="W890" s="10" t="s">
        <v>5007</v>
      </c>
      <c r="X890" s="10" t="s">
        <v>130</v>
      </c>
      <c r="Y890" s="10" t="s">
        <v>130</v>
      </c>
      <c r="Z890" s="10" t="s">
        <v>99</v>
      </c>
      <c r="AA890" s="10" t="s">
        <v>131</v>
      </c>
      <c r="AB890" s="10" t="s">
        <v>5008</v>
      </c>
      <c r="AC890" s="10" t="s">
        <v>5009</v>
      </c>
      <c r="AD890" s="10" t="s">
        <v>7349</v>
      </c>
      <c r="AE890" s="10" t="s">
        <v>7350</v>
      </c>
      <c r="AF890" s="15"/>
      <c r="AG890" s="10"/>
      <c r="AH890" s="10"/>
      <c r="AI890" s="10"/>
      <c r="AJ890" s="10"/>
      <c r="AK890" s="10"/>
      <c r="AL890" s="10" t="s">
        <v>2926</v>
      </c>
      <c r="AM890" s="10"/>
      <c r="AN890" s="10"/>
      <c r="AO890" s="13" t="b">
        <v>0</v>
      </c>
      <c r="AP890" s="10" t="s">
        <v>104</v>
      </c>
      <c r="AQ890" s="10"/>
      <c r="AR890" s="17"/>
      <c r="AS890" s="17"/>
      <c r="AT890" s="17"/>
      <c r="AU890" s="17"/>
      <c r="AV890" s="17"/>
      <c r="AW890" s="10"/>
      <c r="AX890" s="17"/>
      <c r="AY890" s="18" t="s">
        <v>257</v>
      </c>
      <c r="AZ890" s="10"/>
      <c r="BA890" s="20" t="b">
        <v>0</v>
      </c>
      <c r="BB890" s="10"/>
      <c r="BC890" s="17" t="s">
        <v>257</v>
      </c>
      <c r="BD890" s="17" t="s">
        <v>257</v>
      </c>
      <c r="BE890" s="17" t="s">
        <v>257</v>
      </c>
      <c r="BF890" s="17" t="s">
        <v>257</v>
      </c>
      <c r="BG890" s="11">
        <f ca="1">IFERROR(__xludf.DUMMYFUNCTION("""COMPUTED_VALUE"""),46131)</f>
        <v>46131</v>
      </c>
      <c r="BH890" s="17"/>
      <c r="BI890" s="17"/>
      <c r="BJ890" s="15"/>
      <c r="BK890" s="15"/>
      <c r="BL890" s="13" t="b">
        <v>0</v>
      </c>
      <c r="BM890" s="10"/>
      <c r="BN890" s="10" t="s">
        <v>223</v>
      </c>
      <c r="BO890" s="11">
        <v>45866.101898148147</v>
      </c>
      <c r="BP890" s="11">
        <v>45866.101898148147</v>
      </c>
      <c r="BQ890" s="15"/>
      <c r="BR890" s="15"/>
      <c r="BS890" s="10"/>
      <c r="BT890" s="10"/>
      <c r="BU890" s="10"/>
      <c r="BV890" s="10"/>
      <c r="BW890" s="10"/>
      <c r="BX890" s="10"/>
      <c r="BY890" s="23"/>
      <c r="BZ890" s="23"/>
      <c r="CA890" s="23"/>
      <c r="CB890" s="23"/>
      <c r="CC890" s="23"/>
      <c r="CD890" s="23"/>
      <c r="CE890" s="23"/>
      <c r="CF890" s="23"/>
      <c r="CG890" s="23"/>
      <c r="CH890" s="23"/>
      <c r="CI890" s="23"/>
    </row>
    <row r="891" spans="1:87" x14ac:dyDescent="0.3">
      <c r="A891" s="9" t="s">
        <v>7351</v>
      </c>
      <c r="B891" s="10" t="s">
        <v>7352</v>
      </c>
      <c r="C891" s="11">
        <v>46131</v>
      </c>
      <c r="D891" s="12">
        <v>8.3333333333333329E-2</v>
      </c>
      <c r="E891" s="11">
        <v>46131.083333333336</v>
      </c>
      <c r="F891" s="10" t="s">
        <v>5001</v>
      </c>
      <c r="G891" s="13" t="b">
        <v>0</v>
      </c>
      <c r="H891" s="10"/>
      <c r="I891" s="10" t="s">
        <v>89</v>
      </c>
      <c r="J891" s="13" t="b">
        <v>0</v>
      </c>
      <c r="K891" s="13" t="b">
        <v>1</v>
      </c>
      <c r="L891" s="10" t="s">
        <v>124</v>
      </c>
      <c r="M891" s="10" t="s">
        <v>91</v>
      </c>
      <c r="N891" s="10" t="s">
        <v>92</v>
      </c>
      <c r="O891" s="10"/>
      <c r="P891" s="10"/>
      <c r="Q891" s="10"/>
      <c r="R891" s="10"/>
      <c r="S891" s="10"/>
      <c r="T891" s="10"/>
      <c r="U891" s="10" t="s">
        <v>5054</v>
      </c>
      <c r="V891" s="10" t="s">
        <v>5005</v>
      </c>
      <c r="W891" s="10" t="s">
        <v>5007</v>
      </c>
      <c r="X891" s="10" t="s">
        <v>130</v>
      </c>
      <c r="Y891" s="10" t="s">
        <v>130</v>
      </c>
      <c r="Z891" s="10" t="s">
        <v>99</v>
      </c>
      <c r="AA891" s="10" t="s">
        <v>131</v>
      </c>
      <c r="AB891" s="10" t="s">
        <v>5008</v>
      </c>
      <c r="AC891" s="10" t="s">
        <v>5009</v>
      </c>
      <c r="AD891" s="10" t="s">
        <v>7353</v>
      </c>
      <c r="AE891" s="10" t="s">
        <v>7354</v>
      </c>
      <c r="AF891" s="15"/>
      <c r="AG891" s="10"/>
      <c r="AH891" s="10"/>
      <c r="AI891" s="10"/>
      <c r="AJ891" s="10"/>
      <c r="AK891" s="10"/>
      <c r="AL891" s="10" t="s">
        <v>2926</v>
      </c>
      <c r="AM891" s="10"/>
      <c r="AN891" s="10"/>
      <c r="AO891" s="13" t="b">
        <v>0</v>
      </c>
      <c r="AP891" s="10" t="s">
        <v>104</v>
      </c>
      <c r="AQ891" s="10"/>
      <c r="AR891" s="17"/>
      <c r="AS891" s="17"/>
      <c r="AT891" s="17"/>
      <c r="AU891" s="17"/>
      <c r="AV891" s="17"/>
      <c r="AW891" s="10"/>
      <c r="AX891" s="17"/>
      <c r="AY891" s="18" t="s">
        <v>257</v>
      </c>
      <c r="AZ891" s="10"/>
      <c r="BA891" s="20" t="b">
        <v>0</v>
      </c>
      <c r="BB891" s="10"/>
      <c r="BC891" s="17" t="s">
        <v>257</v>
      </c>
      <c r="BD891" s="17" t="s">
        <v>257</v>
      </c>
      <c r="BE891" s="17" t="s">
        <v>257</v>
      </c>
      <c r="BF891" s="17" t="s">
        <v>257</v>
      </c>
      <c r="BG891" s="11">
        <f ca="1">IFERROR(__xludf.DUMMYFUNCTION("""COMPUTED_VALUE"""),46131)</f>
        <v>46131</v>
      </c>
      <c r="BH891" s="17"/>
      <c r="BI891" s="17"/>
      <c r="BJ891" s="15"/>
      <c r="BK891" s="15"/>
      <c r="BL891" s="13" t="b">
        <v>0</v>
      </c>
      <c r="BM891" s="10"/>
      <c r="BN891" s="10" t="s">
        <v>223</v>
      </c>
      <c r="BO891" s="11">
        <v>45866.101898148147</v>
      </c>
      <c r="BP891" s="11">
        <v>45866.101898148147</v>
      </c>
      <c r="BQ891" s="15"/>
      <c r="BR891" s="15"/>
      <c r="BS891" s="10"/>
      <c r="BT891" s="10"/>
      <c r="BU891" s="10"/>
      <c r="BV891" s="10"/>
      <c r="BW891" s="10"/>
      <c r="BX891" s="10"/>
      <c r="BY891" s="23"/>
      <c r="BZ891" s="23"/>
      <c r="CA891" s="23"/>
      <c r="CB891" s="23"/>
      <c r="CC891" s="23"/>
      <c r="CD891" s="23"/>
      <c r="CE891" s="23"/>
      <c r="CF891" s="23"/>
      <c r="CG891" s="23"/>
      <c r="CH891" s="23"/>
      <c r="CI891" s="23"/>
    </row>
    <row r="892" spans="1:87" x14ac:dyDescent="0.3">
      <c r="A892" s="9" t="s">
        <v>7355</v>
      </c>
      <c r="B892" s="10" t="s">
        <v>7356</v>
      </c>
      <c r="C892" s="11">
        <v>46131</v>
      </c>
      <c r="D892" s="12">
        <v>8.3333333333333329E-2</v>
      </c>
      <c r="E892" s="11">
        <v>46131.083333333336</v>
      </c>
      <c r="F892" s="10" t="s">
        <v>5001</v>
      </c>
      <c r="G892" s="13" t="b">
        <v>0</v>
      </c>
      <c r="H892" s="10"/>
      <c r="I892" s="10" t="s">
        <v>89</v>
      </c>
      <c r="J892" s="13" t="b">
        <v>0</v>
      </c>
      <c r="K892" s="13" t="b">
        <v>1</v>
      </c>
      <c r="L892" s="10" t="s">
        <v>124</v>
      </c>
      <c r="M892" s="10" t="s">
        <v>91</v>
      </c>
      <c r="N892" s="10" t="s">
        <v>92</v>
      </c>
      <c r="O892" s="10"/>
      <c r="P892" s="10"/>
      <c r="Q892" s="10"/>
      <c r="R892" s="10"/>
      <c r="S892" s="10"/>
      <c r="T892" s="10"/>
      <c r="U892" s="10" t="s">
        <v>5067</v>
      </c>
      <c r="V892" s="10" t="s">
        <v>5042</v>
      </c>
      <c r="W892" s="10" t="s">
        <v>5007</v>
      </c>
      <c r="X892" s="10" t="s">
        <v>130</v>
      </c>
      <c r="Y892" s="10" t="s">
        <v>130</v>
      </c>
      <c r="Z892" s="10" t="s">
        <v>99</v>
      </c>
      <c r="AA892" s="10" t="s">
        <v>131</v>
      </c>
      <c r="AB892" s="10" t="s">
        <v>5008</v>
      </c>
      <c r="AC892" s="10" t="s">
        <v>5009</v>
      </c>
      <c r="AD892" s="10" t="s">
        <v>7357</v>
      </c>
      <c r="AE892" s="10" t="s">
        <v>7358</v>
      </c>
      <c r="AF892" s="15"/>
      <c r="AG892" s="10"/>
      <c r="AH892" s="10"/>
      <c r="AI892" s="10"/>
      <c r="AJ892" s="10"/>
      <c r="AK892" s="10"/>
      <c r="AL892" s="10" t="s">
        <v>2926</v>
      </c>
      <c r="AM892" s="10"/>
      <c r="AN892" s="10"/>
      <c r="AO892" s="13" t="b">
        <v>1</v>
      </c>
      <c r="AP892" s="10" t="s">
        <v>104</v>
      </c>
      <c r="AQ892" s="10"/>
      <c r="AR892" s="17"/>
      <c r="AS892" s="17"/>
      <c r="AT892" s="17"/>
      <c r="AU892" s="17"/>
      <c r="AV892" s="17"/>
      <c r="AW892" s="10"/>
      <c r="AX892" s="17"/>
      <c r="AY892" s="18" t="s">
        <v>257</v>
      </c>
      <c r="AZ892" s="10"/>
      <c r="BA892" s="20" t="b">
        <v>0</v>
      </c>
      <c r="BB892" s="10"/>
      <c r="BC892" s="17" t="s">
        <v>257</v>
      </c>
      <c r="BD892" s="17" t="s">
        <v>257</v>
      </c>
      <c r="BE892" s="17" t="s">
        <v>257</v>
      </c>
      <c r="BF892" s="17" t="s">
        <v>257</v>
      </c>
      <c r="BG892" s="11">
        <f ca="1">IFERROR(__xludf.DUMMYFUNCTION("""COMPUTED_VALUE"""),46131)</f>
        <v>46131</v>
      </c>
      <c r="BH892" s="17"/>
      <c r="BI892" s="17"/>
      <c r="BJ892" s="15"/>
      <c r="BK892" s="15"/>
      <c r="BL892" s="13" t="b">
        <v>0</v>
      </c>
      <c r="BM892" s="10"/>
      <c r="BN892" s="10" t="s">
        <v>223</v>
      </c>
      <c r="BO892" s="11">
        <v>45866.101898148147</v>
      </c>
      <c r="BP892" s="11">
        <v>45866.101898148147</v>
      </c>
      <c r="BQ892" s="15"/>
      <c r="BR892" s="15"/>
      <c r="BS892" s="10"/>
      <c r="BT892" s="10"/>
      <c r="BU892" s="10"/>
      <c r="BV892" s="10"/>
      <c r="BW892" s="10"/>
      <c r="BX892" s="10"/>
      <c r="BY892" s="23"/>
      <c r="BZ892" s="23"/>
      <c r="CA892" s="23"/>
      <c r="CB892" s="23"/>
      <c r="CC892" s="23"/>
      <c r="CD892" s="23"/>
      <c r="CE892" s="23"/>
      <c r="CF892" s="23"/>
      <c r="CG892" s="23"/>
      <c r="CH892" s="23"/>
      <c r="CI892" s="23"/>
    </row>
    <row r="893" spans="1:87" x14ac:dyDescent="0.3">
      <c r="A893" s="9" t="s">
        <v>7359</v>
      </c>
      <c r="B893" s="10" t="s">
        <v>7360</v>
      </c>
      <c r="C893" s="11">
        <v>46131</v>
      </c>
      <c r="D893" s="12">
        <v>8.3333333333333329E-2</v>
      </c>
      <c r="E893" s="11">
        <v>46131.083333333336</v>
      </c>
      <c r="F893" s="10" t="s">
        <v>5001</v>
      </c>
      <c r="G893" s="13" t="b">
        <v>0</v>
      </c>
      <c r="H893" s="10"/>
      <c r="I893" s="10" t="s">
        <v>89</v>
      </c>
      <c r="J893" s="13" t="b">
        <v>0</v>
      </c>
      <c r="K893" s="13" t="b">
        <v>1</v>
      </c>
      <c r="L893" s="10" t="s">
        <v>124</v>
      </c>
      <c r="M893" s="10" t="s">
        <v>91</v>
      </c>
      <c r="N893" s="10" t="s">
        <v>92</v>
      </c>
      <c r="O893" s="10"/>
      <c r="P893" s="10"/>
      <c r="Q893" s="10"/>
      <c r="R893" s="10"/>
      <c r="S893" s="10"/>
      <c r="T893" s="10"/>
      <c r="U893" s="10" t="s">
        <v>5102</v>
      </c>
      <c r="V893" s="10" t="s">
        <v>5113</v>
      </c>
      <c r="W893" s="10" t="s">
        <v>5007</v>
      </c>
      <c r="X893" s="10" t="s">
        <v>130</v>
      </c>
      <c r="Y893" s="10" t="s">
        <v>130</v>
      </c>
      <c r="Z893" s="10" t="s">
        <v>99</v>
      </c>
      <c r="AA893" s="10" t="s">
        <v>131</v>
      </c>
      <c r="AB893" s="10" t="s">
        <v>5008</v>
      </c>
      <c r="AC893" s="10" t="s">
        <v>5009</v>
      </c>
      <c r="AD893" s="10" t="s">
        <v>7361</v>
      </c>
      <c r="AE893" s="10" t="s">
        <v>7362</v>
      </c>
      <c r="AF893" s="15"/>
      <c r="AG893" s="10"/>
      <c r="AH893" s="10"/>
      <c r="AI893" s="10"/>
      <c r="AJ893" s="10"/>
      <c r="AK893" s="10"/>
      <c r="AL893" s="10" t="s">
        <v>2926</v>
      </c>
      <c r="AM893" s="10"/>
      <c r="AN893" s="10"/>
      <c r="AO893" s="13" t="b">
        <v>1</v>
      </c>
      <c r="AP893" s="10" t="s">
        <v>104</v>
      </c>
      <c r="AQ893" s="10"/>
      <c r="AR893" s="17"/>
      <c r="AS893" s="17"/>
      <c r="AT893" s="17"/>
      <c r="AU893" s="17"/>
      <c r="AV893" s="17"/>
      <c r="AW893" s="10"/>
      <c r="AX893" s="17"/>
      <c r="AY893" s="18" t="s">
        <v>257</v>
      </c>
      <c r="AZ893" s="10"/>
      <c r="BA893" s="20" t="b">
        <v>0</v>
      </c>
      <c r="BB893" s="10"/>
      <c r="BC893" s="17" t="s">
        <v>257</v>
      </c>
      <c r="BD893" s="17" t="s">
        <v>257</v>
      </c>
      <c r="BE893" s="17" t="s">
        <v>257</v>
      </c>
      <c r="BF893" s="17" t="s">
        <v>257</v>
      </c>
      <c r="BG893" s="11">
        <f ca="1">IFERROR(__xludf.DUMMYFUNCTION("""COMPUTED_VALUE"""),46131)</f>
        <v>46131</v>
      </c>
      <c r="BH893" s="17"/>
      <c r="BI893" s="17"/>
      <c r="BJ893" s="15"/>
      <c r="BK893" s="15"/>
      <c r="BL893" s="13" t="b">
        <v>0</v>
      </c>
      <c r="BM893" s="10"/>
      <c r="BN893" s="10" t="s">
        <v>223</v>
      </c>
      <c r="BO893" s="11">
        <v>45866.101898148147</v>
      </c>
      <c r="BP893" s="11">
        <v>45866.101898148147</v>
      </c>
      <c r="BQ893" s="15"/>
      <c r="BR893" s="15"/>
      <c r="BS893" s="10"/>
      <c r="BT893" s="10"/>
      <c r="BU893" s="10"/>
      <c r="BV893" s="10"/>
      <c r="BW893" s="10"/>
      <c r="BX893" s="10"/>
      <c r="BY893" s="23"/>
      <c r="BZ893" s="23"/>
      <c r="CA893" s="23"/>
      <c r="CB893" s="23"/>
      <c r="CC893" s="23"/>
      <c r="CD893" s="23"/>
      <c r="CE893" s="23"/>
      <c r="CF893" s="23"/>
      <c r="CG893" s="23"/>
      <c r="CH893" s="23"/>
      <c r="CI893" s="23"/>
    </row>
    <row r="894" spans="1:87" x14ac:dyDescent="0.3">
      <c r="A894" s="25" t="s">
        <v>7363</v>
      </c>
      <c r="B894" s="10" t="s">
        <v>7364</v>
      </c>
      <c r="C894" s="11">
        <v>46131</v>
      </c>
      <c r="D894" s="12">
        <v>8.3333333333333329E-2</v>
      </c>
      <c r="E894" s="11">
        <v>46131.083333333336</v>
      </c>
      <c r="F894" s="10" t="s">
        <v>5001</v>
      </c>
      <c r="G894" s="13" t="b">
        <v>0</v>
      </c>
      <c r="H894" s="10"/>
      <c r="I894" s="10" t="s">
        <v>89</v>
      </c>
      <c r="J894" s="13" t="b">
        <v>0</v>
      </c>
      <c r="K894" s="13" t="b">
        <v>1</v>
      </c>
      <c r="L894" s="10" t="s">
        <v>124</v>
      </c>
      <c r="M894" s="10" t="s">
        <v>91</v>
      </c>
      <c r="N894" s="10" t="s">
        <v>92</v>
      </c>
      <c r="O894" s="10"/>
      <c r="P894" s="10"/>
      <c r="Q894" s="10"/>
      <c r="R894" s="10"/>
      <c r="S894" s="10"/>
      <c r="T894" s="10"/>
      <c r="U894" s="10" t="s">
        <v>5089</v>
      </c>
      <c r="V894" s="10" t="s">
        <v>5032</v>
      </c>
      <c r="W894" s="10" t="s">
        <v>5007</v>
      </c>
      <c r="X894" s="10" t="s">
        <v>130</v>
      </c>
      <c r="Y894" s="10" t="s">
        <v>130</v>
      </c>
      <c r="Z894" s="10" t="s">
        <v>99</v>
      </c>
      <c r="AA894" s="10" t="s">
        <v>131</v>
      </c>
      <c r="AB894" s="10" t="s">
        <v>5008</v>
      </c>
      <c r="AC894" s="10" t="s">
        <v>5009</v>
      </c>
      <c r="AD894" s="10" t="s">
        <v>7365</v>
      </c>
      <c r="AE894" s="10" t="s">
        <v>7366</v>
      </c>
      <c r="AF894" s="15"/>
      <c r="AG894" s="10"/>
      <c r="AH894" s="10"/>
      <c r="AI894" s="10"/>
      <c r="AJ894" s="10"/>
      <c r="AK894" s="10"/>
      <c r="AL894" s="10" t="s">
        <v>2926</v>
      </c>
      <c r="AM894" s="10"/>
      <c r="AN894" s="10"/>
      <c r="AO894" s="13" t="b">
        <v>0</v>
      </c>
      <c r="AP894" s="10" t="s">
        <v>104</v>
      </c>
      <c r="AQ894" s="10"/>
      <c r="AR894" s="17"/>
      <c r="AS894" s="17"/>
      <c r="AT894" s="17"/>
      <c r="AU894" s="17"/>
      <c r="AV894" s="17"/>
      <c r="AW894" s="10"/>
      <c r="AX894" s="17"/>
      <c r="AY894" s="18" t="s">
        <v>257</v>
      </c>
      <c r="AZ894" s="10"/>
      <c r="BA894" s="20" t="b">
        <v>0</v>
      </c>
      <c r="BB894" s="10"/>
      <c r="BC894" s="17" t="s">
        <v>257</v>
      </c>
      <c r="BD894" s="17" t="s">
        <v>257</v>
      </c>
      <c r="BE894" s="17" t="s">
        <v>257</v>
      </c>
      <c r="BF894" s="17" t="s">
        <v>257</v>
      </c>
      <c r="BG894" s="11">
        <f ca="1">IFERROR(__xludf.DUMMYFUNCTION("""COMPUTED_VALUE"""),46131)</f>
        <v>46131</v>
      </c>
      <c r="BH894" s="17"/>
      <c r="BI894" s="17"/>
      <c r="BJ894" s="15"/>
      <c r="BK894" s="15"/>
      <c r="BL894" s="13" t="b">
        <v>0</v>
      </c>
      <c r="BM894" s="10"/>
      <c r="BN894" s="10" t="s">
        <v>223</v>
      </c>
      <c r="BO894" s="11">
        <v>45866.101898148147</v>
      </c>
      <c r="BP894" s="11">
        <v>45866.101898148147</v>
      </c>
      <c r="BQ894" s="15"/>
      <c r="BR894" s="15"/>
      <c r="BS894" s="10"/>
      <c r="BT894" s="10"/>
      <c r="BU894" s="10"/>
      <c r="BV894" s="10"/>
      <c r="BW894" s="10"/>
      <c r="BX894" s="10"/>
      <c r="BY894" s="23"/>
      <c r="BZ894" s="23"/>
      <c r="CA894" s="23"/>
      <c r="CB894" s="23"/>
      <c r="CC894" s="23"/>
      <c r="CD894" s="23"/>
      <c r="CE894" s="23"/>
      <c r="CF894" s="23"/>
      <c r="CG894" s="23"/>
      <c r="CH894" s="23"/>
      <c r="CI894" s="23"/>
    </row>
    <row r="895" spans="1:87" x14ac:dyDescent="0.3">
      <c r="A895" s="9" t="s">
        <v>7367</v>
      </c>
      <c r="B895" s="10" t="s">
        <v>7368</v>
      </c>
      <c r="C895" s="11">
        <v>46131</v>
      </c>
      <c r="D895" s="12">
        <v>8.3333333333333329E-2</v>
      </c>
      <c r="E895" s="11">
        <v>46131.083333333336</v>
      </c>
      <c r="F895" s="10" t="s">
        <v>5001</v>
      </c>
      <c r="G895" s="13" t="b">
        <v>0</v>
      </c>
      <c r="H895" s="10"/>
      <c r="I895" s="10" t="s">
        <v>89</v>
      </c>
      <c r="J895" s="13" t="b">
        <v>0</v>
      </c>
      <c r="K895" s="13" t="b">
        <v>1</v>
      </c>
      <c r="L895" s="10" t="s">
        <v>124</v>
      </c>
      <c r="M895" s="10" t="s">
        <v>91</v>
      </c>
      <c r="N895" s="10" t="s">
        <v>92</v>
      </c>
      <c r="O895" s="10"/>
      <c r="P895" s="10"/>
      <c r="Q895" s="10"/>
      <c r="R895" s="10"/>
      <c r="S895" s="10"/>
      <c r="T895" s="10"/>
      <c r="U895" s="10" t="s">
        <v>5018</v>
      </c>
      <c r="V895" s="10" t="s">
        <v>5066</v>
      </c>
      <c r="W895" s="10" t="s">
        <v>5007</v>
      </c>
      <c r="X895" s="10" t="s">
        <v>130</v>
      </c>
      <c r="Y895" s="10" t="s">
        <v>130</v>
      </c>
      <c r="Z895" s="10" t="s">
        <v>99</v>
      </c>
      <c r="AA895" s="10" t="s">
        <v>131</v>
      </c>
      <c r="AB895" s="10" t="s">
        <v>5008</v>
      </c>
      <c r="AC895" s="10" t="s">
        <v>5009</v>
      </c>
      <c r="AD895" s="10" t="s">
        <v>7369</v>
      </c>
      <c r="AE895" s="10" t="s">
        <v>7370</v>
      </c>
      <c r="AF895" s="15"/>
      <c r="AG895" s="10"/>
      <c r="AH895" s="10"/>
      <c r="AI895" s="10"/>
      <c r="AJ895" s="10"/>
      <c r="AK895" s="10"/>
      <c r="AL895" s="10" t="s">
        <v>2926</v>
      </c>
      <c r="AM895" s="10"/>
      <c r="AN895" s="10"/>
      <c r="AO895" s="13" t="b">
        <v>0</v>
      </c>
      <c r="AP895" s="10" t="s">
        <v>104</v>
      </c>
      <c r="AQ895" s="10"/>
      <c r="AR895" s="17"/>
      <c r="AS895" s="17"/>
      <c r="AT895" s="17"/>
      <c r="AU895" s="17"/>
      <c r="AV895" s="17"/>
      <c r="AW895" s="10"/>
      <c r="AX895" s="17"/>
      <c r="AY895" s="18" t="s">
        <v>257</v>
      </c>
      <c r="AZ895" s="10"/>
      <c r="BA895" s="20" t="b">
        <v>0</v>
      </c>
      <c r="BB895" s="10"/>
      <c r="BC895" s="17" t="s">
        <v>257</v>
      </c>
      <c r="BD895" s="17" t="s">
        <v>257</v>
      </c>
      <c r="BE895" s="17" t="s">
        <v>257</v>
      </c>
      <c r="BF895" s="17" t="s">
        <v>257</v>
      </c>
      <c r="BG895" s="11">
        <f ca="1">IFERROR(__xludf.DUMMYFUNCTION("""COMPUTED_VALUE"""),46131)</f>
        <v>46131</v>
      </c>
      <c r="BH895" s="17"/>
      <c r="BI895" s="17"/>
      <c r="BJ895" s="15"/>
      <c r="BK895" s="15"/>
      <c r="BL895" s="13" t="b">
        <v>0</v>
      </c>
      <c r="BM895" s="10"/>
      <c r="BN895" s="10" t="s">
        <v>223</v>
      </c>
      <c r="BO895" s="11">
        <v>45866.101898148147</v>
      </c>
      <c r="BP895" s="11">
        <v>45866.101898148147</v>
      </c>
      <c r="BQ895" s="15"/>
      <c r="BR895" s="15"/>
      <c r="BS895" s="10"/>
      <c r="BT895" s="10"/>
      <c r="BU895" s="10"/>
      <c r="BV895" s="10"/>
      <c r="BW895" s="10"/>
      <c r="BX895" s="10"/>
      <c r="BY895" s="23"/>
      <c r="BZ895" s="23"/>
      <c r="CA895" s="23"/>
      <c r="CB895" s="23"/>
      <c r="CC895" s="23"/>
      <c r="CD895" s="23"/>
      <c r="CE895" s="23"/>
      <c r="CF895" s="23"/>
      <c r="CG895" s="23"/>
      <c r="CH895" s="23"/>
      <c r="CI895" s="23"/>
    </row>
    <row r="896" spans="1:87" x14ac:dyDescent="0.3">
      <c r="A896" s="9" t="s">
        <v>7371</v>
      </c>
      <c r="B896" s="10" t="s">
        <v>7372</v>
      </c>
      <c r="C896" s="11">
        <v>46134</v>
      </c>
      <c r="D896" s="12">
        <v>8.3333333333333329E-2</v>
      </c>
      <c r="E896" s="11">
        <v>46134.083333333336</v>
      </c>
      <c r="F896" s="10" t="s">
        <v>5001</v>
      </c>
      <c r="G896" s="13" t="b">
        <v>0</v>
      </c>
      <c r="H896" s="10"/>
      <c r="I896" s="10" t="s">
        <v>89</v>
      </c>
      <c r="J896" s="13" t="b">
        <v>0</v>
      </c>
      <c r="K896" s="13" t="b">
        <v>1</v>
      </c>
      <c r="L896" s="10" t="s">
        <v>124</v>
      </c>
      <c r="M896" s="10" t="s">
        <v>91</v>
      </c>
      <c r="N896" s="10" t="s">
        <v>92</v>
      </c>
      <c r="O896" s="10"/>
      <c r="P896" s="10"/>
      <c r="Q896" s="10"/>
      <c r="R896" s="10"/>
      <c r="S896" s="10"/>
      <c r="T896" s="10"/>
      <c r="U896" s="10" t="s">
        <v>5042</v>
      </c>
      <c r="V896" s="10" t="s">
        <v>5066</v>
      </c>
      <c r="W896" s="10" t="s">
        <v>5007</v>
      </c>
      <c r="X896" s="10" t="s">
        <v>130</v>
      </c>
      <c r="Y896" s="10" t="s">
        <v>130</v>
      </c>
      <c r="Z896" s="10" t="s">
        <v>99</v>
      </c>
      <c r="AA896" s="10" t="s">
        <v>131</v>
      </c>
      <c r="AB896" s="10" t="s">
        <v>5008</v>
      </c>
      <c r="AC896" s="10" t="s">
        <v>5009</v>
      </c>
      <c r="AD896" s="10" t="s">
        <v>7373</v>
      </c>
      <c r="AE896" s="10" t="s">
        <v>7374</v>
      </c>
      <c r="AF896" s="15"/>
      <c r="AG896" s="10"/>
      <c r="AH896" s="10"/>
      <c r="AI896" s="10"/>
      <c r="AJ896" s="10"/>
      <c r="AK896" s="10"/>
      <c r="AL896" s="10" t="s">
        <v>2967</v>
      </c>
      <c r="AM896" s="10"/>
      <c r="AN896" s="10"/>
      <c r="AO896" s="13" t="b">
        <v>1</v>
      </c>
      <c r="AP896" s="10" t="s">
        <v>104</v>
      </c>
      <c r="AQ896" s="10"/>
      <c r="AR896" s="17"/>
      <c r="AS896" s="17"/>
      <c r="AT896" s="17"/>
      <c r="AU896" s="17"/>
      <c r="AV896" s="17"/>
      <c r="AW896" s="10"/>
      <c r="AX896" s="17"/>
      <c r="AY896" s="18" t="s">
        <v>257</v>
      </c>
      <c r="AZ896" s="10"/>
      <c r="BA896" s="20" t="b">
        <v>0</v>
      </c>
      <c r="BB896" s="10"/>
      <c r="BC896" s="17" t="s">
        <v>257</v>
      </c>
      <c r="BD896" s="17" t="s">
        <v>257</v>
      </c>
      <c r="BE896" s="17" t="s">
        <v>257</v>
      </c>
      <c r="BF896" s="17" t="s">
        <v>257</v>
      </c>
      <c r="BG896" s="11">
        <f ca="1">IFERROR(__xludf.DUMMYFUNCTION("""COMPUTED_VALUE"""),46134)</f>
        <v>46134</v>
      </c>
      <c r="BH896" s="17"/>
      <c r="BI896" s="17"/>
      <c r="BJ896" s="15"/>
      <c r="BK896" s="15"/>
      <c r="BL896" s="13" t="b">
        <v>0</v>
      </c>
      <c r="BM896" s="10"/>
      <c r="BN896" s="10" t="s">
        <v>223</v>
      </c>
      <c r="BO896" s="11">
        <v>45866.101898148147</v>
      </c>
      <c r="BP896" s="11">
        <v>45866.101898148147</v>
      </c>
      <c r="BQ896" s="15"/>
      <c r="BR896" s="15"/>
      <c r="BS896" s="10"/>
      <c r="BT896" s="10"/>
      <c r="BU896" s="10"/>
      <c r="BV896" s="10"/>
      <c r="BW896" s="10"/>
      <c r="BX896" s="10"/>
      <c r="BY896" s="23"/>
      <c r="BZ896" s="23"/>
      <c r="CA896" s="23"/>
      <c r="CB896" s="23"/>
      <c r="CC896" s="23"/>
      <c r="CD896" s="23"/>
      <c r="CE896" s="23"/>
      <c r="CF896" s="23"/>
      <c r="CG896" s="23"/>
      <c r="CH896" s="23"/>
      <c r="CI896" s="23"/>
    </row>
    <row r="897" spans="1:87" x14ac:dyDescent="0.3">
      <c r="A897" s="9" t="s">
        <v>7375</v>
      </c>
      <c r="B897" s="10" t="s">
        <v>7376</v>
      </c>
      <c r="C897" s="11">
        <v>46134</v>
      </c>
      <c r="D897" s="12">
        <v>8.3333333333333329E-2</v>
      </c>
      <c r="E897" s="11">
        <v>46134.083333333336</v>
      </c>
      <c r="F897" s="10" t="s">
        <v>5001</v>
      </c>
      <c r="G897" s="13" t="b">
        <v>0</v>
      </c>
      <c r="H897" s="10"/>
      <c r="I897" s="10" t="s">
        <v>89</v>
      </c>
      <c r="J897" s="13" t="b">
        <v>0</v>
      </c>
      <c r="K897" s="13" t="b">
        <v>1</v>
      </c>
      <c r="L897" s="10" t="s">
        <v>124</v>
      </c>
      <c r="M897" s="10" t="s">
        <v>91</v>
      </c>
      <c r="N897" s="10" t="s">
        <v>92</v>
      </c>
      <c r="O897" s="10"/>
      <c r="P897" s="10"/>
      <c r="Q897" s="10"/>
      <c r="R897" s="10"/>
      <c r="S897" s="10"/>
      <c r="T897" s="10"/>
      <c r="U897" s="10" t="s">
        <v>5076</v>
      </c>
      <c r="V897" s="10" t="s">
        <v>5114</v>
      </c>
      <c r="W897" s="10" t="s">
        <v>5007</v>
      </c>
      <c r="X897" s="10" t="s">
        <v>130</v>
      </c>
      <c r="Y897" s="10" t="s">
        <v>130</v>
      </c>
      <c r="Z897" s="10" t="s">
        <v>99</v>
      </c>
      <c r="AA897" s="10" t="s">
        <v>131</v>
      </c>
      <c r="AB897" s="10" t="s">
        <v>5008</v>
      </c>
      <c r="AC897" s="10" t="s">
        <v>5009</v>
      </c>
      <c r="AD897" s="10" t="s">
        <v>7377</v>
      </c>
      <c r="AE897" s="10" t="s">
        <v>7378</v>
      </c>
      <c r="AF897" s="15"/>
      <c r="AG897" s="10"/>
      <c r="AH897" s="10"/>
      <c r="AI897" s="10"/>
      <c r="AJ897" s="10"/>
      <c r="AK897" s="10"/>
      <c r="AL897" s="10" t="s">
        <v>2967</v>
      </c>
      <c r="AM897" s="10"/>
      <c r="AN897" s="10"/>
      <c r="AO897" s="13" t="b">
        <v>0</v>
      </c>
      <c r="AP897" s="10" t="s">
        <v>104</v>
      </c>
      <c r="AQ897" s="10"/>
      <c r="AR897" s="17"/>
      <c r="AS897" s="17"/>
      <c r="AT897" s="17"/>
      <c r="AU897" s="17"/>
      <c r="AV897" s="17"/>
      <c r="AW897" s="10"/>
      <c r="AX897" s="17"/>
      <c r="AY897" s="18" t="s">
        <v>257</v>
      </c>
      <c r="AZ897" s="10"/>
      <c r="BA897" s="20" t="b">
        <v>0</v>
      </c>
      <c r="BB897" s="10"/>
      <c r="BC897" s="17" t="s">
        <v>257</v>
      </c>
      <c r="BD897" s="17" t="s">
        <v>257</v>
      </c>
      <c r="BE897" s="17" t="s">
        <v>257</v>
      </c>
      <c r="BF897" s="17" t="s">
        <v>257</v>
      </c>
      <c r="BG897" s="11">
        <f ca="1">IFERROR(__xludf.DUMMYFUNCTION("""COMPUTED_VALUE"""),46134)</f>
        <v>46134</v>
      </c>
      <c r="BH897" s="17"/>
      <c r="BI897" s="17"/>
      <c r="BJ897" s="15"/>
      <c r="BK897" s="15"/>
      <c r="BL897" s="13" t="b">
        <v>0</v>
      </c>
      <c r="BM897" s="10"/>
      <c r="BN897" s="10" t="s">
        <v>223</v>
      </c>
      <c r="BO897" s="11">
        <v>45866.101898148147</v>
      </c>
      <c r="BP897" s="11">
        <v>45866.101898148147</v>
      </c>
      <c r="BQ897" s="15"/>
      <c r="BR897" s="15"/>
      <c r="BS897" s="10"/>
      <c r="BT897" s="10"/>
      <c r="BU897" s="10"/>
      <c r="BV897" s="10"/>
      <c r="BW897" s="10"/>
      <c r="BX897" s="10"/>
      <c r="BY897" s="23"/>
      <c r="BZ897" s="23"/>
      <c r="CA897" s="23"/>
      <c r="CB897" s="23"/>
      <c r="CC897" s="23"/>
      <c r="CD897" s="23"/>
      <c r="CE897" s="23"/>
      <c r="CF897" s="23"/>
      <c r="CG897" s="23"/>
      <c r="CH897" s="23"/>
      <c r="CI897" s="23"/>
    </row>
    <row r="898" spans="1:87" x14ac:dyDescent="0.3">
      <c r="A898" s="9" t="s">
        <v>7379</v>
      </c>
      <c r="B898" s="10" t="s">
        <v>7380</v>
      </c>
      <c r="C898" s="11">
        <v>46134</v>
      </c>
      <c r="D898" s="12">
        <v>8.3333333333333329E-2</v>
      </c>
      <c r="E898" s="11">
        <v>46134.083333333336</v>
      </c>
      <c r="F898" s="10" t="s">
        <v>5001</v>
      </c>
      <c r="G898" s="13" t="b">
        <v>0</v>
      </c>
      <c r="H898" s="10"/>
      <c r="I898" s="10" t="s">
        <v>89</v>
      </c>
      <c r="J898" s="13" t="b">
        <v>0</v>
      </c>
      <c r="K898" s="13" t="b">
        <v>1</v>
      </c>
      <c r="L898" s="10" t="s">
        <v>124</v>
      </c>
      <c r="M898" s="10" t="s">
        <v>91</v>
      </c>
      <c r="N898" s="10" t="s">
        <v>92</v>
      </c>
      <c r="O898" s="10"/>
      <c r="P898" s="10"/>
      <c r="Q898" s="10"/>
      <c r="R898" s="10"/>
      <c r="S898" s="10"/>
      <c r="T898" s="10"/>
      <c r="U898" s="10" t="s">
        <v>5113</v>
      </c>
      <c r="V898" s="10" t="s">
        <v>5031</v>
      </c>
      <c r="W898" s="10" t="s">
        <v>5007</v>
      </c>
      <c r="X898" s="10" t="s">
        <v>130</v>
      </c>
      <c r="Y898" s="10" t="s">
        <v>130</v>
      </c>
      <c r="Z898" s="10" t="s">
        <v>99</v>
      </c>
      <c r="AA898" s="10" t="s">
        <v>131</v>
      </c>
      <c r="AB898" s="10" t="s">
        <v>5008</v>
      </c>
      <c r="AC898" s="10" t="s">
        <v>5009</v>
      </c>
      <c r="AD898" s="10" t="s">
        <v>7381</v>
      </c>
      <c r="AE898" s="10" t="s">
        <v>7382</v>
      </c>
      <c r="AF898" s="15"/>
      <c r="AG898" s="10"/>
      <c r="AH898" s="10"/>
      <c r="AI898" s="10"/>
      <c r="AJ898" s="10"/>
      <c r="AK898" s="10"/>
      <c r="AL898" s="10" t="s">
        <v>2967</v>
      </c>
      <c r="AM898" s="10"/>
      <c r="AN898" s="10"/>
      <c r="AO898" s="13" t="b">
        <v>1</v>
      </c>
      <c r="AP898" s="10" t="s">
        <v>104</v>
      </c>
      <c r="AQ898" s="10"/>
      <c r="AR898" s="17"/>
      <c r="AS898" s="17"/>
      <c r="AT898" s="17"/>
      <c r="AU898" s="17"/>
      <c r="AV898" s="17"/>
      <c r="AW898" s="10"/>
      <c r="AX898" s="17"/>
      <c r="AY898" s="18" t="s">
        <v>257</v>
      </c>
      <c r="AZ898" s="10"/>
      <c r="BA898" s="20" t="b">
        <v>0</v>
      </c>
      <c r="BB898" s="10"/>
      <c r="BC898" s="17" t="s">
        <v>257</v>
      </c>
      <c r="BD898" s="17" t="s">
        <v>257</v>
      </c>
      <c r="BE898" s="17" t="s">
        <v>257</v>
      </c>
      <c r="BF898" s="17" t="s">
        <v>257</v>
      </c>
      <c r="BG898" s="11">
        <f ca="1">IFERROR(__xludf.DUMMYFUNCTION("""COMPUTED_VALUE"""),46134)</f>
        <v>46134</v>
      </c>
      <c r="BH898" s="17"/>
      <c r="BI898" s="17"/>
      <c r="BJ898" s="15"/>
      <c r="BK898" s="15"/>
      <c r="BL898" s="13" t="b">
        <v>0</v>
      </c>
      <c r="BM898" s="10"/>
      <c r="BN898" s="10" t="s">
        <v>223</v>
      </c>
      <c r="BO898" s="11">
        <v>45866.101898148147</v>
      </c>
      <c r="BP898" s="11">
        <v>45866.101898148147</v>
      </c>
      <c r="BQ898" s="15"/>
      <c r="BR898" s="15"/>
      <c r="BS898" s="10"/>
      <c r="BT898" s="10"/>
      <c r="BU898" s="10"/>
      <c r="BV898" s="10"/>
      <c r="BW898" s="10"/>
      <c r="BX898" s="10"/>
      <c r="BY898" s="23"/>
      <c r="BZ898" s="23"/>
      <c r="CA898" s="23"/>
      <c r="CB898" s="23"/>
      <c r="CC898" s="23"/>
      <c r="CD898" s="23"/>
      <c r="CE898" s="23"/>
      <c r="CF898" s="23"/>
      <c r="CG898" s="23"/>
      <c r="CH898" s="23"/>
      <c r="CI898" s="23"/>
    </row>
    <row r="899" spans="1:87" x14ac:dyDescent="0.3">
      <c r="A899" s="9" t="s">
        <v>7383</v>
      </c>
      <c r="B899" s="10" t="s">
        <v>7384</v>
      </c>
      <c r="C899" s="11">
        <v>46134</v>
      </c>
      <c r="D899" s="12">
        <v>8.3333333333333329E-2</v>
      </c>
      <c r="E899" s="11">
        <v>46134.083333333336</v>
      </c>
      <c r="F899" s="10" t="s">
        <v>5001</v>
      </c>
      <c r="G899" s="13" t="b">
        <v>0</v>
      </c>
      <c r="H899" s="10"/>
      <c r="I899" s="10" t="s">
        <v>89</v>
      </c>
      <c r="J899" s="13" t="b">
        <v>0</v>
      </c>
      <c r="K899" s="13" t="b">
        <v>1</v>
      </c>
      <c r="L899" s="10" t="s">
        <v>124</v>
      </c>
      <c r="M899" s="10" t="s">
        <v>91</v>
      </c>
      <c r="N899" s="10" t="s">
        <v>92</v>
      </c>
      <c r="O899" s="10"/>
      <c r="P899" s="10"/>
      <c r="Q899" s="10"/>
      <c r="R899" s="10"/>
      <c r="S899" s="10"/>
      <c r="T899" s="10"/>
      <c r="U899" s="10" t="s">
        <v>5101</v>
      </c>
      <c r="V899" s="10" t="s">
        <v>5090</v>
      </c>
      <c r="W899" s="10" t="s">
        <v>5007</v>
      </c>
      <c r="X899" s="10" t="s">
        <v>130</v>
      </c>
      <c r="Y899" s="10" t="s">
        <v>130</v>
      </c>
      <c r="Z899" s="10" t="s">
        <v>99</v>
      </c>
      <c r="AA899" s="10" t="s">
        <v>131</v>
      </c>
      <c r="AB899" s="10" t="s">
        <v>5008</v>
      </c>
      <c r="AC899" s="10" t="s">
        <v>5009</v>
      </c>
      <c r="AD899" s="10" t="s">
        <v>7385</v>
      </c>
      <c r="AE899" s="10" t="s">
        <v>7386</v>
      </c>
      <c r="AF899" s="15"/>
      <c r="AG899" s="10"/>
      <c r="AH899" s="10"/>
      <c r="AI899" s="10"/>
      <c r="AJ899" s="10"/>
      <c r="AK899" s="10"/>
      <c r="AL899" s="10" t="s">
        <v>2967</v>
      </c>
      <c r="AM899" s="10"/>
      <c r="AN899" s="10"/>
      <c r="AO899" s="13" t="b">
        <v>0</v>
      </c>
      <c r="AP899" s="10" t="s">
        <v>104</v>
      </c>
      <c r="AQ899" s="10"/>
      <c r="AR899" s="17"/>
      <c r="AS899" s="17"/>
      <c r="AT899" s="17"/>
      <c r="AU899" s="17"/>
      <c r="AV899" s="17"/>
      <c r="AW899" s="10"/>
      <c r="AX899" s="17"/>
      <c r="AY899" s="18" t="s">
        <v>257</v>
      </c>
      <c r="AZ899" s="10"/>
      <c r="BA899" s="20" t="b">
        <v>0</v>
      </c>
      <c r="BB899" s="10"/>
      <c r="BC899" s="17" t="s">
        <v>257</v>
      </c>
      <c r="BD899" s="17" t="s">
        <v>257</v>
      </c>
      <c r="BE899" s="17" t="s">
        <v>257</v>
      </c>
      <c r="BF899" s="17" t="s">
        <v>257</v>
      </c>
      <c r="BG899" s="11">
        <f ca="1">IFERROR(__xludf.DUMMYFUNCTION("""COMPUTED_VALUE"""),46134)</f>
        <v>46134</v>
      </c>
      <c r="BH899" s="17"/>
      <c r="BI899" s="17"/>
      <c r="BJ899" s="15"/>
      <c r="BK899" s="15"/>
      <c r="BL899" s="13" t="b">
        <v>0</v>
      </c>
      <c r="BM899" s="10"/>
      <c r="BN899" s="10" t="s">
        <v>223</v>
      </c>
      <c r="BO899" s="11">
        <v>45866.101898148147</v>
      </c>
      <c r="BP899" s="11">
        <v>45866.101898148147</v>
      </c>
      <c r="BQ899" s="15"/>
      <c r="BR899" s="15"/>
      <c r="BS899" s="10"/>
      <c r="BT899" s="10"/>
      <c r="BU899" s="10"/>
      <c r="BV899" s="10"/>
      <c r="BW899" s="10"/>
      <c r="BX899" s="10"/>
      <c r="BY899" s="23"/>
      <c r="BZ899" s="23"/>
      <c r="CA899" s="23"/>
      <c r="CB899" s="23"/>
      <c r="CC899" s="23"/>
      <c r="CD899" s="23"/>
      <c r="CE899" s="23"/>
      <c r="CF899" s="23"/>
      <c r="CG899" s="23"/>
      <c r="CH899" s="23"/>
      <c r="CI899" s="23"/>
    </row>
    <row r="900" spans="1:87" x14ac:dyDescent="0.3">
      <c r="A900" s="9" t="s">
        <v>7387</v>
      </c>
      <c r="B900" s="10" t="s">
        <v>7388</v>
      </c>
      <c r="C900" s="11">
        <v>46134</v>
      </c>
      <c r="D900" s="12">
        <v>8.3333333333333329E-2</v>
      </c>
      <c r="E900" s="11">
        <v>46134.083333333336</v>
      </c>
      <c r="F900" s="10" t="s">
        <v>5001</v>
      </c>
      <c r="G900" s="13" t="b">
        <v>0</v>
      </c>
      <c r="H900" s="10"/>
      <c r="I900" s="10" t="s">
        <v>89</v>
      </c>
      <c r="J900" s="13" t="b">
        <v>0</v>
      </c>
      <c r="K900" s="13" t="b">
        <v>1</v>
      </c>
      <c r="L900" s="10" t="s">
        <v>124</v>
      </c>
      <c r="M900" s="10" t="s">
        <v>91</v>
      </c>
      <c r="N900" s="10" t="s">
        <v>92</v>
      </c>
      <c r="O900" s="10"/>
      <c r="P900" s="10"/>
      <c r="Q900" s="10"/>
      <c r="R900" s="10"/>
      <c r="S900" s="10"/>
      <c r="T900" s="10"/>
      <c r="U900" s="10" t="s">
        <v>5006</v>
      </c>
      <c r="V900" s="10" t="s">
        <v>5089</v>
      </c>
      <c r="W900" s="10" t="s">
        <v>5007</v>
      </c>
      <c r="X900" s="10" t="s">
        <v>130</v>
      </c>
      <c r="Y900" s="10" t="s">
        <v>130</v>
      </c>
      <c r="Z900" s="10" t="s">
        <v>99</v>
      </c>
      <c r="AA900" s="10" t="s">
        <v>131</v>
      </c>
      <c r="AB900" s="10" t="s">
        <v>5008</v>
      </c>
      <c r="AC900" s="10" t="s">
        <v>5009</v>
      </c>
      <c r="AD900" s="10" t="s">
        <v>7389</v>
      </c>
      <c r="AE900" s="10" t="s">
        <v>7390</v>
      </c>
      <c r="AF900" s="15"/>
      <c r="AG900" s="10"/>
      <c r="AH900" s="10"/>
      <c r="AI900" s="10"/>
      <c r="AJ900" s="10"/>
      <c r="AK900" s="10"/>
      <c r="AL900" s="10" t="s">
        <v>2967</v>
      </c>
      <c r="AM900" s="10"/>
      <c r="AN900" s="10"/>
      <c r="AO900" s="13" t="b">
        <v>0</v>
      </c>
      <c r="AP900" s="10" t="s">
        <v>104</v>
      </c>
      <c r="AQ900" s="10"/>
      <c r="AR900" s="17"/>
      <c r="AS900" s="17"/>
      <c r="AT900" s="17"/>
      <c r="AU900" s="17"/>
      <c r="AV900" s="17"/>
      <c r="AW900" s="10"/>
      <c r="AX900" s="17"/>
      <c r="AY900" s="18" t="s">
        <v>257</v>
      </c>
      <c r="AZ900" s="10"/>
      <c r="BA900" s="20" t="b">
        <v>0</v>
      </c>
      <c r="BB900" s="10"/>
      <c r="BC900" s="17" t="s">
        <v>257</v>
      </c>
      <c r="BD900" s="17" t="s">
        <v>257</v>
      </c>
      <c r="BE900" s="17" t="s">
        <v>257</v>
      </c>
      <c r="BF900" s="17" t="s">
        <v>257</v>
      </c>
      <c r="BG900" s="11">
        <f ca="1">IFERROR(__xludf.DUMMYFUNCTION("""COMPUTED_VALUE"""),46134)</f>
        <v>46134</v>
      </c>
      <c r="BH900" s="17"/>
      <c r="BI900" s="17"/>
      <c r="BJ900" s="15"/>
      <c r="BK900" s="15"/>
      <c r="BL900" s="13" t="b">
        <v>0</v>
      </c>
      <c r="BM900" s="10"/>
      <c r="BN900" s="10" t="s">
        <v>223</v>
      </c>
      <c r="BO900" s="11">
        <v>45866.101898148147</v>
      </c>
      <c r="BP900" s="11">
        <v>45866.101898148147</v>
      </c>
      <c r="BQ900" s="15"/>
      <c r="BR900" s="15"/>
      <c r="BS900" s="10"/>
      <c r="BT900" s="10"/>
      <c r="BU900" s="10"/>
      <c r="BV900" s="10"/>
      <c r="BW900" s="10"/>
      <c r="BX900" s="10"/>
      <c r="BY900" s="23"/>
      <c r="BZ900" s="23"/>
      <c r="CA900" s="23"/>
      <c r="CB900" s="23"/>
      <c r="CC900" s="23"/>
      <c r="CD900" s="23"/>
      <c r="CE900" s="23"/>
      <c r="CF900" s="23"/>
      <c r="CG900" s="23"/>
      <c r="CH900" s="23"/>
      <c r="CI900" s="23"/>
    </row>
    <row r="901" spans="1:87" x14ac:dyDescent="0.3">
      <c r="A901" s="9" t="s">
        <v>7391</v>
      </c>
      <c r="B901" s="10" t="s">
        <v>7392</v>
      </c>
      <c r="C901" s="11">
        <v>46134</v>
      </c>
      <c r="D901" s="12">
        <v>8.3333333333333329E-2</v>
      </c>
      <c r="E901" s="11">
        <v>46134.083333333336</v>
      </c>
      <c r="F901" s="10" t="s">
        <v>5001</v>
      </c>
      <c r="G901" s="13" t="b">
        <v>0</v>
      </c>
      <c r="H901" s="10"/>
      <c r="I901" s="10" t="s">
        <v>89</v>
      </c>
      <c r="J901" s="13" t="b">
        <v>0</v>
      </c>
      <c r="K901" s="13" t="b">
        <v>1</v>
      </c>
      <c r="L901" s="10" t="s">
        <v>124</v>
      </c>
      <c r="M901" s="10" t="s">
        <v>91</v>
      </c>
      <c r="N901" s="10" t="s">
        <v>92</v>
      </c>
      <c r="O901" s="10"/>
      <c r="P901" s="10"/>
      <c r="Q901" s="10"/>
      <c r="R901" s="10"/>
      <c r="S901" s="10"/>
      <c r="T901" s="10"/>
      <c r="U901" s="10" t="s">
        <v>5041</v>
      </c>
      <c r="V901" s="10" t="s">
        <v>5054</v>
      </c>
      <c r="W901" s="10" t="s">
        <v>5007</v>
      </c>
      <c r="X901" s="10" t="s">
        <v>130</v>
      </c>
      <c r="Y901" s="10" t="s">
        <v>130</v>
      </c>
      <c r="Z901" s="10" t="s">
        <v>99</v>
      </c>
      <c r="AA901" s="10" t="s">
        <v>131</v>
      </c>
      <c r="AB901" s="10" t="s">
        <v>5008</v>
      </c>
      <c r="AC901" s="10" t="s">
        <v>5009</v>
      </c>
      <c r="AD901" s="10" t="s">
        <v>7393</v>
      </c>
      <c r="AE901" s="10" t="s">
        <v>7394</v>
      </c>
      <c r="AF901" s="15"/>
      <c r="AG901" s="10"/>
      <c r="AH901" s="10"/>
      <c r="AI901" s="10"/>
      <c r="AJ901" s="10"/>
      <c r="AK901" s="10"/>
      <c r="AL901" s="10" t="s">
        <v>2967</v>
      </c>
      <c r="AM901" s="10"/>
      <c r="AN901" s="10"/>
      <c r="AO901" s="13" t="b">
        <v>0</v>
      </c>
      <c r="AP901" s="10" t="s">
        <v>104</v>
      </c>
      <c r="AQ901" s="10"/>
      <c r="AR901" s="17"/>
      <c r="AS901" s="17"/>
      <c r="AT901" s="17"/>
      <c r="AU901" s="17"/>
      <c r="AV901" s="17"/>
      <c r="AW901" s="10"/>
      <c r="AX901" s="17"/>
      <c r="AY901" s="18" t="s">
        <v>257</v>
      </c>
      <c r="AZ901" s="10"/>
      <c r="BA901" s="20" t="b">
        <v>0</v>
      </c>
      <c r="BB901" s="10"/>
      <c r="BC901" s="17" t="s">
        <v>257</v>
      </c>
      <c r="BD901" s="17" t="s">
        <v>257</v>
      </c>
      <c r="BE901" s="17" t="s">
        <v>257</v>
      </c>
      <c r="BF901" s="17" t="s">
        <v>257</v>
      </c>
      <c r="BG901" s="11">
        <f ca="1">IFERROR(__xludf.DUMMYFUNCTION("""COMPUTED_VALUE"""),46134)</f>
        <v>46134</v>
      </c>
      <c r="BH901" s="17"/>
      <c r="BI901" s="17"/>
      <c r="BJ901" s="15"/>
      <c r="BK901" s="15"/>
      <c r="BL901" s="13" t="b">
        <v>0</v>
      </c>
      <c r="BM901" s="10"/>
      <c r="BN901" s="10" t="s">
        <v>223</v>
      </c>
      <c r="BO901" s="11">
        <v>45866.101898148147</v>
      </c>
      <c r="BP901" s="11">
        <v>45866.101898148147</v>
      </c>
      <c r="BQ901" s="15"/>
      <c r="BR901" s="15"/>
      <c r="BS901" s="10"/>
      <c r="BT901" s="10"/>
      <c r="BU901" s="10"/>
      <c r="BV901" s="10"/>
      <c r="BW901" s="10"/>
      <c r="BX901" s="10"/>
      <c r="BY901" s="23"/>
      <c r="BZ901" s="23"/>
      <c r="CA901" s="23"/>
      <c r="CB901" s="23"/>
      <c r="CC901" s="23"/>
      <c r="CD901" s="23"/>
      <c r="CE901" s="23"/>
      <c r="CF901" s="23"/>
      <c r="CG901" s="23"/>
      <c r="CH901" s="23"/>
      <c r="CI901" s="23"/>
    </row>
    <row r="902" spans="1:87" x14ac:dyDescent="0.3">
      <c r="A902" s="9" t="s">
        <v>7395</v>
      </c>
      <c r="B902" s="10" t="s">
        <v>7396</v>
      </c>
      <c r="C902" s="11">
        <v>46134</v>
      </c>
      <c r="D902" s="12">
        <v>8.3333333333333329E-2</v>
      </c>
      <c r="E902" s="11">
        <v>46134.083333333336</v>
      </c>
      <c r="F902" s="10" t="s">
        <v>5001</v>
      </c>
      <c r="G902" s="13" t="b">
        <v>0</v>
      </c>
      <c r="H902" s="10"/>
      <c r="I902" s="10" t="s">
        <v>89</v>
      </c>
      <c r="J902" s="13" t="b">
        <v>0</v>
      </c>
      <c r="K902" s="13" t="b">
        <v>1</v>
      </c>
      <c r="L902" s="10" t="s">
        <v>124</v>
      </c>
      <c r="M902" s="10" t="s">
        <v>91</v>
      </c>
      <c r="N902" s="10" t="s">
        <v>92</v>
      </c>
      <c r="O902" s="10"/>
      <c r="P902" s="10"/>
      <c r="Q902" s="10"/>
      <c r="R902" s="10"/>
      <c r="S902" s="10"/>
      <c r="T902" s="10"/>
      <c r="U902" s="10" t="s">
        <v>5032</v>
      </c>
      <c r="V902" s="10" t="s">
        <v>5077</v>
      </c>
      <c r="W902" s="10" t="s">
        <v>5007</v>
      </c>
      <c r="X902" s="10" t="s">
        <v>130</v>
      </c>
      <c r="Y902" s="10" t="s">
        <v>130</v>
      </c>
      <c r="Z902" s="10" t="s">
        <v>99</v>
      </c>
      <c r="AA902" s="10" t="s">
        <v>131</v>
      </c>
      <c r="AB902" s="10" t="s">
        <v>5008</v>
      </c>
      <c r="AC902" s="10" t="s">
        <v>5009</v>
      </c>
      <c r="AD902" s="10" t="s">
        <v>7397</v>
      </c>
      <c r="AE902" s="10" t="s">
        <v>7398</v>
      </c>
      <c r="AF902" s="15"/>
      <c r="AG902" s="10"/>
      <c r="AH902" s="10"/>
      <c r="AI902" s="10"/>
      <c r="AJ902" s="10"/>
      <c r="AK902" s="10"/>
      <c r="AL902" s="10" t="s">
        <v>2967</v>
      </c>
      <c r="AM902" s="10"/>
      <c r="AN902" s="10"/>
      <c r="AO902" s="13" t="b">
        <v>0</v>
      </c>
      <c r="AP902" s="10" t="s">
        <v>104</v>
      </c>
      <c r="AQ902" s="10"/>
      <c r="AR902" s="17"/>
      <c r="AS902" s="17"/>
      <c r="AT902" s="17"/>
      <c r="AU902" s="17"/>
      <c r="AV902" s="17"/>
      <c r="AW902" s="10"/>
      <c r="AX902" s="17"/>
      <c r="AY902" s="18" t="s">
        <v>257</v>
      </c>
      <c r="AZ902" s="10"/>
      <c r="BA902" s="20" t="b">
        <v>0</v>
      </c>
      <c r="BB902" s="10"/>
      <c r="BC902" s="17" t="s">
        <v>257</v>
      </c>
      <c r="BD902" s="17" t="s">
        <v>257</v>
      </c>
      <c r="BE902" s="17" t="s">
        <v>257</v>
      </c>
      <c r="BF902" s="17" t="s">
        <v>257</v>
      </c>
      <c r="BG902" s="11">
        <f ca="1">IFERROR(__xludf.DUMMYFUNCTION("""COMPUTED_VALUE"""),46134)</f>
        <v>46134</v>
      </c>
      <c r="BH902" s="17"/>
      <c r="BI902" s="17"/>
      <c r="BJ902" s="15"/>
      <c r="BK902" s="15"/>
      <c r="BL902" s="13" t="b">
        <v>0</v>
      </c>
      <c r="BM902" s="10"/>
      <c r="BN902" s="10" t="s">
        <v>223</v>
      </c>
      <c r="BO902" s="11">
        <v>45866.101898148147</v>
      </c>
      <c r="BP902" s="11">
        <v>45866.101898148147</v>
      </c>
      <c r="BQ902" s="15"/>
      <c r="BR902" s="15"/>
      <c r="BS902" s="10"/>
      <c r="BT902" s="10"/>
      <c r="BU902" s="10"/>
      <c r="BV902" s="10"/>
      <c r="BW902" s="10"/>
      <c r="BX902" s="10"/>
      <c r="BY902" s="23"/>
      <c r="BZ902" s="23"/>
      <c r="CA902" s="23"/>
      <c r="CB902" s="23"/>
      <c r="CC902" s="23"/>
      <c r="CD902" s="23"/>
      <c r="CE902" s="23"/>
      <c r="CF902" s="23"/>
      <c r="CG902" s="23"/>
      <c r="CH902" s="23"/>
      <c r="CI902" s="23"/>
    </row>
    <row r="903" spans="1:87" x14ac:dyDescent="0.3">
      <c r="A903" s="9" t="s">
        <v>7399</v>
      </c>
      <c r="B903" s="10" t="s">
        <v>7400</v>
      </c>
      <c r="C903" s="11">
        <v>46134</v>
      </c>
      <c r="D903" s="12">
        <v>8.3333333333333329E-2</v>
      </c>
      <c r="E903" s="11">
        <v>46134.083333333336</v>
      </c>
      <c r="F903" s="10" t="s">
        <v>5001</v>
      </c>
      <c r="G903" s="13" t="b">
        <v>0</v>
      </c>
      <c r="H903" s="10"/>
      <c r="I903" s="10" t="s">
        <v>89</v>
      </c>
      <c r="J903" s="13" t="b">
        <v>0</v>
      </c>
      <c r="K903" s="13" t="b">
        <v>1</v>
      </c>
      <c r="L903" s="10" t="s">
        <v>124</v>
      </c>
      <c r="M903" s="10" t="s">
        <v>91</v>
      </c>
      <c r="N903" s="10" t="s">
        <v>92</v>
      </c>
      <c r="O903" s="10"/>
      <c r="P903" s="10"/>
      <c r="Q903" s="10"/>
      <c r="R903" s="10"/>
      <c r="S903" s="10"/>
      <c r="T903" s="10"/>
      <c r="U903" s="10" t="s">
        <v>5019</v>
      </c>
      <c r="V903" s="10" t="s">
        <v>5018</v>
      </c>
      <c r="W903" s="10" t="s">
        <v>5007</v>
      </c>
      <c r="X903" s="10" t="s">
        <v>130</v>
      </c>
      <c r="Y903" s="10" t="s">
        <v>130</v>
      </c>
      <c r="Z903" s="10" t="s">
        <v>99</v>
      </c>
      <c r="AA903" s="10" t="s">
        <v>131</v>
      </c>
      <c r="AB903" s="10" t="s">
        <v>5008</v>
      </c>
      <c r="AC903" s="10" t="s">
        <v>5009</v>
      </c>
      <c r="AD903" s="10" t="s">
        <v>7401</v>
      </c>
      <c r="AE903" s="10" t="s">
        <v>7402</v>
      </c>
      <c r="AF903" s="15"/>
      <c r="AG903" s="10"/>
      <c r="AH903" s="10"/>
      <c r="AI903" s="10"/>
      <c r="AJ903" s="10"/>
      <c r="AK903" s="10"/>
      <c r="AL903" s="10" t="s">
        <v>2967</v>
      </c>
      <c r="AM903" s="10"/>
      <c r="AN903" s="10"/>
      <c r="AO903" s="13" t="b">
        <v>0</v>
      </c>
      <c r="AP903" s="10" t="s">
        <v>104</v>
      </c>
      <c r="AQ903" s="10"/>
      <c r="AR903" s="17"/>
      <c r="AS903" s="17"/>
      <c r="AT903" s="17"/>
      <c r="AU903" s="17"/>
      <c r="AV903" s="17"/>
      <c r="AW903" s="10"/>
      <c r="AX903" s="17"/>
      <c r="AY903" s="18" t="s">
        <v>257</v>
      </c>
      <c r="AZ903" s="10"/>
      <c r="BA903" s="20" t="b">
        <v>0</v>
      </c>
      <c r="BB903" s="10"/>
      <c r="BC903" s="17" t="s">
        <v>257</v>
      </c>
      <c r="BD903" s="17" t="s">
        <v>257</v>
      </c>
      <c r="BE903" s="17" t="s">
        <v>257</v>
      </c>
      <c r="BF903" s="17" t="s">
        <v>257</v>
      </c>
      <c r="BG903" s="11">
        <f ca="1">IFERROR(__xludf.DUMMYFUNCTION("""COMPUTED_VALUE"""),46134)</f>
        <v>46134</v>
      </c>
      <c r="BH903" s="17"/>
      <c r="BI903" s="17"/>
      <c r="BJ903" s="15"/>
      <c r="BK903" s="15"/>
      <c r="BL903" s="13" t="b">
        <v>0</v>
      </c>
      <c r="BM903" s="10"/>
      <c r="BN903" s="10" t="s">
        <v>223</v>
      </c>
      <c r="BO903" s="11">
        <v>45866.101898148147</v>
      </c>
      <c r="BP903" s="11">
        <v>45866.101898148147</v>
      </c>
      <c r="BQ903" s="15"/>
      <c r="BR903" s="15"/>
      <c r="BS903" s="10"/>
      <c r="BT903" s="10"/>
      <c r="BU903" s="10"/>
      <c r="BV903" s="10"/>
      <c r="BW903" s="10"/>
      <c r="BX903" s="10"/>
      <c r="BY903" s="23"/>
      <c r="BZ903" s="23"/>
      <c r="CA903" s="23"/>
      <c r="CB903" s="23"/>
      <c r="CC903" s="23"/>
      <c r="CD903" s="23"/>
      <c r="CE903" s="23"/>
      <c r="CF903" s="23"/>
      <c r="CG903" s="23"/>
      <c r="CH903" s="23"/>
      <c r="CI903" s="23"/>
    </row>
    <row r="904" spans="1:87" x14ac:dyDescent="0.3">
      <c r="A904" s="9" t="s">
        <v>7403</v>
      </c>
      <c r="B904" s="10" t="s">
        <v>7404</v>
      </c>
      <c r="C904" s="11">
        <v>46134</v>
      </c>
      <c r="D904" s="12">
        <v>8.3333333333333329E-2</v>
      </c>
      <c r="E904" s="11">
        <v>46134.083333333336</v>
      </c>
      <c r="F904" s="10" t="s">
        <v>5001</v>
      </c>
      <c r="G904" s="13" t="b">
        <v>0</v>
      </c>
      <c r="H904" s="10"/>
      <c r="I904" s="10" t="s">
        <v>89</v>
      </c>
      <c r="J904" s="13" t="b">
        <v>0</v>
      </c>
      <c r="K904" s="13" t="b">
        <v>1</v>
      </c>
      <c r="L904" s="10" t="s">
        <v>124</v>
      </c>
      <c r="M904" s="10" t="s">
        <v>91</v>
      </c>
      <c r="N904" s="10" t="s">
        <v>92</v>
      </c>
      <c r="O904" s="10"/>
      <c r="P904" s="10"/>
      <c r="Q904" s="10"/>
      <c r="R904" s="10"/>
      <c r="S904" s="10"/>
      <c r="T904" s="10"/>
      <c r="U904" s="10" t="s">
        <v>5005</v>
      </c>
      <c r="V904" s="10" t="s">
        <v>5102</v>
      </c>
      <c r="W904" s="10" t="s">
        <v>5007</v>
      </c>
      <c r="X904" s="10" t="s">
        <v>130</v>
      </c>
      <c r="Y904" s="10" t="s">
        <v>130</v>
      </c>
      <c r="Z904" s="10" t="s">
        <v>99</v>
      </c>
      <c r="AA904" s="10" t="s">
        <v>131</v>
      </c>
      <c r="AB904" s="10" t="s">
        <v>5008</v>
      </c>
      <c r="AC904" s="10" t="s">
        <v>5009</v>
      </c>
      <c r="AD904" s="10" t="s">
        <v>7405</v>
      </c>
      <c r="AE904" s="10" t="s">
        <v>7406</v>
      </c>
      <c r="AF904" s="15"/>
      <c r="AG904" s="10"/>
      <c r="AH904" s="10"/>
      <c r="AI904" s="10"/>
      <c r="AJ904" s="10"/>
      <c r="AK904" s="10"/>
      <c r="AL904" s="10" t="s">
        <v>2967</v>
      </c>
      <c r="AM904" s="10"/>
      <c r="AN904" s="10"/>
      <c r="AO904" s="13" t="b">
        <v>0</v>
      </c>
      <c r="AP904" s="10" t="s">
        <v>104</v>
      </c>
      <c r="AQ904" s="10"/>
      <c r="AR904" s="17"/>
      <c r="AS904" s="17"/>
      <c r="AT904" s="17"/>
      <c r="AU904" s="17"/>
      <c r="AV904" s="17"/>
      <c r="AW904" s="10"/>
      <c r="AX904" s="17"/>
      <c r="AY904" s="18" t="s">
        <v>257</v>
      </c>
      <c r="AZ904" s="10"/>
      <c r="BA904" s="20" t="b">
        <v>0</v>
      </c>
      <c r="BB904" s="10"/>
      <c r="BC904" s="17" t="s">
        <v>257</v>
      </c>
      <c r="BD904" s="17" t="s">
        <v>257</v>
      </c>
      <c r="BE904" s="17" t="s">
        <v>257</v>
      </c>
      <c r="BF904" s="17" t="s">
        <v>257</v>
      </c>
      <c r="BG904" s="11">
        <f ca="1">IFERROR(__xludf.DUMMYFUNCTION("""COMPUTED_VALUE"""),46134)</f>
        <v>46134</v>
      </c>
      <c r="BH904" s="17"/>
      <c r="BI904" s="17"/>
      <c r="BJ904" s="15"/>
      <c r="BK904" s="15"/>
      <c r="BL904" s="13" t="b">
        <v>0</v>
      </c>
      <c r="BM904" s="10"/>
      <c r="BN904" s="10" t="s">
        <v>223</v>
      </c>
      <c r="BO904" s="11">
        <v>45866.101898148147</v>
      </c>
      <c r="BP904" s="11">
        <v>45866.101898148147</v>
      </c>
      <c r="BQ904" s="15"/>
      <c r="BR904" s="15"/>
      <c r="BS904" s="10"/>
      <c r="BT904" s="10"/>
      <c r="BU904" s="10"/>
      <c r="BV904" s="10"/>
      <c r="BW904" s="10"/>
      <c r="BX904" s="10"/>
      <c r="BY904" s="23"/>
      <c r="BZ904" s="23"/>
      <c r="CA904" s="23"/>
      <c r="CB904" s="23"/>
      <c r="CC904" s="23"/>
      <c r="CD904" s="23"/>
      <c r="CE904" s="23"/>
      <c r="CF904" s="23"/>
      <c r="CG904" s="23"/>
      <c r="CH904" s="23"/>
      <c r="CI904" s="23"/>
    </row>
    <row r="905" spans="1:87" x14ac:dyDescent="0.3">
      <c r="A905" s="9" t="s">
        <v>7407</v>
      </c>
      <c r="B905" s="10" t="s">
        <v>7408</v>
      </c>
      <c r="C905" s="11">
        <v>46134</v>
      </c>
      <c r="D905" s="12">
        <v>8.3333333333333329E-2</v>
      </c>
      <c r="E905" s="11">
        <v>46134.083333333336</v>
      </c>
      <c r="F905" s="10" t="s">
        <v>5001</v>
      </c>
      <c r="G905" s="13" t="b">
        <v>0</v>
      </c>
      <c r="H905" s="10"/>
      <c r="I905" s="10" t="s">
        <v>89</v>
      </c>
      <c r="J905" s="13" t="b">
        <v>0</v>
      </c>
      <c r="K905" s="13" t="b">
        <v>1</v>
      </c>
      <c r="L905" s="10" t="s">
        <v>124</v>
      </c>
      <c r="M905" s="10" t="s">
        <v>91</v>
      </c>
      <c r="N905" s="10" t="s">
        <v>92</v>
      </c>
      <c r="O905" s="10"/>
      <c r="P905" s="10"/>
      <c r="Q905" s="10"/>
      <c r="R905" s="10"/>
      <c r="S905" s="10"/>
      <c r="T905" s="10"/>
      <c r="U905" s="10" t="s">
        <v>5055</v>
      </c>
      <c r="V905" s="10" t="s">
        <v>5067</v>
      </c>
      <c r="W905" s="10" t="s">
        <v>5007</v>
      </c>
      <c r="X905" s="10" t="s">
        <v>130</v>
      </c>
      <c r="Y905" s="10" t="s">
        <v>130</v>
      </c>
      <c r="Z905" s="10" t="s">
        <v>99</v>
      </c>
      <c r="AA905" s="10" t="s">
        <v>131</v>
      </c>
      <c r="AB905" s="10" t="s">
        <v>5008</v>
      </c>
      <c r="AC905" s="10" t="s">
        <v>5009</v>
      </c>
      <c r="AD905" s="10" t="s">
        <v>7409</v>
      </c>
      <c r="AE905" s="10" t="s">
        <v>7410</v>
      </c>
      <c r="AF905" s="15"/>
      <c r="AG905" s="10"/>
      <c r="AH905" s="10"/>
      <c r="AI905" s="10"/>
      <c r="AJ905" s="10"/>
      <c r="AK905" s="10"/>
      <c r="AL905" s="10" t="s">
        <v>2967</v>
      </c>
      <c r="AM905" s="10"/>
      <c r="AN905" s="10"/>
      <c r="AO905" s="13" t="b">
        <v>0</v>
      </c>
      <c r="AP905" s="10" t="s">
        <v>104</v>
      </c>
      <c r="AQ905" s="10"/>
      <c r="AR905" s="17"/>
      <c r="AS905" s="17"/>
      <c r="AT905" s="17"/>
      <c r="AU905" s="17"/>
      <c r="AV905" s="17"/>
      <c r="AW905" s="10"/>
      <c r="AX905" s="17"/>
      <c r="AY905" s="18" t="s">
        <v>257</v>
      </c>
      <c r="AZ905" s="10"/>
      <c r="BA905" s="20" t="b">
        <v>0</v>
      </c>
      <c r="BB905" s="10"/>
      <c r="BC905" s="17" t="s">
        <v>257</v>
      </c>
      <c r="BD905" s="17" t="s">
        <v>257</v>
      </c>
      <c r="BE905" s="17" t="s">
        <v>257</v>
      </c>
      <c r="BF905" s="17" t="s">
        <v>257</v>
      </c>
      <c r="BG905" s="11">
        <f ca="1">IFERROR(__xludf.DUMMYFUNCTION("""COMPUTED_VALUE"""),46134)</f>
        <v>46134</v>
      </c>
      <c r="BH905" s="17"/>
      <c r="BI905" s="17"/>
      <c r="BJ905" s="15"/>
      <c r="BK905" s="15"/>
      <c r="BL905" s="13" t="b">
        <v>0</v>
      </c>
      <c r="BM905" s="10"/>
      <c r="BN905" s="10" t="s">
        <v>223</v>
      </c>
      <c r="BO905" s="11">
        <v>45866.101898148147</v>
      </c>
      <c r="BP905" s="11">
        <v>45866.101898148147</v>
      </c>
      <c r="BQ905" s="15"/>
      <c r="BR905" s="15"/>
      <c r="BS905" s="10"/>
      <c r="BT905" s="10"/>
      <c r="BU905" s="10"/>
      <c r="BV905" s="10"/>
      <c r="BW905" s="10"/>
      <c r="BX905" s="10"/>
      <c r="BY905" s="23"/>
      <c r="BZ905" s="23"/>
      <c r="CA905" s="23"/>
      <c r="CB905" s="23"/>
      <c r="CC905" s="23"/>
      <c r="CD905" s="23"/>
      <c r="CE905" s="23"/>
      <c r="CF905" s="23"/>
      <c r="CG905" s="23"/>
      <c r="CH905" s="23"/>
      <c r="CI905" s="23"/>
    </row>
    <row r="906" spans="1:87" x14ac:dyDescent="0.3">
      <c r="A906" s="9" t="s">
        <v>7411</v>
      </c>
      <c r="B906" s="10" t="s">
        <v>7412</v>
      </c>
      <c r="C906" s="11">
        <v>46145</v>
      </c>
      <c r="D906" s="12">
        <v>8.3333333333333329E-2</v>
      </c>
      <c r="E906" s="11">
        <v>46145.083333333336</v>
      </c>
      <c r="F906" s="10" t="s">
        <v>5001</v>
      </c>
      <c r="G906" s="13" t="b">
        <v>0</v>
      </c>
      <c r="H906" s="10"/>
      <c r="I906" s="10" t="s">
        <v>89</v>
      </c>
      <c r="J906" s="13" t="b">
        <v>0</v>
      </c>
      <c r="K906" s="13" t="b">
        <v>1</v>
      </c>
      <c r="L906" s="10" t="s">
        <v>124</v>
      </c>
      <c r="M906" s="10" t="s">
        <v>91</v>
      </c>
      <c r="N906" s="10" t="s">
        <v>92</v>
      </c>
      <c r="O906" s="10"/>
      <c r="P906" s="10"/>
      <c r="Q906" s="10"/>
      <c r="R906" s="10"/>
      <c r="S906" s="10"/>
      <c r="T906" s="10"/>
      <c r="U906" s="10" t="s">
        <v>5066</v>
      </c>
      <c r="V906" s="10" t="s">
        <v>5101</v>
      </c>
      <c r="W906" s="10" t="s">
        <v>5007</v>
      </c>
      <c r="X906" s="10" t="s">
        <v>130</v>
      </c>
      <c r="Y906" s="10" t="s">
        <v>130</v>
      </c>
      <c r="Z906" s="10" t="s">
        <v>99</v>
      </c>
      <c r="AA906" s="10" t="s">
        <v>131</v>
      </c>
      <c r="AB906" s="10" t="s">
        <v>5008</v>
      </c>
      <c r="AC906" s="10" t="s">
        <v>5009</v>
      </c>
      <c r="AD906" s="10" t="s">
        <v>7413</v>
      </c>
      <c r="AE906" s="10" t="s">
        <v>7414</v>
      </c>
      <c r="AF906" s="15"/>
      <c r="AG906" s="10"/>
      <c r="AH906" s="10"/>
      <c r="AI906" s="10"/>
      <c r="AJ906" s="10"/>
      <c r="AK906" s="10"/>
      <c r="AL906" s="10" t="s">
        <v>3008</v>
      </c>
      <c r="AM906" s="10"/>
      <c r="AN906" s="10"/>
      <c r="AO906" s="13" t="b">
        <v>0</v>
      </c>
      <c r="AP906" s="10" t="s">
        <v>104</v>
      </c>
      <c r="AQ906" s="10"/>
      <c r="AR906" s="17"/>
      <c r="AS906" s="17"/>
      <c r="AT906" s="17"/>
      <c r="AU906" s="17"/>
      <c r="AV906" s="17"/>
      <c r="AW906" s="10"/>
      <c r="AX906" s="17"/>
      <c r="AY906" s="18" t="s">
        <v>257</v>
      </c>
      <c r="AZ906" s="10"/>
      <c r="BA906" s="20" t="b">
        <v>0</v>
      </c>
      <c r="BB906" s="10"/>
      <c r="BC906" s="17" t="s">
        <v>257</v>
      </c>
      <c r="BD906" s="17" t="s">
        <v>257</v>
      </c>
      <c r="BE906" s="17" t="s">
        <v>257</v>
      </c>
      <c r="BF906" s="17" t="s">
        <v>257</v>
      </c>
      <c r="BG906" s="11">
        <f ca="1">IFERROR(__xludf.DUMMYFUNCTION("""COMPUTED_VALUE"""),46145)</f>
        <v>46145</v>
      </c>
      <c r="BH906" s="17"/>
      <c r="BI906" s="17"/>
      <c r="BJ906" s="15"/>
      <c r="BK906" s="15"/>
      <c r="BL906" s="13" t="b">
        <v>0</v>
      </c>
      <c r="BM906" s="10"/>
      <c r="BN906" s="10" t="s">
        <v>223</v>
      </c>
      <c r="BO906" s="11">
        <v>45866.101898148147</v>
      </c>
      <c r="BP906" s="11">
        <v>45866.101898148147</v>
      </c>
      <c r="BQ906" s="15"/>
      <c r="BR906" s="15"/>
      <c r="BS906" s="10"/>
      <c r="BT906" s="10"/>
      <c r="BU906" s="10"/>
      <c r="BV906" s="10"/>
      <c r="BW906" s="10"/>
      <c r="BX906" s="10"/>
      <c r="BY906" s="23"/>
      <c r="BZ906" s="23"/>
      <c r="CA906" s="23"/>
      <c r="CB906" s="23"/>
      <c r="CC906" s="23"/>
      <c r="CD906" s="23"/>
      <c r="CE906" s="23"/>
      <c r="CF906" s="23"/>
      <c r="CG906" s="23"/>
      <c r="CH906" s="23"/>
      <c r="CI906" s="23"/>
    </row>
    <row r="907" spans="1:87" x14ac:dyDescent="0.3">
      <c r="A907" s="9" t="s">
        <v>7415</v>
      </c>
      <c r="B907" s="10" t="s">
        <v>7416</v>
      </c>
      <c r="C907" s="11">
        <v>46145</v>
      </c>
      <c r="D907" s="12">
        <v>8.3333333333333329E-2</v>
      </c>
      <c r="E907" s="11">
        <v>46145.083333333336</v>
      </c>
      <c r="F907" s="10" t="s">
        <v>5001</v>
      </c>
      <c r="G907" s="13" t="b">
        <v>0</v>
      </c>
      <c r="H907" s="10"/>
      <c r="I907" s="10" t="s">
        <v>89</v>
      </c>
      <c r="J907" s="13" t="b">
        <v>0</v>
      </c>
      <c r="K907" s="13" t="b">
        <v>1</v>
      </c>
      <c r="L907" s="10" t="s">
        <v>124</v>
      </c>
      <c r="M907" s="10" t="s">
        <v>91</v>
      </c>
      <c r="N907" s="10" t="s">
        <v>92</v>
      </c>
      <c r="O907" s="10"/>
      <c r="P907" s="10"/>
      <c r="Q907" s="10"/>
      <c r="R907" s="10"/>
      <c r="S907" s="10"/>
      <c r="T907" s="10"/>
      <c r="U907" s="10" t="s">
        <v>5102</v>
      </c>
      <c r="V907" s="10" t="s">
        <v>5019</v>
      </c>
      <c r="W907" s="10" t="s">
        <v>5007</v>
      </c>
      <c r="X907" s="10" t="s">
        <v>130</v>
      </c>
      <c r="Y907" s="10" t="s">
        <v>130</v>
      </c>
      <c r="Z907" s="10" t="s">
        <v>99</v>
      </c>
      <c r="AA907" s="10" t="s">
        <v>131</v>
      </c>
      <c r="AB907" s="10" t="s">
        <v>5008</v>
      </c>
      <c r="AC907" s="10" t="s">
        <v>5009</v>
      </c>
      <c r="AD907" s="10" t="s">
        <v>7417</v>
      </c>
      <c r="AE907" s="10" t="s">
        <v>7418</v>
      </c>
      <c r="AF907" s="15"/>
      <c r="AG907" s="10"/>
      <c r="AH907" s="10"/>
      <c r="AI907" s="10"/>
      <c r="AJ907" s="10"/>
      <c r="AK907" s="10"/>
      <c r="AL907" s="10" t="s">
        <v>3008</v>
      </c>
      <c r="AM907" s="10"/>
      <c r="AN907" s="10"/>
      <c r="AO907" s="13" t="b">
        <v>0</v>
      </c>
      <c r="AP907" s="10" t="s">
        <v>104</v>
      </c>
      <c r="AQ907" s="10"/>
      <c r="AR907" s="17"/>
      <c r="AS907" s="17"/>
      <c r="AT907" s="17"/>
      <c r="AU907" s="17"/>
      <c r="AV907" s="17"/>
      <c r="AW907" s="10"/>
      <c r="AX907" s="17"/>
      <c r="AY907" s="18" t="s">
        <v>257</v>
      </c>
      <c r="AZ907" s="10"/>
      <c r="BA907" s="20" t="b">
        <v>0</v>
      </c>
      <c r="BB907" s="10"/>
      <c r="BC907" s="17" t="s">
        <v>257</v>
      </c>
      <c r="BD907" s="17" t="s">
        <v>257</v>
      </c>
      <c r="BE907" s="17" t="s">
        <v>257</v>
      </c>
      <c r="BF907" s="17" t="s">
        <v>257</v>
      </c>
      <c r="BG907" s="11">
        <f ca="1">IFERROR(__xludf.DUMMYFUNCTION("""COMPUTED_VALUE"""),46145)</f>
        <v>46145</v>
      </c>
      <c r="BH907" s="17"/>
      <c r="BI907" s="17"/>
      <c r="BJ907" s="15"/>
      <c r="BK907" s="15"/>
      <c r="BL907" s="13" t="b">
        <v>0</v>
      </c>
      <c r="BM907" s="10"/>
      <c r="BN907" s="10" t="s">
        <v>223</v>
      </c>
      <c r="BO907" s="11">
        <v>45866.101898148147</v>
      </c>
      <c r="BP907" s="11">
        <v>45866.101898148147</v>
      </c>
      <c r="BQ907" s="15"/>
      <c r="BR907" s="15"/>
      <c r="BS907" s="10"/>
      <c r="BT907" s="10"/>
      <c r="BU907" s="10"/>
      <c r="BV907" s="10"/>
      <c r="BW907" s="10"/>
      <c r="BX907" s="10"/>
      <c r="BY907" s="23"/>
      <c r="BZ907" s="23"/>
      <c r="CA907" s="23"/>
      <c r="CB907" s="23"/>
      <c r="CC907" s="23"/>
      <c r="CD907" s="23"/>
      <c r="CE907" s="23"/>
      <c r="CF907" s="23"/>
      <c r="CG907" s="23"/>
      <c r="CH907" s="23"/>
      <c r="CI907" s="23"/>
    </row>
    <row r="908" spans="1:87" x14ac:dyDescent="0.3">
      <c r="A908" s="9" t="s">
        <v>7419</v>
      </c>
      <c r="B908" s="10" t="s">
        <v>7420</v>
      </c>
      <c r="C908" s="11">
        <v>46145</v>
      </c>
      <c r="D908" s="12">
        <v>8.3333333333333329E-2</v>
      </c>
      <c r="E908" s="11">
        <v>46145.083333333336</v>
      </c>
      <c r="F908" s="10" t="s">
        <v>5001</v>
      </c>
      <c r="G908" s="13" t="b">
        <v>0</v>
      </c>
      <c r="H908" s="10"/>
      <c r="I908" s="10" t="s">
        <v>89</v>
      </c>
      <c r="J908" s="13" t="b">
        <v>0</v>
      </c>
      <c r="K908" s="13" t="b">
        <v>1</v>
      </c>
      <c r="L908" s="10" t="s">
        <v>124</v>
      </c>
      <c r="M908" s="10" t="s">
        <v>91</v>
      </c>
      <c r="N908" s="10" t="s">
        <v>92</v>
      </c>
      <c r="O908" s="10"/>
      <c r="P908" s="10"/>
      <c r="Q908" s="10"/>
      <c r="R908" s="10"/>
      <c r="S908" s="10"/>
      <c r="T908" s="10"/>
      <c r="U908" s="10" t="s">
        <v>5067</v>
      </c>
      <c r="V908" s="10" t="s">
        <v>5006</v>
      </c>
      <c r="W908" s="10" t="s">
        <v>5007</v>
      </c>
      <c r="X908" s="10" t="s">
        <v>130</v>
      </c>
      <c r="Y908" s="10" t="s">
        <v>130</v>
      </c>
      <c r="Z908" s="10" t="s">
        <v>99</v>
      </c>
      <c r="AA908" s="10" t="s">
        <v>131</v>
      </c>
      <c r="AB908" s="10" t="s">
        <v>5008</v>
      </c>
      <c r="AC908" s="10" t="s">
        <v>5009</v>
      </c>
      <c r="AD908" s="10" t="s">
        <v>7421</v>
      </c>
      <c r="AE908" s="10" t="s">
        <v>7422</v>
      </c>
      <c r="AF908" s="15"/>
      <c r="AG908" s="10"/>
      <c r="AH908" s="10"/>
      <c r="AI908" s="10"/>
      <c r="AJ908" s="10"/>
      <c r="AK908" s="10"/>
      <c r="AL908" s="10" t="s">
        <v>3008</v>
      </c>
      <c r="AM908" s="10"/>
      <c r="AN908" s="10"/>
      <c r="AO908" s="13" t="b">
        <v>0</v>
      </c>
      <c r="AP908" s="10" t="s">
        <v>104</v>
      </c>
      <c r="AQ908" s="10"/>
      <c r="AR908" s="17"/>
      <c r="AS908" s="17"/>
      <c r="AT908" s="17"/>
      <c r="AU908" s="17"/>
      <c r="AV908" s="17"/>
      <c r="AW908" s="10"/>
      <c r="AX908" s="17"/>
      <c r="AY908" s="18" t="s">
        <v>257</v>
      </c>
      <c r="AZ908" s="10"/>
      <c r="BA908" s="20" t="b">
        <v>0</v>
      </c>
      <c r="BB908" s="10"/>
      <c r="BC908" s="17" t="s">
        <v>257</v>
      </c>
      <c r="BD908" s="17" t="s">
        <v>257</v>
      </c>
      <c r="BE908" s="17" t="s">
        <v>257</v>
      </c>
      <c r="BF908" s="17" t="s">
        <v>257</v>
      </c>
      <c r="BG908" s="11">
        <f ca="1">IFERROR(__xludf.DUMMYFUNCTION("""COMPUTED_VALUE"""),46145)</f>
        <v>46145</v>
      </c>
      <c r="BH908" s="17"/>
      <c r="BI908" s="17"/>
      <c r="BJ908" s="15"/>
      <c r="BK908" s="15"/>
      <c r="BL908" s="13" t="b">
        <v>0</v>
      </c>
      <c r="BM908" s="10"/>
      <c r="BN908" s="10" t="s">
        <v>223</v>
      </c>
      <c r="BO908" s="11">
        <v>45866.101898148147</v>
      </c>
      <c r="BP908" s="11">
        <v>45866.101898148147</v>
      </c>
      <c r="BQ908" s="15"/>
      <c r="BR908" s="15"/>
      <c r="BS908" s="10"/>
      <c r="BT908" s="10"/>
      <c r="BU908" s="10"/>
      <c r="BV908" s="10"/>
      <c r="BW908" s="10"/>
      <c r="BX908" s="10"/>
      <c r="BY908" s="23"/>
      <c r="BZ908" s="23"/>
      <c r="CA908" s="23"/>
      <c r="CB908" s="23"/>
      <c r="CC908" s="23"/>
      <c r="CD908" s="23"/>
      <c r="CE908" s="23"/>
      <c r="CF908" s="23"/>
      <c r="CG908" s="23"/>
      <c r="CH908" s="23"/>
      <c r="CI908" s="23"/>
    </row>
    <row r="909" spans="1:87" x14ac:dyDescent="0.3">
      <c r="A909" s="9" t="s">
        <v>7423</v>
      </c>
      <c r="B909" s="10" t="s">
        <v>7424</v>
      </c>
      <c r="C909" s="11">
        <v>46145</v>
      </c>
      <c r="D909" s="12">
        <v>8.3333333333333329E-2</v>
      </c>
      <c r="E909" s="11">
        <v>46145.083333333336</v>
      </c>
      <c r="F909" s="10" t="s">
        <v>5001</v>
      </c>
      <c r="G909" s="13" t="b">
        <v>0</v>
      </c>
      <c r="H909" s="10"/>
      <c r="I909" s="10" t="s">
        <v>89</v>
      </c>
      <c r="J909" s="13" t="b">
        <v>0</v>
      </c>
      <c r="K909" s="13" t="b">
        <v>1</v>
      </c>
      <c r="L909" s="10" t="s">
        <v>124</v>
      </c>
      <c r="M909" s="10" t="s">
        <v>91</v>
      </c>
      <c r="N909" s="10" t="s">
        <v>92</v>
      </c>
      <c r="O909" s="10"/>
      <c r="P909" s="10"/>
      <c r="Q909" s="10"/>
      <c r="R909" s="10"/>
      <c r="S909" s="10"/>
      <c r="T909" s="10"/>
      <c r="U909" s="10" t="s">
        <v>5005</v>
      </c>
      <c r="V909" s="10" t="s">
        <v>5041</v>
      </c>
      <c r="W909" s="10" t="s">
        <v>5007</v>
      </c>
      <c r="X909" s="10" t="s">
        <v>130</v>
      </c>
      <c r="Y909" s="10" t="s">
        <v>130</v>
      </c>
      <c r="Z909" s="10" t="s">
        <v>99</v>
      </c>
      <c r="AA909" s="10" t="s">
        <v>131</v>
      </c>
      <c r="AB909" s="10" t="s">
        <v>5008</v>
      </c>
      <c r="AC909" s="10" t="s">
        <v>5009</v>
      </c>
      <c r="AD909" s="10" t="s">
        <v>7425</v>
      </c>
      <c r="AE909" s="10" t="s">
        <v>7426</v>
      </c>
      <c r="AF909" s="15"/>
      <c r="AG909" s="10"/>
      <c r="AH909" s="10"/>
      <c r="AI909" s="10"/>
      <c r="AJ909" s="10"/>
      <c r="AK909" s="10"/>
      <c r="AL909" s="10" t="s">
        <v>3008</v>
      </c>
      <c r="AM909" s="10"/>
      <c r="AN909" s="10"/>
      <c r="AO909" s="13" t="b">
        <v>0</v>
      </c>
      <c r="AP909" s="10" t="s">
        <v>104</v>
      </c>
      <c r="AQ909" s="10"/>
      <c r="AR909" s="17"/>
      <c r="AS909" s="17"/>
      <c r="AT909" s="17"/>
      <c r="AU909" s="17"/>
      <c r="AV909" s="17"/>
      <c r="AW909" s="10"/>
      <c r="AX909" s="17"/>
      <c r="AY909" s="18" t="s">
        <v>257</v>
      </c>
      <c r="AZ909" s="10"/>
      <c r="BA909" s="20" t="b">
        <v>0</v>
      </c>
      <c r="BB909" s="10"/>
      <c r="BC909" s="17" t="s">
        <v>257</v>
      </c>
      <c r="BD909" s="17" t="s">
        <v>257</v>
      </c>
      <c r="BE909" s="17" t="s">
        <v>257</v>
      </c>
      <c r="BF909" s="17" t="s">
        <v>257</v>
      </c>
      <c r="BG909" s="11">
        <f ca="1">IFERROR(__xludf.DUMMYFUNCTION("""COMPUTED_VALUE"""),46145)</f>
        <v>46145</v>
      </c>
      <c r="BH909" s="17"/>
      <c r="BI909" s="17"/>
      <c r="BJ909" s="15"/>
      <c r="BK909" s="15"/>
      <c r="BL909" s="13" t="b">
        <v>0</v>
      </c>
      <c r="BM909" s="10"/>
      <c r="BN909" s="10" t="s">
        <v>223</v>
      </c>
      <c r="BO909" s="11">
        <v>45866.101898148147</v>
      </c>
      <c r="BP909" s="11">
        <v>45866.101898148147</v>
      </c>
      <c r="BQ909" s="15"/>
      <c r="BR909" s="15"/>
      <c r="BS909" s="10"/>
      <c r="BT909" s="10"/>
      <c r="BU909" s="10"/>
      <c r="BV909" s="10"/>
      <c r="BW909" s="10"/>
      <c r="BX909" s="10"/>
      <c r="BY909" s="23"/>
      <c r="BZ909" s="23"/>
      <c r="CA909" s="23"/>
      <c r="CB909" s="23"/>
      <c r="CC909" s="23"/>
      <c r="CD909" s="23"/>
      <c r="CE909" s="23"/>
      <c r="CF909" s="23"/>
      <c r="CG909" s="23"/>
      <c r="CH909" s="23"/>
      <c r="CI909" s="23"/>
    </row>
    <row r="910" spans="1:87" x14ac:dyDescent="0.3">
      <c r="A910" s="9" t="s">
        <v>7427</v>
      </c>
      <c r="B910" s="10" t="s">
        <v>7428</v>
      </c>
      <c r="C910" s="11">
        <v>46145</v>
      </c>
      <c r="D910" s="12">
        <v>8.3333333333333329E-2</v>
      </c>
      <c r="E910" s="11">
        <v>46145.083333333336</v>
      </c>
      <c r="F910" s="10" t="s">
        <v>5001</v>
      </c>
      <c r="G910" s="13" t="b">
        <v>0</v>
      </c>
      <c r="H910" s="10"/>
      <c r="I910" s="10" t="s">
        <v>89</v>
      </c>
      <c r="J910" s="13" t="b">
        <v>0</v>
      </c>
      <c r="K910" s="13" t="b">
        <v>1</v>
      </c>
      <c r="L910" s="10" t="s">
        <v>124</v>
      </c>
      <c r="M910" s="10" t="s">
        <v>91</v>
      </c>
      <c r="N910" s="10" t="s">
        <v>92</v>
      </c>
      <c r="O910" s="10"/>
      <c r="P910" s="10"/>
      <c r="Q910" s="10"/>
      <c r="R910" s="10"/>
      <c r="S910" s="10"/>
      <c r="T910" s="10"/>
      <c r="U910" s="10" t="s">
        <v>5089</v>
      </c>
      <c r="V910" s="10" t="s">
        <v>5113</v>
      </c>
      <c r="W910" s="10" t="s">
        <v>5007</v>
      </c>
      <c r="X910" s="10" t="s">
        <v>130</v>
      </c>
      <c r="Y910" s="10" t="s">
        <v>130</v>
      </c>
      <c r="Z910" s="10" t="s">
        <v>99</v>
      </c>
      <c r="AA910" s="10" t="s">
        <v>131</v>
      </c>
      <c r="AB910" s="10" t="s">
        <v>5008</v>
      </c>
      <c r="AC910" s="10" t="s">
        <v>5009</v>
      </c>
      <c r="AD910" s="10" t="s">
        <v>7429</v>
      </c>
      <c r="AE910" s="10" t="s">
        <v>7430</v>
      </c>
      <c r="AF910" s="15"/>
      <c r="AG910" s="10"/>
      <c r="AH910" s="10"/>
      <c r="AI910" s="10"/>
      <c r="AJ910" s="10"/>
      <c r="AK910" s="10"/>
      <c r="AL910" s="10" t="s">
        <v>3008</v>
      </c>
      <c r="AM910" s="10"/>
      <c r="AN910" s="10"/>
      <c r="AO910" s="13" t="b">
        <v>1</v>
      </c>
      <c r="AP910" s="10" t="s">
        <v>104</v>
      </c>
      <c r="AQ910" s="10"/>
      <c r="AR910" s="17"/>
      <c r="AS910" s="17"/>
      <c r="AT910" s="17"/>
      <c r="AU910" s="17"/>
      <c r="AV910" s="17"/>
      <c r="AW910" s="10"/>
      <c r="AX910" s="17"/>
      <c r="AY910" s="18" t="s">
        <v>257</v>
      </c>
      <c r="AZ910" s="10"/>
      <c r="BA910" s="20" t="b">
        <v>0</v>
      </c>
      <c r="BB910" s="10"/>
      <c r="BC910" s="17" t="s">
        <v>257</v>
      </c>
      <c r="BD910" s="17" t="s">
        <v>257</v>
      </c>
      <c r="BE910" s="17" t="s">
        <v>257</v>
      </c>
      <c r="BF910" s="17" t="s">
        <v>257</v>
      </c>
      <c r="BG910" s="11">
        <f ca="1">IFERROR(__xludf.DUMMYFUNCTION("""COMPUTED_VALUE"""),46145)</f>
        <v>46145</v>
      </c>
      <c r="BH910" s="17"/>
      <c r="BI910" s="17"/>
      <c r="BJ910" s="15"/>
      <c r="BK910" s="15"/>
      <c r="BL910" s="13" t="b">
        <v>0</v>
      </c>
      <c r="BM910" s="10"/>
      <c r="BN910" s="10" t="s">
        <v>223</v>
      </c>
      <c r="BO910" s="11">
        <v>45866.101898148147</v>
      </c>
      <c r="BP910" s="11">
        <v>45866.101898148147</v>
      </c>
      <c r="BQ910" s="15"/>
      <c r="BR910" s="15"/>
      <c r="BS910" s="10"/>
      <c r="BT910" s="10"/>
      <c r="BU910" s="10"/>
      <c r="BV910" s="10"/>
      <c r="BW910" s="10"/>
      <c r="BX910" s="10"/>
      <c r="BY910" s="23"/>
      <c r="BZ910" s="23"/>
      <c r="CA910" s="23"/>
      <c r="CB910" s="23"/>
      <c r="CC910" s="23"/>
      <c r="CD910" s="23"/>
      <c r="CE910" s="23"/>
      <c r="CF910" s="23"/>
      <c r="CG910" s="23"/>
      <c r="CH910" s="23"/>
      <c r="CI910" s="23"/>
    </row>
    <row r="911" spans="1:87" x14ac:dyDescent="0.3">
      <c r="A911" s="9" t="s">
        <v>7431</v>
      </c>
      <c r="B911" s="10" t="s">
        <v>7432</v>
      </c>
      <c r="C911" s="11">
        <v>46145</v>
      </c>
      <c r="D911" s="12">
        <v>8.3333333333333329E-2</v>
      </c>
      <c r="E911" s="11">
        <v>46145.083333333336</v>
      </c>
      <c r="F911" s="10" t="s">
        <v>5001</v>
      </c>
      <c r="G911" s="13" t="b">
        <v>0</v>
      </c>
      <c r="H911" s="10"/>
      <c r="I911" s="10" t="s">
        <v>89</v>
      </c>
      <c r="J911" s="13" t="b">
        <v>0</v>
      </c>
      <c r="K911" s="13" t="b">
        <v>1</v>
      </c>
      <c r="L911" s="10" t="s">
        <v>124</v>
      </c>
      <c r="M911" s="10" t="s">
        <v>91</v>
      </c>
      <c r="N911" s="10" t="s">
        <v>92</v>
      </c>
      <c r="O911" s="10"/>
      <c r="P911" s="10"/>
      <c r="Q911" s="10"/>
      <c r="R911" s="10"/>
      <c r="S911" s="10"/>
      <c r="T911" s="10"/>
      <c r="U911" s="10" t="s">
        <v>5114</v>
      </c>
      <c r="V911" s="10" t="s">
        <v>5042</v>
      </c>
      <c r="W911" s="10" t="s">
        <v>5007</v>
      </c>
      <c r="X911" s="10" t="s">
        <v>130</v>
      </c>
      <c r="Y911" s="10" t="s">
        <v>130</v>
      </c>
      <c r="Z911" s="10" t="s">
        <v>99</v>
      </c>
      <c r="AA911" s="10" t="s">
        <v>131</v>
      </c>
      <c r="AB911" s="10" t="s">
        <v>5008</v>
      </c>
      <c r="AC911" s="10" t="s">
        <v>5009</v>
      </c>
      <c r="AD911" s="10" t="s">
        <v>7433</v>
      </c>
      <c r="AE911" s="10" t="s">
        <v>7434</v>
      </c>
      <c r="AF911" s="15"/>
      <c r="AG911" s="10"/>
      <c r="AH911" s="10"/>
      <c r="AI911" s="10"/>
      <c r="AJ911" s="10"/>
      <c r="AK911" s="10"/>
      <c r="AL911" s="10" t="s">
        <v>3008</v>
      </c>
      <c r="AM911" s="10"/>
      <c r="AN911" s="10"/>
      <c r="AO911" s="13" t="b">
        <v>1</v>
      </c>
      <c r="AP911" s="10" t="s">
        <v>104</v>
      </c>
      <c r="AQ911" s="10"/>
      <c r="AR911" s="17"/>
      <c r="AS911" s="17"/>
      <c r="AT911" s="17"/>
      <c r="AU911" s="17"/>
      <c r="AV911" s="17"/>
      <c r="AW911" s="10"/>
      <c r="AX911" s="17"/>
      <c r="AY911" s="18" t="s">
        <v>257</v>
      </c>
      <c r="AZ911" s="10"/>
      <c r="BA911" s="20" t="b">
        <v>0</v>
      </c>
      <c r="BB911" s="10"/>
      <c r="BC911" s="17" t="s">
        <v>257</v>
      </c>
      <c r="BD911" s="17" t="s">
        <v>257</v>
      </c>
      <c r="BE911" s="17" t="s">
        <v>257</v>
      </c>
      <c r="BF911" s="17" t="s">
        <v>257</v>
      </c>
      <c r="BG911" s="11">
        <f ca="1">IFERROR(__xludf.DUMMYFUNCTION("""COMPUTED_VALUE"""),46145)</f>
        <v>46145</v>
      </c>
      <c r="BH911" s="17"/>
      <c r="BI911" s="17"/>
      <c r="BJ911" s="15"/>
      <c r="BK911" s="15"/>
      <c r="BL911" s="13" t="b">
        <v>0</v>
      </c>
      <c r="BM911" s="10"/>
      <c r="BN911" s="10" t="s">
        <v>223</v>
      </c>
      <c r="BO911" s="11">
        <v>45866.101898148147</v>
      </c>
      <c r="BP911" s="11">
        <v>45866.101898148147</v>
      </c>
      <c r="BQ911" s="15"/>
      <c r="BR911" s="15"/>
      <c r="BS911" s="10"/>
      <c r="BT911" s="10"/>
      <c r="BU911" s="10"/>
      <c r="BV911" s="10"/>
      <c r="BW911" s="10"/>
      <c r="BX911" s="10"/>
      <c r="BY911" s="23"/>
      <c r="BZ911" s="23"/>
      <c r="CA911" s="23"/>
      <c r="CB911" s="23"/>
      <c r="CC911" s="23"/>
      <c r="CD911" s="23"/>
      <c r="CE911" s="23"/>
      <c r="CF911" s="23"/>
      <c r="CG911" s="23"/>
      <c r="CH911" s="23"/>
      <c r="CI911" s="23"/>
    </row>
    <row r="912" spans="1:87" x14ac:dyDescent="0.3">
      <c r="A912" s="9" t="s">
        <v>7435</v>
      </c>
      <c r="B912" s="10" t="s">
        <v>7436</v>
      </c>
      <c r="C912" s="11">
        <v>46145</v>
      </c>
      <c r="D912" s="12">
        <v>8.3333333333333329E-2</v>
      </c>
      <c r="E912" s="11">
        <v>46145.083333333336</v>
      </c>
      <c r="F912" s="10" t="s">
        <v>5001</v>
      </c>
      <c r="G912" s="13" t="b">
        <v>0</v>
      </c>
      <c r="H912" s="10"/>
      <c r="I912" s="10" t="s">
        <v>89</v>
      </c>
      <c r="J912" s="13" t="b">
        <v>0</v>
      </c>
      <c r="K912" s="13" t="b">
        <v>1</v>
      </c>
      <c r="L912" s="10" t="s">
        <v>124</v>
      </c>
      <c r="M912" s="10" t="s">
        <v>91</v>
      </c>
      <c r="N912" s="10" t="s">
        <v>92</v>
      </c>
      <c r="O912" s="10"/>
      <c r="P912" s="10"/>
      <c r="Q912" s="10"/>
      <c r="R912" s="10"/>
      <c r="S912" s="10"/>
      <c r="T912" s="10"/>
      <c r="U912" s="10" t="s">
        <v>5018</v>
      </c>
      <c r="V912" s="10" t="s">
        <v>5032</v>
      </c>
      <c r="W912" s="10" t="s">
        <v>5007</v>
      </c>
      <c r="X912" s="10" t="s">
        <v>130</v>
      </c>
      <c r="Y912" s="10" t="s">
        <v>130</v>
      </c>
      <c r="Z912" s="10" t="s">
        <v>99</v>
      </c>
      <c r="AA912" s="10" t="s">
        <v>131</v>
      </c>
      <c r="AB912" s="10" t="s">
        <v>5008</v>
      </c>
      <c r="AC912" s="10" t="s">
        <v>5009</v>
      </c>
      <c r="AD912" s="10" t="s">
        <v>7437</v>
      </c>
      <c r="AE912" s="10" t="s">
        <v>7438</v>
      </c>
      <c r="AF912" s="15"/>
      <c r="AG912" s="10"/>
      <c r="AH912" s="10"/>
      <c r="AI912" s="10"/>
      <c r="AJ912" s="10"/>
      <c r="AK912" s="10"/>
      <c r="AL912" s="10" t="s">
        <v>3008</v>
      </c>
      <c r="AM912" s="10"/>
      <c r="AN912" s="10"/>
      <c r="AO912" s="13" t="b">
        <v>0</v>
      </c>
      <c r="AP912" s="10" t="s">
        <v>104</v>
      </c>
      <c r="AQ912" s="10"/>
      <c r="AR912" s="17"/>
      <c r="AS912" s="17"/>
      <c r="AT912" s="17"/>
      <c r="AU912" s="17"/>
      <c r="AV912" s="17"/>
      <c r="AW912" s="10"/>
      <c r="AX912" s="17"/>
      <c r="AY912" s="18" t="s">
        <v>257</v>
      </c>
      <c r="AZ912" s="10"/>
      <c r="BA912" s="20" t="b">
        <v>0</v>
      </c>
      <c r="BB912" s="10"/>
      <c r="BC912" s="17" t="s">
        <v>257</v>
      </c>
      <c r="BD912" s="17" t="s">
        <v>257</v>
      </c>
      <c r="BE912" s="17" t="s">
        <v>257</v>
      </c>
      <c r="BF912" s="17" t="s">
        <v>257</v>
      </c>
      <c r="BG912" s="11">
        <f ca="1">IFERROR(__xludf.DUMMYFUNCTION("""COMPUTED_VALUE"""),46145)</f>
        <v>46145</v>
      </c>
      <c r="BH912" s="17"/>
      <c r="BI912" s="17"/>
      <c r="BJ912" s="15"/>
      <c r="BK912" s="15"/>
      <c r="BL912" s="13" t="b">
        <v>0</v>
      </c>
      <c r="BM912" s="10"/>
      <c r="BN912" s="10" t="s">
        <v>223</v>
      </c>
      <c r="BO912" s="11">
        <v>45866.101898148147</v>
      </c>
      <c r="BP912" s="11">
        <v>45866.101898148147</v>
      </c>
      <c r="BQ912" s="15"/>
      <c r="BR912" s="15"/>
      <c r="BS912" s="10"/>
      <c r="BT912" s="10"/>
      <c r="BU912" s="10"/>
      <c r="BV912" s="10"/>
      <c r="BW912" s="10"/>
      <c r="BX912" s="10"/>
      <c r="BY912" s="23"/>
      <c r="BZ912" s="23"/>
      <c r="CA912" s="23"/>
      <c r="CB912" s="23"/>
      <c r="CC912" s="23"/>
      <c r="CD912" s="23"/>
      <c r="CE912" s="23"/>
      <c r="CF912" s="23"/>
      <c r="CG912" s="23"/>
      <c r="CH912" s="23"/>
      <c r="CI912" s="23"/>
    </row>
    <row r="913" spans="1:87" x14ac:dyDescent="0.3">
      <c r="A913" s="9" t="s">
        <v>7439</v>
      </c>
      <c r="B913" s="10" t="s">
        <v>7440</v>
      </c>
      <c r="C913" s="11">
        <v>46145</v>
      </c>
      <c r="D913" s="12">
        <v>8.3333333333333329E-2</v>
      </c>
      <c r="E913" s="11">
        <v>46145.083333333336</v>
      </c>
      <c r="F913" s="10" t="s">
        <v>5001</v>
      </c>
      <c r="G913" s="13" t="b">
        <v>0</v>
      </c>
      <c r="H913" s="10"/>
      <c r="I913" s="10" t="s">
        <v>89</v>
      </c>
      <c r="J913" s="13" t="b">
        <v>0</v>
      </c>
      <c r="K913" s="13" t="b">
        <v>1</v>
      </c>
      <c r="L913" s="10" t="s">
        <v>124</v>
      </c>
      <c r="M913" s="10" t="s">
        <v>91</v>
      </c>
      <c r="N913" s="10" t="s">
        <v>92</v>
      </c>
      <c r="O913" s="10"/>
      <c r="P913" s="10"/>
      <c r="Q913" s="10"/>
      <c r="R913" s="10"/>
      <c r="S913" s="10"/>
      <c r="T913" s="10"/>
      <c r="U913" s="10" t="s">
        <v>5031</v>
      </c>
      <c r="V913" s="10" t="s">
        <v>5076</v>
      </c>
      <c r="W913" s="10" t="s">
        <v>5007</v>
      </c>
      <c r="X913" s="10" t="s">
        <v>130</v>
      </c>
      <c r="Y913" s="10" t="s">
        <v>130</v>
      </c>
      <c r="Z913" s="10" t="s">
        <v>99</v>
      </c>
      <c r="AA913" s="10" t="s">
        <v>131</v>
      </c>
      <c r="AB913" s="10" t="s">
        <v>5008</v>
      </c>
      <c r="AC913" s="10" t="s">
        <v>5009</v>
      </c>
      <c r="AD913" s="10" t="s">
        <v>7441</v>
      </c>
      <c r="AE913" s="10" t="s">
        <v>7442</v>
      </c>
      <c r="AF913" s="15"/>
      <c r="AG913" s="10"/>
      <c r="AH913" s="10"/>
      <c r="AI913" s="10"/>
      <c r="AJ913" s="10"/>
      <c r="AK913" s="10"/>
      <c r="AL913" s="10" t="s">
        <v>3008</v>
      </c>
      <c r="AM913" s="10"/>
      <c r="AN913" s="10"/>
      <c r="AO913" s="13" t="b">
        <v>0</v>
      </c>
      <c r="AP913" s="10" t="s">
        <v>104</v>
      </c>
      <c r="AQ913" s="10"/>
      <c r="AR913" s="17"/>
      <c r="AS913" s="17"/>
      <c r="AT913" s="17"/>
      <c r="AU913" s="17"/>
      <c r="AV913" s="17"/>
      <c r="AW913" s="10"/>
      <c r="AX913" s="17"/>
      <c r="AY913" s="18" t="s">
        <v>257</v>
      </c>
      <c r="AZ913" s="10"/>
      <c r="BA913" s="20" t="b">
        <v>0</v>
      </c>
      <c r="BB913" s="10"/>
      <c r="BC913" s="17" t="s">
        <v>257</v>
      </c>
      <c r="BD913" s="17" t="s">
        <v>257</v>
      </c>
      <c r="BE913" s="17" t="s">
        <v>257</v>
      </c>
      <c r="BF913" s="17" t="s">
        <v>257</v>
      </c>
      <c r="BG913" s="11">
        <f ca="1">IFERROR(__xludf.DUMMYFUNCTION("""COMPUTED_VALUE"""),46145)</f>
        <v>46145</v>
      </c>
      <c r="BH913" s="17"/>
      <c r="BI913" s="17"/>
      <c r="BJ913" s="15"/>
      <c r="BK913" s="15"/>
      <c r="BL913" s="13" t="b">
        <v>0</v>
      </c>
      <c r="BM913" s="10"/>
      <c r="BN913" s="10" t="s">
        <v>223</v>
      </c>
      <c r="BO913" s="11">
        <v>45866.101898148147</v>
      </c>
      <c r="BP913" s="11">
        <v>45866.101898148147</v>
      </c>
      <c r="BQ913" s="15"/>
      <c r="BR913" s="15"/>
      <c r="BS913" s="10"/>
      <c r="BT913" s="10"/>
      <c r="BU913" s="10"/>
      <c r="BV913" s="10"/>
      <c r="BW913" s="10"/>
      <c r="BX913" s="10"/>
      <c r="BY913" s="23"/>
      <c r="BZ913" s="23"/>
      <c r="CA913" s="23"/>
      <c r="CB913" s="23"/>
      <c r="CC913" s="23"/>
      <c r="CD913" s="23"/>
      <c r="CE913" s="23"/>
      <c r="CF913" s="23"/>
      <c r="CG913" s="23"/>
      <c r="CH913" s="23"/>
      <c r="CI913" s="23"/>
    </row>
    <row r="914" spans="1:87" x14ac:dyDescent="0.3">
      <c r="A914" s="9" t="s">
        <v>7443</v>
      </c>
      <c r="B914" s="10" t="s">
        <v>7444</v>
      </c>
      <c r="C914" s="11">
        <v>46145</v>
      </c>
      <c r="D914" s="12">
        <v>8.3333333333333329E-2</v>
      </c>
      <c r="E914" s="11">
        <v>46145.083333333336</v>
      </c>
      <c r="F914" s="10" t="s">
        <v>5001</v>
      </c>
      <c r="G914" s="13" t="b">
        <v>0</v>
      </c>
      <c r="H914" s="10"/>
      <c r="I914" s="10" t="s">
        <v>89</v>
      </c>
      <c r="J914" s="13" t="b">
        <v>0</v>
      </c>
      <c r="K914" s="13" t="b">
        <v>1</v>
      </c>
      <c r="L914" s="10" t="s">
        <v>124</v>
      </c>
      <c r="M914" s="10" t="s">
        <v>91</v>
      </c>
      <c r="N914" s="10" t="s">
        <v>92</v>
      </c>
      <c r="O914" s="10"/>
      <c r="P914" s="10"/>
      <c r="Q914" s="10"/>
      <c r="R914" s="10"/>
      <c r="S914" s="10"/>
      <c r="T914" s="10"/>
      <c r="U914" s="10" t="s">
        <v>5077</v>
      </c>
      <c r="V914" s="10" t="s">
        <v>5055</v>
      </c>
      <c r="W914" s="10" t="s">
        <v>5007</v>
      </c>
      <c r="X914" s="10" t="s">
        <v>130</v>
      </c>
      <c r="Y914" s="10" t="s">
        <v>130</v>
      </c>
      <c r="Z914" s="10" t="s">
        <v>99</v>
      </c>
      <c r="AA914" s="10" t="s">
        <v>131</v>
      </c>
      <c r="AB914" s="10" t="s">
        <v>5008</v>
      </c>
      <c r="AC914" s="10" t="s">
        <v>5009</v>
      </c>
      <c r="AD914" s="10" t="s">
        <v>7445</v>
      </c>
      <c r="AE914" s="10" t="s">
        <v>7446</v>
      </c>
      <c r="AF914" s="15"/>
      <c r="AG914" s="10"/>
      <c r="AH914" s="10"/>
      <c r="AI914" s="10"/>
      <c r="AJ914" s="10"/>
      <c r="AK914" s="10"/>
      <c r="AL914" s="10" t="s">
        <v>3008</v>
      </c>
      <c r="AM914" s="10"/>
      <c r="AN914" s="10"/>
      <c r="AO914" s="13" t="b">
        <v>0</v>
      </c>
      <c r="AP914" s="10" t="s">
        <v>104</v>
      </c>
      <c r="AQ914" s="10"/>
      <c r="AR914" s="17"/>
      <c r="AS914" s="17"/>
      <c r="AT914" s="17"/>
      <c r="AU914" s="17"/>
      <c r="AV914" s="17"/>
      <c r="AW914" s="10"/>
      <c r="AX914" s="17"/>
      <c r="AY914" s="18" t="s">
        <v>257</v>
      </c>
      <c r="AZ914" s="10"/>
      <c r="BA914" s="20" t="b">
        <v>0</v>
      </c>
      <c r="BB914" s="10"/>
      <c r="BC914" s="17" t="s">
        <v>257</v>
      </c>
      <c r="BD914" s="17" t="s">
        <v>257</v>
      </c>
      <c r="BE914" s="17" t="s">
        <v>257</v>
      </c>
      <c r="BF914" s="17" t="s">
        <v>257</v>
      </c>
      <c r="BG914" s="11">
        <f ca="1">IFERROR(__xludf.DUMMYFUNCTION("""COMPUTED_VALUE"""),46145)</f>
        <v>46145</v>
      </c>
      <c r="BH914" s="17"/>
      <c r="BI914" s="17"/>
      <c r="BJ914" s="15"/>
      <c r="BK914" s="15"/>
      <c r="BL914" s="13" t="b">
        <v>0</v>
      </c>
      <c r="BM914" s="10"/>
      <c r="BN914" s="10" t="s">
        <v>223</v>
      </c>
      <c r="BO914" s="11">
        <v>45866.101898148147</v>
      </c>
      <c r="BP914" s="11">
        <v>45866.101898148147</v>
      </c>
      <c r="BQ914" s="15"/>
      <c r="BR914" s="15"/>
      <c r="BS914" s="10"/>
      <c r="BT914" s="10"/>
      <c r="BU914" s="10"/>
      <c r="BV914" s="10"/>
      <c r="BW914" s="10"/>
      <c r="BX914" s="10"/>
      <c r="BY914" s="23"/>
      <c r="BZ914" s="23"/>
      <c r="CA914" s="23"/>
      <c r="CB914" s="23"/>
      <c r="CC914" s="23"/>
      <c r="CD914" s="23"/>
      <c r="CE914" s="23"/>
      <c r="CF914" s="23"/>
      <c r="CG914" s="23"/>
      <c r="CH914" s="23"/>
      <c r="CI914" s="23"/>
    </row>
    <row r="915" spans="1:87" x14ac:dyDescent="0.3">
      <c r="A915" s="9" t="s">
        <v>7447</v>
      </c>
      <c r="B915" s="10" t="s">
        <v>7448</v>
      </c>
      <c r="C915" s="11">
        <v>46145</v>
      </c>
      <c r="D915" s="12">
        <v>8.3333333333333329E-2</v>
      </c>
      <c r="E915" s="11">
        <v>46145.083333333336</v>
      </c>
      <c r="F915" s="10" t="s">
        <v>5001</v>
      </c>
      <c r="G915" s="13" t="b">
        <v>0</v>
      </c>
      <c r="H915" s="10"/>
      <c r="I915" s="10" t="s">
        <v>89</v>
      </c>
      <c r="J915" s="13" t="b">
        <v>0</v>
      </c>
      <c r="K915" s="13" t="b">
        <v>1</v>
      </c>
      <c r="L915" s="10" t="s">
        <v>124</v>
      </c>
      <c r="M915" s="10" t="s">
        <v>91</v>
      </c>
      <c r="N915" s="10" t="s">
        <v>92</v>
      </c>
      <c r="O915" s="10"/>
      <c r="P915" s="10"/>
      <c r="Q915" s="10"/>
      <c r="R915" s="10"/>
      <c r="S915" s="10"/>
      <c r="T915" s="10"/>
      <c r="U915" s="10" t="s">
        <v>5054</v>
      </c>
      <c r="V915" s="10" t="s">
        <v>5090</v>
      </c>
      <c r="W915" s="10" t="s">
        <v>5007</v>
      </c>
      <c r="X915" s="10" t="s">
        <v>130</v>
      </c>
      <c r="Y915" s="10" t="s">
        <v>130</v>
      </c>
      <c r="Z915" s="10" t="s">
        <v>99</v>
      </c>
      <c r="AA915" s="10" t="s">
        <v>131</v>
      </c>
      <c r="AB915" s="10" t="s">
        <v>5008</v>
      </c>
      <c r="AC915" s="10" t="s">
        <v>5009</v>
      </c>
      <c r="AD915" s="10" t="s">
        <v>7449</v>
      </c>
      <c r="AE915" s="10" t="s">
        <v>7450</v>
      </c>
      <c r="AF915" s="15"/>
      <c r="AG915" s="10"/>
      <c r="AH915" s="10"/>
      <c r="AI915" s="10"/>
      <c r="AJ915" s="10"/>
      <c r="AK915" s="10"/>
      <c r="AL915" s="10" t="s">
        <v>3008</v>
      </c>
      <c r="AM915" s="10"/>
      <c r="AN915" s="10"/>
      <c r="AO915" s="13" t="b">
        <v>0</v>
      </c>
      <c r="AP915" s="10" t="s">
        <v>104</v>
      </c>
      <c r="AQ915" s="10"/>
      <c r="AR915" s="17"/>
      <c r="AS915" s="17"/>
      <c r="AT915" s="17"/>
      <c r="AU915" s="17"/>
      <c r="AV915" s="17"/>
      <c r="AW915" s="10"/>
      <c r="AX915" s="17"/>
      <c r="AY915" s="18" t="s">
        <v>257</v>
      </c>
      <c r="AZ915" s="10"/>
      <c r="BA915" s="20" t="b">
        <v>0</v>
      </c>
      <c r="BB915" s="10"/>
      <c r="BC915" s="17" t="s">
        <v>257</v>
      </c>
      <c r="BD915" s="17" t="s">
        <v>257</v>
      </c>
      <c r="BE915" s="17" t="s">
        <v>257</v>
      </c>
      <c r="BF915" s="17" t="s">
        <v>257</v>
      </c>
      <c r="BG915" s="11">
        <f ca="1">IFERROR(__xludf.DUMMYFUNCTION("""COMPUTED_VALUE"""),46145)</f>
        <v>46145</v>
      </c>
      <c r="BH915" s="17"/>
      <c r="BI915" s="17"/>
      <c r="BJ915" s="15"/>
      <c r="BK915" s="15"/>
      <c r="BL915" s="13" t="b">
        <v>0</v>
      </c>
      <c r="BM915" s="10"/>
      <c r="BN915" s="10" t="s">
        <v>223</v>
      </c>
      <c r="BO915" s="11">
        <v>45866.101898148147</v>
      </c>
      <c r="BP915" s="11">
        <v>45866.101898148147</v>
      </c>
      <c r="BQ915" s="15"/>
      <c r="BR915" s="15"/>
      <c r="BS915" s="10"/>
      <c r="BT915" s="10"/>
      <c r="BU915" s="10"/>
      <c r="BV915" s="10"/>
      <c r="BW915" s="10"/>
      <c r="BX915" s="10"/>
      <c r="BY915" s="23"/>
      <c r="BZ915" s="23"/>
      <c r="CA915" s="23"/>
      <c r="CB915" s="23"/>
      <c r="CC915" s="23"/>
      <c r="CD915" s="23"/>
      <c r="CE915" s="23"/>
      <c r="CF915" s="23"/>
      <c r="CG915" s="23"/>
      <c r="CH915" s="23"/>
      <c r="CI915" s="23"/>
    </row>
    <row r="916" spans="1:87" x14ac:dyDescent="0.3">
      <c r="A916" s="9" t="s">
        <v>7451</v>
      </c>
      <c r="B916" s="10" t="s">
        <v>7452</v>
      </c>
      <c r="C916" s="11">
        <v>46152</v>
      </c>
      <c r="D916" s="12">
        <v>8.3333333333333329E-2</v>
      </c>
      <c r="E916" s="11">
        <v>46152.083333333336</v>
      </c>
      <c r="F916" s="10" t="s">
        <v>5001</v>
      </c>
      <c r="G916" s="13" t="b">
        <v>0</v>
      </c>
      <c r="H916" s="10"/>
      <c r="I916" s="10" t="s">
        <v>89</v>
      </c>
      <c r="J916" s="13" t="b">
        <v>0</v>
      </c>
      <c r="K916" s="13" t="b">
        <v>1</v>
      </c>
      <c r="L916" s="10" t="s">
        <v>124</v>
      </c>
      <c r="M916" s="10" t="s">
        <v>91</v>
      </c>
      <c r="N916" s="10" t="s">
        <v>92</v>
      </c>
      <c r="O916" s="10"/>
      <c r="P916" s="10"/>
      <c r="Q916" s="10"/>
      <c r="R916" s="10"/>
      <c r="S916" s="10"/>
      <c r="T916" s="10"/>
      <c r="U916" s="10" t="s">
        <v>5090</v>
      </c>
      <c r="V916" s="10" t="s">
        <v>5066</v>
      </c>
      <c r="W916" s="10" t="s">
        <v>5007</v>
      </c>
      <c r="X916" s="10" t="s">
        <v>130</v>
      </c>
      <c r="Y916" s="10" t="s">
        <v>130</v>
      </c>
      <c r="Z916" s="10" t="s">
        <v>99</v>
      </c>
      <c r="AA916" s="10" t="s">
        <v>131</v>
      </c>
      <c r="AB916" s="10" t="s">
        <v>5008</v>
      </c>
      <c r="AC916" s="10" t="s">
        <v>5009</v>
      </c>
      <c r="AD916" s="10" t="s">
        <v>7453</v>
      </c>
      <c r="AE916" s="10" t="s">
        <v>7454</v>
      </c>
      <c r="AF916" s="15"/>
      <c r="AG916" s="10"/>
      <c r="AH916" s="10"/>
      <c r="AI916" s="10"/>
      <c r="AJ916" s="10"/>
      <c r="AK916" s="10"/>
      <c r="AL916" s="10" t="s">
        <v>3049</v>
      </c>
      <c r="AM916" s="10"/>
      <c r="AN916" s="10"/>
      <c r="AO916" s="13" t="b">
        <v>0</v>
      </c>
      <c r="AP916" s="10" t="s">
        <v>104</v>
      </c>
      <c r="AQ916" s="10"/>
      <c r="AR916" s="17"/>
      <c r="AS916" s="17"/>
      <c r="AT916" s="17"/>
      <c r="AU916" s="17"/>
      <c r="AV916" s="17"/>
      <c r="AW916" s="10"/>
      <c r="AX916" s="17"/>
      <c r="AY916" s="18" t="s">
        <v>257</v>
      </c>
      <c r="AZ916" s="10"/>
      <c r="BA916" s="20" t="b">
        <v>0</v>
      </c>
      <c r="BB916" s="10"/>
      <c r="BC916" s="17" t="s">
        <v>257</v>
      </c>
      <c r="BD916" s="17" t="s">
        <v>257</v>
      </c>
      <c r="BE916" s="17" t="s">
        <v>257</v>
      </c>
      <c r="BF916" s="17" t="s">
        <v>257</v>
      </c>
      <c r="BG916" s="11">
        <f ca="1">IFERROR(__xludf.DUMMYFUNCTION("""COMPUTED_VALUE"""),46152)</f>
        <v>46152</v>
      </c>
      <c r="BH916" s="17"/>
      <c r="BI916" s="17"/>
      <c r="BJ916" s="15"/>
      <c r="BK916" s="15"/>
      <c r="BL916" s="13" t="b">
        <v>0</v>
      </c>
      <c r="BM916" s="10"/>
      <c r="BN916" s="10" t="s">
        <v>223</v>
      </c>
      <c r="BO916" s="11">
        <v>45866.101898148147</v>
      </c>
      <c r="BP916" s="11">
        <v>45866.101898148147</v>
      </c>
      <c r="BQ916" s="15"/>
      <c r="BR916" s="15"/>
      <c r="BS916" s="10"/>
      <c r="BT916" s="10"/>
      <c r="BU916" s="10"/>
      <c r="BV916" s="10"/>
      <c r="BW916" s="10"/>
      <c r="BX916" s="10"/>
      <c r="BY916" s="23"/>
      <c r="BZ916" s="23"/>
      <c r="CA916" s="23"/>
      <c r="CB916" s="23"/>
      <c r="CC916" s="23"/>
      <c r="CD916" s="23"/>
      <c r="CE916" s="23"/>
      <c r="CF916" s="23"/>
      <c r="CG916" s="23"/>
      <c r="CH916" s="23"/>
      <c r="CI916" s="23"/>
    </row>
    <row r="917" spans="1:87" x14ac:dyDescent="0.3">
      <c r="A917" s="9" t="s">
        <v>7455</v>
      </c>
      <c r="B917" s="10" t="s">
        <v>7456</v>
      </c>
      <c r="C917" s="11">
        <v>46152</v>
      </c>
      <c r="D917" s="12">
        <v>8.3333333333333329E-2</v>
      </c>
      <c r="E917" s="11">
        <v>46152.083333333336</v>
      </c>
      <c r="F917" s="10" t="s">
        <v>5001</v>
      </c>
      <c r="G917" s="13" t="b">
        <v>0</v>
      </c>
      <c r="H917" s="10"/>
      <c r="I917" s="10" t="s">
        <v>89</v>
      </c>
      <c r="J917" s="13" t="b">
        <v>0</v>
      </c>
      <c r="K917" s="13" t="b">
        <v>1</v>
      </c>
      <c r="L917" s="10" t="s">
        <v>124</v>
      </c>
      <c r="M917" s="10" t="s">
        <v>91</v>
      </c>
      <c r="N917" s="10" t="s">
        <v>92</v>
      </c>
      <c r="O917" s="10"/>
      <c r="P917" s="10"/>
      <c r="Q917" s="10"/>
      <c r="R917" s="10"/>
      <c r="S917" s="10"/>
      <c r="T917" s="10"/>
      <c r="U917" s="10" t="s">
        <v>5077</v>
      </c>
      <c r="V917" s="10" t="s">
        <v>5089</v>
      </c>
      <c r="W917" s="10" t="s">
        <v>5007</v>
      </c>
      <c r="X917" s="10" t="s">
        <v>130</v>
      </c>
      <c r="Y917" s="10" t="s">
        <v>130</v>
      </c>
      <c r="Z917" s="10" t="s">
        <v>99</v>
      </c>
      <c r="AA917" s="10" t="s">
        <v>131</v>
      </c>
      <c r="AB917" s="10" t="s">
        <v>5008</v>
      </c>
      <c r="AC917" s="10" t="s">
        <v>5009</v>
      </c>
      <c r="AD917" s="10" t="s">
        <v>7457</v>
      </c>
      <c r="AE917" s="10" t="s">
        <v>7458</v>
      </c>
      <c r="AF917" s="15"/>
      <c r="AG917" s="10"/>
      <c r="AH917" s="10"/>
      <c r="AI917" s="10"/>
      <c r="AJ917" s="10"/>
      <c r="AK917" s="10"/>
      <c r="AL917" s="10" t="s">
        <v>3049</v>
      </c>
      <c r="AM917" s="10"/>
      <c r="AN917" s="10"/>
      <c r="AO917" s="13" t="b">
        <v>0</v>
      </c>
      <c r="AP917" s="10" t="s">
        <v>104</v>
      </c>
      <c r="AQ917" s="10"/>
      <c r="AR917" s="17"/>
      <c r="AS917" s="17"/>
      <c r="AT917" s="17"/>
      <c r="AU917" s="17"/>
      <c r="AV917" s="17"/>
      <c r="AW917" s="10"/>
      <c r="AX917" s="17"/>
      <c r="AY917" s="18" t="s">
        <v>257</v>
      </c>
      <c r="AZ917" s="10"/>
      <c r="BA917" s="20" t="b">
        <v>0</v>
      </c>
      <c r="BB917" s="10"/>
      <c r="BC917" s="17" t="s">
        <v>257</v>
      </c>
      <c r="BD917" s="17" t="s">
        <v>257</v>
      </c>
      <c r="BE917" s="17" t="s">
        <v>257</v>
      </c>
      <c r="BF917" s="17" t="s">
        <v>257</v>
      </c>
      <c r="BG917" s="11">
        <f ca="1">IFERROR(__xludf.DUMMYFUNCTION("""COMPUTED_VALUE"""),46152)</f>
        <v>46152</v>
      </c>
      <c r="BH917" s="17"/>
      <c r="BI917" s="17"/>
      <c r="BJ917" s="15"/>
      <c r="BK917" s="15"/>
      <c r="BL917" s="13" t="b">
        <v>0</v>
      </c>
      <c r="BM917" s="10"/>
      <c r="BN917" s="10" t="s">
        <v>223</v>
      </c>
      <c r="BO917" s="11">
        <v>45866.101898148147</v>
      </c>
      <c r="BP917" s="11">
        <v>45866.101898148147</v>
      </c>
      <c r="BQ917" s="15"/>
      <c r="BR917" s="15"/>
      <c r="BS917" s="10"/>
      <c r="BT917" s="10"/>
      <c r="BU917" s="10"/>
      <c r="BV917" s="10"/>
      <c r="BW917" s="10"/>
      <c r="BX917" s="10"/>
      <c r="BY917" s="23"/>
      <c r="BZ917" s="23"/>
      <c r="CA917" s="23"/>
      <c r="CB917" s="23"/>
      <c r="CC917" s="23"/>
      <c r="CD917" s="23"/>
      <c r="CE917" s="23"/>
      <c r="CF917" s="23"/>
      <c r="CG917" s="23"/>
      <c r="CH917" s="23"/>
      <c r="CI917" s="23"/>
    </row>
    <row r="918" spans="1:87" x14ac:dyDescent="0.3">
      <c r="A918" s="9" t="s">
        <v>7459</v>
      </c>
      <c r="B918" s="10" t="s">
        <v>7460</v>
      </c>
      <c r="C918" s="11">
        <v>46152</v>
      </c>
      <c r="D918" s="12">
        <v>8.3333333333333329E-2</v>
      </c>
      <c r="E918" s="11">
        <v>46152.083333333336</v>
      </c>
      <c r="F918" s="10" t="s">
        <v>5001</v>
      </c>
      <c r="G918" s="13" t="b">
        <v>0</v>
      </c>
      <c r="H918" s="10"/>
      <c r="I918" s="10" t="s">
        <v>89</v>
      </c>
      <c r="J918" s="13" t="b">
        <v>0</v>
      </c>
      <c r="K918" s="13" t="b">
        <v>1</v>
      </c>
      <c r="L918" s="10" t="s">
        <v>124</v>
      </c>
      <c r="M918" s="10" t="s">
        <v>91</v>
      </c>
      <c r="N918" s="10" t="s">
        <v>92</v>
      </c>
      <c r="O918" s="10"/>
      <c r="P918" s="10"/>
      <c r="Q918" s="10"/>
      <c r="R918" s="10"/>
      <c r="S918" s="10"/>
      <c r="T918" s="10"/>
      <c r="U918" s="10" t="s">
        <v>5006</v>
      </c>
      <c r="V918" s="10" t="s">
        <v>5005</v>
      </c>
      <c r="W918" s="10" t="s">
        <v>5007</v>
      </c>
      <c r="X918" s="10" t="s">
        <v>130</v>
      </c>
      <c r="Y918" s="10" t="s">
        <v>130</v>
      </c>
      <c r="Z918" s="10" t="s">
        <v>99</v>
      </c>
      <c r="AA918" s="10" t="s">
        <v>131</v>
      </c>
      <c r="AB918" s="10" t="s">
        <v>5008</v>
      </c>
      <c r="AC918" s="10" t="s">
        <v>5009</v>
      </c>
      <c r="AD918" s="10" t="s">
        <v>7461</v>
      </c>
      <c r="AE918" s="10" t="s">
        <v>7462</v>
      </c>
      <c r="AF918" s="15"/>
      <c r="AG918" s="10"/>
      <c r="AH918" s="10"/>
      <c r="AI918" s="10"/>
      <c r="AJ918" s="10"/>
      <c r="AK918" s="10"/>
      <c r="AL918" s="10" t="s">
        <v>3049</v>
      </c>
      <c r="AM918" s="10"/>
      <c r="AN918" s="10"/>
      <c r="AO918" s="13" t="b">
        <v>0</v>
      </c>
      <c r="AP918" s="10" t="s">
        <v>104</v>
      </c>
      <c r="AQ918" s="10"/>
      <c r="AR918" s="17"/>
      <c r="AS918" s="17"/>
      <c r="AT918" s="17"/>
      <c r="AU918" s="17"/>
      <c r="AV918" s="17"/>
      <c r="AW918" s="10"/>
      <c r="AX918" s="17"/>
      <c r="AY918" s="18" t="s">
        <v>257</v>
      </c>
      <c r="AZ918" s="10"/>
      <c r="BA918" s="20" t="b">
        <v>0</v>
      </c>
      <c r="BB918" s="10"/>
      <c r="BC918" s="17" t="s">
        <v>257</v>
      </c>
      <c r="BD918" s="17" t="s">
        <v>257</v>
      </c>
      <c r="BE918" s="17" t="s">
        <v>257</v>
      </c>
      <c r="BF918" s="17" t="s">
        <v>257</v>
      </c>
      <c r="BG918" s="11">
        <f ca="1">IFERROR(__xludf.DUMMYFUNCTION("""COMPUTED_VALUE"""),46152)</f>
        <v>46152</v>
      </c>
      <c r="BH918" s="17"/>
      <c r="BI918" s="17"/>
      <c r="BJ918" s="15"/>
      <c r="BK918" s="15"/>
      <c r="BL918" s="13" t="b">
        <v>0</v>
      </c>
      <c r="BM918" s="10"/>
      <c r="BN918" s="10" t="s">
        <v>223</v>
      </c>
      <c r="BO918" s="11">
        <v>45866.101898148147</v>
      </c>
      <c r="BP918" s="11">
        <v>45866.101898148147</v>
      </c>
      <c r="BQ918" s="15"/>
      <c r="BR918" s="15"/>
      <c r="BS918" s="10"/>
      <c r="BT918" s="10"/>
      <c r="BU918" s="10"/>
      <c r="BV918" s="10"/>
      <c r="BW918" s="10"/>
      <c r="BX918" s="10"/>
      <c r="BY918" s="23"/>
      <c r="BZ918" s="23"/>
      <c r="CA918" s="23"/>
      <c r="CB918" s="23"/>
      <c r="CC918" s="23"/>
      <c r="CD918" s="23"/>
      <c r="CE918" s="23"/>
      <c r="CF918" s="23"/>
      <c r="CG918" s="23"/>
      <c r="CH918" s="23"/>
      <c r="CI918" s="23"/>
    </row>
    <row r="919" spans="1:87" x14ac:dyDescent="0.3">
      <c r="A919" s="9" t="s">
        <v>7463</v>
      </c>
      <c r="B919" s="10" t="s">
        <v>7464</v>
      </c>
      <c r="C919" s="11">
        <v>46152</v>
      </c>
      <c r="D919" s="12">
        <v>8.3333333333333329E-2</v>
      </c>
      <c r="E919" s="11">
        <v>46152.083333333336</v>
      </c>
      <c r="F919" s="10" t="s">
        <v>5001</v>
      </c>
      <c r="G919" s="13" t="b">
        <v>0</v>
      </c>
      <c r="H919" s="10"/>
      <c r="I919" s="10" t="s">
        <v>89</v>
      </c>
      <c r="J919" s="13" t="b">
        <v>0</v>
      </c>
      <c r="K919" s="13" t="b">
        <v>1</v>
      </c>
      <c r="L919" s="10" t="s">
        <v>124</v>
      </c>
      <c r="M919" s="10" t="s">
        <v>91</v>
      </c>
      <c r="N919" s="10" t="s">
        <v>92</v>
      </c>
      <c r="O919" s="10"/>
      <c r="P919" s="10"/>
      <c r="Q919" s="10"/>
      <c r="R919" s="10"/>
      <c r="S919" s="10"/>
      <c r="T919" s="10"/>
      <c r="U919" s="10" t="s">
        <v>5042</v>
      </c>
      <c r="V919" s="10" t="s">
        <v>5113</v>
      </c>
      <c r="W919" s="10" t="s">
        <v>5007</v>
      </c>
      <c r="X919" s="10" t="s">
        <v>130</v>
      </c>
      <c r="Y919" s="10" t="s">
        <v>130</v>
      </c>
      <c r="Z919" s="10" t="s">
        <v>99</v>
      </c>
      <c r="AA919" s="10" t="s">
        <v>131</v>
      </c>
      <c r="AB919" s="10" t="s">
        <v>5008</v>
      </c>
      <c r="AC919" s="10" t="s">
        <v>5009</v>
      </c>
      <c r="AD919" s="10" t="s">
        <v>7465</v>
      </c>
      <c r="AE919" s="10" t="s">
        <v>7466</v>
      </c>
      <c r="AF919" s="15"/>
      <c r="AG919" s="10"/>
      <c r="AH919" s="10"/>
      <c r="AI919" s="10"/>
      <c r="AJ919" s="10"/>
      <c r="AK919" s="10"/>
      <c r="AL919" s="10" t="s">
        <v>3049</v>
      </c>
      <c r="AM919" s="10"/>
      <c r="AN919" s="10"/>
      <c r="AO919" s="13" t="b">
        <v>1</v>
      </c>
      <c r="AP919" s="10" t="s">
        <v>104</v>
      </c>
      <c r="AQ919" s="10"/>
      <c r="AR919" s="17"/>
      <c r="AS919" s="17"/>
      <c r="AT919" s="17"/>
      <c r="AU919" s="17"/>
      <c r="AV919" s="17"/>
      <c r="AW919" s="10"/>
      <c r="AX919" s="17"/>
      <c r="AY919" s="18" t="s">
        <v>257</v>
      </c>
      <c r="AZ919" s="10"/>
      <c r="BA919" s="20" t="b">
        <v>0</v>
      </c>
      <c r="BB919" s="10"/>
      <c r="BC919" s="17" t="s">
        <v>257</v>
      </c>
      <c r="BD919" s="17" t="s">
        <v>257</v>
      </c>
      <c r="BE919" s="17" t="s">
        <v>257</v>
      </c>
      <c r="BF919" s="17" t="s">
        <v>257</v>
      </c>
      <c r="BG919" s="11">
        <f ca="1">IFERROR(__xludf.DUMMYFUNCTION("""COMPUTED_VALUE"""),46152)</f>
        <v>46152</v>
      </c>
      <c r="BH919" s="17"/>
      <c r="BI919" s="17"/>
      <c r="BJ919" s="15"/>
      <c r="BK919" s="15"/>
      <c r="BL919" s="13" t="b">
        <v>0</v>
      </c>
      <c r="BM919" s="10"/>
      <c r="BN919" s="10" t="s">
        <v>223</v>
      </c>
      <c r="BO919" s="11">
        <v>45866.101898148147</v>
      </c>
      <c r="BP919" s="11">
        <v>45866.101898148147</v>
      </c>
      <c r="BQ919" s="15"/>
      <c r="BR919" s="15"/>
      <c r="BS919" s="10"/>
      <c r="BT919" s="10"/>
      <c r="BU919" s="10"/>
      <c r="BV919" s="10"/>
      <c r="BW919" s="10"/>
      <c r="BX919" s="10"/>
      <c r="BY919" s="23"/>
      <c r="BZ919" s="23"/>
      <c r="CA919" s="23"/>
      <c r="CB919" s="23"/>
      <c r="CC919" s="23"/>
      <c r="CD919" s="23"/>
      <c r="CE919" s="23"/>
      <c r="CF919" s="23"/>
      <c r="CG919" s="23"/>
      <c r="CH919" s="23"/>
      <c r="CI919" s="23"/>
    </row>
    <row r="920" spans="1:87" x14ac:dyDescent="0.3">
      <c r="A920" s="9" t="s">
        <v>7467</v>
      </c>
      <c r="B920" s="10" t="s">
        <v>7468</v>
      </c>
      <c r="C920" s="11">
        <v>46152</v>
      </c>
      <c r="D920" s="12">
        <v>8.3333333333333329E-2</v>
      </c>
      <c r="E920" s="11">
        <v>46152.083333333336</v>
      </c>
      <c r="F920" s="10" t="s">
        <v>5001</v>
      </c>
      <c r="G920" s="13" t="b">
        <v>0</v>
      </c>
      <c r="H920" s="10"/>
      <c r="I920" s="10" t="s">
        <v>89</v>
      </c>
      <c r="J920" s="13" t="b">
        <v>0</v>
      </c>
      <c r="K920" s="13" t="b">
        <v>1</v>
      </c>
      <c r="L920" s="10" t="s">
        <v>124</v>
      </c>
      <c r="M920" s="10" t="s">
        <v>91</v>
      </c>
      <c r="N920" s="10" t="s">
        <v>92</v>
      </c>
      <c r="O920" s="10"/>
      <c r="P920" s="10"/>
      <c r="Q920" s="10"/>
      <c r="R920" s="10"/>
      <c r="S920" s="10"/>
      <c r="T920" s="10"/>
      <c r="U920" s="10" t="s">
        <v>5019</v>
      </c>
      <c r="V920" s="10" t="s">
        <v>5067</v>
      </c>
      <c r="W920" s="10" t="s">
        <v>5007</v>
      </c>
      <c r="X920" s="10" t="s">
        <v>130</v>
      </c>
      <c r="Y920" s="10" t="s">
        <v>130</v>
      </c>
      <c r="Z920" s="10" t="s">
        <v>99</v>
      </c>
      <c r="AA920" s="10" t="s">
        <v>131</v>
      </c>
      <c r="AB920" s="10" t="s">
        <v>5008</v>
      </c>
      <c r="AC920" s="10" t="s">
        <v>5009</v>
      </c>
      <c r="AD920" s="10" t="s">
        <v>7469</v>
      </c>
      <c r="AE920" s="10" t="s">
        <v>7470</v>
      </c>
      <c r="AF920" s="15"/>
      <c r="AG920" s="10"/>
      <c r="AH920" s="10"/>
      <c r="AI920" s="10"/>
      <c r="AJ920" s="10"/>
      <c r="AK920" s="10"/>
      <c r="AL920" s="10" t="s">
        <v>3049</v>
      </c>
      <c r="AM920" s="10"/>
      <c r="AN920" s="10"/>
      <c r="AO920" s="13" t="b">
        <v>0</v>
      </c>
      <c r="AP920" s="10" t="s">
        <v>104</v>
      </c>
      <c r="AQ920" s="10"/>
      <c r="AR920" s="17"/>
      <c r="AS920" s="17"/>
      <c r="AT920" s="17"/>
      <c r="AU920" s="17"/>
      <c r="AV920" s="17"/>
      <c r="AW920" s="10"/>
      <c r="AX920" s="17"/>
      <c r="AY920" s="18" t="s">
        <v>257</v>
      </c>
      <c r="AZ920" s="10"/>
      <c r="BA920" s="20" t="b">
        <v>0</v>
      </c>
      <c r="BB920" s="10"/>
      <c r="BC920" s="17" t="s">
        <v>257</v>
      </c>
      <c r="BD920" s="17" t="s">
        <v>257</v>
      </c>
      <c r="BE920" s="17" t="s">
        <v>257</v>
      </c>
      <c r="BF920" s="17" t="s">
        <v>257</v>
      </c>
      <c r="BG920" s="11">
        <f ca="1">IFERROR(__xludf.DUMMYFUNCTION("""COMPUTED_VALUE"""),46152)</f>
        <v>46152</v>
      </c>
      <c r="BH920" s="17"/>
      <c r="BI920" s="17"/>
      <c r="BJ920" s="15"/>
      <c r="BK920" s="15"/>
      <c r="BL920" s="13" t="b">
        <v>0</v>
      </c>
      <c r="BM920" s="10"/>
      <c r="BN920" s="10" t="s">
        <v>223</v>
      </c>
      <c r="BO920" s="11">
        <v>45866.101898148147</v>
      </c>
      <c r="BP920" s="11">
        <v>45866.101898148147</v>
      </c>
      <c r="BQ920" s="15"/>
      <c r="BR920" s="15"/>
      <c r="BS920" s="10"/>
      <c r="BT920" s="10"/>
      <c r="BU920" s="10"/>
      <c r="BV920" s="10"/>
      <c r="BW920" s="10"/>
      <c r="BX920" s="10"/>
      <c r="BY920" s="23"/>
      <c r="BZ920" s="23"/>
      <c r="CA920" s="23"/>
      <c r="CB920" s="23"/>
      <c r="CC920" s="23"/>
      <c r="CD920" s="23"/>
      <c r="CE920" s="23"/>
      <c r="CF920" s="23"/>
      <c r="CG920" s="23"/>
      <c r="CH920" s="23"/>
      <c r="CI920" s="23"/>
    </row>
    <row r="921" spans="1:87" x14ac:dyDescent="0.3">
      <c r="A921" s="9" t="s">
        <v>7471</v>
      </c>
      <c r="B921" s="10" t="s">
        <v>7472</v>
      </c>
      <c r="C921" s="11">
        <v>46152</v>
      </c>
      <c r="D921" s="12">
        <v>8.3333333333333329E-2</v>
      </c>
      <c r="E921" s="11">
        <v>46152.083333333336</v>
      </c>
      <c r="F921" s="10" t="s">
        <v>5001</v>
      </c>
      <c r="G921" s="13" t="b">
        <v>0</v>
      </c>
      <c r="H921" s="10"/>
      <c r="I921" s="10" t="s">
        <v>89</v>
      </c>
      <c r="J921" s="13" t="b">
        <v>0</v>
      </c>
      <c r="K921" s="13" t="b">
        <v>1</v>
      </c>
      <c r="L921" s="10" t="s">
        <v>124</v>
      </c>
      <c r="M921" s="10" t="s">
        <v>91</v>
      </c>
      <c r="N921" s="10" t="s">
        <v>92</v>
      </c>
      <c r="O921" s="10"/>
      <c r="P921" s="10"/>
      <c r="Q921" s="10"/>
      <c r="R921" s="10"/>
      <c r="S921" s="10"/>
      <c r="T921" s="10"/>
      <c r="U921" s="10" t="s">
        <v>5055</v>
      </c>
      <c r="V921" s="10" t="s">
        <v>5102</v>
      </c>
      <c r="W921" s="10" t="s">
        <v>5007</v>
      </c>
      <c r="X921" s="10" t="s">
        <v>130</v>
      </c>
      <c r="Y921" s="10" t="s">
        <v>130</v>
      </c>
      <c r="Z921" s="10" t="s">
        <v>99</v>
      </c>
      <c r="AA921" s="10" t="s">
        <v>131</v>
      </c>
      <c r="AB921" s="10" t="s">
        <v>5008</v>
      </c>
      <c r="AC921" s="10" t="s">
        <v>5009</v>
      </c>
      <c r="AD921" s="10" t="s">
        <v>7473</v>
      </c>
      <c r="AE921" s="10" t="s">
        <v>7474</v>
      </c>
      <c r="AF921" s="15"/>
      <c r="AG921" s="10"/>
      <c r="AH921" s="10"/>
      <c r="AI921" s="10"/>
      <c r="AJ921" s="10"/>
      <c r="AK921" s="10"/>
      <c r="AL921" s="10" t="s">
        <v>3049</v>
      </c>
      <c r="AM921" s="10"/>
      <c r="AN921" s="10"/>
      <c r="AO921" s="13" t="b">
        <v>0</v>
      </c>
      <c r="AP921" s="10" t="s">
        <v>104</v>
      </c>
      <c r="AQ921" s="10"/>
      <c r="AR921" s="17"/>
      <c r="AS921" s="17"/>
      <c r="AT921" s="17"/>
      <c r="AU921" s="17"/>
      <c r="AV921" s="17"/>
      <c r="AW921" s="10"/>
      <c r="AX921" s="17"/>
      <c r="AY921" s="18" t="s">
        <v>257</v>
      </c>
      <c r="AZ921" s="10"/>
      <c r="BA921" s="20" t="b">
        <v>0</v>
      </c>
      <c r="BB921" s="10"/>
      <c r="BC921" s="17" t="s">
        <v>257</v>
      </c>
      <c r="BD921" s="17" t="s">
        <v>257</v>
      </c>
      <c r="BE921" s="17" t="s">
        <v>257</v>
      </c>
      <c r="BF921" s="17" t="s">
        <v>257</v>
      </c>
      <c r="BG921" s="11">
        <f ca="1">IFERROR(__xludf.DUMMYFUNCTION("""COMPUTED_VALUE"""),46152)</f>
        <v>46152</v>
      </c>
      <c r="BH921" s="17"/>
      <c r="BI921" s="17"/>
      <c r="BJ921" s="15"/>
      <c r="BK921" s="15"/>
      <c r="BL921" s="13" t="b">
        <v>0</v>
      </c>
      <c r="BM921" s="10"/>
      <c r="BN921" s="10" t="s">
        <v>223</v>
      </c>
      <c r="BO921" s="11">
        <v>45866.101898148147</v>
      </c>
      <c r="BP921" s="11">
        <v>45866.101898148147</v>
      </c>
      <c r="BQ921" s="15"/>
      <c r="BR921" s="15"/>
      <c r="BS921" s="10"/>
      <c r="BT921" s="10"/>
      <c r="BU921" s="10"/>
      <c r="BV921" s="10"/>
      <c r="BW921" s="10"/>
      <c r="BX921" s="10"/>
      <c r="BY921" s="23"/>
      <c r="BZ921" s="23"/>
      <c r="CA921" s="23"/>
      <c r="CB921" s="23"/>
      <c r="CC921" s="23"/>
      <c r="CD921" s="23"/>
      <c r="CE921" s="23"/>
      <c r="CF921" s="23"/>
      <c r="CG921" s="23"/>
      <c r="CH921" s="23"/>
      <c r="CI921" s="23"/>
    </row>
    <row r="922" spans="1:87" x14ac:dyDescent="0.3">
      <c r="A922" s="9" t="s">
        <v>7475</v>
      </c>
      <c r="B922" s="10" t="s">
        <v>7476</v>
      </c>
      <c r="C922" s="11">
        <v>46152</v>
      </c>
      <c r="D922" s="12">
        <v>8.3333333333333329E-2</v>
      </c>
      <c r="E922" s="11">
        <v>46152.083333333336</v>
      </c>
      <c r="F922" s="10" t="s">
        <v>5001</v>
      </c>
      <c r="G922" s="13" t="b">
        <v>0</v>
      </c>
      <c r="H922" s="10"/>
      <c r="I922" s="10" t="s">
        <v>89</v>
      </c>
      <c r="J922" s="13" t="b">
        <v>0</v>
      </c>
      <c r="K922" s="13" t="b">
        <v>1</v>
      </c>
      <c r="L922" s="10" t="s">
        <v>124</v>
      </c>
      <c r="M922" s="10" t="s">
        <v>91</v>
      </c>
      <c r="N922" s="10" t="s">
        <v>92</v>
      </c>
      <c r="O922" s="10"/>
      <c r="P922" s="10"/>
      <c r="Q922" s="10"/>
      <c r="R922" s="10"/>
      <c r="S922" s="10"/>
      <c r="T922" s="10"/>
      <c r="U922" s="10" t="s">
        <v>5041</v>
      </c>
      <c r="V922" s="10" t="s">
        <v>5018</v>
      </c>
      <c r="W922" s="10" t="s">
        <v>5007</v>
      </c>
      <c r="X922" s="10" t="s">
        <v>130</v>
      </c>
      <c r="Y922" s="10" t="s">
        <v>130</v>
      </c>
      <c r="Z922" s="10" t="s">
        <v>99</v>
      </c>
      <c r="AA922" s="10" t="s">
        <v>131</v>
      </c>
      <c r="AB922" s="10" t="s">
        <v>5008</v>
      </c>
      <c r="AC922" s="10" t="s">
        <v>5009</v>
      </c>
      <c r="AD922" s="10" t="s">
        <v>7477</v>
      </c>
      <c r="AE922" s="10" t="s">
        <v>7478</v>
      </c>
      <c r="AF922" s="15"/>
      <c r="AG922" s="10"/>
      <c r="AH922" s="10"/>
      <c r="AI922" s="10"/>
      <c r="AJ922" s="10"/>
      <c r="AK922" s="10"/>
      <c r="AL922" s="10" t="s">
        <v>3049</v>
      </c>
      <c r="AM922" s="10"/>
      <c r="AN922" s="10"/>
      <c r="AO922" s="13" t="b">
        <v>0</v>
      </c>
      <c r="AP922" s="10" t="s">
        <v>104</v>
      </c>
      <c r="AQ922" s="10"/>
      <c r="AR922" s="17"/>
      <c r="AS922" s="17"/>
      <c r="AT922" s="17"/>
      <c r="AU922" s="17"/>
      <c r="AV922" s="17"/>
      <c r="AW922" s="10"/>
      <c r="AX922" s="17"/>
      <c r="AY922" s="18" t="s">
        <v>257</v>
      </c>
      <c r="AZ922" s="10"/>
      <c r="BA922" s="20" t="b">
        <v>0</v>
      </c>
      <c r="BB922" s="10"/>
      <c r="BC922" s="17" t="s">
        <v>257</v>
      </c>
      <c r="BD922" s="17" t="s">
        <v>257</v>
      </c>
      <c r="BE922" s="17" t="s">
        <v>257</v>
      </c>
      <c r="BF922" s="17" t="s">
        <v>257</v>
      </c>
      <c r="BG922" s="11">
        <f ca="1">IFERROR(__xludf.DUMMYFUNCTION("""COMPUTED_VALUE"""),46152)</f>
        <v>46152</v>
      </c>
      <c r="BH922" s="17"/>
      <c r="BI922" s="17"/>
      <c r="BJ922" s="15"/>
      <c r="BK922" s="15"/>
      <c r="BL922" s="13" t="b">
        <v>0</v>
      </c>
      <c r="BM922" s="10"/>
      <c r="BN922" s="10" t="s">
        <v>223</v>
      </c>
      <c r="BO922" s="11">
        <v>45866.101898148147</v>
      </c>
      <c r="BP922" s="11">
        <v>45866.101898148147</v>
      </c>
      <c r="BQ922" s="15"/>
      <c r="BR922" s="15"/>
      <c r="BS922" s="10"/>
      <c r="BT922" s="10"/>
      <c r="BU922" s="10"/>
      <c r="BV922" s="10"/>
      <c r="BW922" s="10"/>
      <c r="BX922" s="10"/>
      <c r="BY922" s="23"/>
      <c r="BZ922" s="23"/>
      <c r="CA922" s="23"/>
      <c r="CB922" s="23"/>
      <c r="CC922" s="23"/>
      <c r="CD922" s="23"/>
      <c r="CE922" s="23"/>
      <c r="CF922" s="23"/>
      <c r="CG922" s="23"/>
      <c r="CH922" s="23"/>
      <c r="CI922" s="23"/>
    </row>
    <row r="923" spans="1:87" x14ac:dyDescent="0.3">
      <c r="A923" s="9" t="s">
        <v>7479</v>
      </c>
      <c r="B923" s="10" t="s">
        <v>7480</v>
      </c>
      <c r="C923" s="11">
        <v>46152</v>
      </c>
      <c r="D923" s="12">
        <v>8.3333333333333329E-2</v>
      </c>
      <c r="E923" s="11">
        <v>46152.083333333336</v>
      </c>
      <c r="F923" s="10" t="s">
        <v>5001</v>
      </c>
      <c r="G923" s="13" t="b">
        <v>0</v>
      </c>
      <c r="H923" s="10"/>
      <c r="I923" s="10" t="s">
        <v>89</v>
      </c>
      <c r="J923" s="13" t="b">
        <v>0</v>
      </c>
      <c r="K923" s="13" t="b">
        <v>1</v>
      </c>
      <c r="L923" s="10" t="s">
        <v>124</v>
      </c>
      <c r="M923" s="10" t="s">
        <v>91</v>
      </c>
      <c r="N923" s="10" t="s">
        <v>92</v>
      </c>
      <c r="O923" s="10"/>
      <c r="P923" s="10"/>
      <c r="Q923" s="10"/>
      <c r="R923" s="10"/>
      <c r="S923" s="10"/>
      <c r="T923" s="10"/>
      <c r="U923" s="10" t="s">
        <v>5032</v>
      </c>
      <c r="V923" s="10" t="s">
        <v>5114</v>
      </c>
      <c r="W923" s="10" t="s">
        <v>5007</v>
      </c>
      <c r="X923" s="10" t="s">
        <v>130</v>
      </c>
      <c r="Y923" s="10" t="s">
        <v>130</v>
      </c>
      <c r="Z923" s="10" t="s">
        <v>99</v>
      </c>
      <c r="AA923" s="10" t="s">
        <v>131</v>
      </c>
      <c r="AB923" s="10" t="s">
        <v>5008</v>
      </c>
      <c r="AC923" s="10" t="s">
        <v>5009</v>
      </c>
      <c r="AD923" s="10" t="s">
        <v>7481</v>
      </c>
      <c r="AE923" s="10" t="s">
        <v>7482</v>
      </c>
      <c r="AF923" s="15"/>
      <c r="AG923" s="10"/>
      <c r="AH923" s="10"/>
      <c r="AI923" s="10"/>
      <c r="AJ923" s="10"/>
      <c r="AK923" s="10"/>
      <c r="AL923" s="10" t="s">
        <v>3049</v>
      </c>
      <c r="AM923" s="10"/>
      <c r="AN923" s="10"/>
      <c r="AO923" s="13" t="b">
        <v>0</v>
      </c>
      <c r="AP923" s="10" t="s">
        <v>104</v>
      </c>
      <c r="AQ923" s="10"/>
      <c r="AR923" s="17"/>
      <c r="AS923" s="17"/>
      <c r="AT923" s="17"/>
      <c r="AU923" s="17"/>
      <c r="AV923" s="17"/>
      <c r="AW923" s="10"/>
      <c r="AX923" s="17"/>
      <c r="AY923" s="18" t="s">
        <v>257</v>
      </c>
      <c r="AZ923" s="10"/>
      <c r="BA923" s="20" t="b">
        <v>0</v>
      </c>
      <c r="BB923" s="10"/>
      <c r="BC923" s="17" t="s">
        <v>257</v>
      </c>
      <c r="BD923" s="17" t="s">
        <v>257</v>
      </c>
      <c r="BE923" s="17" t="s">
        <v>257</v>
      </c>
      <c r="BF923" s="17" t="s">
        <v>257</v>
      </c>
      <c r="BG923" s="11">
        <f ca="1">IFERROR(__xludf.DUMMYFUNCTION("""COMPUTED_VALUE"""),46152)</f>
        <v>46152</v>
      </c>
      <c r="BH923" s="17"/>
      <c r="BI923" s="17"/>
      <c r="BJ923" s="15"/>
      <c r="BK923" s="15"/>
      <c r="BL923" s="13" t="b">
        <v>0</v>
      </c>
      <c r="BM923" s="10"/>
      <c r="BN923" s="10" t="s">
        <v>223</v>
      </c>
      <c r="BO923" s="11">
        <v>45866.101898148147</v>
      </c>
      <c r="BP923" s="11">
        <v>45866.101898148147</v>
      </c>
      <c r="BQ923" s="15"/>
      <c r="BR923" s="15"/>
      <c r="BS923" s="10"/>
      <c r="BT923" s="10"/>
      <c r="BU923" s="10"/>
      <c r="BV923" s="10"/>
      <c r="BW923" s="10"/>
      <c r="BX923" s="10"/>
      <c r="BY923" s="23"/>
      <c r="BZ923" s="23"/>
      <c r="CA923" s="23"/>
      <c r="CB923" s="23"/>
      <c r="CC923" s="23"/>
      <c r="CD923" s="23"/>
      <c r="CE923" s="23"/>
      <c r="CF923" s="23"/>
      <c r="CG923" s="23"/>
      <c r="CH923" s="23"/>
      <c r="CI923" s="23"/>
    </row>
    <row r="924" spans="1:87" x14ac:dyDescent="0.3">
      <c r="A924" s="9" t="s">
        <v>7483</v>
      </c>
      <c r="B924" s="10" t="s">
        <v>7484</v>
      </c>
      <c r="C924" s="11">
        <v>46152</v>
      </c>
      <c r="D924" s="12">
        <v>8.3333333333333329E-2</v>
      </c>
      <c r="E924" s="11">
        <v>46152.083333333336</v>
      </c>
      <c r="F924" s="10" t="s">
        <v>5001</v>
      </c>
      <c r="G924" s="13" t="b">
        <v>0</v>
      </c>
      <c r="H924" s="10"/>
      <c r="I924" s="10" t="s">
        <v>89</v>
      </c>
      <c r="J924" s="13" t="b">
        <v>0</v>
      </c>
      <c r="K924" s="13" t="b">
        <v>1</v>
      </c>
      <c r="L924" s="10" t="s">
        <v>124</v>
      </c>
      <c r="M924" s="10" t="s">
        <v>91</v>
      </c>
      <c r="N924" s="10" t="s">
        <v>92</v>
      </c>
      <c r="O924" s="10"/>
      <c r="P924" s="10"/>
      <c r="Q924" s="10"/>
      <c r="R924" s="10"/>
      <c r="S924" s="10"/>
      <c r="T924" s="10"/>
      <c r="U924" s="10" t="s">
        <v>5101</v>
      </c>
      <c r="V924" s="10" t="s">
        <v>5031</v>
      </c>
      <c r="W924" s="10" t="s">
        <v>5007</v>
      </c>
      <c r="X924" s="10" t="s">
        <v>130</v>
      </c>
      <c r="Y924" s="10" t="s">
        <v>130</v>
      </c>
      <c r="Z924" s="10" t="s">
        <v>99</v>
      </c>
      <c r="AA924" s="10" t="s">
        <v>131</v>
      </c>
      <c r="AB924" s="10" t="s">
        <v>5008</v>
      </c>
      <c r="AC924" s="10" t="s">
        <v>5009</v>
      </c>
      <c r="AD924" s="10" t="s">
        <v>7485</v>
      </c>
      <c r="AE924" s="10" t="s">
        <v>7486</v>
      </c>
      <c r="AF924" s="15"/>
      <c r="AG924" s="10"/>
      <c r="AH924" s="10"/>
      <c r="AI924" s="10"/>
      <c r="AJ924" s="10"/>
      <c r="AK924" s="10"/>
      <c r="AL924" s="10" t="s">
        <v>3049</v>
      </c>
      <c r="AM924" s="10"/>
      <c r="AN924" s="10"/>
      <c r="AO924" s="13" t="b">
        <v>0</v>
      </c>
      <c r="AP924" s="10" t="s">
        <v>104</v>
      </c>
      <c r="AQ924" s="10"/>
      <c r="AR924" s="17"/>
      <c r="AS924" s="17"/>
      <c r="AT924" s="17"/>
      <c r="AU924" s="17"/>
      <c r="AV924" s="17"/>
      <c r="AW924" s="10"/>
      <c r="AX924" s="17"/>
      <c r="AY924" s="18" t="s">
        <v>257</v>
      </c>
      <c r="AZ924" s="10"/>
      <c r="BA924" s="20" t="b">
        <v>0</v>
      </c>
      <c r="BB924" s="10"/>
      <c r="BC924" s="17" t="s">
        <v>257</v>
      </c>
      <c r="BD924" s="17" t="s">
        <v>257</v>
      </c>
      <c r="BE924" s="17" t="s">
        <v>257</v>
      </c>
      <c r="BF924" s="17" t="s">
        <v>257</v>
      </c>
      <c r="BG924" s="11">
        <f ca="1">IFERROR(__xludf.DUMMYFUNCTION("""COMPUTED_VALUE"""),46152)</f>
        <v>46152</v>
      </c>
      <c r="BH924" s="17"/>
      <c r="BI924" s="17"/>
      <c r="BJ924" s="15"/>
      <c r="BK924" s="15"/>
      <c r="BL924" s="13" t="b">
        <v>0</v>
      </c>
      <c r="BM924" s="10"/>
      <c r="BN924" s="10" t="s">
        <v>223</v>
      </c>
      <c r="BO924" s="11">
        <v>45866.101898148147</v>
      </c>
      <c r="BP924" s="11">
        <v>45866.101898148147</v>
      </c>
      <c r="BQ924" s="15"/>
      <c r="BR924" s="15"/>
      <c r="BS924" s="10"/>
      <c r="BT924" s="10"/>
      <c r="BU924" s="10"/>
      <c r="BV924" s="10"/>
      <c r="BW924" s="10"/>
      <c r="BX924" s="10"/>
      <c r="BY924" s="23"/>
      <c r="BZ924" s="23"/>
      <c r="CA924" s="23"/>
      <c r="CB924" s="23"/>
      <c r="CC924" s="23"/>
      <c r="CD924" s="23"/>
      <c r="CE924" s="23"/>
      <c r="CF924" s="23"/>
      <c r="CG924" s="23"/>
      <c r="CH924" s="23"/>
      <c r="CI924" s="23"/>
    </row>
    <row r="925" spans="1:87" x14ac:dyDescent="0.3">
      <c r="A925" s="9" t="s">
        <v>7487</v>
      </c>
      <c r="B925" s="10" t="s">
        <v>7488</v>
      </c>
      <c r="C925" s="11">
        <v>46152</v>
      </c>
      <c r="D925" s="12">
        <v>8.3333333333333329E-2</v>
      </c>
      <c r="E925" s="11">
        <v>46152.083333333336</v>
      </c>
      <c r="F925" s="10" t="s">
        <v>5001</v>
      </c>
      <c r="G925" s="13" t="b">
        <v>0</v>
      </c>
      <c r="H925" s="10"/>
      <c r="I925" s="10" t="s">
        <v>89</v>
      </c>
      <c r="J925" s="13" t="b">
        <v>0</v>
      </c>
      <c r="K925" s="13" t="b">
        <v>1</v>
      </c>
      <c r="L925" s="10" t="s">
        <v>124</v>
      </c>
      <c r="M925" s="10" t="s">
        <v>91</v>
      </c>
      <c r="N925" s="10" t="s">
        <v>92</v>
      </c>
      <c r="O925" s="10"/>
      <c r="P925" s="10"/>
      <c r="Q925" s="10"/>
      <c r="R925" s="10"/>
      <c r="S925" s="10"/>
      <c r="T925" s="10"/>
      <c r="U925" s="10" t="s">
        <v>5076</v>
      </c>
      <c r="V925" s="10" t="s">
        <v>5054</v>
      </c>
      <c r="W925" s="10" t="s">
        <v>5007</v>
      </c>
      <c r="X925" s="10" t="s">
        <v>130</v>
      </c>
      <c r="Y925" s="10" t="s">
        <v>130</v>
      </c>
      <c r="Z925" s="10" t="s">
        <v>99</v>
      </c>
      <c r="AA925" s="10" t="s">
        <v>131</v>
      </c>
      <c r="AB925" s="10" t="s">
        <v>5008</v>
      </c>
      <c r="AC925" s="10" t="s">
        <v>5009</v>
      </c>
      <c r="AD925" s="10" t="s">
        <v>7489</v>
      </c>
      <c r="AE925" s="10" t="s">
        <v>7490</v>
      </c>
      <c r="AF925" s="15"/>
      <c r="AG925" s="10"/>
      <c r="AH925" s="10"/>
      <c r="AI925" s="10"/>
      <c r="AJ925" s="10"/>
      <c r="AK925" s="10"/>
      <c r="AL925" s="10" t="s">
        <v>3049</v>
      </c>
      <c r="AM925" s="10"/>
      <c r="AN925" s="10"/>
      <c r="AO925" s="13" t="b">
        <v>0</v>
      </c>
      <c r="AP925" s="10" t="s">
        <v>104</v>
      </c>
      <c r="AQ925" s="10"/>
      <c r="AR925" s="17"/>
      <c r="AS925" s="17"/>
      <c r="AT925" s="17"/>
      <c r="AU925" s="17"/>
      <c r="AV925" s="17"/>
      <c r="AW925" s="10"/>
      <c r="AX925" s="17"/>
      <c r="AY925" s="18" t="s">
        <v>257</v>
      </c>
      <c r="AZ925" s="10"/>
      <c r="BA925" s="20" t="b">
        <v>0</v>
      </c>
      <c r="BB925" s="10"/>
      <c r="BC925" s="17" t="s">
        <v>257</v>
      </c>
      <c r="BD925" s="17" t="s">
        <v>257</v>
      </c>
      <c r="BE925" s="17" t="s">
        <v>257</v>
      </c>
      <c r="BF925" s="17" t="s">
        <v>257</v>
      </c>
      <c r="BG925" s="11">
        <f ca="1">IFERROR(__xludf.DUMMYFUNCTION("""COMPUTED_VALUE"""),46152)</f>
        <v>46152</v>
      </c>
      <c r="BH925" s="17"/>
      <c r="BI925" s="17"/>
      <c r="BJ925" s="15"/>
      <c r="BK925" s="15"/>
      <c r="BL925" s="13" t="b">
        <v>0</v>
      </c>
      <c r="BM925" s="10"/>
      <c r="BN925" s="10" t="s">
        <v>223</v>
      </c>
      <c r="BO925" s="11">
        <v>45866.101898148147</v>
      </c>
      <c r="BP925" s="11">
        <v>45866.101898148147</v>
      </c>
      <c r="BQ925" s="15"/>
      <c r="BR925" s="15"/>
      <c r="BS925" s="10"/>
      <c r="BT925" s="10"/>
      <c r="BU925" s="10"/>
      <c r="BV925" s="10"/>
      <c r="BW925" s="10"/>
      <c r="BX925" s="10"/>
      <c r="BY925" s="23"/>
      <c r="BZ925" s="23"/>
      <c r="CA925" s="23"/>
      <c r="CB925" s="23"/>
      <c r="CC925" s="23"/>
      <c r="CD925" s="23"/>
      <c r="CE925" s="23"/>
      <c r="CF925" s="23"/>
      <c r="CG925" s="23"/>
      <c r="CH925" s="23"/>
      <c r="CI925" s="23"/>
    </row>
    <row r="926" spans="1:87" x14ac:dyDescent="0.3">
      <c r="A926" s="9" t="s">
        <v>7491</v>
      </c>
      <c r="B926" s="10" t="s">
        <v>7492</v>
      </c>
      <c r="C926" s="11">
        <v>46155</v>
      </c>
      <c r="D926" s="12">
        <v>8.3333333333333329E-2</v>
      </c>
      <c r="E926" s="11">
        <v>46155.083333333336</v>
      </c>
      <c r="F926" s="10" t="s">
        <v>5001</v>
      </c>
      <c r="G926" s="13" t="b">
        <v>0</v>
      </c>
      <c r="H926" s="10"/>
      <c r="I926" s="10" t="s">
        <v>89</v>
      </c>
      <c r="J926" s="13" t="b">
        <v>0</v>
      </c>
      <c r="K926" s="13" t="b">
        <v>1</v>
      </c>
      <c r="L926" s="10" t="s">
        <v>124</v>
      </c>
      <c r="M926" s="10" t="s">
        <v>91</v>
      </c>
      <c r="N926" s="10" t="s">
        <v>92</v>
      </c>
      <c r="O926" s="10"/>
      <c r="P926" s="10"/>
      <c r="Q926" s="10"/>
      <c r="R926" s="10"/>
      <c r="S926" s="10"/>
      <c r="T926" s="10"/>
      <c r="U926" s="10" t="s">
        <v>5066</v>
      </c>
      <c r="V926" s="10" t="s">
        <v>5032</v>
      </c>
      <c r="W926" s="10" t="s">
        <v>5007</v>
      </c>
      <c r="X926" s="10" t="s">
        <v>130</v>
      </c>
      <c r="Y926" s="10" t="s">
        <v>130</v>
      </c>
      <c r="Z926" s="10" t="s">
        <v>99</v>
      </c>
      <c r="AA926" s="10" t="s">
        <v>131</v>
      </c>
      <c r="AB926" s="10" t="s">
        <v>5008</v>
      </c>
      <c r="AC926" s="10" t="s">
        <v>5009</v>
      </c>
      <c r="AD926" s="10" t="s">
        <v>7493</v>
      </c>
      <c r="AE926" s="10" t="s">
        <v>7494</v>
      </c>
      <c r="AF926" s="15"/>
      <c r="AG926" s="10"/>
      <c r="AH926" s="10"/>
      <c r="AI926" s="10"/>
      <c r="AJ926" s="10"/>
      <c r="AK926" s="10"/>
      <c r="AL926" s="10" t="s">
        <v>3090</v>
      </c>
      <c r="AM926" s="10"/>
      <c r="AN926" s="10"/>
      <c r="AO926" s="13" t="b">
        <v>0</v>
      </c>
      <c r="AP926" s="10" t="s">
        <v>104</v>
      </c>
      <c r="AQ926" s="10"/>
      <c r="AR926" s="17"/>
      <c r="AS926" s="17"/>
      <c r="AT926" s="17"/>
      <c r="AU926" s="17"/>
      <c r="AV926" s="17"/>
      <c r="AW926" s="10"/>
      <c r="AX926" s="17"/>
      <c r="AY926" s="18" t="s">
        <v>257</v>
      </c>
      <c r="AZ926" s="10"/>
      <c r="BA926" s="20" t="b">
        <v>0</v>
      </c>
      <c r="BB926" s="10"/>
      <c r="BC926" s="17" t="s">
        <v>257</v>
      </c>
      <c r="BD926" s="17" t="s">
        <v>257</v>
      </c>
      <c r="BE926" s="17" t="s">
        <v>257</v>
      </c>
      <c r="BF926" s="17" t="s">
        <v>257</v>
      </c>
      <c r="BG926" s="11">
        <f ca="1">IFERROR(__xludf.DUMMYFUNCTION("""COMPUTED_VALUE"""),46155)</f>
        <v>46155</v>
      </c>
      <c r="BH926" s="17"/>
      <c r="BI926" s="17"/>
      <c r="BJ926" s="15"/>
      <c r="BK926" s="15"/>
      <c r="BL926" s="13" t="b">
        <v>0</v>
      </c>
      <c r="BM926" s="10"/>
      <c r="BN926" s="10" t="s">
        <v>223</v>
      </c>
      <c r="BO926" s="11">
        <v>45866.101898148147</v>
      </c>
      <c r="BP926" s="11">
        <v>45866.101898148147</v>
      </c>
      <c r="BQ926" s="15"/>
      <c r="BR926" s="15"/>
      <c r="BS926" s="10"/>
      <c r="BT926" s="10"/>
      <c r="BU926" s="10"/>
      <c r="BV926" s="10"/>
      <c r="BW926" s="10"/>
      <c r="BX926" s="10"/>
      <c r="BY926" s="23"/>
      <c r="BZ926" s="23"/>
      <c r="CA926" s="23"/>
      <c r="CB926" s="23"/>
      <c r="CC926" s="23"/>
      <c r="CD926" s="23"/>
      <c r="CE926" s="23"/>
      <c r="CF926" s="23"/>
      <c r="CG926" s="23"/>
      <c r="CH926" s="23"/>
      <c r="CI926" s="23"/>
    </row>
    <row r="927" spans="1:87" x14ac:dyDescent="0.3">
      <c r="A927" s="9" t="s">
        <v>7495</v>
      </c>
      <c r="B927" s="10" t="s">
        <v>7496</v>
      </c>
      <c r="C927" s="11">
        <v>46155</v>
      </c>
      <c r="D927" s="12">
        <v>8.3333333333333329E-2</v>
      </c>
      <c r="E927" s="11">
        <v>46155.083333333336</v>
      </c>
      <c r="F927" s="10" t="s">
        <v>5001</v>
      </c>
      <c r="G927" s="13" t="b">
        <v>0</v>
      </c>
      <c r="H927" s="10"/>
      <c r="I927" s="10" t="s">
        <v>89</v>
      </c>
      <c r="J927" s="13" t="b">
        <v>0</v>
      </c>
      <c r="K927" s="13" t="b">
        <v>1</v>
      </c>
      <c r="L927" s="10" t="s">
        <v>124</v>
      </c>
      <c r="M927" s="10" t="s">
        <v>91</v>
      </c>
      <c r="N927" s="10" t="s">
        <v>92</v>
      </c>
      <c r="O927" s="10"/>
      <c r="P927" s="10"/>
      <c r="Q927" s="10"/>
      <c r="R927" s="10"/>
      <c r="S927" s="10"/>
      <c r="T927" s="10"/>
      <c r="U927" s="10" t="s">
        <v>5102</v>
      </c>
      <c r="V927" s="10" t="s">
        <v>5101</v>
      </c>
      <c r="W927" s="10" t="s">
        <v>5007</v>
      </c>
      <c r="X927" s="10" t="s">
        <v>130</v>
      </c>
      <c r="Y927" s="10" t="s">
        <v>130</v>
      </c>
      <c r="Z927" s="10" t="s">
        <v>99</v>
      </c>
      <c r="AA927" s="10" t="s">
        <v>131</v>
      </c>
      <c r="AB927" s="10" t="s">
        <v>5008</v>
      </c>
      <c r="AC927" s="10" t="s">
        <v>5009</v>
      </c>
      <c r="AD927" s="10" t="s">
        <v>7497</v>
      </c>
      <c r="AE927" s="10" t="s">
        <v>7498</v>
      </c>
      <c r="AF927" s="15"/>
      <c r="AG927" s="10"/>
      <c r="AH927" s="10"/>
      <c r="AI927" s="10"/>
      <c r="AJ927" s="10"/>
      <c r="AK927" s="10"/>
      <c r="AL927" s="10" t="s">
        <v>3090</v>
      </c>
      <c r="AM927" s="10"/>
      <c r="AN927" s="10"/>
      <c r="AO927" s="13" t="b">
        <v>0</v>
      </c>
      <c r="AP927" s="10" t="s">
        <v>104</v>
      </c>
      <c r="AQ927" s="10"/>
      <c r="AR927" s="17"/>
      <c r="AS927" s="17"/>
      <c r="AT927" s="17"/>
      <c r="AU927" s="17"/>
      <c r="AV927" s="17"/>
      <c r="AW927" s="10"/>
      <c r="AX927" s="17"/>
      <c r="AY927" s="18" t="s">
        <v>257</v>
      </c>
      <c r="AZ927" s="10"/>
      <c r="BA927" s="20" t="b">
        <v>0</v>
      </c>
      <c r="BB927" s="10"/>
      <c r="BC927" s="17" t="s">
        <v>257</v>
      </c>
      <c r="BD927" s="17" t="s">
        <v>257</v>
      </c>
      <c r="BE927" s="17" t="s">
        <v>257</v>
      </c>
      <c r="BF927" s="17" t="s">
        <v>257</v>
      </c>
      <c r="BG927" s="11">
        <f ca="1">IFERROR(__xludf.DUMMYFUNCTION("""COMPUTED_VALUE"""),46155)</f>
        <v>46155</v>
      </c>
      <c r="BH927" s="17"/>
      <c r="BI927" s="17"/>
      <c r="BJ927" s="15"/>
      <c r="BK927" s="15"/>
      <c r="BL927" s="13" t="b">
        <v>0</v>
      </c>
      <c r="BM927" s="10"/>
      <c r="BN927" s="10" t="s">
        <v>223</v>
      </c>
      <c r="BO927" s="11">
        <v>45866.101898148147</v>
      </c>
      <c r="BP927" s="11">
        <v>45866.101898148147</v>
      </c>
      <c r="BQ927" s="15"/>
      <c r="BR927" s="15"/>
      <c r="BS927" s="10"/>
      <c r="BT927" s="10"/>
      <c r="BU927" s="10"/>
      <c r="BV927" s="10"/>
      <c r="BW927" s="10"/>
      <c r="BX927" s="10"/>
      <c r="BY927" s="23"/>
      <c r="BZ927" s="23"/>
      <c r="CA927" s="10"/>
      <c r="CB927" s="23"/>
      <c r="CC927" s="23"/>
      <c r="CD927" s="23"/>
      <c r="CE927" s="23"/>
      <c r="CF927" s="23"/>
      <c r="CG927" s="23"/>
      <c r="CH927" s="23"/>
      <c r="CI927" s="23"/>
    </row>
    <row r="928" spans="1:87" x14ac:dyDescent="0.3">
      <c r="A928" s="9" t="s">
        <v>7499</v>
      </c>
      <c r="B928" s="10" t="s">
        <v>7500</v>
      </c>
      <c r="C928" s="11">
        <v>46155</v>
      </c>
      <c r="D928" s="12">
        <v>8.3333333333333329E-2</v>
      </c>
      <c r="E928" s="11">
        <v>46155.083333333336</v>
      </c>
      <c r="F928" s="10" t="s">
        <v>5001</v>
      </c>
      <c r="G928" s="13" t="b">
        <v>0</v>
      </c>
      <c r="H928" s="10"/>
      <c r="I928" s="10" t="s">
        <v>89</v>
      </c>
      <c r="J928" s="13" t="b">
        <v>0</v>
      </c>
      <c r="K928" s="13" t="b">
        <v>1</v>
      </c>
      <c r="L928" s="10" t="s">
        <v>124</v>
      </c>
      <c r="M928" s="10" t="s">
        <v>91</v>
      </c>
      <c r="N928" s="10" t="s">
        <v>92</v>
      </c>
      <c r="O928" s="10"/>
      <c r="P928" s="10"/>
      <c r="Q928" s="10"/>
      <c r="R928" s="10"/>
      <c r="S928" s="10"/>
      <c r="T928" s="10"/>
      <c r="U928" s="10" t="s">
        <v>5114</v>
      </c>
      <c r="V928" s="10" t="s">
        <v>5090</v>
      </c>
      <c r="W928" s="10" t="s">
        <v>5007</v>
      </c>
      <c r="X928" s="10" t="s">
        <v>130</v>
      </c>
      <c r="Y928" s="10" t="s">
        <v>130</v>
      </c>
      <c r="Z928" s="10" t="s">
        <v>99</v>
      </c>
      <c r="AA928" s="10" t="s">
        <v>131</v>
      </c>
      <c r="AB928" s="10" t="s">
        <v>5008</v>
      </c>
      <c r="AC928" s="10" t="s">
        <v>5009</v>
      </c>
      <c r="AD928" s="10" t="s">
        <v>7501</v>
      </c>
      <c r="AE928" s="10" t="s">
        <v>7502</v>
      </c>
      <c r="AF928" s="15"/>
      <c r="AG928" s="10"/>
      <c r="AH928" s="10"/>
      <c r="AI928" s="10"/>
      <c r="AJ928" s="10"/>
      <c r="AK928" s="10"/>
      <c r="AL928" s="10" t="s">
        <v>3090</v>
      </c>
      <c r="AM928" s="10"/>
      <c r="AN928" s="10"/>
      <c r="AO928" s="13" t="b">
        <v>0</v>
      </c>
      <c r="AP928" s="10" t="s">
        <v>104</v>
      </c>
      <c r="AQ928" s="10"/>
      <c r="AR928" s="17"/>
      <c r="AS928" s="17"/>
      <c r="AT928" s="17"/>
      <c r="AU928" s="17"/>
      <c r="AV928" s="17"/>
      <c r="AW928" s="10"/>
      <c r="AX928" s="17"/>
      <c r="AY928" s="18" t="s">
        <v>257</v>
      </c>
      <c r="AZ928" s="10"/>
      <c r="BA928" s="20" t="b">
        <v>0</v>
      </c>
      <c r="BB928" s="10"/>
      <c r="BC928" s="17" t="s">
        <v>257</v>
      </c>
      <c r="BD928" s="17" t="s">
        <v>257</v>
      </c>
      <c r="BE928" s="17" t="s">
        <v>257</v>
      </c>
      <c r="BF928" s="17" t="s">
        <v>257</v>
      </c>
      <c r="BG928" s="11">
        <f ca="1">IFERROR(__xludf.DUMMYFUNCTION("""COMPUTED_VALUE"""),46155)</f>
        <v>46155</v>
      </c>
      <c r="BH928" s="17"/>
      <c r="BI928" s="17"/>
      <c r="BJ928" s="15"/>
      <c r="BK928" s="15"/>
      <c r="BL928" s="13" t="b">
        <v>0</v>
      </c>
      <c r="BM928" s="10"/>
      <c r="BN928" s="10" t="s">
        <v>223</v>
      </c>
      <c r="BO928" s="11">
        <v>45866.101898148147</v>
      </c>
      <c r="BP928" s="11">
        <v>45866.101898148147</v>
      </c>
      <c r="BQ928" s="15"/>
      <c r="BR928" s="15"/>
      <c r="BS928" s="10"/>
      <c r="BT928" s="10"/>
      <c r="BU928" s="10"/>
      <c r="BV928" s="10"/>
      <c r="BW928" s="10"/>
      <c r="BX928" s="10"/>
      <c r="BY928" s="23"/>
      <c r="BZ928" s="23"/>
      <c r="CA928" s="23"/>
      <c r="CB928" s="23"/>
      <c r="CC928" s="23"/>
      <c r="CD928" s="23"/>
      <c r="CE928" s="23"/>
      <c r="CF928" s="23"/>
      <c r="CG928" s="23"/>
      <c r="CH928" s="23"/>
      <c r="CI928" s="23"/>
    </row>
    <row r="929" spans="1:87" x14ac:dyDescent="0.3">
      <c r="A929" s="25" t="s">
        <v>7503</v>
      </c>
      <c r="B929" s="10" t="s">
        <v>7504</v>
      </c>
      <c r="C929" s="11">
        <v>46155</v>
      </c>
      <c r="D929" s="12">
        <v>8.3333333333333329E-2</v>
      </c>
      <c r="E929" s="11">
        <v>46155.083333333336</v>
      </c>
      <c r="F929" s="10" t="s">
        <v>5001</v>
      </c>
      <c r="G929" s="13" t="b">
        <v>0</v>
      </c>
      <c r="H929" s="10"/>
      <c r="I929" s="10" t="s">
        <v>89</v>
      </c>
      <c r="J929" s="13" t="b">
        <v>0</v>
      </c>
      <c r="K929" s="13" t="b">
        <v>1</v>
      </c>
      <c r="L929" s="10" t="s">
        <v>124</v>
      </c>
      <c r="M929" s="10" t="s">
        <v>91</v>
      </c>
      <c r="N929" s="10" t="s">
        <v>92</v>
      </c>
      <c r="O929" s="10"/>
      <c r="P929" s="10"/>
      <c r="Q929" s="10"/>
      <c r="R929" s="10"/>
      <c r="S929" s="10"/>
      <c r="T929" s="10"/>
      <c r="U929" s="10" t="s">
        <v>5054</v>
      </c>
      <c r="V929" s="10" t="s">
        <v>5006</v>
      </c>
      <c r="W929" s="10" t="s">
        <v>5007</v>
      </c>
      <c r="X929" s="10" t="s">
        <v>130</v>
      </c>
      <c r="Y929" s="10" t="s">
        <v>130</v>
      </c>
      <c r="Z929" s="10" t="s">
        <v>99</v>
      </c>
      <c r="AA929" s="10" t="s">
        <v>131</v>
      </c>
      <c r="AB929" s="10" t="s">
        <v>5008</v>
      </c>
      <c r="AC929" s="10" t="s">
        <v>5009</v>
      </c>
      <c r="AD929" s="10" t="s">
        <v>7505</v>
      </c>
      <c r="AE929" s="10" t="s">
        <v>7506</v>
      </c>
      <c r="AF929" s="15"/>
      <c r="AG929" s="10"/>
      <c r="AH929" s="10"/>
      <c r="AI929" s="10"/>
      <c r="AJ929" s="10"/>
      <c r="AK929" s="10"/>
      <c r="AL929" s="10" t="s">
        <v>3090</v>
      </c>
      <c r="AM929" s="10"/>
      <c r="AN929" s="10"/>
      <c r="AO929" s="13" t="b">
        <v>0</v>
      </c>
      <c r="AP929" s="10" t="s">
        <v>104</v>
      </c>
      <c r="AQ929" s="10"/>
      <c r="AR929" s="17"/>
      <c r="AS929" s="17"/>
      <c r="AT929" s="17"/>
      <c r="AU929" s="17"/>
      <c r="AV929" s="17"/>
      <c r="AW929" s="10"/>
      <c r="AX929" s="17"/>
      <c r="AY929" s="18" t="s">
        <v>257</v>
      </c>
      <c r="AZ929" s="10"/>
      <c r="BA929" s="20" t="b">
        <v>0</v>
      </c>
      <c r="BB929" s="10"/>
      <c r="BC929" s="17" t="s">
        <v>257</v>
      </c>
      <c r="BD929" s="17" t="s">
        <v>257</v>
      </c>
      <c r="BE929" s="17" t="s">
        <v>257</v>
      </c>
      <c r="BF929" s="17" t="s">
        <v>257</v>
      </c>
      <c r="BG929" s="11">
        <f ca="1">IFERROR(__xludf.DUMMYFUNCTION("""COMPUTED_VALUE"""),46155)</f>
        <v>46155</v>
      </c>
      <c r="BH929" s="17"/>
      <c r="BI929" s="17"/>
      <c r="BJ929" s="15"/>
      <c r="BK929" s="15"/>
      <c r="BL929" s="13" t="b">
        <v>0</v>
      </c>
      <c r="BM929" s="10"/>
      <c r="BN929" s="10" t="s">
        <v>223</v>
      </c>
      <c r="BO929" s="11">
        <v>45866.101898148147</v>
      </c>
      <c r="BP929" s="11">
        <v>45866.101898148147</v>
      </c>
      <c r="BQ929" s="15"/>
      <c r="BR929" s="15"/>
      <c r="BS929" s="10"/>
      <c r="BT929" s="10"/>
      <c r="BU929" s="10"/>
      <c r="BV929" s="10"/>
      <c r="BW929" s="10"/>
      <c r="BX929" s="10"/>
      <c r="BY929" s="23"/>
      <c r="BZ929" s="23"/>
      <c r="CA929" s="23"/>
      <c r="CB929" s="23"/>
      <c r="CC929" s="23"/>
      <c r="CD929" s="23"/>
      <c r="CE929" s="23"/>
      <c r="CF929" s="23"/>
      <c r="CG929" s="23"/>
      <c r="CH929" s="23"/>
      <c r="CI929" s="23"/>
    </row>
    <row r="930" spans="1:87" x14ac:dyDescent="0.3">
      <c r="A930" s="9" t="s">
        <v>7507</v>
      </c>
      <c r="B930" s="10" t="s">
        <v>7508</v>
      </c>
      <c r="C930" s="11">
        <v>46155</v>
      </c>
      <c r="D930" s="12">
        <v>8.3333333333333329E-2</v>
      </c>
      <c r="E930" s="11">
        <v>46155.083333333336</v>
      </c>
      <c r="F930" s="10" t="s">
        <v>5001</v>
      </c>
      <c r="G930" s="13" t="b">
        <v>0</v>
      </c>
      <c r="H930" s="10"/>
      <c r="I930" s="10" t="s">
        <v>89</v>
      </c>
      <c r="J930" s="13" t="b">
        <v>0</v>
      </c>
      <c r="K930" s="13" t="b">
        <v>1</v>
      </c>
      <c r="L930" s="10" t="s">
        <v>124</v>
      </c>
      <c r="M930" s="10" t="s">
        <v>91</v>
      </c>
      <c r="N930" s="10" t="s">
        <v>92</v>
      </c>
      <c r="O930" s="10"/>
      <c r="P930" s="10"/>
      <c r="Q930" s="10"/>
      <c r="R930" s="10"/>
      <c r="S930" s="10"/>
      <c r="T930" s="10"/>
      <c r="U930" s="10" t="s">
        <v>5018</v>
      </c>
      <c r="V930" s="10" t="s">
        <v>5077</v>
      </c>
      <c r="W930" s="10" t="s">
        <v>5007</v>
      </c>
      <c r="X930" s="10" t="s">
        <v>130</v>
      </c>
      <c r="Y930" s="10" t="s">
        <v>130</v>
      </c>
      <c r="Z930" s="10" t="s">
        <v>99</v>
      </c>
      <c r="AA930" s="10" t="s">
        <v>131</v>
      </c>
      <c r="AB930" s="10" t="s">
        <v>5008</v>
      </c>
      <c r="AC930" s="10" t="s">
        <v>5009</v>
      </c>
      <c r="AD930" s="10" t="s">
        <v>7509</v>
      </c>
      <c r="AE930" s="10" t="s">
        <v>7510</v>
      </c>
      <c r="AF930" s="15"/>
      <c r="AG930" s="10"/>
      <c r="AH930" s="10"/>
      <c r="AI930" s="10"/>
      <c r="AJ930" s="10"/>
      <c r="AK930" s="10"/>
      <c r="AL930" s="10" t="s">
        <v>3090</v>
      </c>
      <c r="AM930" s="10"/>
      <c r="AN930" s="10"/>
      <c r="AO930" s="13" t="b">
        <v>0</v>
      </c>
      <c r="AP930" s="10" t="s">
        <v>104</v>
      </c>
      <c r="AQ930" s="10"/>
      <c r="AR930" s="17"/>
      <c r="AS930" s="17"/>
      <c r="AT930" s="17"/>
      <c r="AU930" s="17"/>
      <c r="AV930" s="17"/>
      <c r="AW930" s="10"/>
      <c r="AX930" s="17"/>
      <c r="AY930" s="18" t="s">
        <v>257</v>
      </c>
      <c r="AZ930" s="10"/>
      <c r="BA930" s="20" t="b">
        <v>0</v>
      </c>
      <c r="BB930" s="10"/>
      <c r="BC930" s="17" t="s">
        <v>257</v>
      </c>
      <c r="BD930" s="17" t="s">
        <v>257</v>
      </c>
      <c r="BE930" s="17" t="s">
        <v>257</v>
      </c>
      <c r="BF930" s="17" t="s">
        <v>257</v>
      </c>
      <c r="BG930" s="11">
        <f ca="1">IFERROR(__xludf.DUMMYFUNCTION("""COMPUTED_VALUE"""),46155)</f>
        <v>46155</v>
      </c>
      <c r="BH930" s="17"/>
      <c r="BI930" s="17"/>
      <c r="BJ930" s="15"/>
      <c r="BK930" s="15"/>
      <c r="BL930" s="13" t="b">
        <v>0</v>
      </c>
      <c r="BM930" s="10"/>
      <c r="BN930" s="10" t="s">
        <v>223</v>
      </c>
      <c r="BO930" s="11">
        <v>45866.101898148147</v>
      </c>
      <c r="BP930" s="11">
        <v>45866.101898148147</v>
      </c>
      <c r="BQ930" s="15"/>
      <c r="BR930" s="15"/>
      <c r="BS930" s="10"/>
      <c r="BT930" s="10"/>
      <c r="BU930" s="10"/>
      <c r="BV930" s="10"/>
      <c r="BW930" s="10"/>
      <c r="BX930" s="10"/>
      <c r="BY930" s="23"/>
      <c r="BZ930" s="23"/>
      <c r="CA930" s="23"/>
      <c r="CB930" s="23"/>
      <c r="CC930" s="23"/>
      <c r="CD930" s="23"/>
      <c r="CE930" s="23"/>
      <c r="CF930" s="23"/>
      <c r="CG930" s="23"/>
      <c r="CH930" s="23"/>
      <c r="CI930" s="23"/>
    </row>
    <row r="931" spans="1:87" x14ac:dyDescent="0.3">
      <c r="A931" s="9" t="s">
        <v>7511</v>
      </c>
      <c r="B931" s="10" t="s">
        <v>7512</v>
      </c>
      <c r="C931" s="11">
        <v>46155</v>
      </c>
      <c r="D931" s="12">
        <v>8.3333333333333329E-2</v>
      </c>
      <c r="E931" s="11">
        <v>46155.083333333336</v>
      </c>
      <c r="F931" s="10" t="s">
        <v>5001</v>
      </c>
      <c r="G931" s="13" t="b">
        <v>0</v>
      </c>
      <c r="H931" s="10"/>
      <c r="I931" s="10" t="s">
        <v>89</v>
      </c>
      <c r="J931" s="13" t="b">
        <v>0</v>
      </c>
      <c r="K931" s="13" t="b">
        <v>1</v>
      </c>
      <c r="L931" s="10" t="s">
        <v>124</v>
      </c>
      <c r="M931" s="10" t="s">
        <v>91</v>
      </c>
      <c r="N931" s="10" t="s">
        <v>92</v>
      </c>
      <c r="O931" s="10"/>
      <c r="P931" s="10"/>
      <c r="Q931" s="10"/>
      <c r="R931" s="10"/>
      <c r="S931" s="10"/>
      <c r="T931" s="10"/>
      <c r="U931" s="10" t="s">
        <v>5113</v>
      </c>
      <c r="V931" s="10" t="s">
        <v>5019</v>
      </c>
      <c r="W931" s="10" t="s">
        <v>5007</v>
      </c>
      <c r="X931" s="10" t="s">
        <v>130</v>
      </c>
      <c r="Y931" s="10" t="s">
        <v>130</v>
      </c>
      <c r="Z931" s="10" t="s">
        <v>99</v>
      </c>
      <c r="AA931" s="10" t="s">
        <v>131</v>
      </c>
      <c r="AB931" s="10" t="s">
        <v>5008</v>
      </c>
      <c r="AC931" s="10" t="s">
        <v>5009</v>
      </c>
      <c r="AD931" s="10" t="s">
        <v>7513</v>
      </c>
      <c r="AE931" s="10" t="s">
        <v>7514</v>
      </c>
      <c r="AF931" s="15"/>
      <c r="AG931" s="10"/>
      <c r="AH931" s="10"/>
      <c r="AI931" s="10"/>
      <c r="AJ931" s="10"/>
      <c r="AK931" s="10"/>
      <c r="AL931" s="10" t="s">
        <v>3090</v>
      </c>
      <c r="AM931" s="10"/>
      <c r="AN931" s="10"/>
      <c r="AO931" s="13" t="b">
        <v>1</v>
      </c>
      <c r="AP931" s="10" t="s">
        <v>104</v>
      </c>
      <c r="AQ931" s="10"/>
      <c r="AR931" s="17"/>
      <c r="AS931" s="17"/>
      <c r="AT931" s="17"/>
      <c r="AU931" s="17"/>
      <c r="AV931" s="17"/>
      <c r="AW931" s="10"/>
      <c r="AX931" s="17"/>
      <c r="AY931" s="18" t="s">
        <v>257</v>
      </c>
      <c r="AZ931" s="10"/>
      <c r="BA931" s="20" t="b">
        <v>0</v>
      </c>
      <c r="BB931" s="10"/>
      <c r="BC931" s="17" t="s">
        <v>257</v>
      </c>
      <c r="BD931" s="17" t="s">
        <v>257</v>
      </c>
      <c r="BE931" s="17" t="s">
        <v>257</v>
      </c>
      <c r="BF931" s="17" t="s">
        <v>257</v>
      </c>
      <c r="BG931" s="11">
        <f ca="1">IFERROR(__xludf.DUMMYFUNCTION("""COMPUTED_VALUE"""),46155)</f>
        <v>46155</v>
      </c>
      <c r="BH931" s="17"/>
      <c r="BI931" s="17"/>
      <c r="BJ931" s="15"/>
      <c r="BK931" s="15"/>
      <c r="BL931" s="13" t="b">
        <v>0</v>
      </c>
      <c r="BM931" s="10"/>
      <c r="BN931" s="10" t="s">
        <v>223</v>
      </c>
      <c r="BO931" s="11">
        <v>45866.101898148147</v>
      </c>
      <c r="BP931" s="11">
        <v>45866.101898148147</v>
      </c>
      <c r="BQ931" s="15"/>
      <c r="BR931" s="15"/>
      <c r="BS931" s="10"/>
      <c r="BT931" s="10"/>
      <c r="BU931" s="10"/>
      <c r="BV931" s="10"/>
      <c r="BW931" s="10"/>
      <c r="BX931" s="10"/>
      <c r="BY931" s="23"/>
      <c r="BZ931" s="23"/>
      <c r="CA931" s="23"/>
      <c r="CB931" s="23"/>
      <c r="CC931" s="23"/>
      <c r="CD931" s="23"/>
      <c r="CE931" s="23"/>
      <c r="CF931" s="23"/>
      <c r="CG931" s="23"/>
      <c r="CH931" s="23"/>
      <c r="CI931" s="23"/>
    </row>
    <row r="932" spans="1:87" x14ac:dyDescent="0.3">
      <c r="A932" s="9" t="s">
        <v>7515</v>
      </c>
      <c r="B932" s="10" t="s">
        <v>7516</v>
      </c>
      <c r="C932" s="11">
        <v>46155</v>
      </c>
      <c r="D932" s="12">
        <v>8.3333333333333329E-2</v>
      </c>
      <c r="E932" s="11">
        <v>46155.083333333336</v>
      </c>
      <c r="F932" s="10" t="s">
        <v>5001</v>
      </c>
      <c r="G932" s="13" t="b">
        <v>0</v>
      </c>
      <c r="H932" s="10"/>
      <c r="I932" s="10" t="s">
        <v>89</v>
      </c>
      <c r="J932" s="13" t="b">
        <v>0</v>
      </c>
      <c r="K932" s="13" t="b">
        <v>1</v>
      </c>
      <c r="L932" s="10" t="s">
        <v>124</v>
      </c>
      <c r="M932" s="10" t="s">
        <v>91</v>
      </c>
      <c r="N932" s="10" t="s">
        <v>92</v>
      </c>
      <c r="O932" s="10"/>
      <c r="P932" s="10"/>
      <c r="Q932" s="10"/>
      <c r="R932" s="10"/>
      <c r="S932" s="10"/>
      <c r="T932" s="10"/>
      <c r="U932" s="10" t="s">
        <v>5031</v>
      </c>
      <c r="V932" s="10" t="s">
        <v>5042</v>
      </c>
      <c r="W932" s="10" t="s">
        <v>5007</v>
      </c>
      <c r="X932" s="10" t="s">
        <v>130</v>
      </c>
      <c r="Y932" s="10" t="s">
        <v>130</v>
      </c>
      <c r="Z932" s="10" t="s">
        <v>99</v>
      </c>
      <c r="AA932" s="10" t="s">
        <v>131</v>
      </c>
      <c r="AB932" s="10" t="s">
        <v>5008</v>
      </c>
      <c r="AC932" s="10" t="s">
        <v>5009</v>
      </c>
      <c r="AD932" s="10" t="s">
        <v>7517</v>
      </c>
      <c r="AE932" s="10" t="s">
        <v>7518</v>
      </c>
      <c r="AF932" s="15"/>
      <c r="AG932" s="10"/>
      <c r="AH932" s="10"/>
      <c r="AI932" s="10"/>
      <c r="AJ932" s="10"/>
      <c r="AK932" s="10"/>
      <c r="AL932" s="10" t="s">
        <v>3090</v>
      </c>
      <c r="AM932" s="10"/>
      <c r="AN932" s="10"/>
      <c r="AO932" s="13" t="b">
        <v>1</v>
      </c>
      <c r="AP932" s="10" t="s">
        <v>104</v>
      </c>
      <c r="AQ932" s="10"/>
      <c r="AR932" s="17"/>
      <c r="AS932" s="17"/>
      <c r="AT932" s="17"/>
      <c r="AU932" s="17"/>
      <c r="AV932" s="17"/>
      <c r="AW932" s="10"/>
      <c r="AX932" s="17"/>
      <c r="AY932" s="18" t="s">
        <v>257</v>
      </c>
      <c r="AZ932" s="10"/>
      <c r="BA932" s="20" t="b">
        <v>0</v>
      </c>
      <c r="BB932" s="10"/>
      <c r="BC932" s="17" t="s">
        <v>257</v>
      </c>
      <c r="BD932" s="17" t="s">
        <v>257</v>
      </c>
      <c r="BE932" s="17" t="s">
        <v>257</v>
      </c>
      <c r="BF932" s="17" t="s">
        <v>257</v>
      </c>
      <c r="BG932" s="11">
        <f ca="1">IFERROR(__xludf.DUMMYFUNCTION("""COMPUTED_VALUE"""),46155)</f>
        <v>46155</v>
      </c>
      <c r="BH932" s="17"/>
      <c r="BI932" s="17"/>
      <c r="BJ932" s="15"/>
      <c r="BK932" s="15"/>
      <c r="BL932" s="13" t="b">
        <v>0</v>
      </c>
      <c r="BM932" s="10"/>
      <c r="BN932" s="10" t="s">
        <v>223</v>
      </c>
      <c r="BO932" s="11">
        <v>45866.101898148147</v>
      </c>
      <c r="BP932" s="11">
        <v>45866.101898148147</v>
      </c>
      <c r="BQ932" s="15"/>
      <c r="BR932" s="15"/>
      <c r="BS932" s="10"/>
      <c r="BT932" s="10"/>
      <c r="BU932" s="10"/>
      <c r="BV932" s="10"/>
      <c r="BW932" s="10"/>
      <c r="BX932" s="10"/>
      <c r="BY932" s="23"/>
      <c r="BZ932" s="23"/>
      <c r="CA932" s="23"/>
      <c r="CB932" s="23"/>
      <c r="CC932" s="23"/>
      <c r="CD932" s="23"/>
      <c r="CE932" s="23"/>
      <c r="CF932" s="23"/>
      <c r="CG932" s="23"/>
      <c r="CH932" s="23"/>
      <c r="CI932" s="23"/>
    </row>
    <row r="933" spans="1:87" x14ac:dyDescent="0.3">
      <c r="A933" s="9" t="s">
        <v>7519</v>
      </c>
      <c r="B933" s="10" t="s">
        <v>7520</v>
      </c>
      <c r="C933" s="11">
        <v>46155</v>
      </c>
      <c r="D933" s="12">
        <v>8.3333333333333329E-2</v>
      </c>
      <c r="E933" s="11">
        <v>46155.083333333336</v>
      </c>
      <c r="F933" s="10" t="s">
        <v>5001</v>
      </c>
      <c r="G933" s="13" t="b">
        <v>0</v>
      </c>
      <c r="H933" s="10"/>
      <c r="I933" s="10" t="s">
        <v>89</v>
      </c>
      <c r="J933" s="13" t="b">
        <v>0</v>
      </c>
      <c r="K933" s="13" t="b">
        <v>1</v>
      </c>
      <c r="L933" s="10" t="s">
        <v>124</v>
      </c>
      <c r="M933" s="10" t="s">
        <v>91</v>
      </c>
      <c r="N933" s="10" t="s">
        <v>92</v>
      </c>
      <c r="O933" s="10"/>
      <c r="P933" s="10"/>
      <c r="Q933" s="10"/>
      <c r="R933" s="10"/>
      <c r="S933" s="10"/>
      <c r="T933" s="10"/>
      <c r="U933" s="10" t="s">
        <v>5067</v>
      </c>
      <c r="V933" s="10" t="s">
        <v>5041</v>
      </c>
      <c r="W933" s="10" t="s">
        <v>5007</v>
      </c>
      <c r="X933" s="10" t="s">
        <v>130</v>
      </c>
      <c r="Y933" s="10" t="s">
        <v>130</v>
      </c>
      <c r="Z933" s="10" t="s">
        <v>99</v>
      </c>
      <c r="AA933" s="10" t="s">
        <v>131</v>
      </c>
      <c r="AB933" s="10" t="s">
        <v>5008</v>
      </c>
      <c r="AC933" s="10" t="s">
        <v>5009</v>
      </c>
      <c r="AD933" s="10" t="s">
        <v>7521</v>
      </c>
      <c r="AE933" s="10" t="s">
        <v>7522</v>
      </c>
      <c r="AF933" s="15"/>
      <c r="AG933" s="10"/>
      <c r="AH933" s="10"/>
      <c r="AI933" s="10"/>
      <c r="AJ933" s="10"/>
      <c r="AK933" s="10"/>
      <c r="AL933" s="10" t="s">
        <v>3090</v>
      </c>
      <c r="AM933" s="10"/>
      <c r="AN933" s="10"/>
      <c r="AO933" s="13" t="b">
        <v>0</v>
      </c>
      <c r="AP933" s="10" t="s">
        <v>104</v>
      </c>
      <c r="AQ933" s="10"/>
      <c r="AR933" s="17"/>
      <c r="AS933" s="17"/>
      <c r="AT933" s="17"/>
      <c r="AU933" s="17"/>
      <c r="AV933" s="17"/>
      <c r="AW933" s="10"/>
      <c r="AX933" s="17"/>
      <c r="AY933" s="18" t="s">
        <v>257</v>
      </c>
      <c r="AZ933" s="10"/>
      <c r="BA933" s="20" t="b">
        <v>0</v>
      </c>
      <c r="BB933" s="10"/>
      <c r="BC933" s="17" t="s">
        <v>257</v>
      </c>
      <c r="BD933" s="17" t="s">
        <v>257</v>
      </c>
      <c r="BE933" s="17" t="s">
        <v>257</v>
      </c>
      <c r="BF933" s="17" t="s">
        <v>257</v>
      </c>
      <c r="BG933" s="11">
        <f ca="1">IFERROR(__xludf.DUMMYFUNCTION("""COMPUTED_VALUE"""),46155)</f>
        <v>46155</v>
      </c>
      <c r="BH933" s="17"/>
      <c r="BI933" s="17"/>
      <c r="BJ933" s="15"/>
      <c r="BK933" s="15"/>
      <c r="BL933" s="13" t="b">
        <v>0</v>
      </c>
      <c r="BM933" s="10"/>
      <c r="BN933" s="10" t="s">
        <v>223</v>
      </c>
      <c r="BO933" s="11">
        <v>45866.101898148147</v>
      </c>
      <c r="BP933" s="11">
        <v>45866.101898148147</v>
      </c>
      <c r="BQ933" s="15"/>
      <c r="BR933" s="15"/>
      <c r="BS933" s="10"/>
      <c r="BT933" s="10"/>
      <c r="BU933" s="10"/>
      <c r="BV933" s="10"/>
      <c r="BW933" s="10"/>
      <c r="BX933" s="10"/>
      <c r="BY933" s="23"/>
      <c r="BZ933" s="23"/>
      <c r="CA933" s="23"/>
      <c r="CB933" s="23"/>
      <c r="CC933" s="23"/>
      <c r="CD933" s="23"/>
      <c r="CE933" s="23"/>
      <c r="CF933" s="23"/>
      <c r="CG933" s="23"/>
      <c r="CH933" s="23"/>
      <c r="CI933" s="23"/>
    </row>
    <row r="934" spans="1:87" x14ac:dyDescent="0.3">
      <c r="A934" s="9" t="s">
        <v>7523</v>
      </c>
      <c r="B934" s="10" t="s">
        <v>7524</v>
      </c>
      <c r="C934" s="11">
        <v>46155</v>
      </c>
      <c r="D934" s="12">
        <v>8.3333333333333329E-2</v>
      </c>
      <c r="E934" s="11">
        <v>46155.083333333336</v>
      </c>
      <c r="F934" s="10" t="s">
        <v>5001</v>
      </c>
      <c r="G934" s="13" t="b">
        <v>0</v>
      </c>
      <c r="H934" s="10"/>
      <c r="I934" s="10" t="s">
        <v>89</v>
      </c>
      <c r="J934" s="13" t="b">
        <v>0</v>
      </c>
      <c r="K934" s="13" t="b">
        <v>1</v>
      </c>
      <c r="L934" s="10" t="s">
        <v>124</v>
      </c>
      <c r="M934" s="10" t="s">
        <v>91</v>
      </c>
      <c r="N934" s="10" t="s">
        <v>92</v>
      </c>
      <c r="O934" s="10"/>
      <c r="P934" s="10"/>
      <c r="Q934" s="10"/>
      <c r="R934" s="10"/>
      <c r="S934" s="10"/>
      <c r="T934" s="10"/>
      <c r="U934" s="10" t="s">
        <v>5005</v>
      </c>
      <c r="V934" s="10" t="s">
        <v>5055</v>
      </c>
      <c r="W934" s="10" t="s">
        <v>5007</v>
      </c>
      <c r="X934" s="10" t="s">
        <v>130</v>
      </c>
      <c r="Y934" s="10" t="s">
        <v>130</v>
      </c>
      <c r="Z934" s="10" t="s">
        <v>99</v>
      </c>
      <c r="AA934" s="10" t="s">
        <v>131</v>
      </c>
      <c r="AB934" s="10" t="s">
        <v>5008</v>
      </c>
      <c r="AC934" s="10" t="s">
        <v>5009</v>
      </c>
      <c r="AD934" s="10" t="s">
        <v>7525</v>
      </c>
      <c r="AE934" s="10" t="s">
        <v>7526</v>
      </c>
      <c r="AF934" s="15"/>
      <c r="AG934" s="10"/>
      <c r="AH934" s="10"/>
      <c r="AI934" s="10"/>
      <c r="AJ934" s="10"/>
      <c r="AK934" s="10"/>
      <c r="AL934" s="10" t="s">
        <v>3090</v>
      </c>
      <c r="AM934" s="10"/>
      <c r="AN934" s="10"/>
      <c r="AO934" s="13" t="b">
        <v>0</v>
      </c>
      <c r="AP934" s="10" t="s">
        <v>104</v>
      </c>
      <c r="AQ934" s="10"/>
      <c r="AR934" s="17"/>
      <c r="AS934" s="17"/>
      <c r="AT934" s="17"/>
      <c r="AU934" s="17"/>
      <c r="AV934" s="17"/>
      <c r="AW934" s="10"/>
      <c r="AX934" s="17"/>
      <c r="AY934" s="18" t="s">
        <v>257</v>
      </c>
      <c r="AZ934" s="10"/>
      <c r="BA934" s="20" t="b">
        <v>0</v>
      </c>
      <c r="BB934" s="10"/>
      <c r="BC934" s="17" t="s">
        <v>257</v>
      </c>
      <c r="BD934" s="17" t="s">
        <v>257</v>
      </c>
      <c r="BE934" s="17" t="s">
        <v>257</v>
      </c>
      <c r="BF934" s="17" t="s">
        <v>257</v>
      </c>
      <c r="BG934" s="11">
        <f ca="1">IFERROR(__xludf.DUMMYFUNCTION("""COMPUTED_VALUE"""),46155)</f>
        <v>46155</v>
      </c>
      <c r="BH934" s="17"/>
      <c r="BI934" s="17"/>
      <c r="BJ934" s="15"/>
      <c r="BK934" s="15"/>
      <c r="BL934" s="13" t="b">
        <v>0</v>
      </c>
      <c r="BM934" s="10"/>
      <c r="BN934" s="10" t="s">
        <v>223</v>
      </c>
      <c r="BO934" s="11">
        <v>45866.101898148147</v>
      </c>
      <c r="BP934" s="11">
        <v>45866.101898148147</v>
      </c>
      <c r="BQ934" s="15"/>
      <c r="BR934" s="15"/>
      <c r="BS934" s="10"/>
      <c r="BT934" s="10"/>
      <c r="BU934" s="10"/>
      <c r="BV934" s="10"/>
      <c r="BW934" s="10"/>
      <c r="BX934" s="10"/>
      <c r="BY934" s="23"/>
      <c r="BZ934" s="23"/>
      <c r="CA934" s="23"/>
      <c r="CB934" s="23"/>
      <c r="CC934" s="23"/>
      <c r="CD934" s="23"/>
      <c r="CE934" s="23"/>
      <c r="CF934" s="23"/>
      <c r="CG934" s="23"/>
      <c r="CH934" s="23"/>
      <c r="CI934" s="23"/>
    </row>
    <row r="935" spans="1:87" x14ac:dyDescent="0.3">
      <c r="A935" s="9" t="s">
        <v>7527</v>
      </c>
      <c r="B935" s="10" t="s">
        <v>7528</v>
      </c>
      <c r="C935" s="11">
        <v>46155</v>
      </c>
      <c r="D935" s="12">
        <v>8.3333333333333329E-2</v>
      </c>
      <c r="E935" s="11">
        <v>46155.083333333336</v>
      </c>
      <c r="F935" s="10" t="s">
        <v>5001</v>
      </c>
      <c r="G935" s="13" t="b">
        <v>0</v>
      </c>
      <c r="H935" s="10"/>
      <c r="I935" s="10" t="s">
        <v>89</v>
      </c>
      <c r="J935" s="13" t="b">
        <v>0</v>
      </c>
      <c r="K935" s="13" t="b">
        <v>1</v>
      </c>
      <c r="L935" s="10" t="s">
        <v>124</v>
      </c>
      <c r="M935" s="10" t="s">
        <v>91</v>
      </c>
      <c r="N935" s="10" t="s">
        <v>92</v>
      </c>
      <c r="O935" s="10"/>
      <c r="P935" s="10"/>
      <c r="Q935" s="10"/>
      <c r="R935" s="10"/>
      <c r="S935" s="10"/>
      <c r="T935" s="10"/>
      <c r="U935" s="10" t="s">
        <v>5089</v>
      </c>
      <c r="V935" s="10" t="s">
        <v>5076</v>
      </c>
      <c r="W935" s="10" t="s">
        <v>5007</v>
      </c>
      <c r="X935" s="10" t="s">
        <v>130</v>
      </c>
      <c r="Y935" s="10" t="s">
        <v>130</v>
      </c>
      <c r="Z935" s="10" t="s">
        <v>99</v>
      </c>
      <c r="AA935" s="10" t="s">
        <v>131</v>
      </c>
      <c r="AB935" s="10" t="s">
        <v>5008</v>
      </c>
      <c r="AC935" s="10" t="s">
        <v>5009</v>
      </c>
      <c r="AD935" s="10" t="s">
        <v>7529</v>
      </c>
      <c r="AE935" s="10" t="s">
        <v>7530</v>
      </c>
      <c r="AF935" s="15"/>
      <c r="AG935" s="10"/>
      <c r="AH935" s="10"/>
      <c r="AI935" s="10"/>
      <c r="AJ935" s="10"/>
      <c r="AK935" s="10"/>
      <c r="AL935" s="10" t="s">
        <v>3090</v>
      </c>
      <c r="AM935" s="10"/>
      <c r="AN935" s="10"/>
      <c r="AO935" s="13" t="b">
        <v>0</v>
      </c>
      <c r="AP935" s="10" t="s">
        <v>104</v>
      </c>
      <c r="AQ935" s="10"/>
      <c r="AR935" s="17"/>
      <c r="AS935" s="17"/>
      <c r="AT935" s="17"/>
      <c r="AU935" s="17"/>
      <c r="AV935" s="17"/>
      <c r="AW935" s="10"/>
      <c r="AX935" s="17"/>
      <c r="AY935" s="18" t="s">
        <v>257</v>
      </c>
      <c r="AZ935" s="10"/>
      <c r="BA935" s="20" t="b">
        <v>0</v>
      </c>
      <c r="BB935" s="10"/>
      <c r="BC935" s="17" t="s">
        <v>257</v>
      </c>
      <c r="BD935" s="17" t="s">
        <v>257</v>
      </c>
      <c r="BE935" s="17" t="s">
        <v>257</v>
      </c>
      <c r="BF935" s="17" t="s">
        <v>257</v>
      </c>
      <c r="BG935" s="11">
        <f ca="1">IFERROR(__xludf.DUMMYFUNCTION("""COMPUTED_VALUE"""),46155)</f>
        <v>46155</v>
      </c>
      <c r="BH935" s="17"/>
      <c r="BI935" s="17"/>
      <c r="BJ935" s="15"/>
      <c r="BK935" s="15"/>
      <c r="BL935" s="13" t="b">
        <v>0</v>
      </c>
      <c r="BM935" s="10"/>
      <c r="BN935" s="10" t="s">
        <v>223</v>
      </c>
      <c r="BO935" s="11">
        <v>45866.101898148147</v>
      </c>
      <c r="BP935" s="11">
        <v>45866.101898148147</v>
      </c>
      <c r="BQ935" s="15"/>
      <c r="BR935" s="15"/>
      <c r="BS935" s="10"/>
      <c r="BT935" s="10"/>
      <c r="BU935" s="10"/>
      <c r="BV935" s="10"/>
      <c r="BW935" s="10"/>
      <c r="BX935" s="10"/>
      <c r="BY935" s="23"/>
      <c r="BZ935" s="23"/>
      <c r="CA935" s="23"/>
      <c r="CB935" s="23"/>
      <c r="CC935" s="23"/>
      <c r="CD935" s="23"/>
      <c r="CE935" s="23"/>
      <c r="CF935" s="23"/>
      <c r="CG935" s="23"/>
      <c r="CH935" s="23"/>
      <c r="CI935" s="23"/>
    </row>
    <row r="936" spans="1:87" x14ac:dyDescent="0.3">
      <c r="A936" s="9" t="s">
        <v>7531</v>
      </c>
      <c r="B936" s="10" t="s">
        <v>7532</v>
      </c>
      <c r="C936" s="11">
        <v>46159</v>
      </c>
      <c r="D936" s="12">
        <v>8.3333333333333329E-2</v>
      </c>
      <c r="E936" s="11">
        <v>46159.083333333336</v>
      </c>
      <c r="F936" s="10" t="s">
        <v>5001</v>
      </c>
      <c r="G936" s="13" t="b">
        <v>0</v>
      </c>
      <c r="H936" s="10"/>
      <c r="I936" s="10" t="s">
        <v>89</v>
      </c>
      <c r="J936" s="13" t="b">
        <v>0</v>
      </c>
      <c r="K936" s="13" t="b">
        <v>1</v>
      </c>
      <c r="L936" s="10" t="s">
        <v>124</v>
      </c>
      <c r="M936" s="10" t="s">
        <v>91</v>
      </c>
      <c r="N936" s="10" t="s">
        <v>92</v>
      </c>
      <c r="O936" s="10"/>
      <c r="P936" s="10"/>
      <c r="Q936" s="10"/>
      <c r="R936" s="10"/>
      <c r="S936" s="10"/>
      <c r="T936" s="10"/>
      <c r="U936" s="10" t="s">
        <v>5101</v>
      </c>
      <c r="V936" s="10" t="s">
        <v>5067</v>
      </c>
      <c r="W936" s="10" t="s">
        <v>5007</v>
      </c>
      <c r="X936" s="10" t="s">
        <v>130</v>
      </c>
      <c r="Y936" s="10" t="s">
        <v>130</v>
      </c>
      <c r="Z936" s="10" t="s">
        <v>99</v>
      </c>
      <c r="AA936" s="10" t="s">
        <v>131</v>
      </c>
      <c r="AB936" s="10" t="s">
        <v>5008</v>
      </c>
      <c r="AC936" s="10" t="s">
        <v>5009</v>
      </c>
      <c r="AD936" s="10" t="s">
        <v>7533</v>
      </c>
      <c r="AE936" s="10" t="s">
        <v>7534</v>
      </c>
      <c r="AF936" s="15"/>
      <c r="AG936" s="10"/>
      <c r="AH936" s="10"/>
      <c r="AI936" s="10"/>
      <c r="AJ936" s="10"/>
      <c r="AK936" s="10"/>
      <c r="AL936" s="10" t="s">
        <v>3131</v>
      </c>
      <c r="AM936" s="10"/>
      <c r="AN936" s="10"/>
      <c r="AO936" s="13" t="b">
        <v>0</v>
      </c>
      <c r="AP936" s="10" t="s">
        <v>104</v>
      </c>
      <c r="AQ936" s="10"/>
      <c r="AR936" s="17"/>
      <c r="AS936" s="17"/>
      <c r="AT936" s="17"/>
      <c r="AU936" s="17"/>
      <c r="AV936" s="17"/>
      <c r="AW936" s="10"/>
      <c r="AX936" s="17"/>
      <c r="AY936" s="18" t="s">
        <v>257</v>
      </c>
      <c r="AZ936" s="10"/>
      <c r="BA936" s="20" t="b">
        <v>0</v>
      </c>
      <c r="BB936" s="10"/>
      <c r="BC936" s="17" t="s">
        <v>257</v>
      </c>
      <c r="BD936" s="17" t="s">
        <v>257</v>
      </c>
      <c r="BE936" s="17" t="s">
        <v>257</v>
      </c>
      <c r="BF936" s="17" t="s">
        <v>257</v>
      </c>
      <c r="BG936" s="11">
        <f ca="1">IFERROR(__xludf.DUMMYFUNCTION("""COMPUTED_VALUE"""),46159)</f>
        <v>46159</v>
      </c>
      <c r="BH936" s="17"/>
      <c r="BI936" s="17"/>
      <c r="BJ936" s="15"/>
      <c r="BK936" s="15"/>
      <c r="BL936" s="13" t="b">
        <v>0</v>
      </c>
      <c r="BM936" s="10"/>
      <c r="BN936" s="10" t="s">
        <v>223</v>
      </c>
      <c r="BO936" s="11">
        <v>45866.101898148147</v>
      </c>
      <c r="BP936" s="11">
        <v>45866.101898148147</v>
      </c>
      <c r="BQ936" s="15"/>
      <c r="BR936" s="15"/>
      <c r="BS936" s="10"/>
      <c r="BT936" s="10"/>
      <c r="BU936" s="10"/>
      <c r="BV936" s="10"/>
      <c r="BW936" s="10"/>
      <c r="BX936" s="10"/>
      <c r="BY936" s="23"/>
      <c r="BZ936" s="23"/>
      <c r="CA936" s="23"/>
      <c r="CB936" s="23"/>
      <c r="CC936" s="23"/>
      <c r="CD936" s="23"/>
      <c r="CE936" s="23"/>
      <c r="CF936" s="23"/>
      <c r="CG936" s="23"/>
      <c r="CH936" s="23"/>
      <c r="CI936" s="23"/>
    </row>
    <row r="937" spans="1:87" x14ac:dyDescent="0.3">
      <c r="A937" s="9" t="s">
        <v>7535</v>
      </c>
      <c r="B937" s="10" t="s">
        <v>7536</v>
      </c>
      <c r="C937" s="11">
        <v>46159</v>
      </c>
      <c r="D937" s="12">
        <v>8.3333333333333329E-2</v>
      </c>
      <c r="E937" s="11">
        <v>46159.083333333336</v>
      </c>
      <c r="F937" s="10" t="s">
        <v>5001</v>
      </c>
      <c r="G937" s="13" t="b">
        <v>0</v>
      </c>
      <c r="H937" s="10"/>
      <c r="I937" s="10" t="s">
        <v>89</v>
      </c>
      <c r="J937" s="13" t="b">
        <v>0</v>
      </c>
      <c r="K937" s="13" t="b">
        <v>1</v>
      </c>
      <c r="L937" s="10" t="s">
        <v>124</v>
      </c>
      <c r="M937" s="10" t="s">
        <v>91</v>
      </c>
      <c r="N937" s="10" t="s">
        <v>92</v>
      </c>
      <c r="O937" s="10"/>
      <c r="P937" s="10"/>
      <c r="Q937" s="10"/>
      <c r="R937" s="10"/>
      <c r="S937" s="10"/>
      <c r="T937" s="10"/>
      <c r="U937" s="10" t="s">
        <v>5114</v>
      </c>
      <c r="V937" s="10" t="s">
        <v>5089</v>
      </c>
      <c r="W937" s="10" t="s">
        <v>5007</v>
      </c>
      <c r="X937" s="10" t="s">
        <v>130</v>
      </c>
      <c r="Y937" s="10" t="s">
        <v>130</v>
      </c>
      <c r="Z937" s="10" t="s">
        <v>99</v>
      </c>
      <c r="AA937" s="10" t="s">
        <v>131</v>
      </c>
      <c r="AB937" s="10" t="s">
        <v>5008</v>
      </c>
      <c r="AC937" s="10" t="s">
        <v>5009</v>
      </c>
      <c r="AD937" s="10" t="s">
        <v>7537</v>
      </c>
      <c r="AE937" s="10" t="s">
        <v>7538</v>
      </c>
      <c r="AF937" s="15"/>
      <c r="AG937" s="10"/>
      <c r="AH937" s="10"/>
      <c r="AI937" s="10"/>
      <c r="AJ937" s="10"/>
      <c r="AK937" s="10"/>
      <c r="AL937" s="10" t="s">
        <v>3131</v>
      </c>
      <c r="AM937" s="10"/>
      <c r="AN937" s="10"/>
      <c r="AO937" s="13" t="b">
        <v>0</v>
      </c>
      <c r="AP937" s="10" t="s">
        <v>104</v>
      </c>
      <c r="AQ937" s="10"/>
      <c r="AR937" s="17"/>
      <c r="AS937" s="17"/>
      <c r="AT937" s="17"/>
      <c r="AU937" s="17"/>
      <c r="AV937" s="17"/>
      <c r="AW937" s="10"/>
      <c r="AX937" s="17"/>
      <c r="AY937" s="18" t="s">
        <v>257</v>
      </c>
      <c r="AZ937" s="10"/>
      <c r="BA937" s="20" t="b">
        <v>0</v>
      </c>
      <c r="BB937" s="10"/>
      <c r="BC937" s="17" t="s">
        <v>257</v>
      </c>
      <c r="BD937" s="17" t="s">
        <v>257</v>
      </c>
      <c r="BE937" s="17" t="s">
        <v>257</v>
      </c>
      <c r="BF937" s="17" t="s">
        <v>257</v>
      </c>
      <c r="BG937" s="11">
        <f ca="1">IFERROR(__xludf.DUMMYFUNCTION("""COMPUTED_VALUE"""),46159)</f>
        <v>46159</v>
      </c>
      <c r="BH937" s="17"/>
      <c r="BI937" s="17"/>
      <c r="BJ937" s="15"/>
      <c r="BK937" s="15"/>
      <c r="BL937" s="13" t="b">
        <v>0</v>
      </c>
      <c r="BM937" s="10"/>
      <c r="BN937" s="10" t="s">
        <v>223</v>
      </c>
      <c r="BO937" s="11">
        <v>45866.101898148147</v>
      </c>
      <c r="BP937" s="11">
        <v>45866.101898148147</v>
      </c>
      <c r="BQ937" s="15"/>
      <c r="BR937" s="15"/>
      <c r="BS937" s="10"/>
      <c r="BT937" s="10"/>
      <c r="BU937" s="10"/>
      <c r="BV937" s="10"/>
      <c r="BW937" s="10"/>
      <c r="BX937" s="10"/>
      <c r="BY937" s="23"/>
      <c r="BZ937" s="23"/>
      <c r="CA937" s="23"/>
      <c r="CB937" s="23"/>
      <c r="CC937" s="23"/>
      <c r="CD937" s="23"/>
      <c r="CE937" s="23"/>
      <c r="CF937" s="23"/>
      <c r="CG937" s="23"/>
      <c r="CH937" s="23"/>
      <c r="CI937" s="23"/>
    </row>
    <row r="938" spans="1:87" x14ac:dyDescent="0.3">
      <c r="A938" s="9" t="s">
        <v>7539</v>
      </c>
      <c r="B938" s="10" t="s">
        <v>7540</v>
      </c>
      <c r="C938" s="11">
        <v>46159</v>
      </c>
      <c r="D938" s="12">
        <v>8.3333333333333329E-2</v>
      </c>
      <c r="E938" s="11">
        <v>46159.083333333336</v>
      </c>
      <c r="F938" s="10" t="s">
        <v>5001</v>
      </c>
      <c r="G938" s="13" t="b">
        <v>0</v>
      </c>
      <c r="H938" s="10"/>
      <c r="I938" s="10" t="s">
        <v>89</v>
      </c>
      <c r="J938" s="13" t="b">
        <v>0</v>
      </c>
      <c r="K938" s="13" t="b">
        <v>1</v>
      </c>
      <c r="L938" s="10" t="s">
        <v>124</v>
      </c>
      <c r="M938" s="10" t="s">
        <v>91</v>
      </c>
      <c r="N938" s="10" t="s">
        <v>92</v>
      </c>
      <c r="O938" s="10"/>
      <c r="P938" s="10"/>
      <c r="Q938" s="10"/>
      <c r="R938" s="10"/>
      <c r="S938" s="10"/>
      <c r="T938" s="10"/>
      <c r="U938" s="10" t="s">
        <v>5076</v>
      </c>
      <c r="V938" s="10" t="s">
        <v>5066</v>
      </c>
      <c r="W938" s="10" t="s">
        <v>5007</v>
      </c>
      <c r="X938" s="10" t="s">
        <v>130</v>
      </c>
      <c r="Y938" s="10" t="s">
        <v>130</v>
      </c>
      <c r="Z938" s="10" t="s">
        <v>99</v>
      </c>
      <c r="AA938" s="10" t="s">
        <v>131</v>
      </c>
      <c r="AB938" s="10" t="s">
        <v>5008</v>
      </c>
      <c r="AC938" s="10" t="s">
        <v>5009</v>
      </c>
      <c r="AD938" s="10" t="s">
        <v>7541</v>
      </c>
      <c r="AE938" s="10" t="s">
        <v>7542</v>
      </c>
      <c r="AF938" s="15"/>
      <c r="AG938" s="10"/>
      <c r="AH938" s="10"/>
      <c r="AI938" s="10"/>
      <c r="AJ938" s="10"/>
      <c r="AK938" s="10"/>
      <c r="AL938" s="10" t="s">
        <v>3131</v>
      </c>
      <c r="AM938" s="10"/>
      <c r="AN938" s="10"/>
      <c r="AO938" s="13" t="b">
        <v>0</v>
      </c>
      <c r="AP938" s="10" t="s">
        <v>104</v>
      </c>
      <c r="AQ938" s="10"/>
      <c r="AR938" s="17"/>
      <c r="AS938" s="17"/>
      <c r="AT938" s="17"/>
      <c r="AU938" s="17"/>
      <c r="AV938" s="17"/>
      <c r="AW938" s="10"/>
      <c r="AX938" s="17"/>
      <c r="AY938" s="18" t="s">
        <v>257</v>
      </c>
      <c r="AZ938" s="10"/>
      <c r="BA938" s="20" t="b">
        <v>0</v>
      </c>
      <c r="BB938" s="10"/>
      <c r="BC938" s="17" t="s">
        <v>257</v>
      </c>
      <c r="BD938" s="17" t="s">
        <v>257</v>
      </c>
      <c r="BE938" s="17" t="s">
        <v>257</v>
      </c>
      <c r="BF938" s="17" t="s">
        <v>257</v>
      </c>
      <c r="BG938" s="11">
        <f ca="1">IFERROR(__xludf.DUMMYFUNCTION("""COMPUTED_VALUE"""),46159)</f>
        <v>46159</v>
      </c>
      <c r="BH938" s="17"/>
      <c r="BI938" s="17"/>
      <c r="BJ938" s="15"/>
      <c r="BK938" s="15"/>
      <c r="BL938" s="13" t="b">
        <v>0</v>
      </c>
      <c r="BM938" s="10"/>
      <c r="BN938" s="10" t="s">
        <v>223</v>
      </c>
      <c r="BO938" s="11">
        <v>45866.101898148147</v>
      </c>
      <c r="BP938" s="11">
        <v>45866.101898148147</v>
      </c>
      <c r="BQ938" s="15"/>
      <c r="BR938" s="15"/>
      <c r="BS938" s="10"/>
      <c r="BT938" s="10"/>
      <c r="BU938" s="10"/>
      <c r="BV938" s="10"/>
      <c r="BW938" s="10"/>
      <c r="BX938" s="10"/>
      <c r="BY938" s="23"/>
      <c r="BZ938" s="23"/>
      <c r="CA938" s="23"/>
      <c r="CB938" s="23"/>
      <c r="CC938" s="23"/>
      <c r="CD938" s="23"/>
      <c r="CE938" s="23"/>
      <c r="CF938" s="23"/>
      <c r="CG938" s="23"/>
      <c r="CH938" s="23"/>
      <c r="CI938" s="23"/>
    </row>
    <row r="939" spans="1:87" x14ac:dyDescent="0.3">
      <c r="A939" s="9" t="s">
        <v>7543</v>
      </c>
      <c r="B939" s="10" t="s">
        <v>7544</v>
      </c>
      <c r="C939" s="11">
        <v>46159</v>
      </c>
      <c r="D939" s="12">
        <v>8.3333333333333329E-2</v>
      </c>
      <c r="E939" s="11">
        <v>46159.083333333336</v>
      </c>
      <c r="F939" s="10" t="s">
        <v>5001</v>
      </c>
      <c r="G939" s="13" t="b">
        <v>0</v>
      </c>
      <c r="H939" s="10"/>
      <c r="I939" s="10" t="s">
        <v>89</v>
      </c>
      <c r="J939" s="13" t="b">
        <v>0</v>
      </c>
      <c r="K939" s="13" t="b">
        <v>1</v>
      </c>
      <c r="L939" s="10" t="s">
        <v>124</v>
      </c>
      <c r="M939" s="10" t="s">
        <v>91</v>
      </c>
      <c r="N939" s="10" t="s">
        <v>92</v>
      </c>
      <c r="O939" s="10"/>
      <c r="P939" s="10"/>
      <c r="Q939" s="10"/>
      <c r="R939" s="10"/>
      <c r="S939" s="10"/>
      <c r="T939" s="10"/>
      <c r="U939" s="10" t="s">
        <v>5042</v>
      </c>
      <c r="V939" s="10" t="s">
        <v>5102</v>
      </c>
      <c r="W939" s="10" t="s">
        <v>5007</v>
      </c>
      <c r="X939" s="10" t="s">
        <v>130</v>
      </c>
      <c r="Y939" s="10" t="s">
        <v>130</v>
      </c>
      <c r="Z939" s="10" t="s">
        <v>99</v>
      </c>
      <c r="AA939" s="10" t="s">
        <v>131</v>
      </c>
      <c r="AB939" s="10" t="s">
        <v>5008</v>
      </c>
      <c r="AC939" s="10" t="s">
        <v>5009</v>
      </c>
      <c r="AD939" s="10" t="s">
        <v>7545</v>
      </c>
      <c r="AE939" s="10" t="s">
        <v>7546</v>
      </c>
      <c r="AF939" s="15"/>
      <c r="AG939" s="10"/>
      <c r="AH939" s="10"/>
      <c r="AI939" s="10"/>
      <c r="AJ939" s="10"/>
      <c r="AK939" s="10"/>
      <c r="AL939" s="10" t="s">
        <v>3131</v>
      </c>
      <c r="AM939" s="10"/>
      <c r="AN939" s="10"/>
      <c r="AO939" s="13" t="b">
        <v>1</v>
      </c>
      <c r="AP939" s="10" t="s">
        <v>104</v>
      </c>
      <c r="AQ939" s="10"/>
      <c r="AR939" s="17"/>
      <c r="AS939" s="17"/>
      <c r="AT939" s="17"/>
      <c r="AU939" s="17"/>
      <c r="AV939" s="17"/>
      <c r="AW939" s="10"/>
      <c r="AX939" s="17"/>
      <c r="AY939" s="18" t="s">
        <v>257</v>
      </c>
      <c r="AZ939" s="10"/>
      <c r="BA939" s="20" t="b">
        <v>0</v>
      </c>
      <c r="BB939" s="10"/>
      <c r="BC939" s="17" t="s">
        <v>257</v>
      </c>
      <c r="BD939" s="17" t="s">
        <v>257</v>
      </c>
      <c r="BE939" s="17" t="s">
        <v>257</v>
      </c>
      <c r="BF939" s="17" t="s">
        <v>257</v>
      </c>
      <c r="BG939" s="11">
        <f ca="1">IFERROR(__xludf.DUMMYFUNCTION("""COMPUTED_VALUE"""),46159)</f>
        <v>46159</v>
      </c>
      <c r="BH939" s="17"/>
      <c r="BI939" s="17"/>
      <c r="BJ939" s="15"/>
      <c r="BK939" s="15"/>
      <c r="BL939" s="13" t="b">
        <v>0</v>
      </c>
      <c r="BM939" s="10"/>
      <c r="BN939" s="10" t="s">
        <v>223</v>
      </c>
      <c r="BO939" s="11">
        <v>45866.101898148147</v>
      </c>
      <c r="BP939" s="11">
        <v>45866.101898148147</v>
      </c>
      <c r="BQ939" s="15"/>
      <c r="BR939" s="15"/>
      <c r="BS939" s="10"/>
      <c r="BT939" s="10"/>
      <c r="BU939" s="10"/>
      <c r="BV939" s="10"/>
      <c r="BW939" s="10"/>
      <c r="BX939" s="10"/>
      <c r="BY939" s="23"/>
      <c r="BZ939" s="23"/>
      <c r="CA939" s="23"/>
      <c r="CB939" s="23"/>
      <c r="CC939" s="23"/>
      <c r="CD939" s="23"/>
      <c r="CE939" s="23"/>
      <c r="CF939" s="23"/>
      <c r="CG939" s="23"/>
      <c r="CH939" s="23"/>
      <c r="CI939" s="23"/>
    </row>
    <row r="940" spans="1:87" x14ac:dyDescent="0.3">
      <c r="A940" s="9" t="s">
        <v>7547</v>
      </c>
      <c r="B940" s="10" t="s">
        <v>7548</v>
      </c>
      <c r="C940" s="11">
        <v>46159</v>
      </c>
      <c r="D940" s="12">
        <v>8.3333333333333329E-2</v>
      </c>
      <c r="E940" s="11">
        <v>46159.083333333336</v>
      </c>
      <c r="F940" s="10" t="s">
        <v>5001</v>
      </c>
      <c r="G940" s="13" t="b">
        <v>0</v>
      </c>
      <c r="H940" s="10"/>
      <c r="I940" s="10" t="s">
        <v>89</v>
      </c>
      <c r="J940" s="13" t="b">
        <v>0</v>
      </c>
      <c r="K940" s="13" t="b">
        <v>1</v>
      </c>
      <c r="L940" s="10" t="s">
        <v>124</v>
      </c>
      <c r="M940" s="10" t="s">
        <v>91</v>
      </c>
      <c r="N940" s="10" t="s">
        <v>92</v>
      </c>
      <c r="O940" s="10"/>
      <c r="P940" s="10"/>
      <c r="Q940" s="10"/>
      <c r="R940" s="10"/>
      <c r="S940" s="10"/>
      <c r="T940" s="10"/>
      <c r="U940" s="10" t="s">
        <v>5006</v>
      </c>
      <c r="V940" s="10" t="s">
        <v>5018</v>
      </c>
      <c r="W940" s="10" t="s">
        <v>5007</v>
      </c>
      <c r="X940" s="10" t="s">
        <v>130</v>
      </c>
      <c r="Y940" s="10" t="s">
        <v>130</v>
      </c>
      <c r="Z940" s="10" t="s">
        <v>99</v>
      </c>
      <c r="AA940" s="10" t="s">
        <v>131</v>
      </c>
      <c r="AB940" s="10" t="s">
        <v>5008</v>
      </c>
      <c r="AC940" s="10" t="s">
        <v>5009</v>
      </c>
      <c r="AD940" s="10" t="s">
        <v>7549</v>
      </c>
      <c r="AE940" s="10" t="s">
        <v>7550</v>
      </c>
      <c r="AF940" s="15"/>
      <c r="AG940" s="10"/>
      <c r="AH940" s="10"/>
      <c r="AI940" s="10"/>
      <c r="AJ940" s="10"/>
      <c r="AK940" s="10"/>
      <c r="AL940" s="10" t="s">
        <v>3131</v>
      </c>
      <c r="AM940" s="10"/>
      <c r="AN940" s="10"/>
      <c r="AO940" s="13" t="b">
        <v>0</v>
      </c>
      <c r="AP940" s="10" t="s">
        <v>104</v>
      </c>
      <c r="AQ940" s="10"/>
      <c r="AR940" s="17"/>
      <c r="AS940" s="17"/>
      <c r="AT940" s="17"/>
      <c r="AU940" s="17"/>
      <c r="AV940" s="17"/>
      <c r="AW940" s="10"/>
      <c r="AX940" s="17"/>
      <c r="AY940" s="18" t="s">
        <v>257</v>
      </c>
      <c r="AZ940" s="10"/>
      <c r="BA940" s="20" t="b">
        <v>0</v>
      </c>
      <c r="BB940" s="10"/>
      <c r="BC940" s="17" t="s">
        <v>257</v>
      </c>
      <c r="BD940" s="17" t="s">
        <v>257</v>
      </c>
      <c r="BE940" s="17" t="s">
        <v>257</v>
      </c>
      <c r="BF940" s="17" t="s">
        <v>257</v>
      </c>
      <c r="BG940" s="11">
        <f ca="1">IFERROR(__xludf.DUMMYFUNCTION("""COMPUTED_VALUE"""),46159)</f>
        <v>46159</v>
      </c>
      <c r="BH940" s="17"/>
      <c r="BI940" s="17"/>
      <c r="BJ940" s="15"/>
      <c r="BK940" s="15"/>
      <c r="BL940" s="13" t="b">
        <v>0</v>
      </c>
      <c r="BM940" s="10"/>
      <c r="BN940" s="10" t="s">
        <v>223</v>
      </c>
      <c r="BO940" s="11">
        <v>45866.101898148147</v>
      </c>
      <c r="BP940" s="11">
        <v>45866.101898148147</v>
      </c>
      <c r="BQ940" s="15"/>
      <c r="BR940" s="15"/>
      <c r="BS940" s="10"/>
      <c r="BT940" s="10"/>
      <c r="BU940" s="10"/>
      <c r="BV940" s="10"/>
      <c r="BW940" s="10"/>
      <c r="BX940" s="10"/>
      <c r="BY940" s="23"/>
      <c r="BZ940" s="23"/>
      <c r="CA940" s="23"/>
      <c r="CB940" s="23"/>
      <c r="CC940" s="23"/>
      <c r="CD940" s="23"/>
      <c r="CE940" s="23"/>
      <c r="CF940" s="23"/>
      <c r="CG940" s="23"/>
      <c r="CH940" s="23"/>
      <c r="CI940" s="23"/>
    </row>
    <row r="941" spans="1:87" x14ac:dyDescent="0.3">
      <c r="A941" s="9" t="s">
        <v>7551</v>
      </c>
      <c r="B941" s="10" t="s">
        <v>7552</v>
      </c>
      <c r="C941" s="11">
        <v>46159</v>
      </c>
      <c r="D941" s="12">
        <v>8.3333333333333329E-2</v>
      </c>
      <c r="E941" s="11">
        <v>46159.083333333336</v>
      </c>
      <c r="F941" s="10" t="s">
        <v>5001</v>
      </c>
      <c r="G941" s="13" t="b">
        <v>0</v>
      </c>
      <c r="H941" s="10"/>
      <c r="I941" s="10" t="s">
        <v>89</v>
      </c>
      <c r="J941" s="13" t="b">
        <v>0</v>
      </c>
      <c r="K941" s="13" t="b">
        <v>1</v>
      </c>
      <c r="L941" s="10" t="s">
        <v>124</v>
      </c>
      <c r="M941" s="10" t="s">
        <v>91</v>
      </c>
      <c r="N941" s="10" t="s">
        <v>92</v>
      </c>
      <c r="O941" s="10"/>
      <c r="P941" s="10"/>
      <c r="Q941" s="10"/>
      <c r="R941" s="10"/>
      <c r="S941" s="10"/>
      <c r="T941" s="10"/>
      <c r="U941" s="10" t="s">
        <v>5032</v>
      </c>
      <c r="V941" s="10" t="s">
        <v>5041</v>
      </c>
      <c r="W941" s="10" t="s">
        <v>5007</v>
      </c>
      <c r="X941" s="10" t="s">
        <v>130</v>
      </c>
      <c r="Y941" s="10" t="s">
        <v>130</v>
      </c>
      <c r="Z941" s="10" t="s">
        <v>99</v>
      </c>
      <c r="AA941" s="10" t="s">
        <v>131</v>
      </c>
      <c r="AB941" s="10" t="s">
        <v>5008</v>
      </c>
      <c r="AC941" s="10" t="s">
        <v>5009</v>
      </c>
      <c r="AD941" s="10" t="s">
        <v>7553</v>
      </c>
      <c r="AE941" s="10" t="s">
        <v>7554</v>
      </c>
      <c r="AF941" s="15"/>
      <c r="AG941" s="10"/>
      <c r="AH941" s="10"/>
      <c r="AI941" s="10"/>
      <c r="AJ941" s="10"/>
      <c r="AK941" s="10"/>
      <c r="AL941" s="10" t="s">
        <v>3131</v>
      </c>
      <c r="AM941" s="10"/>
      <c r="AN941" s="10"/>
      <c r="AO941" s="13" t="b">
        <v>0</v>
      </c>
      <c r="AP941" s="10" t="s">
        <v>104</v>
      </c>
      <c r="AQ941" s="10"/>
      <c r="AR941" s="17"/>
      <c r="AS941" s="17"/>
      <c r="AT941" s="17"/>
      <c r="AU941" s="17"/>
      <c r="AV941" s="17"/>
      <c r="AW941" s="10"/>
      <c r="AX941" s="17"/>
      <c r="AY941" s="18" t="s">
        <v>257</v>
      </c>
      <c r="AZ941" s="10"/>
      <c r="BA941" s="20" t="b">
        <v>0</v>
      </c>
      <c r="BB941" s="10"/>
      <c r="BC941" s="17" t="s">
        <v>257</v>
      </c>
      <c r="BD941" s="17" t="s">
        <v>257</v>
      </c>
      <c r="BE941" s="17" t="s">
        <v>257</v>
      </c>
      <c r="BF941" s="17" t="s">
        <v>257</v>
      </c>
      <c r="BG941" s="11">
        <f ca="1">IFERROR(__xludf.DUMMYFUNCTION("""COMPUTED_VALUE"""),46159)</f>
        <v>46159</v>
      </c>
      <c r="BH941" s="17"/>
      <c r="BI941" s="17"/>
      <c r="BJ941" s="15"/>
      <c r="BK941" s="15"/>
      <c r="BL941" s="13" t="b">
        <v>0</v>
      </c>
      <c r="BM941" s="10"/>
      <c r="BN941" s="10" t="s">
        <v>223</v>
      </c>
      <c r="BO941" s="11">
        <v>45866.101898148147</v>
      </c>
      <c r="BP941" s="11">
        <v>45866.101898148147</v>
      </c>
      <c r="BQ941" s="15"/>
      <c r="BR941" s="15"/>
      <c r="BS941" s="10"/>
      <c r="BT941" s="10"/>
      <c r="BU941" s="10"/>
      <c r="BV941" s="10"/>
      <c r="BW941" s="10"/>
      <c r="BX941" s="10"/>
      <c r="BY941" s="23"/>
      <c r="BZ941" s="23"/>
      <c r="CA941" s="23"/>
      <c r="CB941" s="23"/>
      <c r="CC941" s="23"/>
      <c r="CD941" s="23"/>
      <c r="CE941" s="23"/>
      <c r="CF941" s="23"/>
      <c r="CG941" s="23"/>
      <c r="CH941" s="23"/>
      <c r="CI941" s="23"/>
    </row>
    <row r="942" spans="1:87" x14ac:dyDescent="0.3">
      <c r="A942" s="9" t="s">
        <v>7555</v>
      </c>
      <c r="B942" s="10" t="s">
        <v>7556</v>
      </c>
      <c r="C942" s="11">
        <v>46159</v>
      </c>
      <c r="D942" s="12">
        <v>8.3333333333333329E-2</v>
      </c>
      <c r="E942" s="11">
        <v>46159.083333333336</v>
      </c>
      <c r="F942" s="10" t="s">
        <v>5001</v>
      </c>
      <c r="G942" s="13" t="b">
        <v>0</v>
      </c>
      <c r="H942" s="10"/>
      <c r="I942" s="10" t="s">
        <v>89</v>
      </c>
      <c r="J942" s="13" t="b">
        <v>0</v>
      </c>
      <c r="K942" s="13" t="b">
        <v>1</v>
      </c>
      <c r="L942" s="10" t="s">
        <v>124</v>
      </c>
      <c r="M942" s="10" t="s">
        <v>91</v>
      </c>
      <c r="N942" s="10" t="s">
        <v>92</v>
      </c>
      <c r="O942" s="10"/>
      <c r="P942" s="10"/>
      <c r="Q942" s="10"/>
      <c r="R942" s="10"/>
      <c r="S942" s="10"/>
      <c r="T942" s="10"/>
      <c r="U942" s="10" t="s">
        <v>5019</v>
      </c>
      <c r="V942" s="10" t="s">
        <v>5031</v>
      </c>
      <c r="W942" s="10" t="s">
        <v>5007</v>
      </c>
      <c r="X942" s="10" t="s">
        <v>130</v>
      </c>
      <c r="Y942" s="10" t="s">
        <v>130</v>
      </c>
      <c r="Z942" s="10" t="s">
        <v>99</v>
      </c>
      <c r="AA942" s="10" t="s">
        <v>131</v>
      </c>
      <c r="AB942" s="10" t="s">
        <v>5008</v>
      </c>
      <c r="AC942" s="10" t="s">
        <v>5009</v>
      </c>
      <c r="AD942" s="10" t="s">
        <v>7557</v>
      </c>
      <c r="AE942" s="10" t="s">
        <v>7558</v>
      </c>
      <c r="AF942" s="15"/>
      <c r="AG942" s="10"/>
      <c r="AH942" s="10"/>
      <c r="AI942" s="10"/>
      <c r="AJ942" s="10"/>
      <c r="AK942" s="10"/>
      <c r="AL942" s="10" t="s">
        <v>3131</v>
      </c>
      <c r="AM942" s="10"/>
      <c r="AN942" s="10"/>
      <c r="AO942" s="13" t="b">
        <v>0</v>
      </c>
      <c r="AP942" s="10" t="s">
        <v>104</v>
      </c>
      <c r="AQ942" s="10"/>
      <c r="AR942" s="17"/>
      <c r="AS942" s="17"/>
      <c r="AT942" s="17"/>
      <c r="AU942" s="17"/>
      <c r="AV942" s="17"/>
      <c r="AW942" s="10"/>
      <c r="AX942" s="17"/>
      <c r="AY942" s="18" t="s">
        <v>257</v>
      </c>
      <c r="AZ942" s="10"/>
      <c r="BA942" s="20" t="b">
        <v>0</v>
      </c>
      <c r="BB942" s="10"/>
      <c r="BC942" s="17" t="s">
        <v>257</v>
      </c>
      <c r="BD942" s="17" t="s">
        <v>257</v>
      </c>
      <c r="BE942" s="17" t="s">
        <v>257</v>
      </c>
      <c r="BF942" s="17" t="s">
        <v>257</v>
      </c>
      <c r="BG942" s="11">
        <f ca="1">IFERROR(__xludf.DUMMYFUNCTION("""COMPUTED_VALUE"""),46159)</f>
        <v>46159</v>
      </c>
      <c r="BH942" s="17"/>
      <c r="BI942" s="17"/>
      <c r="BJ942" s="15"/>
      <c r="BK942" s="15"/>
      <c r="BL942" s="13" t="b">
        <v>0</v>
      </c>
      <c r="BM942" s="10"/>
      <c r="BN942" s="10" t="s">
        <v>223</v>
      </c>
      <c r="BO942" s="11">
        <v>45866.101898148147</v>
      </c>
      <c r="BP942" s="11">
        <v>45866.101898148147</v>
      </c>
      <c r="BQ942" s="15"/>
      <c r="BR942" s="15"/>
      <c r="BS942" s="10"/>
      <c r="BT942" s="10"/>
      <c r="BU942" s="10"/>
      <c r="BV942" s="10"/>
      <c r="BW942" s="10"/>
      <c r="BX942" s="10"/>
      <c r="BY942" s="23"/>
      <c r="BZ942" s="23"/>
      <c r="CA942" s="23"/>
      <c r="CB942" s="23"/>
      <c r="CC942" s="23"/>
      <c r="CD942" s="23"/>
      <c r="CE942" s="23"/>
      <c r="CF942" s="23"/>
      <c r="CG942" s="23"/>
      <c r="CH942" s="23"/>
      <c r="CI942" s="23"/>
    </row>
    <row r="943" spans="1:87" x14ac:dyDescent="0.3">
      <c r="A943" s="9" t="s">
        <v>7559</v>
      </c>
      <c r="B943" s="10" t="s">
        <v>7560</v>
      </c>
      <c r="C943" s="11">
        <v>46159</v>
      </c>
      <c r="D943" s="12">
        <v>8.3333333333333329E-2</v>
      </c>
      <c r="E943" s="11">
        <v>46159.083333333336</v>
      </c>
      <c r="F943" s="10" t="s">
        <v>5001</v>
      </c>
      <c r="G943" s="13" t="b">
        <v>0</v>
      </c>
      <c r="H943" s="10"/>
      <c r="I943" s="10" t="s">
        <v>89</v>
      </c>
      <c r="J943" s="13" t="b">
        <v>0</v>
      </c>
      <c r="K943" s="13" t="b">
        <v>1</v>
      </c>
      <c r="L943" s="10" t="s">
        <v>124</v>
      </c>
      <c r="M943" s="10" t="s">
        <v>91</v>
      </c>
      <c r="N943" s="10" t="s">
        <v>92</v>
      </c>
      <c r="O943" s="10"/>
      <c r="P943" s="10"/>
      <c r="Q943" s="10"/>
      <c r="R943" s="10"/>
      <c r="S943" s="10"/>
      <c r="T943" s="10"/>
      <c r="U943" s="10" t="s">
        <v>5090</v>
      </c>
      <c r="V943" s="10" t="s">
        <v>5005</v>
      </c>
      <c r="W943" s="10" t="s">
        <v>5007</v>
      </c>
      <c r="X943" s="10" t="s">
        <v>130</v>
      </c>
      <c r="Y943" s="10" t="s">
        <v>130</v>
      </c>
      <c r="Z943" s="10" t="s">
        <v>99</v>
      </c>
      <c r="AA943" s="10" t="s">
        <v>131</v>
      </c>
      <c r="AB943" s="10" t="s">
        <v>5008</v>
      </c>
      <c r="AC943" s="10" t="s">
        <v>5009</v>
      </c>
      <c r="AD943" s="10" t="s">
        <v>7561</v>
      </c>
      <c r="AE943" s="10" t="s">
        <v>7562</v>
      </c>
      <c r="AF943" s="15"/>
      <c r="AG943" s="10"/>
      <c r="AH943" s="10"/>
      <c r="AI943" s="10"/>
      <c r="AJ943" s="10"/>
      <c r="AK943" s="10"/>
      <c r="AL943" s="10" t="s">
        <v>3131</v>
      </c>
      <c r="AM943" s="10"/>
      <c r="AN943" s="10"/>
      <c r="AO943" s="13" t="b">
        <v>0</v>
      </c>
      <c r="AP943" s="10" t="s">
        <v>104</v>
      </c>
      <c r="AQ943" s="10"/>
      <c r="AR943" s="17"/>
      <c r="AS943" s="17"/>
      <c r="AT943" s="17"/>
      <c r="AU943" s="17"/>
      <c r="AV943" s="17"/>
      <c r="AW943" s="10"/>
      <c r="AX943" s="17"/>
      <c r="AY943" s="18" t="s">
        <v>257</v>
      </c>
      <c r="AZ943" s="10"/>
      <c r="BA943" s="20" t="b">
        <v>0</v>
      </c>
      <c r="BB943" s="10"/>
      <c r="BC943" s="17" t="s">
        <v>257</v>
      </c>
      <c r="BD943" s="17" t="s">
        <v>257</v>
      </c>
      <c r="BE943" s="17" t="s">
        <v>257</v>
      </c>
      <c r="BF943" s="17" t="s">
        <v>257</v>
      </c>
      <c r="BG943" s="11">
        <f ca="1">IFERROR(__xludf.DUMMYFUNCTION("""COMPUTED_VALUE"""),46159)</f>
        <v>46159</v>
      </c>
      <c r="BH943" s="17"/>
      <c r="BI943" s="17"/>
      <c r="BJ943" s="15"/>
      <c r="BK943" s="15"/>
      <c r="BL943" s="13" t="b">
        <v>0</v>
      </c>
      <c r="BM943" s="10"/>
      <c r="BN943" s="10" t="s">
        <v>223</v>
      </c>
      <c r="BO943" s="11">
        <v>45866.101898148147</v>
      </c>
      <c r="BP943" s="11">
        <v>45866.101898148147</v>
      </c>
      <c r="BQ943" s="15"/>
      <c r="BR943" s="15"/>
      <c r="BS943" s="10"/>
      <c r="BT943" s="10"/>
      <c r="BU943" s="10"/>
      <c r="BV943" s="10"/>
      <c r="BW943" s="10"/>
      <c r="BX943" s="10"/>
      <c r="BY943" s="23"/>
      <c r="BZ943" s="23"/>
      <c r="CA943" s="23"/>
      <c r="CB943" s="23"/>
      <c r="CC943" s="23"/>
      <c r="CD943" s="23"/>
      <c r="CE943" s="23"/>
      <c r="CF943" s="23"/>
      <c r="CG943" s="23"/>
      <c r="CH943" s="23"/>
      <c r="CI943" s="23"/>
    </row>
    <row r="944" spans="1:87" x14ac:dyDescent="0.3">
      <c r="A944" s="9" t="s">
        <v>7563</v>
      </c>
      <c r="B944" s="10" t="s">
        <v>7564</v>
      </c>
      <c r="C944" s="11">
        <v>46159</v>
      </c>
      <c r="D944" s="12">
        <v>8.3333333333333329E-2</v>
      </c>
      <c r="E944" s="11">
        <v>46159.083333333336</v>
      </c>
      <c r="F944" s="10" t="s">
        <v>5001</v>
      </c>
      <c r="G944" s="13" t="b">
        <v>0</v>
      </c>
      <c r="H944" s="10"/>
      <c r="I944" s="10" t="s">
        <v>89</v>
      </c>
      <c r="J944" s="13" t="b">
        <v>0</v>
      </c>
      <c r="K944" s="13" t="b">
        <v>1</v>
      </c>
      <c r="L944" s="10" t="s">
        <v>124</v>
      </c>
      <c r="M944" s="10" t="s">
        <v>91</v>
      </c>
      <c r="N944" s="10" t="s">
        <v>92</v>
      </c>
      <c r="O944" s="10"/>
      <c r="P944" s="10"/>
      <c r="Q944" s="10"/>
      <c r="R944" s="10"/>
      <c r="S944" s="10"/>
      <c r="T944" s="10"/>
      <c r="U944" s="10" t="s">
        <v>5077</v>
      </c>
      <c r="V944" s="10" t="s">
        <v>5113</v>
      </c>
      <c r="W944" s="10" t="s">
        <v>5007</v>
      </c>
      <c r="X944" s="10" t="s">
        <v>130</v>
      </c>
      <c r="Y944" s="10" t="s">
        <v>130</v>
      </c>
      <c r="Z944" s="10" t="s">
        <v>99</v>
      </c>
      <c r="AA944" s="10" t="s">
        <v>131</v>
      </c>
      <c r="AB944" s="10" t="s">
        <v>5008</v>
      </c>
      <c r="AC944" s="10" t="s">
        <v>5009</v>
      </c>
      <c r="AD944" s="10" t="s">
        <v>7565</v>
      </c>
      <c r="AE944" s="10" t="s">
        <v>7566</v>
      </c>
      <c r="AF944" s="15"/>
      <c r="AG944" s="10"/>
      <c r="AH944" s="10"/>
      <c r="AI944" s="10"/>
      <c r="AJ944" s="10"/>
      <c r="AK944" s="10"/>
      <c r="AL944" s="10" t="s">
        <v>3131</v>
      </c>
      <c r="AM944" s="10"/>
      <c r="AN944" s="10"/>
      <c r="AO944" s="13" t="b">
        <v>1</v>
      </c>
      <c r="AP944" s="10" t="s">
        <v>104</v>
      </c>
      <c r="AQ944" s="10"/>
      <c r="AR944" s="17"/>
      <c r="AS944" s="17"/>
      <c r="AT944" s="17"/>
      <c r="AU944" s="17"/>
      <c r="AV944" s="17"/>
      <c r="AW944" s="10"/>
      <c r="AX944" s="17"/>
      <c r="AY944" s="18" t="s">
        <v>257</v>
      </c>
      <c r="AZ944" s="10"/>
      <c r="BA944" s="20" t="b">
        <v>0</v>
      </c>
      <c r="BB944" s="10"/>
      <c r="BC944" s="17" t="s">
        <v>257</v>
      </c>
      <c r="BD944" s="17" t="s">
        <v>257</v>
      </c>
      <c r="BE944" s="17" t="s">
        <v>257</v>
      </c>
      <c r="BF944" s="17" t="s">
        <v>257</v>
      </c>
      <c r="BG944" s="11">
        <f ca="1">IFERROR(__xludf.DUMMYFUNCTION("""COMPUTED_VALUE"""),46159)</f>
        <v>46159</v>
      </c>
      <c r="BH944" s="17"/>
      <c r="BI944" s="17"/>
      <c r="BJ944" s="15"/>
      <c r="BK944" s="15"/>
      <c r="BL944" s="13" t="b">
        <v>0</v>
      </c>
      <c r="BM944" s="10"/>
      <c r="BN944" s="10" t="s">
        <v>223</v>
      </c>
      <c r="BO944" s="11">
        <v>45866.101898148147</v>
      </c>
      <c r="BP944" s="11">
        <v>45866.101898148147</v>
      </c>
      <c r="BQ944" s="15"/>
      <c r="BR944" s="15"/>
      <c r="BS944" s="10"/>
      <c r="BT944" s="10"/>
      <c r="BU944" s="10"/>
      <c r="BV944" s="10"/>
      <c r="BW944" s="10"/>
      <c r="BX944" s="10"/>
      <c r="BY944" s="23"/>
      <c r="BZ944" s="23"/>
      <c r="CA944" s="23"/>
      <c r="CB944" s="23"/>
      <c r="CC944" s="23"/>
      <c r="CD944" s="23"/>
      <c r="CE944" s="23"/>
      <c r="CF944" s="23"/>
      <c r="CG944" s="23"/>
      <c r="CH944" s="23"/>
      <c r="CI944" s="23"/>
    </row>
    <row r="945" spans="1:87" x14ac:dyDescent="0.3">
      <c r="A945" s="9" t="s">
        <v>7567</v>
      </c>
      <c r="B945" s="10" t="s">
        <v>7568</v>
      </c>
      <c r="C945" s="11">
        <v>46159</v>
      </c>
      <c r="D945" s="12">
        <v>8.3333333333333329E-2</v>
      </c>
      <c r="E945" s="11">
        <v>46159.083333333336</v>
      </c>
      <c r="F945" s="10" t="s">
        <v>5001</v>
      </c>
      <c r="G945" s="13" t="b">
        <v>0</v>
      </c>
      <c r="H945" s="10"/>
      <c r="I945" s="10" t="s">
        <v>89</v>
      </c>
      <c r="J945" s="13" t="b">
        <v>0</v>
      </c>
      <c r="K945" s="13" t="b">
        <v>1</v>
      </c>
      <c r="L945" s="10" t="s">
        <v>124</v>
      </c>
      <c r="M945" s="10" t="s">
        <v>91</v>
      </c>
      <c r="N945" s="10" t="s">
        <v>92</v>
      </c>
      <c r="O945" s="10"/>
      <c r="P945" s="10"/>
      <c r="Q945" s="10"/>
      <c r="R945" s="10"/>
      <c r="S945" s="10"/>
      <c r="T945" s="10"/>
      <c r="U945" s="10" t="s">
        <v>5055</v>
      </c>
      <c r="V945" s="10" t="s">
        <v>5054</v>
      </c>
      <c r="W945" s="10" t="s">
        <v>5007</v>
      </c>
      <c r="X945" s="10" t="s">
        <v>130</v>
      </c>
      <c r="Y945" s="10" t="s">
        <v>130</v>
      </c>
      <c r="Z945" s="10" t="s">
        <v>99</v>
      </c>
      <c r="AA945" s="10" t="s">
        <v>131</v>
      </c>
      <c r="AB945" s="10" t="s">
        <v>5008</v>
      </c>
      <c r="AC945" s="10" t="s">
        <v>5009</v>
      </c>
      <c r="AD945" s="10" t="s">
        <v>7569</v>
      </c>
      <c r="AE945" s="10" t="s">
        <v>7570</v>
      </c>
      <c r="AF945" s="15"/>
      <c r="AG945" s="10"/>
      <c r="AH945" s="10"/>
      <c r="AI945" s="10"/>
      <c r="AJ945" s="10"/>
      <c r="AK945" s="10"/>
      <c r="AL945" s="10" t="s">
        <v>3131</v>
      </c>
      <c r="AM945" s="10"/>
      <c r="AN945" s="10"/>
      <c r="AO945" s="13" t="b">
        <v>0</v>
      </c>
      <c r="AP945" s="10" t="s">
        <v>104</v>
      </c>
      <c r="AQ945" s="10"/>
      <c r="AR945" s="17"/>
      <c r="AS945" s="17"/>
      <c r="AT945" s="17"/>
      <c r="AU945" s="17"/>
      <c r="AV945" s="17"/>
      <c r="AW945" s="10"/>
      <c r="AX945" s="17"/>
      <c r="AY945" s="18" t="s">
        <v>257</v>
      </c>
      <c r="AZ945" s="10"/>
      <c r="BA945" s="20" t="b">
        <v>0</v>
      </c>
      <c r="BB945" s="10"/>
      <c r="BC945" s="17" t="s">
        <v>257</v>
      </c>
      <c r="BD945" s="17" t="s">
        <v>257</v>
      </c>
      <c r="BE945" s="17" t="s">
        <v>257</v>
      </c>
      <c r="BF945" s="17" t="s">
        <v>257</v>
      </c>
      <c r="BG945" s="11">
        <f ca="1">IFERROR(__xludf.DUMMYFUNCTION("""COMPUTED_VALUE"""),46159)</f>
        <v>46159</v>
      </c>
      <c r="BH945" s="17"/>
      <c r="BI945" s="17"/>
      <c r="BJ945" s="15"/>
      <c r="BK945" s="15"/>
      <c r="BL945" s="13" t="b">
        <v>0</v>
      </c>
      <c r="BM945" s="10"/>
      <c r="BN945" s="10" t="s">
        <v>223</v>
      </c>
      <c r="BO945" s="11">
        <v>45866.101898148147</v>
      </c>
      <c r="BP945" s="11">
        <v>45866.101898148147</v>
      </c>
      <c r="BQ945" s="15"/>
      <c r="BR945" s="15"/>
      <c r="BS945" s="10"/>
      <c r="BT945" s="10"/>
      <c r="BU945" s="10"/>
      <c r="BV945" s="10"/>
      <c r="BW945" s="10"/>
      <c r="BX945" s="10"/>
      <c r="BY945" s="23"/>
      <c r="BZ945" s="23"/>
      <c r="CA945" s="23"/>
      <c r="CB945" s="23"/>
      <c r="CC945" s="23"/>
      <c r="CD945" s="23"/>
      <c r="CE945" s="23"/>
      <c r="CF945" s="23"/>
      <c r="CG945" s="23"/>
      <c r="CH945" s="23"/>
      <c r="CI945" s="23"/>
    </row>
    <row r="946" spans="1:87" x14ac:dyDescent="0.3">
      <c r="A946" s="9" t="s">
        <v>7571</v>
      </c>
      <c r="B946" s="10" t="s">
        <v>7572</v>
      </c>
      <c r="C946" s="11">
        <v>46166</v>
      </c>
      <c r="D946" s="12">
        <v>8.3333333333333329E-2</v>
      </c>
      <c r="E946" s="11">
        <v>46166.083333333336</v>
      </c>
      <c r="F946" s="10" t="s">
        <v>5001</v>
      </c>
      <c r="G946" s="13" t="b">
        <v>0</v>
      </c>
      <c r="H946" s="10"/>
      <c r="I946" s="10" t="s">
        <v>89</v>
      </c>
      <c r="J946" s="13" t="b">
        <v>0</v>
      </c>
      <c r="K946" s="13" t="b">
        <v>1</v>
      </c>
      <c r="L946" s="10" t="s">
        <v>124</v>
      </c>
      <c r="M946" s="10" t="s">
        <v>91</v>
      </c>
      <c r="N946" s="10" t="s">
        <v>92</v>
      </c>
      <c r="O946" s="10"/>
      <c r="P946" s="10"/>
      <c r="Q946" s="10"/>
      <c r="R946" s="10"/>
      <c r="S946" s="10"/>
      <c r="T946" s="10"/>
      <c r="U946" s="10" t="s">
        <v>5018</v>
      </c>
      <c r="V946" s="10" t="s">
        <v>5090</v>
      </c>
      <c r="W946" s="10" t="s">
        <v>5007</v>
      </c>
      <c r="X946" s="10" t="s">
        <v>130</v>
      </c>
      <c r="Y946" s="10" t="s">
        <v>130</v>
      </c>
      <c r="Z946" s="10" t="s">
        <v>99</v>
      </c>
      <c r="AA946" s="10" t="s">
        <v>131</v>
      </c>
      <c r="AB946" s="10" t="s">
        <v>5008</v>
      </c>
      <c r="AC946" s="10" t="s">
        <v>5009</v>
      </c>
      <c r="AD946" s="10" t="s">
        <v>7573</v>
      </c>
      <c r="AE946" s="10" t="s">
        <v>7574</v>
      </c>
      <c r="AF946" s="15"/>
      <c r="AG946" s="10"/>
      <c r="AH946" s="10"/>
      <c r="AI946" s="10"/>
      <c r="AJ946" s="10"/>
      <c r="AK946" s="10"/>
      <c r="AL946" s="10" t="s">
        <v>3172</v>
      </c>
      <c r="AM946" s="10"/>
      <c r="AN946" s="10"/>
      <c r="AO946" s="13" t="b">
        <v>0</v>
      </c>
      <c r="AP946" s="10" t="s">
        <v>104</v>
      </c>
      <c r="AQ946" s="10"/>
      <c r="AR946" s="17"/>
      <c r="AS946" s="17"/>
      <c r="AT946" s="17"/>
      <c r="AU946" s="17"/>
      <c r="AV946" s="17"/>
      <c r="AW946" s="10"/>
      <c r="AX946" s="17"/>
      <c r="AY946" s="18" t="s">
        <v>257</v>
      </c>
      <c r="AZ946" s="10"/>
      <c r="BA946" s="20" t="b">
        <v>0</v>
      </c>
      <c r="BB946" s="10"/>
      <c r="BC946" s="17" t="s">
        <v>257</v>
      </c>
      <c r="BD946" s="17" t="s">
        <v>257</v>
      </c>
      <c r="BE946" s="17" t="s">
        <v>257</v>
      </c>
      <c r="BF946" s="17" t="s">
        <v>257</v>
      </c>
      <c r="BG946" s="11">
        <f ca="1">IFERROR(__xludf.DUMMYFUNCTION("""COMPUTED_VALUE"""),46166)</f>
        <v>46166</v>
      </c>
      <c r="BH946" s="17"/>
      <c r="BI946" s="17"/>
      <c r="BJ946" s="15"/>
      <c r="BK946" s="15"/>
      <c r="BL946" s="13" t="b">
        <v>0</v>
      </c>
      <c r="BM946" s="10"/>
      <c r="BN946" s="10" t="s">
        <v>223</v>
      </c>
      <c r="BO946" s="11">
        <v>45866.101898148147</v>
      </c>
      <c r="BP946" s="11">
        <v>45866.101898148147</v>
      </c>
      <c r="BQ946" s="15"/>
      <c r="BR946" s="15"/>
      <c r="BS946" s="10"/>
      <c r="BT946" s="10"/>
      <c r="BU946" s="10"/>
      <c r="BV946" s="10"/>
      <c r="BW946" s="10"/>
      <c r="BX946" s="10"/>
      <c r="BY946" s="23"/>
      <c r="BZ946" s="23"/>
      <c r="CA946" s="23"/>
      <c r="CB946" s="23"/>
      <c r="CC946" s="23"/>
      <c r="CD946" s="23"/>
      <c r="CE946" s="23"/>
      <c r="CF946" s="23"/>
      <c r="CG946" s="23"/>
      <c r="CH946" s="23"/>
      <c r="CI946" s="23"/>
    </row>
    <row r="947" spans="1:87" x14ac:dyDescent="0.3">
      <c r="A947" s="9" t="s">
        <v>7575</v>
      </c>
      <c r="B947" s="10" t="s">
        <v>7576</v>
      </c>
      <c r="C947" s="11">
        <v>46166</v>
      </c>
      <c r="D947" s="12">
        <v>8.3333333333333329E-2</v>
      </c>
      <c r="E947" s="11">
        <v>46166.083333333336</v>
      </c>
      <c r="F947" s="10" t="s">
        <v>5001</v>
      </c>
      <c r="G947" s="13" t="b">
        <v>0</v>
      </c>
      <c r="H947" s="10"/>
      <c r="I947" s="10" t="s">
        <v>89</v>
      </c>
      <c r="J947" s="13" t="b">
        <v>0</v>
      </c>
      <c r="K947" s="13" t="b">
        <v>1</v>
      </c>
      <c r="L947" s="10" t="s">
        <v>124</v>
      </c>
      <c r="M947" s="10" t="s">
        <v>91</v>
      </c>
      <c r="N947" s="10" t="s">
        <v>92</v>
      </c>
      <c r="O947" s="10"/>
      <c r="P947" s="10"/>
      <c r="Q947" s="10"/>
      <c r="R947" s="10"/>
      <c r="S947" s="10"/>
      <c r="T947" s="10"/>
      <c r="U947" s="10" t="s">
        <v>5054</v>
      </c>
      <c r="V947" s="10" t="s">
        <v>5042</v>
      </c>
      <c r="W947" s="10" t="s">
        <v>5007</v>
      </c>
      <c r="X947" s="10" t="s">
        <v>130</v>
      </c>
      <c r="Y947" s="10" t="s">
        <v>130</v>
      </c>
      <c r="Z947" s="10" t="s">
        <v>99</v>
      </c>
      <c r="AA947" s="10" t="s">
        <v>131</v>
      </c>
      <c r="AB947" s="10" t="s">
        <v>5008</v>
      </c>
      <c r="AC947" s="10" t="s">
        <v>5009</v>
      </c>
      <c r="AD947" s="10" t="s">
        <v>7577</v>
      </c>
      <c r="AE947" s="10" t="s">
        <v>7578</v>
      </c>
      <c r="AF947" s="15"/>
      <c r="AG947" s="10"/>
      <c r="AH947" s="10"/>
      <c r="AI947" s="10"/>
      <c r="AJ947" s="10"/>
      <c r="AK947" s="10"/>
      <c r="AL947" s="10" t="s">
        <v>3172</v>
      </c>
      <c r="AM947" s="10"/>
      <c r="AN947" s="10"/>
      <c r="AO947" s="13" t="b">
        <v>1</v>
      </c>
      <c r="AP947" s="10" t="s">
        <v>104</v>
      </c>
      <c r="AQ947" s="10"/>
      <c r="AR947" s="17"/>
      <c r="AS947" s="17"/>
      <c r="AT947" s="17"/>
      <c r="AU947" s="17"/>
      <c r="AV947" s="17"/>
      <c r="AW947" s="10"/>
      <c r="AX947" s="17"/>
      <c r="AY947" s="18" t="s">
        <v>257</v>
      </c>
      <c r="AZ947" s="10"/>
      <c r="BA947" s="20" t="b">
        <v>0</v>
      </c>
      <c r="BB947" s="10"/>
      <c r="BC947" s="17" t="s">
        <v>257</v>
      </c>
      <c r="BD947" s="17" t="s">
        <v>257</v>
      </c>
      <c r="BE947" s="17" t="s">
        <v>257</v>
      </c>
      <c r="BF947" s="17" t="s">
        <v>257</v>
      </c>
      <c r="BG947" s="11">
        <f ca="1">IFERROR(__xludf.DUMMYFUNCTION("""COMPUTED_VALUE"""),46166)</f>
        <v>46166</v>
      </c>
      <c r="BH947" s="17"/>
      <c r="BI947" s="17"/>
      <c r="BJ947" s="15"/>
      <c r="BK947" s="15"/>
      <c r="BL947" s="13" t="b">
        <v>0</v>
      </c>
      <c r="BM947" s="10"/>
      <c r="BN947" s="10" t="s">
        <v>223</v>
      </c>
      <c r="BO947" s="11">
        <v>45866.101898148147</v>
      </c>
      <c r="BP947" s="11">
        <v>45866.101898148147</v>
      </c>
      <c r="BQ947" s="15"/>
      <c r="BR947" s="15"/>
      <c r="BS947" s="10"/>
      <c r="BT947" s="10"/>
      <c r="BU947" s="10"/>
      <c r="BV947" s="10"/>
      <c r="BW947" s="10"/>
      <c r="BX947" s="10"/>
      <c r="BY947" s="23"/>
      <c r="BZ947" s="23"/>
      <c r="CA947" s="23"/>
      <c r="CB947" s="23"/>
      <c r="CC947" s="23"/>
      <c r="CD947" s="23"/>
      <c r="CE947" s="23"/>
      <c r="CF947" s="23"/>
      <c r="CG947" s="23"/>
      <c r="CH947" s="23"/>
      <c r="CI947" s="23"/>
    </row>
    <row r="948" spans="1:87" x14ac:dyDescent="0.3">
      <c r="A948" s="9" t="s">
        <v>7579</v>
      </c>
      <c r="B948" s="10" t="s">
        <v>7580</v>
      </c>
      <c r="C948" s="11">
        <v>46166</v>
      </c>
      <c r="D948" s="12">
        <v>8.3333333333333329E-2</v>
      </c>
      <c r="E948" s="11">
        <v>46166.083333333336</v>
      </c>
      <c r="F948" s="10" t="s">
        <v>5001</v>
      </c>
      <c r="G948" s="13" t="b">
        <v>0</v>
      </c>
      <c r="H948" s="10"/>
      <c r="I948" s="10" t="s">
        <v>89</v>
      </c>
      <c r="J948" s="13" t="b">
        <v>0</v>
      </c>
      <c r="K948" s="13" t="b">
        <v>1</v>
      </c>
      <c r="L948" s="10" t="s">
        <v>124</v>
      </c>
      <c r="M948" s="10" t="s">
        <v>91</v>
      </c>
      <c r="N948" s="10" t="s">
        <v>92</v>
      </c>
      <c r="O948" s="10"/>
      <c r="P948" s="10"/>
      <c r="Q948" s="10"/>
      <c r="R948" s="10"/>
      <c r="S948" s="10"/>
      <c r="T948" s="10"/>
      <c r="U948" s="10" t="s">
        <v>5102</v>
      </c>
      <c r="V948" s="10" t="s">
        <v>5032</v>
      </c>
      <c r="W948" s="10" t="s">
        <v>5007</v>
      </c>
      <c r="X948" s="10" t="s">
        <v>130</v>
      </c>
      <c r="Y948" s="10" t="s">
        <v>130</v>
      </c>
      <c r="Z948" s="10" t="s">
        <v>99</v>
      </c>
      <c r="AA948" s="10" t="s">
        <v>131</v>
      </c>
      <c r="AB948" s="10" t="s">
        <v>5008</v>
      </c>
      <c r="AC948" s="10" t="s">
        <v>5009</v>
      </c>
      <c r="AD948" s="10" t="s">
        <v>7581</v>
      </c>
      <c r="AE948" s="10" t="s">
        <v>7582</v>
      </c>
      <c r="AF948" s="15"/>
      <c r="AG948" s="10"/>
      <c r="AH948" s="10"/>
      <c r="AI948" s="10"/>
      <c r="AJ948" s="10"/>
      <c r="AK948" s="10"/>
      <c r="AL948" s="10" t="s">
        <v>3172</v>
      </c>
      <c r="AM948" s="10"/>
      <c r="AN948" s="10"/>
      <c r="AO948" s="13" t="b">
        <v>0</v>
      </c>
      <c r="AP948" s="10" t="s">
        <v>104</v>
      </c>
      <c r="AQ948" s="10"/>
      <c r="AR948" s="17"/>
      <c r="AS948" s="17"/>
      <c r="AT948" s="17"/>
      <c r="AU948" s="17"/>
      <c r="AV948" s="17"/>
      <c r="AW948" s="10"/>
      <c r="AX948" s="17"/>
      <c r="AY948" s="18" t="s">
        <v>257</v>
      </c>
      <c r="AZ948" s="10"/>
      <c r="BA948" s="20" t="b">
        <v>0</v>
      </c>
      <c r="BB948" s="10"/>
      <c r="BC948" s="17" t="s">
        <v>257</v>
      </c>
      <c r="BD948" s="17" t="s">
        <v>257</v>
      </c>
      <c r="BE948" s="17" t="s">
        <v>257</v>
      </c>
      <c r="BF948" s="17" t="s">
        <v>257</v>
      </c>
      <c r="BG948" s="11">
        <f ca="1">IFERROR(__xludf.DUMMYFUNCTION("""COMPUTED_VALUE"""),46166)</f>
        <v>46166</v>
      </c>
      <c r="BH948" s="17"/>
      <c r="BI948" s="17"/>
      <c r="BJ948" s="15"/>
      <c r="BK948" s="15"/>
      <c r="BL948" s="13" t="b">
        <v>0</v>
      </c>
      <c r="BM948" s="10"/>
      <c r="BN948" s="10" t="s">
        <v>223</v>
      </c>
      <c r="BO948" s="11">
        <v>45866.101898148147</v>
      </c>
      <c r="BP948" s="11">
        <v>45866.101898148147</v>
      </c>
      <c r="BQ948" s="15"/>
      <c r="BR948" s="15"/>
      <c r="BS948" s="10"/>
      <c r="BT948" s="10"/>
      <c r="BU948" s="10"/>
      <c r="BV948" s="10"/>
      <c r="BW948" s="10"/>
      <c r="BX948" s="10"/>
      <c r="BY948" s="23"/>
      <c r="BZ948" s="23"/>
      <c r="CA948" s="23"/>
      <c r="CB948" s="23"/>
      <c r="CC948" s="23"/>
      <c r="CD948" s="23"/>
      <c r="CE948" s="23"/>
      <c r="CF948" s="23"/>
      <c r="CG948" s="23"/>
      <c r="CH948" s="23"/>
      <c r="CI948" s="23"/>
    </row>
    <row r="949" spans="1:87" x14ac:dyDescent="0.3">
      <c r="A949" s="25" t="s">
        <v>7583</v>
      </c>
      <c r="B949" s="10" t="s">
        <v>7584</v>
      </c>
      <c r="C949" s="11">
        <v>46166</v>
      </c>
      <c r="D949" s="12">
        <v>8.3333333333333329E-2</v>
      </c>
      <c r="E949" s="11">
        <v>46166.083333333336</v>
      </c>
      <c r="F949" s="10" t="s">
        <v>5001</v>
      </c>
      <c r="G949" s="13" t="b">
        <v>0</v>
      </c>
      <c r="H949" s="10"/>
      <c r="I949" s="10" t="s">
        <v>89</v>
      </c>
      <c r="J949" s="13" t="b">
        <v>0</v>
      </c>
      <c r="K949" s="13" t="b">
        <v>1</v>
      </c>
      <c r="L949" s="10" t="s">
        <v>124</v>
      </c>
      <c r="M949" s="10" t="s">
        <v>91</v>
      </c>
      <c r="N949" s="10" t="s">
        <v>92</v>
      </c>
      <c r="O949" s="10"/>
      <c r="P949" s="10"/>
      <c r="Q949" s="10"/>
      <c r="R949" s="10"/>
      <c r="S949" s="10"/>
      <c r="T949" s="10"/>
      <c r="U949" s="10" t="s">
        <v>5067</v>
      </c>
      <c r="V949" s="10" t="s">
        <v>5114</v>
      </c>
      <c r="W949" s="10" t="s">
        <v>5007</v>
      </c>
      <c r="X949" s="10" t="s">
        <v>130</v>
      </c>
      <c r="Y949" s="10" t="s">
        <v>130</v>
      </c>
      <c r="Z949" s="10" t="s">
        <v>99</v>
      </c>
      <c r="AA949" s="10" t="s">
        <v>131</v>
      </c>
      <c r="AB949" s="10" t="s">
        <v>5008</v>
      </c>
      <c r="AC949" s="10" t="s">
        <v>5009</v>
      </c>
      <c r="AD949" s="10" t="s">
        <v>7585</v>
      </c>
      <c r="AE949" s="10" t="s">
        <v>7586</v>
      </c>
      <c r="AF949" s="15"/>
      <c r="AG949" s="10"/>
      <c r="AH949" s="10"/>
      <c r="AI949" s="10"/>
      <c r="AJ949" s="10"/>
      <c r="AK949" s="10"/>
      <c r="AL949" s="10" t="s">
        <v>3172</v>
      </c>
      <c r="AM949" s="10"/>
      <c r="AN949" s="10"/>
      <c r="AO949" s="13" t="b">
        <v>0</v>
      </c>
      <c r="AP949" s="10" t="s">
        <v>104</v>
      </c>
      <c r="AQ949" s="10"/>
      <c r="AR949" s="17"/>
      <c r="AS949" s="17"/>
      <c r="AT949" s="17"/>
      <c r="AU949" s="17"/>
      <c r="AV949" s="17"/>
      <c r="AW949" s="10"/>
      <c r="AX949" s="17"/>
      <c r="AY949" s="18" t="s">
        <v>257</v>
      </c>
      <c r="AZ949" s="10"/>
      <c r="BA949" s="20" t="b">
        <v>0</v>
      </c>
      <c r="BB949" s="10"/>
      <c r="BC949" s="17" t="s">
        <v>257</v>
      </c>
      <c r="BD949" s="17" t="s">
        <v>257</v>
      </c>
      <c r="BE949" s="17" t="s">
        <v>257</v>
      </c>
      <c r="BF949" s="17" t="s">
        <v>257</v>
      </c>
      <c r="BG949" s="11">
        <f ca="1">IFERROR(__xludf.DUMMYFUNCTION("""COMPUTED_VALUE"""),46166)</f>
        <v>46166</v>
      </c>
      <c r="BH949" s="17"/>
      <c r="BI949" s="17"/>
      <c r="BJ949" s="15"/>
      <c r="BK949" s="15"/>
      <c r="BL949" s="13" t="b">
        <v>0</v>
      </c>
      <c r="BM949" s="10"/>
      <c r="BN949" s="10" t="s">
        <v>223</v>
      </c>
      <c r="BO949" s="11">
        <v>45866.101898148147</v>
      </c>
      <c r="BP949" s="11">
        <v>45866.101898148147</v>
      </c>
      <c r="BQ949" s="15"/>
      <c r="BR949" s="15"/>
      <c r="BS949" s="10"/>
      <c r="BT949" s="10"/>
      <c r="BU949" s="10"/>
      <c r="BV949" s="10"/>
      <c r="BW949" s="10"/>
      <c r="BX949" s="10"/>
      <c r="BY949" s="23"/>
      <c r="BZ949" s="23"/>
      <c r="CA949" s="23"/>
      <c r="CB949" s="23"/>
      <c r="CC949" s="23"/>
      <c r="CD949" s="23"/>
      <c r="CE949" s="23"/>
      <c r="CF949" s="23"/>
      <c r="CG949" s="23"/>
      <c r="CH949" s="23"/>
      <c r="CI949" s="23"/>
    </row>
    <row r="950" spans="1:87" x14ac:dyDescent="0.3">
      <c r="A950" s="9" t="s">
        <v>7587</v>
      </c>
      <c r="B950" s="10" t="s">
        <v>7588</v>
      </c>
      <c r="C950" s="11">
        <v>46166</v>
      </c>
      <c r="D950" s="12">
        <v>8.3333333333333329E-2</v>
      </c>
      <c r="E950" s="11">
        <v>46166.083333333336</v>
      </c>
      <c r="F950" s="10" t="s">
        <v>5001</v>
      </c>
      <c r="G950" s="13" t="b">
        <v>0</v>
      </c>
      <c r="H950" s="10"/>
      <c r="I950" s="10" t="s">
        <v>89</v>
      </c>
      <c r="J950" s="13" t="b">
        <v>0</v>
      </c>
      <c r="K950" s="13" t="b">
        <v>1</v>
      </c>
      <c r="L950" s="10" t="s">
        <v>124</v>
      </c>
      <c r="M950" s="10" t="s">
        <v>91</v>
      </c>
      <c r="N950" s="10" t="s">
        <v>92</v>
      </c>
      <c r="O950" s="10"/>
      <c r="P950" s="10"/>
      <c r="Q950" s="10"/>
      <c r="R950" s="10"/>
      <c r="S950" s="10"/>
      <c r="T950" s="10"/>
      <c r="U950" s="10" t="s">
        <v>5041</v>
      </c>
      <c r="V950" s="10" t="s">
        <v>5019</v>
      </c>
      <c r="W950" s="10" t="s">
        <v>5007</v>
      </c>
      <c r="X950" s="10" t="s">
        <v>130</v>
      </c>
      <c r="Y950" s="10" t="s">
        <v>130</v>
      </c>
      <c r="Z950" s="10" t="s">
        <v>99</v>
      </c>
      <c r="AA950" s="10" t="s">
        <v>131</v>
      </c>
      <c r="AB950" s="10" t="s">
        <v>5008</v>
      </c>
      <c r="AC950" s="10" t="s">
        <v>5009</v>
      </c>
      <c r="AD950" s="10" t="s">
        <v>7589</v>
      </c>
      <c r="AE950" s="10" t="s">
        <v>7590</v>
      </c>
      <c r="AF950" s="15"/>
      <c r="AG950" s="10"/>
      <c r="AH950" s="10"/>
      <c r="AI950" s="10"/>
      <c r="AJ950" s="10"/>
      <c r="AK950" s="10"/>
      <c r="AL950" s="10" t="s">
        <v>3172</v>
      </c>
      <c r="AM950" s="10"/>
      <c r="AN950" s="10"/>
      <c r="AO950" s="13" t="b">
        <v>0</v>
      </c>
      <c r="AP950" s="10" t="s">
        <v>104</v>
      </c>
      <c r="AQ950" s="10"/>
      <c r="AR950" s="17"/>
      <c r="AS950" s="17"/>
      <c r="AT950" s="17"/>
      <c r="AU950" s="17"/>
      <c r="AV950" s="17"/>
      <c r="AW950" s="10"/>
      <c r="AX950" s="17"/>
      <c r="AY950" s="18" t="s">
        <v>257</v>
      </c>
      <c r="AZ950" s="10"/>
      <c r="BA950" s="20" t="b">
        <v>0</v>
      </c>
      <c r="BB950" s="10"/>
      <c r="BC950" s="17" t="s">
        <v>257</v>
      </c>
      <c r="BD950" s="17" t="s">
        <v>257</v>
      </c>
      <c r="BE950" s="17" t="s">
        <v>257</v>
      </c>
      <c r="BF950" s="17" t="s">
        <v>257</v>
      </c>
      <c r="BG950" s="11">
        <f ca="1">IFERROR(__xludf.DUMMYFUNCTION("""COMPUTED_VALUE"""),46166)</f>
        <v>46166</v>
      </c>
      <c r="BH950" s="17"/>
      <c r="BI950" s="17"/>
      <c r="BJ950" s="15"/>
      <c r="BK950" s="15"/>
      <c r="BL950" s="13" t="b">
        <v>0</v>
      </c>
      <c r="BM950" s="10"/>
      <c r="BN950" s="10" t="s">
        <v>223</v>
      </c>
      <c r="BO950" s="11">
        <v>45866.101898148147</v>
      </c>
      <c r="BP950" s="11">
        <v>45866.101898148147</v>
      </c>
      <c r="BQ950" s="15"/>
      <c r="BR950" s="15"/>
      <c r="BS950" s="10"/>
      <c r="BT950" s="10"/>
      <c r="BU950" s="10"/>
      <c r="BV950" s="10"/>
      <c r="BW950" s="10"/>
      <c r="BX950" s="10"/>
      <c r="BY950" s="23"/>
      <c r="BZ950" s="23"/>
      <c r="CA950" s="23"/>
      <c r="CB950" s="23"/>
      <c r="CC950" s="23"/>
      <c r="CD950" s="23"/>
      <c r="CE950" s="23"/>
      <c r="CF950" s="23"/>
      <c r="CG950" s="23"/>
      <c r="CH950" s="23"/>
      <c r="CI950" s="23"/>
    </row>
    <row r="951" spans="1:87" x14ac:dyDescent="0.3">
      <c r="A951" s="9" t="s">
        <v>7591</v>
      </c>
      <c r="B951" s="10" t="s">
        <v>7592</v>
      </c>
      <c r="C951" s="11">
        <v>46166</v>
      </c>
      <c r="D951" s="12">
        <v>8.3333333333333329E-2</v>
      </c>
      <c r="E951" s="11">
        <v>46166.083333333336</v>
      </c>
      <c r="F951" s="10" t="s">
        <v>5001</v>
      </c>
      <c r="G951" s="13" t="b">
        <v>0</v>
      </c>
      <c r="H951" s="10"/>
      <c r="I951" s="10" t="s">
        <v>89</v>
      </c>
      <c r="J951" s="13" t="b">
        <v>0</v>
      </c>
      <c r="K951" s="13" t="b">
        <v>1</v>
      </c>
      <c r="L951" s="10" t="s">
        <v>124</v>
      </c>
      <c r="M951" s="10" t="s">
        <v>91</v>
      </c>
      <c r="N951" s="10" t="s">
        <v>92</v>
      </c>
      <c r="O951" s="10"/>
      <c r="P951" s="10"/>
      <c r="Q951" s="10"/>
      <c r="R951" s="10"/>
      <c r="S951" s="10"/>
      <c r="T951" s="10"/>
      <c r="U951" s="10" t="s">
        <v>5031</v>
      </c>
      <c r="V951" s="10" t="s">
        <v>5006</v>
      </c>
      <c r="W951" s="10" t="s">
        <v>5007</v>
      </c>
      <c r="X951" s="10" t="s">
        <v>130</v>
      </c>
      <c r="Y951" s="10" t="s">
        <v>130</v>
      </c>
      <c r="Z951" s="10" t="s">
        <v>99</v>
      </c>
      <c r="AA951" s="10" t="s">
        <v>131</v>
      </c>
      <c r="AB951" s="10" t="s">
        <v>5008</v>
      </c>
      <c r="AC951" s="10" t="s">
        <v>5009</v>
      </c>
      <c r="AD951" s="10" t="s">
        <v>7593</v>
      </c>
      <c r="AE951" s="10" t="s">
        <v>7594</v>
      </c>
      <c r="AF951" s="15"/>
      <c r="AG951" s="10"/>
      <c r="AH951" s="10"/>
      <c r="AI951" s="10"/>
      <c r="AJ951" s="10"/>
      <c r="AK951" s="10"/>
      <c r="AL951" s="10" t="s">
        <v>3172</v>
      </c>
      <c r="AM951" s="10"/>
      <c r="AN951" s="10"/>
      <c r="AO951" s="13" t="b">
        <v>0</v>
      </c>
      <c r="AP951" s="10" t="s">
        <v>104</v>
      </c>
      <c r="AQ951" s="10"/>
      <c r="AR951" s="17"/>
      <c r="AS951" s="17"/>
      <c r="AT951" s="17"/>
      <c r="AU951" s="17"/>
      <c r="AV951" s="17"/>
      <c r="AW951" s="10"/>
      <c r="AX951" s="17"/>
      <c r="AY951" s="18" t="s">
        <v>257</v>
      </c>
      <c r="AZ951" s="10"/>
      <c r="BA951" s="20" t="b">
        <v>0</v>
      </c>
      <c r="BB951" s="10"/>
      <c r="BC951" s="17" t="s">
        <v>257</v>
      </c>
      <c r="BD951" s="17" t="s">
        <v>257</v>
      </c>
      <c r="BE951" s="17" t="s">
        <v>257</v>
      </c>
      <c r="BF951" s="17" t="s">
        <v>257</v>
      </c>
      <c r="BG951" s="11">
        <f ca="1">IFERROR(__xludf.DUMMYFUNCTION("""COMPUTED_VALUE"""),46166)</f>
        <v>46166</v>
      </c>
      <c r="BH951" s="17"/>
      <c r="BI951" s="17"/>
      <c r="BJ951" s="15"/>
      <c r="BK951" s="15"/>
      <c r="BL951" s="13" t="b">
        <v>0</v>
      </c>
      <c r="BM951" s="10"/>
      <c r="BN951" s="10" t="s">
        <v>223</v>
      </c>
      <c r="BO951" s="11">
        <v>45866.101898148147</v>
      </c>
      <c r="BP951" s="11">
        <v>45866.101898148147</v>
      </c>
      <c r="BQ951" s="15"/>
      <c r="BR951" s="15"/>
      <c r="BS951" s="10"/>
      <c r="BT951" s="10"/>
      <c r="BU951" s="10"/>
      <c r="BV951" s="10"/>
      <c r="BW951" s="10"/>
      <c r="BX951" s="10"/>
      <c r="BY951" s="23"/>
      <c r="BZ951" s="23"/>
      <c r="CA951" s="23"/>
      <c r="CB951" s="23"/>
      <c r="CC951" s="23"/>
      <c r="CD951" s="23"/>
      <c r="CE951" s="23"/>
      <c r="CF951" s="23"/>
      <c r="CG951" s="23"/>
      <c r="CH951" s="23"/>
      <c r="CI951" s="23"/>
    </row>
    <row r="952" spans="1:87" x14ac:dyDescent="0.3">
      <c r="A952" s="9" t="s">
        <v>7595</v>
      </c>
      <c r="B952" s="10" t="s">
        <v>7596</v>
      </c>
      <c r="C952" s="11">
        <v>46166</v>
      </c>
      <c r="D952" s="12">
        <v>8.3333333333333329E-2</v>
      </c>
      <c r="E952" s="11">
        <v>46166.083333333336</v>
      </c>
      <c r="F952" s="10" t="s">
        <v>5001</v>
      </c>
      <c r="G952" s="13" t="b">
        <v>0</v>
      </c>
      <c r="H952" s="10"/>
      <c r="I952" s="10" t="s">
        <v>89</v>
      </c>
      <c r="J952" s="13" t="b">
        <v>0</v>
      </c>
      <c r="K952" s="13" t="b">
        <v>1</v>
      </c>
      <c r="L952" s="10" t="s">
        <v>124</v>
      </c>
      <c r="M952" s="10" t="s">
        <v>91</v>
      </c>
      <c r="N952" s="10" t="s">
        <v>92</v>
      </c>
      <c r="O952" s="10"/>
      <c r="P952" s="10"/>
      <c r="Q952" s="10"/>
      <c r="R952" s="10"/>
      <c r="S952" s="10"/>
      <c r="T952" s="10"/>
      <c r="U952" s="10" t="s">
        <v>5113</v>
      </c>
      <c r="V952" s="10" t="s">
        <v>5076</v>
      </c>
      <c r="W952" s="10" t="s">
        <v>5007</v>
      </c>
      <c r="X952" s="10" t="s">
        <v>130</v>
      </c>
      <c r="Y952" s="10" t="s">
        <v>130</v>
      </c>
      <c r="Z952" s="10" t="s">
        <v>99</v>
      </c>
      <c r="AA952" s="10" t="s">
        <v>131</v>
      </c>
      <c r="AB952" s="10" t="s">
        <v>5008</v>
      </c>
      <c r="AC952" s="10" t="s">
        <v>5009</v>
      </c>
      <c r="AD952" s="10" t="s">
        <v>7597</v>
      </c>
      <c r="AE952" s="10" t="s">
        <v>7598</v>
      </c>
      <c r="AF952" s="15"/>
      <c r="AG952" s="10"/>
      <c r="AH952" s="10"/>
      <c r="AI952" s="10"/>
      <c r="AJ952" s="10"/>
      <c r="AK952" s="10"/>
      <c r="AL952" s="10" t="s">
        <v>3172</v>
      </c>
      <c r="AM952" s="10"/>
      <c r="AN952" s="10"/>
      <c r="AO952" s="13" t="b">
        <v>1</v>
      </c>
      <c r="AP952" s="10" t="s">
        <v>104</v>
      </c>
      <c r="AQ952" s="10"/>
      <c r="AR952" s="17"/>
      <c r="AS952" s="17"/>
      <c r="AT952" s="17"/>
      <c r="AU952" s="17"/>
      <c r="AV952" s="17"/>
      <c r="AW952" s="10"/>
      <c r="AX952" s="17"/>
      <c r="AY952" s="18" t="s">
        <v>257</v>
      </c>
      <c r="AZ952" s="10"/>
      <c r="BA952" s="20" t="b">
        <v>0</v>
      </c>
      <c r="BB952" s="10"/>
      <c r="BC952" s="17" t="s">
        <v>257</v>
      </c>
      <c r="BD952" s="17" t="s">
        <v>257</v>
      </c>
      <c r="BE952" s="17" t="s">
        <v>257</v>
      </c>
      <c r="BF952" s="17" t="s">
        <v>257</v>
      </c>
      <c r="BG952" s="11">
        <f ca="1">IFERROR(__xludf.DUMMYFUNCTION("""COMPUTED_VALUE"""),46166)</f>
        <v>46166</v>
      </c>
      <c r="BH952" s="17"/>
      <c r="BI952" s="17"/>
      <c r="BJ952" s="15"/>
      <c r="BK952" s="15"/>
      <c r="BL952" s="13" t="b">
        <v>0</v>
      </c>
      <c r="BM952" s="10"/>
      <c r="BN952" s="10" t="s">
        <v>223</v>
      </c>
      <c r="BO952" s="11">
        <v>45866.101898148147</v>
      </c>
      <c r="BP952" s="11">
        <v>45866.101898148147</v>
      </c>
      <c r="BQ952" s="15"/>
      <c r="BR952" s="15"/>
      <c r="BS952" s="10"/>
      <c r="BT952" s="10"/>
      <c r="BU952" s="10"/>
      <c r="BV952" s="10"/>
      <c r="BW952" s="10"/>
      <c r="BX952" s="10"/>
      <c r="BY952" s="23"/>
      <c r="BZ952" s="23"/>
      <c r="CA952" s="23"/>
      <c r="CB952" s="23"/>
      <c r="CC952" s="23"/>
      <c r="CD952" s="23"/>
      <c r="CE952" s="23"/>
      <c r="CF952" s="23"/>
      <c r="CG952" s="23"/>
      <c r="CH952" s="23"/>
      <c r="CI952" s="23"/>
    </row>
    <row r="953" spans="1:87" x14ac:dyDescent="0.3">
      <c r="A953" s="9" t="s">
        <v>7599</v>
      </c>
      <c r="B953" s="10" t="s">
        <v>7600</v>
      </c>
      <c r="C953" s="11">
        <v>46166</v>
      </c>
      <c r="D953" s="12">
        <v>8.3333333333333329E-2</v>
      </c>
      <c r="E953" s="11">
        <v>46166.083333333336</v>
      </c>
      <c r="F953" s="10" t="s">
        <v>5001</v>
      </c>
      <c r="G953" s="13" t="b">
        <v>0</v>
      </c>
      <c r="H953" s="10"/>
      <c r="I953" s="10" t="s">
        <v>89</v>
      </c>
      <c r="J953" s="13" t="b">
        <v>0</v>
      </c>
      <c r="K953" s="13" t="b">
        <v>1</v>
      </c>
      <c r="L953" s="10" t="s">
        <v>124</v>
      </c>
      <c r="M953" s="10" t="s">
        <v>91</v>
      </c>
      <c r="N953" s="10" t="s">
        <v>92</v>
      </c>
      <c r="O953" s="10"/>
      <c r="P953" s="10"/>
      <c r="Q953" s="10"/>
      <c r="R953" s="10"/>
      <c r="S953" s="10"/>
      <c r="T953" s="10"/>
      <c r="U953" s="10" t="s">
        <v>5066</v>
      </c>
      <c r="V953" s="10" t="s">
        <v>5077</v>
      </c>
      <c r="W953" s="10" t="s">
        <v>5007</v>
      </c>
      <c r="X953" s="10" t="s">
        <v>130</v>
      </c>
      <c r="Y953" s="10" t="s">
        <v>130</v>
      </c>
      <c r="Z953" s="10" t="s">
        <v>99</v>
      </c>
      <c r="AA953" s="10" t="s">
        <v>131</v>
      </c>
      <c r="AB953" s="10" t="s">
        <v>5008</v>
      </c>
      <c r="AC953" s="10" t="s">
        <v>5009</v>
      </c>
      <c r="AD953" s="10" t="s">
        <v>7601</v>
      </c>
      <c r="AE953" s="10" t="s">
        <v>7602</v>
      </c>
      <c r="AF953" s="15"/>
      <c r="AG953" s="10"/>
      <c r="AH953" s="10"/>
      <c r="AI953" s="10"/>
      <c r="AJ953" s="10"/>
      <c r="AK953" s="10"/>
      <c r="AL953" s="10" t="s">
        <v>3172</v>
      </c>
      <c r="AM953" s="10"/>
      <c r="AN953" s="10"/>
      <c r="AO953" s="13" t="b">
        <v>0</v>
      </c>
      <c r="AP953" s="10" t="s">
        <v>104</v>
      </c>
      <c r="AQ953" s="10"/>
      <c r="AR953" s="17"/>
      <c r="AS953" s="17"/>
      <c r="AT953" s="17"/>
      <c r="AU953" s="17"/>
      <c r="AV953" s="17"/>
      <c r="AW953" s="10"/>
      <c r="AX953" s="17"/>
      <c r="AY953" s="18" t="s">
        <v>257</v>
      </c>
      <c r="AZ953" s="10"/>
      <c r="BA953" s="20" t="b">
        <v>0</v>
      </c>
      <c r="BB953" s="10"/>
      <c r="BC953" s="17" t="s">
        <v>257</v>
      </c>
      <c r="BD953" s="17" t="s">
        <v>257</v>
      </c>
      <c r="BE953" s="17" t="s">
        <v>257</v>
      </c>
      <c r="BF953" s="17" t="s">
        <v>257</v>
      </c>
      <c r="BG953" s="11">
        <f ca="1">IFERROR(__xludf.DUMMYFUNCTION("""COMPUTED_VALUE"""),46166)</f>
        <v>46166</v>
      </c>
      <c r="BH953" s="17"/>
      <c r="BI953" s="17"/>
      <c r="BJ953" s="15"/>
      <c r="BK953" s="15"/>
      <c r="BL953" s="13" t="b">
        <v>0</v>
      </c>
      <c r="BM953" s="10"/>
      <c r="BN953" s="10" t="s">
        <v>223</v>
      </c>
      <c r="BO953" s="11">
        <v>45866.101898148147</v>
      </c>
      <c r="BP953" s="11">
        <v>45866.101898148147</v>
      </c>
      <c r="BQ953" s="15"/>
      <c r="BR953" s="15"/>
      <c r="BS953" s="10"/>
      <c r="BT953" s="10"/>
      <c r="BU953" s="10"/>
      <c r="BV953" s="10"/>
      <c r="BW953" s="10"/>
      <c r="BX953" s="10"/>
      <c r="BY953" s="23"/>
      <c r="BZ953" s="23"/>
      <c r="CA953" s="23"/>
      <c r="CB953" s="23"/>
      <c r="CC953" s="23"/>
      <c r="CD953" s="23"/>
      <c r="CE953" s="23"/>
      <c r="CF953" s="23"/>
      <c r="CG953" s="23"/>
      <c r="CH953" s="23"/>
      <c r="CI953" s="23"/>
    </row>
    <row r="954" spans="1:87" x14ac:dyDescent="0.3">
      <c r="A954" s="9" t="s">
        <v>7603</v>
      </c>
      <c r="B954" s="10" t="s">
        <v>7604</v>
      </c>
      <c r="C954" s="11">
        <v>46166</v>
      </c>
      <c r="D954" s="12">
        <v>8.3333333333333329E-2</v>
      </c>
      <c r="E954" s="11">
        <v>46166.083333333336</v>
      </c>
      <c r="F954" s="10" t="s">
        <v>5001</v>
      </c>
      <c r="G954" s="13" t="b">
        <v>0</v>
      </c>
      <c r="H954" s="10"/>
      <c r="I954" s="10" t="s">
        <v>89</v>
      </c>
      <c r="J954" s="13" t="b">
        <v>0</v>
      </c>
      <c r="K954" s="13" t="b">
        <v>1</v>
      </c>
      <c r="L954" s="10" t="s">
        <v>124</v>
      </c>
      <c r="M954" s="10" t="s">
        <v>91</v>
      </c>
      <c r="N954" s="10" t="s">
        <v>92</v>
      </c>
      <c r="O954" s="10"/>
      <c r="P954" s="10"/>
      <c r="Q954" s="10"/>
      <c r="R954" s="10"/>
      <c r="S954" s="10"/>
      <c r="T954" s="10"/>
      <c r="U954" s="10" t="s">
        <v>5005</v>
      </c>
      <c r="V954" s="10" t="s">
        <v>5101</v>
      </c>
      <c r="W954" s="10" t="s">
        <v>5007</v>
      </c>
      <c r="X954" s="10" t="s">
        <v>130</v>
      </c>
      <c r="Y954" s="10" t="s">
        <v>130</v>
      </c>
      <c r="Z954" s="10" t="s">
        <v>99</v>
      </c>
      <c r="AA954" s="10" t="s">
        <v>131</v>
      </c>
      <c r="AB954" s="10" t="s">
        <v>5008</v>
      </c>
      <c r="AC954" s="10" t="s">
        <v>5009</v>
      </c>
      <c r="AD954" s="10" t="s">
        <v>7605</v>
      </c>
      <c r="AE954" s="10" t="s">
        <v>7606</v>
      </c>
      <c r="AF954" s="15"/>
      <c r="AG954" s="10"/>
      <c r="AH954" s="10"/>
      <c r="AI954" s="10"/>
      <c r="AJ954" s="10"/>
      <c r="AK954" s="10"/>
      <c r="AL954" s="10" t="s">
        <v>3172</v>
      </c>
      <c r="AM954" s="10"/>
      <c r="AN954" s="10"/>
      <c r="AO954" s="13" t="b">
        <v>0</v>
      </c>
      <c r="AP954" s="10" t="s">
        <v>104</v>
      </c>
      <c r="AQ954" s="10"/>
      <c r="AR954" s="17"/>
      <c r="AS954" s="17"/>
      <c r="AT954" s="17"/>
      <c r="AU954" s="17"/>
      <c r="AV954" s="17"/>
      <c r="AW954" s="10"/>
      <c r="AX954" s="17"/>
      <c r="AY954" s="18" t="s">
        <v>257</v>
      </c>
      <c r="AZ954" s="10"/>
      <c r="BA954" s="20" t="b">
        <v>0</v>
      </c>
      <c r="BB954" s="10"/>
      <c r="BC954" s="17" t="s">
        <v>257</v>
      </c>
      <c r="BD954" s="17" t="s">
        <v>257</v>
      </c>
      <c r="BE954" s="17" t="s">
        <v>257</v>
      </c>
      <c r="BF954" s="17" t="s">
        <v>257</v>
      </c>
      <c r="BG954" s="11">
        <f ca="1">IFERROR(__xludf.DUMMYFUNCTION("""COMPUTED_VALUE"""),46166)</f>
        <v>46166</v>
      </c>
      <c r="BH954" s="17"/>
      <c r="BI954" s="17"/>
      <c r="BJ954" s="15"/>
      <c r="BK954" s="15"/>
      <c r="BL954" s="13" t="b">
        <v>0</v>
      </c>
      <c r="BM954" s="10"/>
      <c r="BN954" s="10" t="s">
        <v>223</v>
      </c>
      <c r="BO954" s="11">
        <v>45866.101898148147</v>
      </c>
      <c r="BP954" s="11">
        <v>45866.101898148147</v>
      </c>
      <c r="BQ954" s="15"/>
      <c r="BR954" s="15"/>
      <c r="BS954" s="10"/>
      <c r="BT954" s="10"/>
      <c r="BU954" s="10"/>
      <c r="BV954" s="10"/>
      <c r="BW954" s="10"/>
      <c r="BX954" s="10"/>
      <c r="BY954" s="23"/>
      <c r="BZ954" s="23"/>
      <c r="CA954" s="23"/>
      <c r="CB954" s="23"/>
      <c r="CC954" s="23"/>
      <c r="CD954" s="23"/>
      <c r="CE954" s="23"/>
      <c r="CF954" s="23"/>
      <c r="CG954" s="23"/>
      <c r="CH954" s="23"/>
      <c r="CI954" s="23"/>
    </row>
    <row r="955" spans="1:87" x14ac:dyDescent="0.3">
      <c r="A955" s="9" t="s">
        <v>7607</v>
      </c>
      <c r="B955" s="10" t="s">
        <v>7608</v>
      </c>
      <c r="C955" s="11">
        <v>46166</v>
      </c>
      <c r="D955" s="12">
        <v>8.3333333333333329E-2</v>
      </c>
      <c r="E955" s="11">
        <v>46166.083333333336</v>
      </c>
      <c r="F955" s="10" t="s">
        <v>5001</v>
      </c>
      <c r="G955" s="13" t="b">
        <v>0</v>
      </c>
      <c r="H955" s="10"/>
      <c r="I955" s="10" t="s">
        <v>89</v>
      </c>
      <c r="J955" s="13" t="b">
        <v>0</v>
      </c>
      <c r="K955" s="13" t="b">
        <v>1</v>
      </c>
      <c r="L955" s="10" t="s">
        <v>124</v>
      </c>
      <c r="M955" s="10" t="s">
        <v>91</v>
      </c>
      <c r="N955" s="10" t="s">
        <v>92</v>
      </c>
      <c r="O955" s="10"/>
      <c r="P955" s="10"/>
      <c r="Q955" s="10"/>
      <c r="R955" s="10"/>
      <c r="S955" s="10"/>
      <c r="T955" s="10"/>
      <c r="U955" s="10" t="s">
        <v>5089</v>
      </c>
      <c r="V955" s="10" t="s">
        <v>5055</v>
      </c>
      <c r="W955" s="10" t="s">
        <v>5007</v>
      </c>
      <c r="X955" s="10" t="s">
        <v>130</v>
      </c>
      <c r="Y955" s="10" t="s">
        <v>130</v>
      </c>
      <c r="Z955" s="10" t="s">
        <v>99</v>
      </c>
      <c r="AA955" s="10" t="s">
        <v>131</v>
      </c>
      <c r="AB955" s="10" t="s">
        <v>5008</v>
      </c>
      <c r="AC955" s="10" t="s">
        <v>5009</v>
      </c>
      <c r="AD955" s="10" t="s">
        <v>7609</v>
      </c>
      <c r="AE955" s="10" t="s">
        <v>7610</v>
      </c>
      <c r="AF955" s="15"/>
      <c r="AG955" s="10"/>
      <c r="AH955" s="10"/>
      <c r="AI955" s="10"/>
      <c r="AJ955" s="10"/>
      <c r="AK955" s="10"/>
      <c r="AL955" s="10" t="s">
        <v>3172</v>
      </c>
      <c r="AM955" s="10"/>
      <c r="AN955" s="10"/>
      <c r="AO955" s="13" t="b">
        <v>0</v>
      </c>
      <c r="AP955" s="10" t="s">
        <v>104</v>
      </c>
      <c r="AQ955" s="10"/>
      <c r="AR955" s="17"/>
      <c r="AS955" s="17"/>
      <c r="AT955" s="17"/>
      <c r="AU955" s="17"/>
      <c r="AV955" s="17"/>
      <c r="AW955" s="10"/>
      <c r="AX955" s="17"/>
      <c r="AY955" s="18" t="s">
        <v>257</v>
      </c>
      <c r="AZ955" s="10"/>
      <c r="BA955" s="20" t="b">
        <v>0</v>
      </c>
      <c r="BB955" s="10"/>
      <c r="BC955" s="17" t="s">
        <v>257</v>
      </c>
      <c r="BD955" s="17" t="s">
        <v>257</v>
      </c>
      <c r="BE955" s="17" t="s">
        <v>257</v>
      </c>
      <c r="BF955" s="17" t="s">
        <v>257</v>
      </c>
      <c r="BG955" s="11">
        <f ca="1">IFERROR(__xludf.DUMMYFUNCTION("""COMPUTED_VALUE"""),46166)</f>
        <v>46166</v>
      </c>
      <c r="BH955" s="17"/>
      <c r="BI955" s="17"/>
      <c r="BJ955" s="15"/>
      <c r="BK955" s="15"/>
      <c r="BL955" s="13" t="b">
        <v>0</v>
      </c>
      <c r="BM955" s="10"/>
      <c r="BN955" s="10" t="s">
        <v>223</v>
      </c>
      <c r="BO955" s="11">
        <v>45866.101898148147</v>
      </c>
      <c r="BP955" s="11">
        <v>45866.101898148147</v>
      </c>
      <c r="BQ955" s="15"/>
      <c r="BR955" s="15"/>
      <c r="BS955" s="10"/>
      <c r="BT955" s="10"/>
      <c r="BU955" s="10"/>
      <c r="BV955" s="10"/>
      <c r="BW955" s="10"/>
      <c r="BX955" s="10"/>
      <c r="BY955" s="23"/>
      <c r="BZ955" s="23"/>
      <c r="CA955" s="23"/>
      <c r="CB955" s="23"/>
      <c r="CC955" s="23"/>
      <c r="CD955" s="23"/>
      <c r="CE955" s="23"/>
      <c r="CF955" s="23"/>
      <c r="CG955" s="23"/>
      <c r="CH955" s="23"/>
      <c r="CI955" s="23"/>
    </row>
    <row r="956" spans="1:87" x14ac:dyDescent="0.3">
      <c r="A956" s="9" t="s">
        <v>7611</v>
      </c>
      <c r="B956" s="10" t="s">
        <v>7612</v>
      </c>
      <c r="C956" s="11">
        <v>45878.083333333336</v>
      </c>
      <c r="D956" s="12">
        <v>8.3333333333333329E-2</v>
      </c>
      <c r="E956" s="11">
        <v>45878.166666666664</v>
      </c>
      <c r="F956" s="10" t="s">
        <v>7613</v>
      </c>
      <c r="G956" s="13" t="b">
        <v>0</v>
      </c>
      <c r="H956" s="10" t="s">
        <v>3478</v>
      </c>
      <c r="I956" s="10" t="s">
        <v>89</v>
      </c>
      <c r="J956" s="13" t="b">
        <v>0</v>
      </c>
      <c r="K956" s="13" t="b">
        <v>1</v>
      </c>
      <c r="L956" s="10" t="s">
        <v>124</v>
      </c>
      <c r="M956" s="10" t="s">
        <v>91</v>
      </c>
      <c r="N956" s="10" t="s">
        <v>265</v>
      </c>
      <c r="O956" s="19" t="s">
        <v>7614</v>
      </c>
      <c r="P956" s="10"/>
      <c r="Q956" s="10" t="s">
        <v>126</v>
      </c>
      <c r="R956" s="19" t="s">
        <v>7615</v>
      </c>
      <c r="S956" s="19" t="s">
        <v>7616</v>
      </c>
      <c r="T956" s="19" t="s">
        <v>7617</v>
      </c>
      <c r="U956" s="10" t="s">
        <v>7618</v>
      </c>
      <c r="V956" s="10" t="s">
        <v>7619</v>
      </c>
      <c r="W956" s="10" t="s">
        <v>7620</v>
      </c>
      <c r="X956" s="10" t="s">
        <v>130</v>
      </c>
      <c r="Y956" s="10" t="s">
        <v>130</v>
      </c>
      <c r="Z956" s="10" t="s">
        <v>99</v>
      </c>
      <c r="AA956" s="10" t="s">
        <v>131</v>
      </c>
      <c r="AB956" s="10" t="s">
        <v>7621</v>
      </c>
      <c r="AC956" s="10" t="s">
        <v>274</v>
      </c>
      <c r="AD956" s="10" t="s">
        <v>7622</v>
      </c>
      <c r="AE956" s="10" t="s">
        <v>7623</v>
      </c>
      <c r="AF956" s="15"/>
      <c r="AG956" s="10"/>
      <c r="AH956" s="10"/>
      <c r="AI956" s="10"/>
      <c r="AJ956" s="10" t="s">
        <v>7624</v>
      </c>
      <c r="AK956" s="10" t="s">
        <v>102</v>
      </c>
      <c r="AL956" s="10" t="s">
        <v>103</v>
      </c>
      <c r="AM956" s="10"/>
      <c r="AN956" s="10"/>
      <c r="AO956" s="13" t="b">
        <v>0</v>
      </c>
      <c r="AP956" s="10" t="s">
        <v>104</v>
      </c>
      <c r="AQ956" s="10">
        <f ca="1">IFERROR(__xludf.DUMMYFUNCTION("""COMPUTED_VALUE"""),4486105)</f>
        <v>4486105</v>
      </c>
      <c r="AR956" s="17">
        <v>3461</v>
      </c>
      <c r="AS956" s="17">
        <v>2642</v>
      </c>
      <c r="AT956" s="17">
        <v>75888.25</v>
      </c>
      <c r="AU956" s="17">
        <v>20</v>
      </c>
      <c r="AV956" s="17">
        <v>9.1</v>
      </c>
      <c r="AW956" s="10" t="s">
        <v>105</v>
      </c>
      <c r="AX956" s="17">
        <v>709</v>
      </c>
      <c r="AY956" s="18">
        <v>28.723788796366389</v>
      </c>
      <c r="AZ956" s="10" t="s">
        <v>106</v>
      </c>
      <c r="BA956" s="20" t="b">
        <v>0</v>
      </c>
      <c r="BB956" s="10"/>
      <c r="BC956" s="17">
        <v>3461</v>
      </c>
      <c r="BD956" s="17">
        <v>2642</v>
      </c>
      <c r="BE956" s="17">
        <v>75888.25</v>
      </c>
      <c r="BF956" s="17">
        <v>9.1</v>
      </c>
      <c r="BG956" s="11">
        <f ca="1">IFERROR(__xludf.DUMMYFUNCTION("""COMPUTED_VALUE"""),45878.0833333333)</f>
        <v>45878.083333333299</v>
      </c>
      <c r="BH956" s="17" t="s">
        <v>105</v>
      </c>
      <c r="BI956" s="17"/>
      <c r="BJ956" s="15"/>
      <c r="BK956" s="15"/>
      <c r="BL956" s="13" t="b">
        <v>0</v>
      </c>
      <c r="BM956" s="10"/>
      <c r="BN956" s="10" t="s">
        <v>455</v>
      </c>
      <c r="BO956" s="11">
        <v>45866.759722222225</v>
      </c>
      <c r="BP956" s="11">
        <v>45875.43277777778</v>
      </c>
      <c r="BQ956" s="15">
        <v>45877.672129629631</v>
      </c>
      <c r="BR956" s="15">
        <v>45877.71534722222</v>
      </c>
      <c r="BS956" s="10" t="s">
        <v>455</v>
      </c>
      <c r="BT956" s="10" t="s">
        <v>99</v>
      </c>
      <c r="BU956" s="10" t="s">
        <v>280</v>
      </c>
      <c r="BV956" s="10"/>
      <c r="BW956" s="10"/>
      <c r="BX956" s="10"/>
      <c r="BY956" s="23"/>
      <c r="BZ956" s="23"/>
      <c r="CA956" s="19" t="s">
        <v>7625</v>
      </c>
      <c r="CB956" s="19" t="s">
        <v>7626</v>
      </c>
      <c r="CC956" s="23"/>
      <c r="CD956" s="19" t="s">
        <v>7627</v>
      </c>
      <c r="CE956" s="23"/>
      <c r="CF956" s="23"/>
      <c r="CG956" s="23"/>
      <c r="CH956" s="23"/>
      <c r="CI956" s="23"/>
    </row>
    <row r="957" spans="1:87" x14ac:dyDescent="0.3">
      <c r="A957" s="9" t="s">
        <v>7628</v>
      </c>
      <c r="B957" s="10" t="s">
        <v>7629</v>
      </c>
      <c r="C957" s="11">
        <v>45878.770833333336</v>
      </c>
      <c r="D957" s="12">
        <v>8.3333333333333329E-2</v>
      </c>
      <c r="E957" s="11">
        <v>45878.854166666664</v>
      </c>
      <c r="F957" s="10" t="s">
        <v>7613</v>
      </c>
      <c r="G957" s="13" t="b">
        <v>0</v>
      </c>
      <c r="H957" s="10" t="s">
        <v>88</v>
      </c>
      <c r="I957" s="10" t="s">
        <v>89</v>
      </c>
      <c r="J957" s="13" t="b">
        <v>0</v>
      </c>
      <c r="K957" s="13" t="b">
        <v>1</v>
      </c>
      <c r="L957" s="10" t="s">
        <v>124</v>
      </c>
      <c r="M957" s="10" t="s">
        <v>91</v>
      </c>
      <c r="N957" s="10" t="s">
        <v>265</v>
      </c>
      <c r="O957" s="19" t="s">
        <v>7630</v>
      </c>
      <c r="P957" s="10"/>
      <c r="Q957" s="10" t="s">
        <v>94</v>
      </c>
      <c r="R957" s="10"/>
      <c r="S957" s="19" t="s">
        <v>7631</v>
      </c>
      <c r="T957" s="19" t="s">
        <v>7617</v>
      </c>
      <c r="U957" s="10" t="s">
        <v>7632</v>
      </c>
      <c r="V957" s="10" t="s">
        <v>7633</v>
      </c>
      <c r="W957" s="10" t="s">
        <v>7620</v>
      </c>
      <c r="X957" s="10" t="s">
        <v>130</v>
      </c>
      <c r="Y957" s="10" t="s">
        <v>130</v>
      </c>
      <c r="Z957" s="10" t="s">
        <v>99</v>
      </c>
      <c r="AA957" s="10" t="s">
        <v>131</v>
      </c>
      <c r="AB957" s="10" t="s">
        <v>7621</v>
      </c>
      <c r="AC957" s="10" t="s">
        <v>274</v>
      </c>
      <c r="AD957" s="10" t="s">
        <v>7634</v>
      </c>
      <c r="AE957" s="10" t="s">
        <v>7635</v>
      </c>
      <c r="AF957" s="15"/>
      <c r="AG957" s="10"/>
      <c r="AH957" s="10"/>
      <c r="AI957" s="10"/>
      <c r="AJ957" s="10"/>
      <c r="AK957" s="10" t="s">
        <v>102</v>
      </c>
      <c r="AL957" s="10" t="s">
        <v>103</v>
      </c>
      <c r="AM957" s="10"/>
      <c r="AN957" s="10"/>
      <c r="AO957" s="13" t="b">
        <v>0</v>
      </c>
      <c r="AP957" s="10" t="s">
        <v>104</v>
      </c>
      <c r="AQ957" s="10">
        <f ca="1">IFERROR(__xludf.DUMMYFUNCTION("""COMPUTED_VALUE"""),4486106)</f>
        <v>4486106</v>
      </c>
      <c r="AR957" s="17">
        <v>16945</v>
      </c>
      <c r="AS957" s="17">
        <v>13081</v>
      </c>
      <c r="AT957" s="17">
        <v>151897.25</v>
      </c>
      <c r="AU957" s="17">
        <v>129.15</v>
      </c>
      <c r="AV957" s="17">
        <v>55.3</v>
      </c>
      <c r="AW957" s="10" t="s">
        <v>105</v>
      </c>
      <c r="AX957" s="17">
        <v>2563</v>
      </c>
      <c r="AY957" s="18">
        <v>11.612051830899778</v>
      </c>
      <c r="AZ957" s="10" t="s">
        <v>106</v>
      </c>
      <c r="BA957" s="20" t="b">
        <v>0</v>
      </c>
      <c r="BB957" s="10"/>
      <c r="BC957" s="17">
        <v>16945</v>
      </c>
      <c r="BD957" s="17">
        <v>13081</v>
      </c>
      <c r="BE957" s="17">
        <v>151897.25</v>
      </c>
      <c r="BF957" s="17">
        <v>55.3</v>
      </c>
      <c r="BG957" s="11">
        <f ca="1">IFERROR(__xludf.DUMMYFUNCTION("""COMPUTED_VALUE"""),45878.7708333333)</f>
        <v>45878.770833333299</v>
      </c>
      <c r="BH957" s="17" t="s">
        <v>105</v>
      </c>
      <c r="BI957" s="17"/>
      <c r="BJ957" s="15"/>
      <c r="BK957" s="15"/>
      <c r="BL957" s="13" t="b">
        <v>0</v>
      </c>
      <c r="BM957" s="10"/>
      <c r="BN957" s="10" t="s">
        <v>106</v>
      </c>
      <c r="BO957" s="11">
        <v>45866.761111111111</v>
      </c>
      <c r="BP957" s="11">
        <v>45867.772002314814</v>
      </c>
      <c r="BQ957" s="15">
        <v>45877.677106481482</v>
      </c>
      <c r="BR957" s="15">
        <v>45877.715509259258</v>
      </c>
      <c r="BS957" s="10"/>
      <c r="BT957" s="10"/>
      <c r="BU957" s="10"/>
      <c r="BV957" s="10"/>
      <c r="BW957" s="10"/>
      <c r="BX957" s="10"/>
      <c r="BY957" s="23"/>
      <c r="BZ957" s="23"/>
      <c r="CA957" s="19" t="s">
        <v>7636</v>
      </c>
      <c r="CB957" s="19" t="s">
        <v>7637</v>
      </c>
      <c r="CC957" s="23"/>
      <c r="CD957" s="23"/>
      <c r="CE957" s="23"/>
      <c r="CF957" s="23"/>
      <c r="CG957" s="23"/>
      <c r="CH957" s="23"/>
      <c r="CI957" s="23"/>
    </row>
    <row r="958" spans="1:87" x14ac:dyDescent="0.3">
      <c r="A958" s="9" t="s">
        <v>7638</v>
      </c>
      <c r="B958" s="10" t="s">
        <v>7639</v>
      </c>
      <c r="C958" s="11">
        <v>45877.770833333336</v>
      </c>
      <c r="D958" s="12">
        <v>2.0833333333333332E-2</v>
      </c>
      <c r="E958" s="11">
        <v>45877.791666666664</v>
      </c>
      <c r="F958" s="10" t="s">
        <v>3511</v>
      </c>
      <c r="G958" s="13" t="b">
        <v>0</v>
      </c>
      <c r="H958" s="10" t="s">
        <v>3512</v>
      </c>
      <c r="I958" s="10" t="s">
        <v>212</v>
      </c>
      <c r="J958" s="13" t="b">
        <v>1</v>
      </c>
      <c r="K958" s="13" t="b">
        <v>0</v>
      </c>
      <c r="L958" s="10" t="s">
        <v>90</v>
      </c>
      <c r="M958" s="10" t="s">
        <v>91</v>
      </c>
      <c r="N958" s="10" t="s">
        <v>92</v>
      </c>
      <c r="O958" s="19" t="s">
        <v>7640</v>
      </c>
      <c r="P958" s="10"/>
      <c r="Q958" s="10" t="s">
        <v>94</v>
      </c>
      <c r="R958" s="10"/>
      <c r="S958" s="19" t="s">
        <v>3550</v>
      </c>
      <c r="T958" s="10"/>
      <c r="U958" s="10"/>
      <c r="V958" s="10"/>
      <c r="W958" s="10" t="s">
        <v>3519</v>
      </c>
      <c r="X958" s="10" t="s">
        <v>130</v>
      </c>
      <c r="Y958" s="10" t="s">
        <v>130</v>
      </c>
      <c r="Z958" s="10" t="s">
        <v>99</v>
      </c>
      <c r="AA958" s="10" t="s">
        <v>131</v>
      </c>
      <c r="AB958" s="10" t="s">
        <v>3520</v>
      </c>
      <c r="AC958" s="10" t="s">
        <v>3521</v>
      </c>
      <c r="AD958" s="10" t="s">
        <v>165</v>
      </c>
      <c r="AE958" s="10" t="s">
        <v>7641</v>
      </c>
      <c r="AF958" s="15"/>
      <c r="AG958" s="10"/>
      <c r="AH958" s="10"/>
      <c r="AI958" s="10"/>
      <c r="AJ958" s="10"/>
      <c r="AK958" s="10" t="s">
        <v>102</v>
      </c>
      <c r="AL958" s="10"/>
      <c r="AM958" s="10"/>
      <c r="AN958" s="10"/>
      <c r="AO958" s="13" t="b">
        <v>0</v>
      </c>
      <c r="AP958" s="10" t="s">
        <v>104</v>
      </c>
      <c r="AQ958" s="10">
        <f ca="1">IFERROR(__xludf.DUMMYFUNCTION("""COMPUTED_VALUE"""),4485271)</f>
        <v>4485271</v>
      </c>
      <c r="AR958" s="17">
        <v>3812</v>
      </c>
      <c r="AS958" s="17">
        <v>3129</v>
      </c>
      <c r="AT958" s="17">
        <v>20515.5</v>
      </c>
      <c r="AU958" s="17">
        <v>33.549999999999997</v>
      </c>
      <c r="AV958" s="17">
        <v>23.75</v>
      </c>
      <c r="AW958" s="10" t="s">
        <v>105</v>
      </c>
      <c r="AX958" s="17">
        <v>1555</v>
      </c>
      <c r="AY958" s="18">
        <v>6.5565675934803451</v>
      </c>
      <c r="AZ958" s="10" t="s">
        <v>185</v>
      </c>
      <c r="BA958" s="20" t="b">
        <v>0</v>
      </c>
      <c r="BB958" s="10"/>
      <c r="BC958" s="17">
        <v>3812</v>
      </c>
      <c r="BD958" s="17">
        <v>3129</v>
      </c>
      <c r="BE958" s="17">
        <v>20515.5</v>
      </c>
      <c r="BF958" s="17">
        <v>23.75</v>
      </c>
      <c r="BG958" s="11">
        <f ca="1">IFERROR(__xludf.DUMMYFUNCTION("""COMPUTED_VALUE"""),45877.7708333333)</f>
        <v>45877.770833333299</v>
      </c>
      <c r="BH958" s="17" t="s">
        <v>105</v>
      </c>
      <c r="BI958" s="17"/>
      <c r="BJ958" s="15"/>
      <c r="BK958" s="15"/>
      <c r="BL958" s="13" t="b">
        <v>0</v>
      </c>
      <c r="BM958" s="10"/>
      <c r="BN958" s="10" t="s">
        <v>278</v>
      </c>
      <c r="BO958" s="11">
        <v>45868.570833333331</v>
      </c>
      <c r="BP958" s="11">
        <v>45874.600868055553</v>
      </c>
      <c r="BQ958" s="15">
        <v>45877.048819444448</v>
      </c>
      <c r="BR958" s="15">
        <v>45877.140173611115</v>
      </c>
      <c r="BS958" s="10" t="s">
        <v>278</v>
      </c>
      <c r="BT958" s="10" t="s">
        <v>99</v>
      </c>
      <c r="BU958" s="10" t="s">
        <v>655</v>
      </c>
      <c r="BV958" s="10"/>
      <c r="BW958" s="10"/>
      <c r="BX958" s="10"/>
      <c r="BY958" s="23"/>
      <c r="BZ958" s="23"/>
      <c r="CA958" s="19" t="s">
        <v>3558</v>
      </c>
      <c r="CB958" s="23"/>
      <c r="CC958" s="23"/>
      <c r="CD958" s="23"/>
      <c r="CE958" s="23"/>
      <c r="CF958" s="23"/>
      <c r="CG958" s="23"/>
      <c r="CH958" s="23"/>
      <c r="CI958" s="23"/>
    </row>
    <row r="959" spans="1:87" x14ac:dyDescent="0.3">
      <c r="A959" s="9" t="s">
        <v>7642</v>
      </c>
      <c r="B959" s="10" t="s">
        <v>7643</v>
      </c>
      <c r="C959" s="11">
        <v>45878.625</v>
      </c>
      <c r="D959" s="12">
        <v>2.0833333333333332E-2</v>
      </c>
      <c r="E959" s="11">
        <v>45878.645833333336</v>
      </c>
      <c r="F959" s="10" t="s">
        <v>3511</v>
      </c>
      <c r="G959" s="13" t="b">
        <v>0</v>
      </c>
      <c r="H959" s="10" t="s">
        <v>3512</v>
      </c>
      <c r="I959" s="10" t="s">
        <v>212</v>
      </c>
      <c r="J959" s="13" t="b">
        <v>1</v>
      </c>
      <c r="K959" s="13" t="b">
        <v>0</v>
      </c>
      <c r="L959" s="10" t="s">
        <v>90</v>
      </c>
      <c r="M959" s="10" t="s">
        <v>91</v>
      </c>
      <c r="N959" s="10" t="s">
        <v>92</v>
      </c>
      <c r="O959" s="19" t="s">
        <v>7644</v>
      </c>
      <c r="P959" s="10"/>
      <c r="Q959" s="10" t="s">
        <v>94</v>
      </c>
      <c r="R959" s="10"/>
      <c r="S959" s="19" t="s">
        <v>3608</v>
      </c>
      <c r="T959" s="10"/>
      <c r="U959" s="10" t="s">
        <v>3609</v>
      </c>
      <c r="V959" s="10" t="s">
        <v>3610</v>
      </c>
      <c r="W959" s="10" t="s">
        <v>3519</v>
      </c>
      <c r="X959" s="10" t="s">
        <v>130</v>
      </c>
      <c r="Y959" s="10" t="s">
        <v>130</v>
      </c>
      <c r="Z959" s="10" t="s">
        <v>99</v>
      </c>
      <c r="AA959" s="10" t="s">
        <v>131</v>
      </c>
      <c r="AB959" s="10" t="s">
        <v>3520</v>
      </c>
      <c r="AC959" s="10" t="s">
        <v>3521</v>
      </c>
      <c r="AD959" s="10" t="s">
        <v>7645</v>
      </c>
      <c r="AE959" s="10" t="s">
        <v>7646</v>
      </c>
      <c r="AF959" s="15"/>
      <c r="AG959" s="10"/>
      <c r="AH959" s="10"/>
      <c r="AI959" s="10"/>
      <c r="AJ959" s="10"/>
      <c r="AK959" s="10" t="s">
        <v>102</v>
      </c>
      <c r="AL959" s="10"/>
      <c r="AM959" s="10"/>
      <c r="AN959" s="10"/>
      <c r="AO959" s="13" t="b">
        <v>0</v>
      </c>
      <c r="AP959" s="10" t="s">
        <v>104</v>
      </c>
      <c r="AQ959" s="10">
        <f ca="1">IFERROR(__xludf.DUMMYFUNCTION("""COMPUTED_VALUE"""),4486136)</f>
        <v>4486136</v>
      </c>
      <c r="AR959" s="17">
        <v>11530</v>
      </c>
      <c r="AS959" s="17">
        <v>9155</v>
      </c>
      <c r="AT959" s="17">
        <v>51549</v>
      </c>
      <c r="AU959" s="17">
        <v>229.25</v>
      </c>
      <c r="AV959" s="17">
        <v>141.94999999999999</v>
      </c>
      <c r="AW959" s="10" t="s">
        <v>105</v>
      </c>
      <c r="AX959" s="17">
        <v>4775</v>
      </c>
      <c r="AY959" s="18">
        <v>5.6306936100491534</v>
      </c>
      <c r="AZ959" s="10" t="s">
        <v>185</v>
      </c>
      <c r="BA959" s="20" t="b">
        <v>0</v>
      </c>
      <c r="BB959" s="10"/>
      <c r="BC959" s="17">
        <v>11530</v>
      </c>
      <c r="BD959" s="17">
        <v>9155</v>
      </c>
      <c r="BE959" s="17">
        <v>51549</v>
      </c>
      <c r="BF959" s="17">
        <v>141.94999999999999</v>
      </c>
      <c r="BG959" s="11">
        <f ca="1">IFERROR(__xludf.DUMMYFUNCTION("""COMPUTED_VALUE"""),45878.625)</f>
        <v>45878.625</v>
      </c>
      <c r="BH959" s="17" t="s">
        <v>105</v>
      </c>
      <c r="BI959" s="17"/>
      <c r="BJ959" s="15"/>
      <c r="BK959" s="15"/>
      <c r="BL959" s="13" t="b">
        <v>0</v>
      </c>
      <c r="BM959" s="10"/>
      <c r="BN959" s="10" t="s">
        <v>137</v>
      </c>
      <c r="BO959" s="11">
        <v>45868.591666666667</v>
      </c>
      <c r="BP959" s="11">
        <v>45874.573958333334</v>
      </c>
      <c r="BQ959" s="15">
        <v>45877.691678240742</v>
      </c>
      <c r="BR959" s="15">
        <v>45877.721435185187</v>
      </c>
      <c r="BS959" s="10" t="s">
        <v>137</v>
      </c>
      <c r="BT959" s="10"/>
      <c r="BU959" s="10"/>
      <c r="BV959" s="10"/>
      <c r="BW959" s="10"/>
      <c r="BX959" s="10"/>
      <c r="BY959" s="23"/>
      <c r="BZ959" s="23"/>
      <c r="CA959" s="19" t="s">
        <v>3616</v>
      </c>
      <c r="CB959" s="23"/>
      <c r="CC959" s="23"/>
      <c r="CD959" s="23"/>
      <c r="CE959" s="23"/>
      <c r="CF959" s="23"/>
      <c r="CG959" s="23"/>
      <c r="CH959" s="23"/>
      <c r="CI959" s="23"/>
    </row>
    <row r="960" spans="1:87" x14ac:dyDescent="0.3">
      <c r="A960" s="9" t="s">
        <v>7647</v>
      </c>
      <c r="B960" s="10" t="s">
        <v>7648</v>
      </c>
      <c r="C960" s="11">
        <v>45878.770833333336</v>
      </c>
      <c r="D960" s="12">
        <v>2.0833333333333332E-2</v>
      </c>
      <c r="E960" s="11">
        <v>45878.791666666664</v>
      </c>
      <c r="F960" s="10" t="s">
        <v>3511</v>
      </c>
      <c r="G960" s="13" t="b">
        <v>0</v>
      </c>
      <c r="H960" s="10" t="s">
        <v>3512</v>
      </c>
      <c r="I960" s="10" t="s">
        <v>212</v>
      </c>
      <c r="J960" s="13" t="b">
        <v>1</v>
      </c>
      <c r="K960" s="13" t="b">
        <v>0</v>
      </c>
      <c r="L960" s="10" t="s">
        <v>90</v>
      </c>
      <c r="M960" s="10" t="s">
        <v>91</v>
      </c>
      <c r="N960" s="10" t="s">
        <v>92</v>
      </c>
      <c r="O960" s="19" t="s">
        <v>7649</v>
      </c>
      <c r="P960" s="10"/>
      <c r="Q960" s="10" t="s">
        <v>94</v>
      </c>
      <c r="R960" s="10"/>
      <c r="S960" s="19" t="s">
        <v>7650</v>
      </c>
      <c r="T960" s="10"/>
      <c r="U960" s="10" t="s">
        <v>3622</v>
      </c>
      <c r="V960" s="10" t="s">
        <v>3623</v>
      </c>
      <c r="W960" s="10" t="s">
        <v>3519</v>
      </c>
      <c r="X960" s="10" t="s">
        <v>130</v>
      </c>
      <c r="Y960" s="10" t="s">
        <v>130</v>
      </c>
      <c r="Z960" s="10" t="s">
        <v>99</v>
      </c>
      <c r="AA960" s="10" t="s">
        <v>131</v>
      </c>
      <c r="AB960" s="10" t="s">
        <v>3520</v>
      </c>
      <c r="AC960" s="10" t="s">
        <v>3521</v>
      </c>
      <c r="AD960" s="10" t="s">
        <v>3624</v>
      </c>
      <c r="AE960" s="10" t="s">
        <v>7651</v>
      </c>
      <c r="AF960" s="15"/>
      <c r="AG960" s="10"/>
      <c r="AH960" s="10"/>
      <c r="AI960" s="10"/>
      <c r="AJ960" s="10"/>
      <c r="AK960" s="10" t="s">
        <v>102</v>
      </c>
      <c r="AL960" s="10"/>
      <c r="AM960" s="10"/>
      <c r="AN960" s="10"/>
      <c r="AO960" s="13" t="b">
        <v>0</v>
      </c>
      <c r="AP960" s="10" t="s">
        <v>104</v>
      </c>
      <c r="AQ960" s="10">
        <f ca="1">IFERROR(__xludf.DUMMYFUNCTION("""COMPUTED_VALUE"""),4486137)</f>
        <v>4486137</v>
      </c>
      <c r="AR960" s="17">
        <v>10303</v>
      </c>
      <c r="AS960" s="17">
        <v>8319</v>
      </c>
      <c r="AT960" s="17">
        <v>37822.75</v>
      </c>
      <c r="AU960" s="17">
        <v>52.6</v>
      </c>
      <c r="AV960" s="17">
        <v>30.3</v>
      </c>
      <c r="AW960" s="10" t="s">
        <v>105</v>
      </c>
      <c r="AX960" s="17">
        <v>3926</v>
      </c>
      <c r="AY960" s="18">
        <v>4.5465500661137153</v>
      </c>
      <c r="AZ960" s="10" t="s">
        <v>185</v>
      </c>
      <c r="BA960" s="20" t="b">
        <v>0</v>
      </c>
      <c r="BB960" s="10"/>
      <c r="BC960" s="17">
        <v>10303</v>
      </c>
      <c r="BD960" s="17">
        <v>8319</v>
      </c>
      <c r="BE960" s="17">
        <v>37822.75</v>
      </c>
      <c r="BF960" s="17">
        <v>30.3</v>
      </c>
      <c r="BG960" s="11">
        <f ca="1">IFERROR(__xludf.DUMMYFUNCTION("""COMPUTED_VALUE"""),45878.7708333333)</f>
        <v>45878.770833333299</v>
      </c>
      <c r="BH960" s="17" t="s">
        <v>105</v>
      </c>
      <c r="BI960" s="17"/>
      <c r="BJ960" s="15"/>
      <c r="BK960" s="15"/>
      <c r="BL960" s="13" t="b">
        <v>0</v>
      </c>
      <c r="BM960" s="10"/>
      <c r="BN960" s="10" t="s">
        <v>137</v>
      </c>
      <c r="BO960" s="11">
        <v>45868.593055555553</v>
      </c>
      <c r="BP960" s="11">
        <v>45868.5934375</v>
      </c>
      <c r="BQ960" s="15">
        <v>45877.691331018519</v>
      </c>
      <c r="BR960" s="15">
        <v>45877.721550925926</v>
      </c>
      <c r="BS960" s="10" t="s">
        <v>137</v>
      </c>
      <c r="BT960" s="10"/>
      <c r="BU960" s="10"/>
      <c r="BV960" s="10"/>
      <c r="BW960" s="10"/>
      <c r="BX960" s="10"/>
      <c r="BY960" s="23"/>
      <c r="BZ960" s="23"/>
      <c r="CA960" s="19" t="s">
        <v>3629</v>
      </c>
      <c r="CB960" s="23"/>
      <c r="CC960" s="23"/>
      <c r="CD960" s="23"/>
      <c r="CE960" s="23"/>
      <c r="CF960" s="23"/>
      <c r="CG960" s="23"/>
      <c r="CH960" s="23"/>
      <c r="CI960" s="23"/>
    </row>
    <row r="961" spans="1:87" x14ac:dyDescent="0.3">
      <c r="A961" s="9" t="s">
        <v>7652</v>
      </c>
      <c r="B961" s="10" t="s">
        <v>7653</v>
      </c>
      <c r="C961" s="11">
        <v>45879.625</v>
      </c>
      <c r="D961" s="12">
        <v>2.0833333333333332E-2</v>
      </c>
      <c r="E961" s="11">
        <v>45879.645833333336</v>
      </c>
      <c r="F961" s="10" t="s">
        <v>3511</v>
      </c>
      <c r="G961" s="13" t="b">
        <v>0</v>
      </c>
      <c r="H961" s="10" t="s">
        <v>3512</v>
      </c>
      <c r="I961" s="10" t="s">
        <v>212</v>
      </c>
      <c r="J961" s="13" t="b">
        <v>1</v>
      </c>
      <c r="K961" s="13" t="b">
        <v>0</v>
      </c>
      <c r="L961" s="10" t="s">
        <v>124</v>
      </c>
      <c r="M961" s="10" t="s">
        <v>91</v>
      </c>
      <c r="N961" s="10" t="s">
        <v>92</v>
      </c>
      <c r="O961" s="19" t="s">
        <v>7654</v>
      </c>
      <c r="P961" s="10"/>
      <c r="Q961" s="10" t="s">
        <v>94</v>
      </c>
      <c r="R961" s="10"/>
      <c r="S961" s="19" t="s">
        <v>7655</v>
      </c>
      <c r="T961" s="10"/>
      <c r="U961" s="10" t="s">
        <v>3661</v>
      </c>
      <c r="V961" s="10" t="s">
        <v>3662</v>
      </c>
      <c r="W961" s="10" t="s">
        <v>3519</v>
      </c>
      <c r="X961" s="10" t="s">
        <v>130</v>
      </c>
      <c r="Y961" s="10" t="s">
        <v>130</v>
      </c>
      <c r="Z961" s="10" t="s">
        <v>99</v>
      </c>
      <c r="AA961" s="10" t="s">
        <v>131</v>
      </c>
      <c r="AB961" s="10" t="s">
        <v>3520</v>
      </c>
      <c r="AC961" s="10" t="s">
        <v>3521</v>
      </c>
      <c r="AD961" s="10" t="s">
        <v>3663</v>
      </c>
      <c r="AE961" s="10" t="s">
        <v>7656</v>
      </c>
      <c r="AF961" s="15"/>
      <c r="AG961" s="10"/>
      <c r="AH961" s="10"/>
      <c r="AI961" s="10"/>
      <c r="AJ961" s="10"/>
      <c r="AK961" s="10" t="s">
        <v>102</v>
      </c>
      <c r="AL961" s="10"/>
      <c r="AM961" s="10"/>
      <c r="AN961" s="10"/>
      <c r="AO961" s="13" t="b">
        <v>0</v>
      </c>
      <c r="AP961" s="10" t="s">
        <v>104</v>
      </c>
      <c r="AQ961" s="10">
        <f ca="1">IFERROR(__xludf.DUMMYFUNCTION("""COMPUTED_VALUE"""),4488479)</f>
        <v>4488479</v>
      </c>
      <c r="AR961" s="17">
        <v>10179</v>
      </c>
      <c r="AS961" s="17">
        <v>8069</v>
      </c>
      <c r="AT961" s="17">
        <v>38944.5</v>
      </c>
      <c r="AU961" s="17">
        <v>62.05</v>
      </c>
      <c r="AV961" s="17">
        <v>42.4</v>
      </c>
      <c r="AW961" s="10" t="s">
        <v>105</v>
      </c>
      <c r="AX961" s="17">
        <v>4179</v>
      </c>
      <c r="AY961" s="18">
        <v>4.8264345024166566</v>
      </c>
      <c r="AZ961" s="10" t="s">
        <v>136</v>
      </c>
      <c r="BA961" s="20" t="b">
        <v>0</v>
      </c>
      <c r="BB961" s="10"/>
      <c r="BC961" s="17">
        <v>10179</v>
      </c>
      <c r="BD961" s="17">
        <v>8069</v>
      </c>
      <c r="BE961" s="17">
        <v>38944.5</v>
      </c>
      <c r="BF961" s="17">
        <v>42.4</v>
      </c>
      <c r="BG961" s="11">
        <f ca="1">IFERROR(__xludf.DUMMYFUNCTION("""COMPUTED_VALUE"""),45879.625)</f>
        <v>45879.625</v>
      </c>
      <c r="BH961" s="17" t="s">
        <v>105</v>
      </c>
      <c r="BI961" s="17"/>
      <c r="BJ961" s="15"/>
      <c r="BK961" s="15"/>
      <c r="BL961" s="13" t="b">
        <v>0</v>
      </c>
      <c r="BM961" s="10"/>
      <c r="BN961" s="10" t="s">
        <v>118</v>
      </c>
      <c r="BO961" s="11">
        <v>45868.59375</v>
      </c>
      <c r="BP961" s="11">
        <v>45868.730821759258</v>
      </c>
      <c r="BQ961" s="15">
        <v>45878.59097222222</v>
      </c>
      <c r="BR961" s="15">
        <v>45878.602569444447</v>
      </c>
      <c r="BS961" s="10" t="s">
        <v>118</v>
      </c>
      <c r="BT961" s="10"/>
      <c r="BU961" s="10"/>
      <c r="BV961" s="10"/>
      <c r="BW961" s="10"/>
      <c r="BX961" s="10"/>
      <c r="BY961" s="23"/>
      <c r="BZ961" s="23"/>
      <c r="CA961" s="19" t="s">
        <v>7657</v>
      </c>
      <c r="CB961" s="23"/>
      <c r="CC961" s="23"/>
      <c r="CD961" s="23"/>
      <c r="CE961" s="23"/>
      <c r="CF961" s="23"/>
      <c r="CG961" s="23"/>
      <c r="CH961" s="23"/>
      <c r="CI961" s="23"/>
    </row>
    <row r="962" spans="1:87" x14ac:dyDescent="0.3">
      <c r="A962" s="9" t="s">
        <v>7658</v>
      </c>
      <c r="B962" s="10" t="s">
        <v>7659</v>
      </c>
      <c r="C962" s="11">
        <v>45879.770833333336</v>
      </c>
      <c r="D962" s="12">
        <v>2.0833333333333332E-2</v>
      </c>
      <c r="E962" s="11">
        <v>45879.791666666664</v>
      </c>
      <c r="F962" s="10" t="s">
        <v>3511</v>
      </c>
      <c r="G962" s="13" t="b">
        <v>0</v>
      </c>
      <c r="H962" s="10" t="s">
        <v>3512</v>
      </c>
      <c r="I962" s="10" t="s">
        <v>212</v>
      </c>
      <c r="J962" s="13" t="b">
        <v>1</v>
      </c>
      <c r="K962" s="13" t="b">
        <v>0</v>
      </c>
      <c r="L962" s="10" t="s">
        <v>90</v>
      </c>
      <c r="M962" s="10" t="s">
        <v>91</v>
      </c>
      <c r="N962" s="10" t="s">
        <v>92</v>
      </c>
      <c r="O962" s="19" t="s">
        <v>7660</v>
      </c>
      <c r="P962" s="10"/>
      <c r="Q962" s="10" t="s">
        <v>94</v>
      </c>
      <c r="R962" s="10"/>
      <c r="S962" s="19" t="s">
        <v>7661</v>
      </c>
      <c r="T962" s="19" t="s">
        <v>3660</v>
      </c>
      <c r="U962" s="10" t="s">
        <v>3647</v>
      </c>
      <c r="V962" s="10" t="s">
        <v>3648</v>
      </c>
      <c r="W962" s="10" t="s">
        <v>3519</v>
      </c>
      <c r="X962" s="10" t="s">
        <v>130</v>
      </c>
      <c r="Y962" s="10" t="s">
        <v>130</v>
      </c>
      <c r="Z962" s="10" t="s">
        <v>99</v>
      </c>
      <c r="AA962" s="10" t="s">
        <v>131</v>
      </c>
      <c r="AB962" s="10" t="s">
        <v>3520</v>
      </c>
      <c r="AC962" s="10" t="s">
        <v>3521</v>
      </c>
      <c r="AD962" s="10" t="s">
        <v>3649</v>
      </c>
      <c r="AE962" s="10" t="s">
        <v>7662</v>
      </c>
      <c r="AF962" s="15"/>
      <c r="AG962" s="10"/>
      <c r="AH962" s="10"/>
      <c r="AI962" s="10"/>
      <c r="AJ962" s="10"/>
      <c r="AK962" s="10" t="s">
        <v>102</v>
      </c>
      <c r="AL962" s="10"/>
      <c r="AM962" s="10"/>
      <c r="AN962" s="10"/>
      <c r="AO962" s="13" t="b">
        <v>0</v>
      </c>
      <c r="AP962" s="10" t="s">
        <v>104</v>
      </c>
      <c r="AQ962" s="10">
        <f ca="1">IFERROR(__xludf.DUMMYFUNCTION("""COMPUTED_VALUE"""),4488484)</f>
        <v>4488484</v>
      </c>
      <c r="AR962" s="17">
        <v>22835</v>
      </c>
      <c r="AS962" s="17">
        <v>17553</v>
      </c>
      <c r="AT962" s="17">
        <v>106454.75</v>
      </c>
      <c r="AU962" s="17">
        <v>97.05</v>
      </c>
      <c r="AV962" s="17">
        <v>32.35</v>
      </c>
      <c r="AW962" s="10" t="s">
        <v>105</v>
      </c>
      <c r="AX962" s="17">
        <v>11002</v>
      </c>
      <c r="AY962" s="18">
        <v>6.0647610095140436</v>
      </c>
      <c r="AZ962" s="10" t="s">
        <v>136</v>
      </c>
      <c r="BA962" s="20" t="b">
        <v>0</v>
      </c>
      <c r="BB962" s="10"/>
      <c r="BC962" s="17">
        <v>22835</v>
      </c>
      <c r="BD962" s="17">
        <v>17553</v>
      </c>
      <c r="BE962" s="17">
        <v>106454.75</v>
      </c>
      <c r="BF962" s="17">
        <v>32.35</v>
      </c>
      <c r="BG962" s="11">
        <f ca="1">IFERROR(__xludf.DUMMYFUNCTION("""COMPUTED_VALUE"""),45879.7708333333)</f>
        <v>45879.770833333299</v>
      </c>
      <c r="BH962" s="17" t="s">
        <v>105</v>
      </c>
      <c r="BI962" s="17"/>
      <c r="BJ962" s="15"/>
      <c r="BK962" s="15"/>
      <c r="BL962" s="13" t="b">
        <v>0</v>
      </c>
      <c r="BM962" s="10"/>
      <c r="BN962" s="10" t="s">
        <v>3720</v>
      </c>
      <c r="BO962" s="11">
        <v>45868.595138888886</v>
      </c>
      <c r="BP962" s="11">
        <v>45874.559467592589</v>
      </c>
      <c r="BQ962" s="15">
        <v>45878.591793981483</v>
      </c>
      <c r="BR962" s="15">
        <v>45878.602696759262</v>
      </c>
      <c r="BS962" s="10"/>
      <c r="BT962" s="10" t="s">
        <v>99</v>
      </c>
      <c r="BU962" s="10"/>
      <c r="BV962" s="10" t="s">
        <v>281</v>
      </c>
      <c r="BW962" s="10" t="s">
        <v>3556</v>
      </c>
      <c r="BX962" s="19" t="s">
        <v>7663</v>
      </c>
      <c r="BY962" s="23"/>
      <c r="BZ962" s="23"/>
      <c r="CA962" s="19" t="s">
        <v>7664</v>
      </c>
      <c r="CB962" s="19" t="s">
        <v>3654</v>
      </c>
      <c r="CC962" s="23"/>
      <c r="CD962" s="23"/>
      <c r="CE962" s="23"/>
      <c r="CF962" s="23"/>
      <c r="CG962" s="23"/>
      <c r="CH962" s="23"/>
      <c r="CI962" s="23"/>
    </row>
    <row r="963" spans="1:87" x14ac:dyDescent="0.3">
      <c r="A963" s="9" t="s">
        <v>7665</v>
      </c>
      <c r="B963" s="10" t="s">
        <v>7666</v>
      </c>
      <c r="C963" s="11">
        <v>45880.625</v>
      </c>
      <c r="D963" s="12">
        <v>2.0833333333333332E-2</v>
      </c>
      <c r="E963" s="11">
        <v>45880.645833333336</v>
      </c>
      <c r="F963" s="10" t="s">
        <v>3511</v>
      </c>
      <c r="G963" s="13" t="b">
        <v>0</v>
      </c>
      <c r="H963" s="10" t="s">
        <v>3512</v>
      </c>
      <c r="I963" s="10" t="s">
        <v>212</v>
      </c>
      <c r="J963" s="13" t="b">
        <v>1</v>
      </c>
      <c r="K963" s="13" t="b">
        <v>0</v>
      </c>
      <c r="L963" s="10" t="s">
        <v>90</v>
      </c>
      <c r="M963" s="10" t="s">
        <v>91</v>
      </c>
      <c r="N963" s="10" t="s">
        <v>92</v>
      </c>
      <c r="O963" s="19" t="s">
        <v>7667</v>
      </c>
      <c r="P963" s="10"/>
      <c r="Q963" s="10" t="s">
        <v>94</v>
      </c>
      <c r="R963" s="10"/>
      <c r="S963" s="19" t="s">
        <v>7668</v>
      </c>
      <c r="T963" s="10"/>
      <c r="U963" s="10" t="s">
        <v>3676</v>
      </c>
      <c r="V963" s="10" t="s">
        <v>3677</v>
      </c>
      <c r="W963" s="10" t="s">
        <v>3519</v>
      </c>
      <c r="X963" s="10" t="s">
        <v>130</v>
      </c>
      <c r="Y963" s="10" t="s">
        <v>130</v>
      </c>
      <c r="Z963" s="10" t="s">
        <v>99</v>
      </c>
      <c r="AA963" s="10" t="s">
        <v>131</v>
      </c>
      <c r="AB963" s="10" t="s">
        <v>3520</v>
      </c>
      <c r="AC963" s="10" t="s">
        <v>3521</v>
      </c>
      <c r="AD963" s="10" t="s">
        <v>3678</v>
      </c>
      <c r="AE963" s="10" t="s">
        <v>7669</v>
      </c>
      <c r="AF963" s="15"/>
      <c r="AG963" s="10"/>
      <c r="AH963" s="10"/>
      <c r="AI963" s="10"/>
      <c r="AJ963" s="10"/>
      <c r="AK963" s="10" t="s">
        <v>102</v>
      </c>
      <c r="AL963" s="10"/>
      <c r="AM963" s="10"/>
      <c r="AN963" s="10"/>
      <c r="AO963" s="13" t="b">
        <v>0</v>
      </c>
      <c r="AP963" s="10" t="s">
        <v>104</v>
      </c>
      <c r="AQ963" s="10">
        <f ca="1">IFERROR(__xludf.DUMMYFUNCTION("""COMPUTED_VALUE"""),4488592)</f>
        <v>4488592</v>
      </c>
      <c r="AR963" s="17">
        <v>3772</v>
      </c>
      <c r="AS963" s="17">
        <v>3006</v>
      </c>
      <c r="AT963" s="17">
        <v>16626.25</v>
      </c>
      <c r="AU963" s="17">
        <v>18.55</v>
      </c>
      <c r="AV963" s="17">
        <v>4.3</v>
      </c>
      <c r="AW963" s="10" t="s">
        <v>105</v>
      </c>
      <c r="AX963" s="17">
        <v>1635</v>
      </c>
      <c r="AY963" s="18">
        <v>5.5310212907518297</v>
      </c>
      <c r="AZ963" s="10" t="s">
        <v>136</v>
      </c>
      <c r="BA963" s="20" t="b">
        <v>0</v>
      </c>
      <c r="BB963" s="10"/>
      <c r="BC963" s="17">
        <v>3772</v>
      </c>
      <c r="BD963" s="17">
        <v>3006</v>
      </c>
      <c r="BE963" s="17">
        <v>16626.25</v>
      </c>
      <c r="BF963" s="17">
        <v>4.3</v>
      </c>
      <c r="BG963" s="11">
        <f ca="1">IFERROR(__xludf.DUMMYFUNCTION("""COMPUTED_VALUE"""),45880.625)</f>
        <v>45880.625</v>
      </c>
      <c r="BH963" s="17" t="s">
        <v>105</v>
      </c>
      <c r="BI963" s="17"/>
      <c r="BJ963" s="15"/>
      <c r="BK963" s="15"/>
      <c r="BL963" s="13" t="b">
        <v>0</v>
      </c>
      <c r="BM963" s="10"/>
      <c r="BN963" s="10" t="s">
        <v>118</v>
      </c>
      <c r="BO963" s="11">
        <v>45868.595833333333</v>
      </c>
      <c r="BP963" s="11">
        <v>45868.596203703702</v>
      </c>
      <c r="BQ963" s="15">
        <v>45878.593206018515</v>
      </c>
      <c r="BR963" s="15">
        <v>45878.685104166667</v>
      </c>
      <c r="BS963" s="10" t="s">
        <v>118</v>
      </c>
      <c r="BT963" s="10"/>
      <c r="BU963" s="10"/>
      <c r="BV963" s="10"/>
      <c r="BW963" s="10"/>
      <c r="BX963" s="10"/>
      <c r="BY963" s="23"/>
      <c r="BZ963" s="23"/>
      <c r="CA963" s="19" t="s">
        <v>7670</v>
      </c>
      <c r="CB963" s="23"/>
      <c r="CC963" s="23"/>
      <c r="CD963" s="23"/>
      <c r="CE963" s="23"/>
      <c r="CF963" s="23"/>
      <c r="CG963" s="23"/>
      <c r="CH963" s="23"/>
      <c r="CI963" s="23"/>
    </row>
    <row r="964" spans="1:87" x14ac:dyDescent="0.3">
      <c r="A964" s="9" t="s">
        <v>7671</v>
      </c>
      <c r="B964" s="10" t="s">
        <v>7672</v>
      </c>
      <c r="C964" s="11">
        <v>45884.625</v>
      </c>
      <c r="D964" s="12">
        <v>2.0833333333333332E-2</v>
      </c>
      <c r="E964" s="11">
        <v>45884.645833333336</v>
      </c>
      <c r="F964" s="10" t="s">
        <v>3511</v>
      </c>
      <c r="G964" s="13" t="b">
        <v>0</v>
      </c>
      <c r="H964" s="10" t="s">
        <v>3512</v>
      </c>
      <c r="I964" s="10" t="s">
        <v>212</v>
      </c>
      <c r="J964" s="13" t="b">
        <v>1</v>
      </c>
      <c r="K964" s="13" t="b">
        <v>0</v>
      </c>
      <c r="L964" s="10" t="s">
        <v>90</v>
      </c>
      <c r="M964" s="10" t="s">
        <v>91</v>
      </c>
      <c r="N964" s="10" t="s">
        <v>92</v>
      </c>
      <c r="O964" s="19" t="s">
        <v>7673</v>
      </c>
      <c r="P964" s="10"/>
      <c r="Q964" s="10" t="s">
        <v>94</v>
      </c>
      <c r="R964" s="10"/>
      <c r="S964" s="19" t="s">
        <v>7674</v>
      </c>
      <c r="T964" s="10"/>
      <c r="U964" s="10" t="s">
        <v>3610</v>
      </c>
      <c r="V964" s="10" t="s">
        <v>3622</v>
      </c>
      <c r="W964" s="10" t="s">
        <v>3519</v>
      </c>
      <c r="X964" s="10" t="s">
        <v>130</v>
      </c>
      <c r="Y964" s="10" t="s">
        <v>130</v>
      </c>
      <c r="Z964" s="10" t="s">
        <v>99</v>
      </c>
      <c r="AA964" s="10" t="s">
        <v>131</v>
      </c>
      <c r="AB964" s="10" t="s">
        <v>3520</v>
      </c>
      <c r="AC964" s="10" t="s">
        <v>3521</v>
      </c>
      <c r="AD964" s="10" t="s">
        <v>3739</v>
      </c>
      <c r="AE964" s="10" t="s">
        <v>7675</v>
      </c>
      <c r="AF964" s="15"/>
      <c r="AG964" s="10"/>
      <c r="AH964" s="10"/>
      <c r="AI964" s="10"/>
      <c r="AJ964" s="10"/>
      <c r="AK964" s="10" t="s">
        <v>102</v>
      </c>
      <c r="AL964" s="10"/>
      <c r="AM964" s="10"/>
      <c r="AN964" s="10"/>
      <c r="AO964" s="13" t="b">
        <v>0</v>
      </c>
      <c r="AP964" s="10" t="s">
        <v>104</v>
      </c>
      <c r="AQ964" s="10">
        <f ca="1">IFERROR(__xludf.DUMMYFUNCTION("""COMPUTED_VALUE"""),4499124)</f>
        <v>4499124</v>
      </c>
      <c r="AR964" s="17">
        <v>3850</v>
      </c>
      <c r="AS964" s="17">
        <v>3123</v>
      </c>
      <c r="AT964" s="17">
        <v>15654.5</v>
      </c>
      <c r="AU964" s="17">
        <v>13.65</v>
      </c>
      <c r="AV964" s="17">
        <v>3.65</v>
      </c>
      <c r="AW964" s="10" t="s">
        <v>105</v>
      </c>
      <c r="AX964" s="17">
        <v>1600</v>
      </c>
      <c r="AY964" s="18">
        <v>5.0126480947806593</v>
      </c>
      <c r="AZ964" s="10" t="s">
        <v>185</v>
      </c>
      <c r="BA964" s="20" t="b">
        <v>0</v>
      </c>
      <c r="BB964" s="10"/>
      <c r="BC964" s="17">
        <v>3850</v>
      </c>
      <c r="BD964" s="17">
        <v>3123</v>
      </c>
      <c r="BE964" s="17">
        <v>15654.5</v>
      </c>
      <c r="BF964" s="17">
        <v>3.65</v>
      </c>
      <c r="BG964" s="11">
        <f ca="1">IFERROR(__xludf.DUMMYFUNCTION("""COMPUTED_VALUE"""),45884.625)</f>
        <v>45884.625</v>
      </c>
      <c r="BH964" s="17" t="s">
        <v>105</v>
      </c>
      <c r="BI964" s="17"/>
      <c r="BJ964" s="15"/>
      <c r="BK964" s="15"/>
      <c r="BL964" s="13" t="b">
        <v>0</v>
      </c>
      <c r="BM964" s="10"/>
      <c r="BN964" s="10" t="s">
        <v>1160</v>
      </c>
      <c r="BO964" s="11">
        <v>45868.597222222219</v>
      </c>
      <c r="BP964" s="11">
        <v>45868.597905092596</v>
      </c>
      <c r="BQ964" s="15">
        <v>45883.465092592596</v>
      </c>
      <c r="BR964" s="15">
        <v>45883.480879629627</v>
      </c>
      <c r="BS964" s="10" t="s">
        <v>1160</v>
      </c>
      <c r="BT964" s="10"/>
      <c r="BU964" s="10"/>
      <c r="BV964" s="10"/>
      <c r="BW964" s="10"/>
      <c r="BX964" s="10"/>
      <c r="BY964" s="23"/>
      <c r="BZ964" s="23"/>
      <c r="CA964" s="19" t="s">
        <v>7676</v>
      </c>
      <c r="CB964" s="23"/>
      <c r="CC964" s="23"/>
      <c r="CD964" s="23"/>
      <c r="CE964" s="23"/>
      <c r="CF964" s="23"/>
      <c r="CG964" s="23"/>
      <c r="CH964" s="23"/>
      <c r="CI964" s="23"/>
    </row>
    <row r="965" spans="1:87" x14ac:dyDescent="0.3">
      <c r="A965" s="9" t="s">
        <v>7677</v>
      </c>
      <c r="B965" s="10" t="s">
        <v>7678</v>
      </c>
      <c r="C965" s="11">
        <v>45884.770833333336</v>
      </c>
      <c r="D965" s="12">
        <v>2.0833333333333332E-2</v>
      </c>
      <c r="E965" s="11">
        <v>45884.791666666664</v>
      </c>
      <c r="F965" s="10" t="s">
        <v>3511</v>
      </c>
      <c r="G965" s="13" t="b">
        <v>0</v>
      </c>
      <c r="H965" s="10" t="s">
        <v>3512</v>
      </c>
      <c r="I965" s="10" t="s">
        <v>212</v>
      </c>
      <c r="J965" s="13" t="b">
        <v>1</v>
      </c>
      <c r="K965" s="13" t="b">
        <v>0</v>
      </c>
      <c r="L965" s="10" t="s">
        <v>90</v>
      </c>
      <c r="M965" s="10" t="s">
        <v>91</v>
      </c>
      <c r="N965" s="10" t="s">
        <v>92</v>
      </c>
      <c r="O965" s="19" t="s">
        <v>7679</v>
      </c>
      <c r="P965" s="10"/>
      <c r="Q965" s="10" t="s">
        <v>94</v>
      </c>
      <c r="R965" s="10"/>
      <c r="S965" s="19" t="s">
        <v>3748</v>
      </c>
      <c r="T965" s="10"/>
      <c r="U965" s="10" t="s">
        <v>3623</v>
      </c>
      <c r="V965" s="10" t="s">
        <v>3661</v>
      </c>
      <c r="W965" s="10" t="s">
        <v>3519</v>
      </c>
      <c r="X965" s="10" t="s">
        <v>130</v>
      </c>
      <c r="Y965" s="10" t="s">
        <v>130</v>
      </c>
      <c r="Z965" s="10" t="s">
        <v>99</v>
      </c>
      <c r="AA965" s="10" t="s">
        <v>131</v>
      </c>
      <c r="AB965" s="10" t="s">
        <v>3520</v>
      </c>
      <c r="AC965" s="10" t="s">
        <v>3521</v>
      </c>
      <c r="AD965" s="10" t="s">
        <v>3749</v>
      </c>
      <c r="AE965" s="10" t="s">
        <v>7680</v>
      </c>
      <c r="AF965" s="15"/>
      <c r="AG965" s="10"/>
      <c r="AH965" s="10"/>
      <c r="AI965" s="10"/>
      <c r="AJ965" s="10"/>
      <c r="AK965" s="10" t="s">
        <v>102</v>
      </c>
      <c r="AL965" s="10"/>
      <c r="AM965" s="10"/>
      <c r="AN965" s="10"/>
      <c r="AO965" s="13" t="b">
        <v>0</v>
      </c>
      <c r="AP965" s="10" t="s">
        <v>104</v>
      </c>
      <c r="AQ965" s="10">
        <f ca="1">IFERROR(__xludf.DUMMYFUNCTION("""COMPUTED_VALUE"""),4499126)</f>
        <v>4499126</v>
      </c>
      <c r="AR965" s="17">
        <v>20365</v>
      </c>
      <c r="AS965" s="17">
        <v>16348</v>
      </c>
      <c r="AT965" s="17">
        <v>90263</v>
      </c>
      <c r="AU965" s="17">
        <v>127.5</v>
      </c>
      <c r="AV965" s="17">
        <v>68.55</v>
      </c>
      <c r="AW965" s="10" t="s">
        <v>105</v>
      </c>
      <c r="AX965" s="17">
        <v>9340</v>
      </c>
      <c r="AY965" s="18">
        <v>5.5213481771470514</v>
      </c>
      <c r="AZ965" s="10" t="s">
        <v>185</v>
      </c>
      <c r="BA965" s="20" t="b">
        <v>0</v>
      </c>
      <c r="BB965" s="10"/>
      <c r="BC965" s="17">
        <v>20365</v>
      </c>
      <c r="BD965" s="17">
        <v>16348</v>
      </c>
      <c r="BE965" s="17">
        <v>90263</v>
      </c>
      <c r="BF965" s="17">
        <v>68.55</v>
      </c>
      <c r="BG965" s="11">
        <f ca="1">IFERROR(__xludf.DUMMYFUNCTION("""COMPUTED_VALUE"""),45884.7708333333)</f>
        <v>45884.770833333299</v>
      </c>
      <c r="BH965" s="17" t="s">
        <v>105</v>
      </c>
      <c r="BI965" s="17"/>
      <c r="BJ965" s="15"/>
      <c r="BK965" s="15"/>
      <c r="BL965" s="13" t="b">
        <v>0</v>
      </c>
      <c r="BM965" s="10"/>
      <c r="BN965" s="10" t="s">
        <v>1160</v>
      </c>
      <c r="BO965" s="11">
        <v>45868.598611111112</v>
      </c>
      <c r="BP965" s="11">
        <v>45868.599004629628</v>
      </c>
      <c r="BQ965" s="15">
        <v>45883.468587962961</v>
      </c>
      <c r="BR965" s="15">
        <v>45883.481388888889</v>
      </c>
      <c r="BS965" s="10" t="s">
        <v>1160</v>
      </c>
      <c r="BT965" s="10"/>
      <c r="BU965" s="10"/>
      <c r="BV965" s="10"/>
      <c r="BW965" s="10"/>
      <c r="BX965" s="10"/>
      <c r="BY965" s="23"/>
      <c r="BZ965" s="23"/>
      <c r="CA965" s="19" t="s">
        <v>3753</v>
      </c>
      <c r="CB965" s="23"/>
      <c r="CC965" s="23"/>
      <c r="CD965" s="23"/>
      <c r="CE965" s="23"/>
      <c r="CF965" s="23"/>
      <c r="CG965" s="23"/>
      <c r="CH965" s="23"/>
      <c r="CI965" s="23"/>
    </row>
    <row r="966" spans="1:87" x14ac:dyDescent="0.3">
      <c r="A966" s="9" t="s">
        <v>7681</v>
      </c>
      <c r="B966" s="10" t="s">
        <v>7682</v>
      </c>
      <c r="C966" s="11">
        <v>45885.625</v>
      </c>
      <c r="D966" s="12">
        <v>2.0833333333333332E-2</v>
      </c>
      <c r="E966" s="11">
        <v>45885.645833333336</v>
      </c>
      <c r="F966" s="10" t="s">
        <v>3511</v>
      </c>
      <c r="G966" s="13" t="b">
        <v>0</v>
      </c>
      <c r="H966" s="10" t="s">
        <v>3512</v>
      </c>
      <c r="I966" s="10" t="s">
        <v>212</v>
      </c>
      <c r="J966" s="13" t="b">
        <v>1</v>
      </c>
      <c r="K966" s="13" t="b">
        <v>0</v>
      </c>
      <c r="L966" s="10" t="s">
        <v>90</v>
      </c>
      <c r="M966" s="10" t="s">
        <v>91</v>
      </c>
      <c r="N966" s="10" t="s">
        <v>92</v>
      </c>
      <c r="O966" s="19" t="s">
        <v>7683</v>
      </c>
      <c r="P966" s="10"/>
      <c r="Q966" s="10" t="s">
        <v>94</v>
      </c>
      <c r="R966" s="10"/>
      <c r="S966" s="19" t="s">
        <v>3800</v>
      </c>
      <c r="T966" s="10"/>
      <c r="U966" s="10" t="s">
        <v>3648</v>
      </c>
      <c r="V966" s="10" t="s">
        <v>3551</v>
      </c>
      <c r="W966" s="10" t="s">
        <v>3519</v>
      </c>
      <c r="X966" s="10" t="s">
        <v>130</v>
      </c>
      <c r="Y966" s="10" t="s">
        <v>130</v>
      </c>
      <c r="Z966" s="10" t="s">
        <v>99</v>
      </c>
      <c r="AA966" s="10" t="s">
        <v>131</v>
      </c>
      <c r="AB966" s="10" t="s">
        <v>3520</v>
      </c>
      <c r="AC966" s="10" t="s">
        <v>3521</v>
      </c>
      <c r="AD966" s="10" t="s">
        <v>3802</v>
      </c>
      <c r="AE966" s="10" t="s">
        <v>7684</v>
      </c>
      <c r="AF966" s="15"/>
      <c r="AG966" s="10"/>
      <c r="AH966" s="10"/>
      <c r="AI966" s="10"/>
      <c r="AJ966" s="10"/>
      <c r="AK966" s="10" t="s">
        <v>102</v>
      </c>
      <c r="AL966" s="10"/>
      <c r="AM966" s="10"/>
      <c r="AN966" s="10"/>
      <c r="AO966" s="13" t="b">
        <v>0</v>
      </c>
      <c r="AP966" s="10" t="s">
        <v>104</v>
      </c>
      <c r="AQ966" s="10">
        <f ca="1">IFERROR(__xludf.DUMMYFUNCTION("""COMPUTED_VALUE"""),4499142)</f>
        <v>4499142</v>
      </c>
      <c r="AR966" s="17">
        <v>6458</v>
      </c>
      <c r="AS966" s="17">
        <v>5084</v>
      </c>
      <c r="AT966" s="17">
        <v>18158.75</v>
      </c>
      <c r="AU966" s="17">
        <v>17.25</v>
      </c>
      <c r="AV966" s="17">
        <v>6.55</v>
      </c>
      <c r="AW966" s="10" t="s">
        <v>105</v>
      </c>
      <c r="AX966" s="17">
        <v>2623</v>
      </c>
      <c r="AY966" s="18">
        <v>3.5717446892210858</v>
      </c>
      <c r="AZ966" s="10" t="s">
        <v>185</v>
      </c>
      <c r="BA966" s="20" t="b">
        <v>0</v>
      </c>
      <c r="BB966" s="10"/>
      <c r="BC966" s="17">
        <v>6458</v>
      </c>
      <c r="BD966" s="17">
        <v>5084</v>
      </c>
      <c r="BE966" s="17">
        <v>18158.75</v>
      </c>
      <c r="BF966" s="17">
        <v>6.55</v>
      </c>
      <c r="BG966" s="11">
        <f ca="1">IFERROR(__xludf.DUMMYFUNCTION("""COMPUTED_VALUE"""),45885.625)</f>
        <v>45885.625</v>
      </c>
      <c r="BH966" s="17" t="s">
        <v>105</v>
      </c>
      <c r="BI966" s="17"/>
      <c r="BJ966" s="15"/>
      <c r="BK966" s="15"/>
      <c r="BL966" s="13" t="b">
        <v>0</v>
      </c>
      <c r="BM966" s="10"/>
      <c r="BN966" s="10" t="s">
        <v>118</v>
      </c>
      <c r="BO966" s="11">
        <v>45868.599305555559</v>
      </c>
      <c r="BP966" s="11">
        <v>45869.693865740737</v>
      </c>
      <c r="BQ966" s="15">
        <v>45883.52548611111</v>
      </c>
      <c r="BR966" s="15">
        <v>45883.570520833331</v>
      </c>
      <c r="BS966" s="10" t="s">
        <v>118</v>
      </c>
      <c r="BT966" s="10"/>
      <c r="BU966" s="10"/>
      <c r="BV966" s="10"/>
      <c r="BW966" s="10"/>
      <c r="BX966" s="10"/>
      <c r="BY966" s="23"/>
      <c r="BZ966" s="23"/>
      <c r="CA966" s="19" t="s">
        <v>3805</v>
      </c>
      <c r="CB966" s="23"/>
      <c r="CC966" s="23"/>
      <c r="CD966" s="23"/>
      <c r="CE966" s="23"/>
      <c r="CF966" s="23"/>
      <c r="CG966" s="23"/>
      <c r="CH966" s="23"/>
      <c r="CI966" s="23"/>
    </row>
    <row r="967" spans="1:87" x14ac:dyDescent="0.3">
      <c r="A967" s="9" t="s">
        <v>7685</v>
      </c>
      <c r="B967" s="10" t="s">
        <v>7686</v>
      </c>
      <c r="C967" s="11">
        <v>45885.625</v>
      </c>
      <c r="D967" s="12">
        <v>2.0833333333333332E-2</v>
      </c>
      <c r="E967" s="11">
        <v>45885.645833333336</v>
      </c>
      <c r="F967" s="10" t="s">
        <v>3511</v>
      </c>
      <c r="G967" s="13" t="b">
        <v>0</v>
      </c>
      <c r="H967" s="10" t="s">
        <v>3512</v>
      </c>
      <c r="I967" s="10" t="s">
        <v>212</v>
      </c>
      <c r="J967" s="13" t="b">
        <v>1</v>
      </c>
      <c r="K967" s="13" t="b">
        <v>0</v>
      </c>
      <c r="L967" s="10" t="s">
        <v>90</v>
      </c>
      <c r="M967" s="10" t="s">
        <v>91</v>
      </c>
      <c r="N967" s="10" t="s">
        <v>92</v>
      </c>
      <c r="O967" s="19" t="s">
        <v>7687</v>
      </c>
      <c r="P967" s="10"/>
      <c r="Q967" s="10" t="s">
        <v>94</v>
      </c>
      <c r="R967" s="10"/>
      <c r="S967" s="19" t="s">
        <v>3769</v>
      </c>
      <c r="T967" s="10"/>
      <c r="U967" s="10" t="s">
        <v>3552</v>
      </c>
      <c r="V967" s="10" t="s">
        <v>3676</v>
      </c>
      <c r="W967" s="10" t="s">
        <v>3519</v>
      </c>
      <c r="X967" s="10" t="s">
        <v>130</v>
      </c>
      <c r="Y967" s="10" t="s">
        <v>130</v>
      </c>
      <c r="Z967" s="10" t="s">
        <v>99</v>
      </c>
      <c r="AA967" s="10" t="s">
        <v>131</v>
      </c>
      <c r="AB967" s="10" t="s">
        <v>3520</v>
      </c>
      <c r="AC967" s="10" t="s">
        <v>3521</v>
      </c>
      <c r="AD967" s="10" t="s">
        <v>3770</v>
      </c>
      <c r="AE967" s="10" t="s">
        <v>7688</v>
      </c>
      <c r="AF967" s="15"/>
      <c r="AG967" s="10"/>
      <c r="AH967" s="10"/>
      <c r="AI967" s="10"/>
      <c r="AJ967" s="10"/>
      <c r="AK967" s="10" t="s">
        <v>102</v>
      </c>
      <c r="AL967" s="10"/>
      <c r="AM967" s="10"/>
      <c r="AN967" s="10"/>
      <c r="AO967" s="13" t="b">
        <v>0</v>
      </c>
      <c r="AP967" s="10" t="s">
        <v>104</v>
      </c>
      <c r="AQ967" s="10">
        <f ca="1">IFERROR(__xludf.DUMMYFUNCTION("""COMPUTED_VALUE"""),4501326)</f>
        <v>4501326</v>
      </c>
      <c r="AR967" s="17">
        <v>16120</v>
      </c>
      <c r="AS967" s="17">
        <v>11802</v>
      </c>
      <c r="AT967" s="17">
        <v>68095</v>
      </c>
      <c r="AU967" s="17">
        <v>189.85</v>
      </c>
      <c r="AV967" s="17">
        <v>149.4</v>
      </c>
      <c r="AW967" s="10" t="s">
        <v>105</v>
      </c>
      <c r="AX967" s="17">
        <v>6091</v>
      </c>
      <c r="AY967" s="18">
        <v>5.7697847822402979</v>
      </c>
      <c r="AZ967" s="10" t="s">
        <v>185</v>
      </c>
      <c r="BA967" s="20" t="b">
        <v>0</v>
      </c>
      <c r="BB967" s="10"/>
      <c r="BC967" s="17">
        <v>16120</v>
      </c>
      <c r="BD967" s="17">
        <v>11802</v>
      </c>
      <c r="BE967" s="17">
        <v>68095</v>
      </c>
      <c r="BF967" s="17">
        <v>149.4</v>
      </c>
      <c r="BG967" s="11">
        <f ca="1">IFERROR(__xludf.DUMMYFUNCTION("""COMPUTED_VALUE"""),45885.625)</f>
        <v>45885.625</v>
      </c>
      <c r="BH967" s="17" t="s">
        <v>105</v>
      </c>
      <c r="BI967" s="17"/>
      <c r="BJ967" s="15"/>
      <c r="BK967" s="15"/>
      <c r="BL967" s="13" t="b">
        <v>0</v>
      </c>
      <c r="BM967" s="10"/>
      <c r="BN967" s="10" t="s">
        <v>118</v>
      </c>
      <c r="BO967" s="11">
        <v>45868.6</v>
      </c>
      <c r="BP967" s="11">
        <v>45874.575949074075</v>
      </c>
      <c r="BQ967" s="15">
        <v>45883.944861111115</v>
      </c>
      <c r="BR967" s="15">
        <v>45884.402789351851</v>
      </c>
      <c r="BS967" s="10" t="s">
        <v>118</v>
      </c>
      <c r="BT967" s="10"/>
      <c r="BU967" s="10"/>
      <c r="BV967" s="10"/>
      <c r="BW967" s="10"/>
      <c r="BX967" s="10"/>
      <c r="BY967" s="23"/>
      <c r="BZ967" s="23"/>
      <c r="CA967" s="19" t="s">
        <v>3773</v>
      </c>
      <c r="CB967" s="23"/>
      <c r="CC967" s="23"/>
      <c r="CD967" s="23"/>
      <c r="CE967" s="23"/>
      <c r="CF967" s="23"/>
      <c r="CG967" s="23"/>
      <c r="CH967" s="23"/>
      <c r="CI967" s="23"/>
    </row>
    <row r="968" spans="1:87" x14ac:dyDescent="0.3">
      <c r="A968" s="9" t="s">
        <v>7689</v>
      </c>
      <c r="B968" s="10" t="s">
        <v>7690</v>
      </c>
      <c r="C968" s="11">
        <v>45885.770833333336</v>
      </c>
      <c r="D968" s="12">
        <v>2.0833333333333332E-2</v>
      </c>
      <c r="E968" s="11">
        <v>45885.791666666664</v>
      </c>
      <c r="F968" s="10" t="s">
        <v>3511</v>
      </c>
      <c r="G968" s="13" t="b">
        <v>0</v>
      </c>
      <c r="H968" s="10" t="s">
        <v>3512</v>
      </c>
      <c r="I968" s="10" t="s">
        <v>212</v>
      </c>
      <c r="J968" s="13" t="b">
        <v>1</v>
      </c>
      <c r="K968" s="13" t="b">
        <v>0</v>
      </c>
      <c r="L968" s="10" t="s">
        <v>90</v>
      </c>
      <c r="M968" s="10" t="s">
        <v>91</v>
      </c>
      <c r="N968" s="10" t="s">
        <v>92</v>
      </c>
      <c r="O968" s="19" t="s">
        <v>7691</v>
      </c>
      <c r="P968" s="10"/>
      <c r="Q968" s="10" t="s">
        <v>94</v>
      </c>
      <c r="R968" s="10"/>
      <c r="S968" s="19" t="s">
        <v>7692</v>
      </c>
      <c r="T968" s="10"/>
      <c r="U968" s="10" t="s">
        <v>3636</v>
      </c>
      <c r="V968" s="10" t="s">
        <v>3647</v>
      </c>
      <c r="W968" s="10" t="s">
        <v>3519</v>
      </c>
      <c r="X968" s="10" t="s">
        <v>130</v>
      </c>
      <c r="Y968" s="10" t="s">
        <v>130</v>
      </c>
      <c r="Z968" s="10" t="s">
        <v>99</v>
      </c>
      <c r="AA968" s="10" t="s">
        <v>131</v>
      </c>
      <c r="AB968" s="10" t="s">
        <v>3520</v>
      </c>
      <c r="AC968" s="10" t="s">
        <v>3521</v>
      </c>
      <c r="AD968" s="10" t="s">
        <v>3780</v>
      </c>
      <c r="AE968" s="10" t="s">
        <v>7693</v>
      </c>
      <c r="AF968" s="15"/>
      <c r="AG968" s="10"/>
      <c r="AH968" s="10"/>
      <c r="AI968" s="10"/>
      <c r="AJ968" s="10"/>
      <c r="AK968" s="10" t="s">
        <v>102</v>
      </c>
      <c r="AL968" s="10"/>
      <c r="AM968" s="10"/>
      <c r="AN968" s="10"/>
      <c r="AO968" s="13" t="b">
        <v>0</v>
      </c>
      <c r="AP968" s="10" t="s">
        <v>104</v>
      </c>
      <c r="AQ968" s="10">
        <f ca="1">IFERROR(__xludf.DUMMYFUNCTION("""COMPUTED_VALUE"""),4502154)</f>
        <v>4502154</v>
      </c>
      <c r="AR968" s="17">
        <v>15331</v>
      </c>
      <c r="AS968" s="17">
        <v>12479</v>
      </c>
      <c r="AT968" s="17">
        <v>59657</v>
      </c>
      <c r="AU968" s="17">
        <v>69.55</v>
      </c>
      <c r="AV968" s="17">
        <v>35.15</v>
      </c>
      <c r="AW968" s="10" t="s">
        <v>105</v>
      </c>
      <c r="AX968" s="17">
        <v>7165</v>
      </c>
      <c r="AY968" s="18">
        <v>4.7805913935411493</v>
      </c>
      <c r="AZ968" s="10" t="s">
        <v>3783</v>
      </c>
      <c r="BA968" s="20" t="b">
        <v>0</v>
      </c>
      <c r="BB968" s="10"/>
      <c r="BC968" s="17">
        <v>15331</v>
      </c>
      <c r="BD968" s="17">
        <v>12479</v>
      </c>
      <c r="BE968" s="17">
        <v>59657</v>
      </c>
      <c r="BF968" s="17">
        <v>35.15</v>
      </c>
      <c r="BG968" s="11">
        <f ca="1">IFERROR(__xludf.DUMMYFUNCTION("""COMPUTED_VALUE"""),45885.7708333333)</f>
        <v>45885.770833333299</v>
      </c>
      <c r="BH968" s="17" t="s">
        <v>105</v>
      </c>
      <c r="BI968" s="17"/>
      <c r="BJ968" s="15"/>
      <c r="BK968" s="15"/>
      <c r="BL968" s="13" t="b">
        <v>0</v>
      </c>
      <c r="BM968" s="10"/>
      <c r="BN968" s="10" t="s">
        <v>118</v>
      </c>
      <c r="BO968" s="11">
        <v>45868.600694444445</v>
      </c>
      <c r="BP968" s="11">
        <v>45874.552499999998</v>
      </c>
      <c r="BQ968" s="15">
        <v>45884.700659722221</v>
      </c>
      <c r="BR968" s="15">
        <v>45884.873182870368</v>
      </c>
      <c r="BS968" s="10" t="s">
        <v>118</v>
      </c>
      <c r="BT968" s="10"/>
      <c r="BU968" s="10"/>
      <c r="BV968" s="10"/>
      <c r="BW968" s="10"/>
      <c r="BX968" s="10"/>
      <c r="BY968" s="23"/>
      <c r="BZ968" s="23"/>
      <c r="CA968" s="19" t="s">
        <v>7694</v>
      </c>
      <c r="CB968" s="23"/>
      <c r="CC968" s="23"/>
      <c r="CD968" s="23"/>
      <c r="CE968" s="23"/>
      <c r="CF968" s="23"/>
      <c r="CG968" s="23"/>
      <c r="CH968" s="23"/>
      <c r="CI968" s="23"/>
    </row>
    <row r="969" spans="1:87" x14ac:dyDescent="0.3">
      <c r="A969" s="9" t="s">
        <v>7695</v>
      </c>
      <c r="B969" s="10" t="s">
        <v>7696</v>
      </c>
      <c r="C969" s="11">
        <v>45887.75</v>
      </c>
      <c r="D969" s="12">
        <v>2.0833333333333332E-2</v>
      </c>
      <c r="E969" s="11">
        <v>45887.770833333336</v>
      </c>
      <c r="F969" s="10" t="s">
        <v>3511</v>
      </c>
      <c r="G969" s="13" t="b">
        <v>0</v>
      </c>
      <c r="H969" s="10" t="s">
        <v>3512</v>
      </c>
      <c r="I969" s="10" t="s">
        <v>212</v>
      </c>
      <c r="J969" s="13" t="b">
        <v>1</v>
      </c>
      <c r="K969" s="13" t="b">
        <v>0</v>
      </c>
      <c r="L969" s="10" t="s">
        <v>90</v>
      </c>
      <c r="M969" s="10" t="s">
        <v>91</v>
      </c>
      <c r="N969" s="10" t="s">
        <v>92</v>
      </c>
      <c r="O969" s="19" t="s">
        <v>7697</v>
      </c>
      <c r="P969" s="10"/>
      <c r="Q969" s="10" t="s">
        <v>94</v>
      </c>
      <c r="R969" s="10"/>
      <c r="S969" s="19" t="s">
        <v>7698</v>
      </c>
      <c r="T969" s="10"/>
      <c r="U969" s="10" t="s">
        <v>3536</v>
      </c>
      <c r="V969" s="10" t="s">
        <v>3609</v>
      </c>
      <c r="W969" s="10" t="s">
        <v>3519</v>
      </c>
      <c r="X969" s="10" t="s">
        <v>130</v>
      </c>
      <c r="Y969" s="10" t="s">
        <v>130</v>
      </c>
      <c r="Z969" s="10" t="s">
        <v>99</v>
      </c>
      <c r="AA969" s="10" t="s">
        <v>131</v>
      </c>
      <c r="AB969" s="10" t="s">
        <v>3520</v>
      </c>
      <c r="AC969" s="10" t="s">
        <v>3521</v>
      </c>
      <c r="AD969" s="10" t="s">
        <v>7699</v>
      </c>
      <c r="AE969" s="10" t="s">
        <v>7700</v>
      </c>
      <c r="AF969" s="15"/>
      <c r="AG969" s="10"/>
      <c r="AH969" s="10"/>
      <c r="AI969" s="10"/>
      <c r="AJ969" s="10"/>
      <c r="AK969" s="10" t="s">
        <v>102</v>
      </c>
      <c r="AL969" s="10"/>
      <c r="AM969" s="10"/>
      <c r="AN969" s="10"/>
      <c r="AO969" s="13" t="b">
        <v>0</v>
      </c>
      <c r="AP969" s="10" t="s">
        <v>104</v>
      </c>
      <c r="AQ969" s="10">
        <f ca="1">IFERROR(__xludf.DUMMYFUNCTION("""COMPUTED_VALUE"""),4503850)</f>
        <v>4503850</v>
      </c>
      <c r="AR969" s="17">
        <v>15303</v>
      </c>
      <c r="AS969" s="17">
        <v>11410</v>
      </c>
      <c r="AT969" s="17">
        <v>61715.5</v>
      </c>
      <c r="AU969" s="17">
        <v>43.8</v>
      </c>
      <c r="AV969" s="17">
        <v>22.05</v>
      </c>
      <c r="AW969" s="10" t="s">
        <v>105</v>
      </c>
      <c r="AX969" s="17">
        <v>6497</v>
      </c>
      <c r="AY969" s="18">
        <v>5.4088957055214726</v>
      </c>
      <c r="AZ969" s="10" t="s">
        <v>3783</v>
      </c>
      <c r="BA969" s="20" t="b">
        <v>0</v>
      </c>
      <c r="BB969" s="10"/>
      <c r="BC969" s="17">
        <v>15303</v>
      </c>
      <c r="BD969" s="17">
        <v>11410</v>
      </c>
      <c r="BE969" s="17">
        <v>61715.5</v>
      </c>
      <c r="BF969" s="17">
        <v>22.05</v>
      </c>
      <c r="BG969" s="11">
        <f ca="1">IFERROR(__xludf.DUMMYFUNCTION("""COMPUTED_VALUE"""),45887.75)</f>
        <v>45887.75</v>
      </c>
      <c r="BH969" s="17" t="s">
        <v>105</v>
      </c>
      <c r="BI969" s="17"/>
      <c r="BJ969" s="15"/>
      <c r="BK969" s="15"/>
      <c r="BL969" s="13" t="b">
        <v>0</v>
      </c>
      <c r="BM969" s="10"/>
      <c r="BN969" s="10" t="s">
        <v>118</v>
      </c>
      <c r="BO969" s="11">
        <v>45868.601388888892</v>
      </c>
      <c r="BP969" s="11">
        <v>45881.43546296296</v>
      </c>
      <c r="BQ969" s="15">
        <v>45884.700162037036</v>
      </c>
      <c r="BR969" s="15">
        <v>45885.47216435185</v>
      </c>
      <c r="BS969" s="10" t="s">
        <v>118</v>
      </c>
      <c r="BT969" s="10"/>
      <c r="BU969" s="10"/>
      <c r="BV969" s="10"/>
      <c r="BW969" s="10"/>
      <c r="BX969" s="10"/>
      <c r="BY969" s="23"/>
      <c r="BZ969" s="23"/>
      <c r="CA969" s="19" t="s">
        <v>7701</v>
      </c>
      <c r="CB969" s="23"/>
      <c r="CC969" s="23"/>
      <c r="CD969" s="23"/>
      <c r="CE969" s="23"/>
      <c r="CF969" s="23"/>
      <c r="CG969" s="23"/>
      <c r="CH969" s="23"/>
      <c r="CI969" s="23"/>
    </row>
    <row r="970" spans="1:87" x14ac:dyDescent="0.3">
      <c r="A970" s="9" t="s">
        <v>7702</v>
      </c>
      <c r="B970" s="10" t="s">
        <v>7703</v>
      </c>
      <c r="C970" s="11">
        <v>45885.989583333336</v>
      </c>
      <c r="D970" s="12">
        <v>8.3333333333333329E-2</v>
      </c>
      <c r="E970" s="11">
        <v>45886.072916666664</v>
      </c>
      <c r="F970" s="10" t="s">
        <v>3687</v>
      </c>
      <c r="G970" s="13" t="b">
        <v>0</v>
      </c>
      <c r="H970" s="10" t="s">
        <v>3478</v>
      </c>
      <c r="I970" s="10" t="s">
        <v>89</v>
      </c>
      <c r="J970" s="13" t="b">
        <v>0</v>
      </c>
      <c r="K970" s="13" t="b">
        <v>1</v>
      </c>
      <c r="L970" s="10" t="s">
        <v>124</v>
      </c>
      <c r="M970" s="10" t="s">
        <v>91</v>
      </c>
      <c r="N970" s="10" t="s">
        <v>92</v>
      </c>
      <c r="O970" s="19" t="s">
        <v>7704</v>
      </c>
      <c r="P970" s="10"/>
      <c r="Q970" s="10" t="s">
        <v>126</v>
      </c>
      <c r="R970" s="19" t="s">
        <v>7705</v>
      </c>
      <c r="S970" s="19" t="s">
        <v>7706</v>
      </c>
      <c r="T970" s="19" t="s">
        <v>7707</v>
      </c>
      <c r="U970" s="10" t="s">
        <v>7708</v>
      </c>
      <c r="V970" s="10" t="s">
        <v>3690</v>
      </c>
      <c r="W970" s="10" t="s">
        <v>3692</v>
      </c>
      <c r="X970" s="10" t="s">
        <v>130</v>
      </c>
      <c r="Y970" s="10" t="s">
        <v>130</v>
      </c>
      <c r="Z970" s="10" t="s">
        <v>99</v>
      </c>
      <c r="AA970" s="10" t="s">
        <v>131</v>
      </c>
      <c r="AB970" s="10" t="s">
        <v>3693</v>
      </c>
      <c r="AC970" s="10" t="s">
        <v>3694</v>
      </c>
      <c r="AD970" s="10" t="s">
        <v>7709</v>
      </c>
      <c r="AE970" s="10" t="s">
        <v>7710</v>
      </c>
      <c r="AF970" s="15"/>
      <c r="AG970" s="10"/>
      <c r="AH970" s="10"/>
      <c r="AI970" s="10"/>
      <c r="AJ970" s="10" t="s">
        <v>7711</v>
      </c>
      <c r="AK970" s="10" t="s">
        <v>102</v>
      </c>
      <c r="AL970" s="10" t="s">
        <v>116</v>
      </c>
      <c r="AM970" s="10"/>
      <c r="AN970" s="10"/>
      <c r="AO970" s="13" t="b">
        <v>0</v>
      </c>
      <c r="AP970" s="10" t="s">
        <v>104</v>
      </c>
      <c r="AQ970" s="10">
        <f ca="1">IFERROR(__xludf.DUMMYFUNCTION("""COMPUTED_VALUE"""),4501323)</f>
        <v>4501323</v>
      </c>
      <c r="AR970" s="17">
        <v>8639</v>
      </c>
      <c r="AS970" s="17">
        <v>6948</v>
      </c>
      <c r="AT970" s="17">
        <v>68675.75</v>
      </c>
      <c r="AU970" s="17">
        <v>37.950000000000003</v>
      </c>
      <c r="AV970" s="17">
        <v>19.649999999999999</v>
      </c>
      <c r="AW970" s="10" t="s">
        <v>105</v>
      </c>
      <c r="AX970" s="17">
        <v>1671</v>
      </c>
      <c r="AY970" s="18">
        <v>9.8842472654001146</v>
      </c>
      <c r="AZ970" s="10" t="s">
        <v>196</v>
      </c>
      <c r="BA970" s="20" t="b">
        <v>0</v>
      </c>
      <c r="BB970" s="10"/>
      <c r="BC970" s="17">
        <v>8639</v>
      </c>
      <c r="BD970" s="17">
        <v>6948</v>
      </c>
      <c r="BE970" s="17">
        <v>68675.75</v>
      </c>
      <c r="BF970" s="17">
        <v>19.649999999999999</v>
      </c>
      <c r="BG970" s="11">
        <f ca="1">IFERROR(__xludf.DUMMYFUNCTION("""COMPUTED_VALUE"""),45885.9895833333)</f>
        <v>45885.989583333299</v>
      </c>
      <c r="BH970" s="17" t="s">
        <v>105</v>
      </c>
      <c r="BI970" s="17"/>
      <c r="BJ970" s="15"/>
      <c r="BK970" s="15"/>
      <c r="BL970" s="13" t="b">
        <v>0</v>
      </c>
      <c r="BM970" s="10"/>
      <c r="BN970" s="10" t="s">
        <v>118</v>
      </c>
      <c r="BO970" s="11">
        <v>45868.661805555559</v>
      </c>
      <c r="BP970" s="11">
        <v>45882.60837962963</v>
      </c>
      <c r="BQ970" s="15">
        <v>45883.594629629632</v>
      </c>
      <c r="BR970" s="15">
        <v>45884.38009259259</v>
      </c>
      <c r="BS970" s="10" t="s">
        <v>118</v>
      </c>
      <c r="BT970" s="10" t="s">
        <v>279</v>
      </c>
      <c r="BU970" s="10" t="s">
        <v>718</v>
      </c>
      <c r="BV970" s="10"/>
      <c r="BW970" s="10"/>
      <c r="BX970" s="10"/>
      <c r="BY970" s="23"/>
      <c r="BZ970" s="23"/>
      <c r="CA970" s="19" t="s">
        <v>7712</v>
      </c>
      <c r="CB970" s="19" t="s">
        <v>7713</v>
      </c>
      <c r="CC970" s="23"/>
      <c r="CD970" s="19" t="s">
        <v>7714</v>
      </c>
      <c r="CE970" s="23"/>
      <c r="CF970" s="23"/>
      <c r="CG970" s="23"/>
      <c r="CH970" s="23"/>
      <c r="CI970" s="23"/>
    </row>
    <row r="971" spans="1:87" x14ac:dyDescent="0.3">
      <c r="A971" s="9" t="s">
        <v>7715</v>
      </c>
      <c r="B971" s="10" t="s">
        <v>7716</v>
      </c>
      <c r="C971" s="11">
        <v>45886.083333333336</v>
      </c>
      <c r="D971" s="12">
        <v>8.3333333333333329E-2</v>
      </c>
      <c r="E971" s="11">
        <v>45886.166666666664</v>
      </c>
      <c r="F971" s="10" t="s">
        <v>3687</v>
      </c>
      <c r="G971" s="13" t="b">
        <v>0</v>
      </c>
      <c r="H971" s="10" t="s">
        <v>88</v>
      </c>
      <c r="I971" s="10" t="s">
        <v>89</v>
      </c>
      <c r="J971" s="13" t="b">
        <v>0</v>
      </c>
      <c r="K971" s="13" t="b">
        <v>1</v>
      </c>
      <c r="L971" s="10" t="s">
        <v>124</v>
      </c>
      <c r="M971" s="10" t="s">
        <v>91</v>
      </c>
      <c r="N971" s="10" t="s">
        <v>92</v>
      </c>
      <c r="O971" s="19" t="s">
        <v>7717</v>
      </c>
      <c r="P971" s="10"/>
      <c r="Q971" s="10" t="s">
        <v>126</v>
      </c>
      <c r="R971" s="19" t="s">
        <v>7705</v>
      </c>
      <c r="S971" s="19" t="s">
        <v>7718</v>
      </c>
      <c r="T971" s="19" t="s">
        <v>7707</v>
      </c>
      <c r="U971" s="10" t="s">
        <v>7719</v>
      </c>
      <c r="V971" s="10" t="s">
        <v>7720</v>
      </c>
      <c r="W971" s="10" t="s">
        <v>3692</v>
      </c>
      <c r="X971" s="10" t="s">
        <v>130</v>
      </c>
      <c r="Y971" s="10" t="s">
        <v>130</v>
      </c>
      <c r="Z971" s="10" t="s">
        <v>99</v>
      </c>
      <c r="AA971" s="10" t="s">
        <v>131</v>
      </c>
      <c r="AB971" s="10" t="s">
        <v>3693</v>
      </c>
      <c r="AC971" s="10" t="s">
        <v>3694</v>
      </c>
      <c r="AD971" s="10" t="s">
        <v>7721</v>
      </c>
      <c r="AE971" s="10" t="s">
        <v>7722</v>
      </c>
      <c r="AF971" s="15"/>
      <c r="AG971" s="10"/>
      <c r="AH971" s="10"/>
      <c r="AI971" s="10"/>
      <c r="AJ971" s="10" t="s">
        <v>7723</v>
      </c>
      <c r="AK971" s="10" t="s">
        <v>102</v>
      </c>
      <c r="AL971" s="10" t="s">
        <v>116</v>
      </c>
      <c r="AM971" s="10"/>
      <c r="AN971" s="10"/>
      <c r="AO971" s="13" t="b">
        <v>0</v>
      </c>
      <c r="AP971" s="10" t="s">
        <v>104</v>
      </c>
      <c r="AQ971" s="10">
        <f ca="1">IFERROR(__xludf.DUMMYFUNCTION("""COMPUTED_VALUE"""),4501324)</f>
        <v>4501324</v>
      </c>
      <c r="AR971" s="17">
        <v>6036</v>
      </c>
      <c r="AS971" s="17">
        <v>4558</v>
      </c>
      <c r="AT971" s="17">
        <v>106257.5</v>
      </c>
      <c r="AU971" s="17">
        <v>17.8</v>
      </c>
      <c r="AV971" s="17">
        <v>7.45</v>
      </c>
      <c r="AW971" s="10" t="s">
        <v>105</v>
      </c>
      <c r="AX971" s="17">
        <v>1752</v>
      </c>
      <c r="AY971" s="18">
        <v>23.312308029837649</v>
      </c>
      <c r="AZ971" s="10" t="s">
        <v>196</v>
      </c>
      <c r="BA971" s="20" t="b">
        <v>0</v>
      </c>
      <c r="BB971" s="10"/>
      <c r="BC971" s="17">
        <v>6036</v>
      </c>
      <c r="BD971" s="17">
        <v>4558</v>
      </c>
      <c r="BE971" s="17">
        <v>106257.5</v>
      </c>
      <c r="BF971" s="17">
        <v>7.45</v>
      </c>
      <c r="BG971" s="11">
        <f ca="1">IFERROR(__xludf.DUMMYFUNCTION("""COMPUTED_VALUE"""),45886.0833333333)</f>
        <v>45886.083333333299</v>
      </c>
      <c r="BH971" s="17" t="s">
        <v>105</v>
      </c>
      <c r="BI971" s="17"/>
      <c r="BJ971" s="15"/>
      <c r="BK971" s="15"/>
      <c r="BL971" s="13" t="b">
        <v>0</v>
      </c>
      <c r="BM971" s="10"/>
      <c r="BN971" s="10" t="s">
        <v>278</v>
      </c>
      <c r="BO971" s="11">
        <v>45868.662499999999</v>
      </c>
      <c r="BP971" s="11">
        <v>45882.610069444447</v>
      </c>
      <c r="BQ971" s="15">
        <v>45883.595266203702</v>
      </c>
      <c r="BR971" s="15">
        <v>45884.380243055559</v>
      </c>
      <c r="BS971" s="10" t="s">
        <v>278</v>
      </c>
      <c r="BT971" s="10" t="s">
        <v>279</v>
      </c>
      <c r="BU971" s="10" t="s">
        <v>534</v>
      </c>
      <c r="BV971" s="10"/>
      <c r="BW971" s="10"/>
      <c r="BX971" s="10"/>
      <c r="BY971" s="23"/>
      <c r="BZ971" s="23"/>
      <c r="CA971" s="19" t="s">
        <v>7724</v>
      </c>
      <c r="CB971" s="19" t="s">
        <v>7725</v>
      </c>
      <c r="CC971" s="23"/>
      <c r="CD971" s="19" t="s">
        <v>7726</v>
      </c>
      <c r="CE971" s="23"/>
      <c r="CF971" s="23"/>
      <c r="CG971" s="23"/>
      <c r="CH971" s="23"/>
      <c r="CI971" s="23"/>
    </row>
    <row r="972" spans="1:87" x14ac:dyDescent="0.3">
      <c r="A972" s="9" t="s">
        <v>7727</v>
      </c>
      <c r="B972" s="10" t="s">
        <v>7728</v>
      </c>
      <c r="C972" s="11">
        <v>45886.71875</v>
      </c>
      <c r="D972" s="12">
        <v>8.3333333333333329E-2</v>
      </c>
      <c r="E972" s="11">
        <v>45886.802083333336</v>
      </c>
      <c r="F972" s="10" t="s">
        <v>3687</v>
      </c>
      <c r="G972" s="13" t="b">
        <v>0</v>
      </c>
      <c r="H972" s="10" t="s">
        <v>88</v>
      </c>
      <c r="I972" s="10" t="s">
        <v>89</v>
      </c>
      <c r="J972" s="13" t="b">
        <v>0</v>
      </c>
      <c r="K972" s="13" t="b">
        <v>1</v>
      </c>
      <c r="L972" s="10" t="s">
        <v>124</v>
      </c>
      <c r="M972" s="10" t="s">
        <v>91</v>
      </c>
      <c r="N972" s="10" t="s">
        <v>92</v>
      </c>
      <c r="O972" s="19" t="s">
        <v>7729</v>
      </c>
      <c r="P972" s="10"/>
      <c r="Q972" s="10" t="s">
        <v>126</v>
      </c>
      <c r="R972" s="19" t="s">
        <v>7705</v>
      </c>
      <c r="S972" s="19" t="s">
        <v>7730</v>
      </c>
      <c r="T972" s="19" t="s">
        <v>7707</v>
      </c>
      <c r="U972" s="10" t="s">
        <v>4993</v>
      </c>
      <c r="V972" s="10" t="s">
        <v>3715</v>
      </c>
      <c r="W972" s="10" t="s">
        <v>3692</v>
      </c>
      <c r="X972" s="10" t="s">
        <v>130</v>
      </c>
      <c r="Y972" s="10" t="s">
        <v>130</v>
      </c>
      <c r="Z972" s="10" t="s">
        <v>99</v>
      </c>
      <c r="AA972" s="10" t="s">
        <v>131</v>
      </c>
      <c r="AB972" s="10" t="s">
        <v>3693</v>
      </c>
      <c r="AC972" s="10" t="s">
        <v>3694</v>
      </c>
      <c r="AD972" s="10" t="s">
        <v>7731</v>
      </c>
      <c r="AE972" s="10" t="s">
        <v>7732</v>
      </c>
      <c r="AF972" s="15"/>
      <c r="AG972" s="10"/>
      <c r="AH972" s="10"/>
      <c r="AI972" s="10"/>
      <c r="AJ972" s="10" t="s">
        <v>7733</v>
      </c>
      <c r="AK972" s="10" t="s">
        <v>102</v>
      </c>
      <c r="AL972" s="10" t="s">
        <v>116</v>
      </c>
      <c r="AM972" s="10"/>
      <c r="AN972" s="10"/>
      <c r="AO972" s="13" t="b">
        <v>0</v>
      </c>
      <c r="AP972" s="10" t="s">
        <v>104</v>
      </c>
      <c r="AQ972" s="10">
        <f ca="1">IFERROR(__xludf.DUMMYFUNCTION("""COMPUTED_VALUE"""),4499440)</f>
        <v>4499440</v>
      </c>
      <c r="AR972" s="17">
        <v>38656</v>
      </c>
      <c r="AS972" s="17">
        <v>26925</v>
      </c>
      <c r="AT972" s="17">
        <v>516107.25</v>
      </c>
      <c r="AU972" s="17">
        <v>360.4</v>
      </c>
      <c r="AV972" s="17">
        <v>162.30000000000001</v>
      </c>
      <c r="AW972" s="10" t="s">
        <v>105</v>
      </c>
      <c r="AX972" s="17">
        <v>7654</v>
      </c>
      <c r="AY972" s="18">
        <v>19.168328690807801</v>
      </c>
      <c r="AZ972" s="10" t="s">
        <v>196</v>
      </c>
      <c r="BA972" s="20" t="b">
        <v>0</v>
      </c>
      <c r="BB972" s="10"/>
      <c r="BC972" s="17">
        <v>38656</v>
      </c>
      <c r="BD972" s="17">
        <v>26925</v>
      </c>
      <c r="BE972" s="17">
        <v>516107.25</v>
      </c>
      <c r="BF972" s="17">
        <v>162.30000000000001</v>
      </c>
      <c r="BG972" s="11">
        <f ca="1">IFERROR(__xludf.DUMMYFUNCTION("""COMPUTED_VALUE"""),45886.71875)</f>
        <v>45886.71875</v>
      </c>
      <c r="BH972" s="17" t="s">
        <v>105</v>
      </c>
      <c r="BI972" s="17"/>
      <c r="BJ972" s="15"/>
      <c r="BK972" s="15"/>
      <c r="BL972" s="13" t="b">
        <v>0</v>
      </c>
      <c r="BM972" s="10"/>
      <c r="BN972" s="10" t="s">
        <v>197</v>
      </c>
      <c r="BO972" s="11">
        <v>45868.663888888892</v>
      </c>
      <c r="BP972" s="11">
        <v>45882.612754629627</v>
      </c>
      <c r="BQ972" s="15">
        <v>45883.682222222225</v>
      </c>
      <c r="BR972" s="15">
        <v>45883.977777777778</v>
      </c>
      <c r="BS972" s="10" t="s">
        <v>197</v>
      </c>
      <c r="BT972" s="10" t="s">
        <v>279</v>
      </c>
      <c r="BU972" s="10" t="s">
        <v>498</v>
      </c>
      <c r="BV972" s="10"/>
      <c r="BW972" s="10"/>
      <c r="BX972" s="10"/>
      <c r="BY972" s="23"/>
      <c r="BZ972" s="23"/>
      <c r="CA972" s="19" t="s">
        <v>7734</v>
      </c>
      <c r="CB972" s="19" t="s">
        <v>7735</v>
      </c>
      <c r="CC972" s="23"/>
      <c r="CD972" s="19" t="s">
        <v>7736</v>
      </c>
      <c r="CE972" s="23"/>
      <c r="CF972" s="23"/>
      <c r="CG972" s="23"/>
      <c r="CH972" s="23"/>
      <c r="CI972" s="23"/>
    </row>
    <row r="973" spans="1:87" x14ac:dyDescent="0.3">
      <c r="A973" s="9" t="s">
        <v>7737</v>
      </c>
      <c r="B973" s="10" t="s">
        <v>7738</v>
      </c>
      <c r="C973" s="11">
        <v>45886.8125</v>
      </c>
      <c r="D973" s="12">
        <v>8.3333333333333329E-2</v>
      </c>
      <c r="E973" s="11">
        <v>45886.895833333336</v>
      </c>
      <c r="F973" s="10" t="s">
        <v>3687</v>
      </c>
      <c r="G973" s="13" t="b">
        <v>0</v>
      </c>
      <c r="H973" s="10" t="s">
        <v>88</v>
      </c>
      <c r="I973" s="10" t="s">
        <v>89</v>
      </c>
      <c r="J973" s="13" t="b">
        <v>0</v>
      </c>
      <c r="K973" s="13" t="b">
        <v>1</v>
      </c>
      <c r="L973" s="10" t="s">
        <v>124</v>
      </c>
      <c r="M973" s="10" t="s">
        <v>91</v>
      </c>
      <c r="N973" s="10" t="s">
        <v>92</v>
      </c>
      <c r="O973" s="19" t="s">
        <v>7739</v>
      </c>
      <c r="P973" s="10"/>
      <c r="Q973" s="10" t="s">
        <v>126</v>
      </c>
      <c r="R973" s="19" t="s">
        <v>7705</v>
      </c>
      <c r="S973" s="19" t="s">
        <v>7740</v>
      </c>
      <c r="T973" s="19" t="s">
        <v>7707</v>
      </c>
      <c r="U973" s="10" t="s">
        <v>7741</v>
      </c>
      <c r="V973" s="10" t="s">
        <v>3704</v>
      </c>
      <c r="W973" s="10" t="s">
        <v>3692</v>
      </c>
      <c r="X973" s="10" t="s">
        <v>130</v>
      </c>
      <c r="Y973" s="10" t="s">
        <v>130</v>
      </c>
      <c r="Z973" s="10" t="s">
        <v>99</v>
      </c>
      <c r="AA973" s="10" t="s">
        <v>131</v>
      </c>
      <c r="AB973" s="10" t="s">
        <v>3693</v>
      </c>
      <c r="AC973" s="10" t="s">
        <v>3694</v>
      </c>
      <c r="AD973" s="10" t="s">
        <v>7742</v>
      </c>
      <c r="AE973" s="10" t="s">
        <v>7743</v>
      </c>
      <c r="AF973" s="15"/>
      <c r="AG973" s="10"/>
      <c r="AH973" s="10"/>
      <c r="AI973" s="10"/>
      <c r="AJ973" s="10" t="s">
        <v>7744</v>
      </c>
      <c r="AK973" s="10" t="s">
        <v>102</v>
      </c>
      <c r="AL973" s="10" t="s">
        <v>116</v>
      </c>
      <c r="AM973" s="10"/>
      <c r="AN973" s="10"/>
      <c r="AO973" s="13" t="b">
        <v>0</v>
      </c>
      <c r="AP973" s="10" t="s">
        <v>104</v>
      </c>
      <c r="AQ973" s="10">
        <f ca="1">IFERROR(__xludf.DUMMYFUNCTION("""COMPUTED_VALUE"""),4499441)</f>
        <v>4499441</v>
      </c>
      <c r="AR973" s="17">
        <v>31701</v>
      </c>
      <c r="AS973" s="17">
        <v>23370</v>
      </c>
      <c r="AT973" s="17">
        <v>303920</v>
      </c>
      <c r="AU973" s="17">
        <v>219.45</v>
      </c>
      <c r="AV973" s="17">
        <v>94.65</v>
      </c>
      <c r="AW973" s="10" t="s">
        <v>105</v>
      </c>
      <c r="AX973" s="17">
        <v>5527</v>
      </c>
      <c r="AY973" s="18">
        <v>13.004706889174155</v>
      </c>
      <c r="AZ973" s="10" t="s">
        <v>196</v>
      </c>
      <c r="BA973" s="20" t="b">
        <v>0</v>
      </c>
      <c r="BB973" s="10"/>
      <c r="BC973" s="17">
        <v>31701</v>
      </c>
      <c r="BD973" s="17">
        <v>23370</v>
      </c>
      <c r="BE973" s="17">
        <v>303920</v>
      </c>
      <c r="BF973" s="17">
        <v>94.65</v>
      </c>
      <c r="BG973" s="11">
        <f ca="1">IFERROR(__xludf.DUMMYFUNCTION("""COMPUTED_VALUE"""),45886.8125)</f>
        <v>45886.8125</v>
      </c>
      <c r="BH973" s="17" t="s">
        <v>105</v>
      </c>
      <c r="BI973" s="17"/>
      <c r="BJ973" s="15"/>
      <c r="BK973" s="15"/>
      <c r="BL973" s="13" t="b">
        <v>0</v>
      </c>
      <c r="BM973" s="10"/>
      <c r="BN973" s="10" t="s">
        <v>197</v>
      </c>
      <c r="BO973" s="11">
        <v>45868.665972222225</v>
      </c>
      <c r="BP973" s="11">
        <v>45882.615798611114</v>
      </c>
      <c r="BQ973" s="15">
        <v>45883.790231481478</v>
      </c>
      <c r="BR973" s="15">
        <v>45883.978055555555</v>
      </c>
      <c r="BS973" s="10" t="s">
        <v>197</v>
      </c>
      <c r="BT973" s="10" t="s">
        <v>279</v>
      </c>
      <c r="BU973" s="10" t="s">
        <v>498</v>
      </c>
      <c r="BV973" s="10"/>
      <c r="BW973" s="10"/>
      <c r="BX973" s="10"/>
      <c r="BY973" s="23"/>
      <c r="BZ973" s="23"/>
      <c r="CA973" s="19" t="s">
        <v>7745</v>
      </c>
      <c r="CB973" s="19" t="s">
        <v>7746</v>
      </c>
      <c r="CC973" s="23"/>
      <c r="CD973" s="19" t="s">
        <v>7747</v>
      </c>
      <c r="CE973" s="23"/>
      <c r="CF973" s="23"/>
      <c r="CG973" s="23"/>
      <c r="CH973" s="23"/>
      <c r="CI973" s="23"/>
    </row>
    <row r="974" spans="1:87" x14ac:dyDescent="0.3">
      <c r="A974" s="9" t="s">
        <v>7748</v>
      </c>
      <c r="B974" s="10" t="s">
        <v>7749</v>
      </c>
      <c r="C974" s="11">
        <v>45886.90625</v>
      </c>
      <c r="D974" s="12">
        <v>8.3333333333333329E-2</v>
      </c>
      <c r="E974" s="11">
        <v>45886.989583333336</v>
      </c>
      <c r="F974" s="10" t="s">
        <v>3687</v>
      </c>
      <c r="G974" s="13" t="b">
        <v>0</v>
      </c>
      <c r="H974" s="10" t="s">
        <v>88</v>
      </c>
      <c r="I974" s="10" t="s">
        <v>89</v>
      </c>
      <c r="J974" s="13" t="b">
        <v>0</v>
      </c>
      <c r="K974" s="13" t="b">
        <v>1</v>
      </c>
      <c r="L974" s="10" t="s">
        <v>124</v>
      </c>
      <c r="M974" s="10" t="s">
        <v>91</v>
      </c>
      <c r="N974" s="10" t="s">
        <v>92</v>
      </c>
      <c r="O974" s="19" t="s">
        <v>7750</v>
      </c>
      <c r="P974" s="10"/>
      <c r="Q974" s="10" t="s">
        <v>126</v>
      </c>
      <c r="R974" s="19" t="s">
        <v>7705</v>
      </c>
      <c r="S974" s="19" t="s">
        <v>7751</v>
      </c>
      <c r="T974" s="19" t="s">
        <v>7707</v>
      </c>
      <c r="U974" s="10" t="s">
        <v>7752</v>
      </c>
      <c r="V974" s="10" t="s">
        <v>3727</v>
      </c>
      <c r="W974" s="10" t="s">
        <v>3692</v>
      </c>
      <c r="X974" s="10" t="s">
        <v>130</v>
      </c>
      <c r="Y974" s="10" t="s">
        <v>130</v>
      </c>
      <c r="Z974" s="10" t="s">
        <v>99</v>
      </c>
      <c r="AA974" s="10" t="s">
        <v>131</v>
      </c>
      <c r="AB974" s="10" t="s">
        <v>3693</v>
      </c>
      <c r="AC974" s="10" t="s">
        <v>3694</v>
      </c>
      <c r="AD974" s="10" t="s">
        <v>7753</v>
      </c>
      <c r="AE974" s="10" t="s">
        <v>7754</v>
      </c>
      <c r="AF974" s="15"/>
      <c r="AG974" s="10"/>
      <c r="AH974" s="10"/>
      <c r="AI974" s="10"/>
      <c r="AJ974" s="10" t="s">
        <v>7755</v>
      </c>
      <c r="AK974" s="10" t="s">
        <v>102</v>
      </c>
      <c r="AL974" s="10" t="s">
        <v>116</v>
      </c>
      <c r="AM974" s="10"/>
      <c r="AN974" s="10"/>
      <c r="AO974" s="13" t="b">
        <v>0</v>
      </c>
      <c r="AP974" s="10" t="s">
        <v>104</v>
      </c>
      <c r="AQ974" s="10">
        <f ca="1">IFERROR(__xludf.DUMMYFUNCTION("""COMPUTED_VALUE"""),4501369)</f>
        <v>4501369</v>
      </c>
      <c r="AR974" s="17">
        <v>16712</v>
      </c>
      <c r="AS974" s="17">
        <v>13407</v>
      </c>
      <c r="AT974" s="17">
        <v>115366</v>
      </c>
      <c r="AU974" s="17">
        <v>115.75</v>
      </c>
      <c r="AV974" s="17">
        <v>50.35</v>
      </c>
      <c r="AW974" s="10" t="s">
        <v>105</v>
      </c>
      <c r="AX974" s="17">
        <v>3502</v>
      </c>
      <c r="AY974" s="18">
        <v>8.604907883941225</v>
      </c>
      <c r="AZ974" s="10" t="s">
        <v>196</v>
      </c>
      <c r="BA974" s="20" t="b">
        <v>0</v>
      </c>
      <c r="BB974" s="10"/>
      <c r="BC974" s="17">
        <v>16712</v>
      </c>
      <c r="BD974" s="17">
        <v>13407</v>
      </c>
      <c r="BE974" s="17">
        <v>115366</v>
      </c>
      <c r="BF974" s="17">
        <v>50.35</v>
      </c>
      <c r="BG974" s="11">
        <f ca="1">IFERROR(__xludf.DUMMYFUNCTION("""COMPUTED_VALUE"""),45886.90625)</f>
        <v>45886.90625</v>
      </c>
      <c r="BH974" s="17" t="s">
        <v>105</v>
      </c>
      <c r="BI974" s="17"/>
      <c r="BJ974" s="15"/>
      <c r="BK974" s="15"/>
      <c r="BL974" s="13" t="b">
        <v>0</v>
      </c>
      <c r="BM974" s="10"/>
      <c r="BN974" s="10" t="s">
        <v>197</v>
      </c>
      <c r="BO974" s="11">
        <v>45868.668055555558</v>
      </c>
      <c r="BP974" s="11">
        <v>45882.746064814812</v>
      </c>
      <c r="BQ974" s="15">
        <v>45884.460289351853</v>
      </c>
      <c r="BR974" s="15">
        <v>45884.519097222219</v>
      </c>
      <c r="BS974" s="10" t="s">
        <v>197</v>
      </c>
      <c r="BT974" s="10" t="s">
        <v>279</v>
      </c>
      <c r="BU974" s="10" t="s">
        <v>498</v>
      </c>
      <c r="BV974" s="10"/>
      <c r="BW974" s="10"/>
      <c r="BX974" s="10"/>
      <c r="BY974" s="23"/>
      <c r="BZ974" s="23"/>
      <c r="CA974" s="19" t="s">
        <v>7756</v>
      </c>
      <c r="CB974" s="19" t="s">
        <v>7757</v>
      </c>
      <c r="CC974" s="23"/>
      <c r="CD974" s="19" t="s">
        <v>7758</v>
      </c>
      <c r="CE974" s="23"/>
      <c r="CF974" s="23"/>
      <c r="CG974" s="23"/>
      <c r="CH974" s="23"/>
      <c r="CI974" s="23"/>
    </row>
    <row r="975" spans="1:87" x14ac:dyDescent="0.3">
      <c r="A975" s="9" t="s">
        <v>7759</v>
      </c>
      <c r="B975" s="10" t="s">
        <v>7760</v>
      </c>
      <c r="C975" s="11">
        <v>45891.625</v>
      </c>
      <c r="D975" s="12">
        <v>2.0833333333333332E-2</v>
      </c>
      <c r="E975" s="11">
        <v>45891.645833333336</v>
      </c>
      <c r="F975" s="10" t="s">
        <v>3511</v>
      </c>
      <c r="G975" s="13" t="b">
        <v>0</v>
      </c>
      <c r="H975" s="10" t="s">
        <v>3512</v>
      </c>
      <c r="I975" s="10" t="s">
        <v>212</v>
      </c>
      <c r="J975" s="13" t="b">
        <v>1</v>
      </c>
      <c r="K975" s="13" t="b">
        <v>0</v>
      </c>
      <c r="L975" s="10" t="s">
        <v>90</v>
      </c>
      <c r="M975" s="10" t="s">
        <v>91</v>
      </c>
      <c r="N975" s="10" t="s">
        <v>92</v>
      </c>
      <c r="O975" s="19" t="s">
        <v>7761</v>
      </c>
      <c r="P975" s="10"/>
      <c r="Q975" s="10" t="s">
        <v>94</v>
      </c>
      <c r="R975" s="10"/>
      <c r="S975" s="19" t="s">
        <v>3831</v>
      </c>
      <c r="T975" s="10"/>
      <c r="U975" s="10" t="s">
        <v>3676</v>
      </c>
      <c r="V975" s="10" t="s">
        <v>3518</v>
      </c>
      <c r="W975" s="10" t="s">
        <v>3519</v>
      </c>
      <c r="X975" s="10" t="s">
        <v>130</v>
      </c>
      <c r="Y975" s="10" t="s">
        <v>130</v>
      </c>
      <c r="Z975" s="10" t="s">
        <v>99</v>
      </c>
      <c r="AA975" s="10" t="s">
        <v>131</v>
      </c>
      <c r="AB975" s="10" t="s">
        <v>3520</v>
      </c>
      <c r="AC975" s="10" t="s">
        <v>3521</v>
      </c>
      <c r="AD975" s="10" t="s">
        <v>3833</v>
      </c>
      <c r="AE975" s="10" t="s">
        <v>7762</v>
      </c>
      <c r="AF975" s="15"/>
      <c r="AG975" s="10"/>
      <c r="AH975" s="10"/>
      <c r="AI975" s="10"/>
      <c r="AJ975" s="10"/>
      <c r="AK975" s="10" t="s">
        <v>102</v>
      </c>
      <c r="AL975" s="10"/>
      <c r="AM975" s="10"/>
      <c r="AN975" s="10"/>
      <c r="AO975" s="13" t="b">
        <v>0</v>
      </c>
      <c r="AP975" s="10" t="s">
        <v>104</v>
      </c>
      <c r="AQ975" s="10">
        <f ca="1">IFERROR(__xludf.DUMMYFUNCTION("""COMPUTED_VALUE"""),4515029)</f>
        <v>4515029</v>
      </c>
      <c r="AR975" s="17">
        <v>4240</v>
      </c>
      <c r="AS975" s="17">
        <v>3512</v>
      </c>
      <c r="AT975" s="17">
        <v>14370</v>
      </c>
      <c r="AU975" s="17">
        <v>14.15</v>
      </c>
      <c r="AV975" s="17">
        <v>2.1</v>
      </c>
      <c r="AW975" s="10" t="s">
        <v>105</v>
      </c>
      <c r="AX975" s="17">
        <v>1679</v>
      </c>
      <c r="AY975" s="18">
        <v>4.0916856492027334</v>
      </c>
      <c r="AZ975" s="10"/>
      <c r="BA975" s="20" t="b">
        <v>0</v>
      </c>
      <c r="BB975" s="10"/>
      <c r="BC975" s="17">
        <v>4240</v>
      </c>
      <c r="BD975" s="17">
        <v>3512</v>
      </c>
      <c r="BE975" s="17">
        <v>14370</v>
      </c>
      <c r="BF975" s="17">
        <v>2.1</v>
      </c>
      <c r="BG975" s="11">
        <f ca="1">IFERROR(__xludf.DUMMYFUNCTION("""COMPUTED_VALUE"""),45891.625)</f>
        <v>45891.625</v>
      </c>
      <c r="BH975" s="17" t="s">
        <v>105</v>
      </c>
      <c r="BI975" s="17"/>
      <c r="BJ975" s="15"/>
      <c r="BK975" s="15"/>
      <c r="BL975" s="13" t="b">
        <v>0</v>
      </c>
      <c r="BM975" s="10"/>
      <c r="BN975" s="10" t="s">
        <v>634</v>
      </c>
      <c r="BO975" s="11">
        <v>45869.599999999999</v>
      </c>
      <c r="BP975" s="11">
        <v>45869.602303240739</v>
      </c>
      <c r="BQ975" s="15">
        <v>45891.026435185187</v>
      </c>
      <c r="BR975" s="15">
        <v>45891.422847222224</v>
      </c>
      <c r="BS975" s="10" t="s">
        <v>634</v>
      </c>
      <c r="BT975" s="10"/>
      <c r="BU975" s="10"/>
      <c r="BV975" s="10"/>
      <c r="BW975" s="10"/>
      <c r="BX975" s="10"/>
      <c r="BY975" s="23"/>
      <c r="BZ975" s="23"/>
      <c r="CA975" s="19" t="s">
        <v>7763</v>
      </c>
      <c r="CB975" s="23"/>
      <c r="CC975" s="23"/>
      <c r="CD975" s="19" t="s">
        <v>3838</v>
      </c>
      <c r="CE975" s="23"/>
      <c r="CF975" s="23"/>
      <c r="CG975" s="23"/>
      <c r="CH975" s="23"/>
      <c r="CI975" s="23"/>
    </row>
    <row r="976" spans="1:87" x14ac:dyDescent="0.3">
      <c r="A976" s="9" t="s">
        <v>7764</v>
      </c>
      <c r="B976" s="10" t="s">
        <v>7765</v>
      </c>
      <c r="C976" s="11">
        <v>45891.770833333336</v>
      </c>
      <c r="D976" s="12">
        <v>2.0833333333333332E-2</v>
      </c>
      <c r="E976" s="11">
        <v>45891.791666666664</v>
      </c>
      <c r="F976" s="10" t="s">
        <v>3511</v>
      </c>
      <c r="G976" s="13" t="b">
        <v>0</v>
      </c>
      <c r="H976" s="10" t="s">
        <v>3512</v>
      </c>
      <c r="I976" s="10" t="s">
        <v>212</v>
      </c>
      <c r="J976" s="13" t="b">
        <v>1</v>
      </c>
      <c r="K976" s="13" t="b">
        <v>0</v>
      </c>
      <c r="L976" s="10" t="s">
        <v>90</v>
      </c>
      <c r="M976" s="10" t="s">
        <v>91</v>
      </c>
      <c r="N976" s="10" t="s">
        <v>92</v>
      </c>
      <c r="O976" s="19" t="s">
        <v>7766</v>
      </c>
      <c r="P976" s="10"/>
      <c r="Q976" s="10" t="s">
        <v>94</v>
      </c>
      <c r="R976" s="10"/>
      <c r="S976" s="19" t="s">
        <v>3852</v>
      </c>
      <c r="T976" s="10"/>
      <c r="U976" s="10" t="s">
        <v>3662</v>
      </c>
      <c r="V976" s="10" t="s">
        <v>3622</v>
      </c>
      <c r="W976" s="10" t="s">
        <v>3519</v>
      </c>
      <c r="X976" s="10" t="s">
        <v>130</v>
      </c>
      <c r="Y976" s="10" t="s">
        <v>130</v>
      </c>
      <c r="Z976" s="10" t="s">
        <v>99</v>
      </c>
      <c r="AA976" s="10" t="s">
        <v>131</v>
      </c>
      <c r="AB976" s="10" t="s">
        <v>3520</v>
      </c>
      <c r="AC976" s="10" t="s">
        <v>3521</v>
      </c>
      <c r="AD976" s="10" t="s">
        <v>7767</v>
      </c>
      <c r="AE976" s="10" t="s">
        <v>7768</v>
      </c>
      <c r="AF976" s="15"/>
      <c r="AG976" s="10"/>
      <c r="AH976" s="10"/>
      <c r="AI976" s="10"/>
      <c r="AJ976" s="10"/>
      <c r="AK976" s="10" t="s">
        <v>102</v>
      </c>
      <c r="AL976" s="10"/>
      <c r="AM976" s="10"/>
      <c r="AN976" s="10"/>
      <c r="AO976" s="13" t="b">
        <v>0</v>
      </c>
      <c r="AP976" s="10" t="s">
        <v>104</v>
      </c>
      <c r="AQ976" s="10">
        <f ca="1">IFERROR(__xludf.DUMMYFUNCTION("""COMPUTED_VALUE"""),4515876)</f>
        <v>4515876</v>
      </c>
      <c r="AR976" s="17">
        <v>4031</v>
      </c>
      <c r="AS976" s="17">
        <v>3443</v>
      </c>
      <c r="AT976" s="17">
        <v>16618.5</v>
      </c>
      <c r="AU976" s="17">
        <v>6.1</v>
      </c>
      <c r="AV976" s="17">
        <v>2.8</v>
      </c>
      <c r="AW976" s="10" t="s">
        <v>105</v>
      </c>
      <c r="AX976" s="17">
        <v>1446</v>
      </c>
      <c r="AY976" s="18">
        <v>4.8267499273889047</v>
      </c>
      <c r="AZ976" s="10"/>
      <c r="BA976" s="20" t="b">
        <v>0</v>
      </c>
      <c r="BB976" s="10"/>
      <c r="BC976" s="17">
        <v>4031</v>
      </c>
      <c r="BD976" s="17">
        <v>3443</v>
      </c>
      <c r="BE976" s="17">
        <v>16618.5</v>
      </c>
      <c r="BF976" s="17">
        <v>2.8</v>
      </c>
      <c r="BG976" s="11">
        <f ca="1">IFERROR(__xludf.DUMMYFUNCTION("""COMPUTED_VALUE"""),45891.7708333333)</f>
        <v>45891.770833333299</v>
      </c>
      <c r="BH976" s="17" t="s">
        <v>105</v>
      </c>
      <c r="BI976" s="17"/>
      <c r="BJ976" s="15"/>
      <c r="BK976" s="15"/>
      <c r="BL976" s="13" t="b">
        <v>0</v>
      </c>
      <c r="BM976" s="10"/>
      <c r="BN976" s="10" t="s">
        <v>137</v>
      </c>
      <c r="BO976" s="11">
        <v>45869.602083333331</v>
      </c>
      <c r="BP976" s="11">
        <v>45888.479444444441</v>
      </c>
      <c r="BQ976" s="15">
        <v>45891.467557870368</v>
      </c>
      <c r="BR976" s="15">
        <v>45891.474016203705</v>
      </c>
      <c r="BS976" s="10" t="s">
        <v>137</v>
      </c>
      <c r="BT976" s="10"/>
      <c r="BU976" s="10"/>
      <c r="BV976" s="10"/>
      <c r="BW976" s="10"/>
      <c r="BX976" s="10"/>
      <c r="BY976" s="23"/>
      <c r="BZ976" s="23"/>
      <c r="CA976" s="19" t="s">
        <v>7769</v>
      </c>
      <c r="CB976" s="23"/>
      <c r="CC976" s="23"/>
      <c r="CD976" s="23"/>
      <c r="CE976" s="23"/>
      <c r="CF976" s="23"/>
      <c r="CG976" s="23"/>
      <c r="CH976" s="23"/>
      <c r="CI976" s="23"/>
    </row>
    <row r="977" spans="1:87" x14ac:dyDescent="0.3">
      <c r="A977" s="9" t="s">
        <v>7770</v>
      </c>
      <c r="B977" s="10" t="s">
        <v>7771</v>
      </c>
      <c r="C977" s="11">
        <v>45892.625</v>
      </c>
      <c r="D977" s="12">
        <v>2.0833333333333332E-2</v>
      </c>
      <c r="E977" s="11">
        <v>45892.645833333336</v>
      </c>
      <c r="F977" s="10" t="s">
        <v>3511</v>
      </c>
      <c r="G977" s="13" t="b">
        <v>0</v>
      </c>
      <c r="H977" s="10" t="s">
        <v>3512</v>
      </c>
      <c r="I977" s="10" t="s">
        <v>212</v>
      </c>
      <c r="J977" s="13" t="b">
        <v>1</v>
      </c>
      <c r="K977" s="13" t="b">
        <v>0</v>
      </c>
      <c r="L977" s="10" t="s">
        <v>90</v>
      </c>
      <c r="M977" s="10" t="s">
        <v>91</v>
      </c>
      <c r="N977" s="10" t="s">
        <v>92</v>
      </c>
      <c r="O977" s="19" t="s">
        <v>7772</v>
      </c>
      <c r="P977" s="10"/>
      <c r="Q977" s="10" t="s">
        <v>94</v>
      </c>
      <c r="R977" s="10"/>
      <c r="S977" s="19" t="s">
        <v>3862</v>
      </c>
      <c r="T977" s="10"/>
      <c r="U977" s="10" t="s">
        <v>3647</v>
      </c>
      <c r="V977" s="10" t="s">
        <v>3623</v>
      </c>
      <c r="W977" s="10" t="s">
        <v>3519</v>
      </c>
      <c r="X977" s="10" t="s">
        <v>130</v>
      </c>
      <c r="Y977" s="10" t="s">
        <v>130</v>
      </c>
      <c r="Z977" s="10" t="s">
        <v>99</v>
      </c>
      <c r="AA977" s="10" t="s">
        <v>131</v>
      </c>
      <c r="AB977" s="10" t="s">
        <v>3520</v>
      </c>
      <c r="AC977" s="10" t="s">
        <v>3521</v>
      </c>
      <c r="AD977" s="10" t="s">
        <v>3863</v>
      </c>
      <c r="AE977" s="10" t="s">
        <v>7773</v>
      </c>
      <c r="AF977" s="15"/>
      <c r="AG977" s="10"/>
      <c r="AH977" s="10"/>
      <c r="AI977" s="10"/>
      <c r="AJ977" s="10"/>
      <c r="AK977" s="10" t="s">
        <v>102</v>
      </c>
      <c r="AL977" s="10"/>
      <c r="AM977" s="10"/>
      <c r="AN977" s="10"/>
      <c r="AO977" s="13" t="b">
        <v>0</v>
      </c>
      <c r="AP977" s="10" t="s">
        <v>104</v>
      </c>
      <c r="AQ977" s="10">
        <f ca="1">IFERROR(__xludf.DUMMYFUNCTION("""COMPUTED_VALUE"""),4515877)</f>
        <v>4515877</v>
      </c>
      <c r="AR977" s="17">
        <v>2183</v>
      </c>
      <c r="AS977" s="17">
        <v>1681</v>
      </c>
      <c r="AT977" s="17">
        <v>8868.75</v>
      </c>
      <c r="AU977" s="17">
        <v>5.95</v>
      </c>
      <c r="AV977" s="17">
        <v>4.45</v>
      </c>
      <c r="AW977" s="10" t="s">
        <v>105</v>
      </c>
      <c r="AX977" s="17">
        <v>931</v>
      </c>
      <c r="AY977" s="18">
        <v>5.2758774538964905</v>
      </c>
      <c r="AZ977" s="10"/>
      <c r="BA977" s="20" t="b">
        <v>0</v>
      </c>
      <c r="BB977" s="10"/>
      <c r="BC977" s="17">
        <v>2183</v>
      </c>
      <c r="BD977" s="17">
        <v>1681</v>
      </c>
      <c r="BE977" s="17">
        <v>8868.75</v>
      </c>
      <c r="BF977" s="17">
        <v>4.45</v>
      </c>
      <c r="BG977" s="11">
        <f ca="1">IFERROR(__xludf.DUMMYFUNCTION("""COMPUTED_VALUE"""),45892.625)</f>
        <v>45892.625</v>
      </c>
      <c r="BH977" s="17" t="s">
        <v>105</v>
      </c>
      <c r="BI977" s="17"/>
      <c r="BJ977" s="15"/>
      <c r="BK977" s="15"/>
      <c r="BL977" s="13" t="b">
        <v>0</v>
      </c>
      <c r="BM977" s="10"/>
      <c r="BN977" s="10" t="s">
        <v>197</v>
      </c>
      <c r="BO977" s="11">
        <v>45869.602777777778</v>
      </c>
      <c r="BP977" s="11">
        <v>45884.588020833333</v>
      </c>
      <c r="BQ977" s="15">
        <v>45891.467326388891</v>
      </c>
      <c r="BR977" s="15">
        <v>45891.485497685186</v>
      </c>
      <c r="BS977" s="10" t="s">
        <v>197</v>
      </c>
      <c r="BT977" s="10" t="s">
        <v>99</v>
      </c>
      <c r="BU977" s="10" t="s">
        <v>456</v>
      </c>
      <c r="BV977" s="10"/>
      <c r="BW977" s="10"/>
      <c r="BX977" s="10"/>
      <c r="BY977" s="23"/>
      <c r="BZ977" s="23"/>
      <c r="CA977" s="19" t="s">
        <v>3866</v>
      </c>
      <c r="CB977" s="23"/>
      <c r="CC977" s="23"/>
      <c r="CD977" s="23"/>
      <c r="CE977" s="23"/>
      <c r="CF977" s="23"/>
      <c r="CG977" s="23"/>
      <c r="CH977" s="23"/>
      <c r="CI977" s="23"/>
    </row>
    <row r="978" spans="1:87" x14ac:dyDescent="0.3">
      <c r="A978" s="9" t="s">
        <v>7774</v>
      </c>
      <c r="B978" s="10" t="s">
        <v>7775</v>
      </c>
      <c r="C978" s="11">
        <v>45892.770833333336</v>
      </c>
      <c r="D978" s="12">
        <v>2.0833333333333332E-2</v>
      </c>
      <c r="E978" s="11">
        <v>45892.791666666664</v>
      </c>
      <c r="F978" s="10" t="s">
        <v>3511</v>
      </c>
      <c r="G978" s="13" t="b">
        <v>0</v>
      </c>
      <c r="H978" s="10" t="s">
        <v>3512</v>
      </c>
      <c r="I978" s="10" t="s">
        <v>212</v>
      </c>
      <c r="J978" s="13" t="b">
        <v>1</v>
      </c>
      <c r="K978" s="13" t="b">
        <v>0</v>
      </c>
      <c r="L978" s="10" t="s">
        <v>90</v>
      </c>
      <c r="M978" s="10" t="s">
        <v>91</v>
      </c>
      <c r="N978" s="10" t="s">
        <v>92</v>
      </c>
      <c r="O978" s="19" t="s">
        <v>7776</v>
      </c>
      <c r="P978" s="10"/>
      <c r="Q978" s="10" t="s">
        <v>94</v>
      </c>
      <c r="R978" s="10"/>
      <c r="S978" s="19" t="s">
        <v>3882</v>
      </c>
      <c r="T978" s="10"/>
      <c r="U978" s="10" t="s">
        <v>3551</v>
      </c>
      <c r="V978" s="10" t="s">
        <v>3661</v>
      </c>
      <c r="W978" s="10" t="s">
        <v>3519</v>
      </c>
      <c r="X978" s="10" t="s">
        <v>130</v>
      </c>
      <c r="Y978" s="10" t="s">
        <v>130</v>
      </c>
      <c r="Z978" s="10" t="s">
        <v>99</v>
      </c>
      <c r="AA978" s="10" t="s">
        <v>131</v>
      </c>
      <c r="AB978" s="10" t="s">
        <v>3520</v>
      </c>
      <c r="AC978" s="10" t="s">
        <v>3521</v>
      </c>
      <c r="AD978" s="10" t="s">
        <v>3883</v>
      </c>
      <c r="AE978" s="10" t="s">
        <v>7777</v>
      </c>
      <c r="AF978" s="15"/>
      <c r="AG978" s="10"/>
      <c r="AH978" s="10"/>
      <c r="AI978" s="10"/>
      <c r="AJ978" s="10"/>
      <c r="AK978" s="10" t="s">
        <v>102</v>
      </c>
      <c r="AL978" s="10"/>
      <c r="AM978" s="10"/>
      <c r="AN978" s="10"/>
      <c r="AO978" s="13" t="b">
        <v>0</v>
      </c>
      <c r="AP978" s="10" t="s">
        <v>104</v>
      </c>
      <c r="AQ978" s="10">
        <f ca="1">IFERROR(__xludf.DUMMYFUNCTION("""COMPUTED_VALUE"""),4515878)</f>
        <v>4515878</v>
      </c>
      <c r="AR978" s="17">
        <v>4617</v>
      </c>
      <c r="AS978" s="17">
        <v>3789</v>
      </c>
      <c r="AT978" s="17">
        <v>22780</v>
      </c>
      <c r="AU978" s="17">
        <v>19.05</v>
      </c>
      <c r="AV978" s="17">
        <v>13.45</v>
      </c>
      <c r="AW978" s="10" t="s">
        <v>105</v>
      </c>
      <c r="AX978" s="17">
        <v>1606</v>
      </c>
      <c r="AY978" s="18">
        <v>6.0121404064396939</v>
      </c>
      <c r="AZ978" s="10"/>
      <c r="BA978" s="20" t="b">
        <v>0</v>
      </c>
      <c r="BB978" s="10"/>
      <c r="BC978" s="17">
        <v>4617</v>
      </c>
      <c r="BD978" s="17">
        <v>3789</v>
      </c>
      <c r="BE978" s="17">
        <v>22780</v>
      </c>
      <c r="BF978" s="17">
        <v>13.45</v>
      </c>
      <c r="BG978" s="11">
        <f ca="1">IFERROR(__xludf.DUMMYFUNCTION("""COMPUTED_VALUE"""),45892.7708333333)</f>
        <v>45892.770833333299</v>
      </c>
      <c r="BH978" s="17" t="s">
        <v>105</v>
      </c>
      <c r="BI978" s="17"/>
      <c r="BJ978" s="15"/>
      <c r="BK978" s="15"/>
      <c r="BL978" s="13" t="b">
        <v>0</v>
      </c>
      <c r="BM978" s="10"/>
      <c r="BN978" s="10" t="s">
        <v>137</v>
      </c>
      <c r="BO978" s="11">
        <v>45869.604166666664</v>
      </c>
      <c r="BP978" s="11">
        <v>45869.604201388887</v>
      </c>
      <c r="BQ978" s="15">
        <v>45891.469467592593</v>
      </c>
      <c r="BR978" s="15">
        <v>45891.48578703704</v>
      </c>
      <c r="BS978" s="10" t="s">
        <v>137</v>
      </c>
      <c r="BT978" s="10"/>
      <c r="BU978" s="10"/>
      <c r="BV978" s="10"/>
      <c r="BW978" s="10"/>
      <c r="BX978" s="10"/>
      <c r="BY978" s="23"/>
      <c r="BZ978" s="23"/>
      <c r="CA978" s="19" t="s">
        <v>3886</v>
      </c>
      <c r="CB978" s="23"/>
      <c r="CC978" s="23"/>
      <c r="CD978" s="23"/>
      <c r="CE978" s="23"/>
      <c r="CF978" s="23"/>
      <c r="CG978" s="23"/>
      <c r="CH978" s="23"/>
      <c r="CI978" s="23"/>
    </row>
    <row r="979" spans="1:87" x14ac:dyDescent="0.3">
      <c r="A979" s="9" t="s">
        <v>7778</v>
      </c>
      <c r="B979" s="10" t="s">
        <v>7779</v>
      </c>
      <c r="C979" s="11">
        <v>45893.625</v>
      </c>
      <c r="D979" s="12">
        <v>2.0833333333333332E-2</v>
      </c>
      <c r="E979" s="11">
        <v>45893.645833333336</v>
      </c>
      <c r="F979" s="10" t="s">
        <v>3511</v>
      </c>
      <c r="G979" s="13" t="b">
        <v>0</v>
      </c>
      <c r="H979" s="10" t="s">
        <v>3512</v>
      </c>
      <c r="I979" s="10" t="s">
        <v>212</v>
      </c>
      <c r="J979" s="13" t="b">
        <v>1</v>
      </c>
      <c r="K979" s="13" t="b">
        <v>0</v>
      </c>
      <c r="L979" s="10" t="s">
        <v>90</v>
      </c>
      <c r="M979" s="10" t="s">
        <v>91</v>
      </c>
      <c r="N979" s="10" t="s">
        <v>92</v>
      </c>
      <c r="O979" s="19" t="s">
        <v>7780</v>
      </c>
      <c r="P979" s="10"/>
      <c r="Q979" s="10" t="s">
        <v>94</v>
      </c>
      <c r="R979" s="10"/>
      <c r="S979" s="19" t="s">
        <v>3902</v>
      </c>
      <c r="T979" s="10"/>
      <c r="U979" s="10" t="s">
        <v>3552</v>
      </c>
      <c r="V979" s="10" t="s">
        <v>3609</v>
      </c>
      <c r="W979" s="10" t="s">
        <v>3519</v>
      </c>
      <c r="X979" s="10" t="s">
        <v>130</v>
      </c>
      <c r="Y979" s="10" t="s">
        <v>130</v>
      </c>
      <c r="Z979" s="10" t="s">
        <v>99</v>
      </c>
      <c r="AA979" s="10" t="s">
        <v>131</v>
      </c>
      <c r="AB979" s="10" t="s">
        <v>3520</v>
      </c>
      <c r="AC979" s="10" t="s">
        <v>3521</v>
      </c>
      <c r="AD979" s="10" t="s">
        <v>7781</v>
      </c>
      <c r="AE979" s="10" t="s">
        <v>7782</v>
      </c>
      <c r="AF979" s="15"/>
      <c r="AG979" s="10"/>
      <c r="AH979" s="10"/>
      <c r="AI979" s="10"/>
      <c r="AJ979" s="10"/>
      <c r="AK979" s="10" t="s">
        <v>102</v>
      </c>
      <c r="AL979" s="10"/>
      <c r="AM979" s="10"/>
      <c r="AN979" s="10"/>
      <c r="AO979" s="13" t="b">
        <v>0</v>
      </c>
      <c r="AP979" s="10" t="s">
        <v>104</v>
      </c>
      <c r="AQ979" s="10">
        <f ca="1">IFERROR(__xludf.DUMMYFUNCTION("""COMPUTED_VALUE"""),4516128)</f>
        <v>4516128</v>
      </c>
      <c r="AR979" s="17">
        <v>4268</v>
      </c>
      <c r="AS979" s="17">
        <v>3377</v>
      </c>
      <c r="AT979" s="17">
        <v>21472.5</v>
      </c>
      <c r="AU979" s="17">
        <v>11.45</v>
      </c>
      <c r="AV979" s="17">
        <v>5.35</v>
      </c>
      <c r="AW979" s="10" t="s">
        <v>105</v>
      </c>
      <c r="AX979" s="17">
        <v>1834</v>
      </c>
      <c r="AY979" s="18">
        <v>6.3584542493337279</v>
      </c>
      <c r="AZ979" s="10"/>
      <c r="BA979" s="20" t="b">
        <v>0</v>
      </c>
      <c r="BB979" s="10"/>
      <c r="BC979" s="17">
        <v>4268</v>
      </c>
      <c r="BD979" s="17">
        <v>3377</v>
      </c>
      <c r="BE979" s="17">
        <v>21472.5</v>
      </c>
      <c r="BF979" s="17">
        <v>5.35</v>
      </c>
      <c r="BG979" s="11">
        <f ca="1">IFERROR(__xludf.DUMMYFUNCTION("""COMPUTED_VALUE"""),45893.625)</f>
        <v>45893.625</v>
      </c>
      <c r="BH979" s="17" t="s">
        <v>105</v>
      </c>
      <c r="BI979" s="17"/>
      <c r="BJ979" s="15"/>
      <c r="BK979" s="15"/>
      <c r="BL979" s="13" t="b">
        <v>0</v>
      </c>
      <c r="BM979" s="10"/>
      <c r="BN979" s="10" t="s">
        <v>137</v>
      </c>
      <c r="BO979" s="11">
        <v>45869.604861111111</v>
      </c>
      <c r="BP979" s="11">
        <v>45874.573530092595</v>
      </c>
      <c r="BQ979" s="15">
        <v>45891.562060185184</v>
      </c>
      <c r="BR979" s="15">
        <v>45891.890289351853</v>
      </c>
      <c r="BS979" s="10" t="s">
        <v>137</v>
      </c>
      <c r="BT979" s="10"/>
      <c r="BU979" s="10"/>
      <c r="BV979" s="10"/>
      <c r="BW979" s="10"/>
      <c r="BX979" s="10"/>
      <c r="BY979" s="23"/>
      <c r="BZ979" s="23"/>
      <c r="CA979" s="19" t="s">
        <v>3907</v>
      </c>
      <c r="CB979" s="23"/>
      <c r="CC979" s="23"/>
      <c r="CD979" s="23"/>
      <c r="CE979" s="23"/>
      <c r="CF979" s="23"/>
      <c r="CG979" s="23"/>
      <c r="CH979" s="23"/>
      <c r="CI979" s="23"/>
    </row>
    <row r="980" spans="1:87" x14ac:dyDescent="0.3">
      <c r="A980" s="9" t="s">
        <v>7783</v>
      </c>
      <c r="B980" s="10" t="s">
        <v>7784</v>
      </c>
      <c r="C980" s="11">
        <v>45899.770833333336</v>
      </c>
      <c r="D980" s="12">
        <v>2.0833333333333332E-2</v>
      </c>
      <c r="E980" s="11">
        <v>45899.791666666664</v>
      </c>
      <c r="F980" s="10" t="s">
        <v>3511</v>
      </c>
      <c r="G980" s="13" t="b">
        <v>0</v>
      </c>
      <c r="H980" s="10" t="s">
        <v>3512</v>
      </c>
      <c r="I980" s="10" t="s">
        <v>212</v>
      </c>
      <c r="J980" s="13" t="b">
        <v>1</v>
      </c>
      <c r="K980" s="13" t="b">
        <v>0</v>
      </c>
      <c r="L980" s="10" t="s">
        <v>90</v>
      </c>
      <c r="M980" s="10" t="s">
        <v>91</v>
      </c>
      <c r="N980" s="10" t="s">
        <v>92</v>
      </c>
      <c r="O980" s="19" t="s">
        <v>7785</v>
      </c>
      <c r="P980" s="10"/>
      <c r="Q980" s="10" t="s">
        <v>94</v>
      </c>
      <c r="R980" s="10"/>
      <c r="S980" s="19" t="s">
        <v>7786</v>
      </c>
      <c r="T980" s="10"/>
      <c r="U980" s="10" t="s">
        <v>3661</v>
      </c>
      <c r="V980" s="10" t="s">
        <v>3635</v>
      </c>
      <c r="W980" s="10" t="s">
        <v>3519</v>
      </c>
      <c r="X980" s="10" t="s">
        <v>130</v>
      </c>
      <c r="Y980" s="10" t="s">
        <v>130</v>
      </c>
      <c r="Z980" s="10" t="s">
        <v>99</v>
      </c>
      <c r="AA980" s="10" t="s">
        <v>131</v>
      </c>
      <c r="AB980" s="10" t="s">
        <v>3520</v>
      </c>
      <c r="AC980" s="10" t="s">
        <v>3521</v>
      </c>
      <c r="AD980" s="10" t="s">
        <v>3945</v>
      </c>
      <c r="AE980" s="10" t="s">
        <v>7787</v>
      </c>
      <c r="AF980" s="15"/>
      <c r="AG980" s="10"/>
      <c r="AH980" s="10"/>
      <c r="AI980" s="10"/>
      <c r="AJ980" s="10"/>
      <c r="AK980" s="10" t="s">
        <v>102</v>
      </c>
      <c r="AL980" s="10"/>
      <c r="AM980" s="10"/>
      <c r="AN980" s="10"/>
      <c r="AO980" s="13" t="b">
        <v>0</v>
      </c>
      <c r="AP980" s="10" t="s">
        <v>104</v>
      </c>
      <c r="AQ980" s="10">
        <f ca="1">IFERROR(__xludf.DUMMYFUNCTION("""COMPUTED_VALUE"""),4528735)</f>
        <v>4528735</v>
      </c>
      <c r="AR980" s="17">
        <v>14947</v>
      </c>
      <c r="AS980" s="17">
        <v>11946</v>
      </c>
      <c r="AT980" s="17">
        <v>62522.25</v>
      </c>
      <c r="AU980" s="17">
        <v>39.450000000000003</v>
      </c>
      <c r="AV980" s="17">
        <v>15.6</v>
      </c>
      <c r="AW980" s="10" t="s">
        <v>105</v>
      </c>
      <c r="AX980" s="17">
        <v>5611</v>
      </c>
      <c r="AY980" s="18">
        <v>5.2337393269713708</v>
      </c>
      <c r="AZ980" s="10" t="s">
        <v>185</v>
      </c>
      <c r="BA980" s="20" t="b">
        <v>0</v>
      </c>
      <c r="BB980" s="10"/>
      <c r="BC980" s="17">
        <v>14947</v>
      </c>
      <c r="BD980" s="17">
        <v>11946</v>
      </c>
      <c r="BE980" s="17">
        <v>62522.25</v>
      </c>
      <c r="BF980" s="17">
        <v>15.6</v>
      </c>
      <c r="BG980" s="11">
        <f ca="1">IFERROR(__xludf.DUMMYFUNCTION("""COMPUTED_VALUE"""),45899.7708333333)</f>
        <v>45899.770833333299</v>
      </c>
      <c r="BH980" s="17" t="s">
        <v>105</v>
      </c>
      <c r="BI980" s="17"/>
      <c r="BJ980" s="15"/>
      <c r="BK980" s="15"/>
      <c r="BL980" s="13" t="b">
        <v>0</v>
      </c>
      <c r="BM980" s="10"/>
      <c r="BN980" s="10" t="s">
        <v>634</v>
      </c>
      <c r="BO980" s="11">
        <v>45869.611805555556</v>
      </c>
      <c r="BP980" s="11">
        <v>45890.443344907406</v>
      </c>
      <c r="BQ980" s="15">
        <v>45897.000416666669</v>
      </c>
      <c r="BR980" s="15">
        <v>45897.20039351852</v>
      </c>
      <c r="BS980" s="10" t="s">
        <v>634</v>
      </c>
      <c r="BT980" s="10"/>
      <c r="BU980" s="10"/>
      <c r="BV980" s="10"/>
      <c r="BW980" s="10"/>
      <c r="BX980" s="10"/>
      <c r="BY980" s="23"/>
      <c r="BZ980" s="23"/>
      <c r="CA980" s="19" t="s">
        <v>7788</v>
      </c>
      <c r="CB980" s="23"/>
      <c r="CC980" s="23"/>
      <c r="CD980" s="23"/>
      <c r="CE980" s="23"/>
      <c r="CF980" s="23"/>
      <c r="CG980" s="23"/>
      <c r="CH980" s="23"/>
      <c r="CI980" s="23"/>
    </row>
    <row r="981" spans="1:87" x14ac:dyDescent="0.3">
      <c r="A981" s="9" t="s">
        <v>7789</v>
      </c>
      <c r="B981" s="10" t="s">
        <v>7790</v>
      </c>
      <c r="C981" s="11">
        <v>45899.625</v>
      </c>
      <c r="D981" s="12">
        <v>2.0833333333333332E-2</v>
      </c>
      <c r="E981" s="11">
        <v>45899.645833333336</v>
      </c>
      <c r="F981" s="10" t="s">
        <v>3511</v>
      </c>
      <c r="G981" s="13" t="b">
        <v>0</v>
      </c>
      <c r="H981" s="10" t="s">
        <v>3512</v>
      </c>
      <c r="I981" s="10" t="s">
        <v>212</v>
      </c>
      <c r="J981" s="13" t="b">
        <v>1</v>
      </c>
      <c r="K981" s="13" t="b">
        <v>0</v>
      </c>
      <c r="L981" s="10" t="s">
        <v>90</v>
      </c>
      <c r="M981" s="10" t="s">
        <v>91</v>
      </c>
      <c r="N981" s="10" t="s">
        <v>92</v>
      </c>
      <c r="O981" s="19" t="s">
        <v>7791</v>
      </c>
      <c r="P981" s="10"/>
      <c r="Q981" s="10" t="s">
        <v>94</v>
      </c>
      <c r="R981" s="10"/>
      <c r="S981" s="19" t="s">
        <v>3944</v>
      </c>
      <c r="T981" s="10"/>
      <c r="U981" s="10" t="s">
        <v>3536</v>
      </c>
      <c r="V981" s="10" t="s">
        <v>3676</v>
      </c>
      <c r="W981" s="10" t="s">
        <v>3519</v>
      </c>
      <c r="X981" s="10" t="s">
        <v>130</v>
      </c>
      <c r="Y981" s="10" t="s">
        <v>130</v>
      </c>
      <c r="Z981" s="10" t="s">
        <v>99</v>
      </c>
      <c r="AA981" s="10" t="s">
        <v>131</v>
      </c>
      <c r="AB981" s="10" t="s">
        <v>3520</v>
      </c>
      <c r="AC981" s="10" t="s">
        <v>3521</v>
      </c>
      <c r="AD981" s="10" t="s">
        <v>3955</v>
      </c>
      <c r="AE981" s="10" t="s">
        <v>7792</v>
      </c>
      <c r="AF981" s="15"/>
      <c r="AG981" s="10"/>
      <c r="AH981" s="10"/>
      <c r="AI981" s="10"/>
      <c r="AJ981" s="10"/>
      <c r="AK981" s="10" t="s">
        <v>102</v>
      </c>
      <c r="AL981" s="10"/>
      <c r="AM981" s="10"/>
      <c r="AN981" s="10"/>
      <c r="AO981" s="13" t="b">
        <v>0</v>
      </c>
      <c r="AP981" s="10" t="s">
        <v>104</v>
      </c>
      <c r="AQ981" s="10">
        <f ca="1">IFERROR(__xludf.DUMMYFUNCTION("""COMPUTED_VALUE"""),4528734)</f>
        <v>4528734</v>
      </c>
      <c r="AR981" s="17">
        <v>6705</v>
      </c>
      <c r="AS981" s="17">
        <v>4903</v>
      </c>
      <c r="AT981" s="17">
        <v>22848.5</v>
      </c>
      <c r="AU981" s="17">
        <v>14.35</v>
      </c>
      <c r="AV981" s="17">
        <v>6.1</v>
      </c>
      <c r="AW981" s="10" t="s">
        <v>105</v>
      </c>
      <c r="AX981" s="17">
        <v>2542</v>
      </c>
      <c r="AY981" s="18">
        <v>4.6601060575158071</v>
      </c>
      <c r="AZ981" s="10" t="s">
        <v>185</v>
      </c>
      <c r="BA981" s="20" t="b">
        <v>0</v>
      </c>
      <c r="BB981" s="10"/>
      <c r="BC981" s="17">
        <v>6705</v>
      </c>
      <c r="BD981" s="17">
        <v>4903</v>
      </c>
      <c r="BE981" s="17">
        <v>22848.5</v>
      </c>
      <c r="BF981" s="17">
        <v>6.1</v>
      </c>
      <c r="BG981" s="11">
        <f ca="1">IFERROR(__xludf.DUMMYFUNCTION("""COMPUTED_VALUE"""),45899.625)</f>
        <v>45899.625</v>
      </c>
      <c r="BH981" s="17" t="s">
        <v>105</v>
      </c>
      <c r="BI981" s="17"/>
      <c r="BJ981" s="15"/>
      <c r="BK981" s="15"/>
      <c r="BL981" s="13" t="b">
        <v>0</v>
      </c>
      <c r="BM981" s="10"/>
      <c r="BN981" s="10" t="s">
        <v>634</v>
      </c>
      <c r="BO981" s="11">
        <v>45869.612500000003</v>
      </c>
      <c r="BP981" s="11">
        <v>45874.561782407407</v>
      </c>
      <c r="BQ981" s="15">
        <v>45897.000115740739</v>
      </c>
      <c r="BR981" s="15">
        <v>45897.199803240743</v>
      </c>
      <c r="BS981" s="10" t="s">
        <v>634</v>
      </c>
      <c r="BT981" s="10"/>
      <c r="BU981" s="10"/>
      <c r="BV981" s="10"/>
      <c r="BW981" s="10"/>
      <c r="BX981" s="10"/>
      <c r="BY981" s="23"/>
      <c r="BZ981" s="23"/>
      <c r="CA981" s="19" t="s">
        <v>7793</v>
      </c>
      <c r="CB981" s="23"/>
      <c r="CC981" s="23"/>
      <c r="CD981" s="23"/>
      <c r="CE981" s="23"/>
      <c r="CF981" s="23"/>
      <c r="CG981" s="23"/>
      <c r="CH981" s="23"/>
      <c r="CI981" s="23"/>
    </row>
    <row r="982" spans="1:87" x14ac:dyDescent="0.3">
      <c r="A982" s="9" t="s">
        <v>7794</v>
      </c>
      <c r="B982" s="10" t="s">
        <v>3982</v>
      </c>
      <c r="C982" s="11">
        <v>45900.625</v>
      </c>
      <c r="D982" s="12">
        <v>2.0833333333333332E-2</v>
      </c>
      <c r="E982" s="11">
        <v>45900.645833333336</v>
      </c>
      <c r="F982" s="10" t="s">
        <v>3511</v>
      </c>
      <c r="G982" s="13" t="b">
        <v>0</v>
      </c>
      <c r="H982" s="10" t="s">
        <v>3512</v>
      </c>
      <c r="I982" s="10" t="s">
        <v>212</v>
      </c>
      <c r="J982" s="13" t="b">
        <v>1</v>
      </c>
      <c r="K982" s="13" t="b">
        <v>0</v>
      </c>
      <c r="L982" s="10" t="s">
        <v>90</v>
      </c>
      <c r="M982" s="10" t="s">
        <v>91</v>
      </c>
      <c r="N982" s="10" t="s">
        <v>92</v>
      </c>
      <c r="O982" s="19" t="s">
        <v>7795</v>
      </c>
      <c r="P982" s="10"/>
      <c r="Q982" s="10" t="s">
        <v>94</v>
      </c>
      <c r="R982" s="10"/>
      <c r="S982" s="19" t="s">
        <v>3984</v>
      </c>
      <c r="T982" s="10"/>
      <c r="U982" s="10" t="s">
        <v>3535</v>
      </c>
      <c r="V982" s="10" t="s">
        <v>3551</v>
      </c>
      <c r="W982" s="10" t="s">
        <v>3519</v>
      </c>
      <c r="X982" s="10" t="s">
        <v>130</v>
      </c>
      <c r="Y982" s="10" t="s">
        <v>130</v>
      </c>
      <c r="Z982" s="10" t="s">
        <v>99</v>
      </c>
      <c r="AA982" s="10" t="s">
        <v>131</v>
      </c>
      <c r="AB982" s="10" t="s">
        <v>3520</v>
      </c>
      <c r="AC982" s="10" t="s">
        <v>3521</v>
      </c>
      <c r="AD982" s="10" t="s">
        <v>3985</v>
      </c>
      <c r="AE982" s="10" t="s">
        <v>3986</v>
      </c>
      <c r="AF982" s="15"/>
      <c r="AG982" s="10"/>
      <c r="AH982" s="10"/>
      <c r="AI982" s="10"/>
      <c r="AJ982" s="10"/>
      <c r="AK982" s="10" t="s">
        <v>256</v>
      </c>
      <c r="AL982" s="10"/>
      <c r="AM982" s="10"/>
      <c r="AN982" s="10"/>
      <c r="AO982" s="13" t="b">
        <v>0</v>
      </c>
      <c r="AP982" s="10" t="s">
        <v>104</v>
      </c>
      <c r="AQ982" s="10">
        <f ca="1">IFERROR(__xludf.DUMMYFUNCTION("""COMPUTED_VALUE"""),4525583)</f>
        <v>4525583</v>
      </c>
      <c r="AR982" s="17"/>
      <c r="AS982" s="17"/>
      <c r="AT982" s="17"/>
      <c r="AU982" s="17"/>
      <c r="AV982" s="17"/>
      <c r="AW982" s="10"/>
      <c r="AX982" s="17"/>
      <c r="AY982" s="18" t="s">
        <v>257</v>
      </c>
      <c r="AZ982" s="10" t="s">
        <v>3783</v>
      </c>
      <c r="BA982" s="20" t="b">
        <v>0</v>
      </c>
      <c r="BB982" s="10"/>
      <c r="BC982" s="17" t="s">
        <v>257</v>
      </c>
      <c r="BD982" s="17" t="s">
        <v>257</v>
      </c>
      <c r="BE982" s="17" t="s">
        <v>257</v>
      </c>
      <c r="BF982" s="17" t="s">
        <v>257</v>
      </c>
      <c r="BG982" s="11">
        <f ca="1">IFERROR(__xludf.DUMMYFUNCTION("""COMPUTED_VALUE"""),45900.625)</f>
        <v>45900.625</v>
      </c>
      <c r="BH982" s="17"/>
      <c r="BI982" s="17"/>
      <c r="BJ982" s="15"/>
      <c r="BK982" s="15"/>
      <c r="BL982" s="13" t="b">
        <v>0</v>
      </c>
      <c r="BM982" s="10" t="s">
        <v>240</v>
      </c>
      <c r="BN982" s="10" t="s">
        <v>3527</v>
      </c>
      <c r="BO982" s="11">
        <v>45869.613888888889</v>
      </c>
      <c r="BP982" s="11">
        <v>45899.324444444443</v>
      </c>
      <c r="BQ982" s="15">
        <v>45894.617395833331</v>
      </c>
      <c r="BR982" s="15">
        <v>45895.429074074076</v>
      </c>
      <c r="BS982" s="10"/>
      <c r="BT982" s="10"/>
      <c r="BU982" s="10"/>
      <c r="BV982" s="10"/>
      <c r="BW982" s="10"/>
      <c r="BX982" s="10"/>
      <c r="BY982" s="23"/>
      <c r="BZ982" s="23"/>
      <c r="CA982" s="19" t="s">
        <v>3988</v>
      </c>
      <c r="CB982" s="23"/>
      <c r="CC982" s="23"/>
      <c r="CD982" s="23"/>
      <c r="CE982" s="23"/>
      <c r="CF982" s="23"/>
      <c r="CG982" s="23"/>
      <c r="CH982" s="23"/>
      <c r="CI982" s="23"/>
    </row>
    <row r="983" spans="1:87" x14ac:dyDescent="0.3">
      <c r="A983" s="9" t="s">
        <v>7796</v>
      </c>
      <c r="B983" s="10" t="s">
        <v>4003</v>
      </c>
      <c r="C983" s="11">
        <v>45900.770833333336</v>
      </c>
      <c r="D983" s="12">
        <v>2.0833333333333332E-2</v>
      </c>
      <c r="E983" s="11">
        <v>45900.791666666664</v>
      </c>
      <c r="F983" s="10" t="s">
        <v>3511</v>
      </c>
      <c r="G983" s="13" t="b">
        <v>0</v>
      </c>
      <c r="H983" s="10" t="s">
        <v>3512</v>
      </c>
      <c r="I983" s="10" t="s">
        <v>212</v>
      </c>
      <c r="J983" s="13" t="b">
        <v>1</v>
      </c>
      <c r="K983" s="13" t="b">
        <v>0</v>
      </c>
      <c r="L983" s="10" t="s">
        <v>90</v>
      </c>
      <c r="M983" s="10" t="s">
        <v>91</v>
      </c>
      <c r="N983" s="10" t="s">
        <v>92</v>
      </c>
      <c r="O983" s="19" t="s">
        <v>7797</v>
      </c>
      <c r="P983" s="10"/>
      <c r="Q983" s="10" t="s">
        <v>94</v>
      </c>
      <c r="R983" s="10"/>
      <c r="S983" s="19" t="s">
        <v>7798</v>
      </c>
      <c r="T983" s="10"/>
      <c r="U983" s="10" t="s">
        <v>3609</v>
      </c>
      <c r="V983" s="10" t="s">
        <v>3517</v>
      </c>
      <c r="W983" s="10" t="s">
        <v>3519</v>
      </c>
      <c r="X983" s="10" t="s">
        <v>130</v>
      </c>
      <c r="Y983" s="10" t="s">
        <v>130</v>
      </c>
      <c r="Z983" s="10" t="s">
        <v>99</v>
      </c>
      <c r="AA983" s="10" t="s">
        <v>131</v>
      </c>
      <c r="AB983" s="10" t="s">
        <v>3520</v>
      </c>
      <c r="AC983" s="10" t="s">
        <v>3521</v>
      </c>
      <c r="AD983" s="10" t="s">
        <v>7799</v>
      </c>
      <c r="AE983" s="10" t="s">
        <v>4007</v>
      </c>
      <c r="AF983" s="15"/>
      <c r="AG983" s="10"/>
      <c r="AH983" s="10"/>
      <c r="AI983" s="10"/>
      <c r="AJ983" s="10"/>
      <c r="AK983" s="10" t="s">
        <v>256</v>
      </c>
      <c r="AL983" s="10"/>
      <c r="AM983" s="10"/>
      <c r="AN983" s="10"/>
      <c r="AO983" s="13" t="b">
        <v>0</v>
      </c>
      <c r="AP983" s="10" t="s">
        <v>104</v>
      </c>
      <c r="AQ983" s="10">
        <f ca="1">IFERROR(__xludf.DUMMYFUNCTION("""COMPUTED_VALUE"""),4529461)</f>
        <v>4529461</v>
      </c>
      <c r="AR983" s="17"/>
      <c r="AS983" s="17"/>
      <c r="AT983" s="17"/>
      <c r="AU983" s="17"/>
      <c r="AV983" s="17"/>
      <c r="AW983" s="10"/>
      <c r="AX983" s="17"/>
      <c r="AY983" s="18" t="s">
        <v>257</v>
      </c>
      <c r="AZ983" s="10"/>
      <c r="BA983" s="20" t="b">
        <v>0</v>
      </c>
      <c r="BB983" s="10"/>
      <c r="BC983" s="17" t="s">
        <v>257</v>
      </c>
      <c r="BD983" s="17" t="s">
        <v>257</v>
      </c>
      <c r="BE983" s="17" t="s">
        <v>257</v>
      </c>
      <c r="BF983" s="17" t="s">
        <v>257</v>
      </c>
      <c r="BG983" s="11">
        <f ca="1">IFERROR(__xludf.DUMMYFUNCTION("""COMPUTED_VALUE"""),45900.7708333333)</f>
        <v>45900.770833333299</v>
      </c>
      <c r="BH983" s="17"/>
      <c r="BI983" s="17"/>
      <c r="BJ983" s="15"/>
      <c r="BK983" s="15"/>
      <c r="BL983" s="13" t="b">
        <v>0</v>
      </c>
      <c r="BM983" s="10"/>
      <c r="BN983" s="10" t="s">
        <v>3527</v>
      </c>
      <c r="BO983" s="11">
        <v>45869.613888888889</v>
      </c>
      <c r="BP983" s="11">
        <v>45899.324282407404</v>
      </c>
      <c r="BQ983" s="15">
        <v>45897.397546296299</v>
      </c>
      <c r="BR983" s="15">
        <v>45897.639687499999</v>
      </c>
      <c r="BS983" s="10"/>
      <c r="BT983" s="10"/>
      <c r="BU983" s="10"/>
      <c r="BV983" s="10"/>
      <c r="BW983" s="10"/>
      <c r="BX983" s="10"/>
      <c r="BY983" s="23"/>
      <c r="BZ983" s="23"/>
      <c r="CA983" s="19" t="s">
        <v>4009</v>
      </c>
      <c r="CB983" s="23"/>
      <c r="CC983" s="23"/>
      <c r="CD983" s="23"/>
      <c r="CE983" s="23"/>
      <c r="CF983" s="23"/>
      <c r="CG983" s="23"/>
      <c r="CH983" s="23"/>
      <c r="CI983" s="23"/>
    </row>
    <row r="984" spans="1:87" x14ac:dyDescent="0.3">
      <c r="A984" s="9" t="s">
        <v>7800</v>
      </c>
      <c r="B984" s="10" t="s">
        <v>7801</v>
      </c>
      <c r="C984" s="11">
        <v>45872.666666666664</v>
      </c>
      <c r="D984" s="12">
        <v>4.1666666666666664E-2</v>
      </c>
      <c r="E984" s="11">
        <v>45872.708333333336</v>
      </c>
      <c r="F984" s="10" t="s">
        <v>3511</v>
      </c>
      <c r="G984" s="13" t="b">
        <v>0</v>
      </c>
      <c r="H984" s="10" t="s">
        <v>123</v>
      </c>
      <c r="I984" s="10" t="s">
        <v>212</v>
      </c>
      <c r="J984" s="13" t="b">
        <v>1</v>
      </c>
      <c r="K984" s="13" t="b">
        <v>0</v>
      </c>
      <c r="L984" s="10" t="s">
        <v>90</v>
      </c>
      <c r="M984" s="10" t="s">
        <v>91</v>
      </c>
      <c r="N984" s="10" t="s">
        <v>3513</v>
      </c>
      <c r="O984" s="19" t="s">
        <v>7802</v>
      </c>
      <c r="P984" s="10"/>
      <c r="Q984" s="10" t="s">
        <v>126</v>
      </c>
      <c r="R984" s="10"/>
      <c r="S984" s="19" t="s">
        <v>7803</v>
      </c>
      <c r="T984" s="10"/>
      <c r="U984" s="10"/>
      <c r="V984" s="10"/>
      <c r="W984" s="10" t="s">
        <v>3519</v>
      </c>
      <c r="X984" s="10" t="s">
        <v>130</v>
      </c>
      <c r="Y984" s="10" t="s">
        <v>130</v>
      </c>
      <c r="Z984" s="10" t="s">
        <v>99</v>
      </c>
      <c r="AA984" s="10" t="s">
        <v>131</v>
      </c>
      <c r="AB984" s="10" t="s">
        <v>3520</v>
      </c>
      <c r="AC984" s="10" t="s">
        <v>3521</v>
      </c>
      <c r="AD984" s="10" t="s">
        <v>165</v>
      </c>
      <c r="AE984" s="10" t="s">
        <v>7804</v>
      </c>
      <c r="AF984" s="15"/>
      <c r="AG984" s="10"/>
      <c r="AH984" s="10"/>
      <c r="AI984" s="10"/>
      <c r="AJ984" s="10"/>
      <c r="AK984" s="10" t="s">
        <v>102</v>
      </c>
      <c r="AL984" s="10"/>
      <c r="AM984" s="10"/>
      <c r="AN984" s="10"/>
      <c r="AO984" s="13" t="b">
        <v>0</v>
      </c>
      <c r="AP984" s="10" t="s">
        <v>104</v>
      </c>
      <c r="AQ984" s="10">
        <f ca="1">IFERROR(__xludf.DUMMYFUNCTION("""COMPUTED_VALUE"""),4471932)</f>
        <v>4471932</v>
      </c>
      <c r="AR984" s="17">
        <v>11222</v>
      </c>
      <c r="AS984" s="17">
        <v>8566</v>
      </c>
      <c r="AT984" s="17">
        <v>62252.25</v>
      </c>
      <c r="AU984" s="17">
        <v>14.05</v>
      </c>
      <c r="AV984" s="17">
        <v>1.85</v>
      </c>
      <c r="AW984" s="10" t="s">
        <v>105</v>
      </c>
      <c r="AX984" s="17">
        <v>2086</v>
      </c>
      <c r="AY984" s="18">
        <v>7.2673651646042492</v>
      </c>
      <c r="AZ984" s="10" t="s">
        <v>185</v>
      </c>
      <c r="BA984" s="20" t="b">
        <v>0</v>
      </c>
      <c r="BB984" s="10"/>
      <c r="BC984" s="17">
        <v>11222</v>
      </c>
      <c r="BD984" s="17">
        <v>8566</v>
      </c>
      <c r="BE984" s="17">
        <v>62252.25</v>
      </c>
      <c r="BF984" s="17">
        <v>1.85</v>
      </c>
      <c r="BG984" s="11">
        <f ca="1">IFERROR(__xludf.DUMMYFUNCTION("""COMPUTED_VALUE"""),45872.6666666666)</f>
        <v>45872.666666666599</v>
      </c>
      <c r="BH984" s="17" t="s">
        <v>105</v>
      </c>
      <c r="BI984" s="17"/>
      <c r="BJ984" s="15"/>
      <c r="BK984" s="15"/>
      <c r="BL984" s="13" t="b">
        <v>0</v>
      </c>
      <c r="BM984" s="10"/>
      <c r="BN984" s="10" t="s">
        <v>455</v>
      </c>
      <c r="BO984" s="11">
        <v>45869.695138888892</v>
      </c>
      <c r="BP984" s="11">
        <v>45869.860613425924</v>
      </c>
      <c r="BQ984" s="15">
        <v>45871.383831018517</v>
      </c>
      <c r="BR984" s="15">
        <v>45871.466226851851</v>
      </c>
      <c r="BS984" s="10" t="s">
        <v>455</v>
      </c>
      <c r="BT984" s="10" t="s">
        <v>99</v>
      </c>
      <c r="BU984" s="10" t="s">
        <v>1444</v>
      </c>
      <c r="BV984" s="10"/>
      <c r="BW984" s="10"/>
      <c r="BX984" s="10"/>
      <c r="BY984" s="23"/>
      <c r="BZ984" s="23"/>
      <c r="CA984" s="19" t="s">
        <v>7805</v>
      </c>
      <c r="CB984" s="23"/>
      <c r="CC984" s="23"/>
      <c r="CD984" s="19" t="s">
        <v>7806</v>
      </c>
      <c r="CE984" s="23"/>
      <c r="CF984" s="23"/>
      <c r="CG984" s="23"/>
      <c r="CH984" s="23"/>
      <c r="CI984" s="23"/>
    </row>
    <row r="985" spans="1:87" x14ac:dyDescent="0.3">
      <c r="A985" s="9" t="s">
        <v>7807</v>
      </c>
      <c r="B985" s="10" t="s">
        <v>7808</v>
      </c>
      <c r="C985" s="11">
        <v>45875.916666666664</v>
      </c>
      <c r="D985" s="12">
        <v>8.3333333333333329E-2</v>
      </c>
      <c r="E985" s="11">
        <v>45876</v>
      </c>
      <c r="F985" s="10" t="s">
        <v>3563</v>
      </c>
      <c r="G985" s="13" t="b">
        <v>0</v>
      </c>
      <c r="H985" s="10" t="s">
        <v>88</v>
      </c>
      <c r="I985" s="10" t="s">
        <v>89</v>
      </c>
      <c r="J985" s="13" t="b">
        <v>0</v>
      </c>
      <c r="K985" s="13" t="b">
        <v>1</v>
      </c>
      <c r="L985" s="10" t="s">
        <v>124</v>
      </c>
      <c r="M985" s="10" t="s">
        <v>91</v>
      </c>
      <c r="N985" s="10" t="s">
        <v>92</v>
      </c>
      <c r="O985" s="19" t="s">
        <v>7809</v>
      </c>
      <c r="P985" s="10"/>
      <c r="Q985" s="10" t="s">
        <v>94</v>
      </c>
      <c r="R985" s="10"/>
      <c r="S985" s="19" t="s">
        <v>7810</v>
      </c>
      <c r="T985" s="10"/>
      <c r="U985" s="10" t="s">
        <v>7811</v>
      </c>
      <c r="V985" s="10" t="s">
        <v>7812</v>
      </c>
      <c r="W985" s="10" t="s">
        <v>3569</v>
      </c>
      <c r="X985" s="10" t="s">
        <v>130</v>
      </c>
      <c r="Y985" s="10" t="s">
        <v>130</v>
      </c>
      <c r="Z985" s="10" t="s">
        <v>99</v>
      </c>
      <c r="AA985" s="10" t="s">
        <v>131</v>
      </c>
      <c r="AB985" s="10" t="s">
        <v>3570</v>
      </c>
      <c r="AC985" s="10" t="s">
        <v>3571</v>
      </c>
      <c r="AD985" s="10" t="s">
        <v>7813</v>
      </c>
      <c r="AE985" s="10" t="s">
        <v>7814</v>
      </c>
      <c r="AF985" s="15"/>
      <c r="AG985" s="10"/>
      <c r="AH985" s="10"/>
      <c r="AI985" s="10"/>
      <c r="AJ985" s="10"/>
      <c r="AK985" s="10" t="s">
        <v>102</v>
      </c>
      <c r="AL985" s="10"/>
      <c r="AM985" s="10"/>
      <c r="AN985" s="10"/>
      <c r="AO985" s="13" t="b">
        <v>0</v>
      </c>
      <c r="AP985" s="10" t="s">
        <v>104</v>
      </c>
      <c r="AQ985" s="10">
        <f ca="1">IFERROR(__xludf.DUMMYFUNCTION("""COMPUTED_VALUE"""),4480018)</f>
        <v>4480018</v>
      </c>
      <c r="AR985" s="17">
        <v>7138</v>
      </c>
      <c r="AS985" s="17">
        <v>5649</v>
      </c>
      <c r="AT985" s="17">
        <v>99060.5</v>
      </c>
      <c r="AU985" s="17">
        <v>65.7</v>
      </c>
      <c r="AV985" s="17">
        <v>17.75</v>
      </c>
      <c r="AW985" s="10" t="s">
        <v>105</v>
      </c>
      <c r="AX985" s="17">
        <v>1249</v>
      </c>
      <c r="AY985" s="18">
        <v>17.535935563816604</v>
      </c>
      <c r="AZ985" s="10" t="s">
        <v>136</v>
      </c>
      <c r="BA985" s="20" t="b">
        <v>0</v>
      </c>
      <c r="BB985" s="10"/>
      <c r="BC985" s="17">
        <v>7138</v>
      </c>
      <c r="BD985" s="17">
        <v>5649</v>
      </c>
      <c r="BE985" s="17">
        <v>99060.5</v>
      </c>
      <c r="BF985" s="17">
        <v>17.75</v>
      </c>
      <c r="BG985" s="11">
        <f ca="1">IFERROR(__xludf.DUMMYFUNCTION("""COMPUTED_VALUE"""),45875.9166666666)</f>
        <v>45875.916666666599</v>
      </c>
      <c r="BH985" s="17" t="s">
        <v>105</v>
      </c>
      <c r="BI985" s="17"/>
      <c r="BJ985" s="15"/>
      <c r="BK985" s="15"/>
      <c r="BL985" s="13" t="b">
        <v>0</v>
      </c>
      <c r="BM985" s="10"/>
      <c r="BN985" s="10" t="s">
        <v>667</v>
      </c>
      <c r="BO985" s="11">
        <v>45870.761111111111</v>
      </c>
      <c r="BP985" s="11">
        <v>45874.708923611113</v>
      </c>
      <c r="BQ985" s="15">
        <v>45874.918356481481</v>
      </c>
      <c r="BR985" s="15">
        <v>45874.938923611109</v>
      </c>
      <c r="BS985" s="10" t="s">
        <v>667</v>
      </c>
      <c r="BT985" s="10" t="s">
        <v>99</v>
      </c>
      <c r="BU985" s="10" t="s">
        <v>280</v>
      </c>
      <c r="BV985" s="10"/>
      <c r="BW985" s="10"/>
      <c r="BX985" s="10"/>
      <c r="BY985" s="23"/>
      <c r="BZ985" s="23"/>
      <c r="CA985" s="19" t="s">
        <v>7815</v>
      </c>
      <c r="CB985" s="23"/>
      <c r="CC985" s="23"/>
      <c r="CD985" s="23"/>
      <c r="CE985" s="23"/>
      <c r="CF985" s="23"/>
      <c r="CG985" s="23"/>
      <c r="CH985" s="23"/>
      <c r="CI985" s="23"/>
    </row>
    <row r="986" spans="1:87" x14ac:dyDescent="0.3">
      <c r="A986" s="9" t="s">
        <v>7816</v>
      </c>
      <c r="B986" s="10" t="s">
        <v>7817</v>
      </c>
      <c r="C986" s="11">
        <v>45876.083333333336</v>
      </c>
      <c r="D986" s="12">
        <v>8.3333333333333329E-2</v>
      </c>
      <c r="E986" s="11">
        <v>45876.166666666664</v>
      </c>
      <c r="F986" s="10" t="s">
        <v>3563</v>
      </c>
      <c r="G986" s="13" t="b">
        <v>0</v>
      </c>
      <c r="H986" s="10" t="s">
        <v>7818</v>
      </c>
      <c r="I986" s="10" t="s">
        <v>89</v>
      </c>
      <c r="J986" s="13" t="b">
        <v>0</v>
      </c>
      <c r="K986" s="13" t="b">
        <v>1</v>
      </c>
      <c r="L986" s="10" t="s">
        <v>124</v>
      </c>
      <c r="M986" s="10" t="s">
        <v>91</v>
      </c>
      <c r="N986" s="10" t="s">
        <v>92</v>
      </c>
      <c r="O986" s="19" t="s">
        <v>7819</v>
      </c>
      <c r="P986" s="10"/>
      <c r="Q986" s="10" t="s">
        <v>94</v>
      </c>
      <c r="R986" s="10"/>
      <c r="S986" s="19" t="s">
        <v>7820</v>
      </c>
      <c r="T986" s="10"/>
      <c r="U986" s="10" t="s">
        <v>7821</v>
      </c>
      <c r="V986" s="10" t="s">
        <v>3582</v>
      </c>
      <c r="W986" s="10" t="s">
        <v>3569</v>
      </c>
      <c r="X986" s="10" t="s">
        <v>130</v>
      </c>
      <c r="Y986" s="10" t="s">
        <v>130</v>
      </c>
      <c r="Z986" s="10" t="s">
        <v>99</v>
      </c>
      <c r="AA986" s="10" t="s">
        <v>131</v>
      </c>
      <c r="AB986" s="10" t="s">
        <v>3570</v>
      </c>
      <c r="AC986" s="10" t="s">
        <v>3571</v>
      </c>
      <c r="AD986" s="10" t="s">
        <v>7822</v>
      </c>
      <c r="AE986" s="10" t="s">
        <v>7823</v>
      </c>
      <c r="AF986" s="15"/>
      <c r="AG986" s="10"/>
      <c r="AH986" s="10"/>
      <c r="AI986" s="10"/>
      <c r="AJ986" s="10"/>
      <c r="AK986" s="10" t="s">
        <v>102</v>
      </c>
      <c r="AL986" s="10"/>
      <c r="AM986" s="10"/>
      <c r="AN986" s="10"/>
      <c r="AO986" s="13" t="b">
        <v>0</v>
      </c>
      <c r="AP986" s="10" t="s">
        <v>104</v>
      </c>
      <c r="AQ986" s="10">
        <f ca="1">IFERROR(__xludf.DUMMYFUNCTION("""COMPUTED_VALUE"""),4480021)</f>
        <v>4480021</v>
      </c>
      <c r="AR986" s="17">
        <v>2870</v>
      </c>
      <c r="AS986" s="17">
        <v>2190</v>
      </c>
      <c r="AT986" s="17">
        <v>76387</v>
      </c>
      <c r="AU986" s="17">
        <v>22.7</v>
      </c>
      <c r="AV986" s="17">
        <v>3.15</v>
      </c>
      <c r="AW986" s="10" t="s">
        <v>105</v>
      </c>
      <c r="AX986" s="17">
        <v>759</v>
      </c>
      <c r="AY986" s="18">
        <v>34.879908675799086</v>
      </c>
      <c r="AZ986" s="10" t="s">
        <v>136</v>
      </c>
      <c r="BA986" s="20" t="b">
        <v>0</v>
      </c>
      <c r="BB986" s="10"/>
      <c r="BC986" s="17">
        <v>2870</v>
      </c>
      <c r="BD986" s="17">
        <v>2190</v>
      </c>
      <c r="BE986" s="17">
        <v>76387</v>
      </c>
      <c r="BF986" s="17">
        <v>3.15</v>
      </c>
      <c r="BG986" s="11">
        <f ca="1">IFERROR(__xludf.DUMMYFUNCTION("""COMPUTED_VALUE"""),45876.0833333333)</f>
        <v>45876.083333333299</v>
      </c>
      <c r="BH986" s="17" t="s">
        <v>105</v>
      </c>
      <c r="BI986" s="17"/>
      <c r="BJ986" s="15"/>
      <c r="BK986" s="15"/>
      <c r="BL986" s="13" t="b">
        <v>0</v>
      </c>
      <c r="BM986" s="10" t="s">
        <v>240</v>
      </c>
      <c r="BN986" s="10" t="s">
        <v>351</v>
      </c>
      <c r="BO986" s="11">
        <v>45870.765277777777</v>
      </c>
      <c r="BP986" s="11">
        <v>45923.679849537039</v>
      </c>
      <c r="BQ986" s="15">
        <v>45874.918611111112</v>
      </c>
      <c r="BR986" s="15">
        <v>45874.939131944448</v>
      </c>
      <c r="BS986" s="10"/>
      <c r="BT986" s="10" t="s">
        <v>99</v>
      </c>
      <c r="BU986" s="10" t="s">
        <v>280</v>
      </c>
      <c r="BV986" s="10"/>
      <c r="BW986" s="10"/>
      <c r="BX986" s="10"/>
      <c r="BY986" s="23"/>
      <c r="BZ986" s="23"/>
      <c r="CA986" s="19" t="s">
        <v>7824</v>
      </c>
      <c r="CB986" s="23"/>
      <c r="CC986" s="23"/>
      <c r="CD986" s="23"/>
      <c r="CE986" s="23"/>
      <c r="CF986" s="23"/>
      <c r="CG986" s="23"/>
      <c r="CH986" s="23"/>
      <c r="CI986" s="23"/>
    </row>
    <row r="987" spans="1:87" x14ac:dyDescent="0.3">
      <c r="A987" s="9" t="s">
        <v>7825</v>
      </c>
      <c r="B987" s="10" t="s">
        <v>7826</v>
      </c>
      <c r="C987" s="11">
        <v>45882.020833333336</v>
      </c>
      <c r="D987" s="12">
        <v>8.3333333333333329E-2</v>
      </c>
      <c r="E987" s="11">
        <v>45882.104166666664</v>
      </c>
      <c r="F987" s="10" t="s">
        <v>3563</v>
      </c>
      <c r="G987" s="13" t="b">
        <v>0</v>
      </c>
      <c r="H987" s="10" t="s">
        <v>7818</v>
      </c>
      <c r="I987" s="10" t="s">
        <v>89</v>
      </c>
      <c r="J987" s="13" t="b">
        <v>0</v>
      </c>
      <c r="K987" s="13" t="b">
        <v>1</v>
      </c>
      <c r="L987" s="10" t="s">
        <v>124</v>
      </c>
      <c r="M987" s="10" t="s">
        <v>91</v>
      </c>
      <c r="N987" s="10" t="s">
        <v>92</v>
      </c>
      <c r="O987" s="19" t="s">
        <v>7827</v>
      </c>
      <c r="P987" s="10"/>
      <c r="Q987" s="10" t="s">
        <v>94</v>
      </c>
      <c r="R987" s="10"/>
      <c r="S987" s="19" t="s">
        <v>7828</v>
      </c>
      <c r="T987" s="10"/>
      <c r="U987" s="10" t="s">
        <v>3568</v>
      </c>
      <c r="V987" s="10" t="s">
        <v>7829</v>
      </c>
      <c r="W987" s="10" t="s">
        <v>3569</v>
      </c>
      <c r="X987" s="10" t="s">
        <v>130</v>
      </c>
      <c r="Y987" s="10" t="s">
        <v>130</v>
      </c>
      <c r="Z987" s="10" t="s">
        <v>99</v>
      </c>
      <c r="AA987" s="10" t="s">
        <v>131</v>
      </c>
      <c r="AB987" s="10" t="s">
        <v>3570</v>
      </c>
      <c r="AC987" s="10" t="s">
        <v>3571</v>
      </c>
      <c r="AD987" s="10" t="s">
        <v>7830</v>
      </c>
      <c r="AE987" s="10" t="s">
        <v>7831</v>
      </c>
      <c r="AF987" s="15"/>
      <c r="AG987" s="10"/>
      <c r="AH987" s="10"/>
      <c r="AI987" s="10"/>
      <c r="AJ987" s="10"/>
      <c r="AK987" s="10" t="s">
        <v>102</v>
      </c>
      <c r="AL987" s="10"/>
      <c r="AM987" s="10"/>
      <c r="AN987" s="10"/>
      <c r="AO987" s="13" t="b">
        <v>0</v>
      </c>
      <c r="AP987" s="10" t="s">
        <v>104</v>
      </c>
      <c r="AQ987" s="10">
        <f ca="1">IFERROR(__xludf.DUMMYFUNCTION("""COMPUTED_VALUE"""),4492762)</f>
        <v>4492762</v>
      </c>
      <c r="AR987" s="17">
        <v>4445</v>
      </c>
      <c r="AS987" s="17">
        <v>3136</v>
      </c>
      <c r="AT987" s="17">
        <v>65661.25</v>
      </c>
      <c r="AU987" s="17">
        <v>12.85</v>
      </c>
      <c r="AV987" s="17">
        <v>7.1</v>
      </c>
      <c r="AW987" s="10" t="s">
        <v>105</v>
      </c>
      <c r="AX987" s="17">
        <v>846</v>
      </c>
      <c r="AY987" s="18">
        <v>20.937898596938776</v>
      </c>
      <c r="AZ987" s="10" t="s">
        <v>136</v>
      </c>
      <c r="BA987" s="20" t="b">
        <v>0</v>
      </c>
      <c r="BB987" s="10"/>
      <c r="BC987" s="17">
        <v>4445</v>
      </c>
      <c r="BD987" s="17">
        <v>3136</v>
      </c>
      <c r="BE987" s="17">
        <v>65661.25</v>
      </c>
      <c r="BF987" s="17">
        <v>7.1</v>
      </c>
      <c r="BG987" s="11">
        <f ca="1">IFERROR(__xludf.DUMMYFUNCTION("""COMPUTED_VALUE"""),45882.0208333333)</f>
        <v>45882.020833333299</v>
      </c>
      <c r="BH987" s="17" t="s">
        <v>105</v>
      </c>
      <c r="BI987" s="17"/>
      <c r="BJ987" s="15"/>
      <c r="BK987" s="15"/>
      <c r="BL987" s="13" t="b">
        <v>0</v>
      </c>
      <c r="BM987" s="10"/>
      <c r="BN987" s="10" t="s">
        <v>197</v>
      </c>
      <c r="BO987" s="11">
        <v>45870.765972222223</v>
      </c>
      <c r="BP987" s="11">
        <v>45874.714108796295</v>
      </c>
      <c r="BQ987" s="15">
        <v>45880.026018518518</v>
      </c>
      <c r="BR987" s="15">
        <v>45880.491701388892</v>
      </c>
      <c r="BS987" s="10" t="s">
        <v>197</v>
      </c>
      <c r="BT987" s="10" t="s">
        <v>279</v>
      </c>
      <c r="BU987" s="10" t="s">
        <v>816</v>
      </c>
      <c r="BV987" s="10"/>
      <c r="BW987" s="10"/>
      <c r="BX987" s="10"/>
      <c r="BY987" s="23"/>
      <c r="BZ987" s="23"/>
      <c r="CA987" s="19" t="s">
        <v>7832</v>
      </c>
      <c r="CB987" s="23"/>
      <c r="CC987" s="23"/>
      <c r="CD987" s="23"/>
      <c r="CE987" s="23"/>
      <c r="CF987" s="23"/>
      <c r="CG987" s="23"/>
      <c r="CH987" s="23"/>
      <c r="CI987" s="23"/>
    </row>
    <row r="988" spans="1:87" x14ac:dyDescent="0.3">
      <c r="A988" s="9" t="s">
        <v>7833</v>
      </c>
      <c r="B988" s="10" t="s">
        <v>7834</v>
      </c>
      <c r="C988" s="11">
        <v>45882</v>
      </c>
      <c r="D988" s="12">
        <v>8.3333333333333329E-2</v>
      </c>
      <c r="E988" s="11">
        <v>45882.083333333336</v>
      </c>
      <c r="F988" s="10" t="s">
        <v>3563</v>
      </c>
      <c r="G988" s="13" t="b">
        <v>0</v>
      </c>
      <c r="H988" s="10" t="s">
        <v>88</v>
      </c>
      <c r="I988" s="10" t="s">
        <v>89</v>
      </c>
      <c r="J988" s="13" t="b">
        <v>0</v>
      </c>
      <c r="K988" s="13" t="b">
        <v>1</v>
      </c>
      <c r="L988" s="10" t="s">
        <v>124</v>
      </c>
      <c r="M988" s="10" t="s">
        <v>91</v>
      </c>
      <c r="N988" s="10" t="s">
        <v>92</v>
      </c>
      <c r="O988" s="19" t="s">
        <v>7835</v>
      </c>
      <c r="P988" s="10"/>
      <c r="Q988" s="10" t="s">
        <v>94</v>
      </c>
      <c r="R988" s="10"/>
      <c r="S988" s="19" t="s">
        <v>7836</v>
      </c>
      <c r="T988" s="10"/>
      <c r="U988" s="10" t="s">
        <v>7837</v>
      </c>
      <c r="V988" s="10" t="s">
        <v>3567</v>
      </c>
      <c r="W988" s="10" t="s">
        <v>3569</v>
      </c>
      <c r="X988" s="10" t="s">
        <v>130</v>
      </c>
      <c r="Y988" s="10" t="s">
        <v>130</v>
      </c>
      <c r="Z988" s="10" t="s">
        <v>99</v>
      </c>
      <c r="AA988" s="10" t="s">
        <v>131</v>
      </c>
      <c r="AB988" s="10" t="s">
        <v>3570</v>
      </c>
      <c r="AC988" s="10" t="s">
        <v>3571</v>
      </c>
      <c r="AD988" s="10" t="s">
        <v>7838</v>
      </c>
      <c r="AE988" s="10" t="s">
        <v>7839</v>
      </c>
      <c r="AF988" s="15"/>
      <c r="AG988" s="10"/>
      <c r="AH988" s="10"/>
      <c r="AI988" s="10"/>
      <c r="AJ988" s="10"/>
      <c r="AK988" s="10" t="s">
        <v>102</v>
      </c>
      <c r="AL988" s="10"/>
      <c r="AM988" s="10"/>
      <c r="AN988" s="10"/>
      <c r="AO988" s="13" t="b">
        <v>0</v>
      </c>
      <c r="AP988" s="10" t="s">
        <v>104</v>
      </c>
      <c r="AQ988" s="10">
        <f ca="1">IFERROR(__xludf.DUMMYFUNCTION("""COMPUTED_VALUE"""),4492758)</f>
        <v>4492758</v>
      </c>
      <c r="AR988" s="17">
        <v>4503</v>
      </c>
      <c r="AS988" s="17">
        <v>3361</v>
      </c>
      <c r="AT988" s="17">
        <v>69716.75</v>
      </c>
      <c r="AU988" s="17">
        <v>21.6</v>
      </c>
      <c r="AV988" s="17">
        <v>4.6500000000000004</v>
      </c>
      <c r="AW988" s="10" t="s">
        <v>105</v>
      </c>
      <c r="AX988" s="17">
        <v>808</v>
      </c>
      <c r="AY988" s="18">
        <v>20.742859268074977</v>
      </c>
      <c r="AZ988" s="10" t="s">
        <v>136</v>
      </c>
      <c r="BA988" s="20" t="b">
        <v>0</v>
      </c>
      <c r="BB988" s="10"/>
      <c r="BC988" s="17">
        <v>4503</v>
      </c>
      <c r="BD988" s="17">
        <v>3361</v>
      </c>
      <c r="BE988" s="17">
        <v>69716.75</v>
      </c>
      <c r="BF988" s="17">
        <v>4.6500000000000004</v>
      </c>
      <c r="BG988" s="11">
        <f ca="1">IFERROR(__xludf.DUMMYFUNCTION("""COMPUTED_VALUE"""),45882)</f>
        <v>45882</v>
      </c>
      <c r="BH988" s="17" t="s">
        <v>105</v>
      </c>
      <c r="BI988" s="17"/>
      <c r="BJ988" s="15"/>
      <c r="BK988" s="15"/>
      <c r="BL988" s="13" t="b">
        <v>0</v>
      </c>
      <c r="BM988" s="10"/>
      <c r="BN988" s="10" t="s">
        <v>197</v>
      </c>
      <c r="BO988" s="11">
        <v>45870.768055555556</v>
      </c>
      <c r="BP988" s="11">
        <v>45880.455428240741</v>
      </c>
      <c r="BQ988" s="15">
        <v>45880.025821759256</v>
      </c>
      <c r="BR988" s="15">
        <v>45880.484513888892</v>
      </c>
      <c r="BS988" s="10" t="s">
        <v>197</v>
      </c>
      <c r="BT988" s="10" t="s">
        <v>279</v>
      </c>
      <c r="BU988" s="10" t="s">
        <v>498</v>
      </c>
      <c r="BV988" s="10"/>
      <c r="BW988" s="10"/>
      <c r="BX988" s="10"/>
      <c r="BY988" s="23"/>
      <c r="BZ988" s="23"/>
      <c r="CA988" s="19" t="s">
        <v>7840</v>
      </c>
      <c r="CB988" s="23"/>
      <c r="CC988" s="23"/>
      <c r="CD988" s="23"/>
      <c r="CE988" s="23"/>
      <c r="CF988" s="23"/>
      <c r="CG988" s="23"/>
      <c r="CH988" s="23"/>
      <c r="CI988" s="23"/>
    </row>
    <row r="989" spans="1:87" x14ac:dyDescent="0.3">
      <c r="A989" s="9" t="s">
        <v>7841</v>
      </c>
      <c r="B989" s="10" t="s">
        <v>7842</v>
      </c>
      <c r="C989" s="11">
        <v>45877.020833333336</v>
      </c>
      <c r="D989" s="12">
        <v>8.3333333333333329E-2</v>
      </c>
      <c r="E989" s="11">
        <v>45877.104166666664</v>
      </c>
      <c r="F989" s="10" t="s">
        <v>7843</v>
      </c>
      <c r="G989" s="13" t="b">
        <v>0</v>
      </c>
      <c r="H989" s="10" t="s">
        <v>88</v>
      </c>
      <c r="I989" s="10" t="s">
        <v>89</v>
      </c>
      <c r="J989" s="13" t="b">
        <v>0</v>
      </c>
      <c r="K989" s="13" t="b">
        <v>1</v>
      </c>
      <c r="L989" s="10" t="s">
        <v>124</v>
      </c>
      <c r="M989" s="10" t="s">
        <v>91</v>
      </c>
      <c r="N989" s="10" t="s">
        <v>92</v>
      </c>
      <c r="O989" s="19" t="s">
        <v>7844</v>
      </c>
      <c r="P989" s="10"/>
      <c r="Q989" s="10" t="s">
        <v>94</v>
      </c>
      <c r="R989" s="10"/>
      <c r="S989" s="19" t="s">
        <v>7845</v>
      </c>
      <c r="T989" s="10"/>
      <c r="U989" s="10" t="s">
        <v>7846</v>
      </c>
      <c r="V989" s="10" t="s">
        <v>7847</v>
      </c>
      <c r="W989" s="10" t="s">
        <v>7848</v>
      </c>
      <c r="X989" s="10" t="s">
        <v>130</v>
      </c>
      <c r="Y989" s="10" t="s">
        <v>130</v>
      </c>
      <c r="Z989" s="10" t="s">
        <v>99</v>
      </c>
      <c r="AA989" s="10" t="s">
        <v>131</v>
      </c>
      <c r="AB989" s="10" t="s">
        <v>7849</v>
      </c>
      <c r="AC989" s="10" t="s">
        <v>3571</v>
      </c>
      <c r="AD989" s="10" t="s">
        <v>7850</v>
      </c>
      <c r="AE989" s="10" t="s">
        <v>7851</v>
      </c>
      <c r="AF989" s="15"/>
      <c r="AG989" s="10"/>
      <c r="AH989" s="10"/>
      <c r="AI989" s="10"/>
      <c r="AJ989" s="10"/>
      <c r="AK989" s="10" t="s">
        <v>256</v>
      </c>
      <c r="AL989" s="10"/>
      <c r="AM989" s="10"/>
      <c r="AN989" s="10"/>
      <c r="AO989" s="13" t="b">
        <v>0</v>
      </c>
      <c r="AP989" s="10" t="s">
        <v>104</v>
      </c>
      <c r="AQ989" s="10">
        <f ca="1">IFERROR(__xludf.DUMMYFUNCTION("""COMPUTED_VALUE"""),4480024)</f>
        <v>4480024</v>
      </c>
      <c r="AR989" s="17"/>
      <c r="AS989" s="17"/>
      <c r="AT989" s="17"/>
      <c r="AU989" s="17"/>
      <c r="AV989" s="17"/>
      <c r="AW989" s="10"/>
      <c r="AX989" s="17"/>
      <c r="AY989" s="18" t="s">
        <v>257</v>
      </c>
      <c r="AZ989" s="10" t="s">
        <v>136</v>
      </c>
      <c r="BA989" s="20" t="b">
        <v>0</v>
      </c>
      <c r="BB989" s="10"/>
      <c r="BC989" s="17" t="s">
        <v>257</v>
      </c>
      <c r="BD989" s="17" t="s">
        <v>257</v>
      </c>
      <c r="BE989" s="17" t="s">
        <v>257</v>
      </c>
      <c r="BF989" s="17" t="s">
        <v>257</v>
      </c>
      <c r="BG989" s="11">
        <f ca="1">IFERROR(__xludf.DUMMYFUNCTION("""COMPUTED_VALUE"""),45877.0208333333)</f>
        <v>45877.020833333299</v>
      </c>
      <c r="BH989" s="17"/>
      <c r="BI989" s="17"/>
      <c r="BJ989" s="15"/>
      <c r="BK989" s="15"/>
      <c r="BL989" s="13" t="b">
        <v>0</v>
      </c>
      <c r="BM989" s="10"/>
      <c r="BN989" s="10" t="s">
        <v>5685</v>
      </c>
      <c r="BO989" s="11">
        <v>45870.770833333336</v>
      </c>
      <c r="BP989" s="11">
        <v>45876.439143518517</v>
      </c>
      <c r="BQ989" s="15">
        <v>45874.929988425924</v>
      </c>
      <c r="BR989" s="15">
        <v>45875.395694444444</v>
      </c>
      <c r="BS989" s="10"/>
      <c r="BT989" s="10" t="s">
        <v>99</v>
      </c>
      <c r="BU989" s="10"/>
      <c r="BV989" s="10"/>
      <c r="BW989" s="10"/>
      <c r="BX989" s="10"/>
      <c r="BY989" s="23"/>
      <c r="BZ989" s="23"/>
      <c r="CA989" s="19" t="s">
        <v>7852</v>
      </c>
      <c r="CB989" s="23"/>
      <c r="CC989" s="23"/>
      <c r="CD989" s="23"/>
      <c r="CE989" s="23"/>
      <c r="CF989" s="23"/>
      <c r="CG989" s="23"/>
      <c r="CH989" s="23"/>
      <c r="CI989" s="23"/>
    </row>
    <row r="990" spans="1:87" x14ac:dyDescent="0.3">
      <c r="A990" s="9" t="s">
        <v>7853</v>
      </c>
      <c r="B990" s="10" t="s">
        <v>7854</v>
      </c>
      <c r="C990" s="11">
        <v>45878.09375</v>
      </c>
      <c r="D990" s="12">
        <v>8.3333333333333329E-2</v>
      </c>
      <c r="E990" s="11">
        <v>45878.177083333336</v>
      </c>
      <c r="F990" s="10" t="s">
        <v>7855</v>
      </c>
      <c r="G990" s="13" t="b">
        <v>0</v>
      </c>
      <c r="H990" s="10" t="s">
        <v>3215</v>
      </c>
      <c r="I990" s="10" t="s">
        <v>89</v>
      </c>
      <c r="J990" s="13" t="b">
        <v>0</v>
      </c>
      <c r="K990" s="13" t="b">
        <v>1</v>
      </c>
      <c r="L990" s="10" t="s">
        <v>124</v>
      </c>
      <c r="M990" s="10" t="s">
        <v>91</v>
      </c>
      <c r="N990" s="10" t="s">
        <v>92</v>
      </c>
      <c r="O990" s="19" t="s">
        <v>7856</v>
      </c>
      <c r="P990" s="10"/>
      <c r="Q990" s="10" t="s">
        <v>94</v>
      </c>
      <c r="R990" s="10"/>
      <c r="S990" s="19" t="s">
        <v>7857</v>
      </c>
      <c r="T990" s="10"/>
      <c r="U990" s="10" t="s">
        <v>7858</v>
      </c>
      <c r="V990" s="10" t="s">
        <v>7859</v>
      </c>
      <c r="W990" s="10" t="s">
        <v>7860</v>
      </c>
      <c r="X990" s="10" t="s">
        <v>130</v>
      </c>
      <c r="Y990" s="10" t="s">
        <v>130</v>
      </c>
      <c r="Z990" s="10" t="s">
        <v>99</v>
      </c>
      <c r="AA990" s="10" t="s">
        <v>131</v>
      </c>
      <c r="AB990" s="10" t="s">
        <v>7861</v>
      </c>
      <c r="AC990" s="10" t="s">
        <v>7862</v>
      </c>
      <c r="AD990" s="10" t="s">
        <v>7863</v>
      </c>
      <c r="AE990" s="10" t="s">
        <v>7864</v>
      </c>
      <c r="AF990" s="15"/>
      <c r="AG990" s="10"/>
      <c r="AH990" s="10"/>
      <c r="AI990" s="10"/>
      <c r="AJ990" s="10"/>
      <c r="AK990" s="10" t="s">
        <v>102</v>
      </c>
      <c r="AL990" s="10" t="s">
        <v>103</v>
      </c>
      <c r="AM990" s="10"/>
      <c r="AN990" s="10"/>
      <c r="AO990" s="13" t="b">
        <v>0</v>
      </c>
      <c r="AP990" s="10" t="s">
        <v>104</v>
      </c>
      <c r="AQ990" s="10">
        <f ca="1">IFERROR(__xludf.DUMMYFUNCTION("""COMPUTED_VALUE"""),4486634)</f>
        <v>4486634</v>
      </c>
      <c r="AR990" s="17">
        <v>1214</v>
      </c>
      <c r="AS990" s="17">
        <v>993</v>
      </c>
      <c r="AT990" s="17">
        <v>19039.75</v>
      </c>
      <c r="AU990" s="17">
        <v>3.35</v>
      </c>
      <c r="AV990" s="17">
        <v>2.2999999999999998</v>
      </c>
      <c r="AW990" s="10" t="s">
        <v>105</v>
      </c>
      <c r="AX990" s="17">
        <v>297</v>
      </c>
      <c r="AY990" s="18">
        <v>19.173967774420948</v>
      </c>
      <c r="AZ990" s="10" t="s">
        <v>168</v>
      </c>
      <c r="BA990" s="20" t="b">
        <v>0</v>
      </c>
      <c r="BB990" s="10"/>
      <c r="BC990" s="17">
        <v>1214</v>
      </c>
      <c r="BD990" s="17">
        <v>993</v>
      </c>
      <c r="BE990" s="17">
        <v>19039.75</v>
      </c>
      <c r="BF990" s="17">
        <v>2.2999999999999998</v>
      </c>
      <c r="BG990" s="11">
        <f ca="1">IFERROR(__xludf.DUMMYFUNCTION("""COMPUTED_VALUE"""),45878.09375)</f>
        <v>45878.09375</v>
      </c>
      <c r="BH990" s="17" t="s">
        <v>105</v>
      </c>
      <c r="BI990" s="17"/>
      <c r="BJ990" s="15"/>
      <c r="BK990" s="15"/>
      <c r="BL990" s="13" t="b">
        <v>0</v>
      </c>
      <c r="BM990" s="10"/>
      <c r="BN990" s="10" t="s">
        <v>455</v>
      </c>
      <c r="BO990" s="11">
        <v>45870.838888888888</v>
      </c>
      <c r="BP990" s="11">
        <v>45872.710486111115</v>
      </c>
      <c r="BQ990" s="15">
        <v>45877.845300925925</v>
      </c>
      <c r="BR990" s="15">
        <v>45877.859756944446</v>
      </c>
      <c r="BS990" s="10" t="s">
        <v>455</v>
      </c>
      <c r="BT990" s="10" t="s">
        <v>99</v>
      </c>
      <c r="BU990" s="10" t="s">
        <v>421</v>
      </c>
      <c r="BV990" s="10"/>
      <c r="BW990" s="10"/>
      <c r="BX990" s="10"/>
      <c r="BY990" s="23"/>
      <c r="BZ990" s="23"/>
      <c r="CA990" s="19" t="s">
        <v>7865</v>
      </c>
      <c r="CB990" s="23"/>
      <c r="CC990" s="23"/>
      <c r="CD990" s="23"/>
      <c r="CE990" s="23"/>
      <c r="CF990" s="23"/>
      <c r="CG990" s="23"/>
      <c r="CH990" s="23"/>
      <c r="CI990" s="23"/>
    </row>
    <row r="991" spans="1:87" x14ac:dyDescent="0.3">
      <c r="A991" s="9" t="s">
        <v>7866</v>
      </c>
      <c r="B991" s="10" t="s">
        <v>7867</v>
      </c>
      <c r="C991" s="11">
        <v>45881.114583333336</v>
      </c>
      <c r="D991" s="12">
        <v>8.3333333333333329E-2</v>
      </c>
      <c r="E991" s="11">
        <v>45881.197916666664</v>
      </c>
      <c r="F991" s="10" t="s">
        <v>7855</v>
      </c>
      <c r="G991" s="13" t="b">
        <v>0</v>
      </c>
      <c r="H991" s="10" t="s">
        <v>88</v>
      </c>
      <c r="I991" s="10" t="s">
        <v>89</v>
      </c>
      <c r="J991" s="13" t="b">
        <v>0</v>
      </c>
      <c r="K991" s="13" t="b">
        <v>1</v>
      </c>
      <c r="L991" s="10" t="s">
        <v>124</v>
      </c>
      <c r="M991" s="10" t="s">
        <v>91</v>
      </c>
      <c r="N991" s="10" t="s">
        <v>92</v>
      </c>
      <c r="O991" s="19" t="s">
        <v>7868</v>
      </c>
      <c r="P991" s="10"/>
      <c r="Q991" s="10" t="s">
        <v>94</v>
      </c>
      <c r="R991" s="10"/>
      <c r="S991" s="19" t="s">
        <v>7869</v>
      </c>
      <c r="T991" s="10"/>
      <c r="U991" s="10" t="s">
        <v>7870</v>
      </c>
      <c r="V991" s="10" t="s">
        <v>7871</v>
      </c>
      <c r="W991" s="10" t="s">
        <v>7860</v>
      </c>
      <c r="X991" s="10" t="s">
        <v>130</v>
      </c>
      <c r="Y991" s="10" t="s">
        <v>130</v>
      </c>
      <c r="Z991" s="10" t="s">
        <v>99</v>
      </c>
      <c r="AA991" s="10" t="s">
        <v>131</v>
      </c>
      <c r="AB991" s="10" t="s">
        <v>7861</v>
      </c>
      <c r="AC991" s="10" t="s">
        <v>7862</v>
      </c>
      <c r="AD991" s="10" t="s">
        <v>7872</v>
      </c>
      <c r="AE991" s="10" t="s">
        <v>7873</v>
      </c>
      <c r="AF991" s="15"/>
      <c r="AG991" s="10"/>
      <c r="AH991" s="10"/>
      <c r="AI991" s="10"/>
      <c r="AJ991" s="10"/>
      <c r="AK991" s="10" t="s">
        <v>102</v>
      </c>
      <c r="AL991" s="10" t="s">
        <v>103</v>
      </c>
      <c r="AM991" s="10"/>
      <c r="AN991" s="10"/>
      <c r="AO991" s="13" t="b">
        <v>0</v>
      </c>
      <c r="AP991" s="10" t="s">
        <v>104</v>
      </c>
      <c r="AQ991" s="10">
        <f ca="1">IFERROR(__xludf.DUMMYFUNCTION("""COMPUTED_VALUE"""),4490414)</f>
        <v>4490414</v>
      </c>
      <c r="AR991" s="17">
        <v>1674</v>
      </c>
      <c r="AS991" s="17">
        <v>1254</v>
      </c>
      <c r="AT991" s="17">
        <v>40529.75</v>
      </c>
      <c r="AU991" s="17">
        <v>1</v>
      </c>
      <c r="AV991" s="17">
        <v>0</v>
      </c>
      <c r="AW991" s="10" t="s">
        <v>105</v>
      </c>
      <c r="AX991" s="17">
        <v>448</v>
      </c>
      <c r="AY991" s="18">
        <v>32.320374800637957</v>
      </c>
      <c r="AZ991" s="10" t="s">
        <v>168</v>
      </c>
      <c r="BA991" s="20" t="b">
        <v>0</v>
      </c>
      <c r="BB991" s="10"/>
      <c r="BC991" s="17">
        <v>1674</v>
      </c>
      <c r="BD991" s="17">
        <v>1254</v>
      </c>
      <c r="BE991" s="17">
        <v>40529.75</v>
      </c>
      <c r="BF991" s="17">
        <v>0</v>
      </c>
      <c r="BG991" s="11">
        <f ca="1">IFERROR(__xludf.DUMMYFUNCTION("""COMPUTED_VALUE"""),45881.1145833333)</f>
        <v>45881.114583333299</v>
      </c>
      <c r="BH991" s="17" t="s">
        <v>105</v>
      </c>
      <c r="BI991" s="17"/>
      <c r="BJ991" s="15"/>
      <c r="BK991" s="15"/>
      <c r="BL991" s="13" t="b">
        <v>0</v>
      </c>
      <c r="BM991" s="10"/>
      <c r="BN991" s="10" t="s">
        <v>197</v>
      </c>
      <c r="BO991" s="11">
        <v>45870.840277777781</v>
      </c>
      <c r="BP991" s="11">
        <v>45879.40829861111</v>
      </c>
      <c r="BQ991" s="15">
        <v>45877.898298611108</v>
      </c>
      <c r="BR991" s="15">
        <v>45879.412303240744</v>
      </c>
      <c r="BS991" s="10" t="s">
        <v>197</v>
      </c>
      <c r="BT991" s="10" t="s">
        <v>99</v>
      </c>
      <c r="BU991" s="10" t="s">
        <v>498</v>
      </c>
      <c r="BV991" s="10"/>
      <c r="BW991" s="10"/>
      <c r="BX991" s="10"/>
      <c r="BY991" s="23"/>
      <c r="BZ991" s="23"/>
      <c r="CA991" s="19" t="s">
        <v>7874</v>
      </c>
      <c r="CB991" s="23"/>
      <c r="CC991" s="23"/>
      <c r="CD991" s="23"/>
      <c r="CE991" s="23"/>
      <c r="CF991" s="23"/>
      <c r="CG991" s="23"/>
      <c r="CH991" s="23"/>
      <c r="CI991" s="23"/>
    </row>
    <row r="992" spans="1:87" x14ac:dyDescent="0.3">
      <c r="A992" s="9" t="s">
        <v>7875</v>
      </c>
      <c r="B992" s="10" t="s">
        <v>7876</v>
      </c>
      <c r="C992" s="11">
        <v>45882.072916666664</v>
      </c>
      <c r="D992" s="12">
        <v>8.3333333333333329E-2</v>
      </c>
      <c r="E992" s="11">
        <v>45882.15625</v>
      </c>
      <c r="F992" s="10" t="s">
        <v>7877</v>
      </c>
      <c r="G992" s="13" t="b">
        <v>0</v>
      </c>
      <c r="H992" s="10" t="s">
        <v>7878</v>
      </c>
      <c r="I992" s="10" t="s">
        <v>89</v>
      </c>
      <c r="J992" s="13" t="b">
        <v>0</v>
      </c>
      <c r="K992" s="13" t="b">
        <v>1</v>
      </c>
      <c r="L992" s="10" t="s">
        <v>124</v>
      </c>
      <c r="M992" s="10" t="s">
        <v>91</v>
      </c>
      <c r="N992" s="10" t="s">
        <v>92</v>
      </c>
      <c r="O992" s="19" t="s">
        <v>7879</v>
      </c>
      <c r="P992" s="10"/>
      <c r="Q992" s="10" t="s">
        <v>126</v>
      </c>
      <c r="R992" s="10"/>
      <c r="S992" s="19" t="s">
        <v>7880</v>
      </c>
      <c r="T992" s="10"/>
      <c r="U992" s="10" t="s">
        <v>7881</v>
      </c>
      <c r="V992" s="10" t="s">
        <v>7882</v>
      </c>
      <c r="W992" s="10" t="s">
        <v>7883</v>
      </c>
      <c r="X992" s="10" t="s">
        <v>130</v>
      </c>
      <c r="Y992" s="10" t="s">
        <v>130</v>
      </c>
      <c r="Z992" s="10" t="s">
        <v>99</v>
      </c>
      <c r="AA992" s="10" t="s">
        <v>131</v>
      </c>
      <c r="AB992" s="10" t="s">
        <v>7884</v>
      </c>
      <c r="AC992" s="10" t="s">
        <v>7885</v>
      </c>
      <c r="AD992" s="10" t="s">
        <v>7886</v>
      </c>
      <c r="AE992" s="10" t="s">
        <v>7887</v>
      </c>
      <c r="AF992" s="15"/>
      <c r="AG992" s="10"/>
      <c r="AH992" s="10"/>
      <c r="AI992" s="10"/>
      <c r="AJ992" s="10"/>
      <c r="AK992" s="10" t="s">
        <v>102</v>
      </c>
      <c r="AL992" s="10"/>
      <c r="AM992" s="10"/>
      <c r="AN992" s="10"/>
      <c r="AO992" s="13" t="b">
        <v>0</v>
      </c>
      <c r="AP992" s="10" t="s">
        <v>104</v>
      </c>
      <c r="AQ992" s="10">
        <f ca="1">IFERROR(__xludf.DUMMYFUNCTION("""COMPUTED_VALUE"""),4494864)</f>
        <v>4494864</v>
      </c>
      <c r="AR992" s="17">
        <v>3272</v>
      </c>
      <c r="AS992" s="17">
        <v>2645</v>
      </c>
      <c r="AT992" s="17">
        <v>40886</v>
      </c>
      <c r="AU992" s="17">
        <v>5.3</v>
      </c>
      <c r="AV992" s="17">
        <v>1.35</v>
      </c>
      <c r="AW992" s="10" t="s">
        <v>105</v>
      </c>
      <c r="AX992" s="17">
        <v>511</v>
      </c>
      <c r="AY992" s="18">
        <v>15.457844990548205</v>
      </c>
      <c r="AZ992" s="10" t="s">
        <v>106</v>
      </c>
      <c r="BA992" s="20" t="b">
        <v>0</v>
      </c>
      <c r="BB992" s="10"/>
      <c r="BC992" s="17">
        <v>3272</v>
      </c>
      <c r="BD992" s="17">
        <v>2645</v>
      </c>
      <c r="BE992" s="17">
        <v>40886</v>
      </c>
      <c r="BF992" s="17">
        <v>1.35</v>
      </c>
      <c r="BG992" s="11">
        <f ca="1">IFERROR(__xludf.DUMMYFUNCTION("""COMPUTED_VALUE"""),45882.0729166666)</f>
        <v>45882.072916666599</v>
      </c>
      <c r="BH992" s="17" t="s">
        <v>105</v>
      </c>
      <c r="BI992" s="17"/>
      <c r="BJ992" s="15"/>
      <c r="BK992" s="15"/>
      <c r="BL992" s="13" t="b">
        <v>0</v>
      </c>
      <c r="BM992" s="10"/>
      <c r="BN992" s="10" t="s">
        <v>197</v>
      </c>
      <c r="BO992" s="11">
        <v>45873.473611111112</v>
      </c>
      <c r="BP992" s="11">
        <v>45881.454340277778</v>
      </c>
      <c r="BQ992" s="15">
        <v>45881.675219907411</v>
      </c>
      <c r="BR992" s="15">
        <v>45881.687106481484</v>
      </c>
      <c r="BS992" s="10" t="s">
        <v>197</v>
      </c>
      <c r="BT992" s="10" t="s">
        <v>279</v>
      </c>
      <c r="BU992" s="10" t="s">
        <v>456</v>
      </c>
      <c r="BV992" s="10"/>
      <c r="BW992" s="10"/>
      <c r="BX992" s="10"/>
      <c r="BY992" s="23"/>
      <c r="BZ992" s="23"/>
      <c r="CA992" s="19" t="s">
        <v>7888</v>
      </c>
      <c r="CB992" s="23"/>
      <c r="CC992" s="23"/>
      <c r="CD992" s="19" t="s">
        <v>7889</v>
      </c>
      <c r="CE992" s="23"/>
      <c r="CF992" s="23"/>
      <c r="CG992" s="23"/>
      <c r="CH992" s="23"/>
      <c r="CI992" s="23"/>
    </row>
    <row r="993" spans="1:87" x14ac:dyDescent="0.3">
      <c r="A993" s="9" t="s">
        <v>7890</v>
      </c>
      <c r="B993" s="10" t="s">
        <v>7891</v>
      </c>
      <c r="C993" s="11">
        <v>45882.083333333336</v>
      </c>
      <c r="D993" s="12">
        <v>8.3333333333333329E-2</v>
      </c>
      <c r="E993" s="11">
        <v>45882.166666666664</v>
      </c>
      <c r="F993" s="10" t="s">
        <v>7877</v>
      </c>
      <c r="G993" s="13" t="b">
        <v>0</v>
      </c>
      <c r="H993" s="10" t="s">
        <v>7878</v>
      </c>
      <c r="I993" s="10" t="s">
        <v>89</v>
      </c>
      <c r="J993" s="13" t="b">
        <v>0</v>
      </c>
      <c r="K993" s="13" t="b">
        <v>1</v>
      </c>
      <c r="L993" s="10" t="s">
        <v>124</v>
      </c>
      <c r="M993" s="10" t="s">
        <v>91</v>
      </c>
      <c r="N993" s="10" t="s">
        <v>92</v>
      </c>
      <c r="O993" s="19" t="s">
        <v>7892</v>
      </c>
      <c r="P993" s="10"/>
      <c r="Q993" s="10" t="s">
        <v>94</v>
      </c>
      <c r="R993" s="10"/>
      <c r="S993" s="19" t="s">
        <v>7893</v>
      </c>
      <c r="T993" s="10"/>
      <c r="U993" s="10" t="s">
        <v>7894</v>
      </c>
      <c r="V993" s="10" t="s">
        <v>7619</v>
      </c>
      <c r="W993" s="10" t="s">
        <v>7883</v>
      </c>
      <c r="X993" s="10" t="s">
        <v>130</v>
      </c>
      <c r="Y993" s="10" t="s">
        <v>130</v>
      </c>
      <c r="Z993" s="10" t="s">
        <v>99</v>
      </c>
      <c r="AA993" s="10" t="s">
        <v>131</v>
      </c>
      <c r="AB993" s="10" t="s">
        <v>7884</v>
      </c>
      <c r="AC993" s="10" t="s">
        <v>7885</v>
      </c>
      <c r="AD993" s="10" t="s">
        <v>7895</v>
      </c>
      <c r="AE993" s="10" t="s">
        <v>7896</v>
      </c>
      <c r="AF993" s="15"/>
      <c r="AG993" s="10"/>
      <c r="AH993" s="10"/>
      <c r="AI993" s="10"/>
      <c r="AJ993" s="10"/>
      <c r="AK993" s="10" t="s">
        <v>102</v>
      </c>
      <c r="AL993" s="10" t="s">
        <v>7897</v>
      </c>
      <c r="AM993" s="10"/>
      <c r="AN993" s="10"/>
      <c r="AO993" s="13" t="b">
        <v>0</v>
      </c>
      <c r="AP993" s="10" t="s">
        <v>104</v>
      </c>
      <c r="AQ993" s="10">
        <f ca="1">IFERROR(__xludf.DUMMYFUNCTION("""COMPUTED_VALUE"""),4495122)</f>
        <v>4495122</v>
      </c>
      <c r="AR993" s="17">
        <v>1842</v>
      </c>
      <c r="AS993" s="17">
        <v>1478</v>
      </c>
      <c r="AT993" s="17">
        <v>20456.25</v>
      </c>
      <c r="AU993" s="17">
        <v>1.65</v>
      </c>
      <c r="AV993" s="17">
        <v>0.65</v>
      </c>
      <c r="AW993" s="10" t="s">
        <v>105</v>
      </c>
      <c r="AX993" s="17">
        <v>312</v>
      </c>
      <c r="AY993" s="18">
        <v>13.840493910690121</v>
      </c>
      <c r="AZ993" s="10" t="s">
        <v>106</v>
      </c>
      <c r="BA993" s="20" t="b">
        <v>0</v>
      </c>
      <c r="BB993" s="10"/>
      <c r="BC993" s="17">
        <v>1842</v>
      </c>
      <c r="BD993" s="17">
        <v>1478</v>
      </c>
      <c r="BE993" s="17">
        <v>20456.25</v>
      </c>
      <c r="BF993" s="17">
        <v>0.65</v>
      </c>
      <c r="BG993" s="11">
        <f ca="1">IFERROR(__xludf.DUMMYFUNCTION("""COMPUTED_VALUE"""),45882.0833333333)</f>
        <v>45882.083333333299</v>
      </c>
      <c r="BH993" s="17" t="s">
        <v>105</v>
      </c>
      <c r="BI993" s="17"/>
      <c r="BJ993" s="15"/>
      <c r="BK993" s="15"/>
      <c r="BL993" s="13" t="b">
        <v>0</v>
      </c>
      <c r="BM993" s="10"/>
      <c r="BN993" s="10" t="s">
        <v>197</v>
      </c>
      <c r="BO993" s="11">
        <v>45873.474305555559</v>
      </c>
      <c r="BP993" s="11">
        <v>45873.47452546296</v>
      </c>
      <c r="BQ993" s="15">
        <v>45881.731099537035</v>
      </c>
      <c r="BR993" s="15">
        <v>45881.942673611113</v>
      </c>
      <c r="BS993" s="10" t="s">
        <v>197</v>
      </c>
      <c r="BT993" s="10" t="s">
        <v>279</v>
      </c>
      <c r="BU993" s="10" t="s">
        <v>718</v>
      </c>
      <c r="BV993" s="10"/>
      <c r="BW993" s="10"/>
      <c r="BX993" s="10"/>
      <c r="BY993" s="23"/>
      <c r="BZ993" s="23"/>
      <c r="CA993" s="19" t="s">
        <v>7898</v>
      </c>
      <c r="CB993" s="23"/>
      <c r="CC993" s="23"/>
      <c r="CD993" s="23"/>
      <c r="CE993" s="23"/>
      <c r="CF993" s="23"/>
      <c r="CG993" s="23"/>
      <c r="CH993" s="23"/>
      <c r="CI993" s="23"/>
    </row>
    <row r="994" spans="1:87" x14ac:dyDescent="0.3">
      <c r="A994" s="9" t="s">
        <v>7899</v>
      </c>
      <c r="B994" s="10" t="s">
        <v>7900</v>
      </c>
      <c r="C994" s="11">
        <v>45883.083333333336</v>
      </c>
      <c r="D994" s="12">
        <v>8.3333333333333329E-2</v>
      </c>
      <c r="E994" s="11">
        <v>45883.166666666664</v>
      </c>
      <c r="F994" s="10" t="s">
        <v>7877</v>
      </c>
      <c r="G994" s="13" t="b">
        <v>0</v>
      </c>
      <c r="H994" s="10" t="s">
        <v>7878</v>
      </c>
      <c r="I994" s="10" t="s">
        <v>89</v>
      </c>
      <c r="J994" s="13" t="b">
        <v>0</v>
      </c>
      <c r="K994" s="13" t="b">
        <v>1</v>
      </c>
      <c r="L994" s="10" t="s">
        <v>124</v>
      </c>
      <c r="M994" s="10" t="s">
        <v>91</v>
      </c>
      <c r="N994" s="10" t="s">
        <v>92</v>
      </c>
      <c r="O994" s="19" t="s">
        <v>7901</v>
      </c>
      <c r="P994" s="10"/>
      <c r="Q994" s="10" t="s">
        <v>94</v>
      </c>
      <c r="R994" s="10"/>
      <c r="S994" s="19" t="s">
        <v>7902</v>
      </c>
      <c r="T994" s="10"/>
      <c r="U994" s="10" t="s">
        <v>7618</v>
      </c>
      <c r="V994" s="10" t="s">
        <v>7903</v>
      </c>
      <c r="W994" s="10" t="s">
        <v>7883</v>
      </c>
      <c r="X994" s="10" t="s">
        <v>130</v>
      </c>
      <c r="Y994" s="10" t="s">
        <v>130</v>
      </c>
      <c r="Z994" s="10" t="s">
        <v>99</v>
      </c>
      <c r="AA994" s="10" t="s">
        <v>131</v>
      </c>
      <c r="AB994" s="10" t="s">
        <v>7884</v>
      </c>
      <c r="AC994" s="10" t="s">
        <v>7885</v>
      </c>
      <c r="AD994" s="10" t="s">
        <v>7904</v>
      </c>
      <c r="AE994" s="10" t="s">
        <v>7905</v>
      </c>
      <c r="AF994" s="15"/>
      <c r="AG994" s="10"/>
      <c r="AH994" s="10"/>
      <c r="AI994" s="10"/>
      <c r="AJ994" s="10"/>
      <c r="AK994" s="10" t="s">
        <v>102</v>
      </c>
      <c r="AL994" s="10"/>
      <c r="AM994" s="10"/>
      <c r="AN994" s="10"/>
      <c r="AO994" s="13" t="b">
        <v>0</v>
      </c>
      <c r="AP994" s="10" t="s">
        <v>104</v>
      </c>
      <c r="AQ994" s="10">
        <f ca="1">IFERROR(__xludf.DUMMYFUNCTION("""COMPUTED_VALUE"""),4495121)</f>
        <v>4495121</v>
      </c>
      <c r="AR994" s="17">
        <v>1770</v>
      </c>
      <c r="AS994" s="17">
        <v>1396</v>
      </c>
      <c r="AT994" s="17">
        <v>9393</v>
      </c>
      <c r="AU994" s="17">
        <v>5.55</v>
      </c>
      <c r="AV994" s="17">
        <v>0.85</v>
      </c>
      <c r="AW994" s="10" t="s">
        <v>105</v>
      </c>
      <c r="AX994" s="17">
        <v>395</v>
      </c>
      <c r="AY994" s="18">
        <v>6.7285100286532948</v>
      </c>
      <c r="AZ994" s="10" t="s">
        <v>106</v>
      </c>
      <c r="BA994" s="20" t="b">
        <v>0</v>
      </c>
      <c r="BB994" s="10"/>
      <c r="BC994" s="17">
        <v>1770</v>
      </c>
      <c r="BD994" s="17">
        <v>1396</v>
      </c>
      <c r="BE994" s="17">
        <v>9393</v>
      </c>
      <c r="BF994" s="17">
        <v>0.85</v>
      </c>
      <c r="BG994" s="11">
        <f ca="1">IFERROR(__xludf.DUMMYFUNCTION("""COMPUTED_VALUE"""),45883.0833333333)</f>
        <v>45883.083333333299</v>
      </c>
      <c r="BH994" s="17" t="s">
        <v>105</v>
      </c>
      <c r="BI994" s="17"/>
      <c r="BJ994" s="15"/>
      <c r="BK994" s="15"/>
      <c r="BL994" s="13" t="b">
        <v>0</v>
      </c>
      <c r="BM994" s="10"/>
      <c r="BN994" s="10" t="s">
        <v>197</v>
      </c>
      <c r="BO994" s="11">
        <v>45873.477083333331</v>
      </c>
      <c r="BP994" s="11">
        <v>45873.477395833332</v>
      </c>
      <c r="BQ994" s="15">
        <v>45881.73133101852</v>
      </c>
      <c r="BR994" s="15">
        <v>45881.942372685182</v>
      </c>
      <c r="BS994" s="10" t="s">
        <v>197</v>
      </c>
      <c r="BT994" s="10" t="s">
        <v>279</v>
      </c>
      <c r="BU994" s="10" t="s">
        <v>816</v>
      </c>
      <c r="BV994" s="10"/>
      <c r="BW994" s="10"/>
      <c r="BX994" s="10"/>
      <c r="BY994" s="23"/>
      <c r="BZ994" s="23"/>
      <c r="CA994" s="19" t="s">
        <v>7906</v>
      </c>
      <c r="CB994" s="23"/>
      <c r="CC994" s="23"/>
      <c r="CD994" s="23"/>
      <c r="CE994" s="23"/>
      <c r="CF994" s="23"/>
      <c r="CG994" s="23"/>
      <c r="CH994" s="23"/>
      <c r="CI994" s="23"/>
    </row>
    <row r="995" spans="1:87" x14ac:dyDescent="0.3">
      <c r="A995" s="9" t="s">
        <v>7907</v>
      </c>
      <c r="B995" s="10" t="s">
        <v>7908</v>
      </c>
      <c r="C995" s="11">
        <v>45886.9375</v>
      </c>
      <c r="D995" s="12">
        <v>8.3333333333333329E-2</v>
      </c>
      <c r="E995" s="11">
        <v>45887.020833333336</v>
      </c>
      <c r="F995" s="10" t="s">
        <v>262</v>
      </c>
      <c r="G995" s="13" t="b">
        <v>0</v>
      </c>
      <c r="H995" s="10" t="s">
        <v>305</v>
      </c>
      <c r="I995" s="10" t="s">
        <v>264</v>
      </c>
      <c r="J995" s="13" t="b">
        <v>0</v>
      </c>
      <c r="K995" s="13" t="b">
        <v>1</v>
      </c>
      <c r="L995" s="10" t="s">
        <v>124</v>
      </c>
      <c r="M995" s="10" t="s">
        <v>91</v>
      </c>
      <c r="N995" s="10" t="s">
        <v>265</v>
      </c>
      <c r="O995" s="19" t="s">
        <v>7909</v>
      </c>
      <c r="P995" s="10"/>
      <c r="Q995" s="10" t="s">
        <v>94</v>
      </c>
      <c r="R995" s="10"/>
      <c r="S995" s="19" t="s">
        <v>7910</v>
      </c>
      <c r="T995" s="19" t="s">
        <v>269</v>
      </c>
      <c r="U995" s="10" t="s">
        <v>361</v>
      </c>
      <c r="V995" s="10" t="s">
        <v>362</v>
      </c>
      <c r="W995" s="10" t="s">
        <v>272</v>
      </c>
      <c r="X995" s="10" t="s">
        <v>130</v>
      </c>
      <c r="Y995" s="10" t="s">
        <v>130</v>
      </c>
      <c r="Z995" s="10" t="s">
        <v>99</v>
      </c>
      <c r="AA995" s="10" t="s">
        <v>131</v>
      </c>
      <c r="AB995" s="10" t="s">
        <v>273</v>
      </c>
      <c r="AC995" s="10" t="s">
        <v>274</v>
      </c>
      <c r="AD995" s="10" t="s">
        <v>363</v>
      </c>
      <c r="AE995" s="10" t="s">
        <v>7911</v>
      </c>
      <c r="AF995" s="15"/>
      <c r="AG995" s="10"/>
      <c r="AH995" s="10"/>
      <c r="AI995" s="10"/>
      <c r="AJ995" s="10"/>
      <c r="AK995" s="10" t="s">
        <v>102</v>
      </c>
      <c r="AL995" s="10" t="s">
        <v>103</v>
      </c>
      <c r="AM995" s="10"/>
      <c r="AN995" s="10"/>
      <c r="AO995" s="13" t="b">
        <v>0</v>
      </c>
      <c r="AP995" s="10" t="s">
        <v>104</v>
      </c>
      <c r="AQ995" s="10">
        <f ca="1">IFERROR(__xludf.DUMMYFUNCTION("""COMPUTED_VALUE"""),4499270)</f>
        <v>4499270</v>
      </c>
      <c r="AR995" s="17">
        <v>39391</v>
      </c>
      <c r="AS995" s="17">
        <v>33350</v>
      </c>
      <c r="AT995" s="17">
        <v>224144.5</v>
      </c>
      <c r="AU995" s="17">
        <v>515</v>
      </c>
      <c r="AV995" s="17">
        <v>264.8</v>
      </c>
      <c r="AW995" s="10" t="s">
        <v>105</v>
      </c>
      <c r="AX995" s="17">
        <v>11349</v>
      </c>
      <c r="AY995" s="18">
        <v>6.720974512743628</v>
      </c>
      <c r="AZ995" s="10" t="s">
        <v>148</v>
      </c>
      <c r="BA995" s="20" t="b">
        <v>0</v>
      </c>
      <c r="BB995" s="10"/>
      <c r="BC995" s="17">
        <v>39391</v>
      </c>
      <c r="BD995" s="17">
        <v>33350</v>
      </c>
      <c r="BE995" s="17">
        <v>224144.5</v>
      </c>
      <c r="BF995" s="17">
        <v>264.8</v>
      </c>
      <c r="BG995" s="11">
        <f ca="1">IFERROR(__xludf.DUMMYFUNCTION("""COMPUTED_VALUE"""),45886.9375)</f>
        <v>45886.9375</v>
      </c>
      <c r="BH995" s="17" t="s">
        <v>105</v>
      </c>
      <c r="BI995" s="17"/>
      <c r="BJ995" s="15"/>
      <c r="BK995" s="15"/>
      <c r="BL995" s="13" t="b">
        <v>0</v>
      </c>
      <c r="BM995" s="10"/>
      <c r="BN995" s="10" t="s">
        <v>118</v>
      </c>
      <c r="BO995" s="11">
        <v>45873.739583333336</v>
      </c>
      <c r="BP995" s="11">
        <v>45878.639328703706</v>
      </c>
      <c r="BQ995" s="15">
        <v>45883.646041666667</v>
      </c>
      <c r="BR995" s="15">
        <v>45883.749259259261</v>
      </c>
      <c r="BS995" s="10" t="s">
        <v>118</v>
      </c>
      <c r="BT995" s="10"/>
      <c r="BU995" s="10"/>
      <c r="BV995" s="10"/>
      <c r="BW995" s="10"/>
      <c r="BX995" s="10"/>
      <c r="BY995" s="23"/>
      <c r="BZ995" s="24"/>
      <c r="CA995" s="19" t="s">
        <v>7912</v>
      </c>
      <c r="CB995" s="19" t="s">
        <v>370</v>
      </c>
      <c r="CC995" s="23"/>
      <c r="CD995" s="23"/>
      <c r="CE995" s="23"/>
      <c r="CF995" s="23"/>
      <c r="CG995" s="23"/>
      <c r="CH995" s="23"/>
      <c r="CI995" s="23"/>
    </row>
    <row r="996" spans="1:87" x14ac:dyDescent="0.3">
      <c r="A996" s="9" t="s">
        <v>7913</v>
      </c>
      <c r="B996" s="10" t="s">
        <v>7914</v>
      </c>
      <c r="C996" s="11">
        <v>45898.770833333336</v>
      </c>
      <c r="D996" s="12">
        <v>2.0833333333333332E-2</v>
      </c>
      <c r="E996" s="11">
        <v>45898.791666666664</v>
      </c>
      <c r="F996" s="10" t="s">
        <v>3511</v>
      </c>
      <c r="G996" s="13" t="b">
        <v>0</v>
      </c>
      <c r="H996" s="10" t="s">
        <v>3512</v>
      </c>
      <c r="I996" s="10" t="s">
        <v>212</v>
      </c>
      <c r="J996" s="13" t="b">
        <v>1</v>
      </c>
      <c r="K996" s="13" t="b">
        <v>0</v>
      </c>
      <c r="L996" s="10" t="s">
        <v>90</v>
      </c>
      <c r="M996" s="10" t="s">
        <v>91</v>
      </c>
      <c r="N996" s="10" t="s">
        <v>92</v>
      </c>
      <c r="O996" s="19" t="s">
        <v>7915</v>
      </c>
      <c r="P996" s="10"/>
      <c r="Q996" s="10" t="s">
        <v>94</v>
      </c>
      <c r="R996" s="10"/>
      <c r="S996" s="19" t="s">
        <v>7916</v>
      </c>
      <c r="T996" s="10"/>
      <c r="U996" s="10" t="s">
        <v>3622</v>
      </c>
      <c r="V996" s="10" t="s">
        <v>3647</v>
      </c>
      <c r="W996" s="10" t="s">
        <v>3519</v>
      </c>
      <c r="X996" s="10" t="s">
        <v>130</v>
      </c>
      <c r="Y996" s="10" t="s">
        <v>130</v>
      </c>
      <c r="Z996" s="10" t="s">
        <v>99</v>
      </c>
      <c r="AA996" s="10" t="s">
        <v>131</v>
      </c>
      <c r="AB996" s="10" t="s">
        <v>3520</v>
      </c>
      <c r="AC996" s="10" t="s">
        <v>3521</v>
      </c>
      <c r="AD996" s="10" t="s">
        <v>3935</v>
      </c>
      <c r="AE996" s="10" t="s">
        <v>7917</v>
      </c>
      <c r="AF996" s="15"/>
      <c r="AG996" s="10"/>
      <c r="AH996" s="10"/>
      <c r="AI996" s="10"/>
      <c r="AJ996" s="10"/>
      <c r="AK996" s="10" t="s">
        <v>102</v>
      </c>
      <c r="AL996" s="10"/>
      <c r="AM996" s="10"/>
      <c r="AN996" s="10"/>
      <c r="AO996" s="13" t="b">
        <v>0</v>
      </c>
      <c r="AP996" s="10" t="s">
        <v>104</v>
      </c>
      <c r="AQ996" s="10">
        <f ca="1">IFERROR(__xludf.DUMMYFUNCTION("""COMPUTED_VALUE"""),4528586)</f>
        <v>4528586</v>
      </c>
      <c r="AR996" s="17">
        <v>23331</v>
      </c>
      <c r="AS996" s="17">
        <v>15422</v>
      </c>
      <c r="AT996" s="17">
        <v>83582</v>
      </c>
      <c r="AU996" s="17">
        <v>114.25</v>
      </c>
      <c r="AV996" s="17">
        <v>39.450000000000003</v>
      </c>
      <c r="AW996" s="10" t="s">
        <v>105</v>
      </c>
      <c r="AX996" s="17">
        <v>6552</v>
      </c>
      <c r="AY996" s="18">
        <v>5.4196602256516666</v>
      </c>
      <c r="AZ996" s="10" t="s">
        <v>185</v>
      </c>
      <c r="BA996" s="20" t="b">
        <v>0</v>
      </c>
      <c r="BB996" s="10"/>
      <c r="BC996" s="17">
        <v>23331</v>
      </c>
      <c r="BD996" s="17">
        <v>15422</v>
      </c>
      <c r="BE996" s="17">
        <v>83582</v>
      </c>
      <c r="BF996" s="17">
        <v>39.450000000000003</v>
      </c>
      <c r="BG996" s="11">
        <f ca="1">IFERROR(__xludf.DUMMYFUNCTION("""COMPUTED_VALUE"""),45898.7708333333)</f>
        <v>45898.770833333299</v>
      </c>
      <c r="BH996" s="17" t="s">
        <v>105</v>
      </c>
      <c r="BI996" s="17"/>
      <c r="BJ996" s="15"/>
      <c r="BK996" s="15"/>
      <c r="BL996" s="13" t="b">
        <v>0</v>
      </c>
      <c r="BM996" s="10"/>
      <c r="BN996" s="10" t="s">
        <v>634</v>
      </c>
      <c r="BO996" s="11">
        <v>45874.561805555553</v>
      </c>
      <c r="BP996" s="11">
        <v>45874.562407407408</v>
      </c>
      <c r="BQ996" s="15">
        <v>45896.999814814815</v>
      </c>
      <c r="BR996" s="15">
        <v>45897.199444444443</v>
      </c>
      <c r="BS996" s="10" t="s">
        <v>634</v>
      </c>
      <c r="BT996" s="10"/>
      <c r="BU996" s="10"/>
      <c r="BV996" s="10"/>
      <c r="BW996" s="10"/>
      <c r="BX996" s="10"/>
      <c r="BY996" s="23"/>
      <c r="BZ996" s="23"/>
      <c r="CA996" s="19" t="s">
        <v>7918</v>
      </c>
      <c r="CB996" s="23"/>
      <c r="CC996" s="23"/>
      <c r="CD996" s="23"/>
      <c r="CE996" s="23"/>
      <c r="CF996" s="23"/>
      <c r="CG996" s="23"/>
      <c r="CH996" s="23"/>
      <c r="CI996" s="23"/>
    </row>
    <row r="997" spans="1:87" x14ac:dyDescent="0.3">
      <c r="A997" s="9" t="s">
        <v>7919</v>
      </c>
      <c r="B997" s="10" t="s">
        <v>7920</v>
      </c>
      <c r="C997" s="11">
        <v>45876.979166666664</v>
      </c>
      <c r="D997" s="12">
        <v>8.3333333333333329E-2</v>
      </c>
      <c r="E997" s="11">
        <v>45877.0625</v>
      </c>
      <c r="F997" s="10" t="s">
        <v>7843</v>
      </c>
      <c r="G997" s="13" t="b">
        <v>0</v>
      </c>
      <c r="H997" s="10" t="s">
        <v>88</v>
      </c>
      <c r="I997" s="10" t="s">
        <v>89</v>
      </c>
      <c r="J997" s="13" t="b">
        <v>0</v>
      </c>
      <c r="K997" s="13" t="b">
        <v>1</v>
      </c>
      <c r="L997" s="10" t="s">
        <v>124</v>
      </c>
      <c r="M997" s="10" t="s">
        <v>91</v>
      </c>
      <c r="N997" s="10" t="s">
        <v>92</v>
      </c>
      <c r="O997" s="19" t="s">
        <v>7921</v>
      </c>
      <c r="P997" s="10"/>
      <c r="Q997" s="10" t="s">
        <v>94</v>
      </c>
      <c r="R997" s="10"/>
      <c r="S997" s="19" t="s">
        <v>7922</v>
      </c>
      <c r="T997" s="10"/>
      <c r="U997" s="10" t="s">
        <v>7923</v>
      </c>
      <c r="V997" s="10" t="s">
        <v>7924</v>
      </c>
      <c r="W997" s="10" t="s">
        <v>7848</v>
      </c>
      <c r="X997" s="10" t="s">
        <v>130</v>
      </c>
      <c r="Y997" s="10" t="s">
        <v>130</v>
      </c>
      <c r="Z997" s="10" t="s">
        <v>99</v>
      </c>
      <c r="AA997" s="10" t="s">
        <v>131</v>
      </c>
      <c r="AB997" s="10" t="s">
        <v>7849</v>
      </c>
      <c r="AC997" s="10" t="s">
        <v>3571</v>
      </c>
      <c r="AD997" s="10" t="s">
        <v>7925</v>
      </c>
      <c r="AE997" s="10" t="s">
        <v>7926</v>
      </c>
      <c r="AF997" s="15"/>
      <c r="AG997" s="10"/>
      <c r="AH997" s="10"/>
      <c r="AI997" s="10"/>
      <c r="AJ997" s="10"/>
      <c r="AK997" s="10" t="s">
        <v>102</v>
      </c>
      <c r="AL997" s="10"/>
      <c r="AM997" s="10"/>
      <c r="AN997" s="10"/>
      <c r="AO997" s="13" t="b">
        <v>0</v>
      </c>
      <c r="AP997" s="10" t="s">
        <v>104</v>
      </c>
      <c r="AQ997" s="10">
        <f ca="1">IFERROR(__xludf.DUMMYFUNCTION("""COMPUTED_VALUE"""),4484055)</f>
        <v>4484055</v>
      </c>
      <c r="AR997" s="17">
        <v>3157</v>
      </c>
      <c r="AS997" s="17">
        <v>2646</v>
      </c>
      <c r="AT997" s="17">
        <v>47934.5</v>
      </c>
      <c r="AU997" s="17">
        <v>22.1</v>
      </c>
      <c r="AV997" s="17">
        <v>8.0500000000000007</v>
      </c>
      <c r="AW997" s="10" t="s">
        <v>105</v>
      </c>
      <c r="AX997" s="17">
        <v>575</v>
      </c>
      <c r="AY997" s="18">
        <v>18.115835222978081</v>
      </c>
      <c r="AZ997" s="10" t="s">
        <v>106</v>
      </c>
      <c r="BA997" s="20" t="b">
        <v>0</v>
      </c>
      <c r="BB997" s="10"/>
      <c r="BC997" s="17">
        <v>3157</v>
      </c>
      <c r="BD997" s="17">
        <v>2646</v>
      </c>
      <c r="BE997" s="17">
        <v>47934.5</v>
      </c>
      <c r="BF997" s="17">
        <v>8.0500000000000007</v>
      </c>
      <c r="BG997" s="11">
        <f ca="1">IFERROR(__xludf.DUMMYFUNCTION("""COMPUTED_VALUE"""),45876.9791666666)</f>
        <v>45876.979166666599</v>
      </c>
      <c r="BH997" s="17" t="s">
        <v>105</v>
      </c>
      <c r="BI997" s="17"/>
      <c r="BJ997" s="15"/>
      <c r="BK997" s="15"/>
      <c r="BL997" s="13" t="b">
        <v>0</v>
      </c>
      <c r="BM997" s="10"/>
      <c r="BN997" s="10" t="s">
        <v>197</v>
      </c>
      <c r="BO997" s="11">
        <v>45876.441666666666</v>
      </c>
      <c r="BP997" s="11">
        <v>45876.442349537036</v>
      </c>
      <c r="BQ997" s="15">
        <v>45876.528449074074</v>
      </c>
      <c r="BR997" s="15">
        <v>45876.547719907408</v>
      </c>
      <c r="BS997" s="10" t="s">
        <v>197</v>
      </c>
      <c r="BT997" s="10" t="s">
        <v>99</v>
      </c>
      <c r="BU997" s="10"/>
      <c r="BV997" s="10"/>
      <c r="BW997" s="10"/>
      <c r="BX997" s="10"/>
      <c r="BY997" s="23"/>
      <c r="BZ997" s="23"/>
      <c r="CA997" s="19" t="s">
        <v>7927</v>
      </c>
      <c r="CB997" s="23"/>
      <c r="CC997" s="23"/>
      <c r="CD997" s="23"/>
      <c r="CE997" s="23"/>
      <c r="CF997" s="23"/>
      <c r="CG997" s="23"/>
      <c r="CH997" s="23"/>
      <c r="CI997" s="23"/>
    </row>
    <row r="998" spans="1:87" x14ac:dyDescent="0.3">
      <c r="A998" s="9" t="s">
        <v>7928</v>
      </c>
      <c r="B998" s="10" t="s">
        <v>7929</v>
      </c>
      <c r="C998" s="11">
        <v>45886.104166666664</v>
      </c>
      <c r="D998" s="12">
        <v>8.3333333333333329E-2</v>
      </c>
      <c r="E998" s="11">
        <v>45886.1875</v>
      </c>
      <c r="F998" s="10" t="s">
        <v>7855</v>
      </c>
      <c r="G998" s="13" t="b">
        <v>0</v>
      </c>
      <c r="H998" s="10" t="s">
        <v>3478</v>
      </c>
      <c r="I998" s="10" t="s">
        <v>89</v>
      </c>
      <c r="J998" s="13" t="b">
        <v>0</v>
      </c>
      <c r="K998" s="13" t="b">
        <v>1</v>
      </c>
      <c r="L998" s="10" t="s">
        <v>124</v>
      </c>
      <c r="M998" s="10" t="s">
        <v>91</v>
      </c>
      <c r="N998" s="10" t="s">
        <v>92</v>
      </c>
      <c r="O998" s="19" t="s">
        <v>7930</v>
      </c>
      <c r="P998" s="10"/>
      <c r="Q998" s="10" t="s">
        <v>94</v>
      </c>
      <c r="R998" s="10"/>
      <c r="S998" s="19" t="s">
        <v>7931</v>
      </c>
      <c r="T998" s="19" t="s">
        <v>7932</v>
      </c>
      <c r="U998" s="10" t="s">
        <v>7933</v>
      </c>
      <c r="V998" s="10" t="s">
        <v>3582</v>
      </c>
      <c r="W998" s="10" t="s">
        <v>7860</v>
      </c>
      <c r="X998" s="10" t="s">
        <v>130</v>
      </c>
      <c r="Y998" s="10" t="s">
        <v>130</v>
      </c>
      <c r="Z998" s="10" t="s">
        <v>99</v>
      </c>
      <c r="AA998" s="10" t="s">
        <v>131</v>
      </c>
      <c r="AB998" s="10" t="s">
        <v>7861</v>
      </c>
      <c r="AC998" s="10" t="s">
        <v>7862</v>
      </c>
      <c r="AD998" s="10" t="s">
        <v>7934</v>
      </c>
      <c r="AE998" s="10" t="s">
        <v>7935</v>
      </c>
      <c r="AF998" s="15"/>
      <c r="AG998" s="10"/>
      <c r="AH998" s="10"/>
      <c r="AI998" s="10"/>
      <c r="AJ998" s="10"/>
      <c r="AK998" s="10" t="s">
        <v>102</v>
      </c>
      <c r="AL998" s="10" t="s">
        <v>116</v>
      </c>
      <c r="AM998" s="10"/>
      <c r="AN998" s="10"/>
      <c r="AO998" s="13" t="b">
        <v>0</v>
      </c>
      <c r="AP998" s="10" t="s">
        <v>104</v>
      </c>
      <c r="AQ998" s="10">
        <f ca="1">IFERROR(__xludf.DUMMYFUNCTION("""COMPUTED_VALUE"""),4503847)</f>
        <v>4503847</v>
      </c>
      <c r="AR998" s="17">
        <v>2272</v>
      </c>
      <c r="AS998" s="17">
        <v>1685</v>
      </c>
      <c r="AT998" s="17">
        <v>39305.5</v>
      </c>
      <c r="AU998" s="17">
        <v>9.9499999999999993</v>
      </c>
      <c r="AV998" s="17">
        <v>3.8</v>
      </c>
      <c r="AW998" s="10" t="s">
        <v>105</v>
      </c>
      <c r="AX998" s="17">
        <v>464</v>
      </c>
      <c r="AY998" s="18">
        <v>23.326706231454008</v>
      </c>
      <c r="AZ998" s="10" t="s">
        <v>168</v>
      </c>
      <c r="BA998" s="20" t="b">
        <v>0</v>
      </c>
      <c r="BB998" s="10"/>
      <c r="BC998" s="17">
        <v>2272</v>
      </c>
      <c r="BD998" s="17">
        <v>1685</v>
      </c>
      <c r="BE998" s="17">
        <v>39305.5</v>
      </c>
      <c r="BF998" s="17">
        <v>3.8</v>
      </c>
      <c r="BG998" s="11">
        <f ca="1">IFERROR(__xludf.DUMMYFUNCTION("""COMPUTED_VALUE"""),45886.1041666666)</f>
        <v>45886.104166666599</v>
      </c>
      <c r="BH998" s="17" t="s">
        <v>105</v>
      </c>
      <c r="BI998" s="17"/>
      <c r="BJ998" s="15"/>
      <c r="BK998" s="15"/>
      <c r="BL998" s="13" t="b">
        <v>0</v>
      </c>
      <c r="BM998" s="10"/>
      <c r="BN998" s="10" t="s">
        <v>278</v>
      </c>
      <c r="BO998" s="11">
        <v>45877.289583333331</v>
      </c>
      <c r="BP998" s="11">
        <v>45885.371261574073</v>
      </c>
      <c r="BQ998" s="15">
        <v>45884.737881944442</v>
      </c>
      <c r="BR998" s="15">
        <v>45885.42082175926</v>
      </c>
      <c r="BS998" s="10" t="s">
        <v>278</v>
      </c>
      <c r="BT998" s="10" t="s">
        <v>99</v>
      </c>
      <c r="BU998" s="10" t="s">
        <v>730</v>
      </c>
      <c r="BV998" s="10"/>
      <c r="BW998" s="10"/>
      <c r="BX998" s="10"/>
      <c r="BY998" s="23"/>
      <c r="BZ998" s="23"/>
      <c r="CA998" s="19" t="s">
        <v>7936</v>
      </c>
      <c r="CB998" s="19" t="s">
        <v>7937</v>
      </c>
      <c r="CC998" s="23"/>
      <c r="CD998" s="23"/>
      <c r="CE998" s="23"/>
      <c r="CF998" s="23"/>
      <c r="CG998" s="23"/>
      <c r="CH998" s="23"/>
      <c r="CI998" s="23"/>
    </row>
    <row r="999" spans="1:87" x14ac:dyDescent="0.3">
      <c r="A999" s="9" t="s">
        <v>7938</v>
      </c>
      <c r="B999" s="10" t="s">
        <v>7939</v>
      </c>
      <c r="C999" s="11">
        <v>45887.104166666664</v>
      </c>
      <c r="D999" s="12">
        <v>8.3333333333333329E-2</v>
      </c>
      <c r="E999" s="11">
        <v>45887.1875</v>
      </c>
      <c r="F999" s="10" t="s">
        <v>7855</v>
      </c>
      <c r="G999" s="13" t="b">
        <v>0</v>
      </c>
      <c r="H999" s="10" t="s">
        <v>88</v>
      </c>
      <c r="I999" s="10" t="s">
        <v>89</v>
      </c>
      <c r="J999" s="13" t="b">
        <v>0</v>
      </c>
      <c r="K999" s="13" t="b">
        <v>1</v>
      </c>
      <c r="L999" s="10" t="s">
        <v>124</v>
      </c>
      <c r="M999" s="10" t="s">
        <v>91</v>
      </c>
      <c r="N999" s="10" t="s">
        <v>92</v>
      </c>
      <c r="O999" s="19" t="s">
        <v>7940</v>
      </c>
      <c r="P999" s="10"/>
      <c r="Q999" s="10" t="s">
        <v>94</v>
      </c>
      <c r="R999" s="10"/>
      <c r="S999" s="19" t="s">
        <v>7941</v>
      </c>
      <c r="T999" s="19" t="s">
        <v>7932</v>
      </c>
      <c r="U999" s="10" t="s">
        <v>7859</v>
      </c>
      <c r="V999" s="10" t="s">
        <v>7942</v>
      </c>
      <c r="W999" s="10" t="s">
        <v>7860</v>
      </c>
      <c r="X999" s="10" t="s">
        <v>130</v>
      </c>
      <c r="Y999" s="10" t="s">
        <v>130</v>
      </c>
      <c r="Z999" s="10" t="s">
        <v>99</v>
      </c>
      <c r="AA999" s="10" t="s">
        <v>131</v>
      </c>
      <c r="AB999" s="10" t="s">
        <v>7861</v>
      </c>
      <c r="AC999" s="10" t="s">
        <v>7862</v>
      </c>
      <c r="AD999" s="10" t="s">
        <v>7943</v>
      </c>
      <c r="AE999" s="10" t="s">
        <v>7944</v>
      </c>
      <c r="AF999" s="15"/>
      <c r="AG999" s="10"/>
      <c r="AH999" s="10"/>
      <c r="AI999" s="10"/>
      <c r="AJ999" s="10"/>
      <c r="AK999" s="10" t="s">
        <v>102</v>
      </c>
      <c r="AL999" s="10" t="s">
        <v>116</v>
      </c>
      <c r="AM999" s="10"/>
      <c r="AN999" s="10"/>
      <c r="AO999" s="13" t="b">
        <v>0</v>
      </c>
      <c r="AP999" s="10" t="s">
        <v>104</v>
      </c>
      <c r="AQ999" s="10">
        <f ca="1">IFERROR(__xludf.DUMMYFUNCTION("""COMPUTED_VALUE"""),4505809)</f>
        <v>4505809</v>
      </c>
      <c r="AR999" s="17">
        <v>1415</v>
      </c>
      <c r="AS999" s="17">
        <v>1115</v>
      </c>
      <c r="AT999" s="17">
        <v>12743.5</v>
      </c>
      <c r="AU999" s="17">
        <v>1.75</v>
      </c>
      <c r="AV999" s="17">
        <v>0.25</v>
      </c>
      <c r="AW999" s="10" t="s">
        <v>105</v>
      </c>
      <c r="AX999" s="17">
        <v>259</v>
      </c>
      <c r="AY999" s="18">
        <v>11.42914798206278</v>
      </c>
      <c r="AZ999" s="10" t="s">
        <v>168</v>
      </c>
      <c r="BA999" s="20" t="b">
        <v>0</v>
      </c>
      <c r="BB999" s="10"/>
      <c r="BC999" s="17">
        <v>1415</v>
      </c>
      <c r="BD999" s="17">
        <v>1115</v>
      </c>
      <c r="BE999" s="17">
        <v>12743.5</v>
      </c>
      <c r="BF999" s="17">
        <v>0.25</v>
      </c>
      <c r="BG999" s="11">
        <f ca="1">IFERROR(__xludf.DUMMYFUNCTION("""COMPUTED_VALUE"""),45887.1041666666)</f>
        <v>45887.104166666599</v>
      </c>
      <c r="BH999" s="17" t="s">
        <v>105</v>
      </c>
      <c r="BI999" s="17"/>
      <c r="BJ999" s="15"/>
      <c r="BK999" s="15"/>
      <c r="BL999" s="13" t="b">
        <v>0</v>
      </c>
      <c r="BM999" s="10"/>
      <c r="BN999" s="10" t="s">
        <v>157</v>
      </c>
      <c r="BO999" s="11">
        <v>45877.289583333331</v>
      </c>
      <c r="BP999" s="11">
        <v>45884.904039351852</v>
      </c>
      <c r="BQ999" s="15">
        <v>45884.738136574073</v>
      </c>
      <c r="BR999" s="15">
        <v>45886.453356481485</v>
      </c>
      <c r="BS999" s="10" t="s">
        <v>157</v>
      </c>
      <c r="BT999" s="10" t="s">
        <v>99</v>
      </c>
      <c r="BU999" s="10" t="s">
        <v>816</v>
      </c>
      <c r="BV999" s="10"/>
      <c r="BW999" s="10"/>
      <c r="BX999" s="10"/>
      <c r="BY999" s="23"/>
      <c r="BZ999" s="23"/>
      <c r="CA999" s="19" t="s">
        <v>7945</v>
      </c>
      <c r="CB999" s="19" t="s">
        <v>7946</v>
      </c>
      <c r="CC999" s="23"/>
      <c r="CD999" s="23"/>
      <c r="CE999" s="23"/>
      <c r="CF999" s="23"/>
      <c r="CG999" s="23"/>
      <c r="CH999" s="23"/>
      <c r="CI999" s="23"/>
    </row>
    <row r="1000" spans="1:87" x14ac:dyDescent="0.3">
      <c r="A1000" s="9" t="s">
        <v>7947</v>
      </c>
      <c r="B1000" s="10" t="s">
        <v>7948</v>
      </c>
      <c r="C1000" s="11">
        <v>45893.104166666664</v>
      </c>
      <c r="D1000" s="12">
        <v>8.3333333333333329E-2</v>
      </c>
      <c r="E1000" s="11">
        <v>45893.1875</v>
      </c>
      <c r="F1000" s="10" t="s">
        <v>7855</v>
      </c>
      <c r="G1000" s="13" t="b">
        <v>0</v>
      </c>
      <c r="H1000" s="10" t="s">
        <v>7949</v>
      </c>
      <c r="I1000" s="10" t="s">
        <v>89</v>
      </c>
      <c r="J1000" s="13" t="b">
        <v>0</v>
      </c>
      <c r="K1000" s="13" t="b">
        <v>1</v>
      </c>
      <c r="L1000" s="10" t="s">
        <v>124</v>
      </c>
      <c r="M1000" s="10" t="s">
        <v>91</v>
      </c>
      <c r="N1000" s="10" t="s">
        <v>92</v>
      </c>
      <c r="O1000" s="19" t="s">
        <v>7950</v>
      </c>
      <c r="P1000" s="10"/>
      <c r="Q1000" s="10" t="s">
        <v>94</v>
      </c>
      <c r="R1000" s="10"/>
      <c r="S1000" s="19" t="s">
        <v>7951</v>
      </c>
      <c r="T1000" s="19" t="s">
        <v>7952</v>
      </c>
      <c r="U1000" s="10" t="s">
        <v>3582</v>
      </c>
      <c r="V1000" s="10" t="s">
        <v>7953</v>
      </c>
      <c r="W1000" s="10" t="s">
        <v>7860</v>
      </c>
      <c r="X1000" s="10" t="s">
        <v>130</v>
      </c>
      <c r="Y1000" s="10" t="s">
        <v>130</v>
      </c>
      <c r="Z1000" s="10" t="s">
        <v>99</v>
      </c>
      <c r="AA1000" s="10" t="s">
        <v>131</v>
      </c>
      <c r="AB1000" s="10" t="s">
        <v>7861</v>
      </c>
      <c r="AC1000" s="10" t="s">
        <v>7862</v>
      </c>
      <c r="AD1000" s="10" t="s">
        <v>7954</v>
      </c>
      <c r="AE1000" s="10" t="s">
        <v>7955</v>
      </c>
      <c r="AF1000" s="15"/>
      <c r="AG1000" s="10"/>
      <c r="AH1000" s="10"/>
      <c r="AI1000" s="10"/>
      <c r="AJ1000" s="10"/>
      <c r="AK1000" s="10" t="s">
        <v>102</v>
      </c>
      <c r="AL1000" s="10" t="s">
        <v>147</v>
      </c>
      <c r="AM1000" s="10"/>
      <c r="AN1000" s="10"/>
      <c r="AO1000" s="13" t="b">
        <v>0</v>
      </c>
      <c r="AP1000" s="10" t="s">
        <v>104</v>
      </c>
      <c r="AQ1000" s="10">
        <f ca="1">IFERROR(__xludf.DUMMYFUNCTION("""COMPUTED_VALUE"""),4512831)</f>
        <v>4512831</v>
      </c>
      <c r="AR1000" s="17">
        <v>2050</v>
      </c>
      <c r="AS1000" s="17">
        <v>1628</v>
      </c>
      <c r="AT1000" s="17">
        <v>10131.5</v>
      </c>
      <c r="AU1000" s="17">
        <v>1.35</v>
      </c>
      <c r="AV1000" s="17">
        <v>0.1</v>
      </c>
      <c r="AW1000" s="10" t="s">
        <v>105</v>
      </c>
      <c r="AX1000" s="17">
        <v>383</v>
      </c>
      <c r="AY1000" s="18">
        <v>6.2232800982800986</v>
      </c>
      <c r="AZ1000" s="10" t="s">
        <v>168</v>
      </c>
      <c r="BA1000" s="20" t="b">
        <v>0</v>
      </c>
      <c r="BB1000" s="10"/>
      <c r="BC1000" s="17">
        <v>2050</v>
      </c>
      <c r="BD1000" s="17">
        <v>1628</v>
      </c>
      <c r="BE1000" s="17">
        <v>10131.5</v>
      </c>
      <c r="BF1000" s="17">
        <v>0.1</v>
      </c>
      <c r="BG1000" s="11">
        <f ca="1">IFERROR(__xludf.DUMMYFUNCTION("""COMPUTED_VALUE"""),45893.1041666666)</f>
        <v>45893.104166666599</v>
      </c>
      <c r="BH1000" s="17" t="s">
        <v>105</v>
      </c>
      <c r="BI1000" s="17"/>
      <c r="BJ1000" s="15"/>
      <c r="BK1000" s="15"/>
      <c r="BL1000" s="13" t="b">
        <v>0</v>
      </c>
      <c r="BM1000" s="10"/>
      <c r="BN1000" s="10" t="s">
        <v>667</v>
      </c>
      <c r="BO1000" s="11">
        <v>45877.289583333331</v>
      </c>
      <c r="BP1000" s="11">
        <v>45888.568009259259</v>
      </c>
      <c r="BQ1000" s="15">
        <v>45884.738368055558</v>
      </c>
      <c r="BR1000" s="15">
        <v>45889.695567129631</v>
      </c>
      <c r="BS1000" s="10" t="s">
        <v>667</v>
      </c>
      <c r="BT1000" s="10" t="s">
        <v>99</v>
      </c>
      <c r="BU1000" s="10" t="s">
        <v>534</v>
      </c>
      <c r="BV1000" s="10"/>
      <c r="BW1000" s="10"/>
      <c r="BX1000" s="10"/>
      <c r="BY1000" s="23"/>
      <c r="BZ1000" s="23"/>
      <c r="CA1000" s="19" t="s">
        <v>7956</v>
      </c>
      <c r="CB1000" s="19" t="s">
        <v>7957</v>
      </c>
      <c r="CC1000" s="23"/>
      <c r="CD1000" s="23"/>
      <c r="CE1000" s="23"/>
      <c r="CF1000" s="23"/>
      <c r="CG1000" s="23"/>
      <c r="CH1000" s="23"/>
      <c r="CI1000" s="23"/>
    </row>
    <row r="1001" spans="1:87" x14ac:dyDescent="0.3">
      <c r="A1001" s="9" t="s">
        <v>7958</v>
      </c>
      <c r="B1001" s="10" t="s">
        <v>7959</v>
      </c>
      <c r="C1001" s="11">
        <v>45893</v>
      </c>
      <c r="D1001" s="12">
        <v>8.3333333333333329E-2</v>
      </c>
      <c r="E1001" s="11">
        <v>45893.083333333336</v>
      </c>
      <c r="F1001" s="10" t="s">
        <v>7855</v>
      </c>
      <c r="G1001" s="13" t="b">
        <v>0</v>
      </c>
      <c r="H1001" s="10" t="s">
        <v>7949</v>
      </c>
      <c r="I1001" s="10" t="s">
        <v>89</v>
      </c>
      <c r="J1001" s="13" t="b">
        <v>0</v>
      </c>
      <c r="K1001" s="13" t="b">
        <v>1</v>
      </c>
      <c r="L1001" s="10" t="s">
        <v>124</v>
      </c>
      <c r="M1001" s="10" t="s">
        <v>91</v>
      </c>
      <c r="N1001" s="10" t="s">
        <v>92</v>
      </c>
      <c r="O1001" s="19" t="s">
        <v>7960</v>
      </c>
      <c r="P1001" s="10"/>
      <c r="Q1001" s="10" t="s">
        <v>94</v>
      </c>
      <c r="R1001" s="10"/>
      <c r="S1001" s="19" t="s">
        <v>7961</v>
      </c>
      <c r="T1001" s="19" t="s">
        <v>7952</v>
      </c>
      <c r="U1001" s="10" t="s">
        <v>7962</v>
      </c>
      <c r="V1001" s="10" t="s">
        <v>7859</v>
      </c>
      <c r="W1001" s="10" t="s">
        <v>7860</v>
      </c>
      <c r="X1001" s="10" t="s">
        <v>130</v>
      </c>
      <c r="Y1001" s="10" t="s">
        <v>130</v>
      </c>
      <c r="Z1001" s="10" t="s">
        <v>99</v>
      </c>
      <c r="AA1001" s="10" t="s">
        <v>131</v>
      </c>
      <c r="AB1001" s="10" t="s">
        <v>7861</v>
      </c>
      <c r="AC1001" s="10" t="s">
        <v>7862</v>
      </c>
      <c r="AD1001" s="10" t="s">
        <v>7963</v>
      </c>
      <c r="AE1001" s="10" t="s">
        <v>7964</v>
      </c>
      <c r="AF1001" s="15"/>
      <c r="AG1001" s="10"/>
      <c r="AH1001" s="10"/>
      <c r="AI1001" s="10"/>
      <c r="AJ1001" s="10"/>
      <c r="AK1001" s="10" t="s">
        <v>102</v>
      </c>
      <c r="AL1001" s="10" t="s">
        <v>147</v>
      </c>
      <c r="AM1001" s="10"/>
      <c r="AN1001" s="10"/>
      <c r="AO1001" s="13" t="b">
        <v>0</v>
      </c>
      <c r="AP1001" s="10" t="s">
        <v>104</v>
      </c>
      <c r="AQ1001" s="10">
        <f ca="1">IFERROR(__xludf.DUMMYFUNCTION("""COMPUTED_VALUE"""),4512829)</f>
        <v>4512829</v>
      </c>
      <c r="AR1001" s="17">
        <v>3458</v>
      </c>
      <c r="AS1001" s="17">
        <v>2713</v>
      </c>
      <c r="AT1001" s="17">
        <v>26129</v>
      </c>
      <c r="AU1001" s="17">
        <v>7.2</v>
      </c>
      <c r="AV1001" s="17">
        <v>3.5</v>
      </c>
      <c r="AW1001" s="10" t="s">
        <v>105</v>
      </c>
      <c r="AX1001" s="17">
        <v>595</v>
      </c>
      <c r="AY1001" s="18">
        <v>9.6310357537781055</v>
      </c>
      <c r="AZ1001" s="10" t="s">
        <v>168</v>
      </c>
      <c r="BA1001" s="20" t="b">
        <v>0</v>
      </c>
      <c r="BB1001" s="10"/>
      <c r="BC1001" s="17">
        <v>3458</v>
      </c>
      <c r="BD1001" s="17">
        <v>2713</v>
      </c>
      <c r="BE1001" s="17">
        <v>26129</v>
      </c>
      <c r="BF1001" s="17">
        <v>3.5</v>
      </c>
      <c r="BG1001" s="11">
        <f ca="1">IFERROR(__xludf.DUMMYFUNCTION("""COMPUTED_VALUE"""),45893)</f>
        <v>45893</v>
      </c>
      <c r="BH1001" s="17" t="s">
        <v>105</v>
      </c>
      <c r="BI1001" s="17"/>
      <c r="BJ1001" s="15"/>
      <c r="BK1001" s="15"/>
      <c r="BL1001" s="13" t="b">
        <v>0</v>
      </c>
      <c r="BM1001" s="10"/>
      <c r="BN1001" s="10" t="s">
        <v>667</v>
      </c>
      <c r="BO1001" s="11">
        <v>45877.290231481478</v>
      </c>
      <c r="BP1001" s="11">
        <v>45882.914340277777</v>
      </c>
      <c r="BQ1001" s="15">
        <v>45884.738506944443</v>
      </c>
      <c r="BR1001" s="15">
        <v>45889.694004629629</v>
      </c>
      <c r="BS1001" s="10" t="s">
        <v>667</v>
      </c>
      <c r="BT1001" s="10" t="s">
        <v>99</v>
      </c>
      <c r="BU1001" s="10" t="s">
        <v>718</v>
      </c>
      <c r="BV1001" s="10"/>
      <c r="BW1001" s="10"/>
      <c r="BX1001" s="10"/>
      <c r="BY1001" s="23"/>
      <c r="BZ1001" s="23"/>
      <c r="CA1001" s="19" t="s">
        <v>7965</v>
      </c>
      <c r="CB1001" s="19" t="s">
        <v>7966</v>
      </c>
      <c r="CC1001" s="23"/>
      <c r="CD1001" s="23"/>
      <c r="CE1001" s="23"/>
      <c r="CF1001" s="23"/>
      <c r="CG1001" s="23"/>
      <c r="CH1001" s="23"/>
      <c r="CI1001" s="23"/>
    </row>
    <row r="1002" spans="1:87" x14ac:dyDescent="0.3">
      <c r="A1002" s="25" t="s">
        <v>7967</v>
      </c>
      <c r="B1002" s="10" t="s">
        <v>7968</v>
      </c>
      <c r="C1002" s="11">
        <v>45901</v>
      </c>
      <c r="D1002" s="12">
        <v>8.3333333333333329E-2</v>
      </c>
      <c r="E1002" s="11">
        <v>45901.083333333336</v>
      </c>
      <c r="F1002" s="10" t="s">
        <v>7855</v>
      </c>
      <c r="G1002" s="13" t="b">
        <v>0</v>
      </c>
      <c r="H1002" s="10" t="s">
        <v>3478</v>
      </c>
      <c r="I1002" s="10" t="s">
        <v>89</v>
      </c>
      <c r="J1002" s="13" t="b">
        <v>0</v>
      </c>
      <c r="K1002" s="13" t="b">
        <v>1</v>
      </c>
      <c r="L1002" s="10" t="s">
        <v>124</v>
      </c>
      <c r="M1002" s="10" t="s">
        <v>91</v>
      </c>
      <c r="N1002" s="10" t="s">
        <v>92</v>
      </c>
      <c r="O1002" s="19" t="s">
        <v>7969</v>
      </c>
      <c r="P1002" s="10"/>
      <c r="Q1002" s="10" t="s">
        <v>94</v>
      </c>
      <c r="R1002" s="10"/>
      <c r="S1002" s="19" t="s">
        <v>7970</v>
      </c>
      <c r="T1002" s="19" t="s">
        <v>7971</v>
      </c>
      <c r="U1002" s="10" t="s">
        <v>7972</v>
      </c>
      <c r="V1002" s="10" t="s">
        <v>3582</v>
      </c>
      <c r="W1002" s="10" t="s">
        <v>7860</v>
      </c>
      <c r="X1002" s="10" t="s">
        <v>130</v>
      </c>
      <c r="Y1002" s="10" t="s">
        <v>130</v>
      </c>
      <c r="Z1002" s="10" t="s">
        <v>99</v>
      </c>
      <c r="AA1002" s="10" t="s">
        <v>131</v>
      </c>
      <c r="AB1002" s="10" t="s">
        <v>7861</v>
      </c>
      <c r="AC1002" s="10" t="s">
        <v>7862</v>
      </c>
      <c r="AD1002" s="10" t="s">
        <v>7973</v>
      </c>
      <c r="AE1002" s="10" t="s">
        <v>7974</v>
      </c>
      <c r="AF1002" s="15"/>
      <c r="AG1002" s="10"/>
      <c r="AH1002" s="10"/>
      <c r="AI1002" s="10"/>
      <c r="AJ1002" s="10"/>
      <c r="AK1002" s="10" t="s">
        <v>102</v>
      </c>
      <c r="AL1002" s="10" t="s">
        <v>156</v>
      </c>
      <c r="AM1002" s="10"/>
      <c r="AN1002" s="10"/>
      <c r="AO1002" s="13" t="b">
        <v>0</v>
      </c>
      <c r="AP1002" s="10" t="s">
        <v>104</v>
      </c>
      <c r="AQ1002" s="10">
        <f ca="1">IFERROR(__xludf.DUMMYFUNCTION("""COMPUTED_VALUE"""),4520323)</f>
        <v>4520323</v>
      </c>
      <c r="AR1002" s="17">
        <v>1698</v>
      </c>
      <c r="AS1002" s="17">
        <v>1383</v>
      </c>
      <c r="AT1002" s="17">
        <v>16094.75</v>
      </c>
      <c r="AU1002" s="17">
        <v>0.75</v>
      </c>
      <c r="AV1002" s="17">
        <v>0.25</v>
      </c>
      <c r="AW1002" s="10" t="s">
        <v>105</v>
      </c>
      <c r="AX1002" s="17">
        <v>464</v>
      </c>
      <c r="AY1002" s="18">
        <v>11.637563268257411</v>
      </c>
      <c r="AZ1002" s="10" t="s">
        <v>168</v>
      </c>
      <c r="BA1002" s="20" t="b">
        <v>0</v>
      </c>
      <c r="BB1002" s="10"/>
      <c r="BC1002" s="17">
        <v>1698</v>
      </c>
      <c r="BD1002" s="17">
        <v>1383</v>
      </c>
      <c r="BE1002" s="17">
        <v>16094.75</v>
      </c>
      <c r="BF1002" s="17">
        <v>0.25</v>
      </c>
      <c r="BG1002" s="11">
        <f ca="1">IFERROR(__xludf.DUMMYFUNCTION("""COMPUTED_VALUE"""),45901)</f>
        <v>45901</v>
      </c>
      <c r="BH1002" s="17" t="s">
        <v>105</v>
      </c>
      <c r="BI1002" s="17"/>
      <c r="BJ1002" s="15"/>
      <c r="BK1002" s="15"/>
      <c r="BL1002" s="13" t="b">
        <v>0</v>
      </c>
      <c r="BM1002" s="10"/>
      <c r="BN1002" s="10" t="s">
        <v>197</v>
      </c>
      <c r="BO1002" s="11">
        <v>45877.289583333331</v>
      </c>
      <c r="BP1002" s="11">
        <v>45897.572395833333</v>
      </c>
      <c r="BQ1002" s="15">
        <v>45894.62128472222</v>
      </c>
      <c r="BR1002" s="15">
        <v>45900.364594907405</v>
      </c>
      <c r="BS1002" s="10" t="s">
        <v>197</v>
      </c>
      <c r="BT1002" s="10" t="s">
        <v>99</v>
      </c>
      <c r="BU1002" s="10" t="s">
        <v>456</v>
      </c>
      <c r="BV1002" s="10"/>
      <c r="BW1002" s="10"/>
      <c r="BX1002" s="10"/>
      <c r="BY1002" s="23"/>
      <c r="BZ1002" s="23"/>
      <c r="CA1002" s="19" t="s">
        <v>7975</v>
      </c>
      <c r="CB1002" s="19" t="s">
        <v>7976</v>
      </c>
      <c r="CC1002" s="23"/>
      <c r="CD1002" s="23"/>
      <c r="CE1002" s="23"/>
      <c r="CF1002" s="23"/>
      <c r="CG1002" s="23"/>
      <c r="CH1002" s="23"/>
      <c r="CI1002" s="23"/>
    </row>
    <row r="1003" spans="1:87" x14ac:dyDescent="0.3">
      <c r="A1003" s="9" t="s">
        <v>7977</v>
      </c>
      <c r="B1003" s="10" t="s">
        <v>7978</v>
      </c>
      <c r="C1003" s="11">
        <v>45900.104166666664</v>
      </c>
      <c r="D1003" s="12">
        <v>8.3333333333333329E-2</v>
      </c>
      <c r="E1003" s="11">
        <v>45900.1875</v>
      </c>
      <c r="F1003" s="10" t="s">
        <v>7855</v>
      </c>
      <c r="G1003" s="13" t="b">
        <v>0</v>
      </c>
      <c r="H1003" s="10" t="s">
        <v>7949</v>
      </c>
      <c r="I1003" s="10" t="s">
        <v>89</v>
      </c>
      <c r="J1003" s="13" t="b">
        <v>0</v>
      </c>
      <c r="K1003" s="13" t="b">
        <v>1</v>
      </c>
      <c r="L1003" s="10" t="s">
        <v>124</v>
      </c>
      <c r="M1003" s="10" t="s">
        <v>91</v>
      </c>
      <c r="N1003" s="10" t="s">
        <v>92</v>
      </c>
      <c r="O1003" s="19" t="s">
        <v>7979</v>
      </c>
      <c r="P1003" s="10"/>
      <c r="Q1003" s="10" t="s">
        <v>126</v>
      </c>
      <c r="R1003" s="10"/>
      <c r="S1003" s="19" t="s">
        <v>7980</v>
      </c>
      <c r="T1003" s="19" t="s">
        <v>7971</v>
      </c>
      <c r="U1003" s="10" t="s">
        <v>7859</v>
      </c>
      <c r="V1003" s="10" t="s">
        <v>7870</v>
      </c>
      <c r="W1003" s="10" t="s">
        <v>7860</v>
      </c>
      <c r="X1003" s="10" t="s">
        <v>130</v>
      </c>
      <c r="Y1003" s="10" t="s">
        <v>130</v>
      </c>
      <c r="Z1003" s="10" t="s">
        <v>99</v>
      </c>
      <c r="AA1003" s="10" t="s">
        <v>131</v>
      </c>
      <c r="AB1003" s="10" t="s">
        <v>7861</v>
      </c>
      <c r="AC1003" s="10" t="s">
        <v>7862</v>
      </c>
      <c r="AD1003" s="10" t="s">
        <v>7981</v>
      </c>
      <c r="AE1003" s="10" t="s">
        <v>7982</v>
      </c>
      <c r="AF1003" s="15"/>
      <c r="AG1003" s="10"/>
      <c r="AH1003" s="10"/>
      <c r="AI1003" s="10"/>
      <c r="AJ1003" s="10"/>
      <c r="AK1003" s="10" t="s">
        <v>102</v>
      </c>
      <c r="AL1003" s="10" t="s">
        <v>156</v>
      </c>
      <c r="AM1003" s="10"/>
      <c r="AN1003" s="10"/>
      <c r="AO1003" s="13" t="b">
        <v>0</v>
      </c>
      <c r="AP1003" s="10" t="s">
        <v>104</v>
      </c>
      <c r="AQ1003" s="10">
        <f ca="1">IFERROR(__xludf.DUMMYFUNCTION("""COMPUTED_VALUE"""),4525585)</f>
        <v>4525585</v>
      </c>
      <c r="AR1003" s="17">
        <v>2454</v>
      </c>
      <c r="AS1003" s="17">
        <v>1897</v>
      </c>
      <c r="AT1003" s="17">
        <v>21023.5</v>
      </c>
      <c r="AU1003" s="17">
        <v>1.55</v>
      </c>
      <c r="AV1003" s="17">
        <v>1</v>
      </c>
      <c r="AW1003" s="10" t="s">
        <v>105</v>
      </c>
      <c r="AX1003" s="17">
        <v>582</v>
      </c>
      <c r="AY1003" s="18">
        <v>11.082498682129678</v>
      </c>
      <c r="AZ1003" s="10" t="s">
        <v>168</v>
      </c>
      <c r="BA1003" s="20" t="b">
        <v>0</v>
      </c>
      <c r="BB1003" s="10"/>
      <c r="BC1003" s="17">
        <v>2454</v>
      </c>
      <c r="BD1003" s="17">
        <v>1897</v>
      </c>
      <c r="BE1003" s="17">
        <v>21023.5</v>
      </c>
      <c r="BF1003" s="17">
        <v>1</v>
      </c>
      <c r="BG1003" s="11">
        <f ca="1">IFERROR(__xludf.DUMMYFUNCTION("""COMPUTED_VALUE"""),45900.1041666666)</f>
        <v>45900.104166666599</v>
      </c>
      <c r="BH1003" s="17" t="s">
        <v>105</v>
      </c>
      <c r="BI1003" s="17"/>
      <c r="BJ1003" s="15"/>
      <c r="BK1003" s="15"/>
      <c r="BL1003" s="13" t="b">
        <v>0</v>
      </c>
      <c r="BM1003" s="10"/>
      <c r="BN1003" s="10" t="s">
        <v>197</v>
      </c>
      <c r="BO1003" s="11">
        <v>45877.289583333331</v>
      </c>
      <c r="BP1003" s="11">
        <v>45889.696701388886</v>
      </c>
      <c r="BQ1003" s="15">
        <v>45894.624039351853</v>
      </c>
      <c r="BR1003" s="15">
        <v>45895.428912037038</v>
      </c>
      <c r="BS1003" s="10" t="s">
        <v>197</v>
      </c>
      <c r="BT1003" s="10" t="s">
        <v>99</v>
      </c>
      <c r="BU1003" s="10" t="s">
        <v>718</v>
      </c>
      <c r="BV1003" s="10"/>
      <c r="BW1003" s="10"/>
      <c r="BX1003" s="10"/>
      <c r="BY1003" s="23"/>
      <c r="BZ1003" s="23"/>
      <c r="CA1003" s="19" t="s">
        <v>7983</v>
      </c>
      <c r="CB1003" s="19" t="s">
        <v>7984</v>
      </c>
      <c r="CC1003" s="23"/>
      <c r="CD1003" s="19" t="s">
        <v>7985</v>
      </c>
      <c r="CE1003" s="23"/>
      <c r="CF1003" s="23"/>
      <c r="CG1003" s="23"/>
      <c r="CH1003" s="23"/>
      <c r="CI1003" s="23"/>
    </row>
    <row r="1004" spans="1:87" x14ac:dyDescent="0.3">
      <c r="A1004" s="9" t="s">
        <v>7986</v>
      </c>
      <c r="B1004" s="10" t="s">
        <v>7987</v>
      </c>
      <c r="C1004" s="11">
        <v>45914.104166666664</v>
      </c>
      <c r="D1004" s="12">
        <v>8.3333333333333329E-2</v>
      </c>
      <c r="E1004" s="11">
        <v>45914.1875</v>
      </c>
      <c r="F1004" s="10" t="s">
        <v>7855</v>
      </c>
      <c r="G1004" s="13" t="b">
        <v>0</v>
      </c>
      <c r="H1004" s="10" t="s">
        <v>3478</v>
      </c>
      <c r="I1004" s="10" t="s">
        <v>89</v>
      </c>
      <c r="J1004" s="13" t="b">
        <v>0</v>
      </c>
      <c r="K1004" s="13" t="b">
        <v>1</v>
      </c>
      <c r="L1004" s="10" t="s">
        <v>124</v>
      </c>
      <c r="M1004" s="10" t="s">
        <v>91</v>
      </c>
      <c r="N1004" s="10" t="s">
        <v>92</v>
      </c>
      <c r="O1004" s="19" t="s">
        <v>7988</v>
      </c>
      <c r="P1004" s="10"/>
      <c r="Q1004" s="10" t="s">
        <v>94</v>
      </c>
      <c r="R1004" s="10"/>
      <c r="S1004" s="19" t="s">
        <v>7989</v>
      </c>
      <c r="T1004" s="19" t="s">
        <v>7990</v>
      </c>
      <c r="U1004" s="10" t="s">
        <v>7991</v>
      </c>
      <c r="V1004" s="10" t="s">
        <v>7859</v>
      </c>
      <c r="W1004" s="10" t="s">
        <v>7860</v>
      </c>
      <c r="X1004" s="10" t="s">
        <v>130</v>
      </c>
      <c r="Y1004" s="10" t="s">
        <v>130</v>
      </c>
      <c r="Z1004" s="10" t="s">
        <v>99</v>
      </c>
      <c r="AA1004" s="10" t="s">
        <v>131</v>
      </c>
      <c r="AB1004" s="10" t="s">
        <v>7861</v>
      </c>
      <c r="AC1004" s="10" t="s">
        <v>7862</v>
      </c>
      <c r="AD1004" s="10" t="s">
        <v>7992</v>
      </c>
      <c r="AE1004" s="10" t="s">
        <v>7993</v>
      </c>
      <c r="AF1004" s="15"/>
      <c r="AG1004" s="10"/>
      <c r="AH1004" s="10"/>
      <c r="AI1004" s="10"/>
      <c r="AJ1004" s="10"/>
      <c r="AK1004" s="10" t="s">
        <v>102</v>
      </c>
      <c r="AL1004" s="10" t="s">
        <v>167</v>
      </c>
      <c r="AM1004" s="10"/>
      <c r="AN1004" s="10"/>
      <c r="AO1004" s="13" t="b">
        <v>0</v>
      </c>
      <c r="AP1004" s="10" t="s">
        <v>104</v>
      </c>
      <c r="AQ1004" s="10">
        <f ca="1">IFERROR(__xludf.DUMMYFUNCTION("""COMPUTED_VALUE"""),4564945)</f>
        <v>4564945</v>
      </c>
      <c r="AR1004" s="17">
        <v>2081</v>
      </c>
      <c r="AS1004" s="17">
        <v>1660</v>
      </c>
      <c r="AT1004" s="17">
        <v>31467.5</v>
      </c>
      <c r="AU1004" s="17">
        <v>2.8</v>
      </c>
      <c r="AV1004" s="17">
        <v>1</v>
      </c>
      <c r="AW1004" s="10" t="s">
        <v>105</v>
      </c>
      <c r="AX1004" s="17">
        <v>723</v>
      </c>
      <c r="AY1004" s="18">
        <v>18.956325301204821</v>
      </c>
      <c r="AZ1004" s="10" t="s">
        <v>168</v>
      </c>
      <c r="BA1004" s="20" t="b">
        <v>0</v>
      </c>
      <c r="BB1004" s="10"/>
      <c r="BC1004" s="17">
        <v>2081</v>
      </c>
      <c r="BD1004" s="17">
        <v>1660</v>
      </c>
      <c r="BE1004" s="17">
        <v>31467.5</v>
      </c>
      <c r="BF1004" s="17">
        <v>1</v>
      </c>
      <c r="BG1004" s="11">
        <f ca="1">IFERROR(__xludf.DUMMYFUNCTION("""COMPUTED_VALUE"""),45914.1041666666)</f>
        <v>45914.104166666599</v>
      </c>
      <c r="BH1004" s="17" t="s">
        <v>105</v>
      </c>
      <c r="BI1004" s="17"/>
      <c r="BJ1004" s="15"/>
      <c r="BK1004" s="15"/>
      <c r="BL1004" s="13" t="b">
        <v>0</v>
      </c>
      <c r="BM1004" s="10"/>
      <c r="BN1004" s="10" t="s">
        <v>455</v>
      </c>
      <c r="BO1004" s="11">
        <v>45877.289583333331</v>
      </c>
      <c r="BP1004" s="11">
        <v>45911.481435185182</v>
      </c>
      <c r="BQ1004" s="15">
        <v>45911.589097222219</v>
      </c>
      <c r="BR1004" s="15">
        <v>45911.659004629626</v>
      </c>
      <c r="BS1004" s="10" t="s">
        <v>455</v>
      </c>
      <c r="BT1004" s="10" t="s">
        <v>99</v>
      </c>
      <c r="BU1004" s="10" t="s">
        <v>521</v>
      </c>
      <c r="BV1004" s="10"/>
      <c r="BW1004" s="10"/>
      <c r="BX1004" s="10"/>
      <c r="BY1004" s="23"/>
      <c r="BZ1004" s="23"/>
      <c r="CA1004" s="19" t="s">
        <v>7994</v>
      </c>
      <c r="CB1004" s="19" t="s">
        <v>7995</v>
      </c>
      <c r="CC1004" s="23"/>
      <c r="CD1004" s="23"/>
      <c r="CE1004" s="23"/>
      <c r="CF1004" s="23"/>
      <c r="CG1004" s="23"/>
      <c r="CH1004" s="23"/>
      <c r="CI1004" s="23"/>
    </row>
    <row r="1005" spans="1:87" x14ac:dyDescent="0.3">
      <c r="A1005" s="9" t="s">
        <v>7996</v>
      </c>
      <c r="B1005" s="10" t="s">
        <v>7997</v>
      </c>
      <c r="C1005" s="11">
        <v>45913.09375</v>
      </c>
      <c r="D1005" s="12">
        <v>8.3333333333333329E-2</v>
      </c>
      <c r="E1005" s="11">
        <v>45913.177083333336</v>
      </c>
      <c r="F1005" s="10" t="s">
        <v>7855</v>
      </c>
      <c r="G1005" s="13" t="b">
        <v>0</v>
      </c>
      <c r="H1005" s="10" t="s">
        <v>3478</v>
      </c>
      <c r="I1005" s="10" t="s">
        <v>89</v>
      </c>
      <c r="J1005" s="13" t="b">
        <v>0</v>
      </c>
      <c r="K1005" s="13" t="b">
        <v>1</v>
      </c>
      <c r="L1005" s="10" t="s">
        <v>124</v>
      </c>
      <c r="M1005" s="10" t="s">
        <v>91</v>
      </c>
      <c r="N1005" s="10" t="s">
        <v>92</v>
      </c>
      <c r="O1005" s="19" t="s">
        <v>7998</v>
      </c>
      <c r="P1005" s="10"/>
      <c r="Q1005" s="10" t="s">
        <v>94</v>
      </c>
      <c r="R1005" s="10"/>
      <c r="S1005" s="19" t="s">
        <v>7999</v>
      </c>
      <c r="T1005" s="19" t="s">
        <v>7990</v>
      </c>
      <c r="U1005" s="10" t="s">
        <v>3582</v>
      </c>
      <c r="V1005" s="10" t="s">
        <v>8000</v>
      </c>
      <c r="W1005" s="10" t="s">
        <v>7860</v>
      </c>
      <c r="X1005" s="10" t="s">
        <v>130</v>
      </c>
      <c r="Y1005" s="10" t="s">
        <v>130</v>
      </c>
      <c r="Z1005" s="10" t="s">
        <v>99</v>
      </c>
      <c r="AA1005" s="10" t="s">
        <v>131</v>
      </c>
      <c r="AB1005" s="10" t="s">
        <v>7861</v>
      </c>
      <c r="AC1005" s="10" t="s">
        <v>7862</v>
      </c>
      <c r="AD1005" s="10" t="s">
        <v>8001</v>
      </c>
      <c r="AE1005" s="10" t="s">
        <v>8002</v>
      </c>
      <c r="AF1005" s="15"/>
      <c r="AG1005" s="10"/>
      <c r="AH1005" s="10"/>
      <c r="AI1005" s="10"/>
      <c r="AJ1005" s="10"/>
      <c r="AK1005" s="10" t="s">
        <v>102</v>
      </c>
      <c r="AL1005" s="10" t="s">
        <v>167</v>
      </c>
      <c r="AM1005" s="10"/>
      <c r="AN1005" s="10"/>
      <c r="AO1005" s="13" t="b">
        <v>0</v>
      </c>
      <c r="AP1005" s="10" t="s">
        <v>104</v>
      </c>
      <c r="AQ1005" s="10">
        <f ca="1">IFERROR(__xludf.DUMMYFUNCTION("""COMPUTED_VALUE"""),4564944)</f>
        <v>4564944</v>
      </c>
      <c r="AR1005" s="17">
        <v>1931</v>
      </c>
      <c r="AS1005" s="17">
        <v>1455</v>
      </c>
      <c r="AT1005" s="17">
        <v>31081.75</v>
      </c>
      <c r="AU1005" s="17">
        <v>1.55</v>
      </c>
      <c r="AV1005" s="17">
        <v>0.65</v>
      </c>
      <c r="AW1005" s="10" t="s">
        <v>105</v>
      </c>
      <c r="AX1005" s="17">
        <v>650</v>
      </c>
      <c r="AY1005" s="18">
        <v>21.362027491408934</v>
      </c>
      <c r="AZ1005" s="10" t="s">
        <v>168</v>
      </c>
      <c r="BA1005" s="20" t="b">
        <v>0</v>
      </c>
      <c r="BB1005" s="10"/>
      <c r="BC1005" s="17">
        <v>1931</v>
      </c>
      <c r="BD1005" s="17">
        <v>1455</v>
      </c>
      <c r="BE1005" s="17">
        <v>31081.75</v>
      </c>
      <c r="BF1005" s="17">
        <v>0.65</v>
      </c>
      <c r="BG1005" s="11">
        <f ca="1">IFERROR(__xludf.DUMMYFUNCTION("""COMPUTED_VALUE"""),45913.09375)</f>
        <v>45913.09375</v>
      </c>
      <c r="BH1005" s="17" t="s">
        <v>105</v>
      </c>
      <c r="BI1005" s="17"/>
      <c r="BJ1005" s="15"/>
      <c r="BK1005" s="15"/>
      <c r="BL1005" s="13" t="b">
        <v>0</v>
      </c>
      <c r="BM1005" s="10"/>
      <c r="BN1005" s="10" t="s">
        <v>197</v>
      </c>
      <c r="BO1005" s="11">
        <v>45877.289583333331</v>
      </c>
      <c r="BP1005" s="11">
        <v>45911.481249999997</v>
      </c>
      <c r="BQ1005" s="15">
        <v>45911.588576388887</v>
      </c>
      <c r="BR1005" s="15">
        <v>45911.598564814813</v>
      </c>
      <c r="BS1005" s="10" t="s">
        <v>197</v>
      </c>
      <c r="BT1005" s="10" t="s">
        <v>99</v>
      </c>
      <c r="BU1005" s="10" t="s">
        <v>655</v>
      </c>
      <c r="BV1005" s="10"/>
      <c r="BW1005" s="10"/>
      <c r="BX1005" s="10"/>
      <c r="BY1005" s="23"/>
      <c r="BZ1005" s="23"/>
      <c r="CA1005" s="19" t="s">
        <v>8003</v>
      </c>
      <c r="CB1005" s="19" t="s">
        <v>8004</v>
      </c>
      <c r="CC1005" s="23"/>
      <c r="CD1005" s="23"/>
      <c r="CE1005" s="23"/>
      <c r="CF1005" s="23"/>
      <c r="CG1005" s="23"/>
      <c r="CH1005" s="23"/>
      <c r="CI1005" s="23"/>
    </row>
    <row r="1006" spans="1:87" x14ac:dyDescent="0.3">
      <c r="A1006" s="9" t="s">
        <v>8005</v>
      </c>
      <c r="B1006" s="10" t="s">
        <v>8006</v>
      </c>
      <c r="C1006" s="11">
        <v>45921</v>
      </c>
      <c r="D1006" s="12">
        <v>8.3333333333333329E-2</v>
      </c>
      <c r="E1006" s="11">
        <v>45921.083333333336</v>
      </c>
      <c r="F1006" s="10" t="s">
        <v>7855</v>
      </c>
      <c r="G1006" s="13" t="b">
        <v>0</v>
      </c>
      <c r="H1006" s="10" t="s">
        <v>7949</v>
      </c>
      <c r="I1006" s="10" t="s">
        <v>89</v>
      </c>
      <c r="J1006" s="13" t="b">
        <v>0</v>
      </c>
      <c r="K1006" s="13" t="b">
        <v>1</v>
      </c>
      <c r="L1006" s="10" t="s">
        <v>124</v>
      </c>
      <c r="M1006" s="10" t="s">
        <v>91</v>
      </c>
      <c r="N1006" s="10" t="s">
        <v>92</v>
      </c>
      <c r="O1006" s="19" t="s">
        <v>8007</v>
      </c>
      <c r="P1006" s="10"/>
      <c r="Q1006" s="10" t="s">
        <v>94</v>
      </c>
      <c r="R1006" s="10"/>
      <c r="S1006" s="19" t="s">
        <v>8008</v>
      </c>
      <c r="T1006" s="19" t="s">
        <v>8009</v>
      </c>
      <c r="U1006" s="10" t="s">
        <v>8010</v>
      </c>
      <c r="V1006" s="10" t="s">
        <v>3582</v>
      </c>
      <c r="W1006" s="10" t="s">
        <v>7860</v>
      </c>
      <c r="X1006" s="10" t="s">
        <v>130</v>
      </c>
      <c r="Y1006" s="10" t="s">
        <v>130</v>
      </c>
      <c r="Z1006" s="10" t="s">
        <v>99</v>
      </c>
      <c r="AA1006" s="10" t="s">
        <v>131</v>
      </c>
      <c r="AB1006" s="10" t="s">
        <v>7861</v>
      </c>
      <c r="AC1006" s="10" t="s">
        <v>7862</v>
      </c>
      <c r="AD1006" s="10" t="s">
        <v>8011</v>
      </c>
      <c r="AE1006" s="10" t="s">
        <v>8012</v>
      </c>
      <c r="AF1006" s="15"/>
      <c r="AG1006" s="10"/>
      <c r="AH1006" s="10"/>
      <c r="AI1006" s="10"/>
      <c r="AJ1006" s="10"/>
      <c r="AK1006" s="10" t="s">
        <v>102</v>
      </c>
      <c r="AL1006" s="10" t="s">
        <v>176</v>
      </c>
      <c r="AM1006" s="10"/>
      <c r="AN1006" s="10"/>
      <c r="AO1006" s="13" t="b">
        <v>0</v>
      </c>
      <c r="AP1006" s="10" t="s">
        <v>104</v>
      </c>
      <c r="AQ1006" s="10">
        <f ca="1">IFERROR(__xludf.DUMMYFUNCTION("""COMPUTED_VALUE"""),4578418)</f>
        <v>4578418</v>
      </c>
      <c r="AR1006" s="17">
        <v>4840</v>
      </c>
      <c r="AS1006" s="17">
        <v>4122</v>
      </c>
      <c r="AT1006" s="17">
        <v>24122.75</v>
      </c>
      <c r="AU1006" s="17">
        <v>15.4</v>
      </c>
      <c r="AV1006" s="17">
        <v>9.4</v>
      </c>
      <c r="AW1006" s="10" t="s">
        <v>105</v>
      </c>
      <c r="AX1006" s="17">
        <v>842</v>
      </c>
      <c r="AY1006" s="18">
        <v>5.8521955361475015</v>
      </c>
      <c r="AZ1006" s="10" t="s">
        <v>168</v>
      </c>
      <c r="BA1006" s="20" t="b">
        <v>0</v>
      </c>
      <c r="BB1006" s="10"/>
      <c r="BC1006" s="17">
        <v>4840</v>
      </c>
      <c r="BD1006" s="17">
        <v>4122</v>
      </c>
      <c r="BE1006" s="17">
        <v>24122.75</v>
      </c>
      <c r="BF1006" s="17">
        <v>9.4</v>
      </c>
      <c r="BG1006" s="11">
        <f ca="1">IFERROR(__xludf.DUMMYFUNCTION("""COMPUTED_VALUE"""),45921)</f>
        <v>45921</v>
      </c>
      <c r="BH1006" s="17" t="s">
        <v>105</v>
      </c>
      <c r="BI1006" s="17"/>
      <c r="BJ1006" s="15"/>
      <c r="BK1006" s="15"/>
      <c r="BL1006" s="13" t="b">
        <v>0</v>
      </c>
      <c r="BM1006" s="10"/>
      <c r="BN1006" s="10" t="s">
        <v>634</v>
      </c>
      <c r="BO1006" s="11">
        <v>45877.289583333331</v>
      </c>
      <c r="BP1006" s="11">
        <v>45915.507685185185</v>
      </c>
      <c r="BQ1006" s="15">
        <v>45917.586493055554</v>
      </c>
      <c r="BR1006" s="15">
        <v>45917.709039351852</v>
      </c>
      <c r="BS1006" s="10" t="s">
        <v>634</v>
      </c>
      <c r="BT1006" s="10" t="s">
        <v>99</v>
      </c>
      <c r="BU1006" s="10" t="s">
        <v>8013</v>
      </c>
      <c r="BV1006" s="10"/>
      <c r="BW1006" s="10"/>
      <c r="BX1006" s="10"/>
      <c r="BY1006" s="23"/>
      <c r="BZ1006" s="23"/>
      <c r="CA1006" s="19" t="s">
        <v>8014</v>
      </c>
      <c r="CB1006" s="19" t="s">
        <v>8015</v>
      </c>
      <c r="CC1006" s="23"/>
      <c r="CD1006" s="23"/>
      <c r="CE1006" s="23"/>
      <c r="CF1006" s="23"/>
      <c r="CG1006" s="23"/>
      <c r="CH1006" s="23"/>
      <c r="CI1006" s="23"/>
    </row>
    <row r="1007" spans="1:87" x14ac:dyDescent="0.3">
      <c r="A1007" s="9" t="s">
        <v>8016</v>
      </c>
      <c r="B1007" s="10" t="s">
        <v>8017</v>
      </c>
      <c r="C1007" s="11">
        <v>45923.09375</v>
      </c>
      <c r="D1007" s="12">
        <v>8.3333333333333329E-2</v>
      </c>
      <c r="E1007" s="11">
        <v>45923.177083333336</v>
      </c>
      <c r="F1007" s="10" t="s">
        <v>7855</v>
      </c>
      <c r="G1007" s="13" t="b">
        <v>0</v>
      </c>
      <c r="H1007" s="10" t="s">
        <v>3478</v>
      </c>
      <c r="I1007" s="10" t="s">
        <v>89</v>
      </c>
      <c r="J1007" s="13" t="b">
        <v>0</v>
      </c>
      <c r="K1007" s="13" t="b">
        <v>1</v>
      </c>
      <c r="L1007" s="10" t="s">
        <v>124</v>
      </c>
      <c r="M1007" s="10" t="s">
        <v>91</v>
      </c>
      <c r="N1007" s="10" t="s">
        <v>92</v>
      </c>
      <c r="O1007" s="19" t="s">
        <v>8018</v>
      </c>
      <c r="P1007" s="10"/>
      <c r="Q1007" s="10" t="s">
        <v>94</v>
      </c>
      <c r="R1007" s="10"/>
      <c r="S1007" s="19" t="s">
        <v>8019</v>
      </c>
      <c r="T1007" s="19" t="s">
        <v>8009</v>
      </c>
      <c r="U1007" s="10" t="s">
        <v>7859</v>
      </c>
      <c r="V1007" s="10" t="s">
        <v>8020</v>
      </c>
      <c r="W1007" s="10" t="s">
        <v>7860</v>
      </c>
      <c r="X1007" s="10" t="s">
        <v>130</v>
      </c>
      <c r="Y1007" s="10" t="s">
        <v>130</v>
      </c>
      <c r="Z1007" s="10" t="s">
        <v>99</v>
      </c>
      <c r="AA1007" s="10" t="s">
        <v>131</v>
      </c>
      <c r="AB1007" s="10" t="s">
        <v>7861</v>
      </c>
      <c r="AC1007" s="10" t="s">
        <v>7862</v>
      </c>
      <c r="AD1007" s="10" t="s">
        <v>8021</v>
      </c>
      <c r="AE1007" s="10" t="s">
        <v>8022</v>
      </c>
      <c r="AF1007" s="15"/>
      <c r="AG1007" s="10"/>
      <c r="AH1007" s="10"/>
      <c r="AI1007" s="10"/>
      <c r="AJ1007" s="10"/>
      <c r="AK1007" s="10" t="s">
        <v>102</v>
      </c>
      <c r="AL1007" s="10" t="s">
        <v>176</v>
      </c>
      <c r="AM1007" s="10"/>
      <c r="AN1007" s="10"/>
      <c r="AO1007" s="13" t="b">
        <v>0</v>
      </c>
      <c r="AP1007" s="10" t="s">
        <v>104</v>
      </c>
      <c r="AQ1007" s="10">
        <f ca="1">IFERROR(__xludf.DUMMYFUNCTION("""COMPUTED_VALUE"""),4587742)</f>
        <v>4587742</v>
      </c>
      <c r="AR1007" s="17">
        <v>3286</v>
      </c>
      <c r="AS1007" s="17">
        <v>2232</v>
      </c>
      <c r="AT1007" s="17">
        <v>52421.25</v>
      </c>
      <c r="AU1007" s="17">
        <v>2.5499999999999998</v>
      </c>
      <c r="AV1007" s="17">
        <v>0</v>
      </c>
      <c r="AW1007" s="10" t="s">
        <v>105</v>
      </c>
      <c r="AX1007" s="17">
        <v>738</v>
      </c>
      <c r="AY1007" s="18">
        <v>23.486223118279568</v>
      </c>
      <c r="AZ1007" s="10" t="s">
        <v>168</v>
      </c>
      <c r="BA1007" s="20" t="b">
        <v>0</v>
      </c>
      <c r="BB1007" s="10"/>
      <c r="BC1007" s="17">
        <v>3286</v>
      </c>
      <c r="BD1007" s="17">
        <v>2232</v>
      </c>
      <c r="BE1007" s="17">
        <v>52421.25</v>
      </c>
      <c r="BF1007" s="17">
        <v>0</v>
      </c>
      <c r="BG1007" s="11">
        <f ca="1">IFERROR(__xludf.DUMMYFUNCTION("""COMPUTED_VALUE"""),45923.09375)</f>
        <v>45923.09375</v>
      </c>
      <c r="BH1007" s="17" t="s">
        <v>105</v>
      </c>
      <c r="BI1007" s="17"/>
      <c r="BJ1007" s="15"/>
      <c r="BK1007" s="15"/>
      <c r="BL1007" s="13" t="b">
        <v>0</v>
      </c>
      <c r="BM1007" s="10"/>
      <c r="BN1007" s="10" t="s">
        <v>197</v>
      </c>
      <c r="BO1007" s="11">
        <v>45877.289583333331</v>
      </c>
      <c r="BP1007" s="11">
        <v>45921.484074074076</v>
      </c>
      <c r="BQ1007" s="15">
        <v>45917.586747685185</v>
      </c>
      <c r="BR1007" s="15">
        <v>45921.73232638889</v>
      </c>
      <c r="BS1007" s="10" t="s">
        <v>197</v>
      </c>
      <c r="BT1007" s="10" t="s">
        <v>279</v>
      </c>
      <c r="BU1007" s="10" t="s">
        <v>280</v>
      </c>
      <c r="BV1007" s="10"/>
      <c r="BW1007" s="10"/>
      <c r="BX1007" s="10"/>
      <c r="BY1007" s="23"/>
      <c r="BZ1007" s="23"/>
      <c r="CA1007" s="19" t="s">
        <v>8023</v>
      </c>
      <c r="CB1007" s="19" t="s">
        <v>8024</v>
      </c>
      <c r="CC1007" s="23"/>
      <c r="CD1007" s="23"/>
      <c r="CE1007" s="23"/>
      <c r="CF1007" s="23"/>
      <c r="CG1007" s="23"/>
      <c r="CH1007" s="23"/>
      <c r="CI1007" s="23"/>
    </row>
    <row r="1008" spans="1:87" x14ac:dyDescent="0.3">
      <c r="A1008" s="9" t="s">
        <v>8025</v>
      </c>
      <c r="B1008" s="10" t="s">
        <v>8026</v>
      </c>
      <c r="C1008" s="11">
        <v>45924.09375</v>
      </c>
      <c r="D1008" s="12">
        <v>8.3333333333333329E-2</v>
      </c>
      <c r="E1008" s="11">
        <v>45924.177083333336</v>
      </c>
      <c r="F1008" s="10" t="s">
        <v>7855</v>
      </c>
      <c r="G1008" s="13" t="b">
        <v>0</v>
      </c>
      <c r="H1008" s="10" t="s">
        <v>7949</v>
      </c>
      <c r="I1008" s="10" t="s">
        <v>89</v>
      </c>
      <c r="J1008" s="13" t="b">
        <v>0</v>
      </c>
      <c r="K1008" s="13" t="b">
        <v>1</v>
      </c>
      <c r="L1008" s="10" t="s">
        <v>124</v>
      </c>
      <c r="M1008" s="10" t="s">
        <v>91</v>
      </c>
      <c r="N1008" s="10" t="s">
        <v>92</v>
      </c>
      <c r="O1008" s="10"/>
      <c r="P1008" s="10"/>
      <c r="Q1008" s="10" t="s">
        <v>94</v>
      </c>
      <c r="R1008" s="10"/>
      <c r="S1008" s="10"/>
      <c r="T1008" s="10"/>
      <c r="U1008" s="10" t="s">
        <v>3582</v>
      </c>
      <c r="V1008" s="10" t="s">
        <v>8027</v>
      </c>
      <c r="W1008" s="10" t="s">
        <v>7860</v>
      </c>
      <c r="X1008" s="10" t="s">
        <v>130</v>
      </c>
      <c r="Y1008" s="10" t="s">
        <v>130</v>
      </c>
      <c r="Z1008" s="10" t="s">
        <v>99</v>
      </c>
      <c r="AA1008" s="10" t="s">
        <v>131</v>
      </c>
      <c r="AB1008" s="10" t="s">
        <v>7861</v>
      </c>
      <c r="AC1008" s="10" t="s">
        <v>7862</v>
      </c>
      <c r="AD1008" s="10" t="s">
        <v>8028</v>
      </c>
      <c r="AE1008" s="10" t="s">
        <v>8029</v>
      </c>
      <c r="AF1008" s="15"/>
      <c r="AG1008" s="10"/>
      <c r="AH1008" s="10"/>
      <c r="AI1008" s="10"/>
      <c r="AJ1008" s="10"/>
      <c r="AK1008" s="10" t="s">
        <v>256</v>
      </c>
      <c r="AL1008" s="10" t="s">
        <v>103</v>
      </c>
      <c r="AM1008" s="10"/>
      <c r="AN1008" s="10"/>
      <c r="AO1008" s="13" t="b">
        <v>0</v>
      </c>
      <c r="AP1008" s="10" t="s">
        <v>104</v>
      </c>
      <c r="AQ1008" s="10"/>
      <c r="AR1008" s="17"/>
      <c r="AS1008" s="17"/>
      <c r="AT1008" s="17"/>
      <c r="AU1008" s="17"/>
      <c r="AV1008" s="17"/>
      <c r="AW1008" s="10"/>
      <c r="AX1008" s="17"/>
      <c r="AY1008" s="18" t="s">
        <v>257</v>
      </c>
      <c r="AZ1008" s="10"/>
      <c r="BA1008" s="20" t="b">
        <v>0</v>
      </c>
      <c r="BB1008" s="10"/>
      <c r="BC1008" s="17" t="s">
        <v>257</v>
      </c>
      <c r="BD1008" s="17" t="s">
        <v>257</v>
      </c>
      <c r="BE1008" s="17" t="s">
        <v>257</v>
      </c>
      <c r="BF1008" s="17" t="s">
        <v>257</v>
      </c>
      <c r="BG1008" s="11">
        <f ca="1">IFERROR(__xludf.DUMMYFUNCTION("""COMPUTED_VALUE"""),45924.09375)</f>
        <v>45924.09375</v>
      </c>
      <c r="BH1008" s="17"/>
      <c r="BI1008" s="17"/>
      <c r="BJ1008" s="15"/>
      <c r="BK1008" s="15"/>
      <c r="BL1008" s="13" t="b">
        <v>0</v>
      </c>
      <c r="BM1008" s="10"/>
      <c r="BN1008" s="10" t="s">
        <v>5685</v>
      </c>
      <c r="BO1008" s="11">
        <v>45877.289583333331</v>
      </c>
      <c r="BP1008" s="11">
        <v>45915.511504629627</v>
      </c>
      <c r="BQ1008" s="15"/>
      <c r="BR1008" s="15"/>
      <c r="BS1008" s="10"/>
      <c r="BT1008" s="10"/>
      <c r="BU1008" s="10"/>
      <c r="BV1008" s="10"/>
      <c r="BW1008" s="10"/>
      <c r="BX1008" s="10"/>
      <c r="BY1008" s="23"/>
      <c r="BZ1008" s="23"/>
      <c r="CA1008" s="23"/>
      <c r="CB1008" s="23"/>
      <c r="CC1008" s="23"/>
      <c r="CD1008" s="23"/>
      <c r="CE1008" s="23"/>
      <c r="CF1008" s="23"/>
      <c r="CG1008" s="23"/>
      <c r="CH1008" s="23"/>
      <c r="CI1008" s="23"/>
    </row>
    <row r="1009" spans="1:87" x14ac:dyDescent="0.3">
      <c r="A1009" s="9" t="s">
        <v>8030</v>
      </c>
      <c r="B1009" s="10" t="s">
        <v>8031</v>
      </c>
      <c r="C1009" s="11">
        <v>45928.104166666664</v>
      </c>
      <c r="D1009" s="12">
        <v>8.3333333333333329E-2</v>
      </c>
      <c r="E1009" s="11">
        <v>45928.1875</v>
      </c>
      <c r="F1009" s="10" t="s">
        <v>7855</v>
      </c>
      <c r="G1009" s="13" t="b">
        <v>0</v>
      </c>
      <c r="H1009" s="10" t="s">
        <v>3478</v>
      </c>
      <c r="I1009" s="10" t="s">
        <v>89</v>
      </c>
      <c r="J1009" s="13" t="b">
        <v>0</v>
      </c>
      <c r="K1009" s="13" t="b">
        <v>1</v>
      </c>
      <c r="L1009" s="10" t="s">
        <v>124</v>
      </c>
      <c r="M1009" s="10" t="s">
        <v>91</v>
      </c>
      <c r="N1009" s="10" t="s">
        <v>92</v>
      </c>
      <c r="O1009" s="19" t="s">
        <v>8032</v>
      </c>
      <c r="P1009" s="10"/>
      <c r="Q1009" s="10" t="s">
        <v>94</v>
      </c>
      <c r="R1009" s="10"/>
      <c r="S1009" s="19" t="s">
        <v>8033</v>
      </c>
      <c r="T1009" s="19" t="s">
        <v>8034</v>
      </c>
      <c r="U1009" s="10" t="s">
        <v>8035</v>
      </c>
      <c r="V1009" s="10" t="s">
        <v>7859</v>
      </c>
      <c r="W1009" s="10" t="s">
        <v>7860</v>
      </c>
      <c r="X1009" s="10" t="s">
        <v>130</v>
      </c>
      <c r="Y1009" s="10" t="s">
        <v>130</v>
      </c>
      <c r="Z1009" s="10" t="s">
        <v>99</v>
      </c>
      <c r="AA1009" s="10" t="s">
        <v>131</v>
      </c>
      <c r="AB1009" s="10" t="s">
        <v>7861</v>
      </c>
      <c r="AC1009" s="10" t="s">
        <v>7862</v>
      </c>
      <c r="AD1009" s="10" t="s">
        <v>8036</v>
      </c>
      <c r="AE1009" s="10" t="s">
        <v>8037</v>
      </c>
      <c r="AF1009" s="15"/>
      <c r="AG1009" s="10"/>
      <c r="AH1009" s="10"/>
      <c r="AI1009" s="10"/>
      <c r="AJ1009" s="10"/>
      <c r="AK1009" s="10" t="s">
        <v>102</v>
      </c>
      <c r="AL1009" s="10" t="s">
        <v>184</v>
      </c>
      <c r="AM1009" s="10"/>
      <c r="AN1009" s="10"/>
      <c r="AO1009" s="13" t="b">
        <v>0</v>
      </c>
      <c r="AP1009" s="10" t="s">
        <v>104</v>
      </c>
      <c r="AQ1009" s="10">
        <f ca="1">IFERROR(__xludf.DUMMYFUNCTION("""COMPUTED_VALUE"""),4596468)</f>
        <v>4596468</v>
      </c>
      <c r="AR1009" s="17">
        <v>1798</v>
      </c>
      <c r="AS1009" s="17">
        <v>1409</v>
      </c>
      <c r="AT1009" s="17">
        <v>32758.75</v>
      </c>
      <c r="AU1009" s="17">
        <v>1.35</v>
      </c>
      <c r="AV1009" s="17">
        <v>0</v>
      </c>
      <c r="AW1009" s="10" t="s">
        <v>105</v>
      </c>
      <c r="AX1009" s="17">
        <v>509</v>
      </c>
      <c r="AY1009" s="18">
        <v>23.249645138396026</v>
      </c>
      <c r="AZ1009" s="10" t="s">
        <v>168</v>
      </c>
      <c r="BA1009" s="20" t="b">
        <v>0</v>
      </c>
      <c r="BB1009" s="10"/>
      <c r="BC1009" s="17">
        <v>1798</v>
      </c>
      <c r="BD1009" s="17">
        <v>1409</v>
      </c>
      <c r="BE1009" s="17">
        <v>32758.75</v>
      </c>
      <c r="BF1009" s="17">
        <v>0</v>
      </c>
      <c r="BG1009" s="11">
        <f ca="1">IFERROR(__xludf.DUMMYFUNCTION("""COMPUTED_VALUE"""),45928.1041666666)</f>
        <v>45928.104166666599</v>
      </c>
      <c r="BH1009" s="17" t="s">
        <v>105</v>
      </c>
      <c r="BI1009" s="17"/>
      <c r="BJ1009" s="15"/>
      <c r="BK1009" s="15"/>
      <c r="BL1009" s="13" t="b">
        <v>0</v>
      </c>
      <c r="BM1009" s="10"/>
      <c r="BN1009" s="10" t="s">
        <v>634</v>
      </c>
      <c r="BO1009" s="11">
        <v>45877.289583333331</v>
      </c>
      <c r="BP1009" s="11">
        <v>45921.484375</v>
      </c>
      <c r="BQ1009" s="15">
        <v>45917.587129629632</v>
      </c>
      <c r="BR1009" s="15">
        <v>45925.412662037037</v>
      </c>
      <c r="BS1009" s="10" t="s">
        <v>634</v>
      </c>
      <c r="BT1009" s="10" t="s">
        <v>99</v>
      </c>
      <c r="BU1009" s="10" t="s">
        <v>8038</v>
      </c>
      <c r="BV1009" s="10"/>
      <c r="BW1009" s="10"/>
      <c r="BX1009" s="10"/>
      <c r="BY1009" s="23"/>
      <c r="BZ1009" s="23"/>
      <c r="CA1009" s="19" t="s">
        <v>8039</v>
      </c>
      <c r="CB1009" s="19" t="s">
        <v>8040</v>
      </c>
      <c r="CC1009" s="23"/>
      <c r="CD1009" s="23"/>
      <c r="CE1009" s="23"/>
      <c r="CF1009" s="23"/>
      <c r="CG1009" s="23"/>
      <c r="CH1009" s="23"/>
      <c r="CI1009" s="23"/>
    </row>
    <row r="1010" spans="1:87" x14ac:dyDescent="0.3">
      <c r="A1010" s="9" t="s">
        <v>8041</v>
      </c>
      <c r="B1010" s="10" t="s">
        <v>8042</v>
      </c>
      <c r="C1010" s="11">
        <v>45927.09375</v>
      </c>
      <c r="D1010" s="12">
        <v>8.3333333333333329E-2</v>
      </c>
      <c r="E1010" s="11">
        <v>45927.177083333336</v>
      </c>
      <c r="F1010" s="10" t="s">
        <v>7855</v>
      </c>
      <c r="G1010" s="13" t="b">
        <v>0</v>
      </c>
      <c r="H1010" s="10" t="s">
        <v>3478</v>
      </c>
      <c r="I1010" s="10" t="s">
        <v>89</v>
      </c>
      <c r="J1010" s="13" t="b">
        <v>0</v>
      </c>
      <c r="K1010" s="13" t="b">
        <v>1</v>
      </c>
      <c r="L1010" s="10" t="s">
        <v>124</v>
      </c>
      <c r="M1010" s="10" t="s">
        <v>91</v>
      </c>
      <c r="N1010" s="10" t="s">
        <v>92</v>
      </c>
      <c r="O1010" s="19" t="s">
        <v>8043</v>
      </c>
      <c r="P1010" s="10"/>
      <c r="Q1010" s="10" t="s">
        <v>94</v>
      </c>
      <c r="R1010" s="10"/>
      <c r="S1010" s="19" t="s">
        <v>8044</v>
      </c>
      <c r="T1010" s="19" t="s">
        <v>8034</v>
      </c>
      <c r="U1010" s="10" t="s">
        <v>3582</v>
      </c>
      <c r="V1010" s="10" t="s">
        <v>8045</v>
      </c>
      <c r="W1010" s="10" t="s">
        <v>7860</v>
      </c>
      <c r="X1010" s="10" t="s">
        <v>130</v>
      </c>
      <c r="Y1010" s="10" t="s">
        <v>130</v>
      </c>
      <c r="Z1010" s="10" t="s">
        <v>99</v>
      </c>
      <c r="AA1010" s="10" t="s">
        <v>131</v>
      </c>
      <c r="AB1010" s="10" t="s">
        <v>7861</v>
      </c>
      <c r="AC1010" s="10" t="s">
        <v>7862</v>
      </c>
      <c r="AD1010" s="10" t="s">
        <v>8046</v>
      </c>
      <c r="AE1010" s="10" t="s">
        <v>8047</v>
      </c>
      <c r="AF1010" s="15"/>
      <c r="AG1010" s="10"/>
      <c r="AH1010" s="10"/>
      <c r="AI1010" s="10"/>
      <c r="AJ1010" s="10"/>
      <c r="AK1010" s="10" t="s">
        <v>102</v>
      </c>
      <c r="AL1010" s="10" t="s">
        <v>184</v>
      </c>
      <c r="AM1010" s="10"/>
      <c r="AN1010" s="10"/>
      <c r="AO1010" s="13" t="b">
        <v>0</v>
      </c>
      <c r="AP1010" s="10" t="s">
        <v>104</v>
      </c>
      <c r="AQ1010" s="10">
        <f ca="1">IFERROR(__xludf.DUMMYFUNCTION("""COMPUTED_VALUE"""),4589893)</f>
        <v>4589893</v>
      </c>
      <c r="AR1010" s="17">
        <v>4340</v>
      </c>
      <c r="AS1010" s="17">
        <v>3085</v>
      </c>
      <c r="AT1010" s="17">
        <v>101489.25</v>
      </c>
      <c r="AU1010" s="17">
        <v>8.8000000000000007</v>
      </c>
      <c r="AV1010" s="17">
        <v>1</v>
      </c>
      <c r="AW1010" s="10" t="s">
        <v>105</v>
      </c>
      <c r="AX1010" s="17">
        <v>1212</v>
      </c>
      <c r="AY1010" s="18">
        <v>32.897649918962721</v>
      </c>
      <c r="AZ1010" s="10" t="s">
        <v>168</v>
      </c>
      <c r="BA1010" s="20" t="b">
        <v>0</v>
      </c>
      <c r="BB1010" s="10"/>
      <c r="BC1010" s="17">
        <v>4340</v>
      </c>
      <c r="BD1010" s="17">
        <v>3085</v>
      </c>
      <c r="BE1010" s="17">
        <v>101489.25</v>
      </c>
      <c r="BF1010" s="17">
        <v>1</v>
      </c>
      <c r="BG1010" s="11">
        <f ca="1">IFERROR(__xludf.DUMMYFUNCTION("""COMPUTED_VALUE"""),45927.09375)</f>
        <v>45927.09375</v>
      </c>
      <c r="BH1010" s="17" t="s">
        <v>105</v>
      </c>
      <c r="BI1010" s="17"/>
      <c r="BJ1010" s="15"/>
      <c r="BK1010" s="15"/>
      <c r="BL1010" s="13" t="b">
        <v>0</v>
      </c>
      <c r="BM1010" s="10"/>
      <c r="BN1010" s="10" t="s">
        <v>1149</v>
      </c>
      <c r="BO1010" s="11">
        <v>45877.289583333331</v>
      </c>
      <c r="BP1010" s="11">
        <v>45921.484305555554</v>
      </c>
      <c r="BQ1010" s="15">
        <v>45917.58693287037</v>
      </c>
      <c r="BR1010" s="15">
        <v>45922.448263888888</v>
      </c>
      <c r="BS1010" s="10" t="s">
        <v>1149</v>
      </c>
      <c r="BT1010" s="10" t="s">
        <v>279</v>
      </c>
      <c r="BU1010" s="10" t="s">
        <v>280</v>
      </c>
      <c r="BV1010" s="10"/>
      <c r="BW1010" s="10"/>
      <c r="BX1010" s="10"/>
      <c r="BY1010" s="23"/>
      <c r="BZ1010" s="23"/>
      <c r="CA1010" s="19" t="s">
        <v>8048</v>
      </c>
      <c r="CB1010" s="19" t="s">
        <v>8049</v>
      </c>
      <c r="CC1010" s="23"/>
      <c r="CD1010" s="23"/>
      <c r="CE1010" s="23"/>
      <c r="CF1010" s="23"/>
      <c r="CG1010" s="23"/>
      <c r="CH1010" s="23"/>
      <c r="CI1010" s="23"/>
    </row>
    <row r="1011" spans="1:87" x14ac:dyDescent="0.3">
      <c r="A1011" s="9" t="s">
        <v>8050</v>
      </c>
      <c r="B1011" s="10" t="s">
        <v>8051</v>
      </c>
      <c r="C1011" s="11">
        <v>45936.135416666664</v>
      </c>
      <c r="D1011" s="12">
        <v>8.3333333333333329E-2</v>
      </c>
      <c r="E1011" s="11">
        <v>45936.21875</v>
      </c>
      <c r="F1011" s="10" t="s">
        <v>7855</v>
      </c>
      <c r="G1011" s="13" t="b">
        <v>0</v>
      </c>
      <c r="H1011" s="10" t="s">
        <v>3478</v>
      </c>
      <c r="I1011" s="10" t="s">
        <v>89</v>
      </c>
      <c r="J1011" s="13" t="b">
        <v>0</v>
      </c>
      <c r="K1011" s="13" t="b">
        <v>1</v>
      </c>
      <c r="L1011" s="10" t="s">
        <v>124</v>
      </c>
      <c r="M1011" s="10" t="s">
        <v>91</v>
      </c>
      <c r="N1011" s="10" t="s">
        <v>92</v>
      </c>
      <c r="O1011" s="19" t="s">
        <v>8052</v>
      </c>
      <c r="P1011" s="10"/>
      <c r="Q1011" s="10" t="s">
        <v>126</v>
      </c>
      <c r="R1011" s="10"/>
      <c r="S1011" s="19" t="s">
        <v>8053</v>
      </c>
      <c r="T1011" s="19" t="s">
        <v>8054</v>
      </c>
      <c r="U1011" s="10" t="s">
        <v>7870</v>
      </c>
      <c r="V1011" s="10" t="s">
        <v>3582</v>
      </c>
      <c r="W1011" s="10" t="s">
        <v>7860</v>
      </c>
      <c r="X1011" s="10" t="s">
        <v>130</v>
      </c>
      <c r="Y1011" s="10" t="s">
        <v>130</v>
      </c>
      <c r="Z1011" s="10" t="s">
        <v>99</v>
      </c>
      <c r="AA1011" s="10" t="s">
        <v>131</v>
      </c>
      <c r="AB1011" s="10" t="s">
        <v>7861</v>
      </c>
      <c r="AC1011" s="10" t="s">
        <v>7862</v>
      </c>
      <c r="AD1011" s="10" t="s">
        <v>8055</v>
      </c>
      <c r="AE1011" s="10" t="s">
        <v>8056</v>
      </c>
      <c r="AF1011" s="15"/>
      <c r="AG1011" s="10"/>
      <c r="AH1011" s="10"/>
      <c r="AI1011" s="10"/>
      <c r="AJ1011" s="10"/>
      <c r="AK1011" s="10" t="s">
        <v>102</v>
      </c>
      <c r="AL1011" s="10" t="s">
        <v>195</v>
      </c>
      <c r="AM1011" s="10"/>
      <c r="AN1011" s="10"/>
      <c r="AO1011" s="13" t="b">
        <v>0</v>
      </c>
      <c r="AP1011" s="10" t="s">
        <v>104</v>
      </c>
      <c r="AQ1011" s="10">
        <f ca="1">IFERROR(__xludf.DUMMYFUNCTION("""COMPUTED_VALUE"""),4630480)</f>
        <v>4630480</v>
      </c>
      <c r="AR1011" s="17">
        <v>4516</v>
      </c>
      <c r="AS1011" s="17">
        <v>3722</v>
      </c>
      <c r="AT1011" s="17">
        <v>97928.5</v>
      </c>
      <c r="AU1011" s="17">
        <v>5.55</v>
      </c>
      <c r="AV1011" s="17">
        <v>3.35</v>
      </c>
      <c r="AW1011" s="10" t="s">
        <v>105</v>
      </c>
      <c r="AX1011" s="17">
        <v>1394</v>
      </c>
      <c r="AY1011" s="18">
        <v>26.31072004298764</v>
      </c>
      <c r="AZ1011" s="10" t="s">
        <v>168</v>
      </c>
      <c r="BA1011" s="20" t="b">
        <v>0</v>
      </c>
      <c r="BB1011" s="10"/>
      <c r="BC1011" s="17">
        <v>4516</v>
      </c>
      <c r="BD1011" s="17">
        <v>3722</v>
      </c>
      <c r="BE1011" s="17">
        <v>97928.5</v>
      </c>
      <c r="BF1011" s="17">
        <v>3.35</v>
      </c>
      <c r="BG1011" s="11">
        <f ca="1">IFERROR(__xludf.DUMMYFUNCTION("""COMPUTED_VALUE"""),45936.1354166666)</f>
        <v>45936.135416666599</v>
      </c>
      <c r="BH1011" s="17" t="s">
        <v>105</v>
      </c>
      <c r="BI1011" s="17"/>
      <c r="BJ1011" s="15"/>
      <c r="BK1011" s="15"/>
      <c r="BL1011" s="13" t="b">
        <v>0</v>
      </c>
      <c r="BM1011" s="10"/>
      <c r="BN1011" s="10" t="s">
        <v>278</v>
      </c>
      <c r="BO1011" s="11">
        <v>45877.289583333331</v>
      </c>
      <c r="BP1011" s="11">
        <v>45930.733425925922</v>
      </c>
      <c r="BQ1011" s="15">
        <v>45930.535428240742</v>
      </c>
      <c r="BR1011" s="15">
        <v>45934.521689814814</v>
      </c>
      <c r="BS1011" s="10" t="s">
        <v>278</v>
      </c>
      <c r="BT1011" s="10" t="s">
        <v>99</v>
      </c>
      <c r="BU1011" s="10" t="s">
        <v>8057</v>
      </c>
      <c r="BV1011" s="10"/>
      <c r="BW1011" s="10"/>
      <c r="BX1011" s="10"/>
      <c r="BY1011" s="23"/>
      <c r="BZ1011" s="23"/>
      <c r="CA1011" s="19" t="s">
        <v>8058</v>
      </c>
      <c r="CB1011" s="19" t="s">
        <v>8059</v>
      </c>
      <c r="CC1011" s="23"/>
      <c r="CD1011" s="19" t="s">
        <v>8060</v>
      </c>
      <c r="CE1011" s="23"/>
      <c r="CF1011" s="23"/>
      <c r="CG1011" s="23"/>
      <c r="CH1011" s="23"/>
      <c r="CI1011" s="23"/>
    </row>
    <row r="1012" spans="1:87" x14ac:dyDescent="0.3">
      <c r="A1012" s="9" t="s">
        <v>8061</v>
      </c>
      <c r="B1012" s="10" t="s">
        <v>8062</v>
      </c>
      <c r="C1012" s="11">
        <v>45936.052083333336</v>
      </c>
      <c r="D1012" s="12">
        <v>8.3333333333333329E-2</v>
      </c>
      <c r="E1012" s="11">
        <v>45936.135416666664</v>
      </c>
      <c r="F1012" s="10" t="s">
        <v>7855</v>
      </c>
      <c r="G1012" s="13" t="b">
        <v>0</v>
      </c>
      <c r="H1012" s="10" t="s">
        <v>7949</v>
      </c>
      <c r="I1012" s="10" t="s">
        <v>89</v>
      </c>
      <c r="J1012" s="13" t="b">
        <v>0</v>
      </c>
      <c r="K1012" s="13" t="b">
        <v>1</v>
      </c>
      <c r="L1012" s="10" t="s">
        <v>124</v>
      </c>
      <c r="M1012" s="10" t="s">
        <v>91</v>
      </c>
      <c r="N1012" s="10" t="s">
        <v>92</v>
      </c>
      <c r="O1012" s="19" t="s">
        <v>8063</v>
      </c>
      <c r="P1012" s="10"/>
      <c r="Q1012" s="10" t="s">
        <v>94</v>
      </c>
      <c r="R1012" s="10"/>
      <c r="S1012" s="19" t="s">
        <v>8064</v>
      </c>
      <c r="T1012" s="19" t="s">
        <v>8054</v>
      </c>
      <c r="U1012" s="10" t="s">
        <v>7859</v>
      </c>
      <c r="V1012" s="10" t="s">
        <v>8065</v>
      </c>
      <c r="W1012" s="10" t="s">
        <v>7860</v>
      </c>
      <c r="X1012" s="10" t="s">
        <v>130</v>
      </c>
      <c r="Y1012" s="10" t="s">
        <v>130</v>
      </c>
      <c r="Z1012" s="10" t="s">
        <v>99</v>
      </c>
      <c r="AA1012" s="10" t="s">
        <v>131</v>
      </c>
      <c r="AB1012" s="10" t="s">
        <v>7861</v>
      </c>
      <c r="AC1012" s="10" t="s">
        <v>7862</v>
      </c>
      <c r="AD1012" s="10" t="s">
        <v>8066</v>
      </c>
      <c r="AE1012" s="10" t="s">
        <v>8067</v>
      </c>
      <c r="AF1012" s="15"/>
      <c r="AG1012" s="10"/>
      <c r="AH1012" s="10"/>
      <c r="AI1012" s="10"/>
      <c r="AJ1012" s="10"/>
      <c r="AK1012" s="10" t="s">
        <v>102</v>
      </c>
      <c r="AL1012" s="10" t="s">
        <v>195</v>
      </c>
      <c r="AM1012" s="10"/>
      <c r="AN1012" s="10"/>
      <c r="AO1012" s="13" t="b">
        <v>0</v>
      </c>
      <c r="AP1012" s="10" t="s">
        <v>104</v>
      </c>
      <c r="AQ1012" s="10">
        <f ca="1">IFERROR(__xludf.DUMMYFUNCTION("""COMPUTED_VALUE"""),4630482)</f>
        <v>4630482</v>
      </c>
      <c r="AR1012" s="17">
        <v>2751</v>
      </c>
      <c r="AS1012" s="17">
        <v>2060</v>
      </c>
      <c r="AT1012" s="17">
        <v>36759</v>
      </c>
      <c r="AU1012" s="17">
        <v>4.75</v>
      </c>
      <c r="AV1012" s="17">
        <v>1.85</v>
      </c>
      <c r="AW1012" s="10" t="s">
        <v>105</v>
      </c>
      <c r="AX1012" s="17">
        <v>701</v>
      </c>
      <c r="AY1012" s="18">
        <v>17.844174757281554</v>
      </c>
      <c r="AZ1012" s="10" t="s">
        <v>168</v>
      </c>
      <c r="BA1012" s="20" t="b">
        <v>0</v>
      </c>
      <c r="BB1012" s="10"/>
      <c r="BC1012" s="17">
        <v>2751</v>
      </c>
      <c r="BD1012" s="17">
        <v>2060</v>
      </c>
      <c r="BE1012" s="17">
        <v>36759</v>
      </c>
      <c r="BF1012" s="17">
        <v>1.85</v>
      </c>
      <c r="BG1012" s="11">
        <f ca="1">IFERROR(__xludf.DUMMYFUNCTION("""COMPUTED_VALUE"""),45936.0520833333)</f>
        <v>45936.052083333299</v>
      </c>
      <c r="BH1012" s="17" t="s">
        <v>105</v>
      </c>
      <c r="BI1012" s="17"/>
      <c r="BJ1012" s="15"/>
      <c r="BK1012" s="15"/>
      <c r="BL1012" s="13" t="b">
        <v>0</v>
      </c>
      <c r="BM1012" s="10"/>
      <c r="BN1012" s="10" t="s">
        <v>278</v>
      </c>
      <c r="BO1012" s="11">
        <v>45877.289583333331</v>
      </c>
      <c r="BP1012" s="11">
        <v>45931.807986111111</v>
      </c>
      <c r="BQ1012" s="15">
        <v>45930.535173611112</v>
      </c>
      <c r="BR1012" s="15">
        <v>45934.530104166668</v>
      </c>
      <c r="BS1012" s="10" t="s">
        <v>278</v>
      </c>
      <c r="BT1012" s="10" t="s">
        <v>99</v>
      </c>
      <c r="BU1012" s="10" t="s">
        <v>3394</v>
      </c>
      <c r="BV1012" s="10"/>
      <c r="BW1012" s="10"/>
      <c r="BX1012" s="10"/>
      <c r="BY1012" s="23"/>
      <c r="BZ1012" s="23"/>
      <c r="CA1012" s="19" t="s">
        <v>8068</v>
      </c>
      <c r="CB1012" s="19" t="s">
        <v>8069</v>
      </c>
      <c r="CC1012" s="23"/>
      <c r="CD1012" s="23"/>
      <c r="CE1012" s="23"/>
      <c r="CF1012" s="23"/>
      <c r="CG1012" s="23"/>
      <c r="CH1012" s="23"/>
      <c r="CI1012" s="23"/>
    </row>
    <row r="1013" spans="1:87" x14ac:dyDescent="0.3">
      <c r="A1013" s="9" t="s">
        <v>8070</v>
      </c>
      <c r="B1013" s="10" t="s">
        <v>8071</v>
      </c>
      <c r="C1013" s="11">
        <v>45956.104166666664</v>
      </c>
      <c r="D1013" s="12">
        <v>8.3333333333333329E-2</v>
      </c>
      <c r="E1013" s="11">
        <v>45956.1875</v>
      </c>
      <c r="F1013" s="10" t="s">
        <v>7855</v>
      </c>
      <c r="G1013" s="13" t="b">
        <v>0</v>
      </c>
      <c r="H1013" s="10" t="s">
        <v>88</v>
      </c>
      <c r="I1013" s="10" t="s">
        <v>89</v>
      </c>
      <c r="J1013" s="13" t="b">
        <v>0</v>
      </c>
      <c r="K1013" s="13" t="b">
        <v>1</v>
      </c>
      <c r="L1013" s="10" t="s">
        <v>124</v>
      </c>
      <c r="M1013" s="10" t="s">
        <v>91</v>
      </c>
      <c r="N1013" s="10" t="s">
        <v>92</v>
      </c>
      <c r="O1013" s="19" t="s">
        <v>8072</v>
      </c>
      <c r="P1013" s="10"/>
      <c r="Q1013" s="10" t="s">
        <v>94</v>
      </c>
      <c r="R1013" s="10"/>
      <c r="S1013" s="19" t="s">
        <v>8073</v>
      </c>
      <c r="T1013" s="19" t="s">
        <v>8074</v>
      </c>
      <c r="U1013" s="10" t="s">
        <v>3582</v>
      </c>
      <c r="V1013" s="10" t="s">
        <v>7942</v>
      </c>
      <c r="W1013" s="10" t="s">
        <v>7860</v>
      </c>
      <c r="X1013" s="10" t="s">
        <v>130</v>
      </c>
      <c r="Y1013" s="10" t="s">
        <v>130</v>
      </c>
      <c r="Z1013" s="10" t="s">
        <v>99</v>
      </c>
      <c r="AA1013" s="10" t="s">
        <v>131</v>
      </c>
      <c r="AB1013" s="10" t="s">
        <v>7861</v>
      </c>
      <c r="AC1013" s="10" t="s">
        <v>7862</v>
      </c>
      <c r="AD1013" s="10" t="s">
        <v>8075</v>
      </c>
      <c r="AE1013" s="10" t="s">
        <v>8076</v>
      </c>
      <c r="AF1013" s="15"/>
      <c r="AG1013" s="10"/>
      <c r="AH1013" s="10"/>
      <c r="AI1013" s="10"/>
      <c r="AJ1013" s="10"/>
      <c r="AK1013" s="10" t="s">
        <v>102</v>
      </c>
      <c r="AL1013" s="10" t="s">
        <v>205</v>
      </c>
      <c r="AM1013" s="10"/>
      <c r="AN1013" s="10"/>
      <c r="AO1013" s="13" t="b">
        <v>0</v>
      </c>
      <c r="AP1013" s="10" t="s">
        <v>104</v>
      </c>
      <c r="AQ1013" s="10">
        <f ca="1">IFERROR(__xludf.DUMMYFUNCTION("""COMPUTED_VALUE"""),4665902)</f>
        <v>4665902</v>
      </c>
      <c r="AR1013" s="17">
        <v>2341</v>
      </c>
      <c r="AS1013" s="17">
        <v>1943</v>
      </c>
      <c r="AT1013" s="17">
        <v>30116.75</v>
      </c>
      <c r="AU1013" s="17">
        <v>2.2000000000000002</v>
      </c>
      <c r="AV1013" s="17">
        <v>0.6</v>
      </c>
      <c r="AW1013" s="10" t="s">
        <v>105</v>
      </c>
      <c r="AX1013" s="17">
        <v>598</v>
      </c>
      <c r="AY1013" s="18">
        <v>15.500128667009779</v>
      </c>
      <c r="AZ1013" s="10" t="s">
        <v>168</v>
      </c>
      <c r="BA1013" s="20" t="b">
        <v>0</v>
      </c>
      <c r="BB1013" s="10"/>
      <c r="BC1013" s="17">
        <v>2341</v>
      </c>
      <c r="BD1013" s="17">
        <v>1943</v>
      </c>
      <c r="BE1013" s="17">
        <v>30116.75</v>
      </c>
      <c r="BF1013" s="17">
        <v>0.6</v>
      </c>
      <c r="BG1013" s="11">
        <f ca="1">IFERROR(__xludf.DUMMYFUNCTION("""COMPUTED_VALUE"""),45956.1041666666)</f>
        <v>45956.104166666599</v>
      </c>
      <c r="BH1013" s="17" t="s">
        <v>105</v>
      </c>
      <c r="BI1013" s="17"/>
      <c r="BJ1013" s="15"/>
      <c r="BK1013" s="15"/>
      <c r="BL1013" s="13" t="b">
        <v>0</v>
      </c>
      <c r="BM1013" s="10"/>
      <c r="BN1013" s="10" t="s">
        <v>197</v>
      </c>
      <c r="BO1013" s="11">
        <v>45877.289583333331</v>
      </c>
      <c r="BP1013" s="11">
        <v>45948.412766203706</v>
      </c>
      <c r="BQ1013" s="15">
        <v>45951.61991898148</v>
      </c>
      <c r="BR1013" s="15">
        <v>45952.611909722225</v>
      </c>
      <c r="BS1013" s="10" t="s">
        <v>197</v>
      </c>
      <c r="BT1013" s="10" t="s">
        <v>99</v>
      </c>
      <c r="BU1013" s="10" t="s">
        <v>498</v>
      </c>
      <c r="BV1013" s="10"/>
      <c r="BW1013" s="10"/>
      <c r="BX1013" s="10"/>
      <c r="BY1013" s="23"/>
      <c r="BZ1013" s="23"/>
      <c r="CA1013" s="19" t="s">
        <v>8077</v>
      </c>
      <c r="CB1013" s="19" t="s">
        <v>8078</v>
      </c>
      <c r="CC1013" s="23"/>
      <c r="CD1013" s="23"/>
      <c r="CE1013" s="23"/>
      <c r="CF1013" s="23"/>
      <c r="CG1013" s="23"/>
      <c r="CH1013" s="23"/>
      <c r="CI1013" s="23"/>
    </row>
    <row r="1014" spans="1:87" x14ac:dyDescent="0.3">
      <c r="A1014" s="9" t="s">
        <v>8079</v>
      </c>
      <c r="B1014" s="10" t="s">
        <v>8080</v>
      </c>
      <c r="C1014" s="11">
        <v>45957.041666666664</v>
      </c>
      <c r="D1014" s="12">
        <v>8.3333333333333329E-2</v>
      </c>
      <c r="E1014" s="11">
        <v>45957.125</v>
      </c>
      <c r="F1014" s="10" t="s">
        <v>7855</v>
      </c>
      <c r="G1014" s="13" t="b">
        <v>0</v>
      </c>
      <c r="H1014" s="10" t="s">
        <v>7949</v>
      </c>
      <c r="I1014" s="10" t="s">
        <v>89</v>
      </c>
      <c r="J1014" s="13" t="b">
        <v>0</v>
      </c>
      <c r="K1014" s="13" t="b">
        <v>1</v>
      </c>
      <c r="L1014" s="10" t="s">
        <v>124</v>
      </c>
      <c r="M1014" s="10" t="s">
        <v>91</v>
      </c>
      <c r="N1014" s="10" t="s">
        <v>92</v>
      </c>
      <c r="O1014" s="19" t="s">
        <v>8081</v>
      </c>
      <c r="P1014" s="10"/>
      <c r="Q1014" s="10" t="s">
        <v>94</v>
      </c>
      <c r="R1014" s="10"/>
      <c r="S1014" s="19" t="s">
        <v>8082</v>
      </c>
      <c r="T1014" s="19" t="s">
        <v>8074</v>
      </c>
      <c r="U1014" s="10" t="s">
        <v>7953</v>
      </c>
      <c r="V1014" s="10" t="s">
        <v>7859</v>
      </c>
      <c r="W1014" s="10" t="s">
        <v>7860</v>
      </c>
      <c r="X1014" s="10" t="s">
        <v>130</v>
      </c>
      <c r="Y1014" s="10" t="s">
        <v>130</v>
      </c>
      <c r="Z1014" s="10" t="s">
        <v>99</v>
      </c>
      <c r="AA1014" s="10" t="s">
        <v>131</v>
      </c>
      <c r="AB1014" s="10" t="s">
        <v>7861</v>
      </c>
      <c r="AC1014" s="10" t="s">
        <v>7862</v>
      </c>
      <c r="AD1014" s="10" t="s">
        <v>8083</v>
      </c>
      <c r="AE1014" s="10" t="s">
        <v>8084</v>
      </c>
      <c r="AF1014" s="15"/>
      <c r="AG1014" s="10"/>
      <c r="AH1014" s="10"/>
      <c r="AI1014" s="10"/>
      <c r="AJ1014" s="10"/>
      <c r="AK1014" s="10" t="s">
        <v>102</v>
      </c>
      <c r="AL1014" s="10" t="s">
        <v>205</v>
      </c>
      <c r="AM1014" s="10"/>
      <c r="AN1014" s="10"/>
      <c r="AO1014" s="13" t="b">
        <v>0</v>
      </c>
      <c r="AP1014" s="10" t="s">
        <v>104</v>
      </c>
      <c r="AQ1014" s="10">
        <f ca="1">IFERROR(__xludf.DUMMYFUNCTION("""COMPUTED_VALUE"""),4670653)</f>
        <v>4670653</v>
      </c>
      <c r="AR1014" s="17">
        <v>1805</v>
      </c>
      <c r="AS1014" s="17">
        <v>1416</v>
      </c>
      <c r="AT1014" s="17">
        <v>23619</v>
      </c>
      <c r="AU1014" s="17">
        <v>1.85</v>
      </c>
      <c r="AV1014" s="17">
        <v>0</v>
      </c>
      <c r="AW1014" s="10" t="s">
        <v>105</v>
      </c>
      <c r="AX1014" s="17">
        <v>375</v>
      </c>
      <c r="AY1014" s="18">
        <v>16.680084745762713</v>
      </c>
      <c r="AZ1014" s="10" t="s">
        <v>168</v>
      </c>
      <c r="BA1014" s="20" t="b">
        <v>0</v>
      </c>
      <c r="BB1014" s="10"/>
      <c r="BC1014" s="17">
        <v>1805</v>
      </c>
      <c r="BD1014" s="17">
        <v>1416</v>
      </c>
      <c r="BE1014" s="17">
        <v>23619</v>
      </c>
      <c r="BF1014" s="17">
        <v>0</v>
      </c>
      <c r="BG1014" s="11">
        <f ca="1">IFERROR(__xludf.DUMMYFUNCTION("""COMPUTED_VALUE"""),45957.0416666666)</f>
        <v>45957.041666666599</v>
      </c>
      <c r="BH1014" s="17" t="s">
        <v>105</v>
      </c>
      <c r="BI1014" s="17"/>
      <c r="BJ1014" s="15"/>
      <c r="BK1014" s="15"/>
      <c r="BL1014" s="13" t="b">
        <v>0</v>
      </c>
      <c r="BM1014" s="10"/>
      <c r="BN1014" s="10" t="s">
        <v>197</v>
      </c>
      <c r="BO1014" s="11">
        <v>45877.289583333331</v>
      </c>
      <c r="BP1014" s="11">
        <v>45930.741030092591</v>
      </c>
      <c r="BQ1014" s="15">
        <v>45951.620636574073</v>
      </c>
      <c r="BR1014" s="15">
        <v>45954.757557870369</v>
      </c>
      <c r="BS1014" s="10" t="s">
        <v>197</v>
      </c>
      <c r="BT1014" s="10" t="s">
        <v>99</v>
      </c>
      <c r="BU1014" s="10" t="s">
        <v>498</v>
      </c>
      <c r="BV1014" s="10"/>
      <c r="BW1014" s="10"/>
      <c r="BX1014" s="10"/>
      <c r="BY1014" s="23"/>
      <c r="BZ1014" s="23"/>
      <c r="CA1014" s="19" t="s">
        <v>8085</v>
      </c>
      <c r="CB1014" s="19" t="s">
        <v>8086</v>
      </c>
      <c r="CC1014" s="23"/>
      <c r="CD1014" s="23"/>
      <c r="CE1014" s="23"/>
      <c r="CF1014" s="23"/>
      <c r="CG1014" s="23"/>
      <c r="CH1014" s="23"/>
      <c r="CI1014" s="23"/>
    </row>
    <row r="1015" spans="1:87" x14ac:dyDescent="0.3">
      <c r="A1015" s="9" t="s">
        <v>8087</v>
      </c>
      <c r="B1015" s="10" t="s">
        <v>8088</v>
      </c>
      <c r="C1015" s="11">
        <v>45962.135416666664</v>
      </c>
      <c r="D1015" s="12">
        <v>8.3333333333333329E-2</v>
      </c>
      <c r="E1015" s="11">
        <v>45962.21875</v>
      </c>
      <c r="F1015" s="10" t="s">
        <v>7855</v>
      </c>
      <c r="G1015" s="13" t="b">
        <v>0</v>
      </c>
      <c r="H1015" s="10" t="s">
        <v>7949</v>
      </c>
      <c r="I1015" s="10" t="s">
        <v>89</v>
      </c>
      <c r="J1015" s="13" t="b">
        <v>0</v>
      </c>
      <c r="K1015" s="13" t="b">
        <v>1</v>
      </c>
      <c r="L1015" s="10" t="s">
        <v>124</v>
      </c>
      <c r="M1015" s="10" t="s">
        <v>91</v>
      </c>
      <c r="N1015" s="10" t="s">
        <v>92</v>
      </c>
      <c r="O1015" s="19" t="s">
        <v>8089</v>
      </c>
      <c r="P1015" s="10"/>
      <c r="Q1015" s="10" t="s">
        <v>94</v>
      </c>
      <c r="R1015" s="10"/>
      <c r="S1015" s="19" t="s">
        <v>8090</v>
      </c>
      <c r="T1015" s="19" t="s">
        <v>8091</v>
      </c>
      <c r="U1015" s="10" t="s">
        <v>7859</v>
      </c>
      <c r="V1015" s="10" t="s">
        <v>7972</v>
      </c>
      <c r="W1015" s="10" t="s">
        <v>7860</v>
      </c>
      <c r="X1015" s="10" t="s">
        <v>130</v>
      </c>
      <c r="Y1015" s="10" t="s">
        <v>130</v>
      </c>
      <c r="Z1015" s="10" t="s">
        <v>99</v>
      </c>
      <c r="AA1015" s="10" t="s">
        <v>131</v>
      </c>
      <c r="AB1015" s="10" t="s">
        <v>7861</v>
      </c>
      <c r="AC1015" s="10" t="s">
        <v>7862</v>
      </c>
      <c r="AD1015" s="10" t="s">
        <v>8092</v>
      </c>
      <c r="AE1015" s="10" t="s">
        <v>8093</v>
      </c>
      <c r="AF1015" s="15"/>
      <c r="AG1015" s="10"/>
      <c r="AH1015" s="10"/>
      <c r="AI1015" s="10"/>
      <c r="AJ1015" s="10"/>
      <c r="AK1015" s="10" t="s">
        <v>102</v>
      </c>
      <c r="AL1015" s="10" t="s">
        <v>1252</v>
      </c>
      <c r="AM1015" s="10"/>
      <c r="AN1015" s="10"/>
      <c r="AO1015" s="13" t="b">
        <v>0</v>
      </c>
      <c r="AP1015" s="10" t="s">
        <v>104</v>
      </c>
      <c r="AQ1015" s="10">
        <f ca="1">IFERROR(__xludf.DUMMYFUNCTION("""COMPUTED_VALUE"""),4674577)</f>
        <v>4674577</v>
      </c>
      <c r="AR1015" s="17">
        <v>2464</v>
      </c>
      <c r="AS1015" s="17">
        <v>1819</v>
      </c>
      <c r="AT1015" s="17">
        <v>29771.25</v>
      </c>
      <c r="AU1015" s="17">
        <v>3.5</v>
      </c>
      <c r="AV1015" s="17">
        <v>1.1000000000000001</v>
      </c>
      <c r="AW1015" s="10" t="s">
        <v>105</v>
      </c>
      <c r="AX1015" s="17">
        <v>602</v>
      </c>
      <c r="AY1015" s="18">
        <v>16.366822429906541</v>
      </c>
      <c r="AZ1015" s="10" t="s">
        <v>168</v>
      </c>
      <c r="BA1015" s="20" t="b">
        <v>0</v>
      </c>
      <c r="BB1015" s="10"/>
      <c r="BC1015" s="17">
        <v>2464</v>
      </c>
      <c r="BD1015" s="17">
        <v>1819</v>
      </c>
      <c r="BE1015" s="17">
        <v>29771.25</v>
      </c>
      <c r="BF1015" s="17">
        <v>1.1000000000000001</v>
      </c>
      <c r="BG1015" s="11">
        <f ca="1">IFERROR(__xludf.DUMMYFUNCTION("""COMPUTED_VALUE"""),45962.1354166666)</f>
        <v>45962.135416666599</v>
      </c>
      <c r="BH1015" s="17" t="s">
        <v>105</v>
      </c>
      <c r="BI1015" s="17"/>
      <c r="BJ1015" s="15"/>
      <c r="BK1015" s="15"/>
      <c r="BL1015" s="13" t="b">
        <v>0</v>
      </c>
      <c r="BM1015" s="10"/>
      <c r="BN1015" s="10" t="s">
        <v>197</v>
      </c>
      <c r="BO1015" s="11">
        <v>45877.289583333331</v>
      </c>
      <c r="BP1015" s="11">
        <v>45930.741087962961</v>
      </c>
      <c r="BQ1015" s="15">
        <v>45951.658750000002</v>
      </c>
      <c r="BR1015" s="15">
        <v>45958.52547453704</v>
      </c>
      <c r="BS1015" s="10" t="s">
        <v>197</v>
      </c>
      <c r="BT1015" s="10" t="s">
        <v>99</v>
      </c>
      <c r="BU1015" s="10" t="s">
        <v>730</v>
      </c>
      <c r="BV1015" s="10"/>
      <c r="BW1015" s="10"/>
      <c r="BX1015" s="10"/>
      <c r="BY1015" s="23"/>
      <c r="BZ1015" s="23"/>
      <c r="CA1015" s="19" t="s">
        <v>8094</v>
      </c>
      <c r="CB1015" s="19" t="s">
        <v>8095</v>
      </c>
      <c r="CC1015" s="23"/>
      <c r="CD1015" s="23"/>
      <c r="CE1015" s="23"/>
      <c r="CF1015" s="23"/>
      <c r="CG1015" s="23"/>
      <c r="CH1015" s="23"/>
      <c r="CI1015" s="23"/>
    </row>
    <row r="1016" spans="1:87" x14ac:dyDescent="0.3">
      <c r="A1016" s="9" t="s">
        <v>8096</v>
      </c>
      <c r="B1016" s="10" t="s">
        <v>8097</v>
      </c>
      <c r="C1016" s="11">
        <v>45963.145833333336</v>
      </c>
      <c r="D1016" s="12">
        <v>8.3333333333333329E-2</v>
      </c>
      <c r="E1016" s="11">
        <v>45963.229166666664</v>
      </c>
      <c r="F1016" s="10" t="s">
        <v>7855</v>
      </c>
      <c r="G1016" s="13" t="b">
        <v>0</v>
      </c>
      <c r="H1016" s="10" t="s">
        <v>3478</v>
      </c>
      <c r="I1016" s="10" t="s">
        <v>89</v>
      </c>
      <c r="J1016" s="13" t="b">
        <v>0</v>
      </c>
      <c r="K1016" s="13" t="b">
        <v>1</v>
      </c>
      <c r="L1016" s="10" t="s">
        <v>124</v>
      </c>
      <c r="M1016" s="10" t="s">
        <v>91</v>
      </c>
      <c r="N1016" s="10" t="s">
        <v>92</v>
      </c>
      <c r="O1016" s="19" t="s">
        <v>8098</v>
      </c>
      <c r="P1016" s="10"/>
      <c r="Q1016" s="10" t="s">
        <v>94</v>
      </c>
      <c r="R1016" s="10"/>
      <c r="S1016" s="19" t="s">
        <v>8099</v>
      </c>
      <c r="T1016" s="19" t="s">
        <v>8091</v>
      </c>
      <c r="U1016" s="10" t="s">
        <v>7871</v>
      </c>
      <c r="V1016" s="10" t="s">
        <v>3582</v>
      </c>
      <c r="W1016" s="10" t="s">
        <v>7860</v>
      </c>
      <c r="X1016" s="10" t="s">
        <v>130</v>
      </c>
      <c r="Y1016" s="10" t="s">
        <v>130</v>
      </c>
      <c r="Z1016" s="10" t="s">
        <v>99</v>
      </c>
      <c r="AA1016" s="10" t="s">
        <v>131</v>
      </c>
      <c r="AB1016" s="10" t="s">
        <v>7861</v>
      </c>
      <c r="AC1016" s="10" t="s">
        <v>7862</v>
      </c>
      <c r="AD1016" s="10" t="s">
        <v>8100</v>
      </c>
      <c r="AE1016" s="10" t="s">
        <v>8101</v>
      </c>
      <c r="AF1016" s="15"/>
      <c r="AG1016" s="10"/>
      <c r="AH1016" s="10"/>
      <c r="AI1016" s="10"/>
      <c r="AJ1016" s="10"/>
      <c r="AK1016" s="10" t="s">
        <v>102</v>
      </c>
      <c r="AL1016" s="10" t="s">
        <v>1252</v>
      </c>
      <c r="AM1016" s="10"/>
      <c r="AN1016" s="10"/>
      <c r="AO1016" s="13" t="b">
        <v>0</v>
      </c>
      <c r="AP1016" s="10" t="s">
        <v>104</v>
      </c>
      <c r="AQ1016" s="10">
        <f ca="1">IFERROR(__xludf.DUMMYFUNCTION("""COMPUTED_VALUE"""),4676978)</f>
        <v>4676978</v>
      </c>
      <c r="AR1016" s="17">
        <v>2861</v>
      </c>
      <c r="AS1016" s="17">
        <v>2397</v>
      </c>
      <c r="AT1016" s="17">
        <v>40782.75</v>
      </c>
      <c r="AU1016" s="17">
        <v>5.95</v>
      </c>
      <c r="AV1016" s="17">
        <v>2</v>
      </c>
      <c r="AW1016" s="10" t="s">
        <v>105</v>
      </c>
      <c r="AX1016" s="17">
        <v>716</v>
      </c>
      <c r="AY1016" s="18">
        <v>17.014080100125156</v>
      </c>
      <c r="AZ1016" s="10" t="s">
        <v>168</v>
      </c>
      <c r="BA1016" s="20" t="b">
        <v>0</v>
      </c>
      <c r="BB1016" s="10"/>
      <c r="BC1016" s="17">
        <v>2861</v>
      </c>
      <c r="BD1016" s="17">
        <v>2397</v>
      </c>
      <c r="BE1016" s="17">
        <v>40782.75</v>
      </c>
      <c r="BF1016" s="17">
        <v>2</v>
      </c>
      <c r="BG1016" s="11">
        <f ca="1">IFERROR(__xludf.DUMMYFUNCTION("""COMPUTED_VALUE"""),45963.1458333333)</f>
        <v>45963.145833333299</v>
      </c>
      <c r="BH1016" s="17" t="s">
        <v>105</v>
      </c>
      <c r="BI1016" s="17"/>
      <c r="BJ1016" s="15"/>
      <c r="BK1016" s="15"/>
      <c r="BL1016" s="13" t="b">
        <v>0</v>
      </c>
      <c r="BM1016" s="10"/>
      <c r="BN1016" s="10" t="s">
        <v>634</v>
      </c>
      <c r="BO1016" s="11">
        <v>45877.289583333331</v>
      </c>
      <c r="BP1016" s="11">
        <v>45959.682812500003</v>
      </c>
      <c r="BQ1016" s="15">
        <v>45951.65892361111</v>
      </c>
      <c r="BR1016" s="15">
        <v>45959.685902777775</v>
      </c>
      <c r="BS1016" s="10" t="s">
        <v>634</v>
      </c>
      <c r="BT1016" s="10" t="s">
        <v>99</v>
      </c>
      <c r="BU1016" s="10" t="s">
        <v>6518</v>
      </c>
      <c r="BV1016" s="10"/>
      <c r="BW1016" s="10"/>
      <c r="BX1016" s="10"/>
      <c r="BY1016" s="23"/>
      <c r="BZ1016" s="23"/>
      <c r="CA1016" s="19" t="s">
        <v>8102</v>
      </c>
      <c r="CB1016" s="19" t="s">
        <v>8103</v>
      </c>
      <c r="CC1016" s="23"/>
      <c r="CD1016" s="23"/>
      <c r="CE1016" s="23"/>
      <c r="CF1016" s="23"/>
      <c r="CG1016" s="23"/>
      <c r="CH1016" s="23"/>
      <c r="CI1016" s="23"/>
    </row>
    <row r="1017" spans="1:87" x14ac:dyDescent="0.3">
      <c r="A1017" s="9" t="s">
        <v>8104</v>
      </c>
      <c r="B1017" s="10" t="s">
        <v>8105</v>
      </c>
      <c r="C1017" s="11">
        <v>45970.145833333336</v>
      </c>
      <c r="D1017" s="12">
        <v>8.3333333333333329E-2</v>
      </c>
      <c r="E1017" s="11">
        <v>45970.229166666664</v>
      </c>
      <c r="F1017" s="10" t="s">
        <v>7855</v>
      </c>
      <c r="G1017" s="13" t="b">
        <v>0</v>
      </c>
      <c r="H1017" s="10" t="s">
        <v>88</v>
      </c>
      <c r="I1017" s="10" t="s">
        <v>89</v>
      </c>
      <c r="J1017" s="13" t="b">
        <v>0</v>
      </c>
      <c r="K1017" s="13" t="b">
        <v>1</v>
      </c>
      <c r="L1017" s="10" t="s">
        <v>124</v>
      </c>
      <c r="M1017" s="10" t="s">
        <v>91</v>
      </c>
      <c r="N1017" s="10" t="s">
        <v>92</v>
      </c>
      <c r="O1017" s="19" t="s">
        <v>8106</v>
      </c>
      <c r="P1017" s="10"/>
      <c r="Q1017" s="10" t="s">
        <v>94</v>
      </c>
      <c r="R1017" s="10"/>
      <c r="S1017" s="19" t="s">
        <v>8107</v>
      </c>
      <c r="T1017" s="19" t="s">
        <v>8108</v>
      </c>
      <c r="U1017" s="10" t="s">
        <v>8000</v>
      </c>
      <c r="V1017" s="10" t="s">
        <v>7859</v>
      </c>
      <c r="W1017" s="10" t="s">
        <v>7860</v>
      </c>
      <c r="X1017" s="10" t="s">
        <v>130</v>
      </c>
      <c r="Y1017" s="10" t="s">
        <v>130</v>
      </c>
      <c r="Z1017" s="10" t="s">
        <v>99</v>
      </c>
      <c r="AA1017" s="10" t="s">
        <v>131</v>
      </c>
      <c r="AB1017" s="10" t="s">
        <v>7861</v>
      </c>
      <c r="AC1017" s="10" t="s">
        <v>7862</v>
      </c>
      <c r="AD1017" s="10" t="s">
        <v>8109</v>
      </c>
      <c r="AE1017" s="10" t="s">
        <v>8110</v>
      </c>
      <c r="AF1017" s="15"/>
      <c r="AG1017" s="10"/>
      <c r="AH1017" s="10"/>
      <c r="AI1017" s="10"/>
      <c r="AJ1017" s="10"/>
      <c r="AK1017" s="10" t="s">
        <v>102</v>
      </c>
      <c r="AL1017" s="10" t="s">
        <v>1360</v>
      </c>
      <c r="AM1017" s="10"/>
      <c r="AN1017" s="10"/>
      <c r="AO1017" s="13" t="b">
        <v>0</v>
      </c>
      <c r="AP1017" s="10" t="s">
        <v>104</v>
      </c>
      <c r="AQ1017" s="10">
        <f ca="1">IFERROR(__xludf.DUMMYFUNCTION("""COMPUTED_VALUE"""),4706737)</f>
        <v>4706737</v>
      </c>
      <c r="AR1017" s="17">
        <v>1800</v>
      </c>
      <c r="AS1017" s="17">
        <v>1500</v>
      </c>
      <c r="AT1017" s="17">
        <v>29038.5</v>
      </c>
      <c r="AU1017" s="17">
        <v>0.35</v>
      </c>
      <c r="AV1017" s="17">
        <v>0.1</v>
      </c>
      <c r="AW1017" s="10" t="s">
        <v>105</v>
      </c>
      <c r="AX1017" s="17">
        <v>529</v>
      </c>
      <c r="AY1017" s="18">
        <v>19.359000000000002</v>
      </c>
      <c r="AZ1017" s="10" t="s">
        <v>168</v>
      </c>
      <c r="BA1017" s="20" t="b">
        <v>0</v>
      </c>
      <c r="BB1017" s="10"/>
      <c r="BC1017" s="17">
        <v>1800</v>
      </c>
      <c r="BD1017" s="17">
        <v>1500</v>
      </c>
      <c r="BE1017" s="17">
        <v>29038.5</v>
      </c>
      <c r="BF1017" s="17">
        <v>0.1</v>
      </c>
      <c r="BG1017" s="11">
        <f ca="1">IFERROR(__xludf.DUMMYFUNCTION("""COMPUTED_VALUE"""),45970.1458333333)</f>
        <v>45970.145833333299</v>
      </c>
      <c r="BH1017" s="17" t="s">
        <v>105</v>
      </c>
      <c r="BI1017" s="17"/>
      <c r="BJ1017" s="15"/>
      <c r="BK1017" s="15"/>
      <c r="BL1017" s="13" t="b">
        <v>0</v>
      </c>
      <c r="BM1017" s="10"/>
      <c r="BN1017" s="10" t="s">
        <v>197</v>
      </c>
      <c r="BO1017" s="11">
        <v>45877.289583333331</v>
      </c>
      <c r="BP1017" s="11">
        <v>45965.721932870372</v>
      </c>
      <c r="BQ1017" s="15">
        <v>45960.689085648148</v>
      </c>
      <c r="BR1017" s="15">
        <v>45967.746481481481</v>
      </c>
      <c r="BS1017" s="10" t="s">
        <v>197</v>
      </c>
      <c r="BT1017" s="10" t="s">
        <v>99</v>
      </c>
      <c r="BU1017" s="10" t="s">
        <v>8013</v>
      </c>
      <c r="BV1017" s="10"/>
      <c r="BW1017" s="10"/>
      <c r="BX1017" s="10"/>
      <c r="BY1017" s="23"/>
      <c r="BZ1017" s="23"/>
      <c r="CA1017" s="19" t="s">
        <v>8111</v>
      </c>
      <c r="CB1017" s="19" t="s">
        <v>8112</v>
      </c>
      <c r="CC1017" s="23"/>
      <c r="CD1017" s="23"/>
      <c r="CE1017" s="23"/>
      <c r="CF1017" s="23"/>
      <c r="CG1017" s="23"/>
      <c r="CH1017" s="23"/>
      <c r="CI1017" s="23"/>
    </row>
    <row r="1018" spans="1:87" x14ac:dyDescent="0.3">
      <c r="A1018" s="9" t="s">
        <v>8113</v>
      </c>
      <c r="B1018" s="10" t="s">
        <v>8114</v>
      </c>
      <c r="C1018" s="11">
        <v>45971.145833333336</v>
      </c>
      <c r="D1018" s="12">
        <v>8.3333333333333329E-2</v>
      </c>
      <c r="E1018" s="11">
        <v>45971.229166666664</v>
      </c>
      <c r="F1018" s="10" t="s">
        <v>7855</v>
      </c>
      <c r="G1018" s="13" t="b">
        <v>0</v>
      </c>
      <c r="H1018" s="10" t="s">
        <v>7949</v>
      </c>
      <c r="I1018" s="10" t="s">
        <v>89</v>
      </c>
      <c r="J1018" s="13" t="b">
        <v>0</v>
      </c>
      <c r="K1018" s="13" t="b">
        <v>1</v>
      </c>
      <c r="L1018" s="10" t="s">
        <v>124</v>
      </c>
      <c r="M1018" s="10" t="s">
        <v>91</v>
      </c>
      <c r="N1018" s="10" t="s">
        <v>92</v>
      </c>
      <c r="O1018" s="19" t="s">
        <v>8115</v>
      </c>
      <c r="P1018" s="10"/>
      <c r="Q1018" s="10" t="s">
        <v>94</v>
      </c>
      <c r="R1018" s="10"/>
      <c r="S1018" s="19" t="s">
        <v>8116</v>
      </c>
      <c r="T1018" s="19" t="s">
        <v>8108</v>
      </c>
      <c r="U1018" s="10" t="s">
        <v>3582</v>
      </c>
      <c r="V1018" s="10" t="s">
        <v>7858</v>
      </c>
      <c r="W1018" s="10" t="s">
        <v>7860</v>
      </c>
      <c r="X1018" s="10" t="s">
        <v>130</v>
      </c>
      <c r="Y1018" s="10" t="s">
        <v>130</v>
      </c>
      <c r="Z1018" s="10" t="s">
        <v>99</v>
      </c>
      <c r="AA1018" s="10" t="s">
        <v>131</v>
      </c>
      <c r="AB1018" s="10" t="s">
        <v>7861</v>
      </c>
      <c r="AC1018" s="10" t="s">
        <v>7862</v>
      </c>
      <c r="AD1018" s="10" t="s">
        <v>8117</v>
      </c>
      <c r="AE1018" s="10" t="s">
        <v>8118</v>
      </c>
      <c r="AF1018" s="15"/>
      <c r="AG1018" s="10"/>
      <c r="AH1018" s="10"/>
      <c r="AI1018" s="10"/>
      <c r="AJ1018" s="10"/>
      <c r="AK1018" s="10" t="s">
        <v>102</v>
      </c>
      <c r="AL1018" s="10" t="s">
        <v>1360</v>
      </c>
      <c r="AM1018" s="10"/>
      <c r="AN1018" s="10"/>
      <c r="AO1018" s="13" t="b">
        <v>0</v>
      </c>
      <c r="AP1018" s="10" t="s">
        <v>104</v>
      </c>
      <c r="AQ1018" s="10">
        <f ca="1">IFERROR(__xludf.DUMMYFUNCTION("""COMPUTED_VALUE"""),4708925)</f>
        <v>4708925</v>
      </c>
      <c r="AR1018" s="17">
        <v>2390</v>
      </c>
      <c r="AS1018" s="17">
        <v>1905</v>
      </c>
      <c r="AT1018" s="17">
        <v>23031.75</v>
      </c>
      <c r="AU1018" s="17">
        <v>3.2</v>
      </c>
      <c r="AV1018" s="17">
        <v>0</v>
      </c>
      <c r="AW1018" s="10" t="s">
        <v>105</v>
      </c>
      <c r="AX1018" s="17">
        <v>654</v>
      </c>
      <c r="AY1018" s="18">
        <v>12.090157480314961</v>
      </c>
      <c r="AZ1018" s="10" t="s">
        <v>168</v>
      </c>
      <c r="BA1018" s="20" t="b">
        <v>0</v>
      </c>
      <c r="BB1018" s="10"/>
      <c r="BC1018" s="17">
        <v>2390</v>
      </c>
      <c r="BD1018" s="17">
        <v>1905</v>
      </c>
      <c r="BE1018" s="17">
        <v>23031.75</v>
      </c>
      <c r="BF1018" s="17">
        <v>0</v>
      </c>
      <c r="BG1018" s="11">
        <f ca="1">IFERROR(__xludf.DUMMYFUNCTION("""COMPUTED_VALUE"""),45971.1458333333)</f>
        <v>45971.145833333299</v>
      </c>
      <c r="BH1018" s="17" t="s">
        <v>105</v>
      </c>
      <c r="BI1018" s="17"/>
      <c r="BJ1018" s="15"/>
      <c r="BK1018" s="15"/>
      <c r="BL1018" s="13" t="b">
        <v>0</v>
      </c>
      <c r="BM1018" s="10"/>
      <c r="BN1018" s="10" t="s">
        <v>118</v>
      </c>
      <c r="BO1018" s="11">
        <v>45877.289583333331</v>
      </c>
      <c r="BP1018" s="11">
        <v>45930.741261574076</v>
      </c>
      <c r="BQ1018" s="15">
        <v>45960.689525462964</v>
      </c>
      <c r="BR1018" s="15">
        <v>45969.705590277779</v>
      </c>
      <c r="BS1018" s="10" t="s">
        <v>118</v>
      </c>
      <c r="BT1018" s="10" t="s">
        <v>99</v>
      </c>
      <c r="BU1018" s="10"/>
      <c r="BV1018" s="10"/>
      <c r="BW1018" s="10"/>
      <c r="BX1018" s="10"/>
      <c r="BY1018" s="23"/>
      <c r="BZ1018" s="23"/>
      <c r="CA1018" s="19" t="s">
        <v>8119</v>
      </c>
      <c r="CB1018" s="19" t="s">
        <v>8120</v>
      </c>
      <c r="CC1018" s="23"/>
      <c r="CD1018" s="23"/>
      <c r="CE1018" s="23"/>
      <c r="CF1018" s="23"/>
      <c r="CG1018" s="23"/>
      <c r="CH1018" s="23"/>
      <c r="CI1018" s="23"/>
    </row>
    <row r="1019" spans="1:87" x14ac:dyDescent="0.3">
      <c r="A1019" s="9" t="s">
        <v>8121</v>
      </c>
      <c r="B1019" s="10" t="s">
        <v>8122</v>
      </c>
      <c r="C1019" s="11">
        <v>45991.041666666664</v>
      </c>
      <c r="D1019" s="12">
        <v>8.3333333333333329E-2</v>
      </c>
      <c r="E1019" s="11">
        <v>45991.125</v>
      </c>
      <c r="F1019" s="10" t="s">
        <v>7855</v>
      </c>
      <c r="G1019" s="13" t="b">
        <v>0</v>
      </c>
      <c r="H1019" s="10" t="s">
        <v>3478</v>
      </c>
      <c r="I1019" s="10" t="s">
        <v>89</v>
      </c>
      <c r="J1019" s="13" t="b">
        <v>0</v>
      </c>
      <c r="K1019" s="13" t="b">
        <v>1</v>
      </c>
      <c r="L1019" s="10" t="s">
        <v>124</v>
      </c>
      <c r="M1019" s="10" t="s">
        <v>91</v>
      </c>
      <c r="N1019" s="10" t="s">
        <v>92</v>
      </c>
      <c r="O1019" s="19" t="s">
        <v>8123</v>
      </c>
      <c r="P1019" s="10"/>
      <c r="Q1019" s="10" t="s">
        <v>94</v>
      </c>
      <c r="R1019" s="10"/>
      <c r="S1019" s="19" t="s">
        <v>8124</v>
      </c>
      <c r="T1019" s="19" t="s">
        <v>8125</v>
      </c>
      <c r="U1019" s="10" t="s">
        <v>7962</v>
      </c>
      <c r="V1019" s="10" t="s">
        <v>3582</v>
      </c>
      <c r="W1019" s="10" t="s">
        <v>7860</v>
      </c>
      <c r="X1019" s="10" t="s">
        <v>130</v>
      </c>
      <c r="Y1019" s="10" t="s">
        <v>130</v>
      </c>
      <c r="Z1019" s="10" t="s">
        <v>99</v>
      </c>
      <c r="AA1019" s="10" t="s">
        <v>131</v>
      </c>
      <c r="AB1019" s="10" t="s">
        <v>7861</v>
      </c>
      <c r="AC1019" s="10" t="s">
        <v>7862</v>
      </c>
      <c r="AD1019" s="10" t="s">
        <v>8126</v>
      </c>
      <c r="AE1019" s="10" t="s">
        <v>8127</v>
      </c>
      <c r="AF1019" s="15"/>
      <c r="AG1019" s="10"/>
      <c r="AH1019" s="10"/>
      <c r="AI1019" s="10"/>
      <c r="AJ1019" s="10"/>
      <c r="AK1019" s="10" t="s">
        <v>102</v>
      </c>
      <c r="AL1019" s="10" t="s">
        <v>1467</v>
      </c>
      <c r="AM1019" s="10"/>
      <c r="AN1019" s="10"/>
      <c r="AO1019" s="13" t="b">
        <v>0</v>
      </c>
      <c r="AP1019" s="10" t="s">
        <v>104</v>
      </c>
      <c r="AQ1019" s="10">
        <f ca="1">IFERROR(__xludf.DUMMYFUNCTION("""COMPUTED_VALUE"""),4741011)</f>
        <v>4741011</v>
      </c>
      <c r="AR1019" s="17">
        <v>2744</v>
      </c>
      <c r="AS1019" s="17">
        <v>2137</v>
      </c>
      <c r="AT1019" s="17">
        <v>47285</v>
      </c>
      <c r="AU1019" s="17">
        <v>4.95</v>
      </c>
      <c r="AV1019" s="17">
        <v>0.6</v>
      </c>
      <c r="AW1019" s="10" t="s">
        <v>105</v>
      </c>
      <c r="AX1019" s="17">
        <v>729</v>
      </c>
      <c r="AY1019" s="18">
        <v>22.126813289658401</v>
      </c>
      <c r="AZ1019" s="10" t="s">
        <v>168</v>
      </c>
      <c r="BA1019" s="20" t="b">
        <v>0</v>
      </c>
      <c r="BB1019" s="10"/>
      <c r="BC1019" s="17">
        <v>2744</v>
      </c>
      <c r="BD1019" s="17">
        <v>2137</v>
      </c>
      <c r="BE1019" s="17">
        <v>47285</v>
      </c>
      <c r="BF1019" s="17">
        <v>0.6</v>
      </c>
      <c r="BG1019" s="11">
        <f ca="1">IFERROR(__xludf.DUMMYFUNCTION("""COMPUTED_VALUE"""),45991.0416666666)</f>
        <v>45991.041666666599</v>
      </c>
      <c r="BH1019" s="17" t="s">
        <v>105</v>
      </c>
      <c r="BI1019" s="17"/>
      <c r="BJ1019" s="15"/>
      <c r="BK1019" s="15"/>
      <c r="BL1019" s="13" t="b">
        <v>0</v>
      </c>
      <c r="BM1019" s="10"/>
      <c r="BN1019" s="10" t="s">
        <v>6278</v>
      </c>
      <c r="BO1019" s="11">
        <v>45877.289583333331</v>
      </c>
      <c r="BP1019" s="11">
        <v>45984.374247685184</v>
      </c>
      <c r="BQ1019" s="15">
        <v>45988.678530092591</v>
      </c>
      <c r="BR1019" s="15">
        <v>45988.690324074072</v>
      </c>
      <c r="BS1019" s="10" t="s">
        <v>6278</v>
      </c>
      <c r="BT1019" s="10" t="s">
        <v>99</v>
      </c>
      <c r="BU1019" s="10" t="s">
        <v>456</v>
      </c>
      <c r="BV1019" s="10"/>
      <c r="BW1019" s="10"/>
      <c r="BX1019" s="10"/>
      <c r="BY1019" s="23"/>
      <c r="BZ1019" s="23"/>
      <c r="CA1019" s="19" t="s">
        <v>8128</v>
      </c>
      <c r="CB1019" s="19" t="s">
        <v>8129</v>
      </c>
      <c r="CC1019" s="23"/>
      <c r="CD1019" s="23"/>
      <c r="CE1019" s="23"/>
      <c r="CF1019" s="23"/>
      <c r="CG1019" s="23"/>
      <c r="CH1019" s="23"/>
      <c r="CI1019" s="23"/>
    </row>
    <row r="1020" spans="1:87" x14ac:dyDescent="0.3">
      <c r="A1020" s="9" t="s">
        <v>8130</v>
      </c>
      <c r="B1020" s="10" t="s">
        <v>8131</v>
      </c>
      <c r="C1020" s="11">
        <v>45992.041666666664</v>
      </c>
      <c r="D1020" s="12">
        <v>8.3333333333333329E-2</v>
      </c>
      <c r="E1020" s="11">
        <v>45992.125</v>
      </c>
      <c r="F1020" s="10" t="s">
        <v>7855</v>
      </c>
      <c r="G1020" s="13" t="b">
        <v>0</v>
      </c>
      <c r="H1020" s="10" t="s">
        <v>7949</v>
      </c>
      <c r="I1020" s="10" t="s">
        <v>89</v>
      </c>
      <c r="J1020" s="13" t="b">
        <v>0</v>
      </c>
      <c r="K1020" s="13" t="b">
        <v>1</v>
      </c>
      <c r="L1020" s="10" t="s">
        <v>124</v>
      </c>
      <c r="M1020" s="10" t="s">
        <v>91</v>
      </c>
      <c r="N1020" s="10" t="s">
        <v>92</v>
      </c>
      <c r="O1020" s="19" t="s">
        <v>8132</v>
      </c>
      <c r="P1020" s="10"/>
      <c r="Q1020" s="10" t="s">
        <v>94</v>
      </c>
      <c r="R1020" s="10"/>
      <c r="S1020" s="19" t="s">
        <v>8133</v>
      </c>
      <c r="T1020" s="19" t="s">
        <v>8125</v>
      </c>
      <c r="U1020" s="10" t="s">
        <v>7859</v>
      </c>
      <c r="V1020" s="10" t="s">
        <v>7933</v>
      </c>
      <c r="W1020" s="10" t="s">
        <v>7860</v>
      </c>
      <c r="X1020" s="10" t="s">
        <v>130</v>
      </c>
      <c r="Y1020" s="10" t="s">
        <v>130</v>
      </c>
      <c r="Z1020" s="10" t="s">
        <v>99</v>
      </c>
      <c r="AA1020" s="10" t="s">
        <v>131</v>
      </c>
      <c r="AB1020" s="10" t="s">
        <v>7861</v>
      </c>
      <c r="AC1020" s="10" t="s">
        <v>7862</v>
      </c>
      <c r="AD1020" s="10" t="s">
        <v>8134</v>
      </c>
      <c r="AE1020" s="10" t="s">
        <v>8135</v>
      </c>
      <c r="AF1020" s="15"/>
      <c r="AG1020" s="10"/>
      <c r="AH1020" s="10"/>
      <c r="AI1020" s="10"/>
      <c r="AJ1020" s="10"/>
      <c r="AK1020" s="10" t="s">
        <v>102</v>
      </c>
      <c r="AL1020" s="10" t="s">
        <v>1467</v>
      </c>
      <c r="AM1020" s="10"/>
      <c r="AN1020" s="10"/>
      <c r="AO1020" s="13" t="b">
        <v>0</v>
      </c>
      <c r="AP1020" s="10" t="s">
        <v>104</v>
      </c>
      <c r="AQ1020" s="10">
        <f ca="1">IFERROR(__xludf.DUMMYFUNCTION("""COMPUTED_VALUE"""),4741384)</f>
        <v>4741384</v>
      </c>
      <c r="AR1020" s="17">
        <v>1907</v>
      </c>
      <c r="AS1020" s="17">
        <v>1576</v>
      </c>
      <c r="AT1020" s="17">
        <v>22605.25</v>
      </c>
      <c r="AU1020" s="17">
        <v>2.75</v>
      </c>
      <c r="AV1020" s="17">
        <v>1</v>
      </c>
      <c r="AW1020" s="10" t="s">
        <v>105</v>
      </c>
      <c r="AX1020" s="17">
        <v>432</v>
      </c>
      <c r="AY1020" s="18">
        <v>14.343432741116752</v>
      </c>
      <c r="AZ1020" s="10" t="s">
        <v>168</v>
      </c>
      <c r="BA1020" s="20" t="b">
        <v>0</v>
      </c>
      <c r="BB1020" s="10"/>
      <c r="BC1020" s="17">
        <v>1907</v>
      </c>
      <c r="BD1020" s="17">
        <v>1576</v>
      </c>
      <c r="BE1020" s="17">
        <v>22605.25</v>
      </c>
      <c r="BF1020" s="17">
        <v>1</v>
      </c>
      <c r="BG1020" s="11">
        <f ca="1">IFERROR(__xludf.DUMMYFUNCTION("""COMPUTED_VALUE"""),45992.0416666666)</f>
        <v>45992.041666666599</v>
      </c>
      <c r="BH1020" s="17" t="s">
        <v>105</v>
      </c>
      <c r="BI1020" s="17"/>
      <c r="BJ1020" s="15"/>
      <c r="BK1020" s="15"/>
      <c r="BL1020" s="13" t="b">
        <v>0</v>
      </c>
      <c r="BM1020" s="10"/>
      <c r="BN1020" s="10" t="s">
        <v>667</v>
      </c>
      <c r="BO1020" s="11">
        <v>45877.289583333331</v>
      </c>
      <c r="BP1020" s="11">
        <v>45930.741400462961</v>
      </c>
      <c r="BQ1020" s="15">
        <v>45988.700277777774</v>
      </c>
      <c r="BR1020" s="15">
        <v>45989.575474537036</v>
      </c>
      <c r="BS1020" s="10" t="s">
        <v>667</v>
      </c>
      <c r="BT1020" s="10" t="s">
        <v>99</v>
      </c>
      <c r="BU1020" s="10" t="s">
        <v>298</v>
      </c>
      <c r="BV1020" s="10"/>
      <c r="BW1020" s="10"/>
      <c r="BX1020" s="10"/>
      <c r="BY1020" s="23"/>
      <c r="BZ1020" s="23"/>
      <c r="CA1020" s="19" t="s">
        <v>8136</v>
      </c>
      <c r="CB1020" s="19" t="s">
        <v>8137</v>
      </c>
      <c r="CC1020" s="23"/>
      <c r="CD1020" s="23"/>
      <c r="CE1020" s="23"/>
      <c r="CF1020" s="23"/>
      <c r="CG1020" s="23"/>
      <c r="CH1020" s="23"/>
      <c r="CI1020" s="23"/>
    </row>
    <row r="1021" spans="1:87" x14ac:dyDescent="0.3">
      <c r="A1021" s="9" t="s">
        <v>8138</v>
      </c>
      <c r="B1021" s="10" t="s">
        <v>8139</v>
      </c>
      <c r="C1021" s="11">
        <v>45997.135416666664</v>
      </c>
      <c r="D1021" s="12">
        <v>8.3333333333333329E-2</v>
      </c>
      <c r="E1021" s="11">
        <v>45997.21875</v>
      </c>
      <c r="F1021" s="10" t="s">
        <v>7855</v>
      </c>
      <c r="G1021" s="13" t="b">
        <v>0</v>
      </c>
      <c r="H1021" s="10" t="s">
        <v>7949</v>
      </c>
      <c r="I1021" s="10" t="s">
        <v>89</v>
      </c>
      <c r="J1021" s="13" t="b">
        <v>0</v>
      </c>
      <c r="K1021" s="13" t="b">
        <v>1</v>
      </c>
      <c r="L1021" s="10" t="s">
        <v>124</v>
      </c>
      <c r="M1021" s="10" t="s">
        <v>91</v>
      </c>
      <c r="N1021" s="10" t="s">
        <v>92</v>
      </c>
      <c r="O1021" s="19" t="s">
        <v>8140</v>
      </c>
      <c r="P1021" s="10"/>
      <c r="Q1021" s="10" t="s">
        <v>126</v>
      </c>
      <c r="R1021" s="10"/>
      <c r="S1021" s="19" t="s">
        <v>8141</v>
      </c>
      <c r="T1021" s="10"/>
      <c r="U1021" s="10" t="s">
        <v>3582</v>
      </c>
      <c r="V1021" s="10" t="s">
        <v>7859</v>
      </c>
      <c r="W1021" s="10" t="s">
        <v>7860</v>
      </c>
      <c r="X1021" s="10" t="s">
        <v>130</v>
      </c>
      <c r="Y1021" s="10" t="s">
        <v>130</v>
      </c>
      <c r="Z1021" s="10" t="s">
        <v>99</v>
      </c>
      <c r="AA1021" s="10" t="s">
        <v>131</v>
      </c>
      <c r="AB1021" s="10" t="s">
        <v>7861</v>
      </c>
      <c r="AC1021" s="10" t="s">
        <v>7862</v>
      </c>
      <c r="AD1021" s="10" t="s">
        <v>8142</v>
      </c>
      <c r="AE1021" s="10" t="s">
        <v>8143</v>
      </c>
      <c r="AF1021" s="15"/>
      <c r="AG1021" s="10"/>
      <c r="AH1021" s="10"/>
      <c r="AI1021" s="10"/>
      <c r="AJ1021" s="10"/>
      <c r="AK1021" s="10" t="s">
        <v>102</v>
      </c>
      <c r="AL1021" s="10" t="s">
        <v>1569</v>
      </c>
      <c r="AM1021" s="10"/>
      <c r="AN1021" s="10"/>
      <c r="AO1021" s="13" t="b">
        <v>0</v>
      </c>
      <c r="AP1021" s="10" t="s">
        <v>104</v>
      </c>
      <c r="AQ1021" s="10">
        <f ca="1">IFERROR(__xludf.DUMMYFUNCTION("""COMPUTED_VALUE"""),4741386)</f>
        <v>4741386</v>
      </c>
      <c r="AR1021" s="17">
        <v>5663</v>
      </c>
      <c r="AS1021" s="17">
        <v>4242</v>
      </c>
      <c r="AT1021" s="17">
        <v>107820.5</v>
      </c>
      <c r="AU1021" s="17">
        <v>9.4499999999999993</v>
      </c>
      <c r="AV1021" s="17">
        <v>1</v>
      </c>
      <c r="AW1021" s="10" t="s">
        <v>105</v>
      </c>
      <c r="AX1021" s="17">
        <v>1479</v>
      </c>
      <c r="AY1021" s="18">
        <v>25.417373880245169</v>
      </c>
      <c r="AZ1021" s="10" t="s">
        <v>168</v>
      </c>
      <c r="BA1021" s="20" t="b">
        <v>0</v>
      </c>
      <c r="BB1021" s="10"/>
      <c r="BC1021" s="17">
        <v>5663</v>
      </c>
      <c r="BD1021" s="17">
        <v>4242</v>
      </c>
      <c r="BE1021" s="17">
        <v>107820.5</v>
      </c>
      <c r="BF1021" s="17">
        <v>1</v>
      </c>
      <c r="BG1021" s="11">
        <f ca="1">IFERROR(__xludf.DUMMYFUNCTION("""COMPUTED_VALUE"""),45997.1354166666)</f>
        <v>45997.135416666599</v>
      </c>
      <c r="BH1021" s="17" t="s">
        <v>105</v>
      </c>
      <c r="BI1021" s="17"/>
      <c r="BJ1021" s="15"/>
      <c r="BK1021" s="15"/>
      <c r="BL1021" s="13" t="b">
        <v>0</v>
      </c>
      <c r="BM1021" s="10"/>
      <c r="BN1021" s="10" t="s">
        <v>149</v>
      </c>
      <c r="BO1021" s="11">
        <v>45877.289583333331</v>
      </c>
      <c r="BP1021" s="11">
        <v>45930.740439814814</v>
      </c>
      <c r="BQ1021" s="15">
        <v>45988.770219907405</v>
      </c>
      <c r="BR1021" s="15">
        <v>45989.71979166667</v>
      </c>
      <c r="BS1021" s="10" t="s">
        <v>149</v>
      </c>
      <c r="BT1021" s="10" t="s">
        <v>99</v>
      </c>
      <c r="BU1021" s="10"/>
      <c r="BV1021" s="10"/>
      <c r="BW1021" s="10"/>
      <c r="BX1021" s="10"/>
      <c r="BY1021" s="23"/>
      <c r="BZ1021" s="23"/>
      <c r="CA1021" s="19" t="s">
        <v>8144</v>
      </c>
      <c r="CB1021" s="23"/>
      <c r="CC1021" s="23"/>
      <c r="CD1021" s="19" t="s">
        <v>8145</v>
      </c>
      <c r="CE1021" s="23"/>
      <c r="CF1021" s="23"/>
      <c r="CG1021" s="23"/>
      <c r="CH1021" s="23"/>
      <c r="CI1021" s="23"/>
    </row>
    <row r="1022" spans="1:87" x14ac:dyDescent="0.3">
      <c r="A1022" s="9" t="s">
        <v>8146</v>
      </c>
      <c r="B1022" s="10" t="s">
        <v>8147</v>
      </c>
      <c r="C1022" s="11">
        <v>45999.145833333336</v>
      </c>
      <c r="D1022" s="12">
        <v>8.3333333333333329E-2</v>
      </c>
      <c r="E1022" s="11">
        <v>45999.229166666664</v>
      </c>
      <c r="F1022" s="10" t="s">
        <v>7855</v>
      </c>
      <c r="G1022" s="13" t="b">
        <v>0</v>
      </c>
      <c r="H1022" s="10" t="s">
        <v>7949</v>
      </c>
      <c r="I1022" s="10" t="s">
        <v>89</v>
      </c>
      <c r="J1022" s="13" t="b">
        <v>0</v>
      </c>
      <c r="K1022" s="13" t="b">
        <v>1</v>
      </c>
      <c r="L1022" s="10" t="s">
        <v>124</v>
      </c>
      <c r="M1022" s="10" t="s">
        <v>91</v>
      </c>
      <c r="N1022" s="10" t="s">
        <v>92</v>
      </c>
      <c r="O1022" s="19" t="s">
        <v>8148</v>
      </c>
      <c r="P1022" s="10"/>
      <c r="Q1022" s="10" t="s">
        <v>94</v>
      </c>
      <c r="R1022" s="10"/>
      <c r="S1022" s="19" t="s">
        <v>8149</v>
      </c>
      <c r="T1022" s="10"/>
      <c r="U1022" s="10" t="s">
        <v>7953</v>
      </c>
      <c r="V1022" s="10" t="s">
        <v>7870</v>
      </c>
      <c r="W1022" s="10" t="s">
        <v>7860</v>
      </c>
      <c r="X1022" s="10" t="s">
        <v>130</v>
      </c>
      <c r="Y1022" s="10" t="s">
        <v>130</v>
      </c>
      <c r="Z1022" s="10" t="s">
        <v>99</v>
      </c>
      <c r="AA1022" s="10" t="s">
        <v>131</v>
      </c>
      <c r="AB1022" s="10" t="s">
        <v>7861</v>
      </c>
      <c r="AC1022" s="10" t="s">
        <v>7862</v>
      </c>
      <c r="AD1022" s="10" t="s">
        <v>8150</v>
      </c>
      <c r="AE1022" s="10" t="s">
        <v>8151</v>
      </c>
      <c r="AF1022" s="15"/>
      <c r="AG1022" s="10"/>
      <c r="AH1022" s="10"/>
      <c r="AI1022" s="10"/>
      <c r="AJ1022" s="10"/>
      <c r="AK1022" s="10" t="s">
        <v>102</v>
      </c>
      <c r="AL1022" s="10" t="s">
        <v>1569</v>
      </c>
      <c r="AM1022" s="10"/>
      <c r="AN1022" s="10"/>
      <c r="AO1022" s="13" t="b">
        <v>0</v>
      </c>
      <c r="AP1022" s="10" t="s">
        <v>104</v>
      </c>
      <c r="AQ1022" s="10">
        <f ca="1">IFERROR(__xludf.DUMMYFUNCTION("""COMPUTED_VALUE"""),4768734)</f>
        <v>4768734</v>
      </c>
      <c r="AR1022" s="17">
        <v>2105</v>
      </c>
      <c r="AS1022" s="17">
        <v>1764</v>
      </c>
      <c r="AT1022" s="17">
        <v>15321.5</v>
      </c>
      <c r="AU1022" s="17">
        <v>1.1000000000000001</v>
      </c>
      <c r="AV1022" s="17">
        <v>0</v>
      </c>
      <c r="AW1022" s="10" t="s">
        <v>105</v>
      </c>
      <c r="AX1022" s="17">
        <v>584</v>
      </c>
      <c r="AY1022" s="18">
        <v>8.6856575963718825</v>
      </c>
      <c r="AZ1022" s="10" t="s">
        <v>168</v>
      </c>
      <c r="BA1022" s="20" t="b">
        <v>0</v>
      </c>
      <c r="BB1022" s="10"/>
      <c r="BC1022" s="17">
        <v>2105</v>
      </c>
      <c r="BD1022" s="17">
        <v>1764</v>
      </c>
      <c r="BE1022" s="17">
        <v>15321.5</v>
      </c>
      <c r="BF1022" s="17">
        <v>0</v>
      </c>
      <c r="BG1022" s="11">
        <f ca="1">IFERROR(__xludf.DUMMYFUNCTION("""COMPUTED_VALUE"""),45999.1458333333)</f>
        <v>45999.145833333299</v>
      </c>
      <c r="BH1022" s="17" t="s">
        <v>105</v>
      </c>
      <c r="BI1022" s="17"/>
      <c r="BJ1022" s="15"/>
      <c r="BK1022" s="15"/>
      <c r="BL1022" s="13" t="b">
        <v>0</v>
      </c>
      <c r="BM1022" s="10"/>
      <c r="BN1022" s="10" t="s">
        <v>1149</v>
      </c>
      <c r="BO1022" s="11">
        <v>45877.289583333331</v>
      </c>
      <c r="BP1022" s="11">
        <v>45930.741539351853</v>
      </c>
      <c r="BQ1022" s="15">
        <v>45988.770497685182</v>
      </c>
      <c r="BR1022" s="15">
        <v>45997.32916666667</v>
      </c>
      <c r="BS1022" s="10" t="s">
        <v>1149</v>
      </c>
      <c r="BT1022" s="10" t="s">
        <v>99</v>
      </c>
      <c r="BU1022" s="10" t="s">
        <v>8057</v>
      </c>
      <c r="BV1022" s="10"/>
      <c r="BW1022" s="10"/>
      <c r="BX1022" s="10"/>
      <c r="BY1022" s="23"/>
      <c r="BZ1022" s="23"/>
      <c r="CA1022" s="19" t="s">
        <v>8152</v>
      </c>
      <c r="CB1022" s="23"/>
      <c r="CC1022" s="23"/>
      <c r="CD1022" s="23"/>
      <c r="CE1022" s="23"/>
      <c r="CF1022" s="23"/>
      <c r="CG1022" s="23"/>
      <c r="CH1022" s="23"/>
      <c r="CI1022" s="23"/>
    </row>
    <row r="1023" spans="1:87" x14ac:dyDescent="0.3">
      <c r="A1023" s="9" t="s">
        <v>8153</v>
      </c>
      <c r="B1023" s="10" t="s">
        <v>8154</v>
      </c>
      <c r="C1023" s="11">
        <v>46005.145833333336</v>
      </c>
      <c r="D1023" s="12">
        <v>8.3333333333333329E-2</v>
      </c>
      <c r="E1023" s="11">
        <v>46005.229166666664</v>
      </c>
      <c r="F1023" s="10" t="s">
        <v>7855</v>
      </c>
      <c r="G1023" s="13" t="b">
        <v>0</v>
      </c>
      <c r="H1023" s="10" t="s">
        <v>7949</v>
      </c>
      <c r="I1023" s="10" t="s">
        <v>89</v>
      </c>
      <c r="J1023" s="13" t="b">
        <v>0</v>
      </c>
      <c r="K1023" s="13" t="b">
        <v>1</v>
      </c>
      <c r="L1023" s="10" t="s">
        <v>124</v>
      </c>
      <c r="M1023" s="10" t="s">
        <v>91</v>
      </c>
      <c r="N1023" s="10" t="s">
        <v>92</v>
      </c>
      <c r="O1023" s="19" t="s">
        <v>8155</v>
      </c>
      <c r="P1023" s="10"/>
      <c r="Q1023" s="10" t="s">
        <v>94</v>
      </c>
      <c r="R1023" s="10"/>
      <c r="S1023" s="19" t="s">
        <v>8156</v>
      </c>
      <c r="T1023" s="19" t="s">
        <v>8157</v>
      </c>
      <c r="U1023" s="10" t="s">
        <v>7859</v>
      </c>
      <c r="V1023" s="10" t="s">
        <v>8010</v>
      </c>
      <c r="W1023" s="10" t="s">
        <v>7860</v>
      </c>
      <c r="X1023" s="10" t="s">
        <v>130</v>
      </c>
      <c r="Y1023" s="10" t="s">
        <v>130</v>
      </c>
      <c r="Z1023" s="10" t="s">
        <v>99</v>
      </c>
      <c r="AA1023" s="10" t="s">
        <v>131</v>
      </c>
      <c r="AB1023" s="10" t="s">
        <v>7861</v>
      </c>
      <c r="AC1023" s="10" t="s">
        <v>7862</v>
      </c>
      <c r="AD1023" s="10" t="s">
        <v>8158</v>
      </c>
      <c r="AE1023" s="10" t="s">
        <v>8159</v>
      </c>
      <c r="AF1023" s="15"/>
      <c r="AG1023" s="10"/>
      <c r="AH1023" s="10"/>
      <c r="AI1023" s="10"/>
      <c r="AJ1023" s="10"/>
      <c r="AK1023" s="10" t="s">
        <v>102</v>
      </c>
      <c r="AL1023" s="10" t="s">
        <v>1671</v>
      </c>
      <c r="AM1023" s="10"/>
      <c r="AN1023" s="10"/>
      <c r="AO1023" s="13" t="b">
        <v>0</v>
      </c>
      <c r="AP1023" s="10" t="s">
        <v>104</v>
      </c>
      <c r="AQ1023" s="10">
        <f ca="1">IFERROR(__xludf.DUMMYFUNCTION("""COMPUTED_VALUE"""),4773352)</f>
        <v>4773352</v>
      </c>
      <c r="AR1023" s="17">
        <v>1723</v>
      </c>
      <c r="AS1023" s="17">
        <v>1417</v>
      </c>
      <c r="AT1023" s="17">
        <v>16931.75</v>
      </c>
      <c r="AU1023" s="17">
        <v>3.2</v>
      </c>
      <c r="AV1023" s="17">
        <v>0.15</v>
      </c>
      <c r="AW1023" s="10" t="s">
        <v>105</v>
      </c>
      <c r="AX1023" s="17">
        <v>455</v>
      </c>
      <c r="AY1023" s="18">
        <v>11.949011997177134</v>
      </c>
      <c r="AZ1023" s="10" t="s">
        <v>168</v>
      </c>
      <c r="BA1023" s="20" t="b">
        <v>0</v>
      </c>
      <c r="BB1023" s="10"/>
      <c r="BC1023" s="17">
        <v>1723</v>
      </c>
      <c r="BD1023" s="17">
        <v>1417</v>
      </c>
      <c r="BE1023" s="17">
        <v>16931.75</v>
      </c>
      <c r="BF1023" s="17">
        <v>0.15</v>
      </c>
      <c r="BG1023" s="11">
        <f ca="1">IFERROR(__xludf.DUMMYFUNCTION("""COMPUTED_VALUE"""),46005.1458333333)</f>
        <v>46005.145833333299</v>
      </c>
      <c r="BH1023" s="17" t="s">
        <v>105</v>
      </c>
      <c r="BI1023" s="17"/>
      <c r="BJ1023" s="15"/>
      <c r="BK1023" s="15"/>
      <c r="BL1023" s="13" t="b">
        <v>0</v>
      </c>
      <c r="BM1023" s="10"/>
      <c r="BN1023" s="10" t="s">
        <v>137</v>
      </c>
      <c r="BO1023" s="11">
        <v>45877.289583333331</v>
      </c>
      <c r="BP1023" s="11">
        <v>45994.474803240744</v>
      </c>
      <c r="BQ1023" s="15">
        <v>46001.448703703703</v>
      </c>
      <c r="BR1023" s="15">
        <v>46001.582245370373</v>
      </c>
      <c r="BS1023" s="10" t="s">
        <v>137</v>
      </c>
      <c r="BT1023" s="10" t="s">
        <v>99</v>
      </c>
      <c r="BU1023" s="10"/>
      <c r="BV1023" s="10"/>
      <c r="BW1023" s="10"/>
      <c r="BX1023" s="10"/>
      <c r="BY1023" s="23"/>
      <c r="BZ1023" s="23"/>
      <c r="CA1023" s="19" t="s">
        <v>8160</v>
      </c>
      <c r="CB1023" s="19" t="s">
        <v>8161</v>
      </c>
      <c r="CC1023" s="23"/>
      <c r="CD1023" s="23"/>
      <c r="CE1023" s="23"/>
      <c r="CF1023" s="23"/>
      <c r="CG1023" s="23"/>
      <c r="CH1023" s="23"/>
      <c r="CI1023" s="23"/>
    </row>
    <row r="1024" spans="1:87" x14ac:dyDescent="0.3">
      <c r="A1024" s="9" t="s">
        <v>8162</v>
      </c>
      <c r="B1024" s="10" t="s">
        <v>8163</v>
      </c>
      <c r="C1024" s="11">
        <v>46007.15625</v>
      </c>
      <c r="D1024" s="12">
        <v>8.3333333333333329E-2</v>
      </c>
      <c r="E1024" s="11">
        <v>46007.239583333336</v>
      </c>
      <c r="F1024" s="10" t="s">
        <v>7855</v>
      </c>
      <c r="G1024" s="13" t="b">
        <v>0</v>
      </c>
      <c r="H1024" s="10" t="s">
        <v>7949</v>
      </c>
      <c r="I1024" s="10" t="s">
        <v>89</v>
      </c>
      <c r="J1024" s="13" t="b">
        <v>0</v>
      </c>
      <c r="K1024" s="13" t="b">
        <v>1</v>
      </c>
      <c r="L1024" s="10" t="s">
        <v>124</v>
      </c>
      <c r="M1024" s="10" t="s">
        <v>91</v>
      </c>
      <c r="N1024" s="10" t="s">
        <v>92</v>
      </c>
      <c r="O1024" s="19" t="s">
        <v>8164</v>
      </c>
      <c r="P1024" s="10"/>
      <c r="Q1024" s="10" t="s">
        <v>94</v>
      </c>
      <c r="R1024" s="10"/>
      <c r="S1024" s="19" t="s">
        <v>8165</v>
      </c>
      <c r="T1024" s="19" t="s">
        <v>8166</v>
      </c>
      <c r="U1024" s="10" t="s">
        <v>7870</v>
      </c>
      <c r="V1024" s="10" t="s">
        <v>7933</v>
      </c>
      <c r="W1024" s="10" t="s">
        <v>7860</v>
      </c>
      <c r="X1024" s="10" t="s">
        <v>130</v>
      </c>
      <c r="Y1024" s="10" t="s">
        <v>130</v>
      </c>
      <c r="Z1024" s="10" t="s">
        <v>99</v>
      </c>
      <c r="AA1024" s="10" t="s">
        <v>131</v>
      </c>
      <c r="AB1024" s="10" t="s">
        <v>7861</v>
      </c>
      <c r="AC1024" s="10" t="s">
        <v>7862</v>
      </c>
      <c r="AD1024" s="10" t="s">
        <v>8167</v>
      </c>
      <c r="AE1024" s="10" t="s">
        <v>8168</v>
      </c>
      <c r="AF1024" s="15"/>
      <c r="AG1024" s="10"/>
      <c r="AH1024" s="10"/>
      <c r="AI1024" s="10"/>
      <c r="AJ1024" s="10"/>
      <c r="AK1024" s="10" t="s">
        <v>102</v>
      </c>
      <c r="AL1024" s="10" t="s">
        <v>1671</v>
      </c>
      <c r="AM1024" s="10"/>
      <c r="AN1024" s="10"/>
      <c r="AO1024" s="13" t="b">
        <v>0</v>
      </c>
      <c r="AP1024" s="10" t="s">
        <v>104</v>
      </c>
      <c r="AQ1024" s="10">
        <f ca="1">IFERROR(__xludf.DUMMYFUNCTION("""COMPUTED_VALUE"""),4779534)</f>
        <v>4779534</v>
      </c>
      <c r="AR1024" s="17">
        <v>2443</v>
      </c>
      <c r="AS1024" s="17">
        <v>1937</v>
      </c>
      <c r="AT1024" s="17">
        <v>25177.75</v>
      </c>
      <c r="AU1024" s="17">
        <v>1.9</v>
      </c>
      <c r="AV1024" s="17">
        <v>0</v>
      </c>
      <c r="AW1024" s="10" t="s">
        <v>105</v>
      </c>
      <c r="AX1024" s="17">
        <v>593</v>
      </c>
      <c r="AY1024" s="18">
        <v>12.998322147651006</v>
      </c>
      <c r="AZ1024" s="10" t="s">
        <v>168</v>
      </c>
      <c r="BA1024" s="20" t="b">
        <v>0</v>
      </c>
      <c r="BB1024" s="10"/>
      <c r="BC1024" s="17">
        <v>2443</v>
      </c>
      <c r="BD1024" s="17">
        <v>1937</v>
      </c>
      <c r="BE1024" s="17">
        <v>25177.75</v>
      </c>
      <c r="BF1024" s="17">
        <v>0</v>
      </c>
      <c r="BG1024" s="11">
        <f ca="1">IFERROR(__xludf.DUMMYFUNCTION("""COMPUTED_VALUE"""),46007.15625)</f>
        <v>46007.15625</v>
      </c>
      <c r="BH1024" s="17" t="s">
        <v>105</v>
      </c>
      <c r="BI1024" s="17"/>
      <c r="BJ1024" s="15"/>
      <c r="BK1024" s="15"/>
      <c r="BL1024" s="13" t="b">
        <v>0</v>
      </c>
      <c r="BM1024" s="10"/>
      <c r="BN1024" s="10" t="s">
        <v>278</v>
      </c>
      <c r="BO1024" s="11">
        <v>45877.289583333331</v>
      </c>
      <c r="BP1024" s="11">
        <v>45994.475092592591</v>
      </c>
      <c r="BQ1024" s="15">
        <v>46001.452974537038</v>
      </c>
      <c r="BR1024" s="15">
        <v>46005.43240740741</v>
      </c>
      <c r="BS1024" s="10" t="s">
        <v>278</v>
      </c>
      <c r="BT1024" s="10" t="s">
        <v>279</v>
      </c>
      <c r="BU1024" s="10" t="s">
        <v>655</v>
      </c>
      <c r="BV1024" s="10"/>
      <c r="BW1024" s="10"/>
      <c r="BX1024" s="10"/>
      <c r="BY1024" s="23"/>
      <c r="BZ1024" s="23"/>
      <c r="CA1024" s="19" t="s">
        <v>8169</v>
      </c>
      <c r="CB1024" s="19" t="s">
        <v>8170</v>
      </c>
      <c r="CC1024" s="23"/>
      <c r="CD1024" s="23"/>
      <c r="CE1024" s="23"/>
      <c r="CF1024" s="23"/>
      <c r="CG1024" s="23"/>
      <c r="CH1024" s="23"/>
      <c r="CI1024" s="23"/>
    </row>
    <row r="1025" spans="1:87" x14ac:dyDescent="0.3">
      <c r="A1025" s="9" t="s">
        <v>8171</v>
      </c>
      <c r="B1025" s="10" t="s">
        <v>8172</v>
      </c>
      <c r="C1025" s="11">
        <v>46015.15625</v>
      </c>
      <c r="D1025" s="12">
        <v>8.3333333333333329E-2</v>
      </c>
      <c r="E1025" s="11">
        <v>46015.239583333336</v>
      </c>
      <c r="F1025" s="10" t="s">
        <v>7855</v>
      </c>
      <c r="G1025" s="13" t="b">
        <v>0</v>
      </c>
      <c r="H1025" s="10" t="s">
        <v>3478</v>
      </c>
      <c r="I1025" s="10" t="s">
        <v>89</v>
      </c>
      <c r="J1025" s="13" t="b">
        <v>0</v>
      </c>
      <c r="K1025" s="13" t="b">
        <v>1</v>
      </c>
      <c r="L1025" s="10" t="s">
        <v>124</v>
      </c>
      <c r="M1025" s="10" t="s">
        <v>91</v>
      </c>
      <c r="N1025" s="10" t="s">
        <v>92</v>
      </c>
      <c r="O1025" s="19" t="s">
        <v>8173</v>
      </c>
      <c r="P1025" s="10"/>
      <c r="Q1025" s="10" t="s">
        <v>94</v>
      </c>
      <c r="R1025" s="10"/>
      <c r="S1025" s="19" t="s">
        <v>8174</v>
      </c>
      <c r="T1025" s="19" t="s">
        <v>8175</v>
      </c>
      <c r="U1025" s="10" t="s">
        <v>7871</v>
      </c>
      <c r="V1025" s="10" t="s">
        <v>7859</v>
      </c>
      <c r="W1025" s="10" t="s">
        <v>7860</v>
      </c>
      <c r="X1025" s="10" t="s">
        <v>130</v>
      </c>
      <c r="Y1025" s="10" t="s">
        <v>130</v>
      </c>
      <c r="Z1025" s="10" t="s">
        <v>99</v>
      </c>
      <c r="AA1025" s="10" t="s">
        <v>131</v>
      </c>
      <c r="AB1025" s="10" t="s">
        <v>7861</v>
      </c>
      <c r="AC1025" s="10" t="s">
        <v>7862</v>
      </c>
      <c r="AD1025" s="10" t="s">
        <v>8176</v>
      </c>
      <c r="AE1025" s="10" t="s">
        <v>8177</v>
      </c>
      <c r="AF1025" s="15"/>
      <c r="AG1025" s="10"/>
      <c r="AH1025" s="10"/>
      <c r="AI1025" s="10"/>
      <c r="AJ1025" s="10"/>
      <c r="AK1025" s="10" t="s">
        <v>102</v>
      </c>
      <c r="AL1025" s="10" t="s">
        <v>1773</v>
      </c>
      <c r="AM1025" s="10"/>
      <c r="AN1025" s="10"/>
      <c r="AO1025" s="13" t="b">
        <v>0</v>
      </c>
      <c r="AP1025" s="10" t="s">
        <v>104</v>
      </c>
      <c r="AQ1025" s="10">
        <f ca="1">IFERROR(__xludf.DUMMYFUNCTION("""COMPUTED_VALUE"""),4790712)</f>
        <v>4790712</v>
      </c>
      <c r="AR1025" s="17">
        <v>3695</v>
      </c>
      <c r="AS1025" s="17">
        <v>2833</v>
      </c>
      <c r="AT1025" s="17">
        <v>40640.5</v>
      </c>
      <c r="AU1025" s="17">
        <v>4.5999999999999996</v>
      </c>
      <c r="AV1025" s="17">
        <v>1.25</v>
      </c>
      <c r="AW1025" s="10" t="s">
        <v>105</v>
      </c>
      <c r="AX1025" s="17">
        <v>887</v>
      </c>
      <c r="AY1025" s="18">
        <v>14.345393575714789</v>
      </c>
      <c r="AZ1025" s="10" t="s">
        <v>168</v>
      </c>
      <c r="BA1025" s="20" t="b">
        <v>0</v>
      </c>
      <c r="BB1025" s="10"/>
      <c r="BC1025" s="17">
        <v>3695</v>
      </c>
      <c r="BD1025" s="17">
        <v>2833</v>
      </c>
      <c r="BE1025" s="17">
        <v>40640.5</v>
      </c>
      <c r="BF1025" s="17">
        <v>1.25</v>
      </c>
      <c r="BG1025" s="11">
        <f ca="1">IFERROR(__xludf.DUMMYFUNCTION("""COMPUTED_VALUE"""),46015.15625)</f>
        <v>46015.15625</v>
      </c>
      <c r="BH1025" s="17" t="s">
        <v>105</v>
      </c>
      <c r="BI1025" s="17"/>
      <c r="BJ1025" s="15"/>
      <c r="BK1025" s="15"/>
      <c r="BL1025" s="13" t="b">
        <v>0</v>
      </c>
      <c r="BM1025" s="10"/>
      <c r="BN1025" s="10" t="s">
        <v>278</v>
      </c>
      <c r="BO1025" s="11">
        <v>45877.289583333331</v>
      </c>
      <c r="BP1025" s="11">
        <v>46013.031168981484</v>
      </c>
      <c r="BQ1025" s="15">
        <v>46001.453472222223</v>
      </c>
      <c r="BR1025" s="15">
        <v>46013.350578703707</v>
      </c>
      <c r="BS1025" s="10" t="s">
        <v>278</v>
      </c>
      <c r="BT1025" s="10" t="s">
        <v>279</v>
      </c>
      <c r="BU1025" s="10" t="s">
        <v>498</v>
      </c>
      <c r="BV1025" s="10"/>
      <c r="BW1025" s="10"/>
      <c r="BX1025" s="10"/>
      <c r="BY1025" s="23"/>
      <c r="BZ1025" s="23"/>
      <c r="CA1025" s="19" t="s">
        <v>8178</v>
      </c>
      <c r="CB1025" s="19" t="s">
        <v>8179</v>
      </c>
      <c r="CC1025" s="23"/>
      <c r="CD1025" s="23"/>
      <c r="CE1025" s="23"/>
      <c r="CF1025" s="23"/>
      <c r="CG1025" s="23"/>
      <c r="CH1025" s="23"/>
      <c r="CI1025" s="23"/>
    </row>
    <row r="1026" spans="1:87" x14ac:dyDescent="0.3">
      <c r="A1026" s="9" t="s">
        <v>8180</v>
      </c>
      <c r="B1026" s="10" t="s">
        <v>8181</v>
      </c>
      <c r="C1026" s="11">
        <v>46014.15625</v>
      </c>
      <c r="D1026" s="12">
        <v>8.3333333333333329E-2</v>
      </c>
      <c r="E1026" s="11">
        <v>46014.239583333336</v>
      </c>
      <c r="F1026" s="10" t="s">
        <v>7855</v>
      </c>
      <c r="G1026" s="13" t="b">
        <v>0</v>
      </c>
      <c r="H1026" s="10" t="s">
        <v>3478</v>
      </c>
      <c r="I1026" s="10" t="s">
        <v>89</v>
      </c>
      <c r="J1026" s="13" t="b">
        <v>0</v>
      </c>
      <c r="K1026" s="13" t="b">
        <v>1</v>
      </c>
      <c r="L1026" s="10" t="s">
        <v>124</v>
      </c>
      <c r="M1026" s="10" t="s">
        <v>91</v>
      </c>
      <c r="N1026" s="10" t="s">
        <v>92</v>
      </c>
      <c r="O1026" s="19" t="s">
        <v>8182</v>
      </c>
      <c r="P1026" s="10"/>
      <c r="Q1026" s="10" t="s">
        <v>94</v>
      </c>
      <c r="R1026" s="10"/>
      <c r="S1026" s="19" t="s">
        <v>8183</v>
      </c>
      <c r="T1026" s="19" t="s">
        <v>8184</v>
      </c>
      <c r="U1026" s="10" t="s">
        <v>3582</v>
      </c>
      <c r="V1026" s="10" t="s">
        <v>7991</v>
      </c>
      <c r="W1026" s="10" t="s">
        <v>7860</v>
      </c>
      <c r="X1026" s="10" t="s">
        <v>130</v>
      </c>
      <c r="Y1026" s="10" t="s">
        <v>130</v>
      </c>
      <c r="Z1026" s="10" t="s">
        <v>99</v>
      </c>
      <c r="AA1026" s="10" t="s">
        <v>131</v>
      </c>
      <c r="AB1026" s="10" t="s">
        <v>7861</v>
      </c>
      <c r="AC1026" s="10" t="s">
        <v>7862</v>
      </c>
      <c r="AD1026" s="10" t="s">
        <v>8185</v>
      </c>
      <c r="AE1026" s="10" t="s">
        <v>8186</v>
      </c>
      <c r="AF1026" s="15"/>
      <c r="AG1026" s="10"/>
      <c r="AH1026" s="10"/>
      <c r="AI1026" s="10"/>
      <c r="AJ1026" s="10"/>
      <c r="AK1026" s="10" t="s">
        <v>102</v>
      </c>
      <c r="AL1026" s="10" t="s">
        <v>1773</v>
      </c>
      <c r="AM1026" s="10"/>
      <c r="AN1026" s="10"/>
      <c r="AO1026" s="13" t="b">
        <v>0</v>
      </c>
      <c r="AP1026" s="10" t="s">
        <v>104</v>
      </c>
      <c r="AQ1026" s="10">
        <f ca="1">IFERROR(__xludf.DUMMYFUNCTION("""COMPUTED_VALUE"""),4790671)</f>
        <v>4790671</v>
      </c>
      <c r="AR1026" s="17">
        <v>3968</v>
      </c>
      <c r="AS1026" s="17">
        <v>2892</v>
      </c>
      <c r="AT1026" s="17">
        <v>70596</v>
      </c>
      <c r="AU1026" s="17">
        <v>12.1</v>
      </c>
      <c r="AV1026" s="17">
        <v>4</v>
      </c>
      <c r="AW1026" s="10" t="s">
        <v>105</v>
      </c>
      <c r="AX1026" s="17">
        <v>1124</v>
      </c>
      <c r="AY1026" s="18">
        <v>24.410788381742737</v>
      </c>
      <c r="AZ1026" s="10" t="s">
        <v>168</v>
      </c>
      <c r="BA1026" s="20" t="b">
        <v>0</v>
      </c>
      <c r="BB1026" s="10"/>
      <c r="BC1026" s="17">
        <v>3968</v>
      </c>
      <c r="BD1026" s="17">
        <v>2892</v>
      </c>
      <c r="BE1026" s="17">
        <v>70596</v>
      </c>
      <c r="BF1026" s="17">
        <v>4</v>
      </c>
      <c r="BG1026" s="11">
        <f ca="1">IFERROR(__xludf.DUMMYFUNCTION("""COMPUTED_VALUE"""),46014.15625)</f>
        <v>46014.15625</v>
      </c>
      <c r="BH1026" s="17" t="s">
        <v>105</v>
      </c>
      <c r="BI1026" s="17"/>
      <c r="BJ1026" s="15"/>
      <c r="BK1026" s="15"/>
      <c r="BL1026" s="13" t="b">
        <v>0</v>
      </c>
      <c r="BM1026" s="10"/>
      <c r="BN1026" s="10" t="s">
        <v>278</v>
      </c>
      <c r="BO1026" s="11">
        <v>45877.289583333331</v>
      </c>
      <c r="BP1026" s="11">
        <v>46013.031030092592</v>
      </c>
      <c r="BQ1026" s="15">
        <v>46001.453298611108</v>
      </c>
      <c r="BR1026" s="15">
        <v>46013.108738425923</v>
      </c>
      <c r="BS1026" s="10" t="s">
        <v>278</v>
      </c>
      <c r="BT1026" s="10" t="s">
        <v>279</v>
      </c>
      <c r="BU1026" s="10" t="s">
        <v>280</v>
      </c>
      <c r="BV1026" s="10"/>
      <c r="BW1026" s="10"/>
      <c r="BX1026" s="10"/>
      <c r="BY1026" s="23"/>
      <c r="BZ1026" s="23"/>
      <c r="CA1026" s="19" t="s">
        <v>8187</v>
      </c>
      <c r="CB1026" s="19" t="s">
        <v>8188</v>
      </c>
      <c r="CC1026" s="23"/>
      <c r="CD1026" s="23"/>
      <c r="CE1026" s="23"/>
      <c r="CF1026" s="23"/>
      <c r="CG1026" s="23"/>
      <c r="CH1026" s="23"/>
      <c r="CI1026" s="23"/>
    </row>
    <row r="1027" spans="1:87" x14ac:dyDescent="0.3">
      <c r="A1027" s="9" t="s">
        <v>8189</v>
      </c>
      <c r="B1027" s="10" t="s">
        <v>8190</v>
      </c>
      <c r="C1027" s="11">
        <v>46020.041666666664</v>
      </c>
      <c r="D1027" s="12">
        <v>8.3333333333333329E-2</v>
      </c>
      <c r="E1027" s="11">
        <v>46020.125</v>
      </c>
      <c r="F1027" s="10" t="s">
        <v>7855</v>
      </c>
      <c r="G1027" s="13" t="b">
        <v>0</v>
      </c>
      <c r="H1027" s="10" t="s">
        <v>3478</v>
      </c>
      <c r="I1027" s="10" t="s">
        <v>89</v>
      </c>
      <c r="J1027" s="13" t="b">
        <v>0</v>
      </c>
      <c r="K1027" s="13" t="b">
        <v>1</v>
      </c>
      <c r="L1027" s="10" t="s">
        <v>124</v>
      </c>
      <c r="M1027" s="10" t="s">
        <v>91</v>
      </c>
      <c r="N1027" s="10" t="s">
        <v>92</v>
      </c>
      <c r="O1027" s="19" t="s">
        <v>8191</v>
      </c>
      <c r="P1027" s="10"/>
      <c r="Q1027" s="10" t="s">
        <v>94</v>
      </c>
      <c r="R1027" s="10"/>
      <c r="S1027" s="19" t="s">
        <v>8192</v>
      </c>
      <c r="T1027" s="19" t="s">
        <v>8193</v>
      </c>
      <c r="U1027" s="10" t="s">
        <v>8065</v>
      </c>
      <c r="V1027" s="10" t="s">
        <v>3582</v>
      </c>
      <c r="W1027" s="10" t="s">
        <v>7860</v>
      </c>
      <c r="X1027" s="10" t="s">
        <v>130</v>
      </c>
      <c r="Y1027" s="10" t="s">
        <v>130</v>
      </c>
      <c r="Z1027" s="10" t="s">
        <v>99</v>
      </c>
      <c r="AA1027" s="10" t="s">
        <v>131</v>
      </c>
      <c r="AB1027" s="10" t="s">
        <v>7861</v>
      </c>
      <c r="AC1027" s="10" t="s">
        <v>7862</v>
      </c>
      <c r="AD1027" s="10" t="s">
        <v>8194</v>
      </c>
      <c r="AE1027" s="10" t="s">
        <v>8195</v>
      </c>
      <c r="AF1027" s="15"/>
      <c r="AG1027" s="10"/>
      <c r="AH1027" s="10"/>
      <c r="AI1027" s="10"/>
      <c r="AJ1027" s="10"/>
      <c r="AK1027" s="10" t="s">
        <v>102</v>
      </c>
      <c r="AL1027" s="10" t="s">
        <v>1876</v>
      </c>
      <c r="AM1027" s="10"/>
      <c r="AN1027" s="10"/>
      <c r="AO1027" s="13" t="b">
        <v>0</v>
      </c>
      <c r="AP1027" s="10" t="s">
        <v>104</v>
      </c>
      <c r="AQ1027" s="10">
        <f ca="1">IFERROR(__xludf.DUMMYFUNCTION("""COMPUTED_VALUE"""),4798634)</f>
        <v>4798634</v>
      </c>
      <c r="AR1027" s="17">
        <v>4510</v>
      </c>
      <c r="AS1027" s="17">
        <v>2747</v>
      </c>
      <c r="AT1027" s="17">
        <v>71125</v>
      </c>
      <c r="AU1027" s="17">
        <v>5.65</v>
      </c>
      <c r="AV1027" s="17">
        <v>0</v>
      </c>
      <c r="AW1027" s="10" t="s">
        <v>105</v>
      </c>
      <c r="AX1027" s="17">
        <v>1039</v>
      </c>
      <c r="AY1027" s="18">
        <v>25.89188205314889</v>
      </c>
      <c r="AZ1027" s="10" t="s">
        <v>168</v>
      </c>
      <c r="BA1027" s="20" t="b">
        <v>0</v>
      </c>
      <c r="BB1027" s="10"/>
      <c r="BC1027" s="17">
        <v>4510</v>
      </c>
      <c r="BD1027" s="17">
        <v>2747</v>
      </c>
      <c r="BE1027" s="17">
        <v>71125</v>
      </c>
      <c r="BF1027" s="17">
        <v>0</v>
      </c>
      <c r="BG1027" s="11">
        <f ca="1">IFERROR(__xludf.DUMMYFUNCTION("""COMPUTED_VALUE"""),46020.0416666666)</f>
        <v>46020.041666666599</v>
      </c>
      <c r="BH1027" s="17" t="s">
        <v>105</v>
      </c>
      <c r="BI1027" s="17"/>
      <c r="BJ1027" s="15"/>
      <c r="BK1027" s="15"/>
      <c r="BL1027" s="13" t="b">
        <v>0</v>
      </c>
      <c r="BM1027" s="10"/>
      <c r="BN1027" s="10" t="s">
        <v>667</v>
      </c>
      <c r="BO1027" s="11">
        <v>45877.289583333331</v>
      </c>
      <c r="BP1027" s="11">
        <v>46019.773368055554</v>
      </c>
      <c r="BQ1027" s="15">
        <v>46001.453692129631</v>
      </c>
      <c r="BR1027" s="15">
        <v>46019.914490740739</v>
      </c>
      <c r="BS1027" s="10" t="s">
        <v>667</v>
      </c>
      <c r="BT1027" s="10" t="s">
        <v>279</v>
      </c>
      <c r="BU1027" s="10" t="s">
        <v>534</v>
      </c>
      <c r="BV1027" s="10"/>
      <c r="BW1027" s="10"/>
      <c r="BX1027" s="10"/>
      <c r="BY1027" s="23"/>
      <c r="BZ1027" s="23"/>
      <c r="CA1027" s="19" t="s">
        <v>8196</v>
      </c>
      <c r="CB1027" s="19" t="s">
        <v>8197</v>
      </c>
      <c r="CC1027" s="23"/>
      <c r="CD1027" s="23"/>
      <c r="CE1027" s="23"/>
      <c r="CF1027" s="23"/>
      <c r="CG1027" s="23"/>
      <c r="CH1027" s="23"/>
      <c r="CI1027" s="23"/>
    </row>
    <row r="1028" spans="1:87" x14ac:dyDescent="0.3">
      <c r="A1028" s="9" t="s">
        <v>8198</v>
      </c>
      <c r="B1028" s="10" t="s">
        <v>8199</v>
      </c>
      <c r="C1028" s="11">
        <v>46020.145833333336</v>
      </c>
      <c r="D1028" s="12">
        <v>8.3333333333333329E-2</v>
      </c>
      <c r="E1028" s="11">
        <v>46020.229166666664</v>
      </c>
      <c r="F1028" s="10" t="s">
        <v>7855</v>
      </c>
      <c r="G1028" s="13" t="b">
        <v>0</v>
      </c>
      <c r="H1028" s="10" t="s">
        <v>3478</v>
      </c>
      <c r="I1028" s="10" t="s">
        <v>89</v>
      </c>
      <c r="J1028" s="13" t="b">
        <v>0</v>
      </c>
      <c r="K1028" s="13" t="b">
        <v>1</v>
      </c>
      <c r="L1028" s="10" t="s">
        <v>124</v>
      </c>
      <c r="M1028" s="10" t="s">
        <v>91</v>
      </c>
      <c r="N1028" s="10" t="s">
        <v>92</v>
      </c>
      <c r="O1028" s="19" t="s">
        <v>8200</v>
      </c>
      <c r="P1028" s="10"/>
      <c r="Q1028" s="10" t="s">
        <v>94</v>
      </c>
      <c r="R1028" s="10"/>
      <c r="S1028" s="19" t="s">
        <v>8201</v>
      </c>
      <c r="T1028" s="19" t="s">
        <v>8202</v>
      </c>
      <c r="U1028" s="10" t="s">
        <v>7859</v>
      </c>
      <c r="V1028" s="10" t="s">
        <v>8027</v>
      </c>
      <c r="W1028" s="10" t="s">
        <v>7860</v>
      </c>
      <c r="X1028" s="10" t="s">
        <v>130</v>
      </c>
      <c r="Y1028" s="10" t="s">
        <v>130</v>
      </c>
      <c r="Z1028" s="10" t="s">
        <v>99</v>
      </c>
      <c r="AA1028" s="10" t="s">
        <v>131</v>
      </c>
      <c r="AB1028" s="10" t="s">
        <v>7861</v>
      </c>
      <c r="AC1028" s="10" t="s">
        <v>7862</v>
      </c>
      <c r="AD1028" s="10" t="s">
        <v>8203</v>
      </c>
      <c r="AE1028" s="10" t="s">
        <v>8204</v>
      </c>
      <c r="AF1028" s="15"/>
      <c r="AG1028" s="10"/>
      <c r="AH1028" s="10"/>
      <c r="AI1028" s="10"/>
      <c r="AJ1028" s="10"/>
      <c r="AK1028" s="10" t="s">
        <v>102</v>
      </c>
      <c r="AL1028" s="10" t="s">
        <v>1876</v>
      </c>
      <c r="AM1028" s="10"/>
      <c r="AN1028" s="10"/>
      <c r="AO1028" s="13" t="b">
        <v>0</v>
      </c>
      <c r="AP1028" s="10" t="s">
        <v>104</v>
      </c>
      <c r="AQ1028" s="10">
        <f ca="1">IFERROR(__xludf.DUMMYFUNCTION("""COMPUTED_VALUE"""),4798635)</f>
        <v>4798635</v>
      </c>
      <c r="AR1028" s="17">
        <v>2680</v>
      </c>
      <c r="AS1028" s="17">
        <v>2014</v>
      </c>
      <c r="AT1028" s="17">
        <v>32731.25</v>
      </c>
      <c r="AU1028" s="17">
        <v>4.55</v>
      </c>
      <c r="AV1028" s="17">
        <v>1.25</v>
      </c>
      <c r="AW1028" s="10" t="s">
        <v>105</v>
      </c>
      <c r="AX1028" s="17">
        <v>725</v>
      </c>
      <c r="AY1028" s="18">
        <v>16.251861966236344</v>
      </c>
      <c r="AZ1028" s="10" t="s">
        <v>168</v>
      </c>
      <c r="BA1028" s="20" t="b">
        <v>0</v>
      </c>
      <c r="BB1028" s="10"/>
      <c r="BC1028" s="17">
        <v>2680</v>
      </c>
      <c r="BD1028" s="17">
        <v>2014</v>
      </c>
      <c r="BE1028" s="17">
        <v>32731.25</v>
      </c>
      <c r="BF1028" s="17">
        <v>1.25</v>
      </c>
      <c r="BG1028" s="11">
        <f ca="1">IFERROR(__xludf.DUMMYFUNCTION("""COMPUTED_VALUE"""),46020.1458333333)</f>
        <v>46020.145833333299</v>
      </c>
      <c r="BH1028" s="17" t="s">
        <v>105</v>
      </c>
      <c r="BI1028" s="17"/>
      <c r="BJ1028" s="15"/>
      <c r="BK1028" s="15"/>
      <c r="BL1028" s="13" t="b">
        <v>0</v>
      </c>
      <c r="BM1028" s="10"/>
      <c r="BN1028" s="10" t="s">
        <v>667</v>
      </c>
      <c r="BO1028" s="11">
        <v>45877.289583333331</v>
      </c>
      <c r="BP1028" s="11">
        <v>46019.773449074077</v>
      </c>
      <c r="BQ1028" s="15">
        <v>46001.453842592593</v>
      </c>
      <c r="BR1028" s="15">
        <v>46019.790555555555</v>
      </c>
      <c r="BS1028" s="10" t="s">
        <v>667</v>
      </c>
      <c r="BT1028" s="10" t="s">
        <v>99</v>
      </c>
      <c r="BU1028" s="10" t="s">
        <v>816</v>
      </c>
      <c r="BV1028" s="10"/>
      <c r="BW1028" s="10"/>
      <c r="BX1028" s="10"/>
      <c r="BY1028" s="23"/>
      <c r="BZ1028" s="23"/>
      <c r="CA1028" s="19" t="s">
        <v>8205</v>
      </c>
      <c r="CB1028" s="19" t="s">
        <v>8206</v>
      </c>
      <c r="CC1028" s="23"/>
      <c r="CD1028" s="23"/>
      <c r="CE1028" s="23"/>
      <c r="CF1028" s="23"/>
      <c r="CG1028" s="23"/>
      <c r="CH1028" s="23"/>
      <c r="CI1028" s="23"/>
    </row>
    <row r="1029" spans="1:87" x14ac:dyDescent="0.3">
      <c r="A1029" s="9" t="s">
        <v>8207</v>
      </c>
      <c r="B1029" s="10" t="s">
        <v>8208</v>
      </c>
      <c r="C1029" s="11">
        <v>46025.072916666664</v>
      </c>
      <c r="D1029" s="12">
        <v>8.3333333333333329E-2</v>
      </c>
      <c r="E1029" s="11">
        <v>46025.15625</v>
      </c>
      <c r="F1029" s="10" t="s">
        <v>7855</v>
      </c>
      <c r="G1029" s="13" t="b">
        <v>0</v>
      </c>
      <c r="H1029" s="10" t="s">
        <v>88</v>
      </c>
      <c r="I1029" s="10" t="s">
        <v>89</v>
      </c>
      <c r="J1029" s="13" t="b">
        <v>0</v>
      </c>
      <c r="K1029" s="13" t="b">
        <v>1</v>
      </c>
      <c r="L1029" s="10" t="s">
        <v>124</v>
      </c>
      <c r="M1029" s="10" t="s">
        <v>91</v>
      </c>
      <c r="N1029" s="10" t="s">
        <v>92</v>
      </c>
      <c r="O1029" s="19" t="s">
        <v>8209</v>
      </c>
      <c r="P1029" s="10"/>
      <c r="Q1029" s="10" t="s">
        <v>94</v>
      </c>
      <c r="R1029" s="10"/>
      <c r="S1029" s="19" t="s">
        <v>8210</v>
      </c>
      <c r="T1029" s="19" t="s">
        <v>8211</v>
      </c>
      <c r="U1029" s="10" t="s">
        <v>8045</v>
      </c>
      <c r="V1029" s="10" t="s">
        <v>7859</v>
      </c>
      <c r="W1029" s="10" t="s">
        <v>7860</v>
      </c>
      <c r="X1029" s="10" t="s">
        <v>130</v>
      </c>
      <c r="Y1029" s="10" t="s">
        <v>130</v>
      </c>
      <c r="Z1029" s="10" t="s">
        <v>99</v>
      </c>
      <c r="AA1029" s="10" t="s">
        <v>131</v>
      </c>
      <c r="AB1029" s="10" t="s">
        <v>7861</v>
      </c>
      <c r="AC1029" s="10" t="s">
        <v>7862</v>
      </c>
      <c r="AD1029" s="10" t="s">
        <v>8212</v>
      </c>
      <c r="AE1029" s="10" t="s">
        <v>8213</v>
      </c>
      <c r="AF1029" s="15"/>
      <c r="AG1029" s="10"/>
      <c r="AH1029" s="10"/>
      <c r="AI1029" s="10"/>
      <c r="AJ1029" s="10"/>
      <c r="AK1029" s="10" t="s">
        <v>102</v>
      </c>
      <c r="AL1029" s="10" t="s">
        <v>1988</v>
      </c>
      <c r="AM1029" s="10"/>
      <c r="AN1029" s="10"/>
      <c r="AO1029" s="13" t="b">
        <v>0</v>
      </c>
      <c r="AP1029" s="10" t="s">
        <v>104</v>
      </c>
      <c r="AQ1029" s="10">
        <f ca="1">IFERROR(__xludf.DUMMYFUNCTION("""COMPUTED_VALUE"""),4803411)</f>
        <v>4803411</v>
      </c>
      <c r="AR1029" s="17">
        <v>4394</v>
      </c>
      <c r="AS1029" s="17">
        <v>3232</v>
      </c>
      <c r="AT1029" s="17">
        <v>94489.5</v>
      </c>
      <c r="AU1029" s="17">
        <v>12.35</v>
      </c>
      <c r="AV1029" s="17">
        <v>1.65</v>
      </c>
      <c r="AW1029" s="10" t="s">
        <v>105</v>
      </c>
      <c r="AX1029" s="17">
        <v>1055</v>
      </c>
      <c r="AY1029" s="18">
        <v>29.235612623762375</v>
      </c>
      <c r="AZ1029" s="10" t="s">
        <v>168</v>
      </c>
      <c r="BA1029" s="20" t="b">
        <v>0</v>
      </c>
      <c r="BB1029" s="10"/>
      <c r="BC1029" s="17">
        <v>4394</v>
      </c>
      <c r="BD1029" s="17">
        <v>3232</v>
      </c>
      <c r="BE1029" s="17">
        <v>94489.5</v>
      </c>
      <c r="BF1029" s="17">
        <v>1.65</v>
      </c>
      <c r="BG1029" s="11">
        <f ca="1">IFERROR(__xludf.DUMMYFUNCTION("""COMPUTED_VALUE"""),46025.0729166666)</f>
        <v>46025.072916666599</v>
      </c>
      <c r="BH1029" s="17" t="s">
        <v>105</v>
      </c>
      <c r="BI1029" s="17"/>
      <c r="BJ1029" s="15"/>
      <c r="BK1029" s="15"/>
      <c r="BL1029" s="13" t="b">
        <v>0</v>
      </c>
      <c r="BM1029" s="10"/>
      <c r="BN1029" s="10" t="s">
        <v>278</v>
      </c>
      <c r="BO1029" s="11">
        <v>45877.289583333331</v>
      </c>
      <c r="BP1029" s="11">
        <v>46017.857939814814</v>
      </c>
      <c r="BQ1029" s="15">
        <v>46001.454641203702</v>
      </c>
      <c r="BR1029" s="15">
        <v>46021.432129629633</v>
      </c>
      <c r="BS1029" s="10" t="s">
        <v>278</v>
      </c>
      <c r="BT1029" s="10" t="s">
        <v>99</v>
      </c>
      <c r="BU1029" s="10" t="s">
        <v>298</v>
      </c>
      <c r="BV1029" s="10"/>
      <c r="BW1029" s="10"/>
      <c r="BX1029" s="10"/>
      <c r="BY1029" s="23"/>
      <c r="BZ1029" s="23"/>
      <c r="CA1029" s="19" t="s">
        <v>8214</v>
      </c>
      <c r="CB1029" s="19" t="s">
        <v>8215</v>
      </c>
      <c r="CC1029" s="23"/>
      <c r="CD1029" s="23"/>
      <c r="CE1029" s="23"/>
      <c r="CF1029" s="23"/>
      <c r="CG1029" s="23"/>
      <c r="CH1029" s="23"/>
      <c r="CI1029" s="23"/>
    </row>
    <row r="1030" spans="1:87" x14ac:dyDescent="0.3">
      <c r="A1030" s="9" t="s">
        <v>8216</v>
      </c>
      <c r="B1030" s="10" t="s">
        <v>8217</v>
      </c>
      <c r="C1030" s="11">
        <v>46026.041666666664</v>
      </c>
      <c r="D1030" s="12">
        <v>8.3333333333333329E-2</v>
      </c>
      <c r="E1030" s="11">
        <v>46026.125</v>
      </c>
      <c r="F1030" s="10" t="s">
        <v>7855</v>
      </c>
      <c r="G1030" s="13" t="b">
        <v>0</v>
      </c>
      <c r="H1030" s="10" t="s">
        <v>88</v>
      </c>
      <c r="I1030" s="10" t="s">
        <v>89</v>
      </c>
      <c r="J1030" s="13" t="b">
        <v>0</v>
      </c>
      <c r="K1030" s="13" t="b">
        <v>1</v>
      </c>
      <c r="L1030" s="10" t="s">
        <v>124</v>
      </c>
      <c r="M1030" s="10" t="s">
        <v>91</v>
      </c>
      <c r="N1030" s="10" t="s">
        <v>92</v>
      </c>
      <c r="O1030" s="19" t="s">
        <v>8218</v>
      </c>
      <c r="P1030" s="10"/>
      <c r="Q1030" s="10" t="s">
        <v>94</v>
      </c>
      <c r="R1030" s="10"/>
      <c r="S1030" s="19" t="s">
        <v>8219</v>
      </c>
      <c r="T1030" s="19" t="s">
        <v>8220</v>
      </c>
      <c r="U1030" s="10" t="s">
        <v>3582</v>
      </c>
      <c r="V1030" s="10" t="s">
        <v>8035</v>
      </c>
      <c r="W1030" s="10" t="s">
        <v>7860</v>
      </c>
      <c r="X1030" s="10" t="s">
        <v>130</v>
      </c>
      <c r="Y1030" s="10" t="s">
        <v>130</v>
      </c>
      <c r="Z1030" s="10" t="s">
        <v>99</v>
      </c>
      <c r="AA1030" s="10" t="s">
        <v>131</v>
      </c>
      <c r="AB1030" s="10" t="s">
        <v>7861</v>
      </c>
      <c r="AC1030" s="10" t="s">
        <v>7862</v>
      </c>
      <c r="AD1030" s="10" t="s">
        <v>8221</v>
      </c>
      <c r="AE1030" s="10" t="s">
        <v>8222</v>
      </c>
      <c r="AF1030" s="15"/>
      <c r="AG1030" s="10"/>
      <c r="AH1030" s="10"/>
      <c r="AI1030" s="10"/>
      <c r="AJ1030" s="10"/>
      <c r="AK1030" s="10" t="s">
        <v>102</v>
      </c>
      <c r="AL1030" s="10" t="s">
        <v>1988</v>
      </c>
      <c r="AM1030" s="10"/>
      <c r="AN1030" s="10"/>
      <c r="AO1030" s="13" t="b">
        <v>0</v>
      </c>
      <c r="AP1030" s="10" t="s">
        <v>104</v>
      </c>
      <c r="AQ1030" s="10">
        <f ca="1">IFERROR(__xludf.DUMMYFUNCTION("""COMPUTED_VALUE"""),4819782)</f>
        <v>4819782</v>
      </c>
      <c r="AR1030" s="17">
        <v>3460</v>
      </c>
      <c r="AS1030" s="17">
        <v>2580</v>
      </c>
      <c r="AT1030" s="17">
        <v>44612.25</v>
      </c>
      <c r="AU1030" s="17">
        <v>9.1999999999999993</v>
      </c>
      <c r="AV1030" s="17">
        <v>1.9</v>
      </c>
      <c r="AW1030" s="10" t="s">
        <v>105</v>
      </c>
      <c r="AX1030" s="17">
        <v>752</v>
      </c>
      <c r="AY1030" s="18">
        <v>17.29156976744186</v>
      </c>
      <c r="AZ1030" s="10" t="s">
        <v>168</v>
      </c>
      <c r="BA1030" s="20" t="b">
        <v>0</v>
      </c>
      <c r="BB1030" s="10"/>
      <c r="BC1030" s="17">
        <v>3460</v>
      </c>
      <c r="BD1030" s="17">
        <v>2580</v>
      </c>
      <c r="BE1030" s="17">
        <v>44612.25</v>
      </c>
      <c r="BF1030" s="17">
        <v>1.9</v>
      </c>
      <c r="BG1030" s="11">
        <f ca="1">IFERROR(__xludf.DUMMYFUNCTION("""COMPUTED_VALUE"""),46026.0416666666)</f>
        <v>46026.041666666599</v>
      </c>
      <c r="BH1030" s="17" t="s">
        <v>105</v>
      </c>
      <c r="BI1030" s="17"/>
      <c r="BJ1030" s="15"/>
      <c r="BK1030" s="15"/>
      <c r="BL1030" s="13" t="b">
        <v>0</v>
      </c>
      <c r="BM1030" s="10"/>
      <c r="BN1030" s="10" t="s">
        <v>278</v>
      </c>
      <c r="BO1030" s="11">
        <v>45877.289583333331</v>
      </c>
      <c r="BP1030" s="11">
        <v>46017.858101851853</v>
      </c>
      <c r="BQ1030" s="15">
        <v>46001.454791666663</v>
      </c>
      <c r="BR1030" s="15">
        <v>46023.053530092591</v>
      </c>
      <c r="BS1030" s="10" t="s">
        <v>278</v>
      </c>
      <c r="BT1030" s="10" t="s">
        <v>99</v>
      </c>
      <c r="BU1030" s="10" t="s">
        <v>793</v>
      </c>
      <c r="BV1030" s="10"/>
      <c r="BW1030" s="10"/>
      <c r="BX1030" s="10"/>
      <c r="BY1030" s="23"/>
      <c r="BZ1030" s="23"/>
      <c r="CA1030" s="19" t="s">
        <v>8223</v>
      </c>
      <c r="CB1030" s="19" t="s">
        <v>8224</v>
      </c>
      <c r="CC1030" s="23"/>
      <c r="CD1030" s="23"/>
      <c r="CE1030" s="23"/>
      <c r="CF1030" s="23"/>
      <c r="CG1030" s="23"/>
      <c r="CH1030" s="23"/>
      <c r="CI1030" s="23"/>
    </row>
    <row r="1031" spans="1:87" x14ac:dyDescent="0.3">
      <c r="A1031" s="9" t="s">
        <v>8225</v>
      </c>
      <c r="B1031" s="10" t="s">
        <v>8226</v>
      </c>
      <c r="C1031" s="11">
        <v>46039.135416666664</v>
      </c>
      <c r="D1031" s="12">
        <v>8.3333333333333329E-2</v>
      </c>
      <c r="E1031" s="11">
        <v>46039.21875</v>
      </c>
      <c r="F1031" s="10" t="s">
        <v>7855</v>
      </c>
      <c r="G1031" s="13" t="b">
        <v>0</v>
      </c>
      <c r="H1031" s="10" t="s">
        <v>7949</v>
      </c>
      <c r="I1031" s="10" t="s">
        <v>89</v>
      </c>
      <c r="J1031" s="13" t="b">
        <v>0</v>
      </c>
      <c r="K1031" s="13" t="b">
        <v>1</v>
      </c>
      <c r="L1031" s="10" t="s">
        <v>124</v>
      </c>
      <c r="M1031" s="10" t="s">
        <v>91</v>
      </c>
      <c r="N1031" s="10" t="s">
        <v>92</v>
      </c>
      <c r="O1031" s="10"/>
      <c r="P1031" s="10"/>
      <c r="Q1031" s="10" t="s">
        <v>94</v>
      </c>
      <c r="R1031" s="10"/>
      <c r="S1031" s="10"/>
      <c r="T1031" s="10"/>
      <c r="U1031" s="10" t="s">
        <v>7859</v>
      </c>
      <c r="V1031" s="10" t="s">
        <v>7858</v>
      </c>
      <c r="W1031" s="10" t="s">
        <v>7860</v>
      </c>
      <c r="X1031" s="10" t="s">
        <v>130</v>
      </c>
      <c r="Y1031" s="10" t="s">
        <v>130</v>
      </c>
      <c r="Z1031" s="10" t="s">
        <v>99</v>
      </c>
      <c r="AA1031" s="10" t="s">
        <v>131</v>
      </c>
      <c r="AB1031" s="10" t="s">
        <v>7861</v>
      </c>
      <c r="AC1031" s="10" t="s">
        <v>7862</v>
      </c>
      <c r="AD1031" s="10" t="s">
        <v>8227</v>
      </c>
      <c r="AE1031" s="10" t="s">
        <v>8228</v>
      </c>
      <c r="AF1031" s="15"/>
      <c r="AG1031" s="10"/>
      <c r="AH1031" s="10"/>
      <c r="AI1031" s="10"/>
      <c r="AJ1031" s="10"/>
      <c r="AK1031" s="10"/>
      <c r="AL1031" s="10" t="s">
        <v>2098</v>
      </c>
      <c r="AM1031" s="10"/>
      <c r="AN1031" s="10"/>
      <c r="AO1031" s="13" t="b">
        <v>0</v>
      </c>
      <c r="AP1031" s="10" t="s">
        <v>104</v>
      </c>
      <c r="AQ1031" s="10"/>
      <c r="AR1031" s="17"/>
      <c r="AS1031" s="17"/>
      <c r="AT1031" s="17"/>
      <c r="AU1031" s="17"/>
      <c r="AV1031" s="17"/>
      <c r="AW1031" s="10"/>
      <c r="AX1031" s="17"/>
      <c r="AY1031" s="18" t="s">
        <v>257</v>
      </c>
      <c r="AZ1031" s="10"/>
      <c r="BA1031" s="20" t="b">
        <v>0</v>
      </c>
      <c r="BB1031" s="10"/>
      <c r="BC1031" s="17" t="s">
        <v>257</v>
      </c>
      <c r="BD1031" s="17" t="s">
        <v>257</v>
      </c>
      <c r="BE1031" s="17" t="s">
        <v>257</v>
      </c>
      <c r="BF1031" s="17" t="s">
        <v>257</v>
      </c>
      <c r="BG1031" s="11">
        <f ca="1">IFERROR(__xludf.DUMMYFUNCTION("""COMPUTED_VALUE"""),46039.1354166666)</f>
        <v>46039.135416666599</v>
      </c>
      <c r="BH1031" s="17"/>
      <c r="BI1031" s="17"/>
      <c r="BJ1031" s="15"/>
      <c r="BK1031" s="15"/>
      <c r="BL1031" s="13" t="b">
        <v>0</v>
      </c>
      <c r="BM1031" s="10"/>
      <c r="BN1031" s="10" t="s">
        <v>5685</v>
      </c>
      <c r="BO1031" s="11">
        <v>45877.289583333331</v>
      </c>
      <c r="BP1031" s="11">
        <v>46023.997523148151</v>
      </c>
      <c r="BQ1031" s="15"/>
      <c r="BR1031" s="15"/>
      <c r="BS1031" s="10"/>
      <c r="BT1031" s="10" t="s">
        <v>99</v>
      </c>
      <c r="BU1031" s="10"/>
      <c r="BV1031" s="10"/>
      <c r="BW1031" s="10"/>
      <c r="BX1031" s="10"/>
      <c r="BY1031" s="23"/>
      <c r="BZ1031" s="23"/>
      <c r="CA1031" s="19" t="s">
        <v>8229</v>
      </c>
      <c r="CB1031" s="19" t="s">
        <v>8230</v>
      </c>
      <c r="CC1031" s="23"/>
      <c r="CD1031" s="23"/>
      <c r="CE1031" s="23"/>
      <c r="CF1031" s="23"/>
      <c r="CG1031" s="23"/>
      <c r="CH1031" s="23"/>
      <c r="CI1031" s="23"/>
    </row>
    <row r="1032" spans="1:87" x14ac:dyDescent="0.3">
      <c r="A1032" s="9" t="s">
        <v>8231</v>
      </c>
      <c r="B1032" s="10" t="s">
        <v>8232</v>
      </c>
      <c r="C1032" s="11">
        <v>46040.145833333336</v>
      </c>
      <c r="D1032" s="12">
        <v>8.3333333333333329E-2</v>
      </c>
      <c r="E1032" s="11">
        <v>46040.229166666664</v>
      </c>
      <c r="F1032" s="10" t="s">
        <v>7855</v>
      </c>
      <c r="G1032" s="13" t="b">
        <v>0</v>
      </c>
      <c r="H1032" s="10" t="s">
        <v>7949</v>
      </c>
      <c r="I1032" s="10" t="s">
        <v>89</v>
      </c>
      <c r="J1032" s="13" t="b">
        <v>0</v>
      </c>
      <c r="K1032" s="13" t="b">
        <v>1</v>
      </c>
      <c r="L1032" s="10" t="s">
        <v>124</v>
      </c>
      <c r="M1032" s="10" t="s">
        <v>91</v>
      </c>
      <c r="N1032" s="10" t="s">
        <v>92</v>
      </c>
      <c r="O1032" s="10"/>
      <c r="P1032" s="10"/>
      <c r="Q1032" s="10" t="s">
        <v>94</v>
      </c>
      <c r="R1032" s="10"/>
      <c r="S1032" s="10"/>
      <c r="T1032" s="10"/>
      <c r="U1032" s="10" t="s">
        <v>8027</v>
      </c>
      <c r="V1032" s="10" t="s">
        <v>3582</v>
      </c>
      <c r="W1032" s="10" t="s">
        <v>7860</v>
      </c>
      <c r="X1032" s="10" t="s">
        <v>130</v>
      </c>
      <c r="Y1032" s="10" t="s">
        <v>130</v>
      </c>
      <c r="Z1032" s="10" t="s">
        <v>99</v>
      </c>
      <c r="AA1032" s="10" t="s">
        <v>131</v>
      </c>
      <c r="AB1032" s="10" t="s">
        <v>7861</v>
      </c>
      <c r="AC1032" s="10" t="s">
        <v>7862</v>
      </c>
      <c r="AD1032" s="10" t="s">
        <v>8233</v>
      </c>
      <c r="AE1032" s="10" t="s">
        <v>8234</v>
      </c>
      <c r="AF1032" s="15"/>
      <c r="AG1032" s="10"/>
      <c r="AH1032" s="10"/>
      <c r="AI1032" s="10"/>
      <c r="AJ1032" s="10"/>
      <c r="AK1032" s="10"/>
      <c r="AL1032" s="10" t="s">
        <v>2098</v>
      </c>
      <c r="AM1032" s="10"/>
      <c r="AN1032" s="10"/>
      <c r="AO1032" s="13" t="b">
        <v>0</v>
      </c>
      <c r="AP1032" s="10" t="s">
        <v>104</v>
      </c>
      <c r="AQ1032" s="10"/>
      <c r="AR1032" s="17"/>
      <c r="AS1032" s="17"/>
      <c r="AT1032" s="17"/>
      <c r="AU1032" s="17"/>
      <c r="AV1032" s="17"/>
      <c r="AW1032" s="10"/>
      <c r="AX1032" s="17"/>
      <c r="AY1032" s="18" t="s">
        <v>257</v>
      </c>
      <c r="AZ1032" s="10"/>
      <c r="BA1032" s="20" t="b">
        <v>0</v>
      </c>
      <c r="BB1032" s="10"/>
      <c r="BC1032" s="17" t="s">
        <v>257</v>
      </c>
      <c r="BD1032" s="17" t="s">
        <v>257</v>
      </c>
      <c r="BE1032" s="17" t="s">
        <v>257</v>
      </c>
      <c r="BF1032" s="17" t="s">
        <v>257</v>
      </c>
      <c r="BG1032" s="11">
        <f ca="1">IFERROR(__xludf.DUMMYFUNCTION("""COMPUTED_VALUE"""),46040.1458333333)</f>
        <v>46040.145833333299</v>
      </c>
      <c r="BH1032" s="17"/>
      <c r="BI1032" s="17"/>
      <c r="BJ1032" s="15"/>
      <c r="BK1032" s="15"/>
      <c r="BL1032" s="13" t="b">
        <v>0</v>
      </c>
      <c r="BM1032" s="10"/>
      <c r="BN1032" s="10" t="s">
        <v>5685</v>
      </c>
      <c r="BO1032" s="11">
        <v>45877.289583333331</v>
      </c>
      <c r="BP1032" s="11">
        <v>46023.998564814814</v>
      </c>
      <c r="BQ1032" s="15"/>
      <c r="BR1032" s="15"/>
      <c r="BS1032" s="10"/>
      <c r="BT1032" s="10"/>
      <c r="BU1032" s="10"/>
      <c r="BV1032" s="10"/>
      <c r="BW1032" s="10"/>
      <c r="BX1032" s="10"/>
      <c r="BY1032" s="23"/>
      <c r="BZ1032" s="23"/>
      <c r="CA1032" s="19" t="s">
        <v>8235</v>
      </c>
      <c r="CB1032" s="19" t="s">
        <v>8236</v>
      </c>
      <c r="CC1032" s="23"/>
      <c r="CD1032" s="23"/>
      <c r="CE1032" s="23"/>
      <c r="CF1032" s="23"/>
      <c r="CG1032" s="23"/>
      <c r="CH1032" s="23"/>
      <c r="CI1032" s="23"/>
    </row>
    <row r="1033" spans="1:87" x14ac:dyDescent="0.3">
      <c r="A1033" s="9" t="s">
        <v>8237</v>
      </c>
      <c r="B1033" s="10" t="s">
        <v>8238</v>
      </c>
      <c r="C1033" s="11">
        <v>46048.041666666664</v>
      </c>
      <c r="D1033" s="12">
        <v>8.3333333333333329E-2</v>
      </c>
      <c r="E1033" s="11">
        <v>46048.125</v>
      </c>
      <c r="F1033" s="10" t="s">
        <v>7855</v>
      </c>
      <c r="G1033" s="13" t="b">
        <v>0</v>
      </c>
      <c r="H1033" s="10" t="s">
        <v>7949</v>
      </c>
      <c r="I1033" s="10" t="s">
        <v>89</v>
      </c>
      <c r="J1033" s="13" t="b">
        <v>0</v>
      </c>
      <c r="K1033" s="13" t="b">
        <v>1</v>
      </c>
      <c r="L1033" s="10" t="s">
        <v>124</v>
      </c>
      <c r="M1033" s="10" t="s">
        <v>91</v>
      </c>
      <c r="N1033" s="10" t="s">
        <v>92</v>
      </c>
      <c r="O1033" s="10"/>
      <c r="P1033" s="10"/>
      <c r="Q1033" s="10" t="s">
        <v>94</v>
      </c>
      <c r="R1033" s="10"/>
      <c r="S1033" s="10"/>
      <c r="T1033" s="10"/>
      <c r="U1033" s="10" t="s">
        <v>3582</v>
      </c>
      <c r="V1033" s="10" t="s">
        <v>7933</v>
      </c>
      <c r="W1033" s="10" t="s">
        <v>7860</v>
      </c>
      <c r="X1033" s="10" t="s">
        <v>130</v>
      </c>
      <c r="Y1033" s="10" t="s">
        <v>130</v>
      </c>
      <c r="Z1033" s="10" t="s">
        <v>99</v>
      </c>
      <c r="AA1033" s="10" t="s">
        <v>131</v>
      </c>
      <c r="AB1033" s="10" t="s">
        <v>7861</v>
      </c>
      <c r="AC1033" s="10" t="s">
        <v>7862</v>
      </c>
      <c r="AD1033" s="10" t="s">
        <v>8239</v>
      </c>
      <c r="AE1033" s="10" t="s">
        <v>8240</v>
      </c>
      <c r="AF1033" s="15"/>
      <c r="AG1033" s="10"/>
      <c r="AH1033" s="10"/>
      <c r="AI1033" s="10"/>
      <c r="AJ1033" s="10"/>
      <c r="AK1033" s="10"/>
      <c r="AL1033" s="10" t="s">
        <v>2201</v>
      </c>
      <c r="AM1033" s="10"/>
      <c r="AN1033" s="10"/>
      <c r="AO1033" s="13" t="b">
        <v>0</v>
      </c>
      <c r="AP1033" s="10" t="s">
        <v>104</v>
      </c>
      <c r="AQ1033" s="10"/>
      <c r="AR1033" s="17"/>
      <c r="AS1033" s="17"/>
      <c r="AT1033" s="17"/>
      <c r="AU1033" s="17"/>
      <c r="AV1033" s="17"/>
      <c r="AW1033" s="10"/>
      <c r="AX1033" s="17"/>
      <c r="AY1033" s="18" t="s">
        <v>257</v>
      </c>
      <c r="AZ1033" s="10"/>
      <c r="BA1033" s="20" t="b">
        <v>0</v>
      </c>
      <c r="BB1033" s="10"/>
      <c r="BC1033" s="17" t="s">
        <v>257</v>
      </c>
      <c r="BD1033" s="17" t="s">
        <v>257</v>
      </c>
      <c r="BE1033" s="17" t="s">
        <v>257</v>
      </c>
      <c r="BF1033" s="17" t="s">
        <v>257</v>
      </c>
      <c r="BG1033" s="11">
        <f ca="1">IFERROR(__xludf.DUMMYFUNCTION("""COMPUTED_VALUE"""),46048.0416666666)</f>
        <v>46048.041666666599</v>
      </c>
      <c r="BH1033" s="17"/>
      <c r="BI1033" s="17"/>
      <c r="BJ1033" s="15"/>
      <c r="BK1033" s="15"/>
      <c r="BL1033" s="13" t="b">
        <v>0</v>
      </c>
      <c r="BM1033" s="10"/>
      <c r="BN1033" s="10" t="s">
        <v>5685</v>
      </c>
      <c r="BO1033" s="11">
        <v>45877.289583333331</v>
      </c>
      <c r="BP1033" s="11">
        <v>46023.999143518522</v>
      </c>
      <c r="BQ1033" s="15"/>
      <c r="BR1033" s="15"/>
      <c r="BS1033" s="10"/>
      <c r="BT1033" s="10" t="s">
        <v>99</v>
      </c>
      <c r="BU1033" s="10"/>
      <c r="BV1033" s="10"/>
      <c r="BW1033" s="10"/>
      <c r="BX1033" s="10"/>
      <c r="BY1033" s="23"/>
      <c r="BZ1033" s="23"/>
      <c r="CA1033" s="19" t="s">
        <v>8241</v>
      </c>
      <c r="CB1033" s="19" t="s">
        <v>8242</v>
      </c>
      <c r="CC1033" s="23"/>
      <c r="CD1033" s="23"/>
      <c r="CE1033" s="23"/>
      <c r="CF1033" s="23"/>
      <c r="CG1033" s="23"/>
      <c r="CH1033" s="23"/>
      <c r="CI1033" s="23"/>
    </row>
    <row r="1034" spans="1:87" x14ac:dyDescent="0.3">
      <c r="A1034" s="9" t="s">
        <v>8243</v>
      </c>
      <c r="B1034" s="10" t="s">
        <v>8244</v>
      </c>
      <c r="C1034" s="11">
        <v>46047.041666666664</v>
      </c>
      <c r="D1034" s="12">
        <v>8.3333333333333329E-2</v>
      </c>
      <c r="E1034" s="11">
        <v>46047.125</v>
      </c>
      <c r="F1034" s="10" t="s">
        <v>7855</v>
      </c>
      <c r="G1034" s="13" t="b">
        <v>0</v>
      </c>
      <c r="H1034" s="10" t="s">
        <v>7949</v>
      </c>
      <c r="I1034" s="10" t="s">
        <v>89</v>
      </c>
      <c r="J1034" s="13" t="b">
        <v>0</v>
      </c>
      <c r="K1034" s="13" t="b">
        <v>1</v>
      </c>
      <c r="L1034" s="10" t="s">
        <v>124</v>
      </c>
      <c r="M1034" s="10" t="s">
        <v>91</v>
      </c>
      <c r="N1034" s="10" t="s">
        <v>92</v>
      </c>
      <c r="O1034" s="10"/>
      <c r="P1034" s="10"/>
      <c r="Q1034" s="10" t="s">
        <v>94</v>
      </c>
      <c r="R1034" s="10"/>
      <c r="S1034" s="10"/>
      <c r="T1034" s="10"/>
      <c r="U1034" s="10" t="s">
        <v>7942</v>
      </c>
      <c r="V1034" s="10" t="s">
        <v>7859</v>
      </c>
      <c r="W1034" s="10" t="s">
        <v>7860</v>
      </c>
      <c r="X1034" s="10" t="s">
        <v>130</v>
      </c>
      <c r="Y1034" s="10" t="s">
        <v>130</v>
      </c>
      <c r="Z1034" s="10" t="s">
        <v>99</v>
      </c>
      <c r="AA1034" s="10" t="s">
        <v>131</v>
      </c>
      <c r="AB1034" s="10" t="s">
        <v>7861</v>
      </c>
      <c r="AC1034" s="10" t="s">
        <v>7862</v>
      </c>
      <c r="AD1034" s="10" t="s">
        <v>8245</v>
      </c>
      <c r="AE1034" s="10" t="s">
        <v>8246</v>
      </c>
      <c r="AF1034" s="15"/>
      <c r="AG1034" s="10"/>
      <c r="AH1034" s="10"/>
      <c r="AI1034" s="10"/>
      <c r="AJ1034" s="10"/>
      <c r="AK1034" s="10"/>
      <c r="AL1034" s="10" t="s">
        <v>2201</v>
      </c>
      <c r="AM1034" s="10"/>
      <c r="AN1034" s="10"/>
      <c r="AO1034" s="13" t="b">
        <v>0</v>
      </c>
      <c r="AP1034" s="10" t="s">
        <v>104</v>
      </c>
      <c r="AQ1034" s="10"/>
      <c r="AR1034" s="17"/>
      <c r="AS1034" s="17"/>
      <c r="AT1034" s="17"/>
      <c r="AU1034" s="17"/>
      <c r="AV1034" s="17"/>
      <c r="AW1034" s="10"/>
      <c r="AX1034" s="17"/>
      <c r="AY1034" s="18" t="s">
        <v>257</v>
      </c>
      <c r="AZ1034" s="10"/>
      <c r="BA1034" s="20" t="b">
        <v>0</v>
      </c>
      <c r="BB1034" s="10"/>
      <c r="BC1034" s="17" t="s">
        <v>257</v>
      </c>
      <c r="BD1034" s="17" t="s">
        <v>257</v>
      </c>
      <c r="BE1034" s="17" t="s">
        <v>257</v>
      </c>
      <c r="BF1034" s="17" t="s">
        <v>257</v>
      </c>
      <c r="BG1034" s="11">
        <f ca="1">IFERROR(__xludf.DUMMYFUNCTION("""COMPUTED_VALUE"""),46047.0416666666)</f>
        <v>46047.041666666599</v>
      </c>
      <c r="BH1034" s="17"/>
      <c r="BI1034" s="17"/>
      <c r="BJ1034" s="15"/>
      <c r="BK1034" s="15"/>
      <c r="BL1034" s="13" t="b">
        <v>0</v>
      </c>
      <c r="BM1034" s="10"/>
      <c r="BN1034" s="10" t="s">
        <v>5685</v>
      </c>
      <c r="BO1034" s="11">
        <v>45877.289583333331</v>
      </c>
      <c r="BP1034" s="11">
        <v>46023.998854166668</v>
      </c>
      <c r="BQ1034" s="15"/>
      <c r="BR1034" s="15"/>
      <c r="BS1034" s="10"/>
      <c r="BT1034" s="10" t="s">
        <v>99</v>
      </c>
      <c r="BU1034" s="10"/>
      <c r="BV1034" s="10"/>
      <c r="BW1034" s="10"/>
      <c r="BX1034" s="10"/>
      <c r="BY1034" s="23"/>
      <c r="BZ1034" s="23"/>
      <c r="CA1034" s="19" t="s">
        <v>8247</v>
      </c>
      <c r="CB1034" s="19" t="s">
        <v>8248</v>
      </c>
      <c r="CC1034" s="23"/>
      <c r="CD1034" s="23"/>
      <c r="CE1034" s="23"/>
      <c r="CF1034" s="23"/>
      <c r="CG1034" s="23"/>
      <c r="CH1034" s="23"/>
      <c r="CI1034" s="23"/>
    </row>
    <row r="1035" spans="1:87" x14ac:dyDescent="0.3">
      <c r="A1035" s="9" t="s">
        <v>8249</v>
      </c>
      <c r="B1035" s="10" t="s">
        <v>8250</v>
      </c>
      <c r="C1035" s="11">
        <v>46054</v>
      </c>
      <c r="D1035" s="12">
        <v>8.3333333333333329E-2</v>
      </c>
      <c r="E1035" s="11">
        <v>46054.083333333336</v>
      </c>
      <c r="F1035" s="10" t="s">
        <v>7855</v>
      </c>
      <c r="G1035" s="13" t="b">
        <v>0</v>
      </c>
      <c r="H1035" s="10" t="s">
        <v>7949</v>
      </c>
      <c r="I1035" s="10" t="s">
        <v>89</v>
      </c>
      <c r="J1035" s="13" t="b">
        <v>0</v>
      </c>
      <c r="K1035" s="13" t="b">
        <v>1</v>
      </c>
      <c r="L1035" s="10" t="s">
        <v>124</v>
      </c>
      <c r="M1035" s="10" t="s">
        <v>91</v>
      </c>
      <c r="N1035" s="10" t="s">
        <v>92</v>
      </c>
      <c r="O1035" s="10"/>
      <c r="P1035" s="10"/>
      <c r="Q1035" s="10"/>
      <c r="R1035" s="10"/>
      <c r="S1035" s="10"/>
      <c r="T1035" s="10"/>
      <c r="U1035" s="10" t="s">
        <v>7859</v>
      </c>
      <c r="V1035" s="10" t="s">
        <v>7962</v>
      </c>
      <c r="W1035" s="10" t="s">
        <v>7860</v>
      </c>
      <c r="X1035" s="10" t="s">
        <v>130</v>
      </c>
      <c r="Y1035" s="10" t="s">
        <v>130</v>
      </c>
      <c r="Z1035" s="10" t="s">
        <v>99</v>
      </c>
      <c r="AA1035" s="10" t="s">
        <v>131</v>
      </c>
      <c r="AB1035" s="10" t="s">
        <v>7861</v>
      </c>
      <c r="AC1035" s="10" t="s">
        <v>7862</v>
      </c>
      <c r="AD1035" s="10" t="s">
        <v>8251</v>
      </c>
      <c r="AE1035" s="10" t="s">
        <v>8252</v>
      </c>
      <c r="AF1035" s="15"/>
      <c r="AG1035" s="10"/>
      <c r="AH1035" s="10"/>
      <c r="AI1035" s="10"/>
      <c r="AJ1035" s="10"/>
      <c r="AK1035" s="10"/>
      <c r="AL1035" s="10" t="s">
        <v>2303</v>
      </c>
      <c r="AM1035" s="10"/>
      <c r="AN1035" s="10"/>
      <c r="AO1035" s="13" t="b">
        <v>0</v>
      </c>
      <c r="AP1035" s="10" t="s">
        <v>104</v>
      </c>
      <c r="AQ1035" s="10"/>
      <c r="AR1035" s="17"/>
      <c r="AS1035" s="17"/>
      <c r="AT1035" s="17"/>
      <c r="AU1035" s="17"/>
      <c r="AV1035" s="17"/>
      <c r="AW1035" s="10"/>
      <c r="AX1035" s="17"/>
      <c r="AY1035" s="18" t="s">
        <v>257</v>
      </c>
      <c r="AZ1035" s="10"/>
      <c r="BA1035" s="20" t="b">
        <v>0</v>
      </c>
      <c r="BB1035" s="10"/>
      <c r="BC1035" s="17" t="s">
        <v>257</v>
      </c>
      <c r="BD1035" s="17" t="s">
        <v>257</v>
      </c>
      <c r="BE1035" s="17" t="s">
        <v>257</v>
      </c>
      <c r="BF1035" s="17" t="s">
        <v>257</v>
      </c>
      <c r="BG1035" s="11">
        <f ca="1">IFERROR(__xludf.DUMMYFUNCTION("""COMPUTED_VALUE"""),46054)</f>
        <v>46054</v>
      </c>
      <c r="BH1035" s="17"/>
      <c r="BI1035" s="17"/>
      <c r="BJ1035" s="15"/>
      <c r="BK1035" s="15"/>
      <c r="BL1035" s="13" t="b">
        <v>0</v>
      </c>
      <c r="BM1035" s="10"/>
      <c r="BN1035" s="10" t="s">
        <v>223</v>
      </c>
      <c r="BO1035" s="11">
        <v>45877.290231481478</v>
      </c>
      <c r="BP1035" s="11">
        <v>45877.290231481478</v>
      </c>
      <c r="BQ1035" s="15"/>
      <c r="BR1035" s="15"/>
      <c r="BS1035" s="10"/>
      <c r="BT1035" s="10"/>
      <c r="BU1035" s="10"/>
      <c r="BV1035" s="10"/>
      <c r="BW1035" s="10"/>
      <c r="BX1035" s="10"/>
      <c r="BY1035" s="23"/>
      <c r="BZ1035" s="23"/>
      <c r="CA1035" s="23"/>
      <c r="CB1035" s="23"/>
      <c r="CC1035" s="23"/>
      <c r="CD1035" s="23"/>
      <c r="CE1035" s="23"/>
      <c r="CF1035" s="23"/>
      <c r="CG1035" s="23"/>
      <c r="CH1035" s="23"/>
      <c r="CI1035" s="23"/>
    </row>
    <row r="1036" spans="1:87" x14ac:dyDescent="0.3">
      <c r="A1036" s="9" t="s">
        <v>8253</v>
      </c>
      <c r="B1036" s="10" t="s">
        <v>8254</v>
      </c>
      <c r="C1036" s="11">
        <v>46054</v>
      </c>
      <c r="D1036" s="12">
        <v>8.3333333333333329E-2</v>
      </c>
      <c r="E1036" s="11">
        <v>46054.083333333336</v>
      </c>
      <c r="F1036" s="10" t="s">
        <v>7855</v>
      </c>
      <c r="G1036" s="13" t="b">
        <v>0</v>
      </c>
      <c r="H1036" s="10" t="s">
        <v>7949</v>
      </c>
      <c r="I1036" s="10" t="s">
        <v>89</v>
      </c>
      <c r="J1036" s="13" t="b">
        <v>0</v>
      </c>
      <c r="K1036" s="13" t="b">
        <v>1</v>
      </c>
      <c r="L1036" s="10" t="s">
        <v>124</v>
      </c>
      <c r="M1036" s="10" t="s">
        <v>91</v>
      </c>
      <c r="N1036" s="10" t="s">
        <v>92</v>
      </c>
      <c r="O1036" s="10"/>
      <c r="P1036" s="10"/>
      <c r="Q1036" s="10"/>
      <c r="R1036" s="10"/>
      <c r="S1036" s="10"/>
      <c r="T1036" s="10"/>
      <c r="U1036" s="10" t="s">
        <v>7953</v>
      </c>
      <c r="V1036" s="10" t="s">
        <v>3582</v>
      </c>
      <c r="W1036" s="10" t="s">
        <v>7860</v>
      </c>
      <c r="X1036" s="10" t="s">
        <v>130</v>
      </c>
      <c r="Y1036" s="10" t="s">
        <v>130</v>
      </c>
      <c r="Z1036" s="10" t="s">
        <v>99</v>
      </c>
      <c r="AA1036" s="10" t="s">
        <v>131</v>
      </c>
      <c r="AB1036" s="10" t="s">
        <v>7861</v>
      </c>
      <c r="AC1036" s="10" t="s">
        <v>7862</v>
      </c>
      <c r="AD1036" s="10" t="s">
        <v>8255</v>
      </c>
      <c r="AE1036" s="10" t="s">
        <v>8256</v>
      </c>
      <c r="AF1036" s="15"/>
      <c r="AG1036" s="10"/>
      <c r="AH1036" s="10"/>
      <c r="AI1036" s="10"/>
      <c r="AJ1036" s="10"/>
      <c r="AK1036" s="10"/>
      <c r="AL1036" s="10" t="s">
        <v>2303</v>
      </c>
      <c r="AM1036" s="10"/>
      <c r="AN1036" s="10"/>
      <c r="AO1036" s="13" t="b">
        <v>0</v>
      </c>
      <c r="AP1036" s="10" t="s">
        <v>104</v>
      </c>
      <c r="AQ1036" s="10"/>
      <c r="AR1036" s="17"/>
      <c r="AS1036" s="17"/>
      <c r="AT1036" s="17"/>
      <c r="AU1036" s="17"/>
      <c r="AV1036" s="17"/>
      <c r="AW1036" s="10"/>
      <c r="AX1036" s="17"/>
      <c r="AY1036" s="18" t="s">
        <v>257</v>
      </c>
      <c r="AZ1036" s="10"/>
      <c r="BA1036" s="20" t="b">
        <v>0</v>
      </c>
      <c r="BB1036" s="10"/>
      <c r="BC1036" s="17" t="s">
        <v>257</v>
      </c>
      <c r="BD1036" s="17" t="s">
        <v>257</v>
      </c>
      <c r="BE1036" s="17" t="s">
        <v>257</v>
      </c>
      <c r="BF1036" s="17" t="s">
        <v>257</v>
      </c>
      <c r="BG1036" s="11">
        <f ca="1">IFERROR(__xludf.DUMMYFUNCTION("""COMPUTED_VALUE"""),46054)</f>
        <v>46054</v>
      </c>
      <c r="BH1036" s="17"/>
      <c r="BI1036" s="17"/>
      <c r="BJ1036" s="15"/>
      <c r="BK1036" s="15"/>
      <c r="BL1036" s="13" t="b">
        <v>0</v>
      </c>
      <c r="BM1036" s="10"/>
      <c r="BN1036" s="10" t="s">
        <v>223</v>
      </c>
      <c r="BO1036" s="11">
        <v>45877.290231481478</v>
      </c>
      <c r="BP1036" s="11">
        <v>45877.290231481478</v>
      </c>
      <c r="BQ1036" s="15"/>
      <c r="BR1036" s="15"/>
      <c r="BS1036" s="10"/>
      <c r="BT1036" s="10"/>
      <c r="BU1036" s="10"/>
      <c r="BV1036" s="10"/>
      <c r="BW1036" s="10"/>
      <c r="BX1036" s="10"/>
      <c r="BY1036" s="23"/>
      <c r="BZ1036" s="23"/>
      <c r="CA1036" s="23"/>
      <c r="CB1036" s="23"/>
      <c r="CC1036" s="23"/>
      <c r="CD1036" s="23"/>
      <c r="CE1036" s="23"/>
      <c r="CF1036" s="23"/>
      <c r="CG1036" s="23"/>
      <c r="CH1036" s="23"/>
      <c r="CI1036" s="23"/>
    </row>
    <row r="1037" spans="1:87" x14ac:dyDescent="0.3">
      <c r="A1037" s="9" t="s">
        <v>8257</v>
      </c>
      <c r="B1037" s="10" t="s">
        <v>8258</v>
      </c>
      <c r="C1037" s="11">
        <v>46061</v>
      </c>
      <c r="D1037" s="12">
        <v>8.3333333333333329E-2</v>
      </c>
      <c r="E1037" s="11">
        <v>46061.083333333336</v>
      </c>
      <c r="F1037" s="10" t="s">
        <v>7855</v>
      </c>
      <c r="G1037" s="13" t="b">
        <v>0</v>
      </c>
      <c r="H1037" s="10" t="s">
        <v>7949</v>
      </c>
      <c r="I1037" s="10" t="s">
        <v>89</v>
      </c>
      <c r="J1037" s="13" t="b">
        <v>0</v>
      </c>
      <c r="K1037" s="13" t="b">
        <v>1</v>
      </c>
      <c r="L1037" s="10" t="s">
        <v>124</v>
      </c>
      <c r="M1037" s="10" t="s">
        <v>91</v>
      </c>
      <c r="N1037" s="10" t="s">
        <v>92</v>
      </c>
      <c r="O1037" s="10"/>
      <c r="P1037" s="10"/>
      <c r="Q1037" s="10"/>
      <c r="R1037" s="10"/>
      <c r="S1037" s="10"/>
      <c r="T1037" s="10"/>
      <c r="U1037" s="10" t="s">
        <v>7870</v>
      </c>
      <c r="V1037" s="10" t="s">
        <v>7859</v>
      </c>
      <c r="W1037" s="10" t="s">
        <v>7860</v>
      </c>
      <c r="X1037" s="10" t="s">
        <v>130</v>
      </c>
      <c r="Y1037" s="10" t="s">
        <v>130</v>
      </c>
      <c r="Z1037" s="10" t="s">
        <v>99</v>
      </c>
      <c r="AA1037" s="10" t="s">
        <v>131</v>
      </c>
      <c r="AB1037" s="10" t="s">
        <v>7861</v>
      </c>
      <c r="AC1037" s="10" t="s">
        <v>7862</v>
      </c>
      <c r="AD1037" s="10" t="s">
        <v>8259</v>
      </c>
      <c r="AE1037" s="10" t="s">
        <v>8260</v>
      </c>
      <c r="AF1037" s="15"/>
      <c r="AG1037" s="10"/>
      <c r="AH1037" s="10"/>
      <c r="AI1037" s="10"/>
      <c r="AJ1037" s="10"/>
      <c r="AK1037" s="10"/>
      <c r="AL1037" s="10" t="s">
        <v>2405</v>
      </c>
      <c r="AM1037" s="10"/>
      <c r="AN1037" s="10"/>
      <c r="AO1037" s="13" t="b">
        <v>0</v>
      </c>
      <c r="AP1037" s="10" t="s">
        <v>104</v>
      </c>
      <c r="AQ1037" s="10"/>
      <c r="AR1037" s="17"/>
      <c r="AS1037" s="17"/>
      <c r="AT1037" s="17"/>
      <c r="AU1037" s="17"/>
      <c r="AV1037" s="17"/>
      <c r="AW1037" s="10"/>
      <c r="AX1037" s="17"/>
      <c r="AY1037" s="18" t="s">
        <v>257</v>
      </c>
      <c r="AZ1037" s="10"/>
      <c r="BA1037" s="20" t="b">
        <v>0</v>
      </c>
      <c r="BB1037" s="10"/>
      <c r="BC1037" s="17" t="s">
        <v>257</v>
      </c>
      <c r="BD1037" s="17" t="s">
        <v>257</v>
      </c>
      <c r="BE1037" s="17" t="s">
        <v>257</v>
      </c>
      <c r="BF1037" s="17" t="s">
        <v>257</v>
      </c>
      <c r="BG1037" s="11">
        <f ca="1">IFERROR(__xludf.DUMMYFUNCTION("""COMPUTED_VALUE"""),46061)</f>
        <v>46061</v>
      </c>
      <c r="BH1037" s="17"/>
      <c r="BI1037" s="17"/>
      <c r="BJ1037" s="15"/>
      <c r="BK1037" s="15"/>
      <c r="BL1037" s="13" t="b">
        <v>0</v>
      </c>
      <c r="BM1037" s="10"/>
      <c r="BN1037" s="10" t="s">
        <v>223</v>
      </c>
      <c r="BO1037" s="11">
        <v>45877.290231481478</v>
      </c>
      <c r="BP1037" s="11">
        <v>45877.290231481478</v>
      </c>
      <c r="BQ1037" s="15"/>
      <c r="BR1037" s="15"/>
      <c r="BS1037" s="10"/>
      <c r="BT1037" s="10"/>
      <c r="BU1037" s="10"/>
      <c r="BV1037" s="10"/>
      <c r="BW1037" s="10"/>
      <c r="BX1037" s="10"/>
      <c r="BY1037" s="23"/>
      <c r="BZ1037" s="23"/>
      <c r="CA1037" s="23"/>
      <c r="CB1037" s="23"/>
      <c r="CC1037" s="23"/>
      <c r="CD1037" s="23"/>
      <c r="CE1037" s="23"/>
      <c r="CF1037" s="23"/>
      <c r="CG1037" s="23"/>
      <c r="CH1037" s="23"/>
      <c r="CI1037" s="23"/>
    </row>
    <row r="1038" spans="1:87" x14ac:dyDescent="0.3">
      <c r="A1038" s="9" t="s">
        <v>8261</v>
      </c>
      <c r="B1038" s="10" t="s">
        <v>8262</v>
      </c>
      <c r="C1038" s="11">
        <v>46061</v>
      </c>
      <c r="D1038" s="12">
        <v>8.3333333333333329E-2</v>
      </c>
      <c r="E1038" s="11">
        <v>46061.083333333336</v>
      </c>
      <c r="F1038" s="10" t="s">
        <v>7855</v>
      </c>
      <c r="G1038" s="13" t="b">
        <v>0</v>
      </c>
      <c r="H1038" s="10" t="s">
        <v>7949</v>
      </c>
      <c r="I1038" s="10" t="s">
        <v>89</v>
      </c>
      <c r="J1038" s="13" t="b">
        <v>0</v>
      </c>
      <c r="K1038" s="13" t="b">
        <v>1</v>
      </c>
      <c r="L1038" s="10" t="s">
        <v>124</v>
      </c>
      <c r="M1038" s="10" t="s">
        <v>91</v>
      </c>
      <c r="N1038" s="10" t="s">
        <v>92</v>
      </c>
      <c r="O1038" s="10"/>
      <c r="P1038" s="10"/>
      <c r="Q1038" s="10"/>
      <c r="R1038" s="10"/>
      <c r="S1038" s="10"/>
      <c r="T1038" s="10"/>
      <c r="U1038" s="10" t="s">
        <v>3582</v>
      </c>
      <c r="V1038" s="10" t="s">
        <v>7972</v>
      </c>
      <c r="W1038" s="10" t="s">
        <v>7860</v>
      </c>
      <c r="X1038" s="10" t="s">
        <v>130</v>
      </c>
      <c r="Y1038" s="10" t="s">
        <v>130</v>
      </c>
      <c r="Z1038" s="10" t="s">
        <v>99</v>
      </c>
      <c r="AA1038" s="10" t="s">
        <v>131</v>
      </c>
      <c r="AB1038" s="10" t="s">
        <v>7861</v>
      </c>
      <c r="AC1038" s="10" t="s">
        <v>7862</v>
      </c>
      <c r="AD1038" s="10" t="s">
        <v>8263</v>
      </c>
      <c r="AE1038" s="10" t="s">
        <v>8264</v>
      </c>
      <c r="AF1038" s="15"/>
      <c r="AG1038" s="10"/>
      <c r="AH1038" s="10"/>
      <c r="AI1038" s="10"/>
      <c r="AJ1038" s="10"/>
      <c r="AK1038" s="10"/>
      <c r="AL1038" s="10" t="s">
        <v>2405</v>
      </c>
      <c r="AM1038" s="10"/>
      <c r="AN1038" s="10"/>
      <c r="AO1038" s="13" t="b">
        <v>0</v>
      </c>
      <c r="AP1038" s="10" t="s">
        <v>104</v>
      </c>
      <c r="AQ1038" s="10"/>
      <c r="AR1038" s="17"/>
      <c r="AS1038" s="17"/>
      <c r="AT1038" s="17"/>
      <c r="AU1038" s="17"/>
      <c r="AV1038" s="17"/>
      <c r="AW1038" s="10"/>
      <c r="AX1038" s="17"/>
      <c r="AY1038" s="18" t="s">
        <v>257</v>
      </c>
      <c r="AZ1038" s="10"/>
      <c r="BA1038" s="20" t="b">
        <v>0</v>
      </c>
      <c r="BB1038" s="10"/>
      <c r="BC1038" s="17" t="s">
        <v>257</v>
      </c>
      <c r="BD1038" s="17" t="s">
        <v>257</v>
      </c>
      <c r="BE1038" s="17" t="s">
        <v>257</v>
      </c>
      <c r="BF1038" s="17" t="s">
        <v>257</v>
      </c>
      <c r="BG1038" s="11">
        <f ca="1">IFERROR(__xludf.DUMMYFUNCTION("""COMPUTED_VALUE"""),46061)</f>
        <v>46061</v>
      </c>
      <c r="BH1038" s="17"/>
      <c r="BI1038" s="17"/>
      <c r="BJ1038" s="15"/>
      <c r="BK1038" s="15"/>
      <c r="BL1038" s="13" t="b">
        <v>0</v>
      </c>
      <c r="BM1038" s="10"/>
      <c r="BN1038" s="10" t="s">
        <v>223</v>
      </c>
      <c r="BO1038" s="11">
        <v>45877.290231481478</v>
      </c>
      <c r="BP1038" s="11">
        <v>45877.290231481478</v>
      </c>
      <c r="BQ1038" s="15"/>
      <c r="BR1038" s="15"/>
      <c r="BS1038" s="10"/>
      <c r="BT1038" s="10"/>
      <c r="BU1038" s="10"/>
      <c r="BV1038" s="10"/>
      <c r="BW1038" s="10"/>
      <c r="BX1038" s="10"/>
      <c r="BY1038" s="23"/>
      <c r="BZ1038" s="23"/>
      <c r="CA1038" s="23"/>
      <c r="CB1038" s="23"/>
      <c r="CC1038" s="23"/>
      <c r="CD1038" s="23"/>
      <c r="CE1038" s="23"/>
      <c r="CF1038" s="23"/>
      <c r="CG1038" s="23"/>
      <c r="CH1038" s="23"/>
      <c r="CI1038" s="23"/>
    </row>
    <row r="1039" spans="1:87" x14ac:dyDescent="0.3">
      <c r="A1039" s="9" t="s">
        <v>8265</v>
      </c>
      <c r="B1039" s="10" t="s">
        <v>8266</v>
      </c>
      <c r="C1039" s="11">
        <v>46068</v>
      </c>
      <c r="D1039" s="12">
        <v>8.3333333333333329E-2</v>
      </c>
      <c r="E1039" s="11">
        <v>46068.083333333336</v>
      </c>
      <c r="F1039" s="10" t="s">
        <v>7855</v>
      </c>
      <c r="G1039" s="13" t="b">
        <v>0</v>
      </c>
      <c r="H1039" s="10" t="s">
        <v>7949</v>
      </c>
      <c r="I1039" s="10" t="s">
        <v>89</v>
      </c>
      <c r="J1039" s="13" t="b">
        <v>0</v>
      </c>
      <c r="K1039" s="13" t="b">
        <v>1</v>
      </c>
      <c r="L1039" s="10" t="s">
        <v>124</v>
      </c>
      <c r="M1039" s="10" t="s">
        <v>91</v>
      </c>
      <c r="N1039" s="10" t="s">
        <v>92</v>
      </c>
      <c r="O1039" s="10"/>
      <c r="P1039" s="10"/>
      <c r="Q1039" s="10"/>
      <c r="R1039" s="10"/>
      <c r="S1039" s="10"/>
      <c r="T1039" s="10"/>
      <c r="U1039" s="10" t="s">
        <v>8000</v>
      </c>
      <c r="V1039" s="10" t="s">
        <v>3582</v>
      </c>
      <c r="W1039" s="10" t="s">
        <v>7860</v>
      </c>
      <c r="X1039" s="10" t="s">
        <v>130</v>
      </c>
      <c r="Y1039" s="10" t="s">
        <v>130</v>
      </c>
      <c r="Z1039" s="10" t="s">
        <v>99</v>
      </c>
      <c r="AA1039" s="10" t="s">
        <v>131</v>
      </c>
      <c r="AB1039" s="10" t="s">
        <v>7861</v>
      </c>
      <c r="AC1039" s="10" t="s">
        <v>7862</v>
      </c>
      <c r="AD1039" s="10" t="s">
        <v>8267</v>
      </c>
      <c r="AE1039" s="10" t="s">
        <v>8268</v>
      </c>
      <c r="AF1039" s="15"/>
      <c r="AG1039" s="10"/>
      <c r="AH1039" s="10"/>
      <c r="AI1039" s="10"/>
      <c r="AJ1039" s="10"/>
      <c r="AK1039" s="10"/>
      <c r="AL1039" s="10" t="s">
        <v>2509</v>
      </c>
      <c r="AM1039" s="10"/>
      <c r="AN1039" s="10"/>
      <c r="AO1039" s="13" t="b">
        <v>0</v>
      </c>
      <c r="AP1039" s="10" t="s">
        <v>104</v>
      </c>
      <c r="AQ1039" s="10"/>
      <c r="AR1039" s="17"/>
      <c r="AS1039" s="17"/>
      <c r="AT1039" s="17"/>
      <c r="AU1039" s="17"/>
      <c r="AV1039" s="17"/>
      <c r="AW1039" s="10"/>
      <c r="AX1039" s="17"/>
      <c r="AY1039" s="18" t="s">
        <v>257</v>
      </c>
      <c r="AZ1039" s="10"/>
      <c r="BA1039" s="20" t="b">
        <v>0</v>
      </c>
      <c r="BB1039" s="10"/>
      <c r="BC1039" s="17" t="s">
        <v>257</v>
      </c>
      <c r="BD1039" s="17" t="s">
        <v>257</v>
      </c>
      <c r="BE1039" s="17" t="s">
        <v>257</v>
      </c>
      <c r="BF1039" s="17" t="s">
        <v>257</v>
      </c>
      <c r="BG1039" s="11">
        <f ca="1">IFERROR(__xludf.DUMMYFUNCTION("""COMPUTED_VALUE"""),46068)</f>
        <v>46068</v>
      </c>
      <c r="BH1039" s="17"/>
      <c r="BI1039" s="17"/>
      <c r="BJ1039" s="15"/>
      <c r="BK1039" s="15"/>
      <c r="BL1039" s="13" t="b">
        <v>0</v>
      </c>
      <c r="BM1039" s="10"/>
      <c r="BN1039" s="10" t="s">
        <v>223</v>
      </c>
      <c r="BO1039" s="11">
        <v>45877.290231481478</v>
      </c>
      <c r="BP1039" s="11">
        <v>45877.290231481478</v>
      </c>
      <c r="BQ1039" s="15"/>
      <c r="BR1039" s="15"/>
      <c r="BS1039" s="10"/>
      <c r="BT1039" s="10"/>
      <c r="BU1039" s="10"/>
      <c r="BV1039" s="10"/>
      <c r="BW1039" s="10"/>
      <c r="BX1039" s="10"/>
      <c r="BY1039" s="23"/>
      <c r="BZ1039" s="23"/>
      <c r="CA1039" s="23"/>
      <c r="CB1039" s="23"/>
      <c r="CC1039" s="23"/>
      <c r="CD1039" s="23"/>
      <c r="CE1039" s="23"/>
      <c r="CF1039" s="23"/>
      <c r="CG1039" s="23"/>
      <c r="CH1039" s="23"/>
      <c r="CI1039" s="23"/>
    </row>
    <row r="1040" spans="1:87" x14ac:dyDescent="0.3">
      <c r="A1040" s="9" t="s">
        <v>8269</v>
      </c>
      <c r="B1040" s="10" t="s">
        <v>8270</v>
      </c>
      <c r="C1040" s="11">
        <v>46068</v>
      </c>
      <c r="D1040" s="12">
        <v>8.3333333333333329E-2</v>
      </c>
      <c r="E1040" s="11">
        <v>46068.083333333336</v>
      </c>
      <c r="F1040" s="10" t="s">
        <v>7855</v>
      </c>
      <c r="G1040" s="13" t="b">
        <v>0</v>
      </c>
      <c r="H1040" s="10" t="s">
        <v>7949</v>
      </c>
      <c r="I1040" s="10" t="s">
        <v>89</v>
      </c>
      <c r="J1040" s="13" t="b">
        <v>0</v>
      </c>
      <c r="K1040" s="13" t="b">
        <v>1</v>
      </c>
      <c r="L1040" s="10" t="s">
        <v>124</v>
      </c>
      <c r="M1040" s="10" t="s">
        <v>91</v>
      </c>
      <c r="N1040" s="10" t="s">
        <v>92</v>
      </c>
      <c r="O1040" s="10"/>
      <c r="P1040" s="10"/>
      <c r="Q1040" s="10"/>
      <c r="R1040" s="10"/>
      <c r="S1040" s="10"/>
      <c r="T1040" s="10"/>
      <c r="U1040" s="10" t="s">
        <v>7859</v>
      </c>
      <c r="V1040" s="10" t="s">
        <v>7991</v>
      </c>
      <c r="W1040" s="10" t="s">
        <v>7860</v>
      </c>
      <c r="X1040" s="10" t="s">
        <v>130</v>
      </c>
      <c r="Y1040" s="10" t="s">
        <v>130</v>
      </c>
      <c r="Z1040" s="10" t="s">
        <v>99</v>
      </c>
      <c r="AA1040" s="10" t="s">
        <v>131</v>
      </c>
      <c r="AB1040" s="10" t="s">
        <v>7861</v>
      </c>
      <c r="AC1040" s="10" t="s">
        <v>7862</v>
      </c>
      <c r="AD1040" s="10" t="s">
        <v>8271</v>
      </c>
      <c r="AE1040" s="10" t="s">
        <v>8272</v>
      </c>
      <c r="AF1040" s="15"/>
      <c r="AG1040" s="10"/>
      <c r="AH1040" s="10"/>
      <c r="AI1040" s="10"/>
      <c r="AJ1040" s="10"/>
      <c r="AK1040" s="10"/>
      <c r="AL1040" s="10" t="s">
        <v>2509</v>
      </c>
      <c r="AM1040" s="10"/>
      <c r="AN1040" s="10"/>
      <c r="AO1040" s="13" t="b">
        <v>0</v>
      </c>
      <c r="AP1040" s="10" t="s">
        <v>104</v>
      </c>
      <c r="AQ1040" s="10"/>
      <c r="AR1040" s="17"/>
      <c r="AS1040" s="17"/>
      <c r="AT1040" s="17"/>
      <c r="AU1040" s="17"/>
      <c r="AV1040" s="17"/>
      <c r="AW1040" s="10"/>
      <c r="AX1040" s="17"/>
      <c r="AY1040" s="18" t="s">
        <v>257</v>
      </c>
      <c r="AZ1040" s="10"/>
      <c r="BA1040" s="20" t="b">
        <v>0</v>
      </c>
      <c r="BB1040" s="10"/>
      <c r="BC1040" s="17" t="s">
        <v>257</v>
      </c>
      <c r="BD1040" s="17" t="s">
        <v>257</v>
      </c>
      <c r="BE1040" s="17" t="s">
        <v>257</v>
      </c>
      <c r="BF1040" s="17" t="s">
        <v>257</v>
      </c>
      <c r="BG1040" s="11">
        <f ca="1">IFERROR(__xludf.DUMMYFUNCTION("""COMPUTED_VALUE"""),46068)</f>
        <v>46068</v>
      </c>
      <c r="BH1040" s="17"/>
      <c r="BI1040" s="17"/>
      <c r="BJ1040" s="15"/>
      <c r="BK1040" s="15"/>
      <c r="BL1040" s="13" t="b">
        <v>0</v>
      </c>
      <c r="BM1040" s="10"/>
      <c r="BN1040" s="10" t="s">
        <v>223</v>
      </c>
      <c r="BO1040" s="11">
        <v>45877.290231481478</v>
      </c>
      <c r="BP1040" s="11">
        <v>45877.290231481478</v>
      </c>
      <c r="BQ1040" s="15"/>
      <c r="BR1040" s="15"/>
      <c r="BS1040" s="10"/>
      <c r="BT1040" s="10"/>
      <c r="BU1040" s="10"/>
      <c r="BV1040" s="10"/>
      <c r="BW1040" s="10"/>
      <c r="BX1040" s="10"/>
      <c r="BY1040" s="23"/>
      <c r="BZ1040" s="23"/>
      <c r="CA1040" s="23"/>
      <c r="CB1040" s="23"/>
      <c r="CC1040" s="23"/>
      <c r="CD1040" s="23"/>
      <c r="CE1040" s="23"/>
      <c r="CF1040" s="23"/>
      <c r="CG1040" s="23"/>
      <c r="CH1040" s="23"/>
      <c r="CI1040" s="23"/>
    </row>
    <row r="1041" spans="1:87" x14ac:dyDescent="0.3">
      <c r="A1041" s="9" t="s">
        <v>8273</v>
      </c>
      <c r="B1041" s="10" t="s">
        <v>8274</v>
      </c>
      <c r="C1041" s="11">
        <v>46075</v>
      </c>
      <c r="D1041" s="12">
        <v>8.3333333333333329E-2</v>
      </c>
      <c r="E1041" s="11">
        <v>46075.083333333336</v>
      </c>
      <c r="F1041" s="10" t="s">
        <v>7855</v>
      </c>
      <c r="G1041" s="13" t="b">
        <v>0</v>
      </c>
      <c r="H1041" s="10" t="s">
        <v>7949</v>
      </c>
      <c r="I1041" s="10" t="s">
        <v>89</v>
      </c>
      <c r="J1041" s="13" t="b">
        <v>0</v>
      </c>
      <c r="K1041" s="13" t="b">
        <v>1</v>
      </c>
      <c r="L1041" s="10" t="s">
        <v>124</v>
      </c>
      <c r="M1041" s="10" t="s">
        <v>91</v>
      </c>
      <c r="N1041" s="10" t="s">
        <v>92</v>
      </c>
      <c r="O1041" s="10"/>
      <c r="P1041" s="10"/>
      <c r="Q1041" s="10"/>
      <c r="R1041" s="10"/>
      <c r="S1041" s="10"/>
      <c r="T1041" s="10"/>
      <c r="U1041" s="10" t="s">
        <v>8020</v>
      </c>
      <c r="V1041" s="10" t="s">
        <v>7859</v>
      </c>
      <c r="W1041" s="10" t="s">
        <v>7860</v>
      </c>
      <c r="X1041" s="10" t="s">
        <v>130</v>
      </c>
      <c r="Y1041" s="10" t="s">
        <v>130</v>
      </c>
      <c r="Z1041" s="10" t="s">
        <v>99</v>
      </c>
      <c r="AA1041" s="10" t="s">
        <v>131</v>
      </c>
      <c r="AB1041" s="10" t="s">
        <v>7861</v>
      </c>
      <c r="AC1041" s="10" t="s">
        <v>7862</v>
      </c>
      <c r="AD1041" s="10" t="s">
        <v>8275</v>
      </c>
      <c r="AE1041" s="10" t="s">
        <v>8276</v>
      </c>
      <c r="AF1041" s="15"/>
      <c r="AG1041" s="10"/>
      <c r="AH1041" s="10"/>
      <c r="AI1041" s="10"/>
      <c r="AJ1041" s="10"/>
      <c r="AK1041" s="10"/>
      <c r="AL1041" s="10" t="s">
        <v>2553</v>
      </c>
      <c r="AM1041" s="10"/>
      <c r="AN1041" s="10"/>
      <c r="AO1041" s="13" t="b">
        <v>0</v>
      </c>
      <c r="AP1041" s="10" t="s">
        <v>104</v>
      </c>
      <c r="AQ1041" s="10"/>
      <c r="AR1041" s="17"/>
      <c r="AS1041" s="17"/>
      <c r="AT1041" s="17"/>
      <c r="AU1041" s="17"/>
      <c r="AV1041" s="17"/>
      <c r="AW1041" s="10"/>
      <c r="AX1041" s="17"/>
      <c r="AY1041" s="18" t="s">
        <v>257</v>
      </c>
      <c r="AZ1041" s="10"/>
      <c r="BA1041" s="20" t="b">
        <v>0</v>
      </c>
      <c r="BB1041" s="10"/>
      <c r="BC1041" s="17" t="s">
        <v>257</v>
      </c>
      <c r="BD1041" s="17" t="s">
        <v>257</v>
      </c>
      <c r="BE1041" s="17" t="s">
        <v>257</v>
      </c>
      <c r="BF1041" s="17" t="s">
        <v>257</v>
      </c>
      <c r="BG1041" s="11">
        <f ca="1">IFERROR(__xludf.DUMMYFUNCTION("""COMPUTED_VALUE"""),46075)</f>
        <v>46075</v>
      </c>
      <c r="BH1041" s="17"/>
      <c r="BI1041" s="17"/>
      <c r="BJ1041" s="15"/>
      <c r="BK1041" s="15"/>
      <c r="BL1041" s="13" t="b">
        <v>0</v>
      </c>
      <c r="BM1041" s="10"/>
      <c r="BN1041" s="10" t="s">
        <v>223</v>
      </c>
      <c r="BO1041" s="11">
        <v>45877.290231481478</v>
      </c>
      <c r="BP1041" s="11">
        <v>45877.290231481478</v>
      </c>
      <c r="BQ1041" s="15"/>
      <c r="BR1041" s="15"/>
      <c r="BS1041" s="10"/>
      <c r="BT1041" s="10"/>
      <c r="BU1041" s="10"/>
      <c r="BV1041" s="10"/>
      <c r="BW1041" s="10"/>
      <c r="BX1041" s="10"/>
      <c r="BY1041" s="23"/>
      <c r="BZ1041" s="23"/>
      <c r="CA1041" s="23"/>
      <c r="CB1041" s="23"/>
      <c r="CC1041" s="23"/>
      <c r="CD1041" s="23"/>
      <c r="CE1041" s="23"/>
      <c r="CF1041" s="23"/>
      <c r="CG1041" s="23"/>
      <c r="CH1041" s="23"/>
      <c r="CI1041" s="23"/>
    </row>
    <row r="1042" spans="1:87" x14ac:dyDescent="0.3">
      <c r="A1042" s="9" t="s">
        <v>8277</v>
      </c>
      <c r="B1042" s="10" t="s">
        <v>8278</v>
      </c>
      <c r="C1042" s="11">
        <v>46075</v>
      </c>
      <c r="D1042" s="12">
        <v>8.3333333333333329E-2</v>
      </c>
      <c r="E1042" s="11">
        <v>46075.083333333336</v>
      </c>
      <c r="F1042" s="10" t="s">
        <v>7855</v>
      </c>
      <c r="G1042" s="13" t="b">
        <v>0</v>
      </c>
      <c r="H1042" s="10" t="s">
        <v>7949</v>
      </c>
      <c r="I1042" s="10" t="s">
        <v>89</v>
      </c>
      <c r="J1042" s="13" t="b">
        <v>0</v>
      </c>
      <c r="K1042" s="13" t="b">
        <v>1</v>
      </c>
      <c r="L1042" s="10" t="s">
        <v>124</v>
      </c>
      <c r="M1042" s="10" t="s">
        <v>91</v>
      </c>
      <c r="N1042" s="10" t="s">
        <v>92</v>
      </c>
      <c r="O1042" s="10"/>
      <c r="P1042" s="10"/>
      <c r="Q1042" s="10"/>
      <c r="R1042" s="10"/>
      <c r="S1042" s="10"/>
      <c r="T1042" s="10"/>
      <c r="U1042" s="10" t="s">
        <v>3582</v>
      </c>
      <c r="V1042" s="10" t="s">
        <v>8010</v>
      </c>
      <c r="W1042" s="10" t="s">
        <v>7860</v>
      </c>
      <c r="X1042" s="10" t="s">
        <v>130</v>
      </c>
      <c r="Y1042" s="10" t="s">
        <v>130</v>
      </c>
      <c r="Z1042" s="10" t="s">
        <v>99</v>
      </c>
      <c r="AA1042" s="10" t="s">
        <v>131</v>
      </c>
      <c r="AB1042" s="10" t="s">
        <v>7861</v>
      </c>
      <c r="AC1042" s="10" t="s">
        <v>7862</v>
      </c>
      <c r="AD1042" s="10" t="s">
        <v>8279</v>
      </c>
      <c r="AE1042" s="10" t="s">
        <v>8280</v>
      </c>
      <c r="AF1042" s="15"/>
      <c r="AG1042" s="10"/>
      <c r="AH1042" s="10"/>
      <c r="AI1042" s="10"/>
      <c r="AJ1042" s="10"/>
      <c r="AK1042" s="10"/>
      <c r="AL1042" s="10" t="s">
        <v>2553</v>
      </c>
      <c r="AM1042" s="10"/>
      <c r="AN1042" s="10"/>
      <c r="AO1042" s="13" t="b">
        <v>0</v>
      </c>
      <c r="AP1042" s="10" t="s">
        <v>104</v>
      </c>
      <c r="AQ1042" s="10"/>
      <c r="AR1042" s="17"/>
      <c r="AS1042" s="17"/>
      <c r="AT1042" s="17"/>
      <c r="AU1042" s="17"/>
      <c r="AV1042" s="17"/>
      <c r="AW1042" s="10"/>
      <c r="AX1042" s="17"/>
      <c r="AY1042" s="18" t="s">
        <v>257</v>
      </c>
      <c r="AZ1042" s="10"/>
      <c r="BA1042" s="20" t="b">
        <v>0</v>
      </c>
      <c r="BB1042" s="10"/>
      <c r="BC1042" s="17" t="s">
        <v>257</v>
      </c>
      <c r="BD1042" s="17" t="s">
        <v>257</v>
      </c>
      <c r="BE1042" s="17" t="s">
        <v>257</v>
      </c>
      <c r="BF1042" s="17" t="s">
        <v>257</v>
      </c>
      <c r="BG1042" s="11">
        <f ca="1">IFERROR(__xludf.DUMMYFUNCTION("""COMPUTED_VALUE"""),46075)</f>
        <v>46075</v>
      </c>
      <c r="BH1042" s="17"/>
      <c r="BI1042" s="17"/>
      <c r="BJ1042" s="15"/>
      <c r="BK1042" s="15"/>
      <c r="BL1042" s="13" t="b">
        <v>0</v>
      </c>
      <c r="BM1042" s="10"/>
      <c r="BN1042" s="10" t="s">
        <v>223</v>
      </c>
      <c r="BO1042" s="11">
        <v>45877.290231481478</v>
      </c>
      <c r="BP1042" s="11">
        <v>45877.290231481478</v>
      </c>
      <c r="BQ1042" s="15"/>
      <c r="BR1042" s="15"/>
      <c r="BS1042" s="10"/>
      <c r="BT1042" s="10"/>
      <c r="BU1042" s="10"/>
      <c r="BV1042" s="10"/>
      <c r="BW1042" s="10"/>
      <c r="BX1042" s="10"/>
      <c r="BY1042" s="23"/>
      <c r="BZ1042" s="23"/>
      <c r="CA1042" s="23"/>
      <c r="CB1042" s="23"/>
      <c r="CC1042" s="23"/>
      <c r="CD1042" s="23"/>
      <c r="CE1042" s="23"/>
      <c r="CF1042" s="23"/>
      <c r="CG1042" s="23"/>
      <c r="CH1042" s="23"/>
      <c r="CI1042" s="23"/>
    </row>
    <row r="1043" spans="1:87" x14ac:dyDescent="0.3">
      <c r="A1043" s="9" t="s">
        <v>8281</v>
      </c>
      <c r="B1043" s="10" t="s">
        <v>8282</v>
      </c>
      <c r="C1043" s="11">
        <v>46082</v>
      </c>
      <c r="D1043" s="12">
        <v>8.3333333333333329E-2</v>
      </c>
      <c r="E1043" s="11">
        <v>46082.083333333336</v>
      </c>
      <c r="F1043" s="10" t="s">
        <v>7855</v>
      </c>
      <c r="G1043" s="13" t="b">
        <v>0</v>
      </c>
      <c r="H1043" s="10" t="s">
        <v>7949</v>
      </c>
      <c r="I1043" s="10" t="s">
        <v>89</v>
      </c>
      <c r="J1043" s="13" t="b">
        <v>0</v>
      </c>
      <c r="K1043" s="13" t="b">
        <v>1</v>
      </c>
      <c r="L1043" s="10" t="s">
        <v>124</v>
      </c>
      <c r="M1043" s="10" t="s">
        <v>91</v>
      </c>
      <c r="N1043" s="10" t="s">
        <v>92</v>
      </c>
      <c r="O1043" s="10"/>
      <c r="P1043" s="10"/>
      <c r="Q1043" s="10"/>
      <c r="R1043" s="10"/>
      <c r="S1043" s="10"/>
      <c r="T1043" s="10"/>
      <c r="U1043" s="10" t="s">
        <v>8045</v>
      </c>
      <c r="V1043" s="10" t="s">
        <v>3582</v>
      </c>
      <c r="W1043" s="10" t="s">
        <v>7860</v>
      </c>
      <c r="X1043" s="10" t="s">
        <v>130</v>
      </c>
      <c r="Y1043" s="10" t="s">
        <v>130</v>
      </c>
      <c r="Z1043" s="10" t="s">
        <v>99</v>
      </c>
      <c r="AA1043" s="10" t="s">
        <v>131</v>
      </c>
      <c r="AB1043" s="10" t="s">
        <v>7861</v>
      </c>
      <c r="AC1043" s="10" t="s">
        <v>7862</v>
      </c>
      <c r="AD1043" s="10" t="s">
        <v>8283</v>
      </c>
      <c r="AE1043" s="10" t="s">
        <v>8284</v>
      </c>
      <c r="AF1043" s="15"/>
      <c r="AG1043" s="10"/>
      <c r="AH1043" s="10"/>
      <c r="AI1043" s="10"/>
      <c r="AJ1043" s="10"/>
      <c r="AK1043" s="10"/>
      <c r="AL1043" s="10" t="s">
        <v>2596</v>
      </c>
      <c r="AM1043" s="10"/>
      <c r="AN1043" s="10"/>
      <c r="AO1043" s="13" t="b">
        <v>0</v>
      </c>
      <c r="AP1043" s="10" t="s">
        <v>104</v>
      </c>
      <c r="AQ1043" s="10"/>
      <c r="AR1043" s="17"/>
      <c r="AS1043" s="17"/>
      <c r="AT1043" s="17"/>
      <c r="AU1043" s="17"/>
      <c r="AV1043" s="17"/>
      <c r="AW1043" s="10"/>
      <c r="AX1043" s="17"/>
      <c r="AY1043" s="18" t="s">
        <v>257</v>
      </c>
      <c r="AZ1043" s="10"/>
      <c r="BA1043" s="20" t="b">
        <v>0</v>
      </c>
      <c r="BB1043" s="10"/>
      <c r="BC1043" s="17" t="s">
        <v>257</v>
      </c>
      <c r="BD1043" s="17" t="s">
        <v>257</v>
      </c>
      <c r="BE1043" s="17" t="s">
        <v>257</v>
      </c>
      <c r="BF1043" s="17" t="s">
        <v>257</v>
      </c>
      <c r="BG1043" s="11">
        <f ca="1">IFERROR(__xludf.DUMMYFUNCTION("""COMPUTED_VALUE"""),46082)</f>
        <v>46082</v>
      </c>
      <c r="BH1043" s="17"/>
      <c r="BI1043" s="17"/>
      <c r="BJ1043" s="15"/>
      <c r="BK1043" s="15"/>
      <c r="BL1043" s="13" t="b">
        <v>0</v>
      </c>
      <c r="BM1043" s="10"/>
      <c r="BN1043" s="10" t="s">
        <v>223</v>
      </c>
      <c r="BO1043" s="11">
        <v>45877.290231481478</v>
      </c>
      <c r="BP1043" s="11">
        <v>45877.290231481478</v>
      </c>
      <c r="BQ1043" s="15"/>
      <c r="BR1043" s="15"/>
      <c r="BS1043" s="10"/>
      <c r="BT1043" s="10"/>
      <c r="BU1043" s="10"/>
      <c r="BV1043" s="10"/>
      <c r="BW1043" s="10"/>
      <c r="BX1043" s="10"/>
      <c r="BY1043" s="23"/>
      <c r="BZ1043" s="23"/>
      <c r="CA1043" s="23"/>
      <c r="CB1043" s="23"/>
      <c r="CC1043" s="23"/>
      <c r="CD1043" s="23"/>
      <c r="CE1043" s="23"/>
      <c r="CF1043" s="23"/>
      <c r="CG1043" s="23"/>
      <c r="CH1043" s="23"/>
      <c r="CI1043" s="23"/>
    </row>
    <row r="1044" spans="1:87" x14ac:dyDescent="0.3">
      <c r="A1044" s="9" t="s">
        <v>8285</v>
      </c>
      <c r="B1044" s="10" t="s">
        <v>8286</v>
      </c>
      <c r="C1044" s="11">
        <v>46082</v>
      </c>
      <c r="D1044" s="12">
        <v>8.3333333333333329E-2</v>
      </c>
      <c r="E1044" s="11">
        <v>46082.083333333336</v>
      </c>
      <c r="F1044" s="10" t="s">
        <v>7855</v>
      </c>
      <c r="G1044" s="13" t="b">
        <v>0</v>
      </c>
      <c r="H1044" s="10" t="s">
        <v>7949</v>
      </c>
      <c r="I1044" s="10" t="s">
        <v>89</v>
      </c>
      <c r="J1044" s="13" t="b">
        <v>0</v>
      </c>
      <c r="K1044" s="13" t="b">
        <v>1</v>
      </c>
      <c r="L1044" s="10" t="s">
        <v>124</v>
      </c>
      <c r="M1044" s="10" t="s">
        <v>91</v>
      </c>
      <c r="N1044" s="10" t="s">
        <v>92</v>
      </c>
      <c r="O1044" s="10"/>
      <c r="P1044" s="10"/>
      <c r="Q1044" s="10"/>
      <c r="R1044" s="10"/>
      <c r="S1044" s="10"/>
      <c r="T1044" s="10"/>
      <c r="U1044" s="10" t="s">
        <v>7859</v>
      </c>
      <c r="V1044" s="10" t="s">
        <v>8035</v>
      </c>
      <c r="W1044" s="10" t="s">
        <v>7860</v>
      </c>
      <c r="X1044" s="10" t="s">
        <v>130</v>
      </c>
      <c r="Y1044" s="10" t="s">
        <v>130</v>
      </c>
      <c r="Z1044" s="10" t="s">
        <v>99</v>
      </c>
      <c r="AA1044" s="10" t="s">
        <v>131</v>
      </c>
      <c r="AB1044" s="10" t="s">
        <v>7861</v>
      </c>
      <c r="AC1044" s="10" t="s">
        <v>7862</v>
      </c>
      <c r="AD1044" s="10" t="s">
        <v>8287</v>
      </c>
      <c r="AE1044" s="10" t="s">
        <v>8288</v>
      </c>
      <c r="AF1044" s="15"/>
      <c r="AG1044" s="10"/>
      <c r="AH1044" s="10"/>
      <c r="AI1044" s="10"/>
      <c r="AJ1044" s="10"/>
      <c r="AK1044" s="10"/>
      <c r="AL1044" s="10" t="s">
        <v>2596</v>
      </c>
      <c r="AM1044" s="10"/>
      <c r="AN1044" s="10"/>
      <c r="AO1044" s="13" t="b">
        <v>0</v>
      </c>
      <c r="AP1044" s="10" t="s">
        <v>104</v>
      </c>
      <c r="AQ1044" s="10"/>
      <c r="AR1044" s="17"/>
      <c r="AS1044" s="17"/>
      <c r="AT1044" s="17"/>
      <c r="AU1044" s="17"/>
      <c r="AV1044" s="17"/>
      <c r="AW1044" s="10"/>
      <c r="AX1044" s="17"/>
      <c r="AY1044" s="18" t="s">
        <v>257</v>
      </c>
      <c r="AZ1044" s="10"/>
      <c r="BA1044" s="20" t="b">
        <v>0</v>
      </c>
      <c r="BB1044" s="10"/>
      <c r="BC1044" s="17" t="s">
        <v>257</v>
      </c>
      <c r="BD1044" s="17" t="s">
        <v>257</v>
      </c>
      <c r="BE1044" s="17" t="s">
        <v>257</v>
      </c>
      <c r="BF1044" s="17" t="s">
        <v>257</v>
      </c>
      <c r="BG1044" s="11">
        <f ca="1">IFERROR(__xludf.DUMMYFUNCTION("""COMPUTED_VALUE"""),46082)</f>
        <v>46082</v>
      </c>
      <c r="BH1044" s="17"/>
      <c r="BI1044" s="17"/>
      <c r="BJ1044" s="15"/>
      <c r="BK1044" s="15"/>
      <c r="BL1044" s="13" t="b">
        <v>0</v>
      </c>
      <c r="BM1044" s="10"/>
      <c r="BN1044" s="10" t="s">
        <v>223</v>
      </c>
      <c r="BO1044" s="11">
        <v>45877.290231481478</v>
      </c>
      <c r="BP1044" s="11">
        <v>45877.290231481478</v>
      </c>
      <c r="BQ1044" s="15"/>
      <c r="BR1044" s="15"/>
      <c r="BS1044" s="10"/>
      <c r="BT1044" s="10"/>
      <c r="BU1044" s="10"/>
      <c r="BV1044" s="10"/>
      <c r="BW1044" s="10"/>
      <c r="BX1044" s="10"/>
      <c r="BY1044" s="23"/>
      <c r="BZ1044" s="23"/>
      <c r="CA1044" s="23"/>
      <c r="CB1044" s="23"/>
      <c r="CC1044" s="23"/>
      <c r="CD1044" s="23"/>
      <c r="CE1044" s="23"/>
      <c r="CF1044" s="23"/>
      <c r="CG1044" s="23"/>
      <c r="CH1044" s="23"/>
      <c r="CI1044" s="23"/>
    </row>
    <row r="1045" spans="1:87" x14ac:dyDescent="0.3">
      <c r="A1045" s="9" t="s">
        <v>8289</v>
      </c>
      <c r="B1045" s="10" t="s">
        <v>8290</v>
      </c>
      <c r="C1045" s="11">
        <v>46089</v>
      </c>
      <c r="D1045" s="12">
        <v>8.3333333333333329E-2</v>
      </c>
      <c r="E1045" s="11">
        <v>46089.083333333336</v>
      </c>
      <c r="F1045" s="10" t="s">
        <v>7855</v>
      </c>
      <c r="G1045" s="13" t="b">
        <v>0</v>
      </c>
      <c r="H1045" s="10" t="s">
        <v>7949</v>
      </c>
      <c r="I1045" s="10" t="s">
        <v>89</v>
      </c>
      <c r="J1045" s="13" t="b">
        <v>0</v>
      </c>
      <c r="K1045" s="13" t="b">
        <v>1</v>
      </c>
      <c r="L1045" s="10" t="s">
        <v>124</v>
      </c>
      <c r="M1045" s="10" t="s">
        <v>91</v>
      </c>
      <c r="N1045" s="10" t="s">
        <v>92</v>
      </c>
      <c r="O1045" s="10"/>
      <c r="P1045" s="10"/>
      <c r="Q1045" s="10"/>
      <c r="R1045" s="10"/>
      <c r="S1045" s="10"/>
      <c r="T1045" s="10"/>
      <c r="U1045" s="10" t="s">
        <v>3582</v>
      </c>
      <c r="V1045" s="10" t="s">
        <v>7870</v>
      </c>
      <c r="W1045" s="10" t="s">
        <v>7860</v>
      </c>
      <c r="X1045" s="10" t="s">
        <v>130</v>
      </c>
      <c r="Y1045" s="10" t="s">
        <v>130</v>
      </c>
      <c r="Z1045" s="10" t="s">
        <v>99</v>
      </c>
      <c r="AA1045" s="10" t="s">
        <v>131</v>
      </c>
      <c r="AB1045" s="10" t="s">
        <v>7861</v>
      </c>
      <c r="AC1045" s="10" t="s">
        <v>7862</v>
      </c>
      <c r="AD1045" s="10" t="s">
        <v>8291</v>
      </c>
      <c r="AE1045" s="10" t="s">
        <v>8292</v>
      </c>
      <c r="AF1045" s="15"/>
      <c r="AG1045" s="10"/>
      <c r="AH1045" s="10"/>
      <c r="AI1045" s="10"/>
      <c r="AJ1045" s="10"/>
      <c r="AK1045" s="10"/>
      <c r="AL1045" s="10" t="s">
        <v>2638</v>
      </c>
      <c r="AM1045" s="10"/>
      <c r="AN1045" s="10"/>
      <c r="AO1045" s="13" t="b">
        <v>0</v>
      </c>
      <c r="AP1045" s="10" t="s">
        <v>104</v>
      </c>
      <c r="AQ1045" s="10"/>
      <c r="AR1045" s="17"/>
      <c r="AS1045" s="17"/>
      <c r="AT1045" s="17"/>
      <c r="AU1045" s="17"/>
      <c r="AV1045" s="17"/>
      <c r="AW1045" s="10"/>
      <c r="AX1045" s="17"/>
      <c r="AY1045" s="18" t="s">
        <v>257</v>
      </c>
      <c r="AZ1045" s="10"/>
      <c r="BA1045" s="20" t="b">
        <v>0</v>
      </c>
      <c r="BB1045" s="10"/>
      <c r="BC1045" s="17" t="s">
        <v>257</v>
      </c>
      <c r="BD1045" s="17" t="s">
        <v>257</v>
      </c>
      <c r="BE1045" s="17" t="s">
        <v>257</v>
      </c>
      <c r="BF1045" s="17" t="s">
        <v>257</v>
      </c>
      <c r="BG1045" s="11">
        <f ca="1">IFERROR(__xludf.DUMMYFUNCTION("""COMPUTED_VALUE"""),46089)</f>
        <v>46089</v>
      </c>
      <c r="BH1045" s="17"/>
      <c r="BI1045" s="17"/>
      <c r="BJ1045" s="15"/>
      <c r="BK1045" s="15"/>
      <c r="BL1045" s="13" t="b">
        <v>0</v>
      </c>
      <c r="BM1045" s="10"/>
      <c r="BN1045" s="10" t="s">
        <v>223</v>
      </c>
      <c r="BO1045" s="11">
        <v>45877.290231481478</v>
      </c>
      <c r="BP1045" s="11">
        <v>45877.290231481478</v>
      </c>
      <c r="BQ1045" s="15"/>
      <c r="BR1045" s="15"/>
      <c r="BS1045" s="10"/>
      <c r="BT1045" s="10"/>
      <c r="BU1045" s="10"/>
      <c r="BV1045" s="10"/>
      <c r="BW1045" s="10"/>
      <c r="BX1045" s="10"/>
      <c r="BY1045" s="23"/>
      <c r="BZ1045" s="23"/>
      <c r="CA1045" s="23"/>
      <c r="CB1045" s="23"/>
      <c r="CC1045" s="23"/>
      <c r="CD1045" s="23"/>
      <c r="CE1045" s="23"/>
      <c r="CF1045" s="23"/>
      <c r="CG1045" s="23"/>
      <c r="CH1045" s="23"/>
      <c r="CI1045" s="23"/>
    </row>
    <row r="1046" spans="1:87" x14ac:dyDescent="0.3">
      <c r="A1046" s="9" t="s">
        <v>8293</v>
      </c>
      <c r="B1046" s="10" t="s">
        <v>8294</v>
      </c>
      <c r="C1046" s="11">
        <v>46089</v>
      </c>
      <c r="D1046" s="12">
        <v>8.3333333333333329E-2</v>
      </c>
      <c r="E1046" s="11">
        <v>46089.083333333336</v>
      </c>
      <c r="F1046" s="10" t="s">
        <v>7855</v>
      </c>
      <c r="G1046" s="13" t="b">
        <v>0</v>
      </c>
      <c r="H1046" s="10" t="s">
        <v>7949</v>
      </c>
      <c r="I1046" s="10" t="s">
        <v>89</v>
      </c>
      <c r="J1046" s="13" t="b">
        <v>0</v>
      </c>
      <c r="K1046" s="13" t="b">
        <v>1</v>
      </c>
      <c r="L1046" s="10" t="s">
        <v>124</v>
      </c>
      <c r="M1046" s="10" t="s">
        <v>91</v>
      </c>
      <c r="N1046" s="10" t="s">
        <v>92</v>
      </c>
      <c r="O1046" s="10"/>
      <c r="P1046" s="10"/>
      <c r="Q1046" s="10"/>
      <c r="R1046" s="10"/>
      <c r="S1046" s="10"/>
      <c r="T1046" s="10"/>
      <c r="U1046" s="10" t="s">
        <v>8065</v>
      </c>
      <c r="V1046" s="10" t="s">
        <v>7859</v>
      </c>
      <c r="W1046" s="10" t="s">
        <v>7860</v>
      </c>
      <c r="X1046" s="10" t="s">
        <v>130</v>
      </c>
      <c r="Y1046" s="10" t="s">
        <v>130</v>
      </c>
      <c r="Z1046" s="10" t="s">
        <v>99</v>
      </c>
      <c r="AA1046" s="10" t="s">
        <v>131</v>
      </c>
      <c r="AB1046" s="10" t="s">
        <v>7861</v>
      </c>
      <c r="AC1046" s="10" t="s">
        <v>7862</v>
      </c>
      <c r="AD1046" s="10" t="s">
        <v>8295</v>
      </c>
      <c r="AE1046" s="10" t="s">
        <v>8296</v>
      </c>
      <c r="AF1046" s="15"/>
      <c r="AG1046" s="10"/>
      <c r="AH1046" s="10"/>
      <c r="AI1046" s="10"/>
      <c r="AJ1046" s="10"/>
      <c r="AK1046" s="10"/>
      <c r="AL1046" s="10" t="s">
        <v>2638</v>
      </c>
      <c r="AM1046" s="10"/>
      <c r="AN1046" s="10"/>
      <c r="AO1046" s="13" t="b">
        <v>0</v>
      </c>
      <c r="AP1046" s="10" t="s">
        <v>104</v>
      </c>
      <c r="AQ1046" s="10"/>
      <c r="AR1046" s="17"/>
      <c r="AS1046" s="17"/>
      <c r="AT1046" s="17"/>
      <c r="AU1046" s="17"/>
      <c r="AV1046" s="17"/>
      <c r="AW1046" s="10"/>
      <c r="AX1046" s="17"/>
      <c r="AY1046" s="18" t="s">
        <v>257</v>
      </c>
      <c r="AZ1046" s="10"/>
      <c r="BA1046" s="20" t="b">
        <v>0</v>
      </c>
      <c r="BB1046" s="10"/>
      <c r="BC1046" s="17" t="s">
        <v>257</v>
      </c>
      <c r="BD1046" s="17" t="s">
        <v>257</v>
      </c>
      <c r="BE1046" s="17" t="s">
        <v>257</v>
      </c>
      <c r="BF1046" s="17" t="s">
        <v>257</v>
      </c>
      <c r="BG1046" s="11">
        <f ca="1">IFERROR(__xludf.DUMMYFUNCTION("""COMPUTED_VALUE"""),46089)</f>
        <v>46089</v>
      </c>
      <c r="BH1046" s="17"/>
      <c r="BI1046" s="17"/>
      <c r="BJ1046" s="15"/>
      <c r="BK1046" s="15"/>
      <c r="BL1046" s="13" t="b">
        <v>0</v>
      </c>
      <c r="BM1046" s="10"/>
      <c r="BN1046" s="10" t="s">
        <v>223</v>
      </c>
      <c r="BO1046" s="11">
        <v>45877.290231481478</v>
      </c>
      <c r="BP1046" s="11">
        <v>45877.290231481478</v>
      </c>
      <c r="BQ1046" s="15"/>
      <c r="BR1046" s="15"/>
      <c r="BS1046" s="10"/>
      <c r="BT1046" s="10"/>
      <c r="BU1046" s="10"/>
      <c r="BV1046" s="10"/>
      <c r="BW1046" s="10"/>
      <c r="BX1046" s="10"/>
      <c r="BY1046" s="23"/>
      <c r="BZ1046" s="23"/>
      <c r="CA1046" s="23"/>
      <c r="CB1046" s="23"/>
      <c r="CC1046" s="23"/>
      <c r="CD1046" s="23"/>
      <c r="CE1046" s="23"/>
      <c r="CF1046" s="23"/>
      <c r="CG1046" s="23"/>
      <c r="CH1046" s="23"/>
      <c r="CI1046" s="23"/>
    </row>
    <row r="1047" spans="1:87" x14ac:dyDescent="0.3">
      <c r="A1047" s="9" t="s">
        <v>8297</v>
      </c>
      <c r="B1047" s="10" t="s">
        <v>8298</v>
      </c>
      <c r="C1047" s="11">
        <v>46096</v>
      </c>
      <c r="D1047" s="12">
        <v>8.3333333333333329E-2</v>
      </c>
      <c r="E1047" s="11">
        <v>46096.083333333336</v>
      </c>
      <c r="F1047" s="10" t="s">
        <v>7855</v>
      </c>
      <c r="G1047" s="13" t="b">
        <v>0</v>
      </c>
      <c r="H1047" s="10" t="s">
        <v>7949</v>
      </c>
      <c r="I1047" s="10" t="s">
        <v>89</v>
      </c>
      <c r="J1047" s="13" t="b">
        <v>0</v>
      </c>
      <c r="K1047" s="13" t="b">
        <v>1</v>
      </c>
      <c r="L1047" s="10" t="s">
        <v>124</v>
      </c>
      <c r="M1047" s="10" t="s">
        <v>91</v>
      </c>
      <c r="N1047" s="10" t="s">
        <v>92</v>
      </c>
      <c r="O1047" s="10"/>
      <c r="P1047" s="10"/>
      <c r="Q1047" s="10"/>
      <c r="R1047" s="10"/>
      <c r="S1047" s="10"/>
      <c r="T1047" s="10"/>
      <c r="U1047" s="10" t="s">
        <v>7942</v>
      </c>
      <c r="V1047" s="10" t="s">
        <v>3582</v>
      </c>
      <c r="W1047" s="10" t="s">
        <v>7860</v>
      </c>
      <c r="X1047" s="10" t="s">
        <v>130</v>
      </c>
      <c r="Y1047" s="10" t="s">
        <v>130</v>
      </c>
      <c r="Z1047" s="10" t="s">
        <v>99</v>
      </c>
      <c r="AA1047" s="10" t="s">
        <v>131</v>
      </c>
      <c r="AB1047" s="10" t="s">
        <v>7861</v>
      </c>
      <c r="AC1047" s="10" t="s">
        <v>7862</v>
      </c>
      <c r="AD1047" s="10" t="s">
        <v>8299</v>
      </c>
      <c r="AE1047" s="10" t="s">
        <v>8300</v>
      </c>
      <c r="AF1047" s="15"/>
      <c r="AG1047" s="10"/>
      <c r="AH1047" s="10"/>
      <c r="AI1047" s="10"/>
      <c r="AJ1047" s="10"/>
      <c r="AK1047" s="10"/>
      <c r="AL1047" s="10" t="s">
        <v>2679</v>
      </c>
      <c r="AM1047" s="10"/>
      <c r="AN1047" s="10"/>
      <c r="AO1047" s="13" t="b">
        <v>0</v>
      </c>
      <c r="AP1047" s="10" t="s">
        <v>104</v>
      </c>
      <c r="AQ1047" s="10"/>
      <c r="AR1047" s="17"/>
      <c r="AS1047" s="17"/>
      <c r="AT1047" s="17"/>
      <c r="AU1047" s="17"/>
      <c r="AV1047" s="17"/>
      <c r="AW1047" s="10"/>
      <c r="AX1047" s="17"/>
      <c r="AY1047" s="18" t="s">
        <v>257</v>
      </c>
      <c r="AZ1047" s="10"/>
      <c r="BA1047" s="20" t="b">
        <v>0</v>
      </c>
      <c r="BB1047" s="10"/>
      <c r="BC1047" s="17" t="s">
        <v>257</v>
      </c>
      <c r="BD1047" s="17" t="s">
        <v>257</v>
      </c>
      <c r="BE1047" s="17" t="s">
        <v>257</v>
      </c>
      <c r="BF1047" s="17" t="s">
        <v>257</v>
      </c>
      <c r="BG1047" s="11">
        <f ca="1">IFERROR(__xludf.DUMMYFUNCTION("""COMPUTED_VALUE"""),46096)</f>
        <v>46096</v>
      </c>
      <c r="BH1047" s="17"/>
      <c r="BI1047" s="17"/>
      <c r="BJ1047" s="15"/>
      <c r="BK1047" s="15"/>
      <c r="BL1047" s="13" t="b">
        <v>0</v>
      </c>
      <c r="BM1047" s="10"/>
      <c r="BN1047" s="10" t="s">
        <v>223</v>
      </c>
      <c r="BO1047" s="11">
        <v>45877.290231481478</v>
      </c>
      <c r="BP1047" s="11">
        <v>45877.290231481478</v>
      </c>
      <c r="BQ1047" s="15"/>
      <c r="BR1047" s="15"/>
      <c r="BS1047" s="10"/>
      <c r="BT1047" s="10"/>
      <c r="BU1047" s="10"/>
      <c r="BV1047" s="10"/>
      <c r="BW1047" s="10"/>
      <c r="BX1047" s="10"/>
      <c r="BY1047" s="23"/>
      <c r="BZ1047" s="23"/>
      <c r="CA1047" s="23"/>
      <c r="CB1047" s="23"/>
      <c r="CC1047" s="23"/>
      <c r="CD1047" s="23"/>
      <c r="CE1047" s="23"/>
      <c r="CF1047" s="23"/>
      <c r="CG1047" s="23"/>
      <c r="CH1047" s="23"/>
      <c r="CI1047" s="23"/>
    </row>
    <row r="1048" spans="1:87" x14ac:dyDescent="0.3">
      <c r="A1048" s="9" t="s">
        <v>8301</v>
      </c>
      <c r="B1048" s="10" t="s">
        <v>8302</v>
      </c>
      <c r="C1048" s="11">
        <v>46096</v>
      </c>
      <c r="D1048" s="12">
        <v>8.3333333333333329E-2</v>
      </c>
      <c r="E1048" s="11">
        <v>46096.083333333336</v>
      </c>
      <c r="F1048" s="10" t="s">
        <v>7855</v>
      </c>
      <c r="G1048" s="13" t="b">
        <v>0</v>
      </c>
      <c r="H1048" s="10" t="s">
        <v>7949</v>
      </c>
      <c r="I1048" s="10" t="s">
        <v>89</v>
      </c>
      <c r="J1048" s="13" t="b">
        <v>0</v>
      </c>
      <c r="K1048" s="13" t="b">
        <v>1</v>
      </c>
      <c r="L1048" s="10" t="s">
        <v>124</v>
      </c>
      <c r="M1048" s="10" t="s">
        <v>91</v>
      </c>
      <c r="N1048" s="10" t="s">
        <v>92</v>
      </c>
      <c r="O1048" s="10"/>
      <c r="P1048" s="10"/>
      <c r="Q1048" s="10"/>
      <c r="R1048" s="10"/>
      <c r="S1048" s="10"/>
      <c r="T1048" s="10"/>
      <c r="U1048" s="10" t="s">
        <v>7859</v>
      </c>
      <c r="V1048" s="10" t="s">
        <v>7953</v>
      </c>
      <c r="W1048" s="10" t="s">
        <v>7860</v>
      </c>
      <c r="X1048" s="10" t="s">
        <v>130</v>
      </c>
      <c r="Y1048" s="10" t="s">
        <v>130</v>
      </c>
      <c r="Z1048" s="10" t="s">
        <v>99</v>
      </c>
      <c r="AA1048" s="10" t="s">
        <v>131</v>
      </c>
      <c r="AB1048" s="10" t="s">
        <v>7861</v>
      </c>
      <c r="AC1048" s="10" t="s">
        <v>7862</v>
      </c>
      <c r="AD1048" s="10" t="s">
        <v>8303</v>
      </c>
      <c r="AE1048" s="10" t="s">
        <v>8304</v>
      </c>
      <c r="AF1048" s="15"/>
      <c r="AG1048" s="10"/>
      <c r="AH1048" s="10"/>
      <c r="AI1048" s="10"/>
      <c r="AJ1048" s="10"/>
      <c r="AK1048" s="10"/>
      <c r="AL1048" s="10" t="s">
        <v>2679</v>
      </c>
      <c r="AM1048" s="10"/>
      <c r="AN1048" s="10"/>
      <c r="AO1048" s="13" t="b">
        <v>0</v>
      </c>
      <c r="AP1048" s="10" t="s">
        <v>104</v>
      </c>
      <c r="AQ1048" s="10"/>
      <c r="AR1048" s="17"/>
      <c r="AS1048" s="17"/>
      <c r="AT1048" s="17"/>
      <c r="AU1048" s="17"/>
      <c r="AV1048" s="17"/>
      <c r="AW1048" s="10"/>
      <c r="AX1048" s="17"/>
      <c r="AY1048" s="18" t="s">
        <v>257</v>
      </c>
      <c r="AZ1048" s="10"/>
      <c r="BA1048" s="20" t="b">
        <v>0</v>
      </c>
      <c r="BB1048" s="10"/>
      <c r="BC1048" s="17" t="s">
        <v>257</v>
      </c>
      <c r="BD1048" s="17" t="s">
        <v>257</v>
      </c>
      <c r="BE1048" s="17" t="s">
        <v>257</v>
      </c>
      <c r="BF1048" s="17" t="s">
        <v>257</v>
      </c>
      <c r="BG1048" s="11">
        <f ca="1">IFERROR(__xludf.DUMMYFUNCTION("""COMPUTED_VALUE"""),46096)</f>
        <v>46096</v>
      </c>
      <c r="BH1048" s="17"/>
      <c r="BI1048" s="17"/>
      <c r="BJ1048" s="15"/>
      <c r="BK1048" s="15"/>
      <c r="BL1048" s="13" t="b">
        <v>0</v>
      </c>
      <c r="BM1048" s="10"/>
      <c r="BN1048" s="10" t="s">
        <v>223</v>
      </c>
      <c r="BO1048" s="11">
        <v>45877.290231481478</v>
      </c>
      <c r="BP1048" s="11">
        <v>45877.290231481478</v>
      </c>
      <c r="BQ1048" s="15"/>
      <c r="BR1048" s="15"/>
      <c r="BS1048" s="10"/>
      <c r="BT1048" s="10"/>
      <c r="BU1048" s="10"/>
      <c r="BV1048" s="10"/>
      <c r="BW1048" s="10"/>
      <c r="BX1048" s="10"/>
      <c r="BY1048" s="23"/>
      <c r="BZ1048" s="23"/>
      <c r="CA1048" s="23"/>
      <c r="CB1048" s="23"/>
      <c r="CC1048" s="23"/>
      <c r="CD1048" s="23"/>
      <c r="CE1048" s="23"/>
      <c r="CF1048" s="23"/>
      <c r="CG1048" s="23"/>
      <c r="CH1048" s="23"/>
      <c r="CI1048" s="23"/>
    </row>
    <row r="1049" spans="1:87" x14ac:dyDescent="0.3">
      <c r="A1049" s="9" t="s">
        <v>8305</v>
      </c>
      <c r="B1049" s="10" t="s">
        <v>8306</v>
      </c>
      <c r="C1049" s="11">
        <v>46103</v>
      </c>
      <c r="D1049" s="12">
        <v>8.3333333333333329E-2</v>
      </c>
      <c r="E1049" s="11">
        <v>46103.083333333336</v>
      </c>
      <c r="F1049" s="10" t="s">
        <v>7855</v>
      </c>
      <c r="G1049" s="13" t="b">
        <v>0</v>
      </c>
      <c r="H1049" s="10" t="s">
        <v>7949</v>
      </c>
      <c r="I1049" s="10" t="s">
        <v>89</v>
      </c>
      <c r="J1049" s="13" t="b">
        <v>0</v>
      </c>
      <c r="K1049" s="13" t="b">
        <v>1</v>
      </c>
      <c r="L1049" s="10" t="s">
        <v>124</v>
      </c>
      <c r="M1049" s="10" t="s">
        <v>91</v>
      </c>
      <c r="N1049" s="10" t="s">
        <v>92</v>
      </c>
      <c r="O1049" s="10"/>
      <c r="P1049" s="10"/>
      <c r="Q1049" s="10"/>
      <c r="R1049" s="10"/>
      <c r="S1049" s="10"/>
      <c r="T1049" s="10"/>
      <c r="U1049" s="10" t="s">
        <v>7972</v>
      </c>
      <c r="V1049" s="10" t="s">
        <v>7859</v>
      </c>
      <c r="W1049" s="10" t="s">
        <v>7860</v>
      </c>
      <c r="X1049" s="10" t="s">
        <v>130</v>
      </c>
      <c r="Y1049" s="10" t="s">
        <v>130</v>
      </c>
      <c r="Z1049" s="10" t="s">
        <v>99</v>
      </c>
      <c r="AA1049" s="10" t="s">
        <v>131</v>
      </c>
      <c r="AB1049" s="10" t="s">
        <v>7861</v>
      </c>
      <c r="AC1049" s="10" t="s">
        <v>7862</v>
      </c>
      <c r="AD1049" s="10" t="s">
        <v>8307</v>
      </c>
      <c r="AE1049" s="10" t="s">
        <v>8308</v>
      </c>
      <c r="AF1049" s="15"/>
      <c r="AG1049" s="10"/>
      <c r="AH1049" s="10"/>
      <c r="AI1049" s="10"/>
      <c r="AJ1049" s="10"/>
      <c r="AK1049" s="10"/>
      <c r="AL1049" s="10" t="s">
        <v>2720</v>
      </c>
      <c r="AM1049" s="10"/>
      <c r="AN1049" s="10"/>
      <c r="AO1049" s="13" t="b">
        <v>0</v>
      </c>
      <c r="AP1049" s="10" t="s">
        <v>104</v>
      </c>
      <c r="AQ1049" s="10"/>
      <c r="AR1049" s="17"/>
      <c r="AS1049" s="17"/>
      <c r="AT1049" s="17"/>
      <c r="AU1049" s="17"/>
      <c r="AV1049" s="17"/>
      <c r="AW1049" s="10"/>
      <c r="AX1049" s="17"/>
      <c r="AY1049" s="18" t="s">
        <v>257</v>
      </c>
      <c r="AZ1049" s="10"/>
      <c r="BA1049" s="20" t="b">
        <v>0</v>
      </c>
      <c r="BB1049" s="10"/>
      <c r="BC1049" s="17" t="s">
        <v>257</v>
      </c>
      <c r="BD1049" s="17" t="s">
        <v>257</v>
      </c>
      <c r="BE1049" s="17" t="s">
        <v>257</v>
      </c>
      <c r="BF1049" s="17" t="s">
        <v>257</v>
      </c>
      <c r="BG1049" s="11">
        <f ca="1">IFERROR(__xludf.DUMMYFUNCTION("""COMPUTED_VALUE"""),46103)</f>
        <v>46103</v>
      </c>
      <c r="BH1049" s="17"/>
      <c r="BI1049" s="17"/>
      <c r="BJ1049" s="15"/>
      <c r="BK1049" s="15"/>
      <c r="BL1049" s="13" t="b">
        <v>0</v>
      </c>
      <c r="BM1049" s="10"/>
      <c r="BN1049" s="10" t="s">
        <v>223</v>
      </c>
      <c r="BO1049" s="11">
        <v>45877.290231481478</v>
      </c>
      <c r="BP1049" s="11">
        <v>45877.290231481478</v>
      </c>
      <c r="BQ1049" s="15"/>
      <c r="BR1049" s="15"/>
      <c r="BS1049" s="10"/>
      <c r="BT1049" s="10"/>
      <c r="BU1049" s="10"/>
      <c r="BV1049" s="10"/>
      <c r="BW1049" s="10"/>
      <c r="BX1049" s="10"/>
      <c r="BY1049" s="23"/>
      <c r="BZ1049" s="23"/>
      <c r="CA1049" s="23"/>
      <c r="CB1049" s="23"/>
      <c r="CC1049" s="23"/>
      <c r="CD1049" s="23"/>
      <c r="CE1049" s="23"/>
      <c r="CF1049" s="23"/>
      <c r="CG1049" s="23"/>
      <c r="CH1049" s="23"/>
      <c r="CI1049" s="23"/>
    </row>
    <row r="1050" spans="1:87" x14ac:dyDescent="0.3">
      <c r="A1050" s="9" t="s">
        <v>8309</v>
      </c>
      <c r="B1050" s="10" t="s">
        <v>8310</v>
      </c>
      <c r="C1050" s="11">
        <v>46103</v>
      </c>
      <c r="D1050" s="12">
        <v>8.3333333333333329E-2</v>
      </c>
      <c r="E1050" s="11">
        <v>46103.083333333336</v>
      </c>
      <c r="F1050" s="10" t="s">
        <v>7855</v>
      </c>
      <c r="G1050" s="13" t="b">
        <v>0</v>
      </c>
      <c r="H1050" s="10" t="s">
        <v>7949</v>
      </c>
      <c r="I1050" s="10" t="s">
        <v>89</v>
      </c>
      <c r="J1050" s="13" t="b">
        <v>0</v>
      </c>
      <c r="K1050" s="13" t="b">
        <v>1</v>
      </c>
      <c r="L1050" s="10" t="s">
        <v>124</v>
      </c>
      <c r="M1050" s="10" t="s">
        <v>91</v>
      </c>
      <c r="N1050" s="10" t="s">
        <v>92</v>
      </c>
      <c r="O1050" s="10"/>
      <c r="P1050" s="10"/>
      <c r="Q1050" s="10"/>
      <c r="R1050" s="10"/>
      <c r="S1050" s="10"/>
      <c r="T1050" s="10"/>
      <c r="U1050" s="10" t="s">
        <v>3582</v>
      </c>
      <c r="V1050" s="10" t="s">
        <v>7871</v>
      </c>
      <c r="W1050" s="10" t="s">
        <v>7860</v>
      </c>
      <c r="X1050" s="10" t="s">
        <v>130</v>
      </c>
      <c r="Y1050" s="10" t="s">
        <v>130</v>
      </c>
      <c r="Z1050" s="10" t="s">
        <v>99</v>
      </c>
      <c r="AA1050" s="10" t="s">
        <v>131</v>
      </c>
      <c r="AB1050" s="10" t="s">
        <v>7861</v>
      </c>
      <c r="AC1050" s="10" t="s">
        <v>7862</v>
      </c>
      <c r="AD1050" s="10" t="s">
        <v>8311</v>
      </c>
      <c r="AE1050" s="10" t="s">
        <v>8312</v>
      </c>
      <c r="AF1050" s="15"/>
      <c r="AG1050" s="10"/>
      <c r="AH1050" s="10"/>
      <c r="AI1050" s="10"/>
      <c r="AJ1050" s="10"/>
      <c r="AK1050" s="10"/>
      <c r="AL1050" s="10" t="s">
        <v>2720</v>
      </c>
      <c r="AM1050" s="10"/>
      <c r="AN1050" s="10"/>
      <c r="AO1050" s="13" t="b">
        <v>0</v>
      </c>
      <c r="AP1050" s="10" t="s">
        <v>104</v>
      </c>
      <c r="AQ1050" s="10"/>
      <c r="AR1050" s="17"/>
      <c r="AS1050" s="17"/>
      <c r="AT1050" s="17"/>
      <c r="AU1050" s="17"/>
      <c r="AV1050" s="17"/>
      <c r="AW1050" s="10"/>
      <c r="AX1050" s="17"/>
      <c r="AY1050" s="18" t="s">
        <v>257</v>
      </c>
      <c r="AZ1050" s="10"/>
      <c r="BA1050" s="20" t="b">
        <v>0</v>
      </c>
      <c r="BB1050" s="10"/>
      <c r="BC1050" s="17" t="s">
        <v>257</v>
      </c>
      <c r="BD1050" s="17" t="s">
        <v>257</v>
      </c>
      <c r="BE1050" s="17" t="s">
        <v>257</v>
      </c>
      <c r="BF1050" s="17" t="s">
        <v>257</v>
      </c>
      <c r="BG1050" s="11">
        <f ca="1">IFERROR(__xludf.DUMMYFUNCTION("""COMPUTED_VALUE"""),46103)</f>
        <v>46103</v>
      </c>
      <c r="BH1050" s="17"/>
      <c r="BI1050" s="17"/>
      <c r="BJ1050" s="15"/>
      <c r="BK1050" s="15"/>
      <c r="BL1050" s="13" t="b">
        <v>0</v>
      </c>
      <c r="BM1050" s="10"/>
      <c r="BN1050" s="10" t="s">
        <v>223</v>
      </c>
      <c r="BO1050" s="11">
        <v>45877.290231481478</v>
      </c>
      <c r="BP1050" s="11">
        <v>45877.290231481478</v>
      </c>
      <c r="BQ1050" s="15"/>
      <c r="BR1050" s="15"/>
      <c r="BS1050" s="10"/>
      <c r="BT1050" s="10"/>
      <c r="BU1050" s="10"/>
      <c r="BV1050" s="10"/>
      <c r="BW1050" s="10"/>
      <c r="BX1050" s="10"/>
      <c r="BY1050" s="23"/>
      <c r="BZ1050" s="23"/>
      <c r="CA1050" s="23"/>
      <c r="CB1050" s="23"/>
      <c r="CC1050" s="23"/>
      <c r="CD1050" s="23"/>
      <c r="CE1050" s="23"/>
      <c r="CF1050" s="23"/>
      <c r="CG1050" s="23"/>
      <c r="CH1050" s="23"/>
      <c r="CI1050" s="23"/>
    </row>
    <row r="1051" spans="1:87" x14ac:dyDescent="0.3">
      <c r="A1051" s="9" t="s">
        <v>8313</v>
      </c>
      <c r="B1051" s="10" t="s">
        <v>8314</v>
      </c>
      <c r="C1051" s="11">
        <v>46116</v>
      </c>
      <c r="D1051" s="12">
        <v>8.3333333333333329E-2</v>
      </c>
      <c r="E1051" s="11">
        <v>46116.083333333336</v>
      </c>
      <c r="F1051" s="10" t="s">
        <v>7855</v>
      </c>
      <c r="G1051" s="13" t="b">
        <v>0</v>
      </c>
      <c r="H1051" s="10" t="s">
        <v>7949</v>
      </c>
      <c r="I1051" s="10" t="s">
        <v>89</v>
      </c>
      <c r="J1051" s="13" t="b">
        <v>0</v>
      </c>
      <c r="K1051" s="13" t="b">
        <v>1</v>
      </c>
      <c r="L1051" s="10" t="s">
        <v>124</v>
      </c>
      <c r="M1051" s="10" t="s">
        <v>91</v>
      </c>
      <c r="N1051" s="10" t="s">
        <v>92</v>
      </c>
      <c r="O1051" s="10"/>
      <c r="P1051" s="10"/>
      <c r="Q1051" s="10"/>
      <c r="R1051" s="10"/>
      <c r="S1051" s="10"/>
      <c r="T1051" s="10"/>
      <c r="U1051" s="10" t="s">
        <v>7858</v>
      </c>
      <c r="V1051" s="10" t="s">
        <v>3582</v>
      </c>
      <c r="W1051" s="10" t="s">
        <v>7860</v>
      </c>
      <c r="X1051" s="10" t="s">
        <v>130</v>
      </c>
      <c r="Y1051" s="10" t="s">
        <v>130</v>
      </c>
      <c r="Z1051" s="10" t="s">
        <v>99</v>
      </c>
      <c r="AA1051" s="10" t="s">
        <v>131</v>
      </c>
      <c r="AB1051" s="10" t="s">
        <v>7861</v>
      </c>
      <c r="AC1051" s="10" t="s">
        <v>7862</v>
      </c>
      <c r="AD1051" s="10" t="s">
        <v>8315</v>
      </c>
      <c r="AE1051" s="10" t="s">
        <v>8316</v>
      </c>
      <c r="AF1051" s="15"/>
      <c r="AG1051" s="10"/>
      <c r="AH1051" s="10"/>
      <c r="AI1051" s="10"/>
      <c r="AJ1051" s="10"/>
      <c r="AK1051" s="10"/>
      <c r="AL1051" s="10" t="s">
        <v>2761</v>
      </c>
      <c r="AM1051" s="10"/>
      <c r="AN1051" s="10"/>
      <c r="AO1051" s="13" t="b">
        <v>0</v>
      </c>
      <c r="AP1051" s="10" t="s">
        <v>104</v>
      </c>
      <c r="AQ1051" s="10"/>
      <c r="AR1051" s="17"/>
      <c r="AS1051" s="17"/>
      <c r="AT1051" s="17"/>
      <c r="AU1051" s="17"/>
      <c r="AV1051" s="17"/>
      <c r="AW1051" s="10"/>
      <c r="AX1051" s="17"/>
      <c r="AY1051" s="18" t="s">
        <v>257</v>
      </c>
      <c r="AZ1051" s="10"/>
      <c r="BA1051" s="20" t="b">
        <v>0</v>
      </c>
      <c r="BB1051" s="10"/>
      <c r="BC1051" s="17" t="s">
        <v>257</v>
      </c>
      <c r="BD1051" s="17" t="s">
        <v>257</v>
      </c>
      <c r="BE1051" s="17" t="s">
        <v>257</v>
      </c>
      <c r="BF1051" s="17" t="s">
        <v>257</v>
      </c>
      <c r="BG1051" s="11">
        <f ca="1">IFERROR(__xludf.DUMMYFUNCTION("""COMPUTED_VALUE"""),46116)</f>
        <v>46116</v>
      </c>
      <c r="BH1051" s="17"/>
      <c r="BI1051" s="17"/>
      <c r="BJ1051" s="15"/>
      <c r="BK1051" s="15"/>
      <c r="BL1051" s="13" t="b">
        <v>0</v>
      </c>
      <c r="BM1051" s="10"/>
      <c r="BN1051" s="10" t="s">
        <v>223</v>
      </c>
      <c r="BO1051" s="11">
        <v>45877.290231481478</v>
      </c>
      <c r="BP1051" s="11">
        <v>45877.290231481478</v>
      </c>
      <c r="BQ1051" s="15"/>
      <c r="BR1051" s="15"/>
      <c r="BS1051" s="10"/>
      <c r="BT1051" s="10"/>
      <c r="BU1051" s="10"/>
      <c r="BV1051" s="10"/>
      <c r="BW1051" s="10"/>
      <c r="BX1051" s="10"/>
      <c r="BY1051" s="23"/>
      <c r="BZ1051" s="23"/>
      <c r="CA1051" s="23"/>
      <c r="CB1051" s="23"/>
      <c r="CC1051" s="23"/>
      <c r="CD1051" s="23"/>
      <c r="CE1051" s="23"/>
      <c r="CF1051" s="23"/>
      <c r="CG1051" s="23"/>
      <c r="CH1051" s="23"/>
      <c r="CI1051" s="23"/>
    </row>
    <row r="1052" spans="1:87" x14ac:dyDescent="0.3">
      <c r="A1052" s="9" t="s">
        <v>8317</v>
      </c>
      <c r="B1052" s="10" t="s">
        <v>8318</v>
      </c>
      <c r="C1052" s="11">
        <v>46116</v>
      </c>
      <c r="D1052" s="12">
        <v>8.3333333333333329E-2</v>
      </c>
      <c r="E1052" s="11">
        <v>46116.083333333336</v>
      </c>
      <c r="F1052" s="10" t="s">
        <v>7855</v>
      </c>
      <c r="G1052" s="13" t="b">
        <v>0</v>
      </c>
      <c r="H1052" s="10" t="s">
        <v>7949</v>
      </c>
      <c r="I1052" s="10" t="s">
        <v>89</v>
      </c>
      <c r="J1052" s="13" t="b">
        <v>0</v>
      </c>
      <c r="K1052" s="13" t="b">
        <v>1</v>
      </c>
      <c r="L1052" s="10" t="s">
        <v>124</v>
      </c>
      <c r="M1052" s="10" t="s">
        <v>91</v>
      </c>
      <c r="N1052" s="10" t="s">
        <v>92</v>
      </c>
      <c r="O1052" s="10"/>
      <c r="P1052" s="10"/>
      <c r="Q1052" s="10"/>
      <c r="R1052" s="10"/>
      <c r="S1052" s="10"/>
      <c r="T1052" s="10"/>
      <c r="U1052" s="10" t="s">
        <v>7859</v>
      </c>
      <c r="V1052" s="10" t="s">
        <v>8000</v>
      </c>
      <c r="W1052" s="10" t="s">
        <v>7860</v>
      </c>
      <c r="X1052" s="10" t="s">
        <v>130</v>
      </c>
      <c r="Y1052" s="10" t="s">
        <v>130</v>
      </c>
      <c r="Z1052" s="10" t="s">
        <v>99</v>
      </c>
      <c r="AA1052" s="10" t="s">
        <v>131</v>
      </c>
      <c r="AB1052" s="10" t="s">
        <v>7861</v>
      </c>
      <c r="AC1052" s="10" t="s">
        <v>7862</v>
      </c>
      <c r="AD1052" s="10" t="s">
        <v>8319</v>
      </c>
      <c r="AE1052" s="10" t="s">
        <v>8320</v>
      </c>
      <c r="AF1052" s="15"/>
      <c r="AG1052" s="10"/>
      <c r="AH1052" s="10"/>
      <c r="AI1052" s="10"/>
      <c r="AJ1052" s="10"/>
      <c r="AK1052" s="10"/>
      <c r="AL1052" s="10" t="s">
        <v>2761</v>
      </c>
      <c r="AM1052" s="10"/>
      <c r="AN1052" s="10"/>
      <c r="AO1052" s="13" t="b">
        <v>0</v>
      </c>
      <c r="AP1052" s="10" t="s">
        <v>104</v>
      </c>
      <c r="AQ1052" s="10"/>
      <c r="AR1052" s="17"/>
      <c r="AS1052" s="17"/>
      <c r="AT1052" s="17"/>
      <c r="AU1052" s="17"/>
      <c r="AV1052" s="17"/>
      <c r="AW1052" s="10"/>
      <c r="AX1052" s="17"/>
      <c r="AY1052" s="18" t="s">
        <v>257</v>
      </c>
      <c r="AZ1052" s="10"/>
      <c r="BA1052" s="20" t="b">
        <v>0</v>
      </c>
      <c r="BB1052" s="10"/>
      <c r="BC1052" s="17" t="s">
        <v>257</v>
      </c>
      <c r="BD1052" s="17" t="s">
        <v>257</v>
      </c>
      <c r="BE1052" s="17" t="s">
        <v>257</v>
      </c>
      <c r="BF1052" s="17" t="s">
        <v>257</v>
      </c>
      <c r="BG1052" s="11">
        <f ca="1">IFERROR(__xludf.DUMMYFUNCTION("""COMPUTED_VALUE"""),46116)</f>
        <v>46116</v>
      </c>
      <c r="BH1052" s="17"/>
      <c r="BI1052" s="17"/>
      <c r="BJ1052" s="15"/>
      <c r="BK1052" s="15"/>
      <c r="BL1052" s="13" t="b">
        <v>0</v>
      </c>
      <c r="BM1052" s="10"/>
      <c r="BN1052" s="10" t="s">
        <v>223</v>
      </c>
      <c r="BO1052" s="11">
        <v>45877.290231481478</v>
      </c>
      <c r="BP1052" s="11">
        <v>45877.290231481478</v>
      </c>
      <c r="BQ1052" s="15"/>
      <c r="BR1052" s="15"/>
      <c r="BS1052" s="10"/>
      <c r="BT1052" s="10"/>
      <c r="BU1052" s="10"/>
      <c r="BV1052" s="10"/>
      <c r="BW1052" s="10"/>
      <c r="BX1052" s="10"/>
      <c r="BY1052" s="23"/>
      <c r="BZ1052" s="23"/>
      <c r="CA1052" s="23"/>
      <c r="CB1052" s="23"/>
      <c r="CC1052" s="23"/>
      <c r="CD1052" s="23"/>
      <c r="CE1052" s="23"/>
      <c r="CF1052" s="23"/>
      <c r="CG1052" s="23"/>
      <c r="CH1052" s="23"/>
      <c r="CI1052" s="23"/>
    </row>
    <row r="1053" spans="1:87" x14ac:dyDescent="0.3">
      <c r="A1053" s="9" t="s">
        <v>8321</v>
      </c>
      <c r="B1053" s="10" t="s">
        <v>8322</v>
      </c>
      <c r="C1053" s="11">
        <v>46124</v>
      </c>
      <c r="D1053" s="12">
        <v>8.3333333333333329E-2</v>
      </c>
      <c r="E1053" s="11">
        <v>46124.083333333336</v>
      </c>
      <c r="F1053" s="10" t="s">
        <v>7855</v>
      </c>
      <c r="G1053" s="13" t="b">
        <v>0</v>
      </c>
      <c r="H1053" s="10" t="s">
        <v>7949</v>
      </c>
      <c r="I1053" s="10" t="s">
        <v>89</v>
      </c>
      <c r="J1053" s="13" t="b">
        <v>0</v>
      </c>
      <c r="K1053" s="13" t="b">
        <v>1</v>
      </c>
      <c r="L1053" s="10" t="s">
        <v>124</v>
      </c>
      <c r="M1053" s="10" t="s">
        <v>91</v>
      </c>
      <c r="N1053" s="10" t="s">
        <v>92</v>
      </c>
      <c r="O1053" s="10"/>
      <c r="P1053" s="10"/>
      <c r="Q1053" s="10"/>
      <c r="R1053" s="10"/>
      <c r="S1053" s="10"/>
      <c r="T1053" s="10"/>
      <c r="U1053" s="10" t="s">
        <v>3582</v>
      </c>
      <c r="V1053" s="10" t="s">
        <v>7962</v>
      </c>
      <c r="W1053" s="10" t="s">
        <v>7860</v>
      </c>
      <c r="X1053" s="10" t="s">
        <v>130</v>
      </c>
      <c r="Y1053" s="10" t="s">
        <v>130</v>
      </c>
      <c r="Z1053" s="10" t="s">
        <v>99</v>
      </c>
      <c r="AA1053" s="10" t="s">
        <v>131</v>
      </c>
      <c r="AB1053" s="10" t="s">
        <v>7861</v>
      </c>
      <c r="AC1053" s="10" t="s">
        <v>7862</v>
      </c>
      <c r="AD1053" s="10" t="s">
        <v>8323</v>
      </c>
      <c r="AE1053" s="10" t="s">
        <v>8324</v>
      </c>
      <c r="AF1053" s="15"/>
      <c r="AG1053" s="10"/>
      <c r="AH1053" s="10"/>
      <c r="AI1053" s="10"/>
      <c r="AJ1053" s="10"/>
      <c r="AK1053" s="10"/>
      <c r="AL1053" s="10" t="s">
        <v>2802</v>
      </c>
      <c r="AM1053" s="10"/>
      <c r="AN1053" s="10"/>
      <c r="AO1053" s="13" t="b">
        <v>0</v>
      </c>
      <c r="AP1053" s="10" t="s">
        <v>104</v>
      </c>
      <c r="AQ1053" s="10"/>
      <c r="AR1053" s="17"/>
      <c r="AS1053" s="17"/>
      <c r="AT1053" s="17"/>
      <c r="AU1053" s="17"/>
      <c r="AV1053" s="17"/>
      <c r="AW1053" s="10"/>
      <c r="AX1053" s="17"/>
      <c r="AY1053" s="18" t="s">
        <v>257</v>
      </c>
      <c r="AZ1053" s="10"/>
      <c r="BA1053" s="20" t="b">
        <v>0</v>
      </c>
      <c r="BB1053" s="10"/>
      <c r="BC1053" s="17" t="s">
        <v>257</v>
      </c>
      <c r="BD1053" s="17" t="s">
        <v>257</v>
      </c>
      <c r="BE1053" s="17" t="s">
        <v>257</v>
      </c>
      <c r="BF1053" s="17" t="s">
        <v>257</v>
      </c>
      <c r="BG1053" s="11">
        <f ca="1">IFERROR(__xludf.DUMMYFUNCTION("""COMPUTED_VALUE"""),46124)</f>
        <v>46124</v>
      </c>
      <c r="BH1053" s="17"/>
      <c r="BI1053" s="17"/>
      <c r="BJ1053" s="15"/>
      <c r="BK1053" s="15"/>
      <c r="BL1053" s="13" t="b">
        <v>0</v>
      </c>
      <c r="BM1053" s="10"/>
      <c r="BN1053" s="10" t="s">
        <v>223</v>
      </c>
      <c r="BO1053" s="11">
        <v>45877.290231481478</v>
      </c>
      <c r="BP1053" s="11">
        <v>45877.290231481478</v>
      </c>
      <c r="BQ1053" s="15"/>
      <c r="BR1053" s="15"/>
      <c r="BS1053" s="10"/>
      <c r="BT1053" s="10"/>
      <c r="BU1053" s="10"/>
      <c r="BV1053" s="10"/>
      <c r="BW1053" s="10"/>
      <c r="BX1053" s="10"/>
      <c r="BY1053" s="23"/>
      <c r="BZ1053" s="23"/>
      <c r="CA1053" s="23"/>
      <c r="CB1053" s="23"/>
      <c r="CC1053" s="23"/>
      <c r="CD1053" s="23"/>
      <c r="CE1053" s="23"/>
      <c r="CF1053" s="23"/>
      <c r="CG1053" s="23"/>
      <c r="CH1053" s="23"/>
      <c r="CI1053" s="23"/>
    </row>
    <row r="1054" spans="1:87" x14ac:dyDescent="0.3">
      <c r="A1054" s="9" t="s">
        <v>8325</v>
      </c>
      <c r="B1054" s="10" t="s">
        <v>8326</v>
      </c>
      <c r="C1054" s="11">
        <v>46124</v>
      </c>
      <c r="D1054" s="12">
        <v>8.3333333333333329E-2</v>
      </c>
      <c r="E1054" s="11">
        <v>46124.083333333336</v>
      </c>
      <c r="F1054" s="10" t="s">
        <v>7855</v>
      </c>
      <c r="G1054" s="13" t="b">
        <v>0</v>
      </c>
      <c r="H1054" s="10" t="s">
        <v>7949</v>
      </c>
      <c r="I1054" s="10" t="s">
        <v>89</v>
      </c>
      <c r="J1054" s="13" t="b">
        <v>0</v>
      </c>
      <c r="K1054" s="13" t="b">
        <v>1</v>
      </c>
      <c r="L1054" s="10" t="s">
        <v>124</v>
      </c>
      <c r="M1054" s="10" t="s">
        <v>91</v>
      </c>
      <c r="N1054" s="10" t="s">
        <v>92</v>
      </c>
      <c r="O1054" s="10"/>
      <c r="P1054" s="10"/>
      <c r="Q1054" s="10"/>
      <c r="R1054" s="10"/>
      <c r="S1054" s="10"/>
      <c r="T1054" s="10"/>
      <c r="U1054" s="10" t="s">
        <v>7933</v>
      </c>
      <c r="V1054" s="10" t="s">
        <v>7859</v>
      </c>
      <c r="W1054" s="10" t="s">
        <v>7860</v>
      </c>
      <c r="X1054" s="10" t="s">
        <v>130</v>
      </c>
      <c r="Y1054" s="10" t="s">
        <v>130</v>
      </c>
      <c r="Z1054" s="10" t="s">
        <v>99</v>
      </c>
      <c r="AA1054" s="10" t="s">
        <v>131</v>
      </c>
      <c r="AB1054" s="10" t="s">
        <v>7861</v>
      </c>
      <c r="AC1054" s="10" t="s">
        <v>7862</v>
      </c>
      <c r="AD1054" s="10" t="s">
        <v>8327</v>
      </c>
      <c r="AE1054" s="10" t="s">
        <v>8328</v>
      </c>
      <c r="AF1054" s="15"/>
      <c r="AG1054" s="10"/>
      <c r="AH1054" s="10"/>
      <c r="AI1054" s="10"/>
      <c r="AJ1054" s="10"/>
      <c r="AK1054" s="10"/>
      <c r="AL1054" s="10" t="s">
        <v>2802</v>
      </c>
      <c r="AM1054" s="10"/>
      <c r="AN1054" s="10"/>
      <c r="AO1054" s="13" t="b">
        <v>0</v>
      </c>
      <c r="AP1054" s="10" t="s">
        <v>104</v>
      </c>
      <c r="AQ1054" s="10"/>
      <c r="AR1054" s="17"/>
      <c r="AS1054" s="17"/>
      <c r="AT1054" s="17"/>
      <c r="AU1054" s="17"/>
      <c r="AV1054" s="17"/>
      <c r="AW1054" s="10"/>
      <c r="AX1054" s="17"/>
      <c r="AY1054" s="18" t="s">
        <v>257</v>
      </c>
      <c r="AZ1054" s="10"/>
      <c r="BA1054" s="20" t="b">
        <v>0</v>
      </c>
      <c r="BB1054" s="10"/>
      <c r="BC1054" s="17" t="s">
        <v>257</v>
      </c>
      <c r="BD1054" s="17" t="s">
        <v>257</v>
      </c>
      <c r="BE1054" s="17" t="s">
        <v>257</v>
      </c>
      <c r="BF1054" s="17" t="s">
        <v>257</v>
      </c>
      <c r="BG1054" s="11">
        <f ca="1">IFERROR(__xludf.DUMMYFUNCTION("""COMPUTED_VALUE"""),46124)</f>
        <v>46124</v>
      </c>
      <c r="BH1054" s="17"/>
      <c r="BI1054" s="17"/>
      <c r="BJ1054" s="15"/>
      <c r="BK1054" s="15"/>
      <c r="BL1054" s="13" t="b">
        <v>0</v>
      </c>
      <c r="BM1054" s="10"/>
      <c r="BN1054" s="10" t="s">
        <v>223</v>
      </c>
      <c r="BO1054" s="11">
        <v>45877.290231481478</v>
      </c>
      <c r="BP1054" s="11">
        <v>45877.290231481478</v>
      </c>
      <c r="BQ1054" s="15"/>
      <c r="BR1054" s="15"/>
      <c r="BS1054" s="10"/>
      <c r="BT1054" s="10"/>
      <c r="BU1054" s="10"/>
      <c r="BV1054" s="10"/>
      <c r="BW1054" s="10"/>
      <c r="BX1054" s="10"/>
      <c r="BY1054" s="23"/>
      <c r="BZ1054" s="23"/>
      <c r="CA1054" s="23"/>
      <c r="CB1054" s="23"/>
      <c r="CC1054" s="23"/>
      <c r="CD1054" s="23"/>
      <c r="CE1054" s="23"/>
      <c r="CF1054" s="23"/>
      <c r="CG1054" s="23"/>
      <c r="CH1054" s="23"/>
      <c r="CI1054" s="23"/>
    </row>
    <row r="1055" spans="1:87" x14ac:dyDescent="0.3">
      <c r="A1055" s="9" t="s">
        <v>8329</v>
      </c>
      <c r="B1055" s="10" t="s">
        <v>8330</v>
      </c>
      <c r="C1055" s="11">
        <v>46131</v>
      </c>
      <c r="D1055" s="12">
        <v>8.3333333333333329E-2</v>
      </c>
      <c r="E1055" s="11">
        <v>46131.083333333336</v>
      </c>
      <c r="F1055" s="10" t="s">
        <v>7855</v>
      </c>
      <c r="G1055" s="13" t="b">
        <v>0</v>
      </c>
      <c r="H1055" s="10" t="s">
        <v>7949</v>
      </c>
      <c r="I1055" s="10" t="s">
        <v>89</v>
      </c>
      <c r="J1055" s="13" t="b">
        <v>0</v>
      </c>
      <c r="K1055" s="13" t="b">
        <v>1</v>
      </c>
      <c r="L1055" s="10" t="s">
        <v>124</v>
      </c>
      <c r="M1055" s="10" t="s">
        <v>91</v>
      </c>
      <c r="N1055" s="10" t="s">
        <v>92</v>
      </c>
      <c r="O1055" s="10"/>
      <c r="P1055" s="10"/>
      <c r="Q1055" s="10"/>
      <c r="R1055" s="10"/>
      <c r="S1055" s="10"/>
      <c r="T1055" s="10"/>
      <c r="U1055" s="10" t="s">
        <v>7859</v>
      </c>
      <c r="V1055" s="10" t="s">
        <v>3582</v>
      </c>
      <c r="W1055" s="10" t="s">
        <v>7860</v>
      </c>
      <c r="X1055" s="10" t="s">
        <v>130</v>
      </c>
      <c r="Y1055" s="10" t="s">
        <v>130</v>
      </c>
      <c r="Z1055" s="10" t="s">
        <v>99</v>
      </c>
      <c r="AA1055" s="10" t="s">
        <v>131</v>
      </c>
      <c r="AB1055" s="10" t="s">
        <v>7861</v>
      </c>
      <c r="AC1055" s="10" t="s">
        <v>7862</v>
      </c>
      <c r="AD1055" s="10" t="s">
        <v>8331</v>
      </c>
      <c r="AE1055" s="10" t="s">
        <v>8332</v>
      </c>
      <c r="AF1055" s="15"/>
      <c r="AG1055" s="10"/>
      <c r="AH1055" s="10"/>
      <c r="AI1055" s="10"/>
      <c r="AJ1055" s="10"/>
      <c r="AK1055" s="10"/>
      <c r="AL1055" s="10" t="s">
        <v>2843</v>
      </c>
      <c r="AM1055" s="10"/>
      <c r="AN1055" s="10"/>
      <c r="AO1055" s="13" t="b">
        <v>0</v>
      </c>
      <c r="AP1055" s="10" t="s">
        <v>104</v>
      </c>
      <c r="AQ1055" s="10"/>
      <c r="AR1055" s="17"/>
      <c r="AS1055" s="17"/>
      <c r="AT1055" s="17"/>
      <c r="AU1055" s="17"/>
      <c r="AV1055" s="17"/>
      <c r="AW1055" s="10"/>
      <c r="AX1055" s="17"/>
      <c r="AY1055" s="18" t="s">
        <v>257</v>
      </c>
      <c r="AZ1055" s="10"/>
      <c r="BA1055" s="20" t="b">
        <v>0</v>
      </c>
      <c r="BB1055" s="10"/>
      <c r="BC1055" s="17" t="s">
        <v>257</v>
      </c>
      <c r="BD1055" s="17" t="s">
        <v>257</v>
      </c>
      <c r="BE1055" s="17" t="s">
        <v>257</v>
      </c>
      <c r="BF1055" s="17" t="s">
        <v>257</v>
      </c>
      <c r="BG1055" s="11">
        <f ca="1">IFERROR(__xludf.DUMMYFUNCTION("""COMPUTED_VALUE"""),46131)</f>
        <v>46131</v>
      </c>
      <c r="BH1055" s="17"/>
      <c r="BI1055" s="17"/>
      <c r="BJ1055" s="15"/>
      <c r="BK1055" s="15"/>
      <c r="BL1055" s="13" t="b">
        <v>0</v>
      </c>
      <c r="BM1055" s="10"/>
      <c r="BN1055" s="10" t="s">
        <v>223</v>
      </c>
      <c r="BO1055" s="11">
        <v>45877.290231481478</v>
      </c>
      <c r="BP1055" s="11">
        <v>45877.290231481478</v>
      </c>
      <c r="BQ1055" s="15"/>
      <c r="BR1055" s="15"/>
      <c r="BS1055" s="10"/>
      <c r="BT1055" s="10"/>
      <c r="BU1055" s="10"/>
      <c r="BV1055" s="10"/>
      <c r="BW1055" s="10"/>
      <c r="BX1055" s="10"/>
      <c r="BY1055" s="23"/>
      <c r="BZ1055" s="23"/>
      <c r="CA1055" s="23"/>
      <c r="CB1055" s="23"/>
      <c r="CC1055" s="23"/>
      <c r="CD1055" s="23"/>
      <c r="CE1055" s="23"/>
      <c r="CF1055" s="23"/>
      <c r="CG1055" s="23"/>
      <c r="CH1055" s="23"/>
      <c r="CI1055" s="23"/>
    </row>
    <row r="1056" spans="1:87" x14ac:dyDescent="0.3">
      <c r="A1056" s="9" t="s">
        <v>8333</v>
      </c>
      <c r="B1056" s="10" t="s">
        <v>8334</v>
      </c>
      <c r="C1056" s="11">
        <v>46131</v>
      </c>
      <c r="D1056" s="12">
        <v>8.3333333333333329E-2</v>
      </c>
      <c r="E1056" s="11">
        <v>46131.083333333336</v>
      </c>
      <c r="F1056" s="10" t="s">
        <v>7855</v>
      </c>
      <c r="G1056" s="13" t="b">
        <v>0</v>
      </c>
      <c r="H1056" s="10" t="s">
        <v>7949</v>
      </c>
      <c r="I1056" s="10" t="s">
        <v>89</v>
      </c>
      <c r="J1056" s="13" t="b">
        <v>0</v>
      </c>
      <c r="K1056" s="13" t="b">
        <v>1</v>
      </c>
      <c r="L1056" s="10" t="s">
        <v>124</v>
      </c>
      <c r="M1056" s="10" t="s">
        <v>91</v>
      </c>
      <c r="N1056" s="10" t="s">
        <v>92</v>
      </c>
      <c r="O1056" s="10"/>
      <c r="P1056" s="10"/>
      <c r="Q1056" s="10"/>
      <c r="R1056" s="10"/>
      <c r="S1056" s="10"/>
      <c r="T1056" s="10"/>
      <c r="U1056" s="10" t="s">
        <v>7870</v>
      </c>
      <c r="V1056" s="10" t="s">
        <v>7953</v>
      </c>
      <c r="W1056" s="10" t="s">
        <v>7860</v>
      </c>
      <c r="X1056" s="10" t="s">
        <v>130</v>
      </c>
      <c r="Y1056" s="10" t="s">
        <v>130</v>
      </c>
      <c r="Z1056" s="10" t="s">
        <v>99</v>
      </c>
      <c r="AA1056" s="10" t="s">
        <v>131</v>
      </c>
      <c r="AB1056" s="10" t="s">
        <v>7861</v>
      </c>
      <c r="AC1056" s="10" t="s">
        <v>7862</v>
      </c>
      <c r="AD1056" s="10" t="s">
        <v>8335</v>
      </c>
      <c r="AE1056" s="10" t="s">
        <v>8336</v>
      </c>
      <c r="AF1056" s="15"/>
      <c r="AG1056" s="10"/>
      <c r="AH1056" s="10"/>
      <c r="AI1056" s="10"/>
      <c r="AJ1056" s="10"/>
      <c r="AK1056" s="10"/>
      <c r="AL1056" s="10" t="s">
        <v>2843</v>
      </c>
      <c r="AM1056" s="10"/>
      <c r="AN1056" s="10"/>
      <c r="AO1056" s="13" t="b">
        <v>0</v>
      </c>
      <c r="AP1056" s="10" t="s">
        <v>104</v>
      </c>
      <c r="AQ1056" s="10"/>
      <c r="AR1056" s="17"/>
      <c r="AS1056" s="17"/>
      <c r="AT1056" s="17"/>
      <c r="AU1056" s="17"/>
      <c r="AV1056" s="17"/>
      <c r="AW1056" s="10"/>
      <c r="AX1056" s="17"/>
      <c r="AY1056" s="18" t="s">
        <v>257</v>
      </c>
      <c r="AZ1056" s="10"/>
      <c r="BA1056" s="20" t="b">
        <v>0</v>
      </c>
      <c r="BB1056" s="10"/>
      <c r="BC1056" s="17" t="s">
        <v>257</v>
      </c>
      <c r="BD1056" s="17" t="s">
        <v>257</v>
      </c>
      <c r="BE1056" s="17" t="s">
        <v>257</v>
      </c>
      <c r="BF1056" s="17" t="s">
        <v>257</v>
      </c>
      <c r="BG1056" s="11">
        <f ca="1">IFERROR(__xludf.DUMMYFUNCTION("""COMPUTED_VALUE"""),46131)</f>
        <v>46131</v>
      </c>
      <c r="BH1056" s="17"/>
      <c r="BI1056" s="17"/>
      <c r="BJ1056" s="15"/>
      <c r="BK1056" s="15"/>
      <c r="BL1056" s="13" t="b">
        <v>0</v>
      </c>
      <c r="BM1056" s="10"/>
      <c r="BN1056" s="10" t="s">
        <v>223</v>
      </c>
      <c r="BO1056" s="11">
        <v>45877.290231481478</v>
      </c>
      <c r="BP1056" s="11">
        <v>45877.290231481478</v>
      </c>
      <c r="BQ1056" s="15"/>
      <c r="BR1056" s="15"/>
      <c r="BS1056" s="10"/>
      <c r="BT1056" s="10"/>
      <c r="BU1056" s="10"/>
      <c r="BV1056" s="10"/>
      <c r="BW1056" s="10"/>
      <c r="BX1056" s="10"/>
      <c r="BY1056" s="23"/>
      <c r="BZ1056" s="23"/>
      <c r="CA1056" s="23"/>
      <c r="CB1056" s="23"/>
      <c r="CC1056" s="23"/>
      <c r="CD1056" s="23"/>
      <c r="CE1056" s="23"/>
      <c r="CF1056" s="23"/>
      <c r="CG1056" s="23"/>
      <c r="CH1056" s="23"/>
      <c r="CI1056" s="23"/>
    </row>
    <row r="1057" spans="1:87" x14ac:dyDescent="0.3">
      <c r="A1057" s="9" t="s">
        <v>8337</v>
      </c>
      <c r="B1057" s="10" t="s">
        <v>8338</v>
      </c>
      <c r="C1057" s="11">
        <v>46138</v>
      </c>
      <c r="D1057" s="12">
        <v>8.3333333333333329E-2</v>
      </c>
      <c r="E1057" s="11">
        <v>46138.083333333336</v>
      </c>
      <c r="F1057" s="10" t="s">
        <v>7855</v>
      </c>
      <c r="G1057" s="13" t="b">
        <v>0</v>
      </c>
      <c r="H1057" s="10" t="s">
        <v>7949</v>
      </c>
      <c r="I1057" s="10" t="s">
        <v>89</v>
      </c>
      <c r="J1057" s="13" t="b">
        <v>0</v>
      </c>
      <c r="K1057" s="13" t="b">
        <v>1</v>
      </c>
      <c r="L1057" s="10" t="s">
        <v>124</v>
      </c>
      <c r="M1057" s="10" t="s">
        <v>91</v>
      </c>
      <c r="N1057" s="10" t="s">
        <v>92</v>
      </c>
      <c r="O1057" s="10"/>
      <c r="P1057" s="10"/>
      <c r="Q1057" s="10"/>
      <c r="R1057" s="10"/>
      <c r="S1057" s="10"/>
      <c r="T1057" s="10"/>
      <c r="U1057" s="10" t="s">
        <v>8010</v>
      </c>
      <c r="V1057" s="10" t="s">
        <v>7859</v>
      </c>
      <c r="W1057" s="10" t="s">
        <v>7860</v>
      </c>
      <c r="X1057" s="10" t="s">
        <v>130</v>
      </c>
      <c r="Y1057" s="10" t="s">
        <v>130</v>
      </c>
      <c r="Z1057" s="10" t="s">
        <v>99</v>
      </c>
      <c r="AA1057" s="10" t="s">
        <v>131</v>
      </c>
      <c r="AB1057" s="10" t="s">
        <v>7861</v>
      </c>
      <c r="AC1057" s="10" t="s">
        <v>7862</v>
      </c>
      <c r="AD1057" s="10" t="s">
        <v>8339</v>
      </c>
      <c r="AE1057" s="10" t="s">
        <v>8340</v>
      </c>
      <c r="AF1057" s="15"/>
      <c r="AG1057" s="10"/>
      <c r="AH1057" s="10"/>
      <c r="AI1057" s="10"/>
      <c r="AJ1057" s="10"/>
      <c r="AK1057" s="10"/>
      <c r="AL1057" s="10" t="s">
        <v>2885</v>
      </c>
      <c r="AM1057" s="10"/>
      <c r="AN1057" s="10"/>
      <c r="AO1057" s="13" t="b">
        <v>0</v>
      </c>
      <c r="AP1057" s="10" t="s">
        <v>104</v>
      </c>
      <c r="AQ1057" s="10"/>
      <c r="AR1057" s="17"/>
      <c r="AS1057" s="17"/>
      <c r="AT1057" s="17"/>
      <c r="AU1057" s="17"/>
      <c r="AV1057" s="17"/>
      <c r="AW1057" s="10"/>
      <c r="AX1057" s="17"/>
      <c r="AY1057" s="18" t="s">
        <v>257</v>
      </c>
      <c r="AZ1057" s="10"/>
      <c r="BA1057" s="20" t="b">
        <v>0</v>
      </c>
      <c r="BB1057" s="10"/>
      <c r="BC1057" s="17" t="s">
        <v>257</v>
      </c>
      <c r="BD1057" s="17" t="s">
        <v>257</v>
      </c>
      <c r="BE1057" s="17" t="s">
        <v>257</v>
      </c>
      <c r="BF1057" s="17" t="s">
        <v>257</v>
      </c>
      <c r="BG1057" s="11">
        <f ca="1">IFERROR(__xludf.DUMMYFUNCTION("""COMPUTED_VALUE"""),46138)</f>
        <v>46138</v>
      </c>
      <c r="BH1057" s="17"/>
      <c r="BI1057" s="17"/>
      <c r="BJ1057" s="15"/>
      <c r="BK1057" s="15"/>
      <c r="BL1057" s="13" t="b">
        <v>0</v>
      </c>
      <c r="BM1057" s="10"/>
      <c r="BN1057" s="10" t="s">
        <v>223</v>
      </c>
      <c r="BO1057" s="11">
        <v>45877.290231481478</v>
      </c>
      <c r="BP1057" s="11">
        <v>45877.290231481478</v>
      </c>
      <c r="BQ1057" s="15"/>
      <c r="BR1057" s="15"/>
      <c r="BS1057" s="10"/>
      <c r="BT1057" s="10"/>
      <c r="BU1057" s="10"/>
      <c r="BV1057" s="10"/>
      <c r="BW1057" s="10"/>
      <c r="BX1057" s="10"/>
      <c r="BY1057" s="23"/>
      <c r="BZ1057" s="23"/>
      <c r="CA1057" s="23"/>
      <c r="CB1057" s="23"/>
      <c r="CC1057" s="23"/>
      <c r="CD1057" s="23"/>
      <c r="CE1057" s="23"/>
      <c r="CF1057" s="23"/>
      <c r="CG1057" s="23"/>
      <c r="CH1057" s="23"/>
      <c r="CI1057" s="23"/>
    </row>
    <row r="1058" spans="1:87" x14ac:dyDescent="0.3">
      <c r="A1058" s="9" t="s">
        <v>8341</v>
      </c>
      <c r="B1058" s="10" t="s">
        <v>8342</v>
      </c>
      <c r="C1058" s="11">
        <v>46138</v>
      </c>
      <c r="D1058" s="12">
        <v>8.3333333333333329E-2</v>
      </c>
      <c r="E1058" s="11">
        <v>46138.083333333336</v>
      </c>
      <c r="F1058" s="10" t="s">
        <v>7855</v>
      </c>
      <c r="G1058" s="13" t="b">
        <v>0</v>
      </c>
      <c r="H1058" s="10" t="s">
        <v>7949</v>
      </c>
      <c r="I1058" s="10" t="s">
        <v>89</v>
      </c>
      <c r="J1058" s="13" t="b">
        <v>0</v>
      </c>
      <c r="K1058" s="13" t="b">
        <v>1</v>
      </c>
      <c r="L1058" s="10" t="s">
        <v>124</v>
      </c>
      <c r="M1058" s="10" t="s">
        <v>91</v>
      </c>
      <c r="N1058" s="10" t="s">
        <v>92</v>
      </c>
      <c r="O1058" s="10"/>
      <c r="P1058" s="10"/>
      <c r="Q1058" s="10"/>
      <c r="R1058" s="10"/>
      <c r="S1058" s="10"/>
      <c r="T1058" s="10"/>
      <c r="U1058" s="10" t="s">
        <v>3582</v>
      </c>
      <c r="V1058" s="10" t="s">
        <v>8020</v>
      </c>
      <c r="W1058" s="10" t="s">
        <v>7860</v>
      </c>
      <c r="X1058" s="10" t="s">
        <v>130</v>
      </c>
      <c r="Y1058" s="10" t="s">
        <v>130</v>
      </c>
      <c r="Z1058" s="10" t="s">
        <v>99</v>
      </c>
      <c r="AA1058" s="10" t="s">
        <v>131</v>
      </c>
      <c r="AB1058" s="10" t="s">
        <v>7861</v>
      </c>
      <c r="AC1058" s="10" t="s">
        <v>7862</v>
      </c>
      <c r="AD1058" s="10" t="s">
        <v>8343</v>
      </c>
      <c r="AE1058" s="10" t="s">
        <v>8344</v>
      </c>
      <c r="AF1058" s="15"/>
      <c r="AG1058" s="10"/>
      <c r="AH1058" s="10"/>
      <c r="AI1058" s="10"/>
      <c r="AJ1058" s="10"/>
      <c r="AK1058" s="10"/>
      <c r="AL1058" s="10" t="s">
        <v>2885</v>
      </c>
      <c r="AM1058" s="10"/>
      <c r="AN1058" s="10"/>
      <c r="AO1058" s="13" t="b">
        <v>0</v>
      </c>
      <c r="AP1058" s="10" t="s">
        <v>104</v>
      </c>
      <c r="AQ1058" s="10"/>
      <c r="AR1058" s="17"/>
      <c r="AS1058" s="17"/>
      <c r="AT1058" s="17"/>
      <c r="AU1058" s="17"/>
      <c r="AV1058" s="17"/>
      <c r="AW1058" s="10"/>
      <c r="AX1058" s="17"/>
      <c r="AY1058" s="18" t="s">
        <v>257</v>
      </c>
      <c r="AZ1058" s="10"/>
      <c r="BA1058" s="20" t="b">
        <v>0</v>
      </c>
      <c r="BB1058" s="10"/>
      <c r="BC1058" s="17" t="s">
        <v>257</v>
      </c>
      <c r="BD1058" s="17" t="s">
        <v>257</v>
      </c>
      <c r="BE1058" s="17" t="s">
        <v>257</v>
      </c>
      <c r="BF1058" s="17" t="s">
        <v>257</v>
      </c>
      <c r="BG1058" s="11">
        <f ca="1">IFERROR(__xludf.DUMMYFUNCTION("""COMPUTED_VALUE"""),46138)</f>
        <v>46138</v>
      </c>
      <c r="BH1058" s="17"/>
      <c r="BI1058" s="17"/>
      <c r="BJ1058" s="15"/>
      <c r="BK1058" s="15"/>
      <c r="BL1058" s="13" t="b">
        <v>0</v>
      </c>
      <c r="BM1058" s="10"/>
      <c r="BN1058" s="10" t="s">
        <v>223</v>
      </c>
      <c r="BO1058" s="11">
        <v>45877.290231481478</v>
      </c>
      <c r="BP1058" s="11">
        <v>45877.290231481478</v>
      </c>
      <c r="BQ1058" s="15"/>
      <c r="BR1058" s="15"/>
      <c r="BS1058" s="10"/>
      <c r="BT1058" s="10"/>
      <c r="BU1058" s="10"/>
      <c r="BV1058" s="10"/>
      <c r="BW1058" s="10"/>
      <c r="BX1058" s="10"/>
      <c r="BY1058" s="23"/>
      <c r="BZ1058" s="23"/>
      <c r="CA1058" s="23"/>
      <c r="CB1058" s="23"/>
      <c r="CC1058" s="23"/>
      <c r="CD1058" s="23"/>
      <c r="CE1058" s="23"/>
      <c r="CF1058" s="23"/>
      <c r="CG1058" s="23"/>
      <c r="CH1058" s="23"/>
      <c r="CI1058" s="23"/>
    </row>
    <row r="1059" spans="1:87" x14ac:dyDescent="0.3">
      <c r="A1059" s="9" t="s">
        <v>8345</v>
      </c>
      <c r="B1059" s="10" t="s">
        <v>8346</v>
      </c>
      <c r="C1059" s="11">
        <v>46145</v>
      </c>
      <c r="D1059" s="12">
        <v>8.3333333333333329E-2</v>
      </c>
      <c r="E1059" s="11">
        <v>46145.083333333336</v>
      </c>
      <c r="F1059" s="10" t="s">
        <v>7855</v>
      </c>
      <c r="G1059" s="13" t="b">
        <v>0</v>
      </c>
      <c r="H1059" s="10" t="s">
        <v>7949</v>
      </c>
      <c r="I1059" s="10" t="s">
        <v>89</v>
      </c>
      <c r="J1059" s="13" t="b">
        <v>0</v>
      </c>
      <c r="K1059" s="13" t="b">
        <v>1</v>
      </c>
      <c r="L1059" s="10" t="s">
        <v>124</v>
      </c>
      <c r="M1059" s="10" t="s">
        <v>91</v>
      </c>
      <c r="N1059" s="10" t="s">
        <v>92</v>
      </c>
      <c r="O1059" s="10"/>
      <c r="P1059" s="10"/>
      <c r="Q1059" s="10"/>
      <c r="R1059" s="10"/>
      <c r="S1059" s="10"/>
      <c r="T1059" s="10"/>
      <c r="U1059" s="10" t="s">
        <v>7991</v>
      </c>
      <c r="V1059" s="10" t="s">
        <v>3582</v>
      </c>
      <c r="W1059" s="10" t="s">
        <v>7860</v>
      </c>
      <c r="X1059" s="10" t="s">
        <v>130</v>
      </c>
      <c r="Y1059" s="10" t="s">
        <v>130</v>
      </c>
      <c r="Z1059" s="10" t="s">
        <v>99</v>
      </c>
      <c r="AA1059" s="10" t="s">
        <v>131</v>
      </c>
      <c r="AB1059" s="10" t="s">
        <v>7861</v>
      </c>
      <c r="AC1059" s="10" t="s">
        <v>7862</v>
      </c>
      <c r="AD1059" s="10" t="s">
        <v>8347</v>
      </c>
      <c r="AE1059" s="10" t="s">
        <v>8348</v>
      </c>
      <c r="AF1059" s="15"/>
      <c r="AG1059" s="10"/>
      <c r="AH1059" s="10"/>
      <c r="AI1059" s="10"/>
      <c r="AJ1059" s="10"/>
      <c r="AK1059" s="10"/>
      <c r="AL1059" s="10" t="s">
        <v>2926</v>
      </c>
      <c r="AM1059" s="10"/>
      <c r="AN1059" s="10"/>
      <c r="AO1059" s="13" t="b">
        <v>0</v>
      </c>
      <c r="AP1059" s="10" t="s">
        <v>104</v>
      </c>
      <c r="AQ1059" s="10"/>
      <c r="AR1059" s="17"/>
      <c r="AS1059" s="17"/>
      <c r="AT1059" s="17"/>
      <c r="AU1059" s="17"/>
      <c r="AV1059" s="17"/>
      <c r="AW1059" s="10"/>
      <c r="AX1059" s="17"/>
      <c r="AY1059" s="18" t="s">
        <v>257</v>
      </c>
      <c r="AZ1059" s="10"/>
      <c r="BA1059" s="20" t="b">
        <v>0</v>
      </c>
      <c r="BB1059" s="10"/>
      <c r="BC1059" s="17" t="s">
        <v>257</v>
      </c>
      <c r="BD1059" s="17" t="s">
        <v>257</v>
      </c>
      <c r="BE1059" s="17" t="s">
        <v>257</v>
      </c>
      <c r="BF1059" s="17" t="s">
        <v>257</v>
      </c>
      <c r="BG1059" s="11">
        <f ca="1">IFERROR(__xludf.DUMMYFUNCTION("""COMPUTED_VALUE"""),46145)</f>
        <v>46145</v>
      </c>
      <c r="BH1059" s="17"/>
      <c r="BI1059" s="17"/>
      <c r="BJ1059" s="15"/>
      <c r="BK1059" s="15"/>
      <c r="BL1059" s="13" t="b">
        <v>0</v>
      </c>
      <c r="BM1059" s="10"/>
      <c r="BN1059" s="10" t="s">
        <v>223</v>
      </c>
      <c r="BO1059" s="11">
        <v>45877.290231481478</v>
      </c>
      <c r="BP1059" s="11">
        <v>45877.290231481478</v>
      </c>
      <c r="BQ1059" s="15"/>
      <c r="BR1059" s="15"/>
      <c r="BS1059" s="10"/>
      <c r="BT1059" s="10"/>
      <c r="BU1059" s="10"/>
      <c r="BV1059" s="10"/>
      <c r="BW1059" s="10"/>
      <c r="BX1059" s="10"/>
      <c r="BY1059" s="23"/>
      <c r="BZ1059" s="23"/>
      <c r="CA1059" s="23"/>
      <c r="CB1059" s="23"/>
      <c r="CC1059" s="23"/>
      <c r="CD1059" s="23"/>
      <c r="CE1059" s="23"/>
      <c r="CF1059" s="23"/>
      <c r="CG1059" s="23"/>
      <c r="CH1059" s="23"/>
      <c r="CI1059" s="23"/>
    </row>
    <row r="1060" spans="1:87" x14ac:dyDescent="0.3">
      <c r="A1060" s="9" t="s">
        <v>8349</v>
      </c>
      <c r="B1060" s="10" t="s">
        <v>8350</v>
      </c>
      <c r="C1060" s="11">
        <v>46145</v>
      </c>
      <c r="D1060" s="12">
        <v>8.3333333333333329E-2</v>
      </c>
      <c r="E1060" s="11">
        <v>46145.083333333336</v>
      </c>
      <c r="F1060" s="10" t="s">
        <v>7855</v>
      </c>
      <c r="G1060" s="13" t="b">
        <v>0</v>
      </c>
      <c r="H1060" s="10" t="s">
        <v>7949</v>
      </c>
      <c r="I1060" s="10" t="s">
        <v>89</v>
      </c>
      <c r="J1060" s="13" t="b">
        <v>0</v>
      </c>
      <c r="K1060" s="13" t="b">
        <v>1</v>
      </c>
      <c r="L1060" s="10" t="s">
        <v>124</v>
      </c>
      <c r="M1060" s="10" t="s">
        <v>91</v>
      </c>
      <c r="N1060" s="10" t="s">
        <v>92</v>
      </c>
      <c r="O1060" s="10"/>
      <c r="P1060" s="10"/>
      <c r="Q1060" s="10"/>
      <c r="R1060" s="10"/>
      <c r="S1060" s="10"/>
      <c r="T1060" s="10"/>
      <c r="U1060" s="10" t="s">
        <v>7859</v>
      </c>
      <c r="V1060" s="10" t="s">
        <v>7871</v>
      </c>
      <c r="W1060" s="10" t="s">
        <v>7860</v>
      </c>
      <c r="X1060" s="10" t="s">
        <v>130</v>
      </c>
      <c r="Y1060" s="10" t="s">
        <v>130</v>
      </c>
      <c r="Z1060" s="10" t="s">
        <v>99</v>
      </c>
      <c r="AA1060" s="10" t="s">
        <v>131</v>
      </c>
      <c r="AB1060" s="10" t="s">
        <v>7861</v>
      </c>
      <c r="AC1060" s="10" t="s">
        <v>7862</v>
      </c>
      <c r="AD1060" s="10" t="s">
        <v>8351</v>
      </c>
      <c r="AE1060" s="10" t="s">
        <v>8352</v>
      </c>
      <c r="AF1060" s="15"/>
      <c r="AG1060" s="10"/>
      <c r="AH1060" s="10"/>
      <c r="AI1060" s="10"/>
      <c r="AJ1060" s="10"/>
      <c r="AK1060" s="10"/>
      <c r="AL1060" s="10" t="s">
        <v>2926</v>
      </c>
      <c r="AM1060" s="10"/>
      <c r="AN1060" s="10"/>
      <c r="AO1060" s="13" t="b">
        <v>0</v>
      </c>
      <c r="AP1060" s="10" t="s">
        <v>104</v>
      </c>
      <c r="AQ1060" s="10"/>
      <c r="AR1060" s="17"/>
      <c r="AS1060" s="17"/>
      <c r="AT1060" s="17"/>
      <c r="AU1060" s="17"/>
      <c r="AV1060" s="17"/>
      <c r="AW1060" s="10"/>
      <c r="AX1060" s="17"/>
      <c r="AY1060" s="18" t="s">
        <v>257</v>
      </c>
      <c r="AZ1060" s="10"/>
      <c r="BA1060" s="20" t="b">
        <v>0</v>
      </c>
      <c r="BB1060" s="10"/>
      <c r="BC1060" s="17" t="s">
        <v>257</v>
      </c>
      <c r="BD1060" s="17" t="s">
        <v>257</v>
      </c>
      <c r="BE1060" s="17" t="s">
        <v>257</v>
      </c>
      <c r="BF1060" s="17" t="s">
        <v>257</v>
      </c>
      <c r="BG1060" s="11">
        <f ca="1">IFERROR(__xludf.DUMMYFUNCTION("""COMPUTED_VALUE"""),46145)</f>
        <v>46145</v>
      </c>
      <c r="BH1060" s="17"/>
      <c r="BI1060" s="17"/>
      <c r="BJ1060" s="15"/>
      <c r="BK1060" s="15"/>
      <c r="BL1060" s="13" t="b">
        <v>0</v>
      </c>
      <c r="BM1060" s="10"/>
      <c r="BN1060" s="10" t="s">
        <v>223</v>
      </c>
      <c r="BO1060" s="11">
        <v>45877.290231481478</v>
      </c>
      <c r="BP1060" s="11">
        <v>45877.290231481478</v>
      </c>
      <c r="BQ1060" s="15"/>
      <c r="BR1060" s="15"/>
      <c r="BS1060" s="10"/>
      <c r="BT1060" s="10"/>
      <c r="BU1060" s="10"/>
      <c r="BV1060" s="10"/>
      <c r="BW1060" s="10"/>
      <c r="BX1060" s="10"/>
      <c r="BY1060" s="23"/>
      <c r="BZ1060" s="23"/>
      <c r="CA1060" s="23"/>
      <c r="CB1060" s="23"/>
      <c r="CC1060" s="23"/>
      <c r="CD1060" s="23"/>
      <c r="CE1060" s="23"/>
      <c r="CF1060" s="23"/>
      <c r="CG1060" s="23"/>
      <c r="CH1060" s="23"/>
      <c r="CI1060" s="23"/>
    </row>
    <row r="1061" spans="1:87" x14ac:dyDescent="0.3">
      <c r="A1061" s="9" t="s">
        <v>8353</v>
      </c>
      <c r="B1061" s="10" t="s">
        <v>8354</v>
      </c>
      <c r="C1061" s="11">
        <v>46152</v>
      </c>
      <c r="D1061" s="12">
        <v>8.3333333333333329E-2</v>
      </c>
      <c r="E1061" s="11">
        <v>46152.083333333336</v>
      </c>
      <c r="F1061" s="10" t="s">
        <v>7855</v>
      </c>
      <c r="G1061" s="13" t="b">
        <v>0</v>
      </c>
      <c r="H1061" s="10" t="s">
        <v>7949</v>
      </c>
      <c r="I1061" s="10" t="s">
        <v>89</v>
      </c>
      <c r="J1061" s="13" t="b">
        <v>0</v>
      </c>
      <c r="K1061" s="13" t="b">
        <v>1</v>
      </c>
      <c r="L1061" s="10" t="s">
        <v>124</v>
      </c>
      <c r="M1061" s="10" t="s">
        <v>91</v>
      </c>
      <c r="N1061" s="10" t="s">
        <v>92</v>
      </c>
      <c r="O1061" s="10"/>
      <c r="P1061" s="10"/>
      <c r="Q1061" s="10"/>
      <c r="R1061" s="10"/>
      <c r="S1061" s="10"/>
      <c r="T1061" s="10"/>
      <c r="U1061" s="10" t="s">
        <v>8027</v>
      </c>
      <c r="V1061" s="10" t="s">
        <v>7859</v>
      </c>
      <c r="W1061" s="10" t="s">
        <v>7860</v>
      </c>
      <c r="X1061" s="10" t="s">
        <v>130</v>
      </c>
      <c r="Y1061" s="10" t="s">
        <v>130</v>
      </c>
      <c r="Z1061" s="10" t="s">
        <v>99</v>
      </c>
      <c r="AA1061" s="10" t="s">
        <v>131</v>
      </c>
      <c r="AB1061" s="10" t="s">
        <v>7861</v>
      </c>
      <c r="AC1061" s="10" t="s">
        <v>7862</v>
      </c>
      <c r="AD1061" s="10" t="s">
        <v>8355</v>
      </c>
      <c r="AE1061" s="10" t="s">
        <v>8356</v>
      </c>
      <c r="AF1061" s="15"/>
      <c r="AG1061" s="10"/>
      <c r="AH1061" s="10"/>
      <c r="AI1061" s="10"/>
      <c r="AJ1061" s="10"/>
      <c r="AK1061" s="10"/>
      <c r="AL1061" s="10" t="s">
        <v>2967</v>
      </c>
      <c r="AM1061" s="10"/>
      <c r="AN1061" s="10"/>
      <c r="AO1061" s="13" t="b">
        <v>0</v>
      </c>
      <c r="AP1061" s="10" t="s">
        <v>104</v>
      </c>
      <c r="AQ1061" s="10"/>
      <c r="AR1061" s="17"/>
      <c r="AS1061" s="17"/>
      <c r="AT1061" s="17"/>
      <c r="AU1061" s="17"/>
      <c r="AV1061" s="17"/>
      <c r="AW1061" s="10"/>
      <c r="AX1061" s="17"/>
      <c r="AY1061" s="18" t="s">
        <v>257</v>
      </c>
      <c r="AZ1061" s="10"/>
      <c r="BA1061" s="20" t="b">
        <v>0</v>
      </c>
      <c r="BB1061" s="10"/>
      <c r="BC1061" s="17" t="s">
        <v>257</v>
      </c>
      <c r="BD1061" s="17" t="s">
        <v>257</v>
      </c>
      <c r="BE1061" s="17" t="s">
        <v>257</v>
      </c>
      <c r="BF1061" s="17" t="s">
        <v>257</v>
      </c>
      <c r="BG1061" s="11">
        <f ca="1">IFERROR(__xludf.DUMMYFUNCTION("""COMPUTED_VALUE"""),46152)</f>
        <v>46152</v>
      </c>
      <c r="BH1061" s="17"/>
      <c r="BI1061" s="17"/>
      <c r="BJ1061" s="15"/>
      <c r="BK1061" s="15"/>
      <c r="BL1061" s="13" t="b">
        <v>0</v>
      </c>
      <c r="BM1061" s="10"/>
      <c r="BN1061" s="10" t="s">
        <v>223</v>
      </c>
      <c r="BO1061" s="11">
        <v>45877.290231481478</v>
      </c>
      <c r="BP1061" s="11">
        <v>45877.290231481478</v>
      </c>
      <c r="BQ1061" s="15"/>
      <c r="BR1061" s="15"/>
      <c r="BS1061" s="10"/>
      <c r="BT1061" s="10"/>
      <c r="BU1061" s="10"/>
      <c r="BV1061" s="10"/>
      <c r="BW1061" s="10"/>
      <c r="BX1061" s="10"/>
      <c r="BY1061" s="23"/>
      <c r="BZ1061" s="23"/>
      <c r="CA1061" s="23"/>
      <c r="CB1061" s="23"/>
      <c r="CC1061" s="23"/>
      <c r="CD1061" s="23"/>
      <c r="CE1061" s="23"/>
      <c r="CF1061" s="23"/>
      <c r="CG1061" s="23"/>
      <c r="CH1061" s="23"/>
      <c r="CI1061" s="23"/>
    </row>
    <row r="1062" spans="1:87" x14ac:dyDescent="0.3">
      <c r="A1062" s="9" t="s">
        <v>8357</v>
      </c>
      <c r="B1062" s="10" t="s">
        <v>8358</v>
      </c>
      <c r="C1062" s="11">
        <v>46152</v>
      </c>
      <c r="D1062" s="12">
        <v>8.3333333333333329E-2</v>
      </c>
      <c r="E1062" s="11">
        <v>46152.083333333336</v>
      </c>
      <c r="F1062" s="10" t="s">
        <v>7855</v>
      </c>
      <c r="G1062" s="13" t="b">
        <v>0</v>
      </c>
      <c r="H1062" s="10" t="s">
        <v>7949</v>
      </c>
      <c r="I1062" s="10" t="s">
        <v>89</v>
      </c>
      <c r="J1062" s="13" t="b">
        <v>0</v>
      </c>
      <c r="K1062" s="13" t="b">
        <v>1</v>
      </c>
      <c r="L1062" s="10" t="s">
        <v>124</v>
      </c>
      <c r="M1062" s="10" t="s">
        <v>91</v>
      </c>
      <c r="N1062" s="10" t="s">
        <v>92</v>
      </c>
      <c r="O1062" s="10"/>
      <c r="P1062" s="10"/>
      <c r="Q1062" s="10"/>
      <c r="R1062" s="10"/>
      <c r="S1062" s="10"/>
      <c r="T1062" s="10"/>
      <c r="U1062" s="10" t="s">
        <v>3582</v>
      </c>
      <c r="V1062" s="10" t="s">
        <v>8065</v>
      </c>
      <c r="W1062" s="10" t="s">
        <v>7860</v>
      </c>
      <c r="X1062" s="10" t="s">
        <v>130</v>
      </c>
      <c r="Y1062" s="10" t="s">
        <v>130</v>
      </c>
      <c r="Z1062" s="10" t="s">
        <v>99</v>
      </c>
      <c r="AA1062" s="10" t="s">
        <v>131</v>
      </c>
      <c r="AB1062" s="10" t="s">
        <v>7861</v>
      </c>
      <c r="AC1062" s="10" t="s">
        <v>7862</v>
      </c>
      <c r="AD1062" s="10" t="s">
        <v>8359</v>
      </c>
      <c r="AE1062" s="10" t="s">
        <v>8360</v>
      </c>
      <c r="AF1062" s="15"/>
      <c r="AG1062" s="10"/>
      <c r="AH1062" s="10"/>
      <c r="AI1062" s="10"/>
      <c r="AJ1062" s="10"/>
      <c r="AK1062" s="10"/>
      <c r="AL1062" s="10" t="s">
        <v>2967</v>
      </c>
      <c r="AM1062" s="10"/>
      <c r="AN1062" s="10"/>
      <c r="AO1062" s="13" t="b">
        <v>0</v>
      </c>
      <c r="AP1062" s="10" t="s">
        <v>104</v>
      </c>
      <c r="AQ1062" s="10"/>
      <c r="AR1062" s="17"/>
      <c r="AS1062" s="17"/>
      <c r="AT1062" s="17"/>
      <c r="AU1062" s="17"/>
      <c r="AV1062" s="17"/>
      <c r="AW1062" s="10"/>
      <c r="AX1062" s="17"/>
      <c r="AY1062" s="18" t="s">
        <v>257</v>
      </c>
      <c r="AZ1062" s="10"/>
      <c r="BA1062" s="20" t="b">
        <v>0</v>
      </c>
      <c r="BB1062" s="10"/>
      <c r="BC1062" s="17" t="s">
        <v>257</v>
      </c>
      <c r="BD1062" s="17" t="s">
        <v>257</v>
      </c>
      <c r="BE1062" s="17" t="s">
        <v>257</v>
      </c>
      <c r="BF1062" s="17" t="s">
        <v>257</v>
      </c>
      <c r="BG1062" s="11">
        <f ca="1">IFERROR(__xludf.DUMMYFUNCTION("""COMPUTED_VALUE"""),46152)</f>
        <v>46152</v>
      </c>
      <c r="BH1062" s="17"/>
      <c r="BI1062" s="17"/>
      <c r="BJ1062" s="15"/>
      <c r="BK1062" s="15"/>
      <c r="BL1062" s="13" t="b">
        <v>0</v>
      </c>
      <c r="BM1062" s="10"/>
      <c r="BN1062" s="10" t="s">
        <v>223</v>
      </c>
      <c r="BO1062" s="11">
        <v>45877.290231481478</v>
      </c>
      <c r="BP1062" s="11">
        <v>45877.290231481478</v>
      </c>
      <c r="BQ1062" s="15"/>
      <c r="BR1062" s="15"/>
      <c r="BS1062" s="10"/>
      <c r="BT1062" s="10"/>
      <c r="BU1062" s="10"/>
      <c r="BV1062" s="10"/>
      <c r="BW1062" s="10"/>
      <c r="BX1062" s="10"/>
      <c r="BY1062" s="23"/>
      <c r="BZ1062" s="23"/>
      <c r="CA1062" s="23"/>
      <c r="CB1062" s="23"/>
      <c r="CC1062" s="23"/>
      <c r="CD1062" s="23"/>
      <c r="CE1062" s="23"/>
      <c r="CF1062" s="23"/>
      <c r="CG1062" s="23"/>
      <c r="CH1062" s="23"/>
      <c r="CI1062" s="23"/>
    </row>
    <row r="1063" spans="1:87" x14ac:dyDescent="0.3">
      <c r="A1063" s="9" t="s">
        <v>8361</v>
      </c>
      <c r="B1063" s="10" t="s">
        <v>8362</v>
      </c>
      <c r="C1063" s="11">
        <v>46159</v>
      </c>
      <c r="D1063" s="12">
        <v>8.3333333333333329E-2</v>
      </c>
      <c r="E1063" s="11">
        <v>46159.083333333336</v>
      </c>
      <c r="F1063" s="10" t="s">
        <v>7855</v>
      </c>
      <c r="G1063" s="13" t="b">
        <v>0</v>
      </c>
      <c r="H1063" s="10" t="s">
        <v>7949</v>
      </c>
      <c r="I1063" s="10" t="s">
        <v>89</v>
      </c>
      <c r="J1063" s="13" t="b">
        <v>0</v>
      </c>
      <c r="K1063" s="13" t="b">
        <v>1</v>
      </c>
      <c r="L1063" s="10" t="s">
        <v>124</v>
      </c>
      <c r="M1063" s="10" t="s">
        <v>91</v>
      </c>
      <c r="N1063" s="10" t="s">
        <v>92</v>
      </c>
      <c r="O1063" s="10"/>
      <c r="P1063" s="10"/>
      <c r="Q1063" s="10"/>
      <c r="R1063" s="10"/>
      <c r="S1063" s="10"/>
      <c r="T1063" s="10"/>
      <c r="U1063" s="10" t="s">
        <v>7859</v>
      </c>
      <c r="V1063" s="10" t="s">
        <v>8045</v>
      </c>
      <c r="W1063" s="10" t="s">
        <v>7860</v>
      </c>
      <c r="X1063" s="10" t="s">
        <v>130</v>
      </c>
      <c r="Y1063" s="10" t="s">
        <v>130</v>
      </c>
      <c r="Z1063" s="10" t="s">
        <v>99</v>
      </c>
      <c r="AA1063" s="10" t="s">
        <v>131</v>
      </c>
      <c r="AB1063" s="10" t="s">
        <v>7861</v>
      </c>
      <c r="AC1063" s="10" t="s">
        <v>7862</v>
      </c>
      <c r="AD1063" s="10" t="s">
        <v>8363</v>
      </c>
      <c r="AE1063" s="10" t="s">
        <v>8364</v>
      </c>
      <c r="AF1063" s="15"/>
      <c r="AG1063" s="10"/>
      <c r="AH1063" s="10"/>
      <c r="AI1063" s="10"/>
      <c r="AJ1063" s="10"/>
      <c r="AK1063" s="10"/>
      <c r="AL1063" s="10" t="s">
        <v>3008</v>
      </c>
      <c r="AM1063" s="10"/>
      <c r="AN1063" s="10"/>
      <c r="AO1063" s="13" t="b">
        <v>0</v>
      </c>
      <c r="AP1063" s="10" t="s">
        <v>104</v>
      </c>
      <c r="AQ1063" s="10"/>
      <c r="AR1063" s="17"/>
      <c r="AS1063" s="17"/>
      <c r="AT1063" s="17"/>
      <c r="AU1063" s="17"/>
      <c r="AV1063" s="17"/>
      <c r="AW1063" s="10"/>
      <c r="AX1063" s="17"/>
      <c r="AY1063" s="18" t="s">
        <v>257</v>
      </c>
      <c r="AZ1063" s="10"/>
      <c r="BA1063" s="20" t="b">
        <v>0</v>
      </c>
      <c r="BB1063" s="10"/>
      <c r="BC1063" s="17" t="s">
        <v>257</v>
      </c>
      <c r="BD1063" s="17" t="s">
        <v>257</v>
      </c>
      <c r="BE1063" s="17" t="s">
        <v>257</v>
      </c>
      <c r="BF1063" s="17" t="s">
        <v>257</v>
      </c>
      <c r="BG1063" s="11">
        <f ca="1">IFERROR(__xludf.DUMMYFUNCTION("""COMPUTED_VALUE"""),46159)</f>
        <v>46159</v>
      </c>
      <c r="BH1063" s="17"/>
      <c r="BI1063" s="17"/>
      <c r="BJ1063" s="15"/>
      <c r="BK1063" s="15"/>
      <c r="BL1063" s="13" t="b">
        <v>0</v>
      </c>
      <c r="BM1063" s="10"/>
      <c r="BN1063" s="10" t="s">
        <v>223</v>
      </c>
      <c r="BO1063" s="11">
        <v>45877.290231481478</v>
      </c>
      <c r="BP1063" s="11">
        <v>45877.290231481478</v>
      </c>
      <c r="BQ1063" s="15"/>
      <c r="BR1063" s="15"/>
      <c r="BS1063" s="10"/>
      <c r="BT1063" s="10"/>
      <c r="BU1063" s="10"/>
      <c r="BV1063" s="10"/>
      <c r="BW1063" s="10"/>
      <c r="BX1063" s="10"/>
      <c r="BY1063" s="23"/>
      <c r="BZ1063" s="23"/>
      <c r="CA1063" s="23"/>
      <c r="CB1063" s="23"/>
      <c r="CC1063" s="23"/>
      <c r="CD1063" s="23"/>
      <c r="CE1063" s="23"/>
      <c r="CF1063" s="23"/>
      <c r="CG1063" s="23"/>
      <c r="CH1063" s="23"/>
      <c r="CI1063" s="23"/>
    </row>
    <row r="1064" spans="1:87" x14ac:dyDescent="0.3">
      <c r="A1064" s="9" t="s">
        <v>8365</v>
      </c>
      <c r="B1064" s="10" t="s">
        <v>8366</v>
      </c>
      <c r="C1064" s="11">
        <v>46159</v>
      </c>
      <c r="D1064" s="12">
        <v>8.3333333333333329E-2</v>
      </c>
      <c r="E1064" s="11">
        <v>46159.083333333336</v>
      </c>
      <c r="F1064" s="10" t="s">
        <v>7855</v>
      </c>
      <c r="G1064" s="13" t="b">
        <v>0</v>
      </c>
      <c r="H1064" s="10" t="s">
        <v>7949</v>
      </c>
      <c r="I1064" s="10" t="s">
        <v>89</v>
      </c>
      <c r="J1064" s="13" t="b">
        <v>0</v>
      </c>
      <c r="K1064" s="13" t="b">
        <v>1</v>
      </c>
      <c r="L1064" s="10" t="s">
        <v>124</v>
      </c>
      <c r="M1064" s="10" t="s">
        <v>91</v>
      </c>
      <c r="N1064" s="10" t="s">
        <v>92</v>
      </c>
      <c r="O1064" s="10"/>
      <c r="P1064" s="10"/>
      <c r="Q1064" s="10"/>
      <c r="R1064" s="10"/>
      <c r="S1064" s="10"/>
      <c r="T1064" s="10"/>
      <c r="U1064" s="10" t="s">
        <v>8035</v>
      </c>
      <c r="V1064" s="10" t="s">
        <v>3582</v>
      </c>
      <c r="W1064" s="10" t="s">
        <v>7860</v>
      </c>
      <c r="X1064" s="10" t="s">
        <v>130</v>
      </c>
      <c r="Y1064" s="10" t="s">
        <v>130</v>
      </c>
      <c r="Z1064" s="10" t="s">
        <v>99</v>
      </c>
      <c r="AA1064" s="10" t="s">
        <v>131</v>
      </c>
      <c r="AB1064" s="10" t="s">
        <v>7861</v>
      </c>
      <c r="AC1064" s="10" t="s">
        <v>7862</v>
      </c>
      <c r="AD1064" s="10" t="s">
        <v>8367</v>
      </c>
      <c r="AE1064" s="10" t="s">
        <v>8368</v>
      </c>
      <c r="AF1064" s="15"/>
      <c r="AG1064" s="10"/>
      <c r="AH1064" s="10"/>
      <c r="AI1064" s="10"/>
      <c r="AJ1064" s="10"/>
      <c r="AK1064" s="10"/>
      <c r="AL1064" s="10" t="s">
        <v>3008</v>
      </c>
      <c r="AM1064" s="10"/>
      <c r="AN1064" s="10"/>
      <c r="AO1064" s="13" t="b">
        <v>0</v>
      </c>
      <c r="AP1064" s="10" t="s">
        <v>104</v>
      </c>
      <c r="AQ1064" s="10"/>
      <c r="AR1064" s="17"/>
      <c r="AS1064" s="17"/>
      <c r="AT1064" s="17"/>
      <c r="AU1064" s="17"/>
      <c r="AV1064" s="17"/>
      <c r="AW1064" s="10"/>
      <c r="AX1064" s="17"/>
      <c r="AY1064" s="18" t="s">
        <v>257</v>
      </c>
      <c r="AZ1064" s="10"/>
      <c r="BA1064" s="20" t="b">
        <v>0</v>
      </c>
      <c r="BB1064" s="10"/>
      <c r="BC1064" s="17" t="s">
        <v>257</v>
      </c>
      <c r="BD1064" s="17" t="s">
        <v>257</v>
      </c>
      <c r="BE1064" s="17" t="s">
        <v>257</v>
      </c>
      <c r="BF1064" s="17" t="s">
        <v>257</v>
      </c>
      <c r="BG1064" s="11">
        <f ca="1">IFERROR(__xludf.DUMMYFUNCTION("""COMPUTED_VALUE"""),46159)</f>
        <v>46159</v>
      </c>
      <c r="BH1064" s="17"/>
      <c r="BI1064" s="17"/>
      <c r="BJ1064" s="15"/>
      <c r="BK1064" s="15"/>
      <c r="BL1064" s="13" t="b">
        <v>0</v>
      </c>
      <c r="BM1064" s="10"/>
      <c r="BN1064" s="10" t="s">
        <v>223</v>
      </c>
      <c r="BO1064" s="11">
        <v>45877.290231481478</v>
      </c>
      <c r="BP1064" s="11">
        <v>45877.290231481478</v>
      </c>
      <c r="BQ1064" s="15"/>
      <c r="BR1064" s="15"/>
      <c r="BS1064" s="10"/>
      <c r="BT1064" s="10"/>
      <c r="BU1064" s="10"/>
      <c r="BV1064" s="10"/>
      <c r="BW1064" s="10"/>
      <c r="BX1064" s="10"/>
      <c r="BY1064" s="23"/>
      <c r="BZ1064" s="23"/>
      <c r="CA1064" s="23"/>
      <c r="CB1064" s="23"/>
      <c r="CC1064" s="23"/>
      <c r="CD1064" s="23"/>
      <c r="CE1064" s="23"/>
      <c r="CF1064" s="23"/>
      <c r="CG1064" s="23"/>
      <c r="CH1064" s="23"/>
      <c r="CI1064" s="23"/>
    </row>
    <row r="1065" spans="1:87" x14ac:dyDescent="0.3">
      <c r="A1065" s="9" t="s">
        <v>8369</v>
      </c>
      <c r="B1065" s="10" t="s">
        <v>8370</v>
      </c>
      <c r="C1065" s="11">
        <v>45892.770833333336</v>
      </c>
      <c r="D1065" s="12">
        <v>8.3333333333333329E-2</v>
      </c>
      <c r="E1065" s="11">
        <v>45892.854166666664</v>
      </c>
      <c r="F1065" s="10" t="s">
        <v>262</v>
      </c>
      <c r="G1065" s="13" t="b">
        <v>0</v>
      </c>
      <c r="H1065" s="10" t="s">
        <v>305</v>
      </c>
      <c r="I1065" s="10" t="s">
        <v>264</v>
      </c>
      <c r="J1065" s="13" t="b">
        <v>0</v>
      </c>
      <c r="K1065" s="13" t="b">
        <v>1</v>
      </c>
      <c r="L1065" s="10" t="s">
        <v>124</v>
      </c>
      <c r="M1065" s="10" t="s">
        <v>91</v>
      </c>
      <c r="N1065" s="10" t="s">
        <v>265</v>
      </c>
      <c r="O1065" s="19" t="s">
        <v>8371</v>
      </c>
      <c r="P1065" s="10"/>
      <c r="Q1065" s="10" t="s">
        <v>94</v>
      </c>
      <c r="R1065" s="10"/>
      <c r="S1065" s="19" t="s">
        <v>8372</v>
      </c>
      <c r="T1065" s="10"/>
      <c r="U1065" s="10" t="s">
        <v>334</v>
      </c>
      <c r="V1065" s="10" t="s">
        <v>429</v>
      </c>
      <c r="W1065" s="10" t="s">
        <v>272</v>
      </c>
      <c r="X1065" s="10" t="s">
        <v>130</v>
      </c>
      <c r="Y1065" s="10" t="s">
        <v>130</v>
      </c>
      <c r="Z1065" s="10" t="s">
        <v>99</v>
      </c>
      <c r="AA1065" s="10" t="s">
        <v>131</v>
      </c>
      <c r="AB1065" s="10" t="s">
        <v>273</v>
      </c>
      <c r="AC1065" s="10" t="s">
        <v>274</v>
      </c>
      <c r="AD1065" s="10" t="s">
        <v>430</v>
      </c>
      <c r="AE1065" s="10" t="s">
        <v>8373</v>
      </c>
      <c r="AF1065" s="15"/>
      <c r="AG1065" s="10"/>
      <c r="AH1065" s="10"/>
      <c r="AI1065" s="10"/>
      <c r="AJ1065" s="10"/>
      <c r="AK1065" s="10" t="s">
        <v>102</v>
      </c>
      <c r="AL1065" s="10" t="s">
        <v>116</v>
      </c>
      <c r="AM1065" s="10"/>
      <c r="AN1065" s="10"/>
      <c r="AO1065" s="13" t="b">
        <v>0</v>
      </c>
      <c r="AP1065" s="10" t="s">
        <v>104</v>
      </c>
      <c r="AQ1065" s="10">
        <f ca="1">IFERROR(__xludf.DUMMYFUNCTION("""COMPUTED_VALUE"""),4512814)</f>
        <v>4512814</v>
      </c>
      <c r="AR1065" s="17">
        <v>30353</v>
      </c>
      <c r="AS1065" s="17">
        <v>26032</v>
      </c>
      <c r="AT1065" s="17">
        <v>231228</v>
      </c>
      <c r="AU1065" s="17">
        <v>220.45</v>
      </c>
      <c r="AV1065" s="17">
        <v>71.849999999999994</v>
      </c>
      <c r="AW1065" s="10" t="s">
        <v>105</v>
      </c>
      <c r="AX1065" s="17">
        <v>3817</v>
      </c>
      <c r="AY1065" s="18">
        <v>8.8824523663183772</v>
      </c>
      <c r="AZ1065" s="10" t="s">
        <v>148</v>
      </c>
      <c r="BA1065" s="20" t="b">
        <v>0</v>
      </c>
      <c r="BB1065" s="10"/>
      <c r="BC1065" s="17">
        <v>30353</v>
      </c>
      <c r="BD1065" s="17">
        <v>26032</v>
      </c>
      <c r="BE1065" s="17">
        <v>231228</v>
      </c>
      <c r="BF1065" s="17">
        <v>71.849999999999994</v>
      </c>
      <c r="BG1065" s="11">
        <f ca="1">IFERROR(__xludf.DUMMYFUNCTION("""COMPUTED_VALUE"""),45892.7708333333)</f>
        <v>45892.770833333299</v>
      </c>
      <c r="BH1065" s="17" t="s">
        <v>105</v>
      </c>
      <c r="BI1065" s="17"/>
      <c r="BJ1065" s="15"/>
      <c r="BK1065" s="15"/>
      <c r="BL1065" s="13" t="b">
        <v>0</v>
      </c>
      <c r="BM1065" s="10"/>
      <c r="BN1065" s="10" t="s">
        <v>118</v>
      </c>
      <c r="BO1065" s="11">
        <v>45877.593055555553</v>
      </c>
      <c r="BP1065" s="11">
        <v>45885.37841435185</v>
      </c>
      <c r="BQ1065" s="15">
        <v>45888.564201388886</v>
      </c>
      <c r="BR1065" s="15">
        <v>45889.570902777778</v>
      </c>
      <c r="BS1065" s="10" t="s">
        <v>118</v>
      </c>
      <c r="BT1065" s="10"/>
      <c r="BU1065" s="10"/>
      <c r="BV1065" s="10"/>
      <c r="BW1065" s="10"/>
      <c r="BX1065" s="10"/>
      <c r="BY1065" s="23"/>
      <c r="BZ1065" s="24"/>
      <c r="CA1065" s="19" t="s">
        <v>8374</v>
      </c>
      <c r="CB1065" s="23"/>
      <c r="CC1065" s="23"/>
      <c r="CD1065" s="23"/>
      <c r="CE1065" s="23"/>
      <c r="CF1065" s="23"/>
      <c r="CG1065" s="23"/>
      <c r="CH1065" s="23"/>
      <c r="CI1065" s="23"/>
    </row>
    <row r="1066" spans="1:87" x14ac:dyDescent="0.3">
      <c r="A1066" s="9" t="s">
        <v>8375</v>
      </c>
      <c r="B1066" s="10" t="s">
        <v>8376</v>
      </c>
      <c r="C1066" s="11">
        <v>45900.9375</v>
      </c>
      <c r="D1066" s="12">
        <v>8.3333333333333329E-2</v>
      </c>
      <c r="E1066" s="11">
        <v>45901.020833333336</v>
      </c>
      <c r="F1066" s="10" t="s">
        <v>262</v>
      </c>
      <c r="G1066" s="13" t="b">
        <v>0</v>
      </c>
      <c r="H1066" s="10" t="s">
        <v>305</v>
      </c>
      <c r="I1066" s="10" t="s">
        <v>264</v>
      </c>
      <c r="J1066" s="13" t="b">
        <v>0</v>
      </c>
      <c r="K1066" s="13" t="b">
        <v>1</v>
      </c>
      <c r="L1066" s="10" t="s">
        <v>124</v>
      </c>
      <c r="M1066" s="10" t="s">
        <v>91</v>
      </c>
      <c r="N1066" s="10" t="s">
        <v>265</v>
      </c>
      <c r="O1066" s="19" t="s">
        <v>8377</v>
      </c>
      <c r="P1066" s="10"/>
      <c r="Q1066" s="10" t="s">
        <v>94</v>
      </c>
      <c r="R1066" s="10"/>
      <c r="S1066" s="19" t="s">
        <v>494</v>
      </c>
      <c r="T1066" s="19" t="s">
        <v>464</v>
      </c>
      <c r="U1066" s="10" t="s">
        <v>270</v>
      </c>
      <c r="V1066" s="10" t="s">
        <v>362</v>
      </c>
      <c r="W1066" s="10" t="s">
        <v>272</v>
      </c>
      <c r="X1066" s="10" t="s">
        <v>130</v>
      </c>
      <c r="Y1066" s="10" t="s">
        <v>130</v>
      </c>
      <c r="Z1066" s="10" t="s">
        <v>99</v>
      </c>
      <c r="AA1066" s="10" t="s">
        <v>131</v>
      </c>
      <c r="AB1066" s="10" t="s">
        <v>273</v>
      </c>
      <c r="AC1066" s="10" t="s">
        <v>274</v>
      </c>
      <c r="AD1066" s="10" t="s">
        <v>495</v>
      </c>
      <c r="AE1066" s="10" t="s">
        <v>8378</v>
      </c>
      <c r="AF1066" s="15"/>
      <c r="AG1066" s="10"/>
      <c r="AH1066" s="10"/>
      <c r="AI1066" s="10"/>
      <c r="AJ1066" s="10"/>
      <c r="AK1066" s="10" t="s">
        <v>102</v>
      </c>
      <c r="AL1066" s="10" t="s">
        <v>147</v>
      </c>
      <c r="AM1066" s="10"/>
      <c r="AN1066" s="10"/>
      <c r="AO1066" s="13" t="b">
        <v>0</v>
      </c>
      <c r="AP1066" s="10" t="s">
        <v>104</v>
      </c>
      <c r="AQ1066" s="10">
        <f ca="1">IFERROR(__xludf.DUMMYFUNCTION("""COMPUTED_VALUE"""),4536102)</f>
        <v>4536102</v>
      </c>
      <c r="AR1066" s="17">
        <v>33253</v>
      </c>
      <c r="AS1066" s="17">
        <v>28460</v>
      </c>
      <c r="AT1066" s="17">
        <v>314083.25</v>
      </c>
      <c r="AU1066" s="17">
        <v>189.9</v>
      </c>
      <c r="AV1066" s="17">
        <v>83.4</v>
      </c>
      <c r="AW1066" s="10" t="s">
        <v>105</v>
      </c>
      <c r="AX1066" s="17">
        <v>7581</v>
      </c>
      <c r="AY1066" s="18">
        <v>11.035953970484892</v>
      </c>
      <c r="AZ1066" s="10" t="s">
        <v>148</v>
      </c>
      <c r="BA1066" s="20" t="b">
        <v>0</v>
      </c>
      <c r="BB1066" s="10"/>
      <c r="BC1066" s="17">
        <v>33253</v>
      </c>
      <c r="BD1066" s="17">
        <v>28460</v>
      </c>
      <c r="BE1066" s="17">
        <v>314083.25</v>
      </c>
      <c r="BF1066" s="17">
        <v>83.4</v>
      </c>
      <c r="BG1066" s="11">
        <f ca="1">IFERROR(__xludf.DUMMYFUNCTION("""COMPUTED_VALUE"""),45900.9375)</f>
        <v>45900.9375</v>
      </c>
      <c r="BH1066" s="17" t="s">
        <v>105</v>
      </c>
      <c r="BI1066" s="17"/>
      <c r="BJ1066" s="15"/>
      <c r="BK1066" s="15"/>
      <c r="BL1066" s="13" t="b">
        <v>0</v>
      </c>
      <c r="BM1066" s="10"/>
      <c r="BN1066" s="10" t="s">
        <v>157</v>
      </c>
      <c r="BO1066" s="11">
        <v>45877.599305555559</v>
      </c>
      <c r="BP1066" s="11">
        <v>45892.590879629628</v>
      </c>
      <c r="BQ1066" s="15">
        <v>45894.864907407406</v>
      </c>
      <c r="BR1066" s="15">
        <v>45900.41306712963</v>
      </c>
      <c r="BS1066" s="10" t="s">
        <v>157</v>
      </c>
      <c r="BT1066" s="10"/>
      <c r="BU1066" s="10"/>
      <c r="BV1066" s="10"/>
      <c r="BW1066" s="10"/>
      <c r="BX1066" s="10"/>
      <c r="BY1066" s="23"/>
      <c r="BZ1066" s="24"/>
      <c r="CA1066" s="19" t="s">
        <v>501</v>
      </c>
      <c r="CB1066" s="19" t="s">
        <v>502</v>
      </c>
      <c r="CC1066" s="23"/>
      <c r="CD1066" s="23"/>
      <c r="CE1066" s="23"/>
      <c r="CF1066" s="23"/>
      <c r="CG1066" s="23"/>
      <c r="CH1066" s="23"/>
      <c r="CI1066" s="23"/>
    </row>
    <row r="1067" spans="1:87" x14ac:dyDescent="0.3">
      <c r="A1067" s="9" t="s">
        <v>8379</v>
      </c>
      <c r="B1067" s="10" t="s">
        <v>8380</v>
      </c>
      <c r="C1067" s="11">
        <v>45893.46875</v>
      </c>
      <c r="D1067" s="12">
        <v>4.1666666666666664E-2</v>
      </c>
      <c r="E1067" s="11">
        <v>45893.510416666664</v>
      </c>
      <c r="F1067" s="10" t="s">
        <v>8381</v>
      </c>
      <c r="G1067" s="13" t="b">
        <v>0</v>
      </c>
      <c r="H1067" s="10" t="s">
        <v>8382</v>
      </c>
      <c r="I1067" s="10" t="s">
        <v>8383</v>
      </c>
      <c r="J1067" s="13" t="b">
        <v>0</v>
      </c>
      <c r="K1067" s="13" t="b">
        <v>0</v>
      </c>
      <c r="L1067" s="10" t="s">
        <v>90</v>
      </c>
      <c r="M1067" s="10" t="s">
        <v>91</v>
      </c>
      <c r="N1067" s="10" t="s">
        <v>92</v>
      </c>
      <c r="O1067" s="19" t="s">
        <v>8384</v>
      </c>
      <c r="P1067" s="10"/>
      <c r="Q1067" s="10" t="s">
        <v>126</v>
      </c>
      <c r="R1067" s="10"/>
      <c r="S1067" s="19" t="s">
        <v>8385</v>
      </c>
      <c r="T1067" s="10"/>
      <c r="U1067" s="10"/>
      <c r="V1067" s="10"/>
      <c r="W1067" s="10" t="s">
        <v>8386</v>
      </c>
      <c r="X1067" s="10" t="s">
        <v>8387</v>
      </c>
      <c r="Y1067" s="10" t="s">
        <v>8387</v>
      </c>
      <c r="Z1067" s="10" t="s">
        <v>99</v>
      </c>
      <c r="AA1067" s="10" t="s">
        <v>131</v>
      </c>
      <c r="AB1067" s="10" t="s">
        <v>8388</v>
      </c>
      <c r="AC1067" s="10" t="s">
        <v>8389</v>
      </c>
      <c r="AD1067" s="10" t="s">
        <v>165</v>
      </c>
      <c r="AE1067" s="10" t="s">
        <v>8390</v>
      </c>
      <c r="AF1067" s="15"/>
      <c r="AG1067" s="10"/>
      <c r="AH1067" s="10"/>
      <c r="AI1067" s="10"/>
      <c r="AJ1067" s="10"/>
      <c r="AK1067" s="10" t="s">
        <v>102</v>
      </c>
      <c r="AL1067" s="10"/>
      <c r="AM1067" s="10"/>
      <c r="AN1067" s="10"/>
      <c r="AO1067" s="13" t="b">
        <v>0</v>
      </c>
      <c r="AP1067" s="10" t="s">
        <v>221</v>
      </c>
      <c r="AQ1067" s="10">
        <f ca="1">IFERROR(__xludf.DUMMYFUNCTION("""COMPUTED_VALUE"""),4516127)</f>
        <v>4516127</v>
      </c>
      <c r="AR1067" s="17">
        <v>4101</v>
      </c>
      <c r="AS1067" s="17">
        <v>3688</v>
      </c>
      <c r="AT1067" s="17">
        <v>31221.5</v>
      </c>
      <c r="AU1067" s="17">
        <v>6.8</v>
      </c>
      <c r="AV1067" s="17">
        <v>0.65</v>
      </c>
      <c r="AW1067" s="10" t="s">
        <v>105</v>
      </c>
      <c r="AX1067" s="17">
        <v>820</v>
      </c>
      <c r="AY1067" s="18">
        <v>8.4656995661605201</v>
      </c>
      <c r="AZ1067" s="10" t="s">
        <v>3998</v>
      </c>
      <c r="BA1067" s="20" t="b">
        <v>0</v>
      </c>
      <c r="BB1067" s="10"/>
      <c r="BC1067" s="17">
        <v>4101</v>
      </c>
      <c r="BD1067" s="17">
        <v>3688</v>
      </c>
      <c r="BE1067" s="17">
        <v>31221.5</v>
      </c>
      <c r="BF1067" s="17">
        <v>0.65</v>
      </c>
      <c r="BG1067" s="11">
        <f ca="1">IFERROR(__xludf.DUMMYFUNCTION("""COMPUTED_VALUE"""),45893.46875)</f>
        <v>45893.46875</v>
      </c>
      <c r="BH1067" s="17" t="s">
        <v>105</v>
      </c>
      <c r="BI1067" s="17"/>
      <c r="BJ1067" s="15"/>
      <c r="BK1067" s="15"/>
      <c r="BL1067" s="13" t="b">
        <v>0</v>
      </c>
      <c r="BM1067" s="10"/>
      <c r="BN1067" s="10" t="s">
        <v>197</v>
      </c>
      <c r="BO1067" s="11">
        <v>45877.600694444445</v>
      </c>
      <c r="BP1067" s="11">
        <v>45877.601400462961</v>
      </c>
      <c r="BQ1067" s="15">
        <v>45891.46056712963</v>
      </c>
      <c r="BR1067" s="15">
        <v>45891.890150462961</v>
      </c>
      <c r="BS1067" s="10" t="s">
        <v>197</v>
      </c>
      <c r="BT1067" s="10" t="s">
        <v>99</v>
      </c>
      <c r="BU1067" s="10" t="s">
        <v>456</v>
      </c>
      <c r="BV1067" s="10"/>
      <c r="BW1067" s="10"/>
      <c r="BX1067" s="10"/>
      <c r="BY1067" s="23"/>
      <c r="BZ1067" s="23"/>
      <c r="CA1067" s="19" t="s">
        <v>8391</v>
      </c>
      <c r="CB1067" s="23"/>
      <c r="CC1067" s="23"/>
      <c r="CD1067" s="19" t="s">
        <v>8392</v>
      </c>
      <c r="CE1067" s="23"/>
      <c r="CF1067" s="23"/>
      <c r="CG1067" s="23"/>
      <c r="CH1067" s="23"/>
      <c r="CI1067" s="23"/>
    </row>
    <row r="1068" spans="1:87" x14ac:dyDescent="0.3">
      <c r="A1068" s="9" t="s">
        <v>8393</v>
      </c>
      <c r="B1068" s="10" t="s">
        <v>8394</v>
      </c>
      <c r="C1068" s="11">
        <v>45892.465277777781</v>
      </c>
      <c r="D1068" s="12">
        <v>4.1666666666666664E-2</v>
      </c>
      <c r="E1068" s="11">
        <v>45892.506944444445</v>
      </c>
      <c r="F1068" s="10" t="s">
        <v>8381</v>
      </c>
      <c r="G1068" s="13" t="b">
        <v>0</v>
      </c>
      <c r="H1068" s="10" t="s">
        <v>8382</v>
      </c>
      <c r="I1068" s="10" t="s">
        <v>8383</v>
      </c>
      <c r="J1068" s="13" t="b">
        <v>0</v>
      </c>
      <c r="K1068" s="13" t="b">
        <v>1</v>
      </c>
      <c r="L1068" s="10" t="s">
        <v>90</v>
      </c>
      <c r="M1068" s="10" t="s">
        <v>91</v>
      </c>
      <c r="N1068" s="10" t="s">
        <v>92</v>
      </c>
      <c r="O1068" s="19" t="s">
        <v>8395</v>
      </c>
      <c r="P1068" s="10"/>
      <c r="Q1068" s="10" t="s">
        <v>126</v>
      </c>
      <c r="R1068" s="10"/>
      <c r="S1068" s="19" t="s">
        <v>8396</v>
      </c>
      <c r="T1068" s="10"/>
      <c r="U1068" s="10"/>
      <c r="V1068" s="10"/>
      <c r="W1068" s="10" t="s">
        <v>8386</v>
      </c>
      <c r="X1068" s="10" t="s">
        <v>8387</v>
      </c>
      <c r="Y1068" s="10" t="s">
        <v>8387</v>
      </c>
      <c r="Z1068" s="10" t="s">
        <v>99</v>
      </c>
      <c r="AA1068" s="10" t="s">
        <v>131</v>
      </c>
      <c r="AB1068" s="10" t="s">
        <v>8388</v>
      </c>
      <c r="AC1068" s="10" t="s">
        <v>8389</v>
      </c>
      <c r="AD1068" s="10" t="s">
        <v>165</v>
      </c>
      <c r="AE1068" s="10" t="s">
        <v>8397</v>
      </c>
      <c r="AF1068" s="15"/>
      <c r="AG1068" s="10"/>
      <c r="AH1068" s="10"/>
      <c r="AI1068" s="10"/>
      <c r="AJ1068" s="10"/>
      <c r="AK1068" s="10" t="s">
        <v>102</v>
      </c>
      <c r="AL1068" s="10"/>
      <c r="AM1068" s="10"/>
      <c r="AN1068" s="10"/>
      <c r="AO1068" s="13" t="b">
        <v>0</v>
      </c>
      <c r="AP1068" s="10" t="s">
        <v>221</v>
      </c>
      <c r="AQ1068" s="10">
        <f ca="1">IFERROR(__xludf.DUMMYFUNCTION("""COMPUTED_VALUE"""),4515962)</f>
        <v>4515962</v>
      </c>
      <c r="AR1068" s="17">
        <v>1738</v>
      </c>
      <c r="AS1068" s="17">
        <v>1581</v>
      </c>
      <c r="AT1068" s="17">
        <v>11469.25</v>
      </c>
      <c r="AU1068" s="17">
        <v>3.9</v>
      </c>
      <c r="AV1068" s="17">
        <v>0.5</v>
      </c>
      <c r="AW1068" s="10" t="s">
        <v>105</v>
      </c>
      <c r="AX1068" s="17">
        <v>386</v>
      </c>
      <c r="AY1068" s="18">
        <v>7.2544275774826064</v>
      </c>
      <c r="AZ1068" s="10" t="s">
        <v>3998</v>
      </c>
      <c r="BA1068" s="20" t="b">
        <v>0</v>
      </c>
      <c r="BB1068" s="10"/>
      <c r="BC1068" s="17">
        <v>1738</v>
      </c>
      <c r="BD1068" s="17">
        <v>1581</v>
      </c>
      <c r="BE1068" s="17">
        <v>11469.25</v>
      </c>
      <c r="BF1068" s="17">
        <v>0.5</v>
      </c>
      <c r="BG1068" s="11">
        <f ca="1">IFERROR(__xludf.DUMMYFUNCTION("""COMPUTED_VALUE"""),45892.4652777777)</f>
        <v>45892.465277777701</v>
      </c>
      <c r="BH1068" s="17" t="s">
        <v>105</v>
      </c>
      <c r="BI1068" s="17"/>
      <c r="BJ1068" s="15"/>
      <c r="BK1068" s="15"/>
      <c r="BL1068" s="13" t="b">
        <v>0</v>
      </c>
      <c r="BM1068" s="10"/>
      <c r="BN1068" s="10" t="s">
        <v>137</v>
      </c>
      <c r="BO1068" s="11">
        <v>45877.600694444445</v>
      </c>
      <c r="BP1068" s="11">
        <v>45877.602013888885</v>
      </c>
      <c r="BQ1068" s="15">
        <v>45891.46025462963</v>
      </c>
      <c r="BR1068" s="15">
        <v>45891.613368055558</v>
      </c>
      <c r="BS1068" s="10" t="s">
        <v>137</v>
      </c>
      <c r="BT1068" s="10"/>
      <c r="BU1068" s="10"/>
      <c r="BV1068" s="10"/>
      <c r="BW1068" s="10"/>
      <c r="BX1068" s="10"/>
      <c r="BY1068" s="23"/>
      <c r="BZ1068" s="23"/>
      <c r="CA1068" s="19" t="s">
        <v>8398</v>
      </c>
      <c r="CB1068" s="23"/>
      <c r="CC1068" s="23"/>
      <c r="CD1068" s="19" t="s">
        <v>8399</v>
      </c>
      <c r="CE1068" s="23"/>
      <c r="CF1068" s="23"/>
      <c r="CG1068" s="23"/>
      <c r="CH1068" s="23"/>
      <c r="CI1068" s="23"/>
    </row>
    <row r="1069" spans="1:87" x14ac:dyDescent="0.3">
      <c r="A1069" s="9" t="s">
        <v>8400</v>
      </c>
      <c r="B1069" s="10" t="s">
        <v>8401</v>
      </c>
      <c r="C1069" s="11">
        <v>45885.791666666664</v>
      </c>
      <c r="D1069" s="12">
        <v>0.14583333333333334</v>
      </c>
      <c r="E1069" s="11">
        <v>45885.9375</v>
      </c>
      <c r="F1069" s="10" t="s">
        <v>8402</v>
      </c>
      <c r="G1069" s="13" t="b">
        <v>0</v>
      </c>
      <c r="H1069" s="10" t="s">
        <v>8403</v>
      </c>
      <c r="I1069" s="10" t="s">
        <v>212</v>
      </c>
      <c r="J1069" s="13" t="b">
        <v>1</v>
      </c>
      <c r="K1069" s="13" t="b">
        <v>0</v>
      </c>
      <c r="L1069" s="10" t="s">
        <v>124</v>
      </c>
      <c r="M1069" s="10" t="s">
        <v>91</v>
      </c>
      <c r="N1069" s="10" t="s">
        <v>92</v>
      </c>
      <c r="O1069" s="19" t="s">
        <v>8404</v>
      </c>
      <c r="P1069" s="10"/>
      <c r="Q1069" s="10" t="s">
        <v>126</v>
      </c>
      <c r="R1069" s="19" t="s">
        <v>8405</v>
      </c>
      <c r="S1069" s="19" t="s">
        <v>8406</v>
      </c>
      <c r="T1069" s="10"/>
      <c r="U1069" s="10"/>
      <c r="V1069" s="10"/>
      <c r="W1069" s="10" t="s">
        <v>8407</v>
      </c>
      <c r="X1069" s="10" t="s">
        <v>8408</v>
      </c>
      <c r="Y1069" s="10" t="s">
        <v>8409</v>
      </c>
      <c r="Z1069" s="10" t="s">
        <v>99</v>
      </c>
      <c r="AA1069" s="10" t="s">
        <v>100</v>
      </c>
      <c r="AB1069" s="10" t="s">
        <v>8410</v>
      </c>
      <c r="AC1069" s="10"/>
      <c r="AD1069" s="10" t="s">
        <v>165</v>
      </c>
      <c r="AE1069" s="10" t="s">
        <v>8411</v>
      </c>
      <c r="AF1069" s="15"/>
      <c r="AG1069" s="10"/>
      <c r="AH1069" s="10"/>
      <c r="AI1069" s="10"/>
      <c r="AJ1069" s="10"/>
      <c r="AK1069" s="10" t="s">
        <v>102</v>
      </c>
      <c r="AL1069" s="10"/>
      <c r="AM1069" s="10"/>
      <c r="AN1069" s="10"/>
      <c r="AO1069" s="13" t="b">
        <v>0</v>
      </c>
      <c r="AP1069" s="10"/>
      <c r="AQ1069" s="10">
        <f ca="1">IFERROR(__xludf.DUMMYFUNCTION("""COMPUTED_VALUE"""),4501537)</f>
        <v>4501537</v>
      </c>
      <c r="AR1069" s="17">
        <v>10191</v>
      </c>
      <c r="AS1069" s="17">
        <v>7993</v>
      </c>
      <c r="AT1069" s="17">
        <v>93009.25</v>
      </c>
      <c r="AU1069" s="17">
        <v>43</v>
      </c>
      <c r="AV1069" s="17">
        <v>11.85</v>
      </c>
      <c r="AW1069" s="10" t="s">
        <v>105</v>
      </c>
      <c r="AX1069" s="17">
        <v>1323</v>
      </c>
      <c r="AY1069" s="18">
        <v>11.636338045790067</v>
      </c>
      <c r="AZ1069" s="10" t="s">
        <v>185</v>
      </c>
      <c r="BA1069" s="20" t="b">
        <v>0</v>
      </c>
      <c r="BB1069" s="10"/>
      <c r="BC1069" s="17">
        <v>10191</v>
      </c>
      <c r="BD1069" s="17">
        <v>7993</v>
      </c>
      <c r="BE1069" s="17">
        <v>93009.25</v>
      </c>
      <c r="BF1069" s="17">
        <v>11.85</v>
      </c>
      <c r="BG1069" s="11">
        <f ca="1">IFERROR(__xludf.DUMMYFUNCTION("""COMPUTED_VALUE"""),45885.7916666666)</f>
        <v>45885.791666666599</v>
      </c>
      <c r="BH1069" s="17" t="s">
        <v>105</v>
      </c>
      <c r="BI1069" s="17"/>
      <c r="BJ1069" s="15"/>
      <c r="BK1069" s="15"/>
      <c r="BL1069" s="13" t="b">
        <v>0</v>
      </c>
      <c r="BM1069" s="10"/>
      <c r="BN1069" s="10" t="s">
        <v>118</v>
      </c>
      <c r="BO1069" s="11">
        <v>45880.621527777781</v>
      </c>
      <c r="BP1069" s="11">
        <v>45882.600925925923</v>
      </c>
      <c r="BQ1069" s="15">
        <v>45884.601331018515</v>
      </c>
      <c r="BR1069" s="15">
        <v>45884.641111111108</v>
      </c>
      <c r="BS1069" s="10" t="s">
        <v>118</v>
      </c>
      <c r="BT1069" s="10"/>
      <c r="BU1069" s="10"/>
      <c r="BV1069" s="10"/>
      <c r="BW1069" s="10"/>
      <c r="BX1069" s="10"/>
      <c r="BY1069" s="23"/>
      <c r="BZ1069" s="23"/>
      <c r="CA1069" s="19" t="s">
        <v>8412</v>
      </c>
      <c r="CB1069" s="23"/>
      <c r="CC1069" s="23"/>
      <c r="CD1069" s="19" t="s">
        <v>8413</v>
      </c>
      <c r="CE1069" s="23"/>
      <c r="CF1069" s="23"/>
      <c r="CG1069" s="23"/>
      <c r="CH1069" s="23"/>
      <c r="CI1069" s="23"/>
    </row>
    <row r="1070" spans="1:87" x14ac:dyDescent="0.3">
      <c r="A1070" s="9" t="s">
        <v>8414</v>
      </c>
      <c r="B1070" s="10" t="s">
        <v>8415</v>
      </c>
      <c r="C1070" s="11">
        <v>45892.791666666664</v>
      </c>
      <c r="D1070" s="12">
        <v>0.14583333333333334</v>
      </c>
      <c r="E1070" s="11">
        <v>45892.9375</v>
      </c>
      <c r="F1070" s="10" t="s">
        <v>8402</v>
      </c>
      <c r="G1070" s="13" t="b">
        <v>0</v>
      </c>
      <c r="H1070" s="10" t="s">
        <v>8403</v>
      </c>
      <c r="I1070" s="10" t="s">
        <v>212</v>
      </c>
      <c r="J1070" s="13" t="b">
        <v>1</v>
      </c>
      <c r="K1070" s="13" t="b">
        <v>0</v>
      </c>
      <c r="L1070" s="10" t="s">
        <v>124</v>
      </c>
      <c r="M1070" s="10" t="s">
        <v>91</v>
      </c>
      <c r="N1070" s="10" t="s">
        <v>92</v>
      </c>
      <c r="O1070" s="19" t="s">
        <v>8416</v>
      </c>
      <c r="P1070" s="10"/>
      <c r="Q1070" s="10" t="s">
        <v>126</v>
      </c>
      <c r="R1070" s="19" t="s">
        <v>8405</v>
      </c>
      <c r="S1070" s="19" t="s">
        <v>8417</v>
      </c>
      <c r="T1070" s="10"/>
      <c r="U1070" s="10"/>
      <c r="V1070" s="10"/>
      <c r="W1070" s="10" t="s">
        <v>8407</v>
      </c>
      <c r="X1070" s="10" t="s">
        <v>8408</v>
      </c>
      <c r="Y1070" s="10" t="s">
        <v>8409</v>
      </c>
      <c r="Z1070" s="10" t="s">
        <v>99</v>
      </c>
      <c r="AA1070" s="10" t="s">
        <v>100</v>
      </c>
      <c r="AB1070" s="10" t="s">
        <v>8410</v>
      </c>
      <c r="AC1070" s="10"/>
      <c r="AD1070" s="10" t="s">
        <v>165</v>
      </c>
      <c r="AE1070" s="10" t="s">
        <v>8418</v>
      </c>
      <c r="AF1070" s="15"/>
      <c r="AG1070" s="10"/>
      <c r="AH1070" s="10"/>
      <c r="AI1070" s="10"/>
      <c r="AJ1070" s="10"/>
      <c r="AK1070" s="10" t="s">
        <v>102</v>
      </c>
      <c r="AL1070" s="10"/>
      <c r="AM1070" s="10"/>
      <c r="AN1070" s="10"/>
      <c r="AO1070" s="13" t="b">
        <v>0</v>
      </c>
      <c r="AP1070" s="10"/>
      <c r="AQ1070" s="10">
        <f ca="1">IFERROR(__xludf.DUMMYFUNCTION("""COMPUTED_VALUE"""),4512819)</f>
        <v>4512819</v>
      </c>
      <c r="AR1070" s="17">
        <v>9262</v>
      </c>
      <c r="AS1070" s="17">
        <v>6981</v>
      </c>
      <c r="AT1070" s="17">
        <v>86675.75</v>
      </c>
      <c r="AU1070" s="17">
        <v>23.95</v>
      </c>
      <c r="AV1070" s="17">
        <v>5.55</v>
      </c>
      <c r="AW1070" s="10" t="s">
        <v>105</v>
      </c>
      <c r="AX1070" s="17">
        <v>1245</v>
      </c>
      <c r="AY1070" s="18">
        <v>12.415950436900157</v>
      </c>
      <c r="AZ1070" s="10" t="s">
        <v>3783</v>
      </c>
      <c r="BA1070" s="20" t="b">
        <v>0</v>
      </c>
      <c r="BB1070" s="10"/>
      <c r="BC1070" s="17">
        <v>9262</v>
      </c>
      <c r="BD1070" s="17">
        <v>6981</v>
      </c>
      <c r="BE1070" s="17">
        <v>86675.75</v>
      </c>
      <c r="BF1070" s="17">
        <v>5.55</v>
      </c>
      <c r="BG1070" s="11">
        <f ca="1">IFERROR(__xludf.DUMMYFUNCTION("""COMPUTED_VALUE"""),45892.7916666666)</f>
        <v>45892.791666666599</v>
      </c>
      <c r="BH1070" s="17" t="s">
        <v>105</v>
      </c>
      <c r="BI1070" s="17"/>
      <c r="BJ1070" s="15"/>
      <c r="BK1070" s="15"/>
      <c r="BL1070" s="13" t="b">
        <v>0</v>
      </c>
      <c r="BM1070" s="10"/>
      <c r="BN1070" s="10" t="s">
        <v>118</v>
      </c>
      <c r="BO1070" s="11">
        <v>45880.623611111114</v>
      </c>
      <c r="BP1070" s="11">
        <v>45882.601203703707</v>
      </c>
      <c r="BQ1070" s="15">
        <v>45889.462245370371</v>
      </c>
      <c r="BR1070" s="15">
        <v>45889.559282407405</v>
      </c>
      <c r="BS1070" s="10" t="s">
        <v>118</v>
      </c>
      <c r="BT1070" s="10"/>
      <c r="BU1070" s="10"/>
      <c r="BV1070" s="10"/>
      <c r="BW1070" s="10"/>
      <c r="BX1070" s="10"/>
      <c r="BY1070" s="23"/>
      <c r="BZ1070" s="23"/>
      <c r="CA1070" s="19" t="s">
        <v>8419</v>
      </c>
      <c r="CB1070" s="23"/>
      <c r="CC1070" s="23"/>
      <c r="CD1070" s="19" t="s">
        <v>8420</v>
      </c>
      <c r="CE1070" s="23"/>
      <c r="CF1070" s="23"/>
      <c r="CG1070" s="23"/>
      <c r="CH1070" s="23"/>
      <c r="CI1070" s="23"/>
    </row>
    <row r="1071" spans="1:87" x14ac:dyDescent="0.3">
      <c r="A1071" s="9" t="s">
        <v>8421</v>
      </c>
      <c r="B1071" s="10" t="s">
        <v>8422</v>
      </c>
      <c r="C1071" s="11">
        <v>45885.770833333336</v>
      </c>
      <c r="D1071" s="12">
        <v>8.3333333333333329E-2</v>
      </c>
      <c r="E1071" s="11">
        <v>45885.854166666664</v>
      </c>
      <c r="F1071" s="10" t="s">
        <v>7613</v>
      </c>
      <c r="G1071" s="13" t="b">
        <v>0</v>
      </c>
      <c r="H1071" s="10" t="s">
        <v>88</v>
      </c>
      <c r="I1071" s="10" t="s">
        <v>89</v>
      </c>
      <c r="J1071" s="13" t="b">
        <v>0</v>
      </c>
      <c r="K1071" s="13" t="b">
        <v>1</v>
      </c>
      <c r="L1071" s="10" t="s">
        <v>124</v>
      </c>
      <c r="M1071" s="10" t="s">
        <v>91</v>
      </c>
      <c r="N1071" s="10" t="s">
        <v>265</v>
      </c>
      <c r="O1071" s="19" t="s">
        <v>8423</v>
      </c>
      <c r="P1071" s="10"/>
      <c r="Q1071" s="10" t="s">
        <v>94</v>
      </c>
      <c r="R1071" s="10"/>
      <c r="S1071" s="19" t="s">
        <v>8424</v>
      </c>
      <c r="T1071" s="19" t="s">
        <v>8425</v>
      </c>
      <c r="U1071" s="10" t="s">
        <v>7633</v>
      </c>
      <c r="V1071" s="10" t="s">
        <v>8426</v>
      </c>
      <c r="W1071" s="10" t="s">
        <v>7620</v>
      </c>
      <c r="X1071" s="10" t="s">
        <v>130</v>
      </c>
      <c r="Y1071" s="10" t="s">
        <v>130</v>
      </c>
      <c r="Z1071" s="10" t="s">
        <v>99</v>
      </c>
      <c r="AA1071" s="10" t="s">
        <v>131</v>
      </c>
      <c r="AB1071" s="10" t="s">
        <v>7621</v>
      </c>
      <c r="AC1071" s="10" t="s">
        <v>274</v>
      </c>
      <c r="AD1071" s="10" t="s">
        <v>8427</v>
      </c>
      <c r="AE1071" s="10" t="s">
        <v>8428</v>
      </c>
      <c r="AF1071" s="15"/>
      <c r="AG1071" s="10"/>
      <c r="AH1071" s="10"/>
      <c r="AI1071" s="10"/>
      <c r="AJ1071" s="10"/>
      <c r="AK1071" s="10" t="s">
        <v>102</v>
      </c>
      <c r="AL1071" s="10" t="s">
        <v>116</v>
      </c>
      <c r="AM1071" s="10"/>
      <c r="AN1071" s="10"/>
      <c r="AO1071" s="13" t="b">
        <v>0</v>
      </c>
      <c r="AP1071" s="10" t="s">
        <v>104</v>
      </c>
      <c r="AQ1071" s="10">
        <f ca="1">IFERROR(__xludf.DUMMYFUNCTION("""COMPUTED_VALUE"""),4501539)</f>
        <v>4501539</v>
      </c>
      <c r="AR1071" s="17">
        <v>9178</v>
      </c>
      <c r="AS1071" s="17">
        <v>7338</v>
      </c>
      <c r="AT1071" s="17">
        <v>37673.25</v>
      </c>
      <c r="AU1071" s="17">
        <v>22.8</v>
      </c>
      <c r="AV1071" s="17">
        <v>9.75</v>
      </c>
      <c r="AW1071" s="10" t="s">
        <v>105</v>
      </c>
      <c r="AX1071" s="17">
        <v>1351</v>
      </c>
      <c r="AY1071" s="18">
        <v>5.1339942763695827</v>
      </c>
      <c r="AZ1071" s="10" t="s">
        <v>106</v>
      </c>
      <c r="BA1071" s="20" t="b">
        <v>0</v>
      </c>
      <c r="BB1071" s="10"/>
      <c r="BC1071" s="17">
        <v>9178</v>
      </c>
      <c r="BD1071" s="17">
        <v>7338</v>
      </c>
      <c r="BE1071" s="17">
        <v>37673.25</v>
      </c>
      <c r="BF1071" s="17">
        <v>9.75</v>
      </c>
      <c r="BG1071" s="11">
        <f ca="1">IFERROR(__xludf.DUMMYFUNCTION("""COMPUTED_VALUE"""),45885.7708333333)</f>
        <v>45885.770833333299</v>
      </c>
      <c r="BH1071" s="17" t="s">
        <v>105</v>
      </c>
      <c r="BI1071" s="17"/>
      <c r="BJ1071" s="15"/>
      <c r="BK1071" s="15"/>
      <c r="BL1071" s="13" t="b">
        <v>0</v>
      </c>
      <c r="BM1071" s="10"/>
      <c r="BN1071" s="10" t="s">
        <v>118</v>
      </c>
      <c r="BO1071" s="11">
        <v>45880.643750000003</v>
      </c>
      <c r="BP1071" s="11">
        <v>45880.644247685188</v>
      </c>
      <c r="BQ1071" s="15">
        <v>45884.617164351854</v>
      </c>
      <c r="BR1071" s="15">
        <v>45884.649722222224</v>
      </c>
      <c r="BS1071" s="10" t="s">
        <v>118</v>
      </c>
      <c r="BT1071" s="10" t="s">
        <v>99</v>
      </c>
      <c r="BU1071" s="10" t="s">
        <v>793</v>
      </c>
      <c r="BV1071" s="10"/>
      <c r="BW1071" s="10"/>
      <c r="BX1071" s="10"/>
      <c r="BY1071" s="23"/>
      <c r="BZ1071" s="23"/>
      <c r="CA1071" s="19" t="s">
        <v>8429</v>
      </c>
      <c r="CB1071" s="19" t="s">
        <v>8430</v>
      </c>
      <c r="CC1071" s="23"/>
      <c r="CD1071" s="23"/>
      <c r="CE1071" s="23"/>
      <c r="CF1071" s="23"/>
      <c r="CG1071" s="23"/>
      <c r="CH1071" s="23"/>
      <c r="CI1071" s="23"/>
    </row>
    <row r="1072" spans="1:87" x14ac:dyDescent="0.3">
      <c r="A1072" s="9" t="s">
        <v>8431</v>
      </c>
      <c r="B1072" s="10" t="s">
        <v>8432</v>
      </c>
      <c r="C1072" s="11">
        <v>45886.75</v>
      </c>
      <c r="D1072" s="12">
        <v>8.3333333333333329E-2</v>
      </c>
      <c r="E1072" s="11">
        <v>45886.833333333336</v>
      </c>
      <c r="F1072" s="10" t="s">
        <v>7613</v>
      </c>
      <c r="G1072" s="13" t="b">
        <v>0</v>
      </c>
      <c r="H1072" s="10" t="s">
        <v>3215</v>
      </c>
      <c r="I1072" s="10" t="s">
        <v>89</v>
      </c>
      <c r="J1072" s="13" t="b">
        <v>0</v>
      </c>
      <c r="K1072" s="13" t="b">
        <v>1</v>
      </c>
      <c r="L1072" s="10" t="s">
        <v>124</v>
      </c>
      <c r="M1072" s="10" t="s">
        <v>91</v>
      </c>
      <c r="N1072" s="10" t="s">
        <v>265</v>
      </c>
      <c r="O1072" s="19" t="s">
        <v>8433</v>
      </c>
      <c r="P1072" s="10"/>
      <c r="Q1072" s="10" t="s">
        <v>126</v>
      </c>
      <c r="R1072" s="10"/>
      <c r="S1072" s="19" t="s">
        <v>8434</v>
      </c>
      <c r="T1072" s="19" t="s">
        <v>8425</v>
      </c>
      <c r="U1072" s="10" t="s">
        <v>7619</v>
      </c>
      <c r="V1072" s="10" t="s">
        <v>7632</v>
      </c>
      <c r="W1072" s="10" t="s">
        <v>7620</v>
      </c>
      <c r="X1072" s="10" t="s">
        <v>130</v>
      </c>
      <c r="Y1072" s="10" t="s">
        <v>130</v>
      </c>
      <c r="Z1072" s="10" t="s">
        <v>99</v>
      </c>
      <c r="AA1072" s="10" t="s">
        <v>131</v>
      </c>
      <c r="AB1072" s="10" t="s">
        <v>7621</v>
      </c>
      <c r="AC1072" s="10" t="s">
        <v>274</v>
      </c>
      <c r="AD1072" s="10" t="s">
        <v>8435</v>
      </c>
      <c r="AE1072" s="10" t="s">
        <v>8436</v>
      </c>
      <c r="AF1072" s="15"/>
      <c r="AG1072" s="10"/>
      <c r="AH1072" s="10"/>
      <c r="AI1072" s="10"/>
      <c r="AJ1072" s="10"/>
      <c r="AK1072" s="10" t="s">
        <v>102</v>
      </c>
      <c r="AL1072" s="10" t="s">
        <v>116</v>
      </c>
      <c r="AM1072" s="10"/>
      <c r="AN1072" s="10"/>
      <c r="AO1072" s="13" t="b">
        <v>0</v>
      </c>
      <c r="AP1072" s="10" t="s">
        <v>104</v>
      </c>
      <c r="AQ1072" s="10">
        <f ca="1">IFERROR(__xludf.DUMMYFUNCTION("""COMPUTED_VALUE"""),4501546)</f>
        <v>4501546</v>
      </c>
      <c r="AR1072" s="17">
        <v>27150</v>
      </c>
      <c r="AS1072" s="17">
        <v>21200</v>
      </c>
      <c r="AT1072" s="17">
        <v>238601</v>
      </c>
      <c r="AU1072" s="17">
        <v>261.55</v>
      </c>
      <c r="AV1072" s="17">
        <v>124</v>
      </c>
      <c r="AW1072" s="10" t="s">
        <v>105</v>
      </c>
      <c r="AX1072" s="17">
        <v>4925</v>
      </c>
      <c r="AY1072" s="18">
        <v>11.254764150943396</v>
      </c>
      <c r="AZ1072" s="10" t="s">
        <v>106</v>
      </c>
      <c r="BA1072" s="20" t="b">
        <v>0</v>
      </c>
      <c r="BB1072" s="10"/>
      <c r="BC1072" s="17">
        <v>27150</v>
      </c>
      <c r="BD1072" s="17">
        <v>21200</v>
      </c>
      <c r="BE1072" s="17">
        <v>238601</v>
      </c>
      <c r="BF1072" s="17">
        <v>124</v>
      </c>
      <c r="BG1072" s="11">
        <f ca="1">IFERROR(__xludf.DUMMYFUNCTION("""COMPUTED_VALUE"""),45886.75)</f>
        <v>45886.75</v>
      </c>
      <c r="BH1072" s="17" t="s">
        <v>105</v>
      </c>
      <c r="BI1072" s="17"/>
      <c r="BJ1072" s="15"/>
      <c r="BK1072" s="15"/>
      <c r="BL1072" s="13" t="b">
        <v>0</v>
      </c>
      <c r="BM1072" s="10" t="s">
        <v>107</v>
      </c>
      <c r="BN1072" s="10" t="s">
        <v>8437</v>
      </c>
      <c r="BO1072" s="11">
        <v>45880.649305555555</v>
      </c>
      <c r="BP1072" s="11">
        <v>45886.768206018518</v>
      </c>
      <c r="BQ1072" s="15">
        <v>45884.617430555554</v>
      </c>
      <c r="BR1072" s="15">
        <v>45884.655682870369</v>
      </c>
      <c r="BS1072" s="10"/>
      <c r="BT1072" s="10" t="s">
        <v>99</v>
      </c>
      <c r="BU1072" s="10" t="s">
        <v>816</v>
      </c>
      <c r="BV1072" s="10"/>
      <c r="BW1072" s="10"/>
      <c r="BX1072" s="10"/>
      <c r="BY1072" s="23"/>
      <c r="BZ1072" s="23"/>
      <c r="CA1072" s="19" t="s">
        <v>8438</v>
      </c>
      <c r="CB1072" s="19" t="s">
        <v>8439</v>
      </c>
      <c r="CC1072" s="23"/>
      <c r="CD1072" s="19" t="s">
        <v>8440</v>
      </c>
      <c r="CE1072" s="23"/>
      <c r="CF1072" s="23"/>
      <c r="CG1072" s="23"/>
      <c r="CH1072" s="23"/>
      <c r="CI1072" s="23"/>
    </row>
    <row r="1073" spans="1:87" x14ac:dyDescent="0.3">
      <c r="A1073" s="9" t="s">
        <v>8441</v>
      </c>
      <c r="B1073" s="10" t="s">
        <v>8442</v>
      </c>
      <c r="C1073" s="11">
        <v>45892.895833333336</v>
      </c>
      <c r="D1073" s="12">
        <v>8.3333333333333329E-2</v>
      </c>
      <c r="E1073" s="11">
        <v>45892.979166666664</v>
      </c>
      <c r="F1073" s="10" t="s">
        <v>3687</v>
      </c>
      <c r="G1073" s="13" t="b">
        <v>0</v>
      </c>
      <c r="H1073" s="10" t="s">
        <v>3478</v>
      </c>
      <c r="I1073" s="10" t="s">
        <v>89</v>
      </c>
      <c r="J1073" s="13" t="b">
        <v>0</v>
      </c>
      <c r="K1073" s="13" t="b">
        <v>1</v>
      </c>
      <c r="L1073" s="10" t="s">
        <v>124</v>
      </c>
      <c r="M1073" s="10" t="s">
        <v>91</v>
      </c>
      <c r="N1073" s="10" t="s">
        <v>92</v>
      </c>
      <c r="O1073" s="19" t="s">
        <v>8443</v>
      </c>
      <c r="P1073" s="10"/>
      <c r="Q1073" s="10" t="s">
        <v>126</v>
      </c>
      <c r="R1073" s="10"/>
      <c r="S1073" s="19" t="s">
        <v>8444</v>
      </c>
      <c r="T1073" s="19" t="s">
        <v>8445</v>
      </c>
      <c r="U1073" s="10" t="s">
        <v>4993</v>
      </c>
      <c r="V1073" s="10" t="s">
        <v>3705</v>
      </c>
      <c r="W1073" s="10" t="s">
        <v>3692</v>
      </c>
      <c r="X1073" s="10" t="s">
        <v>130</v>
      </c>
      <c r="Y1073" s="10" t="s">
        <v>130</v>
      </c>
      <c r="Z1073" s="10" t="s">
        <v>99</v>
      </c>
      <c r="AA1073" s="10" t="s">
        <v>131</v>
      </c>
      <c r="AB1073" s="10" t="s">
        <v>3693</v>
      </c>
      <c r="AC1073" s="10" t="s">
        <v>3694</v>
      </c>
      <c r="AD1073" s="10" t="s">
        <v>8446</v>
      </c>
      <c r="AE1073" s="10" t="s">
        <v>8447</v>
      </c>
      <c r="AF1073" s="15"/>
      <c r="AG1073" s="10"/>
      <c r="AH1073" s="10"/>
      <c r="AI1073" s="10"/>
      <c r="AJ1073" s="10" t="s">
        <v>8448</v>
      </c>
      <c r="AK1073" s="10" t="s">
        <v>102</v>
      </c>
      <c r="AL1073" s="10" t="s">
        <v>147</v>
      </c>
      <c r="AM1073" s="10"/>
      <c r="AN1073" s="10"/>
      <c r="AO1073" s="13" t="b">
        <v>0</v>
      </c>
      <c r="AP1073" s="10" t="s">
        <v>104</v>
      </c>
      <c r="AQ1073" s="10">
        <f ca="1">IFERROR(__xludf.DUMMYFUNCTION("""COMPUTED_VALUE"""),4516120)</f>
        <v>4516120</v>
      </c>
      <c r="AR1073" s="17">
        <v>19872</v>
      </c>
      <c r="AS1073" s="17">
        <v>14650</v>
      </c>
      <c r="AT1073" s="17">
        <v>235732.25</v>
      </c>
      <c r="AU1073" s="17">
        <v>156.5</v>
      </c>
      <c r="AV1073" s="17">
        <v>69.95</v>
      </c>
      <c r="AW1073" s="10" t="s">
        <v>105</v>
      </c>
      <c r="AX1073" s="17">
        <v>3554</v>
      </c>
      <c r="AY1073" s="18">
        <v>16.0909385665529</v>
      </c>
      <c r="AZ1073" s="10" t="s">
        <v>148</v>
      </c>
      <c r="BA1073" s="20" t="b">
        <v>0</v>
      </c>
      <c r="BB1073" s="10"/>
      <c r="BC1073" s="17">
        <v>19872</v>
      </c>
      <c r="BD1073" s="17">
        <v>14650</v>
      </c>
      <c r="BE1073" s="17">
        <v>235732.25</v>
      </c>
      <c r="BF1073" s="17">
        <v>69.95</v>
      </c>
      <c r="BG1073" s="11">
        <f ca="1">IFERROR(__xludf.DUMMYFUNCTION("""COMPUTED_VALUE"""),45892.8958333333)</f>
        <v>45892.895833333299</v>
      </c>
      <c r="BH1073" s="17" t="s">
        <v>105</v>
      </c>
      <c r="BI1073" s="17"/>
      <c r="BJ1073" s="15"/>
      <c r="BK1073" s="15"/>
      <c r="BL1073" s="13" t="b">
        <v>0</v>
      </c>
      <c r="BM1073" s="10"/>
      <c r="BN1073" s="10" t="s">
        <v>197</v>
      </c>
      <c r="BO1073" s="11">
        <v>45881.700694444444</v>
      </c>
      <c r="BP1073" s="11">
        <v>45890.553113425929</v>
      </c>
      <c r="BQ1073" s="15">
        <v>45891.510821759257</v>
      </c>
      <c r="BR1073" s="15">
        <v>45891.886608796296</v>
      </c>
      <c r="BS1073" s="10" t="s">
        <v>197</v>
      </c>
      <c r="BT1073" s="10" t="s">
        <v>279</v>
      </c>
      <c r="BU1073" s="10" t="s">
        <v>521</v>
      </c>
      <c r="BV1073" s="10"/>
      <c r="BW1073" s="10"/>
      <c r="BX1073" s="10"/>
      <c r="BY1073" s="23"/>
      <c r="BZ1073" s="23"/>
      <c r="CA1073" s="19" t="s">
        <v>8449</v>
      </c>
      <c r="CB1073" s="19" t="s">
        <v>8450</v>
      </c>
      <c r="CC1073" s="23"/>
      <c r="CD1073" s="19" t="s">
        <v>8451</v>
      </c>
      <c r="CE1073" s="23"/>
      <c r="CF1073" s="23"/>
      <c r="CG1073" s="23"/>
      <c r="CH1073" s="23"/>
      <c r="CI1073" s="23"/>
    </row>
    <row r="1074" spans="1:87" x14ac:dyDescent="0.3">
      <c r="A1074" s="9" t="s">
        <v>8452</v>
      </c>
      <c r="B1074" s="10" t="s">
        <v>8453</v>
      </c>
      <c r="C1074" s="11">
        <v>45892.989583333336</v>
      </c>
      <c r="D1074" s="12">
        <v>8.3333333333333329E-2</v>
      </c>
      <c r="E1074" s="11">
        <v>45893.072916666664</v>
      </c>
      <c r="F1074" s="10" t="s">
        <v>3687</v>
      </c>
      <c r="G1074" s="13" t="b">
        <v>0</v>
      </c>
      <c r="H1074" s="10" t="s">
        <v>3478</v>
      </c>
      <c r="I1074" s="10" t="s">
        <v>89</v>
      </c>
      <c r="J1074" s="13" t="b">
        <v>0</v>
      </c>
      <c r="K1074" s="13" t="b">
        <v>1</v>
      </c>
      <c r="L1074" s="10" t="s">
        <v>124</v>
      </c>
      <c r="M1074" s="10" t="s">
        <v>91</v>
      </c>
      <c r="N1074" s="10" t="s">
        <v>92</v>
      </c>
      <c r="O1074" s="19" t="s">
        <v>8454</v>
      </c>
      <c r="P1074" s="10"/>
      <c r="Q1074" s="10" t="s">
        <v>126</v>
      </c>
      <c r="R1074" s="10"/>
      <c r="S1074" s="19" t="s">
        <v>8455</v>
      </c>
      <c r="T1074" s="19" t="s">
        <v>8445</v>
      </c>
      <c r="U1074" s="10" t="s">
        <v>3704</v>
      </c>
      <c r="V1074" s="10" t="s">
        <v>3728</v>
      </c>
      <c r="W1074" s="10" t="s">
        <v>3692</v>
      </c>
      <c r="X1074" s="10" t="s">
        <v>130</v>
      </c>
      <c r="Y1074" s="10" t="s">
        <v>130</v>
      </c>
      <c r="Z1074" s="10" t="s">
        <v>99</v>
      </c>
      <c r="AA1074" s="10" t="s">
        <v>131</v>
      </c>
      <c r="AB1074" s="10" t="s">
        <v>3693</v>
      </c>
      <c r="AC1074" s="10" t="s">
        <v>3694</v>
      </c>
      <c r="AD1074" s="10" t="s">
        <v>8456</v>
      </c>
      <c r="AE1074" s="10" t="s">
        <v>8457</v>
      </c>
      <c r="AF1074" s="15"/>
      <c r="AG1074" s="10"/>
      <c r="AH1074" s="10"/>
      <c r="AI1074" s="10"/>
      <c r="AJ1074" s="10" t="s">
        <v>8458</v>
      </c>
      <c r="AK1074" s="10" t="s">
        <v>102</v>
      </c>
      <c r="AL1074" s="10" t="s">
        <v>147</v>
      </c>
      <c r="AM1074" s="10"/>
      <c r="AN1074" s="10"/>
      <c r="AO1074" s="13" t="b">
        <v>0</v>
      </c>
      <c r="AP1074" s="10" t="s">
        <v>104</v>
      </c>
      <c r="AQ1074" s="10">
        <f ca="1">IFERROR(__xludf.DUMMYFUNCTION("""COMPUTED_VALUE"""),4516118)</f>
        <v>4516118</v>
      </c>
      <c r="AR1074" s="17">
        <v>7150</v>
      </c>
      <c r="AS1074" s="17">
        <v>5688</v>
      </c>
      <c r="AT1074" s="17">
        <v>67213</v>
      </c>
      <c r="AU1074" s="17">
        <v>16.399999999999999</v>
      </c>
      <c r="AV1074" s="17">
        <v>4.55</v>
      </c>
      <c r="AW1074" s="10" t="s">
        <v>105</v>
      </c>
      <c r="AX1074" s="17">
        <v>1936</v>
      </c>
      <c r="AY1074" s="18">
        <v>11.816631504922643</v>
      </c>
      <c r="AZ1074" s="10" t="s">
        <v>148</v>
      </c>
      <c r="BA1074" s="20" t="b">
        <v>0</v>
      </c>
      <c r="BB1074" s="10"/>
      <c r="BC1074" s="17">
        <v>7150</v>
      </c>
      <c r="BD1074" s="17">
        <v>5688</v>
      </c>
      <c r="BE1074" s="17">
        <v>67213</v>
      </c>
      <c r="BF1074" s="17">
        <v>4.55</v>
      </c>
      <c r="BG1074" s="11">
        <f ca="1">IFERROR(__xludf.DUMMYFUNCTION("""COMPUTED_VALUE"""),45892.9895833333)</f>
        <v>45892.989583333299</v>
      </c>
      <c r="BH1074" s="17" t="s">
        <v>105</v>
      </c>
      <c r="BI1074" s="17"/>
      <c r="BJ1074" s="15"/>
      <c r="BK1074" s="15"/>
      <c r="BL1074" s="13" t="b">
        <v>0</v>
      </c>
      <c r="BM1074" s="10"/>
      <c r="BN1074" s="10" t="s">
        <v>1057</v>
      </c>
      <c r="BO1074" s="11">
        <v>45881.701388888891</v>
      </c>
      <c r="BP1074" s="11">
        <v>45890.553877314815</v>
      </c>
      <c r="BQ1074" s="15">
        <v>45891.511006944442</v>
      </c>
      <c r="BR1074" s="15">
        <v>45891.886712962965</v>
      </c>
      <c r="BS1074" s="10"/>
      <c r="BT1074" s="10" t="s">
        <v>279</v>
      </c>
      <c r="BU1074" s="10"/>
      <c r="BV1074" s="10"/>
      <c r="BW1074" s="10"/>
      <c r="BX1074" s="10"/>
      <c r="BY1074" s="23"/>
      <c r="BZ1074" s="23"/>
      <c r="CA1074" s="19" t="s">
        <v>8459</v>
      </c>
      <c r="CB1074" s="19" t="s">
        <v>8460</v>
      </c>
      <c r="CC1074" s="23"/>
      <c r="CD1074" s="19" t="s">
        <v>8461</v>
      </c>
      <c r="CE1074" s="23"/>
      <c r="CF1074" s="23"/>
      <c r="CG1074" s="23"/>
      <c r="CH1074" s="23"/>
      <c r="CI1074" s="23"/>
    </row>
    <row r="1075" spans="1:87" x14ac:dyDescent="0.3">
      <c r="A1075" s="9" t="s">
        <v>8462</v>
      </c>
      <c r="B1075" s="10" t="s">
        <v>8463</v>
      </c>
      <c r="C1075" s="11">
        <v>45925.041666666664</v>
      </c>
      <c r="D1075" s="12">
        <v>8.3333333333333329E-2</v>
      </c>
      <c r="E1075" s="11">
        <v>45925.125</v>
      </c>
      <c r="F1075" s="10" t="s">
        <v>3687</v>
      </c>
      <c r="G1075" s="13" t="b">
        <v>0</v>
      </c>
      <c r="H1075" s="10" t="s">
        <v>8464</v>
      </c>
      <c r="I1075" s="10" t="s">
        <v>89</v>
      </c>
      <c r="J1075" s="13" t="b">
        <v>0</v>
      </c>
      <c r="K1075" s="13" t="b">
        <v>1</v>
      </c>
      <c r="L1075" s="10" t="s">
        <v>124</v>
      </c>
      <c r="M1075" s="10" t="s">
        <v>91</v>
      </c>
      <c r="N1075" s="10" t="s">
        <v>92</v>
      </c>
      <c r="O1075" s="19" t="s">
        <v>8465</v>
      </c>
      <c r="P1075" s="10"/>
      <c r="Q1075" s="10" t="s">
        <v>126</v>
      </c>
      <c r="R1075" s="10"/>
      <c r="S1075" s="19" t="s">
        <v>8466</v>
      </c>
      <c r="T1075" s="19" t="s">
        <v>8467</v>
      </c>
      <c r="U1075" s="10" t="s">
        <v>3727</v>
      </c>
      <c r="V1075" s="10" t="s">
        <v>8468</v>
      </c>
      <c r="W1075" s="10" t="s">
        <v>3692</v>
      </c>
      <c r="X1075" s="10" t="s">
        <v>130</v>
      </c>
      <c r="Y1075" s="10" t="s">
        <v>130</v>
      </c>
      <c r="Z1075" s="10" t="s">
        <v>99</v>
      </c>
      <c r="AA1075" s="10" t="s">
        <v>131</v>
      </c>
      <c r="AB1075" s="10" t="s">
        <v>3693</v>
      </c>
      <c r="AC1075" s="10" t="s">
        <v>3694</v>
      </c>
      <c r="AD1075" s="10" t="s">
        <v>8469</v>
      </c>
      <c r="AE1075" s="10" t="s">
        <v>8470</v>
      </c>
      <c r="AF1075" s="15"/>
      <c r="AG1075" s="10"/>
      <c r="AH1075" s="10"/>
      <c r="AI1075" s="10"/>
      <c r="AJ1075" s="10"/>
      <c r="AK1075" s="10" t="s">
        <v>102</v>
      </c>
      <c r="AL1075" s="10" t="s">
        <v>147</v>
      </c>
      <c r="AM1075" s="10"/>
      <c r="AN1075" s="10"/>
      <c r="AO1075" s="13" t="b">
        <v>0</v>
      </c>
      <c r="AP1075" s="10" t="s">
        <v>104</v>
      </c>
      <c r="AQ1075" s="10">
        <f ca="1">IFERROR(__xludf.DUMMYFUNCTION("""COMPUTED_VALUE"""),4590186)</f>
        <v>4590186</v>
      </c>
      <c r="AR1075" s="17">
        <v>2923</v>
      </c>
      <c r="AS1075" s="17">
        <v>2215</v>
      </c>
      <c r="AT1075" s="17">
        <v>30939.5</v>
      </c>
      <c r="AU1075" s="17">
        <v>3.45</v>
      </c>
      <c r="AV1075" s="17">
        <v>1.45</v>
      </c>
      <c r="AW1075" s="10" t="s">
        <v>105</v>
      </c>
      <c r="AX1075" s="17">
        <v>570</v>
      </c>
      <c r="AY1075" s="18">
        <v>13.968171557562076</v>
      </c>
      <c r="AZ1075" s="10" t="s">
        <v>3783</v>
      </c>
      <c r="BA1075" s="20" t="b">
        <v>0</v>
      </c>
      <c r="BB1075" s="10"/>
      <c r="BC1075" s="17">
        <v>2923</v>
      </c>
      <c r="BD1075" s="17">
        <v>2215</v>
      </c>
      <c r="BE1075" s="17">
        <v>30939.5</v>
      </c>
      <c r="BF1075" s="17">
        <v>1.45</v>
      </c>
      <c r="BG1075" s="11">
        <f ca="1">IFERROR(__xludf.DUMMYFUNCTION("""COMPUTED_VALUE"""),45925.0416666666)</f>
        <v>45925.041666666599</v>
      </c>
      <c r="BH1075" s="17" t="s">
        <v>105</v>
      </c>
      <c r="BI1075" s="17"/>
      <c r="BJ1075" s="15"/>
      <c r="BK1075" s="15"/>
      <c r="BL1075" s="13" t="b">
        <v>0</v>
      </c>
      <c r="BM1075" s="10"/>
      <c r="BN1075" s="10" t="s">
        <v>667</v>
      </c>
      <c r="BO1075" s="11">
        <v>45881.70208333333</v>
      </c>
      <c r="BP1075" s="11">
        <v>45922.55064814815</v>
      </c>
      <c r="BQ1075" s="15">
        <v>45919.652083333334</v>
      </c>
      <c r="BR1075" s="15">
        <v>45922.700648148151</v>
      </c>
      <c r="BS1075" s="10" t="s">
        <v>667</v>
      </c>
      <c r="BT1075" s="10" t="s">
        <v>99</v>
      </c>
      <c r="BU1075" s="10" t="s">
        <v>793</v>
      </c>
      <c r="BV1075" s="10"/>
      <c r="BW1075" s="10"/>
      <c r="BX1075" s="10"/>
      <c r="BY1075" s="23"/>
      <c r="BZ1075" s="23"/>
      <c r="CA1075" s="19" t="s">
        <v>8471</v>
      </c>
      <c r="CB1075" s="19" t="s">
        <v>8472</v>
      </c>
      <c r="CC1075" s="23"/>
      <c r="CD1075" s="19" t="s">
        <v>8473</v>
      </c>
      <c r="CE1075" s="23"/>
      <c r="CF1075" s="23"/>
      <c r="CG1075" s="23"/>
      <c r="CH1075" s="23"/>
      <c r="CI1075" s="23"/>
    </row>
    <row r="1076" spans="1:87" x14ac:dyDescent="0.3">
      <c r="A1076" s="9" t="s">
        <v>8474</v>
      </c>
      <c r="B1076" s="10" t="s">
        <v>8475</v>
      </c>
      <c r="C1076" s="11">
        <v>45893.8125</v>
      </c>
      <c r="D1076" s="12">
        <v>8.3333333333333329E-2</v>
      </c>
      <c r="E1076" s="11">
        <v>45893.895833333336</v>
      </c>
      <c r="F1076" s="10" t="s">
        <v>3687</v>
      </c>
      <c r="G1076" s="13" t="b">
        <v>0</v>
      </c>
      <c r="H1076" s="10" t="s">
        <v>88</v>
      </c>
      <c r="I1076" s="10" t="s">
        <v>89</v>
      </c>
      <c r="J1076" s="13" t="b">
        <v>0</v>
      </c>
      <c r="K1076" s="13" t="b">
        <v>1</v>
      </c>
      <c r="L1076" s="10" t="s">
        <v>124</v>
      </c>
      <c r="M1076" s="10" t="s">
        <v>91</v>
      </c>
      <c r="N1076" s="10" t="s">
        <v>92</v>
      </c>
      <c r="O1076" s="10"/>
      <c r="P1076" s="10"/>
      <c r="Q1076" s="10" t="s">
        <v>126</v>
      </c>
      <c r="R1076" s="10"/>
      <c r="S1076" s="10"/>
      <c r="T1076" s="10"/>
      <c r="U1076" s="10" t="s">
        <v>8476</v>
      </c>
      <c r="V1076" s="10" t="s">
        <v>7708</v>
      </c>
      <c r="W1076" s="10" t="s">
        <v>3692</v>
      </c>
      <c r="X1076" s="10" t="s">
        <v>130</v>
      </c>
      <c r="Y1076" s="10" t="s">
        <v>130</v>
      </c>
      <c r="Z1076" s="10" t="s">
        <v>99</v>
      </c>
      <c r="AA1076" s="10" t="s">
        <v>131</v>
      </c>
      <c r="AB1076" s="10" t="s">
        <v>3693</v>
      </c>
      <c r="AC1076" s="10" t="s">
        <v>3694</v>
      </c>
      <c r="AD1076" s="10" t="s">
        <v>8477</v>
      </c>
      <c r="AE1076" s="10" t="s">
        <v>8478</v>
      </c>
      <c r="AF1076" s="15"/>
      <c r="AG1076" s="10"/>
      <c r="AH1076" s="10"/>
      <c r="AI1076" s="10"/>
      <c r="AJ1076" s="10"/>
      <c r="AK1076" s="10" t="s">
        <v>256</v>
      </c>
      <c r="AL1076" s="10" t="s">
        <v>147</v>
      </c>
      <c r="AM1076" s="10"/>
      <c r="AN1076" s="10"/>
      <c r="AO1076" s="13" t="b">
        <v>0</v>
      </c>
      <c r="AP1076" s="10" t="s">
        <v>104</v>
      </c>
      <c r="AQ1076" s="10"/>
      <c r="AR1076" s="17"/>
      <c r="AS1076" s="17"/>
      <c r="AT1076" s="17"/>
      <c r="AU1076" s="17"/>
      <c r="AV1076" s="17"/>
      <c r="AW1076" s="10"/>
      <c r="AX1076" s="17"/>
      <c r="AY1076" s="18" t="s">
        <v>257</v>
      </c>
      <c r="AZ1076" s="10"/>
      <c r="BA1076" s="20" t="b">
        <v>0</v>
      </c>
      <c r="BB1076" s="10"/>
      <c r="BC1076" s="17" t="s">
        <v>257</v>
      </c>
      <c r="BD1076" s="17" t="s">
        <v>257</v>
      </c>
      <c r="BE1076" s="17" t="s">
        <v>257</v>
      </c>
      <c r="BF1076" s="17" t="s">
        <v>257</v>
      </c>
      <c r="BG1076" s="11">
        <f ca="1">IFERROR(__xludf.DUMMYFUNCTION("""COMPUTED_VALUE"""),45893.8125)</f>
        <v>45893.8125</v>
      </c>
      <c r="BH1076" s="17"/>
      <c r="BI1076" s="17"/>
      <c r="BJ1076" s="15"/>
      <c r="BK1076" s="15"/>
      <c r="BL1076" s="13" t="b">
        <v>0</v>
      </c>
      <c r="BM1076" s="10"/>
      <c r="BN1076" s="10" t="s">
        <v>8437</v>
      </c>
      <c r="BO1076" s="11">
        <v>45881.702777777777</v>
      </c>
      <c r="BP1076" s="11">
        <v>45886.471354166664</v>
      </c>
      <c r="BQ1076" s="15"/>
      <c r="BR1076" s="15"/>
      <c r="BS1076" s="10"/>
      <c r="BT1076" s="10" t="s">
        <v>99</v>
      </c>
      <c r="BU1076" s="10"/>
      <c r="BV1076" s="10"/>
      <c r="BW1076" s="10"/>
      <c r="BX1076" s="10"/>
      <c r="BY1076" s="23"/>
      <c r="BZ1076" s="23"/>
      <c r="CA1076" s="23"/>
      <c r="CB1076" s="23"/>
      <c r="CC1076" s="23"/>
      <c r="CD1076" s="23"/>
      <c r="CE1076" s="23"/>
      <c r="CF1076" s="23"/>
      <c r="CG1076" s="23"/>
      <c r="CH1076" s="23"/>
      <c r="CI1076" s="23"/>
    </row>
    <row r="1077" spans="1:87" x14ac:dyDescent="0.3">
      <c r="A1077" s="9" t="s">
        <v>8479</v>
      </c>
      <c r="B1077" s="10" t="s">
        <v>8480</v>
      </c>
      <c r="C1077" s="11">
        <v>45893.90625</v>
      </c>
      <c r="D1077" s="12">
        <v>8.3333333333333329E-2</v>
      </c>
      <c r="E1077" s="11">
        <v>45893.989583333336</v>
      </c>
      <c r="F1077" s="10" t="s">
        <v>3687</v>
      </c>
      <c r="G1077" s="13" t="b">
        <v>0</v>
      </c>
      <c r="H1077" s="10" t="s">
        <v>8464</v>
      </c>
      <c r="I1077" s="10" t="s">
        <v>89</v>
      </c>
      <c r="J1077" s="13" t="b">
        <v>0</v>
      </c>
      <c r="K1077" s="13" t="b">
        <v>1</v>
      </c>
      <c r="L1077" s="10" t="s">
        <v>124</v>
      </c>
      <c r="M1077" s="10" t="s">
        <v>91</v>
      </c>
      <c r="N1077" s="10" t="s">
        <v>92</v>
      </c>
      <c r="O1077" s="19" t="s">
        <v>8481</v>
      </c>
      <c r="P1077" s="10"/>
      <c r="Q1077" s="10" t="s">
        <v>126</v>
      </c>
      <c r="R1077" s="10"/>
      <c r="S1077" s="19" t="s">
        <v>8482</v>
      </c>
      <c r="T1077" s="19" t="s">
        <v>8445</v>
      </c>
      <c r="U1077" s="10" t="s">
        <v>3715</v>
      </c>
      <c r="V1077" s="10" t="s">
        <v>7719</v>
      </c>
      <c r="W1077" s="10" t="s">
        <v>3692</v>
      </c>
      <c r="X1077" s="10" t="s">
        <v>130</v>
      </c>
      <c r="Y1077" s="10" t="s">
        <v>130</v>
      </c>
      <c r="Z1077" s="10" t="s">
        <v>99</v>
      </c>
      <c r="AA1077" s="10" t="s">
        <v>131</v>
      </c>
      <c r="AB1077" s="10" t="s">
        <v>3693</v>
      </c>
      <c r="AC1077" s="10" t="s">
        <v>3694</v>
      </c>
      <c r="AD1077" s="10" t="s">
        <v>8483</v>
      </c>
      <c r="AE1077" s="10" t="s">
        <v>8484</v>
      </c>
      <c r="AF1077" s="15"/>
      <c r="AG1077" s="10"/>
      <c r="AH1077" s="10"/>
      <c r="AI1077" s="10"/>
      <c r="AJ1077" s="10" t="s">
        <v>8485</v>
      </c>
      <c r="AK1077" s="10" t="s">
        <v>102</v>
      </c>
      <c r="AL1077" s="10" t="s">
        <v>147</v>
      </c>
      <c r="AM1077" s="10"/>
      <c r="AN1077" s="10"/>
      <c r="AO1077" s="13" t="b">
        <v>0</v>
      </c>
      <c r="AP1077" s="10" t="s">
        <v>104</v>
      </c>
      <c r="AQ1077" s="10">
        <f ca="1">IFERROR(__xludf.DUMMYFUNCTION("""COMPUTED_VALUE"""),4516130)</f>
        <v>4516130</v>
      </c>
      <c r="AR1077" s="17">
        <v>19928</v>
      </c>
      <c r="AS1077" s="17">
        <v>15908</v>
      </c>
      <c r="AT1077" s="17">
        <v>224877</v>
      </c>
      <c r="AU1077" s="17">
        <v>86.6</v>
      </c>
      <c r="AV1077" s="17">
        <v>38.9</v>
      </c>
      <c r="AW1077" s="10" t="s">
        <v>105</v>
      </c>
      <c r="AX1077" s="17">
        <v>4702</v>
      </c>
      <c r="AY1077" s="18">
        <v>14.136095046517475</v>
      </c>
      <c r="AZ1077" s="10" t="s">
        <v>148</v>
      </c>
      <c r="BA1077" s="20" t="b">
        <v>0</v>
      </c>
      <c r="BB1077" s="10"/>
      <c r="BC1077" s="17">
        <v>19928</v>
      </c>
      <c r="BD1077" s="17">
        <v>15908</v>
      </c>
      <c r="BE1077" s="17">
        <v>224877</v>
      </c>
      <c r="BF1077" s="17">
        <v>38.9</v>
      </c>
      <c r="BG1077" s="11">
        <f ca="1">IFERROR(__xludf.DUMMYFUNCTION("""COMPUTED_VALUE"""),45893.90625)</f>
        <v>45893.90625</v>
      </c>
      <c r="BH1077" s="17" t="s">
        <v>105</v>
      </c>
      <c r="BI1077" s="17"/>
      <c r="BJ1077" s="15"/>
      <c r="BK1077" s="15"/>
      <c r="BL1077" s="13" t="b">
        <v>0</v>
      </c>
      <c r="BM1077" s="10"/>
      <c r="BN1077" s="10" t="s">
        <v>197</v>
      </c>
      <c r="BO1077" s="11">
        <v>45881.702777777777</v>
      </c>
      <c r="BP1077" s="11">
        <v>45891.89912037037</v>
      </c>
      <c r="BQ1077" s="15">
        <v>45891.511388888888</v>
      </c>
      <c r="BR1077" s="15">
        <v>45891.904687499999</v>
      </c>
      <c r="BS1077" s="10" t="s">
        <v>197</v>
      </c>
      <c r="BT1077" s="10" t="s">
        <v>279</v>
      </c>
      <c r="BU1077" s="10" t="s">
        <v>718</v>
      </c>
      <c r="BV1077" s="10"/>
      <c r="BW1077" s="10"/>
      <c r="BX1077" s="10"/>
      <c r="BY1077" s="23"/>
      <c r="BZ1077" s="23"/>
      <c r="CA1077" s="19" t="s">
        <v>8486</v>
      </c>
      <c r="CB1077" s="19" t="s">
        <v>8487</v>
      </c>
      <c r="CC1077" s="23"/>
      <c r="CD1077" s="19" t="s">
        <v>8488</v>
      </c>
      <c r="CE1077" s="23"/>
      <c r="CF1077" s="23"/>
      <c r="CG1077" s="23"/>
      <c r="CH1077" s="23"/>
      <c r="CI1077" s="23"/>
    </row>
    <row r="1078" spans="1:87" x14ac:dyDescent="0.3">
      <c r="A1078" s="9" t="s">
        <v>8489</v>
      </c>
      <c r="B1078" s="10" t="s">
        <v>8490</v>
      </c>
      <c r="C1078" s="11">
        <v>45899.895833333336</v>
      </c>
      <c r="D1078" s="12">
        <v>8.3333333333333329E-2</v>
      </c>
      <c r="E1078" s="11">
        <v>45899.979166666664</v>
      </c>
      <c r="F1078" s="10" t="s">
        <v>3687</v>
      </c>
      <c r="G1078" s="13" t="b">
        <v>0</v>
      </c>
      <c r="H1078" s="10" t="s">
        <v>3478</v>
      </c>
      <c r="I1078" s="10" t="s">
        <v>89</v>
      </c>
      <c r="J1078" s="13" t="b">
        <v>0</v>
      </c>
      <c r="K1078" s="13" t="b">
        <v>1</v>
      </c>
      <c r="L1078" s="10" t="s">
        <v>124</v>
      </c>
      <c r="M1078" s="10" t="s">
        <v>91</v>
      </c>
      <c r="N1078" s="10" t="s">
        <v>92</v>
      </c>
      <c r="O1078" s="19" t="s">
        <v>8491</v>
      </c>
      <c r="P1078" s="10"/>
      <c r="Q1078" s="10" t="s">
        <v>126</v>
      </c>
      <c r="R1078" s="10"/>
      <c r="S1078" s="19" t="s">
        <v>8492</v>
      </c>
      <c r="T1078" s="19" t="s">
        <v>8493</v>
      </c>
      <c r="U1078" s="10" t="s">
        <v>7752</v>
      </c>
      <c r="V1078" s="10" t="s">
        <v>3715</v>
      </c>
      <c r="W1078" s="10" t="s">
        <v>3692</v>
      </c>
      <c r="X1078" s="10" t="s">
        <v>130</v>
      </c>
      <c r="Y1078" s="10" t="s">
        <v>130</v>
      </c>
      <c r="Z1078" s="10" t="s">
        <v>99</v>
      </c>
      <c r="AA1078" s="10" t="s">
        <v>131</v>
      </c>
      <c r="AB1078" s="10" t="s">
        <v>3693</v>
      </c>
      <c r="AC1078" s="10" t="s">
        <v>3694</v>
      </c>
      <c r="AD1078" s="10" t="s">
        <v>8494</v>
      </c>
      <c r="AE1078" s="10" t="s">
        <v>8495</v>
      </c>
      <c r="AF1078" s="15"/>
      <c r="AG1078" s="10"/>
      <c r="AH1078" s="10"/>
      <c r="AI1078" s="10"/>
      <c r="AJ1078" s="10" t="s">
        <v>8496</v>
      </c>
      <c r="AK1078" s="10" t="s">
        <v>102</v>
      </c>
      <c r="AL1078" s="10" t="s">
        <v>156</v>
      </c>
      <c r="AM1078" s="10"/>
      <c r="AN1078" s="10"/>
      <c r="AO1078" s="13" t="b">
        <v>0</v>
      </c>
      <c r="AP1078" s="10" t="s">
        <v>104</v>
      </c>
      <c r="AQ1078" s="10">
        <f ca="1">IFERROR(__xludf.DUMMYFUNCTION("""COMPUTED_VALUE"""),4531741)</f>
        <v>4531741</v>
      </c>
      <c r="AR1078" s="17">
        <v>23813</v>
      </c>
      <c r="AS1078" s="17">
        <v>19161</v>
      </c>
      <c r="AT1078" s="17">
        <v>138034.5</v>
      </c>
      <c r="AU1078" s="17">
        <v>48.6</v>
      </c>
      <c r="AV1078" s="17">
        <v>13.85</v>
      </c>
      <c r="AW1078" s="10" t="s">
        <v>105</v>
      </c>
      <c r="AX1078" s="17">
        <v>3225</v>
      </c>
      <c r="AY1078" s="18">
        <v>7.2039298575230939</v>
      </c>
      <c r="AZ1078" s="10" t="s">
        <v>148</v>
      </c>
      <c r="BA1078" s="20" t="b">
        <v>0</v>
      </c>
      <c r="BB1078" s="10"/>
      <c r="BC1078" s="17">
        <v>23813</v>
      </c>
      <c r="BD1078" s="17">
        <v>19161</v>
      </c>
      <c r="BE1078" s="17">
        <v>138034.5</v>
      </c>
      <c r="BF1078" s="17">
        <v>13.85</v>
      </c>
      <c r="BG1078" s="11">
        <f ca="1">IFERROR(__xludf.DUMMYFUNCTION("""COMPUTED_VALUE"""),45899.8958333333)</f>
        <v>45899.895833333299</v>
      </c>
      <c r="BH1078" s="17" t="s">
        <v>105</v>
      </c>
      <c r="BI1078" s="17"/>
      <c r="BJ1078" s="15"/>
      <c r="BK1078" s="15"/>
      <c r="BL1078" s="13" t="b">
        <v>0</v>
      </c>
      <c r="BM1078" s="10"/>
      <c r="BN1078" s="10" t="s">
        <v>149</v>
      </c>
      <c r="BO1078" s="11">
        <v>45881.703472222223</v>
      </c>
      <c r="BP1078" s="11">
        <v>45895.74800925926</v>
      </c>
      <c r="BQ1078" s="15">
        <v>45898.752500000002</v>
      </c>
      <c r="BR1078" s="15">
        <v>45898.857372685183</v>
      </c>
      <c r="BS1078" s="10" t="s">
        <v>149</v>
      </c>
      <c r="BT1078" s="10" t="s">
        <v>99</v>
      </c>
      <c r="BU1078" s="10" t="s">
        <v>8497</v>
      </c>
      <c r="BV1078" s="10"/>
      <c r="BW1078" s="10"/>
      <c r="BX1078" s="10"/>
      <c r="BY1078" s="23"/>
      <c r="BZ1078" s="23"/>
      <c r="CA1078" s="19" t="s">
        <v>8498</v>
      </c>
      <c r="CB1078" s="19" t="s">
        <v>8499</v>
      </c>
      <c r="CC1078" s="23"/>
      <c r="CD1078" s="19" t="s">
        <v>8500</v>
      </c>
      <c r="CE1078" s="23"/>
      <c r="CF1078" s="23"/>
      <c r="CG1078" s="23"/>
      <c r="CH1078" s="23"/>
      <c r="CI1078" s="23"/>
    </row>
    <row r="1079" spans="1:87" x14ac:dyDescent="0.3">
      <c r="A1079" s="9" t="s">
        <v>8501</v>
      </c>
      <c r="B1079" s="10" t="s">
        <v>8502</v>
      </c>
      <c r="C1079" s="11">
        <v>45900.041666666664</v>
      </c>
      <c r="D1079" s="12">
        <v>8.3333333333333329E-2</v>
      </c>
      <c r="E1079" s="11">
        <v>45900.125</v>
      </c>
      <c r="F1079" s="10" t="s">
        <v>3687</v>
      </c>
      <c r="G1079" s="13" t="b">
        <v>0</v>
      </c>
      <c r="H1079" s="10" t="s">
        <v>8464</v>
      </c>
      <c r="I1079" s="10" t="s">
        <v>89</v>
      </c>
      <c r="J1079" s="13" t="b">
        <v>0</v>
      </c>
      <c r="K1079" s="13" t="b">
        <v>1</v>
      </c>
      <c r="L1079" s="10" t="s">
        <v>124</v>
      </c>
      <c r="M1079" s="10" t="s">
        <v>91</v>
      </c>
      <c r="N1079" s="10" t="s">
        <v>92</v>
      </c>
      <c r="O1079" s="19" t="s">
        <v>8503</v>
      </c>
      <c r="P1079" s="10"/>
      <c r="Q1079" s="10" t="s">
        <v>126</v>
      </c>
      <c r="R1079" s="10"/>
      <c r="S1079" s="19" t="s">
        <v>8504</v>
      </c>
      <c r="T1079" s="19" t="s">
        <v>8493</v>
      </c>
      <c r="U1079" s="10" t="s">
        <v>3704</v>
      </c>
      <c r="V1079" s="10" t="s">
        <v>3716</v>
      </c>
      <c r="W1079" s="10" t="s">
        <v>3692</v>
      </c>
      <c r="X1079" s="10" t="s">
        <v>130</v>
      </c>
      <c r="Y1079" s="10" t="s">
        <v>130</v>
      </c>
      <c r="Z1079" s="10" t="s">
        <v>99</v>
      </c>
      <c r="AA1079" s="10" t="s">
        <v>131</v>
      </c>
      <c r="AB1079" s="10" t="s">
        <v>3693</v>
      </c>
      <c r="AC1079" s="10" t="s">
        <v>3694</v>
      </c>
      <c r="AD1079" s="10" t="s">
        <v>8505</v>
      </c>
      <c r="AE1079" s="10" t="s">
        <v>8506</v>
      </c>
      <c r="AF1079" s="15"/>
      <c r="AG1079" s="10"/>
      <c r="AH1079" s="10"/>
      <c r="AI1079" s="10"/>
      <c r="AJ1079" s="10" t="s">
        <v>8507</v>
      </c>
      <c r="AK1079" s="10" t="s">
        <v>102</v>
      </c>
      <c r="AL1079" s="10" t="s">
        <v>156</v>
      </c>
      <c r="AM1079" s="10"/>
      <c r="AN1079" s="10"/>
      <c r="AO1079" s="13" t="b">
        <v>0</v>
      </c>
      <c r="AP1079" s="10" t="s">
        <v>104</v>
      </c>
      <c r="AQ1079" s="10">
        <f ca="1">IFERROR(__xludf.DUMMYFUNCTION("""COMPUTED_VALUE"""),4533786)</f>
        <v>4533786</v>
      </c>
      <c r="AR1079" s="17">
        <v>3031</v>
      </c>
      <c r="AS1079" s="17">
        <v>2306</v>
      </c>
      <c r="AT1079" s="17">
        <v>44235.75</v>
      </c>
      <c r="AU1079" s="17">
        <v>4.3499999999999996</v>
      </c>
      <c r="AV1079" s="17">
        <v>3.25</v>
      </c>
      <c r="AW1079" s="10" t="s">
        <v>105</v>
      </c>
      <c r="AX1079" s="17">
        <v>708</v>
      </c>
      <c r="AY1079" s="18">
        <v>19.182892454466607</v>
      </c>
      <c r="AZ1079" s="10" t="s">
        <v>148</v>
      </c>
      <c r="BA1079" s="20" t="b">
        <v>0</v>
      </c>
      <c r="BB1079" s="10"/>
      <c r="BC1079" s="17">
        <v>3031</v>
      </c>
      <c r="BD1079" s="17">
        <v>2306</v>
      </c>
      <c r="BE1079" s="17">
        <v>44235.75</v>
      </c>
      <c r="BF1079" s="17">
        <v>3.25</v>
      </c>
      <c r="BG1079" s="11">
        <f ca="1">IFERROR(__xludf.DUMMYFUNCTION("""COMPUTED_VALUE"""),45900.0416666666)</f>
        <v>45900.041666666599</v>
      </c>
      <c r="BH1079" s="17" t="s">
        <v>105</v>
      </c>
      <c r="BI1079" s="17"/>
      <c r="BJ1079" s="15"/>
      <c r="BK1079" s="15"/>
      <c r="BL1079" s="13" t="b">
        <v>0</v>
      </c>
      <c r="BM1079" s="10"/>
      <c r="BN1079" s="10" t="s">
        <v>197</v>
      </c>
      <c r="BO1079" s="11">
        <v>45881.70416666667</v>
      </c>
      <c r="BP1079" s="11">
        <v>45898.538483796299</v>
      </c>
      <c r="BQ1079" s="15">
        <v>45898.752708333333</v>
      </c>
      <c r="BR1079" s="15">
        <v>45899.535428240742</v>
      </c>
      <c r="BS1079" s="10" t="s">
        <v>197</v>
      </c>
      <c r="BT1079" s="10" t="s">
        <v>99</v>
      </c>
      <c r="BU1079" s="10" t="s">
        <v>816</v>
      </c>
      <c r="BV1079" s="10"/>
      <c r="BW1079" s="10"/>
      <c r="BX1079" s="10"/>
      <c r="BY1079" s="23"/>
      <c r="BZ1079" s="23"/>
      <c r="CA1079" s="19" t="s">
        <v>8508</v>
      </c>
      <c r="CB1079" s="19" t="s">
        <v>8509</v>
      </c>
      <c r="CC1079" s="23"/>
      <c r="CD1079" s="19" t="s">
        <v>8510</v>
      </c>
      <c r="CE1079" s="23"/>
      <c r="CF1079" s="23"/>
      <c r="CG1079" s="23"/>
      <c r="CH1079" s="23"/>
      <c r="CI1079" s="23"/>
    </row>
    <row r="1080" spans="1:87" x14ac:dyDescent="0.3">
      <c r="A1080" s="9" t="s">
        <v>8511</v>
      </c>
      <c r="B1080" s="10" t="s">
        <v>8512</v>
      </c>
      <c r="C1080" s="11">
        <v>45900.8125</v>
      </c>
      <c r="D1080" s="12">
        <v>8.3333333333333329E-2</v>
      </c>
      <c r="E1080" s="11">
        <v>45900.895833333336</v>
      </c>
      <c r="F1080" s="10" t="s">
        <v>3687</v>
      </c>
      <c r="G1080" s="13" t="b">
        <v>0</v>
      </c>
      <c r="H1080" s="10" t="s">
        <v>3478</v>
      </c>
      <c r="I1080" s="10" t="s">
        <v>89</v>
      </c>
      <c r="J1080" s="13" t="b">
        <v>0</v>
      </c>
      <c r="K1080" s="13" t="b">
        <v>1</v>
      </c>
      <c r="L1080" s="10" t="s">
        <v>124</v>
      </c>
      <c r="M1080" s="10" t="s">
        <v>91</v>
      </c>
      <c r="N1080" s="10" t="s">
        <v>92</v>
      </c>
      <c r="O1080" s="19" t="s">
        <v>8513</v>
      </c>
      <c r="P1080" s="10"/>
      <c r="Q1080" s="10" t="s">
        <v>126</v>
      </c>
      <c r="R1080" s="10"/>
      <c r="S1080" s="19" t="s">
        <v>8514</v>
      </c>
      <c r="T1080" s="19" t="s">
        <v>8493</v>
      </c>
      <c r="U1080" s="10" t="s">
        <v>3705</v>
      </c>
      <c r="V1080" s="10" t="s">
        <v>3690</v>
      </c>
      <c r="W1080" s="10" t="s">
        <v>3692</v>
      </c>
      <c r="X1080" s="10" t="s">
        <v>130</v>
      </c>
      <c r="Y1080" s="10" t="s">
        <v>130</v>
      </c>
      <c r="Z1080" s="10" t="s">
        <v>99</v>
      </c>
      <c r="AA1080" s="10" t="s">
        <v>131</v>
      </c>
      <c r="AB1080" s="10" t="s">
        <v>3693</v>
      </c>
      <c r="AC1080" s="10" t="s">
        <v>3694</v>
      </c>
      <c r="AD1080" s="10" t="s">
        <v>8515</v>
      </c>
      <c r="AE1080" s="10" t="s">
        <v>8516</v>
      </c>
      <c r="AF1080" s="15"/>
      <c r="AG1080" s="10"/>
      <c r="AH1080" s="10"/>
      <c r="AI1080" s="10"/>
      <c r="AJ1080" s="10" t="s">
        <v>8517</v>
      </c>
      <c r="AK1080" s="10" t="s">
        <v>102</v>
      </c>
      <c r="AL1080" s="10" t="s">
        <v>156</v>
      </c>
      <c r="AM1080" s="10"/>
      <c r="AN1080" s="10"/>
      <c r="AO1080" s="13" t="b">
        <v>0</v>
      </c>
      <c r="AP1080" s="10" t="s">
        <v>104</v>
      </c>
      <c r="AQ1080" s="10">
        <f ca="1">IFERROR(__xludf.DUMMYFUNCTION("""COMPUTED_VALUE"""),4533793)</f>
        <v>4533793</v>
      </c>
      <c r="AR1080" s="17">
        <v>18995</v>
      </c>
      <c r="AS1080" s="17">
        <v>14350</v>
      </c>
      <c r="AT1080" s="17">
        <v>211164.75</v>
      </c>
      <c r="AU1080" s="17">
        <v>78.95</v>
      </c>
      <c r="AV1080" s="17">
        <v>20.5</v>
      </c>
      <c r="AW1080" s="10" t="s">
        <v>105</v>
      </c>
      <c r="AX1080" s="17">
        <v>3493</v>
      </c>
      <c r="AY1080" s="18">
        <v>14.715313588850174</v>
      </c>
      <c r="AZ1080" s="10" t="s">
        <v>148</v>
      </c>
      <c r="BA1080" s="20" t="b">
        <v>0</v>
      </c>
      <c r="BB1080" s="10"/>
      <c r="BC1080" s="17">
        <v>18995</v>
      </c>
      <c r="BD1080" s="17">
        <v>14350</v>
      </c>
      <c r="BE1080" s="17">
        <v>211164.75</v>
      </c>
      <c r="BF1080" s="17">
        <v>20.5</v>
      </c>
      <c r="BG1080" s="11">
        <f ca="1">IFERROR(__xludf.DUMMYFUNCTION("""COMPUTED_VALUE"""),45900.8125)</f>
        <v>45900.8125</v>
      </c>
      <c r="BH1080" s="17" t="s">
        <v>105</v>
      </c>
      <c r="BI1080" s="17"/>
      <c r="BJ1080" s="15"/>
      <c r="BK1080" s="15"/>
      <c r="BL1080" s="13" t="b">
        <v>0</v>
      </c>
      <c r="BM1080" s="10"/>
      <c r="BN1080" s="10" t="s">
        <v>197</v>
      </c>
      <c r="BO1080" s="11">
        <v>45881.704861111109</v>
      </c>
      <c r="BP1080" s="11">
        <v>45895.760983796295</v>
      </c>
      <c r="BQ1080" s="15">
        <v>45898.857025462959</v>
      </c>
      <c r="BR1080" s="15">
        <v>45899.548101851855</v>
      </c>
      <c r="BS1080" s="10" t="s">
        <v>197</v>
      </c>
      <c r="BT1080" s="10" t="s">
        <v>99</v>
      </c>
      <c r="BU1080" s="10" t="s">
        <v>816</v>
      </c>
      <c r="BV1080" s="10"/>
      <c r="BW1080" s="10"/>
      <c r="BX1080" s="10"/>
      <c r="BY1080" s="23"/>
      <c r="BZ1080" s="23"/>
      <c r="CA1080" s="19" t="s">
        <v>8518</v>
      </c>
      <c r="CB1080" s="19" t="s">
        <v>8519</v>
      </c>
      <c r="CC1080" s="23"/>
      <c r="CD1080" s="19" t="s">
        <v>8520</v>
      </c>
      <c r="CE1080" s="23"/>
      <c r="CF1080" s="23"/>
      <c r="CG1080" s="23"/>
      <c r="CH1080" s="23"/>
      <c r="CI1080" s="23"/>
    </row>
    <row r="1081" spans="1:87" x14ac:dyDescent="0.3">
      <c r="A1081" s="9" t="s">
        <v>8521</v>
      </c>
      <c r="B1081" s="10" t="s">
        <v>8522</v>
      </c>
      <c r="C1081" s="11">
        <v>45900.8125</v>
      </c>
      <c r="D1081" s="12">
        <v>8.3333333333333329E-2</v>
      </c>
      <c r="E1081" s="11">
        <v>45900.895833333336</v>
      </c>
      <c r="F1081" s="10" t="s">
        <v>3687</v>
      </c>
      <c r="G1081" s="13" t="b">
        <v>0</v>
      </c>
      <c r="H1081" s="10" t="s">
        <v>88</v>
      </c>
      <c r="I1081" s="10" t="s">
        <v>89</v>
      </c>
      <c r="J1081" s="13" t="b">
        <v>0</v>
      </c>
      <c r="K1081" s="13" t="b">
        <v>1</v>
      </c>
      <c r="L1081" s="10" t="s">
        <v>124</v>
      </c>
      <c r="M1081" s="10" t="s">
        <v>91</v>
      </c>
      <c r="N1081" s="10" t="s">
        <v>92</v>
      </c>
      <c r="O1081" s="19" t="s">
        <v>8523</v>
      </c>
      <c r="P1081" s="10"/>
      <c r="Q1081" s="10" t="s">
        <v>126</v>
      </c>
      <c r="R1081" s="10"/>
      <c r="S1081" s="19" t="s">
        <v>8524</v>
      </c>
      <c r="T1081" s="19" t="s">
        <v>8525</v>
      </c>
      <c r="U1081" s="10" t="s">
        <v>8468</v>
      </c>
      <c r="V1081" s="10" t="s">
        <v>8476</v>
      </c>
      <c r="W1081" s="10" t="s">
        <v>3692</v>
      </c>
      <c r="X1081" s="10" t="s">
        <v>130</v>
      </c>
      <c r="Y1081" s="10" t="s">
        <v>130</v>
      </c>
      <c r="Z1081" s="10" t="s">
        <v>99</v>
      </c>
      <c r="AA1081" s="10" t="s">
        <v>131</v>
      </c>
      <c r="AB1081" s="10" t="s">
        <v>3693</v>
      </c>
      <c r="AC1081" s="10" t="s">
        <v>3694</v>
      </c>
      <c r="AD1081" s="10" t="s">
        <v>8526</v>
      </c>
      <c r="AE1081" s="10" t="s">
        <v>8527</v>
      </c>
      <c r="AF1081" s="15"/>
      <c r="AG1081" s="10"/>
      <c r="AH1081" s="10"/>
      <c r="AI1081" s="10"/>
      <c r="AJ1081" s="10" t="s">
        <v>8528</v>
      </c>
      <c r="AK1081" s="10" t="s">
        <v>256</v>
      </c>
      <c r="AL1081" s="10" t="s">
        <v>156</v>
      </c>
      <c r="AM1081" s="10"/>
      <c r="AN1081" s="10"/>
      <c r="AO1081" s="13" t="b">
        <v>0</v>
      </c>
      <c r="AP1081" s="10" t="s">
        <v>104</v>
      </c>
      <c r="AQ1081" s="10">
        <f ca="1">IFERROR(__xludf.DUMMYFUNCTION("""COMPUTED_VALUE"""),4535216)</f>
        <v>4535216</v>
      </c>
      <c r="AR1081" s="17"/>
      <c r="AS1081" s="17"/>
      <c r="AT1081" s="17"/>
      <c r="AU1081" s="17"/>
      <c r="AV1081" s="17"/>
      <c r="AW1081" s="10"/>
      <c r="AX1081" s="17"/>
      <c r="AY1081" s="18" t="s">
        <v>257</v>
      </c>
      <c r="AZ1081" s="10" t="s">
        <v>136</v>
      </c>
      <c r="BA1081" s="20" t="b">
        <v>0</v>
      </c>
      <c r="BB1081" s="10"/>
      <c r="BC1081" s="17" t="s">
        <v>257</v>
      </c>
      <c r="BD1081" s="17" t="s">
        <v>257</v>
      </c>
      <c r="BE1081" s="17" t="s">
        <v>257</v>
      </c>
      <c r="BF1081" s="17" t="s">
        <v>257</v>
      </c>
      <c r="BG1081" s="11">
        <f ca="1">IFERROR(__xludf.DUMMYFUNCTION("""COMPUTED_VALUE"""),45900.8125)</f>
        <v>45900.8125</v>
      </c>
      <c r="BH1081" s="17"/>
      <c r="BI1081" s="17"/>
      <c r="BJ1081" s="15"/>
      <c r="BK1081" s="15"/>
      <c r="BL1081" s="13" t="b">
        <v>0</v>
      </c>
      <c r="BM1081" s="10"/>
      <c r="BN1081" s="10" t="s">
        <v>8529</v>
      </c>
      <c r="BO1081" s="11">
        <v>45881.705555555556</v>
      </c>
      <c r="BP1081" s="11">
        <v>45895.75340277778</v>
      </c>
      <c r="BQ1081" s="15">
        <v>45899.987800925926</v>
      </c>
      <c r="BR1081" s="15">
        <v>45900.062372685185</v>
      </c>
      <c r="BS1081" s="10"/>
      <c r="BT1081" s="10" t="s">
        <v>99</v>
      </c>
      <c r="BU1081" s="10" t="s">
        <v>534</v>
      </c>
      <c r="BV1081" s="10"/>
      <c r="BW1081" s="10"/>
      <c r="BX1081" s="10"/>
      <c r="BY1081" s="23"/>
      <c r="BZ1081" s="23"/>
      <c r="CA1081" s="19" t="s">
        <v>8530</v>
      </c>
      <c r="CB1081" s="19" t="s">
        <v>8531</v>
      </c>
      <c r="CC1081" s="23"/>
      <c r="CD1081" s="19" t="s">
        <v>8532</v>
      </c>
      <c r="CE1081" s="23"/>
      <c r="CF1081" s="23"/>
      <c r="CG1081" s="23"/>
      <c r="CH1081" s="23"/>
      <c r="CI1081" s="23"/>
    </row>
    <row r="1082" spans="1:87" x14ac:dyDescent="0.3">
      <c r="A1082" s="9" t="s">
        <v>8533</v>
      </c>
      <c r="B1082" s="10" t="s">
        <v>8534</v>
      </c>
      <c r="C1082" s="11">
        <v>45900.90625</v>
      </c>
      <c r="D1082" s="12">
        <v>8.3333333333333329E-2</v>
      </c>
      <c r="E1082" s="11">
        <v>45900.989583333336</v>
      </c>
      <c r="F1082" s="10" t="s">
        <v>3687</v>
      </c>
      <c r="G1082" s="13" t="b">
        <v>0</v>
      </c>
      <c r="H1082" s="10" t="s">
        <v>8464</v>
      </c>
      <c r="I1082" s="10" t="s">
        <v>89</v>
      </c>
      <c r="J1082" s="13" t="b">
        <v>0</v>
      </c>
      <c r="K1082" s="13" t="b">
        <v>1</v>
      </c>
      <c r="L1082" s="10" t="s">
        <v>124</v>
      </c>
      <c r="M1082" s="10" t="s">
        <v>91</v>
      </c>
      <c r="N1082" s="10" t="s">
        <v>92</v>
      </c>
      <c r="O1082" s="19" t="s">
        <v>8535</v>
      </c>
      <c r="P1082" s="10"/>
      <c r="Q1082" s="10" t="s">
        <v>126</v>
      </c>
      <c r="R1082" s="10"/>
      <c r="S1082" s="19" t="s">
        <v>8536</v>
      </c>
      <c r="T1082" s="19" t="s">
        <v>8493</v>
      </c>
      <c r="U1082" s="10" t="s">
        <v>3691</v>
      </c>
      <c r="V1082" s="10" t="s">
        <v>3727</v>
      </c>
      <c r="W1082" s="10" t="s">
        <v>3692</v>
      </c>
      <c r="X1082" s="10" t="s">
        <v>130</v>
      </c>
      <c r="Y1082" s="10" t="s">
        <v>130</v>
      </c>
      <c r="Z1082" s="10" t="s">
        <v>99</v>
      </c>
      <c r="AA1082" s="10" t="s">
        <v>131</v>
      </c>
      <c r="AB1082" s="10" t="s">
        <v>3693</v>
      </c>
      <c r="AC1082" s="10" t="s">
        <v>3694</v>
      </c>
      <c r="AD1082" s="10" t="s">
        <v>8537</v>
      </c>
      <c r="AE1082" s="10" t="s">
        <v>8538</v>
      </c>
      <c r="AF1082" s="15"/>
      <c r="AG1082" s="10"/>
      <c r="AH1082" s="10"/>
      <c r="AI1082" s="10"/>
      <c r="AJ1082" s="10" t="s">
        <v>8539</v>
      </c>
      <c r="AK1082" s="10" t="s">
        <v>102</v>
      </c>
      <c r="AL1082" s="10" t="s">
        <v>156</v>
      </c>
      <c r="AM1082" s="10"/>
      <c r="AN1082" s="10"/>
      <c r="AO1082" s="13" t="b">
        <v>0</v>
      </c>
      <c r="AP1082" s="10" t="s">
        <v>104</v>
      </c>
      <c r="AQ1082" s="10">
        <f ca="1">IFERROR(__xludf.DUMMYFUNCTION("""COMPUTED_VALUE"""),4533794)</f>
        <v>4533794</v>
      </c>
      <c r="AR1082" s="17">
        <v>9530</v>
      </c>
      <c r="AS1082" s="17">
        <v>7770</v>
      </c>
      <c r="AT1082" s="17">
        <v>87956.75</v>
      </c>
      <c r="AU1082" s="17">
        <v>29.45</v>
      </c>
      <c r="AV1082" s="17">
        <v>12.4</v>
      </c>
      <c r="AW1082" s="10" t="s">
        <v>105</v>
      </c>
      <c r="AX1082" s="17">
        <v>1835</v>
      </c>
      <c r="AY1082" s="18">
        <v>11.320045045045045</v>
      </c>
      <c r="AZ1082" s="10" t="s">
        <v>148</v>
      </c>
      <c r="BA1082" s="20" t="b">
        <v>0</v>
      </c>
      <c r="BB1082" s="10"/>
      <c r="BC1082" s="17">
        <v>9530</v>
      </c>
      <c r="BD1082" s="17">
        <v>7770</v>
      </c>
      <c r="BE1082" s="17">
        <v>87956.75</v>
      </c>
      <c r="BF1082" s="17">
        <v>12.4</v>
      </c>
      <c r="BG1082" s="11">
        <f ca="1">IFERROR(__xludf.DUMMYFUNCTION("""COMPUTED_VALUE"""),45900.90625)</f>
        <v>45900.90625</v>
      </c>
      <c r="BH1082" s="17" t="s">
        <v>105</v>
      </c>
      <c r="BI1082" s="17"/>
      <c r="BJ1082" s="15"/>
      <c r="BK1082" s="15"/>
      <c r="BL1082" s="13" t="b">
        <v>0</v>
      </c>
      <c r="BM1082" s="10"/>
      <c r="BN1082" s="10" t="s">
        <v>197</v>
      </c>
      <c r="BO1082" s="11">
        <v>45881.705555555556</v>
      </c>
      <c r="BP1082" s="11">
        <v>45898.554756944446</v>
      </c>
      <c r="BQ1082" s="15">
        <v>45898.857175925928</v>
      </c>
      <c r="BR1082" s="15">
        <v>45899.54828703704</v>
      </c>
      <c r="BS1082" s="10" t="s">
        <v>197</v>
      </c>
      <c r="BT1082" s="10" t="s">
        <v>99</v>
      </c>
      <c r="BU1082" s="10" t="s">
        <v>655</v>
      </c>
      <c r="BV1082" s="10"/>
      <c r="BW1082" s="10"/>
      <c r="BX1082" s="10"/>
      <c r="BY1082" s="23"/>
      <c r="BZ1082" s="23"/>
      <c r="CA1082" s="19" t="s">
        <v>8540</v>
      </c>
      <c r="CB1082" s="19" t="s">
        <v>8541</v>
      </c>
      <c r="CC1082" s="23"/>
      <c r="CD1082" s="19" t="s">
        <v>8542</v>
      </c>
      <c r="CE1082" s="23"/>
      <c r="CF1082" s="23"/>
      <c r="CG1082" s="23"/>
      <c r="CH1082" s="23"/>
      <c r="CI1082" s="23"/>
    </row>
    <row r="1083" spans="1:87" x14ac:dyDescent="0.3">
      <c r="A1083" s="9" t="s">
        <v>8543</v>
      </c>
      <c r="B1083" s="10" t="s">
        <v>8544</v>
      </c>
      <c r="C1083" s="11">
        <v>45890.083333333336</v>
      </c>
      <c r="D1083" s="12">
        <v>8.3333333333333329E-2</v>
      </c>
      <c r="E1083" s="11">
        <v>45890.166666666664</v>
      </c>
      <c r="F1083" s="10" t="s">
        <v>3563</v>
      </c>
      <c r="G1083" s="13" t="b">
        <v>0</v>
      </c>
      <c r="H1083" s="10" t="s">
        <v>3564</v>
      </c>
      <c r="I1083" s="10" t="s">
        <v>89</v>
      </c>
      <c r="J1083" s="13" t="b">
        <v>0</v>
      </c>
      <c r="K1083" s="13" t="b">
        <v>1</v>
      </c>
      <c r="L1083" s="10" t="s">
        <v>124</v>
      </c>
      <c r="M1083" s="10" t="s">
        <v>91</v>
      </c>
      <c r="N1083" s="10" t="s">
        <v>92</v>
      </c>
      <c r="O1083" s="19" t="s">
        <v>8545</v>
      </c>
      <c r="P1083" s="10"/>
      <c r="Q1083" s="10" t="s">
        <v>94</v>
      </c>
      <c r="R1083" s="10"/>
      <c r="S1083" s="19" t="s">
        <v>8546</v>
      </c>
      <c r="T1083" s="10"/>
      <c r="U1083" s="10" t="s">
        <v>8547</v>
      </c>
      <c r="V1083" s="10" t="s">
        <v>7811</v>
      </c>
      <c r="W1083" s="10" t="s">
        <v>3569</v>
      </c>
      <c r="X1083" s="10" t="s">
        <v>130</v>
      </c>
      <c r="Y1083" s="10" t="s">
        <v>130</v>
      </c>
      <c r="Z1083" s="10" t="s">
        <v>99</v>
      </c>
      <c r="AA1083" s="10" t="s">
        <v>131</v>
      </c>
      <c r="AB1083" s="10" t="s">
        <v>3570</v>
      </c>
      <c r="AC1083" s="10" t="s">
        <v>3571</v>
      </c>
      <c r="AD1083" s="10" t="s">
        <v>8548</v>
      </c>
      <c r="AE1083" s="10" t="s">
        <v>8549</v>
      </c>
      <c r="AF1083" s="15"/>
      <c r="AG1083" s="10"/>
      <c r="AH1083" s="10"/>
      <c r="AI1083" s="10"/>
      <c r="AJ1083" s="10"/>
      <c r="AK1083" s="10" t="s">
        <v>102</v>
      </c>
      <c r="AL1083" s="10"/>
      <c r="AM1083" s="10"/>
      <c r="AN1083" s="10"/>
      <c r="AO1083" s="13" t="b">
        <v>0</v>
      </c>
      <c r="AP1083" s="10" t="s">
        <v>104</v>
      </c>
      <c r="AQ1083" s="10">
        <f ca="1">IFERROR(__xludf.DUMMYFUNCTION("""COMPUTED_VALUE"""),4506549)</f>
        <v>4506549</v>
      </c>
      <c r="AR1083" s="17">
        <v>3381</v>
      </c>
      <c r="AS1083" s="17">
        <v>2138</v>
      </c>
      <c r="AT1083" s="17">
        <v>49128.75</v>
      </c>
      <c r="AU1083" s="17">
        <v>7.4</v>
      </c>
      <c r="AV1083" s="17">
        <v>2.9</v>
      </c>
      <c r="AW1083" s="10" t="s">
        <v>105</v>
      </c>
      <c r="AX1083" s="17">
        <v>798</v>
      </c>
      <c r="AY1083" s="18">
        <v>22.978835360149674</v>
      </c>
      <c r="AZ1083" s="10" t="s">
        <v>136</v>
      </c>
      <c r="BA1083" s="20" t="b">
        <v>0</v>
      </c>
      <c r="BB1083" s="10"/>
      <c r="BC1083" s="17">
        <v>3381</v>
      </c>
      <c r="BD1083" s="17">
        <v>2138</v>
      </c>
      <c r="BE1083" s="17">
        <v>49128.75</v>
      </c>
      <c r="BF1083" s="17">
        <v>2.9</v>
      </c>
      <c r="BG1083" s="11">
        <f ca="1">IFERROR(__xludf.DUMMYFUNCTION("""COMPUTED_VALUE"""),45890.0833333333)</f>
        <v>45890.083333333299</v>
      </c>
      <c r="BH1083" s="17" t="s">
        <v>105</v>
      </c>
      <c r="BI1083" s="17"/>
      <c r="BJ1083" s="15"/>
      <c r="BK1083" s="15"/>
      <c r="BL1083" s="13" t="b">
        <v>0</v>
      </c>
      <c r="BM1083" s="10"/>
      <c r="BN1083" s="10" t="s">
        <v>455</v>
      </c>
      <c r="BO1083" s="11">
        <v>45883.738888888889</v>
      </c>
      <c r="BP1083" s="11">
        <v>45883.739594907405</v>
      </c>
      <c r="BQ1083" s="15">
        <v>45886.645370370374</v>
      </c>
      <c r="BR1083" s="15">
        <v>45886.835462962961</v>
      </c>
      <c r="BS1083" s="10" t="s">
        <v>455</v>
      </c>
      <c r="BT1083" s="10" t="s">
        <v>279</v>
      </c>
      <c r="BU1083" s="10" t="s">
        <v>280</v>
      </c>
      <c r="BV1083" s="10"/>
      <c r="BW1083" s="10"/>
      <c r="BX1083" s="10"/>
      <c r="BY1083" s="23"/>
      <c r="BZ1083" s="23"/>
      <c r="CA1083" s="19" t="s">
        <v>8550</v>
      </c>
      <c r="CB1083" s="23"/>
      <c r="CC1083" s="23"/>
      <c r="CD1083" s="23"/>
      <c r="CE1083" s="23"/>
      <c r="CF1083" s="23"/>
      <c r="CG1083" s="23"/>
      <c r="CH1083" s="23"/>
      <c r="CI1083" s="23"/>
    </row>
    <row r="1084" spans="1:87" x14ac:dyDescent="0.3">
      <c r="A1084" s="9" t="s">
        <v>8551</v>
      </c>
      <c r="B1084" s="10" t="s">
        <v>8552</v>
      </c>
      <c r="C1084" s="11">
        <v>45896.083333333336</v>
      </c>
      <c r="D1084" s="12">
        <v>8.3333333333333329E-2</v>
      </c>
      <c r="E1084" s="11">
        <v>45896.166666666664</v>
      </c>
      <c r="F1084" s="10" t="s">
        <v>3563</v>
      </c>
      <c r="G1084" s="13" t="b">
        <v>0</v>
      </c>
      <c r="H1084" s="10" t="s">
        <v>3564</v>
      </c>
      <c r="I1084" s="10" t="s">
        <v>89</v>
      </c>
      <c r="J1084" s="13" t="b">
        <v>0</v>
      </c>
      <c r="K1084" s="13" t="b">
        <v>1</v>
      </c>
      <c r="L1084" s="10" t="s">
        <v>124</v>
      </c>
      <c r="M1084" s="10" t="s">
        <v>91</v>
      </c>
      <c r="N1084" s="10" t="s">
        <v>92</v>
      </c>
      <c r="O1084" s="19" t="s">
        <v>8553</v>
      </c>
      <c r="P1084" s="10"/>
      <c r="Q1084" s="10" t="s">
        <v>94</v>
      </c>
      <c r="R1084" s="10"/>
      <c r="S1084" s="19" t="s">
        <v>8554</v>
      </c>
      <c r="T1084" s="10"/>
      <c r="U1084" s="10" t="s">
        <v>8555</v>
      </c>
      <c r="V1084" s="10" t="s">
        <v>8556</v>
      </c>
      <c r="W1084" s="10" t="s">
        <v>3569</v>
      </c>
      <c r="X1084" s="10" t="s">
        <v>130</v>
      </c>
      <c r="Y1084" s="10" t="s">
        <v>130</v>
      </c>
      <c r="Z1084" s="10" t="s">
        <v>99</v>
      </c>
      <c r="AA1084" s="10" t="s">
        <v>131</v>
      </c>
      <c r="AB1084" s="10" t="s">
        <v>3570</v>
      </c>
      <c r="AC1084" s="10" t="s">
        <v>3571</v>
      </c>
      <c r="AD1084" s="10" t="s">
        <v>8557</v>
      </c>
      <c r="AE1084" s="10" t="s">
        <v>8558</v>
      </c>
      <c r="AF1084" s="15"/>
      <c r="AG1084" s="10"/>
      <c r="AH1084" s="10"/>
      <c r="AI1084" s="10"/>
      <c r="AJ1084" s="10"/>
      <c r="AK1084" s="10" t="s">
        <v>102</v>
      </c>
      <c r="AL1084" s="10"/>
      <c r="AM1084" s="10"/>
      <c r="AN1084" s="10"/>
      <c r="AO1084" s="13" t="b">
        <v>0</v>
      </c>
      <c r="AP1084" s="10" t="s">
        <v>104</v>
      </c>
      <c r="AQ1084" s="10">
        <f ca="1">IFERROR(__xludf.DUMMYFUNCTION("""COMPUTED_VALUE"""),4525693)</f>
        <v>4525693</v>
      </c>
      <c r="AR1084" s="17">
        <v>2110</v>
      </c>
      <c r="AS1084" s="17">
        <v>1496</v>
      </c>
      <c r="AT1084" s="17">
        <v>29686</v>
      </c>
      <c r="AU1084" s="17">
        <v>0.9</v>
      </c>
      <c r="AV1084" s="17">
        <v>0.3</v>
      </c>
      <c r="AW1084" s="10" t="s">
        <v>105</v>
      </c>
      <c r="AX1084" s="17">
        <v>323</v>
      </c>
      <c r="AY1084" s="18">
        <v>19.843582887700535</v>
      </c>
      <c r="AZ1084" s="10" t="s">
        <v>136</v>
      </c>
      <c r="BA1084" s="20" t="b">
        <v>0</v>
      </c>
      <c r="BB1084" s="10"/>
      <c r="BC1084" s="17">
        <v>2110</v>
      </c>
      <c r="BD1084" s="17">
        <v>1496</v>
      </c>
      <c r="BE1084" s="17">
        <v>29686</v>
      </c>
      <c r="BF1084" s="17">
        <v>0.3</v>
      </c>
      <c r="BG1084" s="11">
        <f ca="1">IFERROR(__xludf.DUMMYFUNCTION("""COMPUTED_VALUE"""),45896.0833333333)</f>
        <v>45896.083333333299</v>
      </c>
      <c r="BH1084" s="17" t="s">
        <v>105</v>
      </c>
      <c r="BI1084" s="17"/>
      <c r="BJ1084" s="15"/>
      <c r="BK1084" s="15"/>
      <c r="BL1084" s="13" t="b">
        <v>0</v>
      </c>
      <c r="BM1084" s="10"/>
      <c r="BN1084" s="10" t="s">
        <v>3292</v>
      </c>
      <c r="BO1084" s="11">
        <v>45883.744444444441</v>
      </c>
      <c r="BP1084" s="11">
        <v>45883.745972222219</v>
      </c>
      <c r="BQ1084" s="15">
        <v>45895.781458333331</v>
      </c>
      <c r="BR1084" s="15">
        <v>45895.793194444443</v>
      </c>
      <c r="BS1084" s="10"/>
      <c r="BT1084" s="10" t="s">
        <v>99</v>
      </c>
      <c r="BU1084" s="10" t="s">
        <v>456</v>
      </c>
      <c r="BV1084" s="10"/>
      <c r="BW1084" s="10"/>
      <c r="BX1084" s="10"/>
      <c r="BY1084" s="23"/>
      <c r="BZ1084" s="23"/>
      <c r="CA1084" s="19" t="s">
        <v>8559</v>
      </c>
      <c r="CB1084" s="23"/>
      <c r="CC1084" s="23"/>
      <c r="CD1084" s="23"/>
      <c r="CE1084" s="23"/>
      <c r="CF1084" s="23"/>
      <c r="CG1084" s="23"/>
      <c r="CH1084" s="23"/>
      <c r="CI1084" s="23"/>
    </row>
    <row r="1085" spans="1:87" x14ac:dyDescent="0.3">
      <c r="A1085" s="9" t="s">
        <v>8560</v>
      </c>
      <c r="B1085" s="10" t="s">
        <v>8561</v>
      </c>
      <c r="C1085" s="11">
        <v>45897.083333333336</v>
      </c>
      <c r="D1085" s="12">
        <v>8.3333333333333329E-2</v>
      </c>
      <c r="E1085" s="11">
        <v>45897.166666666664</v>
      </c>
      <c r="F1085" s="10" t="s">
        <v>3563</v>
      </c>
      <c r="G1085" s="13" t="b">
        <v>0</v>
      </c>
      <c r="H1085" s="10" t="s">
        <v>3564</v>
      </c>
      <c r="I1085" s="10" t="s">
        <v>89</v>
      </c>
      <c r="J1085" s="13" t="b">
        <v>0</v>
      </c>
      <c r="K1085" s="13" t="b">
        <v>1</v>
      </c>
      <c r="L1085" s="10" t="s">
        <v>124</v>
      </c>
      <c r="M1085" s="10" t="s">
        <v>91</v>
      </c>
      <c r="N1085" s="10" t="s">
        <v>92</v>
      </c>
      <c r="O1085" s="19" t="s">
        <v>8562</v>
      </c>
      <c r="P1085" s="10"/>
      <c r="Q1085" s="10" t="s">
        <v>94</v>
      </c>
      <c r="R1085" s="10"/>
      <c r="S1085" s="19" t="s">
        <v>8563</v>
      </c>
      <c r="T1085" s="10"/>
      <c r="U1085" s="10" t="s">
        <v>3582</v>
      </c>
      <c r="V1085" s="10" t="s">
        <v>3581</v>
      </c>
      <c r="W1085" s="10" t="s">
        <v>3569</v>
      </c>
      <c r="X1085" s="10" t="s">
        <v>130</v>
      </c>
      <c r="Y1085" s="10" t="s">
        <v>130</v>
      </c>
      <c r="Z1085" s="10" t="s">
        <v>99</v>
      </c>
      <c r="AA1085" s="10" t="s">
        <v>131</v>
      </c>
      <c r="AB1085" s="10" t="s">
        <v>3570</v>
      </c>
      <c r="AC1085" s="10" t="s">
        <v>3571</v>
      </c>
      <c r="AD1085" s="10" t="s">
        <v>8564</v>
      </c>
      <c r="AE1085" s="10" t="s">
        <v>8565</v>
      </c>
      <c r="AF1085" s="15"/>
      <c r="AG1085" s="10"/>
      <c r="AH1085" s="10"/>
      <c r="AI1085" s="10"/>
      <c r="AJ1085" s="10"/>
      <c r="AK1085" s="10" t="s">
        <v>102</v>
      </c>
      <c r="AL1085" s="10"/>
      <c r="AM1085" s="10"/>
      <c r="AN1085" s="10"/>
      <c r="AO1085" s="13" t="b">
        <v>0</v>
      </c>
      <c r="AP1085" s="10" t="s">
        <v>104</v>
      </c>
      <c r="AQ1085" s="10">
        <f ca="1">IFERROR(__xludf.DUMMYFUNCTION("""COMPUTED_VALUE"""),4525694)</f>
        <v>4525694</v>
      </c>
      <c r="AR1085" s="17">
        <v>6969</v>
      </c>
      <c r="AS1085" s="17">
        <v>4339</v>
      </c>
      <c r="AT1085" s="17">
        <v>141785.75</v>
      </c>
      <c r="AU1085" s="17">
        <v>9.4499999999999993</v>
      </c>
      <c r="AV1085" s="17">
        <v>4.2</v>
      </c>
      <c r="AW1085" s="10" t="s">
        <v>105</v>
      </c>
      <c r="AX1085" s="17">
        <v>1632</v>
      </c>
      <c r="AY1085" s="18">
        <v>32.677056925558887</v>
      </c>
      <c r="AZ1085" s="10" t="s">
        <v>136</v>
      </c>
      <c r="BA1085" s="20" t="b">
        <v>0</v>
      </c>
      <c r="BB1085" s="10"/>
      <c r="BC1085" s="17">
        <v>6969</v>
      </c>
      <c r="BD1085" s="17">
        <v>4339</v>
      </c>
      <c r="BE1085" s="17">
        <v>141785.75</v>
      </c>
      <c r="BF1085" s="17">
        <v>4.2</v>
      </c>
      <c r="BG1085" s="11">
        <f ca="1">IFERROR(__xludf.DUMMYFUNCTION("""COMPUTED_VALUE"""),45897.0833333333)</f>
        <v>45897.083333333299</v>
      </c>
      <c r="BH1085" s="17" t="s">
        <v>105</v>
      </c>
      <c r="BI1085" s="17"/>
      <c r="BJ1085" s="15"/>
      <c r="BK1085" s="15"/>
      <c r="BL1085" s="13" t="b">
        <v>0</v>
      </c>
      <c r="BM1085" s="10"/>
      <c r="BN1085" s="10" t="s">
        <v>1160</v>
      </c>
      <c r="BO1085" s="11">
        <v>45883.745138888888</v>
      </c>
      <c r="BP1085" s="11">
        <v>45883.746122685188</v>
      </c>
      <c r="BQ1085" s="15">
        <v>45895.781736111108</v>
      </c>
      <c r="BR1085" s="15">
        <v>45895.799363425926</v>
      </c>
      <c r="BS1085" s="10" t="s">
        <v>1160</v>
      </c>
      <c r="BT1085" s="10" t="s">
        <v>99</v>
      </c>
      <c r="BU1085" s="10" t="s">
        <v>793</v>
      </c>
      <c r="BV1085" s="10"/>
      <c r="BW1085" s="10"/>
      <c r="BX1085" s="10"/>
      <c r="BY1085" s="23"/>
      <c r="BZ1085" s="23"/>
      <c r="CA1085" s="19" t="s">
        <v>8566</v>
      </c>
      <c r="CB1085" s="23"/>
      <c r="CC1085" s="23"/>
      <c r="CD1085" s="23"/>
      <c r="CE1085" s="23"/>
      <c r="CF1085" s="23"/>
      <c r="CG1085" s="23"/>
      <c r="CH1085" s="23"/>
      <c r="CI1085" s="23"/>
    </row>
    <row r="1086" spans="1:87" x14ac:dyDescent="0.3">
      <c r="A1086" s="9" t="s">
        <v>8567</v>
      </c>
      <c r="B1086" s="10" t="s">
        <v>3587</v>
      </c>
      <c r="C1086" s="11">
        <v>45889.083333333336</v>
      </c>
      <c r="D1086" s="12">
        <v>8.3333333333333329E-2</v>
      </c>
      <c r="E1086" s="11">
        <v>45889.166666666664</v>
      </c>
      <c r="F1086" s="10" t="s">
        <v>3563</v>
      </c>
      <c r="G1086" s="13" t="b">
        <v>0</v>
      </c>
      <c r="H1086" s="10" t="s">
        <v>6271</v>
      </c>
      <c r="I1086" s="10" t="s">
        <v>89</v>
      </c>
      <c r="J1086" s="13" t="b">
        <v>0</v>
      </c>
      <c r="K1086" s="13" t="b">
        <v>1</v>
      </c>
      <c r="L1086" s="10" t="s">
        <v>124</v>
      </c>
      <c r="M1086" s="10" t="s">
        <v>91</v>
      </c>
      <c r="N1086" s="10" t="s">
        <v>92</v>
      </c>
      <c r="O1086" s="19" t="s">
        <v>8568</v>
      </c>
      <c r="P1086" s="10"/>
      <c r="Q1086" s="10" t="s">
        <v>94</v>
      </c>
      <c r="R1086" s="10"/>
      <c r="S1086" s="19" t="s">
        <v>8569</v>
      </c>
      <c r="T1086" s="10"/>
      <c r="U1086" s="10" t="s">
        <v>3590</v>
      </c>
      <c r="V1086" s="10" t="s">
        <v>3591</v>
      </c>
      <c r="W1086" s="10" t="s">
        <v>3569</v>
      </c>
      <c r="X1086" s="10" t="s">
        <v>130</v>
      </c>
      <c r="Y1086" s="10" t="s">
        <v>130</v>
      </c>
      <c r="Z1086" s="10" t="s">
        <v>99</v>
      </c>
      <c r="AA1086" s="10" t="s">
        <v>131</v>
      </c>
      <c r="AB1086" s="10" t="s">
        <v>3570</v>
      </c>
      <c r="AC1086" s="10" t="s">
        <v>3571</v>
      </c>
      <c r="AD1086" s="10" t="s">
        <v>3592</v>
      </c>
      <c r="AE1086" s="10" t="s">
        <v>3593</v>
      </c>
      <c r="AF1086" s="15"/>
      <c r="AG1086" s="10"/>
      <c r="AH1086" s="10"/>
      <c r="AI1086" s="10"/>
      <c r="AJ1086" s="10"/>
      <c r="AK1086" s="10" t="s">
        <v>102</v>
      </c>
      <c r="AL1086" s="10"/>
      <c r="AM1086" s="10"/>
      <c r="AN1086" s="10"/>
      <c r="AO1086" s="13" t="b">
        <v>0</v>
      </c>
      <c r="AP1086" s="10" t="s">
        <v>104</v>
      </c>
      <c r="AQ1086" s="10">
        <f ca="1">IFERROR(__xludf.DUMMYFUNCTION("""COMPUTED_VALUE"""),4506544)</f>
        <v>4506544</v>
      </c>
      <c r="AR1086" s="17">
        <v>3441</v>
      </c>
      <c r="AS1086" s="17">
        <v>2303</v>
      </c>
      <c r="AT1086" s="17">
        <v>17272.5</v>
      </c>
      <c r="AU1086" s="17">
        <v>3.15</v>
      </c>
      <c r="AV1086" s="17">
        <v>1.25</v>
      </c>
      <c r="AW1086" s="10" t="s">
        <v>105</v>
      </c>
      <c r="AX1086" s="17">
        <v>588</v>
      </c>
      <c r="AY1086" s="18">
        <v>7.5</v>
      </c>
      <c r="AZ1086" s="10" t="s">
        <v>136</v>
      </c>
      <c r="BA1086" s="20" t="b">
        <v>0</v>
      </c>
      <c r="BB1086" s="10"/>
      <c r="BC1086" s="17">
        <v>3441</v>
      </c>
      <c r="BD1086" s="17">
        <v>2303</v>
      </c>
      <c r="BE1086" s="17">
        <v>17272.5</v>
      </c>
      <c r="BF1086" s="17">
        <v>1.25</v>
      </c>
      <c r="BG1086" s="11">
        <f ca="1">IFERROR(__xludf.DUMMYFUNCTION("""COMPUTED_VALUE"""),45889.0833333333)</f>
        <v>45889.083333333299</v>
      </c>
      <c r="BH1086" s="17" t="s">
        <v>105</v>
      </c>
      <c r="BI1086" s="17"/>
      <c r="BJ1086" s="15"/>
      <c r="BK1086" s="15"/>
      <c r="BL1086" s="13" t="b">
        <v>0</v>
      </c>
      <c r="BM1086" s="10"/>
      <c r="BN1086" s="10" t="s">
        <v>157</v>
      </c>
      <c r="BO1086" s="11">
        <v>45883.754861111112</v>
      </c>
      <c r="BP1086" s="11">
        <v>45883.755219907405</v>
      </c>
      <c r="BQ1086" s="15">
        <v>45886.644884259258</v>
      </c>
      <c r="BR1086" s="15">
        <v>45886.831423611111</v>
      </c>
      <c r="BS1086" s="10" t="s">
        <v>157</v>
      </c>
      <c r="BT1086" s="10" t="s">
        <v>279</v>
      </c>
      <c r="BU1086" s="10" t="s">
        <v>5675</v>
      </c>
      <c r="BV1086" s="10"/>
      <c r="BW1086" s="10"/>
      <c r="BX1086" s="10"/>
      <c r="BY1086" s="23"/>
      <c r="BZ1086" s="23"/>
      <c r="CA1086" s="19" t="s">
        <v>8570</v>
      </c>
      <c r="CB1086" s="23"/>
      <c r="CC1086" s="23"/>
      <c r="CD1086" s="23"/>
      <c r="CE1086" s="23"/>
      <c r="CF1086" s="23"/>
      <c r="CG1086" s="23"/>
      <c r="CH1086" s="23"/>
      <c r="CI1086" s="23"/>
    </row>
    <row r="1087" spans="1:87" x14ac:dyDescent="0.3">
      <c r="A1087" s="9" t="s">
        <v>8571</v>
      </c>
      <c r="B1087" s="10" t="s">
        <v>8572</v>
      </c>
      <c r="C1087" s="11">
        <v>45890.083333333336</v>
      </c>
      <c r="D1087" s="12">
        <v>8.3333333333333329E-2</v>
      </c>
      <c r="E1087" s="11">
        <v>45890.166666666664</v>
      </c>
      <c r="F1087" s="10" t="s">
        <v>3563</v>
      </c>
      <c r="G1087" s="13" t="b">
        <v>0</v>
      </c>
      <c r="H1087" s="10" t="s">
        <v>6271</v>
      </c>
      <c r="I1087" s="10" t="s">
        <v>89</v>
      </c>
      <c r="J1087" s="13" t="b">
        <v>0</v>
      </c>
      <c r="K1087" s="13" t="b">
        <v>1</v>
      </c>
      <c r="L1087" s="10" t="s">
        <v>124</v>
      </c>
      <c r="M1087" s="10" t="s">
        <v>91</v>
      </c>
      <c r="N1087" s="10" t="s">
        <v>92</v>
      </c>
      <c r="O1087" s="19" t="s">
        <v>8573</v>
      </c>
      <c r="P1087" s="10"/>
      <c r="Q1087" s="10" t="s">
        <v>94</v>
      </c>
      <c r="R1087" s="10"/>
      <c r="S1087" s="19" t="s">
        <v>8574</v>
      </c>
      <c r="T1087" s="10"/>
      <c r="U1087" s="10" t="s">
        <v>8556</v>
      </c>
      <c r="V1087" s="10" t="s">
        <v>8555</v>
      </c>
      <c r="W1087" s="10" t="s">
        <v>3569</v>
      </c>
      <c r="X1087" s="10" t="s">
        <v>130</v>
      </c>
      <c r="Y1087" s="10" t="s">
        <v>130</v>
      </c>
      <c r="Z1087" s="10" t="s">
        <v>99</v>
      </c>
      <c r="AA1087" s="10" t="s">
        <v>131</v>
      </c>
      <c r="AB1087" s="10" t="s">
        <v>3570</v>
      </c>
      <c r="AC1087" s="10" t="s">
        <v>3571</v>
      </c>
      <c r="AD1087" s="10" t="s">
        <v>8575</v>
      </c>
      <c r="AE1087" s="10" t="s">
        <v>8576</v>
      </c>
      <c r="AF1087" s="15"/>
      <c r="AG1087" s="10"/>
      <c r="AH1087" s="10"/>
      <c r="AI1087" s="10"/>
      <c r="AJ1087" s="10"/>
      <c r="AK1087" s="10" t="s">
        <v>102</v>
      </c>
      <c r="AL1087" s="10"/>
      <c r="AM1087" s="10"/>
      <c r="AN1087" s="10"/>
      <c r="AO1087" s="13" t="b">
        <v>0</v>
      </c>
      <c r="AP1087" s="10" t="s">
        <v>104</v>
      </c>
      <c r="AQ1087" s="10">
        <f ca="1">IFERROR(__xludf.DUMMYFUNCTION("""COMPUTED_VALUE"""),4506545)</f>
        <v>4506545</v>
      </c>
      <c r="AR1087" s="17">
        <v>1942</v>
      </c>
      <c r="AS1087" s="17">
        <v>1303</v>
      </c>
      <c r="AT1087" s="17">
        <v>14865.75</v>
      </c>
      <c r="AU1087" s="17">
        <v>3</v>
      </c>
      <c r="AV1087" s="17">
        <v>0.75</v>
      </c>
      <c r="AW1087" s="10" t="s">
        <v>105</v>
      </c>
      <c r="AX1087" s="17">
        <v>274</v>
      </c>
      <c r="AY1087" s="18">
        <v>11.408864159631619</v>
      </c>
      <c r="AZ1087" s="10" t="s">
        <v>136</v>
      </c>
      <c r="BA1087" s="20" t="b">
        <v>0</v>
      </c>
      <c r="BB1087" s="10"/>
      <c r="BC1087" s="17">
        <v>1942</v>
      </c>
      <c r="BD1087" s="17">
        <v>1303</v>
      </c>
      <c r="BE1087" s="17">
        <v>14865.75</v>
      </c>
      <c r="BF1087" s="17">
        <v>0.75</v>
      </c>
      <c r="BG1087" s="11">
        <f ca="1">IFERROR(__xludf.DUMMYFUNCTION("""COMPUTED_VALUE"""),45890.0833333333)</f>
        <v>45890.083333333299</v>
      </c>
      <c r="BH1087" s="17" t="s">
        <v>105</v>
      </c>
      <c r="BI1087" s="17"/>
      <c r="BJ1087" s="15"/>
      <c r="BK1087" s="15"/>
      <c r="BL1087" s="13" t="b">
        <v>0</v>
      </c>
      <c r="BM1087" s="10"/>
      <c r="BN1087" s="10" t="s">
        <v>1057</v>
      </c>
      <c r="BO1087" s="11">
        <v>45883.755555555559</v>
      </c>
      <c r="BP1087" s="11">
        <v>45883.756631944445</v>
      </c>
      <c r="BQ1087" s="15">
        <v>45886.645208333335</v>
      </c>
      <c r="BR1087" s="15">
        <v>45886.831678240742</v>
      </c>
      <c r="BS1087" s="10"/>
      <c r="BT1087" s="10" t="s">
        <v>279</v>
      </c>
      <c r="BU1087" s="10" t="s">
        <v>298</v>
      </c>
      <c r="BV1087" s="10"/>
      <c r="BW1087" s="10"/>
      <c r="BX1087" s="10"/>
      <c r="BY1087" s="23"/>
      <c r="BZ1087" s="23"/>
      <c r="CA1087" s="19" t="s">
        <v>8577</v>
      </c>
      <c r="CB1087" s="23"/>
      <c r="CC1087" s="23"/>
      <c r="CD1087" s="23"/>
      <c r="CE1087" s="23"/>
      <c r="CF1087" s="23"/>
      <c r="CG1087" s="23"/>
      <c r="CH1087" s="23"/>
      <c r="CI1087" s="23"/>
    </row>
    <row r="1088" spans="1:87" x14ac:dyDescent="0.3">
      <c r="A1088" s="9" t="s">
        <v>8578</v>
      </c>
      <c r="B1088" s="10" t="s">
        <v>8579</v>
      </c>
      <c r="C1088" s="11">
        <v>45895.989583333336</v>
      </c>
      <c r="D1088" s="12">
        <v>8.3333333333333329E-2</v>
      </c>
      <c r="E1088" s="11">
        <v>45896.072916666664</v>
      </c>
      <c r="F1088" s="10" t="s">
        <v>3563</v>
      </c>
      <c r="G1088" s="13" t="b">
        <v>0</v>
      </c>
      <c r="H1088" s="10" t="s">
        <v>6271</v>
      </c>
      <c r="I1088" s="10" t="s">
        <v>89</v>
      </c>
      <c r="J1088" s="13" t="b">
        <v>0</v>
      </c>
      <c r="K1088" s="13" t="b">
        <v>1</v>
      </c>
      <c r="L1088" s="10" t="s">
        <v>124</v>
      </c>
      <c r="M1088" s="10" t="s">
        <v>91</v>
      </c>
      <c r="N1088" s="10" t="s">
        <v>92</v>
      </c>
      <c r="O1088" s="19" t="s">
        <v>8580</v>
      </c>
      <c r="P1088" s="10"/>
      <c r="Q1088" s="10" t="s">
        <v>94</v>
      </c>
      <c r="R1088" s="10"/>
      <c r="S1088" s="19" t="s">
        <v>8581</v>
      </c>
      <c r="T1088" s="10"/>
      <c r="U1088" s="10" t="s">
        <v>7811</v>
      </c>
      <c r="V1088" s="10" t="s">
        <v>8547</v>
      </c>
      <c r="W1088" s="10" t="s">
        <v>3569</v>
      </c>
      <c r="X1088" s="10" t="s">
        <v>130</v>
      </c>
      <c r="Y1088" s="10" t="s">
        <v>130</v>
      </c>
      <c r="Z1088" s="10" t="s">
        <v>99</v>
      </c>
      <c r="AA1088" s="10" t="s">
        <v>131</v>
      </c>
      <c r="AB1088" s="10" t="s">
        <v>3570</v>
      </c>
      <c r="AC1088" s="10" t="s">
        <v>3571</v>
      </c>
      <c r="AD1088" s="10" t="s">
        <v>8582</v>
      </c>
      <c r="AE1088" s="10" t="s">
        <v>8583</v>
      </c>
      <c r="AF1088" s="15"/>
      <c r="AG1088" s="10"/>
      <c r="AH1088" s="10"/>
      <c r="AI1088" s="10"/>
      <c r="AJ1088" s="10"/>
      <c r="AK1088" s="10" t="s">
        <v>102</v>
      </c>
      <c r="AL1088" s="10"/>
      <c r="AM1088" s="10"/>
      <c r="AN1088" s="10"/>
      <c r="AO1088" s="13" t="b">
        <v>0</v>
      </c>
      <c r="AP1088" s="10" t="s">
        <v>104</v>
      </c>
      <c r="AQ1088" s="10">
        <f ca="1">IFERROR(__xludf.DUMMYFUNCTION("""COMPUTED_VALUE"""),4525692)</f>
        <v>4525692</v>
      </c>
      <c r="AR1088" s="17">
        <v>5335</v>
      </c>
      <c r="AS1088" s="17">
        <v>4157</v>
      </c>
      <c r="AT1088" s="17">
        <v>158086</v>
      </c>
      <c r="AU1088" s="17">
        <v>20.9</v>
      </c>
      <c r="AV1088" s="17">
        <v>6.55</v>
      </c>
      <c r="AW1088" s="10" t="s">
        <v>105</v>
      </c>
      <c r="AX1088" s="17">
        <v>1558</v>
      </c>
      <c r="AY1088" s="18">
        <v>38.028866971373589</v>
      </c>
      <c r="AZ1088" s="10" t="s">
        <v>136</v>
      </c>
      <c r="BA1088" s="20" t="b">
        <v>0</v>
      </c>
      <c r="BB1088" s="10"/>
      <c r="BC1088" s="17">
        <v>5335</v>
      </c>
      <c r="BD1088" s="17">
        <v>4157</v>
      </c>
      <c r="BE1088" s="17">
        <v>158086</v>
      </c>
      <c r="BF1088" s="17">
        <v>6.55</v>
      </c>
      <c r="BG1088" s="11">
        <f ca="1">IFERROR(__xludf.DUMMYFUNCTION("""COMPUTED_VALUE"""),45895.9895833333)</f>
        <v>45895.989583333299</v>
      </c>
      <c r="BH1088" s="17" t="s">
        <v>105</v>
      </c>
      <c r="BI1088" s="17"/>
      <c r="BJ1088" s="15"/>
      <c r="BK1088" s="15"/>
      <c r="BL1088" s="13" t="b">
        <v>0</v>
      </c>
      <c r="BM1088" s="10"/>
      <c r="BN1088" s="10" t="s">
        <v>1160</v>
      </c>
      <c r="BO1088" s="11">
        <v>45883.756944444445</v>
      </c>
      <c r="BP1088" s="11">
        <v>45883.758333333331</v>
      </c>
      <c r="BQ1088" s="15">
        <v>45895.720983796295</v>
      </c>
      <c r="BR1088" s="15">
        <v>45895.792939814812</v>
      </c>
      <c r="BS1088" s="10" t="s">
        <v>1160</v>
      </c>
      <c r="BT1088" s="10" t="s">
        <v>279</v>
      </c>
      <c r="BU1088" s="10" t="s">
        <v>298</v>
      </c>
      <c r="BV1088" s="10"/>
      <c r="BW1088" s="10"/>
      <c r="BX1088" s="10"/>
      <c r="BY1088" s="23"/>
      <c r="BZ1088" s="23"/>
      <c r="CA1088" s="19" t="s">
        <v>8584</v>
      </c>
      <c r="CB1088" s="23"/>
      <c r="CC1088" s="23"/>
      <c r="CD1088" s="23"/>
      <c r="CE1088" s="23"/>
      <c r="CF1088" s="23"/>
      <c r="CG1088" s="23"/>
      <c r="CH1088" s="23"/>
      <c r="CI1088" s="23"/>
    </row>
    <row r="1089" spans="1:87" x14ac:dyDescent="0.3">
      <c r="A1089" s="9" t="s">
        <v>8585</v>
      </c>
      <c r="B1089" s="10" t="s">
        <v>8586</v>
      </c>
      <c r="C1089" s="11">
        <v>45897.083333333336</v>
      </c>
      <c r="D1089" s="12">
        <v>8.3333333333333329E-2</v>
      </c>
      <c r="E1089" s="11">
        <v>45897.166666666664</v>
      </c>
      <c r="F1089" s="10" t="s">
        <v>3563</v>
      </c>
      <c r="G1089" s="13" t="b">
        <v>0</v>
      </c>
      <c r="H1089" s="10" t="s">
        <v>6271</v>
      </c>
      <c r="I1089" s="10" t="s">
        <v>89</v>
      </c>
      <c r="J1089" s="13" t="b">
        <v>0</v>
      </c>
      <c r="K1089" s="13" t="b">
        <v>1</v>
      </c>
      <c r="L1089" s="10" t="s">
        <v>124</v>
      </c>
      <c r="M1089" s="10" t="s">
        <v>91</v>
      </c>
      <c r="N1089" s="10" t="s">
        <v>92</v>
      </c>
      <c r="O1089" s="19" t="s">
        <v>8587</v>
      </c>
      <c r="P1089" s="10"/>
      <c r="Q1089" s="10" t="s">
        <v>94</v>
      </c>
      <c r="R1089" s="10"/>
      <c r="S1089" s="19" t="s">
        <v>8588</v>
      </c>
      <c r="T1089" s="10"/>
      <c r="U1089" s="10" t="s">
        <v>3568</v>
      </c>
      <c r="V1089" s="10" t="s">
        <v>3567</v>
      </c>
      <c r="W1089" s="10" t="s">
        <v>3569</v>
      </c>
      <c r="X1089" s="10" t="s">
        <v>130</v>
      </c>
      <c r="Y1089" s="10" t="s">
        <v>130</v>
      </c>
      <c r="Z1089" s="10" t="s">
        <v>99</v>
      </c>
      <c r="AA1089" s="10" t="s">
        <v>131</v>
      </c>
      <c r="AB1089" s="10" t="s">
        <v>3570</v>
      </c>
      <c r="AC1089" s="10" t="s">
        <v>3571</v>
      </c>
      <c r="AD1089" s="10" t="s">
        <v>8589</v>
      </c>
      <c r="AE1089" s="10" t="s">
        <v>8590</v>
      </c>
      <c r="AF1089" s="15"/>
      <c r="AG1089" s="10"/>
      <c r="AH1089" s="10"/>
      <c r="AI1089" s="10"/>
      <c r="AJ1089" s="10"/>
      <c r="AK1089" s="10" t="s">
        <v>102</v>
      </c>
      <c r="AL1089" s="10"/>
      <c r="AM1089" s="10"/>
      <c r="AN1089" s="10"/>
      <c r="AO1089" s="13" t="b">
        <v>0</v>
      </c>
      <c r="AP1089" s="10" t="s">
        <v>104</v>
      </c>
      <c r="AQ1089" s="10">
        <f ca="1">IFERROR(__xludf.DUMMYFUNCTION("""COMPUTED_VALUE"""),4525695)</f>
        <v>4525695</v>
      </c>
      <c r="AR1089" s="17">
        <v>2148</v>
      </c>
      <c r="AS1089" s="17">
        <v>1523</v>
      </c>
      <c r="AT1089" s="17">
        <v>12639.25</v>
      </c>
      <c r="AU1089" s="17">
        <v>1</v>
      </c>
      <c r="AV1089" s="17">
        <v>0</v>
      </c>
      <c r="AW1089" s="10" t="s">
        <v>105</v>
      </c>
      <c r="AX1089" s="17">
        <v>296</v>
      </c>
      <c r="AY1089" s="18">
        <v>8.2989166119500979</v>
      </c>
      <c r="AZ1089" s="10" t="s">
        <v>136</v>
      </c>
      <c r="BA1089" s="20" t="b">
        <v>0</v>
      </c>
      <c r="BB1089" s="10"/>
      <c r="BC1089" s="17">
        <v>2148</v>
      </c>
      <c r="BD1089" s="17">
        <v>1523</v>
      </c>
      <c r="BE1089" s="17">
        <v>12639.25</v>
      </c>
      <c r="BF1089" s="17">
        <v>0</v>
      </c>
      <c r="BG1089" s="11">
        <f ca="1">IFERROR(__xludf.DUMMYFUNCTION("""COMPUTED_VALUE"""),45897.0833333333)</f>
        <v>45897.083333333299</v>
      </c>
      <c r="BH1089" s="17" t="s">
        <v>105</v>
      </c>
      <c r="BI1089" s="17"/>
      <c r="BJ1089" s="15"/>
      <c r="BK1089" s="15"/>
      <c r="BL1089" s="13" t="b">
        <v>0</v>
      </c>
      <c r="BM1089" s="10"/>
      <c r="BN1089" s="10" t="s">
        <v>3292</v>
      </c>
      <c r="BO1089" s="11">
        <v>45883.757638888892</v>
      </c>
      <c r="BP1089" s="11">
        <v>45883.757881944446</v>
      </c>
      <c r="BQ1089" s="15">
        <v>45895.781956018516</v>
      </c>
      <c r="BR1089" s="15">
        <v>45895.799537037034</v>
      </c>
      <c r="BS1089" s="10"/>
      <c r="BT1089" s="10" t="s">
        <v>99</v>
      </c>
      <c r="BU1089" s="10" t="s">
        <v>718</v>
      </c>
      <c r="BV1089" s="10"/>
      <c r="BW1089" s="10"/>
      <c r="BX1089" s="10"/>
      <c r="BY1089" s="23"/>
      <c r="BZ1089" s="23"/>
      <c r="CA1089" s="19" t="s">
        <v>8591</v>
      </c>
      <c r="CB1089" s="23"/>
      <c r="CC1089" s="23"/>
      <c r="CD1089" s="23"/>
      <c r="CE1089" s="23"/>
      <c r="CF1089" s="23"/>
      <c r="CG1089" s="23"/>
      <c r="CH1089" s="23"/>
      <c r="CI1089" s="23"/>
    </row>
    <row r="1090" spans="1:87" x14ac:dyDescent="0.3">
      <c r="A1090" s="9" t="s">
        <v>8592</v>
      </c>
      <c r="B1090" s="10" t="s">
        <v>8593</v>
      </c>
      <c r="C1090" s="11">
        <v>45914.9375</v>
      </c>
      <c r="D1090" s="12">
        <v>8.3333333333333329E-2</v>
      </c>
      <c r="E1090" s="11">
        <v>45915.020833333336</v>
      </c>
      <c r="F1090" s="10" t="s">
        <v>262</v>
      </c>
      <c r="G1090" s="13" t="b">
        <v>0</v>
      </c>
      <c r="H1090" s="10" t="s">
        <v>305</v>
      </c>
      <c r="I1090" s="10" t="s">
        <v>264</v>
      </c>
      <c r="J1090" s="13" t="b">
        <v>0</v>
      </c>
      <c r="K1090" s="13" t="b">
        <v>1</v>
      </c>
      <c r="L1090" s="10" t="s">
        <v>124</v>
      </c>
      <c r="M1090" s="10" t="s">
        <v>91</v>
      </c>
      <c r="N1090" s="10" t="s">
        <v>265</v>
      </c>
      <c r="O1090" s="19" t="s">
        <v>8594</v>
      </c>
      <c r="P1090" s="10"/>
      <c r="Q1090" s="10" t="s">
        <v>94</v>
      </c>
      <c r="R1090" s="10"/>
      <c r="S1090" s="19" t="s">
        <v>598</v>
      </c>
      <c r="T1090" s="19" t="s">
        <v>542</v>
      </c>
      <c r="U1090" s="10" t="s">
        <v>334</v>
      </c>
      <c r="V1090" s="10" t="s">
        <v>361</v>
      </c>
      <c r="W1090" s="10" t="s">
        <v>272</v>
      </c>
      <c r="X1090" s="10" t="s">
        <v>130</v>
      </c>
      <c r="Y1090" s="10" t="s">
        <v>130</v>
      </c>
      <c r="Z1090" s="10" t="s">
        <v>99</v>
      </c>
      <c r="AA1090" s="10" t="s">
        <v>131</v>
      </c>
      <c r="AB1090" s="10" t="s">
        <v>273</v>
      </c>
      <c r="AC1090" s="10" t="s">
        <v>274</v>
      </c>
      <c r="AD1090" s="10" t="s">
        <v>599</v>
      </c>
      <c r="AE1090" s="10" t="s">
        <v>8595</v>
      </c>
      <c r="AF1090" s="15"/>
      <c r="AG1090" s="10"/>
      <c r="AH1090" s="10"/>
      <c r="AI1090" s="10"/>
      <c r="AJ1090" s="10"/>
      <c r="AK1090" s="10" t="s">
        <v>102</v>
      </c>
      <c r="AL1090" s="10" t="s">
        <v>156</v>
      </c>
      <c r="AM1090" s="10"/>
      <c r="AN1090" s="10"/>
      <c r="AO1090" s="13" t="b">
        <v>0</v>
      </c>
      <c r="AP1090" s="10" t="s">
        <v>104</v>
      </c>
      <c r="AQ1090" s="10">
        <f ca="1">IFERROR(__xludf.DUMMYFUNCTION("""COMPUTED_VALUE"""),4562682)</f>
        <v>4562682</v>
      </c>
      <c r="AR1090" s="17">
        <v>20800</v>
      </c>
      <c r="AS1090" s="17">
        <v>19293</v>
      </c>
      <c r="AT1090" s="17">
        <v>79120.5</v>
      </c>
      <c r="AU1090" s="17">
        <v>85.55</v>
      </c>
      <c r="AV1090" s="17">
        <v>26.4</v>
      </c>
      <c r="AW1090" s="10" t="s">
        <v>105</v>
      </c>
      <c r="AX1090" s="17">
        <v>2557</v>
      </c>
      <c r="AY1090" s="18">
        <v>4.1009951795988187</v>
      </c>
      <c r="AZ1090" s="10" t="s">
        <v>148</v>
      </c>
      <c r="BA1090" s="20" t="b">
        <v>0</v>
      </c>
      <c r="BB1090" s="10"/>
      <c r="BC1090" s="17">
        <v>20800</v>
      </c>
      <c r="BD1090" s="17">
        <v>19293</v>
      </c>
      <c r="BE1090" s="17">
        <v>79120.5</v>
      </c>
      <c r="BF1090" s="17">
        <v>26.4</v>
      </c>
      <c r="BG1090" s="11">
        <f ca="1">IFERROR(__xludf.DUMMYFUNCTION("""COMPUTED_VALUE"""),45914.9375)</f>
        <v>45914.9375</v>
      </c>
      <c r="BH1090" s="17" t="s">
        <v>105</v>
      </c>
      <c r="BI1090" s="17"/>
      <c r="BJ1090" s="15"/>
      <c r="BK1090" s="15"/>
      <c r="BL1090" s="13" t="b">
        <v>0</v>
      </c>
      <c r="BM1090" s="10"/>
      <c r="BN1090" s="10" t="s">
        <v>8596</v>
      </c>
      <c r="BO1090" s="11">
        <v>45884.460416666669</v>
      </c>
      <c r="BP1090" s="11">
        <v>45902.762662037036</v>
      </c>
      <c r="BQ1090" s="15">
        <v>45909.813657407409</v>
      </c>
      <c r="BR1090" s="15">
        <v>45910.098067129627</v>
      </c>
      <c r="BS1090" s="10"/>
      <c r="BT1090" s="10" t="s">
        <v>99</v>
      </c>
      <c r="BU1090" s="10"/>
      <c r="BV1090" s="10"/>
      <c r="BW1090" s="10"/>
      <c r="BX1090" s="10"/>
      <c r="BY1090" s="23"/>
      <c r="BZ1090" s="24"/>
      <c r="CA1090" s="19" t="s">
        <v>602</v>
      </c>
      <c r="CB1090" s="19" t="s">
        <v>603</v>
      </c>
      <c r="CC1090" s="23"/>
      <c r="CD1090" s="23"/>
      <c r="CE1090" s="23"/>
      <c r="CF1090" s="23"/>
      <c r="CG1090" s="23"/>
      <c r="CH1090" s="23"/>
      <c r="CI1090" s="23"/>
    </row>
    <row r="1091" spans="1:87" x14ac:dyDescent="0.3">
      <c r="A1091" s="9" t="s">
        <v>8597</v>
      </c>
      <c r="B1091" s="10" t="s">
        <v>8598</v>
      </c>
      <c r="C1091" s="11">
        <v>45893.083333333336</v>
      </c>
      <c r="D1091" s="12">
        <v>8.3333333333333329E-2</v>
      </c>
      <c r="E1091" s="11">
        <v>45893.166666666664</v>
      </c>
      <c r="F1091" s="10" t="s">
        <v>3687</v>
      </c>
      <c r="G1091" s="13" t="b">
        <v>0</v>
      </c>
      <c r="H1091" s="10" t="s">
        <v>3478</v>
      </c>
      <c r="I1091" s="10" t="s">
        <v>89</v>
      </c>
      <c r="J1091" s="13" t="b">
        <v>0</v>
      </c>
      <c r="K1091" s="13" t="b">
        <v>1</v>
      </c>
      <c r="L1091" s="10" t="s">
        <v>124</v>
      </c>
      <c r="M1091" s="10" t="s">
        <v>91</v>
      </c>
      <c r="N1091" s="10" t="s">
        <v>92</v>
      </c>
      <c r="O1091" s="19" t="s">
        <v>8599</v>
      </c>
      <c r="P1091" s="10"/>
      <c r="Q1091" s="10" t="s">
        <v>126</v>
      </c>
      <c r="R1091" s="10"/>
      <c r="S1091" s="19" t="s">
        <v>8600</v>
      </c>
      <c r="T1091" s="19" t="s">
        <v>8445</v>
      </c>
      <c r="U1091" s="10" t="s">
        <v>3716</v>
      </c>
      <c r="V1091" s="10" t="s">
        <v>7752</v>
      </c>
      <c r="W1091" s="10" t="s">
        <v>3692</v>
      </c>
      <c r="X1091" s="10" t="s">
        <v>130</v>
      </c>
      <c r="Y1091" s="10" t="s">
        <v>130</v>
      </c>
      <c r="Z1091" s="10" t="s">
        <v>99</v>
      </c>
      <c r="AA1091" s="10" t="s">
        <v>131</v>
      </c>
      <c r="AB1091" s="10" t="s">
        <v>3693</v>
      </c>
      <c r="AC1091" s="10" t="s">
        <v>3694</v>
      </c>
      <c r="AD1091" s="10" t="s">
        <v>8601</v>
      </c>
      <c r="AE1091" s="10" t="s">
        <v>8602</v>
      </c>
      <c r="AF1091" s="15"/>
      <c r="AG1091" s="10"/>
      <c r="AH1091" s="10"/>
      <c r="AI1091" s="10"/>
      <c r="AJ1091" s="10" t="s">
        <v>8603</v>
      </c>
      <c r="AK1091" s="10" t="s">
        <v>102</v>
      </c>
      <c r="AL1091" s="10" t="s">
        <v>147</v>
      </c>
      <c r="AM1091" s="10"/>
      <c r="AN1091" s="10"/>
      <c r="AO1091" s="13" t="b">
        <v>0</v>
      </c>
      <c r="AP1091" s="10" t="s">
        <v>104</v>
      </c>
      <c r="AQ1091" s="10">
        <f ca="1">IFERROR(__xludf.DUMMYFUNCTION("""COMPUTED_VALUE"""),4516122)</f>
        <v>4516122</v>
      </c>
      <c r="AR1091" s="17">
        <v>1755</v>
      </c>
      <c r="AS1091" s="17">
        <v>1426</v>
      </c>
      <c r="AT1091" s="17">
        <v>14810.5</v>
      </c>
      <c r="AU1091" s="17">
        <v>1.55</v>
      </c>
      <c r="AV1091" s="17">
        <v>0.9</v>
      </c>
      <c r="AW1091" s="10" t="s">
        <v>105</v>
      </c>
      <c r="AX1091" s="17">
        <v>468</v>
      </c>
      <c r="AY1091" s="18">
        <v>10.386044880785414</v>
      </c>
      <c r="AZ1091" s="10" t="s">
        <v>148</v>
      </c>
      <c r="BA1091" s="20" t="b">
        <v>0</v>
      </c>
      <c r="BB1091" s="10"/>
      <c r="BC1091" s="17">
        <v>1755</v>
      </c>
      <c r="BD1091" s="17">
        <v>1426</v>
      </c>
      <c r="BE1091" s="17">
        <v>14810.5</v>
      </c>
      <c r="BF1091" s="17">
        <v>0.9</v>
      </c>
      <c r="BG1091" s="11">
        <f ca="1">IFERROR(__xludf.DUMMYFUNCTION("""COMPUTED_VALUE"""),45893.0833333333)</f>
        <v>45893.083333333299</v>
      </c>
      <c r="BH1091" s="17" t="s">
        <v>105</v>
      </c>
      <c r="BI1091" s="17"/>
      <c r="BJ1091" s="15"/>
      <c r="BK1091" s="15"/>
      <c r="BL1091" s="13" t="b">
        <v>0</v>
      </c>
      <c r="BM1091" s="10"/>
      <c r="BN1091" s="10" t="s">
        <v>667</v>
      </c>
      <c r="BO1091" s="11">
        <v>45887.529166666667</v>
      </c>
      <c r="BP1091" s="11">
        <v>45889.722627314812</v>
      </c>
      <c r="BQ1091" s="15">
        <v>45891.511192129627</v>
      </c>
      <c r="BR1091" s="15">
        <v>45891.886921296296</v>
      </c>
      <c r="BS1091" s="10" t="s">
        <v>667</v>
      </c>
      <c r="BT1091" s="10" t="s">
        <v>279</v>
      </c>
      <c r="BU1091" s="10" t="s">
        <v>521</v>
      </c>
      <c r="BV1091" s="10"/>
      <c r="BW1091" s="10"/>
      <c r="BX1091" s="10"/>
      <c r="BY1091" s="23"/>
      <c r="BZ1091" s="23"/>
      <c r="CA1091" s="19" t="s">
        <v>8604</v>
      </c>
      <c r="CB1091" s="19" t="s">
        <v>8605</v>
      </c>
      <c r="CC1091" s="23"/>
      <c r="CD1091" s="19" t="s">
        <v>8606</v>
      </c>
      <c r="CE1091" s="23"/>
      <c r="CF1091" s="23"/>
      <c r="CG1091" s="23"/>
      <c r="CH1091" s="23"/>
      <c r="CI1091" s="23"/>
    </row>
    <row r="1092" spans="1:87" x14ac:dyDescent="0.3">
      <c r="A1092" s="9" t="s">
        <v>8607</v>
      </c>
      <c r="B1092" s="10" t="s">
        <v>8608</v>
      </c>
      <c r="C1092" s="11">
        <v>45891.041666666664</v>
      </c>
      <c r="D1092" s="12">
        <v>8.3333333333333329E-2</v>
      </c>
      <c r="E1092" s="11">
        <v>45891.125</v>
      </c>
      <c r="F1092" s="10" t="s">
        <v>8609</v>
      </c>
      <c r="G1092" s="13" t="b">
        <v>0</v>
      </c>
      <c r="H1092" s="10" t="s">
        <v>88</v>
      </c>
      <c r="I1092" s="10" t="s">
        <v>89</v>
      </c>
      <c r="J1092" s="13" t="b">
        <v>0</v>
      </c>
      <c r="K1092" s="13" t="b">
        <v>1</v>
      </c>
      <c r="L1092" s="10" t="s">
        <v>124</v>
      </c>
      <c r="M1092" s="10" t="s">
        <v>91</v>
      </c>
      <c r="N1092" s="10" t="s">
        <v>92</v>
      </c>
      <c r="O1092" s="19" t="s">
        <v>8610</v>
      </c>
      <c r="P1092" s="10"/>
      <c r="Q1092" s="10" t="s">
        <v>94</v>
      </c>
      <c r="R1092" s="10"/>
      <c r="S1092" s="19" t="s">
        <v>8611</v>
      </c>
      <c r="T1092" s="10"/>
      <c r="U1092" s="10" t="s">
        <v>8612</v>
      </c>
      <c r="V1092" s="10" t="s">
        <v>3240</v>
      </c>
      <c r="W1092" s="10" t="s">
        <v>8613</v>
      </c>
      <c r="X1092" s="10" t="s">
        <v>130</v>
      </c>
      <c r="Y1092" s="10" t="s">
        <v>130</v>
      </c>
      <c r="Z1092" s="10" t="s">
        <v>99</v>
      </c>
      <c r="AA1092" s="10" t="s">
        <v>131</v>
      </c>
      <c r="AB1092" s="10" t="s">
        <v>8614</v>
      </c>
      <c r="AC1092" s="10" t="s">
        <v>3571</v>
      </c>
      <c r="AD1092" s="10" t="s">
        <v>8615</v>
      </c>
      <c r="AE1092" s="10" t="s">
        <v>8616</v>
      </c>
      <c r="AF1092" s="15"/>
      <c r="AG1092" s="10"/>
      <c r="AH1092" s="10"/>
      <c r="AI1092" s="10"/>
      <c r="AJ1092" s="10"/>
      <c r="AK1092" s="10" t="s">
        <v>102</v>
      </c>
      <c r="AL1092" s="10"/>
      <c r="AM1092" s="10"/>
      <c r="AN1092" s="10"/>
      <c r="AO1092" s="13" t="b">
        <v>0</v>
      </c>
      <c r="AP1092" s="10" t="s">
        <v>104</v>
      </c>
      <c r="AQ1092" s="10">
        <f ca="1">IFERROR(__xludf.DUMMYFUNCTION("""COMPUTED_VALUE"""),4512935)</f>
        <v>4512935</v>
      </c>
      <c r="AR1092" s="17">
        <v>3916</v>
      </c>
      <c r="AS1092" s="17">
        <v>3039</v>
      </c>
      <c r="AT1092" s="17">
        <v>89860.75</v>
      </c>
      <c r="AU1092" s="17">
        <v>17.350000000000001</v>
      </c>
      <c r="AV1092" s="17">
        <v>5.6</v>
      </c>
      <c r="AW1092" s="10" t="s">
        <v>105</v>
      </c>
      <c r="AX1092" s="17">
        <v>731</v>
      </c>
      <c r="AY1092" s="18">
        <v>29.569183942086212</v>
      </c>
      <c r="AZ1092" s="10" t="s">
        <v>136</v>
      </c>
      <c r="BA1092" s="20" t="b">
        <v>0</v>
      </c>
      <c r="BB1092" s="10"/>
      <c r="BC1092" s="17">
        <v>3916</v>
      </c>
      <c r="BD1092" s="17">
        <v>3039</v>
      </c>
      <c r="BE1092" s="17">
        <v>89860.75</v>
      </c>
      <c r="BF1092" s="17">
        <v>5.6</v>
      </c>
      <c r="BG1092" s="11">
        <f ca="1">IFERROR(__xludf.DUMMYFUNCTION("""COMPUTED_VALUE"""),45891.0416666666)</f>
        <v>45891.041666666599</v>
      </c>
      <c r="BH1092" s="17" t="s">
        <v>105</v>
      </c>
      <c r="BI1092" s="17"/>
      <c r="BJ1092" s="15"/>
      <c r="BK1092" s="15"/>
      <c r="BL1092" s="13" t="b">
        <v>0</v>
      </c>
      <c r="BM1092" s="10"/>
      <c r="BN1092" s="10" t="s">
        <v>118</v>
      </c>
      <c r="BO1092" s="11">
        <v>45888.506249999999</v>
      </c>
      <c r="BP1092" s="11">
        <v>45889.702094907407</v>
      </c>
      <c r="BQ1092" s="15">
        <v>45889.535624999997</v>
      </c>
      <c r="BR1092" s="15">
        <v>45889.758622685185</v>
      </c>
      <c r="BS1092" s="10" t="s">
        <v>118</v>
      </c>
      <c r="BT1092" s="10"/>
      <c r="BU1092" s="10"/>
      <c r="BV1092" s="10"/>
      <c r="BW1092" s="10"/>
      <c r="BX1092" s="10"/>
      <c r="BY1092" s="23"/>
      <c r="BZ1092" s="23"/>
      <c r="CA1092" s="19" t="s">
        <v>8617</v>
      </c>
      <c r="CB1092" s="23"/>
      <c r="CC1092" s="23"/>
      <c r="CD1092" s="23"/>
      <c r="CE1092" s="23"/>
      <c r="CF1092" s="23"/>
      <c r="CG1092" s="23"/>
      <c r="CH1092" s="23"/>
      <c r="CI1092" s="23"/>
    </row>
    <row r="1093" spans="1:87" x14ac:dyDescent="0.3">
      <c r="A1093" s="9" t="s">
        <v>8618</v>
      </c>
      <c r="B1093" s="10" t="s">
        <v>8619</v>
      </c>
      <c r="C1093" s="11">
        <v>45891.041666666664</v>
      </c>
      <c r="D1093" s="12">
        <v>8.3333333333333329E-2</v>
      </c>
      <c r="E1093" s="11">
        <v>45891.125</v>
      </c>
      <c r="F1093" s="10" t="s">
        <v>8609</v>
      </c>
      <c r="G1093" s="13" t="b">
        <v>0</v>
      </c>
      <c r="H1093" s="10" t="s">
        <v>3478</v>
      </c>
      <c r="I1093" s="10" t="s">
        <v>89</v>
      </c>
      <c r="J1093" s="13" t="b">
        <v>0</v>
      </c>
      <c r="K1093" s="13" t="b">
        <v>1</v>
      </c>
      <c r="L1093" s="10" t="s">
        <v>124</v>
      </c>
      <c r="M1093" s="10" t="s">
        <v>91</v>
      </c>
      <c r="N1093" s="10" t="s">
        <v>92</v>
      </c>
      <c r="O1093" s="19" t="s">
        <v>8620</v>
      </c>
      <c r="P1093" s="10"/>
      <c r="Q1093" s="10" t="s">
        <v>94</v>
      </c>
      <c r="R1093" s="10"/>
      <c r="S1093" s="19" t="s">
        <v>8621</v>
      </c>
      <c r="T1093" s="10"/>
      <c r="U1093" s="10" t="s">
        <v>8622</v>
      </c>
      <c r="V1093" s="10" t="s">
        <v>8623</v>
      </c>
      <c r="W1093" s="10" t="s">
        <v>8613</v>
      </c>
      <c r="X1093" s="10" t="s">
        <v>130</v>
      </c>
      <c r="Y1093" s="10" t="s">
        <v>130</v>
      </c>
      <c r="Z1093" s="10" t="s">
        <v>99</v>
      </c>
      <c r="AA1093" s="10" t="s">
        <v>131</v>
      </c>
      <c r="AB1093" s="10" t="s">
        <v>8614</v>
      </c>
      <c r="AC1093" s="10" t="s">
        <v>3571</v>
      </c>
      <c r="AD1093" s="10" t="s">
        <v>8624</v>
      </c>
      <c r="AE1093" s="10" t="s">
        <v>8625</v>
      </c>
      <c r="AF1093" s="15"/>
      <c r="AG1093" s="10"/>
      <c r="AH1093" s="10"/>
      <c r="AI1093" s="10"/>
      <c r="AJ1093" s="10"/>
      <c r="AK1093" s="10" t="s">
        <v>102</v>
      </c>
      <c r="AL1093" s="10"/>
      <c r="AM1093" s="10"/>
      <c r="AN1093" s="10"/>
      <c r="AO1093" s="13" t="b">
        <v>0</v>
      </c>
      <c r="AP1093" s="10" t="s">
        <v>104</v>
      </c>
      <c r="AQ1093" s="10">
        <f ca="1">IFERROR(__xludf.DUMMYFUNCTION("""COMPUTED_VALUE"""),4512936)</f>
        <v>4512936</v>
      </c>
      <c r="AR1093" s="17">
        <v>1926</v>
      </c>
      <c r="AS1093" s="17">
        <v>1419</v>
      </c>
      <c r="AT1093" s="17">
        <v>40944.25</v>
      </c>
      <c r="AU1093" s="17">
        <v>1.75</v>
      </c>
      <c r="AV1093" s="17">
        <v>0</v>
      </c>
      <c r="AW1093" s="10" t="s">
        <v>105</v>
      </c>
      <c r="AX1093" s="17">
        <v>442</v>
      </c>
      <c r="AY1093" s="18">
        <v>28.854298801973222</v>
      </c>
      <c r="AZ1093" s="10" t="s">
        <v>136</v>
      </c>
      <c r="BA1093" s="20" t="b">
        <v>0</v>
      </c>
      <c r="BB1093" s="10"/>
      <c r="BC1093" s="17">
        <v>1926</v>
      </c>
      <c r="BD1093" s="17">
        <v>1419</v>
      </c>
      <c r="BE1093" s="17">
        <v>40944.25</v>
      </c>
      <c r="BF1093" s="17">
        <v>0</v>
      </c>
      <c r="BG1093" s="11">
        <f ca="1">IFERROR(__xludf.DUMMYFUNCTION("""COMPUTED_VALUE"""),45891.0416666666)</f>
        <v>45891.041666666599</v>
      </c>
      <c r="BH1093" s="17" t="s">
        <v>105</v>
      </c>
      <c r="BI1093" s="17"/>
      <c r="BJ1093" s="15"/>
      <c r="BK1093" s="15"/>
      <c r="BL1093" s="13" t="b">
        <v>0</v>
      </c>
      <c r="BM1093" s="10"/>
      <c r="BN1093" s="10" t="s">
        <v>118</v>
      </c>
      <c r="BO1093" s="11">
        <v>45888.513194444444</v>
      </c>
      <c r="BP1093" s="11">
        <v>45889.702268518522</v>
      </c>
      <c r="BQ1093" s="15">
        <v>45889.535810185182</v>
      </c>
      <c r="BR1093" s="15">
        <v>45889.758796296293</v>
      </c>
      <c r="BS1093" s="10" t="s">
        <v>118</v>
      </c>
      <c r="BT1093" s="10"/>
      <c r="BU1093" s="10"/>
      <c r="BV1093" s="10"/>
      <c r="BW1093" s="10"/>
      <c r="BX1093" s="10"/>
      <c r="BY1093" s="23"/>
      <c r="BZ1093" s="23"/>
      <c r="CA1093" s="19" t="s">
        <v>8626</v>
      </c>
      <c r="CB1093" s="23"/>
      <c r="CC1093" s="23"/>
      <c r="CD1093" s="23"/>
      <c r="CE1093" s="23"/>
      <c r="CF1093" s="23"/>
      <c r="CG1093" s="23"/>
      <c r="CH1093" s="23"/>
      <c r="CI1093" s="23"/>
    </row>
    <row r="1094" spans="1:87" x14ac:dyDescent="0.3">
      <c r="A1094" s="9" t="s">
        <v>8627</v>
      </c>
      <c r="B1094" s="10" t="s">
        <v>8628</v>
      </c>
      <c r="C1094" s="11">
        <v>45896.0625</v>
      </c>
      <c r="D1094" s="12">
        <v>8.3333333333333329E-2</v>
      </c>
      <c r="E1094" s="11">
        <v>45896.145833333336</v>
      </c>
      <c r="F1094" s="10" t="s">
        <v>7877</v>
      </c>
      <c r="G1094" s="13" t="b">
        <v>0</v>
      </c>
      <c r="H1094" s="10" t="s">
        <v>3215</v>
      </c>
      <c r="I1094" s="10" t="s">
        <v>89</v>
      </c>
      <c r="J1094" s="13" t="b">
        <v>0</v>
      </c>
      <c r="K1094" s="13" t="b">
        <v>1</v>
      </c>
      <c r="L1094" s="10" t="s">
        <v>124</v>
      </c>
      <c r="M1094" s="10" t="s">
        <v>91</v>
      </c>
      <c r="N1094" s="10" t="s">
        <v>92</v>
      </c>
      <c r="O1094" s="19" t="s">
        <v>8629</v>
      </c>
      <c r="P1094" s="10"/>
      <c r="Q1094" s="10" t="s">
        <v>126</v>
      </c>
      <c r="R1094" s="10"/>
      <c r="S1094" s="19" t="s">
        <v>8630</v>
      </c>
      <c r="T1094" s="19" t="s">
        <v>8631</v>
      </c>
      <c r="U1094" s="10" t="s">
        <v>333</v>
      </c>
      <c r="V1094" s="10" t="s">
        <v>451</v>
      </c>
      <c r="W1094" s="10" t="s">
        <v>7883</v>
      </c>
      <c r="X1094" s="10" t="s">
        <v>130</v>
      </c>
      <c r="Y1094" s="10" t="s">
        <v>130</v>
      </c>
      <c r="Z1094" s="10" t="s">
        <v>99</v>
      </c>
      <c r="AA1094" s="10" t="s">
        <v>131</v>
      </c>
      <c r="AB1094" s="10" t="s">
        <v>7884</v>
      </c>
      <c r="AC1094" s="10" t="s">
        <v>7885</v>
      </c>
      <c r="AD1094" s="10" t="s">
        <v>2392</v>
      </c>
      <c r="AE1094" s="10" t="s">
        <v>8632</v>
      </c>
      <c r="AF1094" s="15"/>
      <c r="AG1094" s="10"/>
      <c r="AH1094" s="10"/>
      <c r="AI1094" s="10"/>
      <c r="AJ1094" s="10"/>
      <c r="AK1094" s="10" t="s">
        <v>102</v>
      </c>
      <c r="AL1094" s="10"/>
      <c r="AM1094" s="10"/>
      <c r="AN1094" s="10"/>
      <c r="AO1094" s="13" t="b">
        <v>0</v>
      </c>
      <c r="AP1094" s="10" t="s">
        <v>104</v>
      </c>
      <c r="AQ1094" s="10">
        <f ca="1">IFERROR(__xludf.DUMMYFUNCTION("""COMPUTED_VALUE"""),4525649)</f>
        <v>4525649</v>
      </c>
      <c r="AR1094" s="17">
        <v>4862</v>
      </c>
      <c r="AS1094" s="17">
        <v>3438</v>
      </c>
      <c r="AT1094" s="17">
        <v>121386.25</v>
      </c>
      <c r="AU1094" s="17">
        <v>9.15</v>
      </c>
      <c r="AV1094" s="17">
        <v>5.75</v>
      </c>
      <c r="AW1094" s="10" t="s">
        <v>105</v>
      </c>
      <c r="AX1094" s="17">
        <v>1198</v>
      </c>
      <c r="AY1094" s="18">
        <v>35.307228039557884</v>
      </c>
      <c r="AZ1094" s="10" t="s">
        <v>106</v>
      </c>
      <c r="BA1094" s="20" t="b">
        <v>0</v>
      </c>
      <c r="BB1094" s="10"/>
      <c r="BC1094" s="17">
        <v>4862</v>
      </c>
      <c r="BD1094" s="17">
        <v>3438</v>
      </c>
      <c r="BE1094" s="17">
        <v>121386.25</v>
      </c>
      <c r="BF1094" s="17">
        <v>5.75</v>
      </c>
      <c r="BG1094" s="11">
        <f ca="1">IFERROR(__xludf.DUMMYFUNCTION("""COMPUTED_VALUE"""),45896.0625)</f>
        <v>45896.0625</v>
      </c>
      <c r="BH1094" s="17" t="s">
        <v>105</v>
      </c>
      <c r="BI1094" s="17"/>
      <c r="BJ1094" s="15"/>
      <c r="BK1094" s="15"/>
      <c r="BL1094" s="13" t="b">
        <v>0</v>
      </c>
      <c r="BM1094" s="10"/>
      <c r="BN1094" s="10" t="s">
        <v>3422</v>
      </c>
      <c r="BO1094" s="11">
        <v>45888.552083333336</v>
      </c>
      <c r="BP1094" s="11">
        <v>45894.629837962966</v>
      </c>
      <c r="BQ1094" s="15">
        <v>45895.612905092596</v>
      </c>
      <c r="BR1094" s="15">
        <v>45895.71943287037</v>
      </c>
      <c r="BS1094" s="10"/>
      <c r="BT1094" s="10" t="s">
        <v>99</v>
      </c>
      <c r="BU1094" s="10" t="s">
        <v>280</v>
      </c>
      <c r="BV1094" s="10"/>
      <c r="BW1094" s="10"/>
      <c r="BX1094" s="10"/>
      <c r="BY1094" s="23"/>
      <c r="BZ1094" s="23"/>
      <c r="CA1094" s="19" t="s">
        <v>8633</v>
      </c>
      <c r="CB1094" s="19" t="s">
        <v>8634</v>
      </c>
      <c r="CC1094" s="23"/>
      <c r="CD1094" s="19" t="s">
        <v>8635</v>
      </c>
      <c r="CE1094" s="23"/>
      <c r="CF1094" s="23"/>
      <c r="CG1094" s="23"/>
      <c r="CH1094" s="23"/>
      <c r="CI1094" s="23"/>
    </row>
    <row r="1095" spans="1:87" x14ac:dyDescent="0.3">
      <c r="A1095" s="9" t="s">
        <v>8636</v>
      </c>
      <c r="B1095" s="10" t="s">
        <v>8637</v>
      </c>
      <c r="C1095" s="11">
        <v>45896.083333333336</v>
      </c>
      <c r="D1095" s="12">
        <v>8.3333333333333329E-2</v>
      </c>
      <c r="E1095" s="11">
        <v>45896.166666666664</v>
      </c>
      <c r="F1095" s="10" t="s">
        <v>7877</v>
      </c>
      <c r="G1095" s="13" t="b">
        <v>0</v>
      </c>
      <c r="H1095" s="10" t="s">
        <v>88</v>
      </c>
      <c r="I1095" s="10" t="s">
        <v>89</v>
      </c>
      <c r="J1095" s="13" t="b">
        <v>0</v>
      </c>
      <c r="K1095" s="13" t="b">
        <v>1</v>
      </c>
      <c r="L1095" s="10" t="s">
        <v>124</v>
      </c>
      <c r="M1095" s="10" t="s">
        <v>91</v>
      </c>
      <c r="N1095" s="10" t="s">
        <v>92</v>
      </c>
      <c r="O1095" s="19" t="s">
        <v>8638</v>
      </c>
      <c r="P1095" s="10"/>
      <c r="Q1095" s="10" t="s">
        <v>94</v>
      </c>
      <c r="R1095" s="10"/>
      <c r="S1095" s="19" t="s">
        <v>8639</v>
      </c>
      <c r="T1095" s="19" t="s">
        <v>8631</v>
      </c>
      <c r="U1095" s="10" t="s">
        <v>8640</v>
      </c>
      <c r="V1095" s="10" t="s">
        <v>663</v>
      </c>
      <c r="W1095" s="10" t="s">
        <v>7883</v>
      </c>
      <c r="X1095" s="10" t="s">
        <v>130</v>
      </c>
      <c r="Y1095" s="10" t="s">
        <v>130</v>
      </c>
      <c r="Z1095" s="10" t="s">
        <v>99</v>
      </c>
      <c r="AA1095" s="10" t="s">
        <v>131</v>
      </c>
      <c r="AB1095" s="10" t="s">
        <v>7884</v>
      </c>
      <c r="AC1095" s="10" t="s">
        <v>7885</v>
      </c>
      <c r="AD1095" s="10" t="s">
        <v>8641</v>
      </c>
      <c r="AE1095" s="10" t="s">
        <v>8642</v>
      </c>
      <c r="AF1095" s="15"/>
      <c r="AG1095" s="10"/>
      <c r="AH1095" s="10"/>
      <c r="AI1095" s="10"/>
      <c r="AJ1095" s="10"/>
      <c r="AK1095" s="10" t="s">
        <v>102</v>
      </c>
      <c r="AL1095" s="10"/>
      <c r="AM1095" s="10"/>
      <c r="AN1095" s="10"/>
      <c r="AO1095" s="13" t="b">
        <v>0</v>
      </c>
      <c r="AP1095" s="10" t="s">
        <v>104</v>
      </c>
      <c r="AQ1095" s="10">
        <f ca="1">IFERROR(__xludf.DUMMYFUNCTION("""COMPUTED_VALUE"""),4525633)</f>
        <v>4525633</v>
      </c>
      <c r="AR1095" s="17">
        <v>2283</v>
      </c>
      <c r="AS1095" s="17">
        <v>1607</v>
      </c>
      <c r="AT1095" s="17">
        <v>29273.75</v>
      </c>
      <c r="AU1095" s="17">
        <v>0.85</v>
      </c>
      <c r="AV1095" s="17">
        <v>0</v>
      </c>
      <c r="AW1095" s="10" t="s">
        <v>105</v>
      </c>
      <c r="AX1095" s="17">
        <v>516</v>
      </c>
      <c r="AY1095" s="18">
        <v>18.216397013067827</v>
      </c>
      <c r="AZ1095" s="10"/>
      <c r="BA1095" s="20" t="b">
        <v>0</v>
      </c>
      <c r="BB1095" s="10"/>
      <c r="BC1095" s="17">
        <v>2283</v>
      </c>
      <c r="BD1095" s="17">
        <v>1607</v>
      </c>
      <c r="BE1095" s="17">
        <v>29273.75</v>
      </c>
      <c r="BF1095" s="17">
        <v>0</v>
      </c>
      <c r="BG1095" s="11">
        <f ca="1">IFERROR(__xludf.DUMMYFUNCTION("""COMPUTED_VALUE"""),45896.0833333333)</f>
        <v>45896.083333333299</v>
      </c>
      <c r="BH1095" s="17" t="s">
        <v>105</v>
      </c>
      <c r="BI1095" s="17"/>
      <c r="BJ1095" s="15"/>
      <c r="BK1095" s="15"/>
      <c r="BL1095" s="13" t="b">
        <v>0</v>
      </c>
      <c r="BM1095" s="10"/>
      <c r="BN1095" s="10" t="s">
        <v>106</v>
      </c>
      <c r="BO1095" s="11">
        <v>45888.553472222222</v>
      </c>
      <c r="BP1095" s="11">
        <v>45893.66777777778</v>
      </c>
      <c r="BQ1095" s="15">
        <v>45895.613171296296</v>
      </c>
      <c r="BR1095" s="15">
        <v>45895.620266203703</v>
      </c>
      <c r="BS1095" s="10"/>
      <c r="BT1095" s="10"/>
      <c r="BU1095" s="10"/>
      <c r="BV1095" s="10"/>
      <c r="BW1095" s="10"/>
      <c r="BX1095" s="10"/>
      <c r="BY1095" s="23"/>
      <c r="BZ1095" s="23"/>
      <c r="CA1095" s="19" t="s">
        <v>8643</v>
      </c>
      <c r="CB1095" s="19" t="s">
        <v>8644</v>
      </c>
      <c r="CC1095" s="23"/>
      <c r="CD1095" s="23"/>
      <c r="CE1095" s="23"/>
      <c r="CF1095" s="23"/>
      <c r="CG1095" s="23"/>
      <c r="CH1095" s="23"/>
      <c r="CI1095" s="23"/>
    </row>
    <row r="1096" spans="1:87" x14ac:dyDescent="0.3">
      <c r="A1096" s="9" t="s">
        <v>8645</v>
      </c>
      <c r="B1096" s="10" t="s">
        <v>8646</v>
      </c>
      <c r="C1096" s="11">
        <v>45897.072916666664</v>
      </c>
      <c r="D1096" s="12">
        <v>8.3333333333333329E-2</v>
      </c>
      <c r="E1096" s="11">
        <v>45897.15625</v>
      </c>
      <c r="F1096" s="10" t="s">
        <v>7877</v>
      </c>
      <c r="G1096" s="13" t="b">
        <v>0</v>
      </c>
      <c r="H1096" s="10" t="s">
        <v>88</v>
      </c>
      <c r="I1096" s="10" t="s">
        <v>89</v>
      </c>
      <c r="J1096" s="13" t="b">
        <v>0</v>
      </c>
      <c r="K1096" s="13" t="b">
        <v>1</v>
      </c>
      <c r="L1096" s="10" t="s">
        <v>124</v>
      </c>
      <c r="M1096" s="10" t="s">
        <v>91</v>
      </c>
      <c r="N1096" s="10" t="s">
        <v>92</v>
      </c>
      <c r="O1096" s="19" t="s">
        <v>8647</v>
      </c>
      <c r="P1096" s="10"/>
      <c r="Q1096" s="10" t="s">
        <v>126</v>
      </c>
      <c r="R1096" s="10"/>
      <c r="S1096" s="19" t="s">
        <v>8648</v>
      </c>
      <c r="T1096" s="19" t="s">
        <v>8631</v>
      </c>
      <c r="U1096" s="10" t="s">
        <v>7881</v>
      </c>
      <c r="V1096" s="10" t="s">
        <v>308</v>
      </c>
      <c r="W1096" s="10" t="s">
        <v>7883</v>
      </c>
      <c r="X1096" s="10" t="s">
        <v>130</v>
      </c>
      <c r="Y1096" s="10" t="s">
        <v>130</v>
      </c>
      <c r="Z1096" s="10" t="s">
        <v>99</v>
      </c>
      <c r="AA1096" s="10" t="s">
        <v>131</v>
      </c>
      <c r="AB1096" s="10" t="s">
        <v>7884</v>
      </c>
      <c r="AC1096" s="10" t="s">
        <v>7885</v>
      </c>
      <c r="AD1096" s="10" t="s">
        <v>8649</v>
      </c>
      <c r="AE1096" s="10" t="s">
        <v>8650</v>
      </c>
      <c r="AF1096" s="15"/>
      <c r="AG1096" s="10"/>
      <c r="AH1096" s="10"/>
      <c r="AI1096" s="10"/>
      <c r="AJ1096" s="10"/>
      <c r="AK1096" s="10" t="s">
        <v>102</v>
      </c>
      <c r="AL1096" s="10"/>
      <c r="AM1096" s="10"/>
      <c r="AN1096" s="10"/>
      <c r="AO1096" s="13" t="b">
        <v>0</v>
      </c>
      <c r="AP1096" s="10" t="s">
        <v>104</v>
      </c>
      <c r="AQ1096" s="10">
        <f ca="1">IFERROR(__xludf.DUMMYFUNCTION("""COMPUTED_VALUE"""),4525697)</f>
        <v>4525697</v>
      </c>
      <c r="AR1096" s="17">
        <v>9544</v>
      </c>
      <c r="AS1096" s="17">
        <v>7496</v>
      </c>
      <c r="AT1096" s="17">
        <v>71427.25</v>
      </c>
      <c r="AU1096" s="17">
        <v>16.2</v>
      </c>
      <c r="AV1096" s="17">
        <v>4</v>
      </c>
      <c r="AW1096" s="10" t="s">
        <v>105</v>
      </c>
      <c r="AX1096" s="17">
        <v>1729</v>
      </c>
      <c r="AY1096" s="18">
        <v>9.528715314834578</v>
      </c>
      <c r="AZ1096" s="10" t="s">
        <v>106</v>
      </c>
      <c r="BA1096" s="20" t="b">
        <v>0</v>
      </c>
      <c r="BB1096" s="10"/>
      <c r="BC1096" s="17">
        <v>9544</v>
      </c>
      <c r="BD1096" s="17">
        <v>7496</v>
      </c>
      <c r="BE1096" s="17">
        <v>71427.25</v>
      </c>
      <c r="BF1096" s="17">
        <v>4</v>
      </c>
      <c r="BG1096" s="11">
        <f ca="1">IFERROR(__xludf.DUMMYFUNCTION("""COMPUTED_VALUE"""),45897.0729166666)</f>
        <v>45897.072916666599</v>
      </c>
      <c r="BH1096" s="17" t="s">
        <v>105</v>
      </c>
      <c r="BI1096" s="17"/>
      <c r="BJ1096" s="15"/>
      <c r="BK1096" s="15"/>
      <c r="BL1096" s="13" t="b">
        <v>0</v>
      </c>
      <c r="BM1096" s="10"/>
      <c r="BN1096" s="10" t="s">
        <v>8651</v>
      </c>
      <c r="BO1096" s="11">
        <v>45888.554166666669</v>
      </c>
      <c r="BP1096" s="11">
        <v>45893.668043981481</v>
      </c>
      <c r="BQ1096" s="15">
        <v>45895.82440972222</v>
      </c>
      <c r="BR1096" s="15">
        <v>45895.849108796298</v>
      </c>
      <c r="BS1096" s="10"/>
      <c r="BT1096" s="10" t="s">
        <v>99</v>
      </c>
      <c r="BU1096" s="10" t="s">
        <v>421</v>
      </c>
      <c r="BV1096" s="10"/>
      <c r="BW1096" s="10"/>
      <c r="BX1096" s="10"/>
      <c r="BY1096" s="23"/>
      <c r="BZ1096" s="23"/>
      <c r="CA1096" s="19" t="s">
        <v>8652</v>
      </c>
      <c r="CB1096" s="19" t="s">
        <v>8653</v>
      </c>
      <c r="CC1096" s="23"/>
      <c r="CD1096" s="19" t="s">
        <v>8654</v>
      </c>
      <c r="CE1096" s="23"/>
      <c r="CF1096" s="23"/>
      <c r="CG1096" s="23"/>
      <c r="CH1096" s="23"/>
      <c r="CI1096" s="23"/>
    </row>
    <row r="1097" spans="1:87" x14ac:dyDescent="0.3">
      <c r="A1097" s="9" t="s">
        <v>8655</v>
      </c>
      <c r="B1097" s="10" t="s">
        <v>8656</v>
      </c>
      <c r="C1097" s="11">
        <v>45918.041666666664</v>
      </c>
      <c r="D1097" s="12">
        <v>8.3333333333333329E-2</v>
      </c>
      <c r="E1097" s="11">
        <v>45918.125</v>
      </c>
      <c r="F1097" s="10" t="s">
        <v>3687</v>
      </c>
      <c r="G1097" s="13" t="b">
        <v>0</v>
      </c>
      <c r="H1097" s="10" t="s">
        <v>88</v>
      </c>
      <c r="I1097" s="10" t="s">
        <v>89</v>
      </c>
      <c r="J1097" s="13" t="b">
        <v>0</v>
      </c>
      <c r="K1097" s="13" t="b">
        <v>1</v>
      </c>
      <c r="L1097" s="10" t="s">
        <v>124</v>
      </c>
      <c r="M1097" s="10" t="s">
        <v>91</v>
      </c>
      <c r="N1097" s="10" t="s">
        <v>92</v>
      </c>
      <c r="O1097" s="19" t="s">
        <v>8657</v>
      </c>
      <c r="P1097" s="10"/>
      <c r="Q1097" s="10" t="s">
        <v>126</v>
      </c>
      <c r="R1097" s="10"/>
      <c r="S1097" s="19" t="s">
        <v>8658</v>
      </c>
      <c r="T1097" s="10"/>
      <c r="U1097" s="10" t="s">
        <v>3690</v>
      </c>
      <c r="V1097" s="10" t="s">
        <v>4992</v>
      </c>
      <c r="W1097" s="10" t="s">
        <v>3692</v>
      </c>
      <c r="X1097" s="10" t="s">
        <v>130</v>
      </c>
      <c r="Y1097" s="10" t="s">
        <v>130</v>
      </c>
      <c r="Z1097" s="10" t="s">
        <v>99</v>
      </c>
      <c r="AA1097" s="10" t="s">
        <v>131</v>
      </c>
      <c r="AB1097" s="10" t="s">
        <v>3693</v>
      </c>
      <c r="AC1097" s="10" t="s">
        <v>3694</v>
      </c>
      <c r="AD1097" s="10" t="s">
        <v>8659</v>
      </c>
      <c r="AE1097" s="10" t="s">
        <v>8660</v>
      </c>
      <c r="AF1097" s="15"/>
      <c r="AG1097" s="10"/>
      <c r="AH1097" s="10"/>
      <c r="AI1097" s="10"/>
      <c r="AJ1097" s="10"/>
      <c r="AK1097" s="10" t="s">
        <v>102</v>
      </c>
      <c r="AL1097" s="10" t="s">
        <v>147</v>
      </c>
      <c r="AM1097" s="10"/>
      <c r="AN1097" s="10"/>
      <c r="AO1097" s="13" t="b">
        <v>0</v>
      </c>
      <c r="AP1097" s="10" t="s">
        <v>104</v>
      </c>
      <c r="AQ1097" s="10">
        <f ca="1">IFERROR(__xludf.DUMMYFUNCTION("""COMPUTED_VALUE"""),4575998)</f>
        <v>4575998</v>
      </c>
      <c r="AR1097" s="17">
        <v>10415</v>
      </c>
      <c r="AS1097" s="17">
        <v>8263</v>
      </c>
      <c r="AT1097" s="17">
        <v>85709.25</v>
      </c>
      <c r="AU1097" s="17">
        <v>28.35</v>
      </c>
      <c r="AV1097" s="17">
        <v>8.8000000000000007</v>
      </c>
      <c r="AW1097" s="10" t="s">
        <v>105</v>
      </c>
      <c r="AX1097" s="17">
        <v>1903</v>
      </c>
      <c r="AY1097" s="18">
        <v>10.372655209972166</v>
      </c>
      <c r="AZ1097" s="10" t="s">
        <v>3783</v>
      </c>
      <c r="BA1097" s="20" t="b">
        <v>0</v>
      </c>
      <c r="BB1097" s="10"/>
      <c r="BC1097" s="17">
        <v>10415</v>
      </c>
      <c r="BD1097" s="17">
        <v>8263</v>
      </c>
      <c r="BE1097" s="17">
        <v>85709.25</v>
      </c>
      <c r="BF1097" s="17">
        <v>8.8000000000000007</v>
      </c>
      <c r="BG1097" s="11">
        <f ca="1">IFERROR(__xludf.DUMMYFUNCTION("""COMPUTED_VALUE"""),45918.0416666666)</f>
        <v>45918.041666666599</v>
      </c>
      <c r="BH1097" s="17" t="s">
        <v>105</v>
      </c>
      <c r="BI1097" s="17"/>
      <c r="BJ1097" s="15"/>
      <c r="BK1097" s="15"/>
      <c r="BL1097" s="13" t="b">
        <v>0</v>
      </c>
      <c r="BM1097" s="10"/>
      <c r="BN1097" s="10" t="s">
        <v>1057</v>
      </c>
      <c r="BO1097" s="11">
        <v>45888.722222222219</v>
      </c>
      <c r="BP1097" s="11">
        <v>45915.75068287037</v>
      </c>
      <c r="BQ1097" s="15">
        <v>45912.927106481482</v>
      </c>
      <c r="BR1097" s="15">
        <v>45916.69734953704</v>
      </c>
      <c r="BS1097" s="10"/>
      <c r="BT1097" s="10" t="s">
        <v>279</v>
      </c>
      <c r="BU1097" s="10" t="s">
        <v>498</v>
      </c>
      <c r="BV1097" s="10"/>
      <c r="BW1097" s="10"/>
      <c r="BX1097" s="10"/>
      <c r="BY1097" s="23"/>
      <c r="BZ1097" s="23"/>
      <c r="CA1097" s="19" t="s">
        <v>8661</v>
      </c>
      <c r="CB1097" s="23"/>
      <c r="CC1097" s="23"/>
      <c r="CD1097" s="19" t="s">
        <v>8662</v>
      </c>
      <c r="CE1097" s="23"/>
      <c r="CF1097" s="23"/>
      <c r="CG1097" s="23"/>
      <c r="CH1097" s="23"/>
      <c r="CI1097" s="23"/>
    </row>
    <row r="1098" spans="1:87" x14ac:dyDescent="0.3">
      <c r="A1098" s="9" t="s">
        <v>8663</v>
      </c>
      <c r="B1098" s="10" t="s">
        <v>8664</v>
      </c>
      <c r="C1098" s="11">
        <v>45913.895833333336</v>
      </c>
      <c r="D1098" s="12">
        <v>8.3333333333333329E-2</v>
      </c>
      <c r="E1098" s="11">
        <v>45913.979166666664</v>
      </c>
      <c r="F1098" s="10" t="s">
        <v>3687</v>
      </c>
      <c r="G1098" s="13" t="b">
        <v>0</v>
      </c>
      <c r="H1098" s="10" t="s">
        <v>88</v>
      </c>
      <c r="I1098" s="10" t="s">
        <v>89</v>
      </c>
      <c r="J1098" s="13" t="b">
        <v>0</v>
      </c>
      <c r="K1098" s="13" t="b">
        <v>1</v>
      </c>
      <c r="L1098" s="10" t="s">
        <v>124</v>
      </c>
      <c r="M1098" s="10" t="s">
        <v>91</v>
      </c>
      <c r="N1098" s="10" t="s">
        <v>92</v>
      </c>
      <c r="O1098" s="19" t="s">
        <v>8665</v>
      </c>
      <c r="P1098" s="10"/>
      <c r="Q1098" s="10" t="s">
        <v>126</v>
      </c>
      <c r="R1098" s="10"/>
      <c r="S1098" s="19" t="s">
        <v>8666</v>
      </c>
      <c r="T1098" s="19" t="s">
        <v>8667</v>
      </c>
      <c r="U1098" s="10" t="s">
        <v>3715</v>
      </c>
      <c r="V1098" s="10" t="s">
        <v>8468</v>
      </c>
      <c r="W1098" s="10" t="s">
        <v>3692</v>
      </c>
      <c r="X1098" s="10" t="s">
        <v>130</v>
      </c>
      <c r="Y1098" s="10" t="s">
        <v>130</v>
      </c>
      <c r="Z1098" s="10" t="s">
        <v>99</v>
      </c>
      <c r="AA1098" s="10" t="s">
        <v>131</v>
      </c>
      <c r="AB1098" s="10" t="s">
        <v>3693</v>
      </c>
      <c r="AC1098" s="10" t="s">
        <v>3694</v>
      </c>
      <c r="AD1098" s="10" t="s">
        <v>8668</v>
      </c>
      <c r="AE1098" s="10" t="s">
        <v>8669</v>
      </c>
      <c r="AF1098" s="15"/>
      <c r="AG1098" s="10"/>
      <c r="AH1098" s="10"/>
      <c r="AI1098" s="10"/>
      <c r="AJ1098" s="10"/>
      <c r="AK1098" s="10" t="s">
        <v>102</v>
      </c>
      <c r="AL1098" s="10" t="s">
        <v>167</v>
      </c>
      <c r="AM1098" s="10"/>
      <c r="AN1098" s="10"/>
      <c r="AO1098" s="13" t="b">
        <v>0</v>
      </c>
      <c r="AP1098" s="10" t="s">
        <v>104</v>
      </c>
      <c r="AQ1098" s="10">
        <f ca="1">IFERROR(__xludf.DUMMYFUNCTION("""COMPUTED_VALUE"""),4558877)</f>
        <v>4558877</v>
      </c>
      <c r="AR1098" s="17">
        <v>11893</v>
      </c>
      <c r="AS1098" s="17">
        <v>9883</v>
      </c>
      <c r="AT1098" s="17">
        <v>52990</v>
      </c>
      <c r="AU1098" s="17">
        <v>27.75</v>
      </c>
      <c r="AV1098" s="17">
        <v>8</v>
      </c>
      <c r="AW1098" s="10" t="s">
        <v>105</v>
      </c>
      <c r="AX1098" s="17">
        <v>2512</v>
      </c>
      <c r="AY1098" s="18">
        <v>5.361732267530102</v>
      </c>
      <c r="AZ1098" s="10" t="s">
        <v>3783</v>
      </c>
      <c r="BA1098" s="20" t="b">
        <v>0</v>
      </c>
      <c r="BB1098" s="10"/>
      <c r="BC1098" s="17">
        <v>11893</v>
      </c>
      <c r="BD1098" s="17">
        <v>9883</v>
      </c>
      <c r="BE1098" s="17">
        <v>52990</v>
      </c>
      <c r="BF1098" s="17">
        <v>8</v>
      </c>
      <c r="BG1098" s="11">
        <f ca="1">IFERROR(__xludf.DUMMYFUNCTION("""COMPUTED_VALUE"""),45913.8958333333)</f>
        <v>45913.895833333299</v>
      </c>
      <c r="BH1098" s="17" t="s">
        <v>105</v>
      </c>
      <c r="BI1098" s="17"/>
      <c r="BJ1098" s="15"/>
      <c r="BK1098" s="15"/>
      <c r="BL1098" s="13" t="b">
        <v>0</v>
      </c>
      <c r="BM1098" s="10"/>
      <c r="BN1098" s="10" t="s">
        <v>137</v>
      </c>
      <c r="BO1098" s="11">
        <v>45888.722916666666</v>
      </c>
      <c r="BP1098" s="11">
        <v>45908.589918981481</v>
      </c>
      <c r="BQ1098" s="15">
        <v>45904.65761574074</v>
      </c>
      <c r="BR1098" s="15">
        <v>45908.61681712963</v>
      </c>
      <c r="BS1098" s="10" t="s">
        <v>137</v>
      </c>
      <c r="BT1098" s="10" t="s">
        <v>99</v>
      </c>
      <c r="BU1098" s="10" t="s">
        <v>718</v>
      </c>
      <c r="BV1098" s="10"/>
      <c r="BW1098" s="10"/>
      <c r="BX1098" s="10"/>
      <c r="BY1098" s="23"/>
      <c r="BZ1098" s="23"/>
      <c r="CA1098" s="19" t="s">
        <v>8670</v>
      </c>
      <c r="CB1098" s="19" t="s">
        <v>8671</v>
      </c>
      <c r="CC1098" s="23"/>
      <c r="CD1098" s="19" t="s">
        <v>8672</v>
      </c>
      <c r="CE1098" s="23"/>
      <c r="CF1098" s="23"/>
      <c r="CG1098" s="23"/>
      <c r="CH1098" s="23"/>
      <c r="CI1098" s="23"/>
    </row>
    <row r="1099" spans="1:87" x14ac:dyDescent="0.3">
      <c r="A1099" s="9" t="s">
        <v>8673</v>
      </c>
      <c r="B1099" s="10" t="s">
        <v>8674</v>
      </c>
      <c r="C1099" s="11">
        <v>45913.989583333336</v>
      </c>
      <c r="D1099" s="12">
        <v>8.3333333333333329E-2</v>
      </c>
      <c r="E1099" s="11">
        <v>45914.072916666664</v>
      </c>
      <c r="F1099" s="10" t="s">
        <v>3687</v>
      </c>
      <c r="G1099" s="13" t="b">
        <v>0</v>
      </c>
      <c r="H1099" s="10" t="s">
        <v>88</v>
      </c>
      <c r="I1099" s="10" t="s">
        <v>89</v>
      </c>
      <c r="J1099" s="13" t="b">
        <v>0</v>
      </c>
      <c r="K1099" s="13" t="b">
        <v>1</v>
      </c>
      <c r="L1099" s="10" t="s">
        <v>124</v>
      </c>
      <c r="M1099" s="10" t="s">
        <v>91</v>
      </c>
      <c r="N1099" s="10" t="s">
        <v>92</v>
      </c>
      <c r="O1099" s="19" t="s">
        <v>8675</v>
      </c>
      <c r="P1099" s="10"/>
      <c r="Q1099" s="10" t="s">
        <v>126</v>
      </c>
      <c r="R1099" s="10"/>
      <c r="S1099" s="19" t="s">
        <v>8676</v>
      </c>
      <c r="T1099" s="19" t="s">
        <v>8677</v>
      </c>
      <c r="U1099" s="10" t="s">
        <v>7720</v>
      </c>
      <c r="V1099" s="10" t="s">
        <v>3704</v>
      </c>
      <c r="W1099" s="10" t="s">
        <v>3692</v>
      </c>
      <c r="X1099" s="10" t="s">
        <v>130</v>
      </c>
      <c r="Y1099" s="10" t="s">
        <v>130</v>
      </c>
      <c r="Z1099" s="10" t="s">
        <v>99</v>
      </c>
      <c r="AA1099" s="10" t="s">
        <v>131</v>
      </c>
      <c r="AB1099" s="10" t="s">
        <v>3693</v>
      </c>
      <c r="AC1099" s="10" t="s">
        <v>3694</v>
      </c>
      <c r="AD1099" s="10" t="s">
        <v>8678</v>
      </c>
      <c r="AE1099" s="10" t="s">
        <v>8679</v>
      </c>
      <c r="AF1099" s="15"/>
      <c r="AG1099" s="10"/>
      <c r="AH1099" s="10"/>
      <c r="AI1099" s="10"/>
      <c r="AJ1099" s="10" t="s">
        <v>8680</v>
      </c>
      <c r="AK1099" s="10" t="s">
        <v>102</v>
      </c>
      <c r="AL1099" s="10" t="s">
        <v>167</v>
      </c>
      <c r="AM1099" s="10"/>
      <c r="AN1099" s="10"/>
      <c r="AO1099" s="13" t="b">
        <v>0</v>
      </c>
      <c r="AP1099" s="10" t="s">
        <v>104</v>
      </c>
      <c r="AQ1099" s="10">
        <f ca="1">IFERROR(__xludf.DUMMYFUNCTION("""COMPUTED_VALUE"""),4559066)</f>
        <v>4559066</v>
      </c>
      <c r="AR1099" s="17">
        <v>8091</v>
      </c>
      <c r="AS1099" s="17">
        <v>6849</v>
      </c>
      <c r="AT1099" s="17">
        <v>78002.5</v>
      </c>
      <c r="AU1099" s="17">
        <v>12.75</v>
      </c>
      <c r="AV1099" s="17">
        <v>3.45</v>
      </c>
      <c r="AW1099" s="10" t="s">
        <v>105</v>
      </c>
      <c r="AX1099" s="17">
        <v>1510</v>
      </c>
      <c r="AY1099" s="18">
        <v>11.388888888888889</v>
      </c>
      <c r="AZ1099" s="10" t="s">
        <v>3783</v>
      </c>
      <c r="BA1099" s="20" t="b">
        <v>0</v>
      </c>
      <c r="BB1099" s="10"/>
      <c r="BC1099" s="17">
        <v>8091</v>
      </c>
      <c r="BD1099" s="17">
        <v>6849</v>
      </c>
      <c r="BE1099" s="17">
        <v>78002.5</v>
      </c>
      <c r="BF1099" s="17">
        <v>3.45</v>
      </c>
      <c r="BG1099" s="11">
        <f ca="1">IFERROR(__xludf.DUMMYFUNCTION("""COMPUTED_VALUE"""),45913.9895833333)</f>
        <v>45913.989583333299</v>
      </c>
      <c r="BH1099" s="17" t="s">
        <v>105</v>
      </c>
      <c r="BI1099" s="17"/>
      <c r="BJ1099" s="15"/>
      <c r="BK1099" s="15"/>
      <c r="BL1099" s="13" t="b">
        <v>0</v>
      </c>
      <c r="BM1099" s="10"/>
      <c r="BN1099" s="10" t="s">
        <v>455</v>
      </c>
      <c r="BO1099" s="11">
        <v>45888.723611111112</v>
      </c>
      <c r="BP1099" s="11">
        <v>45908.596030092594</v>
      </c>
      <c r="BQ1099" s="15">
        <v>45908.89638888889</v>
      </c>
      <c r="BR1099" s="15">
        <v>45908.934270833335</v>
      </c>
      <c r="BS1099" s="10" t="s">
        <v>455</v>
      </c>
      <c r="BT1099" s="10" t="s">
        <v>99</v>
      </c>
      <c r="BU1099" s="10" t="s">
        <v>718</v>
      </c>
      <c r="BV1099" s="10"/>
      <c r="BW1099" s="10"/>
      <c r="BX1099" s="10"/>
      <c r="BY1099" s="23"/>
      <c r="BZ1099" s="23"/>
      <c r="CA1099" s="19" t="s">
        <v>8681</v>
      </c>
      <c r="CB1099" s="19" t="s">
        <v>8682</v>
      </c>
      <c r="CC1099" s="23"/>
      <c r="CD1099" s="19" t="s">
        <v>8683</v>
      </c>
      <c r="CE1099" s="23"/>
      <c r="CF1099" s="23"/>
      <c r="CG1099" s="23"/>
      <c r="CH1099" s="23"/>
      <c r="CI1099" s="23"/>
    </row>
    <row r="1100" spans="1:87" x14ac:dyDescent="0.3">
      <c r="A1100" s="9" t="s">
        <v>8684</v>
      </c>
      <c r="B1100" s="10" t="s">
        <v>8685</v>
      </c>
      <c r="C1100" s="11">
        <v>45914.083333333336</v>
      </c>
      <c r="D1100" s="12">
        <v>8.3333333333333329E-2</v>
      </c>
      <c r="E1100" s="11">
        <v>45914.166666666664</v>
      </c>
      <c r="F1100" s="10" t="s">
        <v>3687</v>
      </c>
      <c r="G1100" s="13" t="b">
        <v>0</v>
      </c>
      <c r="H1100" s="10" t="s">
        <v>88</v>
      </c>
      <c r="I1100" s="10" t="s">
        <v>89</v>
      </c>
      <c r="J1100" s="13" t="b">
        <v>0</v>
      </c>
      <c r="K1100" s="13" t="b">
        <v>1</v>
      </c>
      <c r="L1100" s="10" t="s">
        <v>124</v>
      </c>
      <c r="M1100" s="10" t="s">
        <v>91</v>
      </c>
      <c r="N1100" s="10" t="s">
        <v>92</v>
      </c>
      <c r="O1100" s="19" t="s">
        <v>8686</v>
      </c>
      <c r="P1100" s="10"/>
      <c r="Q1100" s="10" t="s">
        <v>126</v>
      </c>
      <c r="R1100" s="10"/>
      <c r="S1100" s="19" t="s">
        <v>8687</v>
      </c>
      <c r="T1100" s="19" t="s">
        <v>8688</v>
      </c>
      <c r="U1100" s="10" t="s">
        <v>3690</v>
      </c>
      <c r="V1100" s="10" t="s">
        <v>8689</v>
      </c>
      <c r="W1100" s="10" t="s">
        <v>3692</v>
      </c>
      <c r="X1100" s="10" t="s">
        <v>130</v>
      </c>
      <c r="Y1100" s="10" t="s">
        <v>130</v>
      </c>
      <c r="Z1100" s="10" t="s">
        <v>99</v>
      </c>
      <c r="AA1100" s="10" t="s">
        <v>131</v>
      </c>
      <c r="AB1100" s="10" t="s">
        <v>3693</v>
      </c>
      <c r="AC1100" s="10" t="s">
        <v>3694</v>
      </c>
      <c r="AD1100" s="10" t="s">
        <v>8690</v>
      </c>
      <c r="AE1100" s="10" t="s">
        <v>8691</v>
      </c>
      <c r="AF1100" s="15"/>
      <c r="AG1100" s="10"/>
      <c r="AH1100" s="10"/>
      <c r="AI1100" s="10"/>
      <c r="AJ1100" s="10"/>
      <c r="AK1100" s="10" t="s">
        <v>102</v>
      </c>
      <c r="AL1100" s="10" t="s">
        <v>167</v>
      </c>
      <c r="AM1100" s="10"/>
      <c r="AN1100" s="10"/>
      <c r="AO1100" s="13" t="b">
        <v>0</v>
      </c>
      <c r="AP1100" s="10" t="s">
        <v>104</v>
      </c>
      <c r="AQ1100" s="10">
        <f ca="1">IFERROR(__xludf.DUMMYFUNCTION("""COMPUTED_VALUE"""),4558878)</f>
        <v>4558878</v>
      </c>
      <c r="AR1100" s="17">
        <v>2676</v>
      </c>
      <c r="AS1100" s="17">
        <v>1942</v>
      </c>
      <c r="AT1100" s="17">
        <v>26232.25</v>
      </c>
      <c r="AU1100" s="17">
        <v>2.15</v>
      </c>
      <c r="AV1100" s="17">
        <v>1.05</v>
      </c>
      <c r="AW1100" s="10" t="s">
        <v>105</v>
      </c>
      <c r="AX1100" s="17">
        <v>681</v>
      </c>
      <c r="AY1100" s="18">
        <v>13.507852729145212</v>
      </c>
      <c r="AZ1100" s="10" t="s">
        <v>3783</v>
      </c>
      <c r="BA1100" s="20" t="b">
        <v>0</v>
      </c>
      <c r="BB1100" s="10"/>
      <c r="BC1100" s="17">
        <v>2676</v>
      </c>
      <c r="BD1100" s="17">
        <v>1942</v>
      </c>
      <c r="BE1100" s="17">
        <v>26232.25</v>
      </c>
      <c r="BF1100" s="17">
        <v>1.05</v>
      </c>
      <c r="BG1100" s="11">
        <f ca="1">IFERROR(__xludf.DUMMYFUNCTION("""COMPUTED_VALUE"""),45914.0833333333)</f>
        <v>45914.083333333299</v>
      </c>
      <c r="BH1100" s="17" t="s">
        <v>105</v>
      </c>
      <c r="BI1100" s="17"/>
      <c r="BJ1100" s="15"/>
      <c r="BK1100" s="15"/>
      <c r="BL1100" s="13" t="b">
        <v>0</v>
      </c>
      <c r="BM1100" s="10"/>
      <c r="BN1100" s="10" t="s">
        <v>455</v>
      </c>
      <c r="BO1100" s="11">
        <v>45888.724305555559</v>
      </c>
      <c r="BP1100" s="11">
        <v>45908.590081018519</v>
      </c>
      <c r="BQ1100" s="15">
        <v>45904.657326388886</v>
      </c>
      <c r="BR1100" s="15">
        <v>45908.616956018515</v>
      </c>
      <c r="BS1100" s="10" t="s">
        <v>455</v>
      </c>
      <c r="BT1100" s="10" t="s">
        <v>99</v>
      </c>
      <c r="BU1100" s="10" t="s">
        <v>816</v>
      </c>
      <c r="BV1100" s="10"/>
      <c r="BW1100" s="10"/>
      <c r="BX1100" s="10"/>
      <c r="BY1100" s="23"/>
      <c r="BZ1100" s="23"/>
      <c r="CA1100" s="19" t="s">
        <v>8692</v>
      </c>
      <c r="CB1100" s="19" t="s">
        <v>8693</v>
      </c>
      <c r="CC1100" s="23"/>
      <c r="CD1100" s="19" t="s">
        <v>8694</v>
      </c>
      <c r="CE1100" s="23"/>
      <c r="CF1100" s="23"/>
      <c r="CG1100" s="23"/>
      <c r="CH1100" s="23"/>
      <c r="CI1100" s="23"/>
    </row>
    <row r="1101" spans="1:87" x14ac:dyDescent="0.3">
      <c r="A1101" s="9" t="s">
        <v>8695</v>
      </c>
      <c r="B1101" s="10" t="s">
        <v>8696</v>
      </c>
      <c r="C1101" s="11">
        <v>45914.8125</v>
      </c>
      <c r="D1101" s="12">
        <v>8.3333333333333329E-2</v>
      </c>
      <c r="E1101" s="11">
        <v>45914.895833333336</v>
      </c>
      <c r="F1101" s="10" t="s">
        <v>3687</v>
      </c>
      <c r="G1101" s="13" t="b">
        <v>0</v>
      </c>
      <c r="H1101" s="10" t="s">
        <v>88</v>
      </c>
      <c r="I1101" s="10" t="s">
        <v>89</v>
      </c>
      <c r="J1101" s="13" t="b">
        <v>0</v>
      </c>
      <c r="K1101" s="13" t="b">
        <v>1</v>
      </c>
      <c r="L1101" s="10" t="s">
        <v>124</v>
      </c>
      <c r="M1101" s="10" t="s">
        <v>91</v>
      </c>
      <c r="N1101" s="10" t="s">
        <v>92</v>
      </c>
      <c r="O1101" s="19" t="s">
        <v>8697</v>
      </c>
      <c r="P1101" s="10"/>
      <c r="Q1101" s="10" t="s">
        <v>126</v>
      </c>
      <c r="R1101" s="10"/>
      <c r="S1101" s="19" t="s">
        <v>8698</v>
      </c>
      <c r="T1101" s="19" t="s">
        <v>8699</v>
      </c>
      <c r="U1101" s="10" t="s">
        <v>7719</v>
      </c>
      <c r="V1101" s="10" t="s">
        <v>3727</v>
      </c>
      <c r="W1101" s="10" t="s">
        <v>3692</v>
      </c>
      <c r="X1101" s="10" t="s">
        <v>130</v>
      </c>
      <c r="Y1101" s="10" t="s">
        <v>130</v>
      </c>
      <c r="Z1101" s="10" t="s">
        <v>99</v>
      </c>
      <c r="AA1101" s="10" t="s">
        <v>131</v>
      </c>
      <c r="AB1101" s="10" t="s">
        <v>3693</v>
      </c>
      <c r="AC1101" s="10" t="s">
        <v>3694</v>
      </c>
      <c r="AD1101" s="10" t="s">
        <v>8700</v>
      </c>
      <c r="AE1101" s="10" t="s">
        <v>8701</v>
      </c>
      <c r="AF1101" s="15"/>
      <c r="AG1101" s="10"/>
      <c r="AH1101" s="10"/>
      <c r="AI1101" s="10"/>
      <c r="AJ1101" s="10"/>
      <c r="AK1101" s="10" t="s">
        <v>102</v>
      </c>
      <c r="AL1101" s="10" t="s">
        <v>167</v>
      </c>
      <c r="AM1101" s="10"/>
      <c r="AN1101" s="10"/>
      <c r="AO1101" s="13" t="b">
        <v>0</v>
      </c>
      <c r="AP1101" s="10" t="s">
        <v>104</v>
      </c>
      <c r="AQ1101" s="10">
        <f ca="1">IFERROR(__xludf.DUMMYFUNCTION("""COMPUTED_VALUE"""),4570988)</f>
        <v>4570988</v>
      </c>
      <c r="AR1101" s="17">
        <v>11376</v>
      </c>
      <c r="AS1101" s="17">
        <v>9307</v>
      </c>
      <c r="AT1101" s="17">
        <v>53458.75</v>
      </c>
      <c r="AU1101" s="17">
        <v>15.55</v>
      </c>
      <c r="AV1101" s="17">
        <v>8.1</v>
      </c>
      <c r="AW1101" s="10" t="s">
        <v>105</v>
      </c>
      <c r="AX1101" s="17">
        <v>2364</v>
      </c>
      <c r="AY1101" s="18">
        <v>5.7439293005264851</v>
      </c>
      <c r="AZ1101" s="10" t="s">
        <v>3783</v>
      </c>
      <c r="BA1101" s="20" t="b">
        <v>0</v>
      </c>
      <c r="BB1101" s="10"/>
      <c r="BC1101" s="17">
        <v>11376</v>
      </c>
      <c r="BD1101" s="17">
        <v>9307</v>
      </c>
      <c r="BE1101" s="17">
        <v>53458.75</v>
      </c>
      <c r="BF1101" s="17">
        <v>8.1</v>
      </c>
      <c r="BG1101" s="11">
        <f ca="1">IFERROR(__xludf.DUMMYFUNCTION("""COMPUTED_VALUE"""),45914.8125)</f>
        <v>45914.8125</v>
      </c>
      <c r="BH1101" s="17" t="s">
        <v>105</v>
      </c>
      <c r="BI1101" s="17"/>
      <c r="BJ1101" s="15"/>
      <c r="BK1101" s="15"/>
      <c r="BL1101" s="13" t="b">
        <v>0</v>
      </c>
      <c r="BM1101" s="10"/>
      <c r="BN1101" s="10" t="s">
        <v>634</v>
      </c>
      <c r="BO1101" s="11">
        <v>45888.724999999999</v>
      </c>
      <c r="BP1101" s="11">
        <v>45914.598356481481</v>
      </c>
      <c r="BQ1101" s="15">
        <v>45904.657500000001</v>
      </c>
      <c r="BR1101" s="15">
        <v>45914.623483796298</v>
      </c>
      <c r="BS1101" s="10" t="s">
        <v>634</v>
      </c>
      <c r="BT1101" s="10" t="s">
        <v>99</v>
      </c>
      <c r="BU1101" s="10" t="s">
        <v>280</v>
      </c>
      <c r="BV1101" s="10"/>
      <c r="BW1101" s="10"/>
      <c r="BX1101" s="10"/>
      <c r="BY1101" s="23"/>
      <c r="BZ1101" s="23"/>
      <c r="CA1101" s="19" t="s">
        <v>8702</v>
      </c>
      <c r="CB1101" s="19" t="s">
        <v>8703</v>
      </c>
      <c r="CC1101" s="23"/>
      <c r="CD1101" s="19" t="s">
        <v>8704</v>
      </c>
      <c r="CE1101" s="23"/>
      <c r="CF1101" s="23"/>
      <c r="CG1101" s="23"/>
      <c r="CH1101" s="23"/>
      <c r="CI1101" s="23"/>
    </row>
    <row r="1102" spans="1:87" x14ac:dyDescent="0.3">
      <c r="A1102" s="9" t="s">
        <v>8705</v>
      </c>
      <c r="B1102" s="10" t="s">
        <v>8401</v>
      </c>
      <c r="C1102" s="11">
        <v>45899.791666666664</v>
      </c>
      <c r="D1102" s="12">
        <v>0.14583333333333334</v>
      </c>
      <c r="E1102" s="11">
        <v>45899.9375</v>
      </c>
      <c r="F1102" s="10" t="s">
        <v>8402</v>
      </c>
      <c r="G1102" s="13" t="b">
        <v>0</v>
      </c>
      <c r="H1102" s="10" t="s">
        <v>8403</v>
      </c>
      <c r="I1102" s="10" t="s">
        <v>212</v>
      </c>
      <c r="J1102" s="13" t="b">
        <v>1</v>
      </c>
      <c r="K1102" s="13" t="b">
        <v>0</v>
      </c>
      <c r="L1102" s="10" t="s">
        <v>124</v>
      </c>
      <c r="M1102" s="10" t="s">
        <v>91</v>
      </c>
      <c r="N1102" s="10" t="s">
        <v>92</v>
      </c>
      <c r="O1102" s="19" t="s">
        <v>8706</v>
      </c>
      <c r="P1102" s="10"/>
      <c r="Q1102" s="10" t="s">
        <v>126</v>
      </c>
      <c r="R1102" s="19" t="s">
        <v>8707</v>
      </c>
      <c r="S1102" s="19" t="s">
        <v>8708</v>
      </c>
      <c r="T1102" s="10"/>
      <c r="U1102" s="10"/>
      <c r="V1102" s="10"/>
      <c r="W1102" s="10" t="s">
        <v>8407</v>
      </c>
      <c r="X1102" s="10" t="s">
        <v>8408</v>
      </c>
      <c r="Y1102" s="10" t="s">
        <v>8409</v>
      </c>
      <c r="Z1102" s="10" t="s">
        <v>99</v>
      </c>
      <c r="AA1102" s="10" t="s">
        <v>100</v>
      </c>
      <c r="AB1102" s="10" t="s">
        <v>8410</v>
      </c>
      <c r="AC1102" s="10"/>
      <c r="AD1102" s="10" t="s">
        <v>165</v>
      </c>
      <c r="AE1102" s="10" t="s">
        <v>8411</v>
      </c>
      <c r="AF1102" s="15"/>
      <c r="AG1102" s="10"/>
      <c r="AH1102" s="10"/>
      <c r="AI1102" s="10"/>
      <c r="AJ1102" s="10"/>
      <c r="AK1102" s="10" t="s">
        <v>102</v>
      </c>
      <c r="AL1102" s="10"/>
      <c r="AM1102" s="10"/>
      <c r="AN1102" s="10"/>
      <c r="AO1102" s="13" t="b">
        <v>0</v>
      </c>
      <c r="AP1102" s="10"/>
      <c r="AQ1102" s="10">
        <f ca="1">IFERROR(__xludf.DUMMYFUNCTION("""COMPUTED_VALUE"""),4525601)</f>
        <v>4525601</v>
      </c>
      <c r="AR1102" s="17">
        <v>5079</v>
      </c>
      <c r="AS1102" s="17">
        <v>3948</v>
      </c>
      <c r="AT1102" s="17">
        <v>37101.5</v>
      </c>
      <c r="AU1102" s="17">
        <v>6.5</v>
      </c>
      <c r="AV1102" s="17">
        <v>1.65</v>
      </c>
      <c r="AW1102" s="10" t="s">
        <v>105</v>
      </c>
      <c r="AX1102" s="17">
        <v>736</v>
      </c>
      <c r="AY1102" s="18">
        <v>9.397543059777103</v>
      </c>
      <c r="AZ1102" s="10" t="s">
        <v>3783</v>
      </c>
      <c r="BA1102" s="20" t="b">
        <v>0</v>
      </c>
      <c r="BB1102" s="10"/>
      <c r="BC1102" s="17">
        <v>5079</v>
      </c>
      <c r="BD1102" s="17">
        <v>3948</v>
      </c>
      <c r="BE1102" s="17">
        <v>37101.5</v>
      </c>
      <c r="BF1102" s="17">
        <v>1.65</v>
      </c>
      <c r="BG1102" s="11">
        <f ca="1">IFERROR(__xludf.DUMMYFUNCTION("""COMPUTED_VALUE"""),45899.7916666666)</f>
        <v>45899.791666666599</v>
      </c>
      <c r="BH1102" s="17" t="s">
        <v>105</v>
      </c>
      <c r="BI1102" s="17"/>
      <c r="BJ1102" s="15"/>
      <c r="BK1102" s="15"/>
      <c r="BL1102" s="13" t="b">
        <v>0</v>
      </c>
      <c r="BM1102" s="10"/>
      <c r="BN1102" s="10" t="s">
        <v>118</v>
      </c>
      <c r="BO1102" s="11">
        <v>45889.503472222219</v>
      </c>
      <c r="BP1102" s="11">
        <v>45889.50403935185</v>
      </c>
      <c r="BQ1102" s="15">
        <v>45895.45994212963</v>
      </c>
      <c r="BR1102" s="15">
        <v>45895.485752314817</v>
      </c>
      <c r="BS1102" s="10" t="s">
        <v>118</v>
      </c>
      <c r="BT1102" s="10"/>
      <c r="BU1102" s="10"/>
      <c r="BV1102" s="10"/>
      <c r="BW1102" s="10"/>
      <c r="BX1102" s="10"/>
      <c r="BY1102" s="23"/>
      <c r="BZ1102" s="23"/>
      <c r="CA1102" s="19" t="s">
        <v>8709</v>
      </c>
      <c r="CB1102" s="23"/>
      <c r="CC1102" s="23"/>
      <c r="CD1102" s="19" t="s">
        <v>8710</v>
      </c>
      <c r="CE1102" s="23"/>
      <c r="CF1102" s="23"/>
      <c r="CG1102" s="23"/>
      <c r="CH1102" s="23"/>
      <c r="CI1102" s="23"/>
    </row>
    <row r="1103" spans="1:87" x14ac:dyDescent="0.3">
      <c r="A1103" s="9" t="s">
        <v>8711</v>
      </c>
      <c r="B1103" s="10" t="s">
        <v>8712</v>
      </c>
      <c r="C1103" s="11">
        <v>45899.875</v>
      </c>
      <c r="D1103" s="12">
        <v>8.3333333333333329E-2</v>
      </c>
      <c r="E1103" s="11">
        <v>45899.958333333336</v>
      </c>
      <c r="F1103" s="10" t="s">
        <v>7613</v>
      </c>
      <c r="G1103" s="13" t="b">
        <v>0</v>
      </c>
      <c r="H1103" s="10" t="s">
        <v>88</v>
      </c>
      <c r="I1103" s="10" t="s">
        <v>89</v>
      </c>
      <c r="J1103" s="13" t="b">
        <v>0</v>
      </c>
      <c r="K1103" s="13" t="b">
        <v>1</v>
      </c>
      <c r="L1103" s="10" t="s">
        <v>124</v>
      </c>
      <c r="M1103" s="10" t="s">
        <v>91</v>
      </c>
      <c r="N1103" s="10" t="s">
        <v>265</v>
      </c>
      <c r="O1103" s="19" t="s">
        <v>8713</v>
      </c>
      <c r="P1103" s="10"/>
      <c r="Q1103" s="10" t="s">
        <v>94</v>
      </c>
      <c r="R1103" s="10"/>
      <c r="S1103" s="19" t="s">
        <v>8714</v>
      </c>
      <c r="T1103" s="19" t="s">
        <v>8715</v>
      </c>
      <c r="U1103" s="10" t="s">
        <v>8716</v>
      </c>
      <c r="V1103" s="10" t="s">
        <v>7633</v>
      </c>
      <c r="W1103" s="10" t="s">
        <v>7620</v>
      </c>
      <c r="X1103" s="10" t="s">
        <v>130</v>
      </c>
      <c r="Y1103" s="10" t="s">
        <v>130</v>
      </c>
      <c r="Z1103" s="10" t="s">
        <v>99</v>
      </c>
      <c r="AA1103" s="10" t="s">
        <v>131</v>
      </c>
      <c r="AB1103" s="10" t="s">
        <v>7621</v>
      </c>
      <c r="AC1103" s="10" t="s">
        <v>274</v>
      </c>
      <c r="AD1103" s="10" t="s">
        <v>8717</v>
      </c>
      <c r="AE1103" s="10" t="s">
        <v>8718</v>
      </c>
      <c r="AF1103" s="15"/>
      <c r="AG1103" s="10"/>
      <c r="AH1103" s="10"/>
      <c r="AI1103" s="10"/>
      <c r="AJ1103" s="10"/>
      <c r="AK1103" s="10" t="s">
        <v>102</v>
      </c>
      <c r="AL1103" s="10" t="s">
        <v>156</v>
      </c>
      <c r="AM1103" s="10"/>
      <c r="AN1103" s="10"/>
      <c r="AO1103" s="13" t="b">
        <v>0</v>
      </c>
      <c r="AP1103" s="10" t="s">
        <v>104</v>
      </c>
      <c r="AQ1103" s="10">
        <f ca="1">IFERROR(__xludf.DUMMYFUNCTION("""COMPUTED_VALUE"""),4527714)</f>
        <v>4527714</v>
      </c>
      <c r="AR1103" s="17">
        <v>4099</v>
      </c>
      <c r="AS1103" s="17">
        <v>3324</v>
      </c>
      <c r="AT1103" s="17">
        <v>24798.75</v>
      </c>
      <c r="AU1103" s="17">
        <v>4.55</v>
      </c>
      <c r="AV1103" s="17">
        <v>1.05</v>
      </c>
      <c r="AW1103" s="10" t="s">
        <v>105</v>
      </c>
      <c r="AX1103" s="17">
        <v>532</v>
      </c>
      <c r="AY1103" s="18">
        <v>7.4605144404332133</v>
      </c>
      <c r="AZ1103" s="10" t="s">
        <v>106</v>
      </c>
      <c r="BA1103" s="20" t="b">
        <v>0</v>
      </c>
      <c r="BB1103" s="10"/>
      <c r="BC1103" s="17">
        <v>4099</v>
      </c>
      <c r="BD1103" s="17">
        <v>3324</v>
      </c>
      <c r="BE1103" s="17">
        <v>24798.75</v>
      </c>
      <c r="BF1103" s="17">
        <v>1.05</v>
      </c>
      <c r="BG1103" s="11">
        <f ca="1">IFERROR(__xludf.DUMMYFUNCTION("""COMPUTED_VALUE"""),45899.875)</f>
        <v>45899.875</v>
      </c>
      <c r="BH1103" s="17" t="s">
        <v>105</v>
      </c>
      <c r="BI1103" s="17"/>
      <c r="BJ1103" s="15"/>
      <c r="BK1103" s="15"/>
      <c r="BL1103" s="13" t="b">
        <v>0</v>
      </c>
      <c r="BM1103" s="10"/>
      <c r="BN1103" s="10" t="s">
        <v>4030</v>
      </c>
      <c r="BO1103" s="11">
        <v>45889.559027777781</v>
      </c>
      <c r="BP1103" s="11">
        <v>45892.5862037037</v>
      </c>
      <c r="BQ1103" s="15">
        <v>45896.818668981483</v>
      </c>
      <c r="BR1103" s="15">
        <v>45896.928252314814</v>
      </c>
      <c r="BS1103" s="10" t="s">
        <v>4030</v>
      </c>
      <c r="BT1103" s="10"/>
      <c r="BU1103" s="10"/>
      <c r="BV1103" s="10"/>
      <c r="BW1103" s="10"/>
      <c r="BX1103" s="10"/>
      <c r="BY1103" s="23"/>
      <c r="BZ1103" s="23"/>
      <c r="CA1103" s="19" t="s">
        <v>8719</v>
      </c>
      <c r="CB1103" s="19" t="s">
        <v>8720</v>
      </c>
      <c r="CC1103" s="23"/>
      <c r="CD1103" s="23"/>
      <c r="CE1103" s="23"/>
      <c r="CF1103" s="23"/>
      <c r="CG1103" s="23"/>
      <c r="CH1103" s="23"/>
      <c r="CI1103" s="23"/>
    </row>
    <row r="1104" spans="1:87" x14ac:dyDescent="0.3">
      <c r="A1104" s="9" t="s">
        <v>8721</v>
      </c>
      <c r="B1104" s="10" t="s">
        <v>8722</v>
      </c>
      <c r="C1104" s="11">
        <v>45913.083333333336</v>
      </c>
      <c r="D1104" s="12">
        <v>8.3333333333333329E-2</v>
      </c>
      <c r="E1104" s="11">
        <v>45913.166666666664</v>
      </c>
      <c r="F1104" s="10" t="s">
        <v>7613</v>
      </c>
      <c r="G1104" s="13" t="b">
        <v>0</v>
      </c>
      <c r="H1104" s="10" t="s">
        <v>88</v>
      </c>
      <c r="I1104" s="10" t="s">
        <v>89</v>
      </c>
      <c r="J1104" s="13" t="b">
        <v>0</v>
      </c>
      <c r="K1104" s="13" t="b">
        <v>1</v>
      </c>
      <c r="L1104" s="10" t="s">
        <v>124</v>
      </c>
      <c r="M1104" s="10" t="s">
        <v>91</v>
      </c>
      <c r="N1104" s="10" t="s">
        <v>265</v>
      </c>
      <c r="O1104" s="19" t="s">
        <v>8723</v>
      </c>
      <c r="P1104" s="10"/>
      <c r="Q1104" s="10" t="s">
        <v>126</v>
      </c>
      <c r="R1104" s="10"/>
      <c r="S1104" s="19" t="s">
        <v>8724</v>
      </c>
      <c r="T1104" s="19" t="s">
        <v>8725</v>
      </c>
      <c r="U1104" s="10" t="s">
        <v>7619</v>
      </c>
      <c r="V1104" s="10" t="s">
        <v>7903</v>
      </c>
      <c r="W1104" s="10" t="s">
        <v>7620</v>
      </c>
      <c r="X1104" s="10" t="s">
        <v>130</v>
      </c>
      <c r="Y1104" s="10" t="s">
        <v>130</v>
      </c>
      <c r="Z1104" s="10" t="s">
        <v>99</v>
      </c>
      <c r="AA1104" s="10" t="s">
        <v>131</v>
      </c>
      <c r="AB1104" s="10" t="s">
        <v>7621</v>
      </c>
      <c r="AC1104" s="10" t="s">
        <v>274</v>
      </c>
      <c r="AD1104" s="10" t="s">
        <v>8726</v>
      </c>
      <c r="AE1104" s="10" t="s">
        <v>8727</v>
      </c>
      <c r="AF1104" s="15"/>
      <c r="AG1104" s="10"/>
      <c r="AH1104" s="10"/>
      <c r="AI1104" s="10"/>
      <c r="AJ1104" s="10"/>
      <c r="AK1104" s="10" t="s">
        <v>102</v>
      </c>
      <c r="AL1104" s="10" t="s">
        <v>167</v>
      </c>
      <c r="AM1104" s="10"/>
      <c r="AN1104" s="10"/>
      <c r="AO1104" s="13" t="b">
        <v>0</v>
      </c>
      <c r="AP1104" s="10" t="s">
        <v>104</v>
      </c>
      <c r="AQ1104" s="10">
        <f ca="1">IFERROR(__xludf.DUMMYFUNCTION("""COMPUTED_VALUE"""),4558764)</f>
        <v>4558764</v>
      </c>
      <c r="AR1104" s="17">
        <v>2987</v>
      </c>
      <c r="AS1104" s="17">
        <v>2352</v>
      </c>
      <c r="AT1104" s="17">
        <v>37932.5</v>
      </c>
      <c r="AU1104" s="17">
        <v>5.2</v>
      </c>
      <c r="AV1104" s="17">
        <v>0</v>
      </c>
      <c r="AW1104" s="10" t="s">
        <v>105</v>
      </c>
      <c r="AX1104" s="17">
        <v>443</v>
      </c>
      <c r="AY1104" s="18">
        <v>16.127763605442176</v>
      </c>
      <c r="AZ1104" s="10" t="s">
        <v>106</v>
      </c>
      <c r="BA1104" s="20" t="b">
        <v>0</v>
      </c>
      <c r="BB1104" s="10"/>
      <c r="BC1104" s="17">
        <v>2987</v>
      </c>
      <c r="BD1104" s="17">
        <v>2352</v>
      </c>
      <c r="BE1104" s="17">
        <v>37932.5</v>
      </c>
      <c r="BF1104" s="17">
        <v>0</v>
      </c>
      <c r="BG1104" s="11">
        <f ca="1">IFERROR(__xludf.DUMMYFUNCTION("""COMPUTED_VALUE"""),45913.0833333333)</f>
        <v>45913.083333333299</v>
      </c>
      <c r="BH1104" s="17" t="s">
        <v>105</v>
      </c>
      <c r="BI1104" s="17"/>
      <c r="BJ1104" s="15"/>
      <c r="BK1104" s="15"/>
      <c r="BL1104" s="13" t="b">
        <v>0</v>
      </c>
      <c r="BM1104" s="10"/>
      <c r="BN1104" s="10" t="s">
        <v>197</v>
      </c>
      <c r="BO1104" s="11">
        <v>45889.569444444445</v>
      </c>
      <c r="BP1104" s="11">
        <v>45908.503784722219</v>
      </c>
      <c r="BQ1104" s="15">
        <v>45904.611759259256</v>
      </c>
      <c r="BR1104" s="15">
        <v>45908.548449074071</v>
      </c>
      <c r="BS1104" s="10" t="s">
        <v>197</v>
      </c>
      <c r="BT1104" s="10" t="s">
        <v>99</v>
      </c>
      <c r="BU1104" s="10" t="s">
        <v>816</v>
      </c>
      <c r="BV1104" s="10"/>
      <c r="BW1104" s="10"/>
      <c r="BX1104" s="10"/>
      <c r="BY1104" s="23"/>
      <c r="BZ1104" s="23"/>
      <c r="CA1104" s="19" t="s">
        <v>8728</v>
      </c>
      <c r="CB1104" s="19" t="s">
        <v>8729</v>
      </c>
      <c r="CC1104" s="23"/>
      <c r="CD1104" s="19" t="s">
        <v>8730</v>
      </c>
      <c r="CE1104" s="23"/>
      <c r="CF1104" s="23"/>
      <c r="CG1104" s="23"/>
      <c r="CH1104" s="23"/>
      <c r="CI1104" s="23"/>
    </row>
    <row r="1105" spans="1:87" x14ac:dyDescent="0.3">
      <c r="A1105" s="9" t="s">
        <v>8731</v>
      </c>
      <c r="B1105" s="10" t="s">
        <v>8732</v>
      </c>
      <c r="C1105" s="11">
        <v>45932.083333333336</v>
      </c>
      <c r="D1105" s="12">
        <v>8.3333333333333329E-2</v>
      </c>
      <c r="E1105" s="11">
        <v>45932.166666666664</v>
      </c>
      <c r="F1105" s="10" t="s">
        <v>7613</v>
      </c>
      <c r="G1105" s="13" t="b">
        <v>0</v>
      </c>
      <c r="H1105" s="10" t="s">
        <v>88</v>
      </c>
      <c r="I1105" s="10" t="s">
        <v>89</v>
      </c>
      <c r="J1105" s="13" t="b">
        <v>0</v>
      </c>
      <c r="K1105" s="13" t="b">
        <v>1</v>
      </c>
      <c r="L1105" s="10" t="s">
        <v>124</v>
      </c>
      <c r="M1105" s="10" t="s">
        <v>91</v>
      </c>
      <c r="N1105" s="10" t="s">
        <v>265</v>
      </c>
      <c r="O1105" s="19" t="s">
        <v>8733</v>
      </c>
      <c r="P1105" s="10"/>
      <c r="Q1105" s="10" t="s">
        <v>94</v>
      </c>
      <c r="R1105" s="10"/>
      <c r="S1105" s="19" t="s">
        <v>8734</v>
      </c>
      <c r="T1105" s="10"/>
      <c r="U1105" s="10" t="s">
        <v>8735</v>
      </c>
      <c r="V1105" s="10" t="s">
        <v>7881</v>
      </c>
      <c r="W1105" s="10" t="s">
        <v>7620</v>
      </c>
      <c r="X1105" s="10" t="s">
        <v>130</v>
      </c>
      <c r="Y1105" s="10" t="s">
        <v>130</v>
      </c>
      <c r="Z1105" s="10" t="s">
        <v>99</v>
      </c>
      <c r="AA1105" s="10" t="s">
        <v>131</v>
      </c>
      <c r="AB1105" s="10" t="s">
        <v>7621</v>
      </c>
      <c r="AC1105" s="10" t="s">
        <v>274</v>
      </c>
      <c r="AD1105" s="10" t="s">
        <v>8736</v>
      </c>
      <c r="AE1105" s="10" t="s">
        <v>8737</v>
      </c>
      <c r="AF1105" s="15"/>
      <c r="AG1105" s="10"/>
      <c r="AH1105" s="10"/>
      <c r="AI1105" s="10"/>
      <c r="AJ1105" s="10"/>
      <c r="AK1105" s="10" t="s">
        <v>102</v>
      </c>
      <c r="AL1105" s="10" t="s">
        <v>205</v>
      </c>
      <c r="AM1105" s="10"/>
      <c r="AN1105" s="10"/>
      <c r="AO1105" s="13" t="b">
        <v>0</v>
      </c>
      <c r="AP1105" s="10" t="s">
        <v>104</v>
      </c>
      <c r="AQ1105" s="10">
        <f ca="1">IFERROR(__xludf.DUMMYFUNCTION("""COMPUTED_VALUE"""),4614694)</f>
        <v>4614694</v>
      </c>
      <c r="AR1105" s="17">
        <v>3294</v>
      </c>
      <c r="AS1105" s="17">
        <v>2917</v>
      </c>
      <c r="AT1105" s="17">
        <v>5546</v>
      </c>
      <c r="AU1105" s="17">
        <v>0.7</v>
      </c>
      <c r="AV1105" s="17">
        <v>0.1</v>
      </c>
      <c r="AW1105" s="10" t="s">
        <v>105</v>
      </c>
      <c r="AX1105" s="17">
        <v>590</v>
      </c>
      <c r="AY1105" s="18">
        <v>1.9012684264655468</v>
      </c>
      <c r="AZ1105" s="10" t="s">
        <v>3998</v>
      </c>
      <c r="BA1105" s="20" t="b">
        <v>0</v>
      </c>
      <c r="BB1105" s="10"/>
      <c r="BC1105" s="17">
        <v>3294</v>
      </c>
      <c r="BD1105" s="17">
        <v>2917</v>
      </c>
      <c r="BE1105" s="17">
        <v>5546</v>
      </c>
      <c r="BF1105" s="17">
        <v>0.1</v>
      </c>
      <c r="BG1105" s="11">
        <f ca="1">IFERROR(__xludf.DUMMYFUNCTION("""COMPUTED_VALUE"""),45932.0833333333)</f>
        <v>45932.083333333299</v>
      </c>
      <c r="BH1105" s="17" t="s">
        <v>105</v>
      </c>
      <c r="BI1105" s="17"/>
      <c r="BJ1105" s="15"/>
      <c r="BK1105" s="15"/>
      <c r="BL1105" s="13" t="b">
        <v>0</v>
      </c>
      <c r="BM1105" s="10"/>
      <c r="BN1105" s="10" t="s">
        <v>455</v>
      </c>
      <c r="BO1105" s="11">
        <v>45889.570138888892</v>
      </c>
      <c r="BP1105" s="11">
        <v>45926.855312500003</v>
      </c>
      <c r="BQ1105" s="15">
        <v>45931.52207175926</v>
      </c>
      <c r="BR1105" s="15">
        <v>45931.537627314814</v>
      </c>
      <c r="BS1105" s="10" t="s">
        <v>455</v>
      </c>
      <c r="BT1105" s="10"/>
      <c r="BU1105" s="10"/>
      <c r="BV1105" s="10"/>
      <c r="BW1105" s="10"/>
      <c r="BX1105" s="10"/>
      <c r="BY1105" s="23"/>
      <c r="BZ1105" s="23"/>
      <c r="CA1105" s="19" t="s">
        <v>8738</v>
      </c>
      <c r="CB1105" s="23"/>
      <c r="CC1105" s="23"/>
      <c r="CD1105" s="23"/>
      <c r="CE1105" s="23"/>
      <c r="CF1105" s="23"/>
      <c r="CG1105" s="23"/>
      <c r="CH1105" s="23"/>
      <c r="CI1105" s="23"/>
    </row>
    <row r="1106" spans="1:87" x14ac:dyDescent="0.3">
      <c r="A1106" s="9" t="s">
        <v>8739</v>
      </c>
      <c r="B1106" s="10" t="s">
        <v>8740</v>
      </c>
      <c r="C1106" s="11">
        <v>45934.083333333336</v>
      </c>
      <c r="D1106" s="12">
        <v>8.3333333333333329E-2</v>
      </c>
      <c r="E1106" s="11">
        <v>45934.166666666664</v>
      </c>
      <c r="F1106" s="10" t="s">
        <v>7613</v>
      </c>
      <c r="G1106" s="13" t="b">
        <v>0</v>
      </c>
      <c r="H1106" s="10" t="s">
        <v>88</v>
      </c>
      <c r="I1106" s="10" t="s">
        <v>89</v>
      </c>
      <c r="J1106" s="13" t="b">
        <v>0</v>
      </c>
      <c r="K1106" s="13" t="b">
        <v>1</v>
      </c>
      <c r="L1106" s="10" t="s">
        <v>124</v>
      </c>
      <c r="M1106" s="10" t="s">
        <v>91</v>
      </c>
      <c r="N1106" s="10" t="s">
        <v>265</v>
      </c>
      <c r="O1106" s="19" t="s">
        <v>8741</v>
      </c>
      <c r="P1106" s="10"/>
      <c r="Q1106" s="10" t="s">
        <v>94</v>
      </c>
      <c r="R1106" s="10"/>
      <c r="S1106" s="19" t="s">
        <v>8742</v>
      </c>
      <c r="T1106" s="19" t="s">
        <v>8743</v>
      </c>
      <c r="U1106" s="10" t="s">
        <v>7633</v>
      </c>
      <c r="V1106" s="10" t="s">
        <v>7618</v>
      </c>
      <c r="W1106" s="10" t="s">
        <v>7620</v>
      </c>
      <c r="X1106" s="10" t="s">
        <v>130</v>
      </c>
      <c r="Y1106" s="10" t="s">
        <v>130</v>
      </c>
      <c r="Z1106" s="10" t="s">
        <v>99</v>
      </c>
      <c r="AA1106" s="10" t="s">
        <v>131</v>
      </c>
      <c r="AB1106" s="10" t="s">
        <v>7621</v>
      </c>
      <c r="AC1106" s="10" t="s">
        <v>274</v>
      </c>
      <c r="AD1106" s="10" t="s">
        <v>8744</v>
      </c>
      <c r="AE1106" s="10" t="s">
        <v>8745</v>
      </c>
      <c r="AF1106" s="15"/>
      <c r="AG1106" s="10"/>
      <c r="AH1106" s="10"/>
      <c r="AI1106" s="10"/>
      <c r="AJ1106" s="10"/>
      <c r="AK1106" s="10" t="s">
        <v>102</v>
      </c>
      <c r="AL1106" s="10" t="s">
        <v>205</v>
      </c>
      <c r="AM1106" s="10"/>
      <c r="AN1106" s="10"/>
      <c r="AO1106" s="13" t="b">
        <v>0</v>
      </c>
      <c r="AP1106" s="10" t="s">
        <v>104</v>
      </c>
      <c r="AQ1106" s="10">
        <f ca="1">IFERROR(__xludf.DUMMYFUNCTION("""COMPUTED_VALUE"""),4614720)</f>
        <v>4614720</v>
      </c>
      <c r="AR1106" s="17">
        <v>972</v>
      </c>
      <c r="AS1106" s="17">
        <v>808</v>
      </c>
      <c r="AT1106" s="17">
        <v>8532.75</v>
      </c>
      <c r="AU1106" s="17">
        <v>0.65</v>
      </c>
      <c r="AV1106" s="17">
        <v>0.65</v>
      </c>
      <c r="AW1106" s="10" t="s">
        <v>105</v>
      </c>
      <c r="AX1106" s="17">
        <v>152</v>
      </c>
      <c r="AY1106" s="18">
        <v>10.560334158415841</v>
      </c>
      <c r="AZ1106" s="10" t="s">
        <v>3998</v>
      </c>
      <c r="BA1106" s="20" t="b">
        <v>0</v>
      </c>
      <c r="BB1106" s="10"/>
      <c r="BC1106" s="17">
        <v>972</v>
      </c>
      <c r="BD1106" s="17">
        <v>808</v>
      </c>
      <c r="BE1106" s="17">
        <v>8532.75</v>
      </c>
      <c r="BF1106" s="17">
        <v>0.65</v>
      </c>
      <c r="BG1106" s="11">
        <f ca="1">IFERROR(__xludf.DUMMYFUNCTION("""COMPUTED_VALUE"""),45934.0833333333)</f>
        <v>45934.083333333299</v>
      </c>
      <c r="BH1106" s="17" t="s">
        <v>105</v>
      </c>
      <c r="BI1106" s="17"/>
      <c r="BJ1106" s="15"/>
      <c r="BK1106" s="15"/>
      <c r="BL1106" s="13" t="b">
        <v>0</v>
      </c>
      <c r="BM1106" s="10"/>
      <c r="BN1106" s="10" t="s">
        <v>3998</v>
      </c>
      <c r="BO1106" s="11">
        <v>45889.572916666664</v>
      </c>
      <c r="BP1106" s="11">
        <v>45926.856747685182</v>
      </c>
      <c r="BQ1106" s="15">
        <v>45931.522326388891</v>
      </c>
      <c r="BR1106" s="15">
        <v>45931.607766203706</v>
      </c>
      <c r="BS1106" s="10"/>
      <c r="BT1106" s="10"/>
      <c r="BU1106" s="10"/>
      <c r="BV1106" s="10"/>
      <c r="BW1106" s="10"/>
      <c r="BX1106" s="10"/>
      <c r="BY1106" s="23"/>
      <c r="BZ1106" s="23"/>
      <c r="CA1106" s="19" t="s">
        <v>8746</v>
      </c>
      <c r="CB1106" s="19" t="s">
        <v>8747</v>
      </c>
      <c r="CC1106" s="23"/>
      <c r="CD1106" s="23"/>
      <c r="CE1106" s="23"/>
      <c r="CF1106" s="23"/>
      <c r="CG1106" s="23"/>
      <c r="CH1106" s="23"/>
      <c r="CI1106" s="23"/>
    </row>
    <row r="1107" spans="1:87" x14ac:dyDescent="0.3">
      <c r="A1107" s="9" t="s">
        <v>8748</v>
      </c>
      <c r="B1107" s="10" t="s">
        <v>8749</v>
      </c>
      <c r="C1107" s="11">
        <v>45934.875</v>
      </c>
      <c r="D1107" s="12">
        <v>8.3333333333333329E-2</v>
      </c>
      <c r="E1107" s="11">
        <v>45934.958333333336</v>
      </c>
      <c r="F1107" s="10" t="s">
        <v>7613</v>
      </c>
      <c r="G1107" s="13" t="b">
        <v>0</v>
      </c>
      <c r="H1107" s="10" t="s">
        <v>88</v>
      </c>
      <c r="I1107" s="10" t="s">
        <v>89</v>
      </c>
      <c r="J1107" s="13" t="b">
        <v>0</v>
      </c>
      <c r="K1107" s="13" t="b">
        <v>1</v>
      </c>
      <c r="L1107" s="10" t="s">
        <v>124</v>
      </c>
      <c r="M1107" s="10" t="s">
        <v>91</v>
      </c>
      <c r="N1107" s="10" t="s">
        <v>265</v>
      </c>
      <c r="O1107" s="19" t="s">
        <v>8750</v>
      </c>
      <c r="P1107" s="10"/>
      <c r="Q1107" s="10" t="s">
        <v>94</v>
      </c>
      <c r="R1107" s="10"/>
      <c r="S1107" s="19" t="s">
        <v>8751</v>
      </c>
      <c r="T1107" s="19" t="s">
        <v>8743</v>
      </c>
      <c r="U1107" s="10" t="s">
        <v>8752</v>
      </c>
      <c r="V1107" s="10" t="s">
        <v>7881</v>
      </c>
      <c r="W1107" s="10" t="s">
        <v>7620</v>
      </c>
      <c r="X1107" s="10" t="s">
        <v>130</v>
      </c>
      <c r="Y1107" s="10" t="s">
        <v>130</v>
      </c>
      <c r="Z1107" s="10" t="s">
        <v>99</v>
      </c>
      <c r="AA1107" s="10" t="s">
        <v>131</v>
      </c>
      <c r="AB1107" s="10" t="s">
        <v>7621</v>
      </c>
      <c r="AC1107" s="10" t="s">
        <v>274</v>
      </c>
      <c r="AD1107" s="10" t="s">
        <v>8753</v>
      </c>
      <c r="AE1107" s="10" t="s">
        <v>8754</v>
      </c>
      <c r="AF1107" s="15"/>
      <c r="AG1107" s="10"/>
      <c r="AH1107" s="10"/>
      <c r="AI1107" s="10"/>
      <c r="AJ1107" s="10"/>
      <c r="AK1107" s="10" t="s">
        <v>102</v>
      </c>
      <c r="AL1107" s="10" t="s">
        <v>205</v>
      </c>
      <c r="AM1107" s="10"/>
      <c r="AN1107" s="10"/>
      <c r="AO1107" s="13" t="b">
        <v>0</v>
      </c>
      <c r="AP1107" s="10" t="s">
        <v>104</v>
      </c>
      <c r="AQ1107" s="10">
        <f ca="1">IFERROR(__xludf.DUMMYFUNCTION("""COMPUTED_VALUE"""),4627661)</f>
        <v>4627661</v>
      </c>
      <c r="AR1107" s="17">
        <v>10757</v>
      </c>
      <c r="AS1107" s="17">
        <v>9023</v>
      </c>
      <c r="AT1107" s="17">
        <v>52981.5</v>
      </c>
      <c r="AU1107" s="17">
        <v>25.45</v>
      </c>
      <c r="AV1107" s="17">
        <v>5.0999999999999996</v>
      </c>
      <c r="AW1107" s="10" t="s">
        <v>105</v>
      </c>
      <c r="AX1107" s="17">
        <v>1520</v>
      </c>
      <c r="AY1107" s="18">
        <v>5.8718275518120358</v>
      </c>
      <c r="AZ1107" s="10" t="s">
        <v>3998</v>
      </c>
      <c r="BA1107" s="20" t="b">
        <v>0</v>
      </c>
      <c r="BB1107" s="10"/>
      <c r="BC1107" s="17">
        <v>10757</v>
      </c>
      <c r="BD1107" s="17">
        <v>9023</v>
      </c>
      <c r="BE1107" s="17">
        <v>52981.5</v>
      </c>
      <c r="BF1107" s="17">
        <v>5.0999999999999996</v>
      </c>
      <c r="BG1107" s="11">
        <f ca="1">IFERROR(__xludf.DUMMYFUNCTION("""COMPUTED_VALUE"""),45934.875)</f>
        <v>45934.875</v>
      </c>
      <c r="BH1107" s="17" t="s">
        <v>105</v>
      </c>
      <c r="BI1107" s="17"/>
      <c r="BJ1107" s="15"/>
      <c r="BK1107" s="15"/>
      <c r="BL1107" s="13" t="b">
        <v>0</v>
      </c>
      <c r="BM1107" s="10"/>
      <c r="BN1107" s="10" t="s">
        <v>278</v>
      </c>
      <c r="BO1107" s="11">
        <v>45889.574305555558</v>
      </c>
      <c r="BP1107" s="11">
        <v>45933.728194444448</v>
      </c>
      <c r="BQ1107" s="15">
        <v>45932.72488425926</v>
      </c>
      <c r="BR1107" s="15">
        <v>45933.409953703704</v>
      </c>
      <c r="BS1107" s="10" t="s">
        <v>278</v>
      </c>
      <c r="BT1107" s="10" t="s">
        <v>99</v>
      </c>
      <c r="BU1107" s="10" t="s">
        <v>521</v>
      </c>
      <c r="BV1107" s="10"/>
      <c r="BW1107" s="10"/>
      <c r="BX1107" s="10"/>
      <c r="BY1107" s="23"/>
      <c r="BZ1107" s="23"/>
      <c r="CA1107" s="19" t="s">
        <v>8755</v>
      </c>
      <c r="CB1107" s="19" t="s">
        <v>8756</v>
      </c>
      <c r="CC1107" s="23"/>
      <c r="CD1107" s="23"/>
      <c r="CE1107" s="23"/>
      <c r="CF1107" s="23"/>
      <c r="CG1107" s="23"/>
      <c r="CH1107" s="23"/>
      <c r="CI1107" s="23"/>
    </row>
    <row r="1108" spans="1:87" x14ac:dyDescent="0.3">
      <c r="A1108" s="9" t="s">
        <v>8757</v>
      </c>
      <c r="B1108" s="10" t="s">
        <v>8758</v>
      </c>
      <c r="C1108" s="11">
        <v>45935.75</v>
      </c>
      <c r="D1108" s="12">
        <v>8.3333333333333329E-2</v>
      </c>
      <c r="E1108" s="11">
        <v>45935.833333333336</v>
      </c>
      <c r="F1108" s="10" t="s">
        <v>7613</v>
      </c>
      <c r="G1108" s="13" t="b">
        <v>0</v>
      </c>
      <c r="H1108" s="10" t="s">
        <v>3478</v>
      </c>
      <c r="I1108" s="10" t="s">
        <v>89</v>
      </c>
      <c r="J1108" s="13" t="b">
        <v>0</v>
      </c>
      <c r="K1108" s="13" t="b">
        <v>1</v>
      </c>
      <c r="L1108" s="10" t="s">
        <v>124</v>
      </c>
      <c r="M1108" s="10" t="s">
        <v>91</v>
      </c>
      <c r="N1108" s="10" t="s">
        <v>265</v>
      </c>
      <c r="O1108" s="19" t="s">
        <v>8759</v>
      </c>
      <c r="P1108" s="10"/>
      <c r="Q1108" s="10" t="s">
        <v>126</v>
      </c>
      <c r="R1108" s="10"/>
      <c r="S1108" s="19" t="s">
        <v>8760</v>
      </c>
      <c r="T1108" s="19" t="s">
        <v>8743</v>
      </c>
      <c r="U1108" s="10" t="s">
        <v>7619</v>
      </c>
      <c r="V1108" s="10" t="s">
        <v>8761</v>
      </c>
      <c r="W1108" s="10" t="s">
        <v>7620</v>
      </c>
      <c r="X1108" s="10" t="s">
        <v>130</v>
      </c>
      <c r="Y1108" s="10" t="s">
        <v>130</v>
      </c>
      <c r="Z1108" s="10" t="s">
        <v>99</v>
      </c>
      <c r="AA1108" s="10" t="s">
        <v>131</v>
      </c>
      <c r="AB1108" s="10" t="s">
        <v>7621</v>
      </c>
      <c r="AC1108" s="10" t="s">
        <v>274</v>
      </c>
      <c r="AD1108" s="10" t="s">
        <v>8762</v>
      </c>
      <c r="AE1108" s="10" t="s">
        <v>8763</v>
      </c>
      <c r="AF1108" s="15"/>
      <c r="AG1108" s="10"/>
      <c r="AH1108" s="10"/>
      <c r="AI1108" s="10"/>
      <c r="AJ1108" s="10"/>
      <c r="AK1108" s="10" t="s">
        <v>102</v>
      </c>
      <c r="AL1108" s="10" t="s">
        <v>205</v>
      </c>
      <c r="AM1108" s="10"/>
      <c r="AN1108" s="10"/>
      <c r="AO1108" s="13" t="b">
        <v>0</v>
      </c>
      <c r="AP1108" s="10" t="s">
        <v>104</v>
      </c>
      <c r="AQ1108" s="10">
        <f ca="1">IFERROR(__xludf.DUMMYFUNCTION("""COMPUTED_VALUE"""),4627663)</f>
        <v>4627663</v>
      </c>
      <c r="AR1108" s="17">
        <v>19200</v>
      </c>
      <c r="AS1108" s="17">
        <v>15190</v>
      </c>
      <c r="AT1108" s="17">
        <v>193094</v>
      </c>
      <c r="AU1108" s="17">
        <v>48.85</v>
      </c>
      <c r="AV1108" s="17">
        <v>12.95</v>
      </c>
      <c r="AW1108" s="10" t="s">
        <v>105</v>
      </c>
      <c r="AX1108" s="17">
        <v>3354</v>
      </c>
      <c r="AY1108" s="18">
        <v>12.71191573403555</v>
      </c>
      <c r="AZ1108" s="10" t="s">
        <v>3998</v>
      </c>
      <c r="BA1108" s="20" t="b">
        <v>0</v>
      </c>
      <c r="BB1108" s="10"/>
      <c r="BC1108" s="17">
        <v>19200</v>
      </c>
      <c r="BD1108" s="17">
        <v>15190</v>
      </c>
      <c r="BE1108" s="17">
        <v>193094</v>
      </c>
      <c r="BF1108" s="17">
        <v>12.95</v>
      </c>
      <c r="BG1108" s="11">
        <f ca="1">IFERROR(__xludf.DUMMYFUNCTION("""COMPUTED_VALUE"""),45935.75)</f>
        <v>45935.75</v>
      </c>
      <c r="BH1108" s="17" t="s">
        <v>105</v>
      </c>
      <c r="BI1108" s="17"/>
      <c r="BJ1108" s="15"/>
      <c r="BK1108" s="15"/>
      <c r="BL1108" s="13" t="b">
        <v>0</v>
      </c>
      <c r="BM1108" s="10"/>
      <c r="BN1108" s="10" t="s">
        <v>137</v>
      </c>
      <c r="BO1108" s="11">
        <v>45889.576388888891</v>
      </c>
      <c r="BP1108" s="11">
        <v>45929.477395833332</v>
      </c>
      <c r="BQ1108" s="15">
        <v>45932.725416666668</v>
      </c>
      <c r="BR1108" s="15">
        <v>45933.417488425926</v>
      </c>
      <c r="BS1108" s="10" t="s">
        <v>137</v>
      </c>
      <c r="BT1108" s="10" t="s">
        <v>99</v>
      </c>
      <c r="BU1108" s="10" t="s">
        <v>421</v>
      </c>
      <c r="BV1108" s="10"/>
      <c r="BW1108" s="10"/>
      <c r="BX1108" s="10"/>
      <c r="BY1108" s="23"/>
      <c r="BZ1108" s="23"/>
      <c r="CA1108" s="19" t="s">
        <v>8764</v>
      </c>
      <c r="CB1108" s="19" t="s">
        <v>8765</v>
      </c>
      <c r="CC1108" s="23"/>
      <c r="CD1108" s="19" t="s">
        <v>8766</v>
      </c>
      <c r="CE1108" s="23"/>
      <c r="CF1108" s="23"/>
      <c r="CG1108" s="23"/>
      <c r="CH1108" s="23"/>
      <c r="CI1108" s="23"/>
    </row>
    <row r="1109" spans="1:87" x14ac:dyDescent="0.3">
      <c r="A1109" s="9" t="s">
        <v>8767</v>
      </c>
      <c r="B1109" s="10" t="s">
        <v>8768</v>
      </c>
      <c r="C1109" s="11">
        <v>45948.083333333336</v>
      </c>
      <c r="D1109" s="12">
        <v>8.3333333333333329E-2</v>
      </c>
      <c r="E1109" s="11">
        <v>45948.166666666664</v>
      </c>
      <c r="F1109" s="10" t="s">
        <v>7613</v>
      </c>
      <c r="G1109" s="13" t="b">
        <v>0</v>
      </c>
      <c r="H1109" s="10" t="s">
        <v>88</v>
      </c>
      <c r="I1109" s="10" t="s">
        <v>89</v>
      </c>
      <c r="J1109" s="13" t="b">
        <v>0</v>
      </c>
      <c r="K1109" s="13" t="b">
        <v>1</v>
      </c>
      <c r="L1109" s="10" t="s">
        <v>124</v>
      </c>
      <c r="M1109" s="10" t="s">
        <v>91</v>
      </c>
      <c r="N1109" s="10" t="s">
        <v>265</v>
      </c>
      <c r="O1109" s="19" t="s">
        <v>8769</v>
      </c>
      <c r="P1109" s="10"/>
      <c r="Q1109" s="10" t="s">
        <v>126</v>
      </c>
      <c r="R1109" s="10"/>
      <c r="S1109" s="19" t="s">
        <v>8770</v>
      </c>
      <c r="T1109" s="19" t="s">
        <v>8771</v>
      </c>
      <c r="U1109" s="10" t="s">
        <v>8772</v>
      </c>
      <c r="V1109" s="10" t="s">
        <v>7619</v>
      </c>
      <c r="W1109" s="10" t="s">
        <v>7620</v>
      </c>
      <c r="X1109" s="10" t="s">
        <v>130</v>
      </c>
      <c r="Y1109" s="10" t="s">
        <v>130</v>
      </c>
      <c r="Z1109" s="10" t="s">
        <v>99</v>
      </c>
      <c r="AA1109" s="10" t="s">
        <v>131</v>
      </c>
      <c r="AB1109" s="10" t="s">
        <v>7621</v>
      </c>
      <c r="AC1109" s="10" t="s">
        <v>274</v>
      </c>
      <c r="AD1109" s="10" t="s">
        <v>8773</v>
      </c>
      <c r="AE1109" s="10" t="s">
        <v>8774</v>
      </c>
      <c r="AF1109" s="15"/>
      <c r="AG1109" s="10"/>
      <c r="AH1109" s="10"/>
      <c r="AI1109" s="10"/>
      <c r="AJ1109" s="10"/>
      <c r="AK1109" s="10" t="s">
        <v>102</v>
      </c>
      <c r="AL1109" s="10" t="s">
        <v>1252</v>
      </c>
      <c r="AM1109" s="10"/>
      <c r="AN1109" s="10"/>
      <c r="AO1109" s="13" t="b">
        <v>0</v>
      </c>
      <c r="AP1109" s="10" t="s">
        <v>104</v>
      </c>
      <c r="AQ1109" s="10">
        <f ca="1">IFERROR(__xludf.DUMMYFUNCTION("""COMPUTED_VALUE"""),4655150)</f>
        <v>4655150</v>
      </c>
      <c r="AR1109" s="17">
        <v>2319</v>
      </c>
      <c r="AS1109" s="17">
        <v>1919</v>
      </c>
      <c r="AT1109" s="17">
        <v>43583.75</v>
      </c>
      <c r="AU1109" s="17">
        <v>5.85</v>
      </c>
      <c r="AV1109" s="17">
        <v>1.5</v>
      </c>
      <c r="AW1109" s="10" t="s">
        <v>105</v>
      </c>
      <c r="AX1109" s="17">
        <v>402</v>
      </c>
      <c r="AY1109" s="18">
        <v>22.711698801459093</v>
      </c>
      <c r="AZ1109" s="10" t="s">
        <v>3998</v>
      </c>
      <c r="BA1109" s="20" t="b">
        <v>0</v>
      </c>
      <c r="BB1109" s="10"/>
      <c r="BC1109" s="17">
        <v>2319</v>
      </c>
      <c r="BD1109" s="17">
        <v>1919</v>
      </c>
      <c r="BE1109" s="17">
        <v>43583.75</v>
      </c>
      <c r="BF1109" s="17">
        <v>1.5</v>
      </c>
      <c r="BG1109" s="11">
        <f ca="1">IFERROR(__xludf.DUMMYFUNCTION("""COMPUTED_VALUE"""),45948.0833333333)</f>
        <v>45948.083333333299</v>
      </c>
      <c r="BH1109" s="17" t="s">
        <v>105</v>
      </c>
      <c r="BI1109" s="17"/>
      <c r="BJ1109" s="15"/>
      <c r="BK1109" s="15"/>
      <c r="BL1109" s="13" t="b">
        <v>0</v>
      </c>
      <c r="BM1109" s="10"/>
      <c r="BN1109" s="10" t="s">
        <v>3998</v>
      </c>
      <c r="BO1109" s="11">
        <v>45889.57708333333</v>
      </c>
      <c r="BP1109" s="11">
        <v>45943.608206018522</v>
      </c>
      <c r="BQ1109" s="15">
        <v>45946.448495370372</v>
      </c>
      <c r="BR1109" s="15">
        <v>45946.7419212963</v>
      </c>
      <c r="BS1109" s="10"/>
      <c r="BT1109" s="10" t="s">
        <v>99</v>
      </c>
      <c r="BU1109" s="10"/>
      <c r="BV1109" s="10"/>
      <c r="BW1109" s="10"/>
      <c r="BX1109" s="10"/>
      <c r="BY1109" s="23"/>
      <c r="BZ1109" s="23"/>
      <c r="CA1109" s="19" t="s">
        <v>8775</v>
      </c>
      <c r="CB1109" s="19" t="s">
        <v>8776</v>
      </c>
      <c r="CC1109" s="23"/>
      <c r="CD1109" s="19" t="s">
        <v>8777</v>
      </c>
      <c r="CE1109" s="23"/>
      <c r="CF1109" s="23"/>
      <c r="CG1109" s="23"/>
      <c r="CH1109" s="23"/>
      <c r="CI1109" s="23"/>
    </row>
    <row r="1110" spans="1:87" x14ac:dyDescent="0.3">
      <c r="A1110" s="9" t="s">
        <v>8778</v>
      </c>
      <c r="B1110" s="10" t="s">
        <v>8779</v>
      </c>
      <c r="C1110" s="11">
        <v>45955.770833333336</v>
      </c>
      <c r="D1110" s="12">
        <v>8.3333333333333329E-2</v>
      </c>
      <c r="E1110" s="11">
        <v>45955.854166666664</v>
      </c>
      <c r="F1110" s="10" t="s">
        <v>7613</v>
      </c>
      <c r="G1110" s="13" t="b">
        <v>0</v>
      </c>
      <c r="H1110" s="10" t="s">
        <v>3478</v>
      </c>
      <c r="I1110" s="10" t="s">
        <v>89</v>
      </c>
      <c r="J1110" s="13" t="b">
        <v>0</v>
      </c>
      <c r="K1110" s="13" t="b">
        <v>1</v>
      </c>
      <c r="L1110" s="10" t="s">
        <v>124</v>
      </c>
      <c r="M1110" s="10" t="s">
        <v>91</v>
      </c>
      <c r="N1110" s="10" t="s">
        <v>265</v>
      </c>
      <c r="O1110" s="19" t="s">
        <v>8780</v>
      </c>
      <c r="P1110" s="10"/>
      <c r="Q1110" s="10" t="s">
        <v>126</v>
      </c>
      <c r="R1110" s="10"/>
      <c r="S1110" s="19" t="s">
        <v>8781</v>
      </c>
      <c r="T1110" s="10"/>
      <c r="U1110" s="10" t="s">
        <v>7619</v>
      </c>
      <c r="V1110" s="10" t="s">
        <v>8426</v>
      </c>
      <c r="W1110" s="10" t="s">
        <v>7620</v>
      </c>
      <c r="X1110" s="10" t="s">
        <v>130</v>
      </c>
      <c r="Y1110" s="10" t="s">
        <v>130</v>
      </c>
      <c r="Z1110" s="10" t="s">
        <v>99</v>
      </c>
      <c r="AA1110" s="10" t="s">
        <v>131</v>
      </c>
      <c r="AB1110" s="10" t="s">
        <v>7621</v>
      </c>
      <c r="AC1110" s="10" t="s">
        <v>274</v>
      </c>
      <c r="AD1110" s="10" t="s">
        <v>8782</v>
      </c>
      <c r="AE1110" s="10" t="s">
        <v>8783</v>
      </c>
      <c r="AF1110" s="15"/>
      <c r="AG1110" s="10"/>
      <c r="AH1110" s="10"/>
      <c r="AI1110" s="10"/>
      <c r="AJ1110" s="10"/>
      <c r="AK1110" s="10" t="s">
        <v>102</v>
      </c>
      <c r="AL1110" s="10" t="s">
        <v>1467</v>
      </c>
      <c r="AM1110" s="10"/>
      <c r="AN1110" s="10"/>
      <c r="AO1110" s="13" t="b">
        <v>0</v>
      </c>
      <c r="AP1110" s="10" t="s">
        <v>104</v>
      </c>
      <c r="AQ1110" s="10">
        <f ca="1">IFERROR(__xludf.DUMMYFUNCTION("""COMPUTED_VALUE"""),4667506)</f>
        <v>4667506</v>
      </c>
      <c r="AR1110" s="17">
        <v>18648</v>
      </c>
      <c r="AS1110" s="17">
        <v>15011</v>
      </c>
      <c r="AT1110" s="17">
        <v>186791.5</v>
      </c>
      <c r="AU1110" s="17">
        <v>96.95</v>
      </c>
      <c r="AV1110" s="17">
        <v>7.55</v>
      </c>
      <c r="AW1110" s="10" t="s">
        <v>105</v>
      </c>
      <c r="AX1110" s="17">
        <v>3276</v>
      </c>
      <c r="AY1110" s="18">
        <v>12.443641329691559</v>
      </c>
      <c r="AZ1110" s="10" t="s">
        <v>3998</v>
      </c>
      <c r="BA1110" s="20" t="b">
        <v>0</v>
      </c>
      <c r="BB1110" s="10"/>
      <c r="BC1110" s="17">
        <v>18648</v>
      </c>
      <c r="BD1110" s="17">
        <v>15011</v>
      </c>
      <c r="BE1110" s="17">
        <v>186791.5</v>
      </c>
      <c r="BF1110" s="17">
        <v>7.55</v>
      </c>
      <c r="BG1110" s="11">
        <f ca="1">IFERROR(__xludf.DUMMYFUNCTION("""COMPUTED_VALUE"""),45955.7708333333)</f>
        <v>45955.770833333299</v>
      </c>
      <c r="BH1110" s="17" t="s">
        <v>105</v>
      </c>
      <c r="BI1110" s="17"/>
      <c r="BJ1110" s="15"/>
      <c r="BK1110" s="15"/>
      <c r="BL1110" s="13" t="b">
        <v>0</v>
      </c>
      <c r="BM1110" s="10"/>
      <c r="BN1110" s="10" t="s">
        <v>149</v>
      </c>
      <c r="BO1110" s="11">
        <v>45889.57916666667</v>
      </c>
      <c r="BP1110" s="11">
        <v>45948.620312500003</v>
      </c>
      <c r="BQ1110" s="15">
        <v>45953.575115740743</v>
      </c>
      <c r="BR1110" s="15">
        <v>45953.672430555554</v>
      </c>
      <c r="BS1110" s="10" t="s">
        <v>149</v>
      </c>
      <c r="BT1110" s="10"/>
      <c r="BU1110" s="10"/>
      <c r="BV1110" s="10"/>
      <c r="BW1110" s="10"/>
      <c r="BX1110" s="10"/>
      <c r="BY1110" s="23"/>
      <c r="BZ1110" s="23"/>
      <c r="CA1110" s="19" t="s">
        <v>8784</v>
      </c>
      <c r="CB1110" s="23"/>
      <c r="CC1110" s="23"/>
      <c r="CD1110" s="19" t="s">
        <v>8785</v>
      </c>
      <c r="CE1110" s="23"/>
      <c r="CF1110" s="23"/>
      <c r="CG1110" s="23"/>
      <c r="CH1110" s="23"/>
      <c r="CI1110" s="23"/>
    </row>
    <row r="1111" spans="1:87" x14ac:dyDescent="0.3">
      <c r="A1111" s="9" t="s">
        <v>8786</v>
      </c>
      <c r="B1111" s="10" t="s">
        <v>8787</v>
      </c>
      <c r="C1111" s="11">
        <v>45962.125</v>
      </c>
      <c r="D1111" s="12">
        <v>8.3333333333333329E-2</v>
      </c>
      <c r="E1111" s="11">
        <v>45962.208333333336</v>
      </c>
      <c r="F1111" s="10" t="s">
        <v>7613</v>
      </c>
      <c r="G1111" s="13" t="b">
        <v>0</v>
      </c>
      <c r="H1111" s="10" t="s">
        <v>3478</v>
      </c>
      <c r="I1111" s="10" t="s">
        <v>89</v>
      </c>
      <c r="J1111" s="13" t="b">
        <v>0</v>
      </c>
      <c r="K1111" s="13" t="b">
        <v>1</v>
      </c>
      <c r="L1111" s="10" t="s">
        <v>124</v>
      </c>
      <c r="M1111" s="10" t="s">
        <v>91</v>
      </c>
      <c r="N1111" s="10" t="s">
        <v>265</v>
      </c>
      <c r="O1111" s="19" t="s">
        <v>8788</v>
      </c>
      <c r="P1111" s="10"/>
      <c r="Q1111" s="10" t="s">
        <v>94</v>
      </c>
      <c r="R1111" s="10"/>
      <c r="S1111" s="19" t="s">
        <v>8789</v>
      </c>
      <c r="T1111" s="19" t="s">
        <v>8790</v>
      </c>
      <c r="U1111" s="10" t="s">
        <v>7633</v>
      </c>
      <c r="V1111" s="10" t="s">
        <v>8791</v>
      </c>
      <c r="W1111" s="10" t="s">
        <v>7620</v>
      </c>
      <c r="X1111" s="10" t="s">
        <v>130</v>
      </c>
      <c r="Y1111" s="10" t="s">
        <v>130</v>
      </c>
      <c r="Z1111" s="10" t="s">
        <v>99</v>
      </c>
      <c r="AA1111" s="10" t="s">
        <v>131</v>
      </c>
      <c r="AB1111" s="10" t="s">
        <v>7621</v>
      </c>
      <c r="AC1111" s="10" t="s">
        <v>274</v>
      </c>
      <c r="AD1111" s="10" t="s">
        <v>8792</v>
      </c>
      <c r="AE1111" s="10" t="s">
        <v>8793</v>
      </c>
      <c r="AF1111" s="15"/>
      <c r="AG1111" s="10"/>
      <c r="AH1111" s="10"/>
      <c r="AI1111" s="10"/>
      <c r="AJ1111" s="10"/>
      <c r="AK1111" s="10" t="s">
        <v>102</v>
      </c>
      <c r="AL1111" s="10" t="s">
        <v>1569</v>
      </c>
      <c r="AM1111" s="10"/>
      <c r="AN1111" s="10"/>
      <c r="AO1111" s="13" t="b">
        <v>0</v>
      </c>
      <c r="AP1111" s="10" t="s">
        <v>104</v>
      </c>
      <c r="AQ1111" s="10">
        <f ca="1">IFERROR(__xludf.DUMMYFUNCTION("""COMPUTED_VALUE"""),4674578)</f>
        <v>4674578</v>
      </c>
      <c r="AR1111" s="17">
        <v>1568</v>
      </c>
      <c r="AS1111" s="17">
        <v>1139</v>
      </c>
      <c r="AT1111" s="17">
        <v>22923.75</v>
      </c>
      <c r="AU1111" s="17">
        <v>1.05</v>
      </c>
      <c r="AV1111" s="17">
        <v>0.15</v>
      </c>
      <c r="AW1111" s="10" t="s">
        <v>105</v>
      </c>
      <c r="AX1111" s="17">
        <v>286</v>
      </c>
      <c r="AY1111" s="18">
        <v>20.126207199297628</v>
      </c>
      <c r="AZ1111" s="10" t="s">
        <v>3998</v>
      </c>
      <c r="BA1111" s="20" t="b">
        <v>0</v>
      </c>
      <c r="BB1111" s="10"/>
      <c r="BC1111" s="17">
        <v>1568</v>
      </c>
      <c r="BD1111" s="17">
        <v>1139</v>
      </c>
      <c r="BE1111" s="17">
        <v>22923.75</v>
      </c>
      <c r="BF1111" s="17">
        <v>0.15</v>
      </c>
      <c r="BG1111" s="11">
        <f ca="1">IFERROR(__xludf.DUMMYFUNCTION("""COMPUTED_VALUE"""),45962.125)</f>
        <v>45962.125</v>
      </c>
      <c r="BH1111" s="17" t="s">
        <v>105</v>
      </c>
      <c r="BI1111" s="17"/>
      <c r="BJ1111" s="15"/>
      <c r="BK1111" s="15"/>
      <c r="BL1111" s="13" t="b">
        <v>0</v>
      </c>
      <c r="BM1111" s="10"/>
      <c r="BN1111" s="10" t="s">
        <v>149</v>
      </c>
      <c r="BO1111" s="11">
        <v>45889.579861111109</v>
      </c>
      <c r="BP1111" s="11">
        <v>45957.626747685186</v>
      </c>
      <c r="BQ1111" s="15">
        <v>45957.813726851855</v>
      </c>
      <c r="BR1111" s="15">
        <v>45958.51898148148</v>
      </c>
      <c r="BS1111" s="10" t="s">
        <v>149</v>
      </c>
      <c r="BT1111" s="10"/>
      <c r="BU1111" s="10"/>
      <c r="BV1111" s="10"/>
      <c r="BW1111" s="10"/>
      <c r="BX1111" s="10"/>
      <c r="BY1111" s="23"/>
      <c r="BZ1111" s="23"/>
      <c r="CA1111" s="19" t="s">
        <v>8794</v>
      </c>
      <c r="CB1111" s="19" t="s">
        <v>8795</v>
      </c>
      <c r="CC1111" s="23"/>
      <c r="CD1111" s="23"/>
      <c r="CE1111" s="23"/>
      <c r="CF1111" s="23"/>
      <c r="CG1111" s="23"/>
      <c r="CH1111" s="23"/>
      <c r="CI1111" s="23"/>
    </row>
    <row r="1112" spans="1:87" x14ac:dyDescent="0.3">
      <c r="A1112" s="9" t="s">
        <v>8796</v>
      </c>
      <c r="B1112" s="10" t="s">
        <v>8797</v>
      </c>
      <c r="C1112" s="11">
        <v>45962.916666666664</v>
      </c>
      <c r="D1112" s="12">
        <v>8.3333333333333329E-2</v>
      </c>
      <c r="E1112" s="11">
        <v>45963</v>
      </c>
      <c r="F1112" s="10" t="s">
        <v>7613</v>
      </c>
      <c r="G1112" s="13" t="b">
        <v>0</v>
      </c>
      <c r="H1112" s="10" t="s">
        <v>3478</v>
      </c>
      <c r="I1112" s="10" t="s">
        <v>89</v>
      </c>
      <c r="J1112" s="13" t="b">
        <v>0</v>
      </c>
      <c r="K1112" s="13" t="b">
        <v>1</v>
      </c>
      <c r="L1112" s="10" t="s">
        <v>124</v>
      </c>
      <c r="M1112" s="10" t="s">
        <v>91</v>
      </c>
      <c r="N1112" s="10" t="s">
        <v>265</v>
      </c>
      <c r="O1112" s="19" t="s">
        <v>8798</v>
      </c>
      <c r="P1112" s="10"/>
      <c r="Q1112" s="10" t="s">
        <v>126</v>
      </c>
      <c r="R1112" s="10"/>
      <c r="S1112" s="19" t="s">
        <v>8799</v>
      </c>
      <c r="T1112" s="19" t="s">
        <v>8800</v>
      </c>
      <c r="U1112" s="10" t="s">
        <v>8735</v>
      </c>
      <c r="V1112" s="10" t="s">
        <v>7619</v>
      </c>
      <c r="W1112" s="10" t="s">
        <v>7620</v>
      </c>
      <c r="X1112" s="10" t="s">
        <v>130</v>
      </c>
      <c r="Y1112" s="10" t="s">
        <v>130</v>
      </c>
      <c r="Z1112" s="10" t="s">
        <v>99</v>
      </c>
      <c r="AA1112" s="10" t="s">
        <v>131</v>
      </c>
      <c r="AB1112" s="10" t="s">
        <v>7621</v>
      </c>
      <c r="AC1112" s="10" t="s">
        <v>274</v>
      </c>
      <c r="AD1112" s="10" t="s">
        <v>8801</v>
      </c>
      <c r="AE1112" s="10" t="s">
        <v>8802</v>
      </c>
      <c r="AF1112" s="15"/>
      <c r="AG1112" s="10"/>
      <c r="AH1112" s="10"/>
      <c r="AI1112" s="10"/>
      <c r="AJ1112" s="10"/>
      <c r="AK1112" s="10" t="s">
        <v>102</v>
      </c>
      <c r="AL1112" s="10" t="s">
        <v>1569</v>
      </c>
      <c r="AM1112" s="10"/>
      <c r="AN1112" s="10"/>
      <c r="AO1112" s="13" t="b">
        <v>0</v>
      </c>
      <c r="AP1112" s="10" t="s">
        <v>104</v>
      </c>
      <c r="AQ1112" s="10">
        <f ca="1">IFERROR(__xludf.DUMMYFUNCTION("""COMPUTED_VALUE"""),4674583)</f>
        <v>4674583</v>
      </c>
      <c r="AR1112" s="17">
        <v>5211</v>
      </c>
      <c r="AS1112" s="17">
        <v>4528</v>
      </c>
      <c r="AT1112" s="17">
        <v>23797</v>
      </c>
      <c r="AU1112" s="17">
        <v>9.8000000000000007</v>
      </c>
      <c r="AV1112" s="17">
        <v>2.4500000000000002</v>
      </c>
      <c r="AW1112" s="10" t="s">
        <v>105</v>
      </c>
      <c r="AX1112" s="17">
        <v>633</v>
      </c>
      <c r="AY1112" s="18">
        <v>5.2555212014134272</v>
      </c>
      <c r="AZ1112" s="10" t="s">
        <v>3998</v>
      </c>
      <c r="BA1112" s="20" t="b">
        <v>0</v>
      </c>
      <c r="BB1112" s="10"/>
      <c r="BC1112" s="17">
        <v>5211</v>
      </c>
      <c r="BD1112" s="17">
        <v>4528</v>
      </c>
      <c r="BE1112" s="17">
        <v>23797</v>
      </c>
      <c r="BF1112" s="17">
        <v>2.4500000000000002</v>
      </c>
      <c r="BG1112" s="11">
        <f ca="1">IFERROR(__xludf.DUMMYFUNCTION("""COMPUTED_VALUE"""),45962.9166666666)</f>
        <v>45962.916666666599</v>
      </c>
      <c r="BH1112" s="17" t="s">
        <v>105</v>
      </c>
      <c r="BI1112" s="17"/>
      <c r="BJ1112" s="15"/>
      <c r="BK1112" s="15"/>
      <c r="BL1112" s="13" t="b">
        <v>0</v>
      </c>
      <c r="BM1112" s="10"/>
      <c r="BN1112" s="10" t="s">
        <v>136</v>
      </c>
      <c r="BO1112" s="11">
        <v>45889.580555555556</v>
      </c>
      <c r="BP1112" s="11">
        <v>45957.627071759256</v>
      </c>
      <c r="BQ1112" s="15">
        <v>45957.813923611109</v>
      </c>
      <c r="BR1112" s="15">
        <v>45958.592997685184</v>
      </c>
      <c r="BS1112" s="10"/>
      <c r="BT1112" s="10"/>
      <c r="BU1112" s="10"/>
      <c r="BV1112" s="10"/>
      <c r="BW1112" s="10"/>
      <c r="BX1112" s="10"/>
      <c r="BY1112" s="23"/>
      <c r="BZ1112" s="23"/>
      <c r="CA1112" s="19" t="s">
        <v>8803</v>
      </c>
      <c r="CB1112" s="19" t="s">
        <v>8804</v>
      </c>
      <c r="CC1112" s="23"/>
      <c r="CD1112" s="19" t="s">
        <v>8805</v>
      </c>
      <c r="CE1112" s="23"/>
      <c r="CF1112" s="23"/>
      <c r="CG1112" s="23"/>
      <c r="CH1112" s="23"/>
      <c r="CI1112" s="23"/>
    </row>
    <row r="1113" spans="1:87" x14ac:dyDescent="0.3">
      <c r="A1113" s="9" t="s">
        <v>8806</v>
      </c>
      <c r="B1113" s="10" t="s">
        <v>8807</v>
      </c>
      <c r="C1113" s="11">
        <v>45967.125</v>
      </c>
      <c r="D1113" s="12">
        <v>8.3333333333333329E-2</v>
      </c>
      <c r="E1113" s="11">
        <v>45967.208333333336</v>
      </c>
      <c r="F1113" s="10" t="s">
        <v>7613</v>
      </c>
      <c r="G1113" s="13" t="b">
        <v>0</v>
      </c>
      <c r="H1113" s="10" t="s">
        <v>88</v>
      </c>
      <c r="I1113" s="10" t="s">
        <v>89</v>
      </c>
      <c r="J1113" s="13" t="b">
        <v>0</v>
      </c>
      <c r="K1113" s="13" t="b">
        <v>1</v>
      </c>
      <c r="L1113" s="10" t="s">
        <v>124</v>
      </c>
      <c r="M1113" s="10" t="s">
        <v>91</v>
      </c>
      <c r="N1113" s="10" t="s">
        <v>265</v>
      </c>
      <c r="O1113" s="19" t="s">
        <v>8808</v>
      </c>
      <c r="P1113" s="10"/>
      <c r="Q1113" s="10" t="s">
        <v>94</v>
      </c>
      <c r="R1113" s="10"/>
      <c r="S1113" s="19" t="s">
        <v>8809</v>
      </c>
      <c r="T1113" s="19" t="s">
        <v>8810</v>
      </c>
      <c r="U1113" s="10" t="s">
        <v>8811</v>
      </c>
      <c r="V1113" s="10" t="s">
        <v>7633</v>
      </c>
      <c r="W1113" s="10" t="s">
        <v>7620</v>
      </c>
      <c r="X1113" s="10" t="s">
        <v>130</v>
      </c>
      <c r="Y1113" s="10" t="s">
        <v>130</v>
      </c>
      <c r="Z1113" s="10" t="s">
        <v>99</v>
      </c>
      <c r="AA1113" s="10" t="s">
        <v>131</v>
      </c>
      <c r="AB1113" s="10" t="s">
        <v>7621</v>
      </c>
      <c r="AC1113" s="10" t="s">
        <v>274</v>
      </c>
      <c r="AD1113" s="10" t="s">
        <v>8812</v>
      </c>
      <c r="AE1113" s="10" t="s">
        <v>8813</v>
      </c>
      <c r="AF1113" s="15"/>
      <c r="AG1113" s="10"/>
      <c r="AH1113" s="10"/>
      <c r="AI1113" s="10"/>
      <c r="AJ1113" s="10"/>
      <c r="AK1113" s="10" t="s">
        <v>102</v>
      </c>
      <c r="AL1113" s="10" t="s">
        <v>1671</v>
      </c>
      <c r="AM1113" s="10"/>
      <c r="AN1113" s="10"/>
      <c r="AO1113" s="13" t="b">
        <v>0</v>
      </c>
      <c r="AP1113" s="10" t="s">
        <v>104</v>
      </c>
      <c r="AQ1113" s="10">
        <f ca="1">IFERROR(__xludf.DUMMYFUNCTION("""COMPUTED_VALUE"""),4699715)</f>
        <v>4699715</v>
      </c>
      <c r="AR1113" s="17">
        <v>985</v>
      </c>
      <c r="AS1113" s="17">
        <v>903</v>
      </c>
      <c r="AT1113" s="17">
        <v>2017.25</v>
      </c>
      <c r="AU1113" s="17">
        <v>0</v>
      </c>
      <c r="AV1113" s="17">
        <v>0</v>
      </c>
      <c r="AW1113" s="10" t="s">
        <v>105</v>
      </c>
      <c r="AX1113" s="17">
        <v>140</v>
      </c>
      <c r="AY1113" s="18">
        <v>2.2339424141749724</v>
      </c>
      <c r="AZ1113" s="10" t="s">
        <v>3998</v>
      </c>
      <c r="BA1113" s="20" t="b">
        <v>0</v>
      </c>
      <c r="BB1113" s="10"/>
      <c r="BC1113" s="17">
        <v>985</v>
      </c>
      <c r="BD1113" s="17">
        <v>903</v>
      </c>
      <c r="BE1113" s="17">
        <v>2017.25</v>
      </c>
      <c r="BF1113" s="17">
        <v>0</v>
      </c>
      <c r="BG1113" s="11">
        <f ca="1">IFERROR(__xludf.DUMMYFUNCTION("""COMPUTED_VALUE"""),45967.125)</f>
        <v>45967.125</v>
      </c>
      <c r="BH1113" s="17" t="s">
        <v>105</v>
      </c>
      <c r="BI1113" s="17"/>
      <c r="BJ1113" s="15"/>
      <c r="BK1113" s="15"/>
      <c r="BL1113" s="13" t="b">
        <v>0</v>
      </c>
      <c r="BM1113" s="10"/>
      <c r="BN1113" s="10" t="s">
        <v>3998</v>
      </c>
      <c r="BO1113" s="11">
        <v>45889.581250000003</v>
      </c>
      <c r="BP1113" s="11">
        <v>45964.499097222222</v>
      </c>
      <c r="BQ1113" s="15">
        <v>45960.416631944441</v>
      </c>
      <c r="BR1113" s="15">
        <v>45964.651087962964</v>
      </c>
      <c r="BS1113" s="10"/>
      <c r="BT1113" s="10"/>
      <c r="BU1113" s="10"/>
      <c r="BV1113" s="10"/>
      <c r="BW1113" s="10"/>
      <c r="BX1113" s="10"/>
      <c r="BY1113" s="23"/>
      <c r="BZ1113" s="23"/>
      <c r="CA1113" s="19" t="s">
        <v>8814</v>
      </c>
      <c r="CB1113" s="19" t="s">
        <v>8815</v>
      </c>
      <c r="CC1113" s="23"/>
      <c r="CD1113" s="23"/>
      <c r="CE1113" s="23"/>
      <c r="CF1113" s="23"/>
      <c r="CG1113" s="23"/>
      <c r="CH1113" s="23"/>
      <c r="CI1113" s="23"/>
    </row>
    <row r="1114" spans="1:87" x14ac:dyDescent="0.3">
      <c r="A1114" s="9" t="s">
        <v>8816</v>
      </c>
      <c r="B1114" s="10" t="s">
        <v>8817</v>
      </c>
      <c r="C1114" s="11">
        <v>45990.125</v>
      </c>
      <c r="D1114" s="12">
        <v>8.3333333333333329E-2</v>
      </c>
      <c r="E1114" s="11">
        <v>45990.208333333336</v>
      </c>
      <c r="F1114" s="10" t="s">
        <v>7613</v>
      </c>
      <c r="G1114" s="13" t="b">
        <v>0</v>
      </c>
      <c r="H1114" s="10" t="s">
        <v>3478</v>
      </c>
      <c r="I1114" s="10" t="s">
        <v>89</v>
      </c>
      <c r="J1114" s="13" t="b">
        <v>0</v>
      </c>
      <c r="K1114" s="13" t="b">
        <v>1</v>
      </c>
      <c r="L1114" s="10" t="s">
        <v>124</v>
      </c>
      <c r="M1114" s="10" t="s">
        <v>91</v>
      </c>
      <c r="N1114" s="10" t="s">
        <v>265</v>
      </c>
      <c r="O1114" s="19" t="s">
        <v>8818</v>
      </c>
      <c r="P1114" s="10"/>
      <c r="Q1114" s="10" t="s">
        <v>4312</v>
      </c>
      <c r="R1114" s="10"/>
      <c r="S1114" s="19" t="s">
        <v>8819</v>
      </c>
      <c r="T1114" s="10"/>
      <c r="U1114" s="10" t="s">
        <v>7881</v>
      </c>
      <c r="V1114" s="10" t="s">
        <v>7619</v>
      </c>
      <c r="W1114" s="10" t="s">
        <v>7620</v>
      </c>
      <c r="X1114" s="10" t="s">
        <v>130</v>
      </c>
      <c r="Y1114" s="10" t="s">
        <v>130</v>
      </c>
      <c r="Z1114" s="10" t="s">
        <v>99</v>
      </c>
      <c r="AA1114" s="10" t="s">
        <v>131</v>
      </c>
      <c r="AB1114" s="10" t="s">
        <v>7621</v>
      </c>
      <c r="AC1114" s="10" t="s">
        <v>274</v>
      </c>
      <c r="AD1114" s="10" t="s">
        <v>8820</v>
      </c>
      <c r="AE1114" s="10" t="s">
        <v>8821</v>
      </c>
      <c r="AF1114" s="15"/>
      <c r="AG1114" s="10"/>
      <c r="AH1114" s="10"/>
      <c r="AI1114" s="10"/>
      <c r="AJ1114" s="10"/>
      <c r="AK1114" s="10" t="s">
        <v>102</v>
      </c>
      <c r="AL1114" s="10" t="s">
        <v>2098</v>
      </c>
      <c r="AM1114" s="10"/>
      <c r="AN1114" s="10"/>
      <c r="AO1114" s="13" t="b">
        <v>0</v>
      </c>
      <c r="AP1114" s="10" t="s">
        <v>104</v>
      </c>
      <c r="AQ1114" s="10">
        <f ca="1">IFERROR(__xludf.DUMMYFUNCTION("""COMPUTED_VALUE"""),4734876)</f>
        <v>4734876</v>
      </c>
      <c r="AR1114" s="17">
        <v>4886</v>
      </c>
      <c r="AS1114" s="17">
        <v>3887</v>
      </c>
      <c r="AT1114" s="17">
        <v>69691.75</v>
      </c>
      <c r="AU1114" s="17">
        <v>5.95</v>
      </c>
      <c r="AV1114" s="17">
        <v>0.75</v>
      </c>
      <c r="AW1114" s="10" t="s">
        <v>105</v>
      </c>
      <c r="AX1114" s="17">
        <v>1079</v>
      </c>
      <c r="AY1114" s="18">
        <v>17.929444301517879</v>
      </c>
      <c r="AZ1114" s="10" t="s">
        <v>3998</v>
      </c>
      <c r="BA1114" s="20" t="b">
        <v>0</v>
      </c>
      <c r="BB1114" s="10"/>
      <c r="BC1114" s="17">
        <v>4886</v>
      </c>
      <c r="BD1114" s="17">
        <v>3887</v>
      </c>
      <c r="BE1114" s="17">
        <v>69691.75</v>
      </c>
      <c r="BF1114" s="17">
        <v>0.75</v>
      </c>
      <c r="BG1114" s="11">
        <f ca="1">IFERROR(__xludf.DUMMYFUNCTION("""COMPUTED_VALUE"""),45990.125)</f>
        <v>45990.125</v>
      </c>
      <c r="BH1114" s="17" t="s">
        <v>105</v>
      </c>
      <c r="BI1114" s="17"/>
      <c r="BJ1114" s="15"/>
      <c r="BK1114" s="15"/>
      <c r="BL1114" s="13" t="b">
        <v>0</v>
      </c>
      <c r="BM1114" s="10"/>
      <c r="BN1114" s="10" t="s">
        <v>157</v>
      </c>
      <c r="BO1114" s="11">
        <v>45889.581944444442</v>
      </c>
      <c r="BP1114" s="11">
        <v>45984.371655092589</v>
      </c>
      <c r="BQ1114" s="15">
        <v>45985.471770833334</v>
      </c>
      <c r="BR1114" s="15">
        <v>45986.398194444446</v>
      </c>
      <c r="BS1114" s="10" t="s">
        <v>157</v>
      </c>
      <c r="BT1114" s="10" t="s">
        <v>99</v>
      </c>
      <c r="BU1114" s="10" t="s">
        <v>280</v>
      </c>
      <c r="BV1114" s="10"/>
      <c r="BW1114" s="10"/>
      <c r="BX1114" s="10"/>
      <c r="BY1114" s="23"/>
      <c r="BZ1114" s="23"/>
      <c r="CA1114" s="19" t="s">
        <v>8822</v>
      </c>
      <c r="CB1114" s="23"/>
      <c r="CC1114" s="23"/>
      <c r="CD1114" s="19" t="s">
        <v>8823</v>
      </c>
      <c r="CE1114" s="23"/>
      <c r="CF1114" s="23"/>
      <c r="CG1114" s="23"/>
      <c r="CH1114" s="23"/>
      <c r="CI1114" s="23"/>
    </row>
    <row r="1115" spans="1:87" x14ac:dyDescent="0.3">
      <c r="A1115" s="9" t="s">
        <v>8824</v>
      </c>
      <c r="B1115" s="10" t="s">
        <v>8825</v>
      </c>
      <c r="C1115" s="11">
        <v>46002.125</v>
      </c>
      <c r="D1115" s="12">
        <v>8.3333333333333329E-2</v>
      </c>
      <c r="E1115" s="11">
        <v>46002.208333333336</v>
      </c>
      <c r="F1115" s="10" t="s">
        <v>7613</v>
      </c>
      <c r="G1115" s="13" t="b">
        <v>0</v>
      </c>
      <c r="H1115" s="10" t="s">
        <v>88</v>
      </c>
      <c r="I1115" s="10" t="s">
        <v>89</v>
      </c>
      <c r="J1115" s="13" t="b">
        <v>0</v>
      </c>
      <c r="K1115" s="13" t="b">
        <v>1</v>
      </c>
      <c r="L1115" s="10" t="s">
        <v>124</v>
      </c>
      <c r="M1115" s="10" t="s">
        <v>91</v>
      </c>
      <c r="N1115" s="10" t="s">
        <v>265</v>
      </c>
      <c r="O1115" s="19" t="s">
        <v>8826</v>
      </c>
      <c r="P1115" s="10"/>
      <c r="Q1115" s="10" t="s">
        <v>94</v>
      </c>
      <c r="R1115" s="10"/>
      <c r="S1115" s="19" t="s">
        <v>8827</v>
      </c>
      <c r="T1115" s="19" t="s">
        <v>8828</v>
      </c>
      <c r="U1115" s="10" t="s">
        <v>8829</v>
      </c>
      <c r="V1115" s="10" t="s">
        <v>7633</v>
      </c>
      <c r="W1115" s="10" t="s">
        <v>7620</v>
      </c>
      <c r="X1115" s="10" t="s">
        <v>130</v>
      </c>
      <c r="Y1115" s="10" t="s">
        <v>130</v>
      </c>
      <c r="Z1115" s="10" t="s">
        <v>99</v>
      </c>
      <c r="AA1115" s="10" t="s">
        <v>131</v>
      </c>
      <c r="AB1115" s="10" t="s">
        <v>7621</v>
      </c>
      <c r="AC1115" s="10" t="s">
        <v>274</v>
      </c>
      <c r="AD1115" s="10" t="s">
        <v>8830</v>
      </c>
      <c r="AE1115" s="10" t="s">
        <v>8831</v>
      </c>
      <c r="AF1115" s="15"/>
      <c r="AG1115" s="10"/>
      <c r="AH1115" s="10"/>
      <c r="AI1115" s="10"/>
      <c r="AJ1115" s="10"/>
      <c r="AK1115" s="10" t="s">
        <v>102</v>
      </c>
      <c r="AL1115" s="10" t="s">
        <v>2303</v>
      </c>
      <c r="AM1115" s="10"/>
      <c r="AN1115" s="10"/>
      <c r="AO1115" s="13" t="b">
        <v>0</v>
      </c>
      <c r="AP1115" s="10" t="s">
        <v>104</v>
      </c>
      <c r="AQ1115" s="10">
        <f ca="1">IFERROR(__xludf.DUMMYFUNCTION("""COMPUTED_VALUE"""),4769411)</f>
        <v>4769411</v>
      </c>
      <c r="AR1115" s="17">
        <v>1498</v>
      </c>
      <c r="AS1115" s="17">
        <v>1352</v>
      </c>
      <c r="AT1115" s="17">
        <v>1832.5</v>
      </c>
      <c r="AU1115" s="17">
        <v>0</v>
      </c>
      <c r="AV1115" s="17">
        <v>0</v>
      </c>
      <c r="AW1115" s="10" t="s">
        <v>105</v>
      </c>
      <c r="AX1115" s="17">
        <v>245</v>
      </c>
      <c r="AY1115" s="18">
        <v>1.3553994082840237</v>
      </c>
      <c r="AZ1115" s="10" t="s">
        <v>3998</v>
      </c>
      <c r="BA1115" s="20" t="b">
        <v>0</v>
      </c>
      <c r="BB1115" s="10"/>
      <c r="BC1115" s="17">
        <v>1498</v>
      </c>
      <c r="BD1115" s="17">
        <v>1352</v>
      </c>
      <c r="BE1115" s="17">
        <v>1832.5</v>
      </c>
      <c r="BF1115" s="17">
        <v>0</v>
      </c>
      <c r="BG1115" s="11">
        <f ca="1">IFERROR(__xludf.DUMMYFUNCTION("""COMPUTED_VALUE"""),46002.125)</f>
        <v>46002.125</v>
      </c>
      <c r="BH1115" s="17" t="s">
        <v>105</v>
      </c>
      <c r="BI1115" s="17"/>
      <c r="BJ1115" s="15"/>
      <c r="BK1115" s="15"/>
      <c r="BL1115" s="13" t="b">
        <v>0</v>
      </c>
      <c r="BM1115" s="10"/>
      <c r="BN1115" s="10" t="s">
        <v>118</v>
      </c>
      <c r="BO1115" s="11">
        <v>45889.582638888889</v>
      </c>
      <c r="BP1115" s="11">
        <v>45996.816412037035</v>
      </c>
      <c r="BQ1115" s="15">
        <v>45988.870324074072</v>
      </c>
      <c r="BR1115" s="15">
        <v>45998.474027777775</v>
      </c>
      <c r="BS1115" s="10" t="s">
        <v>118</v>
      </c>
      <c r="BT1115" s="10"/>
      <c r="BU1115" s="10"/>
      <c r="BV1115" s="10"/>
      <c r="BW1115" s="10"/>
      <c r="BX1115" s="10"/>
      <c r="BY1115" s="23"/>
      <c r="BZ1115" s="23"/>
      <c r="CA1115" s="19" t="s">
        <v>8832</v>
      </c>
      <c r="CB1115" s="19" t="s">
        <v>8828</v>
      </c>
      <c r="CC1115" s="23"/>
      <c r="CD1115" s="23"/>
      <c r="CE1115" s="23"/>
      <c r="CF1115" s="23"/>
      <c r="CG1115" s="23"/>
      <c r="CH1115" s="23"/>
      <c r="CI1115" s="23"/>
    </row>
    <row r="1116" spans="1:87" x14ac:dyDescent="0.3">
      <c r="A1116" s="9" t="s">
        <v>8833</v>
      </c>
      <c r="B1116" s="10" t="s">
        <v>8834</v>
      </c>
      <c r="C1116" s="11">
        <v>46004.916666666664</v>
      </c>
      <c r="D1116" s="12">
        <v>8.3333333333333329E-2</v>
      </c>
      <c r="E1116" s="11">
        <v>46005</v>
      </c>
      <c r="F1116" s="10" t="s">
        <v>7613</v>
      </c>
      <c r="G1116" s="13" t="b">
        <v>0</v>
      </c>
      <c r="H1116" s="10" t="s">
        <v>3478</v>
      </c>
      <c r="I1116" s="10" t="s">
        <v>89</v>
      </c>
      <c r="J1116" s="13" t="b">
        <v>0</v>
      </c>
      <c r="K1116" s="13" t="b">
        <v>1</v>
      </c>
      <c r="L1116" s="10" t="s">
        <v>124</v>
      </c>
      <c r="M1116" s="10" t="s">
        <v>91</v>
      </c>
      <c r="N1116" s="10" t="s">
        <v>265</v>
      </c>
      <c r="O1116" s="19" t="s">
        <v>8835</v>
      </c>
      <c r="P1116" s="10"/>
      <c r="Q1116" s="10" t="s">
        <v>94</v>
      </c>
      <c r="R1116" s="10"/>
      <c r="S1116" s="19" t="s">
        <v>8836</v>
      </c>
      <c r="T1116" s="19" t="s">
        <v>8837</v>
      </c>
      <c r="U1116" s="10" t="s">
        <v>7633</v>
      </c>
      <c r="V1116" s="10" t="s">
        <v>8752</v>
      </c>
      <c r="W1116" s="10" t="s">
        <v>7620</v>
      </c>
      <c r="X1116" s="10" t="s">
        <v>130</v>
      </c>
      <c r="Y1116" s="10" t="s">
        <v>130</v>
      </c>
      <c r="Z1116" s="10" t="s">
        <v>99</v>
      </c>
      <c r="AA1116" s="10" t="s">
        <v>131</v>
      </c>
      <c r="AB1116" s="10" t="s">
        <v>7621</v>
      </c>
      <c r="AC1116" s="10" t="s">
        <v>274</v>
      </c>
      <c r="AD1116" s="10" t="s">
        <v>8838</v>
      </c>
      <c r="AE1116" s="10" t="s">
        <v>8839</v>
      </c>
      <c r="AF1116" s="15"/>
      <c r="AG1116" s="10"/>
      <c r="AH1116" s="10"/>
      <c r="AI1116" s="10"/>
      <c r="AJ1116" s="10"/>
      <c r="AK1116" s="10" t="s">
        <v>102</v>
      </c>
      <c r="AL1116" s="10" t="s">
        <v>2405</v>
      </c>
      <c r="AM1116" s="10"/>
      <c r="AN1116" s="10"/>
      <c r="AO1116" s="13" t="b">
        <v>0</v>
      </c>
      <c r="AP1116" s="10" t="s">
        <v>104</v>
      </c>
      <c r="AQ1116" s="10">
        <f ca="1">IFERROR(__xludf.DUMMYFUNCTION("""COMPUTED_VALUE"""),4773337)</f>
        <v>4773337</v>
      </c>
      <c r="AR1116" s="17">
        <v>3345</v>
      </c>
      <c r="AS1116" s="17">
        <v>2794</v>
      </c>
      <c r="AT1116" s="17">
        <v>18572.25</v>
      </c>
      <c r="AU1116" s="17">
        <v>8.1</v>
      </c>
      <c r="AV1116" s="17">
        <v>0.85</v>
      </c>
      <c r="AW1116" s="10" t="s">
        <v>105</v>
      </c>
      <c r="AX1116" s="17">
        <v>475</v>
      </c>
      <c r="AY1116" s="18">
        <v>6.6471904080171793</v>
      </c>
      <c r="AZ1116" s="10" t="s">
        <v>3998</v>
      </c>
      <c r="BA1116" s="20" t="b">
        <v>0</v>
      </c>
      <c r="BB1116" s="10"/>
      <c r="BC1116" s="17">
        <v>3345</v>
      </c>
      <c r="BD1116" s="17">
        <v>2794</v>
      </c>
      <c r="BE1116" s="17">
        <v>18572.25</v>
      </c>
      <c r="BF1116" s="17">
        <v>0.85</v>
      </c>
      <c r="BG1116" s="11">
        <f ca="1">IFERROR(__xludf.DUMMYFUNCTION("""COMPUTED_VALUE"""),46004.9166666666)</f>
        <v>46004.916666666599</v>
      </c>
      <c r="BH1116" s="17" t="s">
        <v>105</v>
      </c>
      <c r="BI1116" s="17"/>
      <c r="BJ1116" s="15"/>
      <c r="BK1116" s="15"/>
      <c r="BL1116" s="13" t="b">
        <v>0</v>
      </c>
      <c r="BM1116" s="10"/>
      <c r="BN1116" s="10" t="s">
        <v>136</v>
      </c>
      <c r="BO1116" s="11">
        <v>45889.584027777775</v>
      </c>
      <c r="BP1116" s="11">
        <v>45999.519606481481</v>
      </c>
      <c r="BQ1116" s="15">
        <v>45988.871122685188</v>
      </c>
      <c r="BR1116" s="15">
        <v>46000.543807870374</v>
      </c>
      <c r="BS1116" s="10"/>
      <c r="BT1116" s="10"/>
      <c r="BU1116" s="10"/>
      <c r="BV1116" s="10"/>
      <c r="BW1116" s="10"/>
      <c r="BX1116" s="10"/>
      <c r="BY1116" s="23"/>
      <c r="BZ1116" s="23"/>
      <c r="CA1116" s="19" t="s">
        <v>8840</v>
      </c>
      <c r="CB1116" s="19" t="s">
        <v>8841</v>
      </c>
      <c r="CC1116" s="23"/>
      <c r="CD1116" s="23"/>
      <c r="CE1116" s="23"/>
      <c r="CF1116" s="23"/>
      <c r="CG1116" s="23"/>
      <c r="CH1116" s="23"/>
      <c r="CI1116" s="23"/>
    </row>
    <row r="1117" spans="1:87" x14ac:dyDescent="0.3">
      <c r="A1117" s="9" t="s">
        <v>8842</v>
      </c>
      <c r="B1117" s="10" t="s">
        <v>8843</v>
      </c>
      <c r="C1117" s="11">
        <v>46011.125</v>
      </c>
      <c r="D1117" s="12">
        <v>8.3333333333333329E-2</v>
      </c>
      <c r="E1117" s="11">
        <v>46011.208333333336</v>
      </c>
      <c r="F1117" s="10" t="s">
        <v>7613</v>
      </c>
      <c r="G1117" s="13" t="b">
        <v>0</v>
      </c>
      <c r="H1117" s="10" t="s">
        <v>3478</v>
      </c>
      <c r="I1117" s="10" t="s">
        <v>89</v>
      </c>
      <c r="J1117" s="13" t="b">
        <v>0</v>
      </c>
      <c r="K1117" s="13" t="b">
        <v>1</v>
      </c>
      <c r="L1117" s="10" t="s">
        <v>124</v>
      </c>
      <c r="M1117" s="10" t="s">
        <v>91</v>
      </c>
      <c r="N1117" s="10" t="s">
        <v>265</v>
      </c>
      <c r="O1117" s="19" t="s">
        <v>8844</v>
      </c>
      <c r="P1117" s="10"/>
      <c r="Q1117" s="10" t="s">
        <v>94</v>
      </c>
      <c r="R1117" s="10"/>
      <c r="S1117" s="10"/>
      <c r="T1117" s="10"/>
      <c r="U1117" s="10" t="s">
        <v>8845</v>
      </c>
      <c r="V1117" s="10" t="s">
        <v>7633</v>
      </c>
      <c r="W1117" s="10" t="s">
        <v>7620</v>
      </c>
      <c r="X1117" s="10" t="s">
        <v>130</v>
      </c>
      <c r="Y1117" s="10" t="s">
        <v>130</v>
      </c>
      <c r="Z1117" s="10" t="s">
        <v>99</v>
      </c>
      <c r="AA1117" s="10" t="s">
        <v>131</v>
      </c>
      <c r="AB1117" s="10" t="s">
        <v>7621</v>
      </c>
      <c r="AC1117" s="10" t="s">
        <v>274</v>
      </c>
      <c r="AD1117" s="10" t="s">
        <v>8846</v>
      </c>
      <c r="AE1117" s="10" t="s">
        <v>8847</v>
      </c>
      <c r="AF1117" s="15"/>
      <c r="AG1117" s="10"/>
      <c r="AH1117" s="10"/>
      <c r="AI1117" s="10"/>
      <c r="AJ1117" s="10"/>
      <c r="AK1117" s="10" t="s">
        <v>102</v>
      </c>
      <c r="AL1117" s="10" t="s">
        <v>2509</v>
      </c>
      <c r="AM1117" s="10"/>
      <c r="AN1117" s="10"/>
      <c r="AO1117" s="13" t="b">
        <v>0</v>
      </c>
      <c r="AP1117" s="10" t="s">
        <v>104</v>
      </c>
      <c r="AQ1117" s="10">
        <f ca="1">IFERROR(__xludf.DUMMYFUNCTION("""COMPUTED_VALUE"""),4783283)</f>
        <v>4783283</v>
      </c>
      <c r="AR1117" s="17">
        <v>1694</v>
      </c>
      <c r="AS1117" s="17">
        <v>1344</v>
      </c>
      <c r="AT1117" s="17">
        <v>16950.75</v>
      </c>
      <c r="AU1117" s="17">
        <v>5.75</v>
      </c>
      <c r="AV1117" s="17">
        <v>0.65</v>
      </c>
      <c r="AW1117" s="10" t="s">
        <v>105</v>
      </c>
      <c r="AX1117" s="17">
        <v>456</v>
      </c>
      <c r="AY1117" s="18">
        <v>12.612165178571429</v>
      </c>
      <c r="AZ1117" s="10" t="s">
        <v>3998</v>
      </c>
      <c r="BA1117" s="20" t="b">
        <v>0</v>
      </c>
      <c r="BB1117" s="10"/>
      <c r="BC1117" s="17">
        <v>1694</v>
      </c>
      <c r="BD1117" s="17">
        <v>1344</v>
      </c>
      <c r="BE1117" s="17">
        <v>16950.75</v>
      </c>
      <c r="BF1117" s="17">
        <v>0.65</v>
      </c>
      <c r="BG1117" s="11">
        <f ca="1">IFERROR(__xludf.DUMMYFUNCTION("""COMPUTED_VALUE"""),46011.125)</f>
        <v>46011.125</v>
      </c>
      <c r="BH1117" s="17" t="s">
        <v>105</v>
      </c>
      <c r="BI1117" s="17"/>
      <c r="BJ1117" s="15"/>
      <c r="BK1117" s="15"/>
      <c r="BL1117" s="13" t="b">
        <v>0</v>
      </c>
      <c r="BM1117" s="10"/>
      <c r="BN1117" s="10" t="s">
        <v>157</v>
      </c>
      <c r="BO1117" s="11">
        <v>45889.584722222222</v>
      </c>
      <c r="BP1117" s="11">
        <v>46005.896666666667</v>
      </c>
      <c r="BQ1117" s="15"/>
      <c r="BR1117" s="15">
        <v>46007.574062500003</v>
      </c>
      <c r="BS1117" s="10" t="s">
        <v>157</v>
      </c>
      <c r="BT1117" s="10"/>
      <c r="BU1117" s="10"/>
      <c r="BV1117" s="10"/>
      <c r="BW1117" s="10"/>
      <c r="BX1117" s="10"/>
      <c r="BY1117" s="23"/>
      <c r="BZ1117" s="23"/>
      <c r="CA1117" s="19" t="s">
        <v>8848</v>
      </c>
      <c r="CB1117" s="19" t="s">
        <v>8849</v>
      </c>
      <c r="CC1117" s="23"/>
      <c r="CD1117" s="23"/>
      <c r="CE1117" s="23"/>
      <c r="CF1117" s="23"/>
      <c r="CG1117" s="23"/>
      <c r="CH1117" s="23"/>
      <c r="CI1117" s="23"/>
    </row>
    <row r="1118" spans="1:87" x14ac:dyDescent="0.3">
      <c r="A1118" s="9" t="s">
        <v>8850</v>
      </c>
      <c r="B1118" s="10" t="s">
        <v>8851</v>
      </c>
      <c r="C1118" s="11">
        <v>46011.916666666664</v>
      </c>
      <c r="D1118" s="12">
        <v>8.3333333333333329E-2</v>
      </c>
      <c r="E1118" s="11">
        <v>46012</v>
      </c>
      <c r="F1118" s="10" t="s">
        <v>7613</v>
      </c>
      <c r="G1118" s="13" t="b">
        <v>0</v>
      </c>
      <c r="H1118" s="10" t="s">
        <v>3478</v>
      </c>
      <c r="I1118" s="10" t="s">
        <v>89</v>
      </c>
      <c r="J1118" s="13" t="b">
        <v>0</v>
      </c>
      <c r="K1118" s="13" t="b">
        <v>1</v>
      </c>
      <c r="L1118" s="10" t="s">
        <v>124</v>
      </c>
      <c r="M1118" s="10" t="s">
        <v>91</v>
      </c>
      <c r="N1118" s="10" t="s">
        <v>265</v>
      </c>
      <c r="O1118" s="19" t="s">
        <v>8852</v>
      </c>
      <c r="P1118" s="10"/>
      <c r="Q1118" s="10" t="s">
        <v>4312</v>
      </c>
      <c r="R1118" s="10"/>
      <c r="S1118" s="19" t="s">
        <v>8853</v>
      </c>
      <c r="T1118" s="10"/>
      <c r="U1118" s="10" t="s">
        <v>7619</v>
      </c>
      <c r="V1118" s="10" t="s">
        <v>8640</v>
      </c>
      <c r="W1118" s="10" t="s">
        <v>7620</v>
      </c>
      <c r="X1118" s="10" t="s">
        <v>130</v>
      </c>
      <c r="Y1118" s="10" t="s">
        <v>130</v>
      </c>
      <c r="Z1118" s="10" t="s">
        <v>99</v>
      </c>
      <c r="AA1118" s="10" t="s">
        <v>131</v>
      </c>
      <c r="AB1118" s="10" t="s">
        <v>7621</v>
      </c>
      <c r="AC1118" s="10" t="s">
        <v>274</v>
      </c>
      <c r="AD1118" s="10" t="s">
        <v>8854</v>
      </c>
      <c r="AE1118" s="10" t="s">
        <v>8855</v>
      </c>
      <c r="AF1118" s="15"/>
      <c r="AG1118" s="10"/>
      <c r="AH1118" s="10"/>
      <c r="AI1118" s="10"/>
      <c r="AJ1118" s="10"/>
      <c r="AK1118" s="10" t="s">
        <v>102</v>
      </c>
      <c r="AL1118" s="10" t="s">
        <v>2509</v>
      </c>
      <c r="AM1118" s="10"/>
      <c r="AN1118" s="10"/>
      <c r="AO1118" s="13" t="b">
        <v>0</v>
      </c>
      <c r="AP1118" s="10" t="s">
        <v>104</v>
      </c>
      <c r="AQ1118" s="10">
        <f ca="1">IFERROR(__xludf.DUMMYFUNCTION("""COMPUTED_VALUE"""),4783742)</f>
        <v>4783742</v>
      </c>
      <c r="AR1118" s="17">
        <v>4501</v>
      </c>
      <c r="AS1118" s="17">
        <v>3827</v>
      </c>
      <c r="AT1118" s="17">
        <v>30920</v>
      </c>
      <c r="AU1118" s="17">
        <v>11.35</v>
      </c>
      <c r="AV1118" s="17">
        <v>1.75</v>
      </c>
      <c r="AW1118" s="10" t="s">
        <v>105</v>
      </c>
      <c r="AX1118" s="17">
        <v>678</v>
      </c>
      <c r="AY1118" s="18">
        <v>8.0794355892343876</v>
      </c>
      <c r="AZ1118" s="10" t="s">
        <v>3998</v>
      </c>
      <c r="BA1118" s="20" t="b">
        <v>0</v>
      </c>
      <c r="BB1118" s="10"/>
      <c r="BC1118" s="17">
        <v>4501</v>
      </c>
      <c r="BD1118" s="17">
        <v>3827</v>
      </c>
      <c r="BE1118" s="17">
        <v>30920</v>
      </c>
      <c r="BF1118" s="17">
        <v>1.75</v>
      </c>
      <c r="BG1118" s="11">
        <f ca="1">IFERROR(__xludf.DUMMYFUNCTION("""COMPUTED_VALUE"""),46011.9166666666)</f>
        <v>46011.916666666599</v>
      </c>
      <c r="BH1118" s="17" t="s">
        <v>105</v>
      </c>
      <c r="BI1118" s="17"/>
      <c r="BJ1118" s="15"/>
      <c r="BK1118" s="15"/>
      <c r="BL1118" s="13" t="b">
        <v>0</v>
      </c>
      <c r="BM1118" s="10"/>
      <c r="BN1118" s="10" t="s">
        <v>1160</v>
      </c>
      <c r="BO1118" s="11">
        <v>45889.585416666669</v>
      </c>
      <c r="BP1118" s="11">
        <v>46005.896898148145</v>
      </c>
      <c r="BQ1118" s="15">
        <v>46008.617083333331</v>
      </c>
      <c r="BR1118" s="15">
        <v>46009.388749999998</v>
      </c>
      <c r="BS1118" s="10" t="s">
        <v>1160</v>
      </c>
      <c r="BT1118" s="10"/>
      <c r="BU1118" s="10"/>
      <c r="BV1118" s="10"/>
      <c r="BW1118" s="10"/>
      <c r="BX1118" s="10"/>
      <c r="BY1118" s="23"/>
      <c r="BZ1118" s="23"/>
      <c r="CA1118" s="19" t="s">
        <v>8856</v>
      </c>
      <c r="CB1118" s="19" t="s">
        <v>8857</v>
      </c>
      <c r="CC1118" s="23"/>
      <c r="CD1118" s="19" t="s">
        <v>8858</v>
      </c>
      <c r="CE1118" s="23"/>
      <c r="CF1118" s="23"/>
      <c r="CG1118" s="23"/>
      <c r="CH1118" s="23"/>
      <c r="CI1118" s="23"/>
    </row>
    <row r="1119" spans="1:87" x14ac:dyDescent="0.3">
      <c r="A1119" s="9" t="s">
        <v>8859</v>
      </c>
      <c r="B1119" s="10" t="s">
        <v>8860</v>
      </c>
      <c r="C1119" s="11">
        <v>46018.020833333336</v>
      </c>
      <c r="D1119" s="12">
        <v>8.3333333333333329E-2</v>
      </c>
      <c r="E1119" s="11">
        <v>46018.104166666664</v>
      </c>
      <c r="F1119" s="10" t="s">
        <v>7613</v>
      </c>
      <c r="G1119" s="13" t="b">
        <v>0</v>
      </c>
      <c r="H1119" s="10" t="s">
        <v>88</v>
      </c>
      <c r="I1119" s="10" t="s">
        <v>89</v>
      </c>
      <c r="J1119" s="13" t="b">
        <v>0</v>
      </c>
      <c r="K1119" s="13" t="b">
        <v>1</v>
      </c>
      <c r="L1119" s="10" t="s">
        <v>124</v>
      </c>
      <c r="M1119" s="10" t="s">
        <v>91</v>
      </c>
      <c r="N1119" s="10" t="s">
        <v>265</v>
      </c>
      <c r="O1119" s="19" t="s">
        <v>8861</v>
      </c>
      <c r="P1119" s="10"/>
      <c r="Q1119" s="10" t="s">
        <v>94</v>
      </c>
      <c r="R1119" s="10"/>
      <c r="S1119" s="10"/>
      <c r="T1119" s="10"/>
      <c r="U1119" s="10" t="s">
        <v>7633</v>
      </c>
      <c r="V1119" s="10" t="s">
        <v>7903</v>
      </c>
      <c r="W1119" s="10" t="s">
        <v>7620</v>
      </c>
      <c r="X1119" s="10" t="s">
        <v>130</v>
      </c>
      <c r="Y1119" s="10" t="s">
        <v>130</v>
      </c>
      <c r="Z1119" s="10" t="s">
        <v>99</v>
      </c>
      <c r="AA1119" s="10" t="s">
        <v>131</v>
      </c>
      <c r="AB1119" s="10" t="s">
        <v>7621</v>
      </c>
      <c r="AC1119" s="10" t="s">
        <v>274</v>
      </c>
      <c r="AD1119" s="10" t="s">
        <v>8862</v>
      </c>
      <c r="AE1119" s="10" t="s">
        <v>8863</v>
      </c>
      <c r="AF1119" s="15"/>
      <c r="AG1119" s="10"/>
      <c r="AH1119" s="10"/>
      <c r="AI1119" s="10"/>
      <c r="AJ1119" s="10"/>
      <c r="AK1119" s="10" t="s">
        <v>102</v>
      </c>
      <c r="AL1119" s="10" t="s">
        <v>2553</v>
      </c>
      <c r="AM1119" s="10"/>
      <c r="AN1119" s="10"/>
      <c r="AO1119" s="13" t="b">
        <v>0</v>
      </c>
      <c r="AP1119" s="10" t="s">
        <v>104</v>
      </c>
      <c r="AQ1119" s="10">
        <f ca="1">IFERROR(__xludf.DUMMYFUNCTION("""COMPUTED_VALUE"""),4790739)</f>
        <v>4790739</v>
      </c>
      <c r="AR1119" s="17">
        <v>3465</v>
      </c>
      <c r="AS1119" s="17">
        <v>2649</v>
      </c>
      <c r="AT1119" s="17">
        <v>47323</v>
      </c>
      <c r="AU1119" s="17">
        <v>9.6</v>
      </c>
      <c r="AV1119" s="17">
        <v>1.1000000000000001</v>
      </c>
      <c r="AW1119" s="10" t="s">
        <v>105</v>
      </c>
      <c r="AX1119" s="17">
        <v>522</v>
      </c>
      <c r="AY1119" s="18">
        <v>17.864477161192902</v>
      </c>
      <c r="AZ1119" s="10" t="s">
        <v>3998</v>
      </c>
      <c r="BA1119" s="20" t="b">
        <v>0</v>
      </c>
      <c r="BB1119" s="10"/>
      <c r="BC1119" s="17">
        <v>3465</v>
      </c>
      <c r="BD1119" s="17">
        <v>2649</v>
      </c>
      <c r="BE1119" s="17">
        <v>47323</v>
      </c>
      <c r="BF1119" s="17">
        <v>1.1000000000000001</v>
      </c>
      <c r="BG1119" s="11">
        <f ca="1">IFERROR(__xludf.DUMMYFUNCTION("""COMPUTED_VALUE"""),46018.0208333333)</f>
        <v>46018.020833333299</v>
      </c>
      <c r="BH1119" s="17" t="s">
        <v>105</v>
      </c>
      <c r="BI1119" s="17"/>
      <c r="BJ1119" s="15"/>
      <c r="BK1119" s="15"/>
      <c r="BL1119" s="13" t="b">
        <v>0</v>
      </c>
      <c r="BM1119" s="10"/>
      <c r="BN1119" s="10" t="s">
        <v>149</v>
      </c>
      <c r="BO1119" s="11">
        <v>45889.586111111108</v>
      </c>
      <c r="BP1119" s="11">
        <v>46011.73877314815</v>
      </c>
      <c r="BQ1119" s="15"/>
      <c r="BR1119" s="15">
        <v>46013.45412037037</v>
      </c>
      <c r="BS1119" s="10" t="s">
        <v>149</v>
      </c>
      <c r="BT1119" s="10"/>
      <c r="BU1119" s="10"/>
      <c r="BV1119" s="10"/>
      <c r="BW1119" s="10"/>
      <c r="BX1119" s="10"/>
      <c r="BY1119" s="23"/>
      <c r="BZ1119" s="23"/>
      <c r="CA1119" s="19" t="s">
        <v>8864</v>
      </c>
      <c r="CB1119" s="19" t="s">
        <v>8865</v>
      </c>
      <c r="CC1119" s="23"/>
      <c r="CD1119" s="23"/>
      <c r="CE1119" s="23"/>
      <c r="CF1119" s="23"/>
      <c r="CG1119" s="23"/>
      <c r="CH1119" s="23"/>
      <c r="CI1119" s="23"/>
    </row>
    <row r="1120" spans="1:87" x14ac:dyDescent="0.3">
      <c r="A1120" s="9" t="s">
        <v>8866</v>
      </c>
      <c r="B1120" s="10" t="s">
        <v>8867</v>
      </c>
      <c r="C1120" s="11">
        <v>46021.041666666664</v>
      </c>
      <c r="D1120" s="12">
        <v>8.3333333333333329E-2</v>
      </c>
      <c r="E1120" s="11">
        <v>46021.125</v>
      </c>
      <c r="F1120" s="10" t="s">
        <v>7613</v>
      </c>
      <c r="G1120" s="13" t="b">
        <v>0</v>
      </c>
      <c r="H1120" s="10" t="s">
        <v>88</v>
      </c>
      <c r="I1120" s="10" t="s">
        <v>89</v>
      </c>
      <c r="J1120" s="13" t="b">
        <v>0</v>
      </c>
      <c r="K1120" s="13" t="b">
        <v>1</v>
      </c>
      <c r="L1120" s="10" t="s">
        <v>124</v>
      </c>
      <c r="M1120" s="10" t="s">
        <v>91</v>
      </c>
      <c r="N1120" s="10" t="s">
        <v>92</v>
      </c>
      <c r="O1120" s="19" t="s">
        <v>8868</v>
      </c>
      <c r="P1120" s="10"/>
      <c r="Q1120" s="10" t="s">
        <v>4312</v>
      </c>
      <c r="R1120" s="10"/>
      <c r="S1120" s="19" t="s">
        <v>8869</v>
      </c>
      <c r="T1120" s="10"/>
      <c r="U1120" s="10" t="s">
        <v>8791</v>
      </c>
      <c r="V1120" s="10" t="s">
        <v>7619</v>
      </c>
      <c r="W1120" s="10" t="s">
        <v>7620</v>
      </c>
      <c r="X1120" s="10" t="s">
        <v>130</v>
      </c>
      <c r="Y1120" s="10" t="s">
        <v>130</v>
      </c>
      <c r="Z1120" s="10" t="s">
        <v>99</v>
      </c>
      <c r="AA1120" s="10" t="s">
        <v>131</v>
      </c>
      <c r="AB1120" s="10" t="s">
        <v>7621</v>
      </c>
      <c r="AC1120" s="10" t="s">
        <v>274</v>
      </c>
      <c r="AD1120" s="10" t="s">
        <v>8870</v>
      </c>
      <c r="AE1120" s="10" t="s">
        <v>8871</v>
      </c>
      <c r="AF1120" s="15"/>
      <c r="AG1120" s="10"/>
      <c r="AH1120" s="10"/>
      <c r="AI1120" s="10"/>
      <c r="AJ1120" s="10"/>
      <c r="AK1120" s="10" t="s">
        <v>102</v>
      </c>
      <c r="AL1120" s="10" t="s">
        <v>2596</v>
      </c>
      <c r="AM1120" s="10"/>
      <c r="AN1120" s="10"/>
      <c r="AO1120" s="13" t="b">
        <v>0</v>
      </c>
      <c r="AP1120" s="10" t="s">
        <v>104</v>
      </c>
      <c r="AQ1120" s="10">
        <f ca="1">IFERROR(__xludf.DUMMYFUNCTION("""COMPUTED_VALUE"""),4798222)</f>
        <v>4798222</v>
      </c>
      <c r="AR1120" s="17">
        <v>5720</v>
      </c>
      <c r="AS1120" s="17">
        <v>4308</v>
      </c>
      <c r="AT1120" s="17">
        <v>154872.25</v>
      </c>
      <c r="AU1120" s="17">
        <v>8.25</v>
      </c>
      <c r="AV1120" s="17">
        <v>3.8</v>
      </c>
      <c r="AW1120" s="10" t="s">
        <v>105</v>
      </c>
      <c r="AX1120" s="17">
        <v>1583</v>
      </c>
      <c r="AY1120" s="18">
        <v>35.949918755803154</v>
      </c>
      <c r="AZ1120" s="10" t="s">
        <v>136</v>
      </c>
      <c r="BA1120" s="20" t="b">
        <v>0</v>
      </c>
      <c r="BB1120" s="10"/>
      <c r="BC1120" s="17">
        <v>5720</v>
      </c>
      <c r="BD1120" s="17">
        <v>4308</v>
      </c>
      <c r="BE1120" s="17">
        <v>154872.25</v>
      </c>
      <c r="BF1120" s="17">
        <v>3.8</v>
      </c>
      <c r="BG1120" s="11">
        <f ca="1">IFERROR(__xludf.DUMMYFUNCTION("""COMPUTED_VALUE"""),46021.0416666666)</f>
        <v>46021.041666666599</v>
      </c>
      <c r="BH1120" s="17" t="s">
        <v>105</v>
      </c>
      <c r="BI1120" s="17"/>
      <c r="BJ1120" s="15"/>
      <c r="BK1120" s="15"/>
      <c r="BL1120" s="13" t="b">
        <v>0</v>
      </c>
      <c r="BM1120" s="10"/>
      <c r="BN1120" s="10" t="s">
        <v>278</v>
      </c>
      <c r="BO1120" s="11">
        <v>45889.586805555555</v>
      </c>
      <c r="BP1120" s="11">
        <v>46015.820960648147</v>
      </c>
      <c r="BQ1120" s="15">
        <v>46017.550520833334</v>
      </c>
      <c r="BR1120" s="15">
        <v>46019.655358796299</v>
      </c>
      <c r="BS1120" s="10" t="s">
        <v>278</v>
      </c>
      <c r="BT1120" s="10" t="s">
        <v>99</v>
      </c>
      <c r="BU1120" s="10" t="s">
        <v>456</v>
      </c>
      <c r="BV1120" s="10"/>
      <c r="BW1120" s="10"/>
      <c r="BX1120" s="10"/>
      <c r="BY1120" s="23"/>
      <c r="BZ1120" s="23"/>
      <c r="CA1120" s="19" t="s">
        <v>8872</v>
      </c>
      <c r="CB1120" s="19" t="s">
        <v>8873</v>
      </c>
      <c r="CC1120" s="23"/>
      <c r="CD1120" s="19" t="s">
        <v>8874</v>
      </c>
      <c r="CE1120" s="23"/>
      <c r="CF1120" s="23"/>
      <c r="CG1120" s="23"/>
      <c r="CH1120" s="23"/>
      <c r="CI1120" s="23"/>
    </row>
    <row r="1121" spans="1:87" x14ac:dyDescent="0.3">
      <c r="A1121" s="9" t="s">
        <v>8875</v>
      </c>
      <c r="B1121" s="10" t="s">
        <v>8876</v>
      </c>
      <c r="C1121" s="11">
        <v>46021.114583333336</v>
      </c>
      <c r="D1121" s="12">
        <v>8.3333333333333329E-2</v>
      </c>
      <c r="E1121" s="11">
        <v>46021.197916666664</v>
      </c>
      <c r="F1121" s="10" t="s">
        <v>7613</v>
      </c>
      <c r="G1121" s="13" t="b">
        <v>0</v>
      </c>
      <c r="H1121" s="10" t="s">
        <v>3478</v>
      </c>
      <c r="I1121" s="10" t="s">
        <v>89</v>
      </c>
      <c r="J1121" s="13" t="b">
        <v>0</v>
      </c>
      <c r="K1121" s="13" t="b">
        <v>1</v>
      </c>
      <c r="L1121" s="10" t="s">
        <v>124</v>
      </c>
      <c r="M1121" s="10" t="s">
        <v>91</v>
      </c>
      <c r="N1121" s="10" t="s">
        <v>265</v>
      </c>
      <c r="O1121" s="19" t="s">
        <v>8877</v>
      </c>
      <c r="P1121" s="10"/>
      <c r="Q1121" s="10" t="s">
        <v>94</v>
      </c>
      <c r="R1121" s="10"/>
      <c r="S1121" s="10"/>
      <c r="T1121" s="10"/>
      <c r="U1121" s="10" t="s">
        <v>7633</v>
      </c>
      <c r="V1121" s="10" t="s">
        <v>8878</v>
      </c>
      <c r="W1121" s="10" t="s">
        <v>7620</v>
      </c>
      <c r="X1121" s="10" t="s">
        <v>130</v>
      </c>
      <c r="Y1121" s="10" t="s">
        <v>130</v>
      </c>
      <c r="Z1121" s="10" t="s">
        <v>99</v>
      </c>
      <c r="AA1121" s="10" t="s">
        <v>131</v>
      </c>
      <c r="AB1121" s="10" t="s">
        <v>7621</v>
      </c>
      <c r="AC1121" s="10" t="s">
        <v>274</v>
      </c>
      <c r="AD1121" s="10" t="s">
        <v>8879</v>
      </c>
      <c r="AE1121" s="10" t="s">
        <v>8880</v>
      </c>
      <c r="AF1121" s="15"/>
      <c r="AG1121" s="10"/>
      <c r="AH1121" s="10"/>
      <c r="AI1121" s="10"/>
      <c r="AJ1121" s="10"/>
      <c r="AK1121" s="10" t="s">
        <v>102</v>
      </c>
      <c r="AL1121" s="10" t="s">
        <v>2596</v>
      </c>
      <c r="AM1121" s="10"/>
      <c r="AN1121" s="10"/>
      <c r="AO1121" s="13" t="b">
        <v>0</v>
      </c>
      <c r="AP1121" s="10" t="s">
        <v>104</v>
      </c>
      <c r="AQ1121" s="10">
        <f ca="1">IFERROR(__xludf.DUMMYFUNCTION("""COMPUTED_VALUE"""),4798225)</f>
        <v>4798225</v>
      </c>
      <c r="AR1121" s="17">
        <v>1464</v>
      </c>
      <c r="AS1121" s="17">
        <v>1141</v>
      </c>
      <c r="AT1121" s="17">
        <v>16289</v>
      </c>
      <c r="AU1121" s="17">
        <v>0</v>
      </c>
      <c r="AV1121" s="17">
        <v>0</v>
      </c>
      <c r="AW1121" s="10" t="s">
        <v>105</v>
      </c>
      <c r="AX1121" s="17">
        <v>320</v>
      </c>
      <c r="AY1121" s="18">
        <v>14.276073619631902</v>
      </c>
      <c r="AZ1121" s="10"/>
      <c r="BA1121" s="20" t="b">
        <v>0</v>
      </c>
      <c r="BB1121" s="10"/>
      <c r="BC1121" s="17">
        <v>1464</v>
      </c>
      <c r="BD1121" s="17">
        <v>1141</v>
      </c>
      <c r="BE1121" s="17">
        <v>16289</v>
      </c>
      <c r="BF1121" s="17">
        <v>0</v>
      </c>
      <c r="BG1121" s="11">
        <f ca="1">IFERROR(__xludf.DUMMYFUNCTION("""COMPUTED_VALUE"""),46021.1145833333)</f>
        <v>46021.114583333299</v>
      </c>
      <c r="BH1121" s="17" t="s">
        <v>105</v>
      </c>
      <c r="BI1121" s="17"/>
      <c r="BJ1121" s="15"/>
      <c r="BK1121" s="15"/>
      <c r="BL1121" s="13" t="b">
        <v>0</v>
      </c>
      <c r="BM1121" s="10"/>
      <c r="BN1121" s="10" t="s">
        <v>137</v>
      </c>
      <c r="BO1121" s="11">
        <v>45889.588194444441</v>
      </c>
      <c r="BP1121" s="11">
        <v>46019.008611111109</v>
      </c>
      <c r="BQ1121" s="15"/>
      <c r="BR1121" s="15">
        <v>46019.659722222219</v>
      </c>
      <c r="BS1121" s="10" t="s">
        <v>137</v>
      </c>
      <c r="BT1121" s="10"/>
      <c r="BU1121" s="10"/>
      <c r="BV1121" s="10"/>
      <c r="BW1121" s="10"/>
      <c r="BX1121" s="10"/>
      <c r="BY1121" s="23"/>
      <c r="BZ1121" s="23"/>
      <c r="CA1121" s="19" t="s">
        <v>8881</v>
      </c>
      <c r="CB1121" s="19" t="s">
        <v>8882</v>
      </c>
      <c r="CC1121" s="23"/>
      <c r="CD1121" s="23"/>
      <c r="CE1121" s="23"/>
      <c r="CF1121" s="23"/>
      <c r="CG1121" s="23"/>
      <c r="CH1121" s="23"/>
      <c r="CI1121" s="23"/>
    </row>
    <row r="1122" spans="1:87" x14ac:dyDescent="0.3">
      <c r="A1122" s="9" t="s">
        <v>8883</v>
      </c>
      <c r="B1122" s="10" t="s">
        <v>8884</v>
      </c>
      <c r="C1122" s="11">
        <v>46023.8125</v>
      </c>
      <c r="D1122" s="12">
        <v>8.3333333333333329E-2</v>
      </c>
      <c r="E1122" s="11">
        <v>46023.895833333336</v>
      </c>
      <c r="F1122" s="10" t="s">
        <v>7613</v>
      </c>
      <c r="G1122" s="13" t="b">
        <v>0</v>
      </c>
      <c r="H1122" s="10" t="s">
        <v>88</v>
      </c>
      <c r="I1122" s="10" t="s">
        <v>89</v>
      </c>
      <c r="J1122" s="13" t="b">
        <v>0</v>
      </c>
      <c r="K1122" s="13" t="b">
        <v>1</v>
      </c>
      <c r="L1122" s="10" t="s">
        <v>124</v>
      </c>
      <c r="M1122" s="10" t="s">
        <v>91</v>
      </c>
      <c r="N1122" s="10" t="s">
        <v>92</v>
      </c>
      <c r="O1122" s="19" t="s">
        <v>8885</v>
      </c>
      <c r="P1122" s="10"/>
      <c r="Q1122" s="10" t="s">
        <v>94</v>
      </c>
      <c r="R1122" s="10"/>
      <c r="S1122" s="10"/>
      <c r="T1122" s="10"/>
      <c r="U1122" s="10" t="s">
        <v>8886</v>
      </c>
      <c r="V1122" s="10" t="s">
        <v>7633</v>
      </c>
      <c r="W1122" s="10" t="s">
        <v>7620</v>
      </c>
      <c r="X1122" s="10" t="s">
        <v>130</v>
      </c>
      <c r="Y1122" s="10" t="s">
        <v>130</v>
      </c>
      <c r="Z1122" s="10" t="s">
        <v>99</v>
      </c>
      <c r="AA1122" s="10" t="s">
        <v>131</v>
      </c>
      <c r="AB1122" s="10" t="s">
        <v>7621</v>
      </c>
      <c r="AC1122" s="10" t="s">
        <v>274</v>
      </c>
      <c r="AD1122" s="10" t="s">
        <v>8887</v>
      </c>
      <c r="AE1122" s="10" t="s">
        <v>8888</v>
      </c>
      <c r="AF1122" s="15"/>
      <c r="AG1122" s="10"/>
      <c r="AH1122" s="10"/>
      <c r="AI1122" s="10"/>
      <c r="AJ1122" s="10"/>
      <c r="AK1122" s="10" t="s">
        <v>102</v>
      </c>
      <c r="AL1122" s="10" t="s">
        <v>2638</v>
      </c>
      <c r="AM1122" s="10"/>
      <c r="AN1122" s="10"/>
      <c r="AO1122" s="13" t="b">
        <v>0</v>
      </c>
      <c r="AP1122" s="10" t="s">
        <v>104</v>
      </c>
      <c r="AQ1122" s="10">
        <f ca="1">IFERROR(__xludf.DUMMYFUNCTION("""COMPUTED_VALUE"""),4803408)</f>
        <v>4803408</v>
      </c>
      <c r="AR1122" s="17">
        <v>14875</v>
      </c>
      <c r="AS1122" s="17">
        <v>11791</v>
      </c>
      <c r="AT1122" s="17">
        <v>278084.5</v>
      </c>
      <c r="AU1122" s="17">
        <v>84.35</v>
      </c>
      <c r="AV1122" s="17">
        <v>18.100000000000001</v>
      </c>
      <c r="AW1122" s="10" t="s">
        <v>105</v>
      </c>
      <c r="AX1122" s="17">
        <v>3271</v>
      </c>
      <c r="AY1122" s="18">
        <v>23.584471206852683</v>
      </c>
      <c r="AZ1122" s="10"/>
      <c r="BA1122" s="20" t="b">
        <v>0</v>
      </c>
      <c r="BB1122" s="10"/>
      <c r="BC1122" s="17">
        <v>14875</v>
      </c>
      <c r="BD1122" s="17">
        <v>11791</v>
      </c>
      <c r="BE1122" s="17">
        <v>278084.5</v>
      </c>
      <c r="BF1122" s="17">
        <v>18.100000000000001</v>
      </c>
      <c r="BG1122" s="11">
        <f ca="1">IFERROR(__xludf.DUMMYFUNCTION("""COMPUTED_VALUE"""),46023.8125)</f>
        <v>46023.8125</v>
      </c>
      <c r="BH1122" s="17" t="s">
        <v>105</v>
      </c>
      <c r="BI1122" s="17"/>
      <c r="BJ1122" s="15"/>
      <c r="BK1122" s="15"/>
      <c r="BL1122" s="13" t="b">
        <v>0</v>
      </c>
      <c r="BM1122" s="10"/>
      <c r="BN1122" s="10" t="s">
        <v>118</v>
      </c>
      <c r="BO1122" s="11">
        <v>45889.588888888888</v>
      </c>
      <c r="BP1122" s="11">
        <v>46015.821203703701</v>
      </c>
      <c r="BQ1122" s="15"/>
      <c r="BR1122" s="15">
        <v>46021.428368055553</v>
      </c>
      <c r="BS1122" s="10" t="s">
        <v>118</v>
      </c>
      <c r="BT1122" s="10"/>
      <c r="BU1122" s="10"/>
      <c r="BV1122" s="10"/>
      <c r="BW1122" s="10"/>
      <c r="BX1122" s="10"/>
      <c r="BY1122" s="23"/>
      <c r="BZ1122" s="23"/>
      <c r="CA1122" s="19" t="s">
        <v>8889</v>
      </c>
      <c r="CB1122" s="19" t="s">
        <v>8890</v>
      </c>
      <c r="CC1122" s="23"/>
      <c r="CD1122" s="23"/>
      <c r="CE1122" s="23"/>
      <c r="CF1122" s="23"/>
      <c r="CG1122" s="23"/>
      <c r="CH1122" s="23"/>
      <c r="CI1122" s="23"/>
    </row>
    <row r="1123" spans="1:87" x14ac:dyDescent="0.3">
      <c r="A1123" s="9" t="s">
        <v>8891</v>
      </c>
      <c r="B1123" s="10" t="s">
        <v>8892</v>
      </c>
      <c r="C1123" s="11">
        <v>45920.041666666664</v>
      </c>
      <c r="D1123" s="12">
        <v>8.3333333333333329E-2</v>
      </c>
      <c r="E1123" s="11">
        <v>45920.125</v>
      </c>
      <c r="F1123" s="10" t="s">
        <v>3687</v>
      </c>
      <c r="G1123" s="13" t="b">
        <v>0</v>
      </c>
      <c r="H1123" s="10" t="s">
        <v>88</v>
      </c>
      <c r="I1123" s="10" t="s">
        <v>89</v>
      </c>
      <c r="J1123" s="13" t="b">
        <v>0</v>
      </c>
      <c r="K1123" s="13" t="b">
        <v>1</v>
      </c>
      <c r="L1123" s="10" t="s">
        <v>124</v>
      </c>
      <c r="M1123" s="10" t="s">
        <v>91</v>
      </c>
      <c r="N1123" s="10" t="s">
        <v>92</v>
      </c>
      <c r="O1123" s="19" t="s">
        <v>8893</v>
      </c>
      <c r="P1123" s="10"/>
      <c r="Q1123" s="10" t="s">
        <v>126</v>
      </c>
      <c r="R1123" s="10"/>
      <c r="S1123" s="19" t="s">
        <v>8894</v>
      </c>
      <c r="T1123" s="19" t="s">
        <v>8895</v>
      </c>
      <c r="U1123" s="10" t="s">
        <v>3705</v>
      </c>
      <c r="V1123" s="10" t="s">
        <v>7741</v>
      </c>
      <c r="W1123" s="10" t="s">
        <v>3692</v>
      </c>
      <c r="X1123" s="10" t="s">
        <v>130</v>
      </c>
      <c r="Y1123" s="10" t="s">
        <v>130</v>
      </c>
      <c r="Z1123" s="10" t="s">
        <v>99</v>
      </c>
      <c r="AA1123" s="10" t="s">
        <v>131</v>
      </c>
      <c r="AB1123" s="10" t="s">
        <v>3693</v>
      </c>
      <c r="AC1123" s="10" t="s">
        <v>3694</v>
      </c>
      <c r="AD1123" s="10" t="s">
        <v>8896</v>
      </c>
      <c r="AE1123" s="10" t="s">
        <v>8897</v>
      </c>
      <c r="AF1123" s="15"/>
      <c r="AG1123" s="10"/>
      <c r="AH1123" s="10"/>
      <c r="AI1123" s="10"/>
      <c r="AJ1123" s="10"/>
      <c r="AK1123" s="10" t="s">
        <v>102</v>
      </c>
      <c r="AL1123" s="10" t="s">
        <v>176</v>
      </c>
      <c r="AM1123" s="10"/>
      <c r="AN1123" s="10"/>
      <c r="AO1123" s="13" t="b">
        <v>0</v>
      </c>
      <c r="AP1123" s="10" t="s">
        <v>104</v>
      </c>
      <c r="AQ1123" s="10">
        <f ca="1">IFERROR(__xludf.DUMMYFUNCTION("""COMPUTED_VALUE"""),4577332)</f>
        <v>4577332</v>
      </c>
      <c r="AR1123" s="17">
        <v>4984</v>
      </c>
      <c r="AS1123" s="17">
        <v>3919</v>
      </c>
      <c r="AT1123" s="17">
        <v>81668.5</v>
      </c>
      <c r="AU1123" s="17">
        <v>6.45</v>
      </c>
      <c r="AV1123" s="17">
        <v>1.8</v>
      </c>
      <c r="AW1123" s="10" t="s">
        <v>105</v>
      </c>
      <c r="AX1123" s="17">
        <v>935</v>
      </c>
      <c r="AY1123" s="18">
        <v>20.839117121714722</v>
      </c>
      <c r="AZ1123" s="10" t="s">
        <v>3783</v>
      </c>
      <c r="BA1123" s="20" t="b">
        <v>0</v>
      </c>
      <c r="BB1123" s="10"/>
      <c r="BC1123" s="17">
        <v>4984</v>
      </c>
      <c r="BD1123" s="17">
        <v>3919</v>
      </c>
      <c r="BE1123" s="17">
        <v>81668.5</v>
      </c>
      <c r="BF1123" s="17">
        <v>1.8</v>
      </c>
      <c r="BG1123" s="11">
        <f ca="1">IFERROR(__xludf.DUMMYFUNCTION("""COMPUTED_VALUE"""),45920.0416666666)</f>
        <v>45920.041666666599</v>
      </c>
      <c r="BH1123" s="17" t="s">
        <v>105</v>
      </c>
      <c r="BI1123" s="17"/>
      <c r="BJ1123" s="15"/>
      <c r="BK1123" s="15"/>
      <c r="BL1123" s="13" t="b">
        <v>0</v>
      </c>
      <c r="BM1123" s="10"/>
      <c r="BN1123" s="10" t="s">
        <v>1160</v>
      </c>
      <c r="BO1123" s="11">
        <v>45890.573611111111</v>
      </c>
      <c r="BP1123" s="11">
        <v>45915.752372685187</v>
      </c>
      <c r="BQ1123" s="15">
        <v>45912.927430555559</v>
      </c>
      <c r="BR1123" s="15">
        <v>45917.406863425924</v>
      </c>
      <c r="BS1123" s="10" t="s">
        <v>1160</v>
      </c>
      <c r="BT1123" s="10" t="s">
        <v>99</v>
      </c>
      <c r="BU1123" s="10" t="s">
        <v>8898</v>
      </c>
      <c r="BV1123" s="10"/>
      <c r="BW1123" s="10"/>
      <c r="BX1123" s="10"/>
      <c r="BY1123" s="23"/>
      <c r="BZ1123" s="23"/>
      <c r="CA1123" s="19" t="s">
        <v>8899</v>
      </c>
      <c r="CB1123" s="19" t="s">
        <v>8900</v>
      </c>
      <c r="CC1123" s="23"/>
      <c r="CD1123" s="19" t="s">
        <v>8901</v>
      </c>
      <c r="CE1123" s="23"/>
      <c r="CF1123" s="23"/>
      <c r="CG1123" s="23"/>
      <c r="CH1123" s="23"/>
      <c r="CI1123" s="23"/>
    </row>
    <row r="1124" spans="1:87" x14ac:dyDescent="0.3">
      <c r="A1124" s="9" t="s">
        <v>8902</v>
      </c>
      <c r="B1124" s="10" t="s">
        <v>8903</v>
      </c>
      <c r="C1124" s="11">
        <v>45921.041666666664</v>
      </c>
      <c r="D1124" s="12">
        <v>8.3333333333333329E-2</v>
      </c>
      <c r="E1124" s="11">
        <v>45921.125</v>
      </c>
      <c r="F1124" s="10" t="s">
        <v>3687</v>
      </c>
      <c r="G1124" s="13" t="b">
        <v>0</v>
      </c>
      <c r="H1124" s="10" t="s">
        <v>88</v>
      </c>
      <c r="I1124" s="10" t="s">
        <v>89</v>
      </c>
      <c r="J1124" s="13" t="b">
        <v>0</v>
      </c>
      <c r="K1124" s="13" t="b">
        <v>1</v>
      </c>
      <c r="L1124" s="10" t="s">
        <v>124</v>
      </c>
      <c r="M1124" s="10" t="s">
        <v>91</v>
      </c>
      <c r="N1124" s="10" t="s">
        <v>92</v>
      </c>
      <c r="O1124" s="19" t="s">
        <v>8904</v>
      </c>
      <c r="P1124" s="10"/>
      <c r="Q1124" s="10" t="s">
        <v>126</v>
      </c>
      <c r="R1124" s="10"/>
      <c r="S1124" s="19" t="s">
        <v>8905</v>
      </c>
      <c r="T1124" s="19" t="s">
        <v>8895</v>
      </c>
      <c r="U1124" s="10" t="s">
        <v>4992</v>
      </c>
      <c r="V1124" s="10" t="s">
        <v>8476</v>
      </c>
      <c r="W1124" s="10" t="s">
        <v>3692</v>
      </c>
      <c r="X1124" s="10" t="s">
        <v>130</v>
      </c>
      <c r="Y1124" s="10" t="s">
        <v>130</v>
      </c>
      <c r="Z1124" s="10" t="s">
        <v>99</v>
      </c>
      <c r="AA1124" s="10" t="s">
        <v>131</v>
      </c>
      <c r="AB1124" s="10" t="s">
        <v>3693</v>
      </c>
      <c r="AC1124" s="10" t="s">
        <v>3694</v>
      </c>
      <c r="AD1124" s="10" t="s">
        <v>8906</v>
      </c>
      <c r="AE1124" s="10" t="s">
        <v>8907</v>
      </c>
      <c r="AF1124" s="15"/>
      <c r="AG1124" s="10"/>
      <c r="AH1124" s="10"/>
      <c r="AI1124" s="10"/>
      <c r="AJ1124" s="10"/>
      <c r="AK1124" s="10" t="s">
        <v>102</v>
      </c>
      <c r="AL1124" s="10" t="s">
        <v>176</v>
      </c>
      <c r="AM1124" s="10"/>
      <c r="AN1124" s="10"/>
      <c r="AO1124" s="13" t="b">
        <v>0</v>
      </c>
      <c r="AP1124" s="10" t="s">
        <v>104</v>
      </c>
      <c r="AQ1124" s="10">
        <f ca="1">IFERROR(__xludf.DUMMYFUNCTION("""COMPUTED_VALUE"""),4577337)</f>
        <v>4577337</v>
      </c>
      <c r="AR1124" s="17">
        <v>11419</v>
      </c>
      <c r="AS1124" s="17">
        <v>9145</v>
      </c>
      <c r="AT1124" s="17">
        <v>133180.25</v>
      </c>
      <c r="AU1124" s="17">
        <v>14.25</v>
      </c>
      <c r="AV1124" s="17">
        <v>7.2</v>
      </c>
      <c r="AW1124" s="10" t="s">
        <v>105</v>
      </c>
      <c r="AX1124" s="17">
        <v>2373</v>
      </c>
      <c r="AY1124" s="18">
        <v>14.563176599234554</v>
      </c>
      <c r="AZ1124" s="10" t="s">
        <v>3783</v>
      </c>
      <c r="BA1124" s="20" t="b">
        <v>0</v>
      </c>
      <c r="BB1124" s="10"/>
      <c r="BC1124" s="17">
        <v>11419</v>
      </c>
      <c r="BD1124" s="17">
        <v>9145</v>
      </c>
      <c r="BE1124" s="17">
        <v>133180.25</v>
      </c>
      <c r="BF1124" s="17">
        <v>7.2</v>
      </c>
      <c r="BG1124" s="11">
        <f ca="1">IFERROR(__xludf.DUMMYFUNCTION("""COMPUTED_VALUE"""),45921.0416666666)</f>
        <v>45921.041666666599</v>
      </c>
      <c r="BH1124" s="17" t="s">
        <v>105</v>
      </c>
      <c r="BI1124" s="17"/>
      <c r="BJ1124" s="15"/>
      <c r="BK1124" s="15"/>
      <c r="BL1124" s="13" t="b">
        <v>0</v>
      </c>
      <c r="BM1124" s="10"/>
      <c r="BN1124" s="10" t="s">
        <v>634</v>
      </c>
      <c r="BO1124" s="11">
        <v>45890.574305555558</v>
      </c>
      <c r="BP1124" s="11">
        <v>45915.753275462965</v>
      </c>
      <c r="BQ1124" s="15">
        <v>45912.927604166667</v>
      </c>
      <c r="BR1124" s="15">
        <v>45917.407060185185</v>
      </c>
      <c r="BS1124" s="10" t="s">
        <v>634</v>
      </c>
      <c r="BT1124" s="10" t="s">
        <v>99</v>
      </c>
      <c r="BU1124" s="10" t="s">
        <v>1275</v>
      </c>
      <c r="BV1124" s="10" t="s">
        <v>4315</v>
      </c>
      <c r="BW1124" s="10" t="s">
        <v>8908</v>
      </c>
      <c r="BX1124" s="19" t="s">
        <v>8909</v>
      </c>
      <c r="BY1124" s="23"/>
      <c r="BZ1124" s="23"/>
      <c r="CA1124" s="19" t="s">
        <v>8910</v>
      </c>
      <c r="CB1124" s="19" t="s">
        <v>8911</v>
      </c>
      <c r="CC1124" s="23"/>
      <c r="CD1124" s="19" t="s">
        <v>8912</v>
      </c>
      <c r="CE1124" s="23"/>
      <c r="CF1124" s="23"/>
      <c r="CG1124" s="23"/>
      <c r="CH1124" s="23"/>
      <c r="CI1124" s="23"/>
    </row>
    <row r="1125" spans="1:87" x14ac:dyDescent="0.3">
      <c r="A1125" s="9" t="s">
        <v>8913</v>
      </c>
      <c r="B1125" s="10" t="s">
        <v>8914</v>
      </c>
      <c r="C1125" s="11">
        <v>45921.8125</v>
      </c>
      <c r="D1125" s="12">
        <v>8.3333333333333329E-2</v>
      </c>
      <c r="E1125" s="11">
        <v>45921.895833333336</v>
      </c>
      <c r="F1125" s="10" t="s">
        <v>3687</v>
      </c>
      <c r="G1125" s="13" t="b">
        <v>0</v>
      </c>
      <c r="H1125" s="10" t="s">
        <v>88</v>
      </c>
      <c r="I1125" s="10" t="s">
        <v>89</v>
      </c>
      <c r="J1125" s="13" t="b">
        <v>0</v>
      </c>
      <c r="K1125" s="13" t="b">
        <v>1</v>
      </c>
      <c r="L1125" s="10" t="s">
        <v>124</v>
      </c>
      <c r="M1125" s="10" t="s">
        <v>91</v>
      </c>
      <c r="N1125" s="10" t="s">
        <v>92</v>
      </c>
      <c r="O1125" s="19" t="s">
        <v>8915</v>
      </c>
      <c r="P1125" s="10"/>
      <c r="Q1125" s="10" t="s">
        <v>126</v>
      </c>
      <c r="R1125" s="10"/>
      <c r="S1125" s="19" t="s">
        <v>8916</v>
      </c>
      <c r="T1125" s="19" t="s">
        <v>8895</v>
      </c>
      <c r="U1125" s="10" t="s">
        <v>3704</v>
      </c>
      <c r="V1125" s="10" t="s">
        <v>3715</v>
      </c>
      <c r="W1125" s="10" t="s">
        <v>3692</v>
      </c>
      <c r="X1125" s="10" t="s">
        <v>130</v>
      </c>
      <c r="Y1125" s="10" t="s">
        <v>130</v>
      </c>
      <c r="Z1125" s="10" t="s">
        <v>99</v>
      </c>
      <c r="AA1125" s="10" t="s">
        <v>131</v>
      </c>
      <c r="AB1125" s="10" t="s">
        <v>3693</v>
      </c>
      <c r="AC1125" s="10" t="s">
        <v>3694</v>
      </c>
      <c r="AD1125" s="10" t="s">
        <v>8917</v>
      </c>
      <c r="AE1125" s="10" t="s">
        <v>8918</v>
      </c>
      <c r="AF1125" s="15"/>
      <c r="AG1125" s="10"/>
      <c r="AH1125" s="10"/>
      <c r="AI1125" s="10"/>
      <c r="AJ1125" s="10"/>
      <c r="AK1125" s="10" t="s">
        <v>102</v>
      </c>
      <c r="AL1125" s="10" t="s">
        <v>176</v>
      </c>
      <c r="AM1125" s="10"/>
      <c r="AN1125" s="10"/>
      <c r="AO1125" s="13" t="b">
        <v>0</v>
      </c>
      <c r="AP1125" s="10" t="s">
        <v>104</v>
      </c>
      <c r="AQ1125" s="10">
        <f ca="1">IFERROR(__xludf.DUMMYFUNCTION("""COMPUTED_VALUE"""),4577340)</f>
        <v>4577340</v>
      </c>
      <c r="AR1125" s="17">
        <v>43898</v>
      </c>
      <c r="AS1125" s="17">
        <v>32937</v>
      </c>
      <c r="AT1125" s="17">
        <v>549280.75</v>
      </c>
      <c r="AU1125" s="17">
        <v>90.65</v>
      </c>
      <c r="AV1125" s="17">
        <v>24.05</v>
      </c>
      <c r="AW1125" s="10" t="s">
        <v>105</v>
      </c>
      <c r="AX1125" s="17">
        <v>8372</v>
      </c>
      <c r="AY1125" s="18">
        <v>16.676708564835899</v>
      </c>
      <c r="AZ1125" s="10" t="s">
        <v>3783</v>
      </c>
      <c r="BA1125" s="20" t="b">
        <v>0</v>
      </c>
      <c r="BB1125" s="10"/>
      <c r="BC1125" s="17">
        <v>43898</v>
      </c>
      <c r="BD1125" s="17">
        <v>32937</v>
      </c>
      <c r="BE1125" s="17">
        <v>549280.75</v>
      </c>
      <c r="BF1125" s="17">
        <v>24.05</v>
      </c>
      <c r="BG1125" s="11">
        <f ca="1">IFERROR(__xludf.DUMMYFUNCTION("""COMPUTED_VALUE"""),45921.8125)</f>
        <v>45921.8125</v>
      </c>
      <c r="BH1125" s="17" t="s">
        <v>105</v>
      </c>
      <c r="BI1125" s="17"/>
      <c r="BJ1125" s="15"/>
      <c r="BK1125" s="15"/>
      <c r="BL1125" s="13" t="b">
        <v>0</v>
      </c>
      <c r="BM1125" s="10"/>
      <c r="BN1125" s="10" t="s">
        <v>455</v>
      </c>
      <c r="BO1125" s="11">
        <v>45890.574999999997</v>
      </c>
      <c r="BP1125" s="11">
        <v>45915.753368055557</v>
      </c>
      <c r="BQ1125" s="15">
        <v>45912.927766203706</v>
      </c>
      <c r="BR1125" s="15">
        <v>45917.414143518516</v>
      </c>
      <c r="BS1125" s="10" t="s">
        <v>455</v>
      </c>
      <c r="BT1125" s="10" t="s">
        <v>99</v>
      </c>
      <c r="BU1125" s="10" t="s">
        <v>6409</v>
      </c>
      <c r="BV1125" s="10"/>
      <c r="BW1125" s="10"/>
      <c r="BX1125" s="10"/>
      <c r="BY1125" s="23"/>
      <c r="BZ1125" s="23"/>
      <c r="CA1125" s="19" t="s">
        <v>8919</v>
      </c>
      <c r="CB1125" s="19" t="s">
        <v>8920</v>
      </c>
      <c r="CC1125" s="23"/>
      <c r="CD1125" s="19" t="s">
        <v>8921</v>
      </c>
      <c r="CE1125" s="23"/>
      <c r="CF1125" s="23"/>
      <c r="CG1125" s="23"/>
      <c r="CH1125" s="23"/>
      <c r="CI1125" s="23"/>
    </row>
    <row r="1126" spans="1:87" x14ac:dyDescent="0.3">
      <c r="A1126" s="9" t="s">
        <v>8922</v>
      </c>
      <c r="B1126" s="10" t="s">
        <v>8923</v>
      </c>
      <c r="C1126" s="11">
        <v>45921.90625</v>
      </c>
      <c r="D1126" s="12">
        <v>8.3333333333333329E-2</v>
      </c>
      <c r="E1126" s="11">
        <v>45921.989583333336</v>
      </c>
      <c r="F1126" s="10" t="s">
        <v>3687</v>
      </c>
      <c r="G1126" s="13" t="b">
        <v>0</v>
      </c>
      <c r="H1126" s="10" t="s">
        <v>88</v>
      </c>
      <c r="I1126" s="10" t="s">
        <v>89</v>
      </c>
      <c r="J1126" s="13" t="b">
        <v>0</v>
      </c>
      <c r="K1126" s="13" t="b">
        <v>1</v>
      </c>
      <c r="L1126" s="10" t="s">
        <v>124</v>
      </c>
      <c r="M1126" s="10" t="s">
        <v>91</v>
      </c>
      <c r="N1126" s="10" t="s">
        <v>92</v>
      </c>
      <c r="O1126" s="19" t="s">
        <v>8924</v>
      </c>
      <c r="P1126" s="10"/>
      <c r="Q1126" s="10" t="s">
        <v>126</v>
      </c>
      <c r="R1126" s="10"/>
      <c r="S1126" s="19" t="s">
        <v>8925</v>
      </c>
      <c r="T1126" s="19" t="s">
        <v>8895</v>
      </c>
      <c r="U1126" s="10" t="s">
        <v>3727</v>
      </c>
      <c r="V1126" s="10" t="s">
        <v>3690</v>
      </c>
      <c r="W1126" s="10" t="s">
        <v>3692</v>
      </c>
      <c r="X1126" s="10" t="s">
        <v>130</v>
      </c>
      <c r="Y1126" s="10" t="s">
        <v>130</v>
      </c>
      <c r="Z1126" s="10" t="s">
        <v>99</v>
      </c>
      <c r="AA1126" s="10" t="s">
        <v>131</v>
      </c>
      <c r="AB1126" s="10" t="s">
        <v>3693</v>
      </c>
      <c r="AC1126" s="10" t="s">
        <v>3694</v>
      </c>
      <c r="AD1126" s="10" t="s">
        <v>8926</v>
      </c>
      <c r="AE1126" s="10" t="s">
        <v>8927</v>
      </c>
      <c r="AF1126" s="15"/>
      <c r="AG1126" s="10"/>
      <c r="AH1126" s="10"/>
      <c r="AI1126" s="10"/>
      <c r="AJ1126" s="10"/>
      <c r="AK1126" s="10" t="s">
        <v>102</v>
      </c>
      <c r="AL1126" s="10" t="s">
        <v>176</v>
      </c>
      <c r="AM1126" s="10"/>
      <c r="AN1126" s="10"/>
      <c r="AO1126" s="13" t="b">
        <v>0</v>
      </c>
      <c r="AP1126" s="10" t="s">
        <v>104</v>
      </c>
      <c r="AQ1126" s="10">
        <f ca="1">IFERROR(__xludf.DUMMYFUNCTION("""COMPUTED_VALUE"""),4577341)</f>
        <v>4577341</v>
      </c>
      <c r="AR1126" s="17">
        <v>11707</v>
      </c>
      <c r="AS1126" s="17">
        <v>9151</v>
      </c>
      <c r="AT1126" s="17">
        <v>99770</v>
      </c>
      <c r="AU1126" s="17">
        <v>28.35</v>
      </c>
      <c r="AV1126" s="17">
        <v>9.75</v>
      </c>
      <c r="AW1126" s="10" t="s">
        <v>105</v>
      </c>
      <c r="AX1126" s="17">
        <v>6636</v>
      </c>
      <c r="AY1126" s="18">
        <v>10.902633591957164</v>
      </c>
      <c r="AZ1126" s="10" t="s">
        <v>3783</v>
      </c>
      <c r="BA1126" s="20" t="b">
        <v>0</v>
      </c>
      <c r="BB1126" s="10"/>
      <c r="BC1126" s="17">
        <v>11707</v>
      </c>
      <c r="BD1126" s="17">
        <v>9151</v>
      </c>
      <c r="BE1126" s="17">
        <v>99770</v>
      </c>
      <c r="BF1126" s="17">
        <v>9.75</v>
      </c>
      <c r="BG1126" s="11">
        <f ca="1">IFERROR(__xludf.DUMMYFUNCTION("""COMPUTED_VALUE"""),45921.90625)</f>
        <v>45921.90625</v>
      </c>
      <c r="BH1126" s="17" t="s">
        <v>105</v>
      </c>
      <c r="BI1126" s="17"/>
      <c r="BJ1126" s="15"/>
      <c r="BK1126" s="15"/>
      <c r="BL1126" s="13" t="b">
        <v>0</v>
      </c>
      <c r="BM1126" s="10"/>
      <c r="BN1126" s="10" t="s">
        <v>455</v>
      </c>
      <c r="BO1126" s="11">
        <v>45890.575694444444</v>
      </c>
      <c r="BP1126" s="11">
        <v>45915.753437500003</v>
      </c>
      <c r="BQ1126" s="15">
        <v>45912.927928240744</v>
      </c>
      <c r="BR1126" s="15">
        <v>45917.414317129631</v>
      </c>
      <c r="BS1126" s="10" t="s">
        <v>455</v>
      </c>
      <c r="BT1126" s="10" t="s">
        <v>99</v>
      </c>
      <c r="BU1126" s="10" t="s">
        <v>8057</v>
      </c>
      <c r="BV1126" s="10"/>
      <c r="BW1126" s="10"/>
      <c r="BX1126" s="10"/>
      <c r="BY1126" s="23"/>
      <c r="BZ1126" s="23"/>
      <c r="CA1126" s="19" t="s">
        <v>8928</v>
      </c>
      <c r="CB1126" s="19" t="s">
        <v>8929</v>
      </c>
      <c r="CC1126" s="23"/>
      <c r="CD1126" s="19" t="s">
        <v>8930</v>
      </c>
      <c r="CE1126" s="23"/>
      <c r="CF1126" s="23"/>
      <c r="CG1126" s="23"/>
      <c r="CH1126" s="23"/>
      <c r="CI1126" s="23"/>
    </row>
    <row r="1127" spans="1:87" x14ac:dyDescent="0.3">
      <c r="A1127" s="9" t="s">
        <v>8931</v>
      </c>
      <c r="B1127" s="10" t="s">
        <v>8932</v>
      </c>
      <c r="C1127" s="11">
        <v>45906.791666666664</v>
      </c>
      <c r="D1127" s="12">
        <v>0.14583333333333334</v>
      </c>
      <c r="E1127" s="11">
        <v>45906.9375</v>
      </c>
      <c r="F1127" s="10" t="s">
        <v>8402</v>
      </c>
      <c r="G1127" s="13" t="b">
        <v>0</v>
      </c>
      <c r="H1127" s="10" t="s">
        <v>8403</v>
      </c>
      <c r="I1127" s="10" t="s">
        <v>212</v>
      </c>
      <c r="J1127" s="13" t="b">
        <v>1</v>
      </c>
      <c r="K1127" s="13" t="b">
        <v>0</v>
      </c>
      <c r="L1127" s="10" t="s">
        <v>124</v>
      </c>
      <c r="M1127" s="10" t="s">
        <v>91</v>
      </c>
      <c r="N1127" s="10" t="s">
        <v>92</v>
      </c>
      <c r="O1127" s="19" t="s">
        <v>8933</v>
      </c>
      <c r="P1127" s="10"/>
      <c r="Q1127" s="10" t="s">
        <v>126</v>
      </c>
      <c r="R1127" s="19" t="s">
        <v>8934</v>
      </c>
      <c r="S1127" s="19" t="s">
        <v>8935</v>
      </c>
      <c r="T1127" s="10"/>
      <c r="U1127" s="10"/>
      <c r="V1127" s="10"/>
      <c r="W1127" s="10" t="s">
        <v>8407</v>
      </c>
      <c r="X1127" s="10" t="s">
        <v>8408</v>
      </c>
      <c r="Y1127" s="10" t="s">
        <v>8409</v>
      </c>
      <c r="Z1127" s="10" t="s">
        <v>99</v>
      </c>
      <c r="AA1127" s="10" t="s">
        <v>100</v>
      </c>
      <c r="AB1127" s="10" t="s">
        <v>8410</v>
      </c>
      <c r="AC1127" s="10"/>
      <c r="AD1127" s="10" t="s">
        <v>165</v>
      </c>
      <c r="AE1127" s="10" t="s">
        <v>8936</v>
      </c>
      <c r="AF1127" s="15"/>
      <c r="AG1127" s="10"/>
      <c r="AH1127" s="10"/>
      <c r="AI1127" s="10"/>
      <c r="AJ1127" s="10"/>
      <c r="AK1127" s="10" t="s">
        <v>102</v>
      </c>
      <c r="AL1127" s="10"/>
      <c r="AM1127" s="10"/>
      <c r="AN1127" s="10"/>
      <c r="AO1127" s="13" t="b">
        <v>0</v>
      </c>
      <c r="AP1127" s="10"/>
      <c r="AQ1127" s="10">
        <f ca="1">IFERROR(__xludf.DUMMYFUNCTION("""COMPUTED_VALUE"""),4540899)</f>
        <v>4540899</v>
      </c>
      <c r="AR1127" s="17">
        <v>13443</v>
      </c>
      <c r="AS1127" s="17">
        <v>10667</v>
      </c>
      <c r="AT1127" s="17">
        <v>120591.75</v>
      </c>
      <c r="AU1127" s="17">
        <v>23.6</v>
      </c>
      <c r="AV1127" s="17">
        <v>7.65</v>
      </c>
      <c r="AW1127" s="10" t="s">
        <v>105</v>
      </c>
      <c r="AX1127" s="17">
        <v>2173</v>
      </c>
      <c r="AY1127" s="18">
        <v>11.30512327739758</v>
      </c>
      <c r="AZ1127" s="10" t="s">
        <v>3783</v>
      </c>
      <c r="BA1127" s="20" t="b">
        <v>0</v>
      </c>
      <c r="BB1127" s="10"/>
      <c r="BC1127" s="17">
        <v>13443</v>
      </c>
      <c r="BD1127" s="17">
        <v>10667</v>
      </c>
      <c r="BE1127" s="17">
        <v>120591.75</v>
      </c>
      <c r="BF1127" s="17">
        <v>7.65</v>
      </c>
      <c r="BG1127" s="11">
        <f ca="1">IFERROR(__xludf.DUMMYFUNCTION("""COMPUTED_VALUE"""),45906.7916666666)</f>
        <v>45906.791666666599</v>
      </c>
      <c r="BH1127" s="17" t="s">
        <v>105</v>
      </c>
      <c r="BI1127" s="17"/>
      <c r="BJ1127" s="15"/>
      <c r="BK1127" s="15"/>
      <c r="BL1127" s="13" t="b">
        <v>0</v>
      </c>
      <c r="BM1127" s="10"/>
      <c r="BN1127" s="10" t="s">
        <v>118</v>
      </c>
      <c r="BO1127" s="11">
        <v>45891.636805555558</v>
      </c>
      <c r="BP1127" s="11">
        <v>45891.637106481481</v>
      </c>
      <c r="BQ1127" s="15">
        <v>45901.702268518522</v>
      </c>
      <c r="BR1127" s="15">
        <v>45901.715532407405</v>
      </c>
      <c r="BS1127" s="10" t="s">
        <v>118</v>
      </c>
      <c r="BT1127" s="10"/>
      <c r="BU1127" s="10"/>
      <c r="BV1127" s="10"/>
      <c r="BW1127" s="10"/>
      <c r="BX1127" s="10"/>
      <c r="BY1127" s="23"/>
      <c r="BZ1127" s="23"/>
      <c r="CA1127" s="19" t="s">
        <v>8937</v>
      </c>
      <c r="CB1127" s="23"/>
      <c r="CC1127" s="23"/>
      <c r="CD1127" s="19" t="s">
        <v>8938</v>
      </c>
      <c r="CE1127" s="23"/>
      <c r="CF1127" s="23"/>
      <c r="CG1127" s="23"/>
      <c r="CH1127" s="23"/>
      <c r="CI1127" s="23"/>
    </row>
    <row r="1128" spans="1:87" x14ac:dyDescent="0.3">
      <c r="A1128" s="9" t="s">
        <v>8939</v>
      </c>
      <c r="B1128" s="10" t="s">
        <v>8940</v>
      </c>
      <c r="C1128" s="11">
        <v>45896.979166666664</v>
      </c>
      <c r="D1128" s="12">
        <v>8.3333333333333329E-2</v>
      </c>
      <c r="E1128" s="11">
        <v>45897.0625</v>
      </c>
      <c r="F1128" s="10" t="s">
        <v>7843</v>
      </c>
      <c r="G1128" s="13" t="b">
        <v>0</v>
      </c>
      <c r="H1128" s="10" t="s">
        <v>8941</v>
      </c>
      <c r="I1128" s="10" t="s">
        <v>89</v>
      </c>
      <c r="J1128" s="13" t="b">
        <v>0</v>
      </c>
      <c r="K1128" s="13" t="b">
        <v>1</v>
      </c>
      <c r="L1128" s="10" t="s">
        <v>124</v>
      </c>
      <c r="M1128" s="10" t="s">
        <v>91</v>
      </c>
      <c r="N1128" s="10" t="s">
        <v>92</v>
      </c>
      <c r="O1128" s="19" t="s">
        <v>8942</v>
      </c>
      <c r="P1128" s="10"/>
      <c r="Q1128" s="10" t="s">
        <v>94</v>
      </c>
      <c r="R1128" s="10"/>
      <c r="S1128" s="19" t="s">
        <v>8943</v>
      </c>
      <c r="T1128" s="10"/>
      <c r="U1128" s="10" t="s">
        <v>7923</v>
      </c>
      <c r="V1128" s="10" t="s">
        <v>8944</v>
      </c>
      <c r="W1128" s="10" t="s">
        <v>7848</v>
      </c>
      <c r="X1128" s="10" t="s">
        <v>130</v>
      </c>
      <c r="Y1128" s="10" t="s">
        <v>130</v>
      </c>
      <c r="Z1128" s="10" t="s">
        <v>99</v>
      </c>
      <c r="AA1128" s="10" t="s">
        <v>131</v>
      </c>
      <c r="AB1128" s="10" t="s">
        <v>7849</v>
      </c>
      <c r="AC1128" s="10" t="s">
        <v>3571</v>
      </c>
      <c r="AD1128" s="10" t="s">
        <v>8945</v>
      </c>
      <c r="AE1128" s="10" t="s">
        <v>8946</v>
      </c>
      <c r="AF1128" s="15"/>
      <c r="AG1128" s="10"/>
      <c r="AH1128" s="10"/>
      <c r="AI1128" s="10"/>
      <c r="AJ1128" s="10"/>
      <c r="AK1128" s="10" t="s">
        <v>102</v>
      </c>
      <c r="AL1128" s="10"/>
      <c r="AM1128" s="10"/>
      <c r="AN1128" s="10"/>
      <c r="AO1128" s="13" t="b">
        <v>0</v>
      </c>
      <c r="AP1128" s="10" t="s">
        <v>104</v>
      </c>
      <c r="AQ1128" s="10">
        <f ca="1">IFERROR(__xludf.DUMMYFUNCTION("""COMPUTED_VALUE"""),4525699)</f>
        <v>4525699</v>
      </c>
      <c r="AR1128" s="17">
        <v>2854</v>
      </c>
      <c r="AS1128" s="17">
        <v>2228</v>
      </c>
      <c r="AT1128" s="17">
        <v>21680.25</v>
      </c>
      <c r="AU1128" s="17">
        <v>6.2</v>
      </c>
      <c r="AV1128" s="17">
        <v>3.7</v>
      </c>
      <c r="AW1128" s="10" t="s">
        <v>105</v>
      </c>
      <c r="AX1128" s="17">
        <v>478</v>
      </c>
      <c r="AY1128" s="18">
        <v>9.7308123877917421</v>
      </c>
      <c r="AZ1128" s="10" t="s">
        <v>136</v>
      </c>
      <c r="BA1128" s="20" t="b">
        <v>0</v>
      </c>
      <c r="BB1128" s="10"/>
      <c r="BC1128" s="17">
        <v>2854</v>
      </c>
      <c r="BD1128" s="17">
        <v>2228</v>
      </c>
      <c r="BE1128" s="17">
        <v>21680.25</v>
      </c>
      <c r="BF1128" s="17">
        <v>3.7</v>
      </c>
      <c r="BG1128" s="11">
        <f ca="1">IFERROR(__xludf.DUMMYFUNCTION("""COMPUTED_VALUE"""),45896.9791666666)</f>
        <v>45896.979166666599</v>
      </c>
      <c r="BH1128" s="17" t="s">
        <v>105</v>
      </c>
      <c r="BI1128" s="17"/>
      <c r="BJ1128" s="15"/>
      <c r="BK1128" s="15"/>
      <c r="BL1128" s="13" t="b">
        <v>0</v>
      </c>
      <c r="BM1128" s="10"/>
      <c r="BN1128" s="10" t="s">
        <v>1160</v>
      </c>
      <c r="BO1128" s="11">
        <v>45891.654861111114</v>
      </c>
      <c r="BP1128" s="11">
        <v>45891.656863425924</v>
      </c>
      <c r="BQ1128" s="15">
        <v>45895.803368055553</v>
      </c>
      <c r="BR1128" s="15">
        <v>45895.849363425928</v>
      </c>
      <c r="BS1128" s="10" t="s">
        <v>1160</v>
      </c>
      <c r="BT1128" s="10" t="s">
        <v>99</v>
      </c>
      <c r="BU1128" s="10" t="s">
        <v>456</v>
      </c>
      <c r="BV1128" s="10"/>
      <c r="BW1128" s="10"/>
      <c r="BX1128" s="10"/>
      <c r="BY1128" s="23"/>
      <c r="BZ1128" s="23"/>
      <c r="CA1128" s="19" t="s">
        <v>8947</v>
      </c>
      <c r="CB1128" s="23"/>
      <c r="CC1128" s="23"/>
      <c r="CD1128" s="23"/>
      <c r="CE1128" s="23"/>
      <c r="CF1128" s="23"/>
      <c r="CG1128" s="23"/>
      <c r="CH1128" s="23"/>
      <c r="CI1128" s="23"/>
    </row>
    <row r="1129" spans="1:87" x14ac:dyDescent="0.3">
      <c r="A1129" s="9" t="s">
        <v>8948</v>
      </c>
      <c r="B1129" s="10" t="s">
        <v>8949</v>
      </c>
      <c r="C1129" s="11">
        <v>45898.041666666664</v>
      </c>
      <c r="D1129" s="12">
        <v>8.3333333333333329E-2</v>
      </c>
      <c r="E1129" s="11">
        <v>45898.125</v>
      </c>
      <c r="F1129" s="10" t="s">
        <v>8609</v>
      </c>
      <c r="G1129" s="13" t="b">
        <v>0</v>
      </c>
      <c r="H1129" s="10" t="s">
        <v>8950</v>
      </c>
      <c r="I1129" s="10" t="s">
        <v>89</v>
      </c>
      <c r="J1129" s="13" t="b">
        <v>0</v>
      </c>
      <c r="K1129" s="13" t="b">
        <v>1</v>
      </c>
      <c r="L1129" s="10" t="s">
        <v>124</v>
      </c>
      <c r="M1129" s="10" t="s">
        <v>91</v>
      </c>
      <c r="N1129" s="10" t="s">
        <v>92</v>
      </c>
      <c r="O1129" s="19" t="s">
        <v>8951</v>
      </c>
      <c r="P1129" s="10"/>
      <c r="Q1129" s="10" t="s">
        <v>94</v>
      </c>
      <c r="R1129" s="10"/>
      <c r="S1129" s="19" t="s">
        <v>8952</v>
      </c>
      <c r="T1129" s="10"/>
      <c r="U1129" s="10" t="s">
        <v>8623</v>
      </c>
      <c r="V1129" s="10" t="s">
        <v>8622</v>
      </c>
      <c r="W1129" s="10" t="s">
        <v>8613</v>
      </c>
      <c r="X1129" s="10" t="s">
        <v>130</v>
      </c>
      <c r="Y1129" s="10" t="s">
        <v>130</v>
      </c>
      <c r="Z1129" s="10" t="s">
        <v>99</v>
      </c>
      <c r="AA1129" s="10" t="s">
        <v>131</v>
      </c>
      <c r="AB1129" s="10" t="s">
        <v>8614</v>
      </c>
      <c r="AC1129" s="10" t="s">
        <v>3571</v>
      </c>
      <c r="AD1129" s="10" t="s">
        <v>8953</v>
      </c>
      <c r="AE1129" s="10" t="s">
        <v>8954</v>
      </c>
      <c r="AF1129" s="15"/>
      <c r="AG1129" s="10"/>
      <c r="AH1129" s="10"/>
      <c r="AI1129" s="10"/>
      <c r="AJ1129" s="10"/>
      <c r="AK1129" s="10" t="s">
        <v>102</v>
      </c>
      <c r="AL1129" s="10"/>
      <c r="AM1129" s="10"/>
      <c r="AN1129" s="10"/>
      <c r="AO1129" s="13" t="b">
        <v>0</v>
      </c>
      <c r="AP1129" s="10" t="s">
        <v>104</v>
      </c>
      <c r="AQ1129" s="10">
        <f ca="1">IFERROR(__xludf.DUMMYFUNCTION("""COMPUTED_VALUE"""),4527604)</f>
        <v>4527604</v>
      </c>
      <c r="AR1129" s="17">
        <v>2049</v>
      </c>
      <c r="AS1129" s="17">
        <v>1371</v>
      </c>
      <c r="AT1129" s="17">
        <v>25178.25</v>
      </c>
      <c r="AU1129" s="17">
        <v>0.5</v>
      </c>
      <c r="AV1129" s="17">
        <v>0.5</v>
      </c>
      <c r="AW1129" s="10" t="s">
        <v>105</v>
      </c>
      <c r="AX1129" s="17">
        <v>445</v>
      </c>
      <c r="AY1129" s="18">
        <v>18.36487964989059</v>
      </c>
      <c r="AZ1129" s="10" t="s">
        <v>136</v>
      </c>
      <c r="BA1129" s="20" t="b">
        <v>0</v>
      </c>
      <c r="BB1129" s="10"/>
      <c r="BC1129" s="17">
        <v>2049</v>
      </c>
      <c r="BD1129" s="17">
        <v>1371</v>
      </c>
      <c r="BE1129" s="17">
        <v>25178.25</v>
      </c>
      <c r="BF1129" s="17">
        <v>0.5</v>
      </c>
      <c r="BG1129" s="11">
        <f ca="1">IFERROR(__xludf.DUMMYFUNCTION("""COMPUTED_VALUE"""),45898.0416666666)</f>
        <v>45898.041666666599</v>
      </c>
      <c r="BH1129" s="17" t="s">
        <v>105</v>
      </c>
      <c r="BI1129" s="17"/>
      <c r="BJ1129" s="15"/>
      <c r="BK1129" s="15"/>
      <c r="BL1129" s="13" t="b">
        <v>0</v>
      </c>
      <c r="BM1129" s="10"/>
      <c r="BN1129" s="10" t="s">
        <v>278</v>
      </c>
      <c r="BO1129" s="11">
        <v>45891.658333333333</v>
      </c>
      <c r="BP1129" s="11">
        <v>45891.684930555559</v>
      </c>
      <c r="BQ1129" s="15">
        <v>45896.456921296296</v>
      </c>
      <c r="BR1129" s="15">
        <v>45896.526064814818</v>
      </c>
      <c r="BS1129" s="10" t="s">
        <v>278</v>
      </c>
      <c r="BT1129" s="10" t="s">
        <v>99</v>
      </c>
      <c r="BU1129" s="10" t="s">
        <v>456</v>
      </c>
      <c r="BV1129" s="10"/>
      <c r="BW1129" s="10"/>
      <c r="BX1129" s="10"/>
      <c r="BY1129" s="23"/>
      <c r="BZ1129" s="23"/>
      <c r="CA1129" s="19" t="s">
        <v>8955</v>
      </c>
      <c r="CB1129" s="23"/>
      <c r="CC1129" s="23"/>
      <c r="CD1129" s="23"/>
      <c r="CE1129" s="23"/>
      <c r="CF1129" s="23"/>
      <c r="CG1129" s="23"/>
      <c r="CH1129" s="23"/>
      <c r="CI1129" s="23"/>
    </row>
    <row r="1130" spans="1:87" x14ac:dyDescent="0.3">
      <c r="A1130" s="9" t="s">
        <v>8956</v>
      </c>
      <c r="B1130" s="10" t="s">
        <v>8957</v>
      </c>
      <c r="C1130" s="11">
        <v>45898.041666666664</v>
      </c>
      <c r="D1130" s="12">
        <v>8.3333333333333329E-2</v>
      </c>
      <c r="E1130" s="11">
        <v>45898.125</v>
      </c>
      <c r="F1130" s="10" t="s">
        <v>8609</v>
      </c>
      <c r="G1130" s="13" t="b">
        <v>0</v>
      </c>
      <c r="H1130" s="10" t="s">
        <v>8950</v>
      </c>
      <c r="I1130" s="10" t="s">
        <v>89</v>
      </c>
      <c r="J1130" s="13" t="b">
        <v>0</v>
      </c>
      <c r="K1130" s="13" t="b">
        <v>1</v>
      </c>
      <c r="L1130" s="10" t="s">
        <v>124</v>
      </c>
      <c r="M1130" s="10" t="s">
        <v>91</v>
      </c>
      <c r="N1130" s="10" t="s">
        <v>92</v>
      </c>
      <c r="O1130" s="19" t="s">
        <v>8958</v>
      </c>
      <c r="P1130" s="10"/>
      <c r="Q1130" s="10" t="s">
        <v>94</v>
      </c>
      <c r="R1130" s="10"/>
      <c r="S1130" s="19" t="s">
        <v>8959</v>
      </c>
      <c r="T1130" s="10"/>
      <c r="U1130" s="10" t="s">
        <v>3240</v>
      </c>
      <c r="V1130" s="10" t="s">
        <v>8612</v>
      </c>
      <c r="W1130" s="10" t="s">
        <v>8613</v>
      </c>
      <c r="X1130" s="10" t="s">
        <v>130</v>
      </c>
      <c r="Y1130" s="10" t="s">
        <v>130</v>
      </c>
      <c r="Z1130" s="10" t="s">
        <v>99</v>
      </c>
      <c r="AA1130" s="10" t="s">
        <v>131</v>
      </c>
      <c r="AB1130" s="10" t="s">
        <v>8614</v>
      </c>
      <c r="AC1130" s="10" t="s">
        <v>3571</v>
      </c>
      <c r="AD1130" s="10" t="s">
        <v>8960</v>
      </c>
      <c r="AE1130" s="10" t="s">
        <v>8961</v>
      </c>
      <c r="AF1130" s="15"/>
      <c r="AG1130" s="10"/>
      <c r="AH1130" s="10"/>
      <c r="AI1130" s="10"/>
      <c r="AJ1130" s="10"/>
      <c r="AK1130" s="10" t="s">
        <v>102</v>
      </c>
      <c r="AL1130" s="10"/>
      <c r="AM1130" s="10"/>
      <c r="AN1130" s="10"/>
      <c r="AO1130" s="13" t="b">
        <v>0</v>
      </c>
      <c r="AP1130" s="10" t="s">
        <v>104</v>
      </c>
      <c r="AQ1130" s="10">
        <f ca="1">IFERROR(__xludf.DUMMYFUNCTION("""COMPUTED_VALUE"""),4527606)</f>
        <v>4527606</v>
      </c>
      <c r="AR1130" s="17">
        <v>3687</v>
      </c>
      <c r="AS1130" s="17">
        <v>2711</v>
      </c>
      <c r="AT1130" s="17">
        <v>73255</v>
      </c>
      <c r="AU1130" s="17">
        <v>5.75</v>
      </c>
      <c r="AV1130" s="17">
        <v>0.85</v>
      </c>
      <c r="AW1130" s="10" t="s">
        <v>105</v>
      </c>
      <c r="AX1130" s="17">
        <v>892</v>
      </c>
      <c r="AY1130" s="18">
        <v>27.02139431943932</v>
      </c>
      <c r="AZ1130" s="10" t="s">
        <v>136</v>
      </c>
      <c r="BA1130" s="20" t="b">
        <v>0</v>
      </c>
      <c r="BB1130" s="10"/>
      <c r="BC1130" s="17">
        <v>3687</v>
      </c>
      <c r="BD1130" s="17">
        <v>2711</v>
      </c>
      <c r="BE1130" s="17">
        <v>73255</v>
      </c>
      <c r="BF1130" s="17">
        <v>0.85</v>
      </c>
      <c r="BG1130" s="11">
        <f ca="1">IFERROR(__xludf.DUMMYFUNCTION("""COMPUTED_VALUE"""),45898.0416666666)</f>
        <v>45898.041666666599</v>
      </c>
      <c r="BH1130" s="17" t="s">
        <v>105</v>
      </c>
      <c r="BI1130" s="17"/>
      <c r="BJ1130" s="15"/>
      <c r="BK1130" s="15"/>
      <c r="BL1130" s="13" t="b">
        <v>0</v>
      </c>
      <c r="BM1130" s="10"/>
      <c r="BN1130" s="10" t="s">
        <v>278</v>
      </c>
      <c r="BO1130" s="11">
        <v>45891.660416666666</v>
      </c>
      <c r="BP1130" s="11">
        <v>45891.66684027778</v>
      </c>
      <c r="BQ1130" s="15">
        <v>45896.457106481481</v>
      </c>
      <c r="BR1130" s="15">
        <v>45896.526192129626</v>
      </c>
      <c r="BS1130" s="10" t="s">
        <v>278</v>
      </c>
      <c r="BT1130" s="10" t="s">
        <v>99</v>
      </c>
      <c r="BU1130" s="10" t="s">
        <v>718</v>
      </c>
      <c r="BV1130" s="10"/>
      <c r="BW1130" s="10"/>
      <c r="BX1130" s="10"/>
      <c r="BY1130" s="23"/>
      <c r="BZ1130" s="23"/>
      <c r="CA1130" s="19" t="s">
        <v>8962</v>
      </c>
      <c r="CB1130" s="23"/>
      <c r="CC1130" s="23"/>
      <c r="CD1130" s="23"/>
      <c r="CE1130" s="23"/>
      <c r="CF1130" s="23"/>
      <c r="CG1130" s="23"/>
      <c r="CH1130" s="23"/>
      <c r="CI1130" s="23"/>
    </row>
    <row r="1131" spans="1:87" x14ac:dyDescent="0.3">
      <c r="A1131" s="9" t="s">
        <v>8963</v>
      </c>
      <c r="B1131" s="10" t="s">
        <v>8964</v>
      </c>
      <c r="C1131" s="11">
        <v>45897.9375</v>
      </c>
      <c r="D1131" s="12">
        <v>9.375E-2</v>
      </c>
      <c r="E1131" s="11">
        <v>45898.03125</v>
      </c>
      <c r="F1131" s="10" t="s">
        <v>3563</v>
      </c>
      <c r="G1131" s="13" t="b">
        <v>0</v>
      </c>
      <c r="H1131" s="10" t="s">
        <v>3564</v>
      </c>
      <c r="I1131" s="10" t="s">
        <v>89</v>
      </c>
      <c r="J1131" s="13" t="b">
        <v>0</v>
      </c>
      <c r="K1131" s="13" t="b">
        <v>1</v>
      </c>
      <c r="L1131" s="10" t="s">
        <v>124</v>
      </c>
      <c r="M1131" s="10" t="s">
        <v>91</v>
      </c>
      <c r="N1131" s="10" t="s">
        <v>92</v>
      </c>
      <c r="O1131" s="19" t="s">
        <v>8965</v>
      </c>
      <c r="P1131" s="10"/>
      <c r="Q1131" s="10" t="s">
        <v>94</v>
      </c>
      <c r="R1131" s="10"/>
      <c r="S1131" s="19" t="s">
        <v>8966</v>
      </c>
      <c r="T1131" s="10"/>
      <c r="U1131" s="10"/>
      <c r="V1131" s="10"/>
      <c r="W1131" s="10" t="s">
        <v>3569</v>
      </c>
      <c r="X1131" s="10" t="s">
        <v>130</v>
      </c>
      <c r="Y1131" s="10" t="s">
        <v>130</v>
      </c>
      <c r="Z1131" s="10" t="s">
        <v>99</v>
      </c>
      <c r="AA1131" s="10" t="s">
        <v>131</v>
      </c>
      <c r="AB1131" s="10" t="s">
        <v>3570</v>
      </c>
      <c r="AC1131" s="10" t="s">
        <v>3571</v>
      </c>
      <c r="AD1131" s="10" t="s">
        <v>165</v>
      </c>
      <c r="AE1131" s="10" t="s">
        <v>8967</v>
      </c>
      <c r="AF1131" s="15"/>
      <c r="AG1131" s="10"/>
      <c r="AH1131" s="10"/>
      <c r="AI1131" s="10"/>
      <c r="AJ1131" s="10"/>
      <c r="AK1131" s="10" t="s">
        <v>102</v>
      </c>
      <c r="AL1131" s="10"/>
      <c r="AM1131" s="10"/>
      <c r="AN1131" s="10"/>
      <c r="AO1131" s="13" t="b">
        <v>0</v>
      </c>
      <c r="AP1131" s="10" t="s">
        <v>104</v>
      </c>
      <c r="AQ1131" s="10">
        <f ca="1">IFERROR(__xludf.DUMMYFUNCTION("""COMPUTED_VALUE"""),4527607)</f>
        <v>4527607</v>
      </c>
      <c r="AR1131" s="17">
        <v>17478</v>
      </c>
      <c r="AS1131" s="17">
        <v>11716</v>
      </c>
      <c r="AT1131" s="17">
        <v>257705</v>
      </c>
      <c r="AU1131" s="17">
        <v>94.95</v>
      </c>
      <c r="AV1131" s="17">
        <v>23.75</v>
      </c>
      <c r="AW1131" s="10" t="s">
        <v>105</v>
      </c>
      <c r="AX1131" s="17">
        <v>5395</v>
      </c>
      <c r="AY1131" s="18">
        <v>21.995988391942642</v>
      </c>
      <c r="AZ1131" s="10" t="s">
        <v>136</v>
      </c>
      <c r="BA1131" s="20" t="b">
        <v>0</v>
      </c>
      <c r="BB1131" s="10"/>
      <c r="BC1131" s="17">
        <v>17478</v>
      </c>
      <c r="BD1131" s="17">
        <v>11716</v>
      </c>
      <c r="BE1131" s="17">
        <v>257705</v>
      </c>
      <c r="BF1131" s="17">
        <v>23.75</v>
      </c>
      <c r="BG1131" s="11">
        <f ca="1">IFERROR(__xludf.DUMMYFUNCTION("""COMPUTED_VALUE"""),45897.9375)</f>
        <v>45897.9375</v>
      </c>
      <c r="BH1131" s="17" t="s">
        <v>105</v>
      </c>
      <c r="BI1131" s="17"/>
      <c r="BJ1131" s="15"/>
      <c r="BK1131" s="15"/>
      <c r="BL1131" s="13" t="b">
        <v>0</v>
      </c>
      <c r="BM1131" s="10"/>
      <c r="BN1131" s="10" t="s">
        <v>118</v>
      </c>
      <c r="BO1131" s="11">
        <v>45891.691666666666</v>
      </c>
      <c r="BP1131" s="11">
        <v>45895.721412037034</v>
      </c>
      <c r="BQ1131" s="15">
        <v>45896.454814814817</v>
      </c>
      <c r="BR1131" s="15">
        <v>45896.52652777778</v>
      </c>
      <c r="BS1131" s="10" t="s">
        <v>118</v>
      </c>
      <c r="BT1131" s="10"/>
      <c r="BU1131" s="10"/>
      <c r="BV1131" s="10"/>
      <c r="BW1131" s="10"/>
      <c r="BX1131" s="10"/>
      <c r="BY1131" s="23"/>
      <c r="BZ1131" s="23"/>
      <c r="CA1131" s="19" t="s">
        <v>8968</v>
      </c>
      <c r="CB1131" s="23"/>
      <c r="CC1131" s="23"/>
      <c r="CD1131" s="23"/>
      <c r="CE1131" s="23"/>
      <c r="CF1131" s="23"/>
      <c r="CG1131" s="23"/>
      <c r="CH1131" s="23"/>
      <c r="CI1131" s="23"/>
    </row>
    <row r="1132" spans="1:87" x14ac:dyDescent="0.3">
      <c r="A1132" s="9" t="s">
        <v>8969</v>
      </c>
      <c r="B1132" s="10" t="s">
        <v>8970</v>
      </c>
      <c r="C1132" s="11">
        <v>45898.75</v>
      </c>
      <c r="D1132" s="12">
        <v>4.1666666666666664E-2</v>
      </c>
      <c r="E1132" s="11">
        <v>45898.791666666664</v>
      </c>
      <c r="F1132" s="10" t="s">
        <v>7843</v>
      </c>
      <c r="G1132" s="13" t="b">
        <v>0</v>
      </c>
      <c r="H1132" s="10" t="s">
        <v>3564</v>
      </c>
      <c r="I1132" s="10" t="s">
        <v>89</v>
      </c>
      <c r="J1132" s="13" t="b">
        <v>0</v>
      </c>
      <c r="K1132" s="13" t="b">
        <v>1</v>
      </c>
      <c r="L1132" s="10" t="s">
        <v>124</v>
      </c>
      <c r="M1132" s="10" t="s">
        <v>91</v>
      </c>
      <c r="N1132" s="10" t="s">
        <v>92</v>
      </c>
      <c r="O1132" s="19" t="s">
        <v>8971</v>
      </c>
      <c r="P1132" s="10"/>
      <c r="Q1132" s="10" t="s">
        <v>94</v>
      </c>
      <c r="R1132" s="10"/>
      <c r="S1132" s="19" t="s">
        <v>8972</v>
      </c>
      <c r="T1132" s="10"/>
      <c r="U1132" s="10"/>
      <c r="V1132" s="10"/>
      <c r="W1132" s="10" t="s">
        <v>7848</v>
      </c>
      <c r="X1132" s="10" t="s">
        <v>130</v>
      </c>
      <c r="Y1132" s="10" t="s">
        <v>130</v>
      </c>
      <c r="Z1132" s="10" t="s">
        <v>99</v>
      </c>
      <c r="AA1132" s="10" t="s">
        <v>131</v>
      </c>
      <c r="AB1132" s="10" t="s">
        <v>7849</v>
      </c>
      <c r="AC1132" s="10" t="s">
        <v>3571</v>
      </c>
      <c r="AD1132" s="10" t="s">
        <v>165</v>
      </c>
      <c r="AE1132" s="10" t="s">
        <v>8973</v>
      </c>
      <c r="AF1132" s="15"/>
      <c r="AG1132" s="10"/>
      <c r="AH1132" s="10"/>
      <c r="AI1132" s="10"/>
      <c r="AJ1132" s="10"/>
      <c r="AK1132" s="10" t="s">
        <v>102</v>
      </c>
      <c r="AL1132" s="10"/>
      <c r="AM1132" s="10"/>
      <c r="AN1132" s="10"/>
      <c r="AO1132" s="13" t="b">
        <v>0</v>
      </c>
      <c r="AP1132" s="10" t="s">
        <v>104</v>
      </c>
      <c r="AQ1132" s="10">
        <f ca="1">IFERROR(__xludf.DUMMYFUNCTION("""COMPUTED_VALUE"""),4527608)</f>
        <v>4527608</v>
      </c>
      <c r="AR1132" s="17">
        <v>3766</v>
      </c>
      <c r="AS1132" s="17">
        <v>3289</v>
      </c>
      <c r="AT1132" s="17">
        <v>21086.25</v>
      </c>
      <c r="AU1132" s="17">
        <v>5.5</v>
      </c>
      <c r="AV1132" s="17">
        <v>1.65</v>
      </c>
      <c r="AW1132" s="10" t="s">
        <v>105</v>
      </c>
      <c r="AX1132" s="17">
        <v>821</v>
      </c>
      <c r="AY1132" s="18">
        <v>6.4111432046214656</v>
      </c>
      <c r="AZ1132" s="10" t="s">
        <v>136</v>
      </c>
      <c r="BA1132" s="20" t="b">
        <v>0</v>
      </c>
      <c r="BB1132" s="10"/>
      <c r="BC1132" s="17">
        <v>3766</v>
      </c>
      <c r="BD1132" s="17">
        <v>3289</v>
      </c>
      <c r="BE1132" s="17">
        <v>21086.25</v>
      </c>
      <c r="BF1132" s="17">
        <v>1.65</v>
      </c>
      <c r="BG1132" s="11">
        <f ca="1">IFERROR(__xludf.DUMMYFUNCTION("""COMPUTED_VALUE"""),45898.75)</f>
        <v>45898.75</v>
      </c>
      <c r="BH1132" s="17" t="s">
        <v>105</v>
      </c>
      <c r="BI1132" s="17"/>
      <c r="BJ1132" s="15"/>
      <c r="BK1132" s="15"/>
      <c r="BL1132" s="13" t="b">
        <v>0</v>
      </c>
      <c r="BM1132" s="10"/>
      <c r="BN1132" s="10" t="s">
        <v>118</v>
      </c>
      <c r="BO1132" s="11">
        <v>45891.695138888892</v>
      </c>
      <c r="BP1132" s="11">
        <v>45891.695474537039</v>
      </c>
      <c r="BQ1132" s="15">
        <v>45896.455960648149</v>
      </c>
      <c r="BR1132" s="15">
        <v>45896.526689814818</v>
      </c>
      <c r="BS1132" s="10" t="s">
        <v>118</v>
      </c>
      <c r="BT1132" s="10"/>
      <c r="BU1132" s="10"/>
      <c r="BV1132" s="10"/>
      <c r="BW1132" s="10"/>
      <c r="BX1132" s="10"/>
      <c r="BY1132" s="23"/>
      <c r="BZ1132" s="23"/>
      <c r="CA1132" s="19" t="s">
        <v>8974</v>
      </c>
      <c r="CB1132" s="23"/>
      <c r="CC1132" s="23"/>
      <c r="CD1132" s="23"/>
      <c r="CE1132" s="23"/>
      <c r="CF1132" s="23"/>
      <c r="CG1132" s="23"/>
      <c r="CH1132" s="23"/>
      <c r="CI1132" s="23"/>
    </row>
    <row r="1133" spans="1:87" x14ac:dyDescent="0.3">
      <c r="A1133" s="9" t="s">
        <v>8975</v>
      </c>
      <c r="B1133" s="10" t="s">
        <v>8976</v>
      </c>
      <c r="C1133" s="11">
        <v>45896.072916666664</v>
      </c>
      <c r="D1133" s="12">
        <v>8.3333333333333329E-2</v>
      </c>
      <c r="E1133" s="11">
        <v>45896.15625</v>
      </c>
      <c r="F1133" s="10" t="s">
        <v>7877</v>
      </c>
      <c r="G1133" s="13" t="b">
        <v>0</v>
      </c>
      <c r="H1133" s="10" t="s">
        <v>3478</v>
      </c>
      <c r="I1133" s="10" t="s">
        <v>89</v>
      </c>
      <c r="J1133" s="13" t="b">
        <v>0</v>
      </c>
      <c r="K1133" s="13" t="b">
        <v>1</v>
      </c>
      <c r="L1133" s="10" t="s">
        <v>124</v>
      </c>
      <c r="M1133" s="10" t="s">
        <v>91</v>
      </c>
      <c r="N1133" s="10" t="s">
        <v>92</v>
      </c>
      <c r="O1133" s="19" t="s">
        <v>8977</v>
      </c>
      <c r="P1133" s="10"/>
      <c r="Q1133" s="10" t="s">
        <v>126</v>
      </c>
      <c r="R1133" s="10"/>
      <c r="S1133" s="19" t="s">
        <v>8978</v>
      </c>
      <c r="T1133" s="19" t="s">
        <v>8631</v>
      </c>
      <c r="U1133" s="10" t="s">
        <v>271</v>
      </c>
      <c r="V1133" s="10" t="s">
        <v>321</v>
      </c>
      <c r="W1133" s="10" t="s">
        <v>7883</v>
      </c>
      <c r="X1133" s="10" t="s">
        <v>130</v>
      </c>
      <c r="Y1133" s="10" t="s">
        <v>130</v>
      </c>
      <c r="Z1133" s="10" t="s">
        <v>99</v>
      </c>
      <c r="AA1133" s="10" t="s">
        <v>131</v>
      </c>
      <c r="AB1133" s="10" t="s">
        <v>7884</v>
      </c>
      <c r="AC1133" s="10" t="s">
        <v>7885</v>
      </c>
      <c r="AD1133" s="10" t="s">
        <v>2800</v>
      </c>
      <c r="AE1133" s="10" t="s">
        <v>8979</v>
      </c>
      <c r="AF1133" s="15"/>
      <c r="AG1133" s="10"/>
      <c r="AH1133" s="10"/>
      <c r="AI1133" s="10"/>
      <c r="AJ1133" s="10"/>
      <c r="AK1133" s="10" t="s">
        <v>102</v>
      </c>
      <c r="AL1133" s="10" t="s">
        <v>7897</v>
      </c>
      <c r="AM1133" s="10"/>
      <c r="AN1133" s="10"/>
      <c r="AO1133" s="13" t="b">
        <v>0</v>
      </c>
      <c r="AP1133" s="10" t="s">
        <v>104</v>
      </c>
      <c r="AQ1133" s="10">
        <f ca="1">IFERROR(__xludf.DUMMYFUNCTION("""COMPUTED_VALUE"""),4525634)</f>
        <v>4525634</v>
      </c>
      <c r="AR1133" s="17">
        <v>3759</v>
      </c>
      <c r="AS1133" s="17">
        <v>2639</v>
      </c>
      <c r="AT1133" s="17">
        <v>52050.75</v>
      </c>
      <c r="AU1133" s="17">
        <v>7.1</v>
      </c>
      <c r="AV1133" s="17">
        <v>2</v>
      </c>
      <c r="AW1133" s="10" t="s">
        <v>105</v>
      </c>
      <c r="AX1133" s="17">
        <v>628</v>
      </c>
      <c r="AY1133" s="18">
        <v>19.723664266767717</v>
      </c>
      <c r="AZ1133" s="10" t="s">
        <v>106</v>
      </c>
      <c r="BA1133" s="20" t="b">
        <v>0</v>
      </c>
      <c r="BB1133" s="10"/>
      <c r="BC1133" s="17">
        <v>3759</v>
      </c>
      <c r="BD1133" s="17">
        <v>2639</v>
      </c>
      <c r="BE1133" s="17">
        <v>52050.75</v>
      </c>
      <c r="BF1133" s="17">
        <v>2</v>
      </c>
      <c r="BG1133" s="11">
        <f ca="1">IFERROR(__xludf.DUMMYFUNCTION("""COMPUTED_VALUE"""),45896.0729166666)</f>
        <v>45896.072916666599</v>
      </c>
      <c r="BH1133" s="17" t="s">
        <v>105</v>
      </c>
      <c r="BI1133" s="17"/>
      <c r="BJ1133" s="15"/>
      <c r="BK1133" s="15"/>
      <c r="BL1133" s="13" t="b">
        <v>0</v>
      </c>
      <c r="BM1133" s="10"/>
      <c r="BN1133" s="10" t="s">
        <v>1160</v>
      </c>
      <c r="BO1133" s="11">
        <v>45893.668055555558</v>
      </c>
      <c r="BP1133" s="11">
        <v>45893.668738425928</v>
      </c>
      <c r="BQ1133" s="15">
        <v>45895.613043981481</v>
      </c>
      <c r="BR1133" s="15">
        <v>45895.620347222219</v>
      </c>
      <c r="BS1133" s="10" t="s">
        <v>1160</v>
      </c>
      <c r="BT1133" s="10" t="s">
        <v>279</v>
      </c>
      <c r="BU1133" s="10" t="s">
        <v>421</v>
      </c>
      <c r="BV1133" s="10"/>
      <c r="BW1133" s="10"/>
      <c r="BX1133" s="10"/>
      <c r="BY1133" s="23"/>
      <c r="BZ1133" s="23"/>
      <c r="CA1133" s="19" t="s">
        <v>8980</v>
      </c>
      <c r="CB1133" s="19" t="s">
        <v>8981</v>
      </c>
      <c r="CC1133" s="23"/>
      <c r="CD1133" s="19" t="s">
        <v>8982</v>
      </c>
      <c r="CE1133" s="23"/>
      <c r="CF1133" s="23"/>
      <c r="CG1133" s="23"/>
      <c r="CH1133" s="23"/>
      <c r="CI1133" s="23"/>
    </row>
    <row r="1134" spans="1:87" x14ac:dyDescent="0.3">
      <c r="A1134" s="9" t="s">
        <v>8983</v>
      </c>
      <c r="B1134" s="10" t="s">
        <v>8984</v>
      </c>
      <c r="C1134" s="11">
        <v>45897.083333333336</v>
      </c>
      <c r="D1134" s="12">
        <v>8.3333333333333329E-2</v>
      </c>
      <c r="E1134" s="11">
        <v>45897.166666666664</v>
      </c>
      <c r="F1134" s="10" t="s">
        <v>7877</v>
      </c>
      <c r="G1134" s="13" t="b">
        <v>0</v>
      </c>
      <c r="H1134" s="10" t="s">
        <v>3478</v>
      </c>
      <c r="I1134" s="10" t="s">
        <v>89</v>
      </c>
      <c r="J1134" s="13" t="b">
        <v>0</v>
      </c>
      <c r="K1134" s="13" t="b">
        <v>1</v>
      </c>
      <c r="L1134" s="10" t="s">
        <v>124</v>
      </c>
      <c r="M1134" s="10" t="s">
        <v>91</v>
      </c>
      <c r="N1134" s="10" t="s">
        <v>92</v>
      </c>
      <c r="O1134" s="19" t="s">
        <v>8985</v>
      </c>
      <c r="P1134" s="10"/>
      <c r="Q1134" s="10" t="s">
        <v>126</v>
      </c>
      <c r="R1134" s="10"/>
      <c r="S1134" s="19" t="s">
        <v>8986</v>
      </c>
      <c r="T1134" s="19" t="s">
        <v>8631</v>
      </c>
      <c r="U1134" s="10" t="s">
        <v>8987</v>
      </c>
      <c r="V1134" s="10" t="s">
        <v>361</v>
      </c>
      <c r="W1134" s="10" t="s">
        <v>7883</v>
      </c>
      <c r="X1134" s="10" t="s">
        <v>130</v>
      </c>
      <c r="Y1134" s="10" t="s">
        <v>130</v>
      </c>
      <c r="Z1134" s="10" t="s">
        <v>99</v>
      </c>
      <c r="AA1134" s="10" t="s">
        <v>131</v>
      </c>
      <c r="AB1134" s="10" t="s">
        <v>7884</v>
      </c>
      <c r="AC1134" s="10" t="s">
        <v>7885</v>
      </c>
      <c r="AD1134" s="10" t="s">
        <v>8988</v>
      </c>
      <c r="AE1134" s="10" t="s">
        <v>8989</v>
      </c>
      <c r="AF1134" s="15"/>
      <c r="AG1134" s="10"/>
      <c r="AH1134" s="10"/>
      <c r="AI1134" s="10"/>
      <c r="AJ1134" s="10"/>
      <c r="AK1134" s="10" t="s">
        <v>102</v>
      </c>
      <c r="AL1134" s="10"/>
      <c r="AM1134" s="10"/>
      <c r="AN1134" s="10"/>
      <c r="AO1134" s="13" t="b">
        <v>1</v>
      </c>
      <c r="AP1134" s="10" t="s">
        <v>104</v>
      </c>
      <c r="AQ1134" s="10">
        <f ca="1">IFERROR(__xludf.DUMMYFUNCTION("""COMPUTED_VALUE"""),4525700)</f>
        <v>4525700</v>
      </c>
      <c r="AR1134" s="17">
        <v>79716</v>
      </c>
      <c r="AS1134" s="17">
        <v>44828</v>
      </c>
      <c r="AT1134" s="17">
        <v>2966472.5</v>
      </c>
      <c r="AU1134" s="17">
        <v>440.95</v>
      </c>
      <c r="AV1134" s="17">
        <v>156.25</v>
      </c>
      <c r="AW1134" s="10" t="s">
        <v>105</v>
      </c>
      <c r="AX1134" s="17">
        <v>29672</v>
      </c>
      <c r="AY1134" s="18">
        <v>66.174544927277594</v>
      </c>
      <c r="AZ1134" s="10" t="s">
        <v>106</v>
      </c>
      <c r="BA1134" s="20" t="b">
        <v>0</v>
      </c>
      <c r="BB1134" s="10"/>
      <c r="BC1134" s="17">
        <v>79716</v>
      </c>
      <c r="BD1134" s="17">
        <v>44828</v>
      </c>
      <c r="BE1134" s="17">
        <v>2966472.5</v>
      </c>
      <c r="BF1134" s="17">
        <v>156.25</v>
      </c>
      <c r="BG1134" s="11">
        <f ca="1">IFERROR(__xludf.DUMMYFUNCTION("""COMPUTED_VALUE"""),45897.0833333333)</f>
        <v>45897.083333333299</v>
      </c>
      <c r="BH1134" s="17" t="s">
        <v>105</v>
      </c>
      <c r="BI1134" s="17"/>
      <c r="BJ1134" s="15"/>
      <c r="BK1134" s="15"/>
      <c r="BL1134" s="13" t="b">
        <v>0</v>
      </c>
      <c r="BM1134" s="10"/>
      <c r="BN1134" s="10" t="s">
        <v>1160</v>
      </c>
      <c r="BO1134" s="11">
        <v>45893.669444444444</v>
      </c>
      <c r="BP1134" s="11">
        <v>45893.669560185182</v>
      </c>
      <c r="BQ1134" s="15">
        <v>45895.824849537035</v>
      </c>
      <c r="BR1134" s="15"/>
      <c r="BS1134" s="10" t="s">
        <v>1160</v>
      </c>
      <c r="BT1134" s="10" t="s">
        <v>99</v>
      </c>
      <c r="BU1134" s="10" t="s">
        <v>534</v>
      </c>
      <c r="BV1134" s="10" t="s">
        <v>124</v>
      </c>
      <c r="BW1134" s="10"/>
      <c r="BX1134" s="10"/>
      <c r="BY1134" s="23"/>
      <c r="BZ1134" s="23"/>
      <c r="CA1134" s="19" t="s">
        <v>8990</v>
      </c>
      <c r="CB1134" s="19" t="s">
        <v>8991</v>
      </c>
      <c r="CC1134" s="23"/>
      <c r="CD1134" s="19" t="s">
        <v>8992</v>
      </c>
      <c r="CE1134" s="23"/>
      <c r="CF1134" s="23"/>
      <c r="CG1134" s="23"/>
      <c r="CH1134" s="23"/>
      <c r="CI1134" s="23"/>
    </row>
    <row r="1135" spans="1:87" x14ac:dyDescent="0.3">
      <c r="A1135" s="9" t="s">
        <v>8993</v>
      </c>
      <c r="B1135" s="10" t="s">
        <v>8994</v>
      </c>
      <c r="C1135" s="11">
        <v>45941.416666666664</v>
      </c>
      <c r="D1135" s="12">
        <v>0.20833333333333334</v>
      </c>
      <c r="E1135" s="11">
        <v>45941.625</v>
      </c>
      <c r="F1135" s="10" t="s">
        <v>210</v>
      </c>
      <c r="G1135" s="13" t="b">
        <v>0</v>
      </c>
      <c r="H1135" s="10" t="s">
        <v>211</v>
      </c>
      <c r="I1135" s="10" t="s">
        <v>212</v>
      </c>
      <c r="J1135" s="13" t="b">
        <v>1</v>
      </c>
      <c r="K1135" s="13" t="b">
        <v>0</v>
      </c>
      <c r="L1135" s="10" t="s">
        <v>124</v>
      </c>
      <c r="M1135" s="10" t="s">
        <v>91</v>
      </c>
      <c r="N1135" s="10" t="s">
        <v>92</v>
      </c>
      <c r="O1135" s="19" t="s">
        <v>8995</v>
      </c>
      <c r="P1135" s="10"/>
      <c r="Q1135" s="10" t="s">
        <v>126</v>
      </c>
      <c r="R1135" s="10"/>
      <c r="S1135" s="19" t="s">
        <v>8996</v>
      </c>
      <c r="T1135" s="10"/>
      <c r="U1135" s="10"/>
      <c r="V1135" s="10"/>
      <c r="W1135" s="10" t="s">
        <v>215</v>
      </c>
      <c r="X1135" s="10" t="s">
        <v>216</v>
      </c>
      <c r="Y1135" s="10" t="s">
        <v>216</v>
      </c>
      <c r="Z1135" s="10" t="s">
        <v>99</v>
      </c>
      <c r="AA1135" s="10" t="s">
        <v>131</v>
      </c>
      <c r="AB1135" s="10" t="s">
        <v>217</v>
      </c>
      <c r="AC1135" s="10" t="s">
        <v>218</v>
      </c>
      <c r="AD1135" s="10" t="s">
        <v>165</v>
      </c>
      <c r="AE1135" s="10" t="s">
        <v>8997</v>
      </c>
      <c r="AF1135" s="15"/>
      <c r="AG1135" s="10"/>
      <c r="AH1135" s="10"/>
      <c r="AI1135" s="10"/>
      <c r="AJ1135" s="10"/>
      <c r="AK1135" s="10" t="s">
        <v>102</v>
      </c>
      <c r="AL1135" s="10" t="s">
        <v>220</v>
      </c>
      <c r="AM1135" s="10"/>
      <c r="AN1135" s="10"/>
      <c r="AO1135" s="13" t="b">
        <v>0</v>
      </c>
      <c r="AP1135" s="22" t="s">
        <v>221</v>
      </c>
      <c r="AQ1135" s="10">
        <f ca="1">IFERROR(__xludf.DUMMYFUNCTION("""COMPUTED_VALUE"""),4637745)</f>
        <v>4637745</v>
      </c>
      <c r="AR1135" s="17">
        <v>13529</v>
      </c>
      <c r="AS1135" s="17">
        <v>9545</v>
      </c>
      <c r="AT1135" s="17">
        <v>236206</v>
      </c>
      <c r="AU1135" s="17">
        <v>25.3</v>
      </c>
      <c r="AV1135" s="17">
        <v>2.1</v>
      </c>
      <c r="AW1135" s="10" t="s">
        <v>105</v>
      </c>
      <c r="AX1135" s="17">
        <v>1182</v>
      </c>
      <c r="AY1135" s="18">
        <v>24.746568884232584</v>
      </c>
      <c r="AZ1135" s="10" t="s">
        <v>106</v>
      </c>
      <c r="BA1135" s="20" t="b">
        <v>0</v>
      </c>
      <c r="BB1135" s="10"/>
      <c r="BC1135" s="17">
        <v>13529</v>
      </c>
      <c r="BD1135" s="17">
        <v>9545</v>
      </c>
      <c r="BE1135" s="17">
        <v>236206</v>
      </c>
      <c r="BF1135" s="17">
        <v>2.1</v>
      </c>
      <c r="BG1135" s="11">
        <f ca="1">IFERROR(__xludf.DUMMYFUNCTION("""COMPUTED_VALUE"""),45941.4166666666)</f>
        <v>45941.416666666599</v>
      </c>
      <c r="BH1135" s="17" t="s">
        <v>105</v>
      </c>
      <c r="BI1135" s="17"/>
      <c r="BJ1135" s="15"/>
      <c r="BK1135" s="15"/>
      <c r="BL1135" s="13" t="b">
        <v>0</v>
      </c>
      <c r="BM1135" s="10"/>
      <c r="BN1135" s="10" t="s">
        <v>118</v>
      </c>
      <c r="BO1135" s="11">
        <v>45894.661805555559</v>
      </c>
      <c r="BP1135" s="11">
        <v>45894.662199074075</v>
      </c>
      <c r="BQ1135" s="15">
        <v>45932.477835648147</v>
      </c>
      <c r="BR1135" s="15">
        <v>45938.412523148145</v>
      </c>
      <c r="BS1135" s="10" t="s">
        <v>118</v>
      </c>
      <c r="BT1135" s="10"/>
      <c r="BU1135" s="10"/>
      <c r="BV1135" s="10"/>
      <c r="BW1135" s="10"/>
      <c r="BX1135" s="10"/>
      <c r="BY1135" s="23"/>
      <c r="BZ1135" s="23"/>
      <c r="CA1135" s="19" t="s">
        <v>8998</v>
      </c>
      <c r="CB1135" s="23"/>
      <c r="CC1135" s="23"/>
      <c r="CD1135" s="19" t="s">
        <v>8999</v>
      </c>
      <c r="CE1135" s="23"/>
      <c r="CF1135" s="23"/>
      <c r="CG1135" s="23"/>
      <c r="CH1135" s="23"/>
      <c r="CI1135" s="23"/>
    </row>
    <row r="1136" spans="1:87" x14ac:dyDescent="0.3">
      <c r="A1136" s="9" t="s">
        <v>9000</v>
      </c>
      <c r="B1136" s="10" t="s">
        <v>9001</v>
      </c>
      <c r="C1136" s="11">
        <v>45921.9375</v>
      </c>
      <c r="D1136" s="12">
        <v>8.3333333333333329E-2</v>
      </c>
      <c r="E1136" s="11">
        <v>45922.020833333336</v>
      </c>
      <c r="F1136" s="10" t="s">
        <v>262</v>
      </c>
      <c r="G1136" s="13" t="b">
        <v>0</v>
      </c>
      <c r="H1136" s="10" t="s">
        <v>305</v>
      </c>
      <c r="I1136" s="10" t="s">
        <v>264</v>
      </c>
      <c r="J1136" s="13" t="b">
        <v>0</v>
      </c>
      <c r="K1136" s="13" t="b">
        <v>1</v>
      </c>
      <c r="L1136" s="10" t="s">
        <v>358</v>
      </c>
      <c r="M1136" s="10" t="s">
        <v>91</v>
      </c>
      <c r="N1136" s="10" t="s">
        <v>265</v>
      </c>
      <c r="O1136" s="19" t="s">
        <v>9002</v>
      </c>
      <c r="P1136" s="10"/>
      <c r="Q1136" s="10" t="s">
        <v>94</v>
      </c>
      <c r="R1136" s="10"/>
      <c r="S1136" s="19" t="s">
        <v>737</v>
      </c>
      <c r="T1136" s="10"/>
      <c r="U1136" s="10" t="s">
        <v>362</v>
      </c>
      <c r="V1136" s="10" t="s">
        <v>334</v>
      </c>
      <c r="W1136" s="10" t="s">
        <v>272</v>
      </c>
      <c r="X1136" s="10" t="s">
        <v>130</v>
      </c>
      <c r="Y1136" s="10" t="s">
        <v>130</v>
      </c>
      <c r="Z1136" s="10" t="s">
        <v>99</v>
      </c>
      <c r="AA1136" s="10" t="s">
        <v>131</v>
      </c>
      <c r="AB1136" s="10" t="s">
        <v>273</v>
      </c>
      <c r="AC1136" s="10" t="s">
        <v>274</v>
      </c>
      <c r="AD1136" s="10" t="s">
        <v>739</v>
      </c>
      <c r="AE1136" s="10" t="s">
        <v>9003</v>
      </c>
      <c r="AF1136" s="15"/>
      <c r="AG1136" s="10"/>
      <c r="AH1136" s="10"/>
      <c r="AI1136" s="10"/>
      <c r="AJ1136" s="10"/>
      <c r="AK1136" s="10" t="s">
        <v>102</v>
      </c>
      <c r="AL1136" s="10" t="s">
        <v>167</v>
      </c>
      <c r="AM1136" s="10"/>
      <c r="AN1136" s="10"/>
      <c r="AO1136" s="13" t="b">
        <v>0</v>
      </c>
      <c r="AP1136" s="10" t="s">
        <v>104</v>
      </c>
      <c r="AQ1136" s="10">
        <f ca="1">IFERROR(__xludf.DUMMYFUNCTION("""COMPUTED_VALUE"""),4579984)</f>
        <v>4579984</v>
      </c>
      <c r="AR1136" s="17">
        <v>18217</v>
      </c>
      <c r="AS1136" s="17">
        <v>16453</v>
      </c>
      <c r="AT1136" s="17">
        <v>96424.25</v>
      </c>
      <c r="AU1136" s="17">
        <v>57.65</v>
      </c>
      <c r="AV1136" s="17">
        <v>20.85</v>
      </c>
      <c r="AW1136" s="10" t="s">
        <v>105</v>
      </c>
      <c r="AX1136" s="17">
        <v>5899</v>
      </c>
      <c r="AY1136" s="18">
        <v>5.8605877347596183</v>
      </c>
      <c r="AZ1136" s="10" t="s">
        <v>148</v>
      </c>
      <c r="BA1136" s="20" t="b">
        <v>0</v>
      </c>
      <c r="BB1136" s="10"/>
      <c r="BC1136" s="17">
        <v>18217</v>
      </c>
      <c r="BD1136" s="17">
        <v>16453</v>
      </c>
      <c r="BE1136" s="17">
        <v>96424.25</v>
      </c>
      <c r="BF1136" s="17">
        <v>20.85</v>
      </c>
      <c r="BG1136" s="11">
        <f ca="1">IFERROR(__xludf.DUMMYFUNCTION("""COMPUTED_VALUE"""),45921.9375)</f>
        <v>45921.9375</v>
      </c>
      <c r="BH1136" s="17" t="s">
        <v>105</v>
      </c>
      <c r="BI1136" s="17"/>
      <c r="BJ1136" s="15"/>
      <c r="BK1136" s="15"/>
      <c r="BL1136" s="13" t="b">
        <v>0</v>
      </c>
      <c r="BM1136" s="10"/>
      <c r="BN1136" s="10" t="s">
        <v>920</v>
      </c>
      <c r="BO1136" s="11">
        <v>45897.981944444444</v>
      </c>
      <c r="BP1136" s="11">
        <v>45915.652812499997</v>
      </c>
      <c r="BQ1136" s="15">
        <v>45918.645416666666</v>
      </c>
      <c r="BR1136" s="15">
        <v>45918.919895833336</v>
      </c>
      <c r="BS1136" s="10" t="s">
        <v>920</v>
      </c>
      <c r="BT1136" s="10"/>
      <c r="BU1136" s="10"/>
      <c r="BV1136" s="10"/>
      <c r="BW1136" s="10"/>
      <c r="BX1136" s="10"/>
      <c r="BY1136" s="23"/>
      <c r="BZ1136" s="23"/>
      <c r="CA1136" s="19" t="s">
        <v>742</v>
      </c>
      <c r="CB1136" s="23"/>
      <c r="CC1136" s="23"/>
      <c r="CD1136" s="23"/>
      <c r="CE1136" s="23"/>
      <c r="CF1136" s="23"/>
      <c r="CG1136" s="23"/>
      <c r="CH1136" s="23"/>
      <c r="CI1136" s="23"/>
    </row>
    <row r="1137" spans="1:87" x14ac:dyDescent="0.3">
      <c r="A1137" s="9" t="s">
        <v>9004</v>
      </c>
      <c r="B1137" s="10" t="s">
        <v>9005</v>
      </c>
      <c r="C1137" s="11">
        <v>45900.083333333336</v>
      </c>
      <c r="D1137" s="12">
        <v>8.3333333333333329E-2</v>
      </c>
      <c r="E1137" s="11">
        <v>45900.166666666664</v>
      </c>
      <c r="F1137" s="10" t="s">
        <v>3687</v>
      </c>
      <c r="G1137" s="13" t="b">
        <v>0</v>
      </c>
      <c r="H1137" s="10" t="s">
        <v>3478</v>
      </c>
      <c r="I1137" s="10" t="s">
        <v>89</v>
      </c>
      <c r="J1137" s="13" t="b">
        <v>0</v>
      </c>
      <c r="K1137" s="13" t="b">
        <v>1</v>
      </c>
      <c r="L1137" s="10" t="s">
        <v>124</v>
      </c>
      <c r="M1137" s="10" t="s">
        <v>91</v>
      </c>
      <c r="N1137" s="10" t="s">
        <v>92</v>
      </c>
      <c r="O1137" s="19" t="s">
        <v>9006</v>
      </c>
      <c r="P1137" s="10"/>
      <c r="Q1137" s="10" t="s">
        <v>126</v>
      </c>
      <c r="R1137" s="10"/>
      <c r="S1137" s="19" t="s">
        <v>9007</v>
      </c>
      <c r="T1137" s="19" t="s">
        <v>8493</v>
      </c>
      <c r="U1137" s="10" t="s">
        <v>7708</v>
      </c>
      <c r="V1137" s="10" t="s">
        <v>7741</v>
      </c>
      <c r="W1137" s="10" t="s">
        <v>3692</v>
      </c>
      <c r="X1137" s="10" t="s">
        <v>130</v>
      </c>
      <c r="Y1137" s="10" t="s">
        <v>130</v>
      </c>
      <c r="Z1137" s="10" t="s">
        <v>99</v>
      </c>
      <c r="AA1137" s="10" t="s">
        <v>131</v>
      </c>
      <c r="AB1137" s="10" t="s">
        <v>3693</v>
      </c>
      <c r="AC1137" s="10" t="s">
        <v>3694</v>
      </c>
      <c r="AD1137" s="10" t="s">
        <v>9008</v>
      </c>
      <c r="AE1137" s="10" t="s">
        <v>9009</v>
      </c>
      <c r="AF1137" s="15"/>
      <c r="AG1137" s="10"/>
      <c r="AH1137" s="10"/>
      <c r="AI1137" s="10"/>
      <c r="AJ1137" s="10" t="s">
        <v>9010</v>
      </c>
      <c r="AK1137" s="10" t="s">
        <v>102</v>
      </c>
      <c r="AL1137" s="10" t="s">
        <v>156</v>
      </c>
      <c r="AM1137" s="10"/>
      <c r="AN1137" s="10"/>
      <c r="AO1137" s="13" t="b">
        <v>0</v>
      </c>
      <c r="AP1137" s="10" t="s">
        <v>104</v>
      </c>
      <c r="AQ1137" s="10">
        <f ca="1">IFERROR(__xludf.DUMMYFUNCTION("""COMPUTED_VALUE"""),4533787)</f>
        <v>4533787</v>
      </c>
      <c r="AR1137" s="17">
        <v>3379</v>
      </c>
      <c r="AS1137" s="17">
        <v>2766</v>
      </c>
      <c r="AT1137" s="17">
        <v>36643.25</v>
      </c>
      <c r="AU1137" s="17">
        <v>2.5499999999999998</v>
      </c>
      <c r="AV1137" s="17">
        <v>0.4</v>
      </c>
      <c r="AW1137" s="10" t="s">
        <v>105</v>
      </c>
      <c r="AX1137" s="17">
        <v>535</v>
      </c>
      <c r="AY1137" s="18">
        <v>13.247740419378163</v>
      </c>
      <c r="AZ1137" s="10" t="s">
        <v>148</v>
      </c>
      <c r="BA1137" s="20" t="b">
        <v>0</v>
      </c>
      <c r="BB1137" s="10"/>
      <c r="BC1137" s="17">
        <v>3379</v>
      </c>
      <c r="BD1137" s="17">
        <v>2766</v>
      </c>
      <c r="BE1137" s="17">
        <v>36643.25</v>
      </c>
      <c r="BF1137" s="17">
        <v>0.4</v>
      </c>
      <c r="BG1137" s="11">
        <f ca="1">IFERROR(__xludf.DUMMYFUNCTION("""COMPUTED_VALUE"""),45900.0833333333)</f>
        <v>45900.083333333299</v>
      </c>
      <c r="BH1137" s="17" t="s">
        <v>105</v>
      </c>
      <c r="BI1137" s="17"/>
      <c r="BJ1137" s="15"/>
      <c r="BK1137" s="15"/>
      <c r="BL1137" s="13" t="b">
        <v>0</v>
      </c>
      <c r="BM1137" s="10"/>
      <c r="BN1137" s="10" t="s">
        <v>197</v>
      </c>
      <c r="BO1137" s="11">
        <v>45898.538194444445</v>
      </c>
      <c r="BP1137" s="11">
        <v>45898.538912037038</v>
      </c>
      <c r="BQ1137" s="15">
        <v>45898.752905092595</v>
      </c>
      <c r="BR1137" s="15">
        <v>45899.535601851851</v>
      </c>
      <c r="BS1137" s="10" t="s">
        <v>197</v>
      </c>
      <c r="BT1137" s="10" t="s">
        <v>99</v>
      </c>
      <c r="BU1137" s="10" t="s">
        <v>534</v>
      </c>
      <c r="BV1137" s="10"/>
      <c r="BW1137" s="10"/>
      <c r="BX1137" s="10"/>
      <c r="BY1137" s="23"/>
      <c r="BZ1137" s="23"/>
      <c r="CA1137" s="19" t="s">
        <v>9011</v>
      </c>
      <c r="CB1137" s="19" t="s">
        <v>9012</v>
      </c>
      <c r="CC1137" s="23"/>
      <c r="CD1137" s="19" t="s">
        <v>9013</v>
      </c>
      <c r="CE1137" s="23"/>
      <c r="CF1137" s="23"/>
      <c r="CG1137" s="23"/>
      <c r="CH1137" s="23"/>
      <c r="CI1137" s="23"/>
    </row>
    <row r="1138" spans="1:87" x14ac:dyDescent="0.3">
      <c r="A1138" s="9" t="s">
        <v>9014</v>
      </c>
      <c r="B1138" s="10" t="s">
        <v>9015</v>
      </c>
      <c r="C1138" s="11">
        <v>45900.291666666664</v>
      </c>
      <c r="D1138" s="12">
        <v>0.33333333333333331</v>
      </c>
      <c r="E1138" s="11">
        <v>45900.625</v>
      </c>
      <c r="F1138" s="10" t="s">
        <v>9016</v>
      </c>
      <c r="G1138" s="13" t="b">
        <v>0</v>
      </c>
      <c r="H1138" s="10" t="s">
        <v>9017</v>
      </c>
      <c r="I1138" s="10" t="s">
        <v>212</v>
      </c>
      <c r="J1138" s="13" t="b">
        <v>1</v>
      </c>
      <c r="K1138" s="13" t="b">
        <v>0</v>
      </c>
      <c r="L1138" s="10" t="s">
        <v>124</v>
      </c>
      <c r="M1138" s="10" t="s">
        <v>91</v>
      </c>
      <c r="N1138" s="10" t="s">
        <v>3513</v>
      </c>
      <c r="O1138" s="19" t="s">
        <v>9018</v>
      </c>
      <c r="P1138" s="10"/>
      <c r="Q1138" s="10" t="s">
        <v>94</v>
      </c>
      <c r="R1138" s="10"/>
      <c r="S1138" s="19" t="s">
        <v>9019</v>
      </c>
      <c r="T1138" s="10"/>
      <c r="U1138" s="10"/>
      <c r="V1138" s="10"/>
      <c r="W1138" s="10" t="s">
        <v>9020</v>
      </c>
      <c r="X1138" s="10" t="s">
        <v>130</v>
      </c>
      <c r="Y1138" s="10" t="s">
        <v>130</v>
      </c>
      <c r="Z1138" s="10" t="s">
        <v>99</v>
      </c>
      <c r="AA1138" s="10" t="s">
        <v>131</v>
      </c>
      <c r="AB1138" s="10" t="s">
        <v>9021</v>
      </c>
      <c r="AC1138" s="10" t="s">
        <v>9022</v>
      </c>
      <c r="AD1138" s="10" t="s">
        <v>165</v>
      </c>
      <c r="AE1138" s="10" t="s">
        <v>9023</v>
      </c>
      <c r="AF1138" s="15"/>
      <c r="AG1138" s="10"/>
      <c r="AH1138" s="10"/>
      <c r="AI1138" s="10"/>
      <c r="AJ1138" s="10"/>
      <c r="AK1138" s="10" t="s">
        <v>102</v>
      </c>
      <c r="AL1138" s="10" t="s">
        <v>103</v>
      </c>
      <c r="AM1138" s="10"/>
      <c r="AN1138" s="10"/>
      <c r="AO1138" s="13" t="b">
        <v>0</v>
      </c>
      <c r="AP1138" s="10" t="s">
        <v>104</v>
      </c>
      <c r="AQ1138" s="10">
        <f ca="1">IFERROR(__xludf.DUMMYFUNCTION("""COMPUTED_VALUE"""),19472)</f>
        <v>19472</v>
      </c>
      <c r="AR1138" s="21">
        <v>125</v>
      </c>
      <c r="AS1138" s="21">
        <v>110</v>
      </c>
      <c r="AT1138" s="21">
        <v>502.25</v>
      </c>
      <c r="AU1138" s="21">
        <v>0</v>
      </c>
      <c r="AV1138" s="21">
        <v>0</v>
      </c>
      <c r="AW1138" s="22" t="s">
        <v>105</v>
      </c>
      <c r="AX1138" s="21"/>
      <c r="AY1138" s="18">
        <v>7.1848090982940702</v>
      </c>
      <c r="AZ1138" s="10"/>
      <c r="BA1138" s="20" t="b">
        <v>1</v>
      </c>
      <c r="BB1138" s="10"/>
      <c r="BC1138" s="17">
        <v>2995</v>
      </c>
      <c r="BD1138" s="17">
        <v>2462</v>
      </c>
      <c r="BE1138" s="17">
        <v>17689</v>
      </c>
      <c r="BF1138" s="17">
        <v>0</v>
      </c>
      <c r="BG1138" s="11">
        <f ca="1">IFERROR(__xludf.DUMMYFUNCTION("""COMPUTED_VALUE"""),45900.2916666666)</f>
        <v>45900.291666666599</v>
      </c>
      <c r="BH1138" s="17" t="s">
        <v>105</v>
      </c>
      <c r="BI1138" s="17"/>
      <c r="BJ1138" s="15"/>
      <c r="BK1138" s="15"/>
      <c r="BL1138" s="13" t="b">
        <v>0</v>
      </c>
      <c r="BM1138" s="10"/>
      <c r="BN1138" s="10" t="s">
        <v>920</v>
      </c>
      <c r="BO1138" s="11">
        <v>45899.620138888888</v>
      </c>
      <c r="BP1138" s="11">
        <v>45899.620752314811</v>
      </c>
      <c r="BQ1138" s="15">
        <v>45899.641284722224</v>
      </c>
      <c r="BR1138" s="15">
        <v>45900.243356481478</v>
      </c>
      <c r="BS1138" s="10" t="s">
        <v>920</v>
      </c>
      <c r="BT1138" s="10"/>
      <c r="BU1138" s="10"/>
      <c r="BV1138" s="10"/>
      <c r="BW1138" s="10"/>
      <c r="BX1138" s="10"/>
      <c r="BY1138" s="23"/>
      <c r="BZ1138" s="23"/>
      <c r="CA1138" s="19" t="s">
        <v>9024</v>
      </c>
      <c r="CB1138" s="23"/>
      <c r="CC1138" s="23"/>
      <c r="CD1138" s="23"/>
      <c r="CE1138" s="23"/>
      <c r="CF1138" s="23"/>
      <c r="CG1138" s="23"/>
      <c r="CH1138" s="23"/>
      <c r="CI1138" s="23"/>
    </row>
    <row r="1139" spans="1:87" x14ac:dyDescent="0.3">
      <c r="A1139" s="9" t="s">
        <v>9025</v>
      </c>
      <c r="B1139" s="10" t="s">
        <v>9026</v>
      </c>
      <c r="C1139" s="11">
        <v>45900.291666666664</v>
      </c>
      <c r="D1139" s="12">
        <v>1.7361111111111112E-2</v>
      </c>
      <c r="E1139" s="11">
        <v>45900.309027777781</v>
      </c>
      <c r="F1139" s="10" t="s">
        <v>9016</v>
      </c>
      <c r="G1139" s="13" t="b">
        <v>0</v>
      </c>
      <c r="H1139" s="10" t="s">
        <v>9017</v>
      </c>
      <c r="I1139" s="10" t="s">
        <v>212</v>
      </c>
      <c r="J1139" s="13" t="b">
        <v>1</v>
      </c>
      <c r="K1139" s="13" t="b">
        <v>0</v>
      </c>
      <c r="L1139" s="10" t="s">
        <v>124</v>
      </c>
      <c r="M1139" s="10" t="s">
        <v>91</v>
      </c>
      <c r="N1139" s="10" t="s">
        <v>3513</v>
      </c>
      <c r="O1139" s="19" t="s">
        <v>9027</v>
      </c>
      <c r="P1139" s="10"/>
      <c r="Q1139" s="10" t="s">
        <v>94</v>
      </c>
      <c r="R1139" s="10"/>
      <c r="S1139" s="19" t="s">
        <v>9019</v>
      </c>
      <c r="T1139" s="10"/>
      <c r="U1139" s="10"/>
      <c r="V1139" s="10"/>
      <c r="W1139" s="10" t="s">
        <v>9020</v>
      </c>
      <c r="X1139" s="10" t="s">
        <v>130</v>
      </c>
      <c r="Y1139" s="10" t="s">
        <v>130</v>
      </c>
      <c r="Z1139" s="10" t="s">
        <v>99</v>
      </c>
      <c r="AA1139" s="10" t="s">
        <v>131</v>
      </c>
      <c r="AB1139" s="10" t="s">
        <v>9021</v>
      </c>
      <c r="AC1139" s="10" t="s">
        <v>9022</v>
      </c>
      <c r="AD1139" s="10" t="s">
        <v>165</v>
      </c>
      <c r="AE1139" s="10" t="s">
        <v>9028</v>
      </c>
      <c r="AF1139" s="15"/>
      <c r="AG1139" s="10"/>
      <c r="AH1139" s="10"/>
      <c r="AI1139" s="10"/>
      <c r="AJ1139" s="10"/>
      <c r="AK1139" s="10" t="s">
        <v>102</v>
      </c>
      <c r="AL1139" s="10"/>
      <c r="AM1139" s="10"/>
      <c r="AN1139" s="10"/>
      <c r="AO1139" s="13" t="b">
        <v>0</v>
      </c>
      <c r="AP1139" s="10" t="s">
        <v>104</v>
      </c>
      <c r="AQ1139" s="10">
        <f ca="1">IFERROR(__xludf.DUMMYFUNCTION("""COMPUTED_VALUE"""),4534247)</f>
        <v>4534247</v>
      </c>
      <c r="AR1139" s="17">
        <v>119</v>
      </c>
      <c r="AS1139" s="17">
        <v>102</v>
      </c>
      <c r="AT1139" s="17">
        <v>1437.25</v>
      </c>
      <c r="AU1139" s="17">
        <v>0</v>
      </c>
      <c r="AV1139" s="17">
        <v>0</v>
      </c>
      <c r="AW1139" s="10" t="s">
        <v>105</v>
      </c>
      <c r="AX1139" s="17">
        <v>46</v>
      </c>
      <c r="AY1139" s="18">
        <v>14.090686274509803</v>
      </c>
      <c r="AZ1139" s="10"/>
      <c r="BA1139" s="20" t="b">
        <v>0</v>
      </c>
      <c r="BB1139" s="10" t="s">
        <v>9014</v>
      </c>
      <c r="BC1139" s="17">
        <v>119</v>
      </c>
      <c r="BD1139" s="17">
        <v>102</v>
      </c>
      <c r="BE1139" s="17">
        <v>1437.25</v>
      </c>
      <c r="BF1139" s="17">
        <v>0</v>
      </c>
      <c r="BG1139" s="11">
        <f ca="1">IFERROR(__xludf.DUMMYFUNCTION("""COMPUTED_VALUE"""),45900.2916666666)</f>
        <v>45900.291666666599</v>
      </c>
      <c r="BH1139" s="17" t="s">
        <v>105</v>
      </c>
      <c r="BI1139" s="17"/>
      <c r="BJ1139" s="15"/>
      <c r="BK1139" s="15"/>
      <c r="BL1139" s="13" t="b">
        <v>0</v>
      </c>
      <c r="BM1139" s="10"/>
      <c r="BN1139" s="10" t="s">
        <v>667</v>
      </c>
      <c r="BO1139" s="11">
        <v>45899.623611111114</v>
      </c>
      <c r="BP1139" s="11">
        <v>45899.626134259262</v>
      </c>
      <c r="BQ1139" s="15"/>
      <c r="BR1139" s="15">
        <v>45900.534548611111</v>
      </c>
      <c r="BS1139" s="10" t="s">
        <v>667</v>
      </c>
      <c r="BT1139" s="10"/>
      <c r="BU1139" s="10"/>
      <c r="BV1139" s="10"/>
      <c r="BW1139" s="10"/>
      <c r="BX1139" s="10"/>
      <c r="BY1139" s="23"/>
      <c r="BZ1139" s="23"/>
      <c r="CA1139" s="19" t="s">
        <v>9024</v>
      </c>
      <c r="CB1139" s="23"/>
      <c r="CC1139" s="23"/>
      <c r="CD1139" s="23"/>
      <c r="CE1139" s="23"/>
      <c r="CF1139" s="23"/>
      <c r="CG1139" s="23"/>
      <c r="CH1139" s="23"/>
      <c r="CI1139" s="23"/>
    </row>
    <row r="1140" spans="1:87" x14ac:dyDescent="0.3">
      <c r="A1140" s="9" t="s">
        <v>9029</v>
      </c>
      <c r="B1140" s="10" t="s">
        <v>9030</v>
      </c>
      <c r="C1140" s="11">
        <v>45900.3125</v>
      </c>
      <c r="D1140" s="12">
        <v>1.7361111111111112E-2</v>
      </c>
      <c r="E1140" s="11">
        <v>45900.329861111109</v>
      </c>
      <c r="F1140" s="10" t="s">
        <v>9016</v>
      </c>
      <c r="G1140" s="13" t="b">
        <v>0</v>
      </c>
      <c r="H1140" s="10" t="s">
        <v>9017</v>
      </c>
      <c r="I1140" s="10" t="s">
        <v>212</v>
      </c>
      <c r="J1140" s="13" t="b">
        <v>1</v>
      </c>
      <c r="K1140" s="13" t="b">
        <v>0</v>
      </c>
      <c r="L1140" s="10" t="s">
        <v>124</v>
      </c>
      <c r="M1140" s="10" t="s">
        <v>91</v>
      </c>
      <c r="N1140" s="10" t="s">
        <v>3513</v>
      </c>
      <c r="O1140" s="19" t="s">
        <v>9031</v>
      </c>
      <c r="P1140" s="10"/>
      <c r="Q1140" s="10" t="s">
        <v>94</v>
      </c>
      <c r="R1140" s="10"/>
      <c r="S1140" s="19" t="s">
        <v>9019</v>
      </c>
      <c r="T1140" s="10"/>
      <c r="U1140" s="10"/>
      <c r="V1140" s="10"/>
      <c r="W1140" s="10" t="s">
        <v>9020</v>
      </c>
      <c r="X1140" s="10" t="s">
        <v>130</v>
      </c>
      <c r="Y1140" s="10" t="s">
        <v>130</v>
      </c>
      <c r="Z1140" s="10" t="s">
        <v>99</v>
      </c>
      <c r="AA1140" s="10" t="s">
        <v>131</v>
      </c>
      <c r="AB1140" s="10" t="s">
        <v>9021</v>
      </c>
      <c r="AC1140" s="10" t="s">
        <v>9022</v>
      </c>
      <c r="AD1140" s="10" t="s">
        <v>165</v>
      </c>
      <c r="AE1140" s="10" t="s">
        <v>9032</v>
      </c>
      <c r="AF1140" s="15"/>
      <c r="AG1140" s="10"/>
      <c r="AH1140" s="10"/>
      <c r="AI1140" s="10"/>
      <c r="AJ1140" s="10"/>
      <c r="AK1140" s="10" t="s">
        <v>102</v>
      </c>
      <c r="AL1140" s="10"/>
      <c r="AM1140" s="10"/>
      <c r="AN1140" s="10"/>
      <c r="AO1140" s="13" t="b">
        <v>0</v>
      </c>
      <c r="AP1140" s="10" t="s">
        <v>104</v>
      </c>
      <c r="AQ1140" s="10">
        <f ca="1">IFERROR(__xludf.DUMMYFUNCTION("""COMPUTED_VALUE"""),4534248)</f>
        <v>4534248</v>
      </c>
      <c r="AR1140" s="17">
        <v>170</v>
      </c>
      <c r="AS1140" s="17">
        <v>142</v>
      </c>
      <c r="AT1140" s="17">
        <v>864.5</v>
      </c>
      <c r="AU1140" s="17">
        <v>0</v>
      </c>
      <c r="AV1140" s="17">
        <v>0</v>
      </c>
      <c r="AW1140" s="10" t="s">
        <v>105</v>
      </c>
      <c r="AX1140" s="17">
        <v>59</v>
      </c>
      <c r="AY1140" s="18">
        <v>6.0880281690140849</v>
      </c>
      <c r="AZ1140" s="10"/>
      <c r="BA1140" s="20" t="b">
        <v>0</v>
      </c>
      <c r="BB1140" s="10" t="s">
        <v>9014</v>
      </c>
      <c r="BC1140" s="17">
        <v>170</v>
      </c>
      <c r="BD1140" s="17">
        <v>142</v>
      </c>
      <c r="BE1140" s="17">
        <v>864.5</v>
      </c>
      <c r="BF1140" s="17">
        <v>0</v>
      </c>
      <c r="BG1140" s="11">
        <f ca="1">IFERROR(__xludf.DUMMYFUNCTION("""COMPUTED_VALUE"""),45900.3125)</f>
        <v>45900.3125</v>
      </c>
      <c r="BH1140" s="17" t="s">
        <v>105</v>
      </c>
      <c r="BI1140" s="17"/>
      <c r="BJ1140" s="15"/>
      <c r="BK1140" s="15"/>
      <c r="BL1140" s="13" t="b">
        <v>0</v>
      </c>
      <c r="BM1140" s="10"/>
      <c r="BN1140" s="10" t="s">
        <v>667</v>
      </c>
      <c r="BO1140" s="11">
        <v>45899.625694444447</v>
      </c>
      <c r="BP1140" s="11">
        <v>45899.626388888886</v>
      </c>
      <c r="BQ1140" s="15"/>
      <c r="BR1140" s="15">
        <v>45900.534710648149</v>
      </c>
      <c r="BS1140" s="10" t="s">
        <v>667</v>
      </c>
      <c r="BT1140" s="10"/>
      <c r="BU1140" s="10"/>
      <c r="BV1140" s="10"/>
      <c r="BW1140" s="10"/>
      <c r="BX1140" s="10"/>
      <c r="BY1140" s="23"/>
      <c r="BZ1140" s="23"/>
      <c r="CA1140" s="19" t="s">
        <v>9024</v>
      </c>
      <c r="CB1140" s="23"/>
      <c r="CC1140" s="23"/>
      <c r="CD1140" s="23"/>
      <c r="CE1140" s="23"/>
      <c r="CF1140" s="23"/>
      <c r="CG1140" s="23"/>
      <c r="CH1140" s="23"/>
      <c r="CI1140" s="23"/>
    </row>
    <row r="1141" spans="1:87" x14ac:dyDescent="0.3">
      <c r="A1141" s="9" t="s">
        <v>9033</v>
      </c>
      <c r="B1141" s="10" t="s">
        <v>9034</v>
      </c>
      <c r="C1141" s="11">
        <v>45900.333333333336</v>
      </c>
      <c r="D1141" s="12">
        <v>1.7361111111111112E-2</v>
      </c>
      <c r="E1141" s="11">
        <v>45900.350694444445</v>
      </c>
      <c r="F1141" s="10" t="s">
        <v>9016</v>
      </c>
      <c r="G1141" s="13" t="b">
        <v>0</v>
      </c>
      <c r="H1141" s="10" t="s">
        <v>9017</v>
      </c>
      <c r="I1141" s="10" t="s">
        <v>212</v>
      </c>
      <c r="J1141" s="13" t="b">
        <v>1</v>
      </c>
      <c r="K1141" s="13" t="b">
        <v>0</v>
      </c>
      <c r="L1141" s="10" t="s">
        <v>124</v>
      </c>
      <c r="M1141" s="10" t="s">
        <v>91</v>
      </c>
      <c r="N1141" s="10" t="s">
        <v>3513</v>
      </c>
      <c r="O1141" s="19" t="s">
        <v>9035</v>
      </c>
      <c r="P1141" s="10"/>
      <c r="Q1141" s="10" t="s">
        <v>94</v>
      </c>
      <c r="R1141" s="10"/>
      <c r="S1141" s="19" t="s">
        <v>9019</v>
      </c>
      <c r="T1141" s="10"/>
      <c r="U1141" s="10"/>
      <c r="V1141" s="10"/>
      <c r="W1141" s="10" t="s">
        <v>9020</v>
      </c>
      <c r="X1141" s="10" t="s">
        <v>130</v>
      </c>
      <c r="Y1141" s="10" t="s">
        <v>130</v>
      </c>
      <c r="Z1141" s="10" t="s">
        <v>99</v>
      </c>
      <c r="AA1141" s="10" t="s">
        <v>131</v>
      </c>
      <c r="AB1141" s="10" t="s">
        <v>9021</v>
      </c>
      <c r="AC1141" s="10" t="s">
        <v>9022</v>
      </c>
      <c r="AD1141" s="10" t="s">
        <v>165</v>
      </c>
      <c r="AE1141" s="10" t="s">
        <v>9036</v>
      </c>
      <c r="AF1141" s="15"/>
      <c r="AG1141" s="10"/>
      <c r="AH1141" s="10"/>
      <c r="AI1141" s="10"/>
      <c r="AJ1141" s="10"/>
      <c r="AK1141" s="10" t="s">
        <v>102</v>
      </c>
      <c r="AL1141" s="10"/>
      <c r="AM1141" s="10"/>
      <c r="AN1141" s="10"/>
      <c r="AO1141" s="13" t="b">
        <v>0</v>
      </c>
      <c r="AP1141" s="10" t="s">
        <v>104</v>
      </c>
      <c r="AQ1141" s="10">
        <f ca="1">IFERROR(__xludf.DUMMYFUNCTION("""COMPUTED_VALUE"""),4534249)</f>
        <v>4534249</v>
      </c>
      <c r="AR1141" s="17">
        <v>143</v>
      </c>
      <c r="AS1141" s="17">
        <v>122</v>
      </c>
      <c r="AT1141" s="17">
        <v>1053.75</v>
      </c>
      <c r="AU1141" s="17">
        <v>0</v>
      </c>
      <c r="AV1141" s="17">
        <v>0</v>
      </c>
      <c r="AW1141" s="10" t="s">
        <v>105</v>
      </c>
      <c r="AX1141" s="17">
        <v>63</v>
      </c>
      <c r="AY1141" s="18">
        <v>8.6372950819672134</v>
      </c>
      <c r="AZ1141" s="10"/>
      <c r="BA1141" s="20" t="b">
        <v>0</v>
      </c>
      <c r="BB1141" s="10" t="s">
        <v>9014</v>
      </c>
      <c r="BC1141" s="17">
        <v>143</v>
      </c>
      <c r="BD1141" s="17">
        <v>122</v>
      </c>
      <c r="BE1141" s="17">
        <v>1053.75</v>
      </c>
      <c r="BF1141" s="17">
        <v>0</v>
      </c>
      <c r="BG1141" s="11">
        <f ca="1">IFERROR(__xludf.DUMMYFUNCTION("""COMPUTED_VALUE"""),45900.3333333333)</f>
        <v>45900.333333333299</v>
      </c>
      <c r="BH1141" s="17" t="s">
        <v>105</v>
      </c>
      <c r="BI1141" s="17"/>
      <c r="BJ1141" s="15"/>
      <c r="BK1141" s="15"/>
      <c r="BL1141" s="13" t="b">
        <v>0</v>
      </c>
      <c r="BM1141" s="10"/>
      <c r="BN1141" s="10" t="s">
        <v>667</v>
      </c>
      <c r="BO1141" s="11">
        <v>45899.626388888886</v>
      </c>
      <c r="BP1141" s="11">
        <v>45899.627083333333</v>
      </c>
      <c r="BQ1141" s="15"/>
      <c r="BR1141" s="15">
        <v>45900.534849537034</v>
      </c>
      <c r="BS1141" s="10" t="s">
        <v>667</v>
      </c>
      <c r="BT1141" s="10"/>
      <c r="BU1141" s="10"/>
      <c r="BV1141" s="10"/>
      <c r="BW1141" s="10"/>
      <c r="BX1141" s="10"/>
      <c r="BY1141" s="23"/>
      <c r="BZ1141" s="23"/>
      <c r="CA1141" s="19" t="s">
        <v>9024</v>
      </c>
      <c r="CB1141" s="23"/>
      <c r="CC1141" s="23"/>
      <c r="CD1141" s="23"/>
      <c r="CE1141" s="23"/>
      <c r="CF1141" s="23"/>
      <c r="CG1141" s="23"/>
      <c r="CH1141" s="23"/>
      <c r="CI1141" s="23"/>
    </row>
    <row r="1142" spans="1:87" x14ac:dyDescent="0.3">
      <c r="A1142" s="9" t="s">
        <v>9037</v>
      </c>
      <c r="B1142" s="10" t="s">
        <v>9038</v>
      </c>
      <c r="C1142" s="11">
        <v>45900.354166666664</v>
      </c>
      <c r="D1142" s="12">
        <v>1.7361111111111112E-2</v>
      </c>
      <c r="E1142" s="11">
        <v>45900.371527777781</v>
      </c>
      <c r="F1142" s="10" t="s">
        <v>9016</v>
      </c>
      <c r="G1142" s="13" t="b">
        <v>0</v>
      </c>
      <c r="H1142" s="10" t="s">
        <v>9017</v>
      </c>
      <c r="I1142" s="10" t="s">
        <v>212</v>
      </c>
      <c r="J1142" s="13" t="b">
        <v>1</v>
      </c>
      <c r="K1142" s="13" t="b">
        <v>0</v>
      </c>
      <c r="L1142" s="10" t="s">
        <v>124</v>
      </c>
      <c r="M1142" s="10" t="s">
        <v>91</v>
      </c>
      <c r="N1142" s="10" t="s">
        <v>3513</v>
      </c>
      <c r="O1142" s="19" t="s">
        <v>9039</v>
      </c>
      <c r="P1142" s="10"/>
      <c r="Q1142" s="10" t="s">
        <v>94</v>
      </c>
      <c r="R1142" s="10"/>
      <c r="S1142" s="19" t="s">
        <v>9019</v>
      </c>
      <c r="T1142" s="10"/>
      <c r="U1142" s="10"/>
      <c r="V1142" s="10"/>
      <c r="W1142" s="10" t="s">
        <v>9020</v>
      </c>
      <c r="X1142" s="10" t="s">
        <v>130</v>
      </c>
      <c r="Y1142" s="10" t="s">
        <v>130</v>
      </c>
      <c r="Z1142" s="10" t="s">
        <v>99</v>
      </c>
      <c r="AA1142" s="10" t="s">
        <v>131</v>
      </c>
      <c r="AB1142" s="10" t="s">
        <v>9021</v>
      </c>
      <c r="AC1142" s="10" t="s">
        <v>9022</v>
      </c>
      <c r="AD1142" s="10" t="s">
        <v>165</v>
      </c>
      <c r="AE1142" s="10" t="s">
        <v>9040</v>
      </c>
      <c r="AF1142" s="15"/>
      <c r="AG1142" s="10"/>
      <c r="AH1142" s="10"/>
      <c r="AI1142" s="10"/>
      <c r="AJ1142" s="10"/>
      <c r="AK1142" s="10" t="s">
        <v>102</v>
      </c>
      <c r="AL1142" s="10"/>
      <c r="AM1142" s="10"/>
      <c r="AN1142" s="10"/>
      <c r="AO1142" s="13" t="b">
        <v>0</v>
      </c>
      <c r="AP1142" s="10" t="s">
        <v>104</v>
      </c>
      <c r="AQ1142" s="10">
        <f ca="1">IFERROR(__xludf.DUMMYFUNCTION("""COMPUTED_VALUE"""),4534250)</f>
        <v>4534250</v>
      </c>
      <c r="AR1142" s="17">
        <v>145</v>
      </c>
      <c r="AS1142" s="17">
        <v>120</v>
      </c>
      <c r="AT1142" s="17">
        <v>747.25</v>
      </c>
      <c r="AU1142" s="17">
        <v>0</v>
      </c>
      <c r="AV1142" s="17">
        <v>0</v>
      </c>
      <c r="AW1142" s="10" t="s">
        <v>105</v>
      </c>
      <c r="AX1142" s="17">
        <v>55</v>
      </c>
      <c r="AY1142" s="18">
        <v>6.2270833333333337</v>
      </c>
      <c r="AZ1142" s="10"/>
      <c r="BA1142" s="20" t="b">
        <v>0</v>
      </c>
      <c r="BB1142" s="10" t="s">
        <v>9014</v>
      </c>
      <c r="BC1142" s="17">
        <v>145</v>
      </c>
      <c r="BD1142" s="17">
        <v>120</v>
      </c>
      <c r="BE1142" s="17">
        <v>747.25</v>
      </c>
      <c r="BF1142" s="17">
        <v>0</v>
      </c>
      <c r="BG1142" s="11">
        <f ca="1">IFERROR(__xludf.DUMMYFUNCTION("""COMPUTED_VALUE"""),45900.3541666666)</f>
        <v>45900.354166666599</v>
      </c>
      <c r="BH1142" s="17" t="s">
        <v>105</v>
      </c>
      <c r="BI1142" s="17"/>
      <c r="BJ1142" s="15"/>
      <c r="BK1142" s="15"/>
      <c r="BL1142" s="13" t="b">
        <v>0</v>
      </c>
      <c r="BM1142" s="10"/>
      <c r="BN1142" s="10" t="s">
        <v>667</v>
      </c>
      <c r="BO1142" s="11">
        <v>45899.627083333333</v>
      </c>
      <c r="BP1142" s="11">
        <v>45899.627604166664</v>
      </c>
      <c r="BQ1142" s="15"/>
      <c r="BR1142" s="15">
        <v>45900.535000000003</v>
      </c>
      <c r="BS1142" s="10" t="s">
        <v>667</v>
      </c>
      <c r="BT1142" s="10"/>
      <c r="BU1142" s="10"/>
      <c r="BV1142" s="10"/>
      <c r="BW1142" s="10"/>
      <c r="BX1142" s="10"/>
      <c r="BY1142" s="23"/>
      <c r="BZ1142" s="23"/>
      <c r="CA1142" s="19" t="s">
        <v>9024</v>
      </c>
      <c r="CB1142" s="23"/>
      <c r="CC1142" s="23"/>
      <c r="CD1142" s="23"/>
      <c r="CE1142" s="23"/>
      <c r="CF1142" s="23"/>
      <c r="CG1142" s="23"/>
      <c r="CH1142" s="23"/>
      <c r="CI1142" s="23"/>
    </row>
    <row r="1143" spans="1:87" x14ac:dyDescent="0.3">
      <c r="A1143" s="9" t="s">
        <v>9041</v>
      </c>
      <c r="B1143" s="10" t="s">
        <v>9042</v>
      </c>
      <c r="C1143" s="11">
        <v>45900.375</v>
      </c>
      <c r="D1143" s="12">
        <v>1.7361111111111112E-2</v>
      </c>
      <c r="E1143" s="11">
        <v>45900.392361111109</v>
      </c>
      <c r="F1143" s="10" t="s">
        <v>9016</v>
      </c>
      <c r="G1143" s="13" t="b">
        <v>0</v>
      </c>
      <c r="H1143" s="10" t="s">
        <v>9017</v>
      </c>
      <c r="I1143" s="10" t="s">
        <v>212</v>
      </c>
      <c r="J1143" s="13" t="b">
        <v>1</v>
      </c>
      <c r="K1143" s="13" t="b">
        <v>0</v>
      </c>
      <c r="L1143" s="10" t="s">
        <v>124</v>
      </c>
      <c r="M1143" s="10" t="s">
        <v>91</v>
      </c>
      <c r="N1143" s="10" t="s">
        <v>3513</v>
      </c>
      <c r="O1143" s="19" t="s">
        <v>9043</v>
      </c>
      <c r="P1143" s="10"/>
      <c r="Q1143" s="10" t="s">
        <v>94</v>
      </c>
      <c r="R1143" s="10"/>
      <c r="S1143" s="19" t="s">
        <v>9019</v>
      </c>
      <c r="T1143" s="10"/>
      <c r="U1143" s="10"/>
      <c r="V1143" s="10"/>
      <c r="W1143" s="10" t="s">
        <v>9020</v>
      </c>
      <c r="X1143" s="10" t="s">
        <v>130</v>
      </c>
      <c r="Y1143" s="10" t="s">
        <v>130</v>
      </c>
      <c r="Z1143" s="10" t="s">
        <v>99</v>
      </c>
      <c r="AA1143" s="10" t="s">
        <v>131</v>
      </c>
      <c r="AB1143" s="10" t="s">
        <v>9021</v>
      </c>
      <c r="AC1143" s="10" t="s">
        <v>9022</v>
      </c>
      <c r="AD1143" s="10" t="s">
        <v>165</v>
      </c>
      <c r="AE1143" s="10" t="s">
        <v>9044</v>
      </c>
      <c r="AF1143" s="15"/>
      <c r="AG1143" s="10"/>
      <c r="AH1143" s="10"/>
      <c r="AI1143" s="10"/>
      <c r="AJ1143" s="10"/>
      <c r="AK1143" s="10" t="s">
        <v>102</v>
      </c>
      <c r="AL1143" s="10"/>
      <c r="AM1143" s="10"/>
      <c r="AN1143" s="10"/>
      <c r="AO1143" s="13" t="b">
        <v>0</v>
      </c>
      <c r="AP1143" s="10" t="s">
        <v>104</v>
      </c>
      <c r="AQ1143" s="10">
        <f ca="1">IFERROR(__xludf.DUMMYFUNCTION("""COMPUTED_VALUE"""),4534251)</f>
        <v>4534251</v>
      </c>
      <c r="AR1143" s="17">
        <v>201</v>
      </c>
      <c r="AS1143" s="17">
        <v>168</v>
      </c>
      <c r="AT1143" s="17">
        <v>2034.25</v>
      </c>
      <c r="AU1143" s="17">
        <v>0</v>
      </c>
      <c r="AV1143" s="17">
        <v>0</v>
      </c>
      <c r="AW1143" s="10" t="s">
        <v>105</v>
      </c>
      <c r="AX1143" s="17">
        <v>76</v>
      </c>
      <c r="AY1143" s="18">
        <v>12.108630952380953</v>
      </c>
      <c r="AZ1143" s="10"/>
      <c r="BA1143" s="20" t="b">
        <v>0</v>
      </c>
      <c r="BB1143" s="10" t="s">
        <v>9014</v>
      </c>
      <c r="BC1143" s="17">
        <v>201</v>
      </c>
      <c r="BD1143" s="17">
        <v>168</v>
      </c>
      <c r="BE1143" s="17">
        <v>2034.25</v>
      </c>
      <c r="BF1143" s="17">
        <v>0</v>
      </c>
      <c r="BG1143" s="11">
        <f ca="1">IFERROR(__xludf.DUMMYFUNCTION("""COMPUTED_VALUE"""),45900.375)</f>
        <v>45900.375</v>
      </c>
      <c r="BH1143" s="17" t="s">
        <v>105</v>
      </c>
      <c r="BI1143" s="17"/>
      <c r="BJ1143" s="15"/>
      <c r="BK1143" s="15"/>
      <c r="BL1143" s="13" t="b">
        <v>0</v>
      </c>
      <c r="BM1143" s="10"/>
      <c r="BN1143" s="10" t="s">
        <v>667</v>
      </c>
      <c r="BO1143" s="11">
        <v>45899.627083333333</v>
      </c>
      <c r="BP1143" s="11">
        <v>45899.627812500003</v>
      </c>
      <c r="BQ1143" s="15"/>
      <c r="BR1143" s="15">
        <v>45900.535115740742</v>
      </c>
      <c r="BS1143" s="10" t="s">
        <v>667</v>
      </c>
      <c r="BT1143" s="10"/>
      <c r="BU1143" s="10"/>
      <c r="BV1143" s="10"/>
      <c r="BW1143" s="10"/>
      <c r="BX1143" s="10"/>
      <c r="BY1143" s="23"/>
      <c r="BZ1143" s="23"/>
      <c r="CA1143" s="19" t="s">
        <v>9024</v>
      </c>
      <c r="CB1143" s="23"/>
      <c r="CC1143" s="23"/>
      <c r="CD1143" s="23"/>
      <c r="CE1143" s="23"/>
      <c r="CF1143" s="23"/>
      <c r="CG1143" s="23"/>
      <c r="CH1143" s="23"/>
      <c r="CI1143" s="23"/>
    </row>
    <row r="1144" spans="1:87" x14ac:dyDescent="0.3">
      <c r="A1144" s="9" t="s">
        <v>9045</v>
      </c>
      <c r="B1144" s="10" t="s">
        <v>9046</v>
      </c>
      <c r="C1144" s="11">
        <v>45900.395833333336</v>
      </c>
      <c r="D1144" s="12">
        <v>1.7361111111111112E-2</v>
      </c>
      <c r="E1144" s="11">
        <v>45900.413194444445</v>
      </c>
      <c r="F1144" s="10" t="s">
        <v>9016</v>
      </c>
      <c r="G1144" s="13" t="b">
        <v>0</v>
      </c>
      <c r="H1144" s="10" t="s">
        <v>9017</v>
      </c>
      <c r="I1144" s="10" t="s">
        <v>212</v>
      </c>
      <c r="J1144" s="13" t="b">
        <v>1</v>
      </c>
      <c r="K1144" s="13" t="b">
        <v>0</v>
      </c>
      <c r="L1144" s="10" t="s">
        <v>124</v>
      </c>
      <c r="M1144" s="10" t="s">
        <v>91</v>
      </c>
      <c r="N1144" s="10" t="s">
        <v>3513</v>
      </c>
      <c r="O1144" s="19" t="s">
        <v>9047</v>
      </c>
      <c r="P1144" s="10"/>
      <c r="Q1144" s="10" t="s">
        <v>94</v>
      </c>
      <c r="R1144" s="10"/>
      <c r="S1144" s="19" t="s">
        <v>9019</v>
      </c>
      <c r="T1144" s="10"/>
      <c r="U1144" s="10"/>
      <c r="V1144" s="10"/>
      <c r="W1144" s="10" t="s">
        <v>9020</v>
      </c>
      <c r="X1144" s="10" t="s">
        <v>130</v>
      </c>
      <c r="Y1144" s="10" t="s">
        <v>130</v>
      </c>
      <c r="Z1144" s="10" t="s">
        <v>99</v>
      </c>
      <c r="AA1144" s="10" t="s">
        <v>131</v>
      </c>
      <c r="AB1144" s="10" t="s">
        <v>9021</v>
      </c>
      <c r="AC1144" s="10" t="s">
        <v>9022</v>
      </c>
      <c r="AD1144" s="10" t="s">
        <v>165</v>
      </c>
      <c r="AE1144" s="10" t="s">
        <v>9048</v>
      </c>
      <c r="AF1144" s="15"/>
      <c r="AG1144" s="10"/>
      <c r="AH1144" s="10"/>
      <c r="AI1144" s="10"/>
      <c r="AJ1144" s="10"/>
      <c r="AK1144" s="10" t="s">
        <v>102</v>
      </c>
      <c r="AL1144" s="10"/>
      <c r="AM1144" s="10"/>
      <c r="AN1144" s="10"/>
      <c r="AO1144" s="13" t="b">
        <v>0</v>
      </c>
      <c r="AP1144" s="10" t="s">
        <v>104</v>
      </c>
      <c r="AQ1144" s="10">
        <f ca="1">IFERROR(__xludf.DUMMYFUNCTION("""COMPUTED_VALUE"""),4534252)</f>
        <v>4534252</v>
      </c>
      <c r="AR1144" s="17">
        <v>182</v>
      </c>
      <c r="AS1144" s="17">
        <v>153</v>
      </c>
      <c r="AT1144" s="17">
        <v>991.75</v>
      </c>
      <c r="AU1144" s="17">
        <v>0</v>
      </c>
      <c r="AV1144" s="17">
        <v>0</v>
      </c>
      <c r="AW1144" s="10" t="s">
        <v>105</v>
      </c>
      <c r="AX1144" s="17">
        <v>71</v>
      </c>
      <c r="AY1144" s="18">
        <v>6.4820261437908497</v>
      </c>
      <c r="AZ1144" s="10"/>
      <c r="BA1144" s="20" t="b">
        <v>0</v>
      </c>
      <c r="BB1144" s="10" t="s">
        <v>9014</v>
      </c>
      <c r="BC1144" s="17">
        <v>182</v>
      </c>
      <c r="BD1144" s="17">
        <v>153</v>
      </c>
      <c r="BE1144" s="17">
        <v>991.75</v>
      </c>
      <c r="BF1144" s="17">
        <v>0</v>
      </c>
      <c r="BG1144" s="11">
        <f ca="1">IFERROR(__xludf.DUMMYFUNCTION("""COMPUTED_VALUE"""),45900.3958333333)</f>
        <v>45900.395833333299</v>
      </c>
      <c r="BH1144" s="17" t="s">
        <v>105</v>
      </c>
      <c r="BI1144" s="17"/>
      <c r="BJ1144" s="15"/>
      <c r="BK1144" s="15"/>
      <c r="BL1144" s="13" t="b">
        <v>0</v>
      </c>
      <c r="BM1144" s="10"/>
      <c r="BN1144" s="10" t="s">
        <v>667</v>
      </c>
      <c r="BO1144" s="11">
        <v>45899.62777777778</v>
      </c>
      <c r="BP1144" s="11">
        <v>45899.628472222219</v>
      </c>
      <c r="BQ1144" s="15"/>
      <c r="BR1144" s="15">
        <v>45900.535324074073</v>
      </c>
      <c r="BS1144" s="10" t="s">
        <v>667</v>
      </c>
      <c r="BT1144" s="10"/>
      <c r="BU1144" s="10"/>
      <c r="BV1144" s="10"/>
      <c r="BW1144" s="10"/>
      <c r="BX1144" s="10"/>
      <c r="BY1144" s="23"/>
      <c r="BZ1144" s="23"/>
      <c r="CA1144" s="19" t="s">
        <v>9024</v>
      </c>
      <c r="CB1144" s="23"/>
      <c r="CC1144" s="23"/>
      <c r="CD1144" s="23"/>
      <c r="CE1144" s="23"/>
      <c r="CF1144" s="23"/>
      <c r="CG1144" s="23"/>
      <c r="CH1144" s="23"/>
      <c r="CI1144" s="23"/>
    </row>
    <row r="1145" spans="1:87" x14ac:dyDescent="0.3">
      <c r="A1145" s="9" t="s">
        <v>9049</v>
      </c>
      <c r="B1145" s="10" t="s">
        <v>9050</v>
      </c>
      <c r="C1145" s="11">
        <v>45900.416666666664</v>
      </c>
      <c r="D1145" s="12">
        <v>1.7361111111111112E-2</v>
      </c>
      <c r="E1145" s="11">
        <v>45900.434027777781</v>
      </c>
      <c r="F1145" s="10" t="s">
        <v>9016</v>
      </c>
      <c r="G1145" s="13" t="b">
        <v>0</v>
      </c>
      <c r="H1145" s="10" t="s">
        <v>9017</v>
      </c>
      <c r="I1145" s="10" t="s">
        <v>212</v>
      </c>
      <c r="J1145" s="13" t="b">
        <v>1</v>
      </c>
      <c r="K1145" s="13" t="b">
        <v>0</v>
      </c>
      <c r="L1145" s="10" t="s">
        <v>124</v>
      </c>
      <c r="M1145" s="10" t="s">
        <v>91</v>
      </c>
      <c r="N1145" s="10" t="s">
        <v>3513</v>
      </c>
      <c r="O1145" s="19" t="s">
        <v>9051</v>
      </c>
      <c r="P1145" s="10"/>
      <c r="Q1145" s="10" t="s">
        <v>94</v>
      </c>
      <c r="R1145" s="10"/>
      <c r="S1145" s="19" t="s">
        <v>9019</v>
      </c>
      <c r="T1145" s="10"/>
      <c r="U1145" s="10"/>
      <c r="V1145" s="10"/>
      <c r="W1145" s="10" t="s">
        <v>9020</v>
      </c>
      <c r="X1145" s="10" t="s">
        <v>130</v>
      </c>
      <c r="Y1145" s="10" t="s">
        <v>130</v>
      </c>
      <c r="Z1145" s="10" t="s">
        <v>99</v>
      </c>
      <c r="AA1145" s="10" t="s">
        <v>131</v>
      </c>
      <c r="AB1145" s="10" t="s">
        <v>9021</v>
      </c>
      <c r="AC1145" s="10" t="s">
        <v>9022</v>
      </c>
      <c r="AD1145" s="10" t="s">
        <v>165</v>
      </c>
      <c r="AE1145" s="10" t="s">
        <v>9052</v>
      </c>
      <c r="AF1145" s="15"/>
      <c r="AG1145" s="10"/>
      <c r="AH1145" s="10"/>
      <c r="AI1145" s="10"/>
      <c r="AJ1145" s="10"/>
      <c r="AK1145" s="10" t="s">
        <v>102</v>
      </c>
      <c r="AL1145" s="10"/>
      <c r="AM1145" s="10"/>
      <c r="AN1145" s="10"/>
      <c r="AO1145" s="13" t="b">
        <v>0</v>
      </c>
      <c r="AP1145" s="10" t="s">
        <v>104</v>
      </c>
      <c r="AQ1145" s="10">
        <f ca="1">IFERROR(__xludf.DUMMYFUNCTION("""COMPUTED_VALUE"""),4534253)</f>
        <v>4534253</v>
      </c>
      <c r="AR1145" s="17">
        <v>213</v>
      </c>
      <c r="AS1145" s="17">
        <v>183</v>
      </c>
      <c r="AT1145" s="17">
        <v>591.75</v>
      </c>
      <c r="AU1145" s="17">
        <v>0</v>
      </c>
      <c r="AV1145" s="17">
        <v>0</v>
      </c>
      <c r="AW1145" s="10" t="s">
        <v>105</v>
      </c>
      <c r="AX1145" s="17">
        <v>84</v>
      </c>
      <c r="AY1145" s="18">
        <v>3.2336065573770494</v>
      </c>
      <c r="AZ1145" s="10"/>
      <c r="BA1145" s="20" t="b">
        <v>0</v>
      </c>
      <c r="BB1145" s="10" t="s">
        <v>9014</v>
      </c>
      <c r="BC1145" s="17">
        <v>213</v>
      </c>
      <c r="BD1145" s="17">
        <v>183</v>
      </c>
      <c r="BE1145" s="17">
        <v>591.75</v>
      </c>
      <c r="BF1145" s="17">
        <v>0</v>
      </c>
      <c r="BG1145" s="11">
        <f ca="1">IFERROR(__xludf.DUMMYFUNCTION("""COMPUTED_VALUE"""),45900.4166666666)</f>
        <v>45900.416666666599</v>
      </c>
      <c r="BH1145" s="17" t="s">
        <v>105</v>
      </c>
      <c r="BI1145" s="17"/>
      <c r="BJ1145" s="15"/>
      <c r="BK1145" s="15"/>
      <c r="BL1145" s="13" t="b">
        <v>0</v>
      </c>
      <c r="BM1145" s="10"/>
      <c r="BN1145" s="10" t="s">
        <v>667</v>
      </c>
      <c r="BO1145" s="11">
        <v>45899.628472222219</v>
      </c>
      <c r="BP1145" s="11">
        <v>45899.628900462965</v>
      </c>
      <c r="BQ1145" s="15"/>
      <c r="BR1145" s="15">
        <v>45900.535474537035</v>
      </c>
      <c r="BS1145" s="10" t="s">
        <v>667</v>
      </c>
      <c r="BT1145" s="10"/>
      <c r="BU1145" s="10"/>
      <c r="BV1145" s="10"/>
      <c r="BW1145" s="10"/>
      <c r="BX1145" s="10"/>
      <c r="BY1145" s="23"/>
      <c r="BZ1145" s="23"/>
      <c r="CA1145" s="19" t="s">
        <v>9024</v>
      </c>
      <c r="CB1145" s="23"/>
      <c r="CC1145" s="23"/>
      <c r="CD1145" s="23"/>
      <c r="CE1145" s="23"/>
      <c r="CF1145" s="23"/>
      <c r="CG1145" s="23"/>
      <c r="CH1145" s="23"/>
      <c r="CI1145" s="23"/>
    </row>
    <row r="1146" spans="1:87" x14ac:dyDescent="0.3">
      <c r="A1146" s="9" t="s">
        <v>9053</v>
      </c>
      <c r="B1146" s="10" t="s">
        <v>9054</v>
      </c>
      <c r="C1146" s="11">
        <v>45900.4375</v>
      </c>
      <c r="D1146" s="12">
        <v>1.7361111111111112E-2</v>
      </c>
      <c r="E1146" s="11">
        <v>45900.454861111109</v>
      </c>
      <c r="F1146" s="10" t="s">
        <v>9016</v>
      </c>
      <c r="G1146" s="13" t="b">
        <v>0</v>
      </c>
      <c r="H1146" s="10" t="s">
        <v>9017</v>
      </c>
      <c r="I1146" s="10" t="s">
        <v>212</v>
      </c>
      <c r="J1146" s="13" t="b">
        <v>1</v>
      </c>
      <c r="K1146" s="13" t="b">
        <v>0</v>
      </c>
      <c r="L1146" s="10" t="s">
        <v>124</v>
      </c>
      <c r="M1146" s="10" t="s">
        <v>91</v>
      </c>
      <c r="N1146" s="10" t="s">
        <v>3513</v>
      </c>
      <c r="O1146" s="19" t="s">
        <v>9055</v>
      </c>
      <c r="P1146" s="10"/>
      <c r="Q1146" s="10" t="s">
        <v>94</v>
      </c>
      <c r="R1146" s="10"/>
      <c r="S1146" s="19" t="s">
        <v>9019</v>
      </c>
      <c r="T1146" s="10"/>
      <c r="U1146" s="10"/>
      <c r="V1146" s="10"/>
      <c r="W1146" s="10" t="s">
        <v>9020</v>
      </c>
      <c r="X1146" s="10" t="s">
        <v>130</v>
      </c>
      <c r="Y1146" s="10" t="s">
        <v>130</v>
      </c>
      <c r="Z1146" s="10" t="s">
        <v>99</v>
      </c>
      <c r="AA1146" s="10" t="s">
        <v>131</v>
      </c>
      <c r="AB1146" s="10" t="s">
        <v>9021</v>
      </c>
      <c r="AC1146" s="10" t="s">
        <v>9022</v>
      </c>
      <c r="AD1146" s="10" t="s">
        <v>165</v>
      </c>
      <c r="AE1146" s="10" t="s">
        <v>9056</v>
      </c>
      <c r="AF1146" s="15"/>
      <c r="AG1146" s="10"/>
      <c r="AH1146" s="10"/>
      <c r="AI1146" s="10"/>
      <c r="AJ1146" s="10"/>
      <c r="AK1146" s="10" t="s">
        <v>102</v>
      </c>
      <c r="AL1146" s="10"/>
      <c r="AM1146" s="10"/>
      <c r="AN1146" s="10"/>
      <c r="AO1146" s="13" t="b">
        <v>0</v>
      </c>
      <c r="AP1146" s="10" t="s">
        <v>104</v>
      </c>
      <c r="AQ1146" s="10">
        <f ca="1">IFERROR(__xludf.DUMMYFUNCTION("""COMPUTED_VALUE"""),4534254)</f>
        <v>4534254</v>
      </c>
      <c r="AR1146" s="17">
        <v>207</v>
      </c>
      <c r="AS1146" s="17">
        <v>173</v>
      </c>
      <c r="AT1146" s="17">
        <v>679</v>
      </c>
      <c r="AU1146" s="17">
        <v>0</v>
      </c>
      <c r="AV1146" s="17">
        <v>0</v>
      </c>
      <c r="AW1146" s="10" t="s">
        <v>105</v>
      </c>
      <c r="AX1146" s="17">
        <v>74</v>
      </c>
      <c r="AY1146" s="18">
        <v>3.9248554913294798</v>
      </c>
      <c r="AZ1146" s="10"/>
      <c r="BA1146" s="20" t="b">
        <v>0</v>
      </c>
      <c r="BB1146" s="10" t="s">
        <v>9014</v>
      </c>
      <c r="BC1146" s="17">
        <v>207</v>
      </c>
      <c r="BD1146" s="17">
        <v>173</v>
      </c>
      <c r="BE1146" s="17">
        <v>679</v>
      </c>
      <c r="BF1146" s="17">
        <v>0</v>
      </c>
      <c r="BG1146" s="11">
        <f ca="1">IFERROR(__xludf.DUMMYFUNCTION("""COMPUTED_VALUE"""),45900.4375)</f>
        <v>45900.4375</v>
      </c>
      <c r="BH1146" s="17" t="s">
        <v>105</v>
      </c>
      <c r="BI1146" s="17"/>
      <c r="BJ1146" s="15"/>
      <c r="BK1146" s="15"/>
      <c r="BL1146" s="13" t="b">
        <v>0</v>
      </c>
      <c r="BM1146" s="10"/>
      <c r="BN1146" s="10" t="s">
        <v>667</v>
      </c>
      <c r="BO1146" s="11">
        <v>45899.628472222219</v>
      </c>
      <c r="BP1146" s="11">
        <v>45899.629236111112</v>
      </c>
      <c r="BQ1146" s="15"/>
      <c r="BR1146" s="15">
        <v>45900.537476851852</v>
      </c>
      <c r="BS1146" s="10" t="s">
        <v>667</v>
      </c>
      <c r="BT1146" s="10"/>
      <c r="BU1146" s="10"/>
      <c r="BV1146" s="10"/>
      <c r="BW1146" s="10"/>
      <c r="BX1146" s="10"/>
      <c r="BY1146" s="23"/>
      <c r="BZ1146" s="23"/>
      <c r="CA1146" s="19" t="s">
        <v>9024</v>
      </c>
      <c r="CB1146" s="23"/>
      <c r="CC1146" s="23"/>
      <c r="CD1146" s="23"/>
      <c r="CE1146" s="23"/>
      <c r="CF1146" s="23"/>
      <c r="CG1146" s="23"/>
      <c r="CH1146" s="23"/>
      <c r="CI1146" s="23"/>
    </row>
    <row r="1147" spans="1:87" x14ac:dyDescent="0.3">
      <c r="A1147" s="9" t="s">
        <v>9057</v>
      </c>
      <c r="B1147" s="10" t="s">
        <v>9058</v>
      </c>
      <c r="C1147" s="11">
        <v>45900.458333333336</v>
      </c>
      <c r="D1147" s="12">
        <v>1.7361111111111112E-2</v>
      </c>
      <c r="E1147" s="11">
        <v>45900.475694444445</v>
      </c>
      <c r="F1147" s="10" t="s">
        <v>9016</v>
      </c>
      <c r="G1147" s="13" t="b">
        <v>0</v>
      </c>
      <c r="H1147" s="10" t="s">
        <v>9017</v>
      </c>
      <c r="I1147" s="10" t="s">
        <v>212</v>
      </c>
      <c r="J1147" s="13" t="b">
        <v>1</v>
      </c>
      <c r="K1147" s="13" t="b">
        <v>0</v>
      </c>
      <c r="L1147" s="10" t="s">
        <v>124</v>
      </c>
      <c r="M1147" s="10" t="s">
        <v>91</v>
      </c>
      <c r="N1147" s="10" t="s">
        <v>3513</v>
      </c>
      <c r="O1147" s="19" t="s">
        <v>9059</v>
      </c>
      <c r="P1147" s="10"/>
      <c r="Q1147" s="10" t="s">
        <v>94</v>
      </c>
      <c r="R1147" s="10"/>
      <c r="S1147" s="19" t="s">
        <v>9019</v>
      </c>
      <c r="T1147" s="10"/>
      <c r="U1147" s="10"/>
      <c r="V1147" s="10"/>
      <c r="W1147" s="10" t="s">
        <v>9020</v>
      </c>
      <c r="X1147" s="10" t="s">
        <v>130</v>
      </c>
      <c r="Y1147" s="10" t="s">
        <v>130</v>
      </c>
      <c r="Z1147" s="10" t="s">
        <v>99</v>
      </c>
      <c r="AA1147" s="10" t="s">
        <v>131</v>
      </c>
      <c r="AB1147" s="10" t="s">
        <v>9021</v>
      </c>
      <c r="AC1147" s="10" t="s">
        <v>9022</v>
      </c>
      <c r="AD1147" s="10" t="s">
        <v>165</v>
      </c>
      <c r="AE1147" s="10" t="s">
        <v>9060</v>
      </c>
      <c r="AF1147" s="15"/>
      <c r="AG1147" s="10"/>
      <c r="AH1147" s="10"/>
      <c r="AI1147" s="10"/>
      <c r="AJ1147" s="10"/>
      <c r="AK1147" s="10" t="s">
        <v>102</v>
      </c>
      <c r="AL1147" s="10"/>
      <c r="AM1147" s="10"/>
      <c r="AN1147" s="10"/>
      <c r="AO1147" s="13" t="b">
        <v>0</v>
      </c>
      <c r="AP1147" s="10" t="s">
        <v>104</v>
      </c>
      <c r="AQ1147" s="10">
        <f ca="1">IFERROR(__xludf.DUMMYFUNCTION("""COMPUTED_VALUE"""),4534256)</f>
        <v>4534256</v>
      </c>
      <c r="AR1147" s="17">
        <v>201</v>
      </c>
      <c r="AS1147" s="17">
        <v>162</v>
      </c>
      <c r="AT1147" s="17">
        <v>853</v>
      </c>
      <c r="AU1147" s="17">
        <v>0</v>
      </c>
      <c r="AV1147" s="17">
        <v>0</v>
      </c>
      <c r="AW1147" s="10" t="s">
        <v>105</v>
      </c>
      <c r="AX1147" s="17">
        <v>72</v>
      </c>
      <c r="AY1147" s="18">
        <v>5.2654320987654319</v>
      </c>
      <c r="AZ1147" s="10"/>
      <c r="BA1147" s="20" t="b">
        <v>0</v>
      </c>
      <c r="BB1147" s="10" t="s">
        <v>9014</v>
      </c>
      <c r="BC1147" s="17">
        <v>201</v>
      </c>
      <c r="BD1147" s="17">
        <v>162</v>
      </c>
      <c r="BE1147" s="17">
        <v>853</v>
      </c>
      <c r="BF1147" s="17">
        <v>0</v>
      </c>
      <c r="BG1147" s="11">
        <f ca="1">IFERROR(__xludf.DUMMYFUNCTION("""COMPUTED_VALUE"""),45900.4583333333)</f>
        <v>45900.458333333299</v>
      </c>
      <c r="BH1147" s="17" t="s">
        <v>105</v>
      </c>
      <c r="BI1147" s="17"/>
      <c r="BJ1147" s="15"/>
      <c r="BK1147" s="15"/>
      <c r="BL1147" s="13" t="b">
        <v>0</v>
      </c>
      <c r="BM1147" s="10"/>
      <c r="BN1147" s="10" t="s">
        <v>667</v>
      </c>
      <c r="BO1147" s="11">
        <v>45899.629166666666</v>
      </c>
      <c r="BP1147" s="11">
        <v>45899.629571759258</v>
      </c>
      <c r="BQ1147" s="15"/>
      <c r="BR1147" s="15">
        <v>45900.537627314814</v>
      </c>
      <c r="BS1147" s="10" t="s">
        <v>667</v>
      </c>
      <c r="BT1147" s="10"/>
      <c r="BU1147" s="10"/>
      <c r="BV1147" s="10"/>
      <c r="BW1147" s="10"/>
      <c r="BX1147" s="10"/>
      <c r="BY1147" s="23"/>
      <c r="BZ1147" s="23"/>
      <c r="CA1147" s="19" t="s">
        <v>9024</v>
      </c>
      <c r="CB1147" s="23"/>
      <c r="CC1147" s="23"/>
      <c r="CD1147" s="23"/>
      <c r="CE1147" s="23"/>
      <c r="CF1147" s="23"/>
      <c r="CG1147" s="23"/>
      <c r="CH1147" s="23"/>
      <c r="CI1147" s="23"/>
    </row>
    <row r="1148" spans="1:87" x14ac:dyDescent="0.3">
      <c r="A1148" s="9" t="s">
        <v>9061</v>
      </c>
      <c r="B1148" s="10" t="s">
        <v>9062</v>
      </c>
      <c r="C1148" s="11">
        <v>45900.489583333336</v>
      </c>
      <c r="D1148" s="12">
        <v>2.4305555555555556E-2</v>
      </c>
      <c r="E1148" s="11">
        <v>45900.513888888891</v>
      </c>
      <c r="F1148" s="10" t="s">
        <v>9016</v>
      </c>
      <c r="G1148" s="13" t="b">
        <v>0</v>
      </c>
      <c r="H1148" s="10" t="s">
        <v>9017</v>
      </c>
      <c r="I1148" s="10" t="s">
        <v>212</v>
      </c>
      <c r="J1148" s="13" t="b">
        <v>1</v>
      </c>
      <c r="K1148" s="13" t="b">
        <v>0</v>
      </c>
      <c r="L1148" s="10" t="s">
        <v>124</v>
      </c>
      <c r="M1148" s="10" t="s">
        <v>91</v>
      </c>
      <c r="N1148" s="10" t="s">
        <v>3513</v>
      </c>
      <c r="O1148" s="19" t="s">
        <v>9063</v>
      </c>
      <c r="P1148" s="10"/>
      <c r="Q1148" s="10" t="s">
        <v>94</v>
      </c>
      <c r="R1148" s="10"/>
      <c r="S1148" s="19" t="s">
        <v>9019</v>
      </c>
      <c r="T1148" s="10"/>
      <c r="U1148" s="10"/>
      <c r="V1148" s="10"/>
      <c r="W1148" s="10" t="s">
        <v>9020</v>
      </c>
      <c r="X1148" s="10" t="s">
        <v>130</v>
      </c>
      <c r="Y1148" s="10" t="s">
        <v>130</v>
      </c>
      <c r="Z1148" s="10" t="s">
        <v>99</v>
      </c>
      <c r="AA1148" s="10" t="s">
        <v>131</v>
      </c>
      <c r="AB1148" s="10" t="s">
        <v>9021</v>
      </c>
      <c r="AC1148" s="10" t="s">
        <v>9022</v>
      </c>
      <c r="AD1148" s="10" t="s">
        <v>165</v>
      </c>
      <c r="AE1148" s="10" t="s">
        <v>9064</v>
      </c>
      <c r="AF1148" s="15"/>
      <c r="AG1148" s="10"/>
      <c r="AH1148" s="10"/>
      <c r="AI1148" s="10"/>
      <c r="AJ1148" s="10"/>
      <c r="AK1148" s="10" t="s">
        <v>102</v>
      </c>
      <c r="AL1148" s="10"/>
      <c r="AM1148" s="10"/>
      <c r="AN1148" s="10"/>
      <c r="AO1148" s="13" t="b">
        <v>0</v>
      </c>
      <c r="AP1148" s="10" t="s">
        <v>104</v>
      </c>
      <c r="AQ1148" s="10">
        <f ca="1">IFERROR(__xludf.DUMMYFUNCTION("""COMPUTED_VALUE"""),4534255)</f>
        <v>4534255</v>
      </c>
      <c r="AR1148" s="17">
        <v>267</v>
      </c>
      <c r="AS1148" s="17">
        <v>215</v>
      </c>
      <c r="AT1148" s="17">
        <v>1446</v>
      </c>
      <c r="AU1148" s="17">
        <v>0</v>
      </c>
      <c r="AV1148" s="17">
        <v>0</v>
      </c>
      <c r="AW1148" s="10" t="s">
        <v>105</v>
      </c>
      <c r="AX1148" s="17">
        <v>67</v>
      </c>
      <c r="AY1148" s="18">
        <v>6.7255813953488373</v>
      </c>
      <c r="AZ1148" s="10"/>
      <c r="BA1148" s="20" t="b">
        <v>0</v>
      </c>
      <c r="BB1148" s="10" t="s">
        <v>9014</v>
      </c>
      <c r="BC1148" s="17">
        <v>267</v>
      </c>
      <c r="BD1148" s="17">
        <v>215</v>
      </c>
      <c r="BE1148" s="17">
        <v>1446</v>
      </c>
      <c r="BF1148" s="17">
        <v>0</v>
      </c>
      <c r="BG1148" s="11">
        <f ca="1">IFERROR(__xludf.DUMMYFUNCTION("""COMPUTED_VALUE"""),45900.4895833333)</f>
        <v>45900.489583333299</v>
      </c>
      <c r="BH1148" s="17" t="s">
        <v>105</v>
      </c>
      <c r="BI1148" s="17"/>
      <c r="BJ1148" s="15"/>
      <c r="BK1148" s="15"/>
      <c r="BL1148" s="13" t="b">
        <v>0</v>
      </c>
      <c r="BM1148" s="10"/>
      <c r="BN1148" s="10" t="s">
        <v>667</v>
      </c>
      <c r="BO1148" s="11">
        <v>45899.631249999999</v>
      </c>
      <c r="BP1148" s="11">
        <v>45899.632314814815</v>
      </c>
      <c r="BQ1148" s="15"/>
      <c r="BR1148" s="15">
        <v>45900.537789351853</v>
      </c>
      <c r="BS1148" s="10" t="s">
        <v>667</v>
      </c>
      <c r="BT1148" s="10"/>
      <c r="BU1148" s="10"/>
      <c r="BV1148" s="10"/>
      <c r="BW1148" s="10"/>
      <c r="BX1148" s="10"/>
      <c r="BY1148" s="23"/>
      <c r="BZ1148" s="23"/>
      <c r="CA1148" s="19" t="s">
        <v>9024</v>
      </c>
      <c r="CB1148" s="23"/>
      <c r="CC1148" s="23"/>
      <c r="CD1148" s="23"/>
      <c r="CE1148" s="23"/>
      <c r="CF1148" s="23"/>
      <c r="CG1148" s="23"/>
      <c r="CH1148" s="23"/>
      <c r="CI1148" s="23"/>
    </row>
    <row r="1149" spans="1:87" x14ac:dyDescent="0.3">
      <c r="A1149" s="9" t="s">
        <v>9065</v>
      </c>
      <c r="B1149" s="10" t="s">
        <v>9066</v>
      </c>
      <c r="C1149" s="11">
        <v>45900.517361111109</v>
      </c>
      <c r="D1149" s="12">
        <v>2.4305555555555556E-2</v>
      </c>
      <c r="E1149" s="11">
        <v>45900.541666666664</v>
      </c>
      <c r="F1149" s="10" t="s">
        <v>9016</v>
      </c>
      <c r="G1149" s="13" t="b">
        <v>0</v>
      </c>
      <c r="H1149" s="10" t="s">
        <v>9017</v>
      </c>
      <c r="I1149" s="10" t="s">
        <v>212</v>
      </c>
      <c r="J1149" s="13" t="b">
        <v>1</v>
      </c>
      <c r="K1149" s="13" t="b">
        <v>0</v>
      </c>
      <c r="L1149" s="10" t="s">
        <v>124</v>
      </c>
      <c r="M1149" s="10" t="s">
        <v>91</v>
      </c>
      <c r="N1149" s="10" t="s">
        <v>3513</v>
      </c>
      <c r="O1149" s="19" t="s">
        <v>9067</v>
      </c>
      <c r="P1149" s="10"/>
      <c r="Q1149" s="10" t="s">
        <v>94</v>
      </c>
      <c r="R1149" s="10"/>
      <c r="S1149" s="19" t="s">
        <v>9019</v>
      </c>
      <c r="T1149" s="10"/>
      <c r="U1149" s="10"/>
      <c r="V1149" s="10"/>
      <c r="W1149" s="10" t="s">
        <v>9020</v>
      </c>
      <c r="X1149" s="10" t="s">
        <v>130</v>
      </c>
      <c r="Y1149" s="10" t="s">
        <v>130</v>
      </c>
      <c r="Z1149" s="10" t="s">
        <v>99</v>
      </c>
      <c r="AA1149" s="10" t="s">
        <v>131</v>
      </c>
      <c r="AB1149" s="10" t="s">
        <v>9021</v>
      </c>
      <c r="AC1149" s="10" t="s">
        <v>9022</v>
      </c>
      <c r="AD1149" s="10" t="s">
        <v>165</v>
      </c>
      <c r="AE1149" s="10" t="s">
        <v>9068</v>
      </c>
      <c r="AF1149" s="15"/>
      <c r="AG1149" s="10"/>
      <c r="AH1149" s="10"/>
      <c r="AI1149" s="10"/>
      <c r="AJ1149" s="10"/>
      <c r="AK1149" s="10" t="s">
        <v>102</v>
      </c>
      <c r="AL1149" s="10"/>
      <c r="AM1149" s="10"/>
      <c r="AN1149" s="10"/>
      <c r="AO1149" s="13" t="b">
        <v>0</v>
      </c>
      <c r="AP1149" s="10" t="s">
        <v>104</v>
      </c>
      <c r="AQ1149" s="10">
        <f ca="1">IFERROR(__xludf.DUMMYFUNCTION("""COMPUTED_VALUE"""),4534257)</f>
        <v>4534257</v>
      </c>
      <c r="AR1149" s="17">
        <v>325</v>
      </c>
      <c r="AS1149" s="17">
        <v>261</v>
      </c>
      <c r="AT1149" s="17">
        <v>1749.75</v>
      </c>
      <c r="AU1149" s="17">
        <v>0</v>
      </c>
      <c r="AV1149" s="17">
        <v>0</v>
      </c>
      <c r="AW1149" s="10" t="s">
        <v>105</v>
      </c>
      <c r="AX1149" s="17">
        <v>99</v>
      </c>
      <c r="AY1149" s="18">
        <v>6.7040229885057467</v>
      </c>
      <c r="AZ1149" s="10"/>
      <c r="BA1149" s="20" t="b">
        <v>0</v>
      </c>
      <c r="BB1149" s="10" t="s">
        <v>9014</v>
      </c>
      <c r="BC1149" s="17">
        <v>325</v>
      </c>
      <c r="BD1149" s="17">
        <v>261</v>
      </c>
      <c r="BE1149" s="17">
        <v>1749.75</v>
      </c>
      <c r="BF1149" s="17">
        <v>0</v>
      </c>
      <c r="BG1149" s="11">
        <f ca="1">IFERROR(__xludf.DUMMYFUNCTION("""COMPUTED_VALUE"""),45900.5173611111)</f>
        <v>45900.517361111102</v>
      </c>
      <c r="BH1149" s="17" t="s">
        <v>105</v>
      </c>
      <c r="BI1149" s="17"/>
      <c r="BJ1149" s="15"/>
      <c r="BK1149" s="15"/>
      <c r="BL1149" s="13" t="b">
        <v>0</v>
      </c>
      <c r="BM1149" s="10"/>
      <c r="BN1149" s="10" t="s">
        <v>667</v>
      </c>
      <c r="BO1149" s="11">
        <v>45899.631249999999</v>
      </c>
      <c r="BP1149" s="11">
        <v>45899.632638888892</v>
      </c>
      <c r="BQ1149" s="15"/>
      <c r="BR1149" s="15">
        <v>45900.537939814814</v>
      </c>
      <c r="BS1149" s="10" t="s">
        <v>667</v>
      </c>
      <c r="BT1149" s="10"/>
      <c r="BU1149" s="10"/>
      <c r="BV1149" s="10"/>
      <c r="BW1149" s="10"/>
      <c r="BX1149" s="10"/>
      <c r="BY1149" s="23"/>
      <c r="BZ1149" s="23"/>
      <c r="CA1149" s="19" t="s">
        <v>9024</v>
      </c>
      <c r="CB1149" s="23"/>
      <c r="CC1149" s="23"/>
      <c r="CD1149" s="23"/>
      <c r="CE1149" s="23"/>
      <c r="CF1149" s="23"/>
      <c r="CG1149" s="23"/>
      <c r="CH1149" s="23"/>
      <c r="CI1149" s="23"/>
    </row>
    <row r="1150" spans="1:87" x14ac:dyDescent="0.3">
      <c r="A1150" s="9" t="s">
        <v>9069</v>
      </c>
      <c r="B1150" s="10" t="s">
        <v>9070</v>
      </c>
      <c r="C1150" s="11">
        <v>45900.545138888891</v>
      </c>
      <c r="D1150" s="12">
        <v>2.4305555555555556E-2</v>
      </c>
      <c r="E1150" s="11">
        <v>45900.569444444445</v>
      </c>
      <c r="F1150" s="10" t="s">
        <v>9016</v>
      </c>
      <c r="G1150" s="13" t="b">
        <v>0</v>
      </c>
      <c r="H1150" s="10" t="s">
        <v>9017</v>
      </c>
      <c r="I1150" s="10" t="s">
        <v>212</v>
      </c>
      <c r="J1150" s="13" t="b">
        <v>1</v>
      </c>
      <c r="K1150" s="13" t="b">
        <v>0</v>
      </c>
      <c r="L1150" s="10" t="s">
        <v>124</v>
      </c>
      <c r="M1150" s="10" t="s">
        <v>91</v>
      </c>
      <c r="N1150" s="10" t="s">
        <v>3513</v>
      </c>
      <c r="O1150" s="19" t="s">
        <v>9071</v>
      </c>
      <c r="P1150" s="10"/>
      <c r="Q1150" s="10" t="s">
        <v>94</v>
      </c>
      <c r="R1150" s="10"/>
      <c r="S1150" s="19" t="s">
        <v>9019</v>
      </c>
      <c r="T1150" s="10"/>
      <c r="U1150" s="10"/>
      <c r="V1150" s="10"/>
      <c r="W1150" s="10" t="s">
        <v>9020</v>
      </c>
      <c r="X1150" s="10" t="s">
        <v>130</v>
      </c>
      <c r="Y1150" s="10" t="s">
        <v>130</v>
      </c>
      <c r="Z1150" s="10" t="s">
        <v>99</v>
      </c>
      <c r="AA1150" s="10" t="s">
        <v>131</v>
      </c>
      <c r="AB1150" s="10" t="s">
        <v>9021</v>
      </c>
      <c r="AC1150" s="10" t="s">
        <v>9022</v>
      </c>
      <c r="AD1150" s="10" t="s">
        <v>165</v>
      </c>
      <c r="AE1150" s="10" t="s">
        <v>9072</v>
      </c>
      <c r="AF1150" s="15"/>
      <c r="AG1150" s="10"/>
      <c r="AH1150" s="10"/>
      <c r="AI1150" s="10"/>
      <c r="AJ1150" s="10"/>
      <c r="AK1150" s="10" t="s">
        <v>102</v>
      </c>
      <c r="AL1150" s="10"/>
      <c r="AM1150" s="10"/>
      <c r="AN1150" s="10"/>
      <c r="AO1150" s="13" t="b">
        <v>0</v>
      </c>
      <c r="AP1150" s="10" t="s">
        <v>104</v>
      </c>
      <c r="AQ1150" s="10">
        <f ca="1">IFERROR(__xludf.DUMMYFUNCTION("""COMPUTED_VALUE"""),4534258)</f>
        <v>4534258</v>
      </c>
      <c r="AR1150" s="17">
        <v>300</v>
      </c>
      <c r="AS1150" s="17">
        <v>229</v>
      </c>
      <c r="AT1150" s="17">
        <v>2051.5</v>
      </c>
      <c r="AU1150" s="17">
        <v>0</v>
      </c>
      <c r="AV1150" s="17">
        <v>0</v>
      </c>
      <c r="AW1150" s="10" t="s">
        <v>105</v>
      </c>
      <c r="AX1150" s="17">
        <v>105</v>
      </c>
      <c r="AY1150" s="18">
        <v>8.9585152838427948</v>
      </c>
      <c r="AZ1150" s="10"/>
      <c r="BA1150" s="20" t="b">
        <v>0</v>
      </c>
      <c r="BB1150" s="10" t="s">
        <v>9014</v>
      </c>
      <c r="BC1150" s="17">
        <v>300</v>
      </c>
      <c r="BD1150" s="17">
        <v>229</v>
      </c>
      <c r="BE1150" s="17">
        <v>2051.5</v>
      </c>
      <c r="BF1150" s="17">
        <v>0</v>
      </c>
      <c r="BG1150" s="11">
        <f ca="1">IFERROR(__xludf.DUMMYFUNCTION("""COMPUTED_VALUE"""),45900.5451388888)</f>
        <v>45900.545138888803</v>
      </c>
      <c r="BH1150" s="17" t="s">
        <v>105</v>
      </c>
      <c r="BI1150" s="17"/>
      <c r="BJ1150" s="15"/>
      <c r="BK1150" s="15"/>
      <c r="BL1150" s="13" t="b">
        <v>0</v>
      </c>
      <c r="BM1150" s="10"/>
      <c r="BN1150" s="10" t="s">
        <v>667</v>
      </c>
      <c r="BO1150" s="11">
        <v>45899.632638888892</v>
      </c>
      <c r="BP1150" s="11">
        <v>45899.633032407408</v>
      </c>
      <c r="BQ1150" s="15"/>
      <c r="BR1150" s="15">
        <v>45900.538090277776</v>
      </c>
      <c r="BS1150" s="10" t="s">
        <v>667</v>
      </c>
      <c r="BT1150" s="10"/>
      <c r="BU1150" s="10"/>
      <c r="BV1150" s="10"/>
      <c r="BW1150" s="10"/>
      <c r="BX1150" s="10"/>
      <c r="BY1150" s="23"/>
      <c r="BZ1150" s="23"/>
      <c r="CA1150" s="19" t="s">
        <v>9024</v>
      </c>
      <c r="CB1150" s="23"/>
      <c r="CC1150" s="23"/>
      <c r="CD1150" s="23"/>
      <c r="CE1150" s="23"/>
      <c r="CF1150" s="23"/>
      <c r="CG1150" s="23"/>
      <c r="CH1150" s="23"/>
      <c r="CI1150" s="23"/>
    </row>
    <row r="1151" spans="1:87" x14ac:dyDescent="0.3">
      <c r="A1151" s="9" t="s">
        <v>9073</v>
      </c>
      <c r="B1151" s="10" t="s">
        <v>9074</v>
      </c>
      <c r="C1151" s="11">
        <v>45900.572916666664</v>
      </c>
      <c r="D1151" s="12">
        <v>2.4305555555555556E-2</v>
      </c>
      <c r="E1151" s="11">
        <v>45900.597222222219</v>
      </c>
      <c r="F1151" s="10" t="s">
        <v>9016</v>
      </c>
      <c r="G1151" s="13" t="b">
        <v>0</v>
      </c>
      <c r="H1151" s="10" t="s">
        <v>9017</v>
      </c>
      <c r="I1151" s="10" t="s">
        <v>212</v>
      </c>
      <c r="J1151" s="13" t="b">
        <v>1</v>
      </c>
      <c r="K1151" s="13" t="b">
        <v>0</v>
      </c>
      <c r="L1151" s="10" t="s">
        <v>124</v>
      </c>
      <c r="M1151" s="10" t="s">
        <v>91</v>
      </c>
      <c r="N1151" s="10" t="s">
        <v>3513</v>
      </c>
      <c r="O1151" s="19" t="s">
        <v>9075</v>
      </c>
      <c r="P1151" s="10"/>
      <c r="Q1151" s="10" t="s">
        <v>94</v>
      </c>
      <c r="R1151" s="10"/>
      <c r="S1151" s="19" t="s">
        <v>9019</v>
      </c>
      <c r="T1151" s="10"/>
      <c r="U1151" s="10"/>
      <c r="V1151" s="10"/>
      <c r="W1151" s="10" t="s">
        <v>9020</v>
      </c>
      <c r="X1151" s="10" t="s">
        <v>130</v>
      </c>
      <c r="Y1151" s="10" t="s">
        <v>130</v>
      </c>
      <c r="Z1151" s="10" t="s">
        <v>99</v>
      </c>
      <c r="AA1151" s="10" t="s">
        <v>131</v>
      </c>
      <c r="AB1151" s="10" t="s">
        <v>9021</v>
      </c>
      <c r="AC1151" s="10" t="s">
        <v>9022</v>
      </c>
      <c r="AD1151" s="10" t="s">
        <v>165</v>
      </c>
      <c r="AE1151" s="10" t="s">
        <v>9076</v>
      </c>
      <c r="AF1151" s="15"/>
      <c r="AG1151" s="10"/>
      <c r="AH1151" s="10"/>
      <c r="AI1151" s="10"/>
      <c r="AJ1151" s="10"/>
      <c r="AK1151" s="10" t="s">
        <v>102</v>
      </c>
      <c r="AL1151" s="10"/>
      <c r="AM1151" s="10"/>
      <c r="AN1151" s="10"/>
      <c r="AO1151" s="13" t="b">
        <v>0</v>
      </c>
      <c r="AP1151" s="10" t="s">
        <v>104</v>
      </c>
      <c r="AQ1151" s="10">
        <f ca="1">IFERROR(__xludf.DUMMYFUNCTION("""COMPUTED_VALUE"""),4534259)</f>
        <v>4534259</v>
      </c>
      <c r="AR1151" s="17">
        <v>207</v>
      </c>
      <c r="AS1151" s="17">
        <v>164</v>
      </c>
      <c r="AT1151" s="17">
        <v>1279</v>
      </c>
      <c r="AU1151" s="17">
        <v>0</v>
      </c>
      <c r="AV1151" s="17">
        <v>0</v>
      </c>
      <c r="AW1151" s="10" t="s">
        <v>105</v>
      </c>
      <c r="AX1151" s="17">
        <v>85</v>
      </c>
      <c r="AY1151" s="18">
        <v>7.7987804878048781</v>
      </c>
      <c r="AZ1151" s="10"/>
      <c r="BA1151" s="20" t="b">
        <v>0</v>
      </c>
      <c r="BB1151" s="10" t="s">
        <v>9014</v>
      </c>
      <c r="BC1151" s="17">
        <v>207</v>
      </c>
      <c r="BD1151" s="17">
        <v>164</v>
      </c>
      <c r="BE1151" s="17">
        <v>1279</v>
      </c>
      <c r="BF1151" s="17">
        <v>0</v>
      </c>
      <c r="BG1151" s="11">
        <f ca="1">IFERROR(__xludf.DUMMYFUNCTION("""COMPUTED_VALUE"""),45900.5729166666)</f>
        <v>45900.572916666599</v>
      </c>
      <c r="BH1151" s="17" t="s">
        <v>105</v>
      </c>
      <c r="BI1151" s="17"/>
      <c r="BJ1151" s="15"/>
      <c r="BK1151" s="15"/>
      <c r="BL1151" s="13" t="b">
        <v>0</v>
      </c>
      <c r="BM1151" s="10"/>
      <c r="BN1151" s="10" t="s">
        <v>667</v>
      </c>
      <c r="BO1151" s="11">
        <v>45899.632638888892</v>
      </c>
      <c r="BP1151" s="11">
        <v>45899.633402777778</v>
      </c>
      <c r="BQ1151" s="15"/>
      <c r="BR1151" s="15">
        <v>45900.538229166668</v>
      </c>
      <c r="BS1151" s="10" t="s">
        <v>667</v>
      </c>
      <c r="BT1151" s="10"/>
      <c r="BU1151" s="10"/>
      <c r="BV1151" s="10"/>
      <c r="BW1151" s="10"/>
      <c r="BX1151" s="10"/>
      <c r="BY1151" s="23"/>
      <c r="BZ1151" s="23"/>
      <c r="CA1151" s="19" t="s">
        <v>9024</v>
      </c>
      <c r="CB1151" s="23"/>
      <c r="CC1151" s="23"/>
      <c r="CD1151" s="23"/>
      <c r="CE1151" s="23"/>
      <c r="CF1151" s="23"/>
      <c r="CG1151" s="23"/>
      <c r="CH1151" s="23"/>
      <c r="CI1151" s="23"/>
    </row>
    <row r="1152" spans="1:87" x14ac:dyDescent="0.3">
      <c r="A1152" s="9" t="s">
        <v>9077</v>
      </c>
      <c r="B1152" s="10" t="s">
        <v>9078</v>
      </c>
      <c r="C1152" s="11">
        <v>45900.600694444445</v>
      </c>
      <c r="D1152" s="12">
        <v>2.4305555555555556E-2</v>
      </c>
      <c r="E1152" s="11">
        <v>45900.625</v>
      </c>
      <c r="F1152" s="10" t="s">
        <v>9016</v>
      </c>
      <c r="G1152" s="13" t="b">
        <v>0</v>
      </c>
      <c r="H1152" s="10" t="s">
        <v>9017</v>
      </c>
      <c r="I1152" s="10" t="s">
        <v>212</v>
      </c>
      <c r="J1152" s="13" t="b">
        <v>1</v>
      </c>
      <c r="K1152" s="13" t="b">
        <v>0</v>
      </c>
      <c r="L1152" s="10" t="s">
        <v>124</v>
      </c>
      <c r="M1152" s="10" t="s">
        <v>91</v>
      </c>
      <c r="N1152" s="10" t="s">
        <v>3513</v>
      </c>
      <c r="O1152" s="19" t="s">
        <v>9079</v>
      </c>
      <c r="P1152" s="10"/>
      <c r="Q1152" s="10" t="s">
        <v>94</v>
      </c>
      <c r="R1152" s="10"/>
      <c r="S1152" s="19" t="s">
        <v>9019</v>
      </c>
      <c r="T1152" s="10"/>
      <c r="U1152" s="10"/>
      <c r="V1152" s="10"/>
      <c r="W1152" s="10" t="s">
        <v>9020</v>
      </c>
      <c r="X1152" s="10" t="s">
        <v>130</v>
      </c>
      <c r="Y1152" s="10" t="s">
        <v>130</v>
      </c>
      <c r="Z1152" s="10" t="s">
        <v>99</v>
      </c>
      <c r="AA1152" s="10" t="s">
        <v>131</v>
      </c>
      <c r="AB1152" s="10" t="s">
        <v>9021</v>
      </c>
      <c r="AC1152" s="10" t="s">
        <v>9022</v>
      </c>
      <c r="AD1152" s="10" t="s">
        <v>165</v>
      </c>
      <c r="AE1152" s="10" t="s">
        <v>9080</v>
      </c>
      <c r="AF1152" s="15"/>
      <c r="AG1152" s="10"/>
      <c r="AH1152" s="10"/>
      <c r="AI1152" s="10"/>
      <c r="AJ1152" s="10"/>
      <c r="AK1152" s="10" t="s">
        <v>102</v>
      </c>
      <c r="AL1152" s="10"/>
      <c r="AM1152" s="10"/>
      <c r="AN1152" s="10"/>
      <c r="AO1152" s="13" t="b">
        <v>0</v>
      </c>
      <c r="AP1152" s="10" t="s">
        <v>104</v>
      </c>
      <c r="AQ1152" s="10">
        <f ca="1">IFERROR(__xludf.DUMMYFUNCTION("""COMPUTED_VALUE"""),4534260)</f>
        <v>4534260</v>
      </c>
      <c r="AR1152" s="21">
        <v>190</v>
      </c>
      <c r="AS1152" s="21">
        <v>158</v>
      </c>
      <c r="AT1152" s="21">
        <v>1408</v>
      </c>
      <c r="AU1152" s="21">
        <v>0</v>
      </c>
      <c r="AV1152" s="21">
        <v>0</v>
      </c>
      <c r="AW1152" s="22" t="s">
        <v>105</v>
      </c>
      <c r="AX1152" s="21">
        <v>69</v>
      </c>
      <c r="AY1152" s="18">
        <v>8.9113924050632907</v>
      </c>
      <c r="AZ1152" s="10"/>
      <c r="BA1152" s="20" t="b">
        <v>0</v>
      </c>
      <c r="BB1152" s="10" t="s">
        <v>9014</v>
      </c>
      <c r="BC1152" s="17">
        <v>190</v>
      </c>
      <c r="BD1152" s="17">
        <v>158</v>
      </c>
      <c r="BE1152" s="17">
        <v>1408</v>
      </c>
      <c r="BF1152" s="17">
        <v>0</v>
      </c>
      <c r="BG1152" s="11">
        <f ca="1">IFERROR(__xludf.DUMMYFUNCTION("""COMPUTED_VALUE"""),45900.6006944444)</f>
        <v>45900.600694444402</v>
      </c>
      <c r="BH1152" s="17" t="s">
        <v>105</v>
      </c>
      <c r="BI1152" s="17"/>
      <c r="BJ1152" s="15"/>
      <c r="BK1152" s="15"/>
      <c r="BL1152" s="13" t="b">
        <v>0</v>
      </c>
      <c r="BM1152" s="10"/>
      <c r="BN1152" s="10" t="s">
        <v>667</v>
      </c>
      <c r="BO1152" s="11">
        <v>45899.633333333331</v>
      </c>
      <c r="BP1152" s="11">
        <v>45899.633715277778</v>
      </c>
      <c r="BQ1152" s="15"/>
      <c r="BR1152" s="15">
        <v>45900.53837962963</v>
      </c>
      <c r="BS1152" s="10" t="s">
        <v>667</v>
      </c>
      <c r="BT1152" s="10"/>
      <c r="BU1152" s="10"/>
      <c r="BV1152" s="10"/>
      <c r="BW1152" s="10"/>
      <c r="BX1152" s="10"/>
      <c r="BY1152" s="23"/>
      <c r="BZ1152" s="23"/>
      <c r="CA1152" s="19" t="s">
        <v>9024</v>
      </c>
      <c r="CB1152" s="23"/>
      <c r="CC1152" s="23"/>
      <c r="CD1152" s="23"/>
      <c r="CE1152" s="23"/>
      <c r="CF1152" s="23"/>
      <c r="CG1152" s="23"/>
      <c r="CH1152" s="23"/>
      <c r="CI1152" s="23"/>
    </row>
    <row r="1153" spans="1:87" x14ac:dyDescent="0.3">
      <c r="A1153" s="9" t="s">
        <v>9081</v>
      </c>
      <c r="B1153" s="10" t="s">
        <v>9082</v>
      </c>
      <c r="C1153" s="11">
        <v>45913.791666666664</v>
      </c>
      <c r="D1153" s="12">
        <v>0.14583333333333334</v>
      </c>
      <c r="E1153" s="11">
        <v>45913.9375</v>
      </c>
      <c r="F1153" s="10" t="s">
        <v>8402</v>
      </c>
      <c r="G1153" s="13" t="b">
        <v>0</v>
      </c>
      <c r="H1153" s="10" t="s">
        <v>8403</v>
      </c>
      <c r="I1153" s="10" t="s">
        <v>212</v>
      </c>
      <c r="J1153" s="13" t="b">
        <v>1</v>
      </c>
      <c r="K1153" s="13" t="b">
        <v>0</v>
      </c>
      <c r="L1153" s="10" t="s">
        <v>124</v>
      </c>
      <c r="M1153" s="10" t="s">
        <v>91</v>
      </c>
      <c r="N1153" s="10" t="s">
        <v>92</v>
      </c>
      <c r="O1153" s="19" t="s">
        <v>9083</v>
      </c>
      <c r="P1153" s="10"/>
      <c r="Q1153" s="10" t="s">
        <v>126</v>
      </c>
      <c r="R1153" s="19" t="s">
        <v>9084</v>
      </c>
      <c r="S1153" s="19" t="s">
        <v>9085</v>
      </c>
      <c r="T1153" s="10"/>
      <c r="U1153" s="10"/>
      <c r="V1153" s="10"/>
      <c r="W1153" s="10" t="s">
        <v>8407</v>
      </c>
      <c r="X1153" s="10" t="s">
        <v>8408</v>
      </c>
      <c r="Y1153" s="10" t="s">
        <v>8409</v>
      </c>
      <c r="Z1153" s="10" t="s">
        <v>99</v>
      </c>
      <c r="AA1153" s="10" t="s">
        <v>100</v>
      </c>
      <c r="AB1153" s="10" t="s">
        <v>8410</v>
      </c>
      <c r="AC1153" s="10"/>
      <c r="AD1153" s="10" t="s">
        <v>165</v>
      </c>
      <c r="AE1153" s="10" t="s">
        <v>9086</v>
      </c>
      <c r="AF1153" s="15"/>
      <c r="AG1153" s="10"/>
      <c r="AH1153" s="10"/>
      <c r="AI1153" s="10"/>
      <c r="AJ1153" s="10" t="s">
        <v>9087</v>
      </c>
      <c r="AK1153" s="10" t="s">
        <v>102</v>
      </c>
      <c r="AL1153" s="10"/>
      <c r="AM1153" s="10"/>
      <c r="AN1153" s="10"/>
      <c r="AO1153" s="13" t="b">
        <v>0</v>
      </c>
      <c r="AP1153" s="10"/>
      <c r="AQ1153" s="10">
        <f ca="1">IFERROR(__xludf.DUMMYFUNCTION("""COMPUTED_VALUE"""),4564978)</f>
        <v>4564978</v>
      </c>
      <c r="AR1153" s="17">
        <v>7514</v>
      </c>
      <c r="AS1153" s="17">
        <v>5579</v>
      </c>
      <c r="AT1153" s="17">
        <v>48073.25</v>
      </c>
      <c r="AU1153" s="17">
        <v>6.7</v>
      </c>
      <c r="AV1153" s="17">
        <v>0.3</v>
      </c>
      <c r="AW1153" s="10" t="s">
        <v>105</v>
      </c>
      <c r="AX1153" s="17">
        <v>752</v>
      </c>
      <c r="AY1153" s="18">
        <v>8.6168220111131024</v>
      </c>
      <c r="AZ1153" s="10" t="s">
        <v>3783</v>
      </c>
      <c r="BA1153" s="20" t="b">
        <v>0</v>
      </c>
      <c r="BB1153" s="10"/>
      <c r="BC1153" s="17">
        <v>7514</v>
      </c>
      <c r="BD1153" s="17">
        <v>5579</v>
      </c>
      <c r="BE1153" s="17">
        <v>48073.25</v>
      </c>
      <c r="BF1153" s="17">
        <v>0.3</v>
      </c>
      <c r="BG1153" s="11">
        <f ca="1">IFERROR(__xludf.DUMMYFUNCTION("""COMPUTED_VALUE"""),45913.7916666666)</f>
        <v>45913.791666666599</v>
      </c>
      <c r="BH1153" s="17" t="s">
        <v>105</v>
      </c>
      <c r="BI1153" s="17"/>
      <c r="BJ1153" s="15"/>
      <c r="BK1153" s="15"/>
      <c r="BL1153" s="13" t="b">
        <v>0</v>
      </c>
      <c r="BM1153" s="10"/>
      <c r="BN1153" s="10" t="s">
        <v>3527</v>
      </c>
      <c r="BO1153" s="11">
        <v>45902.545138888891</v>
      </c>
      <c r="BP1153" s="11">
        <v>45912.662638888891</v>
      </c>
      <c r="BQ1153" s="15">
        <v>45911.635787037034</v>
      </c>
      <c r="BR1153" s="15">
        <v>45911.669293981482</v>
      </c>
      <c r="BS1153" s="10"/>
      <c r="BT1153" s="10"/>
      <c r="BU1153" s="10"/>
      <c r="BV1153" s="10"/>
      <c r="BW1153" s="10"/>
      <c r="BX1153" s="10"/>
      <c r="BY1153" s="23"/>
      <c r="BZ1153" s="23"/>
      <c r="CA1153" s="19" t="s">
        <v>9088</v>
      </c>
      <c r="CB1153" s="23"/>
      <c r="CC1153" s="23"/>
      <c r="CD1153" s="19" t="s">
        <v>9089</v>
      </c>
      <c r="CE1153" s="23"/>
      <c r="CF1153" s="23"/>
      <c r="CG1153" s="23"/>
      <c r="CH1153" s="23"/>
      <c r="CI1153" s="23"/>
    </row>
    <row r="1154" spans="1:87" x14ac:dyDescent="0.3">
      <c r="A1154" s="9" t="s">
        <v>9090</v>
      </c>
      <c r="B1154" s="10" t="s">
        <v>9091</v>
      </c>
      <c r="C1154" s="11">
        <v>45912.625</v>
      </c>
      <c r="D1154" s="12">
        <v>2.0833333333333332E-2</v>
      </c>
      <c r="E1154" s="11">
        <v>45912.645833333336</v>
      </c>
      <c r="F1154" s="10" t="s">
        <v>3511</v>
      </c>
      <c r="G1154" s="13" t="b">
        <v>0</v>
      </c>
      <c r="H1154" s="10" t="s">
        <v>3512</v>
      </c>
      <c r="I1154" s="10" t="s">
        <v>212</v>
      </c>
      <c r="J1154" s="13" t="b">
        <v>1</v>
      </c>
      <c r="K1154" s="13" t="b">
        <v>0</v>
      </c>
      <c r="L1154" s="10" t="s">
        <v>90</v>
      </c>
      <c r="M1154" s="10" t="s">
        <v>91</v>
      </c>
      <c r="N1154" s="10" t="s">
        <v>92</v>
      </c>
      <c r="O1154" s="19" t="s">
        <v>9092</v>
      </c>
      <c r="P1154" s="10"/>
      <c r="Q1154" s="10" t="s">
        <v>94</v>
      </c>
      <c r="R1154" s="10"/>
      <c r="S1154" s="19" t="s">
        <v>9093</v>
      </c>
      <c r="T1154" s="10"/>
      <c r="U1154" s="10" t="s">
        <v>3609</v>
      </c>
      <c r="V1154" s="10" t="s">
        <v>3551</v>
      </c>
      <c r="W1154" s="10" t="s">
        <v>3519</v>
      </c>
      <c r="X1154" s="10" t="s">
        <v>130</v>
      </c>
      <c r="Y1154" s="10" t="s">
        <v>130</v>
      </c>
      <c r="Z1154" s="10" t="s">
        <v>99</v>
      </c>
      <c r="AA1154" s="10" t="s">
        <v>131</v>
      </c>
      <c r="AB1154" s="10" t="s">
        <v>3520</v>
      </c>
      <c r="AC1154" s="10" t="s">
        <v>3521</v>
      </c>
      <c r="AD1154" s="10" t="s">
        <v>9094</v>
      </c>
      <c r="AE1154" s="10" t="s">
        <v>9095</v>
      </c>
      <c r="AF1154" s="15"/>
      <c r="AG1154" s="10"/>
      <c r="AH1154" s="10"/>
      <c r="AI1154" s="10"/>
      <c r="AJ1154" s="10"/>
      <c r="AK1154" s="10" t="s">
        <v>102</v>
      </c>
      <c r="AL1154" s="10"/>
      <c r="AM1154" s="10"/>
      <c r="AN1154" s="10"/>
      <c r="AO1154" s="13" t="b">
        <v>0</v>
      </c>
      <c r="AP1154" s="10" t="s">
        <v>104</v>
      </c>
      <c r="AQ1154" s="10">
        <f ca="1">IFERROR(__xludf.DUMMYFUNCTION("""COMPUTED_VALUE"""),4564970)</f>
        <v>4564970</v>
      </c>
      <c r="AR1154" s="17">
        <v>13940</v>
      </c>
      <c r="AS1154" s="17">
        <v>10113</v>
      </c>
      <c r="AT1154" s="17">
        <v>50478.5</v>
      </c>
      <c r="AU1154" s="17">
        <v>141.44999999999999</v>
      </c>
      <c r="AV1154" s="17">
        <v>29.05</v>
      </c>
      <c r="AW1154" s="10" t="s">
        <v>105</v>
      </c>
      <c r="AX1154" s="17">
        <v>4853</v>
      </c>
      <c r="AY1154" s="18">
        <v>4.9914466528230994</v>
      </c>
      <c r="AZ1154" s="10"/>
      <c r="BA1154" s="20" t="b">
        <v>0</v>
      </c>
      <c r="BB1154" s="10"/>
      <c r="BC1154" s="17">
        <v>13940</v>
      </c>
      <c r="BD1154" s="17">
        <v>10113</v>
      </c>
      <c r="BE1154" s="17">
        <v>50478.5</v>
      </c>
      <c r="BF1154" s="17">
        <v>29.05</v>
      </c>
      <c r="BG1154" s="11">
        <f ca="1">IFERROR(__xludf.DUMMYFUNCTION("""COMPUTED_VALUE"""),45912.625)</f>
        <v>45912.625</v>
      </c>
      <c r="BH1154" s="17" t="s">
        <v>105</v>
      </c>
      <c r="BI1154" s="17"/>
      <c r="BJ1154" s="15"/>
      <c r="BK1154" s="15"/>
      <c r="BL1154" s="13" t="b">
        <v>0</v>
      </c>
      <c r="BM1154" s="10"/>
      <c r="BN1154" s="10" t="s">
        <v>149</v>
      </c>
      <c r="BO1154" s="11">
        <v>45902.674305555556</v>
      </c>
      <c r="BP1154" s="11">
        <v>45902.677303240744</v>
      </c>
      <c r="BQ1154" s="15">
        <v>45911.489062499997</v>
      </c>
      <c r="BR1154" s="15">
        <v>45911.665034722224</v>
      </c>
      <c r="BS1154" s="10" t="s">
        <v>149</v>
      </c>
      <c r="BT1154" s="10"/>
      <c r="BU1154" s="10"/>
      <c r="BV1154" s="10"/>
      <c r="BW1154" s="10"/>
      <c r="BX1154" s="10"/>
      <c r="BY1154" s="23"/>
      <c r="BZ1154" s="23"/>
      <c r="CA1154" s="19" t="s">
        <v>9096</v>
      </c>
      <c r="CB1154" s="23"/>
      <c r="CC1154" s="23"/>
      <c r="CD1154" s="23"/>
      <c r="CE1154" s="23"/>
      <c r="CF1154" s="23"/>
      <c r="CG1154" s="23"/>
      <c r="CH1154" s="23"/>
      <c r="CI1154" s="23"/>
    </row>
    <row r="1155" spans="1:87" x14ac:dyDescent="0.3">
      <c r="A1155" s="9" t="s">
        <v>9097</v>
      </c>
      <c r="B1155" s="10" t="s">
        <v>9098</v>
      </c>
      <c r="C1155" s="11">
        <v>45913.625</v>
      </c>
      <c r="D1155" s="12">
        <v>2.0833333333333332E-2</v>
      </c>
      <c r="E1155" s="11">
        <v>45913.645833333336</v>
      </c>
      <c r="F1155" s="10" t="s">
        <v>3511</v>
      </c>
      <c r="G1155" s="13" t="b">
        <v>0</v>
      </c>
      <c r="H1155" s="10" t="s">
        <v>3512</v>
      </c>
      <c r="I1155" s="10" t="s">
        <v>212</v>
      </c>
      <c r="J1155" s="13" t="b">
        <v>1</v>
      </c>
      <c r="K1155" s="13" t="b">
        <v>0</v>
      </c>
      <c r="L1155" s="10" t="s">
        <v>90</v>
      </c>
      <c r="M1155" s="10" t="s">
        <v>91</v>
      </c>
      <c r="N1155" s="10" t="s">
        <v>92</v>
      </c>
      <c r="O1155" s="19" t="s">
        <v>9099</v>
      </c>
      <c r="P1155" s="10"/>
      <c r="Q1155" s="10" t="s">
        <v>94</v>
      </c>
      <c r="R1155" s="10"/>
      <c r="S1155" s="19" t="s">
        <v>4068</v>
      </c>
      <c r="T1155" s="10"/>
      <c r="U1155" s="10" t="s">
        <v>3676</v>
      </c>
      <c r="V1155" s="10" t="s">
        <v>3622</v>
      </c>
      <c r="W1155" s="10" t="s">
        <v>3519</v>
      </c>
      <c r="X1155" s="10" t="s">
        <v>130</v>
      </c>
      <c r="Y1155" s="10" t="s">
        <v>130</v>
      </c>
      <c r="Z1155" s="10" t="s">
        <v>99</v>
      </c>
      <c r="AA1155" s="10" t="s">
        <v>131</v>
      </c>
      <c r="AB1155" s="10" t="s">
        <v>3520</v>
      </c>
      <c r="AC1155" s="10" t="s">
        <v>3521</v>
      </c>
      <c r="AD1155" s="10" t="s">
        <v>4069</v>
      </c>
      <c r="AE1155" s="10" t="s">
        <v>9100</v>
      </c>
      <c r="AF1155" s="15"/>
      <c r="AG1155" s="10"/>
      <c r="AH1155" s="10"/>
      <c r="AI1155" s="10"/>
      <c r="AJ1155" s="10"/>
      <c r="AK1155" s="10" t="s">
        <v>102</v>
      </c>
      <c r="AL1155" s="10"/>
      <c r="AM1155" s="10"/>
      <c r="AN1155" s="10"/>
      <c r="AO1155" s="13" t="b">
        <v>0</v>
      </c>
      <c r="AP1155" s="10" t="s">
        <v>104</v>
      </c>
      <c r="AQ1155" s="10">
        <f ca="1">IFERROR(__xludf.DUMMYFUNCTION("""COMPUTED_VALUE"""),4567205)</f>
        <v>4567205</v>
      </c>
      <c r="AR1155" s="17">
        <v>3357</v>
      </c>
      <c r="AS1155" s="17">
        <v>2818</v>
      </c>
      <c r="AT1155" s="17">
        <v>11284.25</v>
      </c>
      <c r="AU1155" s="17">
        <v>9.25</v>
      </c>
      <c r="AV1155" s="17">
        <v>1</v>
      </c>
      <c r="AW1155" s="10" t="s">
        <v>105</v>
      </c>
      <c r="AX1155" s="17">
        <v>1304</v>
      </c>
      <c r="AY1155" s="18">
        <v>4.0043470546486875</v>
      </c>
      <c r="AZ1155" s="10"/>
      <c r="BA1155" s="20" t="b">
        <v>0</v>
      </c>
      <c r="BB1155" s="10"/>
      <c r="BC1155" s="17">
        <v>3357</v>
      </c>
      <c r="BD1155" s="17">
        <v>2818</v>
      </c>
      <c r="BE1155" s="17">
        <v>11284.25</v>
      </c>
      <c r="BF1155" s="17">
        <v>1</v>
      </c>
      <c r="BG1155" s="11">
        <f ca="1">IFERROR(__xludf.DUMMYFUNCTION("""COMPUTED_VALUE"""),45913.625)</f>
        <v>45913.625</v>
      </c>
      <c r="BH1155" s="17" t="s">
        <v>105</v>
      </c>
      <c r="BI1155" s="17"/>
      <c r="BJ1155" s="15"/>
      <c r="BK1155" s="15"/>
      <c r="BL1155" s="13" t="b">
        <v>0</v>
      </c>
      <c r="BM1155" s="10"/>
      <c r="BN1155" s="10" t="s">
        <v>197</v>
      </c>
      <c r="BO1155" s="11">
        <v>45902.677777777775</v>
      </c>
      <c r="BP1155" s="11">
        <v>45902.678067129629</v>
      </c>
      <c r="BQ1155" s="15">
        <v>45912.666493055556</v>
      </c>
      <c r="BR1155" s="15">
        <v>45912.927499999998</v>
      </c>
      <c r="BS1155" s="10" t="s">
        <v>197</v>
      </c>
      <c r="BT1155" s="10"/>
      <c r="BU1155" s="10"/>
      <c r="BV1155" s="10"/>
      <c r="BW1155" s="10"/>
      <c r="BX1155" s="10"/>
      <c r="BY1155" s="23"/>
      <c r="BZ1155" s="23"/>
      <c r="CA1155" s="19" t="s">
        <v>9101</v>
      </c>
      <c r="CB1155" s="23"/>
      <c r="CC1155" s="23"/>
      <c r="CD1155" s="23"/>
      <c r="CE1155" s="23"/>
      <c r="CF1155" s="23"/>
      <c r="CG1155" s="23"/>
      <c r="CH1155" s="23"/>
      <c r="CI1155" s="23"/>
    </row>
    <row r="1156" spans="1:87" x14ac:dyDescent="0.3">
      <c r="A1156" s="9" t="s">
        <v>9102</v>
      </c>
      <c r="B1156" s="10" t="s">
        <v>9103</v>
      </c>
      <c r="C1156" s="11">
        <v>45914.770833333336</v>
      </c>
      <c r="D1156" s="12">
        <v>2.0833333333333332E-2</v>
      </c>
      <c r="E1156" s="11">
        <v>45914.791666666664</v>
      </c>
      <c r="F1156" s="10" t="s">
        <v>3511</v>
      </c>
      <c r="G1156" s="13" t="b">
        <v>0</v>
      </c>
      <c r="H1156" s="10" t="s">
        <v>3512</v>
      </c>
      <c r="I1156" s="10" t="s">
        <v>212</v>
      </c>
      <c r="J1156" s="13" t="b">
        <v>1</v>
      </c>
      <c r="K1156" s="13" t="b">
        <v>0</v>
      </c>
      <c r="L1156" s="10" t="s">
        <v>90</v>
      </c>
      <c r="M1156" s="10" t="s">
        <v>91</v>
      </c>
      <c r="N1156" s="10" t="s">
        <v>92</v>
      </c>
      <c r="O1156" s="19" t="s">
        <v>9104</v>
      </c>
      <c r="P1156" s="10"/>
      <c r="Q1156" s="10" t="s">
        <v>94</v>
      </c>
      <c r="R1156" s="10"/>
      <c r="S1156" s="19" t="s">
        <v>9105</v>
      </c>
      <c r="T1156" s="10"/>
      <c r="U1156" s="10" t="s">
        <v>3647</v>
      </c>
      <c r="V1156" s="10" t="s">
        <v>3661</v>
      </c>
      <c r="W1156" s="10" t="s">
        <v>3519</v>
      </c>
      <c r="X1156" s="10" t="s">
        <v>130</v>
      </c>
      <c r="Y1156" s="10" t="s">
        <v>130</v>
      </c>
      <c r="Z1156" s="10" t="s">
        <v>99</v>
      </c>
      <c r="AA1156" s="10" t="s">
        <v>131</v>
      </c>
      <c r="AB1156" s="10" t="s">
        <v>3520</v>
      </c>
      <c r="AC1156" s="10" t="s">
        <v>3521</v>
      </c>
      <c r="AD1156" s="10" t="s">
        <v>4100</v>
      </c>
      <c r="AE1156" s="10" t="s">
        <v>9106</v>
      </c>
      <c r="AF1156" s="15"/>
      <c r="AG1156" s="10"/>
      <c r="AH1156" s="10"/>
      <c r="AI1156" s="10"/>
      <c r="AJ1156" s="10"/>
      <c r="AK1156" s="10" t="s">
        <v>102</v>
      </c>
      <c r="AL1156" s="10"/>
      <c r="AM1156" s="10"/>
      <c r="AN1156" s="10"/>
      <c r="AO1156" s="13" t="b">
        <v>0</v>
      </c>
      <c r="AP1156" s="10" t="s">
        <v>104</v>
      </c>
      <c r="AQ1156" s="10">
        <f ca="1">IFERROR(__xludf.DUMMYFUNCTION("""COMPUTED_VALUE"""),4570853)</f>
        <v>4570853</v>
      </c>
      <c r="AR1156" s="21">
        <v>16133</v>
      </c>
      <c r="AS1156" s="21">
        <v>13153</v>
      </c>
      <c r="AT1156" s="21">
        <v>64250.5</v>
      </c>
      <c r="AU1156" s="21">
        <v>45.65</v>
      </c>
      <c r="AV1156" s="21">
        <v>17.2</v>
      </c>
      <c r="AW1156" s="22" t="s">
        <v>105</v>
      </c>
      <c r="AX1156" s="21">
        <v>6877</v>
      </c>
      <c r="AY1156" s="18">
        <v>4.8848551661217972</v>
      </c>
      <c r="AZ1156" s="10" t="s">
        <v>136</v>
      </c>
      <c r="BA1156" s="20" t="b">
        <v>0</v>
      </c>
      <c r="BB1156" s="10"/>
      <c r="BC1156" s="17">
        <v>16133</v>
      </c>
      <c r="BD1156" s="17">
        <v>13153</v>
      </c>
      <c r="BE1156" s="17">
        <v>64250.5</v>
      </c>
      <c r="BF1156" s="17">
        <v>17.2</v>
      </c>
      <c r="BG1156" s="11">
        <f ca="1">IFERROR(__xludf.DUMMYFUNCTION("""COMPUTED_VALUE"""),45914.7708333333)</f>
        <v>45914.770833333299</v>
      </c>
      <c r="BH1156" s="17" t="s">
        <v>105</v>
      </c>
      <c r="BI1156" s="17"/>
      <c r="BJ1156" s="15"/>
      <c r="BK1156" s="15"/>
      <c r="BL1156" s="13" t="b">
        <v>0</v>
      </c>
      <c r="BM1156" s="10"/>
      <c r="BN1156" s="10" t="s">
        <v>4030</v>
      </c>
      <c r="BO1156" s="11">
        <v>45902.678472222222</v>
      </c>
      <c r="BP1156" s="11">
        <v>45902.67869212963</v>
      </c>
      <c r="BQ1156" s="15">
        <v>45914.373888888891</v>
      </c>
      <c r="BR1156" s="15">
        <v>45915.419583333336</v>
      </c>
      <c r="BS1156" s="10" t="s">
        <v>4030</v>
      </c>
      <c r="BT1156" s="10"/>
      <c r="BU1156" s="10"/>
      <c r="BV1156" s="10"/>
      <c r="BW1156" s="10"/>
      <c r="BX1156" s="10"/>
      <c r="BY1156" s="23"/>
      <c r="BZ1156" s="23"/>
      <c r="CA1156" s="19" t="s">
        <v>9107</v>
      </c>
      <c r="CB1156" s="23"/>
      <c r="CC1156" s="23"/>
      <c r="CD1156" s="23"/>
      <c r="CE1156" s="23"/>
      <c r="CF1156" s="23"/>
      <c r="CG1156" s="23"/>
      <c r="CH1156" s="23"/>
      <c r="CI1156" s="23"/>
    </row>
    <row r="1157" spans="1:87" x14ac:dyDescent="0.3">
      <c r="A1157" s="9" t="s">
        <v>9108</v>
      </c>
      <c r="B1157" s="10" t="s">
        <v>9109</v>
      </c>
      <c r="C1157" s="11">
        <v>45907.333333333336</v>
      </c>
      <c r="D1157" s="12">
        <v>0.16666666666666666</v>
      </c>
      <c r="E1157" s="11">
        <v>45907.5</v>
      </c>
      <c r="F1157" s="10" t="s">
        <v>87</v>
      </c>
      <c r="G1157" s="13" t="b">
        <v>0</v>
      </c>
      <c r="H1157" s="10" t="s">
        <v>88</v>
      </c>
      <c r="I1157" s="10" t="s">
        <v>89</v>
      </c>
      <c r="J1157" s="13" t="b">
        <v>0</v>
      </c>
      <c r="K1157" s="13" t="b">
        <v>1</v>
      </c>
      <c r="L1157" s="10" t="s">
        <v>124</v>
      </c>
      <c r="M1157" s="10" t="s">
        <v>91</v>
      </c>
      <c r="N1157" s="10" t="s">
        <v>265</v>
      </c>
      <c r="O1157" s="19" t="s">
        <v>9110</v>
      </c>
      <c r="P1157" s="10"/>
      <c r="Q1157" s="10" t="s">
        <v>126</v>
      </c>
      <c r="R1157" s="19" t="s">
        <v>9111</v>
      </c>
      <c r="S1157" s="19" t="s">
        <v>9112</v>
      </c>
      <c r="T1157" s="10"/>
      <c r="U1157" s="10"/>
      <c r="V1157" s="10"/>
      <c r="W1157" s="10" t="s">
        <v>97</v>
      </c>
      <c r="X1157" s="10" t="s">
        <v>98</v>
      </c>
      <c r="Y1157" s="10" t="s">
        <v>98</v>
      </c>
      <c r="Z1157" s="10" t="s">
        <v>99</v>
      </c>
      <c r="AA1157" s="10" t="s">
        <v>100</v>
      </c>
      <c r="AB1157" s="10" t="s">
        <v>87</v>
      </c>
      <c r="AC1157" s="10"/>
      <c r="AD1157" s="10" t="s">
        <v>165</v>
      </c>
      <c r="AE1157" s="10" t="s">
        <v>9113</v>
      </c>
      <c r="AF1157" s="15"/>
      <c r="AG1157" s="10"/>
      <c r="AH1157" s="10"/>
      <c r="AI1157" s="10"/>
      <c r="AJ1157" s="10"/>
      <c r="AK1157" s="10" t="s">
        <v>102</v>
      </c>
      <c r="AL1157" s="10"/>
      <c r="AM1157" s="10"/>
      <c r="AN1157" s="10"/>
      <c r="AO1157" s="13" t="b">
        <v>0</v>
      </c>
      <c r="AP1157" s="10" t="s">
        <v>104</v>
      </c>
      <c r="AQ1157" s="10">
        <f ca="1">IFERROR(__xludf.DUMMYFUNCTION("""COMPUTED_VALUE"""),4550612)</f>
        <v>4550612</v>
      </c>
      <c r="AR1157" s="17">
        <v>10623</v>
      </c>
      <c r="AS1157" s="17">
        <v>7589</v>
      </c>
      <c r="AT1157" s="17">
        <v>198140.25</v>
      </c>
      <c r="AU1157" s="17">
        <v>24.6</v>
      </c>
      <c r="AV1157" s="17">
        <v>8.4</v>
      </c>
      <c r="AW1157" s="10" t="s">
        <v>105</v>
      </c>
      <c r="AX1157" s="17">
        <v>1407</v>
      </c>
      <c r="AY1157" s="18">
        <v>26.108874687047042</v>
      </c>
      <c r="AZ1157" s="10" t="s">
        <v>3783</v>
      </c>
      <c r="BA1157" s="20" t="b">
        <v>0</v>
      </c>
      <c r="BB1157" s="10"/>
      <c r="BC1157" s="17">
        <v>10623</v>
      </c>
      <c r="BD1157" s="17">
        <v>7589</v>
      </c>
      <c r="BE1157" s="17">
        <v>198140.25</v>
      </c>
      <c r="BF1157" s="17">
        <v>8.4</v>
      </c>
      <c r="BG1157" s="11">
        <f ca="1">IFERROR(__xludf.DUMMYFUNCTION("""COMPUTED_VALUE"""),45907.3333333333)</f>
        <v>45907.333333333299</v>
      </c>
      <c r="BH1157" s="17" t="s">
        <v>105</v>
      </c>
      <c r="BI1157" s="17"/>
      <c r="BJ1157" s="15"/>
      <c r="BK1157" s="15"/>
      <c r="BL1157" s="13" t="b">
        <v>0</v>
      </c>
      <c r="BM1157" s="10"/>
      <c r="BN1157" s="10" t="s">
        <v>667</v>
      </c>
      <c r="BO1157" s="11">
        <v>45903.515972222223</v>
      </c>
      <c r="BP1157" s="11">
        <v>45906.893819444442</v>
      </c>
      <c r="BQ1157" s="15">
        <v>45904.819074074076</v>
      </c>
      <c r="BR1157" s="15">
        <v>45905.435555555552</v>
      </c>
      <c r="BS1157" s="10" t="s">
        <v>667</v>
      </c>
      <c r="BT1157" s="10" t="s">
        <v>99</v>
      </c>
      <c r="BU1157" s="10" t="s">
        <v>9114</v>
      </c>
      <c r="BV1157" s="10"/>
      <c r="BW1157" s="10"/>
      <c r="BX1157" s="10"/>
      <c r="BY1157" s="23"/>
      <c r="BZ1157" s="23"/>
      <c r="CA1157" s="19" t="s">
        <v>9115</v>
      </c>
      <c r="CB1157" s="23"/>
      <c r="CC1157" s="23"/>
      <c r="CD1157" s="19" t="s">
        <v>9116</v>
      </c>
      <c r="CE1157" s="23"/>
      <c r="CF1157" s="23"/>
      <c r="CG1157" s="23"/>
      <c r="CH1157" s="23"/>
      <c r="CI1157" s="23"/>
    </row>
    <row r="1158" spans="1:87" x14ac:dyDescent="0.3">
      <c r="A1158" s="9" t="s">
        <v>9117</v>
      </c>
      <c r="B1158" s="10" t="s">
        <v>9118</v>
      </c>
      <c r="C1158" s="11">
        <v>45914.90625</v>
      </c>
      <c r="D1158" s="12">
        <v>8.3333333333333329E-2</v>
      </c>
      <c r="E1158" s="11">
        <v>45914.989583333336</v>
      </c>
      <c r="F1158" s="10" t="s">
        <v>3687</v>
      </c>
      <c r="G1158" s="13" t="b">
        <v>0</v>
      </c>
      <c r="H1158" s="10" t="s">
        <v>88</v>
      </c>
      <c r="I1158" s="10" t="s">
        <v>89</v>
      </c>
      <c r="J1158" s="13" t="b">
        <v>0</v>
      </c>
      <c r="K1158" s="13" t="b">
        <v>1</v>
      </c>
      <c r="L1158" s="10" t="s">
        <v>124</v>
      </c>
      <c r="M1158" s="10" t="s">
        <v>91</v>
      </c>
      <c r="N1158" s="10" t="s">
        <v>92</v>
      </c>
      <c r="O1158" s="19" t="s">
        <v>9119</v>
      </c>
      <c r="P1158" s="10"/>
      <c r="Q1158" s="10" t="s">
        <v>126</v>
      </c>
      <c r="R1158" s="10"/>
      <c r="S1158" s="19" t="s">
        <v>9120</v>
      </c>
      <c r="T1158" s="19" t="s">
        <v>9121</v>
      </c>
      <c r="U1158" s="10" t="s">
        <v>3716</v>
      </c>
      <c r="V1158" s="10" t="s">
        <v>4992</v>
      </c>
      <c r="W1158" s="10" t="s">
        <v>3692</v>
      </c>
      <c r="X1158" s="10" t="s">
        <v>130</v>
      </c>
      <c r="Y1158" s="10" t="s">
        <v>130</v>
      </c>
      <c r="Z1158" s="10" t="s">
        <v>99</v>
      </c>
      <c r="AA1158" s="10" t="s">
        <v>131</v>
      </c>
      <c r="AB1158" s="10" t="s">
        <v>3693</v>
      </c>
      <c r="AC1158" s="10" t="s">
        <v>3694</v>
      </c>
      <c r="AD1158" s="10" t="s">
        <v>9122</v>
      </c>
      <c r="AE1158" s="10" t="s">
        <v>9123</v>
      </c>
      <c r="AF1158" s="15"/>
      <c r="AG1158" s="10"/>
      <c r="AH1158" s="10"/>
      <c r="AI1158" s="10"/>
      <c r="AJ1158" s="10"/>
      <c r="AK1158" s="10" t="s">
        <v>102</v>
      </c>
      <c r="AL1158" s="10" t="s">
        <v>167</v>
      </c>
      <c r="AM1158" s="10"/>
      <c r="AN1158" s="10"/>
      <c r="AO1158" s="13" t="b">
        <v>0</v>
      </c>
      <c r="AP1158" s="10" t="s">
        <v>104</v>
      </c>
      <c r="AQ1158" s="10">
        <f ca="1">IFERROR(__xludf.DUMMYFUNCTION("""COMPUTED_VALUE"""),4559067)</f>
        <v>4559067</v>
      </c>
      <c r="AR1158" s="17">
        <v>23315</v>
      </c>
      <c r="AS1158" s="17">
        <v>16361</v>
      </c>
      <c r="AT1158" s="17">
        <v>75762</v>
      </c>
      <c r="AU1158" s="17">
        <v>38.700000000000003</v>
      </c>
      <c r="AV1158" s="17">
        <v>9.9499999999999993</v>
      </c>
      <c r="AW1158" s="10" t="s">
        <v>105</v>
      </c>
      <c r="AX1158" s="17">
        <v>2844</v>
      </c>
      <c r="AY1158" s="18">
        <v>4.6306460485300409</v>
      </c>
      <c r="AZ1158" s="10" t="s">
        <v>3783</v>
      </c>
      <c r="BA1158" s="20" t="b">
        <v>0</v>
      </c>
      <c r="BB1158" s="10"/>
      <c r="BC1158" s="17">
        <v>23315</v>
      </c>
      <c r="BD1158" s="17">
        <v>16361</v>
      </c>
      <c r="BE1158" s="17">
        <v>75762</v>
      </c>
      <c r="BF1158" s="17">
        <v>9.9499999999999993</v>
      </c>
      <c r="BG1158" s="11">
        <f ca="1">IFERROR(__xludf.DUMMYFUNCTION("""COMPUTED_VALUE"""),45914.90625)</f>
        <v>45914.90625</v>
      </c>
      <c r="BH1158" s="17" t="s">
        <v>105</v>
      </c>
      <c r="BI1158" s="17"/>
      <c r="BJ1158" s="15"/>
      <c r="BK1158" s="15"/>
      <c r="BL1158" s="13" t="b">
        <v>0</v>
      </c>
      <c r="BM1158" s="10"/>
      <c r="BN1158" s="10" t="s">
        <v>455</v>
      </c>
      <c r="BO1158" s="11">
        <v>45903.604861111111</v>
      </c>
      <c r="BP1158" s="11">
        <v>45908.590370370373</v>
      </c>
      <c r="BQ1158" s="15">
        <v>45908.896087962959</v>
      </c>
      <c r="BR1158" s="15">
        <v>45908.934525462966</v>
      </c>
      <c r="BS1158" s="10" t="s">
        <v>455</v>
      </c>
      <c r="BT1158" s="10" t="s">
        <v>279</v>
      </c>
      <c r="BU1158" s="10" t="s">
        <v>421</v>
      </c>
      <c r="BV1158" s="10"/>
      <c r="BW1158" s="10"/>
      <c r="BX1158" s="10"/>
      <c r="BY1158" s="23"/>
      <c r="BZ1158" s="23"/>
      <c r="CA1158" s="19" t="s">
        <v>9124</v>
      </c>
      <c r="CB1158" s="19" t="s">
        <v>9125</v>
      </c>
      <c r="CC1158" s="23"/>
      <c r="CD1158" s="19" t="s">
        <v>9126</v>
      </c>
      <c r="CE1158" s="23"/>
      <c r="CF1158" s="23"/>
      <c r="CG1158" s="23"/>
      <c r="CH1158" s="23"/>
      <c r="CI1158" s="23"/>
    </row>
    <row r="1159" spans="1:87" x14ac:dyDescent="0.3">
      <c r="A1159" s="9" t="s">
        <v>9127</v>
      </c>
      <c r="B1159" s="10" t="s">
        <v>9128</v>
      </c>
      <c r="C1159" s="11">
        <v>45913.041666666664</v>
      </c>
      <c r="D1159" s="12">
        <v>8.3333333333333329E-2</v>
      </c>
      <c r="E1159" s="11">
        <v>45913.125</v>
      </c>
      <c r="F1159" s="10" t="s">
        <v>9129</v>
      </c>
      <c r="G1159" s="13" t="b">
        <v>0</v>
      </c>
      <c r="H1159" s="10" t="s">
        <v>9130</v>
      </c>
      <c r="I1159" s="10" t="s">
        <v>9131</v>
      </c>
      <c r="J1159" s="13" t="b">
        <v>0</v>
      </c>
      <c r="K1159" s="13" t="b">
        <v>1</v>
      </c>
      <c r="L1159" s="10" t="s">
        <v>124</v>
      </c>
      <c r="M1159" s="10" t="s">
        <v>91</v>
      </c>
      <c r="N1159" s="10" t="s">
        <v>265</v>
      </c>
      <c r="O1159" s="19" t="s">
        <v>9132</v>
      </c>
      <c r="P1159" s="10"/>
      <c r="Q1159" s="10" t="s">
        <v>126</v>
      </c>
      <c r="R1159" s="10"/>
      <c r="S1159" s="19" t="s">
        <v>9133</v>
      </c>
      <c r="T1159" s="10"/>
      <c r="U1159" s="10" t="s">
        <v>9134</v>
      </c>
      <c r="V1159" s="10" t="s">
        <v>9135</v>
      </c>
      <c r="W1159" s="10" t="s">
        <v>9136</v>
      </c>
      <c r="X1159" s="10" t="s">
        <v>130</v>
      </c>
      <c r="Y1159" s="10" t="s">
        <v>130</v>
      </c>
      <c r="Z1159" s="10" t="s">
        <v>99</v>
      </c>
      <c r="AA1159" s="10" t="s">
        <v>131</v>
      </c>
      <c r="AB1159" s="10" t="s">
        <v>9137</v>
      </c>
      <c r="AC1159" s="10" t="s">
        <v>9138</v>
      </c>
      <c r="AD1159" s="10" t="s">
        <v>9139</v>
      </c>
      <c r="AE1159" s="10" t="s">
        <v>9140</v>
      </c>
      <c r="AF1159" s="15"/>
      <c r="AG1159" s="10"/>
      <c r="AH1159" s="10"/>
      <c r="AI1159" s="10"/>
      <c r="AJ1159" s="10" t="s">
        <v>9141</v>
      </c>
      <c r="AK1159" s="10" t="s">
        <v>102</v>
      </c>
      <c r="AL1159" s="10" t="s">
        <v>116</v>
      </c>
      <c r="AM1159" s="10"/>
      <c r="AN1159" s="10"/>
      <c r="AO1159" s="13" t="b">
        <v>0</v>
      </c>
      <c r="AP1159" s="10" t="s">
        <v>104</v>
      </c>
      <c r="AQ1159" s="10">
        <f ca="1">IFERROR(__xludf.DUMMYFUNCTION("""COMPUTED_VALUE"""),4567067)</f>
        <v>4567067</v>
      </c>
      <c r="AR1159" s="17">
        <v>4949</v>
      </c>
      <c r="AS1159" s="17">
        <v>4132</v>
      </c>
      <c r="AT1159" s="17">
        <v>94114.25</v>
      </c>
      <c r="AU1159" s="17">
        <v>15.45</v>
      </c>
      <c r="AV1159" s="17">
        <v>3.45</v>
      </c>
      <c r="AW1159" s="10" t="s">
        <v>105</v>
      </c>
      <c r="AX1159" s="17">
        <v>812</v>
      </c>
      <c r="AY1159" s="18">
        <v>22.776924007744434</v>
      </c>
      <c r="AZ1159" s="10"/>
      <c r="BA1159" s="20" t="b">
        <v>0</v>
      </c>
      <c r="BB1159" s="10"/>
      <c r="BC1159" s="17">
        <v>4949</v>
      </c>
      <c r="BD1159" s="17">
        <v>4132</v>
      </c>
      <c r="BE1159" s="17">
        <v>94114.25</v>
      </c>
      <c r="BF1159" s="17">
        <v>3.45</v>
      </c>
      <c r="BG1159" s="11">
        <f ca="1">IFERROR(__xludf.DUMMYFUNCTION("""COMPUTED_VALUE"""),45913.0416666666)</f>
        <v>45913.041666666599</v>
      </c>
      <c r="BH1159" s="17" t="s">
        <v>105</v>
      </c>
      <c r="BI1159" s="17"/>
      <c r="BJ1159" s="15"/>
      <c r="BK1159" s="15"/>
      <c r="BL1159" s="13" t="b">
        <v>0</v>
      </c>
      <c r="BM1159" s="10"/>
      <c r="BN1159" s="10" t="s">
        <v>197</v>
      </c>
      <c r="BO1159" s="11">
        <v>45903.647916666669</v>
      </c>
      <c r="BP1159" s="11">
        <v>45903.648506944446</v>
      </c>
      <c r="BQ1159" s="15">
        <v>45912.779328703706</v>
      </c>
      <c r="BR1159" s="15">
        <v>45912.830671296295</v>
      </c>
      <c r="BS1159" s="10" t="s">
        <v>197</v>
      </c>
      <c r="BT1159" s="10" t="s">
        <v>99</v>
      </c>
      <c r="BU1159" s="10" t="s">
        <v>5081</v>
      </c>
      <c r="BV1159" s="10"/>
      <c r="BW1159" s="10"/>
      <c r="BX1159" s="10"/>
      <c r="BY1159" s="23"/>
      <c r="BZ1159" s="23"/>
      <c r="CA1159" s="19" t="s">
        <v>9142</v>
      </c>
      <c r="CB1159" s="23"/>
      <c r="CC1159" s="23"/>
      <c r="CD1159" s="19" t="s">
        <v>9143</v>
      </c>
      <c r="CE1159" s="23"/>
      <c r="CF1159" s="23"/>
      <c r="CG1159" s="23"/>
      <c r="CH1159" s="23"/>
      <c r="CI1159" s="23"/>
    </row>
    <row r="1160" spans="1:87" x14ac:dyDescent="0.3">
      <c r="A1160" s="9" t="s">
        <v>9144</v>
      </c>
      <c r="B1160" s="10" t="s">
        <v>9145</v>
      </c>
      <c r="C1160" s="11">
        <v>45914.041666666664</v>
      </c>
      <c r="D1160" s="12">
        <v>8.3333333333333329E-2</v>
      </c>
      <c r="E1160" s="11">
        <v>45914.125</v>
      </c>
      <c r="F1160" s="10" t="s">
        <v>9129</v>
      </c>
      <c r="G1160" s="13" t="b">
        <v>0</v>
      </c>
      <c r="H1160" s="10" t="s">
        <v>9146</v>
      </c>
      <c r="I1160" s="10" t="s">
        <v>9131</v>
      </c>
      <c r="J1160" s="13" t="b">
        <v>0</v>
      </c>
      <c r="K1160" s="13" t="b">
        <v>1</v>
      </c>
      <c r="L1160" s="10" t="s">
        <v>124</v>
      </c>
      <c r="M1160" s="10" t="s">
        <v>91</v>
      </c>
      <c r="N1160" s="10" t="s">
        <v>265</v>
      </c>
      <c r="O1160" s="19" t="s">
        <v>9147</v>
      </c>
      <c r="P1160" s="10"/>
      <c r="Q1160" s="10" t="s">
        <v>126</v>
      </c>
      <c r="R1160" s="10"/>
      <c r="S1160" s="19" t="s">
        <v>9148</v>
      </c>
      <c r="T1160" s="10"/>
      <c r="U1160" s="10" t="s">
        <v>9149</v>
      </c>
      <c r="V1160" s="10" t="s">
        <v>9150</v>
      </c>
      <c r="W1160" s="10" t="s">
        <v>9136</v>
      </c>
      <c r="X1160" s="10" t="s">
        <v>130</v>
      </c>
      <c r="Y1160" s="10" t="s">
        <v>130</v>
      </c>
      <c r="Z1160" s="10" t="s">
        <v>99</v>
      </c>
      <c r="AA1160" s="10" t="s">
        <v>131</v>
      </c>
      <c r="AB1160" s="10" t="s">
        <v>9137</v>
      </c>
      <c r="AC1160" s="10" t="s">
        <v>9138</v>
      </c>
      <c r="AD1160" s="10" t="s">
        <v>9151</v>
      </c>
      <c r="AE1160" s="10" t="s">
        <v>9152</v>
      </c>
      <c r="AF1160" s="15"/>
      <c r="AG1160" s="10"/>
      <c r="AH1160" s="10"/>
      <c r="AI1160" s="10"/>
      <c r="AJ1160" s="10" t="s">
        <v>9153</v>
      </c>
      <c r="AK1160" s="10" t="s">
        <v>102</v>
      </c>
      <c r="AL1160" s="10" t="s">
        <v>116</v>
      </c>
      <c r="AM1160" s="10"/>
      <c r="AN1160" s="10"/>
      <c r="AO1160" s="13" t="b">
        <v>0</v>
      </c>
      <c r="AP1160" s="10" t="s">
        <v>104</v>
      </c>
      <c r="AQ1160" s="10">
        <f ca="1">IFERROR(__xludf.DUMMYFUNCTION("""COMPUTED_VALUE"""),4567499)</f>
        <v>4567499</v>
      </c>
      <c r="AR1160" s="17">
        <v>8165</v>
      </c>
      <c r="AS1160" s="17">
        <v>6796</v>
      </c>
      <c r="AT1160" s="17">
        <v>110068.75</v>
      </c>
      <c r="AU1160" s="17">
        <v>7.4</v>
      </c>
      <c r="AV1160" s="17">
        <v>2.8</v>
      </c>
      <c r="AW1160" s="10" t="s">
        <v>105</v>
      </c>
      <c r="AX1160" s="17">
        <v>1660</v>
      </c>
      <c r="AY1160" s="18">
        <v>16.196108004708652</v>
      </c>
      <c r="AZ1160" s="10"/>
      <c r="BA1160" s="20" t="b">
        <v>0</v>
      </c>
      <c r="BB1160" s="10"/>
      <c r="BC1160" s="17">
        <v>8165</v>
      </c>
      <c r="BD1160" s="17">
        <v>6796</v>
      </c>
      <c r="BE1160" s="17">
        <v>110068.75</v>
      </c>
      <c r="BF1160" s="17">
        <v>2.8</v>
      </c>
      <c r="BG1160" s="11">
        <f ca="1">IFERROR(__xludf.DUMMYFUNCTION("""COMPUTED_VALUE"""),45914.0416666666)</f>
        <v>45914.041666666599</v>
      </c>
      <c r="BH1160" s="17" t="s">
        <v>105</v>
      </c>
      <c r="BI1160" s="17"/>
      <c r="BJ1160" s="15"/>
      <c r="BK1160" s="15"/>
      <c r="BL1160" s="13" t="b">
        <v>0</v>
      </c>
      <c r="BM1160" s="10"/>
      <c r="BN1160" s="10" t="s">
        <v>455</v>
      </c>
      <c r="BO1160" s="11">
        <v>45903.65625</v>
      </c>
      <c r="BP1160" s="11">
        <v>45903.656435185185</v>
      </c>
      <c r="BQ1160" s="15">
        <v>45912.959016203706</v>
      </c>
      <c r="BR1160" s="15">
        <v>45912.974178240744</v>
      </c>
      <c r="BS1160" s="10" t="s">
        <v>455</v>
      </c>
      <c r="BT1160" s="10" t="s">
        <v>99</v>
      </c>
      <c r="BU1160" s="10" t="s">
        <v>3394</v>
      </c>
      <c r="BV1160" s="10"/>
      <c r="BW1160" s="10"/>
      <c r="BX1160" s="10"/>
      <c r="BY1160" s="23"/>
      <c r="BZ1160" s="23"/>
      <c r="CA1160" s="19" t="s">
        <v>9154</v>
      </c>
      <c r="CB1160" s="23"/>
      <c r="CC1160" s="23"/>
      <c r="CD1160" s="19" t="s">
        <v>9155</v>
      </c>
      <c r="CE1160" s="23"/>
      <c r="CF1160" s="23"/>
      <c r="CG1160" s="23"/>
      <c r="CH1160" s="23"/>
      <c r="CI1160" s="23"/>
    </row>
    <row r="1161" spans="1:87" x14ac:dyDescent="0.3">
      <c r="A1161" s="9" t="s">
        <v>9156</v>
      </c>
      <c r="B1161" s="10" t="s">
        <v>9157</v>
      </c>
      <c r="C1161" s="11">
        <v>45915.041666666664</v>
      </c>
      <c r="D1161" s="12">
        <v>8.3333333333333329E-2</v>
      </c>
      <c r="E1161" s="11">
        <v>45915.125</v>
      </c>
      <c r="F1161" s="10" t="s">
        <v>9129</v>
      </c>
      <c r="G1161" s="13" t="b">
        <v>0</v>
      </c>
      <c r="H1161" s="10" t="s">
        <v>9130</v>
      </c>
      <c r="I1161" s="10" t="s">
        <v>9131</v>
      </c>
      <c r="J1161" s="13" t="b">
        <v>0</v>
      </c>
      <c r="K1161" s="13" t="b">
        <v>1</v>
      </c>
      <c r="L1161" s="10" t="s">
        <v>124</v>
      </c>
      <c r="M1161" s="10" t="s">
        <v>91</v>
      </c>
      <c r="N1161" s="10" t="s">
        <v>265</v>
      </c>
      <c r="O1161" s="19" t="s">
        <v>9158</v>
      </c>
      <c r="P1161" s="10"/>
      <c r="Q1161" s="10" t="s">
        <v>126</v>
      </c>
      <c r="R1161" s="10"/>
      <c r="S1161" s="19" t="s">
        <v>9159</v>
      </c>
      <c r="T1161" s="10"/>
      <c r="U1161" s="10" t="s">
        <v>9160</v>
      </c>
      <c r="V1161" s="10" t="s">
        <v>9161</v>
      </c>
      <c r="W1161" s="10" t="s">
        <v>9136</v>
      </c>
      <c r="X1161" s="10" t="s">
        <v>130</v>
      </c>
      <c r="Y1161" s="10" t="s">
        <v>130</v>
      </c>
      <c r="Z1161" s="10" t="s">
        <v>99</v>
      </c>
      <c r="AA1161" s="10" t="s">
        <v>131</v>
      </c>
      <c r="AB1161" s="10" t="s">
        <v>9137</v>
      </c>
      <c r="AC1161" s="10" t="s">
        <v>9138</v>
      </c>
      <c r="AD1161" s="10" t="s">
        <v>9162</v>
      </c>
      <c r="AE1161" s="10" t="s">
        <v>9163</v>
      </c>
      <c r="AF1161" s="15"/>
      <c r="AG1161" s="10"/>
      <c r="AH1161" s="10"/>
      <c r="AI1161" s="10"/>
      <c r="AJ1161" s="10" t="s">
        <v>9164</v>
      </c>
      <c r="AK1161" s="10" t="s">
        <v>102</v>
      </c>
      <c r="AL1161" s="10" t="s">
        <v>116</v>
      </c>
      <c r="AM1161" s="10"/>
      <c r="AN1161" s="10"/>
      <c r="AO1161" s="13" t="b">
        <v>0</v>
      </c>
      <c r="AP1161" s="10" t="s">
        <v>104</v>
      </c>
      <c r="AQ1161" s="10">
        <f ca="1">IFERROR(__xludf.DUMMYFUNCTION("""COMPUTED_VALUE"""),4570987)</f>
        <v>4570987</v>
      </c>
      <c r="AR1161" s="17">
        <v>15382</v>
      </c>
      <c r="AS1161" s="17">
        <v>12305</v>
      </c>
      <c r="AT1161" s="17">
        <v>283522</v>
      </c>
      <c r="AU1161" s="17">
        <v>53.05</v>
      </c>
      <c r="AV1161" s="17">
        <v>13.45</v>
      </c>
      <c r="AW1161" s="10" t="s">
        <v>105</v>
      </c>
      <c r="AX1161" s="17">
        <v>3128</v>
      </c>
      <c r="AY1161" s="18">
        <v>23.04120276310443</v>
      </c>
      <c r="AZ1161" s="10" t="s">
        <v>148</v>
      </c>
      <c r="BA1161" s="20" t="b">
        <v>0</v>
      </c>
      <c r="BB1161" s="10"/>
      <c r="BC1161" s="17">
        <v>15382</v>
      </c>
      <c r="BD1161" s="17">
        <v>12305</v>
      </c>
      <c r="BE1161" s="17">
        <v>283522</v>
      </c>
      <c r="BF1161" s="17">
        <v>13.45</v>
      </c>
      <c r="BG1161" s="11">
        <f ca="1">IFERROR(__xludf.DUMMYFUNCTION("""COMPUTED_VALUE"""),45915.0416666666)</f>
        <v>45915.041666666599</v>
      </c>
      <c r="BH1161" s="17" t="s">
        <v>105</v>
      </c>
      <c r="BI1161" s="17"/>
      <c r="BJ1161" s="15"/>
      <c r="BK1161" s="15"/>
      <c r="BL1161" s="13" t="b">
        <v>0</v>
      </c>
      <c r="BM1161" s="10"/>
      <c r="BN1161" s="10" t="s">
        <v>278</v>
      </c>
      <c r="BO1161" s="11">
        <v>45903.659722222219</v>
      </c>
      <c r="BP1161" s="11">
        <v>45903.660405092596</v>
      </c>
      <c r="BQ1161" s="15">
        <v>45914.425532407404</v>
      </c>
      <c r="BR1161" s="15">
        <v>45914.513692129629</v>
      </c>
      <c r="BS1161" s="10" t="s">
        <v>278</v>
      </c>
      <c r="BT1161" s="10" t="s">
        <v>99</v>
      </c>
      <c r="BU1161" s="10" t="s">
        <v>498</v>
      </c>
      <c r="BV1161" s="10"/>
      <c r="BW1161" s="10"/>
      <c r="BX1161" s="10"/>
      <c r="BY1161" s="23"/>
      <c r="BZ1161" s="23"/>
      <c r="CA1161" s="19" t="s">
        <v>9165</v>
      </c>
      <c r="CB1161" s="23"/>
      <c r="CC1161" s="23"/>
      <c r="CD1161" s="19" t="s">
        <v>9166</v>
      </c>
      <c r="CE1161" s="23"/>
      <c r="CF1161" s="23"/>
      <c r="CG1161" s="23"/>
      <c r="CH1161" s="23"/>
      <c r="CI1161" s="23"/>
    </row>
    <row r="1162" spans="1:87" x14ac:dyDescent="0.3">
      <c r="A1162" s="9" t="s">
        <v>9167</v>
      </c>
      <c r="B1162" s="10" t="s">
        <v>9168</v>
      </c>
      <c r="C1162" s="11">
        <v>45920.833333333336</v>
      </c>
      <c r="D1162" s="12">
        <v>8.3333333333333329E-2</v>
      </c>
      <c r="E1162" s="11">
        <v>45920.916666666664</v>
      </c>
      <c r="F1162" s="10" t="s">
        <v>3211</v>
      </c>
      <c r="G1162" s="13" t="b">
        <v>0</v>
      </c>
      <c r="H1162" s="10" t="s">
        <v>3212</v>
      </c>
      <c r="I1162" s="10" t="s">
        <v>3213</v>
      </c>
      <c r="J1162" s="13" t="b">
        <v>0</v>
      </c>
      <c r="K1162" s="13" t="b">
        <v>1</v>
      </c>
      <c r="L1162" s="10" t="s">
        <v>124</v>
      </c>
      <c r="M1162" s="10" t="s">
        <v>91</v>
      </c>
      <c r="N1162" s="10" t="s">
        <v>92</v>
      </c>
      <c r="O1162" s="19" t="s">
        <v>9169</v>
      </c>
      <c r="P1162" s="10" t="s">
        <v>3215</v>
      </c>
      <c r="Q1162" s="10" t="s">
        <v>94</v>
      </c>
      <c r="R1162" s="10"/>
      <c r="S1162" s="19" t="s">
        <v>9170</v>
      </c>
      <c r="T1162" s="19" t="s">
        <v>9171</v>
      </c>
      <c r="U1162" s="10" t="s">
        <v>3230</v>
      </c>
      <c r="V1162" s="10" t="s">
        <v>3217</v>
      </c>
      <c r="W1162" s="10" t="s">
        <v>3219</v>
      </c>
      <c r="X1162" s="10" t="s">
        <v>130</v>
      </c>
      <c r="Y1162" s="10" t="s">
        <v>130</v>
      </c>
      <c r="Z1162" s="10" t="s">
        <v>99</v>
      </c>
      <c r="AA1162" s="10" t="s">
        <v>131</v>
      </c>
      <c r="AB1162" s="10" t="s">
        <v>3220</v>
      </c>
      <c r="AC1162" s="10" t="s">
        <v>3221</v>
      </c>
      <c r="AD1162" s="10" t="s">
        <v>9172</v>
      </c>
      <c r="AE1162" s="10" t="s">
        <v>9173</v>
      </c>
      <c r="AF1162" s="15"/>
      <c r="AG1162" s="10"/>
      <c r="AH1162" s="10"/>
      <c r="AI1162" s="10"/>
      <c r="AJ1162" s="10"/>
      <c r="AK1162" s="10" t="s">
        <v>102</v>
      </c>
      <c r="AL1162" s="10" t="s">
        <v>156</v>
      </c>
      <c r="AM1162" s="10"/>
      <c r="AN1162" s="10"/>
      <c r="AO1162" s="13" t="b">
        <v>0</v>
      </c>
      <c r="AP1162" s="10" t="s">
        <v>104</v>
      </c>
      <c r="AQ1162" s="10">
        <f ca="1">IFERROR(__xludf.DUMMYFUNCTION("""COMPUTED_VALUE"""),4579874)</f>
        <v>4579874</v>
      </c>
      <c r="AR1162" s="17">
        <v>26265</v>
      </c>
      <c r="AS1162" s="17">
        <v>20871</v>
      </c>
      <c r="AT1162" s="17">
        <v>242145.5</v>
      </c>
      <c r="AU1162" s="17">
        <v>155.85</v>
      </c>
      <c r="AV1162" s="17">
        <v>34.049999999999997</v>
      </c>
      <c r="AW1162" s="10" t="s">
        <v>105</v>
      </c>
      <c r="AX1162" s="17">
        <v>4125</v>
      </c>
      <c r="AY1162" s="18">
        <v>11.602007570312875</v>
      </c>
      <c r="AZ1162" s="10" t="s">
        <v>117</v>
      </c>
      <c r="BA1162" s="20" t="b">
        <v>0</v>
      </c>
      <c r="BB1162" s="10"/>
      <c r="BC1162" s="17">
        <v>26265</v>
      </c>
      <c r="BD1162" s="17">
        <v>20871</v>
      </c>
      <c r="BE1162" s="17">
        <v>242145.5</v>
      </c>
      <c r="BF1162" s="17">
        <v>34.049999999999997</v>
      </c>
      <c r="BG1162" s="11">
        <f ca="1">IFERROR(__xludf.DUMMYFUNCTION("""COMPUTED_VALUE"""),45920.8333333333)</f>
        <v>45920.833333333299</v>
      </c>
      <c r="BH1162" s="17" t="s">
        <v>105</v>
      </c>
      <c r="BI1162" s="17"/>
      <c r="BJ1162" s="15"/>
      <c r="BK1162" s="15"/>
      <c r="BL1162" s="13" t="b">
        <v>0</v>
      </c>
      <c r="BM1162" s="10"/>
      <c r="BN1162" s="10" t="s">
        <v>117</v>
      </c>
      <c r="BO1162" s="11">
        <v>45904.28402777778</v>
      </c>
      <c r="BP1162" s="11">
        <v>45904.601099537038</v>
      </c>
      <c r="BQ1162" s="15">
        <v>45918.486226851855</v>
      </c>
      <c r="BR1162" s="15">
        <v>45918.540868055556</v>
      </c>
      <c r="BS1162" s="10"/>
      <c r="BT1162" s="10"/>
      <c r="BU1162" s="10"/>
      <c r="BV1162" s="10"/>
      <c r="BW1162" s="10"/>
      <c r="BX1162" s="10"/>
      <c r="BY1162" s="23"/>
      <c r="BZ1162" s="23"/>
      <c r="CA1162" s="19" t="s">
        <v>9174</v>
      </c>
      <c r="CB1162" s="19" t="s">
        <v>9175</v>
      </c>
      <c r="CC1162" s="23"/>
      <c r="CD1162" s="23"/>
      <c r="CE1162" s="23"/>
      <c r="CF1162" s="23"/>
      <c r="CG1162" s="23"/>
      <c r="CH1162" s="23"/>
      <c r="CI1162" s="23"/>
    </row>
    <row r="1163" spans="1:87" x14ac:dyDescent="0.3">
      <c r="A1163" s="9" t="s">
        <v>9176</v>
      </c>
      <c r="B1163" s="10" t="s">
        <v>9177</v>
      </c>
      <c r="C1163" s="11">
        <v>45921.833333333336</v>
      </c>
      <c r="D1163" s="12">
        <v>8.3333333333333329E-2</v>
      </c>
      <c r="E1163" s="11">
        <v>45921.916666666664</v>
      </c>
      <c r="F1163" s="10" t="s">
        <v>3211</v>
      </c>
      <c r="G1163" s="13" t="b">
        <v>0</v>
      </c>
      <c r="H1163" s="10" t="s">
        <v>3212</v>
      </c>
      <c r="I1163" s="10" t="s">
        <v>3213</v>
      </c>
      <c r="J1163" s="13" t="b">
        <v>0</v>
      </c>
      <c r="K1163" s="13" t="b">
        <v>1</v>
      </c>
      <c r="L1163" s="10" t="s">
        <v>124</v>
      </c>
      <c r="M1163" s="10" t="s">
        <v>91</v>
      </c>
      <c r="N1163" s="10" t="s">
        <v>92</v>
      </c>
      <c r="O1163" s="19" t="s">
        <v>9178</v>
      </c>
      <c r="P1163" s="10" t="s">
        <v>3215</v>
      </c>
      <c r="Q1163" s="10" t="s">
        <v>126</v>
      </c>
      <c r="R1163" s="10"/>
      <c r="S1163" s="19" t="s">
        <v>9179</v>
      </c>
      <c r="T1163" s="19" t="s">
        <v>9171</v>
      </c>
      <c r="U1163" s="10" t="s">
        <v>3279</v>
      </c>
      <c r="V1163" s="10" t="s">
        <v>3308</v>
      </c>
      <c r="W1163" s="10" t="s">
        <v>3219</v>
      </c>
      <c r="X1163" s="10" t="s">
        <v>130</v>
      </c>
      <c r="Y1163" s="10" t="s">
        <v>130</v>
      </c>
      <c r="Z1163" s="10" t="s">
        <v>99</v>
      </c>
      <c r="AA1163" s="10" t="s">
        <v>131</v>
      </c>
      <c r="AB1163" s="10" t="s">
        <v>3220</v>
      </c>
      <c r="AC1163" s="10" t="s">
        <v>3221</v>
      </c>
      <c r="AD1163" s="10" t="s">
        <v>9180</v>
      </c>
      <c r="AE1163" s="10" t="s">
        <v>9181</v>
      </c>
      <c r="AF1163" s="15"/>
      <c r="AG1163" s="10"/>
      <c r="AH1163" s="10"/>
      <c r="AI1163" s="10"/>
      <c r="AJ1163" s="10"/>
      <c r="AK1163" s="10" t="s">
        <v>102</v>
      </c>
      <c r="AL1163" s="10" t="s">
        <v>156</v>
      </c>
      <c r="AM1163" s="10"/>
      <c r="AN1163" s="10"/>
      <c r="AO1163" s="13" t="b">
        <v>0</v>
      </c>
      <c r="AP1163" s="10" t="s">
        <v>104</v>
      </c>
      <c r="AQ1163" s="10">
        <f ca="1">IFERROR(__xludf.DUMMYFUNCTION("""COMPUTED_VALUE"""),4579879)</f>
        <v>4579879</v>
      </c>
      <c r="AR1163" s="17">
        <v>21348</v>
      </c>
      <c r="AS1163" s="17">
        <v>16191</v>
      </c>
      <c r="AT1163" s="17">
        <v>114351.25</v>
      </c>
      <c r="AU1163" s="17">
        <v>26.35</v>
      </c>
      <c r="AV1163" s="17">
        <v>8.1</v>
      </c>
      <c r="AW1163" s="10" t="s">
        <v>105</v>
      </c>
      <c r="AX1163" s="17">
        <v>4382</v>
      </c>
      <c r="AY1163" s="18">
        <v>7.0626428262615031</v>
      </c>
      <c r="AZ1163" s="10" t="s">
        <v>117</v>
      </c>
      <c r="BA1163" s="20" t="b">
        <v>0</v>
      </c>
      <c r="BB1163" s="10"/>
      <c r="BC1163" s="17">
        <v>21348</v>
      </c>
      <c r="BD1163" s="17">
        <v>16191</v>
      </c>
      <c r="BE1163" s="17">
        <v>114351.25</v>
      </c>
      <c r="BF1163" s="17">
        <v>8.1</v>
      </c>
      <c r="BG1163" s="11">
        <f ca="1">IFERROR(__xludf.DUMMYFUNCTION("""COMPUTED_VALUE"""),45921.8333333333)</f>
        <v>45921.833333333299</v>
      </c>
      <c r="BH1163" s="17" t="s">
        <v>105</v>
      </c>
      <c r="BI1163" s="17"/>
      <c r="BJ1163" s="15"/>
      <c r="BK1163" s="15"/>
      <c r="BL1163" s="13" t="b">
        <v>0</v>
      </c>
      <c r="BM1163" s="10"/>
      <c r="BN1163" s="10" t="s">
        <v>117</v>
      </c>
      <c r="BO1163" s="11">
        <v>45904.28402777778</v>
      </c>
      <c r="BP1163" s="11">
        <v>45904.602673611109</v>
      </c>
      <c r="BQ1163" s="15">
        <v>45918.487662037034</v>
      </c>
      <c r="BR1163" s="15">
        <v>45918.570868055554</v>
      </c>
      <c r="BS1163" s="10"/>
      <c r="BT1163" s="10"/>
      <c r="BU1163" s="10"/>
      <c r="BV1163" s="10"/>
      <c r="BW1163" s="10"/>
      <c r="BX1163" s="10"/>
      <c r="BY1163" s="23"/>
      <c r="BZ1163" s="23"/>
      <c r="CA1163" s="19" t="s">
        <v>9182</v>
      </c>
      <c r="CB1163" s="19" t="s">
        <v>9183</v>
      </c>
      <c r="CC1163" s="23"/>
      <c r="CD1163" s="19" t="s">
        <v>9184</v>
      </c>
      <c r="CE1163" s="23"/>
      <c r="CF1163" s="23"/>
      <c r="CG1163" s="23"/>
      <c r="CH1163" s="23"/>
      <c r="CI1163" s="23"/>
    </row>
    <row r="1164" spans="1:87" x14ac:dyDescent="0.3">
      <c r="A1164" s="9" t="s">
        <v>9185</v>
      </c>
      <c r="B1164" s="10" t="s">
        <v>9186</v>
      </c>
      <c r="C1164" s="11">
        <v>45921.729166666664</v>
      </c>
      <c r="D1164" s="12">
        <v>8.3333333333333329E-2</v>
      </c>
      <c r="E1164" s="11">
        <v>45921.8125</v>
      </c>
      <c r="F1164" s="10" t="s">
        <v>3211</v>
      </c>
      <c r="G1164" s="13" t="b">
        <v>0</v>
      </c>
      <c r="H1164" s="10" t="s">
        <v>3212</v>
      </c>
      <c r="I1164" s="10" t="s">
        <v>3213</v>
      </c>
      <c r="J1164" s="13" t="b">
        <v>0</v>
      </c>
      <c r="K1164" s="13" t="b">
        <v>1</v>
      </c>
      <c r="L1164" s="10" t="s">
        <v>124</v>
      </c>
      <c r="M1164" s="10" t="s">
        <v>91</v>
      </c>
      <c r="N1164" s="10" t="s">
        <v>92</v>
      </c>
      <c r="O1164" s="19" t="s">
        <v>9187</v>
      </c>
      <c r="P1164" s="10" t="s">
        <v>3215</v>
      </c>
      <c r="Q1164" s="10" t="s">
        <v>126</v>
      </c>
      <c r="R1164" s="10"/>
      <c r="S1164" s="19" t="s">
        <v>9188</v>
      </c>
      <c r="T1164" s="19" t="s">
        <v>9171</v>
      </c>
      <c r="U1164" s="10" t="s">
        <v>3250</v>
      </c>
      <c r="V1164" s="10" t="s">
        <v>3229</v>
      </c>
      <c r="W1164" s="10" t="s">
        <v>3219</v>
      </c>
      <c r="X1164" s="10" t="s">
        <v>130</v>
      </c>
      <c r="Y1164" s="10" t="s">
        <v>130</v>
      </c>
      <c r="Z1164" s="10" t="s">
        <v>99</v>
      </c>
      <c r="AA1164" s="10" t="s">
        <v>131</v>
      </c>
      <c r="AB1164" s="10" t="s">
        <v>3220</v>
      </c>
      <c r="AC1164" s="10" t="s">
        <v>3221</v>
      </c>
      <c r="AD1164" s="10" t="s">
        <v>9189</v>
      </c>
      <c r="AE1164" s="10" t="s">
        <v>9190</v>
      </c>
      <c r="AF1164" s="15"/>
      <c r="AG1164" s="10"/>
      <c r="AH1164" s="10"/>
      <c r="AI1164" s="10"/>
      <c r="AJ1164" s="10"/>
      <c r="AK1164" s="10" t="s">
        <v>102</v>
      </c>
      <c r="AL1164" s="10" t="s">
        <v>156</v>
      </c>
      <c r="AM1164" s="10"/>
      <c r="AN1164" s="10"/>
      <c r="AO1164" s="13" t="b">
        <v>1</v>
      </c>
      <c r="AP1164" s="10" t="s">
        <v>104</v>
      </c>
      <c r="AQ1164" s="10">
        <f ca="1">IFERROR(__xludf.DUMMYFUNCTION("""COMPUTED_VALUE"""),4579877)</f>
        <v>4579877</v>
      </c>
      <c r="AR1164" s="17">
        <v>91796</v>
      </c>
      <c r="AS1164" s="17">
        <v>61151</v>
      </c>
      <c r="AT1164" s="17">
        <v>1633445.5</v>
      </c>
      <c r="AU1164" s="17">
        <v>624</v>
      </c>
      <c r="AV1164" s="17">
        <v>169.6</v>
      </c>
      <c r="AW1164" s="10" t="s">
        <v>105</v>
      </c>
      <c r="AX1164" s="17">
        <v>18011</v>
      </c>
      <c r="AY1164" s="18">
        <v>26.711672744517671</v>
      </c>
      <c r="AZ1164" s="10" t="s">
        <v>117</v>
      </c>
      <c r="BA1164" s="20" t="b">
        <v>0</v>
      </c>
      <c r="BB1164" s="10"/>
      <c r="BC1164" s="17">
        <v>91796</v>
      </c>
      <c r="BD1164" s="17">
        <v>61151</v>
      </c>
      <c r="BE1164" s="17">
        <v>1633445.5</v>
      </c>
      <c r="BF1164" s="17">
        <v>169.6</v>
      </c>
      <c r="BG1164" s="11">
        <f ca="1">IFERROR(__xludf.DUMMYFUNCTION("""COMPUTED_VALUE"""),45921.7291666666)</f>
        <v>45921.729166666599</v>
      </c>
      <c r="BH1164" s="17" t="s">
        <v>105</v>
      </c>
      <c r="BI1164" s="17"/>
      <c r="BJ1164" s="15"/>
      <c r="BK1164" s="15"/>
      <c r="BL1164" s="13" t="b">
        <v>0</v>
      </c>
      <c r="BM1164" s="10"/>
      <c r="BN1164" s="10" t="s">
        <v>455</v>
      </c>
      <c r="BO1164" s="11">
        <v>45904.28402777778</v>
      </c>
      <c r="BP1164" s="11">
        <v>45904.602372685185</v>
      </c>
      <c r="BQ1164" s="15">
        <v>45918.487303240741</v>
      </c>
      <c r="BR1164" s="15">
        <v>45918.548125000001</v>
      </c>
      <c r="BS1164" s="10" t="s">
        <v>455</v>
      </c>
      <c r="BT1164" s="10" t="s">
        <v>99</v>
      </c>
      <c r="BU1164" s="10" t="s">
        <v>931</v>
      </c>
      <c r="BV1164" s="10"/>
      <c r="BW1164" s="10"/>
      <c r="BX1164" s="10"/>
      <c r="BY1164" s="23"/>
      <c r="BZ1164" s="23"/>
      <c r="CA1164" s="19" t="s">
        <v>9191</v>
      </c>
      <c r="CB1164" s="19" t="s">
        <v>9192</v>
      </c>
      <c r="CC1164" s="23"/>
      <c r="CD1164" s="19" t="s">
        <v>9193</v>
      </c>
      <c r="CE1164" s="23"/>
      <c r="CF1164" s="23"/>
      <c r="CG1164" s="23"/>
      <c r="CH1164" s="23"/>
      <c r="CI1164" s="23"/>
    </row>
    <row r="1165" spans="1:87" x14ac:dyDescent="0.3">
      <c r="A1165" s="9" t="s">
        <v>9194</v>
      </c>
      <c r="B1165" s="10" t="s">
        <v>9195</v>
      </c>
      <c r="C1165" s="11">
        <v>45921.958333333336</v>
      </c>
      <c r="D1165" s="12">
        <v>8.3333333333333329E-2</v>
      </c>
      <c r="E1165" s="11">
        <v>45922.041666666664</v>
      </c>
      <c r="F1165" s="10" t="s">
        <v>3211</v>
      </c>
      <c r="G1165" s="13" t="b">
        <v>0</v>
      </c>
      <c r="H1165" s="10" t="s">
        <v>3212</v>
      </c>
      <c r="I1165" s="10" t="s">
        <v>3213</v>
      </c>
      <c r="J1165" s="13" t="b">
        <v>0</v>
      </c>
      <c r="K1165" s="13" t="b">
        <v>1</v>
      </c>
      <c r="L1165" s="10" t="s">
        <v>124</v>
      </c>
      <c r="M1165" s="10" t="s">
        <v>91</v>
      </c>
      <c r="N1165" s="10" t="s">
        <v>92</v>
      </c>
      <c r="O1165" s="19" t="s">
        <v>9196</v>
      </c>
      <c r="P1165" s="10" t="s">
        <v>3215</v>
      </c>
      <c r="Q1165" s="10" t="s">
        <v>126</v>
      </c>
      <c r="R1165" s="10"/>
      <c r="S1165" s="19" t="s">
        <v>9197</v>
      </c>
      <c r="T1165" s="19" t="s">
        <v>9171</v>
      </c>
      <c r="U1165" s="10" t="s">
        <v>3240</v>
      </c>
      <c r="V1165" s="10" t="s">
        <v>3249</v>
      </c>
      <c r="W1165" s="10" t="s">
        <v>3219</v>
      </c>
      <c r="X1165" s="10" t="s">
        <v>130</v>
      </c>
      <c r="Y1165" s="10" t="s">
        <v>130</v>
      </c>
      <c r="Z1165" s="10" t="s">
        <v>99</v>
      </c>
      <c r="AA1165" s="10" t="s">
        <v>131</v>
      </c>
      <c r="AB1165" s="10" t="s">
        <v>3220</v>
      </c>
      <c r="AC1165" s="10" t="s">
        <v>3221</v>
      </c>
      <c r="AD1165" s="10" t="s">
        <v>9198</v>
      </c>
      <c r="AE1165" s="10" t="s">
        <v>9199</v>
      </c>
      <c r="AF1165" s="15"/>
      <c r="AG1165" s="10"/>
      <c r="AH1165" s="10"/>
      <c r="AI1165" s="10"/>
      <c r="AJ1165" s="10"/>
      <c r="AK1165" s="10" t="s">
        <v>102</v>
      </c>
      <c r="AL1165" s="10" t="s">
        <v>156</v>
      </c>
      <c r="AM1165" s="10"/>
      <c r="AN1165" s="10"/>
      <c r="AO1165" s="13" t="b">
        <v>0</v>
      </c>
      <c r="AP1165" s="10" t="s">
        <v>104</v>
      </c>
      <c r="AQ1165" s="10">
        <f ca="1">IFERROR(__xludf.DUMMYFUNCTION("""COMPUTED_VALUE"""),4583699)</f>
        <v>4583699</v>
      </c>
      <c r="AR1165" s="17">
        <v>27514</v>
      </c>
      <c r="AS1165" s="17">
        <v>23661</v>
      </c>
      <c r="AT1165" s="17">
        <v>470597</v>
      </c>
      <c r="AU1165" s="17">
        <v>101.6</v>
      </c>
      <c r="AV1165" s="17">
        <v>26.95</v>
      </c>
      <c r="AW1165" s="10" t="s">
        <v>105</v>
      </c>
      <c r="AX1165" s="17">
        <v>6358</v>
      </c>
      <c r="AY1165" s="18">
        <v>19.88914247073243</v>
      </c>
      <c r="AZ1165" s="10" t="s">
        <v>117</v>
      </c>
      <c r="BA1165" s="20" t="b">
        <v>0</v>
      </c>
      <c r="BB1165" s="10"/>
      <c r="BC1165" s="17">
        <v>27514</v>
      </c>
      <c r="BD1165" s="17">
        <v>23661</v>
      </c>
      <c r="BE1165" s="17">
        <v>470597</v>
      </c>
      <c r="BF1165" s="17">
        <v>26.95</v>
      </c>
      <c r="BG1165" s="11">
        <f ca="1">IFERROR(__xludf.DUMMYFUNCTION("""COMPUTED_VALUE"""),45921.9583333333)</f>
        <v>45921.958333333299</v>
      </c>
      <c r="BH1165" s="17" t="s">
        <v>105</v>
      </c>
      <c r="BI1165" s="17"/>
      <c r="BJ1165" s="15"/>
      <c r="BK1165" s="15"/>
      <c r="BL1165" s="13" t="b">
        <v>0</v>
      </c>
      <c r="BM1165" s="10"/>
      <c r="BN1165" s="10" t="s">
        <v>278</v>
      </c>
      <c r="BO1165" s="11">
        <v>45904.28402777778</v>
      </c>
      <c r="BP1165" s="11">
        <v>45904.603414351855</v>
      </c>
      <c r="BQ1165" s="15">
        <v>45919.482569444444</v>
      </c>
      <c r="BR1165" s="15">
        <v>45919.76767361111</v>
      </c>
      <c r="BS1165" s="10" t="s">
        <v>278</v>
      </c>
      <c r="BT1165" s="10" t="s">
        <v>99</v>
      </c>
      <c r="BU1165" s="10" t="s">
        <v>9200</v>
      </c>
      <c r="BV1165" s="10"/>
      <c r="BW1165" s="10"/>
      <c r="BX1165" s="10"/>
      <c r="BY1165" s="23"/>
      <c r="BZ1165" s="23"/>
      <c r="CA1165" s="19" t="s">
        <v>9201</v>
      </c>
      <c r="CB1165" s="19" t="s">
        <v>9202</v>
      </c>
      <c r="CC1165" s="23"/>
      <c r="CD1165" s="19" t="s">
        <v>9203</v>
      </c>
      <c r="CE1165" s="23"/>
      <c r="CF1165" s="23"/>
      <c r="CG1165" s="23"/>
      <c r="CH1165" s="23"/>
      <c r="CI1165" s="23"/>
    </row>
    <row r="1166" spans="1:87" x14ac:dyDescent="0.3">
      <c r="A1166" s="9" t="s">
        <v>9204</v>
      </c>
      <c r="B1166" s="10" t="s">
        <v>9205</v>
      </c>
      <c r="C1166" s="11">
        <v>45920.958333333336</v>
      </c>
      <c r="D1166" s="12">
        <v>8.3333333333333329E-2</v>
      </c>
      <c r="E1166" s="11">
        <v>45921.041666666664</v>
      </c>
      <c r="F1166" s="10" t="s">
        <v>3211</v>
      </c>
      <c r="G1166" s="13" t="b">
        <v>0</v>
      </c>
      <c r="H1166" s="10" t="s">
        <v>3212</v>
      </c>
      <c r="I1166" s="10" t="s">
        <v>3213</v>
      </c>
      <c r="J1166" s="13" t="b">
        <v>0</v>
      </c>
      <c r="K1166" s="13" t="b">
        <v>1</v>
      </c>
      <c r="L1166" s="10" t="s">
        <v>124</v>
      </c>
      <c r="M1166" s="10" t="s">
        <v>91</v>
      </c>
      <c r="N1166" s="10" t="s">
        <v>92</v>
      </c>
      <c r="O1166" s="19" t="s">
        <v>9206</v>
      </c>
      <c r="P1166" s="10" t="s">
        <v>3215</v>
      </c>
      <c r="Q1166" s="10" t="s">
        <v>126</v>
      </c>
      <c r="R1166" s="10"/>
      <c r="S1166" s="19" t="s">
        <v>9207</v>
      </c>
      <c r="T1166" s="19" t="s">
        <v>9171</v>
      </c>
      <c r="U1166" s="10" t="s">
        <v>3270</v>
      </c>
      <c r="V1166" s="10" t="s">
        <v>3259</v>
      </c>
      <c r="W1166" s="10" t="s">
        <v>3219</v>
      </c>
      <c r="X1166" s="10" t="s">
        <v>130</v>
      </c>
      <c r="Y1166" s="10" t="s">
        <v>130</v>
      </c>
      <c r="Z1166" s="10" t="s">
        <v>99</v>
      </c>
      <c r="AA1166" s="10" t="s">
        <v>131</v>
      </c>
      <c r="AB1166" s="10" t="s">
        <v>3220</v>
      </c>
      <c r="AC1166" s="10" t="s">
        <v>3221</v>
      </c>
      <c r="AD1166" s="10" t="s">
        <v>9208</v>
      </c>
      <c r="AE1166" s="10" t="s">
        <v>9209</v>
      </c>
      <c r="AF1166" s="15"/>
      <c r="AG1166" s="10"/>
      <c r="AH1166" s="10"/>
      <c r="AI1166" s="10"/>
      <c r="AJ1166" s="10"/>
      <c r="AK1166" s="10" t="s">
        <v>102</v>
      </c>
      <c r="AL1166" s="10" t="s">
        <v>156</v>
      </c>
      <c r="AM1166" s="10"/>
      <c r="AN1166" s="10"/>
      <c r="AO1166" s="13" t="b">
        <v>1</v>
      </c>
      <c r="AP1166" s="10" t="s">
        <v>104</v>
      </c>
      <c r="AQ1166" s="10">
        <f ca="1">IFERROR(__xludf.DUMMYFUNCTION("""COMPUTED_VALUE"""),4579875)</f>
        <v>4579875</v>
      </c>
      <c r="AR1166" s="17">
        <v>81788</v>
      </c>
      <c r="AS1166" s="17">
        <v>64967</v>
      </c>
      <c r="AT1166" s="17">
        <v>1212874</v>
      </c>
      <c r="AU1166" s="17">
        <v>806.3</v>
      </c>
      <c r="AV1166" s="17">
        <v>246.1</v>
      </c>
      <c r="AW1166" s="10" t="s">
        <v>105</v>
      </c>
      <c r="AX1166" s="17">
        <v>18261</v>
      </c>
      <c r="AY1166" s="18">
        <v>18.669078147367124</v>
      </c>
      <c r="AZ1166" s="10" t="s">
        <v>117</v>
      </c>
      <c r="BA1166" s="20" t="b">
        <v>0</v>
      </c>
      <c r="BB1166" s="10"/>
      <c r="BC1166" s="17">
        <v>81788</v>
      </c>
      <c r="BD1166" s="17">
        <v>64967</v>
      </c>
      <c r="BE1166" s="17">
        <v>1212874</v>
      </c>
      <c r="BF1166" s="17">
        <v>246.1</v>
      </c>
      <c r="BG1166" s="11">
        <f ca="1">IFERROR(__xludf.DUMMYFUNCTION("""COMPUTED_VALUE"""),45920.9583333333)</f>
        <v>45920.958333333299</v>
      </c>
      <c r="BH1166" s="17" t="s">
        <v>105</v>
      </c>
      <c r="BI1166" s="17"/>
      <c r="BJ1166" s="15"/>
      <c r="BK1166" s="15"/>
      <c r="BL1166" s="13" t="b">
        <v>0</v>
      </c>
      <c r="BM1166" s="10"/>
      <c r="BN1166" s="10" t="s">
        <v>634</v>
      </c>
      <c r="BO1166" s="11">
        <v>45904.28402777778</v>
      </c>
      <c r="BP1166" s="11">
        <v>45904.6018287037</v>
      </c>
      <c r="BQ1166" s="15">
        <v>45918.486388888887</v>
      </c>
      <c r="BR1166" s="15">
        <v>45918.542708333334</v>
      </c>
      <c r="BS1166" s="10" t="s">
        <v>634</v>
      </c>
      <c r="BT1166" s="10" t="s">
        <v>99</v>
      </c>
      <c r="BU1166" s="10" t="s">
        <v>8038</v>
      </c>
      <c r="BV1166" s="10"/>
      <c r="BW1166" s="10"/>
      <c r="BX1166" s="10"/>
      <c r="BY1166" s="23"/>
      <c r="BZ1166" s="23"/>
      <c r="CA1166" s="19" t="s">
        <v>9210</v>
      </c>
      <c r="CB1166" s="19" t="s">
        <v>9211</v>
      </c>
      <c r="CC1166" s="23"/>
      <c r="CD1166" s="19" t="s">
        <v>9212</v>
      </c>
      <c r="CE1166" s="23"/>
      <c r="CF1166" s="23"/>
      <c r="CG1166" s="23"/>
      <c r="CH1166" s="23"/>
      <c r="CI1166" s="23"/>
    </row>
    <row r="1167" spans="1:87" x14ac:dyDescent="0.3">
      <c r="A1167" s="9" t="s">
        <v>9213</v>
      </c>
      <c r="B1167" s="10" t="s">
        <v>9214</v>
      </c>
      <c r="C1167" s="11">
        <v>45920.072916666664</v>
      </c>
      <c r="D1167" s="12">
        <v>8.3333333333333329E-2</v>
      </c>
      <c r="E1167" s="11">
        <v>45920.15625</v>
      </c>
      <c r="F1167" s="10" t="s">
        <v>3211</v>
      </c>
      <c r="G1167" s="13" t="b">
        <v>0</v>
      </c>
      <c r="H1167" s="10" t="s">
        <v>3212</v>
      </c>
      <c r="I1167" s="10" t="s">
        <v>3213</v>
      </c>
      <c r="J1167" s="13" t="b">
        <v>0</v>
      </c>
      <c r="K1167" s="13" t="b">
        <v>1</v>
      </c>
      <c r="L1167" s="10" t="s">
        <v>124</v>
      </c>
      <c r="M1167" s="10" t="s">
        <v>91</v>
      </c>
      <c r="N1167" s="10" t="s">
        <v>92</v>
      </c>
      <c r="O1167" s="19" t="s">
        <v>9215</v>
      </c>
      <c r="P1167" s="10" t="s">
        <v>3215</v>
      </c>
      <c r="Q1167" s="10" t="s">
        <v>94</v>
      </c>
      <c r="R1167" s="10"/>
      <c r="S1167" s="19" t="s">
        <v>9216</v>
      </c>
      <c r="T1167" s="19" t="s">
        <v>9171</v>
      </c>
      <c r="U1167" s="10" t="s">
        <v>3218</v>
      </c>
      <c r="V1167" s="10" t="s">
        <v>3239</v>
      </c>
      <c r="W1167" s="10" t="s">
        <v>3219</v>
      </c>
      <c r="X1167" s="10" t="s">
        <v>130</v>
      </c>
      <c r="Y1167" s="10" t="s">
        <v>130</v>
      </c>
      <c r="Z1167" s="10" t="s">
        <v>99</v>
      </c>
      <c r="AA1167" s="10" t="s">
        <v>131</v>
      </c>
      <c r="AB1167" s="10" t="s">
        <v>3220</v>
      </c>
      <c r="AC1167" s="10" t="s">
        <v>3221</v>
      </c>
      <c r="AD1167" s="10" t="s">
        <v>9217</v>
      </c>
      <c r="AE1167" s="10" t="s">
        <v>9218</v>
      </c>
      <c r="AF1167" s="15"/>
      <c r="AG1167" s="10"/>
      <c r="AH1167" s="10"/>
      <c r="AI1167" s="10"/>
      <c r="AJ1167" s="10"/>
      <c r="AK1167" s="10" t="s">
        <v>102</v>
      </c>
      <c r="AL1167" s="10" t="s">
        <v>156</v>
      </c>
      <c r="AM1167" s="10"/>
      <c r="AN1167" s="10"/>
      <c r="AO1167" s="13" t="b">
        <v>0</v>
      </c>
      <c r="AP1167" s="10" t="s">
        <v>104</v>
      </c>
      <c r="AQ1167" s="10">
        <f ca="1">IFERROR(__xludf.DUMMYFUNCTION("""COMPUTED_VALUE"""),4579873)</f>
        <v>4579873</v>
      </c>
      <c r="AR1167" s="17">
        <v>4746</v>
      </c>
      <c r="AS1167" s="17">
        <v>3642</v>
      </c>
      <c r="AT1167" s="17">
        <v>80427.5</v>
      </c>
      <c r="AU1167" s="17">
        <v>9.8000000000000007</v>
      </c>
      <c r="AV1167" s="17">
        <v>1.1000000000000001</v>
      </c>
      <c r="AW1167" s="10" t="s">
        <v>105</v>
      </c>
      <c r="AX1167" s="17">
        <v>761</v>
      </c>
      <c r="AY1167" s="18">
        <v>22.083333333333332</v>
      </c>
      <c r="AZ1167" s="10" t="s">
        <v>117</v>
      </c>
      <c r="BA1167" s="20" t="b">
        <v>0</v>
      </c>
      <c r="BB1167" s="10"/>
      <c r="BC1167" s="17">
        <v>4746</v>
      </c>
      <c r="BD1167" s="17">
        <v>3642</v>
      </c>
      <c r="BE1167" s="17">
        <v>80427.5</v>
      </c>
      <c r="BF1167" s="17">
        <v>1.1000000000000001</v>
      </c>
      <c r="BG1167" s="11">
        <f ca="1">IFERROR(__xludf.DUMMYFUNCTION("""COMPUTED_VALUE"""),45920.0729166666)</f>
        <v>45920.072916666599</v>
      </c>
      <c r="BH1167" s="17" t="s">
        <v>105</v>
      </c>
      <c r="BI1167" s="17"/>
      <c r="BJ1167" s="15"/>
      <c r="BK1167" s="15"/>
      <c r="BL1167" s="13" t="b">
        <v>0</v>
      </c>
      <c r="BM1167" s="10"/>
      <c r="BN1167" s="10" t="s">
        <v>117</v>
      </c>
      <c r="BO1167" s="11">
        <v>45904.28402777778</v>
      </c>
      <c r="BP1167" s="11">
        <v>45904.601527777777</v>
      </c>
      <c r="BQ1167" s="15">
        <v>45918.48605324074</v>
      </c>
      <c r="BR1167" s="15">
        <v>45918.5390162037</v>
      </c>
      <c r="BS1167" s="10"/>
      <c r="BT1167" s="10"/>
      <c r="BU1167" s="10"/>
      <c r="BV1167" s="10"/>
      <c r="BW1167" s="10"/>
      <c r="BX1167" s="10"/>
      <c r="BY1167" s="23"/>
      <c r="BZ1167" s="23"/>
      <c r="CA1167" s="19" t="s">
        <v>9219</v>
      </c>
      <c r="CB1167" s="19" t="s">
        <v>9220</v>
      </c>
      <c r="CC1167" s="23"/>
      <c r="CD1167" s="23"/>
      <c r="CE1167" s="23"/>
      <c r="CF1167" s="23"/>
      <c r="CG1167" s="23"/>
      <c r="CH1167" s="23"/>
      <c r="CI1167" s="23"/>
    </row>
    <row r="1168" spans="1:87" x14ac:dyDescent="0.3">
      <c r="A1168" s="9" t="s">
        <v>9221</v>
      </c>
      <c r="B1168" s="10" t="s">
        <v>9222</v>
      </c>
      <c r="C1168" s="11">
        <v>45922.072916666664</v>
      </c>
      <c r="D1168" s="12">
        <v>8.3333333333333329E-2</v>
      </c>
      <c r="E1168" s="11">
        <v>45922.15625</v>
      </c>
      <c r="F1168" s="10" t="s">
        <v>3211</v>
      </c>
      <c r="G1168" s="13" t="b">
        <v>0</v>
      </c>
      <c r="H1168" s="10" t="s">
        <v>3212</v>
      </c>
      <c r="I1168" s="10" t="s">
        <v>3213</v>
      </c>
      <c r="J1168" s="13" t="b">
        <v>0</v>
      </c>
      <c r="K1168" s="13" t="b">
        <v>1</v>
      </c>
      <c r="L1168" s="10" t="s">
        <v>124</v>
      </c>
      <c r="M1168" s="10" t="s">
        <v>91</v>
      </c>
      <c r="N1168" s="10" t="s">
        <v>92</v>
      </c>
      <c r="O1168" s="19" t="s">
        <v>9223</v>
      </c>
      <c r="P1168" s="10" t="s">
        <v>3215</v>
      </c>
      <c r="Q1168" s="10" t="s">
        <v>126</v>
      </c>
      <c r="R1168" s="10"/>
      <c r="S1168" s="19" t="s">
        <v>9224</v>
      </c>
      <c r="T1168" s="19" t="s">
        <v>9171</v>
      </c>
      <c r="U1168" s="10" t="s">
        <v>3278</v>
      </c>
      <c r="V1168" s="10" t="s">
        <v>3429</v>
      </c>
      <c r="W1168" s="10" t="s">
        <v>3219</v>
      </c>
      <c r="X1168" s="10" t="s">
        <v>130</v>
      </c>
      <c r="Y1168" s="10" t="s">
        <v>130</v>
      </c>
      <c r="Z1168" s="10" t="s">
        <v>99</v>
      </c>
      <c r="AA1168" s="10" t="s">
        <v>131</v>
      </c>
      <c r="AB1168" s="10" t="s">
        <v>3220</v>
      </c>
      <c r="AC1168" s="10" t="s">
        <v>3221</v>
      </c>
      <c r="AD1168" s="10" t="s">
        <v>9225</v>
      </c>
      <c r="AE1168" s="10" t="s">
        <v>9226</v>
      </c>
      <c r="AF1168" s="15"/>
      <c r="AG1168" s="10"/>
      <c r="AH1168" s="10"/>
      <c r="AI1168" s="10"/>
      <c r="AJ1168" s="10"/>
      <c r="AK1168" s="10" t="s">
        <v>102</v>
      </c>
      <c r="AL1168" s="10" t="s">
        <v>156</v>
      </c>
      <c r="AM1168" s="10"/>
      <c r="AN1168" s="10"/>
      <c r="AO1168" s="13" t="b">
        <v>1</v>
      </c>
      <c r="AP1168" s="10" t="s">
        <v>104</v>
      </c>
      <c r="AQ1168" s="10">
        <f ca="1">IFERROR(__xludf.DUMMYFUNCTION("""COMPUTED_VALUE"""),4585686)</f>
        <v>4585686</v>
      </c>
      <c r="AR1168" s="17">
        <v>41385</v>
      </c>
      <c r="AS1168" s="17">
        <v>28993</v>
      </c>
      <c r="AT1168" s="17">
        <v>1179217.75</v>
      </c>
      <c r="AU1168" s="17">
        <v>239.8</v>
      </c>
      <c r="AV1168" s="17">
        <v>61.1</v>
      </c>
      <c r="AW1168" s="10" t="s">
        <v>105</v>
      </c>
      <c r="AX1168" s="17">
        <v>11429</v>
      </c>
      <c r="AY1168" s="18">
        <v>40.672498534128927</v>
      </c>
      <c r="AZ1168" s="10" t="s">
        <v>117</v>
      </c>
      <c r="BA1168" s="20" t="b">
        <v>0</v>
      </c>
      <c r="BB1168" s="10"/>
      <c r="BC1168" s="17">
        <v>41385</v>
      </c>
      <c r="BD1168" s="17">
        <v>28993</v>
      </c>
      <c r="BE1168" s="17">
        <v>1179217.75</v>
      </c>
      <c r="BF1168" s="17">
        <v>61.1</v>
      </c>
      <c r="BG1168" s="11">
        <f ca="1">IFERROR(__xludf.DUMMYFUNCTION("""COMPUTED_VALUE"""),45922.0729166666)</f>
        <v>45922.072916666599</v>
      </c>
      <c r="BH1168" s="17" t="s">
        <v>105</v>
      </c>
      <c r="BI1168" s="17"/>
      <c r="BJ1168" s="15"/>
      <c r="BK1168" s="15"/>
      <c r="BL1168" s="13" t="b">
        <v>0</v>
      </c>
      <c r="BM1168" s="10"/>
      <c r="BN1168" s="10" t="s">
        <v>278</v>
      </c>
      <c r="BO1168" s="11">
        <v>45904.28402777778</v>
      </c>
      <c r="BP1168" s="11">
        <v>45904.603668981479</v>
      </c>
      <c r="BQ1168" s="15">
        <v>45919.48364583333</v>
      </c>
      <c r="BR1168" s="15">
        <v>45920.421898148146</v>
      </c>
      <c r="BS1168" s="10" t="s">
        <v>278</v>
      </c>
      <c r="BT1168" s="10" t="s">
        <v>99</v>
      </c>
      <c r="BU1168" s="10" t="s">
        <v>8013</v>
      </c>
      <c r="BV1168" s="10" t="s">
        <v>281</v>
      </c>
      <c r="BW1168" s="10" t="s">
        <v>9227</v>
      </c>
      <c r="BX1168" s="19" t="s">
        <v>9228</v>
      </c>
      <c r="BY1168" s="23"/>
      <c r="BZ1168" s="23"/>
      <c r="CA1168" s="19" t="s">
        <v>9229</v>
      </c>
      <c r="CB1168" s="19" t="s">
        <v>9230</v>
      </c>
      <c r="CC1168" s="23"/>
      <c r="CD1168" s="19" t="s">
        <v>9231</v>
      </c>
      <c r="CE1168" s="23"/>
      <c r="CF1168" s="23"/>
      <c r="CG1168" s="23"/>
      <c r="CH1168" s="23"/>
      <c r="CI1168" s="23"/>
    </row>
    <row r="1169" spans="1:87" x14ac:dyDescent="0.3">
      <c r="A1169" s="9" t="s">
        <v>9232</v>
      </c>
      <c r="B1169" s="10" t="s">
        <v>9233</v>
      </c>
      <c r="C1169" s="11">
        <v>45921.072916666664</v>
      </c>
      <c r="D1169" s="12">
        <v>8.3333333333333329E-2</v>
      </c>
      <c r="E1169" s="11">
        <v>45921.15625</v>
      </c>
      <c r="F1169" s="10" t="s">
        <v>3211</v>
      </c>
      <c r="G1169" s="13" t="b">
        <v>0</v>
      </c>
      <c r="H1169" s="10" t="s">
        <v>3212</v>
      </c>
      <c r="I1169" s="10" t="s">
        <v>3213</v>
      </c>
      <c r="J1169" s="13" t="b">
        <v>0</v>
      </c>
      <c r="K1169" s="13" t="b">
        <v>1</v>
      </c>
      <c r="L1169" s="10" t="s">
        <v>124</v>
      </c>
      <c r="M1169" s="10" t="s">
        <v>91</v>
      </c>
      <c r="N1169" s="10" t="s">
        <v>92</v>
      </c>
      <c r="O1169" s="19" t="s">
        <v>9234</v>
      </c>
      <c r="P1169" s="10" t="s">
        <v>3215</v>
      </c>
      <c r="Q1169" s="10" t="s">
        <v>126</v>
      </c>
      <c r="R1169" s="10"/>
      <c r="S1169" s="19" t="s">
        <v>9235</v>
      </c>
      <c r="T1169" s="19" t="s">
        <v>9171</v>
      </c>
      <c r="U1169" s="10" t="s">
        <v>3269</v>
      </c>
      <c r="V1169" s="10" t="s">
        <v>3289</v>
      </c>
      <c r="W1169" s="10" t="s">
        <v>3219</v>
      </c>
      <c r="X1169" s="10" t="s">
        <v>130</v>
      </c>
      <c r="Y1169" s="10" t="s">
        <v>130</v>
      </c>
      <c r="Z1169" s="10" t="s">
        <v>99</v>
      </c>
      <c r="AA1169" s="10" t="s">
        <v>131</v>
      </c>
      <c r="AB1169" s="10" t="s">
        <v>3220</v>
      </c>
      <c r="AC1169" s="10" t="s">
        <v>3221</v>
      </c>
      <c r="AD1169" s="10" t="s">
        <v>9236</v>
      </c>
      <c r="AE1169" s="10" t="s">
        <v>9237</v>
      </c>
      <c r="AF1169" s="15"/>
      <c r="AG1169" s="10"/>
      <c r="AH1169" s="10"/>
      <c r="AI1169" s="10"/>
      <c r="AJ1169" s="10"/>
      <c r="AK1169" s="10" t="s">
        <v>102</v>
      </c>
      <c r="AL1169" s="10" t="s">
        <v>156</v>
      </c>
      <c r="AM1169" s="10"/>
      <c r="AN1169" s="10"/>
      <c r="AO1169" s="13" t="b">
        <v>1</v>
      </c>
      <c r="AP1169" s="10" t="s">
        <v>104</v>
      </c>
      <c r="AQ1169" s="10">
        <f ca="1">IFERROR(__xludf.DUMMYFUNCTION("""COMPUTED_VALUE"""),4579876)</f>
        <v>4579876</v>
      </c>
      <c r="AR1169" s="17">
        <v>45521</v>
      </c>
      <c r="AS1169" s="17">
        <v>32145</v>
      </c>
      <c r="AT1169" s="17">
        <v>1512311.25</v>
      </c>
      <c r="AU1169" s="17">
        <v>380.1</v>
      </c>
      <c r="AV1169" s="17">
        <v>131.85</v>
      </c>
      <c r="AW1169" s="10" t="s">
        <v>105</v>
      </c>
      <c r="AX1169" s="17">
        <v>13437</v>
      </c>
      <c r="AY1169" s="18">
        <v>47.046546896873544</v>
      </c>
      <c r="AZ1169" s="10" t="s">
        <v>117</v>
      </c>
      <c r="BA1169" s="20" t="b">
        <v>0</v>
      </c>
      <c r="BB1169" s="10"/>
      <c r="BC1169" s="17">
        <v>45521</v>
      </c>
      <c r="BD1169" s="17">
        <v>32145</v>
      </c>
      <c r="BE1169" s="17">
        <v>1512311.25</v>
      </c>
      <c r="BF1169" s="17">
        <v>131.85</v>
      </c>
      <c r="BG1169" s="11">
        <f ca="1">IFERROR(__xludf.DUMMYFUNCTION("""COMPUTED_VALUE"""),45921.0729166666)</f>
        <v>45921.072916666599</v>
      </c>
      <c r="BH1169" s="17" t="s">
        <v>105</v>
      </c>
      <c r="BI1169" s="17"/>
      <c r="BJ1169" s="15"/>
      <c r="BK1169" s="15"/>
      <c r="BL1169" s="13" t="b">
        <v>0</v>
      </c>
      <c r="BM1169" s="10"/>
      <c r="BN1169" s="10" t="s">
        <v>278</v>
      </c>
      <c r="BO1169" s="11">
        <v>45904.28402777778</v>
      </c>
      <c r="BP1169" s="11">
        <v>45904.602071759262</v>
      </c>
      <c r="BQ1169" s="15">
        <v>45918.487118055556</v>
      </c>
      <c r="BR1169" s="15">
        <v>45918.544768518521</v>
      </c>
      <c r="BS1169" s="10" t="s">
        <v>278</v>
      </c>
      <c r="BT1169" s="10" t="s">
        <v>99</v>
      </c>
      <c r="BU1169" s="10" t="s">
        <v>421</v>
      </c>
      <c r="BV1169" s="10"/>
      <c r="BW1169" s="10"/>
      <c r="BX1169" s="10"/>
      <c r="BY1169" s="23"/>
      <c r="BZ1169" s="23"/>
      <c r="CA1169" s="19" t="s">
        <v>9238</v>
      </c>
      <c r="CB1169" s="19" t="s">
        <v>9239</v>
      </c>
      <c r="CC1169" s="23"/>
      <c r="CD1169" s="19" t="s">
        <v>9240</v>
      </c>
      <c r="CE1169" s="23"/>
      <c r="CF1169" s="23"/>
      <c r="CG1169" s="23"/>
      <c r="CH1169" s="23"/>
      <c r="CI1169" s="23"/>
    </row>
    <row r="1170" spans="1:87" x14ac:dyDescent="0.3">
      <c r="A1170" s="9" t="s">
        <v>9241</v>
      </c>
      <c r="B1170" s="10" t="s">
        <v>9242</v>
      </c>
      <c r="C1170" s="11">
        <v>45921.833333333336</v>
      </c>
      <c r="D1170" s="12">
        <v>8.3333333333333329E-2</v>
      </c>
      <c r="E1170" s="11">
        <v>45921.916666666664</v>
      </c>
      <c r="F1170" s="10" t="s">
        <v>3211</v>
      </c>
      <c r="G1170" s="13" t="b">
        <v>0</v>
      </c>
      <c r="H1170" s="10" t="s">
        <v>3212</v>
      </c>
      <c r="I1170" s="10" t="s">
        <v>3213</v>
      </c>
      <c r="J1170" s="13" t="b">
        <v>0</v>
      </c>
      <c r="K1170" s="13" t="b">
        <v>1</v>
      </c>
      <c r="L1170" s="10" t="s">
        <v>124</v>
      </c>
      <c r="M1170" s="10" t="s">
        <v>91</v>
      </c>
      <c r="N1170" s="10" t="s">
        <v>92</v>
      </c>
      <c r="O1170" s="19" t="s">
        <v>9243</v>
      </c>
      <c r="P1170" s="10"/>
      <c r="Q1170" s="10" t="s">
        <v>126</v>
      </c>
      <c r="R1170" s="10"/>
      <c r="S1170" s="19" t="s">
        <v>9244</v>
      </c>
      <c r="T1170" s="19" t="s">
        <v>9171</v>
      </c>
      <c r="U1170" s="10" t="s">
        <v>3440</v>
      </c>
      <c r="V1170" s="10" t="s">
        <v>3260</v>
      </c>
      <c r="W1170" s="10" t="s">
        <v>3219</v>
      </c>
      <c r="X1170" s="10" t="s">
        <v>130</v>
      </c>
      <c r="Y1170" s="10" t="s">
        <v>130</v>
      </c>
      <c r="Z1170" s="10" t="s">
        <v>99</v>
      </c>
      <c r="AA1170" s="10" t="s">
        <v>131</v>
      </c>
      <c r="AB1170" s="10" t="s">
        <v>3220</v>
      </c>
      <c r="AC1170" s="10" t="s">
        <v>3221</v>
      </c>
      <c r="AD1170" s="10" t="s">
        <v>9245</v>
      </c>
      <c r="AE1170" s="10" t="s">
        <v>9246</v>
      </c>
      <c r="AF1170" s="15"/>
      <c r="AG1170" s="10"/>
      <c r="AH1170" s="10"/>
      <c r="AI1170" s="10"/>
      <c r="AJ1170" s="10"/>
      <c r="AK1170" s="10" t="s">
        <v>102</v>
      </c>
      <c r="AL1170" s="10" t="s">
        <v>156</v>
      </c>
      <c r="AM1170" s="10"/>
      <c r="AN1170" s="10"/>
      <c r="AO1170" s="13" t="b">
        <v>1</v>
      </c>
      <c r="AP1170" s="10" t="s">
        <v>104</v>
      </c>
      <c r="AQ1170" s="10">
        <f ca="1">IFERROR(__xludf.DUMMYFUNCTION("""COMPUTED_VALUE"""),4587121)</f>
        <v>4587121</v>
      </c>
      <c r="AR1170" s="17">
        <v>78824</v>
      </c>
      <c r="AS1170" s="17">
        <v>55354</v>
      </c>
      <c r="AT1170" s="17">
        <v>800754</v>
      </c>
      <c r="AU1170" s="17">
        <v>576.9</v>
      </c>
      <c r="AV1170" s="17">
        <v>110.6</v>
      </c>
      <c r="AW1170" s="10" t="s">
        <v>105</v>
      </c>
      <c r="AX1170" s="17">
        <v>15162</v>
      </c>
      <c r="AY1170" s="18">
        <v>14.466054846984861</v>
      </c>
      <c r="AZ1170" s="10" t="s">
        <v>117</v>
      </c>
      <c r="BA1170" s="20" t="b">
        <v>0</v>
      </c>
      <c r="BB1170" s="10"/>
      <c r="BC1170" s="17">
        <v>78824</v>
      </c>
      <c r="BD1170" s="17">
        <v>55354</v>
      </c>
      <c r="BE1170" s="17">
        <v>800754</v>
      </c>
      <c r="BF1170" s="17">
        <v>110.6</v>
      </c>
      <c r="BG1170" s="11">
        <f ca="1">IFERROR(__xludf.DUMMYFUNCTION("""COMPUTED_VALUE"""),45921.8333333333)</f>
        <v>45921.833333333299</v>
      </c>
      <c r="BH1170" s="17" t="s">
        <v>105</v>
      </c>
      <c r="BI1170" s="17"/>
      <c r="BJ1170" s="15"/>
      <c r="BK1170" s="15"/>
      <c r="BL1170" s="13" t="b">
        <v>0</v>
      </c>
      <c r="BM1170" s="10"/>
      <c r="BN1170" s="10" t="s">
        <v>455</v>
      </c>
      <c r="BO1170" s="11">
        <v>45904.28402777778</v>
      </c>
      <c r="BP1170" s="11">
        <v>45904.603067129632</v>
      </c>
      <c r="BQ1170" s="15">
        <v>45918.48746527778</v>
      </c>
      <c r="BR1170" s="15">
        <v>45921.405324074076</v>
      </c>
      <c r="BS1170" s="10" t="s">
        <v>455</v>
      </c>
      <c r="BT1170" s="10" t="s">
        <v>99</v>
      </c>
      <c r="BU1170" s="10" t="s">
        <v>3394</v>
      </c>
      <c r="BV1170" s="10" t="s">
        <v>124</v>
      </c>
      <c r="BW1170" s="10" t="s">
        <v>9247</v>
      </c>
      <c r="BX1170" s="19" t="s">
        <v>9248</v>
      </c>
      <c r="BY1170" s="23"/>
      <c r="BZ1170" s="23"/>
      <c r="CA1170" s="19" t="s">
        <v>9249</v>
      </c>
      <c r="CB1170" s="19" t="s">
        <v>9250</v>
      </c>
      <c r="CC1170" s="23"/>
      <c r="CD1170" s="19" t="s">
        <v>9251</v>
      </c>
      <c r="CE1170" s="23"/>
      <c r="CF1170" s="23"/>
      <c r="CG1170" s="23"/>
      <c r="CH1170" s="23"/>
      <c r="CI1170" s="23"/>
    </row>
    <row r="1171" spans="1:87" x14ac:dyDescent="0.3">
      <c r="A1171" s="9" t="s">
        <v>9252</v>
      </c>
      <c r="B1171" s="10" t="s">
        <v>9253</v>
      </c>
      <c r="C1171" s="11">
        <v>45923.072916666664</v>
      </c>
      <c r="D1171" s="12">
        <v>8.3333333333333329E-2</v>
      </c>
      <c r="E1171" s="11">
        <v>45923.15625</v>
      </c>
      <c r="F1171" s="10" t="s">
        <v>3211</v>
      </c>
      <c r="G1171" s="13" t="b">
        <v>0</v>
      </c>
      <c r="H1171" s="10" t="s">
        <v>3212</v>
      </c>
      <c r="I1171" s="10" t="s">
        <v>3213</v>
      </c>
      <c r="J1171" s="13" t="b">
        <v>0</v>
      </c>
      <c r="K1171" s="13" t="b">
        <v>1</v>
      </c>
      <c r="L1171" s="10" t="s">
        <v>124</v>
      </c>
      <c r="M1171" s="10" t="s">
        <v>91</v>
      </c>
      <c r="N1171" s="10" t="s">
        <v>92</v>
      </c>
      <c r="O1171" s="19" t="s">
        <v>9254</v>
      </c>
      <c r="P1171" s="10" t="s">
        <v>3215</v>
      </c>
      <c r="Q1171" s="10" t="s">
        <v>126</v>
      </c>
      <c r="R1171" s="10"/>
      <c r="S1171" s="19" t="s">
        <v>9255</v>
      </c>
      <c r="T1171" s="19" t="s">
        <v>9171</v>
      </c>
      <c r="U1171" s="10" t="s">
        <v>3318</v>
      </c>
      <c r="V1171" s="10" t="s">
        <v>3451</v>
      </c>
      <c r="W1171" s="10" t="s">
        <v>3219</v>
      </c>
      <c r="X1171" s="10" t="s">
        <v>130</v>
      </c>
      <c r="Y1171" s="10" t="s">
        <v>130</v>
      </c>
      <c r="Z1171" s="10" t="s">
        <v>99</v>
      </c>
      <c r="AA1171" s="10" t="s">
        <v>131</v>
      </c>
      <c r="AB1171" s="10" t="s">
        <v>3220</v>
      </c>
      <c r="AC1171" s="10" t="s">
        <v>3221</v>
      </c>
      <c r="AD1171" s="10" t="s">
        <v>9256</v>
      </c>
      <c r="AE1171" s="10" t="s">
        <v>9257</v>
      </c>
      <c r="AF1171" s="15"/>
      <c r="AG1171" s="10"/>
      <c r="AH1171" s="10"/>
      <c r="AI1171" s="10"/>
      <c r="AJ1171" s="10"/>
      <c r="AK1171" s="10" t="s">
        <v>102</v>
      </c>
      <c r="AL1171" s="10" t="s">
        <v>167</v>
      </c>
      <c r="AM1171" s="10"/>
      <c r="AN1171" s="10"/>
      <c r="AO1171" s="13" t="b">
        <v>1</v>
      </c>
      <c r="AP1171" s="10" t="s">
        <v>104</v>
      </c>
      <c r="AQ1171" s="10">
        <f ca="1">IFERROR(__xludf.DUMMYFUNCTION("""COMPUTED_VALUE"""),4585687)</f>
        <v>4585687</v>
      </c>
      <c r="AR1171" s="17">
        <v>12545</v>
      </c>
      <c r="AS1171" s="17">
        <v>9329</v>
      </c>
      <c r="AT1171" s="17">
        <v>301163.25</v>
      </c>
      <c r="AU1171" s="17">
        <v>29.3</v>
      </c>
      <c r="AV1171" s="17">
        <v>3</v>
      </c>
      <c r="AW1171" s="10" t="s">
        <v>105</v>
      </c>
      <c r="AX1171" s="17">
        <v>2548</v>
      </c>
      <c r="AY1171" s="18">
        <v>32.282479365419661</v>
      </c>
      <c r="AZ1171" s="10" t="s">
        <v>117</v>
      </c>
      <c r="BA1171" s="20" t="b">
        <v>0</v>
      </c>
      <c r="BB1171" s="10"/>
      <c r="BC1171" s="17">
        <v>12545</v>
      </c>
      <c r="BD1171" s="17">
        <v>9329</v>
      </c>
      <c r="BE1171" s="17">
        <v>301163.25</v>
      </c>
      <c r="BF1171" s="17">
        <v>3</v>
      </c>
      <c r="BG1171" s="11">
        <f ca="1">IFERROR(__xludf.DUMMYFUNCTION("""COMPUTED_VALUE"""),45923.0729166666)</f>
        <v>45923.072916666599</v>
      </c>
      <c r="BH1171" s="17" t="s">
        <v>105</v>
      </c>
      <c r="BI1171" s="17"/>
      <c r="BJ1171" s="15"/>
      <c r="BK1171" s="15"/>
      <c r="BL1171" s="13" t="b">
        <v>0</v>
      </c>
      <c r="BM1171" s="10"/>
      <c r="BN1171" s="10" t="s">
        <v>3422</v>
      </c>
      <c r="BO1171" s="11">
        <v>45904.28402777778</v>
      </c>
      <c r="BP1171" s="11">
        <v>45904.604004629633</v>
      </c>
      <c r="BQ1171" s="15">
        <v>45919.483842592592</v>
      </c>
      <c r="BR1171" s="15">
        <v>45920.422048611108</v>
      </c>
      <c r="BS1171" s="10"/>
      <c r="BT1171" s="10" t="s">
        <v>99</v>
      </c>
      <c r="BU1171" s="10" t="s">
        <v>298</v>
      </c>
      <c r="BV1171" s="10"/>
      <c r="BW1171" s="10"/>
      <c r="BX1171" s="10"/>
      <c r="BY1171" s="23"/>
      <c r="BZ1171" s="23"/>
      <c r="CA1171" s="19" t="s">
        <v>9258</v>
      </c>
      <c r="CB1171" s="19" t="s">
        <v>9259</v>
      </c>
      <c r="CC1171" s="23"/>
      <c r="CD1171" s="19" t="s">
        <v>9260</v>
      </c>
      <c r="CE1171" s="23"/>
      <c r="CF1171" s="23"/>
      <c r="CG1171" s="23"/>
      <c r="CH1171" s="23"/>
      <c r="CI1171" s="23"/>
    </row>
    <row r="1172" spans="1:87" x14ac:dyDescent="0.3">
      <c r="A1172" s="9" t="s">
        <v>9261</v>
      </c>
      <c r="B1172" s="10" t="s">
        <v>9262</v>
      </c>
      <c r="C1172" s="11">
        <v>45929.979166666664</v>
      </c>
      <c r="D1172" s="12">
        <v>8.3333333333333329E-2</v>
      </c>
      <c r="E1172" s="11">
        <v>45930.0625</v>
      </c>
      <c r="F1172" s="10" t="s">
        <v>3211</v>
      </c>
      <c r="G1172" s="13" t="b">
        <v>0</v>
      </c>
      <c r="H1172" s="10" t="s">
        <v>3212</v>
      </c>
      <c r="I1172" s="10" t="s">
        <v>3213</v>
      </c>
      <c r="J1172" s="13" t="b">
        <v>0</v>
      </c>
      <c r="K1172" s="13" t="b">
        <v>1</v>
      </c>
      <c r="L1172" s="10" t="s">
        <v>124</v>
      </c>
      <c r="M1172" s="10" t="s">
        <v>91</v>
      </c>
      <c r="N1172" s="10" t="s">
        <v>92</v>
      </c>
      <c r="O1172" s="19" t="s">
        <v>9263</v>
      </c>
      <c r="P1172" s="10" t="s">
        <v>3215</v>
      </c>
      <c r="Q1172" s="10" t="s">
        <v>94</v>
      </c>
      <c r="R1172" s="10"/>
      <c r="S1172" s="19" t="s">
        <v>9264</v>
      </c>
      <c r="T1172" s="19" t="s">
        <v>9265</v>
      </c>
      <c r="U1172" s="10" t="s">
        <v>3260</v>
      </c>
      <c r="V1172" s="10" t="s">
        <v>3279</v>
      </c>
      <c r="W1172" s="10" t="s">
        <v>3219</v>
      </c>
      <c r="X1172" s="10" t="s">
        <v>130</v>
      </c>
      <c r="Y1172" s="10" t="s">
        <v>130</v>
      </c>
      <c r="Z1172" s="10" t="s">
        <v>99</v>
      </c>
      <c r="AA1172" s="10" t="s">
        <v>131</v>
      </c>
      <c r="AB1172" s="10" t="s">
        <v>3220</v>
      </c>
      <c r="AC1172" s="10" t="s">
        <v>3221</v>
      </c>
      <c r="AD1172" s="10" t="s">
        <v>9266</v>
      </c>
      <c r="AE1172" s="10" t="s">
        <v>9267</v>
      </c>
      <c r="AF1172" s="15"/>
      <c r="AG1172" s="10"/>
      <c r="AH1172" s="10"/>
      <c r="AI1172" s="10"/>
      <c r="AJ1172" s="10"/>
      <c r="AK1172" s="10" t="s">
        <v>102</v>
      </c>
      <c r="AL1172" s="10" t="s">
        <v>167</v>
      </c>
      <c r="AM1172" s="10"/>
      <c r="AN1172" s="10"/>
      <c r="AO1172" s="13" t="b">
        <v>0</v>
      </c>
      <c r="AP1172" s="10" t="s">
        <v>104</v>
      </c>
      <c r="AQ1172" s="10">
        <f ca="1">IFERROR(__xludf.DUMMYFUNCTION("""COMPUTED_VALUE"""),4602002)</f>
        <v>4602002</v>
      </c>
      <c r="AR1172" s="17">
        <v>9888</v>
      </c>
      <c r="AS1172" s="17">
        <v>8528</v>
      </c>
      <c r="AT1172" s="17">
        <v>198341.25</v>
      </c>
      <c r="AU1172" s="17">
        <v>56.9</v>
      </c>
      <c r="AV1172" s="17">
        <v>9.3000000000000007</v>
      </c>
      <c r="AW1172" s="10" t="s">
        <v>105</v>
      </c>
      <c r="AX1172" s="17">
        <v>2224</v>
      </c>
      <c r="AY1172" s="18">
        <v>23.257651266416509</v>
      </c>
      <c r="AZ1172" s="10" t="s">
        <v>117</v>
      </c>
      <c r="BA1172" s="20" t="b">
        <v>0</v>
      </c>
      <c r="BB1172" s="10"/>
      <c r="BC1172" s="17">
        <v>9888</v>
      </c>
      <c r="BD1172" s="17">
        <v>8528</v>
      </c>
      <c r="BE1172" s="17">
        <v>198341.25</v>
      </c>
      <c r="BF1172" s="17">
        <v>9.3000000000000007</v>
      </c>
      <c r="BG1172" s="11">
        <f ca="1">IFERROR(__xludf.DUMMYFUNCTION("""COMPUTED_VALUE"""),45929.9791666666)</f>
        <v>45929.979166666599</v>
      </c>
      <c r="BH1172" s="17" t="s">
        <v>105</v>
      </c>
      <c r="BI1172" s="17"/>
      <c r="BJ1172" s="15"/>
      <c r="BK1172" s="15"/>
      <c r="BL1172" s="13" t="b">
        <v>0</v>
      </c>
      <c r="BM1172" s="10"/>
      <c r="BN1172" s="10" t="s">
        <v>137</v>
      </c>
      <c r="BO1172" s="11">
        <v>45904.28402777778</v>
      </c>
      <c r="BP1172" s="11">
        <v>45925.443553240744</v>
      </c>
      <c r="BQ1172" s="15">
        <v>45925.704918981479</v>
      </c>
      <c r="BR1172" s="15">
        <v>45927.409317129626</v>
      </c>
      <c r="BS1172" s="10" t="s">
        <v>137</v>
      </c>
      <c r="BT1172" s="10"/>
      <c r="BU1172" s="10"/>
      <c r="BV1172" s="10"/>
      <c r="BW1172" s="10"/>
      <c r="BX1172" s="10"/>
      <c r="BY1172" s="23"/>
      <c r="BZ1172" s="23"/>
      <c r="CA1172" s="19" t="s">
        <v>9268</v>
      </c>
      <c r="CB1172" s="19" t="s">
        <v>9269</v>
      </c>
      <c r="CC1172" s="23"/>
      <c r="CD1172" s="23"/>
      <c r="CE1172" s="23"/>
      <c r="CF1172" s="23"/>
      <c r="CG1172" s="23"/>
      <c r="CH1172" s="23"/>
      <c r="CI1172" s="23"/>
    </row>
    <row r="1173" spans="1:87" x14ac:dyDescent="0.3">
      <c r="A1173" s="9" t="s">
        <v>9270</v>
      </c>
      <c r="B1173" s="10" t="s">
        <v>9271</v>
      </c>
      <c r="C1173" s="11">
        <v>45928.958333333336</v>
      </c>
      <c r="D1173" s="12">
        <v>8.3333333333333329E-2</v>
      </c>
      <c r="E1173" s="11">
        <v>45929.041666666664</v>
      </c>
      <c r="F1173" s="10" t="s">
        <v>3211</v>
      </c>
      <c r="G1173" s="13" t="b">
        <v>0</v>
      </c>
      <c r="H1173" s="10" t="s">
        <v>3212</v>
      </c>
      <c r="I1173" s="10" t="s">
        <v>3213</v>
      </c>
      <c r="J1173" s="13" t="b">
        <v>0</v>
      </c>
      <c r="K1173" s="13" t="b">
        <v>1</v>
      </c>
      <c r="L1173" s="10" t="s">
        <v>124</v>
      </c>
      <c r="M1173" s="10" t="s">
        <v>91</v>
      </c>
      <c r="N1173" s="10" t="s">
        <v>92</v>
      </c>
      <c r="O1173" s="19" t="s">
        <v>9272</v>
      </c>
      <c r="P1173" s="10" t="s">
        <v>3215</v>
      </c>
      <c r="Q1173" s="10" t="s">
        <v>94</v>
      </c>
      <c r="R1173" s="10"/>
      <c r="S1173" s="19" t="s">
        <v>9273</v>
      </c>
      <c r="T1173" s="19" t="s">
        <v>9265</v>
      </c>
      <c r="U1173" s="10" t="s">
        <v>3218</v>
      </c>
      <c r="V1173" s="10" t="s">
        <v>3230</v>
      </c>
      <c r="W1173" s="10" t="s">
        <v>3219</v>
      </c>
      <c r="X1173" s="10" t="s">
        <v>130</v>
      </c>
      <c r="Y1173" s="10" t="s">
        <v>130</v>
      </c>
      <c r="Z1173" s="10" t="s">
        <v>99</v>
      </c>
      <c r="AA1173" s="10" t="s">
        <v>131</v>
      </c>
      <c r="AB1173" s="10" t="s">
        <v>3220</v>
      </c>
      <c r="AC1173" s="10" t="s">
        <v>3221</v>
      </c>
      <c r="AD1173" s="10" t="s">
        <v>9274</v>
      </c>
      <c r="AE1173" s="10" t="s">
        <v>9275</v>
      </c>
      <c r="AF1173" s="15"/>
      <c r="AG1173" s="10"/>
      <c r="AH1173" s="10"/>
      <c r="AI1173" s="10"/>
      <c r="AJ1173" s="10"/>
      <c r="AK1173" s="10" t="s">
        <v>102</v>
      </c>
      <c r="AL1173" s="10" t="s">
        <v>167</v>
      </c>
      <c r="AM1173" s="10"/>
      <c r="AN1173" s="10"/>
      <c r="AO1173" s="13" t="b">
        <v>0</v>
      </c>
      <c r="AP1173" s="10" t="s">
        <v>104</v>
      </c>
      <c r="AQ1173" s="10">
        <f ca="1">IFERROR(__xludf.DUMMYFUNCTION("""COMPUTED_VALUE"""),4598344)</f>
        <v>4598344</v>
      </c>
      <c r="AR1173" s="17">
        <v>11300</v>
      </c>
      <c r="AS1173" s="17">
        <v>9778</v>
      </c>
      <c r="AT1173" s="17">
        <v>112616</v>
      </c>
      <c r="AU1173" s="17">
        <v>48.7</v>
      </c>
      <c r="AV1173" s="17">
        <v>12.95</v>
      </c>
      <c r="AW1173" s="10" t="s">
        <v>105</v>
      </c>
      <c r="AX1173" s="17">
        <v>2764</v>
      </c>
      <c r="AY1173" s="18">
        <v>11.517283698097771</v>
      </c>
      <c r="AZ1173" s="10" t="s">
        <v>117</v>
      </c>
      <c r="BA1173" s="20" t="b">
        <v>0</v>
      </c>
      <c r="BB1173" s="10"/>
      <c r="BC1173" s="17">
        <v>11300</v>
      </c>
      <c r="BD1173" s="17">
        <v>9778</v>
      </c>
      <c r="BE1173" s="17">
        <v>112616</v>
      </c>
      <c r="BF1173" s="17">
        <v>12.95</v>
      </c>
      <c r="BG1173" s="11">
        <f ca="1">IFERROR(__xludf.DUMMYFUNCTION("""COMPUTED_VALUE"""),45928.9583333333)</f>
        <v>45928.958333333299</v>
      </c>
      <c r="BH1173" s="17" t="s">
        <v>105</v>
      </c>
      <c r="BI1173" s="17"/>
      <c r="BJ1173" s="15"/>
      <c r="BK1173" s="15"/>
      <c r="BL1173" s="13" t="b">
        <v>0</v>
      </c>
      <c r="BM1173" s="10"/>
      <c r="BN1173" s="10" t="s">
        <v>455</v>
      </c>
      <c r="BO1173" s="11">
        <v>45904.284583333334</v>
      </c>
      <c r="BP1173" s="11">
        <v>45918.777129629627</v>
      </c>
      <c r="BQ1173" s="15">
        <v>45925.704641203702</v>
      </c>
      <c r="BR1173" s="15">
        <v>45925.740844907406</v>
      </c>
      <c r="BS1173" s="10" t="s">
        <v>455</v>
      </c>
      <c r="BT1173" s="10"/>
      <c r="BU1173" s="10"/>
      <c r="BV1173" s="10"/>
      <c r="BW1173" s="10"/>
      <c r="BX1173" s="10"/>
      <c r="BY1173" s="23"/>
      <c r="BZ1173" s="23"/>
      <c r="CA1173" s="19" t="s">
        <v>9276</v>
      </c>
      <c r="CB1173" s="19" t="s">
        <v>9277</v>
      </c>
      <c r="CC1173" s="23"/>
      <c r="CD1173" s="23"/>
      <c r="CE1173" s="23"/>
      <c r="CF1173" s="23"/>
      <c r="CG1173" s="23"/>
      <c r="CH1173" s="23"/>
      <c r="CI1173" s="23"/>
    </row>
    <row r="1174" spans="1:87" x14ac:dyDescent="0.3">
      <c r="A1174" s="9" t="s">
        <v>9278</v>
      </c>
      <c r="B1174" s="10" t="s">
        <v>9279</v>
      </c>
      <c r="C1174" s="11">
        <v>45928.729166666664</v>
      </c>
      <c r="D1174" s="12">
        <v>8.3333333333333329E-2</v>
      </c>
      <c r="E1174" s="11">
        <v>45928.8125</v>
      </c>
      <c r="F1174" s="10" t="s">
        <v>3211</v>
      </c>
      <c r="G1174" s="13" t="b">
        <v>0</v>
      </c>
      <c r="H1174" s="10" t="s">
        <v>3212</v>
      </c>
      <c r="I1174" s="10" t="s">
        <v>3213</v>
      </c>
      <c r="J1174" s="13" t="b">
        <v>0</v>
      </c>
      <c r="K1174" s="13" t="b">
        <v>1</v>
      </c>
      <c r="L1174" s="10" t="s">
        <v>124</v>
      </c>
      <c r="M1174" s="10" t="s">
        <v>91</v>
      </c>
      <c r="N1174" s="10" t="s">
        <v>92</v>
      </c>
      <c r="O1174" s="19" t="s">
        <v>9280</v>
      </c>
      <c r="P1174" s="10" t="s">
        <v>3215</v>
      </c>
      <c r="Q1174" s="10" t="s">
        <v>126</v>
      </c>
      <c r="R1174" s="10"/>
      <c r="S1174" s="19" t="s">
        <v>9281</v>
      </c>
      <c r="T1174" s="19" t="s">
        <v>9265</v>
      </c>
      <c r="U1174" s="10" t="s">
        <v>3429</v>
      </c>
      <c r="V1174" s="10" t="s">
        <v>3269</v>
      </c>
      <c r="W1174" s="10" t="s">
        <v>3219</v>
      </c>
      <c r="X1174" s="10" t="s">
        <v>130</v>
      </c>
      <c r="Y1174" s="10" t="s">
        <v>130</v>
      </c>
      <c r="Z1174" s="10" t="s">
        <v>99</v>
      </c>
      <c r="AA1174" s="10" t="s">
        <v>131</v>
      </c>
      <c r="AB1174" s="10" t="s">
        <v>3220</v>
      </c>
      <c r="AC1174" s="10" t="s">
        <v>3221</v>
      </c>
      <c r="AD1174" s="10" t="s">
        <v>9282</v>
      </c>
      <c r="AE1174" s="10" t="s">
        <v>9283</v>
      </c>
      <c r="AF1174" s="15"/>
      <c r="AG1174" s="10"/>
      <c r="AH1174" s="10"/>
      <c r="AI1174" s="10"/>
      <c r="AJ1174" s="10"/>
      <c r="AK1174" s="10" t="s">
        <v>102</v>
      </c>
      <c r="AL1174" s="10" t="s">
        <v>167</v>
      </c>
      <c r="AM1174" s="10"/>
      <c r="AN1174" s="10"/>
      <c r="AO1174" s="13" t="b">
        <v>1</v>
      </c>
      <c r="AP1174" s="10" t="s">
        <v>104</v>
      </c>
      <c r="AQ1174" s="10">
        <f ca="1">IFERROR(__xludf.DUMMYFUNCTION("""COMPUTED_VALUE"""),4598351)</f>
        <v>4598351</v>
      </c>
      <c r="AR1174" s="17">
        <v>77442</v>
      </c>
      <c r="AS1174" s="17">
        <v>55131</v>
      </c>
      <c r="AT1174" s="17">
        <v>1119466.75</v>
      </c>
      <c r="AU1174" s="17">
        <v>474.15</v>
      </c>
      <c r="AV1174" s="17">
        <v>78.05</v>
      </c>
      <c r="AW1174" s="10" t="s">
        <v>105</v>
      </c>
      <c r="AX1174" s="17">
        <v>14853</v>
      </c>
      <c r="AY1174" s="18">
        <v>20.305576717273404</v>
      </c>
      <c r="AZ1174" s="10" t="s">
        <v>117</v>
      </c>
      <c r="BA1174" s="20" t="b">
        <v>0</v>
      </c>
      <c r="BB1174" s="10"/>
      <c r="BC1174" s="17">
        <v>77442</v>
      </c>
      <c r="BD1174" s="17">
        <v>55131</v>
      </c>
      <c r="BE1174" s="17">
        <v>1119466.75</v>
      </c>
      <c r="BF1174" s="17">
        <v>78.05</v>
      </c>
      <c r="BG1174" s="11">
        <f ca="1">IFERROR(__xludf.DUMMYFUNCTION("""COMPUTED_VALUE"""),45928.7291666666)</f>
        <v>45928.729166666599</v>
      </c>
      <c r="BH1174" s="17" t="s">
        <v>105</v>
      </c>
      <c r="BI1174" s="17"/>
      <c r="BJ1174" s="15"/>
      <c r="BK1174" s="15"/>
      <c r="BL1174" s="13" t="b">
        <v>0</v>
      </c>
      <c r="BM1174" s="10"/>
      <c r="BN1174" s="10" t="s">
        <v>667</v>
      </c>
      <c r="BO1174" s="11">
        <v>45904.28402777778</v>
      </c>
      <c r="BP1174" s="11">
        <v>45918.774618055555</v>
      </c>
      <c r="BQ1174" s="15">
        <v>45924.855324074073</v>
      </c>
      <c r="BR1174" s="15">
        <v>45925.762627314813</v>
      </c>
      <c r="BS1174" s="10" t="s">
        <v>667</v>
      </c>
      <c r="BT1174" s="10" t="s">
        <v>99</v>
      </c>
      <c r="BU1174" s="10" t="s">
        <v>280</v>
      </c>
      <c r="BV1174" s="10" t="s">
        <v>281</v>
      </c>
      <c r="BW1174" s="10" t="s">
        <v>9284</v>
      </c>
      <c r="BX1174" s="10"/>
      <c r="BY1174" s="23"/>
      <c r="BZ1174" s="23"/>
      <c r="CA1174" s="19" t="s">
        <v>9285</v>
      </c>
      <c r="CB1174" s="19" t="s">
        <v>9286</v>
      </c>
      <c r="CC1174" s="23"/>
      <c r="CD1174" s="19" t="s">
        <v>9287</v>
      </c>
      <c r="CE1174" s="23"/>
      <c r="CF1174" s="23"/>
      <c r="CG1174" s="23"/>
      <c r="CH1174" s="23"/>
      <c r="CI1174" s="23"/>
    </row>
    <row r="1175" spans="1:87" x14ac:dyDescent="0.3">
      <c r="A1175" s="9" t="s">
        <v>9288</v>
      </c>
      <c r="B1175" s="10" t="s">
        <v>9289</v>
      </c>
      <c r="C1175" s="11">
        <v>45928.833333333336</v>
      </c>
      <c r="D1175" s="12">
        <v>8.3333333333333329E-2</v>
      </c>
      <c r="E1175" s="11">
        <v>45928.916666666664</v>
      </c>
      <c r="F1175" s="10" t="s">
        <v>3211</v>
      </c>
      <c r="G1175" s="13" t="b">
        <v>0</v>
      </c>
      <c r="H1175" s="10" t="s">
        <v>3212</v>
      </c>
      <c r="I1175" s="10" t="s">
        <v>3213</v>
      </c>
      <c r="J1175" s="13" t="b">
        <v>0</v>
      </c>
      <c r="K1175" s="13" t="b">
        <v>1</v>
      </c>
      <c r="L1175" s="10" t="s">
        <v>124</v>
      </c>
      <c r="M1175" s="10" t="s">
        <v>91</v>
      </c>
      <c r="N1175" s="10" t="s">
        <v>92</v>
      </c>
      <c r="O1175" s="19" t="s">
        <v>9290</v>
      </c>
      <c r="P1175" s="10" t="s">
        <v>3215</v>
      </c>
      <c r="Q1175" s="10" t="s">
        <v>126</v>
      </c>
      <c r="R1175" s="10"/>
      <c r="S1175" s="19" t="s">
        <v>9291</v>
      </c>
      <c r="T1175" s="19" t="s">
        <v>9265</v>
      </c>
      <c r="U1175" s="10" t="s">
        <v>3229</v>
      </c>
      <c r="V1175" s="10" t="s">
        <v>3270</v>
      </c>
      <c r="W1175" s="10" t="s">
        <v>3219</v>
      </c>
      <c r="X1175" s="10" t="s">
        <v>130</v>
      </c>
      <c r="Y1175" s="10" t="s">
        <v>130</v>
      </c>
      <c r="Z1175" s="10" t="s">
        <v>99</v>
      </c>
      <c r="AA1175" s="10" t="s">
        <v>131</v>
      </c>
      <c r="AB1175" s="10" t="s">
        <v>3220</v>
      </c>
      <c r="AC1175" s="10" t="s">
        <v>3221</v>
      </c>
      <c r="AD1175" s="10" t="s">
        <v>9292</v>
      </c>
      <c r="AE1175" s="10" t="s">
        <v>9293</v>
      </c>
      <c r="AF1175" s="15"/>
      <c r="AG1175" s="10"/>
      <c r="AH1175" s="10"/>
      <c r="AI1175" s="10"/>
      <c r="AJ1175" s="10"/>
      <c r="AK1175" s="10" t="s">
        <v>102</v>
      </c>
      <c r="AL1175" s="10" t="s">
        <v>167</v>
      </c>
      <c r="AM1175" s="10"/>
      <c r="AN1175" s="10"/>
      <c r="AO1175" s="13" t="b">
        <v>1</v>
      </c>
      <c r="AP1175" s="10" t="s">
        <v>104</v>
      </c>
      <c r="AQ1175" s="10">
        <f ca="1">IFERROR(__xludf.DUMMYFUNCTION("""COMPUTED_VALUE"""),4598352)</f>
        <v>4598352</v>
      </c>
      <c r="AR1175" s="17">
        <v>49022</v>
      </c>
      <c r="AS1175" s="17">
        <v>33978</v>
      </c>
      <c r="AT1175" s="17">
        <v>719631.5</v>
      </c>
      <c r="AU1175" s="17">
        <v>387.05</v>
      </c>
      <c r="AV1175" s="17">
        <v>94.1</v>
      </c>
      <c r="AW1175" s="10" t="s">
        <v>105</v>
      </c>
      <c r="AX1175" s="17">
        <v>9266</v>
      </c>
      <c r="AY1175" s="18">
        <v>21.179336629583847</v>
      </c>
      <c r="AZ1175" s="10" t="s">
        <v>117</v>
      </c>
      <c r="BA1175" s="20" t="b">
        <v>0</v>
      </c>
      <c r="BB1175" s="10"/>
      <c r="BC1175" s="17">
        <v>49022</v>
      </c>
      <c r="BD1175" s="17">
        <v>33978</v>
      </c>
      <c r="BE1175" s="17">
        <v>719631.5</v>
      </c>
      <c r="BF1175" s="17">
        <v>94.1</v>
      </c>
      <c r="BG1175" s="11">
        <f ca="1">IFERROR(__xludf.DUMMYFUNCTION("""COMPUTED_VALUE"""),45928.8333333333)</f>
        <v>45928.833333333299</v>
      </c>
      <c r="BH1175" s="17" t="s">
        <v>105</v>
      </c>
      <c r="BI1175" s="17"/>
      <c r="BJ1175" s="15"/>
      <c r="BK1175" s="15"/>
      <c r="BL1175" s="13" t="b">
        <v>0</v>
      </c>
      <c r="BM1175" s="10"/>
      <c r="BN1175" s="10" t="s">
        <v>667</v>
      </c>
      <c r="BO1175" s="11">
        <v>45904.284594907411</v>
      </c>
      <c r="BP1175" s="11">
        <v>45918.774895833332</v>
      </c>
      <c r="BQ1175" s="15">
        <v>45924.855844907404</v>
      </c>
      <c r="BR1175" s="15">
        <v>45925.763344907406</v>
      </c>
      <c r="BS1175" s="10" t="s">
        <v>667</v>
      </c>
      <c r="BT1175" s="10" t="s">
        <v>99</v>
      </c>
      <c r="BU1175" s="10" t="s">
        <v>456</v>
      </c>
      <c r="BV1175" s="10"/>
      <c r="BW1175" s="10"/>
      <c r="BX1175" s="10"/>
      <c r="BY1175" s="23"/>
      <c r="BZ1175" s="23"/>
      <c r="CA1175" s="19" t="s">
        <v>9294</v>
      </c>
      <c r="CB1175" s="19" t="s">
        <v>9295</v>
      </c>
      <c r="CC1175" s="23"/>
      <c r="CD1175" s="19" t="s">
        <v>9296</v>
      </c>
      <c r="CE1175" s="23"/>
      <c r="CF1175" s="23"/>
      <c r="CG1175" s="23"/>
      <c r="CH1175" s="23"/>
      <c r="CI1175" s="23"/>
    </row>
    <row r="1176" spans="1:87" x14ac:dyDescent="0.3">
      <c r="A1176" s="9" t="s">
        <v>9297</v>
      </c>
      <c r="B1176" s="10" t="s">
        <v>9298</v>
      </c>
      <c r="C1176" s="11">
        <v>45930.072916666664</v>
      </c>
      <c r="D1176" s="12">
        <v>8.3333333333333329E-2</v>
      </c>
      <c r="E1176" s="11">
        <v>45930.15625</v>
      </c>
      <c r="F1176" s="10" t="s">
        <v>3211</v>
      </c>
      <c r="G1176" s="13" t="b">
        <v>0</v>
      </c>
      <c r="H1176" s="10" t="s">
        <v>3212</v>
      </c>
      <c r="I1176" s="10" t="s">
        <v>3213</v>
      </c>
      <c r="J1176" s="13" t="b">
        <v>0</v>
      </c>
      <c r="K1176" s="13" t="b">
        <v>1</v>
      </c>
      <c r="L1176" s="10" t="s">
        <v>124</v>
      </c>
      <c r="M1176" s="10" t="s">
        <v>91</v>
      </c>
      <c r="N1176" s="10" t="s">
        <v>92</v>
      </c>
      <c r="O1176" s="19" t="s">
        <v>9299</v>
      </c>
      <c r="P1176" s="10" t="s">
        <v>3215</v>
      </c>
      <c r="Q1176" s="10" t="s">
        <v>126</v>
      </c>
      <c r="R1176" s="10"/>
      <c r="S1176" s="19" t="s">
        <v>9300</v>
      </c>
      <c r="T1176" s="19" t="s">
        <v>9265</v>
      </c>
      <c r="U1176" s="10" t="s">
        <v>3217</v>
      </c>
      <c r="V1176" s="10" t="s">
        <v>3250</v>
      </c>
      <c r="W1176" s="10" t="s">
        <v>3219</v>
      </c>
      <c r="X1176" s="10" t="s">
        <v>130</v>
      </c>
      <c r="Y1176" s="10" t="s">
        <v>130</v>
      </c>
      <c r="Z1176" s="10" t="s">
        <v>99</v>
      </c>
      <c r="AA1176" s="10" t="s">
        <v>131</v>
      </c>
      <c r="AB1176" s="10" t="s">
        <v>3220</v>
      </c>
      <c r="AC1176" s="10" t="s">
        <v>3221</v>
      </c>
      <c r="AD1176" s="10" t="s">
        <v>9301</v>
      </c>
      <c r="AE1176" s="10" t="s">
        <v>9302</v>
      </c>
      <c r="AF1176" s="15"/>
      <c r="AG1176" s="10"/>
      <c r="AH1176" s="10"/>
      <c r="AI1176" s="10"/>
      <c r="AJ1176" s="10"/>
      <c r="AK1176" s="10" t="s">
        <v>102</v>
      </c>
      <c r="AL1176" s="10" t="s">
        <v>167</v>
      </c>
      <c r="AM1176" s="10"/>
      <c r="AN1176" s="10"/>
      <c r="AO1176" s="13" t="b">
        <v>0</v>
      </c>
      <c r="AP1176" s="10" t="s">
        <v>104</v>
      </c>
      <c r="AQ1176" s="10">
        <f ca="1">IFERROR(__xludf.DUMMYFUNCTION("""COMPUTED_VALUE"""),4602004)</f>
        <v>4602004</v>
      </c>
      <c r="AR1176" s="17">
        <v>5344</v>
      </c>
      <c r="AS1176" s="17">
        <v>3984</v>
      </c>
      <c r="AT1176" s="17">
        <v>116954.75</v>
      </c>
      <c r="AU1176" s="17">
        <v>19.05</v>
      </c>
      <c r="AV1176" s="17">
        <v>1.6</v>
      </c>
      <c r="AW1176" s="10" t="s">
        <v>105</v>
      </c>
      <c r="AX1176" s="17">
        <v>2223</v>
      </c>
      <c r="AY1176" s="18">
        <v>29.356111947791163</v>
      </c>
      <c r="AZ1176" s="10" t="s">
        <v>117</v>
      </c>
      <c r="BA1176" s="20" t="b">
        <v>0</v>
      </c>
      <c r="BB1176" s="10"/>
      <c r="BC1176" s="17">
        <v>5344</v>
      </c>
      <c r="BD1176" s="17">
        <v>3984</v>
      </c>
      <c r="BE1176" s="17">
        <v>116954.75</v>
      </c>
      <c r="BF1176" s="17">
        <v>1.6</v>
      </c>
      <c r="BG1176" s="11">
        <f ca="1">IFERROR(__xludf.DUMMYFUNCTION("""COMPUTED_VALUE"""),45930.0729166666)</f>
        <v>45930.072916666599</v>
      </c>
      <c r="BH1176" s="17" t="s">
        <v>105</v>
      </c>
      <c r="BI1176" s="17"/>
      <c r="BJ1176" s="15"/>
      <c r="BK1176" s="15"/>
      <c r="BL1176" s="13" t="b">
        <v>0</v>
      </c>
      <c r="BM1176" s="10"/>
      <c r="BN1176" s="10" t="s">
        <v>137</v>
      </c>
      <c r="BO1176" s="11">
        <v>45904.28402777778</v>
      </c>
      <c r="BP1176" s="11">
        <v>45918.776724537034</v>
      </c>
      <c r="BQ1176" s="15">
        <v>45925.70511574074</v>
      </c>
      <c r="BR1176" s="15">
        <v>45927.409432870372</v>
      </c>
      <c r="BS1176" s="10" t="s">
        <v>137</v>
      </c>
      <c r="BT1176" s="10"/>
      <c r="BU1176" s="10"/>
      <c r="BV1176" s="10"/>
      <c r="BW1176" s="10"/>
      <c r="BX1176" s="10"/>
      <c r="BY1176" s="23"/>
      <c r="BZ1176" s="23"/>
      <c r="CA1176" s="19" t="s">
        <v>9303</v>
      </c>
      <c r="CB1176" s="19" t="s">
        <v>9304</v>
      </c>
      <c r="CC1176" s="23"/>
      <c r="CD1176" s="19" t="s">
        <v>9305</v>
      </c>
      <c r="CE1176" s="23"/>
      <c r="CF1176" s="23"/>
      <c r="CG1176" s="23"/>
      <c r="CH1176" s="23"/>
      <c r="CI1176" s="23"/>
    </row>
    <row r="1177" spans="1:87" x14ac:dyDescent="0.3">
      <c r="A1177" s="9" t="s">
        <v>9306</v>
      </c>
      <c r="B1177" s="10" t="s">
        <v>9307</v>
      </c>
      <c r="C1177" s="11">
        <v>45927.833333333336</v>
      </c>
      <c r="D1177" s="12">
        <v>8.3333333333333329E-2</v>
      </c>
      <c r="E1177" s="11">
        <v>45927.916666666664</v>
      </c>
      <c r="F1177" s="10" t="s">
        <v>3211</v>
      </c>
      <c r="G1177" s="13" t="b">
        <v>0</v>
      </c>
      <c r="H1177" s="10" t="s">
        <v>3212</v>
      </c>
      <c r="I1177" s="10" t="s">
        <v>3213</v>
      </c>
      <c r="J1177" s="13" t="b">
        <v>0</v>
      </c>
      <c r="K1177" s="13" t="b">
        <v>1</v>
      </c>
      <c r="L1177" s="10" t="s">
        <v>124</v>
      </c>
      <c r="M1177" s="10" t="s">
        <v>91</v>
      </c>
      <c r="N1177" s="10" t="s">
        <v>92</v>
      </c>
      <c r="O1177" s="19" t="s">
        <v>9308</v>
      </c>
      <c r="P1177" s="10" t="s">
        <v>3215</v>
      </c>
      <c r="Q1177" s="10" t="s">
        <v>126</v>
      </c>
      <c r="R1177" s="10"/>
      <c r="S1177" s="19" t="s">
        <v>9309</v>
      </c>
      <c r="T1177" s="19" t="s">
        <v>9265</v>
      </c>
      <c r="U1177" s="10" t="s">
        <v>3249</v>
      </c>
      <c r="V1177" s="10" t="s">
        <v>3440</v>
      </c>
      <c r="W1177" s="10" t="s">
        <v>3219</v>
      </c>
      <c r="X1177" s="10" t="s">
        <v>130</v>
      </c>
      <c r="Y1177" s="10" t="s">
        <v>130</v>
      </c>
      <c r="Z1177" s="10" t="s">
        <v>99</v>
      </c>
      <c r="AA1177" s="10" t="s">
        <v>131</v>
      </c>
      <c r="AB1177" s="10" t="s">
        <v>3220</v>
      </c>
      <c r="AC1177" s="10" t="s">
        <v>3221</v>
      </c>
      <c r="AD1177" s="10" t="s">
        <v>9310</v>
      </c>
      <c r="AE1177" s="10" t="s">
        <v>9311</v>
      </c>
      <c r="AF1177" s="15"/>
      <c r="AG1177" s="10"/>
      <c r="AH1177" s="10"/>
      <c r="AI1177" s="10"/>
      <c r="AJ1177" s="10"/>
      <c r="AK1177" s="10" t="s">
        <v>102</v>
      </c>
      <c r="AL1177" s="10" t="s">
        <v>167</v>
      </c>
      <c r="AM1177" s="10"/>
      <c r="AN1177" s="10"/>
      <c r="AO1177" s="13" t="b">
        <v>1</v>
      </c>
      <c r="AP1177" s="10" t="s">
        <v>104</v>
      </c>
      <c r="AQ1177" s="10">
        <f ca="1">IFERROR(__xludf.DUMMYFUNCTION("""COMPUTED_VALUE"""),4598341)</f>
        <v>4598341</v>
      </c>
      <c r="AR1177" s="17">
        <v>56636</v>
      </c>
      <c r="AS1177" s="17">
        <v>41945</v>
      </c>
      <c r="AT1177" s="17">
        <v>435246</v>
      </c>
      <c r="AU1177" s="17">
        <v>490.25</v>
      </c>
      <c r="AV1177" s="17">
        <v>78.900000000000006</v>
      </c>
      <c r="AW1177" s="10" t="s">
        <v>105</v>
      </c>
      <c r="AX1177" s="17">
        <v>7580</v>
      </c>
      <c r="AY1177" s="18">
        <v>10.376588389557755</v>
      </c>
      <c r="AZ1177" s="10" t="s">
        <v>117</v>
      </c>
      <c r="BA1177" s="20" t="b">
        <v>0</v>
      </c>
      <c r="BB1177" s="10"/>
      <c r="BC1177" s="17">
        <v>56636</v>
      </c>
      <c r="BD1177" s="17">
        <v>41945</v>
      </c>
      <c r="BE1177" s="17">
        <v>435246</v>
      </c>
      <c r="BF1177" s="17">
        <v>78.900000000000006</v>
      </c>
      <c r="BG1177" s="11">
        <f ca="1">IFERROR(__xludf.DUMMYFUNCTION("""COMPUTED_VALUE"""),45927.8333333333)</f>
        <v>45927.833333333299</v>
      </c>
      <c r="BH1177" s="17" t="s">
        <v>105</v>
      </c>
      <c r="BI1177" s="17"/>
      <c r="BJ1177" s="15"/>
      <c r="BK1177" s="15"/>
      <c r="BL1177" s="13" t="b">
        <v>0</v>
      </c>
      <c r="BM1177" s="10"/>
      <c r="BN1177" s="10" t="s">
        <v>1160</v>
      </c>
      <c r="BO1177" s="11">
        <v>45904.28402777778</v>
      </c>
      <c r="BP1177" s="11">
        <v>45918.773553240739</v>
      </c>
      <c r="BQ1177" s="15">
        <v>45924.854525462964</v>
      </c>
      <c r="BR1177" s="15">
        <v>45925.761574074073</v>
      </c>
      <c r="BS1177" s="10" t="s">
        <v>1160</v>
      </c>
      <c r="BT1177" s="10" t="s">
        <v>99</v>
      </c>
      <c r="BU1177" s="10"/>
      <c r="BV1177" s="10" t="s">
        <v>281</v>
      </c>
      <c r="BW1177" s="10" t="s">
        <v>9312</v>
      </c>
      <c r="BX1177" s="10"/>
      <c r="BY1177" s="23"/>
      <c r="BZ1177" s="23"/>
      <c r="CA1177" s="19" t="s">
        <v>9313</v>
      </c>
      <c r="CB1177" s="19" t="s">
        <v>9314</v>
      </c>
      <c r="CC1177" s="23"/>
      <c r="CD1177" s="19" t="s">
        <v>9315</v>
      </c>
      <c r="CE1177" s="23"/>
      <c r="CF1177" s="23"/>
      <c r="CG1177" s="23"/>
      <c r="CH1177" s="23"/>
      <c r="CI1177" s="23"/>
    </row>
    <row r="1178" spans="1:87" x14ac:dyDescent="0.3">
      <c r="A1178" s="9" t="s">
        <v>9316</v>
      </c>
      <c r="B1178" s="10" t="s">
        <v>9317</v>
      </c>
      <c r="C1178" s="11">
        <v>45927.958333333336</v>
      </c>
      <c r="D1178" s="12">
        <v>8.3333333333333329E-2</v>
      </c>
      <c r="E1178" s="11">
        <v>45928.041666666664</v>
      </c>
      <c r="F1178" s="10" t="s">
        <v>3211</v>
      </c>
      <c r="G1178" s="13" t="b">
        <v>0</v>
      </c>
      <c r="H1178" s="10" t="s">
        <v>3212</v>
      </c>
      <c r="I1178" s="10" t="s">
        <v>3213</v>
      </c>
      <c r="J1178" s="13" t="b">
        <v>0</v>
      </c>
      <c r="K1178" s="13" t="b">
        <v>1</v>
      </c>
      <c r="L1178" s="10" t="s">
        <v>124</v>
      </c>
      <c r="M1178" s="10" t="s">
        <v>91</v>
      </c>
      <c r="N1178" s="10" t="s">
        <v>92</v>
      </c>
      <c r="O1178" s="19" t="s">
        <v>9318</v>
      </c>
      <c r="P1178" s="10" t="s">
        <v>3215</v>
      </c>
      <c r="Q1178" s="10" t="s">
        <v>126</v>
      </c>
      <c r="R1178" s="10"/>
      <c r="S1178" s="19" t="s">
        <v>9319</v>
      </c>
      <c r="T1178" s="19" t="s">
        <v>9265</v>
      </c>
      <c r="U1178" s="10" t="s">
        <v>3259</v>
      </c>
      <c r="V1178" s="10" t="s">
        <v>3308</v>
      </c>
      <c r="W1178" s="10" t="s">
        <v>3219</v>
      </c>
      <c r="X1178" s="10" t="s">
        <v>130</v>
      </c>
      <c r="Y1178" s="10" t="s">
        <v>130</v>
      </c>
      <c r="Z1178" s="10" t="s">
        <v>99</v>
      </c>
      <c r="AA1178" s="10" t="s">
        <v>131</v>
      </c>
      <c r="AB1178" s="10" t="s">
        <v>3220</v>
      </c>
      <c r="AC1178" s="10" t="s">
        <v>3221</v>
      </c>
      <c r="AD1178" s="10" t="s">
        <v>9320</v>
      </c>
      <c r="AE1178" s="10" t="s">
        <v>9321</v>
      </c>
      <c r="AF1178" s="15"/>
      <c r="AG1178" s="10"/>
      <c r="AH1178" s="10"/>
      <c r="AI1178" s="10"/>
      <c r="AJ1178" s="10"/>
      <c r="AK1178" s="10" t="s">
        <v>102</v>
      </c>
      <c r="AL1178" s="10" t="s">
        <v>167</v>
      </c>
      <c r="AM1178" s="10"/>
      <c r="AN1178" s="10"/>
      <c r="AO1178" s="13" t="b">
        <v>1</v>
      </c>
      <c r="AP1178" s="10" t="s">
        <v>104</v>
      </c>
      <c r="AQ1178" s="10">
        <f ca="1">IFERROR(__xludf.DUMMYFUNCTION("""COMPUTED_VALUE"""),4598342)</f>
        <v>4598342</v>
      </c>
      <c r="AR1178" s="17">
        <v>92062</v>
      </c>
      <c r="AS1178" s="17">
        <v>74962</v>
      </c>
      <c r="AT1178" s="17">
        <v>1553397.5</v>
      </c>
      <c r="AU1178" s="17">
        <v>980.95</v>
      </c>
      <c r="AV1178" s="17">
        <v>221.9</v>
      </c>
      <c r="AW1178" s="10" t="s">
        <v>105</v>
      </c>
      <c r="AX1178" s="17">
        <v>26661</v>
      </c>
      <c r="AY1178" s="18">
        <v>20.722466049465062</v>
      </c>
      <c r="AZ1178" s="10" t="s">
        <v>117</v>
      </c>
      <c r="BA1178" s="20" t="b">
        <v>0</v>
      </c>
      <c r="BB1178" s="10"/>
      <c r="BC1178" s="17">
        <v>92062</v>
      </c>
      <c r="BD1178" s="17">
        <v>74962</v>
      </c>
      <c r="BE1178" s="17">
        <v>1553397.5</v>
      </c>
      <c r="BF1178" s="17">
        <v>221.9</v>
      </c>
      <c r="BG1178" s="11">
        <f ca="1">IFERROR(__xludf.DUMMYFUNCTION("""COMPUTED_VALUE"""),45927.9583333333)</f>
        <v>45927.958333333299</v>
      </c>
      <c r="BH1178" s="17" t="s">
        <v>105</v>
      </c>
      <c r="BI1178" s="17"/>
      <c r="BJ1178" s="15"/>
      <c r="BK1178" s="15"/>
      <c r="BL1178" s="13" t="b">
        <v>0</v>
      </c>
      <c r="BM1178" s="10"/>
      <c r="BN1178" s="10" t="s">
        <v>634</v>
      </c>
      <c r="BO1178" s="11">
        <v>45904.28402777778</v>
      </c>
      <c r="BP1178" s="11">
        <v>45918.776458333334</v>
      </c>
      <c r="BQ1178" s="15">
        <v>45924.854768518519</v>
      </c>
      <c r="BR1178" s="15">
        <v>45925.717361111114</v>
      </c>
      <c r="BS1178" s="10" t="s">
        <v>634</v>
      </c>
      <c r="BT1178" s="10" t="s">
        <v>99</v>
      </c>
      <c r="BU1178" s="10" t="s">
        <v>5046</v>
      </c>
      <c r="BV1178" s="10" t="s">
        <v>281</v>
      </c>
      <c r="BW1178" s="10"/>
      <c r="BX1178" s="10"/>
      <c r="BY1178" s="23"/>
      <c r="BZ1178" s="23"/>
      <c r="CA1178" s="19" t="s">
        <v>9322</v>
      </c>
      <c r="CB1178" s="19" t="s">
        <v>9323</v>
      </c>
      <c r="CC1178" s="23"/>
      <c r="CD1178" s="19" t="s">
        <v>9324</v>
      </c>
      <c r="CE1178" s="23"/>
      <c r="CF1178" s="23"/>
      <c r="CG1178" s="23"/>
      <c r="CH1178" s="23"/>
      <c r="CI1178" s="23"/>
    </row>
    <row r="1179" spans="1:87" x14ac:dyDescent="0.3">
      <c r="A1179" s="9" t="s">
        <v>9325</v>
      </c>
      <c r="B1179" s="10" t="s">
        <v>9326</v>
      </c>
      <c r="C1179" s="11">
        <v>45928.072916666664</v>
      </c>
      <c r="D1179" s="12">
        <v>8.3333333333333329E-2</v>
      </c>
      <c r="E1179" s="11">
        <v>45928.15625</v>
      </c>
      <c r="F1179" s="10" t="s">
        <v>3211</v>
      </c>
      <c r="G1179" s="13" t="b">
        <v>0</v>
      </c>
      <c r="H1179" s="10" t="s">
        <v>3212</v>
      </c>
      <c r="I1179" s="10" t="s">
        <v>3213</v>
      </c>
      <c r="J1179" s="13" t="b">
        <v>0</v>
      </c>
      <c r="K1179" s="13" t="b">
        <v>1</v>
      </c>
      <c r="L1179" s="10" t="s">
        <v>124</v>
      </c>
      <c r="M1179" s="10" t="s">
        <v>91</v>
      </c>
      <c r="N1179" s="10" t="s">
        <v>92</v>
      </c>
      <c r="O1179" s="19" t="s">
        <v>9327</v>
      </c>
      <c r="P1179" s="10" t="s">
        <v>3215</v>
      </c>
      <c r="Q1179" s="10" t="s">
        <v>126</v>
      </c>
      <c r="R1179" s="10"/>
      <c r="S1179" s="19" t="s">
        <v>9328</v>
      </c>
      <c r="T1179" s="19" t="s">
        <v>9265</v>
      </c>
      <c r="U1179" s="10" t="s">
        <v>3239</v>
      </c>
      <c r="V1179" s="10" t="s">
        <v>3278</v>
      </c>
      <c r="W1179" s="10" t="s">
        <v>3219</v>
      </c>
      <c r="X1179" s="10" t="s">
        <v>130</v>
      </c>
      <c r="Y1179" s="10" t="s">
        <v>130</v>
      </c>
      <c r="Z1179" s="10" t="s">
        <v>99</v>
      </c>
      <c r="AA1179" s="10" t="s">
        <v>131</v>
      </c>
      <c r="AB1179" s="10" t="s">
        <v>3220</v>
      </c>
      <c r="AC1179" s="10" t="s">
        <v>3221</v>
      </c>
      <c r="AD1179" s="10" t="s">
        <v>9329</v>
      </c>
      <c r="AE1179" s="10" t="s">
        <v>9330</v>
      </c>
      <c r="AF1179" s="15"/>
      <c r="AG1179" s="10"/>
      <c r="AH1179" s="10"/>
      <c r="AI1179" s="10"/>
      <c r="AJ1179" s="10"/>
      <c r="AK1179" s="10" t="s">
        <v>102</v>
      </c>
      <c r="AL1179" s="10" t="s">
        <v>167</v>
      </c>
      <c r="AM1179" s="10"/>
      <c r="AN1179" s="10"/>
      <c r="AO1179" s="13" t="b">
        <v>1</v>
      </c>
      <c r="AP1179" s="10" t="s">
        <v>104</v>
      </c>
      <c r="AQ1179" s="10">
        <f ca="1">IFERROR(__xludf.DUMMYFUNCTION("""COMPUTED_VALUE"""),4598343)</f>
        <v>4598343</v>
      </c>
      <c r="AR1179" s="17">
        <v>25278</v>
      </c>
      <c r="AS1179" s="17">
        <v>18089</v>
      </c>
      <c r="AT1179" s="17">
        <v>858987.75</v>
      </c>
      <c r="AU1179" s="17">
        <v>324.75</v>
      </c>
      <c r="AV1179" s="17">
        <v>41.6</v>
      </c>
      <c r="AW1179" s="10" t="s">
        <v>105</v>
      </c>
      <c r="AX1179" s="17">
        <v>9944</v>
      </c>
      <c r="AY1179" s="18">
        <v>47.486746088783235</v>
      </c>
      <c r="AZ1179" s="10" t="s">
        <v>117</v>
      </c>
      <c r="BA1179" s="20" t="b">
        <v>0</v>
      </c>
      <c r="BB1179" s="10"/>
      <c r="BC1179" s="17">
        <v>25278</v>
      </c>
      <c r="BD1179" s="17">
        <v>18089</v>
      </c>
      <c r="BE1179" s="17">
        <v>858987.75</v>
      </c>
      <c r="BF1179" s="17">
        <v>41.6</v>
      </c>
      <c r="BG1179" s="11">
        <f ca="1">IFERROR(__xludf.DUMMYFUNCTION("""COMPUTED_VALUE"""),45928.0729166666)</f>
        <v>45928.072916666599</v>
      </c>
      <c r="BH1179" s="17" t="s">
        <v>105</v>
      </c>
      <c r="BI1179" s="17"/>
      <c r="BJ1179" s="15"/>
      <c r="BK1179" s="15"/>
      <c r="BL1179" s="13" t="b">
        <v>0</v>
      </c>
      <c r="BM1179" s="10"/>
      <c r="BN1179" s="10" t="s">
        <v>634</v>
      </c>
      <c r="BO1179" s="11">
        <v>45904.284594907411</v>
      </c>
      <c r="BP1179" s="11">
        <v>45918.774097222224</v>
      </c>
      <c r="BQ1179" s="15">
        <v>45924.855023148149</v>
      </c>
      <c r="BR1179" s="15">
        <v>45925.717129629629</v>
      </c>
      <c r="BS1179" s="10" t="s">
        <v>634</v>
      </c>
      <c r="BT1179" s="10" t="s">
        <v>99</v>
      </c>
      <c r="BU1179" s="10" t="s">
        <v>5492</v>
      </c>
      <c r="BV1179" s="10"/>
      <c r="BW1179" s="10"/>
      <c r="BX1179" s="10"/>
      <c r="BY1179" s="23"/>
      <c r="BZ1179" s="23"/>
      <c r="CA1179" s="19" t="s">
        <v>9331</v>
      </c>
      <c r="CB1179" s="19" t="s">
        <v>9332</v>
      </c>
      <c r="CC1179" s="23"/>
      <c r="CD1179" s="19" t="s">
        <v>9333</v>
      </c>
      <c r="CE1179" s="23"/>
      <c r="CF1179" s="23"/>
      <c r="CG1179" s="23"/>
      <c r="CH1179" s="23"/>
      <c r="CI1179" s="23"/>
    </row>
    <row r="1180" spans="1:87" x14ac:dyDescent="0.3">
      <c r="A1180" s="9" t="s">
        <v>9334</v>
      </c>
      <c r="B1180" s="10" t="s">
        <v>9335</v>
      </c>
      <c r="C1180" s="11">
        <v>45929.072916666664</v>
      </c>
      <c r="D1180" s="12">
        <v>8.3333333333333329E-2</v>
      </c>
      <c r="E1180" s="11">
        <v>45929.15625</v>
      </c>
      <c r="F1180" s="10" t="s">
        <v>3211</v>
      </c>
      <c r="G1180" s="13" t="b">
        <v>0</v>
      </c>
      <c r="H1180" s="10" t="s">
        <v>3212</v>
      </c>
      <c r="I1180" s="10" t="s">
        <v>3213</v>
      </c>
      <c r="J1180" s="13" t="b">
        <v>0</v>
      </c>
      <c r="K1180" s="13" t="b">
        <v>1</v>
      </c>
      <c r="L1180" s="10" t="s">
        <v>124</v>
      </c>
      <c r="M1180" s="10" t="s">
        <v>91</v>
      </c>
      <c r="N1180" s="10" t="s">
        <v>92</v>
      </c>
      <c r="O1180" s="19" t="s">
        <v>9336</v>
      </c>
      <c r="P1180" s="10" t="s">
        <v>3215</v>
      </c>
      <c r="Q1180" s="10" t="s">
        <v>126</v>
      </c>
      <c r="R1180" s="10"/>
      <c r="S1180" s="19" t="s">
        <v>9337</v>
      </c>
      <c r="T1180" s="19" t="s">
        <v>9265</v>
      </c>
      <c r="U1180" s="10" t="s">
        <v>3289</v>
      </c>
      <c r="V1180" s="10" t="s">
        <v>3318</v>
      </c>
      <c r="W1180" s="10" t="s">
        <v>3219</v>
      </c>
      <c r="X1180" s="10" t="s">
        <v>130</v>
      </c>
      <c r="Y1180" s="10" t="s">
        <v>130</v>
      </c>
      <c r="Z1180" s="10" t="s">
        <v>99</v>
      </c>
      <c r="AA1180" s="10" t="s">
        <v>131</v>
      </c>
      <c r="AB1180" s="10" t="s">
        <v>3220</v>
      </c>
      <c r="AC1180" s="10" t="s">
        <v>3221</v>
      </c>
      <c r="AD1180" s="10" t="s">
        <v>9338</v>
      </c>
      <c r="AE1180" s="10" t="s">
        <v>9339</v>
      </c>
      <c r="AF1180" s="15"/>
      <c r="AG1180" s="10"/>
      <c r="AH1180" s="10"/>
      <c r="AI1180" s="10"/>
      <c r="AJ1180" s="10"/>
      <c r="AK1180" s="10" t="s">
        <v>102</v>
      </c>
      <c r="AL1180" s="10" t="s">
        <v>167</v>
      </c>
      <c r="AM1180" s="10"/>
      <c r="AN1180" s="10"/>
      <c r="AO1180" s="13" t="b">
        <v>1</v>
      </c>
      <c r="AP1180" s="10" t="s">
        <v>104</v>
      </c>
      <c r="AQ1180" s="10">
        <f ca="1">IFERROR(__xludf.DUMMYFUNCTION("""COMPUTED_VALUE"""),4602001)</f>
        <v>4602001</v>
      </c>
      <c r="AR1180" s="17">
        <v>47989</v>
      </c>
      <c r="AS1180" s="17">
        <v>32970</v>
      </c>
      <c r="AT1180" s="17">
        <v>1912391.75</v>
      </c>
      <c r="AU1180" s="17">
        <v>719.9</v>
      </c>
      <c r="AV1180" s="17">
        <v>201.95</v>
      </c>
      <c r="AW1180" s="10" t="s">
        <v>105</v>
      </c>
      <c r="AX1180" s="17">
        <v>16078</v>
      </c>
      <c r="AY1180" s="18">
        <v>58.003996057021531</v>
      </c>
      <c r="AZ1180" s="10" t="s">
        <v>117</v>
      </c>
      <c r="BA1180" s="20" t="b">
        <v>0</v>
      </c>
      <c r="BB1180" s="10"/>
      <c r="BC1180" s="17">
        <v>47989</v>
      </c>
      <c r="BD1180" s="17">
        <v>32970</v>
      </c>
      <c r="BE1180" s="17">
        <v>1912391.75</v>
      </c>
      <c r="BF1180" s="17">
        <v>201.95</v>
      </c>
      <c r="BG1180" s="11">
        <f ca="1">IFERROR(__xludf.DUMMYFUNCTION("""COMPUTED_VALUE"""),45929.0729166666)</f>
        <v>45929.072916666599</v>
      </c>
      <c r="BH1180" s="17" t="s">
        <v>105</v>
      </c>
      <c r="BI1180" s="17"/>
      <c r="BJ1180" s="15"/>
      <c r="BK1180" s="15"/>
      <c r="BL1180" s="13" t="b">
        <v>0</v>
      </c>
      <c r="BM1180" s="10"/>
      <c r="BN1180" s="10" t="s">
        <v>278</v>
      </c>
      <c r="BO1180" s="11">
        <v>45904.28402777778</v>
      </c>
      <c r="BP1180" s="11">
        <v>45918.775949074072</v>
      </c>
      <c r="BQ1180" s="15">
        <v>45925.70480324074</v>
      </c>
      <c r="BR1180" s="15">
        <v>45927.409131944441</v>
      </c>
      <c r="BS1180" s="10" t="s">
        <v>278</v>
      </c>
      <c r="BT1180" s="10" t="s">
        <v>99</v>
      </c>
      <c r="BU1180" s="10" t="s">
        <v>456</v>
      </c>
      <c r="BV1180" s="10" t="s">
        <v>124</v>
      </c>
      <c r="BW1180" s="10" t="s">
        <v>9340</v>
      </c>
      <c r="BX1180" s="10"/>
      <c r="BY1180" s="23"/>
      <c r="BZ1180" s="23"/>
      <c r="CA1180" s="19" t="s">
        <v>9341</v>
      </c>
      <c r="CB1180" s="19" t="s">
        <v>9342</v>
      </c>
      <c r="CC1180" s="23"/>
      <c r="CD1180" s="19" t="s">
        <v>9343</v>
      </c>
      <c r="CE1180" s="23"/>
      <c r="CF1180" s="23"/>
      <c r="CG1180" s="23"/>
      <c r="CH1180" s="23"/>
      <c r="CI1180" s="23"/>
    </row>
    <row r="1181" spans="1:87" x14ac:dyDescent="0.3">
      <c r="A1181" s="9" t="s">
        <v>9344</v>
      </c>
      <c r="B1181" s="10" t="s">
        <v>9345</v>
      </c>
      <c r="C1181" s="11">
        <v>45928.833333333336</v>
      </c>
      <c r="D1181" s="12">
        <v>8.3333333333333329E-2</v>
      </c>
      <c r="E1181" s="11">
        <v>45928.916666666664</v>
      </c>
      <c r="F1181" s="10" t="s">
        <v>3211</v>
      </c>
      <c r="G1181" s="13" t="b">
        <v>0</v>
      </c>
      <c r="H1181" s="10" t="s">
        <v>3212</v>
      </c>
      <c r="I1181" s="10" t="s">
        <v>3213</v>
      </c>
      <c r="J1181" s="13" t="b">
        <v>0</v>
      </c>
      <c r="K1181" s="13" t="b">
        <v>1</v>
      </c>
      <c r="L1181" s="10" t="s">
        <v>124</v>
      </c>
      <c r="M1181" s="10" t="s">
        <v>91</v>
      </c>
      <c r="N1181" s="10" t="s">
        <v>92</v>
      </c>
      <c r="O1181" s="19" t="s">
        <v>9346</v>
      </c>
      <c r="P1181" s="10" t="s">
        <v>3478</v>
      </c>
      <c r="Q1181" s="10" t="s">
        <v>126</v>
      </c>
      <c r="R1181" s="10"/>
      <c r="S1181" s="19" t="s">
        <v>9347</v>
      </c>
      <c r="T1181" s="19" t="s">
        <v>9265</v>
      </c>
      <c r="U1181" s="10" t="s">
        <v>3451</v>
      </c>
      <c r="V1181" s="10" t="s">
        <v>3240</v>
      </c>
      <c r="W1181" s="10" t="s">
        <v>3219</v>
      </c>
      <c r="X1181" s="10" t="s">
        <v>130</v>
      </c>
      <c r="Y1181" s="10" t="s">
        <v>130</v>
      </c>
      <c r="Z1181" s="10" t="s">
        <v>99</v>
      </c>
      <c r="AA1181" s="10" t="s">
        <v>131</v>
      </c>
      <c r="AB1181" s="10" t="s">
        <v>3220</v>
      </c>
      <c r="AC1181" s="10" t="s">
        <v>3221</v>
      </c>
      <c r="AD1181" s="10" t="s">
        <v>9348</v>
      </c>
      <c r="AE1181" s="10" t="s">
        <v>9349</v>
      </c>
      <c r="AF1181" s="15"/>
      <c r="AG1181" s="10"/>
      <c r="AH1181" s="10"/>
      <c r="AI1181" s="10"/>
      <c r="AJ1181" s="10"/>
      <c r="AK1181" s="10" t="s">
        <v>102</v>
      </c>
      <c r="AL1181" s="10" t="s">
        <v>167</v>
      </c>
      <c r="AM1181" s="10"/>
      <c r="AN1181" s="10"/>
      <c r="AO1181" s="13" t="b">
        <v>0</v>
      </c>
      <c r="AP1181" s="10" t="s">
        <v>104</v>
      </c>
      <c r="AQ1181" s="10">
        <f ca="1">IFERROR(__xludf.DUMMYFUNCTION("""COMPUTED_VALUE"""),4599320)</f>
        <v>4599320</v>
      </c>
      <c r="AR1181" s="17">
        <v>15626</v>
      </c>
      <c r="AS1181" s="17">
        <v>11853</v>
      </c>
      <c r="AT1181" s="17">
        <v>110573.75</v>
      </c>
      <c r="AU1181" s="17">
        <v>45.2</v>
      </c>
      <c r="AV1181" s="17">
        <v>5.6</v>
      </c>
      <c r="AW1181" s="10" t="s">
        <v>105</v>
      </c>
      <c r="AX1181" s="17">
        <v>2590</v>
      </c>
      <c r="AY1181" s="18">
        <v>9.3287564329705557</v>
      </c>
      <c r="AZ1181" s="10" t="s">
        <v>117</v>
      </c>
      <c r="BA1181" s="20" t="b">
        <v>0</v>
      </c>
      <c r="BB1181" s="10"/>
      <c r="BC1181" s="17">
        <v>15626</v>
      </c>
      <c r="BD1181" s="17">
        <v>11853</v>
      </c>
      <c r="BE1181" s="17">
        <v>110573.75</v>
      </c>
      <c r="BF1181" s="17">
        <v>5.6</v>
      </c>
      <c r="BG1181" s="11">
        <f ca="1">IFERROR(__xludf.DUMMYFUNCTION("""COMPUTED_VALUE"""),45928.8333333333)</f>
        <v>45928.833333333299</v>
      </c>
      <c r="BH1181" s="17" t="s">
        <v>105</v>
      </c>
      <c r="BI1181" s="17"/>
      <c r="BJ1181" s="15"/>
      <c r="BK1181" s="15"/>
      <c r="BL1181" s="13" t="b">
        <v>0</v>
      </c>
      <c r="BM1181" s="10"/>
      <c r="BN1181" s="10" t="s">
        <v>4030</v>
      </c>
      <c r="BO1181" s="11">
        <v>45904.284594907411</v>
      </c>
      <c r="BP1181" s="11">
        <v>45918.775185185186</v>
      </c>
      <c r="BQ1181" s="15">
        <v>45924.855613425927</v>
      </c>
      <c r="BR1181" s="15">
        <v>45926.680046296293</v>
      </c>
      <c r="BS1181" s="10" t="s">
        <v>4030</v>
      </c>
      <c r="BT1181" s="10"/>
      <c r="BU1181" s="10"/>
      <c r="BV1181" s="10"/>
      <c r="BW1181" s="10"/>
      <c r="BX1181" s="10"/>
      <c r="BY1181" s="23"/>
      <c r="BZ1181" s="23"/>
      <c r="CA1181" s="19" t="s">
        <v>9350</v>
      </c>
      <c r="CB1181" s="19" t="s">
        <v>9351</v>
      </c>
      <c r="CC1181" s="23"/>
      <c r="CD1181" s="19" t="s">
        <v>9352</v>
      </c>
      <c r="CE1181" s="23"/>
      <c r="CF1181" s="23"/>
      <c r="CG1181" s="23"/>
      <c r="CH1181" s="23"/>
      <c r="CI1181" s="23"/>
    </row>
    <row r="1182" spans="1:87" x14ac:dyDescent="0.3">
      <c r="A1182" s="9" t="s">
        <v>9353</v>
      </c>
      <c r="B1182" s="10" t="s">
        <v>9354</v>
      </c>
      <c r="C1182" s="11">
        <v>45935.958333333336</v>
      </c>
      <c r="D1182" s="12">
        <v>8.3333333333333329E-2</v>
      </c>
      <c r="E1182" s="11">
        <v>45936.041666666664</v>
      </c>
      <c r="F1182" s="10" t="s">
        <v>3211</v>
      </c>
      <c r="G1182" s="13" t="b">
        <v>0</v>
      </c>
      <c r="H1182" s="10" t="s">
        <v>3212</v>
      </c>
      <c r="I1182" s="10" t="s">
        <v>3213</v>
      </c>
      <c r="J1182" s="13" t="b">
        <v>0</v>
      </c>
      <c r="K1182" s="13" t="b">
        <v>1</v>
      </c>
      <c r="L1182" s="10" t="s">
        <v>124</v>
      </c>
      <c r="M1182" s="10" t="s">
        <v>91</v>
      </c>
      <c r="N1182" s="10" t="s">
        <v>92</v>
      </c>
      <c r="O1182" s="19" t="s">
        <v>9355</v>
      </c>
      <c r="P1182" s="10" t="s">
        <v>3215</v>
      </c>
      <c r="Q1182" s="10" t="s">
        <v>126</v>
      </c>
      <c r="R1182" s="10"/>
      <c r="S1182" s="19" t="s">
        <v>9356</v>
      </c>
      <c r="T1182" s="19" t="s">
        <v>9357</v>
      </c>
      <c r="U1182" s="10" t="s">
        <v>3318</v>
      </c>
      <c r="V1182" s="10" t="s">
        <v>3217</v>
      </c>
      <c r="W1182" s="10" t="s">
        <v>3219</v>
      </c>
      <c r="X1182" s="10" t="s">
        <v>130</v>
      </c>
      <c r="Y1182" s="10" t="s">
        <v>130</v>
      </c>
      <c r="Z1182" s="10" t="s">
        <v>99</v>
      </c>
      <c r="AA1182" s="10" t="s">
        <v>131</v>
      </c>
      <c r="AB1182" s="10" t="s">
        <v>3220</v>
      </c>
      <c r="AC1182" s="10" t="s">
        <v>3221</v>
      </c>
      <c r="AD1182" s="10" t="s">
        <v>9358</v>
      </c>
      <c r="AE1182" s="10" t="s">
        <v>9359</v>
      </c>
      <c r="AF1182" s="15"/>
      <c r="AG1182" s="10"/>
      <c r="AH1182" s="10"/>
      <c r="AI1182" s="10"/>
      <c r="AJ1182" s="10"/>
      <c r="AK1182" s="10" t="s">
        <v>102</v>
      </c>
      <c r="AL1182" s="10" t="s">
        <v>176</v>
      </c>
      <c r="AM1182" s="10"/>
      <c r="AN1182" s="10"/>
      <c r="AO1182" s="13" t="b">
        <v>1</v>
      </c>
      <c r="AP1182" s="10" t="s">
        <v>104</v>
      </c>
      <c r="AQ1182" s="10">
        <f ca="1">IFERROR(__xludf.DUMMYFUNCTION("""COMPUTED_VALUE"""),4626136)</f>
        <v>4626136</v>
      </c>
      <c r="AR1182" s="17">
        <v>35906</v>
      </c>
      <c r="AS1182" s="17">
        <v>29933</v>
      </c>
      <c r="AT1182" s="17">
        <v>603894.75</v>
      </c>
      <c r="AU1182" s="17">
        <v>166.7</v>
      </c>
      <c r="AV1182" s="17">
        <v>41.4</v>
      </c>
      <c r="AW1182" s="10" t="s">
        <v>105</v>
      </c>
      <c r="AX1182" s="17">
        <v>8841</v>
      </c>
      <c r="AY1182" s="18">
        <v>20.174882236995959</v>
      </c>
      <c r="AZ1182" s="10" t="s">
        <v>117</v>
      </c>
      <c r="BA1182" s="20" t="b">
        <v>0</v>
      </c>
      <c r="BB1182" s="10"/>
      <c r="BC1182" s="17">
        <v>35906</v>
      </c>
      <c r="BD1182" s="17">
        <v>29933</v>
      </c>
      <c r="BE1182" s="17">
        <v>603894.75</v>
      </c>
      <c r="BF1182" s="17">
        <v>41.4</v>
      </c>
      <c r="BG1182" s="11">
        <f ca="1">IFERROR(__xludf.DUMMYFUNCTION("""COMPUTED_VALUE"""),45935.9583333333)</f>
        <v>45935.958333333299</v>
      </c>
      <c r="BH1182" s="17" t="s">
        <v>105</v>
      </c>
      <c r="BI1182" s="17"/>
      <c r="BJ1182" s="15"/>
      <c r="BK1182" s="15"/>
      <c r="BL1182" s="13" t="b">
        <v>0</v>
      </c>
      <c r="BM1182" s="10"/>
      <c r="BN1182" s="10" t="s">
        <v>667</v>
      </c>
      <c r="BO1182" s="11">
        <v>45904.28402777778</v>
      </c>
      <c r="BP1182" s="11">
        <v>45923.649699074071</v>
      </c>
      <c r="BQ1182" s="15">
        <v>45931.699224537035</v>
      </c>
      <c r="BR1182" s="15">
        <v>45932.341053240743</v>
      </c>
      <c r="BS1182" s="10" t="s">
        <v>667</v>
      </c>
      <c r="BT1182" s="10" t="s">
        <v>279</v>
      </c>
      <c r="BU1182" s="10" t="s">
        <v>718</v>
      </c>
      <c r="BV1182" s="10"/>
      <c r="BW1182" s="10"/>
      <c r="BX1182" s="10"/>
      <c r="BY1182" s="23"/>
      <c r="BZ1182" s="23"/>
      <c r="CA1182" s="19" t="s">
        <v>9360</v>
      </c>
      <c r="CB1182" s="19" t="s">
        <v>9361</v>
      </c>
      <c r="CC1182" s="23"/>
      <c r="CD1182" s="19" t="s">
        <v>9362</v>
      </c>
      <c r="CE1182" s="23"/>
      <c r="CF1182" s="23"/>
      <c r="CG1182" s="23"/>
      <c r="CH1182" s="23"/>
      <c r="CI1182" s="23"/>
    </row>
    <row r="1183" spans="1:87" x14ac:dyDescent="0.3">
      <c r="A1183" s="9" t="s">
        <v>9363</v>
      </c>
      <c r="B1183" s="10" t="s">
        <v>9364</v>
      </c>
      <c r="C1183" s="11">
        <v>45935.072916666664</v>
      </c>
      <c r="D1183" s="12">
        <v>8.3333333333333329E-2</v>
      </c>
      <c r="E1183" s="11">
        <v>45935.15625</v>
      </c>
      <c r="F1183" s="10" t="s">
        <v>3211</v>
      </c>
      <c r="G1183" s="13" t="b">
        <v>0</v>
      </c>
      <c r="H1183" s="10" t="s">
        <v>3212</v>
      </c>
      <c r="I1183" s="10" t="s">
        <v>3213</v>
      </c>
      <c r="J1183" s="13" t="b">
        <v>0</v>
      </c>
      <c r="K1183" s="13" t="b">
        <v>1</v>
      </c>
      <c r="L1183" s="10" t="s">
        <v>124</v>
      </c>
      <c r="M1183" s="10" t="s">
        <v>91</v>
      </c>
      <c r="N1183" s="10" t="s">
        <v>92</v>
      </c>
      <c r="O1183" s="19" t="s">
        <v>9365</v>
      </c>
      <c r="P1183" s="10" t="s">
        <v>3215</v>
      </c>
      <c r="Q1183" s="10" t="s">
        <v>126</v>
      </c>
      <c r="R1183" s="10"/>
      <c r="S1183" s="19" t="s">
        <v>9366</v>
      </c>
      <c r="T1183" s="19" t="s">
        <v>9357</v>
      </c>
      <c r="U1183" s="10" t="s">
        <v>3308</v>
      </c>
      <c r="V1183" s="10" t="s">
        <v>3249</v>
      </c>
      <c r="W1183" s="10" t="s">
        <v>3219</v>
      </c>
      <c r="X1183" s="10" t="s">
        <v>130</v>
      </c>
      <c r="Y1183" s="10" t="s">
        <v>130</v>
      </c>
      <c r="Z1183" s="10" t="s">
        <v>99</v>
      </c>
      <c r="AA1183" s="10" t="s">
        <v>131</v>
      </c>
      <c r="AB1183" s="10" t="s">
        <v>3220</v>
      </c>
      <c r="AC1183" s="10" t="s">
        <v>3221</v>
      </c>
      <c r="AD1183" s="10" t="s">
        <v>9367</v>
      </c>
      <c r="AE1183" s="10" t="s">
        <v>9368</v>
      </c>
      <c r="AF1183" s="15"/>
      <c r="AG1183" s="10"/>
      <c r="AH1183" s="10"/>
      <c r="AI1183" s="10"/>
      <c r="AJ1183" s="10"/>
      <c r="AK1183" s="10" t="s">
        <v>102</v>
      </c>
      <c r="AL1183" s="10" t="s">
        <v>176</v>
      </c>
      <c r="AM1183" s="10"/>
      <c r="AN1183" s="10"/>
      <c r="AO1183" s="13" t="b">
        <v>0</v>
      </c>
      <c r="AP1183" s="10" t="s">
        <v>104</v>
      </c>
      <c r="AQ1183" s="10">
        <f ca="1">IFERROR(__xludf.DUMMYFUNCTION("""COMPUTED_VALUE"""),4622557)</f>
        <v>4622557</v>
      </c>
      <c r="AR1183" s="17">
        <v>15213</v>
      </c>
      <c r="AS1183" s="17">
        <v>11606</v>
      </c>
      <c r="AT1183" s="17">
        <v>328729</v>
      </c>
      <c r="AU1183" s="17">
        <v>30.8</v>
      </c>
      <c r="AV1183" s="17">
        <v>6.3</v>
      </c>
      <c r="AW1183" s="10" t="s">
        <v>105</v>
      </c>
      <c r="AX1183" s="17">
        <v>5243</v>
      </c>
      <c r="AY1183" s="18">
        <v>28.32405652248837</v>
      </c>
      <c r="AZ1183" s="10" t="s">
        <v>117</v>
      </c>
      <c r="BA1183" s="20" t="b">
        <v>0</v>
      </c>
      <c r="BB1183" s="10"/>
      <c r="BC1183" s="17">
        <v>15213</v>
      </c>
      <c r="BD1183" s="17">
        <v>11606</v>
      </c>
      <c r="BE1183" s="17">
        <v>328729</v>
      </c>
      <c r="BF1183" s="17">
        <v>6.3</v>
      </c>
      <c r="BG1183" s="11">
        <f ca="1">IFERROR(__xludf.DUMMYFUNCTION("""COMPUTED_VALUE"""),45935.0729166666)</f>
        <v>45935.072916666599</v>
      </c>
      <c r="BH1183" s="17" t="s">
        <v>105</v>
      </c>
      <c r="BI1183" s="17"/>
      <c r="BJ1183" s="15"/>
      <c r="BK1183" s="15"/>
      <c r="BL1183" s="13" t="b">
        <v>0</v>
      </c>
      <c r="BM1183" s="10"/>
      <c r="BN1183" s="10" t="s">
        <v>117</v>
      </c>
      <c r="BO1183" s="11">
        <v>45904.284594907411</v>
      </c>
      <c r="BP1183" s="11">
        <v>45923.647905092592</v>
      </c>
      <c r="BQ1183" s="15">
        <v>45931.698321759257</v>
      </c>
      <c r="BR1183" s="15">
        <v>45931.784444444442</v>
      </c>
      <c r="BS1183" s="10"/>
      <c r="BT1183" s="10"/>
      <c r="BU1183" s="10"/>
      <c r="BV1183" s="10"/>
      <c r="BW1183" s="10"/>
      <c r="BX1183" s="10"/>
      <c r="BY1183" s="23"/>
      <c r="BZ1183" s="23"/>
      <c r="CA1183" s="19" t="s">
        <v>9369</v>
      </c>
      <c r="CB1183" s="19" t="s">
        <v>9370</v>
      </c>
      <c r="CC1183" s="23"/>
      <c r="CD1183" s="19" t="s">
        <v>9371</v>
      </c>
      <c r="CE1183" s="23"/>
      <c r="CF1183" s="23"/>
      <c r="CG1183" s="23"/>
      <c r="CH1183" s="23"/>
      <c r="CI1183" s="23"/>
    </row>
    <row r="1184" spans="1:87" x14ac:dyDescent="0.3">
      <c r="A1184" s="9" t="s">
        <v>9372</v>
      </c>
      <c r="B1184" s="10" t="s">
        <v>9373</v>
      </c>
      <c r="C1184" s="11">
        <v>45935.729166666664</v>
      </c>
      <c r="D1184" s="12">
        <v>8.3333333333333329E-2</v>
      </c>
      <c r="E1184" s="11">
        <v>45935.8125</v>
      </c>
      <c r="F1184" s="10" t="s">
        <v>3211</v>
      </c>
      <c r="G1184" s="13" t="b">
        <v>0</v>
      </c>
      <c r="H1184" s="10" t="s">
        <v>3212</v>
      </c>
      <c r="I1184" s="10" t="s">
        <v>3213</v>
      </c>
      <c r="J1184" s="13" t="b">
        <v>0</v>
      </c>
      <c r="K1184" s="13" t="b">
        <v>1</v>
      </c>
      <c r="L1184" s="10" t="s">
        <v>124</v>
      </c>
      <c r="M1184" s="10" t="s">
        <v>91</v>
      </c>
      <c r="N1184" s="10" t="s">
        <v>92</v>
      </c>
      <c r="O1184" s="19" t="s">
        <v>9374</v>
      </c>
      <c r="P1184" s="10" t="s">
        <v>3215</v>
      </c>
      <c r="Q1184" s="10" t="s">
        <v>94</v>
      </c>
      <c r="R1184" s="10"/>
      <c r="S1184" s="19" t="s">
        <v>9375</v>
      </c>
      <c r="T1184" s="19" t="s">
        <v>9357</v>
      </c>
      <c r="U1184" s="10" t="s">
        <v>3269</v>
      </c>
      <c r="V1184" s="10" t="s">
        <v>3239</v>
      </c>
      <c r="W1184" s="10" t="s">
        <v>3219</v>
      </c>
      <c r="X1184" s="10" t="s">
        <v>130</v>
      </c>
      <c r="Y1184" s="10" t="s">
        <v>130</v>
      </c>
      <c r="Z1184" s="10" t="s">
        <v>99</v>
      </c>
      <c r="AA1184" s="10" t="s">
        <v>131</v>
      </c>
      <c r="AB1184" s="10" t="s">
        <v>3220</v>
      </c>
      <c r="AC1184" s="10" t="s">
        <v>3221</v>
      </c>
      <c r="AD1184" s="10" t="s">
        <v>9376</v>
      </c>
      <c r="AE1184" s="10" t="s">
        <v>9377</v>
      </c>
      <c r="AF1184" s="15"/>
      <c r="AG1184" s="10"/>
      <c r="AH1184" s="10"/>
      <c r="AI1184" s="10"/>
      <c r="AJ1184" s="10"/>
      <c r="AK1184" s="10" t="s">
        <v>102</v>
      </c>
      <c r="AL1184" s="10" t="s">
        <v>176</v>
      </c>
      <c r="AM1184" s="10"/>
      <c r="AN1184" s="10"/>
      <c r="AO1184" s="13" t="b">
        <v>0</v>
      </c>
      <c r="AP1184" s="10" t="s">
        <v>104</v>
      </c>
      <c r="AQ1184" s="10">
        <f ca="1">IFERROR(__xludf.DUMMYFUNCTION("""COMPUTED_VALUE"""),4626134)</f>
        <v>4626134</v>
      </c>
      <c r="AR1184" s="17">
        <v>28351</v>
      </c>
      <c r="AS1184" s="17">
        <v>21355</v>
      </c>
      <c r="AT1184" s="17">
        <v>481072</v>
      </c>
      <c r="AU1184" s="17">
        <v>106.7</v>
      </c>
      <c r="AV1184" s="17">
        <v>28.6</v>
      </c>
      <c r="AW1184" s="10" t="s">
        <v>105</v>
      </c>
      <c r="AX1184" s="17">
        <v>5461</v>
      </c>
      <c r="AY1184" s="18">
        <v>22.527370639194569</v>
      </c>
      <c r="AZ1184" s="10" t="s">
        <v>117</v>
      </c>
      <c r="BA1184" s="20" t="b">
        <v>0</v>
      </c>
      <c r="BB1184" s="10"/>
      <c r="BC1184" s="17">
        <v>28351</v>
      </c>
      <c r="BD1184" s="17">
        <v>21355</v>
      </c>
      <c r="BE1184" s="17">
        <v>481072</v>
      </c>
      <c r="BF1184" s="17">
        <v>28.6</v>
      </c>
      <c r="BG1184" s="11">
        <f ca="1">IFERROR(__xludf.DUMMYFUNCTION("""COMPUTED_VALUE"""),45935.7291666666)</f>
        <v>45935.729166666599</v>
      </c>
      <c r="BH1184" s="17" t="s">
        <v>105</v>
      </c>
      <c r="BI1184" s="17"/>
      <c r="BJ1184" s="15"/>
      <c r="BK1184" s="15"/>
      <c r="BL1184" s="13" t="b">
        <v>0</v>
      </c>
      <c r="BM1184" s="10"/>
      <c r="BN1184" s="10" t="s">
        <v>117</v>
      </c>
      <c r="BO1184" s="11">
        <v>45904.284594907411</v>
      </c>
      <c r="BP1184" s="11">
        <v>45923.648275462961</v>
      </c>
      <c r="BQ1184" s="15">
        <v>45931.698530092595</v>
      </c>
      <c r="BR1184" s="15">
        <v>45932.339085648149</v>
      </c>
      <c r="BS1184" s="10"/>
      <c r="BT1184" s="10"/>
      <c r="BU1184" s="10"/>
      <c r="BV1184" s="10"/>
      <c r="BW1184" s="10"/>
      <c r="BX1184" s="10"/>
      <c r="BY1184" s="23"/>
      <c r="BZ1184" s="23"/>
      <c r="CA1184" s="19" t="s">
        <v>9378</v>
      </c>
      <c r="CB1184" s="19" t="s">
        <v>9379</v>
      </c>
      <c r="CC1184" s="23"/>
      <c r="CD1184" s="23"/>
      <c r="CE1184" s="23"/>
      <c r="CF1184" s="23"/>
      <c r="CG1184" s="23"/>
      <c r="CH1184" s="23"/>
      <c r="CI1184" s="23"/>
    </row>
    <row r="1185" spans="1:87" x14ac:dyDescent="0.3">
      <c r="A1185" s="9" t="s">
        <v>9380</v>
      </c>
      <c r="B1185" s="10" t="s">
        <v>9381</v>
      </c>
      <c r="C1185" s="11">
        <v>45934.833333333336</v>
      </c>
      <c r="D1185" s="12">
        <v>8.3333333333333329E-2</v>
      </c>
      <c r="E1185" s="11">
        <v>45934.916666666664</v>
      </c>
      <c r="F1185" s="10" t="s">
        <v>3211</v>
      </c>
      <c r="G1185" s="13" t="b">
        <v>0</v>
      </c>
      <c r="H1185" s="10" t="s">
        <v>3212</v>
      </c>
      <c r="I1185" s="10" t="s">
        <v>3213</v>
      </c>
      <c r="J1185" s="13" t="b">
        <v>0</v>
      </c>
      <c r="K1185" s="13" t="b">
        <v>1</v>
      </c>
      <c r="L1185" s="10" t="s">
        <v>124</v>
      </c>
      <c r="M1185" s="10" t="s">
        <v>91</v>
      </c>
      <c r="N1185" s="10" t="s">
        <v>92</v>
      </c>
      <c r="O1185" s="19" t="s">
        <v>9382</v>
      </c>
      <c r="P1185" s="10" t="s">
        <v>3478</v>
      </c>
      <c r="Q1185" s="10" t="s">
        <v>94</v>
      </c>
      <c r="R1185" s="10"/>
      <c r="S1185" s="19" t="s">
        <v>9383</v>
      </c>
      <c r="T1185" s="19" t="s">
        <v>9357</v>
      </c>
      <c r="U1185" s="10" t="s">
        <v>3260</v>
      </c>
      <c r="V1185" s="10" t="s">
        <v>3218</v>
      </c>
      <c r="W1185" s="10" t="s">
        <v>3219</v>
      </c>
      <c r="X1185" s="10" t="s">
        <v>130</v>
      </c>
      <c r="Y1185" s="10" t="s">
        <v>130</v>
      </c>
      <c r="Z1185" s="10" t="s">
        <v>99</v>
      </c>
      <c r="AA1185" s="10" t="s">
        <v>131</v>
      </c>
      <c r="AB1185" s="10" t="s">
        <v>3220</v>
      </c>
      <c r="AC1185" s="10" t="s">
        <v>3221</v>
      </c>
      <c r="AD1185" s="10" t="s">
        <v>9384</v>
      </c>
      <c r="AE1185" s="10" t="s">
        <v>9385</v>
      </c>
      <c r="AF1185" s="15"/>
      <c r="AG1185" s="10"/>
      <c r="AH1185" s="10"/>
      <c r="AI1185" s="10"/>
      <c r="AJ1185" s="10"/>
      <c r="AK1185" s="10" t="s">
        <v>102</v>
      </c>
      <c r="AL1185" s="10" t="s">
        <v>176</v>
      </c>
      <c r="AM1185" s="10"/>
      <c r="AN1185" s="10"/>
      <c r="AO1185" s="13" t="b">
        <v>0</v>
      </c>
      <c r="AP1185" s="10" t="s">
        <v>104</v>
      </c>
      <c r="AQ1185" s="10">
        <f ca="1">IFERROR(__xludf.DUMMYFUNCTION("""COMPUTED_VALUE"""),4622568)</f>
        <v>4622568</v>
      </c>
      <c r="AR1185" s="17">
        <v>13226</v>
      </c>
      <c r="AS1185" s="17">
        <v>10373</v>
      </c>
      <c r="AT1185" s="17">
        <v>81028.75</v>
      </c>
      <c r="AU1185" s="17">
        <v>56.9</v>
      </c>
      <c r="AV1185" s="17">
        <v>13.15</v>
      </c>
      <c r="AW1185" s="10" t="s">
        <v>105</v>
      </c>
      <c r="AX1185" s="17">
        <v>1856</v>
      </c>
      <c r="AY1185" s="18">
        <v>7.8115058324496287</v>
      </c>
      <c r="AZ1185" s="10" t="s">
        <v>117</v>
      </c>
      <c r="BA1185" s="20" t="b">
        <v>0</v>
      </c>
      <c r="BB1185" s="10"/>
      <c r="BC1185" s="17">
        <v>13226</v>
      </c>
      <c r="BD1185" s="17">
        <v>10373</v>
      </c>
      <c r="BE1185" s="17">
        <v>81028.75</v>
      </c>
      <c r="BF1185" s="17">
        <v>13.15</v>
      </c>
      <c r="BG1185" s="11">
        <f ca="1">IFERROR(__xludf.DUMMYFUNCTION("""COMPUTED_VALUE"""),45934.8333333333)</f>
        <v>45934.833333333299</v>
      </c>
      <c r="BH1185" s="17" t="s">
        <v>105</v>
      </c>
      <c r="BI1185" s="17"/>
      <c r="BJ1185" s="15"/>
      <c r="BK1185" s="15"/>
      <c r="BL1185" s="13" t="b">
        <v>0</v>
      </c>
      <c r="BM1185" s="10"/>
      <c r="BN1185" s="10" t="s">
        <v>137</v>
      </c>
      <c r="BO1185" s="11">
        <v>45904.284594907411</v>
      </c>
      <c r="BP1185" s="11">
        <v>45923.648530092592</v>
      </c>
      <c r="BQ1185" s="15">
        <v>45931.697951388887</v>
      </c>
      <c r="BR1185" s="15">
        <v>45931.783831018518</v>
      </c>
      <c r="BS1185" s="10" t="s">
        <v>137</v>
      </c>
      <c r="BT1185" s="10" t="s">
        <v>99</v>
      </c>
      <c r="BU1185" s="10" t="s">
        <v>534</v>
      </c>
      <c r="BV1185" s="10"/>
      <c r="BW1185" s="10"/>
      <c r="BX1185" s="10"/>
      <c r="BY1185" s="23"/>
      <c r="BZ1185" s="23"/>
      <c r="CA1185" s="19" t="s">
        <v>9386</v>
      </c>
      <c r="CB1185" s="19" t="s">
        <v>9387</v>
      </c>
      <c r="CC1185" s="23"/>
      <c r="CD1185" s="23"/>
      <c r="CE1185" s="23"/>
      <c r="CF1185" s="23"/>
      <c r="CG1185" s="23"/>
      <c r="CH1185" s="23"/>
      <c r="CI1185" s="23"/>
    </row>
    <row r="1186" spans="1:87" x14ac:dyDescent="0.3">
      <c r="A1186" s="9" t="s">
        <v>9388</v>
      </c>
      <c r="B1186" s="10" t="s">
        <v>9389</v>
      </c>
      <c r="C1186" s="11">
        <v>45934.958333333336</v>
      </c>
      <c r="D1186" s="12">
        <v>8.3333333333333329E-2</v>
      </c>
      <c r="E1186" s="11">
        <v>45935.041666666664</v>
      </c>
      <c r="F1186" s="10" t="s">
        <v>3211</v>
      </c>
      <c r="G1186" s="13" t="b">
        <v>0</v>
      </c>
      <c r="H1186" s="10" t="s">
        <v>3212</v>
      </c>
      <c r="I1186" s="10" t="s">
        <v>3213</v>
      </c>
      <c r="J1186" s="13" t="b">
        <v>0</v>
      </c>
      <c r="K1186" s="13" t="b">
        <v>1</v>
      </c>
      <c r="L1186" s="10" t="s">
        <v>124</v>
      </c>
      <c r="M1186" s="10" t="s">
        <v>91</v>
      </c>
      <c r="N1186" s="10" t="s">
        <v>92</v>
      </c>
      <c r="O1186" s="19" t="s">
        <v>9390</v>
      </c>
      <c r="P1186" s="10" t="s">
        <v>3215</v>
      </c>
      <c r="Q1186" s="10" t="s">
        <v>126</v>
      </c>
      <c r="R1186" s="10"/>
      <c r="S1186" s="19" t="s">
        <v>9391</v>
      </c>
      <c r="T1186" s="19" t="s">
        <v>9357</v>
      </c>
      <c r="U1186" s="10" t="s">
        <v>3278</v>
      </c>
      <c r="V1186" s="10" t="s">
        <v>3440</v>
      </c>
      <c r="W1186" s="10" t="s">
        <v>3219</v>
      </c>
      <c r="X1186" s="10" t="s">
        <v>130</v>
      </c>
      <c r="Y1186" s="10" t="s">
        <v>130</v>
      </c>
      <c r="Z1186" s="10" t="s">
        <v>99</v>
      </c>
      <c r="AA1186" s="10" t="s">
        <v>131</v>
      </c>
      <c r="AB1186" s="10" t="s">
        <v>3220</v>
      </c>
      <c r="AC1186" s="10" t="s">
        <v>3221</v>
      </c>
      <c r="AD1186" s="10" t="s">
        <v>9392</v>
      </c>
      <c r="AE1186" s="10" t="s">
        <v>9393</v>
      </c>
      <c r="AF1186" s="15"/>
      <c r="AG1186" s="10"/>
      <c r="AH1186" s="10"/>
      <c r="AI1186" s="10"/>
      <c r="AJ1186" s="10"/>
      <c r="AK1186" s="10" t="s">
        <v>102</v>
      </c>
      <c r="AL1186" s="10" t="s">
        <v>176</v>
      </c>
      <c r="AM1186" s="10"/>
      <c r="AN1186" s="10"/>
      <c r="AO1186" s="13" t="b">
        <v>1</v>
      </c>
      <c r="AP1186" s="10" t="s">
        <v>104</v>
      </c>
      <c r="AQ1186" s="10">
        <f ca="1">IFERROR(__xludf.DUMMYFUNCTION("""COMPUTED_VALUE"""),4622536)</f>
        <v>4622536</v>
      </c>
      <c r="AR1186" s="17">
        <v>73235</v>
      </c>
      <c r="AS1186" s="17">
        <v>59523</v>
      </c>
      <c r="AT1186" s="17">
        <v>1191547.75</v>
      </c>
      <c r="AU1186" s="17">
        <v>754.4</v>
      </c>
      <c r="AV1186" s="17">
        <v>178.45</v>
      </c>
      <c r="AW1186" s="10" t="s">
        <v>105</v>
      </c>
      <c r="AX1186" s="17">
        <v>18402</v>
      </c>
      <c r="AY1186" s="18">
        <v>20.018274448532502</v>
      </c>
      <c r="AZ1186" s="10" t="s">
        <v>117</v>
      </c>
      <c r="BA1186" s="20" t="b">
        <v>0</v>
      </c>
      <c r="BB1186" s="10"/>
      <c r="BC1186" s="17">
        <v>73235</v>
      </c>
      <c r="BD1186" s="17">
        <v>59523</v>
      </c>
      <c r="BE1186" s="17">
        <v>1191547.75</v>
      </c>
      <c r="BF1186" s="17">
        <v>178.45</v>
      </c>
      <c r="BG1186" s="11">
        <f ca="1">IFERROR(__xludf.DUMMYFUNCTION("""COMPUTED_VALUE"""),45934.9583333333)</f>
        <v>45934.958333333299</v>
      </c>
      <c r="BH1186" s="17" t="s">
        <v>105</v>
      </c>
      <c r="BI1186" s="17"/>
      <c r="BJ1186" s="15"/>
      <c r="BK1186" s="15"/>
      <c r="BL1186" s="13" t="b">
        <v>0</v>
      </c>
      <c r="BM1186" s="10"/>
      <c r="BN1186" s="10" t="s">
        <v>667</v>
      </c>
      <c r="BO1186" s="11">
        <v>45904.28402777778</v>
      </c>
      <c r="BP1186" s="11">
        <v>45923.651643518519</v>
      </c>
      <c r="BQ1186" s="15">
        <v>45931.698136574072</v>
      </c>
      <c r="BR1186" s="15">
        <v>45931.784062500003</v>
      </c>
      <c r="BS1186" s="10" t="s">
        <v>667</v>
      </c>
      <c r="BT1186" s="10" t="s">
        <v>279</v>
      </c>
      <c r="BU1186" s="10" t="s">
        <v>718</v>
      </c>
      <c r="BV1186" s="10" t="s">
        <v>124</v>
      </c>
      <c r="BW1186" s="10"/>
      <c r="BX1186" s="10"/>
      <c r="BY1186" s="23"/>
      <c r="BZ1186" s="23"/>
      <c r="CA1186" s="19" t="s">
        <v>9394</v>
      </c>
      <c r="CB1186" s="19" t="s">
        <v>9395</v>
      </c>
      <c r="CC1186" s="23"/>
      <c r="CD1186" s="19" t="s">
        <v>9396</v>
      </c>
      <c r="CE1186" s="23"/>
      <c r="CF1186" s="23"/>
      <c r="CG1186" s="23"/>
      <c r="CH1186" s="23"/>
      <c r="CI1186" s="23"/>
    </row>
    <row r="1187" spans="1:87" x14ac:dyDescent="0.3">
      <c r="A1187" s="9" t="s">
        <v>9397</v>
      </c>
      <c r="B1187" s="10" t="s">
        <v>9398</v>
      </c>
      <c r="C1187" s="11">
        <v>45935.833333333336</v>
      </c>
      <c r="D1187" s="12">
        <v>8.3333333333333329E-2</v>
      </c>
      <c r="E1187" s="11">
        <v>45935.916666666664</v>
      </c>
      <c r="F1187" s="10" t="s">
        <v>3211</v>
      </c>
      <c r="G1187" s="13" t="b">
        <v>0</v>
      </c>
      <c r="H1187" s="10" t="s">
        <v>3212</v>
      </c>
      <c r="I1187" s="10" t="s">
        <v>3213</v>
      </c>
      <c r="J1187" s="13" t="b">
        <v>0</v>
      </c>
      <c r="K1187" s="13" t="b">
        <v>1</v>
      </c>
      <c r="L1187" s="10" t="s">
        <v>124</v>
      </c>
      <c r="M1187" s="10" t="s">
        <v>91</v>
      </c>
      <c r="N1187" s="10" t="s">
        <v>92</v>
      </c>
      <c r="O1187" s="19" t="s">
        <v>9399</v>
      </c>
      <c r="P1187" s="10" t="s">
        <v>3478</v>
      </c>
      <c r="Q1187" s="10" t="s">
        <v>94</v>
      </c>
      <c r="R1187" s="10"/>
      <c r="S1187" s="19" t="s">
        <v>9400</v>
      </c>
      <c r="T1187" s="19" t="s">
        <v>9357</v>
      </c>
      <c r="U1187" s="10" t="s">
        <v>3230</v>
      </c>
      <c r="V1187" s="10" t="s">
        <v>3451</v>
      </c>
      <c r="W1187" s="10" t="s">
        <v>3219</v>
      </c>
      <c r="X1187" s="10" t="s">
        <v>130</v>
      </c>
      <c r="Y1187" s="10" t="s">
        <v>130</v>
      </c>
      <c r="Z1187" s="10" t="s">
        <v>99</v>
      </c>
      <c r="AA1187" s="10" t="s">
        <v>131</v>
      </c>
      <c r="AB1187" s="10" t="s">
        <v>3220</v>
      </c>
      <c r="AC1187" s="10" t="s">
        <v>3221</v>
      </c>
      <c r="AD1187" s="10" t="s">
        <v>9401</v>
      </c>
      <c r="AE1187" s="10" t="s">
        <v>9402</v>
      </c>
      <c r="AF1187" s="15"/>
      <c r="AG1187" s="10"/>
      <c r="AH1187" s="10"/>
      <c r="AI1187" s="10"/>
      <c r="AJ1187" s="10"/>
      <c r="AK1187" s="10" t="s">
        <v>102</v>
      </c>
      <c r="AL1187" s="10" t="s">
        <v>176</v>
      </c>
      <c r="AM1187" s="10"/>
      <c r="AN1187" s="10"/>
      <c r="AO1187" s="13" t="b">
        <v>0</v>
      </c>
      <c r="AP1187" s="10" t="s">
        <v>104</v>
      </c>
      <c r="AQ1187" s="10">
        <f ca="1">IFERROR(__xludf.DUMMYFUNCTION("""COMPUTED_VALUE"""),4626137)</f>
        <v>4626137</v>
      </c>
      <c r="AR1187" s="17">
        <v>7695</v>
      </c>
      <c r="AS1187" s="17">
        <v>6335</v>
      </c>
      <c r="AT1187" s="17">
        <v>34623.25</v>
      </c>
      <c r="AU1187" s="17">
        <v>5.9</v>
      </c>
      <c r="AV1187" s="17">
        <v>0.9</v>
      </c>
      <c r="AW1187" s="10" t="s">
        <v>105</v>
      </c>
      <c r="AX1187" s="17">
        <v>1299</v>
      </c>
      <c r="AY1187" s="18">
        <v>5.4653906866614053</v>
      </c>
      <c r="AZ1187" s="10" t="s">
        <v>117</v>
      </c>
      <c r="BA1187" s="20" t="b">
        <v>0</v>
      </c>
      <c r="BB1187" s="10"/>
      <c r="BC1187" s="17">
        <v>7695</v>
      </c>
      <c r="BD1187" s="17">
        <v>6335</v>
      </c>
      <c r="BE1187" s="17">
        <v>34623.25</v>
      </c>
      <c r="BF1187" s="17">
        <v>0.9</v>
      </c>
      <c r="BG1187" s="11">
        <f ca="1">IFERROR(__xludf.DUMMYFUNCTION("""COMPUTED_VALUE"""),45935.8333333333)</f>
        <v>45935.833333333299</v>
      </c>
      <c r="BH1187" s="17" t="s">
        <v>105</v>
      </c>
      <c r="BI1187" s="17"/>
      <c r="BJ1187" s="15"/>
      <c r="BK1187" s="15"/>
      <c r="BL1187" s="13" t="b">
        <v>0</v>
      </c>
      <c r="BM1187" s="10"/>
      <c r="BN1187" s="10" t="s">
        <v>137</v>
      </c>
      <c r="BO1187" s="11">
        <v>45904.284594907411</v>
      </c>
      <c r="BP1187" s="11">
        <v>45923.649363425924</v>
      </c>
      <c r="BQ1187" s="15">
        <v>45931.698807870373</v>
      </c>
      <c r="BR1187" s="15">
        <v>45932.340081018519</v>
      </c>
      <c r="BS1187" s="10" t="s">
        <v>137</v>
      </c>
      <c r="BT1187" s="10" t="s">
        <v>99</v>
      </c>
      <c r="BU1187" s="10" t="s">
        <v>498</v>
      </c>
      <c r="BV1187" s="10"/>
      <c r="BW1187" s="10"/>
      <c r="BX1187" s="10"/>
      <c r="BY1187" s="23"/>
      <c r="BZ1187" s="23"/>
      <c r="CA1187" s="19" t="s">
        <v>9403</v>
      </c>
      <c r="CB1187" s="19" t="s">
        <v>9404</v>
      </c>
      <c r="CC1187" s="23"/>
      <c r="CD1187" s="23"/>
      <c r="CE1187" s="23"/>
      <c r="CF1187" s="23"/>
      <c r="CG1187" s="23"/>
      <c r="CH1187" s="23"/>
      <c r="CI1187" s="23"/>
    </row>
    <row r="1188" spans="1:87" x14ac:dyDescent="0.3">
      <c r="A1188" s="9" t="s">
        <v>9405</v>
      </c>
      <c r="B1188" s="10" t="s">
        <v>9406</v>
      </c>
      <c r="C1188" s="11">
        <v>45934.833333333336</v>
      </c>
      <c r="D1188" s="12">
        <v>8.3333333333333329E-2</v>
      </c>
      <c r="E1188" s="11">
        <v>45934.916666666664</v>
      </c>
      <c r="F1188" s="10" t="s">
        <v>3211</v>
      </c>
      <c r="G1188" s="13" t="b">
        <v>0</v>
      </c>
      <c r="H1188" s="10" t="s">
        <v>3212</v>
      </c>
      <c r="I1188" s="10" t="s">
        <v>3213</v>
      </c>
      <c r="J1188" s="13" t="b">
        <v>0</v>
      </c>
      <c r="K1188" s="13" t="b">
        <v>1</v>
      </c>
      <c r="L1188" s="10" t="s">
        <v>124</v>
      </c>
      <c r="M1188" s="10" t="s">
        <v>91</v>
      </c>
      <c r="N1188" s="10" t="s">
        <v>92</v>
      </c>
      <c r="O1188" s="19" t="s">
        <v>9407</v>
      </c>
      <c r="P1188" s="10" t="s">
        <v>3215</v>
      </c>
      <c r="Q1188" s="10" t="s">
        <v>126</v>
      </c>
      <c r="R1188" s="10"/>
      <c r="S1188" s="19" t="s">
        <v>9408</v>
      </c>
      <c r="T1188" s="19" t="s">
        <v>9357</v>
      </c>
      <c r="U1188" s="10" t="s">
        <v>3250</v>
      </c>
      <c r="V1188" s="10" t="s">
        <v>3279</v>
      </c>
      <c r="W1188" s="10" t="s">
        <v>3219</v>
      </c>
      <c r="X1188" s="10" t="s">
        <v>130</v>
      </c>
      <c r="Y1188" s="10" t="s">
        <v>130</v>
      </c>
      <c r="Z1188" s="10" t="s">
        <v>99</v>
      </c>
      <c r="AA1188" s="10" t="s">
        <v>131</v>
      </c>
      <c r="AB1188" s="10" t="s">
        <v>3220</v>
      </c>
      <c r="AC1188" s="10" t="s">
        <v>3221</v>
      </c>
      <c r="AD1188" s="10" t="s">
        <v>9409</v>
      </c>
      <c r="AE1188" s="10" t="s">
        <v>9410</v>
      </c>
      <c r="AF1188" s="15"/>
      <c r="AG1188" s="10"/>
      <c r="AH1188" s="10"/>
      <c r="AI1188" s="10"/>
      <c r="AJ1188" s="10"/>
      <c r="AK1188" s="10" t="s">
        <v>102</v>
      </c>
      <c r="AL1188" s="10" t="s">
        <v>176</v>
      </c>
      <c r="AM1188" s="10"/>
      <c r="AN1188" s="10"/>
      <c r="AO1188" s="13" t="b">
        <v>0</v>
      </c>
      <c r="AP1188" s="10" t="s">
        <v>104</v>
      </c>
      <c r="AQ1188" s="10">
        <f ca="1">IFERROR(__xludf.DUMMYFUNCTION("""COMPUTED_VALUE"""),4622520)</f>
        <v>4622520</v>
      </c>
      <c r="AR1188" s="17">
        <v>29622</v>
      </c>
      <c r="AS1188" s="17">
        <v>21612</v>
      </c>
      <c r="AT1188" s="17">
        <v>364305</v>
      </c>
      <c r="AU1188" s="17">
        <v>202.65</v>
      </c>
      <c r="AV1188" s="17">
        <v>41.2</v>
      </c>
      <c r="AW1188" s="10" t="s">
        <v>105</v>
      </c>
      <c r="AX1188" s="17">
        <v>6267</v>
      </c>
      <c r="AY1188" s="18">
        <v>16.856607440310938</v>
      </c>
      <c r="AZ1188" s="10" t="s">
        <v>117</v>
      </c>
      <c r="BA1188" s="20" t="b">
        <v>0</v>
      </c>
      <c r="BB1188" s="10"/>
      <c r="BC1188" s="17">
        <v>29622</v>
      </c>
      <c r="BD1188" s="17">
        <v>21612</v>
      </c>
      <c r="BE1188" s="17">
        <v>364305</v>
      </c>
      <c r="BF1188" s="17">
        <v>41.2</v>
      </c>
      <c r="BG1188" s="11">
        <f ca="1">IFERROR(__xludf.DUMMYFUNCTION("""COMPUTED_VALUE"""),45934.8333333333)</f>
        <v>45934.833333333299</v>
      </c>
      <c r="BH1188" s="17" t="s">
        <v>105</v>
      </c>
      <c r="BI1188" s="17"/>
      <c r="BJ1188" s="15"/>
      <c r="BK1188" s="15"/>
      <c r="BL1188" s="13" t="b">
        <v>0</v>
      </c>
      <c r="BM1188" s="10"/>
      <c r="BN1188" s="10" t="s">
        <v>117</v>
      </c>
      <c r="BO1188" s="11">
        <v>45904.284594907411</v>
      </c>
      <c r="BP1188" s="11">
        <v>45923.651250000003</v>
      </c>
      <c r="BQ1188" s="15">
        <v>45931.69767361111</v>
      </c>
      <c r="BR1188" s="15">
        <v>45931.783634259256</v>
      </c>
      <c r="BS1188" s="10"/>
      <c r="BT1188" s="10"/>
      <c r="BU1188" s="10"/>
      <c r="BV1188" s="10"/>
      <c r="BW1188" s="10"/>
      <c r="BX1188" s="10"/>
      <c r="BY1188" s="23"/>
      <c r="BZ1188" s="23"/>
      <c r="CA1188" s="19" t="s">
        <v>9411</v>
      </c>
      <c r="CB1188" s="19" t="s">
        <v>9412</v>
      </c>
      <c r="CC1188" s="23"/>
      <c r="CD1188" s="19" t="s">
        <v>9413</v>
      </c>
      <c r="CE1188" s="23"/>
      <c r="CF1188" s="23"/>
      <c r="CG1188" s="23"/>
      <c r="CH1188" s="23"/>
      <c r="CI1188" s="23"/>
    </row>
    <row r="1189" spans="1:87" x14ac:dyDescent="0.3">
      <c r="A1189" s="9" t="s">
        <v>9414</v>
      </c>
      <c r="B1189" s="10" t="s">
        <v>9415</v>
      </c>
      <c r="C1189" s="11">
        <v>45936.072916666664</v>
      </c>
      <c r="D1189" s="12">
        <v>8.3333333333333329E-2</v>
      </c>
      <c r="E1189" s="11">
        <v>45936.15625</v>
      </c>
      <c r="F1189" s="10" t="s">
        <v>3211</v>
      </c>
      <c r="G1189" s="13" t="b">
        <v>0</v>
      </c>
      <c r="H1189" s="10" t="s">
        <v>3212</v>
      </c>
      <c r="I1189" s="10" t="s">
        <v>3213</v>
      </c>
      <c r="J1189" s="13" t="b">
        <v>0</v>
      </c>
      <c r="K1189" s="13" t="b">
        <v>1</v>
      </c>
      <c r="L1189" s="10" t="s">
        <v>124</v>
      </c>
      <c r="M1189" s="10" t="s">
        <v>91</v>
      </c>
      <c r="N1189" s="10" t="s">
        <v>92</v>
      </c>
      <c r="O1189" s="19" t="s">
        <v>9416</v>
      </c>
      <c r="P1189" s="10" t="s">
        <v>3215</v>
      </c>
      <c r="Q1189" s="10" t="s">
        <v>126</v>
      </c>
      <c r="R1189" s="10"/>
      <c r="S1189" s="19" t="s">
        <v>9417</v>
      </c>
      <c r="T1189" s="19" t="s">
        <v>9357</v>
      </c>
      <c r="U1189" s="10" t="s">
        <v>3259</v>
      </c>
      <c r="V1189" s="10" t="s">
        <v>3289</v>
      </c>
      <c r="W1189" s="10" t="s">
        <v>3219</v>
      </c>
      <c r="X1189" s="10" t="s">
        <v>130</v>
      </c>
      <c r="Y1189" s="10" t="s">
        <v>130</v>
      </c>
      <c r="Z1189" s="10" t="s">
        <v>99</v>
      </c>
      <c r="AA1189" s="10" t="s">
        <v>131</v>
      </c>
      <c r="AB1189" s="10" t="s">
        <v>3220</v>
      </c>
      <c r="AC1189" s="10" t="s">
        <v>3221</v>
      </c>
      <c r="AD1189" s="10" t="s">
        <v>9418</v>
      </c>
      <c r="AE1189" s="10" t="s">
        <v>9419</v>
      </c>
      <c r="AF1189" s="15"/>
      <c r="AG1189" s="10"/>
      <c r="AH1189" s="10"/>
      <c r="AI1189" s="10"/>
      <c r="AJ1189" s="10"/>
      <c r="AK1189" s="10" t="s">
        <v>102</v>
      </c>
      <c r="AL1189" s="10" t="s">
        <v>176</v>
      </c>
      <c r="AM1189" s="10"/>
      <c r="AN1189" s="10"/>
      <c r="AO1189" s="13" t="b">
        <v>1</v>
      </c>
      <c r="AP1189" s="10" t="s">
        <v>104</v>
      </c>
      <c r="AQ1189" s="10">
        <f ca="1">IFERROR(__xludf.DUMMYFUNCTION("""COMPUTED_VALUE"""),4631510)</f>
        <v>4631510</v>
      </c>
      <c r="AR1189" s="17">
        <v>54106</v>
      </c>
      <c r="AS1189" s="17">
        <v>38003</v>
      </c>
      <c r="AT1189" s="17">
        <v>2160010.25</v>
      </c>
      <c r="AU1189" s="17">
        <v>670.7</v>
      </c>
      <c r="AV1189" s="17">
        <v>184.65</v>
      </c>
      <c r="AW1189" s="10" t="s">
        <v>105</v>
      </c>
      <c r="AX1189" s="17">
        <v>23108</v>
      </c>
      <c r="AY1189" s="18">
        <v>56.837887798331714</v>
      </c>
      <c r="AZ1189" s="10" t="s">
        <v>117</v>
      </c>
      <c r="BA1189" s="20" t="b">
        <v>0</v>
      </c>
      <c r="BB1189" s="10"/>
      <c r="BC1189" s="17">
        <v>54106</v>
      </c>
      <c r="BD1189" s="17">
        <v>38003</v>
      </c>
      <c r="BE1189" s="17">
        <v>2160010.25</v>
      </c>
      <c r="BF1189" s="17">
        <v>184.65</v>
      </c>
      <c r="BG1189" s="11">
        <f ca="1">IFERROR(__xludf.DUMMYFUNCTION("""COMPUTED_VALUE"""),45936.0729166666)</f>
        <v>45936.072916666599</v>
      </c>
      <c r="BH1189" s="17" t="s">
        <v>105</v>
      </c>
      <c r="BI1189" s="17"/>
      <c r="BJ1189" s="15"/>
      <c r="BK1189" s="15"/>
      <c r="BL1189" s="13" t="b">
        <v>0</v>
      </c>
      <c r="BM1189" s="10"/>
      <c r="BN1189" s="10" t="s">
        <v>278</v>
      </c>
      <c r="BO1189" s="11">
        <v>45904.28402777778</v>
      </c>
      <c r="BP1189" s="11">
        <v>45923.651886574073</v>
      </c>
      <c r="BQ1189" s="15">
        <v>45931.699421296296</v>
      </c>
      <c r="BR1189" s="15">
        <v>45934.671898148146</v>
      </c>
      <c r="BS1189" s="10" t="s">
        <v>278</v>
      </c>
      <c r="BT1189" s="10" t="s">
        <v>279</v>
      </c>
      <c r="BU1189" s="10" t="s">
        <v>1286</v>
      </c>
      <c r="BV1189" s="10" t="s">
        <v>281</v>
      </c>
      <c r="BW1189" s="10"/>
      <c r="BX1189" s="10"/>
      <c r="BY1189" s="23"/>
      <c r="BZ1189" s="23"/>
      <c r="CA1189" s="19" t="s">
        <v>9420</v>
      </c>
      <c r="CB1189" s="19" t="s">
        <v>9421</v>
      </c>
      <c r="CC1189" s="23"/>
      <c r="CD1189" s="19" t="s">
        <v>9422</v>
      </c>
      <c r="CE1189" s="23"/>
      <c r="CF1189" s="23"/>
      <c r="CG1189" s="23"/>
      <c r="CH1189" s="23"/>
      <c r="CI1189" s="23"/>
    </row>
    <row r="1190" spans="1:87" x14ac:dyDescent="0.3">
      <c r="A1190" s="9" t="s">
        <v>9423</v>
      </c>
      <c r="B1190" s="10" t="s">
        <v>9424</v>
      </c>
      <c r="C1190" s="11">
        <v>45935.833333333336</v>
      </c>
      <c r="D1190" s="12">
        <v>8.3333333333333329E-2</v>
      </c>
      <c r="E1190" s="11">
        <v>45935.916666666664</v>
      </c>
      <c r="F1190" s="10" t="s">
        <v>3211</v>
      </c>
      <c r="G1190" s="13" t="b">
        <v>0</v>
      </c>
      <c r="H1190" s="10" t="s">
        <v>3212</v>
      </c>
      <c r="I1190" s="10" t="s">
        <v>3213</v>
      </c>
      <c r="J1190" s="13" t="b">
        <v>0</v>
      </c>
      <c r="K1190" s="13" t="b">
        <v>1</v>
      </c>
      <c r="L1190" s="10" t="s">
        <v>124</v>
      </c>
      <c r="M1190" s="10" t="s">
        <v>91</v>
      </c>
      <c r="N1190" s="10" t="s">
        <v>92</v>
      </c>
      <c r="O1190" s="19" t="s">
        <v>9425</v>
      </c>
      <c r="P1190" s="10" t="s">
        <v>3215</v>
      </c>
      <c r="Q1190" s="10" t="s">
        <v>126</v>
      </c>
      <c r="R1190" s="10"/>
      <c r="S1190" s="19" t="s">
        <v>9426</v>
      </c>
      <c r="T1190" s="19" t="s">
        <v>9357</v>
      </c>
      <c r="U1190" s="10" t="s">
        <v>3240</v>
      </c>
      <c r="V1190" s="10" t="s">
        <v>3229</v>
      </c>
      <c r="W1190" s="10" t="s">
        <v>3219</v>
      </c>
      <c r="X1190" s="10" t="s">
        <v>130</v>
      </c>
      <c r="Y1190" s="10" t="s">
        <v>130</v>
      </c>
      <c r="Z1190" s="10" t="s">
        <v>99</v>
      </c>
      <c r="AA1190" s="10" t="s">
        <v>131</v>
      </c>
      <c r="AB1190" s="10" t="s">
        <v>3220</v>
      </c>
      <c r="AC1190" s="10" t="s">
        <v>3221</v>
      </c>
      <c r="AD1190" s="10" t="s">
        <v>9427</v>
      </c>
      <c r="AE1190" s="10" t="s">
        <v>9428</v>
      </c>
      <c r="AF1190" s="15"/>
      <c r="AG1190" s="10"/>
      <c r="AH1190" s="10"/>
      <c r="AI1190" s="10"/>
      <c r="AJ1190" s="10"/>
      <c r="AK1190" s="10" t="s">
        <v>102</v>
      </c>
      <c r="AL1190" s="10" t="s">
        <v>176</v>
      </c>
      <c r="AM1190" s="10"/>
      <c r="AN1190" s="10"/>
      <c r="AO1190" s="13" t="b">
        <v>1</v>
      </c>
      <c r="AP1190" s="10" t="s">
        <v>104</v>
      </c>
      <c r="AQ1190" s="10">
        <f ca="1">IFERROR(__xludf.DUMMYFUNCTION("""COMPUTED_VALUE"""),4626135)</f>
        <v>4626135</v>
      </c>
      <c r="AR1190" s="17">
        <v>56102</v>
      </c>
      <c r="AS1190" s="17">
        <v>38063</v>
      </c>
      <c r="AT1190" s="17">
        <v>893782.75</v>
      </c>
      <c r="AU1190" s="17">
        <v>395.45</v>
      </c>
      <c r="AV1190" s="17">
        <v>86.7</v>
      </c>
      <c r="AW1190" s="10" t="s">
        <v>105</v>
      </c>
      <c r="AX1190" s="17">
        <v>10844</v>
      </c>
      <c r="AY1190" s="18">
        <v>23.481668549510022</v>
      </c>
      <c r="AZ1190" s="10" t="s">
        <v>117</v>
      </c>
      <c r="BA1190" s="20" t="b">
        <v>0</v>
      </c>
      <c r="BB1190" s="10"/>
      <c r="BC1190" s="17">
        <v>56102</v>
      </c>
      <c r="BD1190" s="17">
        <v>38063</v>
      </c>
      <c r="BE1190" s="17">
        <v>893782.75</v>
      </c>
      <c r="BF1190" s="17">
        <v>86.7</v>
      </c>
      <c r="BG1190" s="11">
        <f ca="1">IFERROR(__xludf.DUMMYFUNCTION("""COMPUTED_VALUE"""),45935.8333333333)</f>
        <v>45935.833333333299</v>
      </c>
      <c r="BH1190" s="17" t="s">
        <v>105</v>
      </c>
      <c r="BI1190" s="17"/>
      <c r="BJ1190" s="15"/>
      <c r="BK1190" s="15"/>
      <c r="BL1190" s="13" t="b">
        <v>0</v>
      </c>
      <c r="BM1190" s="10"/>
      <c r="BN1190" s="10" t="s">
        <v>137</v>
      </c>
      <c r="BO1190" s="11">
        <v>45904.28402777778</v>
      </c>
      <c r="BP1190" s="11">
        <v>45923.650462962964</v>
      </c>
      <c r="BQ1190" s="15">
        <v>45931.698958333334</v>
      </c>
      <c r="BR1190" s="15">
        <v>45932.340358796297</v>
      </c>
      <c r="BS1190" s="10" t="s">
        <v>137</v>
      </c>
      <c r="BT1190" s="10" t="s">
        <v>279</v>
      </c>
      <c r="BU1190" s="10" t="s">
        <v>816</v>
      </c>
      <c r="BV1190" s="10"/>
      <c r="BW1190" s="10"/>
      <c r="BX1190" s="10"/>
      <c r="BY1190" s="23"/>
      <c r="BZ1190" s="23"/>
      <c r="CA1190" s="19" t="s">
        <v>9429</v>
      </c>
      <c r="CB1190" s="19" t="s">
        <v>9430</v>
      </c>
      <c r="CC1190" s="23"/>
      <c r="CD1190" s="19" t="s">
        <v>9431</v>
      </c>
      <c r="CE1190" s="23"/>
      <c r="CF1190" s="23"/>
      <c r="CG1190" s="23"/>
      <c r="CH1190" s="23"/>
      <c r="CI1190" s="23"/>
    </row>
    <row r="1191" spans="1:87" x14ac:dyDescent="0.3">
      <c r="A1191" s="9" t="s">
        <v>9432</v>
      </c>
      <c r="B1191" s="10" t="s">
        <v>9433</v>
      </c>
      <c r="C1191" s="11">
        <v>45934.072916666664</v>
      </c>
      <c r="D1191" s="12">
        <v>8.3333333333333329E-2</v>
      </c>
      <c r="E1191" s="11">
        <v>45934.15625</v>
      </c>
      <c r="F1191" s="10" t="s">
        <v>3211</v>
      </c>
      <c r="G1191" s="13" t="b">
        <v>0</v>
      </c>
      <c r="H1191" s="10" t="s">
        <v>3212</v>
      </c>
      <c r="I1191" s="10" t="s">
        <v>3213</v>
      </c>
      <c r="J1191" s="13" t="b">
        <v>0</v>
      </c>
      <c r="K1191" s="13" t="b">
        <v>1</v>
      </c>
      <c r="L1191" s="10" t="s">
        <v>124</v>
      </c>
      <c r="M1191" s="10" t="s">
        <v>91</v>
      </c>
      <c r="N1191" s="10" t="s">
        <v>92</v>
      </c>
      <c r="O1191" s="19" t="s">
        <v>9434</v>
      </c>
      <c r="P1191" s="10" t="s">
        <v>3215</v>
      </c>
      <c r="Q1191" s="10" t="s">
        <v>126</v>
      </c>
      <c r="R1191" s="10"/>
      <c r="S1191" s="19" t="s">
        <v>9435</v>
      </c>
      <c r="T1191" s="19" t="s">
        <v>9357</v>
      </c>
      <c r="U1191" s="10" t="s">
        <v>3270</v>
      </c>
      <c r="V1191" s="10" t="s">
        <v>3429</v>
      </c>
      <c r="W1191" s="10" t="s">
        <v>3219</v>
      </c>
      <c r="X1191" s="10" t="s">
        <v>130</v>
      </c>
      <c r="Y1191" s="10" t="s">
        <v>130</v>
      </c>
      <c r="Z1191" s="10" t="s">
        <v>99</v>
      </c>
      <c r="AA1191" s="10" t="s">
        <v>131</v>
      </c>
      <c r="AB1191" s="10" t="s">
        <v>3220</v>
      </c>
      <c r="AC1191" s="10" t="s">
        <v>3221</v>
      </c>
      <c r="AD1191" s="10" t="s">
        <v>9436</v>
      </c>
      <c r="AE1191" s="10" t="s">
        <v>9437</v>
      </c>
      <c r="AF1191" s="15"/>
      <c r="AG1191" s="10"/>
      <c r="AH1191" s="10"/>
      <c r="AI1191" s="10"/>
      <c r="AJ1191" s="10"/>
      <c r="AK1191" s="10" t="s">
        <v>102</v>
      </c>
      <c r="AL1191" s="10" t="s">
        <v>176</v>
      </c>
      <c r="AM1191" s="10"/>
      <c r="AN1191" s="10"/>
      <c r="AO1191" s="13" t="b">
        <v>1</v>
      </c>
      <c r="AP1191" s="10" t="s">
        <v>104</v>
      </c>
      <c r="AQ1191" s="10">
        <f ca="1">IFERROR(__xludf.DUMMYFUNCTION("""COMPUTED_VALUE"""),4622093)</f>
        <v>4622093</v>
      </c>
      <c r="AR1191" s="17">
        <v>16809</v>
      </c>
      <c r="AS1191" s="17">
        <v>12324</v>
      </c>
      <c r="AT1191" s="17">
        <v>430801.25</v>
      </c>
      <c r="AU1191" s="17">
        <v>109.4</v>
      </c>
      <c r="AV1191" s="17">
        <v>9</v>
      </c>
      <c r="AW1191" s="10" t="s">
        <v>105</v>
      </c>
      <c r="AX1191" s="17">
        <v>3538</v>
      </c>
      <c r="AY1191" s="18">
        <v>34.956284485556637</v>
      </c>
      <c r="AZ1191" s="10" t="s">
        <v>117</v>
      </c>
      <c r="BA1191" s="20" t="b">
        <v>0</v>
      </c>
      <c r="BB1191" s="10"/>
      <c r="BC1191" s="17">
        <v>16809</v>
      </c>
      <c r="BD1191" s="17">
        <v>12324</v>
      </c>
      <c r="BE1191" s="17">
        <v>430801.25</v>
      </c>
      <c r="BF1191" s="17">
        <v>9</v>
      </c>
      <c r="BG1191" s="11">
        <f ca="1">IFERROR(__xludf.DUMMYFUNCTION("""COMPUTED_VALUE"""),45934.0729166666)</f>
        <v>45934.072916666599</v>
      </c>
      <c r="BH1191" s="17" t="s">
        <v>105</v>
      </c>
      <c r="BI1191" s="17"/>
      <c r="BJ1191" s="15"/>
      <c r="BK1191" s="15"/>
      <c r="BL1191" s="13" t="b">
        <v>0</v>
      </c>
      <c r="BM1191" s="10"/>
      <c r="BN1191" s="10" t="s">
        <v>634</v>
      </c>
      <c r="BO1191" s="11">
        <v>45904.28402777778</v>
      </c>
      <c r="BP1191" s="11">
        <v>45923.647303240738</v>
      </c>
      <c r="BQ1191" s="15">
        <v>45931.697418981479</v>
      </c>
      <c r="BR1191" s="15">
        <v>45931.775150462963</v>
      </c>
      <c r="BS1191" s="10" t="s">
        <v>634</v>
      </c>
      <c r="BT1191" s="10" t="s">
        <v>279</v>
      </c>
      <c r="BU1191" s="10" t="s">
        <v>9438</v>
      </c>
      <c r="BV1191" s="10"/>
      <c r="BW1191" s="10"/>
      <c r="BX1191" s="10"/>
      <c r="BY1191" s="23"/>
      <c r="BZ1191" s="23"/>
      <c r="CA1191" s="19" t="s">
        <v>9439</v>
      </c>
      <c r="CB1191" s="19" t="s">
        <v>9440</v>
      </c>
      <c r="CC1191" s="23"/>
      <c r="CD1191" s="19" t="s">
        <v>9441</v>
      </c>
      <c r="CE1191" s="23"/>
      <c r="CF1191" s="23"/>
      <c r="CG1191" s="23"/>
      <c r="CH1191" s="23"/>
      <c r="CI1191" s="23"/>
    </row>
    <row r="1192" spans="1:87" x14ac:dyDescent="0.3">
      <c r="A1192" s="9" t="s">
        <v>9442</v>
      </c>
      <c r="B1192" s="10" t="s">
        <v>9443</v>
      </c>
      <c r="C1192" s="11">
        <v>45949.958333333336</v>
      </c>
      <c r="D1192" s="12">
        <v>8.3333333333333329E-2</v>
      </c>
      <c r="E1192" s="11">
        <v>45950.041666666664</v>
      </c>
      <c r="F1192" s="10" t="s">
        <v>3211</v>
      </c>
      <c r="G1192" s="13" t="b">
        <v>0</v>
      </c>
      <c r="H1192" s="10" t="s">
        <v>3212</v>
      </c>
      <c r="I1192" s="10" t="s">
        <v>3213</v>
      </c>
      <c r="J1192" s="13" t="b">
        <v>0</v>
      </c>
      <c r="K1192" s="13" t="b">
        <v>1</v>
      </c>
      <c r="L1192" s="10" t="s">
        <v>124</v>
      </c>
      <c r="M1192" s="10" t="s">
        <v>91</v>
      </c>
      <c r="N1192" s="10" t="s">
        <v>92</v>
      </c>
      <c r="O1192" s="19" t="s">
        <v>9444</v>
      </c>
      <c r="P1192" s="10" t="s">
        <v>3215</v>
      </c>
      <c r="Q1192" s="10" t="s">
        <v>126</v>
      </c>
      <c r="R1192" s="10"/>
      <c r="S1192" s="19" t="s">
        <v>9445</v>
      </c>
      <c r="T1192" s="19" t="s">
        <v>9446</v>
      </c>
      <c r="U1192" s="10" t="s">
        <v>3308</v>
      </c>
      <c r="V1192" s="10" t="s">
        <v>3250</v>
      </c>
      <c r="W1192" s="10" t="s">
        <v>3219</v>
      </c>
      <c r="X1192" s="10" t="s">
        <v>130</v>
      </c>
      <c r="Y1192" s="10" t="s">
        <v>130</v>
      </c>
      <c r="Z1192" s="10" t="s">
        <v>99</v>
      </c>
      <c r="AA1192" s="10" t="s">
        <v>131</v>
      </c>
      <c r="AB1192" s="10" t="s">
        <v>3220</v>
      </c>
      <c r="AC1192" s="10" t="s">
        <v>3221</v>
      </c>
      <c r="AD1192" s="10" t="s">
        <v>9447</v>
      </c>
      <c r="AE1192" s="10" t="s">
        <v>9448</v>
      </c>
      <c r="AF1192" s="15"/>
      <c r="AG1192" s="10"/>
      <c r="AH1192" s="10"/>
      <c r="AI1192" s="10"/>
      <c r="AJ1192" s="10"/>
      <c r="AK1192" s="10" t="s">
        <v>102</v>
      </c>
      <c r="AL1192" s="10" t="s">
        <v>184</v>
      </c>
      <c r="AM1192" s="10"/>
      <c r="AN1192" s="10"/>
      <c r="AO1192" s="13" t="b">
        <v>0</v>
      </c>
      <c r="AP1192" s="10" t="s">
        <v>104</v>
      </c>
      <c r="AQ1192" s="10">
        <f ca="1">IFERROR(__xludf.DUMMYFUNCTION("""COMPUTED_VALUE"""),4652729)</f>
        <v>4652729</v>
      </c>
      <c r="AR1192" s="17">
        <v>22249</v>
      </c>
      <c r="AS1192" s="17">
        <v>19441</v>
      </c>
      <c r="AT1192" s="17">
        <v>386260.25</v>
      </c>
      <c r="AU1192" s="17">
        <v>158.55000000000001</v>
      </c>
      <c r="AV1192" s="17">
        <v>22</v>
      </c>
      <c r="AW1192" s="10" t="s">
        <v>105</v>
      </c>
      <c r="AX1192" s="17">
        <v>6025</v>
      </c>
      <c r="AY1192" s="18">
        <v>19.868332390309142</v>
      </c>
      <c r="AZ1192" s="10" t="s">
        <v>117</v>
      </c>
      <c r="BA1192" s="20" t="b">
        <v>0</v>
      </c>
      <c r="BB1192" s="10"/>
      <c r="BC1192" s="17">
        <v>22249</v>
      </c>
      <c r="BD1192" s="17">
        <v>19441</v>
      </c>
      <c r="BE1192" s="17">
        <v>386260.25</v>
      </c>
      <c r="BF1192" s="17">
        <v>22</v>
      </c>
      <c r="BG1192" s="11">
        <f ca="1">IFERROR(__xludf.DUMMYFUNCTION("""COMPUTED_VALUE"""),45949.9583333333)</f>
        <v>45949.958333333299</v>
      </c>
      <c r="BH1192" s="17" t="s">
        <v>105</v>
      </c>
      <c r="BI1192" s="17"/>
      <c r="BJ1192" s="15"/>
      <c r="BK1192" s="15"/>
      <c r="BL1192" s="13" t="b">
        <v>0</v>
      </c>
      <c r="BM1192" s="10"/>
      <c r="BN1192" s="10" t="s">
        <v>634</v>
      </c>
      <c r="BO1192" s="11">
        <v>45904.28402777778</v>
      </c>
      <c r="BP1192" s="11">
        <v>45925.666168981479</v>
      </c>
      <c r="BQ1192" s="15">
        <v>45944.751261574071</v>
      </c>
      <c r="BR1192" s="15">
        <v>45945.555196759262</v>
      </c>
      <c r="BS1192" s="10" t="s">
        <v>634</v>
      </c>
      <c r="BT1192" s="10"/>
      <c r="BU1192" s="10"/>
      <c r="BV1192" s="10"/>
      <c r="BW1192" s="10"/>
      <c r="BX1192" s="10"/>
      <c r="BY1192" s="23"/>
      <c r="BZ1192" s="23"/>
      <c r="CA1192" s="19" t="s">
        <v>9449</v>
      </c>
      <c r="CB1192" s="19" t="s">
        <v>9450</v>
      </c>
      <c r="CC1192" s="23"/>
      <c r="CD1192" s="19" t="s">
        <v>9451</v>
      </c>
      <c r="CE1192" s="23"/>
      <c r="CF1192" s="23"/>
      <c r="CG1192" s="23"/>
      <c r="CH1192" s="23"/>
      <c r="CI1192" s="23"/>
    </row>
    <row r="1193" spans="1:87" x14ac:dyDescent="0.3">
      <c r="A1193" s="9" t="s">
        <v>9452</v>
      </c>
      <c r="B1193" s="10" t="s">
        <v>9453</v>
      </c>
      <c r="C1193" s="11">
        <v>45949.833333333336</v>
      </c>
      <c r="D1193" s="12">
        <v>8.3333333333333329E-2</v>
      </c>
      <c r="E1193" s="11">
        <v>45949.916666666664</v>
      </c>
      <c r="F1193" s="10" t="s">
        <v>3211</v>
      </c>
      <c r="G1193" s="13" t="b">
        <v>0</v>
      </c>
      <c r="H1193" s="10" t="s">
        <v>3212</v>
      </c>
      <c r="I1193" s="10" t="s">
        <v>3213</v>
      </c>
      <c r="J1193" s="13" t="b">
        <v>0</v>
      </c>
      <c r="K1193" s="13" t="b">
        <v>1</v>
      </c>
      <c r="L1193" s="10" t="s">
        <v>124</v>
      </c>
      <c r="M1193" s="10" t="s">
        <v>91</v>
      </c>
      <c r="N1193" s="10" t="s">
        <v>92</v>
      </c>
      <c r="O1193" s="19" t="s">
        <v>9454</v>
      </c>
      <c r="P1193" s="10" t="s">
        <v>3215</v>
      </c>
      <c r="Q1193" s="10" t="s">
        <v>94</v>
      </c>
      <c r="R1193" s="10"/>
      <c r="S1193" s="19" t="s">
        <v>9455</v>
      </c>
      <c r="T1193" s="19" t="s">
        <v>9446</v>
      </c>
      <c r="U1193" s="10" t="s">
        <v>3239</v>
      </c>
      <c r="V1193" s="10" t="s">
        <v>3230</v>
      </c>
      <c r="W1193" s="10" t="s">
        <v>3219</v>
      </c>
      <c r="X1193" s="10" t="s">
        <v>130</v>
      </c>
      <c r="Y1193" s="10" t="s">
        <v>130</v>
      </c>
      <c r="Z1193" s="10" t="s">
        <v>99</v>
      </c>
      <c r="AA1193" s="10" t="s">
        <v>131</v>
      </c>
      <c r="AB1193" s="10" t="s">
        <v>3220</v>
      </c>
      <c r="AC1193" s="10" t="s">
        <v>3221</v>
      </c>
      <c r="AD1193" s="10" t="s">
        <v>9456</v>
      </c>
      <c r="AE1193" s="10" t="s">
        <v>9457</v>
      </c>
      <c r="AF1193" s="15"/>
      <c r="AG1193" s="10"/>
      <c r="AH1193" s="10"/>
      <c r="AI1193" s="10"/>
      <c r="AJ1193" s="10"/>
      <c r="AK1193" s="10" t="s">
        <v>102</v>
      </c>
      <c r="AL1193" s="10" t="s">
        <v>184</v>
      </c>
      <c r="AM1193" s="10"/>
      <c r="AN1193" s="10"/>
      <c r="AO1193" s="13" t="b">
        <v>0</v>
      </c>
      <c r="AP1193" s="10" t="s">
        <v>104</v>
      </c>
      <c r="AQ1193" s="10">
        <f ca="1">IFERROR(__xludf.DUMMYFUNCTION("""COMPUTED_VALUE"""),4652728)</f>
        <v>4652728</v>
      </c>
      <c r="AR1193" s="17">
        <v>12365</v>
      </c>
      <c r="AS1193" s="17">
        <v>9554</v>
      </c>
      <c r="AT1193" s="17">
        <v>75233.25</v>
      </c>
      <c r="AU1193" s="17">
        <v>32.799999999999997</v>
      </c>
      <c r="AV1193" s="17">
        <v>8.1999999999999993</v>
      </c>
      <c r="AW1193" s="10" t="s">
        <v>105</v>
      </c>
      <c r="AX1193" s="17">
        <v>5675</v>
      </c>
      <c r="AY1193" s="18">
        <v>7.8745289930918982</v>
      </c>
      <c r="AZ1193" s="10" t="s">
        <v>117</v>
      </c>
      <c r="BA1193" s="20" t="b">
        <v>0</v>
      </c>
      <c r="BB1193" s="10"/>
      <c r="BC1193" s="17">
        <v>12365</v>
      </c>
      <c r="BD1193" s="17">
        <v>9554</v>
      </c>
      <c r="BE1193" s="17">
        <v>75233.25</v>
      </c>
      <c r="BF1193" s="17">
        <v>8.1999999999999993</v>
      </c>
      <c r="BG1193" s="11">
        <f ca="1">IFERROR(__xludf.DUMMYFUNCTION("""COMPUTED_VALUE"""),45949.8333333333)</f>
        <v>45949.833333333299</v>
      </c>
      <c r="BH1193" s="17" t="s">
        <v>105</v>
      </c>
      <c r="BI1193" s="17"/>
      <c r="BJ1193" s="15"/>
      <c r="BK1193" s="15"/>
      <c r="BL1193" s="13" t="b">
        <v>0</v>
      </c>
      <c r="BM1193" s="10"/>
      <c r="BN1193" s="10" t="s">
        <v>634</v>
      </c>
      <c r="BO1193" s="11">
        <v>45904.28402777778</v>
      </c>
      <c r="BP1193" s="11">
        <v>45925.665879629632</v>
      </c>
      <c r="BQ1193" s="15">
        <v>45944.750833333332</v>
      </c>
      <c r="BR1193" s="15">
        <v>45945.555034722223</v>
      </c>
      <c r="BS1193" s="10" t="s">
        <v>634</v>
      </c>
      <c r="BT1193" s="10"/>
      <c r="BU1193" s="10"/>
      <c r="BV1193" s="10"/>
      <c r="BW1193" s="10"/>
      <c r="BX1193" s="10"/>
      <c r="BY1193" s="23"/>
      <c r="BZ1193" s="23"/>
      <c r="CA1193" s="19" t="s">
        <v>9458</v>
      </c>
      <c r="CB1193" s="19" t="s">
        <v>9459</v>
      </c>
      <c r="CC1193" s="23"/>
      <c r="CD1193" s="23"/>
      <c r="CE1193" s="23"/>
      <c r="CF1193" s="23"/>
      <c r="CG1193" s="23"/>
      <c r="CH1193" s="23"/>
      <c r="CI1193" s="23"/>
    </row>
    <row r="1194" spans="1:87" x14ac:dyDescent="0.3">
      <c r="A1194" s="9" t="s">
        <v>9460</v>
      </c>
      <c r="B1194" s="10" t="s">
        <v>9461</v>
      </c>
      <c r="C1194" s="11">
        <v>45949.729166666664</v>
      </c>
      <c r="D1194" s="12">
        <v>8.3333333333333329E-2</v>
      </c>
      <c r="E1194" s="11">
        <v>45949.8125</v>
      </c>
      <c r="F1194" s="10" t="s">
        <v>3211</v>
      </c>
      <c r="G1194" s="13" t="b">
        <v>0</v>
      </c>
      <c r="H1194" s="10" t="s">
        <v>3212</v>
      </c>
      <c r="I1194" s="10" t="s">
        <v>3213</v>
      </c>
      <c r="J1194" s="13" t="b">
        <v>0</v>
      </c>
      <c r="K1194" s="13" t="b">
        <v>1</v>
      </c>
      <c r="L1194" s="10" t="s">
        <v>124</v>
      </c>
      <c r="M1194" s="10" t="s">
        <v>91</v>
      </c>
      <c r="N1194" s="10" t="s">
        <v>92</v>
      </c>
      <c r="O1194" s="19" t="s">
        <v>9462</v>
      </c>
      <c r="P1194" s="10" t="s">
        <v>3215</v>
      </c>
      <c r="Q1194" s="10" t="s">
        <v>126</v>
      </c>
      <c r="R1194" s="10"/>
      <c r="S1194" s="19" t="s">
        <v>9463</v>
      </c>
      <c r="T1194" s="19" t="s">
        <v>9446</v>
      </c>
      <c r="U1194" s="10" t="s">
        <v>3249</v>
      </c>
      <c r="V1194" s="10" t="s">
        <v>3259</v>
      </c>
      <c r="W1194" s="10" t="s">
        <v>3219</v>
      </c>
      <c r="X1194" s="10" t="s">
        <v>130</v>
      </c>
      <c r="Y1194" s="10" t="s">
        <v>130</v>
      </c>
      <c r="Z1194" s="10" t="s">
        <v>99</v>
      </c>
      <c r="AA1194" s="10" t="s">
        <v>131</v>
      </c>
      <c r="AB1194" s="10" t="s">
        <v>3220</v>
      </c>
      <c r="AC1194" s="10" t="s">
        <v>3221</v>
      </c>
      <c r="AD1194" s="10" t="s">
        <v>9464</v>
      </c>
      <c r="AE1194" s="10" t="s">
        <v>9465</v>
      </c>
      <c r="AF1194" s="15"/>
      <c r="AG1194" s="10"/>
      <c r="AH1194" s="10"/>
      <c r="AI1194" s="10"/>
      <c r="AJ1194" s="10"/>
      <c r="AK1194" s="10" t="s">
        <v>102</v>
      </c>
      <c r="AL1194" s="10" t="s">
        <v>184</v>
      </c>
      <c r="AM1194" s="10"/>
      <c r="AN1194" s="10"/>
      <c r="AO1194" s="13" t="b">
        <v>1</v>
      </c>
      <c r="AP1194" s="10" t="s">
        <v>104</v>
      </c>
      <c r="AQ1194" s="10">
        <f ca="1">IFERROR(__xludf.DUMMYFUNCTION("""COMPUTED_VALUE"""),4652727)</f>
        <v>4652727</v>
      </c>
      <c r="AR1194" s="17">
        <v>100205</v>
      </c>
      <c r="AS1194" s="17">
        <v>62995</v>
      </c>
      <c r="AT1194" s="17">
        <v>1979577.25</v>
      </c>
      <c r="AU1194" s="17">
        <v>1134.9000000000001</v>
      </c>
      <c r="AV1194" s="17">
        <v>161.9</v>
      </c>
      <c r="AW1194" s="10" t="s">
        <v>105</v>
      </c>
      <c r="AX1194" s="17">
        <v>23665</v>
      </c>
      <c r="AY1194" s="18">
        <v>31.424355107548219</v>
      </c>
      <c r="AZ1194" s="10" t="s">
        <v>117</v>
      </c>
      <c r="BA1194" s="20" t="b">
        <v>0</v>
      </c>
      <c r="BB1194" s="10"/>
      <c r="BC1194" s="17">
        <v>100205</v>
      </c>
      <c r="BD1194" s="17">
        <v>62995</v>
      </c>
      <c r="BE1194" s="17">
        <v>1979577.25</v>
      </c>
      <c r="BF1194" s="17">
        <v>161.9</v>
      </c>
      <c r="BG1194" s="11">
        <f ca="1">IFERROR(__xludf.DUMMYFUNCTION("""COMPUTED_VALUE"""),45949.7291666666)</f>
        <v>45949.729166666599</v>
      </c>
      <c r="BH1194" s="17" t="s">
        <v>105</v>
      </c>
      <c r="BI1194" s="17"/>
      <c r="BJ1194" s="15"/>
      <c r="BK1194" s="15"/>
      <c r="BL1194" s="13" t="b">
        <v>0</v>
      </c>
      <c r="BM1194" s="10"/>
      <c r="BN1194" s="10" t="s">
        <v>197</v>
      </c>
      <c r="BO1194" s="11">
        <v>45904.28402777778</v>
      </c>
      <c r="BP1194" s="11">
        <v>45925.665648148148</v>
      </c>
      <c r="BQ1194" s="15">
        <v>45944.75099537037</v>
      </c>
      <c r="BR1194" s="15">
        <v>45945.554525462961</v>
      </c>
      <c r="BS1194" s="10" t="s">
        <v>197</v>
      </c>
      <c r="BT1194" s="10" t="s">
        <v>279</v>
      </c>
      <c r="BU1194" s="10" t="s">
        <v>6409</v>
      </c>
      <c r="BV1194" s="10" t="s">
        <v>281</v>
      </c>
      <c r="BW1194" s="10" t="s">
        <v>9466</v>
      </c>
      <c r="BX1194" s="19" t="s">
        <v>9467</v>
      </c>
      <c r="BY1194" s="23"/>
      <c r="BZ1194" s="23"/>
      <c r="CA1194" s="19" t="s">
        <v>9468</v>
      </c>
      <c r="CB1194" s="19" t="s">
        <v>9469</v>
      </c>
      <c r="CC1194" s="23"/>
      <c r="CD1194" s="19" t="s">
        <v>9470</v>
      </c>
      <c r="CE1194" s="23"/>
      <c r="CF1194" s="23"/>
      <c r="CG1194" s="23"/>
      <c r="CH1194" s="23"/>
      <c r="CI1194" s="23"/>
    </row>
    <row r="1195" spans="1:87" x14ac:dyDescent="0.3">
      <c r="A1195" s="9" t="s">
        <v>9471</v>
      </c>
      <c r="B1195" s="10" t="s">
        <v>9472</v>
      </c>
      <c r="C1195" s="11">
        <v>45951.072916666664</v>
      </c>
      <c r="D1195" s="12">
        <v>8.3333333333333329E-2</v>
      </c>
      <c r="E1195" s="11">
        <v>45951.15625</v>
      </c>
      <c r="F1195" s="10" t="s">
        <v>3211</v>
      </c>
      <c r="G1195" s="13" t="b">
        <v>0</v>
      </c>
      <c r="H1195" s="10" t="s">
        <v>3212</v>
      </c>
      <c r="I1195" s="10" t="s">
        <v>3213</v>
      </c>
      <c r="J1195" s="13" t="b">
        <v>0</v>
      </c>
      <c r="K1195" s="13" t="b">
        <v>1</v>
      </c>
      <c r="L1195" s="10" t="s">
        <v>124</v>
      </c>
      <c r="M1195" s="10" t="s">
        <v>91</v>
      </c>
      <c r="N1195" s="10" t="s">
        <v>92</v>
      </c>
      <c r="O1195" s="19" t="s">
        <v>9473</v>
      </c>
      <c r="P1195" s="10"/>
      <c r="Q1195" s="10" t="s">
        <v>126</v>
      </c>
      <c r="R1195" s="10"/>
      <c r="S1195" s="19" t="s">
        <v>9474</v>
      </c>
      <c r="T1195" s="19" t="s">
        <v>9446</v>
      </c>
      <c r="U1195" s="10" t="s">
        <v>3440</v>
      </c>
      <c r="V1195" s="10" t="s">
        <v>3269</v>
      </c>
      <c r="W1195" s="10" t="s">
        <v>3219</v>
      </c>
      <c r="X1195" s="10" t="s">
        <v>130</v>
      </c>
      <c r="Y1195" s="10" t="s">
        <v>130</v>
      </c>
      <c r="Z1195" s="10" t="s">
        <v>99</v>
      </c>
      <c r="AA1195" s="10" t="s">
        <v>131</v>
      </c>
      <c r="AB1195" s="10" t="s">
        <v>3220</v>
      </c>
      <c r="AC1195" s="10" t="s">
        <v>3221</v>
      </c>
      <c r="AD1195" s="10" t="s">
        <v>9475</v>
      </c>
      <c r="AE1195" s="10" t="s">
        <v>9476</v>
      </c>
      <c r="AF1195" s="15"/>
      <c r="AG1195" s="10"/>
      <c r="AH1195" s="10"/>
      <c r="AI1195" s="10"/>
      <c r="AJ1195" s="10"/>
      <c r="AK1195" s="10" t="s">
        <v>102</v>
      </c>
      <c r="AL1195" s="10" t="s">
        <v>184</v>
      </c>
      <c r="AM1195" s="10"/>
      <c r="AN1195" s="10"/>
      <c r="AO1195" s="13" t="b">
        <v>1</v>
      </c>
      <c r="AP1195" s="10" t="s">
        <v>104</v>
      </c>
      <c r="AQ1195" s="10">
        <f ca="1">IFERROR(__xludf.DUMMYFUNCTION("""COMPUTED_VALUE"""),4660115)</f>
        <v>4660115</v>
      </c>
      <c r="AR1195" s="17">
        <v>4961</v>
      </c>
      <c r="AS1195" s="17">
        <v>3779</v>
      </c>
      <c r="AT1195" s="17">
        <v>90286.5</v>
      </c>
      <c r="AU1195" s="17">
        <v>20.7</v>
      </c>
      <c r="AV1195" s="17">
        <v>2.9</v>
      </c>
      <c r="AW1195" s="10" t="s">
        <v>105</v>
      </c>
      <c r="AX1195" s="17">
        <v>844</v>
      </c>
      <c r="AY1195" s="18">
        <v>23.89163799947076</v>
      </c>
      <c r="AZ1195" s="10" t="s">
        <v>117</v>
      </c>
      <c r="BA1195" s="20" t="b">
        <v>0</v>
      </c>
      <c r="BB1195" s="10"/>
      <c r="BC1195" s="17">
        <v>4961</v>
      </c>
      <c r="BD1195" s="17">
        <v>3779</v>
      </c>
      <c r="BE1195" s="17">
        <v>90286.5</v>
      </c>
      <c r="BF1195" s="17">
        <v>2.9</v>
      </c>
      <c r="BG1195" s="11">
        <f ca="1">IFERROR(__xludf.DUMMYFUNCTION("""COMPUTED_VALUE"""),45951.0729166666)</f>
        <v>45951.072916666599</v>
      </c>
      <c r="BH1195" s="17" t="s">
        <v>105</v>
      </c>
      <c r="BI1195" s="17"/>
      <c r="BJ1195" s="15"/>
      <c r="BK1195" s="15"/>
      <c r="BL1195" s="13" t="b">
        <v>0</v>
      </c>
      <c r="BM1195" s="10"/>
      <c r="BN1195" s="10" t="s">
        <v>1149</v>
      </c>
      <c r="BO1195" s="11">
        <v>45904.28402777778</v>
      </c>
      <c r="BP1195" s="11">
        <v>45925.666539351849</v>
      </c>
      <c r="BQ1195" s="15">
        <v>45944.751620370371</v>
      </c>
      <c r="BR1195" s="15">
        <v>45949.324467592596</v>
      </c>
      <c r="BS1195" s="10" t="s">
        <v>1149</v>
      </c>
      <c r="BT1195" s="10" t="s">
        <v>279</v>
      </c>
      <c r="BU1195" s="10" t="s">
        <v>498</v>
      </c>
      <c r="BV1195" s="10"/>
      <c r="BW1195" s="10"/>
      <c r="BX1195" s="10"/>
      <c r="BY1195" s="23"/>
      <c r="BZ1195" s="23"/>
      <c r="CA1195" s="19" t="s">
        <v>9477</v>
      </c>
      <c r="CB1195" s="19" t="s">
        <v>9478</v>
      </c>
      <c r="CC1195" s="23"/>
      <c r="CD1195" s="19" t="s">
        <v>9479</v>
      </c>
      <c r="CE1195" s="23"/>
      <c r="CF1195" s="23"/>
      <c r="CG1195" s="23"/>
      <c r="CH1195" s="23"/>
      <c r="CI1195" s="23"/>
    </row>
    <row r="1196" spans="1:87" x14ac:dyDescent="0.3">
      <c r="A1196" s="9" t="s">
        <v>9480</v>
      </c>
      <c r="B1196" s="10" t="s">
        <v>9481</v>
      </c>
      <c r="C1196" s="11">
        <v>45949.833333333336</v>
      </c>
      <c r="D1196" s="12">
        <v>8.3333333333333329E-2</v>
      </c>
      <c r="E1196" s="11">
        <v>45949.916666666664</v>
      </c>
      <c r="F1196" s="10" t="s">
        <v>3211</v>
      </c>
      <c r="G1196" s="13" t="b">
        <v>0</v>
      </c>
      <c r="H1196" s="10" t="s">
        <v>3212</v>
      </c>
      <c r="I1196" s="10" t="s">
        <v>3213</v>
      </c>
      <c r="J1196" s="13" t="b">
        <v>0</v>
      </c>
      <c r="K1196" s="13" t="b">
        <v>1</v>
      </c>
      <c r="L1196" s="10" t="s">
        <v>124</v>
      </c>
      <c r="M1196" s="10" t="s">
        <v>91</v>
      </c>
      <c r="N1196" s="10" t="s">
        <v>92</v>
      </c>
      <c r="O1196" s="19" t="s">
        <v>9482</v>
      </c>
      <c r="P1196" s="10" t="s">
        <v>3478</v>
      </c>
      <c r="Q1196" s="10" t="s">
        <v>94</v>
      </c>
      <c r="R1196" s="10"/>
      <c r="S1196" s="19" t="s">
        <v>9483</v>
      </c>
      <c r="T1196" s="19" t="s">
        <v>9446</v>
      </c>
      <c r="U1196" s="10" t="s">
        <v>3217</v>
      </c>
      <c r="V1196" s="10" t="s">
        <v>3260</v>
      </c>
      <c r="W1196" s="10" t="s">
        <v>3219</v>
      </c>
      <c r="X1196" s="10" t="s">
        <v>130</v>
      </c>
      <c r="Y1196" s="10" t="s">
        <v>130</v>
      </c>
      <c r="Z1196" s="10" t="s">
        <v>99</v>
      </c>
      <c r="AA1196" s="10" t="s">
        <v>131</v>
      </c>
      <c r="AB1196" s="10" t="s">
        <v>3220</v>
      </c>
      <c r="AC1196" s="10" t="s">
        <v>3221</v>
      </c>
      <c r="AD1196" s="10" t="s">
        <v>9484</v>
      </c>
      <c r="AE1196" s="10" t="s">
        <v>9485</v>
      </c>
      <c r="AF1196" s="15"/>
      <c r="AG1196" s="10"/>
      <c r="AH1196" s="10"/>
      <c r="AI1196" s="10"/>
      <c r="AJ1196" s="10"/>
      <c r="AK1196" s="10" t="s">
        <v>102</v>
      </c>
      <c r="AL1196" s="10" t="s">
        <v>184</v>
      </c>
      <c r="AM1196" s="10"/>
      <c r="AN1196" s="10"/>
      <c r="AO1196" s="13" t="b">
        <v>0</v>
      </c>
      <c r="AP1196" s="10" t="s">
        <v>104</v>
      </c>
      <c r="AQ1196" s="10">
        <f ca="1">IFERROR(__xludf.DUMMYFUNCTION("""COMPUTED_VALUE"""),4653336)</f>
        <v>4653336</v>
      </c>
      <c r="AR1196" s="17">
        <v>12766</v>
      </c>
      <c r="AS1196" s="17">
        <v>9725</v>
      </c>
      <c r="AT1196" s="17">
        <v>89147</v>
      </c>
      <c r="AU1196" s="17">
        <v>35.65</v>
      </c>
      <c r="AV1196" s="17">
        <v>3.15</v>
      </c>
      <c r="AW1196" s="10" t="s">
        <v>105</v>
      </c>
      <c r="AX1196" s="17">
        <v>2150</v>
      </c>
      <c r="AY1196" s="18">
        <v>9.1667866323907461</v>
      </c>
      <c r="AZ1196" s="10" t="s">
        <v>117</v>
      </c>
      <c r="BA1196" s="20" t="b">
        <v>0</v>
      </c>
      <c r="BB1196" s="10"/>
      <c r="BC1196" s="17">
        <v>12766</v>
      </c>
      <c r="BD1196" s="17">
        <v>9725</v>
      </c>
      <c r="BE1196" s="17">
        <v>89147</v>
      </c>
      <c r="BF1196" s="17">
        <v>3.15</v>
      </c>
      <c r="BG1196" s="11">
        <f ca="1">IFERROR(__xludf.DUMMYFUNCTION("""COMPUTED_VALUE"""),45949.8333333333)</f>
        <v>45949.833333333299</v>
      </c>
      <c r="BH1196" s="17" t="s">
        <v>105</v>
      </c>
      <c r="BI1196" s="17"/>
      <c r="BJ1196" s="15"/>
      <c r="BK1196" s="15"/>
      <c r="BL1196" s="13" t="b">
        <v>0</v>
      </c>
      <c r="BM1196" s="10"/>
      <c r="BN1196" s="10" t="s">
        <v>634</v>
      </c>
      <c r="BO1196" s="11">
        <v>45904.28402777778</v>
      </c>
      <c r="BP1196" s="11">
        <v>45925.665972222225</v>
      </c>
      <c r="BQ1196" s="15">
        <v>45944.751157407409</v>
      </c>
      <c r="BR1196" s="15">
        <v>45945.779537037037</v>
      </c>
      <c r="BS1196" s="10" t="s">
        <v>634</v>
      </c>
      <c r="BT1196" s="10"/>
      <c r="BU1196" s="10"/>
      <c r="BV1196" s="10"/>
      <c r="BW1196" s="10"/>
      <c r="BX1196" s="10"/>
      <c r="BY1196" s="23"/>
      <c r="BZ1196" s="23"/>
      <c r="CA1196" s="19" t="s">
        <v>9486</v>
      </c>
      <c r="CB1196" s="19" t="s">
        <v>9487</v>
      </c>
      <c r="CC1196" s="23"/>
      <c r="CD1196" s="23"/>
      <c r="CE1196" s="23"/>
      <c r="CF1196" s="23"/>
      <c r="CG1196" s="23"/>
      <c r="CH1196" s="23"/>
      <c r="CI1196" s="23"/>
    </row>
    <row r="1197" spans="1:87" x14ac:dyDescent="0.3">
      <c r="A1197" s="9" t="s">
        <v>9488</v>
      </c>
      <c r="B1197" s="10" t="s">
        <v>9489</v>
      </c>
      <c r="C1197" s="11">
        <v>45948.833333333336</v>
      </c>
      <c r="D1197" s="12">
        <v>8.3333333333333329E-2</v>
      </c>
      <c r="E1197" s="11">
        <v>45948.916666666664</v>
      </c>
      <c r="F1197" s="10" t="s">
        <v>3211</v>
      </c>
      <c r="G1197" s="13" t="b">
        <v>0</v>
      </c>
      <c r="H1197" s="10" t="s">
        <v>3212</v>
      </c>
      <c r="I1197" s="10" t="s">
        <v>3213</v>
      </c>
      <c r="J1197" s="13" t="b">
        <v>0</v>
      </c>
      <c r="K1197" s="13" t="b">
        <v>1</v>
      </c>
      <c r="L1197" s="10" t="s">
        <v>124</v>
      </c>
      <c r="M1197" s="10" t="s">
        <v>91</v>
      </c>
      <c r="N1197" s="10" t="s">
        <v>92</v>
      </c>
      <c r="O1197" s="19" t="s">
        <v>9490</v>
      </c>
      <c r="P1197" s="10" t="s">
        <v>3215</v>
      </c>
      <c r="Q1197" s="10" t="s">
        <v>126</v>
      </c>
      <c r="R1197" s="10"/>
      <c r="S1197" s="19" t="s">
        <v>9491</v>
      </c>
      <c r="T1197" s="19" t="s">
        <v>9446</v>
      </c>
      <c r="U1197" s="10" t="s">
        <v>3218</v>
      </c>
      <c r="V1197" s="10" t="s">
        <v>3429</v>
      </c>
      <c r="W1197" s="10" t="s">
        <v>3219</v>
      </c>
      <c r="X1197" s="10" t="s">
        <v>130</v>
      </c>
      <c r="Y1197" s="10" t="s">
        <v>130</v>
      </c>
      <c r="Z1197" s="10" t="s">
        <v>99</v>
      </c>
      <c r="AA1197" s="10" t="s">
        <v>131</v>
      </c>
      <c r="AB1197" s="10" t="s">
        <v>3220</v>
      </c>
      <c r="AC1197" s="10" t="s">
        <v>3221</v>
      </c>
      <c r="AD1197" s="10" t="s">
        <v>9492</v>
      </c>
      <c r="AE1197" s="10" t="s">
        <v>9493</v>
      </c>
      <c r="AF1197" s="15"/>
      <c r="AG1197" s="10"/>
      <c r="AH1197" s="10"/>
      <c r="AI1197" s="10"/>
      <c r="AJ1197" s="10"/>
      <c r="AK1197" s="10" t="s">
        <v>102</v>
      </c>
      <c r="AL1197" s="10" t="s">
        <v>184</v>
      </c>
      <c r="AM1197" s="10"/>
      <c r="AN1197" s="10"/>
      <c r="AO1197" s="13" t="b">
        <v>1</v>
      </c>
      <c r="AP1197" s="10" t="s">
        <v>104</v>
      </c>
      <c r="AQ1197" s="10">
        <f ca="1">IFERROR(__xludf.DUMMYFUNCTION("""COMPUTED_VALUE"""),4652722)</f>
        <v>4652722</v>
      </c>
      <c r="AR1197" s="17">
        <v>54947</v>
      </c>
      <c r="AS1197" s="17">
        <v>33430</v>
      </c>
      <c r="AT1197" s="17">
        <v>470361.25</v>
      </c>
      <c r="AU1197" s="17">
        <v>486.55</v>
      </c>
      <c r="AV1197" s="17">
        <v>54.45</v>
      </c>
      <c r="AW1197" s="10" t="s">
        <v>105</v>
      </c>
      <c r="AX1197" s="17">
        <v>7469</v>
      </c>
      <c r="AY1197" s="18">
        <v>14.070034400239306</v>
      </c>
      <c r="AZ1197" s="10" t="s">
        <v>117</v>
      </c>
      <c r="BA1197" s="20" t="b">
        <v>0</v>
      </c>
      <c r="BB1197" s="10"/>
      <c r="BC1197" s="17">
        <v>54947</v>
      </c>
      <c r="BD1197" s="17">
        <v>33430</v>
      </c>
      <c r="BE1197" s="17">
        <v>470361.25</v>
      </c>
      <c r="BF1197" s="17">
        <v>54.45</v>
      </c>
      <c r="BG1197" s="11">
        <f ca="1">IFERROR(__xludf.DUMMYFUNCTION("""COMPUTED_VALUE"""),45948.8333333333)</f>
        <v>45948.833333333299</v>
      </c>
      <c r="BH1197" s="17" t="s">
        <v>105</v>
      </c>
      <c r="BI1197" s="17"/>
      <c r="BJ1197" s="15"/>
      <c r="BK1197" s="15"/>
      <c r="BL1197" s="13" t="b">
        <v>0</v>
      </c>
      <c r="BM1197" s="10"/>
      <c r="BN1197" s="10" t="s">
        <v>1057</v>
      </c>
      <c r="BO1197" s="11">
        <v>45904.28402777778</v>
      </c>
      <c r="BP1197" s="11">
        <v>45925.664988425924</v>
      </c>
      <c r="BQ1197" s="15">
        <v>45944.749884259261</v>
      </c>
      <c r="BR1197" s="15">
        <v>45945.553842592592</v>
      </c>
      <c r="BS1197" s="10"/>
      <c r="BT1197" s="10" t="s">
        <v>279</v>
      </c>
      <c r="BU1197" s="10" t="s">
        <v>9114</v>
      </c>
      <c r="BV1197" s="10" t="s">
        <v>124</v>
      </c>
      <c r="BW1197" s="10" t="s">
        <v>9494</v>
      </c>
      <c r="BX1197" s="19" t="s">
        <v>9495</v>
      </c>
      <c r="BY1197" s="23"/>
      <c r="BZ1197" s="23"/>
      <c r="CA1197" s="19" t="s">
        <v>9496</v>
      </c>
      <c r="CB1197" s="19" t="s">
        <v>9497</v>
      </c>
      <c r="CC1197" s="23"/>
      <c r="CD1197" s="19" t="s">
        <v>9498</v>
      </c>
      <c r="CE1197" s="23"/>
      <c r="CF1197" s="23"/>
      <c r="CG1197" s="23"/>
      <c r="CH1197" s="23"/>
      <c r="CI1197" s="23"/>
    </row>
    <row r="1198" spans="1:87" x14ac:dyDescent="0.3">
      <c r="A1198" s="9" t="s">
        <v>9499</v>
      </c>
      <c r="B1198" s="10" t="s">
        <v>9500</v>
      </c>
      <c r="C1198" s="11">
        <v>45950.072916666664</v>
      </c>
      <c r="D1198" s="12">
        <v>8.3333333333333329E-2</v>
      </c>
      <c r="E1198" s="11">
        <v>45950.15625</v>
      </c>
      <c r="F1198" s="10" t="s">
        <v>3211</v>
      </c>
      <c r="G1198" s="13" t="b">
        <v>0</v>
      </c>
      <c r="H1198" s="10" t="s">
        <v>3212</v>
      </c>
      <c r="I1198" s="10" t="s">
        <v>3213</v>
      </c>
      <c r="J1198" s="13" t="b">
        <v>0</v>
      </c>
      <c r="K1198" s="13" t="b">
        <v>1</v>
      </c>
      <c r="L1198" s="10" t="s">
        <v>124</v>
      </c>
      <c r="M1198" s="10" t="s">
        <v>91</v>
      </c>
      <c r="N1198" s="10" t="s">
        <v>92</v>
      </c>
      <c r="O1198" s="19" t="s">
        <v>9501</v>
      </c>
      <c r="P1198" s="10"/>
      <c r="Q1198" s="10" t="s">
        <v>126</v>
      </c>
      <c r="R1198" s="10"/>
      <c r="S1198" s="19" t="s">
        <v>9502</v>
      </c>
      <c r="T1198" s="19" t="s">
        <v>9446</v>
      </c>
      <c r="U1198" s="10" t="s">
        <v>3289</v>
      </c>
      <c r="V1198" s="10" t="s">
        <v>3240</v>
      </c>
      <c r="W1198" s="10" t="s">
        <v>3219</v>
      </c>
      <c r="X1198" s="10" t="s">
        <v>130</v>
      </c>
      <c r="Y1198" s="10" t="s">
        <v>130</v>
      </c>
      <c r="Z1198" s="10" t="s">
        <v>99</v>
      </c>
      <c r="AA1198" s="10" t="s">
        <v>131</v>
      </c>
      <c r="AB1198" s="10" t="s">
        <v>3220</v>
      </c>
      <c r="AC1198" s="10" t="s">
        <v>3221</v>
      </c>
      <c r="AD1198" s="10" t="s">
        <v>9503</v>
      </c>
      <c r="AE1198" s="10" t="s">
        <v>9504</v>
      </c>
      <c r="AF1198" s="15"/>
      <c r="AG1198" s="10"/>
      <c r="AH1198" s="10"/>
      <c r="AI1198" s="10"/>
      <c r="AJ1198" s="10"/>
      <c r="AK1198" s="10" t="s">
        <v>102</v>
      </c>
      <c r="AL1198" s="10" t="s">
        <v>184</v>
      </c>
      <c r="AM1198" s="10"/>
      <c r="AN1198" s="10"/>
      <c r="AO1198" s="13" t="b">
        <v>1</v>
      </c>
      <c r="AP1198" s="10" t="s">
        <v>104</v>
      </c>
      <c r="AQ1198" s="10">
        <f ca="1">IFERROR(__xludf.DUMMYFUNCTION("""COMPUTED_VALUE"""),4660112)</f>
        <v>4660112</v>
      </c>
      <c r="AR1198" s="17">
        <v>35512</v>
      </c>
      <c r="AS1198" s="17">
        <v>23359</v>
      </c>
      <c r="AT1198" s="17">
        <v>1219931.5</v>
      </c>
      <c r="AU1198" s="17">
        <v>377.3</v>
      </c>
      <c r="AV1198" s="17">
        <v>72.099999999999994</v>
      </c>
      <c r="AW1198" s="10" t="s">
        <v>105</v>
      </c>
      <c r="AX1198" s="17">
        <v>11334</v>
      </c>
      <c r="AY1198" s="18">
        <v>52.225330707650159</v>
      </c>
      <c r="AZ1198" s="10" t="s">
        <v>117</v>
      </c>
      <c r="BA1198" s="20" t="b">
        <v>0</v>
      </c>
      <c r="BB1198" s="10"/>
      <c r="BC1198" s="17">
        <v>35512</v>
      </c>
      <c r="BD1198" s="17">
        <v>23359</v>
      </c>
      <c r="BE1198" s="17">
        <v>1219931.5</v>
      </c>
      <c r="BF1198" s="17">
        <v>72.099999999999994</v>
      </c>
      <c r="BG1198" s="11">
        <f ca="1">IFERROR(__xludf.DUMMYFUNCTION("""COMPUTED_VALUE"""),45950.0729166666)</f>
        <v>45950.072916666599</v>
      </c>
      <c r="BH1198" s="17" t="s">
        <v>105</v>
      </c>
      <c r="BI1198" s="17"/>
      <c r="BJ1198" s="15"/>
      <c r="BK1198" s="15"/>
      <c r="BL1198" s="13" t="b">
        <v>0</v>
      </c>
      <c r="BM1198" s="10"/>
      <c r="BN1198" s="10" t="s">
        <v>1149</v>
      </c>
      <c r="BO1198" s="11">
        <v>45904.28402777778</v>
      </c>
      <c r="BP1198" s="11">
        <v>45925.666412037041</v>
      </c>
      <c r="BQ1198" s="15">
        <v>45944.751446759263</v>
      </c>
      <c r="BR1198" s="15">
        <v>45949.318888888891</v>
      </c>
      <c r="BS1198" s="10" t="s">
        <v>1149</v>
      </c>
      <c r="BT1198" s="10" t="s">
        <v>279</v>
      </c>
      <c r="BU1198" s="10" t="s">
        <v>6409</v>
      </c>
      <c r="BV1198" s="10"/>
      <c r="BW1198" s="10"/>
      <c r="BX1198" s="10"/>
      <c r="BY1198" s="23"/>
      <c r="BZ1198" s="23"/>
      <c r="CA1198" s="19" t="s">
        <v>9505</v>
      </c>
      <c r="CB1198" s="19" t="s">
        <v>9506</v>
      </c>
      <c r="CC1198" s="23"/>
      <c r="CD1198" s="19" t="s">
        <v>9507</v>
      </c>
      <c r="CE1198" s="23"/>
      <c r="CF1198" s="23"/>
      <c r="CG1198" s="23"/>
      <c r="CH1198" s="23"/>
      <c r="CI1198" s="23"/>
    </row>
    <row r="1199" spans="1:87" x14ac:dyDescent="0.3">
      <c r="A1199" s="25" t="s">
        <v>9508</v>
      </c>
      <c r="B1199" s="10" t="s">
        <v>9509</v>
      </c>
      <c r="C1199" s="11">
        <v>45948.833333333336</v>
      </c>
      <c r="D1199" s="12">
        <v>8.3333333333333329E-2</v>
      </c>
      <c r="E1199" s="11">
        <v>45948.916666666664</v>
      </c>
      <c r="F1199" s="10" t="s">
        <v>3211</v>
      </c>
      <c r="G1199" s="13" t="b">
        <v>0</v>
      </c>
      <c r="H1199" s="10" t="s">
        <v>3212</v>
      </c>
      <c r="I1199" s="10" t="s">
        <v>3213</v>
      </c>
      <c r="J1199" s="13" t="b">
        <v>0</v>
      </c>
      <c r="K1199" s="13" t="b">
        <v>1</v>
      </c>
      <c r="L1199" s="10" t="s">
        <v>124</v>
      </c>
      <c r="M1199" s="10" t="s">
        <v>91</v>
      </c>
      <c r="N1199" s="10" t="s">
        <v>92</v>
      </c>
      <c r="O1199" s="19" t="s">
        <v>9510</v>
      </c>
      <c r="P1199" s="10" t="s">
        <v>88</v>
      </c>
      <c r="Q1199" s="10" t="s">
        <v>94</v>
      </c>
      <c r="R1199" s="10"/>
      <c r="S1199" s="19" t="s">
        <v>9511</v>
      </c>
      <c r="T1199" s="19" t="s">
        <v>9446</v>
      </c>
      <c r="U1199" s="10" t="s">
        <v>3451</v>
      </c>
      <c r="V1199" s="10" t="s">
        <v>3270</v>
      </c>
      <c r="W1199" s="10" t="s">
        <v>3219</v>
      </c>
      <c r="X1199" s="10" t="s">
        <v>130</v>
      </c>
      <c r="Y1199" s="10" t="s">
        <v>130</v>
      </c>
      <c r="Z1199" s="10" t="s">
        <v>99</v>
      </c>
      <c r="AA1199" s="10" t="s">
        <v>131</v>
      </c>
      <c r="AB1199" s="10" t="s">
        <v>3220</v>
      </c>
      <c r="AC1199" s="10" t="s">
        <v>3221</v>
      </c>
      <c r="AD1199" s="10" t="s">
        <v>9512</v>
      </c>
      <c r="AE1199" s="10" t="s">
        <v>9513</v>
      </c>
      <c r="AF1199" s="15"/>
      <c r="AG1199" s="10"/>
      <c r="AH1199" s="10"/>
      <c r="AI1199" s="10"/>
      <c r="AJ1199" s="10"/>
      <c r="AK1199" s="10" t="s">
        <v>102</v>
      </c>
      <c r="AL1199" s="10" t="s">
        <v>184</v>
      </c>
      <c r="AM1199" s="10"/>
      <c r="AN1199" s="10"/>
      <c r="AO1199" s="13" t="b">
        <v>0</v>
      </c>
      <c r="AP1199" s="10" t="s">
        <v>104</v>
      </c>
      <c r="AQ1199" s="10">
        <f ca="1">IFERROR(__xludf.DUMMYFUNCTION("""COMPUTED_VALUE"""),4653335)</f>
        <v>4653335</v>
      </c>
      <c r="AR1199" s="17">
        <v>5268</v>
      </c>
      <c r="AS1199" s="17">
        <v>4175</v>
      </c>
      <c r="AT1199" s="17">
        <v>14737.5</v>
      </c>
      <c r="AU1199" s="17">
        <v>12.2</v>
      </c>
      <c r="AV1199" s="17">
        <v>1.25</v>
      </c>
      <c r="AW1199" s="10" t="s">
        <v>105</v>
      </c>
      <c r="AX1199" s="17">
        <v>1129</v>
      </c>
      <c r="AY1199" s="18">
        <v>3.5299401197604792</v>
      </c>
      <c r="AZ1199" s="10" t="s">
        <v>117</v>
      </c>
      <c r="BA1199" s="20" t="b">
        <v>0</v>
      </c>
      <c r="BB1199" s="10"/>
      <c r="BC1199" s="17">
        <v>5268</v>
      </c>
      <c r="BD1199" s="17">
        <v>4175</v>
      </c>
      <c r="BE1199" s="17">
        <v>14737.5</v>
      </c>
      <c r="BF1199" s="17">
        <v>1.25</v>
      </c>
      <c r="BG1199" s="11">
        <f ca="1">IFERROR(__xludf.DUMMYFUNCTION("""COMPUTED_VALUE"""),45948.8333333333)</f>
        <v>45948.833333333299</v>
      </c>
      <c r="BH1199" s="17" t="s">
        <v>105</v>
      </c>
      <c r="BI1199" s="17"/>
      <c r="BJ1199" s="15"/>
      <c r="BK1199" s="15"/>
      <c r="BL1199" s="13" t="b">
        <v>0</v>
      </c>
      <c r="BM1199" s="10"/>
      <c r="BN1199" s="10" t="s">
        <v>197</v>
      </c>
      <c r="BO1199" s="11">
        <v>45904.28402777778</v>
      </c>
      <c r="BP1199" s="11">
        <v>45925.66511574074</v>
      </c>
      <c r="BQ1199" s="15">
        <v>45944.750243055554</v>
      </c>
      <c r="BR1199" s="15">
        <v>45945.665682870371</v>
      </c>
      <c r="BS1199" s="10" t="s">
        <v>197</v>
      </c>
      <c r="BT1199" s="10"/>
      <c r="BU1199" s="10"/>
      <c r="BV1199" s="10"/>
      <c r="BW1199" s="10"/>
      <c r="BX1199" s="10"/>
      <c r="BY1199" s="23"/>
      <c r="BZ1199" s="23"/>
      <c r="CA1199" s="19" t="s">
        <v>9514</v>
      </c>
      <c r="CB1199" s="19" t="s">
        <v>9515</v>
      </c>
      <c r="CC1199" s="23"/>
      <c r="CD1199" s="23"/>
      <c r="CE1199" s="23"/>
      <c r="CF1199" s="23"/>
      <c r="CG1199" s="23"/>
      <c r="CH1199" s="23"/>
      <c r="CI1199" s="23"/>
    </row>
    <row r="1200" spans="1:87" x14ac:dyDescent="0.3">
      <c r="A1200" s="9" t="s">
        <v>9516</v>
      </c>
      <c r="B1200" s="10" t="s">
        <v>9517</v>
      </c>
      <c r="C1200" s="11">
        <v>45949.072916666664</v>
      </c>
      <c r="D1200" s="12">
        <v>8.3333333333333329E-2</v>
      </c>
      <c r="E1200" s="11">
        <v>45949.15625</v>
      </c>
      <c r="F1200" s="10" t="s">
        <v>3211</v>
      </c>
      <c r="G1200" s="13" t="b">
        <v>0</v>
      </c>
      <c r="H1200" s="10" t="s">
        <v>3212</v>
      </c>
      <c r="I1200" s="10" t="s">
        <v>3213</v>
      </c>
      <c r="J1200" s="13" t="b">
        <v>0</v>
      </c>
      <c r="K1200" s="13" t="b">
        <v>1</v>
      </c>
      <c r="L1200" s="10" t="s">
        <v>124</v>
      </c>
      <c r="M1200" s="10" t="s">
        <v>91</v>
      </c>
      <c r="N1200" s="10" t="s">
        <v>92</v>
      </c>
      <c r="O1200" s="19" t="s">
        <v>9518</v>
      </c>
      <c r="P1200" s="10" t="s">
        <v>3215</v>
      </c>
      <c r="Q1200" s="10" t="s">
        <v>126</v>
      </c>
      <c r="R1200" s="10"/>
      <c r="S1200" s="19" t="s">
        <v>9519</v>
      </c>
      <c r="T1200" s="19" t="s">
        <v>9446</v>
      </c>
      <c r="U1200" s="10" t="s">
        <v>3229</v>
      </c>
      <c r="V1200" s="10" t="s">
        <v>3278</v>
      </c>
      <c r="W1200" s="10" t="s">
        <v>3219</v>
      </c>
      <c r="X1200" s="10" t="s">
        <v>130</v>
      </c>
      <c r="Y1200" s="10" t="s">
        <v>130</v>
      </c>
      <c r="Z1200" s="10" t="s">
        <v>99</v>
      </c>
      <c r="AA1200" s="10" t="s">
        <v>131</v>
      </c>
      <c r="AB1200" s="10" t="s">
        <v>3220</v>
      </c>
      <c r="AC1200" s="10" t="s">
        <v>3221</v>
      </c>
      <c r="AD1200" s="10" t="s">
        <v>9520</v>
      </c>
      <c r="AE1200" s="10" t="s">
        <v>9521</v>
      </c>
      <c r="AF1200" s="15"/>
      <c r="AG1200" s="10"/>
      <c r="AH1200" s="10"/>
      <c r="AI1200" s="10"/>
      <c r="AJ1200" s="10"/>
      <c r="AK1200" s="10" t="s">
        <v>102</v>
      </c>
      <c r="AL1200" s="10" t="s">
        <v>184</v>
      </c>
      <c r="AM1200" s="10"/>
      <c r="AN1200" s="10"/>
      <c r="AO1200" s="13" t="b">
        <v>1</v>
      </c>
      <c r="AP1200" s="10" t="s">
        <v>104</v>
      </c>
      <c r="AQ1200" s="10">
        <f ca="1">IFERROR(__xludf.DUMMYFUNCTION("""COMPUTED_VALUE"""),4652726)</f>
        <v>4652726</v>
      </c>
      <c r="AR1200" s="17">
        <v>47323</v>
      </c>
      <c r="AS1200" s="17">
        <v>33172</v>
      </c>
      <c r="AT1200" s="17">
        <v>1825527.75</v>
      </c>
      <c r="AU1200" s="17">
        <v>515.70000000000005</v>
      </c>
      <c r="AV1200" s="17">
        <v>65.650000000000006</v>
      </c>
      <c r="AW1200" s="10" t="s">
        <v>105</v>
      </c>
      <c r="AX1200" s="17">
        <v>14974</v>
      </c>
      <c r="AY1200" s="18">
        <v>55.032188291330037</v>
      </c>
      <c r="AZ1200" s="10" t="s">
        <v>117</v>
      </c>
      <c r="BA1200" s="20" t="b">
        <v>0</v>
      </c>
      <c r="BB1200" s="10"/>
      <c r="BC1200" s="17">
        <v>47323</v>
      </c>
      <c r="BD1200" s="17">
        <v>33172</v>
      </c>
      <c r="BE1200" s="17">
        <v>1825527.75</v>
      </c>
      <c r="BF1200" s="17">
        <v>65.650000000000006</v>
      </c>
      <c r="BG1200" s="11">
        <f ca="1">IFERROR(__xludf.DUMMYFUNCTION("""COMPUTED_VALUE"""),45949.0729166666)</f>
        <v>45949.072916666599</v>
      </c>
      <c r="BH1200" s="17" t="s">
        <v>105</v>
      </c>
      <c r="BI1200" s="17"/>
      <c r="BJ1200" s="15"/>
      <c r="BK1200" s="15"/>
      <c r="BL1200" s="13" t="b">
        <v>0</v>
      </c>
      <c r="BM1200" s="10"/>
      <c r="BN1200" s="10" t="s">
        <v>1057</v>
      </c>
      <c r="BO1200" s="11">
        <v>45904.28402777778</v>
      </c>
      <c r="BP1200" s="11">
        <v>45925.665497685186</v>
      </c>
      <c r="BQ1200" s="15">
        <v>45944.750509259262</v>
      </c>
      <c r="BR1200" s="15">
        <v>45945.554305555554</v>
      </c>
      <c r="BS1200" s="10"/>
      <c r="BT1200" s="10" t="s">
        <v>279</v>
      </c>
      <c r="BU1200" s="10"/>
      <c r="BV1200" s="10"/>
      <c r="BW1200" s="10"/>
      <c r="BX1200" s="10"/>
      <c r="BY1200" s="23"/>
      <c r="BZ1200" s="23"/>
      <c r="CA1200" s="19" t="s">
        <v>9522</v>
      </c>
      <c r="CB1200" s="19" t="s">
        <v>9523</v>
      </c>
      <c r="CC1200" s="23"/>
      <c r="CD1200" s="19" t="s">
        <v>9524</v>
      </c>
      <c r="CE1200" s="23"/>
      <c r="CF1200" s="23"/>
      <c r="CG1200" s="23"/>
      <c r="CH1200" s="23"/>
      <c r="CI1200" s="23"/>
    </row>
    <row r="1201" spans="1:87" x14ac:dyDescent="0.3">
      <c r="A1201" s="9" t="s">
        <v>9525</v>
      </c>
      <c r="B1201" s="10" t="s">
        <v>9526</v>
      </c>
      <c r="C1201" s="11">
        <v>45948.958333333336</v>
      </c>
      <c r="D1201" s="12">
        <v>8.3333333333333329E-2</v>
      </c>
      <c r="E1201" s="11">
        <v>45949.041666666664</v>
      </c>
      <c r="F1201" s="10" t="s">
        <v>3211</v>
      </c>
      <c r="G1201" s="13" t="b">
        <v>0</v>
      </c>
      <c r="H1201" s="10" t="s">
        <v>3212</v>
      </c>
      <c r="I1201" s="10" t="s">
        <v>3213</v>
      </c>
      <c r="J1201" s="13" t="b">
        <v>0</v>
      </c>
      <c r="K1201" s="13" t="b">
        <v>1</v>
      </c>
      <c r="L1201" s="10" t="s">
        <v>124</v>
      </c>
      <c r="M1201" s="10" t="s">
        <v>91</v>
      </c>
      <c r="N1201" s="10" t="s">
        <v>92</v>
      </c>
      <c r="O1201" s="19" t="s">
        <v>9527</v>
      </c>
      <c r="P1201" s="10" t="s">
        <v>3215</v>
      </c>
      <c r="Q1201" s="10" t="s">
        <v>126</v>
      </c>
      <c r="R1201" s="10"/>
      <c r="S1201" s="19" t="s">
        <v>9528</v>
      </c>
      <c r="T1201" s="19" t="s">
        <v>9446</v>
      </c>
      <c r="U1201" s="10" t="s">
        <v>3279</v>
      </c>
      <c r="V1201" s="10" t="s">
        <v>3318</v>
      </c>
      <c r="W1201" s="10" t="s">
        <v>3219</v>
      </c>
      <c r="X1201" s="10" t="s">
        <v>130</v>
      </c>
      <c r="Y1201" s="10" t="s">
        <v>130</v>
      </c>
      <c r="Z1201" s="10" t="s">
        <v>99</v>
      </c>
      <c r="AA1201" s="10" t="s">
        <v>131</v>
      </c>
      <c r="AB1201" s="10" t="s">
        <v>3220</v>
      </c>
      <c r="AC1201" s="10" t="s">
        <v>3221</v>
      </c>
      <c r="AD1201" s="10" t="s">
        <v>9529</v>
      </c>
      <c r="AE1201" s="10" t="s">
        <v>9530</v>
      </c>
      <c r="AF1201" s="15"/>
      <c r="AG1201" s="10"/>
      <c r="AH1201" s="10"/>
      <c r="AI1201" s="10"/>
      <c r="AJ1201" s="10"/>
      <c r="AK1201" s="10" t="s">
        <v>102</v>
      </c>
      <c r="AL1201" s="10" t="s">
        <v>184</v>
      </c>
      <c r="AM1201" s="10"/>
      <c r="AN1201" s="10"/>
      <c r="AO1201" s="13" t="b">
        <v>1</v>
      </c>
      <c r="AP1201" s="10" t="s">
        <v>104</v>
      </c>
      <c r="AQ1201" s="10">
        <f ca="1">IFERROR(__xludf.DUMMYFUNCTION("""COMPUTED_VALUE"""),4652724)</f>
        <v>4652724</v>
      </c>
      <c r="AR1201" s="17">
        <v>31976</v>
      </c>
      <c r="AS1201" s="17">
        <v>25771</v>
      </c>
      <c r="AT1201" s="17">
        <v>447603</v>
      </c>
      <c r="AU1201" s="17">
        <v>218.95</v>
      </c>
      <c r="AV1201" s="17">
        <v>28.45</v>
      </c>
      <c r="AW1201" s="10" t="s">
        <v>105</v>
      </c>
      <c r="AX1201" s="17">
        <v>6935</v>
      </c>
      <c r="AY1201" s="18">
        <v>17.368476194171745</v>
      </c>
      <c r="AZ1201" s="10" t="s">
        <v>117</v>
      </c>
      <c r="BA1201" s="20" t="b">
        <v>0</v>
      </c>
      <c r="BB1201" s="10"/>
      <c r="BC1201" s="17">
        <v>31976</v>
      </c>
      <c r="BD1201" s="17">
        <v>25771</v>
      </c>
      <c r="BE1201" s="17">
        <v>447603</v>
      </c>
      <c r="BF1201" s="17">
        <v>28.45</v>
      </c>
      <c r="BG1201" s="11">
        <f ca="1">IFERROR(__xludf.DUMMYFUNCTION("""COMPUTED_VALUE"""),45948.9583333333)</f>
        <v>45948.958333333299</v>
      </c>
      <c r="BH1201" s="17" t="s">
        <v>105</v>
      </c>
      <c r="BI1201" s="17"/>
      <c r="BJ1201" s="15"/>
      <c r="BK1201" s="15"/>
      <c r="BL1201" s="13" t="b">
        <v>0</v>
      </c>
      <c r="BM1201" s="10"/>
      <c r="BN1201" s="10" t="s">
        <v>667</v>
      </c>
      <c r="BO1201" s="11">
        <v>45904.28402777778</v>
      </c>
      <c r="BP1201" s="11">
        <v>45925.665335648147</v>
      </c>
      <c r="BQ1201" s="15">
        <v>45944.750358796293</v>
      </c>
      <c r="BR1201" s="15">
        <v>45945.554097222222</v>
      </c>
      <c r="BS1201" s="10" t="s">
        <v>667</v>
      </c>
      <c r="BT1201" s="10" t="s">
        <v>279</v>
      </c>
      <c r="BU1201" s="10" t="s">
        <v>498</v>
      </c>
      <c r="BV1201" s="10"/>
      <c r="BW1201" s="10"/>
      <c r="BX1201" s="10"/>
      <c r="BY1201" s="23"/>
      <c r="BZ1201" s="23"/>
      <c r="CA1201" s="19" t="s">
        <v>9531</v>
      </c>
      <c r="CB1201" s="19" t="s">
        <v>9532</v>
      </c>
      <c r="CC1201" s="23"/>
      <c r="CD1201" s="19" t="s">
        <v>9533</v>
      </c>
      <c r="CE1201" s="23"/>
      <c r="CF1201" s="23"/>
      <c r="CG1201" s="23"/>
      <c r="CH1201" s="23"/>
      <c r="CI1201" s="23"/>
    </row>
    <row r="1202" spans="1:87" x14ac:dyDescent="0.3">
      <c r="A1202" s="9" t="s">
        <v>9534</v>
      </c>
      <c r="B1202" s="10" t="s">
        <v>9535</v>
      </c>
      <c r="C1202" s="11">
        <v>45956.072916666664</v>
      </c>
      <c r="D1202" s="12">
        <v>8.3333333333333329E-2</v>
      </c>
      <c r="E1202" s="11">
        <v>45956.15625</v>
      </c>
      <c r="F1202" s="10" t="s">
        <v>3211</v>
      </c>
      <c r="G1202" s="13" t="b">
        <v>0</v>
      </c>
      <c r="H1202" s="10" t="s">
        <v>3212</v>
      </c>
      <c r="I1202" s="10" t="s">
        <v>3213</v>
      </c>
      <c r="J1202" s="13" t="b">
        <v>0</v>
      </c>
      <c r="K1202" s="13" t="b">
        <v>1</v>
      </c>
      <c r="L1202" s="10" t="s">
        <v>124</v>
      </c>
      <c r="M1202" s="10" t="s">
        <v>91</v>
      </c>
      <c r="N1202" s="10" t="s">
        <v>92</v>
      </c>
      <c r="O1202" s="19" t="s">
        <v>9536</v>
      </c>
      <c r="P1202" s="10" t="s">
        <v>3215</v>
      </c>
      <c r="Q1202" s="10" t="s">
        <v>126</v>
      </c>
      <c r="R1202" s="10"/>
      <c r="S1202" s="19" t="s">
        <v>9537</v>
      </c>
      <c r="T1202" s="19" t="s">
        <v>9538</v>
      </c>
      <c r="U1202" s="10" t="s">
        <v>3440</v>
      </c>
      <c r="V1202" s="10" t="s">
        <v>3308</v>
      </c>
      <c r="W1202" s="10" t="s">
        <v>3219</v>
      </c>
      <c r="X1202" s="10" t="s">
        <v>130</v>
      </c>
      <c r="Y1202" s="10" t="s">
        <v>130</v>
      </c>
      <c r="Z1202" s="10" t="s">
        <v>99</v>
      </c>
      <c r="AA1202" s="10" t="s">
        <v>131</v>
      </c>
      <c r="AB1202" s="10" t="s">
        <v>3220</v>
      </c>
      <c r="AC1202" s="10" t="s">
        <v>3221</v>
      </c>
      <c r="AD1202" s="10" t="s">
        <v>9539</v>
      </c>
      <c r="AE1202" s="10" t="s">
        <v>9540</v>
      </c>
      <c r="AF1202" s="15"/>
      <c r="AG1202" s="10"/>
      <c r="AH1202" s="10"/>
      <c r="AI1202" s="10"/>
      <c r="AJ1202" s="10"/>
      <c r="AK1202" s="10" t="s">
        <v>102</v>
      </c>
      <c r="AL1202" s="10" t="s">
        <v>195</v>
      </c>
      <c r="AM1202" s="10"/>
      <c r="AN1202" s="10"/>
      <c r="AO1202" s="13" t="b">
        <v>1</v>
      </c>
      <c r="AP1202" s="10" t="s">
        <v>104</v>
      </c>
      <c r="AQ1202" s="10">
        <f ca="1">IFERROR(__xludf.DUMMYFUNCTION("""COMPUTED_VALUE"""),4666187)</f>
        <v>4666187</v>
      </c>
      <c r="AR1202" s="17">
        <v>10835</v>
      </c>
      <c r="AS1202" s="17">
        <v>8442</v>
      </c>
      <c r="AT1202" s="17">
        <v>144177</v>
      </c>
      <c r="AU1202" s="17">
        <v>19.8</v>
      </c>
      <c r="AV1202" s="17">
        <v>2.4500000000000002</v>
      </c>
      <c r="AW1202" s="10" t="s">
        <v>105</v>
      </c>
      <c r="AX1202" s="17">
        <v>4817</v>
      </c>
      <c r="AY1202" s="18">
        <v>17.078535891968727</v>
      </c>
      <c r="AZ1202" s="10" t="s">
        <v>117</v>
      </c>
      <c r="BA1202" s="20" t="b">
        <v>0</v>
      </c>
      <c r="BB1202" s="10"/>
      <c r="BC1202" s="17">
        <v>10835</v>
      </c>
      <c r="BD1202" s="17">
        <v>8442</v>
      </c>
      <c r="BE1202" s="17">
        <v>144177</v>
      </c>
      <c r="BF1202" s="17">
        <v>2.4500000000000002</v>
      </c>
      <c r="BG1202" s="11">
        <f ca="1">IFERROR(__xludf.DUMMYFUNCTION("""COMPUTED_VALUE"""),45956.0729166666)</f>
        <v>45956.072916666599</v>
      </c>
      <c r="BH1202" s="17" t="s">
        <v>105</v>
      </c>
      <c r="BI1202" s="17"/>
      <c r="BJ1202" s="15"/>
      <c r="BK1202" s="15"/>
      <c r="BL1202" s="13" t="b">
        <v>0</v>
      </c>
      <c r="BM1202" s="10"/>
      <c r="BN1202" s="10" t="s">
        <v>197</v>
      </c>
      <c r="BO1202" s="11">
        <v>45904.28402777778</v>
      </c>
      <c r="BP1202" s="11">
        <v>45931.464837962965</v>
      </c>
      <c r="BQ1202" s="15">
        <v>45952.777453703704</v>
      </c>
      <c r="BR1202" s="15">
        <v>45953.054351851853</v>
      </c>
      <c r="BS1202" s="10" t="s">
        <v>197</v>
      </c>
      <c r="BT1202" s="10" t="s">
        <v>279</v>
      </c>
      <c r="BU1202" s="10" t="s">
        <v>421</v>
      </c>
      <c r="BV1202" s="10"/>
      <c r="BW1202" s="10"/>
      <c r="BX1202" s="10"/>
      <c r="BY1202" s="23"/>
      <c r="BZ1202" s="23"/>
      <c r="CA1202" s="19" t="s">
        <v>9541</v>
      </c>
      <c r="CB1202" s="19" t="s">
        <v>9542</v>
      </c>
      <c r="CC1202" s="23"/>
      <c r="CD1202" s="19" t="s">
        <v>9543</v>
      </c>
      <c r="CE1202" s="23"/>
      <c r="CF1202" s="23"/>
      <c r="CG1202" s="23"/>
      <c r="CH1202" s="23"/>
      <c r="CI1202" s="23"/>
    </row>
    <row r="1203" spans="1:87" x14ac:dyDescent="0.3">
      <c r="A1203" s="9" t="s">
        <v>9544</v>
      </c>
      <c r="B1203" s="10" t="s">
        <v>9545</v>
      </c>
      <c r="C1203" s="11">
        <v>45957</v>
      </c>
      <c r="D1203" s="12">
        <v>8.3333333333333329E-2</v>
      </c>
      <c r="E1203" s="11">
        <v>45957.083333333336</v>
      </c>
      <c r="F1203" s="10" t="s">
        <v>3211</v>
      </c>
      <c r="G1203" s="13" t="b">
        <v>0</v>
      </c>
      <c r="H1203" s="10" t="s">
        <v>3212</v>
      </c>
      <c r="I1203" s="10" t="s">
        <v>3213</v>
      </c>
      <c r="J1203" s="13" t="b">
        <v>0</v>
      </c>
      <c r="K1203" s="13" t="b">
        <v>1</v>
      </c>
      <c r="L1203" s="10" t="s">
        <v>124</v>
      </c>
      <c r="M1203" s="10" t="s">
        <v>91</v>
      </c>
      <c r="N1203" s="10" t="s">
        <v>92</v>
      </c>
      <c r="O1203" s="19" t="s">
        <v>9546</v>
      </c>
      <c r="P1203" s="10" t="s">
        <v>3215</v>
      </c>
      <c r="Q1203" s="10" t="s">
        <v>126</v>
      </c>
      <c r="R1203" s="10"/>
      <c r="S1203" s="19" t="s">
        <v>9547</v>
      </c>
      <c r="T1203" s="19" t="s">
        <v>9538</v>
      </c>
      <c r="U1203" s="10" t="s">
        <v>3240</v>
      </c>
      <c r="V1203" s="10" t="s">
        <v>3230</v>
      </c>
      <c r="W1203" s="10" t="s">
        <v>3219</v>
      </c>
      <c r="X1203" s="10" t="s">
        <v>130</v>
      </c>
      <c r="Y1203" s="10" t="s">
        <v>130</v>
      </c>
      <c r="Z1203" s="10" t="s">
        <v>99</v>
      </c>
      <c r="AA1203" s="10" t="s">
        <v>131</v>
      </c>
      <c r="AB1203" s="10" t="s">
        <v>3220</v>
      </c>
      <c r="AC1203" s="10" t="s">
        <v>3221</v>
      </c>
      <c r="AD1203" s="10" t="s">
        <v>9548</v>
      </c>
      <c r="AE1203" s="10" t="s">
        <v>9549</v>
      </c>
      <c r="AF1203" s="15"/>
      <c r="AG1203" s="10"/>
      <c r="AH1203" s="10"/>
      <c r="AI1203" s="10"/>
      <c r="AJ1203" s="10"/>
      <c r="AK1203" s="10" t="s">
        <v>102</v>
      </c>
      <c r="AL1203" s="10" t="s">
        <v>195</v>
      </c>
      <c r="AM1203" s="10"/>
      <c r="AN1203" s="10"/>
      <c r="AO1203" s="13" t="b">
        <v>0</v>
      </c>
      <c r="AP1203" s="10" t="s">
        <v>104</v>
      </c>
      <c r="AQ1203" s="10">
        <f ca="1">IFERROR(__xludf.DUMMYFUNCTION("""COMPUTED_VALUE"""),4671767)</f>
        <v>4671767</v>
      </c>
      <c r="AR1203" s="17">
        <v>12072</v>
      </c>
      <c r="AS1203" s="17">
        <v>10034</v>
      </c>
      <c r="AT1203" s="17">
        <v>251402.5</v>
      </c>
      <c r="AU1203" s="17">
        <v>51.65</v>
      </c>
      <c r="AV1203" s="17">
        <v>12.9</v>
      </c>
      <c r="AW1203" s="10" t="s">
        <v>105</v>
      </c>
      <c r="AX1203" s="17">
        <v>3888</v>
      </c>
      <c r="AY1203" s="18">
        <v>25.055062786525813</v>
      </c>
      <c r="AZ1203" s="10" t="s">
        <v>117</v>
      </c>
      <c r="BA1203" s="20" t="b">
        <v>0</v>
      </c>
      <c r="BB1203" s="10"/>
      <c r="BC1203" s="17">
        <v>12072</v>
      </c>
      <c r="BD1203" s="17">
        <v>10034</v>
      </c>
      <c r="BE1203" s="17">
        <v>251402.5</v>
      </c>
      <c r="BF1203" s="17">
        <v>12.9</v>
      </c>
      <c r="BG1203" s="11">
        <f ca="1">IFERROR(__xludf.DUMMYFUNCTION("""COMPUTED_VALUE"""),45957)</f>
        <v>45957</v>
      </c>
      <c r="BH1203" s="17" t="s">
        <v>105</v>
      </c>
      <c r="BI1203" s="17"/>
      <c r="BJ1203" s="15"/>
      <c r="BK1203" s="15"/>
      <c r="BL1203" s="13" t="b">
        <v>0</v>
      </c>
      <c r="BM1203" s="10"/>
      <c r="BN1203" s="10" t="s">
        <v>118</v>
      </c>
      <c r="BO1203" s="11">
        <v>45904.284594907411</v>
      </c>
      <c r="BP1203" s="11">
        <v>45931.465925925928</v>
      </c>
      <c r="BQ1203" s="15">
        <v>45952.778368055559</v>
      </c>
      <c r="BR1203" s="15">
        <v>45956.400358796294</v>
      </c>
      <c r="BS1203" s="10" t="s">
        <v>118</v>
      </c>
      <c r="BT1203" s="10"/>
      <c r="BU1203" s="10"/>
      <c r="BV1203" s="10"/>
      <c r="BW1203" s="10"/>
      <c r="BX1203" s="10"/>
      <c r="BY1203" s="23"/>
      <c r="BZ1203" s="23"/>
      <c r="CA1203" s="19" t="s">
        <v>9550</v>
      </c>
      <c r="CB1203" s="19" t="s">
        <v>9551</v>
      </c>
      <c r="CC1203" s="23"/>
      <c r="CD1203" s="19" t="s">
        <v>9552</v>
      </c>
      <c r="CE1203" s="23"/>
      <c r="CF1203" s="23"/>
      <c r="CG1203" s="23"/>
      <c r="CH1203" s="23"/>
      <c r="CI1203" s="23"/>
    </row>
    <row r="1204" spans="1:87" x14ac:dyDescent="0.3">
      <c r="A1204" s="9" t="s">
        <v>9553</v>
      </c>
      <c r="B1204" s="10" t="s">
        <v>9554</v>
      </c>
      <c r="C1204" s="11">
        <v>45957.114583333336</v>
      </c>
      <c r="D1204" s="12">
        <v>8.3333333333333329E-2</v>
      </c>
      <c r="E1204" s="11">
        <v>45957.197916666664</v>
      </c>
      <c r="F1204" s="10" t="s">
        <v>3211</v>
      </c>
      <c r="G1204" s="13" t="b">
        <v>0</v>
      </c>
      <c r="H1204" s="10" t="s">
        <v>3212</v>
      </c>
      <c r="I1204" s="10" t="s">
        <v>3213</v>
      </c>
      <c r="J1204" s="13" t="b">
        <v>0</v>
      </c>
      <c r="K1204" s="13" t="b">
        <v>1</v>
      </c>
      <c r="L1204" s="10" t="s">
        <v>124</v>
      </c>
      <c r="M1204" s="10" t="s">
        <v>91</v>
      </c>
      <c r="N1204" s="10" t="s">
        <v>92</v>
      </c>
      <c r="O1204" s="19" t="s">
        <v>9555</v>
      </c>
      <c r="P1204" s="10" t="s">
        <v>3215</v>
      </c>
      <c r="Q1204" s="10" t="s">
        <v>126</v>
      </c>
      <c r="R1204" s="10"/>
      <c r="S1204" s="19" t="s">
        <v>9556</v>
      </c>
      <c r="T1204" s="19" t="s">
        <v>9538</v>
      </c>
      <c r="U1204" s="10" t="s">
        <v>3250</v>
      </c>
      <c r="V1204" s="10" t="s">
        <v>3259</v>
      </c>
      <c r="W1204" s="10" t="s">
        <v>3219</v>
      </c>
      <c r="X1204" s="10" t="s">
        <v>130</v>
      </c>
      <c r="Y1204" s="10" t="s">
        <v>130</v>
      </c>
      <c r="Z1204" s="10" t="s">
        <v>99</v>
      </c>
      <c r="AA1204" s="10" t="s">
        <v>131</v>
      </c>
      <c r="AB1204" s="10" t="s">
        <v>3220</v>
      </c>
      <c r="AC1204" s="10" t="s">
        <v>3221</v>
      </c>
      <c r="AD1204" s="10" t="s">
        <v>9557</v>
      </c>
      <c r="AE1204" s="10" t="s">
        <v>9558</v>
      </c>
      <c r="AF1204" s="15"/>
      <c r="AG1204" s="10"/>
      <c r="AH1204" s="10"/>
      <c r="AI1204" s="10"/>
      <c r="AJ1204" s="10"/>
      <c r="AK1204" s="10" t="s">
        <v>102</v>
      </c>
      <c r="AL1204" s="10" t="s">
        <v>195</v>
      </c>
      <c r="AM1204" s="10"/>
      <c r="AN1204" s="10"/>
      <c r="AO1204" s="13" t="b">
        <v>1</v>
      </c>
      <c r="AP1204" s="10" t="s">
        <v>104</v>
      </c>
      <c r="AQ1204" s="10">
        <f ca="1">IFERROR(__xludf.DUMMYFUNCTION("""COMPUTED_VALUE"""),4672681)</f>
        <v>4672681</v>
      </c>
      <c r="AR1204" s="17">
        <v>19587</v>
      </c>
      <c r="AS1204" s="17">
        <v>14058</v>
      </c>
      <c r="AT1204" s="17">
        <v>602693</v>
      </c>
      <c r="AU1204" s="17">
        <v>107.6</v>
      </c>
      <c r="AV1204" s="17">
        <v>13.6</v>
      </c>
      <c r="AW1204" s="10" t="s">
        <v>105</v>
      </c>
      <c r="AX1204" s="17">
        <v>7060</v>
      </c>
      <c r="AY1204" s="18">
        <v>42.871887893014652</v>
      </c>
      <c r="AZ1204" s="10" t="s">
        <v>117</v>
      </c>
      <c r="BA1204" s="20" t="b">
        <v>0</v>
      </c>
      <c r="BB1204" s="10"/>
      <c r="BC1204" s="17">
        <v>19587</v>
      </c>
      <c r="BD1204" s="17">
        <v>14058</v>
      </c>
      <c r="BE1204" s="17">
        <v>602693</v>
      </c>
      <c r="BF1204" s="17">
        <v>13.6</v>
      </c>
      <c r="BG1204" s="11">
        <f ca="1">IFERROR(__xludf.DUMMYFUNCTION("""COMPUTED_VALUE"""),45957.1145833333)</f>
        <v>45957.114583333299</v>
      </c>
      <c r="BH1204" s="17" t="s">
        <v>105</v>
      </c>
      <c r="BI1204" s="17"/>
      <c r="BJ1204" s="15"/>
      <c r="BK1204" s="15"/>
      <c r="BL1204" s="13" t="b">
        <v>0</v>
      </c>
      <c r="BM1204" s="10"/>
      <c r="BN1204" s="10" t="s">
        <v>197</v>
      </c>
      <c r="BO1204" s="11">
        <v>45904.28402777778</v>
      </c>
      <c r="BP1204" s="11">
        <v>45931.46603009259</v>
      </c>
      <c r="BQ1204" s="15">
        <v>45952.778564814813</v>
      </c>
      <c r="BR1204" s="15">
        <v>45956.714733796296</v>
      </c>
      <c r="BS1204" s="10" t="s">
        <v>197</v>
      </c>
      <c r="BT1204" s="10" t="s">
        <v>279</v>
      </c>
      <c r="BU1204" s="10" t="s">
        <v>8057</v>
      </c>
      <c r="BV1204" s="10"/>
      <c r="BW1204" s="10"/>
      <c r="BX1204" s="10"/>
      <c r="BY1204" s="23"/>
      <c r="BZ1204" s="23"/>
      <c r="CA1204" s="19" t="s">
        <v>9559</v>
      </c>
      <c r="CB1204" s="19" t="s">
        <v>9560</v>
      </c>
      <c r="CC1204" s="23"/>
      <c r="CD1204" s="19" t="s">
        <v>9561</v>
      </c>
      <c r="CE1204" s="23"/>
      <c r="CF1204" s="23"/>
      <c r="CG1204" s="23"/>
      <c r="CH1204" s="23"/>
      <c r="CI1204" s="23"/>
    </row>
    <row r="1205" spans="1:87" x14ac:dyDescent="0.3">
      <c r="A1205" s="9" t="s">
        <v>9562</v>
      </c>
      <c r="B1205" s="10" t="s">
        <v>9563</v>
      </c>
      <c r="C1205" s="11">
        <v>45955.072916666664</v>
      </c>
      <c r="D1205" s="12">
        <v>8.3333333333333329E-2</v>
      </c>
      <c r="E1205" s="11">
        <v>45955.15625</v>
      </c>
      <c r="F1205" s="10" t="s">
        <v>3211</v>
      </c>
      <c r="G1205" s="13" t="b">
        <v>0</v>
      </c>
      <c r="H1205" s="10" t="s">
        <v>3212</v>
      </c>
      <c r="I1205" s="10" t="s">
        <v>3213</v>
      </c>
      <c r="J1205" s="13" t="b">
        <v>0</v>
      </c>
      <c r="K1205" s="13" t="b">
        <v>1</v>
      </c>
      <c r="L1205" s="10" t="s">
        <v>124</v>
      </c>
      <c r="M1205" s="10" t="s">
        <v>91</v>
      </c>
      <c r="N1205" s="10" t="s">
        <v>92</v>
      </c>
      <c r="O1205" s="19" t="s">
        <v>9564</v>
      </c>
      <c r="P1205" s="10" t="s">
        <v>3215</v>
      </c>
      <c r="Q1205" s="10" t="s">
        <v>126</v>
      </c>
      <c r="R1205" s="10"/>
      <c r="S1205" s="19" t="s">
        <v>9565</v>
      </c>
      <c r="T1205" s="19" t="s">
        <v>9538</v>
      </c>
      <c r="U1205" s="10" t="s">
        <v>3289</v>
      </c>
      <c r="V1205" s="10" t="s">
        <v>3451</v>
      </c>
      <c r="W1205" s="10" t="s">
        <v>3219</v>
      </c>
      <c r="X1205" s="10" t="s">
        <v>130</v>
      </c>
      <c r="Y1205" s="10" t="s">
        <v>130</v>
      </c>
      <c r="Z1205" s="10" t="s">
        <v>99</v>
      </c>
      <c r="AA1205" s="10" t="s">
        <v>131</v>
      </c>
      <c r="AB1205" s="10" t="s">
        <v>3220</v>
      </c>
      <c r="AC1205" s="10" t="s">
        <v>3221</v>
      </c>
      <c r="AD1205" s="10" t="s">
        <v>9566</v>
      </c>
      <c r="AE1205" s="10" t="s">
        <v>9567</v>
      </c>
      <c r="AF1205" s="15"/>
      <c r="AG1205" s="10"/>
      <c r="AH1205" s="10"/>
      <c r="AI1205" s="10"/>
      <c r="AJ1205" s="10"/>
      <c r="AK1205" s="10" t="s">
        <v>102</v>
      </c>
      <c r="AL1205" s="10" t="s">
        <v>195</v>
      </c>
      <c r="AM1205" s="10"/>
      <c r="AN1205" s="10"/>
      <c r="AO1205" s="13" t="b">
        <v>1</v>
      </c>
      <c r="AP1205" s="10" t="s">
        <v>104</v>
      </c>
      <c r="AQ1205" s="10">
        <f ca="1">IFERROR(__xludf.DUMMYFUNCTION("""COMPUTED_VALUE"""),4666168)</f>
        <v>4666168</v>
      </c>
      <c r="AR1205" s="17">
        <v>30347</v>
      </c>
      <c r="AS1205" s="17">
        <v>20180</v>
      </c>
      <c r="AT1205" s="17">
        <v>1079683.25</v>
      </c>
      <c r="AU1205" s="17">
        <v>467.85</v>
      </c>
      <c r="AV1205" s="17">
        <v>76.55</v>
      </c>
      <c r="AW1205" s="10" t="s">
        <v>105</v>
      </c>
      <c r="AX1205" s="17">
        <v>9897</v>
      </c>
      <c r="AY1205" s="18">
        <v>53.502638751238848</v>
      </c>
      <c r="AZ1205" s="10" t="s">
        <v>117</v>
      </c>
      <c r="BA1205" s="20" t="b">
        <v>0</v>
      </c>
      <c r="BB1205" s="10"/>
      <c r="BC1205" s="17">
        <v>30347</v>
      </c>
      <c r="BD1205" s="17">
        <v>20180</v>
      </c>
      <c r="BE1205" s="17">
        <v>1079683.25</v>
      </c>
      <c r="BF1205" s="17">
        <v>76.55</v>
      </c>
      <c r="BG1205" s="11">
        <f ca="1">IFERROR(__xludf.DUMMYFUNCTION("""COMPUTED_VALUE"""),45955.0729166666)</f>
        <v>45955.072916666599</v>
      </c>
      <c r="BH1205" s="17" t="s">
        <v>105</v>
      </c>
      <c r="BI1205" s="17"/>
      <c r="BJ1205" s="15"/>
      <c r="BK1205" s="15"/>
      <c r="BL1205" s="13" t="b">
        <v>0</v>
      </c>
      <c r="BM1205" s="10"/>
      <c r="BN1205" s="10" t="s">
        <v>157</v>
      </c>
      <c r="BO1205" s="11">
        <v>45904.284594907411</v>
      </c>
      <c r="BP1205" s="11">
        <v>45931.463090277779</v>
      </c>
      <c r="BQ1205" s="15">
        <v>45952.776631944442</v>
      </c>
      <c r="BR1205" s="15">
        <v>45952.895451388889</v>
      </c>
      <c r="BS1205" s="10" t="s">
        <v>157</v>
      </c>
      <c r="BT1205" s="10" t="s">
        <v>99</v>
      </c>
      <c r="BU1205" s="10" t="s">
        <v>9568</v>
      </c>
      <c r="BV1205" s="10"/>
      <c r="BW1205" s="10"/>
      <c r="BX1205" s="10"/>
      <c r="BY1205" s="23"/>
      <c r="BZ1205" s="23"/>
      <c r="CA1205" s="19" t="s">
        <v>9569</v>
      </c>
      <c r="CB1205" s="19" t="s">
        <v>9570</v>
      </c>
      <c r="CC1205" s="23"/>
      <c r="CD1205" s="19" t="s">
        <v>9571</v>
      </c>
      <c r="CE1205" s="23"/>
      <c r="CF1205" s="23"/>
      <c r="CG1205" s="23"/>
      <c r="CH1205" s="23"/>
      <c r="CI1205" s="23"/>
    </row>
    <row r="1206" spans="1:87" x14ac:dyDescent="0.3">
      <c r="A1206" s="9" t="s">
        <v>9572</v>
      </c>
      <c r="B1206" s="10" t="s">
        <v>9573</v>
      </c>
      <c r="C1206" s="11">
        <v>45955.958333333336</v>
      </c>
      <c r="D1206" s="12">
        <v>8.3333333333333329E-2</v>
      </c>
      <c r="E1206" s="11">
        <v>45956.041666666664</v>
      </c>
      <c r="F1206" s="10" t="s">
        <v>3211</v>
      </c>
      <c r="G1206" s="13" t="b">
        <v>0</v>
      </c>
      <c r="H1206" s="10" t="s">
        <v>3212</v>
      </c>
      <c r="I1206" s="10" t="s">
        <v>3213</v>
      </c>
      <c r="J1206" s="13" t="b">
        <v>0</v>
      </c>
      <c r="K1206" s="13" t="b">
        <v>1</v>
      </c>
      <c r="L1206" s="10" t="s">
        <v>124</v>
      </c>
      <c r="M1206" s="10" t="s">
        <v>91</v>
      </c>
      <c r="N1206" s="10" t="s">
        <v>92</v>
      </c>
      <c r="O1206" s="19" t="s">
        <v>9574</v>
      </c>
      <c r="P1206" s="10" t="s">
        <v>3215</v>
      </c>
      <c r="Q1206" s="10" t="s">
        <v>126</v>
      </c>
      <c r="R1206" s="10"/>
      <c r="S1206" s="19" t="s">
        <v>9575</v>
      </c>
      <c r="T1206" s="19" t="s">
        <v>9538</v>
      </c>
      <c r="U1206" s="10" t="s">
        <v>3318</v>
      </c>
      <c r="V1206" s="10" t="s">
        <v>3278</v>
      </c>
      <c r="W1206" s="10" t="s">
        <v>3219</v>
      </c>
      <c r="X1206" s="10" t="s">
        <v>130</v>
      </c>
      <c r="Y1206" s="10" t="s">
        <v>130</v>
      </c>
      <c r="Z1206" s="10" t="s">
        <v>99</v>
      </c>
      <c r="AA1206" s="10" t="s">
        <v>131</v>
      </c>
      <c r="AB1206" s="10" t="s">
        <v>3220</v>
      </c>
      <c r="AC1206" s="10" t="s">
        <v>3221</v>
      </c>
      <c r="AD1206" s="10" t="s">
        <v>9576</v>
      </c>
      <c r="AE1206" s="10" t="s">
        <v>9577</v>
      </c>
      <c r="AF1206" s="15"/>
      <c r="AG1206" s="10"/>
      <c r="AH1206" s="10"/>
      <c r="AI1206" s="10"/>
      <c r="AJ1206" s="10"/>
      <c r="AK1206" s="10" t="s">
        <v>102</v>
      </c>
      <c r="AL1206" s="10" t="s">
        <v>195</v>
      </c>
      <c r="AM1206" s="10"/>
      <c r="AN1206" s="10"/>
      <c r="AO1206" s="13" t="b">
        <v>1</v>
      </c>
      <c r="AP1206" s="10" t="s">
        <v>104</v>
      </c>
      <c r="AQ1206" s="10">
        <f ca="1">IFERROR(__xludf.DUMMYFUNCTION("""COMPUTED_VALUE"""),4666172)</f>
        <v>4666172</v>
      </c>
      <c r="AR1206" s="17">
        <v>126062</v>
      </c>
      <c r="AS1206" s="17">
        <v>96134</v>
      </c>
      <c r="AT1206" s="17">
        <v>2201528.25</v>
      </c>
      <c r="AU1206" s="17">
        <v>1648.8</v>
      </c>
      <c r="AV1206" s="17">
        <v>327</v>
      </c>
      <c r="AW1206" s="10" t="s">
        <v>105</v>
      </c>
      <c r="AX1206" s="17">
        <v>29944</v>
      </c>
      <c r="AY1206" s="18">
        <v>22.900620488068736</v>
      </c>
      <c r="AZ1206" s="10" t="s">
        <v>117</v>
      </c>
      <c r="BA1206" s="20" t="b">
        <v>0</v>
      </c>
      <c r="BB1206" s="10"/>
      <c r="BC1206" s="17">
        <v>126062</v>
      </c>
      <c r="BD1206" s="17">
        <v>96134</v>
      </c>
      <c r="BE1206" s="17">
        <v>2201528.25</v>
      </c>
      <c r="BF1206" s="17">
        <v>327</v>
      </c>
      <c r="BG1206" s="11">
        <f ca="1">IFERROR(__xludf.DUMMYFUNCTION("""COMPUTED_VALUE"""),45955.9583333333)</f>
        <v>45955.958333333299</v>
      </c>
      <c r="BH1206" s="17" t="s">
        <v>105</v>
      </c>
      <c r="BI1206" s="17"/>
      <c r="BJ1206" s="15"/>
      <c r="BK1206" s="15"/>
      <c r="BL1206" s="13" t="b">
        <v>0</v>
      </c>
      <c r="BM1206" s="10"/>
      <c r="BN1206" s="10" t="s">
        <v>197</v>
      </c>
      <c r="BO1206" s="11">
        <v>45904.28402777778</v>
      </c>
      <c r="BP1206" s="11">
        <v>45931.464641203704</v>
      </c>
      <c r="BQ1206" s="15">
        <v>45952.777175925927</v>
      </c>
      <c r="BR1206" s="15">
        <v>45952.900983796295</v>
      </c>
      <c r="BS1206" s="10" t="s">
        <v>197</v>
      </c>
      <c r="BT1206" s="10" t="s">
        <v>279</v>
      </c>
      <c r="BU1206" s="10" t="s">
        <v>421</v>
      </c>
      <c r="BV1206" s="10" t="s">
        <v>281</v>
      </c>
      <c r="BW1206" s="10" t="s">
        <v>9578</v>
      </c>
      <c r="BX1206" s="19" t="s">
        <v>9579</v>
      </c>
      <c r="BY1206" s="23"/>
      <c r="BZ1206" s="23"/>
      <c r="CA1206" s="19" t="s">
        <v>9580</v>
      </c>
      <c r="CB1206" s="19" t="s">
        <v>9581</v>
      </c>
      <c r="CC1206" s="23"/>
      <c r="CD1206" s="19" t="s">
        <v>9582</v>
      </c>
      <c r="CE1206" s="23"/>
      <c r="CF1206" s="23"/>
      <c r="CG1206" s="23"/>
      <c r="CH1206" s="23"/>
      <c r="CI1206" s="23"/>
    </row>
    <row r="1207" spans="1:87" x14ac:dyDescent="0.3">
      <c r="A1207" s="9" t="s">
        <v>9583</v>
      </c>
      <c r="B1207" s="10" t="s">
        <v>9584</v>
      </c>
      <c r="C1207" s="11">
        <v>45955.833333333336</v>
      </c>
      <c r="D1207" s="12">
        <v>8.3333333333333329E-2</v>
      </c>
      <c r="E1207" s="11">
        <v>45955.916666666664</v>
      </c>
      <c r="F1207" s="10" t="s">
        <v>3211</v>
      </c>
      <c r="G1207" s="13" t="b">
        <v>0</v>
      </c>
      <c r="H1207" s="10" t="s">
        <v>3212</v>
      </c>
      <c r="I1207" s="10" t="s">
        <v>3213</v>
      </c>
      <c r="J1207" s="13" t="b">
        <v>0</v>
      </c>
      <c r="K1207" s="13" t="b">
        <v>1</v>
      </c>
      <c r="L1207" s="10" t="s">
        <v>124</v>
      </c>
      <c r="M1207" s="10" t="s">
        <v>91</v>
      </c>
      <c r="N1207" s="10" t="s">
        <v>92</v>
      </c>
      <c r="O1207" s="19" t="s">
        <v>9585</v>
      </c>
      <c r="P1207" s="10" t="s">
        <v>3215</v>
      </c>
      <c r="Q1207" s="10" t="s">
        <v>126</v>
      </c>
      <c r="R1207" s="10"/>
      <c r="S1207" s="19" t="s">
        <v>9586</v>
      </c>
      <c r="T1207" s="19" t="s">
        <v>9538</v>
      </c>
      <c r="U1207" s="10" t="s">
        <v>3260</v>
      </c>
      <c r="V1207" s="10" t="s">
        <v>3249</v>
      </c>
      <c r="W1207" s="10" t="s">
        <v>3219</v>
      </c>
      <c r="X1207" s="10" t="s">
        <v>130</v>
      </c>
      <c r="Y1207" s="10" t="s">
        <v>130</v>
      </c>
      <c r="Z1207" s="10" t="s">
        <v>99</v>
      </c>
      <c r="AA1207" s="10" t="s">
        <v>131</v>
      </c>
      <c r="AB1207" s="10" t="s">
        <v>3220</v>
      </c>
      <c r="AC1207" s="10" t="s">
        <v>3221</v>
      </c>
      <c r="AD1207" s="10" t="s">
        <v>9587</v>
      </c>
      <c r="AE1207" s="10" t="s">
        <v>9588</v>
      </c>
      <c r="AF1207" s="15"/>
      <c r="AG1207" s="10"/>
      <c r="AH1207" s="10"/>
      <c r="AI1207" s="10"/>
      <c r="AJ1207" s="10"/>
      <c r="AK1207" s="10" t="s">
        <v>102</v>
      </c>
      <c r="AL1207" s="10" t="s">
        <v>195</v>
      </c>
      <c r="AM1207" s="10"/>
      <c r="AN1207" s="10"/>
      <c r="AO1207" s="13" t="b">
        <v>0</v>
      </c>
      <c r="AP1207" s="10" t="s">
        <v>104</v>
      </c>
      <c r="AQ1207" s="10">
        <f ca="1">IFERROR(__xludf.DUMMYFUNCTION("""COMPUTED_VALUE"""),4666171)</f>
        <v>4666171</v>
      </c>
      <c r="AR1207" s="17">
        <v>44605</v>
      </c>
      <c r="AS1207" s="17">
        <v>32237</v>
      </c>
      <c r="AT1207" s="17">
        <v>530699</v>
      </c>
      <c r="AU1207" s="17">
        <v>368.95</v>
      </c>
      <c r="AV1207" s="17">
        <v>54.8</v>
      </c>
      <c r="AW1207" s="10" t="s">
        <v>105</v>
      </c>
      <c r="AX1207" s="17">
        <v>7915</v>
      </c>
      <c r="AY1207" s="18">
        <v>16.462418959580607</v>
      </c>
      <c r="AZ1207" s="10" t="s">
        <v>117</v>
      </c>
      <c r="BA1207" s="20" t="b">
        <v>0</v>
      </c>
      <c r="BB1207" s="10"/>
      <c r="BC1207" s="17">
        <v>44605</v>
      </c>
      <c r="BD1207" s="17">
        <v>32237</v>
      </c>
      <c r="BE1207" s="17">
        <v>530699</v>
      </c>
      <c r="BF1207" s="17">
        <v>54.8</v>
      </c>
      <c r="BG1207" s="11">
        <f ca="1">IFERROR(__xludf.DUMMYFUNCTION("""COMPUTED_VALUE"""),45955.8333333333)</f>
        <v>45955.833333333299</v>
      </c>
      <c r="BH1207" s="17" t="s">
        <v>105</v>
      </c>
      <c r="BI1207" s="17"/>
      <c r="BJ1207" s="15"/>
      <c r="BK1207" s="15"/>
      <c r="BL1207" s="13" t="b">
        <v>0</v>
      </c>
      <c r="BM1207" s="10"/>
      <c r="BN1207" s="10" t="s">
        <v>117</v>
      </c>
      <c r="BO1207" s="11">
        <v>45904.284594907411</v>
      </c>
      <c r="BP1207" s="11">
        <v>45931.463969907411</v>
      </c>
      <c r="BQ1207" s="15">
        <v>45952.776770833334</v>
      </c>
      <c r="BR1207" s="15">
        <v>45952.900810185187</v>
      </c>
      <c r="BS1207" s="10"/>
      <c r="BT1207" s="10"/>
      <c r="BU1207" s="10"/>
      <c r="BV1207" s="10"/>
      <c r="BW1207" s="10"/>
      <c r="BX1207" s="10"/>
      <c r="BY1207" s="23"/>
      <c r="BZ1207" s="23"/>
      <c r="CA1207" s="19" t="s">
        <v>9589</v>
      </c>
      <c r="CB1207" s="19" t="s">
        <v>9590</v>
      </c>
      <c r="CC1207" s="23"/>
      <c r="CD1207" s="19" t="s">
        <v>9591</v>
      </c>
      <c r="CE1207" s="23"/>
      <c r="CF1207" s="23"/>
      <c r="CG1207" s="23"/>
      <c r="CH1207" s="23"/>
      <c r="CI1207" s="23"/>
    </row>
    <row r="1208" spans="1:87" x14ac:dyDescent="0.3">
      <c r="A1208" s="9" t="s">
        <v>9592</v>
      </c>
      <c r="B1208" s="10" t="s">
        <v>9593</v>
      </c>
      <c r="C1208" s="11">
        <v>45956.875</v>
      </c>
      <c r="D1208" s="12">
        <v>8.3333333333333329E-2</v>
      </c>
      <c r="E1208" s="11">
        <v>45956.958333333336</v>
      </c>
      <c r="F1208" s="10" t="s">
        <v>3211</v>
      </c>
      <c r="G1208" s="13" t="b">
        <v>0</v>
      </c>
      <c r="H1208" s="10" t="s">
        <v>3212</v>
      </c>
      <c r="I1208" s="10" t="s">
        <v>3213</v>
      </c>
      <c r="J1208" s="13" t="b">
        <v>0</v>
      </c>
      <c r="K1208" s="13" t="b">
        <v>1</v>
      </c>
      <c r="L1208" s="10" t="s">
        <v>124</v>
      </c>
      <c r="M1208" s="10" t="s">
        <v>91</v>
      </c>
      <c r="N1208" s="10" t="s">
        <v>92</v>
      </c>
      <c r="O1208" s="19" t="s">
        <v>9594</v>
      </c>
      <c r="P1208" s="10" t="s">
        <v>3215</v>
      </c>
      <c r="Q1208" s="10" t="s">
        <v>126</v>
      </c>
      <c r="R1208" s="10"/>
      <c r="S1208" s="19" t="s">
        <v>9595</v>
      </c>
      <c r="T1208" s="19" t="s">
        <v>9538</v>
      </c>
      <c r="U1208" s="10" t="s">
        <v>3429</v>
      </c>
      <c r="V1208" s="10" t="s">
        <v>3229</v>
      </c>
      <c r="W1208" s="10" t="s">
        <v>3219</v>
      </c>
      <c r="X1208" s="10" t="s">
        <v>130</v>
      </c>
      <c r="Y1208" s="10" t="s">
        <v>130</v>
      </c>
      <c r="Z1208" s="10" t="s">
        <v>99</v>
      </c>
      <c r="AA1208" s="10" t="s">
        <v>131</v>
      </c>
      <c r="AB1208" s="10" t="s">
        <v>3220</v>
      </c>
      <c r="AC1208" s="10" t="s">
        <v>3221</v>
      </c>
      <c r="AD1208" s="10" t="s">
        <v>9596</v>
      </c>
      <c r="AE1208" s="10" t="s">
        <v>9597</v>
      </c>
      <c r="AF1208" s="15"/>
      <c r="AG1208" s="10"/>
      <c r="AH1208" s="10"/>
      <c r="AI1208" s="10"/>
      <c r="AJ1208" s="10"/>
      <c r="AK1208" s="10" t="s">
        <v>102</v>
      </c>
      <c r="AL1208" s="10" t="s">
        <v>195</v>
      </c>
      <c r="AM1208" s="10"/>
      <c r="AN1208" s="10"/>
      <c r="AO1208" s="13" t="b">
        <v>1</v>
      </c>
      <c r="AP1208" s="10" t="s">
        <v>104</v>
      </c>
      <c r="AQ1208" s="10">
        <f ca="1">IFERROR(__xludf.DUMMYFUNCTION("""COMPUTED_VALUE"""),4667522)</f>
        <v>4667522</v>
      </c>
      <c r="AR1208" s="17">
        <v>66574</v>
      </c>
      <c r="AS1208" s="17">
        <v>46677</v>
      </c>
      <c r="AT1208" s="17">
        <v>827661.75</v>
      </c>
      <c r="AU1208" s="17">
        <v>814.1</v>
      </c>
      <c r="AV1208" s="17">
        <v>158.44999999999999</v>
      </c>
      <c r="AW1208" s="10" t="s">
        <v>105</v>
      </c>
      <c r="AX1208" s="17">
        <v>13301</v>
      </c>
      <c r="AY1208" s="18">
        <v>17.731682627418216</v>
      </c>
      <c r="AZ1208" s="10" t="s">
        <v>117</v>
      </c>
      <c r="BA1208" s="20" t="b">
        <v>0</v>
      </c>
      <c r="BB1208" s="10"/>
      <c r="BC1208" s="17">
        <v>66574</v>
      </c>
      <c r="BD1208" s="17">
        <v>46677</v>
      </c>
      <c r="BE1208" s="17">
        <v>827661.75</v>
      </c>
      <c r="BF1208" s="17">
        <v>158.44999999999999</v>
      </c>
      <c r="BG1208" s="11">
        <f ca="1">IFERROR(__xludf.DUMMYFUNCTION("""COMPUTED_VALUE"""),45956.875)</f>
        <v>45956.875</v>
      </c>
      <c r="BH1208" s="17" t="s">
        <v>105</v>
      </c>
      <c r="BI1208" s="17"/>
      <c r="BJ1208" s="15"/>
      <c r="BK1208" s="15"/>
      <c r="BL1208" s="13" t="b">
        <v>0</v>
      </c>
      <c r="BM1208" s="10"/>
      <c r="BN1208" s="10" t="s">
        <v>1160</v>
      </c>
      <c r="BO1208" s="11">
        <v>45904.28402777778</v>
      </c>
      <c r="BP1208" s="11">
        <v>45931.465243055558</v>
      </c>
      <c r="BQ1208" s="15">
        <v>45952.778078703705</v>
      </c>
      <c r="BR1208" s="15">
        <v>45953.686585648145</v>
      </c>
      <c r="BS1208" s="10" t="s">
        <v>1160</v>
      </c>
      <c r="BT1208" s="10" t="s">
        <v>279</v>
      </c>
      <c r="BU1208" s="10" t="s">
        <v>793</v>
      </c>
      <c r="BV1208" s="10" t="s">
        <v>124</v>
      </c>
      <c r="BW1208" s="10" t="s">
        <v>9494</v>
      </c>
      <c r="BX1208" s="19" t="s">
        <v>9598</v>
      </c>
      <c r="BY1208" s="23"/>
      <c r="BZ1208" s="23"/>
      <c r="CA1208" s="19" t="s">
        <v>9599</v>
      </c>
      <c r="CB1208" s="19" t="s">
        <v>9600</v>
      </c>
      <c r="CC1208" s="23"/>
      <c r="CD1208" s="19" t="s">
        <v>9601</v>
      </c>
      <c r="CE1208" s="23"/>
      <c r="CF1208" s="23"/>
      <c r="CG1208" s="23"/>
      <c r="CH1208" s="23"/>
      <c r="CI1208" s="23"/>
    </row>
    <row r="1209" spans="1:87" x14ac:dyDescent="0.3">
      <c r="A1209" s="9" t="s">
        <v>9602</v>
      </c>
      <c r="B1209" s="10" t="s">
        <v>9603</v>
      </c>
      <c r="C1209" s="11">
        <v>45956.770833333336</v>
      </c>
      <c r="D1209" s="12">
        <v>8.3333333333333329E-2</v>
      </c>
      <c r="E1209" s="11">
        <v>45956.854166666664</v>
      </c>
      <c r="F1209" s="10" t="s">
        <v>3211</v>
      </c>
      <c r="G1209" s="13" t="b">
        <v>0</v>
      </c>
      <c r="H1209" s="10" t="s">
        <v>3212</v>
      </c>
      <c r="I1209" s="10" t="s">
        <v>3213</v>
      </c>
      <c r="J1209" s="13" t="b">
        <v>0</v>
      </c>
      <c r="K1209" s="13" t="b">
        <v>1</v>
      </c>
      <c r="L1209" s="10" t="s">
        <v>124</v>
      </c>
      <c r="M1209" s="10" t="s">
        <v>91</v>
      </c>
      <c r="N1209" s="10" t="s">
        <v>92</v>
      </c>
      <c r="O1209" s="19" t="s">
        <v>9604</v>
      </c>
      <c r="P1209" s="10" t="s">
        <v>3215</v>
      </c>
      <c r="Q1209" s="10" t="s">
        <v>126</v>
      </c>
      <c r="R1209" s="10"/>
      <c r="S1209" s="19" t="s">
        <v>9605</v>
      </c>
      <c r="T1209" s="19" t="s">
        <v>9538</v>
      </c>
      <c r="U1209" s="10" t="s">
        <v>3279</v>
      </c>
      <c r="V1209" s="10" t="s">
        <v>3217</v>
      </c>
      <c r="W1209" s="10" t="s">
        <v>3219</v>
      </c>
      <c r="X1209" s="10" t="s">
        <v>130</v>
      </c>
      <c r="Y1209" s="10" t="s">
        <v>130</v>
      </c>
      <c r="Z1209" s="10" t="s">
        <v>99</v>
      </c>
      <c r="AA1209" s="10" t="s">
        <v>131</v>
      </c>
      <c r="AB1209" s="10" t="s">
        <v>3220</v>
      </c>
      <c r="AC1209" s="10" t="s">
        <v>3221</v>
      </c>
      <c r="AD1209" s="10" t="s">
        <v>9606</v>
      </c>
      <c r="AE1209" s="10" t="s">
        <v>9607</v>
      </c>
      <c r="AF1209" s="15"/>
      <c r="AG1209" s="10"/>
      <c r="AH1209" s="10"/>
      <c r="AI1209" s="10"/>
      <c r="AJ1209" s="10"/>
      <c r="AK1209" s="10" t="s">
        <v>102</v>
      </c>
      <c r="AL1209" s="10" t="s">
        <v>195</v>
      </c>
      <c r="AM1209" s="10"/>
      <c r="AN1209" s="10"/>
      <c r="AO1209" s="13" t="b">
        <v>0</v>
      </c>
      <c r="AP1209" s="10" t="s">
        <v>104</v>
      </c>
      <c r="AQ1209" s="10">
        <f ca="1">IFERROR(__xludf.DUMMYFUNCTION("""COMPUTED_VALUE"""),4667521)</f>
        <v>4667521</v>
      </c>
      <c r="AR1209" s="17">
        <v>30473</v>
      </c>
      <c r="AS1209" s="17">
        <v>23308</v>
      </c>
      <c r="AT1209" s="17">
        <v>355244.75</v>
      </c>
      <c r="AU1209" s="17">
        <v>172.7</v>
      </c>
      <c r="AV1209" s="17">
        <v>45.65</v>
      </c>
      <c r="AW1209" s="10" t="s">
        <v>105</v>
      </c>
      <c r="AX1209" s="17">
        <v>5048</v>
      </c>
      <c r="AY1209" s="18">
        <v>15.241322721812253</v>
      </c>
      <c r="AZ1209" s="10" t="s">
        <v>117</v>
      </c>
      <c r="BA1209" s="20" t="b">
        <v>0</v>
      </c>
      <c r="BB1209" s="10"/>
      <c r="BC1209" s="17">
        <v>30473</v>
      </c>
      <c r="BD1209" s="17">
        <v>23308</v>
      </c>
      <c r="BE1209" s="17">
        <v>355244.75</v>
      </c>
      <c r="BF1209" s="17">
        <v>45.65</v>
      </c>
      <c r="BG1209" s="11">
        <f ca="1">IFERROR(__xludf.DUMMYFUNCTION("""COMPUTED_VALUE"""),45956.7708333333)</f>
        <v>45956.770833333299</v>
      </c>
      <c r="BH1209" s="17" t="s">
        <v>105</v>
      </c>
      <c r="BI1209" s="17"/>
      <c r="BJ1209" s="15"/>
      <c r="BK1209" s="15"/>
      <c r="BL1209" s="13" t="b">
        <v>0</v>
      </c>
      <c r="BM1209" s="10"/>
      <c r="BN1209" s="10" t="s">
        <v>117</v>
      </c>
      <c r="BO1209" s="11">
        <v>45904.284594907411</v>
      </c>
      <c r="BP1209" s="11">
        <v>45931.465104166666</v>
      </c>
      <c r="BQ1209" s="15">
        <v>45952.777604166666</v>
      </c>
      <c r="BR1209" s="15">
        <v>45953.686388888891</v>
      </c>
      <c r="BS1209" s="10"/>
      <c r="BT1209" s="10"/>
      <c r="BU1209" s="10"/>
      <c r="BV1209" s="10"/>
      <c r="BW1209" s="10"/>
      <c r="BX1209" s="10"/>
      <c r="BY1209" s="23"/>
      <c r="BZ1209" s="23"/>
      <c r="CA1209" s="19" t="s">
        <v>9608</v>
      </c>
      <c r="CB1209" s="19" t="s">
        <v>9609</v>
      </c>
      <c r="CC1209" s="23"/>
      <c r="CD1209" s="19" t="s">
        <v>9610</v>
      </c>
      <c r="CE1209" s="23"/>
      <c r="CF1209" s="23"/>
      <c r="CG1209" s="23"/>
      <c r="CH1209" s="23"/>
      <c r="CI1209" s="23"/>
    </row>
    <row r="1210" spans="1:87" x14ac:dyDescent="0.3">
      <c r="A1210" s="9" t="s">
        <v>9611</v>
      </c>
      <c r="B1210" s="10" t="s">
        <v>9612</v>
      </c>
      <c r="C1210" s="11">
        <v>45955.833333333336</v>
      </c>
      <c r="D1210" s="12">
        <v>8.3333333333333329E-2</v>
      </c>
      <c r="E1210" s="11">
        <v>45955.916666666664</v>
      </c>
      <c r="F1210" s="10" t="s">
        <v>3211</v>
      </c>
      <c r="G1210" s="13" t="b">
        <v>0</v>
      </c>
      <c r="H1210" s="10" t="s">
        <v>3212</v>
      </c>
      <c r="I1210" s="10" t="s">
        <v>3213</v>
      </c>
      <c r="J1210" s="13" t="b">
        <v>0</v>
      </c>
      <c r="K1210" s="13" t="b">
        <v>1</v>
      </c>
      <c r="L1210" s="10" t="s">
        <v>124</v>
      </c>
      <c r="M1210" s="10" t="s">
        <v>91</v>
      </c>
      <c r="N1210" s="10" t="s">
        <v>92</v>
      </c>
      <c r="O1210" s="19" t="s">
        <v>9613</v>
      </c>
      <c r="P1210" s="10" t="s">
        <v>88</v>
      </c>
      <c r="Q1210" s="10" t="s">
        <v>94</v>
      </c>
      <c r="R1210" s="10"/>
      <c r="S1210" s="19" t="s">
        <v>9614</v>
      </c>
      <c r="T1210" s="19" t="s">
        <v>9538</v>
      </c>
      <c r="U1210" s="10" t="s">
        <v>3269</v>
      </c>
      <c r="V1210" s="10" t="s">
        <v>3218</v>
      </c>
      <c r="W1210" s="10" t="s">
        <v>3219</v>
      </c>
      <c r="X1210" s="10" t="s">
        <v>130</v>
      </c>
      <c r="Y1210" s="10" t="s">
        <v>130</v>
      </c>
      <c r="Z1210" s="10" t="s">
        <v>99</v>
      </c>
      <c r="AA1210" s="10" t="s">
        <v>131</v>
      </c>
      <c r="AB1210" s="10" t="s">
        <v>3220</v>
      </c>
      <c r="AC1210" s="10" t="s">
        <v>3221</v>
      </c>
      <c r="AD1210" s="10" t="s">
        <v>9615</v>
      </c>
      <c r="AE1210" s="10" t="s">
        <v>9616</v>
      </c>
      <c r="AF1210" s="15"/>
      <c r="AG1210" s="10"/>
      <c r="AH1210" s="10"/>
      <c r="AI1210" s="10"/>
      <c r="AJ1210" s="10"/>
      <c r="AK1210" s="10" t="s">
        <v>102</v>
      </c>
      <c r="AL1210" s="10" t="s">
        <v>195</v>
      </c>
      <c r="AM1210" s="10"/>
      <c r="AN1210" s="10"/>
      <c r="AO1210" s="13" t="b">
        <v>0</v>
      </c>
      <c r="AP1210" s="10" t="s">
        <v>104</v>
      </c>
      <c r="AQ1210" s="10">
        <f ca="1">IFERROR(__xludf.DUMMYFUNCTION("""COMPUTED_VALUE"""),4666174)</f>
        <v>4666174</v>
      </c>
      <c r="AR1210" s="17">
        <v>9082</v>
      </c>
      <c r="AS1210" s="17">
        <v>7398</v>
      </c>
      <c r="AT1210" s="17">
        <v>37279.25</v>
      </c>
      <c r="AU1210" s="17">
        <v>28.5</v>
      </c>
      <c r="AV1210" s="17">
        <v>3.7</v>
      </c>
      <c r="AW1210" s="10" t="s">
        <v>105</v>
      </c>
      <c r="AX1210" s="17">
        <v>1409</v>
      </c>
      <c r="AY1210" s="18">
        <v>5.0390984049743173</v>
      </c>
      <c r="AZ1210" s="10" t="s">
        <v>117</v>
      </c>
      <c r="BA1210" s="20" t="b">
        <v>0</v>
      </c>
      <c r="BB1210" s="10"/>
      <c r="BC1210" s="17">
        <v>9082</v>
      </c>
      <c r="BD1210" s="17">
        <v>7398</v>
      </c>
      <c r="BE1210" s="17">
        <v>37279.25</v>
      </c>
      <c r="BF1210" s="17">
        <v>3.7</v>
      </c>
      <c r="BG1210" s="11">
        <f ca="1">IFERROR(__xludf.DUMMYFUNCTION("""COMPUTED_VALUE"""),45955.8333333333)</f>
        <v>45955.833333333299</v>
      </c>
      <c r="BH1210" s="17" t="s">
        <v>105</v>
      </c>
      <c r="BI1210" s="17"/>
      <c r="BJ1210" s="15"/>
      <c r="BK1210" s="15"/>
      <c r="BL1210" s="13" t="b">
        <v>0</v>
      </c>
      <c r="BM1210" s="10"/>
      <c r="BN1210" s="10" t="s">
        <v>117</v>
      </c>
      <c r="BO1210" s="11">
        <v>45904.284594907411</v>
      </c>
      <c r="BP1210" s="11">
        <v>45931.464490740742</v>
      </c>
      <c r="BQ1210" s="15">
        <v>45952.777037037034</v>
      </c>
      <c r="BR1210" s="15">
        <v>45953.050891203704</v>
      </c>
      <c r="BS1210" s="10"/>
      <c r="BT1210" s="10"/>
      <c r="BU1210" s="10"/>
      <c r="BV1210" s="10"/>
      <c r="BW1210" s="10"/>
      <c r="BX1210" s="10"/>
      <c r="BY1210" s="23"/>
      <c r="BZ1210" s="23"/>
      <c r="CA1210" s="19" t="s">
        <v>9617</v>
      </c>
      <c r="CB1210" s="19" t="s">
        <v>9618</v>
      </c>
      <c r="CC1210" s="23"/>
      <c r="CD1210" s="23"/>
      <c r="CE1210" s="23"/>
      <c r="CF1210" s="23"/>
      <c r="CG1210" s="23"/>
      <c r="CH1210" s="23"/>
      <c r="CI1210" s="23"/>
    </row>
    <row r="1211" spans="1:87" x14ac:dyDescent="0.3">
      <c r="A1211" s="9" t="s">
        <v>9619</v>
      </c>
      <c r="B1211" s="10" t="s">
        <v>9620</v>
      </c>
      <c r="C1211" s="11">
        <v>45956.875</v>
      </c>
      <c r="D1211" s="12">
        <v>8.3333333333333329E-2</v>
      </c>
      <c r="E1211" s="11">
        <v>45956.958333333336</v>
      </c>
      <c r="F1211" s="10" t="s">
        <v>3211</v>
      </c>
      <c r="G1211" s="13" t="b">
        <v>0</v>
      </c>
      <c r="H1211" s="10" t="s">
        <v>3212</v>
      </c>
      <c r="I1211" s="10" t="s">
        <v>3213</v>
      </c>
      <c r="J1211" s="13" t="b">
        <v>0</v>
      </c>
      <c r="K1211" s="13" t="b">
        <v>1</v>
      </c>
      <c r="L1211" s="10" t="s">
        <v>124</v>
      </c>
      <c r="M1211" s="10" t="s">
        <v>91</v>
      </c>
      <c r="N1211" s="10" t="s">
        <v>92</v>
      </c>
      <c r="O1211" s="19" t="s">
        <v>9621</v>
      </c>
      <c r="P1211" s="10" t="s">
        <v>3478</v>
      </c>
      <c r="Q1211" s="10" t="s">
        <v>94</v>
      </c>
      <c r="R1211" s="10"/>
      <c r="S1211" s="19" t="s">
        <v>9622</v>
      </c>
      <c r="T1211" s="19" t="s">
        <v>9538</v>
      </c>
      <c r="U1211" s="10" t="s">
        <v>3270</v>
      </c>
      <c r="V1211" s="10" t="s">
        <v>3239</v>
      </c>
      <c r="W1211" s="10" t="s">
        <v>3219</v>
      </c>
      <c r="X1211" s="10" t="s">
        <v>130</v>
      </c>
      <c r="Y1211" s="10" t="s">
        <v>130</v>
      </c>
      <c r="Z1211" s="10" t="s">
        <v>99</v>
      </c>
      <c r="AA1211" s="10" t="s">
        <v>131</v>
      </c>
      <c r="AB1211" s="10" t="s">
        <v>3220</v>
      </c>
      <c r="AC1211" s="10" t="s">
        <v>3221</v>
      </c>
      <c r="AD1211" s="10" t="s">
        <v>9623</v>
      </c>
      <c r="AE1211" s="10" t="s">
        <v>9624</v>
      </c>
      <c r="AF1211" s="15"/>
      <c r="AG1211" s="10"/>
      <c r="AH1211" s="10"/>
      <c r="AI1211" s="10"/>
      <c r="AJ1211" s="10"/>
      <c r="AK1211" s="10" t="s">
        <v>102</v>
      </c>
      <c r="AL1211" s="10" t="s">
        <v>195</v>
      </c>
      <c r="AM1211" s="10"/>
      <c r="AN1211" s="10"/>
      <c r="AO1211" s="13" t="b">
        <v>0</v>
      </c>
      <c r="AP1211" s="10" t="s">
        <v>104</v>
      </c>
      <c r="AQ1211" s="10">
        <f ca="1">IFERROR(__xludf.DUMMYFUNCTION("""COMPUTED_VALUE"""),4667523)</f>
        <v>4667523</v>
      </c>
      <c r="AR1211" s="17">
        <v>5890</v>
      </c>
      <c r="AS1211" s="17">
        <v>5221</v>
      </c>
      <c r="AT1211" s="17">
        <v>8977</v>
      </c>
      <c r="AU1211" s="17">
        <v>4.9000000000000004</v>
      </c>
      <c r="AV1211" s="17">
        <v>3.45</v>
      </c>
      <c r="AW1211" s="10" t="s">
        <v>105</v>
      </c>
      <c r="AX1211" s="17">
        <v>634</v>
      </c>
      <c r="AY1211" s="18">
        <v>1.7194024133307795</v>
      </c>
      <c r="AZ1211" s="10" t="s">
        <v>117</v>
      </c>
      <c r="BA1211" s="20" t="b">
        <v>0</v>
      </c>
      <c r="BB1211" s="10"/>
      <c r="BC1211" s="17">
        <v>5890</v>
      </c>
      <c r="BD1211" s="17">
        <v>5221</v>
      </c>
      <c r="BE1211" s="17">
        <v>8977</v>
      </c>
      <c r="BF1211" s="17">
        <v>3.45</v>
      </c>
      <c r="BG1211" s="11">
        <f ca="1">IFERROR(__xludf.DUMMYFUNCTION("""COMPUTED_VALUE"""),45956.875)</f>
        <v>45956.875</v>
      </c>
      <c r="BH1211" s="17" t="s">
        <v>105</v>
      </c>
      <c r="BI1211" s="17"/>
      <c r="BJ1211" s="15"/>
      <c r="BK1211" s="15"/>
      <c r="BL1211" s="13" t="b">
        <v>0</v>
      </c>
      <c r="BM1211" s="10"/>
      <c r="BN1211" s="10" t="s">
        <v>117</v>
      </c>
      <c r="BO1211" s="11">
        <v>45904.284594907411</v>
      </c>
      <c r="BP1211" s="11">
        <v>45931.465370370373</v>
      </c>
      <c r="BQ1211" s="15">
        <v>45952.778194444443</v>
      </c>
      <c r="BR1211" s="15">
        <v>45953.68986111111</v>
      </c>
      <c r="BS1211" s="10"/>
      <c r="BT1211" s="10"/>
      <c r="BU1211" s="10"/>
      <c r="BV1211" s="10"/>
      <c r="BW1211" s="10"/>
      <c r="BX1211" s="10"/>
      <c r="BY1211" s="23"/>
      <c r="BZ1211" s="23"/>
      <c r="CA1211" s="19" t="s">
        <v>9625</v>
      </c>
      <c r="CB1211" s="19" t="s">
        <v>9626</v>
      </c>
      <c r="CC1211" s="23"/>
      <c r="CD1211" s="23"/>
      <c r="CE1211" s="23"/>
      <c r="CF1211" s="23"/>
      <c r="CG1211" s="23"/>
      <c r="CH1211" s="23"/>
      <c r="CI1211" s="23"/>
    </row>
    <row r="1212" spans="1:87" x14ac:dyDescent="0.3">
      <c r="A1212" s="9" t="s">
        <v>9627</v>
      </c>
      <c r="B1212" s="10" t="s">
        <v>9628</v>
      </c>
      <c r="C1212" s="11">
        <v>45959.114583333336</v>
      </c>
      <c r="D1212" s="12">
        <v>8.3333333333333329E-2</v>
      </c>
      <c r="E1212" s="11">
        <v>45959.197916666664</v>
      </c>
      <c r="F1212" s="10" t="s">
        <v>3211</v>
      </c>
      <c r="G1212" s="13" t="b">
        <v>0</v>
      </c>
      <c r="H1212" s="10" t="s">
        <v>3212</v>
      </c>
      <c r="I1212" s="10" t="s">
        <v>3213</v>
      </c>
      <c r="J1212" s="13" t="b">
        <v>0</v>
      </c>
      <c r="K1212" s="13" t="b">
        <v>1</v>
      </c>
      <c r="L1212" s="10" t="s">
        <v>124</v>
      </c>
      <c r="M1212" s="10" t="s">
        <v>91</v>
      </c>
      <c r="N1212" s="10" t="s">
        <v>92</v>
      </c>
      <c r="O1212" s="19" t="s">
        <v>9629</v>
      </c>
      <c r="P1212" s="10" t="s">
        <v>3215</v>
      </c>
      <c r="Q1212" s="10" t="s">
        <v>126</v>
      </c>
      <c r="R1212" s="10"/>
      <c r="S1212" s="19" t="s">
        <v>9630</v>
      </c>
      <c r="T1212" s="19" t="s">
        <v>9631</v>
      </c>
      <c r="U1212" s="10" t="s">
        <v>3308</v>
      </c>
      <c r="V1212" s="10" t="s">
        <v>3289</v>
      </c>
      <c r="W1212" s="10" t="s">
        <v>3219</v>
      </c>
      <c r="X1212" s="10" t="s">
        <v>130</v>
      </c>
      <c r="Y1212" s="10" t="s">
        <v>130</v>
      </c>
      <c r="Z1212" s="10" t="s">
        <v>99</v>
      </c>
      <c r="AA1212" s="10" t="s">
        <v>131</v>
      </c>
      <c r="AB1212" s="10" t="s">
        <v>3220</v>
      </c>
      <c r="AC1212" s="10" t="s">
        <v>3221</v>
      </c>
      <c r="AD1212" s="10" t="s">
        <v>9632</v>
      </c>
      <c r="AE1212" s="10" t="s">
        <v>9633</v>
      </c>
      <c r="AF1212" s="15"/>
      <c r="AG1212" s="10"/>
      <c r="AH1212" s="10"/>
      <c r="AI1212" s="10"/>
      <c r="AJ1212" s="10"/>
      <c r="AK1212" s="10" t="s">
        <v>102</v>
      </c>
      <c r="AL1212" s="10" t="s">
        <v>205</v>
      </c>
      <c r="AM1212" s="10"/>
      <c r="AN1212" s="10"/>
      <c r="AO1212" s="13" t="b">
        <v>1</v>
      </c>
      <c r="AP1212" s="10" t="s">
        <v>104</v>
      </c>
      <c r="AQ1212" s="10">
        <f ca="1">IFERROR(__xludf.DUMMYFUNCTION("""COMPUTED_VALUE"""),4674565)</f>
        <v>4674565</v>
      </c>
      <c r="AR1212" s="17">
        <v>29410</v>
      </c>
      <c r="AS1212" s="17">
        <v>19815</v>
      </c>
      <c r="AT1212" s="17">
        <v>916624.75</v>
      </c>
      <c r="AU1212" s="17">
        <v>473.9</v>
      </c>
      <c r="AV1212" s="17">
        <v>38.75</v>
      </c>
      <c r="AW1212" s="10" t="s">
        <v>105</v>
      </c>
      <c r="AX1212" s="17">
        <v>10547</v>
      </c>
      <c r="AY1212" s="18">
        <v>46.259134494070146</v>
      </c>
      <c r="AZ1212" s="10" t="s">
        <v>117</v>
      </c>
      <c r="BA1212" s="20" t="b">
        <v>0</v>
      </c>
      <c r="BB1212" s="10"/>
      <c r="BC1212" s="17">
        <v>29410</v>
      </c>
      <c r="BD1212" s="17">
        <v>19815</v>
      </c>
      <c r="BE1212" s="17">
        <v>916624.75</v>
      </c>
      <c r="BF1212" s="17">
        <v>38.75</v>
      </c>
      <c r="BG1212" s="11">
        <f ca="1">IFERROR(__xludf.DUMMYFUNCTION("""COMPUTED_VALUE"""),45959.1145833333)</f>
        <v>45959.114583333299</v>
      </c>
      <c r="BH1212" s="17" t="s">
        <v>105</v>
      </c>
      <c r="BI1212" s="17"/>
      <c r="BJ1212" s="15"/>
      <c r="BK1212" s="15"/>
      <c r="BL1212" s="13" t="b">
        <v>0</v>
      </c>
      <c r="BM1212" s="10"/>
      <c r="BN1212" s="10" t="s">
        <v>1057</v>
      </c>
      <c r="BO1212" s="11">
        <v>45904.28402777778</v>
      </c>
      <c r="BP1212" s="11">
        <v>45931.604479166665</v>
      </c>
      <c r="BQ1212" s="15">
        <v>45958.500844907408</v>
      </c>
      <c r="BR1212" s="15">
        <v>45958.506030092591</v>
      </c>
      <c r="BS1212" s="10"/>
      <c r="BT1212" s="10" t="s">
        <v>279</v>
      </c>
      <c r="BU1212" s="10" t="s">
        <v>9634</v>
      </c>
      <c r="BV1212" s="10" t="s">
        <v>281</v>
      </c>
      <c r="BW1212" s="10" t="s">
        <v>9466</v>
      </c>
      <c r="BX1212" s="19" t="s">
        <v>9635</v>
      </c>
      <c r="BY1212" s="23"/>
      <c r="BZ1212" s="23"/>
      <c r="CA1212" s="19" t="s">
        <v>9636</v>
      </c>
      <c r="CB1212" s="19" t="s">
        <v>9637</v>
      </c>
      <c r="CC1212" s="23"/>
      <c r="CD1212" s="19" t="s">
        <v>9638</v>
      </c>
      <c r="CE1212" s="23"/>
      <c r="CF1212" s="23"/>
      <c r="CG1212" s="23"/>
      <c r="CH1212" s="23"/>
      <c r="CI1212" s="23"/>
    </row>
    <row r="1213" spans="1:87" x14ac:dyDescent="0.3">
      <c r="A1213" s="9" t="s">
        <v>9639</v>
      </c>
      <c r="B1213" s="10" t="s">
        <v>9640</v>
      </c>
      <c r="C1213" s="11">
        <v>45960.114583333336</v>
      </c>
      <c r="D1213" s="12">
        <v>8.3333333333333329E-2</v>
      </c>
      <c r="E1213" s="11">
        <v>45960.197916666664</v>
      </c>
      <c r="F1213" s="10" t="s">
        <v>3211</v>
      </c>
      <c r="G1213" s="13" t="b">
        <v>0</v>
      </c>
      <c r="H1213" s="10" t="s">
        <v>3212</v>
      </c>
      <c r="I1213" s="10" t="s">
        <v>3213</v>
      </c>
      <c r="J1213" s="13" t="b">
        <v>0</v>
      </c>
      <c r="K1213" s="13" t="b">
        <v>1</v>
      </c>
      <c r="L1213" s="10" t="s">
        <v>124</v>
      </c>
      <c r="M1213" s="10" t="s">
        <v>91</v>
      </c>
      <c r="N1213" s="10" t="s">
        <v>92</v>
      </c>
      <c r="O1213" s="19" t="s">
        <v>9641</v>
      </c>
      <c r="P1213" s="10" t="s">
        <v>88</v>
      </c>
      <c r="Q1213" s="10" t="s">
        <v>94</v>
      </c>
      <c r="R1213" s="10"/>
      <c r="S1213" s="19" t="s">
        <v>9642</v>
      </c>
      <c r="T1213" s="19" t="s">
        <v>9631</v>
      </c>
      <c r="U1213" s="10" t="s">
        <v>3230</v>
      </c>
      <c r="V1213" s="10" t="s">
        <v>3279</v>
      </c>
      <c r="W1213" s="10" t="s">
        <v>3219</v>
      </c>
      <c r="X1213" s="10" t="s">
        <v>130</v>
      </c>
      <c r="Y1213" s="10" t="s">
        <v>130</v>
      </c>
      <c r="Z1213" s="10" t="s">
        <v>99</v>
      </c>
      <c r="AA1213" s="10" t="s">
        <v>131</v>
      </c>
      <c r="AB1213" s="10" t="s">
        <v>3220</v>
      </c>
      <c r="AC1213" s="10" t="s">
        <v>3221</v>
      </c>
      <c r="AD1213" s="10" t="s">
        <v>9643</v>
      </c>
      <c r="AE1213" s="10" t="s">
        <v>9644</v>
      </c>
      <c r="AF1213" s="15"/>
      <c r="AG1213" s="10"/>
      <c r="AH1213" s="10"/>
      <c r="AI1213" s="10"/>
      <c r="AJ1213" s="10"/>
      <c r="AK1213" s="10" t="s">
        <v>102</v>
      </c>
      <c r="AL1213" s="10" t="s">
        <v>205</v>
      </c>
      <c r="AM1213" s="10"/>
      <c r="AN1213" s="10"/>
      <c r="AO1213" s="13" t="b">
        <v>0</v>
      </c>
      <c r="AP1213" s="10" t="s">
        <v>104</v>
      </c>
      <c r="AQ1213" s="10">
        <f ca="1">IFERROR(__xludf.DUMMYFUNCTION("""COMPUTED_VALUE"""),4674572)</f>
        <v>4674572</v>
      </c>
      <c r="AR1213" s="17">
        <v>3171</v>
      </c>
      <c r="AS1213" s="17">
        <v>2298</v>
      </c>
      <c r="AT1213" s="17">
        <v>17593.75</v>
      </c>
      <c r="AU1213" s="17">
        <v>2.7</v>
      </c>
      <c r="AV1213" s="17">
        <v>0</v>
      </c>
      <c r="AW1213" s="10" t="s">
        <v>105</v>
      </c>
      <c r="AX1213" s="17">
        <v>3179</v>
      </c>
      <c r="AY1213" s="18">
        <v>7.6561140121845082</v>
      </c>
      <c r="AZ1213" s="10" t="s">
        <v>117</v>
      </c>
      <c r="BA1213" s="20" t="b">
        <v>0</v>
      </c>
      <c r="BB1213" s="10"/>
      <c r="BC1213" s="17">
        <v>3171</v>
      </c>
      <c r="BD1213" s="17">
        <v>2298</v>
      </c>
      <c r="BE1213" s="17">
        <v>17593.75</v>
      </c>
      <c r="BF1213" s="17">
        <v>0</v>
      </c>
      <c r="BG1213" s="11">
        <f ca="1">IFERROR(__xludf.DUMMYFUNCTION("""COMPUTED_VALUE"""),45960.1145833333)</f>
        <v>45960.114583333299</v>
      </c>
      <c r="BH1213" s="17" t="s">
        <v>105</v>
      </c>
      <c r="BI1213" s="17"/>
      <c r="BJ1213" s="15"/>
      <c r="BK1213" s="15"/>
      <c r="BL1213" s="13" t="b">
        <v>0</v>
      </c>
      <c r="BM1213" s="10"/>
      <c r="BN1213" s="10" t="s">
        <v>117</v>
      </c>
      <c r="BO1213" s="11">
        <v>45904.28402777778</v>
      </c>
      <c r="BP1213" s="11">
        <v>45931.605312500003</v>
      </c>
      <c r="BQ1213" s="15">
        <v>45958.501469907409</v>
      </c>
      <c r="BR1213" s="15">
        <v>45958.511053240742</v>
      </c>
      <c r="BS1213" s="10"/>
      <c r="BT1213" s="10"/>
      <c r="BU1213" s="10"/>
      <c r="BV1213" s="10"/>
      <c r="BW1213" s="10"/>
      <c r="BX1213" s="10"/>
      <c r="BY1213" s="23"/>
      <c r="BZ1213" s="23"/>
      <c r="CA1213" s="19" t="s">
        <v>9645</v>
      </c>
      <c r="CB1213" s="19" t="s">
        <v>9646</v>
      </c>
      <c r="CC1213" s="23"/>
      <c r="CD1213" s="23"/>
      <c r="CE1213" s="23"/>
      <c r="CF1213" s="23"/>
      <c r="CG1213" s="23"/>
      <c r="CH1213" s="23"/>
      <c r="CI1213" s="23"/>
    </row>
    <row r="1214" spans="1:87" x14ac:dyDescent="0.3">
      <c r="A1214" s="9" t="s">
        <v>9647</v>
      </c>
      <c r="B1214" s="10" t="s">
        <v>9648</v>
      </c>
      <c r="C1214" s="11">
        <v>45961.020833333336</v>
      </c>
      <c r="D1214" s="12">
        <v>8.3333333333333329E-2</v>
      </c>
      <c r="E1214" s="11">
        <v>45961.104166666664</v>
      </c>
      <c r="F1214" s="10" t="s">
        <v>3211</v>
      </c>
      <c r="G1214" s="13" t="b">
        <v>0</v>
      </c>
      <c r="H1214" s="10" t="s">
        <v>3212</v>
      </c>
      <c r="I1214" s="10" t="s">
        <v>3213</v>
      </c>
      <c r="J1214" s="13" t="b">
        <v>0</v>
      </c>
      <c r="K1214" s="13" t="b">
        <v>1</v>
      </c>
      <c r="L1214" s="10" t="s">
        <v>124</v>
      </c>
      <c r="M1214" s="10" t="s">
        <v>91</v>
      </c>
      <c r="N1214" s="10" t="s">
        <v>92</v>
      </c>
      <c r="O1214" s="19" t="s">
        <v>9649</v>
      </c>
      <c r="P1214" s="10" t="s">
        <v>3215</v>
      </c>
      <c r="Q1214" s="10" t="s">
        <v>126</v>
      </c>
      <c r="R1214" s="10"/>
      <c r="S1214" s="19" t="s">
        <v>9650</v>
      </c>
      <c r="T1214" s="19" t="s">
        <v>9631</v>
      </c>
      <c r="U1214" s="10" t="s">
        <v>3239</v>
      </c>
      <c r="V1214" s="10" t="s">
        <v>3429</v>
      </c>
      <c r="W1214" s="10" t="s">
        <v>3219</v>
      </c>
      <c r="X1214" s="10" t="s">
        <v>130</v>
      </c>
      <c r="Y1214" s="10" t="s">
        <v>130</v>
      </c>
      <c r="Z1214" s="10" t="s">
        <v>99</v>
      </c>
      <c r="AA1214" s="10" t="s">
        <v>131</v>
      </c>
      <c r="AB1214" s="10" t="s">
        <v>3220</v>
      </c>
      <c r="AC1214" s="10" t="s">
        <v>3221</v>
      </c>
      <c r="AD1214" s="10" t="s">
        <v>9651</v>
      </c>
      <c r="AE1214" s="10" t="s">
        <v>9652</v>
      </c>
      <c r="AF1214" s="15"/>
      <c r="AG1214" s="10"/>
      <c r="AH1214" s="10"/>
      <c r="AI1214" s="10"/>
      <c r="AJ1214" s="10"/>
      <c r="AK1214" s="10" t="s">
        <v>102</v>
      </c>
      <c r="AL1214" s="10" t="s">
        <v>205</v>
      </c>
      <c r="AM1214" s="10"/>
      <c r="AN1214" s="10"/>
      <c r="AO1214" s="13" t="b">
        <v>1</v>
      </c>
      <c r="AP1214" s="10" t="s">
        <v>104</v>
      </c>
      <c r="AQ1214" s="10">
        <f ca="1">IFERROR(__xludf.DUMMYFUNCTION("""COMPUTED_VALUE"""),4674569)</f>
        <v>4674569</v>
      </c>
      <c r="AR1214" s="17">
        <v>16878</v>
      </c>
      <c r="AS1214" s="17">
        <v>13192</v>
      </c>
      <c r="AT1214" s="17">
        <v>514339.5</v>
      </c>
      <c r="AU1214" s="17">
        <v>96</v>
      </c>
      <c r="AV1214" s="17">
        <v>16.100000000000001</v>
      </c>
      <c r="AW1214" s="10" t="s">
        <v>105</v>
      </c>
      <c r="AX1214" s="17">
        <v>3536</v>
      </c>
      <c r="AY1214" s="18">
        <v>38.988743177683446</v>
      </c>
      <c r="AZ1214" s="10" t="s">
        <v>117</v>
      </c>
      <c r="BA1214" s="20" t="b">
        <v>0</v>
      </c>
      <c r="BB1214" s="10"/>
      <c r="BC1214" s="17">
        <v>16878</v>
      </c>
      <c r="BD1214" s="17">
        <v>13192</v>
      </c>
      <c r="BE1214" s="17">
        <v>514339.5</v>
      </c>
      <c r="BF1214" s="17">
        <v>16.100000000000001</v>
      </c>
      <c r="BG1214" s="11">
        <f ca="1">IFERROR(__xludf.DUMMYFUNCTION("""COMPUTED_VALUE"""),45961.0208333333)</f>
        <v>45961.020833333299</v>
      </c>
      <c r="BH1214" s="17" t="s">
        <v>105</v>
      </c>
      <c r="BI1214" s="17"/>
      <c r="BJ1214" s="15"/>
      <c r="BK1214" s="15"/>
      <c r="BL1214" s="13" t="b">
        <v>0</v>
      </c>
      <c r="BM1214" s="10"/>
      <c r="BN1214" s="10" t="s">
        <v>278</v>
      </c>
      <c r="BO1214" s="11">
        <v>45904.28402777778</v>
      </c>
      <c r="BP1214" s="11">
        <v>45931.606122685182</v>
      </c>
      <c r="BQ1214" s="15">
        <v>45958.501944444448</v>
      </c>
      <c r="BR1214" s="15">
        <v>45958.51053240741</v>
      </c>
      <c r="BS1214" s="10" t="s">
        <v>278</v>
      </c>
      <c r="BT1214" s="10" t="s">
        <v>279</v>
      </c>
      <c r="BU1214" s="10" t="s">
        <v>280</v>
      </c>
      <c r="BV1214" s="10"/>
      <c r="BW1214" s="10"/>
      <c r="BX1214" s="10"/>
      <c r="BY1214" s="23"/>
      <c r="BZ1214" s="23"/>
      <c r="CA1214" s="19" t="s">
        <v>9653</v>
      </c>
      <c r="CB1214" s="19" t="s">
        <v>9654</v>
      </c>
      <c r="CC1214" s="23"/>
      <c r="CD1214" s="19" t="s">
        <v>9655</v>
      </c>
      <c r="CE1214" s="23"/>
      <c r="CF1214" s="23"/>
      <c r="CG1214" s="23"/>
      <c r="CH1214" s="23"/>
      <c r="CI1214" s="23"/>
    </row>
    <row r="1215" spans="1:87" x14ac:dyDescent="0.3">
      <c r="A1215" s="9" t="s">
        <v>9656</v>
      </c>
      <c r="B1215" s="10" t="s">
        <v>9657</v>
      </c>
      <c r="C1215" s="11">
        <v>45960.020833333336</v>
      </c>
      <c r="D1215" s="12">
        <v>8.3333333333333329E-2</v>
      </c>
      <c r="E1215" s="11">
        <v>45960.104166666664</v>
      </c>
      <c r="F1215" s="10" t="s">
        <v>3211</v>
      </c>
      <c r="G1215" s="13" t="b">
        <v>0</v>
      </c>
      <c r="H1215" s="10" t="s">
        <v>3212</v>
      </c>
      <c r="I1215" s="10" t="s">
        <v>3213</v>
      </c>
      <c r="J1215" s="13" t="b">
        <v>0</v>
      </c>
      <c r="K1215" s="13" t="b">
        <v>1</v>
      </c>
      <c r="L1215" s="10" t="s">
        <v>124</v>
      </c>
      <c r="M1215" s="10" t="s">
        <v>91</v>
      </c>
      <c r="N1215" s="10" t="s">
        <v>92</v>
      </c>
      <c r="O1215" s="19" t="s">
        <v>9658</v>
      </c>
      <c r="P1215" s="10" t="s">
        <v>3478</v>
      </c>
      <c r="Q1215" s="10" t="s">
        <v>94</v>
      </c>
      <c r="R1215" s="10"/>
      <c r="S1215" s="19" t="s">
        <v>9659</v>
      </c>
      <c r="T1215" s="19" t="s">
        <v>9631</v>
      </c>
      <c r="U1215" s="10" t="s">
        <v>3249</v>
      </c>
      <c r="V1215" s="10" t="s">
        <v>3270</v>
      </c>
      <c r="W1215" s="10" t="s">
        <v>3219</v>
      </c>
      <c r="X1215" s="10" t="s">
        <v>130</v>
      </c>
      <c r="Y1215" s="10" t="s">
        <v>130</v>
      </c>
      <c r="Z1215" s="10" t="s">
        <v>99</v>
      </c>
      <c r="AA1215" s="10" t="s">
        <v>131</v>
      </c>
      <c r="AB1215" s="10" t="s">
        <v>3220</v>
      </c>
      <c r="AC1215" s="10" t="s">
        <v>3221</v>
      </c>
      <c r="AD1215" s="10" t="s">
        <v>9660</v>
      </c>
      <c r="AE1215" s="10" t="s">
        <v>9661</v>
      </c>
      <c r="AF1215" s="15"/>
      <c r="AG1215" s="10"/>
      <c r="AH1215" s="10"/>
      <c r="AI1215" s="10"/>
      <c r="AJ1215" s="10"/>
      <c r="AK1215" s="10" t="s">
        <v>102</v>
      </c>
      <c r="AL1215" s="10" t="s">
        <v>205</v>
      </c>
      <c r="AM1215" s="10"/>
      <c r="AN1215" s="10"/>
      <c r="AO1215" s="13" t="b">
        <v>0</v>
      </c>
      <c r="AP1215" s="10" t="s">
        <v>104</v>
      </c>
      <c r="AQ1215" s="10">
        <f ca="1">IFERROR(__xludf.DUMMYFUNCTION("""COMPUTED_VALUE"""),4674573)</f>
        <v>4674573</v>
      </c>
      <c r="AR1215" s="17">
        <v>6738</v>
      </c>
      <c r="AS1215" s="17">
        <v>4611</v>
      </c>
      <c r="AT1215" s="17">
        <v>81145.25</v>
      </c>
      <c r="AU1215" s="17">
        <v>18.600000000000001</v>
      </c>
      <c r="AV1215" s="17">
        <v>1.5</v>
      </c>
      <c r="AW1215" s="10" t="s">
        <v>105</v>
      </c>
      <c r="AX1215" s="17">
        <v>1264</v>
      </c>
      <c r="AY1215" s="18">
        <v>17.598189112990674</v>
      </c>
      <c r="AZ1215" s="10" t="s">
        <v>117</v>
      </c>
      <c r="BA1215" s="20" t="b">
        <v>0</v>
      </c>
      <c r="BB1215" s="10"/>
      <c r="BC1215" s="17">
        <v>6738</v>
      </c>
      <c r="BD1215" s="17">
        <v>4611</v>
      </c>
      <c r="BE1215" s="17">
        <v>81145.25</v>
      </c>
      <c r="BF1215" s="17">
        <v>1.5</v>
      </c>
      <c r="BG1215" s="11">
        <f ca="1">IFERROR(__xludf.DUMMYFUNCTION("""COMPUTED_VALUE"""),45960.0208333333)</f>
        <v>45960.020833333299</v>
      </c>
      <c r="BH1215" s="17" t="s">
        <v>105</v>
      </c>
      <c r="BI1215" s="17"/>
      <c r="BJ1215" s="15"/>
      <c r="BK1215" s="15"/>
      <c r="BL1215" s="13" t="b">
        <v>0</v>
      </c>
      <c r="BM1215" s="10"/>
      <c r="BN1215" s="10" t="s">
        <v>117</v>
      </c>
      <c r="BO1215" s="11">
        <v>45904.28402777778</v>
      </c>
      <c r="BP1215" s="11">
        <v>45931.604594907411</v>
      </c>
      <c r="BQ1215" s="15">
        <v>45958.501064814816</v>
      </c>
      <c r="BR1215" s="15">
        <v>45958.514768518522</v>
      </c>
      <c r="BS1215" s="10"/>
      <c r="BT1215" s="10"/>
      <c r="BU1215" s="10"/>
      <c r="BV1215" s="10"/>
      <c r="BW1215" s="10"/>
      <c r="BX1215" s="10"/>
      <c r="BY1215" s="23"/>
      <c r="BZ1215" s="23"/>
      <c r="CA1215" s="19" t="s">
        <v>9662</v>
      </c>
      <c r="CB1215" s="19" t="s">
        <v>9663</v>
      </c>
      <c r="CC1215" s="23"/>
      <c r="CD1215" s="23"/>
      <c r="CE1215" s="23"/>
      <c r="CF1215" s="23"/>
      <c r="CG1215" s="23"/>
      <c r="CH1215" s="23"/>
      <c r="CI1215" s="23"/>
    </row>
    <row r="1216" spans="1:87" x14ac:dyDescent="0.3">
      <c r="A1216" s="9" t="s">
        <v>9664</v>
      </c>
      <c r="B1216" s="10" t="s">
        <v>9665</v>
      </c>
      <c r="C1216" s="11">
        <v>45960.114583333336</v>
      </c>
      <c r="D1216" s="12">
        <v>8.3333333333333329E-2</v>
      </c>
      <c r="E1216" s="11">
        <v>45960.197916666664</v>
      </c>
      <c r="F1216" s="10" t="s">
        <v>3211</v>
      </c>
      <c r="G1216" s="13" t="b">
        <v>0</v>
      </c>
      <c r="H1216" s="10" t="s">
        <v>3212</v>
      </c>
      <c r="I1216" s="10" t="s">
        <v>3213</v>
      </c>
      <c r="J1216" s="13" t="b">
        <v>0</v>
      </c>
      <c r="K1216" s="13" t="b">
        <v>1</v>
      </c>
      <c r="L1216" s="10" t="s">
        <v>124</v>
      </c>
      <c r="M1216" s="10" t="s">
        <v>91</v>
      </c>
      <c r="N1216" s="10" t="s">
        <v>92</v>
      </c>
      <c r="O1216" s="19" t="s">
        <v>9666</v>
      </c>
      <c r="P1216" s="10"/>
      <c r="Q1216" s="10" t="s">
        <v>126</v>
      </c>
      <c r="R1216" s="10"/>
      <c r="S1216" s="19" t="s">
        <v>9667</v>
      </c>
      <c r="T1216" s="19" t="s">
        <v>9631</v>
      </c>
      <c r="U1216" s="10" t="s">
        <v>3217</v>
      </c>
      <c r="V1216" s="10" t="s">
        <v>3440</v>
      </c>
      <c r="W1216" s="10" t="s">
        <v>3219</v>
      </c>
      <c r="X1216" s="10" t="s">
        <v>130</v>
      </c>
      <c r="Y1216" s="10" t="s">
        <v>130</v>
      </c>
      <c r="Z1216" s="10" t="s">
        <v>99</v>
      </c>
      <c r="AA1216" s="10" t="s">
        <v>131</v>
      </c>
      <c r="AB1216" s="10" t="s">
        <v>3220</v>
      </c>
      <c r="AC1216" s="10" t="s">
        <v>3221</v>
      </c>
      <c r="AD1216" s="10" t="s">
        <v>9668</v>
      </c>
      <c r="AE1216" s="10" t="s">
        <v>9669</v>
      </c>
      <c r="AF1216" s="15"/>
      <c r="AG1216" s="10"/>
      <c r="AH1216" s="10"/>
      <c r="AI1216" s="10"/>
      <c r="AJ1216" s="10"/>
      <c r="AK1216" s="10" t="s">
        <v>102</v>
      </c>
      <c r="AL1216" s="10" t="s">
        <v>205</v>
      </c>
      <c r="AM1216" s="10"/>
      <c r="AN1216" s="10"/>
      <c r="AO1216" s="13" t="b">
        <v>1</v>
      </c>
      <c r="AP1216" s="10" t="s">
        <v>104</v>
      </c>
      <c r="AQ1216" s="10">
        <f ca="1">IFERROR(__xludf.DUMMYFUNCTION("""COMPUTED_VALUE"""),4675195)</f>
        <v>4675195</v>
      </c>
      <c r="AR1216" s="17">
        <v>4134</v>
      </c>
      <c r="AS1216" s="17">
        <v>3027</v>
      </c>
      <c r="AT1216" s="17">
        <v>33019.25</v>
      </c>
      <c r="AU1216" s="17">
        <v>11.2</v>
      </c>
      <c r="AV1216" s="17">
        <v>2.25</v>
      </c>
      <c r="AW1216" s="10" t="s">
        <v>105</v>
      </c>
      <c r="AX1216" s="17">
        <v>692</v>
      </c>
      <c r="AY1216" s="18">
        <v>10.908242484307896</v>
      </c>
      <c r="AZ1216" s="10" t="s">
        <v>117</v>
      </c>
      <c r="BA1216" s="20" t="b">
        <v>0</v>
      </c>
      <c r="BB1216" s="10"/>
      <c r="BC1216" s="17">
        <v>4134</v>
      </c>
      <c r="BD1216" s="17">
        <v>3027</v>
      </c>
      <c r="BE1216" s="17">
        <v>33019.25</v>
      </c>
      <c r="BF1216" s="17">
        <v>2.25</v>
      </c>
      <c r="BG1216" s="11">
        <f ca="1">IFERROR(__xludf.DUMMYFUNCTION("""COMPUTED_VALUE"""),45960.1145833333)</f>
        <v>45960.114583333299</v>
      </c>
      <c r="BH1216" s="17" t="s">
        <v>105</v>
      </c>
      <c r="BI1216" s="17"/>
      <c r="BJ1216" s="15"/>
      <c r="BK1216" s="15"/>
      <c r="BL1216" s="13" t="b">
        <v>0</v>
      </c>
      <c r="BM1216" s="10"/>
      <c r="BN1216" s="10" t="s">
        <v>667</v>
      </c>
      <c r="BO1216" s="11">
        <v>45904.28402777778</v>
      </c>
      <c r="BP1216" s="11">
        <v>45931.605717592596</v>
      </c>
      <c r="BQ1216" s="15">
        <v>45958.501643518517</v>
      </c>
      <c r="BR1216" s="15">
        <v>45958.709756944445</v>
      </c>
      <c r="BS1216" s="10" t="s">
        <v>667</v>
      </c>
      <c r="BT1216" s="10" t="s">
        <v>99</v>
      </c>
      <c r="BU1216" s="10" t="s">
        <v>718</v>
      </c>
      <c r="BV1216" s="10"/>
      <c r="BW1216" s="10"/>
      <c r="BX1216" s="10"/>
      <c r="BY1216" s="23"/>
      <c r="BZ1216" s="23"/>
      <c r="CA1216" s="19" t="s">
        <v>9670</v>
      </c>
      <c r="CB1216" s="19" t="s">
        <v>9671</v>
      </c>
      <c r="CC1216" s="23"/>
      <c r="CD1216" s="19" t="s">
        <v>9672</v>
      </c>
      <c r="CE1216" s="23"/>
      <c r="CF1216" s="23"/>
      <c r="CG1216" s="23"/>
      <c r="CH1216" s="23"/>
      <c r="CI1216" s="23"/>
    </row>
    <row r="1217" spans="1:87" x14ac:dyDescent="0.3">
      <c r="A1217" s="9" t="s">
        <v>9673</v>
      </c>
      <c r="B1217" s="10" t="s">
        <v>9674</v>
      </c>
      <c r="C1217" s="11">
        <v>45960.114583333336</v>
      </c>
      <c r="D1217" s="12">
        <v>8.3333333333333329E-2</v>
      </c>
      <c r="E1217" s="11">
        <v>45960.197916666664</v>
      </c>
      <c r="F1217" s="10" t="s">
        <v>3211</v>
      </c>
      <c r="G1217" s="13" t="b">
        <v>0</v>
      </c>
      <c r="H1217" s="10" t="s">
        <v>3212</v>
      </c>
      <c r="I1217" s="10" t="s">
        <v>3213</v>
      </c>
      <c r="J1217" s="13" t="b">
        <v>0</v>
      </c>
      <c r="K1217" s="13" t="b">
        <v>1</v>
      </c>
      <c r="L1217" s="10" t="s">
        <v>124</v>
      </c>
      <c r="M1217" s="10" t="s">
        <v>91</v>
      </c>
      <c r="N1217" s="10" t="s">
        <v>92</v>
      </c>
      <c r="O1217" s="19" t="s">
        <v>9675</v>
      </c>
      <c r="P1217" s="10" t="s">
        <v>3215</v>
      </c>
      <c r="Q1217" s="10" t="s">
        <v>126</v>
      </c>
      <c r="R1217" s="10"/>
      <c r="S1217" s="19" t="s">
        <v>9676</v>
      </c>
      <c r="T1217" s="19" t="s">
        <v>9631</v>
      </c>
      <c r="U1217" s="10" t="s">
        <v>3278</v>
      </c>
      <c r="V1217" s="10" t="s">
        <v>3240</v>
      </c>
      <c r="W1217" s="10" t="s">
        <v>3219</v>
      </c>
      <c r="X1217" s="10" t="s">
        <v>130</v>
      </c>
      <c r="Y1217" s="10" t="s">
        <v>130</v>
      </c>
      <c r="Z1217" s="10" t="s">
        <v>99</v>
      </c>
      <c r="AA1217" s="10" t="s">
        <v>131</v>
      </c>
      <c r="AB1217" s="10" t="s">
        <v>3220</v>
      </c>
      <c r="AC1217" s="10" t="s">
        <v>3221</v>
      </c>
      <c r="AD1217" s="10" t="s">
        <v>9677</v>
      </c>
      <c r="AE1217" s="10" t="s">
        <v>9678</v>
      </c>
      <c r="AF1217" s="15"/>
      <c r="AG1217" s="10"/>
      <c r="AH1217" s="10"/>
      <c r="AI1217" s="10"/>
      <c r="AJ1217" s="10"/>
      <c r="AK1217" s="10" t="s">
        <v>102</v>
      </c>
      <c r="AL1217" s="10" t="s">
        <v>205</v>
      </c>
      <c r="AM1217" s="10"/>
      <c r="AN1217" s="10"/>
      <c r="AO1217" s="13" t="b">
        <v>1</v>
      </c>
      <c r="AP1217" s="10" t="s">
        <v>104</v>
      </c>
      <c r="AQ1217" s="10">
        <f ca="1">IFERROR(__xludf.DUMMYFUNCTION("""COMPUTED_VALUE"""),4674567)</f>
        <v>4674567</v>
      </c>
      <c r="AR1217" s="17">
        <v>26079</v>
      </c>
      <c r="AS1217" s="17">
        <v>16694</v>
      </c>
      <c r="AT1217" s="17">
        <v>682267</v>
      </c>
      <c r="AU1217" s="17">
        <v>290</v>
      </c>
      <c r="AV1217" s="17">
        <v>13.15</v>
      </c>
      <c r="AW1217" s="10" t="s">
        <v>105</v>
      </c>
      <c r="AX1217" s="17">
        <v>8064</v>
      </c>
      <c r="AY1217" s="18">
        <v>40.868994848448544</v>
      </c>
      <c r="AZ1217" s="10" t="s">
        <v>117</v>
      </c>
      <c r="BA1217" s="20" t="b">
        <v>0</v>
      </c>
      <c r="BB1217" s="10"/>
      <c r="BC1217" s="17">
        <v>26079</v>
      </c>
      <c r="BD1217" s="17">
        <v>16694</v>
      </c>
      <c r="BE1217" s="17">
        <v>682267</v>
      </c>
      <c r="BF1217" s="17">
        <v>13.15</v>
      </c>
      <c r="BG1217" s="11">
        <f ca="1">IFERROR(__xludf.DUMMYFUNCTION("""COMPUTED_VALUE"""),45960.1145833333)</f>
        <v>45960.114583333299</v>
      </c>
      <c r="BH1217" s="17" t="s">
        <v>105</v>
      </c>
      <c r="BI1217" s="17"/>
      <c r="BJ1217" s="15"/>
      <c r="BK1217" s="15"/>
      <c r="BL1217" s="13" t="b">
        <v>0</v>
      </c>
      <c r="BM1217" s="10"/>
      <c r="BN1217" s="10" t="s">
        <v>667</v>
      </c>
      <c r="BO1217" s="11">
        <v>45904.28402777778</v>
      </c>
      <c r="BP1217" s="11">
        <v>45931.605868055558</v>
      </c>
      <c r="BQ1217" s="15">
        <v>45958.501770833333</v>
      </c>
      <c r="BR1217" s="15">
        <v>45958.510335648149</v>
      </c>
      <c r="BS1217" s="10" t="s">
        <v>667</v>
      </c>
      <c r="BT1217" s="10" t="s">
        <v>99</v>
      </c>
      <c r="BU1217" s="10" t="s">
        <v>534</v>
      </c>
      <c r="BV1217" s="10"/>
      <c r="BW1217" s="10"/>
      <c r="BX1217" s="10"/>
      <c r="BY1217" s="23"/>
      <c r="BZ1217" s="23"/>
      <c r="CA1217" s="19" t="s">
        <v>9679</v>
      </c>
      <c r="CB1217" s="19" t="s">
        <v>9680</v>
      </c>
      <c r="CC1217" s="23"/>
      <c r="CD1217" s="19" t="s">
        <v>9681</v>
      </c>
      <c r="CE1217" s="23"/>
      <c r="CF1217" s="23"/>
      <c r="CG1217" s="23"/>
      <c r="CH1217" s="23"/>
      <c r="CI1217" s="23"/>
    </row>
    <row r="1218" spans="1:87" x14ac:dyDescent="0.3">
      <c r="A1218" s="9" t="s">
        <v>9682</v>
      </c>
      <c r="B1218" s="10" t="s">
        <v>9683</v>
      </c>
      <c r="C1218" s="11">
        <v>45960.020833333336</v>
      </c>
      <c r="D1218" s="12">
        <v>8.3333333333333329E-2</v>
      </c>
      <c r="E1218" s="11">
        <v>45960.104166666664</v>
      </c>
      <c r="F1218" s="10" t="s">
        <v>3211</v>
      </c>
      <c r="G1218" s="13" t="b">
        <v>0</v>
      </c>
      <c r="H1218" s="10" t="s">
        <v>3212</v>
      </c>
      <c r="I1218" s="10" t="s">
        <v>3213</v>
      </c>
      <c r="J1218" s="13" t="b">
        <v>0</v>
      </c>
      <c r="K1218" s="13" t="b">
        <v>1</v>
      </c>
      <c r="L1218" s="10" t="s">
        <v>124</v>
      </c>
      <c r="M1218" s="10" t="s">
        <v>91</v>
      </c>
      <c r="N1218" s="10" t="s">
        <v>92</v>
      </c>
      <c r="O1218" s="19" t="s">
        <v>9684</v>
      </c>
      <c r="P1218" s="10" t="s">
        <v>3215</v>
      </c>
      <c r="Q1218" s="10" t="s">
        <v>126</v>
      </c>
      <c r="R1218" s="10"/>
      <c r="S1218" s="19" t="s">
        <v>9685</v>
      </c>
      <c r="T1218" s="19" t="s">
        <v>9631</v>
      </c>
      <c r="U1218" s="10" t="s">
        <v>3259</v>
      </c>
      <c r="V1218" s="10" t="s">
        <v>3269</v>
      </c>
      <c r="W1218" s="10" t="s">
        <v>3219</v>
      </c>
      <c r="X1218" s="10" t="s">
        <v>130</v>
      </c>
      <c r="Y1218" s="10" t="s">
        <v>130</v>
      </c>
      <c r="Z1218" s="10" t="s">
        <v>99</v>
      </c>
      <c r="AA1218" s="10" t="s">
        <v>131</v>
      </c>
      <c r="AB1218" s="10" t="s">
        <v>3220</v>
      </c>
      <c r="AC1218" s="10" t="s">
        <v>3221</v>
      </c>
      <c r="AD1218" s="10" t="s">
        <v>9686</v>
      </c>
      <c r="AE1218" s="10" t="s">
        <v>9687</v>
      </c>
      <c r="AF1218" s="15"/>
      <c r="AG1218" s="10"/>
      <c r="AH1218" s="10"/>
      <c r="AI1218" s="10"/>
      <c r="AJ1218" s="10"/>
      <c r="AK1218" s="10" t="s">
        <v>102</v>
      </c>
      <c r="AL1218" s="10" t="s">
        <v>205</v>
      </c>
      <c r="AM1218" s="10"/>
      <c r="AN1218" s="10"/>
      <c r="AO1218" s="13" t="b">
        <v>1</v>
      </c>
      <c r="AP1218" s="10" t="s">
        <v>104</v>
      </c>
      <c r="AQ1218" s="10">
        <f ca="1">IFERROR(__xludf.DUMMYFUNCTION("""COMPUTED_VALUE"""),4674566)</f>
        <v>4674566</v>
      </c>
      <c r="AR1218" s="17">
        <v>29084</v>
      </c>
      <c r="AS1218" s="17">
        <v>20070</v>
      </c>
      <c r="AT1218" s="17">
        <v>842673</v>
      </c>
      <c r="AU1218" s="17">
        <v>248</v>
      </c>
      <c r="AV1218" s="17">
        <v>27.55</v>
      </c>
      <c r="AW1218" s="10" t="s">
        <v>105</v>
      </c>
      <c r="AX1218" s="17">
        <v>7415</v>
      </c>
      <c r="AY1218" s="18">
        <v>41.986696562032883</v>
      </c>
      <c r="AZ1218" s="10" t="s">
        <v>117</v>
      </c>
      <c r="BA1218" s="20" t="b">
        <v>0</v>
      </c>
      <c r="BB1218" s="10"/>
      <c r="BC1218" s="17">
        <v>29084</v>
      </c>
      <c r="BD1218" s="17">
        <v>20070</v>
      </c>
      <c r="BE1218" s="17">
        <v>842673</v>
      </c>
      <c r="BF1218" s="17">
        <v>27.55</v>
      </c>
      <c r="BG1218" s="11">
        <f ca="1">IFERROR(__xludf.DUMMYFUNCTION("""COMPUTED_VALUE"""),45960.0208333333)</f>
        <v>45960.020833333299</v>
      </c>
      <c r="BH1218" s="17" t="s">
        <v>105</v>
      </c>
      <c r="BI1218" s="17"/>
      <c r="BJ1218" s="15"/>
      <c r="BK1218" s="15"/>
      <c r="BL1218" s="13" t="b">
        <v>0</v>
      </c>
      <c r="BM1218" s="10"/>
      <c r="BN1218" s="10" t="s">
        <v>667</v>
      </c>
      <c r="BO1218" s="11">
        <v>45904.28402777778</v>
      </c>
      <c r="BP1218" s="11">
        <v>45931.604942129627</v>
      </c>
      <c r="BQ1218" s="15">
        <v>45958.501203703701</v>
      </c>
      <c r="BR1218" s="15">
        <v>45958.510092592594</v>
      </c>
      <c r="BS1218" s="10" t="s">
        <v>667</v>
      </c>
      <c r="BT1218" s="10" t="s">
        <v>99</v>
      </c>
      <c r="BU1218" s="10" t="s">
        <v>280</v>
      </c>
      <c r="BV1218" s="10"/>
      <c r="BW1218" s="10"/>
      <c r="BX1218" s="10"/>
      <c r="BY1218" s="23"/>
      <c r="BZ1218" s="23"/>
      <c r="CA1218" s="19" t="s">
        <v>9688</v>
      </c>
      <c r="CB1218" s="19" t="s">
        <v>9689</v>
      </c>
      <c r="CC1218" s="23"/>
      <c r="CD1218" s="19" t="s">
        <v>9690</v>
      </c>
      <c r="CE1218" s="23"/>
      <c r="CF1218" s="23"/>
      <c r="CG1218" s="23"/>
      <c r="CH1218" s="23"/>
      <c r="CI1218" s="23"/>
    </row>
    <row r="1219" spans="1:87" x14ac:dyDescent="0.3">
      <c r="A1219" s="9" t="s">
        <v>9691</v>
      </c>
      <c r="B1219" s="10" t="s">
        <v>9692</v>
      </c>
      <c r="C1219" s="11">
        <v>45959.020833333336</v>
      </c>
      <c r="D1219" s="12">
        <v>8.3333333333333329E-2</v>
      </c>
      <c r="E1219" s="11">
        <v>45959.104166666664</v>
      </c>
      <c r="F1219" s="10" t="s">
        <v>3211</v>
      </c>
      <c r="G1219" s="13" t="b">
        <v>0</v>
      </c>
      <c r="H1219" s="10" t="s">
        <v>3212</v>
      </c>
      <c r="I1219" s="10" t="s">
        <v>3213</v>
      </c>
      <c r="J1219" s="13" t="b">
        <v>0</v>
      </c>
      <c r="K1219" s="13" t="b">
        <v>1</v>
      </c>
      <c r="L1219" s="10" t="s">
        <v>124</v>
      </c>
      <c r="M1219" s="10" t="s">
        <v>91</v>
      </c>
      <c r="N1219" s="10" t="s">
        <v>92</v>
      </c>
      <c r="O1219" s="19" t="s">
        <v>9693</v>
      </c>
      <c r="P1219" s="10" t="s">
        <v>3215</v>
      </c>
      <c r="Q1219" s="10" t="s">
        <v>126</v>
      </c>
      <c r="R1219" s="10"/>
      <c r="S1219" s="19" t="s">
        <v>9694</v>
      </c>
      <c r="T1219" s="19" t="s">
        <v>9631</v>
      </c>
      <c r="U1219" s="10" t="s">
        <v>3218</v>
      </c>
      <c r="V1219" s="10" t="s">
        <v>3318</v>
      </c>
      <c r="W1219" s="10" t="s">
        <v>3219</v>
      </c>
      <c r="X1219" s="10" t="s">
        <v>130</v>
      </c>
      <c r="Y1219" s="10" t="s">
        <v>130</v>
      </c>
      <c r="Z1219" s="10" t="s">
        <v>99</v>
      </c>
      <c r="AA1219" s="10" t="s">
        <v>131</v>
      </c>
      <c r="AB1219" s="10" t="s">
        <v>3220</v>
      </c>
      <c r="AC1219" s="10" t="s">
        <v>3221</v>
      </c>
      <c r="AD1219" s="10" t="s">
        <v>9695</v>
      </c>
      <c r="AE1219" s="10" t="s">
        <v>9696</v>
      </c>
      <c r="AF1219" s="15"/>
      <c r="AG1219" s="10"/>
      <c r="AH1219" s="10"/>
      <c r="AI1219" s="10"/>
      <c r="AJ1219" s="10"/>
      <c r="AK1219" s="10" t="s">
        <v>102</v>
      </c>
      <c r="AL1219" s="10" t="s">
        <v>205</v>
      </c>
      <c r="AM1219" s="10"/>
      <c r="AN1219" s="10"/>
      <c r="AO1219" s="13" t="b">
        <v>1</v>
      </c>
      <c r="AP1219" s="10" t="s">
        <v>104</v>
      </c>
      <c r="AQ1219" s="10">
        <f ca="1">IFERROR(__xludf.DUMMYFUNCTION("""COMPUTED_VALUE"""),4674562)</f>
        <v>4674562</v>
      </c>
      <c r="AR1219" s="17">
        <v>17705</v>
      </c>
      <c r="AS1219" s="17">
        <v>13269</v>
      </c>
      <c r="AT1219" s="17">
        <v>552364</v>
      </c>
      <c r="AU1219" s="17">
        <v>139.44999999999999</v>
      </c>
      <c r="AV1219" s="17">
        <v>10.1</v>
      </c>
      <c r="AW1219" s="10" t="s">
        <v>105</v>
      </c>
      <c r="AX1219" s="17">
        <v>3918</v>
      </c>
      <c r="AY1219" s="18">
        <v>41.628155851985831</v>
      </c>
      <c r="AZ1219" s="10" t="s">
        <v>117</v>
      </c>
      <c r="BA1219" s="20" t="b">
        <v>0</v>
      </c>
      <c r="BB1219" s="10"/>
      <c r="BC1219" s="17">
        <v>17705</v>
      </c>
      <c r="BD1219" s="17">
        <v>13269</v>
      </c>
      <c r="BE1219" s="17">
        <v>552364</v>
      </c>
      <c r="BF1219" s="17">
        <v>10.1</v>
      </c>
      <c r="BG1219" s="11">
        <f ca="1">IFERROR(__xludf.DUMMYFUNCTION("""COMPUTED_VALUE"""),45959.0208333333)</f>
        <v>45959.020833333299</v>
      </c>
      <c r="BH1219" s="17" t="s">
        <v>105</v>
      </c>
      <c r="BI1219" s="17"/>
      <c r="BJ1219" s="15"/>
      <c r="BK1219" s="15"/>
      <c r="BL1219" s="13" t="b">
        <v>0</v>
      </c>
      <c r="BM1219" s="10"/>
      <c r="BN1219" s="10" t="s">
        <v>1057</v>
      </c>
      <c r="BO1219" s="11">
        <v>45904.28402777778</v>
      </c>
      <c r="BP1219" s="11">
        <v>45931.60434027778</v>
      </c>
      <c r="BQ1219" s="15">
        <v>45958.500671296293</v>
      </c>
      <c r="BR1219" s="15">
        <v>45958.503055555557</v>
      </c>
      <c r="BS1219" s="10"/>
      <c r="BT1219" s="10" t="s">
        <v>279</v>
      </c>
      <c r="BU1219" s="10" t="s">
        <v>298</v>
      </c>
      <c r="BV1219" s="10"/>
      <c r="BW1219" s="10"/>
      <c r="BX1219" s="10"/>
      <c r="BY1219" s="23"/>
      <c r="BZ1219" s="23"/>
      <c r="CA1219" s="19" t="s">
        <v>9697</v>
      </c>
      <c r="CB1219" s="19" t="s">
        <v>9698</v>
      </c>
      <c r="CC1219" s="23"/>
      <c r="CD1219" s="19" t="s">
        <v>9699</v>
      </c>
      <c r="CE1219" s="23"/>
      <c r="CF1219" s="23"/>
      <c r="CG1219" s="23"/>
      <c r="CH1219" s="23"/>
      <c r="CI1219" s="23"/>
    </row>
    <row r="1220" spans="1:87" x14ac:dyDescent="0.3">
      <c r="A1220" s="9" t="s">
        <v>9700</v>
      </c>
      <c r="B1220" s="10" t="s">
        <v>9701</v>
      </c>
      <c r="C1220" s="11">
        <v>45961.114583333336</v>
      </c>
      <c r="D1220" s="12">
        <v>8.3333333333333329E-2</v>
      </c>
      <c r="E1220" s="11">
        <v>45961.197916666664</v>
      </c>
      <c r="F1220" s="10" t="s">
        <v>3211</v>
      </c>
      <c r="G1220" s="13" t="b">
        <v>0</v>
      </c>
      <c r="H1220" s="10" t="s">
        <v>3212</v>
      </c>
      <c r="I1220" s="10" t="s">
        <v>3213</v>
      </c>
      <c r="J1220" s="13" t="b">
        <v>0</v>
      </c>
      <c r="K1220" s="13" t="b">
        <v>1</v>
      </c>
      <c r="L1220" s="10" t="s">
        <v>124</v>
      </c>
      <c r="M1220" s="10" t="s">
        <v>91</v>
      </c>
      <c r="N1220" s="10" t="s">
        <v>92</v>
      </c>
      <c r="O1220" s="19" t="s">
        <v>9702</v>
      </c>
      <c r="P1220" s="10" t="s">
        <v>3215</v>
      </c>
      <c r="Q1220" s="10" t="s">
        <v>94</v>
      </c>
      <c r="R1220" s="10"/>
      <c r="S1220" s="19" t="s">
        <v>9703</v>
      </c>
      <c r="T1220" s="19" t="s">
        <v>9631</v>
      </c>
      <c r="U1220" s="10" t="s">
        <v>3451</v>
      </c>
      <c r="V1220" s="10" t="s">
        <v>3250</v>
      </c>
      <c r="W1220" s="10" t="s">
        <v>3219</v>
      </c>
      <c r="X1220" s="10" t="s">
        <v>130</v>
      </c>
      <c r="Y1220" s="10" t="s">
        <v>130</v>
      </c>
      <c r="Z1220" s="10" t="s">
        <v>99</v>
      </c>
      <c r="AA1220" s="10" t="s">
        <v>131</v>
      </c>
      <c r="AB1220" s="10" t="s">
        <v>3220</v>
      </c>
      <c r="AC1220" s="10" t="s">
        <v>3221</v>
      </c>
      <c r="AD1220" s="10" t="s">
        <v>9704</v>
      </c>
      <c r="AE1220" s="10" t="s">
        <v>9705</v>
      </c>
      <c r="AF1220" s="15"/>
      <c r="AG1220" s="10"/>
      <c r="AH1220" s="10"/>
      <c r="AI1220" s="10"/>
      <c r="AJ1220" s="10"/>
      <c r="AK1220" s="10" t="s">
        <v>102</v>
      </c>
      <c r="AL1220" s="10" t="s">
        <v>205</v>
      </c>
      <c r="AM1220" s="10"/>
      <c r="AN1220" s="10"/>
      <c r="AO1220" s="13" t="b">
        <v>0</v>
      </c>
      <c r="AP1220" s="10" t="s">
        <v>104</v>
      </c>
      <c r="AQ1220" s="10">
        <f ca="1">IFERROR(__xludf.DUMMYFUNCTION("""COMPUTED_VALUE"""),4674570)</f>
        <v>4674570</v>
      </c>
      <c r="AR1220" s="17">
        <v>6442</v>
      </c>
      <c r="AS1220" s="17">
        <v>4799</v>
      </c>
      <c r="AT1220" s="17">
        <v>182499.5</v>
      </c>
      <c r="AU1220" s="17">
        <v>40.700000000000003</v>
      </c>
      <c r="AV1220" s="17">
        <v>3.4</v>
      </c>
      <c r="AW1220" s="10" t="s">
        <v>105</v>
      </c>
      <c r="AX1220" s="17">
        <v>3536</v>
      </c>
      <c r="AY1220" s="18">
        <v>38.028651802458846</v>
      </c>
      <c r="AZ1220" s="10" t="s">
        <v>117</v>
      </c>
      <c r="BA1220" s="20" t="b">
        <v>0</v>
      </c>
      <c r="BB1220" s="10"/>
      <c r="BC1220" s="17">
        <v>6442</v>
      </c>
      <c r="BD1220" s="17">
        <v>4799</v>
      </c>
      <c r="BE1220" s="17">
        <v>182499.5</v>
      </c>
      <c r="BF1220" s="17">
        <v>3.4</v>
      </c>
      <c r="BG1220" s="11">
        <f ca="1">IFERROR(__xludf.DUMMYFUNCTION("""COMPUTED_VALUE"""),45961.1145833333)</f>
        <v>45961.114583333299</v>
      </c>
      <c r="BH1220" s="17" t="s">
        <v>105</v>
      </c>
      <c r="BI1220" s="17"/>
      <c r="BJ1220" s="15"/>
      <c r="BK1220" s="15"/>
      <c r="BL1220" s="13" t="b">
        <v>0</v>
      </c>
      <c r="BM1220" s="10"/>
      <c r="BN1220" s="10" t="s">
        <v>117</v>
      </c>
      <c r="BO1220" s="11">
        <v>45904.28402777778</v>
      </c>
      <c r="BP1220" s="11">
        <v>45954.69159722222</v>
      </c>
      <c r="BQ1220" s="15">
        <v>45958.502071759256</v>
      </c>
      <c r="BR1220" s="15">
        <v>45958.510636574072</v>
      </c>
      <c r="BS1220" s="10"/>
      <c r="BT1220" s="10"/>
      <c r="BU1220" s="10"/>
      <c r="BV1220" s="10"/>
      <c r="BW1220" s="10"/>
      <c r="BX1220" s="10"/>
      <c r="BY1220" s="23"/>
      <c r="BZ1220" s="23"/>
      <c r="CA1220" s="19" t="s">
        <v>9706</v>
      </c>
      <c r="CB1220" s="19" t="s">
        <v>9707</v>
      </c>
      <c r="CC1220" s="23"/>
      <c r="CD1220" s="23"/>
      <c r="CE1220" s="23"/>
      <c r="CF1220" s="23"/>
      <c r="CG1220" s="23"/>
      <c r="CH1220" s="23"/>
      <c r="CI1220" s="23"/>
    </row>
    <row r="1221" spans="1:87" x14ac:dyDescent="0.3">
      <c r="A1221" s="9" t="s">
        <v>9708</v>
      </c>
      <c r="B1221" s="10" t="s">
        <v>9709</v>
      </c>
      <c r="C1221" s="11">
        <v>45960.020833333336</v>
      </c>
      <c r="D1221" s="12">
        <v>8.3333333333333329E-2</v>
      </c>
      <c r="E1221" s="11">
        <v>45960.104166666664</v>
      </c>
      <c r="F1221" s="10" t="s">
        <v>3211</v>
      </c>
      <c r="G1221" s="13" t="b">
        <v>0</v>
      </c>
      <c r="H1221" s="10" t="s">
        <v>3212</v>
      </c>
      <c r="I1221" s="10" t="s">
        <v>3213</v>
      </c>
      <c r="J1221" s="13" t="b">
        <v>0</v>
      </c>
      <c r="K1221" s="13" t="b">
        <v>1</v>
      </c>
      <c r="L1221" s="10" t="s">
        <v>124</v>
      </c>
      <c r="M1221" s="10" t="s">
        <v>91</v>
      </c>
      <c r="N1221" s="10" t="s">
        <v>92</v>
      </c>
      <c r="O1221" s="19" t="s">
        <v>9710</v>
      </c>
      <c r="P1221" s="10" t="s">
        <v>88</v>
      </c>
      <c r="Q1221" s="10" t="s">
        <v>126</v>
      </c>
      <c r="R1221" s="10"/>
      <c r="S1221" s="19" t="s">
        <v>9711</v>
      </c>
      <c r="T1221" s="19" t="s">
        <v>9631</v>
      </c>
      <c r="U1221" s="10" t="s">
        <v>3229</v>
      </c>
      <c r="V1221" s="10" t="s">
        <v>3260</v>
      </c>
      <c r="W1221" s="10" t="s">
        <v>3219</v>
      </c>
      <c r="X1221" s="10" t="s">
        <v>130</v>
      </c>
      <c r="Y1221" s="10" t="s">
        <v>130</v>
      </c>
      <c r="Z1221" s="10" t="s">
        <v>99</v>
      </c>
      <c r="AA1221" s="10" t="s">
        <v>131</v>
      </c>
      <c r="AB1221" s="10" t="s">
        <v>3220</v>
      </c>
      <c r="AC1221" s="10" t="s">
        <v>3221</v>
      </c>
      <c r="AD1221" s="10" t="s">
        <v>9712</v>
      </c>
      <c r="AE1221" s="10" t="s">
        <v>9713</v>
      </c>
      <c r="AF1221" s="15"/>
      <c r="AG1221" s="10"/>
      <c r="AH1221" s="10"/>
      <c r="AI1221" s="10"/>
      <c r="AJ1221" s="10"/>
      <c r="AK1221" s="10" t="s">
        <v>102</v>
      </c>
      <c r="AL1221" s="10" t="s">
        <v>205</v>
      </c>
      <c r="AM1221" s="10"/>
      <c r="AN1221" s="10"/>
      <c r="AO1221" s="13" t="b">
        <v>1</v>
      </c>
      <c r="AP1221" s="10" t="s">
        <v>104</v>
      </c>
      <c r="AQ1221" s="10">
        <f ca="1">IFERROR(__xludf.DUMMYFUNCTION("""COMPUTED_VALUE"""),4674571)</f>
        <v>4674571</v>
      </c>
      <c r="AR1221" s="17">
        <v>15275</v>
      </c>
      <c r="AS1221" s="17">
        <v>10121</v>
      </c>
      <c r="AT1221" s="17">
        <v>330966.25</v>
      </c>
      <c r="AU1221" s="17">
        <v>110.05</v>
      </c>
      <c r="AV1221" s="17">
        <v>12.2</v>
      </c>
      <c r="AW1221" s="10" t="s">
        <v>105</v>
      </c>
      <c r="AX1221" s="17">
        <v>3278</v>
      </c>
      <c r="AY1221" s="18">
        <v>32.700943582649934</v>
      </c>
      <c r="AZ1221" s="10" t="s">
        <v>117</v>
      </c>
      <c r="BA1221" s="20" t="b">
        <v>0</v>
      </c>
      <c r="BB1221" s="10"/>
      <c r="BC1221" s="17">
        <v>15275</v>
      </c>
      <c r="BD1221" s="17">
        <v>10121</v>
      </c>
      <c r="BE1221" s="17">
        <v>330966.25</v>
      </c>
      <c r="BF1221" s="17">
        <v>12.2</v>
      </c>
      <c r="BG1221" s="11">
        <f ca="1">IFERROR(__xludf.DUMMYFUNCTION("""COMPUTED_VALUE"""),45960.0208333333)</f>
        <v>45960.020833333299</v>
      </c>
      <c r="BH1221" s="17" t="s">
        <v>105</v>
      </c>
      <c r="BI1221" s="17"/>
      <c r="BJ1221" s="15"/>
      <c r="BK1221" s="15"/>
      <c r="BL1221" s="13" t="b">
        <v>0</v>
      </c>
      <c r="BM1221" s="10"/>
      <c r="BN1221" s="10" t="s">
        <v>667</v>
      </c>
      <c r="BO1221" s="11">
        <v>45904.28402777778</v>
      </c>
      <c r="BP1221" s="11">
        <v>45931.605173611111</v>
      </c>
      <c r="BQ1221" s="15">
        <v>45958.501331018517</v>
      </c>
      <c r="BR1221" s="15">
        <v>45958.511782407404</v>
      </c>
      <c r="BS1221" s="10" t="s">
        <v>667</v>
      </c>
      <c r="BT1221" s="10" t="s">
        <v>99</v>
      </c>
      <c r="BU1221" s="10" t="s">
        <v>421</v>
      </c>
      <c r="BV1221" s="10"/>
      <c r="BW1221" s="10"/>
      <c r="BX1221" s="10"/>
      <c r="BY1221" s="23"/>
      <c r="BZ1221" s="23"/>
      <c r="CA1221" s="19" t="s">
        <v>9714</v>
      </c>
      <c r="CB1221" s="19" t="s">
        <v>9715</v>
      </c>
      <c r="CC1221" s="23"/>
      <c r="CD1221" s="19" t="s">
        <v>9716</v>
      </c>
      <c r="CE1221" s="23"/>
      <c r="CF1221" s="23"/>
      <c r="CG1221" s="23"/>
      <c r="CH1221" s="23"/>
      <c r="CI1221" s="23"/>
    </row>
    <row r="1222" spans="1:87" x14ac:dyDescent="0.3">
      <c r="A1222" s="9" t="s">
        <v>9717</v>
      </c>
      <c r="B1222" s="10" t="s">
        <v>9718</v>
      </c>
      <c r="C1222" s="11">
        <v>45963.114583333336</v>
      </c>
      <c r="D1222" s="12">
        <v>8.3333333333333329E-2</v>
      </c>
      <c r="E1222" s="11">
        <v>45963.197916666664</v>
      </c>
      <c r="F1222" s="10" t="s">
        <v>3211</v>
      </c>
      <c r="G1222" s="13" t="b">
        <v>0</v>
      </c>
      <c r="H1222" s="10" t="s">
        <v>3212</v>
      </c>
      <c r="I1222" s="10" t="s">
        <v>3213</v>
      </c>
      <c r="J1222" s="13" t="b">
        <v>0</v>
      </c>
      <c r="K1222" s="13" t="b">
        <v>1</v>
      </c>
      <c r="L1222" s="10" t="s">
        <v>124</v>
      </c>
      <c r="M1222" s="10" t="s">
        <v>91</v>
      </c>
      <c r="N1222" s="10" t="s">
        <v>92</v>
      </c>
      <c r="O1222" s="19" t="s">
        <v>9719</v>
      </c>
      <c r="P1222" s="10" t="s">
        <v>3215</v>
      </c>
      <c r="Q1222" s="10" t="s">
        <v>126</v>
      </c>
      <c r="R1222" s="10"/>
      <c r="S1222" s="19" t="s">
        <v>9720</v>
      </c>
      <c r="T1222" s="19" t="s">
        <v>9721</v>
      </c>
      <c r="U1222" s="10" t="s">
        <v>3440</v>
      </c>
      <c r="V1222" s="10" t="s">
        <v>3259</v>
      </c>
      <c r="W1222" s="10" t="s">
        <v>3219</v>
      </c>
      <c r="X1222" s="10" t="s">
        <v>130</v>
      </c>
      <c r="Y1222" s="10" t="s">
        <v>130</v>
      </c>
      <c r="Z1222" s="10" t="s">
        <v>99</v>
      </c>
      <c r="AA1222" s="10" t="s">
        <v>131</v>
      </c>
      <c r="AB1222" s="10" t="s">
        <v>3220</v>
      </c>
      <c r="AC1222" s="10" t="s">
        <v>3221</v>
      </c>
      <c r="AD1222" s="10" t="s">
        <v>9722</v>
      </c>
      <c r="AE1222" s="10" t="s">
        <v>9723</v>
      </c>
      <c r="AF1222" s="15"/>
      <c r="AG1222" s="10"/>
      <c r="AH1222" s="10"/>
      <c r="AI1222" s="10"/>
      <c r="AJ1222" s="10"/>
      <c r="AK1222" s="10" t="s">
        <v>102</v>
      </c>
      <c r="AL1222" s="10" t="s">
        <v>1252</v>
      </c>
      <c r="AM1222" s="10"/>
      <c r="AN1222" s="10"/>
      <c r="AO1222" s="13" t="b">
        <v>1</v>
      </c>
      <c r="AP1222" s="10" t="s">
        <v>104</v>
      </c>
      <c r="AQ1222" s="10">
        <f ca="1">IFERROR(__xludf.DUMMYFUNCTION("""COMPUTED_VALUE"""),4678471)</f>
        <v>4678471</v>
      </c>
      <c r="AR1222" s="17">
        <v>28363</v>
      </c>
      <c r="AS1222" s="17">
        <v>20015</v>
      </c>
      <c r="AT1222" s="17">
        <v>680882.75</v>
      </c>
      <c r="AU1222" s="17">
        <v>259.35000000000002</v>
      </c>
      <c r="AV1222" s="17">
        <v>40.6</v>
      </c>
      <c r="AW1222" s="10" t="s">
        <v>105</v>
      </c>
      <c r="AX1222" s="17">
        <v>7693</v>
      </c>
      <c r="AY1222" s="18">
        <v>34.018623532350738</v>
      </c>
      <c r="AZ1222" s="10" t="s">
        <v>117</v>
      </c>
      <c r="BA1222" s="20" t="b">
        <v>0</v>
      </c>
      <c r="BB1222" s="10"/>
      <c r="BC1222" s="17">
        <v>28363</v>
      </c>
      <c r="BD1222" s="17">
        <v>20015</v>
      </c>
      <c r="BE1222" s="17">
        <v>680882.75</v>
      </c>
      <c r="BF1222" s="17">
        <v>40.6</v>
      </c>
      <c r="BG1222" s="11">
        <f ca="1">IFERROR(__xludf.DUMMYFUNCTION("""COMPUTED_VALUE"""),45963.1145833333)</f>
        <v>45963.114583333299</v>
      </c>
      <c r="BH1222" s="17" t="s">
        <v>105</v>
      </c>
      <c r="BI1222" s="17"/>
      <c r="BJ1222" s="15"/>
      <c r="BK1222" s="15"/>
      <c r="BL1222" s="13" t="b">
        <v>0</v>
      </c>
      <c r="BM1222" s="10"/>
      <c r="BN1222" s="10" t="s">
        <v>197</v>
      </c>
      <c r="BO1222" s="11">
        <v>45904.28402777778</v>
      </c>
      <c r="BP1222" s="11">
        <v>45940.690405092595</v>
      </c>
      <c r="BQ1222" s="15">
        <v>45960.670173611114</v>
      </c>
      <c r="BR1222" s="15">
        <v>45960.730046296296</v>
      </c>
      <c r="BS1222" s="10" t="s">
        <v>197</v>
      </c>
      <c r="BT1222" s="10" t="s">
        <v>279</v>
      </c>
      <c r="BU1222" s="10" t="s">
        <v>5854</v>
      </c>
      <c r="BV1222" s="10"/>
      <c r="BW1222" s="10"/>
      <c r="BX1222" s="10"/>
      <c r="BY1222" s="23"/>
      <c r="BZ1222" s="23"/>
      <c r="CA1222" s="19" t="s">
        <v>9724</v>
      </c>
      <c r="CB1222" s="19" t="s">
        <v>9725</v>
      </c>
      <c r="CC1222" s="23"/>
      <c r="CD1222" s="19" t="s">
        <v>9726</v>
      </c>
      <c r="CE1222" s="23"/>
      <c r="CF1222" s="23"/>
      <c r="CG1222" s="23"/>
      <c r="CH1222" s="23"/>
      <c r="CI1222" s="23"/>
    </row>
    <row r="1223" spans="1:87" x14ac:dyDescent="0.3">
      <c r="A1223" s="9" t="s">
        <v>9727</v>
      </c>
      <c r="B1223" s="10" t="s">
        <v>9728</v>
      </c>
      <c r="C1223" s="11">
        <v>45963.875</v>
      </c>
      <c r="D1223" s="12">
        <v>8.3333333333333329E-2</v>
      </c>
      <c r="E1223" s="11">
        <v>45963.958333333336</v>
      </c>
      <c r="F1223" s="10" t="s">
        <v>3211</v>
      </c>
      <c r="G1223" s="13" t="b">
        <v>0</v>
      </c>
      <c r="H1223" s="10" t="s">
        <v>3212</v>
      </c>
      <c r="I1223" s="10" t="s">
        <v>3213</v>
      </c>
      <c r="J1223" s="13" t="b">
        <v>0</v>
      </c>
      <c r="K1223" s="13" t="b">
        <v>1</v>
      </c>
      <c r="L1223" s="10" t="s">
        <v>124</v>
      </c>
      <c r="M1223" s="10" t="s">
        <v>91</v>
      </c>
      <c r="N1223" s="10" t="s">
        <v>92</v>
      </c>
      <c r="O1223" s="19" t="s">
        <v>9729</v>
      </c>
      <c r="P1223" s="10" t="s">
        <v>3215</v>
      </c>
      <c r="Q1223" s="10" t="s">
        <v>126</v>
      </c>
      <c r="R1223" s="10"/>
      <c r="S1223" s="19" t="s">
        <v>9730</v>
      </c>
      <c r="T1223" s="19" t="s">
        <v>9721</v>
      </c>
      <c r="U1223" s="10" t="s">
        <v>3240</v>
      </c>
      <c r="V1223" s="10" t="s">
        <v>3218</v>
      </c>
      <c r="W1223" s="10" t="s">
        <v>3219</v>
      </c>
      <c r="X1223" s="10" t="s">
        <v>130</v>
      </c>
      <c r="Y1223" s="10" t="s">
        <v>130</v>
      </c>
      <c r="Z1223" s="10" t="s">
        <v>99</v>
      </c>
      <c r="AA1223" s="10" t="s">
        <v>131</v>
      </c>
      <c r="AB1223" s="10" t="s">
        <v>3220</v>
      </c>
      <c r="AC1223" s="10" t="s">
        <v>3221</v>
      </c>
      <c r="AD1223" s="10" t="s">
        <v>9731</v>
      </c>
      <c r="AE1223" s="10" t="s">
        <v>9732</v>
      </c>
      <c r="AF1223" s="15"/>
      <c r="AG1223" s="10"/>
      <c r="AH1223" s="10"/>
      <c r="AI1223" s="10"/>
      <c r="AJ1223" s="10"/>
      <c r="AK1223" s="10" t="s">
        <v>102</v>
      </c>
      <c r="AL1223" s="10" t="s">
        <v>1252</v>
      </c>
      <c r="AM1223" s="10"/>
      <c r="AN1223" s="10"/>
      <c r="AO1223" s="13" t="b">
        <v>0</v>
      </c>
      <c r="AP1223" s="10" t="s">
        <v>104</v>
      </c>
      <c r="AQ1223" s="10">
        <f ca="1">IFERROR(__xludf.DUMMYFUNCTION("""COMPUTED_VALUE"""),4678473)</f>
        <v>4678473</v>
      </c>
      <c r="AR1223" s="17">
        <v>21160</v>
      </c>
      <c r="AS1223" s="17">
        <v>15314</v>
      </c>
      <c r="AT1223" s="17">
        <v>238058</v>
      </c>
      <c r="AU1223" s="17">
        <v>96.65</v>
      </c>
      <c r="AV1223" s="17">
        <v>22.9</v>
      </c>
      <c r="AW1223" s="10" t="s">
        <v>105</v>
      </c>
      <c r="AX1223" s="17">
        <v>5366</v>
      </c>
      <c r="AY1223" s="18">
        <v>15.545122110487135</v>
      </c>
      <c r="AZ1223" s="10" t="s">
        <v>117</v>
      </c>
      <c r="BA1223" s="20" t="b">
        <v>0</v>
      </c>
      <c r="BB1223" s="10"/>
      <c r="BC1223" s="17">
        <v>21160</v>
      </c>
      <c r="BD1223" s="17">
        <v>15314</v>
      </c>
      <c r="BE1223" s="17">
        <v>238058</v>
      </c>
      <c r="BF1223" s="17">
        <v>22.9</v>
      </c>
      <c r="BG1223" s="11">
        <f ca="1">IFERROR(__xludf.DUMMYFUNCTION("""COMPUTED_VALUE"""),45963.875)</f>
        <v>45963.875</v>
      </c>
      <c r="BH1223" s="17" t="s">
        <v>105</v>
      </c>
      <c r="BI1223" s="17"/>
      <c r="BJ1223" s="15"/>
      <c r="BK1223" s="15"/>
      <c r="BL1223" s="13" t="b">
        <v>0</v>
      </c>
      <c r="BM1223" s="10"/>
      <c r="BN1223" s="10" t="s">
        <v>136</v>
      </c>
      <c r="BO1223" s="11">
        <v>45904.28402777778</v>
      </c>
      <c r="BP1223" s="11">
        <v>45940.690763888888</v>
      </c>
      <c r="BQ1223" s="15">
        <v>45960.670393518521</v>
      </c>
      <c r="BR1223" s="15">
        <v>45960.742222222223</v>
      </c>
      <c r="BS1223" s="10"/>
      <c r="BT1223" s="10"/>
      <c r="BU1223" s="10"/>
      <c r="BV1223" s="10"/>
      <c r="BW1223" s="10"/>
      <c r="BX1223" s="10"/>
      <c r="BY1223" s="23"/>
      <c r="BZ1223" s="23"/>
      <c r="CA1223" s="19" t="s">
        <v>9733</v>
      </c>
      <c r="CB1223" s="19" t="s">
        <v>9734</v>
      </c>
      <c r="CC1223" s="23"/>
      <c r="CD1223" s="19" t="s">
        <v>9735</v>
      </c>
      <c r="CE1223" s="23"/>
      <c r="CF1223" s="23"/>
      <c r="CG1223" s="23"/>
      <c r="CH1223" s="23"/>
      <c r="CI1223" s="23"/>
    </row>
    <row r="1224" spans="1:87" x14ac:dyDescent="0.3">
      <c r="A1224" s="9" t="s">
        <v>9736</v>
      </c>
      <c r="B1224" s="10" t="s">
        <v>9737</v>
      </c>
      <c r="C1224" s="11">
        <v>45965.114583333336</v>
      </c>
      <c r="D1224" s="12">
        <v>8.3333333333333329E-2</v>
      </c>
      <c r="E1224" s="11">
        <v>45965.197916666664</v>
      </c>
      <c r="F1224" s="10" t="s">
        <v>3211</v>
      </c>
      <c r="G1224" s="13" t="b">
        <v>0</v>
      </c>
      <c r="H1224" s="10" t="s">
        <v>3212</v>
      </c>
      <c r="I1224" s="10" t="s">
        <v>3213</v>
      </c>
      <c r="J1224" s="13" t="b">
        <v>0</v>
      </c>
      <c r="K1224" s="13" t="b">
        <v>1</v>
      </c>
      <c r="L1224" s="10" t="s">
        <v>124</v>
      </c>
      <c r="M1224" s="10" t="s">
        <v>91</v>
      </c>
      <c r="N1224" s="10" t="s">
        <v>92</v>
      </c>
      <c r="O1224" s="19" t="s">
        <v>9738</v>
      </c>
      <c r="P1224" s="10" t="s">
        <v>3215</v>
      </c>
      <c r="Q1224" s="10" t="s">
        <v>126</v>
      </c>
      <c r="R1224" s="10"/>
      <c r="S1224" s="19" t="s">
        <v>9739</v>
      </c>
      <c r="T1224" s="19" t="s">
        <v>9721</v>
      </c>
      <c r="U1224" s="10" t="s">
        <v>3250</v>
      </c>
      <c r="V1224" s="10" t="s">
        <v>3239</v>
      </c>
      <c r="W1224" s="10" t="s">
        <v>3219</v>
      </c>
      <c r="X1224" s="10" t="s">
        <v>130</v>
      </c>
      <c r="Y1224" s="10" t="s">
        <v>130</v>
      </c>
      <c r="Z1224" s="10" t="s">
        <v>99</v>
      </c>
      <c r="AA1224" s="10" t="s">
        <v>131</v>
      </c>
      <c r="AB1224" s="10" t="s">
        <v>3220</v>
      </c>
      <c r="AC1224" s="10" t="s">
        <v>3221</v>
      </c>
      <c r="AD1224" s="10" t="s">
        <v>9740</v>
      </c>
      <c r="AE1224" s="10" t="s">
        <v>9741</v>
      </c>
      <c r="AF1224" s="15"/>
      <c r="AG1224" s="10"/>
      <c r="AH1224" s="10"/>
      <c r="AI1224" s="10"/>
      <c r="AJ1224" s="10"/>
      <c r="AK1224" s="10" t="s">
        <v>102</v>
      </c>
      <c r="AL1224" s="10" t="s">
        <v>1252</v>
      </c>
      <c r="AM1224" s="10"/>
      <c r="AN1224" s="10"/>
      <c r="AO1224" s="13" t="b">
        <v>0</v>
      </c>
      <c r="AP1224" s="10" t="s">
        <v>104</v>
      </c>
      <c r="AQ1224" s="10">
        <f ca="1">IFERROR(__xludf.DUMMYFUNCTION("""COMPUTED_VALUE"""),4695542)</f>
        <v>4695542</v>
      </c>
      <c r="AR1224" s="17">
        <v>5697</v>
      </c>
      <c r="AS1224" s="17">
        <v>4131</v>
      </c>
      <c r="AT1224" s="17">
        <v>101544.5</v>
      </c>
      <c r="AU1224" s="17">
        <v>13.45</v>
      </c>
      <c r="AV1224" s="17">
        <v>1</v>
      </c>
      <c r="AW1224" s="10" t="s">
        <v>105</v>
      </c>
      <c r="AX1224" s="17">
        <v>3948</v>
      </c>
      <c r="AY1224" s="18">
        <v>24.581094166061487</v>
      </c>
      <c r="AZ1224" s="10" t="s">
        <v>117</v>
      </c>
      <c r="BA1224" s="20" t="b">
        <v>0</v>
      </c>
      <c r="BB1224" s="10"/>
      <c r="BC1224" s="17">
        <v>5697</v>
      </c>
      <c r="BD1224" s="17">
        <v>4131</v>
      </c>
      <c r="BE1224" s="17">
        <v>101544.5</v>
      </c>
      <c r="BF1224" s="17">
        <v>1</v>
      </c>
      <c r="BG1224" s="11">
        <f ca="1">IFERROR(__xludf.DUMMYFUNCTION("""COMPUTED_VALUE"""),45965.1145833333)</f>
        <v>45965.114583333299</v>
      </c>
      <c r="BH1224" s="17" t="s">
        <v>105</v>
      </c>
      <c r="BI1224" s="17"/>
      <c r="BJ1224" s="15"/>
      <c r="BK1224" s="15"/>
      <c r="BL1224" s="13" t="b">
        <v>0</v>
      </c>
      <c r="BM1224" s="10"/>
      <c r="BN1224" s="10" t="s">
        <v>4030</v>
      </c>
      <c r="BO1224" s="11">
        <v>45904.28402777778</v>
      </c>
      <c r="BP1224" s="11">
        <v>45940.691643518519</v>
      </c>
      <c r="BQ1224" s="15">
        <v>45960.67119212963</v>
      </c>
      <c r="BR1224" s="15">
        <v>45964.037685185183</v>
      </c>
      <c r="BS1224" s="10" t="s">
        <v>4030</v>
      </c>
      <c r="BT1224" s="10"/>
      <c r="BU1224" s="10"/>
      <c r="BV1224" s="10"/>
      <c r="BW1224" s="10"/>
      <c r="BX1224" s="10"/>
      <c r="BY1224" s="23"/>
      <c r="BZ1224" s="23"/>
      <c r="CA1224" s="19" t="s">
        <v>9742</v>
      </c>
      <c r="CB1224" s="19" t="s">
        <v>9743</v>
      </c>
      <c r="CC1224" s="23"/>
      <c r="CD1224" s="19" t="s">
        <v>9744</v>
      </c>
      <c r="CE1224" s="23"/>
      <c r="CF1224" s="23"/>
      <c r="CG1224" s="23"/>
      <c r="CH1224" s="23"/>
      <c r="CI1224" s="23"/>
    </row>
    <row r="1225" spans="1:87" x14ac:dyDescent="0.3">
      <c r="A1225" s="9" t="s">
        <v>9745</v>
      </c>
      <c r="B1225" s="10" t="s">
        <v>9746</v>
      </c>
      <c r="C1225" s="11">
        <v>45964.114583333336</v>
      </c>
      <c r="D1225" s="12">
        <v>8.3333333333333329E-2</v>
      </c>
      <c r="E1225" s="11">
        <v>45964.197916666664</v>
      </c>
      <c r="F1225" s="10" t="s">
        <v>3211</v>
      </c>
      <c r="G1225" s="13" t="b">
        <v>0</v>
      </c>
      <c r="H1225" s="10" t="s">
        <v>3212</v>
      </c>
      <c r="I1225" s="10" t="s">
        <v>3213</v>
      </c>
      <c r="J1225" s="13" t="b">
        <v>0</v>
      </c>
      <c r="K1225" s="13" t="b">
        <v>1</v>
      </c>
      <c r="L1225" s="10" t="s">
        <v>124</v>
      </c>
      <c r="M1225" s="10" t="s">
        <v>91</v>
      </c>
      <c r="N1225" s="10" t="s">
        <v>92</v>
      </c>
      <c r="O1225" s="19" t="s">
        <v>9747</v>
      </c>
      <c r="P1225" s="10" t="s">
        <v>3215</v>
      </c>
      <c r="Q1225" s="10" t="s">
        <v>126</v>
      </c>
      <c r="R1225" s="10"/>
      <c r="S1225" s="19" t="s">
        <v>9748</v>
      </c>
      <c r="T1225" s="19" t="s">
        <v>9721</v>
      </c>
      <c r="U1225" s="10" t="s">
        <v>3289</v>
      </c>
      <c r="V1225" s="10" t="s">
        <v>3229</v>
      </c>
      <c r="W1225" s="10" t="s">
        <v>3219</v>
      </c>
      <c r="X1225" s="10" t="s">
        <v>130</v>
      </c>
      <c r="Y1225" s="10" t="s">
        <v>130</v>
      </c>
      <c r="Z1225" s="10" t="s">
        <v>99</v>
      </c>
      <c r="AA1225" s="10" t="s">
        <v>131</v>
      </c>
      <c r="AB1225" s="10" t="s">
        <v>3220</v>
      </c>
      <c r="AC1225" s="10" t="s">
        <v>3221</v>
      </c>
      <c r="AD1225" s="10" t="s">
        <v>9749</v>
      </c>
      <c r="AE1225" s="10" t="s">
        <v>9750</v>
      </c>
      <c r="AF1225" s="15"/>
      <c r="AG1225" s="10"/>
      <c r="AH1225" s="10"/>
      <c r="AI1225" s="10"/>
      <c r="AJ1225" s="10"/>
      <c r="AK1225" s="10" t="s">
        <v>102</v>
      </c>
      <c r="AL1225" s="10" t="s">
        <v>1252</v>
      </c>
      <c r="AM1225" s="10"/>
      <c r="AN1225" s="10"/>
      <c r="AO1225" s="13" t="b">
        <v>1</v>
      </c>
      <c r="AP1225" s="10" t="s">
        <v>104</v>
      </c>
      <c r="AQ1225" s="10">
        <f ca="1">IFERROR(__xludf.DUMMYFUNCTION("""COMPUTED_VALUE"""),4691065)</f>
        <v>4691065</v>
      </c>
      <c r="AR1225" s="17">
        <v>44433</v>
      </c>
      <c r="AS1225" s="17">
        <v>30670</v>
      </c>
      <c r="AT1225" s="17">
        <v>1611478.5</v>
      </c>
      <c r="AU1225" s="17">
        <v>396.6</v>
      </c>
      <c r="AV1225" s="17">
        <v>77.7</v>
      </c>
      <c r="AW1225" s="10" t="s">
        <v>105</v>
      </c>
      <c r="AX1225" s="17">
        <v>17084</v>
      </c>
      <c r="AY1225" s="18">
        <v>52.54250081512879</v>
      </c>
      <c r="AZ1225" s="10" t="s">
        <v>117</v>
      </c>
      <c r="BA1225" s="20" t="b">
        <v>0</v>
      </c>
      <c r="BB1225" s="10"/>
      <c r="BC1225" s="17">
        <v>44433</v>
      </c>
      <c r="BD1225" s="17">
        <v>30670</v>
      </c>
      <c r="BE1225" s="17">
        <v>1611478.5</v>
      </c>
      <c r="BF1225" s="17">
        <v>77.7</v>
      </c>
      <c r="BG1225" s="11">
        <f ca="1">IFERROR(__xludf.DUMMYFUNCTION("""COMPUTED_VALUE"""),45964.1145833333)</f>
        <v>45964.114583333299</v>
      </c>
      <c r="BH1225" s="17" t="s">
        <v>105</v>
      </c>
      <c r="BI1225" s="17"/>
      <c r="BJ1225" s="15"/>
      <c r="BK1225" s="15"/>
      <c r="BL1225" s="13" t="b">
        <v>0</v>
      </c>
      <c r="BM1225" s="10"/>
      <c r="BN1225" s="10" t="s">
        <v>197</v>
      </c>
      <c r="BO1225" s="11">
        <v>45904.28402777778</v>
      </c>
      <c r="BP1225" s="11">
        <v>45940.691192129627</v>
      </c>
      <c r="BQ1225" s="15">
        <v>45960.670914351853</v>
      </c>
      <c r="BR1225" s="15">
        <v>45963.666215277779</v>
      </c>
      <c r="BS1225" s="10" t="s">
        <v>197</v>
      </c>
      <c r="BT1225" s="10" t="s">
        <v>279</v>
      </c>
      <c r="BU1225" s="10" t="s">
        <v>8057</v>
      </c>
      <c r="BV1225" s="10"/>
      <c r="BW1225" s="10"/>
      <c r="BX1225" s="10"/>
      <c r="BY1225" s="23"/>
      <c r="BZ1225" s="23"/>
      <c r="CA1225" s="19" t="s">
        <v>9751</v>
      </c>
      <c r="CB1225" s="19" t="s">
        <v>9752</v>
      </c>
      <c r="CC1225" s="23"/>
      <c r="CD1225" s="19" t="s">
        <v>9753</v>
      </c>
      <c r="CE1225" s="23"/>
      <c r="CF1225" s="23"/>
      <c r="CG1225" s="23"/>
      <c r="CH1225" s="23"/>
      <c r="CI1225" s="23"/>
    </row>
    <row r="1226" spans="1:87" x14ac:dyDescent="0.3">
      <c r="A1226" s="9" t="s">
        <v>9754</v>
      </c>
      <c r="B1226" s="10" t="s">
        <v>9755</v>
      </c>
      <c r="C1226" s="11">
        <v>45963</v>
      </c>
      <c r="D1226" s="12">
        <v>8.3333333333333329E-2</v>
      </c>
      <c r="E1226" s="11">
        <v>45963.083333333336</v>
      </c>
      <c r="F1226" s="10" t="s">
        <v>3211</v>
      </c>
      <c r="G1226" s="13" t="b">
        <v>0</v>
      </c>
      <c r="H1226" s="10" t="s">
        <v>3212</v>
      </c>
      <c r="I1226" s="10" t="s">
        <v>3213</v>
      </c>
      <c r="J1226" s="13" t="b">
        <v>0</v>
      </c>
      <c r="K1226" s="13" t="b">
        <v>1</v>
      </c>
      <c r="L1226" s="10" t="s">
        <v>124</v>
      </c>
      <c r="M1226" s="10" t="s">
        <v>91</v>
      </c>
      <c r="N1226" s="10" t="s">
        <v>92</v>
      </c>
      <c r="O1226" s="19" t="s">
        <v>9756</v>
      </c>
      <c r="P1226" s="10" t="s">
        <v>3215</v>
      </c>
      <c r="Q1226" s="10" t="s">
        <v>126</v>
      </c>
      <c r="R1226" s="10"/>
      <c r="S1226" s="19" t="s">
        <v>9757</v>
      </c>
      <c r="T1226" s="19" t="s">
        <v>9721</v>
      </c>
      <c r="U1226" s="10" t="s">
        <v>3318</v>
      </c>
      <c r="V1226" s="10" t="s">
        <v>3249</v>
      </c>
      <c r="W1226" s="10" t="s">
        <v>3219</v>
      </c>
      <c r="X1226" s="10" t="s">
        <v>130</v>
      </c>
      <c r="Y1226" s="10" t="s">
        <v>130</v>
      </c>
      <c r="Z1226" s="10" t="s">
        <v>99</v>
      </c>
      <c r="AA1226" s="10" t="s">
        <v>131</v>
      </c>
      <c r="AB1226" s="10" t="s">
        <v>3220</v>
      </c>
      <c r="AC1226" s="10" t="s">
        <v>3221</v>
      </c>
      <c r="AD1226" s="10" t="s">
        <v>9758</v>
      </c>
      <c r="AE1226" s="10" t="s">
        <v>9759</v>
      </c>
      <c r="AF1226" s="15"/>
      <c r="AG1226" s="10"/>
      <c r="AH1226" s="10"/>
      <c r="AI1226" s="10"/>
      <c r="AJ1226" s="10"/>
      <c r="AK1226" s="10" t="s">
        <v>102</v>
      </c>
      <c r="AL1226" s="10" t="s">
        <v>1252</v>
      </c>
      <c r="AM1226" s="10"/>
      <c r="AN1226" s="10"/>
      <c r="AO1226" s="13" t="b">
        <v>1</v>
      </c>
      <c r="AP1226" s="10" t="s">
        <v>104</v>
      </c>
      <c r="AQ1226" s="10">
        <f ca="1">IFERROR(__xludf.DUMMYFUNCTION("""COMPUTED_VALUE"""),4678470)</f>
        <v>4678470</v>
      </c>
      <c r="AR1226" s="17">
        <v>33686</v>
      </c>
      <c r="AS1226" s="17">
        <v>24826</v>
      </c>
      <c r="AT1226" s="17">
        <v>678750.5</v>
      </c>
      <c r="AU1226" s="17">
        <v>180.15</v>
      </c>
      <c r="AV1226" s="17">
        <v>33.4</v>
      </c>
      <c r="AW1226" s="10" t="s">
        <v>105</v>
      </c>
      <c r="AX1226" s="17">
        <v>7922</v>
      </c>
      <c r="AY1226" s="18">
        <v>27.340308547490533</v>
      </c>
      <c r="AZ1226" s="10" t="s">
        <v>117</v>
      </c>
      <c r="BA1226" s="20" t="b">
        <v>0</v>
      </c>
      <c r="BB1226" s="10"/>
      <c r="BC1226" s="17">
        <v>33686</v>
      </c>
      <c r="BD1226" s="17">
        <v>24826</v>
      </c>
      <c r="BE1226" s="17">
        <v>678750.5</v>
      </c>
      <c r="BF1226" s="17">
        <v>33.4</v>
      </c>
      <c r="BG1226" s="11">
        <f ca="1">IFERROR(__xludf.DUMMYFUNCTION("""COMPUTED_VALUE"""),45963)</f>
        <v>45963</v>
      </c>
      <c r="BH1226" s="17" t="s">
        <v>105</v>
      </c>
      <c r="BI1226" s="17"/>
      <c r="BJ1226" s="15"/>
      <c r="BK1226" s="15"/>
      <c r="BL1226" s="13" t="b">
        <v>0</v>
      </c>
      <c r="BM1226" s="10"/>
      <c r="BN1226" s="10" t="s">
        <v>197</v>
      </c>
      <c r="BO1226" s="11">
        <v>45904.28402777778</v>
      </c>
      <c r="BP1226" s="11">
        <v>45940.690254629626</v>
      </c>
      <c r="BQ1226" s="15">
        <v>45960.670046296298</v>
      </c>
      <c r="BR1226" s="15">
        <v>45960.727442129632</v>
      </c>
      <c r="BS1226" s="10" t="s">
        <v>197</v>
      </c>
      <c r="BT1226" s="10" t="s">
        <v>279</v>
      </c>
      <c r="BU1226" s="10" t="s">
        <v>5854</v>
      </c>
      <c r="BV1226" s="10"/>
      <c r="BW1226" s="10"/>
      <c r="BX1226" s="10"/>
      <c r="BY1226" s="23"/>
      <c r="BZ1226" s="23"/>
      <c r="CA1226" s="19" t="s">
        <v>9760</v>
      </c>
      <c r="CB1226" s="19" t="s">
        <v>9761</v>
      </c>
      <c r="CC1226" s="23"/>
      <c r="CD1226" s="19" t="s">
        <v>9762</v>
      </c>
      <c r="CE1226" s="23"/>
      <c r="CF1226" s="23"/>
      <c r="CG1226" s="23"/>
      <c r="CH1226" s="23"/>
      <c r="CI1226" s="23"/>
    </row>
    <row r="1227" spans="1:87" x14ac:dyDescent="0.3">
      <c r="A1227" s="9" t="s">
        <v>9763</v>
      </c>
      <c r="B1227" s="10" t="s">
        <v>9764</v>
      </c>
      <c r="C1227" s="11">
        <v>45964</v>
      </c>
      <c r="D1227" s="12">
        <v>8.3333333333333329E-2</v>
      </c>
      <c r="E1227" s="11">
        <v>45964.083333333336</v>
      </c>
      <c r="F1227" s="10" t="s">
        <v>3211</v>
      </c>
      <c r="G1227" s="13" t="b">
        <v>0</v>
      </c>
      <c r="H1227" s="10" t="s">
        <v>3212</v>
      </c>
      <c r="I1227" s="10" t="s">
        <v>3213</v>
      </c>
      <c r="J1227" s="13" t="b">
        <v>0</v>
      </c>
      <c r="K1227" s="13" t="b">
        <v>1</v>
      </c>
      <c r="L1227" s="10" t="s">
        <v>124</v>
      </c>
      <c r="M1227" s="10" t="s">
        <v>91</v>
      </c>
      <c r="N1227" s="10" t="s">
        <v>92</v>
      </c>
      <c r="O1227" s="19" t="s">
        <v>9765</v>
      </c>
      <c r="P1227" s="10" t="s">
        <v>3215</v>
      </c>
      <c r="Q1227" s="10" t="s">
        <v>94</v>
      </c>
      <c r="R1227" s="10"/>
      <c r="S1227" s="19" t="s">
        <v>9766</v>
      </c>
      <c r="T1227" s="19" t="s">
        <v>9721</v>
      </c>
      <c r="U1227" s="10" t="s">
        <v>3260</v>
      </c>
      <c r="V1227" s="10" t="s">
        <v>3230</v>
      </c>
      <c r="W1227" s="10" t="s">
        <v>3219</v>
      </c>
      <c r="X1227" s="10" t="s">
        <v>130</v>
      </c>
      <c r="Y1227" s="10" t="s">
        <v>130</v>
      </c>
      <c r="Z1227" s="10" t="s">
        <v>99</v>
      </c>
      <c r="AA1227" s="10" t="s">
        <v>131</v>
      </c>
      <c r="AB1227" s="10" t="s">
        <v>3220</v>
      </c>
      <c r="AC1227" s="10" t="s">
        <v>3221</v>
      </c>
      <c r="AD1227" s="10" t="s">
        <v>9767</v>
      </c>
      <c r="AE1227" s="10" t="s">
        <v>9768</v>
      </c>
      <c r="AF1227" s="15"/>
      <c r="AG1227" s="10"/>
      <c r="AH1227" s="10"/>
      <c r="AI1227" s="10"/>
      <c r="AJ1227" s="10"/>
      <c r="AK1227" s="10" t="s">
        <v>102</v>
      </c>
      <c r="AL1227" s="10" t="s">
        <v>1252</v>
      </c>
      <c r="AM1227" s="10"/>
      <c r="AN1227" s="10"/>
      <c r="AO1227" s="13" t="b">
        <v>0</v>
      </c>
      <c r="AP1227" s="10" t="s">
        <v>104</v>
      </c>
      <c r="AQ1227" s="10">
        <f ca="1">IFERROR(__xludf.DUMMYFUNCTION("""COMPUTED_VALUE"""),4678474)</f>
        <v>4678474</v>
      </c>
      <c r="AR1227" s="17">
        <v>8661</v>
      </c>
      <c r="AS1227" s="17">
        <v>6998</v>
      </c>
      <c r="AT1227" s="17">
        <v>138177.25</v>
      </c>
      <c r="AU1227" s="17">
        <v>25.55</v>
      </c>
      <c r="AV1227" s="17">
        <v>7.9</v>
      </c>
      <c r="AW1227" s="10" t="s">
        <v>105</v>
      </c>
      <c r="AX1227" s="17">
        <v>2064</v>
      </c>
      <c r="AY1227" s="18">
        <v>19.745248642469278</v>
      </c>
      <c r="AZ1227" s="10" t="s">
        <v>117</v>
      </c>
      <c r="BA1227" s="20" t="b">
        <v>0</v>
      </c>
      <c r="BB1227" s="10"/>
      <c r="BC1227" s="17">
        <v>8661</v>
      </c>
      <c r="BD1227" s="17">
        <v>6998</v>
      </c>
      <c r="BE1227" s="17">
        <v>138177.25</v>
      </c>
      <c r="BF1227" s="17">
        <v>7.9</v>
      </c>
      <c r="BG1227" s="11">
        <f ca="1">IFERROR(__xludf.DUMMYFUNCTION("""COMPUTED_VALUE"""),45964)</f>
        <v>45964</v>
      </c>
      <c r="BH1227" s="17" t="s">
        <v>105</v>
      </c>
      <c r="BI1227" s="17"/>
      <c r="BJ1227" s="15"/>
      <c r="BK1227" s="15"/>
      <c r="BL1227" s="13" t="b">
        <v>0</v>
      </c>
      <c r="BM1227" s="10"/>
      <c r="BN1227" s="10" t="s">
        <v>5685</v>
      </c>
      <c r="BO1227" s="11">
        <v>45904.28402777778</v>
      </c>
      <c r="BP1227" s="11">
        <v>45940.691030092596</v>
      </c>
      <c r="BQ1227" s="15">
        <v>45960.670787037037</v>
      </c>
      <c r="BR1227" s="15">
        <v>45960.743981481479</v>
      </c>
      <c r="BS1227" s="10"/>
      <c r="BT1227" s="10"/>
      <c r="BU1227" s="10"/>
      <c r="BV1227" s="10"/>
      <c r="BW1227" s="10"/>
      <c r="BX1227" s="10"/>
      <c r="BY1227" s="23"/>
      <c r="BZ1227" s="23"/>
      <c r="CA1227" s="19" t="s">
        <v>9769</v>
      </c>
      <c r="CB1227" s="19" t="s">
        <v>9770</v>
      </c>
      <c r="CC1227" s="23"/>
      <c r="CD1227" s="23"/>
      <c r="CE1227" s="23"/>
      <c r="CF1227" s="23"/>
      <c r="CG1227" s="23"/>
      <c r="CH1227" s="23"/>
      <c r="CI1227" s="23"/>
    </row>
    <row r="1228" spans="1:87" x14ac:dyDescent="0.3">
      <c r="A1228" s="9" t="s">
        <v>9771</v>
      </c>
      <c r="B1228" s="10" t="s">
        <v>9772</v>
      </c>
      <c r="C1228" s="11">
        <v>45965.020833333336</v>
      </c>
      <c r="D1228" s="12">
        <v>8.3333333333333329E-2</v>
      </c>
      <c r="E1228" s="11">
        <v>45965.104166666664</v>
      </c>
      <c r="F1228" s="10" t="s">
        <v>3211</v>
      </c>
      <c r="G1228" s="13" t="b">
        <v>0</v>
      </c>
      <c r="H1228" s="10" t="s">
        <v>3212</v>
      </c>
      <c r="I1228" s="10" t="s">
        <v>3213</v>
      </c>
      <c r="J1228" s="13" t="b">
        <v>0</v>
      </c>
      <c r="K1228" s="13" t="b">
        <v>1</v>
      </c>
      <c r="L1228" s="10" t="s">
        <v>124</v>
      </c>
      <c r="M1228" s="10" t="s">
        <v>91</v>
      </c>
      <c r="N1228" s="10" t="s">
        <v>92</v>
      </c>
      <c r="O1228" s="19" t="s">
        <v>9773</v>
      </c>
      <c r="P1228" s="10" t="s">
        <v>3215</v>
      </c>
      <c r="Q1228" s="10" t="s">
        <v>126</v>
      </c>
      <c r="R1228" s="10"/>
      <c r="S1228" s="19" t="s">
        <v>9774</v>
      </c>
      <c r="T1228" s="19" t="s">
        <v>9721</v>
      </c>
      <c r="U1228" s="10" t="s">
        <v>3429</v>
      </c>
      <c r="V1228" s="10" t="s">
        <v>3217</v>
      </c>
      <c r="W1228" s="10" t="s">
        <v>3219</v>
      </c>
      <c r="X1228" s="10" t="s">
        <v>130</v>
      </c>
      <c r="Y1228" s="10" t="s">
        <v>130</v>
      </c>
      <c r="Z1228" s="10" t="s">
        <v>99</v>
      </c>
      <c r="AA1228" s="10" t="s">
        <v>131</v>
      </c>
      <c r="AB1228" s="10" t="s">
        <v>3220</v>
      </c>
      <c r="AC1228" s="10" t="s">
        <v>3221</v>
      </c>
      <c r="AD1228" s="10" t="s">
        <v>9775</v>
      </c>
      <c r="AE1228" s="10" t="s">
        <v>9776</v>
      </c>
      <c r="AF1228" s="15"/>
      <c r="AG1228" s="10"/>
      <c r="AH1228" s="10"/>
      <c r="AI1228" s="10"/>
      <c r="AJ1228" s="10"/>
      <c r="AK1228" s="10" t="s">
        <v>102</v>
      </c>
      <c r="AL1228" s="10" t="s">
        <v>1252</v>
      </c>
      <c r="AM1228" s="10"/>
      <c r="AN1228" s="10"/>
      <c r="AO1228" s="13" t="b">
        <v>1</v>
      </c>
      <c r="AP1228" s="10" t="s">
        <v>104</v>
      </c>
      <c r="AQ1228" s="10">
        <f ca="1">IFERROR(__xludf.DUMMYFUNCTION("""COMPUTED_VALUE"""),4695541)</f>
        <v>4695541</v>
      </c>
      <c r="AR1228" s="17">
        <v>17344</v>
      </c>
      <c r="AS1228" s="17">
        <v>13615</v>
      </c>
      <c r="AT1228" s="17">
        <v>450627.25</v>
      </c>
      <c r="AU1228" s="17">
        <v>94</v>
      </c>
      <c r="AV1228" s="17">
        <v>14.6</v>
      </c>
      <c r="AW1228" s="10" t="s">
        <v>105</v>
      </c>
      <c r="AX1228" s="17">
        <v>4076</v>
      </c>
      <c r="AY1228" s="18">
        <v>33.097851634226956</v>
      </c>
      <c r="AZ1228" s="10" t="s">
        <v>117</v>
      </c>
      <c r="BA1228" s="20" t="b">
        <v>0</v>
      </c>
      <c r="BB1228" s="10"/>
      <c r="BC1228" s="17">
        <v>17344</v>
      </c>
      <c r="BD1228" s="17">
        <v>13615</v>
      </c>
      <c r="BE1228" s="17">
        <v>450627.25</v>
      </c>
      <c r="BF1228" s="17">
        <v>14.6</v>
      </c>
      <c r="BG1228" s="11">
        <f ca="1">IFERROR(__xludf.DUMMYFUNCTION("""COMPUTED_VALUE"""),45965.0208333333)</f>
        <v>45965.020833333299</v>
      </c>
      <c r="BH1228" s="17" t="s">
        <v>105</v>
      </c>
      <c r="BI1228" s="17"/>
      <c r="BJ1228" s="15"/>
      <c r="BK1228" s="15"/>
      <c r="BL1228" s="13" t="b">
        <v>0</v>
      </c>
      <c r="BM1228" s="10"/>
      <c r="BN1228" s="10" t="s">
        <v>278</v>
      </c>
      <c r="BO1228" s="11">
        <v>45904.28402777778</v>
      </c>
      <c r="BP1228" s="11">
        <v>45940.691458333335</v>
      </c>
      <c r="BQ1228" s="15">
        <v>45960.671076388891</v>
      </c>
      <c r="BR1228" s="15">
        <v>45964.037442129629</v>
      </c>
      <c r="BS1228" s="10" t="s">
        <v>278</v>
      </c>
      <c r="BT1228" s="10" t="s">
        <v>279</v>
      </c>
      <c r="BU1228" s="10" t="s">
        <v>498</v>
      </c>
      <c r="BV1228" s="10"/>
      <c r="BW1228" s="10"/>
      <c r="BX1228" s="10"/>
      <c r="BY1228" s="23"/>
      <c r="BZ1228" s="23"/>
      <c r="CA1228" s="19" t="s">
        <v>9777</v>
      </c>
      <c r="CB1228" s="19" t="s">
        <v>9778</v>
      </c>
      <c r="CC1228" s="23"/>
      <c r="CD1228" s="19" t="s">
        <v>9779</v>
      </c>
      <c r="CE1228" s="23"/>
      <c r="CF1228" s="23"/>
      <c r="CG1228" s="23"/>
      <c r="CH1228" s="23"/>
      <c r="CI1228" s="23"/>
    </row>
    <row r="1229" spans="1:87" x14ac:dyDescent="0.3">
      <c r="A1229" s="9" t="s">
        <v>9780</v>
      </c>
      <c r="B1229" s="10" t="s">
        <v>9781</v>
      </c>
      <c r="C1229" s="11">
        <v>45963.875</v>
      </c>
      <c r="D1229" s="12">
        <v>8.3333333333333329E-2</v>
      </c>
      <c r="E1229" s="11">
        <v>45963.958333333336</v>
      </c>
      <c r="F1229" s="10" t="s">
        <v>3211</v>
      </c>
      <c r="G1229" s="13" t="b">
        <v>0</v>
      </c>
      <c r="H1229" s="10" t="s">
        <v>3212</v>
      </c>
      <c r="I1229" s="10" t="s">
        <v>3213</v>
      </c>
      <c r="J1229" s="13" t="b">
        <v>0</v>
      </c>
      <c r="K1229" s="13" t="b">
        <v>1</v>
      </c>
      <c r="L1229" s="10" t="s">
        <v>124</v>
      </c>
      <c r="M1229" s="10" t="s">
        <v>91</v>
      </c>
      <c r="N1229" s="10" t="s">
        <v>92</v>
      </c>
      <c r="O1229" s="19" t="s">
        <v>9782</v>
      </c>
      <c r="P1229" s="10" t="s">
        <v>3478</v>
      </c>
      <c r="Q1229" s="10" t="s">
        <v>94</v>
      </c>
      <c r="R1229" s="10"/>
      <c r="S1229" s="19" t="s">
        <v>9783</v>
      </c>
      <c r="T1229" s="19" t="s">
        <v>9721</v>
      </c>
      <c r="U1229" s="10" t="s">
        <v>3279</v>
      </c>
      <c r="V1229" s="10" t="s">
        <v>3451</v>
      </c>
      <c r="W1229" s="10" t="s">
        <v>3219</v>
      </c>
      <c r="X1229" s="10" t="s">
        <v>130</v>
      </c>
      <c r="Y1229" s="10" t="s">
        <v>130</v>
      </c>
      <c r="Z1229" s="10" t="s">
        <v>99</v>
      </c>
      <c r="AA1229" s="10" t="s">
        <v>131</v>
      </c>
      <c r="AB1229" s="10" t="s">
        <v>3220</v>
      </c>
      <c r="AC1229" s="10" t="s">
        <v>3221</v>
      </c>
      <c r="AD1229" s="10" t="s">
        <v>9784</v>
      </c>
      <c r="AE1229" s="10" t="s">
        <v>9785</v>
      </c>
      <c r="AF1229" s="15"/>
      <c r="AG1229" s="10"/>
      <c r="AH1229" s="10"/>
      <c r="AI1229" s="10"/>
      <c r="AJ1229" s="10"/>
      <c r="AK1229" s="10" t="s">
        <v>102</v>
      </c>
      <c r="AL1229" s="10" t="s">
        <v>1252</v>
      </c>
      <c r="AM1229" s="10"/>
      <c r="AN1229" s="10"/>
      <c r="AO1229" s="13" t="b">
        <v>0</v>
      </c>
      <c r="AP1229" s="10" t="s">
        <v>104</v>
      </c>
      <c r="AQ1229" s="10">
        <f ca="1">IFERROR(__xludf.DUMMYFUNCTION("""COMPUTED_VALUE"""),4691060)</f>
        <v>4691060</v>
      </c>
      <c r="AR1229" s="17">
        <v>7046</v>
      </c>
      <c r="AS1229" s="17">
        <v>5001</v>
      </c>
      <c r="AT1229" s="17">
        <v>54683.75</v>
      </c>
      <c r="AU1229" s="17">
        <v>14.6</v>
      </c>
      <c r="AV1229" s="17">
        <v>2.5</v>
      </c>
      <c r="AW1229" s="10" t="s">
        <v>105</v>
      </c>
      <c r="AX1229" s="17">
        <v>986</v>
      </c>
      <c r="AY1229" s="18">
        <v>10.934563087382523</v>
      </c>
      <c r="AZ1229" s="10" t="s">
        <v>117</v>
      </c>
      <c r="BA1229" s="20" t="b">
        <v>0</v>
      </c>
      <c r="BB1229" s="10"/>
      <c r="BC1229" s="17">
        <v>7046</v>
      </c>
      <c r="BD1229" s="17">
        <v>5001</v>
      </c>
      <c r="BE1229" s="17">
        <v>54683.75</v>
      </c>
      <c r="BF1229" s="17">
        <v>2.5</v>
      </c>
      <c r="BG1229" s="11">
        <f ca="1">IFERROR(__xludf.DUMMYFUNCTION("""COMPUTED_VALUE"""),45963.875)</f>
        <v>45963.875</v>
      </c>
      <c r="BH1229" s="17" t="s">
        <v>105</v>
      </c>
      <c r="BI1229" s="17"/>
      <c r="BJ1229" s="15"/>
      <c r="BK1229" s="15"/>
      <c r="BL1229" s="13" t="b">
        <v>0</v>
      </c>
      <c r="BM1229" s="10"/>
      <c r="BN1229" s="10" t="s">
        <v>118</v>
      </c>
      <c r="BO1229" s="11">
        <v>45904.28402777778</v>
      </c>
      <c r="BP1229" s="11">
        <v>45940.690868055557</v>
      </c>
      <c r="BQ1229" s="15">
        <v>45960.670543981483</v>
      </c>
      <c r="BR1229" s="15">
        <v>45963.534409722219</v>
      </c>
      <c r="BS1229" s="10" t="s">
        <v>118</v>
      </c>
      <c r="BT1229" s="10"/>
      <c r="BU1229" s="10"/>
      <c r="BV1229" s="10"/>
      <c r="BW1229" s="10"/>
      <c r="BX1229" s="10"/>
      <c r="BY1229" s="23"/>
      <c r="BZ1229" s="23"/>
      <c r="CA1229" s="19" t="s">
        <v>9786</v>
      </c>
      <c r="CB1229" s="19" t="s">
        <v>9787</v>
      </c>
      <c r="CC1229" s="23"/>
      <c r="CD1229" s="23"/>
      <c r="CE1229" s="23"/>
      <c r="CF1229" s="23"/>
      <c r="CG1229" s="23"/>
      <c r="CH1229" s="23"/>
      <c r="CI1229" s="23"/>
    </row>
    <row r="1230" spans="1:87" x14ac:dyDescent="0.3">
      <c r="A1230" s="9" t="s">
        <v>9788</v>
      </c>
      <c r="B1230" s="10" t="s">
        <v>9789</v>
      </c>
      <c r="C1230" s="11">
        <v>45962.875</v>
      </c>
      <c r="D1230" s="12">
        <v>8.3333333333333329E-2</v>
      </c>
      <c r="E1230" s="11">
        <v>45962.958333333336</v>
      </c>
      <c r="F1230" s="10" t="s">
        <v>3211</v>
      </c>
      <c r="G1230" s="13" t="b">
        <v>0</v>
      </c>
      <c r="H1230" s="10" t="s">
        <v>3212</v>
      </c>
      <c r="I1230" s="10" t="s">
        <v>3213</v>
      </c>
      <c r="J1230" s="13" t="b">
        <v>0</v>
      </c>
      <c r="K1230" s="13" t="b">
        <v>1</v>
      </c>
      <c r="L1230" s="10" t="s">
        <v>124</v>
      </c>
      <c r="M1230" s="10" t="s">
        <v>91</v>
      </c>
      <c r="N1230" s="10" t="s">
        <v>92</v>
      </c>
      <c r="O1230" s="19" t="s">
        <v>9790</v>
      </c>
      <c r="P1230" s="10" t="s">
        <v>3215</v>
      </c>
      <c r="Q1230" s="10" t="s">
        <v>126</v>
      </c>
      <c r="R1230" s="10"/>
      <c r="S1230" s="19" t="s">
        <v>9791</v>
      </c>
      <c r="T1230" s="19" t="s">
        <v>9721</v>
      </c>
      <c r="U1230" s="10" t="s">
        <v>3269</v>
      </c>
      <c r="V1230" s="10" t="s">
        <v>3308</v>
      </c>
      <c r="W1230" s="10" t="s">
        <v>3219</v>
      </c>
      <c r="X1230" s="10" t="s">
        <v>130</v>
      </c>
      <c r="Y1230" s="10" t="s">
        <v>130</v>
      </c>
      <c r="Z1230" s="10" t="s">
        <v>99</v>
      </c>
      <c r="AA1230" s="10" t="s">
        <v>131</v>
      </c>
      <c r="AB1230" s="10" t="s">
        <v>3220</v>
      </c>
      <c r="AC1230" s="10" t="s">
        <v>3221</v>
      </c>
      <c r="AD1230" s="10" t="s">
        <v>9792</v>
      </c>
      <c r="AE1230" s="10" t="s">
        <v>9793</v>
      </c>
      <c r="AF1230" s="15"/>
      <c r="AG1230" s="10"/>
      <c r="AH1230" s="10"/>
      <c r="AI1230" s="10"/>
      <c r="AJ1230" s="10"/>
      <c r="AK1230" s="10" t="s">
        <v>102</v>
      </c>
      <c r="AL1230" s="10" t="s">
        <v>1252</v>
      </c>
      <c r="AM1230" s="10"/>
      <c r="AN1230" s="10"/>
      <c r="AO1230" s="13" t="b">
        <v>0</v>
      </c>
      <c r="AP1230" s="10" t="s">
        <v>104</v>
      </c>
      <c r="AQ1230" s="10">
        <f ca="1">IFERROR(__xludf.DUMMYFUNCTION("""COMPUTED_VALUE"""),4678469)</f>
        <v>4678469</v>
      </c>
      <c r="AR1230" s="17">
        <v>26567</v>
      </c>
      <c r="AS1230" s="17">
        <v>19490</v>
      </c>
      <c r="AT1230" s="17">
        <v>288308.5</v>
      </c>
      <c r="AU1230" s="17">
        <v>167.15</v>
      </c>
      <c r="AV1230" s="17">
        <v>37.450000000000003</v>
      </c>
      <c r="AW1230" s="10" t="s">
        <v>105</v>
      </c>
      <c r="AX1230" s="17">
        <v>5344</v>
      </c>
      <c r="AY1230" s="18">
        <v>14.79263724987173</v>
      </c>
      <c r="AZ1230" s="10" t="s">
        <v>117</v>
      </c>
      <c r="BA1230" s="20" t="b">
        <v>0</v>
      </c>
      <c r="BB1230" s="10"/>
      <c r="BC1230" s="17">
        <v>26567</v>
      </c>
      <c r="BD1230" s="17">
        <v>19490</v>
      </c>
      <c r="BE1230" s="17">
        <v>288308.5</v>
      </c>
      <c r="BF1230" s="17">
        <v>37.450000000000003</v>
      </c>
      <c r="BG1230" s="11">
        <f ca="1">IFERROR(__xludf.DUMMYFUNCTION("""COMPUTED_VALUE"""),45962.875)</f>
        <v>45962.875</v>
      </c>
      <c r="BH1230" s="17" t="s">
        <v>105</v>
      </c>
      <c r="BI1230" s="17"/>
      <c r="BJ1230" s="15"/>
      <c r="BK1230" s="15"/>
      <c r="BL1230" s="13" t="b">
        <v>0</v>
      </c>
      <c r="BM1230" s="10"/>
      <c r="BN1230" s="10" t="s">
        <v>136</v>
      </c>
      <c r="BO1230" s="11">
        <v>45904.28402777778</v>
      </c>
      <c r="BP1230" s="11">
        <v>45940.689803240741</v>
      </c>
      <c r="BQ1230" s="15">
        <v>45960.669861111113</v>
      </c>
      <c r="BR1230" s="15">
        <v>45960.725960648146</v>
      </c>
      <c r="BS1230" s="10"/>
      <c r="BT1230" s="10"/>
      <c r="BU1230" s="10"/>
      <c r="BV1230" s="10"/>
      <c r="BW1230" s="10"/>
      <c r="BX1230" s="10"/>
      <c r="BY1230" s="23"/>
      <c r="BZ1230" s="23"/>
      <c r="CA1230" s="19" t="s">
        <v>9794</v>
      </c>
      <c r="CB1230" s="19" t="s">
        <v>9795</v>
      </c>
      <c r="CC1230" s="23"/>
      <c r="CD1230" s="19" t="s">
        <v>9796</v>
      </c>
      <c r="CE1230" s="23"/>
      <c r="CF1230" s="23"/>
      <c r="CG1230" s="23"/>
      <c r="CH1230" s="23"/>
      <c r="CI1230" s="23"/>
    </row>
    <row r="1231" spans="1:87" x14ac:dyDescent="0.3">
      <c r="A1231" s="9" t="s">
        <v>9797</v>
      </c>
      <c r="B1231" s="10" t="s">
        <v>9798</v>
      </c>
      <c r="C1231" s="11">
        <v>45963.770833333336</v>
      </c>
      <c r="D1231" s="12">
        <v>8.3333333333333329E-2</v>
      </c>
      <c r="E1231" s="11">
        <v>45963.854166666664</v>
      </c>
      <c r="F1231" s="10" t="s">
        <v>3211</v>
      </c>
      <c r="G1231" s="13" t="b">
        <v>0</v>
      </c>
      <c r="H1231" s="10" t="s">
        <v>3212</v>
      </c>
      <c r="I1231" s="10" t="s">
        <v>3213</v>
      </c>
      <c r="J1231" s="13" t="b">
        <v>0</v>
      </c>
      <c r="K1231" s="13" t="b">
        <v>1</v>
      </c>
      <c r="L1231" s="10" t="s">
        <v>124</v>
      </c>
      <c r="M1231" s="10" t="s">
        <v>91</v>
      </c>
      <c r="N1231" s="10" t="s">
        <v>92</v>
      </c>
      <c r="O1231" s="19" t="s">
        <v>9799</v>
      </c>
      <c r="P1231" s="10" t="s">
        <v>3215</v>
      </c>
      <c r="Q1231" s="10" t="s">
        <v>126</v>
      </c>
      <c r="R1231" s="10"/>
      <c r="S1231" s="19" t="s">
        <v>9800</v>
      </c>
      <c r="T1231" s="19" t="s">
        <v>9721</v>
      </c>
      <c r="U1231" s="10" t="s">
        <v>3270</v>
      </c>
      <c r="V1231" s="10" t="s">
        <v>3278</v>
      </c>
      <c r="W1231" s="10" t="s">
        <v>3219</v>
      </c>
      <c r="X1231" s="10" t="s">
        <v>130</v>
      </c>
      <c r="Y1231" s="10" t="s">
        <v>130</v>
      </c>
      <c r="Z1231" s="10" t="s">
        <v>99</v>
      </c>
      <c r="AA1231" s="10" t="s">
        <v>131</v>
      </c>
      <c r="AB1231" s="10" t="s">
        <v>3220</v>
      </c>
      <c r="AC1231" s="10" t="s">
        <v>3221</v>
      </c>
      <c r="AD1231" s="10" t="s">
        <v>9801</v>
      </c>
      <c r="AE1231" s="10" t="s">
        <v>9802</v>
      </c>
      <c r="AF1231" s="15"/>
      <c r="AG1231" s="10"/>
      <c r="AH1231" s="10"/>
      <c r="AI1231" s="10"/>
      <c r="AJ1231" s="10"/>
      <c r="AK1231" s="10" t="s">
        <v>102</v>
      </c>
      <c r="AL1231" s="10" t="s">
        <v>1252</v>
      </c>
      <c r="AM1231" s="10"/>
      <c r="AN1231" s="10"/>
      <c r="AO1231" s="13" t="b">
        <v>1</v>
      </c>
      <c r="AP1231" s="10" t="s">
        <v>104</v>
      </c>
      <c r="AQ1231" s="10">
        <f ca="1">IFERROR(__xludf.DUMMYFUNCTION("""COMPUTED_VALUE"""),4678472)</f>
        <v>4678472</v>
      </c>
      <c r="AR1231" s="17">
        <v>112745</v>
      </c>
      <c r="AS1231" s="17">
        <v>68693</v>
      </c>
      <c r="AT1231" s="17">
        <v>2352002.75</v>
      </c>
      <c r="AU1231" s="17">
        <v>1150.7</v>
      </c>
      <c r="AV1231" s="17">
        <v>259</v>
      </c>
      <c r="AW1231" s="10" t="s">
        <v>105</v>
      </c>
      <c r="AX1231" s="17">
        <v>27469</v>
      </c>
      <c r="AY1231" s="18">
        <v>34.239336613628751</v>
      </c>
      <c r="AZ1231" s="10" t="s">
        <v>117</v>
      </c>
      <c r="BA1231" s="20" t="b">
        <v>0</v>
      </c>
      <c r="BB1231" s="10"/>
      <c r="BC1231" s="17">
        <v>112745</v>
      </c>
      <c r="BD1231" s="17">
        <v>68693</v>
      </c>
      <c r="BE1231" s="17">
        <v>2352002.75</v>
      </c>
      <c r="BF1231" s="17">
        <v>259</v>
      </c>
      <c r="BG1231" s="11">
        <f ca="1">IFERROR(__xludf.DUMMYFUNCTION("""COMPUTED_VALUE"""),45963.7708333333)</f>
        <v>45963.770833333299</v>
      </c>
      <c r="BH1231" s="17" t="s">
        <v>105</v>
      </c>
      <c r="BI1231" s="17"/>
      <c r="BJ1231" s="15"/>
      <c r="BK1231" s="15"/>
      <c r="BL1231" s="13" t="b">
        <v>0</v>
      </c>
      <c r="BM1231" s="10"/>
      <c r="BN1231" s="10" t="s">
        <v>1149</v>
      </c>
      <c r="BO1231" s="11">
        <v>45904.28402777778</v>
      </c>
      <c r="BP1231" s="11">
        <v>45940.690625000003</v>
      </c>
      <c r="BQ1231" s="15">
        <v>45960.670289351852</v>
      </c>
      <c r="BR1231" s="15">
        <v>45960.735439814816</v>
      </c>
      <c r="BS1231" s="10" t="s">
        <v>1149</v>
      </c>
      <c r="BT1231" s="10" t="s">
        <v>279</v>
      </c>
      <c r="BU1231" s="10" t="s">
        <v>931</v>
      </c>
      <c r="BV1231" s="10" t="s">
        <v>124</v>
      </c>
      <c r="BW1231" s="10" t="s">
        <v>9494</v>
      </c>
      <c r="BX1231" s="19" t="s">
        <v>9803</v>
      </c>
      <c r="BY1231" s="23"/>
      <c r="BZ1231" s="23"/>
      <c r="CA1231" s="19" t="s">
        <v>9804</v>
      </c>
      <c r="CB1231" s="19" t="s">
        <v>9805</v>
      </c>
      <c r="CC1231" s="23"/>
      <c r="CD1231" s="19" t="s">
        <v>9806</v>
      </c>
      <c r="CE1231" s="23"/>
      <c r="CF1231" s="23"/>
      <c r="CG1231" s="23"/>
      <c r="CH1231" s="23"/>
      <c r="CI1231" s="23"/>
    </row>
    <row r="1232" spans="1:87" x14ac:dyDescent="0.3">
      <c r="A1232" s="9" t="s">
        <v>9807</v>
      </c>
      <c r="B1232" s="10" t="s">
        <v>9808</v>
      </c>
      <c r="C1232" s="11">
        <v>45970.770833333336</v>
      </c>
      <c r="D1232" s="12">
        <v>8.3333333333333329E-2</v>
      </c>
      <c r="E1232" s="11">
        <v>45970.854166666664</v>
      </c>
      <c r="F1232" s="10" t="s">
        <v>3211</v>
      </c>
      <c r="G1232" s="13" t="b">
        <v>0</v>
      </c>
      <c r="H1232" s="10" t="s">
        <v>3212</v>
      </c>
      <c r="I1232" s="10" t="s">
        <v>3213</v>
      </c>
      <c r="J1232" s="13" t="b">
        <v>0</v>
      </c>
      <c r="K1232" s="13" t="b">
        <v>1</v>
      </c>
      <c r="L1232" s="10" t="s">
        <v>124</v>
      </c>
      <c r="M1232" s="10" t="s">
        <v>91</v>
      </c>
      <c r="N1232" s="10" t="s">
        <v>92</v>
      </c>
      <c r="O1232" s="19" t="s">
        <v>9809</v>
      </c>
      <c r="P1232" s="10" t="s">
        <v>3215</v>
      </c>
      <c r="Q1232" s="10" t="s">
        <v>126</v>
      </c>
      <c r="R1232" s="10"/>
      <c r="S1232" s="19" t="s">
        <v>9810</v>
      </c>
      <c r="T1232" s="19" t="s">
        <v>9811</v>
      </c>
      <c r="U1232" s="10" t="s">
        <v>3308</v>
      </c>
      <c r="V1232" s="10" t="s">
        <v>3429</v>
      </c>
      <c r="W1232" s="10" t="s">
        <v>3219</v>
      </c>
      <c r="X1232" s="10" t="s">
        <v>130</v>
      </c>
      <c r="Y1232" s="10" t="s">
        <v>130</v>
      </c>
      <c r="Z1232" s="10" t="s">
        <v>99</v>
      </c>
      <c r="AA1232" s="10" t="s">
        <v>131</v>
      </c>
      <c r="AB1232" s="10" t="s">
        <v>3220</v>
      </c>
      <c r="AC1232" s="10" t="s">
        <v>3221</v>
      </c>
      <c r="AD1232" s="10" t="s">
        <v>9812</v>
      </c>
      <c r="AE1232" s="10" t="s">
        <v>9813</v>
      </c>
      <c r="AF1232" s="15"/>
      <c r="AG1232" s="10"/>
      <c r="AH1232" s="10"/>
      <c r="AI1232" s="10"/>
      <c r="AJ1232" s="10"/>
      <c r="AK1232" s="10" t="s">
        <v>102</v>
      </c>
      <c r="AL1232" s="10" t="s">
        <v>1360</v>
      </c>
      <c r="AM1232" s="10"/>
      <c r="AN1232" s="10"/>
      <c r="AO1232" s="13" t="b">
        <v>1</v>
      </c>
      <c r="AP1232" s="10" t="s">
        <v>104</v>
      </c>
      <c r="AQ1232" s="10">
        <f ca="1">IFERROR(__xludf.DUMMYFUNCTION("""COMPUTED_VALUE"""),4708389)</f>
        <v>4708389</v>
      </c>
      <c r="AR1232" s="17">
        <v>68446</v>
      </c>
      <c r="AS1232" s="17">
        <v>46868</v>
      </c>
      <c r="AT1232" s="17">
        <v>1067253.25</v>
      </c>
      <c r="AU1232" s="17">
        <v>311.95</v>
      </c>
      <c r="AV1232" s="17">
        <v>53.1</v>
      </c>
      <c r="AW1232" s="10" t="s">
        <v>105</v>
      </c>
      <c r="AX1232" s="17">
        <v>14150</v>
      </c>
      <c r="AY1232" s="18">
        <v>22.771469872834345</v>
      </c>
      <c r="AZ1232" s="10" t="s">
        <v>117</v>
      </c>
      <c r="BA1232" s="20" t="b">
        <v>0</v>
      </c>
      <c r="BB1232" s="10"/>
      <c r="BC1232" s="17">
        <v>68446</v>
      </c>
      <c r="BD1232" s="17">
        <v>46868</v>
      </c>
      <c r="BE1232" s="17">
        <v>1067253.25</v>
      </c>
      <c r="BF1232" s="17">
        <v>53.1</v>
      </c>
      <c r="BG1232" s="11">
        <f ca="1">IFERROR(__xludf.DUMMYFUNCTION("""COMPUTED_VALUE"""),45970.7708333333)</f>
        <v>45970.770833333299</v>
      </c>
      <c r="BH1232" s="17" t="s">
        <v>105</v>
      </c>
      <c r="BI1232" s="17"/>
      <c r="BJ1232" s="15"/>
      <c r="BK1232" s="15"/>
      <c r="BL1232" s="13" t="b">
        <v>0</v>
      </c>
      <c r="BM1232" s="10"/>
      <c r="BN1232" s="10" t="s">
        <v>149</v>
      </c>
      <c r="BO1232" s="11">
        <v>45904.28402777778</v>
      </c>
      <c r="BP1232" s="11">
        <v>45940.694664351853</v>
      </c>
      <c r="BQ1232" s="15">
        <v>45967.442071759258</v>
      </c>
      <c r="BR1232" s="15">
        <v>45968.972893518519</v>
      </c>
      <c r="BS1232" s="10" t="s">
        <v>149</v>
      </c>
      <c r="BT1232" s="10" t="s">
        <v>99</v>
      </c>
      <c r="BU1232" s="10" t="s">
        <v>3394</v>
      </c>
      <c r="BV1232" s="10" t="s">
        <v>281</v>
      </c>
      <c r="BW1232" s="10" t="s">
        <v>9466</v>
      </c>
      <c r="BX1232" s="10"/>
      <c r="BY1232" s="23"/>
      <c r="BZ1232" s="23"/>
      <c r="CA1232" s="19" t="s">
        <v>9814</v>
      </c>
      <c r="CB1232" s="19" t="s">
        <v>9815</v>
      </c>
      <c r="CC1232" s="23"/>
      <c r="CD1232" s="19" t="s">
        <v>9816</v>
      </c>
      <c r="CE1232" s="23"/>
      <c r="CF1232" s="23"/>
      <c r="CG1232" s="23"/>
      <c r="CH1232" s="23"/>
      <c r="CI1232" s="23"/>
    </row>
    <row r="1233" spans="1:87" x14ac:dyDescent="0.3">
      <c r="A1233" s="9" t="s">
        <v>9817</v>
      </c>
      <c r="B1233" s="10" t="s">
        <v>9818</v>
      </c>
      <c r="C1233" s="11">
        <v>45970.875</v>
      </c>
      <c r="D1233" s="12">
        <v>8.3333333333333329E-2</v>
      </c>
      <c r="E1233" s="11">
        <v>45970.958333333336</v>
      </c>
      <c r="F1233" s="10" t="s">
        <v>3211</v>
      </c>
      <c r="G1233" s="13" t="b">
        <v>0</v>
      </c>
      <c r="H1233" s="10" t="s">
        <v>3212</v>
      </c>
      <c r="I1233" s="10" t="s">
        <v>3213</v>
      </c>
      <c r="J1233" s="13" t="b">
        <v>0</v>
      </c>
      <c r="K1233" s="13" t="b">
        <v>1</v>
      </c>
      <c r="L1233" s="10" t="s">
        <v>124</v>
      </c>
      <c r="M1233" s="10" t="s">
        <v>91</v>
      </c>
      <c r="N1233" s="10" t="s">
        <v>92</v>
      </c>
      <c r="O1233" s="19" t="s">
        <v>9819</v>
      </c>
      <c r="P1233" s="10" t="s">
        <v>3215</v>
      </c>
      <c r="Q1233" s="10" t="s">
        <v>126</v>
      </c>
      <c r="R1233" s="10"/>
      <c r="S1233" s="19" t="s">
        <v>9820</v>
      </c>
      <c r="T1233" s="19" t="s">
        <v>9811</v>
      </c>
      <c r="U1233" s="10" t="s">
        <v>3230</v>
      </c>
      <c r="V1233" s="10" t="s">
        <v>3318</v>
      </c>
      <c r="W1233" s="10" t="s">
        <v>3219</v>
      </c>
      <c r="X1233" s="10" t="s">
        <v>130</v>
      </c>
      <c r="Y1233" s="10" t="s">
        <v>130</v>
      </c>
      <c r="Z1233" s="10" t="s">
        <v>99</v>
      </c>
      <c r="AA1233" s="10" t="s">
        <v>131</v>
      </c>
      <c r="AB1233" s="10" t="s">
        <v>3220</v>
      </c>
      <c r="AC1233" s="10" t="s">
        <v>3221</v>
      </c>
      <c r="AD1233" s="10" t="s">
        <v>9821</v>
      </c>
      <c r="AE1233" s="10" t="s">
        <v>9822</v>
      </c>
      <c r="AF1233" s="15"/>
      <c r="AG1233" s="10"/>
      <c r="AH1233" s="10"/>
      <c r="AI1233" s="10"/>
      <c r="AJ1233" s="10"/>
      <c r="AK1233" s="10" t="s">
        <v>102</v>
      </c>
      <c r="AL1233" s="10" t="s">
        <v>1360</v>
      </c>
      <c r="AM1233" s="10"/>
      <c r="AN1233" s="10"/>
      <c r="AO1233" s="13" t="b">
        <v>1</v>
      </c>
      <c r="AP1233" s="10" t="s">
        <v>104</v>
      </c>
      <c r="AQ1233" s="10">
        <f ca="1">IFERROR(__xludf.DUMMYFUNCTION("""COMPUTED_VALUE"""),4708390)</f>
        <v>4708390</v>
      </c>
      <c r="AR1233" s="17">
        <v>40480</v>
      </c>
      <c r="AS1233" s="17">
        <v>28353</v>
      </c>
      <c r="AT1233" s="17">
        <v>609174.25</v>
      </c>
      <c r="AU1233" s="17">
        <v>157.15</v>
      </c>
      <c r="AV1233" s="17">
        <v>32.15</v>
      </c>
      <c r="AW1233" s="10" t="s">
        <v>105</v>
      </c>
      <c r="AX1233" s="17">
        <v>7783</v>
      </c>
      <c r="AY1233" s="18">
        <v>21.485354283497337</v>
      </c>
      <c r="AZ1233" s="10" t="s">
        <v>117</v>
      </c>
      <c r="BA1233" s="20" t="b">
        <v>0</v>
      </c>
      <c r="BB1233" s="10"/>
      <c r="BC1233" s="17">
        <v>40480</v>
      </c>
      <c r="BD1233" s="17">
        <v>28353</v>
      </c>
      <c r="BE1233" s="17">
        <v>609174.25</v>
      </c>
      <c r="BF1233" s="17">
        <v>32.15</v>
      </c>
      <c r="BG1233" s="11">
        <f ca="1">IFERROR(__xludf.DUMMYFUNCTION("""COMPUTED_VALUE"""),45970.875)</f>
        <v>45970.875</v>
      </c>
      <c r="BH1233" s="17" t="s">
        <v>105</v>
      </c>
      <c r="BI1233" s="17"/>
      <c r="BJ1233" s="15"/>
      <c r="BK1233" s="15"/>
      <c r="BL1233" s="13" t="b">
        <v>0</v>
      </c>
      <c r="BM1233" s="10"/>
      <c r="BN1233" s="10" t="s">
        <v>149</v>
      </c>
      <c r="BO1233" s="11">
        <v>45904.28402777778</v>
      </c>
      <c r="BP1233" s="11">
        <v>45940.694837962961</v>
      </c>
      <c r="BQ1233" s="15">
        <v>45967.442199074074</v>
      </c>
      <c r="BR1233" s="15">
        <v>45968.975497685184</v>
      </c>
      <c r="BS1233" s="10" t="s">
        <v>149</v>
      </c>
      <c r="BT1233" s="10" t="s">
        <v>99</v>
      </c>
      <c r="BU1233" s="10" t="s">
        <v>5046</v>
      </c>
      <c r="BV1233" s="10"/>
      <c r="BW1233" s="10"/>
      <c r="BX1233" s="10"/>
      <c r="BY1233" s="23"/>
      <c r="BZ1233" s="23"/>
      <c r="CA1233" s="19" t="s">
        <v>9823</v>
      </c>
      <c r="CB1233" s="19" t="s">
        <v>9824</v>
      </c>
      <c r="CC1233" s="23"/>
      <c r="CD1233" s="19" t="s">
        <v>9825</v>
      </c>
      <c r="CE1233" s="23"/>
      <c r="CF1233" s="23"/>
      <c r="CG1233" s="23"/>
      <c r="CH1233" s="23"/>
      <c r="CI1233" s="23"/>
    </row>
    <row r="1234" spans="1:87" x14ac:dyDescent="0.3">
      <c r="A1234" s="9" t="s">
        <v>9826</v>
      </c>
      <c r="B1234" s="10" t="s">
        <v>9827</v>
      </c>
      <c r="C1234" s="11">
        <v>45969.875</v>
      </c>
      <c r="D1234" s="12">
        <v>8.3333333333333329E-2</v>
      </c>
      <c r="E1234" s="11">
        <v>45969.958333333336</v>
      </c>
      <c r="F1234" s="10" t="s">
        <v>3211</v>
      </c>
      <c r="G1234" s="13" t="b">
        <v>0</v>
      </c>
      <c r="H1234" s="10" t="s">
        <v>3212</v>
      </c>
      <c r="I1234" s="10" t="s">
        <v>3213</v>
      </c>
      <c r="J1234" s="13" t="b">
        <v>0</v>
      </c>
      <c r="K1234" s="13" t="b">
        <v>1</v>
      </c>
      <c r="L1234" s="10" t="s">
        <v>124</v>
      </c>
      <c r="M1234" s="10" t="s">
        <v>91</v>
      </c>
      <c r="N1234" s="10" t="s">
        <v>92</v>
      </c>
      <c r="O1234" s="19" t="s">
        <v>9828</v>
      </c>
      <c r="P1234" s="10" t="s">
        <v>3215</v>
      </c>
      <c r="Q1234" s="10" t="s">
        <v>94</v>
      </c>
      <c r="R1234" s="10"/>
      <c r="S1234" s="19" t="s">
        <v>9829</v>
      </c>
      <c r="T1234" s="10"/>
      <c r="U1234" s="10" t="s">
        <v>3249</v>
      </c>
      <c r="V1234" s="10" t="s">
        <v>3239</v>
      </c>
      <c r="W1234" s="10" t="s">
        <v>3219</v>
      </c>
      <c r="X1234" s="10" t="s">
        <v>130</v>
      </c>
      <c r="Y1234" s="10" t="s">
        <v>130</v>
      </c>
      <c r="Z1234" s="10" t="s">
        <v>99</v>
      </c>
      <c r="AA1234" s="10" t="s">
        <v>131</v>
      </c>
      <c r="AB1234" s="10" t="s">
        <v>3220</v>
      </c>
      <c r="AC1234" s="10" t="s">
        <v>3221</v>
      </c>
      <c r="AD1234" s="10" t="s">
        <v>9830</v>
      </c>
      <c r="AE1234" s="10" t="s">
        <v>9831</v>
      </c>
      <c r="AF1234" s="15"/>
      <c r="AG1234" s="10"/>
      <c r="AH1234" s="10"/>
      <c r="AI1234" s="10"/>
      <c r="AJ1234" s="10"/>
      <c r="AK1234" s="10" t="s">
        <v>102</v>
      </c>
      <c r="AL1234" s="10" t="s">
        <v>1360</v>
      </c>
      <c r="AM1234" s="10"/>
      <c r="AN1234" s="10"/>
      <c r="AO1234" s="13" t="b">
        <v>0</v>
      </c>
      <c r="AP1234" s="10" t="s">
        <v>104</v>
      </c>
      <c r="AQ1234" s="10">
        <f ca="1">IFERROR(__xludf.DUMMYFUNCTION("""COMPUTED_VALUE"""),4706722)</f>
        <v>4706722</v>
      </c>
      <c r="AR1234" s="17">
        <v>38322</v>
      </c>
      <c r="AS1234" s="17">
        <v>28932</v>
      </c>
      <c r="AT1234" s="17">
        <v>554233.25</v>
      </c>
      <c r="AU1234" s="17">
        <v>208.5</v>
      </c>
      <c r="AV1234" s="17">
        <v>41.7</v>
      </c>
      <c r="AW1234" s="10" t="s">
        <v>105</v>
      </c>
      <c r="AX1234" s="17">
        <v>7701</v>
      </c>
      <c r="AY1234" s="18">
        <v>19.156409857597126</v>
      </c>
      <c r="AZ1234" s="10" t="s">
        <v>117</v>
      </c>
      <c r="BA1234" s="20" t="b">
        <v>0</v>
      </c>
      <c r="BB1234" s="10"/>
      <c r="BC1234" s="17">
        <v>38322</v>
      </c>
      <c r="BD1234" s="17">
        <v>28932</v>
      </c>
      <c r="BE1234" s="17">
        <v>554233.25</v>
      </c>
      <c r="BF1234" s="17">
        <v>41.7</v>
      </c>
      <c r="BG1234" s="11">
        <f ca="1">IFERROR(__xludf.DUMMYFUNCTION("""COMPUTED_VALUE"""),45969.875)</f>
        <v>45969.875</v>
      </c>
      <c r="BH1234" s="17" t="s">
        <v>105</v>
      </c>
      <c r="BI1234" s="17"/>
      <c r="BJ1234" s="15"/>
      <c r="BK1234" s="15"/>
      <c r="BL1234" s="13" t="b">
        <v>0</v>
      </c>
      <c r="BM1234" s="10"/>
      <c r="BN1234" s="10" t="s">
        <v>118</v>
      </c>
      <c r="BO1234" s="11">
        <v>45904.28402777778</v>
      </c>
      <c r="BP1234" s="11">
        <v>45940.694027777776</v>
      </c>
      <c r="BQ1234" s="15">
        <v>45967.441157407404</v>
      </c>
      <c r="BR1234" s="15">
        <v>45967.667858796296</v>
      </c>
      <c r="BS1234" s="10" t="s">
        <v>118</v>
      </c>
      <c r="BT1234" s="10"/>
      <c r="BU1234" s="10"/>
      <c r="BV1234" s="10"/>
      <c r="BW1234" s="10"/>
      <c r="BX1234" s="10"/>
      <c r="BY1234" s="23"/>
      <c r="BZ1234" s="23"/>
      <c r="CA1234" s="19" t="s">
        <v>9832</v>
      </c>
      <c r="CB1234" s="23"/>
      <c r="CC1234" s="23"/>
      <c r="CD1234" s="23"/>
      <c r="CE1234" s="23"/>
      <c r="CF1234" s="23"/>
      <c r="CG1234" s="23"/>
      <c r="CH1234" s="23"/>
      <c r="CI1234" s="23"/>
    </row>
    <row r="1235" spans="1:87" x14ac:dyDescent="0.3">
      <c r="A1235" s="9" t="s">
        <v>9833</v>
      </c>
      <c r="B1235" s="10" t="s">
        <v>9834</v>
      </c>
      <c r="C1235" s="11">
        <v>45970.875</v>
      </c>
      <c r="D1235" s="12">
        <v>8.3333333333333329E-2</v>
      </c>
      <c r="E1235" s="11">
        <v>45970.958333333336</v>
      </c>
      <c r="F1235" s="10" t="s">
        <v>3211</v>
      </c>
      <c r="G1235" s="13" t="b">
        <v>0</v>
      </c>
      <c r="H1235" s="10" t="s">
        <v>3212</v>
      </c>
      <c r="I1235" s="10" t="s">
        <v>3213</v>
      </c>
      <c r="J1235" s="13" t="b">
        <v>0</v>
      </c>
      <c r="K1235" s="13" t="b">
        <v>1</v>
      </c>
      <c r="L1235" s="10" t="s">
        <v>124</v>
      </c>
      <c r="M1235" s="10" t="s">
        <v>91</v>
      </c>
      <c r="N1235" s="10" t="s">
        <v>92</v>
      </c>
      <c r="O1235" s="19" t="s">
        <v>9835</v>
      </c>
      <c r="P1235" s="10" t="s">
        <v>3478</v>
      </c>
      <c r="Q1235" s="10" t="s">
        <v>126</v>
      </c>
      <c r="R1235" s="10"/>
      <c r="S1235" s="19" t="s">
        <v>9836</v>
      </c>
      <c r="T1235" s="19" t="s">
        <v>9811</v>
      </c>
      <c r="U1235" s="10" t="s">
        <v>3217</v>
      </c>
      <c r="V1235" s="10" t="s">
        <v>3240</v>
      </c>
      <c r="W1235" s="10" t="s">
        <v>3219</v>
      </c>
      <c r="X1235" s="10" t="s">
        <v>130</v>
      </c>
      <c r="Y1235" s="10" t="s">
        <v>130</v>
      </c>
      <c r="Z1235" s="10" t="s">
        <v>99</v>
      </c>
      <c r="AA1235" s="10" t="s">
        <v>131</v>
      </c>
      <c r="AB1235" s="10" t="s">
        <v>3220</v>
      </c>
      <c r="AC1235" s="10" t="s">
        <v>3221</v>
      </c>
      <c r="AD1235" s="10" t="s">
        <v>9837</v>
      </c>
      <c r="AE1235" s="10" t="s">
        <v>9838</v>
      </c>
      <c r="AF1235" s="15"/>
      <c r="AG1235" s="10"/>
      <c r="AH1235" s="10"/>
      <c r="AI1235" s="10"/>
      <c r="AJ1235" s="10"/>
      <c r="AK1235" s="10" t="s">
        <v>102</v>
      </c>
      <c r="AL1235" s="10" t="s">
        <v>1360</v>
      </c>
      <c r="AM1235" s="10"/>
      <c r="AN1235" s="10"/>
      <c r="AO1235" s="13" t="b">
        <v>0</v>
      </c>
      <c r="AP1235" s="10" t="s">
        <v>104</v>
      </c>
      <c r="AQ1235" s="10">
        <f ca="1">IFERROR(__xludf.DUMMYFUNCTION("""COMPUTED_VALUE"""),4708391)</f>
        <v>4708391</v>
      </c>
      <c r="AR1235" s="17">
        <v>11554</v>
      </c>
      <c r="AS1235" s="17">
        <v>8674</v>
      </c>
      <c r="AT1235" s="17">
        <v>73146.25</v>
      </c>
      <c r="AU1235" s="17">
        <v>21.3</v>
      </c>
      <c r="AV1235" s="17">
        <v>6.7</v>
      </c>
      <c r="AW1235" s="10" t="s">
        <v>105</v>
      </c>
      <c r="AX1235" s="17">
        <v>1533</v>
      </c>
      <c r="AY1235" s="18">
        <v>8.4328164629928519</v>
      </c>
      <c r="AZ1235" s="10" t="s">
        <v>117</v>
      </c>
      <c r="BA1235" s="20" t="b">
        <v>0</v>
      </c>
      <c r="BB1235" s="10"/>
      <c r="BC1235" s="17">
        <v>11554</v>
      </c>
      <c r="BD1235" s="17">
        <v>8674</v>
      </c>
      <c r="BE1235" s="17">
        <v>73146.25</v>
      </c>
      <c r="BF1235" s="17">
        <v>6.7</v>
      </c>
      <c r="BG1235" s="11">
        <f ca="1">IFERROR(__xludf.DUMMYFUNCTION("""COMPUTED_VALUE"""),45970.875)</f>
        <v>45970.875</v>
      </c>
      <c r="BH1235" s="17" t="s">
        <v>105</v>
      </c>
      <c r="BI1235" s="17"/>
      <c r="BJ1235" s="15"/>
      <c r="BK1235" s="15"/>
      <c r="BL1235" s="13" t="b">
        <v>0</v>
      </c>
      <c r="BM1235" s="10"/>
      <c r="BN1235" s="10" t="s">
        <v>197</v>
      </c>
      <c r="BO1235" s="11">
        <v>45904.28402777778</v>
      </c>
      <c r="BP1235" s="11">
        <v>45940.694976851853</v>
      </c>
      <c r="BQ1235" s="15">
        <v>45967.442349537036</v>
      </c>
      <c r="BR1235" s="15">
        <v>45968.995393518519</v>
      </c>
      <c r="BS1235" s="10" t="s">
        <v>197</v>
      </c>
      <c r="BT1235" s="10"/>
      <c r="BU1235" s="10"/>
      <c r="BV1235" s="10"/>
      <c r="BW1235" s="10"/>
      <c r="BX1235" s="10"/>
      <c r="BY1235" s="23"/>
      <c r="BZ1235" s="23"/>
      <c r="CA1235" s="19" t="s">
        <v>9839</v>
      </c>
      <c r="CB1235" s="19" t="s">
        <v>9840</v>
      </c>
      <c r="CC1235" s="23"/>
      <c r="CD1235" s="19" t="s">
        <v>9841</v>
      </c>
      <c r="CE1235" s="23"/>
      <c r="CF1235" s="23"/>
      <c r="CG1235" s="23"/>
      <c r="CH1235" s="23"/>
      <c r="CI1235" s="23"/>
    </row>
    <row r="1236" spans="1:87" x14ac:dyDescent="0.3">
      <c r="A1236" s="9" t="s">
        <v>9842</v>
      </c>
      <c r="B1236" s="10" t="s">
        <v>9843</v>
      </c>
      <c r="C1236" s="11">
        <v>45971.114583333336</v>
      </c>
      <c r="D1236" s="12">
        <v>8.3333333333333329E-2</v>
      </c>
      <c r="E1236" s="11">
        <v>45971.197916666664</v>
      </c>
      <c r="F1236" s="10" t="s">
        <v>3211</v>
      </c>
      <c r="G1236" s="13" t="b">
        <v>0</v>
      </c>
      <c r="H1236" s="10" t="s">
        <v>3212</v>
      </c>
      <c r="I1236" s="10" t="s">
        <v>3213</v>
      </c>
      <c r="J1236" s="13" t="b">
        <v>0</v>
      </c>
      <c r="K1236" s="13" t="b">
        <v>1</v>
      </c>
      <c r="L1236" s="10" t="s">
        <v>124</v>
      </c>
      <c r="M1236" s="10" t="s">
        <v>91</v>
      </c>
      <c r="N1236" s="10" t="s">
        <v>92</v>
      </c>
      <c r="O1236" s="19" t="s">
        <v>9844</v>
      </c>
      <c r="P1236" s="10"/>
      <c r="Q1236" s="10" t="s">
        <v>126</v>
      </c>
      <c r="R1236" s="10"/>
      <c r="S1236" s="19" t="s">
        <v>9845</v>
      </c>
      <c r="T1236" s="19" t="s">
        <v>9811</v>
      </c>
      <c r="U1236" s="10" t="s">
        <v>3278</v>
      </c>
      <c r="V1236" s="10" t="s">
        <v>3250</v>
      </c>
      <c r="W1236" s="10" t="s">
        <v>3219</v>
      </c>
      <c r="X1236" s="10" t="s">
        <v>130</v>
      </c>
      <c r="Y1236" s="10" t="s">
        <v>130</v>
      </c>
      <c r="Z1236" s="10" t="s">
        <v>99</v>
      </c>
      <c r="AA1236" s="10" t="s">
        <v>131</v>
      </c>
      <c r="AB1236" s="10" t="s">
        <v>3220</v>
      </c>
      <c r="AC1236" s="10" t="s">
        <v>3221</v>
      </c>
      <c r="AD1236" s="10" t="s">
        <v>9846</v>
      </c>
      <c r="AE1236" s="10" t="s">
        <v>9847</v>
      </c>
      <c r="AF1236" s="15"/>
      <c r="AG1236" s="10"/>
      <c r="AH1236" s="10"/>
      <c r="AI1236" s="10"/>
      <c r="AJ1236" s="10"/>
      <c r="AK1236" s="10" t="s">
        <v>102</v>
      </c>
      <c r="AL1236" s="10" t="s">
        <v>1360</v>
      </c>
      <c r="AM1236" s="10"/>
      <c r="AN1236" s="10"/>
      <c r="AO1236" s="13" t="b">
        <v>1</v>
      </c>
      <c r="AP1236" s="10" t="s">
        <v>104</v>
      </c>
      <c r="AQ1236" s="10">
        <f ca="1">IFERROR(__xludf.DUMMYFUNCTION("""COMPUTED_VALUE"""),4710008)</f>
        <v>4710008</v>
      </c>
      <c r="AR1236" s="17">
        <v>31686</v>
      </c>
      <c r="AS1236" s="17">
        <v>22133</v>
      </c>
      <c r="AT1236" s="17">
        <v>982234</v>
      </c>
      <c r="AU1236" s="17">
        <v>151.05000000000001</v>
      </c>
      <c r="AV1236" s="17">
        <v>35.15</v>
      </c>
      <c r="AW1236" s="10" t="s">
        <v>105</v>
      </c>
      <c r="AX1236" s="17">
        <v>10585</v>
      </c>
      <c r="AY1236" s="18">
        <v>44.37871052274884</v>
      </c>
      <c r="AZ1236" s="10" t="s">
        <v>117</v>
      </c>
      <c r="BA1236" s="20" t="b">
        <v>0</v>
      </c>
      <c r="BB1236" s="10"/>
      <c r="BC1236" s="17">
        <v>31686</v>
      </c>
      <c r="BD1236" s="17">
        <v>22133</v>
      </c>
      <c r="BE1236" s="17">
        <v>982234</v>
      </c>
      <c r="BF1236" s="17">
        <v>35.15</v>
      </c>
      <c r="BG1236" s="11">
        <f ca="1">IFERROR(__xludf.DUMMYFUNCTION("""COMPUTED_VALUE"""),45971.1145833333)</f>
        <v>45971.114583333299</v>
      </c>
      <c r="BH1236" s="17" t="s">
        <v>105</v>
      </c>
      <c r="BI1236" s="17"/>
      <c r="BJ1236" s="15"/>
      <c r="BK1236" s="15"/>
      <c r="BL1236" s="13" t="b">
        <v>0</v>
      </c>
      <c r="BM1236" s="10"/>
      <c r="BN1236" s="10" t="s">
        <v>149</v>
      </c>
      <c r="BO1236" s="11">
        <v>45904.284594907411</v>
      </c>
      <c r="BP1236" s="11">
        <v>45940.695277777777</v>
      </c>
      <c r="BQ1236" s="15">
        <v>45967.442824074074</v>
      </c>
      <c r="BR1236" s="15">
        <v>45970.716354166667</v>
      </c>
      <c r="BS1236" s="10" t="s">
        <v>149</v>
      </c>
      <c r="BT1236" s="10" t="s">
        <v>99</v>
      </c>
      <c r="BU1236" s="10"/>
      <c r="BV1236" s="10"/>
      <c r="BW1236" s="10"/>
      <c r="BX1236" s="10"/>
      <c r="BY1236" s="23"/>
      <c r="BZ1236" s="23"/>
      <c r="CA1236" s="19" t="s">
        <v>9848</v>
      </c>
      <c r="CB1236" s="19" t="s">
        <v>9849</v>
      </c>
      <c r="CC1236" s="23"/>
      <c r="CD1236" s="19" t="s">
        <v>9850</v>
      </c>
      <c r="CE1236" s="23"/>
      <c r="CF1236" s="23"/>
      <c r="CG1236" s="23"/>
      <c r="CH1236" s="23"/>
      <c r="CI1236" s="23"/>
    </row>
    <row r="1237" spans="1:87" x14ac:dyDescent="0.3">
      <c r="A1237" s="9" t="s">
        <v>9851</v>
      </c>
      <c r="B1237" s="10" t="s">
        <v>9852</v>
      </c>
      <c r="C1237" s="11">
        <v>45970</v>
      </c>
      <c r="D1237" s="12">
        <v>8.3333333333333329E-2</v>
      </c>
      <c r="E1237" s="11">
        <v>45970.083333333336</v>
      </c>
      <c r="F1237" s="10" t="s">
        <v>3211</v>
      </c>
      <c r="G1237" s="13" t="b">
        <v>0</v>
      </c>
      <c r="H1237" s="10" t="s">
        <v>3212</v>
      </c>
      <c r="I1237" s="10" t="s">
        <v>3213</v>
      </c>
      <c r="J1237" s="13" t="b">
        <v>0</v>
      </c>
      <c r="K1237" s="13" t="b">
        <v>1</v>
      </c>
      <c r="L1237" s="10" t="s">
        <v>124</v>
      </c>
      <c r="M1237" s="10" t="s">
        <v>91</v>
      </c>
      <c r="N1237" s="10" t="s">
        <v>92</v>
      </c>
      <c r="O1237" s="19" t="s">
        <v>9853</v>
      </c>
      <c r="P1237" s="10" t="s">
        <v>3215</v>
      </c>
      <c r="Q1237" s="10" t="s">
        <v>126</v>
      </c>
      <c r="R1237" s="10"/>
      <c r="S1237" s="19" t="s">
        <v>9854</v>
      </c>
      <c r="T1237" s="10"/>
      <c r="U1237" s="10" t="s">
        <v>3259</v>
      </c>
      <c r="V1237" s="10" t="s">
        <v>3279</v>
      </c>
      <c r="W1237" s="10" t="s">
        <v>3219</v>
      </c>
      <c r="X1237" s="10" t="s">
        <v>130</v>
      </c>
      <c r="Y1237" s="10" t="s">
        <v>130</v>
      </c>
      <c r="Z1237" s="10" t="s">
        <v>99</v>
      </c>
      <c r="AA1237" s="10" t="s">
        <v>131</v>
      </c>
      <c r="AB1237" s="10" t="s">
        <v>3220</v>
      </c>
      <c r="AC1237" s="10" t="s">
        <v>3221</v>
      </c>
      <c r="AD1237" s="10" t="s">
        <v>9855</v>
      </c>
      <c r="AE1237" s="10" t="s">
        <v>9856</v>
      </c>
      <c r="AF1237" s="15"/>
      <c r="AG1237" s="10"/>
      <c r="AH1237" s="10"/>
      <c r="AI1237" s="10"/>
      <c r="AJ1237" s="10"/>
      <c r="AK1237" s="10" t="s">
        <v>102</v>
      </c>
      <c r="AL1237" s="10" t="s">
        <v>1360</v>
      </c>
      <c r="AM1237" s="10"/>
      <c r="AN1237" s="10"/>
      <c r="AO1237" s="13" t="b">
        <v>1</v>
      </c>
      <c r="AP1237" s="10" t="s">
        <v>104</v>
      </c>
      <c r="AQ1237" s="10">
        <f ca="1">IFERROR(__xludf.DUMMYFUNCTION("""COMPUTED_VALUE"""),4706738)</f>
        <v>4706738</v>
      </c>
      <c r="AR1237" s="17">
        <v>46188</v>
      </c>
      <c r="AS1237" s="17">
        <v>30421</v>
      </c>
      <c r="AT1237" s="17">
        <v>995843.25</v>
      </c>
      <c r="AU1237" s="17">
        <v>383.85</v>
      </c>
      <c r="AV1237" s="17">
        <v>70.400000000000006</v>
      </c>
      <c r="AW1237" s="10" t="s">
        <v>105</v>
      </c>
      <c r="AX1237" s="17">
        <v>11277</v>
      </c>
      <c r="AY1237" s="18">
        <v>32.735388383024883</v>
      </c>
      <c r="AZ1237" s="10" t="s">
        <v>117</v>
      </c>
      <c r="BA1237" s="20" t="b">
        <v>0</v>
      </c>
      <c r="BB1237" s="10"/>
      <c r="BC1237" s="17">
        <v>46188</v>
      </c>
      <c r="BD1237" s="17">
        <v>30421</v>
      </c>
      <c r="BE1237" s="17">
        <v>995843.25</v>
      </c>
      <c r="BF1237" s="17">
        <v>70.400000000000006</v>
      </c>
      <c r="BG1237" s="11">
        <f ca="1">IFERROR(__xludf.DUMMYFUNCTION("""COMPUTED_VALUE"""),45970)</f>
        <v>45970</v>
      </c>
      <c r="BH1237" s="17" t="s">
        <v>105</v>
      </c>
      <c r="BI1237" s="17"/>
      <c r="BJ1237" s="15"/>
      <c r="BK1237" s="15"/>
      <c r="BL1237" s="13" t="b">
        <v>0</v>
      </c>
      <c r="BM1237" s="10"/>
      <c r="BN1237" s="10" t="s">
        <v>197</v>
      </c>
      <c r="BO1237" s="11">
        <v>45904.28402777778</v>
      </c>
      <c r="BP1237" s="11">
        <v>45940.694293981483</v>
      </c>
      <c r="BQ1237" s="15">
        <v>45967.441817129627</v>
      </c>
      <c r="BR1237" s="15">
        <v>45967.766956018517</v>
      </c>
      <c r="BS1237" s="10" t="s">
        <v>197</v>
      </c>
      <c r="BT1237" s="10" t="s">
        <v>99</v>
      </c>
      <c r="BU1237" s="10" t="s">
        <v>6732</v>
      </c>
      <c r="BV1237" s="10" t="s">
        <v>124</v>
      </c>
      <c r="BW1237" s="10" t="s">
        <v>9494</v>
      </c>
      <c r="BX1237" s="19" t="s">
        <v>9857</v>
      </c>
      <c r="BY1237" s="23"/>
      <c r="BZ1237" s="23"/>
      <c r="CA1237" s="19" t="s">
        <v>9858</v>
      </c>
      <c r="CB1237" s="23"/>
      <c r="CC1237" s="23"/>
      <c r="CD1237" s="19" t="s">
        <v>9859</v>
      </c>
      <c r="CE1237" s="23"/>
      <c r="CF1237" s="23"/>
      <c r="CG1237" s="23"/>
      <c r="CH1237" s="23"/>
      <c r="CI1237" s="23"/>
    </row>
    <row r="1238" spans="1:87" x14ac:dyDescent="0.3">
      <c r="A1238" s="9" t="s">
        <v>9860</v>
      </c>
      <c r="B1238" s="10" t="s">
        <v>9861</v>
      </c>
      <c r="C1238" s="11">
        <v>45969.875</v>
      </c>
      <c r="D1238" s="12">
        <v>8.3333333333333329E-2</v>
      </c>
      <c r="E1238" s="11">
        <v>45969.958333333336</v>
      </c>
      <c r="F1238" s="10" t="s">
        <v>3211</v>
      </c>
      <c r="G1238" s="13" t="b">
        <v>0</v>
      </c>
      <c r="H1238" s="10" t="s">
        <v>3212</v>
      </c>
      <c r="I1238" s="10" t="s">
        <v>3213</v>
      </c>
      <c r="J1238" s="13" t="b">
        <v>0</v>
      </c>
      <c r="K1238" s="13" t="b">
        <v>1</v>
      </c>
      <c r="L1238" s="10" t="s">
        <v>124</v>
      </c>
      <c r="M1238" s="10" t="s">
        <v>91</v>
      </c>
      <c r="N1238" s="10" t="s">
        <v>92</v>
      </c>
      <c r="O1238" s="19" t="s">
        <v>9862</v>
      </c>
      <c r="P1238" s="10" t="s">
        <v>88</v>
      </c>
      <c r="Q1238" s="10" t="s">
        <v>126</v>
      </c>
      <c r="R1238" s="10"/>
      <c r="S1238" s="19" t="s">
        <v>9863</v>
      </c>
      <c r="T1238" s="10"/>
      <c r="U1238" s="10" t="s">
        <v>3218</v>
      </c>
      <c r="V1238" s="10" t="s">
        <v>3270</v>
      </c>
      <c r="W1238" s="10" t="s">
        <v>3219</v>
      </c>
      <c r="X1238" s="10" t="s">
        <v>130</v>
      </c>
      <c r="Y1238" s="10" t="s">
        <v>130</v>
      </c>
      <c r="Z1238" s="10" t="s">
        <v>99</v>
      </c>
      <c r="AA1238" s="10" t="s">
        <v>131</v>
      </c>
      <c r="AB1238" s="10" t="s">
        <v>3220</v>
      </c>
      <c r="AC1238" s="10" t="s">
        <v>3221</v>
      </c>
      <c r="AD1238" s="10" t="s">
        <v>9864</v>
      </c>
      <c r="AE1238" s="10" t="s">
        <v>9865</v>
      </c>
      <c r="AF1238" s="15"/>
      <c r="AG1238" s="10"/>
      <c r="AH1238" s="10"/>
      <c r="AI1238" s="10"/>
      <c r="AJ1238" s="10"/>
      <c r="AK1238" s="10" t="s">
        <v>102</v>
      </c>
      <c r="AL1238" s="10" t="s">
        <v>1360</v>
      </c>
      <c r="AM1238" s="10"/>
      <c r="AN1238" s="10"/>
      <c r="AO1238" s="13" t="b">
        <v>0</v>
      </c>
      <c r="AP1238" s="10" t="s">
        <v>104</v>
      </c>
      <c r="AQ1238" s="10">
        <f ca="1">IFERROR(__xludf.DUMMYFUNCTION("""COMPUTED_VALUE"""),4706723)</f>
        <v>4706723</v>
      </c>
      <c r="AR1238" s="17">
        <v>8165</v>
      </c>
      <c r="AS1238" s="17">
        <v>6916</v>
      </c>
      <c r="AT1238" s="17">
        <v>45853.25</v>
      </c>
      <c r="AU1238" s="17">
        <v>24.45</v>
      </c>
      <c r="AV1238" s="17">
        <v>4.05</v>
      </c>
      <c r="AW1238" s="10" t="s">
        <v>105</v>
      </c>
      <c r="AX1238" s="17">
        <v>1009</v>
      </c>
      <c r="AY1238" s="18">
        <v>6.6300245806824751</v>
      </c>
      <c r="AZ1238" s="10" t="s">
        <v>117</v>
      </c>
      <c r="BA1238" s="20" t="b">
        <v>0</v>
      </c>
      <c r="BB1238" s="10"/>
      <c r="BC1238" s="17">
        <v>8165</v>
      </c>
      <c r="BD1238" s="17">
        <v>6916</v>
      </c>
      <c r="BE1238" s="17">
        <v>45853.25</v>
      </c>
      <c r="BF1238" s="17">
        <v>4.05</v>
      </c>
      <c r="BG1238" s="11">
        <f ca="1">IFERROR(__xludf.DUMMYFUNCTION("""COMPUTED_VALUE"""),45969.875)</f>
        <v>45969.875</v>
      </c>
      <c r="BH1238" s="17" t="s">
        <v>105</v>
      </c>
      <c r="BI1238" s="17"/>
      <c r="BJ1238" s="15"/>
      <c r="BK1238" s="15"/>
      <c r="BL1238" s="13" t="b">
        <v>0</v>
      </c>
      <c r="BM1238" s="10"/>
      <c r="BN1238" s="10" t="s">
        <v>118</v>
      </c>
      <c r="BO1238" s="11">
        <v>45904.28402777778</v>
      </c>
      <c r="BP1238" s="11">
        <v>45940.694143518522</v>
      </c>
      <c r="BQ1238" s="15">
        <v>45967.441296296296</v>
      </c>
      <c r="BR1238" s="15">
        <v>45967.667986111112</v>
      </c>
      <c r="BS1238" s="10" t="s">
        <v>118</v>
      </c>
      <c r="BT1238" s="10"/>
      <c r="BU1238" s="10"/>
      <c r="BV1238" s="10"/>
      <c r="BW1238" s="10"/>
      <c r="BX1238" s="10"/>
      <c r="BY1238" s="23"/>
      <c r="BZ1238" s="23"/>
      <c r="CA1238" s="19" t="s">
        <v>9866</v>
      </c>
      <c r="CB1238" s="23"/>
      <c r="CC1238" s="23"/>
      <c r="CD1238" s="19" t="s">
        <v>9867</v>
      </c>
      <c r="CE1238" s="23"/>
      <c r="CF1238" s="23"/>
      <c r="CG1238" s="23"/>
      <c r="CH1238" s="23"/>
      <c r="CI1238" s="23"/>
    </row>
    <row r="1239" spans="1:87" x14ac:dyDescent="0.3">
      <c r="A1239" s="9" t="s">
        <v>9868</v>
      </c>
      <c r="B1239" s="10" t="s">
        <v>9869</v>
      </c>
      <c r="C1239" s="11">
        <v>45970.114583333336</v>
      </c>
      <c r="D1239" s="12">
        <v>8.3333333333333329E-2</v>
      </c>
      <c r="E1239" s="11">
        <v>45970.197916666664</v>
      </c>
      <c r="F1239" s="10" t="s">
        <v>3211</v>
      </c>
      <c r="G1239" s="13" t="b">
        <v>0</v>
      </c>
      <c r="H1239" s="10" t="s">
        <v>3212</v>
      </c>
      <c r="I1239" s="10" t="s">
        <v>3213</v>
      </c>
      <c r="J1239" s="13" t="b">
        <v>0</v>
      </c>
      <c r="K1239" s="13" t="b">
        <v>1</v>
      </c>
      <c r="L1239" s="10" t="s">
        <v>124</v>
      </c>
      <c r="M1239" s="10" t="s">
        <v>91</v>
      </c>
      <c r="N1239" s="10" t="s">
        <v>92</v>
      </c>
      <c r="O1239" s="19" t="s">
        <v>9870</v>
      </c>
      <c r="P1239" s="10" t="s">
        <v>3215</v>
      </c>
      <c r="Q1239" s="10" t="s">
        <v>126</v>
      </c>
      <c r="R1239" s="10"/>
      <c r="S1239" s="19" t="s">
        <v>9871</v>
      </c>
      <c r="T1239" s="19" t="s">
        <v>9811</v>
      </c>
      <c r="U1239" s="10" t="s">
        <v>3260</v>
      </c>
      <c r="V1239" s="10" t="s">
        <v>3289</v>
      </c>
      <c r="W1239" s="10" t="s">
        <v>3219</v>
      </c>
      <c r="X1239" s="10" t="s">
        <v>130</v>
      </c>
      <c r="Y1239" s="10" t="s">
        <v>130</v>
      </c>
      <c r="Z1239" s="10" t="s">
        <v>99</v>
      </c>
      <c r="AA1239" s="10" t="s">
        <v>131</v>
      </c>
      <c r="AB1239" s="10" t="s">
        <v>3220</v>
      </c>
      <c r="AC1239" s="10" t="s">
        <v>3221</v>
      </c>
      <c r="AD1239" s="10" t="s">
        <v>9872</v>
      </c>
      <c r="AE1239" s="10" t="s">
        <v>9873</v>
      </c>
      <c r="AF1239" s="15"/>
      <c r="AG1239" s="10"/>
      <c r="AH1239" s="10"/>
      <c r="AI1239" s="10"/>
      <c r="AJ1239" s="10"/>
      <c r="AK1239" s="10" t="s">
        <v>102</v>
      </c>
      <c r="AL1239" s="10" t="s">
        <v>1360</v>
      </c>
      <c r="AM1239" s="10"/>
      <c r="AN1239" s="10"/>
      <c r="AO1239" s="13" t="b">
        <v>1</v>
      </c>
      <c r="AP1239" s="10" t="s">
        <v>104</v>
      </c>
      <c r="AQ1239" s="10">
        <f ca="1">IFERROR(__xludf.DUMMYFUNCTION("""COMPUTED_VALUE"""),4707268)</f>
        <v>4707268</v>
      </c>
      <c r="AR1239" s="17">
        <v>33101</v>
      </c>
      <c r="AS1239" s="17">
        <v>22489</v>
      </c>
      <c r="AT1239" s="17">
        <v>1060257.25</v>
      </c>
      <c r="AU1239" s="17">
        <v>269.7</v>
      </c>
      <c r="AV1239" s="17">
        <v>53.45</v>
      </c>
      <c r="AW1239" s="10" t="s">
        <v>105</v>
      </c>
      <c r="AX1239" s="17">
        <v>11726</v>
      </c>
      <c r="AY1239" s="18">
        <v>47.14559340121837</v>
      </c>
      <c r="AZ1239" s="10" t="s">
        <v>117</v>
      </c>
      <c r="BA1239" s="20" t="b">
        <v>0</v>
      </c>
      <c r="BB1239" s="10"/>
      <c r="BC1239" s="17">
        <v>33101</v>
      </c>
      <c r="BD1239" s="17">
        <v>22489</v>
      </c>
      <c r="BE1239" s="17">
        <v>1060257.25</v>
      </c>
      <c r="BF1239" s="17">
        <v>53.45</v>
      </c>
      <c r="BG1239" s="11">
        <f ca="1">IFERROR(__xludf.DUMMYFUNCTION("""COMPUTED_VALUE"""),45970.1145833333)</f>
        <v>45970.114583333299</v>
      </c>
      <c r="BH1239" s="17" t="s">
        <v>105</v>
      </c>
      <c r="BI1239" s="17"/>
      <c r="BJ1239" s="15"/>
      <c r="BK1239" s="15"/>
      <c r="BL1239" s="13" t="b">
        <v>0</v>
      </c>
      <c r="BM1239" s="10"/>
      <c r="BN1239" s="10" t="s">
        <v>197</v>
      </c>
      <c r="BO1239" s="11">
        <v>45904.28402777778</v>
      </c>
      <c r="BP1239" s="11">
        <v>45940.694502314815</v>
      </c>
      <c r="BQ1239" s="15">
        <v>45967.441944444443</v>
      </c>
      <c r="BR1239" s="15">
        <v>45968.458715277775</v>
      </c>
      <c r="BS1239" s="10" t="s">
        <v>197</v>
      </c>
      <c r="BT1239" s="10" t="s">
        <v>99</v>
      </c>
      <c r="BU1239" s="10" t="s">
        <v>3752</v>
      </c>
      <c r="BV1239" s="10"/>
      <c r="BW1239" s="10"/>
      <c r="BX1239" s="10"/>
      <c r="BY1239" s="23"/>
      <c r="BZ1239" s="23"/>
      <c r="CA1239" s="19" t="s">
        <v>9874</v>
      </c>
      <c r="CB1239" s="19" t="s">
        <v>9875</v>
      </c>
      <c r="CC1239" s="23"/>
      <c r="CD1239" s="19" t="s">
        <v>9876</v>
      </c>
      <c r="CE1239" s="23"/>
      <c r="CF1239" s="23"/>
      <c r="CG1239" s="23"/>
      <c r="CH1239" s="23"/>
      <c r="CI1239" s="23"/>
    </row>
    <row r="1240" spans="1:87" x14ac:dyDescent="0.3">
      <c r="A1240" s="9" t="s">
        <v>9877</v>
      </c>
      <c r="B1240" s="10" t="s">
        <v>9878</v>
      </c>
      <c r="C1240" s="11">
        <v>45969.114583333336</v>
      </c>
      <c r="D1240" s="12">
        <v>8.3333333333333329E-2</v>
      </c>
      <c r="E1240" s="11">
        <v>45969.197916666664</v>
      </c>
      <c r="F1240" s="10" t="s">
        <v>3211</v>
      </c>
      <c r="G1240" s="13" t="b">
        <v>0</v>
      </c>
      <c r="H1240" s="10" t="s">
        <v>3212</v>
      </c>
      <c r="I1240" s="10" t="s">
        <v>3213</v>
      </c>
      <c r="J1240" s="13" t="b">
        <v>0</v>
      </c>
      <c r="K1240" s="13" t="b">
        <v>1</v>
      </c>
      <c r="L1240" s="10" t="s">
        <v>124</v>
      </c>
      <c r="M1240" s="10" t="s">
        <v>91</v>
      </c>
      <c r="N1240" s="10" t="s">
        <v>92</v>
      </c>
      <c r="O1240" s="19" t="s">
        <v>9879</v>
      </c>
      <c r="P1240" s="10" t="s">
        <v>3215</v>
      </c>
      <c r="Q1240" s="10" t="s">
        <v>126</v>
      </c>
      <c r="R1240" s="10"/>
      <c r="S1240" s="19" t="s">
        <v>9880</v>
      </c>
      <c r="T1240" s="19" t="s">
        <v>9811</v>
      </c>
      <c r="U1240" s="10" t="s">
        <v>3451</v>
      </c>
      <c r="V1240" s="10" t="s">
        <v>3440</v>
      </c>
      <c r="W1240" s="10" t="s">
        <v>3219</v>
      </c>
      <c r="X1240" s="10" t="s">
        <v>130</v>
      </c>
      <c r="Y1240" s="10" t="s">
        <v>130</v>
      </c>
      <c r="Z1240" s="10" t="s">
        <v>99</v>
      </c>
      <c r="AA1240" s="10" t="s">
        <v>131</v>
      </c>
      <c r="AB1240" s="10" t="s">
        <v>3220</v>
      </c>
      <c r="AC1240" s="10" t="s">
        <v>3221</v>
      </c>
      <c r="AD1240" s="10" t="s">
        <v>9881</v>
      </c>
      <c r="AE1240" s="10" t="s">
        <v>9882</v>
      </c>
      <c r="AF1240" s="15"/>
      <c r="AG1240" s="10"/>
      <c r="AH1240" s="10"/>
      <c r="AI1240" s="10"/>
      <c r="AJ1240" s="10"/>
      <c r="AK1240" s="10" t="s">
        <v>102</v>
      </c>
      <c r="AL1240" s="10" t="s">
        <v>1360</v>
      </c>
      <c r="AM1240" s="10"/>
      <c r="AN1240" s="10"/>
      <c r="AO1240" s="13" t="b">
        <v>1</v>
      </c>
      <c r="AP1240" s="10" t="s">
        <v>104</v>
      </c>
      <c r="AQ1240" s="10">
        <f ca="1">IFERROR(__xludf.DUMMYFUNCTION("""COMPUTED_VALUE"""),4706549)</f>
        <v>4706549</v>
      </c>
      <c r="AR1240" s="17">
        <v>3987</v>
      </c>
      <c r="AS1240" s="17">
        <v>3156</v>
      </c>
      <c r="AT1240" s="17">
        <v>83475</v>
      </c>
      <c r="AU1240" s="17">
        <v>6.05</v>
      </c>
      <c r="AV1240" s="17">
        <v>0.1</v>
      </c>
      <c r="AW1240" s="10" t="s">
        <v>105</v>
      </c>
      <c r="AX1240" s="17">
        <v>1182</v>
      </c>
      <c r="AY1240" s="18">
        <v>26.449619771863119</v>
      </c>
      <c r="AZ1240" s="10" t="s">
        <v>117</v>
      </c>
      <c r="BA1240" s="20" t="b">
        <v>0</v>
      </c>
      <c r="BB1240" s="10"/>
      <c r="BC1240" s="17">
        <v>3987</v>
      </c>
      <c r="BD1240" s="17">
        <v>3156</v>
      </c>
      <c r="BE1240" s="17">
        <v>83475</v>
      </c>
      <c r="BF1240" s="17">
        <v>0.1</v>
      </c>
      <c r="BG1240" s="11">
        <f ca="1">IFERROR(__xludf.DUMMYFUNCTION("""COMPUTED_VALUE"""),45969.1145833333)</f>
        <v>45969.114583333299</v>
      </c>
      <c r="BH1240" s="17" t="s">
        <v>105</v>
      </c>
      <c r="BI1240" s="17"/>
      <c r="BJ1240" s="15"/>
      <c r="BK1240" s="15"/>
      <c r="BL1240" s="13" t="b">
        <v>0</v>
      </c>
      <c r="BM1240" s="10"/>
      <c r="BN1240" s="10" t="s">
        <v>197</v>
      </c>
      <c r="BO1240" s="11">
        <v>45904.28402777778</v>
      </c>
      <c r="BP1240" s="11">
        <v>45940.693865740737</v>
      </c>
      <c r="BQ1240" s="15">
        <v>45967.441018518519</v>
      </c>
      <c r="BR1240" s="15">
        <v>45967.540312500001</v>
      </c>
      <c r="BS1240" s="10" t="s">
        <v>197</v>
      </c>
      <c r="BT1240" s="10" t="s">
        <v>99</v>
      </c>
      <c r="BU1240" s="10" t="s">
        <v>5463</v>
      </c>
      <c r="BV1240" s="10"/>
      <c r="BW1240" s="10"/>
      <c r="BX1240" s="10"/>
      <c r="BY1240" s="23"/>
      <c r="BZ1240" s="23"/>
      <c r="CA1240" s="19" t="s">
        <v>9883</v>
      </c>
      <c r="CB1240" s="19" t="s">
        <v>9884</v>
      </c>
      <c r="CC1240" s="23"/>
      <c r="CD1240" s="19" t="s">
        <v>9885</v>
      </c>
      <c r="CE1240" s="23"/>
      <c r="CF1240" s="23"/>
      <c r="CG1240" s="23"/>
      <c r="CH1240" s="23"/>
      <c r="CI1240" s="23"/>
    </row>
    <row r="1241" spans="1:87" x14ac:dyDescent="0.3">
      <c r="A1241" s="9" t="s">
        <v>9886</v>
      </c>
      <c r="B1241" s="10" t="s">
        <v>9887</v>
      </c>
      <c r="C1241" s="11">
        <v>45971</v>
      </c>
      <c r="D1241" s="12">
        <v>8.3333333333333329E-2</v>
      </c>
      <c r="E1241" s="11">
        <v>45971.083333333336</v>
      </c>
      <c r="F1241" s="10" t="s">
        <v>3211</v>
      </c>
      <c r="G1241" s="13" t="b">
        <v>0</v>
      </c>
      <c r="H1241" s="10" t="s">
        <v>3212</v>
      </c>
      <c r="I1241" s="10" t="s">
        <v>3213</v>
      </c>
      <c r="J1241" s="13" t="b">
        <v>0</v>
      </c>
      <c r="K1241" s="13" t="b">
        <v>1</v>
      </c>
      <c r="L1241" s="10" t="s">
        <v>124</v>
      </c>
      <c r="M1241" s="10" t="s">
        <v>91</v>
      </c>
      <c r="N1241" s="10" t="s">
        <v>92</v>
      </c>
      <c r="O1241" s="19" t="s">
        <v>9888</v>
      </c>
      <c r="P1241" s="10" t="s">
        <v>3215</v>
      </c>
      <c r="Q1241" s="10" t="s">
        <v>126</v>
      </c>
      <c r="R1241" s="10"/>
      <c r="S1241" s="19" t="s">
        <v>9889</v>
      </c>
      <c r="T1241" s="19" t="s">
        <v>9811</v>
      </c>
      <c r="U1241" s="10" t="s">
        <v>3229</v>
      </c>
      <c r="V1241" s="10" t="s">
        <v>3269</v>
      </c>
      <c r="W1241" s="10" t="s">
        <v>3219</v>
      </c>
      <c r="X1241" s="10" t="s">
        <v>130</v>
      </c>
      <c r="Y1241" s="10" t="s">
        <v>130</v>
      </c>
      <c r="Z1241" s="10" t="s">
        <v>99</v>
      </c>
      <c r="AA1241" s="10" t="s">
        <v>131</v>
      </c>
      <c r="AB1241" s="10" t="s">
        <v>3220</v>
      </c>
      <c r="AC1241" s="10" t="s">
        <v>3221</v>
      </c>
      <c r="AD1241" s="10" t="s">
        <v>9890</v>
      </c>
      <c r="AE1241" s="10" t="s">
        <v>9891</v>
      </c>
      <c r="AF1241" s="15"/>
      <c r="AG1241" s="10"/>
      <c r="AH1241" s="10"/>
      <c r="AI1241" s="10"/>
      <c r="AJ1241" s="10"/>
      <c r="AK1241" s="10" t="s">
        <v>102</v>
      </c>
      <c r="AL1241" s="10" t="s">
        <v>1360</v>
      </c>
      <c r="AM1241" s="10"/>
      <c r="AN1241" s="10"/>
      <c r="AO1241" s="13" t="b">
        <v>1</v>
      </c>
      <c r="AP1241" s="10" t="s">
        <v>104</v>
      </c>
      <c r="AQ1241" s="10">
        <f ca="1">IFERROR(__xludf.DUMMYFUNCTION("""COMPUTED_VALUE"""),4708921)</f>
        <v>4708921</v>
      </c>
      <c r="AR1241" s="17">
        <v>19770</v>
      </c>
      <c r="AS1241" s="17">
        <v>14976</v>
      </c>
      <c r="AT1241" s="17">
        <v>459121.25</v>
      </c>
      <c r="AU1241" s="17">
        <v>109.65</v>
      </c>
      <c r="AV1241" s="17">
        <v>20.100000000000001</v>
      </c>
      <c r="AW1241" s="10" t="s">
        <v>105</v>
      </c>
      <c r="AX1241" s="17">
        <v>5442</v>
      </c>
      <c r="AY1241" s="18">
        <v>30.657134748931625</v>
      </c>
      <c r="AZ1241" s="10" t="s">
        <v>117</v>
      </c>
      <c r="BA1241" s="20" t="b">
        <v>0</v>
      </c>
      <c r="BB1241" s="10"/>
      <c r="BC1241" s="17">
        <v>19770</v>
      </c>
      <c r="BD1241" s="17">
        <v>14976</v>
      </c>
      <c r="BE1241" s="17">
        <v>459121.25</v>
      </c>
      <c r="BF1241" s="17">
        <v>20.100000000000001</v>
      </c>
      <c r="BG1241" s="11">
        <f ca="1">IFERROR(__xludf.DUMMYFUNCTION("""COMPUTED_VALUE"""),45971)</f>
        <v>45971</v>
      </c>
      <c r="BH1241" s="17" t="s">
        <v>105</v>
      </c>
      <c r="BI1241" s="17"/>
      <c r="BJ1241" s="15"/>
      <c r="BK1241" s="15"/>
      <c r="BL1241" s="13" t="b">
        <v>0</v>
      </c>
      <c r="BM1241" s="10"/>
      <c r="BN1241" s="10" t="s">
        <v>634</v>
      </c>
      <c r="BO1241" s="11">
        <v>45904.28402777778</v>
      </c>
      <c r="BP1241" s="11">
        <v>45940.695138888892</v>
      </c>
      <c r="BQ1241" s="15">
        <v>45967.442685185182</v>
      </c>
      <c r="BR1241" s="15">
        <v>45969.794293981482</v>
      </c>
      <c r="BS1241" s="10" t="s">
        <v>634</v>
      </c>
      <c r="BT1241" s="10" t="s">
        <v>99</v>
      </c>
      <c r="BU1241" s="10"/>
      <c r="BV1241" s="10"/>
      <c r="BW1241" s="10"/>
      <c r="BX1241" s="10"/>
      <c r="BY1241" s="23"/>
      <c r="BZ1241" s="23"/>
      <c r="CA1241" s="19" t="s">
        <v>9892</v>
      </c>
      <c r="CB1241" s="19" t="s">
        <v>9893</v>
      </c>
      <c r="CC1241" s="23"/>
      <c r="CD1241" s="19" t="s">
        <v>9894</v>
      </c>
      <c r="CE1241" s="23"/>
      <c r="CF1241" s="23"/>
      <c r="CG1241" s="23"/>
      <c r="CH1241" s="23"/>
      <c r="CI1241" s="23"/>
    </row>
    <row r="1242" spans="1:87" x14ac:dyDescent="0.3">
      <c r="A1242" s="9" t="s">
        <v>9895</v>
      </c>
      <c r="B1242" s="10" t="s">
        <v>9896</v>
      </c>
      <c r="C1242" s="11">
        <v>45983.875</v>
      </c>
      <c r="D1242" s="12">
        <v>8.3333333333333329E-2</v>
      </c>
      <c r="E1242" s="11">
        <v>45983.958333333336</v>
      </c>
      <c r="F1242" s="10" t="s">
        <v>3211</v>
      </c>
      <c r="G1242" s="13" t="b">
        <v>0</v>
      </c>
      <c r="H1242" s="10" t="s">
        <v>3212</v>
      </c>
      <c r="I1242" s="10" t="s">
        <v>3213</v>
      </c>
      <c r="J1242" s="13" t="b">
        <v>0</v>
      </c>
      <c r="K1242" s="13" t="b">
        <v>1</v>
      </c>
      <c r="L1242" s="10" t="s">
        <v>124</v>
      </c>
      <c r="M1242" s="10" t="s">
        <v>91</v>
      </c>
      <c r="N1242" s="10" t="s">
        <v>92</v>
      </c>
      <c r="O1242" s="19" t="s">
        <v>9897</v>
      </c>
      <c r="P1242" s="10" t="s">
        <v>3478</v>
      </c>
      <c r="Q1242" s="10" t="s">
        <v>94</v>
      </c>
      <c r="R1242" s="10"/>
      <c r="S1242" s="19" t="s">
        <v>9898</v>
      </c>
      <c r="T1242" s="19" t="s">
        <v>9899</v>
      </c>
      <c r="U1242" s="10" t="s">
        <v>3239</v>
      </c>
      <c r="V1242" s="10" t="s">
        <v>3217</v>
      </c>
      <c r="W1242" s="10" t="s">
        <v>3219</v>
      </c>
      <c r="X1242" s="10" t="s">
        <v>130</v>
      </c>
      <c r="Y1242" s="10" t="s">
        <v>130</v>
      </c>
      <c r="Z1242" s="10" t="s">
        <v>99</v>
      </c>
      <c r="AA1242" s="10" t="s">
        <v>131</v>
      </c>
      <c r="AB1242" s="10" t="s">
        <v>3220</v>
      </c>
      <c r="AC1242" s="10" t="s">
        <v>3221</v>
      </c>
      <c r="AD1242" s="10" t="s">
        <v>9900</v>
      </c>
      <c r="AE1242" s="10" t="s">
        <v>9901</v>
      </c>
      <c r="AF1242" s="15"/>
      <c r="AG1242" s="10"/>
      <c r="AH1242" s="10"/>
      <c r="AI1242" s="10"/>
      <c r="AJ1242" s="10" t="s">
        <v>9902</v>
      </c>
      <c r="AK1242" s="10" t="s">
        <v>102</v>
      </c>
      <c r="AL1242" s="10" t="s">
        <v>1467</v>
      </c>
      <c r="AM1242" s="10"/>
      <c r="AN1242" s="10"/>
      <c r="AO1242" s="13" t="b">
        <v>0</v>
      </c>
      <c r="AP1242" s="10" t="s">
        <v>104</v>
      </c>
      <c r="AQ1242" s="10">
        <f ca="1">IFERROR(__xludf.DUMMYFUNCTION("""COMPUTED_VALUE"""),4725606)</f>
        <v>4725606</v>
      </c>
      <c r="AR1242" s="17">
        <v>8613</v>
      </c>
      <c r="AS1242" s="17">
        <v>6996</v>
      </c>
      <c r="AT1242" s="17">
        <v>59202.75</v>
      </c>
      <c r="AU1242" s="17">
        <v>38.5</v>
      </c>
      <c r="AV1242" s="17">
        <v>2.5</v>
      </c>
      <c r="AW1242" s="10" t="s">
        <v>105</v>
      </c>
      <c r="AX1242" s="17">
        <v>1224</v>
      </c>
      <c r="AY1242" s="18">
        <v>8.4623713550600339</v>
      </c>
      <c r="AZ1242" s="10" t="s">
        <v>117</v>
      </c>
      <c r="BA1242" s="20" t="b">
        <v>0</v>
      </c>
      <c r="BB1242" s="10"/>
      <c r="BC1242" s="17">
        <v>8613</v>
      </c>
      <c r="BD1242" s="17">
        <v>6996</v>
      </c>
      <c r="BE1242" s="17">
        <v>59202.75</v>
      </c>
      <c r="BF1242" s="17">
        <v>2.5</v>
      </c>
      <c r="BG1242" s="11">
        <f ca="1">IFERROR(__xludf.DUMMYFUNCTION("""COMPUTED_VALUE"""),45983.875)</f>
        <v>45983.875</v>
      </c>
      <c r="BH1242" s="17" t="s">
        <v>105</v>
      </c>
      <c r="BI1242" s="17"/>
      <c r="BJ1242" s="15"/>
      <c r="BK1242" s="15"/>
      <c r="BL1242" s="13" t="b">
        <v>0</v>
      </c>
      <c r="BM1242" s="10"/>
      <c r="BN1242" s="10" t="s">
        <v>149</v>
      </c>
      <c r="BO1242" s="11">
        <v>45904.284594907411</v>
      </c>
      <c r="BP1242" s="11">
        <v>45980.875196759262</v>
      </c>
      <c r="BQ1242" s="15">
        <v>45980.509479166663</v>
      </c>
      <c r="BR1242" s="15">
        <v>45981.394328703704</v>
      </c>
      <c r="BS1242" s="10" t="s">
        <v>149</v>
      </c>
      <c r="BT1242" s="10" t="s">
        <v>99</v>
      </c>
      <c r="BU1242" s="10" t="s">
        <v>521</v>
      </c>
      <c r="BV1242" s="10"/>
      <c r="BW1242" s="10"/>
      <c r="BX1242" s="10"/>
      <c r="BY1242" s="23"/>
      <c r="BZ1242" s="23"/>
      <c r="CA1242" s="19" t="s">
        <v>9903</v>
      </c>
      <c r="CB1242" s="19" t="s">
        <v>9904</v>
      </c>
      <c r="CC1242" s="23"/>
      <c r="CD1242" s="23"/>
      <c r="CE1242" s="23"/>
      <c r="CF1242" s="23"/>
      <c r="CG1242" s="23"/>
      <c r="CH1242" s="23"/>
      <c r="CI1242" s="23"/>
    </row>
    <row r="1243" spans="1:87" x14ac:dyDescent="0.3">
      <c r="A1243" s="9" t="s">
        <v>9905</v>
      </c>
      <c r="B1243" s="10" t="s">
        <v>9906</v>
      </c>
      <c r="C1243" s="11">
        <v>45984.875</v>
      </c>
      <c r="D1243" s="12">
        <v>8.3333333333333329E-2</v>
      </c>
      <c r="E1243" s="11">
        <v>45984.958333333336</v>
      </c>
      <c r="F1243" s="10" t="s">
        <v>3211</v>
      </c>
      <c r="G1243" s="13" t="b">
        <v>0</v>
      </c>
      <c r="H1243" s="10" t="s">
        <v>3212</v>
      </c>
      <c r="I1243" s="10" t="s">
        <v>3213</v>
      </c>
      <c r="J1243" s="13" t="b">
        <v>0</v>
      </c>
      <c r="K1243" s="13" t="b">
        <v>1</v>
      </c>
      <c r="L1243" s="10" t="s">
        <v>358</v>
      </c>
      <c r="M1243" s="10" t="s">
        <v>91</v>
      </c>
      <c r="N1243" s="10" t="s">
        <v>92</v>
      </c>
      <c r="O1243" s="19" t="s">
        <v>9907</v>
      </c>
      <c r="P1243" s="10" t="s">
        <v>3215</v>
      </c>
      <c r="Q1243" s="10" t="s">
        <v>126</v>
      </c>
      <c r="R1243" s="10"/>
      <c r="S1243" s="19" t="s">
        <v>9908</v>
      </c>
      <c r="T1243" s="19" t="s">
        <v>9899</v>
      </c>
      <c r="U1243" s="10" t="s">
        <v>3440</v>
      </c>
      <c r="V1243" s="10" t="s">
        <v>3229</v>
      </c>
      <c r="W1243" s="10" t="s">
        <v>3219</v>
      </c>
      <c r="X1243" s="10" t="s">
        <v>130</v>
      </c>
      <c r="Y1243" s="10" t="s">
        <v>130</v>
      </c>
      <c r="Z1243" s="10" t="s">
        <v>99</v>
      </c>
      <c r="AA1243" s="10" t="s">
        <v>131</v>
      </c>
      <c r="AB1243" s="10" t="s">
        <v>3220</v>
      </c>
      <c r="AC1243" s="10" t="s">
        <v>3221</v>
      </c>
      <c r="AD1243" s="10" t="s">
        <v>9909</v>
      </c>
      <c r="AE1243" s="10" t="s">
        <v>9910</v>
      </c>
      <c r="AF1243" s="15"/>
      <c r="AG1243" s="10"/>
      <c r="AH1243" s="10"/>
      <c r="AI1243" s="10"/>
      <c r="AJ1243" s="10"/>
      <c r="AK1243" s="10" t="s">
        <v>102</v>
      </c>
      <c r="AL1243" s="10" t="s">
        <v>1467</v>
      </c>
      <c r="AM1243" s="10"/>
      <c r="AN1243" s="10"/>
      <c r="AO1243" s="13" t="b">
        <v>1</v>
      </c>
      <c r="AP1243" s="10" t="s">
        <v>104</v>
      </c>
      <c r="AQ1243" s="10">
        <f ca="1">IFERROR(__xludf.DUMMYFUNCTION("""COMPUTED_VALUE"""),4725611)</f>
        <v>4725611</v>
      </c>
      <c r="AR1243" s="17">
        <v>61146</v>
      </c>
      <c r="AS1243" s="17">
        <v>44614</v>
      </c>
      <c r="AT1243" s="17">
        <v>1033684.5</v>
      </c>
      <c r="AU1243" s="17">
        <v>673.55</v>
      </c>
      <c r="AV1243" s="17">
        <v>92.9</v>
      </c>
      <c r="AW1243" s="10" t="s">
        <v>105</v>
      </c>
      <c r="AX1243" s="17">
        <v>13506</v>
      </c>
      <c r="AY1243" s="18">
        <v>23.169509570986687</v>
      </c>
      <c r="AZ1243" s="10" t="s">
        <v>117</v>
      </c>
      <c r="BA1243" s="20" t="b">
        <v>0</v>
      </c>
      <c r="BB1243" s="10"/>
      <c r="BC1243" s="17">
        <v>61146</v>
      </c>
      <c r="BD1243" s="17">
        <v>44614</v>
      </c>
      <c r="BE1243" s="17">
        <v>1033684.5</v>
      </c>
      <c r="BF1243" s="17">
        <v>92.9</v>
      </c>
      <c r="BG1243" s="11">
        <f ca="1">IFERROR(__xludf.DUMMYFUNCTION("""COMPUTED_VALUE"""),45984.875)</f>
        <v>45984.875</v>
      </c>
      <c r="BH1243" s="17" t="s">
        <v>105</v>
      </c>
      <c r="BI1243" s="17"/>
      <c r="BJ1243" s="15"/>
      <c r="BK1243" s="15"/>
      <c r="BL1243" s="13" t="b">
        <v>0</v>
      </c>
      <c r="BM1243" s="10"/>
      <c r="BN1243" s="10" t="s">
        <v>149</v>
      </c>
      <c r="BO1243" s="11">
        <v>45904.28402777778</v>
      </c>
      <c r="BP1243" s="11">
        <v>45944.655277777776</v>
      </c>
      <c r="BQ1243" s="15">
        <v>45980.510057870371</v>
      </c>
      <c r="BR1243" s="15">
        <v>45981.394930555558</v>
      </c>
      <c r="BS1243" s="10" t="s">
        <v>149</v>
      </c>
      <c r="BT1243" s="10" t="s">
        <v>99</v>
      </c>
      <c r="BU1243" s="10" t="s">
        <v>730</v>
      </c>
      <c r="BV1243" s="10" t="s">
        <v>124</v>
      </c>
      <c r="BW1243" s="10"/>
      <c r="BX1243" s="10"/>
      <c r="BY1243" s="23"/>
      <c r="BZ1243" s="23"/>
      <c r="CA1243" s="19" t="s">
        <v>9911</v>
      </c>
      <c r="CB1243" s="19" t="s">
        <v>9912</v>
      </c>
      <c r="CC1243" s="23"/>
      <c r="CD1243" s="19" t="s">
        <v>9913</v>
      </c>
      <c r="CE1243" s="23"/>
      <c r="CF1243" s="23"/>
      <c r="CG1243" s="23"/>
      <c r="CH1243" s="23"/>
      <c r="CI1243" s="23"/>
    </row>
    <row r="1244" spans="1:87" x14ac:dyDescent="0.3">
      <c r="A1244" s="9" t="s">
        <v>9914</v>
      </c>
      <c r="B1244" s="10" t="s">
        <v>9915</v>
      </c>
      <c r="C1244" s="11">
        <v>45984</v>
      </c>
      <c r="D1244" s="12">
        <v>8.3333333333333329E-2</v>
      </c>
      <c r="E1244" s="11">
        <v>45984.083333333336</v>
      </c>
      <c r="F1244" s="10" t="s">
        <v>3211</v>
      </c>
      <c r="G1244" s="13" t="b">
        <v>0</v>
      </c>
      <c r="H1244" s="10" t="s">
        <v>3212</v>
      </c>
      <c r="I1244" s="10" t="s">
        <v>3213</v>
      </c>
      <c r="J1244" s="13" t="b">
        <v>0</v>
      </c>
      <c r="K1244" s="13" t="b">
        <v>1</v>
      </c>
      <c r="L1244" s="10" t="s">
        <v>124</v>
      </c>
      <c r="M1244" s="10" t="s">
        <v>91</v>
      </c>
      <c r="N1244" s="10" t="s">
        <v>92</v>
      </c>
      <c r="O1244" s="19" t="s">
        <v>9916</v>
      </c>
      <c r="P1244" s="10" t="s">
        <v>3215</v>
      </c>
      <c r="Q1244" s="10" t="s">
        <v>126</v>
      </c>
      <c r="R1244" s="10"/>
      <c r="S1244" s="19" t="s">
        <v>9917</v>
      </c>
      <c r="T1244" s="19" t="s">
        <v>9899</v>
      </c>
      <c r="U1244" s="10" t="s">
        <v>3240</v>
      </c>
      <c r="V1244" s="10" t="s">
        <v>3259</v>
      </c>
      <c r="W1244" s="10" t="s">
        <v>3219</v>
      </c>
      <c r="X1244" s="10" t="s">
        <v>130</v>
      </c>
      <c r="Y1244" s="10" t="s">
        <v>130</v>
      </c>
      <c r="Z1244" s="10" t="s">
        <v>99</v>
      </c>
      <c r="AA1244" s="10" t="s">
        <v>131</v>
      </c>
      <c r="AB1244" s="10" t="s">
        <v>3220</v>
      </c>
      <c r="AC1244" s="10" t="s">
        <v>3221</v>
      </c>
      <c r="AD1244" s="10" t="s">
        <v>9918</v>
      </c>
      <c r="AE1244" s="10" t="s">
        <v>9919</v>
      </c>
      <c r="AF1244" s="15"/>
      <c r="AG1244" s="10"/>
      <c r="AH1244" s="10"/>
      <c r="AI1244" s="10"/>
      <c r="AJ1244" s="10"/>
      <c r="AK1244" s="10" t="s">
        <v>102</v>
      </c>
      <c r="AL1244" s="10" t="s">
        <v>1467</v>
      </c>
      <c r="AM1244" s="10"/>
      <c r="AN1244" s="10"/>
      <c r="AO1244" s="13" t="b">
        <v>1</v>
      </c>
      <c r="AP1244" s="10" t="s">
        <v>104</v>
      </c>
      <c r="AQ1244" s="10">
        <f ca="1">IFERROR(__xludf.DUMMYFUNCTION("""COMPUTED_VALUE"""),4725608)</f>
        <v>4725608</v>
      </c>
      <c r="AR1244" s="17">
        <v>38589</v>
      </c>
      <c r="AS1244" s="17">
        <v>29057</v>
      </c>
      <c r="AT1244" s="17">
        <v>859741.25</v>
      </c>
      <c r="AU1244" s="17">
        <v>516.15</v>
      </c>
      <c r="AV1244" s="17">
        <v>58.7</v>
      </c>
      <c r="AW1244" s="10" t="s">
        <v>105</v>
      </c>
      <c r="AX1244" s="17">
        <v>10446</v>
      </c>
      <c r="AY1244" s="18">
        <v>29.588094090924734</v>
      </c>
      <c r="AZ1244" s="10" t="s">
        <v>117</v>
      </c>
      <c r="BA1244" s="20" t="b">
        <v>0</v>
      </c>
      <c r="BB1244" s="10"/>
      <c r="BC1244" s="17">
        <v>38589</v>
      </c>
      <c r="BD1244" s="17">
        <v>29057</v>
      </c>
      <c r="BE1244" s="17">
        <v>859741.25</v>
      </c>
      <c r="BF1244" s="17">
        <v>58.7</v>
      </c>
      <c r="BG1244" s="11">
        <f ca="1">IFERROR(__xludf.DUMMYFUNCTION("""COMPUTED_VALUE"""),45984)</f>
        <v>45984</v>
      </c>
      <c r="BH1244" s="17" t="s">
        <v>105</v>
      </c>
      <c r="BI1244" s="17"/>
      <c r="BJ1244" s="15"/>
      <c r="BK1244" s="15"/>
      <c r="BL1244" s="13" t="b">
        <v>0</v>
      </c>
      <c r="BM1244" s="10"/>
      <c r="BN1244" s="10" t="s">
        <v>667</v>
      </c>
      <c r="BO1244" s="11">
        <v>45904.28402777778</v>
      </c>
      <c r="BP1244" s="11">
        <v>45944.653981481482</v>
      </c>
      <c r="BQ1244" s="15">
        <v>45980.509745370371</v>
      </c>
      <c r="BR1244" s="15">
        <v>45981.394583333335</v>
      </c>
      <c r="BS1244" s="10" t="s">
        <v>667</v>
      </c>
      <c r="BT1244" s="10" t="s">
        <v>279</v>
      </c>
      <c r="BU1244" s="10" t="s">
        <v>521</v>
      </c>
      <c r="BV1244" s="10"/>
      <c r="BW1244" s="10"/>
      <c r="BX1244" s="10"/>
      <c r="BY1244" s="23"/>
      <c r="BZ1244" s="23"/>
      <c r="CA1244" s="19" t="s">
        <v>9920</v>
      </c>
      <c r="CB1244" s="19" t="s">
        <v>9921</v>
      </c>
      <c r="CC1244" s="23"/>
      <c r="CD1244" s="19" t="s">
        <v>9922</v>
      </c>
      <c r="CE1244" s="23"/>
      <c r="CF1244" s="23"/>
      <c r="CG1244" s="23"/>
      <c r="CH1244" s="23"/>
      <c r="CI1244" s="23"/>
    </row>
    <row r="1245" spans="1:87" x14ac:dyDescent="0.3">
      <c r="A1245" s="9" t="s">
        <v>9923</v>
      </c>
      <c r="B1245" s="10" t="s">
        <v>9924</v>
      </c>
      <c r="C1245" s="11">
        <v>45985.114583333336</v>
      </c>
      <c r="D1245" s="12">
        <v>8.3333333333333329E-2</v>
      </c>
      <c r="E1245" s="11">
        <v>45985.197916666664</v>
      </c>
      <c r="F1245" s="10" t="s">
        <v>3211</v>
      </c>
      <c r="G1245" s="13" t="b">
        <v>0</v>
      </c>
      <c r="H1245" s="10" t="s">
        <v>3212</v>
      </c>
      <c r="I1245" s="10" t="s">
        <v>3213</v>
      </c>
      <c r="J1245" s="13" t="b">
        <v>0</v>
      </c>
      <c r="K1245" s="13" t="b">
        <v>1</v>
      </c>
      <c r="L1245" s="10" t="s">
        <v>124</v>
      </c>
      <c r="M1245" s="10" t="s">
        <v>91</v>
      </c>
      <c r="N1245" s="10" t="s">
        <v>92</v>
      </c>
      <c r="O1245" s="19" t="s">
        <v>9925</v>
      </c>
      <c r="P1245" s="10" t="s">
        <v>3215</v>
      </c>
      <c r="Q1245" s="10" t="s">
        <v>126</v>
      </c>
      <c r="R1245" s="10"/>
      <c r="S1245" s="19" t="s">
        <v>9926</v>
      </c>
      <c r="T1245" s="19" t="s">
        <v>9899</v>
      </c>
      <c r="U1245" s="10" t="s">
        <v>3278</v>
      </c>
      <c r="V1245" s="10" t="s">
        <v>3289</v>
      </c>
      <c r="W1245" s="10" t="s">
        <v>3219</v>
      </c>
      <c r="X1245" s="10" t="s">
        <v>130</v>
      </c>
      <c r="Y1245" s="10" t="s">
        <v>130</v>
      </c>
      <c r="Z1245" s="10" t="s">
        <v>99</v>
      </c>
      <c r="AA1245" s="10" t="s">
        <v>131</v>
      </c>
      <c r="AB1245" s="10" t="s">
        <v>3220</v>
      </c>
      <c r="AC1245" s="10" t="s">
        <v>3221</v>
      </c>
      <c r="AD1245" s="10" t="s">
        <v>9927</v>
      </c>
      <c r="AE1245" s="10" t="s">
        <v>9928</v>
      </c>
      <c r="AF1245" s="15"/>
      <c r="AG1245" s="10"/>
      <c r="AH1245" s="10"/>
      <c r="AI1245" s="10"/>
      <c r="AJ1245" s="10"/>
      <c r="AK1245" s="10" t="s">
        <v>102</v>
      </c>
      <c r="AL1245" s="10" t="s">
        <v>1467</v>
      </c>
      <c r="AM1245" s="10"/>
      <c r="AN1245" s="10"/>
      <c r="AO1245" s="13" t="b">
        <v>1</v>
      </c>
      <c r="AP1245" s="10" t="s">
        <v>104</v>
      </c>
      <c r="AQ1245" s="10">
        <f ca="1">IFERROR(__xludf.DUMMYFUNCTION("""COMPUTED_VALUE"""),4728932)</f>
        <v>4728932</v>
      </c>
      <c r="AR1245" s="17">
        <v>82602</v>
      </c>
      <c r="AS1245" s="17">
        <v>53554</v>
      </c>
      <c r="AT1245" s="17">
        <v>2616364.5</v>
      </c>
      <c r="AU1245" s="17">
        <v>1123.6500000000001</v>
      </c>
      <c r="AV1245" s="17">
        <v>170.1</v>
      </c>
      <c r="AW1245" s="10" t="s">
        <v>105</v>
      </c>
      <c r="AX1245" s="17">
        <v>26670</v>
      </c>
      <c r="AY1245" s="18">
        <v>48.854698061769426</v>
      </c>
      <c r="AZ1245" s="10" t="s">
        <v>117</v>
      </c>
      <c r="BA1245" s="20" t="b">
        <v>0</v>
      </c>
      <c r="BB1245" s="10"/>
      <c r="BC1245" s="17">
        <v>82602</v>
      </c>
      <c r="BD1245" s="17">
        <v>53554</v>
      </c>
      <c r="BE1245" s="17">
        <v>2616364.5</v>
      </c>
      <c r="BF1245" s="17">
        <v>170.1</v>
      </c>
      <c r="BG1245" s="11">
        <f ca="1">IFERROR(__xludf.DUMMYFUNCTION("""COMPUTED_VALUE"""),45985.1145833333)</f>
        <v>45985.114583333299</v>
      </c>
      <c r="BH1245" s="17" t="s">
        <v>105</v>
      </c>
      <c r="BI1245" s="17"/>
      <c r="BJ1245" s="15"/>
      <c r="BK1245" s="15"/>
      <c r="BL1245" s="13" t="b">
        <v>0</v>
      </c>
      <c r="BM1245" s="10"/>
      <c r="BN1245" s="10" t="s">
        <v>278</v>
      </c>
      <c r="BO1245" s="11">
        <v>45904.28402777778</v>
      </c>
      <c r="BP1245" s="11">
        <v>45944.65552083333</v>
      </c>
      <c r="BQ1245" s="15">
        <v>45980.510347222225</v>
      </c>
      <c r="BR1245" s="15">
        <v>45982.680254629631</v>
      </c>
      <c r="BS1245" s="10" t="s">
        <v>278</v>
      </c>
      <c r="BT1245" s="10" t="s">
        <v>99</v>
      </c>
      <c r="BU1245" s="10" t="s">
        <v>280</v>
      </c>
      <c r="BV1245" s="10" t="s">
        <v>281</v>
      </c>
      <c r="BW1245" s="10"/>
      <c r="BX1245" s="10"/>
      <c r="BY1245" s="23"/>
      <c r="BZ1245" s="23"/>
      <c r="CA1245" s="19" t="s">
        <v>9929</v>
      </c>
      <c r="CB1245" s="19" t="s">
        <v>9930</v>
      </c>
      <c r="CC1245" s="23"/>
      <c r="CD1245" s="19" t="s">
        <v>9931</v>
      </c>
      <c r="CE1245" s="23"/>
      <c r="CF1245" s="23"/>
      <c r="CG1245" s="23"/>
      <c r="CH1245" s="23"/>
      <c r="CI1245" s="23"/>
    </row>
    <row r="1246" spans="1:87" x14ac:dyDescent="0.3">
      <c r="A1246" s="9" t="s">
        <v>9932</v>
      </c>
      <c r="B1246" s="10" t="s">
        <v>9933</v>
      </c>
      <c r="C1246" s="11">
        <v>45985</v>
      </c>
      <c r="D1246" s="12">
        <v>8.3333333333333329E-2</v>
      </c>
      <c r="E1246" s="11">
        <v>45985.083333333336</v>
      </c>
      <c r="F1246" s="10" t="s">
        <v>3211</v>
      </c>
      <c r="G1246" s="13" t="b">
        <v>0</v>
      </c>
      <c r="H1246" s="10" t="s">
        <v>3212</v>
      </c>
      <c r="I1246" s="10" t="s">
        <v>3213</v>
      </c>
      <c r="J1246" s="13" t="b">
        <v>0</v>
      </c>
      <c r="K1246" s="13" t="b">
        <v>1</v>
      </c>
      <c r="L1246" s="10" t="s">
        <v>124</v>
      </c>
      <c r="M1246" s="10" t="s">
        <v>91</v>
      </c>
      <c r="N1246" s="10" t="s">
        <v>92</v>
      </c>
      <c r="O1246" s="19" t="s">
        <v>9934</v>
      </c>
      <c r="P1246" s="10" t="s">
        <v>3215</v>
      </c>
      <c r="Q1246" s="10" t="s">
        <v>126</v>
      </c>
      <c r="R1246" s="10"/>
      <c r="S1246" s="19" t="s">
        <v>9935</v>
      </c>
      <c r="T1246" s="19" t="s">
        <v>9899</v>
      </c>
      <c r="U1246" s="10" t="s">
        <v>3250</v>
      </c>
      <c r="V1246" s="10" t="s">
        <v>3218</v>
      </c>
      <c r="W1246" s="10" t="s">
        <v>3219</v>
      </c>
      <c r="X1246" s="10" t="s">
        <v>130</v>
      </c>
      <c r="Y1246" s="10" t="s">
        <v>130</v>
      </c>
      <c r="Z1246" s="10" t="s">
        <v>99</v>
      </c>
      <c r="AA1246" s="10" t="s">
        <v>131</v>
      </c>
      <c r="AB1246" s="10" t="s">
        <v>3220</v>
      </c>
      <c r="AC1246" s="10" t="s">
        <v>3221</v>
      </c>
      <c r="AD1246" s="10" t="s">
        <v>9936</v>
      </c>
      <c r="AE1246" s="10" t="s">
        <v>9937</v>
      </c>
      <c r="AF1246" s="15"/>
      <c r="AG1246" s="10"/>
      <c r="AH1246" s="10"/>
      <c r="AI1246" s="10"/>
      <c r="AJ1246" s="10"/>
      <c r="AK1246" s="10" t="s">
        <v>102</v>
      </c>
      <c r="AL1246" s="10" t="s">
        <v>1467</v>
      </c>
      <c r="AM1246" s="10"/>
      <c r="AN1246" s="10"/>
      <c r="AO1246" s="13" t="b">
        <v>0</v>
      </c>
      <c r="AP1246" s="10" t="s">
        <v>104</v>
      </c>
      <c r="AQ1246" s="10">
        <f ca="1">IFERROR(__xludf.DUMMYFUNCTION("""COMPUTED_VALUE"""),4727016)</f>
        <v>4727016</v>
      </c>
      <c r="AR1246" s="17">
        <v>11403</v>
      </c>
      <c r="AS1246" s="17">
        <v>9090</v>
      </c>
      <c r="AT1246" s="17">
        <v>260621.25</v>
      </c>
      <c r="AU1246" s="17">
        <v>88.65</v>
      </c>
      <c r="AV1246" s="17">
        <v>13.05</v>
      </c>
      <c r="AW1246" s="10" t="s">
        <v>105</v>
      </c>
      <c r="AX1246" s="17">
        <v>3132</v>
      </c>
      <c r="AY1246" s="18">
        <v>28.671204620462046</v>
      </c>
      <c r="AZ1246" s="10" t="s">
        <v>117</v>
      </c>
      <c r="BA1246" s="20" t="b">
        <v>0</v>
      </c>
      <c r="BB1246" s="10"/>
      <c r="BC1246" s="17">
        <v>11403</v>
      </c>
      <c r="BD1246" s="17">
        <v>9090</v>
      </c>
      <c r="BE1246" s="17">
        <v>260621.25</v>
      </c>
      <c r="BF1246" s="17">
        <v>13.05</v>
      </c>
      <c r="BG1246" s="11">
        <f ca="1">IFERROR(__xludf.DUMMYFUNCTION("""COMPUTED_VALUE"""),45985)</f>
        <v>45985</v>
      </c>
      <c r="BH1246" s="17" t="s">
        <v>105</v>
      </c>
      <c r="BI1246" s="17"/>
      <c r="BJ1246" s="15"/>
      <c r="BK1246" s="15"/>
      <c r="BL1246" s="13" t="b">
        <v>0</v>
      </c>
      <c r="BM1246" s="10"/>
      <c r="BN1246" s="10" t="s">
        <v>278</v>
      </c>
      <c r="BO1246" s="11">
        <v>45904.284594907411</v>
      </c>
      <c r="BP1246" s="11">
        <v>45944.655381944445</v>
      </c>
      <c r="BQ1246" s="15">
        <v>45980.510231481479</v>
      </c>
      <c r="BR1246" s="15">
        <v>45982.561527777776</v>
      </c>
      <c r="BS1246" s="10" t="s">
        <v>278</v>
      </c>
      <c r="BT1246" s="10" t="s">
        <v>99</v>
      </c>
      <c r="BU1246" s="10" t="s">
        <v>298</v>
      </c>
      <c r="BV1246" s="10"/>
      <c r="BW1246" s="10"/>
      <c r="BX1246" s="10"/>
      <c r="BY1246" s="23"/>
      <c r="BZ1246" s="23"/>
      <c r="CA1246" s="19" t="s">
        <v>9938</v>
      </c>
      <c r="CB1246" s="19" t="s">
        <v>9939</v>
      </c>
      <c r="CC1246" s="23"/>
      <c r="CD1246" s="19" t="s">
        <v>9940</v>
      </c>
      <c r="CE1246" s="23"/>
      <c r="CF1246" s="23"/>
      <c r="CG1246" s="23"/>
      <c r="CH1246" s="23"/>
      <c r="CI1246" s="23"/>
    </row>
    <row r="1247" spans="1:87" x14ac:dyDescent="0.3">
      <c r="A1247" s="9" t="s">
        <v>9941</v>
      </c>
      <c r="B1247" s="10" t="s">
        <v>9942</v>
      </c>
      <c r="C1247" s="11">
        <v>45984.114583333336</v>
      </c>
      <c r="D1247" s="12">
        <v>8.3333333333333329E-2</v>
      </c>
      <c r="E1247" s="11">
        <v>45984.197916666664</v>
      </c>
      <c r="F1247" s="10" t="s">
        <v>3211</v>
      </c>
      <c r="G1247" s="13" t="b">
        <v>0</v>
      </c>
      <c r="H1247" s="10" t="s">
        <v>3212</v>
      </c>
      <c r="I1247" s="10" t="s">
        <v>3213</v>
      </c>
      <c r="J1247" s="13" t="b">
        <v>0</v>
      </c>
      <c r="K1247" s="13" t="b">
        <v>1</v>
      </c>
      <c r="L1247" s="10" t="s">
        <v>124</v>
      </c>
      <c r="M1247" s="10" t="s">
        <v>91</v>
      </c>
      <c r="N1247" s="10" t="s">
        <v>92</v>
      </c>
      <c r="O1247" s="19" t="s">
        <v>9943</v>
      </c>
      <c r="P1247" s="10" t="s">
        <v>3215</v>
      </c>
      <c r="Q1247" s="10" t="s">
        <v>126</v>
      </c>
      <c r="R1247" s="10"/>
      <c r="S1247" s="19" t="s">
        <v>9944</v>
      </c>
      <c r="T1247" s="19" t="s">
        <v>9899</v>
      </c>
      <c r="U1247" s="10" t="s">
        <v>3318</v>
      </c>
      <c r="V1247" s="10" t="s">
        <v>3308</v>
      </c>
      <c r="W1247" s="10" t="s">
        <v>3219</v>
      </c>
      <c r="X1247" s="10" t="s">
        <v>130</v>
      </c>
      <c r="Y1247" s="10" t="s">
        <v>130</v>
      </c>
      <c r="Z1247" s="10" t="s">
        <v>99</v>
      </c>
      <c r="AA1247" s="10" t="s">
        <v>131</v>
      </c>
      <c r="AB1247" s="10" t="s">
        <v>3220</v>
      </c>
      <c r="AC1247" s="10" t="s">
        <v>3221</v>
      </c>
      <c r="AD1247" s="10" t="s">
        <v>9945</v>
      </c>
      <c r="AE1247" s="10" t="s">
        <v>9946</v>
      </c>
      <c r="AF1247" s="15"/>
      <c r="AG1247" s="10"/>
      <c r="AH1247" s="10"/>
      <c r="AI1247" s="10"/>
      <c r="AJ1247" s="10"/>
      <c r="AK1247" s="10" t="s">
        <v>102</v>
      </c>
      <c r="AL1247" s="10" t="s">
        <v>1467</v>
      </c>
      <c r="AM1247" s="10"/>
      <c r="AN1247" s="10"/>
      <c r="AO1247" s="13" t="b">
        <v>1</v>
      </c>
      <c r="AP1247" s="10" t="s">
        <v>104</v>
      </c>
      <c r="AQ1247" s="10">
        <f ca="1">IFERROR(__xludf.DUMMYFUNCTION("""COMPUTED_VALUE"""),4725609)</f>
        <v>4725609</v>
      </c>
      <c r="AR1247" s="17">
        <v>14957</v>
      </c>
      <c r="AS1247" s="17">
        <v>11794</v>
      </c>
      <c r="AT1247" s="17">
        <v>411845.25</v>
      </c>
      <c r="AU1247" s="17">
        <v>59.2</v>
      </c>
      <c r="AV1247" s="17">
        <v>7.6</v>
      </c>
      <c r="AW1247" s="10" t="s">
        <v>105</v>
      </c>
      <c r="AX1247" s="17">
        <v>4538</v>
      </c>
      <c r="AY1247" s="18">
        <v>34.919895709682891</v>
      </c>
      <c r="AZ1247" s="10" t="s">
        <v>117</v>
      </c>
      <c r="BA1247" s="20" t="b">
        <v>0</v>
      </c>
      <c r="BB1247" s="10"/>
      <c r="BC1247" s="17">
        <v>14957</v>
      </c>
      <c r="BD1247" s="17">
        <v>11794</v>
      </c>
      <c r="BE1247" s="17">
        <v>411845.25</v>
      </c>
      <c r="BF1247" s="17">
        <v>7.6</v>
      </c>
      <c r="BG1247" s="11">
        <f ca="1">IFERROR(__xludf.DUMMYFUNCTION("""COMPUTED_VALUE"""),45984.1145833333)</f>
        <v>45984.114583333299</v>
      </c>
      <c r="BH1247" s="17" t="s">
        <v>105</v>
      </c>
      <c r="BI1247" s="17"/>
      <c r="BJ1247" s="15"/>
      <c r="BK1247" s="15"/>
      <c r="BL1247" s="13" t="b">
        <v>0</v>
      </c>
      <c r="BM1247" s="10"/>
      <c r="BN1247" s="10" t="s">
        <v>278</v>
      </c>
      <c r="BO1247" s="11">
        <v>45904.28402777778</v>
      </c>
      <c r="BP1247" s="11">
        <v>45944.655185185184</v>
      </c>
      <c r="BQ1247" s="15">
        <v>45980.50984953704</v>
      </c>
      <c r="BR1247" s="15">
        <v>45981.394687499997</v>
      </c>
      <c r="BS1247" s="10" t="s">
        <v>278</v>
      </c>
      <c r="BT1247" s="10" t="s">
        <v>279</v>
      </c>
      <c r="BU1247" s="10" t="s">
        <v>298</v>
      </c>
      <c r="BV1247" s="10"/>
      <c r="BW1247" s="10"/>
      <c r="BX1247" s="10"/>
      <c r="BY1247" s="23"/>
      <c r="BZ1247" s="23"/>
      <c r="CA1247" s="19" t="s">
        <v>9947</v>
      </c>
      <c r="CB1247" s="19" t="s">
        <v>9948</v>
      </c>
      <c r="CC1247" s="23"/>
      <c r="CD1247" s="19" t="s">
        <v>9949</v>
      </c>
      <c r="CE1247" s="23"/>
      <c r="CF1247" s="23"/>
      <c r="CG1247" s="23"/>
      <c r="CH1247" s="23"/>
      <c r="CI1247" s="23"/>
    </row>
    <row r="1248" spans="1:87" x14ac:dyDescent="0.3">
      <c r="A1248" s="9" t="s">
        <v>9950</v>
      </c>
      <c r="B1248" s="10" t="s">
        <v>9951</v>
      </c>
      <c r="C1248" s="11">
        <v>45986.114583333336</v>
      </c>
      <c r="D1248" s="12">
        <v>8.3333333333333329E-2</v>
      </c>
      <c r="E1248" s="11">
        <v>45986.197916666664</v>
      </c>
      <c r="F1248" s="10" t="s">
        <v>3211</v>
      </c>
      <c r="G1248" s="13" t="b">
        <v>0</v>
      </c>
      <c r="H1248" s="10" t="s">
        <v>3212</v>
      </c>
      <c r="I1248" s="10" t="s">
        <v>3213</v>
      </c>
      <c r="J1248" s="13" t="b">
        <v>0</v>
      </c>
      <c r="K1248" s="13" t="b">
        <v>1</v>
      </c>
      <c r="L1248" s="10" t="s">
        <v>124</v>
      </c>
      <c r="M1248" s="10" t="s">
        <v>91</v>
      </c>
      <c r="N1248" s="10" t="s">
        <v>92</v>
      </c>
      <c r="O1248" s="19" t="s">
        <v>9952</v>
      </c>
      <c r="P1248" s="10" t="s">
        <v>3215</v>
      </c>
      <c r="Q1248" s="10" t="s">
        <v>126</v>
      </c>
      <c r="R1248" s="10"/>
      <c r="S1248" s="19" t="s">
        <v>9953</v>
      </c>
      <c r="T1248" s="19" t="s">
        <v>9899</v>
      </c>
      <c r="U1248" s="10" t="s">
        <v>3429</v>
      </c>
      <c r="V1248" s="10" t="s">
        <v>3451</v>
      </c>
      <c r="W1248" s="10" t="s">
        <v>3219</v>
      </c>
      <c r="X1248" s="10" t="s">
        <v>130</v>
      </c>
      <c r="Y1248" s="10" t="s">
        <v>130</v>
      </c>
      <c r="Z1248" s="10" t="s">
        <v>99</v>
      </c>
      <c r="AA1248" s="10" t="s">
        <v>131</v>
      </c>
      <c r="AB1248" s="10" t="s">
        <v>3220</v>
      </c>
      <c r="AC1248" s="10" t="s">
        <v>3221</v>
      </c>
      <c r="AD1248" s="10" t="s">
        <v>9954</v>
      </c>
      <c r="AE1248" s="10" t="s">
        <v>9955</v>
      </c>
      <c r="AF1248" s="15"/>
      <c r="AG1248" s="10"/>
      <c r="AH1248" s="10"/>
      <c r="AI1248" s="10"/>
      <c r="AJ1248" s="10"/>
      <c r="AK1248" s="10" t="s">
        <v>102</v>
      </c>
      <c r="AL1248" s="10" t="s">
        <v>1467</v>
      </c>
      <c r="AM1248" s="10"/>
      <c r="AN1248" s="10"/>
      <c r="AO1248" s="13" t="b">
        <v>1</v>
      </c>
      <c r="AP1248" s="10" t="s">
        <v>104</v>
      </c>
      <c r="AQ1248" s="10">
        <f ca="1">IFERROR(__xludf.DUMMYFUNCTION("""COMPUTED_VALUE"""),4728934)</f>
        <v>4728934</v>
      </c>
      <c r="AR1248" s="17">
        <v>9942</v>
      </c>
      <c r="AS1248" s="17">
        <v>6535</v>
      </c>
      <c r="AT1248" s="17">
        <v>120744</v>
      </c>
      <c r="AU1248" s="17">
        <v>49.2</v>
      </c>
      <c r="AV1248" s="17">
        <v>4.55</v>
      </c>
      <c r="AW1248" s="10" t="s">
        <v>105</v>
      </c>
      <c r="AX1248" s="17">
        <v>2434</v>
      </c>
      <c r="AY1248" s="18">
        <v>18.476511094108645</v>
      </c>
      <c r="AZ1248" s="10" t="s">
        <v>117</v>
      </c>
      <c r="BA1248" s="20" t="b">
        <v>0</v>
      </c>
      <c r="BB1248" s="10"/>
      <c r="BC1248" s="17">
        <v>9942</v>
      </c>
      <c r="BD1248" s="17">
        <v>6535</v>
      </c>
      <c r="BE1248" s="17">
        <v>120744</v>
      </c>
      <c r="BF1248" s="17">
        <v>4.55</v>
      </c>
      <c r="BG1248" s="11">
        <f ca="1">IFERROR(__xludf.DUMMYFUNCTION("""COMPUTED_VALUE"""),45986.1145833333)</f>
        <v>45986.114583333299</v>
      </c>
      <c r="BH1248" s="17" t="s">
        <v>105</v>
      </c>
      <c r="BI1248" s="17"/>
      <c r="BJ1248" s="15"/>
      <c r="BK1248" s="15"/>
      <c r="BL1248" s="13" t="b">
        <v>0</v>
      </c>
      <c r="BM1248" s="10"/>
      <c r="BN1248" s="10" t="s">
        <v>197</v>
      </c>
      <c r="BO1248" s="11">
        <v>45904.28402777778</v>
      </c>
      <c r="BP1248" s="11">
        <v>45944.655972222223</v>
      </c>
      <c r="BQ1248" s="15">
        <v>45980.510613425926</v>
      </c>
      <c r="BR1248" s="15">
        <v>45982.682939814818</v>
      </c>
      <c r="BS1248" s="10" t="s">
        <v>197</v>
      </c>
      <c r="BT1248" s="10" t="s">
        <v>279</v>
      </c>
      <c r="BU1248" s="10" t="s">
        <v>718</v>
      </c>
      <c r="BV1248" s="10"/>
      <c r="BW1248" s="10"/>
      <c r="BX1248" s="10"/>
      <c r="BY1248" s="23"/>
      <c r="BZ1248" s="23"/>
      <c r="CA1248" s="19" t="s">
        <v>9956</v>
      </c>
      <c r="CB1248" s="19" t="s">
        <v>9957</v>
      </c>
      <c r="CC1248" s="23"/>
      <c r="CD1248" s="19" t="s">
        <v>9958</v>
      </c>
      <c r="CE1248" s="23"/>
      <c r="CF1248" s="23"/>
      <c r="CG1248" s="23"/>
      <c r="CH1248" s="23"/>
      <c r="CI1248" s="23"/>
    </row>
    <row r="1249" spans="1:87" x14ac:dyDescent="0.3">
      <c r="A1249" s="9" t="s">
        <v>9959</v>
      </c>
      <c r="B1249" s="10" t="s">
        <v>9960</v>
      </c>
      <c r="C1249" s="11">
        <v>45986.020833333336</v>
      </c>
      <c r="D1249" s="12">
        <v>8.3333333333333329E-2</v>
      </c>
      <c r="E1249" s="11">
        <v>45986.104166666664</v>
      </c>
      <c r="F1249" s="10" t="s">
        <v>3211</v>
      </c>
      <c r="G1249" s="13" t="b">
        <v>0</v>
      </c>
      <c r="H1249" s="10" t="s">
        <v>3212</v>
      </c>
      <c r="I1249" s="10" t="s">
        <v>3213</v>
      </c>
      <c r="J1249" s="13" t="b">
        <v>0</v>
      </c>
      <c r="K1249" s="13" t="b">
        <v>1</v>
      </c>
      <c r="L1249" s="10" t="s">
        <v>124</v>
      </c>
      <c r="M1249" s="10" t="s">
        <v>91</v>
      </c>
      <c r="N1249" s="10" t="s">
        <v>92</v>
      </c>
      <c r="O1249" s="19" t="s">
        <v>9961</v>
      </c>
      <c r="P1249" s="10" t="s">
        <v>3215</v>
      </c>
      <c r="Q1249" s="10" t="s">
        <v>94</v>
      </c>
      <c r="R1249" s="10"/>
      <c r="S1249" s="19" t="s">
        <v>9962</v>
      </c>
      <c r="T1249" s="19" t="s">
        <v>9899</v>
      </c>
      <c r="U1249" s="10" t="s">
        <v>3279</v>
      </c>
      <c r="V1249" s="10" t="s">
        <v>3249</v>
      </c>
      <c r="W1249" s="10" t="s">
        <v>3219</v>
      </c>
      <c r="X1249" s="10" t="s">
        <v>130</v>
      </c>
      <c r="Y1249" s="10" t="s">
        <v>130</v>
      </c>
      <c r="Z1249" s="10" t="s">
        <v>99</v>
      </c>
      <c r="AA1249" s="10" t="s">
        <v>131</v>
      </c>
      <c r="AB1249" s="10" t="s">
        <v>3220</v>
      </c>
      <c r="AC1249" s="10" t="s">
        <v>3221</v>
      </c>
      <c r="AD1249" s="10" t="s">
        <v>9963</v>
      </c>
      <c r="AE1249" s="10" t="s">
        <v>9964</v>
      </c>
      <c r="AF1249" s="15"/>
      <c r="AG1249" s="10"/>
      <c r="AH1249" s="10"/>
      <c r="AI1249" s="10"/>
      <c r="AJ1249" s="10"/>
      <c r="AK1249" s="10" t="s">
        <v>102</v>
      </c>
      <c r="AL1249" s="10" t="s">
        <v>1467</v>
      </c>
      <c r="AM1249" s="10"/>
      <c r="AN1249" s="10"/>
      <c r="AO1249" s="13" t="b">
        <v>0</v>
      </c>
      <c r="AP1249" s="10" t="s">
        <v>104</v>
      </c>
      <c r="AQ1249" s="10">
        <f ca="1">IFERROR(__xludf.DUMMYFUNCTION("""COMPUTED_VALUE"""),4728933)</f>
        <v>4728933</v>
      </c>
      <c r="AR1249" s="17">
        <v>9617</v>
      </c>
      <c r="AS1249" s="17">
        <v>7575</v>
      </c>
      <c r="AT1249" s="17">
        <v>260848.5</v>
      </c>
      <c r="AU1249" s="17">
        <v>54.15</v>
      </c>
      <c r="AV1249" s="17">
        <v>4.0999999999999996</v>
      </c>
      <c r="AW1249" s="10" t="s">
        <v>105</v>
      </c>
      <c r="AX1249" s="17">
        <v>2294</v>
      </c>
      <c r="AY1249" s="18">
        <v>34.435445544554455</v>
      </c>
      <c r="AZ1249" s="10" t="s">
        <v>117</v>
      </c>
      <c r="BA1249" s="20" t="b">
        <v>0</v>
      </c>
      <c r="BB1249" s="10"/>
      <c r="BC1249" s="17">
        <v>9617</v>
      </c>
      <c r="BD1249" s="17">
        <v>7575</v>
      </c>
      <c r="BE1249" s="17">
        <v>260848.5</v>
      </c>
      <c r="BF1249" s="17">
        <v>4.0999999999999996</v>
      </c>
      <c r="BG1249" s="11">
        <f ca="1">IFERROR(__xludf.DUMMYFUNCTION("""COMPUTED_VALUE"""),45986.0208333333)</f>
        <v>45986.020833333299</v>
      </c>
      <c r="BH1249" s="17" t="s">
        <v>105</v>
      </c>
      <c r="BI1249" s="17"/>
      <c r="BJ1249" s="15"/>
      <c r="BK1249" s="15"/>
      <c r="BL1249" s="13" t="b">
        <v>0</v>
      </c>
      <c r="BM1249" s="10"/>
      <c r="BN1249" s="10" t="s">
        <v>197</v>
      </c>
      <c r="BO1249" s="11">
        <v>45904.284594907411</v>
      </c>
      <c r="BP1249" s="11">
        <v>45944.765787037039</v>
      </c>
      <c r="BQ1249" s="15">
        <v>45980.510497685187</v>
      </c>
      <c r="BR1249" s="15">
        <v>45982.681932870371</v>
      </c>
      <c r="BS1249" s="10" t="s">
        <v>197</v>
      </c>
      <c r="BT1249" s="10" t="s">
        <v>99</v>
      </c>
      <c r="BU1249" s="10" t="s">
        <v>456</v>
      </c>
      <c r="BV1249" s="10"/>
      <c r="BW1249" s="10"/>
      <c r="BX1249" s="10"/>
      <c r="BY1249" s="23"/>
      <c r="BZ1249" s="23"/>
      <c r="CA1249" s="19" t="s">
        <v>9965</v>
      </c>
      <c r="CB1249" s="19" t="s">
        <v>9966</v>
      </c>
      <c r="CC1249" s="23"/>
      <c r="CD1249" s="23"/>
      <c r="CE1249" s="23"/>
      <c r="CF1249" s="23"/>
      <c r="CG1249" s="23"/>
      <c r="CH1249" s="23"/>
      <c r="CI1249" s="23"/>
    </row>
    <row r="1250" spans="1:87" x14ac:dyDescent="0.3">
      <c r="A1250" s="9" t="s">
        <v>9967</v>
      </c>
      <c r="B1250" s="10" t="s">
        <v>9968</v>
      </c>
      <c r="C1250" s="11">
        <v>45983.875</v>
      </c>
      <c r="D1250" s="12">
        <v>8.3333333333333329E-2</v>
      </c>
      <c r="E1250" s="11">
        <v>45983.958333333336</v>
      </c>
      <c r="F1250" s="10" t="s">
        <v>3211</v>
      </c>
      <c r="G1250" s="13" t="b">
        <v>0</v>
      </c>
      <c r="H1250" s="10" t="s">
        <v>3212</v>
      </c>
      <c r="I1250" s="10" t="s">
        <v>3213</v>
      </c>
      <c r="J1250" s="13" t="b">
        <v>0</v>
      </c>
      <c r="K1250" s="13" t="b">
        <v>1</v>
      </c>
      <c r="L1250" s="10" t="s">
        <v>124</v>
      </c>
      <c r="M1250" s="10" t="s">
        <v>91</v>
      </c>
      <c r="N1250" s="10" t="s">
        <v>92</v>
      </c>
      <c r="O1250" s="19" t="s">
        <v>9969</v>
      </c>
      <c r="P1250" s="10" t="s">
        <v>3215</v>
      </c>
      <c r="Q1250" s="10" t="s">
        <v>126</v>
      </c>
      <c r="R1250" s="10"/>
      <c r="S1250" s="19" t="s">
        <v>9970</v>
      </c>
      <c r="T1250" s="19" t="s">
        <v>9899</v>
      </c>
      <c r="U1250" s="10" t="s">
        <v>3269</v>
      </c>
      <c r="V1250" s="10" t="s">
        <v>3230</v>
      </c>
      <c r="W1250" s="10" t="s">
        <v>3219</v>
      </c>
      <c r="X1250" s="10" t="s">
        <v>130</v>
      </c>
      <c r="Y1250" s="10" t="s">
        <v>130</v>
      </c>
      <c r="Z1250" s="10" t="s">
        <v>99</v>
      </c>
      <c r="AA1250" s="10" t="s">
        <v>131</v>
      </c>
      <c r="AB1250" s="10" t="s">
        <v>3220</v>
      </c>
      <c r="AC1250" s="10" t="s">
        <v>3221</v>
      </c>
      <c r="AD1250" s="10" t="s">
        <v>9971</v>
      </c>
      <c r="AE1250" s="10" t="s">
        <v>9972</v>
      </c>
      <c r="AF1250" s="15"/>
      <c r="AG1250" s="10"/>
      <c r="AH1250" s="10"/>
      <c r="AI1250" s="10"/>
      <c r="AJ1250" s="10"/>
      <c r="AK1250" s="10" t="s">
        <v>102</v>
      </c>
      <c r="AL1250" s="10" t="s">
        <v>1467</v>
      </c>
      <c r="AM1250" s="10"/>
      <c r="AN1250" s="10"/>
      <c r="AO1250" s="13" t="b">
        <v>0</v>
      </c>
      <c r="AP1250" s="10" t="s">
        <v>104</v>
      </c>
      <c r="AQ1250" s="10">
        <f ca="1">IFERROR(__xludf.DUMMYFUNCTION("""COMPUTED_VALUE"""),4725607)</f>
        <v>4725607</v>
      </c>
      <c r="AR1250" s="17">
        <v>16974</v>
      </c>
      <c r="AS1250" s="17">
        <v>13496</v>
      </c>
      <c r="AT1250" s="17">
        <v>192818.75</v>
      </c>
      <c r="AU1250" s="17">
        <v>136</v>
      </c>
      <c r="AV1250" s="17">
        <v>9.0500000000000007</v>
      </c>
      <c r="AW1250" s="10" t="s">
        <v>105</v>
      </c>
      <c r="AX1250" s="17">
        <v>3624</v>
      </c>
      <c r="AY1250" s="18">
        <v>14.287103586247778</v>
      </c>
      <c r="AZ1250" s="10" t="s">
        <v>117</v>
      </c>
      <c r="BA1250" s="20" t="b">
        <v>0</v>
      </c>
      <c r="BB1250" s="10"/>
      <c r="BC1250" s="17">
        <v>16974</v>
      </c>
      <c r="BD1250" s="17">
        <v>13496</v>
      </c>
      <c r="BE1250" s="17">
        <v>192818.75</v>
      </c>
      <c r="BF1250" s="17">
        <v>9.0500000000000007</v>
      </c>
      <c r="BG1250" s="11">
        <f ca="1">IFERROR(__xludf.DUMMYFUNCTION("""COMPUTED_VALUE"""),45983.875)</f>
        <v>45983.875</v>
      </c>
      <c r="BH1250" s="17" t="s">
        <v>105</v>
      </c>
      <c r="BI1250" s="17"/>
      <c r="BJ1250" s="15"/>
      <c r="BK1250" s="15"/>
      <c r="BL1250" s="13" t="b">
        <v>0</v>
      </c>
      <c r="BM1250" s="10"/>
      <c r="BN1250" s="10" t="s">
        <v>149</v>
      </c>
      <c r="BO1250" s="11">
        <v>45904.284594907411</v>
      </c>
      <c r="BP1250" s="11">
        <v>45944.653900462959</v>
      </c>
      <c r="BQ1250" s="15">
        <v>45980.509583333333</v>
      </c>
      <c r="BR1250" s="15">
        <v>45981.394432870373</v>
      </c>
      <c r="BS1250" s="10" t="s">
        <v>149</v>
      </c>
      <c r="BT1250" s="10" t="s">
        <v>99</v>
      </c>
      <c r="BU1250" s="10" t="s">
        <v>534</v>
      </c>
      <c r="BV1250" s="10"/>
      <c r="BW1250" s="10"/>
      <c r="BX1250" s="10"/>
      <c r="BY1250" s="23"/>
      <c r="BZ1250" s="23"/>
      <c r="CA1250" s="19" t="s">
        <v>9973</v>
      </c>
      <c r="CB1250" s="19" t="s">
        <v>9974</v>
      </c>
      <c r="CC1250" s="23"/>
      <c r="CD1250" s="19" t="s">
        <v>9975</v>
      </c>
      <c r="CE1250" s="23"/>
      <c r="CF1250" s="23"/>
      <c r="CG1250" s="23"/>
      <c r="CH1250" s="23"/>
      <c r="CI1250" s="23"/>
    </row>
    <row r="1251" spans="1:87" x14ac:dyDescent="0.3">
      <c r="A1251" s="9" t="s">
        <v>9976</v>
      </c>
      <c r="B1251" s="10" t="s">
        <v>9977</v>
      </c>
      <c r="C1251" s="11">
        <v>45984.770833333336</v>
      </c>
      <c r="D1251" s="12">
        <v>8.3333333333333329E-2</v>
      </c>
      <c r="E1251" s="11">
        <v>45984.854166666664</v>
      </c>
      <c r="F1251" s="10" t="s">
        <v>3211</v>
      </c>
      <c r="G1251" s="13" t="b">
        <v>0</v>
      </c>
      <c r="H1251" s="10" t="s">
        <v>3212</v>
      </c>
      <c r="I1251" s="10" t="s">
        <v>3213</v>
      </c>
      <c r="J1251" s="13" t="b">
        <v>0</v>
      </c>
      <c r="K1251" s="13" t="b">
        <v>1</v>
      </c>
      <c r="L1251" s="10" t="s">
        <v>124</v>
      </c>
      <c r="M1251" s="10" t="s">
        <v>91</v>
      </c>
      <c r="N1251" s="10" t="s">
        <v>92</v>
      </c>
      <c r="O1251" s="19" t="s">
        <v>9978</v>
      </c>
      <c r="P1251" s="10" t="s">
        <v>3215</v>
      </c>
      <c r="Q1251" s="10" t="s">
        <v>94</v>
      </c>
      <c r="R1251" s="10"/>
      <c r="S1251" s="19" t="s">
        <v>9979</v>
      </c>
      <c r="T1251" s="19" t="s">
        <v>9899</v>
      </c>
      <c r="U1251" s="10" t="s">
        <v>3270</v>
      </c>
      <c r="V1251" s="10" t="s">
        <v>3260</v>
      </c>
      <c r="W1251" s="10" t="s">
        <v>3219</v>
      </c>
      <c r="X1251" s="10" t="s">
        <v>130</v>
      </c>
      <c r="Y1251" s="10" t="s">
        <v>130</v>
      </c>
      <c r="Z1251" s="10" t="s">
        <v>99</v>
      </c>
      <c r="AA1251" s="10" t="s">
        <v>131</v>
      </c>
      <c r="AB1251" s="10" t="s">
        <v>3220</v>
      </c>
      <c r="AC1251" s="10" t="s">
        <v>3221</v>
      </c>
      <c r="AD1251" s="10" t="s">
        <v>9980</v>
      </c>
      <c r="AE1251" s="10" t="s">
        <v>9981</v>
      </c>
      <c r="AF1251" s="15"/>
      <c r="AG1251" s="10"/>
      <c r="AH1251" s="10"/>
      <c r="AI1251" s="10"/>
      <c r="AJ1251" s="10"/>
      <c r="AK1251" s="10" t="s">
        <v>102</v>
      </c>
      <c r="AL1251" s="10" t="s">
        <v>1467</v>
      </c>
      <c r="AM1251" s="10"/>
      <c r="AN1251" s="10"/>
      <c r="AO1251" s="13" t="b">
        <v>0</v>
      </c>
      <c r="AP1251" s="10" t="s">
        <v>104</v>
      </c>
      <c r="AQ1251" s="10">
        <f ca="1">IFERROR(__xludf.DUMMYFUNCTION("""COMPUTED_VALUE"""),4725610)</f>
        <v>4725610</v>
      </c>
      <c r="AR1251" s="17">
        <v>22523</v>
      </c>
      <c r="AS1251" s="17">
        <v>17022</v>
      </c>
      <c r="AT1251" s="17">
        <v>348519.5</v>
      </c>
      <c r="AU1251" s="17">
        <v>127.45</v>
      </c>
      <c r="AV1251" s="17">
        <v>14.95</v>
      </c>
      <c r="AW1251" s="10" t="s">
        <v>105</v>
      </c>
      <c r="AX1251" s="17">
        <v>4362</v>
      </c>
      <c r="AY1251" s="18">
        <v>20.474650452355775</v>
      </c>
      <c r="AZ1251" s="10" t="s">
        <v>117</v>
      </c>
      <c r="BA1251" s="20" t="b">
        <v>0</v>
      </c>
      <c r="BB1251" s="10"/>
      <c r="BC1251" s="17">
        <v>22523</v>
      </c>
      <c r="BD1251" s="17">
        <v>17022</v>
      </c>
      <c r="BE1251" s="17">
        <v>348519.5</v>
      </c>
      <c r="BF1251" s="17">
        <v>14.95</v>
      </c>
      <c r="BG1251" s="11">
        <f ca="1">IFERROR(__xludf.DUMMYFUNCTION("""COMPUTED_VALUE"""),45984.7708333333)</f>
        <v>45984.770833333299</v>
      </c>
      <c r="BH1251" s="17" t="s">
        <v>105</v>
      </c>
      <c r="BI1251" s="17"/>
      <c r="BJ1251" s="15"/>
      <c r="BK1251" s="15"/>
      <c r="BL1251" s="13" t="b">
        <v>0</v>
      </c>
      <c r="BM1251" s="10"/>
      <c r="BN1251" s="10" t="s">
        <v>149</v>
      </c>
      <c r="BO1251" s="11">
        <v>45904.284594907411</v>
      </c>
      <c r="BP1251" s="11">
        <v>45944.764965277776</v>
      </c>
      <c r="BQ1251" s="15">
        <v>45980.509965277779</v>
      </c>
      <c r="BR1251" s="15">
        <v>45981.394814814812</v>
      </c>
      <c r="BS1251" s="10" t="s">
        <v>149</v>
      </c>
      <c r="BT1251" s="10" t="s">
        <v>99</v>
      </c>
      <c r="BU1251" s="10" t="s">
        <v>298</v>
      </c>
      <c r="BV1251" s="10"/>
      <c r="BW1251" s="10"/>
      <c r="BX1251" s="10"/>
      <c r="BY1251" s="23"/>
      <c r="BZ1251" s="23"/>
      <c r="CA1251" s="19" t="s">
        <v>9982</v>
      </c>
      <c r="CB1251" s="19" t="s">
        <v>9983</v>
      </c>
      <c r="CC1251" s="23"/>
      <c r="CD1251" s="23"/>
      <c r="CE1251" s="23"/>
      <c r="CF1251" s="23"/>
      <c r="CG1251" s="23"/>
      <c r="CH1251" s="23"/>
      <c r="CI1251" s="23"/>
    </row>
    <row r="1252" spans="1:87" x14ac:dyDescent="0.3">
      <c r="A1252" s="9" t="s">
        <v>9984</v>
      </c>
      <c r="B1252" s="10" t="s">
        <v>9985</v>
      </c>
      <c r="C1252" s="11">
        <v>45992</v>
      </c>
      <c r="D1252" s="12">
        <v>8.3333333333333329E-2</v>
      </c>
      <c r="E1252" s="11">
        <v>45992.083333333336</v>
      </c>
      <c r="F1252" s="10" t="s">
        <v>3211</v>
      </c>
      <c r="G1252" s="13" t="b">
        <v>0</v>
      </c>
      <c r="H1252" s="10" t="s">
        <v>3212</v>
      </c>
      <c r="I1252" s="10" t="s">
        <v>3213</v>
      </c>
      <c r="J1252" s="13" t="b">
        <v>0</v>
      </c>
      <c r="K1252" s="13" t="b">
        <v>1</v>
      </c>
      <c r="L1252" s="10" t="s">
        <v>124</v>
      </c>
      <c r="M1252" s="10" t="s">
        <v>91</v>
      </c>
      <c r="N1252" s="10" t="s">
        <v>92</v>
      </c>
      <c r="O1252" s="19" t="s">
        <v>9986</v>
      </c>
      <c r="P1252" s="10" t="s">
        <v>3215</v>
      </c>
      <c r="Q1252" s="10" t="s">
        <v>126</v>
      </c>
      <c r="R1252" s="10"/>
      <c r="S1252" s="19" t="s">
        <v>9987</v>
      </c>
      <c r="T1252" s="19" t="s">
        <v>9988</v>
      </c>
      <c r="U1252" s="10" t="s">
        <v>3308</v>
      </c>
      <c r="V1252" s="10" t="s">
        <v>3240</v>
      </c>
      <c r="W1252" s="10" t="s">
        <v>3219</v>
      </c>
      <c r="X1252" s="10" t="s">
        <v>130</v>
      </c>
      <c r="Y1252" s="10" t="s">
        <v>130</v>
      </c>
      <c r="Z1252" s="10" t="s">
        <v>99</v>
      </c>
      <c r="AA1252" s="10" t="s">
        <v>131</v>
      </c>
      <c r="AB1252" s="10" t="s">
        <v>3220</v>
      </c>
      <c r="AC1252" s="10" t="s">
        <v>3221</v>
      </c>
      <c r="AD1252" s="10" t="s">
        <v>9989</v>
      </c>
      <c r="AE1252" s="10" t="s">
        <v>9990</v>
      </c>
      <c r="AF1252" s="15"/>
      <c r="AG1252" s="10"/>
      <c r="AH1252" s="10"/>
      <c r="AI1252" s="10"/>
      <c r="AJ1252" s="10"/>
      <c r="AK1252" s="10" t="s">
        <v>102</v>
      </c>
      <c r="AL1252" s="10" t="s">
        <v>1569</v>
      </c>
      <c r="AM1252" s="10"/>
      <c r="AN1252" s="10"/>
      <c r="AO1252" s="13" t="b">
        <v>0</v>
      </c>
      <c r="AP1252" s="10" t="s">
        <v>104</v>
      </c>
      <c r="AQ1252" s="10">
        <f ca="1">IFERROR(__xludf.DUMMYFUNCTION("""COMPUTED_VALUE"""),4741290)</f>
        <v>4741290</v>
      </c>
      <c r="AR1252" s="17">
        <v>8725</v>
      </c>
      <c r="AS1252" s="17">
        <v>7099</v>
      </c>
      <c r="AT1252" s="17">
        <v>154684.75</v>
      </c>
      <c r="AU1252" s="17">
        <v>21.75</v>
      </c>
      <c r="AV1252" s="17">
        <v>2.1</v>
      </c>
      <c r="AW1252" s="10" t="s">
        <v>105</v>
      </c>
      <c r="AX1252" s="17">
        <v>2773</v>
      </c>
      <c r="AY1252" s="18">
        <v>21.789653472320044</v>
      </c>
      <c r="AZ1252" s="10" t="s">
        <v>117</v>
      </c>
      <c r="BA1252" s="20" t="b">
        <v>0</v>
      </c>
      <c r="BB1252" s="10"/>
      <c r="BC1252" s="17">
        <v>8725</v>
      </c>
      <c r="BD1252" s="17">
        <v>7099</v>
      </c>
      <c r="BE1252" s="17">
        <v>154684.75</v>
      </c>
      <c r="BF1252" s="17">
        <v>2.1</v>
      </c>
      <c r="BG1252" s="11">
        <f ca="1">IFERROR(__xludf.DUMMYFUNCTION("""COMPUTED_VALUE"""),45992)</f>
        <v>45992</v>
      </c>
      <c r="BH1252" s="17" t="s">
        <v>105</v>
      </c>
      <c r="BI1252" s="17"/>
      <c r="BJ1252" s="15"/>
      <c r="BK1252" s="15"/>
      <c r="BL1252" s="13" t="b">
        <v>0</v>
      </c>
      <c r="BM1252" s="10"/>
      <c r="BN1252" s="10" t="s">
        <v>667</v>
      </c>
      <c r="BO1252" s="11">
        <v>45904.284594907411</v>
      </c>
      <c r="BP1252" s="11">
        <v>45950.629363425927</v>
      </c>
      <c r="BQ1252" s="15">
        <v>45987.564976851849</v>
      </c>
      <c r="BR1252" s="15">
        <v>45989.420104166667</v>
      </c>
      <c r="BS1252" s="10" t="s">
        <v>667</v>
      </c>
      <c r="BT1252" s="10" t="s">
        <v>99</v>
      </c>
      <c r="BU1252" s="10" t="s">
        <v>6409</v>
      </c>
      <c r="BV1252" s="10"/>
      <c r="BW1252" s="10"/>
      <c r="BX1252" s="10"/>
      <c r="BY1252" s="23"/>
      <c r="BZ1252" s="23"/>
      <c r="CA1252" s="19" t="s">
        <v>9991</v>
      </c>
      <c r="CB1252" s="19" t="s">
        <v>9992</v>
      </c>
      <c r="CC1252" s="23"/>
      <c r="CD1252" s="19" t="s">
        <v>9993</v>
      </c>
      <c r="CE1252" s="23"/>
      <c r="CF1252" s="23"/>
      <c r="CG1252" s="23"/>
      <c r="CH1252" s="23"/>
      <c r="CI1252" s="23"/>
    </row>
    <row r="1253" spans="1:87" x14ac:dyDescent="0.3">
      <c r="A1253" s="9" t="s">
        <v>9994</v>
      </c>
      <c r="B1253" s="10" t="s">
        <v>9995</v>
      </c>
      <c r="C1253" s="11">
        <v>45993.114583333336</v>
      </c>
      <c r="D1253" s="12">
        <v>8.3333333333333329E-2</v>
      </c>
      <c r="E1253" s="11">
        <v>45993.197916666664</v>
      </c>
      <c r="F1253" s="10" t="s">
        <v>3211</v>
      </c>
      <c r="G1253" s="13" t="b">
        <v>0</v>
      </c>
      <c r="H1253" s="10" t="s">
        <v>3212</v>
      </c>
      <c r="I1253" s="10" t="s">
        <v>3213</v>
      </c>
      <c r="J1253" s="13" t="b">
        <v>0</v>
      </c>
      <c r="K1253" s="13" t="b">
        <v>1</v>
      </c>
      <c r="L1253" s="10" t="s">
        <v>124</v>
      </c>
      <c r="M1253" s="10" t="s">
        <v>91</v>
      </c>
      <c r="N1253" s="10" t="s">
        <v>92</v>
      </c>
      <c r="O1253" s="19" t="s">
        <v>9996</v>
      </c>
      <c r="P1253" s="10"/>
      <c r="Q1253" s="10" t="s">
        <v>126</v>
      </c>
      <c r="R1253" s="10"/>
      <c r="S1253" s="19" t="s">
        <v>9997</v>
      </c>
      <c r="T1253" s="19" t="s">
        <v>9988</v>
      </c>
      <c r="U1253" s="10" t="s">
        <v>3230</v>
      </c>
      <c r="V1253" s="10" t="s">
        <v>3440</v>
      </c>
      <c r="W1253" s="10" t="s">
        <v>3219</v>
      </c>
      <c r="X1253" s="10" t="s">
        <v>130</v>
      </c>
      <c r="Y1253" s="10" t="s">
        <v>130</v>
      </c>
      <c r="Z1253" s="10" t="s">
        <v>99</v>
      </c>
      <c r="AA1253" s="10" t="s">
        <v>131</v>
      </c>
      <c r="AB1253" s="10" t="s">
        <v>3220</v>
      </c>
      <c r="AC1253" s="10" t="s">
        <v>3221</v>
      </c>
      <c r="AD1253" s="10" t="s">
        <v>9998</v>
      </c>
      <c r="AE1253" s="10" t="s">
        <v>9999</v>
      </c>
      <c r="AF1253" s="15"/>
      <c r="AG1253" s="10"/>
      <c r="AH1253" s="10"/>
      <c r="AI1253" s="10"/>
      <c r="AJ1253" s="10"/>
      <c r="AK1253" s="10" t="s">
        <v>102</v>
      </c>
      <c r="AL1253" s="10" t="s">
        <v>1569</v>
      </c>
      <c r="AM1253" s="10"/>
      <c r="AN1253" s="10"/>
      <c r="AO1253" s="13" t="b">
        <v>1</v>
      </c>
      <c r="AP1253" s="10" t="s">
        <v>104</v>
      </c>
      <c r="AQ1253" s="10">
        <f ca="1">IFERROR(__xludf.DUMMYFUNCTION("""COMPUTED_VALUE"""),4747192)</f>
        <v>4747192</v>
      </c>
      <c r="AR1253" s="17">
        <v>8809</v>
      </c>
      <c r="AS1253" s="17">
        <v>6869</v>
      </c>
      <c r="AT1253" s="17">
        <v>211132.25</v>
      </c>
      <c r="AU1253" s="17">
        <v>35.950000000000003</v>
      </c>
      <c r="AV1253" s="17">
        <v>3.5</v>
      </c>
      <c r="AW1253" s="10" t="s">
        <v>105</v>
      </c>
      <c r="AX1253" s="17">
        <v>2112</v>
      </c>
      <c r="AY1253" s="18">
        <v>30.736970446935509</v>
      </c>
      <c r="AZ1253" s="10" t="s">
        <v>117</v>
      </c>
      <c r="BA1253" s="20" t="b">
        <v>0</v>
      </c>
      <c r="BB1253" s="10"/>
      <c r="BC1253" s="17">
        <v>8809</v>
      </c>
      <c r="BD1253" s="17">
        <v>6869</v>
      </c>
      <c r="BE1253" s="17">
        <v>211132.25</v>
      </c>
      <c r="BF1253" s="17">
        <v>3.5</v>
      </c>
      <c r="BG1253" s="11">
        <f ca="1">IFERROR(__xludf.DUMMYFUNCTION("""COMPUTED_VALUE"""),45993.1145833333)</f>
        <v>45993.114583333299</v>
      </c>
      <c r="BH1253" s="17" t="s">
        <v>105</v>
      </c>
      <c r="BI1253" s="17"/>
      <c r="BJ1253" s="15"/>
      <c r="BK1253" s="15"/>
      <c r="BL1253" s="13" t="b">
        <v>0</v>
      </c>
      <c r="BM1253" s="10"/>
      <c r="BN1253" s="10" t="s">
        <v>197</v>
      </c>
      <c r="BO1253" s="11">
        <v>45904.28402777778</v>
      </c>
      <c r="BP1253" s="11">
        <v>45950.629606481481</v>
      </c>
      <c r="BQ1253" s="15">
        <v>45987.565300925926</v>
      </c>
      <c r="BR1253" s="15">
        <v>45991.863159722219</v>
      </c>
      <c r="BS1253" s="10" t="s">
        <v>197</v>
      </c>
      <c r="BT1253" s="10" t="s">
        <v>279</v>
      </c>
      <c r="BU1253" s="10" t="s">
        <v>298</v>
      </c>
      <c r="BV1253" s="10"/>
      <c r="BW1253" s="10"/>
      <c r="BX1253" s="10"/>
      <c r="BY1253" s="23"/>
      <c r="BZ1253" s="23"/>
      <c r="CA1253" s="19" t="s">
        <v>10000</v>
      </c>
      <c r="CB1253" s="19" t="s">
        <v>10001</v>
      </c>
      <c r="CC1253" s="23"/>
      <c r="CD1253" s="19" t="s">
        <v>10002</v>
      </c>
      <c r="CE1253" s="23"/>
      <c r="CF1253" s="23"/>
      <c r="CG1253" s="23"/>
      <c r="CH1253" s="23"/>
      <c r="CI1253" s="23"/>
    </row>
    <row r="1254" spans="1:87" x14ac:dyDescent="0.3">
      <c r="A1254" s="9" t="s">
        <v>10003</v>
      </c>
      <c r="B1254" s="10" t="s">
        <v>10004</v>
      </c>
      <c r="C1254" s="11">
        <v>45990.114583333336</v>
      </c>
      <c r="D1254" s="12">
        <v>8.3333333333333329E-2</v>
      </c>
      <c r="E1254" s="11">
        <v>45990.197916666664</v>
      </c>
      <c r="F1254" s="10" t="s">
        <v>3211</v>
      </c>
      <c r="G1254" s="13" t="b">
        <v>0</v>
      </c>
      <c r="H1254" s="10" t="s">
        <v>3212</v>
      </c>
      <c r="I1254" s="10" t="s">
        <v>3213</v>
      </c>
      <c r="J1254" s="13" t="b">
        <v>0</v>
      </c>
      <c r="K1254" s="13" t="b">
        <v>1</v>
      </c>
      <c r="L1254" s="10" t="s">
        <v>124</v>
      </c>
      <c r="M1254" s="10" t="s">
        <v>91</v>
      </c>
      <c r="N1254" s="10" t="s">
        <v>92</v>
      </c>
      <c r="O1254" s="19" t="s">
        <v>10005</v>
      </c>
      <c r="P1254" s="10" t="s">
        <v>3215</v>
      </c>
      <c r="Q1254" s="10" t="s">
        <v>126</v>
      </c>
      <c r="R1254" s="10"/>
      <c r="S1254" s="19" t="s">
        <v>10006</v>
      </c>
      <c r="T1254" s="19" t="s">
        <v>9988</v>
      </c>
      <c r="U1254" s="10" t="s">
        <v>3249</v>
      </c>
      <c r="V1254" s="10" t="s">
        <v>3429</v>
      </c>
      <c r="W1254" s="10" t="s">
        <v>3219</v>
      </c>
      <c r="X1254" s="10" t="s">
        <v>130</v>
      </c>
      <c r="Y1254" s="10" t="s">
        <v>130</v>
      </c>
      <c r="Z1254" s="10" t="s">
        <v>99</v>
      </c>
      <c r="AA1254" s="10" t="s">
        <v>131</v>
      </c>
      <c r="AB1254" s="10" t="s">
        <v>3220</v>
      </c>
      <c r="AC1254" s="10" t="s">
        <v>3221</v>
      </c>
      <c r="AD1254" s="10" t="s">
        <v>10007</v>
      </c>
      <c r="AE1254" s="10" t="s">
        <v>10008</v>
      </c>
      <c r="AF1254" s="15"/>
      <c r="AG1254" s="10"/>
      <c r="AH1254" s="10"/>
      <c r="AI1254" s="10"/>
      <c r="AJ1254" s="10"/>
      <c r="AK1254" s="10" t="s">
        <v>102</v>
      </c>
      <c r="AL1254" s="10" t="s">
        <v>1569</v>
      </c>
      <c r="AM1254" s="10"/>
      <c r="AN1254" s="10"/>
      <c r="AO1254" s="13" t="b">
        <v>1</v>
      </c>
      <c r="AP1254" s="10" t="s">
        <v>104</v>
      </c>
      <c r="AQ1254" s="10">
        <f ca="1">IFERROR(__xludf.DUMMYFUNCTION("""COMPUTED_VALUE"""),4740998)</f>
        <v>4740998</v>
      </c>
      <c r="AR1254" s="17">
        <v>12779</v>
      </c>
      <c r="AS1254" s="17">
        <v>10046</v>
      </c>
      <c r="AT1254" s="17">
        <v>298765</v>
      </c>
      <c r="AU1254" s="17">
        <v>64.900000000000006</v>
      </c>
      <c r="AV1254" s="17">
        <v>4.2</v>
      </c>
      <c r="AW1254" s="10" t="s">
        <v>105</v>
      </c>
      <c r="AX1254" s="17">
        <v>2478</v>
      </c>
      <c r="AY1254" s="18">
        <v>29.739697391996813</v>
      </c>
      <c r="AZ1254" s="10" t="s">
        <v>117</v>
      </c>
      <c r="BA1254" s="20" t="b">
        <v>0</v>
      </c>
      <c r="BB1254" s="10"/>
      <c r="BC1254" s="17">
        <v>12779</v>
      </c>
      <c r="BD1254" s="17">
        <v>10046</v>
      </c>
      <c r="BE1254" s="17">
        <v>298765</v>
      </c>
      <c r="BF1254" s="17">
        <v>4.2</v>
      </c>
      <c r="BG1254" s="11">
        <f ca="1">IFERROR(__xludf.DUMMYFUNCTION("""COMPUTED_VALUE"""),45990.1145833333)</f>
        <v>45990.114583333299</v>
      </c>
      <c r="BH1254" s="17" t="s">
        <v>105</v>
      </c>
      <c r="BI1254" s="17"/>
      <c r="BJ1254" s="15"/>
      <c r="BK1254" s="15"/>
      <c r="BL1254" s="13" t="b">
        <v>0</v>
      </c>
      <c r="BM1254" s="10"/>
      <c r="BN1254" s="10" t="s">
        <v>667</v>
      </c>
      <c r="BO1254" s="11">
        <v>45904.28402777778</v>
      </c>
      <c r="BP1254" s="11">
        <v>45944.656863425924</v>
      </c>
      <c r="BQ1254" s="15">
        <v>45987.563159722224</v>
      </c>
      <c r="BR1254" s="15">
        <v>45988.685902777775</v>
      </c>
      <c r="BS1254" s="10" t="s">
        <v>667</v>
      </c>
      <c r="BT1254" s="10" t="s">
        <v>279</v>
      </c>
      <c r="BU1254" s="10" t="s">
        <v>298</v>
      </c>
      <c r="BV1254" s="10"/>
      <c r="BW1254" s="10"/>
      <c r="BX1254" s="10"/>
      <c r="BY1254" s="23"/>
      <c r="BZ1254" s="23"/>
      <c r="CA1254" s="19" t="s">
        <v>10009</v>
      </c>
      <c r="CB1254" s="19" t="s">
        <v>10010</v>
      </c>
      <c r="CC1254" s="23"/>
      <c r="CD1254" s="19" t="s">
        <v>10011</v>
      </c>
      <c r="CE1254" s="23"/>
      <c r="CF1254" s="23"/>
      <c r="CG1254" s="23"/>
      <c r="CH1254" s="23"/>
      <c r="CI1254" s="23"/>
    </row>
    <row r="1255" spans="1:87" x14ac:dyDescent="0.3">
      <c r="A1255" s="9" t="s">
        <v>10012</v>
      </c>
      <c r="B1255" s="10" t="s">
        <v>10013</v>
      </c>
      <c r="C1255" s="11">
        <v>45990.875</v>
      </c>
      <c r="D1255" s="12">
        <v>8.3333333333333329E-2</v>
      </c>
      <c r="E1255" s="11">
        <v>45990.958333333336</v>
      </c>
      <c r="F1255" s="10" t="s">
        <v>3211</v>
      </c>
      <c r="G1255" s="13" t="b">
        <v>0</v>
      </c>
      <c r="H1255" s="10" t="s">
        <v>3212</v>
      </c>
      <c r="I1255" s="10" t="s">
        <v>3213</v>
      </c>
      <c r="J1255" s="13" t="b">
        <v>0</v>
      </c>
      <c r="K1255" s="13" t="b">
        <v>1</v>
      </c>
      <c r="L1255" s="10" t="s">
        <v>124</v>
      </c>
      <c r="M1255" s="10" t="s">
        <v>91</v>
      </c>
      <c r="N1255" s="10" t="s">
        <v>92</v>
      </c>
      <c r="O1255" s="19" t="s">
        <v>10014</v>
      </c>
      <c r="P1255" s="10" t="s">
        <v>88</v>
      </c>
      <c r="Q1255" s="10" t="s">
        <v>94</v>
      </c>
      <c r="R1255" s="10"/>
      <c r="S1255" s="19" t="s">
        <v>10015</v>
      </c>
      <c r="T1255" s="19" t="s">
        <v>9988</v>
      </c>
      <c r="U1255" s="10" t="s">
        <v>3217</v>
      </c>
      <c r="V1255" s="10" t="s">
        <v>3270</v>
      </c>
      <c r="W1255" s="10" t="s">
        <v>3219</v>
      </c>
      <c r="X1255" s="10" t="s">
        <v>130</v>
      </c>
      <c r="Y1255" s="10" t="s">
        <v>130</v>
      </c>
      <c r="Z1255" s="10" t="s">
        <v>99</v>
      </c>
      <c r="AA1255" s="10" t="s">
        <v>131</v>
      </c>
      <c r="AB1255" s="10" t="s">
        <v>3220</v>
      </c>
      <c r="AC1255" s="10" t="s">
        <v>3221</v>
      </c>
      <c r="AD1255" s="10" t="s">
        <v>10016</v>
      </c>
      <c r="AE1255" s="10" t="s">
        <v>10017</v>
      </c>
      <c r="AF1255" s="15"/>
      <c r="AG1255" s="10"/>
      <c r="AH1255" s="10"/>
      <c r="AI1255" s="10"/>
      <c r="AJ1255" s="10"/>
      <c r="AK1255" s="10" t="s">
        <v>102</v>
      </c>
      <c r="AL1255" s="10" t="s">
        <v>1569</v>
      </c>
      <c r="AM1255" s="10"/>
      <c r="AN1255" s="10"/>
      <c r="AO1255" s="13" t="b">
        <v>0</v>
      </c>
      <c r="AP1255" s="10" t="s">
        <v>104</v>
      </c>
      <c r="AQ1255" s="10">
        <f ca="1">IFERROR(__xludf.DUMMYFUNCTION("""COMPUTED_VALUE"""),4741004)</f>
        <v>4741004</v>
      </c>
      <c r="AR1255" s="17">
        <v>9563</v>
      </c>
      <c r="AS1255" s="17">
        <v>7763</v>
      </c>
      <c r="AT1255" s="17">
        <v>71352</v>
      </c>
      <c r="AU1255" s="17">
        <v>45.45</v>
      </c>
      <c r="AV1255" s="17">
        <v>3.4</v>
      </c>
      <c r="AW1255" s="10" t="s">
        <v>105</v>
      </c>
      <c r="AX1255" s="17">
        <v>1272</v>
      </c>
      <c r="AY1255" s="18">
        <v>9.1912920262785001</v>
      </c>
      <c r="AZ1255" s="10" t="s">
        <v>117</v>
      </c>
      <c r="BA1255" s="20" t="b">
        <v>0</v>
      </c>
      <c r="BB1255" s="10"/>
      <c r="BC1255" s="17">
        <v>9563</v>
      </c>
      <c r="BD1255" s="17">
        <v>7763</v>
      </c>
      <c r="BE1255" s="17">
        <v>71352</v>
      </c>
      <c r="BF1255" s="17">
        <v>3.4</v>
      </c>
      <c r="BG1255" s="11">
        <f ca="1">IFERROR(__xludf.DUMMYFUNCTION("""COMPUTED_VALUE"""),45990.875)</f>
        <v>45990.875</v>
      </c>
      <c r="BH1255" s="17" t="s">
        <v>105</v>
      </c>
      <c r="BI1255" s="17"/>
      <c r="BJ1255" s="15"/>
      <c r="BK1255" s="15"/>
      <c r="BL1255" s="13" t="b">
        <v>0</v>
      </c>
      <c r="BM1255" s="10"/>
      <c r="BN1255" s="10" t="s">
        <v>117</v>
      </c>
      <c r="BO1255" s="11">
        <v>45904.284594907411</v>
      </c>
      <c r="BP1255" s="11">
        <v>45950.474282407406</v>
      </c>
      <c r="BQ1255" s="15">
        <v>45987.563356481478</v>
      </c>
      <c r="BR1255" s="15">
        <v>45988.685624999998</v>
      </c>
      <c r="BS1255" s="10"/>
      <c r="BT1255" s="10" t="s">
        <v>99</v>
      </c>
      <c r="BU1255" s="10"/>
      <c r="BV1255" s="10"/>
      <c r="BW1255" s="10"/>
      <c r="BX1255" s="10"/>
      <c r="BY1255" s="23"/>
      <c r="BZ1255" s="23"/>
      <c r="CA1255" s="19" t="s">
        <v>10018</v>
      </c>
      <c r="CB1255" s="19" t="s">
        <v>10019</v>
      </c>
      <c r="CC1255" s="23"/>
      <c r="CD1255" s="23"/>
      <c r="CE1255" s="23"/>
      <c r="CF1255" s="23"/>
      <c r="CG1255" s="23"/>
      <c r="CH1255" s="23"/>
      <c r="CI1255" s="23"/>
    </row>
    <row r="1256" spans="1:87" x14ac:dyDescent="0.3">
      <c r="A1256" s="9" t="s">
        <v>10020</v>
      </c>
      <c r="B1256" s="10" t="s">
        <v>10021</v>
      </c>
      <c r="C1256" s="11">
        <v>45991</v>
      </c>
      <c r="D1256" s="12">
        <v>8.3333333333333329E-2</v>
      </c>
      <c r="E1256" s="11">
        <v>45991.083333333336</v>
      </c>
      <c r="F1256" s="10" t="s">
        <v>3211</v>
      </c>
      <c r="G1256" s="13" t="b">
        <v>0</v>
      </c>
      <c r="H1256" s="10" t="s">
        <v>3212</v>
      </c>
      <c r="I1256" s="10" t="s">
        <v>3213</v>
      </c>
      <c r="J1256" s="13" t="b">
        <v>0</v>
      </c>
      <c r="K1256" s="13" t="b">
        <v>1</v>
      </c>
      <c r="L1256" s="10" t="s">
        <v>124</v>
      </c>
      <c r="M1256" s="10" t="s">
        <v>91</v>
      </c>
      <c r="N1256" s="10" t="s">
        <v>92</v>
      </c>
      <c r="O1256" s="19" t="s">
        <v>10022</v>
      </c>
      <c r="P1256" s="10" t="s">
        <v>3215</v>
      </c>
      <c r="Q1256" s="10" t="s">
        <v>126</v>
      </c>
      <c r="R1256" s="10"/>
      <c r="S1256" s="19" t="s">
        <v>10023</v>
      </c>
      <c r="T1256" s="19" t="s">
        <v>9988</v>
      </c>
      <c r="U1256" s="10" t="s">
        <v>3259</v>
      </c>
      <c r="V1256" s="10" t="s">
        <v>3239</v>
      </c>
      <c r="W1256" s="10" t="s">
        <v>3219</v>
      </c>
      <c r="X1256" s="10" t="s">
        <v>130</v>
      </c>
      <c r="Y1256" s="10" t="s">
        <v>130</v>
      </c>
      <c r="Z1256" s="10" t="s">
        <v>99</v>
      </c>
      <c r="AA1256" s="10" t="s">
        <v>131</v>
      </c>
      <c r="AB1256" s="10" t="s">
        <v>3220</v>
      </c>
      <c r="AC1256" s="10" t="s">
        <v>3221</v>
      </c>
      <c r="AD1256" s="10" t="s">
        <v>10024</v>
      </c>
      <c r="AE1256" s="10" t="s">
        <v>10025</v>
      </c>
      <c r="AF1256" s="15"/>
      <c r="AG1256" s="10"/>
      <c r="AH1256" s="10"/>
      <c r="AI1256" s="10"/>
      <c r="AJ1256" s="10"/>
      <c r="AK1256" s="10" t="s">
        <v>102</v>
      </c>
      <c r="AL1256" s="10" t="s">
        <v>1569</v>
      </c>
      <c r="AM1256" s="10"/>
      <c r="AN1256" s="10"/>
      <c r="AO1256" s="13" t="b">
        <v>1</v>
      </c>
      <c r="AP1256" s="10" t="s">
        <v>104</v>
      </c>
      <c r="AQ1256" s="10">
        <f ca="1">IFERROR(__xludf.DUMMYFUNCTION("""COMPUTED_VALUE"""),4741000)</f>
        <v>4741000</v>
      </c>
      <c r="AR1256" s="17">
        <v>44318</v>
      </c>
      <c r="AS1256" s="17">
        <v>34235</v>
      </c>
      <c r="AT1256" s="17">
        <v>1010657</v>
      </c>
      <c r="AU1256" s="17">
        <v>509.7</v>
      </c>
      <c r="AV1256" s="17">
        <v>46.9</v>
      </c>
      <c r="AW1256" s="10" t="s">
        <v>105</v>
      </c>
      <c r="AX1256" s="17">
        <v>11611</v>
      </c>
      <c r="AY1256" s="18">
        <v>29.521162552942894</v>
      </c>
      <c r="AZ1256" s="10" t="s">
        <v>117</v>
      </c>
      <c r="BA1256" s="20" t="b">
        <v>0</v>
      </c>
      <c r="BB1256" s="10"/>
      <c r="BC1256" s="17">
        <v>44318</v>
      </c>
      <c r="BD1256" s="17">
        <v>34235</v>
      </c>
      <c r="BE1256" s="17">
        <v>1010657</v>
      </c>
      <c r="BF1256" s="17">
        <v>46.9</v>
      </c>
      <c r="BG1256" s="11">
        <f ca="1">IFERROR(__xludf.DUMMYFUNCTION("""COMPUTED_VALUE"""),45991)</f>
        <v>45991</v>
      </c>
      <c r="BH1256" s="17" t="s">
        <v>105</v>
      </c>
      <c r="BI1256" s="17"/>
      <c r="BJ1256" s="15"/>
      <c r="BK1256" s="15"/>
      <c r="BL1256" s="13" t="b">
        <v>0</v>
      </c>
      <c r="BM1256" s="10"/>
      <c r="BN1256" s="10" t="s">
        <v>667</v>
      </c>
      <c r="BO1256" s="11">
        <v>45904.28402777778</v>
      </c>
      <c r="BP1256" s="11">
        <v>45944.655624999999</v>
      </c>
      <c r="BQ1256" s="15">
        <v>45987.563645833332</v>
      </c>
      <c r="BR1256" s="15">
        <v>45988.685312499998</v>
      </c>
      <c r="BS1256" s="10" t="s">
        <v>667</v>
      </c>
      <c r="BT1256" s="10" t="s">
        <v>279</v>
      </c>
      <c r="BU1256" s="10" t="s">
        <v>280</v>
      </c>
      <c r="BV1256" s="10" t="s">
        <v>124</v>
      </c>
      <c r="BW1256" s="10"/>
      <c r="BX1256" s="10"/>
      <c r="BY1256" s="23"/>
      <c r="BZ1256" s="23"/>
      <c r="CA1256" s="19" t="s">
        <v>10026</v>
      </c>
      <c r="CB1256" s="19" t="s">
        <v>10027</v>
      </c>
      <c r="CC1256" s="23"/>
      <c r="CD1256" s="19" t="s">
        <v>10028</v>
      </c>
      <c r="CE1256" s="23"/>
      <c r="CF1256" s="23"/>
      <c r="CG1256" s="23"/>
      <c r="CH1256" s="23"/>
      <c r="CI1256" s="23"/>
    </row>
    <row r="1257" spans="1:87" x14ac:dyDescent="0.3">
      <c r="A1257" s="9" t="s">
        <v>10029</v>
      </c>
      <c r="B1257" s="10" t="s">
        <v>10030</v>
      </c>
      <c r="C1257" s="11">
        <v>45991.770833333336</v>
      </c>
      <c r="D1257" s="12">
        <v>8.3333333333333329E-2</v>
      </c>
      <c r="E1257" s="11">
        <v>45991.854166666664</v>
      </c>
      <c r="F1257" s="10" t="s">
        <v>3211</v>
      </c>
      <c r="G1257" s="13" t="b">
        <v>0</v>
      </c>
      <c r="H1257" s="10" t="s">
        <v>3212</v>
      </c>
      <c r="I1257" s="10" t="s">
        <v>3213</v>
      </c>
      <c r="J1257" s="13" t="b">
        <v>0</v>
      </c>
      <c r="K1257" s="13" t="b">
        <v>1</v>
      </c>
      <c r="L1257" s="10" t="s">
        <v>124</v>
      </c>
      <c r="M1257" s="10" t="s">
        <v>91</v>
      </c>
      <c r="N1257" s="10" t="s">
        <v>92</v>
      </c>
      <c r="O1257" s="19" t="s">
        <v>10031</v>
      </c>
      <c r="P1257" s="10" t="s">
        <v>3215</v>
      </c>
      <c r="Q1257" s="10" t="s">
        <v>94</v>
      </c>
      <c r="R1257" s="10"/>
      <c r="S1257" s="19" t="s">
        <v>10032</v>
      </c>
      <c r="T1257" s="19" t="s">
        <v>9988</v>
      </c>
      <c r="U1257" s="10" t="s">
        <v>3218</v>
      </c>
      <c r="V1257" s="10" t="s">
        <v>3279</v>
      </c>
      <c r="W1257" s="10" t="s">
        <v>3219</v>
      </c>
      <c r="X1257" s="10" t="s">
        <v>130</v>
      </c>
      <c r="Y1257" s="10" t="s">
        <v>130</v>
      </c>
      <c r="Z1257" s="10" t="s">
        <v>99</v>
      </c>
      <c r="AA1257" s="10" t="s">
        <v>131</v>
      </c>
      <c r="AB1257" s="10" t="s">
        <v>3220</v>
      </c>
      <c r="AC1257" s="10" t="s">
        <v>3221</v>
      </c>
      <c r="AD1257" s="10" t="s">
        <v>10033</v>
      </c>
      <c r="AE1257" s="10" t="s">
        <v>10034</v>
      </c>
      <c r="AF1257" s="15"/>
      <c r="AG1257" s="10"/>
      <c r="AH1257" s="10"/>
      <c r="AI1257" s="10"/>
      <c r="AJ1257" s="10"/>
      <c r="AK1257" s="10" t="s">
        <v>102</v>
      </c>
      <c r="AL1257" s="10" t="s">
        <v>1569</v>
      </c>
      <c r="AM1257" s="10"/>
      <c r="AN1257" s="10"/>
      <c r="AO1257" s="13" t="b">
        <v>0</v>
      </c>
      <c r="AP1257" s="10" t="s">
        <v>104</v>
      </c>
      <c r="AQ1257" s="10">
        <f ca="1">IFERROR(__xludf.DUMMYFUNCTION("""COMPUTED_VALUE"""),4741002)</f>
        <v>4741002</v>
      </c>
      <c r="AR1257" s="17">
        <v>13768</v>
      </c>
      <c r="AS1257" s="17">
        <v>10593</v>
      </c>
      <c r="AT1257" s="17">
        <v>132243.5</v>
      </c>
      <c r="AU1257" s="17">
        <v>62.3</v>
      </c>
      <c r="AV1257" s="17">
        <v>8.1</v>
      </c>
      <c r="AW1257" s="10" t="s">
        <v>105</v>
      </c>
      <c r="AX1257" s="17">
        <v>2831</v>
      </c>
      <c r="AY1257" s="18">
        <v>12.484046068158218</v>
      </c>
      <c r="AZ1257" s="10" t="s">
        <v>117</v>
      </c>
      <c r="BA1257" s="20" t="b">
        <v>0</v>
      </c>
      <c r="BB1257" s="10"/>
      <c r="BC1257" s="17">
        <v>13768</v>
      </c>
      <c r="BD1257" s="17">
        <v>10593</v>
      </c>
      <c r="BE1257" s="17">
        <v>132243.5</v>
      </c>
      <c r="BF1257" s="17">
        <v>8.1</v>
      </c>
      <c r="BG1257" s="11">
        <f ca="1">IFERROR(__xludf.DUMMYFUNCTION("""COMPUTED_VALUE"""),45991.7708333333)</f>
        <v>45991.770833333299</v>
      </c>
      <c r="BH1257" s="17" t="s">
        <v>105</v>
      </c>
      <c r="BI1257" s="17"/>
      <c r="BJ1257" s="15"/>
      <c r="BK1257" s="15"/>
      <c r="BL1257" s="13" t="b">
        <v>0</v>
      </c>
      <c r="BM1257" s="10"/>
      <c r="BN1257" s="10" t="s">
        <v>197</v>
      </c>
      <c r="BO1257" s="11">
        <v>45904.284594907411</v>
      </c>
      <c r="BP1257" s="11">
        <v>45950.474953703706</v>
      </c>
      <c r="BQ1257" s="15">
        <v>45987.563877314817</v>
      </c>
      <c r="BR1257" s="15">
        <v>45988.684976851851</v>
      </c>
      <c r="BS1257" s="10" t="s">
        <v>197</v>
      </c>
      <c r="BT1257" s="10" t="s">
        <v>99</v>
      </c>
      <c r="BU1257" s="10" t="s">
        <v>6409</v>
      </c>
      <c r="BV1257" s="10"/>
      <c r="BW1257" s="10"/>
      <c r="BX1257" s="10"/>
      <c r="BY1257" s="23"/>
      <c r="BZ1257" s="23"/>
      <c r="CA1257" s="19" t="s">
        <v>10035</v>
      </c>
      <c r="CB1257" s="19" t="s">
        <v>10036</v>
      </c>
      <c r="CC1257" s="23"/>
      <c r="CD1257" s="23"/>
      <c r="CE1257" s="23"/>
      <c r="CF1257" s="23"/>
      <c r="CG1257" s="23"/>
      <c r="CH1257" s="23"/>
      <c r="CI1257" s="23"/>
    </row>
    <row r="1258" spans="1:87" x14ac:dyDescent="0.3">
      <c r="A1258" s="9" t="s">
        <v>10037</v>
      </c>
      <c r="B1258" s="10" t="s">
        <v>10038</v>
      </c>
      <c r="C1258" s="11">
        <v>45991.114583333336</v>
      </c>
      <c r="D1258" s="12">
        <v>8.3333333333333329E-2</v>
      </c>
      <c r="E1258" s="11">
        <v>45991.197916666664</v>
      </c>
      <c r="F1258" s="10" t="s">
        <v>3211</v>
      </c>
      <c r="G1258" s="13" t="b">
        <v>0</v>
      </c>
      <c r="H1258" s="10" t="s">
        <v>3212</v>
      </c>
      <c r="I1258" s="10" t="s">
        <v>3213</v>
      </c>
      <c r="J1258" s="13" t="b">
        <v>0</v>
      </c>
      <c r="K1258" s="13" t="b">
        <v>1</v>
      </c>
      <c r="L1258" s="10" t="s">
        <v>124</v>
      </c>
      <c r="M1258" s="10" t="s">
        <v>91</v>
      </c>
      <c r="N1258" s="10" t="s">
        <v>92</v>
      </c>
      <c r="O1258" s="19" t="s">
        <v>10039</v>
      </c>
      <c r="P1258" s="10" t="s">
        <v>3215</v>
      </c>
      <c r="Q1258" s="10" t="s">
        <v>126</v>
      </c>
      <c r="R1258" s="10"/>
      <c r="S1258" s="19" t="s">
        <v>10040</v>
      </c>
      <c r="T1258" s="19" t="s">
        <v>9988</v>
      </c>
      <c r="U1258" s="10" t="s">
        <v>3289</v>
      </c>
      <c r="V1258" s="10" t="s">
        <v>3250</v>
      </c>
      <c r="W1258" s="10" t="s">
        <v>3219</v>
      </c>
      <c r="X1258" s="10" t="s">
        <v>130</v>
      </c>
      <c r="Y1258" s="10" t="s">
        <v>130</v>
      </c>
      <c r="Z1258" s="10" t="s">
        <v>99</v>
      </c>
      <c r="AA1258" s="10" t="s">
        <v>131</v>
      </c>
      <c r="AB1258" s="10" t="s">
        <v>3220</v>
      </c>
      <c r="AC1258" s="10" t="s">
        <v>3221</v>
      </c>
      <c r="AD1258" s="10" t="s">
        <v>10041</v>
      </c>
      <c r="AE1258" s="10" t="s">
        <v>10042</v>
      </c>
      <c r="AF1258" s="15"/>
      <c r="AG1258" s="10"/>
      <c r="AH1258" s="10"/>
      <c r="AI1258" s="10"/>
      <c r="AJ1258" s="10"/>
      <c r="AK1258" s="10" t="s">
        <v>102</v>
      </c>
      <c r="AL1258" s="10" t="s">
        <v>1569</v>
      </c>
      <c r="AM1258" s="10"/>
      <c r="AN1258" s="10"/>
      <c r="AO1258" s="13" t="b">
        <v>1</v>
      </c>
      <c r="AP1258" s="10" t="s">
        <v>104</v>
      </c>
      <c r="AQ1258" s="10">
        <f ca="1">IFERROR(__xludf.DUMMYFUNCTION("""COMPUTED_VALUE"""),4741001)</f>
        <v>4741001</v>
      </c>
      <c r="AR1258" s="17">
        <v>44589</v>
      </c>
      <c r="AS1258" s="17">
        <v>31380</v>
      </c>
      <c r="AT1258" s="17">
        <v>1321826.25</v>
      </c>
      <c r="AU1258" s="17">
        <v>531.54999999999995</v>
      </c>
      <c r="AV1258" s="17">
        <v>66.05</v>
      </c>
      <c r="AW1258" s="10" t="s">
        <v>105</v>
      </c>
      <c r="AX1258" s="17">
        <v>13728</v>
      </c>
      <c r="AY1258" s="18">
        <v>42.123207456978967</v>
      </c>
      <c r="AZ1258" s="10" t="s">
        <v>117</v>
      </c>
      <c r="BA1258" s="20" t="b">
        <v>0</v>
      </c>
      <c r="BB1258" s="10"/>
      <c r="BC1258" s="17">
        <v>44589</v>
      </c>
      <c r="BD1258" s="17">
        <v>31380</v>
      </c>
      <c r="BE1258" s="17">
        <v>1321826.25</v>
      </c>
      <c r="BF1258" s="17">
        <v>66.05</v>
      </c>
      <c r="BG1258" s="11">
        <f ca="1">IFERROR(__xludf.DUMMYFUNCTION("""COMPUTED_VALUE"""),45991.1145833333)</f>
        <v>45991.114583333299</v>
      </c>
      <c r="BH1258" s="17" t="s">
        <v>105</v>
      </c>
      <c r="BI1258" s="17"/>
      <c r="BJ1258" s="15"/>
      <c r="BK1258" s="15"/>
      <c r="BL1258" s="13" t="b">
        <v>0</v>
      </c>
      <c r="BM1258" s="10"/>
      <c r="BN1258" s="10" t="s">
        <v>6278</v>
      </c>
      <c r="BO1258" s="11">
        <v>45904.28402777778</v>
      </c>
      <c r="BP1258" s="11">
        <v>45944.655740740738</v>
      </c>
      <c r="BQ1258" s="15">
        <v>45987.563761574071</v>
      </c>
      <c r="BR1258" s="15">
        <v>45988.685081018521</v>
      </c>
      <c r="BS1258" s="10" t="s">
        <v>6278</v>
      </c>
      <c r="BT1258" s="10" t="s">
        <v>279</v>
      </c>
      <c r="BU1258" s="10" t="s">
        <v>816</v>
      </c>
      <c r="BV1258" s="10"/>
      <c r="BW1258" s="10"/>
      <c r="BX1258" s="10"/>
      <c r="BY1258" s="23"/>
      <c r="BZ1258" s="23"/>
      <c r="CA1258" s="19" t="s">
        <v>10043</v>
      </c>
      <c r="CB1258" s="19" t="s">
        <v>10044</v>
      </c>
      <c r="CC1258" s="23"/>
      <c r="CD1258" s="19" t="s">
        <v>10045</v>
      </c>
      <c r="CE1258" s="23"/>
      <c r="CF1258" s="23"/>
      <c r="CG1258" s="23"/>
      <c r="CH1258" s="23"/>
      <c r="CI1258" s="23"/>
    </row>
    <row r="1259" spans="1:87" x14ac:dyDescent="0.3">
      <c r="A1259" s="9" t="s">
        <v>10046</v>
      </c>
      <c r="B1259" s="10" t="s">
        <v>10047</v>
      </c>
      <c r="C1259" s="11">
        <v>45990.875</v>
      </c>
      <c r="D1259" s="12">
        <v>8.3333333333333329E-2</v>
      </c>
      <c r="E1259" s="11">
        <v>45990.958333333336</v>
      </c>
      <c r="F1259" s="10" t="s">
        <v>3211</v>
      </c>
      <c r="G1259" s="13" t="b">
        <v>0</v>
      </c>
      <c r="H1259" s="10" t="s">
        <v>3212</v>
      </c>
      <c r="I1259" s="10" t="s">
        <v>3213</v>
      </c>
      <c r="J1259" s="13" t="b">
        <v>0</v>
      </c>
      <c r="K1259" s="13" t="b">
        <v>1</v>
      </c>
      <c r="L1259" s="10" t="s">
        <v>124</v>
      </c>
      <c r="M1259" s="10" t="s">
        <v>91</v>
      </c>
      <c r="N1259" s="10" t="s">
        <v>92</v>
      </c>
      <c r="O1259" s="19" t="s">
        <v>10048</v>
      </c>
      <c r="P1259" s="10" t="s">
        <v>3215</v>
      </c>
      <c r="Q1259" s="10" t="s">
        <v>94</v>
      </c>
      <c r="R1259" s="10"/>
      <c r="S1259" s="19" t="s">
        <v>10049</v>
      </c>
      <c r="T1259" s="19" t="s">
        <v>9988</v>
      </c>
      <c r="U1259" s="10" t="s">
        <v>3260</v>
      </c>
      <c r="V1259" s="10" t="s">
        <v>3269</v>
      </c>
      <c r="W1259" s="10" t="s">
        <v>3219</v>
      </c>
      <c r="X1259" s="10" t="s">
        <v>130</v>
      </c>
      <c r="Y1259" s="10" t="s">
        <v>130</v>
      </c>
      <c r="Z1259" s="10" t="s">
        <v>99</v>
      </c>
      <c r="AA1259" s="10" t="s">
        <v>131</v>
      </c>
      <c r="AB1259" s="10" t="s">
        <v>3220</v>
      </c>
      <c r="AC1259" s="10" t="s">
        <v>3221</v>
      </c>
      <c r="AD1259" s="10" t="s">
        <v>10050</v>
      </c>
      <c r="AE1259" s="10" t="s">
        <v>10051</v>
      </c>
      <c r="AF1259" s="15"/>
      <c r="AG1259" s="10"/>
      <c r="AH1259" s="10"/>
      <c r="AI1259" s="10"/>
      <c r="AJ1259" s="10"/>
      <c r="AK1259" s="10" t="s">
        <v>102</v>
      </c>
      <c r="AL1259" s="10" t="s">
        <v>1569</v>
      </c>
      <c r="AM1259" s="10"/>
      <c r="AN1259" s="10"/>
      <c r="AO1259" s="13" t="b">
        <v>0</v>
      </c>
      <c r="AP1259" s="10" t="s">
        <v>104</v>
      </c>
      <c r="AQ1259" s="10">
        <f ca="1">IFERROR(__xludf.DUMMYFUNCTION("""COMPUTED_VALUE"""),4740999)</f>
        <v>4740999</v>
      </c>
      <c r="AR1259" s="17">
        <v>17436</v>
      </c>
      <c r="AS1259" s="17">
        <v>14169</v>
      </c>
      <c r="AT1259" s="17">
        <v>199853.75</v>
      </c>
      <c r="AU1259" s="17">
        <v>105.5</v>
      </c>
      <c r="AV1259" s="17">
        <v>13.4</v>
      </c>
      <c r="AW1259" s="10" t="s">
        <v>105</v>
      </c>
      <c r="AX1259" s="17">
        <v>3535</v>
      </c>
      <c r="AY1259" s="18">
        <v>14.105000352883055</v>
      </c>
      <c r="AZ1259" s="10" t="s">
        <v>117</v>
      </c>
      <c r="BA1259" s="20" t="b">
        <v>0</v>
      </c>
      <c r="BB1259" s="10"/>
      <c r="BC1259" s="17">
        <v>17436</v>
      </c>
      <c r="BD1259" s="17">
        <v>14169</v>
      </c>
      <c r="BE1259" s="17">
        <v>199853.75</v>
      </c>
      <c r="BF1259" s="17">
        <v>13.4</v>
      </c>
      <c r="BG1259" s="11">
        <f ca="1">IFERROR(__xludf.DUMMYFUNCTION("""COMPUTED_VALUE"""),45990.875)</f>
        <v>45990.875</v>
      </c>
      <c r="BH1259" s="17" t="s">
        <v>105</v>
      </c>
      <c r="BI1259" s="17"/>
      <c r="BJ1259" s="15"/>
      <c r="BK1259" s="15"/>
      <c r="BL1259" s="13" t="b">
        <v>0</v>
      </c>
      <c r="BM1259" s="10"/>
      <c r="BN1259" s="10" t="s">
        <v>117</v>
      </c>
      <c r="BO1259" s="11">
        <v>45904.284594907411</v>
      </c>
      <c r="BP1259" s="11">
        <v>45954.734548611108</v>
      </c>
      <c r="BQ1259" s="15">
        <v>45987.563483796293</v>
      </c>
      <c r="BR1259" s="15">
        <v>45988.685555555552</v>
      </c>
      <c r="BS1259" s="10"/>
      <c r="BT1259" s="10" t="s">
        <v>99</v>
      </c>
      <c r="BU1259" s="10"/>
      <c r="BV1259" s="10"/>
      <c r="BW1259" s="10"/>
      <c r="BX1259" s="10"/>
      <c r="BY1259" s="23"/>
      <c r="BZ1259" s="23"/>
      <c r="CA1259" s="19" t="s">
        <v>10052</v>
      </c>
      <c r="CB1259" s="19" t="s">
        <v>10053</v>
      </c>
      <c r="CC1259" s="23"/>
      <c r="CD1259" s="23"/>
      <c r="CE1259" s="23"/>
      <c r="CF1259" s="23"/>
      <c r="CG1259" s="23"/>
      <c r="CH1259" s="23"/>
      <c r="CI1259" s="23"/>
    </row>
    <row r="1260" spans="1:87" x14ac:dyDescent="0.3">
      <c r="A1260" s="9" t="s">
        <v>10054</v>
      </c>
      <c r="B1260" s="10" t="s">
        <v>10055</v>
      </c>
      <c r="C1260" s="11">
        <v>45991.875</v>
      </c>
      <c r="D1260" s="12">
        <v>8.3333333333333329E-2</v>
      </c>
      <c r="E1260" s="11">
        <v>45991.958333333336</v>
      </c>
      <c r="F1260" s="10" t="s">
        <v>3211</v>
      </c>
      <c r="G1260" s="13" t="b">
        <v>0</v>
      </c>
      <c r="H1260" s="10" t="s">
        <v>3212</v>
      </c>
      <c r="I1260" s="10" t="s">
        <v>3213</v>
      </c>
      <c r="J1260" s="13" t="b">
        <v>0</v>
      </c>
      <c r="K1260" s="13" t="b">
        <v>1</v>
      </c>
      <c r="L1260" s="10" t="s">
        <v>124</v>
      </c>
      <c r="M1260" s="10" t="s">
        <v>91</v>
      </c>
      <c r="N1260" s="10" t="s">
        <v>92</v>
      </c>
      <c r="O1260" s="19" t="s">
        <v>10056</v>
      </c>
      <c r="P1260" s="10" t="s">
        <v>3215</v>
      </c>
      <c r="Q1260" s="10" t="s">
        <v>126</v>
      </c>
      <c r="R1260" s="10"/>
      <c r="S1260" s="19" t="s">
        <v>10057</v>
      </c>
      <c r="T1260" s="19" t="s">
        <v>9988</v>
      </c>
      <c r="U1260" s="10" t="s">
        <v>3451</v>
      </c>
      <c r="V1260" s="10" t="s">
        <v>3278</v>
      </c>
      <c r="W1260" s="10" t="s">
        <v>3219</v>
      </c>
      <c r="X1260" s="10" t="s">
        <v>130</v>
      </c>
      <c r="Y1260" s="10" t="s">
        <v>130</v>
      </c>
      <c r="Z1260" s="10" t="s">
        <v>99</v>
      </c>
      <c r="AA1260" s="10" t="s">
        <v>131</v>
      </c>
      <c r="AB1260" s="10" t="s">
        <v>3220</v>
      </c>
      <c r="AC1260" s="10" t="s">
        <v>3221</v>
      </c>
      <c r="AD1260" s="10" t="s">
        <v>10058</v>
      </c>
      <c r="AE1260" s="10" t="s">
        <v>10059</v>
      </c>
      <c r="AF1260" s="15"/>
      <c r="AG1260" s="10"/>
      <c r="AH1260" s="10"/>
      <c r="AI1260" s="10"/>
      <c r="AJ1260" s="10"/>
      <c r="AK1260" s="10" t="s">
        <v>102</v>
      </c>
      <c r="AL1260" s="10" t="s">
        <v>1569</v>
      </c>
      <c r="AM1260" s="10"/>
      <c r="AN1260" s="10"/>
      <c r="AO1260" s="13" t="b">
        <v>1</v>
      </c>
      <c r="AP1260" s="10" t="s">
        <v>104</v>
      </c>
      <c r="AQ1260" s="10">
        <f ca="1">IFERROR(__xludf.DUMMYFUNCTION("""COMPUTED_VALUE"""),4741003)</f>
        <v>4741003</v>
      </c>
      <c r="AR1260" s="17">
        <v>75040</v>
      </c>
      <c r="AS1260" s="17">
        <v>50649</v>
      </c>
      <c r="AT1260" s="17">
        <v>1307624.5</v>
      </c>
      <c r="AU1260" s="17">
        <v>958.65</v>
      </c>
      <c r="AV1260" s="17">
        <v>96.6</v>
      </c>
      <c r="AW1260" s="10" t="s">
        <v>105</v>
      </c>
      <c r="AX1260" s="17">
        <v>14031</v>
      </c>
      <c r="AY1260" s="18">
        <v>25.817380402377143</v>
      </c>
      <c r="AZ1260" s="10" t="s">
        <v>117</v>
      </c>
      <c r="BA1260" s="20" t="b">
        <v>0</v>
      </c>
      <c r="BB1260" s="10"/>
      <c r="BC1260" s="17">
        <v>75040</v>
      </c>
      <c r="BD1260" s="17">
        <v>50649</v>
      </c>
      <c r="BE1260" s="17">
        <v>1307624.5</v>
      </c>
      <c r="BF1260" s="17">
        <v>96.6</v>
      </c>
      <c r="BG1260" s="11">
        <f ca="1">IFERROR(__xludf.DUMMYFUNCTION("""COMPUTED_VALUE"""),45991.875)</f>
        <v>45991.875</v>
      </c>
      <c r="BH1260" s="17" t="s">
        <v>105</v>
      </c>
      <c r="BI1260" s="17"/>
      <c r="BJ1260" s="15"/>
      <c r="BK1260" s="15"/>
      <c r="BL1260" s="13" t="b">
        <v>0</v>
      </c>
      <c r="BM1260" s="10"/>
      <c r="BN1260" s="10" t="s">
        <v>197</v>
      </c>
      <c r="BO1260" s="11">
        <v>45904.28402777778</v>
      </c>
      <c r="BP1260" s="11">
        <v>45944.655856481484</v>
      </c>
      <c r="BQ1260" s="15">
        <v>45987.564027777778</v>
      </c>
      <c r="BR1260" s="15">
        <v>45988.684756944444</v>
      </c>
      <c r="BS1260" s="10" t="s">
        <v>197</v>
      </c>
      <c r="BT1260" s="10" t="s">
        <v>279</v>
      </c>
      <c r="BU1260" s="10" t="s">
        <v>6409</v>
      </c>
      <c r="BV1260" s="10" t="s">
        <v>281</v>
      </c>
      <c r="BW1260" s="10" t="s">
        <v>9578</v>
      </c>
      <c r="BX1260" s="10"/>
      <c r="BY1260" s="23"/>
      <c r="BZ1260" s="23"/>
      <c r="CA1260" s="19" t="s">
        <v>10060</v>
      </c>
      <c r="CB1260" s="19" t="s">
        <v>10061</v>
      </c>
      <c r="CC1260" s="23"/>
      <c r="CD1260" s="19" t="s">
        <v>10062</v>
      </c>
      <c r="CE1260" s="23"/>
      <c r="CF1260" s="23"/>
      <c r="CG1260" s="23"/>
      <c r="CH1260" s="23"/>
      <c r="CI1260" s="23"/>
    </row>
    <row r="1261" spans="1:87" x14ac:dyDescent="0.3">
      <c r="A1261" s="9" t="s">
        <v>10063</v>
      </c>
      <c r="B1261" s="10" t="s">
        <v>10064</v>
      </c>
      <c r="C1261" s="11">
        <v>45992.114583333336</v>
      </c>
      <c r="D1261" s="12">
        <v>8.3333333333333329E-2</v>
      </c>
      <c r="E1261" s="11">
        <v>45992.197916666664</v>
      </c>
      <c r="F1261" s="10" t="s">
        <v>3211</v>
      </c>
      <c r="G1261" s="13" t="b">
        <v>0</v>
      </c>
      <c r="H1261" s="10" t="s">
        <v>3212</v>
      </c>
      <c r="I1261" s="10" t="s">
        <v>3213</v>
      </c>
      <c r="J1261" s="13" t="b">
        <v>0</v>
      </c>
      <c r="K1261" s="13" t="b">
        <v>1</v>
      </c>
      <c r="L1261" s="10" t="s">
        <v>124</v>
      </c>
      <c r="M1261" s="10" t="s">
        <v>91</v>
      </c>
      <c r="N1261" s="10" t="s">
        <v>92</v>
      </c>
      <c r="O1261" s="19" t="s">
        <v>10065</v>
      </c>
      <c r="P1261" s="10" t="s">
        <v>3215</v>
      </c>
      <c r="Q1261" s="10" t="s">
        <v>126</v>
      </c>
      <c r="R1261" s="10"/>
      <c r="S1261" s="19" t="s">
        <v>10066</v>
      </c>
      <c r="T1261" s="19" t="s">
        <v>9988</v>
      </c>
      <c r="U1261" s="10" t="s">
        <v>3229</v>
      </c>
      <c r="V1261" s="10" t="s">
        <v>3318</v>
      </c>
      <c r="W1261" s="10" t="s">
        <v>3219</v>
      </c>
      <c r="X1261" s="10" t="s">
        <v>130</v>
      </c>
      <c r="Y1261" s="10" t="s">
        <v>130</v>
      </c>
      <c r="Z1261" s="10" t="s">
        <v>99</v>
      </c>
      <c r="AA1261" s="10" t="s">
        <v>131</v>
      </c>
      <c r="AB1261" s="10" t="s">
        <v>3220</v>
      </c>
      <c r="AC1261" s="10" t="s">
        <v>3221</v>
      </c>
      <c r="AD1261" s="10" t="s">
        <v>10067</v>
      </c>
      <c r="AE1261" s="10" t="s">
        <v>10068</v>
      </c>
      <c r="AF1261" s="15"/>
      <c r="AG1261" s="10"/>
      <c r="AH1261" s="10"/>
      <c r="AI1261" s="10"/>
      <c r="AJ1261" s="10"/>
      <c r="AK1261" s="10" t="s">
        <v>102</v>
      </c>
      <c r="AL1261" s="10" t="s">
        <v>1569</v>
      </c>
      <c r="AM1261" s="10"/>
      <c r="AN1261" s="10"/>
      <c r="AO1261" s="13" t="b">
        <v>1</v>
      </c>
      <c r="AP1261" s="10" t="s">
        <v>104</v>
      </c>
      <c r="AQ1261" s="10">
        <f ca="1">IFERROR(__xludf.DUMMYFUNCTION("""COMPUTED_VALUE"""),4745539)</f>
        <v>4745539</v>
      </c>
      <c r="AR1261" s="17">
        <v>21738</v>
      </c>
      <c r="AS1261" s="17">
        <v>15532</v>
      </c>
      <c r="AT1261" s="17">
        <v>457235.75</v>
      </c>
      <c r="AU1261" s="17">
        <v>115.65</v>
      </c>
      <c r="AV1261" s="17">
        <v>21.15</v>
      </c>
      <c r="AW1261" s="10" t="s">
        <v>105</v>
      </c>
      <c r="AX1261" s="17">
        <v>6029</v>
      </c>
      <c r="AY1261" s="18">
        <v>29.438304790110738</v>
      </c>
      <c r="AZ1261" s="10" t="s">
        <v>117</v>
      </c>
      <c r="BA1261" s="20" t="b">
        <v>0</v>
      </c>
      <c r="BB1261" s="10"/>
      <c r="BC1261" s="17">
        <v>21738</v>
      </c>
      <c r="BD1261" s="17">
        <v>15532</v>
      </c>
      <c r="BE1261" s="17">
        <v>457235.75</v>
      </c>
      <c r="BF1261" s="17">
        <v>21.15</v>
      </c>
      <c r="BG1261" s="11">
        <f ca="1">IFERROR(__xludf.DUMMYFUNCTION("""COMPUTED_VALUE"""),45992.1145833333)</f>
        <v>45992.114583333299</v>
      </c>
      <c r="BH1261" s="17" t="s">
        <v>105</v>
      </c>
      <c r="BI1261" s="17"/>
      <c r="BJ1261" s="15"/>
      <c r="BK1261" s="15"/>
      <c r="BL1261" s="13" t="b">
        <v>0</v>
      </c>
      <c r="BM1261" s="10"/>
      <c r="BN1261" s="10" t="s">
        <v>667</v>
      </c>
      <c r="BO1261" s="11">
        <v>45904.28402777778</v>
      </c>
      <c r="BP1261" s="11">
        <v>45944.656111111108</v>
      </c>
      <c r="BQ1261" s="15">
        <v>45987.565127314818</v>
      </c>
      <c r="BR1261" s="15">
        <v>45991.783101851855</v>
      </c>
      <c r="BS1261" s="10" t="s">
        <v>667</v>
      </c>
      <c r="BT1261" s="10" t="s">
        <v>279</v>
      </c>
      <c r="BU1261" s="10" t="s">
        <v>534</v>
      </c>
      <c r="BV1261" s="10"/>
      <c r="BW1261" s="10"/>
      <c r="BX1261" s="10"/>
      <c r="BY1261" s="23"/>
      <c r="BZ1261" s="23"/>
      <c r="CA1261" s="19" t="s">
        <v>10069</v>
      </c>
      <c r="CB1261" s="19" t="s">
        <v>10070</v>
      </c>
      <c r="CC1261" s="23"/>
      <c r="CD1261" s="19" t="s">
        <v>10071</v>
      </c>
      <c r="CE1261" s="23"/>
      <c r="CF1261" s="23"/>
      <c r="CG1261" s="23"/>
      <c r="CH1261" s="23"/>
      <c r="CI1261" s="23"/>
    </row>
    <row r="1262" spans="1:87" x14ac:dyDescent="0.3">
      <c r="A1262" s="9" t="s">
        <v>10072</v>
      </c>
      <c r="B1262" s="10" t="s">
        <v>10073</v>
      </c>
      <c r="C1262" s="11">
        <v>45998.875</v>
      </c>
      <c r="D1262" s="12">
        <v>8.3333333333333329E-2</v>
      </c>
      <c r="E1262" s="11">
        <v>45998.958333333336</v>
      </c>
      <c r="F1262" s="10" t="s">
        <v>3211</v>
      </c>
      <c r="G1262" s="13" t="b">
        <v>0</v>
      </c>
      <c r="H1262" s="10" t="s">
        <v>3212</v>
      </c>
      <c r="I1262" s="10" t="s">
        <v>3213</v>
      </c>
      <c r="J1262" s="13" t="b">
        <v>0</v>
      </c>
      <c r="K1262" s="13" t="b">
        <v>1</v>
      </c>
      <c r="L1262" s="10" t="s">
        <v>124</v>
      </c>
      <c r="M1262" s="10" t="s">
        <v>91</v>
      </c>
      <c r="N1262" s="10" t="s">
        <v>92</v>
      </c>
      <c r="O1262" s="19" t="s">
        <v>10074</v>
      </c>
      <c r="P1262" s="10" t="s">
        <v>3215</v>
      </c>
      <c r="Q1262" s="10" t="s">
        <v>126</v>
      </c>
      <c r="R1262" s="10"/>
      <c r="S1262" s="19" t="s">
        <v>10075</v>
      </c>
      <c r="T1262" s="19" t="s">
        <v>10076</v>
      </c>
      <c r="U1262" s="10" t="s">
        <v>3239</v>
      </c>
      <c r="V1262" s="10" t="s">
        <v>3229</v>
      </c>
      <c r="W1262" s="10" t="s">
        <v>3219</v>
      </c>
      <c r="X1262" s="10" t="s">
        <v>130</v>
      </c>
      <c r="Y1262" s="10" t="s">
        <v>130</v>
      </c>
      <c r="Z1262" s="10" t="s">
        <v>99</v>
      </c>
      <c r="AA1262" s="10" t="s">
        <v>131</v>
      </c>
      <c r="AB1262" s="10" t="s">
        <v>3220</v>
      </c>
      <c r="AC1262" s="10" t="s">
        <v>3221</v>
      </c>
      <c r="AD1262" s="10" t="s">
        <v>10077</v>
      </c>
      <c r="AE1262" s="10" t="s">
        <v>10078</v>
      </c>
      <c r="AF1262" s="15"/>
      <c r="AG1262" s="10"/>
      <c r="AH1262" s="10"/>
      <c r="AI1262" s="10"/>
      <c r="AJ1262" s="10"/>
      <c r="AK1262" s="10" t="s">
        <v>102</v>
      </c>
      <c r="AL1262" s="10" t="s">
        <v>1671</v>
      </c>
      <c r="AM1262" s="10"/>
      <c r="AN1262" s="10"/>
      <c r="AO1262" s="13" t="b">
        <v>1</v>
      </c>
      <c r="AP1262" s="10" t="s">
        <v>104</v>
      </c>
      <c r="AQ1262" s="10">
        <f ca="1">IFERROR(__xludf.DUMMYFUNCTION("""COMPUTED_VALUE"""),4760848)</f>
        <v>4760848</v>
      </c>
      <c r="AR1262" s="17">
        <v>39499</v>
      </c>
      <c r="AS1262" s="17">
        <v>27636</v>
      </c>
      <c r="AT1262" s="17">
        <v>762815.25</v>
      </c>
      <c r="AU1262" s="17">
        <v>413.55</v>
      </c>
      <c r="AV1262" s="17">
        <v>58.45</v>
      </c>
      <c r="AW1262" s="10" t="s">
        <v>105</v>
      </c>
      <c r="AX1262" s="17">
        <v>9108</v>
      </c>
      <c r="AY1262" s="18">
        <v>27.602230785931393</v>
      </c>
      <c r="AZ1262" s="10" t="s">
        <v>117</v>
      </c>
      <c r="BA1262" s="20" t="b">
        <v>0</v>
      </c>
      <c r="BB1262" s="10"/>
      <c r="BC1262" s="17">
        <v>39499</v>
      </c>
      <c r="BD1262" s="17">
        <v>27636</v>
      </c>
      <c r="BE1262" s="17">
        <v>762815.25</v>
      </c>
      <c r="BF1262" s="17">
        <v>58.45</v>
      </c>
      <c r="BG1262" s="11">
        <f ca="1">IFERROR(__xludf.DUMMYFUNCTION("""COMPUTED_VALUE"""),45998.875)</f>
        <v>45998.875</v>
      </c>
      <c r="BH1262" s="17" t="s">
        <v>105</v>
      </c>
      <c r="BI1262" s="17"/>
      <c r="BJ1262" s="15"/>
      <c r="BK1262" s="15"/>
      <c r="BL1262" s="13" t="b">
        <v>0</v>
      </c>
      <c r="BM1262" s="10"/>
      <c r="BN1262" s="10" t="s">
        <v>634</v>
      </c>
      <c r="BO1262" s="11">
        <v>45904.284594907411</v>
      </c>
      <c r="BP1262" s="11">
        <v>45944.65724537037</v>
      </c>
      <c r="BQ1262" s="15">
        <v>45993.611319444448</v>
      </c>
      <c r="BR1262" s="15">
        <v>45994.604328703703</v>
      </c>
      <c r="BS1262" s="10" t="s">
        <v>634</v>
      </c>
      <c r="BT1262" s="10" t="s">
        <v>99</v>
      </c>
      <c r="BU1262" s="10" t="s">
        <v>421</v>
      </c>
      <c r="BV1262" s="10"/>
      <c r="BW1262" s="10"/>
      <c r="BX1262" s="10"/>
      <c r="BY1262" s="23"/>
      <c r="BZ1262" s="23"/>
      <c r="CA1262" s="19" t="s">
        <v>10079</v>
      </c>
      <c r="CB1262" s="19" t="s">
        <v>10080</v>
      </c>
      <c r="CC1262" s="23"/>
      <c r="CD1262" s="19" t="s">
        <v>10081</v>
      </c>
      <c r="CE1262" s="23"/>
      <c r="CF1262" s="23"/>
      <c r="CG1262" s="23"/>
      <c r="CH1262" s="23"/>
      <c r="CI1262" s="23"/>
    </row>
    <row r="1263" spans="1:87" x14ac:dyDescent="0.3">
      <c r="A1263" s="9" t="s">
        <v>10082</v>
      </c>
      <c r="B1263" s="10" t="s">
        <v>10083</v>
      </c>
      <c r="C1263" s="11">
        <v>45998.770833333336</v>
      </c>
      <c r="D1263" s="12">
        <v>8.3333333333333329E-2</v>
      </c>
      <c r="E1263" s="11">
        <v>45998.854166666664</v>
      </c>
      <c r="F1263" s="10" t="s">
        <v>3211</v>
      </c>
      <c r="G1263" s="13" t="b">
        <v>0</v>
      </c>
      <c r="H1263" s="10" t="s">
        <v>3212</v>
      </c>
      <c r="I1263" s="10" t="s">
        <v>3213</v>
      </c>
      <c r="J1263" s="13" t="b">
        <v>0</v>
      </c>
      <c r="K1263" s="13" t="b">
        <v>1</v>
      </c>
      <c r="L1263" s="10" t="s">
        <v>124</v>
      </c>
      <c r="M1263" s="10" t="s">
        <v>91</v>
      </c>
      <c r="N1263" s="10" t="s">
        <v>92</v>
      </c>
      <c r="O1263" s="19" t="s">
        <v>10084</v>
      </c>
      <c r="P1263" s="10" t="s">
        <v>3215</v>
      </c>
      <c r="Q1263" s="10" t="s">
        <v>126</v>
      </c>
      <c r="R1263" s="10"/>
      <c r="S1263" s="19" t="s">
        <v>10085</v>
      </c>
      <c r="T1263" s="19" t="s">
        <v>10076</v>
      </c>
      <c r="U1263" s="10" t="s">
        <v>3440</v>
      </c>
      <c r="V1263" s="10" t="s">
        <v>3218</v>
      </c>
      <c r="W1263" s="10" t="s">
        <v>3219</v>
      </c>
      <c r="X1263" s="10" t="s">
        <v>130</v>
      </c>
      <c r="Y1263" s="10" t="s">
        <v>130</v>
      </c>
      <c r="Z1263" s="10" t="s">
        <v>99</v>
      </c>
      <c r="AA1263" s="10" t="s">
        <v>131</v>
      </c>
      <c r="AB1263" s="10" t="s">
        <v>3220</v>
      </c>
      <c r="AC1263" s="10" t="s">
        <v>3221</v>
      </c>
      <c r="AD1263" s="10" t="s">
        <v>10086</v>
      </c>
      <c r="AE1263" s="10" t="s">
        <v>10087</v>
      </c>
      <c r="AF1263" s="15"/>
      <c r="AG1263" s="10"/>
      <c r="AH1263" s="10"/>
      <c r="AI1263" s="10"/>
      <c r="AJ1263" s="10"/>
      <c r="AK1263" s="10" t="s">
        <v>102</v>
      </c>
      <c r="AL1263" s="10" t="s">
        <v>1671</v>
      </c>
      <c r="AM1263" s="10"/>
      <c r="AN1263" s="10"/>
      <c r="AO1263" s="13" t="b">
        <v>1</v>
      </c>
      <c r="AP1263" s="10" t="s">
        <v>104</v>
      </c>
      <c r="AQ1263" s="10">
        <f ca="1">IFERROR(__xludf.DUMMYFUNCTION("""COMPUTED_VALUE"""),4760846)</f>
        <v>4760846</v>
      </c>
      <c r="AR1263" s="17">
        <v>48335</v>
      </c>
      <c r="AS1263" s="17">
        <v>35400</v>
      </c>
      <c r="AT1263" s="17">
        <v>865735.5</v>
      </c>
      <c r="AU1263" s="17">
        <v>284.60000000000002</v>
      </c>
      <c r="AV1263" s="17">
        <v>55.6</v>
      </c>
      <c r="AW1263" s="10" t="s">
        <v>105</v>
      </c>
      <c r="AX1263" s="17">
        <v>9014</v>
      </c>
      <c r="AY1263" s="18">
        <v>24.455805084745762</v>
      </c>
      <c r="AZ1263" s="10" t="s">
        <v>117</v>
      </c>
      <c r="BA1263" s="20" t="b">
        <v>0</v>
      </c>
      <c r="BB1263" s="10"/>
      <c r="BC1263" s="17">
        <v>48335</v>
      </c>
      <c r="BD1263" s="17">
        <v>35400</v>
      </c>
      <c r="BE1263" s="17">
        <v>865735.5</v>
      </c>
      <c r="BF1263" s="17">
        <v>55.6</v>
      </c>
      <c r="BG1263" s="11">
        <f ca="1">IFERROR(__xludf.DUMMYFUNCTION("""COMPUTED_VALUE"""),45998.7708333333)</f>
        <v>45998.770833333299</v>
      </c>
      <c r="BH1263" s="17" t="s">
        <v>105</v>
      </c>
      <c r="BI1263" s="17"/>
      <c r="BJ1263" s="15"/>
      <c r="BK1263" s="15"/>
      <c r="BL1263" s="13" t="b">
        <v>0</v>
      </c>
      <c r="BM1263" s="10"/>
      <c r="BN1263" s="10" t="s">
        <v>634</v>
      </c>
      <c r="BO1263" s="11">
        <v>45904.28402777778</v>
      </c>
      <c r="BP1263" s="11">
        <v>45950.630555555559</v>
      </c>
      <c r="BQ1263" s="15">
        <v>45993.611203703702</v>
      </c>
      <c r="BR1263" s="15">
        <v>45994.604189814818</v>
      </c>
      <c r="BS1263" s="10" t="s">
        <v>634</v>
      </c>
      <c r="BT1263" s="10" t="s">
        <v>99</v>
      </c>
      <c r="BU1263" s="10" t="s">
        <v>280</v>
      </c>
      <c r="BV1263" s="10"/>
      <c r="BW1263" s="10"/>
      <c r="BX1263" s="10"/>
      <c r="BY1263" s="23"/>
      <c r="BZ1263" s="23"/>
      <c r="CA1263" s="19" t="s">
        <v>10088</v>
      </c>
      <c r="CB1263" s="19" t="s">
        <v>10089</v>
      </c>
      <c r="CC1263" s="23"/>
      <c r="CD1263" s="19" t="s">
        <v>10090</v>
      </c>
      <c r="CE1263" s="23"/>
      <c r="CF1263" s="23"/>
      <c r="CG1263" s="23"/>
      <c r="CH1263" s="23"/>
      <c r="CI1263" s="23"/>
    </row>
    <row r="1264" spans="1:87" x14ac:dyDescent="0.3">
      <c r="A1264" s="9" t="s">
        <v>10091</v>
      </c>
      <c r="B1264" s="10" t="s">
        <v>10092</v>
      </c>
      <c r="C1264" s="11">
        <v>45998</v>
      </c>
      <c r="D1264" s="12">
        <v>8.3333333333333329E-2</v>
      </c>
      <c r="E1264" s="11">
        <v>45998.083333333336</v>
      </c>
      <c r="F1264" s="10" t="s">
        <v>3211</v>
      </c>
      <c r="G1264" s="13" t="b">
        <v>0</v>
      </c>
      <c r="H1264" s="10" t="s">
        <v>3212</v>
      </c>
      <c r="I1264" s="10" t="s">
        <v>3213</v>
      </c>
      <c r="J1264" s="13" t="b">
        <v>0</v>
      </c>
      <c r="K1264" s="13" t="b">
        <v>1</v>
      </c>
      <c r="L1264" s="10" t="s">
        <v>124</v>
      </c>
      <c r="M1264" s="10" t="s">
        <v>91</v>
      </c>
      <c r="N1264" s="10" t="s">
        <v>92</v>
      </c>
      <c r="O1264" s="19" t="s">
        <v>10093</v>
      </c>
      <c r="P1264" s="10" t="s">
        <v>3215</v>
      </c>
      <c r="Q1264" s="10" t="s">
        <v>126</v>
      </c>
      <c r="R1264" s="10"/>
      <c r="S1264" s="19" t="s">
        <v>10094</v>
      </c>
      <c r="T1264" s="19" t="s">
        <v>10076</v>
      </c>
      <c r="U1264" s="10" t="s">
        <v>3278</v>
      </c>
      <c r="V1264" s="10" t="s">
        <v>3249</v>
      </c>
      <c r="W1264" s="10" t="s">
        <v>3219</v>
      </c>
      <c r="X1264" s="10" t="s">
        <v>130</v>
      </c>
      <c r="Y1264" s="10" t="s">
        <v>130</v>
      </c>
      <c r="Z1264" s="10" t="s">
        <v>99</v>
      </c>
      <c r="AA1264" s="10" t="s">
        <v>131</v>
      </c>
      <c r="AB1264" s="10" t="s">
        <v>3220</v>
      </c>
      <c r="AC1264" s="10" t="s">
        <v>3221</v>
      </c>
      <c r="AD1264" s="10" t="s">
        <v>10095</v>
      </c>
      <c r="AE1264" s="10" t="s">
        <v>10096</v>
      </c>
      <c r="AF1264" s="15"/>
      <c r="AG1264" s="10"/>
      <c r="AH1264" s="10"/>
      <c r="AI1264" s="10"/>
      <c r="AJ1264" s="10"/>
      <c r="AK1264" s="10" t="s">
        <v>102</v>
      </c>
      <c r="AL1264" s="10" t="s">
        <v>1671</v>
      </c>
      <c r="AM1264" s="10"/>
      <c r="AN1264" s="10"/>
      <c r="AO1264" s="13" t="b">
        <v>1</v>
      </c>
      <c r="AP1264" s="10" t="s">
        <v>104</v>
      </c>
      <c r="AQ1264" s="10">
        <f ca="1">IFERROR(__xludf.DUMMYFUNCTION("""COMPUTED_VALUE"""),4759279)</f>
        <v>4759279</v>
      </c>
      <c r="AR1264" s="17">
        <v>59252</v>
      </c>
      <c r="AS1264" s="17">
        <v>39247</v>
      </c>
      <c r="AT1264" s="17">
        <v>1195008.25</v>
      </c>
      <c r="AU1264" s="17">
        <v>621.45000000000005</v>
      </c>
      <c r="AV1264" s="17">
        <v>67</v>
      </c>
      <c r="AW1264" s="10" t="s">
        <v>105</v>
      </c>
      <c r="AX1264" s="17">
        <v>15052</v>
      </c>
      <c r="AY1264" s="18">
        <v>30.448397329732209</v>
      </c>
      <c r="AZ1264" s="10" t="s">
        <v>117</v>
      </c>
      <c r="BA1264" s="20" t="b">
        <v>0</v>
      </c>
      <c r="BB1264" s="10"/>
      <c r="BC1264" s="17">
        <v>59252</v>
      </c>
      <c r="BD1264" s="17">
        <v>39247</v>
      </c>
      <c r="BE1264" s="17">
        <v>1195008.25</v>
      </c>
      <c r="BF1264" s="17">
        <v>67</v>
      </c>
      <c r="BG1264" s="11">
        <f ca="1">IFERROR(__xludf.DUMMYFUNCTION("""COMPUTED_VALUE"""),45998)</f>
        <v>45998</v>
      </c>
      <c r="BH1264" s="17" t="s">
        <v>105</v>
      </c>
      <c r="BI1264" s="17"/>
      <c r="BJ1264" s="15"/>
      <c r="BK1264" s="15"/>
      <c r="BL1264" s="13" t="b">
        <v>0</v>
      </c>
      <c r="BM1264" s="10"/>
      <c r="BN1264" s="10" t="s">
        <v>1149</v>
      </c>
      <c r="BO1264" s="11">
        <v>45904.28402777778</v>
      </c>
      <c r="BP1264" s="11">
        <v>45944.656238425923</v>
      </c>
      <c r="BQ1264" s="15">
        <v>45993.610613425924</v>
      </c>
      <c r="BR1264" s="15">
        <v>45994.462997685187</v>
      </c>
      <c r="BS1264" s="10" t="s">
        <v>1149</v>
      </c>
      <c r="BT1264" s="10" t="s">
        <v>99</v>
      </c>
      <c r="BU1264" s="10" t="s">
        <v>9114</v>
      </c>
      <c r="BV1264" s="10" t="s">
        <v>124</v>
      </c>
      <c r="BW1264" s="10" t="s">
        <v>9494</v>
      </c>
      <c r="BX1264" s="10"/>
      <c r="BY1264" s="23"/>
      <c r="BZ1264" s="23"/>
      <c r="CA1264" s="19" t="s">
        <v>10097</v>
      </c>
      <c r="CB1264" s="19" t="s">
        <v>10098</v>
      </c>
      <c r="CC1264" s="23"/>
      <c r="CD1264" s="19" t="s">
        <v>10099</v>
      </c>
      <c r="CE1264" s="23"/>
      <c r="CF1264" s="23"/>
      <c r="CG1264" s="23"/>
      <c r="CH1264" s="23"/>
      <c r="CI1264" s="23"/>
    </row>
    <row r="1265" spans="1:87" x14ac:dyDescent="0.3">
      <c r="A1265" s="9" t="s">
        <v>10100</v>
      </c>
      <c r="B1265" s="10" t="s">
        <v>10101</v>
      </c>
      <c r="C1265" s="11">
        <v>45999</v>
      </c>
      <c r="D1265" s="12">
        <v>8.3333333333333329E-2</v>
      </c>
      <c r="E1265" s="11">
        <v>45999.083333333336</v>
      </c>
      <c r="F1265" s="10" t="s">
        <v>3211</v>
      </c>
      <c r="G1265" s="13" t="b">
        <v>0</v>
      </c>
      <c r="H1265" s="10" t="s">
        <v>3212</v>
      </c>
      <c r="I1265" s="10" t="s">
        <v>3213</v>
      </c>
      <c r="J1265" s="13" t="b">
        <v>0</v>
      </c>
      <c r="K1265" s="13" t="b">
        <v>1</v>
      </c>
      <c r="L1265" s="10" t="s">
        <v>124</v>
      </c>
      <c r="M1265" s="10" t="s">
        <v>91</v>
      </c>
      <c r="N1265" s="10" t="s">
        <v>92</v>
      </c>
      <c r="O1265" s="19" t="s">
        <v>10102</v>
      </c>
      <c r="P1265" s="10" t="s">
        <v>3215</v>
      </c>
      <c r="Q1265" s="10" t="s">
        <v>126</v>
      </c>
      <c r="R1265" s="10"/>
      <c r="S1265" s="19" t="s">
        <v>10103</v>
      </c>
      <c r="T1265" s="19" t="s">
        <v>10076</v>
      </c>
      <c r="U1265" s="10" t="s">
        <v>3250</v>
      </c>
      <c r="V1265" s="10" t="s">
        <v>3230</v>
      </c>
      <c r="W1265" s="10" t="s">
        <v>3219</v>
      </c>
      <c r="X1265" s="10" t="s">
        <v>130</v>
      </c>
      <c r="Y1265" s="10" t="s">
        <v>130</v>
      </c>
      <c r="Z1265" s="10" t="s">
        <v>99</v>
      </c>
      <c r="AA1265" s="10" t="s">
        <v>131</v>
      </c>
      <c r="AB1265" s="10" t="s">
        <v>3220</v>
      </c>
      <c r="AC1265" s="10" t="s">
        <v>3221</v>
      </c>
      <c r="AD1265" s="10" t="s">
        <v>10104</v>
      </c>
      <c r="AE1265" s="10" t="s">
        <v>10105</v>
      </c>
      <c r="AF1265" s="15"/>
      <c r="AG1265" s="10"/>
      <c r="AH1265" s="10"/>
      <c r="AI1265" s="10"/>
      <c r="AJ1265" s="10"/>
      <c r="AK1265" s="10" t="s">
        <v>102</v>
      </c>
      <c r="AL1265" s="10" t="s">
        <v>1671</v>
      </c>
      <c r="AM1265" s="10"/>
      <c r="AN1265" s="10"/>
      <c r="AO1265" s="13" t="b">
        <v>0</v>
      </c>
      <c r="AP1265" s="10" t="s">
        <v>104</v>
      </c>
      <c r="AQ1265" s="10">
        <f ca="1">IFERROR(__xludf.DUMMYFUNCTION("""COMPUTED_VALUE"""),4763985)</f>
        <v>4763985</v>
      </c>
      <c r="AR1265" s="17">
        <v>12718</v>
      </c>
      <c r="AS1265" s="17">
        <v>10270</v>
      </c>
      <c r="AT1265" s="17">
        <v>290529.25</v>
      </c>
      <c r="AU1265" s="17">
        <v>64.3</v>
      </c>
      <c r="AV1265" s="17">
        <v>13.25</v>
      </c>
      <c r="AW1265" s="10" t="s">
        <v>105</v>
      </c>
      <c r="AX1265" s="17">
        <v>3649</v>
      </c>
      <c r="AY1265" s="18">
        <v>28.289118792599805</v>
      </c>
      <c r="AZ1265" s="10" t="s">
        <v>117</v>
      </c>
      <c r="BA1265" s="20" t="b">
        <v>0</v>
      </c>
      <c r="BB1265" s="10"/>
      <c r="BC1265" s="17">
        <v>12718</v>
      </c>
      <c r="BD1265" s="17">
        <v>10270</v>
      </c>
      <c r="BE1265" s="17">
        <v>290529.25</v>
      </c>
      <c r="BF1265" s="17">
        <v>13.25</v>
      </c>
      <c r="BG1265" s="11">
        <f ca="1">IFERROR(__xludf.DUMMYFUNCTION("""COMPUTED_VALUE"""),45999)</f>
        <v>45999</v>
      </c>
      <c r="BH1265" s="17" t="s">
        <v>105</v>
      </c>
      <c r="BI1265" s="17"/>
      <c r="BJ1265" s="15"/>
      <c r="BK1265" s="15"/>
      <c r="BL1265" s="13" t="b">
        <v>0</v>
      </c>
      <c r="BM1265" s="10"/>
      <c r="BN1265" s="10" t="s">
        <v>1149</v>
      </c>
      <c r="BO1265" s="11">
        <v>45904.284594907411</v>
      </c>
      <c r="BP1265" s="11">
        <v>45944.656354166669</v>
      </c>
      <c r="BQ1265" s="15">
        <v>45993.611539351848</v>
      </c>
      <c r="BR1265" s="15">
        <v>45996.212754629632</v>
      </c>
      <c r="BS1265" s="10" t="s">
        <v>1149</v>
      </c>
      <c r="BT1265" s="10" t="s">
        <v>99</v>
      </c>
      <c r="BU1265" s="10" t="s">
        <v>3394</v>
      </c>
      <c r="BV1265" s="10"/>
      <c r="BW1265" s="10"/>
      <c r="BX1265" s="10"/>
      <c r="BY1265" s="23"/>
      <c r="BZ1265" s="23"/>
      <c r="CA1265" s="19" t="s">
        <v>10106</v>
      </c>
      <c r="CB1265" s="19" t="s">
        <v>10107</v>
      </c>
      <c r="CC1265" s="23"/>
      <c r="CD1265" s="19" t="s">
        <v>10108</v>
      </c>
      <c r="CE1265" s="23"/>
      <c r="CF1265" s="23"/>
      <c r="CG1265" s="23"/>
      <c r="CH1265" s="23"/>
      <c r="CI1265" s="23"/>
    </row>
    <row r="1266" spans="1:87" x14ac:dyDescent="0.3">
      <c r="A1266" s="9" t="s">
        <v>10109</v>
      </c>
      <c r="B1266" s="10" t="s">
        <v>10110</v>
      </c>
      <c r="C1266" s="11">
        <v>45999.114583333336</v>
      </c>
      <c r="D1266" s="12">
        <v>8.3333333333333329E-2</v>
      </c>
      <c r="E1266" s="11">
        <v>45999.197916666664</v>
      </c>
      <c r="F1266" s="10" t="s">
        <v>3211</v>
      </c>
      <c r="G1266" s="13" t="b">
        <v>0</v>
      </c>
      <c r="H1266" s="10" t="s">
        <v>3212</v>
      </c>
      <c r="I1266" s="10" t="s">
        <v>3213</v>
      </c>
      <c r="J1266" s="13" t="b">
        <v>0</v>
      </c>
      <c r="K1266" s="13" t="b">
        <v>1</v>
      </c>
      <c r="L1266" s="10" t="s">
        <v>124</v>
      </c>
      <c r="M1266" s="10" t="s">
        <v>91</v>
      </c>
      <c r="N1266" s="10" t="s">
        <v>92</v>
      </c>
      <c r="O1266" s="19" t="s">
        <v>10111</v>
      </c>
      <c r="P1266" s="10" t="s">
        <v>3215</v>
      </c>
      <c r="Q1266" s="10" t="s">
        <v>126</v>
      </c>
      <c r="R1266" s="10"/>
      <c r="S1266" s="19" t="s">
        <v>10112</v>
      </c>
      <c r="T1266" s="19" t="s">
        <v>10076</v>
      </c>
      <c r="U1266" s="10" t="s">
        <v>3318</v>
      </c>
      <c r="V1266" s="10" t="s">
        <v>3259</v>
      </c>
      <c r="W1266" s="10" t="s">
        <v>3219</v>
      </c>
      <c r="X1266" s="10" t="s">
        <v>130</v>
      </c>
      <c r="Y1266" s="10" t="s">
        <v>130</v>
      </c>
      <c r="Z1266" s="10" t="s">
        <v>99</v>
      </c>
      <c r="AA1266" s="10" t="s">
        <v>131</v>
      </c>
      <c r="AB1266" s="10" t="s">
        <v>3220</v>
      </c>
      <c r="AC1266" s="10" t="s">
        <v>3221</v>
      </c>
      <c r="AD1266" s="10" t="s">
        <v>10113</v>
      </c>
      <c r="AE1266" s="10" t="s">
        <v>10114</v>
      </c>
      <c r="AF1266" s="15"/>
      <c r="AG1266" s="10"/>
      <c r="AH1266" s="10"/>
      <c r="AI1266" s="10"/>
      <c r="AJ1266" s="10"/>
      <c r="AK1266" s="10" t="s">
        <v>102</v>
      </c>
      <c r="AL1266" s="10" t="s">
        <v>1671</v>
      </c>
      <c r="AM1266" s="10"/>
      <c r="AN1266" s="10"/>
      <c r="AO1266" s="13" t="b">
        <v>1</v>
      </c>
      <c r="AP1266" s="10" t="s">
        <v>104</v>
      </c>
      <c r="AQ1266" s="10">
        <f ca="1">IFERROR(__xludf.DUMMYFUNCTION("""COMPUTED_VALUE"""),4765133)</f>
        <v>4765133</v>
      </c>
      <c r="AR1266" s="17">
        <v>31967</v>
      </c>
      <c r="AS1266" s="17">
        <v>23220</v>
      </c>
      <c r="AT1266" s="17">
        <v>759331</v>
      </c>
      <c r="AU1266" s="17">
        <v>197.4</v>
      </c>
      <c r="AV1266" s="17">
        <v>31.7</v>
      </c>
      <c r="AW1266" s="10" t="s">
        <v>105</v>
      </c>
      <c r="AX1266" s="17">
        <v>8671</v>
      </c>
      <c r="AY1266" s="18">
        <v>32.701593453919038</v>
      </c>
      <c r="AZ1266" s="10" t="s">
        <v>117</v>
      </c>
      <c r="BA1266" s="20" t="b">
        <v>0</v>
      </c>
      <c r="BB1266" s="10"/>
      <c r="BC1266" s="17">
        <v>31967</v>
      </c>
      <c r="BD1266" s="17">
        <v>23220</v>
      </c>
      <c r="BE1266" s="17">
        <v>759331</v>
      </c>
      <c r="BF1266" s="17">
        <v>31.7</v>
      </c>
      <c r="BG1266" s="11">
        <f ca="1">IFERROR(__xludf.DUMMYFUNCTION("""COMPUTED_VALUE"""),45999.1145833333)</f>
        <v>45999.114583333299</v>
      </c>
      <c r="BH1266" s="17" t="s">
        <v>105</v>
      </c>
      <c r="BI1266" s="17"/>
      <c r="BJ1266" s="15"/>
      <c r="BK1266" s="15"/>
      <c r="BL1266" s="13" t="b">
        <v>0</v>
      </c>
      <c r="BM1266" s="10"/>
      <c r="BN1266" s="10" t="s">
        <v>1149</v>
      </c>
      <c r="BO1266" s="11">
        <v>45904.28402777778</v>
      </c>
      <c r="BP1266" s="11">
        <v>45944.656458333331</v>
      </c>
      <c r="BQ1266" s="15">
        <v>45993.611689814818</v>
      </c>
      <c r="BR1266" s="15">
        <v>45996.213449074072</v>
      </c>
      <c r="BS1266" s="10" t="s">
        <v>1149</v>
      </c>
      <c r="BT1266" s="10" t="s">
        <v>99</v>
      </c>
      <c r="BU1266" s="10" t="s">
        <v>3394</v>
      </c>
      <c r="BV1266" s="10" t="s">
        <v>124</v>
      </c>
      <c r="BW1266" s="10" t="s">
        <v>9494</v>
      </c>
      <c r="BX1266" s="10"/>
      <c r="BY1266" s="23"/>
      <c r="BZ1266" s="23"/>
      <c r="CA1266" s="19" t="s">
        <v>10115</v>
      </c>
      <c r="CB1266" s="19" t="s">
        <v>10116</v>
      </c>
      <c r="CC1266" s="23"/>
      <c r="CD1266" s="19" t="s">
        <v>10117</v>
      </c>
      <c r="CE1266" s="23"/>
      <c r="CF1266" s="23"/>
      <c r="CG1266" s="23"/>
      <c r="CH1266" s="23"/>
      <c r="CI1266" s="23"/>
    </row>
    <row r="1267" spans="1:87" x14ac:dyDescent="0.3">
      <c r="A1267" s="9" t="s">
        <v>10118</v>
      </c>
      <c r="B1267" s="10" t="s">
        <v>10119</v>
      </c>
      <c r="C1267" s="11">
        <v>45999.875</v>
      </c>
      <c r="D1267" s="12">
        <v>8.3333333333333329E-2</v>
      </c>
      <c r="E1267" s="11">
        <v>45999.958333333336</v>
      </c>
      <c r="F1267" s="10" t="s">
        <v>3211</v>
      </c>
      <c r="G1267" s="13" t="b">
        <v>0</v>
      </c>
      <c r="H1267" s="10" t="s">
        <v>3212</v>
      </c>
      <c r="I1267" s="10" t="s">
        <v>3213</v>
      </c>
      <c r="J1267" s="13" t="b">
        <v>0</v>
      </c>
      <c r="K1267" s="13" t="b">
        <v>1</v>
      </c>
      <c r="L1267" s="10" t="s">
        <v>124</v>
      </c>
      <c r="M1267" s="10" t="s">
        <v>91</v>
      </c>
      <c r="N1267" s="10" t="s">
        <v>92</v>
      </c>
      <c r="O1267" s="19" t="s">
        <v>10120</v>
      </c>
      <c r="P1267" s="10" t="s">
        <v>3215</v>
      </c>
      <c r="Q1267" s="10" t="s">
        <v>94</v>
      </c>
      <c r="R1267" s="10"/>
      <c r="S1267" s="19" t="s">
        <v>10121</v>
      </c>
      <c r="T1267" s="19" t="s">
        <v>10076</v>
      </c>
      <c r="U1267" s="10" t="s">
        <v>3451</v>
      </c>
      <c r="V1267" s="10" t="s">
        <v>3260</v>
      </c>
      <c r="W1267" s="10" t="s">
        <v>3219</v>
      </c>
      <c r="X1267" s="10" t="s">
        <v>130</v>
      </c>
      <c r="Y1267" s="10" t="s">
        <v>130</v>
      </c>
      <c r="Z1267" s="10" t="s">
        <v>99</v>
      </c>
      <c r="AA1267" s="10" t="s">
        <v>131</v>
      </c>
      <c r="AB1267" s="10" t="s">
        <v>3220</v>
      </c>
      <c r="AC1267" s="10" t="s">
        <v>3221</v>
      </c>
      <c r="AD1267" s="10" t="s">
        <v>10122</v>
      </c>
      <c r="AE1267" s="10" t="s">
        <v>10123</v>
      </c>
      <c r="AF1267" s="15"/>
      <c r="AG1267" s="10"/>
      <c r="AH1267" s="10"/>
      <c r="AI1267" s="10"/>
      <c r="AJ1267" s="10"/>
      <c r="AK1267" s="10" t="s">
        <v>102</v>
      </c>
      <c r="AL1267" s="10" t="s">
        <v>1671</v>
      </c>
      <c r="AM1267" s="10"/>
      <c r="AN1267" s="10"/>
      <c r="AO1267" s="13" t="b">
        <v>0</v>
      </c>
      <c r="AP1267" s="10" t="s">
        <v>104</v>
      </c>
      <c r="AQ1267" s="10">
        <f ca="1">IFERROR(__xludf.DUMMYFUNCTION("""COMPUTED_VALUE"""),4768860)</f>
        <v>4768860</v>
      </c>
      <c r="AR1267" s="17">
        <v>13545</v>
      </c>
      <c r="AS1267" s="17">
        <v>11036</v>
      </c>
      <c r="AT1267" s="17">
        <v>263288.5</v>
      </c>
      <c r="AU1267" s="17">
        <v>81.25</v>
      </c>
      <c r="AV1267" s="17">
        <v>10.65</v>
      </c>
      <c r="AW1267" s="10" t="s">
        <v>105</v>
      </c>
      <c r="AX1267" s="17">
        <v>2850</v>
      </c>
      <c r="AY1267" s="18">
        <v>23.857239942007975</v>
      </c>
      <c r="AZ1267" s="10" t="s">
        <v>117</v>
      </c>
      <c r="BA1267" s="20" t="b">
        <v>0</v>
      </c>
      <c r="BB1267" s="10"/>
      <c r="BC1267" s="17">
        <v>13545</v>
      </c>
      <c r="BD1267" s="17">
        <v>11036</v>
      </c>
      <c r="BE1267" s="17">
        <v>263288.5</v>
      </c>
      <c r="BF1267" s="17">
        <v>10.65</v>
      </c>
      <c r="BG1267" s="11">
        <f ca="1">IFERROR(__xludf.DUMMYFUNCTION("""COMPUTED_VALUE"""),45999.875)</f>
        <v>45999.875</v>
      </c>
      <c r="BH1267" s="17" t="s">
        <v>105</v>
      </c>
      <c r="BI1267" s="17"/>
      <c r="BJ1267" s="15"/>
      <c r="BK1267" s="15"/>
      <c r="BL1267" s="13" t="b">
        <v>0</v>
      </c>
      <c r="BM1267" s="10"/>
      <c r="BN1267" s="10" t="s">
        <v>455</v>
      </c>
      <c r="BO1267" s="11">
        <v>45904.284594907411</v>
      </c>
      <c r="BP1267" s="11">
        <v>45950.631168981483</v>
      </c>
      <c r="BQ1267" s="15">
        <v>45993.611840277779</v>
      </c>
      <c r="BR1267" s="15">
        <v>45997.864722222221</v>
      </c>
      <c r="BS1267" s="10" t="s">
        <v>455</v>
      </c>
      <c r="BT1267" s="10" t="s">
        <v>99</v>
      </c>
      <c r="BU1267" s="10" t="s">
        <v>298</v>
      </c>
      <c r="BV1267" s="10"/>
      <c r="BW1267" s="10"/>
      <c r="BX1267" s="10"/>
      <c r="BY1267" s="23"/>
      <c r="BZ1267" s="23"/>
      <c r="CA1267" s="19" t="s">
        <v>10124</v>
      </c>
      <c r="CB1267" s="19" t="s">
        <v>10125</v>
      </c>
      <c r="CC1267" s="23"/>
      <c r="CD1267" s="23"/>
      <c r="CE1267" s="23"/>
      <c r="CF1267" s="23"/>
      <c r="CG1267" s="23"/>
      <c r="CH1267" s="23"/>
      <c r="CI1267" s="23"/>
    </row>
    <row r="1268" spans="1:87" x14ac:dyDescent="0.3">
      <c r="A1268" s="9" t="s">
        <v>10126</v>
      </c>
      <c r="B1268" s="10" t="s">
        <v>10127</v>
      </c>
      <c r="C1268" s="11">
        <v>45997.875</v>
      </c>
      <c r="D1268" s="12">
        <v>8.3333333333333329E-2</v>
      </c>
      <c r="E1268" s="11">
        <v>45997.958333333336</v>
      </c>
      <c r="F1268" s="10" t="s">
        <v>3211</v>
      </c>
      <c r="G1268" s="13" t="b">
        <v>0</v>
      </c>
      <c r="H1268" s="10" t="s">
        <v>3212</v>
      </c>
      <c r="I1268" s="10" t="s">
        <v>3213</v>
      </c>
      <c r="J1268" s="13" t="b">
        <v>0</v>
      </c>
      <c r="K1268" s="13" t="b">
        <v>1</v>
      </c>
      <c r="L1268" s="10" t="s">
        <v>124</v>
      </c>
      <c r="M1268" s="10" t="s">
        <v>91</v>
      </c>
      <c r="N1268" s="10" t="s">
        <v>92</v>
      </c>
      <c r="O1268" s="19" t="s">
        <v>10128</v>
      </c>
      <c r="P1268" s="10" t="s">
        <v>3215</v>
      </c>
      <c r="Q1268" s="10" t="s">
        <v>126</v>
      </c>
      <c r="R1268" s="10"/>
      <c r="S1268" s="19" t="s">
        <v>10129</v>
      </c>
      <c r="T1268" s="19" t="s">
        <v>10076</v>
      </c>
      <c r="U1268" s="10" t="s">
        <v>3429</v>
      </c>
      <c r="V1268" s="10" t="s">
        <v>3240</v>
      </c>
      <c r="W1268" s="10" t="s">
        <v>3219</v>
      </c>
      <c r="X1268" s="10" t="s">
        <v>130</v>
      </c>
      <c r="Y1268" s="10" t="s">
        <v>130</v>
      </c>
      <c r="Z1268" s="10" t="s">
        <v>99</v>
      </c>
      <c r="AA1268" s="10" t="s">
        <v>131</v>
      </c>
      <c r="AB1268" s="10" t="s">
        <v>3220</v>
      </c>
      <c r="AC1268" s="10" t="s">
        <v>3221</v>
      </c>
      <c r="AD1268" s="10" t="s">
        <v>10130</v>
      </c>
      <c r="AE1268" s="10" t="s">
        <v>10131</v>
      </c>
      <c r="AF1268" s="15"/>
      <c r="AG1268" s="10"/>
      <c r="AH1268" s="10"/>
      <c r="AI1268" s="10"/>
      <c r="AJ1268" s="10"/>
      <c r="AK1268" s="10" t="s">
        <v>102</v>
      </c>
      <c r="AL1268" s="10" t="s">
        <v>1671</v>
      </c>
      <c r="AM1268" s="10"/>
      <c r="AN1268" s="10"/>
      <c r="AO1268" s="13" t="b">
        <v>1</v>
      </c>
      <c r="AP1268" s="10" t="s">
        <v>104</v>
      </c>
      <c r="AQ1268" s="10">
        <f ca="1">IFERROR(__xludf.DUMMYFUNCTION("""COMPUTED_VALUE"""),4759278)</f>
        <v>4759278</v>
      </c>
      <c r="AR1268" s="17">
        <v>54081</v>
      </c>
      <c r="AS1268" s="17">
        <v>42723</v>
      </c>
      <c r="AT1268" s="17">
        <v>718740</v>
      </c>
      <c r="AU1268" s="17">
        <v>484.9</v>
      </c>
      <c r="AV1268" s="17">
        <v>62.85</v>
      </c>
      <c r="AW1268" s="10" t="s">
        <v>105</v>
      </c>
      <c r="AX1268" s="17">
        <v>10404</v>
      </c>
      <c r="AY1268" s="18">
        <v>16.823256793764482</v>
      </c>
      <c r="AZ1268" s="10" t="s">
        <v>117</v>
      </c>
      <c r="BA1268" s="20" t="b">
        <v>0</v>
      </c>
      <c r="BB1268" s="10"/>
      <c r="BC1268" s="17">
        <v>54081</v>
      </c>
      <c r="BD1268" s="17">
        <v>42723</v>
      </c>
      <c r="BE1268" s="17">
        <v>718740</v>
      </c>
      <c r="BF1268" s="17">
        <v>62.85</v>
      </c>
      <c r="BG1268" s="11">
        <f ca="1">IFERROR(__xludf.DUMMYFUNCTION("""COMPUTED_VALUE"""),45997.875)</f>
        <v>45997.875</v>
      </c>
      <c r="BH1268" s="17" t="s">
        <v>105</v>
      </c>
      <c r="BI1268" s="17"/>
      <c r="BJ1268" s="15"/>
      <c r="BK1268" s="15"/>
      <c r="BL1268" s="13" t="b">
        <v>0</v>
      </c>
      <c r="BM1268" s="10"/>
      <c r="BN1268" s="10" t="s">
        <v>118</v>
      </c>
      <c r="BO1268" s="11">
        <v>45904.28402777778</v>
      </c>
      <c r="BP1268" s="11">
        <v>45944.657094907408</v>
      </c>
      <c r="BQ1268" s="15">
        <v>45993.610439814816</v>
      </c>
      <c r="BR1268" s="15">
        <v>45994.454942129632</v>
      </c>
      <c r="BS1268" s="10" t="s">
        <v>118</v>
      </c>
      <c r="BT1268" s="10" t="s">
        <v>99</v>
      </c>
      <c r="BU1268" s="10" t="s">
        <v>6409</v>
      </c>
      <c r="BV1268" s="10" t="s">
        <v>124</v>
      </c>
      <c r="BW1268" s="10" t="s">
        <v>9494</v>
      </c>
      <c r="BX1268" s="10"/>
      <c r="BY1268" s="23"/>
      <c r="BZ1268" s="23"/>
      <c r="CA1268" s="19" t="s">
        <v>10132</v>
      </c>
      <c r="CB1268" s="19" t="s">
        <v>10133</v>
      </c>
      <c r="CC1268" s="23"/>
      <c r="CD1268" s="19" t="s">
        <v>10134</v>
      </c>
      <c r="CE1268" s="23"/>
      <c r="CF1268" s="23"/>
      <c r="CG1268" s="23"/>
      <c r="CH1268" s="23"/>
      <c r="CI1268" s="23"/>
    </row>
    <row r="1269" spans="1:87" x14ac:dyDescent="0.3">
      <c r="A1269" s="9" t="s">
        <v>10135</v>
      </c>
      <c r="B1269" s="10" t="s">
        <v>10136</v>
      </c>
      <c r="C1269" s="11">
        <v>46000.114583333336</v>
      </c>
      <c r="D1269" s="12">
        <v>8.3333333333333329E-2</v>
      </c>
      <c r="E1269" s="11">
        <v>46000.197916666664</v>
      </c>
      <c r="F1269" s="10" t="s">
        <v>3211</v>
      </c>
      <c r="G1269" s="13" t="b">
        <v>0</v>
      </c>
      <c r="H1269" s="10" t="s">
        <v>3212</v>
      </c>
      <c r="I1269" s="10" t="s">
        <v>3213</v>
      </c>
      <c r="J1269" s="13" t="b">
        <v>0</v>
      </c>
      <c r="K1269" s="13" t="b">
        <v>1</v>
      </c>
      <c r="L1269" s="10" t="s">
        <v>124</v>
      </c>
      <c r="M1269" s="10" t="s">
        <v>91</v>
      </c>
      <c r="N1269" s="10" t="s">
        <v>92</v>
      </c>
      <c r="O1269" s="19" t="s">
        <v>10137</v>
      </c>
      <c r="P1269" s="10" t="s">
        <v>3215</v>
      </c>
      <c r="Q1269" s="10" t="s">
        <v>126</v>
      </c>
      <c r="R1269" s="10"/>
      <c r="S1269" s="19" t="s">
        <v>10138</v>
      </c>
      <c r="T1269" s="19" t="s">
        <v>10076</v>
      </c>
      <c r="U1269" s="10" t="s">
        <v>3279</v>
      </c>
      <c r="V1269" s="10" t="s">
        <v>3289</v>
      </c>
      <c r="W1269" s="10" t="s">
        <v>3219</v>
      </c>
      <c r="X1269" s="10" t="s">
        <v>130</v>
      </c>
      <c r="Y1269" s="10" t="s">
        <v>130</v>
      </c>
      <c r="Z1269" s="10" t="s">
        <v>99</v>
      </c>
      <c r="AA1269" s="10" t="s">
        <v>131</v>
      </c>
      <c r="AB1269" s="10" t="s">
        <v>3220</v>
      </c>
      <c r="AC1269" s="10" t="s">
        <v>3221</v>
      </c>
      <c r="AD1269" s="10" t="s">
        <v>10139</v>
      </c>
      <c r="AE1269" s="10" t="s">
        <v>10140</v>
      </c>
      <c r="AF1269" s="15"/>
      <c r="AG1269" s="10"/>
      <c r="AH1269" s="10"/>
      <c r="AI1269" s="10"/>
      <c r="AJ1269" s="10"/>
      <c r="AK1269" s="10" t="s">
        <v>102</v>
      </c>
      <c r="AL1269" s="10" t="s">
        <v>1671</v>
      </c>
      <c r="AM1269" s="10"/>
      <c r="AN1269" s="10"/>
      <c r="AO1269" s="13" t="b">
        <v>1</v>
      </c>
      <c r="AP1269" s="10" t="s">
        <v>104</v>
      </c>
      <c r="AQ1269" s="10">
        <f ca="1">IFERROR(__xludf.DUMMYFUNCTION("""COMPUTED_VALUE"""),4768862)</f>
        <v>4768862</v>
      </c>
      <c r="AR1269" s="17">
        <v>28405</v>
      </c>
      <c r="AS1269" s="17">
        <v>18009</v>
      </c>
      <c r="AT1269" s="17">
        <v>768215</v>
      </c>
      <c r="AU1269" s="17">
        <v>290</v>
      </c>
      <c r="AV1269" s="17">
        <v>30.2</v>
      </c>
      <c r="AW1269" s="10" t="s">
        <v>105</v>
      </c>
      <c r="AX1269" s="17">
        <v>9702</v>
      </c>
      <c r="AY1269" s="18">
        <v>42.657282469876172</v>
      </c>
      <c r="AZ1269" s="10" t="s">
        <v>117</v>
      </c>
      <c r="BA1269" s="20" t="b">
        <v>0</v>
      </c>
      <c r="BB1269" s="10"/>
      <c r="BC1269" s="17">
        <v>28405</v>
      </c>
      <c r="BD1269" s="17">
        <v>18009</v>
      </c>
      <c r="BE1269" s="17">
        <v>768215</v>
      </c>
      <c r="BF1269" s="17">
        <v>30.2</v>
      </c>
      <c r="BG1269" s="11">
        <f ca="1">IFERROR(__xludf.DUMMYFUNCTION("""COMPUTED_VALUE"""),46000.1145833333)</f>
        <v>46000.114583333299</v>
      </c>
      <c r="BH1269" s="17" t="s">
        <v>105</v>
      </c>
      <c r="BI1269" s="17"/>
      <c r="BJ1269" s="15"/>
      <c r="BK1269" s="15"/>
      <c r="BL1269" s="13" t="b">
        <v>0</v>
      </c>
      <c r="BM1269" s="10"/>
      <c r="BN1269" s="10" t="s">
        <v>197</v>
      </c>
      <c r="BO1269" s="11">
        <v>45904.284594907411</v>
      </c>
      <c r="BP1269" s="11">
        <v>45944.656585648147</v>
      </c>
      <c r="BQ1269" s="15">
        <v>45993.612210648149</v>
      </c>
      <c r="BR1269" s="15">
        <v>45997.86515046296</v>
      </c>
      <c r="BS1269" s="10" t="s">
        <v>197</v>
      </c>
      <c r="BT1269" s="10" t="s">
        <v>99</v>
      </c>
      <c r="BU1269" s="10" t="s">
        <v>298</v>
      </c>
      <c r="BV1269" s="10"/>
      <c r="BW1269" s="10"/>
      <c r="BX1269" s="10"/>
      <c r="BY1269" s="23"/>
      <c r="BZ1269" s="23"/>
      <c r="CA1269" s="19" t="s">
        <v>10141</v>
      </c>
      <c r="CB1269" s="19" t="s">
        <v>10142</v>
      </c>
      <c r="CC1269" s="23"/>
      <c r="CD1269" s="19" t="s">
        <v>10143</v>
      </c>
      <c r="CE1269" s="23"/>
      <c r="CF1269" s="23"/>
      <c r="CG1269" s="23"/>
      <c r="CH1269" s="23"/>
      <c r="CI1269" s="23"/>
    </row>
    <row r="1270" spans="1:87" x14ac:dyDescent="0.3">
      <c r="A1270" s="9" t="s">
        <v>10144</v>
      </c>
      <c r="B1270" s="10" t="s">
        <v>10145</v>
      </c>
      <c r="C1270" s="11">
        <v>46000</v>
      </c>
      <c r="D1270" s="12">
        <v>8.3333333333333329E-2</v>
      </c>
      <c r="E1270" s="11">
        <v>46000.083333333336</v>
      </c>
      <c r="F1270" s="10" t="s">
        <v>3211</v>
      </c>
      <c r="G1270" s="13" t="b">
        <v>0</v>
      </c>
      <c r="H1270" s="10" t="s">
        <v>3212</v>
      </c>
      <c r="I1270" s="10" t="s">
        <v>3213</v>
      </c>
      <c r="J1270" s="13" t="b">
        <v>0</v>
      </c>
      <c r="K1270" s="13" t="b">
        <v>1</v>
      </c>
      <c r="L1270" s="10" t="s">
        <v>124</v>
      </c>
      <c r="M1270" s="10" t="s">
        <v>91</v>
      </c>
      <c r="N1270" s="10" t="s">
        <v>92</v>
      </c>
      <c r="O1270" s="19" t="s">
        <v>10146</v>
      </c>
      <c r="P1270" s="10" t="s">
        <v>3215</v>
      </c>
      <c r="Q1270" s="10" t="s">
        <v>94</v>
      </c>
      <c r="R1270" s="10"/>
      <c r="S1270" s="19" t="s">
        <v>10147</v>
      </c>
      <c r="T1270" s="19" t="s">
        <v>10076</v>
      </c>
      <c r="U1270" s="10" t="s">
        <v>3269</v>
      </c>
      <c r="V1270" s="10" t="s">
        <v>3217</v>
      </c>
      <c r="W1270" s="10" t="s">
        <v>3219</v>
      </c>
      <c r="X1270" s="10" t="s">
        <v>130</v>
      </c>
      <c r="Y1270" s="10" t="s">
        <v>130</v>
      </c>
      <c r="Z1270" s="10" t="s">
        <v>99</v>
      </c>
      <c r="AA1270" s="10" t="s">
        <v>131</v>
      </c>
      <c r="AB1270" s="10" t="s">
        <v>3220</v>
      </c>
      <c r="AC1270" s="10" t="s">
        <v>3221</v>
      </c>
      <c r="AD1270" s="10" t="s">
        <v>10148</v>
      </c>
      <c r="AE1270" s="10" t="s">
        <v>10149</v>
      </c>
      <c r="AF1270" s="15"/>
      <c r="AG1270" s="10"/>
      <c r="AH1270" s="10"/>
      <c r="AI1270" s="10"/>
      <c r="AJ1270" s="10"/>
      <c r="AK1270" s="10" t="s">
        <v>102</v>
      </c>
      <c r="AL1270" s="10" t="s">
        <v>1671</v>
      </c>
      <c r="AM1270" s="10"/>
      <c r="AN1270" s="10"/>
      <c r="AO1270" s="13" t="b">
        <v>0</v>
      </c>
      <c r="AP1270" s="10" t="s">
        <v>104</v>
      </c>
      <c r="AQ1270" s="10">
        <f ca="1">IFERROR(__xludf.DUMMYFUNCTION("""COMPUTED_VALUE"""),4768861)</f>
        <v>4768861</v>
      </c>
      <c r="AR1270" s="17">
        <v>6874</v>
      </c>
      <c r="AS1270" s="17">
        <v>5632</v>
      </c>
      <c r="AT1270" s="17">
        <v>198402.5</v>
      </c>
      <c r="AU1270" s="17">
        <v>54.55</v>
      </c>
      <c r="AV1270" s="17">
        <v>8.6999999999999993</v>
      </c>
      <c r="AW1270" s="10" t="s">
        <v>105</v>
      </c>
      <c r="AX1270" s="17">
        <v>2073</v>
      </c>
      <c r="AY1270" s="18">
        <v>35.22771661931818</v>
      </c>
      <c r="AZ1270" s="10" t="s">
        <v>117</v>
      </c>
      <c r="BA1270" s="20" t="b">
        <v>0</v>
      </c>
      <c r="BB1270" s="10"/>
      <c r="BC1270" s="17">
        <v>6874</v>
      </c>
      <c r="BD1270" s="17">
        <v>5632</v>
      </c>
      <c r="BE1270" s="17">
        <v>198402.5</v>
      </c>
      <c r="BF1270" s="17">
        <v>8.6999999999999993</v>
      </c>
      <c r="BG1270" s="11">
        <f ca="1">IFERROR(__xludf.DUMMYFUNCTION("""COMPUTED_VALUE"""),46000)</f>
        <v>46000</v>
      </c>
      <c r="BH1270" s="17" t="s">
        <v>105</v>
      </c>
      <c r="BI1270" s="17"/>
      <c r="BJ1270" s="15"/>
      <c r="BK1270" s="15"/>
      <c r="BL1270" s="13" t="b">
        <v>0</v>
      </c>
      <c r="BM1270" s="10"/>
      <c r="BN1270" s="10" t="s">
        <v>197</v>
      </c>
      <c r="BO1270" s="11">
        <v>45904.284594907411</v>
      </c>
      <c r="BP1270" s="11">
        <v>45950.631307870368</v>
      </c>
      <c r="BQ1270" s="15">
        <v>45993.61209490741</v>
      </c>
      <c r="BR1270" s="15">
        <v>45997.864861111113</v>
      </c>
      <c r="BS1270" s="10" t="s">
        <v>197</v>
      </c>
      <c r="BT1270" s="10" t="s">
        <v>99</v>
      </c>
      <c r="BU1270" s="10" t="s">
        <v>298</v>
      </c>
      <c r="BV1270" s="10"/>
      <c r="BW1270" s="10"/>
      <c r="BX1270" s="10"/>
      <c r="BY1270" s="23"/>
      <c r="BZ1270" s="23"/>
      <c r="CA1270" s="19" t="s">
        <v>10150</v>
      </c>
      <c r="CB1270" s="19" t="s">
        <v>10151</v>
      </c>
      <c r="CC1270" s="23"/>
      <c r="CD1270" s="23"/>
      <c r="CE1270" s="23"/>
      <c r="CF1270" s="23"/>
      <c r="CG1270" s="23"/>
      <c r="CH1270" s="23"/>
      <c r="CI1270" s="23"/>
    </row>
    <row r="1271" spans="1:87" x14ac:dyDescent="0.3">
      <c r="A1271" s="9" t="s">
        <v>10152</v>
      </c>
      <c r="B1271" s="10" t="s">
        <v>10153</v>
      </c>
      <c r="C1271" s="11">
        <v>45998.114583333336</v>
      </c>
      <c r="D1271" s="12">
        <v>8.3333333333333329E-2</v>
      </c>
      <c r="E1271" s="11">
        <v>45998.197916666664</v>
      </c>
      <c r="F1271" s="10" t="s">
        <v>3211</v>
      </c>
      <c r="G1271" s="13" t="b">
        <v>0</v>
      </c>
      <c r="H1271" s="10" t="s">
        <v>3212</v>
      </c>
      <c r="I1271" s="10" t="s">
        <v>3213</v>
      </c>
      <c r="J1271" s="13" t="b">
        <v>0</v>
      </c>
      <c r="K1271" s="13" t="b">
        <v>1</v>
      </c>
      <c r="L1271" s="10" t="s">
        <v>124</v>
      </c>
      <c r="M1271" s="10" t="s">
        <v>91</v>
      </c>
      <c r="N1271" s="10" t="s">
        <v>92</v>
      </c>
      <c r="O1271" s="19" t="s">
        <v>10154</v>
      </c>
      <c r="P1271" s="10" t="s">
        <v>3215</v>
      </c>
      <c r="Q1271" s="10" t="s">
        <v>94</v>
      </c>
      <c r="R1271" s="10"/>
      <c r="S1271" s="19" t="s">
        <v>10155</v>
      </c>
      <c r="T1271" s="19" t="s">
        <v>10076</v>
      </c>
      <c r="U1271" s="10" t="s">
        <v>3270</v>
      </c>
      <c r="V1271" s="10" t="s">
        <v>3308</v>
      </c>
      <c r="W1271" s="10" t="s">
        <v>3219</v>
      </c>
      <c r="X1271" s="10" t="s">
        <v>130</v>
      </c>
      <c r="Y1271" s="10" t="s">
        <v>130</v>
      </c>
      <c r="Z1271" s="10" t="s">
        <v>99</v>
      </c>
      <c r="AA1271" s="10" t="s">
        <v>131</v>
      </c>
      <c r="AB1271" s="10" t="s">
        <v>3220</v>
      </c>
      <c r="AC1271" s="10" t="s">
        <v>3221</v>
      </c>
      <c r="AD1271" s="10" t="s">
        <v>10156</v>
      </c>
      <c r="AE1271" s="10" t="s">
        <v>10157</v>
      </c>
      <c r="AF1271" s="15"/>
      <c r="AG1271" s="10"/>
      <c r="AH1271" s="10"/>
      <c r="AI1271" s="10"/>
      <c r="AJ1271" s="10"/>
      <c r="AK1271" s="10" t="s">
        <v>102</v>
      </c>
      <c r="AL1271" s="10" t="s">
        <v>1671</v>
      </c>
      <c r="AM1271" s="10"/>
      <c r="AN1271" s="10"/>
      <c r="AO1271" s="13" t="b">
        <v>0</v>
      </c>
      <c r="AP1271" s="10" t="s">
        <v>104</v>
      </c>
      <c r="AQ1271" s="10">
        <f ca="1">IFERROR(__xludf.DUMMYFUNCTION("""COMPUTED_VALUE"""),4760171)</f>
        <v>4760171</v>
      </c>
      <c r="AR1271" s="17">
        <v>6972</v>
      </c>
      <c r="AS1271" s="17">
        <v>5563</v>
      </c>
      <c r="AT1271" s="17">
        <v>155071.25</v>
      </c>
      <c r="AU1271" s="17">
        <v>11.2</v>
      </c>
      <c r="AV1271" s="17">
        <v>1.55</v>
      </c>
      <c r="AW1271" s="10" t="s">
        <v>105</v>
      </c>
      <c r="AX1271" s="17">
        <v>3322</v>
      </c>
      <c r="AY1271" s="18">
        <v>27.875471867697286</v>
      </c>
      <c r="AZ1271" s="10" t="s">
        <v>117</v>
      </c>
      <c r="BA1271" s="20" t="b">
        <v>0</v>
      </c>
      <c r="BB1271" s="10"/>
      <c r="BC1271" s="17">
        <v>6972</v>
      </c>
      <c r="BD1271" s="17">
        <v>5563</v>
      </c>
      <c r="BE1271" s="17">
        <v>155071.25</v>
      </c>
      <c r="BF1271" s="17">
        <v>1.55</v>
      </c>
      <c r="BG1271" s="11">
        <f ca="1">IFERROR(__xludf.DUMMYFUNCTION("""COMPUTED_VALUE"""),45998.1145833333)</f>
        <v>45998.114583333299</v>
      </c>
      <c r="BH1271" s="17" t="s">
        <v>105</v>
      </c>
      <c r="BI1271" s="17"/>
      <c r="BJ1271" s="15"/>
      <c r="BK1271" s="15"/>
      <c r="BL1271" s="13" t="b">
        <v>0</v>
      </c>
      <c r="BM1271" s="10"/>
      <c r="BN1271" s="10" t="s">
        <v>1149</v>
      </c>
      <c r="BO1271" s="11">
        <v>45904.284594907411</v>
      </c>
      <c r="BP1271" s="11">
        <v>45950.630011574074</v>
      </c>
      <c r="BQ1271" s="15">
        <v>45993.61074074074</v>
      </c>
      <c r="BR1271" s="15">
        <v>45994.604062500002</v>
      </c>
      <c r="BS1271" s="10" t="s">
        <v>1149</v>
      </c>
      <c r="BT1271" s="10" t="s">
        <v>99</v>
      </c>
      <c r="BU1271" s="10" t="s">
        <v>9114</v>
      </c>
      <c r="BV1271" s="10"/>
      <c r="BW1271" s="10"/>
      <c r="BX1271" s="10"/>
      <c r="BY1271" s="23"/>
      <c r="BZ1271" s="23"/>
      <c r="CA1271" s="19" t="s">
        <v>10158</v>
      </c>
      <c r="CB1271" s="19" t="s">
        <v>10159</v>
      </c>
      <c r="CC1271" s="23"/>
      <c r="CD1271" s="23"/>
      <c r="CE1271" s="23"/>
      <c r="CF1271" s="23"/>
      <c r="CG1271" s="23"/>
      <c r="CH1271" s="23"/>
      <c r="CI1271" s="23"/>
    </row>
    <row r="1272" spans="1:87" x14ac:dyDescent="0.3">
      <c r="A1272" s="9" t="s">
        <v>10160</v>
      </c>
      <c r="B1272" s="10" t="s">
        <v>10161</v>
      </c>
      <c r="C1272" s="11">
        <v>46005.114583333336</v>
      </c>
      <c r="D1272" s="12">
        <v>8.3333333333333329E-2</v>
      </c>
      <c r="E1272" s="11">
        <v>46005.197916666664</v>
      </c>
      <c r="F1272" s="10" t="s">
        <v>3211</v>
      </c>
      <c r="G1272" s="13" t="b">
        <v>0</v>
      </c>
      <c r="H1272" s="10" t="s">
        <v>3212</v>
      </c>
      <c r="I1272" s="10" t="s">
        <v>3213</v>
      </c>
      <c r="J1272" s="13" t="b">
        <v>0</v>
      </c>
      <c r="K1272" s="13" t="b">
        <v>1</v>
      </c>
      <c r="L1272" s="10" t="s">
        <v>124</v>
      </c>
      <c r="M1272" s="10" t="s">
        <v>91</v>
      </c>
      <c r="N1272" s="10" t="s">
        <v>92</v>
      </c>
      <c r="O1272" s="19" t="s">
        <v>10162</v>
      </c>
      <c r="P1272" s="10" t="s">
        <v>3215</v>
      </c>
      <c r="Q1272" s="10" t="s">
        <v>126</v>
      </c>
      <c r="R1272" s="10"/>
      <c r="S1272" s="19" t="s">
        <v>10163</v>
      </c>
      <c r="T1272" s="19" t="s">
        <v>10164</v>
      </c>
      <c r="U1272" s="10" t="s">
        <v>3308</v>
      </c>
      <c r="V1272" s="10" t="s">
        <v>3239</v>
      </c>
      <c r="W1272" s="10" t="s">
        <v>3219</v>
      </c>
      <c r="X1272" s="10" t="s">
        <v>130</v>
      </c>
      <c r="Y1272" s="10" t="s">
        <v>130</v>
      </c>
      <c r="Z1272" s="10" t="s">
        <v>99</v>
      </c>
      <c r="AA1272" s="10" t="s">
        <v>131</v>
      </c>
      <c r="AB1272" s="10" t="s">
        <v>3220</v>
      </c>
      <c r="AC1272" s="10" t="s">
        <v>3221</v>
      </c>
      <c r="AD1272" s="10" t="s">
        <v>10165</v>
      </c>
      <c r="AE1272" s="10" t="s">
        <v>10166</v>
      </c>
      <c r="AF1272" s="15"/>
      <c r="AG1272" s="10"/>
      <c r="AH1272" s="10"/>
      <c r="AI1272" s="10"/>
      <c r="AJ1272" s="10"/>
      <c r="AK1272" s="10" t="s">
        <v>102</v>
      </c>
      <c r="AL1272" s="10" t="s">
        <v>1773</v>
      </c>
      <c r="AM1272" s="10"/>
      <c r="AN1272" s="10"/>
      <c r="AO1272" s="13" t="b">
        <v>0</v>
      </c>
      <c r="AP1272" s="10" t="s">
        <v>104</v>
      </c>
      <c r="AQ1272" s="10">
        <f ca="1">IFERROR(__xludf.DUMMYFUNCTION("""COMPUTED_VALUE"""),4773709)</f>
        <v>4773709</v>
      </c>
      <c r="AR1272" s="17">
        <v>5471</v>
      </c>
      <c r="AS1272" s="17">
        <v>4104</v>
      </c>
      <c r="AT1272" s="17">
        <v>101517.5</v>
      </c>
      <c r="AU1272" s="17">
        <v>9.3000000000000007</v>
      </c>
      <c r="AV1272" s="17">
        <v>0.35</v>
      </c>
      <c r="AW1272" s="10" t="s">
        <v>105</v>
      </c>
      <c r="AX1272" s="17">
        <v>1506</v>
      </c>
      <c r="AY1272" s="18">
        <v>24.736232943469787</v>
      </c>
      <c r="AZ1272" s="10" t="s">
        <v>117</v>
      </c>
      <c r="BA1272" s="20" t="b">
        <v>0</v>
      </c>
      <c r="BB1272" s="10"/>
      <c r="BC1272" s="17">
        <v>5471</v>
      </c>
      <c r="BD1272" s="17">
        <v>4104</v>
      </c>
      <c r="BE1272" s="17">
        <v>101517.5</v>
      </c>
      <c r="BF1272" s="17">
        <v>0.35</v>
      </c>
      <c r="BG1272" s="11">
        <f ca="1">IFERROR(__xludf.DUMMYFUNCTION("""COMPUTED_VALUE"""),46005.1145833333)</f>
        <v>46005.114583333299</v>
      </c>
      <c r="BH1272" s="17" t="s">
        <v>105</v>
      </c>
      <c r="BI1272" s="17"/>
      <c r="BJ1272" s="15"/>
      <c r="BK1272" s="15"/>
      <c r="BL1272" s="13" t="b">
        <v>0</v>
      </c>
      <c r="BM1272" s="10"/>
      <c r="BN1272" s="10" t="s">
        <v>137</v>
      </c>
      <c r="BO1272" s="11">
        <v>45904.28402777778</v>
      </c>
      <c r="BP1272" s="11">
        <v>45958.733020833337</v>
      </c>
      <c r="BQ1272" s="15">
        <v>46000.478298611109</v>
      </c>
      <c r="BR1272" s="15">
        <v>46001.575150462966</v>
      </c>
      <c r="BS1272" s="10" t="s">
        <v>137</v>
      </c>
      <c r="BT1272" s="10" t="s">
        <v>99</v>
      </c>
      <c r="BU1272" s="10"/>
      <c r="BV1272" s="10"/>
      <c r="BW1272" s="10"/>
      <c r="BX1272" s="10"/>
      <c r="BY1272" s="23"/>
      <c r="BZ1272" s="23"/>
      <c r="CA1272" s="19" t="s">
        <v>10167</v>
      </c>
      <c r="CB1272" s="19" t="s">
        <v>10168</v>
      </c>
      <c r="CC1272" s="23"/>
      <c r="CD1272" s="19" t="s">
        <v>10169</v>
      </c>
      <c r="CE1272" s="23"/>
      <c r="CF1272" s="23"/>
      <c r="CG1272" s="23"/>
      <c r="CH1272" s="23"/>
      <c r="CI1272" s="23"/>
    </row>
    <row r="1273" spans="1:87" x14ac:dyDescent="0.3">
      <c r="A1273" s="9" t="s">
        <v>10170</v>
      </c>
      <c r="B1273" s="10" t="s">
        <v>10171</v>
      </c>
      <c r="C1273" s="11">
        <v>46006.114583333336</v>
      </c>
      <c r="D1273" s="12">
        <v>8.3333333333333329E-2</v>
      </c>
      <c r="E1273" s="11">
        <v>46006.197916666664</v>
      </c>
      <c r="F1273" s="10" t="s">
        <v>3211</v>
      </c>
      <c r="G1273" s="13" t="b">
        <v>0</v>
      </c>
      <c r="H1273" s="10" t="s">
        <v>3212</v>
      </c>
      <c r="I1273" s="10" t="s">
        <v>3213</v>
      </c>
      <c r="J1273" s="13" t="b">
        <v>0</v>
      </c>
      <c r="K1273" s="13" t="b">
        <v>1</v>
      </c>
      <c r="L1273" s="10" t="s">
        <v>124</v>
      </c>
      <c r="M1273" s="10" t="s">
        <v>91</v>
      </c>
      <c r="N1273" s="10" t="s">
        <v>92</v>
      </c>
      <c r="O1273" s="19" t="s">
        <v>10172</v>
      </c>
      <c r="P1273" s="10" t="s">
        <v>3215</v>
      </c>
      <c r="Q1273" s="10" t="s">
        <v>126</v>
      </c>
      <c r="R1273" s="10"/>
      <c r="S1273" s="19" t="s">
        <v>10173</v>
      </c>
      <c r="T1273" s="19" t="s">
        <v>10174</v>
      </c>
      <c r="U1273" s="10" t="s">
        <v>3230</v>
      </c>
      <c r="V1273" s="10" t="s">
        <v>3259</v>
      </c>
      <c r="W1273" s="10" t="s">
        <v>3219</v>
      </c>
      <c r="X1273" s="10" t="s">
        <v>130</v>
      </c>
      <c r="Y1273" s="10" t="s">
        <v>130</v>
      </c>
      <c r="Z1273" s="10" t="s">
        <v>99</v>
      </c>
      <c r="AA1273" s="10" t="s">
        <v>131</v>
      </c>
      <c r="AB1273" s="10" t="s">
        <v>3220</v>
      </c>
      <c r="AC1273" s="10" t="s">
        <v>3221</v>
      </c>
      <c r="AD1273" s="10" t="s">
        <v>10175</v>
      </c>
      <c r="AE1273" s="10" t="s">
        <v>10176</v>
      </c>
      <c r="AF1273" s="15"/>
      <c r="AG1273" s="10"/>
      <c r="AH1273" s="10"/>
      <c r="AI1273" s="10"/>
      <c r="AJ1273" s="10"/>
      <c r="AK1273" s="10" t="s">
        <v>102</v>
      </c>
      <c r="AL1273" s="10" t="s">
        <v>1773</v>
      </c>
      <c r="AM1273" s="10"/>
      <c r="AN1273" s="10"/>
      <c r="AO1273" s="13" t="b">
        <v>1</v>
      </c>
      <c r="AP1273" s="10" t="s">
        <v>104</v>
      </c>
      <c r="AQ1273" s="10">
        <f ca="1">IFERROR(__xludf.DUMMYFUNCTION("""COMPUTED_VALUE"""),4780170)</f>
        <v>4780170</v>
      </c>
      <c r="AR1273" s="17">
        <v>23851</v>
      </c>
      <c r="AS1273" s="17">
        <v>12454</v>
      </c>
      <c r="AT1273" s="17">
        <v>415130.75</v>
      </c>
      <c r="AU1273" s="17">
        <v>84.45</v>
      </c>
      <c r="AV1273" s="17">
        <v>11.25</v>
      </c>
      <c r="AW1273" s="10" t="s">
        <v>105</v>
      </c>
      <c r="AX1273" s="17">
        <v>5983</v>
      </c>
      <c r="AY1273" s="18">
        <v>33.33312590332423</v>
      </c>
      <c r="AZ1273" s="10" t="s">
        <v>117</v>
      </c>
      <c r="BA1273" s="20" t="b">
        <v>0</v>
      </c>
      <c r="BB1273" s="10"/>
      <c r="BC1273" s="17">
        <v>23851</v>
      </c>
      <c r="BD1273" s="17">
        <v>12454</v>
      </c>
      <c r="BE1273" s="17">
        <v>415130.75</v>
      </c>
      <c r="BF1273" s="17">
        <v>11.25</v>
      </c>
      <c r="BG1273" s="11">
        <f ca="1">IFERROR(__xludf.DUMMYFUNCTION("""COMPUTED_VALUE"""),46006.1145833333)</f>
        <v>46006.114583333299</v>
      </c>
      <c r="BH1273" s="17" t="s">
        <v>105</v>
      </c>
      <c r="BI1273" s="17"/>
      <c r="BJ1273" s="15"/>
      <c r="BK1273" s="15"/>
      <c r="BL1273" s="13" t="b">
        <v>0</v>
      </c>
      <c r="BM1273" s="10"/>
      <c r="BN1273" s="10" t="s">
        <v>1149</v>
      </c>
      <c r="BO1273" s="11">
        <v>45904.28402777778</v>
      </c>
      <c r="BP1273" s="11">
        <v>45958.733715277776</v>
      </c>
      <c r="BQ1273" s="15">
        <v>46000.478773148148</v>
      </c>
      <c r="BR1273" s="15">
        <v>46005.667800925927</v>
      </c>
      <c r="BS1273" s="10" t="s">
        <v>1149</v>
      </c>
      <c r="BT1273" s="10" t="s">
        <v>279</v>
      </c>
      <c r="BU1273" s="10" t="s">
        <v>942</v>
      </c>
      <c r="BV1273" s="10"/>
      <c r="BW1273" s="10"/>
      <c r="BX1273" s="10"/>
      <c r="BY1273" s="23"/>
      <c r="BZ1273" s="23"/>
      <c r="CA1273" s="19" t="s">
        <v>10177</v>
      </c>
      <c r="CB1273" s="19" t="s">
        <v>10178</v>
      </c>
      <c r="CC1273" s="23"/>
      <c r="CD1273" s="19" t="s">
        <v>10179</v>
      </c>
      <c r="CE1273" s="23"/>
      <c r="CF1273" s="23"/>
      <c r="CG1273" s="23"/>
      <c r="CH1273" s="23"/>
      <c r="CI1273" s="23"/>
    </row>
    <row r="1274" spans="1:87" x14ac:dyDescent="0.3">
      <c r="A1274" s="9" t="s">
        <v>10180</v>
      </c>
      <c r="B1274" s="10" t="s">
        <v>10181</v>
      </c>
      <c r="C1274" s="11">
        <v>46005.875</v>
      </c>
      <c r="D1274" s="12">
        <v>8.3333333333333329E-2</v>
      </c>
      <c r="E1274" s="11">
        <v>46005.958333333336</v>
      </c>
      <c r="F1274" s="10" t="s">
        <v>3211</v>
      </c>
      <c r="G1274" s="13" t="b">
        <v>0</v>
      </c>
      <c r="H1274" s="10" t="s">
        <v>3212</v>
      </c>
      <c r="I1274" s="10" t="s">
        <v>3213</v>
      </c>
      <c r="J1274" s="13" t="b">
        <v>0</v>
      </c>
      <c r="K1274" s="13" t="b">
        <v>1</v>
      </c>
      <c r="L1274" s="10" t="s">
        <v>124</v>
      </c>
      <c r="M1274" s="10" t="s">
        <v>91</v>
      </c>
      <c r="N1274" s="10" t="s">
        <v>92</v>
      </c>
      <c r="O1274" s="19" t="s">
        <v>10182</v>
      </c>
      <c r="P1274" s="10" t="s">
        <v>3478</v>
      </c>
      <c r="Q1274" s="10" t="s">
        <v>94</v>
      </c>
      <c r="R1274" s="10"/>
      <c r="S1274" s="19" t="s">
        <v>10183</v>
      </c>
      <c r="T1274" s="19" t="s">
        <v>10184</v>
      </c>
      <c r="U1274" s="10" t="s">
        <v>3240</v>
      </c>
      <c r="V1274" s="10" t="s">
        <v>3270</v>
      </c>
      <c r="W1274" s="10" t="s">
        <v>3219</v>
      </c>
      <c r="X1274" s="10" t="s">
        <v>130</v>
      </c>
      <c r="Y1274" s="10" t="s">
        <v>130</v>
      </c>
      <c r="Z1274" s="10" t="s">
        <v>99</v>
      </c>
      <c r="AA1274" s="10" t="s">
        <v>131</v>
      </c>
      <c r="AB1274" s="10" t="s">
        <v>3220</v>
      </c>
      <c r="AC1274" s="10" t="s">
        <v>3221</v>
      </c>
      <c r="AD1274" s="10" t="s">
        <v>10185</v>
      </c>
      <c r="AE1274" s="10" t="s">
        <v>10186</v>
      </c>
      <c r="AF1274" s="15"/>
      <c r="AG1274" s="10"/>
      <c r="AH1274" s="10"/>
      <c r="AI1274" s="10"/>
      <c r="AJ1274" s="10"/>
      <c r="AK1274" s="10" t="s">
        <v>102</v>
      </c>
      <c r="AL1274" s="10" t="s">
        <v>1773</v>
      </c>
      <c r="AM1274" s="10"/>
      <c r="AN1274" s="10"/>
      <c r="AO1274" s="13" t="b">
        <v>0</v>
      </c>
      <c r="AP1274" s="10" t="s">
        <v>104</v>
      </c>
      <c r="AQ1274" s="10">
        <f ca="1">IFERROR(__xludf.DUMMYFUNCTION("""COMPUTED_VALUE"""),4773712)</f>
        <v>4773712</v>
      </c>
      <c r="AR1274" s="17">
        <v>9878</v>
      </c>
      <c r="AS1274" s="17">
        <v>7135</v>
      </c>
      <c r="AT1274" s="17">
        <v>69685.25</v>
      </c>
      <c r="AU1274" s="17">
        <v>26.45</v>
      </c>
      <c r="AV1274" s="17">
        <v>5.25</v>
      </c>
      <c r="AW1274" s="10" t="s">
        <v>105</v>
      </c>
      <c r="AX1274" s="17">
        <v>2309</v>
      </c>
      <c r="AY1274" s="18">
        <v>9.7666783461807984</v>
      </c>
      <c r="AZ1274" s="10" t="s">
        <v>117</v>
      </c>
      <c r="BA1274" s="20" t="b">
        <v>0</v>
      </c>
      <c r="BB1274" s="10"/>
      <c r="BC1274" s="17">
        <v>9878</v>
      </c>
      <c r="BD1274" s="17">
        <v>7135</v>
      </c>
      <c r="BE1274" s="17">
        <v>69685.25</v>
      </c>
      <c r="BF1274" s="17">
        <v>5.25</v>
      </c>
      <c r="BG1274" s="11">
        <f ca="1">IFERROR(__xludf.DUMMYFUNCTION("""COMPUTED_VALUE"""),46005.875)</f>
        <v>46005.875</v>
      </c>
      <c r="BH1274" s="17" t="s">
        <v>105</v>
      </c>
      <c r="BI1274" s="17"/>
      <c r="BJ1274" s="15"/>
      <c r="BK1274" s="15"/>
      <c r="BL1274" s="13" t="b">
        <v>0</v>
      </c>
      <c r="BM1274" s="10"/>
      <c r="BN1274" s="10" t="s">
        <v>136</v>
      </c>
      <c r="BO1274" s="11">
        <v>45904.28402777778</v>
      </c>
      <c r="BP1274" s="11">
        <v>45958.741643518515</v>
      </c>
      <c r="BQ1274" s="15">
        <v>46007.78979166667</v>
      </c>
      <c r="BR1274" s="15">
        <v>46001.575601851851</v>
      </c>
      <c r="BS1274" s="10"/>
      <c r="BT1274" s="10" t="s">
        <v>99</v>
      </c>
      <c r="BU1274" s="10" t="s">
        <v>5046</v>
      </c>
      <c r="BV1274" s="10"/>
      <c r="BW1274" s="10"/>
      <c r="BX1274" s="10"/>
      <c r="BY1274" s="23"/>
      <c r="BZ1274" s="23"/>
      <c r="CA1274" s="19" t="s">
        <v>10183</v>
      </c>
      <c r="CB1274" s="19" t="s">
        <v>10187</v>
      </c>
      <c r="CC1274" s="23"/>
      <c r="CD1274" s="23"/>
      <c r="CE1274" s="23"/>
      <c r="CF1274" s="23"/>
      <c r="CG1274" s="23"/>
      <c r="CH1274" s="23"/>
      <c r="CI1274" s="23"/>
    </row>
    <row r="1275" spans="1:87" x14ac:dyDescent="0.3">
      <c r="A1275" s="9" t="s">
        <v>10188</v>
      </c>
      <c r="B1275" s="10" t="s">
        <v>10189</v>
      </c>
      <c r="C1275" s="11">
        <v>46006</v>
      </c>
      <c r="D1275" s="12">
        <v>8.3333333333333329E-2</v>
      </c>
      <c r="E1275" s="11">
        <v>46006.083333333336</v>
      </c>
      <c r="F1275" s="10" t="s">
        <v>3211</v>
      </c>
      <c r="G1275" s="13" t="b">
        <v>0</v>
      </c>
      <c r="H1275" s="10" t="s">
        <v>3212</v>
      </c>
      <c r="I1275" s="10" t="s">
        <v>3213</v>
      </c>
      <c r="J1275" s="13" t="b">
        <v>0</v>
      </c>
      <c r="K1275" s="13" t="b">
        <v>1</v>
      </c>
      <c r="L1275" s="10" t="s">
        <v>124</v>
      </c>
      <c r="M1275" s="10" t="s">
        <v>91</v>
      </c>
      <c r="N1275" s="10" t="s">
        <v>92</v>
      </c>
      <c r="O1275" s="19" t="s">
        <v>10190</v>
      </c>
      <c r="P1275" s="10" t="s">
        <v>3215</v>
      </c>
      <c r="Q1275" s="10" t="s">
        <v>126</v>
      </c>
      <c r="R1275" s="10"/>
      <c r="S1275" s="19" t="s">
        <v>10191</v>
      </c>
      <c r="T1275" s="19" t="s">
        <v>10192</v>
      </c>
      <c r="U1275" s="10" t="s">
        <v>3217</v>
      </c>
      <c r="V1275" s="10" t="s">
        <v>3278</v>
      </c>
      <c r="W1275" s="10" t="s">
        <v>3219</v>
      </c>
      <c r="X1275" s="10" t="s">
        <v>130</v>
      </c>
      <c r="Y1275" s="10" t="s">
        <v>130</v>
      </c>
      <c r="Z1275" s="10" t="s">
        <v>99</v>
      </c>
      <c r="AA1275" s="10" t="s">
        <v>131</v>
      </c>
      <c r="AB1275" s="10" t="s">
        <v>3220</v>
      </c>
      <c r="AC1275" s="10" t="s">
        <v>3221</v>
      </c>
      <c r="AD1275" s="10" t="s">
        <v>10193</v>
      </c>
      <c r="AE1275" s="10" t="s">
        <v>10194</v>
      </c>
      <c r="AF1275" s="15"/>
      <c r="AG1275" s="10"/>
      <c r="AH1275" s="10"/>
      <c r="AI1275" s="10"/>
      <c r="AJ1275" s="10"/>
      <c r="AK1275" s="10" t="s">
        <v>102</v>
      </c>
      <c r="AL1275" s="10" t="s">
        <v>1773</v>
      </c>
      <c r="AM1275" s="10"/>
      <c r="AN1275" s="10"/>
      <c r="AO1275" s="13" t="b">
        <v>1</v>
      </c>
      <c r="AP1275" s="10" t="s">
        <v>104</v>
      </c>
      <c r="AQ1275" s="10">
        <f ca="1">IFERROR(__xludf.DUMMYFUNCTION("""COMPUTED_VALUE"""),4779476)</f>
        <v>4779476</v>
      </c>
      <c r="AR1275" s="17">
        <v>31846</v>
      </c>
      <c r="AS1275" s="17">
        <v>23192</v>
      </c>
      <c r="AT1275" s="17">
        <v>1140560</v>
      </c>
      <c r="AU1275" s="17">
        <v>157.75</v>
      </c>
      <c r="AV1275" s="17">
        <v>23.05</v>
      </c>
      <c r="AW1275" s="10" t="s">
        <v>105</v>
      </c>
      <c r="AX1275" s="17">
        <v>10502</v>
      </c>
      <c r="AY1275" s="18">
        <v>49.17902725077613</v>
      </c>
      <c r="AZ1275" s="10" t="s">
        <v>117</v>
      </c>
      <c r="BA1275" s="20" t="b">
        <v>0</v>
      </c>
      <c r="BB1275" s="10"/>
      <c r="BC1275" s="17">
        <v>31846</v>
      </c>
      <c r="BD1275" s="17">
        <v>23192</v>
      </c>
      <c r="BE1275" s="17">
        <v>1140560</v>
      </c>
      <c r="BF1275" s="17">
        <v>23.05</v>
      </c>
      <c r="BG1275" s="11">
        <f ca="1">IFERROR(__xludf.DUMMYFUNCTION("""COMPUTED_VALUE"""),46006)</f>
        <v>46006</v>
      </c>
      <c r="BH1275" s="17" t="s">
        <v>105</v>
      </c>
      <c r="BI1275" s="17"/>
      <c r="BJ1275" s="15"/>
      <c r="BK1275" s="15"/>
      <c r="BL1275" s="13" t="b">
        <v>0</v>
      </c>
      <c r="BM1275" s="10"/>
      <c r="BN1275" s="10" t="s">
        <v>1149</v>
      </c>
      <c r="BO1275" s="11">
        <v>45904.28402777778</v>
      </c>
      <c r="BP1275" s="11">
        <v>45958.733576388891</v>
      </c>
      <c r="BQ1275" s="15">
        <v>46000.478900462964</v>
      </c>
      <c r="BR1275" s="15">
        <v>46005.396585648145</v>
      </c>
      <c r="BS1275" s="10" t="s">
        <v>1149</v>
      </c>
      <c r="BT1275" s="10" t="s">
        <v>279</v>
      </c>
      <c r="BU1275" s="10" t="s">
        <v>942</v>
      </c>
      <c r="BV1275" s="10"/>
      <c r="BW1275" s="10"/>
      <c r="BX1275" s="10"/>
      <c r="BY1275" s="23"/>
      <c r="BZ1275" s="23"/>
      <c r="CA1275" s="19" t="s">
        <v>10195</v>
      </c>
      <c r="CB1275" s="19" t="s">
        <v>10196</v>
      </c>
      <c r="CC1275" s="23"/>
      <c r="CD1275" s="19" t="s">
        <v>10197</v>
      </c>
      <c r="CE1275" s="23"/>
      <c r="CF1275" s="23"/>
      <c r="CG1275" s="23"/>
      <c r="CH1275" s="23"/>
      <c r="CI1275" s="23"/>
    </row>
    <row r="1276" spans="1:87" x14ac:dyDescent="0.3">
      <c r="A1276" s="9" t="s">
        <v>10198</v>
      </c>
      <c r="B1276" s="10" t="s">
        <v>10199</v>
      </c>
      <c r="C1276" s="11">
        <v>46004.114583333336</v>
      </c>
      <c r="D1276" s="12">
        <v>8.3333333333333329E-2</v>
      </c>
      <c r="E1276" s="11">
        <v>46004.197916666664</v>
      </c>
      <c r="F1276" s="10" t="s">
        <v>3211</v>
      </c>
      <c r="G1276" s="13" t="b">
        <v>0</v>
      </c>
      <c r="H1276" s="10" t="s">
        <v>3212</v>
      </c>
      <c r="I1276" s="10" t="s">
        <v>3213</v>
      </c>
      <c r="J1276" s="13" t="b">
        <v>0</v>
      </c>
      <c r="K1276" s="13" t="b">
        <v>1</v>
      </c>
      <c r="L1276" s="10" t="s">
        <v>124</v>
      </c>
      <c r="M1276" s="10" t="s">
        <v>91</v>
      </c>
      <c r="N1276" s="10" t="s">
        <v>92</v>
      </c>
      <c r="O1276" s="19" t="s">
        <v>10200</v>
      </c>
      <c r="P1276" s="10" t="s">
        <v>3215</v>
      </c>
      <c r="Q1276" s="10" t="s">
        <v>94</v>
      </c>
      <c r="R1276" s="10"/>
      <c r="S1276" s="19" t="s">
        <v>10201</v>
      </c>
      <c r="T1276" s="19" t="s">
        <v>10202</v>
      </c>
      <c r="U1276" s="10" t="s">
        <v>3218</v>
      </c>
      <c r="V1276" s="10" t="s">
        <v>3451</v>
      </c>
      <c r="W1276" s="10" t="s">
        <v>3219</v>
      </c>
      <c r="X1276" s="10" t="s">
        <v>130</v>
      </c>
      <c r="Y1276" s="10" t="s">
        <v>130</v>
      </c>
      <c r="Z1276" s="10" t="s">
        <v>99</v>
      </c>
      <c r="AA1276" s="10" t="s">
        <v>131</v>
      </c>
      <c r="AB1276" s="10" t="s">
        <v>3220</v>
      </c>
      <c r="AC1276" s="10" t="s">
        <v>3221</v>
      </c>
      <c r="AD1276" s="10" t="s">
        <v>10203</v>
      </c>
      <c r="AE1276" s="10" t="s">
        <v>10204</v>
      </c>
      <c r="AF1276" s="15"/>
      <c r="AG1276" s="10"/>
      <c r="AH1276" s="10"/>
      <c r="AI1276" s="10"/>
      <c r="AJ1276" s="10"/>
      <c r="AK1276" s="10" t="s">
        <v>102</v>
      </c>
      <c r="AL1276" s="10" t="s">
        <v>1773</v>
      </c>
      <c r="AM1276" s="10"/>
      <c r="AN1276" s="10"/>
      <c r="AO1276" s="13" t="b">
        <v>0</v>
      </c>
      <c r="AP1276" s="10" t="s">
        <v>104</v>
      </c>
      <c r="AQ1276" s="10">
        <f ca="1">IFERROR(__xludf.DUMMYFUNCTION("""COMPUTED_VALUE"""),4773706)</f>
        <v>4773706</v>
      </c>
      <c r="AR1276" s="17">
        <v>3278</v>
      </c>
      <c r="AS1276" s="17">
        <v>2500</v>
      </c>
      <c r="AT1276" s="17">
        <v>80238.5</v>
      </c>
      <c r="AU1276" s="17">
        <v>8.5</v>
      </c>
      <c r="AV1276" s="17">
        <v>3.45</v>
      </c>
      <c r="AW1276" s="10" t="s">
        <v>105</v>
      </c>
      <c r="AX1276" s="17">
        <v>636</v>
      </c>
      <c r="AY1276" s="18">
        <v>32.095399999999998</v>
      </c>
      <c r="AZ1276" s="10" t="s">
        <v>117</v>
      </c>
      <c r="BA1276" s="20" t="b">
        <v>0</v>
      </c>
      <c r="BB1276" s="10"/>
      <c r="BC1276" s="17">
        <v>3278</v>
      </c>
      <c r="BD1276" s="17">
        <v>2500</v>
      </c>
      <c r="BE1276" s="17">
        <v>80238.5</v>
      </c>
      <c r="BF1276" s="17">
        <v>3.45</v>
      </c>
      <c r="BG1276" s="11">
        <f ca="1">IFERROR(__xludf.DUMMYFUNCTION("""COMPUTED_VALUE"""),46004.1145833333)</f>
        <v>46004.114583333299</v>
      </c>
      <c r="BH1276" s="17" t="s">
        <v>105</v>
      </c>
      <c r="BI1276" s="17"/>
      <c r="BJ1276" s="15"/>
      <c r="BK1276" s="15"/>
      <c r="BL1276" s="13" t="b">
        <v>0</v>
      </c>
      <c r="BM1276" s="10"/>
      <c r="BN1276" s="10" t="s">
        <v>136</v>
      </c>
      <c r="BO1276" s="11">
        <v>45904.28402777778</v>
      </c>
      <c r="BP1276" s="11">
        <v>45958.73269675926</v>
      </c>
      <c r="BQ1276" s="15">
        <v>46007.789189814815</v>
      </c>
      <c r="BR1276" s="15">
        <v>46001.574467592596</v>
      </c>
      <c r="BS1276" s="10"/>
      <c r="BT1276" s="10" t="s">
        <v>99</v>
      </c>
      <c r="BU1276" s="10" t="s">
        <v>8013</v>
      </c>
      <c r="BV1276" s="10"/>
      <c r="BW1276" s="10"/>
      <c r="BX1276" s="10"/>
      <c r="BY1276" s="23"/>
      <c r="BZ1276" s="23"/>
      <c r="CA1276" s="19" t="s">
        <v>10201</v>
      </c>
      <c r="CB1276" s="19" t="s">
        <v>10205</v>
      </c>
      <c r="CC1276" s="23"/>
      <c r="CD1276" s="23"/>
      <c r="CE1276" s="23"/>
      <c r="CF1276" s="23"/>
      <c r="CG1276" s="23"/>
      <c r="CH1276" s="23"/>
      <c r="CI1276" s="23"/>
    </row>
    <row r="1277" spans="1:87" x14ac:dyDescent="0.3">
      <c r="A1277" s="9" t="s">
        <v>10206</v>
      </c>
      <c r="B1277" s="10" t="s">
        <v>10207</v>
      </c>
      <c r="C1277" s="11">
        <v>46005.770833333336</v>
      </c>
      <c r="D1277" s="12">
        <v>8.3333333333333329E-2</v>
      </c>
      <c r="E1277" s="11">
        <v>46005.854166666664</v>
      </c>
      <c r="F1277" s="10" t="s">
        <v>3211</v>
      </c>
      <c r="G1277" s="13" t="b">
        <v>0</v>
      </c>
      <c r="H1277" s="10" t="s">
        <v>3212</v>
      </c>
      <c r="I1277" s="10" t="s">
        <v>3213</v>
      </c>
      <c r="J1277" s="13" t="b">
        <v>0</v>
      </c>
      <c r="K1277" s="13" t="b">
        <v>1</v>
      </c>
      <c r="L1277" s="10" t="s">
        <v>124</v>
      </c>
      <c r="M1277" s="10" t="s">
        <v>91</v>
      </c>
      <c r="N1277" s="10" t="s">
        <v>92</v>
      </c>
      <c r="O1277" s="19" t="s">
        <v>10208</v>
      </c>
      <c r="P1277" s="10" t="s">
        <v>3215</v>
      </c>
      <c r="Q1277" s="10" t="s">
        <v>126</v>
      </c>
      <c r="R1277" s="10"/>
      <c r="S1277" s="19" t="s">
        <v>10209</v>
      </c>
      <c r="T1277" s="19" t="s">
        <v>10210</v>
      </c>
      <c r="U1277" s="10" t="s">
        <v>3289</v>
      </c>
      <c r="V1277" s="10" t="s">
        <v>3429</v>
      </c>
      <c r="W1277" s="10" t="s">
        <v>3219</v>
      </c>
      <c r="X1277" s="10" t="s">
        <v>130</v>
      </c>
      <c r="Y1277" s="10" t="s">
        <v>130</v>
      </c>
      <c r="Z1277" s="10" t="s">
        <v>99</v>
      </c>
      <c r="AA1277" s="10" t="s">
        <v>131</v>
      </c>
      <c r="AB1277" s="10" t="s">
        <v>3220</v>
      </c>
      <c r="AC1277" s="10" t="s">
        <v>3221</v>
      </c>
      <c r="AD1277" s="10" t="s">
        <v>10211</v>
      </c>
      <c r="AE1277" s="10" t="s">
        <v>10212</v>
      </c>
      <c r="AF1277" s="15"/>
      <c r="AG1277" s="10"/>
      <c r="AH1277" s="10"/>
      <c r="AI1277" s="10"/>
      <c r="AJ1277" s="10"/>
      <c r="AK1277" s="10" t="s">
        <v>102</v>
      </c>
      <c r="AL1277" s="10" t="s">
        <v>1773</v>
      </c>
      <c r="AM1277" s="10"/>
      <c r="AN1277" s="10"/>
      <c r="AO1277" s="13" t="b">
        <v>1</v>
      </c>
      <c r="AP1277" s="10" t="s">
        <v>104</v>
      </c>
      <c r="AQ1277" s="10">
        <f ca="1">IFERROR(__xludf.DUMMYFUNCTION("""COMPUTED_VALUE"""),4773710)</f>
        <v>4773710</v>
      </c>
      <c r="AR1277" s="17">
        <v>165923</v>
      </c>
      <c r="AS1277" s="17">
        <v>110178</v>
      </c>
      <c r="AT1277" s="17">
        <v>3319387.25</v>
      </c>
      <c r="AU1277" s="17">
        <v>2202.3000000000002</v>
      </c>
      <c r="AV1277" s="17">
        <v>528.1</v>
      </c>
      <c r="AW1277" s="10" t="s">
        <v>105</v>
      </c>
      <c r="AX1277" s="17">
        <v>38956</v>
      </c>
      <c r="AY1277" s="18">
        <v>30.127495961081159</v>
      </c>
      <c r="AZ1277" s="10" t="s">
        <v>117</v>
      </c>
      <c r="BA1277" s="20" t="b">
        <v>0</v>
      </c>
      <c r="BB1277" s="10"/>
      <c r="BC1277" s="17">
        <v>165923</v>
      </c>
      <c r="BD1277" s="17">
        <v>110178</v>
      </c>
      <c r="BE1277" s="17">
        <v>3319387.25</v>
      </c>
      <c r="BF1277" s="17">
        <v>528.1</v>
      </c>
      <c r="BG1277" s="11">
        <f ca="1">IFERROR(__xludf.DUMMYFUNCTION("""COMPUTED_VALUE"""),46005.7708333333)</f>
        <v>46005.770833333299</v>
      </c>
      <c r="BH1277" s="17" t="s">
        <v>105</v>
      </c>
      <c r="BI1277" s="17"/>
      <c r="BJ1277" s="15"/>
      <c r="BK1277" s="15"/>
      <c r="BL1277" s="13" t="b">
        <v>0</v>
      </c>
      <c r="BM1277" s="10"/>
      <c r="BN1277" s="10" t="s">
        <v>197</v>
      </c>
      <c r="BO1277" s="11">
        <v>45904.28402777778</v>
      </c>
      <c r="BP1277" s="11">
        <v>45958.733136574076</v>
      </c>
      <c r="BQ1277" s="15">
        <v>46000.478449074071</v>
      </c>
      <c r="BR1277" s="15">
        <v>46001.575462962966</v>
      </c>
      <c r="BS1277" s="10" t="s">
        <v>197</v>
      </c>
      <c r="BT1277" s="10" t="s">
        <v>279</v>
      </c>
      <c r="BU1277" s="10" t="s">
        <v>942</v>
      </c>
      <c r="BV1277" s="10" t="s">
        <v>281</v>
      </c>
      <c r="BW1277" s="10" t="s">
        <v>9578</v>
      </c>
      <c r="BX1277" s="10"/>
      <c r="BY1277" s="23"/>
      <c r="BZ1277" s="23"/>
      <c r="CA1277" s="19" t="s">
        <v>10213</v>
      </c>
      <c r="CB1277" s="19" t="s">
        <v>10214</v>
      </c>
      <c r="CC1277" s="23"/>
      <c r="CD1277" s="19" t="s">
        <v>10215</v>
      </c>
      <c r="CE1277" s="23"/>
      <c r="CF1277" s="23"/>
      <c r="CG1277" s="23"/>
      <c r="CH1277" s="23"/>
      <c r="CI1277" s="23"/>
    </row>
    <row r="1278" spans="1:87" x14ac:dyDescent="0.3">
      <c r="A1278" s="9" t="s">
        <v>10216</v>
      </c>
      <c r="B1278" s="10" t="s">
        <v>10217</v>
      </c>
      <c r="C1278" s="11">
        <v>46005</v>
      </c>
      <c r="D1278" s="12">
        <v>8.3333333333333329E-2</v>
      </c>
      <c r="E1278" s="11">
        <v>46005.083333333336</v>
      </c>
      <c r="F1278" s="10" t="s">
        <v>3211</v>
      </c>
      <c r="G1278" s="13" t="b">
        <v>0</v>
      </c>
      <c r="H1278" s="10" t="s">
        <v>3212</v>
      </c>
      <c r="I1278" s="10" t="s">
        <v>3213</v>
      </c>
      <c r="J1278" s="13" t="b">
        <v>0</v>
      </c>
      <c r="K1278" s="13" t="b">
        <v>1</v>
      </c>
      <c r="L1278" s="10" t="s">
        <v>124</v>
      </c>
      <c r="M1278" s="10" t="s">
        <v>91</v>
      </c>
      <c r="N1278" s="10" t="s">
        <v>92</v>
      </c>
      <c r="O1278" s="19" t="s">
        <v>10218</v>
      </c>
      <c r="P1278" s="10" t="s">
        <v>3215</v>
      </c>
      <c r="Q1278" s="10" t="s">
        <v>94</v>
      </c>
      <c r="R1278" s="10"/>
      <c r="S1278" s="19" t="s">
        <v>10219</v>
      </c>
      <c r="T1278" s="19" t="s">
        <v>10220</v>
      </c>
      <c r="U1278" s="10" t="s">
        <v>3260</v>
      </c>
      <c r="V1278" s="10" t="s">
        <v>3250</v>
      </c>
      <c r="W1278" s="10" t="s">
        <v>3219</v>
      </c>
      <c r="X1278" s="10" t="s">
        <v>130</v>
      </c>
      <c r="Y1278" s="10" t="s">
        <v>130</v>
      </c>
      <c r="Z1278" s="10" t="s">
        <v>99</v>
      </c>
      <c r="AA1278" s="10" t="s">
        <v>131</v>
      </c>
      <c r="AB1278" s="10" t="s">
        <v>3220</v>
      </c>
      <c r="AC1278" s="10" t="s">
        <v>3221</v>
      </c>
      <c r="AD1278" s="10" t="s">
        <v>10221</v>
      </c>
      <c r="AE1278" s="10" t="s">
        <v>10222</v>
      </c>
      <c r="AF1278" s="15"/>
      <c r="AG1278" s="10"/>
      <c r="AH1278" s="10"/>
      <c r="AI1278" s="10"/>
      <c r="AJ1278" s="10"/>
      <c r="AK1278" s="10" t="s">
        <v>102</v>
      </c>
      <c r="AL1278" s="10" t="s">
        <v>1773</v>
      </c>
      <c r="AM1278" s="10"/>
      <c r="AN1278" s="10"/>
      <c r="AO1278" s="13" t="b">
        <v>0</v>
      </c>
      <c r="AP1278" s="10" t="s">
        <v>104</v>
      </c>
      <c r="AQ1278" s="10">
        <f ca="1">IFERROR(__xludf.DUMMYFUNCTION("""COMPUTED_VALUE"""),4773708)</f>
        <v>4773708</v>
      </c>
      <c r="AR1278" s="17">
        <v>15803</v>
      </c>
      <c r="AS1278" s="17">
        <v>12690</v>
      </c>
      <c r="AT1278" s="17">
        <v>273853.5</v>
      </c>
      <c r="AU1278" s="17">
        <v>55.55</v>
      </c>
      <c r="AV1278" s="17">
        <v>10.199999999999999</v>
      </c>
      <c r="AW1278" s="10" t="s">
        <v>105</v>
      </c>
      <c r="AX1278" s="17">
        <v>3812</v>
      </c>
      <c r="AY1278" s="18">
        <v>21.580260047281325</v>
      </c>
      <c r="AZ1278" s="10" t="s">
        <v>117</v>
      </c>
      <c r="BA1278" s="20" t="b">
        <v>0</v>
      </c>
      <c r="BB1278" s="10"/>
      <c r="BC1278" s="17">
        <v>15803</v>
      </c>
      <c r="BD1278" s="17">
        <v>12690</v>
      </c>
      <c r="BE1278" s="17">
        <v>273853.5</v>
      </c>
      <c r="BF1278" s="17">
        <v>10.199999999999999</v>
      </c>
      <c r="BG1278" s="11">
        <f ca="1">IFERROR(__xludf.DUMMYFUNCTION("""COMPUTED_VALUE"""),46005)</f>
        <v>46005</v>
      </c>
      <c r="BH1278" s="17" t="s">
        <v>105</v>
      </c>
      <c r="BI1278" s="17"/>
      <c r="BJ1278" s="15"/>
      <c r="BK1278" s="15"/>
      <c r="BL1278" s="13" t="b">
        <v>0</v>
      </c>
      <c r="BM1278" s="10"/>
      <c r="BN1278" s="10" t="s">
        <v>136</v>
      </c>
      <c r="BO1278" s="11">
        <v>45904.28402777778</v>
      </c>
      <c r="BP1278" s="11">
        <v>45958.741875</v>
      </c>
      <c r="BQ1278" s="15">
        <v>46007.789641203701</v>
      </c>
      <c r="BR1278" s="15">
        <v>46001.574999999997</v>
      </c>
      <c r="BS1278" s="10"/>
      <c r="BT1278" s="10" t="s">
        <v>99</v>
      </c>
      <c r="BU1278" s="10" t="s">
        <v>3752</v>
      </c>
      <c r="BV1278" s="10"/>
      <c r="BW1278" s="10"/>
      <c r="BX1278" s="10"/>
      <c r="BY1278" s="23"/>
      <c r="BZ1278" s="23"/>
      <c r="CA1278" s="19" t="s">
        <v>10219</v>
      </c>
      <c r="CB1278" s="19" t="s">
        <v>10223</v>
      </c>
      <c r="CC1278" s="23"/>
      <c r="CD1278" s="23"/>
      <c r="CE1278" s="23"/>
      <c r="CF1278" s="23"/>
      <c r="CG1278" s="23"/>
      <c r="CH1278" s="23"/>
      <c r="CI1278" s="23"/>
    </row>
    <row r="1279" spans="1:87" x14ac:dyDescent="0.3">
      <c r="A1279" s="9" t="s">
        <v>10224</v>
      </c>
      <c r="B1279" s="10" t="s">
        <v>10225</v>
      </c>
      <c r="C1279" s="11">
        <v>46007.114583333336</v>
      </c>
      <c r="D1279" s="12">
        <v>8.3333333333333329E-2</v>
      </c>
      <c r="E1279" s="11">
        <v>46007.197916666664</v>
      </c>
      <c r="F1279" s="10" t="s">
        <v>3211</v>
      </c>
      <c r="G1279" s="13" t="b">
        <v>0</v>
      </c>
      <c r="H1279" s="10" t="s">
        <v>3212</v>
      </c>
      <c r="I1279" s="10" t="s">
        <v>3213</v>
      </c>
      <c r="J1279" s="13" t="b">
        <v>0</v>
      </c>
      <c r="K1279" s="13" t="b">
        <v>1</v>
      </c>
      <c r="L1279" s="10" t="s">
        <v>124</v>
      </c>
      <c r="M1279" s="10" t="s">
        <v>91</v>
      </c>
      <c r="N1279" s="10" t="s">
        <v>92</v>
      </c>
      <c r="O1279" s="19" t="s">
        <v>10226</v>
      </c>
      <c r="P1279" s="10" t="s">
        <v>3215</v>
      </c>
      <c r="Q1279" s="10" t="s">
        <v>126</v>
      </c>
      <c r="R1279" s="10"/>
      <c r="S1279" s="19" t="s">
        <v>10227</v>
      </c>
      <c r="T1279" s="19" t="s">
        <v>10228</v>
      </c>
      <c r="U1279" s="10" t="s">
        <v>3229</v>
      </c>
      <c r="V1279" s="10" t="s">
        <v>3249</v>
      </c>
      <c r="W1279" s="10" t="s">
        <v>3219</v>
      </c>
      <c r="X1279" s="10" t="s">
        <v>130</v>
      </c>
      <c r="Y1279" s="10" t="s">
        <v>130</v>
      </c>
      <c r="Z1279" s="10" t="s">
        <v>99</v>
      </c>
      <c r="AA1279" s="10" t="s">
        <v>131</v>
      </c>
      <c r="AB1279" s="10" t="s">
        <v>3220</v>
      </c>
      <c r="AC1279" s="10" t="s">
        <v>3221</v>
      </c>
      <c r="AD1279" s="10" t="s">
        <v>10229</v>
      </c>
      <c r="AE1279" s="10" t="s">
        <v>10230</v>
      </c>
      <c r="AF1279" s="15"/>
      <c r="AG1279" s="10"/>
      <c r="AH1279" s="10"/>
      <c r="AI1279" s="10"/>
      <c r="AJ1279" s="10"/>
      <c r="AK1279" s="10" t="s">
        <v>102</v>
      </c>
      <c r="AL1279" s="10" t="s">
        <v>1773</v>
      </c>
      <c r="AM1279" s="10"/>
      <c r="AN1279" s="10"/>
      <c r="AO1279" s="13" t="b">
        <v>1</v>
      </c>
      <c r="AP1279" s="10" t="s">
        <v>104</v>
      </c>
      <c r="AQ1279" s="10">
        <f ca="1">IFERROR(__xludf.DUMMYFUNCTION("""COMPUTED_VALUE"""),4780171)</f>
        <v>4780171</v>
      </c>
      <c r="AR1279" s="17">
        <v>16483</v>
      </c>
      <c r="AS1279" s="17">
        <v>11673</v>
      </c>
      <c r="AT1279" s="17">
        <v>317357.75</v>
      </c>
      <c r="AU1279" s="17">
        <v>53.8</v>
      </c>
      <c r="AV1279" s="17">
        <v>7.05</v>
      </c>
      <c r="AW1279" s="10" t="s">
        <v>105</v>
      </c>
      <c r="AX1279" s="17">
        <v>3825</v>
      </c>
      <c r="AY1279" s="18">
        <v>27.187334018675575</v>
      </c>
      <c r="AZ1279" s="10" t="s">
        <v>117</v>
      </c>
      <c r="BA1279" s="20" t="b">
        <v>0</v>
      </c>
      <c r="BB1279" s="10"/>
      <c r="BC1279" s="17">
        <v>16483</v>
      </c>
      <c r="BD1279" s="17">
        <v>11673</v>
      </c>
      <c r="BE1279" s="17">
        <v>317357.75</v>
      </c>
      <c r="BF1279" s="17">
        <v>7.05</v>
      </c>
      <c r="BG1279" s="11">
        <f ca="1">IFERROR(__xludf.DUMMYFUNCTION("""COMPUTED_VALUE"""),46007.1145833333)</f>
        <v>46007.114583333299</v>
      </c>
      <c r="BH1279" s="17" t="s">
        <v>105</v>
      </c>
      <c r="BI1279" s="17"/>
      <c r="BJ1279" s="15"/>
      <c r="BK1279" s="15"/>
      <c r="BL1279" s="13" t="b">
        <v>0</v>
      </c>
      <c r="BM1279" s="10"/>
      <c r="BN1279" s="10" t="s">
        <v>278</v>
      </c>
      <c r="BO1279" s="11">
        <v>45904.28402777778</v>
      </c>
      <c r="BP1279" s="11">
        <v>45958.733842592592</v>
      </c>
      <c r="BQ1279" s="15">
        <v>46000.479085648149</v>
      </c>
      <c r="BR1279" s="15">
        <v>46005.671620370369</v>
      </c>
      <c r="BS1279" s="10" t="s">
        <v>278</v>
      </c>
      <c r="BT1279" s="10" t="s">
        <v>279</v>
      </c>
      <c r="BU1279" s="10" t="s">
        <v>498</v>
      </c>
      <c r="BV1279" s="10"/>
      <c r="BW1279" s="10"/>
      <c r="BX1279" s="10"/>
      <c r="BY1279" s="23"/>
      <c r="BZ1279" s="23"/>
      <c r="CA1279" s="19" t="s">
        <v>10231</v>
      </c>
      <c r="CB1279" s="19" t="s">
        <v>10232</v>
      </c>
      <c r="CC1279" s="23"/>
      <c r="CD1279" s="19" t="s">
        <v>10233</v>
      </c>
      <c r="CE1279" s="23"/>
      <c r="CF1279" s="23"/>
      <c r="CG1279" s="23"/>
      <c r="CH1279" s="23"/>
      <c r="CI1279" s="23"/>
    </row>
    <row r="1280" spans="1:87" x14ac:dyDescent="0.3">
      <c r="A1280" s="9" t="s">
        <v>10234</v>
      </c>
      <c r="B1280" s="10" t="s">
        <v>10235</v>
      </c>
      <c r="C1280" s="11">
        <v>46004.875</v>
      </c>
      <c r="D1280" s="12">
        <v>8.3333333333333329E-2</v>
      </c>
      <c r="E1280" s="11">
        <v>46004.958333333336</v>
      </c>
      <c r="F1280" s="10" t="s">
        <v>3211</v>
      </c>
      <c r="G1280" s="13" t="b">
        <v>0</v>
      </c>
      <c r="H1280" s="10" t="s">
        <v>3212</v>
      </c>
      <c r="I1280" s="10" t="s">
        <v>3213</v>
      </c>
      <c r="J1280" s="13" t="b">
        <v>0</v>
      </c>
      <c r="K1280" s="13" t="b">
        <v>1</v>
      </c>
      <c r="L1280" s="10" t="s">
        <v>124</v>
      </c>
      <c r="M1280" s="10" t="s">
        <v>91</v>
      </c>
      <c r="N1280" s="10" t="s">
        <v>92</v>
      </c>
      <c r="O1280" s="19" t="s">
        <v>10236</v>
      </c>
      <c r="P1280" s="10" t="s">
        <v>3215</v>
      </c>
      <c r="Q1280" s="10" t="s">
        <v>126</v>
      </c>
      <c r="R1280" s="10"/>
      <c r="S1280" s="19" t="s">
        <v>10237</v>
      </c>
      <c r="T1280" s="19" t="s">
        <v>10238</v>
      </c>
      <c r="U1280" s="10" t="s">
        <v>3279</v>
      </c>
      <c r="V1280" s="10" t="s">
        <v>3440</v>
      </c>
      <c r="W1280" s="10" t="s">
        <v>3219</v>
      </c>
      <c r="X1280" s="10" t="s">
        <v>130</v>
      </c>
      <c r="Y1280" s="10" t="s">
        <v>130</v>
      </c>
      <c r="Z1280" s="10" t="s">
        <v>99</v>
      </c>
      <c r="AA1280" s="10" t="s">
        <v>131</v>
      </c>
      <c r="AB1280" s="10" t="s">
        <v>3220</v>
      </c>
      <c r="AC1280" s="10" t="s">
        <v>3221</v>
      </c>
      <c r="AD1280" s="10" t="s">
        <v>10239</v>
      </c>
      <c r="AE1280" s="10" t="s">
        <v>10240</v>
      </c>
      <c r="AF1280" s="15"/>
      <c r="AG1280" s="10"/>
      <c r="AH1280" s="10"/>
      <c r="AI1280" s="10"/>
      <c r="AJ1280" s="10"/>
      <c r="AK1280" s="10" t="s">
        <v>102</v>
      </c>
      <c r="AL1280" s="10" t="s">
        <v>1773</v>
      </c>
      <c r="AM1280" s="10"/>
      <c r="AN1280" s="10"/>
      <c r="AO1280" s="13" t="b">
        <v>1</v>
      </c>
      <c r="AP1280" s="10" t="s">
        <v>104</v>
      </c>
      <c r="AQ1280" s="10">
        <f ca="1">IFERROR(__xludf.DUMMYFUNCTION("""COMPUTED_VALUE"""),4773707)</f>
        <v>4773707</v>
      </c>
      <c r="AR1280" s="17">
        <v>31499</v>
      </c>
      <c r="AS1280" s="17">
        <v>23136</v>
      </c>
      <c r="AT1280" s="17">
        <v>430716.25</v>
      </c>
      <c r="AU1280" s="17">
        <v>211</v>
      </c>
      <c r="AV1280" s="17">
        <v>28.55</v>
      </c>
      <c r="AW1280" s="10" t="s">
        <v>105</v>
      </c>
      <c r="AX1280" s="17">
        <v>6236</v>
      </c>
      <c r="AY1280" s="18">
        <v>18.616712050484093</v>
      </c>
      <c r="AZ1280" s="10" t="s">
        <v>117</v>
      </c>
      <c r="BA1280" s="20" t="b">
        <v>0</v>
      </c>
      <c r="BB1280" s="10"/>
      <c r="BC1280" s="17">
        <v>31499</v>
      </c>
      <c r="BD1280" s="17">
        <v>23136</v>
      </c>
      <c r="BE1280" s="17">
        <v>430716.25</v>
      </c>
      <c r="BF1280" s="17">
        <v>28.55</v>
      </c>
      <c r="BG1280" s="11">
        <f ca="1">IFERROR(__xludf.DUMMYFUNCTION("""COMPUTED_VALUE"""),46004.875)</f>
        <v>46004.875</v>
      </c>
      <c r="BH1280" s="17" t="s">
        <v>105</v>
      </c>
      <c r="BI1280" s="17"/>
      <c r="BJ1280" s="15"/>
      <c r="BK1280" s="15"/>
      <c r="BL1280" s="13" t="b">
        <v>0</v>
      </c>
      <c r="BM1280" s="10"/>
      <c r="BN1280" s="10" t="s">
        <v>197</v>
      </c>
      <c r="BO1280" s="11">
        <v>45904.28402777778</v>
      </c>
      <c r="BP1280" s="11">
        <v>45958.732800925929</v>
      </c>
      <c r="BQ1280" s="15">
        <v>46000.478136574071</v>
      </c>
      <c r="BR1280" s="15">
        <v>46001.574733796297</v>
      </c>
      <c r="BS1280" s="10" t="s">
        <v>197</v>
      </c>
      <c r="BT1280" s="10" t="s">
        <v>279</v>
      </c>
      <c r="BU1280" s="10" t="s">
        <v>3752</v>
      </c>
      <c r="BV1280" s="10" t="s">
        <v>124</v>
      </c>
      <c r="BW1280" s="10" t="s">
        <v>9494</v>
      </c>
      <c r="BX1280" s="10"/>
      <c r="BY1280" s="23"/>
      <c r="BZ1280" s="23"/>
      <c r="CA1280" s="19" t="s">
        <v>10241</v>
      </c>
      <c r="CB1280" s="19" t="s">
        <v>10242</v>
      </c>
      <c r="CC1280" s="23"/>
      <c r="CD1280" s="19" t="s">
        <v>10243</v>
      </c>
      <c r="CE1280" s="23"/>
      <c r="CF1280" s="23"/>
      <c r="CG1280" s="23"/>
      <c r="CH1280" s="23"/>
      <c r="CI1280" s="23"/>
    </row>
    <row r="1281" spans="1:87" x14ac:dyDescent="0.3">
      <c r="A1281" s="9" t="s">
        <v>10244</v>
      </c>
      <c r="B1281" s="10" t="s">
        <v>10245</v>
      </c>
      <c r="C1281" s="11">
        <v>46005.875</v>
      </c>
      <c r="D1281" s="12">
        <v>8.3333333333333329E-2</v>
      </c>
      <c r="E1281" s="11">
        <v>46005.958333333336</v>
      </c>
      <c r="F1281" s="10" t="s">
        <v>3211</v>
      </c>
      <c r="G1281" s="13" t="b">
        <v>0</v>
      </c>
      <c r="H1281" s="10" t="s">
        <v>3212</v>
      </c>
      <c r="I1281" s="10" t="s">
        <v>3213</v>
      </c>
      <c r="J1281" s="13" t="b">
        <v>0</v>
      </c>
      <c r="K1281" s="13" t="b">
        <v>1</v>
      </c>
      <c r="L1281" s="10" t="s">
        <v>124</v>
      </c>
      <c r="M1281" s="10" t="s">
        <v>91</v>
      </c>
      <c r="N1281" s="10" t="s">
        <v>92</v>
      </c>
      <c r="O1281" s="19" t="s">
        <v>10246</v>
      </c>
      <c r="P1281" s="10" t="s">
        <v>3215</v>
      </c>
      <c r="Q1281" s="10" t="s">
        <v>126</v>
      </c>
      <c r="R1281" s="10"/>
      <c r="S1281" s="19" t="s">
        <v>10247</v>
      </c>
      <c r="T1281" s="19" t="s">
        <v>10248</v>
      </c>
      <c r="U1281" s="10" t="s">
        <v>3269</v>
      </c>
      <c r="V1281" s="10" t="s">
        <v>3318</v>
      </c>
      <c r="W1281" s="10" t="s">
        <v>3219</v>
      </c>
      <c r="X1281" s="10" t="s">
        <v>130</v>
      </c>
      <c r="Y1281" s="10" t="s">
        <v>130</v>
      </c>
      <c r="Z1281" s="10" t="s">
        <v>99</v>
      </c>
      <c r="AA1281" s="10" t="s">
        <v>131</v>
      </c>
      <c r="AB1281" s="10" t="s">
        <v>3220</v>
      </c>
      <c r="AC1281" s="10" t="s">
        <v>3221</v>
      </c>
      <c r="AD1281" s="10" t="s">
        <v>10249</v>
      </c>
      <c r="AE1281" s="10" t="s">
        <v>10250</v>
      </c>
      <c r="AF1281" s="15"/>
      <c r="AG1281" s="10"/>
      <c r="AH1281" s="10"/>
      <c r="AI1281" s="10"/>
      <c r="AJ1281" s="10"/>
      <c r="AK1281" s="10" t="s">
        <v>102</v>
      </c>
      <c r="AL1281" s="10" t="s">
        <v>1773</v>
      </c>
      <c r="AM1281" s="10"/>
      <c r="AN1281" s="10"/>
      <c r="AO1281" s="13" t="b">
        <v>1</v>
      </c>
      <c r="AP1281" s="10" t="s">
        <v>104</v>
      </c>
      <c r="AQ1281" s="10">
        <f ca="1">IFERROR(__xludf.DUMMYFUNCTION("""COMPUTED_VALUE"""),4773711)</f>
        <v>4773711</v>
      </c>
      <c r="AR1281" s="17">
        <v>32281</v>
      </c>
      <c r="AS1281" s="17">
        <v>22477</v>
      </c>
      <c r="AT1281" s="17">
        <v>402430.5</v>
      </c>
      <c r="AU1281" s="17">
        <v>167.05</v>
      </c>
      <c r="AV1281" s="17">
        <v>27.35</v>
      </c>
      <c r="AW1281" s="10" t="s">
        <v>105</v>
      </c>
      <c r="AX1281" s="17">
        <v>8032</v>
      </c>
      <c r="AY1281" s="18">
        <v>17.904101970903589</v>
      </c>
      <c r="AZ1281" s="10" t="s">
        <v>117</v>
      </c>
      <c r="BA1281" s="20" t="b">
        <v>0</v>
      </c>
      <c r="BB1281" s="10"/>
      <c r="BC1281" s="17">
        <v>32281</v>
      </c>
      <c r="BD1281" s="17">
        <v>22477</v>
      </c>
      <c r="BE1281" s="17">
        <v>402430.5</v>
      </c>
      <c r="BF1281" s="17">
        <v>27.35</v>
      </c>
      <c r="BG1281" s="11">
        <f ca="1">IFERROR(__xludf.DUMMYFUNCTION("""COMPUTED_VALUE"""),46005.875)</f>
        <v>46005.875</v>
      </c>
      <c r="BH1281" s="17" t="s">
        <v>105</v>
      </c>
      <c r="BI1281" s="17"/>
      <c r="BJ1281" s="15"/>
      <c r="BK1281" s="15"/>
      <c r="BL1281" s="13" t="b">
        <v>0</v>
      </c>
      <c r="BM1281" s="10"/>
      <c r="BN1281" s="10" t="s">
        <v>197</v>
      </c>
      <c r="BO1281" s="11">
        <v>45904.28402777778</v>
      </c>
      <c r="BP1281" s="11">
        <v>45958.73337962963</v>
      </c>
      <c r="BQ1281" s="15">
        <v>46000.478576388887</v>
      </c>
      <c r="BR1281" s="15">
        <v>46001.57576388889</v>
      </c>
      <c r="BS1281" s="10" t="s">
        <v>197</v>
      </c>
      <c r="BT1281" s="10" t="s">
        <v>279</v>
      </c>
      <c r="BU1281" s="10" t="s">
        <v>931</v>
      </c>
      <c r="BV1281" s="10"/>
      <c r="BW1281" s="10"/>
      <c r="BX1281" s="10"/>
      <c r="BY1281" s="23"/>
      <c r="BZ1281" s="23"/>
      <c r="CA1281" s="19" t="s">
        <v>10251</v>
      </c>
      <c r="CB1281" s="19" t="s">
        <v>10252</v>
      </c>
      <c r="CC1281" s="23"/>
      <c r="CD1281" s="19" t="s">
        <v>10253</v>
      </c>
      <c r="CE1281" s="23"/>
      <c r="CF1281" s="23"/>
      <c r="CG1281" s="23"/>
      <c r="CH1281" s="23"/>
      <c r="CI1281" s="23"/>
    </row>
    <row r="1282" spans="1:87" x14ac:dyDescent="0.3">
      <c r="A1282" s="9" t="s">
        <v>10254</v>
      </c>
      <c r="B1282" s="10" t="s">
        <v>10255</v>
      </c>
      <c r="C1282" s="11">
        <v>46012.770833333336</v>
      </c>
      <c r="D1282" s="12">
        <v>8.3333333333333329E-2</v>
      </c>
      <c r="E1282" s="11">
        <v>46012.854166666664</v>
      </c>
      <c r="F1282" s="10" t="s">
        <v>3211</v>
      </c>
      <c r="G1282" s="13" t="b">
        <v>0</v>
      </c>
      <c r="H1282" s="10" t="s">
        <v>3212</v>
      </c>
      <c r="I1282" s="10" t="s">
        <v>3213</v>
      </c>
      <c r="J1282" s="13" t="b">
        <v>0</v>
      </c>
      <c r="K1282" s="13" t="b">
        <v>1</v>
      </c>
      <c r="L1282" s="10" t="s">
        <v>124</v>
      </c>
      <c r="M1282" s="10" t="s">
        <v>91</v>
      </c>
      <c r="N1282" s="10" t="s">
        <v>92</v>
      </c>
      <c r="O1282" s="19" t="s">
        <v>10256</v>
      </c>
      <c r="P1282" s="10" t="s">
        <v>3215</v>
      </c>
      <c r="Q1282" s="10" t="s">
        <v>94</v>
      </c>
      <c r="R1282" s="10"/>
      <c r="S1282" s="10"/>
      <c r="T1282" s="10"/>
      <c r="U1282" s="10" t="s">
        <v>3239</v>
      </c>
      <c r="V1282" s="10" t="s">
        <v>3451</v>
      </c>
      <c r="W1282" s="10" t="s">
        <v>3219</v>
      </c>
      <c r="X1282" s="10" t="s">
        <v>130</v>
      </c>
      <c r="Y1282" s="10" t="s">
        <v>130</v>
      </c>
      <c r="Z1282" s="10" t="s">
        <v>99</v>
      </c>
      <c r="AA1282" s="10" t="s">
        <v>131</v>
      </c>
      <c r="AB1282" s="10" t="s">
        <v>3220</v>
      </c>
      <c r="AC1282" s="10" t="s">
        <v>3221</v>
      </c>
      <c r="AD1282" s="10" t="s">
        <v>10257</v>
      </c>
      <c r="AE1282" s="10" t="s">
        <v>10258</v>
      </c>
      <c r="AF1282" s="15"/>
      <c r="AG1282" s="10"/>
      <c r="AH1282" s="10"/>
      <c r="AI1282" s="10"/>
      <c r="AJ1282" s="10"/>
      <c r="AK1282" s="10" t="s">
        <v>102</v>
      </c>
      <c r="AL1282" s="10" t="s">
        <v>1876</v>
      </c>
      <c r="AM1282" s="10"/>
      <c r="AN1282" s="10"/>
      <c r="AO1282" s="13" t="b">
        <v>0</v>
      </c>
      <c r="AP1282" s="10" t="s">
        <v>104</v>
      </c>
      <c r="AQ1282" s="10">
        <f ca="1">IFERROR(__xludf.DUMMYFUNCTION("""COMPUTED_VALUE"""),4783763)</f>
        <v>4783763</v>
      </c>
      <c r="AR1282" s="17">
        <v>12299</v>
      </c>
      <c r="AS1282" s="17">
        <v>9201</v>
      </c>
      <c r="AT1282" s="17">
        <v>160116.25</v>
      </c>
      <c r="AU1282" s="17">
        <v>39.6</v>
      </c>
      <c r="AV1282" s="17">
        <v>4.9000000000000004</v>
      </c>
      <c r="AW1282" s="10" t="s">
        <v>105</v>
      </c>
      <c r="AX1282" s="17">
        <v>2675</v>
      </c>
      <c r="AY1282" s="18">
        <v>17.402048690359745</v>
      </c>
      <c r="AZ1282" s="10"/>
      <c r="BA1282" s="20" t="b">
        <v>0</v>
      </c>
      <c r="BB1282" s="10"/>
      <c r="BC1282" s="17">
        <v>12299</v>
      </c>
      <c r="BD1282" s="17">
        <v>9201</v>
      </c>
      <c r="BE1282" s="17">
        <v>160116.25</v>
      </c>
      <c r="BF1282" s="17">
        <v>4.9000000000000004</v>
      </c>
      <c r="BG1282" s="11">
        <f ca="1">IFERROR(__xludf.DUMMYFUNCTION("""COMPUTED_VALUE"""),46012.7708333333)</f>
        <v>46012.770833333299</v>
      </c>
      <c r="BH1282" s="17" t="s">
        <v>105</v>
      </c>
      <c r="BI1282" s="17"/>
      <c r="BJ1282" s="15"/>
      <c r="BK1282" s="15"/>
      <c r="BL1282" s="13" t="b">
        <v>0</v>
      </c>
      <c r="BM1282" s="10"/>
      <c r="BN1282" s="10" t="s">
        <v>149</v>
      </c>
      <c r="BO1282" s="11">
        <v>45904.284594907411</v>
      </c>
      <c r="BP1282" s="11">
        <v>45964.638229166667</v>
      </c>
      <c r="BQ1282" s="15"/>
      <c r="BR1282" s="15">
        <v>46009.397233796299</v>
      </c>
      <c r="BS1282" s="10" t="s">
        <v>149</v>
      </c>
      <c r="BT1282" s="10" t="s">
        <v>99</v>
      </c>
      <c r="BU1282" s="10" t="s">
        <v>816</v>
      </c>
      <c r="BV1282" s="10"/>
      <c r="BW1282" s="10"/>
      <c r="BX1282" s="10"/>
      <c r="BY1282" s="23"/>
      <c r="BZ1282" s="23"/>
      <c r="CA1282" s="19" t="s">
        <v>10259</v>
      </c>
      <c r="CB1282" s="19" t="s">
        <v>10260</v>
      </c>
      <c r="CC1282" s="23"/>
      <c r="CD1282" s="23"/>
      <c r="CE1282" s="23"/>
      <c r="CF1282" s="23"/>
      <c r="CG1282" s="23"/>
      <c r="CH1282" s="23"/>
      <c r="CI1282" s="23"/>
    </row>
    <row r="1283" spans="1:87" x14ac:dyDescent="0.3">
      <c r="A1283" s="9" t="s">
        <v>10261</v>
      </c>
      <c r="B1283" s="10" t="s">
        <v>10262</v>
      </c>
      <c r="C1283" s="11">
        <v>46038.114583333336</v>
      </c>
      <c r="D1283" s="12">
        <v>8.3333333333333329E-2</v>
      </c>
      <c r="E1283" s="11">
        <v>46038.197916666664</v>
      </c>
      <c r="F1283" s="10" t="s">
        <v>3211</v>
      </c>
      <c r="G1283" s="13" t="b">
        <v>0</v>
      </c>
      <c r="H1283" s="10" t="s">
        <v>3212</v>
      </c>
      <c r="I1283" s="10" t="s">
        <v>10263</v>
      </c>
      <c r="J1283" s="13" t="b">
        <v>0</v>
      </c>
      <c r="K1283" s="13" t="b">
        <v>1</v>
      </c>
      <c r="L1283" s="10" t="s">
        <v>124</v>
      </c>
      <c r="M1283" s="10" t="s">
        <v>91</v>
      </c>
      <c r="N1283" s="10" t="s">
        <v>92</v>
      </c>
      <c r="O1283" s="10"/>
      <c r="P1283" s="10"/>
      <c r="Q1283" s="10" t="s">
        <v>126</v>
      </c>
      <c r="R1283" s="10"/>
      <c r="S1283" s="10"/>
      <c r="T1283" s="10"/>
      <c r="U1283" s="10" t="s">
        <v>3249</v>
      </c>
      <c r="V1283" s="10" t="s">
        <v>3289</v>
      </c>
      <c r="W1283" s="10" t="s">
        <v>3219</v>
      </c>
      <c r="X1283" s="10" t="s">
        <v>130</v>
      </c>
      <c r="Y1283" s="10" t="s">
        <v>130</v>
      </c>
      <c r="Z1283" s="10" t="s">
        <v>99</v>
      </c>
      <c r="AA1283" s="10" t="s">
        <v>131</v>
      </c>
      <c r="AB1283" s="10" t="s">
        <v>3220</v>
      </c>
      <c r="AC1283" s="10" t="s">
        <v>3221</v>
      </c>
      <c r="AD1283" s="10" t="s">
        <v>10264</v>
      </c>
      <c r="AE1283" s="10" t="s">
        <v>10265</v>
      </c>
      <c r="AF1283" s="15"/>
      <c r="AG1283" s="10"/>
      <c r="AH1283" s="10"/>
      <c r="AI1283" s="10"/>
      <c r="AJ1283" s="10"/>
      <c r="AK1283" s="10"/>
      <c r="AL1283" s="10" t="s">
        <v>1876</v>
      </c>
      <c r="AM1283" s="10"/>
      <c r="AN1283" s="10"/>
      <c r="AO1283" s="13" t="b">
        <v>1</v>
      </c>
      <c r="AP1283" s="10" t="s">
        <v>104</v>
      </c>
      <c r="AQ1283" s="10"/>
      <c r="AR1283" s="17"/>
      <c r="AS1283" s="17"/>
      <c r="AT1283" s="17"/>
      <c r="AU1283" s="17"/>
      <c r="AV1283" s="17"/>
      <c r="AW1283" s="10"/>
      <c r="AX1283" s="17"/>
      <c r="AY1283" s="18" t="s">
        <v>257</v>
      </c>
      <c r="AZ1283" s="10"/>
      <c r="BA1283" s="20" t="b">
        <v>0</v>
      </c>
      <c r="BB1283" s="10"/>
      <c r="BC1283" s="17" t="s">
        <v>257</v>
      </c>
      <c r="BD1283" s="17" t="s">
        <v>257</v>
      </c>
      <c r="BE1283" s="17" t="s">
        <v>257</v>
      </c>
      <c r="BF1283" s="17" t="s">
        <v>257</v>
      </c>
      <c r="BG1283" s="11">
        <f ca="1">IFERROR(__xludf.DUMMYFUNCTION("""COMPUTED_VALUE"""),46038.1145833333)</f>
        <v>46038.114583333299</v>
      </c>
      <c r="BH1283" s="17"/>
      <c r="BI1283" s="17"/>
      <c r="BJ1283" s="15"/>
      <c r="BK1283" s="15"/>
      <c r="BL1283" s="13" t="b">
        <v>0</v>
      </c>
      <c r="BM1283" s="10" t="s">
        <v>10266</v>
      </c>
      <c r="BN1283" s="10" t="s">
        <v>241</v>
      </c>
      <c r="BO1283" s="11">
        <v>45904.284594907411</v>
      </c>
      <c r="BP1283" s="11">
        <v>46007.664212962962</v>
      </c>
      <c r="BQ1283" s="15"/>
      <c r="BR1283" s="15"/>
      <c r="BS1283" s="10"/>
      <c r="BT1283" s="10" t="s">
        <v>99</v>
      </c>
      <c r="BU1283" s="10"/>
      <c r="BV1283" s="10"/>
      <c r="BW1283" s="10"/>
      <c r="BX1283" s="10"/>
      <c r="BY1283" s="23"/>
      <c r="BZ1283" s="23"/>
      <c r="CA1283" s="19" t="s">
        <v>10267</v>
      </c>
      <c r="CB1283" s="19" t="s">
        <v>10268</v>
      </c>
      <c r="CC1283" s="23"/>
      <c r="CD1283" s="23"/>
      <c r="CE1283" s="23"/>
      <c r="CF1283" s="23"/>
      <c r="CG1283" s="23"/>
      <c r="CH1283" s="23"/>
      <c r="CI1283" s="23"/>
    </row>
    <row r="1284" spans="1:87" x14ac:dyDescent="0.3">
      <c r="A1284" s="9" t="s">
        <v>10269</v>
      </c>
      <c r="B1284" s="10" t="s">
        <v>10270</v>
      </c>
      <c r="C1284" s="11">
        <v>46013</v>
      </c>
      <c r="D1284" s="12">
        <v>8.3333333333333329E-2</v>
      </c>
      <c r="E1284" s="11">
        <v>46013.083333333336</v>
      </c>
      <c r="F1284" s="10" t="s">
        <v>3211</v>
      </c>
      <c r="G1284" s="13" t="b">
        <v>0</v>
      </c>
      <c r="H1284" s="10" t="s">
        <v>3212</v>
      </c>
      <c r="I1284" s="10" t="s">
        <v>3213</v>
      </c>
      <c r="J1284" s="13" t="b">
        <v>0</v>
      </c>
      <c r="K1284" s="13" t="b">
        <v>1</v>
      </c>
      <c r="L1284" s="10" t="s">
        <v>124</v>
      </c>
      <c r="M1284" s="10" t="s">
        <v>91</v>
      </c>
      <c r="N1284" s="10" t="s">
        <v>92</v>
      </c>
      <c r="O1284" s="19" t="s">
        <v>10271</v>
      </c>
      <c r="P1284" s="10" t="s">
        <v>3215</v>
      </c>
      <c r="Q1284" s="10" t="s">
        <v>126</v>
      </c>
      <c r="R1284" s="10"/>
      <c r="S1284" s="19" t="s">
        <v>10272</v>
      </c>
      <c r="T1284" s="10"/>
      <c r="U1284" s="10" t="s">
        <v>3240</v>
      </c>
      <c r="V1284" s="10" t="s">
        <v>3269</v>
      </c>
      <c r="W1284" s="10" t="s">
        <v>3219</v>
      </c>
      <c r="X1284" s="10" t="s">
        <v>130</v>
      </c>
      <c r="Y1284" s="10" t="s">
        <v>130</v>
      </c>
      <c r="Z1284" s="10" t="s">
        <v>99</v>
      </c>
      <c r="AA1284" s="10" t="s">
        <v>131</v>
      </c>
      <c r="AB1284" s="10" t="s">
        <v>3220</v>
      </c>
      <c r="AC1284" s="10" t="s">
        <v>3221</v>
      </c>
      <c r="AD1284" s="10" t="s">
        <v>10273</v>
      </c>
      <c r="AE1284" s="10" t="s">
        <v>10274</v>
      </c>
      <c r="AF1284" s="15"/>
      <c r="AG1284" s="10"/>
      <c r="AH1284" s="10"/>
      <c r="AI1284" s="10"/>
      <c r="AJ1284" s="10"/>
      <c r="AK1284" s="10" t="s">
        <v>102</v>
      </c>
      <c r="AL1284" s="10" t="s">
        <v>1876</v>
      </c>
      <c r="AM1284" s="10"/>
      <c r="AN1284" s="10"/>
      <c r="AO1284" s="13" t="b">
        <v>0</v>
      </c>
      <c r="AP1284" s="10" t="s">
        <v>104</v>
      </c>
      <c r="AQ1284" s="10">
        <f ca="1">IFERROR(__xludf.DUMMYFUNCTION("""COMPUTED_VALUE"""),4784748)</f>
        <v>4784748</v>
      </c>
      <c r="AR1284" s="17">
        <v>8967</v>
      </c>
      <c r="AS1284" s="17">
        <v>7252</v>
      </c>
      <c r="AT1284" s="17">
        <v>171240.25</v>
      </c>
      <c r="AU1284" s="17">
        <v>26.85</v>
      </c>
      <c r="AV1284" s="17">
        <v>2.9</v>
      </c>
      <c r="AW1284" s="10" t="s">
        <v>105</v>
      </c>
      <c r="AX1284" s="17">
        <v>1945</v>
      </c>
      <c r="AY1284" s="18">
        <v>23.612830943188087</v>
      </c>
      <c r="AZ1284" s="10" t="s">
        <v>117</v>
      </c>
      <c r="BA1284" s="20" t="b">
        <v>0</v>
      </c>
      <c r="BB1284" s="10"/>
      <c r="BC1284" s="17">
        <v>8967</v>
      </c>
      <c r="BD1284" s="17">
        <v>7252</v>
      </c>
      <c r="BE1284" s="17">
        <v>171240.25</v>
      </c>
      <c r="BF1284" s="17">
        <v>2.9</v>
      </c>
      <c r="BG1284" s="11">
        <f ca="1">IFERROR(__xludf.DUMMYFUNCTION("""COMPUTED_VALUE"""),46013)</f>
        <v>46013</v>
      </c>
      <c r="BH1284" s="17" t="s">
        <v>105</v>
      </c>
      <c r="BI1284" s="17"/>
      <c r="BJ1284" s="15"/>
      <c r="BK1284" s="15"/>
      <c r="BL1284" s="13" t="b">
        <v>0</v>
      </c>
      <c r="BM1284" s="10"/>
      <c r="BN1284" s="10" t="s">
        <v>667</v>
      </c>
      <c r="BO1284" s="11">
        <v>45904.284594907411</v>
      </c>
      <c r="BP1284" s="11">
        <v>45964.650625000002</v>
      </c>
      <c r="BQ1284" s="15">
        <v>46006.660104166665</v>
      </c>
      <c r="BR1284" s="15">
        <v>46010.424722222226</v>
      </c>
      <c r="BS1284" s="10" t="s">
        <v>667</v>
      </c>
      <c r="BT1284" s="10" t="s">
        <v>99</v>
      </c>
      <c r="BU1284" s="10" t="s">
        <v>280</v>
      </c>
      <c r="BV1284" s="10"/>
      <c r="BW1284" s="10"/>
      <c r="BX1284" s="10"/>
      <c r="BY1284" s="23"/>
      <c r="BZ1284" s="23"/>
      <c r="CA1284" s="19" t="s">
        <v>10275</v>
      </c>
      <c r="CB1284" s="19" t="s">
        <v>10276</v>
      </c>
      <c r="CC1284" s="23"/>
      <c r="CD1284" s="19" t="s">
        <v>10277</v>
      </c>
      <c r="CE1284" s="23"/>
      <c r="CF1284" s="23"/>
      <c r="CG1284" s="23"/>
      <c r="CH1284" s="23"/>
      <c r="CI1284" s="23"/>
    </row>
    <row r="1285" spans="1:87" x14ac:dyDescent="0.3">
      <c r="A1285" s="9" t="s">
        <v>10278</v>
      </c>
      <c r="B1285" s="10" t="s">
        <v>10279</v>
      </c>
      <c r="C1285" s="11">
        <v>46013.114583333336</v>
      </c>
      <c r="D1285" s="12">
        <v>8.3333333333333329E-2</v>
      </c>
      <c r="E1285" s="11">
        <v>46013.197916666664</v>
      </c>
      <c r="F1285" s="10" t="s">
        <v>3211</v>
      </c>
      <c r="G1285" s="13" t="b">
        <v>0</v>
      </c>
      <c r="H1285" s="10" t="s">
        <v>3212</v>
      </c>
      <c r="I1285" s="10" t="s">
        <v>3213</v>
      </c>
      <c r="J1285" s="13" t="b">
        <v>0</v>
      </c>
      <c r="K1285" s="13" t="b">
        <v>1</v>
      </c>
      <c r="L1285" s="10" t="s">
        <v>124</v>
      </c>
      <c r="M1285" s="10" t="s">
        <v>91</v>
      </c>
      <c r="N1285" s="10" t="s">
        <v>92</v>
      </c>
      <c r="O1285" s="19" t="s">
        <v>10280</v>
      </c>
      <c r="P1285" s="10" t="s">
        <v>3215</v>
      </c>
      <c r="Q1285" s="10" t="s">
        <v>126</v>
      </c>
      <c r="R1285" s="10"/>
      <c r="S1285" s="19" t="s">
        <v>10281</v>
      </c>
      <c r="T1285" s="10"/>
      <c r="U1285" s="10" t="s">
        <v>3217</v>
      </c>
      <c r="V1285" s="10" t="s">
        <v>3308</v>
      </c>
      <c r="W1285" s="10" t="s">
        <v>3219</v>
      </c>
      <c r="X1285" s="10" t="s">
        <v>130</v>
      </c>
      <c r="Y1285" s="10" t="s">
        <v>130</v>
      </c>
      <c r="Z1285" s="10" t="s">
        <v>99</v>
      </c>
      <c r="AA1285" s="10" t="s">
        <v>131</v>
      </c>
      <c r="AB1285" s="10" t="s">
        <v>3220</v>
      </c>
      <c r="AC1285" s="10" t="s">
        <v>3221</v>
      </c>
      <c r="AD1285" s="10" t="s">
        <v>10282</v>
      </c>
      <c r="AE1285" s="10" t="s">
        <v>10283</v>
      </c>
      <c r="AF1285" s="15"/>
      <c r="AG1285" s="10"/>
      <c r="AH1285" s="10"/>
      <c r="AI1285" s="10"/>
      <c r="AJ1285" s="10"/>
      <c r="AK1285" s="10" t="s">
        <v>102</v>
      </c>
      <c r="AL1285" s="10" t="s">
        <v>1876</v>
      </c>
      <c r="AM1285" s="10"/>
      <c r="AN1285" s="10"/>
      <c r="AO1285" s="13" t="b">
        <v>0</v>
      </c>
      <c r="AP1285" s="10" t="s">
        <v>104</v>
      </c>
      <c r="AQ1285" s="10">
        <f ca="1">IFERROR(__xludf.DUMMYFUNCTION("""COMPUTED_VALUE"""),4789830)</f>
        <v>4789830</v>
      </c>
      <c r="AR1285" s="17">
        <v>6024</v>
      </c>
      <c r="AS1285" s="17">
        <v>4443</v>
      </c>
      <c r="AT1285" s="17">
        <v>149141</v>
      </c>
      <c r="AU1285" s="17">
        <v>20.95</v>
      </c>
      <c r="AV1285" s="17">
        <v>3.65</v>
      </c>
      <c r="AW1285" s="10" t="s">
        <v>105</v>
      </c>
      <c r="AX1285" s="17">
        <v>1781</v>
      </c>
      <c r="AY1285" s="18">
        <v>33.56763448120639</v>
      </c>
      <c r="AZ1285" s="10" t="s">
        <v>117</v>
      </c>
      <c r="BA1285" s="20" t="b">
        <v>0</v>
      </c>
      <c r="BB1285" s="10"/>
      <c r="BC1285" s="17">
        <v>6024</v>
      </c>
      <c r="BD1285" s="17">
        <v>4443</v>
      </c>
      <c r="BE1285" s="17">
        <v>149141</v>
      </c>
      <c r="BF1285" s="17">
        <v>3.65</v>
      </c>
      <c r="BG1285" s="11">
        <f ca="1">IFERROR(__xludf.DUMMYFUNCTION("""COMPUTED_VALUE"""),46013.1145833333)</f>
        <v>46013.114583333299</v>
      </c>
      <c r="BH1285" s="17" t="s">
        <v>105</v>
      </c>
      <c r="BI1285" s="17"/>
      <c r="BJ1285" s="15"/>
      <c r="BK1285" s="15"/>
      <c r="BL1285" s="13" t="b">
        <v>0</v>
      </c>
      <c r="BM1285" s="10"/>
      <c r="BN1285" s="10" t="s">
        <v>278</v>
      </c>
      <c r="BO1285" s="11">
        <v>45904.28402777778</v>
      </c>
      <c r="BP1285" s="11">
        <v>45964.650358796294</v>
      </c>
      <c r="BQ1285" s="15">
        <v>46006.660219907404</v>
      </c>
      <c r="BR1285" s="15">
        <v>46012.572800925926</v>
      </c>
      <c r="BS1285" s="10" t="s">
        <v>278</v>
      </c>
      <c r="BT1285" s="10" t="s">
        <v>99</v>
      </c>
      <c r="BU1285" s="10" t="s">
        <v>280</v>
      </c>
      <c r="BV1285" s="10"/>
      <c r="BW1285" s="10"/>
      <c r="BX1285" s="10"/>
      <c r="BY1285" s="23"/>
      <c r="BZ1285" s="23"/>
      <c r="CA1285" s="19" t="s">
        <v>10284</v>
      </c>
      <c r="CB1285" s="19" t="s">
        <v>10285</v>
      </c>
      <c r="CC1285" s="23"/>
      <c r="CD1285" s="19" t="s">
        <v>10286</v>
      </c>
      <c r="CE1285" s="23"/>
      <c r="CF1285" s="23"/>
      <c r="CG1285" s="23"/>
      <c r="CH1285" s="23"/>
      <c r="CI1285" s="23"/>
    </row>
    <row r="1286" spans="1:87" x14ac:dyDescent="0.3">
      <c r="A1286" s="9" t="s">
        <v>10287</v>
      </c>
      <c r="B1286" s="10" t="s">
        <v>10288</v>
      </c>
      <c r="C1286" s="11">
        <v>46037.114583333336</v>
      </c>
      <c r="D1286" s="12">
        <v>8.3333333333333329E-2</v>
      </c>
      <c r="E1286" s="11">
        <v>46037.197916666664</v>
      </c>
      <c r="F1286" s="10" t="s">
        <v>3211</v>
      </c>
      <c r="G1286" s="13" t="b">
        <v>0</v>
      </c>
      <c r="H1286" s="10" t="s">
        <v>3212</v>
      </c>
      <c r="I1286" s="10" t="s">
        <v>10263</v>
      </c>
      <c r="J1286" s="13" t="b">
        <v>0</v>
      </c>
      <c r="K1286" s="13" t="b">
        <v>1</v>
      </c>
      <c r="L1286" s="10" t="s">
        <v>124</v>
      </c>
      <c r="M1286" s="10" t="s">
        <v>91</v>
      </c>
      <c r="N1286" s="10" t="s">
        <v>92</v>
      </c>
      <c r="O1286" s="10"/>
      <c r="P1286" s="10"/>
      <c r="Q1286" s="10" t="s">
        <v>126</v>
      </c>
      <c r="R1286" s="10"/>
      <c r="S1286" s="10"/>
      <c r="T1286" s="10"/>
      <c r="U1286" s="10" t="s">
        <v>3278</v>
      </c>
      <c r="V1286" s="10" t="s">
        <v>3218</v>
      </c>
      <c r="W1286" s="10" t="s">
        <v>3219</v>
      </c>
      <c r="X1286" s="10" t="s">
        <v>130</v>
      </c>
      <c r="Y1286" s="10" t="s">
        <v>130</v>
      </c>
      <c r="Z1286" s="10" t="s">
        <v>99</v>
      </c>
      <c r="AA1286" s="10" t="s">
        <v>131</v>
      </c>
      <c r="AB1286" s="10" t="s">
        <v>3220</v>
      </c>
      <c r="AC1286" s="10" t="s">
        <v>3221</v>
      </c>
      <c r="AD1286" s="10" t="s">
        <v>10289</v>
      </c>
      <c r="AE1286" s="10" t="s">
        <v>10290</v>
      </c>
      <c r="AF1286" s="15"/>
      <c r="AG1286" s="10"/>
      <c r="AH1286" s="10"/>
      <c r="AI1286" s="10"/>
      <c r="AJ1286" s="10"/>
      <c r="AK1286" s="10"/>
      <c r="AL1286" s="10" t="s">
        <v>1876</v>
      </c>
      <c r="AM1286" s="10"/>
      <c r="AN1286" s="10"/>
      <c r="AO1286" s="13" t="b">
        <v>1</v>
      </c>
      <c r="AP1286" s="10" t="s">
        <v>104</v>
      </c>
      <c r="AQ1286" s="10"/>
      <c r="AR1286" s="17"/>
      <c r="AS1286" s="17"/>
      <c r="AT1286" s="17"/>
      <c r="AU1286" s="17"/>
      <c r="AV1286" s="17"/>
      <c r="AW1286" s="10"/>
      <c r="AX1286" s="17"/>
      <c r="AY1286" s="18" t="s">
        <v>257</v>
      </c>
      <c r="AZ1286" s="10"/>
      <c r="BA1286" s="20" t="b">
        <v>0</v>
      </c>
      <c r="BB1286" s="10"/>
      <c r="BC1286" s="17" t="s">
        <v>257</v>
      </c>
      <c r="BD1286" s="17" t="s">
        <v>257</v>
      </c>
      <c r="BE1286" s="17" t="s">
        <v>257</v>
      </c>
      <c r="BF1286" s="17" t="s">
        <v>257</v>
      </c>
      <c r="BG1286" s="11">
        <f ca="1">IFERROR(__xludf.DUMMYFUNCTION("""COMPUTED_VALUE"""),46037.1145833333)</f>
        <v>46037.114583333299</v>
      </c>
      <c r="BH1286" s="17"/>
      <c r="BI1286" s="17"/>
      <c r="BJ1286" s="15"/>
      <c r="BK1286" s="15"/>
      <c r="BL1286" s="13" t="b">
        <v>0</v>
      </c>
      <c r="BM1286" s="10" t="s">
        <v>10266</v>
      </c>
      <c r="BN1286" s="10" t="s">
        <v>241</v>
      </c>
      <c r="BO1286" s="11">
        <v>45904.284594907411</v>
      </c>
      <c r="BP1286" s="11">
        <v>46007.664097222223</v>
      </c>
      <c r="BQ1286" s="15"/>
      <c r="BR1286" s="15"/>
      <c r="BS1286" s="10"/>
      <c r="BT1286" s="10" t="s">
        <v>99</v>
      </c>
      <c r="BU1286" s="10"/>
      <c r="BV1286" s="10"/>
      <c r="BW1286" s="10"/>
      <c r="BX1286" s="10"/>
      <c r="BY1286" s="23"/>
      <c r="BZ1286" s="23"/>
      <c r="CA1286" s="23"/>
      <c r="CB1286" s="23"/>
      <c r="CC1286" s="23"/>
      <c r="CD1286" s="23"/>
      <c r="CE1286" s="23"/>
      <c r="CF1286" s="23"/>
      <c r="CG1286" s="23"/>
      <c r="CH1286" s="23"/>
      <c r="CI1286" s="23"/>
    </row>
    <row r="1287" spans="1:87" x14ac:dyDescent="0.3">
      <c r="A1287" s="9" t="s">
        <v>10291</v>
      </c>
      <c r="B1287" s="10" t="s">
        <v>10292</v>
      </c>
      <c r="C1287" s="11">
        <v>46012.114583333336</v>
      </c>
      <c r="D1287" s="12">
        <v>8.3333333333333329E-2</v>
      </c>
      <c r="E1287" s="11">
        <v>46012.197916666664</v>
      </c>
      <c r="F1287" s="10" t="s">
        <v>3211</v>
      </c>
      <c r="G1287" s="13" t="b">
        <v>0</v>
      </c>
      <c r="H1287" s="10" t="s">
        <v>3212</v>
      </c>
      <c r="I1287" s="10" t="s">
        <v>10263</v>
      </c>
      <c r="J1287" s="13" t="b">
        <v>0</v>
      </c>
      <c r="K1287" s="13" t="b">
        <v>1</v>
      </c>
      <c r="L1287" s="10" t="s">
        <v>124</v>
      </c>
      <c r="M1287" s="10" t="s">
        <v>91</v>
      </c>
      <c r="N1287" s="10" t="s">
        <v>92</v>
      </c>
      <c r="O1287" s="19" t="s">
        <v>10293</v>
      </c>
      <c r="P1287" s="10" t="s">
        <v>3215</v>
      </c>
      <c r="Q1287" s="10" t="s">
        <v>126</v>
      </c>
      <c r="R1287" s="10"/>
      <c r="S1287" s="19" t="s">
        <v>10294</v>
      </c>
      <c r="T1287" s="10"/>
      <c r="U1287" s="10" t="s">
        <v>3259</v>
      </c>
      <c r="V1287" s="10" t="s">
        <v>3229</v>
      </c>
      <c r="W1287" s="10" t="s">
        <v>3219</v>
      </c>
      <c r="X1287" s="10" t="s">
        <v>130</v>
      </c>
      <c r="Y1287" s="10" t="s">
        <v>130</v>
      </c>
      <c r="Z1287" s="10" t="s">
        <v>99</v>
      </c>
      <c r="AA1287" s="10" t="s">
        <v>131</v>
      </c>
      <c r="AB1287" s="10" t="s">
        <v>3220</v>
      </c>
      <c r="AC1287" s="10" t="s">
        <v>3221</v>
      </c>
      <c r="AD1287" s="10" t="s">
        <v>10295</v>
      </c>
      <c r="AE1287" s="10" t="s">
        <v>10296</v>
      </c>
      <c r="AF1287" s="15"/>
      <c r="AG1287" s="10"/>
      <c r="AH1287" s="10"/>
      <c r="AI1287" s="10"/>
      <c r="AJ1287" s="10"/>
      <c r="AK1287" s="10" t="s">
        <v>102</v>
      </c>
      <c r="AL1287" s="10" t="s">
        <v>1876</v>
      </c>
      <c r="AM1287" s="10"/>
      <c r="AN1287" s="10"/>
      <c r="AO1287" s="13" t="b">
        <v>1</v>
      </c>
      <c r="AP1287" s="10" t="s">
        <v>104</v>
      </c>
      <c r="AQ1287" s="10">
        <f ca="1">IFERROR(__xludf.DUMMYFUNCTION("""COMPUTED_VALUE"""),4786455)</f>
        <v>4786455</v>
      </c>
      <c r="AR1287" s="17">
        <v>30674</v>
      </c>
      <c r="AS1287" s="17">
        <v>21101</v>
      </c>
      <c r="AT1287" s="17">
        <v>745029.5</v>
      </c>
      <c r="AU1287" s="17">
        <v>181.2</v>
      </c>
      <c r="AV1287" s="17">
        <v>22.45</v>
      </c>
      <c r="AW1287" s="10" t="s">
        <v>105</v>
      </c>
      <c r="AX1287" s="17">
        <v>8531</v>
      </c>
      <c r="AY1287" s="18">
        <v>35.307781621724089</v>
      </c>
      <c r="AZ1287" s="10" t="s">
        <v>117</v>
      </c>
      <c r="BA1287" s="20" t="b">
        <v>0</v>
      </c>
      <c r="BB1287" s="10"/>
      <c r="BC1287" s="17">
        <v>30674</v>
      </c>
      <c r="BD1287" s="17">
        <v>21101</v>
      </c>
      <c r="BE1287" s="17">
        <v>745029.5</v>
      </c>
      <c r="BF1287" s="17">
        <v>22.45</v>
      </c>
      <c r="BG1287" s="11">
        <f ca="1">IFERROR(__xludf.DUMMYFUNCTION("""COMPUTED_VALUE"""),46012.1145833333)</f>
        <v>46012.114583333299</v>
      </c>
      <c r="BH1287" s="17" t="s">
        <v>105</v>
      </c>
      <c r="BI1287" s="17"/>
      <c r="BJ1287" s="15"/>
      <c r="BK1287" s="15"/>
      <c r="BL1287" s="13" t="b">
        <v>0</v>
      </c>
      <c r="BM1287" s="10"/>
      <c r="BN1287" s="10" t="s">
        <v>634</v>
      </c>
      <c r="BO1287" s="11">
        <v>45904.28402777778</v>
      </c>
      <c r="BP1287" s="11">
        <v>46007.663402777776</v>
      </c>
      <c r="BQ1287" s="15">
        <v>46006.658888888887</v>
      </c>
      <c r="BR1287" s="15">
        <v>46010.589074074072</v>
      </c>
      <c r="BS1287" s="10" t="s">
        <v>634</v>
      </c>
      <c r="BT1287" s="10" t="s">
        <v>279</v>
      </c>
      <c r="BU1287" s="10" t="s">
        <v>5046</v>
      </c>
      <c r="BV1287" s="10" t="s">
        <v>281</v>
      </c>
      <c r="BW1287" s="10" t="s">
        <v>9578</v>
      </c>
      <c r="BX1287" s="10"/>
      <c r="BY1287" s="23"/>
      <c r="BZ1287" s="23"/>
      <c r="CA1287" s="19" t="s">
        <v>10297</v>
      </c>
      <c r="CB1287" s="19" t="s">
        <v>10298</v>
      </c>
      <c r="CC1287" s="23"/>
      <c r="CD1287" s="19" t="s">
        <v>10299</v>
      </c>
      <c r="CE1287" s="23"/>
      <c r="CF1287" s="23"/>
      <c r="CG1287" s="23"/>
      <c r="CH1287" s="23"/>
      <c r="CI1287" s="23"/>
    </row>
    <row r="1288" spans="1:87" x14ac:dyDescent="0.3">
      <c r="A1288" s="9" t="s">
        <v>10300</v>
      </c>
      <c r="B1288" s="10" t="s">
        <v>10301</v>
      </c>
      <c r="C1288" s="11">
        <v>46012</v>
      </c>
      <c r="D1288" s="12">
        <v>8.3333333333333329E-2</v>
      </c>
      <c r="E1288" s="11">
        <v>46012.083333333336</v>
      </c>
      <c r="F1288" s="10" t="s">
        <v>3211</v>
      </c>
      <c r="G1288" s="13" t="b">
        <v>0</v>
      </c>
      <c r="H1288" s="10" t="s">
        <v>3212</v>
      </c>
      <c r="I1288" s="10" t="s">
        <v>10263</v>
      </c>
      <c r="J1288" s="13" t="b">
        <v>0</v>
      </c>
      <c r="K1288" s="13" t="b">
        <v>1</v>
      </c>
      <c r="L1288" s="10" t="s">
        <v>124</v>
      </c>
      <c r="M1288" s="10" t="s">
        <v>91</v>
      </c>
      <c r="N1288" s="10" t="s">
        <v>92</v>
      </c>
      <c r="O1288" s="19" t="s">
        <v>10302</v>
      </c>
      <c r="P1288" s="10" t="s">
        <v>3215</v>
      </c>
      <c r="Q1288" s="10" t="s">
        <v>126</v>
      </c>
      <c r="R1288" s="10"/>
      <c r="S1288" s="19" t="s">
        <v>10303</v>
      </c>
      <c r="T1288" s="10"/>
      <c r="U1288" s="10" t="s">
        <v>3250</v>
      </c>
      <c r="V1288" s="10" t="s">
        <v>3440</v>
      </c>
      <c r="W1288" s="10" t="s">
        <v>3219</v>
      </c>
      <c r="X1288" s="10" t="s">
        <v>130</v>
      </c>
      <c r="Y1288" s="10" t="s">
        <v>130</v>
      </c>
      <c r="Z1288" s="10" t="s">
        <v>99</v>
      </c>
      <c r="AA1288" s="10" t="s">
        <v>131</v>
      </c>
      <c r="AB1288" s="10" t="s">
        <v>3220</v>
      </c>
      <c r="AC1288" s="10" t="s">
        <v>3221</v>
      </c>
      <c r="AD1288" s="10" t="s">
        <v>10304</v>
      </c>
      <c r="AE1288" s="10" t="s">
        <v>10305</v>
      </c>
      <c r="AF1288" s="15"/>
      <c r="AG1288" s="10"/>
      <c r="AH1288" s="10"/>
      <c r="AI1288" s="10"/>
      <c r="AJ1288" s="10"/>
      <c r="AK1288" s="10" t="s">
        <v>102</v>
      </c>
      <c r="AL1288" s="10" t="s">
        <v>1876</v>
      </c>
      <c r="AM1288" s="10"/>
      <c r="AN1288" s="10"/>
      <c r="AO1288" s="13" t="b">
        <v>1</v>
      </c>
      <c r="AP1288" s="10" t="s">
        <v>104</v>
      </c>
      <c r="AQ1288" s="10">
        <f ca="1">IFERROR(__xludf.DUMMYFUNCTION("""COMPUTED_VALUE"""),4786454)</f>
        <v>4786454</v>
      </c>
      <c r="AR1288" s="17">
        <v>15392</v>
      </c>
      <c r="AS1288" s="17">
        <v>11774</v>
      </c>
      <c r="AT1288" s="17">
        <v>246794.5</v>
      </c>
      <c r="AU1288" s="17">
        <v>98</v>
      </c>
      <c r="AV1288" s="17">
        <v>9.4499999999999993</v>
      </c>
      <c r="AW1288" s="10" t="s">
        <v>105</v>
      </c>
      <c r="AX1288" s="17">
        <v>3369</v>
      </c>
      <c r="AY1288" s="18">
        <v>20.960973331068455</v>
      </c>
      <c r="AZ1288" s="10" t="s">
        <v>117</v>
      </c>
      <c r="BA1288" s="20" t="b">
        <v>0</v>
      </c>
      <c r="BB1288" s="10"/>
      <c r="BC1288" s="17">
        <v>15392</v>
      </c>
      <c r="BD1288" s="17">
        <v>11774</v>
      </c>
      <c r="BE1288" s="17">
        <v>246794.5</v>
      </c>
      <c r="BF1288" s="17">
        <v>9.4499999999999993</v>
      </c>
      <c r="BG1288" s="11">
        <f ca="1">IFERROR(__xludf.DUMMYFUNCTION("""COMPUTED_VALUE"""),46012)</f>
        <v>46012</v>
      </c>
      <c r="BH1288" s="17" t="s">
        <v>105</v>
      </c>
      <c r="BI1288" s="17"/>
      <c r="BJ1288" s="15"/>
      <c r="BK1288" s="15"/>
      <c r="BL1288" s="13" t="b">
        <v>0</v>
      </c>
      <c r="BM1288" s="10"/>
      <c r="BN1288" s="10" t="s">
        <v>634</v>
      </c>
      <c r="BO1288" s="11">
        <v>45904.28402777778</v>
      </c>
      <c r="BP1288" s="11">
        <v>46007.64984953704</v>
      </c>
      <c r="BQ1288" s="15">
        <v>46006.659016203703</v>
      </c>
      <c r="BR1288" s="15">
        <v>46010.589212962965</v>
      </c>
      <c r="BS1288" s="10" t="s">
        <v>634</v>
      </c>
      <c r="BT1288" s="10" t="s">
        <v>279</v>
      </c>
      <c r="BU1288" s="10" t="s">
        <v>5046</v>
      </c>
      <c r="BV1288" s="10"/>
      <c r="BW1288" s="10"/>
      <c r="BX1288" s="10"/>
      <c r="BY1288" s="23"/>
      <c r="BZ1288" s="23"/>
      <c r="CA1288" s="19" t="s">
        <v>10306</v>
      </c>
      <c r="CB1288" s="19" t="s">
        <v>10307</v>
      </c>
      <c r="CC1288" s="23"/>
      <c r="CD1288" s="19" t="s">
        <v>10308</v>
      </c>
      <c r="CE1288" s="23"/>
      <c r="CF1288" s="23"/>
      <c r="CG1288" s="23"/>
      <c r="CH1288" s="23"/>
      <c r="CI1288" s="23"/>
    </row>
    <row r="1289" spans="1:87" x14ac:dyDescent="0.3">
      <c r="A1289" s="9" t="s">
        <v>10309</v>
      </c>
      <c r="B1289" s="10" t="s">
        <v>10310</v>
      </c>
      <c r="C1289" s="11">
        <v>46037.020833333336</v>
      </c>
      <c r="D1289" s="12">
        <v>8.3333333333333329E-2</v>
      </c>
      <c r="E1289" s="11">
        <v>46037.104166666664</v>
      </c>
      <c r="F1289" s="10" t="s">
        <v>3211</v>
      </c>
      <c r="G1289" s="13" t="b">
        <v>0</v>
      </c>
      <c r="H1289" s="10" t="s">
        <v>3212</v>
      </c>
      <c r="I1289" s="10" t="s">
        <v>3213</v>
      </c>
      <c r="J1289" s="13" t="b">
        <v>0</v>
      </c>
      <c r="K1289" s="13" t="b">
        <v>1</v>
      </c>
      <c r="L1289" s="10" t="s">
        <v>124</v>
      </c>
      <c r="M1289" s="10" t="s">
        <v>91</v>
      </c>
      <c r="N1289" s="10" t="s">
        <v>92</v>
      </c>
      <c r="O1289" s="10"/>
      <c r="P1289" s="10"/>
      <c r="Q1289" s="10" t="s">
        <v>126</v>
      </c>
      <c r="R1289" s="10"/>
      <c r="S1289" s="10"/>
      <c r="T1289" s="10"/>
      <c r="U1289" s="10" t="s">
        <v>3318</v>
      </c>
      <c r="V1289" s="10" t="s">
        <v>3260</v>
      </c>
      <c r="W1289" s="10" t="s">
        <v>3219</v>
      </c>
      <c r="X1289" s="10" t="s">
        <v>130</v>
      </c>
      <c r="Y1289" s="10" t="s">
        <v>130</v>
      </c>
      <c r="Z1289" s="10" t="s">
        <v>99</v>
      </c>
      <c r="AA1289" s="10" t="s">
        <v>131</v>
      </c>
      <c r="AB1289" s="10" t="s">
        <v>3220</v>
      </c>
      <c r="AC1289" s="10" t="s">
        <v>3221</v>
      </c>
      <c r="AD1289" s="10" t="s">
        <v>10311</v>
      </c>
      <c r="AE1289" s="10" t="s">
        <v>10312</v>
      </c>
      <c r="AF1289" s="15"/>
      <c r="AG1289" s="10"/>
      <c r="AH1289" s="10"/>
      <c r="AI1289" s="10"/>
      <c r="AJ1289" s="10"/>
      <c r="AK1289" s="10"/>
      <c r="AL1289" s="10" t="s">
        <v>1876</v>
      </c>
      <c r="AM1289" s="10"/>
      <c r="AN1289" s="10"/>
      <c r="AO1289" s="13" t="b">
        <v>1</v>
      </c>
      <c r="AP1289" s="10" t="s">
        <v>104</v>
      </c>
      <c r="AQ1289" s="10"/>
      <c r="AR1289" s="17"/>
      <c r="AS1289" s="17"/>
      <c r="AT1289" s="17"/>
      <c r="AU1289" s="17"/>
      <c r="AV1289" s="17"/>
      <c r="AW1289" s="10"/>
      <c r="AX1289" s="17"/>
      <c r="AY1289" s="18" t="s">
        <v>257</v>
      </c>
      <c r="AZ1289" s="10"/>
      <c r="BA1289" s="20" t="b">
        <v>0</v>
      </c>
      <c r="BB1289" s="10"/>
      <c r="BC1289" s="17" t="s">
        <v>257</v>
      </c>
      <c r="BD1289" s="17" t="s">
        <v>257</v>
      </c>
      <c r="BE1289" s="17" t="s">
        <v>257</v>
      </c>
      <c r="BF1289" s="17" t="s">
        <v>257</v>
      </c>
      <c r="BG1289" s="11">
        <f ca="1">IFERROR(__xludf.DUMMYFUNCTION("""COMPUTED_VALUE"""),46037.0208333333)</f>
        <v>46037.020833333299</v>
      </c>
      <c r="BH1289" s="17"/>
      <c r="BI1289" s="17"/>
      <c r="BJ1289" s="15"/>
      <c r="BK1289" s="15"/>
      <c r="BL1289" s="13" t="b">
        <v>0</v>
      </c>
      <c r="BM1289" s="10"/>
      <c r="BN1289" s="10" t="s">
        <v>241</v>
      </c>
      <c r="BO1289" s="11">
        <v>45904.284594907411</v>
      </c>
      <c r="BP1289" s="11">
        <v>45988.627962962964</v>
      </c>
      <c r="BQ1289" s="15"/>
      <c r="BR1289" s="15"/>
      <c r="BS1289" s="10"/>
      <c r="BT1289" s="10" t="s">
        <v>99</v>
      </c>
      <c r="BU1289" s="10"/>
      <c r="BV1289" s="10"/>
      <c r="BW1289" s="10"/>
      <c r="BX1289" s="10"/>
      <c r="BY1289" s="23"/>
      <c r="BZ1289" s="23"/>
      <c r="CA1289" s="23"/>
      <c r="CB1289" s="23"/>
      <c r="CC1289" s="23"/>
      <c r="CD1289" s="23"/>
      <c r="CE1289" s="23"/>
      <c r="CF1289" s="23"/>
      <c r="CG1289" s="23"/>
      <c r="CH1289" s="23"/>
      <c r="CI1289" s="23"/>
    </row>
    <row r="1290" spans="1:87" x14ac:dyDescent="0.3">
      <c r="A1290" s="9" t="s">
        <v>10313</v>
      </c>
      <c r="B1290" s="10" t="s">
        <v>10314</v>
      </c>
      <c r="C1290" s="11">
        <v>46012.875</v>
      </c>
      <c r="D1290" s="12">
        <v>8.3333333333333329E-2</v>
      </c>
      <c r="E1290" s="11">
        <v>46012.958333333336</v>
      </c>
      <c r="F1290" s="10" t="s">
        <v>3211</v>
      </c>
      <c r="G1290" s="13" t="b">
        <v>0</v>
      </c>
      <c r="H1290" s="10" t="s">
        <v>3212</v>
      </c>
      <c r="I1290" s="10" t="s">
        <v>10263</v>
      </c>
      <c r="J1290" s="13" t="b">
        <v>0</v>
      </c>
      <c r="K1290" s="13" t="b">
        <v>1</v>
      </c>
      <c r="L1290" s="10" t="s">
        <v>124</v>
      </c>
      <c r="M1290" s="10" t="s">
        <v>91</v>
      </c>
      <c r="N1290" s="10" t="s">
        <v>92</v>
      </c>
      <c r="O1290" s="19" t="s">
        <v>10315</v>
      </c>
      <c r="P1290" s="10" t="s">
        <v>3215</v>
      </c>
      <c r="Q1290" s="10" t="s">
        <v>126</v>
      </c>
      <c r="R1290" s="10"/>
      <c r="S1290" s="19" t="s">
        <v>10316</v>
      </c>
      <c r="T1290" s="10"/>
      <c r="U1290" s="10" t="s">
        <v>3429</v>
      </c>
      <c r="V1290" s="10" t="s">
        <v>3279</v>
      </c>
      <c r="W1290" s="10" t="s">
        <v>3219</v>
      </c>
      <c r="X1290" s="10" t="s">
        <v>130</v>
      </c>
      <c r="Y1290" s="10" t="s">
        <v>130</v>
      </c>
      <c r="Z1290" s="10" t="s">
        <v>99</v>
      </c>
      <c r="AA1290" s="10" t="s">
        <v>131</v>
      </c>
      <c r="AB1290" s="10" t="s">
        <v>3220</v>
      </c>
      <c r="AC1290" s="10" t="s">
        <v>3221</v>
      </c>
      <c r="AD1290" s="10" t="s">
        <v>10317</v>
      </c>
      <c r="AE1290" s="10" t="s">
        <v>10318</v>
      </c>
      <c r="AF1290" s="15"/>
      <c r="AG1290" s="10"/>
      <c r="AH1290" s="10"/>
      <c r="AI1290" s="10"/>
      <c r="AJ1290" s="10"/>
      <c r="AK1290" s="10" t="s">
        <v>102</v>
      </c>
      <c r="AL1290" s="10" t="s">
        <v>1876</v>
      </c>
      <c r="AM1290" s="10"/>
      <c r="AN1290" s="10"/>
      <c r="AO1290" s="13" t="b">
        <v>1</v>
      </c>
      <c r="AP1290" s="10" t="s">
        <v>104</v>
      </c>
      <c r="AQ1290" s="10">
        <f ca="1">IFERROR(__xludf.DUMMYFUNCTION("""COMPUTED_VALUE"""),4786456)</f>
        <v>4786456</v>
      </c>
      <c r="AR1290" s="17">
        <v>61239</v>
      </c>
      <c r="AS1290" s="17">
        <v>45601</v>
      </c>
      <c r="AT1290" s="17">
        <v>935062.5</v>
      </c>
      <c r="AU1290" s="17">
        <v>487.35</v>
      </c>
      <c r="AV1290" s="17">
        <v>69.849999999999994</v>
      </c>
      <c r="AW1290" s="10" t="s">
        <v>105</v>
      </c>
      <c r="AX1290" s="17">
        <v>11598</v>
      </c>
      <c r="AY1290" s="18">
        <v>20.505306901164449</v>
      </c>
      <c r="AZ1290" s="10" t="s">
        <v>117</v>
      </c>
      <c r="BA1290" s="20" t="b">
        <v>0</v>
      </c>
      <c r="BB1290" s="10"/>
      <c r="BC1290" s="17">
        <v>61239</v>
      </c>
      <c r="BD1290" s="17">
        <v>45601</v>
      </c>
      <c r="BE1290" s="17">
        <v>935062.5</v>
      </c>
      <c r="BF1290" s="17">
        <v>69.849999999999994</v>
      </c>
      <c r="BG1290" s="11">
        <f ca="1">IFERROR(__xludf.DUMMYFUNCTION("""COMPUTED_VALUE"""),46012.875)</f>
        <v>46012.875</v>
      </c>
      <c r="BH1290" s="17" t="s">
        <v>105</v>
      </c>
      <c r="BI1290" s="17"/>
      <c r="BJ1290" s="15"/>
      <c r="BK1290" s="15"/>
      <c r="BL1290" s="13" t="b">
        <v>0</v>
      </c>
      <c r="BM1290" s="10"/>
      <c r="BN1290" s="10" t="s">
        <v>667</v>
      </c>
      <c r="BO1290" s="11">
        <v>45904.28402777778</v>
      </c>
      <c r="BP1290" s="11">
        <v>46007.663576388892</v>
      </c>
      <c r="BQ1290" s="15">
        <v>46006.659131944441</v>
      </c>
      <c r="BR1290" s="15">
        <v>46010.588865740741</v>
      </c>
      <c r="BS1290" s="10" t="s">
        <v>667</v>
      </c>
      <c r="BT1290" s="10" t="s">
        <v>279</v>
      </c>
      <c r="BU1290" s="10" t="s">
        <v>280</v>
      </c>
      <c r="BV1290" s="10" t="s">
        <v>124</v>
      </c>
      <c r="BW1290" s="10" t="s">
        <v>9494</v>
      </c>
      <c r="BX1290" s="10"/>
      <c r="BY1290" s="23"/>
      <c r="BZ1290" s="23"/>
      <c r="CA1290" s="19" t="s">
        <v>10319</v>
      </c>
      <c r="CB1290" s="19" t="s">
        <v>10320</v>
      </c>
      <c r="CC1290" s="23"/>
      <c r="CD1290" s="19" t="s">
        <v>10321</v>
      </c>
      <c r="CE1290" s="23"/>
      <c r="CF1290" s="23"/>
      <c r="CG1290" s="23"/>
      <c r="CH1290" s="23"/>
      <c r="CI1290" s="23"/>
    </row>
    <row r="1291" spans="1:87" x14ac:dyDescent="0.3">
      <c r="A1291" s="9" t="s">
        <v>10322</v>
      </c>
      <c r="B1291" s="10" t="s">
        <v>10323</v>
      </c>
      <c r="C1291" s="11">
        <v>46038.020833333336</v>
      </c>
      <c r="D1291" s="12">
        <v>8.3333333333333329E-2</v>
      </c>
      <c r="E1291" s="11">
        <v>46038.104166666664</v>
      </c>
      <c r="F1291" s="10" t="s">
        <v>3211</v>
      </c>
      <c r="G1291" s="13" t="b">
        <v>0</v>
      </c>
      <c r="H1291" s="10" t="s">
        <v>3212</v>
      </c>
      <c r="I1291" s="10" t="s">
        <v>3213</v>
      </c>
      <c r="J1291" s="13" t="b">
        <v>0</v>
      </c>
      <c r="K1291" s="13" t="b">
        <v>1</v>
      </c>
      <c r="L1291" s="10" t="s">
        <v>124</v>
      </c>
      <c r="M1291" s="10" t="s">
        <v>91</v>
      </c>
      <c r="N1291" s="10" t="s">
        <v>92</v>
      </c>
      <c r="O1291" s="10"/>
      <c r="P1291" s="10"/>
      <c r="Q1291" s="10" t="s">
        <v>94</v>
      </c>
      <c r="R1291" s="10"/>
      <c r="S1291" s="10"/>
      <c r="T1291" s="10"/>
      <c r="U1291" s="10" t="s">
        <v>3270</v>
      </c>
      <c r="V1291" s="10" t="s">
        <v>3230</v>
      </c>
      <c r="W1291" s="10" t="s">
        <v>3219</v>
      </c>
      <c r="X1291" s="10" t="s">
        <v>130</v>
      </c>
      <c r="Y1291" s="10" t="s">
        <v>130</v>
      </c>
      <c r="Z1291" s="10" t="s">
        <v>99</v>
      </c>
      <c r="AA1291" s="10" t="s">
        <v>131</v>
      </c>
      <c r="AB1291" s="10" t="s">
        <v>3220</v>
      </c>
      <c r="AC1291" s="10" t="s">
        <v>3221</v>
      </c>
      <c r="AD1291" s="10" t="s">
        <v>10324</v>
      </c>
      <c r="AE1291" s="10" t="s">
        <v>10325</v>
      </c>
      <c r="AF1291" s="15"/>
      <c r="AG1291" s="10"/>
      <c r="AH1291" s="10"/>
      <c r="AI1291" s="10"/>
      <c r="AJ1291" s="10"/>
      <c r="AK1291" s="10"/>
      <c r="AL1291" s="10" t="s">
        <v>1876</v>
      </c>
      <c r="AM1291" s="10"/>
      <c r="AN1291" s="10"/>
      <c r="AO1291" s="13" t="b">
        <v>0</v>
      </c>
      <c r="AP1291" s="10" t="s">
        <v>104</v>
      </c>
      <c r="AQ1291" s="10"/>
      <c r="AR1291" s="17"/>
      <c r="AS1291" s="17"/>
      <c r="AT1291" s="17"/>
      <c r="AU1291" s="17"/>
      <c r="AV1291" s="17"/>
      <c r="AW1291" s="10"/>
      <c r="AX1291" s="17"/>
      <c r="AY1291" s="18" t="s">
        <v>257</v>
      </c>
      <c r="AZ1291" s="10"/>
      <c r="BA1291" s="20" t="b">
        <v>0</v>
      </c>
      <c r="BB1291" s="10"/>
      <c r="BC1291" s="17" t="s">
        <v>257</v>
      </c>
      <c r="BD1291" s="17" t="s">
        <v>257</v>
      </c>
      <c r="BE1291" s="17" t="s">
        <v>257</v>
      </c>
      <c r="BF1291" s="17" t="s">
        <v>257</v>
      </c>
      <c r="BG1291" s="11">
        <f ca="1">IFERROR(__xludf.DUMMYFUNCTION("""COMPUTED_VALUE"""),46038.0208333333)</f>
        <v>46038.020833333299</v>
      </c>
      <c r="BH1291" s="17"/>
      <c r="BI1291" s="17"/>
      <c r="BJ1291" s="15"/>
      <c r="BK1291" s="15"/>
      <c r="BL1291" s="13" t="b">
        <v>0</v>
      </c>
      <c r="BM1291" s="10"/>
      <c r="BN1291" s="10" t="s">
        <v>241</v>
      </c>
      <c r="BO1291" s="11">
        <v>45904.284594907411</v>
      </c>
      <c r="BP1291" s="11">
        <v>45988.628310185188</v>
      </c>
      <c r="BQ1291" s="15"/>
      <c r="BR1291" s="15"/>
      <c r="BS1291" s="10"/>
      <c r="BT1291" s="10" t="s">
        <v>99</v>
      </c>
      <c r="BU1291" s="10"/>
      <c r="BV1291" s="10"/>
      <c r="BW1291" s="10"/>
      <c r="BX1291" s="10"/>
      <c r="BY1291" s="23"/>
      <c r="BZ1291" s="23"/>
      <c r="CA1291" s="23"/>
      <c r="CB1291" s="23"/>
      <c r="CC1291" s="23"/>
      <c r="CD1291" s="23"/>
      <c r="CE1291" s="23"/>
      <c r="CF1291" s="23"/>
      <c r="CG1291" s="23"/>
      <c r="CH1291" s="23"/>
      <c r="CI1291" s="23"/>
    </row>
    <row r="1292" spans="1:87" x14ac:dyDescent="0.3">
      <c r="A1292" s="9" t="s">
        <v>10326</v>
      </c>
      <c r="B1292" s="10" t="s">
        <v>10327</v>
      </c>
      <c r="C1292" s="11">
        <v>46020.114583333336</v>
      </c>
      <c r="D1292" s="12">
        <v>8.3333333333333329E-2</v>
      </c>
      <c r="E1292" s="11">
        <v>46020.197916666664</v>
      </c>
      <c r="F1292" s="10" t="s">
        <v>3211</v>
      </c>
      <c r="G1292" s="13" t="b">
        <v>0</v>
      </c>
      <c r="H1292" s="10" t="s">
        <v>3212</v>
      </c>
      <c r="I1292" s="10" t="s">
        <v>10263</v>
      </c>
      <c r="J1292" s="13" t="b">
        <v>0</v>
      </c>
      <c r="K1292" s="13" t="b">
        <v>1</v>
      </c>
      <c r="L1292" s="10" t="s">
        <v>124</v>
      </c>
      <c r="M1292" s="10" t="s">
        <v>91</v>
      </c>
      <c r="N1292" s="10" t="s">
        <v>92</v>
      </c>
      <c r="O1292" s="19" t="s">
        <v>10328</v>
      </c>
      <c r="P1292" s="10" t="s">
        <v>3215</v>
      </c>
      <c r="Q1292" s="10" t="s">
        <v>126</v>
      </c>
      <c r="R1292" s="10"/>
      <c r="S1292" s="19" t="s">
        <v>10329</v>
      </c>
      <c r="T1292" s="10"/>
      <c r="U1292" s="10" t="s">
        <v>3308</v>
      </c>
      <c r="V1292" s="10" t="s">
        <v>3278</v>
      </c>
      <c r="W1292" s="10" t="s">
        <v>3219</v>
      </c>
      <c r="X1292" s="10" t="s">
        <v>130</v>
      </c>
      <c r="Y1292" s="10" t="s">
        <v>130</v>
      </c>
      <c r="Z1292" s="10" t="s">
        <v>99</v>
      </c>
      <c r="AA1292" s="10" t="s">
        <v>131</v>
      </c>
      <c r="AB1292" s="10" t="s">
        <v>3220</v>
      </c>
      <c r="AC1292" s="10" t="s">
        <v>3221</v>
      </c>
      <c r="AD1292" s="10" t="s">
        <v>10330</v>
      </c>
      <c r="AE1292" s="10" t="s">
        <v>10331</v>
      </c>
      <c r="AF1292" s="15"/>
      <c r="AG1292" s="10"/>
      <c r="AH1292" s="10"/>
      <c r="AI1292" s="10"/>
      <c r="AJ1292" s="10"/>
      <c r="AK1292" s="10" t="s">
        <v>102</v>
      </c>
      <c r="AL1292" s="10" t="s">
        <v>1988</v>
      </c>
      <c r="AM1292" s="10"/>
      <c r="AN1292" s="10"/>
      <c r="AO1292" s="13" t="b">
        <v>1</v>
      </c>
      <c r="AP1292" s="10" t="s">
        <v>104</v>
      </c>
      <c r="AQ1292" s="10">
        <f ca="1">IFERROR(__xludf.DUMMYFUNCTION("""COMPUTED_VALUE"""),4793942)</f>
        <v>4793942</v>
      </c>
      <c r="AR1292" s="17">
        <v>27636</v>
      </c>
      <c r="AS1292" s="17">
        <v>19086</v>
      </c>
      <c r="AT1292" s="17">
        <v>741069.25</v>
      </c>
      <c r="AU1292" s="17">
        <v>226.85</v>
      </c>
      <c r="AV1292" s="17">
        <v>12.05</v>
      </c>
      <c r="AW1292" s="10" t="s">
        <v>105</v>
      </c>
      <c r="AX1292" s="17">
        <v>9626</v>
      </c>
      <c r="AY1292" s="18">
        <v>38.827897411715391</v>
      </c>
      <c r="AZ1292" s="10" t="s">
        <v>117</v>
      </c>
      <c r="BA1292" s="20" t="b">
        <v>0</v>
      </c>
      <c r="BB1292" s="10"/>
      <c r="BC1292" s="17">
        <v>27636</v>
      </c>
      <c r="BD1292" s="17">
        <v>19086</v>
      </c>
      <c r="BE1292" s="17">
        <v>741069.25</v>
      </c>
      <c r="BF1292" s="17">
        <v>12.05</v>
      </c>
      <c r="BG1292" s="11">
        <f ca="1">IFERROR(__xludf.DUMMYFUNCTION("""COMPUTED_VALUE"""),46020.1145833333)</f>
        <v>46020.114583333299</v>
      </c>
      <c r="BH1292" s="17" t="s">
        <v>105</v>
      </c>
      <c r="BI1292" s="17"/>
      <c r="BJ1292" s="15"/>
      <c r="BK1292" s="15"/>
      <c r="BL1292" s="13" t="b">
        <v>0</v>
      </c>
      <c r="BM1292" s="10"/>
      <c r="BN1292" s="10" t="s">
        <v>667</v>
      </c>
      <c r="BO1292" s="11">
        <v>45904.28402777778</v>
      </c>
      <c r="BP1292" s="11">
        <v>46014.59034722222</v>
      </c>
      <c r="BQ1292" s="15">
        <v>46013.845219907409</v>
      </c>
      <c r="BR1292" s="15">
        <v>46015.599490740744</v>
      </c>
      <c r="BS1292" s="10" t="s">
        <v>667</v>
      </c>
      <c r="BT1292" s="10" t="s">
        <v>279</v>
      </c>
      <c r="BU1292" s="10" t="s">
        <v>498</v>
      </c>
      <c r="BV1292" s="10"/>
      <c r="BW1292" s="10"/>
      <c r="BX1292" s="10"/>
      <c r="BY1292" s="23"/>
      <c r="BZ1292" s="23"/>
      <c r="CA1292" s="19" t="s">
        <v>10332</v>
      </c>
      <c r="CB1292" s="19" t="s">
        <v>10333</v>
      </c>
      <c r="CC1292" s="23"/>
      <c r="CD1292" s="23"/>
      <c r="CE1292" s="23"/>
      <c r="CF1292" s="23"/>
      <c r="CG1292" s="23"/>
      <c r="CH1292" s="23"/>
      <c r="CI1292" s="23"/>
    </row>
    <row r="1293" spans="1:87" x14ac:dyDescent="0.3">
      <c r="A1293" s="9" t="s">
        <v>10334</v>
      </c>
      <c r="B1293" s="10" t="s">
        <v>10335</v>
      </c>
      <c r="C1293" s="11">
        <v>46020</v>
      </c>
      <c r="D1293" s="12">
        <v>8.3333333333333329E-2</v>
      </c>
      <c r="E1293" s="11">
        <v>46020.083333333336</v>
      </c>
      <c r="F1293" s="10" t="s">
        <v>3211</v>
      </c>
      <c r="G1293" s="13" t="b">
        <v>0</v>
      </c>
      <c r="H1293" s="10" t="s">
        <v>3212</v>
      </c>
      <c r="I1293" s="10" t="s">
        <v>3213</v>
      </c>
      <c r="J1293" s="13" t="b">
        <v>0</v>
      </c>
      <c r="K1293" s="13" t="b">
        <v>1</v>
      </c>
      <c r="L1293" s="10" t="s">
        <v>124</v>
      </c>
      <c r="M1293" s="10" t="s">
        <v>91</v>
      </c>
      <c r="N1293" s="10" t="s">
        <v>92</v>
      </c>
      <c r="O1293" s="19" t="s">
        <v>10336</v>
      </c>
      <c r="P1293" s="10" t="s">
        <v>3215</v>
      </c>
      <c r="Q1293" s="10" t="s">
        <v>126</v>
      </c>
      <c r="R1293" s="10"/>
      <c r="S1293" s="19" t="s">
        <v>10337</v>
      </c>
      <c r="T1293" s="10"/>
      <c r="U1293" s="10" t="s">
        <v>3230</v>
      </c>
      <c r="V1293" s="10" t="s">
        <v>3429</v>
      </c>
      <c r="W1293" s="10" t="s">
        <v>3219</v>
      </c>
      <c r="X1293" s="10" t="s">
        <v>130</v>
      </c>
      <c r="Y1293" s="10" t="s">
        <v>130</v>
      </c>
      <c r="Z1293" s="10" t="s">
        <v>99</v>
      </c>
      <c r="AA1293" s="10" t="s">
        <v>131</v>
      </c>
      <c r="AB1293" s="10" t="s">
        <v>3220</v>
      </c>
      <c r="AC1293" s="10" t="s">
        <v>3221</v>
      </c>
      <c r="AD1293" s="10" t="s">
        <v>10338</v>
      </c>
      <c r="AE1293" s="10" t="s">
        <v>10339</v>
      </c>
      <c r="AF1293" s="15"/>
      <c r="AG1293" s="10"/>
      <c r="AH1293" s="10"/>
      <c r="AI1293" s="10"/>
      <c r="AJ1293" s="10"/>
      <c r="AK1293" s="10" t="s">
        <v>102</v>
      </c>
      <c r="AL1293" s="10" t="s">
        <v>1988</v>
      </c>
      <c r="AM1293" s="10"/>
      <c r="AN1293" s="10"/>
      <c r="AO1293" s="13" t="b">
        <v>1</v>
      </c>
      <c r="AP1293" s="10" t="s">
        <v>104</v>
      </c>
      <c r="AQ1293" s="10">
        <f ca="1">IFERROR(__xludf.DUMMYFUNCTION("""COMPUTED_VALUE"""),4790702)</f>
        <v>4790702</v>
      </c>
      <c r="AR1293" s="17">
        <v>20683</v>
      </c>
      <c r="AS1293" s="17">
        <v>15788</v>
      </c>
      <c r="AT1293" s="17">
        <v>454036.5</v>
      </c>
      <c r="AU1293" s="17">
        <v>141.69999999999999</v>
      </c>
      <c r="AV1293" s="17">
        <v>12.65</v>
      </c>
      <c r="AW1293" s="10" t="s">
        <v>105</v>
      </c>
      <c r="AX1293" s="17">
        <v>4812</v>
      </c>
      <c r="AY1293" s="18">
        <v>28.758329110717</v>
      </c>
      <c r="AZ1293" s="10" t="s">
        <v>117</v>
      </c>
      <c r="BA1293" s="20" t="b">
        <v>0</v>
      </c>
      <c r="BB1293" s="10"/>
      <c r="BC1293" s="17">
        <v>20683</v>
      </c>
      <c r="BD1293" s="17">
        <v>15788</v>
      </c>
      <c r="BE1293" s="17">
        <v>454036.5</v>
      </c>
      <c r="BF1293" s="17">
        <v>12.65</v>
      </c>
      <c r="BG1293" s="11">
        <f ca="1">IFERROR(__xludf.DUMMYFUNCTION("""COMPUTED_VALUE"""),46020)</f>
        <v>46020</v>
      </c>
      <c r="BH1293" s="17" t="s">
        <v>105</v>
      </c>
      <c r="BI1293" s="17"/>
      <c r="BJ1293" s="15"/>
      <c r="BK1293" s="15"/>
      <c r="BL1293" s="13" t="b">
        <v>0</v>
      </c>
      <c r="BM1293" s="10"/>
      <c r="BN1293" s="10" t="s">
        <v>667</v>
      </c>
      <c r="BO1293" s="11">
        <v>45904.28402777778</v>
      </c>
      <c r="BP1293" s="11">
        <v>45964.65185185185</v>
      </c>
      <c r="BQ1293" s="15">
        <v>46013.845335648148</v>
      </c>
      <c r="BR1293" s="15">
        <v>46013.341967592591</v>
      </c>
      <c r="BS1293" s="10" t="s">
        <v>667</v>
      </c>
      <c r="BT1293" s="10" t="s">
        <v>279</v>
      </c>
      <c r="BU1293" s="10" t="s">
        <v>718</v>
      </c>
      <c r="BV1293" s="10"/>
      <c r="BW1293" s="10"/>
      <c r="BX1293" s="10"/>
      <c r="BY1293" s="23"/>
      <c r="BZ1293" s="23"/>
      <c r="CA1293" s="19" t="s">
        <v>10340</v>
      </c>
      <c r="CB1293" s="19" t="s">
        <v>10341</v>
      </c>
      <c r="CC1293" s="23"/>
      <c r="CD1293" s="19" t="s">
        <v>10342</v>
      </c>
      <c r="CE1293" s="23"/>
      <c r="CF1293" s="23"/>
      <c r="CG1293" s="23"/>
      <c r="CH1293" s="23"/>
      <c r="CI1293" s="23"/>
    </row>
    <row r="1294" spans="1:87" x14ac:dyDescent="0.3">
      <c r="A1294" s="9" t="s">
        <v>10343</v>
      </c>
      <c r="B1294" s="10" t="s">
        <v>10344</v>
      </c>
      <c r="C1294" s="11">
        <v>46019.875</v>
      </c>
      <c r="D1294" s="12">
        <v>8.3333333333333329E-2</v>
      </c>
      <c r="E1294" s="11">
        <v>46019.958333333336</v>
      </c>
      <c r="F1294" s="10" t="s">
        <v>3211</v>
      </c>
      <c r="G1294" s="13" t="b">
        <v>0</v>
      </c>
      <c r="H1294" s="10" t="s">
        <v>3212</v>
      </c>
      <c r="I1294" s="10" t="s">
        <v>10263</v>
      </c>
      <c r="J1294" s="13" t="b">
        <v>0</v>
      </c>
      <c r="K1294" s="13" t="b">
        <v>1</v>
      </c>
      <c r="L1294" s="10" t="s">
        <v>124</v>
      </c>
      <c r="M1294" s="10" t="s">
        <v>91</v>
      </c>
      <c r="N1294" s="10" t="s">
        <v>92</v>
      </c>
      <c r="O1294" s="19" t="s">
        <v>10345</v>
      </c>
      <c r="P1294" s="10" t="s">
        <v>3215</v>
      </c>
      <c r="Q1294" s="10" t="s">
        <v>126</v>
      </c>
      <c r="R1294" s="10"/>
      <c r="S1294" s="19" t="s">
        <v>10346</v>
      </c>
      <c r="T1294" s="10"/>
      <c r="U1294" s="10" t="s">
        <v>3440</v>
      </c>
      <c r="V1294" s="10" t="s">
        <v>3318</v>
      </c>
      <c r="W1294" s="10" t="s">
        <v>3219</v>
      </c>
      <c r="X1294" s="10" t="s">
        <v>130</v>
      </c>
      <c r="Y1294" s="10" t="s">
        <v>130</v>
      </c>
      <c r="Z1294" s="10" t="s">
        <v>99</v>
      </c>
      <c r="AA1294" s="10" t="s">
        <v>131</v>
      </c>
      <c r="AB1294" s="10" t="s">
        <v>3220</v>
      </c>
      <c r="AC1294" s="10" t="s">
        <v>3221</v>
      </c>
      <c r="AD1294" s="10" t="s">
        <v>10347</v>
      </c>
      <c r="AE1294" s="10" t="s">
        <v>10348</v>
      </c>
      <c r="AF1294" s="15"/>
      <c r="AG1294" s="10"/>
      <c r="AH1294" s="10"/>
      <c r="AI1294" s="10"/>
      <c r="AJ1294" s="10"/>
      <c r="AK1294" s="10" t="s">
        <v>102</v>
      </c>
      <c r="AL1294" s="10" t="s">
        <v>1988</v>
      </c>
      <c r="AM1294" s="10"/>
      <c r="AN1294" s="10"/>
      <c r="AO1294" s="13" t="b">
        <v>1</v>
      </c>
      <c r="AP1294" s="10" t="s">
        <v>104</v>
      </c>
      <c r="AQ1294" s="10">
        <f ca="1">IFERROR(__xludf.DUMMYFUNCTION("""COMPUTED_VALUE"""),4793940)</f>
        <v>4793940</v>
      </c>
      <c r="AR1294" s="17">
        <v>57274</v>
      </c>
      <c r="AS1294" s="17">
        <v>43101</v>
      </c>
      <c r="AT1294" s="17">
        <v>671480.25</v>
      </c>
      <c r="AU1294" s="17">
        <v>319.95</v>
      </c>
      <c r="AV1294" s="17">
        <v>39.75</v>
      </c>
      <c r="AW1294" s="10" t="s">
        <v>105</v>
      </c>
      <c r="AX1294" s="17">
        <v>9493</v>
      </c>
      <c r="AY1294" s="18">
        <v>15.579226700076564</v>
      </c>
      <c r="AZ1294" s="10" t="s">
        <v>117</v>
      </c>
      <c r="BA1294" s="20" t="b">
        <v>0</v>
      </c>
      <c r="BB1294" s="10"/>
      <c r="BC1294" s="17">
        <v>57274</v>
      </c>
      <c r="BD1294" s="17">
        <v>43101</v>
      </c>
      <c r="BE1294" s="17">
        <v>671480.25</v>
      </c>
      <c r="BF1294" s="17">
        <v>39.75</v>
      </c>
      <c r="BG1294" s="11">
        <f ca="1">IFERROR(__xludf.DUMMYFUNCTION("""COMPUTED_VALUE"""),46019.875)</f>
        <v>46019.875</v>
      </c>
      <c r="BH1294" s="17" t="s">
        <v>105</v>
      </c>
      <c r="BI1294" s="17"/>
      <c r="BJ1294" s="15"/>
      <c r="BK1294" s="15"/>
      <c r="BL1294" s="13" t="b">
        <v>0</v>
      </c>
      <c r="BM1294" s="10"/>
      <c r="BN1294" s="10" t="s">
        <v>278</v>
      </c>
      <c r="BO1294" s="11">
        <v>45904.28402777778</v>
      </c>
      <c r="BP1294" s="11">
        <v>46014.590092592596</v>
      </c>
      <c r="BQ1294" s="15">
        <v>46013.845000000001</v>
      </c>
      <c r="BR1294" s="15">
        <v>46015.599374999998</v>
      </c>
      <c r="BS1294" s="10" t="s">
        <v>278</v>
      </c>
      <c r="BT1294" s="10" t="s">
        <v>279</v>
      </c>
      <c r="BU1294" s="10" t="s">
        <v>718</v>
      </c>
      <c r="BV1294" s="10" t="s">
        <v>124</v>
      </c>
      <c r="BW1294" s="10"/>
      <c r="BX1294" s="10"/>
      <c r="BY1294" s="23"/>
      <c r="BZ1294" s="23"/>
      <c r="CA1294" s="19" t="s">
        <v>10349</v>
      </c>
      <c r="CB1294" s="19" t="s">
        <v>10350</v>
      </c>
      <c r="CC1294" s="23"/>
      <c r="CD1294" s="19" t="s">
        <v>10351</v>
      </c>
      <c r="CE1294" s="23"/>
      <c r="CF1294" s="23"/>
      <c r="CG1294" s="23"/>
      <c r="CH1294" s="23"/>
      <c r="CI1294" s="23"/>
    </row>
    <row r="1295" spans="1:87" x14ac:dyDescent="0.3">
      <c r="A1295" s="9" t="s">
        <v>10352</v>
      </c>
      <c r="B1295" s="10" t="s">
        <v>10353</v>
      </c>
      <c r="C1295" s="11">
        <v>46018.875</v>
      </c>
      <c r="D1295" s="12">
        <v>8.3333333333333329E-2</v>
      </c>
      <c r="E1295" s="11">
        <v>46018.958333333336</v>
      </c>
      <c r="F1295" s="10" t="s">
        <v>3211</v>
      </c>
      <c r="G1295" s="13" t="b">
        <v>0</v>
      </c>
      <c r="H1295" s="10" t="s">
        <v>3212</v>
      </c>
      <c r="I1295" s="10" t="s">
        <v>3213</v>
      </c>
      <c r="J1295" s="13" t="b">
        <v>0</v>
      </c>
      <c r="K1295" s="13" t="b">
        <v>1</v>
      </c>
      <c r="L1295" s="10" t="s">
        <v>124</v>
      </c>
      <c r="M1295" s="10" t="s">
        <v>91</v>
      </c>
      <c r="N1295" s="10" t="s">
        <v>92</v>
      </c>
      <c r="O1295" s="19" t="s">
        <v>10354</v>
      </c>
      <c r="P1295" s="10" t="s">
        <v>3215</v>
      </c>
      <c r="Q1295" s="10" t="s">
        <v>94</v>
      </c>
      <c r="R1295" s="10"/>
      <c r="S1295" s="10"/>
      <c r="T1295" s="10"/>
      <c r="U1295" s="10" t="s">
        <v>3218</v>
      </c>
      <c r="V1295" s="10" t="s">
        <v>3249</v>
      </c>
      <c r="W1295" s="10" t="s">
        <v>3219</v>
      </c>
      <c r="X1295" s="10" t="s">
        <v>130</v>
      </c>
      <c r="Y1295" s="10" t="s">
        <v>130</v>
      </c>
      <c r="Z1295" s="10" t="s">
        <v>99</v>
      </c>
      <c r="AA1295" s="10" t="s">
        <v>131</v>
      </c>
      <c r="AB1295" s="10" t="s">
        <v>3220</v>
      </c>
      <c r="AC1295" s="10" t="s">
        <v>3221</v>
      </c>
      <c r="AD1295" s="10" t="s">
        <v>10355</v>
      </c>
      <c r="AE1295" s="10" t="s">
        <v>10356</v>
      </c>
      <c r="AF1295" s="15"/>
      <c r="AG1295" s="10"/>
      <c r="AH1295" s="10"/>
      <c r="AI1295" s="10"/>
      <c r="AJ1295" s="10"/>
      <c r="AK1295" s="10" t="s">
        <v>102</v>
      </c>
      <c r="AL1295" s="10" t="s">
        <v>1988</v>
      </c>
      <c r="AM1295" s="10"/>
      <c r="AN1295" s="10"/>
      <c r="AO1295" s="13" t="b">
        <v>0</v>
      </c>
      <c r="AP1295" s="10" t="s">
        <v>104</v>
      </c>
      <c r="AQ1295" s="10">
        <f ca="1">IFERROR(__xludf.DUMMYFUNCTION("""COMPUTED_VALUE"""),4790692)</f>
        <v>4790692</v>
      </c>
      <c r="AR1295" s="17">
        <v>24509</v>
      </c>
      <c r="AS1295" s="17">
        <v>19008</v>
      </c>
      <c r="AT1295" s="17">
        <v>271829.5</v>
      </c>
      <c r="AU1295" s="17">
        <v>176.2</v>
      </c>
      <c r="AV1295" s="17">
        <v>21.95</v>
      </c>
      <c r="AW1295" s="10" t="s">
        <v>105</v>
      </c>
      <c r="AX1295" s="17">
        <v>5399</v>
      </c>
      <c r="AY1295" s="18">
        <v>14.300794402356903</v>
      </c>
      <c r="AZ1295" s="10"/>
      <c r="BA1295" s="20" t="b">
        <v>0</v>
      </c>
      <c r="BB1295" s="10"/>
      <c r="BC1295" s="17">
        <v>24509</v>
      </c>
      <c r="BD1295" s="17">
        <v>19008</v>
      </c>
      <c r="BE1295" s="17">
        <v>271829.5</v>
      </c>
      <c r="BF1295" s="17">
        <v>21.95</v>
      </c>
      <c r="BG1295" s="11">
        <f ca="1">IFERROR(__xludf.DUMMYFUNCTION("""COMPUTED_VALUE"""),46018.875)</f>
        <v>46018.875</v>
      </c>
      <c r="BH1295" s="17" t="s">
        <v>105</v>
      </c>
      <c r="BI1295" s="17"/>
      <c r="BJ1295" s="15"/>
      <c r="BK1295" s="15"/>
      <c r="BL1295" s="13" t="b">
        <v>0</v>
      </c>
      <c r="BM1295" s="10"/>
      <c r="BN1295" s="10" t="s">
        <v>157</v>
      </c>
      <c r="BO1295" s="11">
        <v>45904.28402777778</v>
      </c>
      <c r="BP1295" s="11">
        <v>45964.65084490741</v>
      </c>
      <c r="BQ1295" s="15"/>
      <c r="BR1295" s="15">
        <v>46013.322951388887</v>
      </c>
      <c r="BS1295" s="10" t="s">
        <v>157</v>
      </c>
      <c r="BT1295" s="10"/>
      <c r="BU1295" s="10"/>
      <c r="BV1295" s="10"/>
      <c r="BW1295" s="10"/>
      <c r="BX1295" s="10"/>
      <c r="BY1295" s="23"/>
      <c r="BZ1295" s="23"/>
      <c r="CA1295" s="19" t="s">
        <v>10357</v>
      </c>
      <c r="CB1295" s="19" t="s">
        <v>10358</v>
      </c>
      <c r="CC1295" s="23"/>
      <c r="CD1295" s="23"/>
      <c r="CE1295" s="23"/>
      <c r="CF1295" s="23"/>
      <c r="CG1295" s="23"/>
      <c r="CH1295" s="23"/>
      <c r="CI1295" s="23"/>
    </row>
    <row r="1296" spans="1:87" x14ac:dyDescent="0.3">
      <c r="A1296" s="9" t="s">
        <v>10359</v>
      </c>
      <c r="B1296" s="10" t="s">
        <v>10360</v>
      </c>
      <c r="C1296" s="11">
        <v>46019.770833333336</v>
      </c>
      <c r="D1296" s="12">
        <v>8.3333333333333329E-2</v>
      </c>
      <c r="E1296" s="11">
        <v>46019.854166666664</v>
      </c>
      <c r="F1296" s="10" t="s">
        <v>3211</v>
      </c>
      <c r="G1296" s="13" t="b">
        <v>0</v>
      </c>
      <c r="H1296" s="10" t="s">
        <v>3212</v>
      </c>
      <c r="I1296" s="10" t="s">
        <v>10263</v>
      </c>
      <c r="J1296" s="13" t="b">
        <v>0</v>
      </c>
      <c r="K1296" s="13" t="b">
        <v>1</v>
      </c>
      <c r="L1296" s="10" t="s">
        <v>124</v>
      </c>
      <c r="M1296" s="10" t="s">
        <v>91</v>
      </c>
      <c r="N1296" s="10" t="s">
        <v>92</v>
      </c>
      <c r="O1296" s="19" t="s">
        <v>10361</v>
      </c>
      <c r="P1296" s="10" t="s">
        <v>3215</v>
      </c>
      <c r="Q1296" s="10" t="s">
        <v>126</v>
      </c>
      <c r="R1296" s="10"/>
      <c r="S1296" s="19" t="s">
        <v>10362</v>
      </c>
      <c r="T1296" s="10"/>
      <c r="U1296" s="10" t="s">
        <v>3289</v>
      </c>
      <c r="V1296" s="10" t="s">
        <v>3270</v>
      </c>
      <c r="W1296" s="10" t="s">
        <v>3219</v>
      </c>
      <c r="X1296" s="10" t="s">
        <v>130</v>
      </c>
      <c r="Y1296" s="10" t="s">
        <v>130</v>
      </c>
      <c r="Z1296" s="10" t="s">
        <v>99</v>
      </c>
      <c r="AA1296" s="10" t="s">
        <v>131</v>
      </c>
      <c r="AB1296" s="10" t="s">
        <v>3220</v>
      </c>
      <c r="AC1296" s="10" t="s">
        <v>3221</v>
      </c>
      <c r="AD1296" s="10" t="s">
        <v>10363</v>
      </c>
      <c r="AE1296" s="10" t="s">
        <v>10364</v>
      </c>
      <c r="AF1296" s="15"/>
      <c r="AG1296" s="10"/>
      <c r="AH1296" s="10"/>
      <c r="AI1296" s="10"/>
      <c r="AJ1296" s="10"/>
      <c r="AK1296" s="10" t="s">
        <v>102</v>
      </c>
      <c r="AL1296" s="10" t="s">
        <v>1988</v>
      </c>
      <c r="AM1296" s="10"/>
      <c r="AN1296" s="10"/>
      <c r="AO1296" s="13" t="b">
        <v>1</v>
      </c>
      <c r="AP1296" s="10" t="s">
        <v>104</v>
      </c>
      <c r="AQ1296" s="10">
        <f ca="1">IFERROR(__xludf.DUMMYFUNCTION("""COMPUTED_VALUE"""),4793938)</f>
        <v>4793938</v>
      </c>
      <c r="AR1296" s="17">
        <v>122662</v>
      </c>
      <c r="AS1296" s="17">
        <v>85110</v>
      </c>
      <c r="AT1296" s="17">
        <v>1879740.75</v>
      </c>
      <c r="AU1296" s="17">
        <v>1023.95</v>
      </c>
      <c r="AV1296" s="17">
        <v>133.85</v>
      </c>
      <c r="AW1296" s="10" t="s">
        <v>105</v>
      </c>
      <c r="AX1296" s="17">
        <v>22331</v>
      </c>
      <c r="AY1296" s="18">
        <v>22.086015156855833</v>
      </c>
      <c r="AZ1296" s="10" t="s">
        <v>117</v>
      </c>
      <c r="BA1296" s="20" t="b">
        <v>0</v>
      </c>
      <c r="BB1296" s="10"/>
      <c r="BC1296" s="17">
        <v>122662</v>
      </c>
      <c r="BD1296" s="17">
        <v>85110</v>
      </c>
      <c r="BE1296" s="17">
        <v>1879740.75</v>
      </c>
      <c r="BF1296" s="17">
        <v>133.85</v>
      </c>
      <c r="BG1296" s="11">
        <f ca="1">IFERROR(__xludf.DUMMYFUNCTION("""COMPUTED_VALUE"""),46019.7708333333)</f>
        <v>46019.770833333299</v>
      </c>
      <c r="BH1296" s="17" t="s">
        <v>105</v>
      </c>
      <c r="BI1296" s="17"/>
      <c r="BJ1296" s="15"/>
      <c r="BK1296" s="15"/>
      <c r="BL1296" s="13" t="b">
        <v>0</v>
      </c>
      <c r="BM1296" s="10"/>
      <c r="BN1296" s="10" t="s">
        <v>137</v>
      </c>
      <c r="BO1296" s="11">
        <v>45904.28402777778</v>
      </c>
      <c r="BP1296" s="11">
        <v>46014.589872685188</v>
      </c>
      <c r="BQ1296" s="15">
        <v>46013.844837962963</v>
      </c>
      <c r="BR1296" s="15">
        <v>46015.598912037036</v>
      </c>
      <c r="BS1296" s="10" t="s">
        <v>137</v>
      </c>
      <c r="BT1296" s="10" t="s">
        <v>279</v>
      </c>
      <c r="BU1296" s="10" t="s">
        <v>280</v>
      </c>
      <c r="BV1296" s="10" t="s">
        <v>124</v>
      </c>
      <c r="BW1296" s="10"/>
      <c r="BX1296" s="10"/>
      <c r="BY1296" s="23"/>
      <c r="BZ1296" s="23"/>
      <c r="CA1296" s="19" t="s">
        <v>10365</v>
      </c>
      <c r="CB1296" s="19" t="s">
        <v>10366</v>
      </c>
      <c r="CC1296" s="23"/>
      <c r="CD1296" s="19" t="s">
        <v>10367</v>
      </c>
      <c r="CE1296" s="23"/>
      <c r="CF1296" s="23"/>
      <c r="CG1296" s="23"/>
      <c r="CH1296" s="23"/>
      <c r="CI1296" s="23"/>
    </row>
    <row r="1297" spans="1:87" x14ac:dyDescent="0.3">
      <c r="A1297" s="9" t="s">
        <v>10368</v>
      </c>
      <c r="B1297" s="10" t="s">
        <v>10369</v>
      </c>
      <c r="C1297" s="11">
        <v>46018.770833333336</v>
      </c>
      <c r="D1297" s="12">
        <v>8.3333333333333329E-2</v>
      </c>
      <c r="E1297" s="11">
        <v>46018.854166666664</v>
      </c>
      <c r="F1297" s="10" t="s">
        <v>3211</v>
      </c>
      <c r="G1297" s="13" t="b">
        <v>0</v>
      </c>
      <c r="H1297" s="10" t="s">
        <v>3212</v>
      </c>
      <c r="I1297" s="10" t="s">
        <v>3213</v>
      </c>
      <c r="J1297" s="13" t="b">
        <v>0</v>
      </c>
      <c r="K1297" s="13" t="b">
        <v>1</v>
      </c>
      <c r="L1297" s="10" t="s">
        <v>124</v>
      </c>
      <c r="M1297" s="10" t="s">
        <v>91</v>
      </c>
      <c r="N1297" s="10" t="s">
        <v>92</v>
      </c>
      <c r="O1297" s="19" t="s">
        <v>10370</v>
      </c>
      <c r="P1297" s="10" t="s">
        <v>3215</v>
      </c>
      <c r="Q1297" s="10" t="s">
        <v>126</v>
      </c>
      <c r="R1297" s="10"/>
      <c r="S1297" s="19" t="s">
        <v>10371</v>
      </c>
      <c r="T1297" s="10"/>
      <c r="U1297" s="10" t="s">
        <v>3260</v>
      </c>
      <c r="V1297" s="10" t="s">
        <v>3240</v>
      </c>
      <c r="W1297" s="10" t="s">
        <v>3219</v>
      </c>
      <c r="X1297" s="10" t="s">
        <v>130</v>
      </c>
      <c r="Y1297" s="10" t="s">
        <v>130</v>
      </c>
      <c r="Z1297" s="10" t="s">
        <v>99</v>
      </c>
      <c r="AA1297" s="10" t="s">
        <v>131</v>
      </c>
      <c r="AB1297" s="10" t="s">
        <v>3220</v>
      </c>
      <c r="AC1297" s="10" t="s">
        <v>3221</v>
      </c>
      <c r="AD1297" s="10" t="s">
        <v>10372</v>
      </c>
      <c r="AE1297" s="10" t="s">
        <v>10373</v>
      </c>
      <c r="AF1297" s="15"/>
      <c r="AG1297" s="10"/>
      <c r="AH1297" s="10"/>
      <c r="AI1297" s="10"/>
      <c r="AJ1297" s="10"/>
      <c r="AK1297" s="10" t="s">
        <v>102</v>
      </c>
      <c r="AL1297" s="10" t="s">
        <v>1988</v>
      </c>
      <c r="AM1297" s="10"/>
      <c r="AN1297" s="10"/>
      <c r="AO1297" s="13" t="b">
        <v>0</v>
      </c>
      <c r="AP1297" s="10" t="s">
        <v>104</v>
      </c>
      <c r="AQ1297" s="10">
        <f ca="1">IFERROR(__xludf.DUMMYFUNCTION("""COMPUTED_VALUE"""),4790691)</f>
        <v>4790691</v>
      </c>
      <c r="AR1297" s="17">
        <v>25102</v>
      </c>
      <c r="AS1297" s="17">
        <v>19052</v>
      </c>
      <c r="AT1297" s="17">
        <v>271264.75</v>
      </c>
      <c r="AU1297" s="17">
        <v>189</v>
      </c>
      <c r="AV1297" s="17">
        <v>21.75</v>
      </c>
      <c r="AW1297" s="10" t="s">
        <v>105</v>
      </c>
      <c r="AX1297" s="17">
        <v>4042</v>
      </c>
      <c r="AY1297" s="18">
        <v>14.238124606340541</v>
      </c>
      <c r="AZ1297" s="10" t="s">
        <v>117</v>
      </c>
      <c r="BA1297" s="20" t="b">
        <v>0</v>
      </c>
      <c r="BB1297" s="10"/>
      <c r="BC1297" s="17">
        <v>25102</v>
      </c>
      <c r="BD1297" s="17">
        <v>19052</v>
      </c>
      <c r="BE1297" s="17">
        <v>271264.75</v>
      </c>
      <c r="BF1297" s="17">
        <v>21.75</v>
      </c>
      <c r="BG1297" s="11">
        <f ca="1">IFERROR(__xludf.DUMMYFUNCTION("""COMPUTED_VALUE"""),46018.7708333333)</f>
        <v>46018.770833333299</v>
      </c>
      <c r="BH1297" s="17" t="s">
        <v>105</v>
      </c>
      <c r="BI1297" s="17"/>
      <c r="BJ1297" s="15"/>
      <c r="BK1297" s="15"/>
      <c r="BL1297" s="13" t="b">
        <v>0</v>
      </c>
      <c r="BM1297" s="10"/>
      <c r="BN1297" s="10" t="s">
        <v>117</v>
      </c>
      <c r="BO1297" s="11">
        <v>45904.28402777778</v>
      </c>
      <c r="BP1297" s="11">
        <v>45964.650555555556</v>
      </c>
      <c r="BQ1297" s="15">
        <v>46013.844293981485</v>
      </c>
      <c r="BR1297" s="15">
        <v>46013.321828703702</v>
      </c>
      <c r="BS1297" s="10"/>
      <c r="BT1297" s="10"/>
      <c r="BU1297" s="10"/>
      <c r="BV1297" s="10"/>
      <c r="BW1297" s="10"/>
      <c r="BX1297" s="10"/>
      <c r="BY1297" s="23"/>
      <c r="BZ1297" s="23"/>
      <c r="CA1297" s="19" t="s">
        <v>10374</v>
      </c>
      <c r="CB1297" s="19" t="s">
        <v>10375</v>
      </c>
      <c r="CC1297" s="23"/>
      <c r="CD1297" s="19" t="s">
        <v>10376</v>
      </c>
      <c r="CE1297" s="23"/>
      <c r="CF1297" s="23"/>
      <c r="CG1297" s="23"/>
      <c r="CH1297" s="23"/>
      <c r="CI1297" s="23"/>
    </row>
    <row r="1298" spans="1:87" x14ac:dyDescent="0.3">
      <c r="A1298" s="9" t="s">
        <v>10377</v>
      </c>
      <c r="B1298" s="10" t="s">
        <v>10378</v>
      </c>
      <c r="C1298" s="11">
        <v>46019.114583333336</v>
      </c>
      <c r="D1298" s="12">
        <v>8.3333333333333329E-2</v>
      </c>
      <c r="E1298" s="11">
        <v>46019.197916666664</v>
      </c>
      <c r="F1298" s="10" t="s">
        <v>3211</v>
      </c>
      <c r="G1298" s="13" t="b">
        <v>0</v>
      </c>
      <c r="H1298" s="10" t="s">
        <v>3212</v>
      </c>
      <c r="I1298" s="10" t="s">
        <v>3213</v>
      </c>
      <c r="J1298" s="13" t="b">
        <v>0</v>
      </c>
      <c r="K1298" s="13" t="b">
        <v>1</v>
      </c>
      <c r="L1298" s="10" t="s">
        <v>124</v>
      </c>
      <c r="M1298" s="10" t="s">
        <v>91</v>
      </c>
      <c r="N1298" s="10" t="s">
        <v>92</v>
      </c>
      <c r="O1298" s="19" t="s">
        <v>10379</v>
      </c>
      <c r="P1298" s="10" t="s">
        <v>3215</v>
      </c>
      <c r="Q1298" s="10" t="s">
        <v>126</v>
      </c>
      <c r="R1298" s="10"/>
      <c r="S1298" s="19" t="s">
        <v>10380</v>
      </c>
      <c r="T1298" s="10"/>
      <c r="U1298" s="10" t="s">
        <v>3451</v>
      </c>
      <c r="V1298" s="10" t="s">
        <v>3259</v>
      </c>
      <c r="W1298" s="10" t="s">
        <v>3219</v>
      </c>
      <c r="X1298" s="10" t="s">
        <v>130</v>
      </c>
      <c r="Y1298" s="10" t="s">
        <v>130</v>
      </c>
      <c r="Z1298" s="10" t="s">
        <v>99</v>
      </c>
      <c r="AA1298" s="10" t="s">
        <v>131</v>
      </c>
      <c r="AB1298" s="10" t="s">
        <v>3220</v>
      </c>
      <c r="AC1298" s="10" t="s">
        <v>3221</v>
      </c>
      <c r="AD1298" s="10" t="s">
        <v>10381</v>
      </c>
      <c r="AE1298" s="10" t="s">
        <v>10382</v>
      </c>
      <c r="AF1298" s="15"/>
      <c r="AG1298" s="10"/>
      <c r="AH1298" s="10"/>
      <c r="AI1298" s="10"/>
      <c r="AJ1298" s="10"/>
      <c r="AK1298" s="10" t="s">
        <v>102</v>
      </c>
      <c r="AL1298" s="10" t="s">
        <v>1988</v>
      </c>
      <c r="AM1298" s="10"/>
      <c r="AN1298" s="10"/>
      <c r="AO1298" s="13" t="b">
        <v>1</v>
      </c>
      <c r="AP1298" s="10" t="s">
        <v>104</v>
      </c>
      <c r="AQ1298" s="10">
        <f ca="1">IFERROR(__xludf.DUMMYFUNCTION("""COMPUTED_VALUE"""),4790694)</f>
        <v>4790694</v>
      </c>
      <c r="AR1298" s="17">
        <v>20035</v>
      </c>
      <c r="AS1298" s="17">
        <v>15030</v>
      </c>
      <c r="AT1298" s="17">
        <v>618345</v>
      </c>
      <c r="AU1298" s="17">
        <v>162.85</v>
      </c>
      <c r="AV1298" s="17">
        <v>18.55</v>
      </c>
      <c r="AW1298" s="10" t="s">
        <v>105</v>
      </c>
      <c r="AX1298" s="17">
        <v>6574</v>
      </c>
      <c r="AY1298" s="18">
        <v>41.140718562874248</v>
      </c>
      <c r="AZ1298" s="10" t="s">
        <v>117</v>
      </c>
      <c r="BA1298" s="20" t="b">
        <v>0</v>
      </c>
      <c r="BB1298" s="10"/>
      <c r="BC1298" s="17">
        <v>20035</v>
      </c>
      <c r="BD1298" s="17">
        <v>15030</v>
      </c>
      <c r="BE1298" s="17">
        <v>618345</v>
      </c>
      <c r="BF1298" s="17">
        <v>18.55</v>
      </c>
      <c r="BG1298" s="11">
        <f ca="1">IFERROR(__xludf.DUMMYFUNCTION("""COMPUTED_VALUE"""),46019.1145833333)</f>
        <v>46019.114583333299</v>
      </c>
      <c r="BH1298" s="17" t="s">
        <v>105</v>
      </c>
      <c r="BI1298" s="17"/>
      <c r="BJ1298" s="15"/>
      <c r="BK1298" s="15"/>
      <c r="BL1298" s="13" t="b">
        <v>0</v>
      </c>
      <c r="BM1298" s="10"/>
      <c r="BN1298" s="10" t="s">
        <v>1057</v>
      </c>
      <c r="BO1298" s="11">
        <v>45904.28402777778</v>
      </c>
      <c r="BP1298" s="11">
        <v>45964.651412037034</v>
      </c>
      <c r="BQ1298" s="15">
        <v>46013.844571759262</v>
      </c>
      <c r="BR1298" s="15">
        <v>46013.32540509259</v>
      </c>
      <c r="BS1298" s="10"/>
      <c r="BT1298" s="10" t="s">
        <v>279</v>
      </c>
      <c r="BU1298" s="10"/>
      <c r="BV1298" s="10"/>
      <c r="BW1298" s="10"/>
      <c r="BX1298" s="10"/>
      <c r="BY1298" s="23"/>
      <c r="BZ1298" s="23"/>
      <c r="CA1298" s="19" t="s">
        <v>10383</v>
      </c>
      <c r="CB1298" s="19" t="s">
        <v>10384</v>
      </c>
      <c r="CC1298" s="23"/>
      <c r="CD1298" s="19" t="s">
        <v>10385</v>
      </c>
      <c r="CE1298" s="23"/>
      <c r="CF1298" s="23"/>
      <c r="CG1298" s="23"/>
      <c r="CH1298" s="23"/>
      <c r="CI1298" s="23"/>
    </row>
    <row r="1299" spans="1:87" x14ac:dyDescent="0.3">
      <c r="A1299" s="9" t="s">
        <v>10386</v>
      </c>
      <c r="B1299" s="10" t="s">
        <v>10387</v>
      </c>
      <c r="C1299" s="11">
        <v>46021.114583333336</v>
      </c>
      <c r="D1299" s="12">
        <v>8.3333333333333329E-2</v>
      </c>
      <c r="E1299" s="11">
        <v>46021.197916666664</v>
      </c>
      <c r="F1299" s="10" t="s">
        <v>3211</v>
      </c>
      <c r="G1299" s="13" t="b">
        <v>0</v>
      </c>
      <c r="H1299" s="10" t="s">
        <v>3212</v>
      </c>
      <c r="I1299" s="10" t="s">
        <v>3213</v>
      </c>
      <c r="J1299" s="13" t="b">
        <v>0</v>
      </c>
      <c r="K1299" s="13" t="b">
        <v>1</v>
      </c>
      <c r="L1299" s="10" t="s">
        <v>124</v>
      </c>
      <c r="M1299" s="10" t="s">
        <v>91</v>
      </c>
      <c r="N1299" s="10" t="s">
        <v>92</v>
      </c>
      <c r="O1299" s="19" t="s">
        <v>10388</v>
      </c>
      <c r="P1299" s="10" t="s">
        <v>3215</v>
      </c>
      <c r="Q1299" s="10" t="s">
        <v>126</v>
      </c>
      <c r="R1299" s="10"/>
      <c r="S1299" s="19" t="s">
        <v>10389</v>
      </c>
      <c r="T1299" s="10"/>
      <c r="U1299" s="10" t="s">
        <v>3229</v>
      </c>
      <c r="V1299" s="10" t="s">
        <v>3217</v>
      </c>
      <c r="W1299" s="10" t="s">
        <v>3219</v>
      </c>
      <c r="X1299" s="10" t="s">
        <v>130</v>
      </c>
      <c r="Y1299" s="10" t="s">
        <v>130</v>
      </c>
      <c r="Z1299" s="10" t="s">
        <v>99</v>
      </c>
      <c r="AA1299" s="10" t="s">
        <v>131</v>
      </c>
      <c r="AB1299" s="10" t="s">
        <v>3220</v>
      </c>
      <c r="AC1299" s="10" t="s">
        <v>3221</v>
      </c>
      <c r="AD1299" s="10" t="s">
        <v>10390</v>
      </c>
      <c r="AE1299" s="10" t="s">
        <v>10391</v>
      </c>
      <c r="AF1299" s="15"/>
      <c r="AG1299" s="10"/>
      <c r="AH1299" s="10"/>
      <c r="AI1299" s="10"/>
      <c r="AJ1299" s="10"/>
      <c r="AK1299" s="10" t="s">
        <v>102</v>
      </c>
      <c r="AL1299" s="10" t="s">
        <v>1988</v>
      </c>
      <c r="AM1299" s="10"/>
      <c r="AN1299" s="10"/>
      <c r="AO1299" s="13" t="b">
        <v>1</v>
      </c>
      <c r="AP1299" s="10" t="s">
        <v>104</v>
      </c>
      <c r="AQ1299" s="10">
        <f ca="1">IFERROR(__xludf.DUMMYFUNCTION("""COMPUTED_VALUE"""),4799190)</f>
        <v>4799190</v>
      </c>
      <c r="AR1299" s="17">
        <v>11381</v>
      </c>
      <c r="AS1299" s="17">
        <v>8789</v>
      </c>
      <c r="AT1299" s="17">
        <v>316132</v>
      </c>
      <c r="AU1299" s="17">
        <v>78.95</v>
      </c>
      <c r="AV1299" s="17">
        <v>6.7</v>
      </c>
      <c r="AW1299" s="10" t="s">
        <v>105</v>
      </c>
      <c r="AX1299" s="17">
        <v>2815</v>
      </c>
      <c r="AY1299" s="18">
        <v>35.969052224371374</v>
      </c>
      <c r="AZ1299" s="10" t="s">
        <v>117</v>
      </c>
      <c r="BA1299" s="20" t="b">
        <v>0</v>
      </c>
      <c r="BB1299" s="10"/>
      <c r="BC1299" s="17">
        <v>11381</v>
      </c>
      <c r="BD1299" s="17">
        <v>8789</v>
      </c>
      <c r="BE1299" s="17">
        <v>316132</v>
      </c>
      <c r="BF1299" s="17">
        <v>6.7</v>
      </c>
      <c r="BG1299" s="11">
        <f ca="1">IFERROR(__xludf.DUMMYFUNCTION("""COMPUTED_VALUE"""),46021.1145833333)</f>
        <v>46021.114583333299</v>
      </c>
      <c r="BH1299" s="17" t="s">
        <v>105</v>
      </c>
      <c r="BI1299" s="17"/>
      <c r="BJ1299" s="15"/>
      <c r="BK1299" s="15"/>
      <c r="BL1299" s="13" t="b">
        <v>0</v>
      </c>
      <c r="BM1299" s="10"/>
      <c r="BN1299" s="10" t="s">
        <v>278</v>
      </c>
      <c r="BO1299" s="11">
        <v>45904.28402777778</v>
      </c>
      <c r="BP1299" s="11">
        <v>45964.652129629627</v>
      </c>
      <c r="BQ1299" s="15">
        <v>46013.845509259256</v>
      </c>
      <c r="BR1299" s="15">
        <v>46020.227199074077</v>
      </c>
      <c r="BS1299" s="10" t="s">
        <v>278</v>
      </c>
      <c r="BT1299" s="10" t="s">
        <v>279</v>
      </c>
      <c r="BU1299" s="10" t="s">
        <v>718</v>
      </c>
      <c r="BV1299" s="10"/>
      <c r="BW1299" s="10"/>
      <c r="BX1299" s="10"/>
      <c r="BY1299" s="23"/>
      <c r="BZ1299" s="23"/>
      <c r="CA1299" s="19" t="s">
        <v>10392</v>
      </c>
      <c r="CB1299" s="19" t="s">
        <v>10393</v>
      </c>
      <c r="CC1299" s="23"/>
      <c r="CD1299" s="19" t="s">
        <v>10394</v>
      </c>
      <c r="CE1299" s="23"/>
      <c r="CF1299" s="23"/>
      <c r="CG1299" s="23"/>
      <c r="CH1299" s="23"/>
      <c r="CI1299" s="23"/>
    </row>
    <row r="1300" spans="1:87" x14ac:dyDescent="0.3">
      <c r="A1300" s="9" t="s">
        <v>10395</v>
      </c>
      <c r="B1300" s="10" t="s">
        <v>10396</v>
      </c>
      <c r="C1300" s="11">
        <v>46018.875</v>
      </c>
      <c r="D1300" s="12">
        <v>8.3333333333333329E-2</v>
      </c>
      <c r="E1300" s="11">
        <v>46018.958333333336</v>
      </c>
      <c r="F1300" s="10" t="s">
        <v>3211</v>
      </c>
      <c r="G1300" s="13" t="b">
        <v>0</v>
      </c>
      <c r="H1300" s="10" t="s">
        <v>3212</v>
      </c>
      <c r="I1300" s="10" t="s">
        <v>3213</v>
      </c>
      <c r="J1300" s="13" t="b">
        <v>0</v>
      </c>
      <c r="K1300" s="13" t="b">
        <v>1</v>
      </c>
      <c r="L1300" s="10" t="s">
        <v>124</v>
      </c>
      <c r="M1300" s="10" t="s">
        <v>91</v>
      </c>
      <c r="N1300" s="10" t="s">
        <v>92</v>
      </c>
      <c r="O1300" s="19" t="s">
        <v>10397</v>
      </c>
      <c r="P1300" s="10" t="s">
        <v>3478</v>
      </c>
      <c r="Q1300" s="10" t="s">
        <v>94</v>
      </c>
      <c r="R1300" s="10"/>
      <c r="S1300" s="10"/>
      <c r="T1300" s="10"/>
      <c r="U1300" s="10" t="s">
        <v>3279</v>
      </c>
      <c r="V1300" s="10" t="s">
        <v>3239</v>
      </c>
      <c r="W1300" s="10" t="s">
        <v>3219</v>
      </c>
      <c r="X1300" s="10" t="s">
        <v>130</v>
      </c>
      <c r="Y1300" s="10" t="s">
        <v>130</v>
      </c>
      <c r="Z1300" s="10" t="s">
        <v>99</v>
      </c>
      <c r="AA1300" s="10" t="s">
        <v>131</v>
      </c>
      <c r="AB1300" s="10" t="s">
        <v>3220</v>
      </c>
      <c r="AC1300" s="10" t="s">
        <v>3221</v>
      </c>
      <c r="AD1300" s="10" t="s">
        <v>10398</v>
      </c>
      <c r="AE1300" s="10" t="s">
        <v>10399</v>
      </c>
      <c r="AF1300" s="15"/>
      <c r="AG1300" s="10"/>
      <c r="AH1300" s="10"/>
      <c r="AI1300" s="10"/>
      <c r="AJ1300" s="10"/>
      <c r="AK1300" s="10" t="s">
        <v>102</v>
      </c>
      <c r="AL1300" s="10" t="s">
        <v>1988</v>
      </c>
      <c r="AM1300" s="10"/>
      <c r="AN1300" s="10"/>
      <c r="AO1300" s="13" t="b">
        <v>0</v>
      </c>
      <c r="AP1300" s="10" t="s">
        <v>104</v>
      </c>
      <c r="AQ1300" s="10">
        <f ca="1">IFERROR(__xludf.DUMMYFUNCTION("""COMPUTED_VALUE"""),4790725)</f>
        <v>4790725</v>
      </c>
      <c r="AR1300" s="17">
        <v>10574</v>
      </c>
      <c r="AS1300" s="17">
        <v>8262</v>
      </c>
      <c r="AT1300" s="17">
        <v>72583</v>
      </c>
      <c r="AU1300" s="17">
        <v>45</v>
      </c>
      <c r="AV1300" s="17">
        <v>5.2</v>
      </c>
      <c r="AW1300" s="10" t="s">
        <v>105</v>
      </c>
      <c r="AX1300" s="17">
        <v>1591</v>
      </c>
      <c r="AY1300" s="18">
        <v>8.7851609779714348</v>
      </c>
      <c r="AZ1300" s="10"/>
      <c r="BA1300" s="20" t="b">
        <v>0</v>
      </c>
      <c r="BB1300" s="10"/>
      <c r="BC1300" s="17">
        <v>10574</v>
      </c>
      <c r="BD1300" s="17">
        <v>8262</v>
      </c>
      <c r="BE1300" s="17">
        <v>72583</v>
      </c>
      <c r="BF1300" s="17">
        <v>5.2</v>
      </c>
      <c r="BG1300" s="11">
        <f ca="1">IFERROR(__xludf.DUMMYFUNCTION("""COMPUTED_VALUE"""),46018.875)</f>
        <v>46018.875</v>
      </c>
      <c r="BH1300" s="17" t="s">
        <v>105</v>
      </c>
      <c r="BI1300" s="17"/>
      <c r="BJ1300" s="15"/>
      <c r="BK1300" s="15"/>
      <c r="BL1300" s="13" t="b">
        <v>0</v>
      </c>
      <c r="BM1300" s="10"/>
      <c r="BN1300" s="10" t="s">
        <v>136</v>
      </c>
      <c r="BO1300" s="11">
        <v>45904.28402777778</v>
      </c>
      <c r="BP1300" s="11">
        <v>45964.650995370372</v>
      </c>
      <c r="BQ1300" s="15"/>
      <c r="BR1300" s="15">
        <v>46013.360578703701</v>
      </c>
      <c r="BS1300" s="10"/>
      <c r="BT1300" s="10"/>
      <c r="BU1300" s="10"/>
      <c r="BV1300" s="10"/>
      <c r="BW1300" s="10"/>
      <c r="BX1300" s="10"/>
      <c r="BY1300" s="23"/>
      <c r="BZ1300" s="23"/>
      <c r="CA1300" s="19" t="s">
        <v>10400</v>
      </c>
      <c r="CB1300" s="19" t="s">
        <v>10401</v>
      </c>
      <c r="CC1300" s="23"/>
      <c r="CD1300" s="23"/>
      <c r="CE1300" s="23"/>
      <c r="CF1300" s="23"/>
      <c r="CG1300" s="23"/>
      <c r="CH1300" s="23"/>
      <c r="CI1300" s="23"/>
    </row>
    <row r="1301" spans="1:87" x14ac:dyDescent="0.3">
      <c r="A1301" s="9" t="s">
        <v>10402</v>
      </c>
      <c r="B1301" s="10" t="s">
        <v>10403</v>
      </c>
      <c r="C1301" s="11">
        <v>46019</v>
      </c>
      <c r="D1301" s="12">
        <v>8.3333333333333329E-2</v>
      </c>
      <c r="E1301" s="11">
        <v>46019.083333333336</v>
      </c>
      <c r="F1301" s="10" t="s">
        <v>3211</v>
      </c>
      <c r="G1301" s="13" t="b">
        <v>0</v>
      </c>
      <c r="H1301" s="10" t="s">
        <v>3212</v>
      </c>
      <c r="I1301" s="10" t="s">
        <v>3213</v>
      </c>
      <c r="J1301" s="13" t="b">
        <v>0</v>
      </c>
      <c r="K1301" s="13" t="b">
        <v>1</v>
      </c>
      <c r="L1301" s="10" t="s">
        <v>124</v>
      </c>
      <c r="M1301" s="10" t="s">
        <v>91</v>
      </c>
      <c r="N1301" s="10" t="s">
        <v>92</v>
      </c>
      <c r="O1301" s="19" t="s">
        <v>10404</v>
      </c>
      <c r="P1301" s="10" t="s">
        <v>3215</v>
      </c>
      <c r="Q1301" s="10" t="s">
        <v>94</v>
      </c>
      <c r="R1301" s="10"/>
      <c r="S1301" s="10"/>
      <c r="T1301" s="10"/>
      <c r="U1301" s="10" t="s">
        <v>3269</v>
      </c>
      <c r="V1301" s="10" t="s">
        <v>3250</v>
      </c>
      <c r="W1301" s="10" t="s">
        <v>3219</v>
      </c>
      <c r="X1301" s="10" t="s">
        <v>130</v>
      </c>
      <c r="Y1301" s="10" t="s">
        <v>130</v>
      </c>
      <c r="Z1301" s="10" t="s">
        <v>99</v>
      </c>
      <c r="AA1301" s="10" t="s">
        <v>131</v>
      </c>
      <c r="AB1301" s="10" t="s">
        <v>3220</v>
      </c>
      <c r="AC1301" s="10" t="s">
        <v>3221</v>
      </c>
      <c r="AD1301" s="10" t="s">
        <v>10405</v>
      </c>
      <c r="AE1301" s="10" t="s">
        <v>10406</v>
      </c>
      <c r="AF1301" s="15"/>
      <c r="AG1301" s="10"/>
      <c r="AH1301" s="10"/>
      <c r="AI1301" s="10"/>
      <c r="AJ1301" s="10"/>
      <c r="AK1301" s="10" t="s">
        <v>102</v>
      </c>
      <c r="AL1301" s="10" t="s">
        <v>1988</v>
      </c>
      <c r="AM1301" s="10"/>
      <c r="AN1301" s="10"/>
      <c r="AO1301" s="13" t="b">
        <v>0</v>
      </c>
      <c r="AP1301" s="10" t="s">
        <v>104</v>
      </c>
      <c r="AQ1301" s="10">
        <f ca="1">IFERROR(__xludf.DUMMYFUNCTION("""COMPUTED_VALUE"""),4790693)</f>
        <v>4790693</v>
      </c>
      <c r="AR1301" s="17">
        <v>13016</v>
      </c>
      <c r="AS1301" s="17">
        <v>10162</v>
      </c>
      <c r="AT1301" s="17">
        <v>230945.25</v>
      </c>
      <c r="AU1301" s="17">
        <v>82.3</v>
      </c>
      <c r="AV1301" s="17">
        <v>9.0500000000000007</v>
      </c>
      <c r="AW1301" s="10" t="s">
        <v>105</v>
      </c>
      <c r="AX1301" s="17">
        <v>3226</v>
      </c>
      <c r="AY1301" s="18">
        <v>22.726358000393624</v>
      </c>
      <c r="AZ1301" s="10"/>
      <c r="BA1301" s="20" t="b">
        <v>0</v>
      </c>
      <c r="BB1301" s="10"/>
      <c r="BC1301" s="17">
        <v>13016</v>
      </c>
      <c r="BD1301" s="17">
        <v>10162</v>
      </c>
      <c r="BE1301" s="17">
        <v>230945.25</v>
      </c>
      <c r="BF1301" s="17">
        <v>9.0500000000000007</v>
      </c>
      <c r="BG1301" s="11">
        <f ca="1">IFERROR(__xludf.DUMMYFUNCTION("""COMPUTED_VALUE"""),46019)</f>
        <v>46019</v>
      </c>
      <c r="BH1301" s="17" t="s">
        <v>105</v>
      </c>
      <c r="BI1301" s="17"/>
      <c r="BJ1301" s="15"/>
      <c r="BK1301" s="15"/>
      <c r="BL1301" s="13" t="b">
        <v>0</v>
      </c>
      <c r="BM1301" s="10"/>
      <c r="BN1301" s="10" t="s">
        <v>157</v>
      </c>
      <c r="BO1301" s="11">
        <v>45904.28402777778</v>
      </c>
      <c r="BP1301" s="11">
        <v>45964.651284722226</v>
      </c>
      <c r="BQ1301" s="15"/>
      <c r="BR1301" s="15">
        <v>46013.32408564815</v>
      </c>
      <c r="BS1301" s="10" t="s">
        <v>157</v>
      </c>
      <c r="BT1301" s="10"/>
      <c r="BU1301" s="10"/>
      <c r="BV1301" s="10"/>
      <c r="BW1301" s="10"/>
      <c r="BX1301" s="10"/>
      <c r="BY1301" s="23"/>
      <c r="BZ1301" s="23"/>
      <c r="CA1301" s="19" t="s">
        <v>10407</v>
      </c>
      <c r="CB1301" s="19" t="s">
        <v>10408</v>
      </c>
      <c r="CC1301" s="23"/>
      <c r="CD1301" s="23"/>
      <c r="CE1301" s="23"/>
      <c r="CF1301" s="23"/>
      <c r="CG1301" s="23"/>
      <c r="CH1301" s="23"/>
      <c r="CI1301" s="23"/>
    </row>
    <row r="1302" spans="1:87" x14ac:dyDescent="0.3">
      <c r="A1302" s="9" t="s">
        <v>10409</v>
      </c>
      <c r="B1302" s="10" t="s">
        <v>10410</v>
      </c>
      <c r="C1302" s="11">
        <v>46026.114583333336</v>
      </c>
      <c r="D1302" s="12">
        <v>8.3333333333333329E-2</v>
      </c>
      <c r="E1302" s="11">
        <v>46026.197916666664</v>
      </c>
      <c r="F1302" s="10" t="s">
        <v>3211</v>
      </c>
      <c r="G1302" s="13" t="b">
        <v>0</v>
      </c>
      <c r="H1302" s="10" t="s">
        <v>3212</v>
      </c>
      <c r="I1302" s="10" t="s">
        <v>3213</v>
      </c>
      <c r="J1302" s="13" t="b">
        <v>0</v>
      </c>
      <c r="K1302" s="13" t="b">
        <v>1</v>
      </c>
      <c r="L1302" s="10" t="s">
        <v>124</v>
      </c>
      <c r="M1302" s="10" t="s">
        <v>91</v>
      </c>
      <c r="N1302" s="10" t="s">
        <v>92</v>
      </c>
      <c r="O1302" s="19" t="s">
        <v>10411</v>
      </c>
      <c r="P1302" s="10" t="s">
        <v>3215</v>
      </c>
      <c r="Q1302" s="10" t="s">
        <v>126</v>
      </c>
      <c r="R1302" s="10"/>
      <c r="S1302" s="19" t="s">
        <v>10412</v>
      </c>
      <c r="T1302" s="10"/>
      <c r="U1302" s="10" t="s">
        <v>3308</v>
      </c>
      <c r="V1302" s="10" t="s">
        <v>3229</v>
      </c>
      <c r="W1302" s="10" t="s">
        <v>3219</v>
      </c>
      <c r="X1302" s="10" t="s">
        <v>130</v>
      </c>
      <c r="Y1302" s="10" t="s">
        <v>130</v>
      </c>
      <c r="Z1302" s="10" t="s">
        <v>99</v>
      </c>
      <c r="AA1302" s="10" t="s">
        <v>131</v>
      </c>
      <c r="AB1302" s="10" t="s">
        <v>3220</v>
      </c>
      <c r="AC1302" s="10" t="s">
        <v>3221</v>
      </c>
      <c r="AD1302" s="10" t="s">
        <v>10413</v>
      </c>
      <c r="AE1302" s="10" t="s">
        <v>10414</v>
      </c>
      <c r="AF1302" s="15"/>
      <c r="AG1302" s="10"/>
      <c r="AH1302" s="10"/>
      <c r="AI1302" s="10"/>
      <c r="AJ1302" s="10"/>
      <c r="AK1302" s="10" t="s">
        <v>102</v>
      </c>
      <c r="AL1302" s="10" t="s">
        <v>2098</v>
      </c>
      <c r="AM1302" s="10"/>
      <c r="AN1302" s="10"/>
      <c r="AO1302" s="13" t="b">
        <v>1</v>
      </c>
      <c r="AP1302" s="10" t="s">
        <v>104</v>
      </c>
      <c r="AQ1302" s="10">
        <f ca="1">IFERROR(__xludf.DUMMYFUNCTION("""COMPUTED_VALUE"""),4825572)</f>
        <v>4825572</v>
      </c>
      <c r="AR1302" s="17">
        <v>18328</v>
      </c>
      <c r="AS1302" s="17">
        <v>12850</v>
      </c>
      <c r="AT1302" s="17">
        <v>434260.25</v>
      </c>
      <c r="AU1302" s="17">
        <v>89.6</v>
      </c>
      <c r="AV1302" s="17">
        <v>9.6999999999999993</v>
      </c>
      <c r="AW1302" s="10" t="s">
        <v>105</v>
      </c>
      <c r="AX1302" s="17">
        <v>4816</v>
      </c>
      <c r="AY1302" s="18">
        <v>33.794571984435798</v>
      </c>
      <c r="AZ1302" s="10" t="s">
        <v>6778</v>
      </c>
      <c r="BA1302" s="20" t="b">
        <v>0</v>
      </c>
      <c r="BB1302" s="10"/>
      <c r="BC1302" s="17">
        <v>18328</v>
      </c>
      <c r="BD1302" s="17">
        <v>12850</v>
      </c>
      <c r="BE1302" s="17">
        <v>434260.25</v>
      </c>
      <c r="BF1302" s="17">
        <v>9.6999999999999993</v>
      </c>
      <c r="BG1302" s="11">
        <f ca="1">IFERROR(__xludf.DUMMYFUNCTION("""COMPUTED_VALUE"""),46026.1145833333)</f>
        <v>46026.114583333299</v>
      </c>
      <c r="BH1302" s="17" t="s">
        <v>105</v>
      </c>
      <c r="BI1302" s="17"/>
      <c r="BJ1302" s="15"/>
      <c r="BK1302" s="15"/>
      <c r="BL1302" s="13" t="b">
        <v>0</v>
      </c>
      <c r="BM1302" s="10"/>
      <c r="BN1302" s="10" t="s">
        <v>278</v>
      </c>
      <c r="BO1302" s="11">
        <v>45904.28402777778</v>
      </c>
      <c r="BP1302" s="11">
        <v>45973.579386574071</v>
      </c>
      <c r="BQ1302" s="15">
        <v>46016.464513888888</v>
      </c>
      <c r="BR1302" s="15">
        <v>46024.02925925926</v>
      </c>
      <c r="BS1302" s="10" t="s">
        <v>278</v>
      </c>
      <c r="BT1302" s="10" t="s">
        <v>279</v>
      </c>
      <c r="BU1302" s="10" t="s">
        <v>280</v>
      </c>
      <c r="BV1302" s="10"/>
      <c r="BW1302" s="10"/>
      <c r="BX1302" s="10"/>
      <c r="BY1302" s="23"/>
      <c r="BZ1302" s="23"/>
      <c r="CA1302" s="19" t="s">
        <v>10415</v>
      </c>
      <c r="CB1302" s="19" t="s">
        <v>10416</v>
      </c>
      <c r="CC1302" s="23"/>
      <c r="CD1302" s="19" t="s">
        <v>10417</v>
      </c>
      <c r="CE1302" s="23"/>
      <c r="CF1302" s="23"/>
      <c r="CG1302" s="23"/>
      <c r="CH1302" s="23"/>
      <c r="CI1302" s="23"/>
    </row>
    <row r="1303" spans="1:87" x14ac:dyDescent="0.3">
      <c r="A1303" s="9" t="s">
        <v>10418</v>
      </c>
      <c r="B1303" s="10" t="s">
        <v>10419</v>
      </c>
      <c r="C1303" s="11">
        <v>46025.114583333336</v>
      </c>
      <c r="D1303" s="12">
        <v>8.3333333333333329E-2</v>
      </c>
      <c r="E1303" s="11">
        <v>46025.197916666664</v>
      </c>
      <c r="F1303" s="10" t="s">
        <v>3211</v>
      </c>
      <c r="G1303" s="13" t="b">
        <v>0</v>
      </c>
      <c r="H1303" s="10" t="s">
        <v>3212</v>
      </c>
      <c r="I1303" s="10" t="s">
        <v>10263</v>
      </c>
      <c r="J1303" s="13" t="b">
        <v>0</v>
      </c>
      <c r="K1303" s="13" t="b">
        <v>1</v>
      </c>
      <c r="L1303" s="10" t="s">
        <v>124</v>
      </c>
      <c r="M1303" s="10" t="s">
        <v>91</v>
      </c>
      <c r="N1303" s="10" t="s">
        <v>92</v>
      </c>
      <c r="O1303" s="19" t="s">
        <v>10420</v>
      </c>
      <c r="P1303" s="10" t="s">
        <v>3215</v>
      </c>
      <c r="Q1303" s="10" t="s">
        <v>126</v>
      </c>
      <c r="R1303" s="10"/>
      <c r="S1303" s="19" t="s">
        <v>10421</v>
      </c>
      <c r="T1303" s="10"/>
      <c r="U1303" s="10" t="s">
        <v>3239</v>
      </c>
      <c r="V1303" s="10" t="s">
        <v>3289</v>
      </c>
      <c r="W1303" s="10" t="s">
        <v>3219</v>
      </c>
      <c r="X1303" s="10" t="s">
        <v>130</v>
      </c>
      <c r="Y1303" s="10" t="s">
        <v>130</v>
      </c>
      <c r="Z1303" s="10" t="s">
        <v>99</v>
      </c>
      <c r="AA1303" s="10" t="s">
        <v>131</v>
      </c>
      <c r="AB1303" s="10" t="s">
        <v>3220</v>
      </c>
      <c r="AC1303" s="10" t="s">
        <v>3221</v>
      </c>
      <c r="AD1303" s="10" t="s">
        <v>10422</v>
      </c>
      <c r="AE1303" s="10" t="s">
        <v>10423</v>
      </c>
      <c r="AF1303" s="15"/>
      <c r="AG1303" s="10"/>
      <c r="AH1303" s="10"/>
      <c r="AI1303" s="10"/>
      <c r="AJ1303" s="10"/>
      <c r="AK1303" s="10" t="s">
        <v>102</v>
      </c>
      <c r="AL1303" s="10" t="s">
        <v>2098</v>
      </c>
      <c r="AM1303" s="10"/>
      <c r="AN1303" s="10"/>
      <c r="AO1303" s="13" t="b">
        <v>1</v>
      </c>
      <c r="AP1303" s="10" t="s">
        <v>104</v>
      </c>
      <c r="AQ1303" s="10">
        <f ca="1">IFERROR(__xludf.DUMMYFUNCTION("""COMPUTED_VALUE"""),4819778)</f>
        <v>4819778</v>
      </c>
      <c r="AR1303" s="17">
        <v>26181</v>
      </c>
      <c r="AS1303" s="17">
        <v>18427</v>
      </c>
      <c r="AT1303" s="17">
        <v>778352.75</v>
      </c>
      <c r="AU1303" s="17">
        <v>297.55</v>
      </c>
      <c r="AV1303" s="17">
        <v>28.05</v>
      </c>
      <c r="AW1303" s="10" t="s">
        <v>105</v>
      </c>
      <c r="AX1303" s="17">
        <v>9540</v>
      </c>
      <c r="AY1303" s="18">
        <v>42.239797579638577</v>
      </c>
      <c r="AZ1303" s="10" t="s">
        <v>6778</v>
      </c>
      <c r="BA1303" s="20" t="b">
        <v>0</v>
      </c>
      <c r="BB1303" s="10"/>
      <c r="BC1303" s="17">
        <v>26181</v>
      </c>
      <c r="BD1303" s="17">
        <v>18427</v>
      </c>
      <c r="BE1303" s="17">
        <v>778352.75</v>
      </c>
      <c r="BF1303" s="17">
        <v>28.05</v>
      </c>
      <c r="BG1303" s="11">
        <f ca="1">IFERROR(__xludf.DUMMYFUNCTION("""COMPUTED_VALUE"""),46025.1145833333)</f>
        <v>46025.114583333299</v>
      </c>
      <c r="BH1303" s="17" t="s">
        <v>105</v>
      </c>
      <c r="BI1303" s="17"/>
      <c r="BJ1303" s="15"/>
      <c r="BK1303" s="15"/>
      <c r="BL1303" s="13" t="b">
        <v>0</v>
      </c>
      <c r="BM1303" s="10"/>
      <c r="BN1303" s="10" t="s">
        <v>278</v>
      </c>
      <c r="BO1303" s="11">
        <v>45904.28402777778</v>
      </c>
      <c r="BP1303" s="11">
        <v>46021.454305555555</v>
      </c>
      <c r="BQ1303" s="15">
        <v>46014.568206018521</v>
      </c>
      <c r="BR1303" s="15">
        <v>46022.406331018516</v>
      </c>
      <c r="BS1303" s="10" t="s">
        <v>278</v>
      </c>
      <c r="BT1303" s="10" t="s">
        <v>279</v>
      </c>
      <c r="BU1303" s="10" t="s">
        <v>280</v>
      </c>
      <c r="BV1303" s="10"/>
      <c r="BW1303" s="10"/>
      <c r="BX1303" s="10"/>
      <c r="BY1303" s="23"/>
      <c r="BZ1303" s="23"/>
      <c r="CA1303" s="19" t="s">
        <v>10424</v>
      </c>
      <c r="CB1303" s="19" t="s">
        <v>10425</v>
      </c>
      <c r="CC1303" s="23"/>
      <c r="CD1303" s="19" t="s">
        <v>10426</v>
      </c>
      <c r="CE1303" s="23"/>
      <c r="CF1303" s="23"/>
      <c r="CG1303" s="23"/>
      <c r="CH1303" s="23"/>
      <c r="CI1303" s="23"/>
    </row>
    <row r="1304" spans="1:87" x14ac:dyDescent="0.3">
      <c r="A1304" s="9" t="s">
        <v>10427</v>
      </c>
      <c r="B1304" s="10" t="s">
        <v>10428</v>
      </c>
      <c r="C1304" s="11">
        <v>46025.770833333336</v>
      </c>
      <c r="D1304" s="12">
        <v>8.3333333333333329E-2</v>
      </c>
      <c r="E1304" s="11">
        <v>46025.854166666664</v>
      </c>
      <c r="F1304" s="10" t="s">
        <v>3211</v>
      </c>
      <c r="G1304" s="13" t="b">
        <v>0</v>
      </c>
      <c r="H1304" s="10" t="s">
        <v>3212</v>
      </c>
      <c r="I1304" s="10" t="s">
        <v>3213</v>
      </c>
      <c r="J1304" s="13" t="b">
        <v>0</v>
      </c>
      <c r="K1304" s="13" t="b">
        <v>1</v>
      </c>
      <c r="L1304" s="10" t="s">
        <v>124</v>
      </c>
      <c r="M1304" s="10" t="s">
        <v>91</v>
      </c>
      <c r="N1304" s="10" t="s">
        <v>92</v>
      </c>
      <c r="O1304" s="19" t="s">
        <v>10429</v>
      </c>
      <c r="P1304" s="10" t="s">
        <v>3215</v>
      </c>
      <c r="Q1304" s="10" t="s">
        <v>126</v>
      </c>
      <c r="R1304" s="10"/>
      <c r="S1304" s="19" t="s">
        <v>10430</v>
      </c>
      <c r="T1304" s="10"/>
      <c r="U1304" s="10" t="s">
        <v>3249</v>
      </c>
      <c r="V1304" s="10" t="s">
        <v>3269</v>
      </c>
      <c r="W1304" s="10" t="s">
        <v>3219</v>
      </c>
      <c r="X1304" s="10" t="s">
        <v>130</v>
      </c>
      <c r="Y1304" s="10" t="s">
        <v>130</v>
      </c>
      <c r="Z1304" s="10" t="s">
        <v>99</v>
      </c>
      <c r="AA1304" s="10" t="s">
        <v>131</v>
      </c>
      <c r="AB1304" s="10" t="s">
        <v>3220</v>
      </c>
      <c r="AC1304" s="10" t="s">
        <v>3221</v>
      </c>
      <c r="AD1304" s="10" t="s">
        <v>10431</v>
      </c>
      <c r="AE1304" s="10" t="s">
        <v>10432</v>
      </c>
      <c r="AF1304" s="15"/>
      <c r="AG1304" s="10"/>
      <c r="AH1304" s="10"/>
      <c r="AI1304" s="10"/>
      <c r="AJ1304" s="10"/>
      <c r="AK1304" s="10" t="s">
        <v>102</v>
      </c>
      <c r="AL1304" s="10" t="s">
        <v>2098</v>
      </c>
      <c r="AM1304" s="10"/>
      <c r="AN1304" s="10"/>
      <c r="AO1304" s="13" t="b">
        <v>0</v>
      </c>
      <c r="AP1304" s="10" t="s">
        <v>104</v>
      </c>
      <c r="AQ1304" s="10">
        <f ca="1">IFERROR(__xludf.DUMMYFUNCTION("""COMPUTED_VALUE"""),4803430)</f>
        <v>4803430</v>
      </c>
      <c r="AR1304" s="17">
        <v>39799</v>
      </c>
      <c r="AS1304" s="17">
        <v>28221</v>
      </c>
      <c r="AT1304" s="17">
        <v>480851.75</v>
      </c>
      <c r="AU1304" s="17">
        <v>264.8</v>
      </c>
      <c r="AV1304" s="17">
        <v>61.9</v>
      </c>
      <c r="AW1304" s="10" t="s">
        <v>105</v>
      </c>
      <c r="AX1304" s="17">
        <v>6269</v>
      </c>
      <c r="AY1304" s="18">
        <v>17.038792034300698</v>
      </c>
      <c r="AZ1304" s="10" t="s">
        <v>6778</v>
      </c>
      <c r="BA1304" s="20" t="b">
        <v>0</v>
      </c>
      <c r="BB1304" s="10"/>
      <c r="BC1304" s="17">
        <v>39799</v>
      </c>
      <c r="BD1304" s="17">
        <v>28221</v>
      </c>
      <c r="BE1304" s="17">
        <v>480851.75</v>
      </c>
      <c r="BF1304" s="17">
        <v>61.9</v>
      </c>
      <c r="BG1304" s="11">
        <f ca="1">IFERROR(__xludf.DUMMYFUNCTION("""COMPUTED_VALUE"""),46025.7708333333)</f>
        <v>46025.770833333299</v>
      </c>
      <c r="BH1304" s="17" t="s">
        <v>105</v>
      </c>
      <c r="BI1304" s="17"/>
      <c r="BJ1304" s="15"/>
      <c r="BK1304" s="15"/>
      <c r="BL1304" s="13" t="b">
        <v>0</v>
      </c>
      <c r="BM1304" s="10"/>
      <c r="BN1304" s="10" t="s">
        <v>118</v>
      </c>
      <c r="BO1304" s="11">
        <v>45904.28402777778</v>
      </c>
      <c r="BP1304" s="11">
        <v>45973.576898148145</v>
      </c>
      <c r="BQ1304" s="15">
        <v>46015.6878125</v>
      </c>
      <c r="BR1304" s="15">
        <v>46021.471087962964</v>
      </c>
      <c r="BS1304" s="10" t="s">
        <v>118</v>
      </c>
      <c r="BT1304" s="10"/>
      <c r="BU1304" s="10"/>
      <c r="BV1304" s="10"/>
      <c r="BW1304" s="10"/>
      <c r="BX1304" s="10"/>
      <c r="BY1304" s="23"/>
      <c r="BZ1304" s="23"/>
      <c r="CA1304" s="19" t="s">
        <v>10433</v>
      </c>
      <c r="CB1304" s="19" t="s">
        <v>10434</v>
      </c>
      <c r="CC1304" s="23"/>
      <c r="CD1304" s="19" t="s">
        <v>10435</v>
      </c>
      <c r="CE1304" s="23"/>
      <c r="CF1304" s="23"/>
      <c r="CG1304" s="23"/>
      <c r="CH1304" s="23"/>
      <c r="CI1304" s="23"/>
    </row>
    <row r="1305" spans="1:87" x14ac:dyDescent="0.3">
      <c r="A1305" s="9" t="s">
        <v>10436</v>
      </c>
      <c r="B1305" s="10" t="s">
        <v>10437</v>
      </c>
      <c r="C1305" s="11">
        <v>46026.875</v>
      </c>
      <c r="D1305" s="12">
        <v>8.3333333333333329E-2</v>
      </c>
      <c r="E1305" s="11">
        <v>46026.958333333336</v>
      </c>
      <c r="F1305" s="10" t="s">
        <v>3211</v>
      </c>
      <c r="G1305" s="13" t="b">
        <v>0</v>
      </c>
      <c r="H1305" s="10" t="s">
        <v>3212</v>
      </c>
      <c r="I1305" s="10" t="s">
        <v>3213</v>
      </c>
      <c r="J1305" s="13" t="b">
        <v>0</v>
      </c>
      <c r="K1305" s="13" t="b">
        <v>1</v>
      </c>
      <c r="L1305" s="10" t="s">
        <v>124</v>
      </c>
      <c r="M1305" s="10" t="s">
        <v>91</v>
      </c>
      <c r="N1305" s="10" t="s">
        <v>92</v>
      </c>
      <c r="O1305" s="19" t="s">
        <v>10438</v>
      </c>
      <c r="P1305" s="10" t="s">
        <v>3215</v>
      </c>
      <c r="Q1305" s="10" t="s">
        <v>126</v>
      </c>
      <c r="R1305" s="10"/>
      <c r="S1305" s="19" t="s">
        <v>10439</v>
      </c>
      <c r="T1305" s="10"/>
      <c r="U1305" s="10" t="s">
        <v>3240</v>
      </c>
      <c r="V1305" s="10" t="s">
        <v>3440</v>
      </c>
      <c r="W1305" s="10" t="s">
        <v>3219</v>
      </c>
      <c r="X1305" s="10" t="s">
        <v>130</v>
      </c>
      <c r="Y1305" s="10" t="s">
        <v>130</v>
      </c>
      <c r="Z1305" s="10" t="s">
        <v>99</v>
      </c>
      <c r="AA1305" s="10" t="s">
        <v>131</v>
      </c>
      <c r="AB1305" s="10" t="s">
        <v>3220</v>
      </c>
      <c r="AC1305" s="10" t="s">
        <v>3221</v>
      </c>
      <c r="AD1305" s="10" t="s">
        <v>10440</v>
      </c>
      <c r="AE1305" s="10" t="s">
        <v>10441</v>
      </c>
      <c r="AF1305" s="15"/>
      <c r="AG1305" s="10"/>
      <c r="AH1305" s="10"/>
      <c r="AI1305" s="10"/>
      <c r="AJ1305" s="10"/>
      <c r="AK1305" s="10" t="s">
        <v>102</v>
      </c>
      <c r="AL1305" s="10" t="s">
        <v>2098</v>
      </c>
      <c r="AM1305" s="10"/>
      <c r="AN1305" s="10"/>
      <c r="AO1305" s="13" t="b">
        <v>1</v>
      </c>
      <c r="AP1305" s="10" t="s">
        <v>104</v>
      </c>
      <c r="AQ1305" s="10">
        <f ca="1">IFERROR(__xludf.DUMMYFUNCTION("""COMPUTED_VALUE"""),4825574)</f>
        <v>4825574</v>
      </c>
      <c r="AR1305" s="17">
        <v>49488</v>
      </c>
      <c r="AS1305" s="17">
        <v>39286</v>
      </c>
      <c r="AT1305" s="17">
        <v>537794</v>
      </c>
      <c r="AU1305" s="17">
        <v>205.7</v>
      </c>
      <c r="AV1305" s="17">
        <v>37.299999999999997</v>
      </c>
      <c r="AW1305" s="10" t="s">
        <v>105</v>
      </c>
      <c r="AX1305" s="17">
        <v>10406</v>
      </c>
      <c r="AY1305" s="18">
        <v>13.689202260347198</v>
      </c>
      <c r="AZ1305" s="10" t="s">
        <v>6778</v>
      </c>
      <c r="BA1305" s="20" t="b">
        <v>0</v>
      </c>
      <c r="BB1305" s="10"/>
      <c r="BC1305" s="17">
        <v>49488</v>
      </c>
      <c r="BD1305" s="17">
        <v>39286</v>
      </c>
      <c r="BE1305" s="17">
        <v>537794</v>
      </c>
      <c r="BF1305" s="17">
        <v>37.299999999999997</v>
      </c>
      <c r="BG1305" s="11">
        <f ca="1">IFERROR(__xludf.DUMMYFUNCTION("""COMPUTED_VALUE"""),46026.875)</f>
        <v>46026.875</v>
      </c>
      <c r="BH1305" s="17" t="s">
        <v>105</v>
      </c>
      <c r="BI1305" s="17"/>
      <c r="BJ1305" s="15"/>
      <c r="BK1305" s="15"/>
      <c r="BL1305" s="13" t="b">
        <v>0</v>
      </c>
      <c r="BM1305" s="10"/>
      <c r="BN1305" s="10" t="s">
        <v>667</v>
      </c>
      <c r="BO1305" s="11">
        <v>45904.28402777778</v>
      </c>
      <c r="BP1305" s="11">
        <v>45973.580266203702</v>
      </c>
      <c r="BQ1305" s="15">
        <v>46016.467581018522</v>
      </c>
      <c r="BR1305" s="15">
        <v>46024.029606481483</v>
      </c>
      <c r="BS1305" s="10" t="s">
        <v>667</v>
      </c>
      <c r="BT1305" s="10" t="s">
        <v>279</v>
      </c>
      <c r="BU1305" s="10" t="s">
        <v>534</v>
      </c>
      <c r="BV1305" s="10"/>
      <c r="BW1305" s="10"/>
      <c r="BX1305" s="10"/>
      <c r="BY1305" s="23"/>
      <c r="BZ1305" s="23"/>
      <c r="CA1305" s="19" t="s">
        <v>10442</v>
      </c>
      <c r="CB1305" s="19" t="s">
        <v>10443</v>
      </c>
      <c r="CC1305" s="23"/>
      <c r="CD1305" s="19" t="s">
        <v>10444</v>
      </c>
      <c r="CE1305" s="23"/>
      <c r="CF1305" s="23"/>
      <c r="CG1305" s="23"/>
      <c r="CH1305" s="23"/>
      <c r="CI1305" s="23"/>
    </row>
    <row r="1306" spans="1:87" x14ac:dyDescent="0.3">
      <c r="A1306" s="9" t="s">
        <v>10445</v>
      </c>
      <c r="B1306" s="10" t="s">
        <v>10446</v>
      </c>
      <c r="C1306" s="11">
        <v>46025.875</v>
      </c>
      <c r="D1306" s="12">
        <v>8.3333333333333329E-2</v>
      </c>
      <c r="E1306" s="11">
        <v>46025.958333333336</v>
      </c>
      <c r="F1306" s="10" t="s">
        <v>3211</v>
      </c>
      <c r="G1306" s="13" t="b">
        <v>0</v>
      </c>
      <c r="H1306" s="10" t="s">
        <v>3212</v>
      </c>
      <c r="I1306" s="10" t="s">
        <v>3213</v>
      </c>
      <c r="J1306" s="13" t="b">
        <v>0</v>
      </c>
      <c r="K1306" s="13" t="b">
        <v>1</v>
      </c>
      <c r="L1306" s="10" t="s">
        <v>124</v>
      </c>
      <c r="M1306" s="10" t="s">
        <v>91</v>
      </c>
      <c r="N1306" s="10" t="s">
        <v>92</v>
      </c>
      <c r="O1306" s="19" t="s">
        <v>10447</v>
      </c>
      <c r="P1306" s="10" t="s">
        <v>88</v>
      </c>
      <c r="Q1306" s="10" t="s">
        <v>94</v>
      </c>
      <c r="R1306" s="10"/>
      <c r="S1306" s="10"/>
      <c r="T1306" s="10"/>
      <c r="U1306" s="10" t="s">
        <v>3217</v>
      </c>
      <c r="V1306" s="10" t="s">
        <v>3451</v>
      </c>
      <c r="W1306" s="10" t="s">
        <v>3219</v>
      </c>
      <c r="X1306" s="10" t="s">
        <v>130</v>
      </c>
      <c r="Y1306" s="10" t="s">
        <v>130</v>
      </c>
      <c r="Z1306" s="10" t="s">
        <v>99</v>
      </c>
      <c r="AA1306" s="10" t="s">
        <v>131</v>
      </c>
      <c r="AB1306" s="10" t="s">
        <v>3220</v>
      </c>
      <c r="AC1306" s="10" t="s">
        <v>3221</v>
      </c>
      <c r="AD1306" s="10" t="s">
        <v>10448</v>
      </c>
      <c r="AE1306" s="10" t="s">
        <v>10449</v>
      </c>
      <c r="AF1306" s="15"/>
      <c r="AG1306" s="10"/>
      <c r="AH1306" s="10"/>
      <c r="AI1306" s="10"/>
      <c r="AJ1306" s="10"/>
      <c r="AK1306" s="10" t="s">
        <v>102</v>
      </c>
      <c r="AL1306" s="10" t="s">
        <v>2098</v>
      </c>
      <c r="AM1306" s="10"/>
      <c r="AN1306" s="10"/>
      <c r="AO1306" s="13" t="b">
        <v>0</v>
      </c>
      <c r="AP1306" s="10" t="s">
        <v>104</v>
      </c>
      <c r="AQ1306" s="10">
        <f ca="1">IFERROR(__xludf.DUMMYFUNCTION("""COMPUTED_VALUE"""),4803378)</f>
        <v>4803378</v>
      </c>
      <c r="AR1306" s="17">
        <v>8253</v>
      </c>
      <c r="AS1306" s="17">
        <v>6147</v>
      </c>
      <c r="AT1306" s="17">
        <v>48600.5</v>
      </c>
      <c r="AU1306" s="17">
        <v>21.05</v>
      </c>
      <c r="AV1306" s="17">
        <v>2</v>
      </c>
      <c r="AW1306" s="10" t="s">
        <v>105</v>
      </c>
      <c r="AX1306" s="17">
        <v>1376</v>
      </c>
      <c r="AY1306" s="18">
        <v>7.9063770945176506</v>
      </c>
      <c r="AZ1306" s="10"/>
      <c r="BA1306" s="20" t="b">
        <v>0</v>
      </c>
      <c r="BB1306" s="10"/>
      <c r="BC1306" s="17">
        <v>8253</v>
      </c>
      <c r="BD1306" s="17">
        <v>6147</v>
      </c>
      <c r="BE1306" s="17">
        <v>48600.5</v>
      </c>
      <c r="BF1306" s="17">
        <v>2</v>
      </c>
      <c r="BG1306" s="11">
        <f ca="1">IFERROR(__xludf.DUMMYFUNCTION("""COMPUTED_VALUE"""),46025.875)</f>
        <v>46025.875</v>
      </c>
      <c r="BH1306" s="17" t="s">
        <v>105</v>
      </c>
      <c r="BI1306" s="17"/>
      <c r="BJ1306" s="15"/>
      <c r="BK1306" s="15"/>
      <c r="BL1306" s="13" t="b">
        <v>0</v>
      </c>
      <c r="BM1306" s="10"/>
      <c r="BN1306" s="10" t="s">
        <v>157</v>
      </c>
      <c r="BO1306" s="11">
        <v>45904.284594907411</v>
      </c>
      <c r="BP1306" s="11">
        <v>45973.578020833331</v>
      </c>
      <c r="BQ1306" s="15"/>
      <c r="BR1306" s="15">
        <v>46021.234675925924</v>
      </c>
      <c r="BS1306" s="10" t="s">
        <v>157</v>
      </c>
      <c r="BT1306" s="10"/>
      <c r="BU1306" s="10"/>
      <c r="BV1306" s="10"/>
      <c r="BW1306" s="10"/>
      <c r="BX1306" s="10"/>
      <c r="BY1306" s="23"/>
      <c r="BZ1306" s="23"/>
      <c r="CA1306" s="19" t="s">
        <v>10450</v>
      </c>
      <c r="CB1306" s="19" t="s">
        <v>10451</v>
      </c>
      <c r="CC1306" s="23"/>
      <c r="CD1306" s="23"/>
      <c r="CE1306" s="23"/>
      <c r="CF1306" s="23"/>
      <c r="CG1306" s="23"/>
      <c r="CH1306" s="23"/>
      <c r="CI1306" s="23"/>
    </row>
    <row r="1307" spans="1:87" x14ac:dyDescent="0.3">
      <c r="A1307" s="9" t="s">
        <v>10452</v>
      </c>
      <c r="B1307" s="10" t="s">
        <v>10453</v>
      </c>
      <c r="C1307" s="11">
        <v>46027.114583333336</v>
      </c>
      <c r="D1307" s="12">
        <v>8.3333333333333329E-2</v>
      </c>
      <c r="E1307" s="11">
        <v>46027.197916666664</v>
      </c>
      <c r="F1307" s="10" t="s">
        <v>3211</v>
      </c>
      <c r="G1307" s="13" t="b">
        <v>0</v>
      </c>
      <c r="H1307" s="10" t="s">
        <v>3212</v>
      </c>
      <c r="I1307" s="10" t="s">
        <v>10263</v>
      </c>
      <c r="J1307" s="13" t="b">
        <v>0</v>
      </c>
      <c r="K1307" s="13" t="b">
        <v>1</v>
      </c>
      <c r="L1307" s="10" t="s">
        <v>124</v>
      </c>
      <c r="M1307" s="10" t="s">
        <v>91</v>
      </c>
      <c r="N1307" s="10" t="s">
        <v>92</v>
      </c>
      <c r="O1307" s="19" t="s">
        <v>10454</v>
      </c>
      <c r="P1307" s="10" t="s">
        <v>3215</v>
      </c>
      <c r="Q1307" s="10" t="s">
        <v>126</v>
      </c>
      <c r="R1307" s="10"/>
      <c r="S1307" s="19" t="s">
        <v>10455</v>
      </c>
      <c r="T1307" s="10"/>
      <c r="U1307" s="10" t="s">
        <v>3278</v>
      </c>
      <c r="V1307" s="10" t="s">
        <v>3230</v>
      </c>
      <c r="W1307" s="10" t="s">
        <v>3219</v>
      </c>
      <c r="X1307" s="10" t="s">
        <v>130</v>
      </c>
      <c r="Y1307" s="10" t="s">
        <v>130</v>
      </c>
      <c r="Z1307" s="10" t="s">
        <v>99</v>
      </c>
      <c r="AA1307" s="10" t="s">
        <v>131</v>
      </c>
      <c r="AB1307" s="10" t="s">
        <v>3220</v>
      </c>
      <c r="AC1307" s="10" t="s">
        <v>3221</v>
      </c>
      <c r="AD1307" s="10" t="s">
        <v>10456</v>
      </c>
      <c r="AE1307" s="10" t="s">
        <v>10457</v>
      </c>
      <c r="AF1307" s="15"/>
      <c r="AG1307" s="10"/>
      <c r="AH1307" s="10"/>
      <c r="AI1307" s="10"/>
      <c r="AJ1307" s="10"/>
      <c r="AK1307" s="10" t="s">
        <v>102</v>
      </c>
      <c r="AL1307" s="10" t="s">
        <v>2098</v>
      </c>
      <c r="AM1307" s="10"/>
      <c r="AN1307" s="10"/>
      <c r="AO1307" s="13" t="b">
        <v>1</v>
      </c>
      <c r="AP1307" s="10" t="s">
        <v>104</v>
      </c>
      <c r="AQ1307" s="10">
        <f ca="1">IFERROR(__xludf.DUMMYFUNCTION("""COMPUTED_VALUE"""),4820639)</f>
        <v>4820639</v>
      </c>
      <c r="AR1307" s="17">
        <v>24351</v>
      </c>
      <c r="AS1307" s="17">
        <v>16647</v>
      </c>
      <c r="AT1307" s="17">
        <v>710262.5</v>
      </c>
      <c r="AU1307" s="17">
        <v>214.8</v>
      </c>
      <c r="AV1307" s="17">
        <v>30.5</v>
      </c>
      <c r="AW1307" s="10" t="s">
        <v>105</v>
      </c>
      <c r="AX1307" s="17">
        <v>7917</v>
      </c>
      <c r="AY1307" s="18">
        <v>42.666095993272059</v>
      </c>
      <c r="AZ1307" s="10" t="s">
        <v>6778</v>
      </c>
      <c r="BA1307" s="20" t="b">
        <v>0</v>
      </c>
      <c r="BB1307" s="10"/>
      <c r="BC1307" s="17">
        <v>24351</v>
      </c>
      <c r="BD1307" s="17">
        <v>16647</v>
      </c>
      <c r="BE1307" s="17">
        <v>710262.5</v>
      </c>
      <c r="BF1307" s="17">
        <v>30.5</v>
      </c>
      <c r="BG1307" s="11">
        <f ca="1">IFERROR(__xludf.DUMMYFUNCTION("""COMPUTED_VALUE"""),46027.1145833333)</f>
        <v>46027.114583333299</v>
      </c>
      <c r="BH1307" s="17" t="s">
        <v>105</v>
      </c>
      <c r="BI1307" s="17"/>
      <c r="BJ1307" s="15"/>
      <c r="BK1307" s="15"/>
      <c r="BL1307" s="13" t="b">
        <v>0</v>
      </c>
      <c r="BM1307" s="10"/>
      <c r="BN1307" s="10" t="s">
        <v>278</v>
      </c>
      <c r="BO1307" s="11">
        <v>45904.28402777778</v>
      </c>
      <c r="BP1307" s="11">
        <v>46021.455046296294</v>
      </c>
      <c r="BQ1307" s="15">
        <v>46016.469456018516</v>
      </c>
      <c r="BR1307" s="15">
        <v>46022.465717592589</v>
      </c>
      <c r="BS1307" s="10" t="s">
        <v>278</v>
      </c>
      <c r="BT1307" s="10" t="s">
        <v>279</v>
      </c>
      <c r="BU1307" s="10" t="s">
        <v>534</v>
      </c>
      <c r="BV1307" s="10"/>
      <c r="BW1307" s="10"/>
      <c r="BX1307" s="10"/>
      <c r="BY1307" s="23"/>
      <c r="BZ1307" s="23"/>
      <c r="CA1307" s="19" t="s">
        <v>10458</v>
      </c>
      <c r="CB1307" s="19" t="s">
        <v>10459</v>
      </c>
      <c r="CC1307" s="23"/>
      <c r="CD1307" s="19" t="s">
        <v>10460</v>
      </c>
      <c r="CE1307" s="23"/>
      <c r="CF1307" s="23"/>
      <c r="CG1307" s="23"/>
      <c r="CH1307" s="23"/>
      <c r="CI1307" s="23"/>
    </row>
    <row r="1308" spans="1:87" x14ac:dyDescent="0.3">
      <c r="A1308" s="9" t="s">
        <v>10461</v>
      </c>
      <c r="B1308" s="10" t="s">
        <v>10462</v>
      </c>
      <c r="C1308" s="11">
        <v>46026</v>
      </c>
      <c r="D1308" s="12">
        <v>8.3333333333333329E-2</v>
      </c>
      <c r="E1308" s="11">
        <v>46026.083333333336</v>
      </c>
      <c r="F1308" s="10" t="s">
        <v>3211</v>
      </c>
      <c r="G1308" s="13" t="b">
        <v>0</v>
      </c>
      <c r="H1308" s="10" t="s">
        <v>3212</v>
      </c>
      <c r="I1308" s="10" t="s">
        <v>3213</v>
      </c>
      <c r="J1308" s="13" t="b">
        <v>0</v>
      </c>
      <c r="K1308" s="13" t="b">
        <v>1</v>
      </c>
      <c r="L1308" s="10" t="s">
        <v>124</v>
      </c>
      <c r="M1308" s="10" t="s">
        <v>91</v>
      </c>
      <c r="N1308" s="10" t="s">
        <v>92</v>
      </c>
      <c r="O1308" s="19" t="s">
        <v>10463</v>
      </c>
      <c r="P1308" s="10" t="s">
        <v>3215</v>
      </c>
      <c r="Q1308" s="10" t="s">
        <v>126</v>
      </c>
      <c r="R1308" s="10"/>
      <c r="S1308" s="19" t="s">
        <v>10464</v>
      </c>
      <c r="T1308" s="10"/>
      <c r="U1308" s="10" t="s">
        <v>3259</v>
      </c>
      <c r="V1308" s="10" t="s">
        <v>3218</v>
      </c>
      <c r="W1308" s="10" t="s">
        <v>3219</v>
      </c>
      <c r="X1308" s="10" t="s">
        <v>130</v>
      </c>
      <c r="Y1308" s="10" t="s">
        <v>130</v>
      </c>
      <c r="Z1308" s="10" t="s">
        <v>99</v>
      </c>
      <c r="AA1308" s="10" t="s">
        <v>131</v>
      </c>
      <c r="AB1308" s="10" t="s">
        <v>3220</v>
      </c>
      <c r="AC1308" s="10" t="s">
        <v>3221</v>
      </c>
      <c r="AD1308" s="10" t="s">
        <v>10465</v>
      </c>
      <c r="AE1308" s="10" t="s">
        <v>10466</v>
      </c>
      <c r="AF1308" s="15"/>
      <c r="AG1308" s="10"/>
      <c r="AH1308" s="10"/>
      <c r="AI1308" s="10"/>
      <c r="AJ1308" s="10"/>
      <c r="AK1308" s="10" t="s">
        <v>102</v>
      </c>
      <c r="AL1308" s="10" t="s">
        <v>2098</v>
      </c>
      <c r="AM1308" s="10"/>
      <c r="AN1308" s="10"/>
      <c r="AO1308" s="13" t="b">
        <v>1</v>
      </c>
      <c r="AP1308" s="10" t="s">
        <v>104</v>
      </c>
      <c r="AQ1308" s="10">
        <f ca="1">IFERROR(__xludf.DUMMYFUNCTION("""COMPUTED_VALUE"""),4823382)</f>
        <v>4823382</v>
      </c>
      <c r="AR1308" s="17">
        <v>37705</v>
      </c>
      <c r="AS1308" s="17">
        <v>26153</v>
      </c>
      <c r="AT1308" s="17">
        <v>810043</v>
      </c>
      <c r="AU1308" s="17">
        <v>601.6</v>
      </c>
      <c r="AV1308" s="17">
        <v>123.25</v>
      </c>
      <c r="AW1308" s="10" t="s">
        <v>105</v>
      </c>
      <c r="AX1308" s="17">
        <v>10135</v>
      </c>
      <c r="AY1308" s="18">
        <v>30.973234428172677</v>
      </c>
      <c r="AZ1308" s="10" t="s">
        <v>6778</v>
      </c>
      <c r="BA1308" s="20" t="b">
        <v>0</v>
      </c>
      <c r="BB1308" s="10"/>
      <c r="BC1308" s="17">
        <v>37705</v>
      </c>
      <c r="BD1308" s="17">
        <v>26153</v>
      </c>
      <c r="BE1308" s="17">
        <v>810043</v>
      </c>
      <c r="BF1308" s="17">
        <v>123.25</v>
      </c>
      <c r="BG1308" s="11">
        <f ca="1">IFERROR(__xludf.DUMMYFUNCTION("""COMPUTED_VALUE"""),46026)</f>
        <v>46026</v>
      </c>
      <c r="BH1308" s="17" t="s">
        <v>105</v>
      </c>
      <c r="BI1308" s="17"/>
      <c r="BJ1308" s="15"/>
      <c r="BK1308" s="15"/>
      <c r="BL1308" s="13" t="b">
        <v>0</v>
      </c>
      <c r="BM1308" s="10"/>
      <c r="BN1308" s="10" t="s">
        <v>278</v>
      </c>
      <c r="BO1308" s="11">
        <v>45904.28402777778</v>
      </c>
      <c r="BP1308" s="11">
        <v>45973.57849537037</v>
      </c>
      <c r="BQ1308" s="15">
        <v>46017.513784722221</v>
      </c>
      <c r="BR1308" s="15">
        <v>46023.931030092594</v>
      </c>
      <c r="BS1308" s="10" t="s">
        <v>278</v>
      </c>
      <c r="BT1308" s="10" t="s">
        <v>279</v>
      </c>
      <c r="BU1308" s="10" t="s">
        <v>298</v>
      </c>
      <c r="BV1308" s="10" t="s">
        <v>124</v>
      </c>
      <c r="BW1308" s="10"/>
      <c r="BX1308" s="10"/>
      <c r="BY1308" s="23"/>
      <c r="BZ1308" s="23"/>
      <c r="CA1308" s="19" t="s">
        <v>10467</v>
      </c>
      <c r="CB1308" s="19" t="s">
        <v>10468</v>
      </c>
      <c r="CC1308" s="23"/>
      <c r="CD1308" s="19" t="s">
        <v>10469</v>
      </c>
      <c r="CE1308" s="23"/>
      <c r="CF1308" s="23"/>
      <c r="CG1308" s="23"/>
      <c r="CH1308" s="23"/>
      <c r="CI1308" s="23"/>
    </row>
    <row r="1309" spans="1:87" x14ac:dyDescent="0.3">
      <c r="A1309" s="9" t="s">
        <v>10470</v>
      </c>
      <c r="B1309" s="10" t="s">
        <v>10471</v>
      </c>
      <c r="C1309" s="11">
        <v>46026.770833333336</v>
      </c>
      <c r="D1309" s="12">
        <v>8.3333333333333329E-2</v>
      </c>
      <c r="E1309" s="11">
        <v>46026.854166666664</v>
      </c>
      <c r="F1309" s="10" t="s">
        <v>3211</v>
      </c>
      <c r="G1309" s="13" t="b">
        <v>0</v>
      </c>
      <c r="H1309" s="10" t="s">
        <v>3212</v>
      </c>
      <c r="I1309" s="10" t="s">
        <v>3213</v>
      </c>
      <c r="J1309" s="13" t="b">
        <v>0</v>
      </c>
      <c r="K1309" s="13" t="b">
        <v>1</v>
      </c>
      <c r="L1309" s="10" t="s">
        <v>124</v>
      </c>
      <c r="M1309" s="10" t="s">
        <v>91</v>
      </c>
      <c r="N1309" s="10" t="s">
        <v>92</v>
      </c>
      <c r="O1309" s="19" t="s">
        <v>10472</v>
      </c>
      <c r="P1309" s="10" t="s">
        <v>3215</v>
      </c>
      <c r="Q1309" s="10" t="s">
        <v>126</v>
      </c>
      <c r="R1309" s="10"/>
      <c r="S1309" s="19" t="s">
        <v>10473</v>
      </c>
      <c r="T1309" s="10"/>
      <c r="U1309" s="10" t="s">
        <v>3250</v>
      </c>
      <c r="V1309" s="10" t="s">
        <v>3318</v>
      </c>
      <c r="W1309" s="10" t="s">
        <v>3219</v>
      </c>
      <c r="X1309" s="10" t="s">
        <v>130</v>
      </c>
      <c r="Y1309" s="10" t="s">
        <v>130</v>
      </c>
      <c r="Z1309" s="10" t="s">
        <v>99</v>
      </c>
      <c r="AA1309" s="10" t="s">
        <v>131</v>
      </c>
      <c r="AB1309" s="10" t="s">
        <v>3220</v>
      </c>
      <c r="AC1309" s="10" t="s">
        <v>3221</v>
      </c>
      <c r="AD1309" s="10" t="s">
        <v>10474</v>
      </c>
      <c r="AE1309" s="10" t="s">
        <v>10475</v>
      </c>
      <c r="AF1309" s="15"/>
      <c r="AG1309" s="10"/>
      <c r="AH1309" s="10"/>
      <c r="AI1309" s="10"/>
      <c r="AJ1309" s="10"/>
      <c r="AK1309" s="10" t="s">
        <v>102</v>
      </c>
      <c r="AL1309" s="10" t="s">
        <v>2098</v>
      </c>
      <c r="AM1309" s="10"/>
      <c r="AN1309" s="10"/>
      <c r="AO1309" s="13" t="b">
        <v>1</v>
      </c>
      <c r="AP1309" s="10" t="s">
        <v>104</v>
      </c>
      <c r="AQ1309" s="10">
        <f ca="1">IFERROR(__xludf.DUMMYFUNCTION("""COMPUTED_VALUE"""),4825573)</f>
        <v>4825573</v>
      </c>
      <c r="AR1309" s="17">
        <v>63547</v>
      </c>
      <c r="AS1309" s="17">
        <v>44478</v>
      </c>
      <c r="AT1309" s="17">
        <v>818235.25</v>
      </c>
      <c r="AU1309" s="17">
        <v>438.05</v>
      </c>
      <c r="AV1309" s="17">
        <v>82</v>
      </c>
      <c r="AW1309" s="10" t="s">
        <v>105</v>
      </c>
      <c r="AX1309" s="17">
        <v>12190</v>
      </c>
      <c r="AY1309" s="18">
        <v>18.396403840100724</v>
      </c>
      <c r="AZ1309" s="10" t="s">
        <v>6778</v>
      </c>
      <c r="BA1309" s="20" t="b">
        <v>0</v>
      </c>
      <c r="BB1309" s="10"/>
      <c r="BC1309" s="17">
        <v>63547</v>
      </c>
      <c r="BD1309" s="17">
        <v>44478</v>
      </c>
      <c r="BE1309" s="17">
        <v>818235.25</v>
      </c>
      <c r="BF1309" s="17">
        <v>82</v>
      </c>
      <c r="BG1309" s="11">
        <f ca="1">IFERROR(__xludf.DUMMYFUNCTION("""COMPUTED_VALUE"""),46026.7708333333)</f>
        <v>46026.770833333299</v>
      </c>
      <c r="BH1309" s="17" t="s">
        <v>105</v>
      </c>
      <c r="BI1309" s="17"/>
      <c r="BJ1309" s="15"/>
      <c r="BK1309" s="15"/>
      <c r="BL1309" s="13" t="b">
        <v>0</v>
      </c>
      <c r="BM1309" s="10"/>
      <c r="BN1309" s="10" t="s">
        <v>667</v>
      </c>
      <c r="BO1309" s="11">
        <v>45904.28402777778</v>
      </c>
      <c r="BP1309" s="11">
        <v>45973.580023148148</v>
      </c>
      <c r="BQ1309" s="15">
        <v>46016.471643518518</v>
      </c>
      <c r="BR1309" s="15">
        <v>46024.029421296298</v>
      </c>
      <c r="BS1309" s="10" t="s">
        <v>667</v>
      </c>
      <c r="BT1309" s="10" t="s">
        <v>279</v>
      </c>
      <c r="BU1309" s="10" t="s">
        <v>456</v>
      </c>
      <c r="BV1309" s="10"/>
      <c r="BW1309" s="10"/>
      <c r="BX1309" s="10"/>
      <c r="BY1309" s="23"/>
      <c r="BZ1309" s="23"/>
      <c r="CA1309" s="19" t="s">
        <v>10476</v>
      </c>
      <c r="CB1309" s="19" t="s">
        <v>10477</v>
      </c>
      <c r="CC1309" s="23"/>
      <c r="CD1309" s="19" t="s">
        <v>10478</v>
      </c>
      <c r="CE1309" s="23"/>
      <c r="CF1309" s="23"/>
      <c r="CG1309" s="23"/>
      <c r="CH1309" s="23"/>
      <c r="CI1309" s="23"/>
    </row>
    <row r="1310" spans="1:87" x14ac:dyDescent="0.3">
      <c r="A1310" s="25" t="s">
        <v>10479</v>
      </c>
      <c r="B1310" s="10" t="s">
        <v>10480</v>
      </c>
      <c r="C1310" s="11">
        <v>46025.875</v>
      </c>
      <c r="D1310" s="12">
        <v>8.3333333333333329E-2</v>
      </c>
      <c r="E1310" s="11">
        <v>46025.958333333336</v>
      </c>
      <c r="F1310" s="10" t="s">
        <v>3211</v>
      </c>
      <c r="G1310" s="13" t="b">
        <v>0</v>
      </c>
      <c r="H1310" s="10" t="s">
        <v>3212</v>
      </c>
      <c r="I1310" s="10" t="s">
        <v>10263</v>
      </c>
      <c r="J1310" s="13" t="b">
        <v>0</v>
      </c>
      <c r="K1310" s="13" t="b">
        <v>1</v>
      </c>
      <c r="L1310" s="10" t="s">
        <v>124</v>
      </c>
      <c r="M1310" s="10" t="s">
        <v>91</v>
      </c>
      <c r="N1310" s="10" t="s">
        <v>92</v>
      </c>
      <c r="O1310" s="19" t="s">
        <v>10481</v>
      </c>
      <c r="P1310" s="10" t="s">
        <v>3215</v>
      </c>
      <c r="Q1310" s="10" t="s">
        <v>126</v>
      </c>
      <c r="R1310" s="10"/>
      <c r="S1310" s="19" t="s">
        <v>10482</v>
      </c>
      <c r="T1310" s="10"/>
      <c r="U1310" s="10" t="s">
        <v>3429</v>
      </c>
      <c r="V1310" s="10" t="s">
        <v>3260</v>
      </c>
      <c r="W1310" s="10" t="s">
        <v>3219</v>
      </c>
      <c r="X1310" s="10" t="s">
        <v>130</v>
      </c>
      <c r="Y1310" s="10" t="s">
        <v>130</v>
      </c>
      <c r="Z1310" s="10" t="s">
        <v>99</v>
      </c>
      <c r="AA1310" s="10" t="s">
        <v>131</v>
      </c>
      <c r="AB1310" s="10" t="s">
        <v>3220</v>
      </c>
      <c r="AC1310" s="10" t="s">
        <v>3221</v>
      </c>
      <c r="AD1310" s="10" t="s">
        <v>10483</v>
      </c>
      <c r="AE1310" s="10" t="s">
        <v>10484</v>
      </c>
      <c r="AF1310" s="15"/>
      <c r="AG1310" s="10"/>
      <c r="AH1310" s="10"/>
      <c r="AI1310" s="10"/>
      <c r="AJ1310" s="10"/>
      <c r="AK1310" s="10" t="s">
        <v>102</v>
      </c>
      <c r="AL1310" s="10" t="s">
        <v>2098</v>
      </c>
      <c r="AM1310" s="10"/>
      <c r="AN1310" s="10"/>
      <c r="AO1310" s="13" t="b">
        <v>1</v>
      </c>
      <c r="AP1310" s="10" t="s">
        <v>104</v>
      </c>
      <c r="AQ1310" s="10">
        <f ca="1">IFERROR(__xludf.DUMMYFUNCTION("""COMPUTED_VALUE"""),4819772)</f>
        <v>4819772</v>
      </c>
      <c r="AR1310" s="17">
        <v>58923</v>
      </c>
      <c r="AS1310" s="17">
        <v>45950</v>
      </c>
      <c r="AT1310" s="17">
        <v>710931.5</v>
      </c>
      <c r="AU1310" s="17">
        <v>516.65</v>
      </c>
      <c r="AV1310" s="17">
        <v>82.6</v>
      </c>
      <c r="AW1310" s="10" t="s">
        <v>105</v>
      </c>
      <c r="AX1310" s="17">
        <v>10355</v>
      </c>
      <c r="AY1310" s="18">
        <v>15.471849836779107</v>
      </c>
      <c r="AZ1310" s="10" t="s">
        <v>6778</v>
      </c>
      <c r="BA1310" s="20" t="b">
        <v>0</v>
      </c>
      <c r="BB1310" s="10"/>
      <c r="BC1310" s="17">
        <v>58923</v>
      </c>
      <c r="BD1310" s="17">
        <v>45950</v>
      </c>
      <c r="BE1310" s="17">
        <v>710931.5</v>
      </c>
      <c r="BF1310" s="17">
        <v>82.6</v>
      </c>
      <c r="BG1310" s="11">
        <f ca="1">IFERROR(__xludf.DUMMYFUNCTION("""COMPUTED_VALUE"""),46025.875)</f>
        <v>46025.875</v>
      </c>
      <c r="BH1310" s="17" t="s">
        <v>105</v>
      </c>
      <c r="BI1310" s="17"/>
      <c r="BJ1310" s="15"/>
      <c r="BK1310" s="15"/>
      <c r="BL1310" s="13" t="b">
        <v>0</v>
      </c>
      <c r="BM1310" s="10"/>
      <c r="BN1310" s="10" t="s">
        <v>667</v>
      </c>
      <c r="BO1310" s="11">
        <v>45904.28402777778</v>
      </c>
      <c r="BP1310" s="11">
        <v>46021.45449074074</v>
      </c>
      <c r="BQ1310" s="15">
        <v>46017.514618055553</v>
      </c>
      <c r="BR1310" s="15">
        <v>46022.405416666668</v>
      </c>
      <c r="BS1310" s="10" t="s">
        <v>667</v>
      </c>
      <c r="BT1310" s="10" t="s">
        <v>279</v>
      </c>
      <c r="BU1310" s="10" t="s">
        <v>498</v>
      </c>
      <c r="BV1310" s="10" t="s">
        <v>124</v>
      </c>
      <c r="BW1310" s="10"/>
      <c r="BX1310" s="10"/>
      <c r="BY1310" s="23"/>
      <c r="BZ1310" s="23"/>
      <c r="CA1310" s="19" t="s">
        <v>10485</v>
      </c>
      <c r="CB1310" s="19" t="s">
        <v>10486</v>
      </c>
      <c r="CC1310" s="23"/>
      <c r="CD1310" s="19" t="s">
        <v>10487</v>
      </c>
      <c r="CE1310" s="23"/>
      <c r="CF1310" s="23"/>
      <c r="CG1310" s="23"/>
      <c r="CH1310" s="23"/>
      <c r="CI1310" s="23"/>
    </row>
    <row r="1311" spans="1:87" x14ac:dyDescent="0.3">
      <c r="A1311" s="9" t="s">
        <v>10488</v>
      </c>
      <c r="B1311" s="10" t="s">
        <v>10489</v>
      </c>
      <c r="C1311" s="11">
        <v>46027</v>
      </c>
      <c r="D1311" s="12">
        <v>8.3333333333333329E-2</v>
      </c>
      <c r="E1311" s="11">
        <v>46027.083333333336</v>
      </c>
      <c r="F1311" s="10" t="s">
        <v>3211</v>
      </c>
      <c r="G1311" s="13" t="b">
        <v>0</v>
      </c>
      <c r="H1311" s="10" t="s">
        <v>3212</v>
      </c>
      <c r="I1311" s="10" t="s">
        <v>3213</v>
      </c>
      <c r="J1311" s="13" t="b">
        <v>0</v>
      </c>
      <c r="K1311" s="13" t="b">
        <v>1</v>
      </c>
      <c r="L1311" s="10" t="s">
        <v>124</v>
      </c>
      <c r="M1311" s="10" t="s">
        <v>91</v>
      </c>
      <c r="N1311" s="10" t="s">
        <v>92</v>
      </c>
      <c r="O1311" s="19" t="s">
        <v>10490</v>
      </c>
      <c r="P1311" s="10" t="s">
        <v>3215</v>
      </c>
      <c r="Q1311" s="10" t="s">
        <v>94</v>
      </c>
      <c r="R1311" s="10"/>
      <c r="S1311" s="10"/>
      <c r="T1311" s="10"/>
      <c r="U1311" s="10" t="s">
        <v>3270</v>
      </c>
      <c r="V1311" s="10" t="s">
        <v>3279</v>
      </c>
      <c r="W1311" s="10" t="s">
        <v>3219</v>
      </c>
      <c r="X1311" s="10" t="s">
        <v>130</v>
      </c>
      <c r="Y1311" s="10" t="s">
        <v>130</v>
      </c>
      <c r="Z1311" s="10" t="s">
        <v>99</v>
      </c>
      <c r="AA1311" s="10" t="s">
        <v>131</v>
      </c>
      <c r="AB1311" s="10" t="s">
        <v>3220</v>
      </c>
      <c r="AC1311" s="10" t="s">
        <v>3221</v>
      </c>
      <c r="AD1311" s="10" t="s">
        <v>10491</v>
      </c>
      <c r="AE1311" s="10" t="s">
        <v>10492</v>
      </c>
      <c r="AF1311" s="15"/>
      <c r="AG1311" s="10"/>
      <c r="AH1311" s="10"/>
      <c r="AI1311" s="10"/>
      <c r="AJ1311" s="10"/>
      <c r="AK1311" s="10" t="s">
        <v>102</v>
      </c>
      <c r="AL1311" s="10" t="s">
        <v>2098</v>
      </c>
      <c r="AM1311" s="10"/>
      <c r="AN1311" s="10"/>
      <c r="AO1311" s="13" t="b">
        <v>0</v>
      </c>
      <c r="AP1311" s="10" t="s">
        <v>104</v>
      </c>
      <c r="AQ1311" s="10">
        <f ca="1">IFERROR(__xludf.DUMMYFUNCTION("""COMPUTED_VALUE"""),4827331)</f>
        <v>4827331</v>
      </c>
      <c r="AR1311" s="17">
        <v>4634</v>
      </c>
      <c r="AS1311" s="17">
        <v>3681</v>
      </c>
      <c r="AT1311" s="17">
        <v>74188.75</v>
      </c>
      <c r="AU1311" s="17">
        <v>11.95</v>
      </c>
      <c r="AV1311" s="17">
        <v>1.95</v>
      </c>
      <c r="AW1311" s="10" t="s">
        <v>105</v>
      </c>
      <c r="AX1311" s="17">
        <v>1459</v>
      </c>
      <c r="AY1311" s="18">
        <v>20.154509644118445</v>
      </c>
      <c r="AZ1311" s="10"/>
      <c r="BA1311" s="20" t="b">
        <v>0</v>
      </c>
      <c r="BB1311" s="10"/>
      <c r="BC1311" s="17">
        <v>4634</v>
      </c>
      <c r="BD1311" s="17">
        <v>3681</v>
      </c>
      <c r="BE1311" s="17">
        <v>74188.75</v>
      </c>
      <c r="BF1311" s="17">
        <v>1.95</v>
      </c>
      <c r="BG1311" s="11">
        <f ca="1">IFERROR(__xludf.DUMMYFUNCTION("""COMPUTED_VALUE"""),46027)</f>
        <v>46027</v>
      </c>
      <c r="BH1311" s="17" t="s">
        <v>105</v>
      </c>
      <c r="BI1311" s="17"/>
      <c r="BJ1311" s="15"/>
      <c r="BK1311" s="15"/>
      <c r="BL1311" s="13" t="b">
        <v>0</v>
      </c>
      <c r="BM1311" s="10"/>
      <c r="BN1311" s="10" t="s">
        <v>137</v>
      </c>
      <c r="BO1311" s="11">
        <v>45904.28402777778</v>
      </c>
      <c r="BP1311" s="11">
        <v>45973.580474537041</v>
      </c>
      <c r="BQ1311" s="15"/>
      <c r="BR1311" s="15">
        <v>46025.703958333332</v>
      </c>
      <c r="BS1311" s="10" t="s">
        <v>137</v>
      </c>
      <c r="BT1311" s="10"/>
      <c r="BU1311" s="10"/>
      <c r="BV1311" s="10"/>
      <c r="BW1311" s="10"/>
      <c r="BX1311" s="10"/>
      <c r="BY1311" s="23"/>
      <c r="BZ1311" s="23"/>
      <c r="CA1311" s="19" t="s">
        <v>10493</v>
      </c>
      <c r="CB1311" s="19" t="s">
        <v>10494</v>
      </c>
      <c r="CC1311" s="23"/>
      <c r="CD1311" s="23"/>
      <c r="CE1311" s="23"/>
      <c r="CF1311" s="23"/>
      <c r="CG1311" s="23"/>
      <c r="CH1311" s="23"/>
      <c r="CI1311" s="23"/>
    </row>
    <row r="1312" spans="1:87" x14ac:dyDescent="0.3">
      <c r="A1312" s="9" t="s">
        <v>10495</v>
      </c>
      <c r="B1312" s="10" t="s">
        <v>10496</v>
      </c>
      <c r="C1312" s="11">
        <v>46030.020833333336</v>
      </c>
      <c r="D1312" s="12">
        <v>8.3333333333333329E-2</v>
      </c>
      <c r="E1312" s="11">
        <v>46030.104166666664</v>
      </c>
      <c r="F1312" s="10" t="s">
        <v>3211</v>
      </c>
      <c r="G1312" s="13" t="b">
        <v>0</v>
      </c>
      <c r="H1312" s="10" t="s">
        <v>3212</v>
      </c>
      <c r="I1312" s="10" t="s">
        <v>3213</v>
      </c>
      <c r="J1312" s="13" t="b">
        <v>0</v>
      </c>
      <c r="K1312" s="13" t="b">
        <v>1</v>
      </c>
      <c r="L1312" s="10" t="s">
        <v>124</v>
      </c>
      <c r="M1312" s="10" t="s">
        <v>91</v>
      </c>
      <c r="N1312" s="10" t="s">
        <v>92</v>
      </c>
      <c r="O1312" s="19" t="s">
        <v>10497</v>
      </c>
      <c r="P1312" s="10" t="s">
        <v>88</v>
      </c>
      <c r="Q1312" s="10" t="s">
        <v>126</v>
      </c>
      <c r="R1312" s="10"/>
      <c r="S1312" s="19" t="s">
        <v>10498</v>
      </c>
      <c r="T1312" s="10"/>
      <c r="U1312" s="10" t="s">
        <v>3230</v>
      </c>
      <c r="V1312" s="10" t="s">
        <v>3308</v>
      </c>
      <c r="W1312" s="10" t="s">
        <v>3219</v>
      </c>
      <c r="X1312" s="10" t="s">
        <v>130</v>
      </c>
      <c r="Y1312" s="10" t="s">
        <v>130</v>
      </c>
      <c r="Z1312" s="10" t="s">
        <v>99</v>
      </c>
      <c r="AA1312" s="10" t="s">
        <v>131</v>
      </c>
      <c r="AB1312" s="10" t="s">
        <v>3220</v>
      </c>
      <c r="AC1312" s="10" t="s">
        <v>3221</v>
      </c>
      <c r="AD1312" s="10" t="s">
        <v>10499</v>
      </c>
      <c r="AE1312" s="10" t="s">
        <v>10500</v>
      </c>
      <c r="AF1312" s="15"/>
      <c r="AG1312" s="10"/>
      <c r="AH1312" s="10"/>
      <c r="AI1312" s="10"/>
      <c r="AJ1312" s="10"/>
      <c r="AK1312" s="10" t="s">
        <v>102</v>
      </c>
      <c r="AL1312" s="10" t="s">
        <v>2201</v>
      </c>
      <c r="AM1312" s="10"/>
      <c r="AN1312" s="10"/>
      <c r="AO1312" s="13" t="b">
        <v>0</v>
      </c>
      <c r="AP1312" s="10" t="s">
        <v>104</v>
      </c>
      <c r="AQ1312" s="10">
        <f ca="1">IFERROR(__xludf.DUMMYFUNCTION("""COMPUTED_VALUE"""),4831739)</f>
        <v>4831739</v>
      </c>
      <c r="AR1312" s="17">
        <v>7024</v>
      </c>
      <c r="AS1312" s="17">
        <v>5094</v>
      </c>
      <c r="AT1312" s="17">
        <v>94304.5</v>
      </c>
      <c r="AU1312" s="17">
        <v>21.8</v>
      </c>
      <c r="AV1312" s="17">
        <v>4.8499999999999996</v>
      </c>
      <c r="AW1312" s="10" t="s">
        <v>105</v>
      </c>
      <c r="AX1312" s="17">
        <v>1017</v>
      </c>
      <c r="AY1312" s="18">
        <v>18.512858264625049</v>
      </c>
      <c r="AZ1312" s="10" t="s">
        <v>6778</v>
      </c>
      <c r="BA1312" s="20" t="b">
        <v>0</v>
      </c>
      <c r="BB1312" s="10"/>
      <c r="BC1312" s="17">
        <v>7024</v>
      </c>
      <c r="BD1312" s="17">
        <v>5094</v>
      </c>
      <c r="BE1312" s="17">
        <v>94304.5</v>
      </c>
      <c r="BF1312" s="17">
        <v>4.8499999999999996</v>
      </c>
      <c r="BG1312" s="11">
        <f ca="1">IFERROR(__xludf.DUMMYFUNCTION("""COMPUTED_VALUE"""),46030.0208333333)</f>
        <v>46030.020833333299</v>
      </c>
      <c r="BH1312" s="17" t="s">
        <v>105</v>
      </c>
      <c r="BI1312" s="17"/>
      <c r="BJ1312" s="15"/>
      <c r="BK1312" s="15"/>
      <c r="BL1312" s="13" t="b">
        <v>0</v>
      </c>
      <c r="BM1312" s="10"/>
      <c r="BN1312" s="10" t="s">
        <v>197</v>
      </c>
      <c r="BO1312" s="11">
        <v>45904.284594907411</v>
      </c>
      <c r="BP1312" s="11">
        <v>45981.501238425924</v>
      </c>
      <c r="BQ1312" s="15">
        <v>46020.54587962963</v>
      </c>
      <c r="BR1312" s="15">
        <v>46028.398159722223</v>
      </c>
      <c r="BS1312" s="10" t="s">
        <v>197</v>
      </c>
      <c r="BT1312" s="10" t="s">
        <v>99</v>
      </c>
      <c r="BU1312" s="10" t="s">
        <v>8013</v>
      </c>
      <c r="BV1312" s="10"/>
      <c r="BW1312" s="10"/>
      <c r="BX1312" s="10"/>
      <c r="BY1312" s="23"/>
      <c r="BZ1312" s="23"/>
      <c r="CA1312" s="19" t="s">
        <v>10501</v>
      </c>
      <c r="CB1312" s="19" t="s">
        <v>10502</v>
      </c>
      <c r="CC1312" s="23"/>
      <c r="CD1312" s="19" t="s">
        <v>10503</v>
      </c>
      <c r="CE1312" s="23"/>
      <c r="CF1312" s="23"/>
      <c r="CG1312" s="23"/>
      <c r="CH1312" s="23"/>
      <c r="CI1312" s="23"/>
    </row>
    <row r="1313" spans="1:87" x14ac:dyDescent="0.3">
      <c r="A1313" s="9" t="s">
        <v>10504</v>
      </c>
      <c r="B1313" s="10" t="s">
        <v>10505</v>
      </c>
      <c r="C1313" s="11">
        <v>46031.020833333336</v>
      </c>
      <c r="D1313" s="12">
        <v>8.3333333333333329E-2</v>
      </c>
      <c r="E1313" s="11">
        <v>46031.104166666664</v>
      </c>
      <c r="F1313" s="10" t="s">
        <v>3211</v>
      </c>
      <c r="G1313" s="13" t="b">
        <v>0</v>
      </c>
      <c r="H1313" s="10" t="s">
        <v>3212</v>
      </c>
      <c r="I1313" s="10" t="s">
        <v>3213</v>
      </c>
      <c r="J1313" s="13" t="b">
        <v>0</v>
      </c>
      <c r="K1313" s="13" t="b">
        <v>1</v>
      </c>
      <c r="L1313" s="10" t="s">
        <v>124</v>
      </c>
      <c r="M1313" s="10" t="s">
        <v>91</v>
      </c>
      <c r="N1313" s="10" t="s">
        <v>92</v>
      </c>
      <c r="O1313" s="19" t="s">
        <v>10506</v>
      </c>
      <c r="P1313" s="10" t="s">
        <v>3215</v>
      </c>
      <c r="Q1313" s="10" t="s">
        <v>126</v>
      </c>
      <c r="R1313" s="10"/>
      <c r="S1313" s="19" t="s">
        <v>10507</v>
      </c>
      <c r="T1313" s="10"/>
      <c r="U1313" s="10" t="s">
        <v>3440</v>
      </c>
      <c r="V1313" s="10" t="s">
        <v>3239</v>
      </c>
      <c r="W1313" s="10" t="s">
        <v>3219</v>
      </c>
      <c r="X1313" s="10" t="s">
        <v>130</v>
      </c>
      <c r="Y1313" s="10" t="s">
        <v>130</v>
      </c>
      <c r="Z1313" s="10" t="s">
        <v>99</v>
      </c>
      <c r="AA1313" s="10" t="s">
        <v>131</v>
      </c>
      <c r="AB1313" s="10" t="s">
        <v>3220</v>
      </c>
      <c r="AC1313" s="10" t="s">
        <v>3221</v>
      </c>
      <c r="AD1313" s="10" t="s">
        <v>10508</v>
      </c>
      <c r="AE1313" s="10" t="s">
        <v>10509</v>
      </c>
      <c r="AF1313" s="15"/>
      <c r="AG1313" s="10"/>
      <c r="AH1313" s="10"/>
      <c r="AI1313" s="10"/>
      <c r="AJ1313" s="10"/>
      <c r="AK1313" s="10" t="s">
        <v>102</v>
      </c>
      <c r="AL1313" s="10" t="s">
        <v>2201</v>
      </c>
      <c r="AM1313" s="10"/>
      <c r="AN1313" s="10"/>
      <c r="AO1313" s="13" t="b">
        <v>1</v>
      </c>
      <c r="AP1313" s="10" t="s">
        <v>104</v>
      </c>
      <c r="AQ1313" s="10">
        <f ca="1">IFERROR(__xludf.DUMMYFUNCTION("""COMPUTED_VALUE"""),4832226)</f>
        <v>4832226</v>
      </c>
      <c r="AR1313" s="17">
        <v>13397</v>
      </c>
      <c r="AS1313" s="17">
        <v>10609</v>
      </c>
      <c r="AT1313" s="17">
        <v>363663</v>
      </c>
      <c r="AU1313" s="17">
        <v>59.25</v>
      </c>
      <c r="AV1313" s="17">
        <v>9.6999999999999993</v>
      </c>
      <c r="AW1313" s="10" t="s">
        <v>105</v>
      </c>
      <c r="AX1313" s="17">
        <v>3032</v>
      </c>
      <c r="AY1313" s="18">
        <v>34.278725610330852</v>
      </c>
      <c r="AZ1313" s="10" t="s">
        <v>6778</v>
      </c>
      <c r="BA1313" s="20" t="b">
        <v>0</v>
      </c>
      <c r="BB1313" s="10"/>
      <c r="BC1313" s="17">
        <v>13397</v>
      </c>
      <c r="BD1313" s="17">
        <v>10609</v>
      </c>
      <c r="BE1313" s="17">
        <v>363663</v>
      </c>
      <c r="BF1313" s="17">
        <v>9.6999999999999993</v>
      </c>
      <c r="BG1313" s="11">
        <f ca="1">IFERROR(__xludf.DUMMYFUNCTION("""COMPUTED_VALUE"""),46031.0208333333)</f>
        <v>46031.020833333299</v>
      </c>
      <c r="BH1313" s="17" t="s">
        <v>105</v>
      </c>
      <c r="BI1313" s="17"/>
      <c r="BJ1313" s="15"/>
      <c r="BK1313" s="15"/>
      <c r="BL1313" s="13" t="b">
        <v>0</v>
      </c>
      <c r="BM1313" s="10"/>
      <c r="BN1313" s="10" t="s">
        <v>278</v>
      </c>
      <c r="BO1313" s="11">
        <v>45904.28402777778</v>
      </c>
      <c r="BP1313" s="11">
        <v>45981.502986111111</v>
      </c>
      <c r="BQ1313" s="15">
        <v>46021.539409722223</v>
      </c>
      <c r="BR1313" s="15">
        <v>46029.37835648148</v>
      </c>
      <c r="BS1313" s="10" t="s">
        <v>278</v>
      </c>
      <c r="BT1313" s="10" t="s">
        <v>279</v>
      </c>
      <c r="BU1313" s="10" t="s">
        <v>298</v>
      </c>
      <c r="BV1313" s="10"/>
      <c r="BW1313" s="10"/>
      <c r="BX1313" s="10"/>
      <c r="BY1313" s="23"/>
      <c r="BZ1313" s="23"/>
      <c r="CA1313" s="19" t="s">
        <v>10510</v>
      </c>
      <c r="CB1313" s="19" t="s">
        <v>10511</v>
      </c>
      <c r="CC1313" s="23"/>
      <c r="CD1313" s="19" t="s">
        <v>10512</v>
      </c>
      <c r="CE1313" s="23"/>
      <c r="CF1313" s="23"/>
      <c r="CG1313" s="23"/>
      <c r="CH1313" s="23"/>
      <c r="CI1313" s="23"/>
    </row>
    <row r="1314" spans="1:87" x14ac:dyDescent="0.3">
      <c r="A1314" s="9" t="s">
        <v>10513</v>
      </c>
      <c r="B1314" s="10" t="s">
        <v>10514</v>
      </c>
      <c r="C1314" s="11">
        <v>46030.114583333336</v>
      </c>
      <c r="D1314" s="12">
        <v>8.3333333333333329E-2</v>
      </c>
      <c r="E1314" s="11">
        <v>46030.197916666664</v>
      </c>
      <c r="F1314" s="10" t="s">
        <v>3211</v>
      </c>
      <c r="G1314" s="13" t="b">
        <v>0</v>
      </c>
      <c r="H1314" s="10" t="s">
        <v>3212</v>
      </c>
      <c r="I1314" s="10" t="s">
        <v>3213</v>
      </c>
      <c r="J1314" s="13" t="b">
        <v>0</v>
      </c>
      <c r="K1314" s="13" t="b">
        <v>1</v>
      </c>
      <c r="L1314" s="10" t="s">
        <v>124</v>
      </c>
      <c r="M1314" s="10" t="s">
        <v>91</v>
      </c>
      <c r="N1314" s="10" t="s">
        <v>92</v>
      </c>
      <c r="O1314" s="19" t="s">
        <v>10515</v>
      </c>
      <c r="P1314" s="10" t="s">
        <v>88</v>
      </c>
      <c r="Q1314" s="10" t="s">
        <v>126</v>
      </c>
      <c r="R1314" s="10"/>
      <c r="S1314" s="19" t="s">
        <v>10516</v>
      </c>
      <c r="T1314" s="10"/>
      <c r="U1314" s="10" t="s">
        <v>3250</v>
      </c>
      <c r="V1314" s="10" t="s">
        <v>3240</v>
      </c>
      <c r="W1314" s="10" t="s">
        <v>3219</v>
      </c>
      <c r="X1314" s="10" t="s">
        <v>130</v>
      </c>
      <c r="Y1314" s="10" t="s">
        <v>130</v>
      </c>
      <c r="Z1314" s="10" t="s">
        <v>99</v>
      </c>
      <c r="AA1314" s="10" t="s">
        <v>131</v>
      </c>
      <c r="AB1314" s="10" t="s">
        <v>3220</v>
      </c>
      <c r="AC1314" s="10" t="s">
        <v>3221</v>
      </c>
      <c r="AD1314" s="10" t="s">
        <v>10517</v>
      </c>
      <c r="AE1314" s="10" t="s">
        <v>10518</v>
      </c>
      <c r="AF1314" s="15"/>
      <c r="AG1314" s="10"/>
      <c r="AH1314" s="10"/>
      <c r="AI1314" s="10"/>
      <c r="AJ1314" s="10"/>
      <c r="AK1314" s="10" t="s">
        <v>102</v>
      </c>
      <c r="AL1314" s="10" t="s">
        <v>2201</v>
      </c>
      <c r="AM1314" s="10"/>
      <c r="AN1314" s="10"/>
      <c r="AO1314" s="13" t="b">
        <v>0</v>
      </c>
      <c r="AP1314" s="10" t="s">
        <v>104</v>
      </c>
      <c r="AQ1314" s="10">
        <f ca="1">IFERROR(__xludf.DUMMYFUNCTION("""COMPUTED_VALUE"""),4831740)</f>
        <v>4831740</v>
      </c>
      <c r="AR1314" s="17">
        <v>5537</v>
      </c>
      <c r="AS1314" s="17">
        <v>3818</v>
      </c>
      <c r="AT1314" s="17">
        <v>52751.5</v>
      </c>
      <c r="AU1314" s="17">
        <v>23.05</v>
      </c>
      <c r="AV1314" s="17">
        <v>4.4000000000000004</v>
      </c>
      <c r="AW1314" s="10" t="s">
        <v>105</v>
      </c>
      <c r="AX1314" s="17">
        <v>1053</v>
      </c>
      <c r="AY1314" s="18">
        <v>13.816526977475117</v>
      </c>
      <c r="AZ1314" s="10" t="s">
        <v>6778</v>
      </c>
      <c r="BA1314" s="20" t="b">
        <v>0</v>
      </c>
      <c r="BB1314" s="10"/>
      <c r="BC1314" s="17">
        <v>5537</v>
      </c>
      <c r="BD1314" s="17">
        <v>3818</v>
      </c>
      <c r="BE1314" s="17">
        <v>52751.5</v>
      </c>
      <c r="BF1314" s="17">
        <v>4.4000000000000004</v>
      </c>
      <c r="BG1314" s="11">
        <f ca="1">IFERROR(__xludf.DUMMYFUNCTION("""COMPUTED_VALUE"""),46030.1145833333)</f>
        <v>46030.114583333299</v>
      </c>
      <c r="BH1314" s="17" t="s">
        <v>105</v>
      </c>
      <c r="BI1314" s="17"/>
      <c r="BJ1314" s="15"/>
      <c r="BK1314" s="15"/>
      <c r="BL1314" s="13" t="b">
        <v>0</v>
      </c>
      <c r="BM1314" s="10"/>
      <c r="BN1314" s="10" t="s">
        <v>118</v>
      </c>
      <c r="BO1314" s="11">
        <v>45904.28402777778</v>
      </c>
      <c r="BP1314" s="11">
        <v>45981.502696759257</v>
      </c>
      <c r="BQ1314" s="15">
        <v>46021.729826388888</v>
      </c>
      <c r="BR1314" s="15">
        <v>46028.398298611108</v>
      </c>
      <c r="BS1314" s="10" t="s">
        <v>118</v>
      </c>
      <c r="BT1314" s="10"/>
      <c r="BU1314" s="10"/>
      <c r="BV1314" s="10"/>
      <c r="BW1314" s="10"/>
      <c r="BX1314" s="10"/>
      <c r="BY1314" s="23"/>
      <c r="BZ1314" s="23"/>
      <c r="CA1314" s="19" t="s">
        <v>10519</v>
      </c>
      <c r="CB1314" s="19" t="s">
        <v>10520</v>
      </c>
      <c r="CC1314" s="23"/>
      <c r="CD1314" s="19" t="s">
        <v>10521</v>
      </c>
      <c r="CE1314" s="23"/>
      <c r="CF1314" s="23"/>
      <c r="CG1314" s="23"/>
      <c r="CH1314" s="23"/>
      <c r="CI1314" s="23"/>
    </row>
    <row r="1315" spans="1:87" x14ac:dyDescent="0.3">
      <c r="A1315" s="9" t="s">
        <v>10522</v>
      </c>
      <c r="B1315" s="10" t="s">
        <v>10523</v>
      </c>
      <c r="C1315" s="11">
        <v>46029</v>
      </c>
      <c r="D1315" s="12">
        <v>8.3333333333333329E-2</v>
      </c>
      <c r="E1315" s="11">
        <v>46029.083333333336</v>
      </c>
      <c r="F1315" s="10" t="s">
        <v>3211</v>
      </c>
      <c r="G1315" s="13" t="b">
        <v>0</v>
      </c>
      <c r="H1315" s="10" t="s">
        <v>3212</v>
      </c>
      <c r="I1315" s="10" t="s">
        <v>3213</v>
      </c>
      <c r="J1315" s="13" t="b">
        <v>0</v>
      </c>
      <c r="K1315" s="13" t="b">
        <v>1</v>
      </c>
      <c r="L1315" s="10" t="s">
        <v>124</v>
      </c>
      <c r="M1315" s="10" t="s">
        <v>91</v>
      </c>
      <c r="N1315" s="10" t="s">
        <v>92</v>
      </c>
      <c r="O1315" s="19" t="s">
        <v>10524</v>
      </c>
      <c r="P1315" s="10" t="s">
        <v>3215</v>
      </c>
      <c r="Q1315" s="10" t="s">
        <v>126</v>
      </c>
      <c r="R1315" s="10"/>
      <c r="S1315" s="19" t="s">
        <v>10525</v>
      </c>
      <c r="T1315" s="10"/>
      <c r="U1315" s="10" t="s">
        <v>3218</v>
      </c>
      <c r="V1315" s="10" t="s">
        <v>3229</v>
      </c>
      <c r="W1315" s="10" t="s">
        <v>3219</v>
      </c>
      <c r="X1315" s="10" t="s">
        <v>130</v>
      </c>
      <c r="Y1315" s="10" t="s">
        <v>130</v>
      </c>
      <c r="Z1315" s="10" t="s">
        <v>99</v>
      </c>
      <c r="AA1315" s="10" t="s">
        <v>131</v>
      </c>
      <c r="AB1315" s="10" t="s">
        <v>3220</v>
      </c>
      <c r="AC1315" s="10" t="s">
        <v>3221</v>
      </c>
      <c r="AD1315" s="10" t="s">
        <v>10526</v>
      </c>
      <c r="AE1315" s="10" t="s">
        <v>10527</v>
      </c>
      <c r="AF1315" s="15"/>
      <c r="AG1315" s="10"/>
      <c r="AH1315" s="10"/>
      <c r="AI1315" s="10"/>
      <c r="AJ1315" s="10"/>
      <c r="AK1315" s="10" t="s">
        <v>102</v>
      </c>
      <c r="AL1315" s="10" t="s">
        <v>2201</v>
      </c>
      <c r="AM1315" s="10"/>
      <c r="AN1315" s="10"/>
      <c r="AO1315" s="13" t="b">
        <v>1</v>
      </c>
      <c r="AP1315" s="10" t="s">
        <v>104</v>
      </c>
      <c r="AQ1315" s="10">
        <f ca="1">IFERROR(__xludf.DUMMYFUNCTION("""COMPUTED_VALUE"""),4831593)</f>
        <v>4831593</v>
      </c>
      <c r="AR1315" s="17">
        <v>14913</v>
      </c>
      <c r="AS1315" s="17">
        <v>11631</v>
      </c>
      <c r="AT1315" s="17">
        <v>346654.25</v>
      </c>
      <c r="AU1315" s="17">
        <v>93.6</v>
      </c>
      <c r="AV1315" s="17">
        <v>8.75</v>
      </c>
      <c r="AW1315" s="10" t="s">
        <v>105</v>
      </c>
      <c r="AX1315" s="17">
        <v>3889</v>
      </c>
      <c r="AY1315" s="18">
        <v>29.804337546212707</v>
      </c>
      <c r="AZ1315" s="10" t="s">
        <v>6778</v>
      </c>
      <c r="BA1315" s="20" t="b">
        <v>0</v>
      </c>
      <c r="BB1315" s="10"/>
      <c r="BC1315" s="17">
        <v>14913</v>
      </c>
      <c r="BD1315" s="17">
        <v>11631</v>
      </c>
      <c r="BE1315" s="17">
        <v>346654.25</v>
      </c>
      <c r="BF1315" s="17">
        <v>8.75</v>
      </c>
      <c r="BG1315" s="11">
        <f ca="1">IFERROR(__xludf.DUMMYFUNCTION("""COMPUTED_VALUE"""),46029)</f>
        <v>46029</v>
      </c>
      <c r="BH1315" s="17" t="s">
        <v>105</v>
      </c>
      <c r="BI1315" s="17"/>
      <c r="BJ1315" s="15"/>
      <c r="BK1315" s="15"/>
      <c r="BL1315" s="13" t="b">
        <v>0</v>
      </c>
      <c r="BM1315" s="10"/>
      <c r="BN1315" s="10" t="s">
        <v>197</v>
      </c>
      <c r="BO1315" s="11">
        <v>45904.28402777778</v>
      </c>
      <c r="BP1315" s="11">
        <v>46027.7734837963</v>
      </c>
      <c r="BQ1315" s="15">
        <v>46020.531099537038</v>
      </c>
      <c r="BR1315" s="15">
        <v>46027.847905092596</v>
      </c>
      <c r="BS1315" s="10" t="s">
        <v>197</v>
      </c>
      <c r="BT1315" s="10" t="s">
        <v>279</v>
      </c>
      <c r="BU1315" s="10" t="s">
        <v>9200</v>
      </c>
      <c r="BV1315" s="10"/>
      <c r="BW1315" s="10"/>
      <c r="BX1315" s="10"/>
      <c r="BY1315" s="23"/>
      <c r="BZ1315" s="23"/>
      <c r="CA1315" s="19" t="s">
        <v>10528</v>
      </c>
      <c r="CB1315" s="19" t="s">
        <v>10529</v>
      </c>
      <c r="CC1315" s="23"/>
      <c r="CD1315" s="19" t="s">
        <v>10530</v>
      </c>
      <c r="CE1315" s="23"/>
      <c r="CF1315" s="23"/>
      <c r="CG1315" s="23"/>
      <c r="CH1315" s="23"/>
      <c r="CI1315" s="23"/>
    </row>
    <row r="1316" spans="1:87" x14ac:dyDescent="0.3">
      <c r="A1316" s="9" t="s">
        <v>10531</v>
      </c>
      <c r="B1316" s="10" t="s">
        <v>10532</v>
      </c>
      <c r="C1316" s="11">
        <v>46031.114583333336</v>
      </c>
      <c r="D1316" s="12">
        <v>8.3333333333333329E-2</v>
      </c>
      <c r="E1316" s="11">
        <v>46031.197916666664</v>
      </c>
      <c r="F1316" s="10" t="s">
        <v>3211</v>
      </c>
      <c r="G1316" s="13" t="b">
        <v>0</v>
      </c>
      <c r="H1316" s="10" t="s">
        <v>3212</v>
      </c>
      <c r="I1316" s="10" t="s">
        <v>10263</v>
      </c>
      <c r="J1316" s="13" t="b">
        <v>0</v>
      </c>
      <c r="K1316" s="13" t="b">
        <v>1</v>
      </c>
      <c r="L1316" s="10" t="s">
        <v>124</v>
      </c>
      <c r="M1316" s="10" t="s">
        <v>91</v>
      </c>
      <c r="N1316" s="10" t="s">
        <v>92</v>
      </c>
      <c r="O1316" s="19" t="s">
        <v>10533</v>
      </c>
      <c r="P1316" s="10" t="s">
        <v>3215</v>
      </c>
      <c r="Q1316" s="10" t="s">
        <v>126</v>
      </c>
      <c r="R1316" s="10"/>
      <c r="S1316" s="19" t="s">
        <v>10534</v>
      </c>
      <c r="T1316" s="10"/>
      <c r="U1316" s="10" t="s">
        <v>3289</v>
      </c>
      <c r="V1316" s="10" t="s">
        <v>3217</v>
      </c>
      <c r="W1316" s="10" t="s">
        <v>3219</v>
      </c>
      <c r="X1316" s="10" t="s">
        <v>130</v>
      </c>
      <c r="Y1316" s="10" t="s">
        <v>130</v>
      </c>
      <c r="Z1316" s="10" t="s">
        <v>99</v>
      </c>
      <c r="AA1316" s="10" t="s">
        <v>131</v>
      </c>
      <c r="AB1316" s="10" t="s">
        <v>3220</v>
      </c>
      <c r="AC1316" s="10" t="s">
        <v>3221</v>
      </c>
      <c r="AD1316" s="10" t="s">
        <v>10535</v>
      </c>
      <c r="AE1316" s="10" t="s">
        <v>10536</v>
      </c>
      <c r="AF1316" s="15"/>
      <c r="AG1316" s="10"/>
      <c r="AH1316" s="10"/>
      <c r="AI1316" s="10"/>
      <c r="AJ1316" s="10"/>
      <c r="AK1316" s="10" t="s">
        <v>102</v>
      </c>
      <c r="AL1316" s="10" t="s">
        <v>2201</v>
      </c>
      <c r="AM1316" s="10"/>
      <c r="AN1316" s="10"/>
      <c r="AO1316" s="13" t="b">
        <v>1</v>
      </c>
      <c r="AP1316" s="10" t="s">
        <v>104</v>
      </c>
      <c r="AQ1316" s="10">
        <f ca="1">IFERROR(__xludf.DUMMYFUNCTION("""COMPUTED_VALUE"""),4831591)</f>
        <v>4831591</v>
      </c>
      <c r="AR1316" s="17">
        <v>31694</v>
      </c>
      <c r="AS1316" s="17">
        <v>20303</v>
      </c>
      <c r="AT1316" s="17">
        <v>635116.75</v>
      </c>
      <c r="AU1316" s="17">
        <v>237.85</v>
      </c>
      <c r="AV1316" s="17">
        <v>18.149999999999999</v>
      </c>
      <c r="AW1316" s="10" t="s">
        <v>105</v>
      </c>
      <c r="AX1316" s="17">
        <v>8126</v>
      </c>
      <c r="AY1316" s="18">
        <v>31.281916465546963</v>
      </c>
      <c r="AZ1316" s="10" t="s">
        <v>6778</v>
      </c>
      <c r="BA1316" s="20" t="b">
        <v>0</v>
      </c>
      <c r="BB1316" s="10"/>
      <c r="BC1316" s="17">
        <v>31694</v>
      </c>
      <c r="BD1316" s="17">
        <v>20303</v>
      </c>
      <c r="BE1316" s="17">
        <v>635116.75</v>
      </c>
      <c r="BF1316" s="17">
        <v>18.149999999999999</v>
      </c>
      <c r="BG1316" s="11">
        <f ca="1">IFERROR(__xludf.DUMMYFUNCTION("""COMPUTED_VALUE"""),46031.1145833333)</f>
        <v>46031.114583333299</v>
      </c>
      <c r="BH1316" s="17" t="s">
        <v>105</v>
      </c>
      <c r="BI1316" s="17"/>
      <c r="BJ1316" s="15"/>
      <c r="BK1316" s="15"/>
      <c r="BL1316" s="13" t="b">
        <v>0</v>
      </c>
      <c r="BM1316" s="10"/>
      <c r="BN1316" s="10" t="s">
        <v>278</v>
      </c>
      <c r="BO1316" s="11">
        <v>45904.28402777778</v>
      </c>
      <c r="BP1316" s="11">
        <v>46021.45616898148</v>
      </c>
      <c r="BQ1316" s="15">
        <v>46021.697592592594</v>
      </c>
      <c r="BR1316" s="15">
        <v>46027.821168981478</v>
      </c>
      <c r="BS1316" s="10" t="s">
        <v>278</v>
      </c>
      <c r="BT1316" s="10" t="s">
        <v>279</v>
      </c>
      <c r="BU1316" s="10" t="s">
        <v>280</v>
      </c>
      <c r="BV1316" s="10"/>
      <c r="BW1316" s="10"/>
      <c r="BX1316" s="10"/>
      <c r="BY1316" s="23"/>
      <c r="BZ1316" s="23"/>
      <c r="CA1316" s="19" t="s">
        <v>10537</v>
      </c>
      <c r="CB1316" s="19" t="s">
        <v>10538</v>
      </c>
      <c r="CC1316" s="23"/>
      <c r="CD1316" s="19" t="s">
        <v>10539</v>
      </c>
      <c r="CE1316" s="23"/>
      <c r="CF1316" s="23"/>
      <c r="CG1316" s="23"/>
      <c r="CH1316" s="23"/>
      <c r="CI1316" s="23"/>
    </row>
    <row r="1317" spans="1:87" x14ac:dyDescent="0.3">
      <c r="A1317" s="9" t="s">
        <v>10540</v>
      </c>
      <c r="B1317" s="10" t="s">
        <v>10541</v>
      </c>
      <c r="C1317" s="11">
        <v>46030.020833333336</v>
      </c>
      <c r="D1317" s="12">
        <v>8.3333333333333329E-2</v>
      </c>
      <c r="E1317" s="11">
        <v>46030.104166666664</v>
      </c>
      <c r="F1317" s="10" t="s">
        <v>3211</v>
      </c>
      <c r="G1317" s="13" t="b">
        <v>0</v>
      </c>
      <c r="H1317" s="10" t="s">
        <v>3212</v>
      </c>
      <c r="I1317" s="10" t="s">
        <v>3213</v>
      </c>
      <c r="J1317" s="13" t="b">
        <v>0</v>
      </c>
      <c r="K1317" s="13" t="b">
        <v>1</v>
      </c>
      <c r="L1317" s="10" t="s">
        <v>124</v>
      </c>
      <c r="M1317" s="10" t="s">
        <v>91</v>
      </c>
      <c r="N1317" s="10" t="s">
        <v>92</v>
      </c>
      <c r="O1317" s="19" t="s">
        <v>10542</v>
      </c>
      <c r="P1317" s="10" t="s">
        <v>3215</v>
      </c>
      <c r="Q1317" s="10" t="s">
        <v>126</v>
      </c>
      <c r="R1317" s="10"/>
      <c r="S1317" s="19" t="s">
        <v>10543</v>
      </c>
      <c r="T1317" s="10"/>
      <c r="U1317" s="10" t="s">
        <v>3318</v>
      </c>
      <c r="V1317" s="10" t="s">
        <v>3270</v>
      </c>
      <c r="W1317" s="10" t="s">
        <v>3219</v>
      </c>
      <c r="X1317" s="10" t="s">
        <v>130</v>
      </c>
      <c r="Y1317" s="10" t="s">
        <v>130</v>
      </c>
      <c r="Z1317" s="10" t="s">
        <v>99</v>
      </c>
      <c r="AA1317" s="10" t="s">
        <v>131</v>
      </c>
      <c r="AB1317" s="10" t="s">
        <v>3220</v>
      </c>
      <c r="AC1317" s="10" t="s">
        <v>3221</v>
      </c>
      <c r="AD1317" s="10" t="s">
        <v>10544</v>
      </c>
      <c r="AE1317" s="10" t="s">
        <v>10545</v>
      </c>
      <c r="AF1317" s="15"/>
      <c r="AG1317" s="10"/>
      <c r="AH1317" s="10"/>
      <c r="AI1317" s="10"/>
      <c r="AJ1317" s="10"/>
      <c r="AK1317" s="10" t="s">
        <v>102</v>
      </c>
      <c r="AL1317" s="10" t="s">
        <v>2201</v>
      </c>
      <c r="AM1317" s="10"/>
      <c r="AN1317" s="10"/>
      <c r="AO1317" s="13" t="b">
        <v>1</v>
      </c>
      <c r="AP1317" s="10" t="s">
        <v>104</v>
      </c>
      <c r="AQ1317" s="10">
        <f ca="1">IFERROR(__xludf.DUMMYFUNCTION("""COMPUTED_VALUE"""),4831594)</f>
        <v>4831594</v>
      </c>
      <c r="AR1317" s="17">
        <v>21317</v>
      </c>
      <c r="AS1317" s="17">
        <v>15021</v>
      </c>
      <c r="AT1317" s="17">
        <v>547179</v>
      </c>
      <c r="AU1317" s="17">
        <v>125.85</v>
      </c>
      <c r="AV1317" s="17">
        <v>15.5</v>
      </c>
      <c r="AW1317" s="10" t="s">
        <v>105</v>
      </c>
      <c r="AX1317" s="17">
        <v>5398</v>
      </c>
      <c r="AY1317" s="18">
        <v>36.427601358098663</v>
      </c>
      <c r="AZ1317" s="10" t="s">
        <v>6778</v>
      </c>
      <c r="BA1317" s="20" t="b">
        <v>0</v>
      </c>
      <c r="BB1317" s="10"/>
      <c r="BC1317" s="17">
        <v>21317</v>
      </c>
      <c r="BD1317" s="17">
        <v>15021</v>
      </c>
      <c r="BE1317" s="17">
        <v>547179</v>
      </c>
      <c r="BF1317" s="17">
        <v>15.5</v>
      </c>
      <c r="BG1317" s="11">
        <f ca="1">IFERROR(__xludf.DUMMYFUNCTION("""COMPUTED_VALUE"""),46030.0208333333)</f>
        <v>46030.020833333299</v>
      </c>
      <c r="BH1317" s="17" t="s">
        <v>105</v>
      </c>
      <c r="BI1317" s="17"/>
      <c r="BJ1317" s="15"/>
      <c r="BK1317" s="15"/>
      <c r="BL1317" s="13" t="b">
        <v>0</v>
      </c>
      <c r="BM1317" s="10"/>
      <c r="BN1317" s="10" t="s">
        <v>197</v>
      </c>
      <c r="BO1317" s="11">
        <v>45904.28402777778</v>
      </c>
      <c r="BP1317" s="11">
        <v>45981.501747685186</v>
      </c>
      <c r="BQ1317" s="15">
        <v>46020.564027777778</v>
      </c>
      <c r="BR1317" s="15">
        <v>46027.847685185188</v>
      </c>
      <c r="BS1317" s="10" t="s">
        <v>197</v>
      </c>
      <c r="BT1317" s="10" t="s">
        <v>279</v>
      </c>
      <c r="BU1317" s="10" t="s">
        <v>5492</v>
      </c>
      <c r="BV1317" s="10"/>
      <c r="BW1317" s="10"/>
      <c r="BX1317" s="10"/>
      <c r="BY1317" s="23"/>
      <c r="BZ1317" s="23"/>
      <c r="CA1317" s="19" t="s">
        <v>10546</v>
      </c>
      <c r="CB1317" s="19" t="s">
        <v>10547</v>
      </c>
      <c r="CC1317" s="23"/>
      <c r="CD1317" s="19" t="s">
        <v>10548</v>
      </c>
      <c r="CE1317" s="23"/>
      <c r="CF1317" s="23"/>
      <c r="CG1317" s="23"/>
      <c r="CH1317" s="23"/>
      <c r="CI1317" s="23"/>
    </row>
    <row r="1318" spans="1:87" x14ac:dyDescent="0.3">
      <c r="A1318" s="9" t="s">
        <v>10549</v>
      </c>
      <c r="B1318" s="10" t="s">
        <v>10550</v>
      </c>
      <c r="C1318" s="11">
        <v>46030.114583333336</v>
      </c>
      <c r="D1318" s="12">
        <v>8.3333333333333329E-2</v>
      </c>
      <c r="E1318" s="11">
        <v>46030.197916666664</v>
      </c>
      <c r="F1318" s="10" t="s">
        <v>3211</v>
      </c>
      <c r="G1318" s="13" t="b">
        <v>0</v>
      </c>
      <c r="H1318" s="10" t="s">
        <v>3212</v>
      </c>
      <c r="I1318" s="10" t="s">
        <v>10263</v>
      </c>
      <c r="J1318" s="13" t="b">
        <v>0</v>
      </c>
      <c r="K1318" s="13" t="b">
        <v>1</v>
      </c>
      <c r="L1318" s="10" t="s">
        <v>124</v>
      </c>
      <c r="M1318" s="10" t="s">
        <v>91</v>
      </c>
      <c r="N1318" s="10" t="s">
        <v>92</v>
      </c>
      <c r="O1318" s="19" t="s">
        <v>10551</v>
      </c>
      <c r="P1318" s="10" t="s">
        <v>3215</v>
      </c>
      <c r="Q1318" s="10" t="s">
        <v>126</v>
      </c>
      <c r="R1318" s="10"/>
      <c r="S1318" s="19" t="s">
        <v>10552</v>
      </c>
      <c r="T1318" s="10"/>
      <c r="U1318" s="10" t="s">
        <v>3260</v>
      </c>
      <c r="V1318" s="10" t="s">
        <v>3278</v>
      </c>
      <c r="W1318" s="10" t="s">
        <v>3219</v>
      </c>
      <c r="X1318" s="10" t="s">
        <v>130</v>
      </c>
      <c r="Y1318" s="10" t="s">
        <v>130</v>
      </c>
      <c r="Z1318" s="10" t="s">
        <v>99</v>
      </c>
      <c r="AA1318" s="10" t="s">
        <v>131</v>
      </c>
      <c r="AB1318" s="10" t="s">
        <v>3220</v>
      </c>
      <c r="AC1318" s="10" t="s">
        <v>3221</v>
      </c>
      <c r="AD1318" s="10" t="s">
        <v>10553</v>
      </c>
      <c r="AE1318" s="10" t="s">
        <v>10554</v>
      </c>
      <c r="AF1318" s="15"/>
      <c r="AG1318" s="10"/>
      <c r="AH1318" s="10"/>
      <c r="AI1318" s="10"/>
      <c r="AJ1318" s="10"/>
      <c r="AK1318" s="10" t="s">
        <v>102</v>
      </c>
      <c r="AL1318" s="10" t="s">
        <v>2201</v>
      </c>
      <c r="AM1318" s="10"/>
      <c r="AN1318" s="10"/>
      <c r="AO1318" s="13" t="b">
        <v>1</v>
      </c>
      <c r="AP1318" s="10" t="s">
        <v>104</v>
      </c>
      <c r="AQ1318" s="10">
        <f ca="1">IFERROR(__xludf.DUMMYFUNCTION("""COMPUTED_VALUE"""),4831589)</f>
        <v>4831589</v>
      </c>
      <c r="AR1318" s="17">
        <v>19636</v>
      </c>
      <c r="AS1318" s="17">
        <v>12310</v>
      </c>
      <c r="AT1318" s="17">
        <v>478884</v>
      </c>
      <c r="AU1318" s="17">
        <v>172.35</v>
      </c>
      <c r="AV1318" s="17">
        <v>17.45</v>
      </c>
      <c r="AW1318" s="10" t="s">
        <v>105</v>
      </c>
      <c r="AX1318" s="17">
        <v>6092</v>
      </c>
      <c r="AY1318" s="18">
        <v>38.90203086921202</v>
      </c>
      <c r="AZ1318" s="10" t="s">
        <v>6778</v>
      </c>
      <c r="BA1318" s="20" t="b">
        <v>0</v>
      </c>
      <c r="BB1318" s="10"/>
      <c r="BC1318" s="17">
        <v>19636</v>
      </c>
      <c r="BD1318" s="17">
        <v>12310</v>
      </c>
      <c r="BE1318" s="17">
        <v>478884</v>
      </c>
      <c r="BF1318" s="17">
        <v>17.45</v>
      </c>
      <c r="BG1318" s="11">
        <f ca="1">IFERROR(__xludf.DUMMYFUNCTION("""COMPUTED_VALUE"""),46030.1145833333)</f>
        <v>46030.114583333299</v>
      </c>
      <c r="BH1318" s="17" t="s">
        <v>105</v>
      </c>
      <c r="BI1318" s="17"/>
      <c r="BJ1318" s="15"/>
      <c r="BK1318" s="15"/>
      <c r="BL1318" s="13" t="b">
        <v>0</v>
      </c>
      <c r="BM1318" s="10"/>
      <c r="BN1318" s="10" t="s">
        <v>197</v>
      </c>
      <c r="BO1318" s="11">
        <v>45904.28402777778</v>
      </c>
      <c r="BP1318" s="11">
        <v>46021.456030092595</v>
      </c>
      <c r="BQ1318" s="15">
        <v>46021.536793981482</v>
      </c>
      <c r="BR1318" s="15">
        <v>46027.82099537037</v>
      </c>
      <c r="BS1318" s="10" t="s">
        <v>197</v>
      </c>
      <c r="BT1318" s="10" t="s">
        <v>279</v>
      </c>
      <c r="BU1318" s="10" t="s">
        <v>8038</v>
      </c>
      <c r="BV1318" s="10"/>
      <c r="BW1318" s="10"/>
      <c r="BX1318" s="10"/>
      <c r="BY1318" s="23"/>
      <c r="BZ1318" s="23"/>
      <c r="CA1318" s="19" t="s">
        <v>10555</v>
      </c>
      <c r="CB1318" s="19" t="s">
        <v>10556</v>
      </c>
      <c r="CC1318" s="23"/>
      <c r="CD1318" s="19" t="s">
        <v>10557</v>
      </c>
      <c r="CE1318" s="23"/>
      <c r="CF1318" s="23"/>
      <c r="CG1318" s="23"/>
      <c r="CH1318" s="23"/>
      <c r="CI1318" s="23"/>
    </row>
    <row r="1319" spans="1:87" x14ac:dyDescent="0.3">
      <c r="A1319" s="9" t="s">
        <v>10558</v>
      </c>
      <c r="B1319" s="10" t="s">
        <v>10559</v>
      </c>
      <c r="C1319" s="11">
        <v>46028.875</v>
      </c>
      <c r="D1319" s="12">
        <v>8.3333333333333329E-2</v>
      </c>
      <c r="E1319" s="11">
        <v>46028.958333333336</v>
      </c>
      <c r="F1319" s="10" t="s">
        <v>3211</v>
      </c>
      <c r="G1319" s="13" t="b">
        <v>0</v>
      </c>
      <c r="H1319" s="10" t="s">
        <v>3212</v>
      </c>
      <c r="I1319" s="10" t="s">
        <v>3213</v>
      </c>
      <c r="J1319" s="13" t="b">
        <v>0</v>
      </c>
      <c r="K1319" s="13" t="b">
        <v>1</v>
      </c>
      <c r="L1319" s="10" t="s">
        <v>124</v>
      </c>
      <c r="M1319" s="10" t="s">
        <v>91</v>
      </c>
      <c r="N1319" s="10" t="s">
        <v>92</v>
      </c>
      <c r="O1319" s="19" t="s">
        <v>10560</v>
      </c>
      <c r="P1319" s="10" t="s">
        <v>3215</v>
      </c>
      <c r="Q1319" s="10" t="s">
        <v>94</v>
      </c>
      <c r="R1319" s="10"/>
      <c r="S1319" s="10"/>
      <c r="T1319" s="10"/>
      <c r="U1319" s="10" t="s">
        <v>3451</v>
      </c>
      <c r="V1319" s="10" t="s">
        <v>3249</v>
      </c>
      <c r="W1319" s="10" t="s">
        <v>3219</v>
      </c>
      <c r="X1319" s="10" t="s">
        <v>130</v>
      </c>
      <c r="Y1319" s="10" t="s">
        <v>130</v>
      </c>
      <c r="Z1319" s="10" t="s">
        <v>99</v>
      </c>
      <c r="AA1319" s="10" t="s">
        <v>131</v>
      </c>
      <c r="AB1319" s="10" t="s">
        <v>3220</v>
      </c>
      <c r="AC1319" s="10" t="s">
        <v>3221</v>
      </c>
      <c r="AD1319" s="10" t="s">
        <v>10561</v>
      </c>
      <c r="AE1319" s="10" t="s">
        <v>10562</v>
      </c>
      <c r="AF1319" s="15"/>
      <c r="AG1319" s="10"/>
      <c r="AH1319" s="10"/>
      <c r="AI1319" s="10"/>
      <c r="AJ1319" s="10"/>
      <c r="AK1319" s="10" t="s">
        <v>102</v>
      </c>
      <c r="AL1319" s="10" t="s">
        <v>2201</v>
      </c>
      <c r="AM1319" s="10"/>
      <c r="AN1319" s="10"/>
      <c r="AO1319" s="13" t="b">
        <v>0</v>
      </c>
      <c r="AP1319" s="10" t="s">
        <v>104</v>
      </c>
      <c r="AQ1319" s="10">
        <f ca="1">IFERROR(__xludf.DUMMYFUNCTION("""COMPUTED_VALUE"""),4827703)</f>
        <v>4827703</v>
      </c>
      <c r="AR1319" s="17">
        <v>22551</v>
      </c>
      <c r="AS1319" s="17">
        <v>17084</v>
      </c>
      <c r="AT1319" s="17">
        <v>453095</v>
      </c>
      <c r="AU1319" s="17">
        <v>175.35</v>
      </c>
      <c r="AV1319" s="17">
        <v>25.9</v>
      </c>
      <c r="AW1319" s="10" t="s">
        <v>105</v>
      </c>
      <c r="AX1319" s="17">
        <v>5206</v>
      </c>
      <c r="AY1319" s="18">
        <v>26.521599157106063</v>
      </c>
      <c r="AZ1319" s="10"/>
      <c r="BA1319" s="20" t="b">
        <v>0</v>
      </c>
      <c r="BB1319" s="10"/>
      <c r="BC1319" s="17">
        <v>22551</v>
      </c>
      <c r="BD1319" s="17">
        <v>17084</v>
      </c>
      <c r="BE1319" s="17">
        <v>453095</v>
      </c>
      <c r="BF1319" s="17">
        <v>25.9</v>
      </c>
      <c r="BG1319" s="11">
        <f ca="1">IFERROR(__xludf.DUMMYFUNCTION("""COMPUTED_VALUE"""),46028.875)</f>
        <v>46028.875</v>
      </c>
      <c r="BH1319" s="17" t="s">
        <v>105</v>
      </c>
      <c r="BI1319" s="17"/>
      <c r="BJ1319" s="15"/>
      <c r="BK1319" s="15"/>
      <c r="BL1319" s="13" t="b">
        <v>0</v>
      </c>
      <c r="BM1319" s="10"/>
      <c r="BN1319" s="10" t="s">
        <v>137</v>
      </c>
      <c r="BO1319" s="11">
        <v>45904.284594907411</v>
      </c>
      <c r="BP1319" s="11">
        <v>45981.500289351854</v>
      </c>
      <c r="BQ1319" s="15"/>
      <c r="BR1319" s="15">
        <v>46026.465266203704</v>
      </c>
      <c r="BS1319" s="10" t="s">
        <v>137</v>
      </c>
      <c r="BT1319" s="10"/>
      <c r="BU1319" s="10"/>
      <c r="BV1319" s="10"/>
      <c r="BW1319" s="10"/>
      <c r="BX1319" s="10"/>
      <c r="BY1319" s="23"/>
      <c r="BZ1319" s="23"/>
      <c r="CA1319" s="19" t="s">
        <v>10563</v>
      </c>
      <c r="CB1319" s="19" t="s">
        <v>10564</v>
      </c>
      <c r="CC1319" s="23"/>
      <c r="CD1319" s="23"/>
      <c r="CE1319" s="23"/>
      <c r="CF1319" s="23"/>
      <c r="CG1319" s="23"/>
      <c r="CH1319" s="23"/>
      <c r="CI1319" s="23"/>
    </row>
    <row r="1320" spans="1:87" x14ac:dyDescent="0.3">
      <c r="A1320" s="9" t="s">
        <v>10565</v>
      </c>
      <c r="B1320" s="10" t="s">
        <v>10566</v>
      </c>
      <c r="C1320" s="11">
        <v>46029.114583333336</v>
      </c>
      <c r="D1320" s="12">
        <v>8.3333333333333329E-2</v>
      </c>
      <c r="E1320" s="11">
        <v>46029.197916666664</v>
      </c>
      <c r="F1320" s="10" t="s">
        <v>3211</v>
      </c>
      <c r="G1320" s="13" t="b">
        <v>0</v>
      </c>
      <c r="H1320" s="10" t="s">
        <v>3212</v>
      </c>
      <c r="I1320" s="10" t="s">
        <v>10263</v>
      </c>
      <c r="J1320" s="13" t="b">
        <v>0</v>
      </c>
      <c r="K1320" s="13" t="b">
        <v>1</v>
      </c>
      <c r="L1320" s="10" t="s">
        <v>124</v>
      </c>
      <c r="M1320" s="10" t="s">
        <v>91</v>
      </c>
      <c r="N1320" s="10" t="s">
        <v>92</v>
      </c>
      <c r="O1320" s="19" t="s">
        <v>10567</v>
      </c>
      <c r="P1320" s="10" t="s">
        <v>3215</v>
      </c>
      <c r="Q1320" s="10" t="s">
        <v>126</v>
      </c>
      <c r="R1320" s="10"/>
      <c r="S1320" s="19" t="s">
        <v>10568</v>
      </c>
      <c r="T1320" s="10"/>
      <c r="U1320" s="10" t="s">
        <v>3429</v>
      </c>
      <c r="V1320" s="10" t="s">
        <v>3259</v>
      </c>
      <c r="W1320" s="10" t="s">
        <v>3219</v>
      </c>
      <c r="X1320" s="10" t="s">
        <v>130</v>
      </c>
      <c r="Y1320" s="10" t="s">
        <v>130</v>
      </c>
      <c r="Z1320" s="10" t="s">
        <v>99</v>
      </c>
      <c r="AA1320" s="10" t="s">
        <v>131</v>
      </c>
      <c r="AB1320" s="10" t="s">
        <v>3220</v>
      </c>
      <c r="AC1320" s="10" t="s">
        <v>3221</v>
      </c>
      <c r="AD1320" s="10" t="s">
        <v>10569</v>
      </c>
      <c r="AE1320" s="10" t="s">
        <v>10570</v>
      </c>
      <c r="AF1320" s="15"/>
      <c r="AG1320" s="10"/>
      <c r="AH1320" s="10"/>
      <c r="AI1320" s="10"/>
      <c r="AJ1320" s="10"/>
      <c r="AK1320" s="10" t="s">
        <v>102</v>
      </c>
      <c r="AL1320" s="10" t="s">
        <v>2201</v>
      </c>
      <c r="AM1320" s="10"/>
      <c r="AN1320" s="10"/>
      <c r="AO1320" s="13" t="b">
        <v>1</v>
      </c>
      <c r="AP1320" s="10" t="s">
        <v>104</v>
      </c>
      <c r="AQ1320" s="10">
        <f ca="1">IFERROR(__xludf.DUMMYFUNCTION("""COMPUTED_VALUE"""),4831587)</f>
        <v>4831587</v>
      </c>
      <c r="AR1320" s="17">
        <v>18279</v>
      </c>
      <c r="AS1320" s="17">
        <v>12997</v>
      </c>
      <c r="AT1320" s="17">
        <v>389623.5</v>
      </c>
      <c r="AU1320" s="17">
        <v>109.6</v>
      </c>
      <c r="AV1320" s="17">
        <v>16.649999999999999</v>
      </c>
      <c r="AW1320" s="10" t="s">
        <v>105</v>
      </c>
      <c r="AX1320" s="17">
        <v>4833</v>
      </c>
      <c r="AY1320" s="18">
        <v>29.977956451488804</v>
      </c>
      <c r="AZ1320" s="10" t="s">
        <v>6778</v>
      </c>
      <c r="BA1320" s="20" t="b">
        <v>0</v>
      </c>
      <c r="BB1320" s="10"/>
      <c r="BC1320" s="17">
        <v>18279</v>
      </c>
      <c r="BD1320" s="17">
        <v>12997</v>
      </c>
      <c r="BE1320" s="17">
        <v>389623.5</v>
      </c>
      <c r="BF1320" s="17">
        <v>16.649999999999999</v>
      </c>
      <c r="BG1320" s="11">
        <f ca="1">IFERROR(__xludf.DUMMYFUNCTION("""COMPUTED_VALUE"""),46029.1145833333)</f>
        <v>46029.114583333299</v>
      </c>
      <c r="BH1320" s="17" t="s">
        <v>105</v>
      </c>
      <c r="BI1320" s="17"/>
      <c r="BJ1320" s="15"/>
      <c r="BK1320" s="15"/>
      <c r="BL1320" s="13" t="b">
        <v>0</v>
      </c>
      <c r="BM1320" s="10"/>
      <c r="BN1320" s="10" t="s">
        <v>197</v>
      </c>
      <c r="BO1320" s="11">
        <v>45904.28402777778</v>
      </c>
      <c r="BP1320" s="11">
        <v>46021.455763888887</v>
      </c>
      <c r="BQ1320" s="15">
        <v>46020.538310185184</v>
      </c>
      <c r="BR1320" s="15">
        <v>46027.820729166669</v>
      </c>
      <c r="BS1320" s="10" t="s">
        <v>197</v>
      </c>
      <c r="BT1320" s="10" t="s">
        <v>279</v>
      </c>
      <c r="BU1320" s="10" t="s">
        <v>9200</v>
      </c>
      <c r="BV1320" s="10" t="s">
        <v>124</v>
      </c>
      <c r="BW1320" s="10"/>
      <c r="BX1320" s="10"/>
      <c r="BY1320" s="23"/>
      <c r="BZ1320" s="23"/>
      <c r="CA1320" s="19" t="s">
        <v>10571</v>
      </c>
      <c r="CB1320" s="19" t="s">
        <v>10572</v>
      </c>
      <c r="CC1320" s="23"/>
      <c r="CD1320" s="19" t="s">
        <v>10573</v>
      </c>
      <c r="CE1320" s="23"/>
      <c r="CF1320" s="23"/>
      <c r="CG1320" s="23"/>
      <c r="CH1320" s="23"/>
      <c r="CI1320" s="23"/>
    </row>
    <row r="1321" spans="1:87" x14ac:dyDescent="0.3">
      <c r="A1321" s="9" t="s">
        <v>10574</v>
      </c>
      <c r="B1321" s="10" t="s">
        <v>10575</v>
      </c>
      <c r="C1321" s="11">
        <v>46030.114583333336</v>
      </c>
      <c r="D1321" s="12">
        <v>8.3333333333333329E-2</v>
      </c>
      <c r="E1321" s="11">
        <v>46030.197916666664</v>
      </c>
      <c r="F1321" s="10" t="s">
        <v>3211</v>
      </c>
      <c r="G1321" s="13" t="b">
        <v>0</v>
      </c>
      <c r="H1321" s="10" t="s">
        <v>3212</v>
      </c>
      <c r="I1321" s="10" t="s">
        <v>3213</v>
      </c>
      <c r="J1321" s="13" t="b">
        <v>0</v>
      </c>
      <c r="K1321" s="13" t="b">
        <v>1</v>
      </c>
      <c r="L1321" s="10" t="s">
        <v>124</v>
      </c>
      <c r="M1321" s="10" t="s">
        <v>91</v>
      </c>
      <c r="N1321" s="10" t="s">
        <v>92</v>
      </c>
      <c r="O1321" s="19" t="s">
        <v>10576</v>
      </c>
      <c r="P1321" s="10" t="s">
        <v>3478</v>
      </c>
      <c r="Q1321" s="10" t="s">
        <v>94</v>
      </c>
      <c r="R1321" s="10"/>
      <c r="S1321" s="10"/>
      <c r="T1321" s="10"/>
      <c r="U1321" s="10" t="s">
        <v>3279</v>
      </c>
      <c r="V1321" s="10" t="s">
        <v>3269</v>
      </c>
      <c r="W1321" s="10" t="s">
        <v>3219</v>
      </c>
      <c r="X1321" s="10" t="s">
        <v>130</v>
      </c>
      <c r="Y1321" s="10" t="s">
        <v>130</v>
      </c>
      <c r="Z1321" s="10" t="s">
        <v>99</v>
      </c>
      <c r="AA1321" s="10" t="s">
        <v>131</v>
      </c>
      <c r="AB1321" s="10" t="s">
        <v>3220</v>
      </c>
      <c r="AC1321" s="10" t="s">
        <v>3221</v>
      </c>
      <c r="AD1321" s="10" t="s">
        <v>10577</v>
      </c>
      <c r="AE1321" s="10" t="s">
        <v>10578</v>
      </c>
      <c r="AF1321" s="15"/>
      <c r="AG1321" s="10"/>
      <c r="AH1321" s="10"/>
      <c r="AI1321" s="10"/>
      <c r="AJ1321" s="10"/>
      <c r="AK1321" s="10" t="s">
        <v>102</v>
      </c>
      <c r="AL1321" s="10" t="s">
        <v>2201</v>
      </c>
      <c r="AM1321" s="10"/>
      <c r="AN1321" s="10"/>
      <c r="AO1321" s="13" t="b">
        <v>0</v>
      </c>
      <c r="AP1321" s="10" t="s">
        <v>104</v>
      </c>
      <c r="AQ1321" s="10">
        <f ca="1">IFERROR(__xludf.DUMMYFUNCTION("""COMPUTED_VALUE"""),4831741)</f>
        <v>4831741</v>
      </c>
      <c r="AR1321" s="17">
        <v>1714</v>
      </c>
      <c r="AS1321" s="17">
        <v>1280</v>
      </c>
      <c r="AT1321" s="17">
        <v>5287.5</v>
      </c>
      <c r="AU1321" s="17">
        <v>3.55</v>
      </c>
      <c r="AV1321" s="17">
        <v>0</v>
      </c>
      <c r="AW1321" s="10" t="s">
        <v>105</v>
      </c>
      <c r="AX1321" s="17">
        <v>255</v>
      </c>
      <c r="AY1321" s="18">
        <v>4.130859375</v>
      </c>
      <c r="AZ1321" s="10"/>
      <c r="BA1321" s="20" t="b">
        <v>0</v>
      </c>
      <c r="BB1321" s="10"/>
      <c r="BC1321" s="17">
        <v>1714</v>
      </c>
      <c r="BD1321" s="17">
        <v>1280</v>
      </c>
      <c r="BE1321" s="17">
        <v>5287.5</v>
      </c>
      <c r="BF1321" s="17">
        <v>0</v>
      </c>
      <c r="BG1321" s="11">
        <f ca="1">IFERROR(__xludf.DUMMYFUNCTION("""COMPUTED_VALUE"""),46030.1145833333)</f>
        <v>46030.114583333299</v>
      </c>
      <c r="BH1321" s="17" t="s">
        <v>105</v>
      </c>
      <c r="BI1321" s="17"/>
      <c r="BJ1321" s="15"/>
      <c r="BK1321" s="15"/>
      <c r="BL1321" s="13" t="b">
        <v>0</v>
      </c>
      <c r="BM1321" s="10"/>
      <c r="BN1321" s="10" t="s">
        <v>118</v>
      </c>
      <c r="BO1321" s="11">
        <v>45904.284594907411</v>
      </c>
      <c r="BP1321" s="11">
        <v>45981.502372685187</v>
      </c>
      <c r="BQ1321" s="15"/>
      <c r="BR1321" s="15">
        <v>46028.398449074077</v>
      </c>
      <c r="BS1321" s="10" t="s">
        <v>118</v>
      </c>
      <c r="BT1321" s="10"/>
      <c r="BU1321" s="10"/>
      <c r="BV1321" s="10"/>
      <c r="BW1321" s="10"/>
      <c r="BX1321" s="10"/>
      <c r="BY1321" s="23"/>
      <c r="BZ1321" s="23"/>
      <c r="CA1321" s="19" t="s">
        <v>10579</v>
      </c>
      <c r="CB1321" s="19" t="s">
        <v>10580</v>
      </c>
      <c r="CC1321" s="23"/>
      <c r="CD1321" s="23"/>
      <c r="CE1321" s="23"/>
      <c r="CF1321" s="23"/>
      <c r="CG1321" s="23"/>
      <c r="CH1321" s="23"/>
      <c r="CI1321" s="23"/>
    </row>
    <row r="1322" spans="1:87" x14ac:dyDescent="0.3">
      <c r="A1322" s="9" t="s">
        <v>10581</v>
      </c>
      <c r="B1322" s="10" t="s">
        <v>10582</v>
      </c>
      <c r="C1322" s="11">
        <v>46033.114583333336</v>
      </c>
      <c r="D1322" s="12">
        <v>8.3333333333333329E-2</v>
      </c>
      <c r="E1322" s="11">
        <v>46033.197916666664</v>
      </c>
      <c r="F1322" s="10" t="s">
        <v>3211</v>
      </c>
      <c r="G1322" s="13" t="b">
        <v>0</v>
      </c>
      <c r="H1322" s="10" t="s">
        <v>3212</v>
      </c>
      <c r="I1322" s="10" t="s">
        <v>3213</v>
      </c>
      <c r="J1322" s="13" t="b">
        <v>0</v>
      </c>
      <c r="K1322" s="13" t="b">
        <v>1</v>
      </c>
      <c r="L1322" s="10" t="s">
        <v>124</v>
      </c>
      <c r="M1322" s="10" t="s">
        <v>91</v>
      </c>
      <c r="N1322" s="10" t="s">
        <v>92</v>
      </c>
      <c r="O1322" s="19" t="s">
        <v>10583</v>
      </c>
      <c r="P1322" s="10" t="s">
        <v>3215</v>
      </c>
      <c r="Q1322" s="10" t="s">
        <v>126</v>
      </c>
      <c r="R1322" s="10"/>
      <c r="S1322" s="19" t="s">
        <v>10584</v>
      </c>
      <c r="T1322" s="10"/>
      <c r="U1322" s="10" t="s">
        <v>3308</v>
      </c>
      <c r="V1322" s="10" t="s">
        <v>3279</v>
      </c>
      <c r="W1322" s="10" t="s">
        <v>3219</v>
      </c>
      <c r="X1322" s="10" t="s">
        <v>130</v>
      </c>
      <c r="Y1322" s="10" t="s">
        <v>130</v>
      </c>
      <c r="Z1322" s="10" t="s">
        <v>99</v>
      </c>
      <c r="AA1322" s="10" t="s">
        <v>131</v>
      </c>
      <c r="AB1322" s="10" t="s">
        <v>3220</v>
      </c>
      <c r="AC1322" s="10" t="s">
        <v>3221</v>
      </c>
      <c r="AD1322" s="10" t="s">
        <v>10585</v>
      </c>
      <c r="AE1322" s="10" t="s">
        <v>10586</v>
      </c>
      <c r="AF1322" s="15"/>
      <c r="AG1322" s="10"/>
      <c r="AH1322" s="10"/>
      <c r="AI1322" s="10"/>
      <c r="AJ1322" s="10"/>
      <c r="AK1322" s="10" t="s">
        <v>102</v>
      </c>
      <c r="AL1322" s="10" t="s">
        <v>2303</v>
      </c>
      <c r="AM1322" s="10"/>
      <c r="AN1322" s="10"/>
      <c r="AO1322" s="13" t="b">
        <v>0</v>
      </c>
      <c r="AP1322" s="10" t="s">
        <v>104</v>
      </c>
      <c r="AQ1322" s="10">
        <f ca="1">IFERROR(__xludf.DUMMYFUNCTION("""COMPUTED_VALUE"""),4832828)</f>
        <v>4832828</v>
      </c>
      <c r="AR1322" s="17"/>
      <c r="AS1322" s="17"/>
      <c r="AT1322" s="17"/>
      <c r="AU1322" s="17"/>
      <c r="AV1322" s="17"/>
      <c r="AW1322" s="10"/>
      <c r="AX1322" s="17"/>
      <c r="AY1322" s="18" t="s">
        <v>257</v>
      </c>
      <c r="AZ1322" s="10" t="s">
        <v>6778</v>
      </c>
      <c r="BA1322" s="20" t="b">
        <v>0</v>
      </c>
      <c r="BB1322" s="10"/>
      <c r="BC1322" s="17" t="s">
        <v>257</v>
      </c>
      <c r="BD1322" s="17" t="s">
        <v>257</v>
      </c>
      <c r="BE1322" s="17" t="s">
        <v>257</v>
      </c>
      <c r="BF1322" s="17" t="s">
        <v>257</v>
      </c>
      <c r="BG1322" s="11">
        <f ca="1">IFERROR(__xludf.DUMMYFUNCTION("""COMPUTED_VALUE"""),46033.1145833333)</f>
        <v>46033.114583333299</v>
      </c>
      <c r="BH1322" s="17"/>
      <c r="BI1322" s="17"/>
      <c r="BJ1322" s="15"/>
      <c r="BK1322" s="15"/>
      <c r="BL1322" s="13" t="b">
        <v>0</v>
      </c>
      <c r="BM1322" s="10"/>
      <c r="BN1322" s="10" t="s">
        <v>137</v>
      </c>
      <c r="BO1322" s="11">
        <v>45904.284594907411</v>
      </c>
      <c r="BP1322" s="11">
        <v>45988.624895833331</v>
      </c>
      <c r="BQ1322" s="15">
        <v>46027.67359953704</v>
      </c>
      <c r="BR1322" s="15">
        <v>46030.569178240738</v>
      </c>
      <c r="BS1322" s="10" t="s">
        <v>137</v>
      </c>
      <c r="BT1322" s="10"/>
      <c r="BU1322" s="10"/>
      <c r="BV1322" s="10"/>
      <c r="BW1322" s="10"/>
      <c r="BX1322" s="10"/>
      <c r="BY1322" s="23"/>
      <c r="BZ1322" s="23"/>
      <c r="CA1322" s="19" t="s">
        <v>10587</v>
      </c>
      <c r="CB1322" s="19" t="s">
        <v>10588</v>
      </c>
      <c r="CC1322" s="23"/>
      <c r="CD1322" s="19" t="s">
        <v>10589</v>
      </c>
      <c r="CE1322" s="23"/>
      <c r="CF1322" s="23"/>
      <c r="CG1322" s="23"/>
      <c r="CH1322" s="23"/>
      <c r="CI1322" s="23"/>
    </row>
    <row r="1323" spans="1:87" x14ac:dyDescent="0.3">
      <c r="A1323" s="9" t="s">
        <v>10590</v>
      </c>
      <c r="B1323" s="10" t="s">
        <v>10591</v>
      </c>
      <c r="C1323" s="11">
        <v>46032.875</v>
      </c>
      <c r="D1323" s="12">
        <v>8.3333333333333329E-2</v>
      </c>
      <c r="E1323" s="11">
        <v>46032.958333333336</v>
      </c>
      <c r="F1323" s="10" t="s">
        <v>3211</v>
      </c>
      <c r="G1323" s="13" t="b">
        <v>0</v>
      </c>
      <c r="H1323" s="10" t="s">
        <v>3212</v>
      </c>
      <c r="I1323" s="10" t="s">
        <v>3213</v>
      </c>
      <c r="J1323" s="13" t="b">
        <v>0</v>
      </c>
      <c r="K1323" s="13" t="b">
        <v>1</v>
      </c>
      <c r="L1323" s="10" t="s">
        <v>124</v>
      </c>
      <c r="M1323" s="10" t="s">
        <v>91</v>
      </c>
      <c r="N1323" s="10" t="s">
        <v>92</v>
      </c>
      <c r="O1323" s="19" t="s">
        <v>10592</v>
      </c>
      <c r="P1323" s="10" t="s">
        <v>3215</v>
      </c>
      <c r="Q1323" s="10" t="s">
        <v>126</v>
      </c>
      <c r="R1323" s="10"/>
      <c r="S1323" s="19" t="s">
        <v>10593</v>
      </c>
      <c r="T1323" s="10"/>
      <c r="U1323" s="10" t="s">
        <v>3249</v>
      </c>
      <c r="V1323" s="10" t="s">
        <v>3230</v>
      </c>
      <c r="W1323" s="10" t="s">
        <v>3219</v>
      </c>
      <c r="X1323" s="10" t="s">
        <v>130</v>
      </c>
      <c r="Y1323" s="10" t="s">
        <v>130</v>
      </c>
      <c r="Z1323" s="10" t="s">
        <v>99</v>
      </c>
      <c r="AA1323" s="10" t="s">
        <v>131</v>
      </c>
      <c r="AB1323" s="10" t="s">
        <v>3220</v>
      </c>
      <c r="AC1323" s="10" t="s">
        <v>3221</v>
      </c>
      <c r="AD1323" s="10" t="s">
        <v>10594</v>
      </c>
      <c r="AE1323" s="10" t="s">
        <v>10595</v>
      </c>
      <c r="AF1323" s="15"/>
      <c r="AG1323" s="10"/>
      <c r="AH1323" s="10"/>
      <c r="AI1323" s="10"/>
      <c r="AJ1323" s="10"/>
      <c r="AK1323" s="10" t="s">
        <v>102</v>
      </c>
      <c r="AL1323" s="10" t="s">
        <v>2303</v>
      </c>
      <c r="AM1323" s="10"/>
      <c r="AN1323" s="10"/>
      <c r="AO1323" s="13" t="b">
        <v>0</v>
      </c>
      <c r="AP1323" s="10" t="s">
        <v>104</v>
      </c>
      <c r="AQ1323" s="10">
        <f ca="1">IFERROR(__xludf.DUMMYFUNCTION("""COMPUTED_VALUE"""),4832297)</f>
        <v>4832297</v>
      </c>
      <c r="AR1323" s="17">
        <v>35396</v>
      </c>
      <c r="AS1323" s="17">
        <v>25003</v>
      </c>
      <c r="AT1323" s="17">
        <v>604063.75</v>
      </c>
      <c r="AU1323" s="17">
        <v>230.55</v>
      </c>
      <c r="AV1323" s="17">
        <v>38.25</v>
      </c>
      <c r="AW1323" s="10" t="s">
        <v>105</v>
      </c>
      <c r="AX1323" s="17">
        <v>7657</v>
      </c>
      <c r="AY1323" s="18">
        <v>24.159650841898973</v>
      </c>
      <c r="AZ1323" s="10" t="s">
        <v>6778</v>
      </c>
      <c r="BA1323" s="20" t="b">
        <v>0</v>
      </c>
      <c r="BB1323" s="10"/>
      <c r="BC1323" s="17">
        <v>35396</v>
      </c>
      <c r="BD1323" s="17">
        <v>25003</v>
      </c>
      <c r="BE1323" s="17">
        <v>604063.75</v>
      </c>
      <c r="BF1323" s="17">
        <v>38.25</v>
      </c>
      <c r="BG1323" s="11">
        <f ca="1">IFERROR(__xludf.DUMMYFUNCTION("""COMPUTED_VALUE"""),46032.875)</f>
        <v>46032.875</v>
      </c>
      <c r="BH1323" s="17" t="s">
        <v>105</v>
      </c>
      <c r="BI1323" s="17"/>
      <c r="BJ1323" s="15"/>
      <c r="BK1323" s="15"/>
      <c r="BL1323" s="13" t="b">
        <v>0</v>
      </c>
      <c r="BM1323" s="10"/>
      <c r="BN1323" s="10" t="s">
        <v>118</v>
      </c>
      <c r="BO1323" s="11">
        <v>45904.284594907411</v>
      </c>
      <c r="BP1323" s="11">
        <v>45988.6246875</v>
      </c>
      <c r="BQ1323" s="15">
        <v>46027.627013888887</v>
      </c>
      <c r="BR1323" s="15">
        <v>46029.463194444441</v>
      </c>
      <c r="BS1323" s="10" t="s">
        <v>118</v>
      </c>
      <c r="BT1323" s="10"/>
      <c r="BU1323" s="10"/>
      <c r="BV1323" s="10"/>
      <c r="BW1323" s="10"/>
      <c r="BX1323" s="10"/>
      <c r="BY1323" s="23"/>
      <c r="BZ1323" s="23"/>
      <c r="CA1323" s="19" t="s">
        <v>10596</v>
      </c>
      <c r="CB1323" s="19" t="s">
        <v>10597</v>
      </c>
      <c r="CC1323" s="23"/>
      <c r="CD1323" s="19" t="s">
        <v>10598</v>
      </c>
      <c r="CE1323" s="23"/>
      <c r="CF1323" s="23"/>
      <c r="CG1323" s="23"/>
      <c r="CH1323" s="23"/>
      <c r="CI1323" s="23"/>
    </row>
    <row r="1324" spans="1:87" x14ac:dyDescent="0.3">
      <c r="A1324" s="9" t="s">
        <v>10599</v>
      </c>
      <c r="B1324" s="10" t="s">
        <v>10600</v>
      </c>
      <c r="C1324" s="11">
        <v>46033.875</v>
      </c>
      <c r="D1324" s="12">
        <v>8.3333333333333329E-2</v>
      </c>
      <c r="E1324" s="11">
        <v>46033.958333333336</v>
      </c>
      <c r="F1324" s="10" t="s">
        <v>3211</v>
      </c>
      <c r="G1324" s="13" t="b">
        <v>0</v>
      </c>
      <c r="H1324" s="10" t="s">
        <v>3212</v>
      </c>
      <c r="I1324" s="10" t="s">
        <v>10263</v>
      </c>
      <c r="J1324" s="13" t="b">
        <v>0</v>
      </c>
      <c r="K1324" s="13" t="b">
        <v>1</v>
      </c>
      <c r="L1324" s="10" t="s">
        <v>124</v>
      </c>
      <c r="M1324" s="10" t="s">
        <v>91</v>
      </c>
      <c r="N1324" s="10" t="s">
        <v>92</v>
      </c>
      <c r="O1324" s="19" t="s">
        <v>10601</v>
      </c>
      <c r="P1324" s="10" t="s">
        <v>3215</v>
      </c>
      <c r="Q1324" s="10" t="s">
        <v>126</v>
      </c>
      <c r="R1324" s="10"/>
      <c r="S1324" s="19" t="s">
        <v>10602</v>
      </c>
      <c r="T1324" s="10"/>
      <c r="U1324" s="10" t="s">
        <v>3240</v>
      </c>
      <c r="V1324" s="10" t="s">
        <v>3289</v>
      </c>
      <c r="W1324" s="10" t="s">
        <v>3219</v>
      </c>
      <c r="X1324" s="10" t="s">
        <v>130</v>
      </c>
      <c r="Y1324" s="10" t="s">
        <v>130</v>
      </c>
      <c r="Z1324" s="10" t="s">
        <v>99</v>
      </c>
      <c r="AA1324" s="10" t="s">
        <v>131</v>
      </c>
      <c r="AB1324" s="10" t="s">
        <v>3220</v>
      </c>
      <c r="AC1324" s="10" t="s">
        <v>3221</v>
      </c>
      <c r="AD1324" s="10" t="s">
        <v>10603</v>
      </c>
      <c r="AE1324" s="10" t="s">
        <v>10604</v>
      </c>
      <c r="AF1324" s="15"/>
      <c r="AG1324" s="10"/>
      <c r="AH1324" s="10"/>
      <c r="AI1324" s="10"/>
      <c r="AJ1324" s="10"/>
      <c r="AK1324" s="10" t="s">
        <v>102</v>
      </c>
      <c r="AL1324" s="10" t="s">
        <v>2303</v>
      </c>
      <c r="AM1324" s="10"/>
      <c r="AN1324" s="10"/>
      <c r="AO1324" s="13" t="b">
        <v>1</v>
      </c>
      <c r="AP1324" s="10" t="s">
        <v>104</v>
      </c>
      <c r="AQ1324" s="10">
        <f ca="1">IFERROR(__xludf.DUMMYFUNCTION("""COMPUTED_VALUE"""),4832830)</f>
        <v>4832830</v>
      </c>
      <c r="AR1324" s="17"/>
      <c r="AS1324" s="17"/>
      <c r="AT1324" s="17"/>
      <c r="AU1324" s="17"/>
      <c r="AV1324" s="17"/>
      <c r="AW1324" s="10"/>
      <c r="AX1324" s="17"/>
      <c r="AY1324" s="18" t="s">
        <v>257</v>
      </c>
      <c r="AZ1324" s="10" t="s">
        <v>6778</v>
      </c>
      <c r="BA1324" s="20" t="b">
        <v>0</v>
      </c>
      <c r="BB1324" s="10"/>
      <c r="BC1324" s="17" t="s">
        <v>257</v>
      </c>
      <c r="BD1324" s="17" t="s">
        <v>257</v>
      </c>
      <c r="BE1324" s="17" t="s">
        <v>257</v>
      </c>
      <c r="BF1324" s="17" t="s">
        <v>257</v>
      </c>
      <c r="BG1324" s="11">
        <f ca="1">IFERROR(__xludf.DUMMYFUNCTION("""COMPUTED_VALUE"""),46033.875)</f>
        <v>46033.875</v>
      </c>
      <c r="BH1324" s="17"/>
      <c r="BI1324" s="17"/>
      <c r="BJ1324" s="15"/>
      <c r="BK1324" s="15"/>
      <c r="BL1324" s="13" t="b">
        <v>0</v>
      </c>
      <c r="BM1324" s="10"/>
      <c r="BN1324" s="10" t="s">
        <v>1057</v>
      </c>
      <c r="BO1324" s="11">
        <v>45904.28402777778</v>
      </c>
      <c r="BP1324" s="11">
        <v>46030.458333333336</v>
      </c>
      <c r="BQ1324" s="15">
        <v>46028.447199074071</v>
      </c>
      <c r="BR1324" s="15">
        <v>46030.569444444445</v>
      </c>
      <c r="BS1324" s="10"/>
      <c r="BT1324" s="10" t="s">
        <v>279</v>
      </c>
      <c r="BU1324" s="10"/>
      <c r="BV1324" s="10" t="s">
        <v>281</v>
      </c>
      <c r="BW1324" s="10" t="s">
        <v>2100</v>
      </c>
      <c r="BX1324" s="10"/>
      <c r="BY1324" s="23"/>
      <c r="BZ1324" s="23"/>
      <c r="CA1324" s="19" t="s">
        <v>10605</v>
      </c>
      <c r="CB1324" s="19" t="s">
        <v>10606</v>
      </c>
      <c r="CC1324" s="23"/>
      <c r="CD1324" s="19" t="s">
        <v>10607</v>
      </c>
      <c r="CE1324" s="23"/>
      <c r="CF1324" s="23"/>
      <c r="CG1324" s="23"/>
      <c r="CH1324" s="23"/>
      <c r="CI1324" s="23"/>
    </row>
    <row r="1325" spans="1:87" x14ac:dyDescent="0.3">
      <c r="A1325" s="9" t="s">
        <v>10608</v>
      </c>
      <c r="B1325" s="10" t="s">
        <v>10609</v>
      </c>
      <c r="C1325" s="11">
        <v>46035.020833333336</v>
      </c>
      <c r="D1325" s="12">
        <v>8.3333333333333329E-2</v>
      </c>
      <c r="E1325" s="11">
        <v>46035.104166666664</v>
      </c>
      <c r="F1325" s="10" t="s">
        <v>3211</v>
      </c>
      <c r="G1325" s="13" t="b">
        <v>0</v>
      </c>
      <c r="H1325" s="10" t="s">
        <v>3212</v>
      </c>
      <c r="I1325" s="10" t="s">
        <v>3213</v>
      </c>
      <c r="J1325" s="13" t="b">
        <v>0</v>
      </c>
      <c r="K1325" s="13" t="b">
        <v>1</v>
      </c>
      <c r="L1325" s="10" t="s">
        <v>124</v>
      </c>
      <c r="M1325" s="10" t="s">
        <v>91</v>
      </c>
      <c r="N1325" s="10" t="s">
        <v>92</v>
      </c>
      <c r="O1325" s="10"/>
      <c r="P1325" s="10"/>
      <c r="Q1325" s="10" t="s">
        <v>94</v>
      </c>
      <c r="R1325" s="10"/>
      <c r="S1325" s="10"/>
      <c r="T1325" s="10"/>
      <c r="U1325" s="10" t="s">
        <v>3217</v>
      </c>
      <c r="V1325" s="10" t="s">
        <v>3239</v>
      </c>
      <c r="W1325" s="10" t="s">
        <v>3219</v>
      </c>
      <c r="X1325" s="10" t="s">
        <v>130</v>
      </c>
      <c r="Y1325" s="10" t="s">
        <v>130</v>
      </c>
      <c r="Z1325" s="10" t="s">
        <v>99</v>
      </c>
      <c r="AA1325" s="10" t="s">
        <v>131</v>
      </c>
      <c r="AB1325" s="10" t="s">
        <v>3220</v>
      </c>
      <c r="AC1325" s="10" t="s">
        <v>3221</v>
      </c>
      <c r="AD1325" s="10" t="s">
        <v>10610</v>
      </c>
      <c r="AE1325" s="10" t="s">
        <v>10611</v>
      </c>
      <c r="AF1325" s="15"/>
      <c r="AG1325" s="10"/>
      <c r="AH1325" s="10"/>
      <c r="AI1325" s="10"/>
      <c r="AJ1325" s="10"/>
      <c r="AK1325" s="10"/>
      <c r="AL1325" s="10" t="s">
        <v>2303</v>
      </c>
      <c r="AM1325" s="10"/>
      <c r="AN1325" s="10"/>
      <c r="AO1325" s="13" t="b">
        <v>0</v>
      </c>
      <c r="AP1325" s="10" t="s">
        <v>104</v>
      </c>
      <c r="AQ1325" s="10"/>
      <c r="AR1325" s="17"/>
      <c r="AS1325" s="17"/>
      <c r="AT1325" s="17"/>
      <c r="AU1325" s="17"/>
      <c r="AV1325" s="17"/>
      <c r="AW1325" s="10"/>
      <c r="AX1325" s="17"/>
      <c r="AY1325" s="18" t="s">
        <v>257</v>
      </c>
      <c r="AZ1325" s="10"/>
      <c r="BA1325" s="20" t="b">
        <v>0</v>
      </c>
      <c r="BB1325" s="10"/>
      <c r="BC1325" s="17" t="s">
        <v>257</v>
      </c>
      <c r="BD1325" s="17" t="s">
        <v>257</v>
      </c>
      <c r="BE1325" s="17" t="s">
        <v>257</v>
      </c>
      <c r="BF1325" s="17" t="s">
        <v>257</v>
      </c>
      <c r="BG1325" s="11">
        <f ca="1">IFERROR(__xludf.DUMMYFUNCTION("""COMPUTED_VALUE"""),46035.0208333333)</f>
        <v>46035.020833333299</v>
      </c>
      <c r="BH1325" s="17"/>
      <c r="BI1325" s="17"/>
      <c r="BJ1325" s="15"/>
      <c r="BK1325" s="15"/>
      <c r="BL1325" s="13" t="b">
        <v>0</v>
      </c>
      <c r="BM1325" s="10"/>
      <c r="BN1325" s="10" t="s">
        <v>6778</v>
      </c>
      <c r="BO1325" s="11">
        <v>45904.28402777778</v>
      </c>
      <c r="BP1325" s="11">
        <v>45988.626377314817</v>
      </c>
      <c r="BQ1325" s="15"/>
      <c r="BR1325" s="15"/>
      <c r="BS1325" s="10"/>
      <c r="BT1325" s="10"/>
      <c r="BU1325" s="10"/>
      <c r="BV1325" s="10"/>
      <c r="BW1325" s="10"/>
      <c r="BX1325" s="10"/>
      <c r="BY1325" s="23"/>
      <c r="BZ1325" s="23"/>
      <c r="CA1325" s="19" t="s">
        <v>10612</v>
      </c>
      <c r="CB1325" s="19" t="s">
        <v>10613</v>
      </c>
      <c r="CC1325" s="23"/>
      <c r="CD1325" s="23"/>
      <c r="CE1325" s="23"/>
      <c r="CF1325" s="23"/>
      <c r="CG1325" s="23"/>
      <c r="CH1325" s="23"/>
      <c r="CI1325" s="23"/>
    </row>
    <row r="1326" spans="1:87" x14ac:dyDescent="0.3">
      <c r="A1326" s="9" t="s">
        <v>10614</v>
      </c>
      <c r="B1326" s="10" t="s">
        <v>10615</v>
      </c>
      <c r="C1326" s="11">
        <v>46034.114583333336</v>
      </c>
      <c r="D1326" s="12">
        <v>8.3333333333333329E-2</v>
      </c>
      <c r="E1326" s="11">
        <v>46034.197916666664</v>
      </c>
      <c r="F1326" s="10" t="s">
        <v>3211</v>
      </c>
      <c r="G1326" s="13" t="b">
        <v>0</v>
      </c>
      <c r="H1326" s="10" t="s">
        <v>3212</v>
      </c>
      <c r="I1326" s="10" t="s">
        <v>10263</v>
      </c>
      <c r="J1326" s="13" t="b">
        <v>0</v>
      </c>
      <c r="K1326" s="13" t="b">
        <v>1</v>
      </c>
      <c r="L1326" s="10" t="s">
        <v>124</v>
      </c>
      <c r="M1326" s="10" t="s">
        <v>91</v>
      </c>
      <c r="N1326" s="10" t="s">
        <v>92</v>
      </c>
      <c r="O1326" s="19" t="s">
        <v>10616</v>
      </c>
      <c r="P1326" s="10"/>
      <c r="Q1326" s="10" t="s">
        <v>126</v>
      </c>
      <c r="R1326" s="10"/>
      <c r="S1326" s="19" t="s">
        <v>10617</v>
      </c>
      <c r="T1326" s="10"/>
      <c r="U1326" s="10" t="s">
        <v>3278</v>
      </c>
      <c r="V1326" s="10" t="s">
        <v>3318</v>
      </c>
      <c r="W1326" s="10" t="s">
        <v>3219</v>
      </c>
      <c r="X1326" s="10" t="s">
        <v>130</v>
      </c>
      <c r="Y1326" s="10" t="s">
        <v>130</v>
      </c>
      <c r="Z1326" s="10" t="s">
        <v>99</v>
      </c>
      <c r="AA1326" s="10" t="s">
        <v>131</v>
      </c>
      <c r="AB1326" s="10" t="s">
        <v>3220</v>
      </c>
      <c r="AC1326" s="10" t="s">
        <v>3221</v>
      </c>
      <c r="AD1326" s="10" t="s">
        <v>10618</v>
      </c>
      <c r="AE1326" s="10" t="s">
        <v>10619</v>
      </c>
      <c r="AF1326" s="15"/>
      <c r="AG1326" s="10"/>
      <c r="AH1326" s="10"/>
      <c r="AI1326" s="10"/>
      <c r="AJ1326" s="10"/>
      <c r="AK1326" s="10" t="s">
        <v>102</v>
      </c>
      <c r="AL1326" s="10" t="s">
        <v>2303</v>
      </c>
      <c r="AM1326" s="10"/>
      <c r="AN1326" s="10"/>
      <c r="AO1326" s="13" t="b">
        <v>1</v>
      </c>
      <c r="AP1326" s="10" t="s">
        <v>104</v>
      </c>
      <c r="AQ1326" s="10">
        <f ca="1">IFERROR(__xludf.DUMMYFUNCTION("""COMPUTED_VALUE"""),4833783)</f>
        <v>4833783</v>
      </c>
      <c r="AR1326" s="17"/>
      <c r="AS1326" s="17"/>
      <c r="AT1326" s="17"/>
      <c r="AU1326" s="17"/>
      <c r="AV1326" s="17"/>
      <c r="AW1326" s="10"/>
      <c r="AX1326" s="17"/>
      <c r="AY1326" s="18" t="s">
        <v>257</v>
      </c>
      <c r="AZ1326" s="10" t="s">
        <v>6778</v>
      </c>
      <c r="BA1326" s="20" t="b">
        <v>0</v>
      </c>
      <c r="BB1326" s="10"/>
      <c r="BC1326" s="17" t="s">
        <v>257</v>
      </c>
      <c r="BD1326" s="17" t="s">
        <v>257</v>
      </c>
      <c r="BE1326" s="17" t="s">
        <v>257</v>
      </c>
      <c r="BF1326" s="17" t="s">
        <v>257</v>
      </c>
      <c r="BG1326" s="11">
        <f ca="1">IFERROR(__xludf.DUMMYFUNCTION("""COMPUTED_VALUE"""),46034.1145833333)</f>
        <v>46034.114583333299</v>
      </c>
      <c r="BH1326" s="17"/>
      <c r="BI1326" s="17"/>
      <c r="BJ1326" s="15"/>
      <c r="BK1326" s="15"/>
      <c r="BL1326" s="13" t="b">
        <v>0</v>
      </c>
      <c r="BM1326" s="10"/>
      <c r="BN1326" s="10" t="s">
        <v>1057</v>
      </c>
      <c r="BO1326" s="11">
        <v>45904.28402777778</v>
      </c>
      <c r="BP1326" s="11">
        <v>46029.681967592594</v>
      </c>
      <c r="BQ1326" s="15">
        <v>46028.594884259262</v>
      </c>
      <c r="BR1326" s="15">
        <v>46030.816296296296</v>
      </c>
      <c r="BS1326" s="10"/>
      <c r="BT1326" s="10" t="s">
        <v>279</v>
      </c>
      <c r="BU1326" s="10"/>
      <c r="BV1326" s="10" t="s">
        <v>124</v>
      </c>
      <c r="BW1326" s="10"/>
      <c r="BX1326" s="10"/>
      <c r="BY1326" s="23"/>
      <c r="BZ1326" s="23"/>
      <c r="CA1326" s="19" t="s">
        <v>10620</v>
      </c>
      <c r="CB1326" s="19" t="s">
        <v>10621</v>
      </c>
      <c r="CC1326" s="23"/>
      <c r="CD1326" s="19" t="s">
        <v>10622</v>
      </c>
      <c r="CE1326" s="23"/>
      <c r="CF1326" s="23"/>
      <c r="CG1326" s="23"/>
      <c r="CH1326" s="23"/>
      <c r="CI1326" s="23"/>
    </row>
    <row r="1327" spans="1:87" x14ac:dyDescent="0.3">
      <c r="A1327" s="9" t="s">
        <v>10623</v>
      </c>
      <c r="B1327" s="10" t="s">
        <v>10624</v>
      </c>
      <c r="C1327" s="11">
        <v>46035.114583333336</v>
      </c>
      <c r="D1327" s="12">
        <v>8.3333333333333329E-2</v>
      </c>
      <c r="E1327" s="11">
        <v>46035.197916666664</v>
      </c>
      <c r="F1327" s="10" t="s">
        <v>3211</v>
      </c>
      <c r="G1327" s="13" t="b">
        <v>0</v>
      </c>
      <c r="H1327" s="10" t="s">
        <v>3212</v>
      </c>
      <c r="I1327" s="10" t="s">
        <v>10263</v>
      </c>
      <c r="J1327" s="13" t="b">
        <v>0</v>
      </c>
      <c r="K1327" s="13" t="b">
        <v>1</v>
      </c>
      <c r="L1327" s="10" t="s">
        <v>124</v>
      </c>
      <c r="M1327" s="10" t="s">
        <v>91</v>
      </c>
      <c r="N1327" s="10" t="s">
        <v>92</v>
      </c>
      <c r="O1327" s="19" t="s">
        <v>10625</v>
      </c>
      <c r="P1327" s="10"/>
      <c r="Q1327" s="10" t="s">
        <v>126</v>
      </c>
      <c r="R1327" s="10"/>
      <c r="S1327" s="19" t="s">
        <v>10626</v>
      </c>
      <c r="T1327" s="10"/>
      <c r="U1327" s="10" t="s">
        <v>3259</v>
      </c>
      <c r="V1327" s="10" t="s">
        <v>3440</v>
      </c>
      <c r="W1327" s="10" t="s">
        <v>3219</v>
      </c>
      <c r="X1327" s="10" t="s">
        <v>130</v>
      </c>
      <c r="Y1327" s="10" t="s">
        <v>130</v>
      </c>
      <c r="Z1327" s="10" t="s">
        <v>99</v>
      </c>
      <c r="AA1327" s="10" t="s">
        <v>131</v>
      </c>
      <c r="AB1327" s="10" t="s">
        <v>3220</v>
      </c>
      <c r="AC1327" s="10" t="s">
        <v>3221</v>
      </c>
      <c r="AD1327" s="10" t="s">
        <v>10627</v>
      </c>
      <c r="AE1327" s="10" t="s">
        <v>10628</v>
      </c>
      <c r="AF1327" s="15"/>
      <c r="AG1327" s="10"/>
      <c r="AH1327" s="10"/>
      <c r="AI1327" s="10"/>
      <c r="AJ1327" s="10"/>
      <c r="AK1327" s="10" t="s">
        <v>102</v>
      </c>
      <c r="AL1327" s="10" t="s">
        <v>2303</v>
      </c>
      <c r="AM1327" s="10"/>
      <c r="AN1327" s="10"/>
      <c r="AO1327" s="13" t="b">
        <v>1</v>
      </c>
      <c r="AP1327" s="10" t="s">
        <v>104</v>
      </c>
      <c r="AQ1327" s="10">
        <f ca="1">IFERROR(__xludf.DUMMYFUNCTION("""COMPUTED_VALUE"""),4833785)</f>
        <v>4833785</v>
      </c>
      <c r="AR1327" s="17"/>
      <c r="AS1327" s="17"/>
      <c r="AT1327" s="17"/>
      <c r="AU1327" s="17"/>
      <c r="AV1327" s="17"/>
      <c r="AW1327" s="10"/>
      <c r="AX1327" s="17"/>
      <c r="AY1327" s="18" t="s">
        <v>257</v>
      </c>
      <c r="AZ1327" s="10" t="s">
        <v>6778</v>
      </c>
      <c r="BA1327" s="20" t="b">
        <v>0</v>
      </c>
      <c r="BB1327" s="10"/>
      <c r="BC1327" s="17" t="s">
        <v>257</v>
      </c>
      <c r="BD1327" s="17" t="s">
        <v>257</v>
      </c>
      <c r="BE1327" s="17" t="s">
        <v>257</v>
      </c>
      <c r="BF1327" s="17" t="s">
        <v>257</v>
      </c>
      <c r="BG1327" s="11">
        <f ca="1">IFERROR(__xludf.DUMMYFUNCTION("""COMPUTED_VALUE"""),46035.1145833333)</f>
        <v>46035.114583333299</v>
      </c>
      <c r="BH1327" s="17"/>
      <c r="BI1327" s="17"/>
      <c r="BJ1327" s="15"/>
      <c r="BK1327" s="15"/>
      <c r="BL1327" s="13" t="b">
        <v>0</v>
      </c>
      <c r="BM1327" s="10"/>
      <c r="BN1327" s="10" t="s">
        <v>4030</v>
      </c>
      <c r="BO1327" s="11">
        <v>45904.28402777778</v>
      </c>
      <c r="BP1327" s="11">
        <v>46029.682233796295</v>
      </c>
      <c r="BQ1327" s="15">
        <v>46028.595925925925</v>
      </c>
      <c r="BR1327" s="15">
        <v>46030.786932870367</v>
      </c>
      <c r="BS1327" s="10" t="s">
        <v>4030</v>
      </c>
      <c r="BT1327" s="10" t="s">
        <v>99</v>
      </c>
      <c r="BU1327" s="10"/>
      <c r="BV1327" s="10" t="s">
        <v>124</v>
      </c>
      <c r="BW1327" s="10"/>
      <c r="BX1327" s="10"/>
      <c r="BY1327" s="23"/>
      <c r="BZ1327" s="23"/>
      <c r="CA1327" s="19" t="s">
        <v>10629</v>
      </c>
      <c r="CB1327" s="19" t="s">
        <v>10630</v>
      </c>
      <c r="CC1327" s="23"/>
      <c r="CD1327" s="19" t="s">
        <v>10631</v>
      </c>
      <c r="CE1327" s="23"/>
      <c r="CF1327" s="23"/>
      <c r="CG1327" s="23"/>
      <c r="CH1327" s="23"/>
      <c r="CI1327" s="23"/>
    </row>
    <row r="1328" spans="1:87" x14ac:dyDescent="0.3">
      <c r="A1328" s="9" t="s">
        <v>10632</v>
      </c>
      <c r="B1328" s="10" t="s">
        <v>10633</v>
      </c>
      <c r="C1328" s="11">
        <v>46033.770833333336</v>
      </c>
      <c r="D1328" s="12">
        <v>8.3333333333333329E-2</v>
      </c>
      <c r="E1328" s="11">
        <v>46033.854166666664</v>
      </c>
      <c r="F1328" s="10" t="s">
        <v>3211</v>
      </c>
      <c r="G1328" s="13" t="b">
        <v>0</v>
      </c>
      <c r="H1328" s="10" t="s">
        <v>3212</v>
      </c>
      <c r="I1328" s="10" t="s">
        <v>3213</v>
      </c>
      <c r="J1328" s="13" t="b">
        <v>0</v>
      </c>
      <c r="K1328" s="13" t="b">
        <v>1</v>
      </c>
      <c r="L1328" s="10" t="s">
        <v>124</v>
      </c>
      <c r="M1328" s="10" t="s">
        <v>91</v>
      </c>
      <c r="N1328" s="10" t="s">
        <v>92</v>
      </c>
      <c r="O1328" s="19" t="s">
        <v>10634</v>
      </c>
      <c r="P1328" s="10" t="s">
        <v>3215</v>
      </c>
      <c r="Q1328" s="10" t="s">
        <v>94</v>
      </c>
      <c r="R1328" s="10"/>
      <c r="S1328" s="10"/>
      <c r="T1328" s="10"/>
      <c r="U1328" s="10" t="s">
        <v>3218</v>
      </c>
      <c r="V1328" s="10" t="s">
        <v>3260</v>
      </c>
      <c r="W1328" s="10" t="s">
        <v>3219</v>
      </c>
      <c r="X1328" s="10" t="s">
        <v>130</v>
      </c>
      <c r="Y1328" s="10" t="s">
        <v>130</v>
      </c>
      <c r="Z1328" s="10" t="s">
        <v>99</v>
      </c>
      <c r="AA1328" s="10" t="s">
        <v>131</v>
      </c>
      <c r="AB1328" s="10" t="s">
        <v>3220</v>
      </c>
      <c r="AC1328" s="10" t="s">
        <v>3221</v>
      </c>
      <c r="AD1328" s="10" t="s">
        <v>10635</v>
      </c>
      <c r="AE1328" s="10" t="s">
        <v>10636</v>
      </c>
      <c r="AF1328" s="15"/>
      <c r="AG1328" s="10"/>
      <c r="AH1328" s="10"/>
      <c r="AI1328" s="10"/>
      <c r="AJ1328" s="10"/>
      <c r="AK1328" s="10" t="s">
        <v>102</v>
      </c>
      <c r="AL1328" s="10" t="s">
        <v>2303</v>
      </c>
      <c r="AM1328" s="10"/>
      <c r="AN1328" s="10"/>
      <c r="AO1328" s="13" t="b">
        <v>0</v>
      </c>
      <c r="AP1328" s="10" t="s">
        <v>104</v>
      </c>
      <c r="AQ1328" s="10">
        <f ca="1">IFERROR(__xludf.DUMMYFUNCTION("""COMPUTED_VALUE"""),4832829)</f>
        <v>4832829</v>
      </c>
      <c r="AR1328" s="17"/>
      <c r="AS1328" s="17"/>
      <c r="AT1328" s="17"/>
      <c r="AU1328" s="17"/>
      <c r="AV1328" s="17"/>
      <c r="AW1328" s="10"/>
      <c r="AX1328" s="17"/>
      <c r="AY1328" s="18" t="s">
        <v>257</v>
      </c>
      <c r="AZ1328" s="10"/>
      <c r="BA1328" s="20" t="b">
        <v>0</v>
      </c>
      <c r="BB1328" s="10"/>
      <c r="BC1328" s="17" t="s">
        <v>257</v>
      </c>
      <c r="BD1328" s="17" t="s">
        <v>257</v>
      </c>
      <c r="BE1328" s="17" t="s">
        <v>257</v>
      </c>
      <c r="BF1328" s="17" t="s">
        <v>257</v>
      </c>
      <c r="BG1328" s="11">
        <f ca="1">IFERROR(__xludf.DUMMYFUNCTION("""COMPUTED_VALUE"""),46033.7708333333)</f>
        <v>46033.770833333299</v>
      </c>
      <c r="BH1328" s="17"/>
      <c r="BI1328" s="17"/>
      <c r="BJ1328" s="15"/>
      <c r="BK1328" s="15"/>
      <c r="BL1328" s="13" t="b">
        <v>0</v>
      </c>
      <c r="BM1328" s="10"/>
      <c r="BN1328" s="10" t="s">
        <v>137</v>
      </c>
      <c r="BO1328" s="11">
        <v>45904.284594907411</v>
      </c>
      <c r="BP1328" s="11">
        <v>45988.624988425923</v>
      </c>
      <c r="BQ1328" s="15"/>
      <c r="BR1328" s="15">
        <v>46030.56931712963</v>
      </c>
      <c r="BS1328" s="10" t="s">
        <v>137</v>
      </c>
      <c r="BT1328" s="10"/>
      <c r="BU1328" s="10"/>
      <c r="BV1328" s="10"/>
      <c r="BW1328" s="10"/>
      <c r="BX1328" s="10"/>
      <c r="BY1328" s="23"/>
      <c r="BZ1328" s="23"/>
      <c r="CA1328" s="19" t="s">
        <v>10637</v>
      </c>
      <c r="CB1328" s="19" t="s">
        <v>10638</v>
      </c>
      <c r="CC1328" s="23"/>
      <c r="CD1328" s="23"/>
      <c r="CE1328" s="23"/>
      <c r="CF1328" s="23"/>
      <c r="CG1328" s="23"/>
      <c r="CH1328" s="23"/>
      <c r="CI1328" s="23"/>
    </row>
    <row r="1329" spans="1:87" x14ac:dyDescent="0.3">
      <c r="A1329" s="9" t="s">
        <v>10639</v>
      </c>
      <c r="B1329" s="10" t="s">
        <v>10640</v>
      </c>
      <c r="C1329" s="11">
        <v>46033</v>
      </c>
      <c r="D1329" s="12">
        <v>8.3333333333333329E-2</v>
      </c>
      <c r="E1329" s="11">
        <v>46033.083333333336</v>
      </c>
      <c r="F1329" s="10" t="s">
        <v>3211</v>
      </c>
      <c r="G1329" s="13" t="b">
        <v>0</v>
      </c>
      <c r="H1329" s="10" t="s">
        <v>3212</v>
      </c>
      <c r="I1329" s="10" t="s">
        <v>3213</v>
      </c>
      <c r="J1329" s="13" t="b">
        <v>0</v>
      </c>
      <c r="K1329" s="13" t="b">
        <v>1</v>
      </c>
      <c r="L1329" s="10" t="s">
        <v>124</v>
      </c>
      <c r="M1329" s="10" t="s">
        <v>91</v>
      </c>
      <c r="N1329" s="10" t="s">
        <v>92</v>
      </c>
      <c r="O1329" s="19" t="s">
        <v>10641</v>
      </c>
      <c r="P1329" s="10" t="s">
        <v>3215</v>
      </c>
      <c r="Q1329" s="10" t="s">
        <v>126</v>
      </c>
      <c r="R1329" s="10"/>
      <c r="S1329" s="19" t="s">
        <v>10642</v>
      </c>
      <c r="T1329" s="10"/>
      <c r="U1329" s="10" t="s">
        <v>3229</v>
      </c>
      <c r="V1329" s="10" t="s">
        <v>3429</v>
      </c>
      <c r="W1329" s="10" t="s">
        <v>3219</v>
      </c>
      <c r="X1329" s="10" t="s">
        <v>130</v>
      </c>
      <c r="Y1329" s="10" t="s">
        <v>130</v>
      </c>
      <c r="Z1329" s="10" t="s">
        <v>99</v>
      </c>
      <c r="AA1329" s="10" t="s">
        <v>131</v>
      </c>
      <c r="AB1329" s="10" t="s">
        <v>3220</v>
      </c>
      <c r="AC1329" s="10" t="s">
        <v>3221</v>
      </c>
      <c r="AD1329" s="10" t="s">
        <v>10643</v>
      </c>
      <c r="AE1329" s="10" t="s">
        <v>10644</v>
      </c>
      <c r="AF1329" s="15"/>
      <c r="AG1329" s="10"/>
      <c r="AH1329" s="10"/>
      <c r="AI1329" s="10"/>
      <c r="AJ1329" s="10"/>
      <c r="AK1329" s="10" t="s">
        <v>102</v>
      </c>
      <c r="AL1329" s="10" t="s">
        <v>2303</v>
      </c>
      <c r="AM1329" s="10"/>
      <c r="AN1329" s="10"/>
      <c r="AO1329" s="13" t="b">
        <v>1</v>
      </c>
      <c r="AP1329" s="10" t="s">
        <v>104</v>
      </c>
      <c r="AQ1329" s="10">
        <f ca="1">IFERROR(__xludf.DUMMYFUNCTION("""COMPUTED_VALUE"""),4832827)</f>
        <v>4832827</v>
      </c>
      <c r="AR1329" s="17"/>
      <c r="AS1329" s="17"/>
      <c r="AT1329" s="17"/>
      <c r="AU1329" s="17"/>
      <c r="AV1329" s="17"/>
      <c r="AW1329" s="10"/>
      <c r="AX1329" s="17"/>
      <c r="AY1329" s="18" t="s">
        <v>257</v>
      </c>
      <c r="AZ1329" s="10" t="s">
        <v>6778</v>
      </c>
      <c r="BA1329" s="20" t="b">
        <v>0</v>
      </c>
      <c r="BB1329" s="10"/>
      <c r="BC1329" s="17" t="s">
        <v>257</v>
      </c>
      <c r="BD1329" s="17" t="s">
        <v>257</v>
      </c>
      <c r="BE1329" s="17" t="s">
        <v>257</v>
      </c>
      <c r="BF1329" s="17" t="s">
        <v>257</v>
      </c>
      <c r="BG1329" s="11">
        <f ca="1">IFERROR(__xludf.DUMMYFUNCTION("""COMPUTED_VALUE"""),46033)</f>
        <v>46033</v>
      </c>
      <c r="BH1329" s="17"/>
      <c r="BI1329" s="17"/>
      <c r="BJ1329" s="15"/>
      <c r="BK1329" s="15"/>
      <c r="BL1329" s="13" t="b">
        <v>0</v>
      </c>
      <c r="BM1329" s="10"/>
      <c r="BN1329" s="10" t="s">
        <v>667</v>
      </c>
      <c r="BO1329" s="11">
        <v>45904.28402777778</v>
      </c>
      <c r="BP1329" s="11">
        <v>46030.45853009259</v>
      </c>
      <c r="BQ1329" s="15">
        <v>46027.630370370367</v>
      </c>
      <c r="BR1329" s="15">
        <v>46030.569016203706</v>
      </c>
      <c r="BS1329" s="10" t="s">
        <v>667</v>
      </c>
      <c r="BT1329" s="10" t="s">
        <v>279</v>
      </c>
      <c r="BU1329" s="10" t="s">
        <v>298</v>
      </c>
      <c r="BV1329" s="10"/>
      <c r="BW1329" s="10"/>
      <c r="BX1329" s="10"/>
      <c r="BY1329" s="23"/>
      <c r="BZ1329" s="23"/>
      <c r="CA1329" s="19" t="s">
        <v>10645</v>
      </c>
      <c r="CB1329" s="19" t="s">
        <v>10646</v>
      </c>
      <c r="CC1329" s="23"/>
      <c r="CD1329" s="19" t="s">
        <v>10647</v>
      </c>
      <c r="CE1329" s="23"/>
      <c r="CF1329" s="23"/>
      <c r="CG1329" s="23"/>
      <c r="CH1329" s="23"/>
      <c r="CI1329" s="23"/>
    </row>
    <row r="1330" spans="1:87" x14ac:dyDescent="0.3">
      <c r="A1330" s="9" t="s">
        <v>10648</v>
      </c>
      <c r="B1330" s="10" t="s">
        <v>10649</v>
      </c>
      <c r="C1330" s="11">
        <v>46032.875</v>
      </c>
      <c r="D1330" s="12">
        <v>8.3333333333333329E-2</v>
      </c>
      <c r="E1330" s="11">
        <v>46032.958333333336</v>
      </c>
      <c r="F1330" s="10" t="s">
        <v>3211</v>
      </c>
      <c r="G1330" s="13" t="b">
        <v>0</v>
      </c>
      <c r="H1330" s="10" t="s">
        <v>3212</v>
      </c>
      <c r="I1330" s="10" t="s">
        <v>3213</v>
      </c>
      <c r="J1330" s="13" t="b">
        <v>0</v>
      </c>
      <c r="K1330" s="13" t="b">
        <v>1</v>
      </c>
      <c r="L1330" s="10" t="s">
        <v>124</v>
      </c>
      <c r="M1330" s="10" t="s">
        <v>91</v>
      </c>
      <c r="N1330" s="10" t="s">
        <v>92</v>
      </c>
      <c r="O1330" s="19" t="s">
        <v>10650</v>
      </c>
      <c r="P1330" s="10" t="s">
        <v>88</v>
      </c>
      <c r="Q1330" s="10" t="s">
        <v>94</v>
      </c>
      <c r="R1330" s="10"/>
      <c r="S1330" s="10"/>
      <c r="T1330" s="10"/>
      <c r="U1330" s="10" t="s">
        <v>3269</v>
      </c>
      <c r="V1330" s="10" t="s">
        <v>3451</v>
      </c>
      <c r="W1330" s="10" t="s">
        <v>3219</v>
      </c>
      <c r="X1330" s="10" t="s">
        <v>130</v>
      </c>
      <c r="Y1330" s="10" t="s">
        <v>130</v>
      </c>
      <c r="Z1330" s="10" t="s">
        <v>99</v>
      </c>
      <c r="AA1330" s="10" t="s">
        <v>131</v>
      </c>
      <c r="AB1330" s="10" t="s">
        <v>3220</v>
      </c>
      <c r="AC1330" s="10" t="s">
        <v>3221</v>
      </c>
      <c r="AD1330" s="10" t="s">
        <v>10651</v>
      </c>
      <c r="AE1330" s="10" t="s">
        <v>10652</v>
      </c>
      <c r="AF1330" s="15"/>
      <c r="AG1330" s="10"/>
      <c r="AH1330" s="10"/>
      <c r="AI1330" s="10"/>
      <c r="AJ1330" s="10"/>
      <c r="AK1330" s="10" t="s">
        <v>102</v>
      </c>
      <c r="AL1330" s="10" t="s">
        <v>2303</v>
      </c>
      <c r="AM1330" s="10"/>
      <c r="AN1330" s="10"/>
      <c r="AO1330" s="13" t="b">
        <v>0</v>
      </c>
      <c r="AP1330" s="10" t="s">
        <v>104</v>
      </c>
      <c r="AQ1330" s="10">
        <f ca="1">IFERROR(__xludf.DUMMYFUNCTION("""COMPUTED_VALUE"""),4832298)</f>
        <v>4832298</v>
      </c>
      <c r="AR1330" s="17">
        <v>7517</v>
      </c>
      <c r="AS1330" s="17">
        <v>5688</v>
      </c>
      <c r="AT1330" s="17">
        <v>49281.5</v>
      </c>
      <c r="AU1330" s="17">
        <v>25.05</v>
      </c>
      <c r="AV1330" s="17">
        <v>4.95</v>
      </c>
      <c r="AW1330" s="10" t="s">
        <v>105</v>
      </c>
      <c r="AX1330" s="17">
        <v>887</v>
      </c>
      <c r="AY1330" s="18">
        <v>8.664117440225036</v>
      </c>
      <c r="AZ1330" s="10"/>
      <c r="BA1330" s="20" t="b">
        <v>0</v>
      </c>
      <c r="BB1330" s="10"/>
      <c r="BC1330" s="17">
        <v>7517</v>
      </c>
      <c r="BD1330" s="17">
        <v>5688</v>
      </c>
      <c r="BE1330" s="17">
        <v>49281.5</v>
      </c>
      <c r="BF1330" s="17">
        <v>4.95</v>
      </c>
      <c r="BG1330" s="11">
        <f ca="1">IFERROR(__xludf.DUMMYFUNCTION("""COMPUTED_VALUE"""),46032.875)</f>
        <v>46032.875</v>
      </c>
      <c r="BH1330" s="17" t="s">
        <v>105</v>
      </c>
      <c r="BI1330" s="17"/>
      <c r="BJ1330" s="15"/>
      <c r="BK1330" s="15"/>
      <c r="BL1330" s="13" t="b">
        <v>0</v>
      </c>
      <c r="BM1330" s="10"/>
      <c r="BN1330" s="10" t="s">
        <v>118</v>
      </c>
      <c r="BO1330" s="11">
        <v>45904.284594907411</v>
      </c>
      <c r="BP1330" s="11">
        <v>45988.624780092592</v>
      </c>
      <c r="BQ1330" s="15"/>
      <c r="BR1330" s="15">
        <v>46029.46329861111</v>
      </c>
      <c r="BS1330" s="10" t="s">
        <v>118</v>
      </c>
      <c r="BT1330" s="10"/>
      <c r="BU1330" s="10"/>
      <c r="BV1330" s="10"/>
      <c r="BW1330" s="10"/>
      <c r="BX1330" s="10"/>
      <c r="BY1330" s="23"/>
      <c r="BZ1330" s="23"/>
      <c r="CA1330" s="19" t="s">
        <v>10653</v>
      </c>
      <c r="CB1330" s="19" t="s">
        <v>10654</v>
      </c>
      <c r="CC1330" s="23"/>
      <c r="CD1330" s="23"/>
      <c r="CE1330" s="23"/>
      <c r="CF1330" s="23"/>
      <c r="CG1330" s="23"/>
      <c r="CH1330" s="23"/>
      <c r="CI1330" s="23"/>
    </row>
    <row r="1331" spans="1:87" x14ac:dyDescent="0.3">
      <c r="A1331" s="9" t="s">
        <v>10655</v>
      </c>
      <c r="B1331" s="10" t="s">
        <v>10656</v>
      </c>
      <c r="C1331" s="11">
        <v>46034</v>
      </c>
      <c r="D1331" s="12">
        <v>8.3333333333333329E-2</v>
      </c>
      <c r="E1331" s="11">
        <v>46034.083333333336</v>
      </c>
      <c r="F1331" s="10" t="s">
        <v>3211</v>
      </c>
      <c r="G1331" s="13" t="b">
        <v>0</v>
      </c>
      <c r="H1331" s="10" t="s">
        <v>3212</v>
      </c>
      <c r="I1331" s="10" t="s">
        <v>3213</v>
      </c>
      <c r="J1331" s="13" t="b">
        <v>0</v>
      </c>
      <c r="K1331" s="13" t="b">
        <v>1</v>
      </c>
      <c r="L1331" s="10" t="s">
        <v>124</v>
      </c>
      <c r="M1331" s="10" t="s">
        <v>91</v>
      </c>
      <c r="N1331" s="10" t="s">
        <v>92</v>
      </c>
      <c r="O1331" s="19" t="s">
        <v>10657</v>
      </c>
      <c r="P1331" s="10" t="s">
        <v>3215</v>
      </c>
      <c r="Q1331" s="10" t="s">
        <v>126</v>
      </c>
      <c r="R1331" s="10"/>
      <c r="S1331" s="19" t="s">
        <v>10658</v>
      </c>
      <c r="T1331" s="10"/>
      <c r="U1331" s="10" t="s">
        <v>3270</v>
      </c>
      <c r="V1331" s="10" t="s">
        <v>3250</v>
      </c>
      <c r="W1331" s="10" t="s">
        <v>3219</v>
      </c>
      <c r="X1331" s="10" t="s">
        <v>130</v>
      </c>
      <c r="Y1331" s="10" t="s">
        <v>130</v>
      </c>
      <c r="Z1331" s="10" t="s">
        <v>99</v>
      </c>
      <c r="AA1331" s="10" t="s">
        <v>131</v>
      </c>
      <c r="AB1331" s="10" t="s">
        <v>3220</v>
      </c>
      <c r="AC1331" s="10" t="s">
        <v>3221</v>
      </c>
      <c r="AD1331" s="10" t="s">
        <v>10659</v>
      </c>
      <c r="AE1331" s="10" t="s">
        <v>10660</v>
      </c>
      <c r="AF1331" s="15"/>
      <c r="AG1331" s="10"/>
      <c r="AH1331" s="10"/>
      <c r="AI1331" s="10"/>
      <c r="AJ1331" s="10"/>
      <c r="AK1331" s="10" t="s">
        <v>102</v>
      </c>
      <c r="AL1331" s="10" t="s">
        <v>2303</v>
      </c>
      <c r="AM1331" s="10"/>
      <c r="AN1331" s="10"/>
      <c r="AO1331" s="13" t="b">
        <v>0</v>
      </c>
      <c r="AP1331" s="10" t="s">
        <v>104</v>
      </c>
      <c r="AQ1331" s="10">
        <f ca="1">IFERROR(__xludf.DUMMYFUNCTION("""COMPUTED_VALUE"""),4835817)</f>
        <v>4835817</v>
      </c>
      <c r="AR1331" s="17"/>
      <c r="AS1331" s="17"/>
      <c r="AT1331" s="17"/>
      <c r="AU1331" s="17"/>
      <c r="AV1331" s="17"/>
      <c r="AW1331" s="10"/>
      <c r="AX1331" s="17"/>
      <c r="AY1331" s="18" t="s">
        <v>257</v>
      </c>
      <c r="AZ1331" s="10" t="s">
        <v>6778</v>
      </c>
      <c r="BA1331" s="20" t="b">
        <v>0</v>
      </c>
      <c r="BB1331" s="10"/>
      <c r="BC1331" s="17" t="s">
        <v>257</v>
      </c>
      <c r="BD1331" s="17" t="s">
        <v>257</v>
      </c>
      <c r="BE1331" s="17" t="s">
        <v>257</v>
      </c>
      <c r="BF1331" s="17" t="s">
        <v>257</v>
      </c>
      <c r="BG1331" s="11">
        <f ca="1">IFERROR(__xludf.DUMMYFUNCTION("""COMPUTED_VALUE"""),46034)</f>
        <v>46034</v>
      </c>
      <c r="BH1331" s="17"/>
      <c r="BI1331" s="17"/>
      <c r="BJ1331" s="15"/>
      <c r="BK1331" s="15"/>
      <c r="BL1331" s="13" t="b">
        <v>0</v>
      </c>
      <c r="BM1331" s="10"/>
      <c r="BN1331" s="10" t="s">
        <v>634</v>
      </c>
      <c r="BO1331" s="11">
        <v>45904.284594907411</v>
      </c>
      <c r="BP1331" s="11">
        <v>45988.625740740739</v>
      </c>
      <c r="BQ1331" s="15">
        <v>46028.590995370374</v>
      </c>
      <c r="BR1331" s="15">
        <v>46033.408067129632</v>
      </c>
      <c r="BS1331" s="10" t="s">
        <v>634</v>
      </c>
      <c r="BT1331" s="10"/>
      <c r="BU1331" s="10"/>
      <c r="BV1331" s="10"/>
      <c r="BW1331" s="10"/>
      <c r="BX1331" s="10"/>
      <c r="BY1331" s="23"/>
      <c r="BZ1331" s="23"/>
      <c r="CA1331" s="19" t="s">
        <v>10661</v>
      </c>
      <c r="CB1331" s="19" t="s">
        <v>10662</v>
      </c>
      <c r="CC1331" s="23"/>
      <c r="CD1331" s="19" t="s">
        <v>10663</v>
      </c>
      <c r="CE1331" s="23"/>
      <c r="CF1331" s="23"/>
      <c r="CG1331" s="23"/>
      <c r="CH1331" s="23"/>
      <c r="CI1331" s="23"/>
    </row>
    <row r="1332" spans="1:87" x14ac:dyDescent="0.3">
      <c r="A1332" s="9" t="s">
        <v>10664</v>
      </c>
      <c r="B1332" s="10" t="s">
        <v>10665</v>
      </c>
      <c r="C1332" s="11">
        <v>46040.875</v>
      </c>
      <c r="D1332" s="12">
        <v>8.3333333333333329E-2</v>
      </c>
      <c r="E1332" s="11">
        <v>46040.958333333336</v>
      </c>
      <c r="F1332" s="10" t="s">
        <v>3211</v>
      </c>
      <c r="G1332" s="13" t="b">
        <v>0</v>
      </c>
      <c r="H1332" s="10" t="s">
        <v>3212</v>
      </c>
      <c r="I1332" s="10" t="s">
        <v>3213</v>
      </c>
      <c r="J1332" s="13" t="b">
        <v>0</v>
      </c>
      <c r="K1332" s="13" t="b">
        <v>1</v>
      </c>
      <c r="L1332" s="10" t="s">
        <v>124</v>
      </c>
      <c r="M1332" s="10" t="s">
        <v>91</v>
      </c>
      <c r="N1332" s="10" t="s">
        <v>92</v>
      </c>
      <c r="O1332" s="10"/>
      <c r="P1332" s="10"/>
      <c r="Q1332" s="10" t="s">
        <v>126</v>
      </c>
      <c r="R1332" s="10"/>
      <c r="S1332" s="10"/>
      <c r="T1332" s="10"/>
      <c r="U1332" s="10" t="s">
        <v>3230</v>
      </c>
      <c r="V1332" s="10" t="s">
        <v>3240</v>
      </c>
      <c r="W1332" s="10" t="s">
        <v>3219</v>
      </c>
      <c r="X1332" s="10" t="s">
        <v>130</v>
      </c>
      <c r="Y1332" s="10" t="s">
        <v>130</v>
      </c>
      <c r="Z1332" s="10" t="s">
        <v>99</v>
      </c>
      <c r="AA1332" s="10" t="s">
        <v>131</v>
      </c>
      <c r="AB1332" s="10" t="s">
        <v>3220</v>
      </c>
      <c r="AC1332" s="10" t="s">
        <v>3221</v>
      </c>
      <c r="AD1332" s="10" t="s">
        <v>10666</v>
      </c>
      <c r="AE1332" s="10" t="s">
        <v>10667</v>
      </c>
      <c r="AF1332" s="15"/>
      <c r="AG1332" s="10"/>
      <c r="AH1332" s="10"/>
      <c r="AI1332" s="10"/>
      <c r="AJ1332" s="10"/>
      <c r="AK1332" s="10"/>
      <c r="AL1332" s="10" t="s">
        <v>2405</v>
      </c>
      <c r="AM1332" s="10"/>
      <c r="AN1332" s="10"/>
      <c r="AO1332" s="13" t="b">
        <v>0</v>
      </c>
      <c r="AP1332" s="10" t="s">
        <v>104</v>
      </c>
      <c r="AQ1332" s="10"/>
      <c r="AR1332" s="17"/>
      <c r="AS1332" s="17"/>
      <c r="AT1332" s="17"/>
      <c r="AU1332" s="17"/>
      <c r="AV1332" s="17"/>
      <c r="AW1332" s="10"/>
      <c r="AX1332" s="17"/>
      <c r="AY1332" s="18" t="s">
        <v>257</v>
      </c>
      <c r="AZ1332" s="10"/>
      <c r="BA1332" s="20" t="b">
        <v>0</v>
      </c>
      <c r="BB1332" s="10"/>
      <c r="BC1332" s="17" t="s">
        <v>257</v>
      </c>
      <c r="BD1332" s="17" t="s">
        <v>257</v>
      </c>
      <c r="BE1332" s="17" t="s">
        <v>257</v>
      </c>
      <c r="BF1332" s="17" t="s">
        <v>257</v>
      </c>
      <c r="BG1332" s="11">
        <f ca="1">IFERROR(__xludf.DUMMYFUNCTION("""COMPUTED_VALUE"""),46040.875)</f>
        <v>46040.875</v>
      </c>
      <c r="BH1332" s="17"/>
      <c r="BI1332" s="17"/>
      <c r="BJ1332" s="15"/>
      <c r="BK1332" s="15"/>
      <c r="BL1332" s="13" t="b">
        <v>0</v>
      </c>
      <c r="BM1332" s="10"/>
      <c r="BN1332" s="10" t="s">
        <v>241</v>
      </c>
      <c r="BO1332" s="11">
        <v>45904.284594907411</v>
      </c>
      <c r="BP1332" s="11">
        <v>45993.723333333335</v>
      </c>
      <c r="BQ1332" s="15"/>
      <c r="BR1332" s="15"/>
      <c r="BS1332" s="10"/>
      <c r="BT1332" s="10"/>
      <c r="BU1332" s="10"/>
      <c r="BV1332" s="10"/>
      <c r="BW1332" s="10"/>
      <c r="BX1332" s="10"/>
      <c r="BY1332" s="23"/>
      <c r="BZ1332" s="23"/>
      <c r="CA1332" s="23"/>
      <c r="CB1332" s="23"/>
      <c r="CC1332" s="23"/>
      <c r="CD1332" s="23"/>
      <c r="CE1332" s="23"/>
      <c r="CF1332" s="23"/>
      <c r="CG1332" s="23"/>
      <c r="CH1332" s="23"/>
      <c r="CI1332" s="23"/>
    </row>
    <row r="1333" spans="1:87" x14ac:dyDescent="0.3">
      <c r="A1333" s="9" t="s">
        <v>10668</v>
      </c>
      <c r="B1333" s="10" t="s">
        <v>10669</v>
      </c>
      <c r="C1333" s="11">
        <v>46040.114583333336</v>
      </c>
      <c r="D1333" s="12">
        <v>8.3333333333333329E-2</v>
      </c>
      <c r="E1333" s="11">
        <v>46040.197916666664</v>
      </c>
      <c r="F1333" s="10" t="s">
        <v>3211</v>
      </c>
      <c r="G1333" s="13" t="b">
        <v>0</v>
      </c>
      <c r="H1333" s="10" t="s">
        <v>3212</v>
      </c>
      <c r="I1333" s="10" t="s">
        <v>3213</v>
      </c>
      <c r="J1333" s="13" t="b">
        <v>0</v>
      </c>
      <c r="K1333" s="13" t="b">
        <v>1</v>
      </c>
      <c r="L1333" s="10" t="s">
        <v>124</v>
      </c>
      <c r="M1333" s="10" t="s">
        <v>91</v>
      </c>
      <c r="N1333" s="10" t="s">
        <v>92</v>
      </c>
      <c r="O1333" s="10"/>
      <c r="P1333" s="10"/>
      <c r="Q1333" s="10" t="s">
        <v>126</v>
      </c>
      <c r="R1333" s="10"/>
      <c r="S1333" s="10"/>
      <c r="T1333" s="10"/>
      <c r="U1333" s="10" t="s">
        <v>3239</v>
      </c>
      <c r="V1333" s="10" t="s">
        <v>3259</v>
      </c>
      <c r="W1333" s="10" t="s">
        <v>3219</v>
      </c>
      <c r="X1333" s="10" t="s">
        <v>130</v>
      </c>
      <c r="Y1333" s="10" t="s">
        <v>130</v>
      </c>
      <c r="Z1333" s="10" t="s">
        <v>99</v>
      </c>
      <c r="AA1333" s="10" t="s">
        <v>131</v>
      </c>
      <c r="AB1333" s="10" t="s">
        <v>3220</v>
      </c>
      <c r="AC1333" s="10" t="s">
        <v>3221</v>
      </c>
      <c r="AD1333" s="10" t="s">
        <v>10670</v>
      </c>
      <c r="AE1333" s="10" t="s">
        <v>10671</v>
      </c>
      <c r="AF1333" s="15"/>
      <c r="AG1333" s="10"/>
      <c r="AH1333" s="10"/>
      <c r="AI1333" s="10"/>
      <c r="AJ1333" s="10"/>
      <c r="AK1333" s="10"/>
      <c r="AL1333" s="10" t="s">
        <v>2405</v>
      </c>
      <c r="AM1333" s="10"/>
      <c r="AN1333" s="10"/>
      <c r="AO1333" s="13" t="b">
        <v>1</v>
      </c>
      <c r="AP1333" s="10" t="s">
        <v>104</v>
      </c>
      <c r="AQ1333" s="10"/>
      <c r="AR1333" s="17"/>
      <c r="AS1333" s="17"/>
      <c r="AT1333" s="17"/>
      <c r="AU1333" s="17"/>
      <c r="AV1333" s="17"/>
      <c r="AW1333" s="10"/>
      <c r="AX1333" s="17"/>
      <c r="AY1333" s="18" t="s">
        <v>257</v>
      </c>
      <c r="AZ1333" s="10"/>
      <c r="BA1333" s="20" t="b">
        <v>0</v>
      </c>
      <c r="BB1333" s="10"/>
      <c r="BC1333" s="17" t="s">
        <v>257</v>
      </c>
      <c r="BD1333" s="17" t="s">
        <v>257</v>
      </c>
      <c r="BE1333" s="17" t="s">
        <v>257</v>
      </c>
      <c r="BF1333" s="17" t="s">
        <v>257</v>
      </c>
      <c r="BG1333" s="11">
        <f ca="1">IFERROR(__xludf.DUMMYFUNCTION("""COMPUTED_VALUE"""),46040.1145833333)</f>
        <v>46040.114583333299</v>
      </c>
      <c r="BH1333" s="17"/>
      <c r="BI1333" s="17"/>
      <c r="BJ1333" s="15"/>
      <c r="BK1333" s="15"/>
      <c r="BL1333" s="13" t="b">
        <v>0</v>
      </c>
      <c r="BM1333" s="10"/>
      <c r="BN1333" s="10" t="s">
        <v>10672</v>
      </c>
      <c r="BO1333" s="11">
        <v>45904.28402777778</v>
      </c>
      <c r="BP1333" s="11">
        <v>45993.723067129627</v>
      </c>
      <c r="BQ1333" s="15"/>
      <c r="BR1333" s="15"/>
      <c r="BS1333" s="10"/>
      <c r="BT1333" s="10" t="s">
        <v>99</v>
      </c>
      <c r="BU1333" s="10"/>
      <c r="BV1333" s="10" t="s">
        <v>124</v>
      </c>
      <c r="BW1333" s="10"/>
      <c r="BX1333" s="10"/>
      <c r="BY1333" s="23"/>
      <c r="BZ1333" s="23"/>
      <c r="CA1333" s="23"/>
      <c r="CB1333" s="23"/>
      <c r="CC1333" s="23"/>
      <c r="CD1333" s="23"/>
      <c r="CE1333" s="23"/>
      <c r="CF1333" s="23"/>
      <c r="CG1333" s="23"/>
      <c r="CH1333" s="23"/>
      <c r="CI1333" s="23"/>
    </row>
    <row r="1334" spans="1:87" x14ac:dyDescent="0.3">
      <c r="A1334" s="9" t="s">
        <v>10673</v>
      </c>
      <c r="B1334" s="10" t="s">
        <v>10674</v>
      </c>
      <c r="C1334" s="11">
        <v>46042.020833333336</v>
      </c>
      <c r="D1334" s="12">
        <v>8.3333333333333329E-2</v>
      </c>
      <c r="E1334" s="11">
        <v>46042.104166666664</v>
      </c>
      <c r="F1334" s="10" t="s">
        <v>3211</v>
      </c>
      <c r="G1334" s="13" t="b">
        <v>0</v>
      </c>
      <c r="H1334" s="10" t="s">
        <v>3212</v>
      </c>
      <c r="I1334" s="10" t="s">
        <v>3213</v>
      </c>
      <c r="J1334" s="13" t="b">
        <v>0</v>
      </c>
      <c r="K1334" s="13" t="b">
        <v>1</v>
      </c>
      <c r="L1334" s="10" t="s">
        <v>124</v>
      </c>
      <c r="M1334" s="10" t="s">
        <v>91</v>
      </c>
      <c r="N1334" s="10" t="s">
        <v>92</v>
      </c>
      <c r="O1334" s="10"/>
      <c r="P1334" s="10"/>
      <c r="Q1334" s="10" t="s">
        <v>126</v>
      </c>
      <c r="R1334" s="10"/>
      <c r="S1334" s="10"/>
      <c r="T1334" s="10"/>
      <c r="U1334" s="10" t="s">
        <v>3440</v>
      </c>
      <c r="V1334" s="10" t="s">
        <v>3270</v>
      </c>
      <c r="W1334" s="10" t="s">
        <v>3219</v>
      </c>
      <c r="X1334" s="10" t="s">
        <v>130</v>
      </c>
      <c r="Y1334" s="10" t="s">
        <v>130</v>
      </c>
      <c r="Z1334" s="10" t="s">
        <v>99</v>
      </c>
      <c r="AA1334" s="10" t="s">
        <v>131</v>
      </c>
      <c r="AB1334" s="10" t="s">
        <v>3220</v>
      </c>
      <c r="AC1334" s="10" t="s">
        <v>3221</v>
      </c>
      <c r="AD1334" s="10" t="s">
        <v>10675</v>
      </c>
      <c r="AE1334" s="10" t="s">
        <v>10676</v>
      </c>
      <c r="AF1334" s="15"/>
      <c r="AG1334" s="10"/>
      <c r="AH1334" s="10"/>
      <c r="AI1334" s="10"/>
      <c r="AJ1334" s="10"/>
      <c r="AK1334" s="10"/>
      <c r="AL1334" s="10" t="s">
        <v>2405</v>
      </c>
      <c r="AM1334" s="10"/>
      <c r="AN1334" s="10"/>
      <c r="AO1334" s="13" t="b">
        <v>1</v>
      </c>
      <c r="AP1334" s="10" t="s">
        <v>104</v>
      </c>
      <c r="AQ1334" s="10"/>
      <c r="AR1334" s="17"/>
      <c r="AS1334" s="17"/>
      <c r="AT1334" s="17"/>
      <c r="AU1334" s="17"/>
      <c r="AV1334" s="17"/>
      <c r="AW1334" s="10"/>
      <c r="AX1334" s="17"/>
      <c r="AY1334" s="18" t="s">
        <v>257</v>
      </c>
      <c r="AZ1334" s="10"/>
      <c r="BA1334" s="20" t="b">
        <v>0</v>
      </c>
      <c r="BB1334" s="10"/>
      <c r="BC1334" s="17" t="s">
        <v>257</v>
      </c>
      <c r="BD1334" s="17" t="s">
        <v>257</v>
      </c>
      <c r="BE1334" s="17" t="s">
        <v>257</v>
      </c>
      <c r="BF1334" s="17" t="s">
        <v>257</v>
      </c>
      <c r="BG1334" s="11">
        <f ca="1">IFERROR(__xludf.DUMMYFUNCTION("""COMPUTED_VALUE"""),46042.0208333333)</f>
        <v>46042.020833333299</v>
      </c>
      <c r="BH1334" s="17"/>
      <c r="BI1334" s="17"/>
      <c r="BJ1334" s="15"/>
      <c r="BK1334" s="15"/>
      <c r="BL1334" s="13" t="b">
        <v>0</v>
      </c>
      <c r="BM1334" s="10"/>
      <c r="BN1334" s="10" t="s">
        <v>10672</v>
      </c>
      <c r="BO1334" s="11">
        <v>45904.284594907411</v>
      </c>
      <c r="BP1334" s="11">
        <v>45993.723796296297</v>
      </c>
      <c r="BQ1334" s="15"/>
      <c r="BR1334" s="15"/>
      <c r="BS1334" s="10"/>
      <c r="BT1334" s="10" t="s">
        <v>99</v>
      </c>
      <c r="BU1334" s="10"/>
      <c r="BV1334" s="10"/>
      <c r="BW1334" s="10"/>
      <c r="BX1334" s="10"/>
      <c r="BY1334" s="23"/>
      <c r="BZ1334" s="23"/>
      <c r="CA1334" s="23"/>
      <c r="CB1334" s="23"/>
      <c r="CC1334" s="23"/>
      <c r="CD1334" s="23"/>
      <c r="CE1334" s="23"/>
      <c r="CF1334" s="23"/>
      <c r="CG1334" s="23"/>
      <c r="CH1334" s="23"/>
      <c r="CI1334" s="23"/>
    </row>
    <row r="1335" spans="1:87" x14ac:dyDescent="0.3">
      <c r="A1335" s="9" t="s">
        <v>10677</v>
      </c>
      <c r="B1335" s="10" t="s">
        <v>10678</v>
      </c>
      <c r="C1335" s="11">
        <v>46042.114583333336</v>
      </c>
      <c r="D1335" s="12">
        <v>8.3333333333333329E-2</v>
      </c>
      <c r="E1335" s="11">
        <v>46042.197916666664</v>
      </c>
      <c r="F1335" s="10" t="s">
        <v>3211</v>
      </c>
      <c r="G1335" s="13" t="b">
        <v>0</v>
      </c>
      <c r="H1335" s="10" t="s">
        <v>3212</v>
      </c>
      <c r="I1335" s="10" t="s">
        <v>3213</v>
      </c>
      <c r="J1335" s="13" t="b">
        <v>0</v>
      </c>
      <c r="K1335" s="13" t="b">
        <v>1</v>
      </c>
      <c r="L1335" s="10" t="s">
        <v>124</v>
      </c>
      <c r="M1335" s="10" t="s">
        <v>91</v>
      </c>
      <c r="N1335" s="10" t="s">
        <v>92</v>
      </c>
      <c r="O1335" s="10"/>
      <c r="P1335" s="10"/>
      <c r="Q1335" s="10" t="s">
        <v>126</v>
      </c>
      <c r="R1335" s="10"/>
      <c r="S1335" s="10"/>
      <c r="T1335" s="10"/>
      <c r="U1335" s="10" t="s">
        <v>3250</v>
      </c>
      <c r="V1335" s="10" t="s">
        <v>3249</v>
      </c>
      <c r="W1335" s="10" t="s">
        <v>3219</v>
      </c>
      <c r="X1335" s="10" t="s">
        <v>130</v>
      </c>
      <c r="Y1335" s="10" t="s">
        <v>130</v>
      </c>
      <c r="Z1335" s="10" t="s">
        <v>99</v>
      </c>
      <c r="AA1335" s="10" t="s">
        <v>131</v>
      </c>
      <c r="AB1335" s="10" t="s">
        <v>3220</v>
      </c>
      <c r="AC1335" s="10" t="s">
        <v>3221</v>
      </c>
      <c r="AD1335" s="10" t="s">
        <v>10679</v>
      </c>
      <c r="AE1335" s="10" t="s">
        <v>10680</v>
      </c>
      <c r="AF1335" s="15"/>
      <c r="AG1335" s="10"/>
      <c r="AH1335" s="10"/>
      <c r="AI1335" s="10"/>
      <c r="AJ1335" s="10"/>
      <c r="AK1335" s="10"/>
      <c r="AL1335" s="10" t="s">
        <v>2405</v>
      </c>
      <c r="AM1335" s="10"/>
      <c r="AN1335" s="10"/>
      <c r="AO1335" s="13" t="b">
        <v>0</v>
      </c>
      <c r="AP1335" s="10" t="s">
        <v>104</v>
      </c>
      <c r="AQ1335" s="10"/>
      <c r="AR1335" s="17"/>
      <c r="AS1335" s="17"/>
      <c r="AT1335" s="17"/>
      <c r="AU1335" s="17"/>
      <c r="AV1335" s="17"/>
      <c r="AW1335" s="10"/>
      <c r="AX1335" s="17"/>
      <c r="AY1335" s="18" t="s">
        <v>257</v>
      </c>
      <c r="AZ1335" s="10"/>
      <c r="BA1335" s="20" t="b">
        <v>0</v>
      </c>
      <c r="BB1335" s="10"/>
      <c r="BC1335" s="17" t="s">
        <v>257</v>
      </c>
      <c r="BD1335" s="17" t="s">
        <v>257</v>
      </c>
      <c r="BE1335" s="17" t="s">
        <v>257</v>
      </c>
      <c r="BF1335" s="17" t="s">
        <v>257</v>
      </c>
      <c r="BG1335" s="11">
        <f ca="1">IFERROR(__xludf.DUMMYFUNCTION("""COMPUTED_VALUE"""),46042.1145833333)</f>
        <v>46042.114583333299</v>
      </c>
      <c r="BH1335" s="17"/>
      <c r="BI1335" s="17"/>
      <c r="BJ1335" s="15"/>
      <c r="BK1335" s="15"/>
      <c r="BL1335" s="13" t="b">
        <v>0</v>
      </c>
      <c r="BM1335" s="10"/>
      <c r="BN1335" s="10" t="s">
        <v>241</v>
      </c>
      <c r="BO1335" s="11">
        <v>45904.284594907411</v>
      </c>
      <c r="BP1335" s="11">
        <v>45993.723877314813</v>
      </c>
      <c r="BQ1335" s="15"/>
      <c r="BR1335" s="15"/>
      <c r="BS1335" s="10"/>
      <c r="BT1335" s="10"/>
      <c r="BU1335" s="10"/>
      <c r="BV1335" s="10"/>
      <c r="BW1335" s="10"/>
      <c r="BX1335" s="10"/>
      <c r="BY1335" s="23"/>
      <c r="BZ1335" s="23"/>
      <c r="CA1335" s="23"/>
      <c r="CB1335" s="23"/>
      <c r="CC1335" s="23"/>
      <c r="CD1335" s="23"/>
      <c r="CE1335" s="23"/>
      <c r="CF1335" s="23"/>
      <c r="CG1335" s="23"/>
      <c r="CH1335" s="23"/>
      <c r="CI1335" s="23"/>
    </row>
    <row r="1336" spans="1:87" x14ac:dyDescent="0.3">
      <c r="A1336" s="9" t="s">
        <v>10681</v>
      </c>
      <c r="B1336" s="10" t="s">
        <v>10682</v>
      </c>
      <c r="C1336" s="11">
        <v>46041.114583333336</v>
      </c>
      <c r="D1336" s="12">
        <v>8.3333333333333329E-2</v>
      </c>
      <c r="E1336" s="11">
        <v>46041.197916666664</v>
      </c>
      <c r="F1336" s="10" t="s">
        <v>3211</v>
      </c>
      <c r="G1336" s="13" t="b">
        <v>0</v>
      </c>
      <c r="H1336" s="10" t="s">
        <v>3212</v>
      </c>
      <c r="I1336" s="10" t="s">
        <v>3213</v>
      </c>
      <c r="J1336" s="13" t="b">
        <v>0</v>
      </c>
      <c r="K1336" s="13" t="b">
        <v>1</v>
      </c>
      <c r="L1336" s="10" t="s">
        <v>124</v>
      </c>
      <c r="M1336" s="10" t="s">
        <v>91</v>
      </c>
      <c r="N1336" s="10" t="s">
        <v>92</v>
      </c>
      <c r="O1336" s="10"/>
      <c r="P1336" s="10"/>
      <c r="Q1336" s="10" t="s">
        <v>126</v>
      </c>
      <c r="R1336" s="10"/>
      <c r="S1336" s="10"/>
      <c r="T1336" s="10"/>
      <c r="U1336" s="10" t="s">
        <v>3289</v>
      </c>
      <c r="V1336" s="10" t="s">
        <v>3218</v>
      </c>
      <c r="W1336" s="10" t="s">
        <v>3219</v>
      </c>
      <c r="X1336" s="10" t="s">
        <v>130</v>
      </c>
      <c r="Y1336" s="10" t="s">
        <v>130</v>
      </c>
      <c r="Z1336" s="10" t="s">
        <v>99</v>
      </c>
      <c r="AA1336" s="10" t="s">
        <v>131</v>
      </c>
      <c r="AB1336" s="10" t="s">
        <v>3220</v>
      </c>
      <c r="AC1336" s="10" t="s">
        <v>3221</v>
      </c>
      <c r="AD1336" s="10" t="s">
        <v>10683</v>
      </c>
      <c r="AE1336" s="10" t="s">
        <v>10684</v>
      </c>
      <c r="AF1336" s="15"/>
      <c r="AG1336" s="10"/>
      <c r="AH1336" s="10"/>
      <c r="AI1336" s="10"/>
      <c r="AJ1336" s="10"/>
      <c r="AK1336" s="10"/>
      <c r="AL1336" s="10" t="s">
        <v>2405</v>
      </c>
      <c r="AM1336" s="10"/>
      <c r="AN1336" s="10"/>
      <c r="AO1336" s="13" t="b">
        <v>1</v>
      </c>
      <c r="AP1336" s="10" t="s">
        <v>104</v>
      </c>
      <c r="AQ1336" s="10"/>
      <c r="AR1336" s="17"/>
      <c r="AS1336" s="17"/>
      <c r="AT1336" s="17"/>
      <c r="AU1336" s="17"/>
      <c r="AV1336" s="17"/>
      <c r="AW1336" s="10"/>
      <c r="AX1336" s="17"/>
      <c r="AY1336" s="18" t="s">
        <v>257</v>
      </c>
      <c r="AZ1336" s="10"/>
      <c r="BA1336" s="20" t="b">
        <v>0</v>
      </c>
      <c r="BB1336" s="10"/>
      <c r="BC1336" s="17" t="s">
        <v>257</v>
      </c>
      <c r="BD1336" s="17" t="s">
        <v>257</v>
      </c>
      <c r="BE1336" s="17" t="s">
        <v>257</v>
      </c>
      <c r="BF1336" s="17" t="s">
        <v>257</v>
      </c>
      <c r="BG1336" s="11">
        <f ca="1">IFERROR(__xludf.DUMMYFUNCTION("""COMPUTED_VALUE"""),46041.1145833333)</f>
        <v>46041.114583333299</v>
      </c>
      <c r="BH1336" s="17"/>
      <c r="BI1336" s="17"/>
      <c r="BJ1336" s="15"/>
      <c r="BK1336" s="15"/>
      <c r="BL1336" s="13" t="b">
        <v>0</v>
      </c>
      <c r="BM1336" s="10"/>
      <c r="BN1336" s="10" t="s">
        <v>10672</v>
      </c>
      <c r="BO1336" s="11">
        <v>45904.284594907411</v>
      </c>
      <c r="BP1336" s="11">
        <v>45993.723680555559</v>
      </c>
      <c r="BQ1336" s="15"/>
      <c r="BR1336" s="15"/>
      <c r="BS1336" s="10"/>
      <c r="BT1336" s="10" t="s">
        <v>99</v>
      </c>
      <c r="BU1336" s="10"/>
      <c r="BV1336" s="10"/>
      <c r="BW1336" s="10"/>
      <c r="BX1336" s="10"/>
      <c r="BY1336" s="23"/>
      <c r="BZ1336" s="23"/>
      <c r="CA1336" s="23"/>
      <c r="CB1336" s="23"/>
      <c r="CC1336" s="23"/>
      <c r="CD1336" s="23"/>
      <c r="CE1336" s="23"/>
      <c r="CF1336" s="23"/>
      <c r="CG1336" s="23"/>
      <c r="CH1336" s="23"/>
      <c r="CI1336" s="23"/>
    </row>
    <row r="1337" spans="1:87" x14ac:dyDescent="0.3">
      <c r="A1337" s="9" t="s">
        <v>10685</v>
      </c>
      <c r="B1337" s="10" t="s">
        <v>10686</v>
      </c>
      <c r="C1337" s="11">
        <v>46040</v>
      </c>
      <c r="D1337" s="12">
        <v>8.3333333333333329E-2</v>
      </c>
      <c r="E1337" s="11">
        <v>46040.083333333336</v>
      </c>
      <c r="F1337" s="10" t="s">
        <v>3211</v>
      </c>
      <c r="G1337" s="13" t="b">
        <v>0</v>
      </c>
      <c r="H1337" s="10" t="s">
        <v>3212</v>
      </c>
      <c r="I1337" s="10" t="s">
        <v>3213</v>
      </c>
      <c r="J1337" s="13" t="b">
        <v>0</v>
      </c>
      <c r="K1337" s="13" t="b">
        <v>1</v>
      </c>
      <c r="L1337" s="10" t="s">
        <v>124</v>
      </c>
      <c r="M1337" s="10" t="s">
        <v>91</v>
      </c>
      <c r="N1337" s="10" t="s">
        <v>92</v>
      </c>
      <c r="O1337" s="10"/>
      <c r="P1337" s="10"/>
      <c r="Q1337" s="10" t="s">
        <v>126</v>
      </c>
      <c r="R1337" s="10"/>
      <c r="S1337" s="10"/>
      <c r="T1337" s="10"/>
      <c r="U1337" s="10" t="s">
        <v>3318</v>
      </c>
      <c r="V1337" s="10" t="s">
        <v>3429</v>
      </c>
      <c r="W1337" s="10" t="s">
        <v>3219</v>
      </c>
      <c r="X1337" s="10" t="s">
        <v>130</v>
      </c>
      <c r="Y1337" s="10" t="s">
        <v>130</v>
      </c>
      <c r="Z1337" s="10" t="s">
        <v>99</v>
      </c>
      <c r="AA1337" s="10" t="s">
        <v>131</v>
      </c>
      <c r="AB1337" s="10" t="s">
        <v>3220</v>
      </c>
      <c r="AC1337" s="10" t="s">
        <v>3221</v>
      </c>
      <c r="AD1337" s="10" t="s">
        <v>10687</v>
      </c>
      <c r="AE1337" s="10" t="s">
        <v>10688</v>
      </c>
      <c r="AF1337" s="15"/>
      <c r="AG1337" s="10"/>
      <c r="AH1337" s="10"/>
      <c r="AI1337" s="10"/>
      <c r="AJ1337" s="10"/>
      <c r="AK1337" s="10"/>
      <c r="AL1337" s="10" t="s">
        <v>2405</v>
      </c>
      <c r="AM1337" s="10"/>
      <c r="AN1337" s="10"/>
      <c r="AO1337" s="13" t="b">
        <v>1</v>
      </c>
      <c r="AP1337" s="10" t="s">
        <v>104</v>
      </c>
      <c r="AQ1337" s="10"/>
      <c r="AR1337" s="17"/>
      <c r="AS1337" s="17"/>
      <c r="AT1337" s="17"/>
      <c r="AU1337" s="17"/>
      <c r="AV1337" s="17"/>
      <c r="AW1337" s="10"/>
      <c r="AX1337" s="17"/>
      <c r="AY1337" s="18" t="s">
        <v>257</v>
      </c>
      <c r="AZ1337" s="10"/>
      <c r="BA1337" s="20" t="b">
        <v>0</v>
      </c>
      <c r="BB1337" s="10"/>
      <c r="BC1337" s="17" t="s">
        <v>257</v>
      </c>
      <c r="BD1337" s="17" t="s">
        <v>257</v>
      </c>
      <c r="BE1337" s="17" t="s">
        <v>257</v>
      </c>
      <c r="BF1337" s="17" t="s">
        <v>257</v>
      </c>
      <c r="BG1337" s="11">
        <f ca="1">IFERROR(__xludf.DUMMYFUNCTION("""COMPUTED_VALUE"""),46040)</f>
        <v>46040</v>
      </c>
      <c r="BH1337" s="17"/>
      <c r="BI1337" s="17"/>
      <c r="BJ1337" s="15"/>
      <c r="BK1337" s="15"/>
      <c r="BL1337" s="13" t="b">
        <v>0</v>
      </c>
      <c r="BM1337" s="10"/>
      <c r="BN1337" s="10" t="s">
        <v>10672</v>
      </c>
      <c r="BO1337" s="11">
        <v>45904.28402777778</v>
      </c>
      <c r="BP1337" s="11">
        <v>45993.722928240742</v>
      </c>
      <c r="BQ1337" s="15"/>
      <c r="BR1337" s="15"/>
      <c r="BS1337" s="10"/>
      <c r="BT1337" s="10" t="s">
        <v>99</v>
      </c>
      <c r="BU1337" s="10"/>
      <c r="BV1337" s="10" t="s">
        <v>124</v>
      </c>
      <c r="BW1337" s="10"/>
      <c r="BX1337" s="10"/>
      <c r="BY1337" s="23"/>
      <c r="BZ1337" s="23"/>
      <c r="CA1337" s="23"/>
      <c r="CB1337" s="23"/>
      <c r="CC1337" s="23"/>
      <c r="CD1337" s="23"/>
      <c r="CE1337" s="23"/>
      <c r="CF1337" s="23"/>
      <c r="CG1337" s="23"/>
      <c r="CH1337" s="23"/>
      <c r="CI1337" s="23"/>
    </row>
    <row r="1338" spans="1:87" x14ac:dyDescent="0.3">
      <c r="A1338" s="25" t="s">
        <v>10689</v>
      </c>
      <c r="B1338" s="10" t="s">
        <v>10690</v>
      </c>
      <c r="C1338" s="11">
        <v>46040.770833333336</v>
      </c>
      <c r="D1338" s="12">
        <v>8.3333333333333329E-2</v>
      </c>
      <c r="E1338" s="11">
        <v>46040.854166666664</v>
      </c>
      <c r="F1338" s="10" t="s">
        <v>3211</v>
      </c>
      <c r="G1338" s="13" t="b">
        <v>0</v>
      </c>
      <c r="H1338" s="10" t="s">
        <v>3212</v>
      </c>
      <c r="I1338" s="10" t="s">
        <v>3213</v>
      </c>
      <c r="J1338" s="13" t="b">
        <v>0</v>
      </c>
      <c r="K1338" s="13" t="b">
        <v>1</v>
      </c>
      <c r="L1338" s="10" t="s">
        <v>124</v>
      </c>
      <c r="M1338" s="10" t="s">
        <v>91</v>
      </c>
      <c r="N1338" s="10" t="s">
        <v>92</v>
      </c>
      <c r="O1338" s="10"/>
      <c r="P1338" s="10"/>
      <c r="Q1338" s="10" t="s">
        <v>94</v>
      </c>
      <c r="R1338" s="10"/>
      <c r="S1338" s="10"/>
      <c r="T1338" s="10"/>
      <c r="U1338" s="10" t="s">
        <v>3260</v>
      </c>
      <c r="V1338" s="10" t="s">
        <v>3217</v>
      </c>
      <c r="W1338" s="10" t="s">
        <v>3219</v>
      </c>
      <c r="X1338" s="10" t="s">
        <v>130</v>
      </c>
      <c r="Y1338" s="10" t="s">
        <v>130</v>
      </c>
      <c r="Z1338" s="10" t="s">
        <v>99</v>
      </c>
      <c r="AA1338" s="10" t="s">
        <v>131</v>
      </c>
      <c r="AB1338" s="10" t="s">
        <v>3220</v>
      </c>
      <c r="AC1338" s="10" t="s">
        <v>3221</v>
      </c>
      <c r="AD1338" s="10" t="s">
        <v>10691</v>
      </c>
      <c r="AE1338" s="10" t="s">
        <v>10692</v>
      </c>
      <c r="AF1338" s="15"/>
      <c r="AG1338" s="10"/>
      <c r="AH1338" s="10"/>
      <c r="AI1338" s="10"/>
      <c r="AJ1338" s="10"/>
      <c r="AK1338" s="10"/>
      <c r="AL1338" s="10" t="s">
        <v>2405</v>
      </c>
      <c r="AM1338" s="10"/>
      <c r="AN1338" s="10"/>
      <c r="AO1338" s="13" t="b">
        <v>0</v>
      </c>
      <c r="AP1338" s="10" t="s">
        <v>104</v>
      </c>
      <c r="AQ1338" s="10"/>
      <c r="AR1338" s="17"/>
      <c r="AS1338" s="17"/>
      <c r="AT1338" s="17"/>
      <c r="AU1338" s="17"/>
      <c r="AV1338" s="17"/>
      <c r="AW1338" s="10"/>
      <c r="AX1338" s="17"/>
      <c r="AY1338" s="18" t="s">
        <v>257</v>
      </c>
      <c r="AZ1338" s="10"/>
      <c r="BA1338" s="20" t="b">
        <v>0</v>
      </c>
      <c r="BB1338" s="10"/>
      <c r="BC1338" s="17" t="s">
        <v>257</v>
      </c>
      <c r="BD1338" s="17" t="s">
        <v>257</v>
      </c>
      <c r="BE1338" s="17" t="s">
        <v>257</v>
      </c>
      <c r="BF1338" s="17" t="s">
        <v>257</v>
      </c>
      <c r="BG1338" s="11">
        <f ca="1">IFERROR(__xludf.DUMMYFUNCTION("""COMPUTED_VALUE"""),46040.7708333333)</f>
        <v>46040.770833333299</v>
      </c>
      <c r="BH1338" s="17"/>
      <c r="BI1338" s="17"/>
      <c r="BJ1338" s="15"/>
      <c r="BK1338" s="15"/>
      <c r="BL1338" s="13" t="b">
        <v>0</v>
      </c>
      <c r="BM1338" s="10"/>
      <c r="BN1338" s="10" t="s">
        <v>241</v>
      </c>
      <c r="BO1338" s="11">
        <v>45904.284594907411</v>
      </c>
      <c r="BP1338" s="11">
        <v>45993.723136574074</v>
      </c>
      <c r="BQ1338" s="15"/>
      <c r="BR1338" s="15"/>
      <c r="BS1338" s="10"/>
      <c r="BT1338" s="10"/>
      <c r="BU1338" s="10"/>
      <c r="BV1338" s="10"/>
      <c r="BW1338" s="10"/>
      <c r="BX1338" s="10"/>
      <c r="BY1338" s="23"/>
      <c r="BZ1338" s="23"/>
      <c r="CA1338" s="23"/>
      <c r="CB1338" s="23"/>
      <c r="CC1338" s="23"/>
      <c r="CD1338" s="23"/>
      <c r="CE1338" s="23"/>
      <c r="CF1338" s="23"/>
      <c r="CG1338" s="23"/>
      <c r="CH1338" s="23"/>
      <c r="CI1338" s="23"/>
    </row>
    <row r="1339" spans="1:87" x14ac:dyDescent="0.3">
      <c r="A1339" s="9" t="s">
        <v>10693</v>
      </c>
      <c r="B1339" s="10" t="s">
        <v>10694</v>
      </c>
      <c r="C1339" s="11">
        <v>46039.114583333336</v>
      </c>
      <c r="D1339" s="12">
        <v>8.3333333333333329E-2</v>
      </c>
      <c r="E1339" s="11">
        <v>46039.197916666664</v>
      </c>
      <c r="F1339" s="10" t="s">
        <v>3211</v>
      </c>
      <c r="G1339" s="13" t="b">
        <v>0</v>
      </c>
      <c r="H1339" s="10" t="s">
        <v>3212</v>
      </c>
      <c r="I1339" s="10" t="s">
        <v>3213</v>
      </c>
      <c r="J1339" s="13" t="b">
        <v>0</v>
      </c>
      <c r="K1339" s="13" t="b">
        <v>1</v>
      </c>
      <c r="L1339" s="10" t="s">
        <v>124</v>
      </c>
      <c r="M1339" s="10" t="s">
        <v>91</v>
      </c>
      <c r="N1339" s="10" t="s">
        <v>92</v>
      </c>
      <c r="O1339" s="10"/>
      <c r="P1339" s="10"/>
      <c r="Q1339" s="10" t="s">
        <v>94</v>
      </c>
      <c r="R1339" s="10"/>
      <c r="S1339" s="10"/>
      <c r="T1339" s="10"/>
      <c r="U1339" s="10" t="s">
        <v>3451</v>
      </c>
      <c r="V1339" s="10" t="s">
        <v>3308</v>
      </c>
      <c r="W1339" s="10" t="s">
        <v>3219</v>
      </c>
      <c r="X1339" s="10" t="s">
        <v>130</v>
      </c>
      <c r="Y1339" s="10" t="s">
        <v>130</v>
      </c>
      <c r="Z1339" s="10" t="s">
        <v>99</v>
      </c>
      <c r="AA1339" s="10" t="s">
        <v>131</v>
      </c>
      <c r="AB1339" s="10" t="s">
        <v>3220</v>
      </c>
      <c r="AC1339" s="10" t="s">
        <v>3221</v>
      </c>
      <c r="AD1339" s="10" t="s">
        <v>10695</v>
      </c>
      <c r="AE1339" s="10" t="s">
        <v>10696</v>
      </c>
      <c r="AF1339" s="15"/>
      <c r="AG1339" s="10"/>
      <c r="AH1339" s="10"/>
      <c r="AI1339" s="10"/>
      <c r="AJ1339" s="10"/>
      <c r="AK1339" s="10"/>
      <c r="AL1339" s="10" t="s">
        <v>2405</v>
      </c>
      <c r="AM1339" s="10"/>
      <c r="AN1339" s="10"/>
      <c r="AO1339" s="13" t="b">
        <v>0</v>
      </c>
      <c r="AP1339" s="10" t="s">
        <v>104</v>
      </c>
      <c r="AQ1339" s="10"/>
      <c r="AR1339" s="17"/>
      <c r="AS1339" s="17"/>
      <c r="AT1339" s="17"/>
      <c r="AU1339" s="17"/>
      <c r="AV1339" s="17"/>
      <c r="AW1339" s="10"/>
      <c r="AX1339" s="17"/>
      <c r="AY1339" s="18" t="s">
        <v>257</v>
      </c>
      <c r="AZ1339" s="10"/>
      <c r="BA1339" s="20" t="b">
        <v>0</v>
      </c>
      <c r="BB1339" s="10"/>
      <c r="BC1339" s="17" t="s">
        <v>257</v>
      </c>
      <c r="BD1339" s="17" t="s">
        <v>257</v>
      </c>
      <c r="BE1339" s="17" t="s">
        <v>257</v>
      </c>
      <c r="BF1339" s="17" t="s">
        <v>257</v>
      </c>
      <c r="BG1339" s="11">
        <f ca="1">IFERROR(__xludf.DUMMYFUNCTION("""COMPUTED_VALUE"""),46039.1145833333)</f>
        <v>46039.114583333299</v>
      </c>
      <c r="BH1339" s="17"/>
      <c r="BI1339" s="17"/>
      <c r="BJ1339" s="15"/>
      <c r="BK1339" s="15"/>
      <c r="BL1339" s="13" t="b">
        <v>0</v>
      </c>
      <c r="BM1339" s="10"/>
      <c r="BN1339" s="10" t="s">
        <v>241</v>
      </c>
      <c r="BO1339" s="11">
        <v>45904.284594907411</v>
      </c>
      <c r="BP1339" s="11">
        <v>45993.722696759258</v>
      </c>
      <c r="BQ1339" s="15"/>
      <c r="BR1339" s="15"/>
      <c r="BS1339" s="10"/>
      <c r="BT1339" s="10"/>
      <c r="BU1339" s="10"/>
      <c r="BV1339" s="10"/>
      <c r="BW1339" s="10"/>
      <c r="BX1339" s="10"/>
      <c r="BY1339" s="23"/>
      <c r="BZ1339" s="23"/>
      <c r="CA1339" s="23"/>
      <c r="CB1339" s="23"/>
      <c r="CC1339" s="23"/>
      <c r="CD1339" s="23"/>
      <c r="CE1339" s="23"/>
      <c r="CF1339" s="23"/>
      <c r="CG1339" s="23"/>
      <c r="CH1339" s="23"/>
      <c r="CI1339" s="23"/>
    </row>
    <row r="1340" spans="1:87" x14ac:dyDescent="0.3">
      <c r="A1340" s="9" t="s">
        <v>10697</v>
      </c>
      <c r="B1340" s="10" t="s">
        <v>10698</v>
      </c>
      <c r="C1340" s="11">
        <v>46041</v>
      </c>
      <c r="D1340" s="12">
        <v>8.3333333333333329E-2</v>
      </c>
      <c r="E1340" s="11">
        <v>46041.083333333336</v>
      </c>
      <c r="F1340" s="10" t="s">
        <v>3211</v>
      </c>
      <c r="G1340" s="13" t="b">
        <v>0</v>
      </c>
      <c r="H1340" s="10" t="s">
        <v>3212</v>
      </c>
      <c r="I1340" s="10" t="s">
        <v>3213</v>
      </c>
      <c r="J1340" s="13" t="b">
        <v>0</v>
      </c>
      <c r="K1340" s="13" t="b">
        <v>1</v>
      </c>
      <c r="L1340" s="10" t="s">
        <v>124</v>
      </c>
      <c r="M1340" s="10" t="s">
        <v>91</v>
      </c>
      <c r="N1340" s="10" t="s">
        <v>92</v>
      </c>
      <c r="O1340" s="10"/>
      <c r="P1340" s="10"/>
      <c r="Q1340" s="10" t="s">
        <v>126</v>
      </c>
      <c r="R1340" s="10"/>
      <c r="S1340" s="10"/>
      <c r="T1340" s="10"/>
      <c r="U1340" s="10" t="s">
        <v>3279</v>
      </c>
      <c r="V1340" s="10" t="s">
        <v>3229</v>
      </c>
      <c r="W1340" s="10" t="s">
        <v>3219</v>
      </c>
      <c r="X1340" s="10" t="s">
        <v>130</v>
      </c>
      <c r="Y1340" s="10" t="s">
        <v>130</v>
      </c>
      <c r="Z1340" s="10" t="s">
        <v>99</v>
      </c>
      <c r="AA1340" s="10" t="s">
        <v>131</v>
      </c>
      <c r="AB1340" s="10" t="s">
        <v>3220</v>
      </c>
      <c r="AC1340" s="10" t="s">
        <v>3221</v>
      </c>
      <c r="AD1340" s="10" t="s">
        <v>10699</v>
      </c>
      <c r="AE1340" s="10" t="s">
        <v>10700</v>
      </c>
      <c r="AF1340" s="15"/>
      <c r="AG1340" s="10"/>
      <c r="AH1340" s="10"/>
      <c r="AI1340" s="10"/>
      <c r="AJ1340" s="10"/>
      <c r="AK1340" s="10"/>
      <c r="AL1340" s="10" t="s">
        <v>2405</v>
      </c>
      <c r="AM1340" s="10"/>
      <c r="AN1340" s="10"/>
      <c r="AO1340" s="13" t="b">
        <v>1</v>
      </c>
      <c r="AP1340" s="10" t="s">
        <v>104</v>
      </c>
      <c r="AQ1340" s="10"/>
      <c r="AR1340" s="17"/>
      <c r="AS1340" s="17"/>
      <c r="AT1340" s="17"/>
      <c r="AU1340" s="17"/>
      <c r="AV1340" s="17"/>
      <c r="AW1340" s="10"/>
      <c r="AX1340" s="17"/>
      <c r="AY1340" s="18" t="s">
        <v>257</v>
      </c>
      <c r="AZ1340" s="10"/>
      <c r="BA1340" s="20" t="b">
        <v>0</v>
      </c>
      <c r="BB1340" s="10"/>
      <c r="BC1340" s="17" t="s">
        <v>257</v>
      </c>
      <c r="BD1340" s="17" t="s">
        <v>257</v>
      </c>
      <c r="BE1340" s="17" t="s">
        <v>257</v>
      </c>
      <c r="BF1340" s="17" t="s">
        <v>257</v>
      </c>
      <c r="BG1340" s="11">
        <f ca="1">IFERROR(__xludf.DUMMYFUNCTION("""COMPUTED_VALUE"""),46041)</f>
        <v>46041</v>
      </c>
      <c r="BH1340" s="17"/>
      <c r="BI1340" s="17"/>
      <c r="BJ1340" s="15"/>
      <c r="BK1340" s="15"/>
      <c r="BL1340" s="13" t="b">
        <v>0</v>
      </c>
      <c r="BM1340" s="10"/>
      <c r="BN1340" s="10" t="s">
        <v>10672</v>
      </c>
      <c r="BO1340" s="11">
        <v>45904.284594907411</v>
      </c>
      <c r="BP1340" s="11">
        <v>45993.723541666666</v>
      </c>
      <c r="BQ1340" s="15"/>
      <c r="BR1340" s="15"/>
      <c r="BS1340" s="10"/>
      <c r="BT1340" s="10" t="s">
        <v>99</v>
      </c>
      <c r="BU1340" s="10"/>
      <c r="BV1340" s="10"/>
      <c r="BW1340" s="10"/>
      <c r="BX1340" s="10"/>
      <c r="BY1340" s="23"/>
      <c r="BZ1340" s="23"/>
      <c r="CA1340" s="23"/>
      <c r="CB1340" s="23"/>
      <c r="CC1340" s="23"/>
      <c r="CD1340" s="23"/>
      <c r="CE1340" s="23"/>
      <c r="CF1340" s="23"/>
      <c r="CG1340" s="23"/>
      <c r="CH1340" s="23"/>
      <c r="CI1340" s="23"/>
    </row>
    <row r="1341" spans="1:87" x14ac:dyDescent="0.3">
      <c r="A1341" s="9" t="s">
        <v>10701</v>
      </c>
      <c r="B1341" s="10" t="s">
        <v>10702</v>
      </c>
      <c r="C1341" s="11">
        <v>46039.875</v>
      </c>
      <c r="D1341" s="12">
        <v>8.3333333333333329E-2</v>
      </c>
      <c r="E1341" s="11">
        <v>46039.958333333336</v>
      </c>
      <c r="F1341" s="10" t="s">
        <v>3211</v>
      </c>
      <c r="G1341" s="13" t="b">
        <v>0</v>
      </c>
      <c r="H1341" s="10" t="s">
        <v>3212</v>
      </c>
      <c r="I1341" s="10" t="s">
        <v>3213</v>
      </c>
      <c r="J1341" s="13" t="b">
        <v>0</v>
      </c>
      <c r="K1341" s="13" t="b">
        <v>1</v>
      </c>
      <c r="L1341" s="10" t="s">
        <v>124</v>
      </c>
      <c r="M1341" s="10" t="s">
        <v>91</v>
      </c>
      <c r="N1341" s="10" t="s">
        <v>92</v>
      </c>
      <c r="O1341" s="10"/>
      <c r="P1341" s="10"/>
      <c r="Q1341" s="10" t="s">
        <v>126</v>
      </c>
      <c r="R1341" s="10"/>
      <c r="S1341" s="10"/>
      <c r="T1341" s="10"/>
      <c r="U1341" s="10" t="s">
        <v>3269</v>
      </c>
      <c r="V1341" s="10" t="s">
        <v>3278</v>
      </c>
      <c r="W1341" s="10" t="s">
        <v>3219</v>
      </c>
      <c r="X1341" s="10" t="s">
        <v>130</v>
      </c>
      <c r="Y1341" s="10" t="s">
        <v>130</v>
      </c>
      <c r="Z1341" s="10" t="s">
        <v>99</v>
      </c>
      <c r="AA1341" s="10" t="s">
        <v>131</v>
      </c>
      <c r="AB1341" s="10" t="s">
        <v>3220</v>
      </c>
      <c r="AC1341" s="10" t="s">
        <v>3221</v>
      </c>
      <c r="AD1341" s="10" t="s">
        <v>10703</v>
      </c>
      <c r="AE1341" s="10" t="s">
        <v>10704</v>
      </c>
      <c r="AF1341" s="15"/>
      <c r="AG1341" s="10"/>
      <c r="AH1341" s="10"/>
      <c r="AI1341" s="10"/>
      <c r="AJ1341" s="10"/>
      <c r="AK1341" s="10"/>
      <c r="AL1341" s="10" t="s">
        <v>2405</v>
      </c>
      <c r="AM1341" s="10"/>
      <c r="AN1341" s="10"/>
      <c r="AO1341" s="13" t="b">
        <v>1</v>
      </c>
      <c r="AP1341" s="10" t="s">
        <v>104</v>
      </c>
      <c r="AQ1341" s="10"/>
      <c r="AR1341" s="17"/>
      <c r="AS1341" s="17"/>
      <c r="AT1341" s="17"/>
      <c r="AU1341" s="17"/>
      <c r="AV1341" s="17"/>
      <c r="AW1341" s="10"/>
      <c r="AX1341" s="17"/>
      <c r="AY1341" s="18" t="s">
        <v>257</v>
      </c>
      <c r="AZ1341" s="10"/>
      <c r="BA1341" s="20" t="b">
        <v>0</v>
      </c>
      <c r="BB1341" s="10"/>
      <c r="BC1341" s="17" t="s">
        <v>257</v>
      </c>
      <c r="BD1341" s="17" t="s">
        <v>257</v>
      </c>
      <c r="BE1341" s="17" t="s">
        <v>257</v>
      </c>
      <c r="BF1341" s="17" t="s">
        <v>257</v>
      </c>
      <c r="BG1341" s="11">
        <f ca="1">IFERROR(__xludf.DUMMYFUNCTION("""COMPUTED_VALUE"""),46039.875)</f>
        <v>46039.875</v>
      </c>
      <c r="BH1341" s="17"/>
      <c r="BI1341" s="17"/>
      <c r="BJ1341" s="15"/>
      <c r="BK1341" s="15"/>
      <c r="BL1341" s="13" t="b">
        <v>0</v>
      </c>
      <c r="BM1341" s="10"/>
      <c r="BN1341" s="10" t="s">
        <v>10672</v>
      </c>
      <c r="BO1341" s="11">
        <v>45904.28402777778</v>
      </c>
      <c r="BP1341" s="11">
        <v>45993.72278935185</v>
      </c>
      <c r="BQ1341" s="15"/>
      <c r="BR1341" s="15"/>
      <c r="BS1341" s="10"/>
      <c r="BT1341" s="10" t="s">
        <v>99</v>
      </c>
      <c r="BU1341" s="10"/>
      <c r="BV1341" s="10" t="s">
        <v>124</v>
      </c>
      <c r="BW1341" s="10"/>
      <c r="BX1341" s="10"/>
      <c r="BY1341" s="23"/>
      <c r="BZ1341" s="23"/>
      <c r="CA1341" s="23"/>
      <c r="CB1341" s="23"/>
      <c r="CC1341" s="23"/>
      <c r="CD1341" s="23"/>
      <c r="CE1341" s="23"/>
      <c r="CF1341" s="23"/>
      <c r="CG1341" s="23"/>
      <c r="CH1341" s="23"/>
      <c r="CI1341" s="23"/>
    </row>
    <row r="1342" spans="1:87" x14ac:dyDescent="0.3">
      <c r="A1342" s="9" t="s">
        <v>10705</v>
      </c>
      <c r="B1342" s="10" t="s">
        <v>10706</v>
      </c>
      <c r="C1342" s="11">
        <v>46047.875</v>
      </c>
      <c r="D1342" s="12">
        <v>8.3333333333333329E-2</v>
      </c>
      <c r="E1342" s="11">
        <v>46047.958333333336</v>
      </c>
      <c r="F1342" s="10" t="s">
        <v>3211</v>
      </c>
      <c r="G1342" s="13" t="b">
        <v>0</v>
      </c>
      <c r="H1342" s="10" t="s">
        <v>3212</v>
      </c>
      <c r="I1342" s="10" t="s">
        <v>3213</v>
      </c>
      <c r="J1342" s="13" t="b">
        <v>0</v>
      </c>
      <c r="K1342" s="13" t="b">
        <v>1</v>
      </c>
      <c r="L1342" s="10" t="s">
        <v>124</v>
      </c>
      <c r="M1342" s="10" t="s">
        <v>91</v>
      </c>
      <c r="N1342" s="10" t="s">
        <v>92</v>
      </c>
      <c r="O1342" s="10"/>
      <c r="P1342" s="10"/>
      <c r="Q1342" s="10" t="s">
        <v>94</v>
      </c>
      <c r="R1342" s="10"/>
      <c r="S1342" s="10"/>
      <c r="T1342" s="10"/>
      <c r="U1342" s="10" t="s">
        <v>3308</v>
      </c>
      <c r="V1342" s="10" t="s">
        <v>3260</v>
      </c>
      <c r="W1342" s="10" t="s">
        <v>3219</v>
      </c>
      <c r="X1342" s="10" t="s">
        <v>130</v>
      </c>
      <c r="Y1342" s="10" t="s">
        <v>130</v>
      </c>
      <c r="Z1342" s="10" t="s">
        <v>99</v>
      </c>
      <c r="AA1342" s="10" t="s">
        <v>131</v>
      </c>
      <c r="AB1342" s="10" t="s">
        <v>3220</v>
      </c>
      <c r="AC1342" s="10" t="s">
        <v>3221</v>
      </c>
      <c r="AD1342" s="10" t="s">
        <v>10707</v>
      </c>
      <c r="AE1342" s="10" t="s">
        <v>10708</v>
      </c>
      <c r="AF1342" s="15"/>
      <c r="AG1342" s="10"/>
      <c r="AH1342" s="10"/>
      <c r="AI1342" s="10"/>
      <c r="AJ1342" s="10"/>
      <c r="AK1342" s="10"/>
      <c r="AL1342" s="10" t="s">
        <v>2509</v>
      </c>
      <c r="AM1342" s="10"/>
      <c r="AN1342" s="10"/>
      <c r="AO1342" s="13" t="b">
        <v>0</v>
      </c>
      <c r="AP1342" s="10" t="s">
        <v>104</v>
      </c>
      <c r="AQ1342" s="10"/>
      <c r="AR1342" s="17"/>
      <c r="AS1342" s="17"/>
      <c r="AT1342" s="17"/>
      <c r="AU1342" s="17"/>
      <c r="AV1342" s="17"/>
      <c r="AW1342" s="10"/>
      <c r="AX1342" s="17"/>
      <c r="AY1342" s="18" t="s">
        <v>257</v>
      </c>
      <c r="AZ1342" s="10"/>
      <c r="BA1342" s="20" t="b">
        <v>0</v>
      </c>
      <c r="BB1342" s="10"/>
      <c r="BC1342" s="17" t="s">
        <v>257</v>
      </c>
      <c r="BD1342" s="17" t="s">
        <v>257</v>
      </c>
      <c r="BE1342" s="17" t="s">
        <v>257</v>
      </c>
      <c r="BF1342" s="17" t="s">
        <v>257</v>
      </c>
      <c r="BG1342" s="11">
        <f ca="1">IFERROR(__xludf.DUMMYFUNCTION("""COMPUTED_VALUE"""),46047.875)</f>
        <v>46047.875</v>
      </c>
      <c r="BH1342" s="17"/>
      <c r="BI1342" s="17"/>
      <c r="BJ1342" s="15"/>
      <c r="BK1342" s="15"/>
      <c r="BL1342" s="13" t="b">
        <v>0</v>
      </c>
      <c r="BM1342" s="10"/>
      <c r="BN1342" s="10" t="s">
        <v>241</v>
      </c>
      <c r="BO1342" s="11">
        <v>45904.284594907411</v>
      </c>
      <c r="BP1342" s="11">
        <v>45995.655150462961</v>
      </c>
      <c r="BQ1342" s="15"/>
      <c r="BR1342" s="15"/>
      <c r="BS1342" s="10"/>
      <c r="BT1342" s="10"/>
      <c r="BU1342" s="10"/>
      <c r="BV1342" s="10"/>
      <c r="BW1342" s="10"/>
      <c r="BX1342" s="10"/>
      <c r="BY1342" s="23"/>
      <c r="BZ1342" s="23"/>
      <c r="CA1342" s="23"/>
      <c r="CB1342" s="23"/>
      <c r="CC1342" s="23"/>
      <c r="CD1342" s="23"/>
      <c r="CE1342" s="23"/>
      <c r="CF1342" s="23"/>
      <c r="CG1342" s="23"/>
      <c r="CH1342" s="23"/>
      <c r="CI1342" s="23"/>
    </row>
    <row r="1343" spans="1:87" x14ac:dyDescent="0.3">
      <c r="A1343" s="9" t="s">
        <v>10709</v>
      </c>
      <c r="B1343" s="10" t="s">
        <v>10710</v>
      </c>
      <c r="C1343" s="11">
        <v>46046.875</v>
      </c>
      <c r="D1343" s="12">
        <v>8.3333333333333329E-2</v>
      </c>
      <c r="E1343" s="11">
        <v>46046.958333333336</v>
      </c>
      <c r="F1343" s="10" t="s">
        <v>3211</v>
      </c>
      <c r="G1343" s="13" t="b">
        <v>0</v>
      </c>
      <c r="H1343" s="10" t="s">
        <v>3212</v>
      </c>
      <c r="I1343" s="10" t="s">
        <v>3213</v>
      </c>
      <c r="J1343" s="13" t="b">
        <v>0</v>
      </c>
      <c r="K1343" s="13" t="b">
        <v>1</v>
      </c>
      <c r="L1343" s="10" t="s">
        <v>124</v>
      </c>
      <c r="M1343" s="10" t="s">
        <v>91</v>
      </c>
      <c r="N1343" s="10" t="s">
        <v>92</v>
      </c>
      <c r="O1343" s="10"/>
      <c r="P1343" s="10"/>
      <c r="Q1343" s="10" t="s">
        <v>126</v>
      </c>
      <c r="R1343" s="10"/>
      <c r="S1343" s="10"/>
      <c r="T1343" s="10"/>
      <c r="U1343" s="10" t="s">
        <v>3249</v>
      </c>
      <c r="V1343" s="10" t="s">
        <v>3279</v>
      </c>
      <c r="W1343" s="10" t="s">
        <v>3219</v>
      </c>
      <c r="X1343" s="10" t="s">
        <v>130</v>
      </c>
      <c r="Y1343" s="10" t="s">
        <v>130</v>
      </c>
      <c r="Z1343" s="10" t="s">
        <v>99</v>
      </c>
      <c r="AA1343" s="10" t="s">
        <v>131</v>
      </c>
      <c r="AB1343" s="10" t="s">
        <v>3220</v>
      </c>
      <c r="AC1343" s="10" t="s">
        <v>3221</v>
      </c>
      <c r="AD1343" s="10" t="s">
        <v>10711</v>
      </c>
      <c r="AE1343" s="10" t="s">
        <v>10712</v>
      </c>
      <c r="AF1343" s="15"/>
      <c r="AG1343" s="10"/>
      <c r="AH1343" s="10"/>
      <c r="AI1343" s="10"/>
      <c r="AJ1343" s="10"/>
      <c r="AK1343" s="10"/>
      <c r="AL1343" s="10" t="s">
        <v>2509</v>
      </c>
      <c r="AM1343" s="10"/>
      <c r="AN1343" s="10"/>
      <c r="AO1343" s="13" t="b">
        <v>0</v>
      </c>
      <c r="AP1343" s="10" t="s">
        <v>104</v>
      </c>
      <c r="AQ1343" s="10"/>
      <c r="AR1343" s="17"/>
      <c r="AS1343" s="17"/>
      <c r="AT1343" s="17"/>
      <c r="AU1343" s="17"/>
      <c r="AV1343" s="17"/>
      <c r="AW1343" s="10"/>
      <c r="AX1343" s="17"/>
      <c r="AY1343" s="18" t="s">
        <v>257</v>
      </c>
      <c r="AZ1343" s="10"/>
      <c r="BA1343" s="20" t="b">
        <v>0</v>
      </c>
      <c r="BB1343" s="10"/>
      <c r="BC1343" s="17" t="s">
        <v>257</v>
      </c>
      <c r="BD1343" s="17" t="s">
        <v>257</v>
      </c>
      <c r="BE1343" s="17" t="s">
        <v>257</v>
      </c>
      <c r="BF1343" s="17" t="s">
        <v>257</v>
      </c>
      <c r="BG1343" s="11">
        <f ca="1">IFERROR(__xludf.DUMMYFUNCTION("""COMPUTED_VALUE"""),46046.875)</f>
        <v>46046.875</v>
      </c>
      <c r="BH1343" s="17"/>
      <c r="BI1343" s="17"/>
      <c r="BJ1343" s="15"/>
      <c r="BK1343" s="15"/>
      <c r="BL1343" s="13" t="b">
        <v>0</v>
      </c>
      <c r="BM1343" s="10"/>
      <c r="BN1343" s="10" t="s">
        <v>241</v>
      </c>
      <c r="BO1343" s="11">
        <v>45904.284594907411</v>
      </c>
      <c r="BP1343" s="11">
        <v>45995.654664351852</v>
      </c>
      <c r="BQ1343" s="15"/>
      <c r="BR1343" s="15"/>
      <c r="BS1343" s="10"/>
      <c r="BT1343" s="10"/>
      <c r="BU1343" s="10"/>
      <c r="BV1343" s="10"/>
      <c r="BW1343" s="10"/>
      <c r="BX1343" s="10"/>
      <c r="BY1343" s="23"/>
      <c r="BZ1343" s="23"/>
      <c r="CA1343" s="23"/>
      <c r="CB1343" s="23"/>
      <c r="CC1343" s="23"/>
      <c r="CD1343" s="23"/>
      <c r="CE1343" s="23"/>
      <c r="CF1343" s="23"/>
      <c r="CG1343" s="23"/>
      <c r="CH1343" s="23"/>
      <c r="CI1343" s="23"/>
    </row>
    <row r="1344" spans="1:87" x14ac:dyDescent="0.3">
      <c r="A1344" s="9" t="s">
        <v>10713</v>
      </c>
      <c r="B1344" s="10" t="s">
        <v>10714</v>
      </c>
      <c r="C1344" s="11">
        <v>46047</v>
      </c>
      <c r="D1344" s="12">
        <v>8.3333333333333329E-2</v>
      </c>
      <c r="E1344" s="11">
        <v>46047.083333333336</v>
      </c>
      <c r="F1344" s="10" t="s">
        <v>3211</v>
      </c>
      <c r="G1344" s="13" t="b">
        <v>0</v>
      </c>
      <c r="H1344" s="10" t="s">
        <v>3212</v>
      </c>
      <c r="I1344" s="10" t="s">
        <v>3213</v>
      </c>
      <c r="J1344" s="13" t="b">
        <v>0</v>
      </c>
      <c r="K1344" s="13" t="b">
        <v>1</v>
      </c>
      <c r="L1344" s="10" t="s">
        <v>124</v>
      </c>
      <c r="M1344" s="10" t="s">
        <v>91</v>
      </c>
      <c r="N1344" s="10" t="s">
        <v>92</v>
      </c>
      <c r="O1344" s="10"/>
      <c r="P1344" s="10"/>
      <c r="Q1344" s="10" t="s">
        <v>94</v>
      </c>
      <c r="R1344" s="10"/>
      <c r="S1344" s="10"/>
      <c r="T1344" s="10"/>
      <c r="U1344" s="10" t="s">
        <v>3240</v>
      </c>
      <c r="V1344" s="10" t="s">
        <v>3239</v>
      </c>
      <c r="W1344" s="10" t="s">
        <v>3219</v>
      </c>
      <c r="X1344" s="10" t="s">
        <v>130</v>
      </c>
      <c r="Y1344" s="10" t="s">
        <v>130</v>
      </c>
      <c r="Z1344" s="10" t="s">
        <v>99</v>
      </c>
      <c r="AA1344" s="10" t="s">
        <v>131</v>
      </c>
      <c r="AB1344" s="10" t="s">
        <v>3220</v>
      </c>
      <c r="AC1344" s="10" t="s">
        <v>3221</v>
      </c>
      <c r="AD1344" s="10" t="s">
        <v>10715</v>
      </c>
      <c r="AE1344" s="10" t="s">
        <v>10716</v>
      </c>
      <c r="AF1344" s="15"/>
      <c r="AG1344" s="10"/>
      <c r="AH1344" s="10"/>
      <c r="AI1344" s="10"/>
      <c r="AJ1344" s="10"/>
      <c r="AK1344" s="10"/>
      <c r="AL1344" s="10" t="s">
        <v>2509</v>
      </c>
      <c r="AM1344" s="10"/>
      <c r="AN1344" s="10"/>
      <c r="AO1344" s="13" t="b">
        <v>0</v>
      </c>
      <c r="AP1344" s="10" t="s">
        <v>104</v>
      </c>
      <c r="AQ1344" s="10"/>
      <c r="AR1344" s="17"/>
      <c r="AS1344" s="17"/>
      <c r="AT1344" s="17"/>
      <c r="AU1344" s="17"/>
      <c r="AV1344" s="17"/>
      <c r="AW1344" s="10"/>
      <c r="AX1344" s="17"/>
      <c r="AY1344" s="18" t="s">
        <v>257</v>
      </c>
      <c r="AZ1344" s="10"/>
      <c r="BA1344" s="20" t="b">
        <v>0</v>
      </c>
      <c r="BB1344" s="10"/>
      <c r="BC1344" s="17" t="s">
        <v>257</v>
      </c>
      <c r="BD1344" s="17" t="s">
        <v>257</v>
      </c>
      <c r="BE1344" s="17" t="s">
        <v>257</v>
      </c>
      <c r="BF1344" s="17" t="s">
        <v>257</v>
      </c>
      <c r="BG1344" s="11">
        <f ca="1">IFERROR(__xludf.DUMMYFUNCTION("""COMPUTED_VALUE"""),46047)</f>
        <v>46047</v>
      </c>
      <c r="BH1344" s="17"/>
      <c r="BI1344" s="17"/>
      <c r="BJ1344" s="15"/>
      <c r="BK1344" s="15"/>
      <c r="BL1344" s="13" t="b">
        <v>0</v>
      </c>
      <c r="BM1344" s="10"/>
      <c r="BN1344" s="10" t="s">
        <v>241</v>
      </c>
      <c r="BO1344" s="11">
        <v>45904.284594907411</v>
      </c>
      <c r="BP1344" s="11">
        <v>45995.654745370368</v>
      </c>
      <c r="BQ1344" s="15"/>
      <c r="BR1344" s="15"/>
      <c r="BS1344" s="10"/>
      <c r="BT1344" s="10"/>
      <c r="BU1344" s="10"/>
      <c r="BV1344" s="10"/>
      <c r="BW1344" s="10"/>
      <c r="BX1344" s="10"/>
      <c r="BY1344" s="23"/>
      <c r="BZ1344" s="23"/>
      <c r="CA1344" s="23"/>
      <c r="CB1344" s="23"/>
      <c r="CC1344" s="23"/>
      <c r="CD1344" s="23"/>
      <c r="CE1344" s="23"/>
      <c r="CF1344" s="23"/>
      <c r="CG1344" s="23"/>
      <c r="CH1344" s="23"/>
      <c r="CI1344" s="23"/>
    </row>
    <row r="1345" spans="1:87" x14ac:dyDescent="0.3">
      <c r="A1345" s="9" t="s">
        <v>10717</v>
      </c>
      <c r="B1345" s="10" t="s">
        <v>10718</v>
      </c>
      <c r="C1345" s="11">
        <v>46047.875</v>
      </c>
      <c r="D1345" s="12">
        <v>8.3333333333333329E-2</v>
      </c>
      <c r="E1345" s="11">
        <v>46047.958333333336</v>
      </c>
      <c r="F1345" s="10" t="s">
        <v>3211</v>
      </c>
      <c r="G1345" s="13" t="b">
        <v>0</v>
      </c>
      <c r="H1345" s="10" t="s">
        <v>3212</v>
      </c>
      <c r="I1345" s="10" t="s">
        <v>3213</v>
      </c>
      <c r="J1345" s="13" t="b">
        <v>0</v>
      </c>
      <c r="K1345" s="13" t="b">
        <v>1</v>
      </c>
      <c r="L1345" s="10" t="s">
        <v>124</v>
      </c>
      <c r="M1345" s="10" t="s">
        <v>91</v>
      </c>
      <c r="N1345" s="10" t="s">
        <v>92</v>
      </c>
      <c r="O1345" s="10"/>
      <c r="P1345" s="10"/>
      <c r="Q1345" s="10" t="s">
        <v>94</v>
      </c>
      <c r="R1345" s="10"/>
      <c r="S1345" s="10"/>
      <c r="T1345" s="10"/>
      <c r="U1345" s="10" t="s">
        <v>3217</v>
      </c>
      <c r="V1345" s="10" t="s">
        <v>3230</v>
      </c>
      <c r="W1345" s="10" t="s">
        <v>3219</v>
      </c>
      <c r="X1345" s="10" t="s">
        <v>130</v>
      </c>
      <c r="Y1345" s="10" t="s">
        <v>130</v>
      </c>
      <c r="Z1345" s="10" t="s">
        <v>99</v>
      </c>
      <c r="AA1345" s="10" t="s">
        <v>131</v>
      </c>
      <c r="AB1345" s="10" t="s">
        <v>3220</v>
      </c>
      <c r="AC1345" s="10" t="s">
        <v>3221</v>
      </c>
      <c r="AD1345" s="10" t="s">
        <v>10719</v>
      </c>
      <c r="AE1345" s="10" t="s">
        <v>10720</v>
      </c>
      <c r="AF1345" s="15"/>
      <c r="AG1345" s="10"/>
      <c r="AH1345" s="10"/>
      <c r="AI1345" s="10"/>
      <c r="AJ1345" s="10"/>
      <c r="AK1345" s="10"/>
      <c r="AL1345" s="10" t="s">
        <v>2509</v>
      </c>
      <c r="AM1345" s="10"/>
      <c r="AN1345" s="10"/>
      <c r="AO1345" s="13" t="b">
        <v>0</v>
      </c>
      <c r="AP1345" s="10" t="s">
        <v>104</v>
      </c>
      <c r="AQ1345" s="10"/>
      <c r="AR1345" s="17"/>
      <c r="AS1345" s="17"/>
      <c r="AT1345" s="17"/>
      <c r="AU1345" s="17"/>
      <c r="AV1345" s="17"/>
      <c r="AW1345" s="10"/>
      <c r="AX1345" s="17"/>
      <c r="AY1345" s="18" t="s">
        <v>257</v>
      </c>
      <c r="AZ1345" s="10"/>
      <c r="BA1345" s="20" t="b">
        <v>0</v>
      </c>
      <c r="BB1345" s="10"/>
      <c r="BC1345" s="17" t="s">
        <v>257</v>
      </c>
      <c r="BD1345" s="17" t="s">
        <v>257</v>
      </c>
      <c r="BE1345" s="17" t="s">
        <v>257</v>
      </c>
      <c r="BF1345" s="17" t="s">
        <v>257</v>
      </c>
      <c r="BG1345" s="11">
        <f ca="1">IFERROR(__xludf.DUMMYFUNCTION("""COMPUTED_VALUE"""),46047.875)</f>
        <v>46047.875</v>
      </c>
      <c r="BH1345" s="17"/>
      <c r="BI1345" s="17"/>
      <c r="BJ1345" s="15"/>
      <c r="BK1345" s="15"/>
      <c r="BL1345" s="13" t="b">
        <v>0</v>
      </c>
      <c r="BM1345" s="10"/>
      <c r="BN1345" s="10" t="s">
        <v>241</v>
      </c>
      <c r="BO1345" s="11">
        <v>45904.284594907411</v>
      </c>
      <c r="BP1345" s="11">
        <v>45995.65525462963</v>
      </c>
      <c r="BQ1345" s="15"/>
      <c r="BR1345" s="15"/>
      <c r="BS1345" s="10"/>
      <c r="BT1345" s="10"/>
      <c r="BU1345" s="10"/>
      <c r="BV1345" s="10"/>
      <c r="BW1345" s="10"/>
      <c r="BX1345" s="10"/>
      <c r="BY1345" s="23"/>
      <c r="BZ1345" s="23"/>
      <c r="CA1345" s="23"/>
      <c r="CB1345" s="23"/>
      <c r="CC1345" s="23"/>
      <c r="CD1345" s="23"/>
      <c r="CE1345" s="23"/>
      <c r="CF1345" s="23"/>
      <c r="CG1345" s="23"/>
      <c r="CH1345" s="23"/>
      <c r="CI1345" s="23"/>
    </row>
    <row r="1346" spans="1:87" x14ac:dyDescent="0.3">
      <c r="A1346" s="9" t="s">
        <v>10721</v>
      </c>
      <c r="B1346" s="10" t="s">
        <v>10722</v>
      </c>
      <c r="C1346" s="11">
        <v>46046.114583333336</v>
      </c>
      <c r="D1346" s="12">
        <v>8.3333333333333329E-2</v>
      </c>
      <c r="E1346" s="11">
        <v>46046.197916666664</v>
      </c>
      <c r="F1346" s="10" t="s">
        <v>3211</v>
      </c>
      <c r="G1346" s="13" t="b">
        <v>0</v>
      </c>
      <c r="H1346" s="10" t="s">
        <v>3212</v>
      </c>
      <c r="I1346" s="10" t="s">
        <v>3213</v>
      </c>
      <c r="J1346" s="13" t="b">
        <v>0</v>
      </c>
      <c r="K1346" s="13" t="b">
        <v>1</v>
      </c>
      <c r="L1346" s="10" t="s">
        <v>124</v>
      </c>
      <c r="M1346" s="10" t="s">
        <v>91</v>
      </c>
      <c r="N1346" s="10" t="s">
        <v>92</v>
      </c>
      <c r="O1346" s="10"/>
      <c r="P1346" s="10"/>
      <c r="Q1346" s="10" t="s">
        <v>126</v>
      </c>
      <c r="R1346" s="10"/>
      <c r="S1346" s="10"/>
      <c r="T1346" s="10"/>
      <c r="U1346" s="10" t="s">
        <v>3278</v>
      </c>
      <c r="V1346" s="10" t="s">
        <v>3451</v>
      </c>
      <c r="W1346" s="10" t="s">
        <v>3219</v>
      </c>
      <c r="X1346" s="10" t="s">
        <v>130</v>
      </c>
      <c r="Y1346" s="10" t="s">
        <v>130</v>
      </c>
      <c r="Z1346" s="10" t="s">
        <v>99</v>
      </c>
      <c r="AA1346" s="10" t="s">
        <v>131</v>
      </c>
      <c r="AB1346" s="10" t="s">
        <v>3220</v>
      </c>
      <c r="AC1346" s="10" t="s">
        <v>3221</v>
      </c>
      <c r="AD1346" s="10" t="s">
        <v>10723</v>
      </c>
      <c r="AE1346" s="10" t="s">
        <v>10724</v>
      </c>
      <c r="AF1346" s="15"/>
      <c r="AG1346" s="10"/>
      <c r="AH1346" s="10"/>
      <c r="AI1346" s="10"/>
      <c r="AJ1346" s="10"/>
      <c r="AK1346" s="10"/>
      <c r="AL1346" s="10" t="s">
        <v>2509</v>
      </c>
      <c r="AM1346" s="10"/>
      <c r="AN1346" s="10"/>
      <c r="AO1346" s="13" t="b">
        <v>1</v>
      </c>
      <c r="AP1346" s="10" t="s">
        <v>104</v>
      </c>
      <c r="AQ1346" s="10"/>
      <c r="AR1346" s="17"/>
      <c r="AS1346" s="17"/>
      <c r="AT1346" s="17"/>
      <c r="AU1346" s="17"/>
      <c r="AV1346" s="17"/>
      <c r="AW1346" s="10"/>
      <c r="AX1346" s="17"/>
      <c r="AY1346" s="18" t="s">
        <v>257</v>
      </c>
      <c r="AZ1346" s="10"/>
      <c r="BA1346" s="20" t="b">
        <v>0</v>
      </c>
      <c r="BB1346" s="10"/>
      <c r="BC1346" s="17" t="s">
        <v>257</v>
      </c>
      <c r="BD1346" s="17" t="s">
        <v>257</v>
      </c>
      <c r="BE1346" s="17" t="s">
        <v>257</v>
      </c>
      <c r="BF1346" s="17" t="s">
        <v>257</v>
      </c>
      <c r="BG1346" s="11">
        <f ca="1">IFERROR(__xludf.DUMMYFUNCTION("""COMPUTED_VALUE"""),46046.1145833333)</f>
        <v>46046.114583333299</v>
      </c>
      <c r="BH1346" s="17"/>
      <c r="BI1346" s="17"/>
      <c r="BJ1346" s="15"/>
      <c r="BK1346" s="15"/>
      <c r="BL1346" s="13" t="b">
        <v>0</v>
      </c>
      <c r="BM1346" s="10"/>
      <c r="BN1346" s="10" t="s">
        <v>10672</v>
      </c>
      <c r="BO1346" s="11">
        <v>45904.284594907411</v>
      </c>
      <c r="BP1346" s="11">
        <v>45995.654537037037</v>
      </c>
      <c r="BQ1346" s="15"/>
      <c r="BR1346" s="15"/>
      <c r="BS1346" s="10"/>
      <c r="BT1346" s="10" t="s">
        <v>99</v>
      </c>
      <c r="BU1346" s="10"/>
      <c r="BV1346" s="10"/>
      <c r="BW1346" s="10"/>
      <c r="BX1346" s="10"/>
      <c r="BY1346" s="23"/>
      <c r="BZ1346" s="23"/>
      <c r="CA1346" s="23"/>
      <c r="CB1346" s="23"/>
      <c r="CC1346" s="23"/>
      <c r="CD1346" s="23"/>
      <c r="CE1346" s="23"/>
      <c r="CF1346" s="23"/>
      <c r="CG1346" s="23"/>
      <c r="CH1346" s="23"/>
      <c r="CI1346" s="23"/>
    </row>
    <row r="1347" spans="1:87" x14ac:dyDescent="0.3">
      <c r="A1347" s="9" t="s">
        <v>10725</v>
      </c>
      <c r="B1347" s="10" t="s">
        <v>10726</v>
      </c>
      <c r="C1347" s="11">
        <v>46048</v>
      </c>
      <c r="D1347" s="12">
        <v>8.3333333333333329E-2</v>
      </c>
      <c r="E1347" s="11">
        <v>46048.083333333336</v>
      </c>
      <c r="F1347" s="10" t="s">
        <v>3211</v>
      </c>
      <c r="G1347" s="13" t="b">
        <v>0</v>
      </c>
      <c r="H1347" s="10" t="s">
        <v>3212</v>
      </c>
      <c r="I1347" s="10" t="s">
        <v>3213</v>
      </c>
      <c r="J1347" s="13" t="b">
        <v>0</v>
      </c>
      <c r="K1347" s="13" t="b">
        <v>1</v>
      </c>
      <c r="L1347" s="10" t="s">
        <v>124</v>
      </c>
      <c r="M1347" s="10" t="s">
        <v>91</v>
      </c>
      <c r="N1347" s="10" t="s">
        <v>92</v>
      </c>
      <c r="O1347" s="10"/>
      <c r="P1347" s="10"/>
      <c r="Q1347" s="10" t="s">
        <v>126</v>
      </c>
      <c r="R1347" s="10"/>
      <c r="S1347" s="10"/>
      <c r="T1347" s="10"/>
      <c r="U1347" s="10" t="s">
        <v>3259</v>
      </c>
      <c r="V1347" s="10" t="s">
        <v>3318</v>
      </c>
      <c r="W1347" s="10" t="s">
        <v>3219</v>
      </c>
      <c r="X1347" s="10" t="s">
        <v>130</v>
      </c>
      <c r="Y1347" s="10" t="s">
        <v>130</v>
      </c>
      <c r="Z1347" s="10" t="s">
        <v>99</v>
      </c>
      <c r="AA1347" s="10" t="s">
        <v>131</v>
      </c>
      <c r="AB1347" s="10" t="s">
        <v>3220</v>
      </c>
      <c r="AC1347" s="10" t="s">
        <v>3221</v>
      </c>
      <c r="AD1347" s="10" t="s">
        <v>10727</v>
      </c>
      <c r="AE1347" s="10" t="s">
        <v>10728</v>
      </c>
      <c r="AF1347" s="15"/>
      <c r="AG1347" s="10"/>
      <c r="AH1347" s="10"/>
      <c r="AI1347" s="10"/>
      <c r="AJ1347" s="10"/>
      <c r="AK1347" s="10"/>
      <c r="AL1347" s="10" t="s">
        <v>2509</v>
      </c>
      <c r="AM1347" s="10"/>
      <c r="AN1347" s="10"/>
      <c r="AO1347" s="13" t="b">
        <v>1</v>
      </c>
      <c r="AP1347" s="10" t="s">
        <v>104</v>
      </c>
      <c r="AQ1347" s="10"/>
      <c r="AR1347" s="17"/>
      <c r="AS1347" s="17"/>
      <c r="AT1347" s="17"/>
      <c r="AU1347" s="17"/>
      <c r="AV1347" s="17"/>
      <c r="AW1347" s="10"/>
      <c r="AX1347" s="17"/>
      <c r="AY1347" s="18" t="s">
        <v>257</v>
      </c>
      <c r="AZ1347" s="10"/>
      <c r="BA1347" s="20" t="b">
        <v>0</v>
      </c>
      <c r="BB1347" s="10"/>
      <c r="BC1347" s="17" t="s">
        <v>257</v>
      </c>
      <c r="BD1347" s="17" t="s">
        <v>257</v>
      </c>
      <c r="BE1347" s="17" t="s">
        <v>257</v>
      </c>
      <c r="BF1347" s="17" t="s">
        <v>257</v>
      </c>
      <c r="BG1347" s="11">
        <f ca="1">IFERROR(__xludf.DUMMYFUNCTION("""COMPUTED_VALUE"""),46048)</f>
        <v>46048</v>
      </c>
      <c r="BH1347" s="17"/>
      <c r="BI1347" s="17"/>
      <c r="BJ1347" s="15"/>
      <c r="BK1347" s="15"/>
      <c r="BL1347" s="13" t="b">
        <v>0</v>
      </c>
      <c r="BM1347" s="10"/>
      <c r="BN1347" s="10" t="s">
        <v>10672</v>
      </c>
      <c r="BO1347" s="11">
        <v>45904.28402777778</v>
      </c>
      <c r="BP1347" s="11">
        <v>45995.655381944445</v>
      </c>
      <c r="BQ1347" s="15"/>
      <c r="BR1347" s="15"/>
      <c r="BS1347" s="10"/>
      <c r="BT1347" s="10" t="s">
        <v>99</v>
      </c>
      <c r="BU1347" s="10"/>
      <c r="BV1347" s="10" t="s">
        <v>124</v>
      </c>
      <c r="BW1347" s="10"/>
      <c r="BX1347" s="10"/>
      <c r="BY1347" s="23"/>
      <c r="BZ1347" s="23"/>
      <c r="CA1347" s="23"/>
      <c r="CB1347" s="23"/>
      <c r="CC1347" s="23"/>
      <c r="CD1347" s="23"/>
      <c r="CE1347" s="23"/>
      <c r="CF1347" s="23"/>
      <c r="CG1347" s="23"/>
      <c r="CH1347" s="23"/>
      <c r="CI1347" s="23"/>
    </row>
    <row r="1348" spans="1:87" x14ac:dyDescent="0.3">
      <c r="A1348" s="9" t="s">
        <v>10729</v>
      </c>
      <c r="B1348" s="10" t="s">
        <v>10730</v>
      </c>
      <c r="C1348" s="11">
        <v>46047.114583333336</v>
      </c>
      <c r="D1348" s="12">
        <v>8.3333333333333329E-2</v>
      </c>
      <c r="E1348" s="11">
        <v>46047.197916666664</v>
      </c>
      <c r="F1348" s="10" t="s">
        <v>3211</v>
      </c>
      <c r="G1348" s="13" t="b">
        <v>0</v>
      </c>
      <c r="H1348" s="10" t="s">
        <v>3212</v>
      </c>
      <c r="I1348" s="10" t="s">
        <v>3213</v>
      </c>
      <c r="J1348" s="13" t="b">
        <v>0</v>
      </c>
      <c r="K1348" s="13" t="b">
        <v>1</v>
      </c>
      <c r="L1348" s="10" t="s">
        <v>124</v>
      </c>
      <c r="M1348" s="10" t="s">
        <v>91</v>
      </c>
      <c r="N1348" s="10" t="s">
        <v>92</v>
      </c>
      <c r="O1348" s="10"/>
      <c r="P1348" s="10"/>
      <c r="Q1348" s="10" t="s">
        <v>94</v>
      </c>
      <c r="R1348" s="10"/>
      <c r="S1348" s="10"/>
      <c r="T1348" s="10"/>
      <c r="U1348" s="10" t="s">
        <v>3218</v>
      </c>
      <c r="V1348" s="10" t="s">
        <v>3250</v>
      </c>
      <c r="W1348" s="10" t="s">
        <v>3219</v>
      </c>
      <c r="X1348" s="10" t="s">
        <v>130</v>
      </c>
      <c r="Y1348" s="10" t="s">
        <v>130</v>
      </c>
      <c r="Z1348" s="10" t="s">
        <v>99</v>
      </c>
      <c r="AA1348" s="10" t="s">
        <v>131</v>
      </c>
      <c r="AB1348" s="10" t="s">
        <v>3220</v>
      </c>
      <c r="AC1348" s="10" t="s">
        <v>3221</v>
      </c>
      <c r="AD1348" s="10" t="s">
        <v>10731</v>
      </c>
      <c r="AE1348" s="10" t="s">
        <v>10732</v>
      </c>
      <c r="AF1348" s="15"/>
      <c r="AG1348" s="10"/>
      <c r="AH1348" s="10"/>
      <c r="AI1348" s="10"/>
      <c r="AJ1348" s="10"/>
      <c r="AK1348" s="10"/>
      <c r="AL1348" s="10" t="s">
        <v>2509</v>
      </c>
      <c r="AM1348" s="10"/>
      <c r="AN1348" s="10"/>
      <c r="AO1348" s="13" t="b">
        <v>0</v>
      </c>
      <c r="AP1348" s="10" t="s">
        <v>104</v>
      </c>
      <c r="AQ1348" s="10"/>
      <c r="AR1348" s="17"/>
      <c r="AS1348" s="17"/>
      <c r="AT1348" s="17"/>
      <c r="AU1348" s="17"/>
      <c r="AV1348" s="17"/>
      <c r="AW1348" s="10"/>
      <c r="AX1348" s="17"/>
      <c r="AY1348" s="18" t="s">
        <v>257</v>
      </c>
      <c r="AZ1348" s="10"/>
      <c r="BA1348" s="20" t="b">
        <v>0</v>
      </c>
      <c r="BB1348" s="10"/>
      <c r="BC1348" s="17" t="s">
        <v>257</v>
      </c>
      <c r="BD1348" s="17" t="s">
        <v>257</v>
      </c>
      <c r="BE1348" s="17" t="s">
        <v>257</v>
      </c>
      <c r="BF1348" s="17" t="s">
        <v>257</v>
      </c>
      <c r="BG1348" s="11">
        <f ca="1">IFERROR(__xludf.DUMMYFUNCTION("""COMPUTED_VALUE"""),46047.1145833333)</f>
        <v>46047.114583333299</v>
      </c>
      <c r="BH1348" s="17"/>
      <c r="BI1348" s="17"/>
      <c r="BJ1348" s="15"/>
      <c r="BK1348" s="15"/>
      <c r="BL1348" s="13" t="b">
        <v>0</v>
      </c>
      <c r="BM1348" s="10"/>
      <c r="BN1348" s="10" t="s">
        <v>241</v>
      </c>
      <c r="BO1348" s="11">
        <v>45904.284594907411</v>
      </c>
      <c r="BP1348" s="11">
        <v>45995.654826388891</v>
      </c>
      <c r="BQ1348" s="15"/>
      <c r="BR1348" s="15"/>
      <c r="BS1348" s="10"/>
      <c r="BT1348" s="10"/>
      <c r="BU1348" s="10"/>
      <c r="BV1348" s="10"/>
      <c r="BW1348" s="10"/>
      <c r="BX1348" s="10"/>
      <c r="BY1348" s="23"/>
      <c r="BZ1348" s="23"/>
      <c r="CA1348" s="23"/>
      <c r="CB1348" s="23"/>
      <c r="CC1348" s="23"/>
      <c r="CD1348" s="23"/>
      <c r="CE1348" s="23"/>
      <c r="CF1348" s="23"/>
      <c r="CG1348" s="23"/>
      <c r="CH1348" s="23"/>
      <c r="CI1348" s="23"/>
    </row>
    <row r="1349" spans="1:87" x14ac:dyDescent="0.3">
      <c r="A1349" s="9" t="s">
        <v>10733</v>
      </c>
      <c r="B1349" s="10" t="s">
        <v>10734</v>
      </c>
      <c r="C1349" s="11">
        <v>46048.114583333336</v>
      </c>
      <c r="D1349" s="12">
        <v>8.3333333333333329E-2</v>
      </c>
      <c r="E1349" s="11">
        <v>46048.197916666664</v>
      </c>
      <c r="F1349" s="10" t="s">
        <v>3211</v>
      </c>
      <c r="G1349" s="13" t="b">
        <v>0</v>
      </c>
      <c r="H1349" s="10" t="s">
        <v>3212</v>
      </c>
      <c r="I1349" s="10" t="s">
        <v>3213</v>
      </c>
      <c r="J1349" s="13" t="b">
        <v>0</v>
      </c>
      <c r="K1349" s="13" t="b">
        <v>1</v>
      </c>
      <c r="L1349" s="10" t="s">
        <v>124</v>
      </c>
      <c r="M1349" s="10" t="s">
        <v>91</v>
      </c>
      <c r="N1349" s="10" t="s">
        <v>92</v>
      </c>
      <c r="O1349" s="10"/>
      <c r="P1349" s="10"/>
      <c r="Q1349" s="10" t="s">
        <v>126</v>
      </c>
      <c r="R1349" s="10"/>
      <c r="S1349" s="10"/>
      <c r="T1349" s="10"/>
      <c r="U1349" s="10" t="s">
        <v>3229</v>
      </c>
      <c r="V1349" s="10" t="s">
        <v>3289</v>
      </c>
      <c r="W1349" s="10" t="s">
        <v>3219</v>
      </c>
      <c r="X1349" s="10" t="s">
        <v>130</v>
      </c>
      <c r="Y1349" s="10" t="s">
        <v>130</v>
      </c>
      <c r="Z1349" s="10" t="s">
        <v>99</v>
      </c>
      <c r="AA1349" s="10" t="s">
        <v>131</v>
      </c>
      <c r="AB1349" s="10" t="s">
        <v>3220</v>
      </c>
      <c r="AC1349" s="10" t="s">
        <v>3221</v>
      </c>
      <c r="AD1349" s="10" t="s">
        <v>10735</v>
      </c>
      <c r="AE1349" s="10" t="s">
        <v>10736</v>
      </c>
      <c r="AF1349" s="15"/>
      <c r="AG1349" s="10"/>
      <c r="AH1349" s="10"/>
      <c r="AI1349" s="10"/>
      <c r="AJ1349" s="10"/>
      <c r="AK1349" s="10"/>
      <c r="AL1349" s="10" t="s">
        <v>2509</v>
      </c>
      <c r="AM1349" s="10"/>
      <c r="AN1349" s="10"/>
      <c r="AO1349" s="13" t="b">
        <v>1</v>
      </c>
      <c r="AP1349" s="10" t="s">
        <v>104</v>
      </c>
      <c r="AQ1349" s="10"/>
      <c r="AR1349" s="17"/>
      <c r="AS1349" s="17"/>
      <c r="AT1349" s="17"/>
      <c r="AU1349" s="17"/>
      <c r="AV1349" s="17"/>
      <c r="AW1349" s="10"/>
      <c r="AX1349" s="17"/>
      <c r="AY1349" s="18" t="s">
        <v>257</v>
      </c>
      <c r="AZ1349" s="10"/>
      <c r="BA1349" s="20" t="b">
        <v>0</v>
      </c>
      <c r="BB1349" s="10"/>
      <c r="BC1349" s="17" t="s">
        <v>257</v>
      </c>
      <c r="BD1349" s="17" t="s">
        <v>257</v>
      </c>
      <c r="BE1349" s="17" t="s">
        <v>257</v>
      </c>
      <c r="BF1349" s="17" t="s">
        <v>257</v>
      </c>
      <c r="BG1349" s="11">
        <f ca="1">IFERROR(__xludf.DUMMYFUNCTION("""COMPUTED_VALUE"""),46048.1145833333)</f>
        <v>46048.114583333299</v>
      </c>
      <c r="BH1349" s="17"/>
      <c r="BI1349" s="17"/>
      <c r="BJ1349" s="15"/>
      <c r="BK1349" s="15"/>
      <c r="BL1349" s="13" t="b">
        <v>0</v>
      </c>
      <c r="BM1349" s="10"/>
      <c r="BN1349" s="10" t="s">
        <v>10672</v>
      </c>
      <c r="BO1349" s="11">
        <v>45904.28402777778</v>
      </c>
      <c r="BP1349" s="11">
        <v>45995.655497685184</v>
      </c>
      <c r="BQ1349" s="15"/>
      <c r="BR1349" s="15"/>
      <c r="BS1349" s="10"/>
      <c r="BT1349" s="10" t="s">
        <v>99</v>
      </c>
      <c r="BU1349" s="10"/>
      <c r="BV1349" s="10" t="s">
        <v>124</v>
      </c>
      <c r="BW1349" s="10" t="s">
        <v>9494</v>
      </c>
      <c r="BX1349" s="10"/>
      <c r="BY1349" s="23"/>
      <c r="BZ1349" s="23"/>
      <c r="CA1349" s="23"/>
      <c r="CB1349" s="23"/>
      <c r="CC1349" s="23"/>
      <c r="CD1349" s="23"/>
      <c r="CE1349" s="23"/>
      <c r="CF1349" s="23"/>
      <c r="CG1349" s="23"/>
      <c r="CH1349" s="23"/>
      <c r="CI1349" s="23"/>
    </row>
    <row r="1350" spans="1:87" x14ac:dyDescent="0.3">
      <c r="A1350" s="9" t="s">
        <v>10737</v>
      </c>
      <c r="B1350" s="10" t="s">
        <v>10738</v>
      </c>
      <c r="C1350" s="11">
        <v>46047.770833333336</v>
      </c>
      <c r="D1350" s="12">
        <v>8.3333333333333329E-2</v>
      </c>
      <c r="E1350" s="11">
        <v>46047.854166666664</v>
      </c>
      <c r="F1350" s="10" t="s">
        <v>3211</v>
      </c>
      <c r="G1350" s="13" t="b">
        <v>0</v>
      </c>
      <c r="H1350" s="10" t="s">
        <v>3212</v>
      </c>
      <c r="I1350" s="10" t="s">
        <v>3213</v>
      </c>
      <c r="J1350" s="13" t="b">
        <v>0</v>
      </c>
      <c r="K1350" s="13" t="b">
        <v>1</v>
      </c>
      <c r="L1350" s="10" t="s">
        <v>124</v>
      </c>
      <c r="M1350" s="10" t="s">
        <v>91</v>
      </c>
      <c r="N1350" s="10" t="s">
        <v>92</v>
      </c>
      <c r="O1350" s="10"/>
      <c r="P1350" s="10"/>
      <c r="Q1350" s="10" t="s">
        <v>126</v>
      </c>
      <c r="R1350" s="10"/>
      <c r="S1350" s="10"/>
      <c r="T1350" s="10"/>
      <c r="U1350" s="10" t="s">
        <v>3429</v>
      </c>
      <c r="V1350" s="10" t="s">
        <v>3440</v>
      </c>
      <c r="W1350" s="10" t="s">
        <v>3219</v>
      </c>
      <c r="X1350" s="10" t="s">
        <v>130</v>
      </c>
      <c r="Y1350" s="10" t="s">
        <v>130</v>
      </c>
      <c r="Z1350" s="10" t="s">
        <v>99</v>
      </c>
      <c r="AA1350" s="10" t="s">
        <v>131</v>
      </c>
      <c r="AB1350" s="10" t="s">
        <v>3220</v>
      </c>
      <c r="AC1350" s="10" t="s">
        <v>3221</v>
      </c>
      <c r="AD1350" s="10" t="s">
        <v>10739</v>
      </c>
      <c r="AE1350" s="10" t="s">
        <v>10740</v>
      </c>
      <c r="AF1350" s="15"/>
      <c r="AG1350" s="10"/>
      <c r="AH1350" s="10"/>
      <c r="AI1350" s="10"/>
      <c r="AJ1350" s="10"/>
      <c r="AK1350" s="10"/>
      <c r="AL1350" s="10" t="s">
        <v>2509</v>
      </c>
      <c r="AM1350" s="10"/>
      <c r="AN1350" s="10"/>
      <c r="AO1350" s="13" t="b">
        <v>1</v>
      </c>
      <c r="AP1350" s="10" t="s">
        <v>104</v>
      </c>
      <c r="AQ1350" s="10"/>
      <c r="AR1350" s="17"/>
      <c r="AS1350" s="17"/>
      <c r="AT1350" s="17"/>
      <c r="AU1350" s="17"/>
      <c r="AV1350" s="17"/>
      <c r="AW1350" s="10"/>
      <c r="AX1350" s="17"/>
      <c r="AY1350" s="18" t="s">
        <v>257</v>
      </c>
      <c r="AZ1350" s="10"/>
      <c r="BA1350" s="20" t="b">
        <v>0</v>
      </c>
      <c r="BB1350" s="10"/>
      <c r="BC1350" s="17" t="s">
        <v>257</v>
      </c>
      <c r="BD1350" s="17" t="s">
        <v>257</v>
      </c>
      <c r="BE1350" s="17" t="s">
        <v>257</v>
      </c>
      <c r="BF1350" s="17" t="s">
        <v>257</v>
      </c>
      <c r="BG1350" s="11">
        <f ca="1">IFERROR(__xludf.DUMMYFUNCTION("""COMPUTED_VALUE"""),46047.7708333333)</f>
        <v>46047.770833333299</v>
      </c>
      <c r="BH1350" s="17"/>
      <c r="BI1350" s="17"/>
      <c r="BJ1350" s="15"/>
      <c r="BK1350" s="15"/>
      <c r="BL1350" s="13" t="b">
        <v>0</v>
      </c>
      <c r="BM1350" s="10"/>
      <c r="BN1350" s="10" t="s">
        <v>10672</v>
      </c>
      <c r="BO1350" s="11">
        <v>45904.28402777778</v>
      </c>
      <c r="BP1350" s="11">
        <v>45995.654942129629</v>
      </c>
      <c r="BQ1350" s="15"/>
      <c r="BR1350" s="15"/>
      <c r="BS1350" s="10"/>
      <c r="BT1350" s="10" t="s">
        <v>99</v>
      </c>
      <c r="BU1350" s="10"/>
      <c r="BV1350" s="10" t="s">
        <v>281</v>
      </c>
      <c r="BW1350" s="10"/>
      <c r="BX1350" s="10"/>
      <c r="BY1350" s="23"/>
      <c r="BZ1350" s="23"/>
      <c r="CA1350" s="23"/>
      <c r="CB1350" s="23"/>
      <c r="CC1350" s="23"/>
      <c r="CD1350" s="23"/>
      <c r="CE1350" s="23"/>
      <c r="CF1350" s="23"/>
      <c r="CG1350" s="23"/>
      <c r="CH1350" s="23"/>
      <c r="CI1350" s="23"/>
    </row>
    <row r="1351" spans="1:87" x14ac:dyDescent="0.3">
      <c r="A1351" s="9" t="s">
        <v>10741</v>
      </c>
      <c r="B1351" s="10" t="s">
        <v>10742</v>
      </c>
      <c r="C1351" s="11">
        <v>46049.114583333336</v>
      </c>
      <c r="D1351" s="12">
        <v>8.3333333333333329E-2</v>
      </c>
      <c r="E1351" s="11">
        <v>46049.197916666664</v>
      </c>
      <c r="F1351" s="10" t="s">
        <v>3211</v>
      </c>
      <c r="G1351" s="13" t="b">
        <v>0</v>
      </c>
      <c r="H1351" s="10" t="s">
        <v>3212</v>
      </c>
      <c r="I1351" s="10" t="s">
        <v>3213</v>
      </c>
      <c r="J1351" s="13" t="b">
        <v>0</v>
      </c>
      <c r="K1351" s="13" t="b">
        <v>1</v>
      </c>
      <c r="L1351" s="10" t="s">
        <v>124</v>
      </c>
      <c r="M1351" s="10" t="s">
        <v>91</v>
      </c>
      <c r="N1351" s="10" t="s">
        <v>92</v>
      </c>
      <c r="O1351" s="10"/>
      <c r="P1351" s="10"/>
      <c r="Q1351" s="10" t="s">
        <v>94</v>
      </c>
      <c r="R1351" s="10"/>
      <c r="S1351" s="10"/>
      <c r="T1351" s="10"/>
      <c r="U1351" s="10" t="s">
        <v>3270</v>
      </c>
      <c r="V1351" s="10" t="s">
        <v>3269</v>
      </c>
      <c r="W1351" s="10" t="s">
        <v>3219</v>
      </c>
      <c r="X1351" s="10" t="s">
        <v>130</v>
      </c>
      <c r="Y1351" s="10" t="s">
        <v>130</v>
      </c>
      <c r="Z1351" s="10" t="s">
        <v>99</v>
      </c>
      <c r="AA1351" s="10" t="s">
        <v>131</v>
      </c>
      <c r="AB1351" s="10" t="s">
        <v>3220</v>
      </c>
      <c r="AC1351" s="10" t="s">
        <v>3221</v>
      </c>
      <c r="AD1351" s="10" t="s">
        <v>10743</v>
      </c>
      <c r="AE1351" s="10" t="s">
        <v>10744</v>
      </c>
      <c r="AF1351" s="15"/>
      <c r="AG1351" s="10"/>
      <c r="AH1351" s="10"/>
      <c r="AI1351" s="10"/>
      <c r="AJ1351" s="10"/>
      <c r="AK1351" s="10"/>
      <c r="AL1351" s="10" t="s">
        <v>2509</v>
      </c>
      <c r="AM1351" s="10"/>
      <c r="AN1351" s="10"/>
      <c r="AO1351" s="13" t="b">
        <v>0</v>
      </c>
      <c r="AP1351" s="10" t="s">
        <v>104</v>
      </c>
      <c r="AQ1351" s="10"/>
      <c r="AR1351" s="17"/>
      <c r="AS1351" s="17"/>
      <c r="AT1351" s="17"/>
      <c r="AU1351" s="17"/>
      <c r="AV1351" s="17"/>
      <c r="AW1351" s="10"/>
      <c r="AX1351" s="17"/>
      <c r="AY1351" s="18" t="s">
        <v>257</v>
      </c>
      <c r="AZ1351" s="10"/>
      <c r="BA1351" s="20" t="b">
        <v>0</v>
      </c>
      <c r="BB1351" s="10"/>
      <c r="BC1351" s="17" t="s">
        <v>257</v>
      </c>
      <c r="BD1351" s="17" t="s">
        <v>257</v>
      </c>
      <c r="BE1351" s="17" t="s">
        <v>257</v>
      </c>
      <c r="BF1351" s="17" t="s">
        <v>257</v>
      </c>
      <c r="BG1351" s="11">
        <f ca="1">IFERROR(__xludf.DUMMYFUNCTION("""COMPUTED_VALUE"""),46049.1145833333)</f>
        <v>46049.114583333299</v>
      </c>
      <c r="BH1351" s="17"/>
      <c r="BI1351" s="17"/>
      <c r="BJ1351" s="15"/>
      <c r="BK1351" s="15"/>
      <c r="BL1351" s="13" t="b">
        <v>0</v>
      </c>
      <c r="BM1351" s="10"/>
      <c r="BN1351" s="10" t="s">
        <v>241</v>
      </c>
      <c r="BO1351" s="11">
        <v>45904.28460648148</v>
      </c>
      <c r="BP1351" s="11">
        <v>45995.655578703707</v>
      </c>
      <c r="BQ1351" s="15"/>
      <c r="BR1351" s="15"/>
      <c r="BS1351" s="10"/>
      <c r="BT1351" s="10"/>
      <c r="BU1351" s="10"/>
      <c r="BV1351" s="10"/>
      <c r="BW1351" s="10"/>
      <c r="BX1351" s="10"/>
      <c r="BY1351" s="23"/>
      <c r="BZ1351" s="23"/>
      <c r="CA1351" s="23"/>
      <c r="CB1351" s="23"/>
      <c r="CC1351" s="23"/>
      <c r="CD1351" s="23"/>
      <c r="CE1351" s="23"/>
      <c r="CF1351" s="23"/>
      <c r="CG1351" s="23"/>
      <c r="CH1351" s="23"/>
      <c r="CI1351" s="23"/>
    </row>
    <row r="1352" spans="1:87" x14ac:dyDescent="0.3">
      <c r="A1352" s="9" t="s">
        <v>10745</v>
      </c>
      <c r="B1352" s="10" t="s">
        <v>10746</v>
      </c>
      <c r="C1352" s="11">
        <v>46054</v>
      </c>
      <c r="D1352" s="12">
        <v>8.3333333333333329E-2</v>
      </c>
      <c r="E1352" s="11">
        <v>46054.083333333336</v>
      </c>
      <c r="F1352" s="10" t="s">
        <v>3211</v>
      </c>
      <c r="G1352" s="13" t="b">
        <v>0</v>
      </c>
      <c r="H1352" s="10" t="s">
        <v>3212</v>
      </c>
      <c r="I1352" s="10" t="s">
        <v>3213</v>
      </c>
      <c r="J1352" s="13" t="b">
        <v>0</v>
      </c>
      <c r="K1352" s="13" t="b">
        <v>1</v>
      </c>
      <c r="L1352" s="10" t="s">
        <v>124</v>
      </c>
      <c r="M1352" s="10" t="s">
        <v>91</v>
      </c>
      <c r="N1352" s="10" t="s">
        <v>92</v>
      </c>
      <c r="O1352" s="10"/>
      <c r="P1352" s="10"/>
      <c r="Q1352" s="10" t="s">
        <v>126</v>
      </c>
      <c r="R1352" s="10"/>
      <c r="S1352" s="10"/>
      <c r="T1352" s="10"/>
      <c r="U1352" s="10" t="s">
        <v>3230</v>
      </c>
      <c r="V1352" s="10" t="s">
        <v>3289</v>
      </c>
      <c r="W1352" s="10" t="s">
        <v>3219</v>
      </c>
      <c r="X1352" s="10" t="s">
        <v>130</v>
      </c>
      <c r="Y1352" s="10" t="s">
        <v>130</v>
      </c>
      <c r="Z1352" s="10" t="s">
        <v>99</v>
      </c>
      <c r="AA1352" s="10" t="s">
        <v>131</v>
      </c>
      <c r="AB1352" s="10" t="s">
        <v>3220</v>
      </c>
      <c r="AC1352" s="10" t="s">
        <v>3221</v>
      </c>
      <c r="AD1352" s="10" t="s">
        <v>10747</v>
      </c>
      <c r="AE1352" s="10" t="s">
        <v>10748</v>
      </c>
      <c r="AF1352" s="15"/>
      <c r="AG1352" s="10"/>
      <c r="AH1352" s="10"/>
      <c r="AI1352" s="10"/>
      <c r="AJ1352" s="10"/>
      <c r="AK1352" s="10"/>
      <c r="AL1352" s="10" t="s">
        <v>2553</v>
      </c>
      <c r="AM1352" s="10"/>
      <c r="AN1352" s="10"/>
      <c r="AO1352" s="13" t="b">
        <v>1</v>
      </c>
      <c r="AP1352" s="10" t="s">
        <v>104</v>
      </c>
      <c r="AQ1352" s="10"/>
      <c r="AR1352" s="17"/>
      <c r="AS1352" s="17"/>
      <c r="AT1352" s="17"/>
      <c r="AU1352" s="17"/>
      <c r="AV1352" s="17"/>
      <c r="AW1352" s="10"/>
      <c r="AX1352" s="17"/>
      <c r="AY1352" s="18" t="s">
        <v>257</v>
      </c>
      <c r="AZ1352" s="10"/>
      <c r="BA1352" s="20" t="b">
        <v>0</v>
      </c>
      <c r="BB1352" s="10"/>
      <c r="BC1352" s="17" t="s">
        <v>257</v>
      </c>
      <c r="BD1352" s="17" t="s">
        <v>257</v>
      </c>
      <c r="BE1352" s="17" t="s">
        <v>257</v>
      </c>
      <c r="BF1352" s="17" t="s">
        <v>257</v>
      </c>
      <c r="BG1352" s="11">
        <f ca="1">IFERROR(__xludf.DUMMYFUNCTION("""COMPUTED_VALUE"""),46054)</f>
        <v>46054</v>
      </c>
      <c r="BH1352" s="17"/>
      <c r="BI1352" s="17"/>
      <c r="BJ1352" s="15"/>
      <c r="BK1352" s="15"/>
      <c r="BL1352" s="13" t="b">
        <v>0</v>
      </c>
      <c r="BM1352" s="10"/>
      <c r="BN1352" s="10" t="s">
        <v>10749</v>
      </c>
      <c r="BO1352" s="11">
        <v>45904.28460648148</v>
      </c>
      <c r="BP1352" s="11">
        <v>46007.62462962963</v>
      </c>
      <c r="BQ1352" s="15"/>
      <c r="BR1352" s="15"/>
      <c r="BS1352" s="10"/>
      <c r="BT1352" s="10" t="s">
        <v>99</v>
      </c>
      <c r="BU1352" s="10"/>
      <c r="BV1352" s="10"/>
      <c r="BW1352" s="10"/>
      <c r="BX1352" s="10"/>
      <c r="BY1352" s="23"/>
      <c r="BZ1352" s="23"/>
      <c r="CA1352" s="23"/>
      <c r="CB1352" s="23"/>
      <c r="CC1352" s="23"/>
      <c r="CD1352" s="23"/>
      <c r="CE1352" s="23"/>
      <c r="CF1352" s="23"/>
      <c r="CG1352" s="23"/>
      <c r="CH1352" s="23"/>
      <c r="CI1352" s="23"/>
    </row>
    <row r="1353" spans="1:87" x14ac:dyDescent="0.3">
      <c r="A1353" s="9" t="s">
        <v>10750</v>
      </c>
      <c r="B1353" s="10" t="s">
        <v>10751</v>
      </c>
      <c r="C1353" s="11">
        <v>46054</v>
      </c>
      <c r="D1353" s="12">
        <v>8.3333333333333329E-2</v>
      </c>
      <c r="E1353" s="11">
        <v>46054.083333333336</v>
      </c>
      <c r="F1353" s="10" t="s">
        <v>3211</v>
      </c>
      <c r="G1353" s="13" t="b">
        <v>0</v>
      </c>
      <c r="H1353" s="10" t="s">
        <v>3212</v>
      </c>
      <c r="I1353" s="10" t="s">
        <v>3213</v>
      </c>
      <c r="J1353" s="13" t="b">
        <v>0</v>
      </c>
      <c r="K1353" s="13" t="b">
        <v>1</v>
      </c>
      <c r="L1353" s="10" t="s">
        <v>124</v>
      </c>
      <c r="M1353" s="10" t="s">
        <v>91</v>
      </c>
      <c r="N1353" s="10" t="s">
        <v>92</v>
      </c>
      <c r="O1353" s="10"/>
      <c r="P1353" s="10"/>
      <c r="Q1353" s="10" t="s">
        <v>94</v>
      </c>
      <c r="R1353" s="10"/>
      <c r="S1353" s="10"/>
      <c r="T1353" s="10"/>
      <c r="U1353" s="10" t="s">
        <v>3239</v>
      </c>
      <c r="V1353" s="10" t="s">
        <v>3270</v>
      </c>
      <c r="W1353" s="10" t="s">
        <v>3219</v>
      </c>
      <c r="X1353" s="10" t="s">
        <v>130</v>
      </c>
      <c r="Y1353" s="10" t="s">
        <v>130</v>
      </c>
      <c r="Z1353" s="10" t="s">
        <v>99</v>
      </c>
      <c r="AA1353" s="10" t="s">
        <v>131</v>
      </c>
      <c r="AB1353" s="10" t="s">
        <v>3220</v>
      </c>
      <c r="AC1353" s="10" t="s">
        <v>3221</v>
      </c>
      <c r="AD1353" s="10" t="s">
        <v>10752</v>
      </c>
      <c r="AE1353" s="10" t="s">
        <v>10753</v>
      </c>
      <c r="AF1353" s="15"/>
      <c r="AG1353" s="10"/>
      <c r="AH1353" s="10"/>
      <c r="AI1353" s="10"/>
      <c r="AJ1353" s="10"/>
      <c r="AK1353" s="10"/>
      <c r="AL1353" s="10" t="s">
        <v>2553</v>
      </c>
      <c r="AM1353" s="10"/>
      <c r="AN1353" s="10"/>
      <c r="AO1353" s="13" t="b">
        <v>0</v>
      </c>
      <c r="AP1353" s="10" t="s">
        <v>104</v>
      </c>
      <c r="AQ1353" s="10"/>
      <c r="AR1353" s="17"/>
      <c r="AS1353" s="17"/>
      <c r="AT1353" s="17"/>
      <c r="AU1353" s="17"/>
      <c r="AV1353" s="17"/>
      <c r="AW1353" s="10"/>
      <c r="AX1353" s="17"/>
      <c r="AY1353" s="18" t="s">
        <v>257</v>
      </c>
      <c r="AZ1353" s="10"/>
      <c r="BA1353" s="20" t="b">
        <v>0</v>
      </c>
      <c r="BB1353" s="10"/>
      <c r="BC1353" s="17" t="s">
        <v>257</v>
      </c>
      <c r="BD1353" s="17" t="s">
        <v>257</v>
      </c>
      <c r="BE1353" s="17" t="s">
        <v>257</v>
      </c>
      <c r="BF1353" s="17" t="s">
        <v>257</v>
      </c>
      <c r="BG1353" s="11">
        <f ca="1">IFERROR(__xludf.DUMMYFUNCTION("""COMPUTED_VALUE"""),46054)</f>
        <v>46054</v>
      </c>
      <c r="BH1353" s="17"/>
      <c r="BI1353" s="17"/>
      <c r="BJ1353" s="15"/>
      <c r="BK1353" s="15"/>
      <c r="BL1353" s="13" t="b">
        <v>0</v>
      </c>
      <c r="BM1353" s="10"/>
      <c r="BN1353" s="10" t="s">
        <v>241</v>
      </c>
      <c r="BO1353" s="11">
        <v>45904.28460648148</v>
      </c>
      <c r="BP1353" s="11">
        <v>46007.624768518515</v>
      </c>
      <c r="BQ1353" s="15"/>
      <c r="BR1353" s="15"/>
      <c r="BS1353" s="10"/>
      <c r="BT1353" s="10"/>
      <c r="BU1353" s="10"/>
      <c r="BV1353" s="10"/>
      <c r="BW1353" s="10"/>
      <c r="BX1353" s="10"/>
      <c r="BY1353" s="23"/>
      <c r="BZ1353" s="23"/>
      <c r="CA1353" s="23"/>
      <c r="CB1353" s="23"/>
      <c r="CC1353" s="23"/>
      <c r="CD1353" s="23"/>
      <c r="CE1353" s="23"/>
      <c r="CF1353" s="23"/>
      <c r="CG1353" s="23"/>
      <c r="CH1353" s="23"/>
      <c r="CI1353" s="23"/>
    </row>
    <row r="1354" spans="1:87" x14ac:dyDescent="0.3">
      <c r="A1354" s="9" t="s">
        <v>10754</v>
      </c>
      <c r="B1354" s="10" t="s">
        <v>10755</v>
      </c>
      <c r="C1354" s="11">
        <v>46054</v>
      </c>
      <c r="D1354" s="12">
        <v>8.3333333333333329E-2</v>
      </c>
      <c r="E1354" s="11">
        <v>46054.083333333336</v>
      </c>
      <c r="F1354" s="10" t="s">
        <v>3211</v>
      </c>
      <c r="G1354" s="13" t="b">
        <v>0</v>
      </c>
      <c r="H1354" s="10" t="s">
        <v>3212</v>
      </c>
      <c r="I1354" s="10" t="s">
        <v>3213</v>
      </c>
      <c r="J1354" s="13" t="b">
        <v>0</v>
      </c>
      <c r="K1354" s="13" t="b">
        <v>1</v>
      </c>
      <c r="L1354" s="10" t="s">
        <v>124</v>
      </c>
      <c r="M1354" s="10" t="s">
        <v>91</v>
      </c>
      <c r="N1354" s="10" t="s">
        <v>92</v>
      </c>
      <c r="O1354" s="10"/>
      <c r="P1354" s="10"/>
      <c r="Q1354" s="10" t="s">
        <v>126</v>
      </c>
      <c r="R1354" s="10"/>
      <c r="S1354" s="10"/>
      <c r="T1354" s="10"/>
      <c r="U1354" s="10" t="s">
        <v>3249</v>
      </c>
      <c r="V1354" s="10" t="s">
        <v>3308</v>
      </c>
      <c r="W1354" s="10" t="s">
        <v>3219</v>
      </c>
      <c r="X1354" s="10" t="s">
        <v>130</v>
      </c>
      <c r="Y1354" s="10" t="s">
        <v>130</v>
      </c>
      <c r="Z1354" s="10" t="s">
        <v>99</v>
      </c>
      <c r="AA1354" s="10" t="s">
        <v>131</v>
      </c>
      <c r="AB1354" s="10" t="s">
        <v>3220</v>
      </c>
      <c r="AC1354" s="10" t="s">
        <v>3221</v>
      </c>
      <c r="AD1354" s="10" t="s">
        <v>10756</v>
      </c>
      <c r="AE1354" s="10" t="s">
        <v>10757</v>
      </c>
      <c r="AF1354" s="15"/>
      <c r="AG1354" s="10"/>
      <c r="AH1354" s="10"/>
      <c r="AI1354" s="10"/>
      <c r="AJ1354" s="10"/>
      <c r="AK1354" s="10"/>
      <c r="AL1354" s="10" t="s">
        <v>2553</v>
      </c>
      <c r="AM1354" s="10"/>
      <c r="AN1354" s="10"/>
      <c r="AO1354" s="13" t="b">
        <v>0</v>
      </c>
      <c r="AP1354" s="10" t="s">
        <v>104</v>
      </c>
      <c r="AQ1354" s="10"/>
      <c r="AR1354" s="17"/>
      <c r="AS1354" s="17"/>
      <c r="AT1354" s="17"/>
      <c r="AU1354" s="17"/>
      <c r="AV1354" s="17"/>
      <c r="AW1354" s="10"/>
      <c r="AX1354" s="17"/>
      <c r="AY1354" s="18" t="s">
        <v>257</v>
      </c>
      <c r="AZ1354" s="10"/>
      <c r="BA1354" s="20" t="b">
        <v>0</v>
      </c>
      <c r="BB1354" s="10"/>
      <c r="BC1354" s="17" t="s">
        <v>257</v>
      </c>
      <c r="BD1354" s="17" t="s">
        <v>257</v>
      </c>
      <c r="BE1354" s="17" t="s">
        <v>257</v>
      </c>
      <c r="BF1354" s="17" t="s">
        <v>257</v>
      </c>
      <c r="BG1354" s="11">
        <f ca="1">IFERROR(__xludf.DUMMYFUNCTION("""COMPUTED_VALUE"""),46054)</f>
        <v>46054</v>
      </c>
      <c r="BH1354" s="17"/>
      <c r="BI1354" s="17"/>
      <c r="BJ1354" s="15"/>
      <c r="BK1354" s="15"/>
      <c r="BL1354" s="13" t="b">
        <v>0</v>
      </c>
      <c r="BM1354" s="10"/>
      <c r="BN1354" s="10" t="s">
        <v>241</v>
      </c>
      <c r="BO1354" s="11">
        <v>45904.28460648148</v>
      </c>
      <c r="BP1354" s="11">
        <v>46007.624872685185</v>
      </c>
      <c r="BQ1354" s="15"/>
      <c r="BR1354" s="15"/>
      <c r="BS1354" s="10"/>
      <c r="BT1354" s="10"/>
      <c r="BU1354" s="10"/>
      <c r="BV1354" s="10"/>
      <c r="BW1354" s="10"/>
      <c r="BX1354" s="10"/>
      <c r="BY1354" s="23"/>
      <c r="BZ1354" s="23"/>
      <c r="CA1354" s="23"/>
      <c r="CB1354" s="23"/>
      <c r="CC1354" s="23"/>
      <c r="CD1354" s="23"/>
      <c r="CE1354" s="23"/>
      <c r="CF1354" s="23"/>
      <c r="CG1354" s="23"/>
      <c r="CH1354" s="23"/>
      <c r="CI1354" s="23"/>
    </row>
    <row r="1355" spans="1:87" x14ac:dyDescent="0.3">
      <c r="A1355" s="9" t="s">
        <v>10758</v>
      </c>
      <c r="B1355" s="10" t="s">
        <v>10759</v>
      </c>
      <c r="C1355" s="11">
        <v>46054</v>
      </c>
      <c r="D1355" s="12">
        <v>8.3333333333333329E-2</v>
      </c>
      <c r="E1355" s="11">
        <v>46054.083333333336</v>
      </c>
      <c r="F1355" s="10" t="s">
        <v>3211</v>
      </c>
      <c r="G1355" s="13" t="b">
        <v>0</v>
      </c>
      <c r="H1355" s="10" t="s">
        <v>3212</v>
      </c>
      <c r="I1355" s="10" t="s">
        <v>3213</v>
      </c>
      <c r="J1355" s="13" t="b">
        <v>0</v>
      </c>
      <c r="K1355" s="13" t="b">
        <v>1</v>
      </c>
      <c r="L1355" s="10" t="s">
        <v>124</v>
      </c>
      <c r="M1355" s="10" t="s">
        <v>91</v>
      </c>
      <c r="N1355" s="10" t="s">
        <v>92</v>
      </c>
      <c r="O1355" s="10"/>
      <c r="P1355" s="10"/>
      <c r="Q1355" s="10" t="s">
        <v>126</v>
      </c>
      <c r="R1355" s="10"/>
      <c r="S1355" s="10"/>
      <c r="T1355" s="10"/>
      <c r="U1355" s="10" t="s">
        <v>3440</v>
      </c>
      <c r="V1355" s="10" t="s">
        <v>3278</v>
      </c>
      <c r="W1355" s="10" t="s">
        <v>3219</v>
      </c>
      <c r="X1355" s="10" t="s">
        <v>130</v>
      </c>
      <c r="Y1355" s="10" t="s">
        <v>130</v>
      </c>
      <c r="Z1355" s="10" t="s">
        <v>99</v>
      </c>
      <c r="AA1355" s="10" t="s">
        <v>131</v>
      </c>
      <c r="AB1355" s="10" t="s">
        <v>3220</v>
      </c>
      <c r="AC1355" s="10" t="s">
        <v>3221</v>
      </c>
      <c r="AD1355" s="10" t="s">
        <v>10760</v>
      </c>
      <c r="AE1355" s="10" t="s">
        <v>10761</v>
      </c>
      <c r="AF1355" s="15"/>
      <c r="AG1355" s="10"/>
      <c r="AH1355" s="10"/>
      <c r="AI1355" s="10"/>
      <c r="AJ1355" s="10"/>
      <c r="AK1355" s="10"/>
      <c r="AL1355" s="10" t="s">
        <v>2553</v>
      </c>
      <c r="AM1355" s="10"/>
      <c r="AN1355" s="10"/>
      <c r="AO1355" s="13" t="b">
        <v>1</v>
      </c>
      <c r="AP1355" s="10" t="s">
        <v>104</v>
      </c>
      <c r="AQ1355" s="10"/>
      <c r="AR1355" s="17"/>
      <c r="AS1355" s="17"/>
      <c r="AT1355" s="17"/>
      <c r="AU1355" s="17"/>
      <c r="AV1355" s="17"/>
      <c r="AW1355" s="10"/>
      <c r="AX1355" s="17"/>
      <c r="AY1355" s="18" t="s">
        <v>257</v>
      </c>
      <c r="AZ1355" s="10"/>
      <c r="BA1355" s="20" t="b">
        <v>0</v>
      </c>
      <c r="BB1355" s="10"/>
      <c r="BC1355" s="17" t="s">
        <v>257</v>
      </c>
      <c r="BD1355" s="17" t="s">
        <v>257</v>
      </c>
      <c r="BE1355" s="17" t="s">
        <v>257</v>
      </c>
      <c r="BF1355" s="17" t="s">
        <v>257</v>
      </c>
      <c r="BG1355" s="11">
        <f ca="1">IFERROR(__xludf.DUMMYFUNCTION("""COMPUTED_VALUE"""),46054)</f>
        <v>46054</v>
      </c>
      <c r="BH1355" s="17"/>
      <c r="BI1355" s="17"/>
      <c r="BJ1355" s="15"/>
      <c r="BK1355" s="15"/>
      <c r="BL1355" s="13" t="b">
        <v>0</v>
      </c>
      <c r="BM1355" s="10"/>
      <c r="BN1355" s="10" t="s">
        <v>10749</v>
      </c>
      <c r="BO1355" s="11">
        <v>45904.28460648148</v>
      </c>
      <c r="BP1355" s="11">
        <v>46007.624976851854</v>
      </c>
      <c r="BQ1355" s="15"/>
      <c r="BR1355" s="15"/>
      <c r="BS1355" s="10"/>
      <c r="BT1355" s="10" t="s">
        <v>99</v>
      </c>
      <c r="BU1355" s="10"/>
      <c r="BV1355" s="10"/>
      <c r="BW1355" s="10"/>
      <c r="BX1355" s="10"/>
      <c r="BY1355" s="23"/>
      <c r="BZ1355" s="23"/>
      <c r="CA1355" s="23"/>
      <c r="CB1355" s="23"/>
      <c r="CC1355" s="23"/>
      <c r="CD1355" s="23"/>
      <c r="CE1355" s="23"/>
      <c r="CF1355" s="23"/>
      <c r="CG1355" s="23"/>
      <c r="CH1355" s="23"/>
      <c r="CI1355" s="23"/>
    </row>
    <row r="1356" spans="1:87" x14ac:dyDescent="0.3">
      <c r="A1356" s="9" t="s">
        <v>10762</v>
      </c>
      <c r="B1356" s="10" t="s">
        <v>10763</v>
      </c>
      <c r="C1356" s="11">
        <v>46054</v>
      </c>
      <c r="D1356" s="12">
        <v>8.3333333333333329E-2</v>
      </c>
      <c r="E1356" s="11">
        <v>46054.083333333336</v>
      </c>
      <c r="F1356" s="10" t="s">
        <v>3211</v>
      </c>
      <c r="G1356" s="13" t="b">
        <v>0</v>
      </c>
      <c r="H1356" s="10" t="s">
        <v>3212</v>
      </c>
      <c r="I1356" s="10" t="s">
        <v>3213</v>
      </c>
      <c r="J1356" s="13" t="b">
        <v>0</v>
      </c>
      <c r="K1356" s="13" t="b">
        <v>1</v>
      </c>
      <c r="L1356" s="10" t="s">
        <v>124</v>
      </c>
      <c r="M1356" s="10" t="s">
        <v>91</v>
      </c>
      <c r="N1356" s="10" t="s">
        <v>92</v>
      </c>
      <c r="O1356" s="10"/>
      <c r="P1356" s="10"/>
      <c r="Q1356" s="10" t="s">
        <v>94</v>
      </c>
      <c r="R1356" s="10"/>
      <c r="S1356" s="10"/>
      <c r="T1356" s="10"/>
      <c r="U1356" s="10" t="s">
        <v>3250</v>
      </c>
      <c r="V1356" s="10" t="s">
        <v>3217</v>
      </c>
      <c r="W1356" s="10" t="s">
        <v>3219</v>
      </c>
      <c r="X1356" s="10" t="s">
        <v>130</v>
      </c>
      <c r="Y1356" s="10" t="s">
        <v>130</v>
      </c>
      <c r="Z1356" s="10" t="s">
        <v>99</v>
      </c>
      <c r="AA1356" s="10" t="s">
        <v>131</v>
      </c>
      <c r="AB1356" s="10" t="s">
        <v>3220</v>
      </c>
      <c r="AC1356" s="10" t="s">
        <v>3221</v>
      </c>
      <c r="AD1356" s="10" t="s">
        <v>10764</v>
      </c>
      <c r="AE1356" s="10" t="s">
        <v>10765</v>
      </c>
      <c r="AF1356" s="15"/>
      <c r="AG1356" s="10"/>
      <c r="AH1356" s="10"/>
      <c r="AI1356" s="10"/>
      <c r="AJ1356" s="10"/>
      <c r="AK1356" s="10"/>
      <c r="AL1356" s="10" t="s">
        <v>2553</v>
      </c>
      <c r="AM1356" s="10"/>
      <c r="AN1356" s="10"/>
      <c r="AO1356" s="13" t="b">
        <v>0</v>
      </c>
      <c r="AP1356" s="10" t="s">
        <v>104</v>
      </c>
      <c r="AQ1356" s="10"/>
      <c r="AR1356" s="17"/>
      <c r="AS1356" s="17"/>
      <c r="AT1356" s="17"/>
      <c r="AU1356" s="17"/>
      <c r="AV1356" s="17"/>
      <c r="AW1356" s="10"/>
      <c r="AX1356" s="17"/>
      <c r="AY1356" s="18" t="s">
        <v>257</v>
      </c>
      <c r="AZ1356" s="10"/>
      <c r="BA1356" s="20" t="b">
        <v>0</v>
      </c>
      <c r="BB1356" s="10"/>
      <c r="BC1356" s="17" t="s">
        <v>257</v>
      </c>
      <c r="BD1356" s="17" t="s">
        <v>257</v>
      </c>
      <c r="BE1356" s="17" t="s">
        <v>257</v>
      </c>
      <c r="BF1356" s="17" t="s">
        <v>257</v>
      </c>
      <c r="BG1356" s="11">
        <f ca="1">IFERROR(__xludf.DUMMYFUNCTION("""COMPUTED_VALUE"""),46054)</f>
        <v>46054</v>
      </c>
      <c r="BH1356" s="17"/>
      <c r="BI1356" s="17"/>
      <c r="BJ1356" s="15"/>
      <c r="BK1356" s="15"/>
      <c r="BL1356" s="13" t="b">
        <v>0</v>
      </c>
      <c r="BM1356" s="10"/>
      <c r="BN1356" s="10" t="s">
        <v>241</v>
      </c>
      <c r="BO1356" s="11">
        <v>45904.28460648148</v>
      </c>
      <c r="BP1356" s="11">
        <v>46007.625069444446</v>
      </c>
      <c r="BQ1356" s="15"/>
      <c r="BR1356" s="15"/>
      <c r="BS1356" s="10"/>
      <c r="BT1356" s="10"/>
      <c r="BU1356" s="10"/>
      <c r="BV1356" s="10"/>
      <c r="BW1356" s="10"/>
      <c r="BX1356" s="10"/>
      <c r="BY1356" s="23"/>
      <c r="BZ1356" s="23"/>
      <c r="CA1356" s="23"/>
      <c r="CB1356" s="23"/>
      <c r="CC1356" s="23"/>
      <c r="CD1356" s="23"/>
      <c r="CE1356" s="23"/>
      <c r="CF1356" s="23"/>
      <c r="CG1356" s="23"/>
      <c r="CH1356" s="23"/>
      <c r="CI1356" s="23"/>
    </row>
    <row r="1357" spans="1:87" x14ac:dyDescent="0.3">
      <c r="A1357" s="9" t="s">
        <v>10766</v>
      </c>
      <c r="B1357" s="10" t="s">
        <v>10767</v>
      </c>
      <c r="C1357" s="11">
        <v>46054</v>
      </c>
      <c r="D1357" s="12">
        <v>8.3333333333333329E-2</v>
      </c>
      <c r="E1357" s="11">
        <v>46054.083333333336</v>
      </c>
      <c r="F1357" s="10" t="s">
        <v>3211</v>
      </c>
      <c r="G1357" s="13" t="b">
        <v>0</v>
      </c>
      <c r="H1357" s="10" t="s">
        <v>3212</v>
      </c>
      <c r="I1357" s="10" t="s">
        <v>3213</v>
      </c>
      <c r="J1357" s="13" t="b">
        <v>0</v>
      </c>
      <c r="K1357" s="13" t="b">
        <v>1</v>
      </c>
      <c r="L1357" s="10" t="s">
        <v>124</v>
      </c>
      <c r="M1357" s="10" t="s">
        <v>91</v>
      </c>
      <c r="N1357" s="10" t="s">
        <v>92</v>
      </c>
      <c r="O1357" s="10"/>
      <c r="P1357" s="10"/>
      <c r="Q1357" s="10" t="s">
        <v>126</v>
      </c>
      <c r="R1357" s="10"/>
      <c r="S1357" s="10"/>
      <c r="T1357" s="10"/>
      <c r="U1357" s="10" t="s">
        <v>3318</v>
      </c>
      <c r="V1357" s="10" t="s">
        <v>3240</v>
      </c>
      <c r="W1357" s="10" t="s">
        <v>3219</v>
      </c>
      <c r="X1357" s="10" t="s">
        <v>130</v>
      </c>
      <c r="Y1357" s="10" t="s">
        <v>130</v>
      </c>
      <c r="Z1357" s="10" t="s">
        <v>99</v>
      </c>
      <c r="AA1357" s="10" t="s">
        <v>131</v>
      </c>
      <c r="AB1357" s="10" t="s">
        <v>3220</v>
      </c>
      <c r="AC1357" s="10" t="s">
        <v>3221</v>
      </c>
      <c r="AD1357" s="10" t="s">
        <v>10768</v>
      </c>
      <c r="AE1357" s="10" t="s">
        <v>10769</v>
      </c>
      <c r="AF1357" s="15"/>
      <c r="AG1357" s="10"/>
      <c r="AH1357" s="10"/>
      <c r="AI1357" s="10"/>
      <c r="AJ1357" s="10"/>
      <c r="AK1357" s="10"/>
      <c r="AL1357" s="10" t="s">
        <v>2553</v>
      </c>
      <c r="AM1357" s="10"/>
      <c r="AN1357" s="10"/>
      <c r="AO1357" s="13" t="b">
        <v>1</v>
      </c>
      <c r="AP1357" s="10" t="s">
        <v>104</v>
      </c>
      <c r="AQ1357" s="10"/>
      <c r="AR1357" s="17"/>
      <c r="AS1357" s="17"/>
      <c r="AT1357" s="17"/>
      <c r="AU1357" s="17"/>
      <c r="AV1357" s="17"/>
      <c r="AW1357" s="10"/>
      <c r="AX1357" s="17"/>
      <c r="AY1357" s="18" t="s">
        <v>257</v>
      </c>
      <c r="AZ1357" s="10"/>
      <c r="BA1357" s="20" t="b">
        <v>0</v>
      </c>
      <c r="BB1357" s="10"/>
      <c r="BC1357" s="17" t="s">
        <v>257</v>
      </c>
      <c r="BD1357" s="17" t="s">
        <v>257</v>
      </c>
      <c r="BE1357" s="17" t="s">
        <v>257</v>
      </c>
      <c r="BF1357" s="17" t="s">
        <v>257</v>
      </c>
      <c r="BG1357" s="11">
        <f ca="1">IFERROR(__xludf.DUMMYFUNCTION("""COMPUTED_VALUE"""),46054)</f>
        <v>46054</v>
      </c>
      <c r="BH1357" s="17"/>
      <c r="BI1357" s="17"/>
      <c r="BJ1357" s="15"/>
      <c r="BK1357" s="15"/>
      <c r="BL1357" s="13" t="b">
        <v>0</v>
      </c>
      <c r="BM1357" s="10"/>
      <c r="BN1357" s="10" t="s">
        <v>10749</v>
      </c>
      <c r="BO1357" s="11">
        <v>45904.28460648148</v>
      </c>
      <c r="BP1357" s="11">
        <v>46007.625173611108</v>
      </c>
      <c r="BQ1357" s="15"/>
      <c r="BR1357" s="15"/>
      <c r="BS1357" s="10"/>
      <c r="BT1357" s="10" t="s">
        <v>99</v>
      </c>
      <c r="BU1357" s="10"/>
      <c r="BV1357" s="10"/>
      <c r="BW1357" s="10"/>
      <c r="BX1357" s="10"/>
      <c r="BY1357" s="23"/>
      <c r="BZ1357" s="23"/>
      <c r="CA1357" s="23"/>
      <c r="CB1357" s="23"/>
      <c r="CC1357" s="23"/>
      <c r="CD1357" s="23"/>
      <c r="CE1357" s="23"/>
      <c r="CF1357" s="23"/>
      <c r="CG1357" s="23"/>
      <c r="CH1357" s="23"/>
      <c r="CI1357" s="23"/>
    </row>
    <row r="1358" spans="1:87" x14ac:dyDescent="0.3">
      <c r="A1358" s="9" t="s">
        <v>10770</v>
      </c>
      <c r="B1358" s="10" t="s">
        <v>10771</v>
      </c>
      <c r="C1358" s="11">
        <v>46054</v>
      </c>
      <c r="D1358" s="12">
        <v>8.3333333333333329E-2</v>
      </c>
      <c r="E1358" s="11">
        <v>46054.083333333336</v>
      </c>
      <c r="F1358" s="10" t="s">
        <v>3211</v>
      </c>
      <c r="G1358" s="13" t="b">
        <v>0</v>
      </c>
      <c r="H1358" s="10" t="s">
        <v>3212</v>
      </c>
      <c r="I1358" s="10" t="s">
        <v>3213</v>
      </c>
      <c r="J1358" s="13" t="b">
        <v>0</v>
      </c>
      <c r="K1358" s="13" t="b">
        <v>1</v>
      </c>
      <c r="L1358" s="10" t="s">
        <v>124</v>
      </c>
      <c r="M1358" s="10" t="s">
        <v>91</v>
      </c>
      <c r="N1358" s="10" t="s">
        <v>92</v>
      </c>
      <c r="O1358" s="10"/>
      <c r="P1358" s="10"/>
      <c r="Q1358" s="10" t="s">
        <v>126</v>
      </c>
      <c r="R1358" s="10"/>
      <c r="S1358" s="10"/>
      <c r="T1358" s="10"/>
      <c r="U1358" s="10" t="s">
        <v>3260</v>
      </c>
      <c r="V1358" s="10" t="s">
        <v>3259</v>
      </c>
      <c r="W1358" s="10" t="s">
        <v>3219</v>
      </c>
      <c r="X1358" s="10" t="s">
        <v>130</v>
      </c>
      <c r="Y1358" s="10" t="s">
        <v>130</v>
      </c>
      <c r="Z1358" s="10" t="s">
        <v>99</v>
      </c>
      <c r="AA1358" s="10" t="s">
        <v>131</v>
      </c>
      <c r="AB1358" s="10" t="s">
        <v>3220</v>
      </c>
      <c r="AC1358" s="10" t="s">
        <v>3221</v>
      </c>
      <c r="AD1358" s="10" t="s">
        <v>10772</v>
      </c>
      <c r="AE1358" s="10" t="s">
        <v>10773</v>
      </c>
      <c r="AF1358" s="15"/>
      <c r="AG1358" s="10"/>
      <c r="AH1358" s="10"/>
      <c r="AI1358" s="10"/>
      <c r="AJ1358" s="10"/>
      <c r="AK1358" s="10"/>
      <c r="AL1358" s="10" t="s">
        <v>2553</v>
      </c>
      <c r="AM1358" s="10"/>
      <c r="AN1358" s="10"/>
      <c r="AO1358" s="13" t="b">
        <v>1</v>
      </c>
      <c r="AP1358" s="10" t="s">
        <v>104</v>
      </c>
      <c r="AQ1358" s="10"/>
      <c r="AR1358" s="17"/>
      <c r="AS1358" s="17"/>
      <c r="AT1358" s="17"/>
      <c r="AU1358" s="17"/>
      <c r="AV1358" s="17"/>
      <c r="AW1358" s="10"/>
      <c r="AX1358" s="17"/>
      <c r="AY1358" s="18" t="s">
        <v>257</v>
      </c>
      <c r="AZ1358" s="10"/>
      <c r="BA1358" s="20" t="b">
        <v>0</v>
      </c>
      <c r="BB1358" s="10"/>
      <c r="BC1358" s="17" t="s">
        <v>257</v>
      </c>
      <c r="BD1358" s="17" t="s">
        <v>257</v>
      </c>
      <c r="BE1358" s="17" t="s">
        <v>257</v>
      </c>
      <c r="BF1358" s="17" t="s">
        <v>257</v>
      </c>
      <c r="BG1358" s="11">
        <f ca="1">IFERROR(__xludf.DUMMYFUNCTION("""COMPUTED_VALUE"""),46054)</f>
        <v>46054</v>
      </c>
      <c r="BH1358" s="17"/>
      <c r="BI1358" s="17"/>
      <c r="BJ1358" s="15"/>
      <c r="BK1358" s="15"/>
      <c r="BL1358" s="13" t="b">
        <v>0</v>
      </c>
      <c r="BM1358" s="10"/>
      <c r="BN1358" s="10" t="s">
        <v>10749</v>
      </c>
      <c r="BO1358" s="11">
        <v>45904.28460648148</v>
      </c>
      <c r="BP1358" s="11">
        <v>46007.6253125</v>
      </c>
      <c r="BQ1358" s="15"/>
      <c r="BR1358" s="15"/>
      <c r="BS1358" s="10"/>
      <c r="BT1358" s="10" t="s">
        <v>99</v>
      </c>
      <c r="BU1358" s="10"/>
      <c r="BV1358" s="10"/>
      <c r="BW1358" s="10"/>
      <c r="BX1358" s="10"/>
      <c r="BY1358" s="23"/>
      <c r="BZ1358" s="23"/>
      <c r="CA1358" s="23"/>
      <c r="CB1358" s="23"/>
      <c r="CC1358" s="23"/>
      <c r="CD1358" s="23"/>
      <c r="CE1358" s="23"/>
      <c r="CF1358" s="23"/>
      <c r="CG1358" s="23"/>
      <c r="CH1358" s="23"/>
      <c r="CI1358" s="23"/>
    </row>
    <row r="1359" spans="1:87" x14ac:dyDescent="0.3">
      <c r="A1359" s="9" t="s">
        <v>10774</v>
      </c>
      <c r="B1359" s="10" t="s">
        <v>10775</v>
      </c>
      <c r="C1359" s="11">
        <v>46054</v>
      </c>
      <c r="D1359" s="12">
        <v>8.3333333333333329E-2</v>
      </c>
      <c r="E1359" s="11">
        <v>46054.083333333336</v>
      </c>
      <c r="F1359" s="10" t="s">
        <v>3211</v>
      </c>
      <c r="G1359" s="13" t="b">
        <v>0</v>
      </c>
      <c r="H1359" s="10" t="s">
        <v>3212</v>
      </c>
      <c r="I1359" s="10" t="s">
        <v>3213</v>
      </c>
      <c r="J1359" s="13" t="b">
        <v>0</v>
      </c>
      <c r="K1359" s="13" t="b">
        <v>1</v>
      </c>
      <c r="L1359" s="10" t="s">
        <v>124</v>
      </c>
      <c r="M1359" s="10" t="s">
        <v>91</v>
      </c>
      <c r="N1359" s="10" t="s">
        <v>92</v>
      </c>
      <c r="O1359" s="10"/>
      <c r="P1359" s="10"/>
      <c r="Q1359" s="10" t="s">
        <v>126</v>
      </c>
      <c r="R1359" s="10"/>
      <c r="S1359" s="10"/>
      <c r="T1359" s="10"/>
      <c r="U1359" s="10" t="s">
        <v>3451</v>
      </c>
      <c r="V1359" s="10" t="s">
        <v>3429</v>
      </c>
      <c r="W1359" s="10" t="s">
        <v>3219</v>
      </c>
      <c r="X1359" s="10" t="s">
        <v>130</v>
      </c>
      <c r="Y1359" s="10" t="s">
        <v>130</v>
      </c>
      <c r="Z1359" s="10" t="s">
        <v>99</v>
      </c>
      <c r="AA1359" s="10" t="s">
        <v>131</v>
      </c>
      <c r="AB1359" s="10" t="s">
        <v>3220</v>
      </c>
      <c r="AC1359" s="10" t="s">
        <v>3221</v>
      </c>
      <c r="AD1359" s="10" t="s">
        <v>10776</v>
      </c>
      <c r="AE1359" s="10" t="s">
        <v>10777</v>
      </c>
      <c r="AF1359" s="15"/>
      <c r="AG1359" s="10"/>
      <c r="AH1359" s="10"/>
      <c r="AI1359" s="10"/>
      <c r="AJ1359" s="10"/>
      <c r="AK1359" s="10"/>
      <c r="AL1359" s="10" t="s">
        <v>2553</v>
      </c>
      <c r="AM1359" s="10"/>
      <c r="AN1359" s="10"/>
      <c r="AO1359" s="13" t="b">
        <v>1</v>
      </c>
      <c r="AP1359" s="10" t="s">
        <v>104</v>
      </c>
      <c r="AQ1359" s="10"/>
      <c r="AR1359" s="17"/>
      <c r="AS1359" s="17"/>
      <c r="AT1359" s="17"/>
      <c r="AU1359" s="17"/>
      <c r="AV1359" s="17"/>
      <c r="AW1359" s="10"/>
      <c r="AX1359" s="17"/>
      <c r="AY1359" s="18" t="s">
        <v>257</v>
      </c>
      <c r="AZ1359" s="10"/>
      <c r="BA1359" s="20" t="b">
        <v>0</v>
      </c>
      <c r="BB1359" s="10"/>
      <c r="BC1359" s="17" t="s">
        <v>257</v>
      </c>
      <c r="BD1359" s="17" t="s">
        <v>257</v>
      </c>
      <c r="BE1359" s="17" t="s">
        <v>257</v>
      </c>
      <c r="BF1359" s="17" t="s">
        <v>257</v>
      </c>
      <c r="BG1359" s="11">
        <f ca="1">IFERROR(__xludf.DUMMYFUNCTION("""COMPUTED_VALUE"""),46054)</f>
        <v>46054</v>
      </c>
      <c r="BH1359" s="17"/>
      <c r="BI1359" s="17"/>
      <c r="BJ1359" s="15"/>
      <c r="BK1359" s="15"/>
      <c r="BL1359" s="13" t="b">
        <v>0</v>
      </c>
      <c r="BM1359" s="10"/>
      <c r="BN1359" s="10" t="s">
        <v>10749</v>
      </c>
      <c r="BO1359" s="11">
        <v>45904.28460648148</v>
      </c>
      <c r="BP1359" s="11">
        <v>46007.625543981485</v>
      </c>
      <c r="BQ1359" s="15"/>
      <c r="BR1359" s="15"/>
      <c r="BS1359" s="10"/>
      <c r="BT1359" s="10" t="s">
        <v>99</v>
      </c>
      <c r="BU1359" s="10"/>
      <c r="BV1359" s="10"/>
      <c r="BW1359" s="10"/>
      <c r="BX1359" s="10"/>
      <c r="BY1359" s="23"/>
      <c r="BZ1359" s="23"/>
      <c r="CA1359" s="23"/>
      <c r="CB1359" s="23"/>
      <c r="CC1359" s="23"/>
      <c r="CD1359" s="23"/>
      <c r="CE1359" s="23"/>
      <c r="CF1359" s="23"/>
      <c r="CG1359" s="23"/>
      <c r="CH1359" s="23"/>
      <c r="CI1359" s="23"/>
    </row>
    <row r="1360" spans="1:87" x14ac:dyDescent="0.3">
      <c r="A1360" s="9" t="s">
        <v>10778</v>
      </c>
      <c r="B1360" s="10" t="s">
        <v>10779</v>
      </c>
      <c r="C1360" s="11">
        <v>46054</v>
      </c>
      <c r="D1360" s="12">
        <v>8.3333333333333329E-2</v>
      </c>
      <c r="E1360" s="11">
        <v>46054.083333333336</v>
      </c>
      <c r="F1360" s="10" t="s">
        <v>3211</v>
      </c>
      <c r="G1360" s="13" t="b">
        <v>0</v>
      </c>
      <c r="H1360" s="10" t="s">
        <v>3212</v>
      </c>
      <c r="I1360" s="10" t="s">
        <v>3213</v>
      </c>
      <c r="J1360" s="13" t="b">
        <v>0</v>
      </c>
      <c r="K1360" s="13" t="b">
        <v>1</v>
      </c>
      <c r="L1360" s="10" t="s">
        <v>124</v>
      </c>
      <c r="M1360" s="10" t="s">
        <v>91</v>
      </c>
      <c r="N1360" s="10" t="s">
        <v>92</v>
      </c>
      <c r="O1360" s="10"/>
      <c r="P1360" s="10"/>
      <c r="Q1360" s="10" t="s">
        <v>94</v>
      </c>
      <c r="R1360" s="10"/>
      <c r="S1360" s="10"/>
      <c r="T1360" s="10"/>
      <c r="U1360" s="10" t="s">
        <v>3279</v>
      </c>
      <c r="V1360" s="10" t="s">
        <v>3218</v>
      </c>
      <c r="W1360" s="10" t="s">
        <v>3219</v>
      </c>
      <c r="X1360" s="10" t="s">
        <v>130</v>
      </c>
      <c r="Y1360" s="10" t="s">
        <v>130</v>
      </c>
      <c r="Z1360" s="10" t="s">
        <v>99</v>
      </c>
      <c r="AA1360" s="10" t="s">
        <v>131</v>
      </c>
      <c r="AB1360" s="10" t="s">
        <v>3220</v>
      </c>
      <c r="AC1360" s="10" t="s">
        <v>3221</v>
      </c>
      <c r="AD1360" s="10" t="s">
        <v>10780</v>
      </c>
      <c r="AE1360" s="10" t="s">
        <v>10781</v>
      </c>
      <c r="AF1360" s="15"/>
      <c r="AG1360" s="10"/>
      <c r="AH1360" s="10"/>
      <c r="AI1360" s="10"/>
      <c r="AJ1360" s="10"/>
      <c r="AK1360" s="10"/>
      <c r="AL1360" s="10" t="s">
        <v>2553</v>
      </c>
      <c r="AM1360" s="10"/>
      <c r="AN1360" s="10"/>
      <c r="AO1360" s="13" t="b">
        <v>0</v>
      </c>
      <c r="AP1360" s="10" t="s">
        <v>104</v>
      </c>
      <c r="AQ1360" s="10"/>
      <c r="AR1360" s="17"/>
      <c r="AS1360" s="17"/>
      <c r="AT1360" s="17"/>
      <c r="AU1360" s="17"/>
      <c r="AV1360" s="17"/>
      <c r="AW1360" s="10"/>
      <c r="AX1360" s="17"/>
      <c r="AY1360" s="18" t="s">
        <v>257</v>
      </c>
      <c r="AZ1360" s="10"/>
      <c r="BA1360" s="20" t="b">
        <v>0</v>
      </c>
      <c r="BB1360" s="10"/>
      <c r="BC1360" s="17" t="s">
        <v>257</v>
      </c>
      <c r="BD1360" s="17" t="s">
        <v>257</v>
      </c>
      <c r="BE1360" s="17" t="s">
        <v>257</v>
      </c>
      <c r="BF1360" s="17" t="s">
        <v>257</v>
      </c>
      <c r="BG1360" s="11">
        <f ca="1">IFERROR(__xludf.DUMMYFUNCTION("""COMPUTED_VALUE"""),46054)</f>
        <v>46054</v>
      </c>
      <c r="BH1360" s="17"/>
      <c r="BI1360" s="17"/>
      <c r="BJ1360" s="15"/>
      <c r="BK1360" s="15"/>
      <c r="BL1360" s="13" t="b">
        <v>0</v>
      </c>
      <c r="BM1360" s="10"/>
      <c r="BN1360" s="10" t="s">
        <v>10749</v>
      </c>
      <c r="BO1360" s="11">
        <v>45904.28460648148</v>
      </c>
      <c r="BP1360" s="11">
        <v>46007.625636574077</v>
      </c>
      <c r="BQ1360" s="15"/>
      <c r="BR1360" s="15"/>
      <c r="BS1360" s="10"/>
      <c r="BT1360" s="10" t="s">
        <v>99</v>
      </c>
      <c r="BU1360" s="10"/>
      <c r="BV1360" s="10"/>
      <c r="BW1360" s="10"/>
      <c r="BX1360" s="10"/>
      <c r="BY1360" s="23"/>
      <c r="BZ1360" s="23"/>
      <c r="CA1360" s="23"/>
      <c r="CB1360" s="23"/>
      <c r="CC1360" s="23"/>
      <c r="CD1360" s="23"/>
      <c r="CE1360" s="23"/>
      <c r="CF1360" s="23"/>
      <c r="CG1360" s="23"/>
      <c r="CH1360" s="23"/>
      <c r="CI1360" s="23"/>
    </row>
    <row r="1361" spans="1:87" x14ac:dyDescent="0.3">
      <c r="A1361" s="9" t="s">
        <v>10782</v>
      </c>
      <c r="B1361" s="10" t="s">
        <v>10783</v>
      </c>
      <c r="C1361" s="11">
        <v>46054</v>
      </c>
      <c r="D1361" s="12">
        <v>8.3333333333333329E-2</v>
      </c>
      <c r="E1361" s="11">
        <v>46054.083333333336</v>
      </c>
      <c r="F1361" s="10" t="s">
        <v>3211</v>
      </c>
      <c r="G1361" s="13" t="b">
        <v>0</v>
      </c>
      <c r="H1361" s="10" t="s">
        <v>3212</v>
      </c>
      <c r="I1361" s="10" t="s">
        <v>3213</v>
      </c>
      <c r="J1361" s="13" t="b">
        <v>0</v>
      </c>
      <c r="K1361" s="13" t="b">
        <v>1</v>
      </c>
      <c r="L1361" s="10" t="s">
        <v>124</v>
      </c>
      <c r="M1361" s="10" t="s">
        <v>91</v>
      </c>
      <c r="N1361" s="10" t="s">
        <v>92</v>
      </c>
      <c r="O1361" s="10"/>
      <c r="P1361" s="10"/>
      <c r="Q1361" s="10" t="s">
        <v>126</v>
      </c>
      <c r="R1361" s="10"/>
      <c r="S1361" s="10"/>
      <c r="T1361" s="10"/>
      <c r="U1361" s="10" t="s">
        <v>3269</v>
      </c>
      <c r="V1361" s="10" t="s">
        <v>3229</v>
      </c>
      <c r="W1361" s="10" t="s">
        <v>3219</v>
      </c>
      <c r="X1361" s="10" t="s">
        <v>130</v>
      </c>
      <c r="Y1361" s="10" t="s">
        <v>130</v>
      </c>
      <c r="Z1361" s="10" t="s">
        <v>99</v>
      </c>
      <c r="AA1361" s="10" t="s">
        <v>131</v>
      </c>
      <c r="AB1361" s="10" t="s">
        <v>3220</v>
      </c>
      <c r="AC1361" s="10" t="s">
        <v>3221</v>
      </c>
      <c r="AD1361" s="10" t="s">
        <v>10784</v>
      </c>
      <c r="AE1361" s="10" t="s">
        <v>10785</v>
      </c>
      <c r="AF1361" s="15"/>
      <c r="AG1361" s="10"/>
      <c r="AH1361" s="10"/>
      <c r="AI1361" s="10"/>
      <c r="AJ1361" s="10"/>
      <c r="AK1361" s="10"/>
      <c r="AL1361" s="10" t="s">
        <v>2553</v>
      </c>
      <c r="AM1361" s="10"/>
      <c r="AN1361" s="10"/>
      <c r="AO1361" s="13" t="b">
        <v>1</v>
      </c>
      <c r="AP1361" s="10" t="s">
        <v>104</v>
      </c>
      <c r="AQ1361" s="10"/>
      <c r="AR1361" s="17"/>
      <c r="AS1361" s="17"/>
      <c r="AT1361" s="17"/>
      <c r="AU1361" s="17"/>
      <c r="AV1361" s="17"/>
      <c r="AW1361" s="10"/>
      <c r="AX1361" s="17"/>
      <c r="AY1361" s="18" t="s">
        <v>257</v>
      </c>
      <c r="AZ1361" s="10"/>
      <c r="BA1361" s="20" t="b">
        <v>0</v>
      </c>
      <c r="BB1361" s="10"/>
      <c r="BC1361" s="17" t="s">
        <v>257</v>
      </c>
      <c r="BD1361" s="17" t="s">
        <v>257</v>
      </c>
      <c r="BE1361" s="17" t="s">
        <v>257</v>
      </c>
      <c r="BF1361" s="17" t="s">
        <v>257</v>
      </c>
      <c r="BG1361" s="11">
        <f ca="1">IFERROR(__xludf.DUMMYFUNCTION("""COMPUTED_VALUE"""),46054)</f>
        <v>46054</v>
      </c>
      <c r="BH1361" s="17"/>
      <c r="BI1361" s="17"/>
      <c r="BJ1361" s="15"/>
      <c r="BK1361" s="15"/>
      <c r="BL1361" s="13" t="b">
        <v>0</v>
      </c>
      <c r="BM1361" s="10"/>
      <c r="BN1361" s="10" t="s">
        <v>10749</v>
      </c>
      <c r="BO1361" s="11">
        <v>45904.28460648148</v>
      </c>
      <c r="BP1361" s="11">
        <v>46007.62572916667</v>
      </c>
      <c r="BQ1361" s="15"/>
      <c r="BR1361" s="15"/>
      <c r="BS1361" s="10"/>
      <c r="BT1361" s="10" t="s">
        <v>99</v>
      </c>
      <c r="BU1361" s="10"/>
      <c r="BV1361" s="10"/>
      <c r="BW1361" s="10"/>
      <c r="BX1361" s="10"/>
      <c r="BY1361" s="23"/>
      <c r="BZ1361" s="23"/>
      <c r="CA1361" s="23"/>
      <c r="CB1361" s="23"/>
      <c r="CC1361" s="23"/>
      <c r="CD1361" s="23"/>
      <c r="CE1361" s="23"/>
      <c r="CF1361" s="23"/>
      <c r="CG1361" s="23"/>
      <c r="CH1361" s="23"/>
      <c r="CI1361" s="23"/>
    </row>
    <row r="1362" spans="1:87" x14ac:dyDescent="0.3">
      <c r="A1362" s="9" t="s">
        <v>10786</v>
      </c>
      <c r="B1362" s="10" t="s">
        <v>10787</v>
      </c>
      <c r="C1362" s="11">
        <v>46061</v>
      </c>
      <c r="D1362" s="12">
        <v>8.3333333333333329E-2</v>
      </c>
      <c r="E1362" s="11">
        <v>46061.083333333336</v>
      </c>
      <c r="F1362" s="10" t="s">
        <v>3211</v>
      </c>
      <c r="G1362" s="13" t="b">
        <v>0</v>
      </c>
      <c r="H1362" s="10" t="s">
        <v>3212</v>
      </c>
      <c r="I1362" s="10" t="s">
        <v>3213</v>
      </c>
      <c r="J1362" s="13" t="b">
        <v>0</v>
      </c>
      <c r="K1362" s="13" t="b">
        <v>1</v>
      </c>
      <c r="L1362" s="10" t="s">
        <v>124</v>
      </c>
      <c r="M1362" s="10" t="s">
        <v>91</v>
      </c>
      <c r="N1362" s="10" t="s">
        <v>92</v>
      </c>
      <c r="O1362" s="10"/>
      <c r="P1362" s="10"/>
      <c r="Q1362" s="10" t="s">
        <v>126</v>
      </c>
      <c r="R1362" s="10"/>
      <c r="S1362" s="10"/>
      <c r="T1362" s="10"/>
      <c r="U1362" s="10" t="s">
        <v>3308</v>
      </c>
      <c r="V1362" s="10" t="s">
        <v>3440</v>
      </c>
      <c r="W1362" s="10" t="s">
        <v>3219</v>
      </c>
      <c r="X1362" s="10" t="s">
        <v>130</v>
      </c>
      <c r="Y1362" s="10" t="s">
        <v>130</v>
      </c>
      <c r="Z1362" s="10" t="s">
        <v>99</v>
      </c>
      <c r="AA1362" s="10" t="s">
        <v>131</v>
      </c>
      <c r="AB1362" s="10" t="s">
        <v>3220</v>
      </c>
      <c r="AC1362" s="10" t="s">
        <v>3221</v>
      </c>
      <c r="AD1362" s="10" t="s">
        <v>10788</v>
      </c>
      <c r="AE1362" s="10" t="s">
        <v>10789</v>
      </c>
      <c r="AF1362" s="15"/>
      <c r="AG1362" s="10"/>
      <c r="AH1362" s="10"/>
      <c r="AI1362" s="10"/>
      <c r="AJ1362" s="10"/>
      <c r="AK1362" s="10"/>
      <c r="AL1362" s="10" t="s">
        <v>2596</v>
      </c>
      <c r="AM1362" s="10"/>
      <c r="AN1362" s="10"/>
      <c r="AO1362" s="13" t="b">
        <v>1</v>
      </c>
      <c r="AP1362" s="10" t="s">
        <v>104</v>
      </c>
      <c r="AQ1362" s="10"/>
      <c r="AR1362" s="17"/>
      <c r="AS1362" s="17"/>
      <c r="AT1362" s="17"/>
      <c r="AU1362" s="17"/>
      <c r="AV1362" s="17"/>
      <c r="AW1362" s="10"/>
      <c r="AX1362" s="17"/>
      <c r="AY1362" s="18" t="s">
        <v>257</v>
      </c>
      <c r="AZ1362" s="10"/>
      <c r="BA1362" s="20" t="b">
        <v>0</v>
      </c>
      <c r="BB1362" s="10"/>
      <c r="BC1362" s="17" t="s">
        <v>257</v>
      </c>
      <c r="BD1362" s="17" t="s">
        <v>257</v>
      </c>
      <c r="BE1362" s="17" t="s">
        <v>257</v>
      </c>
      <c r="BF1362" s="17" t="s">
        <v>257</v>
      </c>
      <c r="BG1362" s="11">
        <f ca="1">IFERROR(__xludf.DUMMYFUNCTION("""COMPUTED_VALUE"""),46061)</f>
        <v>46061</v>
      </c>
      <c r="BH1362" s="17"/>
      <c r="BI1362" s="17"/>
      <c r="BJ1362" s="15"/>
      <c r="BK1362" s="15"/>
      <c r="BL1362" s="13" t="b">
        <v>0</v>
      </c>
      <c r="BM1362" s="10"/>
      <c r="BN1362" s="10" t="s">
        <v>10749</v>
      </c>
      <c r="BO1362" s="11">
        <v>45904.28460648148</v>
      </c>
      <c r="BP1362" s="11">
        <v>46007.626585648148</v>
      </c>
      <c r="BQ1362" s="15"/>
      <c r="BR1362" s="15"/>
      <c r="BS1362" s="10"/>
      <c r="BT1362" s="10" t="s">
        <v>99</v>
      </c>
      <c r="BU1362" s="10"/>
      <c r="BV1362" s="10"/>
      <c r="BW1362" s="10"/>
      <c r="BX1362" s="10"/>
      <c r="BY1362" s="23"/>
      <c r="BZ1362" s="23"/>
      <c r="CA1362" s="23"/>
      <c r="CB1362" s="23"/>
      <c r="CC1362" s="23"/>
      <c r="CD1362" s="23"/>
      <c r="CE1362" s="23"/>
      <c r="CF1362" s="23"/>
      <c r="CG1362" s="23"/>
      <c r="CH1362" s="23"/>
      <c r="CI1362" s="23"/>
    </row>
    <row r="1363" spans="1:87" x14ac:dyDescent="0.3">
      <c r="A1363" s="9" t="s">
        <v>10790</v>
      </c>
      <c r="B1363" s="10" t="s">
        <v>10791</v>
      </c>
      <c r="C1363" s="11">
        <v>46061</v>
      </c>
      <c r="D1363" s="12">
        <v>8.3333333333333329E-2</v>
      </c>
      <c r="E1363" s="11">
        <v>46061.083333333336</v>
      </c>
      <c r="F1363" s="10" t="s">
        <v>3211</v>
      </c>
      <c r="G1363" s="13" t="b">
        <v>0</v>
      </c>
      <c r="H1363" s="10" t="s">
        <v>3212</v>
      </c>
      <c r="I1363" s="10" t="s">
        <v>3213</v>
      </c>
      <c r="J1363" s="13" t="b">
        <v>0</v>
      </c>
      <c r="K1363" s="13" t="b">
        <v>1</v>
      </c>
      <c r="L1363" s="10" t="s">
        <v>124</v>
      </c>
      <c r="M1363" s="10" t="s">
        <v>91</v>
      </c>
      <c r="N1363" s="10" t="s">
        <v>92</v>
      </c>
      <c r="O1363" s="10"/>
      <c r="P1363" s="10"/>
      <c r="Q1363" s="10" t="s">
        <v>94</v>
      </c>
      <c r="R1363" s="10"/>
      <c r="S1363" s="10"/>
      <c r="T1363" s="10"/>
      <c r="U1363" s="10" t="s">
        <v>3230</v>
      </c>
      <c r="V1363" s="10" t="s">
        <v>3260</v>
      </c>
      <c r="W1363" s="10" t="s">
        <v>3219</v>
      </c>
      <c r="X1363" s="10" t="s">
        <v>130</v>
      </c>
      <c r="Y1363" s="10" t="s">
        <v>130</v>
      </c>
      <c r="Z1363" s="10" t="s">
        <v>99</v>
      </c>
      <c r="AA1363" s="10" t="s">
        <v>131</v>
      </c>
      <c r="AB1363" s="10" t="s">
        <v>3220</v>
      </c>
      <c r="AC1363" s="10" t="s">
        <v>3221</v>
      </c>
      <c r="AD1363" s="10" t="s">
        <v>10792</v>
      </c>
      <c r="AE1363" s="10" t="s">
        <v>10793</v>
      </c>
      <c r="AF1363" s="15"/>
      <c r="AG1363" s="10"/>
      <c r="AH1363" s="10"/>
      <c r="AI1363" s="10"/>
      <c r="AJ1363" s="10"/>
      <c r="AK1363" s="10"/>
      <c r="AL1363" s="10" t="s">
        <v>2596</v>
      </c>
      <c r="AM1363" s="10"/>
      <c r="AN1363" s="10"/>
      <c r="AO1363" s="13" t="b">
        <v>0</v>
      </c>
      <c r="AP1363" s="10" t="s">
        <v>104</v>
      </c>
      <c r="AQ1363" s="10"/>
      <c r="AR1363" s="17"/>
      <c r="AS1363" s="17"/>
      <c r="AT1363" s="17"/>
      <c r="AU1363" s="17"/>
      <c r="AV1363" s="17"/>
      <c r="AW1363" s="10"/>
      <c r="AX1363" s="17"/>
      <c r="AY1363" s="18" t="s">
        <v>257</v>
      </c>
      <c r="AZ1363" s="10"/>
      <c r="BA1363" s="20" t="b">
        <v>0</v>
      </c>
      <c r="BB1363" s="10"/>
      <c r="BC1363" s="17" t="s">
        <v>257</v>
      </c>
      <c r="BD1363" s="17" t="s">
        <v>257</v>
      </c>
      <c r="BE1363" s="17" t="s">
        <v>257</v>
      </c>
      <c r="BF1363" s="17" t="s">
        <v>257</v>
      </c>
      <c r="BG1363" s="11">
        <f ca="1">IFERROR(__xludf.DUMMYFUNCTION("""COMPUTED_VALUE"""),46061)</f>
        <v>46061</v>
      </c>
      <c r="BH1363" s="17"/>
      <c r="BI1363" s="17"/>
      <c r="BJ1363" s="15"/>
      <c r="BK1363" s="15"/>
      <c r="BL1363" s="13" t="b">
        <v>0</v>
      </c>
      <c r="BM1363" s="10"/>
      <c r="BN1363" s="10" t="s">
        <v>241</v>
      </c>
      <c r="BO1363" s="11">
        <v>45904.28460648148</v>
      </c>
      <c r="BP1363" s="11">
        <v>46007.62667824074</v>
      </c>
      <c r="BQ1363" s="15"/>
      <c r="BR1363" s="15"/>
      <c r="BS1363" s="10"/>
      <c r="BT1363" s="10"/>
      <c r="BU1363" s="10"/>
      <c r="BV1363" s="10"/>
      <c r="BW1363" s="10"/>
      <c r="BX1363" s="10"/>
      <c r="BY1363" s="23"/>
      <c r="BZ1363" s="23"/>
      <c r="CA1363" s="23"/>
      <c r="CB1363" s="23"/>
      <c r="CC1363" s="23"/>
      <c r="CD1363" s="23"/>
      <c r="CE1363" s="23"/>
      <c r="CF1363" s="23"/>
      <c r="CG1363" s="23"/>
      <c r="CH1363" s="23"/>
      <c r="CI1363" s="23"/>
    </row>
    <row r="1364" spans="1:87" x14ac:dyDescent="0.3">
      <c r="A1364" s="9" t="s">
        <v>10794</v>
      </c>
      <c r="B1364" s="10" t="s">
        <v>10795</v>
      </c>
      <c r="C1364" s="11">
        <v>46061</v>
      </c>
      <c r="D1364" s="12">
        <v>8.3333333333333329E-2</v>
      </c>
      <c r="E1364" s="11">
        <v>46061.083333333336</v>
      </c>
      <c r="F1364" s="10" t="s">
        <v>3211</v>
      </c>
      <c r="G1364" s="13" t="b">
        <v>0</v>
      </c>
      <c r="H1364" s="10" t="s">
        <v>3212</v>
      </c>
      <c r="I1364" s="10" t="s">
        <v>3213</v>
      </c>
      <c r="J1364" s="13" t="b">
        <v>0</v>
      </c>
      <c r="K1364" s="13" t="b">
        <v>1</v>
      </c>
      <c r="L1364" s="10" t="s">
        <v>124</v>
      </c>
      <c r="M1364" s="10" t="s">
        <v>91</v>
      </c>
      <c r="N1364" s="10" t="s">
        <v>92</v>
      </c>
      <c r="O1364" s="10"/>
      <c r="P1364" s="10"/>
      <c r="Q1364" s="10" t="s">
        <v>94</v>
      </c>
      <c r="R1364" s="10"/>
      <c r="S1364" s="10"/>
      <c r="T1364" s="10"/>
      <c r="U1364" s="10" t="s">
        <v>3240</v>
      </c>
      <c r="V1364" s="10" t="s">
        <v>3279</v>
      </c>
      <c r="W1364" s="10" t="s">
        <v>3219</v>
      </c>
      <c r="X1364" s="10" t="s">
        <v>130</v>
      </c>
      <c r="Y1364" s="10" t="s">
        <v>130</v>
      </c>
      <c r="Z1364" s="10" t="s">
        <v>99</v>
      </c>
      <c r="AA1364" s="10" t="s">
        <v>131</v>
      </c>
      <c r="AB1364" s="10" t="s">
        <v>3220</v>
      </c>
      <c r="AC1364" s="10" t="s">
        <v>3221</v>
      </c>
      <c r="AD1364" s="10" t="s">
        <v>10796</v>
      </c>
      <c r="AE1364" s="10" t="s">
        <v>10797</v>
      </c>
      <c r="AF1364" s="15"/>
      <c r="AG1364" s="10"/>
      <c r="AH1364" s="10"/>
      <c r="AI1364" s="10"/>
      <c r="AJ1364" s="10"/>
      <c r="AK1364" s="10"/>
      <c r="AL1364" s="10" t="s">
        <v>2596</v>
      </c>
      <c r="AM1364" s="10"/>
      <c r="AN1364" s="10"/>
      <c r="AO1364" s="13" t="b">
        <v>0</v>
      </c>
      <c r="AP1364" s="10" t="s">
        <v>104</v>
      </c>
      <c r="AQ1364" s="10"/>
      <c r="AR1364" s="17"/>
      <c r="AS1364" s="17"/>
      <c r="AT1364" s="17"/>
      <c r="AU1364" s="17"/>
      <c r="AV1364" s="17"/>
      <c r="AW1364" s="10"/>
      <c r="AX1364" s="17"/>
      <c r="AY1364" s="18" t="s">
        <v>257</v>
      </c>
      <c r="AZ1364" s="10"/>
      <c r="BA1364" s="20" t="b">
        <v>0</v>
      </c>
      <c r="BB1364" s="10"/>
      <c r="BC1364" s="17" t="s">
        <v>257</v>
      </c>
      <c r="BD1364" s="17" t="s">
        <v>257</v>
      </c>
      <c r="BE1364" s="17" t="s">
        <v>257</v>
      </c>
      <c r="BF1364" s="17" t="s">
        <v>257</v>
      </c>
      <c r="BG1364" s="11">
        <f ca="1">IFERROR(__xludf.DUMMYFUNCTION("""COMPUTED_VALUE"""),46061)</f>
        <v>46061</v>
      </c>
      <c r="BH1364" s="17"/>
      <c r="BI1364" s="17"/>
      <c r="BJ1364" s="15"/>
      <c r="BK1364" s="15"/>
      <c r="BL1364" s="13" t="b">
        <v>0</v>
      </c>
      <c r="BM1364" s="10"/>
      <c r="BN1364" s="10" t="s">
        <v>241</v>
      </c>
      <c r="BO1364" s="11">
        <v>45904.28460648148</v>
      </c>
      <c r="BP1364" s="11">
        <v>46007.626770833333</v>
      </c>
      <c r="BQ1364" s="15"/>
      <c r="BR1364" s="15"/>
      <c r="BS1364" s="10"/>
      <c r="BT1364" s="10"/>
      <c r="BU1364" s="10"/>
      <c r="BV1364" s="10"/>
      <c r="BW1364" s="10"/>
      <c r="BX1364" s="10"/>
      <c r="BY1364" s="23"/>
      <c r="BZ1364" s="23"/>
      <c r="CA1364" s="23"/>
      <c r="CB1364" s="23"/>
      <c r="CC1364" s="23"/>
      <c r="CD1364" s="23"/>
      <c r="CE1364" s="23"/>
      <c r="CF1364" s="23"/>
      <c r="CG1364" s="23"/>
      <c r="CH1364" s="23"/>
      <c r="CI1364" s="23"/>
    </row>
    <row r="1365" spans="1:87" x14ac:dyDescent="0.3">
      <c r="A1365" s="9" t="s">
        <v>10798</v>
      </c>
      <c r="B1365" s="10" t="s">
        <v>10799</v>
      </c>
      <c r="C1365" s="11">
        <v>46061</v>
      </c>
      <c r="D1365" s="12">
        <v>8.3333333333333329E-2</v>
      </c>
      <c r="E1365" s="11">
        <v>46061.083333333336</v>
      </c>
      <c r="F1365" s="10" t="s">
        <v>3211</v>
      </c>
      <c r="G1365" s="13" t="b">
        <v>0</v>
      </c>
      <c r="H1365" s="10" t="s">
        <v>3212</v>
      </c>
      <c r="I1365" s="10" t="s">
        <v>3213</v>
      </c>
      <c r="J1365" s="13" t="b">
        <v>0</v>
      </c>
      <c r="K1365" s="13" t="b">
        <v>1</v>
      </c>
      <c r="L1365" s="10" t="s">
        <v>124</v>
      </c>
      <c r="M1365" s="10" t="s">
        <v>91</v>
      </c>
      <c r="N1365" s="10" t="s">
        <v>92</v>
      </c>
      <c r="O1365" s="10"/>
      <c r="P1365" s="10"/>
      <c r="Q1365" s="10" t="s">
        <v>126</v>
      </c>
      <c r="R1365" s="10"/>
      <c r="S1365" s="10"/>
      <c r="T1365" s="10"/>
      <c r="U1365" s="10" t="s">
        <v>3217</v>
      </c>
      <c r="V1365" s="10" t="s">
        <v>3318</v>
      </c>
      <c r="W1365" s="10" t="s">
        <v>3219</v>
      </c>
      <c r="X1365" s="10" t="s">
        <v>130</v>
      </c>
      <c r="Y1365" s="10" t="s">
        <v>130</v>
      </c>
      <c r="Z1365" s="10" t="s">
        <v>99</v>
      </c>
      <c r="AA1365" s="10" t="s">
        <v>131</v>
      </c>
      <c r="AB1365" s="10" t="s">
        <v>3220</v>
      </c>
      <c r="AC1365" s="10" t="s">
        <v>3221</v>
      </c>
      <c r="AD1365" s="10" t="s">
        <v>10800</v>
      </c>
      <c r="AE1365" s="10" t="s">
        <v>10801</v>
      </c>
      <c r="AF1365" s="15"/>
      <c r="AG1365" s="10"/>
      <c r="AH1365" s="10"/>
      <c r="AI1365" s="10"/>
      <c r="AJ1365" s="10"/>
      <c r="AK1365" s="10"/>
      <c r="AL1365" s="10" t="s">
        <v>2596</v>
      </c>
      <c r="AM1365" s="10"/>
      <c r="AN1365" s="10"/>
      <c r="AO1365" s="13" t="b">
        <v>1</v>
      </c>
      <c r="AP1365" s="10" t="s">
        <v>104</v>
      </c>
      <c r="AQ1365" s="10"/>
      <c r="AR1365" s="17"/>
      <c r="AS1365" s="17"/>
      <c r="AT1365" s="17"/>
      <c r="AU1365" s="17"/>
      <c r="AV1365" s="17"/>
      <c r="AW1365" s="10"/>
      <c r="AX1365" s="17"/>
      <c r="AY1365" s="18" t="s">
        <v>257</v>
      </c>
      <c r="AZ1365" s="10"/>
      <c r="BA1365" s="20" t="b">
        <v>0</v>
      </c>
      <c r="BB1365" s="10"/>
      <c r="BC1365" s="17" t="s">
        <v>257</v>
      </c>
      <c r="BD1365" s="17" t="s">
        <v>257</v>
      </c>
      <c r="BE1365" s="17" t="s">
        <v>257</v>
      </c>
      <c r="BF1365" s="17" t="s">
        <v>257</v>
      </c>
      <c r="BG1365" s="11">
        <f ca="1">IFERROR(__xludf.DUMMYFUNCTION("""COMPUTED_VALUE"""),46061)</f>
        <v>46061</v>
      </c>
      <c r="BH1365" s="17"/>
      <c r="BI1365" s="17"/>
      <c r="BJ1365" s="15"/>
      <c r="BK1365" s="15"/>
      <c r="BL1365" s="13" t="b">
        <v>0</v>
      </c>
      <c r="BM1365" s="10"/>
      <c r="BN1365" s="10" t="s">
        <v>10749</v>
      </c>
      <c r="BO1365" s="11">
        <v>45904.28460648148</v>
      </c>
      <c r="BP1365" s="11">
        <v>46007.626886574071</v>
      </c>
      <c r="BQ1365" s="15"/>
      <c r="BR1365" s="15"/>
      <c r="BS1365" s="10"/>
      <c r="BT1365" s="10" t="s">
        <v>99</v>
      </c>
      <c r="BU1365" s="10"/>
      <c r="BV1365" s="10"/>
      <c r="BW1365" s="10"/>
      <c r="BX1365" s="10"/>
      <c r="BY1365" s="23"/>
      <c r="BZ1365" s="23"/>
      <c r="CA1365" s="23"/>
      <c r="CB1365" s="23"/>
      <c r="CC1365" s="23"/>
      <c r="CD1365" s="23"/>
      <c r="CE1365" s="23"/>
      <c r="CF1365" s="23"/>
      <c r="CG1365" s="23"/>
      <c r="CH1365" s="23"/>
      <c r="CI1365" s="23"/>
    </row>
    <row r="1366" spans="1:87" x14ac:dyDescent="0.3">
      <c r="A1366" s="9" t="s">
        <v>10802</v>
      </c>
      <c r="B1366" s="10" t="s">
        <v>10803</v>
      </c>
      <c r="C1366" s="11">
        <v>46061</v>
      </c>
      <c r="D1366" s="12">
        <v>8.3333333333333329E-2</v>
      </c>
      <c r="E1366" s="11">
        <v>46061.083333333336</v>
      </c>
      <c r="F1366" s="10" t="s">
        <v>3211</v>
      </c>
      <c r="G1366" s="13" t="b">
        <v>0</v>
      </c>
      <c r="H1366" s="10" t="s">
        <v>3212</v>
      </c>
      <c r="I1366" s="10" t="s">
        <v>3213</v>
      </c>
      <c r="J1366" s="13" t="b">
        <v>0</v>
      </c>
      <c r="K1366" s="13" t="b">
        <v>1</v>
      </c>
      <c r="L1366" s="10" t="s">
        <v>124</v>
      </c>
      <c r="M1366" s="10" t="s">
        <v>91</v>
      </c>
      <c r="N1366" s="10" t="s">
        <v>92</v>
      </c>
      <c r="O1366" s="10"/>
      <c r="P1366" s="10"/>
      <c r="Q1366" s="10" t="s">
        <v>126</v>
      </c>
      <c r="R1366" s="10"/>
      <c r="S1366" s="10"/>
      <c r="T1366" s="10"/>
      <c r="U1366" s="10" t="s">
        <v>3259</v>
      </c>
      <c r="V1366" s="10" t="s">
        <v>3250</v>
      </c>
      <c r="W1366" s="10" t="s">
        <v>3219</v>
      </c>
      <c r="X1366" s="10" t="s">
        <v>130</v>
      </c>
      <c r="Y1366" s="10" t="s">
        <v>130</v>
      </c>
      <c r="Z1366" s="10" t="s">
        <v>99</v>
      </c>
      <c r="AA1366" s="10" t="s">
        <v>131</v>
      </c>
      <c r="AB1366" s="10" t="s">
        <v>3220</v>
      </c>
      <c r="AC1366" s="10" t="s">
        <v>3221</v>
      </c>
      <c r="AD1366" s="10" t="s">
        <v>10804</v>
      </c>
      <c r="AE1366" s="10" t="s">
        <v>10805</v>
      </c>
      <c r="AF1366" s="15"/>
      <c r="AG1366" s="10"/>
      <c r="AH1366" s="10"/>
      <c r="AI1366" s="10"/>
      <c r="AJ1366" s="10"/>
      <c r="AK1366" s="10"/>
      <c r="AL1366" s="10" t="s">
        <v>2596</v>
      </c>
      <c r="AM1366" s="10"/>
      <c r="AN1366" s="10"/>
      <c r="AO1366" s="13" t="b">
        <v>1</v>
      </c>
      <c r="AP1366" s="10" t="s">
        <v>104</v>
      </c>
      <c r="AQ1366" s="10"/>
      <c r="AR1366" s="17"/>
      <c r="AS1366" s="17"/>
      <c r="AT1366" s="17"/>
      <c r="AU1366" s="17"/>
      <c r="AV1366" s="17"/>
      <c r="AW1366" s="10"/>
      <c r="AX1366" s="17"/>
      <c r="AY1366" s="18" t="s">
        <v>257</v>
      </c>
      <c r="AZ1366" s="10"/>
      <c r="BA1366" s="20" t="b">
        <v>0</v>
      </c>
      <c r="BB1366" s="10"/>
      <c r="BC1366" s="17" t="s">
        <v>257</v>
      </c>
      <c r="BD1366" s="17" t="s">
        <v>257</v>
      </c>
      <c r="BE1366" s="17" t="s">
        <v>257</v>
      </c>
      <c r="BF1366" s="17" t="s">
        <v>257</v>
      </c>
      <c r="BG1366" s="11">
        <f ca="1">IFERROR(__xludf.DUMMYFUNCTION("""COMPUTED_VALUE"""),46061)</f>
        <v>46061</v>
      </c>
      <c r="BH1366" s="17"/>
      <c r="BI1366" s="17"/>
      <c r="BJ1366" s="15"/>
      <c r="BK1366" s="15"/>
      <c r="BL1366" s="13" t="b">
        <v>0</v>
      </c>
      <c r="BM1366" s="10"/>
      <c r="BN1366" s="10" t="s">
        <v>10749</v>
      </c>
      <c r="BO1366" s="11">
        <v>45904.28460648148</v>
      </c>
      <c r="BP1366" s="11">
        <v>46007.627060185187</v>
      </c>
      <c r="BQ1366" s="15"/>
      <c r="BR1366" s="15"/>
      <c r="BS1366" s="10"/>
      <c r="BT1366" s="10" t="s">
        <v>99</v>
      </c>
      <c r="BU1366" s="10"/>
      <c r="BV1366" s="10"/>
      <c r="BW1366" s="10"/>
      <c r="BX1366" s="10"/>
      <c r="BY1366" s="23"/>
      <c r="BZ1366" s="23"/>
      <c r="CA1366" s="23"/>
      <c r="CB1366" s="23"/>
      <c r="CC1366" s="23"/>
      <c r="CD1366" s="23"/>
      <c r="CE1366" s="23"/>
      <c r="CF1366" s="23"/>
      <c r="CG1366" s="23"/>
      <c r="CH1366" s="23"/>
      <c r="CI1366" s="23"/>
    </row>
    <row r="1367" spans="1:87" x14ac:dyDescent="0.3">
      <c r="A1367" s="9" t="s">
        <v>10806</v>
      </c>
      <c r="B1367" s="10" t="s">
        <v>10807</v>
      </c>
      <c r="C1367" s="11">
        <v>46061</v>
      </c>
      <c r="D1367" s="12">
        <v>8.3333333333333329E-2</v>
      </c>
      <c r="E1367" s="11">
        <v>46061.083333333336</v>
      </c>
      <c r="F1367" s="10" t="s">
        <v>3211</v>
      </c>
      <c r="G1367" s="13" t="b">
        <v>0</v>
      </c>
      <c r="H1367" s="10" t="s">
        <v>3212</v>
      </c>
      <c r="I1367" s="10" t="s">
        <v>3213</v>
      </c>
      <c r="J1367" s="13" t="b">
        <v>0</v>
      </c>
      <c r="K1367" s="13" t="b">
        <v>1</v>
      </c>
      <c r="L1367" s="10" t="s">
        <v>124</v>
      </c>
      <c r="M1367" s="10" t="s">
        <v>91</v>
      </c>
      <c r="N1367" s="10" t="s">
        <v>92</v>
      </c>
      <c r="O1367" s="10"/>
      <c r="P1367" s="10"/>
      <c r="Q1367" s="10" t="s">
        <v>94</v>
      </c>
      <c r="R1367" s="10"/>
      <c r="S1367" s="10"/>
      <c r="T1367" s="10"/>
      <c r="U1367" s="10" t="s">
        <v>3218</v>
      </c>
      <c r="V1367" s="10" t="s">
        <v>3269</v>
      </c>
      <c r="W1367" s="10" t="s">
        <v>3219</v>
      </c>
      <c r="X1367" s="10" t="s">
        <v>130</v>
      </c>
      <c r="Y1367" s="10" t="s">
        <v>130</v>
      </c>
      <c r="Z1367" s="10" t="s">
        <v>99</v>
      </c>
      <c r="AA1367" s="10" t="s">
        <v>131</v>
      </c>
      <c r="AB1367" s="10" t="s">
        <v>3220</v>
      </c>
      <c r="AC1367" s="10" t="s">
        <v>3221</v>
      </c>
      <c r="AD1367" s="10" t="s">
        <v>10808</v>
      </c>
      <c r="AE1367" s="10" t="s">
        <v>10809</v>
      </c>
      <c r="AF1367" s="15"/>
      <c r="AG1367" s="10"/>
      <c r="AH1367" s="10"/>
      <c r="AI1367" s="10"/>
      <c r="AJ1367" s="10"/>
      <c r="AK1367" s="10"/>
      <c r="AL1367" s="10" t="s">
        <v>2596</v>
      </c>
      <c r="AM1367" s="10"/>
      <c r="AN1367" s="10"/>
      <c r="AO1367" s="13" t="b">
        <v>0</v>
      </c>
      <c r="AP1367" s="10" t="s">
        <v>104</v>
      </c>
      <c r="AQ1367" s="10"/>
      <c r="AR1367" s="17"/>
      <c r="AS1367" s="17"/>
      <c r="AT1367" s="17"/>
      <c r="AU1367" s="17"/>
      <c r="AV1367" s="17"/>
      <c r="AW1367" s="10"/>
      <c r="AX1367" s="17"/>
      <c r="AY1367" s="18" t="s">
        <v>257</v>
      </c>
      <c r="AZ1367" s="10"/>
      <c r="BA1367" s="20" t="b">
        <v>0</v>
      </c>
      <c r="BB1367" s="10"/>
      <c r="BC1367" s="17" t="s">
        <v>257</v>
      </c>
      <c r="BD1367" s="17" t="s">
        <v>257</v>
      </c>
      <c r="BE1367" s="17" t="s">
        <v>257</v>
      </c>
      <c r="BF1367" s="17" t="s">
        <v>257</v>
      </c>
      <c r="BG1367" s="11">
        <f ca="1">IFERROR(__xludf.DUMMYFUNCTION("""COMPUTED_VALUE"""),46061)</f>
        <v>46061</v>
      </c>
      <c r="BH1367" s="17"/>
      <c r="BI1367" s="17"/>
      <c r="BJ1367" s="15"/>
      <c r="BK1367" s="15"/>
      <c r="BL1367" s="13" t="b">
        <v>0</v>
      </c>
      <c r="BM1367" s="10"/>
      <c r="BN1367" s="10" t="s">
        <v>241</v>
      </c>
      <c r="BO1367" s="11">
        <v>45904.28460648148</v>
      </c>
      <c r="BP1367" s="11">
        <v>46007.627152777779</v>
      </c>
      <c r="BQ1367" s="15"/>
      <c r="BR1367" s="15"/>
      <c r="BS1367" s="10"/>
      <c r="BT1367" s="10"/>
      <c r="BU1367" s="10"/>
      <c r="BV1367" s="10"/>
      <c r="BW1367" s="10"/>
      <c r="BX1367" s="10"/>
      <c r="BY1367" s="23"/>
      <c r="BZ1367" s="23"/>
      <c r="CA1367" s="23"/>
      <c r="CB1367" s="23"/>
      <c r="CC1367" s="23"/>
      <c r="CD1367" s="23"/>
      <c r="CE1367" s="23"/>
      <c r="CF1367" s="23"/>
      <c r="CG1367" s="23"/>
      <c r="CH1367" s="23"/>
      <c r="CI1367" s="23"/>
    </row>
    <row r="1368" spans="1:87" x14ac:dyDescent="0.3">
      <c r="A1368" s="9" t="s">
        <v>10810</v>
      </c>
      <c r="B1368" s="10" t="s">
        <v>10811</v>
      </c>
      <c r="C1368" s="11">
        <v>46061</v>
      </c>
      <c r="D1368" s="12">
        <v>8.3333333333333329E-2</v>
      </c>
      <c r="E1368" s="11">
        <v>46061.083333333336</v>
      </c>
      <c r="F1368" s="10" t="s">
        <v>3211</v>
      </c>
      <c r="G1368" s="13" t="b">
        <v>0</v>
      </c>
      <c r="H1368" s="10" t="s">
        <v>3212</v>
      </c>
      <c r="I1368" s="10" t="s">
        <v>3213</v>
      </c>
      <c r="J1368" s="13" t="b">
        <v>0</v>
      </c>
      <c r="K1368" s="13" t="b">
        <v>1</v>
      </c>
      <c r="L1368" s="10" t="s">
        <v>124</v>
      </c>
      <c r="M1368" s="10" t="s">
        <v>91</v>
      </c>
      <c r="N1368" s="10" t="s">
        <v>92</v>
      </c>
      <c r="O1368" s="10"/>
      <c r="P1368" s="10"/>
      <c r="Q1368" s="10" t="s">
        <v>126</v>
      </c>
      <c r="R1368" s="10"/>
      <c r="S1368" s="10"/>
      <c r="T1368" s="10"/>
      <c r="U1368" s="10" t="s">
        <v>3289</v>
      </c>
      <c r="V1368" s="10" t="s">
        <v>3249</v>
      </c>
      <c r="W1368" s="10" t="s">
        <v>3219</v>
      </c>
      <c r="X1368" s="10" t="s">
        <v>130</v>
      </c>
      <c r="Y1368" s="10" t="s">
        <v>130</v>
      </c>
      <c r="Z1368" s="10" t="s">
        <v>99</v>
      </c>
      <c r="AA1368" s="10" t="s">
        <v>131</v>
      </c>
      <c r="AB1368" s="10" t="s">
        <v>3220</v>
      </c>
      <c r="AC1368" s="10" t="s">
        <v>3221</v>
      </c>
      <c r="AD1368" s="10" t="s">
        <v>10812</v>
      </c>
      <c r="AE1368" s="10" t="s">
        <v>10813</v>
      </c>
      <c r="AF1368" s="15"/>
      <c r="AG1368" s="10"/>
      <c r="AH1368" s="10"/>
      <c r="AI1368" s="10"/>
      <c r="AJ1368" s="10"/>
      <c r="AK1368" s="10"/>
      <c r="AL1368" s="10" t="s">
        <v>2596</v>
      </c>
      <c r="AM1368" s="10"/>
      <c r="AN1368" s="10"/>
      <c r="AO1368" s="13" t="b">
        <v>1</v>
      </c>
      <c r="AP1368" s="10" t="s">
        <v>104</v>
      </c>
      <c r="AQ1368" s="10"/>
      <c r="AR1368" s="17"/>
      <c r="AS1368" s="17"/>
      <c r="AT1368" s="17"/>
      <c r="AU1368" s="17"/>
      <c r="AV1368" s="17"/>
      <c r="AW1368" s="10"/>
      <c r="AX1368" s="17"/>
      <c r="AY1368" s="18" t="s">
        <v>257</v>
      </c>
      <c r="AZ1368" s="10"/>
      <c r="BA1368" s="20" t="b">
        <v>0</v>
      </c>
      <c r="BB1368" s="10"/>
      <c r="BC1368" s="17" t="s">
        <v>257</v>
      </c>
      <c r="BD1368" s="17" t="s">
        <v>257</v>
      </c>
      <c r="BE1368" s="17" t="s">
        <v>257</v>
      </c>
      <c r="BF1368" s="17" t="s">
        <v>257</v>
      </c>
      <c r="BG1368" s="11">
        <f ca="1">IFERROR(__xludf.DUMMYFUNCTION("""COMPUTED_VALUE"""),46061)</f>
        <v>46061</v>
      </c>
      <c r="BH1368" s="17"/>
      <c r="BI1368" s="17"/>
      <c r="BJ1368" s="15"/>
      <c r="BK1368" s="15"/>
      <c r="BL1368" s="13" t="b">
        <v>0</v>
      </c>
      <c r="BM1368" s="10"/>
      <c r="BN1368" s="10" t="s">
        <v>10749</v>
      </c>
      <c r="BO1368" s="11">
        <v>45904.28460648148</v>
      </c>
      <c r="BP1368" s="11">
        <v>46007.627256944441</v>
      </c>
      <c r="BQ1368" s="15"/>
      <c r="BR1368" s="15"/>
      <c r="BS1368" s="10"/>
      <c r="BT1368" s="10" t="s">
        <v>99</v>
      </c>
      <c r="BU1368" s="10"/>
      <c r="BV1368" s="10"/>
      <c r="BW1368" s="10"/>
      <c r="BX1368" s="10"/>
      <c r="BY1368" s="23"/>
      <c r="BZ1368" s="23"/>
      <c r="CA1368" s="23"/>
      <c r="CB1368" s="23"/>
      <c r="CC1368" s="23"/>
      <c r="CD1368" s="23"/>
      <c r="CE1368" s="23"/>
      <c r="CF1368" s="23"/>
      <c r="CG1368" s="23"/>
      <c r="CH1368" s="23"/>
      <c r="CI1368" s="23"/>
    </row>
    <row r="1369" spans="1:87" x14ac:dyDescent="0.3">
      <c r="A1369" s="9" t="s">
        <v>10814</v>
      </c>
      <c r="B1369" s="10" t="s">
        <v>10815</v>
      </c>
      <c r="C1369" s="11">
        <v>46061</v>
      </c>
      <c r="D1369" s="12">
        <v>8.3333333333333329E-2</v>
      </c>
      <c r="E1369" s="11">
        <v>46061.083333333336</v>
      </c>
      <c r="F1369" s="10" t="s">
        <v>3211</v>
      </c>
      <c r="G1369" s="13" t="b">
        <v>0</v>
      </c>
      <c r="H1369" s="10" t="s">
        <v>3212</v>
      </c>
      <c r="I1369" s="10" t="s">
        <v>3213</v>
      </c>
      <c r="J1369" s="13" t="b">
        <v>0</v>
      </c>
      <c r="K1369" s="13" t="b">
        <v>1</v>
      </c>
      <c r="L1369" s="10" t="s">
        <v>124</v>
      </c>
      <c r="M1369" s="10" t="s">
        <v>91</v>
      </c>
      <c r="N1369" s="10" t="s">
        <v>92</v>
      </c>
      <c r="O1369" s="10"/>
      <c r="P1369" s="10"/>
      <c r="Q1369" s="10" t="s">
        <v>126</v>
      </c>
      <c r="R1369" s="10"/>
      <c r="S1369" s="10"/>
      <c r="T1369" s="10"/>
      <c r="U1369" s="10" t="s">
        <v>3229</v>
      </c>
      <c r="V1369" s="10" t="s">
        <v>3239</v>
      </c>
      <c r="W1369" s="10" t="s">
        <v>3219</v>
      </c>
      <c r="X1369" s="10" t="s">
        <v>130</v>
      </c>
      <c r="Y1369" s="10" t="s">
        <v>130</v>
      </c>
      <c r="Z1369" s="10" t="s">
        <v>99</v>
      </c>
      <c r="AA1369" s="10" t="s">
        <v>131</v>
      </c>
      <c r="AB1369" s="10" t="s">
        <v>3220</v>
      </c>
      <c r="AC1369" s="10" t="s">
        <v>3221</v>
      </c>
      <c r="AD1369" s="10" t="s">
        <v>10816</v>
      </c>
      <c r="AE1369" s="10" t="s">
        <v>10817</v>
      </c>
      <c r="AF1369" s="15"/>
      <c r="AG1369" s="10"/>
      <c r="AH1369" s="10"/>
      <c r="AI1369" s="10"/>
      <c r="AJ1369" s="10"/>
      <c r="AK1369" s="10"/>
      <c r="AL1369" s="10" t="s">
        <v>2596</v>
      </c>
      <c r="AM1369" s="10"/>
      <c r="AN1369" s="10"/>
      <c r="AO1369" s="13" t="b">
        <v>1</v>
      </c>
      <c r="AP1369" s="10" t="s">
        <v>104</v>
      </c>
      <c r="AQ1369" s="10"/>
      <c r="AR1369" s="17"/>
      <c r="AS1369" s="17"/>
      <c r="AT1369" s="17"/>
      <c r="AU1369" s="17"/>
      <c r="AV1369" s="17"/>
      <c r="AW1369" s="10"/>
      <c r="AX1369" s="17"/>
      <c r="AY1369" s="18" t="s">
        <v>257</v>
      </c>
      <c r="AZ1369" s="10"/>
      <c r="BA1369" s="20" t="b">
        <v>0</v>
      </c>
      <c r="BB1369" s="10"/>
      <c r="BC1369" s="17" t="s">
        <v>257</v>
      </c>
      <c r="BD1369" s="17" t="s">
        <v>257</v>
      </c>
      <c r="BE1369" s="17" t="s">
        <v>257</v>
      </c>
      <c r="BF1369" s="17" t="s">
        <v>257</v>
      </c>
      <c r="BG1369" s="11">
        <f ca="1">IFERROR(__xludf.DUMMYFUNCTION("""COMPUTED_VALUE"""),46061)</f>
        <v>46061</v>
      </c>
      <c r="BH1369" s="17"/>
      <c r="BI1369" s="17"/>
      <c r="BJ1369" s="15"/>
      <c r="BK1369" s="15"/>
      <c r="BL1369" s="13" t="b">
        <v>0</v>
      </c>
      <c r="BM1369" s="10"/>
      <c r="BN1369" s="10" t="s">
        <v>10749</v>
      </c>
      <c r="BO1369" s="11">
        <v>45904.28460648148</v>
      </c>
      <c r="BP1369" s="11">
        <v>46007.627395833333</v>
      </c>
      <c r="BQ1369" s="15"/>
      <c r="BR1369" s="15"/>
      <c r="BS1369" s="10"/>
      <c r="BT1369" s="10" t="s">
        <v>99</v>
      </c>
      <c r="BU1369" s="10"/>
      <c r="BV1369" s="10"/>
      <c r="BW1369" s="10"/>
      <c r="BX1369" s="10"/>
      <c r="BY1369" s="23"/>
      <c r="BZ1369" s="23"/>
      <c r="CA1369" s="23"/>
      <c r="CB1369" s="23"/>
      <c r="CC1369" s="23"/>
      <c r="CD1369" s="23"/>
      <c r="CE1369" s="23"/>
      <c r="CF1369" s="23"/>
      <c r="CG1369" s="23"/>
      <c r="CH1369" s="23"/>
      <c r="CI1369" s="23"/>
    </row>
    <row r="1370" spans="1:87" x14ac:dyDescent="0.3">
      <c r="A1370" s="9" t="s">
        <v>10818</v>
      </c>
      <c r="B1370" s="10" t="s">
        <v>10819</v>
      </c>
      <c r="C1370" s="11">
        <v>46061</v>
      </c>
      <c r="D1370" s="12">
        <v>8.3333333333333329E-2</v>
      </c>
      <c r="E1370" s="11">
        <v>46061.083333333336</v>
      </c>
      <c r="F1370" s="10" t="s">
        <v>3211</v>
      </c>
      <c r="G1370" s="13" t="b">
        <v>0</v>
      </c>
      <c r="H1370" s="10" t="s">
        <v>3212</v>
      </c>
      <c r="I1370" s="10" t="s">
        <v>3213</v>
      </c>
      <c r="J1370" s="13" t="b">
        <v>0</v>
      </c>
      <c r="K1370" s="13" t="b">
        <v>1</v>
      </c>
      <c r="L1370" s="10" t="s">
        <v>124</v>
      </c>
      <c r="M1370" s="10" t="s">
        <v>91</v>
      </c>
      <c r="N1370" s="10" t="s">
        <v>92</v>
      </c>
      <c r="O1370" s="10"/>
      <c r="P1370" s="10"/>
      <c r="Q1370" s="10" t="s">
        <v>126</v>
      </c>
      <c r="R1370" s="10"/>
      <c r="S1370" s="10"/>
      <c r="T1370" s="10"/>
      <c r="U1370" s="10" t="s">
        <v>3429</v>
      </c>
      <c r="V1370" s="10" t="s">
        <v>3278</v>
      </c>
      <c r="W1370" s="10" t="s">
        <v>3219</v>
      </c>
      <c r="X1370" s="10" t="s">
        <v>130</v>
      </c>
      <c r="Y1370" s="10" t="s">
        <v>130</v>
      </c>
      <c r="Z1370" s="10" t="s">
        <v>99</v>
      </c>
      <c r="AA1370" s="10" t="s">
        <v>131</v>
      </c>
      <c r="AB1370" s="10" t="s">
        <v>3220</v>
      </c>
      <c r="AC1370" s="10" t="s">
        <v>3221</v>
      </c>
      <c r="AD1370" s="10" t="s">
        <v>10820</v>
      </c>
      <c r="AE1370" s="10" t="s">
        <v>10821</v>
      </c>
      <c r="AF1370" s="15"/>
      <c r="AG1370" s="10"/>
      <c r="AH1370" s="10"/>
      <c r="AI1370" s="10"/>
      <c r="AJ1370" s="10"/>
      <c r="AK1370" s="10"/>
      <c r="AL1370" s="10" t="s">
        <v>2596</v>
      </c>
      <c r="AM1370" s="10"/>
      <c r="AN1370" s="10"/>
      <c r="AO1370" s="13" t="b">
        <v>1</v>
      </c>
      <c r="AP1370" s="10" t="s">
        <v>104</v>
      </c>
      <c r="AQ1370" s="10"/>
      <c r="AR1370" s="17"/>
      <c r="AS1370" s="17"/>
      <c r="AT1370" s="17"/>
      <c r="AU1370" s="17"/>
      <c r="AV1370" s="17"/>
      <c r="AW1370" s="10"/>
      <c r="AX1370" s="17"/>
      <c r="AY1370" s="18" t="s">
        <v>257</v>
      </c>
      <c r="AZ1370" s="10"/>
      <c r="BA1370" s="20" t="b">
        <v>0</v>
      </c>
      <c r="BB1370" s="10"/>
      <c r="BC1370" s="17" t="s">
        <v>257</v>
      </c>
      <c r="BD1370" s="17" t="s">
        <v>257</v>
      </c>
      <c r="BE1370" s="17" t="s">
        <v>257</v>
      </c>
      <c r="BF1370" s="17" t="s">
        <v>257</v>
      </c>
      <c r="BG1370" s="11">
        <f ca="1">IFERROR(__xludf.DUMMYFUNCTION("""COMPUTED_VALUE"""),46061)</f>
        <v>46061</v>
      </c>
      <c r="BH1370" s="17"/>
      <c r="BI1370" s="17"/>
      <c r="BJ1370" s="15"/>
      <c r="BK1370" s="15"/>
      <c r="BL1370" s="13" t="b">
        <v>0</v>
      </c>
      <c r="BM1370" s="10"/>
      <c r="BN1370" s="10" t="s">
        <v>10749</v>
      </c>
      <c r="BO1370" s="11">
        <v>45904.28460648148</v>
      </c>
      <c r="BP1370" s="11">
        <v>46007.627523148149</v>
      </c>
      <c r="BQ1370" s="15"/>
      <c r="BR1370" s="15"/>
      <c r="BS1370" s="10"/>
      <c r="BT1370" s="10" t="s">
        <v>99</v>
      </c>
      <c r="BU1370" s="10"/>
      <c r="BV1370" s="10"/>
      <c r="BW1370" s="10"/>
      <c r="BX1370" s="10"/>
      <c r="BY1370" s="23"/>
      <c r="BZ1370" s="23"/>
      <c r="CA1370" s="23"/>
      <c r="CB1370" s="23"/>
      <c r="CC1370" s="23"/>
      <c r="CD1370" s="23"/>
      <c r="CE1370" s="23"/>
      <c r="CF1370" s="23"/>
      <c r="CG1370" s="23"/>
      <c r="CH1370" s="23"/>
      <c r="CI1370" s="23"/>
    </row>
    <row r="1371" spans="1:87" x14ac:dyDescent="0.3">
      <c r="A1371" s="9" t="s">
        <v>10822</v>
      </c>
      <c r="B1371" s="10" t="s">
        <v>10823</v>
      </c>
      <c r="C1371" s="11">
        <v>46061</v>
      </c>
      <c r="D1371" s="12">
        <v>8.3333333333333329E-2</v>
      </c>
      <c r="E1371" s="11">
        <v>46061.083333333336</v>
      </c>
      <c r="F1371" s="10" t="s">
        <v>3211</v>
      </c>
      <c r="G1371" s="13" t="b">
        <v>0</v>
      </c>
      <c r="H1371" s="10" t="s">
        <v>3212</v>
      </c>
      <c r="I1371" s="10" t="s">
        <v>3213</v>
      </c>
      <c r="J1371" s="13" t="b">
        <v>0</v>
      </c>
      <c r="K1371" s="13" t="b">
        <v>1</v>
      </c>
      <c r="L1371" s="10" t="s">
        <v>124</v>
      </c>
      <c r="M1371" s="10" t="s">
        <v>91</v>
      </c>
      <c r="N1371" s="10" t="s">
        <v>92</v>
      </c>
      <c r="O1371" s="10"/>
      <c r="P1371" s="10"/>
      <c r="Q1371" s="10" t="s">
        <v>94</v>
      </c>
      <c r="R1371" s="10"/>
      <c r="S1371" s="10"/>
      <c r="T1371" s="10"/>
      <c r="U1371" s="10" t="s">
        <v>3270</v>
      </c>
      <c r="V1371" s="10" t="s">
        <v>3451</v>
      </c>
      <c r="W1371" s="10" t="s">
        <v>3219</v>
      </c>
      <c r="X1371" s="10" t="s">
        <v>130</v>
      </c>
      <c r="Y1371" s="10" t="s">
        <v>130</v>
      </c>
      <c r="Z1371" s="10" t="s">
        <v>99</v>
      </c>
      <c r="AA1371" s="10" t="s">
        <v>131</v>
      </c>
      <c r="AB1371" s="10" t="s">
        <v>3220</v>
      </c>
      <c r="AC1371" s="10" t="s">
        <v>3221</v>
      </c>
      <c r="AD1371" s="10" t="s">
        <v>10824</v>
      </c>
      <c r="AE1371" s="10" t="s">
        <v>10825</v>
      </c>
      <c r="AF1371" s="15"/>
      <c r="AG1371" s="10"/>
      <c r="AH1371" s="10"/>
      <c r="AI1371" s="10"/>
      <c r="AJ1371" s="10"/>
      <c r="AK1371" s="10"/>
      <c r="AL1371" s="10" t="s">
        <v>2596</v>
      </c>
      <c r="AM1371" s="10"/>
      <c r="AN1371" s="10"/>
      <c r="AO1371" s="13" t="b">
        <v>0</v>
      </c>
      <c r="AP1371" s="10" t="s">
        <v>104</v>
      </c>
      <c r="AQ1371" s="10"/>
      <c r="AR1371" s="17"/>
      <c r="AS1371" s="17"/>
      <c r="AT1371" s="17"/>
      <c r="AU1371" s="17"/>
      <c r="AV1371" s="17"/>
      <c r="AW1371" s="10"/>
      <c r="AX1371" s="17"/>
      <c r="AY1371" s="18" t="s">
        <v>257</v>
      </c>
      <c r="AZ1371" s="10"/>
      <c r="BA1371" s="20" t="b">
        <v>0</v>
      </c>
      <c r="BB1371" s="10"/>
      <c r="BC1371" s="17" t="s">
        <v>257</v>
      </c>
      <c r="BD1371" s="17" t="s">
        <v>257</v>
      </c>
      <c r="BE1371" s="17" t="s">
        <v>257</v>
      </c>
      <c r="BF1371" s="17" t="s">
        <v>257</v>
      </c>
      <c r="BG1371" s="11">
        <f ca="1">IFERROR(__xludf.DUMMYFUNCTION("""COMPUTED_VALUE"""),46061)</f>
        <v>46061</v>
      </c>
      <c r="BH1371" s="17"/>
      <c r="BI1371" s="17"/>
      <c r="BJ1371" s="15"/>
      <c r="BK1371" s="15"/>
      <c r="BL1371" s="13" t="b">
        <v>0</v>
      </c>
      <c r="BM1371" s="10"/>
      <c r="BN1371" s="10" t="s">
        <v>241</v>
      </c>
      <c r="BO1371" s="11">
        <v>45904.28460648148</v>
      </c>
      <c r="BP1371" s="11">
        <v>46007.62771990741</v>
      </c>
      <c r="BQ1371" s="15"/>
      <c r="BR1371" s="15"/>
      <c r="BS1371" s="10"/>
      <c r="BT1371" s="10"/>
      <c r="BU1371" s="10"/>
      <c r="BV1371" s="10"/>
      <c r="BW1371" s="10"/>
      <c r="BX1371" s="10"/>
      <c r="BY1371" s="23"/>
      <c r="BZ1371" s="23"/>
      <c r="CA1371" s="23"/>
      <c r="CB1371" s="23"/>
      <c r="CC1371" s="23"/>
      <c r="CD1371" s="23"/>
      <c r="CE1371" s="23"/>
      <c r="CF1371" s="23"/>
      <c r="CG1371" s="23"/>
      <c r="CH1371" s="23"/>
      <c r="CI1371" s="23"/>
    </row>
    <row r="1372" spans="1:87" x14ac:dyDescent="0.3">
      <c r="A1372" s="9" t="s">
        <v>10826</v>
      </c>
      <c r="B1372" s="10" t="s">
        <v>10827</v>
      </c>
      <c r="C1372" s="11">
        <v>46068</v>
      </c>
      <c r="D1372" s="12">
        <v>8.3333333333333329E-2</v>
      </c>
      <c r="E1372" s="11">
        <v>46068.083333333336</v>
      </c>
      <c r="F1372" s="10" t="s">
        <v>3211</v>
      </c>
      <c r="G1372" s="13" t="b">
        <v>0</v>
      </c>
      <c r="H1372" s="10" t="s">
        <v>3212</v>
      </c>
      <c r="I1372" s="10" t="s">
        <v>3213</v>
      </c>
      <c r="J1372" s="13" t="b">
        <v>0</v>
      </c>
      <c r="K1372" s="13" t="b">
        <v>1</v>
      </c>
      <c r="L1372" s="10" t="s">
        <v>124</v>
      </c>
      <c r="M1372" s="10" t="s">
        <v>91</v>
      </c>
      <c r="N1372" s="10" t="s">
        <v>92</v>
      </c>
      <c r="O1372" s="10"/>
      <c r="P1372" s="10"/>
      <c r="Q1372" s="10" t="s">
        <v>94</v>
      </c>
      <c r="R1372" s="10"/>
      <c r="S1372" s="10"/>
      <c r="T1372" s="10"/>
      <c r="U1372" s="10" t="s">
        <v>3239</v>
      </c>
      <c r="V1372" s="10" t="s">
        <v>3218</v>
      </c>
      <c r="W1372" s="10" t="s">
        <v>3219</v>
      </c>
      <c r="X1372" s="10" t="s">
        <v>130</v>
      </c>
      <c r="Y1372" s="10" t="s">
        <v>130</v>
      </c>
      <c r="Z1372" s="10" t="s">
        <v>99</v>
      </c>
      <c r="AA1372" s="10" t="s">
        <v>131</v>
      </c>
      <c r="AB1372" s="10" t="s">
        <v>3220</v>
      </c>
      <c r="AC1372" s="10" t="s">
        <v>3221</v>
      </c>
      <c r="AD1372" s="10" t="s">
        <v>10828</v>
      </c>
      <c r="AE1372" s="10" t="s">
        <v>10829</v>
      </c>
      <c r="AF1372" s="15"/>
      <c r="AG1372" s="10"/>
      <c r="AH1372" s="10"/>
      <c r="AI1372" s="10"/>
      <c r="AJ1372" s="10"/>
      <c r="AK1372" s="10"/>
      <c r="AL1372" s="10" t="s">
        <v>2638</v>
      </c>
      <c r="AM1372" s="10"/>
      <c r="AN1372" s="10"/>
      <c r="AO1372" s="13" t="b">
        <v>0</v>
      </c>
      <c r="AP1372" s="10" t="s">
        <v>104</v>
      </c>
      <c r="AQ1372" s="10"/>
      <c r="AR1372" s="17"/>
      <c r="AS1372" s="17"/>
      <c r="AT1372" s="17"/>
      <c r="AU1372" s="17"/>
      <c r="AV1372" s="17"/>
      <c r="AW1372" s="10"/>
      <c r="AX1372" s="17"/>
      <c r="AY1372" s="18" t="s">
        <v>257</v>
      </c>
      <c r="AZ1372" s="10"/>
      <c r="BA1372" s="20" t="b">
        <v>0</v>
      </c>
      <c r="BB1372" s="10"/>
      <c r="BC1372" s="17" t="s">
        <v>257</v>
      </c>
      <c r="BD1372" s="17" t="s">
        <v>257</v>
      </c>
      <c r="BE1372" s="17" t="s">
        <v>257</v>
      </c>
      <c r="BF1372" s="17" t="s">
        <v>257</v>
      </c>
      <c r="BG1372" s="11">
        <f ca="1">IFERROR(__xludf.DUMMYFUNCTION("""COMPUTED_VALUE"""),46068)</f>
        <v>46068</v>
      </c>
      <c r="BH1372" s="17"/>
      <c r="BI1372" s="17"/>
      <c r="BJ1372" s="15"/>
      <c r="BK1372" s="15"/>
      <c r="BL1372" s="13" t="b">
        <v>0</v>
      </c>
      <c r="BM1372" s="10"/>
      <c r="BN1372" s="10" t="s">
        <v>241</v>
      </c>
      <c r="BO1372" s="11">
        <v>45904.28460648148</v>
      </c>
      <c r="BP1372" s="11">
        <v>46007.62877314815</v>
      </c>
      <c r="BQ1372" s="15"/>
      <c r="BR1372" s="15"/>
      <c r="BS1372" s="10"/>
      <c r="BT1372" s="10"/>
      <c r="BU1372" s="10"/>
      <c r="BV1372" s="10"/>
      <c r="BW1372" s="10"/>
      <c r="BX1372" s="10"/>
      <c r="BY1372" s="23"/>
      <c r="BZ1372" s="23"/>
      <c r="CA1372" s="23"/>
      <c r="CB1372" s="23"/>
      <c r="CC1372" s="23"/>
      <c r="CD1372" s="23"/>
      <c r="CE1372" s="23"/>
      <c r="CF1372" s="23"/>
      <c r="CG1372" s="23"/>
      <c r="CH1372" s="23"/>
      <c r="CI1372" s="23"/>
    </row>
    <row r="1373" spans="1:87" x14ac:dyDescent="0.3">
      <c r="A1373" s="9" t="s">
        <v>10830</v>
      </c>
      <c r="B1373" s="10" t="s">
        <v>10831</v>
      </c>
      <c r="C1373" s="11">
        <v>46068</v>
      </c>
      <c r="D1373" s="12">
        <v>8.3333333333333329E-2</v>
      </c>
      <c r="E1373" s="11">
        <v>46068.083333333336</v>
      </c>
      <c r="F1373" s="10" t="s">
        <v>3211</v>
      </c>
      <c r="G1373" s="13" t="b">
        <v>0</v>
      </c>
      <c r="H1373" s="10" t="s">
        <v>3212</v>
      </c>
      <c r="I1373" s="10" t="s">
        <v>3213</v>
      </c>
      <c r="J1373" s="13" t="b">
        <v>0</v>
      </c>
      <c r="K1373" s="13" t="b">
        <v>1</v>
      </c>
      <c r="L1373" s="10" t="s">
        <v>124</v>
      </c>
      <c r="M1373" s="10" t="s">
        <v>91</v>
      </c>
      <c r="N1373" s="10" t="s">
        <v>92</v>
      </c>
      <c r="O1373" s="10"/>
      <c r="P1373" s="10"/>
      <c r="Q1373" s="10" t="s">
        <v>126</v>
      </c>
      <c r="R1373" s="10"/>
      <c r="S1373" s="10"/>
      <c r="T1373" s="10"/>
      <c r="U1373" s="10" t="s">
        <v>3249</v>
      </c>
      <c r="V1373" s="10" t="s">
        <v>3240</v>
      </c>
      <c r="W1373" s="10" t="s">
        <v>3219</v>
      </c>
      <c r="X1373" s="10" t="s">
        <v>130</v>
      </c>
      <c r="Y1373" s="10" t="s">
        <v>130</v>
      </c>
      <c r="Z1373" s="10" t="s">
        <v>99</v>
      </c>
      <c r="AA1373" s="10" t="s">
        <v>131</v>
      </c>
      <c r="AB1373" s="10" t="s">
        <v>3220</v>
      </c>
      <c r="AC1373" s="10" t="s">
        <v>3221</v>
      </c>
      <c r="AD1373" s="10" t="s">
        <v>10832</v>
      </c>
      <c r="AE1373" s="10" t="s">
        <v>10833</v>
      </c>
      <c r="AF1373" s="15"/>
      <c r="AG1373" s="10"/>
      <c r="AH1373" s="10"/>
      <c r="AI1373" s="10"/>
      <c r="AJ1373" s="10"/>
      <c r="AK1373" s="10"/>
      <c r="AL1373" s="10" t="s">
        <v>2638</v>
      </c>
      <c r="AM1373" s="10"/>
      <c r="AN1373" s="10"/>
      <c r="AO1373" s="13" t="b">
        <v>0</v>
      </c>
      <c r="AP1373" s="10" t="s">
        <v>104</v>
      </c>
      <c r="AQ1373" s="10"/>
      <c r="AR1373" s="17"/>
      <c r="AS1373" s="17"/>
      <c r="AT1373" s="17"/>
      <c r="AU1373" s="17"/>
      <c r="AV1373" s="17"/>
      <c r="AW1373" s="10"/>
      <c r="AX1373" s="17"/>
      <c r="AY1373" s="18" t="s">
        <v>257</v>
      </c>
      <c r="AZ1373" s="10"/>
      <c r="BA1373" s="20" t="b">
        <v>0</v>
      </c>
      <c r="BB1373" s="10"/>
      <c r="BC1373" s="17" t="s">
        <v>257</v>
      </c>
      <c r="BD1373" s="17" t="s">
        <v>257</v>
      </c>
      <c r="BE1373" s="17" t="s">
        <v>257</v>
      </c>
      <c r="BF1373" s="17" t="s">
        <v>257</v>
      </c>
      <c r="BG1373" s="11">
        <f ca="1">IFERROR(__xludf.DUMMYFUNCTION("""COMPUTED_VALUE"""),46068)</f>
        <v>46068</v>
      </c>
      <c r="BH1373" s="17"/>
      <c r="BI1373" s="17"/>
      <c r="BJ1373" s="15"/>
      <c r="BK1373" s="15"/>
      <c r="BL1373" s="13" t="b">
        <v>0</v>
      </c>
      <c r="BM1373" s="10"/>
      <c r="BN1373" s="10" t="s">
        <v>241</v>
      </c>
      <c r="BO1373" s="11">
        <v>45904.28460648148</v>
      </c>
      <c r="BP1373" s="11">
        <v>46007.628854166665</v>
      </c>
      <c r="BQ1373" s="15"/>
      <c r="BR1373" s="15"/>
      <c r="BS1373" s="10"/>
      <c r="BT1373" s="10"/>
      <c r="BU1373" s="10"/>
      <c r="BV1373" s="10"/>
      <c r="BW1373" s="10"/>
      <c r="BX1373" s="10"/>
      <c r="BY1373" s="23"/>
      <c r="BZ1373" s="23"/>
      <c r="CA1373" s="23"/>
      <c r="CB1373" s="23"/>
      <c r="CC1373" s="23"/>
      <c r="CD1373" s="23"/>
      <c r="CE1373" s="23"/>
      <c r="CF1373" s="23"/>
      <c r="CG1373" s="23"/>
      <c r="CH1373" s="23"/>
      <c r="CI1373" s="23"/>
    </row>
    <row r="1374" spans="1:87" x14ac:dyDescent="0.3">
      <c r="A1374" s="9" t="s">
        <v>10834</v>
      </c>
      <c r="B1374" s="10" t="s">
        <v>10835</v>
      </c>
      <c r="C1374" s="11">
        <v>46068</v>
      </c>
      <c r="D1374" s="12">
        <v>8.3333333333333329E-2</v>
      </c>
      <c r="E1374" s="11">
        <v>46068.083333333336</v>
      </c>
      <c r="F1374" s="10" t="s">
        <v>3211</v>
      </c>
      <c r="G1374" s="13" t="b">
        <v>0</v>
      </c>
      <c r="H1374" s="10" t="s">
        <v>3212</v>
      </c>
      <c r="I1374" s="10" t="s">
        <v>3213</v>
      </c>
      <c r="J1374" s="13" t="b">
        <v>0</v>
      </c>
      <c r="K1374" s="13" t="b">
        <v>1</v>
      </c>
      <c r="L1374" s="10" t="s">
        <v>124</v>
      </c>
      <c r="M1374" s="10" t="s">
        <v>91</v>
      </c>
      <c r="N1374" s="10" t="s">
        <v>92</v>
      </c>
      <c r="O1374" s="10"/>
      <c r="P1374" s="10"/>
      <c r="Q1374" s="10" t="s">
        <v>126</v>
      </c>
      <c r="R1374" s="10"/>
      <c r="S1374" s="10"/>
      <c r="T1374" s="10"/>
      <c r="U1374" s="10" t="s">
        <v>3440</v>
      </c>
      <c r="V1374" s="10" t="s">
        <v>3217</v>
      </c>
      <c r="W1374" s="10" t="s">
        <v>3219</v>
      </c>
      <c r="X1374" s="10" t="s">
        <v>130</v>
      </c>
      <c r="Y1374" s="10" t="s">
        <v>130</v>
      </c>
      <c r="Z1374" s="10" t="s">
        <v>99</v>
      </c>
      <c r="AA1374" s="10" t="s">
        <v>131</v>
      </c>
      <c r="AB1374" s="10" t="s">
        <v>3220</v>
      </c>
      <c r="AC1374" s="10" t="s">
        <v>3221</v>
      </c>
      <c r="AD1374" s="10" t="s">
        <v>10836</v>
      </c>
      <c r="AE1374" s="10" t="s">
        <v>10837</v>
      </c>
      <c r="AF1374" s="15"/>
      <c r="AG1374" s="10"/>
      <c r="AH1374" s="10"/>
      <c r="AI1374" s="10"/>
      <c r="AJ1374" s="10"/>
      <c r="AK1374" s="10"/>
      <c r="AL1374" s="10" t="s">
        <v>2638</v>
      </c>
      <c r="AM1374" s="10"/>
      <c r="AN1374" s="10"/>
      <c r="AO1374" s="13" t="b">
        <v>1</v>
      </c>
      <c r="AP1374" s="10" t="s">
        <v>104</v>
      </c>
      <c r="AQ1374" s="10"/>
      <c r="AR1374" s="17"/>
      <c r="AS1374" s="17"/>
      <c r="AT1374" s="17"/>
      <c r="AU1374" s="17"/>
      <c r="AV1374" s="17"/>
      <c r="AW1374" s="10"/>
      <c r="AX1374" s="17"/>
      <c r="AY1374" s="18" t="s">
        <v>257</v>
      </c>
      <c r="AZ1374" s="10"/>
      <c r="BA1374" s="20" t="b">
        <v>0</v>
      </c>
      <c r="BB1374" s="10"/>
      <c r="BC1374" s="17" t="s">
        <v>257</v>
      </c>
      <c r="BD1374" s="17" t="s">
        <v>257</v>
      </c>
      <c r="BE1374" s="17" t="s">
        <v>257</v>
      </c>
      <c r="BF1374" s="17" t="s">
        <v>257</v>
      </c>
      <c r="BG1374" s="11">
        <f ca="1">IFERROR(__xludf.DUMMYFUNCTION("""COMPUTED_VALUE"""),46068)</f>
        <v>46068</v>
      </c>
      <c r="BH1374" s="17"/>
      <c r="BI1374" s="17"/>
      <c r="BJ1374" s="15"/>
      <c r="BK1374" s="15"/>
      <c r="BL1374" s="13" t="b">
        <v>0</v>
      </c>
      <c r="BM1374" s="10"/>
      <c r="BN1374" s="10" t="s">
        <v>10749</v>
      </c>
      <c r="BO1374" s="11">
        <v>45904.28460648148</v>
      </c>
      <c r="BP1374" s="11">
        <v>46007.629178240742</v>
      </c>
      <c r="BQ1374" s="15"/>
      <c r="BR1374" s="15"/>
      <c r="BS1374" s="10"/>
      <c r="BT1374" s="10" t="s">
        <v>99</v>
      </c>
      <c r="BU1374" s="10"/>
      <c r="BV1374" s="10"/>
      <c r="BW1374" s="10"/>
      <c r="BX1374" s="10"/>
      <c r="BY1374" s="23"/>
      <c r="BZ1374" s="23"/>
      <c r="CA1374" s="23"/>
      <c r="CB1374" s="23"/>
      <c r="CC1374" s="23"/>
      <c r="CD1374" s="23"/>
      <c r="CE1374" s="23"/>
      <c r="CF1374" s="23"/>
      <c r="CG1374" s="23"/>
      <c r="CH1374" s="23"/>
      <c r="CI1374" s="23"/>
    </row>
    <row r="1375" spans="1:87" x14ac:dyDescent="0.3">
      <c r="A1375" s="9" t="s">
        <v>10838</v>
      </c>
      <c r="B1375" s="10" t="s">
        <v>10839</v>
      </c>
      <c r="C1375" s="11">
        <v>46068</v>
      </c>
      <c r="D1375" s="12">
        <v>8.3333333333333329E-2</v>
      </c>
      <c r="E1375" s="11">
        <v>46068.083333333336</v>
      </c>
      <c r="F1375" s="10" t="s">
        <v>3211</v>
      </c>
      <c r="G1375" s="13" t="b">
        <v>0</v>
      </c>
      <c r="H1375" s="10" t="s">
        <v>3212</v>
      </c>
      <c r="I1375" s="10" t="s">
        <v>3213</v>
      </c>
      <c r="J1375" s="13" t="b">
        <v>0</v>
      </c>
      <c r="K1375" s="13" t="b">
        <v>1</v>
      </c>
      <c r="L1375" s="10" t="s">
        <v>124</v>
      </c>
      <c r="M1375" s="10" t="s">
        <v>91</v>
      </c>
      <c r="N1375" s="10" t="s">
        <v>92</v>
      </c>
      <c r="O1375" s="10"/>
      <c r="P1375" s="10"/>
      <c r="Q1375" s="10" t="s">
        <v>126</v>
      </c>
      <c r="R1375" s="10"/>
      <c r="S1375" s="10"/>
      <c r="T1375" s="10"/>
      <c r="U1375" s="10" t="s">
        <v>3278</v>
      </c>
      <c r="V1375" s="10" t="s">
        <v>3259</v>
      </c>
      <c r="W1375" s="10" t="s">
        <v>3219</v>
      </c>
      <c r="X1375" s="10" t="s">
        <v>130</v>
      </c>
      <c r="Y1375" s="10" t="s">
        <v>130</v>
      </c>
      <c r="Z1375" s="10" t="s">
        <v>99</v>
      </c>
      <c r="AA1375" s="10" t="s">
        <v>131</v>
      </c>
      <c r="AB1375" s="10" t="s">
        <v>3220</v>
      </c>
      <c r="AC1375" s="10" t="s">
        <v>3221</v>
      </c>
      <c r="AD1375" s="10" t="s">
        <v>10840</v>
      </c>
      <c r="AE1375" s="10" t="s">
        <v>10841</v>
      </c>
      <c r="AF1375" s="15"/>
      <c r="AG1375" s="10"/>
      <c r="AH1375" s="10"/>
      <c r="AI1375" s="10"/>
      <c r="AJ1375" s="10"/>
      <c r="AK1375" s="10"/>
      <c r="AL1375" s="10" t="s">
        <v>2638</v>
      </c>
      <c r="AM1375" s="10"/>
      <c r="AN1375" s="10"/>
      <c r="AO1375" s="13" t="b">
        <v>1</v>
      </c>
      <c r="AP1375" s="10" t="s">
        <v>104</v>
      </c>
      <c r="AQ1375" s="10"/>
      <c r="AR1375" s="17"/>
      <c r="AS1375" s="17"/>
      <c r="AT1375" s="17"/>
      <c r="AU1375" s="17"/>
      <c r="AV1375" s="17"/>
      <c r="AW1375" s="10"/>
      <c r="AX1375" s="17"/>
      <c r="AY1375" s="18" t="s">
        <v>257</v>
      </c>
      <c r="AZ1375" s="10"/>
      <c r="BA1375" s="20" t="b">
        <v>0</v>
      </c>
      <c r="BB1375" s="10"/>
      <c r="BC1375" s="17" t="s">
        <v>257</v>
      </c>
      <c r="BD1375" s="17" t="s">
        <v>257</v>
      </c>
      <c r="BE1375" s="17" t="s">
        <v>257</v>
      </c>
      <c r="BF1375" s="17" t="s">
        <v>257</v>
      </c>
      <c r="BG1375" s="11">
        <f ca="1">IFERROR(__xludf.DUMMYFUNCTION("""COMPUTED_VALUE"""),46068)</f>
        <v>46068</v>
      </c>
      <c r="BH1375" s="17"/>
      <c r="BI1375" s="17"/>
      <c r="BJ1375" s="15"/>
      <c r="BK1375" s="15"/>
      <c r="BL1375" s="13" t="b">
        <v>0</v>
      </c>
      <c r="BM1375" s="10"/>
      <c r="BN1375" s="10" t="s">
        <v>10749</v>
      </c>
      <c r="BO1375" s="11">
        <v>45904.28460648148</v>
      </c>
      <c r="BP1375" s="11">
        <v>46007.629560185182</v>
      </c>
      <c r="BQ1375" s="15"/>
      <c r="BR1375" s="15"/>
      <c r="BS1375" s="10"/>
      <c r="BT1375" s="10" t="s">
        <v>99</v>
      </c>
      <c r="BU1375" s="10"/>
      <c r="BV1375" s="10"/>
      <c r="BW1375" s="10"/>
      <c r="BX1375" s="10"/>
      <c r="BY1375" s="23"/>
      <c r="BZ1375" s="23"/>
      <c r="CA1375" s="23"/>
      <c r="CB1375" s="23"/>
      <c r="CC1375" s="23"/>
      <c r="CD1375" s="23"/>
      <c r="CE1375" s="23"/>
      <c r="CF1375" s="23"/>
      <c r="CG1375" s="23"/>
      <c r="CH1375" s="23"/>
      <c r="CI1375" s="23"/>
    </row>
    <row r="1376" spans="1:87" x14ac:dyDescent="0.3">
      <c r="A1376" s="9" t="s">
        <v>10842</v>
      </c>
      <c r="B1376" s="10" t="s">
        <v>10843</v>
      </c>
      <c r="C1376" s="11">
        <v>46068</v>
      </c>
      <c r="D1376" s="12">
        <v>8.3333333333333329E-2</v>
      </c>
      <c r="E1376" s="11">
        <v>46068.083333333336</v>
      </c>
      <c r="F1376" s="10" t="s">
        <v>3211</v>
      </c>
      <c r="G1376" s="13" t="b">
        <v>0</v>
      </c>
      <c r="H1376" s="10" t="s">
        <v>3212</v>
      </c>
      <c r="I1376" s="10" t="s">
        <v>3213</v>
      </c>
      <c r="J1376" s="13" t="b">
        <v>0</v>
      </c>
      <c r="K1376" s="13" t="b">
        <v>1</v>
      </c>
      <c r="L1376" s="10" t="s">
        <v>124</v>
      </c>
      <c r="M1376" s="10" t="s">
        <v>91</v>
      </c>
      <c r="N1376" s="10" t="s">
        <v>92</v>
      </c>
      <c r="O1376" s="10"/>
      <c r="P1376" s="10"/>
      <c r="Q1376" s="10" t="s">
        <v>126</v>
      </c>
      <c r="R1376" s="10"/>
      <c r="S1376" s="10"/>
      <c r="T1376" s="10"/>
      <c r="U1376" s="10" t="s">
        <v>3250</v>
      </c>
      <c r="V1376" s="10" t="s">
        <v>3308</v>
      </c>
      <c r="W1376" s="10" t="s">
        <v>3219</v>
      </c>
      <c r="X1376" s="10" t="s">
        <v>130</v>
      </c>
      <c r="Y1376" s="10" t="s">
        <v>130</v>
      </c>
      <c r="Z1376" s="10" t="s">
        <v>99</v>
      </c>
      <c r="AA1376" s="10" t="s">
        <v>131</v>
      </c>
      <c r="AB1376" s="10" t="s">
        <v>3220</v>
      </c>
      <c r="AC1376" s="10" t="s">
        <v>3221</v>
      </c>
      <c r="AD1376" s="10" t="s">
        <v>10844</v>
      </c>
      <c r="AE1376" s="10" t="s">
        <v>10845</v>
      </c>
      <c r="AF1376" s="15"/>
      <c r="AG1376" s="10"/>
      <c r="AH1376" s="10"/>
      <c r="AI1376" s="10"/>
      <c r="AJ1376" s="10"/>
      <c r="AK1376" s="10"/>
      <c r="AL1376" s="10" t="s">
        <v>2638</v>
      </c>
      <c r="AM1376" s="10"/>
      <c r="AN1376" s="10"/>
      <c r="AO1376" s="13" t="b">
        <v>0</v>
      </c>
      <c r="AP1376" s="10" t="s">
        <v>104</v>
      </c>
      <c r="AQ1376" s="10"/>
      <c r="AR1376" s="17"/>
      <c r="AS1376" s="17"/>
      <c r="AT1376" s="17"/>
      <c r="AU1376" s="17"/>
      <c r="AV1376" s="17"/>
      <c r="AW1376" s="10"/>
      <c r="AX1376" s="17"/>
      <c r="AY1376" s="18" t="s">
        <v>257</v>
      </c>
      <c r="AZ1376" s="10"/>
      <c r="BA1376" s="20" t="b">
        <v>0</v>
      </c>
      <c r="BB1376" s="10"/>
      <c r="BC1376" s="17" t="s">
        <v>257</v>
      </c>
      <c r="BD1376" s="17" t="s">
        <v>257</v>
      </c>
      <c r="BE1376" s="17" t="s">
        <v>257</v>
      </c>
      <c r="BF1376" s="17" t="s">
        <v>257</v>
      </c>
      <c r="BG1376" s="11">
        <f ca="1">IFERROR(__xludf.DUMMYFUNCTION("""COMPUTED_VALUE"""),46068)</f>
        <v>46068</v>
      </c>
      <c r="BH1376" s="17"/>
      <c r="BI1376" s="17"/>
      <c r="BJ1376" s="15"/>
      <c r="BK1376" s="15"/>
      <c r="BL1376" s="13" t="b">
        <v>0</v>
      </c>
      <c r="BM1376" s="10"/>
      <c r="BN1376" s="10" t="s">
        <v>241</v>
      </c>
      <c r="BO1376" s="11">
        <v>45904.28460648148</v>
      </c>
      <c r="BP1376" s="11">
        <v>46007.629664351851</v>
      </c>
      <c r="BQ1376" s="15"/>
      <c r="BR1376" s="15"/>
      <c r="BS1376" s="10"/>
      <c r="BT1376" s="10"/>
      <c r="BU1376" s="10"/>
      <c r="BV1376" s="10"/>
      <c r="BW1376" s="10"/>
      <c r="BX1376" s="10"/>
      <c r="BY1376" s="23"/>
      <c r="BZ1376" s="23"/>
      <c r="CA1376" s="23"/>
      <c r="CB1376" s="23"/>
      <c r="CC1376" s="23"/>
      <c r="CD1376" s="23"/>
      <c r="CE1376" s="23"/>
      <c r="CF1376" s="23"/>
      <c r="CG1376" s="23"/>
      <c r="CH1376" s="23"/>
      <c r="CI1376" s="23"/>
    </row>
    <row r="1377" spans="1:87" x14ac:dyDescent="0.3">
      <c r="A1377" s="9" t="s">
        <v>10846</v>
      </c>
      <c r="B1377" s="10" t="s">
        <v>10847</v>
      </c>
      <c r="C1377" s="11">
        <v>46068</v>
      </c>
      <c r="D1377" s="12">
        <v>8.3333333333333329E-2</v>
      </c>
      <c r="E1377" s="11">
        <v>46068.083333333336</v>
      </c>
      <c r="F1377" s="10" t="s">
        <v>3211</v>
      </c>
      <c r="G1377" s="13" t="b">
        <v>0</v>
      </c>
      <c r="H1377" s="10" t="s">
        <v>3212</v>
      </c>
      <c r="I1377" s="10" t="s">
        <v>3213</v>
      </c>
      <c r="J1377" s="13" t="b">
        <v>0</v>
      </c>
      <c r="K1377" s="13" t="b">
        <v>1</v>
      </c>
      <c r="L1377" s="10" t="s">
        <v>124</v>
      </c>
      <c r="M1377" s="10" t="s">
        <v>91</v>
      </c>
      <c r="N1377" s="10" t="s">
        <v>92</v>
      </c>
      <c r="O1377" s="10"/>
      <c r="P1377" s="10"/>
      <c r="Q1377" s="10" t="s">
        <v>126</v>
      </c>
      <c r="R1377" s="10"/>
      <c r="S1377" s="10"/>
      <c r="T1377" s="10"/>
      <c r="U1377" s="10" t="s">
        <v>3318</v>
      </c>
      <c r="V1377" s="10" t="s">
        <v>3229</v>
      </c>
      <c r="W1377" s="10" t="s">
        <v>3219</v>
      </c>
      <c r="X1377" s="10" t="s">
        <v>130</v>
      </c>
      <c r="Y1377" s="10" t="s">
        <v>130</v>
      </c>
      <c r="Z1377" s="10" t="s">
        <v>99</v>
      </c>
      <c r="AA1377" s="10" t="s">
        <v>131</v>
      </c>
      <c r="AB1377" s="10" t="s">
        <v>3220</v>
      </c>
      <c r="AC1377" s="10" t="s">
        <v>3221</v>
      </c>
      <c r="AD1377" s="10" t="s">
        <v>10848</v>
      </c>
      <c r="AE1377" s="10" t="s">
        <v>10849</v>
      </c>
      <c r="AF1377" s="15"/>
      <c r="AG1377" s="10"/>
      <c r="AH1377" s="10"/>
      <c r="AI1377" s="10"/>
      <c r="AJ1377" s="10"/>
      <c r="AK1377" s="10"/>
      <c r="AL1377" s="10" t="s">
        <v>2638</v>
      </c>
      <c r="AM1377" s="10"/>
      <c r="AN1377" s="10"/>
      <c r="AO1377" s="13" t="b">
        <v>1</v>
      </c>
      <c r="AP1377" s="10" t="s">
        <v>104</v>
      </c>
      <c r="AQ1377" s="10"/>
      <c r="AR1377" s="17"/>
      <c r="AS1377" s="17"/>
      <c r="AT1377" s="17"/>
      <c r="AU1377" s="17"/>
      <c r="AV1377" s="17"/>
      <c r="AW1377" s="10"/>
      <c r="AX1377" s="17"/>
      <c r="AY1377" s="18" t="s">
        <v>257</v>
      </c>
      <c r="AZ1377" s="10"/>
      <c r="BA1377" s="20" t="b">
        <v>0</v>
      </c>
      <c r="BB1377" s="10"/>
      <c r="BC1377" s="17" t="s">
        <v>257</v>
      </c>
      <c r="BD1377" s="17" t="s">
        <v>257</v>
      </c>
      <c r="BE1377" s="17" t="s">
        <v>257</v>
      </c>
      <c r="BF1377" s="17" t="s">
        <v>257</v>
      </c>
      <c r="BG1377" s="11">
        <f ca="1">IFERROR(__xludf.DUMMYFUNCTION("""COMPUTED_VALUE"""),46068)</f>
        <v>46068</v>
      </c>
      <c r="BH1377" s="17"/>
      <c r="BI1377" s="17"/>
      <c r="BJ1377" s="15"/>
      <c r="BK1377" s="15"/>
      <c r="BL1377" s="13" t="b">
        <v>0</v>
      </c>
      <c r="BM1377" s="10"/>
      <c r="BN1377" s="10" t="s">
        <v>10749</v>
      </c>
      <c r="BO1377" s="11">
        <v>45904.28460648148</v>
      </c>
      <c r="BP1377" s="11">
        <v>46007.62976851852</v>
      </c>
      <c r="BQ1377" s="15"/>
      <c r="BR1377" s="15"/>
      <c r="BS1377" s="10"/>
      <c r="BT1377" s="10" t="s">
        <v>99</v>
      </c>
      <c r="BU1377" s="10"/>
      <c r="BV1377" s="10"/>
      <c r="BW1377" s="10"/>
      <c r="BX1377" s="10"/>
      <c r="BY1377" s="23"/>
      <c r="BZ1377" s="23"/>
      <c r="CA1377" s="23"/>
      <c r="CB1377" s="23"/>
      <c r="CC1377" s="23"/>
      <c r="CD1377" s="23"/>
      <c r="CE1377" s="23"/>
      <c r="CF1377" s="23"/>
      <c r="CG1377" s="23"/>
      <c r="CH1377" s="23"/>
      <c r="CI1377" s="23"/>
    </row>
    <row r="1378" spans="1:87" x14ac:dyDescent="0.3">
      <c r="A1378" s="9" t="s">
        <v>10850</v>
      </c>
      <c r="B1378" s="10" t="s">
        <v>10851</v>
      </c>
      <c r="C1378" s="11">
        <v>46068</v>
      </c>
      <c r="D1378" s="12">
        <v>8.3333333333333329E-2</v>
      </c>
      <c r="E1378" s="11">
        <v>46068.083333333336</v>
      </c>
      <c r="F1378" s="10" t="s">
        <v>3211</v>
      </c>
      <c r="G1378" s="13" t="b">
        <v>0</v>
      </c>
      <c r="H1378" s="10" t="s">
        <v>3212</v>
      </c>
      <c r="I1378" s="10" t="s">
        <v>3213</v>
      </c>
      <c r="J1378" s="13" t="b">
        <v>0</v>
      </c>
      <c r="K1378" s="13" t="b">
        <v>1</v>
      </c>
      <c r="L1378" s="10" t="s">
        <v>124</v>
      </c>
      <c r="M1378" s="10" t="s">
        <v>91</v>
      </c>
      <c r="N1378" s="10" t="s">
        <v>92</v>
      </c>
      <c r="O1378" s="10"/>
      <c r="P1378" s="10"/>
      <c r="Q1378" s="10" t="s">
        <v>94</v>
      </c>
      <c r="R1378" s="10"/>
      <c r="S1378" s="10"/>
      <c r="T1378" s="10"/>
      <c r="U1378" s="10" t="s">
        <v>3260</v>
      </c>
      <c r="V1378" s="10" t="s">
        <v>3270</v>
      </c>
      <c r="W1378" s="10" t="s">
        <v>3219</v>
      </c>
      <c r="X1378" s="10" t="s">
        <v>130</v>
      </c>
      <c r="Y1378" s="10" t="s">
        <v>130</v>
      </c>
      <c r="Z1378" s="10" t="s">
        <v>99</v>
      </c>
      <c r="AA1378" s="10" t="s">
        <v>131</v>
      </c>
      <c r="AB1378" s="10" t="s">
        <v>3220</v>
      </c>
      <c r="AC1378" s="10" t="s">
        <v>3221</v>
      </c>
      <c r="AD1378" s="10" t="s">
        <v>10852</v>
      </c>
      <c r="AE1378" s="10" t="s">
        <v>10853</v>
      </c>
      <c r="AF1378" s="15"/>
      <c r="AG1378" s="10"/>
      <c r="AH1378" s="10"/>
      <c r="AI1378" s="10"/>
      <c r="AJ1378" s="10"/>
      <c r="AK1378" s="10"/>
      <c r="AL1378" s="10" t="s">
        <v>2638</v>
      </c>
      <c r="AM1378" s="10"/>
      <c r="AN1378" s="10"/>
      <c r="AO1378" s="13" t="b">
        <v>0</v>
      </c>
      <c r="AP1378" s="10" t="s">
        <v>104</v>
      </c>
      <c r="AQ1378" s="10"/>
      <c r="AR1378" s="17"/>
      <c r="AS1378" s="17"/>
      <c r="AT1378" s="17"/>
      <c r="AU1378" s="17"/>
      <c r="AV1378" s="17"/>
      <c r="AW1378" s="10"/>
      <c r="AX1378" s="17"/>
      <c r="AY1378" s="18" t="s">
        <v>257</v>
      </c>
      <c r="AZ1378" s="10"/>
      <c r="BA1378" s="20" t="b">
        <v>0</v>
      </c>
      <c r="BB1378" s="10"/>
      <c r="BC1378" s="17" t="s">
        <v>257</v>
      </c>
      <c r="BD1378" s="17" t="s">
        <v>257</v>
      </c>
      <c r="BE1378" s="17" t="s">
        <v>257</v>
      </c>
      <c r="BF1378" s="17" t="s">
        <v>257</v>
      </c>
      <c r="BG1378" s="11">
        <f ca="1">IFERROR(__xludf.DUMMYFUNCTION("""COMPUTED_VALUE"""),46068)</f>
        <v>46068</v>
      </c>
      <c r="BH1378" s="17"/>
      <c r="BI1378" s="17"/>
      <c r="BJ1378" s="15"/>
      <c r="BK1378" s="15"/>
      <c r="BL1378" s="13" t="b">
        <v>0</v>
      </c>
      <c r="BM1378" s="10"/>
      <c r="BN1378" s="10" t="s">
        <v>241</v>
      </c>
      <c r="BO1378" s="11">
        <v>45904.28460648148</v>
      </c>
      <c r="BP1378" s="11">
        <v>46007.629907407405</v>
      </c>
      <c r="BQ1378" s="15"/>
      <c r="BR1378" s="15"/>
      <c r="BS1378" s="10"/>
      <c r="BT1378" s="10"/>
      <c r="BU1378" s="10"/>
      <c r="BV1378" s="10"/>
      <c r="BW1378" s="10"/>
      <c r="BX1378" s="10"/>
      <c r="BY1378" s="23"/>
      <c r="BZ1378" s="23"/>
      <c r="CA1378" s="23"/>
      <c r="CB1378" s="23"/>
      <c r="CC1378" s="23"/>
      <c r="CD1378" s="23"/>
      <c r="CE1378" s="23"/>
      <c r="CF1378" s="23"/>
      <c r="CG1378" s="23"/>
      <c r="CH1378" s="23"/>
      <c r="CI1378" s="23"/>
    </row>
    <row r="1379" spans="1:87" x14ac:dyDescent="0.3">
      <c r="A1379" s="9" t="s">
        <v>10854</v>
      </c>
      <c r="B1379" s="10" t="s">
        <v>10855</v>
      </c>
      <c r="C1379" s="11">
        <v>46068</v>
      </c>
      <c r="D1379" s="12">
        <v>8.3333333333333329E-2</v>
      </c>
      <c r="E1379" s="11">
        <v>46068.083333333336</v>
      </c>
      <c r="F1379" s="10" t="s">
        <v>3211</v>
      </c>
      <c r="G1379" s="13" t="b">
        <v>0</v>
      </c>
      <c r="H1379" s="10" t="s">
        <v>3212</v>
      </c>
      <c r="I1379" s="10" t="s">
        <v>3213</v>
      </c>
      <c r="J1379" s="13" t="b">
        <v>0</v>
      </c>
      <c r="K1379" s="13" t="b">
        <v>1</v>
      </c>
      <c r="L1379" s="10" t="s">
        <v>124</v>
      </c>
      <c r="M1379" s="10" t="s">
        <v>91</v>
      </c>
      <c r="N1379" s="10" t="s">
        <v>92</v>
      </c>
      <c r="O1379" s="10"/>
      <c r="P1379" s="10"/>
      <c r="Q1379" s="10" t="s">
        <v>126</v>
      </c>
      <c r="R1379" s="10"/>
      <c r="S1379" s="10"/>
      <c r="T1379" s="10"/>
      <c r="U1379" s="10" t="s">
        <v>3451</v>
      </c>
      <c r="V1379" s="10" t="s">
        <v>3289</v>
      </c>
      <c r="W1379" s="10" t="s">
        <v>3219</v>
      </c>
      <c r="X1379" s="10" t="s">
        <v>130</v>
      </c>
      <c r="Y1379" s="10" t="s">
        <v>130</v>
      </c>
      <c r="Z1379" s="10" t="s">
        <v>99</v>
      </c>
      <c r="AA1379" s="10" t="s">
        <v>131</v>
      </c>
      <c r="AB1379" s="10" t="s">
        <v>3220</v>
      </c>
      <c r="AC1379" s="10" t="s">
        <v>3221</v>
      </c>
      <c r="AD1379" s="10" t="s">
        <v>10856</v>
      </c>
      <c r="AE1379" s="10" t="s">
        <v>10857</v>
      </c>
      <c r="AF1379" s="15"/>
      <c r="AG1379" s="10"/>
      <c r="AH1379" s="10"/>
      <c r="AI1379" s="10"/>
      <c r="AJ1379" s="10"/>
      <c r="AK1379" s="10"/>
      <c r="AL1379" s="10" t="s">
        <v>2638</v>
      </c>
      <c r="AM1379" s="10"/>
      <c r="AN1379" s="10"/>
      <c r="AO1379" s="13" t="b">
        <v>1</v>
      </c>
      <c r="AP1379" s="10" t="s">
        <v>104</v>
      </c>
      <c r="AQ1379" s="10"/>
      <c r="AR1379" s="17"/>
      <c r="AS1379" s="17"/>
      <c r="AT1379" s="17"/>
      <c r="AU1379" s="17"/>
      <c r="AV1379" s="17"/>
      <c r="AW1379" s="10"/>
      <c r="AX1379" s="17"/>
      <c r="AY1379" s="18" t="s">
        <v>257</v>
      </c>
      <c r="AZ1379" s="10"/>
      <c r="BA1379" s="20" t="b">
        <v>0</v>
      </c>
      <c r="BB1379" s="10"/>
      <c r="BC1379" s="17" t="s">
        <v>257</v>
      </c>
      <c r="BD1379" s="17" t="s">
        <v>257</v>
      </c>
      <c r="BE1379" s="17" t="s">
        <v>257</v>
      </c>
      <c r="BF1379" s="17" t="s">
        <v>257</v>
      </c>
      <c r="BG1379" s="11">
        <f ca="1">IFERROR(__xludf.DUMMYFUNCTION("""COMPUTED_VALUE"""),46068)</f>
        <v>46068</v>
      </c>
      <c r="BH1379" s="17"/>
      <c r="BI1379" s="17"/>
      <c r="BJ1379" s="15"/>
      <c r="BK1379" s="15"/>
      <c r="BL1379" s="13" t="b">
        <v>0</v>
      </c>
      <c r="BM1379" s="10"/>
      <c r="BN1379" s="10" t="s">
        <v>10749</v>
      </c>
      <c r="BO1379" s="11">
        <v>45904.28460648148</v>
      </c>
      <c r="BP1379" s="11">
        <v>46007.629988425928</v>
      </c>
      <c r="BQ1379" s="15"/>
      <c r="BR1379" s="15"/>
      <c r="BS1379" s="10"/>
      <c r="BT1379" s="10" t="s">
        <v>99</v>
      </c>
      <c r="BU1379" s="10"/>
      <c r="BV1379" s="10"/>
      <c r="BW1379" s="10"/>
      <c r="BX1379" s="10"/>
      <c r="BY1379" s="23"/>
      <c r="BZ1379" s="23"/>
      <c r="CA1379" s="23"/>
      <c r="CB1379" s="23"/>
      <c r="CC1379" s="23"/>
      <c r="CD1379" s="23"/>
      <c r="CE1379" s="23"/>
      <c r="CF1379" s="23"/>
      <c r="CG1379" s="23"/>
      <c r="CH1379" s="23"/>
      <c r="CI1379" s="23"/>
    </row>
    <row r="1380" spans="1:87" x14ac:dyDescent="0.3">
      <c r="A1380" s="9" t="s">
        <v>10858</v>
      </c>
      <c r="B1380" s="10" t="s">
        <v>10859</v>
      </c>
      <c r="C1380" s="11">
        <v>46068</v>
      </c>
      <c r="D1380" s="12">
        <v>8.3333333333333329E-2</v>
      </c>
      <c r="E1380" s="11">
        <v>46068.083333333336</v>
      </c>
      <c r="F1380" s="10" t="s">
        <v>3211</v>
      </c>
      <c r="G1380" s="13" t="b">
        <v>0</v>
      </c>
      <c r="H1380" s="10" t="s">
        <v>3212</v>
      </c>
      <c r="I1380" s="10" t="s">
        <v>3213</v>
      </c>
      <c r="J1380" s="13" t="b">
        <v>0</v>
      </c>
      <c r="K1380" s="13" t="b">
        <v>1</v>
      </c>
      <c r="L1380" s="10" t="s">
        <v>124</v>
      </c>
      <c r="M1380" s="10" t="s">
        <v>91</v>
      </c>
      <c r="N1380" s="10" t="s">
        <v>92</v>
      </c>
      <c r="O1380" s="10"/>
      <c r="P1380" s="10"/>
      <c r="Q1380" s="10" t="s">
        <v>94</v>
      </c>
      <c r="R1380" s="10"/>
      <c r="S1380" s="10"/>
      <c r="T1380" s="10"/>
      <c r="U1380" s="10" t="s">
        <v>3279</v>
      </c>
      <c r="V1380" s="10" t="s">
        <v>3230</v>
      </c>
      <c r="W1380" s="10" t="s">
        <v>3219</v>
      </c>
      <c r="X1380" s="10" t="s">
        <v>130</v>
      </c>
      <c r="Y1380" s="10" t="s">
        <v>130</v>
      </c>
      <c r="Z1380" s="10" t="s">
        <v>99</v>
      </c>
      <c r="AA1380" s="10" t="s">
        <v>131</v>
      </c>
      <c r="AB1380" s="10" t="s">
        <v>3220</v>
      </c>
      <c r="AC1380" s="10" t="s">
        <v>3221</v>
      </c>
      <c r="AD1380" s="10" t="s">
        <v>10860</v>
      </c>
      <c r="AE1380" s="10" t="s">
        <v>10861</v>
      </c>
      <c r="AF1380" s="15"/>
      <c r="AG1380" s="10"/>
      <c r="AH1380" s="10"/>
      <c r="AI1380" s="10"/>
      <c r="AJ1380" s="10"/>
      <c r="AK1380" s="10"/>
      <c r="AL1380" s="10" t="s">
        <v>2638</v>
      </c>
      <c r="AM1380" s="10"/>
      <c r="AN1380" s="10"/>
      <c r="AO1380" s="13" t="b">
        <v>0</v>
      </c>
      <c r="AP1380" s="10" t="s">
        <v>104</v>
      </c>
      <c r="AQ1380" s="10"/>
      <c r="AR1380" s="17"/>
      <c r="AS1380" s="17"/>
      <c r="AT1380" s="17"/>
      <c r="AU1380" s="17"/>
      <c r="AV1380" s="17"/>
      <c r="AW1380" s="10"/>
      <c r="AX1380" s="17"/>
      <c r="AY1380" s="18" t="s">
        <v>257</v>
      </c>
      <c r="AZ1380" s="10"/>
      <c r="BA1380" s="20" t="b">
        <v>0</v>
      </c>
      <c r="BB1380" s="10"/>
      <c r="BC1380" s="17" t="s">
        <v>257</v>
      </c>
      <c r="BD1380" s="17" t="s">
        <v>257</v>
      </c>
      <c r="BE1380" s="17" t="s">
        <v>257</v>
      </c>
      <c r="BF1380" s="17" t="s">
        <v>257</v>
      </c>
      <c r="BG1380" s="11">
        <f ca="1">IFERROR(__xludf.DUMMYFUNCTION("""COMPUTED_VALUE"""),46068)</f>
        <v>46068</v>
      </c>
      <c r="BH1380" s="17"/>
      <c r="BI1380" s="17"/>
      <c r="BJ1380" s="15"/>
      <c r="BK1380" s="15"/>
      <c r="BL1380" s="13" t="b">
        <v>0</v>
      </c>
      <c r="BM1380" s="10"/>
      <c r="BN1380" s="10" t="s">
        <v>241</v>
      </c>
      <c r="BO1380" s="11">
        <v>45904.28460648148</v>
      </c>
      <c r="BP1380" s="11">
        <v>46007.630185185182</v>
      </c>
      <c r="BQ1380" s="15"/>
      <c r="BR1380" s="15"/>
      <c r="BS1380" s="10"/>
      <c r="BT1380" s="10"/>
      <c r="BU1380" s="10"/>
      <c r="BV1380" s="10"/>
      <c r="BW1380" s="10"/>
      <c r="BX1380" s="10"/>
      <c r="BY1380" s="23"/>
      <c r="BZ1380" s="23"/>
      <c r="CA1380" s="23"/>
      <c r="CB1380" s="23"/>
      <c r="CC1380" s="23"/>
      <c r="CD1380" s="23"/>
      <c r="CE1380" s="23"/>
      <c r="CF1380" s="23"/>
      <c r="CG1380" s="23"/>
      <c r="CH1380" s="23"/>
      <c r="CI1380" s="23"/>
    </row>
    <row r="1381" spans="1:87" x14ac:dyDescent="0.3">
      <c r="A1381" s="9" t="s">
        <v>10862</v>
      </c>
      <c r="B1381" s="10" t="s">
        <v>10863</v>
      </c>
      <c r="C1381" s="11">
        <v>46068</v>
      </c>
      <c r="D1381" s="12">
        <v>8.3333333333333329E-2</v>
      </c>
      <c r="E1381" s="11">
        <v>46068.083333333336</v>
      </c>
      <c r="F1381" s="10" t="s">
        <v>3211</v>
      </c>
      <c r="G1381" s="13" t="b">
        <v>0</v>
      </c>
      <c r="H1381" s="10" t="s">
        <v>3212</v>
      </c>
      <c r="I1381" s="10" t="s">
        <v>3213</v>
      </c>
      <c r="J1381" s="13" t="b">
        <v>0</v>
      </c>
      <c r="K1381" s="13" t="b">
        <v>1</v>
      </c>
      <c r="L1381" s="10" t="s">
        <v>124</v>
      </c>
      <c r="M1381" s="10" t="s">
        <v>91</v>
      </c>
      <c r="N1381" s="10" t="s">
        <v>92</v>
      </c>
      <c r="O1381" s="10"/>
      <c r="P1381" s="10"/>
      <c r="Q1381" s="10" t="s">
        <v>126</v>
      </c>
      <c r="R1381" s="10"/>
      <c r="S1381" s="10"/>
      <c r="T1381" s="10"/>
      <c r="U1381" s="10" t="s">
        <v>3269</v>
      </c>
      <c r="V1381" s="10" t="s">
        <v>3429</v>
      </c>
      <c r="W1381" s="10" t="s">
        <v>3219</v>
      </c>
      <c r="X1381" s="10" t="s">
        <v>130</v>
      </c>
      <c r="Y1381" s="10" t="s">
        <v>130</v>
      </c>
      <c r="Z1381" s="10" t="s">
        <v>99</v>
      </c>
      <c r="AA1381" s="10" t="s">
        <v>131</v>
      </c>
      <c r="AB1381" s="10" t="s">
        <v>3220</v>
      </c>
      <c r="AC1381" s="10" t="s">
        <v>3221</v>
      </c>
      <c r="AD1381" s="10" t="s">
        <v>10864</v>
      </c>
      <c r="AE1381" s="10" t="s">
        <v>10865</v>
      </c>
      <c r="AF1381" s="15"/>
      <c r="AG1381" s="10"/>
      <c r="AH1381" s="10"/>
      <c r="AI1381" s="10"/>
      <c r="AJ1381" s="10"/>
      <c r="AK1381" s="10"/>
      <c r="AL1381" s="10" t="s">
        <v>2638</v>
      </c>
      <c r="AM1381" s="10"/>
      <c r="AN1381" s="10"/>
      <c r="AO1381" s="13" t="b">
        <v>1</v>
      </c>
      <c r="AP1381" s="10" t="s">
        <v>104</v>
      </c>
      <c r="AQ1381" s="10"/>
      <c r="AR1381" s="17"/>
      <c r="AS1381" s="17"/>
      <c r="AT1381" s="17"/>
      <c r="AU1381" s="17"/>
      <c r="AV1381" s="17"/>
      <c r="AW1381" s="10"/>
      <c r="AX1381" s="17"/>
      <c r="AY1381" s="18" t="s">
        <v>257</v>
      </c>
      <c r="AZ1381" s="10"/>
      <c r="BA1381" s="20" t="b">
        <v>0</v>
      </c>
      <c r="BB1381" s="10"/>
      <c r="BC1381" s="17" t="s">
        <v>257</v>
      </c>
      <c r="BD1381" s="17" t="s">
        <v>257</v>
      </c>
      <c r="BE1381" s="17" t="s">
        <v>257</v>
      </c>
      <c r="BF1381" s="17" t="s">
        <v>257</v>
      </c>
      <c r="BG1381" s="11">
        <f ca="1">IFERROR(__xludf.DUMMYFUNCTION("""COMPUTED_VALUE"""),46068)</f>
        <v>46068</v>
      </c>
      <c r="BH1381" s="17"/>
      <c r="BI1381" s="17"/>
      <c r="BJ1381" s="15"/>
      <c r="BK1381" s="15"/>
      <c r="BL1381" s="13" t="b">
        <v>0</v>
      </c>
      <c r="BM1381" s="10"/>
      <c r="BN1381" s="10" t="s">
        <v>10749</v>
      </c>
      <c r="BO1381" s="11">
        <v>45904.28460648148</v>
      </c>
      <c r="BP1381" s="11">
        <v>46007.630358796298</v>
      </c>
      <c r="BQ1381" s="15"/>
      <c r="BR1381" s="15"/>
      <c r="BS1381" s="10"/>
      <c r="BT1381" s="10" t="s">
        <v>99</v>
      </c>
      <c r="BU1381" s="10"/>
      <c r="BV1381" s="10"/>
      <c r="BW1381" s="10"/>
      <c r="BX1381" s="10"/>
      <c r="BY1381" s="23"/>
      <c r="BZ1381" s="23"/>
      <c r="CA1381" s="23"/>
      <c r="CB1381" s="23"/>
      <c r="CC1381" s="23"/>
      <c r="CD1381" s="23"/>
      <c r="CE1381" s="23"/>
      <c r="CF1381" s="23"/>
      <c r="CG1381" s="23"/>
      <c r="CH1381" s="23"/>
      <c r="CI1381" s="23"/>
    </row>
    <row r="1382" spans="1:87" x14ac:dyDescent="0.3">
      <c r="A1382" s="9" t="s">
        <v>10866</v>
      </c>
      <c r="B1382" s="10" t="s">
        <v>10867</v>
      </c>
      <c r="C1382" s="11">
        <v>46075</v>
      </c>
      <c r="D1382" s="12">
        <v>8.3333333333333329E-2</v>
      </c>
      <c r="E1382" s="11">
        <v>46075.083333333336</v>
      </c>
      <c r="F1382" s="10" t="s">
        <v>3211</v>
      </c>
      <c r="G1382" s="13" t="b">
        <v>0</v>
      </c>
      <c r="H1382" s="10" t="s">
        <v>3212</v>
      </c>
      <c r="I1382" s="10" t="s">
        <v>3213</v>
      </c>
      <c r="J1382" s="13" t="b">
        <v>0</v>
      </c>
      <c r="K1382" s="13" t="b">
        <v>1</v>
      </c>
      <c r="L1382" s="10" t="s">
        <v>124</v>
      </c>
      <c r="M1382" s="10" t="s">
        <v>91</v>
      </c>
      <c r="N1382" s="10" t="s">
        <v>92</v>
      </c>
      <c r="O1382" s="10"/>
      <c r="P1382" s="10"/>
      <c r="Q1382" s="10" t="s">
        <v>126</v>
      </c>
      <c r="R1382" s="10"/>
      <c r="S1382" s="10"/>
      <c r="T1382" s="10"/>
      <c r="U1382" s="10" t="s">
        <v>3308</v>
      </c>
      <c r="V1382" s="10" t="s">
        <v>3318</v>
      </c>
      <c r="W1382" s="10" t="s">
        <v>3219</v>
      </c>
      <c r="X1382" s="10" t="s">
        <v>130</v>
      </c>
      <c r="Y1382" s="10" t="s">
        <v>130</v>
      </c>
      <c r="Z1382" s="10" t="s">
        <v>99</v>
      </c>
      <c r="AA1382" s="10" t="s">
        <v>131</v>
      </c>
      <c r="AB1382" s="10" t="s">
        <v>3220</v>
      </c>
      <c r="AC1382" s="10" t="s">
        <v>3221</v>
      </c>
      <c r="AD1382" s="10" t="s">
        <v>10868</v>
      </c>
      <c r="AE1382" s="10" t="s">
        <v>10869</v>
      </c>
      <c r="AF1382" s="15"/>
      <c r="AG1382" s="10"/>
      <c r="AH1382" s="10"/>
      <c r="AI1382" s="10"/>
      <c r="AJ1382" s="10"/>
      <c r="AK1382" s="10"/>
      <c r="AL1382" s="10" t="s">
        <v>2679</v>
      </c>
      <c r="AM1382" s="10"/>
      <c r="AN1382" s="10"/>
      <c r="AO1382" s="13" t="b">
        <v>1</v>
      </c>
      <c r="AP1382" s="10" t="s">
        <v>104</v>
      </c>
      <c r="AQ1382" s="10"/>
      <c r="AR1382" s="17"/>
      <c r="AS1382" s="17"/>
      <c r="AT1382" s="17"/>
      <c r="AU1382" s="17"/>
      <c r="AV1382" s="17"/>
      <c r="AW1382" s="10"/>
      <c r="AX1382" s="17"/>
      <c r="AY1382" s="18" t="s">
        <v>257</v>
      </c>
      <c r="AZ1382" s="10"/>
      <c r="BA1382" s="20" t="b">
        <v>0</v>
      </c>
      <c r="BB1382" s="10"/>
      <c r="BC1382" s="17" t="s">
        <v>257</v>
      </c>
      <c r="BD1382" s="17" t="s">
        <v>257</v>
      </c>
      <c r="BE1382" s="17" t="s">
        <v>257</v>
      </c>
      <c r="BF1382" s="17" t="s">
        <v>257</v>
      </c>
      <c r="BG1382" s="11">
        <f ca="1">IFERROR(__xludf.DUMMYFUNCTION("""COMPUTED_VALUE"""),46075)</f>
        <v>46075</v>
      </c>
      <c r="BH1382" s="17"/>
      <c r="BI1382" s="17"/>
      <c r="BJ1382" s="15"/>
      <c r="BK1382" s="15"/>
      <c r="BL1382" s="13" t="b">
        <v>0</v>
      </c>
      <c r="BM1382" s="10"/>
      <c r="BN1382" s="10" t="s">
        <v>10870</v>
      </c>
      <c r="BO1382" s="11">
        <v>45904.28402777778</v>
      </c>
      <c r="BP1382" s="11">
        <v>46007.631608796299</v>
      </c>
      <c r="BQ1382" s="15"/>
      <c r="BR1382" s="15"/>
      <c r="BS1382" s="10"/>
      <c r="BT1382" s="10" t="s">
        <v>99</v>
      </c>
      <c r="BU1382" s="10"/>
      <c r="BV1382" s="10"/>
      <c r="BW1382" s="10"/>
      <c r="BX1382" s="10"/>
      <c r="BY1382" s="23"/>
      <c r="BZ1382" s="23"/>
      <c r="CA1382" s="19" t="s">
        <v>10871</v>
      </c>
      <c r="CB1382" s="19" t="s">
        <v>10872</v>
      </c>
      <c r="CC1382" s="23"/>
      <c r="CD1382" s="23"/>
      <c r="CE1382" s="23"/>
      <c r="CF1382" s="23"/>
      <c r="CG1382" s="23"/>
      <c r="CH1382" s="23"/>
      <c r="CI1382" s="23"/>
    </row>
    <row r="1383" spans="1:87" x14ac:dyDescent="0.3">
      <c r="A1383" s="9" t="s">
        <v>10873</v>
      </c>
      <c r="B1383" s="10" t="s">
        <v>10874</v>
      </c>
      <c r="C1383" s="11">
        <v>46075</v>
      </c>
      <c r="D1383" s="12">
        <v>8.3333333333333329E-2</v>
      </c>
      <c r="E1383" s="11">
        <v>46075.083333333336</v>
      </c>
      <c r="F1383" s="10" t="s">
        <v>3211</v>
      </c>
      <c r="G1383" s="13" t="b">
        <v>0</v>
      </c>
      <c r="H1383" s="10" t="s">
        <v>3212</v>
      </c>
      <c r="I1383" s="10" t="s">
        <v>3213</v>
      </c>
      <c r="J1383" s="13" t="b">
        <v>0</v>
      </c>
      <c r="K1383" s="13" t="b">
        <v>1</v>
      </c>
      <c r="L1383" s="10" t="s">
        <v>124</v>
      </c>
      <c r="M1383" s="10" t="s">
        <v>91</v>
      </c>
      <c r="N1383" s="10" t="s">
        <v>92</v>
      </c>
      <c r="O1383" s="10"/>
      <c r="P1383" s="10"/>
      <c r="Q1383" s="10" t="s">
        <v>94</v>
      </c>
      <c r="R1383" s="10"/>
      <c r="S1383" s="10"/>
      <c r="T1383" s="10"/>
      <c r="U1383" s="10" t="s">
        <v>3230</v>
      </c>
      <c r="V1383" s="10" t="s">
        <v>3269</v>
      </c>
      <c r="W1383" s="10" t="s">
        <v>3219</v>
      </c>
      <c r="X1383" s="10" t="s">
        <v>130</v>
      </c>
      <c r="Y1383" s="10" t="s">
        <v>130</v>
      </c>
      <c r="Z1383" s="10" t="s">
        <v>99</v>
      </c>
      <c r="AA1383" s="10" t="s">
        <v>131</v>
      </c>
      <c r="AB1383" s="10" t="s">
        <v>3220</v>
      </c>
      <c r="AC1383" s="10" t="s">
        <v>3221</v>
      </c>
      <c r="AD1383" s="10" t="s">
        <v>10875</v>
      </c>
      <c r="AE1383" s="10" t="s">
        <v>10876</v>
      </c>
      <c r="AF1383" s="15"/>
      <c r="AG1383" s="10"/>
      <c r="AH1383" s="10"/>
      <c r="AI1383" s="10"/>
      <c r="AJ1383" s="10"/>
      <c r="AK1383" s="10"/>
      <c r="AL1383" s="10" t="s">
        <v>2679</v>
      </c>
      <c r="AM1383" s="10"/>
      <c r="AN1383" s="10"/>
      <c r="AO1383" s="13" t="b">
        <v>0</v>
      </c>
      <c r="AP1383" s="10" t="s">
        <v>104</v>
      </c>
      <c r="AQ1383" s="10"/>
      <c r="AR1383" s="17"/>
      <c r="AS1383" s="17"/>
      <c r="AT1383" s="17"/>
      <c r="AU1383" s="17"/>
      <c r="AV1383" s="17"/>
      <c r="AW1383" s="10"/>
      <c r="AX1383" s="17"/>
      <c r="AY1383" s="18" t="s">
        <v>257</v>
      </c>
      <c r="AZ1383" s="10"/>
      <c r="BA1383" s="20" t="b">
        <v>0</v>
      </c>
      <c r="BB1383" s="10"/>
      <c r="BC1383" s="17" t="s">
        <v>257</v>
      </c>
      <c r="BD1383" s="17" t="s">
        <v>257</v>
      </c>
      <c r="BE1383" s="17" t="s">
        <v>257</v>
      </c>
      <c r="BF1383" s="17" t="s">
        <v>257</v>
      </c>
      <c r="BG1383" s="11">
        <f ca="1">IFERROR(__xludf.DUMMYFUNCTION("""COMPUTED_VALUE"""),46075)</f>
        <v>46075</v>
      </c>
      <c r="BH1383" s="17"/>
      <c r="BI1383" s="17"/>
      <c r="BJ1383" s="15"/>
      <c r="BK1383" s="15"/>
      <c r="BL1383" s="13" t="b">
        <v>0</v>
      </c>
      <c r="BM1383" s="10"/>
      <c r="BN1383" s="10" t="s">
        <v>241</v>
      </c>
      <c r="BO1383" s="11">
        <v>45904.28460648148</v>
      </c>
      <c r="BP1383" s="11">
        <v>46007.631689814814</v>
      </c>
      <c r="BQ1383" s="15"/>
      <c r="BR1383" s="15"/>
      <c r="BS1383" s="10"/>
      <c r="BT1383" s="10"/>
      <c r="BU1383" s="10"/>
      <c r="BV1383" s="10"/>
      <c r="BW1383" s="10"/>
      <c r="BX1383" s="10"/>
      <c r="BY1383" s="23"/>
      <c r="BZ1383" s="23"/>
      <c r="CA1383" s="23"/>
      <c r="CB1383" s="23"/>
      <c r="CC1383" s="23"/>
      <c r="CD1383" s="23"/>
      <c r="CE1383" s="23"/>
      <c r="CF1383" s="23"/>
      <c r="CG1383" s="23"/>
      <c r="CH1383" s="23"/>
      <c r="CI1383" s="23"/>
    </row>
    <row r="1384" spans="1:87" x14ac:dyDescent="0.3">
      <c r="A1384" s="9" t="s">
        <v>10877</v>
      </c>
      <c r="B1384" s="10" t="s">
        <v>10878</v>
      </c>
      <c r="C1384" s="11">
        <v>46075</v>
      </c>
      <c r="D1384" s="12">
        <v>8.3333333333333329E-2</v>
      </c>
      <c r="E1384" s="11">
        <v>46075.083333333336</v>
      </c>
      <c r="F1384" s="10" t="s">
        <v>3211</v>
      </c>
      <c r="G1384" s="13" t="b">
        <v>0</v>
      </c>
      <c r="H1384" s="10" t="s">
        <v>3212</v>
      </c>
      <c r="I1384" s="10" t="s">
        <v>3213</v>
      </c>
      <c r="J1384" s="13" t="b">
        <v>0</v>
      </c>
      <c r="K1384" s="13" t="b">
        <v>1</v>
      </c>
      <c r="L1384" s="10" t="s">
        <v>124</v>
      </c>
      <c r="M1384" s="10" t="s">
        <v>91</v>
      </c>
      <c r="N1384" s="10" t="s">
        <v>92</v>
      </c>
      <c r="O1384" s="10"/>
      <c r="P1384" s="10"/>
      <c r="Q1384" s="10" t="s">
        <v>94</v>
      </c>
      <c r="R1384" s="10"/>
      <c r="S1384" s="10"/>
      <c r="T1384" s="10"/>
      <c r="U1384" s="10" t="s">
        <v>3239</v>
      </c>
      <c r="V1384" s="10" t="s">
        <v>3250</v>
      </c>
      <c r="W1384" s="10" t="s">
        <v>3219</v>
      </c>
      <c r="X1384" s="10" t="s">
        <v>130</v>
      </c>
      <c r="Y1384" s="10" t="s">
        <v>130</v>
      </c>
      <c r="Z1384" s="10" t="s">
        <v>99</v>
      </c>
      <c r="AA1384" s="10" t="s">
        <v>131</v>
      </c>
      <c r="AB1384" s="10" t="s">
        <v>3220</v>
      </c>
      <c r="AC1384" s="10" t="s">
        <v>3221</v>
      </c>
      <c r="AD1384" s="10" t="s">
        <v>10879</v>
      </c>
      <c r="AE1384" s="10" t="s">
        <v>10880</v>
      </c>
      <c r="AF1384" s="15"/>
      <c r="AG1384" s="10"/>
      <c r="AH1384" s="10"/>
      <c r="AI1384" s="10"/>
      <c r="AJ1384" s="10"/>
      <c r="AK1384" s="10"/>
      <c r="AL1384" s="10" t="s">
        <v>2679</v>
      </c>
      <c r="AM1384" s="10"/>
      <c r="AN1384" s="10"/>
      <c r="AO1384" s="13" t="b">
        <v>0</v>
      </c>
      <c r="AP1384" s="10" t="s">
        <v>104</v>
      </c>
      <c r="AQ1384" s="10"/>
      <c r="AR1384" s="17"/>
      <c r="AS1384" s="17"/>
      <c r="AT1384" s="17"/>
      <c r="AU1384" s="17"/>
      <c r="AV1384" s="17"/>
      <c r="AW1384" s="10"/>
      <c r="AX1384" s="17"/>
      <c r="AY1384" s="18" t="s">
        <v>257</v>
      </c>
      <c r="AZ1384" s="10"/>
      <c r="BA1384" s="20" t="b">
        <v>0</v>
      </c>
      <c r="BB1384" s="10"/>
      <c r="BC1384" s="17" t="s">
        <v>257</v>
      </c>
      <c r="BD1384" s="17" t="s">
        <v>257</v>
      </c>
      <c r="BE1384" s="17" t="s">
        <v>257</v>
      </c>
      <c r="BF1384" s="17" t="s">
        <v>257</v>
      </c>
      <c r="BG1384" s="11">
        <f ca="1">IFERROR(__xludf.DUMMYFUNCTION("""COMPUTED_VALUE"""),46075)</f>
        <v>46075</v>
      </c>
      <c r="BH1384" s="17"/>
      <c r="BI1384" s="17"/>
      <c r="BJ1384" s="15"/>
      <c r="BK1384" s="15"/>
      <c r="BL1384" s="13" t="b">
        <v>0</v>
      </c>
      <c r="BM1384" s="10"/>
      <c r="BN1384" s="10" t="s">
        <v>241</v>
      </c>
      <c r="BO1384" s="11">
        <v>45904.28460648148</v>
      </c>
      <c r="BP1384" s="11">
        <v>46007.631782407407</v>
      </c>
      <c r="BQ1384" s="15"/>
      <c r="BR1384" s="15"/>
      <c r="BS1384" s="10"/>
      <c r="BT1384" s="10"/>
      <c r="BU1384" s="10"/>
      <c r="BV1384" s="10"/>
      <c r="BW1384" s="10"/>
      <c r="BX1384" s="10"/>
      <c r="BY1384" s="23"/>
      <c r="BZ1384" s="23"/>
      <c r="CA1384" s="23"/>
      <c r="CB1384" s="23"/>
      <c r="CC1384" s="23"/>
      <c r="CD1384" s="23"/>
      <c r="CE1384" s="23"/>
      <c r="CF1384" s="23"/>
      <c r="CG1384" s="23"/>
      <c r="CH1384" s="23"/>
      <c r="CI1384" s="23"/>
    </row>
    <row r="1385" spans="1:87" x14ac:dyDescent="0.3">
      <c r="A1385" s="25" t="s">
        <v>10881</v>
      </c>
      <c r="B1385" s="10" t="s">
        <v>10882</v>
      </c>
      <c r="C1385" s="11">
        <v>46075</v>
      </c>
      <c r="D1385" s="12">
        <v>8.3333333333333329E-2</v>
      </c>
      <c r="E1385" s="11">
        <v>46075.083333333336</v>
      </c>
      <c r="F1385" s="10" t="s">
        <v>3211</v>
      </c>
      <c r="G1385" s="13" t="b">
        <v>0</v>
      </c>
      <c r="H1385" s="10" t="s">
        <v>3212</v>
      </c>
      <c r="I1385" s="10" t="s">
        <v>3213</v>
      </c>
      <c r="J1385" s="13" t="b">
        <v>0</v>
      </c>
      <c r="K1385" s="13" t="b">
        <v>1</v>
      </c>
      <c r="L1385" s="10" t="s">
        <v>124</v>
      </c>
      <c r="M1385" s="10" t="s">
        <v>91</v>
      </c>
      <c r="N1385" s="10" t="s">
        <v>92</v>
      </c>
      <c r="O1385" s="10"/>
      <c r="P1385" s="10"/>
      <c r="Q1385" s="10" t="s">
        <v>94</v>
      </c>
      <c r="R1385" s="10"/>
      <c r="S1385" s="10"/>
      <c r="T1385" s="10"/>
      <c r="U1385" s="10" t="s">
        <v>3240</v>
      </c>
      <c r="V1385" s="10" t="s">
        <v>3451</v>
      </c>
      <c r="W1385" s="10" t="s">
        <v>3219</v>
      </c>
      <c r="X1385" s="10" t="s">
        <v>130</v>
      </c>
      <c r="Y1385" s="10" t="s">
        <v>130</v>
      </c>
      <c r="Z1385" s="10" t="s">
        <v>99</v>
      </c>
      <c r="AA1385" s="10" t="s">
        <v>131</v>
      </c>
      <c r="AB1385" s="10" t="s">
        <v>3220</v>
      </c>
      <c r="AC1385" s="10" t="s">
        <v>3221</v>
      </c>
      <c r="AD1385" s="10" t="s">
        <v>10883</v>
      </c>
      <c r="AE1385" s="10" t="s">
        <v>10884</v>
      </c>
      <c r="AF1385" s="15"/>
      <c r="AG1385" s="10"/>
      <c r="AH1385" s="10"/>
      <c r="AI1385" s="10"/>
      <c r="AJ1385" s="10"/>
      <c r="AK1385" s="10"/>
      <c r="AL1385" s="10" t="s">
        <v>2679</v>
      </c>
      <c r="AM1385" s="10"/>
      <c r="AN1385" s="10"/>
      <c r="AO1385" s="13" t="b">
        <v>0</v>
      </c>
      <c r="AP1385" s="10" t="s">
        <v>104</v>
      </c>
      <c r="AQ1385" s="10"/>
      <c r="AR1385" s="17"/>
      <c r="AS1385" s="17"/>
      <c r="AT1385" s="17"/>
      <c r="AU1385" s="17"/>
      <c r="AV1385" s="17"/>
      <c r="AW1385" s="10"/>
      <c r="AX1385" s="17"/>
      <c r="AY1385" s="18" t="s">
        <v>257</v>
      </c>
      <c r="AZ1385" s="10"/>
      <c r="BA1385" s="20" t="b">
        <v>0</v>
      </c>
      <c r="BB1385" s="10"/>
      <c r="BC1385" s="17" t="s">
        <v>257</v>
      </c>
      <c r="BD1385" s="17" t="s">
        <v>257</v>
      </c>
      <c r="BE1385" s="17" t="s">
        <v>257</v>
      </c>
      <c r="BF1385" s="17" t="s">
        <v>257</v>
      </c>
      <c r="BG1385" s="11">
        <f ca="1">IFERROR(__xludf.DUMMYFUNCTION("""COMPUTED_VALUE"""),46075)</f>
        <v>46075</v>
      </c>
      <c r="BH1385" s="17"/>
      <c r="BI1385" s="17"/>
      <c r="BJ1385" s="15"/>
      <c r="BK1385" s="15"/>
      <c r="BL1385" s="13" t="b">
        <v>0</v>
      </c>
      <c r="BM1385" s="10"/>
      <c r="BN1385" s="10" t="s">
        <v>241</v>
      </c>
      <c r="BO1385" s="11">
        <v>45904.28460648148</v>
      </c>
      <c r="BP1385" s="11">
        <v>46007.63212962963</v>
      </c>
      <c r="BQ1385" s="15"/>
      <c r="BR1385" s="15"/>
      <c r="BS1385" s="10"/>
      <c r="BT1385" s="10"/>
      <c r="BU1385" s="10"/>
      <c r="BV1385" s="10"/>
      <c r="BW1385" s="10"/>
      <c r="BX1385" s="10"/>
      <c r="BY1385" s="23"/>
      <c r="BZ1385" s="23"/>
      <c r="CA1385" s="23"/>
      <c r="CB1385" s="23"/>
      <c r="CC1385" s="23"/>
      <c r="CD1385" s="23"/>
      <c r="CE1385" s="23"/>
      <c r="CF1385" s="23"/>
      <c r="CG1385" s="23"/>
      <c r="CH1385" s="23"/>
      <c r="CI1385" s="23"/>
    </row>
    <row r="1386" spans="1:87" x14ac:dyDescent="0.3">
      <c r="A1386" s="9" t="s">
        <v>10885</v>
      </c>
      <c r="B1386" s="10" t="s">
        <v>10886</v>
      </c>
      <c r="C1386" s="11">
        <v>46075</v>
      </c>
      <c r="D1386" s="12">
        <v>8.3333333333333329E-2</v>
      </c>
      <c r="E1386" s="11">
        <v>46075.083333333336</v>
      </c>
      <c r="F1386" s="10" t="s">
        <v>3211</v>
      </c>
      <c r="G1386" s="13" t="b">
        <v>0</v>
      </c>
      <c r="H1386" s="10" t="s">
        <v>3212</v>
      </c>
      <c r="I1386" s="10" t="s">
        <v>3213</v>
      </c>
      <c r="J1386" s="13" t="b">
        <v>0</v>
      </c>
      <c r="K1386" s="13" t="b">
        <v>1</v>
      </c>
      <c r="L1386" s="10" t="s">
        <v>124</v>
      </c>
      <c r="M1386" s="10" t="s">
        <v>91</v>
      </c>
      <c r="N1386" s="10" t="s">
        <v>92</v>
      </c>
      <c r="O1386" s="10"/>
      <c r="P1386" s="10"/>
      <c r="Q1386" s="10" t="s">
        <v>94</v>
      </c>
      <c r="R1386" s="10"/>
      <c r="S1386" s="10"/>
      <c r="T1386" s="10"/>
      <c r="U1386" s="10" t="s">
        <v>3217</v>
      </c>
      <c r="V1386" s="10" t="s">
        <v>3279</v>
      </c>
      <c r="W1386" s="10" t="s">
        <v>3219</v>
      </c>
      <c r="X1386" s="10" t="s">
        <v>130</v>
      </c>
      <c r="Y1386" s="10" t="s">
        <v>130</v>
      </c>
      <c r="Z1386" s="10" t="s">
        <v>99</v>
      </c>
      <c r="AA1386" s="10" t="s">
        <v>131</v>
      </c>
      <c r="AB1386" s="10" t="s">
        <v>3220</v>
      </c>
      <c r="AC1386" s="10" t="s">
        <v>3221</v>
      </c>
      <c r="AD1386" s="10" t="s">
        <v>10887</v>
      </c>
      <c r="AE1386" s="10" t="s">
        <v>10888</v>
      </c>
      <c r="AF1386" s="15"/>
      <c r="AG1386" s="10"/>
      <c r="AH1386" s="10"/>
      <c r="AI1386" s="10"/>
      <c r="AJ1386" s="10"/>
      <c r="AK1386" s="10"/>
      <c r="AL1386" s="10" t="s">
        <v>2679</v>
      </c>
      <c r="AM1386" s="10"/>
      <c r="AN1386" s="10"/>
      <c r="AO1386" s="13" t="b">
        <v>0</v>
      </c>
      <c r="AP1386" s="10" t="s">
        <v>104</v>
      </c>
      <c r="AQ1386" s="10"/>
      <c r="AR1386" s="17"/>
      <c r="AS1386" s="17"/>
      <c r="AT1386" s="17"/>
      <c r="AU1386" s="17"/>
      <c r="AV1386" s="17"/>
      <c r="AW1386" s="10"/>
      <c r="AX1386" s="17"/>
      <c r="AY1386" s="18" t="s">
        <v>257</v>
      </c>
      <c r="AZ1386" s="10"/>
      <c r="BA1386" s="20" t="b">
        <v>0</v>
      </c>
      <c r="BB1386" s="10"/>
      <c r="BC1386" s="17" t="s">
        <v>257</v>
      </c>
      <c r="BD1386" s="17" t="s">
        <v>257</v>
      </c>
      <c r="BE1386" s="17" t="s">
        <v>257</v>
      </c>
      <c r="BF1386" s="17" t="s">
        <v>257</v>
      </c>
      <c r="BG1386" s="11">
        <f ca="1">IFERROR(__xludf.DUMMYFUNCTION("""COMPUTED_VALUE"""),46075)</f>
        <v>46075</v>
      </c>
      <c r="BH1386" s="17"/>
      <c r="BI1386" s="17"/>
      <c r="BJ1386" s="15"/>
      <c r="BK1386" s="15"/>
      <c r="BL1386" s="13" t="b">
        <v>0</v>
      </c>
      <c r="BM1386" s="10"/>
      <c r="BN1386" s="10" t="s">
        <v>241</v>
      </c>
      <c r="BO1386" s="11">
        <v>45904.28460648148</v>
      </c>
      <c r="BP1386" s="11">
        <v>46007.632245370369</v>
      </c>
      <c r="BQ1386" s="15"/>
      <c r="BR1386" s="15"/>
      <c r="BS1386" s="10"/>
      <c r="BT1386" s="10"/>
      <c r="BU1386" s="10"/>
      <c r="BV1386" s="10"/>
      <c r="BW1386" s="10"/>
      <c r="BX1386" s="10"/>
      <c r="BY1386" s="23"/>
      <c r="BZ1386" s="23"/>
      <c r="CA1386" s="23"/>
      <c r="CB1386" s="23"/>
      <c r="CC1386" s="23"/>
      <c r="CD1386" s="23"/>
      <c r="CE1386" s="23"/>
      <c r="CF1386" s="23"/>
      <c r="CG1386" s="23"/>
      <c r="CH1386" s="23"/>
      <c r="CI1386" s="23"/>
    </row>
    <row r="1387" spans="1:87" x14ac:dyDescent="0.3">
      <c r="A1387" s="9" t="s">
        <v>10889</v>
      </c>
      <c r="B1387" s="10" t="s">
        <v>10890</v>
      </c>
      <c r="C1387" s="11">
        <v>46075</v>
      </c>
      <c r="D1387" s="12">
        <v>8.3333333333333329E-2</v>
      </c>
      <c r="E1387" s="11">
        <v>46075.083333333336</v>
      </c>
      <c r="F1387" s="10" t="s">
        <v>3211</v>
      </c>
      <c r="G1387" s="13" t="b">
        <v>0</v>
      </c>
      <c r="H1387" s="10" t="s">
        <v>3212</v>
      </c>
      <c r="I1387" s="10" t="s">
        <v>3213</v>
      </c>
      <c r="J1387" s="13" t="b">
        <v>0</v>
      </c>
      <c r="K1387" s="13" t="b">
        <v>1</v>
      </c>
      <c r="L1387" s="10" t="s">
        <v>124</v>
      </c>
      <c r="M1387" s="10" t="s">
        <v>91</v>
      </c>
      <c r="N1387" s="10" t="s">
        <v>92</v>
      </c>
      <c r="O1387" s="10"/>
      <c r="P1387" s="10"/>
      <c r="Q1387" s="10" t="s">
        <v>126</v>
      </c>
      <c r="R1387" s="10"/>
      <c r="S1387" s="10"/>
      <c r="T1387" s="10"/>
      <c r="U1387" s="10" t="s">
        <v>3259</v>
      </c>
      <c r="V1387" s="10" t="s">
        <v>3249</v>
      </c>
      <c r="W1387" s="10" t="s">
        <v>3219</v>
      </c>
      <c r="X1387" s="10" t="s">
        <v>130</v>
      </c>
      <c r="Y1387" s="10" t="s">
        <v>130</v>
      </c>
      <c r="Z1387" s="10" t="s">
        <v>99</v>
      </c>
      <c r="AA1387" s="10" t="s">
        <v>131</v>
      </c>
      <c r="AB1387" s="10" t="s">
        <v>3220</v>
      </c>
      <c r="AC1387" s="10" t="s">
        <v>3221</v>
      </c>
      <c r="AD1387" s="10" t="s">
        <v>10891</v>
      </c>
      <c r="AE1387" s="10" t="s">
        <v>10892</v>
      </c>
      <c r="AF1387" s="15"/>
      <c r="AG1387" s="10"/>
      <c r="AH1387" s="10"/>
      <c r="AI1387" s="10"/>
      <c r="AJ1387" s="10"/>
      <c r="AK1387" s="10"/>
      <c r="AL1387" s="10" t="s">
        <v>2679</v>
      </c>
      <c r="AM1387" s="10"/>
      <c r="AN1387" s="10"/>
      <c r="AO1387" s="13" t="b">
        <v>1</v>
      </c>
      <c r="AP1387" s="10" t="s">
        <v>104</v>
      </c>
      <c r="AQ1387" s="10"/>
      <c r="AR1387" s="17"/>
      <c r="AS1387" s="17"/>
      <c r="AT1387" s="17"/>
      <c r="AU1387" s="17"/>
      <c r="AV1387" s="17"/>
      <c r="AW1387" s="10"/>
      <c r="AX1387" s="17"/>
      <c r="AY1387" s="18" t="s">
        <v>257</v>
      </c>
      <c r="AZ1387" s="10"/>
      <c r="BA1387" s="20" t="b">
        <v>0</v>
      </c>
      <c r="BB1387" s="10"/>
      <c r="BC1387" s="17" t="s">
        <v>257</v>
      </c>
      <c r="BD1387" s="17" t="s">
        <v>257</v>
      </c>
      <c r="BE1387" s="17" t="s">
        <v>257</v>
      </c>
      <c r="BF1387" s="17" t="s">
        <v>257</v>
      </c>
      <c r="BG1387" s="11">
        <f ca="1">IFERROR(__xludf.DUMMYFUNCTION("""COMPUTED_VALUE"""),46075)</f>
        <v>46075</v>
      </c>
      <c r="BH1387" s="17"/>
      <c r="BI1387" s="17"/>
      <c r="BJ1387" s="15"/>
      <c r="BK1387" s="15"/>
      <c r="BL1387" s="13" t="b">
        <v>0</v>
      </c>
      <c r="BM1387" s="10"/>
      <c r="BN1387" s="10" t="s">
        <v>10749</v>
      </c>
      <c r="BO1387" s="11">
        <v>45904.28460648148</v>
      </c>
      <c r="BP1387" s="11">
        <v>46007.632337962961</v>
      </c>
      <c r="BQ1387" s="15"/>
      <c r="BR1387" s="15"/>
      <c r="BS1387" s="10"/>
      <c r="BT1387" s="10" t="s">
        <v>99</v>
      </c>
      <c r="BU1387" s="10"/>
      <c r="BV1387" s="10"/>
      <c r="BW1387" s="10"/>
      <c r="BX1387" s="10"/>
      <c r="BY1387" s="23"/>
      <c r="BZ1387" s="23"/>
      <c r="CA1387" s="23"/>
      <c r="CB1387" s="23"/>
      <c r="CC1387" s="23"/>
      <c r="CD1387" s="23"/>
      <c r="CE1387" s="23"/>
      <c r="CF1387" s="23"/>
      <c r="CG1387" s="23"/>
      <c r="CH1387" s="23"/>
      <c r="CI1387" s="23"/>
    </row>
    <row r="1388" spans="1:87" x14ac:dyDescent="0.3">
      <c r="A1388" s="9" t="s">
        <v>10893</v>
      </c>
      <c r="B1388" s="10" t="s">
        <v>10894</v>
      </c>
      <c r="C1388" s="11">
        <v>46075</v>
      </c>
      <c r="D1388" s="12">
        <v>8.3333333333333329E-2</v>
      </c>
      <c r="E1388" s="11">
        <v>46075.083333333336</v>
      </c>
      <c r="F1388" s="10" t="s">
        <v>3211</v>
      </c>
      <c r="G1388" s="13" t="b">
        <v>0</v>
      </c>
      <c r="H1388" s="10" t="s">
        <v>3212</v>
      </c>
      <c r="I1388" s="10" t="s">
        <v>3213</v>
      </c>
      <c r="J1388" s="13" t="b">
        <v>0</v>
      </c>
      <c r="K1388" s="13" t="b">
        <v>1</v>
      </c>
      <c r="L1388" s="10" t="s">
        <v>124</v>
      </c>
      <c r="M1388" s="10" t="s">
        <v>91</v>
      </c>
      <c r="N1388" s="10" t="s">
        <v>92</v>
      </c>
      <c r="O1388" s="10"/>
      <c r="P1388" s="10"/>
      <c r="Q1388" s="10" t="s">
        <v>126</v>
      </c>
      <c r="R1388" s="10"/>
      <c r="S1388" s="10"/>
      <c r="T1388" s="10"/>
      <c r="U1388" s="10" t="s">
        <v>3218</v>
      </c>
      <c r="V1388" s="10" t="s">
        <v>3278</v>
      </c>
      <c r="W1388" s="10" t="s">
        <v>3219</v>
      </c>
      <c r="X1388" s="10" t="s">
        <v>130</v>
      </c>
      <c r="Y1388" s="10" t="s">
        <v>130</v>
      </c>
      <c r="Z1388" s="10" t="s">
        <v>99</v>
      </c>
      <c r="AA1388" s="10" t="s">
        <v>131</v>
      </c>
      <c r="AB1388" s="10" t="s">
        <v>3220</v>
      </c>
      <c r="AC1388" s="10" t="s">
        <v>3221</v>
      </c>
      <c r="AD1388" s="10" t="s">
        <v>10895</v>
      </c>
      <c r="AE1388" s="10" t="s">
        <v>10896</v>
      </c>
      <c r="AF1388" s="15"/>
      <c r="AG1388" s="10"/>
      <c r="AH1388" s="10"/>
      <c r="AI1388" s="10"/>
      <c r="AJ1388" s="10"/>
      <c r="AK1388" s="10"/>
      <c r="AL1388" s="10" t="s">
        <v>2679</v>
      </c>
      <c r="AM1388" s="10"/>
      <c r="AN1388" s="10"/>
      <c r="AO1388" s="13" t="b">
        <v>1</v>
      </c>
      <c r="AP1388" s="10" t="s">
        <v>104</v>
      </c>
      <c r="AQ1388" s="10"/>
      <c r="AR1388" s="17"/>
      <c r="AS1388" s="17"/>
      <c r="AT1388" s="17"/>
      <c r="AU1388" s="17"/>
      <c r="AV1388" s="17"/>
      <c r="AW1388" s="10"/>
      <c r="AX1388" s="17"/>
      <c r="AY1388" s="18" t="s">
        <v>257</v>
      </c>
      <c r="AZ1388" s="10"/>
      <c r="BA1388" s="20" t="b">
        <v>0</v>
      </c>
      <c r="BB1388" s="10"/>
      <c r="BC1388" s="17" t="s">
        <v>257</v>
      </c>
      <c r="BD1388" s="17" t="s">
        <v>257</v>
      </c>
      <c r="BE1388" s="17" t="s">
        <v>257</v>
      </c>
      <c r="BF1388" s="17" t="s">
        <v>257</v>
      </c>
      <c r="BG1388" s="11">
        <f ca="1">IFERROR(__xludf.DUMMYFUNCTION("""COMPUTED_VALUE"""),46075)</f>
        <v>46075</v>
      </c>
      <c r="BH1388" s="17"/>
      <c r="BI1388" s="17"/>
      <c r="BJ1388" s="15"/>
      <c r="BK1388" s="15"/>
      <c r="BL1388" s="13" t="b">
        <v>0</v>
      </c>
      <c r="BM1388" s="10"/>
      <c r="BN1388" s="10" t="s">
        <v>10749</v>
      </c>
      <c r="BO1388" s="11">
        <v>45904.28460648148</v>
      </c>
      <c r="BP1388" s="11">
        <v>46007.632453703707</v>
      </c>
      <c r="BQ1388" s="15"/>
      <c r="BR1388" s="15"/>
      <c r="BS1388" s="10"/>
      <c r="BT1388" s="10" t="s">
        <v>99</v>
      </c>
      <c r="BU1388" s="10"/>
      <c r="BV1388" s="10"/>
      <c r="BW1388" s="10"/>
      <c r="BX1388" s="10"/>
      <c r="BY1388" s="23"/>
      <c r="BZ1388" s="23"/>
      <c r="CA1388" s="23"/>
      <c r="CB1388" s="23"/>
      <c r="CC1388" s="23"/>
      <c r="CD1388" s="23"/>
      <c r="CE1388" s="23"/>
      <c r="CF1388" s="23"/>
      <c r="CG1388" s="23"/>
      <c r="CH1388" s="23"/>
      <c r="CI1388" s="23"/>
    </row>
    <row r="1389" spans="1:87" x14ac:dyDescent="0.3">
      <c r="A1389" s="9" t="s">
        <v>10897</v>
      </c>
      <c r="B1389" s="10" t="s">
        <v>10898</v>
      </c>
      <c r="C1389" s="11">
        <v>46075</v>
      </c>
      <c r="D1389" s="12">
        <v>8.3333333333333329E-2</v>
      </c>
      <c r="E1389" s="11">
        <v>46075.083333333336</v>
      </c>
      <c r="F1389" s="10" t="s">
        <v>3211</v>
      </c>
      <c r="G1389" s="13" t="b">
        <v>0</v>
      </c>
      <c r="H1389" s="10" t="s">
        <v>3212</v>
      </c>
      <c r="I1389" s="10" t="s">
        <v>3213</v>
      </c>
      <c r="J1389" s="13" t="b">
        <v>0</v>
      </c>
      <c r="K1389" s="13" t="b">
        <v>1</v>
      </c>
      <c r="L1389" s="10" t="s">
        <v>124</v>
      </c>
      <c r="M1389" s="10" t="s">
        <v>91</v>
      </c>
      <c r="N1389" s="10" t="s">
        <v>92</v>
      </c>
      <c r="O1389" s="10"/>
      <c r="P1389" s="10"/>
      <c r="Q1389" s="10" t="s">
        <v>126</v>
      </c>
      <c r="R1389" s="10"/>
      <c r="S1389" s="10"/>
      <c r="T1389" s="10"/>
      <c r="U1389" s="10" t="s">
        <v>3289</v>
      </c>
      <c r="V1389" s="10" t="s">
        <v>3260</v>
      </c>
      <c r="W1389" s="10" t="s">
        <v>3219</v>
      </c>
      <c r="X1389" s="10" t="s">
        <v>130</v>
      </c>
      <c r="Y1389" s="10" t="s">
        <v>130</v>
      </c>
      <c r="Z1389" s="10" t="s">
        <v>99</v>
      </c>
      <c r="AA1389" s="10" t="s">
        <v>131</v>
      </c>
      <c r="AB1389" s="10" t="s">
        <v>3220</v>
      </c>
      <c r="AC1389" s="10" t="s">
        <v>3221</v>
      </c>
      <c r="AD1389" s="10" t="s">
        <v>10899</v>
      </c>
      <c r="AE1389" s="10" t="s">
        <v>10900</v>
      </c>
      <c r="AF1389" s="15"/>
      <c r="AG1389" s="10"/>
      <c r="AH1389" s="10"/>
      <c r="AI1389" s="10"/>
      <c r="AJ1389" s="10"/>
      <c r="AK1389" s="10"/>
      <c r="AL1389" s="10" t="s">
        <v>2679</v>
      </c>
      <c r="AM1389" s="10"/>
      <c r="AN1389" s="10"/>
      <c r="AO1389" s="13" t="b">
        <v>1</v>
      </c>
      <c r="AP1389" s="10" t="s">
        <v>104</v>
      </c>
      <c r="AQ1389" s="10"/>
      <c r="AR1389" s="17"/>
      <c r="AS1389" s="17"/>
      <c r="AT1389" s="17"/>
      <c r="AU1389" s="17"/>
      <c r="AV1389" s="17"/>
      <c r="AW1389" s="10"/>
      <c r="AX1389" s="17"/>
      <c r="AY1389" s="18" t="s">
        <v>257</v>
      </c>
      <c r="AZ1389" s="10"/>
      <c r="BA1389" s="20" t="b">
        <v>0</v>
      </c>
      <c r="BB1389" s="10"/>
      <c r="BC1389" s="17" t="s">
        <v>257</v>
      </c>
      <c r="BD1389" s="17" t="s">
        <v>257</v>
      </c>
      <c r="BE1389" s="17" t="s">
        <v>257</v>
      </c>
      <c r="BF1389" s="17" t="s">
        <v>257</v>
      </c>
      <c r="BG1389" s="11">
        <f ca="1">IFERROR(__xludf.DUMMYFUNCTION("""COMPUTED_VALUE"""),46075)</f>
        <v>46075</v>
      </c>
      <c r="BH1389" s="17"/>
      <c r="BI1389" s="17"/>
      <c r="BJ1389" s="15"/>
      <c r="BK1389" s="15"/>
      <c r="BL1389" s="13" t="b">
        <v>0</v>
      </c>
      <c r="BM1389" s="10"/>
      <c r="BN1389" s="10" t="s">
        <v>10749</v>
      </c>
      <c r="BO1389" s="11">
        <v>45904.28460648148</v>
      </c>
      <c r="BP1389" s="11">
        <v>46007.632557870369</v>
      </c>
      <c r="BQ1389" s="15"/>
      <c r="BR1389" s="15"/>
      <c r="BS1389" s="10"/>
      <c r="BT1389" s="10" t="s">
        <v>99</v>
      </c>
      <c r="BU1389" s="10"/>
      <c r="BV1389" s="10"/>
      <c r="BW1389" s="10"/>
      <c r="BX1389" s="10"/>
      <c r="BY1389" s="23"/>
      <c r="BZ1389" s="23"/>
      <c r="CA1389" s="23"/>
      <c r="CB1389" s="23"/>
      <c r="CC1389" s="23"/>
      <c r="CD1389" s="23"/>
      <c r="CE1389" s="23"/>
      <c r="CF1389" s="23"/>
      <c r="CG1389" s="23"/>
      <c r="CH1389" s="23"/>
      <c r="CI1389" s="23"/>
    </row>
    <row r="1390" spans="1:87" x14ac:dyDescent="0.3">
      <c r="A1390" s="9" t="s">
        <v>10901</v>
      </c>
      <c r="B1390" s="10" t="s">
        <v>10902</v>
      </c>
      <c r="C1390" s="11">
        <v>46075</v>
      </c>
      <c r="D1390" s="12">
        <v>8.3333333333333329E-2</v>
      </c>
      <c r="E1390" s="11">
        <v>46075.083333333336</v>
      </c>
      <c r="F1390" s="10" t="s">
        <v>3211</v>
      </c>
      <c r="G1390" s="13" t="b">
        <v>0</v>
      </c>
      <c r="H1390" s="10" t="s">
        <v>3212</v>
      </c>
      <c r="I1390" s="10" t="s">
        <v>3213</v>
      </c>
      <c r="J1390" s="13" t="b">
        <v>0</v>
      </c>
      <c r="K1390" s="13" t="b">
        <v>1</v>
      </c>
      <c r="L1390" s="10" t="s">
        <v>124</v>
      </c>
      <c r="M1390" s="10" t="s">
        <v>91</v>
      </c>
      <c r="N1390" s="10" t="s">
        <v>92</v>
      </c>
      <c r="O1390" s="10"/>
      <c r="P1390" s="10"/>
      <c r="Q1390" s="10" t="s">
        <v>126</v>
      </c>
      <c r="R1390" s="10"/>
      <c r="S1390" s="10"/>
      <c r="T1390" s="10"/>
      <c r="U1390" s="10" t="s">
        <v>3229</v>
      </c>
      <c r="V1390" s="10" t="s">
        <v>3440</v>
      </c>
      <c r="W1390" s="10" t="s">
        <v>3219</v>
      </c>
      <c r="X1390" s="10" t="s">
        <v>130</v>
      </c>
      <c r="Y1390" s="10" t="s">
        <v>130</v>
      </c>
      <c r="Z1390" s="10" t="s">
        <v>99</v>
      </c>
      <c r="AA1390" s="10" t="s">
        <v>131</v>
      </c>
      <c r="AB1390" s="10" t="s">
        <v>3220</v>
      </c>
      <c r="AC1390" s="10" t="s">
        <v>3221</v>
      </c>
      <c r="AD1390" s="10" t="s">
        <v>10903</v>
      </c>
      <c r="AE1390" s="10" t="s">
        <v>10904</v>
      </c>
      <c r="AF1390" s="15"/>
      <c r="AG1390" s="10"/>
      <c r="AH1390" s="10"/>
      <c r="AI1390" s="10"/>
      <c r="AJ1390" s="10"/>
      <c r="AK1390" s="10"/>
      <c r="AL1390" s="10" t="s">
        <v>2679</v>
      </c>
      <c r="AM1390" s="10"/>
      <c r="AN1390" s="10"/>
      <c r="AO1390" s="13" t="b">
        <v>1</v>
      </c>
      <c r="AP1390" s="10" t="s">
        <v>104</v>
      </c>
      <c r="AQ1390" s="10"/>
      <c r="AR1390" s="17"/>
      <c r="AS1390" s="17"/>
      <c r="AT1390" s="17"/>
      <c r="AU1390" s="17"/>
      <c r="AV1390" s="17"/>
      <c r="AW1390" s="10"/>
      <c r="AX1390" s="17"/>
      <c r="AY1390" s="18" t="s">
        <v>257</v>
      </c>
      <c r="AZ1390" s="10"/>
      <c r="BA1390" s="20" t="b">
        <v>0</v>
      </c>
      <c r="BB1390" s="10"/>
      <c r="BC1390" s="17" t="s">
        <v>257</v>
      </c>
      <c r="BD1390" s="17" t="s">
        <v>257</v>
      </c>
      <c r="BE1390" s="17" t="s">
        <v>257</v>
      </c>
      <c r="BF1390" s="17" t="s">
        <v>257</v>
      </c>
      <c r="BG1390" s="11">
        <f ca="1">IFERROR(__xludf.DUMMYFUNCTION("""COMPUTED_VALUE"""),46075)</f>
        <v>46075</v>
      </c>
      <c r="BH1390" s="17"/>
      <c r="BI1390" s="17"/>
      <c r="BJ1390" s="15"/>
      <c r="BK1390" s="15"/>
      <c r="BL1390" s="13" t="b">
        <v>0</v>
      </c>
      <c r="BM1390" s="10"/>
      <c r="BN1390" s="10" t="s">
        <v>10749</v>
      </c>
      <c r="BO1390" s="11">
        <v>45904.28460648148</v>
      </c>
      <c r="BP1390" s="11">
        <v>46007.632777777777</v>
      </c>
      <c r="BQ1390" s="15"/>
      <c r="BR1390" s="15"/>
      <c r="BS1390" s="10"/>
      <c r="BT1390" s="10" t="s">
        <v>99</v>
      </c>
      <c r="BU1390" s="10"/>
      <c r="BV1390" s="10"/>
      <c r="BW1390" s="10"/>
      <c r="BX1390" s="10"/>
      <c r="BY1390" s="23"/>
      <c r="BZ1390" s="23"/>
      <c r="CA1390" s="23"/>
      <c r="CB1390" s="23"/>
      <c r="CC1390" s="23"/>
      <c r="CD1390" s="23"/>
      <c r="CE1390" s="23"/>
      <c r="CF1390" s="23"/>
      <c r="CG1390" s="23"/>
      <c r="CH1390" s="23"/>
      <c r="CI1390" s="23"/>
    </row>
    <row r="1391" spans="1:87" x14ac:dyDescent="0.3">
      <c r="A1391" s="9" t="s">
        <v>10905</v>
      </c>
      <c r="B1391" s="10" t="s">
        <v>10906</v>
      </c>
      <c r="C1391" s="11">
        <v>46075</v>
      </c>
      <c r="D1391" s="12">
        <v>8.3333333333333329E-2</v>
      </c>
      <c r="E1391" s="11">
        <v>46075.083333333336</v>
      </c>
      <c r="F1391" s="10" t="s">
        <v>3211</v>
      </c>
      <c r="G1391" s="13" t="b">
        <v>0</v>
      </c>
      <c r="H1391" s="10" t="s">
        <v>3212</v>
      </c>
      <c r="I1391" s="10" t="s">
        <v>3213</v>
      </c>
      <c r="J1391" s="13" t="b">
        <v>0</v>
      </c>
      <c r="K1391" s="13" t="b">
        <v>1</v>
      </c>
      <c r="L1391" s="10" t="s">
        <v>124</v>
      </c>
      <c r="M1391" s="10" t="s">
        <v>91</v>
      </c>
      <c r="N1391" s="10" t="s">
        <v>92</v>
      </c>
      <c r="O1391" s="10"/>
      <c r="P1391" s="10"/>
      <c r="Q1391" s="10" t="s">
        <v>126</v>
      </c>
      <c r="R1391" s="10"/>
      <c r="S1391" s="10"/>
      <c r="T1391" s="10"/>
      <c r="U1391" s="10" t="s">
        <v>3429</v>
      </c>
      <c r="V1391" s="10" t="s">
        <v>3270</v>
      </c>
      <c r="W1391" s="10" t="s">
        <v>3219</v>
      </c>
      <c r="X1391" s="10" t="s">
        <v>130</v>
      </c>
      <c r="Y1391" s="10" t="s">
        <v>130</v>
      </c>
      <c r="Z1391" s="10" t="s">
        <v>99</v>
      </c>
      <c r="AA1391" s="10" t="s">
        <v>131</v>
      </c>
      <c r="AB1391" s="10" t="s">
        <v>3220</v>
      </c>
      <c r="AC1391" s="10" t="s">
        <v>3221</v>
      </c>
      <c r="AD1391" s="10" t="s">
        <v>10907</v>
      </c>
      <c r="AE1391" s="10" t="s">
        <v>10908</v>
      </c>
      <c r="AF1391" s="15"/>
      <c r="AG1391" s="10"/>
      <c r="AH1391" s="10"/>
      <c r="AI1391" s="10"/>
      <c r="AJ1391" s="10"/>
      <c r="AK1391" s="10"/>
      <c r="AL1391" s="10" t="s">
        <v>2679</v>
      </c>
      <c r="AM1391" s="10"/>
      <c r="AN1391" s="10"/>
      <c r="AO1391" s="13" t="b">
        <v>1</v>
      </c>
      <c r="AP1391" s="10" t="s">
        <v>104</v>
      </c>
      <c r="AQ1391" s="10"/>
      <c r="AR1391" s="17"/>
      <c r="AS1391" s="17"/>
      <c r="AT1391" s="17"/>
      <c r="AU1391" s="17"/>
      <c r="AV1391" s="17"/>
      <c r="AW1391" s="10"/>
      <c r="AX1391" s="17"/>
      <c r="AY1391" s="18" t="s">
        <v>257</v>
      </c>
      <c r="AZ1391" s="10"/>
      <c r="BA1391" s="20" t="b">
        <v>0</v>
      </c>
      <c r="BB1391" s="10"/>
      <c r="BC1391" s="17" t="s">
        <v>257</v>
      </c>
      <c r="BD1391" s="17" t="s">
        <v>257</v>
      </c>
      <c r="BE1391" s="17" t="s">
        <v>257</v>
      </c>
      <c r="BF1391" s="17" t="s">
        <v>257</v>
      </c>
      <c r="BG1391" s="11">
        <f ca="1">IFERROR(__xludf.DUMMYFUNCTION("""COMPUTED_VALUE"""),46075)</f>
        <v>46075</v>
      </c>
      <c r="BH1391" s="17"/>
      <c r="BI1391" s="17"/>
      <c r="BJ1391" s="15"/>
      <c r="BK1391" s="15"/>
      <c r="BL1391" s="13" t="b">
        <v>0</v>
      </c>
      <c r="BM1391" s="10"/>
      <c r="BN1391" s="10" t="s">
        <v>10749</v>
      </c>
      <c r="BO1391" s="11">
        <v>45904.28460648148</v>
      </c>
      <c r="BP1391" s="11">
        <v>46007.632974537039</v>
      </c>
      <c r="BQ1391" s="15"/>
      <c r="BR1391" s="15"/>
      <c r="BS1391" s="10"/>
      <c r="BT1391" s="10" t="s">
        <v>99</v>
      </c>
      <c r="BU1391" s="10"/>
      <c r="BV1391" s="10"/>
      <c r="BW1391" s="10"/>
      <c r="BX1391" s="10"/>
      <c r="BY1391" s="23"/>
      <c r="BZ1391" s="23"/>
      <c r="CA1391" s="23"/>
      <c r="CB1391" s="23"/>
      <c r="CC1391" s="23"/>
      <c r="CD1391" s="23"/>
      <c r="CE1391" s="23"/>
      <c r="CF1391" s="23"/>
      <c r="CG1391" s="23"/>
      <c r="CH1391" s="23"/>
      <c r="CI1391" s="23"/>
    </row>
    <row r="1392" spans="1:87" x14ac:dyDescent="0.3">
      <c r="A1392" s="9" t="s">
        <v>10909</v>
      </c>
      <c r="B1392" s="10" t="s">
        <v>10910</v>
      </c>
      <c r="C1392" s="11">
        <v>46082</v>
      </c>
      <c r="D1392" s="12">
        <v>8.3333333333333329E-2</v>
      </c>
      <c r="E1392" s="11">
        <v>46082.083333333336</v>
      </c>
      <c r="F1392" s="10" t="s">
        <v>3211</v>
      </c>
      <c r="G1392" s="13" t="b">
        <v>0</v>
      </c>
      <c r="H1392" s="10" t="s">
        <v>3212</v>
      </c>
      <c r="I1392" s="10" t="s">
        <v>3213</v>
      </c>
      <c r="J1392" s="13" t="b">
        <v>0</v>
      </c>
      <c r="K1392" s="13" t="b">
        <v>1</v>
      </c>
      <c r="L1392" s="10" t="s">
        <v>124</v>
      </c>
      <c r="M1392" s="10" t="s">
        <v>91</v>
      </c>
      <c r="N1392" s="10" t="s">
        <v>92</v>
      </c>
      <c r="O1392" s="10"/>
      <c r="P1392" s="10"/>
      <c r="Q1392" s="10"/>
      <c r="R1392" s="10"/>
      <c r="S1392" s="10"/>
      <c r="T1392" s="10"/>
      <c r="U1392" s="10" t="s">
        <v>3249</v>
      </c>
      <c r="V1392" s="10" t="s">
        <v>3218</v>
      </c>
      <c r="W1392" s="10" t="s">
        <v>3219</v>
      </c>
      <c r="X1392" s="10" t="s">
        <v>130</v>
      </c>
      <c r="Y1392" s="10" t="s">
        <v>130</v>
      </c>
      <c r="Z1392" s="10" t="s">
        <v>99</v>
      </c>
      <c r="AA1392" s="10" t="s">
        <v>131</v>
      </c>
      <c r="AB1392" s="10" t="s">
        <v>3220</v>
      </c>
      <c r="AC1392" s="10" t="s">
        <v>3221</v>
      </c>
      <c r="AD1392" s="10" t="s">
        <v>10911</v>
      </c>
      <c r="AE1392" s="10" t="s">
        <v>10912</v>
      </c>
      <c r="AF1392" s="15"/>
      <c r="AG1392" s="10"/>
      <c r="AH1392" s="10"/>
      <c r="AI1392" s="10"/>
      <c r="AJ1392" s="10"/>
      <c r="AK1392" s="10"/>
      <c r="AL1392" s="10" t="s">
        <v>2720</v>
      </c>
      <c r="AM1392" s="10"/>
      <c r="AN1392" s="10"/>
      <c r="AO1392" s="13" t="b">
        <v>0</v>
      </c>
      <c r="AP1392" s="10" t="s">
        <v>104</v>
      </c>
      <c r="AQ1392" s="10"/>
      <c r="AR1392" s="17"/>
      <c r="AS1392" s="17"/>
      <c r="AT1392" s="17"/>
      <c r="AU1392" s="17"/>
      <c r="AV1392" s="17"/>
      <c r="AW1392" s="10"/>
      <c r="AX1392" s="17"/>
      <c r="AY1392" s="18" t="s">
        <v>257</v>
      </c>
      <c r="AZ1392" s="10"/>
      <c r="BA1392" s="20" t="b">
        <v>0</v>
      </c>
      <c r="BB1392" s="10"/>
      <c r="BC1392" s="17" t="s">
        <v>257</v>
      </c>
      <c r="BD1392" s="17" t="s">
        <v>257</v>
      </c>
      <c r="BE1392" s="17" t="s">
        <v>257</v>
      </c>
      <c r="BF1392" s="17" t="s">
        <v>257</v>
      </c>
      <c r="BG1392" s="11">
        <f ca="1">IFERROR(__xludf.DUMMYFUNCTION("""COMPUTED_VALUE"""),46082)</f>
        <v>46082</v>
      </c>
      <c r="BH1392" s="17"/>
      <c r="BI1392" s="17"/>
      <c r="BJ1392" s="15"/>
      <c r="BK1392" s="15"/>
      <c r="BL1392" s="13" t="b">
        <v>0</v>
      </c>
      <c r="BM1392" s="10"/>
      <c r="BN1392" s="10" t="s">
        <v>223</v>
      </c>
      <c r="BO1392" s="11">
        <v>45904.28460648148</v>
      </c>
      <c r="BP1392" s="11">
        <v>45904.28460648148</v>
      </c>
      <c r="BQ1392" s="15"/>
      <c r="BR1392" s="15"/>
      <c r="BS1392" s="10"/>
      <c r="BT1392" s="10"/>
      <c r="BU1392" s="10"/>
      <c r="BV1392" s="10"/>
      <c r="BW1392" s="10"/>
      <c r="BX1392" s="10"/>
      <c r="BY1392" s="23"/>
      <c r="BZ1392" s="23"/>
      <c r="CA1392" s="23"/>
      <c r="CB1392" s="23"/>
      <c r="CC1392" s="23"/>
      <c r="CD1392" s="23"/>
      <c r="CE1392" s="23"/>
      <c r="CF1392" s="23"/>
      <c r="CG1392" s="23"/>
      <c r="CH1392" s="23"/>
      <c r="CI1392" s="23"/>
    </row>
    <row r="1393" spans="1:87" x14ac:dyDescent="0.3">
      <c r="A1393" s="9" t="s">
        <v>10913</v>
      </c>
      <c r="B1393" s="10" t="s">
        <v>10914</v>
      </c>
      <c r="C1393" s="11">
        <v>46082</v>
      </c>
      <c r="D1393" s="12">
        <v>8.3333333333333329E-2</v>
      </c>
      <c r="E1393" s="11">
        <v>46082.083333333336</v>
      </c>
      <c r="F1393" s="10" t="s">
        <v>3211</v>
      </c>
      <c r="G1393" s="13" t="b">
        <v>0</v>
      </c>
      <c r="H1393" s="10" t="s">
        <v>3212</v>
      </c>
      <c r="I1393" s="10" t="s">
        <v>3213</v>
      </c>
      <c r="J1393" s="13" t="b">
        <v>0</v>
      </c>
      <c r="K1393" s="13" t="b">
        <v>1</v>
      </c>
      <c r="L1393" s="10" t="s">
        <v>124</v>
      </c>
      <c r="M1393" s="10" t="s">
        <v>91</v>
      </c>
      <c r="N1393" s="10" t="s">
        <v>92</v>
      </c>
      <c r="O1393" s="10"/>
      <c r="P1393" s="10"/>
      <c r="Q1393" s="10"/>
      <c r="R1393" s="10"/>
      <c r="S1393" s="10"/>
      <c r="T1393" s="10"/>
      <c r="U1393" s="10" t="s">
        <v>3440</v>
      </c>
      <c r="V1393" s="10" t="s">
        <v>3289</v>
      </c>
      <c r="W1393" s="10" t="s">
        <v>3219</v>
      </c>
      <c r="X1393" s="10" t="s">
        <v>130</v>
      </c>
      <c r="Y1393" s="10" t="s">
        <v>130</v>
      </c>
      <c r="Z1393" s="10" t="s">
        <v>99</v>
      </c>
      <c r="AA1393" s="10" t="s">
        <v>131</v>
      </c>
      <c r="AB1393" s="10" t="s">
        <v>3220</v>
      </c>
      <c r="AC1393" s="10" t="s">
        <v>3221</v>
      </c>
      <c r="AD1393" s="10" t="s">
        <v>10915</v>
      </c>
      <c r="AE1393" s="10" t="s">
        <v>10916</v>
      </c>
      <c r="AF1393" s="15"/>
      <c r="AG1393" s="10"/>
      <c r="AH1393" s="10"/>
      <c r="AI1393" s="10"/>
      <c r="AJ1393" s="10"/>
      <c r="AK1393" s="10"/>
      <c r="AL1393" s="10" t="s">
        <v>2720</v>
      </c>
      <c r="AM1393" s="10"/>
      <c r="AN1393" s="10"/>
      <c r="AO1393" s="13" t="b">
        <v>0</v>
      </c>
      <c r="AP1393" s="10" t="s">
        <v>104</v>
      </c>
      <c r="AQ1393" s="10"/>
      <c r="AR1393" s="17"/>
      <c r="AS1393" s="17"/>
      <c r="AT1393" s="17"/>
      <c r="AU1393" s="17"/>
      <c r="AV1393" s="17"/>
      <c r="AW1393" s="10"/>
      <c r="AX1393" s="17"/>
      <c r="AY1393" s="18" t="s">
        <v>257</v>
      </c>
      <c r="AZ1393" s="10"/>
      <c r="BA1393" s="20" t="b">
        <v>0</v>
      </c>
      <c r="BB1393" s="10"/>
      <c r="BC1393" s="17" t="s">
        <v>257</v>
      </c>
      <c r="BD1393" s="17" t="s">
        <v>257</v>
      </c>
      <c r="BE1393" s="17" t="s">
        <v>257</v>
      </c>
      <c r="BF1393" s="17" t="s">
        <v>257</v>
      </c>
      <c r="BG1393" s="11">
        <f ca="1">IFERROR(__xludf.DUMMYFUNCTION("""COMPUTED_VALUE"""),46082)</f>
        <v>46082</v>
      </c>
      <c r="BH1393" s="17"/>
      <c r="BI1393" s="17"/>
      <c r="BJ1393" s="15"/>
      <c r="BK1393" s="15"/>
      <c r="BL1393" s="13" t="b">
        <v>0</v>
      </c>
      <c r="BM1393" s="10"/>
      <c r="BN1393" s="10" t="s">
        <v>223</v>
      </c>
      <c r="BO1393" s="11">
        <v>45904.28460648148</v>
      </c>
      <c r="BP1393" s="11">
        <v>45904.28460648148</v>
      </c>
      <c r="BQ1393" s="15"/>
      <c r="BR1393" s="15"/>
      <c r="BS1393" s="10"/>
      <c r="BT1393" s="10"/>
      <c r="BU1393" s="10"/>
      <c r="BV1393" s="10"/>
      <c r="BW1393" s="10"/>
      <c r="BX1393" s="10"/>
      <c r="BY1393" s="23"/>
      <c r="BZ1393" s="23"/>
      <c r="CA1393" s="23"/>
      <c r="CB1393" s="23"/>
      <c r="CC1393" s="23"/>
      <c r="CD1393" s="23"/>
      <c r="CE1393" s="23"/>
      <c r="CF1393" s="23"/>
      <c r="CG1393" s="23"/>
      <c r="CH1393" s="23"/>
      <c r="CI1393" s="23"/>
    </row>
    <row r="1394" spans="1:87" x14ac:dyDescent="0.3">
      <c r="A1394" s="9" t="s">
        <v>10917</v>
      </c>
      <c r="B1394" s="10" t="s">
        <v>10918</v>
      </c>
      <c r="C1394" s="11">
        <v>46082</v>
      </c>
      <c r="D1394" s="12">
        <v>8.3333333333333329E-2</v>
      </c>
      <c r="E1394" s="11">
        <v>46082.083333333336</v>
      </c>
      <c r="F1394" s="10" t="s">
        <v>3211</v>
      </c>
      <c r="G1394" s="13" t="b">
        <v>0</v>
      </c>
      <c r="H1394" s="10" t="s">
        <v>3212</v>
      </c>
      <c r="I1394" s="10" t="s">
        <v>3213</v>
      </c>
      <c r="J1394" s="13" t="b">
        <v>0</v>
      </c>
      <c r="K1394" s="13" t="b">
        <v>1</v>
      </c>
      <c r="L1394" s="10" t="s">
        <v>124</v>
      </c>
      <c r="M1394" s="10" t="s">
        <v>91</v>
      </c>
      <c r="N1394" s="10" t="s">
        <v>92</v>
      </c>
      <c r="O1394" s="10"/>
      <c r="P1394" s="10"/>
      <c r="Q1394" s="10"/>
      <c r="R1394" s="10"/>
      <c r="S1394" s="10"/>
      <c r="T1394" s="10"/>
      <c r="U1394" s="10" t="s">
        <v>3278</v>
      </c>
      <c r="V1394" s="10" t="s">
        <v>3217</v>
      </c>
      <c r="W1394" s="10" t="s">
        <v>3219</v>
      </c>
      <c r="X1394" s="10" t="s">
        <v>130</v>
      </c>
      <c r="Y1394" s="10" t="s">
        <v>130</v>
      </c>
      <c r="Z1394" s="10" t="s">
        <v>99</v>
      </c>
      <c r="AA1394" s="10" t="s">
        <v>131</v>
      </c>
      <c r="AB1394" s="10" t="s">
        <v>3220</v>
      </c>
      <c r="AC1394" s="10" t="s">
        <v>3221</v>
      </c>
      <c r="AD1394" s="10" t="s">
        <v>10919</v>
      </c>
      <c r="AE1394" s="10" t="s">
        <v>10920</v>
      </c>
      <c r="AF1394" s="15"/>
      <c r="AG1394" s="10"/>
      <c r="AH1394" s="10"/>
      <c r="AI1394" s="10"/>
      <c r="AJ1394" s="10"/>
      <c r="AK1394" s="10"/>
      <c r="AL1394" s="10" t="s">
        <v>2720</v>
      </c>
      <c r="AM1394" s="10"/>
      <c r="AN1394" s="10"/>
      <c r="AO1394" s="13" t="b">
        <v>0</v>
      </c>
      <c r="AP1394" s="10" t="s">
        <v>104</v>
      </c>
      <c r="AQ1394" s="10"/>
      <c r="AR1394" s="17"/>
      <c r="AS1394" s="17"/>
      <c r="AT1394" s="17"/>
      <c r="AU1394" s="17"/>
      <c r="AV1394" s="17"/>
      <c r="AW1394" s="10"/>
      <c r="AX1394" s="17"/>
      <c r="AY1394" s="18" t="s">
        <v>257</v>
      </c>
      <c r="AZ1394" s="10"/>
      <c r="BA1394" s="20" t="b">
        <v>0</v>
      </c>
      <c r="BB1394" s="10"/>
      <c r="BC1394" s="17" t="s">
        <v>257</v>
      </c>
      <c r="BD1394" s="17" t="s">
        <v>257</v>
      </c>
      <c r="BE1394" s="17" t="s">
        <v>257</v>
      </c>
      <c r="BF1394" s="17" t="s">
        <v>257</v>
      </c>
      <c r="BG1394" s="11">
        <f ca="1">IFERROR(__xludf.DUMMYFUNCTION("""COMPUTED_VALUE"""),46082)</f>
        <v>46082</v>
      </c>
      <c r="BH1394" s="17"/>
      <c r="BI1394" s="17"/>
      <c r="BJ1394" s="15"/>
      <c r="BK1394" s="15"/>
      <c r="BL1394" s="13" t="b">
        <v>0</v>
      </c>
      <c r="BM1394" s="10"/>
      <c r="BN1394" s="10" t="s">
        <v>223</v>
      </c>
      <c r="BO1394" s="11">
        <v>45904.28460648148</v>
      </c>
      <c r="BP1394" s="11">
        <v>45904.28460648148</v>
      </c>
      <c r="BQ1394" s="15"/>
      <c r="BR1394" s="15"/>
      <c r="BS1394" s="10"/>
      <c r="BT1394" s="10"/>
      <c r="BU1394" s="10"/>
      <c r="BV1394" s="10"/>
      <c r="BW1394" s="10"/>
      <c r="BX1394" s="10"/>
      <c r="BY1394" s="23"/>
      <c r="BZ1394" s="23"/>
      <c r="CA1394" s="23"/>
      <c r="CB1394" s="23"/>
      <c r="CC1394" s="23"/>
      <c r="CD1394" s="23"/>
      <c r="CE1394" s="23"/>
      <c r="CF1394" s="23"/>
      <c r="CG1394" s="23"/>
      <c r="CH1394" s="23"/>
      <c r="CI1394" s="23"/>
    </row>
    <row r="1395" spans="1:87" x14ac:dyDescent="0.3">
      <c r="A1395" s="9" t="s">
        <v>10921</v>
      </c>
      <c r="B1395" s="10" t="s">
        <v>10922</v>
      </c>
      <c r="C1395" s="11">
        <v>46082</v>
      </c>
      <c r="D1395" s="12">
        <v>8.3333333333333329E-2</v>
      </c>
      <c r="E1395" s="11">
        <v>46082.083333333336</v>
      </c>
      <c r="F1395" s="10" t="s">
        <v>3211</v>
      </c>
      <c r="G1395" s="13" t="b">
        <v>0</v>
      </c>
      <c r="H1395" s="10" t="s">
        <v>3212</v>
      </c>
      <c r="I1395" s="10" t="s">
        <v>3213</v>
      </c>
      <c r="J1395" s="13" t="b">
        <v>0</v>
      </c>
      <c r="K1395" s="13" t="b">
        <v>1</v>
      </c>
      <c r="L1395" s="10" t="s">
        <v>124</v>
      </c>
      <c r="M1395" s="10" t="s">
        <v>91</v>
      </c>
      <c r="N1395" s="10" t="s">
        <v>92</v>
      </c>
      <c r="O1395" s="10"/>
      <c r="P1395" s="10"/>
      <c r="Q1395" s="10"/>
      <c r="R1395" s="10"/>
      <c r="S1395" s="10"/>
      <c r="T1395" s="10"/>
      <c r="U1395" s="10" t="s">
        <v>3260</v>
      </c>
      <c r="V1395" s="10" t="s">
        <v>3239</v>
      </c>
      <c r="W1395" s="10" t="s">
        <v>3219</v>
      </c>
      <c r="X1395" s="10" t="s">
        <v>130</v>
      </c>
      <c r="Y1395" s="10" t="s">
        <v>130</v>
      </c>
      <c r="Z1395" s="10" t="s">
        <v>99</v>
      </c>
      <c r="AA1395" s="10" t="s">
        <v>131</v>
      </c>
      <c r="AB1395" s="10" t="s">
        <v>3220</v>
      </c>
      <c r="AC1395" s="10" t="s">
        <v>3221</v>
      </c>
      <c r="AD1395" s="10" t="s">
        <v>10923</v>
      </c>
      <c r="AE1395" s="10" t="s">
        <v>10924</v>
      </c>
      <c r="AF1395" s="15"/>
      <c r="AG1395" s="10"/>
      <c r="AH1395" s="10"/>
      <c r="AI1395" s="10"/>
      <c r="AJ1395" s="10"/>
      <c r="AK1395" s="10"/>
      <c r="AL1395" s="10" t="s">
        <v>2720</v>
      </c>
      <c r="AM1395" s="10"/>
      <c r="AN1395" s="10"/>
      <c r="AO1395" s="13" t="b">
        <v>0</v>
      </c>
      <c r="AP1395" s="10" t="s">
        <v>104</v>
      </c>
      <c r="AQ1395" s="10"/>
      <c r="AR1395" s="17"/>
      <c r="AS1395" s="17"/>
      <c r="AT1395" s="17"/>
      <c r="AU1395" s="17"/>
      <c r="AV1395" s="17"/>
      <c r="AW1395" s="10"/>
      <c r="AX1395" s="17"/>
      <c r="AY1395" s="18" t="s">
        <v>257</v>
      </c>
      <c r="AZ1395" s="10"/>
      <c r="BA1395" s="20" t="b">
        <v>0</v>
      </c>
      <c r="BB1395" s="10"/>
      <c r="BC1395" s="17" t="s">
        <v>257</v>
      </c>
      <c r="BD1395" s="17" t="s">
        <v>257</v>
      </c>
      <c r="BE1395" s="17" t="s">
        <v>257</v>
      </c>
      <c r="BF1395" s="17" t="s">
        <v>257</v>
      </c>
      <c r="BG1395" s="11">
        <f ca="1">IFERROR(__xludf.DUMMYFUNCTION("""COMPUTED_VALUE"""),46082)</f>
        <v>46082</v>
      </c>
      <c r="BH1395" s="17"/>
      <c r="BI1395" s="17"/>
      <c r="BJ1395" s="15"/>
      <c r="BK1395" s="15"/>
      <c r="BL1395" s="13" t="b">
        <v>0</v>
      </c>
      <c r="BM1395" s="10"/>
      <c r="BN1395" s="10" t="s">
        <v>223</v>
      </c>
      <c r="BO1395" s="11">
        <v>45904.28460648148</v>
      </c>
      <c r="BP1395" s="11">
        <v>45904.28460648148</v>
      </c>
      <c r="BQ1395" s="15"/>
      <c r="BR1395" s="15"/>
      <c r="BS1395" s="10"/>
      <c r="BT1395" s="10"/>
      <c r="BU1395" s="10"/>
      <c r="BV1395" s="10"/>
      <c r="BW1395" s="10"/>
      <c r="BX1395" s="10"/>
      <c r="BY1395" s="23"/>
      <c r="BZ1395" s="23"/>
      <c r="CA1395" s="23"/>
      <c r="CB1395" s="23"/>
      <c r="CC1395" s="23"/>
      <c r="CD1395" s="23"/>
      <c r="CE1395" s="23"/>
      <c r="CF1395" s="23"/>
      <c r="CG1395" s="23"/>
      <c r="CH1395" s="23"/>
      <c r="CI1395" s="23"/>
    </row>
    <row r="1396" spans="1:87" x14ac:dyDescent="0.3">
      <c r="A1396" s="9" t="s">
        <v>10925</v>
      </c>
      <c r="B1396" s="10" t="s">
        <v>10926</v>
      </c>
      <c r="C1396" s="11">
        <v>46082</v>
      </c>
      <c r="D1396" s="12">
        <v>8.3333333333333329E-2</v>
      </c>
      <c r="E1396" s="11">
        <v>46082.083333333336</v>
      </c>
      <c r="F1396" s="10" t="s">
        <v>3211</v>
      </c>
      <c r="G1396" s="13" t="b">
        <v>0</v>
      </c>
      <c r="H1396" s="10" t="s">
        <v>3212</v>
      </c>
      <c r="I1396" s="10" t="s">
        <v>3213</v>
      </c>
      <c r="J1396" s="13" t="b">
        <v>0</v>
      </c>
      <c r="K1396" s="13" t="b">
        <v>1</v>
      </c>
      <c r="L1396" s="10" t="s">
        <v>124</v>
      </c>
      <c r="M1396" s="10" t="s">
        <v>91</v>
      </c>
      <c r="N1396" s="10" t="s">
        <v>92</v>
      </c>
      <c r="O1396" s="10"/>
      <c r="P1396" s="10"/>
      <c r="Q1396" s="10"/>
      <c r="R1396" s="10"/>
      <c r="S1396" s="10"/>
      <c r="T1396" s="10"/>
      <c r="U1396" s="10" t="s">
        <v>3451</v>
      </c>
      <c r="V1396" s="10" t="s">
        <v>3230</v>
      </c>
      <c r="W1396" s="10" t="s">
        <v>3219</v>
      </c>
      <c r="X1396" s="10" t="s">
        <v>130</v>
      </c>
      <c r="Y1396" s="10" t="s">
        <v>130</v>
      </c>
      <c r="Z1396" s="10" t="s">
        <v>99</v>
      </c>
      <c r="AA1396" s="10" t="s">
        <v>131</v>
      </c>
      <c r="AB1396" s="10" t="s">
        <v>3220</v>
      </c>
      <c r="AC1396" s="10" t="s">
        <v>3221</v>
      </c>
      <c r="AD1396" s="10" t="s">
        <v>10927</v>
      </c>
      <c r="AE1396" s="10" t="s">
        <v>10928</v>
      </c>
      <c r="AF1396" s="15"/>
      <c r="AG1396" s="10"/>
      <c r="AH1396" s="10"/>
      <c r="AI1396" s="10"/>
      <c r="AJ1396" s="10"/>
      <c r="AK1396" s="10"/>
      <c r="AL1396" s="10" t="s">
        <v>2720</v>
      </c>
      <c r="AM1396" s="10"/>
      <c r="AN1396" s="10"/>
      <c r="AO1396" s="13" t="b">
        <v>0</v>
      </c>
      <c r="AP1396" s="10" t="s">
        <v>104</v>
      </c>
      <c r="AQ1396" s="10"/>
      <c r="AR1396" s="17"/>
      <c r="AS1396" s="17"/>
      <c r="AT1396" s="17"/>
      <c r="AU1396" s="17"/>
      <c r="AV1396" s="17"/>
      <c r="AW1396" s="10"/>
      <c r="AX1396" s="17"/>
      <c r="AY1396" s="18" t="s">
        <v>257</v>
      </c>
      <c r="AZ1396" s="10"/>
      <c r="BA1396" s="20" t="b">
        <v>0</v>
      </c>
      <c r="BB1396" s="10"/>
      <c r="BC1396" s="17" t="s">
        <v>257</v>
      </c>
      <c r="BD1396" s="17" t="s">
        <v>257</v>
      </c>
      <c r="BE1396" s="17" t="s">
        <v>257</v>
      </c>
      <c r="BF1396" s="17" t="s">
        <v>257</v>
      </c>
      <c r="BG1396" s="11">
        <f ca="1">IFERROR(__xludf.DUMMYFUNCTION("""COMPUTED_VALUE"""),46082)</f>
        <v>46082</v>
      </c>
      <c r="BH1396" s="17"/>
      <c r="BI1396" s="17"/>
      <c r="BJ1396" s="15"/>
      <c r="BK1396" s="15"/>
      <c r="BL1396" s="13" t="b">
        <v>0</v>
      </c>
      <c r="BM1396" s="10"/>
      <c r="BN1396" s="10" t="s">
        <v>223</v>
      </c>
      <c r="BO1396" s="11">
        <v>45904.28460648148</v>
      </c>
      <c r="BP1396" s="11">
        <v>45904.28460648148</v>
      </c>
      <c r="BQ1396" s="15"/>
      <c r="BR1396" s="15"/>
      <c r="BS1396" s="10"/>
      <c r="BT1396" s="10"/>
      <c r="BU1396" s="10"/>
      <c r="BV1396" s="10"/>
      <c r="BW1396" s="10"/>
      <c r="BX1396" s="10"/>
      <c r="BY1396" s="23"/>
      <c r="BZ1396" s="23"/>
      <c r="CA1396" s="23"/>
      <c r="CB1396" s="23"/>
      <c r="CC1396" s="23"/>
      <c r="CD1396" s="23"/>
      <c r="CE1396" s="23"/>
      <c r="CF1396" s="23"/>
      <c r="CG1396" s="23"/>
      <c r="CH1396" s="23"/>
      <c r="CI1396" s="23"/>
    </row>
    <row r="1397" spans="1:87" x14ac:dyDescent="0.3">
      <c r="A1397" s="9" t="s">
        <v>10929</v>
      </c>
      <c r="B1397" s="10" t="s">
        <v>10930</v>
      </c>
      <c r="C1397" s="11">
        <v>46082</v>
      </c>
      <c r="D1397" s="12">
        <v>8.3333333333333329E-2</v>
      </c>
      <c r="E1397" s="11">
        <v>46082.083333333336</v>
      </c>
      <c r="F1397" s="10" t="s">
        <v>3211</v>
      </c>
      <c r="G1397" s="13" t="b">
        <v>0</v>
      </c>
      <c r="H1397" s="10" t="s">
        <v>3212</v>
      </c>
      <c r="I1397" s="10" t="s">
        <v>3213</v>
      </c>
      <c r="J1397" s="13" t="b">
        <v>0</v>
      </c>
      <c r="K1397" s="13" t="b">
        <v>1</v>
      </c>
      <c r="L1397" s="10" t="s">
        <v>124</v>
      </c>
      <c r="M1397" s="10" t="s">
        <v>91</v>
      </c>
      <c r="N1397" s="10" t="s">
        <v>92</v>
      </c>
      <c r="O1397" s="10"/>
      <c r="P1397" s="10"/>
      <c r="Q1397" s="10"/>
      <c r="R1397" s="10"/>
      <c r="S1397" s="10"/>
      <c r="T1397" s="10"/>
      <c r="U1397" s="10" t="s">
        <v>3229</v>
      </c>
      <c r="V1397" s="10" t="s">
        <v>3259</v>
      </c>
      <c r="W1397" s="10" t="s">
        <v>3219</v>
      </c>
      <c r="X1397" s="10" t="s">
        <v>130</v>
      </c>
      <c r="Y1397" s="10" t="s">
        <v>130</v>
      </c>
      <c r="Z1397" s="10" t="s">
        <v>99</v>
      </c>
      <c r="AA1397" s="10" t="s">
        <v>131</v>
      </c>
      <c r="AB1397" s="10" t="s">
        <v>3220</v>
      </c>
      <c r="AC1397" s="10" t="s">
        <v>3221</v>
      </c>
      <c r="AD1397" s="10" t="s">
        <v>10931</v>
      </c>
      <c r="AE1397" s="10" t="s">
        <v>10932</v>
      </c>
      <c r="AF1397" s="15"/>
      <c r="AG1397" s="10"/>
      <c r="AH1397" s="10"/>
      <c r="AI1397" s="10"/>
      <c r="AJ1397" s="10"/>
      <c r="AK1397" s="10"/>
      <c r="AL1397" s="10" t="s">
        <v>2720</v>
      </c>
      <c r="AM1397" s="10"/>
      <c r="AN1397" s="10"/>
      <c r="AO1397" s="13" t="b">
        <v>0</v>
      </c>
      <c r="AP1397" s="10" t="s">
        <v>104</v>
      </c>
      <c r="AQ1397" s="10"/>
      <c r="AR1397" s="17"/>
      <c r="AS1397" s="17"/>
      <c r="AT1397" s="17"/>
      <c r="AU1397" s="17"/>
      <c r="AV1397" s="17"/>
      <c r="AW1397" s="10"/>
      <c r="AX1397" s="17"/>
      <c r="AY1397" s="18" t="s">
        <v>257</v>
      </c>
      <c r="AZ1397" s="10"/>
      <c r="BA1397" s="20" t="b">
        <v>0</v>
      </c>
      <c r="BB1397" s="10"/>
      <c r="BC1397" s="17" t="s">
        <v>257</v>
      </c>
      <c r="BD1397" s="17" t="s">
        <v>257</v>
      </c>
      <c r="BE1397" s="17" t="s">
        <v>257</v>
      </c>
      <c r="BF1397" s="17" t="s">
        <v>257</v>
      </c>
      <c r="BG1397" s="11">
        <f ca="1">IFERROR(__xludf.DUMMYFUNCTION("""COMPUTED_VALUE"""),46082)</f>
        <v>46082</v>
      </c>
      <c r="BH1397" s="17"/>
      <c r="BI1397" s="17"/>
      <c r="BJ1397" s="15"/>
      <c r="BK1397" s="15"/>
      <c r="BL1397" s="13" t="b">
        <v>0</v>
      </c>
      <c r="BM1397" s="10"/>
      <c r="BN1397" s="10" t="s">
        <v>223</v>
      </c>
      <c r="BO1397" s="11">
        <v>45904.28460648148</v>
      </c>
      <c r="BP1397" s="11">
        <v>45904.28460648148</v>
      </c>
      <c r="BQ1397" s="15"/>
      <c r="BR1397" s="15"/>
      <c r="BS1397" s="10"/>
      <c r="BT1397" s="10"/>
      <c r="BU1397" s="10"/>
      <c r="BV1397" s="10"/>
      <c r="BW1397" s="10"/>
      <c r="BX1397" s="10"/>
      <c r="BY1397" s="23"/>
      <c r="BZ1397" s="23"/>
      <c r="CA1397" s="23"/>
      <c r="CB1397" s="23"/>
      <c r="CC1397" s="23"/>
      <c r="CD1397" s="23"/>
      <c r="CE1397" s="23"/>
      <c r="CF1397" s="23"/>
      <c r="CG1397" s="23"/>
      <c r="CH1397" s="23"/>
      <c r="CI1397" s="23"/>
    </row>
    <row r="1398" spans="1:87" x14ac:dyDescent="0.3">
      <c r="A1398" s="9" t="s">
        <v>10933</v>
      </c>
      <c r="B1398" s="10" t="s">
        <v>10934</v>
      </c>
      <c r="C1398" s="11">
        <v>46082</v>
      </c>
      <c r="D1398" s="12">
        <v>8.3333333333333329E-2</v>
      </c>
      <c r="E1398" s="11">
        <v>46082.083333333336</v>
      </c>
      <c r="F1398" s="10" t="s">
        <v>3211</v>
      </c>
      <c r="G1398" s="13" t="b">
        <v>0</v>
      </c>
      <c r="H1398" s="10" t="s">
        <v>3212</v>
      </c>
      <c r="I1398" s="10" t="s">
        <v>3213</v>
      </c>
      <c r="J1398" s="13" t="b">
        <v>0</v>
      </c>
      <c r="K1398" s="13" t="b">
        <v>1</v>
      </c>
      <c r="L1398" s="10" t="s">
        <v>124</v>
      </c>
      <c r="M1398" s="10" t="s">
        <v>91</v>
      </c>
      <c r="N1398" s="10" t="s">
        <v>92</v>
      </c>
      <c r="O1398" s="10"/>
      <c r="P1398" s="10"/>
      <c r="Q1398" s="10"/>
      <c r="R1398" s="10"/>
      <c r="S1398" s="10"/>
      <c r="T1398" s="10"/>
      <c r="U1398" s="10" t="s">
        <v>3429</v>
      </c>
      <c r="V1398" s="10" t="s">
        <v>3308</v>
      </c>
      <c r="W1398" s="10" t="s">
        <v>3219</v>
      </c>
      <c r="X1398" s="10" t="s">
        <v>130</v>
      </c>
      <c r="Y1398" s="10" t="s">
        <v>130</v>
      </c>
      <c r="Z1398" s="10" t="s">
        <v>99</v>
      </c>
      <c r="AA1398" s="10" t="s">
        <v>131</v>
      </c>
      <c r="AB1398" s="10" t="s">
        <v>3220</v>
      </c>
      <c r="AC1398" s="10" t="s">
        <v>3221</v>
      </c>
      <c r="AD1398" s="10" t="s">
        <v>10935</v>
      </c>
      <c r="AE1398" s="10" t="s">
        <v>10936</v>
      </c>
      <c r="AF1398" s="15"/>
      <c r="AG1398" s="10"/>
      <c r="AH1398" s="10"/>
      <c r="AI1398" s="10"/>
      <c r="AJ1398" s="10"/>
      <c r="AK1398" s="10"/>
      <c r="AL1398" s="10" t="s">
        <v>2720</v>
      </c>
      <c r="AM1398" s="10"/>
      <c r="AN1398" s="10"/>
      <c r="AO1398" s="13" t="b">
        <v>0</v>
      </c>
      <c r="AP1398" s="10" t="s">
        <v>104</v>
      </c>
      <c r="AQ1398" s="10"/>
      <c r="AR1398" s="17"/>
      <c r="AS1398" s="17"/>
      <c r="AT1398" s="17"/>
      <c r="AU1398" s="17"/>
      <c r="AV1398" s="17"/>
      <c r="AW1398" s="10"/>
      <c r="AX1398" s="17"/>
      <c r="AY1398" s="18" t="s">
        <v>257</v>
      </c>
      <c r="AZ1398" s="10"/>
      <c r="BA1398" s="20" t="b">
        <v>0</v>
      </c>
      <c r="BB1398" s="10"/>
      <c r="BC1398" s="17" t="s">
        <v>257</v>
      </c>
      <c r="BD1398" s="17" t="s">
        <v>257</v>
      </c>
      <c r="BE1398" s="17" t="s">
        <v>257</v>
      </c>
      <c r="BF1398" s="17" t="s">
        <v>257</v>
      </c>
      <c r="BG1398" s="11">
        <f ca="1">IFERROR(__xludf.DUMMYFUNCTION("""COMPUTED_VALUE"""),46082)</f>
        <v>46082</v>
      </c>
      <c r="BH1398" s="17"/>
      <c r="BI1398" s="17"/>
      <c r="BJ1398" s="15"/>
      <c r="BK1398" s="15"/>
      <c r="BL1398" s="13" t="b">
        <v>0</v>
      </c>
      <c r="BM1398" s="10"/>
      <c r="BN1398" s="10" t="s">
        <v>223</v>
      </c>
      <c r="BO1398" s="11">
        <v>45904.28460648148</v>
      </c>
      <c r="BP1398" s="11">
        <v>45904.28460648148</v>
      </c>
      <c r="BQ1398" s="15"/>
      <c r="BR1398" s="15"/>
      <c r="BS1398" s="10"/>
      <c r="BT1398" s="10"/>
      <c r="BU1398" s="10"/>
      <c r="BV1398" s="10"/>
      <c r="BW1398" s="10"/>
      <c r="BX1398" s="10"/>
      <c r="BY1398" s="23"/>
      <c r="BZ1398" s="23"/>
      <c r="CA1398" s="23"/>
      <c r="CB1398" s="23"/>
      <c r="CC1398" s="23"/>
      <c r="CD1398" s="23"/>
      <c r="CE1398" s="23"/>
      <c r="CF1398" s="23"/>
      <c r="CG1398" s="23"/>
      <c r="CH1398" s="23"/>
      <c r="CI1398" s="23"/>
    </row>
    <row r="1399" spans="1:87" x14ac:dyDescent="0.3">
      <c r="A1399" s="9" t="s">
        <v>10937</v>
      </c>
      <c r="B1399" s="10" t="s">
        <v>10938</v>
      </c>
      <c r="C1399" s="11">
        <v>46082</v>
      </c>
      <c r="D1399" s="12">
        <v>8.3333333333333329E-2</v>
      </c>
      <c r="E1399" s="11">
        <v>46082.083333333336</v>
      </c>
      <c r="F1399" s="10" t="s">
        <v>3211</v>
      </c>
      <c r="G1399" s="13" t="b">
        <v>0</v>
      </c>
      <c r="H1399" s="10" t="s">
        <v>3212</v>
      </c>
      <c r="I1399" s="10" t="s">
        <v>3213</v>
      </c>
      <c r="J1399" s="13" t="b">
        <v>0</v>
      </c>
      <c r="K1399" s="13" t="b">
        <v>1</v>
      </c>
      <c r="L1399" s="10" t="s">
        <v>124</v>
      </c>
      <c r="M1399" s="10" t="s">
        <v>91</v>
      </c>
      <c r="N1399" s="10" t="s">
        <v>92</v>
      </c>
      <c r="O1399" s="10"/>
      <c r="P1399" s="10"/>
      <c r="Q1399" s="10"/>
      <c r="R1399" s="10"/>
      <c r="S1399" s="10"/>
      <c r="T1399" s="10"/>
      <c r="U1399" s="10" t="s">
        <v>3279</v>
      </c>
      <c r="V1399" s="10" t="s">
        <v>3250</v>
      </c>
      <c r="W1399" s="10" t="s">
        <v>3219</v>
      </c>
      <c r="X1399" s="10" t="s">
        <v>130</v>
      </c>
      <c r="Y1399" s="10" t="s">
        <v>130</v>
      </c>
      <c r="Z1399" s="10" t="s">
        <v>99</v>
      </c>
      <c r="AA1399" s="10" t="s">
        <v>131</v>
      </c>
      <c r="AB1399" s="10" t="s">
        <v>3220</v>
      </c>
      <c r="AC1399" s="10" t="s">
        <v>3221</v>
      </c>
      <c r="AD1399" s="10" t="s">
        <v>10939</v>
      </c>
      <c r="AE1399" s="10" t="s">
        <v>10940</v>
      </c>
      <c r="AF1399" s="15"/>
      <c r="AG1399" s="10"/>
      <c r="AH1399" s="10"/>
      <c r="AI1399" s="10"/>
      <c r="AJ1399" s="10"/>
      <c r="AK1399" s="10"/>
      <c r="AL1399" s="10" t="s">
        <v>2720</v>
      </c>
      <c r="AM1399" s="10"/>
      <c r="AN1399" s="10"/>
      <c r="AO1399" s="13" t="b">
        <v>0</v>
      </c>
      <c r="AP1399" s="10" t="s">
        <v>104</v>
      </c>
      <c r="AQ1399" s="10"/>
      <c r="AR1399" s="17"/>
      <c r="AS1399" s="17"/>
      <c r="AT1399" s="17"/>
      <c r="AU1399" s="17"/>
      <c r="AV1399" s="17"/>
      <c r="AW1399" s="10"/>
      <c r="AX1399" s="17"/>
      <c r="AY1399" s="18" t="s">
        <v>257</v>
      </c>
      <c r="AZ1399" s="10"/>
      <c r="BA1399" s="20" t="b">
        <v>0</v>
      </c>
      <c r="BB1399" s="10"/>
      <c r="BC1399" s="17" t="s">
        <v>257</v>
      </c>
      <c r="BD1399" s="17" t="s">
        <v>257</v>
      </c>
      <c r="BE1399" s="17" t="s">
        <v>257</v>
      </c>
      <c r="BF1399" s="17" t="s">
        <v>257</v>
      </c>
      <c r="BG1399" s="11">
        <f ca="1">IFERROR(__xludf.DUMMYFUNCTION("""COMPUTED_VALUE"""),46082)</f>
        <v>46082</v>
      </c>
      <c r="BH1399" s="17"/>
      <c r="BI1399" s="17"/>
      <c r="BJ1399" s="15"/>
      <c r="BK1399" s="15"/>
      <c r="BL1399" s="13" t="b">
        <v>0</v>
      </c>
      <c r="BM1399" s="10"/>
      <c r="BN1399" s="10" t="s">
        <v>223</v>
      </c>
      <c r="BO1399" s="11">
        <v>45904.28460648148</v>
      </c>
      <c r="BP1399" s="11">
        <v>45904.28460648148</v>
      </c>
      <c r="BQ1399" s="15"/>
      <c r="BR1399" s="15"/>
      <c r="BS1399" s="10"/>
      <c r="BT1399" s="10"/>
      <c r="BU1399" s="10"/>
      <c r="BV1399" s="10"/>
      <c r="BW1399" s="10"/>
      <c r="BX1399" s="10"/>
      <c r="BY1399" s="23"/>
      <c r="BZ1399" s="23"/>
      <c r="CA1399" s="23"/>
      <c r="CB1399" s="23"/>
      <c r="CC1399" s="23"/>
      <c r="CD1399" s="23"/>
      <c r="CE1399" s="23"/>
      <c r="CF1399" s="23"/>
      <c r="CG1399" s="23"/>
      <c r="CH1399" s="23"/>
      <c r="CI1399" s="23"/>
    </row>
    <row r="1400" spans="1:87" x14ac:dyDescent="0.3">
      <c r="A1400" s="9" t="s">
        <v>10941</v>
      </c>
      <c r="B1400" s="10" t="s">
        <v>10942</v>
      </c>
      <c r="C1400" s="11">
        <v>46082</v>
      </c>
      <c r="D1400" s="12">
        <v>8.3333333333333329E-2</v>
      </c>
      <c r="E1400" s="11">
        <v>46082.083333333336</v>
      </c>
      <c r="F1400" s="10" t="s">
        <v>3211</v>
      </c>
      <c r="G1400" s="13" t="b">
        <v>0</v>
      </c>
      <c r="H1400" s="10" t="s">
        <v>3212</v>
      </c>
      <c r="I1400" s="10" t="s">
        <v>3213</v>
      </c>
      <c r="J1400" s="13" t="b">
        <v>0</v>
      </c>
      <c r="K1400" s="13" t="b">
        <v>1</v>
      </c>
      <c r="L1400" s="10" t="s">
        <v>124</v>
      </c>
      <c r="M1400" s="10" t="s">
        <v>91</v>
      </c>
      <c r="N1400" s="10" t="s">
        <v>92</v>
      </c>
      <c r="O1400" s="10"/>
      <c r="P1400" s="10"/>
      <c r="Q1400" s="10"/>
      <c r="R1400" s="10"/>
      <c r="S1400" s="10"/>
      <c r="T1400" s="10"/>
      <c r="U1400" s="10" t="s">
        <v>3269</v>
      </c>
      <c r="V1400" s="10" t="s">
        <v>3240</v>
      </c>
      <c r="W1400" s="10" t="s">
        <v>3219</v>
      </c>
      <c r="X1400" s="10" t="s">
        <v>130</v>
      </c>
      <c r="Y1400" s="10" t="s">
        <v>130</v>
      </c>
      <c r="Z1400" s="10" t="s">
        <v>99</v>
      </c>
      <c r="AA1400" s="10" t="s">
        <v>131</v>
      </c>
      <c r="AB1400" s="10" t="s">
        <v>3220</v>
      </c>
      <c r="AC1400" s="10" t="s">
        <v>3221</v>
      </c>
      <c r="AD1400" s="10" t="s">
        <v>10943</v>
      </c>
      <c r="AE1400" s="10" t="s">
        <v>10944</v>
      </c>
      <c r="AF1400" s="15"/>
      <c r="AG1400" s="10"/>
      <c r="AH1400" s="10"/>
      <c r="AI1400" s="10"/>
      <c r="AJ1400" s="10"/>
      <c r="AK1400" s="10"/>
      <c r="AL1400" s="10" t="s">
        <v>2720</v>
      </c>
      <c r="AM1400" s="10"/>
      <c r="AN1400" s="10"/>
      <c r="AO1400" s="13" t="b">
        <v>0</v>
      </c>
      <c r="AP1400" s="10" t="s">
        <v>104</v>
      </c>
      <c r="AQ1400" s="10"/>
      <c r="AR1400" s="17"/>
      <c r="AS1400" s="17"/>
      <c r="AT1400" s="17"/>
      <c r="AU1400" s="17"/>
      <c r="AV1400" s="17"/>
      <c r="AW1400" s="10"/>
      <c r="AX1400" s="17"/>
      <c r="AY1400" s="18" t="s">
        <v>257</v>
      </c>
      <c r="AZ1400" s="10"/>
      <c r="BA1400" s="20" t="b">
        <v>0</v>
      </c>
      <c r="BB1400" s="10"/>
      <c r="BC1400" s="17" t="s">
        <v>257</v>
      </c>
      <c r="BD1400" s="17" t="s">
        <v>257</v>
      </c>
      <c r="BE1400" s="17" t="s">
        <v>257</v>
      </c>
      <c r="BF1400" s="17" t="s">
        <v>257</v>
      </c>
      <c r="BG1400" s="11">
        <f ca="1">IFERROR(__xludf.DUMMYFUNCTION("""COMPUTED_VALUE"""),46082)</f>
        <v>46082</v>
      </c>
      <c r="BH1400" s="17"/>
      <c r="BI1400" s="17"/>
      <c r="BJ1400" s="15"/>
      <c r="BK1400" s="15"/>
      <c r="BL1400" s="13" t="b">
        <v>0</v>
      </c>
      <c r="BM1400" s="10"/>
      <c r="BN1400" s="10" t="s">
        <v>223</v>
      </c>
      <c r="BO1400" s="11">
        <v>45904.28460648148</v>
      </c>
      <c r="BP1400" s="11">
        <v>45904.28460648148</v>
      </c>
      <c r="BQ1400" s="15"/>
      <c r="BR1400" s="15"/>
      <c r="BS1400" s="10"/>
      <c r="BT1400" s="10"/>
      <c r="BU1400" s="10"/>
      <c r="BV1400" s="10"/>
      <c r="BW1400" s="10"/>
      <c r="BX1400" s="10"/>
      <c r="BY1400" s="23"/>
      <c r="BZ1400" s="23"/>
      <c r="CA1400" s="23"/>
      <c r="CB1400" s="23"/>
      <c r="CC1400" s="23"/>
      <c r="CD1400" s="23"/>
      <c r="CE1400" s="23"/>
      <c r="CF1400" s="23"/>
      <c r="CG1400" s="23"/>
      <c r="CH1400" s="23"/>
      <c r="CI1400" s="23"/>
    </row>
    <row r="1401" spans="1:87" x14ac:dyDescent="0.3">
      <c r="A1401" s="9" t="s">
        <v>10945</v>
      </c>
      <c r="B1401" s="10" t="s">
        <v>10946</v>
      </c>
      <c r="C1401" s="11">
        <v>46082</v>
      </c>
      <c r="D1401" s="12">
        <v>8.3333333333333329E-2</v>
      </c>
      <c r="E1401" s="11">
        <v>46082.083333333336</v>
      </c>
      <c r="F1401" s="10" t="s">
        <v>3211</v>
      </c>
      <c r="G1401" s="13" t="b">
        <v>0</v>
      </c>
      <c r="H1401" s="10" t="s">
        <v>3212</v>
      </c>
      <c r="I1401" s="10" t="s">
        <v>3213</v>
      </c>
      <c r="J1401" s="13" t="b">
        <v>0</v>
      </c>
      <c r="K1401" s="13" t="b">
        <v>1</v>
      </c>
      <c r="L1401" s="10" t="s">
        <v>124</v>
      </c>
      <c r="M1401" s="10" t="s">
        <v>91</v>
      </c>
      <c r="N1401" s="10" t="s">
        <v>92</v>
      </c>
      <c r="O1401" s="10"/>
      <c r="P1401" s="10"/>
      <c r="Q1401" s="10"/>
      <c r="R1401" s="10"/>
      <c r="S1401" s="10"/>
      <c r="T1401" s="10"/>
      <c r="U1401" s="10" t="s">
        <v>3270</v>
      </c>
      <c r="V1401" s="10" t="s">
        <v>3318</v>
      </c>
      <c r="W1401" s="10" t="s">
        <v>3219</v>
      </c>
      <c r="X1401" s="10" t="s">
        <v>130</v>
      </c>
      <c r="Y1401" s="10" t="s">
        <v>130</v>
      </c>
      <c r="Z1401" s="10" t="s">
        <v>99</v>
      </c>
      <c r="AA1401" s="10" t="s">
        <v>131</v>
      </c>
      <c r="AB1401" s="10" t="s">
        <v>3220</v>
      </c>
      <c r="AC1401" s="10" t="s">
        <v>3221</v>
      </c>
      <c r="AD1401" s="10" t="s">
        <v>10947</v>
      </c>
      <c r="AE1401" s="10" t="s">
        <v>10948</v>
      </c>
      <c r="AF1401" s="15"/>
      <c r="AG1401" s="10"/>
      <c r="AH1401" s="10"/>
      <c r="AI1401" s="10"/>
      <c r="AJ1401" s="10"/>
      <c r="AK1401" s="10"/>
      <c r="AL1401" s="10" t="s">
        <v>2720</v>
      </c>
      <c r="AM1401" s="10"/>
      <c r="AN1401" s="10"/>
      <c r="AO1401" s="13" t="b">
        <v>0</v>
      </c>
      <c r="AP1401" s="10" t="s">
        <v>104</v>
      </c>
      <c r="AQ1401" s="10"/>
      <c r="AR1401" s="17"/>
      <c r="AS1401" s="17"/>
      <c r="AT1401" s="17"/>
      <c r="AU1401" s="17"/>
      <c r="AV1401" s="17"/>
      <c r="AW1401" s="10"/>
      <c r="AX1401" s="17"/>
      <c r="AY1401" s="18" t="s">
        <v>257</v>
      </c>
      <c r="AZ1401" s="10"/>
      <c r="BA1401" s="20" t="b">
        <v>0</v>
      </c>
      <c r="BB1401" s="10"/>
      <c r="BC1401" s="17" t="s">
        <v>257</v>
      </c>
      <c r="BD1401" s="17" t="s">
        <v>257</v>
      </c>
      <c r="BE1401" s="17" t="s">
        <v>257</v>
      </c>
      <c r="BF1401" s="17" t="s">
        <v>257</v>
      </c>
      <c r="BG1401" s="11">
        <f ca="1">IFERROR(__xludf.DUMMYFUNCTION("""COMPUTED_VALUE"""),46082)</f>
        <v>46082</v>
      </c>
      <c r="BH1401" s="17"/>
      <c r="BI1401" s="17"/>
      <c r="BJ1401" s="15"/>
      <c r="BK1401" s="15"/>
      <c r="BL1401" s="13" t="b">
        <v>0</v>
      </c>
      <c r="BM1401" s="10"/>
      <c r="BN1401" s="10" t="s">
        <v>223</v>
      </c>
      <c r="BO1401" s="11">
        <v>45904.28460648148</v>
      </c>
      <c r="BP1401" s="11">
        <v>45904.28460648148</v>
      </c>
      <c r="BQ1401" s="15"/>
      <c r="BR1401" s="15"/>
      <c r="BS1401" s="10"/>
      <c r="BT1401" s="10"/>
      <c r="BU1401" s="10"/>
      <c r="BV1401" s="10"/>
      <c r="BW1401" s="10"/>
      <c r="BX1401" s="10"/>
      <c r="BY1401" s="23"/>
      <c r="BZ1401" s="23"/>
      <c r="CA1401" s="23"/>
      <c r="CB1401" s="23"/>
      <c r="CC1401" s="23"/>
      <c r="CD1401" s="23"/>
      <c r="CE1401" s="23"/>
      <c r="CF1401" s="23"/>
      <c r="CG1401" s="23"/>
      <c r="CH1401" s="23"/>
      <c r="CI1401" s="23"/>
    </row>
    <row r="1402" spans="1:87" x14ac:dyDescent="0.3">
      <c r="A1402" s="9" t="s">
        <v>10949</v>
      </c>
      <c r="B1402" s="10" t="s">
        <v>10950</v>
      </c>
      <c r="C1402" s="11">
        <v>46089</v>
      </c>
      <c r="D1402" s="12">
        <v>8.3333333333333329E-2</v>
      </c>
      <c r="E1402" s="11">
        <v>46089.083333333336</v>
      </c>
      <c r="F1402" s="10" t="s">
        <v>3211</v>
      </c>
      <c r="G1402" s="13" t="b">
        <v>0</v>
      </c>
      <c r="H1402" s="10" t="s">
        <v>3212</v>
      </c>
      <c r="I1402" s="10" t="s">
        <v>3213</v>
      </c>
      <c r="J1402" s="13" t="b">
        <v>0</v>
      </c>
      <c r="K1402" s="13" t="b">
        <v>1</v>
      </c>
      <c r="L1402" s="10" t="s">
        <v>124</v>
      </c>
      <c r="M1402" s="10" t="s">
        <v>91</v>
      </c>
      <c r="N1402" s="10" t="s">
        <v>92</v>
      </c>
      <c r="O1402" s="10"/>
      <c r="P1402" s="10"/>
      <c r="Q1402" s="10"/>
      <c r="R1402" s="10"/>
      <c r="S1402" s="10"/>
      <c r="T1402" s="10"/>
      <c r="U1402" s="10" t="s">
        <v>3308</v>
      </c>
      <c r="V1402" s="10" t="s">
        <v>3269</v>
      </c>
      <c r="W1402" s="10" t="s">
        <v>3219</v>
      </c>
      <c r="X1402" s="10" t="s">
        <v>130</v>
      </c>
      <c r="Y1402" s="10" t="s">
        <v>130</v>
      </c>
      <c r="Z1402" s="10" t="s">
        <v>99</v>
      </c>
      <c r="AA1402" s="10" t="s">
        <v>131</v>
      </c>
      <c r="AB1402" s="10" t="s">
        <v>3220</v>
      </c>
      <c r="AC1402" s="10" t="s">
        <v>3221</v>
      </c>
      <c r="AD1402" s="10" t="s">
        <v>10951</v>
      </c>
      <c r="AE1402" s="10" t="s">
        <v>10952</v>
      </c>
      <c r="AF1402" s="15"/>
      <c r="AG1402" s="10"/>
      <c r="AH1402" s="10"/>
      <c r="AI1402" s="10"/>
      <c r="AJ1402" s="10"/>
      <c r="AK1402" s="10"/>
      <c r="AL1402" s="10" t="s">
        <v>2761</v>
      </c>
      <c r="AM1402" s="10"/>
      <c r="AN1402" s="10"/>
      <c r="AO1402" s="13" t="b">
        <v>0</v>
      </c>
      <c r="AP1402" s="10" t="s">
        <v>104</v>
      </c>
      <c r="AQ1402" s="10"/>
      <c r="AR1402" s="17"/>
      <c r="AS1402" s="17"/>
      <c r="AT1402" s="17"/>
      <c r="AU1402" s="17"/>
      <c r="AV1402" s="17"/>
      <c r="AW1402" s="10"/>
      <c r="AX1402" s="17"/>
      <c r="AY1402" s="18" t="s">
        <v>257</v>
      </c>
      <c r="AZ1402" s="10"/>
      <c r="BA1402" s="20" t="b">
        <v>0</v>
      </c>
      <c r="BB1402" s="10"/>
      <c r="BC1402" s="17" t="s">
        <v>257</v>
      </c>
      <c r="BD1402" s="17" t="s">
        <v>257</v>
      </c>
      <c r="BE1402" s="17" t="s">
        <v>257</v>
      </c>
      <c r="BF1402" s="17" t="s">
        <v>257</v>
      </c>
      <c r="BG1402" s="11">
        <f ca="1">IFERROR(__xludf.DUMMYFUNCTION("""COMPUTED_VALUE"""),46089)</f>
        <v>46089</v>
      </c>
      <c r="BH1402" s="17"/>
      <c r="BI1402" s="17"/>
      <c r="BJ1402" s="15"/>
      <c r="BK1402" s="15"/>
      <c r="BL1402" s="13" t="b">
        <v>0</v>
      </c>
      <c r="BM1402" s="10"/>
      <c r="BN1402" s="10" t="s">
        <v>223</v>
      </c>
      <c r="BO1402" s="11">
        <v>45904.28460648148</v>
      </c>
      <c r="BP1402" s="11">
        <v>45904.28460648148</v>
      </c>
      <c r="BQ1402" s="15"/>
      <c r="BR1402" s="15"/>
      <c r="BS1402" s="10"/>
      <c r="BT1402" s="10"/>
      <c r="BU1402" s="10"/>
      <c r="BV1402" s="10"/>
      <c r="BW1402" s="10"/>
      <c r="BX1402" s="10"/>
      <c r="BY1402" s="23"/>
      <c r="BZ1402" s="23"/>
      <c r="CA1402" s="23"/>
      <c r="CB1402" s="23"/>
      <c r="CC1402" s="23"/>
      <c r="CD1402" s="23"/>
      <c r="CE1402" s="23"/>
      <c r="CF1402" s="23"/>
      <c r="CG1402" s="23"/>
      <c r="CH1402" s="23"/>
      <c r="CI1402" s="23"/>
    </row>
    <row r="1403" spans="1:87" x14ac:dyDescent="0.3">
      <c r="A1403" s="9" t="s">
        <v>10953</v>
      </c>
      <c r="B1403" s="10" t="s">
        <v>10954</v>
      </c>
      <c r="C1403" s="11">
        <v>46089</v>
      </c>
      <c r="D1403" s="12">
        <v>8.3333333333333329E-2</v>
      </c>
      <c r="E1403" s="11">
        <v>46089.083333333336</v>
      </c>
      <c r="F1403" s="10" t="s">
        <v>3211</v>
      </c>
      <c r="G1403" s="13" t="b">
        <v>0</v>
      </c>
      <c r="H1403" s="10" t="s">
        <v>3212</v>
      </c>
      <c r="I1403" s="10" t="s">
        <v>3213</v>
      </c>
      <c r="J1403" s="13" t="b">
        <v>0</v>
      </c>
      <c r="K1403" s="13" t="b">
        <v>1</v>
      </c>
      <c r="L1403" s="10" t="s">
        <v>124</v>
      </c>
      <c r="M1403" s="10" t="s">
        <v>91</v>
      </c>
      <c r="N1403" s="10" t="s">
        <v>92</v>
      </c>
      <c r="O1403" s="10"/>
      <c r="P1403" s="10"/>
      <c r="Q1403" s="10"/>
      <c r="R1403" s="10"/>
      <c r="S1403" s="10"/>
      <c r="T1403" s="10"/>
      <c r="U1403" s="10" t="s">
        <v>3230</v>
      </c>
      <c r="V1403" s="10" t="s">
        <v>3270</v>
      </c>
      <c r="W1403" s="10" t="s">
        <v>3219</v>
      </c>
      <c r="X1403" s="10" t="s">
        <v>130</v>
      </c>
      <c r="Y1403" s="10" t="s">
        <v>130</v>
      </c>
      <c r="Z1403" s="10" t="s">
        <v>99</v>
      </c>
      <c r="AA1403" s="10" t="s">
        <v>131</v>
      </c>
      <c r="AB1403" s="10" t="s">
        <v>3220</v>
      </c>
      <c r="AC1403" s="10" t="s">
        <v>3221</v>
      </c>
      <c r="AD1403" s="10" t="s">
        <v>10955</v>
      </c>
      <c r="AE1403" s="10" t="s">
        <v>10956</v>
      </c>
      <c r="AF1403" s="15"/>
      <c r="AG1403" s="10"/>
      <c r="AH1403" s="10"/>
      <c r="AI1403" s="10"/>
      <c r="AJ1403" s="10"/>
      <c r="AK1403" s="10"/>
      <c r="AL1403" s="10" t="s">
        <v>2761</v>
      </c>
      <c r="AM1403" s="10"/>
      <c r="AN1403" s="10"/>
      <c r="AO1403" s="13" t="b">
        <v>0</v>
      </c>
      <c r="AP1403" s="10" t="s">
        <v>104</v>
      </c>
      <c r="AQ1403" s="10"/>
      <c r="AR1403" s="17"/>
      <c r="AS1403" s="17"/>
      <c r="AT1403" s="17"/>
      <c r="AU1403" s="17"/>
      <c r="AV1403" s="17"/>
      <c r="AW1403" s="10"/>
      <c r="AX1403" s="17"/>
      <c r="AY1403" s="18" t="s">
        <v>257</v>
      </c>
      <c r="AZ1403" s="10"/>
      <c r="BA1403" s="20" t="b">
        <v>0</v>
      </c>
      <c r="BB1403" s="10"/>
      <c r="BC1403" s="17" t="s">
        <v>257</v>
      </c>
      <c r="BD1403" s="17" t="s">
        <v>257</v>
      </c>
      <c r="BE1403" s="17" t="s">
        <v>257</v>
      </c>
      <c r="BF1403" s="17" t="s">
        <v>257</v>
      </c>
      <c r="BG1403" s="11">
        <f ca="1">IFERROR(__xludf.DUMMYFUNCTION("""COMPUTED_VALUE"""),46089)</f>
        <v>46089</v>
      </c>
      <c r="BH1403" s="17"/>
      <c r="BI1403" s="17"/>
      <c r="BJ1403" s="15"/>
      <c r="BK1403" s="15"/>
      <c r="BL1403" s="13" t="b">
        <v>0</v>
      </c>
      <c r="BM1403" s="10"/>
      <c r="BN1403" s="10" t="s">
        <v>223</v>
      </c>
      <c r="BO1403" s="11">
        <v>45904.28460648148</v>
      </c>
      <c r="BP1403" s="11">
        <v>45904.28460648148</v>
      </c>
      <c r="BQ1403" s="15"/>
      <c r="BR1403" s="15"/>
      <c r="BS1403" s="10"/>
      <c r="BT1403" s="10"/>
      <c r="BU1403" s="10"/>
      <c r="BV1403" s="10"/>
      <c r="BW1403" s="10"/>
      <c r="BX1403" s="10"/>
      <c r="BY1403" s="23"/>
      <c r="BZ1403" s="23"/>
      <c r="CA1403" s="23"/>
      <c r="CB1403" s="23"/>
      <c r="CC1403" s="23"/>
      <c r="CD1403" s="23"/>
      <c r="CE1403" s="23"/>
      <c r="CF1403" s="23"/>
      <c r="CG1403" s="23"/>
      <c r="CH1403" s="23"/>
      <c r="CI1403" s="23"/>
    </row>
    <row r="1404" spans="1:87" x14ac:dyDescent="0.3">
      <c r="A1404" s="9" t="s">
        <v>10957</v>
      </c>
      <c r="B1404" s="10" t="s">
        <v>10958</v>
      </c>
      <c r="C1404" s="11">
        <v>46089</v>
      </c>
      <c r="D1404" s="12">
        <v>8.3333333333333329E-2</v>
      </c>
      <c r="E1404" s="11">
        <v>46089.083333333336</v>
      </c>
      <c r="F1404" s="10" t="s">
        <v>3211</v>
      </c>
      <c r="G1404" s="13" t="b">
        <v>0</v>
      </c>
      <c r="H1404" s="10" t="s">
        <v>3212</v>
      </c>
      <c r="I1404" s="10" t="s">
        <v>3213</v>
      </c>
      <c r="J1404" s="13" t="b">
        <v>0</v>
      </c>
      <c r="K1404" s="13" t="b">
        <v>1</v>
      </c>
      <c r="L1404" s="10" t="s">
        <v>124</v>
      </c>
      <c r="M1404" s="10" t="s">
        <v>91</v>
      </c>
      <c r="N1404" s="10" t="s">
        <v>92</v>
      </c>
      <c r="O1404" s="10"/>
      <c r="P1404" s="10"/>
      <c r="Q1404" s="10"/>
      <c r="R1404" s="10"/>
      <c r="S1404" s="10"/>
      <c r="T1404" s="10"/>
      <c r="U1404" s="10" t="s">
        <v>3239</v>
      </c>
      <c r="V1404" s="10" t="s">
        <v>3249</v>
      </c>
      <c r="W1404" s="10" t="s">
        <v>3219</v>
      </c>
      <c r="X1404" s="10" t="s">
        <v>130</v>
      </c>
      <c r="Y1404" s="10" t="s">
        <v>130</v>
      </c>
      <c r="Z1404" s="10" t="s">
        <v>99</v>
      </c>
      <c r="AA1404" s="10" t="s">
        <v>131</v>
      </c>
      <c r="AB1404" s="10" t="s">
        <v>3220</v>
      </c>
      <c r="AC1404" s="10" t="s">
        <v>3221</v>
      </c>
      <c r="AD1404" s="10" t="s">
        <v>10959</v>
      </c>
      <c r="AE1404" s="10" t="s">
        <v>10960</v>
      </c>
      <c r="AF1404" s="15"/>
      <c r="AG1404" s="10"/>
      <c r="AH1404" s="10"/>
      <c r="AI1404" s="10"/>
      <c r="AJ1404" s="10"/>
      <c r="AK1404" s="10"/>
      <c r="AL1404" s="10" t="s">
        <v>2761</v>
      </c>
      <c r="AM1404" s="10"/>
      <c r="AN1404" s="10"/>
      <c r="AO1404" s="13" t="b">
        <v>0</v>
      </c>
      <c r="AP1404" s="10" t="s">
        <v>104</v>
      </c>
      <c r="AQ1404" s="10"/>
      <c r="AR1404" s="17"/>
      <c r="AS1404" s="17"/>
      <c r="AT1404" s="17"/>
      <c r="AU1404" s="17"/>
      <c r="AV1404" s="17"/>
      <c r="AW1404" s="10"/>
      <c r="AX1404" s="17"/>
      <c r="AY1404" s="18" t="s">
        <v>257</v>
      </c>
      <c r="AZ1404" s="10"/>
      <c r="BA1404" s="20" t="b">
        <v>0</v>
      </c>
      <c r="BB1404" s="10"/>
      <c r="BC1404" s="17" t="s">
        <v>257</v>
      </c>
      <c r="BD1404" s="17" t="s">
        <v>257</v>
      </c>
      <c r="BE1404" s="17" t="s">
        <v>257</v>
      </c>
      <c r="BF1404" s="17" t="s">
        <v>257</v>
      </c>
      <c r="BG1404" s="11">
        <f ca="1">IFERROR(__xludf.DUMMYFUNCTION("""COMPUTED_VALUE"""),46089)</f>
        <v>46089</v>
      </c>
      <c r="BH1404" s="17"/>
      <c r="BI1404" s="17"/>
      <c r="BJ1404" s="15"/>
      <c r="BK1404" s="15"/>
      <c r="BL1404" s="13" t="b">
        <v>0</v>
      </c>
      <c r="BM1404" s="10"/>
      <c r="BN1404" s="10" t="s">
        <v>223</v>
      </c>
      <c r="BO1404" s="11">
        <v>45904.28460648148</v>
      </c>
      <c r="BP1404" s="11">
        <v>45904.28460648148</v>
      </c>
      <c r="BQ1404" s="15"/>
      <c r="BR1404" s="15"/>
      <c r="BS1404" s="10"/>
      <c r="BT1404" s="10"/>
      <c r="BU1404" s="10"/>
      <c r="BV1404" s="10"/>
      <c r="BW1404" s="10"/>
      <c r="BX1404" s="10"/>
      <c r="BY1404" s="23"/>
      <c r="BZ1404" s="23"/>
      <c r="CA1404" s="23"/>
      <c r="CB1404" s="23"/>
      <c r="CC1404" s="23"/>
      <c r="CD1404" s="23"/>
      <c r="CE1404" s="23"/>
      <c r="CF1404" s="23"/>
      <c r="CG1404" s="23"/>
      <c r="CH1404" s="23"/>
      <c r="CI1404" s="23"/>
    </row>
    <row r="1405" spans="1:87" x14ac:dyDescent="0.3">
      <c r="A1405" s="9" t="s">
        <v>10961</v>
      </c>
      <c r="B1405" s="10" t="s">
        <v>10962</v>
      </c>
      <c r="C1405" s="11">
        <v>46089</v>
      </c>
      <c r="D1405" s="12">
        <v>8.3333333333333329E-2</v>
      </c>
      <c r="E1405" s="11">
        <v>46089.083333333336</v>
      </c>
      <c r="F1405" s="10" t="s">
        <v>3211</v>
      </c>
      <c r="G1405" s="13" t="b">
        <v>0</v>
      </c>
      <c r="H1405" s="10" t="s">
        <v>3212</v>
      </c>
      <c r="I1405" s="10" t="s">
        <v>3213</v>
      </c>
      <c r="J1405" s="13" t="b">
        <v>0</v>
      </c>
      <c r="K1405" s="13" t="b">
        <v>1</v>
      </c>
      <c r="L1405" s="10" t="s">
        <v>124</v>
      </c>
      <c r="M1405" s="10" t="s">
        <v>91</v>
      </c>
      <c r="N1405" s="10" t="s">
        <v>92</v>
      </c>
      <c r="O1405" s="10"/>
      <c r="P1405" s="10"/>
      <c r="Q1405" s="10"/>
      <c r="R1405" s="10"/>
      <c r="S1405" s="10"/>
      <c r="T1405" s="10"/>
      <c r="U1405" s="10" t="s">
        <v>3240</v>
      </c>
      <c r="V1405" s="10" t="s">
        <v>3260</v>
      </c>
      <c r="W1405" s="10" t="s">
        <v>3219</v>
      </c>
      <c r="X1405" s="10" t="s">
        <v>130</v>
      </c>
      <c r="Y1405" s="10" t="s">
        <v>130</v>
      </c>
      <c r="Z1405" s="10" t="s">
        <v>99</v>
      </c>
      <c r="AA1405" s="10" t="s">
        <v>131</v>
      </c>
      <c r="AB1405" s="10" t="s">
        <v>3220</v>
      </c>
      <c r="AC1405" s="10" t="s">
        <v>3221</v>
      </c>
      <c r="AD1405" s="10" t="s">
        <v>10963</v>
      </c>
      <c r="AE1405" s="10" t="s">
        <v>10964</v>
      </c>
      <c r="AF1405" s="15"/>
      <c r="AG1405" s="10"/>
      <c r="AH1405" s="10"/>
      <c r="AI1405" s="10"/>
      <c r="AJ1405" s="10"/>
      <c r="AK1405" s="10"/>
      <c r="AL1405" s="10" t="s">
        <v>2761</v>
      </c>
      <c r="AM1405" s="10"/>
      <c r="AN1405" s="10"/>
      <c r="AO1405" s="13" t="b">
        <v>0</v>
      </c>
      <c r="AP1405" s="10" t="s">
        <v>104</v>
      </c>
      <c r="AQ1405" s="10"/>
      <c r="AR1405" s="17"/>
      <c r="AS1405" s="17"/>
      <c r="AT1405" s="17"/>
      <c r="AU1405" s="17"/>
      <c r="AV1405" s="17"/>
      <c r="AW1405" s="10"/>
      <c r="AX1405" s="17"/>
      <c r="AY1405" s="18" t="s">
        <v>257</v>
      </c>
      <c r="AZ1405" s="10"/>
      <c r="BA1405" s="20" t="b">
        <v>0</v>
      </c>
      <c r="BB1405" s="10"/>
      <c r="BC1405" s="17" t="s">
        <v>257</v>
      </c>
      <c r="BD1405" s="17" t="s">
        <v>257</v>
      </c>
      <c r="BE1405" s="17" t="s">
        <v>257</v>
      </c>
      <c r="BF1405" s="17" t="s">
        <v>257</v>
      </c>
      <c r="BG1405" s="11">
        <f ca="1">IFERROR(__xludf.DUMMYFUNCTION("""COMPUTED_VALUE"""),46089)</f>
        <v>46089</v>
      </c>
      <c r="BH1405" s="17"/>
      <c r="BI1405" s="17"/>
      <c r="BJ1405" s="15"/>
      <c r="BK1405" s="15"/>
      <c r="BL1405" s="13" t="b">
        <v>0</v>
      </c>
      <c r="BM1405" s="10"/>
      <c r="BN1405" s="10" t="s">
        <v>223</v>
      </c>
      <c r="BO1405" s="11">
        <v>45904.28460648148</v>
      </c>
      <c r="BP1405" s="11">
        <v>45904.28460648148</v>
      </c>
      <c r="BQ1405" s="15"/>
      <c r="BR1405" s="15"/>
      <c r="BS1405" s="10"/>
      <c r="BT1405" s="10"/>
      <c r="BU1405" s="10"/>
      <c r="BV1405" s="10"/>
      <c r="BW1405" s="10"/>
      <c r="BX1405" s="10"/>
      <c r="BY1405" s="23"/>
      <c r="BZ1405" s="23"/>
      <c r="CA1405" s="23"/>
      <c r="CB1405" s="23"/>
      <c r="CC1405" s="23"/>
      <c r="CD1405" s="23"/>
      <c r="CE1405" s="23"/>
      <c r="CF1405" s="23"/>
      <c r="CG1405" s="23"/>
      <c r="CH1405" s="23"/>
      <c r="CI1405" s="23"/>
    </row>
    <row r="1406" spans="1:87" x14ac:dyDescent="0.3">
      <c r="A1406" s="9" t="s">
        <v>10965</v>
      </c>
      <c r="B1406" s="10" t="s">
        <v>10966</v>
      </c>
      <c r="C1406" s="11">
        <v>46089</v>
      </c>
      <c r="D1406" s="12">
        <v>8.3333333333333329E-2</v>
      </c>
      <c r="E1406" s="11">
        <v>46089.083333333336</v>
      </c>
      <c r="F1406" s="10" t="s">
        <v>3211</v>
      </c>
      <c r="G1406" s="13" t="b">
        <v>0</v>
      </c>
      <c r="H1406" s="10" t="s">
        <v>3212</v>
      </c>
      <c r="I1406" s="10" t="s">
        <v>3213</v>
      </c>
      <c r="J1406" s="13" t="b">
        <v>0</v>
      </c>
      <c r="K1406" s="13" t="b">
        <v>1</v>
      </c>
      <c r="L1406" s="10" t="s">
        <v>124</v>
      </c>
      <c r="M1406" s="10" t="s">
        <v>91</v>
      </c>
      <c r="N1406" s="10" t="s">
        <v>92</v>
      </c>
      <c r="O1406" s="10"/>
      <c r="P1406" s="10"/>
      <c r="Q1406" s="10"/>
      <c r="R1406" s="10"/>
      <c r="S1406" s="10"/>
      <c r="T1406" s="10"/>
      <c r="U1406" s="10" t="s">
        <v>3217</v>
      </c>
      <c r="V1406" s="10" t="s">
        <v>3229</v>
      </c>
      <c r="W1406" s="10" t="s">
        <v>3219</v>
      </c>
      <c r="X1406" s="10" t="s">
        <v>130</v>
      </c>
      <c r="Y1406" s="10" t="s">
        <v>130</v>
      </c>
      <c r="Z1406" s="10" t="s">
        <v>99</v>
      </c>
      <c r="AA1406" s="10" t="s">
        <v>131</v>
      </c>
      <c r="AB1406" s="10" t="s">
        <v>3220</v>
      </c>
      <c r="AC1406" s="10" t="s">
        <v>3221</v>
      </c>
      <c r="AD1406" s="10" t="s">
        <v>10967</v>
      </c>
      <c r="AE1406" s="10" t="s">
        <v>10968</v>
      </c>
      <c r="AF1406" s="15"/>
      <c r="AG1406" s="10"/>
      <c r="AH1406" s="10"/>
      <c r="AI1406" s="10"/>
      <c r="AJ1406" s="10"/>
      <c r="AK1406" s="10"/>
      <c r="AL1406" s="10" t="s">
        <v>2761</v>
      </c>
      <c r="AM1406" s="10"/>
      <c r="AN1406" s="10"/>
      <c r="AO1406" s="13" t="b">
        <v>0</v>
      </c>
      <c r="AP1406" s="10" t="s">
        <v>104</v>
      </c>
      <c r="AQ1406" s="10"/>
      <c r="AR1406" s="17"/>
      <c r="AS1406" s="17"/>
      <c r="AT1406" s="17"/>
      <c r="AU1406" s="17"/>
      <c r="AV1406" s="17"/>
      <c r="AW1406" s="10"/>
      <c r="AX1406" s="17"/>
      <c r="AY1406" s="18" t="s">
        <v>257</v>
      </c>
      <c r="AZ1406" s="10"/>
      <c r="BA1406" s="20" t="b">
        <v>0</v>
      </c>
      <c r="BB1406" s="10"/>
      <c r="BC1406" s="17" t="s">
        <v>257</v>
      </c>
      <c r="BD1406" s="17" t="s">
        <v>257</v>
      </c>
      <c r="BE1406" s="17" t="s">
        <v>257</v>
      </c>
      <c r="BF1406" s="17" t="s">
        <v>257</v>
      </c>
      <c r="BG1406" s="11">
        <f ca="1">IFERROR(__xludf.DUMMYFUNCTION("""COMPUTED_VALUE"""),46089)</f>
        <v>46089</v>
      </c>
      <c r="BH1406" s="17"/>
      <c r="BI1406" s="17"/>
      <c r="BJ1406" s="15"/>
      <c r="BK1406" s="15"/>
      <c r="BL1406" s="13" t="b">
        <v>0</v>
      </c>
      <c r="BM1406" s="10"/>
      <c r="BN1406" s="10" t="s">
        <v>223</v>
      </c>
      <c r="BO1406" s="11">
        <v>45904.28460648148</v>
      </c>
      <c r="BP1406" s="11">
        <v>45904.28460648148</v>
      </c>
      <c r="BQ1406" s="15"/>
      <c r="BR1406" s="15"/>
      <c r="BS1406" s="10"/>
      <c r="BT1406" s="10"/>
      <c r="BU1406" s="10"/>
      <c r="BV1406" s="10"/>
      <c r="BW1406" s="10"/>
      <c r="BX1406" s="10"/>
      <c r="BY1406" s="23"/>
      <c r="BZ1406" s="23"/>
      <c r="CA1406" s="23"/>
      <c r="CB1406" s="23"/>
      <c r="CC1406" s="23"/>
      <c r="CD1406" s="23"/>
      <c r="CE1406" s="23"/>
      <c r="CF1406" s="23"/>
      <c r="CG1406" s="23"/>
      <c r="CH1406" s="23"/>
      <c r="CI1406" s="23"/>
    </row>
    <row r="1407" spans="1:87" x14ac:dyDescent="0.3">
      <c r="A1407" s="9" t="s">
        <v>10969</v>
      </c>
      <c r="B1407" s="10" t="s">
        <v>10970</v>
      </c>
      <c r="C1407" s="11">
        <v>46089</v>
      </c>
      <c r="D1407" s="12">
        <v>8.3333333333333329E-2</v>
      </c>
      <c r="E1407" s="11">
        <v>46089.083333333336</v>
      </c>
      <c r="F1407" s="10" t="s">
        <v>3211</v>
      </c>
      <c r="G1407" s="13" t="b">
        <v>0</v>
      </c>
      <c r="H1407" s="10" t="s">
        <v>3212</v>
      </c>
      <c r="I1407" s="10" t="s">
        <v>3213</v>
      </c>
      <c r="J1407" s="13" t="b">
        <v>0</v>
      </c>
      <c r="K1407" s="13" t="b">
        <v>1</v>
      </c>
      <c r="L1407" s="10" t="s">
        <v>124</v>
      </c>
      <c r="M1407" s="10" t="s">
        <v>91</v>
      </c>
      <c r="N1407" s="10" t="s">
        <v>92</v>
      </c>
      <c r="O1407" s="10"/>
      <c r="P1407" s="10"/>
      <c r="Q1407" s="10"/>
      <c r="R1407" s="10"/>
      <c r="S1407" s="10"/>
      <c r="T1407" s="10"/>
      <c r="U1407" s="10" t="s">
        <v>3259</v>
      </c>
      <c r="V1407" s="10" t="s">
        <v>3451</v>
      </c>
      <c r="W1407" s="10" t="s">
        <v>3219</v>
      </c>
      <c r="X1407" s="10" t="s">
        <v>130</v>
      </c>
      <c r="Y1407" s="10" t="s">
        <v>130</v>
      </c>
      <c r="Z1407" s="10" t="s">
        <v>99</v>
      </c>
      <c r="AA1407" s="10" t="s">
        <v>131</v>
      </c>
      <c r="AB1407" s="10" t="s">
        <v>3220</v>
      </c>
      <c r="AC1407" s="10" t="s">
        <v>3221</v>
      </c>
      <c r="AD1407" s="10" t="s">
        <v>10971</v>
      </c>
      <c r="AE1407" s="10" t="s">
        <v>10972</v>
      </c>
      <c r="AF1407" s="15"/>
      <c r="AG1407" s="10"/>
      <c r="AH1407" s="10"/>
      <c r="AI1407" s="10"/>
      <c r="AJ1407" s="10"/>
      <c r="AK1407" s="10"/>
      <c r="AL1407" s="10" t="s">
        <v>2761</v>
      </c>
      <c r="AM1407" s="10"/>
      <c r="AN1407" s="10"/>
      <c r="AO1407" s="13" t="b">
        <v>0</v>
      </c>
      <c r="AP1407" s="10" t="s">
        <v>104</v>
      </c>
      <c r="AQ1407" s="10"/>
      <c r="AR1407" s="17"/>
      <c r="AS1407" s="17"/>
      <c r="AT1407" s="17"/>
      <c r="AU1407" s="17"/>
      <c r="AV1407" s="17"/>
      <c r="AW1407" s="10"/>
      <c r="AX1407" s="17"/>
      <c r="AY1407" s="18" t="s">
        <v>257</v>
      </c>
      <c r="AZ1407" s="10"/>
      <c r="BA1407" s="20" t="b">
        <v>0</v>
      </c>
      <c r="BB1407" s="10"/>
      <c r="BC1407" s="17" t="s">
        <v>257</v>
      </c>
      <c r="BD1407" s="17" t="s">
        <v>257</v>
      </c>
      <c r="BE1407" s="17" t="s">
        <v>257</v>
      </c>
      <c r="BF1407" s="17" t="s">
        <v>257</v>
      </c>
      <c r="BG1407" s="11">
        <f ca="1">IFERROR(__xludf.DUMMYFUNCTION("""COMPUTED_VALUE"""),46089)</f>
        <v>46089</v>
      </c>
      <c r="BH1407" s="17"/>
      <c r="BI1407" s="17"/>
      <c r="BJ1407" s="15"/>
      <c r="BK1407" s="15"/>
      <c r="BL1407" s="13" t="b">
        <v>0</v>
      </c>
      <c r="BM1407" s="10"/>
      <c r="BN1407" s="10" t="s">
        <v>223</v>
      </c>
      <c r="BO1407" s="11">
        <v>45904.28460648148</v>
      </c>
      <c r="BP1407" s="11">
        <v>45904.28460648148</v>
      </c>
      <c r="BQ1407" s="15"/>
      <c r="BR1407" s="15"/>
      <c r="BS1407" s="10"/>
      <c r="BT1407" s="10"/>
      <c r="BU1407" s="10"/>
      <c r="BV1407" s="10"/>
      <c r="BW1407" s="10"/>
      <c r="BX1407" s="10"/>
      <c r="BY1407" s="23"/>
      <c r="BZ1407" s="23"/>
      <c r="CA1407" s="23"/>
      <c r="CB1407" s="23"/>
      <c r="CC1407" s="23"/>
      <c r="CD1407" s="23"/>
      <c r="CE1407" s="23"/>
      <c r="CF1407" s="23"/>
      <c r="CG1407" s="23"/>
      <c r="CH1407" s="23"/>
      <c r="CI1407" s="23"/>
    </row>
    <row r="1408" spans="1:87" x14ac:dyDescent="0.3">
      <c r="A1408" s="9" t="s">
        <v>10973</v>
      </c>
      <c r="B1408" s="10" t="s">
        <v>10974</v>
      </c>
      <c r="C1408" s="11">
        <v>46089</v>
      </c>
      <c r="D1408" s="12">
        <v>8.3333333333333329E-2</v>
      </c>
      <c r="E1408" s="11">
        <v>46089.083333333336</v>
      </c>
      <c r="F1408" s="10" t="s">
        <v>3211</v>
      </c>
      <c r="G1408" s="13" t="b">
        <v>0</v>
      </c>
      <c r="H1408" s="10" t="s">
        <v>3212</v>
      </c>
      <c r="I1408" s="10" t="s">
        <v>3213</v>
      </c>
      <c r="J1408" s="13" t="b">
        <v>0</v>
      </c>
      <c r="K1408" s="13" t="b">
        <v>1</v>
      </c>
      <c r="L1408" s="10" t="s">
        <v>124</v>
      </c>
      <c r="M1408" s="10" t="s">
        <v>91</v>
      </c>
      <c r="N1408" s="10" t="s">
        <v>92</v>
      </c>
      <c r="O1408" s="10"/>
      <c r="P1408" s="10"/>
      <c r="Q1408" s="10"/>
      <c r="R1408" s="10"/>
      <c r="S1408" s="10"/>
      <c r="T1408" s="10"/>
      <c r="U1408" s="10" t="s">
        <v>3250</v>
      </c>
      <c r="V1408" s="10" t="s">
        <v>3429</v>
      </c>
      <c r="W1408" s="10" t="s">
        <v>3219</v>
      </c>
      <c r="X1408" s="10" t="s">
        <v>130</v>
      </c>
      <c r="Y1408" s="10" t="s">
        <v>130</v>
      </c>
      <c r="Z1408" s="10" t="s">
        <v>99</v>
      </c>
      <c r="AA1408" s="10" t="s">
        <v>131</v>
      </c>
      <c r="AB1408" s="10" t="s">
        <v>3220</v>
      </c>
      <c r="AC1408" s="10" t="s">
        <v>3221</v>
      </c>
      <c r="AD1408" s="10" t="s">
        <v>10975</v>
      </c>
      <c r="AE1408" s="10" t="s">
        <v>10976</v>
      </c>
      <c r="AF1408" s="15"/>
      <c r="AG1408" s="10"/>
      <c r="AH1408" s="10"/>
      <c r="AI1408" s="10"/>
      <c r="AJ1408" s="10"/>
      <c r="AK1408" s="10"/>
      <c r="AL1408" s="10" t="s">
        <v>2761</v>
      </c>
      <c r="AM1408" s="10"/>
      <c r="AN1408" s="10"/>
      <c r="AO1408" s="13" t="b">
        <v>0</v>
      </c>
      <c r="AP1408" s="10" t="s">
        <v>104</v>
      </c>
      <c r="AQ1408" s="10"/>
      <c r="AR1408" s="17"/>
      <c r="AS1408" s="17"/>
      <c r="AT1408" s="17"/>
      <c r="AU1408" s="17"/>
      <c r="AV1408" s="17"/>
      <c r="AW1408" s="10"/>
      <c r="AX1408" s="17"/>
      <c r="AY1408" s="18" t="s">
        <v>257</v>
      </c>
      <c r="AZ1408" s="10"/>
      <c r="BA1408" s="20" t="b">
        <v>0</v>
      </c>
      <c r="BB1408" s="10"/>
      <c r="BC1408" s="17" t="s">
        <v>257</v>
      </c>
      <c r="BD1408" s="17" t="s">
        <v>257</v>
      </c>
      <c r="BE1408" s="17" t="s">
        <v>257</v>
      </c>
      <c r="BF1408" s="17" t="s">
        <v>257</v>
      </c>
      <c r="BG1408" s="11">
        <f ca="1">IFERROR(__xludf.DUMMYFUNCTION("""COMPUTED_VALUE"""),46089)</f>
        <v>46089</v>
      </c>
      <c r="BH1408" s="17"/>
      <c r="BI1408" s="17"/>
      <c r="BJ1408" s="15"/>
      <c r="BK1408" s="15"/>
      <c r="BL1408" s="13" t="b">
        <v>0</v>
      </c>
      <c r="BM1408" s="10"/>
      <c r="BN1408" s="10" t="s">
        <v>223</v>
      </c>
      <c r="BO1408" s="11">
        <v>45904.28460648148</v>
      </c>
      <c r="BP1408" s="11">
        <v>45904.28460648148</v>
      </c>
      <c r="BQ1408" s="15"/>
      <c r="BR1408" s="15"/>
      <c r="BS1408" s="10"/>
      <c r="BT1408" s="10"/>
      <c r="BU1408" s="10"/>
      <c r="BV1408" s="10"/>
      <c r="BW1408" s="10"/>
      <c r="BX1408" s="10"/>
      <c r="BY1408" s="23"/>
      <c r="BZ1408" s="23"/>
      <c r="CA1408" s="23"/>
      <c r="CB1408" s="23"/>
      <c r="CC1408" s="23"/>
      <c r="CD1408" s="23"/>
      <c r="CE1408" s="23"/>
      <c r="CF1408" s="23"/>
      <c r="CG1408" s="23"/>
      <c r="CH1408" s="23"/>
      <c r="CI1408" s="23"/>
    </row>
    <row r="1409" spans="1:87" x14ac:dyDescent="0.3">
      <c r="A1409" s="9" t="s">
        <v>10977</v>
      </c>
      <c r="B1409" s="10" t="s">
        <v>10978</v>
      </c>
      <c r="C1409" s="11">
        <v>46089</v>
      </c>
      <c r="D1409" s="12">
        <v>8.3333333333333329E-2</v>
      </c>
      <c r="E1409" s="11">
        <v>46089.083333333336</v>
      </c>
      <c r="F1409" s="10" t="s">
        <v>3211</v>
      </c>
      <c r="G1409" s="13" t="b">
        <v>0</v>
      </c>
      <c r="H1409" s="10" t="s">
        <v>3212</v>
      </c>
      <c r="I1409" s="10" t="s">
        <v>3213</v>
      </c>
      <c r="J1409" s="13" t="b">
        <v>0</v>
      </c>
      <c r="K1409" s="13" t="b">
        <v>1</v>
      </c>
      <c r="L1409" s="10" t="s">
        <v>124</v>
      </c>
      <c r="M1409" s="10" t="s">
        <v>91</v>
      </c>
      <c r="N1409" s="10" t="s">
        <v>92</v>
      </c>
      <c r="O1409" s="10"/>
      <c r="P1409" s="10"/>
      <c r="Q1409" s="10"/>
      <c r="R1409" s="10"/>
      <c r="S1409" s="10"/>
      <c r="T1409" s="10"/>
      <c r="U1409" s="10" t="s">
        <v>3218</v>
      </c>
      <c r="V1409" s="10" t="s">
        <v>3440</v>
      </c>
      <c r="W1409" s="10" t="s">
        <v>3219</v>
      </c>
      <c r="X1409" s="10" t="s">
        <v>130</v>
      </c>
      <c r="Y1409" s="10" t="s">
        <v>130</v>
      </c>
      <c r="Z1409" s="10" t="s">
        <v>99</v>
      </c>
      <c r="AA1409" s="10" t="s">
        <v>131</v>
      </c>
      <c r="AB1409" s="10" t="s">
        <v>3220</v>
      </c>
      <c r="AC1409" s="10" t="s">
        <v>3221</v>
      </c>
      <c r="AD1409" s="10" t="s">
        <v>10979</v>
      </c>
      <c r="AE1409" s="10" t="s">
        <v>10980</v>
      </c>
      <c r="AF1409" s="15"/>
      <c r="AG1409" s="10"/>
      <c r="AH1409" s="10"/>
      <c r="AI1409" s="10"/>
      <c r="AJ1409" s="10"/>
      <c r="AK1409" s="10"/>
      <c r="AL1409" s="10" t="s">
        <v>2761</v>
      </c>
      <c r="AM1409" s="10"/>
      <c r="AN1409" s="10"/>
      <c r="AO1409" s="13" t="b">
        <v>0</v>
      </c>
      <c r="AP1409" s="10" t="s">
        <v>104</v>
      </c>
      <c r="AQ1409" s="10"/>
      <c r="AR1409" s="17"/>
      <c r="AS1409" s="17"/>
      <c r="AT1409" s="17"/>
      <c r="AU1409" s="17"/>
      <c r="AV1409" s="17"/>
      <c r="AW1409" s="10"/>
      <c r="AX1409" s="17"/>
      <c r="AY1409" s="18" t="s">
        <v>257</v>
      </c>
      <c r="AZ1409" s="10"/>
      <c r="BA1409" s="20" t="b">
        <v>0</v>
      </c>
      <c r="BB1409" s="10"/>
      <c r="BC1409" s="17" t="s">
        <v>257</v>
      </c>
      <c r="BD1409" s="17" t="s">
        <v>257</v>
      </c>
      <c r="BE1409" s="17" t="s">
        <v>257</v>
      </c>
      <c r="BF1409" s="17" t="s">
        <v>257</v>
      </c>
      <c r="BG1409" s="11">
        <f ca="1">IFERROR(__xludf.DUMMYFUNCTION("""COMPUTED_VALUE"""),46089)</f>
        <v>46089</v>
      </c>
      <c r="BH1409" s="17"/>
      <c r="BI1409" s="17"/>
      <c r="BJ1409" s="15"/>
      <c r="BK1409" s="15"/>
      <c r="BL1409" s="13" t="b">
        <v>0</v>
      </c>
      <c r="BM1409" s="10"/>
      <c r="BN1409" s="10" t="s">
        <v>223</v>
      </c>
      <c r="BO1409" s="11">
        <v>45904.28460648148</v>
      </c>
      <c r="BP1409" s="11">
        <v>45904.28460648148</v>
      </c>
      <c r="BQ1409" s="15"/>
      <c r="BR1409" s="15"/>
      <c r="BS1409" s="10"/>
      <c r="BT1409" s="10"/>
      <c r="BU1409" s="10"/>
      <c r="BV1409" s="10"/>
      <c r="BW1409" s="10"/>
      <c r="BX1409" s="10"/>
      <c r="BY1409" s="23"/>
      <c r="BZ1409" s="23"/>
      <c r="CA1409" s="23"/>
      <c r="CB1409" s="23"/>
      <c r="CC1409" s="23"/>
      <c r="CD1409" s="23"/>
      <c r="CE1409" s="23"/>
      <c r="CF1409" s="23"/>
      <c r="CG1409" s="23"/>
      <c r="CH1409" s="23"/>
      <c r="CI1409" s="23"/>
    </row>
    <row r="1410" spans="1:87" x14ac:dyDescent="0.3">
      <c r="A1410" s="25" t="s">
        <v>10981</v>
      </c>
      <c r="B1410" s="10" t="s">
        <v>10982</v>
      </c>
      <c r="C1410" s="11">
        <v>46089</v>
      </c>
      <c r="D1410" s="12">
        <v>8.3333333333333329E-2</v>
      </c>
      <c r="E1410" s="11">
        <v>46089.083333333336</v>
      </c>
      <c r="F1410" s="10" t="s">
        <v>3211</v>
      </c>
      <c r="G1410" s="13" t="b">
        <v>0</v>
      </c>
      <c r="H1410" s="10" t="s">
        <v>3212</v>
      </c>
      <c r="I1410" s="10" t="s">
        <v>3213</v>
      </c>
      <c r="J1410" s="13" t="b">
        <v>0</v>
      </c>
      <c r="K1410" s="13" t="b">
        <v>1</v>
      </c>
      <c r="L1410" s="10" t="s">
        <v>124</v>
      </c>
      <c r="M1410" s="10" t="s">
        <v>91</v>
      </c>
      <c r="N1410" s="10" t="s">
        <v>92</v>
      </c>
      <c r="O1410" s="10"/>
      <c r="P1410" s="10"/>
      <c r="Q1410" s="10"/>
      <c r="R1410" s="10"/>
      <c r="S1410" s="10"/>
      <c r="T1410" s="10"/>
      <c r="U1410" s="10" t="s">
        <v>3289</v>
      </c>
      <c r="V1410" s="10" t="s">
        <v>3278</v>
      </c>
      <c r="W1410" s="10" t="s">
        <v>3219</v>
      </c>
      <c r="X1410" s="10" t="s">
        <v>130</v>
      </c>
      <c r="Y1410" s="10" t="s">
        <v>130</v>
      </c>
      <c r="Z1410" s="10" t="s">
        <v>99</v>
      </c>
      <c r="AA1410" s="10" t="s">
        <v>131</v>
      </c>
      <c r="AB1410" s="10" t="s">
        <v>3220</v>
      </c>
      <c r="AC1410" s="10" t="s">
        <v>3221</v>
      </c>
      <c r="AD1410" s="10" t="s">
        <v>10983</v>
      </c>
      <c r="AE1410" s="10" t="s">
        <v>10984</v>
      </c>
      <c r="AF1410" s="15"/>
      <c r="AG1410" s="10"/>
      <c r="AH1410" s="10"/>
      <c r="AI1410" s="10"/>
      <c r="AJ1410" s="10"/>
      <c r="AK1410" s="10"/>
      <c r="AL1410" s="10" t="s">
        <v>2761</v>
      </c>
      <c r="AM1410" s="10"/>
      <c r="AN1410" s="10"/>
      <c r="AO1410" s="13" t="b">
        <v>0</v>
      </c>
      <c r="AP1410" s="10" t="s">
        <v>104</v>
      </c>
      <c r="AQ1410" s="10"/>
      <c r="AR1410" s="17"/>
      <c r="AS1410" s="17"/>
      <c r="AT1410" s="17"/>
      <c r="AU1410" s="17"/>
      <c r="AV1410" s="17"/>
      <c r="AW1410" s="10"/>
      <c r="AX1410" s="17"/>
      <c r="AY1410" s="18" t="s">
        <v>257</v>
      </c>
      <c r="AZ1410" s="10"/>
      <c r="BA1410" s="20" t="b">
        <v>0</v>
      </c>
      <c r="BB1410" s="10"/>
      <c r="BC1410" s="17" t="s">
        <v>257</v>
      </c>
      <c r="BD1410" s="17" t="s">
        <v>257</v>
      </c>
      <c r="BE1410" s="17" t="s">
        <v>257</v>
      </c>
      <c r="BF1410" s="17" t="s">
        <v>257</v>
      </c>
      <c r="BG1410" s="11">
        <f ca="1">IFERROR(__xludf.DUMMYFUNCTION("""COMPUTED_VALUE"""),46089)</f>
        <v>46089</v>
      </c>
      <c r="BH1410" s="17"/>
      <c r="BI1410" s="17"/>
      <c r="BJ1410" s="15"/>
      <c r="BK1410" s="15"/>
      <c r="BL1410" s="13" t="b">
        <v>0</v>
      </c>
      <c r="BM1410" s="10"/>
      <c r="BN1410" s="10" t="s">
        <v>223</v>
      </c>
      <c r="BO1410" s="11">
        <v>45904.28460648148</v>
      </c>
      <c r="BP1410" s="11">
        <v>45904.28460648148</v>
      </c>
      <c r="BQ1410" s="15"/>
      <c r="BR1410" s="15"/>
      <c r="BS1410" s="10"/>
      <c r="BT1410" s="10"/>
      <c r="BU1410" s="10"/>
      <c r="BV1410" s="10"/>
      <c r="BW1410" s="10"/>
      <c r="BX1410" s="10"/>
      <c r="BY1410" s="23"/>
      <c r="BZ1410" s="23"/>
      <c r="CA1410" s="23"/>
      <c r="CB1410" s="23"/>
      <c r="CC1410" s="23"/>
      <c r="CD1410" s="23"/>
      <c r="CE1410" s="23"/>
      <c r="CF1410" s="23"/>
      <c r="CG1410" s="23"/>
      <c r="CH1410" s="23"/>
      <c r="CI1410" s="23"/>
    </row>
    <row r="1411" spans="1:87" x14ac:dyDescent="0.3">
      <c r="A1411" s="9" t="s">
        <v>10985</v>
      </c>
      <c r="B1411" s="10" t="s">
        <v>10986</v>
      </c>
      <c r="C1411" s="11">
        <v>46089</v>
      </c>
      <c r="D1411" s="12">
        <v>8.3333333333333329E-2</v>
      </c>
      <c r="E1411" s="11">
        <v>46089.083333333336</v>
      </c>
      <c r="F1411" s="10" t="s">
        <v>3211</v>
      </c>
      <c r="G1411" s="13" t="b">
        <v>0</v>
      </c>
      <c r="H1411" s="10" t="s">
        <v>3212</v>
      </c>
      <c r="I1411" s="10" t="s">
        <v>3213</v>
      </c>
      <c r="J1411" s="13" t="b">
        <v>0</v>
      </c>
      <c r="K1411" s="13" t="b">
        <v>1</v>
      </c>
      <c r="L1411" s="10" t="s">
        <v>124</v>
      </c>
      <c r="M1411" s="10" t="s">
        <v>91</v>
      </c>
      <c r="N1411" s="10" t="s">
        <v>92</v>
      </c>
      <c r="O1411" s="10"/>
      <c r="P1411" s="10"/>
      <c r="Q1411" s="10"/>
      <c r="R1411" s="10"/>
      <c r="S1411" s="10"/>
      <c r="T1411" s="10"/>
      <c r="U1411" s="10" t="s">
        <v>3318</v>
      </c>
      <c r="V1411" s="10" t="s">
        <v>3279</v>
      </c>
      <c r="W1411" s="10" t="s">
        <v>3219</v>
      </c>
      <c r="X1411" s="10" t="s">
        <v>130</v>
      </c>
      <c r="Y1411" s="10" t="s">
        <v>130</v>
      </c>
      <c r="Z1411" s="10" t="s">
        <v>99</v>
      </c>
      <c r="AA1411" s="10" t="s">
        <v>131</v>
      </c>
      <c r="AB1411" s="10" t="s">
        <v>3220</v>
      </c>
      <c r="AC1411" s="10" t="s">
        <v>3221</v>
      </c>
      <c r="AD1411" s="10" t="s">
        <v>10987</v>
      </c>
      <c r="AE1411" s="10" t="s">
        <v>10988</v>
      </c>
      <c r="AF1411" s="15"/>
      <c r="AG1411" s="10"/>
      <c r="AH1411" s="10"/>
      <c r="AI1411" s="10"/>
      <c r="AJ1411" s="10"/>
      <c r="AK1411" s="10"/>
      <c r="AL1411" s="10" t="s">
        <v>2761</v>
      </c>
      <c r="AM1411" s="10"/>
      <c r="AN1411" s="10"/>
      <c r="AO1411" s="13" t="b">
        <v>0</v>
      </c>
      <c r="AP1411" s="10" t="s">
        <v>104</v>
      </c>
      <c r="AQ1411" s="10"/>
      <c r="AR1411" s="17"/>
      <c r="AS1411" s="17"/>
      <c r="AT1411" s="17"/>
      <c r="AU1411" s="17"/>
      <c r="AV1411" s="17"/>
      <c r="AW1411" s="10"/>
      <c r="AX1411" s="17"/>
      <c r="AY1411" s="18" t="s">
        <v>257</v>
      </c>
      <c r="AZ1411" s="10"/>
      <c r="BA1411" s="20" t="b">
        <v>0</v>
      </c>
      <c r="BB1411" s="10"/>
      <c r="BC1411" s="17" t="s">
        <v>257</v>
      </c>
      <c r="BD1411" s="17" t="s">
        <v>257</v>
      </c>
      <c r="BE1411" s="17" t="s">
        <v>257</v>
      </c>
      <c r="BF1411" s="17" t="s">
        <v>257</v>
      </c>
      <c r="BG1411" s="11">
        <f ca="1">IFERROR(__xludf.DUMMYFUNCTION("""COMPUTED_VALUE"""),46089)</f>
        <v>46089</v>
      </c>
      <c r="BH1411" s="17"/>
      <c r="BI1411" s="17"/>
      <c r="BJ1411" s="15"/>
      <c r="BK1411" s="15"/>
      <c r="BL1411" s="13" t="b">
        <v>0</v>
      </c>
      <c r="BM1411" s="10"/>
      <c r="BN1411" s="10" t="s">
        <v>223</v>
      </c>
      <c r="BO1411" s="11">
        <v>45904.28460648148</v>
      </c>
      <c r="BP1411" s="11">
        <v>45904.28460648148</v>
      </c>
      <c r="BQ1411" s="15"/>
      <c r="BR1411" s="15"/>
      <c r="BS1411" s="10"/>
      <c r="BT1411" s="10"/>
      <c r="BU1411" s="10"/>
      <c r="BV1411" s="10"/>
      <c r="BW1411" s="10"/>
      <c r="BX1411" s="10"/>
      <c r="BY1411" s="23"/>
      <c r="BZ1411" s="23"/>
      <c r="CA1411" s="23"/>
      <c r="CB1411" s="23"/>
      <c r="CC1411" s="23"/>
      <c r="CD1411" s="23"/>
      <c r="CE1411" s="23"/>
      <c r="CF1411" s="23"/>
      <c r="CG1411" s="23"/>
      <c r="CH1411" s="23"/>
      <c r="CI1411" s="23"/>
    </row>
    <row r="1412" spans="1:87" x14ac:dyDescent="0.3">
      <c r="A1412" s="9" t="s">
        <v>10989</v>
      </c>
      <c r="B1412" s="10" t="s">
        <v>10990</v>
      </c>
      <c r="C1412" s="11">
        <v>46096</v>
      </c>
      <c r="D1412" s="12">
        <v>8.3333333333333329E-2</v>
      </c>
      <c r="E1412" s="11">
        <v>46096.083333333336</v>
      </c>
      <c r="F1412" s="10" t="s">
        <v>3211</v>
      </c>
      <c r="G1412" s="13" t="b">
        <v>0</v>
      </c>
      <c r="H1412" s="10" t="s">
        <v>3212</v>
      </c>
      <c r="I1412" s="10" t="s">
        <v>3213</v>
      </c>
      <c r="J1412" s="13" t="b">
        <v>0</v>
      </c>
      <c r="K1412" s="13" t="b">
        <v>1</v>
      </c>
      <c r="L1412" s="10" t="s">
        <v>124</v>
      </c>
      <c r="M1412" s="10" t="s">
        <v>91</v>
      </c>
      <c r="N1412" s="10" t="s">
        <v>92</v>
      </c>
      <c r="O1412" s="10"/>
      <c r="P1412" s="10"/>
      <c r="Q1412" s="10"/>
      <c r="R1412" s="10"/>
      <c r="S1412" s="10"/>
      <c r="T1412" s="10"/>
      <c r="U1412" s="10" t="s">
        <v>3249</v>
      </c>
      <c r="V1412" s="10" t="s">
        <v>3229</v>
      </c>
      <c r="W1412" s="10" t="s">
        <v>3219</v>
      </c>
      <c r="X1412" s="10" t="s">
        <v>130</v>
      </c>
      <c r="Y1412" s="10" t="s">
        <v>130</v>
      </c>
      <c r="Z1412" s="10" t="s">
        <v>99</v>
      </c>
      <c r="AA1412" s="10" t="s">
        <v>131</v>
      </c>
      <c r="AB1412" s="10" t="s">
        <v>3220</v>
      </c>
      <c r="AC1412" s="10" t="s">
        <v>3221</v>
      </c>
      <c r="AD1412" s="10" t="s">
        <v>10991</v>
      </c>
      <c r="AE1412" s="10" t="s">
        <v>10992</v>
      </c>
      <c r="AF1412" s="15"/>
      <c r="AG1412" s="10"/>
      <c r="AH1412" s="10"/>
      <c r="AI1412" s="10"/>
      <c r="AJ1412" s="10"/>
      <c r="AK1412" s="10"/>
      <c r="AL1412" s="10" t="s">
        <v>2802</v>
      </c>
      <c r="AM1412" s="10"/>
      <c r="AN1412" s="10"/>
      <c r="AO1412" s="13" t="b">
        <v>0</v>
      </c>
      <c r="AP1412" s="10" t="s">
        <v>104</v>
      </c>
      <c r="AQ1412" s="10"/>
      <c r="AR1412" s="17"/>
      <c r="AS1412" s="17"/>
      <c r="AT1412" s="17"/>
      <c r="AU1412" s="17"/>
      <c r="AV1412" s="17"/>
      <c r="AW1412" s="10"/>
      <c r="AX1412" s="17"/>
      <c r="AY1412" s="18" t="s">
        <v>257</v>
      </c>
      <c r="AZ1412" s="10"/>
      <c r="BA1412" s="20" t="b">
        <v>0</v>
      </c>
      <c r="BB1412" s="10"/>
      <c r="BC1412" s="17" t="s">
        <v>257</v>
      </c>
      <c r="BD1412" s="17" t="s">
        <v>257</v>
      </c>
      <c r="BE1412" s="17" t="s">
        <v>257</v>
      </c>
      <c r="BF1412" s="17" t="s">
        <v>257</v>
      </c>
      <c r="BG1412" s="11">
        <f ca="1">IFERROR(__xludf.DUMMYFUNCTION("""COMPUTED_VALUE"""),46096)</f>
        <v>46096</v>
      </c>
      <c r="BH1412" s="17"/>
      <c r="BI1412" s="17"/>
      <c r="BJ1412" s="15"/>
      <c r="BK1412" s="15"/>
      <c r="BL1412" s="13" t="b">
        <v>0</v>
      </c>
      <c r="BM1412" s="10"/>
      <c r="BN1412" s="10" t="s">
        <v>223</v>
      </c>
      <c r="BO1412" s="11">
        <v>45904.28460648148</v>
      </c>
      <c r="BP1412" s="11">
        <v>45904.28460648148</v>
      </c>
      <c r="BQ1412" s="15"/>
      <c r="BR1412" s="15"/>
      <c r="BS1412" s="10"/>
      <c r="BT1412" s="10"/>
      <c r="BU1412" s="10"/>
      <c r="BV1412" s="10"/>
      <c r="BW1412" s="10"/>
      <c r="BX1412" s="10"/>
      <c r="BY1412" s="23"/>
      <c r="BZ1412" s="23"/>
      <c r="CA1412" s="23"/>
      <c r="CB1412" s="23"/>
      <c r="CC1412" s="23"/>
      <c r="CD1412" s="23"/>
      <c r="CE1412" s="23"/>
      <c r="CF1412" s="23"/>
      <c r="CG1412" s="23"/>
      <c r="CH1412" s="23"/>
      <c r="CI1412" s="23"/>
    </row>
    <row r="1413" spans="1:87" x14ac:dyDescent="0.3">
      <c r="A1413" s="9" t="s">
        <v>10993</v>
      </c>
      <c r="B1413" s="10" t="s">
        <v>10994</v>
      </c>
      <c r="C1413" s="11">
        <v>46096</v>
      </c>
      <c r="D1413" s="12">
        <v>8.3333333333333329E-2</v>
      </c>
      <c r="E1413" s="11">
        <v>46096.083333333336</v>
      </c>
      <c r="F1413" s="10" t="s">
        <v>3211</v>
      </c>
      <c r="G1413" s="13" t="b">
        <v>0</v>
      </c>
      <c r="H1413" s="10" t="s">
        <v>3212</v>
      </c>
      <c r="I1413" s="10" t="s">
        <v>3213</v>
      </c>
      <c r="J1413" s="13" t="b">
        <v>0</v>
      </c>
      <c r="K1413" s="13" t="b">
        <v>1</v>
      </c>
      <c r="L1413" s="10" t="s">
        <v>124</v>
      </c>
      <c r="M1413" s="10" t="s">
        <v>91</v>
      </c>
      <c r="N1413" s="10" t="s">
        <v>92</v>
      </c>
      <c r="O1413" s="10"/>
      <c r="P1413" s="10"/>
      <c r="Q1413" s="10"/>
      <c r="R1413" s="10"/>
      <c r="S1413" s="10"/>
      <c r="T1413" s="10"/>
      <c r="U1413" s="10" t="s">
        <v>3440</v>
      </c>
      <c r="V1413" s="10" t="s">
        <v>3240</v>
      </c>
      <c r="W1413" s="10" t="s">
        <v>3219</v>
      </c>
      <c r="X1413" s="10" t="s">
        <v>130</v>
      </c>
      <c r="Y1413" s="10" t="s">
        <v>130</v>
      </c>
      <c r="Z1413" s="10" t="s">
        <v>99</v>
      </c>
      <c r="AA1413" s="10" t="s">
        <v>131</v>
      </c>
      <c r="AB1413" s="10" t="s">
        <v>3220</v>
      </c>
      <c r="AC1413" s="10" t="s">
        <v>3221</v>
      </c>
      <c r="AD1413" s="10" t="s">
        <v>10995</v>
      </c>
      <c r="AE1413" s="10" t="s">
        <v>10996</v>
      </c>
      <c r="AF1413" s="15"/>
      <c r="AG1413" s="10"/>
      <c r="AH1413" s="10"/>
      <c r="AI1413" s="10"/>
      <c r="AJ1413" s="10"/>
      <c r="AK1413" s="10"/>
      <c r="AL1413" s="10" t="s">
        <v>2802</v>
      </c>
      <c r="AM1413" s="10"/>
      <c r="AN1413" s="10"/>
      <c r="AO1413" s="13" t="b">
        <v>0</v>
      </c>
      <c r="AP1413" s="10" t="s">
        <v>104</v>
      </c>
      <c r="AQ1413" s="10"/>
      <c r="AR1413" s="17"/>
      <c r="AS1413" s="17"/>
      <c r="AT1413" s="17"/>
      <c r="AU1413" s="17"/>
      <c r="AV1413" s="17"/>
      <c r="AW1413" s="10"/>
      <c r="AX1413" s="17"/>
      <c r="AY1413" s="18" t="s">
        <v>257</v>
      </c>
      <c r="AZ1413" s="10"/>
      <c r="BA1413" s="20" t="b">
        <v>0</v>
      </c>
      <c r="BB1413" s="10"/>
      <c r="BC1413" s="17" t="s">
        <v>257</v>
      </c>
      <c r="BD1413" s="17" t="s">
        <v>257</v>
      </c>
      <c r="BE1413" s="17" t="s">
        <v>257</v>
      </c>
      <c r="BF1413" s="17" t="s">
        <v>257</v>
      </c>
      <c r="BG1413" s="11">
        <f ca="1">IFERROR(__xludf.DUMMYFUNCTION("""COMPUTED_VALUE"""),46096)</f>
        <v>46096</v>
      </c>
      <c r="BH1413" s="17"/>
      <c r="BI1413" s="17"/>
      <c r="BJ1413" s="15"/>
      <c r="BK1413" s="15"/>
      <c r="BL1413" s="13" t="b">
        <v>0</v>
      </c>
      <c r="BM1413" s="10"/>
      <c r="BN1413" s="10" t="s">
        <v>223</v>
      </c>
      <c r="BO1413" s="11">
        <v>45904.28460648148</v>
      </c>
      <c r="BP1413" s="11">
        <v>45904.28460648148</v>
      </c>
      <c r="BQ1413" s="15"/>
      <c r="BR1413" s="15"/>
      <c r="BS1413" s="10"/>
      <c r="BT1413" s="10"/>
      <c r="BU1413" s="10"/>
      <c r="BV1413" s="10"/>
      <c r="BW1413" s="10"/>
      <c r="BX1413" s="10"/>
      <c r="BY1413" s="23"/>
      <c r="BZ1413" s="23"/>
      <c r="CA1413" s="23"/>
      <c r="CB1413" s="23"/>
      <c r="CC1413" s="23"/>
      <c r="CD1413" s="23"/>
      <c r="CE1413" s="23"/>
      <c r="CF1413" s="23"/>
      <c r="CG1413" s="23"/>
      <c r="CH1413" s="23"/>
      <c r="CI1413" s="23"/>
    </row>
    <row r="1414" spans="1:87" x14ac:dyDescent="0.3">
      <c r="A1414" s="9" t="s">
        <v>10997</v>
      </c>
      <c r="B1414" s="10" t="s">
        <v>10998</v>
      </c>
      <c r="C1414" s="11">
        <v>46096</v>
      </c>
      <c r="D1414" s="12">
        <v>8.3333333333333329E-2</v>
      </c>
      <c r="E1414" s="11">
        <v>46096.083333333336</v>
      </c>
      <c r="F1414" s="10" t="s">
        <v>3211</v>
      </c>
      <c r="G1414" s="13" t="b">
        <v>0</v>
      </c>
      <c r="H1414" s="10" t="s">
        <v>3212</v>
      </c>
      <c r="I1414" s="10" t="s">
        <v>3213</v>
      </c>
      <c r="J1414" s="13" t="b">
        <v>0</v>
      </c>
      <c r="K1414" s="13" t="b">
        <v>1</v>
      </c>
      <c r="L1414" s="10" t="s">
        <v>124</v>
      </c>
      <c r="M1414" s="10" t="s">
        <v>91</v>
      </c>
      <c r="N1414" s="10" t="s">
        <v>92</v>
      </c>
      <c r="O1414" s="10"/>
      <c r="P1414" s="10"/>
      <c r="Q1414" s="10"/>
      <c r="R1414" s="10"/>
      <c r="S1414" s="10"/>
      <c r="T1414" s="10"/>
      <c r="U1414" s="10" t="s">
        <v>3278</v>
      </c>
      <c r="V1414" s="10" t="s">
        <v>3308</v>
      </c>
      <c r="W1414" s="10" t="s">
        <v>3219</v>
      </c>
      <c r="X1414" s="10" t="s">
        <v>130</v>
      </c>
      <c r="Y1414" s="10" t="s">
        <v>130</v>
      </c>
      <c r="Z1414" s="10" t="s">
        <v>99</v>
      </c>
      <c r="AA1414" s="10" t="s">
        <v>131</v>
      </c>
      <c r="AB1414" s="10" t="s">
        <v>3220</v>
      </c>
      <c r="AC1414" s="10" t="s">
        <v>3221</v>
      </c>
      <c r="AD1414" s="10" t="s">
        <v>10999</v>
      </c>
      <c r="AE1414" s="10" t="s">
        <v>11000</v>
      </c>
      <c r="AF1414" s="15"/>
      <c r="AG1414" s="10"/>
      <c r="AH1414" s="10"/>
      <c r="AI1414" s="10"/>
      <c r="AJ1414" s="10"/>
      <c r="AK1414" s="10"/>
      <c r="AL1414" s="10" t="s">
        <v>2802</v>
      </c>
      <c r="AM1414" s="10"/>
      <c r="AN1414" s="10"/>
      <c r="AO1414" s="13" t="b">
        <v>0</v>
      </c>
      <c r="AP1414" s="10" t="s">
        <v>104</v>
      </c>
      <c r="AQ1414" s="10"/>
      <c r="AR1414" s="17"/>
      <c r="AS1414" s="17"/>
      <c r="AT1414" s="17"/>
      <c r="AU1414" s="17"/>
      <c r="AV1414" s="17"/>
      <c r="AW1414" s="10"/>
      <c r="AX1414" s="17"/>
      <c r="AY1414" s="18" t="s">
        <v>257</v>
      </c>
      <c r="AZ1414" s="10"/>
      <c r="BA1414" s="20" t="b">
        <v>0</v>
      </c>
      <c r="BB1414" s="10"/>
      <c r="BC1414" s="17" t="s">
        <v>257</v>
      </c>
      <c r="BD1414" s="17" t="s">
        <v>257</v>
      </c>
      <c r="BE1414" s="17" t="s">
        <v>257</v>
      </c>
      <c r="BF1414" s="17" t="s">
        <v>257</v>
      </c>
      <c r="BG1414" s="11">
        <f ca="1">IFERROR(__xludf.DUMMYFUNCTION("""COMPUTED_VALUE"""),46096)</f>
        <v>46096</v>
      </c>
      <c r="BH1414" s="17"/>
      <c r="BI1414" s="17"/>
      <c r="BJ1414" s="15"/>
      <c r="BK1414" s="15"/>
      <c r="BL1414" s="13" t="b">
        <v>0</v>
      </c>
      <c r="BM1414" s="10"/>
      <c r="BN1414" s="10" t="s">
        <v>223</v>
      </c>
      <c r="BO1414" s="11">
        <v>45904.28460648148</v>
      </c>
      <c r="BP1414" s="11">
        <v>45904.28460648148</v>
      </c>
      <c r="BQ1414" s="15"/>
      <c r="BR1414" s="15"/>
      <c r="BS1414" s="10"/>
      <c r="BT1414" s="10"/>
      <c r="BU1414" s="10"/>
      <c r="BV1414" s="10"/>
      <c r="BW1414" s="10"/>
      <c r="BX1414" s="10"/>
      <c r="BY1414" s="23"/>
      <c r="BZ1414" s="23"/>
      <c r="CA1414" s="23"/>
      <c r="CB1414" s="23"/>
      <c r="CC1414" s="23"/>
      <c r="CD1414" s="23"/>
      <c r="CE1414" s="23"/>
      <c r="CF1414" s="23"/>
      <c r="CG1414" s="23"/>
      <c r="CH1414" s="23"/>
      <c r="CI1414" s="23"/>
    </row>
    <row r="1415" spans="1:87" x14ac:dyDescent="0.3">
      <c r="A1415" s="9" t="s">
        <v>11001</v>
      </c>
      <c r="B1415" s="10" t="s">
        <v>11002</v>
      </c>
      <c r="C1415" s="11">
        <v>46096</v>
      </c>
      <c r="D1415" s="12">
        <v>8.3333333333333329E-2</v>
      </c>
      <c r="E1415" s="11">
        <v>46096.083333333336</v>
      </c>
      <c r="F1415" s="10" t="s">
        <v>3211</v>
      </c>
      <c r="G1415" s="13" t="b">
        <v>0</v>
      </c>
      <c r="H1415" s="10" t="s">
        <v>3212</v>
      </c>
      <c r="I1415" s="10" t="s">
        <v>3213</v>
      </c>
      <c r="J1415" s="13" t="b">
        <v>0</v>
      </c>
      <c r="K1415" s="13" t="b">
        <v>1</v>
      </c>
      <c r="L1415" s="10" t="s">
        <v>124</v>
      </c>
      <c r="M1415" s="10" t="s">
        <v>91</v>
      </c>
      <c r="N1415" s="10" t="s">
        <v>92</v>
      </c>
      <c r="O1415" s="10"/>
      <c r="P1415" s="10"/>
      <c r="Q1415" s="10"/>
      <c r="R1415" s="10"/>
      <c r="S1415" s="10"/>
      <c r="T1415" s="10"/>
      <c r="U1415" s="10" t="s">
        <v>3250</v>
      </c>
      <c r="V1415" s="10" t="s">
        <v>3289</v>
      </c>
      <c r="W1415" s="10" t="s">
        <v>3219</v>
      </c>
      <c r="X1415" s="10" t="s">
        <v>130</v>
      </c>
      <c r="Y1415" s="10" t="s">
        <v>130</v>
      </c>
      <c r="Z1415" s="10" t="s">
        <v>99</v>
      </c>
      <c r="AA1415" s="10" t="s">
        <v>131</v>
      </c>
      <c r="AB1415" s="10" t="s">
        <v>3220</v>
      </c>
      <c r="AC1415" s="10" t="s">
        <v>3221</v>
      </c>
      <c r="AD1415" s="10" t="s">
        <v>11003</v>
      </c>
      <c r="AE1415" s="10" t="s">
        <v>11004</v>
      </c>
      <c r="AF1415" s="15"/>
      <c r="AG1415" s="10"/>
      <c r="AH1415" s="10"/>
      <c r="AI1415" s="10"/>
      <c r="AJ1415" s="10"/>
      <c r="AK1415" s="10"/>
      <c r="AL1415" s="10" t="s">
        <v>2802</v>
      </c>
      <c r="AM1415" s="10"/>
      <c r="AN1415" s="10"/>
      <c r="AO1415" s="13" t="b">
        <v>0</v>
      </c>
      <c r="AP1415" s="10" t="s">
        <v>104</v>
      </c>
      <c r="AQ1415" s="10"/>
      <c r="AR1415" s="17"/>
      <c r="AS1415" s="17"/>
      <c r="AT1415" s="17"/>
      <c r="AU1415" s="17"/>
      <c r="AV1415" s="17"/>
      <c r="AW1415" s="10"/>
      <c r="AX1415" s="17"/>
      <c r="AY1415" s="18" t="s">
        <v>257</v>
      </c>
      <c r="AZ1415" s="10"/>
      <c r="BA1415" s="20" t="b">
        <v>0</v>
      </c>
      <c r="BB1415" s="10"/>
      <c r="BC1415" s="17" t="s">
        <v>257</v>
      </c>
      <c r="BD1415" s="17" t="s">
        <v>257</v>
      </c>
      <c r="BE1415" s="17" t="s">
        <v>257</v>
      </c>
      <c r="BF1415" s="17" t="s">
        <v>257</v>
      </c>
      <c r="BG1415" s="11">
        <f ca="1">IFERROR(__xludf.DUMMYFUNCTION("""COMPUTED_VALUE"""),46096)</f>
        <v>46096</v>
      </c>
      <c r="BH1415" s="17"/>
      <c r="BI1415" s="17"/>
      <c r="BJ1415" s="15"/>
      <c r="BK1415" s="15"/>
      <c r="BL1415" s="13" t="b">
        <v>0</v>
      </c>
      <c r="BM1415" s="10"/>
      <c r="BN1415" s="10" t="s">
        <v>223</v>
      </c>
      <c r="BO1415" s="11">
        <v>45904.28460648148</v>
      </c>
      <c r="BP1415" s="11">
        <v>45904.28460648148</v>
      </c>
      <c r="BQ1415" s="15"/>
      <c r="BR1415" s="15"/>
      <c r="BS1415" s="10"/>
      <c r="BT1415" s="10"/>
      <c r="BU1415" s="10"/>
      <c r="BV1415" s="10"/>
      <c r="BW1415" s="10"/>
      <c r="BX1415" s="10"/>
      <c r="BY1415" s="23"/>
      <c r="BZ1415" s="23"/>
      <c r="CA1415" s="23"/>
      <c r="CB1415" s="23"/>
      <c r="CC1415" s="23"/>
      <c r="CD1415" s="23"/>
      <c r="CE1415" s="23"/>
      <c r="CF1415" s="23"/>
      <c r="CG1415" s="23"/>
      <c r="CH1415" s="23"/>
      <c r="CI1415" s="23"/>
    </row>
    <row r="1416" spans="1:87" x14ac:dyDescent="0.3">
      <c r="A1416" s="9" t="s">
        <v>11005</v>
      </c>
      <c r="B1416" s="10" t="s">
        <v>11006</v>
      </c>
      <c r="C1416" s="11">
        <v>46096</v>
      </c>
      <c r="D1416" s="12">
        <v>8.3333333333333329E-2</v>
      </c>
      <c r="E1416" s="11">
        <v>46096.083333333336</v>
      </c>
      <c r="F1416" s="10" t="s">
        <v>3211</v>
      </c>
      <c r="G1416" s="13" t="b">
        <v>0</v>
      </c>
      <c r="H1416" s="10" t="s">
        <v>3212</v>
      </c>
      <c r="I1416" s="10" t="s">
        <v>3213</v>
      </c>
      <c r="J1416" s="13" t="b">
        <v>0</v>
      </c>
      <c r="K1416" s="13" t="b">
        <v>1</v>
      </c>
      <c r="L1416" s="10" t="s">
        <v>124</v>
      </c>
      <c r="M1416" s="10" t="s">
        <v>91</v>
      </c>
      <c r="N1416" s="10" t="s">
        <v>92</v>
      </c>
      <c r="O1416" s="10"/>
      <c r="P1416" s="10"/>
      <c r="Q1416" s="10"/>
      <c r="R1416" s="10"/>
      <c r="S1416" s="10"/>
      <c r="T1416" s="10"/>
      <c r="U1416" s="10" t="s">
        <v>3318</v>
      </c>
      <c r="V1416" s="10" t="s">
        <v>3218</v>
      </c>
      <c r="W1416" s="10" t="s">
        <v>3219</v>
      </c>
      <c r="X1416" s="10" t="s">
        <v>130</v>
      </c>
      <c r="Y1416" s="10" t="s">
        <v>130</v>
      </c>
      <c r="Z1416" s="10" t="s">
        <v>99</v>
      </c>
      <c r="AA1416" s="10" t="s">
        <v>131</v>
      </c>
      <c r="AB1416" s="10" t="s">
        <v>3220</v>
      </c>
      <c r="AC1416" s="10" t="s">
        <v>3221</v>
      </c>
      <c r="AD1416" s="10" t="s">
        <v>11007</v>
      </c>
      <c r="AE1416" s="10" t="s">
        <v>11008</v>
      </c>
      <c r="AF1416" s="15"/>
      <c r="AG1416" s="10"/>
      <c r="AH1416" s="10"/>
      <c r="AI1416" s="10"/>
      <c r="AJ1416" s="10"/>
      <c r="AK1416" s="10"/>
      <c r="AL1416" s="10" t="s">
        <v>2802</v>
      </c>
      <c r="AM1416" s="10"/>
      <c r="AN1416" s="10"/>
      <c r="AO1416" s="13" t="b">
        <v>0</v>
      </c>
      <c r="AP1416" s="10" t="s">
        <v>104</v>
      </c>
      <c r="AQ1416" s="10"/>
      <c r="AR1416" s="17"/>
      <c r="AS1416" s="17"/>
      <c r="AT1416" s="17"/>
      <c r="AU1416" s="17"/>
      <c r="AV1416" s="17"/>
      <c r="AW1416" s="10"/>
      <c r="AX1416" s="17"/>
      <c r="AY1416" s="18" t="s">
        <v>257</v>
      </c>
      <c r="AZ1416" s="10"/>
      <c r="BA1416" s="20" t="b">
        <v>0</v>
      </c>
      <c r="BB1416" s="10"/>
      <c r="BC1416" s="17" t="s">
        <v>257</v>
      </c>
      <c r="BD1416" s="17" t="s">
        <v>257</v>
      </c>
      <c r="BE1416" s="17" t="s">
        <v>257</v>
      </c>
      <c r="BF1416" s="17" t="s">
        <v>257</v>
      </c>
      <c r="BG1416" s="11">
        <f ca="1">IFERROR(__xludf.DUMMYFUNCTION("""COMPUTED_VALUE"""),46096)</f>
        <v>46096</v>
      </c>
      <c r="BH1416" s="17"/>
      <c r="BI1416" s="17"/>
      <c r="BJ1416" s="15"/>
      <c r="BK1416" s="15"/>
      <c r="BL1416" s="13" t="b">
        <v>0</v>
      </c>
      <c r="BM1416" s="10"/>
      <c r="BN1416" s="10" t="s">
        <v>223</v>
      </c>
      <c r="BO1416" s="11">
        <v>45904.28460648148</v>
      </c>
      <c r="BP1416" s="11">
        <v>45904.28460648148</v>
      </c>
      <c r="BQ1416" s="15"/>
      <c r="BR1416" s="15"/>
      <c r="BS1416" s="10"/>
      <c r="BT1416" s="10"/>
      <c r="BU1416" s="10"/>
      <c r="BV1416" s="10"/>
      <c r="BW1416" s="10"/>
      <c r="BX1416" s="10"/>
      <c r="BY1416" s="23"/>
      <c r="BZ1416" s="23"/>
      <c r="CA1416" s="23"/>
      <c r="CB1416" s="23"/>
      <c r="CC1416" s="23"/>
      <c r="CD1416" s="23"/>
      <c r="CE1416" s="23"/>
      <c r="CF1416" s="23"/>
      <c r="CG1416" s="23"/>
      <c r="CH1416" s="23"/>
      <c r="CI1416" s="23"/>
    </row>
    <row r="1417" spans="1:87" x14ac:dyDescent="0.3">
      <c r="A1417" s="9" t="s">
        <v>11009</v>
      </c>
      <c r="B1417" s="10" t="s">
        <v>11010</v>
      </c>
      <c r="C1417" s="11">
        <v>46096</v>
      </c>
      <c r="D1417" s="12">
        <v>8.3333333333333329E-2</v>
      </c>
      <c r="E1417" s="11">
        <v>46096.083333333336</v>
      </c>
      <c r="F1417" s="10" t="s">
        <v>3211</v>
      </c>
      <c r="G1417" s="13" t="b">
        <v>0</v>
      </c>
      <c r="H1417" s="10" t="s">
        <v>3212</v>
      </c>
      <c r="I1417" s="10" t="s">
        <v>3213</v>
      </c>
      <c r="J1417" s="13" t="b">
        <v>0</v>
      </c>
      <c r="K1417" s="13" t="b">
        <v>1</v>
      </c>
      <c r="L1417" s="10" t="s">
        <v>124</v>
      </c>
      <c r="M1417" s="10" t="s">
        <v>91</v>
      </c>
      <c r="N1417" s="10" t="s">
        <v>92</v>
      </c>
      <c r="O1417" s="10"/>
      <c r="P1417" s="10"/>
      <c r="Q1417" s="10"/>
      <c r="R1417" s="10"/>
      <c r="S1417" s="10"/>
      <c r="T1417" s="10"/>
      <c r="U1417" s="10" t="s">
        <v>3451</v>
      </c>
      <c r="V1417" s="10" t="s">
        <v>3239</v>
      </c>
      <c r="W1417" s="10" t="s">
        <v>3219</v>
      </c>
      <c r="X1417" s="10" t="s">
        <v>130</v>
      </c>
      <c r="Y1417" s="10" t="s">
        <v>130</v>
      </c>
      <c r="Z1417" s="10" t="s">
        <v>99</v>
      </c>
      <c r="AA1417" s="10" t="s">
        <v>131</v>
      </c>
      <c r="AB1417" s="10" t="s">
        <v>3220</v>
      </c>
      <c r="AC1417" s="10" t="s">
        <v>3221</v>
      </c>
      <c r="AD1417" s="10" t="s">
        <v>11011</v>
      </c>
      <c r="AE1417" s="10" t="s">
        <v>11012</v>
      </c>
      <c r="AF1417" s="15"/>
      <c r="AG1417" s="10"/>
      <c r="AH1417" s="10"/>
      <c r="AI1417" s="10"/>
      <c r="AJ1417" s="10"/>
      <c r="AK1417" s="10"/>
      <c r="AL1417" s="10" t="s">
        <v>2802</v>
      </c>
      <c r="AM1417" s="10"/>
      <c r="AN1417" s="10"/>
      <c r="AO1417" s="13" t="b">
        <v>0</v>
      </c>
      <c r="AP1417" s="10" t="s">
        <v>104</v>
      </c>
      <c r="AQ1417" s="10"/>
      <c r="AR1417" s="17"/>
      <c r="AS1417" s="17"/>
      <c r="AT1417" s="17"/>
      <c r="AU1417" s="17"/>
      <c r="AV1417" s="17"/>
      <c r="AW1417" s="10"/>
      <c r="AX1417" s="17"/>
      <c r="AY1417" s="18" t="s">
        <v>257</v>
      </c>
      <c r="AZ1417" s="10"/>
      <c r="BA1417" s="20" t="b">
        <v>0</v>
      </c>
      <c r="BB1417" s="10"/>
      <c r="BC1417" s="17" t="s">
        <v>257</v>
      </c>
      <c r="BD1417" s="17" t="s">
        <v>257</v>
      </c>
      <c r="BE1417" s="17" t="s">
        <v>257</v>
      </c>
      <c r="BF1417" s="17" t="s">
        <v>257</v>
      </c>
      <c r="BG1417" s="11">
        <f ca="1">IFERROR(__xludf.DUMMYFUNCTION("""COMPUTED_VALUE"""),46096)</f>
        <v>46096</v>
      </c>
      <c r="BH1417" s="17"/>
      <c r="BI1417" s="17"/>
      <c r="BJ1417" s="15"/>
      <c r="BK1417" s="15"/>
      <c r="BL1417" s="13" t="b">
        <v>0</v>
      </c>
      <c r="BM1417" s="10"/>
      <c r="BN1417" s="10" t="s">
        <v>223</v>
      </c>
      <c r="BO1417" s="11">
        <v>45904.28460648148</v>
      </c>
      <c r="BP1417" s="11">
        <v>45904.28460648148</v>
      </c>
      <c r="BQ1417" s="15"/>
      <c r="BR1417" s="15"/>
      <c r="BS1417" s="10"/>
      <c r="BT1417" s="10"/>
      <c r="BU1417" s="10"/>
      <c r="BV1417" s="10"/>
      <c r="BW1417" s="10"/>
      <c r="BX1417" s="10"/>
      <c r="BY1417" s="23"/>
      <c r="BZ1417" s="23"/>
      <c r="CA1417" s="23"/>
      <c r="CB1417" s="23"/>
      <c r="CC1417" s="23"/>
      <c r="CD1417" s="23"/>
      <c r="CE1417" s="23"/>
      <c r="CF1417" s="23"/>
      <c r="CG1417" s="23"/>
      <c r="CH1417" s="23"/>
      <c r="CI1417" s="23"/>
    </row>
    <row r="1418" spans="1:87" x14ac:dyDescent="0.3">
      <c r="A1418" s="9" t="s">
        <v>11013</v>
      </c>
      <c r="B1418" s="10" t="s">
        <v>11014</v>
      </c>
      <c r="C1418" s="11">
        <v>46096</v>
      </c>
      <c r="D1418" s="12">
        <v>8.3333333333333329E-2</v>
      </c>
      <c r="E1418" s="11">
        <v>46096.083333333336</v>
      </c>
      <c r="F1418" s="10" t="s">
        <v>3211</v>
      </c>
      <c r="G1418" s="13" t="b">
        <v>0</v>
      </c>
      <c r="H1418" s="10" t="s">
        <v>3212</v>
      </c>
      <c r="I1418" s="10" t="s">
        <v>3213</v>
      </c>
      <c r="J1418" s="13" t="b">
        <v>0</v>
      </c>
      <c r="K1418" s="13" t="b">
        <v>1</v>
      </c>
      <c r="L1418" s="10" t="s">
        <v>124</v>
      </c>
      <c r="M1418" s="10" t="s">
        <v>91</v>
      </c>
      <c r="N1418" s="10" t="s">
        <v>92</v>
      </c>
      <c r="O1418" s="10"/>
      <c r="P1418" s="10"/>
      <c r="Q1418" s="10"/>
      <c r="R1418" s="10"/>
      <c r="S1418" s="10"/>
      <c r="T1418" s="10"/>
      <c r="U1418" s="10" t="s">
        <v>3429</v>
      </c>
      <c r="V1418" s="10" t="s">
        <v>3230</v>
      </c>
      <c r="W1418" s="10" t="s">
        <v>3219</v>
      </c>
      <c r="X1418" s="10" t="s">
        <v>130</v>
      </c>
      <c r="Y1418" s="10" t="s">
        <v>130</v>
      </c>
      <c r="Z1418" s="10" t="s">
        <v>99</v>
      </c>
      <c r="AA1418" s="10" t="s">
        <v>131</v>
      </c>
      <c r="AB1418" s="10" t="s">
        <v>3220</v>
      </c>
      <c r="AC1418" s="10" t="s">
        <v>3221</v>
      </c>
      <c r="AD1418" s="10" t="s">
        <v>11015</v>
      </c>
      <c r="AE1418" s="10" t="s">
        <v>11016</v>
      </c>
      <c r="AF1418" s="15"/>
      <c r="AG1418" s="10"/>
      <c r="AH1418" s="10"/>
      <c r="AI1418" s="10"/>
      <c r="AJ1418" s="10"/>
      <c r="AK1418" s="10"/>
      <c r="AL1418" s="10" t="s">
        <v>2802</v>
      </c>
      <c r="AM1418" s="10"/>
      <c r="AN1418" s="10"/>
      <c r="AO1418" s="13" t="b">
        <v>0</v>
      </c>
      <c r="AP1418" s="10" t="s">
        <v>104</v>
      </c>
      <c r="AQ1418" s="10"/>
      <c r="AR1418" s="17"/>
      <c r="AS1418" s="17"/>
      <c r="AT1418" s="17"/>
      <c r="AU1418" s="17"/>
      <c r="AV1418" s="17"/>
      <c r="AW1418" s="10"/>
      <c r="AX1418" s="17"/>
      <c r="AY1418" s="18" t="s">
        <v>257</v>
      </c>
      <c r="AZ1418" s="10"/>
      <c r="BA1418" s="20" t="b">
        <v>0</v>
      </c>
      <c r="BB1418" s="10"/>
      <c r="BC1418" s="17" t="s">
        <v>257</v>
      </c>
      <c r="BD1418" s="17" t="s">
        <v>257</v>
      </c>
      <c r="BE1418" s="17" t="s">
        <v>257</v>
      </c>
      <c r="BF1418" s="17" t="s">
        <v>257</v>
      </c>
      <c r="BG1418" s="11">
        <f ca="1">IFERROR(__xludf.DUMMYFUNCTION("""COMPUTED_VALUE"""),46096)</f>
        <v>46096</v>
      </c>
      <c r="BH1418" s="17"/>
      <c r="BI1418" s="17"/>
      <c r="BJ1418" s="15"/>
      <c r="BK1418" s="15"/>
      <c r="BL1418" s="13" t="b">
        <v>0</v>
      </c>
      <c r="BM1418" s="10"/>
      <c r="BN1418" s="10" t="s">
        <v>223</v>
      </c>
      <c r="BO1418" s="11">
        <v>45904.28460648148</v>
      </c>
      <c r="BP1418" s="11">
        <v>45904.28460648148</v>
      </c>
      <c r="BQ1418" s="15"/>
      <c r="BR1418" s="15"/>
      <c r="BS1418" s="10"/>
      <c r="BT1418" s="10"/>
      <c r="BU1418" s="10"/>
      <c r="BV1418" s="10"/>
      <c r="BW1418" s="10"/>
      <c r="BX1418" s="10"/>
      <c r="BY1418" s="23"/>
      <c r="BZ1418" s="23"/>
      <c r="CA1418" s="23"/>
      <c r="CB1418" s="23"/>
      <c r="CC1418" s="23"/>
      <c r="CD1418" s="23"/>
      <c r="CE1418" s="23"/>
      <c r="CF1418" s="23"/>
      <c r="CG1418" s="23"/>
      <c r="CH1418" s="23"/>
      <c r="CI1418" s="23"/>
    </row>
    <row r="1419" spans="1:87" x14ac:dyDescent="0.3">
      <c r="A1419" s="9" t="s">
        <v>11017</v>
      </c>
      <c r="B1419" s="10" t="s">
        <v>11018</v>
      </c>
      <c r="C1419" s="11">
        <v>46096</v>
      </c>
      <c r="D1419" s="12">
        <v>8.3333333333333329E-2</v>
      </c>
      <c r="E1419" s="11">
        <v>46096.083333333336</v>
      </c>
      <c r="F1419" s="10" t="s">
        <v>3211</v>
      </c>
      <c r="G1419" s="13" t="b">
        <v>0</v>
      </c>
      <c r="H1419" s="10" t="s">
        <v>3212</v>
      </c>
      <c r="I1419" s="10" t="s">
        <v>3213</v>
      </c>
      <c r="J1419" s="13" t="b">
        <v>0</v>
      </c>
      <c r="K1419" s="13" t="b">
        <v>1</v>
      </c>
      <c r="L1419" s="10" t="s">
        <v>124</v>
      </c>
      <c r="M1419" s="10" t="s">
        <v>91</v>
      </c>
      <c r="N1419" s="10" t="s">
        <v>92</v>
      </c>
      <c r="O1419" s="10"/>
      <c r="P1419" s="10"/>
      <c r="Q1419" s="10"/>
      <c r="R1419" s="10"/>
      <c r="S1419" s="10"/>
      <c r="T1419" s="10"/>
      <c r="U1419" s="10" t="s">
        <v>3279</v>
      </c>
      <c r="V1419" s="10" t="s">
        <v>3260</v>
      </c>
      <c r="W1419" s="10" t="s">
        <v>3219</v>
      </c>
      <c r="X1419" s="10" t="s">
        <v>130</v>
      </c>
      <c r="Y1419" s="10" t="s">
        <v>130</v>
      </c>
      <c r="Z1419" s="10" t="s">
        <v>99</v>
      </c>
      <c r="AA1419" s="10" t="s">
        <v>131</v>
      </c>
      <c r="AB1419" s="10" t="s">
        <v>3220</v>
      </c>
      <c r="AC1419" s="10" t="s">
        <v>3221</v>
      </c>
      <c r="AD1419" s="10" t="s">
        <v>11019</v>
      </c>
      <c r="AE1419" s="10" t="s">
        <v>11020</v>
      </c>
      <c r="AF1419" s="15"/>
      <c r="AG1419" s="10"/>
      <c r="AH1419" s="10"/>
      <c r="AI1419" s="10"/>
      <c r="AJ1419" s="10"/>
      <c r="AK1419" s="10"/>
      <c r="AL1419" s="10" t="s">
        <v>2802</v>
      </c>
      <c r="AM1419" s="10"/>
      <c r="AN1419" s="10"/>
      <c r="AO1419" s="13" t="b">
        <v>0</v>
      </c>
      <c r="AP1419" s="10" t="s">
        <v>104</v>
      </c>
      <c r="AQ1419" s="10"/>
      <c r="AR1419" s="17"/>
      <c r="AS1419" s="17"/>
      <c r="AT1419" s="17"/>
      <c r="AU1419" s="17"/>
      <c r="AV1419" s="17"/>
      <c r="AW1419" s="10"/>
      <c r="AX1419" s="17"/>
      <c r="AY1419" s="18" t="s">
        <v>257</v>
      </c>
      <c r="AZ1419" s="10"/>
      <c r="BA1419" s="20" t="b">
        <v>0</v>
      </c>
      <c r="BB1419" s="10"/>
      <c r="BC1419" s="17" t="s">
        <v>257</v>
      </c>
      <c r="BD1419" s="17" t="s">
        <v>257</v>
      </c>
      <c r="BE1419" s="17" t="s">
        <v>257</v>
      </c>
      <c r="BF1419" s="17" t="s">
        <v>257</v>
      </c>
      <c r="BG1419" s="11">
        <f ca="1">IFERROR(__xludf.DUMMYFUNCTION("""COMPUTED_VALUE"""),46096)</f>
        <v>46096</v>
      </c>
      <c r="BH1419" s="17"/>
      <c r="BI1419" s="17"/>
      <c r="BJ1419" s="15"/>
      <c r="BK1419" s="15"/>
      <c r="BL1419" s="13" t="b">
        <v>0</v>
      </c>
      <c r="BM1419" s="10"/>
      <c r="BN1419" s="10" t="s">
        <v>223</v>
      </c>
      <c r="BO1419" s="11">
        <v>45904.28460648148</v>
      </c>
      <c r="BP1419" s="11">
        <v>45904.28460648148</v>
      </c>
      <c r="BQ1419" s="15"/>
      <c r="BR1419" s="15"/>
      <c r="BS1419" s="10"/>
      <c r="BT1419" s="10"/>
      <c r="BU1419" s="10"/>
      <c r="BV1419" s="10"/>
      <c r="BW1419" s="10"/>
      <c r="BX1419" s="10"/>
      <c r="BY1419" s="23"/>
      <c r="BZ1419" s="23"/>
      <c r="CA1419" s="23"/>
      <c r="CB1419" s="23"/>
      <c r="CC1419" s="23"/>
      <c r="CD1419" s="23"/>
      <c r="CE1419" s="23"/>
      <c r="CF1419" s="23"/>
      <c r="CG1419" s="23"/>
      <c r="CH1419" s="23"/>
      <c r="CI1419" s="23"/>
    </row>
    <row r="1420" spans="1:87" x14ac:dyDescent="0.3">
      <c r="A1420" s="9" t="s">
        <v>11021</v>
      </c>
      <c r="B1420" s="10" t="s">
        <v>11022</v>
      </c>
      <c r="C1420" s="11">
        <v>46096</v>
      </c>
      <c r="D1420" s="12">
        <v>8.3333333333333329E-2</v>
      </c>
      <c r="E1420" s="11">
        <v>46096.083333333336</v>
      </c>
      <c r="F1420" s="10" t="s">
        <v>3211</v>
      </c>
      <c r="G1420" s="13" t="b">
        <v>0</v>
      </c>
      <c r="H1420" s="10" t="s">
        <v>3212</v>
      </c>
      <c r="I1420" s="10" t="s">
        <v>3213</v>
      </c>
      <c r="J1420" s="13" t="b">
        <v>0</v>
      </c>
      <c r="K1420" s="13" t="b">
        <v>1</v>
      </c>
      <c r="L1420" s="10" t="s">
        <v>124</v>
      </c>
      <c r="M1420" s="10" t="s">
        <v>91</v>
      </c>
      <c r="N1420" s="10" t="s">
        <v>92</v>
      </c>
      <c r="O1420" s="10"/>
      <c r="P1420" s="10"/>
      <c r="Q1420" s="10"/>
      <c r="R1420" s="10"/>
      <c r="S1420" s="10"/>
      <c r="T1420" s="10"/>
      <c r="U1420" s="10" t="s">
        <v>3269</v>
      </c>
      <c r="V1420" s="10" t="s">
        <v>3259</v>
      </c>
      <c r="W1420" s="10" t="s">
        <v>3219</v>
      </c>
      <c r="X1420" s="10" t="s">
        <v>130</v>
      </c>
      <c r="Y1420" s="10" t="s">
        <v>130</v>
      </c>
      <c r="Z1420" s="10" t="s">
        <v>99</v>
      </c>
      <c r="AA1420" s="10" t="s">
        <v>131</v>
      </c>
      <c r="AB1420" s="10" t="s">
        <v>3220</v>
      </c>
      <c r="AC1420" s="10" t="s">
        <v>3221</v>
      </c>
      <c r="AD1420" s="10" t="s">
        <v>11023</v>
      </c>
      <c r="AE1420" s="10" t="s">
        <v>11024</v>
      </c>
      <c r="AF1420" s="15"/>
      <c r="AG1420" s="10"/>
      <c r="AH1420" s="10"/>
      <c r="AI1420" s="10"/>
      <c r="AJ1420" s="10"/>
      <c r="AK1420" s="10"/>
      <c r="AL1420" s="10" t="s">
        <v>2802</v>
      </c>
      <c r="AM1420" s="10"/>
      <c r="AN1420" s="10"/>
      <c r="AO1420" s="13" t="b">
        <v>0</v>
      </c>
      <c r="AP1420" s="10" t="s">
        <v>104</v>
      </c>
      <c r="AQ1420" s="10"/>
      <c r="AR1420" s="17"/>
      <c r="AS1420" s="17"/>
      <c r="AT1420" s="17"/>
      <c r="AU1420" s="17"/>
      <c r="AV1420" s="17"/>
      <c r="AW1420" s="10"/>
      <c r="AX1420" s="17"/>
      <c r="AY1420" s="18" t="s">
        <v>257</v>
      </c>
      <c r="AZ1420" s="10"/>
      <c r="BA1420" s="20" t="b">
        <v>0</v>
      </c>
      <c r="BB1420" s="10"/>
      <c r="BC1420" s="17" t="s">
        <v>257</v>
      </c>
      <c r="BD1420" s="17" t="s">
        <v>257</v>
      </c>
      <c r="BE1420" s="17" t="s">
        <v>257</v>
      </c>
      <c r="BF1420" s="17" t="s">
        <v>257</v>
      </c>
      <c r="BG1420" s="11">
        <f ca="1">IFERROR(__xludf.DUMMYFUNCTION("""COMPUTED_VALUE"""),46096)</f>
        <v>46096</v>
      </c>
      <c r="BH1420" s="17"/>
      <c r="BI1420" s="17"/>
      <c r="BJ1420" s="15"/>
      <c r="BK1420" s="15"/>
      <c r="BL1420" s="13" t="b">
        <v>0</v>
      </c>
      <c r="BM1420" s="10"/>
      <c r="BN1420" s="10" t="s">
        <v>223</v>
      </c>
      <c r="BO1420" s="11">
        <v>45904.28460648148</v>
      </c>
      <c r="BP1420" s="11">
        <v>45904.28460648148</v>
      </c>
      <c r="BQ1420" s="15"/>
      <c r="BR1420" s="15"/>
      <c r="BS1420" s="10"/>
      <c r="BT1420" s="10"/>
      <c r="BU1420" s="10"/>
      <c r="BV1420" s="10"/>
      <c r="BW1420" s="10"/>
      <c r="BX1420" s="10"/>
      <c r="BY1420" s="23"/>
      <c r="BZ1420" s="23"/>
      <c r="CA1420" s="23"/>
      <c r="CB1420" s="23"/>
      <c r="CC1420" s="23"/>
      <c r="CD1420" s="23"/>
      <c r="CE1420" s="23"/>
      <c r="CF1420" s="23"/>
      <c r="CG1420" s="23"/>
      <c r="CH1420" s="23"/>
      <c r="CI1420" s="23"/>
    </row>
    <row r="1421" spans="1:87" x14ac:dyDescent="0.3">
      <c r="A1421" s="9" t="s">
        <v>11025</v>
      </c>
      <c r="B1421" s="10" t="s">
        <v>11026</v>
      </c>
      <c r="C1421" s="11">
        <v>46096</v>
      </c>
      <c r="D1421" s="12">
        <v>8.3333333333333329E-2</v>
      </c>
      <c r="E1421" s="11">
        <v>46096.083333333336</v>
      </c>
      <c r="F1421" s="10" t="s">
        <v>3211</v>
      </c>
      <c r="G1421" s="13" t="b">
        <v>0</v>
      </c>
      <c r="H1421" s="10" t="s">
        <v>3212</v>
      </c>
      <c r="I1421" s="10" t="s">
        <v>3213</v>
      </c>
      <c r="J1421" s="13" t="b">
        <v>0</v>
      </c>
      <c r="K1421" s="13" t="b">
        <v>1</v>
      </c>
      <c r="L1421" s="10" t="s">
        <v>124</v>
      </c>
      <c r="M1421" s="10" t="s">
        <v>91</v>
      </c>
      <c r="N1421" s="10" t="s">
        <v>92</v>
      </c>
      <c r="O1421" s="10"/>
      <c r="P1421" s="10"/>
      <c r="Q1421" s="10"/>
      <c r="R1421" s="10"/>
      <c r="S1421" s="10"/>
      <c r="T1421" s="10"/>
      <c r="U1421" s="10" t="s">
        <v>3270</v>
      </c>
      <c r="V1421" s="10" t="s">
        <v>3217</v>
      </c>
      <c r="W1421" s="10" t="s">
        <v>3219</v>
      </c>
      <c r="X1421" s="10" t="s">
        <v>130</v>
      </c>
      <c r="Y1421" s="10" t="s">
        <v>130</v>
      </c>
      <c r="Z1421" s="10" t="s">
        <v>99</v>
      </c>
      <c r="AA1421" s="10" t="s">
        <v>131</v>
      </c>
      <c r="AB1421" s="10" t="s">
        <v>3220</v>
      </c>
      <c r="AC1421" s="10" t="s">
        <v>3221</v>
      </c>
      <c r="AD1421" s="10" t="s">
        <v>11027</v>
      </c>
      <c r="AE1421" s="10" t="s">
        <v>11028</v>
      </c>
      <c r="AF1421" s="15"/>
      <c r="AG1421" s="10"/>
      <c r="AH1421" s="10"/>
      <c r="AI1421" s="10"/>
      <c r="AJ1421" s="10"/>
      <c r="AK1421" s="10"/>
      <c r="AL1421" s="10" t="s">
        <v>2802</v>
      </c>
      <c r="AM1421" s="10"/>
      <c r="AN1421" s="10"/>
      <c r="AO1421" s="13" t="b">
        <v>0</v>
      </c>
      <c r="AP1421" s="10" t="s">
        <v>104</v>
      </c>
      <c r="AQ1421" s="10"/>
      <c r="AR1421" s="17"/>
      <c r="AS1421" s="17"/>
      <c r="AT1421" s="17"/>
      <c r="AU1421" s="17"/>
      <c r="AV1421" s="17"/>
      <c r="AW1421" s="10"/>
      <c r="AX1421" s="17"/>
      <c r="AY1421" s="18" t="s">
        <v>257</v>
      </c>
      <c r="AZ1421" s="10"/>
      <c r="BA1421" s="20" t="b">
        <v>0</v>
      </c>
      <c r="BB1421" s="10"/>
      <c r="BC1421" s="17" t="s">
        <v>257</v>
      </c>
      <c r="BD1421" s="17" t="s">
        <v>257</v>
      </c>
      <c r="BE1421" s="17" t="s">
        <v>257</v>
      </c>
      <c r="BF1421" s="17" t="s">
        <v>257</v>
      </c>
      <c r="BG1421" s="11">
        <f ca="1">IFERROR(__xludf.DUMMYFUNCTION("""COMPUTED_VALUE"""),46096)</f>
        <v>46096</v>
      </c>
      <c r="BH1421" s="17"/>
      <c r="BI1421" s="17"/>
      <c r="BJ1421" s="15"/>
      <c r="BK1421" s="15"/>
      <c r="BL1421" s="13" t="b">
        <v>0</v>
      </c>
      <c r="BM1421" s="10"/>
      <c r="BN1421" s="10" t="s">
        <v>223</v>
      </c>
      <c r="BO1421" s="11">
        <v>45904.28460648148</v>
      </c>
      <c r="BP1421" s="11">
        <v>45904.28460648148</v>
      </c>
      <c r="BQ1421" s="15"/>
      <c r="BR1421" s="15"/>
      <c r="BS1421" s="10"/>
      <c r="BT1421" s="10"/>
      <c r="BU1421" s="10"/>
      <c r="BV1421" s="10"/>
      <c r="BW1421" s="10"/>
      <c r="BX1421" s="10"/>
      <c r="BY1421" s="23"/>
      <c r="BZ1421" s="23"/>
      <c r="CA1421" s="23"/>
      <c r="CB1421" s="23"/>
      <c r="CC1421" s="23"/>
      <c r="CD1421" s="23"/>
      <c r="CE1421" s="23"/>
      <c r="CF1421" s="23"/>
      <c r="CG1421" s="23"/>
      <c r="CH1421" s="23"/>
      <c r="CI1421" s="23"/>
    </row>
    <row r="1422" spans="1:87" x14ac:dyDescent="0.3">
      <c r="A1422" s="9" t="s">
        <v>11029</v>
      </c>
      <c r="B1422" s="10" t="s">
        <v>11030</v>
      </c>
      <c r="C1422" s="11">
        <v>46103</v>
      </c>
      <c r="D1422" s="12">
        <v>8.3333333333333329E-2</v>
      </c>
      <c r="E1422" s="11">
        <v>46103.083333333336</v>
      </c>
      <c r="F1422" s="10" t="s">
        <v>3211</v>
      </c>
      <c r="G1422" s="13" t="b">
        <v>0</v>
      </c>
      <c r="H1422" s="10" t="s">
        <v>3212</v>
      </c>
      <c r="I1422" s="10" t="s">
        <v>3213</v>
      </c>
      <c r="J1422" s="13" t="b">
        <v>0</v>
      </c>
      <c r="K1422" s="13" t="b">
        <v>1</v>
      </c>
      <c r="L1422" s="10" t="s">
        <v>124</v>
      </c>
      <c r="M1422" s="10" t="s">
        <v>91</v>
      </c>
      <c r="N1422" s="10" t="s">
        <v>92</v>
      </c>
      <c r="O1422" s="10"/>
      <c r="P1422" s="10"/>
      <c r="Q1422" s="10"/>
      <c r="R1422" s="10"/>
      <c r="S1422" s="10"/>
      <c r="T1422" s="10"/>
      <c r="U1422" s="10" t="s">
        <v>3308</v>
      </c>
      <c r="V1422" s="10" t="s">
        <v>3270</v>
      </c>
      <c r="W1422" s="10" t="s">
        <v>3219</v>
      </c>
      <c r="X1422" s="10" t="s">
        <v>130</v>
      </c>
      <c r="Y1422" s="10" t="s">
        <v>130</v>
      </c>
      <c r="Z1422" s="10" t="s">
        <v>99</v>
      </c>
      <c r="AA1422" s="10" t="s">
        <v>131</v>
      </c>
      <c r="AB1422" s="10" t="s">
        <v>3220</v>
      </c>
      <c r="AC1422" s="10" t="s">
        <v>3221</v>
      </c>
      <c r="AD1422" s="10" t="s">
        <v>11031</v>
      </c>
      <c r="AE1422" s="10" t="s">
        <v>11032</v>
      </c>
      <c r="AF1422" s="15"/>
      <c r="AG1422" s="10"/>
      <c r="AH1422" s="10"/>
      <c r="AI1422" s="10"/>
      <c r="AJ1422" s="10"/>
      <c r="AK1422" s="10"/>
      <c r="AL1422" s="10" t="s">
        <v>2843</v>
      </c>
      <c r="AM1422" s="10"/>
      <c r="AN1422" s="10"/>
      <c r="AO1422" s="13" t="b">
        <v>0</v>
      </c>
      <c r="AP1422" s="10" t="s">
        <v>104</v>
      </c>
      <c r="AQ1422" s="10"/>
      <c r="AR1422" s="17"/>
      <c r="AS1422" s="17"/>
      <c r="AT1422" s="17"/>
      <c r="AU1422" s="17"/>
      <c r="AV1422" s="17"/>
      <c r="AW1422" s="10"/>
      <c r="AX1422" s="17"/>
      <c r="AY1422" s="18" t="s">
        <v>257</v>
      </c>
      <c r="AZ1422" s="10"/>
      <c r="BA1422" s="20" t="b">
        <v>0</v>
      </c>
      <c r="BB1422" s="10"/>
      <c r="BC1422" s="17" t="s">
        <v>257</v>
      </c>
      <c r="BD1422" s="17" t="s">
        <v>257</v>
      </c>
      <c r="BE1422" s="17" t="s">
        <v>257</v>
      </c>
      <c r="BF1422" s="17" t="s">
        <v>257</v>
      </c>
      <c r="BG1422" s="11">
        <f ca="1">IFERROR(__xludf.DUMMYFUNCTION("""COMPUTED_VALUE"""),46103)</f>
        <v>46103</v>
      </c>
      <c r="BH1422" s="17"/>
      <c r="BI1422" s="17"/>
      <c r="BJ1422" s="15"/>
      <c r="BK1422" s="15"/>
      <c r="BL1422" s="13" t="b">
        <v>0</v>
      </c>
      <c r="BM1422" s="10"/>
      <c r="BN1422" s="10" t="s">
        <v>223</v>
      </c>
      <c r="BO1422" s="11">
        <v>45904.28460648148</v>
      </c>
      <c r="BP1422" s="11">
        <v>45904.28460648148</v>
      </c>
      <c r="BQ1422" s="15"/>
      <c r="BR1422" s="15"/>
      <c r="BS1422" s="10"/>
      <c r="BT1422" s="10"/>
      <c r="BU1422" s="10"/>
      <c r="BV1422" s="10"/>
      <c r="BW1422" s="10"/>
      <c r="BX1422" s="10"/>
      <c r="BY1422" s="23"/>
      <c r="BZ1422" s="23"/>
      <c r="CA1422" s="23"/>
      <c r="CB1422" s="23"/>
      <c r="CC1422" s="23"/>
      <c r="CD1422" s="23"/>
      <c r="CE1422" s="23"/>
      <c r="CF1422" s="23"/>
      <c r="CG1422" s="23"/>
      <c r="CH1422" s="23"/>
      <c r="CI1422" s="23"/>
    </row>
    <row r="1423" spans="1:87" x14ac:dyDescent="0.3">
      <c r="A1423" s="9" t="s">
        <v>11033</v>
      </c>
      <c r="B1423" s="10" t="s">
        <v>11034</v>
      </c>
      <c r="C1423" s="11">
        <v>46103</v>
      </c>
      <c r="D1423" s="12">
        <v>8.3333333333333329E-2</v>
      </c>
      <c r="E1423" s="11">
        <v>46103.083333333336</v>
      </c>
      <c r="F1423" s="10" t="s">
        <v>3211</v>
      </c>
      <c r="G1423" s="13" t="b">
        <v>0</v>
      </c>
      <c r="H1423" s="10" t="s">
        <v>3212</v>
      </c>
      <c r="I1423" s="10" t="s">
        <v>3213</v>
      </c>
      <c r="J1423" s="13" t="b">
        <v>0</v>
      </c>
      <c r="K1423" s="13" t="b">
        <v>1</v>
      </c>
      <c r="L1423" s="10" t="s">
        <v>124</v>
      </c>
      <c r="M1423" s="10" t="s">
        <v>91</v>
      </c>
      <c r="N1423" s="10" t="s">
        <v>92</v>
      </c>
      <c r="O1423" s="10"/>
      <c r="P1423" s="10"/>
      <c r="Q1423" s="10"/>
      <c r="R1423" s="10"/>
      <c r="S1423" s="10"/>
      <c r="T1423" s="10"/>
      <c r="U1423" s="10" t="s">
        <v>3230</v>
      </c>
      <c r="V1423" s="10" t="s">
        <v>3250</v>
      </c>
      <c r="W1423" s="10" t="s">
        <v>3219</v>
      </c>
      <c r="X1423" s="10" t="s">
        <v>130</v>
      </c>
      <c r="Y1423" s="10" t="s">
        <v>130</v>
      </c>
      <c r="Z1423" s="10" t="s">
        <v>99</v>
      </c>
      <c r="AA1423" s="10" t="s">
        <v>131</v>
      </c>
      <c r="AB1423" s="10" t="s">
        <v>3220</v>
      </c>
      <c r="AC1423" s="10" t="s">
        <v>3221</v>
      </c>
      <c r="AD1423" s="10" t="s">
        <v>11035</v>
      </c>
      <c r="AE1423" s="10" t="s">
        <v>11036</v>
      </c>
      <c r="AF1423" s="15"/>
      <c r="AG1423" s="10"/>
      <c r="AH1423" s="10"/>
      <c r="AI1423" s="10"/>
      <c r="AJ1423" s="10"/>
      <c r="AK1423" s="10"/>
      <c r="AL1423" s="10" t="s">
        <v>2843</v>
      </c>
      <c r="AM1423" s="10"/>
      <c r="AN1423" s="10"/>
      <c r="AO1423" s="13" t="b">
        <v>0</v>
      </c>
      <c r="AP1423" s="10" t="s">
        <v>104</v>
      </c>
      <c r="AQ1423" s="10"/>
      <c r="AR1423" s="17"/>
      <c r="AS1423" s="17"/>
      <c r="AT1423" s="17"/>
      <c r="AU1423" s="17"/>
      <c r="AV1423" s="17"/>
      <c r="AW1423" s="10"/>
      <c r="AX1423" s="17"/>
      <c r="AY1423" s="18" t="s">
        <v>257</v>
      </c>
      <c r="AZ1423" s="10"/>
      <c r="BA1423" s="20" t="b">
        <v>0</v>
      </c>
      <c r="BB1423" s="10"/>
      <c r="BC1423" s="17" t="s">
        <v>257</v>
      </c>
      <c r="BD1423" s="17" t="s">
        <v>257</v>
      </c>
      <c r="BE1423" s="17" t="s">
        <v>257</v>
      </c>
      <c r="BF1423" s="17" t="s">
        <v>257</v>
      </c>
      <c r="BG1423" s="11">
        <f ca="1">IFERROR(__xludf.DUMMYFUNCTION("""COMPUTED_VALUE"""),46103)</f>
        <v>46103</v>
      </c>
      <c r="BH1423" s="17"/>
      <c r="BI1423" s="17"/>
      <c r="BJ1423" s="15"/>
      <c r="BK1423" s="15"/>
      <c r="BL1423" s="13" t="b">
        <v>0</v>
      </c>
      <c r="BM1423" s="10"/>
      <c r="BN1423" s="10" t="s">
        <v>223</v>
      </c>
      <c r="BO1423" s="11">
        <v>45904.28460648148</v>
      </c>
      <c r="BP1423" s="11">
        <v>45904.28460648148</v>
      </c>
      <c r="BQ1423" s="15"/>
      <c r="BR1423" s="15"/>
      <c r="BS1423" s="10"/>
      <c r="BT1423" s="10"/>
      <c r="BU1423" s="10"/>
      <c r="BV1423" s="10"/>
      <c r="BW1423" s="10"/>
      <c r="BX1423" s="10"/>
      <c r="BY1423" s="23"/>
      <c r="BZ1423" s="23"/>
      <c r="CA1423" s="23"/>
      <c r="CB1423" s="23"/>
      <c r="CC1423" s="23"/>
      <c r="CD1423" s="23"/>
      <c r="CE1423" s="23"/>
      <c r="CF1423" s="23"/>
      <c r="CG1423" s="23"/>
      <c r="CH1423" s="23"/>
      <c r="CI1423" s="23"/>
    </row>
    <row r="1424" spans="1:87" x14ac:dyDescent="0.3">
      <c r="A1424" s="9" t="s">
        <v>11037</v>
      </c>
      <c r="B1424" s="10" t="s">
        <v>11038</v>
      </c>
      <c r="C1424" s="11">
        <v>46103</v>
      </c>
      <c r="D1424" s="12">
        <v>8.3333333333333329E-2</v>
      </c>
      <c r="E1424" s="11">
        <v>46103.083333333336</v>
      </c>
      <c r="F1424" s="10" t="s">
        <v>3211</v>
      </c>
      <c r="G1424" s="13" t="b">
        <v>0</v>
      </c>
      <c r="H1424" s="10" t="s">
        <v>3212</v>
      </c>
      <c r="I1424" s="10" t="s">
        <v>3213</v>
      </c>
      <c r="J1424" s="13" t="b">
        <v>0</v>
      </c>
      <c r="K1424" s="13" t="b">
        <v>1</v>
      </c>
      <c r="L1424" s="10" t="s">
        <v>124</v>
      </c>
      <c r="M1424" s="10" t="s">
        <v>91</v>
      </c>
      <c r="N1424" s="10" t="s">
        <v>92</v>
      </c>
      <c r="O1424" s="10"/>
      <c r="P1424" s="10"/>
      <c r="Q1424" s="10"/>
      <c r="R1424" s="10"/>
      <c r="S1424" s="10"/>
      <c r="T1424" s="10"/>
      <c r="U1424" s="10" t="s">
        <v>3239</v>
      </c>
      <c r="V1424" s="10" t="s">
        <v>3318</v>
      </c>
      <c r="W1424" s="10" t="s">
        <v>3219</v>
      </c>
      <c r="X1424" s="10" t="s">
        <v>130</v>
      </c>
      <c r="Y1424" s="10" t="s">
        <v>130</v>
      </c>
      <c r="Z1424" s="10" t="s">
        <v>99</v>
      </c>
      <c r="AA1424" s="10" t="s">
        <v>131</v>
      </c>
      <c r="AB1424" s="10" t="s">
        <v>3220</v>
      </c>
      <c r="AC1424" s="10" t="s">
        <v>3221</v>
      </c>
      <c r="AD1424" s="10" t="s">
        <v>11039</v>
      </c>
      <c r="AE1424" s="10" t="s">
        <v>11040</v>
      </c>
      <c r="AF1424" s="15"/>
      <c r="AG1424" s="10"/>
      <c r="AH1424" s="10"/>
      <c r="AI1424" s="10"/>
      <c r="AJ1424" s="10"/>
      <c r="AK1424" s="10"/>
      <c r="AL1424" s="10" t="s">
        <v>2843</v>
      </c>
      <c r="AM1424" s="10"/>
      <c r="AN1424" s="10"/>
      <c r="AO1424" s="13" t="b">
        <v>0</v>
      </c>
      <c r="AP1424" s="10" t="s">
        <v>104</v>
      </c>
      <c r="AQ1424" s="10"/>
      <c r="AR1424" s="17"/>
      <c r="AS1424" s="17"/>
      <c r="AT1424" s="17"/>
      <c r="AU1424" s="17"/>
      <c r="AV1424" s="17"/>
      <c r="AW1424" s="10"/>
      <c r="AX1424" s="17"/>
      <c r="AY1424" s="18" t="s">
        <v>257</v>
      </c>
      <c r="AZ1424" s="10"/>
      <c r="BA1424" s="20" t="b">
        <v>0</v>
      </c>
      <c r="BB1424" s="10"/>
      <c r="BC1424" s="17" t="s">
        <v>257</v>
      </c>
      <c r="BD1424" s="17" t="s">
        <v>257</v>
      </c>
      <c r="BE1424" s="17" t="s">
        <v>257</v>
      </c>
      <c r="BF1424" s="17" t="s">
        <v>257</v>
      </c>
      <c r="BG1424" s="11">
        <f ca="1">IFERROR(__xludf.DUMMYFUNCTION("""COMPUTED_VALUE"""),46103)</f>
        <v>46103</v>
      </c>
      <c r="BH1424" s="17"/>
      <c r="BI1424" s="17"/>
      <c r="BJ1424" s="15"/>
      <c r="BK1424" s="15"/>
      <c r="BL1424" s="13" t="b">
        <v>0</v>
      </c>
      <c r="BM1424" s="10"/>
      <c r="BN1424" s="10" t="s">
        <v>223</v>
      </c>
      <c r="BO1424" s="11">
        <v>45904.28460648148</v>
      </c>
      <c r="BP1424" s="11">
        <v>45904.28460648148</v>
      </c>
      <c r="BQ1424" s="15"/>
      <c r="BR1424" s="15"/>
      <c r="BS1424" s="10"/>
      <c r="BT1424" s="10"/>
      <c r="BU1424" s="10"/>
      <c r="BV1424" s="10"/>
      <c r="BW1424" s="10"/>
      <c r="BX1424" s="10"/>
      <c r="BY1424" s="23"/>
      <c r="BZ1424" s="23"/>
      <c r="CA1424" s="23"/>
      <c r="CB1424" s="23"/>
      <c r="CC1424" s="23"/>
      <c r="CD1424" s="23"/>
      <c r="CE1424" s="23"/>
      <c r="CF1424" s="23"/>
      <c r="CG1424" s="23"/>
      <c r="CH1424" s="23"/>
      <c r="CI1424" s="23"/>
    </row>
    <row r="1425" spans="1:87" x14ac:dyDescent="0.3">
      <c r="A1425" s="9" t="s">
        <v>11041</v>
      </c>
      <c r="B1425" s="10" t="s">
        <v>11042</v>
      </c>
      <c r="C1425" s="11">
        <v>46103</v>
      </c>
      <c r="D1425" s="12">
        <v>8.3333333333333329E-2</v>
      </c>
      <c r="E1425" s="11">
        <v>46103.083333333336</v>
      </c>
      <c r="F1425" s="10" t="s">
        <v>3211</v>
      </c>
      <c r="G1425" s="13" t="b">
        <v>0</v>
      </c>
      <c r="H1425" s="10" t="s">
        <v>3212</v>
      </c>
      <c r="I1425" s="10" t="s">
        <v>3213</v>
      </c>
      <c r="J1425" s="13" t="b">
        <v>0</v>
      </c>
      <c r="K1425" s="13" t="b">
        <v>1</v>
      </c>
      <c r="L1425" s="10" t="s">
        <v>124</v>
      </c>
      <c r="M1425" s="10" t="s">
        <v>91</v>
      </c>
      <c r="N1425" s="10" t="s">
        <v>92</v>
      </c>
      <c r="O1425" s="10"/>
      <c r="P1425" s="10"/>
      <c r="Q1425" s="10"/>
      <c r="R1425" s="10"/>
      <c r="S1425" s="10"/>
      <c r="T1425" s="10"/>
      <c r="U1425" s="10" t="s">
        <v>3249</v>
      </c>
      <c r="V1425" s="10" t="s">
        <v>3451</v>
      </c>
      <c r="W1425" s="10" t="s">
        <v>3219</v>
      </c>
      <c r="X1425" s="10" t="s">
        <v>130</v>
      </c>
      <c r="Y1425" s="10" t="s">
        <v>130</v>
      </c>
      <c r="Z1425" s="10" t="s">
        <v>99</v>
      </c>
      <c r="AA1425" s="10" t="s">
        <v>131</v>
      </c>
      <c r="AB1425" s="10" t="s">
        <v>3220</v>
      </c>
      <c r="AC1425" s="10" t="s">
        <v>3221</v>
      </c>
      <c r="AD1425" s="10" t="s">
        <v>11043</v>
      </c>
      <c r="AE1425" s="10" t="s">
        <v>11044</v>
      </c>
      <c r="AF1425" s="15"/>
      <c r="AG1425" s="10"/>
      <c r="AH1425" s="10"/>
      <c r="AI1425" s="10"/>
      <c r="AJ1425" s="10"/>
      <c r="AK1425" s="10"/>
      <c r="AL1425" s="10" t="s">
        <v>2843</v>
      </c>
      <c r="AM1425" s="10"/>
      <c r="AN1425" s="10"/>
      <c r="AO1425" s="13" t="b">
        <v>0</v>
      </c>
      <c r="AP1425" s="10" t="s">
        <v>104</v>
      </c>
      <c r="AQ1425" s="10"/>
      <c r="AR1425" s="17"/>
      <c r="AS1425" s="17"/>
      <c r="AT1425" s="17"/>
      <c r="AU1425" s="17"/>
      <c r="AV1425" s="17"/>
      <c r="AW1425" s="10"/>
      <c r="AX1425" s="17"/>
      <c r="AY1425" s="18" t="s">
        <v>257</v>
      </c>
      <c r="AZ1425" s="10"/>
      <c r="BA1425" s="20" t="b">
        <v>0</v>
      </c>
      <c r="BB1425" s="10"/>
      <c r="BC1425" s="17" t="s">
        <v>257</v>
      </c>
      <c r="BD1425" s="17" t="s">
        <v>257</v>
      </c>
      <c r="BE1425" s="17" t="s">
        <v>257</v>
      </c>
      <c r="BF1425" s="17" t="s">
        <v>257</v>
      </c>
      <c r="BG1425" s="11">
        <f ca="1">IFERROR(__xludf.DUMMYFUNCTION("""COMPUTED_VALUE"""),46103)</f>
        <v>46103</v>
      </c>
      <c r="BH1425" s="17"/>
      <c r="BI1425" s="17"/>
      <c r="BJ1425" s="15"/>
      <c r="BK1425" s="15"/>
      <c r="BL1425" s="13" t="b">
        <v>0</v>
      </c>
      <c r="BM1425" s="10"/>
      <c r="BN1425" s="10" t="s">
        <v>223</v>
      </c>
      <c r="BO1425" s="11">
        <v>45904.28460648148</v>
      </c>
      <c r="BP1425" s="11">
        <v>45904.28460648148</v>
      </c>
      <c r="BQ1425" s="15"/>
      <c r="BR1425" s="15"/>
      <c r="BS1425" s="10"/>
      <c r="BT1425" s="10"/>
      <c r="BU1425" s="10"/>
      <c r="BV1425" s="10"/>
      <c r="BW1425" s="10"/>
      <c r="BX1425" s="10"/>
      <c r="BY1425" s="23"/>
      <c r="BZ1425" s="23"/>
      <c r="CA1425" s="23"/>
      <c r="CB1425" s="23"/>
      <c r="CC1425" s="23"/>
      <c r="CD1425" s="23"/>
      <c r="CE1425" s="23"/>
      <c r="CF1425" s="23"/>
      <c r="CG1425" s="23"/>
      <c r="CH1425" s="23"/>
      <c r="CI1425" s="23"/>
    </row>
    <row r="1426" spans="1:87" x14ac:dyDescent="0.3">
      <c r="A1426" s="9" t="s">
        <v>11045</v>
      </c>
      <c r="B1426" s="10" t="s">
        <v>11046</v>
      </c>
      <c r="C1426" s="11">
        <v>46103</v>
      </c>
      <c r="D1426" s="12">
        <v>8.3333333333333329E-2</v>
      </c>
      <c r="E1426" s="11">
        <v>46103.083333333336</v>
      </c>
      <c r="F1426" s="10" t="s">
        <v>3211</v>
      </c>
      <c r="G1426" s="13" t="b">
        <v>0</v>
      </c>
      <c r="H1426" s="10" t="s">
        <v>3212</v>
      </c>
      <c r="I1426" s="10" t="s">
        <v>3213</v>
      </c>
      <c r="J1426" s="13" t="b">
        <v>0</v>
      </c>
      <c r="K1426" s="13" t="b">
        <v>1</v>
      </c>
      <c r="L1426" s="10" t="s">
        <v>124</v>
      </c>
      <c r="M1426" s="10" t="s">
        <v>91</v>
      </c>
      <c r="N1426" s="10" t="s">
        <v>92</v>
      </c>
      <c r="O1426" s="10"/>
      <c r="P1426" s="10"/>
      <c r="Q1426" s="10"/>
      <c r="R1426" s="10"/>
      <c r="S1426" s="10"/>
      <c r="T1426" s="10"/>
      <c r="U1426" s="10" t="s">
        <v>3240</v>
      </c>
      <c r="V1426" s="10" t="s">
        <v>3278</v>
      </c>
      <c r="W1426" s="10" t="s">
        <v>3219</v>
      </c>
      <c r="X1426" s="10" t="s">
        <v>130</v>
      </c>
      <c r="Y1426" s="10" t="s">
        <v>130</v>
      </c>
      <c r="Z1426" s="10" t="s">
        <v>99</v>
      </c>
      <c r="AA1426" s="10" t="s">
        <v>131</v>
      </c>
      <c r="AB1426" s="10" t="s">
        <v>3220</v>
      </c>
      <c r="AC1426" s="10" t="s">
        <v>3221</v>
      </c>
      <c r="AD1426" s="10" t="s">
        <v>11047</v>
      </c>
      <c r="AE1426" s="10" t="s">
        <v>11048</v>
      </c>
      <c r="AF1426" s="15"/>
      <c r="AG1426" s="10"/>
      <c r="AH1426" s="10"/>
      <c r="AI1426" s="10"/>
      <c r="AJ1426" s="10"/>
      <c r="AK1426" s="10"/>
      <c r="AL1426" s="10" t="s">
        <v>2843</v>
      </c>
      <c r="AM1426" s="10"/>
      <c r="AN1426" s="10"/>
      <c r="AO1426" s="13" t="b">
        <v>0</v>
      </c>
      <c r="AP1426" s="10" t="s">
        <v>104</v>
      </c>
      <c r="AQ1426" s="10"/>
      <c r="AR1426" s="17"/>
      <c r="AS1426" s="17"/>
      <c r="AT1426" s="17"/>
      <c r="AU1426" s="17"/>
      <c r="AV1426" s="17"/>
      <c r="AW1426" s="10"/>
      <c r="AX1426" s="17"/>
      <c r="AY1426" s="18" t="s">
        <v>257</v>
      </c>
      <c r="AZ1426" s="10"/>
      <c r="BA1426" s="20" t="b">
        <v>0</v>
      </c>
      <c r="BB1426" s="10"/>
      <c r="BC1426" s="17" t="s">
        <v>257</v>
      </c>
      <c r="BD1426" s="17" t="s">
        <v>257</v>
      </c>
      <c r="BE1426" s="17" t="s">
        <v>257</v>
      </c>
      <c r="BF1426" s="17" t="s">
        <v>257</v>
      </c>
      <c r="BG1426" s="11">
        <f ca="1">IFERROR(__xludf.DUMMYFUNCTION("""COMPUTED_VALUE"""),46103)</f>
        <v>46103</v>
      </c>
      <c r="BH1426" s="17"/>
      <c r="BI1426" s="17"/>
      <c r="BJ1426" s="15"/>
      <c r="BK1426" s="15"/>
      <c r="BL1426" s="13" t="b">
        <v>0</v>
      </c>
      <c r="BM1426" s="10"/>
      <c r="BN1426" s="10" t="s">
        <v>223</v>
      </c>
      <c r="BO1426" s="11">
        <v>45904.28460648148</v>
      </c>
      <c r="BP1426" s="11">
        <v>45904.28460648148</v>
      </c>
      <c r="BQ1426" s="15"/>
      <c r="BR1426" s="15"/>
      <c r="BS1426" s="10"/>
      <c r="BT1426" s="10"/>
      <c r="BU1426" s="10"/>
      <c r="BV1426" s="10"/>
      <c r="BW1426" s="10"/>
      <c r="BX1426" s="10"/>
      <c r="BY1426" s="23"/>
      <c r="BZ1426" s="23"/>
      <c r="CA1426" s="23"/>
      <c r="CB1426" s="23"/>
      <c r="CC1426" s="23"/>
      <c r="CD1426" s="23"/>
      <c r="CE1426" s="23"/>
      <c r="CF1426" s="23"/>
      <c r="CG1426" s="23"/>
      <c r="CH1426" s="23"/>
      <c r="CI1426" s="23"/>
    </row>
    <row r="1427" spans="1:87" x14ac:dyDescent="0.3">
      <c r="A1427" s="9" t="s">
        <v>11049</v>
      </c>
      <c r="B1427" s="10" t="s">
        <v>11050</v>
      </c>
      <c r="C1427" s="11">
        <v>46103</v>
      </c>
      <c r="D1427" s="12">
        <v>8.3333333333333329E-2</v>
      </c>
      <c r="E1427" s="11">
        <v>46103.083333333336</v>
      </c>
      <c r="F1427" s="10" t="s">
        <v>3211</v>
      </c>
      <c r="G1427" s="13" t="b">
        <v>0</v>
      </c>
      <c r="H1427" s="10" t="s">
        <v>3212</v>
      </c>
      <c r="I1427" s="10" t="s">
        <v>3213</v>
      </c>
      <c r="J1427" s="13" t="b">
        <v>0</v>
      </c>
      <c r="K1427" s="13" t="b">
        <v>1</v>
      </c>
      <c r="L1427" s="10" t="s">
        <v>124</v>
      </c>
      <c r="M1427" s="10" t="s">
        <v>91</v>
      </c>
      <c r="N1427" s="10" t="s">
        <v>92</v>
      </c>
      <c r="O1427" s="10"/>
      <c r="P1427" s="10"/>
      <c r="Q1427" s="10"/>
      <c r="R1427" s="10"/>
      <c r="S1427" s="10"/>
      <c r="T1427" s="10"/>
      <c r="U1427" s="10" t="s">
        <v>3217</v>
      </c>
      <c r="V1427" s="10" t="s">
        <v>3269</v>
      </c>
      <c r="W1427" s="10" t="s">
        <v>3219</v>
      </c>
      <c r="X1427" s="10" t="s">
        <v>130</v>
      </c>
      <c r="Y1427" s="10" t="s">
        <v>130</v>
      </c>
      <c r="Z1427" s="10" t="s">
        <v>99</v>
      </c>
      <c r="AA1427" s="10" t="s">
        <v>131</v>
      </c>
      <c r="AB1427" s="10" t="s">
        <v>3220</v>
      </c>
      <c r="AC1427" s="10" t="s">
        <v>3221</v>
      </c>
      <c r="AD1427" s="10" t="s">
        <v>11051</v>
      </c>
      <c r="AE1427" s="10" t="s">
        <v>11052</v>
      </c>
      <c r="AF1427" s="15"/>
      <c r="AG1427" s="10"/>
      <c r="AH1427" s="10"/>
      <c r="AI1427" s="10"/>
      <c r="AJ1427" s="10"/>
      <c r="AK1427" s="10"/>
      <c r="AL1427" s="10" t="s">
        <v>2843</v>
      </c>
      <c r="AM1427" s="10"/>
      <c r="AN1427" s="10"/>
      <c r="AO1427" s="13" t="b">
        <v>0</v>
      </c>
      <c r="AP1427" s="10" t="s">
        <v>104</v>
      </c>
      <c r="AQ1427" s="10"/>
      <c r="AR1427" s="17"/>
      <c r="AS1427" s="17"/>
      <c r="AT1427" s="17"/>
      <c r="AU1427" s="17"/>
      <c r="AV1427" s="17"/>
      <c r="AW1427" s="10"/>
      <c r="AX1427" s="17"/>
      <c r="AY1427" s="18" t="s">
        <v>257</v>
      </c>
      <c r="AZ1427" s="10"/>
      <c r="BA1427" s="20" t="b">
        <v>0</v>
      </c>
      <c r="BB1427" s="10"/>
      <c r="BC1427" s="17" t="s">
        <v>257</v>
      </c>
      <c r="BD1427" s="17" t="s">
        <v>257</v>
      </c>
      <c r="BE1427" s="17" t="s">
        <v>257</v>
      </c>
      <c r="BF1427" s="17" t="s">
        <v>257</v>
      </c>
      <c r="BG1427" s="11">
        <f ca="1">IFERROR(__xludf.DUMMYFUNCTION("""COMPUTED_VALUE"""),46103)</f>
        <v>46103</v>
      </c>
      <c r="BH1427" s="17"/>
      <c r="BI1427" s="17"/>
      <c r="BJ1427" s="15"/>
      <c r="BK1427" s="15"/>
      <c r="BL1427" s="13" t="b">
        <v>0</v>
      </c>
      <c r="BM1427" s="10"/>
      <c r="BN1427" s="10" t="s">
        <v>223</v>
      </c>
      <c r="BO1427" s="11">
        <v>45904.28460648148</v>
      </c>
      <c r="BP1427" s="11">
        <v>45904.28460648148</v>
      </c>
      <c r="BQ1427" s="15"/>
      <c r="BR1427" s="15"/>
      <c r="BS1427" s="10"/>
      <c r="BT1427" s="10"/>
      <c r="BU1427" s="10"/>
      <c r="BV1427" s="10"/>
      <c r="BW1427" s="10"/>
      <c r="BX1427" s="10"/>
      <c r="BY1427" s="23"/>
      <c r="BZ1427" s="23"/>
      <c r="CA1427" s="23"/>
      <c r="CB1427" s="23"/>
      <c r="CC1427" s="23"/>
      <c r="CD1427" s="23"/>
      <c r="CE1427" s="23"/>
      <c r="CF1427" s="23"/>
      <c r="CG1427" s="23"/>
      <c r="CH1427" s="23"/>
      <c r="CI1427" s="23"/>
    </row>
    <row r="1428" spans="1:87" x14ac:dyDescent="0.3">
      <c r="A1428" s="9" t="s">
        <v>11053</v>
      </c>
      <c r="B1428" s="10" t="s">
        <v>11054</v>
      </c>
      <c r="C1428" s="11">
        <v>46103</v>
      </c>
      <c r="D1428" s="12">
        <v>8.3333333333333329E-2</v>
      </c>
      <c r="E1428" s="11">
        <v>46103.083333333336</v>
      </c>
      <c r="F1428" s="10" t="s">
        <v>3211</v>
      </c>
      <c r="G1428" s="13" t="b">
        <v>0</v>
      </c>
      <c r="H1428" s="10" t="s">
        <v>3212</v>
      </c>
      <c r="I1428" s="10" t="s">
        <v>3213</v>
      </c>
      <c r="J1428" s="13" t="b">
        <v>0</v>
      </c>
      <c r="K1428" s="13" t="b">
        <v>1</v>
      </c>
      <c r="L1428" s="10" t="s">
        <v>124</v>
      </c>
      <c r="M1428" s="10" t="s">
        <v>91</v>
      </c>
      <c r="N1428" s="10" t="s">
        <v>92</v>
      </c>
      <c r="O1428" s="10"/>
      <c r="P1428" s="10"/>
      <c r="Q1428" s="10"/>
      <c r="R1428" s="10"/>
      <c r="S1428" s="10"/>
      <c r="T1428" s="10"/>
      <c r="U1428" s="10" t="s">
        <v>3259</v>
      </c>
      <c r="V1428" s="10" t="s">
        <v>3429</v>
      </c>
      <c r="W1428" s="10" t="s">
        <v>3219</v>
      </c>
      <c r="X1428" s="10" t="s">
        <v>130</v>
      </c>
      <c r="Y1428" s="10" t="s">
        <v>130</v>
      </c>
      <c r="Z1428" s="10" t="s">
        <v>99</v>
      </c>
      <c r="AA1428" s="10" t="s">
        <v>131</v>
      </c>
      <c r="AB1428" s="10" t="s">
        <v>3220</v>
      </c>
      <c r="AC1428" s="10" t="s">
        <v>3221</v>
      </c>
      <c r="AD1428" s="10" t="s">
        <v>11055</v>
      </c>
      <c r="AE1428" s="10" t="s">
        <v>11056</v>
      </c>
      <c r="AF1428" s="15"/>
      <c r="AG1428" s="10"/>
      <c r="AH1428" s="10"/>
      <c r="AI1428" s="10"/>
      <c r="AJ1428" s="10"/>
      <c r="AK1428" s="10"/>
      <c r="AL1428" s="10" t="s">
        <v>2843</v>
      </c>
      <c r="AM1428" s="10"/>
      <c r="AN1428" s="10"/>
      <c r="AO1428" s="13" t="b">
        <v>0</v>
      </c>
      <c r="AP1428" s="10" t="s">
        <v>104</v>
      </c>
      <c r="AQ1428" s="10"/>
      <c r="AR1428" s="17"/>
      <c r="AS1428" s="17"/>
      <c r="AT1428" s="17"/>
      <c r="AU1428" s="17"/>
      <c r="AV1428" s="17"/>
      <c r="AW1428" s="10"/>
      <c r="AX1428" s="17"/>
      <c r="AY1428" s="18" t="s">
        <v>257</v>
      </c>
      <c r="AZ1428" s="10"/>
      <c r="BA1428" s="20" t="b">
        <v>0</v>
      </c>
      <c r="BB1428" s="10"/>
      <c r="BC1428" s="17" t="s">
        <v>257</v>
      </c>
      <c r="BD1428" s="17" t="s">
        <v>257</v>
      </c>
      <c r="BE1428" s="17" t="s">
        <v>257</v>
      </c>
      <c r="BF1428" s="17" t="s">
        <v>257</v>
      </c>
      <c r="BG1428" s="11">
        <f ca="1">IFERROR(__xludf.DUMMYFUNCTION("""COMPUTED_VALUE"""),46103)</f>
        <v>46103</v>
      </c>
      <c r="BH1428" s="17"/>
      <c r="BI1428" s="17"/>
      <c r="BJ1428" s="15"/>
      <c r="BK1428" s="15"/>
      <c r="BL1428" s="13" t="b">
        <v>0</v>
      </c>
      <c r="BM1428" s="10"/>
      <c r="BN1428" s="10" t="s">
        <v>223</v>
      </c>
      <c r="BO1428" s="11">
        <v>45904.28460648148</v>
      </c>
      <c r="BP1428" s="11">
        <v>45904.28460648148</v>
      </c>
      <c r="BQ1428" s="15"/>
      <c r="BR1428" s="15"/>
      <c r="BS1428" s="10"/>
      <c r="BT1428" s="10"/>
      <c r="BU1428" s="10"/>
      <c r="BV1428" s="10"/>
      <c r="BW1428" s="10"/>
      <c r="BX1428" s="10"/>
      <c r="BY1428" s="23"/>
      <c r="BZ1428" s="23"/>
      <c r="CA1428" s="23"/>
      <c r="CB1428" s="23"/>
      <c r="CC1428" s="23"/>
      <c r="CD1428" s="23"/>
      <c r="CE1428" s="23"/>
      <c r="CF1428" s="23"/>
      <c r="CG1428" s="23"/>
      <c r="CH1428" s="23"/>
      <c r="CI1428" s="23"/>
    </row>
    <row r="1429" spans="1:87" x14ac:dyDescent="0.3">
      <c r="A1429" s="9" t="s">
        <v>11057</v>
      </c>
      <c r="B1429" s="10" t="s">
        <v>11058</v>
      </c>
      <c r="C1429" s="11">
        <v>46103</v>
      </c>
      <c r="D1429" s="12">
        <v>8.3333333333333329E-2</v>
      </c>
      <c r="E1429" s="11">
        <v>46103.083333333336</v>
      </c>
      <c r="F1429" s="10" t="s">
        <v>3211</v>
      </c>
      <c r="G1429" s="13" t="b">
        <v>0</v>
      </c>
      <c r="H1429" s="10" t="s">
        <v>3212</v>
      </c>
      <c r="I1429" s="10" t="s">
        <v>3213</v>
      </c>
      <c r="J1429" s="13" t="b">
        <v>0</v>
      </c>
      <c r="K1429" s="13" t="b">
        <v>1</v>
      </c>
      <c r="L1429" s="10" t="s">
        <v>124</v>
      </c>
      <c r="M1429" s="10" t="s">
        <v>91</v>
      </c>
      <c r="N1429" s="10" t="s">
        <v>92</v>
      </c>
      <c r="O1429" s="10"/>
      <c r="P1429" s="10"/>
      <c r="Q1429" s="10"/>
      <c r="R1429" s="10"/>
      <c r="S1429" s="10"/>
      <c r="T1429" s="10"/>
      <c r="U1429" s="10" t="s">
        <v>3289</v>
      </c>
      <c r="V1429" s="10" t="s">
        <v>3279</v>
      </c>
      <c r="W1429" s="10" t="s">
        <v>3219</v>
      </c>
      <c r="X1429" s="10" t="s">
        <v>130</v>
      </c>
      <c r="Y1429" s="10" t="s">
        <v>130</v>
      </c>
      <c r="Z1429" s="10" t="s">
        <v>99</v>
      </c>
      <c r="AA1429" s="10" t="s">
        <v>131</v>
      </c>
      <c r="AB1429" s="10" t="s">
        <v>3220</v>
      </c>
      <c r="AC1429" s="10" t="s">
        <v>3221</v>
      </c>
      <c r="AD1429" s="10" t="s">
        <v>11059</v>
      </c>
      <c r="AE1429" s="10" t="s">
        <v>11060</v>
      </c>
      <c r="AF1429" s="15"/>
      <c r="AG1429" s="10"/>
      <c r="AH1429" s="10"/>
      <c r="AI1429" s="10"/>
      <c r="AJ1429" s="10"/>
      <c r="AK1429" s="10"/>
      <c r="AL1429" s="10" t="s">
        <v>2843</v>
      </c>
      <c r="AM1429" s="10"/>
      <c r="AN1429" s="10"/>
      <c r="AO1429" s="13" t="b">
        <v>0</v>
      </c>
      <c r="AP1429" s="10" t="s">
        <v>104</v>
      </c>
      <c r="AQ1429" s="10"/>
      <c r="AR1429" s="17"/>
      <c r="AS1429" s="17"/>
      <c r="AT1429" s="17"/>
      <c r="AU1429" s="17"/>
      <c r="AV1429" s="17"/>
      <c r="AW1429" s="10"/>
      <c r="AX1429" s="17"/>
      <c r="AY1429" s="18" t="s">
        <v>257</v>
      </c>
      <c r="AZ1429" s="10"/>
      <c r="BA1429" s="20" t="b">
        <v>0</v>
      </c>
      <c r="BB1429" s="10"/>
      <c r="BC1429" s="17" t="s">
        <v>257</v>
      </c>
      <c r="BD1429" s="17" t="s">
        <v>257</v>
      </c>
      <c r="BE1429" s="17" t="s">
        <v>257</v>
      </c>
      <c r="BF1429" s="17" t="s">
        <v>257</v>
      </c>
      <c r="BG1429" s="11">
        <f ca="1">IFERROR(__xludf.DUMMYFUNCTION("""COMPUTED_VALUE"""),46103)</f>
        <v>46103</v>
      </c>
      <c r="BH1429" s="17"/>
      <c r="BI1429" s="17"/>
      <c r="BJ1429" s="15"/>
      <c r="BK1429" s="15"/>
      <c r="BL1429" s="13" t="b">
        <v>0</v>
      </c>
      <c r="BM1429" s="10"/>
      <c r="BN1429" s="10" t="s">
        <v>223</v>
      </c>
      <c r="BO1429" s="11">
        <v>45904.28460648148</v>
      </c>
      <c r="BP1429" s="11">
        <v>45904.28460648148</v>
      </c>
      <c r="BQ1429" s="15"/>
      <c r="BR1429" s="15"/>
      <c r="BS1429" s="10"/>
      <c r="BT1429" s="10"/>
      <c r="BU1429" s="10"/>
      <c r="BV1429" s="10"/>
      <c r="BW1429" s="10"/>
      <c r="BX1429" s="10"/>
      <c r="BY1429" s="23"/>
      <c r="BZ1429" s="23"/>
      <c r="CA1429" s="23"/>
      <c r="CB1429" s="23"/>
      <c r="CC1429" s="23"/>
      <c r="CD1429" s="23"/>
      <c r="CE1429" s="23"/>
      <c r="CF1429" s="23"/>
      <c r="CG1429" s="23"/>
      <c r="CH1429" s="23"/>
      <c r="CI1429" s="23"/>
    </row>
    <row r="1430" spans="1:87" x14ac:dyDescent="0.3">
      <c r="A1430" s="9" t="s">
        <v>11061</v>
      </c>
      <c r="B1430" s="10" t="s">
        <v>11062</v>
      </c>
      <c r="C1430" s="11">
        <v>46103</v>
      </c>
      <c r="D1430" s="12">
        <v>8.3333333333333329E-2</v>
      </c>
      <c r="E1430" s="11">
        <v>46103.083333333336</v>
      </c>
      <c r="F1430" s="10" t="s">
        <v>3211</v>
      </c>
      <c r="G1430" s="13" t="b">
        <v>0</v>
      </c>
      <c r="H1430" s="10" t="s">
        <v>3212</v>
      </c>
      <c r="I1430" s="10" t="s">
        <v>3213</v>
      </c>
      <c r="J1430" s="13" t="b">
        <v>0</v>
      </c>
      <c r="K1430" s="13" t="b">
        <v>1</v>
      </c>
      <c r="L1430" s="10" t="s">
        <v>124</v>
      </c>
      <c r="M1430" s="10" t="s">
        <v>91</v>
      </c>
      <c r="N1430" s="10" t="s">
        <v>92</v>
      </c>
      <c r="O1430" s="10"/>
      <c r="P1430" s="10"/>
      <c r="Q1430" s="10"/>
      <c r="R1430" s="10"/>
      <c r="S1430" s="10"/>
      <c r="T1430" s="10"/>
      <c r="U1430" s="10" t="s">
        <v>3260</v>
      </c>
      <c r="V1430" s="10" t="s">
        <v>3440</v>
      </c>
      <c r="W1430" s="10" t="s">
        <v>3219</v>
      </c>
      <c r="X1430" s="10" t="s">
        <v>130</v>
      </c>
      <c r="Y1430" s="10" t="s">
        <v>130</v>
      </c>
      <c r="Z1430" s="10" t="s">
        <v>99</v>
      </c>
      <c r="AA1430" s="10" t="s">
        <v>131</v>
      </c>
      <c r="AB1430" s="10" t="s">
        <v>3220</v>
      </c>
      <c r="AC1430" s="10" t="s">
        <v>3221</v>
      </c>
      <c r="AD1430" s="10" t="s">
        <v>11063</v>
      </c>
      <c r="AE1430" s="10" t="s">
        <v>11064</v>
      </c>
      <c r="AF1430" s="15"/>
      <c r="AG1430" s="10"/>
      <c r="AH1430" s="10"/>
      <c r="AI1430" s="10"/>
      <c r="AJ1430" s="10"/>
      <c r="AK1430" s="10"/>
      <c r="AL1430" s="10" t="s">
        <v>2843</v>
      </c>
      <c r="AM1430" s="10"/>
      <c r="AN1430" s="10"/>
      <c r="AO1430" s="13" t="b">
        <v>0</v>
      </c>
      <c r="AP1430" s="10" t="s">
        <v>104</v>
      </c>
      <c r="AQ1430" s="10"/>
      <c r="AR1430" s="17"/>
      <c r="AS1430" s="17"/>
      <c r="AT1430" s="17"/>
      <c r="AU1430" s="17"/>
      <c r="AV1430" s="17"/>
      <c r="AW1430" s="10"/>
      <c r="AX1430" s="17"/>
      <c r="AY1430" s="18" t="s">
        <v>257</v>
      </c>
      <c r="AZ1430" s="10"/>
      <c r="BA1430" s="20" t="b">
        <v>0</v>
      </c>
      <c r="BB1430" s="10"/>
      <c r="BC1430" s="17" t="s">
        <v>257</v>
      </c>
      <c r="BD1430" s="17" t="s">
        <v>257</v>
      </c>
      <c r="BE1430" s="17" t="s">
        <v>257</v>
      </c>
      <c r="BF1430" s="17" t="s">
        <v>257</v>
      </c>
      <c r="BG1430" s="11">
        <f ca="1">IFERROR(__xludf.DUMMYFUNCTION("""COMPUTED_VALUE"""),46103)</f>
        <v>46103</v>
      </c>
      <c r="BH1430" s="17"/>
      <c r="BI1430" s="17"/>
      <c r="BJ1430" s="15"/>
      <c r="BK1430" s="15"/>
      <c r="BL1430" s="13" t="b">
        <v>0</v>
      </c>
      <c r="BM1430" s="10"/>
      <c r="BN1430" s="10" t="s">
        <v>223</v>
      </c>
      <c r="BO1430" s="11">
        <v>45904.28460648148</v>
      </c>
      <c r="BP1430" s="11">
        <v>45904.28460648148</v>
      </c>
      <c r="BQ1430" s="15"/>
      <c r="BR1430" s="15"/>
      <c r="BS1430" s="10"/>
      <c r="BT1430" s="10"/>
      <c r="BU1430" s="10"/>
      <c r="BV1430" s="10"/>
      <c r="BW1430" s="10"/>
      <c r="BX1430" s="10"/>
      <c r="BY1430" s="23"/>
      <c r="BZ1430" s="23"/>
      <c r="CA1430" s="23"/>
      <c r="CB1430" s="23"/>
      <c r="CC1430" s="23"/>
      <c r="CD1430" s="23"/>
      <c r="CE1430" s="23"/>
      <c r="CF1430" s="23"/>
      <c r="CG1430" s="23"/>
      <c r="CH1430" s="23"/>
      <c r="CI1430" s="23"/>
    </row>
    <row r="1431" spans="1:87" x14ac:dyDescent="0.3">
      <c r="A1431" s="9" t="s">
        <v>11065</v>
      </c>
      <c r="B1431" s="10" t="s">
        <v>11066</v>
      </c>
      <c r="C1431" s="11">
        <v>46103</v>
      </c>
      <c r="D1431" s="12">
        <v>8.3333333333333329E-2</v>
      </c>
      <c r="E1431" s="11">
        <v>46103.083333333336</v>
      </c>
      <c r="F1431" s="10" t="s">
        <v>3211</v>
      </c>
      <c r="G1431" s="13" t="b">
        <v>0</v>
      </c>
      <c r="H1431" s="10" t="s">
        <v>3212</v>
      </c>
      <c r="I1431" s="10" t="s">
        <v>3213</v>
      </c>
      <c r="J1431" s="13" t="b">
        <v>0</v>
      </c>
      <c r="K1431" s="13" t="b">
        <v>1</v>
      </c>
      <c r="L1431" s="10" t="s">
        <v>124</v>
      </c>
      <c r="M1431" s="10" t="s">
        <v>91</v>
      </c>
      <c r="N1431" s="10" t="s">
        <v>92</v>
      </c>
      <c r="O1431" s="10"/>
      <c r="P1431" s="10"/>
      <c r="Q1431" s="10"/>
      <c r="R1431" s="10"/>
      <c r="S1431" s="10"/>
      <c r="T1431" s="10"/>
      <c r="U1431" s="10" t="s">
        <v>3229</v>
      </c>
      <c r="V1431" s="10" t="s">
        <v>3218</v>
      </c>
      <c r="W1431" s="10" t="s">
        <v>3219</v>
      </c>
      <c r="X1431" s="10" t="s">
        <v>130</v>
      </c>
      <c r="Y1431" s="10" t="s">
        <v>130</v>
      </c>
      <c r="Z1431" s="10" t="s">
        <v>99</v>
      </c>
      <c r="AA1431" s="10" t="s">
        <v>131</v>
      </c>
      <c r="AB1431" s="10" t="s">
        <v>3220</v>
      </c>
      <c r="AC1431" s="10" t="s">
        <v>3221</v>
      </c>
      <c r="AD1431" s="10" t="s">
        <v>11067</v>
      </c>
      <c r="AE1431" s="10" t="s">
        <v>11068</v>
      </c>
      <c r="AF1431" s="15"/>
      <c r="AG1431" s="10"/>
      <c r="AH1431" s="10"/>
      <c r="AI1431" s="10"/>
      <c r="AJ1431" s="10"/>
      <c r="AK1431" s="10"/>
      <c r="AL1431" s="10" t="s">
        <v>2843</v>
      </c>
      <c r="AM1431" s="10"/>
      <c r="AN1431" s="10"/>
      <c r="AO1431" s="13" t="b">
        <v>0</v>
      </c>
      <c r="AP1431" s="10" t="s">
        <v>104</v>
      </c>
      <c r="AQ1431" s="10"/>
      <c r="AR1431" s="17"/>
      <c r="AS1431" s="17"/>
      <c r="AT1431" s="17"/>
      <c r="AU1431" s="17"/>
      <c r="AV1431" s="17"/>
      <c r="AW1431" s="10"/>
      <c r="AX1431" s="17"/>
      <c r="AY1431" s="18" t="s">
        <v>257</v>
      </c>
      <c r="AZ1431" s="10"/>
      <c r="BA1431" s="20" t="b">
        <v>0</v>
      </c>
      <c r="BB1431" s="10"/>
      <c r="BC1431" s="17" t="s">
        <v>257</v>
      </c>
      <c r="BD1431" s="17" t="s">
        <v>257</v>
      </c>
      <c r="BE1431" s="17" t="s">
        <v>257</v>
      </c>
      <c r="BF1431" s="17" t="s">
        <v>257</v>
      </c>
      <c r="BG1431" s="11">
        <f ca="1">IFERROR(__xludf.DUMMYFUNCTION("""COMPUTED_VALUE"""),46103)</f>
        <v>46103</v>
      </c>
      <c r="BH1431" s="17"/>
      <c r="BI1431" s="17"/>
      <c r="BJ1431" s="15"/>
      <c r="BK1431" s="15"/>
      <c r="BL1431" s="13" t="b">
        <v>0</v>
      </c>
      <c r="BM1431" s="10"/>
      <c r="BN1431" s="10" t="s">
        <v>223</v>
      </c>
      <c r="BO1431" s="11">
        <v>45904.28460648148</v>
      </c>
      <c r="BP1431" s="11">
        <v>45904.28460648148</v>
      </c>
      <c r="BQ1431" s="15"/>
      <c r="BR1431" s="15"/>
      <c r="BS1431" s="10"/>
      <c r="BT1431" s="10"/>
      <c r="BU1431" s="10"/>
      <c r="BV1431" s="10"/>
      <c r="BW1431" s="10"/>
      <c r="BX1431" s="10"/>
      <c r="BY1431" s="23"/>
      <c r="BZ1431" s="23"/>
      <c r="CA1431" s="23"/>
      <c r="CB1431" s="23"/>
      <c r="CC1431" s="23"/>
      <c r="CD1431" s="23"/>
      <c r="CE1431" s="23"/>
      <c r="CF1431" s="23"/>
      <c r="CG1431" s="23"/>
      <c r="CH1431" s="23"/>
      <c r="CI1431" s="23"/>
    </row>
    <row r="1432" spans="1:87" x14ac:dyDescent="0.3">
      <c r="A1432" s="9" t="s">
        <v>11069</v>
      </c>
      <c r="B1432" s="10" t="s">
        <v>11070</v>
      </c>
      <c r="C1432" s="11">
        <v>46116</v>
      </c>
      <c r="D1432" s="12">
        <v>8.3333333333333329E-2</v>
      </c>
      <c r="E1432" s="11">
        <v>46116.083333333336</v>
      </c>
      <c r="F1432" s="10" t="s">
        <v>3211</v>
      </c>
      <c r="G1432" s="13" t="b">
        <v>0</v>
      </c>
      <c r="H1432" s="10" t="s">
        <v>3212</v>
      </c>
      <c r="I1432" s="10" t="s">
        <v>3213</v>
      </c>
      <c r="J1432" s="13" t="b">
        <v>0</v>
      </c>
      <c r="K1432" s="13" t="b">
        <v>1</v>
      </c>
      <c r="L1432" s="10" t="s">
        <v>124</v>
      </c>
      <c r="M1432" s="10" t="s">
        <v>91</v>
      </c>
      <c r="N1432" s="10" t="s">
        <v>92</v>
      </c>
      <c r="O1432" s="10"/>
      <c r="P1432" s="10"/>
      <c r="Q1432" s="10"/>
      <c r="R1432" s="10"/>
      <c r="S1432" s="10"/>
      <c r="T1432" s="10"/>
      <c r="U1432" s="10" t="s">
        <v>3440</v>
      </c>
      <c r="V1432" s="10" t="s">
        <v>3230</v>
      </c>
      <c r="W1432" s="10" t="s">
        <v>3219</v>
      </c>
      <c r="X1432" s="10" t="s">
        <v>130</v>
      </c>
      <c r="Y1432" s="10" t="s">
        <v>130</v>
      </c>
      <c r="Z1432" s="10" t="s">
        <v>99</v>
      </c>
      <c r="AA1432" s="10" t="s">
        <v>131</v>
      </c>
      <c r="AB1432" s="10" t="s">
        <v>3220</v>
      </c>
      <c r="AC1432" s="10" t="s">
        <v>3221</v>
      </c>
      <c r="AD1432" s="10" t="s">
        <v>11071</v>
      </c>
      <c r="AE1432" s="10" t="s">
        <v>11072</v>
      </c>
      <c r="AF1432" s="15"/>
      <c r="AG1432" s="10"/>
      <c r="AH1432" s="10"/>
      <c r="AI1432" s="10"/>
      <c r="AJ1432" s="10"/>
      <c r="AK1432" s="10"/>
      <c r="AL1432" s="10" t="s">
        <v>2885</v>
      </c>
      <c r="AM1432" s="10"/>
      <c r="AN1432" s="10"/>
      <c r="AO1432" s="13" t="b">
        <v>0</v>
      </c>
      <c r="AP1432" s="10" t="s">
        <v>104</v>
      </c>
      <c r="AQ1432" s="10"/>
      <c r="AR1432" s="17"/>
      <c r="AS1432" s="17"/>
      <c r="AT1432" s="17"/>
      <c r="AU1432" s="17"/>
      <c r="AV1432" s="17"/>
      <c r="AW1432" s="10"/>
      <c r="AX1432" s="17"/>
      <c r="AY1432" s="18" t="s">
        <v>257</v>
      </c>
      <c r="AZ1432" s="10"/>
      <c r="BA1432" s="20" t="b">
        <v>0</v>
      </c>
      <c r="BB1432" s="10"/>
      <c r="BC1432" s="17" t="s">
        <v>257</v>
      </c>
      <c r="BD1432" s="17" t="s">
        <v>257</v>
      </c>
      <c r="BE1432" s="17" t="s">
        <v>257</v>
      </c>
      <c r="BF1432" s="17" t="s">
        <v>257</v>
      </c>
      <c r="BG1432" s="11">
        <f ca="1">IFERROR(__xludf.DUMMYFUNCTION("""COMPUTED_VALUE"""),46116)</f>
        <v>46116</v>
      </c>
      <c r="BH1432" s="17"/>
      <c r="BI1432" s="17"/>
      <c r="BJ1432" s="15"/>
      <c r="BK1432" s="15"/>
      <c r="BL1432" s="13" t="b">
        <v>0</v>
      </c>
      <c r="BM1432" s="10"/>
      <c r="BN1432" s="10" t="s">
        <v>223</v>
      </c>
      <c r="BO1432" s="11">
        <v>45904.28460648148</v>
      </c>
      <c r="BP1432" s="11">
        <v>45904.28460648148</v>
      </c>
      <c r="BQ1432" s="15"/>
      <c r="BR1432" s="15"/>
      <c r="BS1432" s="10"/>
      <c r="BT1432" s="10"/>
      <c r="BU1432" s="10"/>
      <c r="BV1432" s="10"/>
      <c r="BW1432" s="10"/>
      <c r="BX1432" s="10"/>
      <c r="BY1432" s="23"/>
      <c r="BZ1432" s="23"/>
      <c r="CA1432" s="23"/>
      <c r="CB1432" s="23"/>
      <c r="CC1432" s="23"/>
      <c r="CD1432" s="23"/>
      <c r="CE1432" s="23"/>
      <c r="CF1432" s="23"/>
      <c r="CG1432" s="23"/>
      <c r="CH1432" s="23"/>
      <c r="CI1432" s="23"/>
    </row>
    <row r="1433" spans="1:87" x14ac:dyDescent="0.3">
      <c r="A1433" s="9" t="s">
        <v>11073</v>
      </c>
      <c r="B1433" s="10" t="s">
        <v>11074</v>
      </c>
      <c r="C1433" s="11">
        <v>46116</v>
      </c>
      <c r="D1433" s="12">
        <v>8.3333333333333329E-2</v>
      </c>
      <c r="E1433" s="11">
        <v>46116.083333333336</v>
      </c>
      <c r="F1433" s="10" t="s">
        <v>3211</v>
      </c>
      <c r="G1433" s="13" t="b">
        <v>0</v>
      </c>
      <c r="H1433" s="10" t="s">
        <v>3212</v>
      </c>
      <c r="I1433" s="10" t="s">
        <v>3213</v>
      </c>
      <c r="J1433" s="13" t="b">
        <v>0</v>
      </c>
      <c r="K1433" s="13" t="b">
        <v>1</v>
      </c>
      <c r="L1433" s="10" t="s">
        <v>124</v>
      </c>
      <c r="M1433" s="10" t="s">
        <v>91</v>
      </c>
      <c r="N1433" s="10" t="s">
        <v>92</v>
      </c>
      <c r="O1433" s="10"/>
      <c r="P1433" s="10"/>
      <c r="Q1433" s="10"/>
      <c r="R1433" s="10"/>
      <c r="S1433" s="10"/>
      <c r="T1433" s="10"/>
      <c r="U1433" s="10" t="s">
        <v>3278</v>
      </c>
      <c r="V1433" s="10" t="s">
        <v>3229</v>
      </c>
      <c r="W1433" s="10" t="s">
        <v>3219</v>
      </c>
      <c r="X1433" s="10" t="s">
        <v>130</v>
      </c>
      <c r="Y1433" s="10" t="s">
        <v>130</v>
      </c>
      <c r="Z1433" s="10" t="s">
        <v>99</v>
      </c>
      <c r="AA1433" s="10" t="s">
        <v>131</v>
      </c>
      <c r="AB1433" s="10" t="s">
        <v>3220</v>
      </c>
      <c r="AC1433" s="10" t="s">
        <v>3221</v>
      </c>
      <c r="AD1433" s="10" t="s">
        <v>11075</v>
      </c>
      <c r="AE1433" s="10" t="s">
        <v>11076</v>
      </c>
      <c r="AF1433" s="15"/>
      <c r="AG1433" s="10"/>
      <c r="AH1433" s="10"/>
      <c r="AI1433" s="10"/>
      <c r="AJ1433" s="10"/>
      <c r="AK1433" s="10"/>
      <c r="AL1433" s="10" t="s">
        <v>2885</v>
      </c>
      <c r="AM1433" s="10"/>
      <c r="AN1433" s="10"/>
      <c r="AO1433" s="13" t="b">
        <v>0</v>
      </c>
      <c r="AP1433" s="10" t="s">
        <v>104</v>
      </c>
      <c r="AQ1433" s="10"/>
      <c r="AR1433" s="17"/>
      <c r="AS1433" s="17"/>
      <c r="AT1433" s="17"/>
      <c r="AU1433" s="17"/>
      <c r="AV1433" s="17"/>
      <c r="AW1433" s="10"/>
      <c r="AX1433" s="17"/>
      <c r="AY1433" s="18" t="s">
        <v>257</v>
      </c>
      <c r="AZ1433" s="10"/>
      <c r="BA1433" s="20" t="b">
        <v>0</v>
      </c>
      <c r="BB1433" s="10"/>
      <c r="BC1433" s="17" t="s">
        <v>257</v>
      </c>
      <c r="BD1433" s="17" t="s">
        <v>257</v>
      </c>
      <c r="BE1433" s="17" t="s">
        <v>257</v>
      </c>
      <c r="BF1433" s="17" t="s">
        <v>257</v>
      </c>
      <c r="BG1433" s="11">
        <f ca="1">IFERROR(__xludf.DUMMYFUNCTION("""COMPUTED_VALUE"""),46116)</f>
        <v>46116</v>
      </c>
      <c r="BH1433" s="17"/>
      <c r="BI1433" s="17"/>
      <c r="BJ1433" s="15"/>
      <c r="BK1433" s="15"/>
      <c r="BL1433" s="13" t="b">
        <v>0</v>
      </c>
      <c r="BM1433" s="10"/>
      <c r="BN1433" s="10" t="s">
        <v>223</v>
      </c>
      <c r="BO1433" s="11">
        <v>45904.28460648148</v>
      </c>
      <c r="BP1433" s="11">
        <v>45904.28460648148</v>
      </c>
      <c r="BQ1433" s="15"/>
      <c r="BR1433" s="15"/>
      <c r="BS1433" s="10"/>
      <c r="BT1433" s="10"/>
      <c r="BU1433" s="10"/>
      <c r="BV1433" s="10"/>
      <c r="BW1433" s="10"/>
      <c r="BX1433" s="10"/>
      <c r="BY1433" s="23"/>
      <c r="BZ1433" s="23"/>
      <c r="CA1433" s="23"/>
      <c r="CB1433" s="23"/>
      <c r="CC1433" s="23"/>
      <c r="CD1433" s="23"/>
      <c r="CE1433" s="23"/>
      <c r="CF1433" s="23"/>
      <c r="CG1433" s="23"/>
      <c r="CH1433" s="23"/>
      <c r="CI1433" s="23"/>
    </row>
    <row r="1434" spans="1:87" x14ac:dyDescent="0.3">
      <c r="A1434" s="9" t="s">
        <v>11077</v>
      </c>
      <c r="B1434" s="10" t="s">
        <v>11078</v>
      </c>
      <c r="C1434" s="11">
        <v>46116</v>
      </c>
      <c r="D1434" s="12">
        <v>8.3333333333333329E-2</v>
      </c>
      <c r="E1434" s="11">
        <v>46116.083333333336</v>
      </c>
      <c r="F1434" s="10" t="s">
        <v>3211</v>
      </c>
      <c r="G1434" s="13" t="b">
        <v>0</v>
      </c>
      <c r="H1434" s="10" t="s">
        <v>3212</v>
      </c>
      <c r="I1434" s="10" t="s">
        <v>3213</v>
      </c>
      <c r="J1434" s="13" t="b">
        <v>0</v>
      </c>
      <c r="K1434" s="13" t="b">
        <v>1</v>
      </c>
      <c r="L1434" s="10" t="s">
        <v>124</v>
      </c>
      <c r="M1434" s="10" t="s">
        <v>91</v>
      </c>
      <c r="N1434" s="10" t="s">
        <v>92</v>
      </c>
      <c r="O1434" s="10"/>
      <c r="P1434" s="10"/>
      <c r="Q1434" s="10"/>
      <c r="R1434" s="10"/>
      <c r="S1434" s="10"/>
      <c r="T1434" s="10"/>
      <c r="U1434" s="10" t="s">
        <v>3259</v>
      </c>
      <c r="V1434" s="10" t="s">
        <v>3217</v>
      </c>
      <c r="W1434" s="10" t="s">
        <v>3219</v>
      </c>
      <c r="X1434" s="10" t="s">
        <v>130</v>
      </c>
      <c r="Y1434" s="10" t="s">
        <v>130</v>
      </c>
      <c r="Z1434" s="10" t="s">
        <v>99</v>
      </c>
      <c r="AA1434" s="10" t="s">
        <v>131</v>
      </c>
      <c r="AB1434" s="10" t="s">
        <v>3220</v>
      </c>
      <c r="AC1434" s="10" t="s">
        <v>3221</v>
      </c>
      <c r="AD1434" s="10" t="s">
        <v>11079</v>
      </c>
      <c r="AE1434" s="10" t="s">
        <v>11080</v>
      </c>
      <c r="AF1434" s="15"/>
      <c r="AG1434" s="10"/>
      <c r="AH1434" s="10"/>
      <c r="AI1434" s="10"/>
      <c r="AJ1434" s="10"/>
      <c r="AK1434" s="10"/>
      <c r="AL1434" s="10" t="s">
        <v>2885</v>
      </c>
      <c r="AM1434" s="10"/>
      <c r="AN1434" s="10"/>
      <c r="AO1434" s="13" t="b">
        <v>0</v>
      </c>
      <c r="AP1434" s="10" t="s">
        <v>104</v>
      </c>
      <c r="AQ1434" s="10"/>
      <c r="AR1434" s="17"/>
      <c r="AS1434" s="17"/>
      <c r="AT1434" s="17"/>
      <c r="AU1434" s="17"/>
      <c r="AV1434" s="17"/>
      <c r="AW1434" s="10"/>
      <c r="AX1434" s="17"/>
      <c r="AY1434" s="18" t="s">
        <v>257</v>
      </c>
      <c r="AZ1434" s="10"/>
      <c r="BA1434" s="20" t="b">
        <v>0</v>
      </c>
      <c r="BB1434" s="10"/>
      <c r="BC1434" s="17" t="s">
        <v>257</v>
      </c>
      <c r="BD1434" s="17" t="s">
        <v>257</v>
      </c>
      <c r="BE1434" s="17" t="s">
        <v>257</v>
      </c>
      <c r="BF1434" s="17" t="s">
        <v>257</v>
      </c>
      <c r="BG1434" s="11">
        <f ca="1">IFERROR(__xludf.DUMMYFUNCTION("""COMPUTED_VALUE"""),46116)</f>
        <v>46116</v>
      </c>
      <c r="BH1434" s="17"/>
      <c r="BI1434" s="17"/>
      <c r="BJ1434" s="15"/>
      <c r="BK1434" s="15"/>
      <c r="BL1434" s="13" t="b">
        <v>0</v>
      </c>
      <c r="BM1434" s="10"/>
      <c r="BN1434" s="10" t="s">
        <v>223</v>
      </c>
      <c r="BO1434" s="11">
        <v>45904.28460648148</v>
      </c>
      <c r="BP1434" s="11">
        <v>45904.28460648148</v>
      </c>
      <c r="BQ1434" s="15"/>
      <c r="BR1434" s="15"/>
      <c r="BS1434" s="10"/>
      <c r="BT1434" s="10"/>
      <c r="BU1434" s="10"/>
      <c r="BV1434" s="10"/>
      <c r="BW1434" s="10"/>
      <c r="BX1434" s="10"/>
      <c r="BY1434" s="23"/>
      <c r="BZ1434" s="23"/>
      <c r="CA1434" s="23"/>
      <c r="CB1434" s="23"/>
      <c r="CC1434" s="23"/>
      <c r="CD1434" s="23"/>
      <c r="CE1434" s="23"/>
      <c r="CF1434" s="23"/>
      <c r="CG1434" s="23"/>
      <c r="CH1434" s="23"/>
      <c r="CI1434" s="23"/>
    </row>
    <row r="1435" spans="1:87" x14ac:dyDescent="0.3">
      <c r="A1435" s="9" t="s">
        <v>11081</v>
      </c>
      <c r="B1435" s="10" t="s">
        <v>11082</v>
      </c>
      <c r="C1435" s="11">
        <v>46116</v>
      </c>
      <c r="D1435" s="12">
        <v>8.3333333333333329E-2</v>
      </c>
      <c r="E1435" s="11">
        <v>46116.083333333336</v>
      </c>
      <c r="F1435" s="10" t="s">
        <v>3211</v>
      </c>
      <c r="G1435" s="13" t="b">
        <v>0</v>
      </c>
      <c r="H1435" s="10" t="s">
        <v>3212</v>
      </c>
      <c r="I1435" s="10" t="s">
        <v>3213</v>
      </c>
      <c r="J1435" s="13" t="b">
        <v>0</v>
      </c>
      <c r="K1435" s="13" t="b">
        <v>1</v>
      </c>
      <c r="L1435" s="10" t="s">
        <v>124</v>
      </c>
      <c r="M1435" s="10" t="s">
        <v>91</v>
      </c>
      <c r="N1435" s="10" t="s">
        <v>92</v>
      </c>
      <c r="O1435" s="10"/>
      <c r="P1435" s="10"/>
      <c r="Q1435" s="10"/>
      <c r="R1435" s="10"/>
      <c r="S1435" s="10"/>
      <c r="T1435" s="10"/>
      <c r="U1435" s="10" t="s">
        <v>3250</v>
      </c>
      <c r="V1435" s="10" t="s">
        <v>3260</v>
      </c>
      <c r="W1435" s="10" t="s">
        <v>3219</v>
      </c>
      <c r="X1435" s="10" t="s">
        <v>130</v>
      </c>
      <c r="Y1435" s="10" t="s">
        <v>130</v>
      </c>
      <c r="Z1435" s="10" t="s">
        <v>99</v>
      </c>
      <c r="AA1435" s="10" t="s">
        <v>131</v>
      </c>
      <c r="AB1435" s="10" t="s">
        <v>3220</v>
      </c>
      <c r="AC1435" s="10" t="s">
        <v>3221</v>
      </c>
      <c r="AD1435" s="10" t="s">
        <v>11083</v>
      </c>
      <c r="AE1435" s="10" t="s">
        <v>11084</v>
      </c>
      <c r="AF1435" s="15"/>
      <c r="AG1435" s="10"/>
      <c r="AH1435" s="10"/>
      <c r="AI1435" s="10"/>
      <c r="AJ1435" s="10"/>
      <c r="AK1435" s="10"/>
      <c r="AL1435" s="10" t="s">
        <v>2885</v>
      </c>
      <c r="AM1435" s="10"/>
      <c r="AN1435" s="10"/>
      <c r="AO1435" s="13" t="b">
        <v>0</v>
      </c>
      <c r="AP1435" s="10" t="s">
        <v>104</v>
      </c>
      <c r="AQ1435" s="10"/>
      <c r="AR1435" s="17"/>
      <c r="AS1435" s="17"/>
      <c r="AT1435" s="17"/>
      <c r="AU1435" s="17"/>
      <c r="AV1435" s="17"/>
      <c r="AW1435" s="10"/>
      <c r="AX1435" s="17"/>
      <c r="AY1435" s="18" t="s">
        <v>257</v>
      </c>
      <c r="AZ1435" s="10"/>
      <c r="BA1435" s="20" t="b">
        <v>0</v>
      </c>
      <c r="BB1435" s="10"/>
      <c r="BC1435" s="17" t="s">
        <v>257</v>
      </c>
      <c r="BD1435" s="17" t="s">
        <v>257</v>
      </c>
      <c r="BE1435" s="17" t="s">
        <v>257</v>
      </c>
      <c r="BF1435" s="17" t="s">
        <v>257</v>
      </c>
      <c r="BG1435" s="11">
        <f ca="1">IFERROR(__xludf.DUMMYFUNCTION("""COMPUTED_VALUE"""),46116)</f>
        <v>46116</v>
      </c>
      <c r="BH1435" s="17"/>
      <c r="BI1435" s="17"/>
      <c r="BJ1435" s="15"/>
      <c r="BK1435" s="15"/>
      <c r="BL1435" s="13" t="b">
        <v>0</v>
      </c>
      <c r="BM1435" s="10"/>
      <c r="BN1435" s="10" t="s">
        <v>223</v>
      </c>
      <c r="BO1435" s="11">
        <v>45904.28460648148</v>
      </c>
      <c r="BP1435" s="11">
        <v>45904.28460648148</v>
      </c>
      <c r="BQ1435" s="15"/>
      <c r="BR1435" s="15"/>
      <c r="BS1435" s="10"/>
      <c r="BT1435" s="10"/>
      <c r="BU1435" s="10"/>
      <c r="BV1435" s="10"/>
      <c r="BW1435" s="10"/>
      <c r="BX1435" s="10"/>
      <c r="BY1435" s="23"/>
      <c r="BZ1435" s="23"/>
      <c r="CA1435" s="23"/>
      <c r="CB1435" s="23"/>
      <c r="CC1435" s="23"/>
      <c r="CD1435" s="23"/>
      <c r="CE1435" s="23"/>
      <c r="CF1435" s="23"/>
      <c r="CG1435" s="23"/>
      <c r="CH1435" s="23"/>
      <c r="CI1435" s="23"/>
    </row>
    <row r="1436" spans="1:87" x14ac:dyDescent="0.3">
      <c r="A1436" s="9" t="s">
        <v>11085</v>
      </c>
      <c r="B1436" s="10" t="s">
        <v>11086</v>
      </c>
      <c r="C1436" s="11">
        <v>46116</v>
      </c>
      <c r="D1436" s="12">
        <v>8.3333333333333329E-2</v>
      </c>
      <c r="E1436" s="11">
        <v>46116.083333333336</v>
      </c>
      <c r="F1436" s="10" t="s">
        <v>3211</v>
      </c>
      <c r="G1436" s="13" t="b">
        <v>0</v>
      </c>
      <c r="H1436" s="10" t="s">
        <v>3212</v>
      </c>
      <c r="I1436" s="10" t="s">
        <v>3213</v>
      </c>
      <c r="J1436" s="13" t="b">
        <v>0</v>
      </c>
      <c r="K1436" s="13" t="b">
        <v>1</v>
      </c>
      <c r="L1436" s="10" t="s">
        <v>124</v>
      </c>
      <c r="M1436" s="10" t="s">
        <v>91</v>
      </c>
      <c r="N1436" s="10" t="s">
        <v>92</v>
      </c>
      <c r="O1436" s="10"/>
      <c r="P1436" s="10"/>
      <c r="Q1436" s="10"/>
      <c r="R1436" s="10"/>
      <c r="S1436" s="10"/>
      <c r="T1436" s="10"/>
      <c r="U1436" s="10" t="s">
        <v>3218</v>
      </c>
      <c r="V1436" s="10" t="s">
        <v>3308</v>
      </c>
      <c r="W1436" s="10" t="s">
        <v>3219</v>
      </c>
      <c r="X1436" s="10" t="s">
        <v>130</v>
      </c>
      <c r="Y1436" s="10" t="s">
        <v>130</v>
      </c>
      <c r="Z1436" s="10" t="s">
        <v>99</v>
      </c>
      <c r="AA1436" s="10" t="s">
        <v>131</v>
      </c>
      <c r="AB1436" s="10" t="s">
        <v>3220</v>
      </c>
      <c r="AC1436" s="10" t="s">
        <v>3221</v>
      </c>
      <c r="AD1436" s="10" t="s">
        <v>11087</v>
      </c>
      <c r="AE1436" s="10" t="s">
        <v>11088</v>
      </c>
      <c r="AF1436" s="15"/>
      <c r="AG1436" s="10"/>
      <c r="AH1436" s="10"/>
      <c r="AI1436" s="10"/>
      <c r="AJ1436" s="10"/>
      <c r="AK1436" s="10"/>
      <c r="AL1436" s="10" t="s">
        <v>2885</v>
      </c>
      <c r="AM1436" s="10"/>
      <c r="AN1436" s="10"/>
      <c r="AO1436" s="13" t="b">
        <v>0</v>
      </c>
      <c r="AP1436" s="10" t="s">
        <v>104</v>
      </c>
      <c r="AQ1436" s="10"/>
      <c r="AR1436" s="17"/>
      <c r="AS1436" s="17"/>
      <c r="AT1436" s="17"/>
      <c r="AU1436" s="17"/>
      <c r="AV1436" s="17"/>
      <c r="AW1436" s="10"/>
      <c r="AX1436" s="17"/>
      <c r="AY1436" s="18" t="s">
        <v>257</v>
      </c>
      <c r="AZ1436" s="10"/>
      <c r="BA1436" s="20" t="b">
        <v>0</v>
      </c>
      <c r="BB1436" s="10"/>
      <c r="BC1436" s="17" t="s">
        <v>257</v>
      </c>
      <c r="BD1436" s="17" t="s">
        <v>257</v>
      </c>
      <c r="BE1436" s="17" t="s">
        <v>257</v>
      </c>
      <c r="BF1436" s="17" t="s">
        <v>257</v>
      </c>
      <c r="BG1436" s="11">
        <f ca="1">IFERROR(__xludf.DUMMYFUNCTION("""COMPUTED_VALUE"""),46116)</f>
        <v>46116</v>
      </c>
      <c r="BH1436" s="17"/>
      <c r="BI1436" s="17"/>
      <c r="BJ1436" s="15"/>
      <c r="BK1436" s="15"/>
      <c r="BL1436" s="13" t="b">
        <v>0</v>
      </c>
      <c r="BM1436" s="10"/>
      <c r="BN1436" s="10" t="s">
        <v>223</v>
      </c>
      <c r="BO1436" s="11">
        <v>45904.28460648148</v>
      </c>
      <c r="BP1436" s="11">
        <v>45904.28460648148</v>
      </c>
      <c r="BQ1436" s="15"/>
      <c r="BR1436" s="15"/>
      <c r="BS1436" s="10"/>
      <c r="BT1436" s="10"/>
      <c r="BU1436" s="10"/>
      <c r="BV1436" s="10"/>
      <c r="BW1436" s="10"/>
      <c r="BX1436" s="10"/>
      <c r="BY1436" s="23"/>
      <c r="BZ1436" s="23"/>
      <c r="CA1436" s="23"/>
      <c r="CB1436" s="23"/>
      <c r="CC1436" s="23"/>
      <c r="CD1436" s="23"/>
      <c r="CE1436" s="23"/>
      <c r="CF1436" s="23"/>
      <c r="CG1436" s="23"/>
      <c r="CH1436" s="23"/>
      <c r="CI1436" s="23"/>
    </row>
    <row r="1437" spans="1:87" x14ac:dyDescent="0.3">
      <c r="A1437" s="9" t="s">
        <v>11089</v>
      </c>
      <c r="B1437" s="10" t="s">
        <v>11090</v>
      </c>
      <c r="C1437" s="11">
        <v>46116</v>
      </c>
      <c r="D1437" s="12">
        <v>8.3333333333333329E-2</v>
      </c>
      <c r="E1437" s="11">
        <v>46116.083333333336</v>
      </c>
      <c r="F1437" s="10" t="s">
        <v>3211</v>
      </c>
      <c r="G1437" s="13" t="b">
        <v>0</v>
      </c>
      <c r="H1437" s="10" t="s">
        <v>3212</v>
      </c>
      <c r="I1437" s="10" t="s">
        <v>3213</v>
      </c>
      <c r="J1437" s="13" t="b">
        <v>0</v>
      </c>
      <c r="K1437" s="13" t="b">
        <v>1</v>
      </c>
      <c r="L1437" s="10" t="s">
        <v>124</v>
      </c>
      <c r="M1437" s="10" t="s">
        <v>91</v>
      </c>
      <c r="N1437" s="10" t="s">
        <v>92</v>
      </c>
      <c r="O1437" s="10"/>
      <c r="P1437" s="10"/>
      <c r="Q1437" s="10"/>
      <c r="R1437" s="10"/>
      <c r="S1437" s="10"/>
      <c r="T1437" s="10"/>
      <c r="U1437" s="10" t="s">
        <v>3318</v>
      </c>
      <c r="V1437" s="10" t="s">
        <v>3289</v>
      </c>
      <c r="W1437" s="10" t="s">
        <v>3219</v>
      </c>
      <c r="X1437" s="10" t="s">
        <v>130</v>
      </c>
      <c r="Y1437" s="10" t="s">
        <v>130</v>
      </c>
      <c r="Z1437" s="10" t="s">
        <v>99</v>
      </c>
      <c r="AA1437" s="10" t="s">
        <v>131</v>
      </c>
      <c r="AB1437" s="10" t="s">
        <v>3220</v>
      </c>
      <c r="AC1437" s="10" t="s">
        <v>3221</v>
      </c>
      <c r="AD1437" s="10" t="s">
        <v>11091</v>
      </c>
      <c r="AE1437" s="10" t="s">
        <v>11092</v>
      </c>
      <c r="AF1437" s="15"/>
      <c r="AG1437" s="10"/>
      <c r="AH1437" s="10"/>
      <c r="AI1437" s="10"/>
      <c r="AJ1437" s="10"/>
      <c r="AK1437" s="10"/>
      <c r="AL1437" s="10" t="s">
        <v>2885</v>
      </c>
      <c r="AM1437" s="10"/>
      <c r="AN1437" s="10"/>
      <c r="AO1437" s="13" t="b">
        <v>0</v>
      </c>
      <c r="AP1437" s="10" t="s">
        <v>104</v>
      </c>
      <c r="AQ1437" s="10"/>
      <c r="AR1437" s="17"/>
      <c r="AS1437" s="17"/>
      <c r="AT1437" s="17"/>
      <c r="AU1437" s="17"/>
      <c r="AV1437" s="17"/>
      <c r="AW1437" s="10"/>
      <c r="AX1437" s="17"/>
      <c r="AY1437" s="18" t="s">
        <v>257</v>
      </c>
      <c r="AZ1437" s="10"/>
      <c r="BA1437" s="20" t="b">
        <v>0</v>
      </c>
      <c r="BB1437" s="10"/>
      <c r="BC1437" s="17" t="s">
        <v>257</v>
      </c>
      <c r="BD1437" s="17" t="s">
        <v>257</v>
      </c>
      <c r="BE1437" s="17" t="s">
        <v>257</v>
      </c>
      <c r="BF1437" s="17" t="s">
        <v>257</v>
      </c>
      <c r="BG1437" s="11">
        <f ca="1">IFERROR(__xludf.DUMMYFUNCTION("""COMPUTED_VALUE"""),46116)</f>
        <v>46116</v>
      </c>
      <c r="BH1437" s="17"/>
      <c r="BI1437" s="17"/>
      <c r="BJ1437" s="15"/>
      <c r="BK1437" s="15"/>
      <c r="BL1437" s="13" t="b">
        <v>0</v>
      </c>
      <c r="BM1437" s="10"/>
      <c r="BN1437" s="10" t="s">
        <v>223</v>
      </c>
      <c r="BO1437" s="11">
        <v>45904.28460648148</v>
      </c>
      <c r="BP1437" s="11">
        <v>45904.28460648148</v>
      </c>
      <c r="BQ1437" s="15"/>
      <c r="BR1437" s="15"/>
      <c r="BS1437" s="10"/>
      <c r="BT1437" s="10"/>
      <c r="BU1437" s="10"/>
      <c r="BV1437" s="10"/>
      <c r="BW1437" s="10"/>
      <c r="BX1437" s="10"/>
      <c r="BY1437" s="23"/>
      <c r="BZ1437" s="23"/>
      <c r="CA1437" s="23"/>
      <c r="CB1437" s="23"/>
      <c r="CC1437" s="23"/>
      <c r="CD1437" s="23"/>
      <c r="CE1437" s="23"/>
      <c r="CF1437" s="23"/>
      <c r="CG1437" s="23"/>
      <c r="CH1437" s="23"/>
      <c r="CI1437" s="23"/>
    </row>
    <row r="1438" spans="1:87" x14ac:dyDescent="0.3">
      <c r="A1438" s="9" t="s">
        <v>11093</v>
      </c>
      <c r="B1438" s="10" t="s">
        <v>11094</v>
      </c>
      <c r="C1438" s="11">
        <v>46116</v>
      </c>
      <c r="D1438" s="12">
        <v>8.3333333333333329E-2</v>
      </c>
      <c r="E1438" s="11">
        <v>46116.083333333336</v>
      </c>
      <c r="F1438" s="10" t="s">
        <v>3211</v>
      </c>
      <c r="G1438" s="13" t="b">
        <v>0</v>
      </c>
      <c r="H1438" s="10" t="s">
        <v>3212</v>
      </c>
      <c r="I1438" s="10" t="s">
        <v>3213</v>
      </c>
      <c r="J1438" s="13" t="b">
        <v>0</v>
      </c>
      <c r="K1438" s="13" t="b">
        <v>1</v>
      </c>
      <c r="L1438" s="10" t="s">
        <v>124</v>
      </c>
      <c r="M1438" s="10" t="s">
        <v>91</v>
      </c>
      <c r="N1438" s="10" t="s">
        <v>92</v>
      </c>
      <c r="O1438" s="10"/>
      <c r="P1438" s="10"/>
      <c r="Q1438" s="10"/>
      <c r="R1438" s="10"/>
      <c r="S1438" s="10"/>
      <c r="T1438" s="10"/>
      <c r="U1438" s="10" t="s">
        <v>3451</v>
      </c>
      <c r="V1438" s="10" t="s">
        <v>3279</v>
      </c>
      <c r="W1438" s="10" t="s">
        <v>3219</v>
      </c>
      <c r="X1438" s="10" t="s">
        <v>130</v>
      </c>
      <c r="Y1438" s="10" t="s">
        <v>130</v>
      </c>
      <c r="Z1438" s="10" t="s">
        <v>99</v>
      </c>
      <c r="AA1438" s="10" t="s">
        <v>131</v>
      </c>
      <c r="AB1438" s="10" t="s">
        <v>3220</v>
      </c>
      <c r="AC1438" s="10" t="s">
        <v>3221</v>
      </c>
      <c r="AD1438" s="10" t="s">
        <v>11095</v>
      </c>
      <c r="AE1438" s="10" t="s">
        <v>11096</v>
      </c>
      <c r="AF1438" s="15"/>
      <c r="AG1438" s="10"/>
      <c r="AH1438" s="10"/>
      <c r="AI1438" s="10"/>
      <c r="AJ1438" s="10"/>
      <c r="AK1438" s="10"/>
      <c r="AL1438" s="10" t="s">
        <v>2885</v>
      </c>
      <c r="AM1438" s="10"/>
      <c r="AN1438" s="10"/>
      <c r="AO1438" s="13" t="b">
        <v>0</v>
      </c>
      <c r="AP1438" s="10" t="s">
        <v>104</v>
      </c>
      <c r="AQ1438" s="10"/>
      <c r="AR1438" s="17"/>
      <c r="AS1438" s="17"/>
      <c r="AT1438" s="17"/>
      <c r="AU1438" s="17"/>
      <c r="AV1438" s="17"/>
      <c r="AW1438" s="10"/>
      <c r="AX1438" s="17"/>
      <c r="AY1438" s="18" t="s">
        <v>257</v>
      </c>
      <c r="AZ1438" s="10"/>
      <c r="BA1438" s="20" t="b">
        <v>0</v>
      </c>
      <c r="BB1438" s="10"/>
      <c r="BC1438" s="17" t="s">
        <v>257</v>
      </c>
      <c r="BD1438" s="17" t="s">
        <v>257</v>
      </c>
      <c r="BE1438" s="17" t="s">
        <v>257</v>
      </c>
      <c r="BF1438" s="17" t="s">
        <v>257</v>
      </c>
      <c r="BG1438" s="11">
        <f ca="1">IFERROR(__xludf.DUMMYFUNCTION("""COMPUTED_VALUE"""),46116)</f>
        <v>46116</v>
      </c>
      <c r="BH1438" s="17"/>
      <c r="BI1438" s="17"/>
      <c r="BJ1438" s="15"/>
      <c r="BK1438" s="15"/>
      <c r="BL1438" s="13" t="b">
        <v>0</v>
      </c>
      <c r="BM1438" s="10"/>
      <c r="BN1438" s="10" t="s">
        <v>223</v>
      </c>
      <c r="BO1438" s="11">
        <v>45904.28460648148</v>
      </c>
      <c r="BP1438" s="11">
        <v>45904.28460648148</v>
      </c>
      <c r="BQ1438" s="15"/>
      <c r="BR1438" s="15"/>
      <c r="BS1438" s="10"/>
      <c r="BT1438" s="10"/>
      <c r="BU1438" s="10"/>
      <c r="BV1438" s="10"/>
      <c r="BW1438" s="10"/>
      <c r="BX1438" s="10"/>
      <c r="BY1438" s="23"/>
      <c r="BZ1438" s="23"/>
      <c r="CA1438" s="23"/>
      <c r="CB1438" s="23"/>
      <c r="CC1438" s="23"/>
      <c r="CD1438" s="23"/>
      <c r="CE1438" s="23"/>
      <c r="CF1438" s="23"/>
      <c r="CG1438" s="23"/>
      <c r="CH1438" s="23"/>
      <c r="CI1438" s="23"/>
    </row>
    <row r="1439" spans="1:87" x14ac:dyDescent="0.3">
      <c r="A1439" s="9" t="s">
        <v>11097</v>
      </c>
      <c r="B1439" s="10" t="s">
        <v>11098</v>
      </c>
      <c r="C1439" s="11">
        <v>46116</v>
      </c>
      <c r="D1439" s="12">
        <v>8.3333333333333329E-2</v>
      </c>
      <c r="E1439" s="11">
        <v>46116.083333333336</v>
      </c>
      <c r="F1439" s="10" t="s">
        <v>3211</v>
      </c>
      <c r="G1439" s="13" t="b">
        <v>0</v>
      </c>
      <c r="H1439" s="10" t="s">
        <v>3212</v>
      </c>
      <c r="I1439" s="10" t="s">
        <v>3213</v>
      </c>
      <c r="J1439" s="13" t="b">
        <v>0</v>
      </c>
      <c r="K1439" s="13" t="b">
        <v>1</v>
      </c>
      <c r="L1439" s="10" t="s">
        <v>124</v>
      </c>
      <c r="M1439" s="10" t="s">
        <v>91</v>
      </c>
      <c r="N1439" s="10" t="s">
        <v>92</v>
      </c>
      <c r="O1439" s="10"/>
      <c r="P1439" s="10"/>
      <c r="Q1439" s="10"/>
      <c r="R1439" s="10"/>
      <c r="S1439" s="10"/>
      <c r="T1439" s="10"/>
      <c r="U1439" s="10" t="s">
        <v>3429</v>
      </c>
      <c r="V1439" s="10" t="s">
        <v>3239</v>
      </c>
      <c r="W1439" s="10" t="s">
        <v>3219</v>
      </c>
      <c r="X1439" s="10" t="s">
        <v>130</v>
      </c>
      <c r="Y1439" s="10" t="s">
        <v>130</v>
      </c>
      <c r="Z1439" s="10" t="s">
        <v>99</v>
      </c>
      <c r="AA1439" s="10" t="s">
        <v>131</v>
      </c>
      <c r="AB1439" s="10" t="s">
        <v>3220</v>
      </c>
      <c r="AC1439" s="10" t="s">
        <v>3221</v>
      </c>
      <c r="AD1439" s="10" t="s">
        <v>11099</v>
      </c>
      <c r="AE1439" s="10" t="s">
        <v>11100</v>
      </c>
      <c r="AF1439" s="15"/>
      <c r="AG1439" s="10"/>
      <c r="AH1439" s="10"/>
      <c r="AI1439" s="10"/>
      <c r="AJ1439" s="10"/>
      <c r="AK1439" s="10"/>
      <c r="AL1439" s="10" t="s">
        <v>2885</v>
      </c>
      <c r="AM1439" s="10"/>
      <c r="AN1439" s="10"/>
      <c r="AO1439" s="13" t="b">
        <v>0</v>
      </c>
      <c r="AP1439" s="10" t="s">
        <v>104</v>
      </c>
      <c r="AQ1439" s="10"/>
      <c r="AR1439" s="17"/>
      <c r="AS1439" s="17"/>
      <c r="AT1439" s="17"/>
      <c r="AU1439" s="17"/>
      <c r="AV1439" s="17"/>
      <c r="AW1439" s="10"/>
      <c r="AX1439" s="17"/>
      <c r="AY1439" s="18" t="s">
        <v>257</v>
      </c>
      <c r="AZ1439" s="10"/>
      <c r="BA1439" s="20" t="b">
        <v>0</v>
      </c>
      <c r="BB1439" s="10"/>
      <c r="BC1439" s="17" t="s">
        <v>257</v>
      </c>
      <c r="BD1439" s="17" t="s">
        <v>257</v>
      </c>
      <c r="BE1439" s="17" t="s">
        <v>257</v>
      </c>
      <c r="BF1439" s="17" t="s">
        <v>257</v>
      </c>
      <c r="BG1439" s="11">
        <f ca="1">IFERROR(__xludf.DUMMYFUNCTION("""COMPUTED_VALUE"""),46116)</f>
        <v>46116</v>
      </c>
      <c r="BH1439" s="17"/>
      <c r="BI1439" s="17"/>
      <c r="BJ1439" s="15"/>
      <c r="BK1439" s="15"/>
      <c r="BL1439" s="13" t="b">
        <v>0</v>
      </c>
      <c r="BM1439" s="10"/>
      <c r="BN1439" s="10" t="s">
        <v>223</v>
      </c>
      <c r="BO1439" s="11">
        <v>45904.28460648148</v>
      </c>
      <c r="BP1439" s="11">
        <v>45904.28460648148</v>
      </c>
      <c r="BQ1439" s="15"/>
      <c r="BR1439" s="15"/>
      <c r="BS1439" s="10"/>
      <c r="BT1439" s="10"/>
      <c r="BU1439" s="10"/>
      <c r="BV1439" s="10"/>
      <c r="BW1439" s="10"/>
      <c r="BX1439" s="10"/>
      <c r="BY1439" s="23"/>
      <c r="BZ1439" s="23"/>
      <c r="CA1439" s="23"/>
      <c r="CB1439" s="23"/>
      <c r="CC1439" s="23"/>
      <c r="CD1439" s="23"/>
      <c r="CE1439" s="23"/>
      <c r="CF1439" s="23"/>
      <c r="CG1439" s="23"/>
      <c r="CH1439" s="23"/>
      <c r="CI1439" s="23"/>
    </row>
    <row r="1440" spans="1:87" x14ac:dyDescent="0.3">
      <c r="A1440" s="9" t="s">
        <v>11101</v>
      </c>
      <c r="B1440" s="10" t="s">
        <v>11102</v>
      </c>
      <c r="C1440" s="11">
        <v>46116</v>
      </c>
      <c r="D1440" s="12">
        <v>8.3333333333333329E-2</v>
      </c>
      <c r="E1440" s="11">
        <v>46116.083333333336</v>
      </c>
      <c r="F1440" s="10" t="s">
        <v>3211</v>
      </c>
      <c r="G1440" s="13" t="b">
        <v>0</v>
      </c>
      <c r="H1440" s="10" t="s">
        <v>3212</v>
      </c>
      <c r="I1440" s="10" t="s">
        <v>3213</v>
      </c>
      <c r="J1440" s="13" t="b">
        <v>0</v>
      </c>
      <c r="K1440" s="13" t="b">
        <v>1</v>
      </c>
      <c r="L1440" s="10" t="s">
        <v>124</v>
      </c>
      <c r="M1440" s="10" t="s">
        <v>91</v>
      </c>
      <c r="N1440" s="10" t="s">
        <v>92</v>
      </c>
      <c r="O1440" s="10"/>
      <c r="P1440" s="10"/>
      <c r="Q1440" s="10"/>
      <c r="R1440" s="10"/>
      <c r="S1440" s="10"/>
      <c r="T1440" s="10"/>
      <c r="U1440" s="10" t="s">
        <v>3269</v>
      </c>
      <c r="V1440" s="10" t="s">
        <v>3249</v>
      </c>
      <c r="W1440" s="10" t="s">
        <v>3219</v>
      </c>
      <c r="X1440" s="10" t="s">
        <v>130</v>
      </c>
      <c r="Y1440" s="10" t="s">
        <v>130</v>
      </c>
      <c r="Z1440" s="10" t="s">
        <v>99</v>
      </c>
      <c r="AA1440" s="10" t="s">
        <v>131</v>
      </c>
      <c r="AB1440" s="10" t="s">
        <v>3220</v>
      </c>
      <c r="AC1440" s="10" t="s">
        <v>3221</v>
      </c>
      <c r="AD1440" s="10" t="s">
        <v>11103</v>
      </c>
      <c r="AE1440" s="10" t="s">
        <v>11104</v>
      </c>
      <c r="AF1440" s="15"/>
      <c r="AG1440" s="10"/>
      <c r="AH1440" s="10"/>
      <c r="AI1440" s="10"/>
      <c r="AJ1440" s="10"/>
      <c r="AK1440" s="10"/>
      <c r="AL1440" s="10" t="s">
        <v>2885</v>
      </c>
      <c r="AM1440" s="10"/>
      <c r="AN1440" s="10"/>
      <c r="AO1440" s="13" t="b">
        <v>0</v>
      </c>
      <c r="AP1440" s="10" t="s">
        <v>104</v>
      </c>
      <c r="AQ1440" s="10"/>
      <c r="AR1440" s="17"/>
      <c r="AS1440" s="17"/>
      <c r="AT1440" s="17"/>
      <c r="AU1440" s="17"/>
      <c r="AV1440" s="17"/>
      <c r="AW1440" s="10"/>
      <c r="AX1440" s="17"/>
      <c r="AY1440" s="18" t="s">
        <v>257</v>
      </c>
      <c r="AZ1440" s="10"/>
      <c r="BA1440" s="20" t="b">
        <v>0</v>
      </c>
      <c r="BB1440" s="10"/>
      <c r="BC1440" s="17" t="s">
        <v>257</v>
      </c>
      <c r="BD1440" s="17" t="s">
        <v>257</v>
      </c>
      <c r="BE1440" s="17" t="s">
        <v>257</v>
      </c>
      <c r="BF1440" s="17" t="s">
        <v>257</v>
      </c>
      <c r="BG1440" s="11">
        <f ca="1">IFERROR(__xludf.DUMMYFUNCTION("""COMPUTED_VALUE"""),46116)</f>
        <v>46116</v>
      </c>
      <c r="BH1440" s="17"/>
      <c r="BI1440" s="17"/>
      <c r="BJ1440" s="15"/>
      <c r="BK1440" s="15"/>
      <c r="BL1440" s="13" t="b">
        <v>0</v>
      </c>
      <c r="BM1440" s="10"/>
      <c r="BN1440" s="10" t="s">
        <v>223</v>
      </c>
      <c r="BO1440" s="11">
        <v>45904.28460648148</v>
      </c>
      <c r="BP1440" s="11">
        <v>45904.28460648148</v>
      </c>
      <c r="BQ1440" s="15"/>
      <c r="BR1440" s="15"/>
      <c r="BS1440" s="10"/>
      <c r="BT1440" s="10"/>
      <c r="BU1440" s="10"/>
      <c r="BV1440" s="10"/>
      <c r="BW1440" s="10"/>
      <c r="BX1440" s="10"/>
      <c r="BY1440" s="23"/>
      <c r="BZ1440" s="23"/>
      <c r="CA1440" s="23"/>
      <c r="CB1440" s="23"/>
      <c r="CC1440" s="23"/>
      <c r="CD1440" s="23"/>
      <c r="CE1440" s="23"/>
      <c r="CF1440" s="23"/>
      <c r="CG1440" s="23"/>
      <c r="CH1440" s="23"/>
      <c r="CI1440" s="23"/>
    </row>
    <row r="1441" spans="1:87" x14ac:dyDescent="0.3">
      <c r="A1441" s="9" t="s">
        <v>11105</v>
      </c>
      <c r="B1441" s="10" t="s">
        <v>11106</v>
      </c>
      <c r="C1441" s="11">
        <v>46116</v>
      </c>
      <c r="D1441" s="12">
        <v>8.3333333333333329E-2</v>
      </c>
      <c r="E1441" s="11">
        <v>46116.083333333336</v>
      </c>
      <c r="F1441" s="10" t="s">
        <v>3211</v>
      </c>
      <c r="G1441" s="13" t="b">
        <v>0</v>
      </c>
      <c r="H1441" s="10" t="s">
        <v>3212</v>
      </c>
      <c r="I1441" s="10" t="s">
        <v>3213</v>
      </c>
      <c r="J1441" s="13" t="b">
        <v>0</v>
      </c>
      <c r="K1441" s="13" t="b">
        <v>1</v>
      </c>
      <c r="L1441" s="10" t="s">
        <v>124</v>
      </c>
      <c r="M1441" s="10" t="s">
        <v>91</v>
      </c>
      <c r="N1441" s="10" t="s">
        <v>92</v>
      </c>
      <c r="O1441" s="10"/>
      <c r="P1441" s="10"/>
      <c r="Q1441" s="10"/>
      <c r="R1441" s="10"/>
      <c r="S1441" s="10"/>
      <c r="T1441" s="10"/>
      <c r="U1441" s="10" t="s">
        <v>3270</v>
      </c>
      <c r="V1441" s="10" t="s">
        <v>3240</v>
      </c>
      <c r="W1441" s="10" t="s">
        <v>3219</v>
      </c>
      <c r="X1441" s="10" t="s">
        <v>130</v>
      </c>
      <c r="Y1441" s="10" t="s">
        <v>130</v>
      </c>
      <c r="Z1441" s="10" t="s">
        <v>99</v>
      </c>
      <c r="AA1441" s="10" t="s">
        <v>131</v>
      </c>
      <c r="AB1441" s="10" t="s">
        <v>3220</v>
      </c>
      <c r="AC1441" s="10" t="s">
        <v>3221</v>
      </c>
      <c r="AD1441" s="10" t="s">
        <v>11107</v>
      </c>
      <c r="AE1441" s="10" t="s">
        <v>11108</v>
      </c>
      <c r="AF1441" s="15"/>
      <c r="AG1441" s="10"/>
      <c r="AH1441" s="10"/>
      <c r="AI1441" s="10"/>
      <c r="AJ1441" s="10"/>
      <c r="AK1441" s="10"/>
      <c r="AL1441" s="10" t="s">
        <v>2885</v>
      </c>
      <c r="AM1441" s="10"/>
      <c r="AN1441" s="10"/>
      <c r="AO1441" s="13" t="b">
        <v>0</v>
      </c>
      <c r="AP1441" s="10" t="s">
        <v>104</v>
      </c>
      <c r="AQ1441" s="10"/>
      <c r="AR1441" s="17"/>
      <c r="AS1441" s="17"/>
      <c r="AT1441" s="17"/>
      <c r="AU1441" s="17"/>
      <c r="AV1441" s="17"/>
      <c r="AW1441" s="10"/>
      <c r="AX1441" s="17"/>
      <c r="AY1441" s="18" t="s">
        <v>257</v>
      </c>
      <c r="AZ1441" s="10"/>
      <c r="BA1441" s="20" t="b">
        <v>0</v>
      </c>
      <c r="BB1441" s="10"/>
      <c r="BC1441" s="17" t="s">
        <v>257</v>
      </c>
      <c r="BD1441" s="17" t="s">
        <v>257</v>
      </c>
      <c r="BE1441" s="17" t="s">
        <v>257</v>
      </c>
      <c r="BF1441" s="17" t="s">
        <v>257</v>
      </c>
      <c r="BG1441" s="11">
        <f ca="1">IFERROR(__xludf.DUMMYFUNCTION("""COMPUTED_VALUE"""),46116)</f>
        <v>46116</v>
      </c>
      <c r="BH1441" s="17"/>
      <c r="BI1441" s="17"/>
      <c r="BJ1441" s="15"/>
      <c r="BK1441" s="15"/>
      <c r="BL1441" s="13" t="b">
        <v>0</v>
      </c>
      <c r="BM1441" s="10"/>
      <c r="BN1441" s="10" t="s">
        <v>223</v>
      </c>
      <c r="BO1441" s="11">
        <v>45904.28460648148</v>
      </c>
      <c r="BP1441" s="11">
        <v>45904.28460648148</v>
      </c>
      <c r="BQ1441" s="15"/>
      <c r="BR1441" s="15"/>
      <c r="BS1441" s="10"/>
      <c r="BT1441" s="10"/>
      <c r="BU1441" s="10"/>
      <c r="BV1441" s="10"/>
      <c r="BW1441" s="10"/>
      <c r="BX1441" s="10"/>
      <c r="BY1441" s="23"/>
      <c r="BZ1441" s="23"/>
      <c r="CA1441" s="23"/>
      <c r="CB1441" s="23"/>
      <c r="CC1441" s="23"/>
      <c r="CD1441" s="23"/>
      <c r="CE1441" s="23"/>
      <c r="CF1441" s="23"/>
      <c r="CG1441" s="23"/>
      <c r="CH1441" s="23"/>
      <c r="CI1441" s="23"/>
    </row>
    <row r="1442" spans="1:87" x14ac:dyDescent="0.3">
      <c r="A1442" s="9" t="s">
        <v>11109</v>
      </c>
      <c r="B1442" s="10" t="s">
        <v>11110</v>
      </c>
      <c r="C1442" s="11">
        <v>46124</v>
      </c>
      <c r="D1442" s="12">
        <v>8.3333333333333329E-2</v>
      </c>
      <c r="E1442" s="11">
        <v>46124.083333333336</v>
      </c>
      <c r="F1442" s="10" t="s">
        <v>3211</v>
      </c>
      <c r="G1442" s="13" t="b">
        <v>0</v>
      </c>
      <c r="H1442" s="10" t="s">
        <v>3212</v>
      </c>
      <c r="I1442" s="10" t="s">
        <v>3213</v>
      </c>
      <c r="J1442" s="13" t="b">
        <v>0</v>
      </c>
      <c r="K1442" s="13" t="b">
        <v>1</v>
      </c>
      <c r="L1442" s="10" t="s">
        <v>124</v>
      </c>
      <c r="M1442" s="10" t="s">
        <v>91</v>
      </c>
      <c r="N1442" s="10" t="s">
        <v>92</v>
      </c>
      <c r="O1442" s="10"/>
      <c r="P1442" s="10"/>
      <c r="Q1442" s="10"/>
      <c r="R1442" s="10"/>
      <c r="S1442" s="10"/>
      <c r="T1442" s="10"/>
      <c r="U1442" s="10" t="s">
        <v>3308</v>
      </c>
      <c r="V1442" s="10" t="s">
        <v>3259</v>
      </c>
      <c r="W1442" s="10" t="s">
        <v>3219</v>
      </c>
      <c r="X1442" s="10" t="s">
        <v>130</v>
      </c>
      <c r="Y1442" s="10" t="s">
        <v>130</v>
      </c>
      <c r="Z1442" s="10" t="s">
        <v>99</v>
      </c>
      <c r="AA1442" s="10" t="s">
        <v>131</v>
      </c>
      <c r="AB1442" s="10" t="s">
        <v>3220</v>
      </c>
      <c r="AC1442" s="10" t="s">
        <v>3221</v>
      </c>
      <c r="AD1442" s="10" t="s">
        <v>11111</v>
      </c>
      <c r="AE1442" s="10" t="s">
        <v>11112</v>
      </c>
      <c r="AF1442" s="15"/>
      <c r="AG1442" s="10"/>
      <c r="AH1442" s="10"/>
      <c r="AI1442" s="10"/>
      <c r="AJ1442" s="10"/>
      <c r="AK1442" s="10"/>
      <c r="AL1442" s="10" t="s">
        <v>2926</v>
      </c>
      <c r="AM1442" s="10"/>
      <c r="AN1442" s="10"/>
      <c r="AO1442" s="13" t="b">
        <v>0</v>
      </c>
      <c r="AP1442" s="10" t="s">
        <v>104</v>
      </c>
      <c r="AQ1442" s="10"/>
      <c r="AR1442" s="17"/>
      <c r="AS1442" s="17"/>
      <c r="AT1442" s="17"/>
      <c r="AU1442" s="17"/>
      <c r="AV1442" s="17"/>
      <c r="AW1442" s="10"/>
      <c r="AX1442" s="17"/>
      <c r="AY1442" s="18" t="s">
        <v>257</v>
      </c>
      <c r="AZ1442" s="10"/>
      <c r="BA1442" s="20" t="b">
        <v>0</v>
      </c>
      <c r="BB1442" s="10"/>
      <c r="BC1442" s="17" t="s">
        <v>257</v>
      </c>
      <c r="BD1442" s="17" t="s">
        <v>257</v>
      </c>
      <c r="BE1442" s="17" t="s">
        <v>257</v>
      </c>
      <c r="BF1442" s="17" t="s">
        <v>257</v>
      </c>
      <c r="BG1442" s="11">
        <f ca="1">IFERROR(__xludf.DUMMYFUNCTION("""COMPUTED_VALUE"""),46124)</f>
        <v>46124</v>
      </c>
      <c r="BH1442" s="17"/>
      <c r="BI1442" s="17"/>
      <c r="BJ1442" s="15"/>
      <c r="BK1442" s="15"/>
      <c r="BL1442" s="13" t="b">
        <v>0</v>
      </c>
      <c r="BM1442" s="10"/>
      <c r="BN1442" s="10" t="s">
        <v>223</v>
      </c>
      <c r="BO1442" s="11">
        <v>45904.28460648148</v>
      </c>
      <c r="BP1442" s="11">
        <v>45904.28460648148</v>
      </c>
      <c r="BQ1442" s="15"/>
      <c r="BR1442" s="15"/>
      <c r="BS1442" s="10"/>
      <c r="BT1442" s="10"/>
      <c r="BU1442" s="10"/>
      <c r="BV1442" s="10"/>
      <c r="BW1442" s="10"/>
      <c r="BX1442" s="10"/>
      <c r="BY1442" s="23"/>
      <c r="BZ1442" s="23"/>
      <c r="CA1442" s="23"/>
      <c r="CB1442" s="23"/>
      <c r="CC1442" s="23"/>
      <c r="CD1442" s="23"/>
      <c r="CE1442" s="23"/>
      <c r="CF1442" s="23"/>
      <c r="CG1442" s="23"/>
      <c r="CH1442" s="23"/>
      <c r="CI1442" s="23"/>
    </row>
    <row r="1443" spans="1:87" x14ac:dyDescent="0.3">
      <c r="A1443" s="9" t="s">
        <v>11113</v>
      </c>
      <c r="B1443" s="10" t="s">
        <v>11114</v>
      </c>
      <c r="C1443" s="11">
        <v>46124</v>
      </c>
      <c r="D1443" s="12">
        <v>8.3333333333333329E-2</v>
      </c>
      <c r="E1443" s="11">
        <v>46124.083333333336</v>
      </c>
      <c r="F1443" s="10" t="s">
        <v>3211</v>
      </c>
      <c r="G1443" s="13" t="b">
        <v>0</v>
      </c>
      <c r="H1443" s="10" t="s">
        <v>3212</v>
      </c>
      <c r="I1443" s="10" t="s">
        <v>3213</v>
      </c>
      <c r="J1443" s="13" t="b">
        <v>0</v>
      </c>
      <c r="K1443" s="13" t="b">
        <v>1</v>
      </c>
      <c r="L1443" s="10" t="s">
        <v>124</v>
      </c>
      <c r="M1443" s="10" t="s">
        <v>91</v>
      </c>
      <c r="N1443" s="10" t="s">
        <v>92</v>
      </c>
      <c r="O1443" s="10"/>
      <c r="P1443" s="10"/>
      <c r="Q1443" s="10"/>
      <c r="R1443" s="10"/>
      <c r="S1443" s="10"/>
      <c r="T1443" s="10"/>
      <c r="U1443" s="10" t="s">
        <v>3230</v>
      </c>
      <c r="V1443" s="10" t="s">
        <v>3218</v>
      </c>
      <c r="W1443" s="10" t="s">
        <v>3219</v>
      </c>
      <c r="X1443" s="10" t="s">
        <v>130</v>
      </c>
      <c r="Y1443" s="10" t="s">
        <v>130</v>
      </c>
      <c r="Z1443" s="10" t="s">
        <v>99</v>
      </c>
      <c r="AA1443" s="10" t="s">
        <v>131</v>
      </c>
      <c r="AB1443" s="10" t="s">
        <v>3220</v>
      </c>
      <c r="AC1443" s="10" t="s">
        <v>3221</v>
      </c>
      <c r="AD1443" s="10" t="s">
        <v>11115</v>
      </c>
      <c r="AE1443" s="10" t="s">
        <v>11116</v>
      </c>
      <c r="AF1443" s="15"/>
      <c r="AG1443" s="10"/>
      <c r="AH1443" s="10"/>
      <c r="AI1443" s="10"/>
      <c r="AJ1443" s="10"/>
      <c r="AK1443" s="10"/>
      <c r="AL1443" s="10" t="s">
        <v>2926</v>
      </c>
      <c r="AM1443" s="10"/>
      <c r="AN1443" s="10"/>
      <c r="AO1443" s="13" t="b">
        <v>0</v>
      </c>
      <c r="AP1443" s="10" t="s">
        <v>104</v>
      </c>
      <c r="AQ1443" s="10"/>
      <c r="AR1443" s="17"/>
      <c r="AS1443" s="17"/>
      <c r="AT1443" s="17"/>
      <c r="AU1443" s="17"/>
      <c r="AV1443" s="17"/>
      <c r="AW1443" s="10"/>
      <c r="AX1443" s="17"/>
      <c r="AY1443" s="18" t="s">
        <v>257</v>
      </c>
      <c r="AZ1443" s="10"/>
      <c r="BA1443" s="20" t="b">
        <v>0</v>
      </c>
      <c r="BB1443" s="10"/>
      <c r="BC1443" s="17" t="s">
        <v>257</v>
      </c>
      <c r="BD1443" s="17" t="s">
        <v>257</v>
      </c>
      <c r="BE1443" s="17" t="s">
        <v>257</v>
      </c>
      <c r="BF1443" s="17" t="s">
        <v>257</v>
      </c>
      <c r="BG1443" s="11">
        <f ca="1">IFERROR(__xludf.DUMMYFUNCTION("""COMPUTED_VALUE"""),46124)</f>
        <v>46124</v>
      </c>
      <c r="BH1443" s="17"/>
      <c r="BI1443" s="17"/>
      <c r="BJ1443" s="15"/>
      <c r="BK1443" s="15"/>
      <c r="BL1443" s="13" t="b">
        <v>0</v>
      </c>
      <c r="BM1443" s="10"/>
      <c r="BN1443" s="10" t="s">
        <v>223</v>
      </c>
      <c r="BO1443" s="11">
        <v>45904.28460648148</v>
      </c>
      <c r="BP1443" s="11">
        <v>45904.28460648148</v>
      </c>
      <c r="BQ1443" s="15"/>
      <c r="BR1443" s="15"/>
      <c r="BS1443" s="10"/>
      <c r="BT1443" s="10"/>
      <c r="BU1443" s="10"/>
      <c r="BV1443" s="10"/>
      <c r="BW1443" s="10"/>
      <c r="BX1443" s="10"/>
      <c r="BY1443" s="23"/>
      <c r="BZ1443" s="23"/>
      <c r="CA1443" s="23"/>
      <c r="CB1443" s="23"/>
      <c r="CC1443" s="23"/>
      <c r="CD1443" s="23"/>
      <c r="CE1443" s="23"/>
      <c r="CF1443" s="23"/>
      <c r="CG1443" s="23"/>
      <c r="CH1443" s="23"/>
      <c r="CI1443" s="23"/>
    </row>
    <row r="1444" spans="1:87" x14ac:dyDescent="0.3">
      <c r="A1444" s="9" t="s">
        <v>11117</v>
      </c>
      <c r="B1444" s="10" t="s">
        <v>11118</v>
      </c>
      <c r="C1444" s="11">
        <v>46124</v>
      </c>
      <c r="D1444" s="12">
        <v>8.3333333333333329E-2</v>
      </c>
      <c r="E1444" s="11">
        <v>46124.083333333336</v>
      </c>
      <c r="F1444" s="10" t="s">
        <v>3211</v>
      </c>
      <c r="G1444" s="13" t="b">
        <v>0</v>
      </c>
      <c r="H1444" s="10" t="s">
        <v>3212</v>
      </c>
      <c r="I1444" s="10" t="s">
        <v>3213</v>
      </c>
      <c r="J1444" s="13" t="b">
        <v>0</v>
      </c>
      <c r="K1444" s="13" t="b">
        <v>1</v>
      </c>
      <c r="L1444" s="10" t="s">
        <v>124</v>
      </c>
      <c r="M1444" s="10" t="s">
        <v>91</v>
      </c>
      <c r="N1444" s="10" t="s">
        <v>92</v>
      </c>
      <c r="O1444" s="10"/>
      <c r="P1444" s="10"/>
      <c r="Q1444" s="10"/>
      <c r="R1444" s="10"/>
      <c r="S1444" s="10"/>
      <c r="T1444" s="10"/>
      <c r="U1444" s="10" t="s">
        <v>3239</v>
      </c>
      <c r="V1444" s="10" t="s">
        <v>3440</v>
      </c>
      <c r="W1444" s="10" t="s">
        <v>3219</v>
      </c>
      <c r="X1444" s="10" t="s">
        <v>130</v>
      </c>
      <c r="Y1444" s="10" t="s">
        <v>130</v>
      </c>
      <c r="Z1444" s="10" t="s">
        <v>99</v>
      </c>
      <c r="AA1444" s="10" t="s">
        <v>131</v>
      </c>
      <c r="AB1444" s="10" t="s">
        <v>3220</v>
      </c>
      <c r="AC1444" s="10" t="s">
        <v>3221</v>
      </c>
      <c r="AD1444" s="10" t="s">
        <v>11119</v>
      </c>
      <c r="AE1444" s="10" t="s">
        <v>11120</v>
      </c>
      <c r="AF1444" s="15"/>
      <c r="AG1444" s="10"/>
      <c r="AH1444" s="10"/>
      <c r="AI1444" s="10"/>
      <c r="AJ1444" s="10"/>
      <c r="AK1444" s="10"/>
      <c r="AL1444" s="10" t="s">
        <v>2926</v>
      </c>
      <c r="AM1444" s="10"/>
      <c r="AN1444" s="10"/>
      <c r="AO1444" s="13" t="b">
        <v>0</v>
      </c>
      <c r="AP1444" s="10" t="s">
        <v>104</v>
      </c>
      <c r="AQ1444" s="10"/>
      <c r="AR1444" s="17"/>
      <c r="AS1444" s="17"/>
      <c r="AT1444" s="17"/>
      <c r="AU1444" s="17"/>
      <c r="AV1444" s="17"/>
      <c r="AW1444" s="10"/>
      <c r="AX1444" s="17"/>
      <c r="AY1444" s="18" t="s">
        <v>257</v>
      </c>
      <c r="AZ1444" s="10"/>
      <c r="BA1444" s="20" t="b">
        <v>0</v>
      </c>
      <c r="BB1444" s="10"/>
      <c r="BC1444" s="17" t="s">
        <v>257</v>
      </c>
      <c r="BD1444" s="17" t="s">
        <v>257</v>
      </c>
      <c r="BE1444" s="17" t="s">
        <v>257</v>
      </c>
      <c r="BF1444" s="17" t="s">
        <v>257</v>
      </c>
      <c r="BG1444" s="11">
        <f ca="1">IFERROR(__xludf.DUMMYFUNCTION("""COMPUTED_VALUE"""),46124)</f>
        <v>46124</v>
      </c>
      <c r="BH1444" s="17"/>
      <c r="BI1444" s="17"/>
      <c r="BJ1444" s="15"/>
      <c r="BK1444" s="15"/>
      <c r="BL1444" s="13" t="b">
        <v>0</v>
      </c>
      <c r="BM1444" s="10"/>
      <c r="BN1444" s="10" t="s">
        <v>223</v>
      </c>
      <c r="BO1444" s="11">
        <v>45904.28460648148</v>
      </c>
      <c r="BP1444" s="11">
        <v>45904.28460648148</v>
      </c>
      <c r="BQ1444" s="15"/>
      <c r="BR1444" s="15"/>
      <c r="BS1444" s="10"/>
      <c r="BT1444" s="10"/>
      <c r="BU1444" s="10"/>
      <c r="BV1444" s="10"/>
      <c r="BW1444" s="10"/>
      <c r="BX1444" s="10"/>
      <c r="BY1444" s="23"/>
      <c r="BZ1444" s="23"/>
      <c r="CA1444" s="23"/>
      <c r="CB1444" s="23"/>
      <c r="CC1444" s="23"/>
      <c r="CD1444" s="23"/>
      <c r="CE1444" s="23"/>
      <c r="CF1444" s="23"/>
      <c r="CG1444" s="23"/>
      <c r="CH1444" s="23"/>
      <c r="CI1444" s="23"/>
    </row>
    <row r="1445" spans="1:87" x14ac:dyDescent="0.3">
      <c r="A1445" s="9" t="s">
        <v>11121</v>
      </c>
      <c r="B1445" s="10" t="s">
        <v>11122</v>
      </c>
      <c r="C1445" s="11">
        <v>46124</v>
      </c>
      <c r="D1445" s="12">
        <v>8.3333333333333329E-2</v>
      </c>
      <c r="E1445" s="11">
        <v>46124.083333333336</v>
      </c>
      <c r="F1445" s="10" t="s">
        <v>3211</v>
      </c>
      <c r="G1445" s="13" t="b">
        <v>0</v>
      </c>
      <c r="H1445" s="10" t="s">
        <v>3212</v>
      </c>
      <c r="I1445" s="10" t="s">
        <v>3213</v>
      </c>
      <c r="J1445" s="13" t="b">
        <v>0</v>
      </c>
      <c r="K1445" s="13" t="b">
        <v>1</v>
      </c>
      <c r="L1445" s="10" t="s">
        <v>124</v>
      </c>
      <c r="M1445" s="10" t="s">
        <v>91</v>
      </c>
      <c r="N1445" s="10" t="s">
        <v>92</v>
      </c>
      <c r="O1445" s="10"/>
      <c r="P1445" s="10"/>
      <c r="Q1445" s="10"/>
      <c r="R1445" s="10"/>
      <c r="S1445" s="10"/>
      <c r="T1445" s="10"/>
      <c r="U1445" s="10" t="s">
        <v>3249</v>
      </c>
      <c r="V1445" s="10" t="s">
        <v>3278</v>
      </c>
      <c r="W1445" s="10" t="s">
        <v>3219</v>
      </c>
      <c r="X1445" s="10" t="s">
        <v>130</v>
      </c>
      <c r="Y1445" s="10" t="s">
        <v>130</v>
      </c>
      <c r="Z1445" s="10" t="s">
        <v>99</v>
      </c>
      <c r="AA1445" s="10" t="s">
        <v>131</v>
      </c>
      <c r="AB1445" s="10" t="s">
        <v>3220</v>
      </c>
      <c r="AC1445" s="10" t="s">
        <v>3221</v>
      </c>
      <c r="AD1445" s="10" t="s">
        <v>11123</v>
      </c>
      <c r="AE1445" s="10" t="s">
        <v>11124</v>
      </c>
      <c r="AF1445" s="15"/>
      <c r="AG1445" s="10"/>
      <c r="AH1445" s="10"/>
      <c r="AI1445" s="10"/>
      <c r="AJ1445" s="10"/>
      <c r="AK1445" s="10"/>
      <c r="AL1445" s="10" t="s">
        <v>2926</v>
      </c>
      <c r="AM1445" s="10"/>
      <c r="AN1445" s="10"/>
      <c r="AO1445" s="13" t="b">
        <v>0</v>
      </c>
      <c r="AP1445" s="10" t="s">
        <v>104</v>
      </c>
      <c r="AQ1445" s="10"/>
      <c r="AR1445" s="17"/>
      <c r="AS1445" s="17"/>
      <c r="AT1445" s="17"/>
      <c r="AU1445" s="17"/>
      <c r="AV1445" s="17"/>
      <c r="AW1445" s="10"/>
      <c r="AX1445" s="17"/>
      <c r="AY1445" s="18" t="s">
        <v>257</v>
      </c>
      <c r="AZ1445" s="10"/>
      <c r="BA1445" s="20" t="b">
        <v>0</v>
      </c>
      <c r="BB1445" s="10"/>
      <c r="BC1445" s="17" t="s">
        <v>257</v>
      </c>
      <c r="BD1445" s="17" t="s">
        <v>257</v>
      </c>
      <c r="BE1445" s="17" t="s">
        <v>257</v>
      </c>
      <c r="BF1445" s="17" t="s">
        <v>257</v>
      </c>
      <c r="BG1445" s="11">
        <f ca="1">IFERROR(__xludf.DUMMYFUNCTION("""COMPUTED_VALUE"""),46124)</f>
        <v>46124</v>
      </c>
      <c r="BH1445" s="17"/>
      <c r="BI1445" s="17"/>
      <c r="BJ1445" s="15"/>
      <c r="BK1445" s="15"/>
      <c r="BL1445" s="13" t="b">
        <v>0</v>
      </c>
      <c r="BM1445" s="10"/>
      <c r="BN1445" s="10" t="s">
        <v>223</v>
      </c>
      <c r="BO1445" s="11">
        <v>45904.28460648148</v>
      </c>
      <c r="BP1445" s="11">
        <v>45904.28460648148</v>
      </c>
      <c r="BQ1445" s="15"/>
      <c r="BR1445" s="15"/>
      <c r="BS1445" s="10"/>
      <c r="BT1445" s="10"/>
      <c r="BU1445" s="10"/>
      <c r="BV1445" s="10"/>
      <c r="BW1445" s="10"/>
      <c r="BX1445" s="10"/>
      <c r="BY1445" s="23"/>
      <c r="BZ1445" s="23"/>
      <c r="CA1445" s="23"/>
      <c r="CB1445" s="23"/>
      <c r="CC1445" s="23"/>
      <c r="CD1445" s="23"/>
      <c r="CE1445" s="23"/>
      <c r="CF1445" s="23"/>
      <c r="CG1445" s="23"/>
      <c r="CH1445" s="23"/>
      <c r="CI1445" s="23"/>
    </row>
    <row r="1446" spans="1:87" x14ac:dyDescent="0.3">
      <c r="A1446" s="9" t="s">
        <v>11125</v>
      </c>
      <c r="B1446" s="10" t="s">
        <v>11126</v>
      </c>
      <c r="C1446" s="11">
        <v>46124</v>
      </c>
      <c r="D1446" s="12">
        <v>8.3333333333333329E-2</v>
      </c>
      <c r="E1446" s="11">
        <v>46124.083333333336</v>
      </c>
      <c r="F1446" s="10" t="s">
        <v>3211</v>
      </c>
      <c r="G1446" s="13" t="b">
        <v>0</v>
      </c>
      <c r="H1446" s="10" t="s">
        <v>3212</v>
      </c>
      <c r="I1446" s="10" t="s">
        <v>3213</v>
      </c>
      <c r="J1446" s="13" t="b">
        <v>0</v>
      </c>
      <c r="K1446" s="13" t="b">
        <v>1</v>
      </c>
      <c r="L1446" s="10" t="s">
        <v>124</v>
      </c>
      <c r="M1446" s="10" t="s">
        <v>91</v>
      </c>
      <c r="N1446" s="10" t="s">
        <v>92</v>
      </c>
      <c r="O1446" s="10"/>
      <c r="P1446" s="10"/>
      <c r="Q1446" s="10"/>
      <c r="R1446" s="10"/>
      <c r="S1446" s="10"/>
      <c r="T1446" s="10"/>
      <c r="U1446" s="10" t="s">
        <v>3240</v>
      </c>
      <c r="V1446" s="10" t="s">
        <v>3250</v>
      </c>
      <c r="W1446" s="10" t="s">
        <v>3219</v>
      </c>
      <c r="X1446" s="10" t="s">
        <v>130</v>
      </c>
      <c r="Y1446" s="10" t="s">
        <v>130</v>
      </c>
      <c r="Z1446" s="10" t="s">
        <v>99</v>
      </c>
      <c r="AA1446" s="10" t="s">
        <v>131</v>
      </c>
      <c r="AB1446" s="10" t="s">
        <v>3220</v>
      </c>
      <c r="AC1446" s="10" t="s">
        <v>3221</v>
      </c>
      <c r="AD1446" s="10" t="s">
        <v>11127</v>
      </c>
      <c r="AE1446" s="10" t="s">
        <v>11128</v>
      </c>
      <c r="AF1446" s="15"/>
      <c r="AG1446" s="10"/>
      <c r="AH1446" s="10"/>
      <c r="AI1446" s="10"/>
      <c r="AJ1446" s="10"/>
      <c r="AK1446" s="10"/>
      <c r="AL1446" s="10" t="s">
        <v>2926</v>
      </c>
      <c r="AM1446" s="10"/>
      <c r="AN1446" s="10"/>
      <c r="AO1446" s="13" t="b">
        <v>0</v>
      </c>
      <c r="AP1446" s="10" t="s">
        <v>104</v>
      </c>
      <c r="AQ1446" s="10"/>
      <c r="AR1446" s="17"/>
      <c r="AS1446" s="17"/>
      <c r="AT1446" s="17"/>
      <c r="AU1446" s="17"/>
      <c r="AV1446" s="17"/>
      <c r="AW1446" s="10"/>
      <c r="AX1446" s="17"/>
      <c r="AY1446" s="18" t="s">
        <v>257</v>
      </c>
      <c r="AZ1446" s="10"/>
      <c r="BA1446" s="20" t="b">
        <v>0</v>
      </c>
      <c r="BB1446" s="10"/>
      <c r="BC1446" s="17" t="s">
        <v>257</v>
      </c>
      <c r="BD1446" s="17" t="s">
        <v>257</v>
      </c>
      <c r="BE1446" s="17" t="s">
        <v>257</v>
      </c>
      <c r="BF1446" s="17" t="s">
        <v>257</v>
      </c>
      <c r="BG1446" s="11">
        <f ca="1">IFERROR(__xludf.DUMMYFUNCTION("""COMPUTED_VALUE"""),46124)</f>
        <v>46124</v>
      </c>
      <c r="BH1446" s="17"/>
      <c r="BI1446" s="17"/>
      <c r="BJ1446" s="15"/>
      <c r="BK1446" s="15"/>
      <c r="BL1446" s="13" t="b">
        <v>0</v>
      </c>
      <c r="BM1446" s="10"/>
      <c r="BN1446" s="10" t="s">
        <v>223</v>
      </c>
      <c r="BO1446" s="11">
        <v>45904.28460648148</v>
      </c>
      <c r="BP1446" s="11">
        <v>45904.28460648148</v>
      </c>
      <c r="BQ1446" s="15"/>
      <c r="BR1446" s="15"/>
      <c r="BS1446" s="10"/>
      <c r="BT1446" s="10"/>
      <c r="BU1446" s="10"/>
      <c r="BV1446" s="10"/>
      <c r="BW1446" s="10"/>
      <c r="BX1446" s="10"/>
      <c r="BY1446" s="23"/>
      <c r="BZ1446" s="23"/>
      <c r="CA1446" s="23"/>
      <c r="CB1446" s="23"/>
      <c r="CC1446" s="23"/>
      <c r="CD1446" s="23"/>
      <c r="CE1446" s="23"/>
      <c r="CF1446" s="23"/>
      <c r="CG1446" s="23"/>
      <c r="CH1446" s="23"/>
      <c r="CI1446" s="23"/>
    </row>
    <row r="1447" spans="1:87" x14ac:dyDescent="0.3">
      <c r="A1447" s="9" t="s">
        <v>11129</v>
      </c>
      <c r="B1447" s="10" t="s">
        <v>11130</v>
      </c>
      <c r="C1447" s="11">
        <v>46124</v>
      </c>
      <c r="D1447" s="12">
        <v>8.3333333333333329E-2</v>
      </c>
      <c r="E1447" s="11">
        <v>46124.083333333336</v>
      </c>
      <c r="F1447" s="10" t="s">
        <v>3211</v>
      </c>
      <c r="G1447" s="13" t="b">
        <v>0</v>
      </c>
      <c r="H1447" s="10" t="s">
        <v>3212</v>
      </c>
      <c r="I1447" s="10" t="s">
        <v>3213</v>
      </c>
      <c r="J1447" s="13" t="b">
        <v>0</v>
      </c>
      <c r="K1447" s="13" t="b">
        <v>1</v>
      </c>
      <c r="L1447" s="10" t="s">
        <v>124</v>
      </c>
      <c r="M1447" s="10" t="s">
        <v>91</v>
      </c>
      <c r="N1447" s="10" t="s">
        <v>92</v>
      </c>
      <c r="O1447" s="10"/>
      <c r="P1447" s="10"/>
      <c r="Q1447" s="10"/>
      <c r="R1447" s="10"/>
      <c r="S1447" s="10"/>
      <c r="T1447" s="10"/>
      <c r="U1447" s="10" t="s">
        <v>3217</v>
      </c>
      <c r="V1447" s="10" t="s">
        <v>3429</v>
      </c>
      <c r="W1447" s="10" t="s">
        <v>3219</v>
      </c>
      <c r="X1447" s="10" t="s">
        <v>130</v>
      </c>
      <c r="Y1447" s="10" t="s">
        <v>130</v>
      </c>
      <c r="Z1447" s="10" t="s">
        <v>99</v>
      </c>
      <c r="AA1447" s="10" t="s">
        <v>131</v>
      </c>
      <c r="AB1447" s="10" t="s">
        <v>3220</v>
      </c>
      <c r="AC1447" s="10" t="s">
        <v>3221</v>
      </c>
      <c r="AD1447" s="10" t="s">
        <v>11131</v>
      </c>
      <c r="AE1447" s="10" t="s">
        <v>11132</v>
      </c>
      <c r="AF1447" s="15"/>
      <c r="AG1447" s="10"/>
      <c r="AH1447" s="10"/>
      <c r="AI1447" s="10"/>
      <c r="AJ1447" s="10"/>
      <c r="AK1447" s="10"/>
      <c r="AL1447" s="10" t="s">
        <v>2926</v>
      </c>
      <c r="AM1447" s="10"/>
      <c r="AN1447" s="10"/>
      <c r="AO1447" s="13" t="b">
        <v>0</v>
      </c>
      <c r="AP1447" s="10" t="s">
        <v>104</v>
      </c>
      <c r="AQ1447" s="10"/>
      <c r="AR1447" s="17"/>
      <c r="AS1447" s="17"/>
      <c r="AT1447" s="17"/>
      <c r="AU1447" s="17"/>
      <c r="AV1447" s="17"/>
      <c r="AW1447" s="10"/>
      <c r="AX1447" s="17"/>
      <c r="AY1447" s="18" t="s">
        <v>257</v>
      </c>
      <c r="AZ1447" s="10"/>
      <c r="BA1447" s="20" t="b">
        <v>0</v>
      </c>
      <c r="BB1447" s="10"/>
      <c r="BC1447" s="17" t="s">
        <v>257</v>
      </c>
      <c r="BD1447" s="17" t="s">
        <v>257</v>
      </c>
      <c r="BE1447" s="17" t="s">
        <v>257</v>
      </c>
      <c r="BF1447" s="17" t="s">
        <v>257</v>
      </c>
      <c r="BG1447" s="11">
        <f ca="1">IFERROR(__xludf.DUMMYFUNCTION("""COMPUTED_VALUE"""),46124)</f>
        <v>46124</v>
      </c>
      <c r="BH1447" s="17"/>
      <c r="BI1447" s="17"/>
      <c r="BJ1447" s="15"/>
      <c r="BK1447" s="15"/>
      <c r="BL1447" s="13" t="b">
        <v>0</v>
      </c>
      <c r="BM1447" s="10"/>
      <c r="BN1447" s="10" t="s">
        <v>223</v>
      </c>
      <c r="BO1447" s="11">
        <v>45904.28460648148</v>
      </c>
      <c r="BP1447" s="11">
        <v>45904.28460648148</v>
      </c>
      <c r="BQ1447" s="15"/>
      <c r="BR1447" s="15"/>
      <c r="BS1447" s="10"/>
      <c r="BT1447" s="10"/>
      <c r="BU1447" s="10"/>
      <c r="BV1447" s="10"/>
      <c r="BW1447" s="10"/>
      <c r="BX1447" s="10"/>
      <c r="BY1447" s="23"/>
      <c r="BZ1447" s="23"/>
      <c r="CA1447" s="23"/>
      <c r="CB1447" s="23"/>
      <c r="CC1447" s="23"/>
      <c r="CD1447" s="23"/>
      <c r="CE1447" s="23"/>
      <c r="CF1447" s="23"/>
      <c r="CG1447" s="23"/>
      <c r="CH1447" s="23"/>
      <c r="CI1447" s="23"/>
    </row>
    <row r="1448" spans="1:87" x14ac:dyDescent="0.3">
      <c r="A1448" s="9" t="s">
        <v>11133</v>
      </c>
      <c r="B1448" s="10" t="s">
        <v>11134</v>
      </c>
      <c r="C1448" s="11">
        <v>46124</v>
      </c>
      <c r="D1448" s="12">
        <v>8.3333333333333329E-2</v>
      </c>
      <c r="E1448" s="11">
        <v>46124.083333333336</v>
      </c>
      <c r="F1448" s="10" t="s">
        <v>3211</v>
      </c>
      <c r="G1448" s="13" t="b">
        <v>0</v>
      </c>
      <c r="H1448" s="10" t="s">
        <v>3212</v>
      </c>
      <c r="I1448" s="10" t="s">
        <v>3213</v>
      </c>
      <c r="J1448" s="13" t="b">
        <v>0</v>
      </c>
      <c r="K1448" s="13" t="b">
        <v>1</v>
      </c>
      <c r="L1448" s="10" t="s">
        <v>124</v>
      </c>
      <c r="M1448" s="10" t="s">
        <v>91</v>
      </c>
      <c r="N1448" s="10" t="s">
        <v>92</v>
      </c>
      <c r="O1448" s="10"/>
      <c r="P1448" s="10"/>
      <c r="Q1448" s="10"/>
      <c r="R1448" s="10"/>
      <c r="S1448" s="10"/>
      <c r="T1448" s="10"/>
      <c r="U1448" s="10" t="s">
        <v>3289</v>
      </c>
      <c r="V1448" s="10" t="s">
        <v>3269</v>
      </c>
      <c r="W1448" s="10" t="s">
        <v>3219</v>
      </c>
      <c r="X1448" s="10" t="s">
        <v>130</v>
      </c>
      <c r="Y1448" s="10" t="s">
        <v>130</v>
      </c>
      <c r="Z1448" s="10" t="s">
        <v>99</v>
      </c>
      <c r="AA1448" s="10" t="s">
        <v>131</v>
      </c>
      <c r="AB1448" s="10" t="s">
        <v>3220</v>
      </c>
      <c r="AC1448" s="10" t="s">
        <v>3221</v>
      </c>
      <c r="AD1448" s="10" t="s">
        <v>11135</v>
      </c>
      <c r="AE1448" s="10" t="s">
        <v>11136</v>
      </c>
      <c r="AF1448" s="15"/>
      <c r="AG1448" s="10"/>
      <c r="AH1448" s="10"/>
      <c r="AI1448" s="10"/>
      <c r="AJ1448" s="10"/>
      <c r="AK1448" s="10"/>
      <c r="AL1448" s="10" t="s">
        <v>2926</v>
      </c>
      <c r="AM1448" s="10"/>
      <c r="AN1448" s="10"/>
      <c r="AO1448" s="13" t="b">
        <v>0</v>
      </c>
      <c r="AP1448" s="10" t="s">
        <v>104</v>
      </c>
      <c r="AQ1448" s="10"/>
      <c r="AR1448" s="17"/>
      <c r="AS1448" s="17"/>
      <c r="AT1448" s="17"/>
      <c r="AU1448" s="17"/>
      <c r="AV1448" s="17"/>
      <c r="AW1448" s="10"/>
      <c r="AX1448" s="17"/>
      <c r="AY1448" s="18" t="s">
        <v>257</v>
      </c>
      <c r="AZ1448" s="10"/>
      <c r="BA1448" s="20" t="b">
        <v>0</v>
      </c>
      <c r="BB1448" s="10"/>
      <c r="BC1448" s="17" t="s">
        <v>257</v>
      </c>
      <c r="BD1448" s="17" t="s">
        <v>257</v>
      </c>
      <c r="BE1448" s="17" t="s">
        <v>257</v>
      </c>
      <c r="BF1448" s="17" t="s">
        <v>257</v>
      </c>
      <c r="BG1448" s="11">
        <f ca="1">IFERROR(__xludf.DUMMYFUNCTION("""COMPUTED_VALUE"""),46124)</f>
        <v>46124</v>
      </c>
      <c r="BH1448" s="17"/>
      <c r="BI1448" s="17"/>
      <c r="BJ1448" s="15"/>
      <c r="BK1448" s="15"/>
      <c r="BL1448" s="13" t="b">
        <v>0</v>
      </c>
      <c r="BM1448" s="10"/>
      <c r="BN1448" s="10" t="s">
        <v>223</v>
      </c>
      <c r="BO1448" s="11">
        <v>45904.28460648148</v>
      </c>
      <c r="BP1448" s="11">
        <v>45904.28460648148</v>
      </c>
      <c r="BQ1448" s="15"/>
      <c r="BR1448" s="15"/>
      <c r="BS1448" s="10"/>
      <c r="BT1448" s="10"/>
      <c r="BU1448" s="10"/>
      <c r="BV1448" s="10"/>
      <c r="BW1448" s="10"/>
      <c r="BX1448" s="10"/>
      <c r="BY1448" s="23"/>
      <c r="BZ1448" s="23"/>
      <c r="CA1448" s="23"/>
      <c r="CB1448" s="23"/>
      <c r="CC1448" s="23"/>
      <c r="CD1448" s="23"/>
      <c r="CE1448" s="23"/>
      <c r="CF1448" s="23"/>
      <c r="CG1448" s="23"/>
      <c r="CH1448" s="23"/>
      <c r="CI1448" s="23"/>
    </row>
    <row r="1449" spans="1:87" x14ac:dyDescent="0.3">
      <c r="A1449" s="9" t="s">
        <v>11137</v>
      </c>
      <c r="B1449" s="10" t="s">
        <v>11138</v>
      </c>
      <c r="C1449" s="11">
        <v>46124</v>
      </c>
      <c r="D1449" s="12">
        <v>8.3333333333333329E-2</v>
      </c>
      <c r="E1449" s="11">
        <v>46124.083333333336</v>
      </c>
      <c r="F1449" s="10" t="s">
        <v>3211</v>
      </c>
      <c r="G1449" s="13" t="b">
        <v>0</v>
      </c>
      <c r="H1449" s="10" t="s">
        <v>3212</v>
      </c>
      <c r="I1449" s="10" t="s">
        <v>3213</v>
      </c>
      <c r="J1449" s="13" t="b">
        <v>0</v>
      </c>
      <c r="K1449" s="13" t="b">
        <v>1</v>
      </c>
      <c r="L1449" s="10" t="s">
        <v>124</v>
      </c>
      <c r="M1449" s="10" t="s">
        <v>91</v>
      </c>
      <c r="N1449" s="10" t="s">
        <v>92</v>
      </c>
      <c r="O1449" s="10"/>
      <c r="P1449" s="10"/>
      <c r="Q1449" s="10"/>
      <c r="R1449" s="10"/>
      <c r="S1449" s="10"/>
      <c r="T1449" s="10"/>
      <c r="U1449" s="10" t="s">
        <v>3260</v>
      </c>
      <c r="V1449" s="10" t="s">
        <v>3318</v>
      </c>
      <c r="W1449" s="10" t="s">
        <v>3219</v>
      </c>
      <c r="X1449" s="10" t="s">
        <v>130</v>
      </c>
      <c r="Y1449" s="10" t="s">
        <v>130</v>
      </c>
      <c r="Z1449" s="10" t="s">
        <v>99</v>
      </c>
      <c r="AA1449" s="10" t="s">
        <v>131</v>
      </c>
      <c r="AB1449" s="10" t="s">
        <v>3220</v>
      </c>
      <c r="AC1449" s="10" t="s">
        <v>3221</v>
      </c>
      <c r="AD1449" s="10" t="s">
        <v>11139</v>
      </c>
      <c r="AE1449" s="10" t="s">
        <v>11140</v>
      </c>
      <c r="AF1449" s="15"/>
      <c r="AG1449" s="10"/>
      <c r="AH1449" s="10"/>
      <c r="AI1449" s="10"/>
      <c r="AJ1449" s="10"/>
      <c r="AK1449" s="10"/>
      <c r="AL1449" s="10" t="s">
        <v>2926</v>
      </c>
      <c r="AM1449" s="10"/>
      <c r="AN1449" s="10"/>
      <c r="AO1449" s="13" t="b">
        <v>0</v>
      </c>
      <c r="AP1449" s="10" t="s">
        <v>104</v>
      </c>
      <c r="AQ1449" s="10"/>
      <c r="AR1449" s="17"/>
      <c r="AS1449" s="17"/>
      <c r="AT1449" s="17"/>
      <c r="AU1449" s="17"/>
      <c r="AV1449" s="17"/>
      <c r="AW1449" s="10"/>
      <c r="AX1449" s="17"/>
      <c r="AY1449" s="18" t="s">
        <v>257</v>
      </c>
      <c r="AZ1449" s="10"/>
      <c r="BA1449" s="20" t="b">
        <v>0</v>
      </c>
      <c r="BB1449" s="10"/>
      <c r="BC1449" s="17" t="s">
        <v>257</v>
      </c>
      <c r="BD1449" s="17" t="s">
        <v>257</v>
      </c>
      <c r="BE1449" s="17" t="s">
        <v>257</v>
      </c>
      <c r="BF1449" s="17" t="s">
        <v>257</v>
      </c>
      <c r="BG1449" s="11">
        <f ca="1">IFERROR(__xludf.DUMMYFUNCTION("""COMPUTED_VALUE"""),46124)</f>
        <v>46124</v>
      </c>
      <c r="BH1449" s="17"/>
      <c r="BI1449" s="17"/>
      <c r="BJ1449" s="15"/>
      <c r="BK1449" s="15"/>
      <c r="BL1449" s="13" t="b">
        <v>0</v>
      </c>
      <c r="BM1449" s="10"/>
      <c r="BN1449" s="10" t="s">
        <v>223</v>
      </c>
      <c r="BO1449" s="11">
        <v>45904.28460648148</v>
      </c>
      <c r="BP1449" s="11">
        <v>45904.28460648148</v>
      </c>
      <c r="BQ1449" s="15"/>
      <c r="BR1449" s="15"/>
      <c r="BS1449" s="10"/>
      <c r="BT1449" s="10"/>
      <c r="BU1449" s="10"/>
      <c r="BV1449" s="10"/>
      <c r="BW1449" s="10"/>
      <c r="BX1449" s="10"/>
      <c r="BY1449" s="23"/>
      <c r="BZ1449" s="23"/>
      <c r="CA1449" s="23"/>
      <c r="CB1449" s="23"/>
      <c r="CC1449" s="23"/>
      <c r="CD1449" s="23"/>
      <c r="CE1449" s="23"/>
      <c r="CF1449" s="23"/>
      <c r="CG1449" s="23"/>
      <c r="CH1449" s="23"/>
      <c r="CI1449" s="23"/>
    </row>
    <row r="1450" spans="1:87" x14ac:dyDescent="0.3">
      <c r="A1450" s="9" t="s">
        <v>11141</v>
      </c>
      <c r="B1450" s="10" t="s">
        <v>11142</v>
      </c>
      <c r="C1450" s="11">
        <v>46124</v>
      </c>
      <c r="D1450" s="12">
        <v>8.3333333333333329E-2</v>
      </c>
      <c r="E1450" s="11">
        <v>46124.083333333336</v>
      </c>
      <c r="F1450" s="10" t="s">
        <v>3211</v>
      </c>
      <c r="G1450" s="13" t="b">
        <v>0</v>
      </c>
      <c r="H1450" s="10" t="s">
        <v>3212</v>
      </c>
      <c r="I1450" s="10" t="s">
        <v>3213</v>
      </c>
      <c r="J1450" s="13" t="b">
        <v>0</v>
      </c>
      <c r="K1450" s="13" t="b">
        <v>1</v>
      </c>
      <c r="L1450" s="10" t="s">
        <v>124</v>
      </c>
      <c r="M1450" s="10" t="s">
        <v>91</v>
      </c>
      <c r="N1450" s="10" t="s">
        <v>92</v>
      </c>
      <c r="O1450" s="10"/>
      <c r="P1450" s="10"/>
      <c r="Q1450" s="10"/>
      <c r="R1450" s="10"/>
      <c r="S1450" s="10"/>
      <c r="T1450" s="10"/>
      <c r="U1450" s="10" t="s">
        <v>3229</v>
      </c>
      <c r="V1450" s="10" t="s">
        <v>3451</v>
      </c>
      <c r="W1450" s="10" t="s">
        <v>3219</v>
      </c>
      <c r="X1450" s="10" t="s">
        <v>130</v>
      </c>
      <c r="Y1450" s="10" t="s">
        <v>130</v>
      </c>
      <c r="Z1450" s="10" t="s">
        <v>99</v>
      </c>
      <c r="AA1450" s="10" t="s">
        <v>131</v>
      </c>
      <c r="AB1450" s="10" t="s">
        <v>3220</v>
      </c>
      <c r="AC1450" s="10" t="s">
        <v>3221</v>
      </c>
      <c r="AD1450" s="10" t="s">
        <v>11143</v>
      </c>
      <c r="AE1450" s="10" t="s">
        <v>11144</v>
      </c>
      <c r="AF1450" s="15"/>
      <c r="AG1450" s="10"/>
      <c r="AH1450" s="10"/>
      <c r="AI1450" s="10"/>
      <c r="AJ1450" s="10"/>
      <c r="AK1450" s="10"/>
      <c r="AL1450" s="10" t="s">
        <v>2926</v>
      </c>
      <c r="AM1450" s="10"/>
      <c r="AN1450" s="10"/>
      <c r="AO1450" s="13" t="b">
        <v>0</v>
      </c>
      <c r="AP1450" s="10" t="s">
        <v>104</v>
      </c>
      <c r="AQ1450" s="10"/>
      <c r="AR1450" s="17"/>
      <c r="AS1450" s="17"/>
      <c r="AT1450" s="17"/>
      <c r="AU1450" s="17"/>
      <c r="AV1450" s="17"/>
      <c r="AW1450" s="10"/>
      <c r="AX1450" s="17"/>
      <c r="AY1450" s="18" t="s">
        <v>257</v>
      </c>
      <c r="AZ1450" s="10"/>
      <c r="BA1450" s="20" t="b">
        <v>0</v>
      </c>
      <c r="BB1450" s="10"/>
      <c r="BC1450" s="17" t="s">
        <v>257</v>
      </c>
      <c r="BD1450" s="17" t="s">
        <v>257</v>
      </c>
      <c r="BE1450" s="17" t="s">
        <v>257</v>
      </c>
      <c r="BF1450" s="17" t="s">
        <v>257</v>
      </c>
      <c r="BG1450" s="11">
        <f ca="1">IFERROR(__xludf.DUMMYFUNCTION("""COMPUTED_VALUE"""),46124)</f>
        <v>46124</v>
      </c>
      <c r="BH1450" s="17"/>
      <c r="BI1450" s="17"/>
      <c r="BJ1450" s="15"/>
      <c r="BK1450" s="15"/>
      <c r="BL1450" s="13" t="b">
        <v>0</v>
      </c>
      <c r="BM1450" s="10"/>
      <c r="BN1450" s="10" t="s">
        <v>223</v>
      </c>
      <c r="BO1450" s="11">
        <v>45904.28460648148</v>
      </c>
      <c r="BP1450" s="11">
        <v>45904.28460648148</v>
      </c>
      <c r="BQ1450" s="15"/>
      <c r="BR1450" s="15"/>
      <c r="BS1450" s="10"/>
      <c r="BT1450" s="10"/>
      <c r="BU1450" s="10"/>
      <c r="BV1450" s="10"/>
      <c r="BW1450" s="10"/>
      <c r="BX1450" s="10"/>
      <c r="BY1450" s="23"/>
      <c r="BZ1450" s="23"/>
      <c r="CA1450" s="23"/>
      <c r="CB1450" s="23"/>
      <c r="CC1450" s="23"/>
      <c r="CD1450" s="23"/>
      <c r="CE1450" s="23"/>
      <c r="CF1450" s="23"/>
      <c r="CG1450" s="23"/>
      <c r="CH1450" s="23"/>
      <c r="CI1450" s="23"/>
    </row>
    <row r="1451" spans="1:87" x14ac:dyDescent="0.3">
      <c r="A1451" s="9" t="s">
        <v>11145</v>
      </c>
      <c r="B1451" s="10" t="s">
        <v>11146</v>
      </c>
      <c r="C1451" s="11">
        <v>46124</v>
      </c>
      <c r="D1451" s="12">
        <v>8.3333333333333329E-2</v>
      </c>
      <c r="E1451" s="11">
        <v>46124.083333333336</v>
      </c>
      <c r="F1451" s="10" t="s">
        <v>3211</v>
      </c>
      <c r="G1451" s="13" t="b">
        <v>0</v>
      </c>
      <c r="H1451" s="10" t="s">
        <v>3212</v>
      </c>
      <c r="I1451" s="10" t="s">
        <v>3213</v>
      </c>
      <c r="J1451" s="13" t="b">
        <v>0</v>
      </c>
      <c r="K1451" s="13" t="b">
        <v>1</v>
      </c>
      <c r="L1451" s="10" t="s">
        <v>124</v>
      </c>
      <c r="M1451" s="10" t="s">
        <v>91</v>
      </c>
      <c r="N1451" s="10" t="s">
        <v>92</v>
      </c>
      <c r="O1451" s="10"/>
      <c r="P1451" s="10"/>
      <c r="Q1451" s="10"/>
      <c r="R1451" s="10"/>
      <c r="S1451" s="10"/>
      <c r="T1451" s="10"/>
      <c r="U1451" s="10" t="s">
        <v>3279</v>
      </c>
      <c r="V1451" s="10" t="s">
        <v>3270</v>
      </c>
      <c r="W1451" s="10" t="s">
        <v>3219</v>
      </c>
      <c r="X1451" s="10" t="s">
        <v>130</v>
      </c>
      <c r="Y1451" s="10" t="s">
        <v>130</v>
      </c>
      <c r="Z1451" s="10" t="s">
        <v>99</v>
      </c>
      <c r="AA1451" s="10" t="s">
        <v>131</v>
      </c>
      <c r="AB1451" s="10" t="s">
        <v>3220</v>
      </c>
      <c r="AC1451" s="10" t="s">
        <v>3221</v>
      </c>
      <c r="AD1451" s="10" t="s">
        <v>11147</v>
      </c>
      <c r="AE1451" s="10" t="s">
        <v>11148</v>
      </c>
      <c r="AF1451" s="15"/>
      <c r="AG1451" s="10"/>
      <c r="AH1451" s="10"/>
      <c r="AI1451" s="10"/>
      <c r="AJ1451" s="10"/>
      <c r="AK1451" s="10"/>
      <c r="AL1451" s="10" t="s">
        <v>2926</v>
      </c>
      <c r="AM1451" s="10"/>
      <c r="AN1451" s="10"/>
      <c r="AO1451" s="13" t="b">
        <v>0</v>
      </c>
      <c r="AP1451" s="10" t="s">
        <v>104</v>
      </c>
      <c r="AQ1451" s="10"/>
      <c r="AR1451" s="17"/>
      <c r="AS1451" s="17"/>
      <c r="AT1451" s="17"/>
      <c r="AU1451" s="17"/>
      <c r="AV1451" s="17"/>
      <c r="AW1451" s="10"/>
      <c r="AX1451" s="17"/>
      <c r="AY1451" s="18" t="s">
        <v>257</v>
      </c>
      <c r="AZ1451" s="10"/>
      <c r="BA1451" s="20" t="b">
        <v>0</v>
      </c>
      <c r="BB1451" s="10"/>
      <c r="BC1451" s="17" t="s">
        <v>257</v>
      </c>
      <c r="BD1451" s="17" t="s">
        <v>257</v>
      </c>
      <c r="BE1451" s="17" t="s">
        <v>257</v>
      </c>
      <c r="BF1451" s="17" t="s">
        <v>257</v>
      </c>
      <c r="BG1451" s="11">
        <f ca="1">IFERROR(__xludf.DUMMYFUNCTION("""COMPUTED_VALUE"""),46124)</f>
        <v>46124</v>
      </c>
      <c r="BH1451" s="17"/>
      <c r="BI1451" s="17"/>
      <c r="BJ1451" s="15"/>
      <c r="BK1451" s="15"/>
      <c r="BL1451" s="13" t="b">
        <v>0</v>
      </c>
      <c r="BM1451" s="10"/>
      <c r="BN1451" s="10" t="s">
        <v>223</v>
      </c>
      <c r="BO1451" s="11">
        <v>45904.28460648148</v>
      </c>
      <c r="BP1451" s="11">
        <v>45904.28460648148</v>
      </c>
      <c r="BQ1451" s="15"/>
      <c r="BR1451" s="15"/>
      <c r="BS1451" s="10"/>
      <c r="BT1451" s="10"/>
      <c r="BU1451" s="10"/>
      <c r="BV1451" s="10"/>
      <c r="BW1451" s="10"/>
      <c r="BX1451" s="10"/>
      <c r="BY1451" s="23"/>
      <c r="BZ1451" s="23"/>
      <c r="CA1451" s="23"/>
      <c r="CB1451" s="23"/>
      <c r="CC1451" s="23"/>
      <c r="CD1451" s="23"/>
      <c r="CE1451" s="23"/>
      <c r="CF1451" s="23"/>
      <c r="CG1451" s="23"/>
      <c r="CH1451" s="23"/>
      <c r="CI1451" s="23"/>
    </row>
    <row r="1452" spans="1:87" x14ac:dyDescent="0.3">
      <c r="A1452" s="9" t="s">
        <v>11149</v>
      </c>
      <c r="B1452" s="10" t="s">
        <v>11150</v>
      </c>
      <c r="C1452" s="11">
        <v>46131</v>
      </c>
      <c r="D1452" s="12">
        <v>8.3333333333333329E-2</v>
      </c>
      <c r="E1452" s="11">
        <v>46131.083333333336</v>
      </c>
      <c r="F1452" s="10" t="s">
        <v>3211</v>
      </c>
      <c r="G1452" s="13" t="b">
        <v>0</v>
      </c>
      <c r="H1452" s="10" t="s">
        <v>3212</v>
      </c>
      <c r="I1452" s="10" t="s">
        <v>3213</v>
      </c>
      <c r="J1452" s="13" t="b">
        <v>0</v>
      </c>
      <c r="K1452" s="13" t="b">
        <v>1</v>
      </c>
      <c r="L1452" s="10" t="s">
        <v>124</v>
      </c>
      <c r="M1452" s="10" t="s">
        <v>91</v>
      </c>
      <c r="N1452" s="10" t="s">
        <v>92</v>
      </c>
      <c r="O1452" s="10"/>
      <c r="P1452" s="10"/>
      <c r="Q1452" s="10"/>
      <c r="R1452" s="10"/>
      <c r="S1452" s="10"/>
      <c r="T1452" s="10"/>
      <c r="U1452" s="10" t="s">
        <v>3440</v>
      </c>
      <c r="V1452" s="10" t="s">
        <v>3279</v>
      </c>
      <c r="W1452" s="10" t="s">
        <v>3219</v>
      </c>
      <c r="X1452" s="10" t="s">
        <v>130</v>
      </c>
      <c r="Y1452" s="10" t="s">
        <v>130</v>
      </c>
      <c r="Z1452" s="10" t="s">
        <v>99</v>
      </c>
      <c r="AA1452" s="10" t="s">
        <v>131</v>
      </c>
      <c r="AB1452" s="10" t="s">
        <v>3220</v>
      </c>
      <c r="AC1452" s="10" t="s">
        <v>3221</v>
      </c>
      <c r="AD1452" s="10" t="s">
        <v>11151</v>
      </c>
      <c r="AE1452" s="10" t="s">
        <v>11152</v>
      </c>
      <c r="AF1452" s="15"/>
      <c r="AG1452" s="10"/>
      <c r="AH1452" s="10"/>
      <c r="AI1452" s="10"/>
      <c r="AJ1452" s="10"/>
      <c r="AK1452" s="10"/>
      <c r="AL1452" s="10" t="s">
        <v>2967</v>
      </c>
      <c r="AM1452" s="10"/>
      <c r="AN1452" s="10"/>
      <c r="AO1452" s="13" t="b">
        <v>0</v>
      </c>
      <c r="AP1452" s="10" t="s">
        <v>104</v>
      </c>
      <c r="AQ1452" s="10"/>
      <c r="AR1452" s="17"/>
      <c r="AS1452" s="17"/>
      <c r="AT1452" s="17"/>
      <c r="AU1452" s="17"/>
      <c r="AV1452" s="17"/>
      <c r="AW1452" s="10"/>
      <c r="AX1452" s="17"/>
      <c r="AY1452" s="18" t="s">
        <v>257</v>
      </c>
      <c r="AZ1452" s="10"/>
      <c r="BA1452" s="20" t="b">
        <v>0</v>
      </c>
      <c r="BB1452" s="10"/>
      <c r="BC1452" s="17" t="s">
        <v>257</v>
      </c>
      <c r="BD1452" s="17" t="s">
        <v>257</v>
      </c>
      <c r="BE1452" s="17" t="s">
        <v>257</v>
      </c>
      <c r="BF1452" s="17" t="s">
        <v>257</v>
      </c>
      <c r="BG1452" s="11">
        <f ca="1">IFERROR(__xludf.DUMMYFUNCTION("""COMPUTED_VALUE"""),46131)</f>
        <v>46131</v>
      </c>
      <c r="BH1452" s="17"/>
      <c r="BI1452" s="17"/>
      <c r="BJ1452" s="15"/>
      <c r="BK1452" s="15"/>
      <c r="BL1452" s="13" t="b">
        <v>0</v>
      </c>
      <c r="BM1452" s="10"/>
      <c r="BN1452" s="10" t="s">
        <v>223</v>
      </c>
      <c r="BO1452" s="11">
        <v>45904.28460648148</v>
      </c>
      <c r="BP1452" s="11">
        <v>45904.28460648148</v>
      </c>
      <c r="BQ1452" s="15"/>
      <c r="BR1452" s="15"/>
      <c r="BS1452" s="10"/>
      <c r="BT1452" s="10"/>
      <c r="BU1452" s="10"/>
      <c r="BV1452" s="10"/>
      <c r="BW1452" s="10"/>
      <c r="BX1452" s="10"/>
      <c r="BY1452" s="23"/>
      <c r="BZ1452" s="23"/>
      <c r="CA1452" s="23"/>
      <c r="CB1452" s="23"/>
      <c r="CC1452" s="23"/>
      <c r="CD1452" s="23"/>
      <c r="CE1452" s="23"/>
      <c r="CF1452" s="23"/>
      <c r="CG1452" s="23"/>
      <c r="CH1452" s="23"/>
      <c r="CI1452" s="23"/>
    </row>
    <row r="1453" spans="1:87" x14ac:dyDescent="0.3">
      <c r="A1453" s="9" t="s">
        <v>11153</v>
      </c>
      <c r="B1453" s="10" t="s">
        <v>11154</v>
      </c>
      <c r="C1453" s="11">
        <v>46131</v>
      </c>
      <c r="D1453" s="12">
        <v>8.3333333333333329E-2</v>
      </c>
      <c r="E1453" s="11">
        <v>46131.083333333336</v>
      </c>
      <c r="F1453" s="10" t="s">
        <v>3211</v>
      </c>
      <c r="G1453" s="13" t="b">
        <v>0</v>
      </c>
      <c r="H1453" s="10" t="s">
        <v>3212</v>
      </c>
      <c r="I1453" s="10" t="s">
        <v>3213</v>
      </c>
      <c r="J1453" s="13" t="b">
        <v>0</v>
      </c>
      <c r="K1453" s="13" t="b">
        <v>1</v>
      </c>
      <c r="L1453" s="10" t="s">
        <v>124</v>
      </c>
      <c r="M1453" s="10" t="s">
        <v>91</v>
      </c>
      <c r="N1453" s="10" t="s">
        <v>92</v>
      </c>
      <c r="O1453" s="10"/>
      <c r="P1453" s="10"/>
      <c r="Q1453" s="10"/>
      <c r="R1453" s="10"/>
      <c r="S1453" s="10"/>
      <c r="T1453" s="10"/>
      <c r="U1453" s="10" t="s">
        <v>3278</v>
      </c>
      <c r="V1453" s="10" t="s">
        <v>3239</v>
      </c>
      <c r="W1453" s="10" t="s">
        <v>3219</v>
      </c>
      <c r="X1453" s="10" t="s">
        <v>130</v>
      </c>
      <c r="Y1453" s="10" t="s">
        <v>130</v>
      </c>
      <c r="Z1453" s="10" t="s">
        <v>99</v>
      </c>
      <c r="AA1453" s="10" t="s">
        <v>131</v>
      </c>
      <c r="AB1453" s="10" t="s">
        <v>3220</v>
      </c>
      <c r="AC1453" s="10" t="s">
        <v>3221</v>
      </c>
      <c r="AD1453" s="10" t="s">
        <v>11155</v>
      </c>
      <c r="AE1453" s="10" t="s">
        <v>11156</v>
      </c>
      <c r="AF1453" s="15"/>
      <c r="AG1453" s="10"/>
      <c r="AH1453" s="10"/>
      <c r="AI1453" s="10"/>
      <c r="AJ1453" s="10"/>
      <c r="AK1453" s="10"/>
      <c r="AL1453" s="10" t="s">
        <v>2967</v>
      </c>
      <c r="AM1453" s="10"/>
      <c r="AN1453" s="10"/>
      <c r="AO1453" s="13" t="b">
        <v>0</v>
      </c>
      <c r="AP1453" s="10" t="s">
        <v>104</v>
      </c>
      <c r="AQ1453" s="10"/>
      <c r="AR1453" s="17"/>
      <c r="AS1453" s="17"/>
      <c r="AT1453" s="17"/>
      <c r="AU1453" s="17"/>
      <c r="AV1453" s="17"/>
      <c r="AW1453" s="10"/>
      <c r="AX1453" s="17"/>
      <c r="AY1453" s="18" t="s">
        <v>257</v>
      </c>
      <c r="AZ1453" s="10"/>
      <c r="BA1453" s="20" t="b">
        <v>0</v>
      </c>
      <c r="BB1453" s="10"/>
      <c r="BC1453" s="17" t="s">
        <v>257</v>
      </c>
      <c r="BD1453" s="17" t="s">
        <v>257</v>
      </c>
      <c r="BE1453" s="17" t="s">
        <v>257</v>
      </c>
      <c r="BF1453" s="17" t="s">
        <v>257</v>
      </c>
      <c r="BG1453" s="11">
        <f ca="1">IFERROR(__xludf.DUMMYFUNCTION("""COMPUTED_VALUE"""),46131)</f>
        <v>46131</v>
      </c>
      <c r="BH1453" s="17"/>
      <c r="BI1453" s="17"/>
      <c r="BJ1453" s="15"/>
      <c r="BK1453" s="15"/>
      <c r="BL1453" s="13" t="b">
        <v>0</v>
      </c>
      <c r="BM1453" s="10"/>
      <c r="BN1453" s="10" t="s">
        <v>223</v>
      </c>
      <c r="BO1453" s="11">
        <v>45904.28460648148</v>
      </c>
      <c r="BP1453" s="11">
        <v>45904.28460648148</v>
      </c>
      <c r="BQ1453" s="15"/>
      <c r="BR1453" s="15"/>
      <c r="BS1453" s="10"/>
      <c r="BT1453" s="10"/>
      <c r="BU1453" s="10"/>
      <c r="BV1453" s="10"/>
      <c r="BW1453" s="10"/>
      <c r="BX1453" s="10"/>
      <c r="BY1453" s="23"/>
      <c r="BZ1453" s="23"/>
      <c r="CA1453" s="23"/>
      <c r="CB1453" s="23"/>
      <c r="CC1453" s="23"/>
      <c r="CD1453" s="23"/>
      <c r="CE1453" s="23"/>
      <c r="CF1453" s="23"/>
      <c r="CG1453" s="23"/>
      <c r="CH1453" s="23"/>
      <c r="CI1453" s="23"/>
    </row>
    <row r="1454" spans="1:87" x14ac:dyDescent="0.3">
      <c r="A1454" s="9" t="s">
        <v>11157</v>
      </c>
      <c r="B1454" s="10" t="s">
        <v>11158</v>
      </c>
      <c r="C1454" s="11">
        <v>46131</v>
      </c>
      <c r="D1454" s="12">
        <v>8.3333333333333329E-2</v>
      </c>
      <c r="E1454" s="11">
        <v>46131.083333333336</v>
      </c>
      <c r="F1454" s="10" t="s">
        <v>3211</v>
      </c>
      <c r="G1454" s="13" t="b">
        <v>0</v>
      </c>
      <c r="H1454" s="10" t="s">
        <v>3212</v>
      </c>
      <c r="I1454" s="10" t="s">
        <v>3213</v>
      </c>
      <c r="J1454" s="13" t="b">
        <v>0</v>
      </c>
      <c r="K1454" s="13" t="b">
        <v>1</v>
      </c>
      <c r="L1454" s="10" t="s">
        <v>124</v>
      </c>
      <c r="M1454" s="10" t="s">
        <v>91</v>
      </c>
      <c r="N1454" s="10" t="s">
        <v>92</v>
      </c>
      <c r="O1454" s="10"/>
      <c r="P1454" s="10"/>
      <c r="Q1454" s="10"/>
      <c r="R1454" s="10"/>
      <c r="S1454" s="10"/>
      <c r="T1454" s="10"/>
      <c r="U1454" s="10" t="s">
        <v>3259</v>
      </c>
      <c r="V1454" s="10" t="s">
        <v>3230</v>
      </c>
      <c r="W1454" s="10" t="s">
        <v>3219</v>
      </c>
      <c r="X1454" s="10" t="s">
        <v>130</v>
      </c>
      <c r="Y1454" s="10" t="s">
        <v>130</v>
      </c>
      <c r="Z1454" s="10" t="s">
        <v>99</v>
      </c>
      <c r="AA1454" s="10" t="s">
        <v>131</v>
      </c>
      <c r="AB1454" s="10" t="s">
        <v>3220</v>
      </c>
      <c r="AC1454" s="10" t="s">
        <v>3221</v>
      </c>
      <c r="AD1454" s="10" t="s">
        <v>11159</v>
      </c>
      <c r="AE1454" s="10" t="s">
        <v>11160</v>
      </c>
      <c r="AF1454" s="15"/>
      <c r="AG1454" s="10"/>
      <c r="AH1454" s="10"/>
      <c r="AI1454" s="10"/>
      <c r="AJ1454" s="10"/>
      <c r="AK1454" s="10"/>
      <c r="AL1454" s="10" t="s">
        <v>2967</v>
      </c>
      <c r="AM1454" s="10"/>
      <c r="AN1454" s="10"/>
      <c r="AO1454" s="13" t="b">
        <v>0</v>
      </c>
      <c r="AP1454" s="10" t="s">
        <v>104</v>
      </c>
      <c r="AQ1454" s="10"/>
      <c r="AR1454" s="17"/>
      <c r="AS1454" s="17"/>
      <c r="AT1454" s="17"/>
      <c r="AU1454" s="17"/>
      <c r="AV1454" s="17"/>
      <c r="AW1454" s="10"/>
      <c r="AX1454" s="17"/>
      <c r="AY1454" s="18" t="s">
        <v>257</v>
      </c>
      <c r="AZ1454" s="10"/>
      <c r="BA1454" s="20" t="b">
        <v>0</v>
      </c>
      <c r="BB1454" s="10"/>
      <c r="BC1454" s="17" t="s">
        <v>257</v>
      </c>
      <c r="BD1454" s="17" t="s">
        <v>257</v>
      </c>
      <c r="BE1454" s="17" t="s">
        <v>257</v>
      </c>
      <c r="BF1454" s="17" t="s">
        <v>257</v>
      </c>
      <c r="BG1454" s="11">
        <f ca="1">IFERROR(__xludf.DUMMYFUNCTION("""COMPUTED_VALUE"""),46131)</f>
        <v>46131</v>
      </c>
      <c r="BH1454" s="17"/>
      <c r="BI1454" s="17"/>
      <c r="BJ1454" s="15"/>
      <c r="BK1454" s="15"/>
      <c r="BL1454" s="13" t="b">
        <v>0</v>
      </c>
      <c r="BM1454" s="10"/>
      <c r="BN1454" s="10" t="s">
        <v>223</v>
      </c>
      <c r="BO1454" s="11">
        <v>45904.28460648148</v>
      </c>
      <c r="BP1454" s="11">
        <v>45904.28460648148</v>
      </c>
      <c r="BQ1454" s="15"/>
      <c r="BR1454" s="15"/>
      <c r="BS1454" s="10"/>
      <c r="BT1454" s="10"/>
      <c r="BU1454" s="10"/>
      <c r="BV1454" s="10"/>
      <c r="BW1454" s="10"/>
      <c r="BX1454" s="10"/>
      <c r="BY1454" s="23"/>
      <c r="BZ1454" s="23"/>
      <c r="CA1454" s="23"/>
      <c r="CB1454" s="23"/>
      <c r="CC1454" s="23"/>
      <c r="CD1454" s="23"/>
      <c r="CE1454" s="23"/>
      <c r="CF1454" s="23"/>
      <c r="CG1454" s="23"/>
      <c r="CH1454" s="23"/>
      <c r="CI1454" s="23"/>
    </row>
    <row r="1455" spans="1:87" x14ac:dyDescent="0.3">
      <c r="A1455" s="9" t="s">
        <v>11161</v>
      </c>
      <c r="B1455" s="10" t="s">
        <v>11162</v>
      </c>
      <c r="C1455" s="11">
        <v>46131</v>
      </c>
      <c r="D1455" s="12">
        <v>8.3333333333333329E-2</v>
      </c>
      <c r="E1455" s="11">
        <v>46131.083333333336</v>
      </c>
      <c r="F1455" s="10" t="s">
        <v>3211</v>
      </c>
      <c r="G1455" s="13" t="b">
        <v>0</v>
      </c>
      <c r="H1455" s="10" t="s">
        <v>3212</v>
      </c>
      <c r="I1455" s="10" t="s">
        <v>3213</v>
      </c>
      <c r="J1455" s="13" t="b">
        <v>0</v>
      </c>
      <c r="K1455" s="13" t="b">
        <v>1</v>
      </c>
      <c r="L1455" s="10" t="s">
        <v>124</v>
      </c>
      <c r="M1455" s="10" t="s">
        <v>91</v>
      </c>
      <c r="N1455" s="10" t="s">
        <v>92</v>
      </c>
      <c r="O1455" s="10"/>
      <c r="P1455" s="10"/>
      <c r="Q1455" s="10"/>
      <c r="R1455" s="10"/>
      <c r="S1455" s="10"/>
      <c r="T1455" s="10"/>
      <c r="U1455" s="10" t="s">
        <v>3218</v>
      </c>
      <c r="V1455" s="10" t="s">
        <v>3240</v>
      </c>
      <c r="W1455" s="10" t="s">
        <v>3219</v>
      </c>
      <c r="X1455" s="10" t="s">
        <v>130</v>
      </c>
      <c r="Y1455" s="10" t="s">
        <v>130</v>
      </c>
      <c r="Z1455" s="10" t="s">
        <v>99</v>
      </c>
      <c r="AA1455" s="10" t="s">
        <v>131</v>
      </c>
      <c r="AB1455" s="10" t="s">
        <v>3220</v>
      </c>
      <c r="AC1455" s="10" t="s">
        <v>3221</v>
      </c>
      <c r="AD1455" s="10" t="s">
        <v>11163</v>
      </c>
      <c r="AE1455" s="10" t="s">
        <v>11164</v>
      </c>
      <c r="AF1455" s="15"/>
      <c r="AG1455" s="10"/>
      <c r="AH1455" s="10"/>
      <c r="AI1455" s="10"/>
      <c r="AJ1455" s="10"/>
      <c r="AK1455" s="10"/>
      <c r="AL1455" s="10" t="s">
        <v>2967</v>
      </c>
      <c r="AM1455" s="10"/>
      <c r="AN1455" s="10"/>
      <c r="AO1455" s="13" t="b">
        <v>0</v>
      </c>
      <c r="AP1455" s="10" t="s">
        <v>104</v>
      </c>
      <c r="AQ1455" s="10"/>
      <c r="AR1455" s="17"/>
      <c r="AS1455" s="17"/>
      <c r="AT1455" s="17"/>
      <c r="AU1455" s="17"/>
      <c r="AV1455" s="17"/>
      <c r="AW1455" s="10"/>
      <c r="AX1455" s="17"/>
      <c r="AY1455" s="18" t="s">
        <v>257</v>
      </c>
      <c r="AZ1455" s="10"/>
      <c r="BA1455" s="20" t="b">
        <v>0</v>
      </c>
      <c r="BB1455" s="10"/>
      <c r="BC1455" s="17" t="s">
        <v>257</v>
      </c>
      <c r="BD1455" s="17" t="s">
        <v>257</v>
      </c>
      <c r="BE1455" s="17" t="s">
        <v>257</v>
      </c>
      <c r="BF1455" s="17" t="s">
        <v>257</v>
      </c>
      <c r="BG1455" s="11">
        <f ca="1">IFERROR(__xludf.DUMMYFUNCTION("""COMPUTED_VALUE"""),46131)</f>
        <v>46131</v>
      </c>
      <c r="BH1455" s="17"/>
      <c r="BI1455" s="17"/>
      <c r="BJ1455" s="15"/>
      <c r="BK1455" s="15"/>
      <c r="BL1455" s="13" t="b">
        <v>0</v>
      </c>
      <c r="BM1455" s="10"/>
      <c r="BN1455" s="10" t="s">
        <v>223</v>
      </c>
      <c r="BO1455" s="11">
        <v>45904.28460648148</v>
      </c>
      <c r="BP1455" s="11">
        <v>45904.28460648148</v>
      </c>
      <c r="BQ1455" s="15"/>
      <c r="BR1455" s="15"/>
      <c r="BS1455" s="10"/>
      <c r="BT1455" s="10"/>
      <c r="BU1455" s="10"/>
      <c r="BV1455" s="10"/>
      <c r="BW1455" s="10"/>
      <c r="BX1455" s="10"/>
      <c r="BY1455" s="23"/>
      <c r="BZ1455" s="23"/>
      <c r="CA1455" s="23"/>
      <c r="CB1455" s="23"/>
      <c r="CC1455" s="23"/>
      <c r="CD1455" s="23"/>
      <c r="CE1455" s="23"/>
      <c r="CF1455" s="23"/>
      <c r="CG1455" s="23"/>
      <c r="CH1455" s="23"/>
      <c r="CI1455" s="23"/>
    </row>
    <row r="1456" spans="1:87" x14ac:dyDescent="0.3">
      <c r="A1456" s="9" t="s">
        <v>11165</v>
      </c>
      <c r="B1456" s="10" t="s">
        <v>11166</v>
      </c>
      <c r="C1456" s="11">
        <v>46131</v>
      </c>
      <c r="D1456" s="12">
        <v>8.3333333333333329E-2</v>
      </c>
      <c r="E1456" s="11">
        <v>46131.083333333336</v>
      </c>
      <c r="F1456" s="10" t="s">
        <v>3211</v>
      </c>
      <c r="G1456" s="13" t="b">
        <v>0</v>
      </c>
      <c r="H1456" s="10" t="s">
        <v>3212</v>
      </c>
      <c r="I1456" s="10" t="s">
        <v>3213</v>
      </c>
      <c r="J1456" s="13" t="b">
        <v>0</v>
      </c>
      <c r="K1456" s="13" t="b">
        <v>1</v>
      </c>
      <c r="L1456" s="10" t="s">
        <v>124</v>
      </c>
      <c r="M1456" s="10" t="s">
        <v>91</v>
      </c>
      <c r="N1456" s="10" t="s">
        <v>92</v>
      </c>
      <c r="O1456" s="10"/>
      <c r="P1456" s="10"/>
      <c r="Q1456" s="10"/>
      <c r="R1456" s="10"/>
      <c r="S1456" s="10"/>
      <c r="T1456" s="10"/>
      <c r="U1456" s="10" t="s">
        <v>3318</v>
      </c>
      <c r="V1456" s="10" t="s">
        <v>3250</v>
      </c>
      <c r="W1456" s="10" t="s">
        <v>3219</v>
      </c>
      <c r="X1456" s="10" t="s">
        <v>130</v>
      </c>
      <c r="Y1456" s="10" t="s">
        <v>130</v>
      </c>
      <c r="Z1456" s="10" t="s">
        <v>99</v>
      </c>
      <c r="AA1456" s="10" t="s">
        <v>131</v>
      </c>
      <c r="AB1456" s="10" t="s">
        <v>3220</v>
      </c>
      <c r="AC1456" s="10" t="s">
        <v>3221</v>
      </c>
      <c r="AD1456" s="10" t="s">
        <v>11167</v>
      </c>
      <c r="AE1456" s="10" t="s">
        <v>11168</v>
      </c>
      <c r="AF1456" s="15"/>
      <c r="AG1456" s="10"/>
      <c r="AH1456" s="10"/>
      <c r="AI1456" s="10"/>
      <c r="AJ1456" s="10"/>
      <c r="AK1456" s="10"/>
      <c r="AL1456" s="10" t="s">
        <v>2967</v>
      </c>
      <c r="AM1456" s="10"/>
      <c r="AN1456" s="10"/>
      <c r="AO1456" s="13" t="b">
        <v>0</v>
      </c>
      <c r="AP1456" s="10" t="s">
        <v>104</v>
      </c>
      <c r="AQ1456" s="10"/>
      <c r="AR1456" s="17"/>
      <c r="AS1456" s="17"/>
      <c r="AT1456" s="17"/>
      <c r="AU1456" s="17"/>
      <c r="AV1456" s="17"/>
      <c r="AW1456" s="10"/>
      <c r="AX1456" s="17"/>
      <c r="AY1456" s="18" t="s">
        <v>257</v>
      </c>
      <c r="AZ1456" s="10"/>
      <c r="BA1456" s="20" t="b">
        <v>0</v>
      </c>
      <c r="BB1456" s="10"/>
      <c r="BC1456" s="17" t="s">
        <v>257</v>
      </c>
      <c r="BD1456" s="17" t="s">
        <v>257</v>
      </c>
      <c r="BE1456" s="17" t="s">
        <v>257</v>
      </c>
      <c r="BF1456" s="17" t="s">
        <v>257</v>
      </c>
      <c r="BG1456" s="11">
        <f ca="1">IFERROR(__xludf.DUMMYFUNCTION("""COMPUTED_VALUE"""),46131)</f>
        <v>46131</v>
      </c>
      <c r="BH1456" s="17"/>
      <c r="BI1456" s="17"/>
      <c r="BJ1456" s="15"/>
      <c r="BK1456" s="15"/>
      <c r="BL1456" s="13" t="b">
        <v>0</v>
      </c>
      <c r="BM1456" s="10"/>
      <c r="BN1456" s="10" t="s">
        <v>223</v>
      </c>
      <c r="BO1456" s="11">
        <v>45904.28460648148</v>
      </c>
      <c r="BP1456" s="11">
        <v>45904.28460648148</v>
      </c>
      <c r="BQ1456" s="15"/>
      <c r="BR1456" s="15"/>
      <c r="BS1456" s="10"/>
      <c r="BT1456" s="10"/>
      <c r="BU1456" s="10"/>
      <c r="BV1456" s="10"/>
      <c r="BW1456" s="10"/>
      <c r="BX1456" s="10"/>
      <c r="BY1456" s="23"/>
      <c r="BZ1456" s="23"/>
      <c r="CA1456" s="23"/>
      <c r="CB1456" s="23"/>
      <c r="CC1456" s="23"/>
      <c r="CD1456" s="23"/>
      <c r="CE1456" s="23"/>
      <c r="CF1456" s="23"/>
      <c r="CG1456" s="23"/>
      <c r="CH1456" s="23"/>
      <c r="CI1456" s="23"/>
    </row>
    <row r="1457" spans="1:87" x14ac:dyDescent="0.3">
      <c r="A1457" s="9" t="s">
        <v>11169</v>
      </c>
      <c r="B1457" s="10" t="s">
        <v>11170</v>
      </c>
      <c r="C1457" s="11">
        <v>46131</v>
      </c>
      <c r="D1457" s="12">
        <v>8.3333333333333329E-2</v>
      </c>
      <c r="E1457" s="11">
        <v>46131.083333333336</v>
      </c>
      <c r="F1457" s="10" t="s">
        <v>3211</v>
      </c>
      <c r="G1457" s="13" t="b">
        <v>0</v>
      </c>
      <c r="H1457" s="10" t="s">
        <v>3212</v>
      </c>
      <c r="I1457" s="10" t="s">
        <v>3213</v>
      </c>
      <c r="J1457" s="13" t="b">
        <v>0</v>
      </c>
      <c r="K1457" s="13" t="b">
        <v>1</v>
      </c>
      <c r="L1457" s="10" t="s">
        <v>124</v>
      </c>
      <c r="M1457" s="10" t="s">
        <v>91</v>
      </c>
      <c r="N1457" s="10" t="s">
        <v>92</v>
      </c>
      <c r="O1457" s="10"/>
      <c r="P1457" s="10"/>
      <c r="Q1457" s="10"/>
      <c r="R1457" s="10"/>
      <c r="S1457" s="10"/>
      <c r="T1457" s="10"/>
      <c r="U1457" s="10" t="s">
        <v>3451</v>
      </c>
      <c r="V1457" s="10" t="s">
        <v>3217</v>
      </c>
      <c r="W1457" s="10" t="s">
        <v>3219</v>
      </c>
      <c r="X1457" s="10" t="s">
        <v>130</v>
      </c>
      <c r="Y1457" s="10" t="s">
        <v>130</v>
      </c>
      <c r="Z1457" s="10" t="s">
        <v>99</v>
      </c>
      <c r="AA1457" s="10" t="s">
        <v>131</v>
      </c>
      <c r="AB1457" s="10" t="s">
        <v>3220</v>
      </c>
      <c r="AC1457" s="10" t="s">
        <v>3221</v>
      </c>
      <c r="AD1457" s="10" t="s">
        <v>11171</v>
      </c>
      <c r="AE1457" s="10" t="s">
        <v>11172</v>
      </c>
      <c r="AF1457" s="15"/>
      <c r="AG1457" s="10"/>
      <c r="AH1457" s="10"/>
      <c r="AI1457" s="10"/>
      <c r="AJ1457" s="10"/>
      <c r="AK1457" s="10"/>
      <c r="AL1457" s="10" t="s">
        <v>2967</v>
      </c>
      <c r="AM1457" s="10"/>
      <c r="AN1457" s="10"/>
      <c r="AO1457" s="13" t="b">
        <v>0</v>
      </c>
      <c r="AP1457" s="10" t="s">
        <v>104</v>
      </c>
      <c r="AQ1457" s="10"/>
      <c r="AR1457" s="17"/>
      <c r="AS1457" s="17"/>
      <c r="AT1457" s="17"/>
      <c r="AU1457" s="17"/>
      <c r="AV1457" s="17"/>
      <c r="AW1457" s="10"/>
      <c r="AX1457" s="17"/>
      <c r="AY1457" s="18" t="s">
        <v>257</v>
      </c>
      <c r="AZ1457" s="10"/>
      <c r="BA1457" s="20" t="b">
        <v>0</v>
      </c>
      <c r="BB1457" s="10"/>
      <c r="BC1457" s="17" t="s">
        <v>257</v>
      </c>
      <c r="BD1457" s="17" t="s">
        <v>257</v>
      </c>
      <c r="BE1457" s="17" t="s">
        <v>257</v>
      </c>
      <c r="BF1457" s="17" t="s">
        <v>257</v>
      </c>
      <c r="BG1457" s="11">
        <f ca="1">IFERROR(__xludf.DUMMYFUNCTION("""COMPUTED_VALUE"""),46131)</f>
        <v>46131</v>
      </c>
      <c r="BH1457" s="17"/>
      <c r="BI1457" s="17"/>
      <c r="BJ1457" s="15"/>
      <c r="BK1457" s="15"/>
      <c r="BL1457" s="13" t="b">
        <v>0</v>
      </c>
      <c r="BM1457" s="10"/>
      <c r="BN1457" s="10" t="s">
        <v>223</v>
      </c>
      <c r="BO1457" s="11">
        <v>45904.28460648148</v>
      </c>
      <c r="BP1457" s="11">
        <v>45904.28460648148</v>
      </c>
      <c r="BQ1457" s="15"/>
      <c r="BR1457" s="15"/>
      <c r="BS1457" s="10"/>
      <c r="BT1457" s="10"/>
      <c r="BU1457" s="10"/>
      <c r="BV1457" s="10"/>
      <c r="BW1457" s="10"/>
      <c r="BX1457" s="10"/>
      <c r="BY1457" s="23"/>
      <c r="BZ1457" s="23"/>
      <c r="CA1457" s="23"/>
      <c r="CB1457" s="23"/>
      <c r="CC1457" s="23"/>
      <c r="CD1457" s="23"/>
      <c r="CE1457" s="23"/>
      <c r="CF1457" s="23"/>
      <c r="CG1457" s="23"/>
      <c r="CH1457" s="23"/>
      <c r="CI1457" s="23"/>
    </row>
    <row r="1458" spans="1:87" x14ac:dyDescent="0.3">
      <c r="A1458" s="9" t="s">
        <v>11173</v>
      </c>
      <c r="B1458" s="10" t="s">
        <v>11174</v>
      </c>
      <c r="C1458" s="11">
        <v>46131</v>
      </c>
      <c r="D1458" s="12">
        <v>8.3333333333333329E-2</v>
      </c>
      <c r="E1458" s="11">
        <v>46131.083333333336</v>
      </c>
      <c r="F1458" s="10" t="s">
        <v>3211</v>
      </c>
      <c r="G1458" s="13" t="b">
        <v>0</v>
      </c>
      <c r="H1458" s="10" t="s">
        <v>3212</v>
      </c>
      <c r="I1458" s="10" t="s">
        <v>3213</v>
      </c>
      <c r="J1458" s="13" t="b">
        <v>0</v>
      </c>
      <c r="K1458" s="13" t="b">
        <v>1</v>
      </c>
      <c r="L1458" s="10" t="s">
        <v>124</v>
      </c>
      <c r="M1458" s="10" t="s">
        <v>91</v>
      </c>
      <c r="N1458" s="10" t="s">
        <v>92</v>
      </c>
      <c r="O1458" s="10"/>
      <c r="P1458" s="10"/>
      <c r="Q1458" s="10"/>
      <c r="R1458" s="10"/>
      <c r="S1458" s="10"/>
      <c r="T1458" s="10"/>
      <c r="U1458" s="10" t="s">
        <v>3229</v>
      </c>
      <c r="V1458" s="10" t="s">
        <v>3308</v>
      </c>
      <c r="W1458" s="10" t="s">
        <v>3219</v>
      </c>
      <c r="X1458" s="10" t="s">
        <v>130</v>
      </c>
      <c r="Y1458" s="10" t="s">
        <v>130</v>
      </c>
      <c r="Z1458" s="10" t="s">
        <v>99</v>
      </c>
      <c r="AA1458" s="10" t="s">
        <v>131</v>
      </c>
      <c r="AB1458" s="10" t="s">
        <v>3220</v>
      </c>
      <c r="AC1458" s="10" t="s">
        <v>3221</v>
      </c>
      <c r="AD1458" s="10" t="s">
        <v>11175</v>
      </c>
      <c r="AE1458" s="10" t="s">
        <v>11176</v>
      </c>
      <c r="AF1458" s="15"/>
      <c r="AG1458" s="10"/>
      <c r="AH1458" s="10"/>
      <c r="AI1458" s="10"/>
      <c r="AJ1458" s="10"/>
      <c r="AK1458" s="10"/>
      <c r="AL1458" s="10" t="s">
        <v>2967</v>
      </c>
      <c r="AM1458" s="10"/>
      <c r="AN1458" s="10"/>
      <c r="AO1458" s="13" t="b">
        <v>0</v>
      </c>
      <c r="AP1458" s="10" t="s">
        <v>104</v>
      </c>
      <c r="AQ1458" s="10"/>
      <c r="AR1458" s="17"/>
      <c r="AS1458" s="17"/>
      <c r="AT1458" s="17"/>
      <c r="AU1458" s="17"/>
      <c r="AV1458" s="17"/>
      <c r="AW1458" s="10"/>
      <c r="AX1458" s="17"/>
      <c r="AY1458" s="18" t="s">
        <v>257</v>
      </c>
      <c r="AZ1458" s="10"/>
      <c r="BA1458" s="20" t="b">
        <v>0</v>
      </c>
      <c r="BB1458" s="10"/>
      <c r="BC1458" s="17" t="s">
        <v>257</v>
      </c>
      <c r="BD1458" s="17" t="s">
        <v>257</v>
      </c>
      <c r="BE1458" s="17" t="s">
        <v>257</v>
      </c>
      <c r="BF1458" s="17" t="s">
        <v>257</v>
      </c>
      <c r="BG1458" s="11">
        <f ca="1">IFERROR(__xludf.DUMMYFUNCTION("""COMPUTED_VALUE"""),46131)</f>
        <v>46131</v>
      </c>
      <c r="BH1458" s="17"/>
      <c r="BI1458" s="17"/>
      <c r="BJ1458" s="15"/>
      <c r="BK1458" s="15"/>
      <c r="BL1458" s="13" t="b">
        <v>0</v>
      </c>
      <c r="BM1458" s="10"/>
      <c r="BN1458" s="10" t="s">
        <v>223</v>
      </c>
      <c r="BO1458" s="11">
        <v>45904.28460648148</v>
      </c>
      <c r="BP1458" s="11">
        <v>45904.28460648148</v>
      </c>
      <c r="BQ1458" s="15"/>
      <c r="BR1458" s="15"/>
      <c r="BS1458" s="10"/>
      <c r="BT1458" s="10"/>
      <c r="BU1458" s="10"/>
      <c r="BV1458" s="10"/>
      <c r="BW1458" s="10"/>
      <c r="BX1458" s="10"/>
      <c r="BY1458" s="23"/>
      <c r="BZ1458" s="23"/>
      <c r="CA1458" s="23"/>
      <c r="CB1458" s="23"/>
      <c r="CC1458" s="23"/>
      <c r="CD1458" s="23"/>
      <c r="CE1458" s="23"/>
      <c r="CF1458" s="23"/>
      <c r="CG1458" s="23"/>
      <c r="CH1458" s="23"/>
      <c r="CI1458" s="23"/>
    </row>
    <row r="1459" spans="1:87" x14ac:dyDescent="0.3">
      <c r="A1459" s="9" t="s">
        <v>11177</v>
      </c>
      <c r="B1459" s="10" t="s">
        <v>11178</v>
      </c>
      <c r="C1459" s="11">
        <v>46131</v>
      </c>
      <c r="D1459" s="12">
        <v>8.3333333333333329E-2</v>
      </c>
      <c r="E1459" s="11">
        <v>46131.083333333336</v>
      </c>
      <c r="F1459" s="10" t="s">
        <v>3211</v>
      </c>
      <c r="G1459" s="13" t="b">
        <v>0</v>
      </c>
      <c r="H1459" s="10" t="s">
        <v>3212</v>
      </c>
      <c r="I1459" s="10" t="s">
        <v>3213</v>
      </c>
      <c r="J1459" s="13" t="b">
        <v>0</v>
      </c>
      <c r="K1459" s="13" t="b">
        <v>1</v>
      </c>
      <c r="L1459" s="10" t="s">
        <v>124</v>
      </c>
      <c r="M1459" s="10" t="s">
        <v>91</v>
      </c>
      <c r="N1459" s="10" t="s">
        <v>92</v>
      </c>
      <c r="O1459" s="10"/>
      <c r="P1459" s="10"/>
      <c r="Q1459" s="10"/>
      <c r="R1459" s="10"/>
      <c r="S1459" s="10"/>
      <c r="T1459" s="10"/>
      <c r="U1459" s="10" t="s">
        <v>3429</v>
      </c>
      <c r="V1459" s="10" t="s">
        <v>3249</v>
      </c>
      <c r="W1459" s="10" t="s">
        <v>3219</v>
      </c>
      <c r="X1459" s="10" t="s">
        <v>130</v>
      </c>
      <c r="Y1459" s="10" t="s">
        <v>130</v>
      </c>
      <c r="Z1459" s="10" t="s">
        <v>99</v>
      </c>
      <c r="AA1459" s="10" t="s">
        <v>131</v>
      </c>
      <c r="AB1459" s="10" t="s">
        <v>3220</v>
      </c>
      <c r="AC1459" s="10" t="s">
        <v>3221</v>
      </c>
      <c r="AD1459" s="10" t="s">
        <v>11179</v>
      </c>
      <c r="AE1459" s="10" t="s">
        <v>11180</v>
      </c>
      <c r="AF1459" s="15"/>
      <c r="AG1459" s="10"/>
      <c r="AH1459" s="10"/>
      <c r="AI1459" s="10"/>
      <c r="AJ1459" s="10"/>
      <c r="AK1459" s="10"/>
      <c r="AL1459" s="10" t="s">
        <v>2967</v>
      </c>
      <c r="AM1459" s="10"/>
      <c r="AN1459" s="10"/>
      <c r="AO1459" s="13" t="b">
        <v>0</v>
      </c>
      <c r="AP1459" s="10" t="s">
        <v>104</v>
      </c>
      <c r="AQ1459" s="10"/>
      <c r="AR1459" s="17"/>
      <c r="AS1459" s="17"/>
      <c r="AT1459" s="17"/>
      <c r="AU1459" s="17"/>
      <c r="AV1459" s="17"/>
      <c r="AW1459" s="10"/>
      <c r="AX1459" s="17"/>
      <c r="AY1459" s="18" t="s">
        <v>257</v>
      </c>
      <c r="AZ1459" s="10"/>
      <c r="BA1459" s="20" t="b">
        <v>0</v>
      </c>
      <c r="BB1459" s="10"/>
      <c r="BC1459" s="17" t="s">
        <v>257</v>
      </c>
      <c r="BD1459" s="17" t="s">
        <v>257</v>
      </c>
      <c r="BE1459" s="17" t="s">
        <v>257</v>
      </c>
      <c r="BF1459" s="17" t="s">
        <v>257</v>
      </c>
      <c r="BG1459" s="11">
        <f ca="1">IFERROR(__xludf.DUMMYFUNCTION("""COMPUTED_VALUE"""),46131)</f>
        <v>46131</v>
      </c>
      <c r="BH1459" s="17"/>
      <c r="BI1459" s="17"/>
      <c r="BJ1459" s="15"/>
      <c r="BK1459" s="15"/>
      <c r="BL1459" s="13" t="b">
        <v>0</v>
      </c>
      <c r="BM1459" s="10"/>
      <c r="BN1459" s="10" t="s">
        <v>223</v>
      </c>
      <c r="BO1459" s="11">
        <v>45904.28460648148</v>
      </c>
      <c r="BP1459" s="11">
        <v>45904.28460648148</v>
      </c>
      <c r="BQ1459" s="15"/>
      <c r="BR1459" s="15"/>
      <c r="BS1459" s="10"/>
      <c r="BT1459" s="10"/>
      <c r="BU1459" s="10"/>
      <c r="BV1459" s="10"/>
      <c r="BW1459" s="10"/>
      <c r="BX1459" s="10"/>
      <c r="BY1459" s="23"/>
      <c r="BZ1459" s="23"/>
      <c r="CA1459" s="23"/>
      <c r="CB1459" s="23"/>
      <c r="CC1459" s="23"/>
      <c r="CD1459" s="23"/>
      <c r="CE1459" s="23"/>
      <c r="CF1459" s="23"/>
      <c r="CG1459" s="23"/>
      <c r="CH1459" s="23"/>
      <c r="CI1459" s="23"/>
    </row>
    <row r="1460" spans="1:87" x14ac:dyDescent="0.3">
      <c r="A1460" s="9" t="s">
        <v>11181</v>
      </c>
      <c r="B1460" s="10" t="s">
        <v>11182</v>
      </c>
      <c r="C1460" s="11">
        <v>46131</v>
      </c>
      <c r="D1460" s="12">
        <v>8.3333333333333329E-2</v>
      </c>
      <c r="E1460" s="11">
        <v>46131.083333333336</v>
      </c>
      <c r="F1460" s="10" t="s">
        <v>3211</v>
      </c>
      <c r="G1460" s="13" t="b">
        <v>0</v>
      </c>
      <c r="H1460" s="10" t="s">
        <v>3212</v>
      </c>
      <c r="I1460" s="10" t="s">
        <v>3213</v>
      </c>
      <c r="J1460" s="13" t="b">
        <v>0</v>
      </c>
      <c r="K1460" s="13" t="b">
        <v>1</v>
      </c>
      <c r="L1460" s="10" t="s">
        <v>124</v>
      </c>
      <c r="M1460" s="10" t="s">
        <v>91</v>
      </c>
      <c r="N1460" s="10" t="s">
        <v>92</v>
      </c>
      <c r="O1460" s="10"/>
      <c r="P1460" s="10"/>
      <c r="Q1460" s="10"/>
      <c r="R1460" s="10"/>
      <c r="S1460" s="10"/>
      <c r="T1460" s="10"/>
      <c r="U1460" s="10" t="s">
        <v>3269</v>
      </c>
      <c r="V1460" s="10" t="s">
        <v>3260</v>
      </c>
      <c r="W1460" s="10" t="s">
        <v>3219</v>
      </c>
      <c r="X1460" s="10" t="s">
        <v>130</v>
      </c>
      <c r="Y1460" s="10" t="s">
        <v>130</v>
      </c>
      <c r="Z1460" s="10" t="s">
        <v>99</v>
      </c>
      <c r="AA1460" s="10" t="s">
        <v>131</v>
      </c>
      <c r="AB1460" s="10" t="s">
        <v>3220</v>
      </c>
      <c r="AC1460" s="10" t="s">
        <v>3221</v>
      </c>
      <c r="AD1460" s="10" t="s">
        <v>11183</v>
      </c>
      <c r="AE1460" s="10" t="s">
        <v>11184</v>
      </c>
      <c r="AF1460" s="15"/>
      <c r="AG1460" s="10"/>
      <c r="AH1460" s="10"/>
      <c r="AI1460" s="10"/>
      <c r="AJ1460" s="10"/>
      <c r="AK1460" s="10"/>
      <c r="AL1460" s="10" t="s">
        <v>2967</v>
      </c>
      <c r="AM1460" s="10"/>
      <c r="AN1460" s="10"/>
      <c r="AO1460" s="13" t="b">
        <v>0</v>
      </c>
      <c r="AP1460" s="10" t="s">
        <v>104</v>
      </c>
      <c r="AQ1460" s="10"/>
      <c r="AR1460" s="17"/>
      <c r="AS1460" s="17"/>
      <c r="AT1460" s="17"/>
      <c r="AU1460" s="17"/>
      <c r="AV1460" s="17"/>
      <c r="AW1460" s="10"/>
      <c r="AX1460" s="17"/>
      <c r="AY1460" s="18" t="s">
        <v>257</v>
      </c>
      <c r="AZ1460" s="10"/>
      <c r="BA1460" s="20" t="b">
        <v>0</v>
      </c>
      <c r="BB1460" s="10"/>
      <c r="BC1460" s="17" t="s">
        <v>257</v>
      </c>
      <c r="BD1460" s="17" t="s">
        <v>257</v>
      </c>
      <c r="BE1460" s="17" t="s">
        <v>257</v>
      </c>
      <c r="BF1460" s="17" t="s">
        <v>257</v>
      </c>
      <c r="BG1460" s="11">
        <f ca="1">IFERROR(__xludf.DUMMYFUNCTION("""COMPUTED_VALUE"""),46131)</f>
        <v>46131</v>
      </c>
      <c r="BH1460" s="17"/>
      <c r="BI1460" s="17"/>
      <c r="BJ1460" s="15"/>
      <c r="BK1460" s="15"/>
      <c r="BL1460" s="13" t="b">
        <v>0</v>
      </c>
      <c r="BM1460" s="10"/>
      <c r="BN1460" s="10" t="s">
        <v>223</v>
      </c>
      <c r="BO1460" s="11">
        <v>45904.28460648148</v>
      </c>
      <c r="BP1460" s="11">
        <v>45904.28460648148</v>
      </c>
      <c r="BQ1460" s="15"/>
      <c r="BR1460" s="15"/>
      <c r="BS1460" s="10"/>
      <c r="BT1460" s="10"/>
      <c r="BU1460" s="10"/>
      <c r="BV1460" s="10"/>
      <c r="BW1460" s="10"/>
      <c r="BX1460" s="10"/>
      <c r="BY1460" s="23"/>
      <c r="BZ1460" s="23"/>
      <c r="CA1460" s="23"/>
      <c r="CB1460" s="23"/>
      <c r="CC1460" s="23"/>
      <c r="CD1460" s="23"/>
      <c r="CE1460" s="23"/>
      <c r="CF1460" s="23"/>
      <c r="CG1460" s="23"/>
      <c r="CH1460" s="23"/>
      <c r="CI1460" s="23"/>
    </row>
    <row r="1461" spans="1:87" x14ac:dyDescent="0.3">
      <c r="A1461" s="9" t="s">
        <v>11185</v>
      </c>
      <c r="B1461" s="10" t="s">
        <v>11186</v>
      </c>
      <c r="C1461" s="11">
        <v>46131</v>
      </c>
      <c r="D1461" s="12">
        <v>8.3333333333333329E-2</v>
      </c>
      <c r="E1461" s="11">
        <v>46131.083333333336</v>
      </c>
      <c r="F1461" s="10" t="s">
        <v>3211</v>
      </c>
      <c r="G1461" s="13" t="b">
        <v>0</v>
      </c>
      <c r="H1461" s="10" t="s">
        <v>3212</v>
      </c>
      <c r="I1461" s="10" t="s">
        <v>3213</v>
      </c>
      <c r="J1461" s="13" t="b">
        <v>0</v>
      </c>
      <c r="K1461" s="13" t="b">
        <v>1</v>
      </c>
      <c r="L1461" s="10" t="s">
        <v>124</v>
      </c>
      <c r="M1461" s="10" t="s">
        <v>91</v>
      </c>
      <c r="N1461" s="10" t="s">
        <v>92</v>
      </c>
      <c r="O1461" s="10"/>
      <c r="P1461" s="10"/>
      <c r="Q1461" s="10"/>
      <c r="R1461" s="10"/>
      <c r="S1461" s="10"/>
      <c r="T1461" s="10"/>
      <c r="U1461" s="10" t="s">
        <v>3270</v>
      </c>
      <c r="V1461" s="10" t="s">
        <v>3289</v>
      </c>
      <c r="W1461" s="10" t="s">
        <v>3219</v>
      </c>
      <c r="X1461" s="10" t="s">
        <v>130</v>
      </c>
      <c r="Y1461" s="10" t="s">
        <v>130</v>
      </c>
      <c r="Z1461" s="10" t="s">
        <v>99</v>
      </c>
      <c r="AA1461" s="10" t="s">
        <v>131</v>
      </c>
      <c r="AB1461" s="10" t="s">
        <v>3220</v>
      </c>
      <c r="AC1461" s="10" t="s">
        <v>3221</v>
      </c>
      <c r="AD1461" s="10" t="s">
        <v>11187</v>
      </c>
      <c r="AE1461" s="10" t="s">
        <v>11188</v>
      </c>
      <c r="AF1461" s="15"/>
      <c r="AG1461" s="10"/>
      <c r="AH1461" s="10"/>
      <c r="AI1461" s="10"/>
      <c r="AJ1461" s="10"/>
      <c r="AK1461" s="10"/>
      <c r="AL1461" s="10" t="s">
        <v>2967</v>
      </c>
      <c r="AM1461" s="10"/>
      <c r="AN1461" s="10"/>
      <c r="AO1461" s="13" t="b">
        <v>0</v>
      </c>
      <c r="AP1461" s="10" t="s">
        <v>104</v>
      </c>
      <c r="AQ1461" s="10"/>
      <c r="AR1461" s="17"/>
      <c r="AS1461" s="17"/>
      <c r="AT1461" s="17"/>
      <c r="AU1461" s="17"/>
      <c r="AV1461" s="17"/>
      <c r="AW1461" s="10"/>
      <c r="AX1461" s="17"/>
      <c r="AY1461" s="18" t="s">
        <v>257</v>
      </c>
      <c r="AZ1461" s="10"/>
      <c r="BA1461" s="20" t="b">
        <v>0</v>
      </c>
      <c r="BB1461" s="10"/>
      <c r="BC1461" s="17" t="s">
        <v>257</v>
      </c>
      <c r="BD1461" s="17" t="s">
        <v>257</v>
      </c>
      <c r="BE1461" s="17" t="s">
        <v>257</v>
      </c>
      <c r="BF1461" s="17" t="s">
        <v>257</v>
      </c>
      <c r="BG1461" s="11">
        <f ca="1">IFERROR(__xludf.DUMMYFUNCTION("""COMPUTED_VALUE"""),46131)</f>
        <v>46131</v>
      </c>
      <c r="BH1461" s="17"/>
      <c r="BI1461" s="17"/>
      <c r="BJ1461" s="15"/>
      <c r="BK1461" s="15"/>
      <c r="BL1461" s="13" t="b">
        <v>0</v>
      </c>
      <c r="BM1461" s="10"/>
      <c r="BN1461" s="10" t="s">
        <v>223</v>
      </c>
      <c r="BO1461" s="11">
        <v>45904.28460648148</v>
      </c>
      <c r="BP1461" s="11">
        <v>45904.28460648148</v>
      </c>
      <c r="BQ1461" s="15"/>
      <c r="BR1461" s="15"/>
      <c r="BS1461" s="10"/>
      <c r="BT1461" s="10"/>
      <c r="BU1461" s="10"/>
      <c r="BV1461" s="10"/>
      <c r="BW1461" s="10"/>
      <c r="BX1461" s="10"/>
      <c r="BY1461" s="23"/>
      <c r="BZ1461" s="23"/>
      <c r="CA1461" s="23"/>
      <c r="CB1461" s="23"/>
      <c r="CC1461" s="23"/>
      <c r="CD1461" s="23"/>
      <c r="CE1461" s="23"/>
      <c r="CF1461" s="23"/>
      <c r="CG1461" s="23"/>
      <c r="CH1461" s="23"/>
      <c r="CI1461" s="23"/>
    </row>
    <row r="1462" spans="1:87" x14ac:dyDescent="0.3">
      <c r="A1462" s="9" t="s">
        <v>11189</v>
      </c>
      <c r="B1462" s="10" t="s">
        <v>11190</v>
      </c>
      <c r="C1462" s="11">
        <v>46138</v>
      </c>
      <c r="D1462" s="12">
        <v>8.3333333333333329E-2</v>
      </c>
      <c r="E1462" s="11">
        <v>46138.083333333336</v>
      </c>
      <c r="F1462" s="10" t="s">
        <v>3211</v>
      </c>
      <c r="G1462" s="13" t="b">
        <v>0</v>
      </c>
      <c r="H1462" s="10" t="s">
        <v>3212</v>
      </c>
      <c r="I1462" s="10" t="s">
        <v>3213</v>
      </c>
      <c r="J1462" s="13" t="b">
        <v>0</v>
      </c>
      <c r="K1462" s="13" t="b">
        <v>1</v>
      </c>
      <c r="L1462" s="10" t="s">
        <v>124</v>
      </c>
      <c r="M1462" s="10" t="s">
        <v>91</v>
      </c>
      <c r="N1462" s="10" t="s">
        <v>92</v>
      </c>
      <c r="O1462" s="10"/>
      <c r="P1462" s="10"/>
      <c r="Q1462" s="10"/>
      <c r="R1462" s="10"/>
      <c r="S1462" s="10"/>
      <c r="T1462" s="10"/>
      <c r="U1462" s="10" t="s">
        <v>3230</v>
      </c>
      <c r="V1462" s="10" t="s">
        <v>3229</v>
      </c>
      <c r="W1462" s="10" t="s">
        <v>3219</v>
      </c>
      <c r="X1462" s="10" t="s">
        <v>130</v>
      </c>
      <c r="Y1462" s="10" t="s">
        <v>130</v>
      </c>
      <c r="Z1462" s="10" t="s">
        <v>99</v>
      </c>
      <c r="AA1462" s="10" t="s">
        <v>131</v>
      </c>
      <c r="AB1462" s="10" t="s">
        <v>3220</v>
      </c>
      <c r="AC1462" s="10" t="s">
        <v>3221</v>
      </c>
      <c r="AD1462" s="10" t="s">
        <v>11191</v>
      </c>
      <c r="AE1462" s="10" t="s">
        <v>11192</v>
      </c>
      <c r="AF1462" s="15"/>
      <c r="AG1462" s="10"/>
      <c r="AH1462" s="10"/>
      <c r="AI1462" s="10"/>
      <c r="AJ1462" s="10"/>
      <c r="AK1462" s="10"/>
      <c r="AL1462" s="10" t="s">
        <v>3008</v>
      </c>
      <c r="AM1462" s="10"/>
      <c r="AN1462" s="10"/>
      <c r="AO1462" s="13" t="b">
        <v>0</v>
      </c>
      <c r="AP1462" s="10" t="s">
        <v>104</v>
      </c>
      <c r="AQ1462" s="10"/>
      <c r="AR1462" s="17"/>
      <c r="AS1462" s="17"/>
      <c r="AT1462" s="17"/>
      <c r="AU1462" s="17"/>
      <c r="AV1462" s="17"/>
      <c r="AW1462" s="10"/>
      <c r="AX1462" s="17"/>
      <c r="AY1462" s="18" t="s">
        <v>257</v>
      </c>
      <c r="AZ1462" s="10"/>
      <c r="BA1462" s="20" t="b">
        <v>0</v>
      </c>
      <c r="BB1462" s="10"/>
      <c r="BC1462" s="17" t="s">
        <v>257</v>
      </c>
      <c r="BD1462" s="17" t="s">
        <v>257</v>
      </c>
      <c r="BE1462" s="17" t="s">
        <v>257</v>
      </c>
      <c r="BF1462" s="17" t="s">
        <v>257</v>
      </c>
      <c r="BG1462" s="11">
        <f ca="1">IFERROR(__xludf.DUMMYFUNCTION("""COMPUTED_VALUE"""),46138)</f>
        <v>46138</v>
      </c>
      <c r="BH1462" s="17"/>
      <c r="BI1462" s="17"/>
      <c r="BJ1462" s="15"/>
      <c r="BK1462" s="15"/>
      <c r="BL1462" s="13" t="b">
        <v>0</v>
      </c>
      <c r="BM1462" s="10"/>
      <c r="BN1462" s="10" t="s">
        <v>223</v>
      </c>
      <c r="BO1462" s="11">
        <v>45904.28460648148</v>
      </c>
      <c r="BP1462" s="11">
        <v>45904.28460648148</v>
      </c>
      <c r="BQ1462" s="15"/>
      <c r="BR1462" s="15"/>
      <c r="BS1462" s="10"/>
      <c r="BT1462" s="10"/>
      <c r="BU1462" s="10"/>
      <c r="BV1462" s="10"/>
      <c r="BW1462" s="10"/>
      <c r="BX1462" s="10"/>
      <c r="BY1462" s="23"/>
      <c r="BZ1462" s="23"/>
      <c r="CA1462" s="23"/>
      <c r="CB1462" s="23"/>
      <c r="CC1462" s="23"/>
      <c r="CD1462" s="23"/>
      <c r="CE1462" s="23"/>
      <c r="CF1462" s="23"/>
      <c r="CG1462" s="23"/>
      <c r="CH1462" s="23"/>
      <c r="CI1462" s="23"/>
    </row>
    <row r="1463" spans="1:87" x14ac:dyDescent="0.3">
      <c r="A1463" s="9" t="s">
        <v>11193</v>
      </c>
      <c r="B1463" s="10" t="s">
        <v>11194</v>
      </c>
      <c r="C1463" s="11">
        <v>46138</v>
      </c>
      <c r="D1463" s="12">
        <v>8.3333333333333329E-2</v>
      </c>
      <c r="E1463" s="11">
        <v>46138.083333333336</v>
      </c>
      <c r="F1463" s="10" t="s">
        <v>3211</v>
      </c>
      <c r="G1463" s="13" t="b">
        <v>0</v>
      </c>
      <c r="H1463" s="10" t="s">
        <v>3212</v>
      </c>
      <c r="I1463" s="10" t="s">
        <v>3213</v>
      </c>
      <c r="J1463" s="13" t="b">
        <v>0</v>
      </c>
      <c r="K1463" s="13" t="b">
        <v>1</v>
      </c>
      <c r="L1463" s="10" t="s">
        <v>124</v>
      </c>
      <c r="M1463" s="10" t="s">
        <v>91</v>
      </c>
      <c r="N1463" s="10" t="s">
        <v>92</v>
      </c>
      <c r="O1463" s="10"/>
      <c r="P1463" s="10"/>
      <c r="Q1463" s="10"/>
      <c r="R1463" s="10"/>
      <c r="S1463" s="10"/>
      <c r="T1463" s="10"/>
      <c r="U1463" s="10" t="s">
        <v>3239</v>
      </c>
      <c r="V1463" s="10" t="s">
        <v>3308</v>
      </c>
      <c r="W1463" s="10" t="s">
        <v>3219</v>
      </c>
      <c r="X1463" s="10" t="s">
        <v>130</v>
      </c>
      <c r="Y1463" s="10" t="s">
        <v>130</v>
      </c>
      <c r="Z1463" s="10" t="s">
        <v>99</v>
      </c>
      <c r="AA1463" s="10" t="s">
        <v>131</v>
      </c>
      <c r="AB1463" s="10" t="s">
        <v>3220</v>
      </c>
      <c r="AC1463" s="10" t="s">
        <v>3221</v>
      </c>
      <c r="AD1463" s="10" t="s">
        <v>11195</v>
      </c>
      <c r="AE1463" s="10" t="s">
        <v>11196</v>
      </c>
      <c r="AF1463" s="15"/>
      <c r="AG1463" s="10"/>
      <c r="AH1463" s="10"/>
      <c r="AI1463" s="10"/>
      <c r="AJ1463" s="10"/>
      <c r="AK1463" s="10"/>
      <c r="AL1463" s="10" t="s">
        <v>3008</v>
      </c>
      <c r="AM1463" s="10"/>
      <c r="AN1463" s="10"/>
      <c r="AO1463" s="13" t="b">
        <v>0</v>
      </c>
      <c r="AP1463" s="10" t="s">
        <v>104</v>
      </c>
      <c r="AQ1463" s="10"/>
      <c r="AR1463" s="17"/>
      <c r="AS1463" s="17"/>
      <c r="AT1463" s="17"/>
      <c r="AU1463" s="17"/>
      <c r="AV1463" s="17"/>
      <c r="AW1463" s="10"/>
      <c r="AX1463" s="17"/>
      <c r="AY1463" s="18" t="s">
        <v>257</v>
      </c>
      <c r="AZ1463" s="10"/>
      <c r="BA1463" s="20" t="b">
        <v>0</v>
      </c>
      <c r="BB1463" s="10"/>
      <c r="BC1463" s="17" t="s">
        <v>257</v>
      </c>
      <c r="BD1463" s="17" t="s">
        <v>257</v>
      </c>
      <c r="BE1463" s="17" t="s">
        <v>257</v>
      </c>
      <c r="BF1463" s="17" t="s">
        <v>257</v>
      </c>
      <c r="BG1463" s="11">
        <f ca="1">IFERROR(__xludf.DUMMYFUNCTION("""COMPUTED_VALUE"""),46138)</f>
        <v>46138</v>
      </c>
      <c r="BH1463" s="17"/>
      <c r="BI1463" s="17"/>
      <c r="BJ1463" s="15"/>
      <c r="BK1463" s="15"/>
      <c r="BL1463" s="13" t="b">
        <v>0</v>
      </c>
      <c r="BM1463" s="10"/>
      <c r="BN1463" s="10" t="s">
        <v>223</v>
      </c>
      <c r="BO1463" s="11">
        <v>45904.28460648148</v>
      </c>
      <c r="BP1463" s="11">
        <v>45904.28460648148</v>
      </c>
      <c r="BQ1463" s="15"/>
      <c r="BR1463" s="15"/>
      <c r="BS1463" s="10"/>
      <c r="BT1463" s="10"/>
      <c r="BU1463" s="10"/>
      <c r="BV1463" s="10"/>
      <c r="BW1463" s="10"/>
      <c r="BX1463" s="10"/>
      <c r="BY1463" s="23"/>
      <c r="BZ1463" s="23"/>
      <c r="CA1463" s="23"/>
      <c r="CB1463" s="23"/>
      <c r="CC1463" s="23"/>
      <c r="CD1463" s="23"/>
      <c r="CE1463" s="23"/>
      <c r="CF1463" s="23"/>
      <c r="CG1463" s="23"/>
      <c r="CH1463" s="23"/>
      <c r="CI1463" s="23"/>
    </row>
    <row r="1464" spans="1:87" x14ac:dyDescent="0.3">
      <c r="A1464" s="9" t="s">
        <v>11197</v>
      </c>
      <c r="B1464" s="10" t="s">
        <v>11198</v>
      </c>
      <c r="C1464" s="11">
        <v>46138</v>
      </c>
      <c r="D1464" s="12">
        <v>8.3333333333333329E-2</v>
      </c>
      <c r="E1464" s="11">
        <v>46138.083333333336</v>
      </c>
      <c r="F1464" s="10" t="s">
        <v>3211</v>
      </c>
      <c r="G1464" s="13" t="b">
        <v>0</v>
      </c>
      <c r="H1464" s="10" t="s">
        <v>3212</v>
      </c>
      <c r="I1464" s="10" t="s">
        <v>3213</v>
      </c>
      <c r="J1464" s="13" t="b">
        <v>0</v>
      </c>
      <c r="K1464" s="13" t="b">
        <v>1</v>
      </c>
      <c r="L1464" s="10" t="s">
        <v>124</v>
      </c>
      <c r="M1464" s="10" t="s">
        <v>91</v>
      </c>
      <c r="N1464" s="10" t="s">
        <v>92</v>
      </c>
      <c r="O1464" s="10"/>
      <c r="P1464" s="10"/>
      <c r="Q1464" s="10"/>
      <c r="R1464" s="10"/>
      <c r="S1464" s="10"/>
      <c r="T1464" s="10"/>
      <c r="U1464" s="10" t="s">
        <v>3240</v>
      </c>
      <c r="V1464" s="10" t="s">
        <v>3429</v>
      </c>
      <c r="W1464" s="10" t="s">
        <v>3219</v>
      </c>
      <c r="X1464" s="10" t="s">
        <v>130</v>
      </c>
      <c r="Y1464" s="10" t="s">
        <v>130</v>
      </c>
      <c r="Z1464" s="10" t="s">
        <v>99</v>
      </c>
      <c r="AA1464" s="10" t="s">
        <v>131</v>
      </c>
      <c r="AB1464" s="10" t="s">
        <v>3220</v>
      </c>
      <c r="AC1464" s="10" t="s">
        <v>3221</v>
      </c>
      <c r="AD1464" s="10" t="s">
        <v>11199</v>
      </c>
      <c r="AE1464" s="10" t="s">
        <v>11200</v>
      </c>
      <c r="AF1464" s="15"/>
      <c r="AG1464" s="10"/>
      <c r="AH1464" s="10"/>
      <c r="AI1464" s="10"/>
      <c r="AJ1464" s="10"/>
      <c r="AK1464" s="10"/>
      <c r="AL1464" s="10" t="s">
        <v>3008</v>
      </c>
      <c r="AM1464" s="10"/>
      <c r="AN1464" s="10"/>
      <c r="AO1464" s="13" t="b">
        <v>0</v>
      </c>
      <c r="AP1464" s="10" t="s">
        <v>104</v>
      </c>
      <c r="AQ1464" s="10"/>
      <c r="AR1464" s="17"/>
      <c r="AS1464" s="17"/>
      <c r="AT1464" s="17"/>
      <c r="AU1464" s="17"/>
      <c r="AV1464" s="17"/>
      <c r="AW1464" s="10"/>
      <c r="AX1464" s="17"/>
      <c r="AY1464" s="18" t="s">
        <v>257</v>
      </c>
      <c r="AZ1464" s="10"/>
      <c r="BA1464" s="20" t="b">
        <v>0</v>
      </c>
      <c r="BB1464" s="10"/>
      <c r="BC1464" s="17" t="s">
        <v>257</v>
      </c>
      <c r="BD1464" s="17" t="s">
        <v>257</v>
      </c>
      <c r="BE1464" s="17" t="s">
        <v>257</v>
      </c>
      <c r="BF1464" s="17" t="s">
        <v>257</v>
      </c>
      <c r="BG1464" s="11">
        <f ca="1">IFERROR(__xludf.DUMMYFUNCTION("""COMPUTED_VALUE"""),46138)</f>
        <v>46138</v>
      </c>
      <c r="BH1464" s="17"/>
      <c r="BI1464" s="17"/>
      <c r="BJ1464" s="15"/>
      <c r="BK1464" s="15"/>
      <c r="BL1464" s="13" t="b">
        <v>0</v>
      </c>
      <c r="BM1464" s="10"/>
      <c r="BN1464" s="10" t="s">
        <v>223</v>
      </c>
      <c r="BO1464" s="11">
        <v>45904.28460648148</v>
      </c>
      <c r="BP1464" s="11">
        <v>45904.28460648148</v>
      </c>
      <c r="BQ1464" s="15"/>
      <c r="BR1464" s="15"/>
      <c r="BS1464" s="10"/>
      <c r="BT1464" s="10"/>
      <c r="BU1464" s="10"/>
      <c r="BV1464" s="10"/>
      <c r="BW1464" s="10"/>
      <c r="BX1464" s="10"/>
      <c r="BY1464" s="23"/>
      <c r="BZ1464" s="23"/>
      <c r="CA1464" s="23"/>
      <c r="CB1464" s="23"/>
      <c r="CC1464" s="23"/>
      <c r="CD1464" s="23"/>
      <c r="CE1464" s="23"/>
      <c r="CF1464" s="23"/>
      <c r="CG1464" s="23"/>
      <c r="CH1464" s="23"/>
      <c r="CI1464" s="23"/>
    </row>
    <row r="1465" spans="1:87" x14ac:dyDescent="0.3">
      <c r="A1465" s="9" t="s">
        <v>11201</v>
      </c>
      <c r="B1465" s="10" t="s">
        <v>11202</v>
      </c>
      <c r="C1465" s="11">
        <v>46138</v>
      </c>
      <c r="D1465" s="12">
        <v>8.3333333333333329E-2</v>
      </c>
      <c r="E1465" s="11">
        <v>46138.083333333336</v>
      </c>
      <c r="F1465" s="10" t="s">
        <v>3211</v>
      </c>
      <c r="G1465" s="13" t="b">
        <v>0</v>
      </c>
      <c r="H1465" s="10" t="s">
        <v>3212</v>
      </c>
      <c r="I1465" s="10" t="s">
        <v>3213</v>
      </c>
      <c r="J1465" s="13" t="b">
        <v>0</v>
      </c>
      <c r="K1465" s="13" t="b">
        <v>1</v>
      </c>
      <c r="L1465" s="10" t="s">
        <v>124</v>
      </c>
      <c r="M1465" s="10" t="s">
        <v>91</v>
      </c>
      <c r="N1465" s="10" t="s">
        <v>92</v>
      </c>
      <c r="O1465" s="10"/>
      <c r="P1465" s="10"/>
      <c r="Q1465" s="10"/>
      <c r="R1465" s="10"/>
      <c r="S1465" s="10"/>
      <c r="T1465" s="10"/>
      <c r="U1465" s="10" t="s">
        <v>3217</v>
      </c>
      <c r="V1465" s="10" t="s">
        <v>3249</v>
      </c>
      <c r="W1465" s="10" t="s">
        <v>3219</v>
      </c>
      <c r="X1465" s="10" t="s">
        <v>130</v>
      </c>
      <c r="Y1465" s="10" t="s">
        <v>130</v>
      </c>
      <c r="Z1465" s="10" t="s">
        <v>99</v>
      </c>
      <c r="AA1465" s="10" t="s">
        <v>131</v>
      </c>
      <c r="AB1465" s="10" t="s">
        <v>3220</v>
      </c>
      <c r="AC1465" s="10" t="s">
        <v>3221</v>
      </c>
      <c r="AD1465" s="10" t="s">
        <v>11203</v>
      </c>
      <c r="AE1465" s="10" t="s">
        <v>11204</v>
      </c>
      <c r="AF1465" s="15"/>
      <c r="AG1465" s="10"/>
      <c r="AH1465" s="10"/>
      <c r="AI1465" s="10"/>
      <c r="AJ1465" s="10"/>
      <c r="AK1465" s="10"/>
      <c r="AL1465" s="10" t="s">
        <v>3008</v>
      </c>
      <c r="AM1465" s="10"/>
      <c r="AN1465" s="10"/>
      <c r="AO1465" s="13" t="b">
        <v>0</v>
      </c>
      <c r="AP1465" s="10" t="s">
        <v>104</v>
      </c>
      <c r="AQ1465" s="10"/>
      <c r="AR1465" s="17"/>
      <c r="AS1465" s="17"/>
      <c r="AT1465" s="17"/>
      <c r="AU1465" s="17"/>
      <c r="AV1465" s="17"/>
      <c r="AW1465" s="10"/>
      <c r="AX1465" s="17"/>
      <c r="AY1465" s="18" t="s">
        <v>257</v>
      </c>
      <c r="AZ1465" s="10"/>
      <c r="BA1465" s="20" t="b">
        <v>0</v>
      </c>
      <c r="BB1465" s="10"/>
      <c r="BC1465" s="17" t="s">
        <v>257</v>
      </c>
      <c r="BD1465" s="17" t="s">
        <v>257</v>
      </c>
      <c r="BE1465" s="17" t="s">
        <v>257</v>
      </c>
      <c r="BF1465" s="17" t="s">
        <v>257</v>
      </c>
      <c r="BG1465" s="11">
        <f ca="1">IFERROR(__xludf.DUMMYFUNCTION("""COMPUTED_VALUE"""),46138)</f>
        <v>46138</v>
      </c>
      <c r="BH1465" s="17"/>
      <c r="BI1465" s="17"/>
      <c r="BJ1465" s="15"/>
      <c r="BK1465" s="15"/>
      <c r="BL1465" s="13" t="b">
        <v>0</v>
      </c>
      <c r="BM1465" s="10"/>
      <c r="BN1465" s="10" t="s">
        <v>223</v>
      </c>
      <c r="BO1465" s="11">
        <v>45904.28460648148</v>
      </c>
      <c r="BP1465" s="11">
        <v>45904.28460648148</v>
      </c>
      <c r="BQ1465" s="15"/>
      <c r="BR1465" s="15"/>
      <c r="BS1465" s="10"/>
      <c r="BT1465" s="10"/>
      <c r="BU1465" s="10"/>
      <c r="BV1465" s="10"/>
      <c r="BW1465" s="10"/>
      <c r="BX1465" s="10"/>
      <c r="BY1465" s="23"/>
      <c r="BZ1465" s="23"/>
      <c r="CA1465" s="23"/>
      <c r="CB1465" s="23"/>
      <c r="CC1465" s="23"/>
      <c r="CD1465" s="23"/>
      <c r="CE1465" s="23"/>
      <c r="CF1465" s="23"/>
      <c r="CG1465" s="23"/>
      <c r="CH1465" s="23"/>
      <c r="CI1465" s="23"/>
    </row>
    <row r="1466" spans="1:87" x14ac:dyDescent="0.3">
      <c r="A1466" s="9" t="s">
        <v>11205</v>
      </c>
      <c r="B1466" s="10" t="s">
        <v>11206</v>
      </c>
      <c r="C1466" s="11">
        <v>46138</v>
      </c>
      <c r="D1466" s="12">
        <v>8.3333333333333329E-2</v>
      </c>
      <c r="E1466" s="11">
        <v>46138.083333333336</v>
      </c>
      <c r="F1466" s="10" t="s">
        <v>3211</v>
      </c>
      <c r="G1466" s="13" t="b">
        <v>0</v>
      </c>
      <c r="H1466" s="10" t="s">
        <v>3212</v>
      </c>
      <c r="I1466" s="10" t="s">
        <v>3213</v>
      </c>
      <c r="J1466" s="13" t="b">
        <v>0</v>
      </c>
      <c r="K1466" s="13" t="b">
        <v>1</v>
      </c>
      <c r="L1466" s="10" t="s">
        <v>124</v>
      </c>
      <c r="M1466" s="10" t="s">
        <v>91</v>
      </c>
      <c r="N1466" s="10" t="s">
        <v>92</v>
      </c>
      <c r="O1466" s="10"/>
      <c r="P1466" s="10"/>
      <c r="Q1466" s="10"/>
      <c r="R1466" s="10"/>
      <c r="S1466" s="10"/>
      <c r="T1466" s="10"/>
      <c r="U1466" s="10" t="s">
        <v>3250</v>
      </c>
      <c r="V1466" s="10" t="s">
        <v>3269</v>
      </c>
      <c r="W1466" s="10" t="s">
        <v>3219</v>
      </c>
      <c r="X1466" s="10" t="s">
        <v>130</v>
      </c>
      <c r="Y1466" s="10" t="s">
        <v>130</v>
      </c>
      <c r="Z1466" s="10" t="s">
        <v>99</v>
      </c>
      <c r="AA1466" s="10" t="s">
        <v>131</v>
      </c>
      <c r="AB1466" s="10" t="s">
        <v>3220</v>
      </c>
      <c r="AC1466" s="10" t="s">
        <v>3221</v>
      </c>
      <c r="AD1466" s="10" t="s">
        <v>11207</v>
      </c>
      <c r="AE1466" s="10" t="s">
        <v>11208</v>
      </c>
      <c r="AF1466" s="15"/>
      <c r="AG1466" s="10"/>
      <c r="AH1466" s="10"/>
      <c r="AI1466" s="10"/>
      <c r="AJ1466" s="10"/>
      <c r="AK1466" s="10"/>
      <c r="AL1466" s="10" t="s">
        <v>3008</v>
      </c>
      <c r="AM1466" s="10"/>
      <c r="AN1466" s="10"/>
      <c r="AO1466" s="13" t="b">
        <v>0</v>
      </c>
      <c r="AP1466" s="10" t="s">
        <v>104</v>
      </c>
      <c r="AQ1466" s="10"/>
      <c r="AR1466" s="17"/>
      <c r="AS1466" s="17"/>
      <c r="AT1466" s="17"/>
      <c r="AU1466" s="17"/>
      <c r="AV1466" s="17"/>
      <c r="AW1466" s="10"/>
      <c r="AX1466" s="17"/>
      <c r="AY1466" s="18" t="s">
        <v>257</v>
      </c>
      <c r="AZ1466" s="10"/>
      <c r="BA1466" s="20" t="b">
        <v>0</v>
      </c>
      <c r="BB1466" s="10"/>
      <c r="BC1466" s="17" t="s">
        <v>257</v>
      </c>
      <c r="BD1466" s="17" t="s">
        <v>257</v>
      </c>
      <c r="BE1466" s="17" t="s">
        <v>257</v>
      </c>
      <c r="BF1466" s="17" t="s">
        <v>257</v>
      </c>
      <c r="BG1466" s="11">
        <f ca="1">IFERROR(__xludf.DUMMYFUNCTION("""COMPUTED_VALUE"""),46138)</f>
        <v>46138</v>
      </c>
      <c r="BH1466" s="17"/>
      <c r="BI1466" s="17"/>
      <c r="BJ1466" s="15"/>
      <c r="BK1466" s="15"/>
      <c r="BL1466" s="13" t="b">
        <v>0</v>
      </c>
      <c r="BM1466" s="10"/>
      <c r="BN1466" s="10" t="s">
        <v>223</v>
      </c>
      <c r="BO1466" s="11">
        <v>45904.28460648148</v>
      </c>
      <c r="BP1466" s="11">
        <v>45904.28460648148</v>
      </c>
      <c r="BQ1466" s="15"/>
      <c r="BR1466" s="15"/>
      <c r="BS1466" s="10"/>
      <c r="BT1466" s="10"/>
      <c r="BU1466" s="10"/>
      <c r="BV1466" s="10"/>
      <c r="BW1466" s="10"/>
      <c r="BX1466" s="10"/>
      <c r="BY1466" s="23"/>
      <c r="BZ1466" s="23"/>
      <c r="CA1466" s="23"/>
      <c r="CB1466" s="23"/>
      <c r="CC1466" s="23"/>
      <c r="CD1466" s="23"/>
      <c r="CE1466" s="23"/>
      <c r="CF1466" s="23"/>
      <c r="CG1466" s="23"/>
      <c r="CH1466" s="23"/>
      <c r="CI1466" s="23"/>
    </row>
    <row r="1467" spans="1:87" x14ac:dyDescent="0.3">
      <c r="A1467" s="9" t="s">
        <v>11209</v>
      </c>
      <c r="B1467" s="10" t="s">
        <v>11210</v>
      </c>
      <c r="C1467" s="11">
        <v>46138</v>
      </c>
      <c r="D1467" s="12">
        <v>8.3333333333333329E-2</v>
      </c>
      <c r="E1467" s="11">
        <v>46138.083333333336</v>
      </c>
      <c r="F1467" s="10" t="s">
        <v>3211</v>
      </c>
      <c r="G1467" s="13" t="b">
        <v>0</v>
      </c>
      <c r="H1467" s="10" t="s">
        <v>3212</v>
      </c>
      <c r="I1467" s="10" t="s">
        <v>3213</v>
      </c>
      <c r="J1467" s="13" t="b">
        <v>0</v>
      </c>
      <c r="K1467" s="13" t="b">
        <v>1</v>
      </c>
      <c r="L1467" s="10" t="s">
        <v>124</v>
      </c>
      <c r="M1467" s="10" t="s">
        <v>91</v>
      </c>
      <c r="N1467" s="10" t="s">
        <v>92</v>
      </c>
      <c r="O1467" s="10"/>
      <c r="P1467" s="10"/>
      <c r="Q1467" s="10"/>
      <c r="R1467" s="10"/>
      <c r="S1467" s="10"/>
      <c r="T1467" s="10"/>
      <c r="U1467" s="10" t="s">
        <v>3289</v>
      </c>
      <c r="V1467" s="10" t="s">
        <v>3259</v>
      </c>
      <c r="W1467" s="10" t="s">
        <v>3219</v>
      </c>
      <c r="X1467" s="10" t="s">
        <v>130</v>
      </c>
      <c r="Y1467" s="10" t="s">
        <v>130</v>
      </c>
      <c r="Z1467" s="10" t="s">
        <v>99</v>
      </c>
      <c r="AA1467" s="10" t="s">
        <v>131</v>
      </c>
      <c r="AB1467" s="10" t="s">
        <v>3220</v>
      </c>
      <c r="AC1467" s="10" t="s">
        <v>3221</v>
      </c>
      <c r="AD1467" s="10" t="s">
        <v>11211</v>
      </c>
      <c r="AE1467" s="10" t="s">
        <v>11212</v>
      </c>
      <c r="AF1467" s="15"/>
      <c r="AG1467" s="10"/>
      <c r="AH1467" s="10"/>
      <c r="AI1467" s="10"/>
      <c r="AJ1467" s="10"/>
      <c r="AK1467" s="10"/>
      <c r="AL1467" s="10" t="s">
        <v>3008</v>
      </c>
      <c r="AM1467" s="10"/>
      <c r="AN1467" s="10"/>
      <c r="AO1467" s="13" t="b">
        <v>0</v>
      </c>
      <c r="AP1467" s="10" t="s">
        <v>104</v>
      </c>
      <c r="AQ1467" s="10"/>
      <c r="AR1467" s="17"/>
      <c r="AS1467" s="17"/>
      <c r="AT1467" s="17"/>
      <c r="AU1467" s="17"/>
      <c r="AV1467" s="17"/>
      <c r="AW1467" s="10"/>
      <c r="AX1467" s="17"/>
      <c r="AY1467" s="18" t="s">
        <v>257</v>
      </c>
      <c r="AZ1467" s="10"/>
      <c r="BA1467" s="20" t="b">
        <v>0</v>
      </c>
      <c r="BB1467" s="10"/>
      <c r="BC1467" s="17" t="s">
        <v>257</v>
      </c>
      <c r="BD1467" s="17" t="s">
        <v>257</v>
      </c>
      <c r="BE1467" s="17" t="s">
        <v>257</v>
      </c>
      <c r="BF1467" s="17" t="s">
        <v>257</v>
      </c>
      <c r="BG1467" s="11">
        <f ca="1">IFERROR(__xludf.DUMMYFUNCTION("""COMPUTED_VALUE"""),46138)</f>
        <v>46138</v>
      </c>
      <c r="BH1467" s="17"/>
      <c r="BI1467" s="17"/>
      <c r="BJ1467" s="15"/>
      <c r="BK1467" s="15"/>
      <c r="BL1467" s="13" t="b">
        <v>0</v>
      </c>
      <c r="BM1467" s="10"/>
      <c r="BN1467" s="10" t="s">
        <v>223</v>
      </c>
      <c r="BO1467" s="11">
        <v>45904.28460648148</v>
      </c>
      <c r="BP1467" s="11">
        <v>45904.28460648148</v>
      </c>
      <c r="BQ1467" s="15"/>
      <c r="BR1467" s="15"/>
      <c r="BS1467" s="10"/>
      <c r="BT1467" s="10"/>
      <c r="BU1467" s="10"/>
      <c r="BV1467" s="10"/>
      <c r="BW1467" s="10"/>
      <c r="BX1467" s="10"/>
      <c r="BY1467" s="23"/>
      <c r="BZ1467" s="23"/>
      <c r="CA1467" s="23"/>
      <c r="CB1467" s="23"/>
      <c r="CC1467" s="23"/>
      <c r="CD1467" s="23"/>
      <c r="CE1467" s="23"/>
      <c r="CF1467" s="23"/>
      <c r="CG1467" s="23"/>
      <c r="CH1467" s="23"/>
      <c r="CI1467" s="23"/>
    </row>
    <row r="1468" spans="1:87" x14ac:dyDescent="0.3">
      <c r="A1468" s="9" t="s">
        <v>11213</v>
      </c>
      <c r="B1468" s="10" t="s">
        <v>11214</v>
      </c>
      <c r="C1468" s="11">
        <v>46138</v>
      </c>
      <c r="D1468" s="12">
        <v>8.3333333333333329E-2</v>
      </c>
      <c r="E1468" s="11">
        <v>46138.083333333336</v>
      </c>
      <c r="F1468" s="10" t="s">
        <v>3211</v>
      </c>
      <c r="G1468" s="13" t="b">
        <v>0</v>
      </c>
      <c r="H1468" s="10" t="s">
        <v>3212</v>
      </c>
      <c r="I1468" s="10" t="s">
        <v>3213</v>
      </c>
      <c r="J1468" s="13" t="b">
        <v>0</v>
      </c>
      <c r="K1468" s="13" t="b">
        <v>1</v>
      </c>
      <c r="L1468" s="10" t="s">
        <v>124</v>
      </c>
      <c r="M1468" s="10" t="s">
        <v>91</v>
      </c>
      <c r="N1468" s="10" t="s">
        <v>92</v>
      </c>
      <c r="O1468" s="10"/>
      <c r="P1468" s="10"/>
      <c r="Q1468" s="10"/>
      <c r="R1468" s="10"/>
      <c r="S1468" s="10"/>
      <c r="T1468" s="10"/>
      <c r="U1468" s="10" t="s">
        <v>3318</v>
      </c>
      <c r="V1468" s="10" t="s">
        <v>3440</v>
      </c>
      <c r="W1468" s="10" t="s">
        <v>3219</v>
      </c>
      <c r="X1468" s="10" t="s">
        <v>130</v>
      </c>
      <c r="Y1468" s="10" t="s">
        <v>130</v>
      </c>
      <c r="Z1468" s="10" t="s">
        <v>99</v>
      </c>
      <c r="AA1468" s="10" t="s">
        <v>131</v>
      </c>
      <c r="AB1468" s="10" t="s">
        <v>3220</v>
      </c>
      <c r="AC1468" s="10" t="s">
        <v>3221</v>
      </c>
      <c r="AD1468" s="10" t="s">
        <v>11215</v>
      </c>
      <c r="AE1468" s="10" t="s">
        <v>11216</v>
      </c>
      <c r="AF1468" s="15"/>
      <c r="AG1468" s="10"/>
      <c r="AH1468" s="10"/>
      <c r="AI1468" s="10"/>
      <c r="AJ1468" s="10"/>
      <c r="AK1468" s="10"/>
      <c r="AL1468" s="10" t="s">
        <v>3008</v>
      </c>
      <c r="AM1468" s="10"/>
      <c r="AN1468" s="10"/>
      <c r="AO1468" s="13" t="b">
        <v>0</v>
      </c>
      <c r="AP1468" s="10" t="s">
        <v>104</v>
      </c>
      <c r="AQ1468" s="10"/>
      <c r="AR1468" s="17"/>
      <c r="AS1468" s="17"/>
      <c r="AT1468" s="17"/>
      <c r="AU1468" s="17"/>
      <c r="AV1468" s="17"/>
      <c r="AW1468" s="10"/>
      <c r="AX1468" s="17"/>
      <c r="AY1468" s="18" t="s">
        <v>257</v>
      </c>
      <c r="AZ1468" s="10"/>
      <c r="BA1468" s="20" t="b">
        <v>0</v>
      </c>
      <c r="BB1468" s="10"/>
      <c r="BC1468" s="17" t="s">
        <v>257</v>
      </c>
      <c r="BD1468" s="17" t="s">
        <v>257</v>
      </c>
      <c r="BE1468" s="17" t="s">
        <v>257</v>
      </c>
      <c r="BF1468" s="17" t="s">
        <v>257</v>
      </c>
      <c r="BG1468" s="11">
        <f ca="1">IFERROR(__xludf.DUMMYFUNCTION("""COMPUTED_VALUE"""),46138)</f>
        <v>46138</v>
      </c>
      <c r="BH1468" s="17"/>
      <c r="BI1468" s="17"/>
      <c r="BJ1468" s="15"/>
      <c r="BK1468" s="15"/>
      <c r="BL1468" s="13" t="b">
        <v>0</v>
      </c>
      <c r="BM1468" s="10"/>
      <c r="BN1468" s="10" t="s">
        <v>223</v>
      </c>
      <c r="BO1468" s="11">
        <v>45904.28460648148</v>
      </c>
      <c r="BP1468" s="11">
        <v>45904.28460648148</v>
      </c>
      <c r="BQ1468" s="15"/>
      <c r="BR1468" s="15"/>
      <c r="BS1468" s="10"/>
      <c r="BT1468" s="10"/>
      <c r="BU1468" s="10"/>
      <c r="BV1468" s="10"/>
      <c r="BW1468" s="10"/>
      <c r="BX1468" s="10"/>
      <c r="BY1468" s="23"/>
      <c r="BZ1468" s="23"/>
      <c r="CA1468" s="23"/>
      <c r="CB1468" s="23"/>
      <c r="CC1468" s="23"/>
      <c r="CD1468" s="23"/>
      <c r="CE1468" s="23"/>
      <c r="CF1468" s="23"/>
      <c r="CG1468" s="23"/>
      <c r="CH1468" s="23"/>
      <c r="CI1468" s="23"/>
    </row>
    <row r="1469" spans="1:87" x14ac:dyDescent="0.3">
      <c r="A1469" s="25" t="s">
        <v>11217</v>
      </c>
      <c r="B1469" s="10" t="s">
        <v>11218</v>
      </c>
      <c r="C1469" s="11">
        <v>46138</v>
      </c>
      <c r="D1469" s="12">
        <v>8.3333333333333329E-2</v>
      </c>
      <c r="E1469" s="11">
        <v>46138.083333333336</v>
      </c>
      <c r="F1469" s="10" t="s">
        <v>3211</v>
      </c>
      <c r="G1469" s="13" t="b">
        <v>0</v>
      </c>
      <c r="H1469" s="10" t="s">
        <v>3212</v>
      </c>
      <c r="I1469" s="10" t="s">
        <v>3213</v>
      </c>
      <c r="J1469" s="13" t="b">
        <v>0</v>
      </c>
      <c r="K1469" s="13" t="b">
        <v>1</v>
      </c>
      <c r="L1469" s="10" t="s">
        <v>124</v>
      </c>
      <c r="M1469" s="10" t="s">
        <v>91</v>
      </c>
      <c r="N1469" s="10" t="s">
        <v>92</v>
      </c>
      <c r="O1469" s="10"/>
      <c r="P1469" s="10"/>
      <c r="Q1469" s="10"/>
      <c r="R1469" s="10"/>
      <c r="S1469" s="10"/>
      <c r="T1469" s="10"/>
      <c r="U1469" s="10" t="s">
        <v>3260</v>
      </c>
      <c r="V1469" s="10" t="s">
        <v>3451</v>
      </c>
      <c r="W1469" s="10" t="s">
        <v>3219</v>
      </c>
      <c r="X1469" s="10" t="s">
        <v>130</v>
      </c>
      <c r="Y1469" s="10" t="s">
        <v>130</v>
      </c>
      <c r="Z1469" s="10" t="s">
        <v>99</v>
      </c>
      <c r="AA1469" s="10" t="s">
        <v>131</v>
      </c>
      <c r="AB1469" s="10" t="s">
        <v>3220</v>
      </c>
      <c r="AC1469" s="10" t="s">
        <v>3221</v>
      </c>
      <c r="AD1469" s="10" t="s">
        <v>11219</v>
      </c>
      <c r="AE1469" s="10" t="s">
        <v>11220</v>
      </c>
      <c r="AF1469" s="15"/>
      <c r="AG1469" s="10"/>
      <c r="AH1469" s="10"/>
      <c r="AI1469" s="10"/>
      <c r="AJ1469" s="10"/>
      <c r="AK1469" s="10"/>
      <c r="AL1469" s="10" t="s">
        <v>3008</v>
      </c>
      <c r="AM1469" s="10"/>
      <c r="AN1469" s="10"/>
      <c r="AO1469" s="13" t="b">
        <v>0</v>
      </c>
      <c r="AP1469" s="10" t="s">
        <v>104</v>
      </c>
      <c r="AQ1469" s="10"/>
      <c r="AR1469" s="17"/>
      <c r="AS1469" s="17"/>
      <c r="AT1469" s="17"/>
      <c r="AU1469" s="17"/>
      <c r="AV1469" s="17"/>
      <c r="AW1469" s="10"/>
      <c r="AX1469" s="17"/>
      <c r="AY1469" s="18" t="s">
        <v>257</v>
      </c>
      <c r="AZ1469" s="10"/>
      <c r="BA1469" s="20" t="b">
        <v>0</v>
      </c>
      <c r="BB1469" s="10"/>
      <c r="BC1469" s="17" t="s">
        <v>257</v>
      </c>
      <c r="BD1469" s="17" t="s">
        <v>257</v>
      </c>
      <c r="BE1469" s="17" t="s">
        <v>257</v>
      </c>
      <c r="BF1469" s="17" t="s">
        <v>257</v>
      </c>
      <c r="BG1469" s="11">
        <f ca="1">IFERROR(__xludf.DUMMYFUNCTION("""COMPUTED_VALUE"""),46138)</f>
        <v>46138</v>
      </c>
      <c r="BH1469" s="17"/>
      <c r="BI1469" s="17"/>
      <c r="BJ1469" s="15"/>
      <c r="BK1469" s="15"/>
      <c r="BL1469" s="13" t="b">
        <v>0</v>
      </c>
      <c r="BM1469" s="10"/>
      <c r="BN1469" s="10" t="s">
        <v>223</v>
      </c>
      <c r="BO1469" s="11">
        <v>45904.28460648148</v>
      </c>
      <c r="BP1469" s="11">
        <v>45904.28460648148</v>
      </c>
      <c r="BQ1469" s="15"/>
      <c r="BR1469" s="15"/>
      <c r="BS1469" s="10"/>
      <c r="BT1469" s="10"/>
      <c r="BU1469" s="10"/>
      <c r="BV1469" s="10"/>
      <c r="BW1469" s="10"/>
      <c r="BX1469" s="10"/>
      <c r="BY1469" s="23"/>
      <c r="BZ1469" s="23"/>
      <c r="CA1469" s="23"/>
      <c r="CB1469" s="23"/>
      <c r="CC1469" s="23"/>
      <c r="CD1469" s="23"/>
      <c r="CE1469" s="23"/>
      <c r="CF1469" s="23"/>
      <c r="CG1469" s="23"/>
      <c r="CH1469" s="23"/>
      <c r="CI1469" s="23"/>
    </row>
    <row r="1470" spans="1:87" x14ac:dyDescent="0.3">
      <c r="A1470" s="9" t="s">
        <v>11221</v>
      </c>
      <c r="B1470" s="10" t="s">
        <v>11222</v>
      </c>
      <c r="C1470" s="11">
        <v>46138</v>
      </c>
      <c r="D1470" s="12">
        <v>8.3333333333333329E-2</v>
      </c>
      <c r="E1470" s="11">
        <v>46138.083333333336</v>
      </c>
      <c r="F1470" s="10" t="s">
        <v>3211</v>
      </c>
      <c r="G1470" s="13" t="b">
        <v>0</v>
      </c>
      <c r="H1470" s="10" t="s">
        <v>3212</v>
      </c>
      <c r="I1470" s="10" t="s">
        <v>3213</v>
      </c>
      <c r="J1470" s="13" t="b">
        <v>0</v>
      </c>
      <c r="K1470" s="13" t="b">
        <v>1</v>
      </c>
      <c r="L1470" s="10" t="s">
        <v>124</v>
      </c>
      <c r="M1470" s="10" t="s">
        <v>91</v>
      </c>
      <c r="N1470" s="10" t="s">
        <v>92</v>
      </c>
      <c r="O1470" s="10"/>
      <c r="P1470" s="10"/>
      <c r="Q1470" s="10"/>
      <c r="R1470" s="10"/>
      <c r="S1470" s="10"/>
      <c r="T1470" s="10"/>
      <c r="U1470" s="10" t="s">
        <v>3279</v>
      </c>
      <c r="V1470" s="10" t="s">
        <v>3278</v>
      </c>
      <c r="W1470" s="10" t="s">
        <v>3219</v>
      </c>
      <c r="X1470" s="10" t="s">
        <v>130</v>
      </c>
      <c r="Y1470" s="10" t="s">
        <v>130</v>
      </c>
      <c r="Z1470" s="10" t="s">
        <v>99</v>
      </c>
      <c r="AA1470" s="10" t="s">
        <v>131</v>
      </c>
      <c r="AB1470" s="10" t="s">
        <v>3220</v>
      </c>
      <c r="AC1470" s="10" t="s">
        <v>3221</v>
      </c>
      <c r="AD1470" s="10" t="s">
        <v>11223</v>
      </c>
      <c r="AE1470" s="10" t="s">
        <v>11224</v>
      </c>
      <c r="AF1470" s="15"/>
      <c r="AG1470" s="10"/>
      <c r="AH1470" s="10"/>
      <c r="AI1470" s="10"/>
      <c r="AJ1470" s="10"/>
      <c r="AK1470" s="10"/>
      <c r="AL1470" s="10" t="s">
        <v>3008</v>
      </c>
      <c r="AM1470" s="10"/>
      <c r="AN1470" s="10"/>
      <c r="AO1470" s="13" t="b">
        <v>0</v>
      </c>
      <c r="AP1470" s="10" t="s">
        <v>104</v>
      </c>
      <c r="AQ1470" s="10"/>
      <c r="AR1470" s="17"/>
      <c r="AS1470" s="17"/>
      <c r="AT1470" s="17"/>
      <c r="AU1470" s="17"/>
      <c r="AV1470" s="17"/>
      <c r="AW1470" s="10"/>
      <c r="AX1470" s="17"/>
      <c r="AY1470" s="18" t="s">
        <v>257</v>
      </c>
      <c r="AZ1470" s="10"/>
      <c r="BA1470" s="20" t="b">
        <v>0</v>
      </c>
      <c r="BB1470" s="10"/>
      <c r="BC1470" s="17" t="s">
        <v>257</v>
      </c>
      <c r="BD1470" s="17" t="s">
        <v>257</v>
      </c>
      <c r="BE1470" s="17" t="s">
        <v>257</v>
      </c>
      <c r="BF1470" s="17" t="s">
        <v>257</v>
      </c>
      <c r="BG1470" s="11">
        <f ca="1">IFERROR(__xludf.DUMMYFUNCTION("""COMPUTED_VALUE"""),46138)</f>
        <v>46138</v>
      </c>
      <c r="BH1470" s="17"/>
      <c r="BI1470" s="17"/>
      <c r="BJ1470" s="15"/>
      <c r="BK1470" s="15"/>
      <c r="BL1470" s="13" t="b">
        <v>0</v>
      </c>
      <c r="BM1470" s="10"/>
      <c r="BN1470" s="10" t="s">
        <v>223</v>
      </c>
      <c r="BO1470" s="11">
        <v>45904.28460648148</v>
      </c>
      <c r="BP1470" s="11">
        <v>45904.28460648148</v>
      </c>
      <c r="BQ1470" s="15"/>
      <c r="BR1470" s="15"/>
      <c r="BS1470" s="10"/>
      <c r="BT1470" s="10"/>
      <c r="BU1470" s="10"/>
      <c r="BV1470" s="10"/>
      <c r="BW1470" s="10"/>
      <c r="BX1470" s="10"/>
      <c r="BY1470" s="23"/>
      <c r="BZ1470" s="23"/>
      <c r="CA1470" s="23"/>
      <c r="CB1470" s="23"/>
      <c r="CC1470" s="23"/>
      <c r="CD1470" s="23"/>
      <c r="CE1470" s="23"/>
      <c r="CF1470" s="23"/>
      <c r="CG1470" s="23"/>
      <c r="CH1470" s="23"/>
      <c r="CI1470" s="23"/>
    </row>
    <row r="1471" spans="1:87" x14ac:dyDescent="0.3">
      <c r="A1471" s="9" t="s">
        <v>11225</v>
      </c>
      <c r="B1471" s="10" t="s">
        <v>11226</v>
      </c>
      <c r="C1471" s="11">
        <v>46138</v>
      </c>
      <c r="D1471" s="12">
        <v>8.3333333333333329E-2</v>
      </c>
      <c r="E1471" s="11">
        <v>46138.083333333336</v>
      </c>
      <c r="F1471" s="10" t="s">
        <v>3211</v>
      </c>
      <c r="G1471" s="13" t="b">
        <v>0</v>
      </c>
      <c r="H1471" s="10" t="s">
        <v>3212</v>
      </c>
      <c r="I1471" s="10" t="s">
        <v>3213</v>
      </c>
      <c r="J1471" s="13" t="b">
        <v>0</v>
      </c>
      <c r="K1471" s="13" t="b">
        <v>1</v>
      </c>
      <c r="L1471" s="10" t="s">
        <v>124</v>
      </c>
      <c r="M1471" s="10" t="s">
        <v>91</v>
      </c>
      <c r="N1471" s="10" t="s">
        <v>92</v>
      </c>
      <c r="O1471" s="10"/>
      <c r="P1471" s="10"/>
      <c r="Q1471" s="10"/>
      <c r="R1471" s="10"/>
      <c r="S1471" s="10"/>
      <c r="T1471" s="10"/>
      <c r="U1471" s="10" t="s">
        <v>3270</v>
      </c>
      <c r="V1471" s="10" t="s">
        <v>3218</v>
      </c>
      <c r="W1471" s="10" t="s">
        <v>3219</v>
      </c>
      <c r="X1471" s="10" t="s">
        <v>130</v>
      </c>
      <c r="Y1471" s="10" t="s">
        <v>130</v>
      </c>
      <c r="Z1471" s="10" t="s">
        <v>99</v>
      </c>
      <c r="AA1471" s="10" t="s">
        <v>131</v>
      </c>
      <c r="AB1471" s="10" t="s">
        <v>3220</v>
      </c>
      <c r="AC1471" s="10" t="s">
        <v>3221</v>
      </c>
      <c r="AD1471" s="10" t="s">
        <v>11227</v>
      </c>
      <c r="AE1471" s="10" t="s">
        <v>11228</v>
      </c>
      <c r="AF1471" s="15"/>
      <c r="AG1471" s="10"/>
      <c r="AH1471" s="10"/>
      <c r="AI1471" s="10"/>
      <c r="AJ1471" s="10"/>
      <c r="AK1471" s="10"/>
      <c r="AL1471" s="10" t="s">
        <v>3008</v>
      </c>
      <c r="AM1471" s="10"/>
      <c r="AN1471" s="10"/>
      <c r="AO1471" s="13" t="b">
        <v>0</v>
      </c>
      <c r="AP1471" s="10" t="s">
        <v>104</v>
      </c>
      <c r="AQ1471" s="10"/>
      <c r="AR1471" s="17"/>
      <c r="AS1471" s="17"/>
      <c r="AT1471" s="17"/>
      <c r="AU1471" s="17"/>
      <c r="AV1471" s="17"/>
      <c r="AW1471" s="10"/>
      <c r="AX1471" s="17"/>
      <c r="AY1471" s="18" t="s">
        <v>257</v>
      </c>
      <c r="AZ1471" s="10"/>
      <c r="BA1471" s="20" t="b">
        <v>0</v>
      </c>
      <c r="BB1471" s="10"/>
      <c r="BC1471" s="17" t="s">
        <v>257</v>
      </c>
      <c r="BD1471" s="17" t="s">
        <v>257</v>
      </c>
      <c r="BE1471" s="17" t="s">
        <v>257</v>
      </c>
      <c r="BF1471" s="17" t="s">
        <v>257</v>
      </c>
      <c r="BG1471" s="11">
        <f ca="1">IFERROR(__xludf.DUMMYFUNCTION("""COMPUTED_VALUE"""),46138)</f>
        <v>46138</v>
      </c>
      <c r="BH1471" s="17"/>
      <c r="BI1471" s="17"/>
      <c r="BJ1471" s="15"/>
      <c r="BK1471" s="15"/>
      <c r="BL1471" s="13" t="b">
        <v>0</v>
      </c>
      <c r="BM1471" s="10"/>
      <c r="BN1471" s="10" t="s">
        <v>223</v>
      </c>
      <c r="BO1471" s="11">
        <v>45904.28460648148</v>
      </c>
      <c r="BP1471" s="11">
        <v>45904.28460648148</v>
      </c>
      <c r="BQ1471" s="15"/>
      <c r="BR1471" s="15"/>
      <c r="BS1471" s="10"/>
      <c r="BT1471" s="10"/>
      <c r="BU1471" s="10"/>
      <c r="BV1471" s="10"/>
      <c r="BW1471" s="10"/>
      <c r="BX1471" s="10"/>
      <c r="BY1471" s="23"/>
      <c r="BZ1471" s="23"/>
      <c r="CA1471" s="23"/>
      <c r="CB1471" s="23"/>
      <c r="CC1471" s="23"/>
      <c r="CD1471" s="23"/>
      <c r="CE1471" s="23"/>
      <c r="CF1471" s="23"/>
      <c r="CG1471" s="23"/>
      <c r="CH1471" s="23"/>
      <c r="CI1471" s="23"/>
    </row>
    <row r="1472" spans="1:87" x14ac:dyDescent="0.3">
      <c r="A1472" s="9" t="s">
        <v>11229</v>
      </c>
      <c r="B1472" s="10" t="s">
        <v>11230</v>
      </c>
      <c r="C1472" s="11">
        <v>46145</v>
      </c>
      <c r="D1472" s="12">
        <v>8.3333333333333329E-2</v>
      </c>
      <c r="E1472" s="11">
        <v>46145.083333333336</v>
      </c>
      <c r="F1472" s="10" t="s">
        <v>3211</v>
      </c>
      <c r="G1472" s="13" t="b">
        <v>0</v>
      </c>
      <c r="H1472" s="10" t="s">
        <v>3212</v>
      </c>
      <c r="I1472" s="10" t="s">
        <v>3213</v>
      </c>
      <c r="J1472" s="13" t="b">
        <v>0</v>
      </c>
      <c r="K1472" s="13" t="b">
        <v>1</v>
      </c>
      <c r="L1472" s="10" t="s">
        <v>124</v>
      </c>
      <c r="M1472" s="10" t="s">
        <v>91</v>
      </c>
      <c r="N1472" s="10" t="s">
        <v>92</v>
      </c>
      <c r="O1472" s="10"/>
      <c r="P1472" s="10"/>
      <c r="Q1472" s="10"/>
      <c r="R1472" s="10"/>
      <c r="S1472" s="10"/>
      <c r="T1472" s="10"/>
      <c r="U1472" s="10" t="s">
        <v>3308</v>
      </c>
      <c r="V1472" s="10" t="s">
        <v>3217</v>
      </c>
      <c r="W1472" s="10" t="s">
        <v>3219</v>
      </c>
      <c r="X1472" s="10" t="s">
        <v>130</v>
      </c>
      <c r="Y1472" s="10" t="s">
        <v>130</v>
      </c>
      <c r="Z1472" s="10" t="s">
        <v>99</v>
      </c>
      <c r="AA1472" s="10" t="s">
        <v>131</v>
      </c>
      <c r="AB1472" s="10" t="s">
        <v>3220</v>
      </c>
      <c r="AC1472" s="10" t="s">
        <v>3221</v>
      </c>
      <c r="AD1472" s="10" t="s">
        <v>11231</v>
      </c>
      <c r="AE1472" s="10" t="s">
        <v>11232</v>
      </c>
      <c r="AF1472" s="15"/>
      <c r="AG1472" s="10"/>
      <c r="AH1472" s="10"/>
      <c r="AI1472" s="10"/>
      <c r="AJ1472" s="10"/>
      <c r="AK1472" s="10"/>
      <c r="AL1472" s="10" t="s">
        <v>3049</v>
      </c>
      <c r="AM1472" s="10"/>
      <c r="AN1472" s="10"/>
      <c r="AO1472" s="13" t="b">
        <v>0</v>
      </c>
      <c r="AP1472" s="10" t="s">
        <v>104</v>
      </c>
      <c r="AQ1472" s="10"/>
      <c r="AR1472" s="17"/>
      <c r="AS1472" s="17"/>
      <c r="AT1472" s="17"/>
      <c r="AU1472" s="17"/>
      <c r="AV1472" s="17"/>
      <c r="AW1472" s="10"/>
      <c r="AX1472" s="17"/>
      <c r="AY1472" s="18" t="s">
        <v>257</v>
      </c>
      <c r="AZ1472" s="10"/>
      <c r="BA1472" s="20" t="b">
        <v>0</v>
      </c>
      <c r="BB1472" s="10"/>
      <c r="BC1472" s="17" t="s">
        <v>257</v>
      </c>
      <c r="BD1472" s="17" t="s">
        <v>257</v>
      </c>
      <c r="BE1472" s="17" t="s">
        <v>257</v>
      </c>
      <c r="BF1472" s="17" t="s">
        <v>257</v>
      </c>
      <c r="BG1472" s="11">
        <f ca="1">IFERROR(__xludf.DUMMYFUNCTION("""COMPUTED_VALUE"""),46145)</f>
        <v>46145</v>
      </c>
      <c r="BH1472" s="17"/>
      <c r="BI1472" s="17"/>
      <c r="BJ1472" s="15"/>
      <c r="BK1472" s="15"/>
      <c r="BL1472" s="13" t="b">
        <v>0</v>
      </c>
      <c r="BM1472" s="10"/>
      <c r="BN1472" s="10" t="s">
        <v>223</v>
      </c>
      <c r="BO1472" s="11">
        <v>45904.28460648148</v>
      </c>
      <c r="BP1472" s="11">
        <v>45904.28460648148</v>
      </c>
      <c r="BQ1472" s="15"/>
      <c r="BR1472" s="15"/>
      <c r="BS1472" s="10"/>
      <c r="BT1472" s="10"/>
      <c r="BU1472" s="10"/>
      <c r="BV1472" s="10"/>
      <c r="BW1472" s="10"/>
      <c r="BX1472" s="10"/>
      <c r="BY1472" s="23"/>
      <c r="BZ1472" s="23"/>
      <c r="CA1472" s="23"/>
      <c r="CB1472" s="23"/>
      <c r="CC1472" s="23"/>
      <c r="CD1472" s="23"/>
      <c r="CE1472" s="23"/>
      <c r="CF1472" s="23"/>
      <c r="CG1472" s="23"/>
      <c r="CH1472" s="23"/>
      <c r="CI1472" s="23"/>
    </row>
    <row r="1473" spans="1:87" x14ac:dyDescent="0.3">
      <c r="A1473" s="9" t="s">
        <v>11233</v>
      </c>
      <c r="B1473" s="10" t="s">
        <v>11234</v>
      </c>
      <c r="C1473" s="11">
        <v>46145</v>
      </c>
      <c r="D1473" s="12">
        <v>8.3333333333333329E-2</v>
      </c>
      <c r="E1473" s="11">
        <v>46145.083333333336</v>
      </c>
      <c r="F1473" s="10" t="s">
        <v>3211</v>
      </c>
      <c r="G1473" s="13" t="b">
        <v>0</v>
      </c>
      <c r="H1473" s="10" t="s">
        <v>3212</v>
      </c>
      <c r="I1473" s="10" t="s">
        <v>3213</v>
      </c>
      <c r="J1473" s="13" t="b">
        <v>0</v>
      </c>
      <c r="K1473" s="13" t="b">
        <v>1</v>
      </c>
      <c r="L1473" s="10" t="s">
        <v>124</v>
      </c>
      <c r="M1473" s="10" t="s">
        <v>91</v>
      </c>
      <c r="N1473" s="10" t="s">
        <v>92</v>
      </c>
      <c r="O1473" s="10"/>
      <c r="P1473" s="10"/>
      <c r="Q1473" s="10"/>
      <c r="R1473" s="10"/>
      <c r="S1473" s="10"/>
      <c r="T1473" s="10"/>
      <c r="U1473" s="10" t="s">
        <v>3230</v>
      </c>
      <c r="V1473" s="10" t="s">
        <v>3239</v>
      </c>
      <c r="W1473" s="10" t="s">
        <v>3219</v>
      </c>
      <c r="X1473" s="10" t="s">
        <v>130</v>
      </c>
      <c r="Y1473" s="10" t="s">
        <v>130</v>
      </c>
      <c r="Z1473" s="10" t="s">
        <v>99</v>
      </c>
      <c r="AA1473" s="10" t="s">
        <v>131</v>
      </c>
      <c r="AB1473" s="10" t="s">
        <v>3220</v>
      </c>
      <c r="AC1473" s="10" t="s">
        <v>3221</v>
      </c>
      <c r="AD1473" s="10" t="s">
        <v>11235</v>
      </c>
      <c r="AE1473" s="10" t="s">
        <v>11236</v>
      </c>
      <c r="AF1473" s="15"/>
      <c r="AG1473" s="10"/>
      <c r="AH1473" s="10"/>
      <c r="AI1473" s="10"/>
      <c r="AJ1473" s="10"/>
      <c r="AK1473" s="10"/>
      <c r="AL1473" s="10" t="s">
        <v>3049</v>
      </c>
      <c r="AM1473" s="10"/>
      <c r="AN1473" s="10"/>
      <c r="AO1473" s="13" t="b">
        <v>0</v>
      </c>
      <c r="AP1473" s="10" t="s">
        <v>104</v>
      </c>
      <c r="AQ1473" s="10"/>
      <c r="AR1473" s="17"/>
      <c r="AS1473" s="17"/>
      <c r="AT1473" s="17"/>
      <c r="AU1473" s="17"/>
      <c r="AV1473" s="17"/>
      <c r="AW1473" s="10"/>
      <c r="AX1473" s="17"/>
      <c r="AY1473" s="18" t="s">
        <v>257</v>
      </c>
      <c r="AZ1473" s="10"/>
      <c r="BA1473" s="20" t="b">
        <v>0</v>
      </c>
      <c r="BB1473" s="10"/>
      <c r="BC1473" s="17" t="s">
        <v>257</v>
      </c>
      <c r="BD1473" s="17" t="s">
        <v>257</v>
      </c>
      <c r="BE1473" s="17" t="s">
        <v>257</v>
      </c>
      <c r="BF1473" s="17" t="s">
        <v>257</v>
      </c>
      <c r="BG1473" s="11">
        <f ca="1">IFERROR(__xludf.DUMMYFUNCTION("""COMPUTED_VALUE"""),46145)</f>
        <v>46145</v>
      </c>
      <c r="BH1473" s="17"/>
      <c r="BI1473" s="17"/>
      <c r="BJ1473" s="15"/>
      <c r="BK1473" s="15"/>
      <c r="BL1473" s="13" t="b">
        <v>0</v>
      </c>
      <c r="BM1473" s="10"/>
      <c r="BN1473" s="10" t="s">
        <v>223</v>
      </c>
      <c r="BO1473" s="11">
        <v>45904.28460648148</v>
      </c>
      <c r="BP1473" s="11">
        <v>45904.28460648148</v>
      </c>
      <c r="BQ1473" s="15"/>
      <c r="BR1473" s="15"/>
      <c r="BS1473" s="10"/>
      <c r="BT1473" s="10"/>
      <c r="BU1473" s="10"/>
      <c r="BV1473" s="10"/>
      <c r="BW1473" s="10"/>
      <c r="BX1473" s="10"/>
      <c r="BY1473" s="23"/>
      <c r="BZ1473" s="23"/>
      <c r="CA1473" s="23"/>
      <c r="CB1473" s="23"/>
      <c r="CC1473" s="23"/>
      <c r="CD1473" s="23"/>
      <c r="CE1473" s="23"/>
      <c r="CF1473" s="23"/>
      <c r="CG1473" s="23"/>
      <c r="CH1473" s="23"/>
      <c r="CI1473" s="23"/>
    </row>
    <row r="1474" spans="1:87" x14ac:dyDescent="0.3">
      <c r="A1474" s="9" t="s">
        <v>11237</v>
      </c>
      <c r="B1474" s="10" t="s">
        <v>11238</v>
      </c>
      <c r="C1474" s="11">
        <v>46145</v>
      </c>
      <c r="D1474" s="12">
        <v>8.3333333333333329E-2</v>
      </c>
      <c r="E1474" s="11">
        <v>46145.083333333336</v>
      </c>
      <c r="F1474" s="10" t="s">
        <v>3211</v>
      </c>
      <c r="G1474" s="13" t="b">
        <v>0</v>
      </c>
      <c r="H1474" s="10" t="s">
        <v>3212</v>
      </c>
      <c r="I1474" s="10" t="s">
        <v>3213</v>
      </c>
      <c r="J1474" s="13" t="b">
        <v>0</v>
      </c>
      <c r="K1474" s="13" t="b">
        <v>1</v>
      </c>
      <c r="L1474" s="10" t="s">
        <v>124</v>
      </c>
      <c r="M1474" s="10" t="s">
        <v>91</v>
      </c>
      <c r="N1474" s="10" t="s">
        <v>92</v>
      </c>
      <c r="O1474" s="10"/>
      <c r="P1474" s="10"/>
      <c r="Q1474" s="10"/>
      <c r="R1474" s="10"/>
      <c r="S1474" s="10"/>
      <c r="T1474" s="10"/>
      <c r="U1474" s="10" t="s">
        <v>3249</v>
      </c>
      <c r="V1474" s="10" t="s">
        <v>3318</v>
      </c>
      <c r="W1474" s="10" t="s">
        <v>3219</v>
      </c>
      <c r="X1474" s="10" t="s">
        <v>130</v>
      </c>
      <c r="Y1474" s="10" t="s">
        <v>130</v>
      </c>
      <c r="Z1474" s="10" t="s">
        <v>99</v>
      </c>
      <c r="AA1474" s="10" t="s">
        <v>131</v>
      </c>
      <c r="AB1474" s="10" t="s">
        <v>3220</v>
      </c>
      <c r="AC1474" s="10" t="s">
        <v>3221</v>
      </c>
      <c r="AD1474" s="10" t="s">
        <v>11239</v>
      </c>
      <c r="AE1474" s="10" t="s">
        <v>11240</v>
      </c>
      <c r="AF1474" s="15"/>
      <c r="AG1474" s="10"/>
      <c r="AH1474" s="10"/>
      <c r="AI1474" s="10"/>
      <c r="AJ1474" s="10"/>
      <c r="AK1474" s="10"/>
      <c r="AL1474" s="10" t="s">
        <v>3049</v>
      </c>
      <c r="AM1474" s="10"/>
      <c r="AN1474" s="10"/>
      <c r="AO1474" s="13" t="b">
        <v>0</v>
      </c>
      <c r="AP1474" s="10" t="s">
        <v>104</v>
      </c>
      <c r="AQ1474" s="10"/>
      <c r="AR1474" s="17"/>
      <c r="AS1474" s="17"/>
      <c r="AT1474" s="17"/>
      <c r="AU1474" s="17"/>
      <c r="AV1474" s="17"/>
      <c r="AW1474" s="10"/>
      <c r="AX1474" s="17"/>
      <c r="AY1474" s="18" t="s">
        <v>257</v>
      </c>
      <c r="AZ1474" s="10"/>
      <c r="BA1474" s="20" t="b">
        <v>0</v>
      </c>
      <c r="BB1474" s="10"/>
      <c r="BC1474" s="17" t="s">
        <v>257</v>
      </c>
      <c r="BD1474" s="17" t="s">
        <v>257</v>
      </c>
      <c r="BE1474" s="17" t="s">
        <v>257</v>
      </c>
      <c r="BF1474" s="17" t="s">
        <v>257</v>
      </c>
      <c r="BG1474" s="11">
        <f ca="1">IFERROR(__xludf.DUMMYFUNCTION("""COMPUTED_VALUE"""),46145)</f>
        <v>46145</v>
      </c>
      <c r="BH1474" s="17"/>
      <c r="BI1474" s="17"/>
      <c r="BJ1474" s="15"/>
      <c r="BK1474" s="15"/>
      <c r="BL1474" s="13" t="b">
        <v>0</v>
      </c>
      <c r="BM1474" s="10"/>
      <c r="BN1474" s="10" t="s">
        <v>223</v>
      </c>
      <c r="BO1474" s="11">
        <v>45904.28460648148</v>
      </c>
      <c r="BP1474" s="11">
        <v>45904.28460648148</v>
      </c>
      <c r="BQ1474" s="15"/>
      <c r="BR1474" s="15"/>
      <c r="BS1474" s="10"/>
      <c r="BT1474" s="10"/>
      <c r="BU1474" s="10"/>
      <c r="BV1474" s="10"/>
      <c r="BW1474" s="10"/>
      <c r="BX1474" s="10"/>
      <c r="BY1474" s="23"/>
      <c r="BZ1474" s="23"/>
      <c r="CA1474" s="23"/>
      <c r="CB1474" s="23"/>
      <c r="CC1474" s="23"/>
      <c r="CD1474" s="23"/>
      <c r="CE1474" s="23"/>
      <c r="CF1474" s="23"/>
      <c r="CG1474" s="23"/>
      <c r="CH1474" s="23"/>
      <c r="CI1474" s="23"/>
    </row>
    <row r="1475" spans="1:87" x14ac:dyDescent="0.3">
      <c r="A1475" s="9" t="s">
        <v>11241</v>
      </c>
      <c r="B1475" s="10" t="s">
        <v>11242</v>
      </c>
      <c r="C1475" s="11">
        <v>46145</v>
      </c>
      <c r="D1475" s="12">
        <v>8.3333333333333329E-2</v>
      </c>
      <c r="E1475" s="11">
        <v>46145.083333333336</v>
      </c>
      <c r="F1475" s="10" t="s">
        <v>3211</v>
      </c>
      <c r="G1475" s="13" t="b">
        <v>0</v>
      </c>
      <c r="H1475" s="10" t="s">
        <v>3212</v>
      </c>
      <c r="I1475" s="10" t="s">
        <v>3213</v>
      </c>
      <c r="J1475" s="13" t="b">
        <v>0</v>
      </c>
      <c r="K1475" s="13" t="b">
        <v>1</v>
      </c>
      <c r="L1475" s="10" t="s">
        <v>124</v>
      </c>
      <c r="M1475" s="10" t="s">
        <v>91</v>
      </c>
      <c r="N1475" s="10" t="s">
        <v>92</v>
      </c>
      <c r="O1475" s="10"/>
      <c r="P1475" s="10"/>
      <c r="Q1475" s="10"/>
      <c r="R1475" s="10"/>
      <c r="S1475" s="10"/>
      <c r="T1475" s="10"/>
      <c r="U1475" s="10" t="s">
        <v>3440</v>
      </c>
      <c r="V1475" s="10" t="s">
        <v>3250</v>
      </c>
      <c r="W1475" s="10" t="s">
        <v>3219</v>
      </c>
      <c r="X1475" s="10" t="s">
        <v>130</v>
      </c>
      <c r="Y1475" s="10" t="s">
        <v>130</v>
      </c>
      <c r="Z1475" s="10" t="s">
        <v>99</v>
      </c>
      <c r="AA1475" s="10" t="s">
        <v>131</v>
      </c>
      <c r="AB1475" s="10" t="s">
        <v>3220</v>
      </c>
      <c r="AC1475" s="10" t="s">
        <v>3221</v>
      </c>
      <c r="AD1475" s="10" t="s">
        <v>11243</v>
      </c>
      <c r="AE1475" s="10" t="s">
        <v>11244</v>
      </c>
      <c r="AF1475" s="15"/>
      <c r="AG1475" s="10"/>
      <c r="AH1475" s="10"/>
      <c r="AI1475" s="10"/>
      <c r="AJ1475" s="10"/>
      <c r="AK1475" s="10"/>
      <c r="AL1475" s="10" t="s">
        <v>3049</v>
      </c>
      <c r="AM1475" s="10"/>
      <c r="AN1475" s="10"/>
      <c r="AO1475" s="13" t="b">
        <v>0</v>
      </c>
      <c r="AP1475" s="10" t="s">
        <v>104</v>
      </c>
      <c r="AQ1475" s="10"/>
      <c r="AR1475" s="17"/>
      <c r="AS1475" s="17"/>
      <c r="AT1475" s="17"/>
      <c r="AU1475" s="17"/>
      <c r="AV1475" s="17"/>
      <c r="AW1475" s="10"/>
      <c r="AX1475" s="17"/>
      <c r="AY1475" s="18" t="s">
        <v>257</v>
      </c>
      <c r="AZ1475" s="10"/>
      <c r="BA1475" s="20" t="b">
        <v>0</v>
      </c>
      <c r="BB1475" s="10"/>
      <c r="BC1475" s="17" t="s">
        <v>257</v>
      </c>
      <c r="BD1475" s="17" t="s">
        <v>257</v>
      </c>
      <c r="BE1475" s="17" t="s">
        <v>257</v>
      </c>
      <c r="BF1475" s="17" t="s">
        <v>257</v>
      </c>
      <c r="BG1475" s="11">
        <f ca="1">IFERROR(__xludf.DUMMYFUNCTION("""COMPUTED_VALUE"""),46145)</f>
        <v>46145</v>
      </c>
      <c r="BH1475" s="17"/>
      <c r="BI1475" s="17"/>
      <c r="BJ1475" s="15"/>
      <c r="BK1475" s="15"/>
      <c r="BL1475" s="13" t="b">
        <v>0</v>
      </c>
      <c r="BM1475" s="10"/>
      <c r="BN1475" s="10" t="s">
        <v>223</v>
      </c>
      <c r="BO1475" s="11">
        <v>45904.28460648148</v>
      </c>
      <c r="BP1475" s="11">
        <v>45904.28460648148</v>
      </c>
      <c r="BQ1475" s="15"/>
      <c r="BR1475" s="15"/>
      <c r="BS1475" s="10"/>
      <c r="BT1475" s="10"/>
      <c r="BU1475" s="10"/>
      <c r="BV1475" s="10"/>
      <c r="BW1475" s="10"/>
      <c r="BX1475" s="10"/>
      <c r="BY1475" s="23"/>
      <c r="BZ1475" s="23"/>
      <c r="CA1475" s="23"/>
      <c r="CB1475" s="23"/>
      <c r="CC1475" s="23"/>
      <c r="CD1475" s="23"/>
      <c r="CE1475" s="23"/>
      <c r="CF1475" s="23"/>
      <c r="CG1475" s="23"/>
      <c r="CH1475" s="23"/>
      <c r="CI1475" s="23"/>
    </row>
    <row r="1476" spans="1:87" x14ac:dyDescent="0.3">
      <c r="A1476" s="9" t="s">
        <v>11245</v>
      </c>
      <c r="B1476" s="10" t="s">
        <v>11246</v>
      </c>
      <c r="C1476" s="11">
        <v>46145</v>
      </c>
      <c r="D1476" s="12">
        <v>8.3333333333333329E-2</v>
      </c>
      <c r="E1476" s="11">
        <v>46145.083333333336</v>
      </c>
      <c r="F1476" s="10" t="s">
        <v>3211</v>
      </c>
      <c r="G1476" s="13" t="b">
        <v>0</v>
      </c>
      <c r="H1476" s="10" t="s">
        <v>3212</v>
      </c>
      <c r="I1476" s="10" t="s">
        <v>3213</v>
      </c>
      <c r="J1476" s="13" t="b">
        <v>0</v>
      </c>
      <c r="K1476" s="13" t="b">
        <v>1</v>
      </c>
      <c r="L1476" s="10" t="s">
        <v>124</v>
      </c>
      <c r="M1476" s="10" t="s">
        <v>91</v>
      </c>
      <c r="N1476" s="10" t="s">
        <v>92</v>
      </c>
      <c r="O1476" s="10"/>
      <c r="P1476" s="10"/>
      <c r="Q1476" s="10"/>
      <c r="R1476" s="10"/>
      <c r="S1476" s="10"/>
      <c r="T1476" s="10"/>
      <c r="U1476" s="10" t="s">
        <v>3278</v>
      </c>
      <c r="V1476" s="10" t="s">
        <v>3260</v>
      </c>
      <c r="W1476" s="10" t="s">
        <v>3219</v>
      </c>
      <c r="X1476" s="10" t="s">
        <v>130</v>
      </c>
      <c r="Y1476" s="10" t="s">
        <v>130</v>
      </c>
      <c r="Z1476" s="10" t="s">
        <v>99</v>
      </c>
      <c r="AA1476" s="10" t="s">
        <v>131</v>
      </c>
      <c r="AB1476" s="10" t="s">
        <v>3220</v>
      </c>
      <c r="AC1476" s="10" t="s">
        <v>3221</v>
      </c>
      <c r="AD1476" s="10" t="s">
        <v>11247</v>
      </c>
      <c r="AE1476" s="10" t="s">
        <v>11248</v>
      </c>
      <c r="AF1476" s="15"/>
      <c r="AG1476" s="10"/>
      <c r="AH1476" s="10"/>
      <c r="AI1476" s="10"/>
      <c r="AJ1476" s="10"/>
      <c r="AK1476" s="10"/>
      <c r="AL1476" s="10" t="s">
        <v>3049</v>
      </c>
      <c r="AM1476" s="10"/>
      <c r="AN1476" s="10"/>
      <c r="AO1476" s="13" t="b">
        <v>0</v>
      </c>
      <c r="AP1476" s="10" t="s">
        <v>104</v>
      </c>
      <c r="AQ1476" s="10"/>
      <c r="AR1476" s="17"/>
      <c r="AS1476" s="17"/>
      <c r="AT1476" s="17"/>
      <c r="AU1476" s="17"/>
      <c r="AV1476" s="17"/>
      <c r="AW1476" s="10"/>
      <c r="AX1476" s="17"/>
      <c r="AY1476" s="18" t="s">
        <v>257</v>
      </c>
      <c r="AZ1476" s="10"/>
      <c r="BA1476" s="20" t="b">
        <v>0</v>
      </c>
      <c r="BB1476" s="10"/>
      <c r="BC1476" s="17" t="s">
        <v>257</v>
      </c>
      <c r="BD1476" s="17" t="s">
        <v>257</v>
      </c>
      <c r="BE1476" s="17" t="s">
        <v>257</v>
      </c>
      <c r="BF1476" s="17" t="s">
        <v>257</v>
      </c>
      <c r="BG1476" s="11">
        <f ca="1">IFERROR(__xludf.DUMMYFUNCTION("""COMPUTED_VALUE"""),46145)</f>
        <v>46145</v>
      </c>
      <c r="BH1476" s="17"/>
      <c r="BI1476" s="17"/>
      <c r="BJ1476" s="15"/>
      <c r="BK1476" s="15"/>
      <c r="BL1476" s="13" t="b">
        <v>0</v>
      </c>
      <c r="BM1476" s="10"/>
      <c r="BN1476" s="10" t="s">
        <v>223</v>
      </c>
      <c r="BO1476" s="11">
        <v>45904.28460648148</v>
      </c>
      <c r="BP1476" s="11">
        <v>45904.28460648148</v>
      </c>
      <c r="BQ1476" s="15"/>
      <c r="BR1476" s="15"/>
      <c r="BS1476" s="10"/>
      <c r="BT1476" s="10"/>
      <c r="BU1476" s="10"/>
      <c r="BV1476" s="10"/>
      <c r="BW1476" s="10"/>
      <c r="BX1476" s="10"/>
      <c r="BY1476" s="23"/>
      <c r="BZ1476" s="23"/>
      <c r="CA1476" s="23"/>
      <c r="CB1476" s="23"/>
      <c r="CC1476" s="23"/>
      <c r="CD1476" s="23"/>
      <c r="CE1476" s="23"/>
      <c r="CF1476" s="23"/>
      <c r="CG1476" s="23"/>
      <c r="CH1476" s="23"/>
      <c r="CI1476" s="23"/>
    </row>
    <row r="1477" spans="1:87" x14ac:dyDescent="0.3">
      <c r="A1477" s="9" t="s">
        <v>11249</v>
      </c>
      <c r="B1477" s="10" t="s">
        <v>11250</v>
      </c>
      <c r="C1477" s="11">
        <v>46145</v>
      </c>
      <c r="D1477" s="12">
        <v>8.3333333333333329E-2</v>
      </c>
      <c r="E1477" s="11">
        <v>46145.083333333336</v>
      </c>
      <c r="F1477" s="10" t="s">
        <v>3211</v>
      </c>
      <c r="G1477" s="13" t="b">
        <v>0</v>
      </c>
      <c r="H1477" s="10" t="s">
        <v>3212</v>
      </c>
      <c r="I1477" s="10" t="s">
        <v>3213</v>
      </c>
      <c r="J1477" s="13" t="b">
        <v>0</v>
      </c>
      <c r="K1477" s="13" t="b">
        <v>1</v>
      </c>
      <c r="L1477" s="10" t="s">
        <v>124</v>
      </c>
      <c r="M1477" s="10" t="s">
        <v>91</v>
      </c>
      <c r="N1477" s="10" t="s">
        <v>92</v>
      </c>
      <c r="O1477" s="10"/>
      <c r="P1477" s="10"/>
      <c r="Q1477" s="10"/>
      <c r="R1477" s="10"/>
      <c r="S1477" s="10"/>
      <c r="T1477" s="10"/>
      <c r="U1477" s="10" t="s">
        <v>3259</v>
      </c>
      <c r="V1477" s="10" t="s">
        <v>3270</v>
      </c>
      <c r="W1477" s="10" t="s">
        <v>3219</v>
      </c>
      <c r="X1477" s="10" t="s">
        <v>130</v>
      </c>
      <c r="Y1477" s="10" t="s">
        <v>130</v>
      </c>
      <c r="Z1477" s="10" t="s">
        <v>99</v>
      </c>
      <c r="AA1477" s="10" t="s">
        <v>131</v>
      </c>
      <c r="AB1477" s="10" t="s">
        <v>3220</v>
      </c>
      <c r="AC1477" s="10" t="s">
        <v>3221</v>
      </c>
      <c r="AD1477" s="10" t="s">
        <v>11251</v>
      </c>
      <c r="AE1477" s="10" t="s">
        <v>11252</v>
      </c>
      <c r="AF1477" s="15"/>
      <c r="AG1477" s="10"/>
      <c r="AH1477" s="10"/>
      <c r="AI1477" s="10"/>
      <c r="AJ1477" s="10"/>
      <c r="AK1477" s="10"/>
      <c r="AL1477" s="10" t="s">
        <v>3049</v>
      </c>
      <c r="AM1477" s="10"/>
      <c r="AN1477" s="10"/>
      <c r="AO1477" s="13" t="b">
        <v>0</v>
      </c>
      <c r="AP1477" s="10" t="s">
        <v>104</v>
      </c>
      <c r="AQ1477" s="10"/>
      <c r="AR1477" s="17"/>
      <c r="AS1477" s="17"/>
      <c r="AT1477" s="17"/>
      <c r="AU1477" s="17"/>
      <c r="AV1477" s="17"/>
      <c r="AW1477" s="10"/>
      <c r="AX1477" s="17"/>
      <c r="AY1477" s="18" t="s">
        <v>257</v>
      </c>
      <c r="AZ1477" s="10"/>
      <c r="BA1477" s="20" t="b">
        <v>0</v>
      </c>
      <c r="BB1477" s="10"/>
      <c r="BC1477" s="17" t="s">
        <v>257</v>
      </c>
      <c r="BD1477" s="17" t="s">
        <v>257</v>
      </c>
      <c r="BE1477" s="17" t="s">
        <v>257</v>
      </c>
      <c r="BF1477" s="17" t="s">
        <v>257</v>
      </c>
      <c r="BG1477" s="11">
        <f ca="1">IFERROR(__xludf.DUMMYFUNCTION("""COMPUTED_VALUE"""),46145)</f>
        <v>46145</v>
      </c>
      <c r="BH1477" s="17"/>
      <c r="BI1477" s="17"/>
      <c r="BJ1477" s="15"/>
      <c r="BK1477" s="15"/>
      <c r="BL1477" s="13" t="b">
        <v>0</v>
      </c>
      <c r="BM1477" s="10"/>
      <c r="BN1477" s="10" t="s">
        <v>223</v>
      </c>
      <c r="BO1477" s="11">
        <v>45904.28460648148</v>
      </c>
      <c r="BP1477" s="11">
        <v>45904.28460648148</v>
      </c>
      <c r="BQ1477" s="15"/>
      <c r="BR1477" s="15"/>
      <c r="BS1477" s="10"/>
      <c r="BT1477" s="10"/>
      <c r="BU1477" s="10"/>
      <c r="BV1477" s="10"/>
      <c r="BW1477" s="10"/>
      <c r="BX1477" s="10"/>
      <c r="BY1477" s="23"/>
      <c r="BZ1477" s="23"/>
      <c r="CA1477" s="23"/>
      <c r="CB1477" s="23"/>
      <c r="CC1477" s="23"/>
      <c r="CD1477" s="23"/>
      <c r="CE1477" s="23"/>
      <c r="CF1477" s="23"/>
      <c r="CG1477" s="23"/>
      <c r="CH1477" s="23"/>
      <c r="CI1477" s="23"/>
    </row>
    <row r="1478" spans="1:87" x14ac:dyDescent="0.3">
      <c r="A1478" s="9" t="s">
        <v>11253</v>
      </c>
      <c r="B1478" s="10" t="s">
        <v>11254</v>
      </c>
      <c r="C1478" s="11">
        <v>46145</v>
      </c>
      <c r="D1478" s="12">
        <v>8.3333333333333329E-2</v>
      </c>
      <c r="E1478" s="11">
        <v>46145.083333333336</v>
      </c>
      <c r="F1478" s="10" t="s">
        <v>3211</v>
      </c>
      <c r="G1478" s="13" t="b">
        <v>0</v>
      </c>
      <c r="H1478" s="10" t="s">
        <v>3212</v>
      </c>
      <c r="I1478" s="10" t="s">
        <v>3213</v>
      </c>
      <c r="J1478" s="13" t="b">
        <v>0</v>
      </c>
      <c r="K1478" s="13" t="b">
        <v>1</v>
      </c>
      <c r="L1478" s="10" t="s">
        <v>124</v>
      </c>
      <c r="M1478" s="10" t="s">
        <v>91</v>
      </c>
      <c r="N1478" s="10" t="s">
        <v>92</v>
      </c>
      <c r="O1478" s="10"/>
      <c r="P1478" s="10"/>
      <c r="Q1478" s="10"/>
      <c r="R1478" s="10"/>
      <c r="S1478" s="10"/>
      <c r="T1478" s="10"/>
      <c r="U1478" s="10" t="s">
        <v>3451</v>
      </c>
      <c r="V1478" s="10" t="s">
        <v>3218</v>
      </c>
      <c r="W1478" s="10" t="s">
        <v>3219</v>
      </c>
      <c r="X1478" s="10" t="s">
        <v>130</v>
      </c>
      <c r="Y1478" s="10" t="s">
        <v>130</v>
      </c>
      <c r="Z1478" s="10" t="s">
        <v>99</v>
      </c>
      <c r="AA1478" s="10" t="s">
        <v>131</v>
      </c>
      <c r="AB1478" s="10" t="s">
        <v>3220</v>
      </c>
      <c r="AC1478" s="10" t="s">
        <v>3221</v>
      </c>
      <c r="AD1478" s="10" t="s">
        <v>11255</v>
      </c>
      <c r="AE1478" s="10" t="s">
        <v>11256</v>
      </c>
      <c r="AF1478" s="15"/>
      <c r="AG1478" s="10"/>
      <c r="AH1478" s="10"/>
      <c r="AI1478" s="10"/>
      <c r="AJ1478" s="10"/>
      <c r="AK1478" s="10"/>
      <c r="AL1478" s="10" t="s">
        <v>3049</v>
      </c>
      <c r="AM1478" s="10"/>
      <c r="AN1478" s="10"/>
      <c r="AO1478" s="13" t="b">
        <v>0</v>
      </c>
      <c r="AP1478" s="10" t="s">
        <v>104</v>
      </c>
      <c r="AQ1478" s="10"/>
      <c r="AR1478" s="17"/>
      <c r="AS1478" s="17"/>
      <c r="AT1478" s="17"/>
      <c r="AU1478" s="17"/>
      <c r="AV1478" s="17"/>
      <c r="AW1478" s="10"/>
      <c r="AX1478" s="17"/>
      <c r="AY1478" s="18" t="s">
        <v>257</v>
      </c>
      <c r="AZ1478" s="10"/>
      <c r="BA1478" s="20" t="b">
        <v>0</v>
      </c>
      <c r="BB1478" s="10"/>
      <c r="BC1478" s="17" t="s">
        <v>257</v>
      </c>
      <c r="BD1478" s="17" t="s">
        <v>257</v>
      </c>
      <c r="BE1478" s="17" t="s">
        <v>257</v>
      </c>
      <c r="BF1478" s="17" t="s">
        <v>257</v>
      </c>
      <c r="BG1478" s="11">
        <f ca="1">IFERROR(__xludf.DUMMYFUNCTION("""COMPUTED_VALUE"""),46145)</f>
        <v>46145</v>
      </c>
      <c r="BH1478" s="17"/>
      <c r="BI1478" s="17"/>
      <c r="BJ1478" s="15"/>
      <c r="BK1478" s="15"/>
      <c r="BL1478" s="13" t="b">
        <v>0</v>
      </c>
      <c r="BM1478" s="10"/>
      <c r="BN1478" s="10" t="s">
        <v>223</v>
      </c>
      <c r="BO1478" s="11">
        <v>45904.28460648148</v>
      </c>
      <c r="BP1478" s="11">
        <v>45904.28460648148</v>
      </c>
      <c r="BQ1478" s="15"/>
      <c r="BR1478" s="15"/>
      <c r="BS1478" s="10"/>
      <c r="BT1478" s="10"/>
      <c r="BU1478" s="10"/>
      <c r="BV1478" s="10"/>
      <c r="BW1478" s="10"/>
      <c r="BX1478" s="10"/>
      <c r="BY1478" s="23"/>
      <c r="BZ1478" s="23"/>
      <c r="CA1478" s="23"/>
      <c r="CB1478" s="23"/>
      <c r="CC1478" s="23"/>
      <c r="CD1478" s="23"/>
      <c r="CE1478" s="23"/>
      <c r="CF1478" s="23"/>
      <c r="CG1478" s="23"/>
      <c r="CH1478" s="23"/>
      <c r="CI1478" s="23"/>
    </row>
    <row r="1479" spans="1:87" x14ac:dyDescent="0.3">
      <c r="A1479" s="9" t="s">
        <v>11257</v>
      </c>
      <c r="B1479" s="10" t="s">
        <v>11258</v>
      </c>
      <c r="C1479" s="11">
        <v>46145</v>
      </c>
      <c r="D1479" s="12">
        <v>8.3333333333333329E-2</v>
      </c>
      <c r="E1479" s="11">
        <v>46145.083333333336</v>
      </c>
      <c r="F1479" s="10" t="s">
        <v>3211</v>
      </c>
      <c r="G1479" s="13" t="b">
        <v>0</v>
      </c>
      <c r="H1479" s="10" t="s">
        <v>3212</v>
      </c>
      <c r="I1479" s="10" t="s">
        <v>3213</v>
      </c>
      <c r="J1479" s="13" t="b">
        <v>0</v>
      </c>
      <c r="K1479" s="13" t="b">
        <v>1</v>
      </c>
      <c r="L1479" s="10" t="s">
        <v>124</v>
      </c>
      <c r="M1479" s="10" t="s">
        <v>91</v>
      </c>
      <c r="N1479" s="10" t="s">
        <v>92</v>
      </c>
      <c r="O1479" s="10"/>
      <c r="P1479" s="10"/>
      <c r="Q1479" s="10"/>
      <c r="R1479" s="10"/>
      <c r="S1479" s="10"/>
      <c r="T1479" s="10"/>
      <c r="U1479" s="10" t="s">
        <v>3229</v>
      </c>
      <c r="V1479" s="10" t="s">
        <v>3240</v>
      </c>
      <c r="W1479" s="10" t="s">
        <v>3219</v>
      </c>
      <c r="X1479" s="10" t="s">
        <v>130</v>
      </c>
      <c r="Y1479" s="10" t="s">
        <v>130</v>
      </c>
      <c r="Z1479" s="10" t="s">
        <v>99</v>
      </c>
      <c r="AA1479" s="10" t="s">
        <v>131</v>
      </c>
      <c r="AB1479" s="10" t="s">
        <v>3220</v>
      </c>
      <c r="AC1479" s="10" t="s">
        <v>3221</v>
      </c>
      <c r="AD1479" s="10" t="s">
        <v>11259</v>
      </c>
      <c r="AE1479" s="10" t="s">
        <v>11260</v>
      </c>
      <c r="AF1479" s="15"/>
      <c r="AG1479" s="10"/>
      <c r="AH1479" s="10"/>
      <c r="AI1479" s="10"/>
      <c r="AJ1479" s="10"/>
      <c r="AK1479" s="10"/>
      <c r="AL1479" s="10" t="s">
        <v>3049</v>
      </c>
      <c r="AM1479" s="10"/>
      <c r="AN1479" s="10"/>
      <c r="AO1479" s="13" t="b">
        <v>0</v>
      </c>
      <c r="AP1479" s="10" t="s">
        <v>104</v>
      </c>
      <c r="AQ1479" s="10"/>
      <c r="AR1479" s="17"/>
      <c r="AS1479" s="17"/>
      <c r="AT1479" s="17"/>
      <c r="AU1479" s="17"/>
      <c r="AV1479" s="17"/>
      <c r="AW1479" s="10"/>
      <c r="AX1479" s="17"/>
      <c r="AY1479" s="18" t="s">
        <v>257</v>
      </c>
      <c r="AZ1479" s="10"/>
      <c r="BA1479" s="20" t="b">
        <v>0</v>
      </c>
      <c r="BB1479" s="10"/>
      <c r="BC1479" s="17" t="s">
        <v>257</v>
      </c>
      <c r="BD1479" s="17" t="s">
        <v>257</v>
      </c>
      <c r="BE1479" s="17" t="s">
        <v>257</v>
      </c>
      <c r="BF1479" s="17" t="s">
        <v>257</v>
      </c>
      <c r="BG1479" s="11">
        <f ca="1">IFERROR(__xludf.DUMMYFUNCTION("""COMPUTED_VALUE"""),46145)</f>
        <v>46145</v>
      </c>
      <c r="BH1479" s="17"/>
      <c r="BI1479" s="17"/>
      <c r="BJ1479" s="15"/>
      <c r="BK1479" s="15"/>
      <c r="BL1479" s="13" t="b">
        <v>0</v>
      </c>
      <c r="BM1479" s="10"/>
      <c r="BN1479" s="10" t="s">
        <v>223</v>
      </c>
      <c r="BO1479" s="11">
        <v>45904.28460648148</v>
      </c>
      <c r="BP1479" s="11">
        <v>45904.28460648148</v>
      </c>
      <c r="BQ1479" s="15"/>
      <c r="BR1479" s="15"/>
      <c r="BS1479" s="10"/>
      <c r="BT1479" s="10"/>
      <c r="BU1479" s="10"/>
      <c r="BV1479" s="10"/>
      <c r="BW1479" s="10"/>
      <c r="BX1479" s="10"/>
      <c r="BY1479" s="23"/>
      <c r="BZ1479" s="23"/>
      <c r="CA1479" s="23"/>
      <c r="CB1479" s="23"/>
      <c r="CC1479" s="23"/>
      <c r="CD1479" s="23"/>
      <c r="CE1479" s="23"/>
      <c r="CF1479" s="23"/>
      <c r="CG1479" s="23"/>
      <c r="CH1479" s="23"/>
      <c r="CI1479" s="23"/>
    </row>
    <row r="1480" spans="1:87" x14ac:dyDescent="0.3">
      <c r="A1480" s="9" t="s">
        <v>11261</v>
      </c>
      <c r="B1480" s="10" t="s">
        <v>11262</v>
      </c>
      <c r="C1480" s="11">
        <v>46145</v>
      </c>
      <c r="D1480" s="12">
        <v>8.3333333333333329E-2</v>
      </c>
      <c r="E1480" s="11">
        <v>46145.083333333336</v>
      </c>
      <c r="F1480" s="10" t="s">
        <v>3211</v>
      </c>
      <c r="G1480" s="13" t="b">
        <v>0</v>
      </c>
      <c r="H1480" s="10" t="s">
        <v>3212</v>
      </c>
      <c r="I1480" s="10" t="s">
        <v>3213</v>
      </c>
      <c r="J1480" s="13" t="b">
        <v>0</v>
      </c>
      <c r="K1480" s="13" t="b">
        <v>1</v>
      </c>
      <c r="L1480" s="10" t="s">
        <v>124</v>
      </c>
      <c r="M1480" s="10" t="s">
        <v>91</v>
      </c>
      <c r="N1480" s="10" t="s">
        <v>92</v>
      </c>
      <c r="O1480" s="10"/>
      <c r="P1480" s="10"/>
      <c r="Q1480" s="10"/>
      <c r="R1480" s="10"/>
      <c r="S1480" s="10"/>
      <c r="T1480" s="10"/>
      <c r="U1480" s="10" t="s">
        <v>3429</v>
      </c>
      <c r="V1480" s="10" t="s">
        <v>3289</v>
      </c>
      <c r="W1480" s="10" t="s">
        <v>3219</v>
      </c>
      <c r="X1480" s="10" t="s">
        <v>130</v>
      </c>
      <c r="Y1480" s="10" t="s">
        <v>130</v>
      </c>
      <c r="Z1480" s="10" t="s">
        <v>99</v>
      </c>
      <c r="AA1480" s="10" t="s">
        <v>131</v>
      </c>
      <c r="AB1480" s="10" t="s">
        <v>3220</v>
      </c>
      <c r="AC1480" s="10" t="s">
        <v>3221</v>
      </c>
      <c r="AD1480" s="10" t="s">
        <v>11263</v>
      </c>
      <c r="AE1480" s="10" t="s">
        <v>11264</v>
      </c>
      <c r="AF1480" s="15"/>
      <c r="AG1480" s="10"/>
      <c r="AH1480" s="10"/>
      <c r="AI1480" s="10"/>
      <c r="AJ1480" s="10"/>
      <c r="AK1480" s="10"/>
      <c r="AL1480" s="10" t="s">
        <v>3049</v>
      </c>
      <c r="AM1480" s="10"/>
      <c r="AN1480" s="10"/>
      <c r="AO1480" s="13" t="b">
        <v>0</v>
      </c>
      <c r="AP1480" s="10" t="s">
        <v>104</v>
      </c>
      <c r="AQ1480" s="10"/>
      <c r="AR1480" s="17"/>
      <c r="AS1480" s="17"/>
      <c r="AT1480" s="17"/>
      <c r="AU1480" s="17"/>
      <c r="AV1480" s="17"/>
      <c r="AW1480" s="10"/>
      <c r="AX1480" s="17"/>
      <c r="AY1480" s="18" t="s">
        <v>257</v>
      </c>
      <c r="AZ1480" s="10"/>
      <c r="BA1480" s="20" t="b">
        <v>0</v>
      </c>
      <c r="BB1480" s="10"/>
      <c r="BC1480" s="17" t="s">
        <v>257</v>
      </c>
      <c r="BD1480" s="17" t="s">
        <v>257</v>
      </c>
      <c r="BE1480" s="17" t="s">
        <v>257</v>
      </c>
      <c r="BF1480" s="17" t="s">
        <v>257</v>
      </c>
      <c r="BG1480" s="11">
        <f ca="1">IFERROR(__xludf.DUMMYFUNCTION("""COMPUTED_VALUE"""),46145)</f>
        <v>46145</v>
      </c>
      <c r="BH1480" s="17"/>
      <c r="BI1480" s="17"/>
      <c r="BJ1480" s="15"/>
      <c r="BK1480" s="15"/>
      <c r="BL1480" s="13" t="b">
        <v>0</v>
      </c>
      <c r="BM1480" s="10"/>
      <c r="BN1480" s="10" t="s">
        <v>223</v>
      </c>
      <c r="BO1480" s="11">
        <v>45904.28460648148</v>
      </c>
      <c r="BP1480" s="11">
        <v>45904.28460648148</v>
      </c>
      <c r="BQ1480" s="15"/>
      <c r="BR1480" s="15"/>
      <c r="BS1480" s="10"/>
      <c r="BT1480" s="10"/>
      <c r="BU1480" s="10"/>
      <c r="BV1480" s="10"/>
      <c r="BW1480" s="10"/>
      <c r="BX1480" s="10"/>
      <c r="BY1480" s="23"/>
      <c r="BZ1480" s="23"/>
      <c r="CA1480" s="23"/>
      <c r="CB1480" s="23"/>
      <c r="CC1480" s="23"/>
      <c r="CD1480" s="23"/>
      <c r="CE1480" s="23"/>
      <c r="CF1480" s="23"/>
      <c r="CG1480" s="23"/>
      <c r="CH1480" s="23"/>
      <c r="CI1480" s="23"/>
    </row>
    <row r="1481" spans="1:87" x14ac:dyDescent="0.3">
      <c r="A1481" s="9" t="s">
        <v>11265</v>
      </c>
      <c r="B1481" s="10" t="s">
        <v>11266</v>
      </c>
      <c r="C1481" s="11">
        <v>46145</v>
      </c>
      <c r="D1481" s="12">
        <v>8.3333333333333329E-2</v>
      </c>
      <c r="E1481" s="11">
        <v>46145.083333333336</v>
      </c>
      <c r="F1481" s="10" t="s">
        <v>3211</v>
      </c>
      <c r="G1481" s="13" t="b">
        <v>0</v>
      </c>
      <c r="H1481" s="10" t="s">
        <v>3212</v>
      </c>
      <c r="I1481" s="10" t="s">
        <v>3213</v>
      </c>
      <c r="J1481" s="13" t="b">
        <v>0</v>
      </c>
      <c r="K1481" s="13" t="b">
        <v>1</v>
      </c>
      <c r="L1481" s="10" t="s">
        <v>124</v>
      </c>
      <c r="M1481" s="10" t="s">
        <v>91</v>
      </c>
      <c r="N1481" s="10" t="s">
        <v>92</v>
      </c>
      <c r="O1481" s="10"/>
      <c r="P1481" s="10"/>
      <c r="Q1481" s="10"/>
      <c r="R1481" s="10"/>
      <c r="S1481" s="10"/>
      <c r="T1481" s="10"/>
      <c r="U1481" s="10" t="s">
        <v>3269</v>
      </c>
      <c r="V1481" s="10" t="s">
        <v>3279</v>
      </c>
      <c r="W1481" s="10" t="s">
        <v>3219</v>
      </c>
      <c r="X1481" s="10" t="s">
        <v>130</v>
      </c>
      <c r="Y1481" s="10" t="s">
        <v>130</v>
      </c>
      <c r="Z1481" s="10" t="s">
        <v>99</v>
      </c>
      <c r="AA1481" s="10" t="s">
        <v>131</v>
      </c>
      <c r="AB1481" s="10" t="s">
        <v>3220</v>
      </c>
      <c r="AC1481" s="10" t="s">
        <v>3221</v>
      </c>
      <c r="AD1481" s="10" t="s">
        <v>11267</v>
      </c>
      <c r="AE1481" s="10" t="s">
        <v>11268</v>
      </c>
      <c r="AF1481" s="15"/>
      <c r="AG1481" s="10"/>
      <c r="AH1481" s="10"/>
      <c r="AI1481" s="10"/>
      <c r="AJ1481" s="10"/>
      <c r="AK1481" s="10"/>
      <c r="AL1481" s="10" t="s">
        <v>3049</v>
      </c>
      <c r="AM1481" s="10"/>
      <c r="AN1481" s="10"/>
      <c r="AO1481" s="13" t="b">
        <v>0</v>
      </c>
      <c r="AP1481" s="10" t="s">
        <v>104</v>
      </c>
      <c r="AQ1481" s="10"/>
      <c r="AR1481" s="17"/>
      <c r="AS1481" s="17"/>
      <c r="AT1481" s="17"/>
      <c r="AU1481" s="17"/>
      <c r="AV1481" s="17"/>
      <c r="AW1481" s="10"/>
      <c r="AX1481" s="17"/>
      <c r="AY1481" s="18" t="s">
        <v>257</v>
      </c>
      <c r="AZ1481" s="10"/>
      <c r="BA1481" s="20" t="b">
        <v>0</v>
      </c>
      <c r="BB1481" s="10"/>
      <c r="BC1481" s="17" t="s">
        <v>257</v>
      </c>
      <c r="BD1481" s="17" t="s">
        <v>257</v>
      </c>
      <c r="BE1481" s="17" t="s">
        <v>257</v>
      </c>
      <c r="BF1481" s="17" t="s">
        <v>257</v>
      </c>
      <c r="BG1481" s="11">
        <f ca="1">IFERROR(__xludf.DUMMYFUNCTION("""COMPUTED_VALUE"""),46145)</f>
        <v>46145</v>
      </c>
      <c r="BH1481" s="17"/>
      <c r="BI1481" s="17"/>
      <c r="BJ1481" s="15"/>
      <c r="BK1481" s="15"/>
      <c r="BL1481" s="13" t="b">
        <v>0</v>
      </c>
      <c r="BM1481" s="10"/>
      <c r="BN1481" s="10" t="s">
        <v>223</v>
      </c>
      <c r="BO1481" s="11">
        <v>45904.28460648148</v>
      </c>
      <c r="BP1481" s="11">
        <v>45904.28460648148</v>
      </c>
      <c r="BQ1481" s="15"/>
      <c r="BR1481" s="15"/>
      <c r="BS1481" s="10"/>
      <c r="BT1481" s="10"/>
      <c r="BU1481" s="10"/>
      <c r="BV1481" s="10"/>
      <c r="BW1481" s="10"/>
      <c r="BX1481" s="10"/>
      <c r="BY1481" s="23"/>
      <c r="BZ1481" s="23"/>
      <c r="CA1481" s="23"/>
      <c r="CB1481" s="23"/>
      <c r="CC1481" s="23"/>
      <c r="CD1481" s="23"/>
      <c r="CE1481" s="23"/>
      <c r="CF1481" s="23"/>
      <c r="CG1481" s="23"/>
      <c r="CH1481" s="23"/>
      <c r="CI1481" s="23"/>
    </row>
    <row r="1482" spans="1:87" x14ac:dyDescent="0.3">
      <c r="A1482" s="25" t="s">
        <v>11269</v>
      </c>
      <c r="B1482" s="10" t="s">
        <v>11270</v>
      </c>
      <c r="C1482" s="11">
        <v>46152</v>
      </c>
      <c r="D1482" s="12">
        <v>8.3333333333333329E-2</v>
      </c>
      <c r="E1482" s="11">
        <v>46152.083333333336</v>
      </c>
      <c r="F1482" s="10" t="s">
        <v>3211</v>
      </c>
      <c r="G1482" s="13" t="b">
        <v>0</v>
      </c>
      <c r="H1482" s="10" t="s">
        <v>3212</v>
      </c>
      <c r="I1482" s="10" t="s">
        <v>3213</v>
      </c>
      <c r="J1482" s="13" t="b">
        <v>0</v>
      </c>
      <c r="K1482" s="13" t="b">
        <v>1</v>
      </c>
      <c r="L1482" s="10" t="s">
        <v>124</v>
      </c>
      <c r="M1482" s="10" t="s">
        <v>91</v>
      </c>
      <c r="N1482" s="10" t="s">
        <v>92</v>
      </c>
      <c r="O1482" s="10"/>
      <c r="P1482" s="10"/>
      <c r="Q1482" s="10"/>
      <c r="R1482" s="10"/>
      <c r="S1482" s="10"/>
      <c r="T1482" s="10"/>
      <c r="U1482" s="10" t="s">
        <v>3239</v>
      </c>
      <c r="V1482" s="10" t="s">
        <v>3269</v>
      </c>
      <c r="W1482" s="10" t="s">
        <v>3219</v>
      </c>
      <c r="X1482" s="10" t="s">
        <v>130</v>
      </c>
      <c r="Y1482" s="10" t="s">
        <v>130</v>
      </c>
      <c r="Z1482" s="10" t="s">
        <v>99</v>
      </c>
      <c r="AA1482" s="10" t="s">
        <v>131</v>
      </c>
      <c r="AB1482" s="10" t="s">
        <v>3220</v>
      </c>
      <c r="AC1482" s="10" t="s">
        <v>3221</v>
      </c>
      <c r="AD1482" s="10" t="s">
        <v>11271</v>
      </c>
      <c r="AE1482" s="10" t="s">
        <v>11272</v>
      </c>
      <c r="AF1482" s="15"/>
      <c r="AG1482" s="10"/>
      <c r="AH1482" s="10"/>
      <c r="AI1482" s="10"/>
      <c r="AJ1482" s="10"/>
      <c r="AK1482" s="10"/>
      <c r="AL1482" s="10" t="s">
        <v>3090</v>
      </c>
      <c r="AM1482" s="10"/>
      <c r="AN1482" s="10"/>
      <c r="AO1482" s="13" t="b">
        <v>0</v>
      </c>
      <c r="AP1482" s="10" t="s">
        <v>104</v>
      </c>
      <c r="AQ1482" s="10"/>
      <c r="AR1482" s="17"/>
      <c r="AS1482" s="17"/>
      <c r="AT1482" s="17"/>
      <c r="AU1482" s="17"/>
      <c r="AV1482" s="17"/>
      <c r="AW1482" s="10"/>
      <c r="AX1482" s="17"/>
      <c r="AY1482" s="18" t="s">
        <v>257</v>
      </c>
      <c r="AZ1482" s="10"/>
      <c r="BA1482" s="20" t="b">
        <v>0</v>
      </c>
      <c r="BB1482" s="10"/>
      <c r="BC1482" s="17" t="s">
        <v>257</v>
      </c>
      <c r="BD1482" s="17" t="s">
        <v>257</v>
      </c>
      <c r="BE1482" s="17" t="s">
        <v>257</v>
      </c>
      <c r="BF1482" s="17" t="s">
        <v>257</v>
      </c>
      <c r="BG1482" s="11">
        <f ca="1">IFERROR(__xludf.DUMMYFUNCTION("""COMPUTED_VALUE"""),46152)</f>
        <v>46152</v>
      </c>
      <c r="BH1482" s="17"/>
      <c r="BI1482" s="17"/>
      <c r="BJ1482" s="15"/>
      <c r="BK1482" s="15"/>
      <c r="BL1482" s="13" t="b">
        <v>0</v>
      </c>
      <c r="BM1482" s="10"/>
      <c r="BN1482" s="10" t="s">
        <v>223</v>
      </c>
      <c r="BO1482" s="11">
        <v>45904.28460648148</v>
      </c>
      <c r="BP1482" s="11">
        <v>45904.28460648148</v>
      </c>
      <c r="BQ1482" s="15"/>
      <c r="BR1482" s="15"/>
      <c r="BS1482" s="10"/>
      <c r="BT1482" s="10"/>
      <c r="BU1482" s="10"/>
      <c r="BV1482" s="10"/>
      <c r="BW1482" s="10"/>
      <c r="BX1482" s="10"/>
      <c r="BY1482" s="23"/>
      <c r="BZ1482" s="23"/>
      <c r="CA1482" s="23"/>
      <c r="CB1482" s="23"/>
      <c r="CC1482" s="23"/>
      <c r="CD1482" s="23"/>
      <c r="CE1482" s="23"/>
      <c r="CF1482" s="23"/>
      <c r="CG1482" s="23"/>
      <c r="CH1482" s="23"/>
      <c r="CI1482" s="23"/>
    </row>
    <row r="1483" spans="1:87" x14ac:dyDescent="0.3">
      <c r="A1483" s="9" t="s">
        <v>11273</v>
      </c>
      <c r="B1483" s="10" t="s">
        <v>11274</v>
      </c>
      <c r="C1483" s="11">
        <v>46152</v>
      </c>
      <c r="D1483" s="12">
        <v>8.3333333333333329E-2</v>
      </c>
      <c r="E1483" s="11">
        <v>46152.083333333336</v>
      </c>
      <c r="F1483" s="10" t="s">
        <v>3211</v>
      </c>
      <c r="G1483" s="13" t="b">
        <v>0</v>
      </c>
      <c r="H1483" s="10" t="s">
        <v>3212</v>
      </c>
      <c r="I1483" s="10" t="s">
        <v>3213</v>
      </c>
      <c r="J1483" s="13" t="b">
        <v>0</v>
      </c>
      <c r="K1483" s="13" t="b">
        <v>1</v>
      </c>
      <c r="L1483" s="10" t="s">
        <v>124</v>
      </c>
      <c r="M1483" s="10" t="s">
        <v>91</v>
      </c>
      <c r="N1483" s="10" t="s">
        <v>92</v>
      </c>
      <c r="O1483" s="10"/>
      <c r="P1483" s="10"/>
      <c r="Q1483" s="10"/>
      <c r="R1483" s="10"/>
      <c r="S1483" s="10"/>
      <c r="T1483" s="10"/>
      <c r="U1483" s="10" t="s">
        <v>3440</v>
      </c>
      <c r="V1483" s="10" t="s">
        <v>3451</v>
      </c>
      <c r="W1483" s="10" t="s">
        <v>3219</v>
      </c>
      <c r="X1483" s="10" t="s">
        <v>130</v>
      </c>
      <c r="Y1483" s="10" t="s">
        <v>130</v>
      </c>
      <c r="Z1483" s="10" t="s">
        <v>99</v>
      </c>
      <c r="AA1483" s="10" t="s">
        <v>131</v>
      </c>
      <c r="AB1483" s="10" t="s">
        <v>3220</v>
      </c>
      <c r="AC1483" s="10" t="s">
        <v>3221</v>
      </c>
      <c r="AD1483" s="10" t="s">
        <v>11275</v>
      </c>
      <c r="AE1483" s="10" t="s">
        <v>11276</v>
      </c>
      <c r="AF1483" s="15"/>
      <c r="AG1483" s="10"/>
      <c r="AH1483" s="10"/>
      <c r="AI1483" s="10"/>
      <c r="AJ1483" s="10"/>
      <c r="AK1483" s="10"/>
      <c r="AL1483" s="10" t="s">
        <v>3090</v>
      </c>
      <c r="AM1483" s="10"/>
      <c r="AN1483" s="10"/>
      <c r="AO1483" s="13" t="b">
        <v>0</v>
      </c>
      <c r="AP1483" s="10" t="s">
        <v>104</v>
      </c>
      <c r="AQ1483" s="10"/>
      <c r="AR1483" s="17"/>
      <c r="AS1483" s="17"/>
      <c r="AT1483" s="17"/>
      <c r="AU1483" s="17"/>
      <c r="AV1483" s="17"/>
      <c r="AW1483" s="10"/>
      <c r="AX1483" s="17"/>
      <c r="AY1483" s="18" t="s">
        <v>257</v>
      </c>
      <c r="AZ1483" s="10"/>
      <c r="BA1483" s="20" t="b">
        <v>0</v>
      </c>
      <c r="BB1483" s="10"/>
      <c r="BC1483" s="17" t="s">
        <v>257</v>
      </c>
      <c r="BD1483" s="17" t="s">
        <v>257</v>
      </c>
      <c r="BE1483" s="17" t="s">
        <v>257</v>
      </c>
      <c r="BF1483" s="17" t="s">
        <v>257</v>
      </c>
      <c r="BG1483" s="11">
        <f ca="1">IFERROR(__xludf.DUMMYFUNCTION("""COMPUTED_VALUE"""),46152)</f>
        <v>46152</v>
      </c>
      <c r="BH1483" s="17"/>
      <c r="BI1483" s="17"/>
      <c r="BJ1483" s="15"/>
      <c r="BK1483" s="15"/>
      <c r="BL1483" s="13" t="b">
        <v>0</v>
      </c>
      <c r="BM1483" s="10"/>
      <c r="BN1483" s="10" t="s">
        <v>223</v>
      </c>
      <c r="BO1483" s="11">
        <v>45904.28460648148</v>
      </c>
      <c r="BP1483" s="11">
        <v>45904.28460648148</v>
      </c>
      <c r="BQ1483" s="15"/>
      <c r="BR1483" s="15"/>
      <c r="BS1483" s="10"/>
      <c r="BT1483" s="10"/>
      <c r="BU1483" s="10"/>
      <c r="BV1483" s="10"/>
      <c r="BW1483" s="10"/>
      <c r="BX1483" s="10"/>
      <c r="BY1483" s="23"/>
      <c r="BZ1483" s="23"/>
      <c r="CA1483" s="23"/>
      <c r="CB1483" s="23"/>
      <c r="CC1483" s="23"/>
      <c r="CD1483" s="23"/>
      <c r="CE1483" s="23"/>
      <c r="CF1483" s="23"/>
      <c r="CG1483" s="23"/>
      <c r="CH1483" s="23"/>
      <c r="CI1483" s="23"/>
    </row>
    <row r="1484" spans="1:87" x14ac:dyDescent="0.3">
      <c r="A1484" s="9" t="s">
        <v>11277</v>
      </c>
      <c r="B1484" s="10" t="s">
        <v>11278</v>
      </c>
      <c r="C1484" s="11">
        <v>46152</v>
      </c>
      <c r="D1484" s="12">
        <v>8.3333333333333329E-2</v>
      </c>
      <c r="E1484" s="11">
        <v>46152.083333333336</v>
      </c>
      <c r="F1484" s="10" t="s">
        <v>3211</v>
      </c>
      <c r="G1484" s="13" t="b">
        <v>0</v>
      </c>
      <c r="H1484" s="10" t="s">
        <v>3212</v>
      </c>
      <c r="I1484" s="10" t="s">
        <v>3213</v>
      </c>
      <c r="J1484" s="13" t="b">
        <v>0</v>
      </c>
      <c r="K1484" s="13" t="b">
        <v>1</v>
      </c>
      <c r="L1484" s="10" t="s">
        <v>124</v>
      </c>
      <c r="M1484" s="10" t="s">
        <v>91</v>
      </c>
      <c r="N1484" s="10" t="s">
        <v>92</v>
      </c>
      <c r="O1484" s="10"/>
      <c r="P1484" s="10"/>
      <c r="Q1484" s="10"/>
      <c r="R1484" s="10"/>
      <c r="S1484" s="10"/>
      <c r="T1484" s="10"/>
      <c r="U1484" s="10" t="s">
        <v>3240</v>
      </c>
      <c r="V1484" s="10" t="s">
        <v>3217</v>
      </c>
      <c r="W1484" s="10" t="s">
        <v>3219</v>
      </c>
      <c r="X1484" s="10" t="s">
        <v>130</v>
      </c>
      <c r="Y1484" s="10" t="s">
        <v>130</v>
      </c>
      <c r="Z1484" s="10" t="s">
        <v>99</v>
      </c>
      <c r="AA1484" s="10" t="s">
        <v>131</v>
      </c>
      <c r="AB1484" s="10" t="s">
        <v>3220</v>
      </c>
      <c r="AC1484" s="10" t="s">
        <v>3221</v>
      </c>
      <c r="AD1484" s="10" t="s">
        <v>11279</v>
      </c>
      <c r="AE1484" s="10" t="s">
        <v>11280</v>
      </c>
      <c r="AF1484" s="15"/>
      <c r="AG1484" s="10"/>
      <c r="AH1484" s="10"/>
      <c r="AI1484" s="10"/>
      <c r="AJ1484" s="10"/>
      <c r="AK1484" s="10"/>
      <c r="AL1484" s="10" t="s">
        <v>3090</v>
      </c>
      <c r="AM1484" s="10"/>
      <c r="AN1484" s="10"/>
      <c r="AO1484" s="13" t="b">
        <v>0</v>
      </c>
      <c r="AP1484" s="10" t="s">
        <v>104</v>
      </c>
      <c r="AQ1484" s="10"/>
      <c r="AR1484" s="17"/>
      <c r="AS1484" s="17"/>
      <c r="AT1484" s="17"/>
      <c r="AU1484" s="17"/>
      <c r="AV1484" s="17"/>
      <c r="AW1484" s="10"/>
      <c r="AX1484" s="17"/>
      <c r="AY1484" s="18" t="s">
        <v>257</v>
      </c>
      <c r="AZ1484" s="10"/>
      <c r="BA1484" s="20" t="b">
        <v>0</v>
      </c>
      <c r="BB1484" s="10"/>
      <c r="BC1484" s="17" t="s">
        <v>257</v>
      </c>
      <c r="BD1484" s="17" t="s">
        <v>257</v>
      </c>
      <c r="BE1484" s="17" t="s">
        <v>257</v>
      </c>
      <c r="BF1484" s="17" t="s">
        <v>257</v>
      </c>
      <c r="BG1484" s="11">
        <f ca="1">IFERROR(__xludf.DUMMYFUNCTION("""COMPUTED_VALUE"""),46152)</f>
        <v>46152</v>
      </c>
      <c r="BH1484" s="17"/>
      <c r="BI1484" s="17"/>
      <c r="BJ1484" s="15"/>
      <c r="BK1484" s="15"/>
      <c r="BL1484" s="13" t="b">
        <v>0</v>
      </c>
      <c r="BM1484" s="10"/>
      <c r="BN1484" s="10" t="s">
        <v>223</v>
      </c>
      <c r="BO1484" s="11">
        <v>45904.28460648148</v>
      </c>
      <c r="BP1484" s="11">
        <v>45904.28460648148</v>
      </c>
      <c r="BQ1484" s="15"/>
      <c r="BR1484" s="15"/>
      <c r="BS1484" s="10"/>
      <c r="BT1484" s="10"/>
      <c r="BU1484" s="10"/>
      <c r="BV1484" s="10"/>
      <c r="BW1484" s="10"/>
      <c r="BX1484" s="10"/>
      <c r="BY1484" s="23"/>
      <c r="BZ1484" s="23"/>
      <c r="CA1484" s="23"/>
      <c r="CB1484" s="23"/>
      <c r="CC1484" s="23"/>
      <c r="CD1484" s="23"/>
      <c r="CE1484" s="23"/>
      <c r="CF1484" s="23"/>
      <c r="CG1484" s="23"/>
      <c r="CH1484" s="23"/>
      <c r="CI1484" s="23"/>
    </row>
    <row r="1485" spans="1:87" x14ac:dyDescent="0.3">
      <c r="A1485" s="9" t="s">
        <v>11281</v>
      </c>
      <c r="B1485" s="10" t="s">
        <v>11282</v>
      </c>
      <c r="C1485" s="11">
        <v>46152</v>
      </c>
      <c r="D1485" s="12">
        <v>8.3333333333333329E-2</v>
      </c>
      <c r="E1485" s="11">
        <v>46152.083333333336</v>
      </c>
      <c r="F1485" s="10" t="s">
        <v>3211</v>
      </c>
      <c r="G1485" s="13" t="b">
        <v>0</v>
      </c>
      <c r="H1485" s="10" t="s">
        <v>3212</v>
      </c>
      <c r="I1485" s="10" t="s">
        <v>3213</v>
      </c>
      <c r="J1485" s="13" t="b">
        <v>0</v>
      </c>
      <c r="K1485" s="13" t="b">
        <v>1</v>
      </c>
      <c r="L1485" s="10" t="s">
        <v>124</v>
      </c>
      <c r="M1485" s="10" t="s">
        <v>91</v>
      </c>
      <c r="N1485" s="10" t="s">
        <v>92</v>
      </c>
      <c r="O1485" s="10"/>
      <c r="P1485" s="10"/>
      <c r="Q1485" s="10"/>
      <c r="R1485" s="10"/>
      <c r="S1485" s="10"/>
      <c r="T1485" s="10"/>
      <c r="U1485" s="10" t="s">
        <v>3250</v>
      </c>
      <c r="V1485" s="10" t="s">
        <v>3278</v>
      </c>
      <c r="W1485" s="10" t="s">
        <v>3219</v>
      </c>
      <c r="X1485" s="10" t="s">
        <v>130</v>
      </c>
      <c r="Y1485" s="10" t="s">
        <v>130</v>
      </c>
      <c r="Z1485" s="10" t="s">
        <v>99</v>
      </c>
      <c r="AA1485" s="10" t="s">
        <v>131</v>
      </c>
      <c r="AB1485" s="10" t="s">
        <v>3220</v>
      </c>
      <c r="AC1485" s="10" t="s">
        <v>3221</v>
      </c>
      <c r="AD1485" s="10" t="s">
        <v>11283</v>
      </c>
      <c r="AE1485" s="10" t="s">
        <v>11284</v>
      </c>
      <c r="AF1485" s="15"/>
      <c r="AG1485" s="10"/>
      <c r="AH1485" s="10"/>
      <c r="AI1485" s="10"/>
      <c r="AJ1485" s="10"/>
      <c r="AK1485" s="10"/>
      <c r="AL1485" s="10" t="s">
        <v>3090</v>
      </c>
      <c r="AM1485" s="10"/>
      <c r="AN1485" s="10"/>
      <c r="AO1485" s="13" t="b">
        <v>0</v>
      </c>
      <c r="AP1485" s="10" t="s">
        <v>104</v>
      </c>
      <c r="AQ1485" s="10"/>
      <c r="AR1485" s="17"/>
      <c r="AS1485" s="17"/>
      <c r="AT1485" s="17"/>
      <c r="AU1485" s="17"/>
      <c r="AV1485" s="17"/>
      <c r="AW1485" s="10"/>
      <c r="AX1485" s="17"/>
      <c r="AY1485" s="18" t="s">
        <v>257</v>
      </c>
      <c r="AZ1485" s="10"/>
      <c r="BA1485" s="20" t="b">
        <v>0</v>
      </c>
      <c r="BB1485" s="10"/>
      <c r="BC1485" s="17" t="s">
        <v>257</v>
      </c>
      <c r="BD1485" s="17" t="s">
        <v>257</v>
      </c>
      <c r="BE1485" s="17" t="s">
        <v>257</v>
      </c>
      <c r="BF1485" s="17" t="s">
        <v>257</v>
      </c>
      <c r="BG1485" s="11">
        <f ca="1">IFERROR(__xludf.DUMMYFUNCTION("""COMPUTED_VALUE"""),46152)</f>
        <v>46152</v>
      </c>
      <c r="BH1485" s="17"/>
      <c r="BI1485" s="17"/>
      <c r="BJ1485" s="15"/>
      <c r="BK1485" s="15"/>
      <c r="BL1485" s="13" t="b">
        <v>0</v>
      </c>
      <c r="BM1485" s="10"/>
      <c r="BN1485" s="10" t="s">
        <v>223</v>
      </c>
      <c r="BO1485" s="11">
        <v>45904.28460648148</v>
      </c>
      <c r="BP1485" s="11">
        <v>45904.28460648148</v>
      </c>
      <c r="BQ1485" s="15"/>
      <c r="BR1485" s="15"/>
      <c r="BS1485" s="10"/>
      <c r="BT1485" s="10"/>
      <c r="BU1485" s="10"/>
      <c r="BV1485" s="10"/>
      <c r="BW1485" s="10"/>
      <c r="BX1485" s="10"/>
      <c r="BY1485" s="23"/>
      <c r="BZ1485" s="23"/>
      <c r="CA1485" s="23"/>
      <c r="CB1485" s="23"/>
      <c r="CC1485" s="23"/>
      <c r="CD1485" s="23"/>
      <c r="CE1485" s="23"/>
      <c r="CF1485" s="23"/>
      <c r="CG1485" s="23"/>
      <c r="CH1485" s="23"/>
      <c r="CI1485" s="23"/>
    </row>
    <row r="1486" spans="1:87" x14ac:dyDescent="0.3">
      <c r="A1486" s="9" t="s">
        <v>11285</v>
      </c>
      <c r="B1486" s="10" t="s">
        <v>11286</v>
      </c>
      <c r="C1486" s="11">
        <v>46152</v>
      </c>
      <c r="D1486" s="12">
        <v>8.3333333333333329E-2</v>
      </c>
      <c r="E1486" s="11">
        <v>46152.083333333336</v>
      </c>
      <c r="F1486" s="10" t="s">
        <v>3211</v>
      </c>
      <c r="G1486" s="13" t="b">
        <v>0</v>
      </c>
      <c r="H1486" s="10" t="s">
        <v>3212</v>
      </c>
      <c r="I1486" s="10" t="s">
        <v>3213</v>
      </c>
      <c r="J1486" s="13" t="b">
        <v>0</v>
      </c>
      <c r="K1486" s="13" t="b">
        <v>1</v>
      </c>
      <c r="L1486" s="10" t="s">
        <v>124</v>
      </c>
      <c r="M1486" s="10" t="s">
        <v>91</v>
      </c>
      <c r="N1486" s="10" t="s">
        <v>92</v>
      </c>
      <c r="O1486" s="10"/>
      <c r="P1486" s="10"/>
      <c r="Q1486" s="10"/>
      <c r="R1486" s="10"/>
      <c r="S1486" s="10"/>
      <c r="T1486" s="10"/>
      <c r="U1486" s="10" t="s">
        <v>3218</v>
      </c>
      <c r="V1486" s="10" t="s">
        <v>3259</v>
      </c>
      <c r="W1486" s="10" t="s">
        <v>3219</v>
      </c>
      <c r="X1486" s="10" t="s">
        <v>130</v>
      </c>
      <c r="Y1486" s="10" t="s">
        <v>130</v>
      </c>
      <c r="Z1486" s="10" t="s">
        <v>99</v>
      </c>
      <c r="AA1486" s="10" t="s">
        <v>131</v>
      </c>
      <c r="AB1486" s="10" t="s">
        <v>3220</v>
      </c>
      <c r="AC1486" s="10" t="s">
        <v>3221</v>
      </c>
      <c r="AD1486" s="10" t="s">
        <v>11287</v>
      </c>
      <c r="AE1486" s="10" t="s">
        <v>11288</v>
      </c>
      <c r="AF1486" s="15"/>
      <c r="AG1486" s="10"/>
      <c r="AH1486" s="10"/>
      <c r="AI1486" s="10"/>
      <c r="AJ1486" s="10"/>
      <c r="AK1486" s="10"/>
      <c r="AL1486" s="10" t="s">
        <v>3090</v>
      </c>
      <c r="AM1486" s="10"/>
      <c r="AN1486" s="10"/>
      <c r="AO1486" s="13" t="b">
        <v>0</v>
      </c>
      <c r="AP1486" s="10" t="s">
        <v>104</v>
      </c>
      <c r="AQ1486" s="10"/>
      <c r="AR1486" s="17"/>
      <c r="AS1486" s="17"/>
      <c r="AT1486" s="17"/>
      <c r="AU1486" s="17"/>
      <c r="AV1486" s="17"/>
      <c r="AW1486" s="10"/>
      <c r="AX1486" s="17"/>
      <c r="AY1486" s="18" t="s">
        <v>257</v>
      </c>
      <c r="AZ1486" s="10"/>
      <c r="BA1486" s="20" t="b">
        <v>0</v>
      </c>
      <c r="BB1486" s="10"/>
      <c r="BC1486" s="17" t="s">
        <v>257</v>
      </c>
      <c r="BD1486" s="17" t="s">
        <v>257</v>
      </c>
      <c r="BE1486" s="17" t="s">
        <v>257</v>
      </c>
      <c r="BF1486" s="17" t="s">
        <v>257</v>
      </c>
      <c r="BG1486" s="11">
        <f ca="1">IFERROR(__xludf.DUMMYFUNCTION("""COMPUTED_VALUE"""),46152)</f>
        <v>46152</v>
      </c>
      <c r="BH1486" s="17"/>
      <c r="BI1486" s="17"/>
      <c r="BJ1486" s="15"/>
      <c r="BK1486" s="15"/>
      <c r="BL1486" s="13" t="b">
        <v>0</v>
      </c>
      <c r="BM1486" s="10"/>
      <c r="BN1486" s="10" t="s">
        <v>223</v>
      </c>
      <c r="BO1486" s="11">
        <v>45904.28460648148</v>
      </c>
      <c r="BP1486" s="11">
        <v>45904.28460648148</v>
      </c>
      <c r="BQ1486" s="15"/>
      <c r="BR1486" s="15"/>
      <c r="BS1486" s="10"/>
      <c r="BT1486" s="10"/>
      <c r="BU1486" s="10"/>
      <c r="BV1486" s="10"/>
      <c r="BW1486" s="10"/>
      <c r="BX1486" s="10"/>
      <c r="BY1486" s="23"/>
      <c r="BZ1486" s="23"/>
      <c r="CA1486" s="23"/>
      <c r="CB1486" s="23"/>
      <c r="CC1486" s="23"/>
      <c r="CD1486" s="23"/>
      <c r="CE1486" s="23"/>
      <c r="CF1486" s="23"/>
      <c r="CG1486" s="23"/>
      <c r="CH1486" s="23"/>
      <c r="CI1486" s="23"/>
    </row>
    <row r="1487" spans="1:87" x14ac:dyDescent="0.3">
      <c r="A1487" s="9" t="s">
        <v>11289</v>
      </c>
      <c r="B1487" s="10" t="s">
        <v>11290</v>
      </c>
      <c r="C1487" s="11">
        <v>46152</v>
      </c>
      <c r="D1487" s="12">
        <v>8.3333333333333329E-2</v>
      </c>
      <c r="E1487" s="11">
        <v>46152.083333333336</v>
      </c>
      <c r="F1487" s="10" t="s">
        <v>3211</v>
      </c>
      <c r="G1487" s="13" t="b">
        <v>0</v>
      </c>
      <c r="H1487" s="10" t="s">
        <v>3212</v>
      </c>
      <c r="I1487" s="10" t="s">
        <v>3213</v>
      </c>
      <c r="J1487" s="13" t="b">
        <v>0</v>
      </c>
      <c r="K1487" s="13" t="b">
        <v>1</v>
      </c>
      <c r="L1487" s="10" t="s">
        <v>124</v>
      </c>
      <c r="M1487" s="10" t="s">
        <v>91</v>
      </c>
      <c r="N1487" s="10" t="s">
        <v>92</v>
      </c>
      <c r="O1487" s="10"/>
      <c r="P1487" s="10"/>
      <c r="Q1487" s="10"/>
      <c r="R1487" s="10"/>
      <c r="S1487" s="10"/>
      <c r="T1487" s="10"/>
      <c r="U1487" s="10" t="s">
        <v>3289</v>
      </c>
      <c r="V1487" s="10" t="s">
        <v>3308</v>
      </c>
      <c r="W1487" s="10" t="s">
        <v>3219</v>
      </c>
      <c r="X1487" s="10" t="s">
        <v>130</v>
      </c>
      <c r="Y1487" s="10" t="s">
        <v>130</v>
      </c>
      <c r="Z1487" s="10" t="s">
        <v>99</v>
      </c>
      <c r="AA1487" s="10" t="s">
        <v>131</v>
      </c>
      <c r="AB1487" s="10" t="s">
        <v>3220</v>
      </c>
      <c r="AC1487" s="10" t="s">
        <v>3221</v>
      </c>
      <c r="AD1487" s="10" t="s">
        <v>11291</v>
      </c>
      <c r="AE1487" s="10" t="s">
        <v>11292</v>
      </c>
      <c r="AF1487" s="15"/>
      <c r="AG1487" s="10"/>
      <c r="AH1487" s="10"/>
      <c r="AI1487" s="10"/>
      <c r="AJ1487" s="10"/>
      <c r="AK1487" s="10"/>
      <c r="AL1487" s="10" t="s">
        <v>3090</v>
      </c>
      <c r="AM1487" s="10"/>
      <c r="AN1487" s="10"/>
      <c r="AO1487" s="13" t="b">
        <v>0</v>
      </c>
      <c r="AP1487" s="10" t="s">
        <v>104</v>
      </c>
      <c r="AQ1487" s="10"/>
      <c r="AR1487" s="17"/>
      <c r="AS1487" s="17"/>
      <c r="AT1487" s="17"/>
      <c r="AU1487" s="17"/>
      <c r="AV1487" s="17"/>
      <c r="AW1487" s="10"/>
      <c r="AX1487" s="17"/>
      <c r="AY1487" s="18" t="s">
        <v>257</v>
      </c>
      <c r="AZ1487" s="10"/>
      <c r="BA1487" s="20" t="b">
        <v>0</v>
      </c>
      <c r="BB1487" s="10"/>
      <c r="BC1487" s="17" t="s">
        <v>257</v>
      </c>
      <c r="BD1487" s="17" t="s">
        <v>257</v>
      </c>
      <c r="BE1487" s="17" t="s">
        <v>257</v>
      </c>
      <c r="BF1487" s="17" t="s">
        <v>257</v>
      </c>
      <c r="BG1487" s="11">
        <f ca="1">IFERROR(__xludf.DUMMYFUNCTION("""COMPUTED_VALUE"""),46152)</f>
        <v>46152</v>
      </c>
      <c r="BH1487" s="17"/>
      <c r="BI1487" s="17"/>
      <c r="BJ1487" s="15"/>
      <c r="BK1487" s="15"/>
      <c r="BL1487" s="13" t="b">
        <v>0</v>
      </c>
      <c r="BM1487" s="10"/>
      <c r="BN1487" s="10" t="s">
        <v>223</v>
      </c>
      <c r="BO1487" s="11">
        <v>45904.28460648148</v>
      </c>
      <c r="BP1487" s="11">
        <v>45904.28460648148</v>
      </c>
      <c r="BQ1487" s="15"/>
      <c r="BR1487" s="15"/>
      <c r="BS1487" s="10"/>
      <c r="BT1487" s="10"/>
      <c r="BU1487" s="10"/>
      <c r="BV1487" s="10"/>
      <c r="BW1487" s="10"/>
      <c r="BX1487" s="10"/>
      <c r="BY1487" s="23"/>
      <c r="BZ1487" s="23"/>
      <c r="CA1487" s="23"/>
      <c r="CB1487" s="23"/>
      <c r="CC1487" s="23"/>
      <c r="CD1487" s="23"/>
      <c r="CE1487" s="23"/>
      <c r="CF1487" s="23"/>
      <c r="CG1487" s="23"/>
      <c r="CH1487" s="23"/>
      <c r="CI1487" s="23"/>
    </row>
    <row r="1488" spans="1:87" x14ac:dyDescent="0.3">
      <c r="A1488" s="9" t="s">
        <v>11293</v>
      </c>
      <c r="B1488" s="10" t="s">
        <v>11294</v>
      </c>
      <c r="C1488" s="11">
        <v>46152</v>
      </c>
      <c r="D1488" s="12">
        <v>8.3333333333333329E-2</v>
      </c>
      <c r="E1488" s="11">
        <v>46152.083333333336</v>
      </c>
      <c r="F1488" s="10" t="s">
        <v>3211</v>
      </c>
      <c r="G1488" s="13" t="b">
        <v>0</v>
      </c>
      <c r="H1488" s="10" t="s">
        <v>3212</v>
      </c>
      <c r="I1488" s="10" t="s">
        <v>3213</v>
      </c>
      <c r="J1488" s="13" t="b">
        <v>0</v>
      </c>
      <c r="K1488" s="13" t="b">
        <v>1</v>
      </c>
      <c r="L1488" s="10" t="s">
        <v>124</v>
      </c>
      <c r="M1488" s="10" t="s">
        <v>91</v>
      </c>
      <c r="N1488" s="10" t="s">
        <v>92</v>
      </c>
      <c r="O1488" s="10"/>
      <c r="P1488" s="10"/>
      <c r="Q1488" s="10"/>
      <c r="R1488" s="10"/>
      <c r="S1488" s="10"/>
      <c r="T1488" s="10"/>
      <c r="U1488" s="10" t="s">
        <v>3318</v>
      </c>
      <c r="V1488" s="10" t="s">
        <v>3230</v>
      </c>
      <c r="W1488" s="10" t="s">
        <v>3219</v>
      </c>
      <c r="X1488" s="10" t="s">
        <v>130</v>
      </c>
      <c r="Y1488" s="10" t="s">
        <v>130</v>
      </c>
      <c r="Z1488" s="10" t="s">
        <v>99</v>
      </c>
      <c r="AA1488" s="10" t="s">
        <v>131</v>
      </c>
      <c r="AB1488" s="10" t="s">
        <v>3220</v>
      </c>
      <c r="AC1488" s="10" t="s">
        <v>3221</v>
      </c>
      <c r="AD1488" s="10" t="s">
        <v>11295</v>
      </c>
      <c r="AE1488" s="10" t="s">
        <v>11296</v>
      </c>
      <c r="AF1488" s="15"/>
      <c r="AG1488" s="10"/>
      <c r="AH1488" s="10"/>
      <c r="AI1488" s="10"/>
      <c r="AJ1488" s="10"/>
      <c r="AK1488" s="10"/>
      <c r="AL1488" s="10" t="s">
        <v>3090</v>
      </c>
      <c r="AM1488" s="10"/>
      <c r="AN1488" s="10"/>
      <c r="AO1488" s="13" t="b">
        <v>0</v>
      </c>
      <c r="AP1488" s="10" t="s">
        <v>104</v>
      </c>
      <c r="AQ1488" s="10"/>
      <c r="AR1488" s="17"/>
      <c r="AS1488" s="17"/>
      <c r="AT1488" s="17"/>
      <c r="AU1488" s="17"/>
      <c r="AV1488" s="17"/>
      <c r="AW1488" s="10"/>
      <c r="AX1488" s="17"/>
      <c r="AY1488" s="18" t="s">
        <v>257</v>
      </c>
      <c r="AZ1488" s="10"/>
      <c r="BA1488" s="20" t="b">
        <v>0</v>
      </c>
      <c r="BB1488" s="10"/>
      <c r="BC1488" s="17" t="s">
        <v>257</v>
      </c>
      <c r="BD1488" s="17" t="s">
        <v>257</v>
      </c>
      <c r="BE1488" s="17" t="s">
        <v>257</v>
      </c>
      <c r="BF1488" s="17" t="s">
        <v>257</v>
      </c>
      <c r="BG1488" s="11">
        <f ca="1">IFERROR(__xludf.DUMMYFUNCTION("""COMPUTED_VALUE"""),46152)</f>
        <v>46152</v>
      </c>
      <c r="BH1488" s="17"/>
      <c r="BI1488" s="17"/>
      <c r="BJ1488" s="15"/>
      <c r="BK1488" s="15"/>
      <c r="BL1488" s="13" t="b">
        <v>0</v>
      </c>
      <c r="BM1488" s="10"/>
      <c r="BN1488" s="10" t="s">
        <v>223</v>
      </c>
      <c r="BO1488" s="11">
        <v>45904.28460648148</v>
      </c>
      <c r="BP1488" s="11">
        <v>45904.28460648148</v>
      </c>
      <c r="BQ1488" s="15"/>
      <c r="BR1488" s="15"/>
      <c r="BS1488" s="10"/>
      <c r="BT1488" s="10"/>
      <c r="BU1488" s="10"/>
      <c r="BV1488" s="10"/>
      <c r="BW1488" s="10"/>
      <c r="BX1488" s="10"/>
      <c r="BY1488" s="23"/>
      <c r="BZ1488" s="23"/>
      <c r="CA1488" s="23"/>
      <c r="CB1488" s="23"/>
      <c r="CC1488" s="23"/>
      <c r="CD1488" s="23"/>
      <c r="CE1488" s="23"/>
      <c r="CF1488" s="23"/>
      <c r="CG1488" s="23"/>
      <c r="CH1488" s="23"/>
      <c r="CI1488" s="23"/>
    </row>
    <row r="1489" spans="1:87" x14ac:dyDescent="0.3">
      <c r="A1489" s="9" t="s">
        <v>11297</v>
      </c>
      <c r="B1489" s="10" t="s">
        <v>11298</v>
      </c>
      <c r="C1489" s="11">
        <v>46152</v>
      </c>
      <c r="D1489" s="12">
        <v>8.3333333333333329E-2</v>
      </c>
      <c r="E1489" s="11">
        <v>46152.083333333336</v>
      </c>
      <c r="F1489" s="10" t="s">
        <v>3211</v>
      </c>
      <c r="G1489" s="13" t="b">
        <v>0</v>
      </c>
      <c r="H1489" s="10" t="s">
        <v>3212</v>
      </c>
      <c r="I1489" s="10" t="s">
        <v>3213</v>
      </c>
      <c r="J1489" s="13" t="b">
        <v>0</v>
      </c>
      <c r="K1489" s="13" t="b">
        <v>1</v>
      </c>
      <c r="L1489" s="10" t="s">
        <v>124</v>
      </c>
      <c r="M1489" s="10" t="s">
        <v>91</v>
      </c>
      <c r="N1489" s="10" t="s">
        <v>92</v>
      </c>
      <c r="O1489" s="10"/>
      <c r="P1489" s="10"/>
      <c r="Q1489" s="10"/>
      <c r="R1489" s="10"/>
      <c r="S1489" s="10"/>
      <c r="T1489" s="10"/>
      <c r="U1489" s="10" t="s">
        <v>3260</v>
      </c>
      <c r="V1489" s="10" t="s">
        <v>3229</v>
      </c>
      <c r="W1489" s="10" t="s">
        <v>3219</v>
      </c>
      <c r="X1489" s="10" t="s">
        <v>130</v>
      </c>
      <c r="Y1489" s="10" t="s">
        <v>130</v>
      </c>
      <c r="Z1489" s="10" t="s">
        <v>99</v>
      </c>
      <c r="AA1489" s="10" t="s">
        <v>131</v>
      </c>
      <c r="AB1489" s="10" t="s">
        <v>3220</v>
      </c>
      <c r="AC1489" s="10" t="s">
        <v>3221</v>
      </c>
      <c r="AD1489" s="10" t="s">
        <v>11299</v>
      </c>
      <c r="AE1489" s="10" t="s">
        <v>11300</v>
      </c>
      <c r="AF1489" s="15"/>
      <c r="AG1489" s="10"/>
      <c r="AH1489" s="10"/>
      <c r="AI1489" s="10"/>
      <c r="AJ1489" s="10"/>
      <c r="AK1489" s="10"/>
      <c r="AL1489" s="10" t="s">
        <v>3090</v>
      </c>
      <c r="AM1489" s="10"/>
      <c r="AN1489" s="10"/>
      <c r="AO1489" s="13" t="b">
        <v>0</v>
      </c>
      <c r="AP1489" s="10" t="s">
        <v>104</v>
      </c>
      <c r="AQ1489" s="10"/>
      <c r="AR1489" s="17"/>
      <c r="AS1489" s="17"/>
      <c r="AT1489" s="17"/>
      <c r="AU1489" s="17"/>
      <c r="AV1489" s="17"/>
      <c r="AW1489" s="10"/>
      <c r="AX1489" s="17"/>
      <c r="AY1489" s="18" t="s">
        <v>257</v>
      </c>
      <c r="AZ1489" s="10"/>
      <c r="BA1489" s="20" t="b">
        <v>0</v>
      </c>
      <c r="BB1489" s="10"/>
      <c r="BC1489" s="17" t="s">
        <v>257</v>
      </c>
      <c r="BD1489" s="17" t="s">
        <v>257</v>
      </c>
      <c r="BE1489" s="17" t="s">
        <v>257</v>
      </c>
      <c r="BF1489" s="17" t="s">
        <v>257</v>
      </c>
      <c r="BG1489" s="11">
        <f ca="1">IFERROR(__xludf.DUMMYFUNCTION("""COMPUTED_VALUE"""),46152)</f>
        <v>46152</v>
      </c>
      <c r="BH1489" s="17"/>
      <c r="BI1489" s="17"/>
      <c r="BJ1489" s="15"/>
      <c r="BK1489" s="15"/>
      <c r="BL1489" s="13" t="b">
        <v>0</v>
      </c>
      <c r="BM1489" s="10"/>
      <c r="BN1489" s="10" t="s">
        <v>223</v>
      </c>
      <c r="BO1489" s="11">
        <v>45904.28460648148</v>
      </c>
      <c r="BP1489" s="11">
        <v>45904.28460648148</v>
      </c>
      <c r="BQ1489" s="15"/>
      <c r="BR1489" s="15"/>
      <c r="BS1489" s="10"/>
      <c r="BT1489" s="10"/>
      <c r="BU1489" s="10"/>
      <c r="BV1489" s="10"/>
      <c r="BW1489" s="10"/>
      <c r="BX1489" s="10"/>
      <c r="BY1489" s="23"/>
      <c r="BZ1489" s="23"/>
      <c r="CA1489" s="23"/>
      <c r="CB1489" s="23"/>
      <c r="CC1489" s="23"/>
      <c r="CD1489" s="23"/>
      <c r="CE1489" s="23"/>
      <c r="CF1489" s="23"/>
      <c r="CG1489" s="23"/>
      <c r="CH1489" s="23"/>
      <c r="CI1489" s="23"/>
    </row>
    <row r="1490" spans="1:87" x14ac:dyDescent="0.3">
      <c r="A1490" s="9" t="s">
        <v>11301</v>
      </c>
      <c r="B1490" s="10" t="s">
        <v>11302</v>
      </c>
      <c r="C1490" s="11">
        <v>46152</v>
      </c>
      <c r="D1490" s="12">
        <v>8.3333333333333329E-2</v>
      </c>
      <c r="E1490" s="11">
        <v>46152.083333333336</v>
      </c>
      <c r="F1490" s="10" t="s">
        <v>3211</v>
      </c>
      <c r="G1490" s="13" t="b">
        <v>0</v>
      </c>
      <c r="H1490" s="10" t="s">
        <v>3212</v>
      </c>
      <c r="I1490" s="10" t="s">
        <v>3213</v>
      </c>
      <c r="J1490" s="13" t="b">
        <v>0</v>
      </c>
      <c r="K1490" s="13" t="b">
        <v>1</v>
      </c>
      <c r="L1490" s="10" t="s">
        <v>124</v>
      </c>
      <c r="M1490" s="10" t="s">
        <v>91</v>
      </c>
      <c r="N1490" s="10" t="s">
        <v>92</v>
      </c>
      <c r="O1490" s="10"/>
      <c r="P1490" s="10"/>
      <c r="Q1490" s="10"/>
      <c r="R1490" s="10"/>
      <c r="S1490" s="10"/>
      <c r="T1490" s="10"/>
      <c r="U1490" s="10" t="s">
        <v>3279</v>
      </c>
      <c r="V1490" s="10" t="s">
        <v>3429</v>
      </c>
      <c r="W1490" s="10" t="s">
        <v>3219</v>
      </c>
      <c r="X1490" s="10" t="s">
        <v>130</v>
      </c>
      <c r="Y1490" s="10" t="s">
        <v>130</v>
      </c>
      <c r="Z1490" s="10" t="s">
        <v>99</v>
      </c>
      <c r="AA1490" s="10" t="s">
        <v>131</v>
      </c>
      <c r="AB1490" s="10" t="s">
        <v>3220</v>
      </c>
      <c r="AC1490" s="10" t="s">
        <v>3221</v>
      </c>
      <c r="AD1490" s="10" t="s">
        <v>11303</v>
      </c>
      <c r="AE1490" s="10" t="s">
        <v>11304</v>
      </c>
      <c r="AF1490" s="15"/>
      <c r="AG1490" s="10"/>
      <c r="AH1490" s="10"/>
      <c r="AI1490" s="10"/>
      <c r="AJ1490" s="10"/>
      <c r="AK1490" s="10"/>
      <c r="AL1490" s="10" t="s">
        <v>3090</v>
      </c>
      <c r="AM1490" s="10"/>
      <c r="AN1490" s="10"/>
      <c r="AO1490" s="13" t="b">
        <v>0</v>
      </c>
      <c r="AP1490" s="10" t="s">
        <v>104</v>
      </c>
      <c r="AQ1490" s="10"/>
      <c r="AR1490" s="17"/>
      <c r="AS1490" s="17"/>
      <c r="AT1490" s="17"/>
      <c r="AU1490" s="17"/>
      <c r="AV1490" s="17"/>
      <c r="AW1490" s="10"/>
      <c r="AX1490" s="17"/>
      <c r="AY1490" s="18" t="s">
        <v>257</v>
      </c>
      <c r="AZ1490" s="10"/>
      <c r="BA1490" s="20" t="b">
        <v>0</v>
      </c>
      <c r="BB1490" s="10"/>
      <c r="BC1490" s="17" t="s">
        <v>257</v>
      </c>
      <c r="BD1490" s="17" t="s">
        <v>257</v>
      </c>
      <c r="BE1490" s="17" t="s">
        <v>257</v>
      </c>
      <c r="BF1490" s="17" t="s">
        <v>257</v>
      </c>
      <c r="BG1490" s="11">
        <f ca="1">IFERROR(__xludf.DUMMYFUNCTION("""COMPUTED_VALUE"""),46152)</f>
        <v>46152</v>
      </c>
      <c r="BH1490" s="17"/>
      <c r="BI1490" s="17"/>
      <c r="BJ1490" s="15"/>
      <c r="BK1490" s="15"/>
      <c r="BL1490" s="13" t="b">
        <v>0</v>
      </c>
      <c r="BM1490" s="10"/>
      <c r="BN1490" s="10" t="s">
        <v>223</v>
      </c>
      <c r="BO1490" s="11">
        <v>45904.28460648148</v>
      </c>
      <c r="BP1490" s="11">
        <v>45904.28460648148</v>
      </c>
      <c r="BQ1490" s="15"/>
      <c r="BR1490" s="15"/>
      <c r="BS1490" s="10"/>
      <c r="BT1490" s="10"/>
      <c r="BU1490" s="10"/>
      <c r="BV1490" s="10"/>
      <c r="BW1490" s="10"/>
      <c r="BX1490" s="10"/>
      <c r="BY1490" s="23"/>
      <c r="BZ1490" s="23"/>
      <c r="CA1490" s="23"/>
      <c r="CB1490" s="23"/>
      <c r="CC1490" s="23"/>
      <c r="CD1490" s="23"/>
      <c r="CE1490" s="23"/>
      <c r="CF1490" s="23"/>
      <c r="CG1490" s="23"/>
      <c r="CH1490" s="23"/>
      <c r="CI1490" s="23"/>
    </row>
    <row r="1491" spans="1:87" x14ac:dyDescent="0.3">
      <c r="A1491" s="9" t="s">
        <v>11305</v>
      </c>
      <c r="B1491" s="10" t="s">
        <v>11306</v>
      </c>
      <c r="C1491" s="11">
        <v>46152</v>
      </c>
      <c r="D1491" s="12">
        <v>8.3333333333333329E-2</v>
      </c>
      <c r="E1491" s="11">
        <v>46152.083333333336</v>
      </c>
      <c r="F1491" s="10" t="s">
        <v>3211</v>
      </c>
      <c r="G1491" s="13" t="b">
        <v>0</v>
      </c>
      <c r="H1491" s="10" t="s">
        <v>3212</v>
      </c>
      <c r="I1491" s="10" t="s">
        <v>3213</v>
      </c>
      <c r="J1491" s="13" t="b">
        <v>0</v>
      </c>
      <c r="K1491" s="13" t="b">
        <v>1</v>
      </c>
      <c r="L1491" s="10" t="s">
        <v>124</v>
      </c>
      <c r="M1491" s="10" t="s">
        <v>91</v>
      </c>
      <c r="N1491" s="10" t="s">
        <v>92</v>
      </c>
      <c r="O1491" s="10"/>
      <c r="P1491" s="10"/>
      <c r="Q1491" s="10"/>
      <c r="R1491" s="10"/>
      <c r="S1491" s="10"/>
      <c r="T1491" s="10"/>
      <c r="U1491" s="10" t="s">
        <v>3270</v>
      </c>
      <c r="V1491" s="10" t="s">
        <v>3249</v>
      </c>
      <c r="W1491" s="10" t="s">
        <v>3219</v>
      </c>
      <c r="X1491" s="10" t="s">
        <v>130</v>
      </c>
      <c r="Y1491" s="10" t="s">
        <v>130</v>
      </c>
      <c r="Z1491" s="10" t="s">
        <v>99</v>
      </c>
      <c r="AA1491" s="10" t="s">
        <v>131</v>
      </c>
      <c r="AB1491" s="10" t="s">
        <v>3220</v>
      </c>
      <c r="AC1491" s="10" t="s">
        <v>3221</v>
      </c>
      <c r="AD1491" s="10" t="s">
        <v>11307</v>
      </c>
      <c r="AE1491" s="10" t="s">
        <v>11308</v>
      </c>
      <c r="AF1491" s="15"/>
      <c r="AG1491" s="10"/>
      <c r="AH1491" s="10"/>
      <c r="AI1491" s="10"/>
      <c r="AJ1491" s="10"/>
      <c r="AK1491" s="10"/>
      <c r="AL1491" s="10" t="s">
        <v>3090</v>
      </c>
      <c r="AM1491" s="10"/>
      <c r="AN1491" s="10"/>
      <c r="AO1491" s="13" t="b">
        <v>0</v>
      </c>
      <c r="AP1491" s="10" t="s">
        <v>104</v>
      </c>
      <c r="AQ1491" s="10"/>
      <c r="AR1491" s="17"/>
      <c r="AS1491" s="17"/>
      <c r="AT1491" s="17"/>
      <c r="AU1491" s="17"/>
      <c r="AV1491" s="17"/>
      <c r="AW1491" s="10"/>
      <c r="AX1491" s="17"/>
      <c r="AY1491" s="18" t="s">
        <v>257</v>
      </c>
      <c r="AZ1491" s="10"/>
      <c r="BA1491" s="20" t="b">
        <v>0</v>
      </c>
      <c r="BB1491" s="10"/>
      <c r="BC1491" s="17" t="s">
        <v>257</v>
      </c>
      <c r="BD1491" s="17" t="s">
        <v>257</v>
      </c>
      <c r="BE1491" s="17" t="s">
        <v>257</v>
      </c>
      <c r="BF1491" s="17" t="s">
        <v>257</v>
      </c>
      <c r="BG1491" s="11">
        <f ca="1">IFERROR(__xludf.DUMMYFUNCTION("""COMPUTED_VALUE"""),46152)</f>
        <v>46152</v>
      </c>
      <c r="BH1491" s="17"/>
      <c r="BI1491" s="17"/>
      <c r="BJ1491" s="15"/>
      <c r="BK1491" s="15"/>
      <c r="BL1491" s="13" t="b">
        <v>0</v>
      </c>
      <c r="BM1491" s="10"/>
      <c r="BN1491" s="10" t="s">
        <v>223</v>
      </c>
      <c r="BO1491" s="11">
        <v>45904.28460648148</v>
      </c>
      <c r="BP1491" s="11">
        <v>45904.28460648148</v>
      </c>
      <c r="BQ1491" s="15"/>
      <c r="BR1491" s="15"/>
      <c r="BS1491" s="10"/>
      <c r="BT1491" s="10"/>
      <c r="BU1491" s="10"/>
      <c r="BV1491" s="10"/>
      <c r="BW1491" s="10"/>
      <c r="BX1491" s="10"/>
      <c r="BY1491" s="23"/>
      <c r="BZ1491" s="23"/>
      <c r="CA1491" s="23"/>
      <c r="CB1491" s="23"/>
      <c r="CC1491" s="23"/>
      <c r="CD1491" s="23"/>
      <c r="CE1491" s="23"/>
      <c r="CF1491" s="23"/>
      <c r="CG1491" s="23"/>
      <c r="CH1491" s="23"/>
      <c r="CI1491" s="23"/>
    </row>
    <row r="1492" spans="1:87" x14ac:dyDescent="0.3">
      <c r="A1492" s="9" t="s">
        <v>11309</v>
      </c>
      <c r="B1492" s="10" t="s">
        <v>11310</v>
      </c>
      <c r="C1492" s="11">
        <v>46159</v>
      </c>
      <c r="D1492" s="12">
        <v>8.3333333333333329E-2</v>
      </c>
      <c r="E1492" s="11">
        <v>46159.083333333336</v>
      </c>
      <c r="F1492" s="10" t="s">
        <v>3211</v>
      </c>
      <c r="G1492" s="13" t="b">
        <v>0</v>
      </c>
      <c r="H1492" s="10" t="s">
        <v>3212</v>
      </c>
      <c r="I1492" s="10" t="s">
        <v>3213</v>
      </c>
      <c r="J1492" s="13" t="b">
        <v>0</v>
      </c>
      <c r="K1492" s="13" t="b">
        <v>1</v>
      </c>
      <c r="L1492" s="10" t="s">
        <v>124</v>
      </c>
      <c r="M1492" s="10" t="s">
        <v>91</v>
      </c>
      <c r="N1492" s="10" t="s">
        <v>92</v>
      </c>
      <c r="O1492" s="10"/>
      <c r="P1492" s="10"/>
      <c r="Q1492" s="10"/>
      <c r="R1492" s="10"/>
      <c r="S1492" s="10"/>
      <c r="T1492" s="10"/>
      <c r="U1492" s="10" t="s">
        <v>3308</v>
      </c>
      <c r="V1492" s="10" t="s">
        <v>3230</v>
      </c>
      <c r="W1492" s="10" t="s">
        <v>3219</v>
      </c>
      <c r="X1492" s="10" t="s">
        <v>130</v>
      </c>
      <c r="Y1492" s="10" t="s">
        <v>130</v>
      </c>
      <c r="Z1492" s="10" t="s">
        <v>99</v>
      </c>
      <c r="AA1492" s="10" t="s">
        <v>131</v>
      </c>
      <c r="AB1492" s="10" t="s">
        <v>3220</v>
      </c>
      <c r="AC1492" s="10" t="s">
        <v>3221</v>
      </c>
      <c r="AD1492" s="10" t="s">
        <v>11311</v>
      </c>
      <c r="AE1492" s="10" t="s">
        <v>11312</v>
      </c>
      <c r="AF1492" s="15"/>
      <c r="AG1492" s="10"/>
      <c r="AH1492" s="10"/>
      <c r="AI1492" s="10"/>
      <c r="AJ1492" s="10"/>
      <c r="AK1492" s="10"/>
      <c r="AL1492" s="10" t="s">
        <v>3131</v>
      </c>
      <c r="AM1492" s="10"/>
      <c r="AN1492" s="10"/>
      <c r="AO1492" s="13" t="b">
        <v>0</v>
      </c>
      <c r="AP1492" s="10" t="s">
        <v>104</v>
      </c>
      <c r="AQ1492" s="10"/>
      <c r="AR1492" s="17"/>
      <c r="AS1492" s="17"/>
      <c r="AT1492" s="17"/>
      <c r="AU1492" s="17"/>
      <c r="AV1492" s="17"/>
      <c r="AW1492" s="10"/>
      <c r="AX1492" s="17"/>
      <c r="AY1492" s="18" t="s">
        <v>257</v>
      </c>
      <c r="AZ1492" s="10"/>
      <c r="BA1492" s="20" t="b">
        <v>0</v>
      </c>
      <c r="BB1492" s="10"/>
      <c r="BC1492" s="17" t="s">
        <v>257</v>
      </c>
      <c r="BD1492" s="17" t="s">
        <v>257</v>
      </c>
      <c r="BE1492" s="17" t="s">
        <v>257</v>
      </c>
      <c r="BF1492" s="17" t="s">
        <v>257</v>
      </c>
      <c r="BG1492" s="11">
        <f ca="1">IFERROR(__xludf.DUMMYFUNCTION("""COMPUTED_VALUE"""),46159)</f>
        <v>46159</v>
      </c>
      <c r="BH1492" s="17"/>
      <c r="BI1492" s="17"/>
      <c r="BJ1492" s="15"/>
      <c r="BK1492" s="15"/>
      <c r="BL1492" s="13" t="b">
        <v>0</v>
      </c>
      <c r="BM1492" s="10"/>
      <c r="BN1492" s="10" t="s">
        <v>223</v>
      </c>
      <c r="BO1492" s="11">
        <v>45904.28460648148</v>
      </c>
      <c r="BP1492" s="11">
        <v>45904.28460648148</v>
      </c>
      <c r="BQ1492" s="15"/>
      <c r="BR1492" s="15"/>
      <c r="BS1492" s="10"/>
      <c r="BT1492" s="10"/>
      <c r="BU1492" s="10"/>
      <c r="BV1492" s="10"/>
      <c r="BW1492" s="10"/>
      <c r="BX1492" s="10"/>
      <c r="BY1492" s="23"/>
      <c r="BZ1492" s="23"/>
      <c r="CA1492" s="23"/>
      <c r="CB1492" s="23"/>
      <c r="CC1492" s="23"/>
      <c r="CD1492" s="23"/>
      <c r="CE1492" s="23"/>
      <c r="CF1492" s="23"/>
      <c r="CG1492" s="23"/>
      <c r="CH1492" s="23"/>
      <c r="CI1492" s="23"/>
    </row>
    <row r="1493" spans="1:87" x14ac:dyDescent="0.3">
      <c r="A1493" s="9" t="s">
        <v>11313</v>
      </c>
      <c r="B1493" s="10" t="s">
        <v>11314</v>
      </c>
      <c r="C1493" s="11">
        <v>46159</v>
      </c>
      <c r="D1493" s="12">
        <v>8.3333333333333329E-2</v>
      </c>
      <c r="E1493" s="11">
        <v>46159.083333333336</v>
      </c>
      <c r="F1493" s="10" t="s">
        <v>3211</v>
      </c>
      <c r="G1493" s="13" t="b">
        <v>0</v>
      </c>
      <c r="H1493" s="10" t="s">
        <v>3212</v>
      </c>
      <c r="I1493" s="10" t="s">
        <v>3213</v>
      </c>
      <c r="J1493" s="13" t="b">
        <v>0</v>
      </c>
      <c r="K1493" s="13" t="b">
        <v>1</v>
      </c>
      <c r="L1493" s="10" t="s">
        <v>124</v>
      </c>
      <c r="M1493" s="10" t="s">
        <v>91</v>
      </c>
      <c r="N1493" s="10" t="s">
        <v>92</v>
      </c>
      <c r="O1493" s="10"/>
      <c r="P1493" s="10"/>
      <c r="Q1493" s="10"/>
      <c r="R1493" s="10"/>
      <c r="S1493" s="10"/>
      <c r="T1493" s="10"/>
      <c r="U1493" s="10" t="s">
        <v>3239</v>
      </c>
      <c r="V1493" s="10" t="s">
        <v>3279</v>
      </c>
      <c r="W1493" s="10" t="s">
        <v>3219</v>
      </c>
      <c r="X1493" s="10" t="s">
        <v>130</v>
      </c>
      <c r="Y1493" s="10" t="s">
        <v>130</v>
      </c>
      <c r="Z1493" s="10" t="s">
        <v>99</v>
      </c>
      <c r="AA1493" s="10" t="s">
        <v>131</v>
      </c>
      <c r="AB1493" s="10" t="s">
        <v>3220</v>
      </c>
      <c r="AC1493" s="10" t="s">
        <v>3221</v>
      </c>
      <c r="AD1493" s="10" t="s">
        <v>11315</v>
      </c>
      <c r="AE1493" s="10" t="s">
        <v>11316</v>
      </c>
      <c r="AF1493" s="15"/>
      <c r="AG1493" s="10"/>
      <c r="AH1493" s="10"/>
      <c r="AI1493" s="10"/>
      <c r="AJ1493" s="10"/>
      <c r="AK1493" s="10"/>
      <c r="AL1493" s="10" t="s">
        <v>3131</v>
      </c>
      <c r="AM1493" s="10"/>
      <c r="AN1493" s="10"/>
      <c r="AO1493" s="13" t="b">
        <v>0</v>
      </c>
      <c r="AP1493" s="10" t="s">
        <v>104</v>
      </c>
      <c r="AQ1493" s="10"/>
      <c r="AR1493" s="17"/>
      <c r="AS1493" s="17"/>
      <c r="AT1493" s="17"/>
      <c r="AU1493" s="17"/>
      <c r="AV1493" s="17"/>
      <c r="AW1493" s="10"/>
      <c r="AX1493" s="17"/>
      <c r="AY1493" s="18" t="s">
        <v>257</v>
      </c>
      <c r="AZ1493" s="10"/>
      <c r="BA1493" s="20" t="b">
        <v>0</v>
      </c>
      <c r="BB1493" s="10"/>
      <c r="BC1493" s="17" t="s">
        <v>257</v>
      </c>
      <c r="BD1493" s="17" t="s">
        <v>257</v>
      </c>
      <c r="BE1493" s="17" t="s">
        <v>257</v>
      </c>
      <c r="BF1493" s="17" t="s">
        <v>257</v>
      </c>
      <c r="BG1493" s="11">
        <f ca="1">IFERROR(__xludf.DUMMYFUNCTION("""COMPUTED_VALUE"""),46159)</f>
        <v>46159</v>
      </c>
      <c r="BH1493" s="17"/>
      <c r="BI1493" s="17"/>
      <c r="BJ1493" s="15"/>
      <c r="BK1493" s="15"/>
      <c r="BL1493" s="13" t="b">
        <v>0</v>
      </c>
      <c r="BM1493" s="10"/>
      <c r="BN1493" s="10" t="s">
        <v>223</v>
      </c>
      <c r="BO1493" s="11">
        <v>45904.28460648148</v>
      </c>
      <c r="BP1493" s="11">
        <v>45904.28460648148</v>
      </c>
      <c r="BQ1493" s="15"/>
      <c r="BR1493" s="15"/>
      <c r="BS1493" s="10"/>
      <c r="BT1493" s="10"/>
      <c r="BU1493" s="10"/>
      <c r="BV1493" s="10"/>
      <c r="BW1493" s="10"/>
      <c r="BX1493" s="10"/>
      <c r="BY1493" s="23"/>
      <c r="BZ1493" s="23"/>
      <c r="CA1493" s="23"/>
      <c r="CB1493" s="23"/>
      <c r="CC1493" s="23"/>
      <c r="CD1493" s="23"/>
      <c r="CE1493" s="23"/>
      <c r="CF1493" s="23"/>
      <c r="CG1493" s="23"/>
      <c r="CH1493" s="23"/>
      <c r="CI1493" s="23"/>
    </row>
    <row r="1494" spans="1:87" x14ac:dyDescent="0.3">
      <c r="A1494" s="9" t="s">
        <v>11317</v>
      </c>
      <c r="B1494" s="10" t="s">
        <v>11318</v>
      </c>
      <c r="C1494" s="11">
        <v>46159</v>
      </c>
      <c r="D1494" s="12">
        <v>8.3333333333333329E-2</v>
      </c>
      <c r="E1494" s="11">
        <v>46159.083333333336</v>
      </c>
      <c r="F1494" s="10" t="s">
        <v>3211</v>
      </c>
      <c r="G1494" s="13" t="b">
        <v>0</v>
      </c>
      <c r="H1494" s="10" t="s">
        <v>3212</v>
      </c>
      <c r="I1494" s="10" t="s">
        <v>3213</v>
      </c>
      <c r="J1494" s="13" t="b">
        <v>0</v>
      </c>
      <c r="K1494" s="13" t="b">
        <v>1</v>
      </c>
      <c r="L1494" s="10" t="s">
        <v>124</v>
      </c>
      <c r="M1494" s="10" t="s">
        <v>91</v>
      </c>
      <c r="N1494" s="10" t="s">
        <v>92</v>
      </c>
      <c r="O1494" s="10"/>
      <c r="P1494" s="10"/>
      <c r="Q1494" s="10"/>
      <c r="R1494" s="10"/>
      <c r="S1494" s="10"/>
      <c r="T1494" s="10"/>
      <c r="U1494" s="10" t="s">
        <v>3249</v>
      </c>
      <c r="V1494" s="10" t="s">
        <v>3260</v>
      </c>
      <c r="W1494" s="10" t="s">
        <v>3219</v>
      </c>
      <c r="X1494" s="10" t="s">
        <v>130</v>
      </c>
      <c r="Y1494" s="10" t="s">
        <v>130</v>
      </c>
      <c r="Z1494" s="10" t="s">
        <v>99</v>
      </c>
      <c r="AA1494" s="10" t="s">
        <v>131</v>
      </c>
      <c r="AB1494" s="10" t="s">
        <v>3220</v>
      </c>
      <c r="AC1494" s="10" t="s">
        <v>3221</v>
      </c>
      <c r="AD1494" s="10" t="s">
        <v>11319</v>
      </c>
      <c r="AE1494" s="10" t="s">
        <v>11320</v>
      </c>
      <c r="AF1494" s="15"/>
      <c r="AG1494" s="10"/>
      <c r="AH1494" s="10"/>
      <c r="AI1494" s="10"/>
      <c r="AJ1494" s="10"/>
      <c r="AK1494" s="10"/>
      <c r="AL1494" s="10" t="s">
        <v>3131</v>
      </c>
      <c r="AM1494" s="10"/>
      <c r="AN1494" s="10"/>
      <c r="AO1494" s="13" t="b">
        <v>0</v>
      </c>
      <c r="AP1494" s="10" t="s">
        <v>104</v>
      </c>
      <c r="AQ1494" s="10"/>
      <c r="AR1494" s="17"/>
      <c r="AS1494" s="17"/>
      <c r="AT1494" s="17"/>
      <c r="AU1494" s="17"/>
      <c r="AV1494" s="17"/>
      <c r="AW1494" s="10"/>
      <c r="AX1494" s="17"/>
      <c r="AY1494" s="18" t="s">
        <v>257</v>
      </c>
      <c r="AZ1494" s="10"/>
      <c r="BA1494" s="20" t="b">
        <v>0</v>
      </c>
      <c r="BB1494" s="10"/>
      <c r="BC1494" s="17" t="s">
        <v>257</v>
      </c>
      <c r="BD1494" s="17" t="s">
        <v>257</v>
      </c>
      <c r="BE1494" s="17" t="s">
        <v>257</v>
      </c>
      <c r="BF1494" s="17" t="s">
        <v>257</v>
      </c>
      <c r="BG1494" s="11">
        <f ca="1">IFERROR(__xludf.DUMMYFUNCTION("""COMPUTED_VALUE"""),46159)</f>
        <v>46159</v>
      </c>
      <c r="BH1494" s="17"/>
      <c r="BI1494" s="17"/>
      <c r="BJ1494" s="15"/>
      <c r="BK1494" s="15"/>
      <c r="BL1494" s="13" t="b">
        <v>0</v>
      </c>
      <c r="BM1494" s="10"/>
      <c r="BN1494" s="10" t="s">
        <v>223</v>
      </c>
      <c r="BO1494" s="11">
        <v>45904.28460648148</v>
      </c>
      <c r="BP1494" s="11">
        <v>45904.28460648148</v>
      </c>
      <c r="BQ1494" s="15"/>
      <c r="BR1494" s="15"/>
      <c r="BS1494" s="10"/>
      <c r="BT1494" s="10"/>
      <c r="BU1494" s="10"/>
      <c r="BV1494" s="10"/>
      <c r="BW1494" s="10"/>
      <c r="BX1494" s="10"/>
      <c r="BY1494" s="23"/>
      <c r="BZ1494" s="23"/>
      <c r="CA1494" s="23"/>
      <c r="CB1494" s="23"/>
      <c r="CC1494" s="23"/>
      <c r="CD1494" s="23"/>
      <c r="CE1494" s="23"/>
      <c r="CF1494" s="23"/>
      <c r="CG1494" s="23"/>
      <c r="CH1494" s="23"/>
      <c r="CI1494" s="23"/>
    </row>
    <row r="1495" spans="1:87" x14ac:dyDescent="0.3">
      <c r="A1495" s="25" t="s">
        <v>11321</v>
      </c>
      <c r="B1495" s="10" t="s">
        <v>11322</v>
      </c>
      <c r="C1495" s="11">
        <v>46159</v>
      </c>
      <c r="D1495" s="12">
        <v>8.3333333333333329E-2</v>
      </c>
      <c r="E1495" s="11">
        <v>46159.083333333336</v>
      </c>
      <c r="F1495" s="10" t="s">
        <v>3211</v>
      </c>
      <c r="G1495" s="13" t="b">
        <v>0</v>
      </c>
      <c r="H1495" s="10" t="s">
        <v>3212</v>
      </c>
      <c r="I1495" s="10" t="s">
        <v>3213</v>
      </c>
      <c r="J1495" s="13" t="b">
        <v>0</v>
      </c>
      <c r="K1495" s="13" t="b">
        <v>1</v>
      </c>
      <c r="L1495" s="10" t="s">
        <v>124</v>
      </c>
      <c r="M1495" s="10" t="s">
        <v>91</v>
      </c>
      <c r="N1495" s="10" t="s">
        <v>92</v>
      </c>
      <c r="O1495" s="10"/>
      <c r="P1495" s="10"/>
      <c r="Q1495" s="10"/>
      <c r="R1495" s="10"/>
      <c r="S1495" s="10"/>
      <c r="T1495" s="10"/>
      <c r="U1495" s="10" t="s">
        <v>3217</v>
      </c>
      <c r="V1495" s="10" t="s">
        <v>3289</v>
      </c>
      <c r="W1495" s="10" t="s">
        <v>3219</v>
      </c>
      <c r="X1495" s="10" t="s">
        <v>130</v>
      </c>
      <c r="Y1495" s="10" t="s">
        <v>130</v>
      </c>
      <c r="Z1495" s="10" t="s">
        <v>99</v>
      </c>
      <c r="AA1495" s="10" t="s">
        <v>131</v>
      </c>
      <c r="AB1495" s="10" t="s">
        <v>3220</v>
      </c>
      <c r="AC1495" s="10" t="s">
        <v>3221</v>
      </c>
      <c r="AD1495" s="10" t="s">
        <v>11323</v>
      </c>
      <c r="AE1495" s="10" t="s">
        <v>11324</v>
      </c>
      <c r="AF1495" s="15"/>
      <c r="AG1495" s="10"/>
      <c r="AH1495" s="10"/>
      <c r="AI1495" s="10"/>
      <c r="AJ1495" s="10"/>
      <c r="AK1495" s="10"/>
      <c r="AL1495" s="10" t="s">
        <v>3131</v>
      </c>
      <c r="AM1495" s="10"/>
      <c r="AN1495" s="10"/>
      <c r="AO1495" s="13" t="b">
        <v>0</v>
      </c>
      <c r="AP1495" s="10" t="s">
        <v>104</v>
      </c>
      <c r="AQ1495" s="10"/>
      <c r="AR1495" s="17"/>
      <c r="AS1495" s="17"/>
      <c r="AT1495" s="17"/>
      <c r="AU1495" s="17"/>
      <c r="AV1495" s="17"/>
      <c r="AW1495" s="10"/>
      <c r="AX1495" s="17"/>
      <c r="AY1495" s="18" t="s">
        <v>257</v>
      </c>
      <c r="AZ1495" s="10"/>
      <c r="BA1495" s="20" t="b">
        <v>0</v>
      </c>
      <c r="BB1495" s="10"/>
      <c r="BC1495" s="17" t="s">
        <v>257</v>
      </c>
      <c r="BD1495" s="17" t="s">
        <v>257</v>
      </c>
      <c r="BE1495" s="17" t="s">
        <v>257</v>
      </c>
      <c r="BF1495" s="17" t="s">
        <v>257</v>
      </c>
      <c r="BG1495" s="11">
        <f ca="1">IFERROR(__xludf.DUMMYFUNCTION("""COMPUTED_VALUE"""),46159)</f>
        <v>46159</v>
      </c>
      <c r="BH1495" s="17"/>
      <c r="BI1495" s="17"/>
      <c r="BJ1495" s="15"/>
      <c r="BK1495" s="15"/>
      <c r="BL1495" s="13" t="b">
        <v>0</v>
      </c>
      <c r="BM1495" s="10"/>
      <c r="BN1495" s="10" t="s">
        <v>223</v>
      </c>
      <c r="BO1495" s="11">
        <v>45904.28460648148</v>
      </c>
      <c r="BP1495" s="11">
        <v>45904.28460648148</v>
      </c>
      <c r="BQ1495" s="15"/>
      <c r="BR1495" s="15"/>
      <c r="BS1495" s="10"/>
      <c r="BT1495" s="10"/>
      <c r="BU1495" s="10"/>
      <c r="BV1495" s="10"/>
      <c r="BW1495" s="10"/>
      <c r="BX1495" s="10"/>
      <c r="BY1495" s="23"/>
      <c r="BZ1495" s="23"/>
      <c r="CA1495" s="23"/>
      <c r="CB1495" s="23"/>
      <c r="CC1495" s="23"/>
      <c r="CD1495" s="23"/>
      <c r="CE1495" s="23"/>
      <c r="CF1495" s="23"/>
      <c r="CG1495" s="23"/>
      <c r="CH1495" s="23"/>
      <c r="CI1495" s="23"/>
    </row>
    <row r="1496" spans="1:87" x14ac:dyDescent="0.3">
      <c r="A1496" s="9" t="s">
        <v>11325</v>
      </c>
      <c r="B1496" s="10" t="s">
        <v>11326</v>
      </c>
      <c r="C1496" s="11">
        <v>46159</v>
      </c>
      <c r="D1496" s="12">
        <v>8.3333333333333329E-2</v>
      </c>
      <c r="E1496" s="11">
        <v>46159.083333333336</v>
      </c>
      <c r="F1496" s="10" t="s">
        <v>3211</v>
      </c>
      <c r="G1496" s="13" t="b">
        <v>0</v>
      </c>
      <c r="H1496" s="10" t="s">
        <v>3212</v>
      </c>
      <c r="I1496" s="10" t="s">
        <v>3213</v>
      </c>
      <c r="J1496" s="13" t="b">
        <v>0</v>
      </c>
      <c r="K1496" s="13" t="b">
        <v>1</v>
      </c>
      <c r="L1496" s="10" t="s">
        <v>124</v>
      </c>
      <c r="M1496" s="10" t="s">
        <v>91</v>
      </c>
      <c r="N1496" s="10" t="s">
        <v>92</v>
      </c>
      <c r="O1496" s="10"/>
      <c r="P1496" s="10"/>
      <c r="Q1496" s="10"/>
      <c r="R1496" s="10"/>
      <c r="S1496" s="10"/>
      <c r="T1496" s="10"/>
      <c r="U1496" s="10" t="s">
        <v>3278</v>
      </c>
      <c r="V1496" s="10" t="s">
        <v>3270</v>
      </c>
      <c r="W1496" s="10" t="s">
        <v>3219</v>
      </c>
      <c r="X1496" s="10" t="s">
        <v>130</v>
      </c>
      <c r="Y1496" s="10" t="s">
        <v>130</v>
      </c>
      <c r="Z1496" s="10" t="s">
        <v>99</v>
      </c>
      <c r="AA1496" s="10" t="s">
        <v>131</v>
      </c>
      <c r="AB1496" s="10" t="s">
        <v>3220</v>
      </c>
      <c r="AC1496" s="10" t="s">
        <v>3221</v>
      </c>
      <c r="AD1496" s="10" t="s">
        <v>11327</v>
      </c>
      <c r="AE1496" s="10" t="s">
        <v>11328</v>
      </c>
      <c r="AF1496" s="15"/>
      <c r="AG1496" s="10"/>
      <c r="AH1496" s="10"/>
      <c r="AI1496" s="10"/>
      <c r="AJ1496" s="10"/>
      <c r="AK1496" s="10"/>
      <c r="AL1496" s="10" t="s">
        <v>3131</v>
      </c>
      <c r="AM1496" s="10"/>
      <c r="AN1496" s="10"/>
      <c r="AO1496" s="13" t="b">
        <v>0</v>
      </c>
      <c r="AP1496" s="10" t="s">
        <v>104</v>
      </c>
      <c r="AQ1496" s="10"/>
      <c r="AR1496" s="17"/>
      <c r="AS1496" s="17"/>
      <c r="AT1496" s="17"/>
      <c r="AU1496" s="17"/>
      <c r="AV1496" s="17"/>
      <c r="AW1496" s="10"/>
      <c r="AX1496" s="17"/>
      <c r="AY1496" s="18" t="s">
        <v>257</v>
      </c>
      <c r="AZ1496" s="10"/>
      <c r="BA1496" s="20" t="b">
        <v>0</v>
      </c>
      <c r="BB1496" s="10"/>
      <c r="BC1496" s="17" t="s">
        <v>257</v>
      </c>
      <c r="BD1496" s="17" t="s">
        <v>257</v>
      </c>
      <c r="BE1496" s="17" t="s">
        <v>257</v>
      </c>
      <c r="BF1496" s="17" t="s">
        <v>257</v>
      </c>
      <c r="BG1496" s="11">
        <f ca="1">IFERROR(__xludf.DUMMYFUNCTION("""COMPUTED_VALUE"""),46159)</f>
        <v>46159</v>
      </c>
      <c r="BH1496" s="17"/>
      <c r="BI1496" s="17"/>
      <c r="BJ1496" s="15"/>
      <c r="BK1496" s="15"/>
      <c r="BL1496" s="13" t="b">
        <v>0</v>
      </c>
      <c r="BM1496" s="10"/>
      <c r="BN1496" s="10" t="s">
        <v>223</v>
      </c>
      <c r="BO1496" s="11">
        <v>45904.28460648148</v>
      </c>
      <c r="BP1496" s="11">
        <v>45904.28460648148</v>
      </c>
      <c r="BQ1496" s="15"/>
      <c r="BR1496" s="15"/>
      <c r="BS1496" s="10"/>
      <c r="BT1496" s="10"/>
      <c r="BU1496" s="10"/>
      <c r="BV1496" s="10"/>
      <c r="BW1496" s="10"/>
      <c r="BX1496" s="10"/>
      <c r="BY1496" s="23"/>
      <c r="BZ1496" s="23"/>
      <c r="CA1496" s="23"/>
      <c r="CB1496" s="23"/>
      <c r="CC1496" s="23"/>
      <c r="CD1496" s="23"/>
      <c r="CE1496" s="23"/>
      <c r="CF1496" s="23"/>
      <c r="CG1496" s="23"/>
      <c r="CH1496" s="23"/>
      <c r="CI1496" s="23"/>
    </row>
    <row r="1497" spans="1:87" x14ac:dyDescent="0.3">
      <c r="A1497" s="9" t="s">
        <v>11329</v>
      </c>
      <c r="B1497" s="10" t="s">
        <v>11330</v>
      </c>
      <c r="C1497" s="11">
        <v>46159</v>
      </c>
      <c r="D1497" s="12">
        <v>8.3333333333333329E-2</v>
      </c>
      <c r="E1497" s="11">
        <v>46159.083333333336</v>
      </c>
      <c r="F1497" s="10" t="s">
        <v>3211</v>
      </c>
      <c r="G1497" s="13" t="b">
        <v>0</v>
      </c>
      <c r="H1497" s="10" t="s">
        <v>3212</v>
      </c>
      <c r="I1497" s="10" t="s">
        <v>3213</v>
      </c>
      <c r="J1497" s="13" t="b">
        <v>0</v>
      </c>
      <c r="K1497" s="13" t="b">
        <v>1</v>
      </c>
      <c r="L1497" s="10" t="s">
        <v>124</v>
      </c>
      <c r="M1497" s="10" t="s">
        <v>91</v>
      </c>
      <c r="N1497" s="10" t="s">
        <v>92</v>
      </c>
      <c r="O1497" s="10"/>
      <c r="P1497" s="10"/>
      <c r="Q1497" s="10"/>
      <c r="R1497" s="10"/>
      <c r="S1497" s="10"/>
      <c r="T1497" s="10"/>
      <c r="U1497" s="10" t="s">
        <v>3259</v>
      </c>
      <c r="V1497" s="10" t="s">
        <v>3240</v>
      </c>
      <c r="W1497" s="10" t="s">
        <v>3219</v>
      </c>
      <c r="X1497" s="10" t="s">
        <v>130</v>
      </c>
      <c r="Y1497" s="10" t="s">
        <v>130</v>
      </c>
      <c r="Z1497" s="10" t="s">
        <v>99</v>
      </c>
      <c r="AA1497" s="10" t="s">
        <v>131</v>
      </c>
      <c r="AB1497" s="10" t="s">
        <v>3220</v>
      </c>
      <c r="AC1497" s="10" t="s">
        <v>3221</v>
      </c>
      <c r="AD1497" s="10" t="s">
        <v>11331</v>
      </c>
      <c r="AE1497" s="10" t="s">
        <v>11332</v>
      </c>
      <c r="AF1497" s="15"/>
      <c r="AG1497" s="10"/>
      <c r="AH1497" s="10"/>
      <c r="AI1497" s="10"/>
      <c r="AJ1497" s="10"/>
      <c r="AK1497" s="10"/>
      <c r="AL1497" s="10" t="s">
        <v>3131</v>
      </c>
      <c r="AM1497" s="10"/>
      <c r="AN1497" s="10"/>
      <c r="AO1497" s="13" t="b">
        <v>0</v>
      </c>
      <c r="AP1497" s="10" t="s">
        <v>104</v>
      </c>
      <c r="AQ1497" s="10"/>
      <c r="AR1497" s="17"/>
      <c r="AS1497" s="17"/>
      <c r="AT1497" s="17"/>
      <c r="AU1497" s="17"/>
      <c r="AV1497" s="17"/>
      <c r="AW1497" s="10"/>
      <c r="AX1497" s="17"/>
      <c r="AY1497" s="18" t="s">
        <v>257</v>
      </c>
      <c r="AZ1497" s="10"/>
      <c r="BA1497" s="20" t="b">
        <v>0</v>
      </c>
      <c r="BB1497" s="10"/>
      <c r="BC1497" s="17" t="s">
        <v>257</v>
      </c>
      <c r="BD1497" s="17" t="s">
        <v>257</v>
      </c>
      <c r="BE1497" s="17" t="s">
        <v>257</v>
      </c>
      <c r="BF1497" s="17" t="s">
        <v>257</v>
      </c>
      <c r="BG1497" s="11">
        <f ca="1">IFERROR(__xludf.DUMMYFUNCTION("""COMPUTED_VALUE"""),46159)</f>
        <v>46159</v>
      </c>
      <c r="BH1497" s="17"/>
      <c r="BI1497" s="17"/>
      <c r="BJ1497" s="15"/>
      <c r="BK1497" s="15"/>
      <c r="BL1497" s="13" t="b">
        <v>0</v>
      </c>
      <c r="BM1497" s="10"/>
      <c r="BN1497" s="10" t="s">
        <v>223</v>
      </c>
      <c r="BO1497" s="11">
        <v>45904.28460648148</v>
      </c>
      <c r="BP1497" s="11">
        <v>45904.28460648148</v>
      </c>
      <c r="BQ1497" s="15"/>
      <c r="BR1497" s="15"/>
      <c r="BS1497" s="10"/>
      <c r="BT1497" s="10"/>
      <c r="BU1497" s="10"/>
      <c r="BV1497" s="10"/>
      <c r="BW1497" s="10"/>
      <c r="BX1497" s="10"/>
      <c r="BY1497" s="23"/>
      <c r="BZ1497" s="23"/>
      <c r="CA1497" s="23"/>
      <c r="CB1497" s="23"/>
      <c r="CC1497" s="23"/>
      <c r="CD1497" s="23"/>
      <c r="CE1497" s="23"/>
      <c r="CF1497" s="23"/>
      <c r="CG1497" s="23"/>
      <c r="CH1497" s="23"/>
      <c r="CI1497" s="23"/>
    </row>
    <row r="1498" spans="1:87" x14ac:dyDescent="0.3">
      <c r="A1498" s="25" t="s">
        <v>11333</v>
      </c>
      <c r="B1498" s="10" t="s">
        <v>11334</v>
      </c>
      <c r="C1498" s="11">
        <v>46159</v>
      </c>
      <c r="D1498" s="12">
        <v>8.3333333333333329E-2</v>
      </c>
      <c r="E1498" s="11">
        <v>46159.083333333336</v>
      </c>
      <c r="F1498" s="10" t="s">
        <v>3211</v>
      </c>
      <c r="G1498" s="13" t="b">
        <v>0</v>
      </c>
      <c r="H1498" s="10" t="s">
        <v>3212</v>
      </c>
      <c r="I1498" s="10" t="s">
        <v>3213</v>
      </c>
      <c r="J1498" s="13" t="b">
        <v>0</v>
      </c>
      <c r="K1498" s="13" t="b">
        <v>1</v>
      </c>
      <c r="L1498" s="10" t="s">
        <v>124</v>
      </c>
      <c r="M1498" s="10" t="s">
        <v>91</v>
      </c>
      <c r="N1498" s="10" t="s">
        <v>92</v>
      </c>
      <c r="O1498" s="10"/>
      <c r="P1498" s="10"/>
      <c r="Q1498" s="10"/>
      <c r="R1498" s="10"/>
      <c r="S1498" s="10"/>
      <c r="T1498" s="10"/>
      <c r="U1498" s="10" t="s">
        <v>3451</v>
      </c>
      <c r="V1498" s="10" t="s">
        <v>3318</v>
      </c>
      <c r="W1498" s="10" t="s">
        <v>3219</v>
      </c>
      <c r="X1498" s="10" t="s">
        <v>130</v>
      </c>
      <c r="Y1498" s="10" t="s">
        <v>130</v>
      </c>
      <c r="Z1498" s="10" t="s">
        <v>99</v>
      </c>
      <c r="AA1498" s="10" t="s">
        <v>131</v>
      </c>
      <c r="AB1498" s="10" t="s">
        <v>3220</v>
      </c>
      <c r="AC1498" s="10" t="s">
        <v>3221</v>
      </c>
      <c r="AD1498" s="10" t="s">
        <v>11335</v>
      </c>
      <c r="AE1498" s="10" t="s">
        <v>11336</v>
      </c>
      <c r="AF1498" s="15"/>
      <c r="AG1498" s="10"/>
      <c r="AH1498" s="10"/>
      <c r="AI1498" s="10"/>
      <c r="AJ1498" s="10"/>
      <c r="AK1498" s="10"/>
      <c r="AL1498" s="10" t="s">
        <v>3131</v>
      </c>
      <c r="AM1498" s="10"/>
      <c r="AN1498" s="10"/>
      <c r="AO1498" s="13" t="b">
        <v>0</v>
      </c>
      <c r="AP1498" s="10" t="s">
        <v>104</v>
      </c>
      <c r="AQ1498" s="10"/>
      <c r="AR1498" s="17"/>
      <c r="AS1498" s="17"/>
      <c r="AT1498" s="17"/>
      <c r="AU1498" s="17"/>
      <c r="AV1498" s="17"/>
      <c r="AW1498" s="10"/>
      <c r="AX1498" s="17"/>
      <c r="AY1498" s="18" t="s">
        <v>257</v>
      </c>
      <c r="AZ1498" s="10"/>
      <c r="BA1498" s="20" t="b">
        <v>0</v>
      </c>
      <c r="BB1498" s="10"/>
      <c r="BC1498" s="17" t="s">
        <v>257</v>
      </c>
      <c r="BD1498" s="17" t="s">
        <v>257</v>
      </c>
      <c r="BE1498" s="17" t="s">
        <v>257</v>
      </c>
      <c r="BF1498" s="17" t="s">
        <v>257</v>
      </c>
      <c r="BG1498" s="11">
        <f ca="1">IFERROR(__xludf.DUMMYFUNCTION("""COMPUTED_VALUE"""),46159)</f>
        <v>46159</v>
      </c>
      <c r="BH1498" s="17"/>
      <c r="BI1498" s="17"/>
      <c r="BJ1498" s="15"/>
      <c r="BK1498" s="15"/>
      <c r="BL1498" s="13" t="b">
        <v>0</v>
      </c>
      <c r="BM1498" s="10"/>
      <c r="BN1498" s="10" t="s">
        <v>223</v>
      </c>
      <c r="BO1498" s="11">
        <v>45904.28460648148</v>
      </c>
      <c r="BP1498" s="11">
        <v>45904.28460648148</v>
      </c>
      <c r="BQ1498" s="15"/>
      <c r="BR1498" s="15"/>
      <c r="BS1498" s="10"/>
      <c r="BT1498" s="10"/>
      <c r="BU1498" s="10"/>
      <c r="BV1498" s="10"/>
      <c r="BW1498" s="10"/>
      <c r="BX1498" s="10"/>
      <c r="BY1498" s="23"/>
      <c r="BZ1498" s="23"/>
      <c r="CA1498" s="23"/>
      <c r="CB1498" s="23"/>
      <c r="CC1498" s="23"/>
      <c r="CD1498" s="23"/>
      <c r="CE1498" s="23"/>
      <c r="CF1498" s="23"/>
      <c r="CG1498" s="23"/>
      <c r="CH1498" s="23"/>
      <c r="CI1498" s="23"/>
    </row>
    <row r="1499" spans="1:87" x14ac:dyDescent="0.3">
      <c r="A1499" s="9" t="s">
        <v>11337</v>
      </c>
      <c r="B1499" s="10" t="s">
        <v>11338</v>
      </c>
      <c r="C1499" s="11">
        <v>46159</v>
      </c>
      <c r="D1499" s="12">
        <v>8.3333333333333329E-2</v>
      </c>
      <c r="E1499" s="11">
        <v>46159.083333333336</v>
      </c>
      <c r="F1499" s="10" t="s">
        <v>3211</v>
      </c>
      <c r="G1499" s="13" t="b">
        <v>0</v>
      </c>
      <c r="H1499" s="10" t="s">
        <v>3212</v>
      </c>
      <c r="I1499" s="10" t="s">
        <v>3213</v>
      </c>
      <c r="J1499" s="13" t="b">
        <v>0</v>
      </c>
      <c r="K1499" s="13" t="b">
        <v>1</v>
      </c>
      <c r="L1499" s="10" t="s">
        <v>124</v>
      </c>
      <c r="M1499" s="10" t="s">
        <v>91</v>
      </c>
      <c r="N1499" s="10" t="s">
        <v>92</v>
      </c>
      <c r="O1499" s="10"/>
      <c r="P1499" s="10"/>
      <c r="Q1499" s="10"/>
      <c r="R1499" s="10"/>
      <c r="S1499" s="10"/>
      <c r="T1499" s="10"/>
      <c r="U1499" s="10" t="s">
        <v>3229</v>
      </c>
      <c r="V1499" s="10" t="s">
        <v>3250</v>
      </c>
      <c r="W1499" s="10" t="s">
        <v>3219</v>
      </c>
      <c r="X1499" s="10" t="s">
        <v>130</v>
      </c>
      <c r="Y1499" s="10" t="s">
        <v>130</v>
      </c>
      <c r="Z1499" s="10" t="s">
        <v>99</v>
      </c>
      <c r="AA1499" s="10" t="s">
        <v>131</v>
      </c>
      <c r="AB1499" s="10" t="s">
        <v>3220</v>
      </c>
      <c r="AC1499" s="10" t="s">
        <v>3221</v>
      </c>
      <c r="AD1499" s="10" t="s">
        <v>11339</v>
      </c>
      <c r="AE1499" s="10" t="s">
        <v>11340</v>
      </c>
      <c r="AF1499" s="15"/>
      <c r="AG1499" s="10"/>
      <c r="AH1499" s="10"/>
      <c r="AI1499" s="10"/>
      <c r="AJ1499" s="10"/>
      <c r="AK1499" s="10"/>
      <c r="AL1499" s="10" t="s">
        <v>3131</v>
      </c>
      <c r="AM1499" s="10"/>
      <c r="AN1499" s="10"/>
      <c r="AO1499" s="13" t="b">
        <v>0</v>
      </c>
      <c r="AP1499" s="10" t="s">
        <v>104</v>
      </c>
      <c r="AQ1499" s="10"/>
      <c r="AR1499" s="17"/>
      <c r="AS1499" s="17"/>
      <c r="AT1499" s="17"/>
      <c r="AU1499" s="17"/>
      <c r="AV1499" s="17"/>
      <c r="AW1499" s="10"/>
      <c r="AX1499" s="17"/>
      <c r="AY1499" s="18" t="s">
        <v>257</v>
      </c>
      <c r="AZ1499" s="10"/>
      <c r="BA1499" s="20" t="b">
        <v>0</v>
      </c>
      <c r="BB1499" s="10"/>
      <c r="BC1499" s="17" t="s">
        <v>257</v>
      </c>
      <c r="BD1499" s="17" t="s">
        <v>257</v>
      </c>
      <c r="BE1499" s="17" t="s">
        <v>257</v>
      </c>
      <c r="BF1499" s="17" t="s">
        <v>257</v>
      </c>
      <c r="BG1499" s="11">
        <f ca="1">IFERROR(__xludf.DUMMYFUNCTION("""COMPUTED_VALUE"""),46159)</f>
        <v>46159</v>
      </c>
      <c r="BH1499" s="17"/>
      <c r="BI1499" s="17"/>
      <c r="BJ1499" s="15"/>
      <c r="BK1499" s="15"/>
      <c r="BL1499" s="13" t="b">
        <v>0</v>
      </c>
      <c r="BM1499" s="10"/>
      <c r="BN1499" s="10" t="s">
        <v>223</v>
      </c>
      <c r="BO1499" s="11">
        <v>45904.28460648148</v>
      </c>
      <c r="BP1499" s="11">
        <v>45904.28460648148</v>
      </c>
      <c r="BQ1499" s="15"/>
      <c r="BR1499" s="15"/>
      <c r="BS1499" s="10"/>
      <c r="BT1499" s="10"/>
      <c r="BU1499" s="10"/>
      <c r="BV1499" s="10"/>
      <c r="BW1499" s="10"/>
      <c r="BX1499" s="10"/>
      <c r="BY1499" s="23"/>
      <c r="BZ1499" s="23"/>
      <c r="CA1499" s="23"/>
      <c r="CB1499" s="23"/>
      <c r="CC1499" s="23"/>
      <c r="CD1499" s="23"/>
      <c r="CE1499" s="23"/>
      <c r="CF1499" s="23"/>
      <c r="CG1499" s="23"/>
      <c r="CH1499" s="23"/>
      <c r="CI1499" s="23"/>
    </row>
    <row r="1500" spans="1:87" x14ac:dyDescent="0.3">
      <c r="A1500" s="9" t="s">
        <v>11341</v>
      </c>
      <c r="B1500" s="10" t="s">
        <v>11342</v>
      </c>
      <c r="C1500" s="11">
        <v>46159</v>
      </c>
      <c r="D1500" s="12">
        <v>8.3333333333333329E-2</v>
      </c>
      <c r="E1500" s="11">
        <v>46159.083333333336</v>
      </c>
      <c r="F1500" s="10" t="s">
        <v>3211</v>
      </c>
      <c r="G1500" s="13" t="b">
        <v>0</v>
      </c>
      <c r="H1500" s="10" t="s">
        <v>3212</v>
      </c>
      <c r="I1500" s="10" t="s">
        <v>3213</v>
      </c>
      <c r="J1500" s="13" t="b">
        <v>0</v>
      </c>
      <c r="K1500" s="13" t="b">
        <v>1</v>
      </c>
      <c r="L1500" s="10" t="s">
        <v>124</v>
      </c>
      <c r="M1500" s="10" t="s">
        <v>91</v>
      </c>
      <c r="N1500" s="10" t="s">
        <v>92</v>
      </c>
      <c r="O1500" s="10"/>
      <c r="P1500" s="10"/>
      <c r="Q1500" s="10"/>
      <c r="R1500" s="10"/>
      <c r="S1500" s="10"/>
      <c r="T1500" s="10"/>
      <c r="U1500" s="10" t="s">
        <v>3429</v>
      </c>
      <c r="V1500" s="10" t="s">
        <v>3218</v>
      </c>
      <c r="W1500" s="10" t="s">
        <v>3219</v>
      </c>
      <c r="X1500" s="10" t="s">
        <v>130</v>
      </c>
      <c r="Y1500" s="10" t="s">
        <v>130</v>
      </c>
      <c r="Z1500" s="10" t="s">
        <v>99</v>
      </c>
      <c r="AA1500" s="10" t="s">
        <v>131</v>
      </c>
      <c r="AB1500" s="10" t="s">
        <v>3220</v>
      </c>
      <c r="AC1500" s="10" t="s">
        <v>3221</v>
      </c>
      <c r="AD1500" s="10" t="s">
        <v>11343</v>
      </c>
      <c r="AE1500" s="10" t="s">
        <v>11344</v>
      </c>
      <c r="AF1500" s="15"/>
      <c r="AG1500" s="10"/>
      <c r="AH1500" s="10"/>
      <c r="AI1500" s="10"/>
      <c r="AJ1500" s="10"/>
      <c r="AK1500" s="10"/>
      <c r="AL1500" s="10" t="s">
        <v>3131</v>
      </c>
      <c r="AM1500" s="10"/>
      <c r="AN1500" s="10"/>
      <c r="AO1500" s="13" t="b">
        <v>0</v>
      </c>
      <c r="AP1500" s="10" t="s">
        <v>104</v>
      </c>
      <c r="AQ1500" s="10"/>
      <c r="AR1500" s="17"/>
      <c r="AS1500" s="17"/>
      <c r="AT1500" s="17"/>
      <c r="AU1500" s="17"/>
      <c r="AV1500" s="17"/>
      <c r="AW1500" s="10"/>
      <c r="AX1500" s="17"/>
      <c r="AY1500" s="18" t="s">
        <v>257</v>
      </c>
      <c r="AZ1500" s="10"/>
      <c r="BA1500" s="20" t="b">
        <v>0</v>
      </c>
      <c r="BB1500" s="10"/>
      <c r="BC1500" s="17" t="s">
        <v>257</v>
      </c>
      <c r="BD1500" s="17" t="s">
        <v>257</v>
      </c>
      <c r="BE1500" s="17" t="s">
        <v>257</v>
      </c>
      <c r="BF1500" s="17" t="s">
        <v>257</v>
      </c>
      <c r="BG1500" s="11">
        <f ca="1">IFERROR(__xludf.DUMMYFUNCTION("""COMPUTED_VALUE"""),46159)</f>
        <v>46159</v>
      </c>
      <c r="BH1500" s="17"/>
      <c r="BI1500" s="17"/>
      <c r="BJ1500" s="15"/>
      <c r="BK1500" s="15"/>
      <c r="BL1500" s="13" t="b">
        <v>0</v>
      </c>
      <c r="BM1500" s="10"/>
      <c r="BN1500" s="10" t="s">
        <v>223</v>
      </c>
      <c r="BO1500" s="11">
        <v>45904.28460648148</v>
      </c>
      <c r="BP1500" s="11">
        <v>45904.28460648148</v>
      </c>
      <c r="BQ1500" s="15"/>
      <c r="BR1500" s="15"/>
      <c r="BS1500" s="10"/>
      <c r="BT1500" s="10"/>
      <c r="BU1500" s="10"/>
      <c r="BV1500" s="10"/>
      <c r="BW1500" s="10"/>
      <c r="BX1500" s="10"/>
      <c r="BY1500" s="23"/>
      <c r="BZ1500" s="23"/>
      <c r="CA1500" s="23"/>
      <c r="CB1500" s="23"/>
      <c r="CC1500" s="23"/>
      <c r="CD1500" s="23"/>
      <c r="CE1500" s="23"/>
      <c r="CF1500" s="23"/>
      <c r="CG1500" s="23"/>
      <c r="CH1500" s="23"/>
      <c r="CI1500" s="23"/>
    </row>
    <row r="1501" spans="1:87" x14ac:dyDescent="0.3">
      <c r="A1501" s="9" t="s">
        <v>11345</v>
      </c>
      <c r="B1501" s="10" t="s">
        <v>11346</v>
      </c>
      <c r="C1501" s="11">
        <v>46159</v>
      </c>
      <c r="D1501" s="12">
        <v>8.3333333333333329E-2</v>
      </c>
      <c r="E1501" s="11">
        <v>46159.083333333336</v>
      </c>
      <c r="F1501" s="10" t="s">
        <v>3211</v>
      </c>
      <c r="G1501" s="13" t="b">
        <v>0</v>
      </c>
      <c r="H1501" s="10" t="s">
        <v>3212</v>
      </c>
      <c r="I1501" s="10" t="s">
        <v>3213</v>
      </c>
      <c r="J1501" s="13" t="b">
        <v>0</v>
      </c>
      <c r="K1501" s="13" t="b">
        <v>1</v>
      </c>
      <c r="L1501" s="10" t="s">
        <v>124</v>
      </c>
      <c r="M1501" s="10" t="s">
        <v>91</v>
      </c>
      <c r="N1501" s="10" t="s">
        <v>92</v>
      </c>
      <c r="O1501" s="10"/>
      <c r="P1501" s="10"/>
      <c r="Q1501" s="10"/>
      <c r="R1501" s="10"/>
      <c r="S1501" s="10"/>
      <c r="T1501" s="10"/>
      <c r="U1501" s="10" t="s">
        <v>3269</v>
      </c>
      <c r="V1501" s="10" t="s">
        <v>3440</v>
      </c>
      <c r="W1501" s="10" t="s">
        <v>3219</v>
      </c>
      <c r="X1501" s="10" t="s">
        <v>130</v>
      </c>
      <c r="Y1501" s="10" t="s">
        <v>130</v>
      </c>
      <c r="Z1501" s="10" t="s">
        <v>99</v>
      </c>
      <c r="AA1501" s="10" t="s">
        <v>131</v>
      </c>
      <c r="AB1501" s="10" t="s">
        <v>3220</v>
      </c>
      <c r="AC1501" s="10" t="s">
        <v>3221</v>
      </c>
      <c r="AD1501" s="10" t="s">
        <v>11347</v>
      </c>
      <c r="AE1501" s="10" t="s">
        <v>11348</v>
      </c>
      <c r="AF1501" s="15"/>
      <c r="AG1501" s="10"/>
      <c r="AH1501" s="10"/>
      <c r="AI1501" s="10"/>
      <c r="AJ1501" s="10"/>
      <c r="AK1501" s="10"/>
      <c r="AL1501" s="10" t="s">
        <v>3131</v>
      </c>
      <c r="AM1501" s="10"/>
      <c r="AN1501" s="10"/>
      <c r="AO1501" s="13" t="b">
        <v>0</v>
      </c>
      <c r="AP1501" s="10" t="s">
        <v>104</v>
      </c>
      <c r="AQ1501" s="10"/>
      <c r="AR1501" s="17"/>
      <c r="AS1501" s="17"/>
      <c r="AT1501" s="17"/>
      <c r="AU1501" s="17"/>
      <c r="AV1501" s="17"/>
      <c r="AW1501" s="10"/>
      <c r="AX1501" s="17"/>
      <c r="AY1501" s="18" t="s">
        <v>257</v>
      </c>
      <c r="AZ1501" s="10"/>
      <c r="BA1501" s="20" t="b">
        <v>0</v>
      </c>
      <c r="BB1501" s="10"/>
      <c r="BC1501" s="17" t="s">
        <v>257</v>
      </c>
      <c r="BD1501" s="17" t="s">
        <v>257</v>
      </c>
      <c r="BE1501" s="17" t="s">
        <v>257</v>
      </c>
      <c r="BF1501" s="17" t="s">
        <v>257</v>
      </c>
      <c r="BG1501" s="11">
        <f ca="1">IFERROR(__xludf.DUMMYFUNCTION("""COMPUTED_VALUE"""),46159)</f>
        <v>46159</v>
      </c>
      <c r="BH1501" s="17"/>
      <c r="BI1501" s="17"/>
      <c r="BJ1501" s="15"/>
      <c r="BK1501" s="15"/>
      <c r="BL1501" s="13" t="b">
        <v>0</v>
      </c>
      <c r="BM1501" s="10"/>
      <c r="BN1501" s="10" t="s">
        <v>223</v>
      </c>
      <c r="BO1501" s="11">
        <v>45904.28460648148</v>
      </c>
      <c r="BP1501" s="11">
        <v>45904.28460648148</v>
      </c>
      <c r="BQ1501" s="15"/>
      <c r="BR1501" s="15"/>
      <c r="BS1501" s="10"/>
      <c r="BT1501" s="10"/>
      <c r="BU1501" s="10"/>
      <c r="BV1501" s="10"/>
      <c r="BW1501" s="10"/>
      <c r="BX1501" s="10"/>
      <c r="BY1501" s="23"/>
      <c r="BZ1501" s="23"/>
      <c r="CA1501" s="23"/>
      <c r="CB1501" s="23"/>
      <c r="CC1501" s="23"/>
      <c r="CD1501" s="23"/>
      <c r="CE1501" s="23"/>
      <c r="CF1501" s="23"/>
      <c r="CG1501" s="23"/>
      <c r="CH1501" s="23"/>
      <c r="CI1501" s="23"/>
    </row>
    <row r="1502" spans="1:87" x14ac:dyDescent="0.3">
      <c r="A1502" s="9" t="s">
        <v>11349</v>
      </c>
      <c r="B1502" s="10" t="s">
        <v>11350</v>
      </c>
      <c r="C1502" s="11">
        <v>46166</v>
      </c>
      <c r="D1502" s="12">
        <v>8.3333333333333329E-2</v>
      </c>
      <c r="E1502" s="11">
        <v>46166.083333333336</v>
      </c>
      <c r="F1502" s="10" t="s">
        <v>3211</v>
      </c>
      <c r="G1502" s="13" t="b">
        <v>0</v>
      </c>
      <c r="H1502" s="10" t="s">
        <v>3212</v>
      </c>
      <c r="I1502" s="10" t="s">
        <v>3213</v>
      </c>
      <c r="J1502" s="13" t="b">
        <v>0</v>
      </c>
      <c r="K1502" s="13" t="b">
        <v>1</v>
      </c>
      <c r="L1502" s="10" t="s">
        <v>124</v>
      </c>
      <c r="M1502" s="10" t="s">
        <v>91</v>
      </c>
      <c r="N1502" s="10" t="s">
        <v>92</v>
      </c>
      <c r="O1502" s="10"/>
      <c r="P1502" s="10"/>
      <c r="Q1502" s="10"/>
      <c r="R1502" s="10"/>
      <c r="S1502" s="10"/>
      <c r="T1502" s="10"/>
      <c r="U1502" s="10" t="s">
        <v>3230</v>
      </c>
      <c r="V1502" s="10" t="s">
        <v>3278</v>
      </c>
      <c r="W1502" s="10" t="s">
        <v>3219</v>
      </c>
      <c r="X1502" s="10" t="s">
        <v>130</v>
      </c>
      <c r="Y1502" s="10" t="s">
        <v>130</v>
      </c>
      <c r="Z1502" s="10" t="s">
        <v>99</v>
      </c>
      <c r="AA1502" s="10" t="s">
        <v>131</v>
      </c>
      <c r="AB1502" s="10" t="s">
        <v>3220</v>
      </c>
      <c r="AC1502" s="10" t="s">
        <v>3221</v>
      </c>
      <c r="AD1502" s="10" t="s">
        <v>11351</v>
      </c>
      <c r="AE1502" s="10" t="s">
        <v>11352</v>
      </c>
      <c r="AF1502" s="15"/>
      <c r="AG1502" s="10"/>
      <c r="AH1502" s="10"/>
      <c r="AI1502" s="10"/>
      <c r="AJ1502" s="10"/>
      <c r="AK1502" s="10"/>
      <c r="AL1502" s="10" t="s">
        <v>3172</v>
      </c>
      <c r="AM1502" s="10"/>
      <c r="AN1502" s="10"/>
      <c r="AO1502" s="13" t="b">
        <v>0</v>
      </c>
      <c r="AP1502" s="10" t="s">
        <v>104</v>
      </c>
      <c r="AQ1502" s="10"/>
      <c r="AR1502" s="17"/>
      <c r="AS1502" s="17"/>
      <c r="AT1502" s="17"/>
      <c r="AU1502" s="17"/>
      <c r="AV1502" s="17"/>
      <c r="AW1502" s="10"/>
      <c r="AX1502" s="17"/>
      <c r="AY1502" s="18" t="s">
        <v>257</v>
      </c>
      <c r="AZ1502" s="10"/>
      <c r="BA1502" s="20" t="b">
        <v>0</v>
      </c>
      <c r="BB1502" s="10"/>
      <c r="BC1502" s="17" t="s">
        <v>257</v>
      </c>
      <c r="BD1502" s="17" t="s">
        <v>257</v>
      </c>
      <c r="BE1502" s="17" t="s">
        <v>257</v>
      </c>
      <c r="BF1502" s="17" t="s">
        <v>257</v>
      </c>
      <c r="BG1502" s="11">
        <f ca="1">IFERROR(__xludf.DUMMYFUNCTION("""COMPUTED_VALUE"""),46166)</f>
        <v>46166</v>
      </c>
      <c r="BH1502" s="17"/>
      <c r="BI1502" s="17"/>
      <c r="BJ1502" s="15"/>
      <c r="BK1502" s="15"/>
      <c r="BL1502" s="13" t="b">
        <v>0</v>
      </c>
      <c r="BM1502" s="10"/>
      <c r="BN1502" s="10" t="s">
        <v>223</v>
      </c>
      <c r="BO1502" s="11">
        <v>45904.28460648148</v>
      </c>
      <c r="BP1502" s="11">
        <v>45904.28460648148</v>
      </c>
      <c r="BQ1502" s="15"/>
      <c r="BR1502" s="15"/>
      <c r="BS1502" s="10"/>
      <c r="BT1502" s="10"/>
      <c r="BU1502" s="10"/>
      <c r="BV1502" s="10"/>
      <c r="BW1502" s="10"/>
      <c r="BX1502" s="10"/>
      <c r="BY1502" s="23"/>
      <c r="BZ1502" s="23"/>
      <c r="CA1502" s="23"/>
      <c r="CB1502" s="23"/>
      <c r="CC1502" s="23"/>
      <c r="CD1502" s="23"/>
      <c r="CE1502" s="23"/>
      <c r="CF1502" s="23"/>
      <c r="CG1502" s="23"/>
      <c r="CH1502" s="23"/>
      <c r="CI1502" s="23"/>
    </row>
    <row r="1503" spans="1:87" x14ac:dyDescent="0.3">
      <c r="A1503" s="9" t="s">
        <v>11353</v>
      </c>
      <c r="B1503" s="10" t="s">
        <v>11354</v>
      </c>
      <c r="C1503" s="11">
        <v>46166</v>
      </c>
      <c r="D1503" s="12">
        <v>8.3333333333333329E-2</v>
      </c>
      <c r="E1503" s="11">
        <v>46166.083333333336</v>
      </c>
      <c r="F1503" s="10" t="s">
        <v>3211</v>
      </c>
      <c r="G1503" s="13" t="b">
        <v>0</v>
      </c>
      <c r="H1503" s="10" t="s">
        <v>3212</v>
      </c>
      <c r="I1503" s="10" t="s">
        <v>3213</v>
      </c>
      <c r="J1503" s="13" t="b">
        <v>0</v>
      </c>
      <c r="K1503" s="13" t="b">
        <v>1</v>
      </c>
      <c r="L1503" s="10" t="s">
        <v>124</v>
      </c>
      <c r="M1503" s="10" t="s">
        <v>91</v>
      </c>
      <c r="N1503" s="10" t="s">
        <v>92</v>
      </c>
      <c r="O1503" s="10"/>
      <c r="P1503" s="10"/>
      <c r="Q1503" s="10"/>
      <c r="R1503" s="10"/>
      <c r="S1503" s="10"/>
      <c r="T1503" s="10"/>
      <c r="U1503" s="10" t="s">
        <v>3440</v>
      </c>
      <c r="V1503" s="10" t="s">
        <v>3249</v>
      </c>
      <c r="W1503" s="10" t="s">
        <v>3219</v>
      </c>
      <c r="X1503" s="10" t="s">
        <v>130</v>
      </c>
      <c r="Y1503" s="10" t="s">
        <v>130</v>
      </c>
      <c r="Z1503" s="10" t="s">
        <v>99</v>
      </c>
      <c r="AA1503" s="10" t="s">
        <v>131</v>
      </c>
      <c r="AB1503" s="10" t="s">
        <v>3220</v>
      </c>
      <c r="AC1503" s="10" t="s">
        <v>3221</v>
      </c>
      <c r="AD1503" s="10" t="s">
        <v>11355</v>
      </c>
      <c r="AE1503" s="10" t="s">
        <v>11356</v>
      </c>
      <c r="AF1503" s="15"/>
      <c r="AG1503" s="10"/>
      <c r="AH1503" s="10"/>
      <c r="AI1503" s="10"/>
      <c r="AJ1503" s="10"/>
      <c r="AK1503" s="10"/>
      <c r="AL1503" s="10" t="s">
        <v>3172</v>
      </c>
      <c r="AM1503" s="10"/>
      <c r="AN1503" s="10"/>
      <c r="AO1503" s="13" t="b">
        <v>0</v>
      </c>
      <c r="AP1503" s="10" t="s">
        <v>104</v>
      </c>
      <c r="AQ1503" s="10"/>
      <c r="AR1503" s="17"/>
      <c r="AS1503" s="17"/>
      <c r="AT1503" s="17"/>
      <c r="AU1503" s="17"/>
      <c r="AV1503" s="17"/>
      <c r="AW1503" s="10"/>
      <c r="AX1503" s="17"/>
      <c r="AY1503" s="18" t="s">
        <v>257</v>
      </c>
      <c r="AZ1503" s="10"/>
      <c r="BA1503" s="20" t="b">
        <v>0</v>
      </c>
      <c r="BB1503" s="10"/>
      <c r="BC1503" s="17" t="s">
        <v>257</v>
      </c>
      <c r="BD1503" s="17" t="s">
        <v>257</v>
      </c>
      <c r="BE1503" s="17" t="s">
        <v>257</v>
      </c>
      <c r="BF1503" s="17" t="s">
        <v>257</v>
      </c>
      <c r="BG1503" s="11">
        <f ca="1">IFERROR(__xludf.DUMMYFUNCTION("""COMPUTED_VALUE"""),46166)</f>
        <v>46166</v>
      </c>
      <c r="BH1503" s="17"/>
      <c r="BI1503" s="17"/>
      <c r="BJ1503" s="15"/>
      <c r="BK1503" s="15"/>
      <c r="BL1503" s="13" t="b">
        <v>0</v>
      </c>
      <c r="BM1503" s="10"/>
      <c r="BN1503" s="10" t="s">
        <v>223</v>
      </c>
      <c r="BO1503" s="11">
        <v>45904.28460648148</v>
      </c>
      <c r="BP1503" s="11">
        <v>45904.28460648148</v>
      </c>
      <c r="BQ1503" s="15"/>
      <c r="BR1503" s="15"/>
      <c r="BS1503" s="10"/>
      <c r="BT1503" s="10"/>
      <c r="BU1503" s="10"/>
      <c r="BV1503" s="10"/>
      <c r="BW1503" s="10"/>
      <c r="BX1503" s="10"/>
      <c r="BY1503" s="23"/>
      <c r="BZ1503" s="23"/>
      <c r="CA1503" s="23"/>
      <c r="CB1503" s="23"/>
      <c r="CC1503" s="23"/>
      <c r="CD1503" s="23"/>
      <c r="CE1503" s="23"/>
      <c r="CF1503" s="23"/>
      <c r="CG1503" s="23"/>
      <c r="CH1503" s="23"/>
      <c r="CI1503" s="23"/>
    </row>
    <row r="1504" spans="1:87" x14ac:dyDescent="0.3">
      <c r="A1504" s="9" t="s">
        <v>11357</v>
      </c>
      <c r="B1504" s="10" t="s">
        <v>11358</v>
      </c>
      <c r="C1504" s="11">
        <v>46166</v>
      </c>
      <c r="D1504" s="12">
        <v>8.3333333333333329E-2</v>
      </c>
      <c r="E1504" s="11">
        <v>46166.083333333336</v>
      </c>
      <c r="F1504" s="10" t="s">
        <v>3211</v>
      </c>
      <c r="G1504" s="13" t="b">
        <v>0</v>
      </c>
      <c r="H1504" s="10" t="s">
        <v>3212</v>
      </c>
      <c r="I1504" s="10" t="s">
        <v>3213</v>
      </c>
      <c r="J1504" s="13" t="b">
        <v>0</v>
      </c>
      <c r="K1504" s="13" t="b">
        <v>1</v>
      </c>
      <c r="L1504" s="10" t="s">
        <v>124</v>
      </c>
      <c r="M1504" s="10" t="s">
        <v>91</v>
      </c>
      <c r="N1504" s="10" t="s">
        <v>92</v>
      </c>
      <c r="O1504" s="10"/>
      <c r="P1504" s="10"/>
      <c r="Q1504" s="10"/>
      <c r="R1504" s="10"/>
      <c r="S1504" s="10"/>
      <c r="T1504" s="10"/>
      <c r="U1504" s="10" t="s">
        <v>3240</v>
      </c>
      <c r="V1504" s="10" t="s">
        <v>3308</v>
      </c>
      <c r="W1504" s="10" t="s">
        <v>3219</v>
      </c>
      <c r="X1504" s="10" t="s">
        <v>130</v>
      </c>
      <c r="Y1504" s="10" t="s">
        <v>130</v>
      </c>
      <c r="Z1504" s="10" t="s">
        <v>99</v>
      </c>
      <c r="AA1504" s="10" t="s">
        <v>131</v>
      </c>
      <c r="AB1504" s="10" t="s">
        <v>3220</v>
      </c>
      <c r="AC1504" s="10" t="s">
        <v>3221</v>
      </c>
      <c r="AD1504" s="10" t="s">
        <v>11359</v>
      </c>
      <c r="AE1504" s="10" t="s">
        <v>11360</v>
      </c>
      <c r="AF1504" s="15"/>
      <c r="AG1504" s="10"/>
      <c r="AH1504" s="10"/>
      <c r="AI1504" s="10"/>
      <c r="AJ1504" s="10"/>
      <c r="AK1504" s="10"/>
      <c r="AL1504" s="10" t="s">
        <v>3172</v>
      </c>
      <c r="AM1504" s="10"/>
      <c r="AN1504" s="10"/>
      <c r="AO1504" s="13" t="b">
        <v>0</v>
      </c>
      <c r="AP1504" s="10" t="s">
        <v>104</v>
      </c>
      <c r="AQ1504" s="10"/>
      <c r="AR1504" s="17"/>
      <c r="AS1504" s="17"/>
      <c r="AT1504" s="17"/>
      <c r="AU1504" s="17"/>
      <c r="AV1504" s="17"/>
      <c r="AW1504" s="10"/>
      <c r="AX1504" s="17"/>
      <c r="AY1504" s="18" t="s">
        <v>257</v>
      </c>
      <c r="AZ1504" s="10"/>
      <c r="BA1504" s="20" t="b">
        <v>0</v>
      </c>
      <c r="BB1504" s="10"/>
      <c r="BC1504" s="17" t="s">
        <v>257</v>
      </c>
      <c r="BD1504" s="17" t="s">
        <v>257</v>
      </c>
      <c r="BE1504" s="17" t="s">
        <v>257</v>
      </c>
      <c r="BF1504" s="17" t="s">
        <v>257</v>
      </c>
      <c r="BG1504" s="11">
        <f ca="1">IFERROR(__xludf.DUMMYFUNCTION("""COMPUTED_VALUE"""),46166)</f>
        <v>46166</v>
      </c>
      <c r="BH1504" s="17"/>
      <c r="BI1504" s="17"/>
      <c r="BJ1504" s="15"/>
      <c r="BK1504" s="15"/>
      <c r="BL1504" s="13" t="b">
        <v>0</v>
      </c>
      <c r="BM1504" s="10"/>
      <c r="BN1504" s="10" t="s">
        <v>223</v>
      </c>
      <c r="BO1504" s="11">
        <v>45904.28460648148</v>
      </c>
      <c r="BP1504" s="11">
        <v>45904.28460648148</v>
      </c>
      <c r="BQ1504" s="15"/>
      <c r="BR1504" s="15"/>
      <c r="BS1504" s="10"/>
      <c r="BT1504" s="10"/>
      <c r="BU1504" s="10"/>
      <c r="BV1504" s="10"/>
      <c r="BW1504" s="10"/>
      <c r="BX1504" s="10"/>
      <c r="BY1504" s="23"/>
      <c r="BZ1504" s="23"/>
      <c r="CA1504" s="23"/>
      <c r="CB1504" s="23"/>
      <c r="CC1504" s="23"/>
      <c r="CD1504" s="23"/>
      <c r="CE1504" s="23"/>
      <c r="CF1504" s="23"/>
      <c r="CG1504" s="23"/>
      <c r="CH1504" s="23"/>
      <c r="CI1504" s="23"/>
    </row>
    <row r="1505" spans="1:87" x14ac:dyDescent="0.3">
      <c r="A1505" s="9" t="s">
        <v>11361</v>
      </c>
      <c r="B1505" s="10" t="s">
        <v>11362</v>
      </c>
      <c r="C1505" s="11">
        <v>46166</v>
      </c>
      <c r="D1505" s="12">
        <v>8.3333333333333329E-2</v>
      </c>
      <c r="E1505" s="11">
        <v>46166.083333333336</v>
      </c>
      <c r="F1505" s="10" t="s">
        <v>3211</v>
      </c>
      <c r="G1505" s="13" t="b">
        <v>0</v>
      </c>
      <c r="H1505" s="10" t="s">
        <v>3212</v>
      </c>
      <c r="I1505" s="10" t="s">
        <v>3213</v>
      </c>
      <c r="J1505" s="13" t="b">
        <v>0</v>
      </c>
      <c r="K1505" s="13" t="b">
        <v>1</v>
      </c>
      <c r="L1505" s="10" t="s">
        <v>124</v>
      </c>
      <c r="M1505" s="10" t="s">
        <v>91</v>
      </c>
      <c r="N1505" s="10" t="s">
        <v>92</v>
      </c>
      <c r="O1505" s="10"/>
      <c r="P1505" s="10"/>
      <c r="Q1505" s="10"/>
      <c r="R1505" s="10"/>
      <c r="S1505" s="10"/>
      <c r="T1505" s="10"/>
      <c r="U1505" s="10" t="s">
        <v>3250</v>
      </c>
      <c r="V1505" s="10" t="s">
        <v>3451</v>
      </c>
      <c r="W1505" s="10" t="s">
        <v>3219</v>
      </c>
      <c r="X1505" s="10" t="s">
        <v>130</v>
      </c>
      <c r="Y1505" s="10" t="s">
        <v>130</v>
      </c>
      <c r="Z1505" s="10" t="s">
        <v>99</v>
      </c>
      <c r="AA1505" s="10" t="s">
        <v>131</v>
      </c>
      <c r="AB1505" s="10" t="s">
        <v>3220</v>
      </c>
      <c r="AC1505" s="10" t="s">
        <v>3221</v>
      </c>
      <c r="AD1505" s="10" t="s">
        <v>11363</v>
      </c>
      <c r="AE1505" s="10" t="s">
        <v>11364</v>
      </c>
      <c r="AF1505" s="15"/>
      <c r="AG1505" s="10"/>
      <c r="AH1505" s="10"/>
      <c r="AI1505" s="10"/>
      <c r="AJ1505" s="10"/>
      <c r="AK1505" s="10"/>
      <c r="AL1505" s="10" t="s">
        <v>3172</v>
      </c>
      <c r="AM1505" s="10"/>
      <c r="AN1505" s="10"/>
      <c r="AO1505" s="13" t="b">
        <v>0</v>
      </c>
      <c r="AP1505" s="10" t="s">
        <v>104</v>
      </c>
      <c r="AQ1505" s="10"/>
      <c r="AR1505" s="17"/>
      <c r="AS1505" s="17"/>
      <c r="AT1505" s="17"/>
      <c r="AU1505" s="17"/>
      <c r="AV1505" s="17"/>
      <c r="AW1505" s="10"/>
      <c r="AX1505" s="17"/>
      <c r="AY1505" s="18" t="s">
        <v>257</v>
      </c>
      <c r="AZ1505" s="10"/>
      <c r="BA1505" s="20" t="b">
        <v>0</v>
      </c>
      <c r="BB1505" s="10"/>
      <c r="BC1505" s="17" t="s">
        <v>257</v>
      </c>
      <c r="BD1505" s="17" t="s">
        <v>257</v>
      </c>
      <c r="BE1505" s="17" t="s">
        <v>257</v>
      </c>
      <c r="BF1505" s="17" t="s">
        <v>257</v>
      </c>
      <c r="BG1505" s="11">
        <f ca="1">IFERROR(__xludf.DUMMYFUNCTION("""COMPUTED_VALUE"""),46166)</f>
        <v>46166</v>
      </c>
      <c r="BH1505" s="17"/>
      <c r="BI1505" s="17"/>
      <c r="BJ1505" s="15"/>
      <c r="BK1505" s="15"/>
      <c r="BL1505" s="13" t="b">
        <v>0</v>
      </c>
      <c r="BM1505" s="10"/>
      <c r="BN1505" s="10" t="s">
        <v>223</v>
      </c>
      <c r="BO1505" s="11">
        <v>45904.28460648148</v>
      </c>
      <c r="BP1505" s="11">
        <v>45904.28460648148</v>
      </c>
      <c r="BQ1505" s="15"/>
      <c r="BR1505" s="15"/>
      <c r="BS1505" s="10"/>
      <c r="BT1505" s="10"/>
      <c r="BU1505" s="10"/>
      <c r="BV1505" s="10"/>
      <c r="BW1505" s="10"/>
      <c r="BX1505" s="10"/>
      <c r="BY1505" s="23"/>
      <c r="BZ1505" s="23"/>
      <c r="CA1505" s="23"/>
      <c r="CB1505" s="23"/>
      <c r="CC1505" s="23"/>
      <c r="CD1505" s="23"/>
      <c r="CE1505" s="23"/>
      <c r="CF1505" s="23"/>
      <c r="CG1505" s="23"/>
      <c r="CH1505" s="23"/>
      <c r="CI1505" s="23"/>
    </row>
    <row r="1506" spans="1:87" x14ac:dyDescent="0.3">
      <c r="A1506" s="9" t="s">
        <v>11365</v>
      </c>
      <c r="B1506" s="10" t="s">
        <v>11366</v>
      </c>
      <c r="C1506" s="11">
        <v>46166</v>
      </c>
      <c r="D1506" s="12">
        <v>8.3333333333333329E-2</v>
      </c>
      <c r="E1506" s="11">
        <v>46166.083333333336</v>
      </c>
      <c r="F1506" s="10" t="s">
        <v>3211</v>
      </c>
      <c r="G1506" s="13" t="b">
        <v>0</v>
      </c>
      <c r="H1506" s="10" t="s">
        <v>3212</v>
      </c>
      <c r="I1506" s="10" t="s">
        <v>3213</v>
      </c>
      <c r="J1506" s="13" t="b">
        <v>0</v>
      </c>
      <c r="K1506" s="13" t="b">
        <v>1</v>
      </c>
      <c r="L1506" s="10" t="s">
        <v>124</v>
      </c>
      <c r="M1506" s="10" t="s">
        <v>91</v>
      </c>
      <c r="N1506" s="10" t="s">
        <v>92</v>
      </c>
      <c r="O1506" s="10"/>
      <c r="P1506" s="10"/>
      <c r="Q1506" s="10"/>
      <c r="R1506" s="10"/>
      <c r="S1506" s="10"/>
      <c r="T1506" s="10"/>
      <c r="U1506" s="10" t="s">
        <v>3218</v>
      </c>
      <c r="V1506" s="10" t="s">
        <v>3217</v>
      </c>
      <c r="W1506" s="10" t="s">
        <v>3219</v>
      </c>
      <c r="X1506" s="10" t="s">
        <v>130</v>
      </c>
      <c r="Y1506" s="10" t="s">
        <v>130</v>
      </c>
      <c r="Z1506" s="10" t="s">
        <v>99</v>
      </c>
      <c r="AA1506" s="10" t="s">
        <v>131</v>
      </c>
      <c r="AB1506" s="10" t="s">
        <v>3220</v>
      </c>
      <c r="AC1506" s="10" t="s">
        <v>3221</v>
      </c>
      <c r="AD1506" s="10" t="s">
        <v>11367</v>
      </c>
      <c r="AE1506" s="10" t="s">
        <v>11368</v>
      </c>
      <c r="AF1506" s="15"/>
      <c r="AG1506" s="10"/>
      <c r="AH1506" s="10"/>
      <c r="AI1506" s="10"/>
      <c r="AJ1506" s="10"/>
      <c r="AK1506" s="10"/>
      <c r="AL1506" s="10" t="s">
        <v>3172</v>
      </c>
      <c r="AM1506" s="10"/>
      <c r="AN1506" s="10"/>
      <c r="AO1506" s="13" t="b">
        <v>0</v>
      </c>
      <c r="AP1506" s="10" t="s">
        <v>104</v>
      </c>
      <c r="AQ1506" s="10"/>
      <c r="AR1506" s="17"/>
      <c r="AS1506" s="17"/>
      <c r="AT1506" s="17"/>
      <c r="AU1506" s="17"/>
      <c r="AV1506" s="17"/>
      <c r="AW1506" s="10"/>
      <c r="AX1506" s="17"/>
      <c r="AY1506" s="18" t="s">
        <v>257</v>
      </c>
      <c r="AZ1506" s="10"/>
      <c r="BA1506" s="20" t="b">
        <v>0</v>
      </c>
      <c r="BB1506" s="10"/>
      <c r="BC1506" s="17" t="s">
        <v>257</v>
      </c>
      <c r="BD1506" s="17" t="s">
        <v>257</v>
      </c>
      <c r="BE1506" s="17" t="s">
        <v>257</v>
      </c>
      <c r="BF1506" s="17" t="s">
        <v>257</v>
      </c>
      <c r="BG1506" s="11">
        <f ca="1">IFERROR(__xludf.DUMMYFUNCTION("""COMPUTED_VALUE"""),46166)</f>
        <v>46166</v>
      </c>
      <c r="BH1506" s="17"/>
      <c r="BI1506" s="17"/>
      <c r="BJ1506" s="15"/>
      <c r="BK1506" s="15"/>
      <c r="BL1506" s="13" t="b">
        <v>0</v>
      </c>
      <c r="BM1506" s="10"/>
      <c r="BN1506" s="10" t="s">
        <v>223</v>
      </c>
      <c r="BO1506" s="11">
        <v>45904.28460648148</v>
      </c>
      <c r="BP1506" s="11">
        <v>45904.28460648148</v>
      </c>
      <c r="BQ1506" s="15"/>
      <c r="BR1506" s="15"/>
      <c r="BS1506" s="10"/>
      <c r="BT1506" s="10"/>
      <c r="BU1506" s="10"/>
      <c r="BV1506" s="10"/>
      <c r="BW1506" s="10"/>
      <c r="BX1506" s="10"/>
      <c r="BY1506" s="23"/>
      <c r="BZ1506" s="23"/>
      <c r="CA1506" s="23"/>
      <c r="CB1506" s="23"/>
      <c r="CC1506" s="23"/>
      <c r="CD1506" s="23"/>
      <c r="CE1506" s="23"/>
      <c r="CF1506" s="23"/>
      <c r="CG1506" s="23"/>
      <c r="CH1506" s="23"/>
      <c r="CI1506" s="23"/>
    </row>
    <row r="1507" spans="1:87" x14ac:dyDescent="0.3">
      <c r="A1507" s="9" t="s">
        <v>11369</v>
      </c>
      <c r="B1507" s="10" t="s">
        <v>11370</v>
      </c>
      <c r="C1507" s="11">
        <v>46166</v>
      </c>
      <c r="D1507" s="12">
        <v>8.3333333333333329E-2</v>
      </c>
      <c r="E1507" s="11">
        <v>46166.083333333336</v>
      </c>
      <c r="F1507" s="10" t="s">
        <v>3211</v>
      </c>
      <c r="G1507" s="13" t="b">
        <v>0</v>
      </c>
      <c r="H1507" s="10" t="s">
        <v>3212</v>
      </c>
      <c r="I1507" s="10" t="s">
        <v>3213</v>
      </c>
      <c r="J1507" s="13" t="b">
        <v>0</v>
      </c>
      <c r="K1507" s="13" t="b">
        <v>1</v>
      </c>
      <c r="L1507" s="10" t="s">
        <v>124</v>
      </c>
      <c r="M1507" s="10" t="s">
        <v>91</v>
      </c>
      <c r="N1507" s="10" t="s">
        <v>92</v>
      </c>
      <c r="O1507" s="10"/>
      <c r="P1507" s="10"/>
      <c r="Q1507" s="10"/>
      <c r="R1507" s="10"/>
      <c r="S1507" s="10"/>
      <c r="T1507" s="10"/>
      <c r="U1507" s="10" t="s">
        <v>3289</v>
      </c>
      <c r="V1507" s="10" t="s">
        <v>3239</v>
      </c>
      <c r="W1507" s="10" t="s">
        <v>3219</v>
      </c>
      <c r="X1507" s="10" t="s">
        <v>130</v>
      </c>
      <c r="Y1507" s="10" t="s">
        <v>130</v>
      </c>
      <c r="Z1507" s="10" t="s">
        <v>99</v>
      </c>
      <c r="AA1507" s="10" t="s">
        <v>131</v>
      </c>
      <c r="AB1507" s="10" t="s">
        <v>3220</v>
      </c>
      <c r="AC1507" s="10" t="s">
        <v>3221</v>
      </c>
      <c r="AD1507" s="10" t="s">
        <v>11371</v>
      </c>
      <c r="AE1507" s="10" t="s">
        <v>11372</v>
      </c>
      <c r="AF1507" s="15"/>
      <c r="AG1507" s="10"/>
      <c r="AH1507" s="10"/>
      <c r="AI1507" s="10"/>
      <c r="AJ1507" s="10"/>
      <c r="AK1507" s="10"/>
      <c r="AL1507" s="10" t="s">
        <v>3172</v>
      </c>
      <c r="AM1507" s="10"/>
      <c r="AN1507" s="10"/>
      <c r="AO1507" s="13" t="b">
        <v>0</v>
      </c>
      <c r="AP1507" s="10" t="s">
        <v>104</v>
      </c>
      <c r="AQ1507" s="10"/>
      <c r="AR1507" s="17"/>
      <c r="AS1507" s="17"/>
      <c r="AT1507" s="17"/>
      <c r="AU1507" s="17"/>
      <c r="AV1507" s="17"/>
      <c r="AW1507" s="10"/>
      <c r="AX1507" s="17"/>
      <c r="AY1507" s="18" t="s">
        <v>257</v>
      </c>
      <c r="AZ1507" s="10"/>
      <c r="BA1507" s="20" t="b">
        <v>0</v>
      </c>
      <c r="BB1507" s="10"/>
      <c r="BC1507" s="17" t="s">
        <v>257</v>
      </c>
      <c r="BD1507" s="17" t="s">
        <v>257</v>
      </c>
      <c r="BE1507" s="17" t="s">
        <v>257</v>
      </c>
      <c r="BF1507" s="17" t="s">
        <v>257</v>
      </c>
      <c r="BG1507" s="11">
        <f ca="1">IFERROR(__xludf.DUMMYFUNCTION("""COMPUTED_VALUE"""),46166)</f>
        <v>46166</v>
      </c>
      <c r="BH1507" s="17"/>
      <c r="BI1507" s="17"/>
      <c r="BJ1507" s="15"/>
      <c r="BK1507" s="15"/>
      <c r="BL1507" s="13" t="b">
        <v>0</v>
      </c>
      <c r="BM1507" s="10"/>
      <c r="BN1507" s="10" t="s">
        <v>223</v>
      </c>
      <c r="BO1507" s="11">
        <v>45904.28460648148</v>
      </c>
      <c r="BP1507" s="11">
        <v>45904.28460648148</v>
      </c>
      <c r="BQ1507" s="15"/>
      <c r="BR1507" s="15"/>
      <c r="BS1507" s="10"/>
      <c r="BT1507" s="10"/>
      <c r="BU1507" s="10"/>
      <c r="BV1507" s="10"/>
      <c r="BW1507" s="10"/>
      <c r="BX1507" s="10"/>
      <c r="BY1507" s="23"/>
      <c r="BZ1507" s="23"/>
      <c r="CA1507" s="23"/>
      <c r="CB1507" s="23"/>
      <c r="CC1507" s="23"/>
      <c r="CD1507" s="23"/>
      <c r="CE1507" s="23"/>
      <c r="CF1507" s="23"/>
      <c r="CG1507" s="23"/>
      <c r="CH1507" s="23"/>
      <c r="CI1507" s="23"/>
    </row>
    <row r="1508" spans="1:87" x14ac:dyDescent="0.3">
      <c r="A1508" s="9" t="s">
        <v>11373</v>
      </c>
      <c r="B1508" s="10" t="s">
        <v>11374</v>
      </c>
      <c r="C1508" s="11">
        <v>46166</v>
      </c>
      <c r="D1508" s="12">
        <v>8.3333333333333329E-2</v>
      </c>
      <c r="E1508" s="11">
        <v>46166.083333333336</v>
      </c>
      <c r="F1508" s="10" t="s">
        <v>3211</v>
      </c>
      <c r="G1508" s="13" t="b">
        <v>0</v>
      </c>
      <c r="H1508" s="10" t="s">
        <v>3212</v>
      </c>
      <c r="I1508" s="10" t="s">
        <v>3213</v>
      </c>
      <c r="J1508" s="13" t="b">
        <v>0</v>
      </c>
      <c r="K1508" s="13" t="b">
        <v>1</v>
      </c>
      <c r="L1508" s="10" t="s">
        <v>124</v>
      </c>
      <c r="M1508" s="10" t="s">
        <v>91</v>
      </c>
      <c r="N1508" s="10" t="s">
        <v>92</v>
      </c>
      <c r="O1508" s="10"/>
      <c r="P1508" s="10"/>
      <c r="Q1508" s="10"/>
      <c r="R1508" s="10"/>
      <c r="S1508" s="10"/>
      <c r="T1508" s="10"/>
      <c r="U1508" s="10" t="s">
        <v>3318</v>
      </c>
      <c r="V1508" s="10" t="s">
        <v>3269</v>
      </c>
      <c r="W1508" s="10" t="s">
        <v>3219</v>
      </c>
      <c r="X1508" s="10" t="s">
        <v>130</v>
      </c>
      <c r="Y1508" s="10" t="s">
        <v>130</v>
      </c>
      <c r="Z1508" s="10" t="s">
        <v>99</v>
      </c>
      <c r="AA1508" s="10" t="s">
        <v>131</v>
      </c>
      <c r="AB1508" s="10" t="s">
        <v>3220</v>
      </c>
      <c r="AC1508" s="10" t="s">
        <v>3221</v>
      </c>
      <c r="AD1508" s="10" t="s">
        <v>11375</v>
      </c>
      <c r="AE1508" s="10" t="s">
        <v>11376</v>
      </c>
      <c r="AF1508" s="15"/>
      <c r="AG1508" s="10"/>
      <c r="AH1508" s="10"/>
      <c r="AI1508" s="10"/>
      <c r="AJ1508" s="10"/>
      <c r="AK1508" s="10"/>
      <c r="AL1508" s="10" t="s">
        <v>3172</v>
      </c>
      <c r="AM1508" s="10"/>
      <c r="AN1508" s="10"/>
      <c r="AO1508" s="13" t="b">
        <v>0</v>
      </c>
      <c r="AP1508" s="10" t="s">
        <v>104</v>
      </c>
      <c r="AQ1508" s="10"/>
      <c r="AR1508" s="17"/>
      <c r="AS1508" s="17"/>
      <c r="AT1508" s="17"/>
      <c r="AU1508" s="17"/>
      <c r="AV1508" s="17"/>
      <c r="AW1508" s="10"/>
      <c r="AX1508" s="17"/>
      <c r="AY1508" s="18" t="s">
        <v>257</v>
      </c>
      <c r="AZ1508" s="10"/>
      <c r="BA1508" s="20" t="b">
        <v>0</v>
      </c>
      <c r="BB1508" s="10"/>
      <c r="BC1508" s="17" t="s">
        <v>257</v>
      </c>
      <c r="BD1508" s="17" t="s">
        <v>257</v>
      </c>
      <c r="BE1508" s="17" t="s">
        <v>257</v>
      </c>
      <c r="BF1508" s="17" t="s">
        <v>257</v>
      </c>
      <c r="BG1508" s="11">
        <f ca="1">IFERROR(__xludf.DUMMYFUNCTION("""COMPUTED_VALUE"""),46166)</f>
        <v>46166</v>
      </c>
      <c r="BH1508" s="17"/>
      <c r="BI1508" s="17"/>
      <c r="BJ1508" s="15"/>
      <c r="BK1508" s="15"/>
      <c r="BL1508" s="13" t="b">
        <v>0</v>
      </c>
      <c r="BM1508" s="10"/>
      <c r="BN1508" s="10" t="s">
        <v>223</v>
      </c>
      <c r="BO1508" s="11">
        <v>45904.28460648148</v>
      </c>
      <c r="BP1508" s="11">
        <v>45904.28460648148</v>
      </c>
      <c r="BQ1508" s="15"/>
      <c r="BR1508" s="15"/>
      <c r="BS1508" s="10"/>
      <c r="BT1508" s="10"/>
      <c r="BU1508" s="10"/>
      <c r="BV1508" s="10"/>
      <c r="BW1508" s="10"/>
      <c r="BX1508" s="10"/>
      <c r="BY1508" s="23"/>
      <c r="BZ1508" s="23"/>
      <c r="CA1508" s="23"/>
      <c r="CB1508" s="23"/>
      <c r="CC1508" s="23"/>
      <c r="CD1508" s="23"/>
      <c r="CE1508" s="23"/>
      <c r="CF1508" s="23"/>
      <c r="CG1508" s="23"/>
      <c r="CH1508" s="23"/>
      <c r="CI1508" s="23"/>
    </row>
    <row r="1509" spans="1:87" x14ac:dyDescent="0.3">
      <c r="A1509" s="9" t="s">
        <v>11377</v>
      </c>
      <c r="B1509" s="10" t="s">
        <v>11378</v>
      </c>
      <c r="C1509" s="11">
        <v>46166</v>
      </c>
      <c r="D1509" s="12">
        <v>8.3333333333333329E-2</v>
      </c>
      <c r="E1509" s="11">
        <v>46166.083333333336</v>
      </c>
      <c r="F1509" s="10" t="s">
        <v>3211</v>
      </c>
      <c r="G1509" s="13" t="b">
        <v>0</v>
      </c>
      <c r="H1509" s="10" t="s">
        <v>3212</v>
      </c>
      <c r="I1509" s="10" t="s">
        <v>3213</v>
      </c>
      <c r="J1509" s="13" t="b">
        <v>0</v>
      </c>
      <c r="K1509" s="13" t="b">
        <v>1</v>
      </c>
      <c r="L1509" s="10" t="s">
        <v>124</v>
      </c>
      <c r="M1509" s="10" t="s">
        <v>91</v>
      </c>
      <c r="N1509" s="10" t="s">
        <v>92</v>
      </c>
      <c r="O1509" s="10"/>
      <c r="P1509" s="10"/>
      <c r="Q1509" s="10"/>
      <c r="R1509" s="10"/>
      <c r="S1509" s="10"/>
      <c r="T1509" s="10"/>
      <c r="U1509" s="10" t="s">
        <v>3260</v>
      </c>
      <c r="V1509" s="10" t="s">
        <v>3429</v>
      </c>
      <c r="W1509" s="10" t="s">
        <v>3219</v>
      </c>
      <c r="X1509" s="10" t="s">
        <v>130</v>
      </c>
      <c r="Y1509" s="10" t="s">
        <v>130</v>
      </c>
      <c r="Z1509" s="10" t="s">
        <v>99</v>
      </c>
      <c r="AA1509" s="10" t="s">
        <v>131</v>
      </c>
      <c r="AB1509" s="10" t="s">
        <v>3220</v>
      </c>
      <c r="AC1509" s="10" t="s">
        <v>3221</v>
      </c>
      <c r="AD1509" s="10" t="s">
        <v>11379</v>
      </c>
      <c r="AE1509" s="10" t="s">
        <v>11380</v>
      </c>
      <c r="AF1509" s="15"/>
      <c r="AG1509" s="10"/>
      <c r="AH1509" s="10"/>
      <c r="AI1509" s="10"/>
      <c r="AJ1509" s="10"/>
      <c r="AK1509" s="10"/>
      <c r="AL1509" s="10" t="s">
        <v>3172</v>
      </c>
      <c r="AM1509" s="10"/>
      <c r="AN1509" s="10"/>
      <c r="AO1509" s="13" t="b">
        <v>0</v>
      </c>
      <c r="AP1509" s="10" t="s">
        <v>104</v>
      </c>
      <c r="AQ1509" s="10"/>
      <c r="AR1509" s="17"/>
      <c r="AS1509" s="17"/>
      <c r="AT1509" s="17"/>
      <c r="AU1509" s="17"/>
      <c r="AV1509" s="17"/>
      <c r="AW1509" s="10"/>
      <c r="AX1509" s="17"/>
      <c r="AY1509" s="18" t="s">
        <v>257</v>
      </c>
      <c r="AZ1509" s="10"/>
      <c r="BA1509" s="20" t="b">
        <v>0</v>
      </c>
      <c r="BB1509" s="10"/>
      <c r="BC1509" s="17" t="s">
        <v>257</v>
      </c>
      <c r="BD1509" s="17" t="s">
        <v>257</v>
      </c>
      <c r="BE1509" s="17" t="s">
        <v>257</v>
      </c>
      <c r="BF1509" s="17" t="s">
        <v>257</v>
      </c>
      <c r="BG1509" s="11">
        <f ca="1">IFERROR(__xludf.DUMMYFUNCTION("""COMPUTED_VALUE"""),46166)</f>
        <v>46166</v>
      </c>
      <c r="BH1509" s="17"/>
      <c r="BI1509" s="17"/>
      <c r="BJ1509" s="15"/>
      <c r="BK1509" s="15"/>
      <c r="BL1509" s="13" t="b">
        <v>0</v>
      </c>
      <c r="BM1509" s="10"/>
      <c r="BN1509" s="10" t="s">
        <v>223</v>
      </c>
      <c r="BO1509" s="11">
        <v>45904.28460648148</v>
      </c>
      <c r="BP1509" s="11">
        <v>45904.28460648148</v>
      </c>
      <c r="BQ1509" s="15"/>
      <c r="BR1509" s="15"/>
      <c r="BS1509" s="10"/>
      <c r="BT1509" s="10"/>
      <c r="BU1509" s="10"/>
      <c r="BV1509" s="10"/>
      <c r="BW1509" s="10"/>
      <c r="BX1509" s="10"/>
      <c r="BY1509" s="23"/>
      <c r="BZ1509" s="23"/>
      <c r="CA1509" s="23"/>
      <c r="CB1509" s="23"/>
      <c r="CC1509" s="23"/>
      <c r="CD1509" s="23"/>
      <c r="CE1509" s="23"/>
      <c r="CF1509" s="23"/>
      <c r="CG1509" s="23"/>
      <c r="CH1509" s="23"/>
      <c r="CI1509" s="23"/>
    </row>
    <row r="1510" spans="1:87" x14ac:dyDescent="0.3">
      <c r="A1510" s="9" t="s">
        <v>11381</v>
      </c>
      <c r="B1510" s="10" t="s">
        <v>11382</v>
      </c>
      <c r="C1510" s="11">
        <v>46166</v>
      </c>
      <c r="D1510" s="12">
        <v>8.3333333333333329E-2</v>
      </c>
      <c r="E1510" s="11">
        <v>46166.083333333336</v>
      </c>
      <c r="F1510" s="10" t="s">
        <v>3211</v>
      </c>
      <c r="G1510" s="13" t="b">
        <v>0</v>
      </c>
      <c r="H1510" s="10" t="s">
        <v>3212</v>
      </c>
      <c r="I1510" s="10" t="s">
        <v>3213</v>
      </c>
      <c r="J1510" s="13" t="b">
        <v>0</v>
      </c>
      <c r="K1510" s="13" t="b">
        <v>1</v>
      </c>
      <c r="L1510" s="10" t="s">
        <v>124</v>
      </c>
      <c r="M1510" s="10" t="s">
        <v>91</v>
      </c>
      <c r="N1510" s="10" t="s">
        <v>92</v>
      </c>
      <c r="O1510" s="10"/>
      <c r="P1510" s="10"/>
      <c r="Q1510" s="10"/>
      <c r="R1510" s="10"/>
      <c r="S1510" s="10"/>
      <c r="T1510" s="10"/>
      <c r="U1510" s="10" t="s">
        <v>3279</v>
      </c>
      <c r="V1510" s="10" t="s">
        <v>3259</v>
      </c>
      <c r="W1510" s="10" t="s">
        <v>3219</v>
      </c>
      <c r="X1510" s="10" t="s">
        <v>130</v>
      </c>
      <c r="Y1510" s="10" t="s">
        <v>130</v>
      </c>
      <c r="Z1510" s="10" t="s">
        <v>99</v>
      </c>
      <c r="AA1510" s="10" t="s">
        <v>131</v>
      </c>
      <c r="AB1510" s="10" t="s">
        <v>3220</v>
      </c>
      <c r="AC1510" s="10" t="s">
        <v>3221</v>
      </c>
      <c r="AD1510" s="10" t="s">
        <v>11383</v>
      </c>
      <c r="AE1510" s="10" t="s">
        <v>11384</v>
      </c>
      <c r="AF1510" s="15"/>
      <c r="AG1510" s="10"/>
      <c r="AH1510" s="10"/>
      <c r="AI1510" s="10"/>
      <c r="AJ1510" s="10"/>
      <c r="AK1510" s="10"/>
      <c r="AL1510" s="10" t="s">
        <v>3172</v>
      </c>
      <c r="AM1510" s="10"/>
      <c r="AN1510" s="10"/>
      <c r="AO1510" s="13" t="b">
        <v>0</v>
      </c>
      <c r="AP1510" s="10" t="s">
        <v>104</v>
      </c>
      <c r="AQ1510" s="10"/>
      <c r="AR1510" s="17"/>
      <c r="AS1510" s="17"/>
      <c r="AT1510" s="17"/>
      <c r="AU1510" s="17"/>
      <c r="AV1510" s="17"/>
      <c r="AW1510" s="10"/>
      <c r="AX1510" s="17"/>
      <c r="AY1510" s="18" t="s">
        <v>257</v>
      </c>
      <c r="AZ1510" s="10"/>
      <c r="BA1510" s="20" t="b">
        <v>0</v>
      </c>
      <c r="BB1510" s="10"/>
      <c r="BC1510" s="17" t="s">
        <v>257</v>
      </c>
      <c r="BD1510" s="17" t="s">
        <v>257</v>
      </c>
      <c r="BE1510" s="17" t="s">
        <v>257</v>
      </c>
      <c r="BF1510" s="17" t="s">
        <v>257</v>
      </c>
      <c r="BG1510" s="11">
        <f ca="1">IFERROR(__xludf.DUMMYFUNCTION("""COMPUTED_VALUE"""),46166)</f>
        <v>46166</v>
      </c>
      <c r="BH1510" s="17"/>
      <c r="BI1510" s="17"/>
      <c r="BJ1510" s="15"/>
      <c r="BK1510" s="15"/>
      <c r="BL1510" s="13" t="b">
        <v>0</v>
      </c>
      <c r="BM1510" s="10"/>
      <c r="BN1510" s="10" t="s">
        <v>223</v>
      </c>
      <c r="BO1510" s="11">
        <v>45904.28460648148</v>
      </c>
      <c r="BP1510" s="11">
        <v>45904.28460648148</v>
      </c>
      <c r="BQ1510" s="15"/>
      <c r="BR1510" s="15"/>
      <c r="BS1510" s="10"/>
      <c r="BT1510" s="10"/>
      <c r="BU1510" s="10"/>
      <c r="BV1510" s="10"/>
      <c r="BW1510" s="10"/>
      <c r="BX1510" s="10"/>
      <c r="BY1510" s="23"/>
      <c r="BZ1510" s="23"/>
      <c r="CA1510" s="23"/>
      <c r="CB1510" s="23"/>
      <c r="CC1510" s="23"/>
      <c r="CD1510" s="23"/>
      <c r="CE1510" s="23"/>
      <c r="CF1510" s="23"/>
      <c r="CG1510" s="23"/>
      <c r="CH1510" s="23"/>
      <c r="CI1510" s="23"/>
    </row>
    <row r="1511" spans="1:87" x14ac:dyDescent="0.3">
      <c r="A1511" s="9" t="s">
        <v>11385</v>
      </c>
      <c r="B1511" s="10" t="s">
        <v>11386</v>
      </c>
      <c r="C1511" s="11">
        <v>46166</v>
      </c>
      <c r="D1511" s="12">
        <v>8.3333333333333329E-2</v>
      </c>
      <c r="E1511" s="11">
        <v>46166.083333333336</v>
      </c>
      <c r="F1511" s="10" t="s">
        <v>3211</v>
      </c>
      <c r="G1511" s="13" t="b">
        <v>0</v>
      </c>
      <c r="H1511" s="10" t="s">
        <v>3212</v>
      </c>
      <c r="I1511" s="10" t="s">
        <v>3213</v>
      </c>
      <c r="J1511" s="13" t="b">
        <v>0</v>
      </c>
      <c r="K1511" s="13" t="b">
        <v>1</v>
      </c>
      <c r="L1511" s="10" t="s">
        <v>124</v>
      </c>
      <c r="M1511" s="10" t="s">
        <v>91</v>
      </c>
      <c r="N1511" s="10" t="s">
        <v>92</v>
      </c>
      <c r="O1511" s="10"/>
      <c r="P1511" s="10"/>
      <c r="Q1511" s="10"/>
      <c r="R1511" s="10"/>
      <c r="S1511" s="10"/>
      <c r="T1511" s="10"/>
      <c r="U1511" s="10" t="s">
        <v>3270</v>
      </c>
      <c r="V1511" s="10" t="s">
        <v>3229</v>
      </c>
      <c r="W1511" s="10" t="s">
        <v>3219</v>
      </c>
      <c r="X1511" s="10" t="s">
        <v>130</v>
      </c>
      <c r="Y1511" s="10" t="s">
        <v>130</v>
      </c>
      <c r="Z1511" s="10" t="s">
        <v>99</v>
      </c>
      <c r="AA1511" s="10" t="s">
        <v>131</v>
      </c>
      <c r="AB1511" s="10" t="s">
        <v>3220</v>
      </c>
      <c r="AC1511" s="10" t="s">
        <v>3221</v>
      </c>
      <c r="AD1511" s="10" t="s">
        <v>11387</v>
      </c>
      <c r="AE1511" s="10" t="s">
        <v>11388</v>
      </c>
      <c r="AF1511" s="15"/>
      <c r="AG1511" s="10"/>
      <c r="AH1511" s="10"/>
      <c r="AI1511" s="10"/>
      <c r="AJ1511" s="10"/>
      <c r="AK1511" s="10"/>
      <c r="AL1511" s="10" t="s">
        <v>3172</v>
      </c>
      <c r="AM1511" s="10"/>
      <c r="AN1511" s="10"/>
      <c r="AO1511" s="13" t="b">
        <v>0</v>
      </c>
      <c r="AP1511" s="10" t="s">
        <v>104</v>
      </c>
      <c r="AQ1511" s="10"/>
      <c r="AR1511" s="17"/>
      <c r="AS1511" s="17"/>
      <c r="AT1511" s="17"/>
      <c r="AU1511" s="17"/>
      <c r="AV1511" s="17"/>
      <c r="AW1511" s="10"/>
      <c r="AX1511" s="17"/>
      <c r="AY1511" s="18" t="s">
        <v>257</v>
      </c>
      <c r="AZ1511" s="10"/>
      <c r="BA1511" s="20" t="b">
        <v>0</v>
      </c>
      <c r="BB1511" s="10"/>
      <c r="BC1511" s="17" t="s">
        <v>257</v>
      </c>
      <c r="BD1511" s="17" t="s">
        <v>257</v>
      </c>
      <c r="BE1511" s="17" t="s">
        <v>257</v>
      </c>
      <c r="BF1511" s="17" t="s">
        <v>257</v>
      </c>
      <c r="BG1511" s="11">
        <f ca="1">IFERROR(__xludf.DUMMYFUNCTION("""COMPUTED_VALUE"""),46166)</f>
        <v>46166</v>
      </c>
      <c r="BH1511" s="17"/>
      <c r="BI1511" s="17"/>
      <c r="BJ1511" s="15"/>
      <c r="BK1511" s="15"/>
      <c r="BL1511" s="13" t="b">
        <v>0</v>
      </c>
      <c r="BM1511" s="10"/>
      <c r="BN1511" s="10" t="s">
        <v>223</v>
      </c>
      <c r="BO1511" s="11">
        <v>45904.28460648148</v>
      </c>
      <c r="BP1511" s="11">
        <v>45904.28460648148</v>
      </c>
      <c r="BQ1511" s="15"/>
      <c r="BR1511" s="15"/>
      <c r="BS1511" s="10"/>
      <c r="BT1511" s="10"/>
      <c r="BU1511" s="10"/>
      <c r="BV1511" s="10"/>
      <c r="BW1511" s="10"/>
      <c r="BX1511" s="10"/>
      <c r="BY1511" s="23"/>
      <c r="BZ1511" s="23"/>
      <c r="CA1511" s="23"/>
      <c r="CB1511" s="23"/>
      <c r="CC1511" s="23"/>
      <c r="CD1511" s="23"/>
      <c r="CE1511" s="23"/>
      <c r="CF1511" s="23"/>
      <c r="CG1511" s="23"/>
      <c r="CH1511" s="23"/>
      <c r="CI1511" s="23"/>
    </row>
    <row r="1512" spans="1:87" x14ac:dyDescent="0.3">
      <c r="A1512" s="9" t="s">
        <v>11389</v>
      </c>
      <c r="B1512" s="10" t="s">
        <v>11390</v>
      </c>
      <c r="C1512" s="11">
        <v>45916.989583333336</v>
      </c>
      <c r="D1512" s="12">
        <v>8.3333333333333329E-2</v>
      </c>
      <c r="E1512" s="11">
        <v>45917.072916666664</v>
      </c>
      <c r="F1512" s="10" t="s">
        <v>3563</v>
      </c>
      <c r="G1512" s="13" t="b">
        <v>0</v>
      </c>
      <c r="H1512" s="10" t="s">
        <v>3564</v>
      </c>
      <c r="I1512" s="10" t="s">
        <v>89</v>
      </c>
      <c r="J1512" s="13" t="b">
        <v>0</v>
      </c>
      <c r="K1512" s="13" t="b">
        <v>1</v>
      </c>
      <c r="L1512" s="10" t="s">
        <v>124</v>
      </c>
      <c r="M1512" s="10" t="s">
        <v>91</v>
      </c>
      <c r="N1512" s="10" t="s">
        <v>92</v>
      </c>
      <c r="O1512" s="19" t="s">
        <v>11391</v>
      </c>
      <c r="P1512" s="10"/>
      <c r="Q1512" s="10" t="s">
        <v>94</v>
      </c>
      <c r="R1512" s="10"/>
      <c r="S1512" s="19" t="s">
        <v>11392</v>
      </c>
      <c r="T1512" s="10"/>
      <c r="U1512" s="10" t="s">
        <v>3704</v>
      </c>
      <c r="V1512" s="10" t="s">
        <v>11393</v>
      </c>
      <c r="W1512" s="10" t="s">
        <v>3569</v>
      </c>
      <c r="X1512" s="10" t="s">
        <v>130</v>
      </c>
      <c r="Y1512" s="10" t="s">
        <v>130</v>
      </c>
      <c r="Z1512" s="10" t="s">
        <v>99</v>
      </c>
      <c r="AA1512" s="10" t="s">
        <v>131</v>
      </c>
      <c r="AB1512" s="10" t="s">
        <v>3570</v>
      </c>
      <c r="AC1512" s="10" t="s">
        <v>3571</v>
      </c>
      <c r="AD1512" s="10" t="s">
        <v>11394</v>
      </c>
      <c r="AE1512" s="10" t="s">
        <v>11395</v>
      </c>
      <c r="AF1512" s="15"/>
      <c r="AG1512" s="10"/>
      <c r="AH1512" s="10"/>
      <c r="AI1512" s="10"/>
      <c r="AJ1512" s="10"/>
      <c r="AK1512" s="10" t="s">
        <v>102</v>
      </c>
      <c r="AL1512" s="10" t="s">
        <v>7897</v>
      </c>
      <c r="AM1512" s="10"/>
      <c r="AN1512" s="10"/>
      <c r="AO1512" s="13" t="b">
        <v>0</v>
      </c>
      <c r="AP1512" s="10" t="s">
        <v>104</v>
      </c>
      <c r="AQ1512" s="10">
        <f ca="1">IFERROR(__xludf.DUMMYFUNCTION("""COMPUTED_VALUE"""),4569128)</f>
        <v>4569128</v>
      </c>
      <c r="AR1512" s="17">
        <v>18262</v>
      </c>
      <c r="AS1512" s="17">
        <v>12246</v>
      </c>
      <c r="AT1512" s="17">
        <v>126124.5</v>
      </c>
      <c r="AU1512" s="17">
        <v>37.950000000000003</v>
      </c>
      <c r="AV1512" s="17">
        <v>14.35</v>
      </c>
      <c r="AW1512" s="10" t="s">
        <v>105</v>
      </c>
      <c r="AX1512" s="17">
        <v>4088</v>
      </c>
      <c r="AY1512" s="18">
        <v>10.299240568348848</v>
      </c>
      <c r="AZ1512" s="10" t="s">
        <v>168</v>
      </c>
      <c r="BA1512" s="20" t="b">
        <v>0</v>
      </c>
      <c r="BB1512" s="10"/>
      <c r="BC1512" s="17">
        <v>18262</v>
      </c>
      <c r="BD1512" s="17">
        <v>12246</v>
      </c>
      <c r="BE1512" s="17">
        <v>126124.5</v>
      </c>
      <c r="BF1512" s="17">
        <v>14.35</v>
      </c>
      <c r="BG1512" s="11">
        <f ca="1">IFERROR(__xludf.DUMMYFUNCTION("""COMPUTED_VALUE"""),45916.9895833333)</f>
        <v>45916.989583333299</v>
      </c>
      <c r="BH1512" s="17" t="s">
        <v>105</v>
      </c>
      <c r="BI1512" s="17"/>
      <c r="BJ1512" s="15"/>
      <c r="BK1512" s="15"/>
      <c r="BL1512" s="13" t="b">
        <v>0</v>
      </c>
      <c r="BM1512" s="10"/>
      <c r="BN1512" s="10" t="s">
        <v>667</v>
      </c>
      <c r="BO1512" s="11">
        <v>45904.299305555556</v>
      </c>
      <c r="BP1512" s="11">
        <v>45908.699467592596</v>
      </c>
      <c r="BQ1512" s="15">
        <v>45912.774155092593</v>
      </c>
      <c r="BR1512" s="15">
        <v>45913.582569444443</v>
      </c>
      <c r="BS1512" s="10" t="s">
        <v>667</v>
      </c>
      <c r="BT1512" s="10" t="s">
        <v>99</v>
      </c>
      <c r="BU1512" s="10" t="s">
        <v>5675</v>
      </c>
      <c r="BV1512" s="10"/>
      <c r="BW1512" s="10"/>
      <c r="BX1512" s="10"/>
      <c r="BY1512" s="23"/>
      <c r="BZ1512" s="23"/>
      <c r="CA1512" s="19" t="s">
        <v>11396</v>
      </c>
      <c r="CB1512" s="23"/>
      <c r="CC1512" s="23"/>
      <c r="CD1512" s="23"/>
      <c r="CE1512" s="23"/>
      <c r="CF1512" s="23"/>
      <c r="CG1512" s="23"/>
      <c r="CH1512" s="23"/>
      <c r="CI1512" s="23"/>
    </row>
    <row r="1513" spans="1:87" x14ac:dyDescent="0.3">
      <c r="A1513" s="9" t="s">
        <v>11397</v>
      </c>
      <c r="B1513" s="10" t="s">
        <v>11398</v>
      </c>
      <c r="C1513" s="11">
        <v>45916.989583333336</v>
      </c>
      <c r="D1513" s="12">
        <v>8.3333333333333329E-2</v>
      </c>
      <c r="E1513" s="11">
        <v>45917.072916666664</v>
      </c>
      <c r="F1513" s="10" t="s">
        <v>3563</v>
      </c>
      <c r="G1513" s="13" t="b">
        <v>0</v>
      </c>
      <c r="H1513" s="10" t="s">
        <v>3578</v>
      </c>
      <c r="I1513" s="10" t="s">
        <v>89</v>
      </c>
      <c r="J1513" s="13" t="b">
        <v>0</v>
      </c>
      <c r="K1513" s="13" t="b">
        <v>1</v>
      </c>
      <c r="L1513" s="10" t="s">
        <v>124</v>
      </c>
      <c r="M1513" s="10" t="s">
        <v>91</v>
      </c>
      <c r="N1513" s="10" t="s">
        <v>92</v>
      </c>
      <c r="O1513" s="19" t="s">
        <v>11399</v>
      </c>
      <c r="P1513" s="10"/>
      <c r="Q1513" s="10" t="s">
        <v>126</v>
      </c>
      <c r="R1513" s="10"/>
      <c r="S1513" s="19" t="s">
        <v>11400</v>
      </c>
      <c r="T1513" s="10"/>
      <c r="U1513" s="10" t="s">
        <v>5076</v>
      </c>
      <c r="V1513" s="10" t="s">
        <v>362</v>
      </c>
      <c r="W1513" s="10" t="s">
        <v>3569</v>
      </c>
      <c r="X1513" s="10" t="s">
        <v>130</v>
      </c>
      <c r="Y1513" s="10" t="s">
        <v>130</v>
      </c>
      <c r="Z1513" s="10" t="s">
        <v>99</v>
      </c>
      <c r="AA1513" s="10" t="s">
        <v>131</v>
      </c>
      <c r="AB1513" s="10" t="s">
        <v>3570</v>
      </c>
      <c r="AC1513" s="10" t="s">
        <v>3571</v>
      </c>
      <c r="AD1513" s="10" t="s">
        <v>11401</v>
      </c>
      <c r="AE1513" s="10" t="s">
        <v>11402</v>
      </c>
      <c r="AF1513" s="15"/>
      <c r="AG1513" s="10"/>
      <c r="AH1513" s="10"/>
      <c r="AI1513" s="10"/>
      <c r="AJ1513" s="10"/>
      <c r="AK1513" s="10" t="s">
        <v>102</v>
      </c>
      <c r="AL1513" s="10" t="s">
        <v>7897</v>
      </c>
      <c r="AM1513" s="10"/>
      <c r="AN1513" s="10"/>
      <c r="AO1513" s="13" t="b">
        <v>1</v>
      </c>
      <c r="AP1513" s="10" t="s">
        <v>104</v>
      </c>
      <c r="AQ1513" s="10">
        <f ca="1">IFERROR(__xludf.DUMMYFUNCTION("""COMPUTED_VALUE"""),4569126)</f>
        <v>4569126</v>
      </c>
      <c r="AR1513" s="17">
        <v>168350</v>
      </c>
      <c r="AS1513" s="17">
        <v>106863</v>
      </c>
      <c r="AT1513" s="17">
        <v>3835575.25</v>
      </c>
      <c r="AU1513" s="17">
        <v>3352.55</v>
      </c>
      <c r="AV1513" s="17">
        <v>742.15</v>
      </c>
      <c r="AW1513" s="10" t="s">
        <v>105</v>
      </c>
      <c r="AX1513" s="17">
        <v>43831</v>
      </c>
      <c r="AY1513" s="18">
        <v>35.892453421670737</v>
      </c>
      <c r="AZ1513" s="10" t="s">
        <v>168</v>
      </c>
      <c r="BA1513" s="20" t="b">
        <v>0</v>
      </c>
      <c r="BB1513" s="10"/>
      <c r="BC1513" s="17">
        <v>168350</v>
      </c>
      <c r="BD1513" s="17">
        <v>106863</v>
      </c>
      <c r="BE1513" s="17">
        <v>3835575.25</v>
      </c>
      <c r="BF1513" s="17">
        <v>742.15</v>
      </c>
      <c r="BG1513" s="11">
        <f ca="1">IFERROR(__xludf.DUMMYFUNCTION("""COMPUTED_VALUE"""),45916.9895833333)</f>
        <v>45916.989583333299</v>
      </c>
      <c r="BH1513" s="17" t="s">
        <v>105</v>
      </c>
      <c r="BI1513" s="17"/>
      <c r="BJ1513" s="15"/>
      <c r="BK1513" s="15"/>
      <c r="BL1513" s="13" t="b">
        <v>0</v>
      </c>
      <c r="BM1513" s="10"/>
      <c r="BN1513" s="10" t="s">
        <v>667</v>
      </c>
      <c r="BO1513" s="11">
        <v>45904.299305555556</v>
      </c>
      <c r="BP1513" s="11">
        <v>45908.700937499998</v>
      </c>
      <c r="BQ1513" s="15">
        <v>45912.773912037039</v>
      </c>
      <c r="BR1513" s="15">
        <v>45913.582430555558</v>
      </c>
      <c r="BS1513" s="10" t="s">
        <v>667</v>
      </c>
      <c r="BT1513" s="10" t="s">
        <v>99</v>
      </c>
      <c r="BU1513" s="10" t="s">
        <v>5081</v>
      </c>
      <c r="BV1513" s="10"/>
      <c r="BW1513" s="10"/>
      <c r="BX1513" s="10"/>
      <c r="BY1513" s="23"/>
      <c r="BZ1513" s="23"/>
      <c r="CA1513" s="19" t="s">
        <v>11403</v>
      </c>
      <c r="CB1513" s="23"/>
      <c r="CC1513" s="23"/>
      <c r="CD1513" s="19" t="s">
        <v>11404</v>
      </c>
      <c r="CE1513" s="23"/>
      <c r="CF1513" s="23"/>
      <c r="CG1513" s="23"/>
      <c r="CH1513" s="23"/>
      <c r="CI1513" s="23"/>
    </row>
    <row r="1514" spans="1:87" x14ac:dyDescent="0.3">
      <c r="A1514" s="9" t="s">
        <v>11405</v>
      </c>
      <c r="B1514" s="10" t="s">
        <v>11406</v>
      </c>
      <c r="C1514" s="11">
        <v>45917.083333333336</v>
      </c>
      <c r="D1514" s="12">
        <v>8.3333333333333329E-2</v>
      </c>
      <c r="E1514" s="11">
        <v>45917.166666666664</v>
      </c>
      <c r="F1514" s="10" t="s">
        <v>3563</v>
      </c>
      <c r="G1514" s="13" t="b">
        <v>0</v>
      </c>
      <c r="H1514" s="10" t="s">
        <v>6271</v>
      </c>
      <c r="I1514" s="10" t="s">
        <v>89</v>
      </c>
      <c r="J1514" s="13" t="b">
        <v>0</v>
      </c>
      <c r="K1514" s="13" t="b">
        <v>1</v>
      </c>
      <c r="L1514" s="10" t="s">
        <v>124</v>
      </c>
      <c r="M1514" s="10" t="s">
        <v>91</v>
      </c>
      <c r="N1514" s="10" t="s">
        <v>92</v>
      </c>
      <c r="O1514" s="19" t="s">
        <v>11407</v>
      </c>
      <c r="P1514" s="10"/>
      <c r="Q1514" s="10" t="s">
        <v>126</v>
      </c>
      <c r="R1514" s="10"/>
      <c r="S1514" s="19" t="s">
        <v>11408</v>
      </c>
      <c r="T1514" s="10"/>
      <c r="U1514" s="10" t="s">
        <v>3259</v>
      </c>
      <c r="V1514" s="10" t="s">
        <v>11409</v>
      </c>
      <c r="W1514" s="10" t="s">
        <v>3569</v>
      </c>
      <c r="X1514" s="10" t="s">
        <v>130</v>
      </c>
      <c r="Y1514" s="10" t="s">
        <v>130</v>
      </c>
      <c r="Z1514" s="10" t="s">
        <v>99</v>
      </c>
      <c r="AA1514" s="10" t="s">
        <v>131</v>
      </c>
      <c r="AB1514" s="10" t="s">
        <v>3570</v>
      </c>
      <c r="AC1514" s="10" t="s">
        <v>3571</v>
      </c>
      <c r="AD1514" s="10" t="s">
        <v>11410</v>
      </c>
      <c r="AE1514" s="10" t="s">
        <v>11411</v>
      </c>
      <c r="AF1514" s="15"/>
      <c r="AG1514" s="10"/>
      <c r="AH1514" s="10"/>
      <c r="AI1514" s="10"/>
      <c r="AJ1514" s="10"/>
      <c r="AK1514" s="10" t="s">
        <v>102</v>
      </c>
      <c r="AL1514" s="10" t="s">
        <v>7897</v>
      </c>
      <c r="AM1514" s="10"/>
      <c r="AN1514" s="10"/>
      <c r="AO1514" s="13" t="b">
        <v>1</v>
      </c>
      <c r="AP1514" s="10" t="s">
        <v>104</v>
      </c>
      <c r="AQ1514" s="10">
        <f ca="1">IFERROR(__xludf.DUMMYFUNCTION("""COMPUTED_VALUE"""),4569131)</f>
        <v>4569131</v>
      </c>
      <c r="AR1514" s="17">
        <v>50847</v>
      </c>
      <c r="AS1514" s="17">
        <v>31975</v>
      </c>
      <c r="AT1514" s="17">
        <v>984346.5</v>
      </c>
      <c r="AU1514" s="17">
        <v>320.60000000000002</v>
      </c>
      <c r="AV1514" s="17">
        <v>129.65</v>
      </c>
      <c r="AW1514" s="10" t="s">
        <v>105</v>
      </c>
      <c r="AX1514" s="17">
        <v>11781</v>
      </c>
      <c r="AY1514" s="18">
        <v>30.784878811571541</v>
      </c>
      <c r="AZ1514" s="10" t="s">
        <v>168</v>
      </c>
      <c r="BA1514" s="20" t="b">
        <v>0</v>
      </c>
      <c r="BB1514" s="10"/>
      <c r="BC1514" s="17">
        <v>50847</v>
      </c>
      <c r="BD1514" s="17">
        <v>31975</v>
      </c>
      <c r="BE1514" s="17">
        <v>984346.5</v>
      </c>
      <c r="BF1514" s="17">
        <v>129.65</v>
      </c>
      <c r="BG1514" s="11">
        <f ca="1">IFERROR(__xludf.DUMMYFUNCTION("""COMPUTED_VALUE"""),45917.0833333333)</f>
        <v>45917.083333333299</v>
      </c>
      <c r="BH1514" s="17" t="s">
        <v>105</v>
      </c>
      <c r="BI1514" s="17"/>
      <c r="BJ1514" s="15"/>
      <c r="BK1514" s="15"/>
      <c r="BL1514" s="13" t="b">
        <v>0</v>
      </c>
      <c r="BM1514" s="10"/>
      <c r="BN1514" s="10" t="s">
        <v>667</v>
      </c>
      <c r="BO1514" s="11">
        <v>45904.299305555556</v>
      </c>
      <c r="BP1514" s="11">
        <v>45908.701192129629</v>
      </c>
      <c r="BQ1514" s="15">
        <v>45912.774895833332</v>
      </c>
      <c r="BR1514" s="15">
        <v>45913.582858796297</v>
      </c>
      <c r="BS1514" s="10" t="s">
        <v>667</v>
      </c>
      <c r="BT1514" s="10" t="s">
        <v>99</v>
      </c>
      <c r="BU1514" s="10" t="s">
        <v>11412</v>
      </c>
      <c r="BV1514" s="10"/>
      <c r="BW1514" s="10"/>
      <c r="BX1514" s="10"/>
      <c r="BY1514" s="23"/>
      <c r="BZ1514" s="23"/>
      <c r="CA1514" s="19" t="s">
        <v>11413</v>
      </c>
      <c r="CB1514" s="23"/>
      <c r="CC1514" s="23"/>
      <c r="CD1514" s="19" t="s">
        <v>11414</v>
      </c>
      <c r="CE1514" s="23"/>
      <c r="CF1514" s="23"/>
      <c r="CG1514" s="23"/>
      <c r="CH1514" s="23"/>
      <c r="CI1514" s="23"/>
    </row>
    <row r="1515" spans="1:87" x14ac:dyDescent="0.3">
      <c r="A1515" s="9" t="s">
        <v>11415</v>
      </c>
      <c r="B1515" s="10" t="s">
        <v>11416</v>
      </c>
      <c r="C1515" s="11">
        <v>45917.083333333336</v>
      </c>
      <c r="D1515" s="12">
        <v>8.3333333333333329E-2</v>
      </c>
      <c r="E1515" s="11">
        <v>45917.166666666664</v>
      </c>
      <c r="F1515" s="10" t="s">
        <v>3563</v>
      </c>
      <c r="G1515" s="13" t="b">
        <v>0</v>
      </c>
      <c r="H1515" s="10" t="s">
        <v>5239</v>
      </c>
      <c r="I1515" s="10" t="s">
        <v>89</v>
      </c>
      <c r="J1515" s="13" t="b">
        <v>0</v>
      </c>
      <c r="K1515" s="13" t="b">
        <v>1</v>
      </c>
      <c r="L1515" s="10" t="s">
        <v>124</v>
      </c>
      <c r="M1515" s="10" t="s">
        <v>91</v>
      </c>
      <c r="N1515" s="10" t="s">
        <v>92</v>
      </c>
      <c r="O1515" s="19" t="s">
        <v>11417</v>
      </c>
      <c r="P1515" s="10"/>
      <c r="Q1515" s="10" t="s">
        <v>94</v>
      </c>
      <c r="R1515" s="10"/>
      <c r="S1515" s="19" t="s">
        <v>11418</v>
      </c>
      <c r="T1515" s="10"/>
      <c r="U1515" s="10" t="s">
        <v>3582</v>
      </c>
      <c r="V1515" s="10" t="s">
        <v>3599</v>
      </c>
      <c r="W1515" s="10" t="s">
        <v>3569</v>
      </c>
      <c r="X1515" s="10" t="s">
        <v>130</v>
      </c>
      <c r="Y1515" s="10" t="s">
        <v>130</v>
      </c>
      <c r="Z1515" s="10" t="s">
        <v>99</v>
      </c>
      <c r="AA1515" s="10" t="s">
        <v>131</v>
      </c>
      <c r="AB1515" s="10" t="s">
        <v>3570</v>
      </c>
      <c r="AC1515" s="10" t="s">
        <v>3571</v>
      </c>
      <c r="AD1515" s="10" t="s">
        <v>11419</v>
      </c>
      <c r="AE1515" s="10" t="s">
        <v>11420</v>
      </c>
      <c r="AF1515" s="15"/>
      <c r="AG1515" s="10"/>
      <c r="AH1515" s="10"/>
      <c r="AI1515" s="10"/>
      <c r="AJ1515" s="10"/>
      <c r="AK1515" s="10" t="s">
        <v>102</v>
      </c>
      <c r="AL1515" s="10" t="s">
        <v>7897</v>
      </c>
      <c r="AM1515" s="10"/>
      <c r="AN1515" s="10"/>
      <c r="AO1515" s="13" t="b">
        <v>0</v>
      </c>
      <c r="AP1515" s="10" t="s">
        <v>104</v>
      </c>
      <c r="AQ1515" s="10">
        <f ca="1">IFERROR(__xludf.DUMMYFUNCTION("""COMPUTED_VALUE"""),4569130)</f>
        <v>4569130</v>
      </c>
      <c r="AR1515" s="17">
        <v>9658</v>
      </c>
      <c r="AS1515" s="17">
        <v>6148</v>
      </c>
      <c r="AT1515" s="17">
        <v>40319</v>
      </c>
      <c r="AU1515" s="17">
        <v>17.2</v>
      </c>
      <c r="AV1515" s="17">
        <v>4</v>
      </c>
      <c r="AW1515" s="10" t="s">
        <v>105</v>
      </c>
      <c r="AX1515" s="17">
        <v>1031</v>
      </c>
      <c r="AY1515" s="18">
        <v>6.5580676642810669</v>
      </c>
      <c r="AZ1515" s="10" t="s">
        <v>168</v>
      </c>
      <c r="BA1515" s="20" t="b">
        <v>0</v>
      </c>
      <c r="BB1515" s="10"/>
      <c r="BC1515" s="17">
        <v>9658</v>
      </c>
      <c r="BD1515" s="17">
        <v>6148</v>
      </c>
      <c r="BE1515" s="17">
        <v>40319</v>
      </c>
      <c r="BF1515" s="17">
        <v>4</v>
      </c>
      <c r="BG1515" s="11">
        <f ca="1">IFERROR(__xludf.DUMMYFUNCTION("""COMPUTED_VALUE"""),45917.0833333333)</f>
        <v>45917.083333333299</v>
      </c>
      <c r="BH1515" s="17" t="s">
        <v>105</v>
      </c>
      <c r="BI1515" s="17"/>
      <c r="BJ1515" s="15"/>
      <c r="BK1515" s="15"/>
      <c r="BL1515" s="13" t="b">
        <v>0</v>
      </c>
      <c r="BM1515" s="10"/>
      <c r="BN1515" s="10" t="s">
        <v>667</v>
      </c>
      <c r="BO1515" s="11">
        <v>45904.299305555556</v>
      </c>
      <c r="BP1515" s="11">
        <v>45908.701423611114</v>
      </c>
      <c r="BQ1515" s="15">
        <v>45912.774386574078</v>
      </c>
      <c r="BR1515" s="15">
        <v>45913.582719907405</v>
      </c>
      <c r="BS1515" s="10" t="s">
        <v>667</v>
      </c>
      <c r="BT1515" s="10" t="s">
        <v>99</v>
      </c>
      <c r="BU1515" s="10" t="s">
        <v>498</v>
      </c>
      <c r="BV1515" s="10"/>
      <c r="BW1515" s="10"/>
      <c r="BX1515" s="10"/>
      <c r="BY1515" s="23"/>
      <c r="BZ1515" s="23"/>
      <c r="CA1515" s="19" t="s">
        <v>11421</v>
      </c>
      <c r="CB1515" s="23"/>
      <c r="CC1515" s="23"/>
      <c r="CD1515" s="23"/>
      <c r="CE1515" s="23"/>
      <c r="CF1515" s="23"/>
      <c r="CG1515" s="23"/>
      <c r="CH1515" s="23"/>
      <c r="CI1515" s="23"/>
    </row>
    <row r="1516" spans="1:87" x14ac:dyDescent="0.3">
      <c r="A1516" s="9" t="s">
        <v>11422</v>
      </c>
      <c r="B1516" s="10" t="s">
        <v>11423</v>
      </c>
      <c r="C1516" s="11">
        <v>45917.083333333336</v>
      </c>
      <c r="D1516" s="12">
        <v>8.3333333333333329E-2</v>
      </c>
      <c r="E1516" s="11">
        <v>45917.166666666664</v>
      </c>
      <c r="F1516" s="10" t="s">
        <v>3563</v>
      </c>
      <c r="G1516" s="13" t="b">
        <v>0</v>
      </c>
      <c r="H1516" s="10" t="s">
        <v>3564</v>
      </c>
      <c r="I1516" s="10" t="s">
        <v>89</v>
      </c>
      <c r="J1516" s="13" t="b">
        <v>0</v>
      </c>
      <c r="K1516" s="13" t="b">
        <v>1</v>
      </c>
      <c r="L1516" s="10" t="s">
        <v>124</v>
      </c>
      <c r="M1516" s="10" t="s">
        <v>91</v>
      </c>
      <c r="N1516" s="10" t="s">
        <v>92</v>
      </c>
      <c r="O1516" s="19" t="s">
        <v>11424</v>
      </c>
      <c r="P1516" s="10"/>
      <c r="Q1516" s="10" t="s">
        <v>126</v>
      </c>
      <c r="R1516" s="10"/>
      <c r="S1516" s="19" t="s">
        <v>11425</v>
      </c>
      <c r="T1516" s="10"/>
      <c r="U1516" s="10" t="s">
        <v>429</v>
      </c>
      <c r="V1516" s="10" t="s">
        <v>5018</v>
      </c>
      <c r="W1516" s="10" t="s">
        <v>3569</v>
      </c>
      <c r="X1516" s="10" t="s">
        <v>130</v>
      </c>
      <c r="Y1516" s="10" t="s">
        <v>130</v>
      </c>
      <c r="Z1516" s="10" t="s">
        <v>99</v>
      </c>
      <c r="AA1516" s="10" t="s">
        <v>131</v>
      </c>
      <c r="AB1516" s="10" t="s">
        <v>3570</v>
      </c>
      <c r="AC1516" s="10" t="s">
        <v>3571</v>
      </c>
      <c r="AD1516" s="10" t="s">
        <v>11426</v>
      </c>
      <c r="AE1516" s="10" t="s">
        <v>11427</v>
      </c>
      <c r="AF1516" s="15"/>
      <c r="AG1516" s="10"/>
      <c r="AH1516" s="10"/>
      <c r="AI1516" s="10"/>
      <c r="AJ1516" s="10"/>
      <c r="AK1516" s="10" t="s">
        <v>102</v>
      </c>
      <c r="AL1516" s="10" t="s">
        <v>7897</v>
      </c>
      <c r="AM1516" s="10"/>
      <c r="AN1516" s="10"/>
      <c r="AO1516" s="13" t="b">
        <v>0</v>
      </c>
      <c r="AP1516" s="10" t="s">
        <v>104</v>
      </c>
      <c r="AQ1516" s="10">
        <f ca="1">IFERROR(__xludf.DUMMYFUNCTION("""COMPUTED_VALUE"""),4569133)</f>
        <v>4569133</v>
      </c>
      <c r="AR1516" s="17">
        <v>22950</v>
      </c>
      <c r="AS1516" s="17">
        <v>14981</v>
      </c>
      <c r="AT1516" s="17">
        <v>239949.25</v>
      </c>
      <c r="AU1516" s="17">
        <v>109.55</v>
      </c>
      <c r="AV1516" s="17">
        <v>22.1</v>
      </c>
      <c r="AW1516" s="10" t="s">
        <v>105</v>
      </c>
      <c r="AX1516" s="17">
        <v>3516</v>
      </c>
      <c r="AY1516" s="18">
        <v>16.016904746011615</v>
      </c>
      <c r="AZ1516" s="10" t="s">
        <v>168</v>
      </c>
      <c r="BA1516" s="20" t="b">
        <v>0</v>
      </c>
      <c r="BB1516" s="10"/>
      <c r="BC1516" s="17">
        <v>22950</v>
      </c>
      <c r="BD1516" s="17">
        <v>14981</v>
      </c>
      <c r="BE1516" s="17">
        <v>239949.25</v>
      </c>
      <c r="BF1516" s="17">
        <v>22.1</v>
      </c>
      <c r="BG1516" s="11">
        <f ca="1">IFERROR(__xludf.DUMMYFUNCTION("""COMPUTED_VALUE"""),45917.0833333333)</f>
        <v>45917.083333333299</v>
      </c>
      <c r="BH1516" s="17" t="s">
        <v>105</v>
      </c>
      <c r="BI1516" s="17"/>
      <c r="BJ1516" s="15"/>
      <c r="BK1516" s="15"/>
      <c r="BL1516" s="13" t="b">
        <v>0</v>
      </c>
      <c r="BM1516" s="10"/>
      <c r="BN1516" s="10" t="s">
        <v>667</v>
      </c>
      <c r="BO1516" s="11">
        <v>45904.299305555556</v>
      </c>
      <c r="BP1516" s="11">
        <v>45908.701793981483</v>
      </c>
      <c r="BQ1516" s="15">
        <v>45912.775509259256</v>
      </c>
      <c r="BR1516" s="15">
        <v>45913.583148148151</v>
      </c>
      <c r="BS1516" s="10" t="s">
        <v>667</v>
      </c>
      <c r="BT1516" s="10" t="s">
        <v>99</v>
      </c>
      <c r="BU1516" s="10" t="s">
        <v>11428</v>
      </c>
      <c r="BV1516" s="10"/>
      <c r="BW1516" s="10"/>
      <c r="BX1516" s="10"/>
      <c r="BY1516" s="23"/>
      <c r="BZ1516" s="23"/>
      <c r="CA1516" s="19" t="s">
        <v>11429</v>
      </c>
      <c r="CB1516" s="23"/>
      <c r="CC1516" s="23"/>
      <c r="CD1516" s="19" t="s">
        <v>11430</v>
      </c>
      <c r="CE1516" s="23"/>
      <c r="CF1516" s="23"/>
      <c r="CG1516" s="23"/>
      <c r="CH1516" s="23"/>
      <c r="CI1516" s="23"/>
    </row>
    <row r="1517" spans="1:87" x14ac:dyDescent="0.3">
      <c r="A1517" s="9" t="s">
        <v>11431</v>
      </c>
      <c r="B1517" s="10" t="s">
        <v>11432</v>
      </c>
      <c r="C1517" s="11">
        <v>45917.083333333336</v>
      </c>
      <c r="D1517" s="12">
        <v>8.3333333333333329E-2</v>
      </c>
      <c r="E1517" s="11">
        <v>45917.166666666664</v>
      </c>
      <c r="F1517" s="10" t="s">
        <v>3563</v>
      </c>
      <c r="G1517" s="13" t="b">
        <v>0</v>
      </c>
      <c r="H1517" s="10" t="s">
        <v>3578</v>
      </c>
      <c r="I1517" s="10" t="s">
        <v>89</v>
      </c>
      <c r="J1517" s="13" t="b">
        <v>0</v>
      </c>
      <c r="K1517" s="13" t="b">
        <v>1</v>
      </c>
      <c r="L1517" s="10" t="s">
        <v>124</v>
      </c>
      <c r="M1517" s="10" t="s">
        <v>91</v>
      </c>
      <c r="N1517" s="10" t="s">
        <v>92</v>
      </c>
      <c r="O1517" s="19" t="s">
        <v>11433</v>
      </c>
      <c r="P1517" s="10"/>
      <c r="Q1517" s="10" t="s">
        <v>126</v>
      </c>
      <c r="R1517" s="10"/>
      <c r="S1517" s="19" t="s">
        <v>11434</v>
      </c>
      <c r="T1517" s="10"/>
      <c r="U1517" s="10" t="s">
        <v>5113</v>
      </c>
      <c r="V1517" s="10" t="s">
        <v>11435</v>
      </c>
      <c r="W1517" s="10" t="s">
        <v>3569</v>
      </c>
      <c r="X1517" s="10" t="s">
        <v>130</v>
      </c>
      <c r="Y1517" s="10" t="s">
        <v>130</v>
      </c>
      <c r="Z1517" s="10" t="s">
        <v>99</v>
      </c>
      <c r="AA1517" s="10" t="s">
        <v>131</v>
      </c>
      <c r="AB1517" s="10" t="s">
        <v>3570</v>
      </c>
      <c r="AC1517" s="10" t="s">
        <v>3571</v>
      </c>
      <c r="AD1517" s="10" t="s">
        <v>11436</v>
      </c>
      <c r="AE1517" s="10" t="s">
        <v>11437</v>
      </c>
      <c r="AF1517" s="15"/>
      <c r="AG1517" s="10"/>
      <c r="AH1517" s="10"/>
      <c r="AI1517" s="10"/>
      <c r="AJ1517" s="10"/>
      <c r="AK1517" s="10" t="s">
        <v>102</v>
      </c>
      <c r="AL1517" s="10" t="s">
        <v>7897</v>
      </c>
      <c r="AM1517" s="10"/>
      <c r="AN1517" s="10"/>
      <c r="AO1517" s="13" t="b">
        <v>1</v>
      </c>
      <c r="AP1517" s="10" t="s">
        <v>104</v>
      </c>
      <c r="AQ1517" s="10">
        <f ca="1">IFERROR(__xludf.DUMMYFUNCTION("""COMPUTED_VALUE"""),4569132)</f>
        <v>4569132</v>
      </c>
      <c r="AR1517" s="17">
        <v>145942</v>
      </c>
      <c r="AS1517" s="17">
        <v>81933</v>
      </c>
      <c r="AT1517" s="17">
        <v>5010063.5</v>
      </c>
      <c r="AU1517" s="17">
        <v>1783.5</v>
      </c>
      <c r="AV1517" s="17">
        <v>729.45</v>
      </c>
      <c r="AW1517" s="10" t="s">
        <v>105</v>
      </c>
      <c r="AX1517" s="17">
        <v>52768</v>
      </c>
      <c r="AY1517" s="18">
        <v>61.148297999585026</v>
      </c>
      <c r="AZ1517" s="10" t="s">
        <v>168</v>
      </c>
      <c r="BA1517" s="20" t="b">
        <v>0</v>
      </c>
      <c r="BB1517" s="10"/>
      <c r="BC1517" s="17">
        <v>145942</v>
      </c>
      <c r="BD1517" s="17">
        <v>81933</v>
      </c>
      <c r="BE1517" s="17">
        <v>5010063.5</v>
      </c>
      <c r="BF1517" s="17">
        <v>729.45</v>
      </c>
      <c r="BG1517" s="11">
        <f ca="1">IFERROR(__xludf.DUMMYFUNCTION("""COMPUTED_VALUE"""),45917.0833333333)</f>
        <v>45917.083333333299</v>
      </c>
      <c r="BH1517" s="17" t="s">
        <v>105</v>
      </c>
      <c r="BI1517" s="17"/>
      <c r="BJ1517" s="15"/>
      <c r="BK1517" s="15"/>
      <c r="BL1517" s="13" t="b">
        <v>0</v>
      </c>
      <c r="BM1517" s="10"/>
      <c r="BN1517" s="10" t="s">
        <v>667</v>
      </c>
      <c r="BO1517" s="11">
        <v>45904.299305555556</v>
      </c>
      <c r="BP1517" s="11">
        <v>45908.701944444445</v>
      </c>
      <c r="BQ1517" s="15">
        <v>45912.775254629632</v>
      </c>
      <c r="BR1517" s="15">
        <v>45913.582997685182</v>
      </c>
      <c r="BS1517" s="10" t="s">
        <v>667</v>
      </c>
      <c r="BT1517" s="10" t="s">
        <v>99</v>
      </c>
      <c r="BU1517" s="10" t="s">
        <v>11438</v>
      </c>
      <c r="BV1517" s="10" t="s">
        <v>124</v>
      </c>
      <c r="BW1517" s="10"/>
      <c r="BX1517" s="19" t="s">
        <v>11439</v>
      </c>
      <c r="BY1517" s="23"/>
      <c r="BZ1517" s="23"/>
      <c r="CA1517" s="19" t="s">
        <v>11440</v>
      </c>
      <c r="CB1517" s="23"/>
      <c r="CC1517" s="23"/>
      <c r="CD1517" s="19" t="s">
        <v>11441</v>
      </c>
      <c r="CE1517" s="23"/>
      <c r="CF1517" s="23"/>
      <c r="CG1517" s="23"/>
      <c r="CH1517" s="23"/>
      <c r="CI1517" s="23"/>
    </row>
    <row r="1518" spans="1:87" x14ac:dyDescent="0.3">
      <c r="A1518" s="9" t="s">
        <v>11442</v>
      </c>
      <c r="B1518" s="10" t="s">
        <v>11443</v>
      </c>
      <c r="C1518" s="11">
        <v>45917.989583333336</v>
      </c>
      <c r="D1518" s="12">
        <v>8.3333333333333329E-2</v>
      </c>
      <c r="E1518" s="11">
        <v>45918.072916666664</v>
      </c>
      <c r="F1518" s="10" t="s">
        <v>3563</v>
      </c>
      <c r="G1518" s="13" t="b">
        <v>0</v>
      </c>
      <c r="H1518" s="10" t="s">
        <v>3578</v>
      </c>
      <c r="I1518" s="10" t="s">
        <v>89</v>
      </c>
      <c r="J1518" s="13" t="b">
        <v>0</v>
      </c>
      <c r="K1518" s="13" t="b">
        <v>1</v>
      </c>
      <c r="L1518" s="10" t="s">
        <v>124</v>
      </c>
      <c r="M1518" s="10" t="s">
        <v>91</v>
      </c>
      <c r="N1518" s="10" t="s">
        <v>92</v>
      </c>
      <c r="O1518" s="19" t="s">
        <v>11444</v>
      </c>
      <c r="P1518" s="10"/>
      <c r="Q1518" s="10" t="s">
        <v>94</v>
      </c>
      <c r="R1518" s="10"/>
      <c r="S1518" s="19" t="s">
        <v>11445</v>
      </c>
      <c r="T1518" s="10"/>
      <c r="U1518" s="10" t="s">
        <v>11446</v>
      </c>
      <c r="V1518" s="10" t="s">
        <v>3590</v>
      </c>
      <c r="W1518" s="10" t="s">
        <v>3569</v>
      </c>
      <c r="X1518" s="10" t="s">
        <v>130</v>
      </c>
      <c r="Y1518" s="10" t="s">
        <v>130</v>
      </c>
      <c r="Z1518" s="10" t="s">
        <v>99</v>
      </c>
      <c r="AA1518" s="10" t="s">
        <v>131</v>
      </c>
      <c r="AB1518" s="10" t="s">
        <v>3570</v>
      </c>
      <c r="AC1518" s="10" t="s">
        <v>3571</v>
      </c>
      <c r="AD1518" s="10" t="s">
        <v>11447</v>
      </c>
      <c r="AE1518" s="10" t="s">
        <v>11448</v>
      </c>
      <c r="AF1518" s="15"/>
      <c r="AG1518" s="10"/>
      <c r="AH1518" s="10"/>
      <c r="AI1518" s="10"/>
      <c r="AJ1518" s="10"/>
      <c r="AK1518" s="10" t="s">
        <v>102</v>
      </c>
      <c r="AL1518" s="10" t="s">
        <v>7897</v>
      </c>
      <c r="AM1518" s="10"/>
      <c r="AN1518" s="10"/>
      <c r="AO1518" s="13" t="b">
        <v>0</v>
      </c>
      <c r="AP1518" s="10" t="s">
        <v>104</v>
      </c>
      <c r="AQ1518" s="10">
        <f ca="1">IFERROR(__xludf.DUMMYFUNCTION("""COMPUTED_VALUE"""),4569134)</f>
        <v>4569134</v>
      </c>
      <c r="AR1518" s="17">
        <v>5730</v>
      </c>
      <c r="AS1518" s="17">
        <v>5042</v>
      </c>
      <c r="AT1518" s="17">
        <v>32043</v>
      </c>
      <c r="AU1518" s="17">
        <v>183.6</v>
      </c>
      <c r="AV1518" s="17">
        <v>32.85</v>
      </c>
      <c r="AW1518" s="10" t="s">
        <v>105</v>
      </c>
      <c r="AX1518" s="17">
        <v>6408</v>
      </c>
      <c r="AY1518" s="18">
        <v>6.3552161840539467</v>
      </c>
      <c r="AZ1518" s="10" t="s">
        <v>168</v>
      </c>
      <c r="BA1518" s="20" t="b">
        <v>0</v>
      </c>
      <c r="BB1518" s="10"/>
      <c r="BC1518" s="17">
        <v>5730</v>
      </c>
      <c r="BD1518" s="17">
        <v>5042</v>
      </c>
      <c r="BE1518" s="17">
        <v>32043</v>
      </c>
      <c r="BF1518" s="17">
        <v>32.85</v>
      </c>
      <c r="BG1518" s="11">
        <f ca="1">IFERROR(__xludf.DUMMYFUNCTION("""COMPUTED_VALUE"""),45917.9895833333)</f>
        <v>45917.989583333299</v>
      </c>
      <c r="BH1518" s="17" t="s">
        <v>105</v>
      </c>
      <c r="BI1518" s="17"/>
      <c r="BJ1518" s="15"/>
      <c r="BK1518" s="15"/>
      <c r="BL1518" s="13" t="b">
        <v>0</v>
      </c>
      <c r="BM1518" s="10"/>
      <c r="BN1518" s="10" t="s">
        <v>667</v>
      </c>
      <c r="BO1518" s="11">
        <v>45904.299305555556</v>
      </c>
      <c r="BP1518" s="11">
        <v>45908.702337962961</v>
      </c>
      <c r="BQ1518" s="15">
        <v>45912.775960648149</v>
      </c>
      <c r="BR1518" s="15">
        <v>45913.583298611113</v>
      </c>
      <c r="BS1518" s="10" t="s">
        <v>667</v>
      </c>
      <c r="BT1518" s="10" t="s">
        <v>99</v>
      </c>
      <c r="BU1518" s="10" t="s">
        <v>11438</v>
      </c>
      <c r="BV1518" s="10"/>
      <c r="BW1518" s="10"/>
      <c r="BX1518" s="10"/>
      <c r="BY1518" s="23"/>
      <c r="BZ1518" s="23"/>
      <c r="CA1518" s="19" t="s">
        <v>11449</v>
      </c>
      <c r="CB1518" s="23"/>
      <c r="CC1518" s="23"/>
      <c r="CD1518" s="23"/>
      <c r="CE1518" s="23"/>
      <c r="CF1518" s="23"/>
      <c r="CG1518" s="23"/>
      <c r="CH1518" s="23"/>
      <c r="CI1518" s="23"/>
    </row>
    <row r="1519" spans="1:87" x14ac:dyDescent="0.3">
      <c r="A1519" s="9" t="s">
        <v>11450</v>
      </c>
      <c r="B1519" s="10" t="s">
        <v>11451</v>
      </c>
      <c r="C1519" s="11">
        <v>45917.989583333336</v>
      </c>
      <c r="D1519" s="12">
        <v>8.3333333333333329E-2</v>
      </c>
      <c r="E1519" s="11">
        <v>45918.072916666664</v>
      </c>
      <c r="F1519" s="10" t="s">
        <v>3563</v>
      </c>
      <c r="G1519" s="13" t="b">
        <v>0</v>
      </c>
      <c r="H1519" s="10" t="s">
        <v>3564</v>
      </c>
      <c r="I1519" s="10" t="s">
        <v>89</v>
      </c>
      <c r="J1519" s="13" t="b">
        <v>0</v>
      </c>
      <c r="K1519" s="13" t="b">
        <v>1</v>
      </c>
      <c r="L1519" s="10" t="s">
        <v>124</v>
      </c>
      <c r="M1519" s="10" t="s">
        <v>91</v>
      </c>
      <c r="N1519" s="10" t="s">
        <v>92</v>
      </c>
      <c r="O1519" s="19" t="s">
        <v>11452</v>
      </c>
      <c r="P1519" s="10"/>
      <c r="Q1519" s="10" t="s">
        <v>94</v>
      </c>
      <c r="R1519" s="10"/>
      <c r="S1519" s="19" t="s">
        <v>11453</v>
      </c>
      <c r="T1519" s="10"/>
      <c r="U1519" s="10" t="s">
        <v>11454</v>
      </c>
      <c r="V1519" s="10" t="s">
        <v>8556</v>
      </c>
      <c r="W1519" s="10" t="s">
        <v>3569</v>
      </c>
      <c r="X1519" s="10" t="s">
        <v>130</v>
      </c>
      <c r="Y1519" s="10" t="s">
        <v>130</v>
      </c>
      <c r="Z1519" s="10" t="s">
        <v>99</v>
      </c>
      <c r="AA1519" s="10" t="s">
        <v>131</v>
      </c>
      <c r="AB1519" s="10" t="s">
        <v>3570</v>
      </c>
      <c r="AC1519" s="10" t="s">
        <v>3571</v>
      </c>
      <c r="AD1519" s="10" t="s">
        <v>11455</v>
      </c>
      <c r="AE1519" s="10" t="s">
        <v>11456</v>
      </c>
      <c r="AF1519" s="15"/>
      <c r="AG1519" s="10"/>
      <c r="AH1519" s="10"/>
      <c r="AI1519" s="10"/>
      <c r="AJ1519" s="10"/>
      <c r="AK1519" s="10" t="s">
        <v>102</v>
      </c>
      <c r="AL1519" s="10" t="s">
        <v>7897</v>
      </c>
      <c r="AM1519" s="10"/>
      <c r="AN1519" s="10"/>
      <c r="AO1519" s="13" t="b">
        <v>0</v>
      </c>
      <c r="AP1519" s="10" t="s">
        <v>104</v>
      </c>
      <c r="AQ1519" s="10">
        <f ca="1">IFERROR(__xludf.DUMMYFUNCTION("""COMPUTED_VALUE"""),4569135)</f>
        <v>4569135</v>
      </c>
      <c r="AR1519" s="17">
        <v>4225</v>
      </c>
      <c r="AS1519" s="17">
        <v>3698</v>
      </c>
      <c r="AT1519" s="17">
        <v>19413.25</v>
      </c>
      <c r="AU1519" s="17">
        <v>167.8</v>
      </c>
      <c r="AV1519" s="17">
        <v>33.049999999999997</v>
      </c>
      <c r="AW1519" s="10" t="s">
        <v>105</v>
      </c>
      <c r="AX1519" s="17">
        <v>6680</v>
      </c>
      <c r="AY1519" s="18">
        <v>5.2496619794483506</v>
      </c>
      <c r="AZ1519" s="10" t="s">
        <v>168</v>
      </c>
      <c r="BA1519" s="20" t="b">
        <v>0</v>
      </c>
      <c r="BB1519" s="10"/>
      <c r="BC1519" s="17">
        <v>4225</v>
      </c>
      <c r="BD1519" s="17">
        <v>3698</v>
      </c>
      <c r="BE1519" s="17">
        <v>19413.25</v>
      </c>
      <c r="BF1519" s="17">
        <v>33.049999999999997</v>
      </c>
      <c r="BG1519" s="11">
        <f ca="1">IFERROR(__xludf.DUMMYFUNCTION("""COMPUTED_VALUE"""),45917.9895833333)</f>
        <v>45917.989583333299</v>
      </c>
      <c r="BH1519" s="17" t="s">
        <v>105</v>
      </c>
      <c r="BI1519" s="17"/>
      <c r="BJ1519" s="15"/>
      <c r="BK1519" s="15"/>
      <c r="BL1519" s="13" t="b">
        <v>0</v>
      </c>
      <c r="BM1519" s="10"/>
      <c r="BN1519" s="10" t="s">
        <v>667</v>
      </c>
      <c r="BO1519" s="11">
        <v>45904.299305555556</v>
      </c>
      <c r="BP1519" s="11">
        <v>45908.702511574076</v>
      </c>
      <c r="BQ1519" s="15">
        <v>45912.775752314818</v>
      </c>
      <c r="BR1519" s="15">
        <v>45913.587905092594</v>
      </c>
      <c r="BS1519" s="10" t="s">
        <v>667</v>
      </c>
      <c r="BT1519" s="10" t="s">
        <v>99</v>
      </c>
      <c r="BU1519" s="10" t="s">
        <v>11428</v>
      </c>
      <c r="BV1519" s="10"/>
      <c r="BW1519" s="10"/>
      <c r="BX1519" s="10"/>
      <c r="BY1519" s="23"/>
      <c r="BZ1519" s="23"/>
      <c r="CA1519" s="19" t="s">
        <v>11457</v>
      </c>
      <c r="CB1519" s="23"/>
      <c r="CC1519" s="23"/>
      <c r="CD1519" s="23"/>
      <c r="CE1519" s="23"/>
      <c r="CF1519" s="23"/>
      <c r="CG1519" s="23"/>
      <c r="CH1519" s="23"/>
      <c r="CI1519" s="23"/>
    </row>
    <row r="1520" spans="1:87" x14ac:dyDescent="0.3">
      <c r="A1520" s="9" t="s">
        <v>11458</v>
      </c>
      <c r="B1520" s="10" t="s">
        <v>11459</v>
      </c>
      <c r="C1520" s="11">
        <v>45918.083333333336</v>
      </c>
      <c r="D1520" s="12">
        <v>8.3333333333333329E-2</v>
      </c>
      <c r="E1520" s="11">
        <v>45918.166666666664</v>
      </c>
      <c r="F1520" s="10" t="s">
        <v>3563</v>
      </c>
      <c r="G1520" s="13" t="b">
        <v>0</v>
      </c>
      <c r="H1520" s="10" t="s">
        <v>11460</v>
      </c>
      <c r="I1520" s="10" t="s">
        <v>89</v>
      </c>
      <c r="J1520" s="13" t="b">
        <v>0</v>
      </c>
      <c r="K1520" s="13" t="b">
        <v>1</v>
      </c>
      <c r="L1520" s="10" t="s">
        <v>124</v>
      </c>
      <c r="M1520" s="10" t="s">
        <v>91</v>
      </c>
      <c r="N1520" s="10" t="s">
        <v>92</v>
      </c>
      <c r="O1520" s="19" t="s">
        <v>11461</v>
      </c>
      <c r="P1520" s="10"/>
      <c r="Q1520" s="10" t="s">
        <v>126</v>
      </c>
      <c r="R1520" s="10"/>
      <c r="S1520" s="19" t="s">
        <v>11462</v>
      </c>
      <c r="T1520" s="10"/>
      <c r="U1520" s="10" t="s">
        <v>11463</v>
      </c>
      <c r="V1520" s="10" t="s">
        <v>346</v>
      </c>
      <c r="W1520" s="10" t="s">
        <v>3569</v>
      </c>
      <c r="X1520" s="10" t="s">
        <v>130</v>
      </c>
      <c r="Y1520" s="10" t="s">
        <v>130</v>
      </c>
      <c r="Z1520" s="10" t="s">
        <v>99</v>
      </c>
      <c r="AA1520" s="10" t="s">
        <v>131</v>
      </c>
      <c r="AB1520" s="10" t="s">
        <v>3570</v>
      </c>
      <c r="AC1520" s="10" t="s">
        <v>3571</v>
      </c>
      <c r="AD1520" s="10" t="s">
        <v>11464</v>
      </c>
      <c r="AE1520" s="10" t="s">
        <v>11465</v>
      </c>
      <c r="AF1520" s="15"/>
      <c r="AG1520" s="10"/>
      <c r="AH1520" s="10"/>
      <c r="AI1520" s="10"/>
      <c r="AJ1520" s="10"/>
      <c r="AK1520" s="10" t="s">
        <v>102</v>
      </c>
      <c r="AL1520" s="10" t="s">
        <v>7897</v>
      </c>
      <c r="AM1520" s="10"/>
      <c r="AN1520" s="10"/>
      <c r="AO1520" s="13" t="b">
        <v>1</v>
      </c>
      <c r="AP1520" s="10" t="s">
        <v>104</v>
      </c>
      <c r="AQ1520" s="10">
        <f ca="1">IFERROR(__xludf.DUMMYFUNCTION("""COMPUTED_VALUE"""),4569288)</f>
        <v>4569288</v>
      </c>
      <c r="AR1520" s="17">
        <v>151965</v>
      </c>
      <c r="AS1520" s="17">
        <v>80944</v>
      </c>
      <c r="AT1520" s="17">
        <v>2779986.5</v>
      </c>
      <c r="AU1520" s="17">
        <v>1845.45</v>
      </c>
      <c r="AV1520" s="17">
        <v>505.7</v>
      </c>
      <c r="AW1520" s="10" t="s">
        <v>105</v>
      </c>
      <c r="AX1520" s="17">
        <v>31199</v>
      </c>
      <c r="AY1520" s="18">
        <v>34.344565378533304</v>
      </c>
      <c r="AZ1520" s="10" t="s">
        <v>168</v>
      </c>
      <c r="BA1520" s="20" t="b">
        <v>0</v>
      </c>
      <c r="BB1520" s="10"/>
      <c r="BC1520" s="17">
        <v>151965</v>
      </c>
      <c r="BD1520" s="17">
        <v>80944</v>
      </c>
      <c r="BE1520" s="17">
        <v>2779986.5</v>
      </c>
      <c r="BF1520" s="17">
        <v>505.7</v>
      </c>
      <c r="BG1520" s="11">
        <f ca="1">IFERROR(__xludf.DUMMYFUNCTION("""COMPUTED_VALUE"""),45918.0833333333)</f>
        <v>45918.083333333299</v>
      </c>
      <c r="BH1520" s="17" t="s">
        <v>105</v>
      </c>
      <c r="BI1520" s="17"/>
      <c r="BJ1520" s="15"/>
      <c r="BK1520" s="15"/>
      <c r="BL1520" s="13" t="b">
        <v>0</v>
      </c>
      <c r="BM1520" s="10"/>
      <c r="BN1520" s="10" t="s">
        <v>1057</v>
      </c>
      <c r="BO1520" s="11">
        <v>45904.299305555556</v>
      </c>
      <c r="BP1520" s="11">
        <v>45909.782280092593</v>
      </c>
      <c r="BQ1520" s="15">
        <v>45912.836018518516</v>
      </c>
      <c r="BR1520" s="15">
        <v>45913.702881944446</v>
      </c>
      <c r="BS1520" s="10"/>
      <c r="BT1520" s="10" t="s">
        <v>279</v>
      </c>
      <c r="BU1520" s="10" t="s">
        <v>11412</v>
      </c>
      <c r="BV1520" s="10" t="s">
        <v>281</v>
      </c>
      <c r="BW1520" s="10" t="s">
        <v>11466</v>
      </c>
      <c r="BX1520" s="19" t="s">
        <v>11467</v>
      </c>
      <c r="BY1520" s="23"/>
      <c r="BZ1520" s="23"/>
      <c r="CA1520" s="19" t="s">
        <v>11468</v>
      </c>
      <c r="CB1520" s="23"/>
      <c r="CC1520" s="23"/>
      <c r="CD1520" s="19" t="s">
        <v>11469</v>
      </c>
      <c r="CE1520" s="23"/>
      <c r="CF1520" s="23"/>
      <c r="CG1520" s="23"/>
      <c r="CH1520" s="23"/>
      <c r="CI1520" s="23"/>
    </row>
    <row r="1521" spans="1:87" x14ac:dyDescent="0.3">
      <c r="A1521" s="9" t="s">
        <v>11470</v>
      </c>
      <c r="B1521" s="10" t="s">
        <v>11471</v>
      </c>
      <c r="C1521" s="11">
        <v>45918.083333333336</v>
      </c>
      <c r="D1521" s="12">
        <v>8.3333333333333329E-2</v>
      </c>
      <c r="E1521" s="11">
        <v>45918.166666666664</v>
      </c>
      <c r="F1521" s="10" t="s">
        <v>3563</v>
      </c>
      <c r="G1521" s="13" t="b">
        <v>0</v>
      </c>
      <c r="H1521" s="10" t="s">
        <v>3578</v>
      </c>
      <c r="I1521" s="10" t="s">
        <v>89</v>
      </c>
      <c r="J1521" s="13" t="b">
        <v>0</v>
      </c>
      <c r="K1521" s="13" t="b">
        <v>1</v>
      </c>
      <c r="L1521" s="10" t="s">
        <v>124</v>
      </c>
      <c r="M1521" s="10" t="s">
        <v>91</v>
      </c>
      <c r="N1521" s="10" t="s">
        <v>92</v>
      </c>
      <c r="O1521" s="19" t="s">
        <v>11472</v>
      </c>
      <c r="P1521" s="10"/>
      <c r="Q1521" s="10" t="s">
        <v>126</v>
      </c>
      <c r="R1521" s="10"/>
      <c r="S1521" s="19" t="s">
        <v>11473</v>
      </c>
      <c r="T1521" s="10"/>
      <c r="U1521" s="10" t="s">
        <v>11474</v>
      </c>
      <c r="V1521" s="10" t="s">
        <v>3308</v>
      </c>
      <c r="W1521" s="10" t="s">
        <v>3569</v>
      </c>
      <c r="X1521" s="10" t="s">
        <v>130</v>
      </c>
      <c r="Y1521" s="10" t="s">
        <v>130</v>
      </c>
      <c r="Z1521" s="10" t="s">
        <v>99</v>
      </c>
      <c r="AA1521" s="10" t="s">
        <v>131</v>
      </c>
      <c r="AB1521" s="10" t="s">
        <v>3570</v>
      </c>
      <c r="AC1521" s="10" t="s">
        <v>3571</v>
      </c>
      <c r="AD1521" s="10" t="s">
        <v>11475</v>
      </c>
      <c r="AE1521" s="10" t="s">
        <v>11476</v>
      </c>
      <c r="AF1521" s="15"/>
      <c r="AG1521" s="10"/>
      <c r="AH1521" s="10"/>
      <c r="AI1521" s="10"/>
      <c r="AJ1521" s="10"/>
      <c r="AK1521" s="10" t="s">
        <v>102</v>
      </c>
      <c r="AL1521" s="10" t="s">
        <v>7897</v>
      </c>
      <c r="AM1521" s="10"/>
      <c r="AN1521" s="10"/>
      <c r="AO1521" s="13" t="b">
        <v>1</v>
      </c>
      <c r="AP1521" s="10" t="s">
        <v>104</v>
      </c>
      <c r="AQ1521" s="10">
        <f ca="1">IFERROR(__xludf.DUMMYFUNCTION("""COMPUTED_VALUE"""),4569286)</f>
        <v>4569286</v>
      </c>
      <c r="AR1521" s="17">
        <v>32655</v>
      </c>
      <c r="AS1521" s="17">
        <v>20753</v>
      </c>
      <c r="AT1521" s="17">
        <v>150974</v>
      </c>
      <c r="AU1521" s="17">
        <v>37.75</v>
      </c>
      <c r="AV1521" s="17">
        <v>13.3</v>
      </c>
      <c r="AW1521" s="10" t="s">
        <v>105</v>
      </c>
      <c r="AX1521" s="17">
        <v>5406</v>
      </c>
      <c r="AY1521" s="18">
        <v>7.274803642846817</v>
      </c>
      <c r="AZ1521" s="10" t="s">
        <v>168</v>
      </c>
      <c r="BA1521" s="20" t="b">
        <v>0</v>
      </c>
      <c r="BB1521" s="10"/>
      <c r="BC1521" s="17">
        <v>32655</v>
      </c>
      <c r="BD1521" s="17">
        <v>20753</v>
      </c>
      <c r="BE1521" s="17">
        <v>150974</v>
      </c>
      <c r="BF1521" s="17">
        <v>13.3</v>
      </c>
      <c r="BG1521" s="11">
        <f ca="1">IFERROR(__xludf.DUMMYFUNCTION("""COMPUTED_VALUE"""),45918.0833333333)</f>
        <v>45918.083333333299</v>
      </c>
      <c r="BH1521" s="17" t="s">
        <v>105</v>
      </c>
      <c r="BI1521" s="17"/>
      <c r="BJ1521" s="15"/>
      <c r="BK1521" s="15"/>
      <c r="BL1521" s="13" t="b">
        <v>0</v>
      </c>
      <c r="BM1521" s="10"/>
      <c r="BN1521" s="10" t="s">
        <v>1057</v>
      </c>
      <c r="BO1521" s="11">
        <v>45904.299305555556</v>
      </c>
      <c r="BP1521" s="11">
        <v>45908.703240740739</v>
      </c>
      <c r="BQ1521" s="15">
        <v>45912.836226851854</v>
      </c>
      <c r="BR1521" s="15">
        <v>45913.703032407408</v>
      </c>
      <c r="BS1521" s="10"/>
      <c r="BT1521" s="10" t="s">
        <v>279</v>
      </c>
      <c r="BU1521" s="10" t="s">
        <v>11438</v>
      </c>
      <c r="BV1521" s="10"/>
      <c r="BW1521" s="10"/>
      <c r="BX1521" s="10"/>
      <c r="BY1521" s="23"/>
      <c r="BZ1521" s="23"/>
      <c r="CA1521" s="19" t="s">
        <v>11477</v>
      </c>
      <c r="CB1521" s="23"/>
      <c r="CC1521" s="23"/>
      <c r="CD1521" s="19" t="s">
        <v>11478</v>
      </c>
      <c r="CE1521" s="23"/>
      <c r="CF1521" s="23"/>
      <c r="CG1521" s="23"/>
      <c r="CH1521" s="23"/>
      <c r="CI1521" s="23"/>
    </row>
    <row r="1522" spans="1:87" x14ac:dyDescent="0.3">
      <c r="A1522" s="9" t="s">
        <v>11479</v>
      </c>
      <c r="B1522" s="10" t="s">
        <v>11480</v>
      </c>
      <c r="C1522" s="11">
        <v>45918.083333333336</v>
      </c>
      <c r="D1522" s="12">
        <v>8.3333333333333329E-2</v>
      </c>
      <c r="E1522" s="11">
        <v>45918.166666666664</v>
      </c>
      <c r="F1522" s="10" t="s">
        <v>3563</v>
      </c>
      <c r="G1522" s="13" t="b">
        <v>0</v>
      </c>
      <c r="H1522" s="10" t="s">
        <v>5239</v>
      </c>
      <c r="I1522" s="10" t="s">
        <v>89</v>
      </c>
      <c r="J1522" s="13" t="b">
        <v>0</v>
      </c>
      <c r="K1522" s="13" t="b">
        <v>1</v>
      </c>
      <c r="L1522" s="10" t="s">
        <v>124</v>
      </c>
      <c r="M1522" s="10" t="s">
        <v>91</v>
      </c>
      <c r="N1522" s="10" t="s">
        <v>92</v>
      </c>
      <c r="O1522" s="19" t="s">
        <v>11481</v>
      </c>
      <c r="P1522" s="10"/>
      <c r="Q1522" s="10" t="s">
        <v>126</v>
      </c>
      <c r="R1522" s="10"/>
      <c r="S1522" s="19" t="s">
        <v>11482</v>
      </c>
      <c r="T1522" s="10"/>
      <c r="U1522" s="10" t="s">
        <v>3715</v>
      </c>
      <c r="V1522" s="10" t="s">
        <v>3278</v>
      </c>
      <c r="W1522" s="10" t="s">
        <v>3569</v>
      </c>
      <c r="X1522" s="10" t="s">
        <v>130</v>
      </c>
      <c r="Y1522" s="10" t="s">
        <v>130</v>
      </c>
      <c r="Z1522" s="10" t="s">
        <v>99</v>
      </c>
      <c r="AA1522" s="10" t="s">
        <v>131</v>
      </c>
      <c r="AB1522" s="10" t="s">
        <v>3570</v>
      </c>
      <c r="AC1522" s="10" t="s">
        <v>3571</v>
      </c>
      <c r="AD1522" s="10" t="s">
        <v>11483</v>
      </c>
      <c r="AE1522" s="10" t="s">
        <v>11484</v>
      </c>
      <c r="AF1522" s="15"/>
      <c r="AG1522" s="10"/>
      <c r="AH1522" s="10"/>
      <c r="AI1522" s="10"/>
      <c r="AJ1522" s="10"/>
      <c r="AK1522" s="10" t="s">
        <v>102</v>
      </c>
      <c r="AL1522" s="10" t="s">
        <v>7897</v>
      </c>
      <c r="AM1522" s="10"/>
      <c r="AN1522" s="10"/>
      <c r="AO1522" s="13" t="b">
        <v>1</v>
      </c>
      <c r="AP1522" s="10" t="s">
        <v>104</v>
      </c>
      <c r="AQ1522" s="10">
        <f ca="1">IFERROR(__xludf.DUMMYFUNCTION("""COMPUTED_VALUE"""),4569284)</f>
        <v>4569284</v>
      </c>
      <c r="AR1522" s="17">
        <v>55086</v>
      </c>
      <c r="AS1522" s="17">
        <v>32823</v>
      </c>
      <c r="AT1522" s="17">
        <v>711678.5</v>
      </c>
      <c r="AU1522" s="17">
        <v>241.95</v>
      </c>
      <c r="AV1522" s="17">
        <v>84</v>
      </c>
      <c r="AW1522" s="10" t="s">
        <v>105</v>
      </c>
      <c r="AX1522" s="17">
        <v>10504</v>
      </c>
      <c r="AY1522" s="18">
        <v>21.682311184230571</v>
      </c>
      <c r="AZ1522" s="10" t="s">
        <v>168</v>
      </c>
      <c r="BA1522" s="20" t="b">
        <v>0</v>
      </c>
      <c r="BB1522" s="10"/>
      <c r="BC1522" s="17">
        <v>55086</v>
      </c>
      <c r="BD1522" s="17">
        <v>32823</v>
      </c>
      <c r="BE1522" s="17">
        <v>711678.5</v>
      </c>
      <c r="BF1522" s="17">
        <v>84</v>
      </c>
      <c r="BG1522" s="11">
        <f ca="1">IFERROR(__xludf.DUMMYFUNCTION("""COMPUTED_VALUE"""),45918.0833333333)</f>
        <v>45918.083333333299</v>
      </c>
      <c r="BH1522" s="17" t="s">
        <v>105</v>
      </c>
      <c r="BI1522" s="17"/>
      <c r="BJ1522" s="15"/>
      <c r="BK1522" s="15"/>
      <c r="BL1522" s="13" t="b">
        <v>0</v>
      </c>
      <c r="BM1522" s="10"/>
      <c r="BN1522" s="10" t="s">
        <v>1057</v>
      </c>
      <c r="BO1522" s="11">
        <v>45904.299305555556</v>
      </c>
      <c r="BP1522" s="11">
        <v>45908.703402777777</v>
      </c>
      <c r="BQ1522" s="15">
        <v>45912.829386574071</v>
      </c>
      <c r="BR1522" s="15">
        <v>45913.702581018515</v>
      </c>
      <c r="BS1522" s="10"/>
      <c r="BT1522" s="10" t="s">
        <v>279</v>
      </c>
      <c r="BU1522" s="10" t="s">
        <v>816</v>
      </c>
      <c r="BV1522" s="10"/>
      <c r="BW1522" s="10"/>
      <c r="BX1522" s="10"/>
      <c r="BY1522" s="23"/>
      <c r="BZ1522" s="23"/>
      <c r="CA1522" s="19" t="s">
        <v>11485</v>
      </c>
      <c r="CB1522" s="23"/>
      <c r="CC1522" s="23"/>
      <c r="CD1522" s="19" t="s">
        <v>11486</v>
      </c>
      <c r="CE1522" s="23"/>
      <c r="CF1522" s="23"/>
      <c r="CG1522" s="23"/>
      <c r="CH1522" s="23"/>
      <c r="CI1522" s="23"/>
    </row>
    <row r="1523" spans="1:87" x14ac:dyDescent="0.3">
      <c r="A1523" s="9" t="s">
        <v>11487</v>
      </c>
      <c r="B1523" s="10" t="s">
        <v>11488</v>
      </c>
      <c r="C1523" s="11">
        <v>45918.083333333336</v>
      </c>
      <c r="D1523" s="12">
        <v>8.3333333333333329E-2</v>
      </c>
      <c r="E1523" s="11">
        <v>45918.166666666664</v>
      </c>
      <c r="F1523" s="10" t="s">
        <v>3563</v>
      </c>
      <c r="G1523" s="13" t="b">
        <v>0</v>
      </c>
      <c r="H1523" s="10" t="s">
        <v>3564</v>
      </c>
      <c r="I1523" s="10" t="s">
        <v>89</v>
      </c>
      <c r="J1523" s="13" t="b">
        <v>0</v>
      </c>
      <c r="K1523" s="13" t="b">
        <v>1</v>
      </c>
      <c r="L1523" s="10" t="s">
        <v>124</v>
      </c>
      <c r="M1523" s="10" t="s">
        <v>91</v>
      </c>
      <c r="N1523" s="10" t="s">
        <v>92</v>
      </c>
      <c r="O1523" s="19" t="s">
        <v>11489</v>
      </c>
      <c r="P1523" s="10"/>
      <c r="Q1523" s="10" t="s">
        <v>126</v>
      </c>
      <c r="R1523" s="10"/>
      <c r="S1523" s="19" t="s">
        <v>11490</v>
      </c>
      <c r="T1523" s="10"/>
      <c r="U1523" s="10" t="s">
        <v>270</v>
      </c>
      <c r="V1523" s="10" t="s">
        <v>5090</v>
      </c>
      <c r="W1523" s="10" t="s">
        <v>3569</v>
      </c>
      <c r="X1523" s="10" t="s">
        <v>130</v>
      </c>
      <c r="Y1523" s="10" t="s">
        <v>130</v>
      </c>
      <c r="Z1523" s="10" t="s">
        <v>99</v>
      </c>
      <c r="AA1523" s="10" t="s">
        <v>131</v>
      </c>
      <c r="AB1523" s="10" t="s">
        <v>3570</v>
      </c>
      <c r="AC1523" s="10" t="s">
        <v>3571</v>
      </c>
      <c r="AD1523" s="10" t="s">
        <v>11491</v>
      </c>
      <c r="AE1523" s="10" t="s">
        <v>11492</v>
      </c>
      <c r="AF1523" s="15"/>
      <c r="AG1523" s="10"/>
      <c r="AH1523" s="10"/>
      <c r="AI1523" s="10"/>
      <c r="AJ1523" s="10"/>
      <c r="AK1523" s="10" t="s">
        <v>102</v>
      </c>
      <c r="AL1523" s="10" t="s">
        <v>7897</v>
      </c>
      <c r="AM1523" s="10"/>
      <c r="AN1523" s="10"/>
      <c r="AO1523" s="13" t="b">
        <v>1</v>
      </c>
      <c r="AP1523" s="10" t="s">
        <v>104</v>
      </c>
      <c r="AQ1523" s="10">
        <f ca="1">IFERROR(__xludf.DUMMYFUNCTION("""COMPUTED_VALUE"""),4569285)</f>
        <v>4569285</v>
      </c>
      <c r="AR1523" s="17">
        <v>154466</v>
      </c>
      <c r="AS1523" s="17">
        <v>82425</v>
      </c>
      <c r="AT1523" s="17">
        <v>3921753.75</v>
      </c>
      <c r="AU1523" s="17">
        <v>1307.9000000000001</v>
      </c>
      <c r="AV1523" s="17">
        <v>359.4</v>
      </c>
      <c r="AW1523" s="10" t="s">
        <v>105</v>
      </c>
      <c r="AX1523" s="17">
        <v>47367</v>
      </c>
      <c r="AY1523" s="18">
        <v>47.579663330300271</v>
      </c>
      <c r="AZ1523" s="10" t="s">
        <v>168</v>
      </c>
      <c r="BA1523" s="20" t="b">
        <v>0</v>
      </c>
      <c r="BB1523" s="10"/>
      <c r="BC1523" s="17">
        <v>154466</v>
      </c>
      <c r="BD1523" s="17">
        <v>82425</v>
      </c>
      <c r="BE1523" s="17">
        <v>3921753.75</v>
      </c>
      <c r="BF1523" s="17">
        <v>359.4</v>
      </c>
      <c r="BG1523" s="11">
        <f ca="1">IFERROR(__xludf.DUMMYFUNCTION("""COMPUTED_VALUE"""),45918.0833333333)</f>
        <v>45918.083333333299</v>
      </c>
      <c r="BH1523" s="17" t="s">
        <v>105</v>
      </c>
      <c r="BI1523" s="17"/>
      <c r="BJ1523" s="15"/>
      <c r="BK1523" s="15"/>
      <c r="BL1523" s="13" t="b">
        <v>0</v>
      </c>
      <c r="BM1523" s="10"/>
      <c r="BN1523" s="10" t="s">
        <v>1057</v>
      </c>
      <c r="BO1523" s="11">
        <v>45904.299305555556</v>
      </c>
      <c r="BP1523" s="11">
        <v>45908.703611111108</v>
      </c>
      <c r="BQ1523" s="15">
        <v>45912.832106481481</v>
      </c>
      <c r="BR1523" s="15">
        <v>45913.702719907407</v>
      </c>
      <c r="BS1523" s="10"/>
      <c r="BT1523" s="10" t="s">
        <v>279</v>
      </c>
      <c r="BU1523" s="10" t="s">
        <v>11428</v>
      </c>
      <c r="BV1523" s="10"/>
      <c r="BW1523" s="10" t="s">
        <v>282</v>
      </c>
      <c r="BX1523" s="10"/>
      <c r="BY1523" s="23"/>
      <c r="BZ1523" s="23"/>
      <c r="CA1523" s="19" t="s">
        <v>11493</v>
      </c>
      <c r="CB1523" s="23"/>
      <c r="CC1523" s="23"/>
      <c r="CD1523" s="19" t="s">
        <v>11494</v>
      </c>
      <c r="CE1523" s="23"/>
      <c r="CF1523" s="23"/>
      <c r="CG1523" s="23"/>
      <c r="CH1523" s="23"/>
      <c r="CI1523" s="23"/>
    </row>
    <row r="1524" spans="1:87" x14ac:dyDescent="0.3">
      <c r="A1524" s="9" t="s">
        <v>11495</v>
      </c>
      <c r="B1524" s="10" t="s">
        <v>11496</v>
      </c>
      <c r="C1524" s="11">
        <v>45918.989583333336</v>
      </c>
      <c r="D1524" s="12">
        <v>8.3333333333333329E-2</v>
      </c>
      <c r="E1524" s="11">
        <v>45919.072916666664</v>
      </c>
      <c r="F1524" s="10" t="s">
        <v>3563</v>
      </c>
      <c r="G1524" s="13" t="b">
        <v>0</v>
      </c>
      <c r="H1524" s="10" t="s">
        <v>3578</v>
      </c>
      <c r="I1524" s="10" t="s">
        <v>89</v>
      </c>
      <c r="J1524" s="13" t="b">
        <v>0</v>
      </c>
      <c r="K1524" s="13" t="b">
        <v>1</v>
      </c>
      <c r="L1524" s="10" t="s">
        <v>124</v>
      </c>
      <c r="M1524" s="10" t="s">
        <v>91</v>
      </c>
      <c r="N1524" s="10" t="s">
        <v>92</v>
      </c>
      <c r="O1524" s="19" t="s">
        <v>11497</v>
      </c>
      <c r="P1524" s="10"/>
      <c r="Q1524" s="10" t="s">
        <v>126</v>
      </c>
      <c r="R1524" s="10"/>
      <c r="S1524" s="19" t="s">
        <v>11498</v>
      </c>
      <c r="T1524" s="10"/>
      <c r="U1524" s="10" t="s">
        <v>11499</v>
      </c>
      <c r="V1524" s="10" t="s">
        <v>11500</v>
      </c>
      <c r="W1524" s="10" t="s">
        <v>3569</v>
      </c>
      <c r="X1524" s="10" t="s">
        <v>130</v>
      </c>
      <c r="Y1524" s="10" t="s">
        <v>130</v>
      </c>
      <c r="Z1524" s="10" t="s">
        <v>99</v>
      </c>
      <c r="AA1524" s="10" t="s">
        <v>131</v>
      </c>
      <c r="AB1524" s="10" t="s">
        <v>3570</v>
      </c>
      <c r="AC1524" s="10" t="s">
        <v>3571</v>
      </c>
      <c r="AD1524" s="10" t="s">
        <v>11501</v>
      </c>
      <c r="AE1524" s="10" t="s">
        <v>11502</v>
      </c>
      <c r="AF1524" s="15"/>
      <c r="AG1524" s="10"/>
      <c r="AH1524" s="10"/>
      <c r="AI1524" s="10"/>
      <c r="AJ1524" s="10"/>
      <c r="AK1524" s="10" t="s">
        <v>102</v>
      </c>
      <c r="AL1524" s="10" t="s">
        <v>7897</v>
      </c>
      <c r="AM1524" s="10"/>
      <c r="AN1524" s="10"/>
      <c r="AO1524" s="13" t="b">
        <v>0</v>
      </c>
      <c r="AP1524" s="10" t="s">
        <v>104</v>
      </c>
      <c r="AQ1524" s="10">
        <f ca="1">IFERROR(__xludf.DUMMYFUNCTION("""COMPUTED_VALUE"""),4569290)</f>
        <v>4569290</v>
      </c>
      <c r="AR1524" s="17">
        <v>43893</v>
      </c>
      <c r="AS1524" s="17">
        <v>31423</v>
      </c>
      <c r="AT1524" s="17">
        <v>874801.75</v>
      </c>
      <c r="AU1524" s="17">
        <v>365.1</v>
      </c>
      <c r="AV1524" s="17">
        <v>114.65</v>
      </c>
      <c r="AW1524" s="10" t="s">
        <v>105</v>
      </c>
      <c r="AX1524" s="17">
        <v>11511</v>
      </c>
      <c r="AY1524" s="18">
        <v>27.839536326894311</v>
      </c>
      <c r="AZ1524" s="10" t="s">
        <v>168</v>
      </c>
      <c r="BA1524" s="20" t="b">
        <v>0</v>
      </c>
      <c r="BB1524" s="10"/>
      <c r="BC1524" s="17">
        <v>43893</v>
      </c>
      <c r="BD1524" s="17">
        <v>31423</v>
      </c>
      <c r="BE1524" s="17">
        <v>874801.75</v>
      </c>
      <c r="BF1524" s="17">
        <v>114.65</v>
      </c>
      <c r="BG1524" s="11">
        <f ca="1">IFERROR(__xludf.DUMMYFUNCTION("""COMPUTED_VALUE"""),45918.9895833333)</f>
        <v>45918.989583333299</v>
      </c>
      <c r="BH1524" s="17" t="s">
        <v>105</v>
      </c>
      <c r="BI1524" s="17"/>
      <c r="BJ1524" s="15"/>
      <c r="BK1524" s="15"/>
      <c r="BL1524" s="13" t="b">
        <v>0</v>
      </c>
      <c r="BM1524" s="10"/>
      <c r="BN1524" s="10" t="s">
        <v>667</v>
      </c>
      <c r="BO1524" s="11">
        <v>45904.299305555556</v>
      </c>
      <c r="BP1524" s="11">
        <v>45908.703831018516</v>
      </c>
      <c r="BQ1524" s="15">
        <v>45912.837048611109</v>
      </c>
      <c r="BR1524" s="15">
        <v>45913.708437499998</v>
      </c>
      <c r="BS1524" s="10" t="s">
        <v>667</v>
      </c>
      <c r="BT1524" s="10" t="s">
        <v>279</v>
      </c>
      <c r="BU1524" s="10" t="s">
        <v>11438</v>
      </c>
      <c r="BV1524" s="10"/>
      <c r="BW1524" s="10"/>
      <c r="BX1524" s="10"/>
      <c r="BY1524" s="23"/>
      <c r="BZ1524" s="23"/>
      <c r="CA1524" s="19" t="s">
        <v>11503</v>
      </c>
      <c r="CB1524" s="23"/>
      <c r="CC1524" s="23"/>
      <c r="CD1524" s="19" t="s">
        <v>11504</v>
      </c>
      <c r="CE1524" s="23"/>
      <c r="CF1524" s="23"/>
      <c r="CG1524" s="23"/>
      <c r="CH1524" s="23"/>
      <c r="CI1524" s="23"/>
    </row>
    <row r="1525" spans="1:87" x14ac:dyDescent="0.3">
      <c r="A1525" s="9" t="s">
        <v>11505</v>
      </c>
      <c r="B1525" s="10" t="s">
        <v>11506</v>
      </c>
      <c r="C1525" s="11">
        <v>45918.989583333336</v>
      </c>
      <c r="D1525" s="12">
        <v>8.3333333333333329E-2</v>
      </c>
      <c r="E1525" s="11">
        <v>45919.072916666664</v>
      </c>
      <c r="F1525" s="10" t="s">
        <v>3563</v>
      </c>
      <c r="G1525" s="13" t="b">
        <v>0</v>
      </c>
      <c r="H1525" s="10" t="s">
        <v>3564</v>
      </c>
      <c r="I1525" s="10" t="s">
        <v>89</v>
      </c>
      <c r="J1525" s="13" t="b">
        <v>0</v>
      </c>
      <c r="K1525" s="13" t="b">
        <v>1</v>
      </c>
      <c r="L1525" s="10" t="s">
        <v>124</v>
      </c>
      <c r="M1525" s="10" t="s">
        <v>91</v>
      </c>
      <c r="N1525" s="10" t="s">
        <v>92</v>
      </c>
      <c r="O1525" s="19" t="s">
        <v>11507</v>
      </c>
      <c r="P1525" s="10"/>
      <c r="Q1525" s="10" t="s">
        <v>94</v>
      </c>
      <c r="R1525" s="10"/>
      <c r="S1525" s="19" t="s">
        <v>11508</v>
      </c>
      <c r="T1525" s="10"/>
      <c r="U1525" s="10" t="s">
        <v>3568</v>
      </c>
      <c r="V1525" s="10" t="s">
        <v>11509</v>
      </c>
      <c r="W1525" s="10" t="s">
        <v>3569</v>
      </c>
      <c r="X1525" s="10" t="s">
        <v>130</v>
      </c>
      <c r="Y1525" s="10" t="s">
        <v>130</v>
      </c>
      <c r="Z1525" s="10" t="s">
        <v>99</v>
      </c>
      <c r="AA1525" s="10" t="s">
        <v>131</v>
      </c>
      <c r="AB1525" s="10" t="s">
        <v>3570</v>
      </c>
      <c r="AC1525" s="10" t="s">
        <v>3571</v>
      </c>
      <c r="AD1525" s="10" t="s">
        <v>11510</v>
      </c>
      <c r="AE1525" s="10" t="s">
        <v>11511</v>
      </c>
      <c r="AF1525" s="15"/>
      <c r="AG1525" s="10"/>
      <c r="AH1525" s="10"/>
      <c r="AI1525" s="10"/>
      <c r="AJ1525" s="10"/>
      <c r="AK1525" s="10" t="s">
        <v>102</v>
      </c>
      <c r="AL1525" s="10" t="s">
        <v>7897</v>
      </c>
      <c r="AM1525" s="10"/>
      <c r="AN1525" s="10"/>
      <c r="AO1525" s="13" t="b">
        <v>0</v>
      </c>
      <c r="AP1525" s="10" t="s">
        <v>104</v>
      </c>
      <c r="AQ1525" s="10">
        <f ca="1">IFERROR(__xludf.DUMMYFUNCTION("""COMPUTED_VALUE"""),4569289)</f>
        <v>4569289</v>
      </c>
      <c r="AR1525" s="17">
        <v>25161</v>
      </c>
      <c r="AS1525" s="17">
        <v>18062</v>
      </c>
      <c r="AT1525" s="17">
        <v>296757</v>
      </c>
      <c r="AU1525" s="17">
        <v>143.55000000000001</v>
      </c>
      <c r="AV1525" s="17">
        <v>32.450000000000003</v>
      </c>
      <c r="AW1525" s="10" t="s">
        <v>105</v>
      </c>
      <c r="AX1525" s="17">
        <v>4684</v>
      </c>
      <c r="AY1525" s="18">
        <v>16.429908094341712</v>
      </c>
      <c r="AZ1525" s="10" t="s">
        <v>168</v>
      </c>
      <c r="BA1525" s="20" t="b">
        <v>0</v>
      </c>
      <c r="BB1525" s="10"/>
      <c r="BC1525" s="17">
        <v>25161</v>
      </c>
      <c r="BD1525" s="17">
        <v>18062</v>
      </c>
      <c r="BE1525" s="17">
        <v>296757</v>
      </c>
      <c r="BF1525" s="17">
        <v>32.450000000000003</v>
      </c>
      <c r="BG1525" s="11">
        <f ca="1">IFERROR(__xludf.DUMMYFUNCTION("""COMPUTED_VALUE"""),45918.9895833333)</f>
        <v>45918.989583333299</v>
      </c>
      <c r="BH1525" s="17" t="s">
        <v>105</v>
      </c>
      <c r="BI1525" s="17"/>
      <c r="BJ1525" s="15"/>
      <c r="BK1525" s="15"/>
      <c r="BL1525" s="13" t="b">
        <v>0</v>
      </c>
      <c r="BM1525" s="10"/>
      <c r="BN1525" s="10" t="s">
        <v>667</v>
      </c>
      <c r="BO1525" s="11">
        <v>45904.299305555556</v>
      </c>
      <c r="BP1525" s="11">
        <v>45908.704375000001</v>
      </c>
      <c r="BQ1525" s="15">
        <v>45912.836747685185</v>
      </c>
      <c r="BR1525" s="15">
        <v>45913.703194444446</v>
      </c>
      <c r="BS1525" s="10" t="s">
        <v>667</v>
      </c>
      <c r="BT1525" s="10" t="s">
        <v>279</v>
      </c>
      <c r="BU1525" s="10" t="s">
        <v>11428</v>
      </c>
      <c r="BV1525" s="10"/>
      <c r="BW1525" s="10"/>
      <c r="BX1525" s="10"/>
      <c r="BY1525" s="23"/>
      <c r="BZ1525" s="23"/>
      <c r="CA1525" s="19" t="s">
        <v>11512</v>
      </c>
      <c r="CB1525" s="23"/>
      <c r="CC1525" s="23"/>
      <c r="CD1525" s="23"/>
      <c r="CE1525" s="23"/>
      <c r="CF1525" s="23"/>
      <c r="CG1525" s="23"/>
      <c r="CH1525" s="23"/>
      <c r="CI1525" s="23"/>
    </row>
    <row r="1526" spans="1:87" x14ac:dyDescent="0.3">
      <c r="A1526" s="9" t="s">
        <v>11513</v>
      </c>
      <c r="B1526" s="10" t="s">
        <v>11514</v>
      </c>
      <c r="C1526" s="11">
        <v>45919.083333333336</v>
      </c>
      <c r="D1526" s="12">
        <v>8.3333333333333329E-2</v>
      </c>
      <c r="E1526" s="11">
        <v>45919.166666666664</v>
      </c>
      <c r="F1526" s="10" t="s">
        <v>3563</v>
      </c>
      <c r="G1526" s="13" t="b">
        <v>0</v>
      </c>
      <c r="H1526" s="10" t="s">
        <v>6271</v>
      </c>
      <c r="I1526" s="10" t="s">
        <v>89</v>
      </c>
      <c r="J1526" s="13" t="b">
        <v>0</v>
      </c>
      <c r="K1526" s="13" t="b">
        <v>1</v>
      </c>
      <c r="L1526" s="10" t="s">
        <v>124</v>
      </c>
      <c r="M1526" s="10" t="s">
        <v>91</v>
      </c>
      <c r="N1526" s="10" t="s">
        <v>92</v>
      </c>
      <c r="O1526" s="19" t="s">
        <v>11515</v>
      </c>
      <c r="P1526" s="10"/>
      <c r="Q1526" s="10" t="s">
        <v>94</v>
      </c>
      <c r="R1526" s="10"/>
      <c r="S1526" s="19" t="s">
        <v>11516</v>
      </c>
      <c r="T1526" s="10"/>
      <c r="U1526" s="10" t="s">
        <v>11517</v>
      </c>
      <c r="V1526" s="10" t="s">
        <v>11518</v>
      </c>
      <c r="W1526" s="10" t="s">
        <v>3569</v>
      </c>
      <c r="X1526" s="10" t="s">
        <v>130</v>
      </c>
      <c r="Y1526" s="10" t="s">
        <v>130</v>
      </c>
      <c r="Z1526" s="10" t="s">
        <v>99</v>
      </c>
      <c r="AA1526" s="10" t="s">
        <v>131</v>
      </c>
      <c r="AB1526" s="10" t="s">
        <v>3570</v>
      </c>
      <c r="AC1526" s="10" t="s">
        <v>3571</v>
      </c>
      <c r="AD1526" s="10" t="s">
        <v>11519</v>
      </c>
      <c r="AE1526" s="10" t="s">
        <v>11520</v>
      </c>
      <c r="AF1526" s="15"/>
      <c r="AG1526" s="10"/>
      <c r="AH1526" s="10"/>
      <c r="AI1526" s="10"/>
      <c r="AJ1526" s="10"/>
      <c r="AK1526" s="10" t="s">
        <v>102</v>
      </c>
      <c r="AL1526" s="10" t="s">
        <v>7897</v>
      </c>
      <c r="AM1526" s="10"/>
      <c r="AN1526" s="10"/>
      <c r="AO1526" s="13" t="b">
        <v>0</v>
      </c>
      <c r="AP1526" s="10" t="s">
        <v>104</v>
      </c>
      <c r="AQ1526" s="10">
        <f ca="1">IFERROR(__xludf.DUMMYFUNCTION("""COMPUTED_VALUE"""),4570941)</f>
        <v>4570941</v>
      </c>
      <c r="AR1526" s="17">
        <v>14567</v>
      </c>
      <c r="AS1526" s="17">
        <v>9030</v>
      </c>
      <c r="AT1526" s="17">
        <v>42390.5</v>
      </c>
      <c r="AU1526" s="17">
        <v>7.8</v>
      </c>
      <c r="AV1526" s="17">
        <v>3.6</v>
      </c>
      <c r="AW1526" s="10" t="s">
        <v>105</v>
      </c>
      <c r="AX1526" s="17">
        <v>2465</v>
      </c>
      <c r="AY1526" s="18">
        <v>4.6944075304540425</v>
      </c>
      <c r="AZ1526" s="10" t="s">
        <v>168</v>
      </c>
      <c r="BA1526" s="20" t="b">
        <v>0</v>
      </c>
      <c r="BB1526" s="10"/>
      <c r="BC1526" s="17">
        <v>14567</v>
      </c>
      <c r="BD1526" s="17">
        <v>9030</v>
      </c>
      <c r="BE1526" s="17">
        <v>42390.5</v>
      </c>
      <c r="BF1526" s="17">
        <v>3.6</v>
      </c>
      <c r="BG1526" s="11">
        <f ca="1">IFERROR(__xludf.DUMMYFUNCTION("""COMPUTED_VALUE"""),45919.0833333333)</f>
        <v>45919.083333333299</v>
      </c>
      <c r="BH1526" s="17" t="s">
        <v>105</v>
      </c>
      <c r="BI1526" s="17"/>
      <c r="BJ1526" s="15"/>
      <c r="BK1526" s="15"/>
      <c r="BL1526" s="13" t="b">
        <v>0</v>
      </c>
      <c r="BM1526" s="10"/>
      <c r="BN1526" s="10" t="s">
        <v>667</v>
      </c>
      <c r="BO1526" s="11">
        <v>45904.299305555556</v>
      </c>
      <c r="BP1526" s="11">
        <v>45908.704641203702</v>
      </c>
      <c r="BQ1526" s="15">
        <v>45912.837800925925</v>
      </c>
      <c r="BR1526" s="15">
        <v>45914.432615740741</v>
      </c>
      <c r="BS1526" s="10" t="s">
        <v>667</v>
      </c>
      <c r="BT1526" s="10" t="s">
        <v>279</v>
      </c>
      <c r="BU1526" s="10" t="s">
        <v>11412</v>
      </c>
      <c r="BV1526" s="10"/>
      <c r="BW1526" s="10"/>
      <c r="BX1526" s="10"/>
      <c r="BY1526" s="23"/>
      <c r="BZ1526" s="23"/>
      <c r="CA1526" s="19" t="s">
        <v>11521</v>
      </c>
      <c r="CB1526" s="23"/>
      <c r="CC1526" s="23"/>
      <c r="CD1526" s="23"/>
      <c r="CE1526" s="23"/>
      <c r="CF1526" s="23"/>
      <c r="CG1526" s="23"/>
      <c r="CH1526" s="23"/>
      <c r="CI1526" s="23"/>
    </row>
    <row r="1527" spans="1:87" x14ac:dyDescent="0.3">
      <c r="A1527" s="9" t="s">
        <v>11522</v>
      </c>
      <c r="B1527" s="10" t="s">
        <v>11523</v>
      </c>
      <c r="C1527" s="11">
        <v>45919.083333333336</v>
      </c>
      <c r="D1527" s="12">
        <v>8.3333333333333329E-2</v>
      </c>
      <c r="E1527" s="11">
        <v>45919.166666666664</v>
      </c>
      <c r="F1527" s="10" t="s">
        <v>3563</v>
      </c>
      <c r="G1527" s="13" t="b">
        <v>0</v>
      </c>
      <c r="H1527" s="10" t="s">
        <v>5239</v>
      </c>
      <c r="I1527" s="10" t="s">
        <v>89</v>
      </c>
      <c r="J1527" s="13" t="b">
        <v>0</v>
      </c>
      <c r="K1527" s="13" t="b">
        <v>1</v>
      </c>
      <c r="L1527" s="10" t="s">
        <v>124</v>
      </c>
      <c r="M1527" s="10" t="s">
        <v>91</v>
      </c>
      <c r="N1527" s="10" t="s">
        <v>92</v>
      </c>
      <c r="O1527" s="19" t="s">
        <v>11524</v>
      </c>
      <c r="P1527" s="10"/>
      <c r="Q1527" s="10" t="s">
        <v>94</v>
      </c>
      <c r="R1527" s="10"/>
      <c r="S1527" s="19" t="s">
        <v>11525</v>
      </c>
      <c r="T1527" s="10"/>
      <c r="U1527" s="10" t="s">
        <v>7859</v>
      </c>
      <c r="V1527" s="10" t="s">
        <v>7811</v>
      </c>
      <c r="W1527" s="10" t="s">
        <v>3569</v>
      </c>
      <c r="X1527" s="10" t="s">
        <v>130</v>
      </c>
      <c r="Y1527" s="10" t="s">
        <v>130</v>
      </c>
      <c r="Z1527" s="10" t="s">
        <v>99</v>
      </c>
      <c r="AA1527" s="10" t="s">
        <v>131</v>
      </c>
      <c r="AB1527" s="10" t="s">
        <v>3570</v>
      </c>
      <c r="AC1527" s="10" t="s">
        <v>3571</v>
      </c>
      <c r="AD1527" s="10" t="s">
        <v>11526</v>
      </c>
      <c r="AE1527" s="10" t="s">
        <v>11527</v>
      </c>
      <c r="AF1527" s="15"/>
      <c r="AG1527" s="10"/>
      <c r="AH1527" s="10"/>
      <c r="AI1527" s="10"/>
      <c r="AJ1527" s="10"/>
      <c r="AK1527" s="10" t="s">
        <v>102</v>
      </c>
      <c r="AL1527" s="10" t="s">
        <v>7897</v>
      </c>
      <c r="AM1527" s="10"/>
      <c r="AN1527" s="10"/>
      <c r="AO1527" s="13" t="b">
        <v>0</v>
      </c>
      <c r="AP1527" s="10" t="s">
        <v>104</v>
      </c>
      <c r="AQ1527" s="10">
        <f ca="1">IFERROR(__xludf.DUMMYFUNCTION("""COMPUTED_VALUE"""),4570946)</f>
        <v>4570946</v>
      </c>
      <c r="AR1527" s="17">
        <v>11538</v>
      </c>
      <c r="AS1527" s="17">
        <v>7098</v>
      </c>
      <c r="AT1527" s="17">
        <v>26514.75</v>
      </c>
      <c r="AU1527" s="17">
        <v>3</v>
      </c>
      <c r="AV1527" s="17">
        <v>1.6</v>
      </c>
      <c r="AW1527" s="10" t="s">
        <v>105</v>
      </c>
      <c r="AX1527" s="17">
        <v>1569</v>
      </c>
      <c r="AY1527" s="18">
        <v>3.7355240912933221</v>
      </c>
      <c r="AZ1527" s="10" t="s">
        <v>168</v>
      </c>
      <c r="BA1527" s="20" t="b">
        <v>0</v>
      </c>
      <c r="BB1527" s="10"/>
      <c r="BC1527" s="17">
        <v>11538</v>
      </c>
      <c r="BD1527" s="17">
        <v>7098</v>
      </c>
      <c r="BE1527" s="17">
        <v>26514.75</v>
      </c>
      <c r="BF1527" s="17">
        <v>1.6</v>
      </c>
      <c r="BG1527" s="11">
        <f ca="1">IFERROR(__xludf.DUMMYFUNCTION("""COMPUTED_VALUE"""),45919.0833333333)</f>
        <v>45919.083333333299</v>
      </c>
      <c r="BH1527" s="17" t="s">
        <v>105</v>
      </c>
      <c r="BI1527" s="17"/>
      <c r="BJ1527" s="15"/>
      <c r="BK1527" s="15"/>
      <c r="BL1527" s="13" t="b">
        <v>0</v>
      </c>
      <c r="BM1527" s="10"/>
      <c r="BN1527" s="10" t="s">
        <v>1057</v>
      </c>
      <c r="BO1527" s="11">
        <v>45904.299305555556</v>
      </c>
      <c r="BP1527" s="11">
        <v>45908.704895833333</v>
      </c>
      <c r="BQ1527" s="15">
        <v>45912.838692129626</v>
      </c>
      <c r="BR1527" s="15">
        <v>45914.432997685188</v>
      </c>
      <c r="BS1527" s="10"/>
      <c r="BT1527" s="10" t="s">
        <v>279</v>
      </c>
      <c r="BU1527" s="10"/>
      <c r="BV1527" s="10"/>
      <c r="BW1527" s="10"/>
      <c r="BX1527" s="10"/>
      <c r="BY1527" s="23"/>
      <c r="BZ1527" s="23"/>
      <c r="CA1527" s="19" t="s">
        <v>11528</v>
      </c>
      <c r="CB1527" s="23"/>
      <c r="CC1527" s="23"/>
      <c r="CD1527" s="23"/>
      <c r="CE1527" s="23"/>
      <c r="CF1527" s="23"/>
      <c r="CG1527" s="23"/>
      <c r="CH1527" s="23"/>
      <c r="CI1527" s="23"/>
    </row>
    <row r="1528" spans="1:87" x14ac:dyDescent="0.3">
      <c r="A1528" s="9" t="s">
        <v>11529</v>
      </c>
      <c r="B1528" s="10" t="s">
        <v>11530</v>
      </c>
      <c r="C1528" s="11">
        <v>45919.083333333336</v>
      </c>
      <c r="D1528" s="12">
        <v>8.3333333333333329E-2</v>
      </c>
      <c r="E1528" s="11">
        <v>45919.166666666664</v>
      </c>
      <c r="F1528" s="10" t="s">
        <v>3563</v>
      </c>
      <c r="G1528" s="13" t="b">
        <v>0</v>
      </c>
      <c r="H1528" s="10" t="s">
        <v>11460</v>
      </c>
      <c r="I1528" s="10" t="s">
        <v>89</v>
      </c>
      <c r="J1528" s="13" t="b">
        <v>0</v>
      </c>
      <c r="K1528" s="13" t="b">
        <v>1</v>
      </c>
      <c r="L1528" s="10" t="s">
        <v>124</v>
      </c>
      <c r="M1528" s="10" t="s">
        <v>91</v>
      </c>
      <c r="N1528" s="10" t="s">
        <v>92</v>
      </c>
      <c r="O1528" s="19" t="s">
        <v>11531</v>
      </c>
      <c r="P1528" s="10"/>
      <c r="Q1528" s="10" t="s">
        <v>126</v>
      </c>
      <c r="R1528" s="10"/>
      <c r="S1528" s="19" t="s">
        <v>11532</v>
      </c>
      <c r="T1528" s="10"/>
      <c r="U1528" s="10" t="s">
        <v>293</v>
      </c>
      <c r="V1528" s="10" t="s">
        <v>5042</v>
      </c>
      <c r="W1528" s="10" t="s">
        <v>3569</v>
      </c>
      <c r="X1528" s="10" t="s">
        <v>130</v>
      </c>
      <c r="Y1528" s="10" t="s">
        <v>130</v>
      </c>
      <c r="Z1528" s="10" t="s">
        <v>99</v>
      </c>
      <c r="AA1528" s="10" t="s">
        <v>131</v>
      </c>
      <c r="AB1528" s="10" t="s">
        <v>3570</v>
      </c>
      <c r="AC1528" s="10" t="s">
        <v>3571</v>
      </c>
      <c r="AD1528" s="10" t="s">
        <v>11533</v>
      </c>
      <c r="AE1528" s="10" t="s">
        <v>11534</v>
      </c>
      <c r="AF1528" s="15"/>
      <c r="AG1528" s="10"/>
      <c r="AH1528" s="10"/>
      <c r="AI1528" s="10"/>
      <c r="AJ1528" s="10"/>
      <c r="AK1528" s="10" t="s">
        <v>102</v>
      </c>
      <c r="AL1528" s="10" t="s">
        <v>7897</v>
      </c>
      <c r="AM1528" s="10"/>
      <c r="AN1528" s="10"/>
      <c r="AO1528" s="13" t="b">
        <v>1</v>
      </c>
      <c r="AP1528" s="10" t="s">
        <v>104</v>
      </c>
      <c r="AQ1528" s="10">
        <f ca="1">IFERROR(__xludf.DUMMYFUNCTION("""COMPUTED_VALUE"""),4570943)</f>
        <v>4570943</v>
      </c>
      <c r="AR1528" s="17">
        <v>188689</v>
      </c>
      <c r="AS1528" s="17">
        <v>96993</v>
      </c>
      <c r="AT1528" s="17">
        <v>4536671.75</v>
      </c>
      <c r="AU1528" s="17">
        <v>2012.65</v>
      </c>
      <c r="AV1528" s="17">
        <v>782.25</v>
      </c>
      <c r="AW1528" s="10" t="s">
        <v>105</v>
      </c>
      <c r="AX1528" s="17">
        <v>46981</v>
      </c>
      <c r="AY1528" s="18">
        <v>46.773187240316311</v>
      </c>
      <c r="AZ1528" s="10" t="s">
        <v>168</v>
      </c>
      <c r="BA1528" s="20" t="b">
        <v>0</v>
      </c>
      <c r="BB1528" s="10"/>
      <c r="BC1528" s="17">
        <v>188689</v>
      </c>
      <c r="BD1528" s="17">
        <v>96993</v>
      </c>
      <c r="BE1528" s="17">
        <v>4536671.75</v>
      </c>
      <c r="BF1528" s="17">
        <v>782.25</v>
      </c>
      <c r="BG1528" s="11">
        <f ca="1">IFERROR(__xludf.DUMMYFUNCTION("""COMPUTED_VALUE"""),45919.0833333333)</f>
        <v>45919.083333333299</v>
      </c>
      <c r="BH1528" s="17" t="s">
        <v>105</v>
      </c>
      <c r="BI1528" s="17"/>
      <c r="BJ1528" s="15"/>
      <c r="BK1528" s="15"/>
      <c r="BL1528" s="13" t="b">
        <v>0</v>
      </c>
      <c r="BM1528" s="10"/>
      <c r="BN1528" s="10" t="s">
        <v>1057</v>
      </c>
      <c r="BO1528" s="11">
        <v>45904.299305555556</v>
      </c>
      <c r="BP1528" s="11">
        <v>45909.782384259262</v>
      </c>
      <c r="BQ1528" s="15">
        <v>45912.838518518518</v>
      </c>
      <c r="BR1528" s="15">
        <v>45914.432881944442</v>
      </c>
      <c r="BS1528" s="10"/>
      <c r="BT1528" s="10" t="s">
        <v>279</v>
      </c>
      <c r="BU1528" s="10"/>
      <c r="BV1528" s="10"/>
      <c r="BW1528" s="10" t="s">
        <v>282</v>
      </c>
      <c r="BX1528" s="10"/>
      <c r="BY1528" s="23"/>
      <c r="BZ1528" s="23"/>
      <c r="CA1528" s="19" t="s">
        <v>11535</v>
      </c>
      <c r="CB1528" s="23"/>
      <c r="CC1528" s="23"/>
      <c r="CD1528" s="19" t="s">
        <v>11536</v>
      </c>
      <c r="CE1528" s="23"/>
      <c r="CF1528" s="23"/>
      <c r="CG1528" s="23"/>
      <c r="CH1528" s="23"/>
      <c r="CI1528" s="23"/>
    </row>
    <row r="1529" spans="1:87" x14ac:dyDescent="0.3">
      <c r="A1529" s="9" t="s">
        <v>11537</v>
      </c>
      <c r="B1529" s="10" t="s">
        <v>11538</v>
      </c>
      <c r="C1529" s="11">
        <v>45919.083333333336</v>
      </c>
      <c r="D1529" s="12">
        <v>8.3333333333333329E-2</v>
      </c>
      <c r="E1529" s="11">
        <v>45919.166666666664</v>
      </c>
      <c r="F1529" s="10" t="s">
        <v>3563</v>
      </c>
      <c r="G1529" s="13" t="b">
        <v>0</v>
      </c>
      <c r="H1529" s="10" t="s">
        <v>3564</v>
      </c>
      <c r="I1529" s="10" t="s">
        <v>89</v>
      </c>
      <c r="J1529" s="13" t="b">
        <v>0</v>
      </c>
      <c r="K1529" s="13" t="b">
        <v>1</v>
      </c>
      <c r="L1529" s="10" t="s">
        <v>124</v>
      </c>
      <c r="M1529" s="10" t="s">
        <v>91</v>
      </c>
      <c r="N1529" s="10" t="s">
        <v>92</v>
      </c>
      <c r="O1529" s="19" t="s">
        <v>11539</v>
      </c>
      <c r="P1529" s="10"/>
      <c r="Q1529" s="10" t="s">
        <v>126</v>
      </c>
      <c r="R1529" s="10"/>
      <c r="S1529" s="19" t="s">
        <v>11540</v>
      </c>
      <c r="T1529" s="10"/>
      <c r="U1529" s="10" t="s">
        <v>334</v>
      </c>
      <c r="V1529" s="10" t="s">
        <v>3318</v>
      </c>
      <c r="W1529" s="10" t="s">
        <v>3569</v>
      </c>
      <c r="X1529" s="10" t="s">
        <v>130</v>
      </c>
      <c r="Y1529" s="10" t="s">
        <v>130</v>
      </c>
      <c r="Z1529" s="10" t="s">
        <v>99</v>
      </c>
      <c r="AA1529" s="10" t="s">
        <v>131</v>
      </c>
      <c r="AB1529" s="10" t="s">
        <v>3570</v>
      </c>
      <c r="AC1529" s="10" t="s">
        <v>3571</v>
      </c>
      <c r="AD1529" s="10" t="s">
        <v>11541</v>
      </c>
      <c r="AE1529" s="10" t="s">
        <v>11542</v>
      </c>
      <c r="AF1529" s="15"/>
      <c r="AG1529" s="10"/>
      <c r="AH1529" s="10"/>
      <c r="AI1529" s="10"/>
      <c r="AJ1529" s="10"/>
      <c r="AK1529" s="10" t="s">
        <v>102</v>
      </c>
      <c r="AL1529" s="10" t="s">
        <v>7897</v>
      </c>
      <c r="AM1529" s="10"/>
      <c r="AN1529" s="10"/>
      <c r="AO1529" s="13" t="b">
        <v>1</v>
      </c>
      <c r="AP1529" s="10" t="s">
        <v>104</v>
      </c>
      <c r="AQ1529" s="10">
        <f ca="1">IFERROR(__xludf.DUMMYFUNCTION("""COMPUTED_VALUE"""),4570942)</f>
        <v>4570942</v>
      </c>
      <c r="AR1529" s="17">
        <v>101111</v>
      </c>
      <c r="AS1529" s="17">
        <v>56203</v>
      </c>
      <c r="AT1529" s="17">
        <v>1945035.5</v>
      </c>
      <c r="AU1529" s="17">
        <v>674.6</v>
      </c>
      <c r="AV1529" s="17">
        <v>173.95</v>
      </c>
      <c r="AW1529" s="10" t="s">
        <v>105</v>
      </c>
      <c r="AX1529" s="17">
        <v>25570</v>
      </c>
      <c r="AY1529" s="18">
        <v>34.607325231749194</v>
      </c>
      <c r="AZ1529" s="10" t="s">
        <v>168</v>
      </c>
      <c r="BA1529" s="20" t="b">
        <v>0</v>
      </c>
      <c r="BB1529" s="10"/>
      <c r="BC1529" s="17">
        <v>101111</v>
      </c>
      <c r="BD1529" s="17">
        <v>56203</v>
      </c>
      <c r="BE1529" s="17">
        <v>1945035.5</v>
      </c>
      <c r="BF1529" s="17">
        <v>173.95</v>
      </c>
      <c r="BG1529" s="11">
        <f ca="1">IFERROR(__xludf.DUMMYFUNCTION("""COMPUTED_VALUE"""),45919.0833333333)</f>
        <v>45919.083333333299</v>
      </c>
      <c r="BH1529" s="17" t="s">
        <v>105</v>
      </c>
      <c r="BI1529" s="17"/>
      <c r="BJ1529" s="15"/>
      <c r="BK1529" s="15"/>
      <c r="BL1529" s="13" t="b">
        <v>0</v>
      </c>
      <c r="BM1529" s="10"/>
      <c r="BN1529" s="10" t="s">
        <v>667</v>
      </c>
      <c r="BO1529" s="11">
        <v>45904.299305555556</v>
      </c>
      <c r="BP1529" s="11">
        <v>45908.705312500002</v>
      </c>
      <c r="BQ1529" s="15">
        <v>45912.83798611111</v>
      </c>
      <c r="BR1529" s="15">
        <v>45914.43273148148</v>
      </c>
      <c r="BS1529" s="10" t="s">
        <v>667</v>
      </c>
      <c r="BT1529" s="10" t="s">
        <v>279</v>
      </c>
      <c r="BU1529" s="10" t="s">
        <v>11428</v>
      </c>
      <c r="BV1529" s="10" t="s">
        <v>281</v>
      </c>
      <c r="BW1529" s="10" t="s">
        <v>11543</v>
      </c>
      <c r="BX1529" s="19" t="s">
        <v>11544</v>
      </c>
      <c r="BY1529" s="23"/>
      <c r="BZ1529" s="23"/>
      <c r="CA1529" s="19" t="s">
        <v>11545</v>
      </c>
      <c r="CB1529" s="23"/>
      <c r="CC1529" s="23"/>
      <c r="CD1529" s="19" t="s">
        <v>11546</v>
      </c>
      <c r="CE1529" s="23"/>
      <c r="CF1529" s="23"/>
      <c r="CG1529" s="23"/>
      <c r="CH1529" s="23"/>
      <c r="CI1529" s="23"/>
    </row>
    <row r="1530" spans="1:87" x14ac:dyDescent="0.3">
      <c r="A1530" s="9" t="s">
        <v>11547</v>
      </c>
      <c r="B1530" s="10" t="s">
        <v>11548</v>
      </c>
      <c r="C1530" s="11">
        <v>45930.989583333336</v>
      </c>
      <c r="D1530" s="12">
        <v>8.3333333333333329E-2</v>
      </c>
      <c r="E1530" s="11">
        <v>45931.072916666664</v>
      </c>
      <c r="F1530" s="10" t="s">
        <v>3563</v>
      </c>
      <c r="G1530" s="13" t="b">
        <v>0</v>
      </c>
      <c r="H1530" s="10" t="s">
        <v>11460</v>
      </c>
      <c r="I1530" s="10" t="s">
        <v>89</v>
      </c>
      <c r="J1530" s="13" t="b">
        <v>0</v>
      </c>
      <c r="K1530" s="13" t="b">
        <v>1</v>
      </c>
      <c r="L1530" s="10" t="s">
        <v>124</v>
      </c>
      <c r="M1530" s="10" t="s">
        <v>91</v>
      </c>
      <c r="N1530" s="10" t="s">
        <v>92</v>
      </c>
      <c r="O1530" s="19" t="s">
        <v>11549</v>
      </c>
      <c r="P1530" s="10"/>
      <c r="Q1530" s="10" t="s">
        <v>126</v>
      </c>
      <c r="R1530" s="10"/>
      <c r="S1530" s="19" t="s">
        <v>11550</v>
      </c>
      <c r="T1530" s="19" t="s">
        <v>11551</v>
      </c>
      <c r="U1530" s="10" t="s">
        <v>7811</v>
      </c>
      <c r="V1530" s="10" t="s">
        <v>5113</v>
      </c>
      <c r="W1530" s="10" t="s">
        <v>3569</v>
      </c>
      <c r="X1530" s="10" t="s">
        <v>130</v>
      </c>
      <c r="Y1530" s="10" t="s">
        <v>130</v>
      </c>
      <c r="Z1530" s="10" t="s">
        <v>99</v>
      </c>
      <c r="AA1530" s="10" t="s">
        <v>131</v>
      </c>
      <c r="AB1530" s="10" t="s">
        <v>3570</v>
      </c>
      <c r="AC1530" s="10" t="s">
        <v>3571</v>
      </c>
      <c r="AD1530" s="10" t="s">
        <v>11552</v>
      </c>
      <c r="AE1530" s="10" t="s">
        <v>11553</v>
      </c>
      <c r="AF1530" s="15"/>
      <c r="AG1530" s="10"/>
      <c r="AH1530" s="10"/>
      <c r="AI1530" s="10"/>
      <c r="AJ1530" s="10"/>
      <c r="AK1530" s="10" t="s">
        <v>102</v>
      </c>
      <c r="AL1530" s="10" t="s">
        <v>7897</v>
      </c>
      <c r="AM1530" s="10"/>
      <c r="AN1530" s="10"/>
      <c r="AO1530" s="13" t="b">
        <v>1</v>
      </c>
      <c r="AP1530" s="10" t="s">
        <v>104</v>
      </c>
      <c r="AQ1530" s="10">
        <f ca="1">IFERROR(__xludf.DUMMYFUNCTION("""COMPUTED_VALUE"""),4602009)</f>
        <v>4602009</v>
      </c>
      <c r="AR1530" s="17">
        <v>211438</v>
      </c>
      <c r="AS1530" s="17">
        <v>150482</v>
      </c>
      <c r="AT1530" s="17">
        <v>3628927.75</v>
      </c>
      <c r="AU1530" s="17">
        <v>2063.25</v>
      </c>
      <c r="AV1530" s="17">
        <v>546.20000000000005</v>
      </c>
      <c r="AW1530" s="10" t="s">
        <v>105</v>
      </c>
      <c r="AX1530" s="17">
        <v>53112</v>
      </c>
      <c r="AY1530" s="18">
        <v>24.115360973405458</v>
      </c>
      <c r="AZ1530" s="10" t="s">
        <v>168</v>
      </c>
      <c r="BA1530" s="20" t="b">
        <v>0</v>
      </c>
      <c r="BB1530" s="10"/>
      <c r="BC1530" s="17">
        <v>211438</v>
      </c>
      <c r="BD1530" s="17">
        <v>150482</v>
      </c>
      <c r="BE1530" s="17">
        <v>3628927.75</v>
      </c>
      <c r="BF1530" s="17">
        <v>546.20000000000005</v>
      </c>
      <c r="BG1530" s="11">
        <f ca="1">IFERROR(__xludf.DUMMYFUNCTION("""COMPUTED_VALUE"""),45930.9895833333)</f>
        <v>45930.989583333299</v>
      </c>
      <c r="BH1530" s="17" t="s">
        <v>105</v>
      </c>
      <c r="BI1530" s="17"/>
      <c r="BJ1530" s="15"/>
      <c r="BK1530" s="15"/>
      <c r="BL1530" s="13" t="b">
        <v>0</v>
      </c>
      <c r="BM1530" s="10"/>
      <c r="BN1530" s="10" t="s">
        <v>667</v>
      </c>
      <c r="BO1530" s="11">
        <v>45904.299305555556</v>
      </c>
      <c r="BP1530" s="11">
        <v>45923.527685185189</v>
      </c>
      <c r="BQ1530" s="15">
        <v>45926.664259259262</v>
      </c>
      <c r="BR1530" s="15">
        <v>45927.442743055559</v>
      </c>
      <c r="BS1530" s="10" t="s">
        <v>667</v>
      </c>
      <c r="BT1530" s="10" t="s">
        <v>279</v>
      </c>
      <c r="BU1530" s="10" t="s">
        <v>498</v>
      </c>
      <c r="BV1530" s="10" t="s">
        <v>4315</v>
      </c>
      <c r="BW1530" s="10"/>
      <c r="BX1530" s="10"/>
      <c r="BY1530" s="23"/>
      <c r="BZ1530" s="23"/>
      <c r="CA1530" s="19" t="s">
        <v>11554</v>
      </c>
      <c r="CB1530" s="19" t="s">
        <v>11555</v>
      </c>
      <c r="CC1530" s="23"/>
      <c r="CD1530" s="19" t="s">
        <v>11556</v>
      </c>
      <c r="CE1530" s="23"/>
      <c r="CF1530" s="23"/>
      <c r="CG1530" s="23"/>
      <c r="CH1530" s="23"/>
      <c r="CI1530" s="23"/>
    </row>
    <row r="1531" spans="1:87" x14ac:dyDescent="0.3">
      <c r="A1531" s="9" t="s">
        <v>11557</v>
      </c>
      <c r="B1531" s="10" t="s">
        <v>11558</v>
      </c>
      <c r="C1531" s="11">
        <v>45930.989583333336</v>
      </c>
      <c r="D1531" s="12">
        <v>8.3333333333333329E-2</v>
      </c>
      <c r="E1531" s="11">
        <v>45931.072916666664</v>
      </c>
      <c r="F1531" s="10" t="s">
        <v>3563</v>
      </c>
      <c r="G1531" s="13" t="b">
        <v>0</v>
      </c>
      <c r="H1531" s="10" t="s">
        <v>3564</v>
      </c>
      <c r="I1531" s="10" t="s">
        <v>89</v>
      </c>
      <c r="J1531" s="13" t="b">
        <v>0</v>
      </c>
      <c r="K1531" s="13" t="b">
        <v>1</v>
      </c>
      <c r="L1531" s="10" t="s">
        <v>124</v>
      </c>
      <c r="M1531" s="10" t="s">
        <v>91</v>
      </c>
      <c r="N1531" s="10" t="s">
        <v>92</v>
      </c>
      <c r="O1531" s="19" t="s">
        <v>11559</v>
      </c>
      <c r="P1531" s="10"/>
      <c r="Q1531" s="10" t="s">
        <v>94</v>
      </c>
      <c r="R1531" s="10"/>
      <c r="S1531" s="19" t="s">
        <v>11560</v>
      </c>
      <c r="T1531" s="19" t="s">
        <v>11551</v>
      </c>
      <c r="U1531" s="10" t="s">
        <v>3308</v>
      </c>
      <c r="V1531" s="10" t="s">
        <v>3568</v>
      </c>
      <c r="W1531" s="10" t="s">
        <v>3569</v>
      </c>
      <c r="X1531" s="10" t="s">
        <v>130</v>
      </c>
      <c r="Y1531" s="10" t="s">
        <v>130</v>
      </c>
      <c r="Z1531" s="10" t="s">
        <v>99</v>
      </c>
      <c r="AA1531" s="10" t="s">
        <v>131</v>
      </c>
      <c r="AB1531" s="10" t="s">
        <v>3570</v>
      </c>
      <c r="AC1531" s="10" t="s">
        <v>3571</v>
      </c>
      <c r="AD1531" s="10" t="s">
        <v>11561</v>
      </c>
      <c r="AE1531" s="10" t="s">
        <v>11562</v>
      </c>
      <c r="AF1531" s="15"/>
      <c r="AG1531" s="10"/>
      <c r="AH1531" s="10"/>
      <c r="AI1531" s="10"/>
      <c r="AJ1531" s="10"/>
      <c r="AK1531" s="10" t="s">
        <v>102</v>
      </c>
      <c r="AL1531" s="10" t="s">
        <v>7897</v>
      </c>
      <c r="AM1531" s="10"/>
      <c r="AN1531" s="10"/>
      <c r="AO1531" s="13" t="b">
        <v>0</v>
      </c>
      <c r="AP1531" s="10" t="s">
        <v>104</v>
      </c>
      <c r="AQ1531" s="10">
        <f ca="1">IFERROR(__xludf.DUMMYFUNCTION("""COMPUTED_VALUE"""),4604765)</f>
        <v>4604765</v>
      </c>
      <c r="AR1531" s="17">
        <v>32032</v>
      </c>
      <c r="AS1531" s="17">
        <v>21631</v>
      </c>
      <c r="AT1531" s="17">
        <v>331543.5</v>
      </c>
      <c r="AU1531" s="17">
        <v>129.35</v>
      </c>
      <c r="AV1531" s="17">
        <v>25.8</v>
      </c>
      <c r="AW1531" s="10" t="s">
        <v>105</v>
      </c>
      <c r="AX1531" s="17">
        <v>6963</v>
      </c>
      <c r="AY1531" s="18">
        <v>15.327238685220285</v>
      </c>
      <c r="AZ1531" s="10" t="s">
        <v>168</v>
      </c>
      <c r="BA1531" s="20" t="b">
        <v>0</v>
      </c>
      <c r="BB1531" s="10"/>
      <c r="BC1531" s="17">
        <v>32032</v>
      </c>
      <c r="BD1531" s="17">
        <v>21631</v>
      </c>
      <c r="BE1531" s="17">
        <v>331543.5</v>
      </c>
      <c r="BF1531" s="17">
        <v>25.8</v>
      </c>
      <c r="BG1531" s="11">
        <f ca="1">IFERROR(__xludf.DUMMYFUNCTION("""COMPUTED_VALUE"""),45930.9895833333)</f>
        <v>45930.989583333299</v>
      </c>
      <c r="BH1531" s="17" t="s">
        <v>105</v>
      </c>
      <c r="BI1531" s="17"/>
      <c r="BJ1531" s="15"/>
      <c r="BK1531" s="15"/>
      <c r="BL1531" s="13" t="b">
        <v>0</v>
      </c>
      <c r="BM1531" s="10"/>
      <c r="BN1531" s="10" t="s">
        <v>667</v>
      </c>
      <c r="BO1531" s="11">
        <v>45904.299305555556</v>
      </c>
      <c r="BP1531" s="11">
        <v>45924.902766203704</v>
      </c>
      <c r="BQ1531" s="15">
        <v>45926.6640625</v>
      </c>
      <c r="BR1531" s="15">
        <v>45928.444768518515</v>
      </c>
      <c r="BS1531" s="10" t="s">
        <v>667</v>
      </c>
      <c r="BT1531" s="10" t="s">
        <v>279</v>
      </c>
      <c r="BU1531" s="10" t="s">
        <v>3752</v>
      </c>
      <c r="BV1531" s="10"/>
      <c r="BW1531" s="10"/>
      <c r="BX1531" s="10"/>
      <c r="BY1531" s="23"/>
      <c r="BZ1531" s="23"/>
      <c r="CA1531" s="19" t="s">
        <v>11563</v>
      </c>
      <c r="CB1531" s="19" t="s">
        <v>11564</v>
      </c>
      <c r="CC1531" s="23"/>
      <c r="CD1531" s="23"/>
      <c r="CE1531" s="23"/>
      <c r="CF1531" s="23"/>
      <c r="CG1531" s="23"/>
      <c r="CH1531" s="23"/>
      <c r="CI1531" s="23"/>
    </row>
    <row r="1532" spans="1:87" x14ac:dyDescent="0.3">
      <c r="A1532" s="9" t="s">
        <v>11565</v>
      </c>
      <c r="B1532" s="10" t="s">
        <v>11566</v>
      </c>
      <c r="C1532" s="11">
        <v>45931.083333333336</v>
      </c>
      <c r="D1532" s="12">
        <v>8.3333333333333329E-2</v>
      </c>
      <c r="E1532" s="11">
        <v>45931.166666666664</v>
      </c>
      <c r="F1532" s="10" t="s">
        <v>3563</v>
      </c>
      <c r="G1532" s="13" t="b">
        <v>0</v>
      </c>
      <c r="H1532" s="10" t="s">
        <v>5239</v>
      </c>
      <c r="I1532" s="10" t="s">
        <v>89</v>
      </c>
      <c r="J1532" s="13" t="b">
        <v>0</v>
      </c>
      <c r="K1532" s="13" t="b">
        <v>1</v>
      </c>
      <c r="L1532" s="10" t="s">
        <v>124</v>
      </c>
      <c r="M1532" s="10" t="s">
        <v>91</v>
      </c>
      <c r="N1532" s="10" t="s">
        <v>92</v>
      </c>
      <c r="O1532" s="19" t="s">
        <v>11567</v>
      </c>
      <c r="P1532" s="10"/>
      <c r="Q1532" s="10" t="s">
        <v>94</v>
      </c>
      <c r="R1532" s="10"/>
      <c r="S1532" s="19" t="s">
        <v>11568</v>
      </c>
      <c r="T1532" s="19" t="s">
        <v>11551</v>
      </c>
      <c r="U1532" s="10" t="s">
        <v>11435</v>
      </c>
      <c r="V1532" s="10" t="s">
        <v>3715</v>
      </c>
      <c r="W1532" s="10" t="s">
        <v>3569</v>
      </c>
      <c r="X1532" s="10" t="s">
        <v>130</v>
      </c>
      <c r="Y1532" s="10" t="s">
        <v>130</v>
      </c>
      <c r="Z1532" s="10" t="s">
        <v>99</v>
      </c>
      <c r="AA1532" s="10" t="s">
        <v>131</v>
      </c>
      <c r="AB1532" s="10" t="s">
        <v>3570</v>
      </c>
      <c r="AC1532" s="10" t="s">
        <v>3571</v>
      </c>
      <c r="AD1532" s="10" t="s">
        <v>11569</v>
      </c>
      <c r="AE1532" s="10" t="s">
        <v>11570</v>
      </c>
      <c r="AF1532" s="15"/>
      <c r="AG1532" s="10"/>
      <c r="AH1532" s="10"/>
      <c r="AI1532" s="10"/>
      <c r="AJ1532" s="10"/>
      <c r="AK1532" s="10" t="s">
        <v>102</v>
      </c>
      <c r="AL1532" s="10" t="s">
        <v>7897</v>
      </c>
      <c r="AM1532" s="10"/>
      <c r="AN1532" s="10"/>
      <c r="AO1532" s="13" t="b">
        <v>0</v>
      </c>
      <c r="AP1532" s="10" t="s">
        <v>104</v>
      </c>
      <c r="AQ1532" s="10">
        <f ca="1">IFERROR(__xludf.DUMMYFUNCTION("""COMPUTED_VALUE"""),4602544)</f>
        <v>4602544</v>
      </c>
      <c r="AR1532" s="17">
        <v>8809</v>
      </c>
      <c r="AS1532" s="17">
        <v>6000</v>
      </c>
      <c r="AT1532" s="17">
        <v>23604</v>
      </c>
      <c r="AU1532" s="17">
        <v>5.7</v>
      </c>
      <c r="AV1532" s="17">
        <v>3.15</v>
      </c>
      <c r="AW1532" s="10" t="s">
        <v>105</v>
      </c>
      <c r="AX1532" s="17">
        <v>699</v>
      </c>
      <c r="AY1532" s="18">
        <v>3.9340000000000002</v>
      </c>
      <c r="AZ1532" s="10" t="s">
        <v>168</v>
      </c>
      <c r="BA1532" s="20" t="b">
        <v>0</v>
      </c>
      <c r="BB1532" s="10"/>
      <c r="BC1532" s="17">
        <v>8809</v>
      </c>
      <c r="BD1532" s="17">
        <v>6000</v>
      </c>
      <c r="BE1532" s="17">
        <v>23604</v>
      </c>
      <c r="BF1532" s="17">
        <v>3.15</v>
      </c>
      <c r="BG1532" s="11">
        <f ca="1">IFERROR(__xludf.DUMMYFUNCTION("""COMPUTED_VALUE"""),45931.0833333333)</f>
        <v>45931.083333333299</v>
      </c>
      <c r="BH1532" s="17" t="s">
        <v>105</v>
      </c>
      <c r="BI1532" s="17"/>
      <c r="BJ1532" s="15"/>
      <c r="BK1532" s="15"/>
      <c r="BL1532" s="13" t="b">
        <v>0</v>
      </c>
      <c r="BM1532" s="10"/>
      <c r="BN1532" s="10" t="s">
        <v>667</v>
      </c>
      <c r="BO1532" s="11">
        <v>45904.299305555556</v>
      </c>
      <c r="BP1532" s="11">
        <v>45923.512615740743</v>
      </c>
      <c r="BQ1532" s="15">
        <v>45926.742152777777</v>
      </c>
      <c r="BR1532" s="15">
        <v>45927.443668981483</v>
      </c>
      <c r="BS1532" s="10" t="s">
        <v>667</v>
      </c>
      <c r="BT1532" s="10" t="s">
        <v>279</v>
      </c>
      <c r="BU1532" s="10" t="s">
        <v>655</v>
      </c>
      <c r="BV1532" s="10"/>
      <c r="BW1532" s="10"/>
      <c r="BX1532" s="10"/>
      <c r="BY1532" s="23"/>
      <c r="BZ1532" s="23"/>
      <c r="CA1532" s="19" t="s">
        <v>11571</v>
      </c>
      <c r="CB1532" s="19" t="s">
        <v>11572</v>
      </c>
      <c r="CC1532" s="23"/>
      <c r="CD1532" s="23"/>
      <c r="CE1532" s="23"/>
      <c r="CF1532" s="23"/>
      <c r="CG1532" s="23"/>
      <c r="CH1532" s="23"/>
      <c r="CI1532" s="23"/>
    </row>
    <row r="1533" spans="1:87" x14ac:dyDescent="0.3">
      <c r="A1533" s="9" t="s">
        <v>11573</v>
      </c>
      <c r="B1533" s="10" t="s">
        <v>11574</v>
      </c>
      <c r="C1533" s="11">
        <v>45931.083333333336</v>
      </c>
      <c r="D1533" s="12">
        <v>8.3333333333333329E-2</v>
      </c>
      <c r="E1533" s="11">
        <v>45931.166666666664</v>
      </c>
      <c r="F1533" s="10" t="s">
        <v>3563</v>
      </c>
      <c r="G1533" s="13" t="b">
        <v>0</v>
      </c>
      <c r="H1533" s="10" t="s">
        <v>5239</v>
      </c>
      <c r="I1533" s="10" t="s">
        <v>89</v>
      </c>
      <c r="J1533" s="13" t="b">
        <v>0</v>
      </c>
      <c r="K1533" s="13" t="b">
        <v>1</v>
      </c>
      <c r="L1533" s="10" t="s">
        <v>124</v>
      </c>
      <c r="M1533" s="10" t="s">
        <v>91</v>
      </c>
      <c r="N1533" s="10" t="s">
        <v>92</v>
      </c>
      <c r="O1533" s="19" t="s">
        <v>11575</v>
      </c>
      <c r="P1533" s="10"/>
      <c r="Q1533" s="10" t="s">
        <v>126</v>
      </c>
      <c r="R1533" s="10"/>
      <c r="S1533" s="19" t="s">
        <v>11576</v>
      </c>
      <c r="T1533" s="19" t="s">
        <v>11551</v>
      </c>
      <c r="U1533" s="10" t="s">
        <v>3278</v>
      </c>
      <c r="V1533" s="10" t="s">
        <v>11454</v>
      </c>
      <c r="W1533" s="10" t="s">
        <v>3569</v>
      </c>
      <c r="X1533" s="10" t="s">
        <v>130</v>
      </c>
      <c r="Y1533" s="10" t="s">
        <v>130</v>
      </c>
      <c r="Z1533" s="10" t="s">
        <v>99</v>
      </c>
      <c r="AA1533" s="10" t="s">
        <v>131</v>
      </c>
      <c r="AB1533" s="10" t="s">
        <v>3570</v>
      </c>
      <c r="AC1533" s="10" t="s">
        <v>3571</v>
      </c>
      <c r="AD1533" s="10" t="s">
        <v>11577</v>
      </c>
      <c r="AE1533" s="10" t="s">
        <v>11578</v>
      </c>
      <c r="AF1533" s="15"/>
      <c r="AG1533" s="10"/>
      <c r="AH1533" s="10"/>
      <c r="AI1533" s="10"/>
      <c r="AJ1533" s="10"/>
      <c r="AK1533" s="10" t="s">
        <v>102</v>
      </c>
      <c r="AL1533" s="10" t="s">
        <v>7897</v>
      </c>
      <c r="AM1533" s="10"/>
      <c r="AN1533" s="10"/>
      <c r="AO1533" s="13" t="b">
        <v>1</v>
      </c>
      <c r="AP1533" s="10" t="s">
        <v>104</v>
      </c>
      <c r="AQ1533" s="10">
        <f ca="1">IFERROR(__xludf.DUMMYFUNCTION("""COMPUTED_VALUE"""),4602013)</f>
        <v>4602013</v>
      </c>
      <c r="AR1533" s="17">
        <v>27909</v>
      </c>
      <c r="AS1533" s="17">
        <v>17471</v>
      </c>
      <c r="AT1533" s="17">
        <v>568769</v>
      </c>
      <c r="AU1533" s="17">
        <v>210.1</v>
      </c>
      <c r="AV1533" s="17">
        <v>38.65</v>
      </c>
      <c r="AW1533" s="10" t="s">
        <v>105</v>
      </c>
      <c r="AX1533" s="17">
        <v>6567</v>
      </c>
      <c r="AY1533" s="18">
        <v>32.555034056436384</v>
      </c>
      <c r="AZ1533" s="10" t="s">
        <v>168</v>
      </c>
      <c r="BA1533" s="20" t="b">
        <v>0</v>
      </c>
      <c r="BB1533" s="10"/>
      <c r="BC1533" s="17">
        <v>27909</v>
      </c>
      <c r="BD1533" s="17">
        <v>17471</v>
      </c>
      <c r="BE1533" s="17">
        <v>568769</v>
      </c>
      <c r="BF1533" s="17">
        <v>38.65</v>
      </c>
      <c r="BG1533" s="11">
        <f ca="1">IFERROR(__xludf.DUMMYFUNCTION("""COMPUTED_VALUE"""),45931.0833333333)</f>
        <v>45931.083333333299</v>
      </c>
      <c r="BH1533" s="17" t="s">
        <v>105</v>
      </c>
      <c r="BI1533" s="17"/>
      <c r="BJ1533" s="15"/>
      <c r="BK1533" s="15"/>
      <c r="BL1533" s="13" t="b">
        <v>0</v>
      </c>
      <c r="BM1533" s="10"/>
      <c r="BN1533" s="10" t="s">
        <v>667</v>
      </c>
      <c r="BO1533" s="11">
        <v>45904.299305555556</v>
      </c>
      <c r="BP1533" s="11">
        <v>45923.512812499997</v>
      </c>
      <c r="BQ1533" s="15">
        <v>45926.741990740738</v>
      </c>
      <c r="BR1533" s="15">
        <v>45927.443541666667</v>
      </c>
      <c r="BS1533" s="10" t="s">
        <v>667</v>
      </c>
      <c r="BT1533" s="10" t="s">
        <v>279</v>
      </c>
      <c r="BU1533" s="10" t="s">
        <v>456</v>
      </c>
      <c r="BV1533" s="10"/>
      <c r="BW1533" s="10"/>
      <c r="BX1533" s="10"/>
      <c r="BY1533" s="23"/>
      <c r="BZ1533" s="23"/>
      <c r="CA1533" s="19" t="s">
        <v>11579</v>
      </c>
      <c r="CB1533" s="19" t="s">
        <v>11580</v>
      </c>
      <c r="CC1533" s="23"/>
      <c r="CD1533" s="19" t="s">
        <v>11581</v>
      </c>
      <c r="CE1533" s="23"/>
      <c r="CF1533" s="23"/>
      <c r="CG1533" s="23"/>
      <c r="CH1533" s="23"/>
      <c r="CI1533" s="23"/>
    </row>
    <row r="1534" spans="1:87" x14ac:dyDescent="0.3">
      <c r="A1534" s="9" t="s">
        <v>11582</v>
      </c>
      <c r="B1534" s="10" t="s">
        <v>11583</v>
      </c>
      <c r="C1534" s="11">
        <v>45931.083333333336</v>
      </c>
      <c r="D1534" s="12">
        <v>8.3333333333333329E-2</v>
      </c>
      <c r="E1534" s="11">
        <v>45931.166666666664</v>
      </c>
      <c r="F1534" s="10" t="s">
        <v>3563</v>
      </c>
      <c r="G1534" s="13" t="b">
        <v>0</v>
      </c>
      <c r="H1534" s="10" t="s">
        <v>3564</v>
      </c>
      <c r="I1534" s="10" t="s">
        <v>89</v>
      </c>
      <c r="J1534" s="13" t="b">
        <v>0</v>
      </c>
      <c r="K1534" s="13" t="b">
        <v>1</v>
      </c>
      <c r="L1534" s="10" t="s">
        <v>124</v>
      </c>
      <c r="M1534" s="10" t="s">
        <v>91</v>
      </c>
      <c r="N1534" s="10" t="s">
        <v>92</v>
      </c>
      <c r="O1534" s="19" t="s">
        <v>11584</v>
      </c>
      <c r="P1534" s="10"/>
      <c r="Q1534" s="10" t="s">
        <v>126</v>
      </c>
      <c r="R1534" s="10"/>
      <c r="S1534" s="19" t="s">
        <v>11585</v>
      </c>
      <c r="T1534" s="19" t="s">
        <v>11551</v>
      </c>
      <c r="U1534" s="10" t="s">
        <v>346</v>
      </c>
      <c r="V1534" s="10" t="s">
        <v>3582</v>
      </c>
      <c r="W1534" s="10" t="s">
        <v>3569</v>
      </c>
      <c r="X1534" s="10" t="s">
        <v>130</v>
      </c>
      <c r="Y1534" s="10" t="s">
        <v>130</v>
      </c>
      <c r="Z1534" s="10" t="s">
        <v>99</v>
      </c>
      <c r="AA1534" s="10" t="s">
        <v>131</v>
      </c>
      <c r="AB1534" s="10" t="s">
        <v>3570</v>
      </c>
      <c r="AC1534" s="10" t="s">
        <v>3571</v>
      </c>
      <c r="AD1534" s="10" t="s">
        <v>11586</v>
      </c>
      <c r="AE1534" s="10" t="s">
        <v>11587</v>
      </c>
      <c r="AF1534" s="15"/>
      <c r="AG1534" s="10"/>
      <c r="AH1534" s="10"/>
      <c r="AI1534" s="10"/>
      <c r="AJ1534" s="10"/>
      <c r="AK1534" s="10" t="s">
        <v>102</v>
      </c>
      <c r="AL1534" s="10" t="s">
        <v>7897</v>
      </c>
      <c r="AM1534" s="10"/>
      <c r="AN1534" s="10"/>
      <c r="AO1534" s="13" t="b">
        <v>1</v>
      </c>
      <c r="AP1534" s="10" t="s">
        <v>104</v>
      </c>
      <c r="AQ1534" s="10">
        <f ca="1">IFERROR(__xludf.DUMMYFUNCTION("""COMPUTED_VALUE"""),4602542)</f>
        <v>4602542</v>
      </c>
      <c r="AR1534" s="17">
        <v>50399</v>
      </c>
      <c r="AS1534" s="17">
        <v>30576</v>
      </c>
      <c r="AT1534" s="17">
        <v>1281844</v>
      </c>
      <c r="AU1534" s="17">
        <v>303.55</v>
      </c>
      <c r="AV1534" s="17">
        <v>82.15</v>
      </c>
      <c r="AW1534" s="10" t="s">
        <v>105</v>
      </c>
      <c r="AX1534" s="17">
        <v>13321</v>
      </c>
      <c r="AY1534" s="18">
        <v>41.923207744636315</v>
      </c>
      <c r="AZ1534" s="10" t="s">
        <v>168</v>
      </c>
      <c r="BA1534" s="20" t="b">
        <v>0</v>
      </c>
      <c r="BB1534" s="10"/>
      <c r="BC1534" s="17">
        <v>50399</v>
      </c>
      <c r="BD1534" s="17">
        <v>30576</v>
      </c>
      <c r="BE1534" s="17">
        <v>1281844</v>
      </c>
      <c r="BF1534" s="17">
        <v>82.15</v>
      </c>
      <c r="BG1534" s="11">
        <f ca="1">IFERROR(__xludf.DUMMYFUNCTION("""COMPUTED_VALUE"""),45931.0833333333)</f>
        <v>45931.083333333299</v>
      </c>
      <c r="BH1534" s="17" t="s">
        <v>105</v>
      </c>
      <c r="BI1534" s="17"/>
      <c r="BJ1534" s="15"/>
      <c r="BK1534" s="15"/>
      <c r="BL1534" s="13" t="b">
        <v>0</v>
      </c>
      <c r="BM1534" s="10"/>
      <c r="BN1534" s="10" t="s">
        <v>667</v>
      </c>
      <c r="BO1534" s="11">
        <v>45904.299305555556</v>
      </c>
      <c r="BP1534" s="11">
        <v>45924.902905092589</v>
      </c>
      <c r="BQ1534" s="15">
        <v>45926.741655092592</v>
      </c>
      <c r="BR1534" s="15">
        <v>45927.443252314813</v>
      </c>
      <c r="BS1534" s="10" t="s">
        <v>667</v>
      </c>
      <c r="BT1534" s="10" t="s">
        <v>279</v>
      </c>
      <c r="BU1534" s="10" t="s">
        <v>3752</v>
      </c>
      <c r="BV1534" s="10"/>
      <c r="BW1534" s="10"/>
      <c r="BX1534" s="10"/>
      <c r="BY1534" s="23"/>
      <c r="BZ1534" s="23"/>
      <c r="CA1534" s="19" t="s">
        <v>11588</v>
      </c>
      <c r="CB1534" s="19" t="s">
        <v>11589</v>
      </c>
      <c r="CC1534" s="23"/>
      <c r="CD1534" s="19" t="s">
        <v>11590</v>
      </c>
      <c r="CE1534" s="23"/>
      <c r="CF1534" s="23"/>
      <c r="CG1534" s="23"/>
      <c r="CH1534" s="23"/>
      <c r="CI1534" s="23"/>
    </row>
    <row r="1535" spans="1:87" x14ac:dyDescent="0.3">
      <c r="A1535" s="9" t="s">
        <v>11591</v>
      </c>
      <c r="B1535" s="10" t="s">
        <v>11592</v>
      </c>
      <c r="C1535" s="11">
        <v>45931.083333333336</v>
      </c>
      <c r="D1535" s="12">
        <v>8.3333333333333329E-2</v>
      </c>
      <c r="E1535" s="11">
        <v>45931.166666666664</v>
      </c>
      <c r="F1535" s="10" t="s">
        <v>3563</v>
      </c>
      <c r="G1535" s="13" t="b">
        <v>0</v>
      </c>
      <c r="H1535" s="10" t="s">
        <v>11460</v>
      </c>
      <c r="I1535" s="10" t="s">
        <v>89</v>
      </c>
      <c r="J1535" s="13" t="b">
        <v>0</v>
      </c>
      <c r="K1535" s="13" t="b">
        <v>1</v>
      </c>
      <c r="L1535" s="10" t="s">
        <v>124</v>
      </c>
      <c r="M1535" s="10" t="s">
        <v>91</v>
      </c>
      <c r="N1535" s="10" t="s">
        <v>92</v>
      </c>
      <c r="O1535" s="19" t="s">
        <v>11593</v>
      </c>
      <c r="P1535" s="10"/>
      <c r="Q1535" s="10" t="s">
        <v>126</v>
      </c>
      <c r="R1535" s="10"/>
      <c r="S1535" s="19" t="s">
        <v>11594</v>
      </c>
      <c r="T1535" s="19" t="s">
        <v>11551</v>
      </c>
      <c r="U1535" s="10" t="s">
        <v>11518</v>
      </c>
      <c r="V1535" s="10" t="s">
        <v>270</v>
      </c>
      <c r="W1535" s="10" t="s">
        <v>3569</v>
      </c>
      <c r="X1535" s="10" t="s">
        <v>130</v>
      </c>
      <c r="Y1535" s="10" t="s">
        <v>130</v>
      </c>
      <c r="Z1535" s="10" t="s">
        <v>99</v>
      </c>
      <c r="AA1535" s="10" t="s">
        <v>131</v>
      </c>
      <c r="AB1535" s="10" t="s">
        <v>3570</v>
      </c>
      <c r="AC1535" s="10" t="s">
        <v>3571</v>
      </c>
      <c r="AD1535" s="10" t="s">
        <v>11595</v>
      </c>
      <c r="AE1535" s="10" t="s">
        <v>11596</v>
      </c>
      <c r="AF1535" s="15"/>
      <c r="AG1535" s="10"/>
      <c r="AH1535" s="10"/>
      <c r="AI1535" s="10"/>
      <c r="AJ1535" s="10"/>
      <c r="AK1535" s="10" t="s">
        <v>102</v>
      </c>
      <c r="AL1535" s="10" t="s">
        <v>7897</v>
      </c>
      <c r="AM1535" s="10"/>
      <c r="AN1535" s="10"/>
      <c r="AO1535" s="13" t="b">
        <v>1</v>
      </c>
      <c r="AP1535" s="10" t="s">
        <v>104</v>
      </c>
      <c r="AQ1535" s="10">
        <f ca="1">IFERROR(__xludf.DUMMYFUNCTION("""COMPUTED_VALUE"""),4602014)</f>
        <v>4602014</v>
      </c>
      <c r="AR1535" s="17">
        <v>114121</v>
      </c>
      <c r="AS1535" s="17">
        <v>62064</v>
      </c>
      <c r="AT1535" s="17">
        <v>2535802</v>
      </c>
      <c r="AU1535" s="17">
        <v>652.54999999999995</v>
      </c>
      <c r="AV1535" s="17">
        <v>157.05000000000001</v>
      </c>
      <c r="AW1535" s="10" t="s">
        <v>105</v>
      </c>
      <c r="AX1535" s="17">
        <v>43757</v>
      </c>
      <c r="AY1535" s="18">
        <v>40.857856406290281</v>
      </c>
      <c r="AZ1535" s="10" t="s">
        <v>168</v>
      </c>
      <c r="BA1535" s="20" t="b">
        <v>0</v>
      </c>
      <c r="BB1535" s="10"/>
      <c r="BC1535" s="17">
        <v>114121</v>
      </c>
      <c r="BD1535" s="17">
        <v>62064</v>
      </c>
      <c r="BE1535" s="17">
        <v>2535802</v>
      </c>
      <c r="BF1535" s="17">
        <v>157.05000000000001</v>
      </c>
      <c r="BG1535" s="11">
        <f ca="1">IFERROR(__xludf.DUMMYFUNCTION("""COMPUTED_VALUE"""),45931.0833333333)</f>
        <v>45931.083333333299</v>
      </c>
      <c r="BH1535" s="17" t="s">
        <v>105</v>
      </c>
      <c r="BI1535" s="17"/>
      <c r="BJ1535" s="15"/>
      <c r="BK1535" s="15"/>
      <c r="BL1535" s="13" t="b">
        <v>0</v>
      </c>
      <c r="BM1535" s="10"/>
      <c r="BN1535" s="10" t="s">
        <v>667</v>
      </c>
      <c r="BO1535" s="11">
        <v>45904.299305555556</v>
      </c>
      <c r="BP1535" s="11">
        <v>45923.527824074074</v>
      </c>
      <c r="BQ1535" s="15">
        <v>45926.741828703707</v>
      </c>
      <c r="BR1535" s="15">
        <v>45927.443414351852</v>
      </c>
      <c r="BS1535" s="10" t="s">
        <v>667</v>
      </c>
      <c r="BT1535" s="10" t="s">
        <v>279</v>
      </c>
      <c r="BU1535" s="10" t="s">
        <v>816</v>
      </c>
      <c r="BV1535" s="10" t="s">
        <v>124</v>
      </c>
      <c r="BW1535" s="10"/>
      <c r="BX1535" s="10"/>
      <c r="BY1535" s="23"/>
      <c r="BZ1535" s="23"/>
      <c r="CA1535" s="19" t="s">
        <v>11597</v>
      </c>
      <c r="CB1535" s="19" t="s">
        <v>11598</v>
      </c>
      <c r="CC1535" s="23"/>
      <c r="CD1535" s="19" t="s">
        <v>11599</v>
      </c>
      <c r="CE1535" s="23"/>
      <c r="CF1535" s="23"/>
      <c r="CG1535" s="23"/>
      <c r="CH1535" s="23"/>
      <c r="CI1535" s="23"/>
    </row>
    <row r="1536" spans="1:87" x14ac:dyDescent="0.3">
      <c r="A1536" s="9" t="s">
        <v>11600</v>
      </c>
      <c r="B1536" s="10" t="s">
        <v>11601</v>
      </c>
      <c r="C1536" s="11">
        <v>45931.083333333336</v>
      </c>
      <c r="D1536" s="12">
        <v>8.3333333333333329E-2</v>
      </c>
      <c r="E1536" s="11">
        <v>45931.166666666664</v>
      </c>
      <c r="F1536" s="10" t="s">
        <v>3563</v>
      </c>
      <c r="G1536" s="13" t="b">
        <v>0</v>
      </c>
      <c r="H1536" s="10" t="s">
        <v>5239</v>
      </c>
      <c r="I1536" s="10" t="s">
        <v>89</v>
      </c>
      <c r="J1536" s="13" t="b">
        <v>0</v>
      </c>
      <c r="K1536" s="13" t="b">
        <v>1</v>
      </c>
      <c r="L1536" s="10" t="s">
        <v>124</v>
      </c>
      <c r="M1536" s="10" t="s">
        <v>91</v>
      </c>
      <c r="N1536" s="10" t="s">
        <v>92</v>
      </c>
      <c r="O1536" s="19" t="s">
        <v>11602</v>
      </c>
      <c r="P1536" s="10"/>
      <c r="Q1536" s="10" t="s">
        <v>126</v>
      </c>
      <c r="R1536" s="10"/>
      <c r="S1536" s="19" t="s">
        <v>11603</v>
      </c>
      <c r="T1536" s="19" t="s">
        <v>11551</v>
      </c>
      <c r="U1536" s="10" t="s">
        <v>3590</v>
      </c>
      <c r="V1536" s="10" t="s">
        <v>11463</v>
      </c>
      <c r="W1536" s="10" t="s">
        <v>3569</v>
      </c>
      <c r="X1536" s="10" t="s">
        <v>130</v>
      </c>
      <c r="Y1536" s="10" t="s">
        <v>130</v>
      </c>
      <c r="Z1536" s="10" t="s">
        <v>99</v>
      </c>
      <c r="AA1536" s="10" t="s">
        <v>131</v>
      </c>
      <c r="AB1536" s="10" t="s">
        <v>3570</v>
      </c>
      <c r="AC1536" s="10" t="s">
        <v>3571</v>
      </c>
      <c r="AD1536" s="10" t="s">
        <v>11604</v>
      </c>
      <c r="AE1536" s="10" t="s">
        <v>11605</v>
      </c>
      <c r="AF1536" s="15"/>
      <c r="AG1536" s="10"/>
      <c r="AH1536" s="10"/>
      <c r="AI1536" s="10"/>
      <c r="AJ1536" s="10"/>
      <c r="AK1536" s="10" t="s">
        <v>102</v>
      </c>
      <c r="AL1536" s="10" t="s">
        <v>7897</v>
      </c>
      <c r="AM1536" s="10"/>
      <c r="AN1536" s="10"/>
      <c r="AO1536" s="13" t="b">
        <v>1</v>
      </c>
      <c r="AP1536" s="10" t="s">
        <v>104</v>
      </c>
      <c r="AQ1536" s="10">
        <f ca="1">IFERROR(__xludf.DUMMYFUNCTION("""COMPUTED_VALUE"""),4602546)</f>
        <v>4602546</v>
      </c>
      <c r="AR1536" s="17">
        <v>17889</v>
      </c>
      <c r="AS1536" s="17">
        <v>11661</v>
      </c>
      <c r="AT1536" s="17">
        <v>132884</v>
      </c>
      <c r="AU1536" s="17">
        <v>46.85</v>
      </c>
      <c r="AV1536" s="17">
        <v>26.9</v>
      </c>
      <c r="AW1536" s="10" t="s">
        <v>105</v>
      </c>
      <c r="AX1536" s="17">
        <v>2191</v>
      </c>
      <c r="AY1536" s="18">
        <v>11.395592144756025</v>
      </c>
      <c r="AZ1536" s="10" t="s">
        <v>168</v>
      </c>
      <c r="BA1536" s="20" t="b">
        <v>0</v>
      </c>
      <c r="BB1536" s="10"/>
      <c r="BC1536" s="17">
        <v>17889</v>
      </c>
      <c r="BD1536" s="17">
        <v>11661</v>
      </c>
      <c r="BE1536" s="17">
        <v>132884</v>
      </c>
      <c r="BF1536" s="17">
        <v>26.9</v>
      </c>
      <c r="BG1536" s="11">
        <f ca="1">IFERROR(__xludf.DUMMYFUNCTION("""COMPUTED_VALUE"""),45931.0833333333)</f>
        <v>45931.083333333299</v>
      </c>
      <c r="BH1536" s="17" t="s">
        <v>105</v>
      </c>
      <c r="BI1536" s="17"/>
      <c r="BJ1536" s="15"/>
      <c r="BK1536" s="15"/>
      <c r="BL1536" s="13" t="b">
        <v>0</v>
      </c>
      <c r="BM1536" s="10"/>
      <c r="BN1536" s="10" t="s">
        <v>667</v>
      </c>
      <c r="BO1536" s="11">
        <v>45904.299305555556</v>
      </c>
      <c r="BP1536" s="11">
        <v>45923.513171296298</v>
      </c>
      <c r="BQ1536" s="15">
        <v>45926.742326388892</v>
      </c>
      <c r="BR1536" s="15">
        <v>45927.446296296293</v>
      </c>
      <c r="BS1536" s="10" t="s">
        <v>667</v>
      </c>
      <c r="BT1536" s="10" t="s">
        <v>279</v>
      </c>
      <c r="BU1536" s="10" t="s">
        <v>718</v>
      </c>
      <c r="BV1536" s="10"/>
      <c r="BW1536" s="10"/>
      <c r="BX1536" s="10"/>
      <c r="BY1536" s="23"/>
      <c r="BZ1536" s="23"/>
      <c r="CA1536" s="19" t="s">
        <v>11606</v>
      </c>
      <c r="CB1536" s="19" t="s">
        <v>11607</v>
      </c>
      <c r="CC1536" s="23"/>
      <c r="CD1536" s="19" t="s">
        <v>11608</v>
      </c>
      <c r="CE1536" s="23"/>
      <c r="CF1536" s="23"/>
      <c r="CG1536" s="23"/>
      <c r="CH1536" s="23"/>
      <c r="CI1536" s="23"/>
    </row>
    <row r="1537" spans="1:87" x14ac:dyDescent="0.3">
      <c r="A1537" s="9" t="s">
        <v>11609</v>
      </c>
      <c r="B1537" s="10" t="s">
        <v>11610</v>
      </c>
      <c r="C1537" s="11">
        <v>45931.083333333336</v>
      </c>
      <c r="D1537" s="12">
        <v>8.3333333333333329E-2</v>
      </c>
      <c r="E1537" s="11">
        <v>45931.166666666664</v>
      </c>
      <c r="F1537" s="10" t="s">
        <v>3563</v>
      </c>
      <c r="G1537" s="13" t="b">
        <v>0</v>
      </c>
      <c r="H1537" s="10" t="s">
        <v>6271</v>
      </c>
      <c r="I1537" s="10" t="s">
        <v>89</v>
      </c>
      <c r="J1537" s="13" t="b">
        <v>0</v>
      </c>
      <c r="K1537" s="13" t="b">
        <v>1</v>
      </c>
      <c r="L1537" s="10" t="s">
        <v>124</v>
      </c>
      <c r="M1537" s="10" t="s">
        <v>91</v>
      </c>
      <c r="N1537" s="10" t="s">
        <v>92</v>
      </c>
      <c r="O1537" s="19" t="s">
        <v>11611</v>
      </c>
      <c r="P1537" s="10"/>
      <c r="Q1537" s="10" t="s">
        <v>126</v>
      </c>
      <c r="R1537" s="10"/>
      <c r="S1537" s="19" t="s">
        <v>11612</v>
      </c>
      <c r="T1537" s="19" t="s">
        <v>11551</v>
      </c>
      <c r="U1537" s="10" t="s">
        <v>8556</v>
      </c>
      <c r="V1537" s="10" t="s">
        <v>429</v>
      </c>
      <c r="W1537" s="10" t="s">
        <v>3569</v>
      </c>
      <c r="X1537" s="10" t="s">
        <v>130</v>
      </c>
      <c r="Y1537" s="10" t="s">
        <v>130</v>
      </c>
      <c r="Z1537" s="10" t="s">
        <v>99</v>
      </c>
      <c r="AA1537" s="10" t="s">
        <v>131</v>
      </c>
      <c r="AB1537" s="10" t="s">
        <v>3570</v>
      </c>
      <c r="AC1537" s="10" t="s">
        <v>3571</v>
      </c>
      <c r="AD1537" s="10" t="s">
        <v>11613</v>
      </c>
      <c r="AE1537" s="10" t="s">
        <v>11614</v>
      </c>
      <c r="AF1537" s="15"/>
      <c r="AG1537" s="10"/>
      <c r="AH1537" s="10"/>
      <c r="AI1537" s="10"/>
      <c r="AJ1537" s="10"/>
      <c r="AK1537" s="10" t="s">
        <v>102</v>
      </c>
      <c r="AL1537" s="10" t="s">
        <v>7897</v>
      </c>
      <c r="AM1537" s="10"/>
      <c r="AN1537" s="10"/>
      <c r="AO1537" s="13" t="b">
        <v>0</v>
      </c>
      <c r="AP1537" s="10" t="s">
        <v>104</v>
      </c>
      <c r="AQ1537" s="10">
        <f ca="1">IFERROR(__xludf.DUMMYFUNCTION("""COMPUTED_VALUE"""),4602015)</f>
        <v>4602015</v>
      </c>
      <c r="AR1537" s="17">
        <v>14807</v>
      </c>
      <c r="AS1537" s="17">
        <v>9063</v>
      </c>
      <c r="AT1537" s="17">
        <v>127259.75</v>
      </c>
      <c r="AU1537" s="17">
        <v>20.05</v>
      </c>
      <c r="AV1537" s="17">
        <v>7.35</v>
      </c>
      <c r="AW1537" s="10" t="s">
        <v>105</v>
      </c>
      <c r="AX1537" s="17">
        <v>2126</v>
      </c>
      <c r="AY1537" s="18">
        <v>14.041680459009157</v>
      </c>
      <c r="AZ1537" s="10" t="s">
        <v>168</v>
      </c>
      <c r="BA1537" s="20" t="b">
        <v>0</v>
      </c>
      <c r="BB1537" s="10"/>
      <c r="BC1537" s="17">
        <v>14807</v>
      </c>
      <c r="BD1537" s="17">
        <v>9063</v>
      </c>
      <c r="BE1537" s="17">
        <v>127259.75</v>
      </c>
      <c r="BF1537" s="17">
        <v>7.35</v>
      </c>
      <c r="BG1537" s="11">
        <f ca="1">IFERROR(__xludf.DUMMYFUNCTION("""COMPUTED_VALUE"""),45931.0833333333)</f>
        <v>45931.083333333299</v>
      </c>
      <c r="BH1537" s="17" t="s">
        <v>105</v>
      </c>
      <c r="BI1537" s="17"/>
      <c r="BJ1537" s="15"/>
      <c r="BK1537" s="15"/>
      <c r="BL1537" s="13" t="b">
        <v>0</v>
      </c>
      <c r="BM1537" s="10"/>
      <c r="BN1537" s="10" t="s">
        <v>667</v>
      </c>
      <c r="BO1537" s="11">
        <v>45904.299305555556</v>
      </c>
      <c r="BP1537" s="11">
        <v>45924.906481481485</v>
      </c>
      <c r="BQ1537" s="15">
        <v>45926.741435185184</v>
      </c>
      <c r="BR1537" s="15">
        <v>45927.443067129629</v>
      </c>
      <c r="BS1537" s="10" t="s">
        <v>667</v>
      </c>
      <c r="BT1537" s="10" t="s">
        <v>279</v>
      </c>
      <c r="BU1537" s="10" t="s">
        <v>11615</v>
      </c>
      <c r="BV1537" s="10"/>
      <c r="BW1537" s="10"/>
      <c r="BX1537" s="10"/>
      <c r="BY1537" s="23"/>
      <c r="BZ1537" s="23"/>
      <c r="CA1537" s="19" t="s">
        <v>11616</v>
      </c>
      <c r="CB1537" s="19" t="s">
        <v>11617</v>
      </c>
      <c r="CC1537" s="23"/>
      <c r="CD1537" s="19" t="s">
        <v>11618</v>
      </c>
      <c r="CE1537" s="23"/>
      <c r="CF1537" s="23"/>
      <c r="CG1537" s="23"/>
      <c r="CH1537" s="23"/>
      <c r="CI1537" s="23"/>
    </row>
    <row r="1538" spans="1:87" x14ac:dyDescent="0.3">
      <c r="A1538" s="9" t="s">
        <v>11619</v>
      </c>
      <c r="B1538" s="10" t="s">
        <v>11620</v>
      </c>
      <c r="C1538" s="11">
        <v>45931.083333333336</v>
      </c>
      <c r="D1538" s="12">
        <v>8.3333333333333329E-2</v>
      </c>
      <c r="E1538" s="11">
        <v>45931.166666666664</v>
      </c>
      <c r="F1538" s="10" t="s">
        <v>3563</v>
      </c>
      <c r="G1538" s="13" t="b">
        <v>0</v>
      </c>
      <c r="H1538" s="10" t="s">
        <v>5239</v>
      </c>
      <c r="I1538" s="10" t="s">
        <v>89</v>
      </c>
      <c r="J1538" s="13" t="b">
        <v>0</v>
      </c>
      <c r="K1538" s="13" t="b">
        <v>1</v>
      </c>
      <c r="L1538" s="10" t="s">
        <v>124</v>
      </c>
      <c r="M1538" s="10" t="s">
        <v>91</v>
      </c>
      <c r="N1538" s="10" t="s">
        <v>92</v>
      </c>
      <c r="O1538" s="19" t="s">
        <v>11621</v>
      </c>
      <c r="P1538" s="10"/>
      <c r="Q1538" s="10" t="s">
        <v>126</v>
      </c>
      <c r="R1538" s="10"/>
      <c r="S1538" s="19" t="s">
        <v>11622</v>
      </c>
      <c r="T1538" s="19" t="s">
        <v>11551</v>
      </c>
      <c r="U1538" s="10" t="s">
        <v>5090</v>
      </c>
      <c r="V1538" s="10" t="s">
        <v>11517</v>
      </c>
      <c r="W1538" s="10" t="s">
        <v>3569</v>
      </c>
      <c r="X1538" s="10" t="s">
        <v>130</v>
      </c>
      <c r="Y1538" s="10" t="s">
        <v>130</v>
      </c>
      <c r="Z1538" s="10" t="s">
        <v>99</v>
      </c>
      <c r="AA1538" s="10" t="s">
        <v>131</v>
      </c>
      <c r="AB1538" s="10" t="s">
        <v>3570</v>
      </c>
      <c r="AC1538" s="10" t="s">
        <v>3571</v>
      </c>
      <c r="AD1538" s="10" t="s">
        <v>11623</v>
      </c>
      <c r="AE1538" s="10" t="s">
        <v>11624</v>
      </c>
      <c r="AF1538" s="15"/>
      <c r="AG1538" s="10"/>
      <c r="AH1538" s="10"/>
      <c r="AI1538" s="10"/>
      <c r="AJ1538" s="10"/>
      <c r="AK1538" s="10" t="s">
        <v>102</v>
      </c>
      <c r="AL1538" s="10" t="s">
        <v>7897</v>
      </c>
      <c r="AM1538" s="10"/>
      <c r="AN1538" s="10"/>
      <c r="AO1538" s="13" t="b">
        <v>0</v>
      </c>
      <c r="AP1538" s="10" t="s">
        <v>104</v>
      </c>
      <c r="AQ1538" s="10">
        <f ca="1">IFERROR(__xludf.DUMMYFUNCTION("""COMPUTED_VALUE"""),4602011)</f>
        <v>4602011</v>
      </c>
      <c r="AR1538" s="17">
        <v>20640</v>
      </c>
      <c r="AS1538" s="17">
        <v>13573</v>
      </c>
      <c r="AT1538" s="17">
        <v>90635</v>
      </c>
      <c r="AU1538" s="17">
        <v>21.65</v>
      </c>
      <c r="AV1538" s="17">
        <v>9.5</v>
      </c>
      <c r="AW1538" s="10" t="s">
        <v>105</v>
      </c>
      <c r="AX1538" s="17">
        <v>2542</v>
      </c>
      <c r="AY1538" s="18">
        <v>6.6775952258159581</v>
      </c>
      <c r="AZ1538" s="10" t="s">
        <v>168</v>
      </c>
      <c r="BA1538" s="20" t="b">
        <v>0</v>
      </c>
      <c r="BB1538" s="10"/>
      <c r="BC1538" s="17">
        <v>20640</v>
      </c>
      <c r="BD1538" s="17">
        <v>13573</v>
      </c>
      <c r="BE1538" s="17">
        <v>90635</v>
      </c>
      <c r="BF1538" s="17">
        <v>9.5</v>
      </c>
      <c r="BG1538" s="11">
        <f ca="1">IFERROR(__xludf.DUMMYFUNCTION("""COMPUTED_VALUE"""),45931.0833333333)</f>
        <v>45931.083333333299</v>
      </c>
      <c r="BH1538" s="17" t="s">
        <v>105</v>
      </c>
      <c r="BI1538" s="17"/>
      <c r="BJ1538" s="15"/>
      <c r="BK1538" s="15"/>
      <c r="BL1538" s="13" t="b">
        <v>0</v>
      </c>
      <c r="BM1538" s="10"/>
      <c r="BN1538" s="10" t="s">
        <v>667</v>
      </c>
      <c r="BO1538" s="11">
        <v>45904.299305555556</v>
      </c>
      <c r="BP1538" s="11">
        <v>45923.513275462959</v>
      </c>
      <c r="BQ1538" s="15">
        <v>45926.741249999999</v>
      </c>
      <c r="BR1538" s="15">
        <v>45927.442916666667</v>
      </c>
      <c r="BS1538" s="10" t="s">
        <v>667</v>
      </c>
      <c r="BT1538" s="10" t="s">
        <v>279</v>
      </c>
      <c r="BU1538" s="10" t="s">
        <v>534</v>
      </c>
      <c r="BV1538" s="10"/>
      <c r="BW1538" s="10"/>
      <c r="BX1538" s="10"/>
      <c r="BY1538" s="23"/>
      <c r="BZ1538" s="23"/>
      <c r="CA1538" s="19" t="s">
        <v>11625</v>
      </c>
      <c r="CB1538" s="19" t="s">
        <v>11626</v>
      </c>
      <c r="CC1538" s="23"/>
      <c r="CD1538" s="19" t="s">
        <v>11627</v>
      </c>
      <c r="CE1538" s="23"/>
      <c r="CF1538" s="23"/>
      <c r="CG1538" s="23"/>
      <c r="CH1538" s="23"/>
      <c r="CI1538" s="23"/>
    </row>
    <row r="1539" spans="1:87" x14ac:dyDescent="0.3">
      <c r="A1539" s="9" t="s">
        <v>11628</v>
      </c>
      <c r="B1539" s="10" t="s">
        <v>11629</v>
      </c>
      <c r="C1539" s="11">
        <v>45931.989583333336</v>
      </c>
      <c r="D1539" s="12">
        <v>8.3333333333333329E-2</v>
      </c>
      <c r="E1539" s="11">
        <v>45932.072916666664</v>
      </c>
      <c r="F1539" s="10" t="s">
        <v>3563</v>
      </c>
      <c r="G1539" s="13" t="b">
        <v>0</v>
      </c>
      <c r="H1539" s="10" t="s">
        <v>3564</v>
      </c>
      <c r="I1539" s="10" t="s">
        <v>89</v>
      </c>
      <c r="J1539" s="13" t="b">
        <v>0</v>
      </c>
      <c r="K1539" s="13" t="b">
        <v>1</v>
      </c>
      <c r="L1539" s="10" t="s">
        <v>124</v>
      </c>
      <c r="M1539" s="10" t="s">
        <v>91</v>
      </c>
      <c r="N1539" s="10" t="s">
        <v>92</v>
      </c>
      <c r="O1539" s="19" t="s">
        <v>11630</v>
      </c>
      <c r="P1539" s="10"/>
      <c r="Q1539" s="10" t="s">
        <v>94</v>
      </c>
      <c r="R1539" s="10"/>
      <c r="S1539" s="19" t="s">
        <v>11631</v>
      </c>
      <c r="T1539" s="19" t="s">
        <v>11551</v>
      </c>
      <c r="U1539" s="10" t="s">
        <v>3599</v>
      </c>
      <c r="V1539" s="10" t="s">
        <v>11499</v>
      </c>
      <c r="W1539" s="10" t="s">
        <v>3569</v>
      </c>
      <c r="X1539" s="10" t="s">
        <v>130</v>
      </c>
      <c r="Y1539" s="10" t="s">
        <v>130</v>
      </c>
      <c r="Z1539" s="10" t="s">
        <v>99</v>
      </c>
      <c r="AA1539" s="10" t="s">
        <v>131</v>
      </c>
      <c r="AB1539" s="10" t="s">
        <v>3570</v>
      </c>
      <c r="AC1539" s="10" t="s">
        <v>3571</v>
      </c>
      <c r="AD1539" s="10" t="s">
        <v>11632</v>
      </c>
      <c r="AE1539" s="10" t="s">
        <v>11633</v>
      </c>
      <c r="AF1539" s="15"/>
      <c r="AG1539" s="10"/>
      <c r="AH1539" s="10"/>
      <c r="AI1539" s="10"/>
      <c r="AJ1539" s="10"/>
      <c r="AK1539" s="10" t="s">
        <v>102</v>
      </c>
      <c r="AL1539" s="10" t="s">
        <v>7897</v>
      </c>
      <c r="AM1539" s="10"/>
      <c r="AN1539" s="10"/>
      <c r="AO1539" s="13" t="b">
        <v>0</v>
      </c>
      <c r="AP1539" s="10" t="s">
        <v>104</v>
      </c>
      <c r="AQ1539" s="10">
        <f ca="1">IFERROR(__xludf.DUMMYFUNCTION("""COMPUTED_VALUE"""),4606950)</f>
        <v>4606950</v>
      </c>
      <c r="AR1539" s="17">
        <v>19840</v>
      </c>
      <c r="AS1539" s="17">
        <v>14196</v>
      </c>
      <c r="AT1539" s="17">
        <v>216298.5</v>
      </c>
      <c r="AU1539" s="17">
        <v>87.15</v>
      </c>
      <c r="AV1539" s="17">
        <v>34.450000000000003</v>
      </c>
      <c r="AW1539" s="10" t="s">
        <v>105</v>
      </c>
      <c r="AX1539" s="17">
        <v>3833</v>
      </c>
      <c r="AY1539" s="18">
        <v>15.236580726965343</v>
      </c>
      <c r="AZ1539" s="10" t="s">
        <v>168</v>
      </c>
      <c r="BA1539" s="20" t="b">
        <v>0</v>
      </c>
      <c r="BB1539" s="10"/>
      <c r="BC1539" s="17">
        <v>19840</v>
      </c>
      <c r="BD1539" s="17">
        <v>14196</v>
      </c>
      <c r="BE1539" s="17">
        <v>216298.5</v>
      </c>
      <c r="BF1539" s="17">
        <v>34.450000000000003</v>
      </c>
      <c r="BG1539" s="11">
        <f ca="1">IFERROR(__xludf.DUMMYFUNCTION("""COMPUTED_VALUE"""),45931.9895833333)</f>
        <v>45931.989583333299</v>
      </c>
      <c r="BH1539" s="17" t="s">
        <v>105</v>
      </c>
      <c r="BI1539" s="17"/>
      <c r="BJ1539" s="15"/>
      <c r="BK1539" s="15"/>
      <c r="BL1539" s="13" t="b">
        <v>0</v>
      </c>
      <c r="BM1539" s="10"/>
      <c r="BN1539" s="10" t="s">
        <v>1149</v>
      </c>
      <c r="BO1539" s="11">
        <v>45904.299305555556</v>
      </c>
      <c r="BP1539" s="11">
        <v>45924.903229166666</v>
      </c>
      <c r="BQ1539" s="15">
        <v>45928.818020833336</v>
      </c>
      <c r="BR1539" s="15">
        <v>45929.416400462964</v>
      </c>
      <c r="BS1539" s="10" t="s">
        <v>1149</v>
      </c>
      <c r="BT1539" s="10" t="s">
        <v>279</v>
      </c>
      <c r="BU1539" s="10" t="s">
        <v>8057</v>
      </c>
      <c r="BV1539" s="10"/>
      <c r="BW1539" s="10"/>
      <c r="BX1539" s="10"/>
      <c r="BY1539" s="23"/>
      <c r="BZ1539" s="23"/>
      <c r="CA1539" s="19" t="s">
        <v>11634</v>
      </c>
      <c r="CB1539" s="19" t="s">
        <v>11635</v>
      </c>
      <c r="CC1539" s="23"/>
      <c r="CD1539" s="23"/>
      <c r="CE1539" s="23"/>
      <c r="CF1539" s="23"/>
      <c r="CG1539" s="23"/>
      <c r="CH1539" s="23"/>
      <c r="CI1539" s="23"/>
    </row>
    <row r="1540" spans="1:87" x14ac:dyDescent="0.3">
      <c r="A1540" s="9" t="s">
        <v>11636</v>
      </c>
      <c r="B1540" s="10" t="s">
        <v>11637</v>
      </c>
      <c r="C1540" s="11">
        <v>45931.989583333336</v>
      </c>
      <c r="D1540" s="12">
        <v>8.3333333333333329E-2</v>
      </c>
      <c r="E1540" s="11">
        <v>45932.072916666664</v>
      </c>
      <c r="F1540" s="10" t="s">
        <v>3563</v>
      </c>
      <c r="G1540" s="13" t="b">
        <v>0</v>
      </c>
      <c r="H1540" s="10" t="s">
        <v>3578</v>
      </c>
      <c r="I1540" s="10" t="s">
        <v>89</v>
      </c>
      <c r="J1540" s="13" t="b">
        <v>0</v>
      </c>
      <c r="K1540" s="13" t="b">
        <v>1</v>
      </c>
      <c r="L1540" s="10" t="s">
        <v>124</v>
      </c>
      <c r="M1540" s="10" t="s">
        <v>91</v>
      </c>
      <c r="N1540" s="10" t="s">
        <v>92</v>
      </c>
      <c r="O1540" s="19" t="s">
        <v>11638</v>
      </c>
      <c r="P1540" s="10"/>
      <c r="Q1540" s="10" t="s">
        <v>126</v>
      </c>
      <c r="R1540" s="10"/>
      <c r="S1540" s="19" t="s">
        <v>11639</v>
      </c>
      <c r="T1540" s="19" t="s">
        <v>11551</v>
      </c>
      <c r="U1540" s="10" t="s">
        <v>11393</v>
      </c>
      <c r="V1540" s="10" t="s">
        <v>293</v>
      </c>
      <c r="W1540" s="10" t="s">
        <v>3569</v>
      </c>
      <c r="X1540" s="10" t="s">
        <v>130</v>
      </c>
      <c r="Y1540" s="10" t="s">
        <v>130</v>
      </c>
      <c r="Z1540" s="10" t="s">
        <v>99</v>
      </c>
      <c r="AA1540" s="10" t="s">
        <v>131</v>
      </c>
      <c r="AB1540" s="10" t="s">
        <v>3570</v>
      </c>
      <c r="AC1540" s="10" t="s">
        <v>3571</v>
      </c>
      <c r="AD1540" s="10" t="s">
        <v>11640</v>
      </c>
      <c r="AE1540" s="10" t="s">
        <v>11641</v>
      </c>
      <c r="AF1540" s="15"/>
      <c r="AG1540" s="10"/>
      <c r="AH1540" s="10"/>
      <c r="AI1540" s="10"/>
      <c r="AJ1540" s="10"/>
      <c r="AK1540" s="10" t="s">
        <v>102</v>
      </c>
      <c r="AL1540" s="10" t="s">
        <v>7897</v>
      </c>
      <c r="AM1540" s="10"/>
      <c r="AN1540" s="10"/>
      <c r="AO1540" s="13" t="b">
        <v>0</v>
      </c>
      <c r="AP1540" s="10" t="s">
        <v>104</v>
      </c>
      <c r="AQ1540" s="10">
        <f ca="1">IFERROR(__xludf.DUMMYFUNCTION("""COMPUTED_VALUE"""),4607563)</f>
        <v>4607563</v>
      </c>
      <c r="AR1540" s="17">
        <v>60501</v>
      </c>
      <c r="AS1540" s="17">
        <v>44278</v>
      </c>
      <c r="AT1540" s="17">
        <v>1213001.25</v>
      </c>
      <c r="AU1540" s="17">
        <v>628.25</v>
      </c>
      <c r="AV1540" s="17">
        <v>287.95</v>
      </c>
      <c r="AW1540" s="10" t="s">
        <v>105</v>
      </c>
      <c r="AX1540" s="17">
        <v>13703</v>
      </c>
      <c r="AY1540" s="18">
        <v>27.395122860111115</v>
      </c>
      <c r="AZ1540" s="10" t="s">
        <v>168</v>
      </c>
      <c r="BA1540" s="20" t="b">
        <v>0</v>
      </c>
      <c r="BB1540" s="10"/>
      <c r="BC1540" s="17">
        <v>60501</v>
      </c>
      <c r="BD1540" s="17">
        <v>44278</v>
      </c>
      <c r="BE1540" s="17">
        <v>1213001.25</v>
      </c>
      <c r="BF1540" s="17">
        <v>287.95</v>
      </c>
      <c r="BG1540" s="11">
        <f ca="1">IFERROR(__xludf.DUMMYFUNCTION("""COMPUTED_VALUE"""),45931.9895833333)</f>
        <v>45931.989583333299</v>
      </c>
      <c r="BH1540" s="17" t="s">
        <v>105</v>
      </c>
      <c r="BI1540" s="17"/>
      <c r="BJ1540" s="15"/>
      <c r="BK1540" s="15"/>
      <c r="BL1540" s="13" t="b">
        <v>0</v>
      </c>
      <c r="BM1540" s="10"/>
      <c r="BN1540" s="10" t="s">
        <v>1149</v>
      </c>
      <c r="BO1540" s="11">
        <v>45904.299305555556</v>
      </c>
      <c r="BP1540" s="11">
        <v>45924.904108796298</v>
      </c>
      <c r="BQ1540" s="15">
        <v>45928.817800925928</v>
      </c>
      <c r="BR1540" s="15">
        <v>45929.419409722221</v>
      </c>
      <c r="BS1540" s="10" t="s">
        <v>1149</v>
      </c>
      <c r="BT1540" s="10" t="s">
        <v>279</v>
      </c>
      <c r="BU1540" s="10" t="s">
        <v>3394</v>
      </c>
      <c r="BV1540" s="10"/>
      <c r="BW1540" s="10"/>
      <c r="BX1540" s="10"/>
      <c r="BY1540" s="23"/>
      <c r="BZ1540" s="23"/>
      <c r="CA1540" s="19" t="s">
        <v>11642</v>
      </c>
      <c r="CB1540" s="19" t="s">
        <v>11643</v>
      </c>
      <c r="CC1540" s="23"/>
      <c r="CD1540" s="19" t="s">
        <v>11644</v>
      </c>
      <c r="CE1540" s="23"/>
      <c r="CF1540" s="23"/>
      <c r="CG1540" s="23"/>
      <c r="CH1540" s="23"/>
      <c r="CI1540" s="23"/>
    </row>
    <row r="1541" spans="1:87" x14ac:dyDescent="0.3">
      <c r="A1541" s="9" t="s">
        <v>11645</v>
      </c>
      <c r="B1541" s="10" t="s">
        <v>11646</v>
      </c>
      <c r="C1541" s="11">
        <v>45932.083333333336</v>
      </c>
      <c r="D1541" s="12">
        <v>8.3333333333333329E-2</v>
      </c>
      <c r="E1541" s="11">
        <v>45932.166666666664</v>
      </c>
      <c r="F1541" s="10" t="s">
        <v>3563</v>
      </c>
      <c r="G1541" s="13" t="b">
        <v>0</v>
      </c>
      <c r="H1541" s="10" t="s">
        <v>3564</v>
      </c>
      <c r="I1541" s="10" t="s">
        <v>89</v>
      </c>
      <c r="J1541" s="13" t="b">
        <v>0</v>
      </c>
      <c r="K1541" s="13" t="b">
        <v>1</v>
      </c>
      <c r="L1541" s="10" t="s">
        <v>124</v>
      </c>
      <c r="M1541" s="10" t="s">
        <v>91</v>
      </c>
      <c r="N1541" s="10" t="s">
        <v>92</v>
      </c>
      <c r="O1541" s="19" t="s">
        <v>11647</v>
      </c>
      <c r="P1541" s="10"/>
      <c r="Q1541" s="10" t="s">
        <v>126</v>
      </c>
      <c r="R1541" s="10"/>
      <c r="S1541" s="19" t="s">
        <v>11648</v>
      </c>
      <c r="T1541" s="19" t="s">
        <v>11551</v>
      </c>
      <c r="U1541" s="10" t="s">
        <v>11509</v>
      </c>
      <c r="V1541" s="10" t="s">
        <v>334</v>
      </c>
      <c r="W1541" s="10" t="s">
        <v>3569</v>
      </c>
      <c r="X1541" s="10" t="s">
        <v>130</v>
      </c>
      <c r="Y1541" s="10" t="s">
        <v>130</v>
      </c>
      <c r="Z1541" s="10" t="s">
        <v>99</v>
      </c>
      <c r="AA1541" s="10" t="s">
        <v>131</v>
      </c>
      <c r="AB1541" s="10" t="s">
        <v>3570</v>
      </c>
      <c r="AC1541" s="10" t="s">
        <v>3571</v>
      </c>
      <c r="AD1541" s="10" t="s">
        <v>11649</v>
      </c>
      <c r="AE1541" s="10" t="s">
        <v>11650</v>
      </c>
      <c r="AF1541" s="15"/>
      <c r="AG1541" s="10"/>
      <c r="AH1541" s="10"/>
      <c r="AI1541" s="10"/>
      <c r="AJ1541" s="10"/>
      <c r="AK1541" s="10" t="s">
        <v>102</v>
      </c>
      <c r="AL1541" s="10" t="s">
        <v>7897</v>
      </c>
      <c r="AM1541" s="10"/>
      <c r="AN1541" s="10"/>
      <c r="AO1541" s="13" t="b">
        <v>1</v>
      </c>
      <c r="AP1541" s="10" t="s">
        <v>104</v>
      </c>
      <c r="AQ1541" s="10">
        <f ca="1">IFERROR(__xludf.DUMMYFUNCTION("""COMPUTED_VALUE"""),4607911)</f>
        <v>4607911</v>
      </c>
      <c r="AR1541" s="17">
        <v>42414</v>
      </c>
      <c r="AS1541" s="17">
        <v>26471</v>
      </c>
      <c r="AT1541" s="17">
        <v>580880.5</v>
      </c>
      <c r="AU1541" s="17">
        <v>160.75</v>
      </c>
      <c r="AV1541" s="17">
        <v>70.349999999999994</v>
      </c>
      <c r="AW1541" s="10" t="s">
        <v>105</v>
      </c>
      <c r="AX1541" s="17">
        <v>11734</v>
      </c>
      <c r="AY1541" s="18">
        <v>21.944033092818557</v>
      </c>
      <c r="AZ1541" s="10" t="s">
        <v>168</v>
      </c>
      <c r="BA1541" s="20" t="b">
        <v>0</v>
      </c>
      <c r="BB1541" s="10"/>
      <c r="BC1541" s="17">
        <v>42414</v>
      </c>
      <c r="BD1541" s="17">
        <v>26471</v>
      </c>
      <c r="BE1541" s="17">
        <v>580880.5</v>
      </c>
      <c r="BF1541" s="17">
        <v>70.349999999999994</v>
      </c>
      <c r="BG1541" s="11">
        <f ca="1">IFERROR(__xludf.DUMMYFUNCTION("""COMPUTED_VALUE"""),45932.0833333333)</f>
        <v>45932.083333333299</v>
      </c>
      <c r="BH1541" s="17" t="s">
        <v>105</v>
      </c>
      <c r="BI1541" s="17"/>
      <c r="BJ1541" s="15"/>
      <c r="BK1541" s="15"/>
      <c r="BL1541" s="13" t="b">
        <v>0</v>
      </c>
      <c r="BM1541" s="10"/>
      <c r="BN1541" s="10" t="s">
        <v>197</v>
      </c>
      <c r="BO1541" s="11">
        <v>45904.299305555556</v>
      </c>
      <c r="BP1541" s="11">
        <v>45924.903437499997</v>
      </c>
      <c r="BQ1541" s="15">
        <v>45929.468287037038</v>
      </c>
      <c r="BR1541" s="15">
        <v>45929.623333333337</v>
      </c>
      <c r="BS1541" s="10" t="s">
        <v>197</v>
      </c>
      <c r="BT1541" s="10" t="s">
        <v>279</v>
      </c>
      <c r="BU1541" s="10" t="s">
        <v>8057</v>
      </c>
      <c r="BV1541" s="10"/>
      <c r="BW1541" s="10"/>
      <c r="BX1541" s="10"/>
      <c r="BY1541" s="23"/>
      <c r="BZ1541" s="23"/>
      <c r="CA1541" s="19" t="s">
        <v>11651</v>
      </c>
      <c r="CB1541" s="19" t="s">
        <v>11652</v>
      </c>
      <c r="CC1541" s="23"/>
      <c r="CD1541" s="19" t="s">
        <v>11653</v>
      </c>
      <c r="CE1541" s="23"/>
      <c r="CF1541" s="23"/>
      <c r="CG1541" s="23"/>
      <c r="CH1541" s="23"/>
      <c r="CI1541" s="23"/>
    </row>
    <row r="1542" spans="1:87" x14ac:dyDescent="0.3">
      <c r="A1542" s="9" t="s">
        <v>11654</v>
      </c>
      <c r="B1542" s="10" t="s">
        <v>11655</v>
      </c>
      <c r="C1542" s="11">
        <v>45932.083333333336</v>
      </c>
      <c r="D1542" s="12">
        <v>8.3333333333333329E-2</v>
      </c>
      <c r="E1542" s="11">
        <v>45932.166666666664</v>
      </c>
      <c r="F1542" s="10" t="s">
        <v>3563</v>
      </c>
      <c r="G1542" s="13" t="b">
        <v>0</v>
      </c>
      <c r="H1542" s="10" t="s">
        <v>5239</v>
      </c>
      <c r="I1542" s="10" t="s">
        <v>89</v>
      </c>
      <c r="J1542" s="13" t="b">
        <v>0</v>
      </c>
      <c r="K1542" s="13" t="b">
        <v>1</v>
      </c>
      <c r="L1542" s="10" t="s">
        <v>124</v>
      </c>
      <c r="M1542" s="10" t="s">
        <v>91</v>
      </c>
      <c r="N1542" s="10" t="s">
        <v>92</v>
      </c>
      <c r="O1542" s="19" t="s">
        <v>11656</v>
      </c>
      <c r="P1542" s="10"/>
      <c r="Q1542" s="10" t="s">
        <v>126</v>
      </c>
      <c r="R1542" s="10"/>
      <c r="S1542" s="19" t="s">
        <v>11657</v>
      </c>
      <c r="T1542" s="19" t="s">
        <v>11551</v>
      </c>
      <c r="U1542" s="10" t="s">
        <v>11409</v>
      </c>
      <c r="V1542" s="10" t="s">
        <v>5076</v>
      </c>
      <c r="W1542" s="10" t="s">
        <v>3569</v>
      </c>
      <c r="X1542" s="10" t="s">
        <v>130</v>
      </c>
      <c r="Y1542" s="10" t="s">
        <v>130</v>
      </c>
      <c r="Z1542" s="10" t="s">
        <v>99</v>
      </c>
      <c r="AA1542" s="10" t="s">
        <v>131</v>
      </c>
      <c r="AB1542" s="10" t="s">
        <v>3570</v>
      </c>
      <c r="AC1542" s="10" t="s">
        <v>3571</v>
      </c>
      <c r="AD1542" s="10" t="s">
        <v>11658</v>
      </c>
      <c r="AE1542" s="10" t="s">
        <v>11659</v>
      </c>
      <c r="AF1542" s="15"/>
      <c r="AG1542" s="10"/>
      <c r="AH1542" s="10"/>
      <c r="AI1542" s="10"/>
      <c r="AJ1542" s="10"/>
      <c r="AK1542" s="10" t="s">
        <v>102</v>
      </c>
      <c r="AL1542" s="10" t="s">
        <v>7897</v>
      </c>
      <c r="AM1542" s="10"/>
      <c r="AN1542" s="10"/>
      <c r="AO1542" s="13" t="b">
        <v>0</v>
      </c>
      <c r="AP1542" s="10" t="s">
        <v>104</v>
      </c>
      <c r="AQ1542" s="10">
        <f ca="1">IFERROR(__xludf.DUMMYFUNCTION("""COMPUTED_VALUE"""),4610342)</f>
        <v>4610342</v>
      </c>
      <c r="AR1542" s="17">
        <v>15179</v>
      </c>
      <c r="AS1542" s="17">
        <v>10160</v>
      </c>
      <c r="AT1542" s="17">
        <v>40349.25</v>
      </c>
      <c r="AU1542" s="17">
        <v>19.05</v>
      </c>
      <c r="AV1542" s="17">
        <v>4.95</v>
      </c>
      <c r="AW1542" s="10" t="s">
        <v>105</v>
      </c>
      <c r="AX1542" s="17">
        <v>2180</v>
      </c>
      <c r="AY1542" s="18">
        <v>3.971382874015748</v>
      </c>
      <c r="AZ1542" s="10" t="s">
        <v>168</v>
      </c>
      <c r="BA1542" s="20" t="b">
        <v>0</v>
      </c>
      <c r="BB1542" s="10"/>
      <c r="BC1542" s="17">
        <v>15179</v>
      </c>
      <c r="BD1542" s="17">
        <v>10160</v>
      </c>
      <c r="BE1542" s="17">
        <v>40349.25</v>
      </c>
      <c r="BF1542" s="17">
        <v>4.95</v>
      </c>
      <c r="BG1542" s="11">
        <f ca="1">IFERROR(__xludf.DUMMYFUNCTION("""COMPUTED_VALUE"""),45932.0833333333)</f>
        <v>45932.083333333299</v>
      </c>
      <c r="BH1542" s="17" t="s">
        <v>105</v>
      </c>
      <c r="BI1542" s="17"/>
      <c r="BJ1542" s="15"/>
      <c r="BK1542" s="15"/>
      <c r="BL1542" s="13" t="b">
        <v>0</v>
      </c>
      <c r="BM1542" s="10"/>
      <c r="BN1542" s="10" t="s">
        <v>197</v>
      </c>
      <c r="BO1542" s="11">
        <v>45904.299305555556</v>
      </c>
      <c r="BP1542" s="11">
        <v>45923.513414351852</v>
      </c>
      <c r="BQ1542" s="15">
        <v>45929.464560185188</v>
      </c>
      <c r="BR1542" s="15">
        <v>45929.7499537037</v>
      </c>
      <c r="BS1542" s="10" t="s">
        <v>197</v>
      </c>
      <c r="BT1542" s="10" t="s">
        <v>279</v>
      </c>
      <c r="BU1542" s="10" t="s">
        <v>421</v>
      </c>
      <c r="BV1542" s="10"/>
      <c r="BW1542" s="10"/>
      <c r="BX1542" s="10"/>
      <c r="BY1542" s="23"/>
      <c r="BZ1542" s="23"/>
      <c r="CA1542" s="19" t="s">
        <v>11660</v>
      </c>
      <c r="CB1542" s="19" t="s">
        <v>11661</v>
      </c>
      <c r="CC1542" s="23"/>
      <c r="CD1542" s="19" t="s">
        <v>11662</v>
      </c>
      <c r="CE1542" s="23"/>
      <c r="CF1542" s="23"/>
      <c r="CG1542" s="23"/>
      <c r="CH1542" s="23"/>
      <c r="CI1542" s="23"/>
    </row>
    <row r="1543" spans="1:87" x14ac:dyDescent="0.3">
      <c r="A1543" s="25" t="s">
        <v>11663</v>
      </c>
      <c r="B1543" s="10" t="s">
        <v>11664</v>
      </c>
      <c r="C1543" s="11">
        <v>45932.083333333336</v>
      </c>
      <c r="D1543" s="12">
        <v>8.3333333333333329E-2</v>
      </c>
      <c r="E1543" s="11">
        <v>45932.166666666664</v>
      </c>
      <c r="F1543" s="10" t="s">
        <v>3563</v>
      </c>
      <c r="G1543" s="13" t="b">
        <v>0</v>
      </c>
      <c r="H1543" s="10" t="s">
        <v>5239</v>
      </c>
      <c r="I1543" s="10" t="s">
        <v>89</v>
      </c>
      <c r="J1543" s="13" t="b">
        <v>0</v>
      </c>
      <c r="K1543" s="13" t="b">
        <v>1</v>
      </c>
      <c r="L1543" s="10" t="s">
        <v>124</v>
      </c>
      <c r="M1543" s="10" t="s">
        <v>91</v>
      </c>
      <c r="N1543" s="10" t="s">
        <v>92</v>
      </c>
      <c r="O1543" s="19" t="s">
        <v>11665</v>
      </c>
      <c r="P1543" s="10"/>
      <c r="Q1543" s="10" t="s">
        <v>126</v>
      </c>
      <c r="R1543" s="10"/>
      <c r="S1543" s="19" t="s">
        <v>11666</v>
      </c>
      <c r="T1543" s="19" t="s">
        <v>11551</v>
      </c>
      <c r="U1543" s="10" t="s">
        <v>3318</v>
      </c>
      <c r="V1543" s="10" t="s">
        <v>7859</v>
      </c>
      <c r="W1543" s="10" t="s">
        <v>3569</v>
      </c>
      <c r="X1543" s="10" t="s">
        <v>130</v>
      </c>
      <c r="Y1543" s="10" t="s">
        <v>130</v>
      </c>
      <c r="Z1543" s="10" t="s">
        <v>99</v>
      </c>
      <c r="AA1543" s="10" t="s">
        <v>131</v>
      </c>
      <c r="AB1543" s="10" t="s">
        <v>3570</v>
      </c>
      <c r="AC1543" s="10" t="s">
        <v>3571</v>
      </c>
      <c r="AD1543" s="10" t="s">
        <v>11667</v>
      </c>
      <c r="AE1543" s="10" t="s">
        <v>11668</v>
      </c>
      <c r="AF1543" s="15"/>
      <c r="AG1543" s="10"/>
      <c r="AH1543" s="10"/>
      <c r="AI1543" s="10"/>
      <c r="AJ1543" s="10"/>
      <c r="AK1543" s="10" t="s">
        <v>102</v>
      </c>
      <c r="AL1543" s="10" t="s">
        <v>7897</v>
      </c>
      <c r="AM1543" s="10"/>
      <c r="AN1543" s="10"/>
      <c r="AO1543" s="13" t="b">
        <v>0</v>
      </c>
      <c r="AP1543" s="10" t="s">
        <v>104</v>
      </c>
      <c r="AQ1543" s="10">
        <f ca="1">IFERROR(__xludf.DUMMYFUNCTION("""COMPUTED_VALUE"""),4610716)</f>
        <v>4610716</v>
      </c>
      <c r="AR1543" s="17">
        <v>16647</v>
      </c>
      <c r="AS1543" s="17">
        <v>10415</v>
      </c>
      <c r="AT1543" s="17">
        <v>54885.5</v>
      </c>
      <c r="AU1543" s="17">
        <v>11.75</v>
      </c>
      <c r="AV1543" s="17">
        <v>4.75</v>
      </c>
      <c r="AW1543" s="10" t="s">
        <v>105</v>
      </c>
      <c r="AX1543" s="17">
        <v>2704</v>
      </c>
      <c r="AY1543" s="18">
        <v>5.2698511761881903</v>
      </c>
      <c r="AZ1543" s="10" t="s">
        <v>168</v>
      </c>
      <c r="BA1543" s="20" t="b">
        <v>0</v>
      </c>
      <c r="BB1543" s="10"/>
      <c r="BC1543" s="17">
        <v>16647</v>
      </c>
      <c r="BD1543" s="17">
        <v>10415</v>
      </c>
      <c r="BE1543" s="17">
        <v>54885.5</v>
      </c>
      <c r="BF1543" s="17">
        <v>4.75</v>
      </c>
      <c r="BG1543" s="11">
        <f ca="1">IFERROR(__xludf.DUMMYFUNCTION("""COMPUTED_VALUE"""),45932.0833333333)</f>
        <v>45932.083333333299</v>
      </c>
      <c r="BH1543" s="17" t="s">
        <v>105</v>
      </c>
      <c r="BI1543" s="17"/>
      <c r="BJ1543" s="15"/>
      <c r="BK1543" s="15"/>
      <c r="BL1543" s="13" t="b">
        <v>0</v>
      </c>
      <c r="BM1543" s="10"/>
      <c r="BN1543" s="10" t="s">
        <v>197</v>
      </c>
      <c r="BO1543" s="11">
        <v>45904.299305555556</v>
      </c>
      <c r="BP1543" s="11">
        <v>45923.513541666667</v>
      </c>
      <c r="BQ1543" s="15">
        <v>45929.470104166663</v>
      </c>
      <c r="BR1543" s="15">
        <v>45929.751006944447</v>
      </c>
      <c r="BS1543" s="10" t="s">
        <v>197</v>
      </c>
      <c r="BT1543" s="10" t="s">
        <v>279</v>
      </c>
      <c r="BU1543" s="10" t="s">
        <v>793</v>
      </c>
      <c r="BV1543" s="10"/>
      <c r="BW1543" s="10"/>
      <c r="BX1543" s="10"/>
      <c r="BY1543" s="23"/>
      <c r="BZ1543" s="23"/>
      <c r="CA1543" s="19" t="s">
        <v>11669</v>
      </c>
      <c r="CB1543" s="19" t="s">
        <v>11670</v>
      </c>
      <c r="CC1543" s="23"/>
      <c r="CD1543" s="19" t="s">
        <v>11671</v>
      </c>
      <c r="CE1543" s="23"/>
      <c r="CF1543" s="23"/>
      <c r="CG1543" s="23"/>
      <c r="CH1543" s="23"/>
      <c r="CI1543" s="23"/>
    </row>
    <row r="1544" spans="1:87" x14ac:dyDescent="0.3">
      <c r="A1544" s="9" t="s">
        <v>11672</v>
      </c>
      <c r="B1544" s="10" t="s">
        <v>11673</v>
      </c>
      <c r="C1544" s="11">
        <v>45932.083333333336</v>
      </c>
      <c r="D1544" s="12">
        <v>8.3333333333333329E-2</v>
      </c>
      <c r="E1544" s="11">
        <v>45932.166666666664</v>
      </c>
      <c r="F1544" s="10" t="s">
        <v>3563</v>
      </c>
      <c r="G1544" s="13" t="b">
        <v>0</v>
      </c>
      <c r="H1544" s="10" t="s">
        <v>5239</v>
      </c>
      <c r="I1544" s="10" t="s">
        <v>89</v>
      </c>
      <c r="J1544" s="13" t="b">
        <v>0</v>
      </c>
      <c r="K1544" s="13" t="b">
        <v>1</v>
      </c>
      <c r="L1544" s="10" t="s">
        <v>124</v>
      </c>
      <c r="M1544" s="10" t="s">
        <v>91</v>
      </c>
      <c r="N1544" s="10" t="s">
        <v>92</v>
      </c>
      <c r="O1544" s="19" t="s">
        <v>11674</v>
      </c>
      <c r="P1544" s="10"/>
      <c r="Q1544" s="10" t="s">
        <v>126</v>
      </c>
      <c r="R1544" s="10"/>
      <c r="S1544" s="19" t="s">
        <v>11675</v>
      </c>
      <c r="T1544" s="19" t="s">
        <v>11551</v>
      </c>
      <c r="U1544" s="10" t="s">
        <v>5018</v>
      </c>
      <c r="V1544" s="10" t="s">
        <v>3259</v>
      </c>
      <c r="W1544" s="10" t="s">
        <v>3569</v>
      </c>
      <c r="X1544" s="10" t="s">
        <v>130</v>
      </c>
      <c r="Y1544" s="10" t="s">
        <v>130</v>
      </c>
      <c r="Z1544" s="10" t="s">
        <v>99</v>
      </c>
      <c r="AA1544" s="10" t="s">
        <v>131</v>
      </c>
      <c r="AB1544" s="10" t="s">
        <v>3570</v>
      </c>
      <c r="AC1544" s="10" t="s">
        <v>3571</v>
      </c>
      <c r="AD1544" s="10" t="s">
        <v>11676</v>
      </c>
      <c r="AE1544" s="10" t="s">
        <v>11677</v>
      </c>
      <c r="AF1544" s="15"/>
      <c r="AG1544" s="10"/>
      <c r="AH1544" s="10"/>
      <c r="AI1544" s="10"/>
      <c r="AJ1544" s="10"/>
      <c r="AK1544" s="10" t="s">
        <v>102</v>
      </c>
      <c r="AL1544" s="10" t="s">
        <v>7897</v>
      </c>
      <c r="AM1544" s="10"/>
      <c r="AN1544" s="10"/>
      <c r="AO1544" s="13" t="b">
        <v>1</v>
      </c>
      <c r="AP1544" s="10" t="s">
        <v>104</v>
      </c>
      <c r="AQ1544" s="10">
        <f ca="1">IFERROR(__xludf.DUMMYFUNCTION("""COMPUTED_VALUE"""),4610719)</f>
        <v>4610719</v>
      </c>
      <c r="AR1544" s="17">
        <v>36226</v>
      </c>
      <c r="AS1544" s="17">
        <v>22361</v>
      </c>
      <c r="AT1544" s="17">
        <v>531355.25</v>
      </c>
      <c r="AU1544" s="17">
        <v>234.1</v>
      </c>
      <c r="AV1544" s="17">
        <v>58.85</v>
      </c>
      <c r="AW1544" s="10" t="s">
        <v>105</v>
      </c>
      <c r="AX1544" s="17">
        <v>8821</v>
      </c>
      <c r="AY1544" s="18">
        <v>23.762588882429231</v>
      </c>
      <c r="AZ1544" s="10" t="s">
        <v>168</v>
      </c>
      <c r="BA1544" s="20" t="b">
        <v>0</v>
      </c>
      <c r="BB1544" s="10"/>
      <c r="BC1544" s="17">
        <v>36226</v>
      </c>
      <c r="BD1544" s="17">
        <v>22361</v>
      </c>
      <c r="BE1544" s="17">
        <v>531355.25</v>
      </c>
      <c r="BF1544" s="17">
        <v>58.85</v>
      </c>
      <c r="BG1544" s="11">
        <f ca="1">IFERROR(__xludf.DUMMYFUNCTION("""COMPUTED_VALUE"""),45932.0833333333)</f>
        <v>45932.083333333299</v>
      </c>
      <c r="BH1544" s="17" t="s">
        <v>105</v>
      </c>
      <c r="BI1544" s="17"/>
      <c r="BJ1544" s="15"/>
      <c r="BK1544" s="15"/>
      <c r="BL1544" s="13" t="b">
        <v>0</v>
      </c>
      <c r="BM1544" s="10"/>
      <c r="BN1544" s="10" t="s">
        <v>197</v>
      </c>
      <c r="BO1544" s="11">
        <v>45904.299305555556</v>
      </c>
      <c r="BP1544" s="11">
        <v>45923.51363425926</v>
      </c>
      <c r="BQ1544" s="15">
        <v>45929.470254629632</v>
      </c>
      <c r="BR1544" s="15">
        <v>45929.757222222222</v>
      </c>
      <c r="BS1544" s="10" t="s">
        <v>197</v>
      </c>
      <c r="BT1544" s="10" t="s">
        <v>279</v>
      </c>
      <c r="BU1544" s="10" t="s">
        <v>280</v>
      </c>
      <c r="BV1544" s="10"/>
      <c r="BW1544" s="10"/>
      <c r="BX1544" s="10"/>
      <c r="BY1544" s="23"/>
      <c r="BZ1544" s="23"/>
      <c r="CA1544" s="19" t="s">
        <v>11678</v>
      </c>
      <c r="CB1544" s="19" t="s">
        <v>11679</v>
      </c>
      <c r="CC1544" s="23"/>
      <c r="CD1544" s="19" t="s">
        <v>11680</v>
      </c>
      <c r="CE1544" s="23"/>
      <c r="CF1544" s="23"/>
      <c r="CG1544" s="23"/>
      <c r="CH1544" s="23"/>
      <c r="CI1544" s="23"/>
    </row>
    <row r="1545" spans="1:87" x14ac:dyDescent="0.3">
      <c r="A1545" s="9" t="s">
        <v>11681</v>
      </c>
      <c r="B1545" s="10" t="s">
        <v>11682</v>
      </c>
      <c r="C1545" s="11">
        <v>45932.083333333336</v>
      </c>
      <c r="D1545" s="12">
        <v>8.3333333333333329E-2</v>
      </c>
      <c r="E1545" s="11">
        <v>45932.166666666664</v>
      </c>
      <c r="F1545" s="10" t="s">
        <v>3563</v>
      </c>
      <c r="G1545" s="13" t="b">
        <v>0</v>
      </c>
      <c r="H1545" s="10" t="s">
        <v>11460</v>
      </c>
      <c r="I1545" s="10" t="s">
        <v>89</v>
      </c>
      <c r="J1545" s="13" t="b">
        <v>0</v>
      </c>
      <c r="K1545" s="13" t="b">
        <v>1</v>
      </c>
      <c r="L1545" s="10" t="s">
        <v>124</v>
      </c>
      <c r="M1545" s="10" t="s">
        <v>91</v>
      </c>
      <c r="N1545" s="10" t="s">
        <v>92</v>
      </c>
      <c r="O1545" s="19" t="s">
        <v>11683</v>
      </c>
      <c r="P1545" s="10"/>
      <c r="Q1545" s="10" t="s">
        <v>126</v>
      </c>
      <c r="R1545" s="10"/>
      <c r="S1545" s="19" t="s">
        <v>11684</v>
      </c>
      <c r="T1545" s="19" t="s">
        <v>11551</v>
      </c>
      <c r="U1545" s="10" t="s">
        <v>362</v>
      </c>
      <c r="V1545" s="10" t="s">
        <v>11446</v>
      </c>
      <c r="W1545" s="10" t="s">
        <v>3569</v>
      </c>
      <c r="X1545" s="10" t="s">
        <v>130</v>
      </c>
      <c r="Y1545" s="10" t="s">
        <v>130</v>
      </c>
      <c r="Z1545" s="10" t="s">
        <v>99</v>
      </c>
      <c r="AA1545" s="10" t="s">
        <v>131</v>
      </c>
      <c r="AB1545" s="10" t="s">
        <v>3570</v>
      </c>
      <c r="AC1545" s="10" t="s">
        <v>3571</v>
      </c>
      <c r="AD1545" s="10" t="s">
        <v>11685</v>
      </c>
      <c r="AE1545" s="10" t="s">
        <v>11686</v>
      </c>
      <c r="AF1545" s="15"/>
      <c r="AG1545" s="10"/>
      <c r="AH1545" s="10"/>
      <c r="AI1545" s="10"/>
      <c r="AJ1545" s="10"/>
      <c r="AK1545" s="10" t="s">
        <v>102</v>
      </c>
      <c r="AL1545" s="10" t="s">
        <v>7897</v>
      </c>
      <c r="AM1545" s="10"/>
      <c r="AN1545" s="10"/>
      <c r="AO1545" s="13" t="b">
        <v>1</v>
      </c>
      <c r="AP1545" s="10" t="s">
        <v>104</v>
      </c>
      <c r="AQ1545" s="10">
        <f ca="1">IFERROR(__xludf.DUMMYFUNCTION("""COMPUTED_VALUE"""),4607915)</f>
        <v>4607915</v>
      </c>
      <c r="AR1545" s="17">
        <v>70077</v>
      </c>
      <c r="AS1545" s="17">
        <v>44396</v>
      </c>
      <c r="AT1545" s="17">
        <v>1250112.25</v>
      </c>
      <c r="AU1545" s="17">
        <v>240.2</v>
      </c>
      <c r="AV1545" s="17">
        <v>64.400000000000006</v>
      </c>
      <c r="AW1545" s="10" t="s">
        <v>105</v>
      </c>
      <c r="AX1545" s="17">
        <v>14169</v>
      </c>
      <c r="AY1545" s="18">
        <v>28.158218082710153</v>
      </c>
      <c r="AZ1545" s="10" t="s">
        <v>168</v>
      </c>
      <c r="BA1545" s="20" t="b">
        <v>0</v>
      </c>
      <c r="BB1545" s="10"/>
      <c r="BC1545" s="17">
        <v>70077</v>
      </c>
      <c r="BD1545" s="17">
        <v>44396</v>
      </c>
      <c r="BE1545" s="17">
        <v>1250112.25</v>
      </c>
      <c r="BF1545" s="17">
        <v>64.400000000000006</v>
      </c>
      <c r="BG1545" s="11">
        <f ca="1">IFERROR(__xludf.DUMMYFUNCTION("""COMPUTED_VALUE"""),45932.0833333333)</f>
        <v>45932.083333333299</v>
      </c>
      <c r="BH1545" s="17" t="s">
        <v>105</v>
      </c>
      <c r="BI1545" s="17"/>
      <c r="BJ1545" s="15"/>
      <c r="BK1545" s="15"/>
      <c r="BL1545" s="13" t="b">
        <v>0</v>
      </c>
      <c r="BM1545" s="10"/>
      <c r="BN1545" s="10" t="s">
        <v>197</v>
      </c>
      <c r="BO1545" s="11">
        <v>45904.299305555556</v>
      </c>
      <c r="BP1545" s="11">
        <v>45923.527951388889</v>
      </c>
      <c r="BQ1545" s="15">
        <v>45929.463101851848</v>
      </c>
      <c r="BR1545" s="15">
        <v>45929.624074074076</v>
      </c>
      <c r="BS1545" s="10" t="s">
        <v>197</v>
      </c>
      <c r="BT1545" s="10" t="s">
        <v>279</v>
      </c>
      <c r="BU1545" s="10" t="s">
        <v>298</v>
      </c>
      <c r="BV1545" s="10"/>
      <c r="BW1545" s="10"/>
      <c r="BX1545" s="10"/>
      <c r="BY1545" s="23"/>
      <c r="BZ1545" s="23"/>
      <c r="CA1545" s="19" t="s">
        <v>11687</v>
      </c>
      <c r="CB1545" s="19" t="s">
        <v>11688</v>
      </c>
      <c r="CC1545" s="23"/>
      <c r="CD1545" s="19" t="s">
        <v>11689</v>
      </c>
      <c r="CE1545" s="23"/>
      <c r="CF1545" s="23"/>
      <c r="CG1545" s="23"/>
      <c r="CH1545" s="23"/>
      <c r="CI1545" s="23"/>
    </row>
    <row r="1546" spans="1:87" x14ac:dyDescent="0.3">
      <c r="A1546" s="9" t="s">
        <v>11690</v>
      </c>
      <c r="B1546" s="10" t="s">
        <v>11691</v>
      </c>
      <c r="C1546" s="11">
        <v>45932.083333333336</v>
      </c>
      <c r="D1546" s="12">
        <v>8.3333333333333329E-2</v>
      </c>
      <c r="E1546" s="11">
        <v>45932.166666666664</v>
      </c>
      <c r="F1546" s="10" t="s">
        <v>3563</v>
      </c>
      <c r="G1546" s="13" t="b">
        <v>0</v>
      </c>
      <c r="H1546" s="10" t="s">
        <v>3578</v>
      </c>
      <c r="I1546" s="10" t="s">
        <v>89</v>
      </c>
      <c r="J1546" s="13" t="b">
        <v>0</v>
      </c>
      <c r="K1546" s="13" t="b">
        <v>1</v>
      </c>
      <c r="L1546" s="10" t="s">
        <v>124</v>
      </c>
      <c r="M1546" s="10" t="s">
        <v>91</v>
      </c>
      <c r="N1546" s="10" t="s">
        <v>92</v>
      </c>
      <c r="O1546" s="19" t="s">
        <v>11692</v>
      </c>
      <c r="P1546" s="10"/>
      <c r="Q1546" s="10" t="s">
        <v>126</v>
      </c>
      <c r="R1546" s="10"/>
      <c r="S1546" s="19" t="s">
        <v>11693</v>
      </c>
      <c r="T1546" s="10"/>
      <c r="U1546" s="10" t="s">
        <v>5042</v>
      </c>
      <c r="V1546" s="10" t="s">
        <v>11474</v>
      </c>
      <c r="W1546" s="10" t="s">
        <v>3569</v>
      </c>
      <c r="X1546" s="10" t="s">
        <v>130</v>
      </c>
      <c r="Y1546" s="10" t="s">
        <v>130</v>
      </c>
      <c r="Z1546" s="10" t="s">
        <v>99</v>
      </c>
      <c r="AA1546" s="10" t="s">
        <v>131</v>
      </c>
      <c r="AB1546" s="10" t="s">
        <v>3570</v>
      </c>
      <c r="AC1546" s="10" t="s">
        <v>3571</v>
      </c>
      <c r="AD1546" s="10" t="s">
        <v>11694</v>
      </c>
      <c r="AE1546" s="10" t="s">
        <v>11695</v>
      </c>
      <c r="AF1546" s="15"/>
      <c r="AG1546" s="10"/>
      <c r="AH1546" s="10"/>
      <c r="AI1546" s="10"/>
      <c r="AJ1546" s="10"/>
      <c r="AK1546" s="10" t="s">
        <v>102</v>
      </c>
      <c r="AL1546" s="10" t="s">
        <v>7897</v>
      </c>
      <c r="AM1546" s="10"/>
      <c r="AN1546" s="10"/>
      <c r="AO1546" s="13" t="b">
        <v>1</v>
      </c>
      <c r="AP1546" s="10" t="s">
        <v>104</v>
      </c>
      <c r="AQ1546" s="10">
        <f ca="1">IFERROR(__xludf.DUMMYFUNCTION("""COMPUTED_VALUE"""),4607910)</f>
        <v>4607910</v>
      </c>
      <c r="AR1546" s="17">
        <v>241623</v>
      </c>
      <c r="AS1546" s="17">
        <v>131627</v>
      </c>
      <c r="AT1546" s="17">
        <v>8168905.25</v>
      </c>
      <c r="AU1546" s="17">
        <v>3662.75</v>
      </c>
      <c r="AV1546" s="17">
        <v>2082.75</v>
      </c>
      <c r="AW1546" s="10" t="s">
        <v>297</v>
      </c>
      <c r="AX1546" s="17">
        <v>79724</v>
      </c>
      <c r="AY1546" s="18">
        <v>62.061015217242662</v>
      </c>
      <c r="AZ1546" s="10" t="s">
        <v>168</v>
      </c>
      <c r="BA1546" s="20" t="b">
        <v>0</v>
      </c>
      <c r="BB1546" s="10"/>
      <c r="BC1546" s="17">
        <v>241623</v>
      </c>
      <c r="BD1546" s="17">
        <v>131627</v>
      </c>
      <c r="BE1546" s="17">
        <v>8168905.25</v>
      </c>
      <c r="BF1546" s="17">
        <v>2082.75</v>
      </c>
      <c r="BG1546" s="11">
        <f ca="1">IFERROR(__xludf.DUMMYFUNCTION("""COMPUTED_VALUE"""),45932.0833333333)</f>
        <v>45932.083333333299</v>
      </c>
      <c r="BH1546" s="17" t="s">
        <v>297</v>
      </c>
      <c r="BI1546" s="17"/>
      <c r="BJ1546" s="15"/>
      <c r="BK1546" s="15"/>
      <c r="BL1546" s="13" t="b">
        <v>0</v>
      </c>
      <c r="BM1546" s="10"/>
      <c r="BN1546" s="10" t="s">
        <v>197</v>
      </c>
      <c r="BO1546" s="11">
        <v>45904.299305555556</v>
      </c>
      <c r="BP1546" s="11">
        <v>45924.904224537036</v>
      </c>
      <c r="BQ1546" s="15">
        <v>45929.463287037041</v>
      </c>
      <c r="BR1546" s="15">
        <v>45929.623043981483</v>
      </c>
      <c r="BS1546" s="10" t="s">
        <v>197</v>
      </c>
      <c r="BT1546" s="10" t="s">
        <v>279</v>
      </c>
      <c r="BU1546" s="10" t="s">
        <v>3394</v>
      </c>
      <c r="BV1546" s="10" t="s">
        <v>281</v>
      </c>
      <c r="BW1546" s="10" t="s">
        <v>11696</v>
      </c>
      <c r="BX1546" s="10"/>
      <c r="BY1546" s="23"/>
      <c r="BZ1546" s="23"/>
      <c r="CA1546" s="19" t="s">
        <v>11697</v>
      </c>
      <c r="CB1546" s="23"/>
      <c r="CC1546" s="23"/>
      <c r="CD1546" s="19" t="s">
        <v>11698</v>
      </c>
      <c r="CE1546" s="23"/>
      <c r="CF1546" s="23"/>
      <c r="CG1546" s="23"/>
      <c r="CH1546" s="23"/>
      <c r="CI1546" s="23"/>
    </row>
    <row r="1547" spans="1:87" x14ac:dyDescent="0.3">
      <c r="A1547" s="9" t="s">
        <v>11699</v>
      </c>
      <c r="B1547" s="10" t="s">
        <v>11700</v>
      </c>
      <c r="C1547" s="11">
        <v>45932.083333333336</v>
      </c>
      <c r="D1547" s="12">
        <v>8.3333333333333329E-2</v>
      </c>
      <c r="E1547" s="11">
        <v>45932.166666666664</v>
      </c>
      <c r="F1547" s="10" t="s">
        <v>3563</v>
      </c>
      <c r="G1547" s="13" t="b">
        <v>0</v>
      </c>
      <c r="H1547" s="10" t="s">
        <v>5239</v>
      </c>
      <c r="I1547" s="10" t="s">
        <v>89</v>
      </c>
      <c r="J1547" s="13" t="b">
        <v>0</v>
      </c>
      <c r="K1547" s="13" t="b">
        <v>1</v>
      </c>
      <c r="L1547" s="10" t="s">
        <v>124</v>
      </c>
      <c r="M1547" s="10" t="s">
        <v>91</v>
      </c>
      <c r="N1547" s="10" t="s">
        <v>92</v>
      </c>
      <c r="O1547" s="19" t="s">
        <v>11701</v>
      </c>
      <c r="P1547" s="10"/>
      <c r="Q1547" s="10" t="s">
        <v>94</v>
      </c>
      <c r="R1547" s="10"/>
      <c r="S1547" s="19" t="s">
        <v>11702</v>
      </c>
      <c r="T1547" s="19" t="s">
        <v>11551</v>
      </c>
      <c r="U1547" s="10" t="s">
        <v>11500</v>
      </c>
      <c r="V1547" s="10" t="s">
        <v>3704</v>
      </c>
      <c r="W1547" s="10" t="s">
        <v>3569</v>
      </c>
      <c r="X1547" s="10" t="s">
        <v>130</v>
      </c>
      <c r="Y1547" s="10" t="s">
        <v>130</v>
      </c>
      <c r="Z1547" s="10" t="s">
        <v>99</v>
      </c>
      <c r="AA1547" s="10" t="s">
        <v>131</v>
      </c>
      <c r="AB1547" s="10" t="s">
        <v>3570</v>
      </c>
      <c r="AC1547" s="10" t="s">
        <v>3571</v>
      </c>
      <c r="AD1547" s="10" t="s">
        <v>11703</v>
      </c>
      <c r="AE1547" s="10" t="s">
        <v>11704</v>
      </c>
      <c r="AF1547" s="15"/>
      <c r="AG1547" s="10"/>
      <c r="AH1547" s="10"/>
      <c r="AI1547" s="10"/>
      <c r="AJ1547" s="10"/>
      <c r="AK1547" s="10" t="s">
        <v>102</v>
      </c>
      <c r="AL1547" s="10" t="s">
        <v>7897</v>
      </c>
      <c r="AM1547" s="10"/>
      <c r="AN1547" s="10"/>
      <c r="AO1547" s="13" t="b">
        <v>0</v>
      </c>
      <c r="AP1547" s="10" t="s">
        <v>104</v>
      </c>
      <c r="AQ1547" s="10">
        <f ca="1">IFERROR(__xludf.DUMMYFUNCTION("""COMPUTED_VALUE"""),4610715)</f>
        <v>4610715</v>
      </c>
      <c r="AR1547" s="17">
        <v>11797</v>
      </c>
      <c r="AS1547" s="17">
        <v>7303</v>
      </c>
      <c r="AT1547" s="17">
        <v>32345.5</v>
      </c>
      <c r="AU1547" s="17">
        <v>6</v>
      </c>
      <c r="AV1547" s="17">
        <v>2.4</v>
      </c>
      <c r="AW1547" s="10" t="s">
        <v>105</v>
      </c>
      <c r="AX1547" s="17">
        <v>1674</v>
      </c>
      <c r="AY1547" s="18">
        <v>4.4290702451047519</v>
      </c>
      <c r="AZ1547" s="10" t="s">
        <v>168</v>
      </c>
      <c r="BA1547" s="20" t="b">
        <v>0</v>
      </c>
      <c r="BB1547" s="10"/>
      <c r="BC1547" s="17">
        <v>11797</v>
      </c>
      <c r="BD1547" s="17">
        <v>7303</v>
      </c>
      <c r="BE1547" s="17">
        <v>32345.5</v>
      </c>
      <c r="BF1547" s="17">
        <v>2.4</v>
      </c>
      <c r="BG1547" s="11">
        <f ca="1">IFERROR(__xludf.DUMMYFUNCTION("""COMPUTED_VALUE"""),45932.0833333333)</f>
        <v>45932.083333333299</v>
      </c>
      <c r="BH1547" s="17" t="s">
        <v>105</v>
      </c>
      <c r="BI1547" s="17"/>
      <c r="BJ1547" s="15"/>
      <c r="BK1547" s="15"/>
      <c r="BL1547" s="13" t="b">
        <v>0</v>
      </c>
      <c r="BM1547" s="10"/>
      <c r="BN1547" s="10" t="s">
        <v>197</v>
      </c>
      <c r="BO1547" s="11">
        <v>45904.299305555556</v>
      </c>
      <c r="BP1547" s="11">
        <v>45923.513784722221</v>
      </c>
      <c r="BQ1547" s="15">
        <v>45929.466944444444</v>
      </c>
      <c r="BR1547" s="15">
        <v>45929.750578703701</v>
      </c>
      <c r="BS1547" s="10" t="s">
        <v>197</v>
      </c>
      <c r="BT1547" s="10" t="s">
        <v>279</v>
      </c>
      <c r="BU1547" s="10" t="s">
        <v>498</v>
      </c>
      <c r="BV1547" s="10"/>
      <c r="BW1547" s="10"/>
      <c r="BX1547" s="10"/>
      <c r="BY1547" s="23"/>
      <c r="BZ1547" s="23"/>
      <c r="CA1547" s="19" t="s">
        <v>11705</v>
      </c>
      <c r="CB1547" s="19" t="s">
        <v>11706</v>
      </c>
      <c r="CC1547" s="23"/>
      <c r="CD1547" s="23"/>
      <c r="CE1547" s="23"/>
      <c r="CF1547" s="23"/>
      <c r="CG1547" s="23"/>
      <c r="CH1547" s="23"/>
      <c r="CI1547" s="23"/>
    </row>
    <row r="1548" spans="1:87" x14ac:dyDescent="0.3">
      <c r="A1548" s="9" t="s">
        <v>11707</v>
      </c>
      <c r="B1548" s="10" t="s">
        <v>11708</v>
      </c>
      <c r="C1548" s="11">
        <v>45951.989583333336</v>
      </c>
      <c r="D1548" s="12">
        <v>8.3333333333333329E-2</v>
      </c>
      <c r="E1548" s="11">
        <v>45952.072916666664</v>
      </c>
      <c r="F1548" s="10" t="s">
        <v>3563</v>
      </c>
      <c r="G1548" s="13" t="b">
        <v>0</v>
      </c>
      <c r="H1548" s="10" t="s">
        <v>11460</v>
      </c>
      <c r="I1548" s="10" t="s">
        <v>89</v>
      </c>
      <c r="J1548" s="13" t="b">
        <v>0</v>
      </c>
      <c r="K1548" s="13" t="b">
        <v>1</v>
      </c>
      <c r="L1548" s="10" t="s">
        <v>124</v>
      </c>
      <c r="M1548" s="10" t="s">
        <v>91</v>
      </c>
      <c r="N1548" s="10" t="s">
        <v>92</v>
      </c>
      <c r="O1548" s="19" t="s">
        <v>11709</v>
      </c>
      <c r="P1548" s="10"/>
      <c r="Q1548" s="10" t="s">
        <v>126</v>
      </c>
      <c r="R1548" s="10"/>
      <c r="S1548" s="19" t="s">
        <v>11710</v>
      </c>
      <c r="T1548" s="19" t="s">
        <v>11711</v>
      </c>
      <c r="U1548" s="10" t="s">
        <v>5042</v>
      </c>
      <c r="V1548" s="10" t="s">
        <v>11446</v>
      </c>
      <c r="W1548" s="10" t="s">
        <v>3569</v>
      </c>
      <c r="X1548" s="10" t="s">
        <v>130</v>
      </c>
      <c r="Y1548" s="10" t="s">
        <v>130</v>
      </c>
      <c r="Z1548" s="10" t="s">
        <v>99</v>
      </c>
      <c r="AA1548" s="10" t="s">
        <v>131</v>
      </c>
      <c r="AB1548" s="10" t="s">
        <v>3570</v>
      </c>
      <c r="AC1548" s="10" t="s">
        <v>3571</v>
      </c>
      <c r="AD1548" s="10" t="s">
        <v>11712</v>
      </c>
      <c r="AE1548" s="10" t="s">
        <v>11713</v>
      </c>
      <c r="AF1548" s="15"/>
      <c r="AG1548" s="10"/>
      <c r="AH1548" s="10"/>
      <c r="AI1548" s="10"/>
      <c r="AJ1548" s="10"/>
      <c r="AK1548" s="10" t="s">
        <v>102</v>
      </c>
      <c r="AL1548" s="10" t="s">
        <v>7897</v>
      </c>
      <c r="AM1548" s="10"/>
      <c r="AN1548" s="10"/>
      <c r="AO1548" s="13" t="b">
        <v>1</v>
      </c>
      <c r="AP1548" s="10" t="s">
        <v>104</v>
      </c>
      <c r="AQ1548" s="10">
        <f ca="1">IFERROR(__xludf.DUMMYFUNCTION("""COMPUTED_VALUE"""),4663718)</f>
        <v>4663718</v>
      </c>
      <c r="AR1548" s="17">
        <v>172125</v>
      </c>
      <c r="AS1548" s="17">
        <v>126505</v>
      </c>
      <c r="AT1548" s="17">
        <v>3077713.5</v>
      </c>
      <c r="AU1548" s="17">
        <v>2483.4499999999998</v>
      </c>
      <c r="AV1548" s="17">
        <v>431.95</v>
      </c>
      <c r="AW1548" s="10" t="s">
        <v>105</v>
      </c>
      <c r="AX1548" s="17">
        <v>45190</v>
      </c>
      <c r="AY1548" s="18">
        <v>24.328789375913995</v>
      </c>
      <c r="AZ1548" s="10" t="s">
        <v>168</v>
      </c>
      <c r="BA1548" s="20" t="b">
        <v>0</v>
      </c>
      <c r="BB1548" s="10"/>
      <c r="BC1548" s="17">
        <v>172125</v>
      </c>
      <c r="BD1548" s="17">
        <v>126505</v>
      </c>
      <c r="BE1548" s="17">
        <v>3077713.5</v>
      </c>
      <c r="BF1548" s="17">
        <v>431.95</v>
      </c>
      <c r="BG1548" s="11">
        <f ca="1">IFERROR(__xludf.DUMMYFUNCTION("""COMPUTED_VALUE"""),45951.9895833333)</f>
        <v>45951.989583333299</v>
      </c>
      <c r="BH1548" s="17" t="s">
        <v>105</v>
      </c>
      <c r="BI1548" s="17"/>
      <c r="BJ1548" s="15"/>
      <c r="BK1548" s="15"/>
      <c r="BL1548" s="13" t="b">
        <v>0</v>
      </c>
      <c r="BM1548" s="10"/>
      <c r="BN1548" s="10" t="s">
        <v>1149</v>
      </c>
      <c r="BO1548" s="11">
        <v>45904.299305555556</v>
      </c>
      <c r="BP1548" s="11">
        <v>45943.59684027778</v>
      </c>
      <c r="BQ1548" s="15">
        <v>45950.639930555553</v>
      </c>
      <c r="BR1548" s="15">
        <v>45950.685578703706</v>
      </c>
      <c r="BS1548" s="10" t="s">
        <v>1149</v>
      </c>
      <c r="BT1548" s="10" t="s">
        <v>99</v>
      </c>
      <c r="BU1548" s="10" t="s">
        <v>1253</v>
      </c>
      <c r="BV1548" s="10"/>
      <c r="BW1548" s="10"/>
      <c r="BX1548" s="10"/>
      <c r="BY1548" s="23"/>
      <c r="BZ1548" s="23"/>
      <c r="CA1548" s="19" t="s">
        <v>11714</v>
      </c>
      <c r="CB1548" s="19" t="s">
        <v>11715</v>
      </c>
      <c r="CC1548" s="23"/>
      <c r="CD1548" s="19" t="s">
        <v>11716</v>
      </c>
      <c r="CE1548" s="23"/>
      <c r="CF1548" s="23"/>
      <c r="CG1548" s="23"/>
      <c r="CH1548" s="23"/>
      <c r="CI1548" s="23"/>
    </row>
    <row r="1549" spans="1:87" x14ac:dyDescent="0.3">
      <c r="A1549" s="9" t="s">
        <v>11717</v>
      </c>
      <c r="B1549" s="10" t="s">
        <v>11718</v>
      </c>
      <c r="C1549" s="11">
        <v>45951.989583333336</v>
      </c>
      <c r="D1549" s="12">
        <v>8.3333333333333329E-2</v>
      </c>
      <c r="E1549" s="11">
        <v>45952.072916666664</v>
      </c>
      <c r="F1549" s="10" t="s">
        <v>3563</v>
      </c>
      <c r="G1549" s="13" t="b">
        <v>0</v>
      </c>
      <c r="H1549" s="10" t="s">
        <v>3564</v>
      </c>
      <c r="I1549" s="10" t="s">
        <v>89</v>
      </c>
      <c r="J1549" s="13" t="b">
        <v>0</v>
      </c>
      <c r="K1549" s="13" t="b">
        <v>1</v>
      </c>
      <c r="L1549" s="10" t="s">
        <v>124</v>
      </c>
      <c r="M1549" s="10" t="s">
        <v>91</v>
      </c>
      <c r="N1549" s="10" t="s">
        <v>92</v>
      </c>
      <c r="O1549" s="19" t="s">
        <v>11719</v>
      </c>
      <c r="P1549" s="10"/>
      <c r="Q1549" s="10" t="s">
        <v>94</v>
      </c>
      <c r="R1549" s="10"/>
      <c r="S1549" s="19" t="s">
        <v>11720</v>
      </c>
      <c r="T1549" s="19" t="s">
        <v>11711</v>
      </c>
      <c r="U1549" s="10" t="s">
        <v>7811</v>
      </c>
      <c r="V1549" s="10" t="s">
        <v>3590</v>
      </c>
      <c r="W1549" s="10" t="s">
        <v>3569</v>
      </c>
      <c r="X1549" s="10" t="s">
        <v>130</v>
      </c>
      <c r="Y1549" s="10" t="s">
        <v>130</v>
      </c>
      <c r="Z1549" s="10" t="s">
        <v>99</v>
      </c>
      <c r="AA1549" s="10" t="s">
        <v>131</v>
      </c>
      <c r="AB1549" s="10" t="s">
        <v>3570</v>
      </c>
      <c r="AC1549" s="10" t="s">
        <v>3571</v>
      </c>
      <c r="AD1549" s="10" t="s">
        <v>11721</v>
      </c>
      <c r="AE1549" s="10" t="s">
        <v>11722</v>
      </c>
      <c r="AF1549" s="15"/>
      <c r="AG1549" s="10"/>
      <c r="AH1549" s="10"/>
      <c r="AI1549" s="10"/>
      <c r="AJ1549" s="10"/>
      <c r="AK1549" s="10" t="s">
        <v>102</v>
      </c>
      <c r="AL1549" s="10" t="s">
        <v>7897</v>
      </c>
      <c r="AM1549" s="10"/>
      <c r="AN1549" s="10"/>
      <c r="AO1549" s="13" t="b">
        <v>0</v>
      </c>
      <c r="AP1549" s="10" t="s">
        <v>104</v>
      </c>
      <c r="AQ1549" s="10">
        <f ca="1">IFERROR(__xludf.DUMMYFUNCTION("""COMPUTED_VALUE"""),4663720)</f>
        <v>4663720</v>
      </c>
      <c r="AR1549" s="17">
        <v>13776</v>
      </c>
      <c r="AS1549" s="17">
        <v>9611</v>
      </c>
      <c r="AT1549" s="17">
        <v>94099.5</v>
      </c>
      <c r="AU1549" s="17">
        <v>38.25</v>
      </c>
      <c r="AV1549" s="17">
        <v>6.35</v>
      </c>
      <c r="AW1549" s="10" t="s">
        <v>105</v>
      </c>
      <c r="AX1549" s="17">
        <v>2915</v>
      </c>
      <c r="AY1549" s="18">
        <v>9.790812610550411</v>
      </c>
      <c r="AZ1549" s="10" t="s">
        <v>168</v>
      </c>
      <c r="BA1549" s="20" t="b">
        <v>0</v>
      </c>
      <c r="BB1549" s="10"/>
      <c r="BC1549" s="17">
        <v>13776</v>
      </c>
      <c r="BD1549" s="17">
        <v>9611</v>
      </c>
      <c r="BE1549" s="17">
        <v>94099.5</v>
      </c>
      <c r="BF1549" s="17">
        <v>6.35</v>
      </c>
      <c r="BG1549" s="11">
        <f ca="1">IFERROR(__xludf.DUMMYFUNCTION("""COMPUTED_VALUE"""),45951.9895833333)</f>
        <v>45951.989583333299</v>
      </c>
      <c r="BH1549" s="17" t="s">
        <v>105</v>
      </c>
      <c r="BI1549" s="17"/>
      <c r="BJ1549" s="15"/>
      <c r="BK1549" s="15"/>
      <c r="BL1549" s="13" t="b">
        <v>0</v>
      </c>
      <c r="BM1549" s="10"/>
      <c r="BN1549" s="10" t="s">
        <v>1149</v>
      </c>
      <c r="BO1549" s="11">
        <v>45904.299305555556</v>
      </c>
      <c r="BP1549" s="11">
        <v>45939.658229166664</v>
      </c>
      <c r="BQ1549" s="15">
        <v>45950.629872685182</v>
      </c>
      <c r="BR1549" s="15">
        <v>45950.685925925929</v>
      </c>
      <c r="BS1549" s="10" t="s">
        <v>1149</v>
      </c>
      <c r="BT1549" s="10" t="s">
        <v>99</v>
      </c>
      <c r="BU1549" s="10" t="s">
        <v>1275</v>
      </c>
      <c r="BV1549" s="10"/>
      <c r="BW1549" s="10"/>
      <c r="BX1549" s="10"/>
      <c r="BY1549" s="23"/>
      <c r="BZ1549" s="23"/>
      <c r="CA1549" s="19" t="s">
        <v>11723</v>
      </c>
      <c r="CB1549" s="19" t="s">
        <v>11724</v>
      </c>
      <c r="CC1549" s="23"/>
      <c r="CD1549" s="23"/>
      <c r="CE1549" s="23"/>
      <c r="CF1549" s="23"/>
      <c r="CG1549" s="23"/>
      <c r="CH1549" s="23"/>
      <c r="CI1549" s="23"/>
    </row>
    <row r="1550" spans="1:87" x14ac:dyDescent="0.3">
      <c r="A1550" s="9" t="s">
        <v>11725</v>
      </c>
      <c r="B1550" s="10" t="s">
        <v>11726</v>
      </c>
      <c r="C1550" s="11">
        <v>45952.083333333336</v>
      </c>
      <c r="D1550" s="12">
        <v>8.3333333333333329E-2</v>
      </c>
      <c r="E1550" s="11">
        <v>45952.166666666664</v>
      </c>
      <c r="F1550" s="10" t="s">
        <v>3563</v>
      </c>
      <c r="G1550" s="13" t="b">
        <v>0</v>
      </c>
      <c r="H1550" s="10" t="s">
        <v>5239</v>
      </c>
      <c r="I1550" s="10" t="s">
        <v>89</v>
      </c>
      <c r="J1550" s="13" t="b">
        <v>0</v>
      </c>
      <c r="K1550" s="13" t="b">
        <v>1</v>
      </c>
      <c r="L1550" s="10" t="s">
        <v>124</v>
      </c>
      <c r="M1550" s="10" t="s">
        <v>91</v>
      </c>
      <c r="N1550" s="10" t="s">
        <v>92</v>
      </c>
      <c r="O1550" s="19" t="s">
        <v>11727</v>
      </c>
      <c r="P1550" s="10"/>
      <c r="Q1550" s="10" t="s">
        <v>126</v>
      </c>
      <c r="R1550" s="10"/>
      <c r="S1550" s="19" t="s">
        <v>11728</v>
      </c>
      <c r="T1550" s="19" t="s">
        <v>11711</v>
      </c>
      <c r="U1550" s="10" t="s">
        <v>293</v>
      </c>
      <c r="V1550" s="10" t="s">
        <v>3582</v>
      </c>
      <c r="W1550" s="10" t="s">
        <v>3569</v>
      </c>
      <c r="X1550" s="10" t="s">
        <v>130</v>
      </c>
      <c r="Y1550" s="10" t="s">
        <v>130</v>
      </c>
      <c r="Z1550" s="10" t="s">
        <v>99</v>
      </c>
      <c r="AA1550" s="10" t="s">
        <v>131</v>
      </c>
      <c r="AB1550" s="10" t="s">
        <v>3570</v>
      </c>
      <c r="AC1550" s="10" t="s">
        <v>3571</v>
      </c>
      <c r="AD1550" s="10" t="s">
        <v>11729</v>
      </c>
      <c r="AE1550" s="10" t="s">
        <v>11730</v>
      </c>
      <c r="AF1550" s="15"/>
      <c r="AG1550" s="10"/>
      <c r="AH1550" s="10"/>
      <c r="AI1550" s="10"/>
      <c r="AJ1550" s="10"/>
      <c r="AK1550" s="10" t="s">
        <v>102</v>
      </c>
      <c r="AL1550" s="10" t="s">
        <v>7897</v>
      </c>
      <c r="AM1550" s="10"/>
      <c r="AN1550" s="10"/>
      <c r="AO1550" s="13" t="b">
        <v>0</v>
      </c>
      <c r="AP1550" s="10" t="s">
        <v>104</v>
      </c>
      <c r="AQ1550" s="10">
        <f ca="1">IFERROR(__xludf.DUMMYFUNCTION("""COMPUTED_VALUE"""),4663724)</f>
        <v>4663724</v>
      </c>
      <c r="AR1550" s="17">
        <v>16598</v>
      </c>
      <c r="AS1550" s="17">
        <v>10464</v>
      </c>
      <c r="AT1550" s="17">
        <v>87730.5</v>
      </c>
      <c r="AU1550" s="17">
        <v>26.15</v>
      </c>
      <c r="AV1550" s="17">
        <v>4.5999999999999996</v>
      </c>
      <c r="AW1550" s="10" t="s">
        <v>105</v>
      </c>
      <c r="AX1550" s="17">
        <v>2220</v>
      </c>
      <c r="AY1550" s="18">
        <v>8.3840309633027523</v>
      </c>
      <c r="AZ1550" s="10" t="s">
        <v>168</v>
      </c>
      <c r="BA1550" s="20" t="b">
        <v>0</v>
      </c>
      <c r="BB1550" s="10"/>
      <c r="BC1550" s="17">
        <v>16598</v>
      </c>
      <c r="BD1550" s="17">
        <v>10464</v>
      </c>
      <c r="BE1550" s="17">
        <v>87730.5</v>
      </c>
      <c r="BF1550" s="17">
        <v>4.5999999999999996</v>
      </c>
      <c r="BG1550" s="11">
        <f ca="1">IFERROR(__xludf.DUMMYFUNCTION("""COMPUTED_VALUE"""),45952.0833333333)</f>
        <v>45952.083333333299</v>
      </c>
      <c r="BH1550" s="17" t="s">
        <v>105</v>
      </c>
      <c r="BI1550" s="17"/>
      <c r="BJ1550" s="15"/>
      <c r="BK1550" s="15"/>
      <c r="BL1550" s="13" t="b">
        <v>0</v>
      </c>
      <c r="BM1550" s="10"/>
      <c r="BN1550" s="10" t="s">
        <v>455</v>
      </c>
      <c r="BO1550" s="11">
        <v>45904.299305555556</v>
      </c>
      <c r="BP1550" s="11">
        <v>45943.57267361111</v>
      </c>
      <c r="BQ1550" s="15">
        <v>45950.669664351852</v>
      </c>
      <c r="BR1550" s="15">
        <v>45950.698263888888</v>
      </c>
      <c r="BS1550" s="10" t="s">
        <v>455</v>
      </c>
      <c r="BT1550" s="10" t="s">
        <v>99</v>
      </c>
      <c r="BU1550" s="10" t="s">
        <v>816</v>
      </c>
      <c r="BV1550" s="10"/>
      <c r="BW1550" s="10"/>
      <c r="BX1550" s="10"/>
      <c r="BY1550" s="23"/>
      <c r="BZ1550" s="23"/>
      <c r="CA1550" s="19" t="s">
        <v>11731</v>
      </c>
      <c r="CB1550" s="19" t="s">
        <v>11732</v>
      </c>
      <c r="CC1550" s="23"/>
      <c r="CD1550" s="19" t="s">
        <v>11733</v>
      </c>
      <c r="CE1550" s="23"/>
      <c r="CF1550" s="23"/>
      <c r="CG1550" s="23"/>
      <c r="CH1550" s="23"/>
      <c r="CI1550" s="23"/>
    </row>
    <row r="1551" spans="1:87" x14ac:dyDescent="0.3">
      <c r="A1551" s="9" t="s">
        <v>11734</v>
      </c>
      <c r="B1551" s="10" t="s">
        <v>11735</v>
      </c>
      <c r="C1551" s="11">
        <v>45952.083333333336</v>
      </c>
      <c r="D1551" s="12">
        <v>8.3333333333333329E-2</v>
      </c>
      <c r="E1551" s="11">
        <v>45952.166666666664</v>
      </c>
      <c r="F1551" s="10" t="s">
        <v>3563</v>
      </c>
      <c r="G1551" s="13" t="b">
        <v>0</v>
      </c>
      <c r="H1551" s="10" t="s">
        <v>5239</v>
      </c>
      <c r="I1551" s="10" t="s">
        <v>89</v>
      </c>
      <c r="J1551" s="13" t="b">
        <v>0</v>
      </c>
      <c r="K1551" s="13" t="b">
        <v>1</v>
      </c>
      <c r="L1551" s="10" t="s">
        <v>124</v>
      </c>
      <c r="M1551" s="10" t="s">
        <v>91</v>
      </c>
      <c r="N1551" s="10" t="s">
        <v>92</v>
      </c>
      <c r="O1551" s="19" t="s">
        <v>11736</v>
      </c>
      <c r="P1551" s="10"/>
      <c r="Q1551" s="10" t="s">
        <v>126</v>
      </c>
      <c r="R1551" s="10"/>
      <c r="S1551" s="19" t="s">
        <v>11737</v>
      </c>
      <c r="T1551" s="19" t="s">
        <v>11711</v>
      </c>
      <c r="U1551" s="10" t="s">
        <v>3704</v>
      </c>
      <c r="V1551" s="10" t="s">
        <v>3318</v>
      </c>
      <c r="W1551" s="10" t="s">
        <v>3569</v>
      </c>
      <c r="X1551" s="10" t="s">
        <v>130</v>
      </c>
      <c r="Y1551" s="10" t="s">
        <v>130</v>
      </c>
      <c r="Z1551" s="10" t="s">
        <v>99</v>
      </c>
      <c r="AA1551" s="10" t="s">
        <v>131</v>
      </c>
      <c r="AB1551" s="10" t="s">
        <v>3570</v>
      </c>
      <c r="AC1551" s="10" t="s">
        <v>3571</v>
      </c>
      <c r="AD1551" s="10" t="s">
        <v>11738</v>
      </c>
      <c r="AE1551" s="10" t="s">
        <v>11739</v>
      </c>
      <c r="AF1551" s="15"/>
      <c r="AG1551" s="10"/>
      <c r="AH1551" s="10"/>
      <c r="AI1551" s="10"/>
      <c r="AJ1551" s="10"/>
      <c r="AK1551" s="10" t="s">
        <v>102</v>
      </c>
      <c r="AL1551" s="10" t="s">
        <v>7897</v>
      </c>
      <c r="AM1551" s="10"/>
      <c r="AN1551" s="10"/>
      <c r="AO1551" s="13" t="b">
        <v>0</v>
      </c>
      <c r="AP1551" s="10" t="s">
        <v>104</v>
      </c>
      <c r="AQ1551" s="10">
        <f ca="1">IFERROR(__xludf.DUMMYFUNCTION("""COMPUTED_VALUE"""),4663726)</f>
        <v>4663726</v>
      </c>
      <c r="AR1551" s="17">
        <v>17877</v>
      </c>
      <c r="AS1551" s="17">
        <v>11357</v>
      </c>
      <c r="AT1551" s="17">
        <v>66801</v>
      </c>
      <c r="AU1551" s="17">
        <v>18.350000000000001</v>
      </c>
      <c r="AV1551" s="17">
        <v>4</v>
      </c>
      <c r="AW1551" s="10" t="s">
        <v>105</v>
      </c>
      <c r="AX1551" s="17">
        <v>2785</v>
      </c>
      <c r="AY1551" s="18">
        <v>5.881923043057145</v>
      </c>
      <c r="AZ1551" s="10" t="s">
        <v>117</v>
      </c>
      <c r="BA1551" s="20" t="b">
        <v>0</v>
      </c>
      <c r="BB1551" s="10"/>
      <c r="BC1551" s="17">
        <v>17877</v>
      </c>
      <c r="BD1551" s="17">
        <v>11357</v>
      </c>
      <c r="BE1551" s="17">
        <v>66801</v>
      </c>
      <c r="BF1551" s="17">
        <v>4</v>
      </c>
      <c r="BG1551" s="11">
        <f ca="1">IFERROR(__xludf.DUMMYFUNCTION("""COMPUTED_VALUE"""),45952.0833333333)</f>
        <v>45952.083333333299</v>
      </c>
      <c r="BH1551" s="17" t="s">
        <v>105</v>
      </c>
      <c r="BI1551" s="17"/>
      <c r="BJ1551" s="15"/>
      <c r="BK1551" s="15"/>
      <c r="BL1551" s="13" t="b">
        <v>0</v>
      </c>
      <c r="BM1551" s="10"/>
      <c r="BN1551" s="10" t="s">
        <v>455</v>
      </c>
      <c r="BO1551" s="11">
        <v>45904.299305555556</v>
      </c>
      <c r="BP1551" s="11">
        <v>45943.572731481479</v>
      </c>
      <c r="BQ1551" s="15">
        <v>45950.621620370373</v>
      </c>
      <c r="BR1551" s="15">
        <v>45950.698425925926</v>
      </c>
      <c r="BS1551" s="10" t="s">
        <v>455</v>
      </c>
      <c r="BT1551" s="10" t="s">
        <v>99</v>
      </c>
      <c r="BU1551" s="10" t="s">
        <v>655</v>
      </c>
      <c r="BV1551" s="10"/>
      <c r="BW1551" s="10"/>
      <c r="BX1551" s="10"/>
      <c r="BY1551" s="23"/>
      <c r="BZ1551" s="23"/>
      <c r="CA1551" s="19" t="s">
        <v>11740</v>
      </c>
      <c r="CB1551" s="19" t="s">
        <v>11741</v>
      </c>
      <c r="CC1551" s="23"/>
      <c r="CD1551" s="19" t="s">
        <v>11742</v>
      </c>
      <c r="CE1551" s="23"/>
      <c r="CF1551" s="23"/>
      <c r="CG1551" s="23"/>
      <c r="CH1551" s="23"/>
      <c r="CI1551" s="23"/>
    </row>
    <row r="1552" spans="1:87" x14ac:dyDescent="0.3">
      <c r="A1552" s="9" t="s">
        <v>11743</v>
      </c>
      <c r="B1552" s="10" t="s">
        <v>11744</v>
      </c>
      <c r="C1552" s="11">
        <v>45952.083333333336</v>
      </c>
      <c r="D1552" s="12">
        <v>8.3333333333333329E-2</v>
      </c>
      <c r="E1552" s="11">
        <v>45952.166666666664</v>
      </c>
      <c r="F1552" s="10" t="s">
        <v>3563</v>
      </c>
      <c r="G1552" s="13" t="b">
        <v>0</v>
      </c>
      <c r="H1552" s="10" t="s">
        <v>3578</v>
      </c>
      <c r="I1552" s="10" t="s">
        <v>89</v>
      </c>
      <c r="J1552" s="13" t="b">
        <v>0</v>
      </c>
      <c r="K1552" s="13" t="b">
        <v>1</v>
      </c>
      <c r="L1552" s="10" t="s">
        <v>124</v>
      </c>
      <c r="M1552" s="10" t="s">
        <v>91</v>
      </c>
      <c r="N1552" s="10" t="s">
        <v>92</v>
      </c>
      <c r="O1552" s="19" t="s">
        <v>11745</v>
      </c>
      <c r="P1552" s="10"/>
      <c r="Q1552" s="10" t="s">
        <v>126</v>
      </c>
      <c r="R1552" s="10"/>
      <c r="S1552" s="19" t="s">
        <v>11746</v>
      </c>
      <c r="T1552" s="19" t="s">
        <v>11711</v>
      </c>
      <c r="U1552" s="10" t="s">
        <v>11500</v>
      </c>
      <c r="V1552" s="10" t="s">
        <v>11474</v>
      </c>
      <c r="W1552" s="10" t="s">
        <v>3569</v>
      </c>
      <c r="X1552" s="10" t="s">
        <v>130</v>
      </c>
      <c r="Y1552" s="10" t="s">
        <v>130</v>
      </c>
      <c r="Z1552" s="10" t="s">
        <v>99</v>
      </c>
      <c r="AA1552" s="10" t="s">
        <v>131</v>
      </c>
      <c r="AB1552" s="10" t="s">
        <v>3570</v>
      </c>
      <c r="AC1552" s="10" t="s">
        <v>3571</v>
      </c>
      <c r="AD1552" s="10" t="s">
        <v>11747</v>
      </c>
      <c r="AE1552" s="10" t="s">
        <v>11748</v>
      </c>
      <c r="AF1552" s="15"/>
      <c r="AG1552" s="10"/>
      <c r="AH1552" s="10"/>
      <c r="AI1552" s="10"/>
      <c r="AJ1552" s="10"/>
      <c r="AK1552" s="10" t="s">
        <v>102</v>
      </c>
      <c r="AL1552" s="10" t="s">
        <v>7897</v>
      </c>
      <c r="AM1552" s="10"/>
      <c r="AN1552" s="10"/>
      <c r="AO1552" s="13" t="b">
        <v>1</v>
      </c>
      <c r="AP1552" s="10" t="s">
        <v>104</v>
      </c>
      <c r="AQ1552" s="10">
        <f ca="1">IFERROR(__xludf.DUMMYFUNCTION("""COMPUTED_VALUE"""),4663734)</f>
        <v>4663734</v>
      </c>
      <c r="AR1552" s="17">
        <v>27563</v>
      </c>
      <c r="AS1552" s="17">
        <v>18275</v>
      </c>
      <c r="AT1552" s="17">
        <v>213594.75</v>
      </c>
      <c r="AU1552" s="17">
        <v>60.25</v>
      </c>
      <c r="AV1552" s="17">
        <v>15.65</v>
      </c>
      <c r="AW1552" s="10" t="s">
        <v>105</v>
      </c>
      <c r="AX1552" s="17">
        <v>4507</v>
      </c>
      <c r="AY1552" s="18">
        <v>11.68781121751026</v>
      </c>
      <c r="AZ1552" s="10" t="s">
        <v>168</v>
      </c>
      <c r="BA1552" s="20" t="b">
        <v>0</v>
      </c>
      <c r="BB1552" s="10"/>
      <c r="BC1552" s="17">
        <v>27563</v>
      </c>
      <c r="BD1552" s="17">
        <v>18275</v>
      </c>
      <c r="BE1552" s="17">
        <v>213594.75</v>
      </c>
      <c r="BF1552" s="17">
        <v>15.65</v>
      </c>
      <c r="BG1552" s="11">
        <f ca="1">IFERROR(__xludf.DUMMYFUNCTION("""COMPUTED_VALUE"""),45952.0833333333)</f>
        <v>45952.083333333299</v>
      </c>
      <c r="BH1552" s="17" t="s">
        <v>105</v>
      </c>
      <c r="BI1552" s="17"/>
      <c r="BJ1552" s="15"/>
      <c r="BK1552" s="15"/>
      <c r="BL1552" s="13" t="b">
        <v>0</v>
      </c>
      <c r="BM1552" s="10"/>
      <c r="BN1552" s="10" t="s">
        <v>455</v>
      </c>
      <c r="BO1552" s="11">
        <v>45904.299305555556</v>
      </c>
      <c r="BP1552" s="11">
        <v>45950.6875462963</v>
      </c>
      <c r="BQ1552" s="15">
        <v>45950.66946759259</v>
      </c>
      <c r="BR1552" s="15">
        <v>45950.708078703705</v>
      </c>
      <c r="BS1552" s="10" t="s">
        <v>455</v>
      </c>
      <c r="BT1552" s="10" t="s">
        <v>99</v>
      </c>
      <c r="BU1552" s="10" t="s">
        <v>11615</v>
      </c>
      <c r="BV1552" s="10"/>
      <c r="BW1552" s="10"/>
      <c r="BX1552" s="10"/>
      <c r="BY1552" s="23"/>
      <c r="BZ1552" s="23"/>
      <c r="CA1552" s="19" t="s">
        <v>11749</v>
      </c>
      <c r="CB1552" s="19" t="s">
        <v>11750</v>
      </c>
      <c r="CC1552" s="23"/>
      <c r="CD1552" s="19" t="s">
        <v>11751</v>
      </c>
      <c r="CE1552" s="23"/>
      <c r="CF1552" s="23"/>
      <c r="CG1552" s="23"/>
      <c r="CH1552" s="23"/>
      <c r="CI1552" s="23"/>
    </row>
    <row r="1553" spans="1:87" x14ac:dyDescent="0.3">
      <c r="A1553" s="9" t="s">
        <v>11752</v>
      </c>
      <c r="B1553" s="10" t="s">
        <v>11753</v>
      </c>
      <c r="C1553" s="11">
        <v>45952.083333333336</v>
      </c>
      <c r="D1553" s="12">
        <v>8.3333333333333329E-2</v>
      </c>
      <c r="E1553" s="11">
        <v>45952.166666666664</v>
      </c>
      <c r="F1553" s="10" t="s">
        <v>3563</v>
      </c>
      <c r="G1553" s="13" t="b">
        <v>0</v>
      </c>
      <c r="H1553" s="10" t="s">
        <v>5239</v>
      </c>
      <c r="I1553" s="10" t="s">
        <v>89</v>
      </c>
      <c r="J1553" s="13" t="b">
        <v>0</v>
      </c>
      <c r="K1553" s="13" t="b">
        <v>1</v>
      </c>
      <c r="L1553" s="10" t="s">
        <v>124</v>
      </c>
      <c r="M1553" s="10" t="s">
        <v>91</v>
      </c>
      <c r="N1553" s="10" t="s">
        <v>92</v>
      </c>
      <c r="O1553" s="19" t="s">
        <v>11754</v>
      </c>
      <c r="P1553" s="10"/>
      <c r="Q1553" s="10" t="s">
        <v>126</v>
      </c>
      <c r="R1553" s="10"/>
      <c r="S1553" s="19" t="s">
        <v>11755</v>
      </c>
      <c r="T1553" s="19" t="s">
        <v>11711</v>
      </c>
      <c r="U1553" s="10" t="s">
        <v>11393</v>
      </c>
      <c r="V1553" s="10" t="s">
        <v>3278</v>
      </c>
      <c r="W1553" s="10" t="s">
        <v>3569</v>
      </c>
      <c r="X1553" s="10" t="s">
        <v>130</v>
      </c>
      <c r="Y1553" s="10" t="s">
        <v>130</v>
      </c>
      <c r="Z1553" s="10" t="s">
        <v>99</v>
      </c>
      <c r="AA1553" s="10" t="s">
        <v>131</v>
      </c>
      <c r="AB1553" s="10" t="s">
        <v>3570</v>
      </c>
      <c r="AC1553" s="10" t="s">
        <v>3571</v>
      </c>
      <c r="AD1553" s="10" t="s">
        <v>11756</v>
      </c>
      <c r="AE1553" s="10" t="s">
        <v>11757</v>
      </c>
      <c r="AF1553" s="15"/>
      <c r="AG1553" s="10"/>
      <c r="AH1553" s="10"/>
      <c r="AI1553" s="10"/>
      <c r="AJ1553" s="10"/>
      <c r="AK1553" s="10" t="s">
        <v>102</v>
      </c>
      <c r="AL1553" s="10" t="s">
        <v>7897</v>
      </c>
      <c r="AM1553" s="10"/>
      <c r="AN1553" s="10"/>
      <c r="AO1553" s="13" t="b">
        <v>1</v>
      </c>
      <c r="AP1553" s="10" t="s">
        <v>104</v>
      </c>
      <c r="AQ1553" s="10">
        <f ca="1">IFERROR(__xludf.DUMMYFUNCTION("""COMPUTED_VALUE"""),4663728)</f>
        <v>4663728</v>
      </c>
      <c r="AR1553" s="17">
        <v>26129</v>
      </c>
      <c r="AS1553" s="17">
        <v>15836</v>
      </c>
      <c r="AT1553" s="17">
        <v>557796.5</v>
      </c>
      <c r="AU1553" s="17">
        <v>154.44999999999999</v>
      </c>
      <c r="AV1553" s="17">
        <v>24.65</v>
      </c>
      <c r="AW1553" s="10" t="s">
        <v>105</v>
      </c>
      <c r="AX1553" s="17">
        <v>6721</v>
      </c>
      <c r="AY1553" s="18">
        <v>35.223320282899721</v>
      </c>
      <c r="AZ1553" s="10" t="s">
        <v>117</v>
      </c>
      <c r="BA1553" s="20" t="b">
        <v>0</v>
      </c>
      <c r="BB1553" s="10"/>
      <c r="BC1553" s="17">
        <v>26129</v>
      </c>
      <c r="BD1553" s="17">
        <v>15836</v>
      </c>
      <c r="BE1553" s="17">
        <v>557796.5</v>
      </c>
      <c r="BF1553" s="17">
        <v>24.65</v>
      </c>
      <c r="BG1553" s="11">
        <f ca="1">IFERROR(__xludf.DUMMYFUNCTION("""COMPUTED_VALUE"""),45952.0833333333)</f>
        <v>45952.083333333299</v>
      </c>
      <c r="BH1553" s="17" t="s">
        <v>105</v>
      </c>
      <c r="BI1553" s="17"/>
      <c r="BJ1553" s="15"/>
      <c r="BK1553" s="15"/>
      <c r="BL1553" s="13" t="b">
        <v>0</v>
      </c>
      <c r="BM1553" s="10"/>
      <c r="BN1553" s="10" t="s">
        <v>455</v>
      </c>
      <c r="BO1553" s="11">
        <v>45904.299305555556</v>
      </c>
      <c r="BP1553" s="11">
        <v>45943.572800925926</v>
      </c>
      <c r="BQ1553" s="15">
        <v>45950.621759259258</v>
      </c>
      <c r="BR1553" s="15">
        <v>45950.698634259257</v>
      </c>
      <c r="BS1553" s="10" t="s">
        <v>455</v>
      </c>
      <c r="BT1553" s="10" t="s">
        <v>99</v>
      </c>
      <c r="BU1553" s="10" t="s">
        <v>521</v>
      </c>
      <c r="BV1553" s="10"/>
      <c r="BW1553" s="10"/>
      <c r="BX1553" s="10"/>
      <c r="BY1553" s="23"/>
      <c r="BZ1553" s="23"/>
      <c r="CA1553" s="19" t="s">
        <v>11758</v>
      </c>
      <c r="CB1553" s="19" t="s">
        <v>11759</v>
      </c>
      <c r="CC1553" s="23"/>
      <c r="CD1553" s="19" t="s">
        <v>11760</v>
      </c>
      <c r="CE1553" s="23"/>
      <c r="CF1553" s="23"/>
      <c r="CG1553" s="23"/>
      <c r="CH1553" s="23"/>
      <c r="CI1553" s="23"/>
    </row>
    <row r="1554" spans="1:87" x14ac:dyDescent="0.3">
      <c r="A1554" s="9" t="s">
        <v>11761</v>
      </c>
      <c r="B1554" s="10" t="s">
        <v>11762</v>
      </c>
      <c r="C1554" s="11">
        <v>45952.083333333336</v>
      </c>
      <c r="D1554" s="12">
        <v>8.3333333333333329E-2</v>
      </c>
      <c r="E1554" s="11">
        <v>45952.166666666664</v>
      </c>
      <c r="F1554" s="10" t="s">
        <v>3563</v>
      </c>
      <c r="G1554" s="13" t="b">
        <v>0</v>
      </c>
      <c r="H1554" s="10" t="s">
        <v>5239</v>
      </c>
      <c r="I1554" s="10" t="s">
        <v>89</v>
      </c>
      <c r="J1554" s="13" t="b">
        <v>0</v>
      </c>
      <c r="K1554" s="13" t="b">
        <v>1</v>
      </c>
      <c r="L1554" s="10" t="s">
        <v>124</v>
      </c>
      <c r="M1554" s="10" t="s">
        <v>91</v>
      </c>
      <c r="N1554" s="10" t="s">
        <v>92</v>
      </c>
      <c r="O1554" s="19" t="s">
        <v>11763</v>
      </c>
      <c r="P1554" s="10"/>
      <c r="Q1554" s="10" t="s">
        <v>126</v>
      </c>
      <c r="R1554" s="10"/>
      <c r="S1554" s="19" t="s">
        <v>11764</v>
      </c>
      <c r="T1554" s="19" t="s">
        <v>11711</v>
      </c>
      <c r="U1554" s="10" t="s">
        <v>11499</v>
      </c>
      <c r="V1554" s="10" t="s">
        <v>11409</v>
      </c>
      <c r="W1554" s="10" t="s">
        <v>3569</v>
      </c>
      <c r="X1554" s="10" t="s">
        <v>130</v>
      </c>
      <c r="Y1554" s="10" t="s">
        <v>130</v>
      </c>
      <c r="Z1554" s="10" t="s">
        <v>99</v>
      </c>
      <c r="AA1554" s="10" t="s">
        <v>131</v>
      </c>
      <c r="AB1554" s="10" t="s">
        <v>3570</v>
      </c>
      <c r="AC1554" s="10" t="s">
        <v>3571</v>
      </c>
      <c r="AD1554" s="10" t="s">
        <v>11765</v>
      </c>
      <c r="AE1554" s="10" t="s">
        <v>11766</v>
      </c>
      <c r="AF1554" s="15"/>
      <c r="AG1554" s="10"/>
      <c r="AH1554" s="10"/>
      <c r="AI1554" s="10"/>
      <c r="AJ1554" s="10"/>
      <c r="AK1554" s="10" t="s">
        <v>102</v>
      </c>
      <c r="AL1554" s="10" t="s">
        <v>7897</v>
      </c>
      <c r="AM1554" s="10"/>
      <c r="AN1554" s="10"/>
      <c r="AO1554" s="13" t="b">
        <v>0</v>
      </c>
      <c r="AP1554" s="10" t="s">
        <v>104</v>
      </c>
      <c r="AQ1554" s="10">
        <f ca="1">IFERROR(__xludf.DUMMYFUNCTION("""COMPUTED_VALUE"""),4663722)</f>
        <v>4663722</v>
      </c>
      <c r="AR1554" s="17">
        <v>13245</v>
      </c>
      <c r="AS1554" s="17">
        <v>8535</v>
      </c>
      <c r="AT1554" s="17">
        <v>41471.75</v>
      </c>
      <c r="AU1554" s="17">
        <v>15.15</v>
      </c>
      <c r="AV1554" s="17">
        <v>3.25</v>
      </c>
      <c r="AW1554" s="10" t="s">
        <v>105</v>
      </c>
      <c r="AX1554" s="17">
        <v>1554</v>
      </c>
      <c r="AY1554" s="18">
        <v>4.859021675454013</v>
      </c>
      <c r="AZ1554" s="10" t="s">
        <v>168</v>
      </c>
      <c r="BA1554" s="20" t="b">
        <v>0</v>
      </c>
      <c r="BB1554" s="10"/>
      <c r="BC1554" s="17">
        <v>13245</v>
      </c>
      <c r="BD1554" s="17">
        <v>8535</v>
      </c>
      <c r="BE1554" s="17">
        <v>41471.75</v>
      </c>
      <c r="BF1554" s="17">
        <v>3.25</v>
      </c>
      <c r="BG1554" s="11">
        <f ca="1">IFERROR(__xludf.DUMMYFUNCTION("""COMPUTED_VALUE"""),45952.0833333333)</f>
        <v>45952.083333333299</v>
      </c>
      <c r="BH1554" s="17" t="s">
        <v>105</v>
      </c>
      <c r="BI1554" s="17"/>
      <c r="BJ1554" s="15"/>
      <c r="BK1554" s="15"/>
      <c r="BL1554" s="13" t="b">
        <v>0</v>
      </c>
      <c r="BM1554" s="10"/>
      <c r="BN1554" s="10" t="s">
        <v>455</v>
      </c>
      <c r="BO1554" s="11">
        <v>45904.299305555556</v>
      </c>
      <c r="BP1554" s="11">
        <v>45943.572858796295</v>
      </c>
      <c r="BQ1554" s="15">
        <v>45950.66814814815</v>
      </c>
      <c r="BR1554" s="15">
        <v>45950.698113425926</v>
      </c>
      <c r="BS1554" s="10" t="s">
        <v>455</v>
      </c>
      <c r="BT1554" s="10" t="s">
        <v>99</v>
      </c>
      <c r="BU1554" s="10" t="s">
        <v>456</v>
      </c>
      <c r="BV1554" s="10"/>
      <c r="BW1554" s="10"/>
      <c r="BX1554" s="10"/>
      <c r="BY1554" s="23"/>
      <c r="BZ1554" s="23"/>
      <c r="CA1554" s="19" t="s">
        <v>11767</v>
      </c>
      <c r="CB1554" s="19" t="s">
        <v>11768</v>
      </c>
      <c r="CC1554" s="23"/>
      <c r="CD1554" s="19" t="s">
        <v>11769</v>
      </c>
      <c r="CE1554" s="23"/>
      <c r="CF1554" s="23"/>
      <c r="CG1554" s="23"/>
      <c r="CH1554" s="23"/>
      <c r="CI1554" s="23"/>
    </row>
    <row r="1555" spans="1:87" x14ac:dyDescent="0.3">
      <c r="A1555" s="9" t="s">
        <v>11770</v>
      </c>
      <c r="B1555" s="10" t="s">
        <v>11771</v>
      </c>
      <c r="C1555" s="11">
        <v>45952.083333333336</v>
      </c>
      <c r="D1555" s="12">
        <v>8.3333333333333329E-2</v>
      </c>
      <c r="E1555" s="11">
        <v>45952.166666666664</v>
      </c>
      <c r="F1555" s="10" t="s">
        <v>3563</v>
      </c>
      <c r="G1555" s="13" t="b">
        <v>0</v>
      </c>
      <c r="H1555" s="10" t="s">
        <v>5239</v>
      </c>
      <c r="I1555" s="10" t="s">
        <v>89</v>
      </c>
      <c r="J1555" s="13" t="b">
        <v>0</v>
      </c>
      <c r="K1555" s="13" t="b">
        <v>1</v>
      </c>
      <c r="L1555" s="10" t="s">
        <v>124</v>
      </c>
      <c r="M1555" s="10" t="s">
        <v>91</v>
      </c>
      <c r="N1555" s="10" t="s">
        <v>92</v>
      </c>
      <c r="O1555" s="19" t="s">
        <v>11772</v>
      </c>
      <c r="P1555" s="10"/>
      <c r="Q1555" s="10" t="s">
        <v>126</v>
      </c>
      <c r="R1555" s="10"/>
      <c r="S1555" s="19" t="s">
        <v>11773</v>
      </c>
      <c r="T1555" s="19" t="s">
        <v>11711</v>
      </c>
      <c r="U1555" s="10" t="s">
        <v>5018</v>
      </c>
      <c r="V1555" s="10" t="s">
        <v>334</v>
      </c>
      <c r="W1555" s="10" t="s">
        <v>3569</v>
      </c>
      <c r="X1555" s="10" t="s">
        <v>130</v>
      </c>
      <c r="Y1555" s="10" t="s">
        <v>130</v>
      </c>
      <c r="Z1555" s="10" t="s">
        <v>99</v>
      </c>
      <c r="AA1555" s="10" t="s">
        <v>131</v>
      </c>
      <c r="AB1555" s="10" t="s">
        <v>3570</v>
      </c>
      <c r="AC1555" s="10" t="s">
        <v>3571</v>
      </c>
      <c r="AD1555" s="10" t="s">
        <v>11774</v>
      </c>
      <c r="AE1555" s="10" t="s">
        <v>11775</v>
      </c>
      <c r="AF1555" s="15"/>
      <c r="AG1555" s="10"/>
      <c r="AH1555" s="10"/>
      <c r="AI1555" s="10"/>
      <c r="AJ1555" s="10"/>
      <c r="AK1555" s="10" t="s">
        <v>102</v>
      </c>
      <c r="AL1555" s="10" t="s">
        <v>7897</v>
      </c>
      <c r="AM1555" s="10"/>
      <c r="AN1555" s="10"/>
      <c r="AO1555" s="13" t="b">
        <v>1</v>
      </c>
      <c r="AP1555" s="10" t="s">
        <v>104</v>
      </c>
      <c r="AQ1555" s="10">
        <f ca="1">IFERROR(__xludf.DUMMYFUNCTION("""COMPUTED_VALUE"""),4663731)</f>
        <v>4663731</v>
      </c>
      <c r="AR1555" s="17">
        <v>41607</v>
      </c>
      <c r="AS1555" s="17">
        <v>25765</v>
      </c>
      <c r="AT1555" s="17">
        <v>514460.75</v>
      </c>
      <c r="AU1555" s="17">
        <v>211.15</v>
      </c>
      <c r="AV1555" s="17">
        <v>28.75</v>
      </c>
      <c r="AW1555" s="10" t="s">
        <v>105</v>
      </c>
      <c r="AX1555" s="17">
        <v>7742</v>
      </c>
      <c r="AY1555" s="18">
        <v>19.967426741703861</v>
      </c>
      <c r="AZ1555" s="10" t="s">
        <v>117</v>
      </c>
      <c r="BA1555" s="20" t="b">
        <v>0</v>
      </c>
      <c r="BB1555" s="10"/>
      <c r="BC1555" s="17">
        <v>41607</v>
      </c>
      <c r="BD1555" s="17">
        <v>25765</v>
      </c>
      <c r="BE1555" s="17">
        <v>514460.75</v>
      </c>
      <c r="BF1555" s="17">
        <v>28.75</v>
      </c>
      <c r="BG1555" s="11">
        <f ca="1">IFERROR(__xludf.DUMMYFUNCTION("""COMPUTED_VALUE"""),45952.0833333333)</f>
        <v>45952.083333333299</v>
      </c>
      <c r="BH1555" s="17" t="s">
        <v>105</v>
      </c>
      <c r="BI1555" s="17"/>
      <c r="BJ1555" s="15"/>
      <c r="BK1555" s="15"/>
      <c r="BL1555" s="13" t="b">
        <v>0</v>
      </c>
      <c r="BM1555" s="10"/>
      <c r="BN1555" s="10" t="s">
        <v>455</v>
      </c>
      <c r="BO1555" s="11">
        <v>45904.299305555556</v>
      </c>
      <c r="BP1555" s="11">
        <v>45943.572928240741</v>
      </c>
      <c r="BQ1555" s="15">
        <v>45950.621967592589</v>
      </c>
      <c r="BR1555" s="15">
        <v>45950.698946759258</v>
      </c>
      <c r="BS1555" s="10" t="s">
        <v>455</v>
      </c>
      <c r="BT1555" s="10" t="s">
        <v>99</v>
      </c>
      <c r="BU1555" s="10" t="s">
        <v>718</v>
      </c>
      <c r="BV1555" s="10"/>
      <c r="BW1555" s="10"/>
      <c r="BX1555" s="10"/>
      <c r="BY1555" s="23"/>
      <c r="BZ1555" s="23"/>
      <c r="CA1555" s="19" t="s">
        <v>11776</v>
      </c>
      <c r="CB1555" s="19" t="s">
        <v>11777</v>
      </c>
      <c r="CC1555" s="23"/>
      <c r="CD1555" s="19" t="s">
        <v>11778</v>
      </c>
      <c r="CE1555" s="23"/>
      <c r="CF1555" s="23"/>
      <c r="CG1555" s="23"/>
      <c r="CH1555" s="23"/>
      <c r="CI1555" s="23"/>
    </row>
    <row r="1556" spans="1:87" x14ac:dyDescent="0.3">
      <c r="A1556" s="9" t="s">
        <v>11779</v>
      </c>
      <c r="B1556" s="10" t="s">
        <v>11780</v>
      </c>
      <c r="C1556" s="11">
        <v>45952.083333333336</v>
      </c>
      <c r="D1556" s="12">
        <v>8.3333333333333329E-2</v>
      </c>
      <c r="E1556" s="11">
        <v>45952.166666666664</v>
      </c>
      <c r="F1556" s="10" t="s">
        <v>3563</v>
      </c>
      <c r="G1556" s="13" t="b">
        <v>0</v>
      </c>
      <c r="H1556" s="10" t="s">
        <v>11460</v>
      </c>
      <c r="I1556" s="10" t="s">
        <v>89</v>
      </c>
      <c r="J1556" s="13" t="b">
        <v>0</v>
      </c>
      <c r="K1556" s="13" t="b">
        <v>1</v>
      </c>
      <c r="L1556" s="10" t="s">
        <v>124</v>
      </c>
      <c r="M1556" s="10" t="s">
        <v>91</v>
      </c>
      <c r="N1556" s="10" t="s">
        <v>92</v>
      </c>
      <c r="O1556" s="19" t="s">
        <v>11781</v>
      </c>
      <c r="P1556" s="10"/>
      <c r="Q1556" s="10" t="s">
        <v>126</v>
      </c>
      <c r="R1556" s="10"/>
      <c r="S1556" s="19" t="s">
        <v>11782</v>
      </c>
      <c r="T1556" s="19" t="s">
        <v>11711</v>
      </c>
      <c r="U1556" s="10" t="s">
        <v>362</v>
      </c>
      <c r="V1556" s="10" t="s">
        <v>5090</v>
      </c>
      <c r="W1556" s="10" t="s">
        <v>3569</v>
      </c>
      <c r="X1556" s="10" t="s">
        <v>130</v>
      </c>
      <c r="Y1556" s="10" t="s">
        <v>130</v>
      </c>
      <c r="Z1556" s="10" t="s">
        <v>99</v>
      </c>
      <c r="AA1556" s="10" t="s">
        <v>131</v>
      </c>
      <c r="AB1556" s="10" t="s">
        <v>3570</v>
      </c>
      <c r="AC1556" s="10" t="s">
        <v>3571</v>
      </c>
      <c r="AD1556" s="10" t="s">
        <v>11783</v>
      </c>
      <c r="AE1556" s="10" t="s">
        <v>11784</v>
      </c>
      <c r="AF1556" s="15"/>
      <c r="AG1556" s="10"/>
      <c r="AH1556" s="10"/>
      <c r="AI1556" s="10"/>
      <c r="AJ1556" s="10"/>
      <c r="AK1556" s="10" t="s">
        <v>102</v>
      </c>
      <c r="AL1556" s="10" t="s">
        <v>7897</v>
      </c>
      <c r="AM1556" s="10"/>
      <c r="AN1556" s="10"/>
      <c r="AO1556" s="13" t="b">
        <v>1</v>
      </c>
      <c r="AP1556" s="10" t="s">
        <v>104</v>
      </c>
      <c r="AQ1556" s="10">
        <f ca="1">IFERROR(__xludf.DUMMYFUNCTION("""COMPUTED_VALUE"""),4663719)</f>
        <v>4663719</v>
      </c>
      <c r="AR1556" s="17">
        <v>94300</v>
      </c>
      <c r="AS1556" s="17">
        <v>55179</v>
      </c>
      <c r="AT1556" s="17">
        <v>2226073.5</v>
      </c>
      <c r="AU1556" s="17">
        <v>867.45</v>
      </c>
      <c r="AV1556" s="17">
        <v>116.05</v>
      </c>
      <c r="AW1556" s="10" t="s">
        <v>105</v>
      </c>
      <c r="AX1556" s="17">
        <v>33598</v>
      </c>
      <c r="AY1556" s="18">
        <v>40.342766269776547</v>
      </c>
      <c r="AZ1556" s="10" t="s">
        <v>168</v>
      </c>
      <c r="BA1556" s="20" t="b">
        <v>0</v>
      </c>
      <c r="BB1556" s="10"/>
      <c r="BC1556" s="17">
        <v>94300</v>
      </c>
      <c r="BD1556" s="17">
        <v>55179</v>
      </c>
      <c r="BE1556" s="17">
        <v>2226073.5</v>
      </c>
      <c r="BF1556" s="17">
        <v>116.05</v>
      </c>
      <c r="BG1556" s="11">
        <f ca="1">IFERROR(__xludf.DUMMYFUNCTION("""COMPUTED_VALUE"""),45952.0833333333)</f>
        <v>45952.083333333299</v>
      </c>
      <c r="BH1556" s="17" t="s">
        <v>105</v>
      </c>
      <c r="BI1556" s="17"/>
      <c r="BJ1556" s="15"/>
      <c r="BK1556" s="15"/>
      <c r="BL1556" s="13" t="b">
        <v>0</v>
      </c>
      <c r="BM1556" s="10"/>
      <c r="BN1556" s="10" t="s">
        <v>455</v>
      </c>
      <c r="BO1556" s="11">
        <v>45904.299305555556</v>
      </c>
      <c r="BP1556" s="11">
        <v>45943.596967592595</v>
      </c>
      <c r="BQ1556" s="15">
        <v>45950.667824074073</v>
      </c>
      <c r="BR1556" s="15">
        <v>45950.685752314814</v>
      </c>
      <c r="BS1556" s="10" t="s">
        <v>455</v>
      </c>
      <c r="BT1556" s="10" t="s">
        <v>99</v>
      </c>
      <c r="BU1556" s="10" t="s">
        <v>498</v>
      </c>
      <c r="BV1556" s="10" t="s">
        <v>281</v>
      </c>
      <c r="BW1556" s="10" t="s">
        <v>9466</v>
      </c>
      <c r="BX1556" s="19" t="s">
        <v>11785</v>
      </c>
      <c r="BY1556" s="23"/>
      <c r="BZ1556" s="23"/>
      <c r="CA1556" s="19" t="s">
        <v>11786</v>
      </c>
      <c r="CB1556" s="19" t="s">
        <v>11787</v>
      </c>
      <c r="CC1556" s="23"/>
      <c r="CD1556" s="19" t="s">
        <v>11788</v>
      </c>
      <c r="CE1556" s="23"/>
      <c r="CF1556" s="23"/>
      <c r="CG1556" s="23"/>
      <c r="CH1556" s="23"/>
      <c r="CI1556" s="23"/>
    </row>
    <row r="1557" spans="1:87" x14ac:dyDescent="0.3">
      <c r="A1557" s="9" t="s">
        <v>11789</v>
      </c>
      <c r="B1557" s="10" t="s">
        <v>11790</v>
      </c>
      <c r="C1557" s="11">
        <v>45952.989583333336</v>
      </c>
      <c r="D1557" s="12">
        <v>8.3333333333333329E-2</v>
      </c>
      <c r="E1557" s="11">
        <v>45953.072916666664</v>
      </c>
      <c r="F1557" s="10" t="s">
        <v>3563</v>
      </c>
      <c r="G1557" s="13" t="b">
        <v>0</v>
      </c>
      <c r="H1557" s="10" t="s">
        <v>11460</v>
      </c>
      <c r="I1557" s="10" t="s">
        <v>89</v>
      </c>
      <c r="J1557" s="13" t="b">
        <v>0</v>
      </c>
      <c r="K1557" s="13" t="b">
        <v>1</v>
      </c>
      <c r="L1557" s="10" t="s">
        <v>124</v>
      </c>
      <c r="M1557" s="10" t="s">
        <v>91</v>
      </c>
      <c r="N1557" s="10" t="s">
        <v>92</v>
      </c>
      <c r="O1557" s="19" t="s">
        <v>11791</v>
      </c>
      <c r="P1557" s="10"/>
      <c r="Q1557" s="10" t="s">
        <v>126</v>
      </c>
      <c r="R1557" s="10"/>
      <c r="S1557" s="19" t="s">
        <v>11792</v>
      </c>
      <c r="T1557" s="19" t="s">
        <v>11711</v>
      </c>
      <c r="U1557" s="10" t="s">
        <v>5076</v>
      </c>
      <c r="V1557" s="10" t="s">
        <v>3599</v>
      </c>
      <c r="W1557" s="10" t="s">
        <v>3569</v>
      </c>
      <c r="X1557" s="10" t="s">
        <v>130</v>
      </c>
      <c r="Y1557" s="10" t="s">
        <v>130</v>
      </c>
      <c r="Z1557" s="10" t="s">
        <v>99</v>
      </c>
      <c r="AA1557" s="10" t="s">
        <v>131</v>
      </c>
      <c r="AB1557" s="10" t="s">
        <v>3570</v>
      </c>
      <c r="AC1557" s="10" t="s">
        <v>3571</v>
      </c>
      <c r="AD1557" s="10" t="s">
        <v>11793</v>
      </c>
      <c r="AE1557" s="10" t="s">
        <v>11794</v>
      </c>
      <c r="AF1557" s="15"/>
      <c r="AG1557" s="10"/>
      <c r="AH1557" s="10"/>
      <c r="AI1557" s="10"/>
      <c r="AJ1557" s="10"/>
      <c r="AK1557" s="10" t="s">
        <v>102</v>
      </c>
      <c r="AL1557" s="10" t="s">
        <v>7897</v>
      </c>
      <c r="AM1557" s="10"/>
      <c r="AN1557" s="10"/>
      <c r="AO1557" s="13" t="b">
        <v>0</v>
      </c>
      <c r="AP1557" s="10" t="s">
        <v>104</v>
      </c>
      <c r="AQ1557" s="10">
        <f ca="1">IFERROR(__xludf.DUMMYFUNCTION("""COMPUTED_VALUE"""),4664038)</f>
        <v>4664038</v>
      </c>
      <c r="AR1557" s="17">
        <v>56266</v>
      </c>
      <c r="AS1557" s="17">
        <v>44618</v>
      </c>
      <c r="AT1557" s="17">
        <v>755848.25</v>
      </c>
      <c r="AU1557" s="17">
        <v>263.89999999999998</v>
      </c>
      <c r="AV1557" s="17">
        <v>68.8</v>
      </c>
      <c r="AW1557" s="10" t="s">
        <v>105</v>
      </c>
      <c r="AX1557" s="17">
        <v>10594</v>
      </c>
      <c r="AY1557" s="18">
        <v>16.940433233224258</v>
      </c>
      <c r="AZ1557" s="10" t="s">
        <v>117</v>
      </c>
      <c r="BA1557" s="20" t="b">
        <v>0</v>
      </c>
      <c r="BB1557" s="10"/>
      <c r="BC1557" s="17">
        <v>56266</v>
      </c>
      <c r="BD1557" s="17">
        <v>44618</v>
      </c>
      <c r="BE1557" s="17">
        <v>755848.25</v>
      </c>
      <c r="BF1557" s="17">
        <v>68.8</v>
      </c>
      <c r="BG1557" s="11">
        <f ca="1">IFERROR(__xludf.DUMMYFUNCTION("""COMPUTED_VALUE"""),45952.9895833333)</f>
        <v>45952.989583333299</v>
      </c>
      <c r="BH1557" s="17" t="s">
        <v>105</v>
      </c>
      <c r="BI1557" s="17"/>
      <c r="BJ1557" s="15"/>
      <c r="BK1557" s="15"/>
      <c r="BL1557" s="13" t="b">
        <v>0</v>
      </c>
      <c r="BM1557" s="10"/>
      <c r="BN1557" s="10" t="s">
        <v>118</v>
      </c>
      <c r="BO1557" s="11">
        <v>45904.299305555556</v>
      </c>
      <c r="BP1557" s="11">
        <v>45943.597141203703</v>
      </c>
      <c r="BQ1557" s="15">
        <v>45950.622129629628</v>
      </c>
      <c r="BR1557" s="15">
        <v>45951.397766203707</v>
      </c>
      <c r="BS1557" s="10" t="s">
        <v>118</v>
      </c>
      <c r="BT1557" s="10" t="s">
        <v>99</v>
      </c>
      <c r="BU1557" s="10"/>
      <c r="BV1557" s="10"/>
      <c r="BW1557" s="10"/>
      <c r="BX1557" s="10"/>
      <c r="BY1557" s="23"/>
      <c r="BZ1557" s="23"/>
      <c r="CA1557" s="19" t="s">
        <v>11795</v>
      </c>
      <c r="CB1557" s="19" t="s">
        <v>11796</v>
      </c>
      <c r="CC1557" s="23"/>
      <c r="CD1557" s="19" t="s">
        <v>11797</v>
      </c>
      <c r="CE1557" s="23"/>
      <c r="CF1557" s="23"/>
      <c r="CG1557" s="23"/>
      <c r="CH1557" s="23"/>
      <c r="CI1557" s="23"/>
    </row>
    <row r="1558" spans="1:87" x14ac:dyDescent="0.3">
      <c r="A1558" s="9" t="s">
        <v>11798</v>
      </c>
      <c r="B1558" s="10" t="s">
        <v>11799</v>
      </c>
      <c r="C1558" s="11">
        <v>45952.989583333336</v>
      </c>
      <c r="D1558" s="12">
        <v>8.3333333333333329E-2</v>
      </c>
      <c r="E1558" s="11">
        <v>45953.072916666664</v>
      </c>
      <c r="F1558" s="10" t="s">
        <v>3563</v>
      </c>
      <c r="G1558" s="13" t="b">
        <v>0</v>
      </c>
      <c r="H1558" s="10" t="s">
        <v>3564</v>
      </c>
      <c r="I1558" s="10" t="s">
        <v>89</v>
      </c>
      <c r="J1558" s="13" t="b">
        <v>0</v>
      </c>
      <c r="K1558" s="13" t="b">
        <v>1</v>
      </c>
      <c r="L1558" s="10" t="s">
        <v>124</v>
      </c>
      <c r="M1558" s="10" t="s">
        <v>91</v>
      </c>
      <c r="N1558" s="10" t="s">
        <v>92</v>
      </c>
      <c r="O1558" s="19" t="s">
        <v>11800</v>
      </c>
      <c r="P1558" s="10"/>
      <c r="Q1558" s="10" t="s">
        <v>94</v>
      </c>
      <c r="R1558" s="10"/>
      <c r="S1558" s="19" t="s">
        <v>11801</v>
      </c>
      <c r="T1558" s="19" t="s">
        <v>11711</v>
      </c>
      <c r="U1558" s="10" t="s">
        <v>11518</v>
      </c>
      <c r="V1558" s="10" t="s">
        <v>8556</v>
      </c>
      <c r="W1558" s="10" t="s">
        <v>3569</v>
      </c>
      <c r="X1558" s="10" t="s">
        <v>130</v>
      </c>
      <c r="Y1558" s="10" t="s">
        <v>130</v>
      </c>
      <c r="Z1558" s="10" t="s">
        <v>99</v>
      </c>
      <c r="AA1558" s="10" t="s">
        <v>131</v>
      </c>
      <c r="AB1558" s="10" t="s">
        <v>3570</v>
      </c>
      <c r="AC1558" s="10" t="s">
        <v>3571</v>
      </c>
      <c r="AD1558" s="10" t="s">
        <v>11802</v>
      </c>
      <c r="AE1558" s="10" t="s">
        <v>11803</v>
      </c>
      <c r="AF1558" s="15"/>
      <c r="AG1558" s="10"/>
      <c r="AH1558" s="10"/>
      <c r="AI1558" s="10"/>
      <c r="AJ1558" s="10"/>
      <c r="AK1558" s="10" t="s">
        <v>102</v>
      </c>
      <c r="AL1558" s="10" t="s">
        <v>7897</v>
      </c>
      <c r="AM1558" s="10"/>
      <c r="AN1558" s="10"/>
      <c r="AO1558" s="13" t="b">
        <v>0</v>
      </c>
      <c r="AP1558" s="10" t="s">
        <v>104</v>
      </c>
      <c r="AQ1558" s="10">
        <f ca="1">IFERROR(__xludf.DUMMYFUNCTION("""COMPUTED_VALUE"""),4664041)</f>
        <v>4664041</v>
      </c>
      <c r="AR1558" s="17">
        <v>23458</v>
      </c>
      <c r="AS1558" s="17">
        <v>17227</v>
      </c>
      <c r="AT1558" s="17">
        <v>360556.5</v>
      </c>
      <c r="AU1558" s="17">
        <v>123.65</v>
      </c>
      <c r="AV1558" s="17">
        <v>24.95</v>
      </c>
      <c r="AW1558" s="10" t="s">
        <v>105</v>
      </c>
      <c r="AX1558" s="17">
        <v>5247</v>
      </c>
      <c r="AY1558" s="18">
        <v>20.929732396818945</v>
      </c>
      <c r="AZ1558" s="10" t="s">
        <v>117</v>
      </c>
      <c r="BA1558" s="20" t="b">
        <v>0</v>
      </c>
      <c r="BB1558" s="10"/>
      <c r="BC1558" s="17">
        <v>23458</v>
      </c>
      <c r="BD1558" s="17">
        <v>17227</v>
      </c>
      <c r="BE1558" s="17">
        <v>360556.5</v>
      </c>
      <c r="BF1558" s="17">
        <v>24.95</v>
      </c>
      <c r="BG1558" s="11">
        <f ca="1">IFERROR(__xludf.DUMMYFUNCTION("""COMPUTED_VALUE"""),45952.9895833333)</f>
        <v>45952.989583333299</v>
      </c>
      <c r="BH1558" s="17" t="s">
        <v>105</v>
      </c>
      <c r="BI1558" s="17"/>
      <c r="BJ1558" s="15"/>
      <c r="BK1558" s="15"/>
      <c r="BL1558" s="13" t="b">
        <v>0</v>
      </c>
      <c r="BM1558" s="10"/>
      <c r="BN1558" s="10" t="s">
        <v>1160</v>
      </c>
      <c r="BO1558" s="11">
        <v>45904.299305555556</v>
      </c>
      <c r="BP1558" s="11">
        <v>45939.658842592595</v>
      </c>
      <c r="BQ1558" s="15">
        <v>45950.62226851852</v>
      </c>
      <c r="BR1558" s="15">
        <v>45951.402743055558</v>
      </c>
      <c r="BS1558" s="10" t="s">
        <v>1160</v>
      </c>
      <c r="BT1558" s="10" t="s">
        <v>99</v>
      </c>
      <c r="BU1558" s="10"/>
      <c r="BV1558" s="10"/>
      <c r="BW1558" s="10"/>
      <c r="BX1558" s="10"/>
      <c r="BY1558" s="23"/>
      <c r="BZ1558" s="23"/>
      <c r="CA1558" s="19" t="s">
        <v>11804</v>
      </c>
      <c r="CB1558" s="19" t="s">
        <v>11805</v>
      </c>
      <c r="CC1558" s="23"/>
      <c r="CD1558" s="23"/>
      <c r="CE1558" s="23"/>
      <c r="CF1558" s="23"/>
      <c r="CG1558" s="23"/>
      <c r="CH1558" s="23"/>
      <c r="CI1558" s="23"/>
    </row>
    <row r="1559" spans="1:87" x14ac:dyDescent="0.3">
      <c r="A1559" s="9" t="s">
        <v>11806</v>
      </c>
      <c r="B1559" s="10" t="s">
        <v>11807</v>
      </c>
      <c r="C1559" s="11">
        <v>45953.083333333336</v>
      </c>
      <c r="D1559" s="12">
        <v>8.3333333333333329E-2</v>
      </c>
      <c r="E1559" s="11">
        <v>45953.166666666664</v>
      </c>
      <c r="F1559" s="10" t="s">
        <v>3563</v>
      </c>
      <c r="G1559" s="13" t="b">
        <v>0</v>
      </c>
      <c r="H1559" s="10" t="s">
        <v>5239</v>
      </c>
      <c r="I1559" s="10" t="s">
        <v>89</v>
      </c>
      <c r="J1559" s="13" t="b">
        <v>0</v>
      </c>
      <c r="K1559" s="13" t="b">
        <v>1</v>
      </c>
      <c r="L1559" s="10" t="s">
        <v>124</v>
      </c>
      <c r="M1559" s="10" t="s">
        <v>91</v>
      </c>
      <c r="N1559" s="10" t="s">
        <v>92</v>
      </c>
      <c r="O1559" s="19" t="s">
        <v>11808</v>
      </c>
      <c r="P1559" s="10"/>
      <c r="Q1559" s="10" t="s">
        <v>126</v>
      </c>
      <c r="R1559" s="10"/>
      <c r="S1559" s="19" t="s">
        <v>11809</v>
      </c>
      <c r="T1559" s="19" t="s">
        <v>11711</v>
      </c>
      <c r="U1559" s="10" t="s">
        <v>346</v>
      </c>
      <c r="V1559" s="10" t="s">
        <v>3715</v>
      </c>
      <c r="W1559" s="10" t="s">
        <v>3569</v>
      </c>
      <c r="X1559" s="10" t="s">
        <v>130</v>
      </c>
      <c r="Y1559" s="10" t="s">
        <v>130</v>
      </c>
      <c r="Z1559" s="10" t="s">
        <v>99</v>
      </c>
      <c r="AA1559" s="10" t="s">
        <v>131</v>
      </c>
      <c r="AB1559" s="10" t="s">
        <v>3570</v>
      </c>
      <c r="AC1559" s="10" t="s">
        <v>3571</v>
      </c>
      <c r="AD1559" s="10" t="s">
        <v>11810</v>
      </c>
      <c r="AE1559" s="10" t="s">
        <v>11811</v>
      </c>
      <c r="AF1559" s="15"/>
      <c r="AG1559" s="10"/>
      <c r="AH1559" s="10"/>
      <c r="AI1559" s="10"/>
      <c r="AJ1559" s="10"/>
      <c r="AK1559" s="10" t="s">
        <v>102</v>
      </c>
      <c r="AL1559" s="10" t="s">
        <v>7897</v>
      </c>
      <c r="AM1559" s="10"/>
      <c r="AN1559" s="10"/>
      <c r="AO1559" s="13" t="b">
        <v>1</v>
      </c>
      <c r="AP1559" s="10" t="s">
        <v>104</v>
      </c>
      <c r="AQ1559" s="10">
        <f ca="1">IFERROR(__xludf.DUMMYFUNCTION("""COMPUTED_VALUE"""),4664045)</f>
        <v>4664045</v>
      </c>
      <c r="AR1559" s="17">
        <v>48196</v>
      </c>
      <c r="AS1559" s="17">
        <v>28346</v>
      </c>
      <c r="AT1559" s="17">
        <v>951391</v>
      </c>
      <c r="AU1559" s="17">
        <v>455.85</v>
      </c>
      <c r="AV1559" s="17">
        <v>69.900000000000006</v>
      </c>
      <c r="AW1559" s="10" t="s">
        <v>105</v>
      </c>
      <c r="AX1559" s="17">
        <v>11418</v>
      </c>
      <c r="AY1559" s="18">
        <v>33.563501023072035</v>
      </c>
      <c r="AZ1559" s="10" t="s">
        <v>106</v>
      </c>
      <c r="BA1559" s="20" t="b">
        <v>0</v>
      </c>
      <c r="BB1559" s="10"/>
      <c r="BC1559" s="17">
        <v>48196</v>
      </c>
      <c r="BD1559" s="17">
        <v>28346</v>
      </c>
      <c r="BE1559" s="17">
        <v>951391</v>
      </c>
      <c r="BF1559" s="17">
        <v>69.900000000000006</v>
      </c>
      <c r="BG1559" s="11">
        <f ca="1">IFERROR(__xludf.DUMMYFUNCTION("""COMPUTED_VALUE"""),45953.0833333333)</f>
        <v>45953.083333333299</v>
      </c>
      <c r="BH1559" s="17" t="s">
        <v>105</v>
      </c>
      <c r="BI1559" s="17"/>
      <c r="BJ1559" s="15"/>
      <c r="BK1559" s="15"/>
      <c r="BL1559" s="13" t="b">
        <v>0</v>
      </c>
      <c r="BM1559" s="10"/>
      <c r="BN1559" s="10" t="s">
        <v>157</v>
      </c>
      <c r="BO1559" s="11">
        <v>45904.299305555556</v>
      </c>
      <c r="BP1559" s="11">
        <v>45943.573148148149</v>
      </c>
      <c r="BQ1559" s="15">
        <v>45950.641157407408</v>
      </c>
      <c r="BR1559" s="15">
        <v>45951.404282407406</v>
      </c>
      <c r="BS1559" s="10" t="s">
        <v>157</v>
      </c>
      <c r="BT1559" s="10" t="s">
        <v>99</v>
      </c>
      <c r="BU1559" s="10" t="s">
        <v>421</v>
      </c>
      <c r="BV1559" s="10"/>
      <c r="BW1559" s="10"/>
      <c r="BX1559" s="10"/>
      <c r="BY1559" s="23"/>
      <c r="BZ1559" s="23"/>
      <c r="CA1559" s="19" t="s">
        <v>11812</v>
      </c>
      <c r="CB1559" s="19" t="s">
        <v>11813</v>
      </c>
      <c r="CC1559" s="23"/>
      <c r="CD1559" s="19" t="s">
        <v>11814</v>
      </c>
      <c r="CE1559" s="23"/>
      <c r="CF1559" s="23"/>
      <c r="CG1559" s="23"/>
      <c r="CH1559" s="23"/>
      <c r="CI1559" s="23"/>
    </row>
    <row r="1560" spans="1:87" x14ac:dyDescent="0.3">
      <c r="A1560" s="9" t="s">
        <v>11815</v>
      </c>
      <c r="B1560" s="10" t="s">
        <v>11816</v>
      </c>
      <c r="C1560" s="11">
        <v>45953.083333333336</v>
      </c>
      <c r="D1560" s="12">
        <v>8.3333333333333329E-2</v>
      </c>
      <c r="E1560" s="11">
        <v>45953.166666666664</v>
      </c>
      <c r="F1560" s="10" t="s">
        <v>3563</v>
      </c>
      <c r="G1560" s="13" t="b">
        <v>0</v>
      </c>
      <c r="H1560" s="10" t="s">
        <v>3578</v>
      </c>
      <c r="I1560" s="10" t="s">
        <v>89</v>
      </c>
      <c r="J1560" s="13" t="b">
        <v>0</v>
      </c>
      <c r="K1560" s="13" t="b">
        <v>1</v>
      </c>
      <c r="L1560" s="10" t="s">
        <v>124</v>
      </c>
      <c r="M1560" s="10" t="s">
        <v>91</v>
      </c>
      <c r="N1560" s="10" t="s">
        <v>92</v>
      </c>
      <c r="O1560" s="19" t="s">
        <v>11817</v>
      </c>
      <c r="P1560" s="10"/>
      <c r="Q1560" s="10" t="s">
        <v>126</v>
      </c>
      <c r="R1560" s="10"/>
      <c r="S1560" s="19" t="s">
        <v>11818</v>
      </c>
      <c r="T1560" s="19" t="s">
        <v>11711</v>
      </c>
      <c r="U1560" s="10" t="s">
        <v>5113</v>
      </c>
      <c r="V1560" s="10" t="s">
        <v>3259</v>
      </c>
      <c r="W1560" s="10" t="s">
        <v>3569</v>
      </c>
      <c r="X1560" s="10" t="s">
        <v>130</v>
      </c>
      <c r="Y1560" s="10" t="s">
        <v>130</v>
      </c>
      <c r="Z1560" s="10" t="s">
        <v>99</v>
      </c>
      <c r="AA1560" s="10" t="s">
        <v>131</v>
      </c>
      <c r="AB1560" s="10" t="s">
        <v>3570</v>
      </c>
      <c r="AC1560" s="10" t="s">
        <v>3571</v>
      </c>
      <c r="AD1560" s="10" t="s">
        <v>11819</v>
      </c>
      <c r="AE1560" s="10" t="s">
        <v>11820</v>
      </c>
      <c r="AF1560" s="15"/>
      <c r="AG1560" s="10"/>
      <c r="AH1560" s="10"/>
      <c r="AI1560" s="10"/>
      <c r="AJ1560" s="10"/>
      <c r="AK1560" s="10" t="s">
        <v>102</v>
      </c>
      <c r="AL1560" s="10" t="s">
        <v>7897</v>
      </c>
      <c r="AM1560" s="10"/>
      <c r="AN1560" s="10"/>
      <c r="AO1560" s="13" t="b">
        <v>1</v>
      </c>
      <c r="AP1560" s="10" t="s">
        <v>104</v>
      </c>
      <c r="AQ1560" s="10">
        <f ca="1">IFERROR(__xludf.DUMMYFUNCTION("""COMPUTED_VALUE"""),4664036)</f>
        <v>4664036</v>
      </c>
      <c r="AR1560" s="17">
        <v>176853</v>
      </c>
      <c r="AS1560" s="17">
        <v>104833</v>
      </c>
      <c r="AT1560" s="17">
        <v>6179008.75</v>
      </c>
      <c r="AU1560" s="17">
        <v>2183.6</v>
      </c>
      <c r="AV1560" s="17">
        <v>634.25</v>
      </c>
      <c r="AW1560" s="10" t="s">
        <v>105</v>
      </c>
      <c r="AX1560" s="17">
        <v>58086</v>
      </c>
      <c r="AY1560" s="18">
        <v>58.941447349594114</v>
      </c>
      <c r="AZ1560" s="10" t="s">
        <v>106</v>
      </c>
      <c r="BA1560" s="20" t="b">
        <v>0</v>
      </c>
      <c r="BB1560" s="10"/>
      <c r="BC1560" s="17">
        <v>176853</v>
      </c>
      <c r="BD1560" s="17">
        <v>104833</v>
      </c>
      <c r="BE1560" s="17">
        <v>6179008.75</v>
      </c>
      <c r="BF1560" s="17">
        <v>634.25</v>
      </c>
      <c r="BG1560" s="11">
        <f ca="1">IFERROR(__xludf.DUMMYFUNCTION("""COMPUTED_VALUE"""),45953.0833333333)</f>
        <v>45953.083333333299</v>
      </c>
      <c r="BH1560" s="17" t="s">
        <v>105</v>
      </c>
      <c r="BI1560" s="17"/>
      <c r="BJ1560" s="15"/>
      <c r="BK1560" s="15"/>
      <c r="BL1560" s="13" t="b">
        <v>0</v>
      </c>
      <c r="BM1560" s="10"/>
      <c r="BN1560" s="10" t="s">
        <v>157</v>
      </c>
      <c r="BO1560" s="11">
        <v>45904.299305555556</v>
      </c>
      <c r="BP1560" s="11">
        <v>45939.658993055556</v>
      </c>
      <c r="BQ1560" s="15">
        <v>45950.640543981484</v>
      </c>
      <c r="BR1560" s="15">
        <v>45951.400856481479</v>
      </c>
      <c r="BS1560" s="10" t="s">
        <v>157</v>
      </c>
      <c r="BT1560" s="10" t="s">
        <v>99</v>
      </c>
      <c r="BU1560" s="10" t="s">
        <v>5081</v>
      </c>
      <c r="BV1560" s="10" t="s">
        <v>281</v>
      </c>
      <c r="BW1560" s="10" t="s">
        <v>11821</v>
      </c>
      <c r="BX1560" s="19" t="s">
        <v>11822</v>
      </c>
      <c r="BY1560" s="23"/>
      <c r="BZ1560" s="23"/>
      <c r="CA1560" s="19" t="s">
        <v>11823</v>
      </c>
      <c r="CB1560" s="19" t="s">
        <v>11824</v>
      </c>
      <c r="CC1560" s="23"/>
      <c r="CD1560" s="19" t="s">
        <v>11825</v>
      </c>
      <c r="CE1560" s="23"/>
      <c r="CF1560" s="23"/>
      <c r="CG1560" s="23"/>
      <c r="CH1560" s="23"/>
      <c r="CI1560" s="23"/>
    </row>
    <row r="1561" spans="1:87" x14ac:dyDescent="0.3">
      <c r="A1561" s="9" t="s">
        <v>11826</v>
      </c>
      <c r="B1561" s="10" t="s">
        <v>11827</v>
      </c>
      <c r="C1561" s="11">
        <v>45953.083333333336</v>
      </c>
      <c r="D1561" s="12">
        <v>8.3333333333333329E-2</v>
      </c>
      <c r="E1561" s="11">
        <v>45953.166666666664</v>
      </c>
      <c r="F1561" s="10" t="s">
        <v>3563</v>
      </c>
      <c r="G1561" s="13" t="b">
        <v>0</v>
      </c>
      <c r="H1561" s="10" t="s">
        <v>5239</v>
      </c>
      <c r="I1561" s="10" t="s">
        <v>89</v>
      </c>
      <c r="J1561" s="13" t="b">
        <v>0</v>
      </c>
      <c r="K1561" s="13" t="b">
        <v>1</v>
      </c>
      <c r="L1561" s="10" t="s">
        <v>124</v>
      </c>
      <c r="M1561" s="10" t="s">
        <v>91</v>
      </c>
      <c r="N1561" s="10" t="s">
        <v>92</v>
      </c>
      <c r="O1561" s="19" t="s">
        <v>11828</v>
      </c>
      <c r="P1561" s="10"/>
      <c r="Q1561" s="10" t="s">
        <v>94</v>
      </c>
      <c r="R1561" s="10"/>
      <c r="S1561" s="19" t="s">
        <v>11829</v>
      </c>
      <c r="T1561" s="19" t="s">
        <v>11711</v>
      </c>
      <c r="U1561" s="10" t="s">
        <v>7859</v>
      </c>
      <c r="V1561" s="10" t="s">
        <v>11435</v>
      </c>
      <c r="W1561" s="10" t="s">
        <v>3569</v>
      </c>
      <c r="X1561" s="10" t="s">
        <v>130</v>
      </c>
      <c r="Y1561" s="10" t="s">
        <v>130</v>
      </c>
      <c r="Z1561" s="10" t="s">
        <v>99</v>
      </c>
      <c r="AA1561" s="10" t="s">
        <v>131</v>
      </c>
      <c r="AB1561" s="10" t="s">
        <v>3570</v>
      </c>
      <c r="AC1561" s="10" t="s">
        <v>3571</v>
      </c>
      <c r="AD1561" s="10" t="s">
        <v>11830</v>
      </c>
      <c r="AE1561" s="10" t="s">
        <v>11831</v>
      </c>
      <c r="AF1561" s="15"/>
      <c r="AG1561" s="10"/>
      <c r="AH1561" s="10"/>
      <c r="AI1561" s="10"/>
      <c r="AJ1561" s="10"/>
      <c r="AK1561" s="10" t="s">
        <v>102</v>
      </c>
      <c r="AL1561" s="10" t="s">
        <v>7897</v>
      </c>
      <c r="AM1561" s="10"/>
      <c r="AN1561" s="10"/>
      <c r="AO1561" s="13" t="b">
        <v>0</v>
      </c>
      <c r="AP1561" s="10" t="s">
        <v>104</v>
      </c>
      <c r="AQ1561" s="10">
        <f ca="1">IFERROR(__xludf.DUMMYFUNCTION("""COMPUTED_VALUE"""),4664047)</f>
        <v>4664047</v>
      </c>
      <c r="AR1561" s="17">
        <v>9867</v>
      </c>
      <c r="AS1561" s="17">
        <v>6019</v>
      </c>
      <c r="AT1561" s="17">
        <v>34854.25</v>
      </c>
      <c r="AU1561" s="17">
        <v>5.25</v>
      </c>
      <c r="AV1561" s="17">
        <v>1.7</v>
      </c>
      <c r="AW1561" s="10" t="s">
        <v>105</v>
      </c>
      <c r="AX1561" s="17">
        <v>1538</v>
      </c>
      <c r="AY1561" s="18">
        <v>5.7907044359528159</v>
      </c>
      <c r="AZ1561" s="10" t="s">
        <v>168</v>
      </c>
      <c r="BA1561" s="20" t="b">
        <v>0</v>
      </c>
      <c r="BB1561" s="10"/>
      <c r="BC1561" s="17">
        <v>9867</v>
      </c>
      <c r="BD1561" s="17">
        <v>6019</v>
      </c>
      <c r="BE1561" s="17">
        <v>34854.25</v>
      </c>
      <c r="BF1561" s="17">
        <v>1.7</v>
      </c>
      <c r="BG1561" s="11">
        <f ca="1">IFERROR(__xludf.DUMMYFUNCTION("""COMPUTED_VALUE"""),45953.0833333333)</f>
        <v>45953.083333333299</v>
      </c>
      <c r="BH1561" s="17" t="s">
        <v>105</v>
      </c>
      <c r="BI1561" s="17"/>
      <c r="BJ1561" s="15"/>
      <c r="BK1561" s="15"/>
      <c r="BL1561" s="13" t="b">
        <v>0</v>
      </c>
      <c r="BM1561" s="10"/>
      <c r="BN1561" s="10" t="s">
        <v>157</v>
      </c>
      <c r="BO1561" s="11">
        <v>45904.299305555556</v>
      </c>
      <c r="BP1561" s="11">
        <v>45943.573495370372</v>
      </c>
      <c r="BQ1561" s="15">
        <v>45950.640347222223</v>
      </c>
      <c r="BR1561" s="15">
        <v>45951.411226851851</v>
      </c>
      <c r="BS1561" s="10" t="s">
        <v>157</v>
      </c>
      <c r="BT1561" s="10" t="s">
        <v>99</v>
      </c>
      <c r="BU1561" s="10" t="s">
        <v>498</v>
      </c>
      <c r="BV1561" s="10"/>
      <c r="BW1561" s="10"/>
      <c r="BX1561" s="10"/>
      <c r="BY1561" s="23"/>
      <c r="BZ1561" s="23"/>
      <c r="CA1561" s="19" t="s">
        <v>11832</v>
      </c>
      <c r="CB1561" s="19" t="s">
        <v>11833</v>
      </c>
      <c r="CC1561" s="23"/>
      <c r="CD1561" s="23"/>
      <c r="CE1561" s="23"/>
      <c r="CF1561" s="23"/>
      <c r="CG1561" s="23"/>
      <c r="CH1561" s="23"/>
      <c r="CI1561" s="23"/>
    </row>
    <row r="1562" spans="1:87" x14ac:dyDescent="0.3">
      <c r="A1562" s="9" t="s">
        <v>11834</v>
      </c>
      <c r="B1562" s="10" t="s">
        <v>11835</v>
      </c>
      <c r="C1562" s="11">
        <v>45953.083333333336</v>
      </c>
      <c r="D1562" s="12">
        <v>8.3333333333333329E-2</v>
      </c>
      <c r="E1562" s="11">
        <v>45953.166666666664</v>
      </c>
      <c r="F1562" s="10" t="s">
        <v>3563</v>
      </c>
      <c r="G1562" s="13" t="b">
        <v>0</v>
      </c>
      <c r="H1562" s="10" t="s">
        <v>5239</v>
      </c>
      <c r="I1562" s="10" t="s">
        <v>89</v>
      </c>
      <c r="J1562" s="13" t="b">
        <v>0</v>
      </c>
      <c r="K1562" s="13" t="b">
        <v>1</v>
      </c>
      <c r="L1562" s="10" t="s">
        <v>124</v>
      </c>
      <c r="M1562" s="10" t="s">
        <v>91</v>
      </c>
      <c r="N1562" s="10" t="s">
        <v>92</v>
      </c>
      <c r="O1562" s="19" t="s">
        <v>11836</v>
      </c>
      <c r="P1562" s="10"/>
      <c r="Q1562" s="10" t="s">
        <v>126</v>
      </c>
      <c r="R1562" s="10"/>
      <c r="S1562" s="19" t="s">
        <v>11837</v>
      </c>
      <c r="T1562" s="19" t="s">
        <v>11711</v>
      </c>
      <c r="U1562" s="10" t="s">
        <v>11509</v>
      </c>
      <c r="V1562" s="10" t="s">
        <v>429</v>
      </c>
      <c r="W1562" s="10" t="s">
        <v>3569</v>
      </c>
      <c r="X1562" s="10" t="s">
        <v>130</v>
      </c>
      <c r="Y1562" s="10" t="s">
        <v>130</v>
      </c>
      <c r="Z1562" s="10" t="s">
        <v>99</v>
      </c>
      <c r="AA1562" s="10" t="s">
        <v>131</v>
      </c>
      <c r="AB1562" s="10" t="s">
        <v>3570</v>
      </c>
      <c r="AC1562" s="10" t="s">
        <v>3571</v>
      </c>
      <c r="AD1562" s="10" t="s">
        <v>11838</v>
      </c>
      <c r="AE1562" s="10" t="s">
        <v>11839</v>
      </c>
      <c r="AF1562" s="15"/>
      <c r="AG1562" s="10"/>
      <c r="AH1562" s="10"/>
      <c r="AI1562" s="10"/>
      <c r="AJ1562" s="10"/>
      <c r="AK1562" s="10" t="s">
        <v>102</v>
      </c>
      <c r="AL1562" s="10" t="s">
        <v>7897</v>
      </c>
      <c r="AM1562" s="10"/>
      <c r="AN1562" s="10"/>
      <c r="AO1562" s="13" t="b">
        <v>0</v>
      </c>
      <c r="AP1562" s="10" t="s">
        <v>104</v>
      </c>
      <c r="AQ1562" s="10">
        <f ca="1">IFERROR(__xludf.DUMMYFUNCTION("""COMPUTED_VALUE"""),4664046)</f>
        <v>4664046</v>
      </c>
      <c r="AR1562" s="17">
        <v>16765</v>
      </c>
      <c r="AS1562" s="17">
        <v>10869</v>
      </c>
      <c r="AT1562" s="17">
        <v>104067.25</v>
      </c>
      <c r="AU1562" s="17">
        <v>24.15</v>
      </c>
      <c r="AV1562" s="17">
        <v>6.2</v>
      </c>
      <c r="AW1562" s="10" t="s">
        <v>105</v>
      </c>
      <c r="AX1562" s="17">
        <v>3157</v>
      </c>
      <c r="AY1562" s="18">
        <v>9.5746848836139478</v>
      </c>
      <c r="AZ1562" s="10" t="s">
        <v>106</v>
      </c>
      <c r="BA1562" s="20" t="b">
        <v>0</v>
      </c>
      <c r="BB1562" s="10"/>
      <c r="BC1562" s="17">
        <v>16765</v>
      </c>
      <c r="BD1562" s="17">
        <v>10869</v>
      </c>
      <c r="BE1562" s="17">
        <v>104067.25</v>
      </c>
      <c r="BF1562" s="17">
        <v>6.2</v>
      </c>
      <c r="BG1562" s="11">
        <f ca="1">IFERROR(__xludf.DUMMYFUNCTION("""COMPUTED_VALUE"""),45953.0833333333)</f>
        <v>45953.083333333299</v>
      </c>
      <c r="BH1562" s="17" t="s">
        <v>105</v>
      </c>
      <c r="BI1562" s="17"/>
      <c r="BJ1562" s="15"/>
      <c r="BK1562" s="15"/>
      <c r="BL1562" s="13" t="b">
        <v>0</v>
      </c>
      <c r="BM1562" s="10"/>
      <c r="BN1562" s="10" t="s">
        <v>157</v>
      </c>
      <c r="BO1562" s="11">
        <v>45904.299305555556</v>
      </c>
      <c r="BP1562" s="11">
        <v>45943.573599537034</v>
      </c>
      <c r="BQ1562" s="15">
        <v>45950.640717592592</v>
      </c>
      <c r="BR1562" s="15">
        <v>45951.407523148147</v>
      </c>
      <c r="BS1562" s="10" t="s">
        <v>157</v>
      </c>
      <c r="BT1562" s="10" t="s">
        <v>99</v>
      </c>
      <c r="BU1562" s="10" t="s">
        <v>816</v>
      </c>
      <c r="BV1562" s="10"/>
      <c r="BW1562" s="10"/>
      <c r="BX1562" s="10"/>
      <c r="BY1562" s="23"/>
      <c r="BZ1562" s="23"/>
      <c r="CA1562" s="19" t="s">
        <v>11840</v>
      </c>
      <c r="CB1562" s="19" t="s">
        <v>11841</v>
      </c>
      <c r="CC1562" s="23"/>
      <c r="CD1562" s="19" t="s">
        <v>11842</v>
      </c>
      <c r="CE1562" s="23"/>
      <c r="CF1562" s="23"/>
      <c r="CG1562" s="23"/>
      <c r="CH1562" s="23"/>
      <c r="CI1562" s="23"/>
    </row>
    <row r="1563" spans="1:87" x14ac:dyDescent="0.3">
      <c r="A1563" s="9" t="s">
        <v>11843</v>
      </c>
      <c r="B1563" s="10" t="s">
        <v>11844</v>
      </c>
      <c r="C1563" s="11">
        <v>45953.083333333336</v>
      </c>
      <c r="D1563" s="12">
        <v>8.3333333333333329E-2</v>
      </c>
      <c r="E1563" s="11">
        <v>45953.166666666664</v>
      </c>
      <c r="F1563" s="10" t="s">
        <v>3563</v>
      </c>
      <c r="G1563" s="13" t="b">
        <v>0</v>
      </c>
      <c r="H1563" s="10" t="s">
        <v>5239</v>
      </c>
      <c r="I1563" s="10" t="s">
        <v>89</v>
      </c>
      <c r="J1563" s="13" t="b">
        <v>0</v>
      </c>
      <c r="K1563" s="13" t="b">
        <v>1</v>
      </c>
      <c r="L1563" s="10" t="s">
        <v>124</v>
      </c>
      <c r="M1563" s="10" t="s">
        <v>91</v>
      </c>
      <c r="N1563" s="10" t="s">
        <v>92</v>
      </c>
      <c r="O1563" s="19" t="s">
        <v>11845</v>
      </c>
      <c r="P1563" s="10"/>
      <c r="Q1563" s="10" t="s">
        <v>94</v>
      </c>
      <c r="R1563" s="10"/>
      <c r="S1563" s="19" t="s">
        <v>11846</v>
      </c>
      <c r="T1563" s="19" t="s">
        <v>11711</v>
      </c>
      <c r="U1563" s="10" t="s">
        <v>3308</v>
      </c>
      <c r="V1563" s="10" t="s">
        <v>11454</v>
      </c>
      <c r="W1563" s="10" t="s">
        <v>3569</v>
      </c>
      <c r="X1563" s="10" t="s">
        <v>130</v>
      </c>
      <c r="Y1563" s="10" t="s">
        <v>130</v>
      </c>
      <c r="Z1563" s="10" t="s">
        <v>99</v>
      </c>
      <c r="AA1563" s="10" t="s">
        <v>131</v>
      </c>
      <c r="AB1563" s="10" t="s">
        <v>3570</v>
      </c>
      <c r="AC1563" s="10" t="s">
        <v>3571</v>
      </c>
      <c r="AD1563" s="10" t="s">
        <v>11847</v>
      </c>
      <c r="AE1563" s="10" t="s">
        <v>11848</v>
      </c>
      <c r="AF1563" s="15"/>
      <c r="AG1563" s="10"/>
      <c r="AH1563" s="10"/>
      <c r="AI1563" s="10"/>
      <c r="AJ1563" s="10"/>
      <c r="AK1563" s="10" t="s">
        <v>102</v>
      </c>
      <c r="AL1563" s="10" t="s">
        <v>7897</v>
      </c>
      <c r="AM1563" s="10"/>
      <c r="AN1563" s="10"/>
      <c r="AO1563" s="13" t="b">
        <v>0</v>
      </c>
      <c r="AP1563" s="10" t="s">
        <v>104</v>
      </c>
      <c r="AQ1563" s="10">
        <f ca="1">IFERROR(__xludf.DUMMYFUNCTION("""COMPUTED_VALUE"""),4664043)</f>
        <v>4664043</v>
      </c>
      <c r="AR1563" s="17">
        <v>11851</v>
      </c>
      <c r="AS1563" s="17">
        <v>7036</v>
      </c>
      <c r="AT1563" s="17">
        <v>45514.25</v>
      </c>
      <c r="AU1563" s="17">
        <v>13.6</v>
      </c>
      <c r="AV1563" s="17">
        <v>7.85</v>
      </c>
      <c r="AW1563" s="10" t="s">
        <v>105</v>
      </c>
      <c r="AX1563" s="17">
        <v>2002</v>
      </c>
      <c r="AY1563" s="18">
        <v>6.4687677657760094</v>
      </c>
      <c r="AZ1563" s="10" t="s">
        <v>168</v>
      </c>
      <c r="BA1563" s="20" t="b">
        <v>0</v>
      </c>
      <c r="BB1563" s="10"/>
      <c r="BC1563" s="17">
        <v>11851</v>
      </c>
      <c r="BD1563" s="17">
        <v>7036</v>
      </c>
      <c r="BE1563" s="17">
        <v>45514.25</v>
      </c>
      <c r="BF1563" s="17">
        <v>7.85</v>
      </c>
      <c r="BG1563" s="11">
        <f ca="1">IFERROR(__xludf.DUMMYFUNCTION("""COMPUTED_VALUE"""),45953.0833333333)</f>
        <v>45953.083333333299</v>
      </c>
      <c r="BH1563" s="17" t="s">
        <v>105</v>
      </c>
      <c r="BI1563" s="17"/>
      <c r="BJ1563" s="15"/>
      <c r="BK1563" s="15"/>
      <c r="BL1563" s="13" t="b">
        <v>0</v>
      </c>
      <c r="BM1563" s="10"/>
      <c r="BN1563" s="10" t="s">
        <v>157</v>
      </c>
      <c r="BO1563" s="11">
        <v>45904.299305555556</v>
      </c>
      <c r="BP1563" s="11">
        <v>45943.573680555557</v>
      </c>
      <c r="BQ1563" s="15">
        <v>45950.639328703706</v>
      </c>
      <c r="BR1563" s="15">
        <v>45951.403310185182</v>
      </c>
      <c r="BS1563" s="10" t="s">
        <v>157</v>
      </c>
      <c r="BT1563" s="10" t="s">
        <v>99</v>
      </c>
      <c r="BU1563" s="10" t="s">
        <v>655</v>
      </c>
      <c r="BV1563" s="10"/>
      <c r="BW1563" s="10"/>
      <c r="BX1563" s="10"/>
      <c r="BY1563" s="23"/>
      <c r="BZ1563" s="23"/>
      <c r="CA1563" s="19" t="s">
        <v>11849</v>
      </c>
      <c r="CB1563" s="19" t="s">
        <v>11850</v>
      </c>
      <c r="CC1563" s="23"/>
      <c r="CD1563" s="23"/>
      <c r="CE1563" s="23"/>
      <c r="CF1563" s="23"/>
      <c r="CG1563" s="23"/>
      <c r="CH1563" s="23"/>
      <c r="CI1563" s="23"/>
    </row>
    <row r="1564" spans="1:87" x14ac:dyDescent="0.3">
      <c r="A1564" s="9" t="s">
        <v>11851</v>
      </c>
      <c r="B1564" s="10" t="s">
        <v>11852</v>
      </c>
      <c r="C1564" s="11">
        <v>45953.083333333336</v>
      </c>
      <c r="D1564" s="12">
        <v>8.3333333333333329E-2</v>
      </c>
      <c r="E1564" s="11">
        <v>45953.166666666664</v>
      </c>
      <c r="F1564" s="10" t="s">
        <v>3563</v>
      </c>
      <c r="G1564" s="13" t="b">
        <v>0</v>
      </c>
      <c r="H1564" s="10" t="s">
        <v>11460</v>
      </c>
      <c r="I1564" s="10" t="s">
        <v>89</v>
      </c>
      <c r="J1564" s="13" t="b">
        <v>0</v>
      </c>
      <c r="K1564" s="13" t="b">
        <v>1</v>
      </c>
      <c r="L1564" s="10" t="s">
        <v>124</v>
      </c>
      <c r="M1564" s="10" t="s">
        <v>91</v>
      </c>
      <c r="N1564" s="10" t="s">
        <v>92</v>
      </c>
      <c r="O1564" s="19" t="s">
        <v>11853</v>
      </c>
      <c r="P1564" s="10"/>
      <c r="Q1564" s="10" t="s">
        <v>126</v>
      </c>
      <c r="R1564" s="10"/>
      <c r="S1564" s="19" t="s">
        <v>11854</v>
      </c>
      <c r="T1564" s="19" t="s">
        <v>11711</v>
      </c>
      <c r="U1564" s="10" t="s">
        <v>11517</v>
      </c>
      <c r="V1564" s="10" t="s">
        <v>270</v>
      </c>
      <c r="W1564" s="10" t="s">
        <v>3569</v>
      </c>
      <c r="X1564" s="10" t="s">
        <v>130</v>
      </c>
      <c r="Y1564" s="10" t="s">
        <v>130</v>
      </c>
      <c r="Z1564" s="10" t="s">
        <v>99</v>
      </c>
      <c r="AA1564" s="10" t="s">
        <v>131</v>
      </c>
      <c r="AB1564" s="10" t="s">
        <v>3570</v>
      </c>
      <c r="AC1564" s="10" t="s">
        <v>3571</v>
      </c>
      <c r="AD1564" s="10" t="s">
        <v>11855</v>
      </c>
      <c r="AE1564" s="10" t="s">
        <v>11856</v>
      </c>
      <c r="AF1564" s="15"/>
      <c r="AG1564" s="10"/>
      <c r="AH1564" s="10"/>
      <c r="AI1564" s="10"/>
      <c r="AJ1564" s="10"/>
      <c r="AK1564" s="10" t="s">
        <v>102</v>
      </c>
      <c r="AL1564" s="10" t="s">
        <v>7897</v>
      </c>
      <c r="AM1564" s="10"/>
      <c r="AN1564" s="10"/>
      <c r="AO1564" s="13" t="b">
        <v>1</v>
      </c>
      <c r="AP1564" s="10" t="s">
        <v>104</v>
      </c>
      <c r="AQ1564" s="10">
        <f ca="1">IFERROR(__xludf.DUMMYFUNCTION("""COMPUTED_VALUE"""),4664040)</f>
        <v>4664040</v>
      </c>
      <c r="AR1564" s="17">
        <v>70798</v>
      </c>
      <c r="AS1564" s="17">
        <v>43123</v>
      </c>
      <c r="AT1564" s="17">
        <v>1272879.75</v>
      </c>
      <c r="AU1564" s="17">
        <v>279.3</v>
      </c>
      <c r="AV1564" s="17">
        <v>54.55</v>
      </c>
      <c r="AW1564" s="10" t="s">
        <v>105</v>
      </c>
      <c r="AX1564" s="17">
        <v>17059</v>
      </c>
      <c r="AY1564" s="18">
        <v>29.517421097790042</v>
      </c>
      <c r="AZ1564" s="10" t="s">
        <v>106</v>
      </c>
      <c r="BA1564" s="20" t="b">
        <v>0</v>
      </c>
      <c r="BB1564" s="10"/>
      <c r="BC1564" s="17">
        <v>70798</v>
      </c>
      <c r="BD1564" s="17">
        <v>43123</v>
      </c>
      <c r="BE1564" s="17">
        <v>1272879.75</v>
      </c>
      <c r="BF1564" s="17">
        <v>54.55</v>
      </c>
      <c r="BG1564" s="11">
        <f ca="1">IFERROR(__xludf.DUMMYFUNCTION("""COMPUTED_VALUE"""),45953.0833333333)</f>
        <v>45953.083333333299</v>
      </c>
      <c r="BH1564" s="17" t="s">
        <v>105</v>
      </c>
      <c r="BI1564" s="17"/>
      <c r="BJ1564" s="15"/>
      <c r="BK1564" s="15"/>
      <c r="BL1564" s="13" t="b">
        <v>0</v>
      </c>
      <c r="BM1564" s="10"/>
      <c r="BN1564" s="10" t="s">
        <v>157</v>
      </c>
      <c r="BO1564" s="11">
        <v>45904.299305555556</v>
      </c>
      <c r="BP1564" s="11">
        <v>45943.597280092596</v>
      </c>
      <c r="BQ1564" s="15">
        <v>45950.641006944446</v>
      </c>
      <c r="BR1564" s="15">
        <v>45951.397939814815</v>
      </c>
      <c r="BS1564" s="10" t="s">
        <v>157</v>
      </c>
      <c r="BT1564" s="10" t="s">
        <v>99</v>
      </c>
      <c r="BU1564" s="10" t="s">
        <v>280</v>
      </c>
      <c r="BV1564" s="10"/>
      <c r="BW1564" s="10"/>
      <c r="BX1564" s="10"/>
      <c r="BY1564" s="23"/>
      <c r="BZ1564" s="23"/>
      <c r="CA1564" s="19" t="s">
        <v>11857</v>
      </c>
      <c r="CB1564" s="19" t="s">
        <v>11858</v>
      </c>
      <c r="CC1564" s="23"/>
      <c r="CD1564" s="19" t="s">
        <v>11859</v>
      </c>
      <c r="CE1564" s="23"/>
      <c r="CF1564" s="23"/>
      <c r="CG1564" s="23"/>
      <c r="CH1564" s="23"/>
      <c r="CI1564" s="23"/>
    </row>
    <row r="1565" spans="1:87" x14ac:dyDescent="0.3">
      <c r="A1565" s="9" t="s">
        <v>11860</v>
      </c>
      <c r="B1565" s="10" t="s">
        <v>11861</v>
      </c>
      <c r="C1565" s="11">
        <v>45953.083333333336</v>
      </c>
      <c r="D1565" s="12">
        <v>8.3333333333333329E-2</v>
      </c>
      <c r="E1565" s="11">
        <v>45953.166666666664</v>
      </c>
      <c r="F1565" s="10" t="s">
        <v>3563</v>
      </c>
      <c r="G1565" s="13" t="b">
        <v>0</v>
      </c>
      <c r="H1565" s="10" t="s">
        <v>5239</v>
      </c>
      <c r="I1565" s="10" t="s">
        <v>89</v>
      </c>
      <c r="J1565" s="13" t="b">
        <v>0</v>
      </c>
      <c r="K1565" s="13" t="b">
        <v>1</v>
      </c>
      <c r="L1565" s="10" t="s">
        <v>124</v>
      </c>
      <c r="M1565" s="10" t="s">
        <v>91</v>
      </c>
      <c r="N1565" s="10" t="s">
        <v>92</v>
      </c>
      <c r="O1565" s="19" t="s">
        <v>11862</v>
      </c>
      <c r="P1565" s="10"/>
      <c r="Q1565" s="10" t="s">
        <v>126</v>
      </c>
      <c r="R1565" s="10"/>
      <c r="S1565" s="19" t="s">
        <v>11863</v>
      </c>
      <c r="T1565" s="19" t="s">
        <v>11711</v>
      </c>
      <c r="U1565" s="10" t="s">
        <v>11463</v>
      </c>
      <c r="V1565" s="10" t="s">
        <v>3568</v>
      </c>
      <c r="W1565" s="10" t="s">
        <v>3569</v>
      </c>
      <c r="X1565" s="10" t="s">
        <v>130</v>
      </c>
      <c r="Y1565" s="10" t="s">
        <v>130</v>
      </c>
      <c r="Z1565" s="10" t="s">
        <v>99</v>
      </c>
      <c r="AA1565" s="10" t="s">
        <v>131</v>
      </c>
      <c r="AB1565" s="10" t="s">
        <v>3570</v>
      </c>
      <c r="AC1565" s="10" t="s">
        <v>3571</v>
      </c>
      <c r="AD1565" s="10" t="s">
        <v>11864</v>
      </c>
      <c r="AE1565" s="10" t="s">
        <v>11865</v>
      </c>
      <c r="AF1565" s="15"/>
      <c r="AG1565" s="10"/>
      <c r="AH1565" s="10"/>
      <c r="AI1565" s="10"/>
      <c r="AJ1565" s="10"/>
      <c r="AK1565" s="10" t="s">
        <v>102</v>
      </c>
      <c r="AL1565" s="10" t="s">
        <v>7897</v>
      </c>
      <c r="AM1565" s="10"/>
      <c r="AN1565" s="10"/>
      <c r="AO1565" s="13" t="b">
        <v>1</v>
      </c>
      <c r="AP1565" s="10" t="s">
        <v>104</v>
      </c>
      <c r="AQ1565" s="10">
        <f ca="1">IFERROR(__xludf.DUMMYFUNCTION("""COMPUTED_VALUE"""),4664044)</f>
        <v>4664044</v>
      </c>
      <c r="AR1565" s="17">
        <v>16998</v>
      </c>
      <c r="AS1565" s="17">
        <v>11047</v>
      </c>
      <c r="AT1565" s="17">
        <v>121729.5</v>
      </c>
      <c r="AU1565" s="17">
        <v>77.8</v>
      </c>
      <c r="AV1565" s="17">
        <v>27.65</v>
      </c>
      <c r="AW1565" s="10" t="s">
        <v>105</v>
      </c>
      <c r="AX1565" s="17">
        <v>2347</v>
      </c>
      <c r="AY1565" s="18">
        <v>11.019235991671946</v>
      </c>
      <c r="AZ1565" s="10" t="s">
        <v>117</v>
      </c>
      <c r="BA1565" s="20" t="b">
        <v>0</v>
      </c>
      <c r="BB1565" s="10"/>
      <c r="BC1565" s="17">
        <v>16998</v>
      </c>
      <c r="BD1565" s="17">
        <v>11047</v>
      </c>
      <c r="BE1565" s="17">
        <v>121729.5</v>
      </c>
      <c r="BF1565" s="17">
        <v>27.65</v>
      </c>
      <c r="BG1565" s="11">
        <f ca="1">IFERROR(__xludf.DUMMYFUNCTION("""COMPUTED_VALUE"""),45953.0833333333)</f>
        <v>45953.083333333299</v>
      </c>
      <c r="BH1565" s="17" t="s">
        <v>105</v>
      </c>
      <c r="BI1565" s="17"/>
      <c r="BJ1565" s="15"/>
      <c r="BK1565" s="15"/>
      <c r="BL1565" s="13" t="b">
        <v>0</v>
      </c>
      <c r="BM1565" s="10"/>
      <c r="BN1565" s="10" t="s">
        <v>157</v>
      </c>
      <c r="BO1565" s="11">
        <v>45904.299305555556</v>
      </c>
      <c r="BP1565" s="11">
        <v>45943.573761574073</v>
      </c>
      <c r="BQ1565" s="15">
        <v>45950.641319444447</v>
      </c>
      <c r="BR1565" s="15">
        <v>45951.403958333336</v>
      </c>
      <c r="BS1565" s="10" t="s">
        <v>157</v>
      </c>
      <c r="BT1565" s="10" t="s">
        <v>99</v>
      </c>
      <c r="BU1565" s="10" t="s">
        <v>11866</v>
      </c>
      <c r="BV1565" s="10"/>
      <c r="BW1565" s="10"/>
      <c r="BX1565" s="10"/>
      <c r="BY1565" s="23"/>
      <c r="BZ1565" s="23"/>
      <c r="CA1565" s="19" t="s">
        <v>11867</v>
      </c>
      <c r="CB1565" s="19" t="s">
        <v>11868</v>
      </c>
      <c r="CC1565" s="23"/>
      <c r="CD1565" s="19" t="s">
        <v>11869</v>
      </c>
      <c r="CE1565" s="23"/>
      <c r="CF1565" s="23"/>
      <c r="CG1565" s="23"/>
      <c r="CH1565" s="23"/>
      <c r="CI1565" s="23"/>
    </row>
    <row r="1566" spans="1:87" x14ac:dyDescent="0.3">
      <c r="A1566" s="9" t="s">
        <v>11870</v>
      </c>
      <c r="B1566" s="10" t="s">
        <v>11871</v>
      </c>
      <c r="C1566" s="11">
        <v>45966.03125</v>
      </c>
      <c r="D1566" s="12">
        <v>8.3333333333333329E-2</v>
      </c>
      <c r="E1566" s="11">
        <v>45966.114583333336</v>
      </c>
      <c r="F1566" s="10" t="s">
        <v>3563</v>
      </c>
      <c r="G1566" s="13" t="b">
        <v>0</v>
      </c>
      <c r="H1566" s="10" t="s">
        <v>3564</v>
      </c>
      <c r="I1566" s="10" t="s">
        <v>89</v>
      </c>
      <c r="J1566" s="13" t="b">
        <v>0</v>
      </c>
      <c r="K1566" s="13" t="b">
        <v>1</v>
      </c>
      <c r="L1566" s="10" t="s">
        <v>124</v>
      </c>
      <c r="M1566" s="10" t="s">
        <v>91</v>
      </c>
      <c r="N1566" s="10" t="s">
        <v>92</v>
      </c>
      <c r="O1566" s="19" t="s">
        <v>11872</v>
      </c>
      <c r="P1566" s="10"/>
      <c r="Q1566" s="10" t="s">
        <v>126</v>
      </c>
      <c r="R1566" s="10"/>
      <c r="S1566" s="19" t="s">
        <v>11873</v>
      </c>
      <c r="T1566" s="19" t="s">
        <v>11874</v>
      </c>
      <c r="U1566" s="10" t="s">
        <v>3318</v>
      </c>
      <c r="V1566" s="10" t="s">
        <v>11517</v>
      </c>
      <c r="W1566" s="10" t="s">
        <v>3569</v>
      </c>
      <c r="X1566" s="10" t="s">
        <v>130</v>
      </c>
      <c r="Y1566" s="10" t="s">
        <v>130</v>
      </c>
      <c r="Z1566" s="10" t="s">
        <v>99</v>
      </c>
      <c r="AA1566" s="10" t="s">
        <v>131</v>
      </c>
      <c r="AB1566" s="10" t="s">
        <v>3570</v>
      </c>
      <c r="AC1566" s="10" t="s">
        <v>3571</v>
      </c>
      <c r="AD1566" s="10" t="s">
        <v>11875</v>
      </c>
      <c r="AE1566" s="10" t="s">
        <v>11876</v>
      </c>
      <c r="AF1566" s="15"/>
      <c r="AG1566" s="10"/>
      <c r="AH1566" s="10"/>
      <c r="AI1566" s="10"/>
      <c r="AJ1566" s="10"/>
      <c r="AK1566" s="10" t="s">
        <v>102</v>
      </c>
      <c r="AL1566" s="10" t="s">
        <v>7897</v>
      </c>
      <c r="AM1566" s="10"/>
      <c r="AN1566" s="10"/>
      <c r="AO1566" s="13" t="b">
        <v>0</v>
      </c>
      <c r="AP1566" s="10" t="s">
        <v>104</v>
      </c>
      <c r="AQ1566" s="10">
        <f ca="1">IFERROR(__xludf.DUMMYFUNCTION("""COMPUTED_VALUE"""),4680038)</f>
        <v>4680038</v>
      </c>
      <c r="AR1566" s="17">
        <v>49059</v>
      </c>
      <c r="AS1566" s="17">
        <v>32918</v>
      </c>
      <c r="AT1566" s="17">
        <v>928159</v>
      </c>
      <c r="AU1566" s="17">
        <v>277.3</v>
      </c>
      <c r="AV1566" s="17">
        <v>109.15</v>
      </c>
      <c r="AW1566" s="10" t="s">
        <v>105</v>
      </c>
      <c r="AX1566" s="17">
        <v>11943</v>
      </c>
      <c r="AY1566" s="18">
        <v>28.196093322802113</v>
      </c>
      <c r="AZ1566" s="10" t="s">
        <v>168</v>
      </c>
      <c r="BA1566" s="20" t="b">
        <v>0</v>
      </c>
      <c r="BB1566" s="10"/>
      <c r="BC1566" s="17">
        <v>49059</v>
      </c>
      <c r="BD1566" s="17">
        <v>32918</v>
      </c>
      <c r="BE1566" s="17">
        <v>928159</v>
      </c>
      <c r="BF1566" s="17">
        <v>109.15</v>
      </c>
      <c r="BG1566" s="11">
        <f ca="1">IFERROR(__xludf.DUMMYFUNCTION("""COMPUTED_VALUE"""),45966.03125)</f>
        <v>45966.03125</v>
      </c>
      <c r="BH1566" s="17" t="s">
        <v>105</v>
      </c>
      <c r="BI1566" s="17"/>
      <c r="BJ1566" s="15"/>
      <c r="BK1566" s="15"/>
      <c r="BL1566" s="13" t="b">
        <v>0</v>
      </c>
      <c r="BM1566" s="10"/>
      <c r="BN1566" s="10" t="s">
        <v>667</v>
      </c>
      <c r="BO1566" s="11">
        <v>45904.299305555556</v>
      </c>
      <c r="BP1566" s="11">
        <v>45957.726701388892</v>
      </c>
      <c r="BQ1566" s="15">
        <v>45960.750011574077</v>
      </c>
      <c r="BR1566" s="15">
        <v>45961.497013888889</v>
      </c>
      <c r="BS1566" s="10" t="s">
        <v>667</v>
      </c>
      <c r="BT1566" s="10" t="s">
        <v>279</v>
      </c>
      <c r="BU1566" s="10" t="s">
        <v>1253</v>
      </c>
      <c r="BV1566" s="10"/>
      <c r="BW1566" s="10"/>
      <c r="BX1566" s="10"/>
      <c r="BY1566" s="23"/>
      <c r="BZ1566" s="23"/>
      <c r="CA1566" s="19" t="s">
        <v>11877</v>
      </c>
      <c r="CB1566" s="19" t="s">
        <v>11878</v>
      </c>
      <c r="CC1566" s="23"/>
      <c r="CD1566" s="19" t="s">
        <v>11879</v>
      </c>
      <c r="CE1566" s="23"/>
      <c r="CF1566" s="23"/>
      <c r="CG1566" s="23"/>
      <c r="CH1566" s="23"/>
      <c r="CI1566" s="23"/>
    </row>
    <row r="1567" spans="1:87" x14ac:dyDescent="0.3">
      <c r="A1567" s="9" t="s">
        <v>11880</v>
      </c>
      <c r="B1567" s="10" t="s">
        <v>11881</v>
      </c>
      <c r="C1567" s="11">
        <v>45966.03125</v>
      </c>
      <c r="D1567" s="12">
        <v>8.3333333333333329E-2</v>
      </c>
      <c r="E1567" s="11">
        <v>45966.114583333336</v>
      </c>
      <c r="F1567" s="10" t="s">
        <v>3563</v>
      </c>
      <c r="G1567" s="13" t="b">
        <v>0</v>
      </c>
      <c r="H1567" s="10" t="s">
        <v>11460</v>
      </c>
      <c r="I1567" s="10" t="s">
        <v>89</v>
      </c>
      <c r="J1567" s="13" t="b">
        <v>0</v>
      </c>
      <c r="K1567" s="13" t="b">
        <v>1</v>
      </c>
      <c r="L1567" s="10" t="s">
        <v>124</v>
      </c>
      <c r="M1567" s="10" t="s">
        <v>91</v>
      </c>
      <c r="N1567" s="10" t="s">
        <v>92</v>
      </c>
      <c r="O1567" s="19" t="s">
        <v>11882</v>
      </c>
      <c r="P1567" s="10"/>
      <c r="Q1567" s="10" t="s">
        <v>126</v>
      </c>
      <c r="R1567" s="10"/>
      <c r="S1567" s="19" t="s">
        <v>11883</v>
      </c>
      <c r="T1567" s="10"/>
      <c r="U1567" s="10" t="s">
        <v>11454</v>
      </c>
      <c r="V1567" s="10" t="s">
        <v>362</v>
      </c>
      <c r="W1567" s="10" t="s">
        <v>3569</v>
      </c>
      <c r="X1567" s="10" t="s">
        <v>130</v>
      </c>
      <c r="Y1567" s="10" t="s">
        <v>130</v>
      </c>
      <c r="Z1567" s="10" t="s">
        <v>99</v>
      </c>
      <c r="AA1567" s="10" t="s">
        <v>131</v>
      </c>
      <c r="AB1567" s="10" t="s">
        <v>3570</v>
      </c>
      <c r="AC1567" s="10" t="s">
        <v>3571</v>
      </c>
      <c r="AD1567" s="10" t="s">
        <v>11884</v>
      </c>
      <c r="AE1567" s="10" t="s">
        <v>11885</v>
      </c>
      <c r="AF1567" s="15"/>
      <c r="AG1567" s="10"/>
      <c r="AH1567" s="10"/>
      <c r="AI1567" s="10"/>
      <c r="AJ1567" s="10"/>
      <c r="AK1567" s="10" t="s">
        <v>102</v>
      </c>
      <c r="AL1567" s="10" t="s">
        <v>7897</v>
      </c>
      <c r="AM1567" s="10"/>
      <c r="AN1567" s="10"/>
      <c r="AO1567" s="13" t="b">
        <v>1</v>
      </c>
      <c r="AP1567" s="10" t="s">
        <v>104</v>
      </c>
      <c r="AQ1567" s="10">
        <f ca="1">IFERROR(__xludf.DUMMYFUNCTION("""COMPUTED_VALUE"""),4680962)</f>
        <v>4680962</v>
      </c>
      <c r="AR1567" s="17">
        <v>107194</v>
      </c>
      <c r="AS1567" s="17">
        <v>69811</v>
      </c>
      <c r="AT1567" s="17">
        <v>3324395.75</v>
      </c>
      <c r="AU1567" s="17">
        <v>698.95</v>
      </c>
      <c r="AV1567" s="17">
        <v>257.45</v>
      </c>
      <c r="AW1567" s="10" t="s">
        <v>105</v>
      </c>
      <c r="AX1567" s="17">
        <v>26166</v>
      </c>
      <c r="AY1567" s="18">
        <v>47.619941699732131</v>
      </c>
      <c r="AZ1567" s="10" t="s">
        <v>168</v>
      </c>
      <c r="BA1567" s="20" t="b">
        <v>0</v>
      </c>
      <c r="BB1567" s="10"/>
      <c r="BC1567" s="17">
        <v>107194</v>
      </c>
      <c r="BD1567" s="17">
        <v>69811</v>
      </c>
      <c r="BE1567" s="17">
        <v>3324395.75</v>
      </c>
      <c r="BF1567" s="17">
        <v>257.45</v>
      </c>
      <c r="BG1567" s="11">
        <f ca="1">IFERROR(__xludf.DUMMYFUNCTION("""COMPUTED_VALUE"""),45966.03125)</f>
        <v>45966.03125</v>
      </c>
      <c r="BH1567" s="17" t="s">
        <v>105</v>
      </c>
      <c r="BI1567" s="17"/>
      <c r="BJ1567" s="15"/>
      <c r="BK1567" s="15"/>
      <c r="BL1567" s="13" t="b">
        <v>0</v>
      </c>
      <c r="BM1567" s="10"/>
      <c r="BN1567" s="10" t="s">
        <v>136</v>
      </c>
      <c r="BO1567" s="11">
        <v>45904.299305555556</v>
      </c>
      <c r="BP1567" s="11">
        <v>45957.726898148147</v>
      </c>
      <c r="BQ1567" s="15">
        <v>45995.656828703701</v>
      </c>
      <c r="BR1567" s="15">
        <v>45961.497141203705</v>
      </c>
      <c r="BS1567" s="10"/>
      <c r="BT1567" s="10" t="s">
        <v>279</v>
      </c>
      <c r="BU1567" s="10" t="s">
        <v>816</v>
      </c>
      <c r="BV1567" s="10"/>
      <c r="BW1567" s="10"/>
      <c r="BX1567" s="10"/>
      <c r="BY1567" s="23"/>
      <c r="BZ1567" s="23"/>
      <c r="CA1567" s="19" t="s">
        <v>11886</v>
      </c>
      <c r="CB1567" s="23"/>
      <c r="CC1567" s="23"/>
      <c r="CD1567" s="19" t="s">
        <v>11887</v>
      </c>
      <c r="CE1567" s="23"/>
      <c r="CF1567" s="23"/>
      <c r="CG1567" s="23"/>
      <c r="CH1567" s="23"/>
      <c r="CI1567" s="23"/>
    </row>
    <row r="1568" spans="1:87" x14ac:dyDescent="0.3">
      <c r="A1568" s="9" t="s">
        <v>11888</v>
      </c>
      <c r="B1568" s="10" t="s">
        <v>11889</v>
      </c>
      <c r="C1568" s="11">
        <v>45966.125</v>
      </c>
      <c r="D1568" s="12">
        <v>8.3333333333333329E-2</v>
      </c>
      <c r="E1568" s="11">
        <v>45966.208333333336</v>
      </c>
      <c r="F1568" s="10" t="s">
        <v>3563</v>
      </c>
      <c r="G1568" s="13" t="b">
        <v>0</v>
      </c>
      <c r="H1568" s="10" t="s">
        <v>5239</v>
      </c>
      <c r="I1568" s="10" t="s">
        <v>89</v>
      </c>
      <c r="J1568" s="13" t="b">
        <v>0</v>
      </c>
      <c r="K1568" s="13" t="b">
        <v>1</v>
      </c>
      <c r="L1568" s="10" t="s">
        <v>124</v>
      </c>
      <c r="M1568" s="10" t="s">
        <v>91</v>
      </c>
      <c r="N1568" s="10" t="s">
        <v>92</v>
      </c>
      <c r="O1568" s="19" t="s">
        <v>11890</v>
      </c>
      <c r="P1568" s="10"/>
      <c r="Q1568" s="10" t="s">
        <v>126</v>
      </c>
      <c r="R1568" s="10"/>
      <c r="S1568" s="19" t="s">
        <v>11891</v>
      </c>
      <c r="T1568" s="19" t="s">
        <v>11874</v>
      </c>
      <c r="U1568" s="10" t="s">
        <v>5090</v>
      </c>
      <c r="V1568" s="10" t="s">
        <v>11393</v>
      </c>
      <c r="W1568" s="10" t="s">
        <v>3569</v>
      </c>
      <c r="X1568" s="10" t="s">
        <v>130</v>
      </c>
      <c r="Y1568" s="10" t="s">
        <v>130</v>
      </c>
      <c r="Z1568" s="10" t="s">
        <v>99</v>
      </c>
      <c r="AA1568" s="10" t="s">
        <v>131</v>
      </c>
      <c r="AB1568" s="10" t="s">
        <v>3570</v>
      </c>
      <c r="AC1568" s="10" t="s">
        <v>3571</v>
      </c>
      <c r="AD1568" s="10" t="s">
        <v>11892</v>
      </c>
      <c r="AE1568" s="10" t="s">
        <v>11893</v>
      </c>
      <c r="AF1568" s="15"/>
      <c r="AG1568" s="10"/>
      <c r="AH1568" s="10"/>
      <c r="AI1568" s="10"/>
      <c r="AJ1568" s="10"/>
      <c r="AK1568" s="10" t="s">
        <v>102</v>
      </c>
      <c r="AL1568" s="10" t="s">
        <v>7897</v>
      </c>
      <c r="AM1568" s="10"/>
      <c r="AN1568" s="10"/>
      <c r="AO1568" s="13" t="b">
        <v>0</v>
      </c>
      <c r="AP1568" s="10" t="s">
        <v>104</v>
      </c>
      <c r="AQ1568" s="10">
        <f ca="1">IFERROR(__xludf.DUMMYFUNCTION("""COMPUTED_VALUE"""),4680953)</f>
        <v>4680953</v>
      </c>
      <c r="AR1568" s="17">
        <v>12666</v>
      </c>
      <c r="AS1568" s="17">
        <v>8323</v>
      </c>
      <c r="AT1568" s="17">
        <v>41527</v>
      </c>
      <c r="AU1568" s="17">
        <v>10.55</v>
      </c>
      <c r="AV1568" s="17">
        <v>2.15</v>
      </c>
      <c r="AW1568" s="10" t="s">
        <v>105</v>
      </c>
      <c r="AX1568" s="17">
        <v>1909</v>
      </c>
      <c r="AY1568" s="18">
        <v>4.9894268893427851</v>
      </c>
      <c r="AZ1568" s="10" t="s">
        <v>168</v>
      </c>
      <c r="BA1568" s="20" t="b">
        <v>0</v>
      </c>
      <c r="BB1568" s="10"/>
      <c r="BC1568" s="17">
        <v>12666</v>
      </c>
      <c r="BD1568" s="17">
        <v>8323</v>
      </c>
      <c r="BE1568" s="17">
        <v>41527</v>
      </c>
      <c r="BF1568" s="17">
        <v>2.15</v>
      </c>
      <c r="BG1568" s="11">
        <f ca="1">IFERROR(__xludf.DUMMYFUNCTION("""COMPUTED_VALUE"""),45966.125)</f>
        <v>45966.125</v>
      </c>
      <c r="BH1568" s="17" t="s">
        <v>105</v>
      </c>
      <c r="BI1568" s="17"/>
      <c r="BJ1568" s="15"/>
      <c r="BK1568" s="15"/>
      <c r="BL1568" s="13" t="b">
        <v>0</v>
      </c>
      <c r="BM1568" s="10"/>
      <c r="BN1568" s="10" t="s">
        <v>667</v>
      </c>
      <c r="BO1568" s="11">
        <v>45904.299305555556</v>
      </c>
      <c r="BP1568" s="11">
        <v>45957.727071759262</v>
      </c>
      <c r="BQ1568" s="15">
        <v>45960.750520833331</v>
      </c>
      <c r="BR1568" s="15">
        <v>45961.497314814813</v>
      </c>
      <c r="BS1568" s="10" t="s">
        <v>667</v>
      </c>
      <c r="BT1568" s="10" t="s">
        <v>279</v>
      </c>
      <c r="BU1568" s="10" t="s">
        <v>298</v>
      </c>
      <c r="BV1568" s="10"/>
      <c r="BW1568" s="10"/>
      <c r="BX1568" s="10"/>
      <c r="BY1568" s="23"/>
      <c r="BZ1568" s="23"/>
      <c r="CA1568" s="19" t="s">
        <v>11894</v>
      </c>
      <c r="CB1568" s="19" t="s">
        <v>11895</v>
      </c>
      <c r="CC1568" s="23"/>
      <c r="CD1568" s="19" t="s">
        <v>11896</v>
      </c>
      <c r="CE1568" s="23"/>
      <c r="CF1568" s="23"/>
      <c r="CG1568" s="23"/>
      <c r="CH1568" s="23"/>
      <c r="CI1568" s="23"/>
    </row>
    <row r="1569" spans="1:87" x14ac:dyDescent="0.3">
      <c r="A1569" s="9" t="s">
        <v>11897</v>
      </c>
      <c r="B1569" s="10" t="s">
        <v>11898</v>
      </c>
      <c r="C1569" s="11">
        <v>45966.125</v>
      </c>
      <c r="D1569" s="12">
        <v>8.3333333333333329E-2</v>
      </c>
      <c r="E1569" s="11">
        <v>45966.208333333336</v>
      </c>
      <c r="F1569" s="10" t="s">
        <v>3563</v>
      </c>
      <c r="G1569" s="13" t="b">
        <v>0</v>
      </c>
      <c r="H1569" s="10" t="s">
        <v>3564</v>
      </c>
      <c r="I1569" s="10" t="s">
        <v>89</v>
      </c>
      <c r="J1569" s="13" t="b">
        <v>0</v>
      </c>
      <c r="K1569" s="13" t="b">
        <v>1</v>
      </c>
      <c r="L1569" s="10" t="s">
        <v>124</v>
      </c>
      <c r="M1569" s="10" t="s">
        <v>91</v>
      </c>
      <c r="N1569" s="10" t="s">
        <v>92</v>
      </c>
      <c r="O1569" s="19" t="s">
        <v>11899</v>
      </c>
      <c r="P1569" s="10"/>
      <c r="Q1569" s="10" t="s">
        <v>126</v>
      </c>
      <c r="R1569" s="10"/>
      <c r="S1569" s="19" t="s">
        <v>11900</v>
      </c>
      <c r="T1569" s="19" t="s">
        <v>11874</v>
      </c>
      <c r="U1569" s="10" t="s">
        <v>270</v>
      </c>
      <c r="V1569" s="10" t="s">
        <v>5113</v>
      </c>
      <c r="W1569" s="10" t="s">
        <v>3569</v>
      </c>
      <c r="X1569" s="10" t="s">
        <v>130</v>
      </c>
      <c r="Y1569" s="10" t="s">
        <v>130</v>
      </c>
      <c r="Z1569" s="10" t="s">
        <v>99</v>
      </c>
      <c r="AA1569" s="10" t="s">
        <v>131</v>
      </c>
      <c r="AB1569" s="10" t="s">
        <v>3570</v>
      </c>
      <c r="AC1569" s="10" t="s">
        <v>3571</v>
      </c>
      <c r="AD1569" s="10" t="s">
        <v>11901</v>
      </c>
      <c r="AE1569" s="10" t="s">
        <v>11902</v>
      </c>
      <c r="AF1569" s="15"/>
      <c r="AG1569" s="10"/>
      <c r="AH1569" s="10"/>
      <c r="AI1569" s="10"/>
      <c r="AJ1569" s="10"/>
      <c r="AK1569" s="10" t="s">
        <v>102</v>
      </c>
      <c r="AL1569" s="10" t="s">
        <v>7897</v>
      </c>
      <c r="AM1569" s="10"/>
      <c r="AN1569" s="10"/>
      <c r="AO1569" s="13" t="b">
        <v>1</v>
      </c>
      <c r="AP1569" s="10" t="s">
        <v>104</v>
      </c>
      <c r="AQ1569" s="10">
        <f ca="1">IFERROR(__xludf.DUMMYFUNCTION("""COMPUTED_VALUE"""),4702164)</f>
        <v>4702164</v>
      </c>
      <c r="AR1569" s="17">
        <v>351159</v>
      </c>
      <c r="AS1569" s="17">
        <v>202712</v>
      </c>
      <c r="AT1569" s="17">
        <v>11096554.5</v>
      </c>
      <c r="AU1569" s="17">
        <v>4469.2</v>
      </c>
      <c r="AV1569" s="17">
        <v>1936.9</v>
      </c>
      <c r="AW1569" s="10" t="s">
        <v>297</v>
      </c>
      <c r="AX1569" s="17">
        <v>124539</v>
      </c>
      <c r="AY1569" s="18">
        <v>54.740491436126128</v>
      </c>
      <c r="AZ1569" s="10" t="s">
        <v>168</v>
      </c>
      <c r="BA1569" s="20" t="b">
        <v>0</v>
      </c>
      <c r="BB1569" s="10"/>
      <c r="BC1569" s="17">
        <v>351159</v>
      </c>
      <c r="BD1569" s="17">
        <v>202712</v>
      </c>
      <c r="BE1569" s="17">
        <v>11096554.5</v>
      </c>
      <c r="BF1569" s="17">
        <v>1936.9</v>
      </c>
      <c r="BG1569" s="11">
        <f ca="1">IFERROR(__xludf.DUMMYFUNCTION("""COMPUTED_VALUE"""),45966.125)</f>
        <v>45966.125</v>
      </c>
      <c r="BH1569" s="17" t="s">
        <v>297</v>
      </c>
      <c r="BI1569" s="17"/>
      <c r="BJ1569" s="15"/>
      <c r="BK1569" s="15"/>
      <c r="BL1569" s="13" t="b">
        <v>0</v>
      </c>
      <c r="BM1569" s="10"/>
      <c r="BN1569" s="10" t="s">
        <v>157</v>
      </c>
      <c r="BO1569" s="11">
        <v>45904.299305555556</v>
      </c>
      <c r="BP1569" s="11">
        <v>45965.650879629633</v>
      </c>
      <c r="BQ1569" s="15">
        <v>45960.751261574071</v>
      </c>
      <c r="BR1569" s="15">
        <v>45965.674745370372</v>
      </c>
      <c r="BS1569" s="10" t="s">
        <v>157</v>
      </c>
      <c r="BT1569" s="10" t="s">
        <v>279</v>
      </c>
      <c r="BU1569" s="10" t="s">
        <v>1253</v>
      </c>
      <c r="BV1569" s="10" t="s">
        <v>281</v>
      </c>
      <c r="BW1569" s="10" t="s">
        <v>11903</v>
      </c>
      <c r="BX1569" s="10"/>
      <c r="BY1569" s="23"/>
      <c r="BZ1569" s="23"/>
      <c r="CA1569" s="19" t="s">
        <v>11904</v>
      </c>
      <c r="CB1569" s="19" t="s">
        <v>11905</v>
      </c>
      <c r="CC1569" s="23"/>
      <c r="CD1569" s="19" t="s">
        <v>11906</v>
      </c>
      <c r="CE1569" s="23"/>
      <c r="CF1569" s="23"/>
      <c r="CG1569" s="23"/>
      <c r="CH1569" s="23"/>
      <c r="CI1569" s="23"/>
    </row>
    <row r="1570" spans="1:87" x14ac:dyDescent="0.3">
      <c r="A1570" s="9" t="s">
        <v>11907</v>
      </c>
      <c r="B1570" s="10" t="s">
        <v>11908</v>
      </c>
      <c r="C1570" s="11">
        <v>45966.125</v>
      </c>
      <c r="D1570" s="12">
        <v>8.3333333333333329E-2</v>
      </c>
      <c r="E1570" s="11">
        <v>45966.208333333336</v>
      </c>
      <c r="F1570" s="10" t="s">
        <v>3563</v>
      </c>
      <c r="G1570" s="13" t="b">
        <v>0</v>
      </c>
      <c r="H1570" s="10" t="s">
        <v>5239</v>
      </c>
      <c r="I1570" s="10" t="s">
        <v>89</v>
      </c>
      <c r="J1570" s="13" t="b">
        <v>0</v>
      </c>
      <c r="K1570" s="13" t="b">
        <v>1</v>
      </c>
      <c r="L1570" s="10" t="s">
        <v>124</v>
      </c>
      <c r="M1570" s="10" t="s">
        <v>91</v>
      </c>
      <c r="N1570" s="10" t="s">
        <v>92</v>
      </c>
      <c r="O1570" s="19" t="s">
        <v>11909</v>
      </c>
      <c r="P1570" s="10"/>
      <c r="Q1570" s="10" t="s">
        <v>126</v>
      </c>
      <c r="R1570" s="10"/>
      <c r="S1570" s="19" t="s">
        <v>11910</v>
      </c>
      <c r="T1570" s="19" t="s">
        <v>11874</v>
      </c>
      <c r="U1570" s="10" t="s">
        <v>429</v>
      </c>
      <c r="V1570" s="10" t="s">
        <v>11499</v>
      </c>
      <c r="W1570" s="10" t="s">
        <v>3569</v>
      </c>
      <c r="X1570" s="10" t="s">
        <v>130</v>
      </c>
      <c r="Y1570" s="10" t="s">
        <v>130</v>
      </c>
      <c r="Z1570" s="10" t="s">
        <v>99</v>
      </c>
      <c r="AA1570" s="10" t="s">
        <v>131</v>
      </c>
      <c r="AB1570" s="10" t="s">
        <v>3570</v>
      </c>
      <c r="AC1570" s="10" t="s">
        <v>3571</v>
      </c>
      <c r="AD1570" s="10" t="s">
        <v>11911</v>
      </c>
      <c r="AE1570" s="10" t="s">
        <v>11912</v>
      </c>
      <c r="AF1570" s="15"/>
      <c r="AG1570" s="10"/>
      <c r="AH1570" s="10"/>
      <c r="AI1570" s="10"/>
      <c r="AJ1570" s="10"/>
      <c r="AK1570" s="10" t="s">
        <v>102</v>
      </c>
      <c r="AL1570" s="10" t="s">
        <v>7897</v>
      </c>
      <c r="AM1570" s="10"/>
      <c r="AN1570" s="10"/>
      <c r="AO1570" s="13" t="b">
        <v>0</v>
      </c>
      <c r="AP1570" s="10" t="s">
        <v>104</v>
      </c>
      <c r="AQ1570" s="10">
        <f ca="1">IFERROR(__xludf.DUMMYFUNCTION("""COMPUTED_VALUE"""),4680965)</f>
        <v>4680965</v>
      </c>
      <c r="AR1570" s="17">
        <v>11945</v>
      </c>
      <c r="AS1570" s="17">
        <v>8212</v>
      </c>
      <c r="AT1570" s="17">
        <v>53805.25</v>
      </c>
      <c r="AU1570" s="17">
        <v>6.3</v>
      </c>
      <c r="AV1570" s="17">
        <v>2</v>
      </c>
      <c r="AW1570" s="10" t="s">
        <v>105</v>
      </c>
      <c r="AX1570" s="17">
        <v>1546</v>
      </c>
      <c r="AY1570" s="18">
        <v>6.5520275207014125</v>
      </c>
      <c r="AZ1570" s="10" t="s">
        <v>168</v>
      </c>
      <c r="BA1570" s="20" t="b">
        <v>0</v>
      </c>
      <c r="BB1570" s="10"/>
      <c r="BC1570" s="17">
        <v>11945</v>
      </c>
      <c r="BD1570" s="17">
        <v>8212</v>
      </c>
      <c r="BE1570" s="17">
        <v>53805.25</v>
      </c>
      <c r="BF1570" s="17">
        <v>2</v>
      </c>
      <c r="BG1570" s="11">
        <f ca="1">IFERROR(__xludf.DUMMYFUNCTION("""COMPUTED_VALUE"""),45966.125)</f>
        <v>45966.125</v>
      </c>
      <c r="BH1570" s="17" t="s">
        <v>105</v>
      </c>
      <c r="BI1570" s="17"/>
      <c r="BJ1570" s="15"/>
      <c r="BK1570" s="15"/>
      <c r="BL1570" s="13" t="b">
        <v>0</v>
      </c>
      <c r="BM1570" s="10"/>
      <c r="BN1570" s="10" t="s">
        <v>667</v>
      </c>
      <c r="BO1570" s="11">
        <v>45904.299305555556</v>
      </c>
      <c r="BP1570" s="11">
        <v>45957.727395833332</v>
      </c>
      <c r="BQ1570" s="15">
        <v>45960.751967592594</v>
      </c>
      <c r="BR1570" s="15">
        <v>45961.498263888891</v>
      </c>
      <c r="BS1570" s="10" t="s">
        <v>667</v>
      </c>
      <c r="BT1570" s="10" t="s">
        <v>279</v>
      </c>
      <c r="BU1570" s="10" t="s">
        <v>280</v>
      </c>
      <c r="BV1570" s="10"/>
      <c r="BW1570" s="10"/>
      <c r="BX1570" s="10"/>
      <c r="BY1570" s="23"/>
      <c r="BZ1570" s="23"/>
      <c r="CA1570" s="19" t="s">
        <v>11913</v>
      </c>
      <c r="CB1570" s="19" t="s">
        <v>11914</v>
      </c>
      <c r="CC1570" s="23"/>
      <c r="CD1570" s="19" t="s">
        <v>11915</v>
      </c>
      <c r="CE1570" s="23"/>
      <c r="CF1570" s="23"/>
      <c r="CG1570" s="23"/>
      <c r="CH1570" s="23"/>
      <c r="CI1570" s="23"/>
    </row>
    <row r="1571" spans="1:87" x14ac:dyDescent="0.3">
      <c r="A1571" s="9" t="s">
        <v>11916</v>
      </c>
      <c r="B1571" s="10" t="s">
        <v>11917</v>
      </c>
      <c r="C1571" s="11">
        <v>45966.125</v>
      </c>
      <c r="D1571" s="12">
        <v>8.3333333333333329E-2</v>
      </c>
      <c r="E1571" s="11">
        <v>45966.208333333336</v>
      </c>
      <c r="F1571" s="10" t="s">
        <v>3563</v>
      </c>
      <c r="G1571" s="13" t="b">
        <v>0</v>
      </c>
      <c r="H1571" s="10" t="s">
        <v>5239</v>
      </c>
      <c r="I1571" s="10" t="s">
        <v>89</v>
      </c>
      <c r="J1571" s="13" t="b">
        <v>0</v>
      </c>
      <c r="K1571" s="13" t="b">
        <v>1</v>
      </c>
      <c r="L1571" s="10" t="s">
        <v>124</v>
      </c>
      <c r="M1571" s="10" t="s">
        <v>91</v>
      </c>
      <c r="N1571" s="10" t="s">
        <v>92</v>
      </c>
      <c r="O1571" s="19" t="s">
        <v>11918</v>
      </c>
      <c r="P1571" s="10"/>
      <c r="Q1571" s="10" t="s">
        <v>94</v>
      </c>
      <c r="R1571" s="10"/>
      <c r="S1571" s="19" t="s">
        <v>11919</v>
      </c>
      <c r="T1571" s="19" t="s">
        <v>11874</v>
      </c>
      <c r="U1571" s="10" t="s">
        <v>11446</v>
      </c>
      <c r="V1571" s="10" t="s">
        <v>3704</v>
      </c>
      <c r="W1571" s="10" t="s">
        <v>3569</v>
      </c>
      <c r="X1571" s="10" t="s">
        <v>130</v>
      </c>
      <c r="Y1571" s="10" t="s">
        <v>130</v>
      </c>
      <c r="Z1571" s="10" t="s">
        <v>99</v>
      </c>
      <c r="AA1571" s="10" t="s">
        <v>131</v>
      </c>
      <c r="AB1571" s="10" t="s">
        <v>3570</v>
      </c>
      <c r="AC1571" s="10" t="s">
        <v>3571</v>
      </c>
      <c r="AD1571" s="10" t="s">
        <v>11920</v>
      </c>
      <c r="AE1571" s="10" t="s">
        <v>11921</v>
      </c>
      <c r="AF1571" s="15"/>
      <c r="AG1571" s="10"/>
      <c r="AH1571" s="10"/>
      <c r="AI1571" s="10"/>
      <c r="AJ1571" s="10"/>
      <c r="AK1571" s="10" t="s">
        <v>102</v>
      </c>
      <c r="AL1571" s="10" t="s">
        <v>7897</v>
      </c>
      <c r="AM1571" s="10"/>
      <c r="AN1571" s="10"/>
      <c r="AO1571" s="13" t="b">
        <v>0</v>
      </c>
      <c r="AP1571" s="10" t="s">
        <v>104</v>
      </c>
      <c r="AQ1571" s="10">
        <f ca="1">IFERROR(__xludf.DUMMYFUNCTION("""COMPUTED_VALUE"""),4680960)</f>
        <v>4680960</v>
      </c>
      <c r="AR1571" s="17">
        <v>7917</v>
      </c>
      <c r="AS1571" s="17">
        <v>5359</v>
      </c>
      <c r="AT1571" s="17">
        <v>14648.25</v>
      </c>
      <c r="AU1571" s="17">
        <v>2.85</v>
      </c>
      <c r="AV1571" s="17">
        <v>0.75</v>
      </c>
      <c r="AW1571" s="10" t="s">
        <v>105</v>
      </c>
      <c r="AX1571" s="17">
        <v>714</v>
      </c>
      <c r="AY1571" s="18">
        <v>2.7333924239596938</v>
      </c>
      <c r="AZ1571" s="10" t="s">
        <v>168</v>
      </c>
      <c r="BA1571" s="20" t="b">
        <v>0</v>
      </c>
      <c r="BB1571" s="10"/>
      <c r="BC1571" s="17">
        <v>7917</v>
      </c>
      <c r="BD1571" s="17">
        <v>5359</v>
      </c>
      <c r="BE1571" s="17">
        <v>14648.25</v>
      </c>
      <c r="BF1571" s="17">
        <v>0.75</v>
      </c>
      <c r="BG1571" s="11">
        <f ca="1">IFERROR(__xludf.DUMMYFUNCTION("""COMPUTED_VALUE"""),45966.125)</f>
        <v>45966.125</v>
      </c>
      <c r="BH1571" s="17" t="s">
        <v>105</v>
      </c>
      <c r="BI1571" s="17"/>
      <c r="BJ1571" s="15"/>
      <c r="BK1571" s="15"/>
      <c r="BL1571" s="13" t="b">
        <v>0</v>
      </c>
      <c r="BM1571" s="10"/>
      <c r="BN1571" s="10" t="s">
        <v>667</v>
      </c>
      <c r="BO1571" s="11">
        <v>45904.299305555556</v>
      </c>
      <c r="BP1571" s="11">
        <v>45957.727627314816</v>
      </c>
      <c r="BQ1571" s="15">
        <v>45960.751516203702</v>
      </c>
      <c r="BR1571" s="15">
        <v>45961.497997685183</v>
      </c>
      <c r="BS1571" s="10" t="s">
        <v>667</v>
      </c>
      <c r="BT1571" s="10" t="s">
        <v>279</v>
      </c>
      <c r="BU1571" s="10" t="s">
        <v>421</v>
      </c>
      <c r="BV1571" s="10"/>
      <c r="BW1571" s="10"/>
      <c r="BX1571" s="10"/>
      <c r="BY1571" s="23"/>
      <c r="BZ1571" s="23"/>
      <c r="CA1571" s="19" t="s">
        <v>11922</v>
      </c>
      <c r="CB1571" s="19" t="s">
        <v>11923</v>
      </c>
      <c r="CC1571" s="23"/>
      <c r="CD1571" s="23"/>
      <c r="CE1571" s="23"/>
      <c r="CF1571" s="23"/>
      <c r="CG1571" s="23"/>
      <c r="CH1571" s="23"/>
      <c r="CI1571" s="23"/>
    </row>
    <row r="1572" spans="1:87" x14ac:dyDescent="0.3">
      <c r="A1572" s="9" t="s">
        <v>11924</v>
      </c>
      <c r="B1572" s="10" t="s">
        <v>11925</v>
      </c>
      <c r="C1572" s="11">
        <v>45966.125</v>
      </c>
      <c r="D1572" s="12">
        <v>8.3333333333333329E-2</v>
      </c>
      <c r="E1572" s="11">
        <v>45966.208333333336</v>
      </c>
      <c r="F1572" s="10" t="s">
        <v>3563</v>
      </c>
      <c r="G1572" s="13" t="b">
        <v>0</v>
      </c>
      <c r="H1572" s="10" t="s">
        <v>5239</v>
      </c>
      <c r="I1572" s="10" t="s">
        <v>89</v>
      </c>
      <c r="J1572" s="13" t="b">
        <v>0</v>
      </c>
      <c r="K1572" s="13" t="b">
        <v>1</v>
      </c>
      <c r="L1572" s="10" t="s">
        <v>124</v>
      </c>
      <c r="M1572" s="10" t="s">
        <v>91</v>
      </c>
      <c r="N1572" s="10" t="s">
        <v>92</v>
      </c>
      <c r="O1572" s="19" t="s">
        <v>11926</v>
      </c>
      <c r="P1572" s="10"/>
      <c r="Q1572" s="10" t="s">
        <v>126</v>
      </c>
      <c r="R1572" s="10"/>
      <c r="S1572" s="19" t="s">
        <v>11927</v>
      </c>
      <c r="T1572" s="19" t="s">
        <v>11874</v>
      </c>
      <c r="U1572" s="10" t="s">
        <v>3259</v>
      </c>
      <c r="V1572" s="10" t="s">
        <v>7859</v>
      </c>
      <c r="W1572" s="10" t="s">
        <v>3569</v>
      </c>
      <c r="X1572" s="10" t="s">
        <v>130</v>
      </c>
      <c r="Y1572" s="10" t="s">
        <v>130</v>
      </c>
      <c r="Z1572" s="10" t="s">
        <v>99</v>
      </c>
      <c r="AA1572" s="10" t="s">
        <v>131</v>
      </c>
      <c r="AB1572" s="10" t="s">
        <v>3570</v>
      </c>
      <c r="AC1572" s="10" t="s">
        <v>3571</v>
      </c>
      <c r="AD1572" s="10" t="s">
        <v>11928</v>
      </c>
      <c r="AE1572" s="10" t="s">
        <v>11929</v>
      </c>
      <c r="AF1572" s="15"/>
      <c r="AG1572" s="10"/>
      <c r="AH1572" s="10"/>
      <c r="AI1572" s="10"/>
      <c r="AJ1572" s="10"/>
      <c r="AK1572" s="10" t="s">
        <v>102</v>
      </c>
      <c r="AL1572" s="10" t="s">
        <v>7897</v>
      </c>
      <c r="AM1572" s="10"/>
      <c r="AN1572" s="10"/>
      <c r="AO1572" s="13" t="b">
        <v>1</v>
      </c>
      <c r="AP1572" s="10" t="s">
        <v>104</v>
      </c>
      <c r="AQ1572" s="10">
        <f ca="1">IFERROR(__xludf.DUMMYFUNCTION("""COMPUTED_VALUE"""),4680957)</f>
        <v>4680957</v>
      </c>
      <c r="AR1572" s="17">
        <v>29293</v>
      </c>
      <c r="AS1572" s="17">
        <v>16913</v>
      </c>
      <c r="AT1572" s="17">
        <v>451642.25</v>
      </c>
      <c r="AU1572" s="17">
        <v>147.25</v>
      </c>
      <c r="AV1572" s="17">
        <v>37.549999999999997</v>
      </c>
      <c r="AW1572" s="10" t="s">
        <v>105</v>
      </c>
      <c r="AX1572" s="17">
        <v>7147</v>
      </c>
      <c r="AY1572" s="18">
        <v>26.703852066457756</v>
      </c>
      <c r="AZ1572" s="10" t="s">
        <v>168</v>
      </c>
      <c r="BA1572" s="20" t="b">
        <v>0</v>
      </c>
      <c r="BB1572" s="10"/>
      <c r="BC1572" s="17">
        <v>29293</v>
      </c>
      <c r="BD1572" s="17">
        <v>16913</v>
      </c>
      <c r="BE1572" s="17">
        <v>451642.25</v>
      </c>
      <c r="BF1572" s="17">
        <v>37.549999999999997</v>
      </c>
      <c r="BG1572" s="11">
        <f ca="1">IFERROR(__xludf.DUMMYFUNCTION("""COMPUTED_VALUE"""),45966.125)</f>
        <v>45966.125</v>
      </c>
      <c r="BH1572" s="17" t="s">
        <v>105</v>
      </c>
      <c r="BI1572" s="17"/>
      <c r="BJ1572" s="15"/>
      <c r="BK1572" s="15"/>
      <c r="BL1572" s="13" t="b">
        <v>0</v>
      </c>
      <c r="BM1572" s="10"/>
      <c r="BN1572" s="10" t="s">
        <v>667</v>
      </c>
      <c r="BO1572" s="11">
        <v>45904.299305555556</v>
      </c>
      <c r="BP1572" s="11">
        <v>45957.727824074071</v>
      </c>
      <c r="BQ1572" s="15">
        <v>45960.751076388886</v>
      </c>
      <c r="BR1572" s="15">
        <v>45961.497650462959</v>
      </c>
      <c r="BS1572" s="10" t="s">
        <v>667</v>
      </c>
      <c r="BT1572" s="10" t="s">
        <v>279</v>
      </c>
      <c r="BU1572" s="10" t="s">
        <v>456</v>
      </c>
      <c r="BV1572" s="10"/>
      <c r="BW1572" s="10"/>
      <c r="BX1572" s="10"/>
      <c r="BY1572" s="23"/>
      <c r="BZ1572" s="23"/>
      <c r="CA1572" s="19" t="s">
        <v>11930</v>
      </c>
      <c r="CB1572" s="19" t="s">
        <v>11931</v>
      </c>
      <c r="CC1572" s="23"/>
      <c r="CD1572" s="19" t="s">
        <v>11932</v>
      </c>
      <c r="CE1572" s="23"/>
      <c r="CF1572" s="23"/>
      <c r="CG1572" s="23"/>
      <c r="CH1572" s="23"/>
      <c r="CI1572" s="23"/>
    </row>
    <row r="1573" spans="1:87" x14ac:dyDescent="0.3">
      <c r="A1573" s="9" t="s">
        <v>11933</v>
      </c>
      <c r="B1573" s="10" t="s">
        <v>11934</v>
      </c>
      <c r="C1573" s="11">
        <v>45966.125</v>
      </c>
      <c r="D1573" s="12">
        <v>8.3333333333333329E-2</v>
      </c>
      <c r="E1573" s="11">
        <v>45966.208333333336</v>
      </c>
      <c r="F1573" s="10" t="s">
        <v>3563</v>
      </c>
      <c r="G1573" s="13" t="b">
        <v>0</v>
      </c>
      <c r="H1573" s="10" t="s">
        <v>11460</v>
      </c>
      <c r="I1573" s="10" t="s">
        <v>89</v>
      </c>
      <c r="J1573" s="13" t="b">
        <v>0</v>
      </c>
      <c r="K1573" s="13" t="b">
        <v>1</v>
      </c>
      <c r="L1573" s="10" t="s">
        <v>124</v>
      </c>
      <c r="M1573" s="10" t="s">
        <v>91</v>
      </c>
      <c r="N1573" s="10" t="s">
        <v>92</v>
      </c>
      <c r="O1573" s="19" t="s">
        <v>11935</v>
      </c>
      <c r="P1573" s="10"/>
      <c r="Q1573" s="10" t="s">
        <v>126</v>
      </c>
      <c r="R1573" s="10"/>
      <c r="S1573" s="19" t="s">
        <v>11936</v>
      </c>
      <c r="T1573" s="19" t="s">
        <v>11874</v>
      </c>
      <c r="U1573" s="10" t="s">
        <v>11474</v>
      </c>
      <c r="V1573" s="10" t="s">
        <v>11463</v>
      </c>
      <c r="W1573" s="10" t="s">
        <v>3569</v>
      </c>
      <c r="X1573" s="10" t="s">
        <v>130</v>
      </c>
      <c r="Y1573" s="10" t="s">
        <v>130</v>
      </c>
      <c r="Z1573" s="10" t="s">
        <v>99</v>
      </c>
      <c r="AA1573" s="10" t="s">
        <v>131</v>
      </c>
      <c r="AB1573" s="10" t="s">
        <v>3570</v>
      </c>
      <c r="AC1573" s="10" t="s">
        <v>3571</v>
      </c>
      <c r="AD1573" s="10" t="s">
        <v>11937</v>
      </c>
      <c r="AE1573" s="10" t="s">
        <v>11938</v>
      </c>
      <c r="AF1573" s="15"/>
      <c r="AG1573" s="10"/>
      <c r="AH1573" s="10"/>
      <c r="AI1573" s="10"/>
      <c r="AJ1573" s="10"/>
      <c r="AK1573" s="10" t="s">
        <v>102</v>
      </c>
      <c r="AL1573" s="10" t="s">
        <v>7897</v>
      </c>
      <c r="AM1573" s="10"/>
      <c r="AN1573" s="10"/>
      <c r="AO1573" s="13" t="b">
        <v>1</v>
      </c>
      <c r="AP1573" s="10" t="s">
        <v>104</v>
      </c>
      <c r="AQ1573" s="10">
        <f ca="1">IFERROR(__xludf.DUMMYFUNCTION("""COMPUTED_VALUE"""),4680963)</f>
        <v>4680963</v>
      </c>
      <c r="AR1573" s="17">
        <v>143791</v>
      </c>
      <c r="AS1573" s="17">
        <v>80158</v>
      </c>
      <c r="AT1573" s="17">
        <v>1195002.25</v>
      </c>
      <c r="AU1573" s="17">
        <v>511.3</v>
      </c>
      <c r="AV1573" s="17">
        <v>219.25</v>
      </c>
      <c r="AW1573" s="10" t="s">
        <v>105</v>
      </c>
      <c r="AX1573" s="17">
        <v>39722</v>
      </c>
      <c r="AY1573" s="18">
        <v>14.908084657800844</v>
      </c>
      <c r="AZ1573" s="10" t="s">
        <v>168</v>
      </c>
      <c r="BA1573" s="20" t="b">
        <v>0</v>
      </c>
      <c r="BB1573" s="10"/>
      <c r="BC1573" s="17">
        <v>143791</v>
      </c>
      <c r="BD1573" s="17">
        <v>80158</v>
      </c>
      <c r="BE1573" s="17">
        <v>1195002.25</v>
      </c>
      <c r="BF1573" s="17">
        <v>219.25</v>
      </c>
      <c r="BG1573" s="11">
        <f ca="1">IFERROR(__xludf.DUMMYFUNCTION("""COMPUTED_VALUE"""),45966.125)</f>
        <v>45966.125</v>
      </c>
      <c r="BH1573" s="17" t="s">
        <v>105</v>
      </c>
      <c r="BI1573" s="17"/>
      <c r="BJ1573" s="15"/>
      <c r="BK1573" s="15"/>
      <c r="BL1573" s="13" t="b">
        <v>0</v>
      </c>
      <c r="BM1573" s="10"/>
      <c r="BN1573" s="10" t="s">
        <v>667</v>
      </c>
      <c r="BO1573" s="11">
        <v>45904.299305555556</v>
      </c>
      <c r="BP1573" s="11">
        <v>45957.728055555555</v>
      </c>
      <c r="BQ1573" s="15">
        <v>45960.751736111109</v>
      </c>
      <c r="BR1573" s="15">
        <v>45961.498113425929</v>
      </c>
      <c r="BS1573" s="10" t="s">
        <v>667</v>
      </c>
      <c r="BT1573" s="10" t="s">
        <v>279</v>
      </c>
      <c r="BU1573" s="10" t="s">
        <v>655</v>
      </c>
      <c r="BV1573" s="10" t="s">
        <v>281</v>
      </c>
      <c r="BW1573" s="10" t="s">
        <v>11939</v>
      </c>
      <c r="BX1573" s="10"/>
      <c r="BY1573" s="23"/>
      <c r="BZ1573" s="23"/>
      <c r="CA1573" s="19" t="s">
        <v>11940</v>
      </c>
      <c r="CB1573" s="19" t="s">
        <v>11941</v>
      </c>
      <c r="CC1573" s="23"/>
      <c r="CD1573" s="19" t="s">
        <v>11942</v>
      </c>
      <c r="CE1573" s="23"/>
      <c r="CF1573" s="23"/>
      <c r="CG1573" s="23"/>
      <c r="CH1573" s="23"/>
      <c r="CI1573" s="23"/>
    </row>
    <row r="1574" spans="1:87" x14ac:dyDescent="0.3">
      <c r="A1574" s="9" t="s">
        <v>11943</v>
      </c>
      <c r="B1574" s="10" t="s">
        <v>11944</v>
      </c>
      <c r="C1574" s="11">
        <v>45966.125</v>
      </c>
      <c r="D1574" s="12">
        <v>8.3333333333333329E-2</v>
      </c>
      <c r="E1574" s="11">
        <v>45966.208333333336</v>
      </c>
      <c r="F1574" s="10" t="s">
        <v>3563</v>
      </c>
      <c r="G1574" s="13" t="b">
        <v>0</v>
      </c>
      <c r="H1574" s="10" t="s">
        <v>5239</v>
      </c>
      <c r="I1574" s="10" t="s">
        <v>89</v>
      </c>
      <c r="J1574" s="13" t="b">
        <v>0</v>
      </c>
      <c r="K1574" s="13" t="b">
        <v>1</v>
      </c>
      <c r="L1574" s="10" t="s">
        <v>124</v>
      </c>
      <c r="M1574" s="10" t="s">
        <v>91</v>
      </c>
      <c r="N1574" s="10" t="s">
        <v>92</v>
      </c>
      <c r="O1574" s="19" t="s">
        <v>11945</v>
      </c>
      <c r="P1574" s="10"/>
      <c r="Q1574" s="10" t="s">
        <v>94</v>
      </c>
      <c r="R1574" s="10"/>
      <c r="S1574" s="19" t="s">
        <v>11946</v>
      </c>
      <c r="T1574" s="19" t="s">
        <v>11874</v>
      </c>
      <c r="U1574" s="10" t="s">
        <v>8556</v>
      </c>
      <c r="V1574" s="10" t="s">
        <v>11509</v>
      </c>
      <c r="W1574" s="10" t="s">
        <v>3569</v>
      </c>
      <c r="X1574" s="10" t="s">
        <v>130</v>
      </c>
      <c r="Y1574" s="10" t="s">
        <v>130</v>
      </c>
      <c r="Z1574" s="10" t="s">
        <v>99</v>
      </c>
      <c r="AA1574" s="10" t="s">
        <v>131</v>
      </c>
      <c r="AB1574" s="10" t="s">
        <v>3570</v>
      </c>
      <c r="AC1574" s="10" t="s">
        <v>3571</v>
      </c>
      <c r="AD1574" s="10" t="s">
        <v>11947</v>
      </c>
      <c r="AE1574" s="10" t="s">
        <v>11948</v>
      </c>
      <c r="AF1574" s="15"/>
      <c r="AG1574" s="10"/>
      <c r="AH1574" s="10"/>
      <c r="AI1574" s="10"/>
      <c r="AJ1574" s="10"/>
      <c r="AK1574" s="10" t="s">
        <v>102</v>
      </c>
      <c r="AL1574" s="10" t="s">
        <v>7897</v>
      </c>
      <c r="AM1574" s="10"/>
      <c r="AN1574" s="10"/>
      <c r="AO1574" s="13" t="b">
        <v>0</v>
      </c>
      <c r="AP1574" s="10" t="s">
        <v>104</v>
      </c>
      <c r="AQ1574" s="10">
        <f ca="1">IFERROR(__xludf.DUMMYFUNCTION("""COMPUTED_VALUE"""),4680955)</f>
        <v>4680955</v>
      </c>
      <c r="AR1574" s="17">
        <v>3340</v>
      </c>
      <c r="AS1574" s="17">
        <v>2253</v>
      </c>
      <c r="AT1574" s="17">
        <v>5021.75</v>
      </c>
      <c r="AU1574" s="17">
        <v>0.4</v>
      </c>
      <c r="AV1574" s="17">
        <v>0.4</v>
      </c>
      <c r="AW1574" s="10" t="s">
        <v>105</v>
      </c>
      <c r="AX1574" s="17">
        <v>282</v>
      </c>
      <c r="AY1574" s="18">
        <v>2.2289169995561475</v>
      </c>
      <c r="AZ1574" s="10" t="s">
        <v>168</v>
      </c>
      <c r="BA1574" s="20" t="b">
        <v>0</v>
      </c>
      <c r="BB1574" s="10"/>
      <c r="BC1574" s="17">
        <v>3340</v>
      </c>
      <c r="BD1574" s="17">
        <v>2253</v>
      </c>
      <c r="BE1574" s="17">
        <v>5021.75</v>
      </c>
      <c r="BF1574" s="17">
        <v>0.4</v>
      </c>
      <c r="BG1574" s="11">
        <f ca="1">IFERROR(__xludf.DUMMYFUNCTION("""COMPUTED_VALUE"""),45966.125)</f>
        <v>45966.125</v>
      </c>
      <c r="BH1574" s="17" t="s">
        <v>105</v>
      </c>
      <c r="BI1574" s="17"/>
      <c r="BJ1574" s="15"/>
      <c r="BK1574" s="15"/>
      <c r="BL1574" s="13" t="b">
        <v>0</v>
      </c>
      <c r="BM1574" s="10"/>
      <c r="BN1574" s="10" t="s">
        <v>667</v>
      </c>
      <c r="BO1574" s="11">
        <v>45904.299305555556</v>
      </c>
      <c r="BP1574" s="11">
        <v>45957.728171296294</v>
      </c>
      <c r="BQ1574" s="15">
        <v>45960.750798611109</v>
      </c>
      <c r="BR1574" s="15">
        <v>45961.497511574074</v>
      </c>
      <c r="BS1574" s="10" t="s">
        <v>667</v>
      </c>
      <c r="BT1574" s="10" t="s">
        <v>279</v>
      </c>
      <c r="BU1574" s="10" t="s">
        <v>718</v>
      </c>
      <c r="BV1574" s="10"/>
      <c r="BW1574" s="10"/>
      <c r="BX1574" s="10"/>
      <c r="BY1574" s="23"/>
      <c r="BZ1574" s="23"/>
      <c r="CA1574" s="19" t="s">
        <v>11949</v>
      </c>
      <c r="CB1574" s="19" t="s">
        <v>11950</v>
      </c>
      <c r="CC1574" s="23"/>
      <c r="CD1574" s="23"/>
      <c r="CE1574" s="23"/>
      <c r="CF1574" s="23"/>
      <c r="CG1574" s="23"/>
      <c r="CH1574" s="23"/>
      <c r="CI1574" s="23"/>
    </row>
    <row r="1575" spans="1:87" x14ac:dyDescent="0.3">
      <c r="A1575" s="9" t="s">
        <v>11951</v>
      </c>
      <c r="B1575" s="10" t="s">
        <v>11952</v>
      </c>
      <c r="C1575" s="11">
        <v>45967.03125</v>
      </c>
      <c r="D1575" s="12">
        <v>8.3333333333333329E-2</v>
      </c>
      <c r="E1575" s="11">
        <v>45967.114583333336</v>
      </c>
      <c r="F1575" s="10" t="s">
        <v>3563</v>
      </c>
      <c r="G1575" s="13" t="b">
        <v>0</v>
      </c>
      <c r="H1575" s="10" t="s">
        <v>3564</v>
      </c>
      <c r="I1575" s="10" t="s">
        <v>89</v>
      </c>
      <c r="J1575" s="13" t="b">
        <v>0</v>
      </c>
      <c r="K1575" s="13" t="b">
        <v>1</v>
      </c>
      <c r="L1575" s="10" t="s">
        <v>124</v>
      </c>
      <c r="M1575" s="10" t="s">
        <v>91</v>
      </c>
      <c r="N1575" s="10" t="s">
        <v>92</v>
      </c>
      <c r="O1575" s="19" t="s">
        <v>11953</v>
      </c>
      <c r="P1575" s="10"/>
      <c r="Q1575" s="10" t="s">
        <v>94</v>
      </c>
      <c r="R1575" s="10"/>
      <c r="S1575" s="19" t="s">
        <v>11954</v>
      </c>
      <c r="T1575" s="19" t="s">
        <v>11874</v>
      </c>
      <c r="U1575" s="10" t="s">
        <v>3590</v>
      </c>
      <c r="V1575" s="10" t="s">
        <v>5018</v>
      </c>
      <c r="W1575" s="10" t="s">
        <v>3569</v>
      </c>
      <c r="X1575" s="10" t="s">
        <v>130</v>
      </c>
      <c r="Y1575" s="10" t="s">
        <v>130</v>
      </c>
      <c r="Z1575" s="10" t="s">
        <v>99</v>
      </c>
      <c r="AA1575" s="10" t="s">
        <v>131</v>
      </c>
      <c r="AB1575" s="10" t="s">
        <v>3570</v>
      </c>
      <c r="AC1575" s="10" t="s">
        <v>3571</v>
      </c>
      <c r="AD1575" s="10" t="s">
        <v>11955</v>
      </c>
      <c r="AE1575" s="10" t="s">
        <v>11956</v>
      </c>
      <c r="AF1575" s="15"/>
      <c r="AG1575" s="10"/>
      <c r="AH1575" s="10"/>
      <c r="AI1575" s="10"/>
      <c r="AJ1575" s="10"/>
      <c r="AK1575" s="10" t="s">
        <v>102</v>
      </c>
      <c r="AL1575" s="10" t="s">
        <v>7897</v>
      </c>
      <c r="AM1575" s="10"/>
      <c r="AN1575" s="10"/>
      <c r="AO1575" s="13" t="b">
        <v>0</v>
      </c>
      <c r="AP1575" s="10" t="s">
        <v>104</v>
      </c>
      <c r="AQ1575" s="10">
        <f ca="1">IFERROR(__xludf.DUMMYFUNCTION("""COMPUTED_VALUE"""),4683229)</f>
        <v>4683229</v>
      </c>
      <c r="AR1575" s="17">
        <v>12557</v>
      </c>
      <c r="AS1575" s="17">
        <v>7821</v>
      </c>
      <c r="AT1575" s="17">
        <v>149905.75</v>
      </c>
      <c r="AU1575" s="17">
        <v>17.45</v>
      </c>
      <c r="AV1575" s="17">
        <v>4.4000000000000004</v>
      </c>
      <c r="AW1575" s="10" t="s">
        <v>105</v>
      </c>
      <c r="AX1575" s="17">
        <v>2128</v>
      </c>
      <c r="AY1575" s="18">
        <v>19.167082214550568</v>
      </c>
      <c r="AZ1575" s="10" t="s">
        <v>168</v>
      </c>
      <c r="BA1575" s="20" t="b">
        <v>0</v>
      </c>
      <c r="BB1575" s="10"/>
      <c r="BC1575" s="17">
        <v>12557</v>
      </c>
      <c r="BD1575" s="17">
        <v>7821</v>
      </c>
      <c r="BE1575" s="17">
        <v>149905.75</v>
      </c>
      <c r="BF1575" s="17">
        <v>4.4000000000000004</v>
      </c>
      <c r="BG1575" s="11">
        <f ca="1">IFERROR(__xludf.DUMMYFUNCTION("""COMPUTED_VALUE"""),45967.03125)</f>
        <v>45967.03125</v>
      </c>
      <c r="BH1575" s="17" t="s">
        <v>105</v>
      </c>
      <c r="BI1575" s="17"/>
      <c r="BJ1575" s="15"/>
      <c r="BK1575" s="15"/>
      <c r="BL1575" s="13" t="b">
        <v>0</v>
      </c>
      <c r="BM1575" s="10"/>
      <c r="BN1575" s="10" t="s">
        <v>118</v>
      </c>
      <c r="BO1575" s="11">
        <v>45904.299305555556</v>
      </c>
      <c r="BP1575" s="11">
        <v>45957.728368055556</v>
      </c>
      <c r="BQ1575" s="15">
        <v>45960.752268518518</v>
      </c>
      <c r="BR1575" s="15">
        <v>45962.406238425923</v>
      </c>
      <c r="BS1575" s="10" t="s">
        <v>118</v>
      </c>
      <c r="BT1575" s="10" t="s">
        <v>99</v>
      </c>
      <c r="BU1575" s="10"/>
      <c r="BV1575" s="10"/>
      <c r="BW1575" s="10"/>
      <c r="BX1575" s="10"/>
      <c r="BY1575" s="23"/>
      <c r="BZ1575" s="23"/>
      <c r="CA1575" s="19" t="s">
        <v>11957</v>
      </c>
      <c r="CB1575" s="19" t="s">
        <v>11958</v>
      </c>
      <c r="CC1575" s="23"/>
      <c r="CD1575" s="23"/>
      <c r="CE1575" s="23"/>
      <c r="CF1575" s="23"/>
      <c r="CG1575" s="23"/>
      <c r="CH1575" s="23"/>
      <c r="CI1575" s="23"/>
    </row>
    <row r="1576" spans="1:87" x14ac:dyDescent="0.3">
      <c r="A1576" s="9" t="s">
        <v>11959</v>
      </c>
      <c r="B1576" s="10" t="s">
        <v>11960</v>
      </c>
      <c r="C1576" s="11">
        <v>45967.03125</v>
      </c>
      <c r="D1576" s="12">
        <v>8.3333333333333329E-2</v>
      </c>
      <c r="E1576" s="11">
        <v>45967.114583333336</v>
      </c>
      <c r="F1576" s="10" t="s">
        <v>3563</v>
      </c>
      <c r="G1576" s="13" t="b">
        <v>0</v>
      </c>
      <c r="H1576" s="10" t="s">
        <v>11460</v>
      </c>
      <c r="I1576" s="10" t="s">
        <v>89</v>
      </c>
      <c r="J1576" s="13" t="b">
        <v>0</v>
      </c>
      <c r="K1576" s="13" t="b">
        <v>1</v>
      </c>
      <c r="L1576" s="10" t="s">
        <v>124</v>
      </c>
      <c r="M1576" s="10" t="s">
        <v>91</v>
      </c>
      <c r="N1576" s="10" t="s">
        <v>92</v>
      </c>
      <c r="O1576" s="19" t="s">
        <v>11961</v>
      </c>
      <c r="P1576" s="10"/>
      <c r="Q1576" s="10" t="s">
        <v>126</v>
      </c>
      <c r="R1576" s="10"/>
      <c r="S1576" s="19" t="s">
        <v>11962</v>
      </c>
      <c r="T1576" s="19" t="s">
        <v>11874</v>
      </c>
      <c r="U1576" s="10" t="s">
        <v>3599</v>
      </c>
      <c r="V1576" s="10" t="s">
        <v>346</v>
      </c>
      <c r="W1576" s="10" t="s">
        <v>3569</v>
      </c>
      <c r="X1576" s="10" t="s">
        <v>130</v>
      </c>
      <c r="Y1576" s="10" t="s">
        <v>130</v>
      </c>
      <c r="Z1576" s="10" t="s">
        <v>99</v>
      </c>
      <c r="AA1576" s="10" t="s">
        <v>131</v>
      </c>
      <c r="AB1576" s="10" t="s">
        <v>3570</v>
      </c>
      <c r="AC1576" s="10" t="s">
        <v>3571</v>
      </c>
      <c r="AD1576" s="10" t="s">
        <v>11963</v>
      </c>
      <c r="AE1576" s="10" t="s">
        <v>11964</v>
      </c>
      <c r="AF1576" s="15"/>
      <c r="AG1576" s="10"/>
      <c r="AH1576" s="10"/>
      <c r="AI1576" s="10"/>
      <c r="AJ1576" s="10"/>
      <c r="AK1576" s="10" t="s">
        <v>102</v>
      </c>
      <c r="AL1576" s="10" t="s">
        <v>7897</v>
      </c>
      <c r="AM1576" s="10"/>
      <c r="AN1576" s="10"/>
      <c r="AO1576" s="13" t="b">
        <v>1</v>
      </c>
      <c r="AP1576" s="10" t="s">
        <v>104</v>
      </c>
      <c r="AQ1576" s="10">
        <f ca="1">IFERROR(__xludf.DUMMYFUNCTION("""COMPUTED_VALUE"""),4684719)</f>
        <v>4684719</v>
      </c>
      <c r="AR1576" s="17">
        <v>89610</v>
      </c>
      <c r="AS1576" s="17">
        <v>58012</v>
      </c>
      <c r="AT1576" s="17">
        <v>3070543.5</v>
      </c>
      <c r="AU1576" s="17">
        <v>401.1</v>
      </c>
      <c r="AV1576" s="17">
        <v>125.7</v>
      </c>
      <c r="AW1576" s="10" t="s">
        <v>105</v>
      </c>
      <c r="AX1576" s="17">
        <v>24611</v>
      </c>
      <c r="AY1576" s="18">
        <v>52.92945425084465</v>
      </c>
      <c r="AZ1576" s="10" t="s">
        <v>168</v>
      </c>
      <c r="BA1576" s="20" t="b">
        <v>0</v>
      </c>
      <c r="BB1576" s="10"/>
      <c r="BC1576" s="17">
        <v>89610</v>
      </c>
      <c r="BD1576" s="17">
        <v>58012</v>
      </c>
      <c r="BE1576" s="17">
        <v>3070543.5</v>
      </c>
      <c r="BF1576" s="17">
        <v>125.7</v>
      </c>
      <c r="BG1576" s="11">
        <f ca="1">IFERROR(__xludf.DUMMYFUNCTION("""COMPUTED_VALUE"""),45967.03125)</f>
        <v>45967.03125</v>
      </c>
      <c r="BH1576" s="17" t="s">
        <v>105</v>
      </c>
      <c r="BI1576" s="17"/>
      <c r="BJ1576" s="15"/>
      <c r="BK1576" s="15"/>
      <c r="BL1576" s="13" t="b">
        <v>0</v>
      </c>
      <c r="BM1576" s="10"/>
      <c r="BN1576" s="10" t="s">
        <v>118</v>
      </c>
      <c r="BO1576" s="11">
        <v>45904.299305555556</v>
      </c>
      <c r="BP1576" s="11">
        <v>45957.728854166664</v>
      </c>
      <c r="BQ1576" s="15">
        <v>45960.752962962964</v>
      </c>
      <c r="BR1576" s="15">
        <v>45962.418796296297</v>
      </c>
      <c r="BS1576" s="10" t="s">
        <v>118</v>
      </c>
      <c r="BT1576" s="10" t="s">
        <v>99</v>
      </c>
      <c r="BU1576" s="10"/>
      <c r="BV1576" s="10"/>
      <c r="BW1576" s="10"/>
      <c r="BX1576" s="10"/>
      <c r="BY1576" s="23"/>
      <c r="BZ1576" s="23"/>
      <c r="CA1576" s="19" t="s">
        <v>11965</v>
      </c>
      <c r="CB1576" s="19" t="s">
        <v>11966</v>
      </c>
      <c r="CC1576" s="23"/>
      <c r="CD1576" s="19" t="s">
        <v>11967</v>
      </c>
      <c r="CE1576" s="23"/>
      <c r="CF1576" s="23"/>
      <c r="CG1576" s="23"/>
      <c r="CH1576" s="23"/>
      <c r="CI1576" s="23"/>
    </row>
    <row r="1577" spans="1:87" x14ac:dyDescent="0.3">
      <c r="A1577" s="9" t="s">
        <v>11968</v>
      </c>
      <c r="B1577" s="10" t="s">
        <v>11969</v>
      </c>
      <c r="C1577" s="11">
        <v>45967.125</v>
      </c>
      <c r="D1577" s="12">
        <v>8.3333333333333329E-2</v>
      </c>
      <c r="E1577" s="11">
        <v>45967.208333333336</v>
      </c>
      <c r="F1577" s="10" t="s">
        <v>3563</v>
      </c>
      <c r="G1577" s="13" t="b">
        <v>0</v>
      </c>
      <c r="H1577" s="10" t="s">
        <v>11460</v>
      </c>
      <c r="I1577" s="10" t="s">
        <v>89</v>
      </c>
      <c r="J1577" s="13" t="b">
        <v>0</v>
      </c>
      <c r="K1577" s="13" t="b">
        <v>1</v>
      </c>
      <c r="L1577" s="10" t="s">
        <v>124</v>
      </c>
      <c r="M1577" s="10" t="s">
        <v>91</v>
      </c>
      <c r="N1577" s="10" t="s">
        <v>92</v>
      </c>
      <c r="O1577" s="19" t="s">
        <v>11970</v>
      </c>
      <c r="P1577" s="10"/>
      <c r="Q1577" s="10" t="s">
        <v>126</v>
      </c>
      <c r="R1577" s="10"/>
      <c r="S1577" s="19" t="s">
        <v>11971</v>
      </c>
      <c r="T1577" s="19" t="s">
        <v>11874</v>
      </c>
      <c r="U1577" s="10" t="s">
        <v>334</v>
      </c>
      <c r="V1577" s="10" t="s">
        <v>11409</v>
      </c>
      <c r="W1577" s="10" t="s">
        <v>3569</v>
      </c>
      <c r="X1577" s="10" t="s">
        <v>130</v>
      </c>
      <c r="Y1577" s="10" t="s">
        <v>130</v>
      </c>
      <c r="Z1577" s="10" t="s">
        <v>99</v>
      </c>
      <c r="AA1577" s="10" t="s">
        <v>131</v>
      </c>
      <c r="AB1577" s="10" t="s">
        <v>3570</v>
      </c>
      <c r="AC1577" s="10" t="s">
        <v>3571</v>
      </c>
      <c r="AD1577" s="10" t="s">
        <v>11972</v>
      </c>
      <c r="AE1577" s="10" t="s">
        <v>11973</v>
      </c>
      <c r="AF1577" s="15"/>
      <c r="AG1577" s="10"/>
      <c r="AH1577" s="10"/>
      <c r="AI1577" s="10"/>
      <c r="AJ1577" s="10"/>
      <c r="AK1577" s="10" t="s">
        <v>102</v>
      </c>
      <c r="AL1577" s="10" t="s">
        <v>7897</v>
      </c>
      <c r="AM1577" s="10"/>
      <c r="AN1577" s="10"/>
      <c r="AO1577" s="13" t="b">
        <v>1</v>
      </c>
      <c r="AP1577" s="10" t="s">
        <v>104</v>
      </c>
      <c r="AQ1577" s="10">
        <f ca="1">IFERROR(__xludf.DUMMYFUNCTION("""COMPUTED_VALUE"""),4684725)</f>
        <v>4684725</v>
      </c>
      <c r="AR1577" s="17">
        <v>76392</v>
      </c>
      <c r="AS1577" s="17">
        <v>51120</v>
      </c>
      <c r="AT1577" s="17">
        <v>1122190</v>
      </c>
      <c r="AU1577" s="17">
        <v>199.15</v>
      </c>
      <c r="AV1577" s="17">
        <v>51.9</v>
      </c>
      <c r="AW1577" s="10" t="s">
        <v>105</v>
      </c>
      <c r="AX1577" s="17">
        <v>24611</v>
      </c>
      <c r="AY1577" s="18">
        <v>21.952073552425666</v>
      </c>
      <c r="AZ1577" s="10" t="s">
        <v>168</v>
      </c>
      <c r="BA1577" s="20" t="b">
        <v>0</v>
      </c>
      <c r="BB1577" s="10"/>
      <c r="BC1577" s="17">
        <v>76392</v>
      </c>
      <c r="BD1577" s="17">
        <v>51120</v>
      </c>
      <c r="BE1577" s="17">
        <v>1122190</v>
      </c>
      <c r="BF1577" s="17">
        <v>51.9</v>
      </c>
      <c r="BG1577" s="11">
        <f ca="1">IFERROR(__xludf.DUMMYFUNCTION("""COMPUTED_VALUE"""),45967.125)</f>
        <v>45967.125</v>
      </c>
      <c r="BH1577" s="17" t="s">
        <v>105</v>
      </c>
      <c r="BI1577" s="17"/>
      <c r="BJ1577" s="15"/>
      <c r="BK1577" s="15"/>
      <c r="BL1577" s="13" t="b">
        <v>0</v>
      </c>
      <c r="BM1577" s="10"/>
      <c r="BN1577" s="10" t="s">
        <v>118</v>
      </c>
      <c r="BO1577" s="11">
        <v>45904.299305555556</v>
      </c>
      <c r="BP1577" s="11">
        <v>45957.72896990741</v>
      </c>
      <c r="BQ1577" s="15">
        <v>45960.753877314812</v>
      </c>
      <c r="BR1577" s="15">
        <v>45962.423078703701</v>
      </c>
      <c r="BS1577" s="10" t="s">
        <v>118</v>
      </c>
      <c r="BT1577" s="10" t="s">
        <v>99</v>
      </c>
      <c r="BU1577" s="10"/>
      <c r="BV1577" s="10"/>
      <c r="BW1577" s="10"/>
      <c r="BX1577" s="10"/>
      <c r="BY1577" s="23"/>
      <c r="BZ1577" s="23"/>
      <c r="CA1577" s="19" t="s">
        <v>11974</v>
      </c>
      <c r="CB1577" s="19" t="s">
        <v>11975</v>
      </c>
      <c r="CC1577" s="23"/>
      <c r="CD1577" s="19" t="s">
        <v>11976</v>
      </c>
      <c r="CE1577" s="23"/>
      <c r="CF1577" s="23"/>
      <c r="CG1577" s="23"/>
      <c r="CH1577" s="23"/>
      <c r="CI1577" s="23"/>
    </row>
    <row r="1578" spans="1:87" x14ac:dyDescent="0.3">
      <c r="A1578" s="9" t="s">
        <v>11977</v>
      </c>
      <c r="B1578" s="10" t="s">
        <v>11978</v>
      </c>
      <c r="C1578" s="11">
        <v>45967.125</v>
      </c>
      <c r="D1578" s="12">
        <v>8.3333333333333329E-2</v>
      </c>
      <c r="E1578" s="11">
        <v>45967.208333333336</v>
      </c>
      <c r="F1578" s="10" t="s">
        <v>3563</v>
      </c>
      <c r="G1578" s="13" t="b">
        <v>0</v>
      </c>
      <c r="H1578" s="10" t="s">
        <v>6271</v>
      </c>
      <c r="I1578" s="10" t="s">
        <v>89</v>
      </c>
      <c r="J1578" s="13" t="b">
        <v>0</v>
      </c>
      <c r="K1578" s="13" t="b">
        <v>1</v>
      </c>
      <c r="L1578" s="10" t="s">
        <v>124</v>
      </c>
      <c r="M1578" s="10" t="s">
        <v>91</v>
      </c>
      <c r="N1578" s="10" t="s">
        <v>92</v>
      </c>
      <c r="O1578" s="19" t="s">
        <v>11979</v>
      </c>
      <c r="P1578" s="10"/>
      <c r="Q1578" s="10" t="s">
        <v>126</v>
      </c>
      <c r="R1578" s="10"/>
      <c r="S1578" s="19" t="s">
        <v>11980</v>
      </c>
      <c r="T1578" s="19" t="s">
        <v>11874</v>
      </c>
      <c r="U1578" s="10" t="s">
        <v>293</v>
      </c>
      <c r="V1578" s="10" t="s">
        <v>5076</v>
      </c>
      <c r="W1578" s="10" t="s">
        <v>3569</v>
      </c>
      <c r="X1578" s="10" t="s">
        <v>130</v>
      </c>
      <c r="Y1578" s="10" t="s">
        <v>130</v>
      </c>
      <c r="Z1578" s="10" t="s">
        <v>99</v>
      </c>
      <c r="AA1578" s="10" t="s">
        <v>131</v>
      </c>
      <c r="AB1578" s="10" t="s">
        <v>3570</v>
      </c>
      <c r="AC1578" s="10" t="s">
        <v>3571</v>
      </c>
      <c r="AD1578" s="10" t="s">
        <v>11981</v>
      </c>
      <c r="AE1578" s="10" t="s">
        <v>11982</v>
      </c>
      <c r="AF1578" s="15"/>
      <c r="AG1578" s="10"/>
      <c r="AH1578" s="10"/>
      <c r="AI1578" s="10"/>
      <c r="AJ1578" s="10"/>
      <c r="AK1578" s="10" t="s">
        <v>102</v>
      </c>
      <c r="AL1578" s="10" t="s">
        <v>7897</v>
      </c>
      <c r="AM1578" s="10"/>
      <c r="AN1578" s="10"/>
      <c r="AO1578" s="13" t="b">
        <v>0</v>
      </c>
      <c r="AP1578" s="10" t="s">
        <v>104</v>
      </c>
      <c r="AQ1578" s="10">
        <f ca="1">IFERROR(__xludf.DUMMYFUNCTION("""COMPUTED_VALUE"""),4684727)</f>
        <v>4684727</v>
      </c>
      <c r="AR1578" s="17">
        <v>10360</v>
      </c>
      <c r="AS1578" s="17">
        <v>7554</v>
      </c>
      <c r="AT1578" s="17">
        <v>73615.25</v>
      </c>
      <c r="AU1578" s="17">
        <v>6.4</v>
      </c>
      <c r="AV1578" s="17">
        <v>1.1499999999999999</v>
      </c>
      <c r="AW1578" s="10" t="s">
        <v>105</v>
      </c>
      <c r="AX1578" s="17">
        <v>1557</v>
      </c>
      <c r="AY1578" s="18">
        <v>9.7452012178978027</v>
      </c>
      <c r="AZ1578" s="10" t="s">
        <v>168</v>
      </c>
      <c r="BA1578" s="20" t="b">
        <v>0</v>
      </c>
      <c r="BB1578" s="10"/>
      <c r="BC1578" s="17">
        <v>10360</v>
      </c>
      <c r="BD1578" s="17">
        <v>7554</v>
      </c>
      <c r="BE1578" s="17">
        <v>73615.25</v>
      </c>
      <c r="BF1578" s="17">
        <v>1.1499999999999999</v>
      </c>
      <c r="BG1578" s="11">
        <f ca="1">IFERROR(__xludf.DUMMYFUNCTION("""COMPUTED_VALUE"""),45967.125)</f>
        <v>45967.125</v>
      </c>
      <c r="BH1578" s="17" t="s">
        <v>105</v>
      </c>
      <c r="BI1578" s="17"/>
      <c r="BJ1578" s="15"/>
      <c r="BK1578" s="15"/>
      <c r="BL1578" s="13" t="b">
        <v>0</v>
      </c>
      <c r="BM1578" s="10"/>
      <c r="BN1578" s="10" t="s">
        <v>118</v>
      </c>
      <c r="BO1578" s="11">
        <v>45904.299305555556</v>
      </c>
      <c r="BP1578" s="11">
        <v>45961.640902777777</v>
      </c>
      <c r="BQ1578" s="15">
        <v>45960.754224537035</v>
      </c>
      <c r="BR1578" s="15">
        <v>45962.45208333333</v>
      </c>
      <c r="BS1578" s="10" t="s">
        <v>118</v>
      </c>
      <c r="BT1578" s="10" t="s">
        <v>99</v>
      </c>
      <c r="BU1578" s="10"/>
      <c r="BV1578" s="10"/>
      <c r="BW1578" s="10"/>
      <c r="BX1578" s="10"/>
      <c r="BY1578" s="23"/>
      <c r="BZ1578" s="23"/>
      <c r="CA1578" s="19" t="s">
        <v>11983</v>
      </c>
      <c r="CB1578" s="19" t="s">
        <v>11984</v>
      </c>
      <c r="CC1578" s="23"/>
      <c r="CD1578" s="19" t="s">
        <v>11985</v>
      </c>
      <c r="CE1578" s="23"/>
      <c r="CF1578" s="23"/>
      <c r="CG1578" s="23"/>
      <c r="CH1578" s="23"/>
      <c r="CI1578" s="23"/>
    </row>
    <row r="1579" spans="1:87" x14ac:dyDescent="0.3">
      <c r="A1579" s="9" t="s">
        <v>11986</v>
      </c>
      <c r="B1579" s="10" t="s">
        <v>11987</v>
      </c>
      <c r="C1579" s="11">
        <v>45967.125</v>
      </c>
      <c r="D1579" s="12">
        <v>8.3333333333333329E-2</v>
      </c>
      <c r="E1579" s="11">
        <v>45967.208333333336</v>
      </c>
      <c r="F1579" s="10" t="s">
        <v>3563</v>
      </c>
      <c r="G1579" s="13" t="b">
        <v>0</v>
      </c>
      <c r="H1579" s="10" t="s">
        <v>5239</v>
      </c>
      <c r="I1579" s="10" t="s">
        <v>89</v>
      </c>
      <c r="J1579" s="13" t="b">
        <v>0</v>
      </c>
      <c r="K1579" s="13" t="b">
        <v>1</v>
      </c>
      <c r="L1579" s="10" t="s">
        <v>124</v>
      </c>
      <c r="M1579" s="10" t="s">
        <v>91</v>
      </c>
      <c r="N1579" s="10" t="s">
        <v>92</v>
      </c>
      <c r="O1579" s="19" t="s">
        <v>11988</v>
      </c>
      <c r="P1579" s="10"/>
      <c r="Q1579" s="10" t="s">
        <v>94</v>
      </c>
      <c r="R1579" s="10"/>
      <c r="S1579" s="19" t="s">
        <v>11989</v>
      </c>
      <c r="T1579" s="19" t="s">
        <v>11874</v>
      </c>
      <c r="U1579" s="10" t="s">
        <v>3715</v>
      </c>
      <c r="V1579" s="10" t="s">
        <v>11518</v>
      </c>
      <c r="W1579" s="10" t="s">
        <v>3569</v>
      </c>
      <c r="X1579" s="10" t="s">
        <v>130</v>
      </c>
      <c r="Y1579" s="10" t="s">
        <v>130</v>
      </c>
      <c r="Z1579" s="10" t="s">
        <v>99</v>
      </c>
      <c r="AA1579" s="10" t="s">
        <v>131</v>
      </c>
      <c r="AB1579" s="10" t="s">
        <v>3570</v>
      </c>
      <c r="AC1579" s="10" t="s">
        <v>3571</v>
      </c>
      <c r="AD1579" s="10" t="s">
        <v>11990</v>
      </c>
      <c r="AE1579" s="10" t="s">
        <v>11991</v>
      </c>
      <c r="AF1579" s="15"/>
      <c r="AG1579" s="10"/>
      <c r="AH1579" s="10"/>
      <c r="AI1579" s="10"/>
      <c r="AJ1579" s="10"/>
      <c r="AK1579" s="10" t="s">
        <v>102</v>
      </c>
      <c r="AL1579" s="10" t="s">
        <v>7897</v>
      </c>
      <c r="AM1579" s="10"/>
      <c r="AN1579" s="10"/>
      <c r="AO1579" s="13" t="b">
        <v>0</v>
      </c>
      <c r="AP1579" s="10" t="s">
        <v>104</v>
      </c>
      <c r="AQ1579" s="10">
        <f ca="1">IFERROR(__xludf.DUMMYFUNCTION("""COMPUTED_VALUE"""),4684721)</f>
        <v>4684721</v>
      </c>
      <c r="AR1579" s="17">
        <v>12939</v>
      </c>
      <c r="AS1579" s="17">
        <v>8910</v>
      </c>
      <c r="AT1579" s="17">
        <v>35227.5</v>
      </c>
      <c r="AU1579" s="17">
        <v>7.05</v>
      </c>
      <c r="AV1579" s="17">
        <v>1.75</v>
      </c>
      <c r="AW1579" s="10" t="s">
        <v>105</v>
      </c>
      <c r="AX1579" s="17">
        <v>1844</v>
      </c>
      <c r="AY1579" s="18">
        <v>3.9537037037037037</v>
      </c>
      <c r="AZ1579" s="10" t="s">
        <v>168</v>
      </c>
      <c r="BA1579" s="20" t="b">
        <v>0</v>
      </c>
      <c r="BB1579" s="10"/>
      <c r="BC1579" s="17">
        <v>12939</v>
      </c>
      <c r="BD1579" s="17">
        <v>8910</v>
      </c>
      <c r="BE1579" s="17">
        <v>35227.5</v>
      </c>
      <c r="BF1579" s="17">
        <v>1.75</v>
      </c>
      <c r="BG1579" s="11">
        <f ca="1">IFERROR(__xludf.DUMMYFUNCTION("""COMPUTED_VALUE"""),45967.125)</f>
        <v>45967.125</v>
      </c>
      <c r="BH1579" s="17" t="s">
        <v>105</v>
      </c>
      <c r="BI1579" s="17"/>
      <c r="BJ1579" s="15"/>
      <c r="BK1579" s="15"/>
      <c r="BL1579" s="13" t="b">
        <v>0</v>
      </c>
      <c r="BM1579" s="10"/>
      <c r="BN1579" s="10" t="s">
        <v>118</v>
      </c>
      <c r="BO1579" s="11">
        <v>45904.299305555556</v>
      </c>
      <c r="BP1579" s="11">
        <v>45957.729513888888</v>
      </c>
      <c r="BQ1579" s="15">
        <v>45960.753136574072</v>
      </c>
      <c r="BR1579" s="15">
        <v>45962.422453703701</v>
      </c>
      <c r="BS1579" s="10" t="s">
        <v>118</v>
      </c>
      <c r="BT1579" s="10" t="s">
        <v>99</v>
      </c>
      <c r="BU1579" s="10"/>
      <c r="BV1579" s="10"/>
      <c r="BW1579" s="10"/>
      <c r="BX1579" s="10"/>
      <c r="BY1579" s="23"/>
      <c r="BZ1579" s="23"/>
      <c r="CA1579" s="19" t="s">
        <v>11992</v>
      </c>
      <c r="CB1579" s="19" t="s">
        <v>11993</v>
      </c>
      <c r="CC1579" s="23"/>
      <c r="CD1579" s="23"/>
      <c r="CE1579" s="23"/>
      <c r="CF1579" s="23"/>
      <c r="CG1579" s="23"/>
      <c r="CH1579" s="23"/>
      <c r="CI1579" s="23"/>
    </row>
    <row r="1580" spans="1:87" x14ac:dyDescent="0.3">
      <c r="A1580" s="9" t="s">
        <v>11994</v>
      </c>
      <c r="B1580" s="10" t="s">
        <v>11995</v>
      </c>
      <c r="C1580" s="11">
        <v>45967.125</v>
      </c>
      <c r="D1580" s="12">
        <v>8.3333333333333329E-2</v>
      </c>
      <c r="E1580" s="11">
        <v>45967.208333333336</v>
      </c>
      <c r="F1580" s="10" t="s">
        <v>3563</v>
      </c>
      <c r="G1580" s="13" t="b">
        <v>0</v>
      </c>
      <c r="H1580" s="10" t="s">
        <v>3578</v>
      </c>
      <c r="I1580" s="10" t="s">
        <v>89</v>
      </c>
      <c r="J1580" s="13" t="b">
        <v>0</v>
      </c>
      <c r="K1580" s="13" t="b">
        <v>1</v>
      </c>
      <c r="L1580" s="10" t="s">
        <v>124</v>
      </c>
      <c r="M1580" s="10" t="s">
        <v>91</v>
      </c>
      <c r="N1580" s="10" t="s">
        <v>92</v>
      </c>
      <c r="O1580" s="19" t="s">
        <v>11996</v>
      </c>
      <c r="P1580" s="10"/>
      <c r="Q1580" s="10" t="s">
        <v>126</v>
      </c>
      <c r="R1580" s="10"/>
      <c r="S1580" s="19" t="s">
        <v>11997</v>
      </c>
      <c r="T1580" s="19" t="s">
        <v>11874</v>
      </c>
      <c r="U1580" s="10" t="s">
        <v>3568</v>
      </c>
      <c r="V1580" s="10" t="s">
        <v>5042</v>
      </c>
      <c r="W1580" s="10" t="s">
        <v>3569</v>
      </c>
      <c r="X1580" s="10" t="s">
        <v>130</v>
      </c>
      <c r="Y1580" s="10" t="s">
        <v>130</v>
      </c>
      <c r="Z1580" s="10" t="s">
        <v>99</v>
      </c>
      <c r="AA1580" s="10" t="s">
        <v>131</v>
      </c>
      <c r="AB1580" s="10" t="s">
        <v>3570</v>
      </c>
      <c r="AC1580" s="10" t="s">
        <v>3571</v>
      </c>
      <c r="AD1580" s="10" t="s">
        <v>11998</v>
      </c>
      <c r="AE1580" s="10" t="s">
        <v>11999</v>
      </c>
      <c r="AF1580" s="15"/>
      <c r="AG1580" s="10"/>
      <c r="AH1580" s="10"/>
      <c r="AI1580" s="10"/>
      <c r="AJ1580" s="10"/>
      <c r="AK1580" s="10" t="s">
        <v>102</v>
      </c>
      <c r="AL1580" s="10" t="s">
        <v>7897</v>
      </c>
      <c r="AM1580" s="10"/>
      <c r="AN1580" s="10"/>
      <c r="AO1580" s="13" t="b">
        <v>1</v>
      </c>
      <c r="AP1580" s="10" t="s">
        <v>104</v>
      </c>
      <c r="AQ1580" s="10">
        <f ca="1">IFERROR(__xludf.DUMMYFUNCTION("""COMPUTED_VALUE"""),4684723)</f>
        <v>4684723</v>
      </c>
      <c r="AR1580" s="17">
        <v>136402</v>
      </c>
      <c r="AS1580" s="17">
        <v>79514</v>
      </c>
      <c r="AT1580" s="17">
        <v>3737520.75</v>
      </c>
      <c r="AU1580" s="17">
        <v>811.7</v>
      </c>
      <c r="AV1580" s="17">
        <v>166.4</v>
      </c>
      <c r="AW1580" s="10" t="s">
        <v>105</v>
      </c>
      <c r="AX1580" s="17">
        <v>47829</v>
      </c>
      <c r="AY1580" s="18">
        <v>47.004562089694893</v>
      </c>
      <c r="AZ1580" s="10" t="s">
        <v>168</v>
      </c>
      <c r="BA1580" s="20" t="b">
        <v>0</v>
      </c>
      <c r="BB1580" s="10"/>
      <c r="BC1580" s="17">
        <v>136402</v>
      </c>
      <c r="BD1580" s="17">
        <v>79514</v>
      </c>
      <c r="BE1580" s="17">
        <v>3737520.75</v>
      </c>
      <c r="BF1580" s="17">
        <v>166.4</v>
      </c>
      <c r="BG1580" s="11">
        <f ca="1">IFERROR(__xludf.DUMMYFUNCTION("""COMPUTED_VALUE"""),45967.125)</f>
        <v>45967.125</v>
      </c>
      <c r="BH1580" s="17" t="s">
        <v>105</v>
      </c>
      <c r="BI1580" s="17"/>
      <c r="BJ1580" s="15"/>
      <c r="BK1580" s="15"/>
      <c r="BL1580" s="13" t="b">
        <v>0</v>
      </c>
      <c r="BM1580" s="10"/>
      <c r="BN1580" s="10" t="s">
        <v>241</v>
      </c>
      <c r="BO1580" s="11">
        <v>45904.299305555556</v>
      </c>
      <c r="BP1580" s="11">
        <v>45961.644178240742</v>
      </c>
      <c r="BQ1580" s="15">
        <v>45960.753506944442</v>
      </c>
      <c r="BR1580" s="15">
        <v>45962.422812500001</v>
      </c>
      <c r="BS1580" s="10"/>
      <c r="BT1580" s="10" t="s">
        <v>99</v>
      </c>
      <c r="BU1580" s="10"/>
      <c r="BV1580" s="10"/>
      <c r="BW1580" s="10"/>
      <c r="BX1580" s="10"/>
      <c r="BY1580" s="23"/>
      <c r="BZ1580" s="23"/>
      <c r="CA1580" s="19" t="s">
        <v>12000</v>
      </c>
      <c r="CB1580" s="19" t="s">
        <v>12001</v>
      </c>
      <c r="CC1580" s="23"/>
      <c r="CD1580" s="19" t="s">
        <v>12002</v>
      </c>
      <c r="CE1580" s="23"/>
      <c r="CF1580" s="23"/>
      <c r="CG1580" s="23"/>
      <c r="CH1580" s="23"/>
      <c r="CI1580" s="23"/>
    </row>
    <row r="1581" spans="1:87" x14ac:dyDescent="0.3">
      <c r="A1581" s="9" t="s">
        <v>12003</v>
      </c>
      <c r="B1581" s="10" t="s">
        <v>12004</v>
      </c>
      <c r="C1581" s="11">
        <v>45967.125</v>
      </c>
      <c r="D1581" s="12">
        <v>8.3333333333333329E-2</v>
      </c>
      <c r="E1581" s="11">
        <v>45967.208333333336</v>
      </c>
      <c r="F1581" s="10" t="s">
        <v>3563</v>
      </c>
      <c r="G1581" s="13" t="b">
        <v>0</v>
      </c>
      <c r="H1581" s="10" t="s">
        <v>5239</v>
      </c>
      <c r="I1581" s="10" t="s">
        <v>89</v>
      </c>
      <c r="J1581" s="13" t="b">
        <v>0</v>
      </c>
      <c r="K1581" s="13" t="b">
        <v>1</v>
      </c>
      <c r="L1581" s="10" t="s">
        <v>124</v>
      </c>
      <c r="M1581" s="10" t="s">
        <v>91</v>
      </c>
      <c r="N1581" s="10" t="s">
        <v>92</v>
      </c>
      <c r="O1581" s="19" t="s">
        <v>12005</v>
      </c>
      <c r="P1581" s="10"/>
      <c r="Q1581" s="10" t="s">
        <v>94</v>
      </c>
      <c r="R1581" s="10"/>
      <c r="S1581" s="19" t="s">
        <v>12006</v>
      </c>
      <c r="T1581" s="19" t="s">
        <v>11874</v>
      </c>
      <c r="U1581" s="10" t="s">
        <v>3582</v>
      </c>
      <c r="V1581" s="10" t="s">
        <v>11500</v>
      </c>
      <c r="W1581" s="10" t="s">
        <v>3569</v>
      </c>
      <c r="X1581" s="10" t="s">
        <v>130</v>
      </c>
      <c r="Y1581" s="10" t="s">
        <v>130</v>
      </c>
      <c r="Z1581" s="10" t="s">
        <v>99</v>
      </c>
      <c r="AA1581" s="10" t="s">
        <v>131</v>
      </c>
      <c r="AB1581" s="10" t="s">
        <v>3570</v>
      </c>
      <c r="AC1581" s="10" t="s">
        <v>3571</v>
      </c>
      <c r="AD1581" s="10" t="s">
        <v>12007</v>
      </c>
      <c r="AE1581" s="10" t="s">
        <v>12008</v>
      </c>
      <c r="AF1581" s="15"/>
      <c r="AG1581" s="10"/>
      <c r="AH1581" s="10"/>
      <c r="AI1581" s="10"/>
      <c r="AJ1581" s="10"/>
      <c r="AK1581" s="10" t="s">
        <v>102</v>
      </c>
      <c r="AL1581" s="10" t="s">
        <v>7897</v>
      </c>
      <c r="AM1581" s="10"/>
      <c r="AN1581" s="10"/>
      <c r="AO1581" s="13" t="b">
        <v>0</v>
      </c>
      <c r="AP1581" s="10" t="s">
        <v>104</v>
      </c>
      <c r="AQ1581" s="10">
        <f ca="1">IFERROR(__xludf.DUMMYFUNCTION("""COMPUTED_VALUE"""),4684722)</f>
        <v>4684722</v>
      </c>
      <c r="AR1581" s="17">
        <v>10757</v>
      </c>
      <c r="AS1581" s="17">
        <v>7079</v>
      </c>
      <c r="AT1581" s="17">
        <v>33403</v>
      </c>
      <c r="AU1581" s="17">
        <v>6.7</v>
      </c>
      <c r="AV1581" s="17">
        <v>2</v>
      </c>
      <c r="AW1581" s="10" t="s">
        <v>105</v>
      </c>
      <c r="AX1581" s="17">
        <v>1373</v>
      </c>
      <c r="AY1581" s="18">
        <v>4.718604322644441</v>
      </c>
      <c r="AZ1581" s="10" t="s">
        <v>168</v>
      </c>
      <c r="BA1581" s="20" t="b">
        <v>0</v>
      </c>
      <c r="BB1581" s="10"/>
      <c r="BC1581" s="17">
        <v>10757</v>
      </c>
      <c r="BD1581" s="17">
        <v>7079</v>
      </c>
      <c r="BE1581" s="17">
        <v>33403</v>
      </c>
      <c r="BF1581" s="17">
        <v>2</v>
      </c>
      <c r="BG1581" s="11">
        <f ca="1">IFERROR(__xludf.DUMMYFUNCTION("""COMPUTED_VALUE"""),45967.125)</f>
        <v>45967.125</v>
      </c>
      <c r="BH1581" s="17" t="s">
        <v>105</v>
      </c>
      <c r="BI1581" s="17"/>
      <c r="BJ1581" s="15"/>
      <c r="BK1581" s="15"/>
      <c r="BL1581" s="13" t="b">
        <v>0</v>
      </c>
      <c r="BM1581" s="10"/>
      <c r="BN1581" s="10" t="s">
        <v>118</v>
      </c>
      <c r="BO1581" s="11">
        <v>45904.299305555556</v>
      </c>
      <c r="BP1581" s="11">
        <v>45957.729791666665</v>
      </c>
      <c r="BQ1581" s="15">
        <v>45960.753298611111</v>
      </c>
      <c r="BR1581" s="15">
        <v>45962.422592592593</v>
      </c>
      <c r="BS1581" s="10" t="s">
        <v>118</v>
      </c>
      <c r="BT1581" s="10" t="s">
        <v>99</v>
      </c>
      <c r="BU1581" s="10"/>
      <c r="BV1581" s="10"/>
      <c r="BW1581" s="10"/>
      <c r="BX1581" s="10"/>
      <c r="BY1581" s="23"/>
      <c r="BZ1581" s="23"/>
      <c r="CA1581" s="19" t="s">
        <v>12009</v>
      </c>
      <c r="CB1581" s="19" t="s">
        <v>12010</v>
      </c>
      <c r="CC1581" s="23"/>
      <c r="CD1581" s="23"/>
      <c r="CE1581" s="23"/>
      <c r="CF1581" s="23"/>
      <c r="CG1581" s="23"/>
      <c r="CH1581" s="23"/>
      <c r="CI1581" s="23"/>
    </row>
    <row r="1582" spans="1:87" x14ac:dyDescent="0.3">
      <c r="A1582" s="9" t="s">
        <v>12011</v>
      </c>
      <c r="B1582" s="10" t="s">
        <v>12012</v>
      </c>
      <c r="C1582" s="11">
        <v>45967.125</v>
      </c>
      <c r="D1582" s="12">
        <v>8.3333333333333329E-2</v>
      </c>
      <c r="E1582" s="11">
        <v>45967.208333333336</v>
      </c>
      <c r="F1582" s="10" t="s">
        <v>3563</v>
      </c>
      <c r="G1582" s="13" t="b">
        <v>0</v>
      </c>
      <c r="H1582" s="10" t="s">
        <v>5239</v>
      </c>
      <c r="I1582" s="10" t="s">
        <v>89</v>
      </c>
      <c r="J1582" s="13" t="b">
        <v>0</v>
      </c>
      <c r="K1582" s="13" t="b">
        <v>1</v>
      </c>
      <c r="L1582" s="10" t="s">
        <v>124</v>
      </c>
      <c r="M1582" s="10" t="s">
        <v>91</v>
      </c>
      <c r="N1582" s="10" t="s">
        <v>92</v>
      </c>
      <c r="O1582" s="19" t="s">
        <v>12013</v>
      </c>
      <c r="P1582" s="10"/>
      <c r="Q1582" s="10" t="s">
        <v>126</v>
      </c>
      <c r="R1582" s="10"/>
      <c r="S1582" s="19" t="s">
        <v>12014</v>
      </c>
      <c r="T1582" s="19" t="s">
        <v>11874</v>
      </c>
      <c r="U1582" s="10" t="s">
        <v>3278</v>
      </c>
      <c r="V1582" s="10" t="s">
        <v>7811</v>
      </c>
      <c r="W1582" s="10" t="s">
        <v>3569</v>
      </c>
      <c r="X1582" s="10" t="s">
        <v>130</v>
      </c>
      <c r="Y1582" s="10" t="s">
        <v>130</v>
      </c>
      <c r="Z1582" s="10" t="s">
        <v>99</v>
      </c>
      <c r="AA1582" s="10" t="s">
        <v>131</v>
      </c>
      <c r="AB1582" s="10" t="s">
        <v>3570</v>
      </c>
      <c r="AC1582" s="10" t="s">
        <v>3571</v>
      </c>
      <c r="AD1582" s="10" t="s">
        <v>12015</v>
      </c>
      <c r="AE1582" s="10" t="s">
        <v>12016</v>
      </c>
      <c r="AF1582" s="15"/>
      <c r="AG1582" s="10"/>
      <c r="AH1582" s="10"/>
      <c r="AI1582" s="10"/>
      <c r="AJ1582" s="10"/>
      <c r="AK1582" s="10" t="s">
        <v>102</v>
      </c>
      <c r="AL1582" s="10" t="s">
        <v>7897</v>
      </c>
      <c r="AM1582" s="10"/>
      <c r="AN1582" s="10"/>
      <c r="AO1582" s="13" t="b">
        <v>1</v>
      </c>
      <c r="AP1582" s="10" t="s">
        <v>104</v>
      </c>
      <c r="AQ1582" s="10">
        <f ca="1">IFERROR(__xludf.DUMMYFUNCTION("""COMPUTED_VALUE"""),4684724)</f>
        <v>4684724</v>
      </c>
      <c r="AR1582" s="17">
        <v>36210</v>
      </c>
      <c r="AS1582" s="17">
        <v>22701</v>
      </c>
      <c r="AT1582" s="17">
        <v>728175</v>
      </c>
      <c r="AU1582" s="17">
        <v>164.45</v>
      </c>
      <c r="AV1582" s="17">
        <v>22.55</v>
      </c>
      <c r="AW1582" s="10" t="s">
        <v>105</v>
      </c>
      <c r="AX1582" s="17">
        <v>10390</v>
      </c>
      <c r="AY1582" s="18">
        <v>32.076780758556893</v>
      </c>
      <c r="AZ1582" s="10" t="s">
        <v>168</v>
      </c>
      <c r="BA1582" s="20" t="b">
        <v>0</v>
      </c>
      <c r="BB1582" s="10"/>
      <c r="BC1582" s="17">
        <v>36210</v>
      </c>
      <c r="BD1582" s="17">
        <v>22701</v>
      </c>
      <c r="BE1582" s="17">
        <v>728175</v>
      </c>
      <c r="BF1582" s="17">
        <v>22.55</v>
      </c>
      <c r="BG1582" s="11">
        <f ca="1">IFERROR(__xludf.DUMMYFUNCTION("""COMPUTED_VALUE"""),45967.125)</f>
        <v>45967.125</v>
      </c>
      <c r="BH1582" s="17" t="s">
        <v>105</v>
      </c>
      <c r="BI1582" s="17"/>
      <c r="BJ1582" s="15"/>
      <c r="BK1582" s="15"/>
      <c r="BL1582" s="13" t="b">
        <v>0</v>
      </c>
      <c r="BM1582" s="10"/>
      <c r="BN1582" s="10" t="s">
        <v>118</v>
      </c>
      <c r="BO1582" s="11">
        <v>45904.299305555556</v>
      </c>
      <c r="BP1582" s="11">
        <v>45957.729884259257</v>
      </c>
      <c r="BQ1582" s="15">
        <v>45960.75371527778</v>
      </c>
      <c r="BR1582" s="15">
        <v>45962.422951388886</v>
      </c>
      <c r="BS1582" s="10" t="s">
        <v>118</v>
      </c>
      <c r="BT1582" s="10" t="s">
        <v>99</v>
      </c>
      <c r="BU1582" s="10"/>
      <c r="BV1582" s="10"/>
      <c r="BW1582" s="10"/>
      <c r="BX1582" s="10"/>
      <c r="BY1582" s="23"/>
      <c r="BZ1582" s="23"/>
      <c r="CA1582" s="19" t="s">
        <v>12017</v>
      </c>
      <c r="CB1582" s="19" t="s">
        <v>12018</v>
      </c>
      <c r="CC1582" s="23"/>
      <c r="CD1582" s="19" t="s">
        <v>12019</v>
      </c>
      <c r="CE1582" s="23"/>
      <c r="CF1582" s="23"/>
      <c r="CG1582" s="23"/>
      <c r="CH1582" s="23"/>
      <c r="CI1582" s="23"/>
    </row>
    <row r="1583" spans="1:87" x14ac:dyDescent="0.3">
      <c r="A1583" s="9" t="s">
        <v>12020</v>
      </c>
      <c r="B1583" s="10" t="s">
        <v>12021</v>
      </c>
      <c r="C1583" s="11">
        <v>45967.125</v>
      </c>
      <c r="D1583" s="12">
        <v>8.3333333333333329E-2</v>
      </c>
      <c r="E1583" s="11">
        <v>45967.208333333336</v>
      </c>
      <c r="F1583" s="10" t="s">
        <v>3563</v>
      </c>
      <c r="G1583" s="13" t="b">
        <v>0</v>
      </c>
      <c r="H1583" s="10" t="s">
        <v>5239</v>
      </c>
      <c r="I1583" s="10" t="s">
        <v>89</v>
      </c>
      <c r="J1583" s="13" t="b">
        <v>0</v>
      </c>
      <c r="K1583" s="13" t="b">
        <v>1</v>
      </c>
      <c r="L1583" s="10" t="s">
        <v>124</v>
      </c>
      <c r="M1583" s="10" t="s">
        <v>91</v>
      </c>
      <c r="N1583" s="10" t="s">
        <v>92</v>
      </c>
      <c r="O1583" s="19" t="s">
        <v>12022</v>
      </c>
      <c r="P1583" s="10"/>
      <c r="Q1583" s="10" t="s">
        <v>94</v>
      </c>
      <c r="R1583" s="10"/>
      <c r="S1583" s="19" t="s">
        <v>12023</v>
      </c>
      <c r="T1583" s="10"/>
      <c r="U1583" s="10" t="s">
        <v>11435</v>
      </c>
      <c r="V1583" s="10" t="s">
        <v>3308</v>
      </c>
      <c r="W1583" s="10" t="s">
        <v>3569</v>
      </c>
      <c r="X1583" s="10" t="s">
        <v>130</v>
      </c>
      <c r="Y1583" s="10" t="s">
        <v>130</v>
      </c>
      <c r="Z1583" s="10" t="s">
        <v>99</v>
      </c>
      <c r="AA1583" s="10" t="s">
        <v>131</v>
      </c>
      <c r="AB1583" s="10" t="s">
        <v>3570</v>
      </c>
      <c r="AC1583" s="10" t="s">
        <v>3571</v>
      </c>
      <c r="AD1583" s="10" t="s">
        <v>12024</v>
      </c>
      <c r="AE1583" s="10" t="s">
        <v>12025</v>
      </c>
      <c r="AF1583" s="15"/>
      <c r="AG1583" s="10"/>
      <c r="AH1583" s="10"/>
      <c r="AI1583" s="10"/>
      <c r="AJ1583" s="10"/>
      <c r="AK1583" s="10" t="s">
        <v>102</v>
      </c>
      <c r="AL1583" s="10" t="s">
        <v>7897</v>
      </c>
      <c r="AM1583" s="10"/>
      <c r="AN1583" s="10"/>
      <c r="AO1583" s="13" t="b">
        <v>0</v>
      </c>
      <c r="AP1583" s="10" t="s">
        <v>104</v>
      </c>
      <c r="AQ1583" s="10">
        <f ca="1">IFERROR(__xludf.DUMMYFUNCTION("""COMPUTED_VALUE"""),4684726)</f>
        <v>4684726</v>
      </c>
      <c r="AR1583" s="17">
        <v>10152</v>
      </c>
      <c r="AS1583" s="17">
        <v>6591</v>
      </c>
      <c r="AT1583" s="17">
        <v>38037.5</v>
      </c>
      <c r="AU1583" s="17">
        <v>7.15</v>
      </c>
      <c r="AV1583" s="17">
        <v>2.35</v>
      </c>
      <c r="AW1583" s="10" t="s">
        <v>105</v>
      </c>
      <c r="AX1583" s="17">
        <v>1592</v>
      </c>
      <c r="AY1583" s="18">
        <v>5.7711272947959342</v>
      </c>
      <c r="AZ1583" s="10" t="s">
        <v>168</v>
      </c>
      <c r="BA1583" s="20" t="b">
        <v>0</v>
      </c>
      <c r="BB1583" s="10"/>
      <c r="BC1583" s="17">
        <v>10152</v>
      </c>
      <c r="BD1583" s="17">
        <v>6591</v>
      </c>
      <c r="BE1583" s="17">
        <v>38037.5</v>
      </c>
      <c r="BF1583" s="17">
        <v>2.35</v>
      </c>
      <c r="BG1583" s="11">
        <f ca="1">IFERROR(__xludf.DUMMYFUNCTION("""COMPUTED_VALUE"""),45967.125)</f>
        <v>45967.125</v>
      </c>
      <c r="BH1583" s="17" t="s">
        <v>105</v>
      </c>
      <c r="BI1583" s="17"/>
      <c r="BJ1583" s="15"/>
      <c r="BK1583" s="15"/>
      <c r="BL1583" s="13" t="b">
        <v>0</v>
      </c>
      <c r="BM1583" s="10"/>
      <c r="BN1583" s="10" t="s">
        <v>136</v>
      </c>
      <c r="BO1583" s="11">
        <v>45904.299305555556</v>
      </c>
      <c r="BP1583" s="11">
        <v>45957.72997685185</v>
      </c>
      <c r="BQ1583" s="15">
        <v>45995.657141203701</v>
      </c>
      <c r="BR1583" s="15">
        <v>45962.423379629632</v>
      </c>
      <c r="BS1583" s="10"/>
      <c r="BT1583" s="10" t="s">
        <v>99</v>
      </c>
      <c r="BU1583" s="10"/>
      <c r="BV1583" s="10"/>
      <c r="BW1583" s="10"/>
      <c r="BX1583" s="10"/>
      <c r="BY1583" s="23"/>
      <c r="BZ1583" s="23"/>
      <c r="CA1583" s="19" t="s">
        <v>12026</v>
      </c>
      <c r="CB1583" s="23"/>
      <c r="CC1583" s="23"/>
      <c r="CD1583" s="23"/>
      <c r="CE1583" s="23"/>
      <c r="CF1583" s="23"/>
      <c r="CG1583" s="23"/>
      <c r="CH1583" s="23"/>
      <c r="CI1583" s="23"/>
    </row>
    <row r="1584" spans="1:87" x14ac:dyDescent="0.3">
      <c r="A1584" s="25" t="s">
        <v>12027</v>
      </c>
      <c r="B1584" s="10" t="s">
        <v>12028</v>
      </c>
      <c r="C1584" s="11">
        <v>45987.03125</v>
      </c>
      <c r="D1584" s="12">
        <v>8.3333333333333329E-2</v>
      </c>
      <c r="E1584" s="11">
        <v>45987.114583333336</v>
      </c>
      <c r="F1584" s="10" t="s">
        <v>3563</v>
      </c>
      <c r="G1584" s="13" t="b">
        <v>0</v>
      </c>
      <c r="H1584" s="10" t="s">
        <v>11460</v>
      </c>
      <c r="I1584" s="10" t="s">
        <v>89</v>
      </c>
      <c r="J1584" s="13" t="b">
        <v>0</v>
      </c>
      <c r="K1584" s="13" t="b">
        <v>1</v>
      </c>
      <c r="L1584" s="10" t="s">
        <v>124</v>
      </c>
      <c r="M1584" s="10" t="s">
        <v>91</v>
      </c>
      <c r="N1584" s="10" t="s">
        <v>92</v>
      </c>
      <c r="O1584" s="19" t="s">
        <v>12029</v>
      </c>
      <c r="P1584" s="10"/>
      <c r="Q1584" s="10" t="s">
        <v>126</v>
      </c>
      <c r="R1584" s="10"/>
      <c r="S1584" s="19" t="s">
        <v>12030</v>
      </c>
      <c r="T1584" s="10"/>
      <c r="U1584" s="10" t="s">
        <v>3715</v>
      </c>
      <c r="V1584" s="10" t="s">
        <v>3582</v>
      </c>
      <c r="W1584" s="10" t="s">
        <v>3569</v>
      </c>
      <c r="X1584" s="10" t="s">
        <v>130</v>
      </c>
      <c r="Y1584" s="10" t="s">
        <v>130</v>
      </c>
      <c r="Z1584" s="10" t="s">
        <v>99</v>
      </c>
      <c r="AA1584" s="10" t="s">
        <v>131</v>
      </c>
      <c r="AB1584" s="10" t="s">
        <v>3570</v>
      </c>
      <c r="AC1584" s="10" t="s">
        <v>3571</v>
      </c>
      <c r="AD1584" s="10" t="s">
        <v>12031</v>
      </c>
      <c r="AE1584" s="10" t="s">
        <v>12032</v>
      </c>
      <c r="AF1584" s="15"/>
      <c r="AG1584" s="10"/>
      <c r="AH1584" s="10"/>
      <c r="AI1584" s="10"/>
      <c r="AJ1584" s="10"/>
      <c r="AK1584" s="10" t="s">
        <v>102</v>
      </c>
      <c r="AL1584" s="10" t="s">
        <v>7897</v>
      </c>
      <c r="AM1584" s="10"/>
      <c r="AN1584" s="10"/>
      <c r="AO1584" s="13" t="b">
        <v>0</v>
      </c>
      <c r="AP1584" s="10" t="s">
        <v>104</v>
      </c>
      <c r="AQ1584" s="10">
        <f ca="1">IFERROR(__xludf.DUMMYFUNCTION("""COMPUTED_VALUE"""),4733520)</f>
        <v>4733520</v>
      </c>
      <c r="AR1584" s="17">
        <v>55588</v>
      </c>
      <c r="AS1584" s="17">
        <v>39462</v>
      </c>
      <c r="AT1584" s="17">
        <v>1563028.5</v>
      </c>
      <c r="AU1584" s="17">
        <v>428.4</v>
      </c>
      <c r="AV1584" s="17">
        <v>115.7</v>
      </c>
      <c r="AW1584" s="10" t="s">
        <v>105</v>
      </c>
      <c r="AX1584" s="17">
        <v>12126</v>
      </c>
      <c r="AY1584" s="18">
        <v>39.608446100045612</v>
      </c>
      <c r="AZ1584" s="10" t="s">
        <v>168</v>
      </c>
      <c r="BA1584" s="20" t="b">
        <v>0</v>
      </c>
      <c r="BB1584" s="10"/>
      <c r="BC1584" s="17">
        <v>55588</v>
      </c>
      <c r="BD1584" s="17">
        <v>39462</v>
      </c>
      <c r="BE1584" s="17">
        <v>1563028.5</v>
      </c>
      <c r="BF1584" s="17">
        <v>115.7</v>
      </c>
      <c r="BG1584" s="11">
        <f ca="1">IFERROR(__xludf.DUMMYFUNCTION("""COMPUTED_VALUE"""),45987.03125)</f>
        <v>45987.03125</v>
      </c>
      <c r="BH1584" s="17" t="s">
        <v>105</v>
      </c>
      <c r="BI1584" s="17"/>
      <c r="BJ1584" s="15"/>
      <c r="BK1584" s="15"/>
      <c r="BL1584" s="13" t="b">
        <v>0</v>
      </c>
      <c r="BM1584" s="10"/>
      <c r="BN1584" s="10" t="s">
        <v>634</v>
      </c>
      <c r="BO1584" s="11">
        <v>45904.299305555556</v>
      </c>
      <c r="BP1584" s="11">
        <v>45979.732222222221</v>
      </c>
      <c r="BQ1584" s="15">
        <v>45982.829837962963</v>
      </c>
      <c r="BR1584" s="15">
        <v>45985.420949074076</v>
      </c>
      <c r="BS1584" s="10" t="s">
        <v>634</v>
      </c>
      <c r="BT1584" s="10" t="s">
        <v>99</v>
      </c>
      <c r="BU1584" s="10" t="s">
        <v>456</v>
      </c>
      <c r="BV1584" s="10"/>
      <c r="BW1584" s="10"/>
      <c r="BX1584" s="10"/>
      <c r="BY1584" s="23"/>
      <c r="BZ1584" s="23"/>
      <c r="CA1584" s="19" t="s">
        <v>12033</v>
      </c>
      <c r="CB1584" s="23"/>
      <c r="CC1584" s="23"/>
      <c r="CD1584" s="19" t="s">
        <v>12034</v>
      </c>
      <c r="CE1584" s="23"/>
      <c r="CF1584" s="23"/>
      <c r="CG1584" s="23"/>
      <c r="CH1584" s="23"/>
      <c r="CI1584" s="23"/>
    </row>
    <row r="1585" spans="1:87" x14ac:dyDescent="0.3">
      <c r="A1585" s="9" t="s">
        <v>12035</v>
      </c>
      <c r="B1585" s="10" t="s">
        <v>12036</v>
      </c>
      <c r="C1585" s="11">
        <v>45987.03125</v>
      </c>
      <c r="D1585" s="12">
        <v>8.3333333333333329E-2</v>
      </c>
      <c r="E1585" s="11">
        <v>45987.114583333336</v>
      </c>
      <c r="F1585" s="10" t="s">
        <v>3563</v>
      </c>
      <c r="G1585" s="13" t="b">
        <v>0</v>
      </c>
      <c r="H1585" s="10" t="s">
        <v>3564</v>
      </c>
      <c r="I1585" s="10" t="s">
        <v>89</v>
      </c>
      <c r="J1585" s="13" t="b">
        <v>0</v>
      </c>
      <c r="K1585" s="13" t="b">
        <v>1</v>
      </c>
      <c r="L1585" s="10" t="s">
        <v>124</v>
      </c>
      <c r="M1585" s="10" t="s">
        <v>91</v>
      </c>
      <c r="N1585" s="10" t="s">
        <v>92</v>
      </c>
      <c r="O1585" s="19" t="s">
        <v>12037</v>
      </c>
      <c r="P1585" s="10"/>
      <c r="Q1585" s="10" t="s">
        <v>94</v>
      </c>
      <c r="R1585" s="10"/>
      <c r="S1585" s="19" t="s">
        <v>12038</v>
      </c>
      <c r="T1585" s="10"/>
      <c r="U1585" s="10" t="s">
        <v>11518</v>
      </c>
      <c r="V1585" s="10" t="s">
        <v>11393</v>
      </c>
      <c r="W1585" s="10" t="s">
        <v>3569</v>
      </c>
      <c r="X1585" s="10" t="s">
        <v>130</v>
      </c>
      <c r="Y1585" s="10" t="s">
        <v>130</v>
      </c>
      <c r="Z1585" s="10" t="s">
        <v>99</v>
      </c>
      <c r="AA1585" s="10" t="s">
        <v>131</v>
      </c>
      <c r="AB1585" s="10" t="s">
        <v>3570</v>
      </c>
      <c r="AC1585" s="10" t="s">
        <v>3571</v>
      </c>
      <c r="AD1585" s="10" t="s">
        <v>12039</v>
      </c>
      <c r="AE1585" s="10" t="s">
        <v>12040</v>
      </c>
      <c r="AF1585" s="15"/>
      <c r="AG1585" s="10"/>
      <c r="AH1585" s="10"/>
      <c r="AI1585" s="10"/>
      <c r="AJ1585" s="10"/>
      <c r="AK1585" s="10" t="s">
        <v>102</v>
      </c>
      <c r="AL1585" s="10" t="s">
        <v>7897</v>
      </c>
      <c r="AM1585" s="10"/>
      <c r="AN1585" s="10"/>
      <c r="AO1585" s="13" t="b">
        <v>0</v>
      </c>
      <c r="AP1585" s="10" t="s">
        <v>104</v>
      </c>
      <c r="AQ1585" s="10">
        <f ca="1">IFERROR(__xludf.DUMMYFUNCTION("""COMPUTED_VALUE"""),4733512)</f>
        <v>4733512</v>
      </c>
      <c r="AR1585" s="17">
        <v>20822</v>
      </c>
      <c r="AS1585" s="17">
        <v>13261</v>
      </c>
      <c r="AT1585" s="17">
        <v>411630.75</v>
      </c>
      <c r="AU1585" s="17">
        <v>105.7</v>
      </c>
      <c r="AV1585" s="17">
        <v>22.6</v>
      </c>
      <c r="AW1585" s="10" t="s">
        <v>105</v>
      </c>
      <c r="AX1585" s="17">
        <v>5139</v>
      </c>
      <c r="AY1585" s="18">
        <v>31.040702058668277</v>
      </c>
      <c r="AZ1585" s="10" t="s">
        <v>168</v>
      </c>
      <c r="BA1585" s="20" t="b">
        <v>0</v>
      </c>
      <c r="BB1585" s="10"/>
      <c r="BC1585" s="17">
        <v>20822</v>
      </c>
      <c r="BD1585" s="17">
        <v>13261</v>
      </c>
      <c r="BE1585" s="17">
        <v>411630.75</v>
      </c>
      <c r="BF1585" s="17">
        <v>22.6</v>
      </c>
      <c r="BG1585" s="11">
        <f ca="1">IFERROR(__xludf.DUMMYFUNCTION("""COMPUTED_VALUE"""),45987.03125)</f>
        <v>45987.03125</v>
      </c>
      <c r="BH1585" s="17" t="s">
        <v>105</v>
      </c>
      <c r="BI1585" s="17"/>
      <c r="BJ1585" s="15"/>
      <c r="BK1585" s="15"/>
      <c r="BL1585" s="13" t="b">
        <v>0</v>
      </c>
      <c r="BM1585" s="10"/>
      <c r="BN1585" s="10" t="s">
        <v>634</v>
      </c>
      <c r="BO1585" s="11">
        <v>45904.299305555556</v>
      </c>
      <c r="BP1585" s="11">
        <v>45978.610590277778</v>
      </c>
      <c r="BQ1585" s="15">
        <v>45982.830023148148</v>
      </c>
      <c r="BR1585" s="15">
        <v>45985.423298611109</v>
      </c>
      <c r="BS1585" s="10" t="s">
        <v>634</v>
      </c>
      <c r="BT1585" s="10" t="s">
        <v>99</v>
      </c>
      <c r="BU1585" s="10" t="s">
        <v>534</v>
      </c>
      <c r="BV1585" s="10"/>
      <c r="BW1585" s="10"/>
      <c r="BX1585" s="10"/>
      <c r="BY1585" s="23"/>
      <c r="BZ1585" s="23"/>
      <c r="CA1585" s="19" t="s">
        <v>12041</v>
      </c>
      <c r="CB1585" s="23"/>
      <c r="CC1585" s="23"/>
      <c r="CD1585" s="23"/>
      <c r="CE1585" s="23"/>
      <c r="CF1585" s="23"/>
      <c r="CG1585" s="23"/>
      <c r="CH1585" s="23"/>
      <c r="CI1585" s="23"/>
    </row>
    <row r="1586" spans="1:87" x14ac:dyDescent="0.3">
      <c r="A1586" s="9" t="s">
        <v>12042</v>
      </c>
      <c r="B1586" s="10" t="s">
        <v>12043</v>
      </c>
      <c r="C1586" s="11">
        <v>45987.125</v>
      </c>
      <c r="D1586" s="12">
        <v>8.3333333333333329E-2</v>
      </c>
      <c r="E1586" s="11">
        <v>45987.208333333336</v>
      </c>
      <c r="F1586" s="10" t="s">
        <v>3563</v>
      </c>
      <c r="G1586" s="13" t="b">
        <v>0</v>
      </c>
      <c r="H1586" s="10" t="s">
        <v>5239</v>
      </c>
      <c r="I1586" s="10" t="s">
        <v>89</v>
      </c>
      <c r="J1586" s="13" t="b">
        <v>0</v>
      </c>
      <c r="K1586" s="13" t="b">
        <v>1</v>
      </c>
      <c r="L1586" s="10" t="s">
        <v>124</v>
      </c>
      <c r="M1586" s="10" t="s">
        <v>91</v>
      </c>
      <c r="N1586" s="10" t="s">
        <v>92</v>
      </c>
      <c r="O1586" s="19" t="s">
        <v>12044</v>
      </c>
      <c r="P1586" s="10"/>
      <c r="Q1586" s="10" t="s">
        <v>126</v>
      </c>
      <c r="R1586" s="10"/>
      <c r="S1586" s="19" t="s">
        <v>12045</v>
      </c>
      <c r="T1586" s="10"/>
      <c r="U1586" s="10" t="s">
        <v>8556</v>
      </c>
      <c r="V1586" s="10" t="s">
        <v>3259</v>
      </c>
      <c r="W1586" s="10" t="s">
        <v>3569</v>
      </c>
      <c r="X1586" s="10" t="s">
        <v>130</v>
      </c>
      <c r="Y1586" s="10" t="s">
        <v>130</v>
      </c>
      <c r="Z1586" s="10" t="s">
        <v>99</v>
      </c>
      <c r="AA1586" s="10" t="s">
        <v>131</v>
      </c>
      <c r="AB1586" s="10" t="s">
        <v>3570</v>
      </c>
      <c r="AC1586" s="10" t="s">
        <v>3571</v>
      </c>
      <c r="AD1586" s="10" t="s">
        <v>12046</v>
      </c>
      <c r="AE1586" s="10" t="s">
        <v>12047</v>
      </c>
      <c r="AF1586" s="15"/>
      <c r="AG1586" s="10"/>
      <c r="AH1586" s="10"/>
      <c r="AI1586" s="10"/>
      <c r="AJ1586" s="10"/>
      <c r="AK1586" s="10" t="s">
        <v>102</v>
      </c>
      <c r="AL1586" s="10" t="s">
        <v>7897</v>
      </c>
      <c r="AM1586" s="10"/>
      <c r="AN1586" s="10"/>
      <c r="AO1586" s="13" t="b">
        <v>1</v>
      </c>
      <c r="AP1586" s="10" t="s">
        <v>104</v>
      </c>
      <c r="AQ1586" s="10">
        <f ca="1">IFERROR(__xludf.DUMMYFUNCTION("""COMPUTED_VALUE"""),4733525)</f>
        <v>4733525</v>
      </c>
      <c r="AR1586" s="17">
        <v>33603</v>
      </c>
      <c r="AS1586" s="17">
        <v>20947</v>
      </c>
      <c r="AT1586" s="17">
        <v>326554.25</v>
      </c>
      <c r="AU1586" s="17">
        <v>123</v>
      </c>
      <c r="AV1586" s="17">
        <v>8.65</v>
      </c>
      <c r="AW1586" s="10" t="s">
        <v>105</v>
      </c>
      <c r="AX1586" s="17">
        <v>8278</v>
      </c>
      <c r="AY1586" s="18">
        <v>15.589547429226142</v>
      </c>
      <c r="AZ1586" s="10" t="s">
        <v>168</v>
      </c>
      <c r="BA1586" s="20" t="b">
        <v>0</v>
      </c>
      <c r="BB1586" s="10"/>
      <c r="BC1586" s="17">
        <v>33603</v>
      </c>
      <c r="BD1586" s="17">
        <v>20947</v>
      </c>
      <c r="BE1586" s="17">
        <v>326554.25</v>
      </c>
      <c r="BF1586" s="17">
        <v>8.65</v>
      </c>
      <c r="BG1586" s="11">
        <f ca="1">IFERROR(__xludf.DUMMYFUNCTION("""COMPUTED_VALUE"""),45987.125)</f>
        <v>45987.125</v>
      </c>
      <c r="BH1586" s="17" t="s">
        <v>105</v>
      </c>
      <c r="BI1586" s="17"/>
      <c r="BJ1586" s="15"/>
      <c r="BK1586" s="15"/>
      <c r="BL1586" s="13" t="b">
        <v>0</v>
      </c>
      <c r="BM1586" s="10"/>
      <c r="BN1586" s="10" t="s">
        <v>1057</v>
      </c>
      <c r="BO1586" s="11">
        <v>45904.299305555556</v>
      </c>
      <c r="BP1586" s="11">
        <v>45978.610659722224</v>
      </c>
      <c r="BQ1586" s="15">
        <v>45982.830185185187</v>
      </c>
      <c r="BR1586" s="15">
        <v>45985.421215277776</v>
      </c>
      <c r="BS1586" s="10"/>
      <c r="BT1586" s="10" t="s">
        <v>279</v>
      </c>
      <c r="BU1586" s="10" t="s">
        <v>298</v>
      </c>
      <c r="BV1586" s="10"/>
      <c r="BW1586" s="10"/>
      <c r="BX1586" s="10"/>
      <c r="BY1586" s="23"/>
      <c r="BZ1586" s="23"/>
      <c r="CA1586" s="19" t="s">
        <v>12048</v>
      </c>
      <c r="CB1586" s="23"/>
      <c r="CC1586" s="23"/>
      <c r="CD1586" s="19" t="s">
        <v>12049</v>
      </c>
      <c r="CE1586" s="23"/>
      <c r="CF1586" s="23"/>
      <c r="CG1586" s="23"/>
      <c r="CH1586" s="23"/>
      <c r="CI1586" s="23"/>
    </row>
    <row r="1587" spans="1:87" x14ac:dyDescent="0.3">
      <c r="A1587" s="9" t="s">
        <v>12050</v>
      </c>
      <c r="B1587" s="10" t="s">
        <v>12051</v>
      </c>
      <c r="C1587" s="11">
        <v>45987.125</v>
      </c>
      <c r="D1587" s="12">
        <v>8.3333333333333329E-2</v>
      </c>
      <c r="E1587" s="11">
        <v>45987.208333333336</v>
      </c>
      <c r="F1587" s="10" t="s">
        <v>3563</v>
      </c>
      <c r="G1587" s="13" t="b">
        <v>0</v>
      </c>
      <c r="H1587" s="10" t="s">
        <v>5239</v>
      </c>
      <c r="I1587" s="10" t="s">
        <v>89</v>
      </c>
      <c r="J1587" s="13" t="b">
        <v>0</v>
      </c>
      <c r="K1587" s="13" t="b">
        <v>1</v>
      </c>
      <c r="L1587" s="10" t="s">
        <v>124</v>
      </c>
      <c r="M1587" s="10" t="s">
        <v>91</v>
      </c>
      <c r="N1587" s="10" t="s">
        <v>92</v>
      </c>
      <c r="O1587" s="19" t="s">
        <v>12052</v>
      </c>
      <c r="P1587" s="10"/>
      <c r="Q1587" s="10" t="s">
        <v>126</v>
      </c>
      <c r="R1587" s="10"/>
      <c r="S1587" s="19" t="s">
        <v>12053</v>
      </c>
      <c r="T1587" s="19" t="s">
        <v>12054</v>
      </c>
      <c r="U1587" s="10" t="s">
        <v>3318</v>
      </c>
      <c r="V1587" s="10" t="s">
        <v>3599</v>
      </c>
      <c r="W1587" s="10" t="s">
        <v>3569</v>
      </c>
      <c r="X1587" s="10" t="s">
        <v>130</v>
      </c>
      <c r="Y1587" s="10" t="s">
        <v>130</v>
      </c>
      <c r="Z1587" s="10" t="s">
        <v>99</v>
      </c>
      <c r="AA1587" s="10" t="s">
        <v>131</v>
      </c>
      <c r="AB1587" s="10" t="s">
        <v>3570</v>
      </c>
      <c r="AC1587" s="10" t="s">
        <v>3571</v>
      </c>
      <c r="AD1587" s="10" t="s">
        <v>12055</v>
      </c>
      <c r="AE1587" s="10" t="s">
        <v>12056</v>
      </c>
      <c r="AF1587" s="15"/>
      <c r="AG1587" s="10"/>
      <c r="AH1587" s="10"/>
      <c r="AI1587" s="10"/>
      <c r="AJ1587" s="10"/>
      <c r="AK1587" s="10" t="s">
        <v>102</v>
      </c>
      <c r="AL1587" s="10" t="s">
        <v>7897</v>
      </c>
      <c r="AM1587" s="10"/>
      <c r="AN1587" s="10"/>
      <c r="AO1587" s="13" t="b">
        <v>0</v>
      </c>
      <c r="AP1587" s="10" t="s">
        <v>104</v>
      </c>
      <c r="AQ1587" s="10">
        <f ca="1">IFERROR(__xludf.DUMMYFUNCTION("""COMPUTED_VALUE"""),4733533)</f>
        <v>4733533</v>
      </c>
      <c r="AR1587" s="17">
        <v>13180</v>
      </c>
      <c r="AS1587" s="17">
        <v>9134</v>
      </c>
      <c r="AT1587" s="17">
        <v>27654</v>
      </c>
      <c r="AU1587" s="17">
        <v>6.35</v>
      </c>
      <c r="AV1587" s="17">
        <v>0.6</v>
      </c>
      <c r="AW1587" s="10" t="s">
        <v>105</v>
      </c>
      <c r="AX1587" s="17">
        <v>2018</v>
      </c>
      <c r="AY1587" s="18">
        <v>3.0275892270637179</v>
      </c>
      <c r="AZ1587" s="10" t="s">
        <v>168</v>
      </c>
      <c r="BA1587" s="20" t="b">
        <v>0</v>
      </c>
      <c r="BB1587" s="10"/>
      <c r="BC1587" s="17">
        <v>13180</v>
      </c>
      <c r="BD1587" s="17">
        <v>9134</v>
      </c>
      <c r="BE1587" s="17">
        <v>27654</v>
      </c>
      <c r="BF1587" s="17">
        <v>0.6</v>
      </c>
      <c r="BG1587" s="11">
        <f ca="1">IFERROR(__xludf.DUMMYFUNCTION("""COMPUTED_VALUE"""),45987.125)</f>
        <v>45987.125</v>
      </c>
      <c r="BH1587" s="17" t="s">
        <v>105</v>
      </c>
      <c r="BI1587" s="17"/>
      <c r="BJ1587" s="15"/>
      <c r="BK1587" s="15"/>
      <c r="BL1587" s="13" t="b">
        <v>0</v>
      </c>
      <c r="BM1587" s="10"/>
      <c r="BN1587" s="10" t="s">
        <v>1057</v>
      </c>
      <c r="BO1587" s="11">
        <v>45904.299305555556</v>
      </c>
      <c r="BP1587" s="11">
        <v>45978.610775462963</v>
      </c>
      <c r="BQ1587" s="15">
        <v>45982.831018518518</v>
      </c>
      <c r="BR1587" s="15">
        <v>45985.422314814816</v>
      </c>
      <c r="BS1587" s="10"/>
      <c r="BT1587" s="10" t="s">
        <v>279</v>
      </c>
      <c r="BU1587" s="10" t="s">
        <v>280</v>
      </c>
      <c r="BV1587" s="10"/>
      <c r="BW1587" s="10"/>
      <c r="BX1587" s="10"/>
      <c r="BY1587" s="23"/>
      <c r="BZ1587" s="23"/>
      <c r="CA1587" s="19" t="s">
        <v>12057</v>
      </c>
      <c r="CB1587" s="19" t="s">
        <v>12058</v>
      </c>
      <c r="CC1587" s="23"/>
      <c r="CD1587" s="19" t="s">
        <v>12059</v>
      </c>
      <c r="CE1587" s="23"/>
      <c r="CF1587" s="23"/>
      <c r="CG1587" s="23"/>
      <c r="CH1587" s="23"/>
      <c r="CI1587" s="23"/>
    </row>
    <row r="1588" spans="1:87" x14ac:dyDescent="0.3">
      <c r="A1588" s="9" t="s">
        <v>12060</v>
      </c>
      <c r="B1588" s="10" t="s">
        <v>12061</v>
      </c>
      <c r="C1588" s="11">
        <v>45987.125</v>
      </c>
      <c r="D1588" s="12">
        <v>8.3333333333333329E-2</v>
      </c>
      <c r="E1588" s="11">
        <v>45987.208333333336</v>
      </c>
      <c r="F1588" s="10" t="s">
        <v>3563</v>
      </c>
      <c r="G1588" s="13" t="b">
        <v>0</v>
      </c>
      <c r="H1588" s="10" t="s">
        <v>6271</v>
      </c>
      <c r="I1588" s="10" t="s">
        <v>89</v>
      </c>
      <c r="J1588" s="13" t="b">
        <v>0</v>
      </c>
      <c r="K1588" s="13" t="b">
        <v>1</v>
      </c>
      <c r="L1588" s="10" t="s">
        <v>124</v>
      </c>
      <c r="M1588" s="10" t="s">
        <v>91</v>
      </c>
      <c r="N1588" s="10" t="s">
        <v>92</v>
      </c>
      <c r="O1588" s="19" t="s">
        <v>12062</v>
      </c>
      <c r="P1588" s="10"/>
      <c r="Q1588" s="10" t="s">
        <v>94</v>
      </c>
      <c r="R1588" s="10"/>
      <c r="S1588" s="19" t="s">
        <v>12063</v>
      </c>
      <c r="T1588" s="19" t="s">
        <v>12054</v>
      </c>
      <c r="U1588" s="10" t="s">
        <v>11435</v>
      </c>
      <c r="V1588" s="10" t="s">
        <v>293</v>
      </c>
      <c r="W1588" s="10" t="s">
        <v>3569</v>
      </c>
      <c r="X1588" s="10" t="s">
        <v>130</v>
      </c>
      <c r="Y1588" s="10" t="s">
        <v>130</v>
      </c>
      <c r="Z1588" s="10" t="s">
        <v>99</v>
      </c>
      <c r="AA1588" s="10" t="s">
        <v>131</v>
      </c>
      <c r="AB1588" s="10" t="s">
        <v>3570</v>
      </c>
      <c r="AC1588" s="10" t="s">
        <v>3571</v>
      </c>
      <c r="AD1588" s="10" t="s">
        <v>12064</v>
      </c>
      <c r="AE1588" s="10" t="s">
        <v>12065</v>
      </c>
      <c r="AF1588" s="15"/>
      <c r="AG1588" s="10"/>
      <c r="AH1588" s="10"/>
      <c r="AI1588" s="10"/>
      <c r="AJ1588" s="10"/>
      <c r="AK1588" s="10" t="s">
        <v>102</v>
      </c>
      <c r="AL1588" s="10" t="s">
        <v>7897</v>
      </c>
      <c r="AM1588" s="10"/>
      <c r="AN1588" s="10"/>
      <c r="AO1588" s="13" t="b">
        <v>0</v>
      </c>
      <c r="AP1588" s="10" t="s">
        <v>104</v>
      </c>
      <c r="AQ1588" s="10">
        <f ca="1">IFERROR(__xludf.DUMMYFUNCTION("""COMPUTED_VALUE"""),4733538)</f>
        <v>4733538</v>
      </c>
      <c r="AR1588" s="17">
        <v>14424</v>
      </c>
      <c r="AS1588" s="17">
        <v>9953</v>
      </c>
      <c r="AT1588" s="17">
        <v>86224.5</v>
      </c>
      <c r="AU1588" s="17">
        <v>23.6</v>
      </c>
      <c r="AV1588" s="17">
        <v>1.45</v>
      </c>
      <c r="AW1588" s="10" t="s">
        <v>105</v>
      </c>
      <c r="AX1588" s="17">
        <v>3247</v>
      </c>
      <c r="AY1588" s="18">
        <v>8.6631668843564746</v>
      </c>
      <c r="AZ1588" s="10" t="s">
        <v>168</v>
      </c>
      <c r="BA1588" s="20" t="b">
        <v>0</v>
      </c>
      <c r="BB1588" s="10"/>
      <c r="BC1588" s="17">
        <v>14424</v>
      </c>
      <c r="BD1588" s="17">
        <v>9953</v>
      </c>
      <c r="BE1588" s="17">
        <v>86224.5</v>
      </c>
      <c r="BF1588" s="17">
        <v>1.45</v>
      </c>
      <c r="BG1588" s="11">
        <f ca="1">IFERROR(__xludf.DUMMYFUNCTION("""COMPUTED_VALUE"""),45987.125)</f>
        <v>45987.125</v>
      </c>
      <c r="BH1588" s="17" t="s">
        <v>105</v>
      </c>
      <c r="BI1588" s="17"/>
      <c r="BJ1588" s="15"/>
      <c r="BK1588" s="15"/>
      <c r="BL1588" s="13" t="b">
        <v>0</v>
      </c>
      <c r="BM1588" s="10"/>
      <c r="BN1588" s="10" t="s">
        <v>1057</v>
      </c>
      <c r="BO1588" s="11">
        <v>45904.299305555556</v>
      </c>
      <c r="BP1588" s="11">
        <v>45978.610844907409</v>
      </c>
      <c r="BQ1588" s="15">
        <v>45982.83084490741</v>
      </c>
      <c r="BR1588" s="15">
        <v>45985.422939814816</v>
      </c>
      <c r="BS1588" s="10"/>
      <c r="BT1588" s="10" t="s">
        <v>279</v>
      </c>
      <c r="BU1588" s="10" t="s">
        <v>718</v>
      </c>
      <c r="BV1588" s="10"/>
      <c r="BW1588" s="10"/>
      <c r="BX1588" s="10"/>
      <c r="BY1588" s="23"/>
      <c r="BZ1588" s="23"/>
      <c r="CA1588" s="19" t="s">
        <v>12066</v>
      </c>
      <c r="CB1588" s="19" t="s">
        <v>12067</v>
      </c>
      <c r="CC1588" s="23"/>
      <c r="CD1588" s="23"/>
      <c r="CE1588" s="23"/>
      <c r="CF1588" s="23"/>
      <c r="CG1588" s="23"/>
      <c r="CH1588" s="23"/>
      <c r="CI1588" s="23"/>
    </row>
    <row r="1589" spans="1:87" x14ac:dyDescent="0.3">
      <c r="A1589" s="9" t="s">
        <v>12068</v>
      </c>
      <c r="B1589" s="10" t="s">
        <v>12069</v>
      </c>
      <c r="C1589" s="11">
        <v>45987.125</v>
      </c>
      <c r="D1589" s="12">
        <v>8.3333333333333329E-2</v>
      </c>
      <c r="E1589" s="11">
        <v>45987.208333333336</v>
      </c>
      <c r="F1589" s="10" t="s">
        <v>3563</v>
      </c>
      <c r="G1589" s="13" t="b">
        <v>0</v>
      </c>
      <c r="H1589" s="10" t="s">
        <v>5239</v>
      </c>
      <c r="I1589" s="10" t="s">
        <v>89</v>
      </c>
      <c r="J1589" s="13" t="b">
        <v>0</v>
      </c>
      <c r="K1589" s="13" t="b">
        <v>1</v>
      </c>
      <c r="L1589" s="10" t="s">
        <v>124</v>
      </c>
      <c r="M1589" s="10" t="s">
        <v>91</v>
      </c>
      <c r="N1589" s="10" t="s">
        <v>92</v>
      </c>
      <c r="O1589" s="19" t="s">
        <v>12070</v>
      </c>
      <c r="P1589" s="10"/>
      <c r="Q1589" s="10" t="s">
        <v>126</v>
      </c>
      <c r="R1589" s="10"/>
      <c r="S1589" s="19" t="s">
        <v>12071</v>
      </c>
      <c r="T1589" s="19" t="s">
        <v>12054</v>
      </c>
      <c r="U1589" s="10" t="s">
        <v>11409</v>
      </c>
      <c r="V1589" s="10" t="s">
        <v>5018</v>
      </c>
      <c r="W1589" s="10" t="s">
        <v>3569</v>
      </c>
      <c r="X1589" s="10" t="s">
        <v>130</v>
      </c>
      <c r="Y1589" s="10" t="s">
        <v>130</v>
      </c>
      <c r="Z1589" s="10" t="s">
        <v>99</v>
      </c>
      <c r="AA1589" s="10" t="s">
        <v>131</v>
      </c>
      <c r="AB1589" s="10" t="s">
        <v>3570</v>
      </c>
      <c r="AC1589" s="10" t="s">
        <v>3571</v>
      </c>
      <c r="AD1589" s="10" t="s">
        <v>12072</v>
      </c>
      <c r="AE1589" s="10" t="s">
        <v>12073</v>
      </c>
      <c r="AF1589" s="15"/>
      <c r="AG1589" s="10"/>
      <c r="AH1589" s="10"/>
      <c r="AI1589" s="10"/>
      <c r="AJ1589" s="10"/>
      <c r="AK1589" s="10" t="s">
        <v>102</v>
      </c>
      <c r="AL1589" s="10" t="s">
        <v>7897</v>
      </c>
      <c r="AM1589" s="10"/>
      <c r="AN1589" s="10"/>
      <c r="AO1589" s="13" t="b">
        <v>0</v>
      </c>
      <c r="AP1589" s="10" t="s">
        <v>104</v>
      </c>
      <c r="AQ1589" s="10">
        <f ca="1">IFERROR(__xludf.DUMMYFUNCTION("""COMPUTED_VALUE"""),4733529)</f>
        <v>4733529</v>
      </c>
      <c r="AR1589" s="17">
        <v>16562</v>
      </c>
      <c r="AS1589" s="17">
        <v>12137</v>
      </c>
      <c r="AT1589" s="17">
        <v>43253.5</v>
      </c>
      <c r="AU1589" s="17">
        <v>17.7</v>
      </c>
      <c r="AV1589" s="17">
        <v>2.85</v>
      </c>
      <c r="AW1589" s="10" t="s">
        <v>105</v>
      </c>
      <c r="AX1589" s="17">
        <v>2312</v>
      </c>
      <c r="AY1589" s="18">
        <v>3.5637719370519898</v>
      </c>
      <c r="AZ1589" s="10" t="s">
        <v>168</v>
      </c>
      <c r="BA1589" s="20" t="b">
        <v>0</v>
      </c>
      <c r="BB1589" s="10"/>
      <c r="BC1589" s="17">
        <v>16562</v>
      </c>
      <c r="BD1589" s="17">
        <v>12137</v>
      </c>
      <c r="BE1589" s="17">
        <v>43253.5</v>
      </c>
      <c r="BF1589" s="17">
        <v>2.85</v>
      </c>
      <c r="BG1589" s="11">
        <f ca="1">IFERROR(__xludf.DUMMYFUNCTION("""COMPUTED_VALUE"""),45987.125)</f>
        <v>45987.125</v>
      </c>
      <c r="BH1589" s="17" t="s">
        <v>105</v>
      </c>
      <c r="BI1589" s="17"/>
      <c r="BJ1589" s="15"/>
      <c r="BK1589" s="15"/>
      <c r="BL1589" s="13" t="b">
        <v>0</v>
      </c>
      <c r="BM1589" s="10"/>
      <c r="BN1589" s="10" t="s">
        <v>1057</v>
      </c>
      <c r="BO1589" s="11">
        <v>45904.299305555556</v>
      </c>
      <c r="BP1589" s="11">
        <v>45978.611354166664</v>
      </c>
      <c r="BQ1589" s="15">
        <v>45982.830497685187</v>
      </c>
      <c r="BR1589" s="15">
        <v>45985.421782407408</v>
      </c>
      <c r="BS1589" s="10"/>
      <c r="BT1589" s="10" t="s">
        <v>279</v>
      </c>
      <c r="BU1589" s="10" t="s">
        <v>498</v>
      </c>
      <c r="BV1589" s="10"/>
      <c r="BW1589" s="10"/>
      <c r="BX1589" s="10"/>
      <c r="BY1589" s="23"/>
      <c r="BZ1589" s="23"/>
      <c r="CA1589" s="19" t="s">
        <v>12074</v>
      </c>
      <c r="CB1589" s="19" t="s">
        <v>12075</v>
      </c>
      <c r="CC1589" s="23"/>
      <c r="CD1589" s="19" t="s">
        <v>12076</v>
      </c>
      <c r="CE1589" s="23"/>
      <c r="CF1589" s="23"/>
      <c r="CG1589" s="23"/>
      <c r="CH1589" s="23"/>
      <c r="CI1589" s="23"/>
    </row>
    <row r="1590" spans="1:87" x14ac:dyDescent="0.3">
      <c r="A1590" s="9" t="s">
        <v>12077</v>
      </c>
      <c r="B1590" s="10" t="s">
        <v>12078</v>
      </c>
      <c r="C1590" s="11">
        <v>45987.125</v>
      </c>
      <c r="D1590" s="12">
        <v>8.3333333333333329E-2</v>
      </c>
      <c r="E1590" s="11">
        <v>45987.208333333336</v>
      </c>
      <c r="F1590" s="10" t="s">
        <v>3563</v>
      </c>
      <c r="G1590" s="13" t="b">
        <v>0</v>
      </c>
      <c r="H1590" s="10" t="s">
        <v>11460</v>
      </c>
      <c r="I1590" s="10" t="s">
        <v>89</v>
      </c>
      <c r="J1590" s="13" t="b">
        <v>0</v>
      </c>
      <c r="K1590" s="13" t="b">
        <v>1</v>
      </c>
      <c r="L1590" s="10" t="s">
        <v>124</v>
      </c>
      <c r="M1590" s="10" t="s">
        <v>91</v>
      </c>
      <c r="N1590" s="10" t="s">
        <v>92</v>
      </c>
      <c r="O1590" s="19" t="s">
        <v>12079</v>
      </c>
      <c r="P1590" s="10"/>
      <c r="Q1590" s="10" t="s">
        <v>126</v>
      </c>
      <c r="R1590" s="10"/>
      <c r="S1590" s="19" t="s">
        <v>12080</v>
      </c>
      <c r="T1590" s="19" t="s">
        <v>12054</v>
      </c>
      <c r="U1590" s="10" t="s">
        <v>346</v>
      </c>
      <c r="V1590" s="10" t="s">
        <v>5042</v>
      </c>
      <c r="W1590" s="10" t="s">
        <v>3569</v>
      </c>
      <c r="X1590" s="10" t="s">
        <v>130</v>
      </c>
      <c r="Y1590" s="10" t="s">
        <v>130</v>
      </c>
      <c r="Z1590" s="10" t="s">
        <v>99</v>
      </c>
      <c r="AA1590" s="10" t="s">
        <v>131</v>
      </c>
      <c r="AB1590" s="10" t="s">
        <v>3570</v>
      </c>
      <c r="AC1590" s="10" t="s">
        <v>3571</v>
      </c>
      <c r="AD1590" s="10" t="s">
        <v>12081</v>
      </c>
      <c r="AE1590" s="10" t="s">
        <v>12082</v>
      </c>
      <c r="AF1590" s="15"/>
      <c r="AG1590" s="10"/>
      <c r="AH1590" s="10"/>
      <c r="AI1590" s="10"/>
      <c r="AJ1590" s="10"/>
      <c r="AK1590" s="10" t="s">
        <v>102</v>
      </c>
      <c r="AL1590" s="10" t="s">
        <v>7897</v>
      </c>
      <c r="AM1590" s="10"/>
      <c r="AN1590" s="10"/>
      <c r="AO1590" s="13" t="b">
        <v>1</v>
      </c>
      <c r="AP1590" s="10" t="s">
        <v>104</v>
      </c>
      <c r="AQ1590" s="10">
        <f ca="1">IFERROR(__xludf.DUMMYFUNCTION("""COMPUTED_VALUE"""),4733537)</f>
        <v>4733537</v>
      </c>
      <c r="AR1590" s="17">
        <v>253186</v>
      </c>
      <c r="AS1590" s="17">
        <v>141336</v>
      </c>
      <c r="AT1590" s="17">
        <v>6668349.25</v>
      </c>
      <c r="AU1590" s="17">
        <v>3349.55</v>
      </c>
      <c r="AV1590" s="17">
        <v>984.5</v>
      </c>
      <c r="AW1590" s="10" t="s">
        <v>105</v>
      </c>
      <c r="AX1590" s="17">
        <v>75790</v>
      </c>
      <c r="AY1590" s="18">
        <v>47.180826187241749</v>
      </c>
      <c r="AZ1590" s="10" t="s">
        <v>168</v>
      </c>
      <c r="BA1590" s="20" t="b">
        <v>0</v>
      </c>
      <c r="BB1590" s="10"/>
      <c r="BC1590" s="17">
        <v>253186</v>
      </c>
      <c r="BD1590" s="17">
        <v>141336</v>
      </c>
      <c r="BE1590" s="17">
        <v>6668349.25</v>
      </c>
      <c r="BF1590" s="17">
        <v>984.5</v>
      </c>
      <c r="BG1590" s="11">
        <f ca="1">IFERROR(__xludf.DUMMYFUNCTION("""COMPUTED_VALUE"""),45987.125)</f>
        <v>45987.125</v>
      </c>
      <c r="BH1590" s="17" t="s">
        <v>105</v>
      </c>
      <c r="BI1590" s="17"/>
      <c r="BJ1590" s="15"/>
      <c r="BK1590" s="15"/>
      <c r="BL1590" s="13" t="b">
        <v>0</v>
      </c>
      <c r="BM1590" s="10"/>
      <c r="BN1590" s="10" t="s">
        <v>1057</v>
      </c>
      <c r="BO1590" s="11">
        <v>45904.299305555556</v>
      </c>
      <c r="BP1590" s="11">
        <v>45979.732418981483</v>
      </c>
      <c r="BQ1590" s="15">
        <v>45982.830324074072</v>
      </c>
      <c r="BR1590" s="15">
        <v>45985.421585648146</v>
      </c>
      <c r="BS1590" s="10"/>
      <c r="BT1590" s="10" t="s">
        <v>279</v>
      </c>
      <c r="BU1590" s="10" t="s">
        <v>456</v>
      </c>
      <c r="BV1590" s="10" t="s">
        <v>124</v>
      </c>
      <c r="BW1590" s="10" t="s">
        <v>12083</v>
      </c>
      <c r="BX1590" s="10"/>
      <c r="BY1590" s="23"/>
      <c r="BZ1590" s="23"/>
      <c r="CA1590" s="19" t="s">
        <v>12084</v>
      </c>
      <c r="CB1590" s="19" t="s">
        <v>12085</v>
      </c>
      <c r="CC1590" s="23"/>
      <c r="CD1590" s="19" t="s">
        <v>12086</v>
      </c>
      <c r="CE1590" s="23"/>
      <c r="CF1590" s="23"/>
      <c r="CG1590" s="23"/>
      <c r="CH1590" s="23"/>
      <c r="CI1590" s="23"/>
    </row>
    <row r="1591" spans="1:87" x14ac:dyDescent="0.3">
      <c r="A1591" s="9" t="s">
        <v>12087</v>
      </c>
      <c r="B1591" s="10" t="s">
        <v>12088</v>
      </c>
      <c r="C1591" s="11">
        <v>45987.125</v>
      </c>
      <c r="D1591" s="12">
        <v>8.3333333333333329E-2</v>
      </c>
      <c r="E1591" s="11">
        <v>45987.208333333336</v>
      </c>
      <c r="F1591" s="10" t="s">
        <v>3563</v>
      </c>
      <c r="G1591" s="13" t="b">
        <v>0</v>
      </c>
      <c r="H1591" s="10" t="s">
        <v>3564</v>
      </c>
      <c r="I1591" s="10" t="s">
        <v>89</v>
      </c>
      <c r="J1591" s="13" t="b">
        <v>0</v>
      </c>
      <c r="K1591" s="13" t="b">
        <v>1</v>
      </c>
      <c r="L1591" s="10" t="s">
        <v>124</v>
      </c>
      <c r="M1591" s="10" t="s">
        <v>91</v>
      </c>
      <c r="N1591" s="10" t="s">
        <v>92</v>
      </c>
      <c r="O1591" s="19" t="s">
        <v>12089</v>
      </c>
      <c r="P1591" s="10"/>
      <c r="Q1591" s="10" t="s">
        <v>126</v>
      </c>
      <c r="R1591" s="10"/>
      <c r="S1591" s="19" t="s">
        <v>12090</v>
      </c>
      <c r="T1591" s="19" t="s">
        <v>12054</v>
      </c>
      <c r="U1591" s="10" t="s">
        <v>334</v>
      </c>
      <c r="V1591" s="10" t="s">
        <v>11500</v>
      </c>
      <c r="W1591" s="10" t="s">
        <v>3569</v>
      </c>
      <c r="X1591" s="10" t="s">
        <v>130</v>
      </c>
      <c r="Y1591" s="10" t="s">
        <v>130</v>
      </c>
      <c r="Z1591" s="10" t="s">
        <v>99</v>
      </c>
      <c r="AA1591" s="10" t="s">
        <v>131</v>
      </c>
      <c r="AB1591" s="10" t="s">
        <v>3570</v>
      </c>
      <c r="AC1591" s="10" t="s">
        <v>3571</v>
      </c>
      <c r="AD1591" s="10" t="s">
        <v>12091</v>
      </c>
      <c r="AE1591" s="10" t="s">
        <v>12092</v>
      </c>
      <c r="AF1591" s="15"/>
      <c r="AG1591" s="10"/>
      <c r="AH1591" s="10"/>
      <c r="AI1591" s="10"/>
      <c r="AJ1591" s="10"/>
      <c r="AK1591" s="10" t="s">
        <v>102</v>
      </c>
      <c r="AL1591" s="10" t="s">
        <v>7897</v>
      </c>
      <c r="AM1591" s="10"/>
      <c r="AN1591" s="10"/>
      <c r="AO1591" s="13" t="b">
        <v>1</v>
      </c>
      <c r="AP1591" s="10" t="s">
        <v>104</v>
      </c>
      <c r="AQ1591" s="10">
        <f ca="1">IFERROR(__xludf.DUMMYFUNCTION("""COMPUTED_VALUE"""),4733513)</f>
        <v>4733513</v>
      </c>
      <c r="AR1591" s="17">
        <v>53552</v>
      </c>
      <c r="AS1591" s="17">
        <v>33126</v>
      </c>
      <c r="AT1591" s="17">
        <v>516460</v>
      </c>
      <c r="AU1591" s="17">
        <v>145.85</v>
      </c>
      <c r="AV1591" s="17">
        <v>28.35</v>
      </c>
      <c r="AW1591" s="10" t="s">
        <v>105</v>
      </c>
      <c r="AX1591" s="17">
        <v>11641</v>
      </c>
      <c r="AY1591" s="18">
        <v>15.590774618124735</v>
      </c>
      <c r="AZ1591" s="10" t="s">
        <v>168</v>
      </c>
      <c r="BA1591" s="20" t="b">
        <v>0</v>
      </c>
      <c r="BB1591" s="10"/>
      <c r="BC1591" s="17">
        <v>53552</v>
      </c>
      <c r="BD1591" s="17">
        <v>33126</v>
      </c>
      <c r="BE1591" s="17">
        <v>516460</v>
      </c>
      <c r="BF1591" s="17">
        <v>28.35</v>
      </c>
      <c r="BG1591" s="11">
        <f ca="1">IFERROR(__xludf.DUMMYFUNCTION("""COMPUTED_VALUE"""),45987.125)</f>
        <v>45987.125</v>
      </c>
      <c r="BH1591" s="17" t="s">
        <v>105</v>
      </c>
      <c r="BI1591" s="17"/>
      <c r="BJ1591" s="15"/>
      <c r="BK1591" s="15"/>
      <c r="BL1591" s="13" t="b">
        <v>0</v>
      </c>
      <c r="BM1591" s="10"/>
      <c r="BN1591" s="10" t="s">
        <v>1057</v>
      </c>
      <c r="BO1591" s="11">
        <v>45904.299305555556</v>
      </c>
      <c r="BP1591" s="11">
        <v>45978.611493055556</v>
      </c>
      <c r="BQ1591" s="15">
        <v>45982.830648148149</v>
      </c>
      <c r="BR1591" s="15">
        <v>45985.421932870369</v>
      </c>
      <c r="BS1591" s="10"/>
      <c r="BT1591" s="10" t="s">
        <v>279</v>
      </c>
      <c r="BU1591" s="10" t="s">
        <v>534</v>
      </c>
      <c r="BV1591" s="10"/>
      <c r="BW1591" s="10"/>
      <c r="BX1591" s="10"/>
      <c r="BY1591" s="23"/>
      <c r="BZ1591" s="23"/>
      <c r="CA1591" s="19" t="s">
        <v>12093</v>
      </c>
      <c r="CB1591" s="19" t="s">
        <v>12094</v>
      </c>
      <c r="CC1591" s="23"/>
      <c r="CD1591" s="19" t="s">
        <v>12095</v>
      </c>
      <c r="CE1591" s="23"/>
      <c r="CF1591" s="23"/>
      <c r="CG1591" s="23"/>
      <c r="CH1591" s="23"/>
      <c r="CI1591" s="23"/>
    </row>
    <row r="1592" spans="1:87" x14ac:dyDescent="0.3">
      <c r="A1592" s="9" t="s">
        <v>12096</v>
      </c>
      <c r="B1592" s="10" t="s">
        <v>12097</v>
      </c>
      <c r="C1592" s="11">
        <v>45987.125</v>
      </c>
      <c r="D1592" s="12">
        <v>8.3333333333333329E-2</v>
      </c>
      <c r="E1592" s="11">
        <v>45987.208333333336</v>
      </c>
      <c r="F1592" s="10" t="s">
        <v>3563</v>
      </c>
      <c r="G1592" s="13" t="b">
        <v>0</v>
      </c>
      <c r="H1592" s="10" t="s">
        <v>5239</v>
      </c>
      <c r="I1592" s="10" t="s">
        <v>89</v>
      </c>
      <c r="J1592" s="13" t="b">
        <v>0</v>
      </c>
      <c r="K1592" s="13" t="b">
        <v>1</v>
      </c>
      <c r="L1592" s="10" t="s">
        <v>124</v>
      </c>
      <c r="M1592" s="10" t="s">
        <v>91</v>
      </c>
      <c r="N1592" s="10" t="s">
        <v>92</v>
      </c>
      <c r="O1592" s="19" t="s">
        <v>12098</v>
      </c>
      <c r="P1592" s="10"/>
      <c r="Q1592" s="10" t="s">
        <v>94</v>
      </c>
      <c r="R1592" s="10"/>
      <c r="S1592" s="19" t="s">
        <v>12099</v>
      </c>
      <c r="T1592" s="19" t="s">
        <v>12054</v>
      </c>
      <c r="U1592" s="10" t="s">
        <v>11454</v>
      </c>
      <c r="V1592" s="10" t="s">
        <v>5076</v>
      </c>
      <c r="W1592" s="10" t="s">
        <v>3569</v>
      </c>
      <c r="X1592" s="10" t="s">
        <v>130</v>
      </c>
      <c r="Y1592" s="10" t="s">
        <v>130</v>
      </c>
      <c r="Z1592" s="10" t="s">
        <v>99</v>
      </c>
      <c r="AA1592" s="10" t="s">
        <v>131</v>
      </c>
      <c r="AB1592" s="10" t="s">
        <v>3570</v>
      </c>
      <c r="AC1592" s="10" t="s">
        <v>3571</v>
      </c>
      <c r="AD1592" s="10" t="s">
        <v>12100</v>
      </c>
      <c r="AE1592" s="10" t="s">
        <v>12101</v>
      </c>
      <c r="AF1592" s="15"/>
      <c r="AG1592" s="10"/>
      <c r="AH1592" s="10"/>
      <c r="AI1592" s="10"/>
      <c r="AJ1592" s="10"/>
      <c r="AK1592" s="10" t="s">
        <v>102</v>
      </c>
      <c r="AL1592" s="10" t="s">
        <v>7897</v>
      </c>
      <c r="AM1592" s="10"/>
      <c r="AN1592" s="10"/>
      <c r="AO1592" s="13" t="b">
        <v>0</v>
      </c>
      <c r="AP1592" s="10" t="s">
        <v>104</v>
      </c>
      <c r="AQ1592" s="10">
        <f ca="1">IFERROR(__xludf.DUMMYFUNCTION("""COMPUTED_VALUE"""),4733536)</f>
        <v>4733536</v>
      </c>
      <c r="AR1592" s="17">
        <v>5922</v>
      </c>
      <c r="AS1592" s="17">
        <v>4298</v>
      </c>
      <c r="AT1592" s="17">
        <v>8252.25</v>
      </c>
      <c r="AU1592" s="17">
        <v>0.75</v>
      </c>
      <c r="AV1592" s="17">
        <v>0.6</v>
      </c>
      <c r="AW1592" s="10" t="s">
        <v>105</v>
      </c>
      <c r="AX1592" s="17">
        <v>909</v>
      </c>
      <c r="AY1592" s="18">
        <v>1.92002093997208</v>
      </c>
      <c r="AZ1592" s="10" t="s">
        <v>168</v>
      </c>
      <c r="BA1592" s="20" t="b">
        <v>0</v>
      </c>
      <c r="BB1592" s="10"/>
      <c r="BC1592" s="17">
        <v>5922</v>
      </c>
      <c r="BD1592" s="17">
        <v>4298</v>
      </c>
      <c r="BE1592" s="17">
        <v>8252.25</v>
      </c>
      <c r="BF1592" s="17">
        <v>0.6</v>
      </c>
      <c r="BG1592" s="11">
        <f ca="1">IFERROR(__xludf.DUMMYFUNCTION("""COMPUTED_VALUE"""),45987.125)</f>
        <v>45987.125</v>
      </c>
      <c r="BH1592" s="17" t="s">
        <v>105</v>
      </c>
      <c r="BI1592" s="17"/>
      <c r="BJ1592" s="15"/>
      <c r="BK1592" s="15"/>
      <c r="BL1592" s="13" t="b">
        <v>0</v>
      </c>
      <c r="BM1592" s="10"/>
      <c r="BN1592" s="10" t="s">
        <v>1057</v>
      </c>
      <c r="BO1592" s="11">
        <v>45904.299305555556</v>
      </c>
      <c r="BP1592" s="11">
        <v>45978.611550925925</v>
      </c>
      <c r="BQ1592" s="15">
        <v>45982.831203703703</v>
      </c>
      <c r="BR1592" s="15">
        <v>45985.422476851854</v>
      </c>
      <c r="BS1592" s="10"/>
      <c r="BT1592" s="10" t="s">
        <v>279</v>
      </c>
      <c r="BU1592" s="10" t="s">
        <v>655</v>
      </c>
      <c r="BV1592" s="10"/>
      <c r="BW1592" s="10"/>
      <c r="BX1592" s="10"/>
      <c r="BY1592" s="23"/>
      <c r="BZ1592" s="23"/>
      <c r="CA1592" s="19" t="s">
        <v>12102</v>
      </c>
      <c r="CB1592" s="19" t="s">
        <v>12103</v>
      </c>
      <c r="CC1592" s="23"/>
      <c r="CD1592" s="23"/>
      <c r="CE1592" s="23"/>
      <c r="CF1592" s="23"/>
      <c r="CG1592" s="23"/>
      <c r="CH1592" s="23"/>
      <c r="CI1592" s="23"/>
    </row>
    <row r="1593" spans="1:87" x14ac:dyDescent="0.3">
      <c r="A1593" s="9" t="s">
        <v>12104</v>
      </c>
      <c r="B1593" s="10" t="s">
        <v>12105</v>
      </c>
      <c r="C1593" s="11">
        <v>45988.03125</v>
      </c>
      <c r="D1593" s="12">
        <v>8.3333333333333329E-2</v>
      </c>
      <c r="E1593" s="11">
        <v>45988.114583333336</v>
      </c>
      <c r="F1593" s="10" t="s">
        <v>3563</v>
      </c>
      <c r="G1593" s="13" t="b">
        <v>0</v>
      </c>
      <c r="H1593" s="10" t="s">
        <v>11460</v>
      </c>
      <c r="I1593" s="10" t="s">
        <v>89</v>
      </c>
      <c r="J1593" s="13" t="b">
        <v>0</v>
      </c>
      <c r="K1593" s="13" t="b">
        <v>1</v>
      </c>
      <c r="L1593" s="10" t="s">
        <v>124</v>
      </c>
      <c r="M1593" s="10" t="s">
        <v>91</v>
      </c>
      <c r="N1593" s="10" t="s">
        <v>92</v>
      </c>
      <c r="O1593" s="19" t="s">
        <v>12106</v>
      </c>
      <c r="P1593" s="10"/>
      <c r="Q1593" s="10" t="s">
        <v>126</v>
      </c>
      <c r="R1593" s="10"/>
      <c r="S1593" s="19" t="s">
        <v>12107</v>
      </c>
      <c r="T1593" s="19" t="s">
        <v>12054</v>
      </c>
      <c r="U1593" s="10" t="s">
        <v>3590</v>
      </c>
      <c r="V1593" s="10" t="s">
        <v>11509</v>
      </c>
      <c r="W1593" s="10" t="s">
        <v>3569</v>
      </c>
      <c r="X1593" s="10" t="s">
        <v>130</v>
      </c>
      <c r="Y1593" s="10" t="s">
        <v>130</v>
      </c>
      <c r="Z1593" s="10" t="s">
        <v>99</v>
      </c>
      <c r="AA1593" s="10" t="s">
        <v>131</v>
      </c>
      <c r="AB1593" s="10" t="s">
        <v>3570</v>
      </c>
      <c r="AC1593" s="10" t="s">
        <v>3571</v>
      </c>
      <c r="AD1593" s="10" t="s">
        <v>12108</v>
      </c>
      <c r="AE1593" s="10" t="s">
        <v>12109</v>
      </c>
      <c r="AF1593" s="15"/>
      <c r="AG1593" s="10"/>
      <c r="AH1593" s="10"/>
      <c r="AI1593" s="10"/>
      <c r="AJ1593" s="10"/>
      <c r="AK1593" s="10" t="s">
        <v>102</v>
      </c>
      <c r="AL1593" s="10" t="s">
        <v>7897</v>
      </c>
      <c r="AM1593" s="10"/>
      <c r="AN1593" s="10"/>
      <c r="AO1593" s="13" t="b">
        <v>0</v>
      </c>
      <c r="AP1593" s="10" t="s">
        <v>104</v>
      </c>
      <c r="AQ1593" s="10">
        <f ca="1">IFERROR(__xludf.DUMMYFUNCTION("""COMPUTED_VALUE"""),4733521)</f>
        <v>4733521</v>
      </c>
      <c r="AR1593" s="17">
        <v>37014</v>
      </c>
      <c r="AS1593" s="17">
        <v>27803</v>
      </c>
      <c r="AT1593" s="17">
        <v>1007045.75</v>
      </c>
      <c r="AU1593" s="17">
        <v>198</v>
      </c>
      <c r="AV1593" s="17">
        <v>46.55</v>
      </c>
      <c r="AW1593" s="10" t="s">
        <v>105</v>
      </c>
      <c r="AX1593" s="17">
        <v>8804</v>
      </c>
      <c r="AY1593" s="18">
        <v>36.220758551235477</v>
      </c>
      <c r="AZ1593" s="10" t="s">
        <v>168</v>
      </c>
      <c r="BA1593" s="20" t="b">
        <v>0</v>
      </c>
      <c r="BB1593" s="10"/>
      <c r="BC1593" s="17">
        <v>37014</v>
      </c>
      <c r="BD1593" s="17">
        <v>27803</v>
      </c>
      <c r="BE1593" s="17">
        <v>1007045.75</v>
      </c>
      <c r="BF1593" s="17">
        <v>46.55</v>
      </c>
      <c r="BG1593" s="11">
        <f ca="1">IFERROR(__xludf.DUMMYFUNCTION("""COMPUTED_VALUE"""),45988.03125)</f>
        <v>45988.03125</v>
      </c>
      <c r="BH1593" s="17" t="s">
        <v>105</v>
      </c>
      <c r="BI1593" s="17"/>
      <c r="BJ1593" s="15"/>
      <c r="BK1593" s="15"/>
      <c r="BL1593" s="13" t="b">
        <v>0</v>
      </c>
      <c r="BM1593" s="10"/>
      <c r="BN1593" s="10" t="s">
        <v>197</v>
      </c>
      <c r="BO1593" s="11">
        <v>45904.299305555556</v>
      </c>
      <c r="BP1593" s="11">
        <v>45979.732025462959</v>
      </c>
      <c r="BQ1593" s="15">
        <v>45982.831712962965</v>
      </c>
      <c r="BR1593" s="15">
        <v>45985.421793981484</v>
      </c>
      <c r="BS1593" s="10" t="s">
        <v>197</v>
      </c>
      <c r="BT1593" s="10" t="s">
        <v>279</v>
      </c>
      <c r="BU1593" s="10" t="s">
        <v>498</v>
      </c>
      <c r="BV1593" s="10"/>
      <c r="BW1593" s="10"/>
      <c r="BX1593" s="10"/>
      <c r="BY1593" s="23"/>
      <c r="BZ1593" s="23"/>
      <c r="CA1593" s="19" t="s">
        <v>12110</v>
      </c>
      <c r="CB1593" s="19" t="s">
        <v>12111</v>
      </c>
      <c r="CC1593" s="23"/>
      <c r="CD1593" s="19" t="s">
        <v>12112</v>
      </c>
      <c r="CE1593" s="23"/>
      <c r="CF1593" s="23"/>
      <c r="CG1593" s="23"/>
      <c r="CH1593" s="23"/>
      <c r="CI1593" s="23"/>
    </row>
    <row r="1594" spans="1:87" x14ac:dyDescent="0.3">
      <c r="A1594" s="9" t="s">
        <v>12113</v>
      </c>
      <c r="B1594" s="10" t="s">
        <v>12114</v>
      </c>
      <c r="C1594" s="11">
        <v>45988.03125</v>
      </c>
      <c r="D1594" s="12">
        <v>8.3333333333333329E-2</v>
      </c>
      <c r="E1594" s="11">
        <v>45988.114583333336</v>
      </c>
      <c r="F1594" s="10" t="s">
        <v>3563</v>
      </c>
      <c r="G1594" s="13" t="b">
        <v>0</v>
      </c>
      <c r="H1594" s="10" t="s">
        <v>3564</v>
      </c>
      <c r="I1594" s="10" t="s">
        <v>89</v>
      </c>
      <c r="J1594" s="13" t="b">
        <v>0</v>
      </c>
      <c r="K1594" s="13" t="b">
        <v>1</v>
      </c>
      <c r="L1594" s="10" t="s">
        <v>124</v>
      </c>
      <c r="M1594" s="10" t="s">
        <v>91</v>
      </c>
      <c r="N1594" s="10" t="s">
        <v>92</v>
      </c>
      <c r="O1594" s="19" t="s">
        <v>12115</v>
      </c>
      <c r="P1594" s="10"/>
      <c r="Q1594" s="10" t="s">
        <v>94</v>
      </c>
      <c r="R1594" s="10"/>
      <c r="S1594" s="19" t="s">
        <v>12116</v>
      </c>
      <c r="T1594" s="19" t="s">
        <v>12054</v>
      </c>
      <c r="U1594" s="10" t="s">
        <v>11499</v>
      </c>
      <c r="V1594" s="10" t="s">
        <v>7811</v>
      </c>
      <c r="W1594" s="10" t="s">
        <v>3569</v>
      </c>
      <c r="X1594" s="10" t="s">
        <v>130</v>
      </c>
      <c r="Y1594" s="10" t="s">
        <v>130</v>
      </c>
      <c r="Z1594" s="10" t="s">
        <v>99</v>
      </c>
      <c r="AA1594" s="10" t="s">
        <v>131</v>
      </c>
      <c r="AB1594" s="10" t="s">
        <v>3570</v>
      </c>
      <c r="AC1594" s="10" t="s">
        <v>3571</v>
      </c>
      <c r="AD1594" s="10" t="s">
        <v>12117</v>
      </c>
      <c r="AE1594" s="10" t="s">
        <v>12118</v>
      </c>
      <c r="AF1594" s="15"/>
      <c r="AG1594" s="10"/>
      <c r="AH1594" s="10"/>
      <c r="AI1594" s="10"/>
      <c r="AJ1594" s="10"/>
      <c r="AK1594" s="10" t="s">
        <v>102</v>
      </c>
      <c r="AL1594" s="10" t="s">
        <v>7897</v>
      </c>
      <c r="AM1594" s="10"/>
      <c r="AN1594" s="10"/>
      <c r="AO1594" s="13" t="b">
        <v>0</v>
      </c>
      <c r="AP1594" s="10" t="s">
        <v>104</v>
      </c>
      <c r="AQ1594" s="10">
        <f ca="1">IFERROR(__xludf.DUMMYFUNCTION("""COMPUTED_VALUE"""),4733515)</f>
        <v>4733515</v>
      </c>
      <c r="AR1594" s="17">
        <v>13208</v>
      </c>
      <c r="AS1594" s="17">
        <v>8852</v>
      </c>
      <c r="AT1594" s="17">
        <v>182502.25</v>
      </c>
      <c r="AU1594" s="17">
        <v>61.75</v>
      </c>
      <c r="AV1594" s="17">
        <v>12.5</v>
      </c>
      <c r="AW1594" s="10" t="s">
        <v>105</v>
      </c>
      <c r="AX1594" s="17">
        <v>2511</v>
      </c>
      <c r="AY1594" s="18">
        <v>20.617063940352462</v>
      </c>
      <c r="AZ1594" s="10" t="s">
        <v>168</v>
      </c>
      <c r="BA1594" s="20" t="b">
        <v>0</v>
      </c>
      <c r="BB1594" s="10"/>
      <c r="BC1594" s="17">
        <v>13208</v>
      </c>
      <c r="BD1594" s="17">
        <v>8852</v>
      </c>
      <c r="BE1594" s="17">
        <v>182502.25</v>
      </c>
      <c r="BF1594" s="17">
        <v>12.5</v>
      </c>
      <c r="BG1594" s="11">
        <f ca="1">IFERROR(__xludf.DUMMYFUNCTION("""COMPUTED_VALUE"""),45988.03125)</f>
        <v>45988.03125</v>
      </c>
      <c r="BH1594" s="17" t="s">
        <v>105</v>
      </c>
      <c r="BI1594" s="17"/>
      <c r="BJ1594" s="15"/>
      <c r="BK1594" s="15"/>
      <c r="BL1594" s="13" t="b">
        <v>0</v>
      </c>
      <c r="BM1594" s="10"/>
      <c r="BN1594" s="10" t="s">
        <v>197</v>
      </c>
      <c r="BO1594" s="11">
        <v>45904.299305555556</v>
      </c>
      <c r="BP1594" s="11">
        <v>45978.611655092594</v>
      </c>
      <c r="BQ1594" s="15">
        <v>45982.83153935185</v>
      </c>
      <c r="BR1594" s="15">
        <v>45985.423888888887</v>
      </c>
      <c r="BS1594" s="10" t="s">
        <v>197</v>
      </c>
      <c r="BT1594" s="10" t="s">
        <v>279</v>
      </c>
      <c r="BU1594" s="10" t="s">
        <v>456</v>
      </c>
      <c r="BV1594" s="10"/>
      <c r="BW1594" s="10"/>
      <c r="BX1594" s="10"/>
      <c r="BY1594" s="23"/>
      <c r="BZ1594" s="23"/>
      <c r="CA1594" s="19" t="s">
        <v>12119</v>
      </c>
      <c r="CB1594" s="19" t="s">
        <v>12120</v>
      </c>
      <c r="CC1594" s="23"/>
      <c r="CD1594" s="23"/>
      <c r="CE1594" s="23"/>
      <c r="CF1594" s="23"/>
      <c r="CG1594" s="23"/>
      <c r="CH1594" s="23"/>
      <c r="CI1594" s="23"/>
    </row>
    <row r="1595" spans="1:87" x14ac:dyDescent="0.3">
      <c r="A1595" s="9" t="s">
        <v>12121</v>
      </c>
      <c r="B1595" s="10" t="s">
        <v>12122</v>
      </c>
      <c r="C1595" s="11">
        <v>45988.125</v>
      </c>
      <c r="D1595" s="12">
        <v>8.3333333333333329E-2</v>
      </c>
      <c r="E1595" s="11">
        <v>45988.208333333336</v>
      </c>
      <c r="F1595" s="10" t="s">
        <v>3563</v>
      </c>
      <c r="G1595" s="13" t="b">
        <v>0</v>
      </c>
      <c r="H1595" s="10" t="s">
        <v>5239</v>
      </c>
      <c r="I1595" s="10" t="s">
        <v>89</v>
      </c>
      <c r="J1595" s="13" t="b">
        <v>0</v>
      </c>
      <c r="K1595" s="13" t="b">
        <v>1</v>
      </c>
      <c r="L1595" s="10" t="s">
        <v>124</v>
      </c>
      <c r="M1595" s="10" t="s">
        <v>91</v>
      </c>
      <c r="N1595" s="10" t="s">
        <v>92</v>
      </c>
      <c r="O1595" s="19" t="s">
        <v>12123</v>
      </c>
      <c r="P1595" s="10"/>
      <c r="Q1595" s="10" t="s">
        <v>126</v>
      </c>
      <c r="R1595" s="10"/>
      <c r="S1595" s="19" t="s">
        <v>12124</v>
      </c>
      <c r="T1595" s="19" t="s">
        <v>12054</v>
      </c>
      <c r="U1595" s="10" t="s">
        <v>11446</v>
      </c>
      <c r="V1595" s="10" t="s">
        <v>5113</v>
      </c>
      <c r="W1595" s="10" t="s">
        <v>3569</v>
      </c>
      <c r="X1595" s="10" t="s">
        <v>130</v>
      </c>
      <c r="Y1595" s="10" t="s">
        <v>130</v>
      </c>
      <c r="Z1595" s="10" t="s">
        <v>99</v>
      </c>
      <c r="AA1595" s="10" t="s">
        <v>131</v>
      </c>
      <c r="AB1595" s="10" t="s">
        <v>3570</v>
      </c>
      <c r="AC1595" s="10" t="s">
        <v>3571</v>
      </c>
      <c r="AD1595" s="10" t="s">
        <v>12125</v>
      </c>
      <c r="AE1595" s="10" t="s">
        <v>12126</v>
      </c>
      <c r="AF1595" s="15"/>
      <c r="AG1595" s="10"/>
      <c r="AH1595" s="10"/>
      <c r="AI1595" s="10"/>
      <c r="AJ1595" s="10"/>
      <c r="AK1595" s="10" t="s">
        <v>102</v>
      </c>
      <c r="AL1595" s="10" t="s">
        <v>7897</v>
      </c>
      <c r="AM1595" s="10"/>
      <c r="AN1595" s="10"/>
      <c r="AO1595" s="13" t="b">
        <v>1</v>
      </c>
      <c r="AP1595" s="10" t="s">
        <v>104</v>
      </c>
      <c r="AQ1595" s="10">
        <f ca="1">IFERROR(__xludf.DUMMYFUNCTION("""COMPUTED_VALUE"""),4733550)</f>
        <v>4733550</v>
      </c>
      <c r="AR1595" s="17">
        <v>131118</v>
      </c>
      <c r="AS1595" s="17">
        <v>71470</v>
      </c>
      <c r="AT1595" s="17">
        <v>2445747.5</v>
      </c>
      <c r="AU1595" s="17">
        <v>1328.2</v>
      </c>
      <c r="AV1595" s="17">
        <v>199.35</v>
      </c>
      <c r="AW1595" s="10" t="s">
        <v>105</v>
      </c>
      <c r="AX1595" s="17">
        <v>35325</v>
      </c>
      <c r="AY1595" s="18">
        <v>34.22061704211557</v>
      </c>
      <c r="AZ1595" s="10" t="s">
        <v>168</v>
      </c>
      <c r="BA1595" s="20" t="b">
        <v>0</v>
      </c>
      <c r="BB1595" s="10"/>
      <c r="BC1595" s="17">
        <v>131118</v>
      </c>
      <c r="BD1595" s="17">
        <v>71470</v>
      </c>
      <c r="BE1595" s="17">
        <v>2445747.5</v>
      </c>
      <c r="BF1595" s="17">
        <v>199.35</v>
      </c>
      <c r="BG1595" s="11">
        <f ca="1">IFERROR(__xludf.DUMMYFUNCTION("""COMPUTED_VALUE"""),45988.125)</f>
        <v>45988.125</v>
      </c>
      <c r="BH1595" s="17" t="s">
        <v>105</v>
      </c>
      <c r="BI1595" s="17"/>
      <c r="BJ1595" s="15"/>
      <c r="BK1595" s="15"/>
      <c r="BL1595" s="13" t="b">
        <v>0</v>
      </c>
      <c r="BM1595" s="10"/>
      <c r="BN1595" s="10" t="s">
        <v>197</v>
      </c>
      <c r="BO1595" s="11">
        <v>45904.299305555556</v>
      </c>
      <c r="BP1595" s="11">
        <v>45978.611712962964</v>
      </c>
      <c r="BQ1595" s="15">
        <v>45982.832569444443</v>
      </c>
      <c r="BR1595" s="15">
        <v>45985.445405092592</v>
      </c>
      <c r="BS1595" s="10" t="s">
        <v>197</v>
      </c>
      <c r="BT1595" s="10" t="s">
        <v>279</v>
      </c>
      <c r="BU1595" s="10" t="s">
        <v>816</v>
      </c>
      <c r="BV1595" s="10"/>
      <c r="BW1595" s="10"/>
      <c r="BX1595" s="10"/>
      <c r="BY1595" s="23"/>
      <c r="BZ1595" s="23"/>
      <c r="CA1595" s="19" t="s">
        <v>12127</v>
      </c>
      <c r="CB1595" s="19" t="s">
        <v>12128</v>
      </c>
      <c r="CC1595" s="23"/>
      <c r="CD1595" s="19" t="s">
        <v>12129</v>
      </c>
      <c r="CE1595" s="23"/>
      <c r="CF1595" s="23"/>
      <c r="CG1595" s="23"/>
      <c r="CH1595" s="23"/>
      <c r="CI1595" s="23"/>
    </row>
    <row r="1596" spans="1:87" x14ac:dyDescent="0.3">
      <c r="A1596" s="9" t="s">
        <v>12130</v>
      </c>
      <c r="B1596" s="10" t="s">
        <v>12131</v>
      </c>
      <c r="C1596" s="11">
        <v>45988.125</v>
      </c>
      <c r="D1596" s="12">
        <v>8.3333333333333329E-2</v>
      </c>
      <c r="E1596" s="11">
        <v>45988.208333333336</v>
      </c>
      <c r="F1596" s="10" t="s">
        <v>3563</v>
      </c>
      <c r="G1596" s="13" t="b">
        <v>0</v>
      </c>
      <c r="H1596" s="10" t="s">
        <v>5239</v>
      </c>
      <c r="I1596" s="10" t="s">
        <v>89</v>
      </c>
      <c r="J1596" s="13" t="b">
        <v>0</v>
      </c>
      <c r="K1596" s="13" t="b">
        <v>1</v>
      </c>
      <c r="L1596" s="10" t="s">
        <v>124</v>
      </c>
      <c r="M1596" s="10" t="s">
        <v>91</v>
      </c>
      <c r="N1596" s="10" t="s">
        <v>92</v>
      </c>
      <c r="O1596" s="19" t="s">
        <v>12132</v>
      </c>
      <c r="P1596" s="10"/>
      <c r="Q1596" s="10" t="s">
        <v>94</v>
      </c>
      <c r="R1596" s="10"/>
      <c r="S1596" s="19" t="s">
        <v>12133</v>
      </c>
      <c r="T1596" s="10"/>
      <c r="U1596" s="10" t="s">
        <v>7859</v>
      </c>
      <c r="V1596" s="10" t="s">
        <v>3568</v>
      </c>
      <c r="W1596" s="10" t="s">
        <v>3569</v>
      </c>
      <c r="X1596" s="10" t="s">
        <v>130</v>
      </c>
      <c r="Y1596" s="10" t="s">
        <v>130</v>
      </c>
      <c r="Z1596" s="10" t="s">
        <v>99</v>
      </c>
      <c r="AA1596" s="10" t="s">
        <v>131</v>
      </c>
      <c r="AB1596" s="10" t="s">
        <v>3570</v>
      </c>
      <c r="AC1596" s="10" t="s">
        <v>3571</v>
      </c>
      <c r="AD1596" s="10" t="s">
        <v>12134</v>
      </c>
      <c r="AE1596" s="10" t="s">
        <v>12135</v>
      </c>
      <c r="AF1596" s="15"/>
      <c r="AG1596" s="10"/>
      <c r="AH1596" s="10"/>
      <c r="AI1596" s="10"/>
      <c r="AJ1596" s="10"/>
      <c r="AK1596" s="10" t="s">
        <v>102</v>
      </c>
      <c r="AL1596" s="10" t="s">
        <v>7897</v>
      </c>
      <c r="AM1596" s="10"/>
      <c r="AN1596" s="10"/>
      <c r="AO1596" s="13" t="b">
        <v>0</v>
      </c>
      <c r="AP1596" s="10" t="s">
        <v>104</v>
      </c>
      <c r="AQ1596" s="10">
        <f ca="1">IFERROR(__xludf.DUMMYFUNCTION("""COMPUTED_VALUE"""),4733551)</f>
        <v>4733551</v>
      </c>
      <c r="AR1596" s="17">
        <v>5949</v>
      </c>
      <c r="AS1596" s="17">
        <v>3994</v>
      </c>
      <c r="AT1596" s="17">
        <v>8573</v>
      </c>
      <c r="AU1596" s="17">
        <v>1.1000000000000001</v>
      </c>
      <c r="AV1596" s="17">
        <v>0.1</v>
      </c>
      <c r="AW1596" s="10" t="s">
        <v>105</v>
      </c>
      <c r="AX1596" s="17">
        <v>718</v>
      </c>
      <c r="AY1596" s="18">
        <v>2.1464697045568353</v>
      </c>
      <c r="AZ1596" s="10" t="s">
        <v>168</v>
      </c>
      <c r="BA1596" s="20" t="b">
        <v>0</v>
      </c>
      <c r="BB1596" s="10"/>
      <c r="BC1596" s="17">
        <v>5949</v>
      </c>
      <c r="BD1596" s="17">
        <v>3994</v>
      </c>
      <c r="BE1596" s="17">
        <v>8573</v>
      </c>
      <c r="BF1596" s="17">
        <v>0.1</v>
      </c>
      <c r="BG1596" s="11">
        <f ca="1">IFERROR(__xludf.DUMMYFUNCTION("""COMPUTED_VALUE"""),45988.125)</f>
        <v>45988.125</v>
      </c>
      <c r="BH1596" s="17" t="s">
        <v>105</v>
      </c>
      <c r="BI1596" s="17"/>
      <c r="BJ1596" s="15"/>
      <c r="BK1596" s="15"/>
      <c r="BL1596" s="13" t="b">
        <v>0</v>
      </c>
      <c r="BM1596" s="10"/>
      <c r="BN1596" s="10" t="s">
        <v>197</v>
      </c>
      <c r="BO1596" s="11">
        <v>45904.299305555556</v>
      </c>
      <c r="BP1596" s="11">
        <v>45978.611759259256</v>
      </c>
      <c r="BQ1596" s="15">
        <v>45982.83284722222</v>
      </c>
      <c r="BR1596" s="15">
        <v>45985.448541666665</v>
      </c>
      <c r="BS1596" s="10" t="s">
        <v>197</v>
      </c>
      <c r="BT1596" s="10" t="s">
        <v>279</v>
      </c>
      <c r="BU1596" s="10" t="s">
        <v>655</v>
      </c>
      <c r="BV1596" s="10"/>
      <c r="BW1596" s="10"/>
      <c r="BX1596" s="10"/>
      <c r="BY1596" s="23"/>
      <c r="BZ1596" s="23"/>
      <c r="CA1596" s="19" t="s">
        <v>12136</v>
      </c>
      <c r="CB1596" s="23"/>
      <c r="CC1596" s="23"/>
      <c r="CD1596" s="23"/>
      <c r="CE1596" s="23"/>
      <c r="CF1596" s="23"/>
      <c r="CG1596" s="23"/>
      <c r="CH1596" s="23"/>
      <c r="CI1596" s="23"/>
    </row>
    <row r="1597" spans="1:87" x14ac:dyDescent="0.3">
      <c r="A1597" s="9" t="s">
        <v>12137</v>
      </c>
      <c r="B1597" s="10" t="s">
        <v>12138</v>
      </c>
      <c r="C1597" s="11">
        <v>45988.125</v>
      </c>
      <c r="D1597" s="12">
        <v>8.3333333333333329E-2</v>
      </c>
      <c r="E1597" s="11">
        <v>45988.208333333336</v>
      </c>
      <c r="F1597" s="10" t="s">
        <v>3563</v>
      </c>
      <c r="G1597" s="13" t="b">
        <v>0</v>
      </c>
      <c r="H1597" s="10" t="s">
        <v>5239</v>
      </c>
      <c r="I1597" s="10" t="s">
        <v>89</v>
      </c>
      <c r="J1597" s="13" t="b">
        <v>0</v>
      </c>
      <c r="K1597" s="13" t="b">
        <v>1</v>
      </c>
      <c r="L1597" s="10" t="s">
        <v>124</v>
      </c>
      <c r="M1597" s="10" t="s">
        <v>91</v>
      </c>
      <c r="N1597" s="10" t="s">
        <v>92</v>
      </c>
      <c r="O1597" s="19" t="s">
        <v>12139</v>
      </c>
      <c r="P1597" s="10"/>
      <c r="Q1597" s="10" t="s">
        <v>94</v>
      </c>
      <c r="R1597" s="10"/>
      <c r="S1597" s="19" t="s">
        <v>12140</v>
      </c>
      <c r="T1597" s="19" t="s">
        <v>12054</v>
      </c>
      <c r="U1597" s="10" t="s">
        <v>11517</v>
      </c>
      <c r="V1597" s="10" t="s">
        <v>3308</v>
      </c>
      <c r="W1597" s="10" t="s">
        <v>3569</v>
      </c>
      <c r="X1597" s="10" t="s">
        <v>130</v>
      </c>
      <c r="Y1597" s="10" t="s">
        <v>130</v>
      </c>
      <c r="Z1597" s="10" t="s">
        <v>99</v>
      </c>
      <c r="AA1597" s="10" t="s">
        <v>131</v>
      </c>
      <c r="AB1597" s="10" t="s">
        <v>3570</v>
      </c>
      <c r="AC1597" s="10" t="s">
        <v>3571</v>
      </c>
      <c r="AD1597" s="10" t="s">
        <v>12141</v>
      </c>
      <c r="AE1597" s="10" t="s">
        <v>12142</v>
      </c>
      <c r="AF1597" s="15"/>
      <c r="AG1597" s="10"/>
      <c r="AH1597" s="10"/>
      <c r="AI1597" s="10"/>
      <c r="AJ1597" s="10"/>
      <c r="AK1597" s="10" t="s">
        <v>102</v>
      </c>
      <c r="AL1597" s="10" t="s">
        <v>7897</v>
      </c>
      <c r="AM1597" s="10"/>
      <c r="AN1597" s="10"/>
      <c r="AO1597" s="13" t="b">
        <v>0</v>
      </c>
      <c r="AP1597" s="10" t="s">
        <v>104</v>
      </c>
      <c r="AQ1597" s="10">
        <f ca="1">IFERROR(__xludf.DUMMYFUNCTION("""COMPUTED_VALUE"""),4733549)</f>
        <v>4733549</v>
      </c>
      <c r="AR1597" s="17">
        <v>8628</v>
      </c>
      <c r="AS1597" s="17">
        <v>5660</v>
      </c>
      <c r="AT1597" s="17">
        <v>17900.25</v>
      </c>
      <c r="AU1597" s="17">
        <v>3.2</v>
      </c>
      <c r="AV1597" s="17">
        <v>0.8</v>
      </c>
      <c r="AW1597" s="10" t="s">
        <v>105</v>
      </c>
      <c r="AX1597" s="17">
        <v>933</v>
      </c>
      <c r="AY1597" s="18">
        <v>3.1625883392226148</v>
      </c>
      <c r="AZ1597" s="10" t="s">
        <v>168</v>
      </c>
      <c r="BA1597" s="20" t="b">
        <v>0</v>
      </c>
      <c r="BB1597" s="10"/>
      <c r="BC1597" s="17">
        <v>8628</v>
      </c>
      <c r="BD1597" s="17">
        <v>5660</v>
      </c>
      <c r="BE1597" s="17">
        <v>17900.25</v>
      </c>
      <c r="BF1597" s="17">
        <v>0.8</v>
      </c>
      <c r="BG1597" s="11">
        <f ca="1">IFERROR(__xludf.DUMMYFUNCTION("""COMPUTED_VALUE"""),45988.125)</f>
        <v>45988.125</v>
      </c>
      <c r="BH1597" s="17" t="s">
        <v>105</v>
      </c>
      <c r="BI1597" s="17"/>
      <c r="BJ1597" s="15"/>
      <c r="BK1597" s="15"/>
      <c r="BL1597" s="13" t="b">
        <v>0</v>
      </c>
      <c r="BM1597" s="10"/>
      <c r="BN1597" s="10" t="s">
        <v>197</v>
      </c>
      <c r="BO1597" s="11">
        <v>45904.299305555556</v>
      </c>
      <c r="BP1597" s="11">
        <v>45978.611805555556</v>
      </c>
      <c r="BQ1597" s="15">
        <v>45982.832245370373</v>
      </c>
      <c r="BR1597" s="15">
        <v>45985.445717592593</v>
      </c>
      <c r="BS1597" s="10" t="s">
        <v>197</v>
      </c>
      <c r="BT1597" s="10" t="s">
        <v>279</v>
      </c>
      <c r="BU1597" s="10" t="s">
        <v>521</v>
      </c>
      <c r="BV1597" s="10"/>
      <c r="BW1597" s="10"/>
      <c r="BX1597" s="10"/>
      <c r="BY1597" s="23"/>
      <c r="BZ1597" s="23"/>
      <c r="CA1597" s="19" t="s">
        <v>12143</v>
      </c>
      <c r="CB1597" s="19" t="s">
        <v>12144</v>
      </c>
      <c r="CC1597" s="23"/>
      <c r="CD1597" s="23"/>
      <c r="CE1597" s="23"/>
      <c r="CF1597" s="23"/>
      <c r="CG1597" s="23"/>
      <c r="CH1597" s="23"/>
      <c r="CI1597" s="23"/>
    </row>
    <row r="1598" spans="1:87" x14ac:dyDescent="0.3">
      <c r="A1598" s="25" t="s">
        <v>12145</v>
      </c>
      <c r="B1598" s="10" t="s">
        <v>12146</v>
      </c>
      <c r="C1598" s="11">
        <v>45988.125</v>
      </c>
      <c r="D1598" s="12">
        <v>8.3333333333333329E-2</v>
      </c>
      <c r="E1598" s="11">
        <v>45988.208333333336</v>
      </c>
      <c r="F1598" s="10" t="s">
        <v>3563</v>
      </c>
      <c r="G1598" s="13" t="b">
        <v>0</v>
      </c>
      <c r="H1598" s="10" t="s">
        <v>11460</v>
      </c>
      <c r="I1598" s="10" t="s">
        <v>89</v>
      </c>
      <c r="J1598" s="13" t="b">
        <v>0</v>
      </c>
      <c r="K1598" s="13" t="b">
        <v>1</v>
      </c>
      <c r="L1598" s="10" t="s">
        <v>124</v>
      </c>
      <c r="M1598" s="10" t="s">
        <v>91</v>
      </c>
      <c r="N1598" s="10" t="s">
        <v>92</v>
      </c>
      <c r="O1598" s="19" t="s">
        <v>12147</v>
      </c>
      <c r="P1598" s="10"/>
      <c r="Q1598" s="10" t="s">
        <v>126</v>
      </c>
      <c r="R1598" s="10"/>
      <c r="S1598" s="19" t="s">
        <v>12148</v>
      </c>
      <c r="T1598" s="19" t="s">
        <v>12054</v>
      </c>
      <c r="U1598" s="10" t="s">
        <v>270</v>
      </c>
      <c r="V1598" s="10" t="s">
        <v>3704</v>
      </c>
      <c r="W1598" s="10" t="s">
        <v>3569</v>
      </c>
      <c r="X1598" s="10" t="s">
        <v>130</v>
      </c>
      <c r="Y1598" s="10" t="s">
        <v>130</v>
      </c>
      <c r="Z1598" s="10" t="s">
        <v>99</v>
      </c>
      <c r="AA1598" s="10" t="s">
        <v>131</v>
      </c>
      <c r="AB1598" s="10" t="s">
        <v>3570</v>
      </c>
      <c r="AC1598" s="10" t="s">
        <v>3571</v>
      </c>
      <c r="AD1598" s="10" t="s">
        <v>12149</v>
      </c>
      <c r="AE1598" s="10" t="s">
        <v>12150</v>
      </c>
      <c r="AF1598" s="15"/>
      <c r="AG1598" s="10"/>
      <c r="AH1598" s="10"/>
      <c r="AI1598" s="10"/>
      <c r="AJ1598" s="10"/>
      <c r="AK1598" s="10" t="s">
        <v>102</v>
      </c>
      <c r="AL1598" s="10" t="s">
        <v>7897</v>
      </c>
      <c r="AM1598" s="10"/>
      <c r="AN1598" s="10"/>
      <c r="AO1598" s="13" t="b">
        <v>1</v>
      </c>
      <c r="AP1598" s="10" t="s">
        <v>104</v>
      </c>
      <c r="AQ1598" s="10">
        <f ca="1">IFERROR(__xludf.DUMMYFUNCTION("""COMPUTED_VALUE"""),4733522)</f>
        <v>4733522</v>
      </c>
      <c r="AR1598" s="17">
        <v>88152</v>
      </c>
      <c r="AS1598" s="17">
        <v>51102</v>
      </c>
      <c r="AT1598" s="17">
        <v>1013406.25</v>
      </c>
      <c r="AU1598" s="17">
        <v>278.85000000000002</v>
      </c>
      <c r="AV1598" s="17">
        <v>36.950000000000003</v>
      </c>
      <c r="AW1598" s="10" t="s">
        <v>105</v>
      </c>
      <c r="AX1598" s="17">
        <v>17544</v>
      </c>
      <c r="AY1598" s="18">
        <v>19.831048686939845</v>
      </c>
      <c r="AZ1598" s="10" t="s">
        <v>168</v>
      </c>
      <c r="BA1598" s="20" t="b">
        <v>0</v>
      </c>
      <c r="BB1598" s="10"/>
      <c r="BC1598" s="17">
        <v>88152</v>
      </c>
      <c r="BD1598" s="17">
        <v>51102</v>
      </c>
      <c r="BE1598" s="17">
        <v>1013406.25</v>
      </c>
      <c r="BF1598" s="17">
        <v>36.950000000000003</v>
      </c>
      <c r="BG1598" s="11">
        <f ca="1">IFERROR(__xludf.DUMMYFUNCTION("""COMPUTED_VALUE"""),45988.125)</f>
        <v>45988.125</v>
      </c>
      <c r="BH1598" s="17" t="s">
        <v>105</v>
      </c>
      <c r="BI1598" s="17"/>
      <c r="BJ1598" s="15"/>
      <c r="BK1598" s="15"/>
      <c r="BL1598" s="13" t="b">
        <v>0</v>
      </c>
      <c r="BM1598" s="10"/>
      <c r="BN1598" s="10" t="s">
        <v>197</v>
      </c>
      <c r="BO1598" s="11">
        <v>45904.299305555556</v>
      </c>
      <c r="BP1598" s="11">
        <v>45979.731782407405</v>
      </c>
      <c r="BQ1598" s="15">
        <v>45982.832384259258</v>
      </c>
      <c r="BR1598" s="15">
        <v>45985.440312500003</v>
      </c>
      <c r="BS1598" s="10" t="s">
        <v>197</v>
      </c>
      <c r="BT1598" s="10" t="s">
        <v>279</v>
      </c>
      <c r="BU1598" s="10" t="s">
        <v>498</v>
      </c>
      <c r="BV1598" s="10"/>
      <c r="BW1598" s="10"/>
      <c r="BX1598" s="10"/>
      <c r="BY1598" s="23"/>
      <c r="BZ1598" s="23"/>
      <c r="CA1598" s="19" t="s">
        <v>12151</v>
      </c>
      <c r="CB1598" s="19" t="s">
        <v>12152</v>
      </c>
      <c r="CC1598" s="23"/>
      <c r="CD1598" s="19" t="s">
        <v>12153</v>
      </c>
      <c r="CE1598" s="23"/>
      <c r="CF1598" s="23"/>
      <c r="CG1598" s="23"/>
      <c r="CH1598" s="23"/>
      <c r="CI1598" s="23"/>
    </row>
    <row r="1599" spans="1:87" x14ac:dyDescent="0.3">
      <c r="A1599" s="9" t="s">
        <v>12154</v>
      </c>
      <c r="B1599" s="10" t="s">
        <v>12155</v>
      </c>
      <c r="C1599" s="11">
        <v>45988.125</v>
      </c>
      <c r="D1599" s="12">
        <v>8.3333333333333329E-2</v>
      </c>
      <c r="E1599" s="11">
        <v>45988.208333333336</v>
      </c>
      <c r="F1599" s="10" t="s">
        <v>3563</v>
      </c>
      <c r="G1599" s="13" t="b">
        <v>0</v>
      </c>
      <c r="H1599" s="10" t="s">
        <v>5239</v>
      </c>
      <c r="I1599" s="10" t="s">
        <v>89</v>
      </c>
      <c r="J1599" s="13" t="b">
        <v>0</v>
      </c>
      <c r="K1599" s="13" t="b">
        <v>1</v>
      </c>
      <c r="L1599" s="10" t="s">
        <v>124</v>
      </c>
      <c r="M1599" s="10" t="s">
        <v>91</v>
      </c>
      <c r="N1599" s="10" t="s">
        <v>92</v>
      </c>
      <c r="O1599" s="19" t="s">
        <v>12156</v>
      </c>
      <c r="P1599" s="10"/>
      <c r="Q1599" s="10" t="s">
        <v>126</v>
      </c>
      <c r="R1599" s="10"/>
      <c r="S1599" s="19" t="s">
        <v>12157</v>
      </c>
      <c r="T1599" s="19" t="s">
        <v>12054</v>
      </c>
      <c r="U1599" s="10" t="s">
        <v>5090</v>
      </c>
      <c r="V1599" s="10" t="s">
        <v>3278</v>
      </c>
      <c r="W1599" s="10" t="s">
        <v>3569</v>
      </c>
      <c r="X1599" s="10" t="s">
        <v>130</v>
      </c>
      <c r="Y1599" s="10" t="s">
        <v>130</v>
      </c>
      <c r="Z1599" s="10" t="s">
        <v>99</v>
      </c>
      <c r="AA1599" s="10" t="s">
        <v>131</v>
      </c>
      <c r="AB1599" s="10" t="s">
        <v>3570</v>
      </c>
      <c r="AC1599" s="10" t="s">
        <v>3571</v>
      </c>
      <c r="AD1599" s="10" t="s">
        <v>12158</v>
      </c>
      <c r="AE1599" s="10" t="s">
        <v>12159</v>
      </c>
      <c r="AF1599" s="15"/>
      <c r="AG1599" s="10"/>
      <c r="AH1599" s="10"/>
      <c r="AI1599" s="10"/>
      <c r="AJ1599" s="10"/>
      <c r="AK1599" s="10" t="s">
        <v>102</v>
      </c>
      <c r="AL1599" s="10" t="s">
        <v>7897</v>
      </c>
      <c r="AM1599" s="10"/>
      <c r="AN1599" s="10"/>
      <c r="AO1599" s="13" t="b">
        <v>1</v>
      </c>
      <c r="AP1599" s="10" t="s">
        <v>104</v>
      </c>
      <c r="AQ1599" s="10">
        <f ca="1">IFERROR(__xludf.DUMMYFUNCTION("""COMPUTED_VALUE"""),4733548)</f>
        <v>4733548</v>
      </c>
      <c r="AR1599" s="17">
        <v>69623</v>
      </c>
      <c r="AS1599" s="17">
        <v>38287</v>
      </c>
      <c r="AT1599" s="17">
        <v>793538.25</v>
      </c>
      <c r="AU1599" s="17">
        <v>324.85000000000002</v>
      </c>
      <c r="AV1599" s="17">
        <v>38.6</v>
      </c>
      <c r="AW1599" s="10" t="s">
        <v>105</v>
      </c>
      <c r="AX1599" s="17">
        <v>16454</v>
      </c>
      <c r="AY1599" s="18">
        <v>20.726049311776844</v>
      </c>
      <c r="AZ1599" s="10" t="s">
        <v>168</v>
      </c>
      <c r="BA1599" s="20" t="b">
        <v>0</v>
      </c>
      <c r="BB1599" s="10"/>
      <c r="BC1599" s="17">
        <v>69623</v>
      </c>
      <c r="BD1599" s="17">
        <v>38287</v>
      </c>
      <c r="BE1599" s="17">
        <v>793538.25</v>
      </c>
      <c r="BF1599" s="17">
        <v>38.6</v>
      </c>
      <c r="BG1599" s="11">
        <f ca="1">IFERROR(__xludf.DUMMYFUNCTION("""COMPUTED_VALUE"""),45988.125)</f>
        <v>45988.125</v>
      </c>
      <c r="BH1599" s="17" t="s">
        <v>105</v>
      </c>
      <c r="BI1599" s="17"/>
      <c r="BJ1599" s="15"/>
      <c r="BK1599" s="15"/>
      <c r="BL1599" s="13" t="b">
        <v>0</v>
      </c>
      <c r="BM1599" s="10"/>
      <c r="BN1599" s="10" t="s">
        <v>197</v>
      </c>
      <c r="BO1599" s="11">
        <v>45904.299305555556</v>
      </c>
      <c r="BP1599" s="11">
        <v>45978.611932870372</v>
      </c>
      <c r="BQ1599" s="15">
        <v>45982.832118055558</v>
      </c>
      <c r="BR1599" s="15">
        <v>45985.445555555554</v>
      </c>
      <c r="BS1599" s="10" t="s">
        <v>197</v>
      </c>
      <c r="BT1599" s="10" t="s">
        <v>279</v>
      </c>
      <c r="BU1599" s="10" t="s">
        <v>534</v>
      </c>
      <c r="BV1599" s="10"/>
      <c r="BW1599" s="10"/>
      <c r="BX1599" s="10"/>
      <c r="BY1599" s="23"/>
      <c r="BZ1599" s="23"/>
      <c r="CA1599" s="19" t="s">
        <v>12160</v>
      </c>
      <c r="CB1599" s="19" t="s">
        <v>12161</v>
      </c>
      <c r="CC1599" s="23"/>
      <c r="CD1599" s="19" t="s">
        <v>12162</v>
      </c>
      <c r="CE1599" s="23"/>
      <c r="CF1599" s="23"/>
      <c r="CG1599" s="23"/>
      <c r="CH1599" s="23"/>
      <c r="CI1599" s="23"/>
    </row>
    <row r="1600" spans="1:87" x14ac:dyDescent="0.3">
      <c r="A1600" s="9" t="s">
        <v>12163</v>
      </c>
      <c r="B1600" s="10" t="s">
        <v>12164</v>
      </c>
      <c r="C1600" s="11">
        <v>45988.125</v>
      </c>
      <c r="D1600" s="12">
        <v>8.3333333333333329E-2</v>
      </c>
      <c r="E1600" s="11">
        <v>45988.208333333336</v>
      </c>
      <c r="F1600" s="10" t="s">
        <v>3563</v>
      </c>
      <c r="G1600" s="13" t="b">
        <v>0</v>
      </c>
      <c r="H1600" s="10" t="s">
        <v>3578</v>
      </c>
      <c r="I1600" s="10" t="s">
        <v>89</v>
      </c>
      <c r="J1600" s="13" t="b">
        <v>0</v>
      </c>
      <c r="K1600" s="13" t="b">
        <v>1</v>
      </c>
      <c r="L1600" s="10" t="s">
        <v>124</v>
      </c>
      <c r="M1600" s="10" t="s">
        <v>91</v>
      </c>
      <c r="N1600" s="10" t="s">
        <v>92</v>
      </c>
      <c r="O1600" s="19" t="s">
        <v>12165</v>
      </c>
      <c r="P1600" s="10"/>
      <c r="Q1600" s="10" t="s">
        <v>126</v>
      </c>
      <c r="R1600" s="10"/>
      <c r="S1600" s="19" t="s">
        <v>12166</v>
      </c>
      <c r="T1600" s="19" t="s">
        <v>12054</v>
      </c>
      <c r="U1600" s="10" t="s">
        <v>362</v>
      </c>
      <c r="V1600" s="10" t="s">
        <v>11463</v>
      </c>
      <c r="W1600" s="10" t="s">
        <v>3569</v>
      </c>
      <c r="X1600" s="10" t="s">
        <v>130</v>
      </c>
      <c r="Y1600" s="10" t="s">
        <v>130</v>
      </c>
      <c r="Z1600" s="10" t="s">
        <v>99</v>
      </c>
      <c r="AA1600" s="10" t="s">
        <v>131</v>
      </c>
      <c r="AB1600" s="10" t="s">
        <v>3570</v>
      </c>
      <c r="AC1600" s="10" t="s">
        <v>3571</v>
      </c>
      <c r="AD1600" s="10" t="s">
        <v>12167</v>
      </c>
      <c r="AE1600" s="10" t="s">
        <v>12168</v>
      </c>
      <c r="AF1600" s="15"/>
      <c r="AG1600" s="10"/>
      <c r="AH1600" s="10"/>
      <c r="AI1600" s="10"/>
      <c r="AJ1600" s="10"/>
      <c r="AK1600" s="10" t="s">
        <v>102</v>
      </c>
      <c r="AL1600" s="10" t="s">
        <v>7897</v>
      </c>
      <c r="AM1600" s="10"/>
      <c r="AN1600" s="10"/>
      <c r="AO1600" s="13" t="b">
        <v>1</v>
      </c>
      <c r="AP1600" s="10" t="s">
        <v>104</v>
      </c>
      <c r="AQ1600" s="10">
        <f ca="1">IFERROR(__xludf.DUMMYFUNCTION("""COMPUTED_VALUE"""),4733803)</f>
        <v>4733803</v>
      </c>
      <c r="AR1600" s="17">
        <v>178822</v>
      </c>
      <c r="AS1600" s="17">
        <v>97700</v>
      </c>
      <c r="AT1600" s="17">
        <v>4293358.5</v>
      </c>
      <c r="AU1600" s="17">
        <v>1668.95</v>
      </c>
      <c r="AV1600" s="17">
        <v>401</v>
      </c>
      <c r="AW1600" s="10" t="s">
        <v>105</v>
      </c>
      <c r="AX1600" s="17">
        <v>46173</v>
      </c>
      <c r="AY1600" s="18">
        <v>43.944303991811665</v>
      </c>
      <c r="AZ1600" s="10" t="s">
        <v>168</v>
      </c>
      <c r="BA1600" s="20" t="b">
        <v>0</v>
      </c>
      <c r="BB1600" s="10"/>
      <c r="BC1600" s="17">
        <v>178822</v>
      </c>
      <c r="BD1600" s="17">
        <v>97700</v>
      </c>
      <c r="BE1600" s="17">
        <v>4293358.5</v>
      </c>
      <c r="BF1600" s="17">
        <v>401</v>
      </c>
      <c r="BG1600" s="11">
        <f ca="1">IFERROR(__xludf.DUMMYFUNCTION("""COMPUTED_VALUE"""),45988.125)</f>
        <v>45988.125</v>
      </c>
      <c r="BH1600" s="17" t="s">
        <v>105</v>
      </c>
      <c r="BI1600" s="17"/>
      <c r="BJ1600" s="15"/>
      <c r="BK1600" s="15"/>
      <c r="BL1600" s="13" t="b">
        <v>0</v>
      </c>
      <c r="BM1600" s="10"/>
      <c r="BN1600" s="10" t="s">
        <v>197</v>
      </c>
      <c r="BO1600" s="11">
        <v>45904.299305555556</v>
      </c>
      <c r="BP1600" s="11">
        <v>45985.602627314816</v>
      </c>
      <c r="BQ1600" s="15">
        <v>45982.83189814815</v>
      </c>
      <c r="BR1600" s="15">
        <v>45985.787465277775</v>
      </c>
      <c r="BS1600" s="10" t="s">
        <v>197</v>
      </c>
      <c r="BT1600" s="10" t="s">
        <v>279</v>
      </c>
      <c r="BU1600" s="10" t="s">
        <v>718</v>
      </c>
      <c r="BV1600" s="10" t="s">
        <v>124</v>
      </c>
      <c r="BW1600" s="10" t="s">
        <v>12083</v>
      </c>
      <c r="BX1600" s="10"/>
      <c r="BY1600" s="23"/>
      <c r="BZ1600" s="23"/>
      <c r="CA1600" s="19" t="s">
        <v>12169</v>
      </c>
      <c r="CB1600" s="19" t="s">
        <v>12170</v>
      </c>
      <c r="CC1600" s="23"/>
      <c r="CD1600" s="19" t="s">
        <v>12171</v>
      </c>
      <c r="CE1600" s="23"/>
      <c r="CF1600" s="23"/>
      <c r="CG1600" s="23"/>
      <c r="CH1600" s="23"/>
      <c r="CI1600" s="23"/>
    </row>
    <row r="1601" spans="1:87" x14ac:dyDescent="0.3">
      <c r="A1601" s="9" t="s">
        <v>12172</v>
      </c>
      <c r="B1601" s="10" t="s">
        <v>12173</v>
      </c>
      <c r="C1601" s="11">
        <v>45988.125</v>
      </c>
      <c r="D1601" s="12">
        <v>8.3333333333333329E-2</v>
      </c>
      <c r="E1601" s="11">
        <v>45988.208333333336</v>
      </c>
      <c r="F1601" s="10" t="s">
        <v>3563</v>
      </c>
      <c r="G1601" s="13" t="b">
        <v>0</v>
      </c>
      <c r="H1601" s="10" t="s">
        <v>3564</v>
      </c>
      <c r="I1601" s="10" t="s">
        <v>89</v>
      </c>
      <c r="J1601" s="13" t="b">
        <v>0</v>
      </c>
      <c r="K1601" s="13" t="b">
        <v>1</v>
      </c>
      <c r="L1601" s="10" t="s">
        <v>124</v>
      </c>
      <c r="M1601" s="10" t="s">
        <v>91</v>
      </c>
      <c r="N1601" s="10" t="s">
        <v>92</v>
      </c>
      <c r="O1601" s="19" t="s">
        <v>12174</v>
      </c>
      <c r="P1601" s="10"/>
      <c r="Q1601" s="10" t="s">
        <v>126</v>
      </c>
      <c r="R1601" s="10"/>
      <c r="S1601" s="19" t="s">
        <v>12175</v>
      </c>
      <c r="T1601" s="19" t="s">
        <v>12054</v>
      </c>
      <c r="U1601" s="10" t="s">
        <v>11474</v>
      </c>
      <c r="V1601" s="10" t="s">
        <v>429</v>
      </c>
      <c r="W1601" s="10" t="s">
        <v>3569</v>
      </c>
      <c r="X1601" s="10" t="s">
        <v>130</v>
      </c>
      <c r="Y1601" s="10" t="s">
        <v>130</v>
      </c>
      <c r="Z1601" s="10" t="s">
        <v>99</v>
      </c>
      <c r="AA1601" s="10" t="s">
        <v>131</v>
      </c>
      <c r="AB1601" s="10" t="s">
        <v>3570</v>
      </c>
      <c r="AC1601" s="10" t="s">
        <v>3571</v>
      </c>
      <c r="AD1601" s="10" t="s">
        <v>12176</v>
      </c>
      <c r="AE1601" s="10" t="s">
        <v>12177</v>
      </c>
      <c r="AF1601" s="15"/>
      <c r="AG1601" s="10"/>
      <c r="AH1601" s="10"/>
      <c r="AI1601" s="10"/>
      <c r="AJ1601" s="10"/>
      <c r="AK1601" s="10" t="s">
        <v>102</v>
      </c>
      <c r="AL1601" s="10" t="s">
        <v>7897</v>
      </c>
      <c r="AM1601" s="10"/>
      <c r="AN1601" s="10"/>
      <c r="AO1601" s="13" t="b">
        <v>1</v>
      </c>
      <c r="AP1601" s="10" t="s">
        <v>104</v>
      </c>
      <c r="AQ1601" s="10">
        <f ca="1">IFERROR(__xludf.DUMMYFUNCTION("""COMPUTED_VALUE"""),4733804)</f>
        <v>4733804</v>
      </c>
      <c r="AR1601" s="17">
        <v>37815</v>
      </c>
      <c r="AS1601" s="17">
        <v>23640</v>
      </c>
      <c r="AT1601" s="17">
        <v>242372.5</v>
      </c>
      <c r="AU1601" s="17">
        <v>70</v>
      </c>
      <c r="AV1601" s="17">
        <v>14.95</v>
      </c>
      <c r="AW1601" s="10" t="s">
        <v>105</v>
      </c>
      <c r="AX1601" s="17">
        <v>6942</v>
      </c>
      <c r="AY1601" s="18">
        <v>10.252643824027073</v>
      </c>
      <c r="AZ1601" s="10" t="s">
        <v>168</v>
      </c>
      <c r="BA1601" s="20" t="b">
        <v>0</v>
      </c>
      <c r="BB1601" s="10"/>
      <c r="BC1601" s="17">
        <v>37815</v>
      </c>
      <c r="BD1601" s="17">
        <v>23640</v>
      </c>
      <c r="BE1601" s="17">
        <v>242372.5</v>
      </c>
      <c r="BF1601" s="17">
        <v>14.95</v>
      </c>
      <c r="BG1601" s="11">
        <f ca="1">IFERROR(__xludf.DUMMYFUNCTION("""COMPUTED_VALUE"""),45988.125)</f>
        <v>45988.125</v>
      </c>
      <c r="BH1601" s="17" t="s">
        <v>105</v>
      </c>
      <c r="BI1601" s="17"/>
      <c r="BJ1601" s="15"/>
      <c r="BK1601" s="15"/>
      <c r="BL1601" s="13" t="b">
        <v>0</v>
      </c>
      <c r="BM1601" s="10"/>
      <c r="BN1601" s="10" t="s">
        <v>197</v>
      </c>
      <c r="BO1601" s="11">
        <v>45904.299305555556</v>
      </c>
      <c r="BP1601" s="11">
        <v>45985.60497685185</v>
      </c>
      <c r="BQ1601" s="15">
        <v>45982.832719907405</v>
      </c>
      <c r="BR1601" s="15">
        <v>45985.787604166668</v>
      </c>
      <c r="BS1601" s="10" t="s">
        <v>197</v>
      </c>
      <c r="BT1601" s="10" t="s">
        <v>279</v>
      </c>
      <c r="BU1601" s="10" t="s">
        <v>456</v>
      </c>
      <c r="BV1601" s="10"/>
      <c r="BW1601" s="10"/>
      <c r="BX1601" s="10"/>
      <c r="BY1601" s="23"/>
      <c r="BZ1601" s="23"/>
      <c r="CA1601" s="19" t="s">
        <v>12178</v>
      </c>
      <c r="CB1601" s="19" t="s">
        <v>12179</v>
      </c>
      <c r="CC1601" s="23"/>
      <c r="CD1601" s="19" t="s">
        <v>12180</v>
      </c>
      <c r="CE1601" s="23"/>
      <c r="CF1601" s="23"/>
      <c r="CG1601" s="23"/>
      <c r="CH1601" s="23"/>
      <c r="CI1601" s="23"/>
    </row>
    <row r="1602" spans="1:87" x14ac:dyDescent="0.3">
      <c r="A1602" s="9" t="s">
        <v>12181</v>
      </c>
      <c r="B1602" s="10" t="s">
        <v>12182</v>
      </c>
      <c r="C1602" s="11">
        <v>46000.9375</v>
      </c>
      <c r="D1602" s="12">
        <v>8.3333333333333329E-2</v>
      </c>
      <c r="E1602" s="11">
        <v>46001.020833333336</v>
      </c>
      <c r="F1602" s="10" t="s">
        <v>3563</v>
      </c>
      <c r="G1602" s="13" t="b">
        <v>0</v>
      </c>
      <c r="H1602" s="10" t="s">
        <v>3564</v>
      </c>
      <c r="I1602" s="10" t="s">
        <v>89</v>
      </c>
      <c r="J1602" s="13" t="b">
        <v>0</v>
      </c>
      <c r="K1602" s="13" t="b">
        <v>1</v>
      </c>
      <c r="L1602" s="10" t="s">
        <v>124</v>
      </c>
      <c r="M1602" s="10" t="s">
        <v>91</v>
      </c>
      <c r="N1602" s="10" t="s">
        <v>92</v>
      </c>
      <c r="O1602" s="19" t="s">
        <v>12183</v>
      </c>
      <c r="P1602" s="10"/>
      <c r="Q1602" s="10" t="s">
        <v>94</v>
      </c>
      <c r="R1602" s="10"/>
      <c r="S1602" s="19" t="s">
        <v>12184</v>
      </c>
      <c r="T1602" s="19" t="s">
        <v>12185</v>
      </c>
      <c r="U1602" s="10" t="s">
        <v>7811</v>
      </c>
      <c r="V1602" s="10" t="s">
        <v>11446</v>
      </c>
      <c r="W1602" s="10" t="s">
        <v>3569</v>
      </c>
      <c r="X1602" s="10" t="s">
        <v>130</v>
      </c>
      <c r="Y1602" s="10" t="s">
        <v>130</v>
      </c>
      <c r="Z1602" s="10" t="s">
        <v>99</v>
      </c>
      <c r="AA1602" s="10" t="s">
        <v>131</v>
      </c>
      <c r="AB1602" s="10" t="s">
        <v>3570</v>
      </c>
      <c r="AC1602" s="10" t="s">
        <v>3571</v>
      </c>
      <c r="AD1602" s="10" t="s">
        <v>12186</v>
      </c>
      <c r="AE1602" s="10" t="s">
        <v>12187</v>
      </c>
      <c r="AF1602" s="15"/>
      <c r="AG1602" s="10"/>
      <c r="AH1602" s="10"/>
      <c r="AI1602" s="10"/>
      <c r="AJ1602" s="10"/>
      <c r="AK1602" s="10" t="s">
        <v>102</v>
      </c>
      <c r="AL1602" s="10" t="s">
        <v>7897</v>
      </c>
      <c r="AM1602" s="10"/>
      <c r="AN1602" s="10"/>
      <c r="AO1602" s="13" t="b">
        <v>0</v>
      </c>
      <c r="AP1602" s="10" t="s">
        <v>104</v>
      </c>
      <c r="AQ1602" s="10">
        <f ca="1">IFERROR(__xludf.DUMMYFUNCTION("""COMPUTED_VALUE"""),4772709)</f>
        <v>4772709</v>
      </c>
      <c r="AR1602" s="17">
        <v>20131</v>
      </c>
      <c r="AS1602" s="17">
        <v>15649</v>
      </c>
      <c r="AT1602" s="17">
        <v>323346.5</v>
      </c>
      <c r="AU1602" s="17">
        <v>131.65</v>
      </c>
      <c r="AV1602" s="17">
        <v>37.4</v>
      </c>
      <c r="AW1602" s="10" t="s">
        <v>105</v>
      </c>
      <c r="AX1602" s="17">
        <v>6200</v>
      </c>
      <c r="AY1602" s="18">
        <v>20.662438494472489</v>
      </c>
      <c r="AZ1602" s="10" t="s">
        <v>168</v>
      </c>
      <c r="BA1602" s="20" t="b">
        <v>0</v>
      </c>
      <c r="BB1602" s="10"/>
      <c r="BC1602" s="17">
        <v>20131</v>
      </c>
      <c r="BD1602" s="17">
        <v>15649</v>
      </c>
      <c r="BE1602" s="17">
        <v>323346.5</v>
      </c>
      <c r="BF1602" s="17">
        <v>37.4</v>
      </c>
      <c r="BG1602" s="11">
        <f ca="1">IFERROR(__xludf.DUMMYFUNCTION("""COMPUTED_VALUE"""),46000.9375)</f>
        <v>46000.9375</v>
      </c>
      <c r="BH1602" s="17" t="s">
        <v>105</v>
      </c>
      <c r="BI1602" s="17"/>
      <c r="BJ1602" s="15"/>
      <c r="BK1602" s="15"/>
      <c r="BL1602" s="13" t="b">
        <v>0</v>
      </c>
      <c r="BM1602" s="10"/>
      <c r="BN1602" s="10" t="s">
        <v>1057</v>
      </c>
      <c r="BO1602" s="11">
        <v>45904.299305555556</v>
      </c>
      <c r="BP1602" s="11">
        <v>45992.660138888888</v>
      </c>
      <c r="BQ1602" s="15">
        <v>45999.463958333334</v>
      </c>
      <c r="BR1602" s="15">
        <v>45999.552858796298</v>
      </c>
      <c r="BS1602" s="10"/>
      <c r="BT1602" s="10" t="s">
        <v>279</v>
      </c>
      <c r="BU1602" s="10" t="s">
        <v>8057</v>
      </c>
      <c r="BV1602" s="10"/>
      <c r="BW1602" s="10"/>
      <c r="BX1602" s="10"/>
      <c r="BY1602" s="23"/>
      <c r="BZ1602" s="23"/>
      <c r="CA1602" s="19" t="s">
        <v>12188</v>
      </c>
      <c r="CB1602" s="19" t="s">
        <v>12189</v>
      </c>
      <c r="CC1602" s="23"/>
      <c r="CD1602" s="23"/>
      <c r="CE1602" s="23"/>
      <c r="CF1602" s="23"/>
      <c r="CG1602" s="23"/>
      <c r="CH1602" s="23"/>
      <c r="CI1602" s="23"/>
    </row>
    <row r="1603" spans="1:87" x14ac:dyDescent="0.3">
      <c r="A1603" s="9" t="s">
        <v>12190</v>
      </c>
      <c r="B1603" s="10" t="s">
        <v>12191</v>
      </c>
      <c r="C1603" s="11">
        <v>46001.03125</v>
      </c>
      <c r="D1603" s="12">
        <v>8.3333333333333329E-2</v>
      </c>
      <c r="E1603" s="11">
        <v>46001.114583333336</v>
      </c>
      <c r="F1603" s="10" t="s">
        <v>3563</v>
      </c>
      <c r="G1603" s="13" t="b">
        <v>0</v>
      </c>
      <c r="H1603" s="10" t="s">
        <v>11460</v>
      </c>
      <c r="I1603" s="10" t="s">
        <v>89</v>
      </c>
      <c r="J1603" s="13" t="b">
        <v>0</v>
      </c>
      <c r="K1603" s="13" t="b">
        <v>1</v>
      </c>
      <c r="L1603" s="10" t="s">
        <v>124</v>
      </c>
      <c r="M1603" s="10" t="s">
        <v>91</v>
      </c>
      <c r="N1603" s="10" t="s">
        <v>92</v>
      </c>
      <c r="O1603" s="19" t="s">
        <v>12192</v>
      </c>
      <c r="P1603" s="10"/>
      <c r="Q1603" s="10" t="s">
        <v>126</v>
      </c>
      <c r="R1603" s="10"/>
      <c r="S1603" s="19" t="s">
        <v>12193</v>
      </c>
      <c r="T1603" s="19" t="s">
        <v>12194</v>
      </c>
      <c r="U1603" s="10" t="s">
        <v>11463</v>
      </c>
      <c r="V1603" s="10" t="s">
        <v>7859</v>
      </c>
      <c r="W1603" s="10" t="s">
        <v>3569</v>
      </c>
      <c r="X1603" s="10" t="s">
        <v>130</v>
      </c>
      <c r="Y1603" s="10" t="s">
        <v>130</v>
      </c>
      <c r="Z1603" s="10" t="s">
        <v>99</v>
      </c>
      <c r="AA1603" s="10" t="s">
        <v>131</v>
      </c>
      <c r="AB1603" s="10" t="s">
        <v>3570</v>
      </c>
      <c r="AC1603" s="10" t="s">
        <v>3571</v>
      </c>
      <c r="AD1603" s="10" t="s">
        <v>12195</v>
      </c>
      <c r="AE1603" s="10" t="s">
        <v>12196</v>
      </c>
      <c r="AF1603" s="15"/>
      <c r="AG1603" s="10"/>
      <c r="AH1603" s="10"/>
      <c r="AI1603" s="10"/>
      <c r="AJ1603" s="10"/>
      <c r="AK1603" s="10" t="s">
        <v>102</v>
      </c>
      <c r="AL1603" s="10" t="s">
        <v>7897</v>
      </c>
      <c r="AM1603" s="10"/>
      <c r="AN1603" s="10"/>
      <c r="AO1603" s="13" t="b">
        <v>1</v>
      </c>
      <c r="AP1603" s="10" t="s">
        <v>104</v>
      </c>
      <c r="AQ1603" s="10">
        <f ca="1">IFERROR(__xludf.DUMMYFUNCTION("""COMPUTED_VALUE"""),4772711)</f>
        <v>4772711</v>
      </c>
      <c r="AR1603" s="17">
        <v>69709</v>
      </c>
      <c r="AS1603" s="17">
        <v>48326</v>
      </c>
      <c r="AT1603" s="17">
        <v>2452626.5</v>
      </c>
      <c r="AU1603" s="17">
        <v>381.55</v>
      </c>
      <c r="AV1603" s="17">
        <v>116.6</v>
      </c>
      <c r="AW1603" s="10" t="s">
        <v>105</v>
      </c>
      <c r="AX1603" s="17">
        <v>19025</v>
      </c>
      <c r="AY1603" s="18">
        <v>50.751696809171044</v>
      </c>
      <c r="AZ1603" s="10" t="s">
        <v>168</v>
      </c>
      <c r="BA1603" s="20" t="b">
        <v>0</v>
      </c>
      <c r="BB1603" s="10"/>
      <c r="BC1603" s="17">
        <v>69709</v>
      </c>
      <c r="BD1603" s="17">
        <v>48326</v>
      </c>
      <c r="BE1603" s="17">
        <v>2452626.5</v>
      </c>
      <c r="BF1603" s="17">
        <v>116.6</v>
      </c>
      <c r="BG1603" s="11">
        <f ca="1">IFERROR(__xludf.DUMMYFUNCTION("""COMPUTED_VALUE"""),46001.03125)</f>
        <v>46001.03125</v>
      </c>
      <c r="BH1603" s="17" t="s">
        <v>105</v>
      </c>
      <c r="BI1603" s="17"/>
      <c r="BJ1603" s="15"/>
      <c r="BK1603" s="15"/>
      <c r="BL1603" s="13" t="b">
        <v>0</v>
      </c>
      <c r="BM1603" s="10"/>
      <c r="BN1603" s="10" t="s">
        <v>1057</v>
      </c>
      <c r="BO1603" s="11">
        <v>45904.299305555556</v>
      </c>
      <c r="BP1603" s="11">
        <v>45992.660277777781</v>
      </c>
      <c r="BQ1603" s="15">
        <v>45999.57608796296</v>
      </c>
      <c r="BR1603" s="15"/>
      <c r="BS1603" s="10"/>
      <c r="BT1603" s="10" t="s">
        <v>279</v>
      </c>
      <c r="BU1603" s="10" t="s">
        <v>298</v>
      </c>
      <c r="BV1603" s="10"/>
      <c r="BW1603" s="10"/>
      <c r="BX1603" s="10"/>
      <c r="BY1603" s="23"/>
      <c r="BZ1603" s="23"/>
      <c r="CA1603" s="19" t="s">
        <v>12197</v>
      </c>
      <c r="CB1603" s="19" t="s">
        <v>12198</v>
      </c>
      <c r="CC1603" s="23"/>
      <c r="CD1603" s="19" t="s">
        <v>12199</v>
      </c>
      <c r="CE1603" s="23"/>
      <c r="CF1603" s="23"/>
      <c r="CG1603" s="23"/>
      <c r="CH1603" s="23"/>
      <c r="CI1603" s="23"/>
    </row>
    <row r="1604" spans="1:87" x14ac:dyDescent="0.3">
      <c r="A1604" s="9" t="s">
        <v>12200</v>
      </c>
      <c r="B1604" s="10" t="s">
        <v>12201</v>
      </c>
      <c r="C1604" s="11">
        <v>46001.125</v>
      </c>
      <c r="D1604" s="12">
        <v>8.3333333333333329E-2</v>
      </c>
      <c r="E1604" s="11">
        <v>46001.208333333336</v>
      </c>
      <c r="F1604" s="10" t="s">
        <v>3563</v>
      </c>
      <c r="G1604" s="13" t="b">
        <v>0</v>
      </c>
      <c r="H1604" s="10" t="s">
        <v>3564</v>
      </c>
      <c r="I1604" s="10" t="s">
        <v>89</v>
      </c>
      <c r="J1604" s="13" t="b">
        <v>0</v>
      </c>
      <c r="K1604" s="13" t="b">
        <v>1</v>
      </c>
      <c r="L1604" s="10" t="s">
        <v>124</v>
      </c>
      <c r="M1604" s="10" t="s">
        <v>91</v>
      </c>
      <c r="N1604" s="10" t="s">
        <v>92</v>
      </c>
      <c r="O1604" s="19" t="s">
        <v>12202</v>
      </c>
      <c r="P1604" s="10"/>
      <c r="Q1604" s="10" t="s">
        <v>126</v>
      </c>
      <c r="R1604" s="10"/>
      <c r="S1604" s="19" t="s">
        <v>12203</v>
      </c>
      <c r="T1604" s="19" t="s">
        <v>12194</v>
      </c>
      <c r="U1604" s="10" t="s">
        <v>3308</v>
      </c>
      <c r="V1604" s="10" t="s">
        <v>346</v>
      </c>
      <c r="W1604" s="10" t="s">
        <v>3569</v>
      </c>
      <c r="X1604" s="10" t="s">
        <v>130</v>
      </c>
      <c r="Y1604" s="10" t="s">
        <v>130</v>
      </c>
      <c r="Z1604" s="10" t="s">
        <v>99</v>
      </c>
      <c r="AA1604" s="10" t="s">
        <v>131</v>
      </c>
      <c r="AB1604" s="10" t="s">
        <v>3570</v>
      </c>
      <c r="AC1604" s="10" t="s">
        <v>3571</v>
      </c>
      <c r="AD1604" s="10" t="s">
        <v>12204</v>
      </c>
      <c r="AE1604" s="10" t="s">
        <v>12205</v>
      </c>
      <c r="AF1604" s="15"/>
      <c r="AG1604" s="10"/>
      <c r="AH1604" s="10"/>
      <c r="AI1604" s="10"/>
      <c r="AJ1604" s="10"/>
      <c r="AK1604" s="10" t="s">
        <v>102</v>
      </c>
      <c r="AL1604" s="10" t="s">
        <v>7897</v>
      </c>
      <c r="AM1604" s="10"/>
      <c r="AN1604" s="10"/>
      <c r="AO1604" s="13" t="b">
        <v>1</v>
      </c>
      <c r="AP1604" s="10" t="s">
        <v>104</v>
      </c>
      <c r="AQ1604" s="10">
        <f ca="1">IFERROR(__xludf.DUMMYFUNCTION("""COMPUTED_VALUE"""),4772712)</f>
        <v>4772712</v>
      </c>
      <c r="AR1604" s="17">
        <v>48534</v>
      </c>
      <c r="AS1604" s="17">
        <v>29038</v>
      </c>
      <c r="AT1604" s="17">
        <v>925400</v>
      </c>
      <c r="AU1604" s="17">
        <v>135.15</v>
      </c>
      <c r="AV1604" s="17">
        <v>39.9</v>
      </c>
      <c r="AW1604" s="10" t="s">
        <v>105</v>
      </c>
      <c r="AX1604" s="17">
        <v>12575</v>
      </c>
      <c r="AY1604" s="18">
        <v>31.868585990770715</v>
      </c>
      <c r="AZ1604" s="10" t="s">
        <v>168</v>
      </c>
      <c r="BA1604" s="20" t="b">
        <v>0</v>
      </c>
      <c r="BB1604" s="10"/>
      <c r="BC1604" s="17">
        <v>48534</v>
      </c>
      <c r="BD1604" s="17">
        <v>29038</v>
      </c>
      <c r="BE1604" s="17">
        <v>925400</v>
      </c>
      <c r="BF1604" s="17">
        <v>39.9</v>
      </c>
      <c r="BG1604" s="11">
        <f ca="1">IFERROR(__xludf.DUMMYFUNCTION("""COMPUTED_VALUE"""),46001.125)</f>
        <v>46001.125</v>
      </c>
      <c r="BH1604" s="17" t="s">
        <v>105</v>
      </c>
      <c r="BI1604" s="17"/>
      <c r="BJ1604" s="15"/>
      <c r="BK1604" s="15"/>
      <c r="BL1604" s="13" t="b">
        <v>0</v>
      </c>
      <c r="BM1604" s="10"/>
      <c r="BN1604" s="10" t="s">
        <v>1057</v>
      </c>
      <c r="BO1604" s="11">
        <v>45904.299305555556</v>
      </c>
      <c r="BP1604" s="11">
        <v>45992.660416666666</v>
      </c>
      <c r="BQ1604" s="15">
        <v>45999.47934027778</v>
      </c>
      <c r="BR1604" s="15">
        <v>45999.553819444445</v>
      </c>
      <c r="BS1604" s="10"/>
      <c r="BT1604" s="10" t="s">
        <v>279</v>
      </c>
      <c r="BU1604" s="10" t="s">
        <v>8057</v>
      </c>
      <c r="BV1604" s="10"/>
      <c r="BW1604" s="10"/>
      <c r="BX1604" s="10"/>
      <c r="BY1604" s="23"/>
      <c r="BZ1604" s="23"/>
      <c r="CA1604" s="19" t="s">
        <v>12197</v>
      </c>
      <c r="CB1604" s="19" t="s">
        <v>12198</v>
      </c>
      <c r="CC1604" s="23"/>
      <c r="CD1604" s="19" t="s">
        <v>12206</v>
      </c>
      <c r="CE1604" s="23"/>
      <c r="CF1604" s="23"/>
      <c r="CG1604" s="23"/>
      <c r="CH1604" s="23"/>
      <c r="CI1604" s="23"/>
    </row>
    <row r="1605" spans="1:87" x14ac:dyDescent="0.3">
      <c r="A1605" s="9" t="s">
        <v>12207</v>
      </c>
      <c r="B1605" s="10" t="s">
        <v>12208</v>
      </c>
      <c r="C1605" s="11">
        <v>46001.125</v>
      </c>
      <c r="D1605" s="12">
        <v>8.3333333333333329E-2</v>
      </c>
      <c r="E1605" s="11">
        <v>46001.208333333336</v>
      </c>
      <c r="F1605" s="10" t="s">
        <v>3563</v>
      </c>
      <c r="G1605" s="13" t="b">
        <v>0</v>
      </c>
      <c r="H1605" s="10" t="s">
        <v>5239</v>
      </c>
      <c r="I1605" s="10" t="s">
        <v>89</v>
      </c>
      <c r="J1605" s="13" t="b">
        <v>0</v>
      </c>
      <c r="K1605" s="13" t="b">
        <v>1</v>
      </c>
      <c r="L1605" s="10" t="s">
        <v>124</v>
      </c>
      <c r="M1605" s="10" t="s">
        <v>91</v>
      </c>
      <c r="N1605" s="10" t="s">
        <v>92</v>
      </c>
      <c r="O1605" s="19" t="s">
        <v>12209</v>
      </c>
      <c r="P1605" s="10"/>
      <c r="Q1605" s="10" t="s">
        <v>126</v>
      </c>
      <c r="R1605" s="10"/>
      <c r="S1605" s="19" t="s">
        <v>12210</v>
      </c>
      <c r="T1605" s="19" t="s">
        <v>12211</v>
      </c>
      <c r="U1605" s="10" t="s">
        <v>11509</v>
      </c>
      <c r="V1605" s="10" t="s">
        <v>11518</v>
      </c>
      <c r="W1605" s="10" t="s">
        <v>3569</v>
      </c>
      <c r="X1605" s="10" t="s">
        <v>130</v>
      </c>
      <c r="Y1605" s="10" t="s">
        <v>130</v>
      </c>
      <c r="Z1605" s="10" t="s">
        <v>99</v>
      </c>
      <c r="AA1605" s="10" t="s">
        <v>131</v>
      </c>
      <c r="AB1605" s="10" t="s">
        <v>3570</v>
      </c>
      <c r="AC1605" s="10" t="s">
        <v>3571</v>
      </c>
      <c r="AD1605" s="10" t="s">
        <v>12212</v>
      </c>
      <c r="AE1605" s="10" t="s">
        <v>12213</v>
      </c>
      <c r="AF1605" s="15"/>
      <c r="AG1605" s="10"/>
      <c r="AH1605" s="10"/>
      <c r="AI1605" s="10"/>
      <c r="AJ1605" s="10"/>
      <c r="AK1605" s="10" t="s">
        <v>102</v>
      </c>
      <c r="AL1605" s="10" t="s">
        <v>7897</v>
      </c>
      <c r="AM1605" s="10"/>
      <c r="AN1605" s="10"/>
      <c r="AO1605" s="13" t="b">
        <v>0</v>
      </c>
      <c r="AP1605" s="10" t="s">
        <v>104</v>
      </c>
      <c r="AQ1605" s="10">
        <f ca="1">IFERROR(__xludf.DUMMYFUNCTION("""COMPUTED_VALUE"""),4772716)</f>
        <v>4772716</v>
      </c>
      <c r="AR1605" s="17">
        <v>11784</v>
      </c>
      <c r="AS1605" s="17">
        <v>7302</v>
      </c>
      <c r="AT1605" s="17">
        <v>27050</v>
      </c>
      <c r="AU1605" s="17">
        <v>2.65</v>
      </c>
      <c r="AV1605" s="17">
        <v>1.35</v>
      </c>
      <c r="AW1605" s="10" t="s">
        <v>105</v>
      </c>
      <c r="AX1605" s="17">
        <v>1184</v>
      </c>
      <c r="AY1605" s="18">
        <v>3.7044645302656805</v>
      </c>
      <c r="AZ1605" s="10" t="s">
        <v>168</v>
      </c>
      <c r="BA1605" s="20" t="b">
        <v>0</v>
      </c>
      <c r="BB1605" s="10"/>
      <c r="BC1605" s="17">
        <v>11784</v>
      </c>
      <c r="BD1605" s="17">
        <v>7302</v>
      </c>
      <c r="BE1605" s="17">
        <v>27050</v>
      </c>
      <c r="BF1605" s="17">
        <v>1.35</v>
      </c>
      <c r="BG1605" s="11">
        <f ca="1">IFERROR(__xludf.DUMMYFUNCTION("""COMPUTED_VALUE"""),46001.125)</f>
        <v>46001.125</v>
      </c>
      <c r="BH1605" s="17" t="s">
        <v>105</v>
      </c>
      <c r="BI1605" s="17"/>
      <c r="BJ1605" s="15"/>
      <c r="BK1605" s="15"/>
      <c r="BL1605" s="13" t="b">
        <v>0</v>
      </c>
      <c r="BM1605" s="10"/>
      <c r="BN1605" s="10" t="s">
        <v>1057</v>
      </c>
      <c r="BO1605" s="11">
        <v>45904.299305555556</v>
      </c>
      <c r="BP1605" s="11">
        <v>45993.708344907405</v>
      </c>
      <c r="BQ1605" s="15">
        <v>45999.481307870374</v>
      </c>
      <c r="BR1605" s="15">
        <v>45999.554548611108</v>
      </c>
      <c r="BS1605" s="10"/>
      <c r="BT1605" s="10" t="s">
        <v>279</v>
      </c>
      <c r="BU1605" s="10" t="s">
        <v>498</v>
      </c>
      <c r="BV1605" s="10"/>
      <c r="BW1605" s="10"/>
      <c r="BX1605" s="10"/>
      <c r="BY1605" s="23"/>
      <c r="BZ1605" s="23"/>
      <c r="CA1605" s="19" t="s">
        <v>12214</v>
      </c>
      <c r="CB1605" s="19" t="s">
        <v>12215</v>
      </c>
      <c r="CC1605" s="23"/>
      <c r="CD1605" s="19" t="s">
        <v>12216</v>
      </c>
      <c r="CE1605" s="23"/>
      <c r="CF1605" s="23"/>
      <c r="CG1605" s="23"/>
      <c r="CH1605" s="23"/>
      <c r="CI1605" s="23"/>
    </row>
    <row r="1606" spans="1:87" x14ac:dyDescent="0.3">
      <c r="A1606" s="9" t="s">
        <v>12217</v>
      </c>
      <c r="B1606" s="10" t="s">
        <v>12218</v>
      </c>
      <c r="C1606" s="11">
        <v>46001.125</v>
      </c>
      <c r="D1606" s="12">
        <v>8.3333333333333329E-2</v>
      </c>
      <c r="E1606" s="11">
        <v>46001.208333333336</v>
      </c>
      <c r="F1606" s="10" t="s">
        <v>3563</v>
      </c>
      <c r="G1606" s="13" t="b">
        <v>0</v>
      </c>
      <c r="H1606" s="10" t="s">
        <v>5239</v>
      </c>
      <c r="I1606" s="10" t="s">
        <v>89</v>
      </c>
      <c r="J1606" s="13" t="b">
        <v>0</v>
      </c>
      <c r="K1606" s="13" t="b">
        <v>1</v>
      </c>
      <c r="L1606" s="10" t="s">
        <v>124</v>
      </c>
      <c r="M1606" s="10" t="s">
        <v>91</v>
      </c>
      <c r="N1606" s="10" t="s">
        <v>92</v>
      </c>
      <c r="O1606" s="19" t="s">
        <v>12219</v>
      </c>
      <c r="P1606" s="10"/>
      <c r="Q1606" s="10" t="s">
        <v>94</v>
      </c>
      <c r="R1606" s="10"/>
      <c r="S1606" s="19" t="s">
        <v>12220</v>
      </c>
      <c r="T1606" s="19" t="s">
        <v>12221</v>
      </c>
      <c r="U1606" s="10" t="s">
        <v>11393</v>
      </c>
      <c r="V1606" s="10" t="s">
        <v>11435</v>
      </c>
      <c r="W1606" s="10" t="s">
        <v>3569</v>
      </c>
      <c r="X1606" s="10" t="s">
        <v>130</v>
      </c>
      <c r="Y1606" s="10" t="s">
        <v>130</v>
      </c>
      <c r="Z1606" s="10" t="s">
        <v>99</v>
      </c>
      <c r="AA1606" s="10" t="s">
        <v>131</v>
      </c>
      <c r="AB1606" s="10" t="s">
        <v>3570</v>
      </c>
      <c r="AC1606" s="10" t="s">
        <v>3571</v>
      </c>
      <c r="AD1606" s="10" t="s">
        <v>12222</v>
      </c>
      <c r="AE1606" s="10" t="s">
        <v>12223</v>
      </c>
      <c r="AF1606" s="15"/>
      <c r="AG1606" s="10"/>
      <c r="AH1606" s="10"/>
      <c r="AI1606" s="10"/>
      <c r="AJ1606" s="10"/>
      <c r="AK1606" s="10" t="s">
        <v>102</v>
      </c>
      <c r="AL1606" s="10" t="s">
        <v>7897</v>
      </c>
      <c r="AM1606" s="10"/>
      <c r="AN1606" s="10"/>
      <c r="AO1606" s="13" t="b">
        <v>0</v>
      </c>
      <c r="AP1606" s="10" t="s">
        <v>104</v>
      </c>
      <c r="AQ1606" s="10">
        <f ca="1">IFERROR(__xludf.DUMMYFUNCTION("""COMPUTED_VALUE"""),4772722)</f>
        <v>4772722</v>
      </c>
      <c r="AR1606" s="17">
        <v>6000</v>
      </c>
      <c r="AS1606" s="17">
        <v>3933</v>
      </c>
      <c r="AT1606" s="17">
        <v>11458.75</v>
      </c>
      <c r="AU1606" s="17">
        <v>1.85</v>
      </c>
      <c r="AV1606" s="17">
        <v>0.6</v>
      </c>
      <c r="AW1606" s="10" t="s">
        <v>105</v>
      </c>
      <c r="AX1606" s="17">
        <v>550</v>
      </c>
      <c r="AY1606" s="18">
        <v>2.913488431222985</v>
      </c>
      <c r="AZ1606" s="10" t="s">
        <v>168</v>
      </c>
      <c r="BA1606" s="20" t="b">
        <v>0</v>
      </c>
      <c r="BB1606" s="10"/>
      <c r="BC1606" s="17">
        <v>6000</v>
      </c>
      <c r="BD1606" s="17">
        <v>3933</v>
      </c>
      <c r="BE1606" s="17">
        <v>11458.75</v>
      </c>
      <c r="BF1606" s="17">
        <v>0.6</v>
      </c>
      <c r="BG1606" s="11">
        <f ca="1">IFERROR(__xludf.DUMMYFUNCTION("""COMPUTED_VALUE"""),46001.125)</f>
        <v>46001.125</v>
      </c>
      <c r="BH1606" s="17" t="s">
        <v>105</v>
      </c>
      <c r="BI1606" s="17"/>
      <c r="BJ1606" s="15"/>
      <c r="BK1606" s="15"/>
      <c r="BL1606" s="13" t="b">
        <v>0</v>
      </c>
      <c r="BM1606" s="10"/>
      <c r="BN1606" s="10" t="s">
        <v>1057</v>
      </c>
      <c r="BO1606" s="11">
        <v>45904.299305555556</v>
      </c>
      <c r="BP1606" s="11">
        <v>45993.708425925928</v>
      </c>
      <c r="BQ1606" s="15">
        <v>45999.481956018521</v>
      </c>
      <c r="BR1606" s="15">
        <v>45999.555358796293</v>
      </c>
      <c r="BS1606" s="10"/>
      <c r="BT1606" s="10" t="s">
        <v>279</v>
      </c>
      <c r="BU1606" s="10" t="s">
        <v>816</v>
      </c>
      <c r="BV1606" s="10"/>
      <c r="BW1606" s="10"/>
      <c r="BX1606" s="10"/>
      <c r="BY1606" s="23"/>
      <c r="BZ1606" s="23"/>
      <c r="CA1606" s="19" t="s">
        <v>12224</v>
      </c>
      <c r="CB1606" s="19" t="s">
        <v>12225</v>
      </c>
      <c r="CC1606" s="23"/>
      <c r="CD1606" s="23"/>
      <c r="CE1606" s="23"/>
      <c r="CF1606" s="23"/>
      <c r="CG1606" s="23"/>
      <c r="CH1606" s="23"/>
      <c r="CI1606" s="23"/>
    </row>
    <row r="1607" spans="1:87" x14ac:dyDescent="0.3">
      <c r="A1607" s="9" t="s">
        <v>12226</v>
      </c>
      <c r="B1607" s="10" t="s">
        <v>12227</v>
      </c>
      <c r="C1607" s="11">
        <v>46001.125</v>
      </c>
      <c r="D1607" s="12">
        <v>8.3333333333333329E-2</v>
      </c>
      <c r="E1607" s="11">
        <v>46001.208333333336</v>
      </c>
      <c r="F1607" s="10" t="s">
        <v>3563</v>
      </c>
      <c r="G1607" s="13" t="b">
        <v>0</v>
      </c>
      <c r="H1607" s="10" t="s">
        <v>5239</v>
      </c>
      <c r="I1607" s="10" t="s">
        <v>89</v>
      </c>
      <c r="J1607" s="13" t="b">
        <v>0</v>
      </c>
      <c r="K1607" s="13" t="b">
        <v>1</v>
      </c>
      <c r="L1607" s="10" t="s">
        <v>124</v>
      </c>
      <c r="M1607" s="10" t="s">
        <v>91</v>
      </c>
      <c r="N1607" s="10" t="s">
        <v>92</v>
      </c>
      <c r="O1607" s="19" t="s">
        <v>12228</v>
      </c>
      <c r="P1607" s="10"/>
      <c r="Q1607" s="10" t="s">
        <v>126</v>
      </c>
      <c r="R1607" s="10"/>
      <c r="S1607" s="19" t="s">
        <v>12229</v>
      </c>
      <c r="T1607" s="19" t="s">
        <v>12230</v>
      </c>
      <c r="U1607" s="10" t="s">
        <v>3704</v>
      </c>
      <c r="V1607" s="10" t="s">
        <v>5090</v>
      </c>
      <c r="W1607" s="10" t="s">
        <v>3569</v>
      </c>
      <c r="X1607" s="10" t="s">
        <v>130</v>
      </c>
      <c r="Y1607" s="10" t="s">
        <v>130</v>
      </c>
      <c r="Z1607" s="10" t="s">
        <v>99</v>
      </c>
      <c r="AA1607" s="10" t="s">
        <v>131</v>
      </c>
      <c r="AB1607" s="10" t="s">
        <v>3570</v>
      </c>
      <c r="AC1607" s="10" t="s">
        <v>3571</v>
      </c>
      <c r="AD1607" s="10" t="s">
        <v>12231</v>
      </c>
      <c r="AE1607" s="10" t="s">
        <v>12232</v>
      </c>
      <c r="AF1607" s="15"/>
      <c r="AG1607" s="10"/>
      <c r="AH1607" s="10"/>
      <c r="AI1607" s="10"/>
      <c r="AJ1607" s="10"/>
      <c r="AK1607" s="10" t="s">
        <v>102</v>
      </c>
      <c r="AL1607" s="10" t="s">
        <v>7897</v>
      </c>
      <c r="AM1607" s="10"/>
      <c r="AN1607" s="10"/>
      <c r="AO1607" s="13" t="b">
        <v>0</v>
      </c>
      <c r="AP1607" s="10" t="s">
        <v>104</v>
      </c>
      <c r="AQ1607" s="10">
        <f ca="1">IFERROR(__xludf.DUMMYFUNCTION("""COMPUTED_VALUE"""),4772718)</f>
        <v>4772718</v>
      </c>
      <c r="AR1607" s="17">
        <v>19129</v>
      </c>
      <c r="AS1607" s="17">
        <v>12292</v>
      </c>
      <c r="AT1607" s="17">
        <v>53778</v>
      </c>
      <c r="AU1607" s="17">
        <v>9.8000000000000007</v>
      </c>
      <c r="AV1607" s="17">
        <v>3.7</v>
      </c>
      <c r="AW1607" s="10" t="s">
        <v>105</v>
      </c>
      <c r="AX1607" s="17">
        <v>2104</v>
      </c>
      <c r="AY1607" s="18">
        <v>4.3750406768630006</v>
      </c>
      <c r="AZ1607" s="10" t="s">
        <v>168</v>
      </c>
      <c r="BA1607" s="20" t="b">
        <v>0</v>
      </c>
      <c r="BB1607" s="10"/>
      <c r="BC1607" s="17">
        <v>19129</v>
      </c>
      <c r="BD1607" s="17">
        <v>12292</v>
      </c>
      <c r="BE1607" s="17">
        <v>53778</v>
      </c>
      <c r="BF1607" s="17">
        <v>3.7</v>
      </c>
      <c r="BG1607" s="11">
        <f ca="1">IFERROR(__xludf.DUMMYFUNCTION("""COMPUTED_VALUE"""),46001.125)</f>
        <v>46001.125</v>
      </c>
      <c r="BH1607" s="17" t="s">
        <v>105</v>
      </c>
      <c r="BI1607" s="17"/>
      <c r="BJ1607" s="15"/>
      <c r="BK1607" s="15"/>
      <c r="BL1607" s="13" t="b">
        <v>0</v>
      </c>
      <c r="BM1607" s="10"/>
      <c r="BN1607" s="10" t="s">
        <v>1057</v>
      </c>
      <c r="BO1607" s="11">
        <v>45904.299305555556</v>
      </c>
      <c r="BP1607" s="11">
        <v>45993.708483796298</v>
      </c>
      <c r="BQ1607" s="15">
        <v>45999.481550925928</v>
      </c>
      <c r="BR1607" s="15">
        <v>45999.554768518516</v>
      </c>
      <c r="BS1607" s="10"/>
      <c r="BT1607" s="10" t="s">
        <v>279</v>
      </c>
      <c r="BU1607" s="10" t="s">
        <v>655</v>
      </c>
      <c r="BV1607" s="10"/>
      <c r="BW1607" s="10"/>
      <c r="BX1607" s="10"/>
      <c r="BY1607" s="23"/>
      <c r="BZ1607" s="23"/>
      <c r="CA1607" s="19" t="s">
        <v>12233</v>
      </c>
      <c r="CB1607" s="19" t="s">
        <v>12234</v>
      </c>
      <c r="CC1607" s="23"/>
      <c r="CD1607" s="19" t="s">
        <v>12235</v>
      </c>
      <c r="CE1607" s="23"/>
      <c r="CF1607" s="23"/>
      <c r="CG1607" s="23"/>
      <c r="CH1607" s="23"/>
      <c r="CI1607" s="23"/>
    </row>
    <row r="1608" spans="1:87" x14ac:dyDescent="0.3">
      <c r="A1608" s="9" t="s">
        <v>12236</v>
      </c>
      <c r="B1608" s="10" t="s">
        <v>12237</v>
      </c>
      <c r="C1608" s="11">
        <v>46001.125</v>
      </c>
      <c r="D1608" s="12">
        <v>8.3333333333333329E-2</v>
      </c>
      <c r="E1608" s="11">
        <v>46001.208333333336</v>
      </c>
      <c r="F1608" s="10" t="s">
        <v>3563</v>
      </c>
      <c r="G1608" s="13" t="b">
        <v>0</v>
      </c>
      <c r="H1608" s="10" t="s">
        <v>6271</v>
      </c>
      <c r="I1608" s="10" t="s">
        <v>89</v>
      </c>
      <c r="J1608" s="13" t="b">
        <v>0</v>
      </c>
      <c r="K1608" s="13" t="b">
        <v>1</v>
      </c>
      <c r="L1608" s="10" t="s">
        <v>124</v>
      </c>
      <c r="M1608" s="10" t="s">
        <v>91</v>
      </c>
      <c r="N1608" s="10" t="s">
        <v>92</v>
      </c>
      <c r="O1608" s="19" t="s">
        <v>12238</v>
      </c>
      <c r="P1608" s="10"/>
      <c r="Q1608" s="10" t="s">
        <v>126</v>
      </c>
      <c r="R1608" s="10"/>
      <c r="S1608" s="19" t="s">
        <v>12239</v>
      </c>
      <c r="T1608" s="19" t="s">
        <v>12240</v>
      </c>
      <c r="U1608" s="10" t="s">
        <v>5042</v>
      </c>
      <c r="V1608" s="10" t="s">
        <v>11517</v>
      </c>
      <c r="W1608" s="10" t="s">
        <v>3569</v>
      </c>
      <c r="X1608" s="10" t="s">
        <v>130</v>
      </c>
      <c r="Y1608" s="10" t="s">
        <v>130</v>
      </c>
      <c r="Z1608" s="10" t="s">
        <v>99</v>
      </c>
      <c r="AA1608" s="10" t="s">
        <v>131</v>
      </c>
      <c r="AB1608" s="10" t="s">
        <v>3570</v>
      </c>
      <c r="AC1608" s="10" t="s">
        <v>3571</v>
      </c>
      <c r="AD1608" s="10" t="s">
        <v>12241</v>
      </c>
      <c r="AE1608" s="10" t="s">
        <v>12242</v>
      </c>
      <c r="AF1608" s="15"/>
      <c r="AG1608" s="10"/>
      <c r="AH1608" s="10"/>
      <c r="AI1608" s="10"/>
      <c r="AJ1608" s="10"/>
      <c r="AK1608" s="10" t="s">
        <v>102</v>
      </c>
      <c r="AL1608" s="10" t="s">
        <v>7897</v>
      </c>
      <c r="AM1608" s="10"/>
      <c r="AN1608" s="10"/>
      <c r="AO1608" s="13" t="b">
        <v>1</v>
      </c>
      <c r="AP1608" s="10" t="s">
        <v>104</v>
      </c>
      <c r="AQ1608" s="10">
        <f ca="1">IFERROR(__xludf.DUMMYFUNCTION("""COMPUTED_VALUE"""),4772714)</f>
        <v>4772714</v>
      </c>
      <c r="AR1608" s="17">
        <v>138836</v>
      </c>
      <c r="AS1608" s="17">
        <v>75477</v>
      </c>
      <c r="AT1608" s="17">
        <v>3808216.25</v>
      </c>
      <c r="AU1608" s="17">
        <v>874.7</v>
      </c>
      <c r="AV1608" s="17">
        <v>208.75</v>
      </c>
      <c r="AW1608" s="10" t="s">
        <v>105</v>
      </c>
      <c r="AX1608" s="17">
        <v>42542</v>
      </c>
      <c r="AY1608" s="18">
        <v>50.45532082621196</v>
      </c>
      <c r="AZ1608" s="10" t="s">
        <v>168</v>
      </c>
      <c r="BA1608" s="20" t="b">
        <v>0</v>
      </c>
      <c r="BB1608" s="10"/>
      <c r="BC1608" s="17">
        <v>138836</v>
      </c>
      <c r="BD1608" s="17">
        <v>75477</v>
      </c>
      <c r="BE1608" s="17">
        <v>3808216.25</v>
      </c>
      <c r="BF1608" s="17">
        <v>208.75</v>
      </c>
      <c r="BG1608" s="11">
        <f ca="1">IFERROR(__xludf.DUMMYFUNCTION("""COMPUTED_VALUE"""),46001.125)</f>
        <v>46001.125</v>
      </c>
      <c r="BH1608" s="17" t="s">
        <v>105</v>
      </c>
      <c r="BI1608" s="17"/>
      <c r="BJ1608" s="15"/>
      <c r="BK1608" s="15"/>
      <c r="BL1608" s="13" t="b">
        <v>0</v>
      </c>
      <c r="BM1608" s="10"/>
      <c r="BN1608" s="10" t="s">
        <v>1057</v>
      </c>
      <c r="BO1608" s="11">
        <v>45904.299305555556</v>
      </c>
      <c r="BP1608" s="11">
        <v>45992.660520833335</v>
      </c>
      <c r="BQ1608" s="15">
        <v>45999.47997685185</v>
      </c>
      <c r="BR1608" s="15">
        <v>45999.554097222222</v>
      </c>
      <c r="BS1608" s="10"/>
      <c r="BT1608" s="10" t="s">
        <v>279</v>
      </c>
      <c r="BU1608" s="10" t="s">
        <v>6409</v>
      </c>
      <c r="BV1608" s="10"/>
      <c r="BW1608" s="10"/>
      <c r="BX1608" s="10"/>
      <c r="BY1608" s="23"/>
      <c r="BZ1608" s="23"/>
      <c r="CA1608" s="19" t="s">
        <v>12243</v>
      </c>
      <c r="CB1608" s="19" t="s">
        <v>12244</v>
      </c>
      <c r="CC1608" s="23"/>
      <c r="CD1608" s="19" t="s">
        <v>12245</v>
      </c>
      <c r="CE1608" s="23"/>
      <c r="CF1608" s="23"/>
      <c r="CG1608" s="23"/>
      <c r="CH1608" s="23"/>
      <c r="CI1608" s="23"/>
    </row>
    <row r="1609" spans="1:87" x14ac:dyDescent="0.3">
      <c r="A1609" s="9" t="s">
        <v>12246</v>
      </c>
      <c r="B1609" s="10" t="s">
        <v>12247</v>
      </c>
      <c r="C1609" s="11">
        <v>46001.125</v>
      </c>
      <c r="D1609" s="12">
        <v>8.3333333333333329E-2</v>
      </c>
      <c r="E1609" s="11">
        <v>46001.208333333336</v>
      </c>
      <c r="F1609" s="10" t="s">
        <v>3563</v>
      </c>
      <c r="G1609" s="13" t="b">
        <v>0</v>
      </c>
      <c r="H1609" s="10" t="s">
        <v>11460</v>
      </c>
      <c r="I1609" s="10" t="s">
        <v>89</v>
      </c>
      <c r="J1609" s="13" t="b">
        <v>0</v>
      </c>
      <c r="K1609" s="13" t="b">
        <v>1</v>
      </c>
      <c r="L1609" s="10" t="s">
        <v>124</v>
      </c>
      <c r="M1609" s="10" t="s">
        <v>91</v>
      </c>
      <c r="N1609" s="10" t="s">
        <v>92</v>
      </c>
      <c r="O1609" s="19" t="s">
        <v>12248</v>
      </c>
      <c r="P1609" s="10"/>
      <c r="Q1609" s="10" t="s">
        <v>126</v>
      </c>
      <c r="R1609" s="10"/>
      <c r="S1609" s="19" t="s">
        <v>12249</v>
      </c>
      <c r="T1609" s="19" t="s">
        <v>12250</v>
      </c>
      <c r="U1609" s="10" t="s">
        <v>3278</v>
      </c>
      <c r="V1609" s="10" t="s">
        <v>270</v>
      </c>
      <c r="W1609" s="10" t="s">
        <v>3569</v>
      </c>
      <c r="X1609" s="10" t="s">
        <v>130</v>
      </c>
      <c r="Y1609" s="10" t="s">
        <v>130</v>
      </c>
      <c r="Z1609" s="10" t="s">
        <v>99</v>
      </c>
      <c r="AA1609" s="10" t="s">
        <v>131</v>
      </c>
      <c r="AB1609" s="10" t="s">
        <v>3570</v>
      </c>
      <c r="AC1609" s="10" t="s">
        <v>3571</v>
      </c>
      <c r="AD1609" s="10" t="s">
        <v>12251</v>
      </c>
      <c r="AE1609" s="10" t="s">
        <v>12252</v>
      </c>
      <c r="AF1609" s="15"/>
      <c r="AG1609" s="10"/>
      <c r="AH1609" s="10"/>
      <c r="AI1609" s="10"/>
      <c r="AJ1609" s="10"/>
      <c r="AK1609" s="10" t="s">
        <v>102</v>
      </c>
      <c r="AL1609" s="10" t="s">
        <v>7897</v>
      </c>
      <c r="AM1609" s="10"/>
      <c r="AN1609" s="10"/>
      <c r="AO1609" s="13" t="b">
        <v>1</v>
      </c>
      <c r="AP1609" s="10" t="s">
        <v>104</v>
      </c>
      <c r="AQ1609" s="10">
        <f ca="1">IFERROR(__xludf.DUMMYFUNCTION("""COMPUTED_VALUE"""),4772713)</f>
        <v>4772713</v>
      </c>
      <c r="AR1609" s="17">
        <v>161436</v>
      </c>
      <c r="AS1609" s="17">
        <v>90197</v>
      </c>
      <c r="AT1609" s="17">
        <v>3208093.75</v>
      </c>
      <c r="AU1609" s="17">
        <v>678.85</v>
      </c>
      <c r="AV1609" s="17">
        <v>155.35</v>
      </c>
      <c r="AW1609" s="10" t="s">
        <v>105</v>
      </c>
      <c r="AX1609" s="17">
        <v>49430</v>
      </c>
      <c r="AY1609" s="18">
        <v>35.567632515493862</v>
      </c>
      <c r="AZ1609" s="10" t="s">
        <v>168</v>
      </c>
      <c r="BA1609" s="20" t="b">
        <v>0</v>
      </c>
      <c r="BB1609" s="10"/>
      <c r="BC1609" s="17">
        <v>161436</v>
      </c>
      <c r="BD1609" s="17">
        <v>90197</v>
      </c>
      <c r="BE1609" s="17">
        <v>3208093.75</v>
      </c>
      <c r="BF1609" s="17">
        <v>155.35</v>
      </c>
      <c r="BG1609" s="11">
        <f ca="1">IFERROR(__xludf.DUMMYFUNCTION("""COMPUTED_VALUE"""),46001.125)</f>
        <v>46001.125</v>
      </c>
      <c r="BH1609" s="17" t="s">
        <v>105</v>
      </c>
      <c r="BI1609" s="17"/>
      <c r="BJ1609" s="15"/>
      <c r="BK1609" s="15"/>
      <c r="BL1609" s="13" t="b">
        <v>0</v>
      </c>
      <c r="BM1609" s="10"/>
      <c r="BN1609" s="10" t="s">
        <v>1057</v>
      </c>
      <c r="BO1609" s="11">
        <v>45904.299305555556</v>
      </c>
      <c r="BP1609" s="11">
        <v>45992.66065972222</v>
      </c>
      <c r="BQ1609" s="15">
        <v>45999.480891203704</v>
      </c>
      <c r="BR1609" s="15">
        <v>45999.554340277777</v>
      </c>
      <c r="BS1609" s="10"/>
      <c r="BT1609" s="10" t="s">
        <v>279</v>
      </c>
      <c r="BU1609" s="10" t="s">
        <v>280</v>
      </c>
      <c r="BV1609" s="10" t="s">
        <v>124</v>
      </c>
      <c r="BW1609" s="10"/>
      <c r="BX1609" s="10"/>
      <c r="BY1609" s="23"/>
      <c r="BZ1609" s="23"/>
      <c r="CA1609" s="19" t="s">
        <v>12253</v>
      </c>
      <c r="CB1609" s="19" t="s">
        <v>12254</v>
      </c>
      <c r="CC1609" s="23"/>
      <c r="CD1609" s="19" t="s">
        <v>12255</v>
      </c>
      <c r="CE1609" s="23"/>
      <c r="CF1609" s="23"/>
      <c r="CG1609" s="23"/>
      <c r="CH1609" s="23"/>
      <c r="CI1609" s="23"/>
    </row>
    <row r="1610" spans="1:87" x14ac:dyDescent="0.3">
      <c r="A1610" s="9" t="s">
        <v>12256</v>
      </c>
      <c r="B1610" s="10" t="s">
        <v>12257</v>
      </c>
      <c r="C1610" s="11">
        <v>46001.125</v>
      </c>
      <c r="D1610" s="12">
        <v>8.3333333333333329E-2</v>
      </c>
      <c r="E1610" s="11">
        <v>46001.208333333336</v>
      </c>
      <c r="F1610" s="10" t="s">
        <v>3563</v>
      </c>
      <c r="G1610" s="13" t="b">
        <v>0</v>
      </c>
      <c r="H1610" s="10" t="s">
        <v>5239</v>
      </c>
      <c r="I1610" s="10" t="s">
        <v>89</v>
      </c>
      <c r="J1610" s="13" t="b">
        <v>0</v>
      </c>
      <c r="K1610" s="13" t="b">
        <v>1</v>
      </c>
      <c r="L1610" s="10" t="s">
        <v>124</v>
      </c>
      <c r="M1610" s="10" t="s">
        <v>91</v>
      </c>
      <c r="N1610" s="10" t="s">
        <v>92</v>
      </c>
      <c r="O1610" s="19" t="s">
        <v>12258</v>
      </c>
      <c r="P1610" s="10"/>
      <c r="Q1610" s="10" t="s">
        <v>126</v>
      </c>
      <c r="R1610" s="10"/>
      <c r="S1610" s="19" t="s">
        <v>12259</v>
      </c>
      <c r="T1610" s="19" t="s">
        <v>12260</v>
      </c>
      <c r="U1610" s="10" t="s">
        <v>429</v>
      </c>
      <c r="V1610" s="10" t="s">
        <v>11454</v>
      </c>
      <c r="W1610" s="10" t="s">
        <v>3569</v>
      </c>
      <c r="X1610" s="10" t="s">
        <v>130</v>
      </c>
      <c r="Y1610" s="10" t="s">
        <v>130</v>
      </c>
      <c r="Z1610" s="10" t="s">
        <v>99</v>
      </c>
      <c r="AA1610" s="10" t="s">
        <v>131</v>
      </c>
      <c r="AB1610" s="10" t="s">
        <v>3570</v>
      </c>
      <c r="AC1610" s="10" t="s">
        <v>3571</v>
      </c>
      <c r="AD1610" s="10" t="s">
        <v>12261</v>
      </c>
      <c r="AE1610" s="10" t="s">
        <v>12262</v>
      </c>
      <c r="AF1610" s="15"/>
      <c r="AG1610" s="10"/>
      <c r="AH1610" s="10"/>
      <c r="AI1610" s="10"/>
      <c r="AJ1610" s="10"/>
      <c r="AK1610" s="10" t="s">
        <v>102</v>
      </c>
      <c r="AL1610" s="10" t="s">
        <v>7897</v>
      </c>
      <c r="AM1610" s="10"/>
      <c r="AN1610" s="10"/>
      <c r="AO1610" s="13" t="b">
        <v>0</v>
      </c>
      <c r="AP1610" s="10" t="s">
        <v>104</v>
      </c>
      <c r="AQ1610" s="10">
        <f ca="1">IFERROR(__xludf.DUMMYFUNCTION("""COMPUTED_VALUE"""),4772720)</f>
        <v>4772720</v>
      </c>
      <c r="AR1610" s="17">
        <v>13424</v>
      </c>
      <c r="AS1610" s="17">
        <v>8901</v>
      </c>
      <c r="AT1610" s="17">
        <v>71593.75</v>
      </c>
      <c r="AU1610" s="17">
        <v>9.25</v>
      </c>
      <c r="AV1610" s="17">
        <v>3</v>
      </c>
      <c r="AW1610" s="10" t="s">
        <v>105</v>
      </c>
      <c r="AX1610" s="17">
        <v>1588</v>
      </c>
      <c r="AY1610" s="18">
        <v>8.0433378272104257</v>
      </c>
      <c r="AZ1610" s="10" t="s">
        <v>168</v>
      </c>
      <c r="BA1610" s="20" t="b">
        <v>0</v>
      </c>
      <c r="BB1610" s="10"/>
      <c r="BC1610" s="17">
        <v>13424</v>
      </c>
      <c r="BD1610" s="17">
        <v>8901</v>
      </c>
      <c r="BE1610" s="17">
        <v>71593.75</v>
      </c>
      <c r="BF1610" s="17">
        <v>3</v>
      </c>
      <c r="BG1610" s="11">
        <f ca="1">IFERROR(__xludf.DUMMYFUNCTION("""COMPUTED_VALUE"""),46001.125)</f>
        <v>46001.125</v>
      </c>
      <c r="BH1610" s="17" t="s">
        <v>105</v>
      </c>
      <c r="BI1610" s="17"/>
      <c r="BJ1610" s="15"/>
      <c r="BK1610" s="15"/>
      <c r="BL1610" s="13" t="b">
        <v>0</v>
      </c>
      <c r="BM1610" s="10"/>
      <c r="BN1610" s="10" t="s">
        <v>1057</v>
      </c>
      <c r="BO1610" s="11">
        <v>45904.299305555556</v>
      </c>
      <c r="BP1610" s="11">
        <v>45993.708553240744</v>
      </c>
      <c r="BQ1610" s="15">
        <v>45999.481736111113</v>
      </c>
      <c r="BR1610" s="15">
        <v>45999.555</v>
      </c>
      <c r="BS1610" s="10"/>
      <c r="BT1610" s="10" t="s">
        <v>279</v>
      </c>
      <c r="BU1610" s="10" t="s">
        <v>421</v>
      </c>
      <c r="BV1610" s="10"/>
      <c r="BW1610" s="10"/>
      <c r="BX1610" s="10"/>
      <c r="BY1610" s="23"/>
      <c r="BZ1610" s="23"/>
      <c r="CA1610" s="19" t="s">
        <v>12263</v>
      </c>
      <c r="CB1610" s="19" t="s">
        <v>12264</v>
      </c>
      <c r="CC1610" s="23"/>
      <c r="CD1610" s="19" t="s">
        <v>12265</v>
      </c>
      <c r="CE1610" s="23"/>
      <c r="CF1610" s="23"/>
      <c r="CG1610" s="23"/>
      <c r="CH1610" s="23"/>
      <c r="CI1610" s="23"/>
    </row>
    <row r="1611" spans="1:87" x14ac:dyDescent="0.3">
      <c r="A1611" s="9" t="s">
        <v>12266</v>
      </c>
      <c r="B1611" s="10" t="s">
        <v>12267</v>
      </c>
      <c r="C1611" s="11">
        <v>46002.03125</v>
      </c>
      <c r="D1611" s="12">
        <v>8.3333333333333329E-2</v>
      </c>
      <c r="E1611" s="11">
        <v>46002.114583333336</v>
      </c>
      <c r="F1611" s="10" t="s">
        <v>3563</v>
      </c>
      <c r="G1611" s="13" t="b">
        <v>0</v>
      </c>
      <c r="H1611" s="10" t="s">
        <v>3578</v>
      </c>
      <c r="I1611" s="10" t="s">
        <v>89</v>
      </c>
      <c r="J1611" s="13" t="b">
        <v>0</v>
      </c>
      <c r="K1611" s="13" t="b">
        <v>1</v>
      </c>
      <c r="L1611" s="10" t="s">
        <v>124</v>
      </c>
      <c r="M1611" s="10" t="s">
        <v>91</v>
      </c>
      <c r="N1611" s="10" t="s">
        <v>92</v>
      </c>
      <c r="O1611" s="19" t="s">
        <v>12268</v>
      </c>
      <c r="P1611" s="10"/>
      <c r="Q1611" s="10" t="s">
        <v>94</v>
      </c>
      <c r="R1611" s="10"/>
      <c r="S1611" s="19" t="s">
        <v>12269</v>
      </c>
      <c r="T1611" s="19" t="s">
        <v>12270</v>
      </c>
      <c r="U1611" s="10" t="s">
        <v>5018</v>
      </c>
      <c r="V1611" s="10" t="s">
        <v>11499</v>
      </c>
      <c r="W1611" s="10" t="s">
        <v>3569</v>
      </c>
      <c r="X1611" s="10" t="s">
        <v>130</v>
      </c>
      <c r="Y1611" s="10" t="s">
        <v>130</v>
      </c>
      <c r="Z1611" s="10" t="s">
        <v>99</v>
      </c>
      <c r="AA1611" s="10" t="s">
        <v>131</v>
      </c>
      <c r="AB1611" s="10" t="s">
        <v>3570</v>
      </c>
      <c r="AC1611" s="10" t="s">
        <v>3571</v>
      </c>
      <c r="AD1611" s="10" t="s">
        <v>12271</v>
      </c>
      <c r="AE1611" s="10" t="s">
        <v>12272</v>
      </c>
      <c r="AF1611" s="15"/>
      <c r="AG1611" s="10"/>
      <c r="AH1611" s="10"/>
      <c r="AI1611" s="10"/>
      <c r="AJ1611" s="10"/>
      <c r="AK1611" s="10" t="s">
        <v>102</v>
      </c>
      <c r="AL1611" s="10" t="s">
        <v>7897</v>
      </c>
      <c r="AM1611" s="10"/>
      <c r="AN1611" s="10"/>
      <c r="AO1611" s="13" t="b">
        <v>0</v>
      </c>
      <c r="AP1611" s="10" t="s">
        <v>104</v>
      </c>
      <c r="AQ1611" s="10">
        <f ca="1">IFERROR(__xludf.DUMMYFUNCTION("""COMPUTED_VALUE"""),4773292)</f>
        <v>4773292</v>
      </c>
      <c r="AR1611" s="17">
        <v>30832</v>
      </c>
      <c r="AS1611" s="17">
        <v>19722</v>
      </c>
      <c r="AT1611" s="17">
        <v>667514</v>
      </c>
      <c r="AU1611" s="17">
        <v>148.9</v>
      </c>
      <c r="AV1611" s="17">
        <v>69.349999999999994</v>
      </c>
      <c r="AW1611" s="10" t="s">
        <v>105</v>
      </c>
      <c r="AX1611" s="17">
        <v>7164</v>
      </c>
      <c r="AY1611" s="18">
        <v>33.846161646891794</v>
      </c>
      <c r="AZ1611" s="10" t="s">
        <v>168</v>
      </c>
      <c r="BA1611" s="20" t="b">
        <v>0</v>
      </c>
      <c r="BB1611" s="10"/>
      <c r="BC1611" s="17">
        <v>30832</v>
      </c>
      <c r="BD1611" s="17">
        <v>19722</v>
      </c>
      <c r="BE1611" s="17">
        <v>667514</v>
      </c>
      <c r="BF1611" s="17">
        <v>69.349999999999994</v>
      </c>
      <c r="BG1611" s="11">
        <f ca="1">IFERROR(__xludf.DUMMYFUNCTION("""COMPUTED_VALUE"""),46002.03125)</f>
        <v>46002.03125</v>
      </c>
      <c r="BH1611" s="17" t="s">
        <v>105</v>
      </c>
      <c r="BI1611" s="17"/>
      <c r="BJ1611" s="15"/>
      <c r="BK1611" s="15"/>
      <c r="BL1611" s="13" t="b">
        <v>0</v>
      </c>
      <c r="BM1611" s="10"/>
      <c r="BN1611" s="10" t="s">
        <v>157</v>
      </c>
      <c r="BO1611" s="11">
        <v>45904.299305555556</v>
      </c>
      <c r="BP1611" s="11">
        <v>45992.661493055559</v>
      </c>
      <c r="BQ1611" s="15">
        <v>45999.488634259258</v>
      </c>
      <c r="BR1611" s="15">
        <v>46000.455277777779</v>
      </c>
      <c r="BS1611" s="10" t="s">
        <v>157</v>
      </c>
      <c r="BT1611" s="10" t="s">
        <v>279</v>
      </c>
      <c r="BU1611" s="10" t="s">
        <v>6409</v>
      </c>
      <c r="BV1611" s="10"/>
      <c r="BW1611" s="10"/>
      <c r="BX1611" s="10"/>
      <c r="BY1611" s="23"/>
      <c r="BZ1611" s="23"/>
      <c r="CA1611" s="19" t="s">
        <v>12273</v>
      </c>
      <c r="CB1611" s="19" t="s">
        <v>12274</v>
      </c>
      <c r="CC1611" s="23"/>
      <c r="CD1611" s="23"/>
      <c r="CE1611" s="23"/>
      <c r="CF1611" s="23"/>
      <c r="CG1611" s="23"/>
      <c r="CH1611" s="23"/>
      <c r="CI1611" s="23"/>
    </row>
    <row r="1612" spans="1:87" x14ac:dyDescent="0.3">
      <c r="A1612" s="9" t="s">
        <v>12275</v>
      </c>
      <c r="B1612" s="10" t="s">
        <v>12276</v>
      </c>
      <c r="C1612" s="11">
        <v>46002.03125</v>
      </c>
      <c r="D1612" s="12">
        <v>8.3333333333333329E-2</v>
      </c>
      <c r="E1612" s="11">
        <v>46002.114583333336</v>
      </c>
      <c r="F1612" s="10" t="s">
        <v>3563</v>
      </c>
      <c r="G1612" s="13" t="b">
        <v>0</v>
      </c>
      <c r="H1612" s="10" t="s">
        <v>11460</v>
      </c>
      <c r="I1612" s="10" t="s">
        <v>89</v>
      </c>
      <c r="J1612" s="13" t="b">
        <v>0</v>
      </c>
      <c r="K1612" s="13" t="b">
        <v>1</v>
      </c>
      <c r="L1612" s="10" t="s">
        <v>124</v>
      </c>
      <c r="M1612" s="10" t="s">
        <v>91</v>
      </c>
      <c r="N1612" s="10" t="s">
        <v>92</v>
      </c>
      <c r="O1612" s="19" t="s">
        <v>12277</v>
      </c>
      <c r="P1612" s="10"/>
      <c r="Q1612" s="10" t="s">
        <v>94</v>
      </c>
      <c r="R1612" s="10"/>
      <c r="S1612" s="19" t="s">
        <v>12278</v>
      </c>
      <c r="T1612" s="19" t="s">
        <v>12279</v>
      </c>
      <c r="U1612" s="10" t="s">
        <v>3599</v>
      </c>
      <c r="V1612" s="10" t="s">
        <v>3715</v>
      </c>
      <c r="W1612" s="10" t="s">
        <v>3569</v>
      </c>
      <c r="X1612" s="10" t="s">
        <v>130</v>
      </c>
      <c r="Y1612" s="10" t="s">
        <v>130</v>
      </c>
      <c r="Z1612" s="10" t="s">
        <v>99</v>
      </c>
      <c r="AA1612" s="10" t="s">
        <v>131</v>
      </c>
      <c r="AB1612" s="10" t="s">
        <v>3570</v>
      </c>
      <c r="AC1612" s="10" t="s">
        <v>3571</v>
      </c>
      <c r="AD1612" s="10" t="s">
        <v>12280</v>
      </c>
      <c r="AE1612" s="10" t="s">
        <v>12281</v>
      </c>
      <c r="AF1612" s="15"/>
      <c r="AG1612" s="10"/>
      <c r="AH1612" s="10"/>
      <c r="AI1612" s="10"/>
      <c r="AJ1612" s="10"/>
      <c r="AK1612" s="10" t="s">
        <v>102</v>
      </c>
      <c r="AL1612" s="10" t="s">
        <v>7897</v>
      </c>
      <c r="AM1612" s="10"/>
      <c r="AN1612" s="10"/>
      <c r="AO1612" s="13" t="b">
        <v>0</v>
      </c>
      <c r="AP1612" s="10" t="s">
        <v>104</v>
      </c>
      <c r="AQ1612" s="10">
        <f ca="1">IFERROR(__xludf.DUMMYFUNCTION("""COMPUTED_VALUE"""),4773126)</f>
        <v>4773126</v>
      </c>
      <c r="AR1612" s="17">
        <v>29605</v>
      </c>
      <c r="AS1612" s="17">
        <v>21586</v>
      </c>
      <c r="AT1612" s="17">
        <v>634183</v>
      </c>
      <c r="AU1612" s="17">
        <v>98.4</v>
      </c>
      <c r="AV1612" s="17">
        <v>43.9</v>
      </c>
      <c r="AW1612" s="10" t="s">
        <v>105</v>
      </c>
      <c r="AX1612" s="17">
        <v>5679</v>
      </c>
      <c r="AY1612" s="18">
        <v>29.379366255906607</v>
      </c>
      <c r="AZ1612" s="10" t="s">
        <v>168</v>
      </c>
      <c r="BA1612" s="20" t="b">
        <v>0</v>
      </c>
      <c r="BB1612" s="10"/>
      <c r="BC1612" s="17">
        <v>29605</v>
      </c>
      <c r="BD1612" s="17">
        <v>21586</v>
      </c>
      <c r="BE1612" s="17">
        <v>634183</v>
      </c>
      <c r="BF1612" s="17">
        <v>43.9</v>
      </c>
      <c r="BG1612" s="11">
        <f ca="1">IFERROR(__xludf.DUMMYFUNCTION("""COMPUTED_VALUE"""),46002.03125)</f>
        <v>46002.03125</v>
      </c>
      <c r="BH1612" s="17" t="s">
        <v>105</v>
      </c>
      <c r="BI1612" s="17"/>
      <c r="BJ1612" s="15"/>
      <c r="BK1612" s="15"/>
      <c r="BL1612" s="13" t="b">
        <v>0</v>
      </c>
      <c r="BM1612" s="10"/>
      <c r="BN1612" s="10" t="s">
        <v>6278</v>
      </c>
      <c r="BO1612" s="11">
        <v>45904.299305555556</v>
      </c>
      <c r="BP1612" s="11">
        <v>45992.661319444444</v>
      </c>
      <c r="BQ1612" s="15">
        <v>45999.488483796296</v>
      </c>
      <c r="BR1612" s="15">
        <v>45999.854872685188</v>
      </c>
      <c r="BS1612" s="10" t="s">
        <v>6278</v>
      </c>
      <c r="BT1612" s="10" t="s">
        <v>279</v>
      </c>
      <c r="BU1612" s="10" t="s">
        <v>298</v>
      </c>
      <c r="BV1612" s="10"/>
      <c r="BW1612" s="10"/>
      <c r="BX1612" s="10"/>
      <c r="BY1612" s="23"/>
      <c r="BZ1612" s="23"/>
      <c r="CA1612" s="19" t="s">
        <v>12282</v>
      </c>
      <c r="CB1612" s="19" t="s">
        <v>12283</v>
      </c>
      <c r="CC1612" s="23"/>
      <c r="CD1612" s="23"/>
      <c r="CE1612" s="23"/>
      <c r="CF1612" s="23"/>
      <c r="CG1612" s="23"/>
      <c r="CH1612" s="23"/>
      <c r="CI1612" s="23"/>
    </row>
    <row r="1613" spans="1:87" x14ac:dyDescent="0.3">
      <c r="A1613" s="9" t="s">
        <v>12284</v>
      </c>
      <c r="B1613" s="10" t="s">
        <v>12285</v>
      </c>
      <c r="C1613" s="11">
        <v>46002.125</v>
      </c>
      <c r="D1613" s="12">
        <v>8.3333333333333329E-2</v>
      </c>
      <c r="E1613" s="11">
        <v>46002.208333333336</v>
      </c>
      <c r="F1613" s="10" t="s">
        <v>3563</v>
      </c>
      <c r="G1613" s="13" t="b">
        <v>0</v>
      </c>
      <c r="H1613" s="10" t="s">
        <v>5239</v>
      </c>
      <c r="I1613" s="10" t="s">
        <v>89</v>
      </c>
      <c r="J1613" s="13" t="b">
        <v>0</v>
      </c>
      <c r="K1613" s="13" t="b">
        <v>1</v>
      </c>
      <c r="L1613" s="10" t="s">
        <v>124</v>
      </c>
      <c r="M1613" s="10" t="s">
        <v>91</v>
      </c>
      <c r="N1613" s="10" t="s">
        <v>92</v>
      </c>
      <c r="O1613" s="19" t="s">
        <v>12286</v>
      </c>
      <c r="P1613" s="10"/>
      <c r="Q1613" s="10" t="s">
        <v>126</v>
      </c>
      <c r="R1613" s="10"/>
      <c r="S1613" s="19" t="s">
        <v>12287</v>
      </c>
      <c r="T1613" s="19" t="s">
        <v>12288</v>
      </c>
      <c r="U1613" s="10" t="s">
        <v>11500</v>
      </c>
      <c r="V1613" s="10" t="s">
        <v>293</v>
      </c>
      <c r="W1613" s="10" t="s">
        <v>3569</v>
      </c>
      <c r="X1613" s="10" t="s">
        <v>130</v>
      </c>
      <c r="Y1613" s="10" t="s">
        <v>130</v>
      </c>
      <c r="Z1613" s="10" t="s">
        <v>99</v>
      </c>
      <c r="AA1613" s="10" t="s">
        <v>131</v>
      </c>
      <c r="AB1613" s="10" t="s">
        <v>3570</v>
      </c>
      <c r="AC1613" s="10" t="s">
        <v>3571</v>
      </c>
      <c r="AD1613" s="10" t="s">
        <v>12289</v>
      </c>
      <c r="AE1613" s="10" t="s">
        <v>12290</v>
      </c>
      <c r="AF1613" s="15"/>
      <c r="AG1613" s="10"/>
      <c r="AH1613" s="10"/>
      <c r="AI1613" s="10"/>
      <c r="AJ1613" s="10"/>
      <c r="AK1613" s="10" t="s">
        <v>102</v>
      </c>
      <c r="AL1613" s="10" t="s">
        <v>7897</v>
      </c>
      <c r="AM1613" s="10"/>
      <c r="AN1613" s="10"/>
      <c r="AO1613" s="13" t="b">
        <v>0</v>
      </c>
      <c r="AP1613" s="10" t="s">
        <v>104</v>
      </c>
      <c r="AQ1613" s="10">
        <f ca="1">IFERROR(__xludf.DUMMYFUNCTION("""COMPUTED_VALUE"""),4773345)</f>
        <v>4773345</v>
      </c>
      <c r="AR1613" s="17">
        <v>11510</v>
      </c>
      <c r="AS1613" s="17">
        <v>7528</v>
      </c>
      <c r="AT1613" s="17">
        <v>63528.25</v>
      </c>
      <c r="AU1613" s="17">
        <v>10.4</v>
      </c>
      <c r="AV1613" s="17">
        <v>2.7</v>
      </c>
      <c r="AW1613" s="10" t="s">
        <v>105</v>
      </c>
      <c r="AX1613" s="17">
        <v>1576</v>
      </c>
      <c r="AY1613" s="18">
        <v>8.4389280021253992</v>
      </c>
      <c r="AZ1613" s="10" t="s">
        <v>168</v>
      </c>
      <c r="BA1613" s="20" t="b">
        <v>0</v>
      </c>
      <c r="BB1613" s="10"/>
      <c r="BC1613" s="17">
        <v>11510</v>
      </c>
      <c r="BD1613" s="17">
        <v>7528</v>
      </c>
      <c r="BE1613" s="17">
        <v>63528.25</v>
      </c>
      <c r="BF1613" s="17">
        <v>2.7</v>
      </c>
      <c r="BG1613" s="11">
        <f ca="1">IFERROR(__xludf.DUMMYFUNCTION("""COMPUTED_VALUE"""),46002.125)</f>
        <v>46002.125</v>
      </c>
      <c r="BH1613" s="17" t="s">
        <v>105</v>
      </c>
      <c r="BI1613" s="17"/>
      <c r="BJ1613" s="15"/>
      <c r="BK1613" s="15"/>
      <c r="BL1613" s="13" t="b">
        <v>0</v>
      </c>
      <c r="BM1613" s="10"/>
      <c r="BN1613" s="10" t="s">
        <v>6278</v>
      </c>
      <c r="BO1613" s="11">
        <v>45904.299305555556</v>
      </c>
      <c r="BP1613" s="11">
        <v>45993.708622685182</v>
      </c>
      <c r="BQ1613" s="15">
        <v>45999.489317129628</v>
      </c>
      <c r="BR1613" s="15">
        <v>46000.559074074074</v>
      </c>
      <c r="BS1613" s="10" t="s">
        <v>6278</v>
      </c>
      <c r="BT1613" s="10" t="s">
        <v>279</v>
      </c>
      <c r="BU1613" s="10" t="s">
        <v>421</v>
      </c>
      <c r="BV1613" s="10"/>
      <c r="BW1613" s="10"/>
      <c r="BX1613" s="10"/>
      <c r="BY1613" s="23"/>
      <c r="BZ1613" s="23"/>
      <c r="CA1613" s="19" t="s">
        <v>12291</v>
      </c>
      <c r="CB1613" s="19" t="s">
        <v>12292</v>
      </c>
      <c r="CC1613" s="23"/>
      <c r="CD1613" s="19" t="s">
        <v>12293</v>
      </c>
      <c r="CE1613" s="23"/>
      <c r="CF1613" s="23"/>
      <c r="CG1613" s="23"/>
      <c r="CH1613" s="23"/>
      <c r="CI1613" s="23"/>
    </row>
    <row r="1614" spans="1:87" x14ac:dyDescent="0.3">
      <c r="A1614" s="9" t="s">
        <v>12294</v>
      </c>
      <c r="B1614" s="10" t="s">
        <v>12295</v>
      </c>
      <c r="C1614" s="11">
        <v>46002.125</v>
      </c>
      <c r="D1614" s="12">
        <v>8.3333333333333329E-2</v>
      </c>
      <c r="E1614" s="11">
        <v>46002.208333333336</v>
      </c>
      <c r="F1614" s="10" t="s">
        <v>3563</v>
      </c>
      <c r="G1614" s="13" t="b">
        <v>0</v>
      </c>
      <c r="H1614" s="10" t="s">
        <v>3578</v>
      </c>
      <c r="I1614" s="10" t="s">
        <v>89</v>
      </c>
      <c r="J1614" s="13" t="b">
        <v>0</v>
      </c>
      <c r="K1614" s="13" t="b">
        <v>1</v>
      </c>
      <c r="L1614" s="10" t="s">
        <v>124</v>
      </c>
      <c r="M1614" s="10" t="s">
        <v>91</v>
      </c>
      <c r="N1614" s="10" t="s">
        <v>92</v>
      </c>
      <c r="O1614" s="19" t="s">
        <v>12296</v>
      </c>
      <c r="P1614" s="10"/>
      <c r="Q1614" s="10" t="s">
        <v>126</v>
      </c>
      <c r="R1614" s="10"/>
      <c r="S1614" s="19" t="s">
        <v>12297</v>
      </c>
      <c r="T1614" s="19" t="s">
        <v>12298</v>
      </c>
      <c r="U1614" s="10" t="s">
        <v>5113</v>
      </c>
      <c r="V1614" s="10" t="s">
        <v>334</v>
      </c>
      <c r="W1614" s="10" t="s">
        <v>3569</v>
      </c>
      <c r="X1614" s="10" t="s">
        <v>130</v>
      </c>
      <c r="Y1614" s="10" t="s">
        <v>130</v>
      </c>
      <c r="Z1614" s="10" t="s">
        <v>99</v>
      </c>
      <c r="AA1614" s="10" t="s">
        <v>131</v>
      </c>
      <c r="AB1614" s="10" t="s">
        <v>3570</v>
      </c>
      <c r="AC1614" s="10" t="s">
        <v>3571</v>
      </c>
      <c r="AD1614" s="10" t="s">
        <v>12299</v>
      </c>
      <c r="AE1614" s="10" t="s">
        <v>12300</v>
      </c>
      <c r="AF1614" s="15"/>
      <c r="AG1614" s="10"/>
      <c r="AH1614" s="10"/>
      <c r="AI1614" s="10"/>
      <c r="AJ1614" s="10"/>
      <c r="AK1614" s="10" t="s">
        <v>102</v>
      </c>
      <c r="AL1614" s="10" t="s">
        <v>7897</v>
      </c>
      <c r="AM1614" s="10"/>
      <c r="AN1614" s="10"/>
      <c r="AO1614" s="13" t="b">
        <v>1</v>
      </c>
      <c r="AP1614" s="10" t="s">
        <v>104</v>
      </c>
      <c r="AQ1614" s="10">
        <f ca="1">IFERROR(__xludf.DUMMYFUNCTION("""COMPUTED_VALUE"""),4773128)</f>
        <v>4773128</v>
      </c>
      <c r="AR1614" s="17">
        <v>270640</v>
      </c>
      <c r="AS1614" s="17">
        <v>164331</v>
      </c>
      <c r="AT1614" s="17">
        <v>9159512.75</v>
      </c>
      <c r="AU1614" s="17">
        <v>2922.6</v>
      </c>
      <c r="AV1614" s="17">
        <v>1013.4</v>
      </c>
      <c r="AW1614" s="10" t="s">
        <v>105</v>
      </c>
      <c r="AX1614" s="17">
        <v>103243</v>
      </c>
      <c r="AY1614" s="18">
        <v>55.738191515903878</v>
      </c>
      <c r="AZ1614" s="10" t="s">
        <v>168</v>
      </c>
      <c r="BA1614" s="20" t="b">
        <v>0</v>
      </c>
      <c r="BB1614" s="10"/>
      <c r="BC1614" s="17">
        <v>270640</v>
      </c>
      <c r="BD1614" s="17">
        <v>164331</v>
      </c>
      <c r="BE1614" s="17">
        <v>9159512.75</v>
      </c>
      <c r="BF1614" s="17">
        <v>1013.4</v>
      </c>
      <c r="BG1614" s="11">
        <f ca="1">IFERROR(__xludf.DUMMYFUNCTION("""COMPUTED_VALUE"""),46002.125)</f>
        <v>46002.125</v>
      </c>
      <c r="BH1614" s="17" t="s">
        <v>105</v>
      </c>
      <c r="BI1614" s="17"/>
      <c r="BJ1614" s="15"/>
      <c r="BK1614" s="15"/>
      <c r="BL1614" s="13" t="b">
        <v>0</v>
      </c>
      <c r="BM1614" s="10"/>
      <c r="BN1614" s="10" t="s">
        <v>6278</v>
      </c>
      <c r="BO1614" s="11">
        <v>45904.299305555556</v>
      </c>
      <c r="BP1614" s="11">
        <v>45993.707314814812</v>
      </c>
      <c r="BQ1614" s="15">
        <v>45999.489490740743</v>
      </c>
      <c r="BR1614" s="15">
        <v>45999.858391203707</v>
      </c>
      <c r="BS1614" s="10" t="s">
        <v>6278</v>
      </c>
      <c r="BT1614" s="10" t="s">
        <v>279</v>
      </c>
      <c r="BU1614" s="10" t="s">
        <v>6409</v>
      </c>
      <c r="BV1614" s="10" t="s">
        <v>281</v>
      </c>
      <c r="BW1614" s="10" t="s">
        <v>2100</v>
      </c>
      <c r="BX1614" s="10"/>
      <c r="BY1614" s="23"/>
      <c r="BZ1614" s="23"/>
      <c r="CA1614" s="19" t="s">
        <v>12301</v>
      </c>
      <c r="CB1614" s="19" t="s">
        <v>12302</v>
      </c>
      <c r="CC1614" s="23"/>
      <c r="CD1614" s="19" t="s">
        <v>12303</v>
      </c>
      <c r="CE1614" s="23"/>
      <c r="CF1614" s="23"/>
      <c r="CG1614" s="23"/>
      <c r="CH1614" s="23"/>
      <c r="CI1614" s="23"/>
    </row>
    <row r="1615" spans="1:87" x14ac:dyDescent="0.3">
      <c r="A1615" s="9" t="s">
        <v>12304</v>
      </c>
      <c r="B1615" s="10" t="s">
        <v>12305</v>
      </c>
      <c r="C1615" s="11">
        <v>46002.125</v>
      </c>
      <c r="D1615" s="12">
        <v>8.3333333333333329E-2</v>
      </c>
      <c r="E1615" s="11">
        <v>46002.208333333336</v>
      </c>
      <c r="F1615" s="10" t="s">
        <v>3563</v>
      </c>
      <c r="G1615" s="13" t="b">
        <v>0</v>
      </c>
      <c r="H1615" s="10" t="s">
        <v>5239</v>
      </c>
      <c r="I1615" s="10" t="s">
        <v>89</v>
      </c>
      <c r="J1615" s="13" t="b">
        <v>0</v>
      </c>
      <c r="K1615" s="13" t="b">
        <v>1</v>
      </c>
      <c r="L1615" s="10" t="s">
        <v>124</v>
      </c>
      <c r="M1615" s="10" t="s">
        <v>91</v>
      </c>
      <c r="N1615" s="10" t="s">
        <v>92</v>
      </c>
      <c r="O1615" s="19" t="s">
        <v>12306</v>
      </c>
      <c r="P1615" s="10"/>
      <c r="Q1615" s="10" t="s">
        <v>126</v>
      </c>
      <c r="R1615" s="10"/>
      <c r="S1615" s="19" t="s">
        <v>12307</v>
      </c>
      <c r="T1615" s="19" t="s">
        <v>12308</v>
      </c>
      <c r="U1615" s="10" t="s">
        <v>3582</v>
      </c>
      <c r="V1615" s="10" t="s">
        <v>3318</v>
      </c>
      <c r="W1615" s="10" t="s">
        <v>3569</v>
      </c>
      <c r="X1615" s="10" t="s">
        <v>130</v>
      </c>
      <c r="Y1615" s="10" t="s">
        <v>130</v>
      </c>
      <c r="Z1615" s="10" t="s">
        <v>99</v>
      </c>
      <c r="AA1615" s="10" t="s">
        <v>131</v>
      </c>
      <c r="AB1615" s="10" t="s">
        <v>3570</v>
      </c>
      <c r="AC1615" s="10" t="s">
        <v>3571</v>
      </c>
      <c r="AD1615" s="10" t="s">
        <v>12309</v>
      </c>
      <c r="AE1615" s="10" t="s">
        <v>12310</v>
      </c>
      <c r="AF1615" s="15"/>
      <c r="AG1615" s="10"/>
      <c r="AH1615" s="10"/>
      <c r="AI1615" s="10"/>
      <c r="AJ1615" s="10"/>
      <c r="AK1615" s="10" t="s">
        <v>102</v>
      </c>
      <c r="AL1615" s="10" t="s">
        <v>7897</v>
      </c>
      <c r="AM1615" s="10"/>
      <c r="AN1615" s="10"/>
      <c r="AO1615" s="13" t="b">
        <v>0</v>
      </c>
      <c r="AP1615" s="10" t="s">
        <v>104</v>
      </c>
      <c r="AQ1615" s="10">
        <f ca="1">IFERROR(__xludf.DUMMYFUNCTION("""COMPUTED_VALUE"""),4773338)</f>
        <v>4773338</v>
      </c>
      <c r="AR1615" s="17">
        <v>14749</v>
      </c>
      <c r="AS1615" s="17">
        <v>10010</v>
      </c>
      <c r="AT1615" s="17">
        <v>49539.5</v>
      </c>
      <c r="AU1615" s="17">
        <v>9.6</v>
      </c>
      <c r="AV1615" s="17">
        <v>2.0499999999999998</v>
      </c>
      <c r="AW1615" s="10" t="s">
        <v>105</v>
      </c>
      <c r="AX1615" s="17">
        <v>2966</v>
      </c>
      <c r="AY1615" s="18">
        <v>4.9490009990009991</v>
      </c>
      <c r="AZ1615" s="10" t="s">
        <v>168</v>
      </c>
      <c r="BA1615" s="20" t="b">
        <v>0</v>
      </c>
      <c r="BB1615" s="10"/>
      <c r="BC1615" s="17">
        <v>14749</v>
      </c>
      <c r="BD1615" s="17">
        <v>10010</v>
      </c>
      <c r="BE1615" s="17">
        <v>49539.5</v>
      </c>
      <c r="BF1615" s="17">
        <v>2.0499999999999998</v>
      </c>
      <c r="BG1615" s="11">
        <f ca="1">IFERROR(__xludf.DUMMYFUNCTION("""COMPUTED_VALUE"""),46002.125)</f>
        <v>46002.125</v>
      </c>
      <c r="BH1615" s="17" t="s">
        <v>105</v>
      </c>
      <c r="BI1615" s="17"/>
      <c r="BJ1615" s="15"/>
      <c r="BK1615" s="15"/>
      <c r="BL1615" s="13" t="b">
        <v>0</v>
      </c>
      <c r="BM1615" s="10"/>
      <c r="BN1615" s="10" t="s">
        <v>6278</v>
      </c>
      <c r="BO1615" s="11">
        <v>45904.299305555556</v>
      </c>
      <c r="BP1615" s="11">
        <v>45993.708668981482</v>
      </c>
      <c r="BQ1615" s="15">
        <v>45999.488796296297</v>
      </c>
      <c r="BR1615" s="15">
        <v>46000.558645833335</v>
      </c>
      <c r="BS1615" s="10" t="s">
        <v>6278</v>
      </c>
      <c r="BT1615" s="10" t="s">
        <v>279</v>
      </c>
      <c r="BU1615" s="10" t="s">
        <v>498</v>
      </c>
      <c r="BV1615" s="10"/>
      <c r="BW1615" s="10"/>
      <c r="BX1615" s="10"/>
      <c r="BY1615" s="23"/>
      <c r="BZ1615" s="23"/>
      <c r="CA1615" s="19" t="s">
        <v>12311</v>
      </c>
      <c r="CB1615" s="19" t="s">
        <v>12312</v>
      </c>
      <c r="CC1615" s="23"/>
      <c r="CD1615" s="19" t="s">
        <v>12313</v>
      </c>
      <c r="CE1615" s="23"/>
      <c r="CF1615" s="23"/>
      <c r="CG1615" s="23"/>
      <c r="CH1615" s="23"/>
      <c r="CI1615" s="23"/>
    </row>
    <row r="1616" spans="1:87" x14ac:dyDescent="0.3">
      <c r="A1616" s="9" t="s">
        <v>12314</v>
      </c>
      <c r="B1616" s="10" t="s">
        <v>12315</v>
      </c>
      <c r="C1616" s="11">
        <v>46002.125</v>
      </c>
      <c r="D1616" s="12">
        <v>8.3333333333333329E-2</v>
      </c>
      <c r="E1616" s="11">
        <v>46002.208333333336</v>
      </c>
      <c r="F1616" s="10" t="s">
        <v>3563</v>
      </c>
      <c r="G1616" s="13" t="b">
        <v>0</v>
      </c>
      <c r="H1616" s="10" t="s">
        <v>11460</v>
      </c>
      <c r="I1616" s="10" t="s">
        <v>89</v>
      </c>
      <c r="J1616" s="13" t="b">
        <v>0</v>
      </c>
      <c r="K1616" s="13" t="b">
        <v>1</v>
      </c>
      <c r="L1616" s="10" t="s">
        <v>124</v>
      </c>
      <c r="M1616" s="10" t="s">
        <v>91</v>
      </c>
      <c r="N1616" s="10" t="s">
        <v>92</v>
      </c>
      <c r="O1616" s="19" t="s">
        <v>12316</v>
      </c>
      <c r="P1616" s="10"/>
      <c r="Q1616" s="10" t="s">
        <v>126</v>
      </c>
      <c r="R1616" s="10"/>
      <c r="S1616" s="19" t="s">
        <v>12317</v>
      </c>
      <c r="T1616" s="19" t="s">
        <v>12318</v>
      </c>
      <c r="U1616" s="10" t="s">
        <v>3568</v>
      </c>
      <c r="V1616" s="10" t="s">
        <v>362</v>
      </c>
      <c r="W1616" s="10" t="s">
        <v>3569</v>
      </c>
      <c r="X1616" s="10" t="s">
        <v>130</v>
      </c>
      <c r="Y1616" s="10" t="s">
        <v>130</v>
      </c>
      <c r="Z1616" s="10" t="s">
        <v>99</v>
      </c>
      <c r="AA1616" s="10" t="s">
        <v>131</v>
      </c>
      <c r="AB1616" s="10" t="s">
        <v>3570</v>
      </c>
      <c r="AC1616" s="10" t="s">
        <v>3571</v>
      </c>
      <c r="AD1616" s="10" t="s">
        <v>12319</v>
      </c>
      <c r="AE1616" s="10" t="s">
        <v>12320</v>
      </c>
      <c r="AF1616" s="15"/>
      <c r="AG1616" s="10"/>
      <c r="AH1616" s="10"/>
      <c r="AI1616" s="10"/>
      <c r="AJ1616" s="10"/>
      <c r="AK1616" s="10" t="s">
        <v>102</v>
      </c>
      <c r="AL1616" s="10" t="s">
        <v>7897</v>
      </c>
      <c r="AM1616" s="10"/>
      <c r="AN1616" s="10"/>
      <c r="AO1616" s="13" t="b">
        <v>1</v>
      </c>
      <c r="AP1616" s="10" t="s">
        <v>104</v>
      </c>
      <c r="AQ1616" s="10">
        <f ca="1">IFERROR(__xludf.DUMMYFUNCTION("""COMPUTED_VALUE"""),4773127)</f>
        <v>4773127</v>
      </c>
      <c r="AR1616" s="17">
        <v>61852</v>
      </c>
      <c r="AS1616" s="17">
        <v>39930</v>
      </c>
      <c r="AT1616" s="17">
        <v>880598.25</v>
      </c>
      <c r="AU1616" s="17">
        <v>105.85</v>
      </c>
      <c r="AV1616" s="17">
        <v>27.25</v>
      </c>
      <c r="AW1616" s="10" t="s">
        <v>105</v>
      </c>
      <c r="AX1616" s="17">
        <v>13081</v>
      </c>
      <c r="AY1616" s="18">
        <v>22.053549962434261</v>
      </c>
      <c r="AZ1616" s="10" t="s">
        <v>168</v>
      </c>
      <c r="BA1616" s="20" t="b">
        <v>0</v>
      </c>
      <c r="BB1616" s="10"/>
      <c r="BC1616" s="17">
        <v>61852</v>
      </c>
      <c r="BD1616" s="17">
        <v>39930</v>
      </c>
      <c r="BE1616" s="17">
        <v>880598.25</v>
      </c>
      <c r="BF1616" s="17">
        <v>27.25</v>
      </c>
      <c r="BG1616" s="11">
        <f ca="1">IFERROR(__xludf.DUMMYFUNCTION("""COMPUTED_VALUE"""),46002.125)</f>
        <v>46002.125</v>
      </c>
      <c r="BH1616" s="17" t="s">
        <v>105</v>
      </c>
      <c r="BI1616" s="17"/>
      <c r="BJ1616" s="15"/>
      <c r="BK1616" s="15"/>
      <c r="BL1616" s="13" t="b">
        <v>0</v>
      </c>
      <c r="BM1616" s="10"/>
      <c r="BN1616" s="10" t="s">
        <v>6278</v>
      </c>
      <c r="BO1616" s="11">
        <v>45904.299305555556</v>
      </c>
      <c r="BP1616" s="11">
        <v>45993.707488425927</v>
      </c>
      <c r="BQ1616" s="15">
        <v>45999.489641203705</v>
      </c>
      <c r="BR1616" s="15">
        <v>45999.855069444442</v>
      </c>
      <c r="BS1616" s="10" t="s">
        <v>6278</v>
      </c>
      <c r="BT1616" s="10" t="s">
        <v>279</v>
      </c>
      <c r="BU1616" s="10" t="s">
        <v>280</v>
      </c>
      <c r="BV1616" s="10"/>
      <c r="BW1616" s="10"/>
      <c r="BX1616" s="10"/>
      <c r="BY1616" s="23"/>
      <c r="BZ1616" s="23"/>
      <c r="CA1616" s="19" t="s">
        <v>12321</v>
      </c>
      <c r="CB1616" s="19" t="s">
        <v>12322</v>
      </c>
      <c r="CC1616" s="23"/>
      <c r="CD1616" s="19" t="s">
        <v>12323</v>
      </c>
      <c r="CE1616" s="23"/>
      <c r="CF1616" s="23"/>
      <c r="CG1616" s="23"/>
      <c r="CH1616" s="23"/>
      <c r="CI1616" s="23"/>
    </row>
    <row r="1617" spans="1:87" x14ac:dyDescent="0.3">
      <c r="A1617" s="9" t="s">
        <v>12324</v>
      </c>
      <c r="B1617" s="10" t="s">
        <v>12325</v>
      </c>
      <c r="C1617" s="11">
        <v>46002.125</v>
      </c>
      <c r="D1617" s="12">
        <v>8.3333333333333329E-2</v>
      </c>
      <c r="E1617" s="11">
        <v>46002.208333333336</v>
      </c>
      <c r="F1617" s="10" t="s">
        <v>3563</v>
      </c>
      <c r="G1617" s="13" t="b">
        <v>0</v>
      </c>
      <c r="H1617" s="10" t="s">
        <v>3564</v>
      </c>
      <c r="I1617" s="10" t="s">
        <v>89</v>
      </c>
      <c r="J1617" s="13" t="b">
        <v>0</v>
      </c>
      <c r="K1617" s="13" t="b">
        <v>1</v>
      </c>
      <c r="L1617" s="10" t="s">
        <v>124</v>
      </c>
      <c r="M1617" s="10" t="s">
        <v>91</v>
      </c>
      <c r="N1617" s="10" t="s">
        <v>92</v>
      </c>
      <c r="O1617" s="19" t="s">
        <v>12326</v>
      </c>
      <c r="P1617" s="10"/>
      <c r="Q1617" s="10" t="s">
        <v>126</v>
      </c>
      <c r="R1617" s="10"/>
      <c r="S1617" s="19" t="s">
        <v>12327</v>
      </c>
      <c r="T1617" s="19" t="s">
        <v>12328</v>
      </c>
      <c r="U1617" s="10" t="s">
        <v>5076</v>
      </c>
      <c r="V1617" s="10" t="s">
        <v>11474</v>
      </c>
      <c r="W1617" s="10" t="s">
        <v>3569</v>
      </c>
      <c r="X1617" s="10" t="s">
        <v>130</v>
      </c>
      <c r="Y1617" s="10" t="s">
        <v>130</v>
      </c>
      <c r="Z1617" s="10" t="s">
        <v>99</v>
      </c>
      <c r="AA1617" s="10" t="s">
        <v>131</v>
      </c>
      <c r="AB1617" s="10" t="s">
        <v>3570</v>
      </c>
      <c r="AC1617" s="10" t="s">
        <v>3571</v>
      </c>
      <c r="AD1617" s="10" t="s">
        <v>12329</v>
      </c>
      <c r="AE1617" s="10" t="s">
        <v>12330</v>
      </c>
      <c r="AF1617" s="15"/>
      <c r="AG1617" s="10"/>
      <c r="AH1617" s="10"/>
      <c r="AI1617" s="10"/>
      <c r="AJ1617" s="10"/>
      <c r="AK1617" s="10" t="s">
        <v>102</v>
      </c>
      <c r="AL1617" s="10" t="s">
        <v>7897</v>
      </c>
      <c r="AM1617" s="10"/>
      <c r="AN1617" s="10"/>
      <c r="AO1617" s="13" t="b">
        <v>1</v>
      </c>
      <c r="AP1617" s="10" t="s">
        <v>104</v>
      </c>
      <c r="AQ1617" s="10">
        <f ca="1">IFERROR(__xludf.DUMMYFUNCTION("""COMPUTED_VALUE"""),4773299)</f>
        <v>4773299</v>
      </c>
      <c r="AR1617" s="17">
        <v>17555</v>
      </c>
      <c r="AS1617" s="17">
        <v>12132</v>
      </c>
      <c r="AT1617" s="17">
        <v>111428.75</v>
      </c>
      <c r="AU1617" s="17">
        <v>23</v>
      </c>
      <c r="AV1617" s="17">
        <v>9.35</v>
      </c>
      <c r="AW1617" s="10" t="s">
        <v>105</v>
      </c>
      <c r="AX1617" s="17">
        <v>2544</v>
      </c>
      <c r="AY1617" s="18">
        <v>9.1846974942301358</v>
      </c>
      <c r="AZ1617" s="10" t="s">
        <v>168</v>
      </c>
      <c r="BA1617" s="20" t="b">
        <v>0</v>
      </c>
      <c r="BB1617" s="10"/>
      <c r="BC1617" s="17">
        <v>17555</v>
      </c>
      <c r="BD1617" s="17">
        <v>12132</v>
      </c>
      <c r="BE1617" s="17">
        <v>111428.75</v>
      </c>
      <c r="BF1617" s="17">
        <v>9.35</v>
      </c>
      <c r="BG1617" s="11">
        <f ca="1">IFERROR(__xludf.DUMMYFUNCTION("""COMPUTED_VALUE"""),46002.125)</f>
        <v>46002.125</v>
      </c>
      <c r="BH1617" s="17" t="s">
        <v>105</v>
      </c>
      <c r="BI1617" s="17"/>
      <c r="BJ1617" s="15"/>
      <c r="BK1617" s="15"/>
      <c r="BL1617" s="13" t="b">
        <v>0</v>
      </c>
      <c r="BM1617" s="10"/>
      <c r="BN1617" s="10" t="s">
        <v>157</v>
      </c>
      <c r="BO1617" s="11">
        <v>45904.299305555556</v>
      </c>
      <c r="BP1617" s="11">
        <v>45992.661620370367</v>
      </c>
      <c r="BQ1617" s="15">
        <v>45999.488298611112</v>
      </c>
      <c r="BR1617" s="15">
        <v>46000.455439814818</v>
      </c>
      <c r="BS1617" s="10" t="s">
        <v>157</v>
      </c>
      <c r="BT1617" s="10" t="s">
        <v>279</v>
      </c>
      <c r="BU1617" s="10" t="s">
        <v>8057</v>
      </c>
      <c r="BV1617" s="10"/>
      <c r="BW1617" s="10"/>
      <c r="BX1617" s="10"/>
      <c r="BY1617" s="23"/>
      <c r="BZ1617" s="23"/>
      <c r="CA1617" s="19" t="s">
        <v>12331</v>
      </c>
      <c r="CB1617" s="19" t="s">
        <v>12332</v>
      </c>
      <c r="CC1617" s="23"/>
      <c r="CD1617" s="19" t="s">
        <v>12333</v>
      </c>
      <c r="CE1617" s="23"/>
      <c r="CF1617" s="23"/>
      <c r="CG1617" s="23"/>
      <c r="CH1617" s="23"/>
      <c r="CI1617" s="23"/>
    </row>
    <row r="1618" spans="1:87" x14ac:dyDescent="0.3">
      <c r="A1618" s="9" t="s">
        <v>12334</v>
      </c>
      <c r="B1618" s="10" t="s">
        <v>12335</v>
      </c>
      <c r="C1618" s="11">
        <v>46002.125</v>
      </c>
      <c r="D1618" s="12">
        <v>8.3333333333333329E-2</v>
      </c>
      <c r="E1618" s="11">
        <v>46002.208333333336</v>
      </c>
      <c r="F1618" s="10" t="s">
        <v>3563</v>
      </c>
      <c r="G1618" s="13" t="b">
        <v>0</v>
      </c>
      <c r="H1618" s="10" t="s">
        <v>5239</v>
      </c>
      <c r="I1618" s="10" t="s">
        <v>89</v>
      </c>
      <c r="J1618" s="13" t="b">
        <v>0</v>
      </c>
      <c r="K1618" s="13" t="b">
        <v>1</v>
      </c>
      <c r="L1618" s="10" t="s">
        <v>124</v>
      </c>
      <c r="M1618" s="10" t="s">
        <v>91</v>
      </c>
      <c r="N1618" s="10" t="s">
        <v>92</v>
      </c>
      <c r="O1618" s="19" t="s">
        <v>12336</v>
      </c>
      <c r="P1618" s="10"/>
      <c r="Q1618" s="10" t="s">
        <v>126</v>
      </c>
      <c r="R1618" s="10"/>
      <c r="S1618" s="19" t="s">
        <v>12337</v>
      </c>
      <c r="T1618" s="19" t="s">
        <v>12338</v>
      </c>
      <c r="U1618" s="10" t="s">
        <v>3259</v>
      </c>
      <c r="V1618" s="10" t="s">
        <v>3590</v>
      </c>
      <c r="W1618" s="10" t="s">
        <v>3569</v>
      </c>
      <c r="X1618" s="10" t="s">
        <v>130</v>
      </c>
      <c r="Y1618" s="10" t="s">
        <v>130</v>
      </c>
      <c r="Z1618" s="10" t="s">
        <v>99</v>
      </c>
      <c r="AA1618" s="10" t="s">
        <v>131</v>
      </c>
      <c r="AB1618" s="10" t="s">
        <v>3570</v>
      </c>
      <c r="AC1618" s="10" t="s">
        <v>3571</v>
      </c>
      <c r="AD1618" s="10" t="s">
        <v>12339</v>
      </c>
      <c r="AE1618" s="10" t="s">
        <v>12340</v>
      </c>
      <c r="AF1618" s="15"/>
      <c r="AG1618" s="10"/>
      <c r="AH1618" s="10"/>
      <c r="AI1618" s="10"/>
      <c r="AJ1618" s="10"/>
      <c r="AK1618" s="10" t="s">
        <v>102</v>
      </c>
      <c r="AL1618" s="10" t="s">
        <v>7897</v>
      </c>
      <c r="AM1618" s="10"/>
      <c r="AN1618" s="10"/>
      <c r="AO1618" s="13" t="b">
        <v>1</v>
      </c>
      <c r="AP1618" s="10" t="s">
        <v>104</v>
      </c>
      <c r="AQ1618" s="10">
        <f ca="1">IFERROR(__xludf.DUMMYFUNCTION("""COMPUTED_VALUE"""),4773343)</f>
        <v>4773343</v>
      </c>
      <c r="AR1618" s="17">
        <v>21410</v>
      </c>
      <c r="AS1618" s="17">
        <v>13374</v>
      </c>
      <c r="AT1618" s="17">
        <v>337318.75</v>
      </c>
      <c r="AU1618" s="17">
        <v>106.4</v>
      </c>
      <c r="AV1618" s="17">
        <v>16.45</v>
      </c>
      <c r="AW1618" s="10" t="s">
        <v>105</v>
      </c>
      <c r="AX1618" s="17">
        <v>4912</v>
      </c>
      <c r="AY1618" s="18">
        <v>25.221979213399134</v>
      </c>
      <c r="AZ1618" s="10" t="s">
        <v>168</v>
      </c>
      <c r="BA1618" s="20" t="b">
        <v>0</v>
      </c>
      <c r="BB1618" s="10"/>
      <c r="BC1618" s="17">
        <v>21410</v>
      </c>
      <c r="BD1618" s="17">
        <v>13374</v>
      </c>
      <c r="BE1618" s="17">
        <v>337318.75</v>
      </c>
      <c r="BF1618" s="17">
        <v>16.45</v>
      </c>
      <c r="BG1618" s="11">
        <f ca="1">IFERROR(__xludf.DUMMYFUNCTION("""COMPUTED_VALUE"""),46002.125)</f>
        <v>46002.125</v>
      </c>
      <c r="BH1618" s="17" t="s">
        <v>105</v>
      </c>
      <c r="BI1618" s="17"/>
      <c r="BJ1618" s="15"/>
      <c r="BK1618" s="15"/>
      <c r="BL1618" s="13" t="b">
        <v>0</v>
      </c>
      <c r="BM1618" s="10"/>
      <c r="BN1618" s="10" t="s">
        <v>6278</v>
      </c>
      <c r="BO1618" s="11">
        <v>45904.299305555556</v>
      </c>
      <c r="BP1618" s="11">
        <v>45993.708738425928</v>
      </c>
      <c r="BQ1618" s="15">
        <v>45999.489166666666</v>
      </c>
      <c r="BR1618" s="15">
        <v>46000.558912037035</v>
      </c>
      <c r="BS1618" s="10" t="s">
        <v>6278</v>
      </c>
      <c r="BT1618" s="10" t="s">
        <v>279</v>
      </c>
      <c r="BU1618" s="10" t="s">
        <v>816</v>
      </c>
      <c r="BV1618" s="10"/>
      <c r="BW1618" s="10"/>
      <c r="BX1618" s="10"/>
      <c r="BY1618" s="23"/>
      <c r="BZ1618" s="23"/>
      <c r="CA1618" s="19" t="s">
        <v>12341</v>
      </c>
      <c r="CB1618" s="19" t="s">
        <v>12342</v>
      </c>
      <c r="CC1618" s="23"/>
      <c r="CD1618" s="19" t="s">
        <v>12343</v>
      </c>
      <c r="CE1618" s="23"/>
      <c r="CF1618" s="23"/>
      <c r="CG1618" s="23"/>
      <c r="CH1618" s="23"/>
      <c r="CI1618" s="23"/>
    </row>
    <row r="1619" spans="1:87" x14ac:dyDescent="0.3">
      <c r="A1619" s="9" t="s">
        <v>12344</v>
      </c>
      <c r="B1619" s="10" t="s">
        <v>12345</v>
      </c>
      <c r="C1619" s="11">
        <v>46002.125</v>
      </c>
      <c r="D1619" s="12">
        <v>8.3333333333333329E-2</v>
      </c>
      <c r="E1619" s="11">
        <v>46002.208333333336</v>
      </c>
      <c r="F1619" s="10" t="s">
        <v>3563</v>
      </c>
      <c r="G1619" s="13" t="b">
        <v>0</v>
      </c>
      <c r="H1619" s="10" t="s">
        <v>5239</v>
      </c>
      <c r="I1619" s="10" t="s">
        <v>89</v>
      </c>
      <c r="J1619" s="13" t="b">
        <v>0</v>
      </c>
      <c r="K1619" s="13" t="b">
        <v>1</v>
      </c>
      <c r="L1619" s="10" t="s">
        <v>124</v>
      </c>
      <c r="M1619" s="10" t="s">
        <v>91</v>
      </c>
      <c r="N1619" s="10" t="s">
        <v>92</v>
      </c>
      <c r="O1619" s="19" t="s">
        <v>12346</v>
      </c>
      <c r="P1619" s="10"/>
      <c r="Q1619" s="10" t="s">
        <v>126</v>
      </c>
      <c r="R1619" s="10"/>
      <c r="S1619" s="19" t="s">
        <v>12347</v>
      </c>
      <c r="T1619" s="19" t="s">
        <v>12348</v>
      </c>
      <c r="U1619" s="10" t="s">
        <v>11409</v>
      </c>
      <c r="V1619" s="10" t="s">
        <v>8556</v>
      </c>
      <c r="W1619" s="10" t="s">
        <v>3569</v>
      </c>
      <c r="X1619" s="10" t="s">
        <v>130</v>
      </c>
      <c r="Y1619" s="10" t="s">
        <v>130</v>
      </c>
      <c r="Z1619" s="10" t="s">
        <v>99</v>
      </c>
      <c r="AA1619" s="10" t="s">
        <v>131</v>
      </c>
      <c r="AB1619" s="10" t="s">
        <v>3570</v>
      </c>
      <c r="AC1619" s="10" t="s">
        <v>3571</v>
      </c>
      <c r="AD1619" s="10" t="s">
        <v>12349</v>
      </c>
      <c r="AE1619" s="10" t="s">
        <v>12350</v>
      </c>
      <c r="AF1619" s="15"/>
      <c r="AG1619" s="10"/>
      <c r="AH1619" s="10"/>
      <c r="AI1619" s="10"/>
      <c r="AJ1619" s="10"/>
      <c r="AK1619" s="10" t="s">
        <v>102</v>
      </c>
      <c r="AL1619" s="10" t="s">
        <v>7897</v>
      </c>
      <c r="AM1619" s="10"/>
      <c r="AN1619" s="10"/>
      <c r="AO1619" s="13" t="b">
        <v>0</v>
      </c>
      <c r="AP1619" s="10" t="s">
        <v>104</v>
      </c>
      <c r="AQ1619" s="10">
        <f ca="1">IFERROR(__xludf.DUMMYFUNCTION("""COMPUTED_VALUE"""),4773342)</f>
        <v>4773342</v>
      </c>
      <c r="AR1619" s="17">
        <v>9670</v>
      </c>
      <c r="AS1619" s="17">
        <v>6319</v>
      </c>
      <c r="AT1619" s="17">
        <v>27625</v>
      </c>
      <c r="AU1619" s="17">
        <v>9.9499999999999993</v>
      </c>
      <c r="AV1619" s="17">
        <v>3.25</v>
      </c>
      <c r="AW1619" s="10" t="s">
        <v>105</v>
      </c>
      <c r="AX1619" s="17">
        <v>1691</v>
      </c>
      <c r="AY1619" s="18">
        <v>4.3717360341826241</v>
      </c>
      <c r="AZ1619" s="10" t="s">
        <v>168</v>
      </c>
      <c r="BA1619" s="20" t="b">
        <v>0</v>
      </c>
      <c r="BB1619" s="10"/>
      <c r="BC1619" s="17">
        <v>9670</v>
      </c>
      <c r="BD1619" s="17">
        <v>6319</v>
      </c>
      <c r="BE1619" s="17">
        <v>27625</v>
      </c>
      <c r="BF1619" s="17">
        <v>3.25</v>
      </c>
      <c r="BG1619" s="11">
        <f ca="1">IFERROR(__xludf.DUMMYFUNCTION("""COMPUTED_VALUE"""),46002.125)</f>
        <v>46002.125</v>
      </c>
      <c r="BH1619" s="17" t="s">
        <v>105</v>
      </c>
      <c r="BI1619" s="17"/>
      <c r="BJ1619" s="15"/>
      <c r="BK1619" s="15"/>
      <c r="BL1619" s="13" t="b">
        <v>0</v>
      </c>
      <c r="BM1619" s="10"/>
      <c r="BN1619" s="10" t="s">
        <v>6278</v>
      </c>
      <c r="BO1619" s="11">
        <v>45904.299305555556</v>
      </c>
      <c r="BP1619" s="11">
        <v>45993.708807870367</v>
      </c>
      <c r="BQ1619" s="15">
        <v>45999.488993055558</v>
      </c>
      <c r="BR1619" s="15">
        <v>46000.558796296296</v>
      </c>
      <c r="BS1619" s="10" t="s">
        <v>6278</v>
      </c>
      <c r="BT1619" s="10" t="s">
        <v>279</v>
      </c>
      <c r="BU1619" s="10" t="s">
        <v>655</v>
      </c>
      <c r="BV1619" s="10"/>
      <c r="BW1619" s="10"/>
      <c r="BX1619" s="10"/>
      <c r="BY1619" s="23"/>
      <c r="BZ1619" s="23"/>
      <c r="CA1619" s="19" t="s">
        <v>12351</v>
      </c>
      <c r="CB1619" s="19" t="s">
        <v>12352</v>
      </c>
      <c r="CC1619" s="23"/>
      <c r="CD1619" s="19" t="s">
        <v>12353</v>
      </c>
      <c r="CE1619" s="23"/>
      <c r="CF1619" s="23"/>
      <c r="CG1619" s="23"/>
      <c r="CH1619" s="23"/>
      <c r="CI1619" s="23"/>
    </row>
    <row r="1620" spans="1:87" x14ac:dyDescent="0.3">
      <c r="A1620" s="9" t="s">
        <v>12354</v>
      </c>
      <c r="B1620" s="10" t="s">
        <v>12355</v>
      </c>
      <c r="C1620" s="11">
        <v>46042.9375</v>
      </c>
      <c r="D1620" s="12">
        <v>8.3333333333333329E-2</v>
      </c>
      <c r="E1620" s="11">
        <v>46043.020833333336</v>
      </c>
      <c r="F1620" s="10" t="s">
        <v>3563</v>
      </c>
      <c r="G1620" s="13" t="b">
        <v>0</v>
      </c>
      <c r="H1620" s="10"/>
      <c r="I1620" s="10" t="s">
        <v>89</v>
      </c>
      <c r="J1620" s="13" t="b">
        <v>0</v>
      </c>
      <c r="K1620" s="13" t="b">
        <v>1</v>
      </c>
      <c r="L1620" s="10" t="s">
        <v>124</v>
      </c>
      <c r="M1620" s="10" t="s">
        <v>91</v>
      </c>
      <c r="N1620" s="10" t="s">
        <v>92</v>
      </c>
      <c r="O1620" s="10"/>
      <c r="P1620" s="10"/>
      <c r="Q1620" s="10"/>
      <c r="R1620" s="10"/>
      <c r="S1620" s="10"/>
      <c r="T1620" s="10"/>
      <c r="U1620" s="10" t="s">
        <v>7811</v>
      </c>
      <c r="V1620" s="10" t="s">
        <v>3568</v>
      </c>
      <c r="W1620" s="10" t="s">
        <v>3569</v>
      </c>
      <c r="X1620" s="10" t="s">
        <v>130</v>
      </c>
      <c r="Y1620" s="10" t="s">
        <v>130</v>
      </c>
      <c r="Z1620" s="10" t="s">
        <v>99</v>
      </c>
      <c r="AA1620" s="10" t="s">
        <v>131</v>
      </c>
      <c r="AB1620" s="10" t="s">
        <v>3570</v>
      </c>
      <c r="AC1620" s="10" t="s">
        <v>3571</v>
      </c>
      <c r="AD1620" s="10" t="s">
        <v>12356</v>
      </c>
      <c r="AE1620" s="10" t="s">
        <v>12357</v>
      </c>
      <c r="AF1620" s="15"/>
      <c r="AG1620" s="10"/>
      <c r="AH1620" s="10"/>
      <c r="AI1620" s="10"/>
      <c r="AJ1620" s="10"/>
      <c r="AK1620" s="10"/>
      <c r="AL1620" s="10" t="s">
        <v>7897</v>
      </c>
      <c r="AM1620" s="10"/>
      <c r="AN1620" s="10"/>
      <c r="AO1620" s="13" t="b">
        <v>0</v>
      </c>
      <c r="AP1620" s="10" t="s">
        <v>104</v>
      </c>
      <c r="AQ1620" s="10"/>
      <c r="AR1620" s="17"/>
      <c r="AS1620" s="17"/>
      <c r="AT1620" s="17"/>
      <c r="AU1620" s="17"/>
      <c r="AV1620" s="17"/>
      <c r="AW1620" s="10"/>
      <c r="AX1620" s="17"/>
      <c r="AY1620" s="18" t="s">
        <v>257</v>
      </c>
      <c r="AZ1620" s="10"/>
      <c r="BA1620" s="20" t="b">
        <v>0</v>
      </c>
      <c r="BB1620" s="10"/>
      <c r="BC1620" s="17" t="s">
        <v>257</v>
      </c>
      <c r="BD1620" s="17" t="s">
        <v>257</v>
      </c>
      <c r="BE1620" s="17" t="s">
        <v>257</v>
      </c>
      <c r="BF1620" s="17" t="s">
        <v>257</v>
      </c>
      <c r="BG1620" s="11">
        <f ca="1">IFERROR(__xludf.DUMMYFUNCTION("""COMPUTED_VALUE"""),46042.9375)</f>
        <v>46042.9375</v>
      </c>
      <c r="BH1620" s="17"/>
      <c r="BI1620" s="17"/>
      <c r="BJ1620" s="15"/>
      <c r="BK1620" s="15"/>
      <c r="BL1620" s="13" t="b">
        <v>0</v>
      </c>
      <c r="BM1620" s="10"/>
      <c r="BN1620" s="10" t="s">
        <v>223</v>
      </c>
      <c r="BO1620" s="11">
        <v>45904.299976851849</v>
      </c>
      <c r="BP1620" s="11">
        <v>45904.299976851849</v>
      </c>
      <c r="BQ1620" s="15"/>
      <c r="BR1620" s="15"/>
      <c r="BS1620" s="10"/>
      <c r="BT1620" s="10"/>
      <c r="BU1620" s="10"/>
      <c r="BV1620" s="10"/>
      <c r="BW1620" s="10"/>
      <c r="BX1620" s="10"/>
      <c r="BY1620" s="23"/>
      <c r="BZ1620" s="23"/>
      <c r="CA1620" s="23"/>
      <c r="CB1620" s="23"/>
      <c r="CC1620" s="23"/>
      <c r="CD1620" s="23"/>
      <c r="CE1620" s="23"/>
      <c r="CF1620" s="23"/>
      <c r="CG1620" s="23"/>
      <c r="CH1620" s="23"/>
      <c r="CI1620" s="23"/>
    </row>
    <row r="1621" spans="1:87" x14ac:dyDescent="0.3">
      <c r="A1621" s="9" t="s">
        <v>12358</v>
      </c>
      <c r="B1621" s="10" t="s">
        <v>12359</v>
      </c>
      <c r="C1621" s="11">
        <v>46043.03125</v>
      </c>
      <c r="D1621" s="12">
        <v>8.3333333333333329E-2</v>
      </c>
      <c r="E1621" s="11">
        <v>46043.114583333336</v>
      </c>
      <c r="F1621" s="10" t="s">
        <v>3563</v>
      </c>
      <c r="G1621" s="13" t="b">
        <v>0</v>
      </c>
      <c r="H1621" s="10"/>
      <c r="I1621" s="10" t="s">
        <v>89</v>
      </c>
      <c r="J1621" s="13" t="b">
        <v>0</v>
      </c>
      <c r="K1621" s="13" t="b">
        <v>1</v>
      </c>
      <c r="L1621" s="10" t="s">
        <v>124</v>
      </c>
      <c r="M1621" s="10" t="s">
        <v>91</v>
      </c>
      <c r="N1621" s="10" t="s">
        <v>92</v>
      </c>
      <c r="O1621" s="10"/>
      <c r="P1621" s="10"/>
      <c r="Q1621" s="10"/>
      <c r="R1621" s="10"/>
      <c r="S1621" s="10"/>
      <c r="T1621" s="10"/>
      <c r="U1621" s="10" t="s">
        <v>8556</v>
      </c>
      <c r="V1621" s="10" t="s">
        <v>334</v>
      </c>
      <c r="W1621" s="10" t="s">
        <v>3569</v>
      </c>
      <c r="X1621" s="10" t="s">
        <v>130</v>
      </c>
      <c r="Y1621" s="10" t="s">
        <v>130</v>
      </c>
      <c r="Z1621" s="10" t="s">
        <v>99</v>
      </c>
      <c r="AA1621" s="10" t="s">
        <v>131</v>
      </c>
      <c r="AB1621" s="10" t="s">
        <v>3570</v>
      </c>
      <c r="AC1621" s="10" t="s">
        <v>3571</v>
      </c>
      <c r="AD1621" s="10" t="s">
        <v>12360</v>
      </c>
      <c r="AE1621" s="10" t="s">
        <v>12361</v>
      </c>
      <c r="AF1621" s="15"/>
      <c r="AG1621" s="10"/>
      <c r="AH1621" s="10"/>
      <c r="AI1621" s="10"/>
      <c r="AJ1621" s="10"/>
      <c r="AK1621" s="10"/>
      <c r="AL1621" s="10" t="s">
        <v>7897</v>
      </c>
      <c r="AM1621" s="10"/>
      <c r="AN1621" s="10"/>
      <c r="AO1621" s="13" t="b">
        <v>1</v>
      </c>
      <c r="AP1621" s="10" t="s">
        <v>104</v>
      </c>
      <c r="AQ1621" s="10"/>
      <c r="AR1621" s="17"/>
      <c r="AS1621" s="17"/>
      <c r="AT1621" s="17"/>
      <c r="AU1621" s="17"/>
      <c r="AV1621" s="17"/>
      <c r="AW1621" s="10"/>
      <c r="AX1621" s="17"/>
      <c r="AY1621" s="18" t="s">
        <v>257</v>
      </c>
      <c r="AZ1621" s="10"/>
      <c r="BA1621" s="20" t="b">
        <v>0</v>
      </c>
      <c r="BB1621" s="10"/>
      <c r="BC1621" s="17" t="s">
        <v>257</v>
      </c>
      <c r="BD1621" s="17" t="s">
        <v>257</v>
      </c>
      <c r="BE1621" s="17" t="s">
        <v>257</v>
      </c>
      <c r="BF1621" s="17" t="s">
        <v>257</v>
      </c>
      <c r="BG1621" s="11">
        <f ca="1">IFERROR(__xludf.DUMMYFUNCTION("""COMPUTED_VALUE"""),46043.03125)</f>
        <v>46043.03125</v>
      </c>
      <c r="BH1621" s="17"/>
      <c r="BI1621" s="17"/>
      <c r="BJ1621" s="15"/>
      <c r="BK1621" s="15"/>
      <c r="BL1621" s="13" t="b">
        <v>0</v>
      </c>
      <c r="BM1621" s="10"/>
      <c r="BN1621" s="10" t="s">
        <v>223</v>
      </c>
      <c r="BO1621" s="11">
        <v>45904.299976851849</v>
      </c>
      <c r="BP1621" s="11">
        <v>45904.299976851849</v>
      </c>
      <c r="BQ1621" s="15"/>
      <c r="BR1621" s="15"/>
      <c r="BS1621" s="10"/>
      <c r="BT1621" s="10"/>
      <c r="BU1621" s="10"/>
      <c r="BV1621" s="10"/>
      <c r="BW1621" s="10"/>
      <c r="BX1621" s="10"/>
      <c r="BY1621" s="23"/>
      <c r="BZ1621" s="23"/>
      <c r="CA1621" s="23"/>
      <c r="CB1621" s="23"/>
      <c r="CC1621" s="23"/>
      <c r="CD1621" s="23"/>
      <c r="CE1621" s="23"/>
      <c r="CF1621" s="23"/>
      <c r="CG1621" s="23"/>
      <c r="CH1621" s="23"/>
      <c r="CI1621" s="23"/>
    </row>
    <row r="1622" spans="1:87" x14ac:dyDescent="0.3">
      <c r="A1622" s="9" t="s">
        <v>12362</v>
      </c>
      <c r="B1622" s="10" t="s">
        <v>12363</v>
      </c>
      <c r="C1622" s="11">
        <v>46043.125</v>
      </c>
      <c r="D1622" s="12">
        <v>8.3333333333333329E-2</v>
      </c>
      <c r="E1622" s="11">
        <v>46043.208333333336</v>
      </c>
      <c r="F1622" s="10" t="s">
        <v>3563</v>
      </c>
      <c r="G1622" s="13" t="b">
        <v>0</v>
      </c>
      <c r="H1622" s="10"/>
      <c r="I1622" s="10" t="s">
        <v>89</v>
      </c>
      <c r="J1622" s="13" t="b">
        <v>0</v>
      </c>
      <c r="K1622" s="13" t="b">
        <v>1</v>
      </c>
      <c r="L1622" s="10" t="s">
        <v>124</v>
      </c>
      <c r="M1622" s="10" t="s">
        <v>91</v>
      </c>
      <c r="N1622" s="10" t="s">
        <v>92</v>
      </c>
      <c r="O1622" s="10"/>
      <c r="P1622" s="10"/>
      <c r="Q1622" s="10"/>
      <c r="R1622" s="10"/>
      <c r="S1622" s="10"/>
      <c r="T1622" s="10"/>
      <c r="U1622" s="10" t="s">
        <v>5018</v>
      </c>
      <c r="V1622" s="10" t="s">
        <v>3715</v>
      </c>
      <c r="W1622" s="10" t="s">
        <v>3569</v>
      </c>
      <c r="X1622" s="10" t="s">
        <v>130</v>
      </c>
      <c r="Y1622" s="10" t="s">
        <v>130</v>
      </c>
      <c r="Z1622" s="10" t="s">
        <v>99</v>
      </c>
      <c r="AA1622" s="10" t="s">
        <v>131</v>
      </c>
      <c r="AB1622" s="10" t="s">
        <v>3570</v>
      </c>
      <c r="AC1622" s="10" t="s">
        <v>3571</v>
      </c>
      <c r="AD1622" s="10" t="s">
        <v>12364</v>
      </c>
      <c r="AE1622" s="10" t="s">
        <v>12365</v>
      </c>
      <c r="AF1622" s="15"/>
      <c r="AG1622" s="10"/>
      <c r="AH1622" s="10"/>
      <c r="AI1622" s="10"/>
      <c r="AJ1622" s="10"/>
      <c r="AK1622" s="10"/>
      <c r="AL1622" s="10" t="s">
        <v>7897</v>
      </c>
      <c r="AM1622" s="10"/>
      <c r="AN1622" s="10"/>
      <c r="AO1622" s="13" t="b">
        <v>0</v>
      </c>
      <c r="AP1622" s="10" t="s">
        <v>104</v>
      </c>
      <c r="AQ1622" s="10"/>
      <c r="AR1622" s="17"/>
      <c r="AS1622" s="17"/>
      <c r="AT1622" s="17"/>
      <c r="AU1622" s="17"/>
      <c r="AV1622" s="17"/>
      <c r="AW1622" s="10"/>
      <c r="AX1622" s="17"/>
      <c r="AY1622" s="18" t="s">
        <v>257</v>
      </c>
      <c r="AZ1622" s="10"/>
      <c r="BA1622" s="20" t="b">
        <v>0</v>
      </c>
      <c r="BB1622" s="10"/>
      <c r="BC1622" s="17" t="s">
        <v>257</v>
      </c>
      <c r="BD1622" s="17" t="s">
        <v>257</v>
      </c>
      <c r="BE1622" s="17" t="s">
        <v>257</v>
      </c>
      <c r="BF1622" s="17" t="s">
        <v>257</v>
      </c>
      <c r="BG1622" s="11">
        <f ca="1">IFERROR(__xludf.DUMMYFUNCTION("""COMPUTED_VALUE"""),46043.125)</f>
        <v>46043.125</v>
      </c>
      <c r="BH1622" s="17"/>
      <c r="BI1622" s="17"/>
      <c r="BJ1622" s="15"/>
      <c r="BK1622" s="15"/>
      <c r="BL1622" s="13" t="b">
        <v>0</v>
      </c>
      <c r="BM1622" s="10"/>
      <c r="BN1622" s="10" t="s">
        <v>223</v>
      </c>
      <c r="BO1622" s="11">
        <v>45904.299976851849</v>
      </c>
      <c r="BP1622" s="11">
        <v>45904.299976851849</v>
      </c>
      <c r="BQ1622" s="15"/>
      <c r="BR1622" s="15"/>
      <c r="BS1622" s="10"/>
      <c r="BT1622" s="10"/>
      <c r="BU1622" s="10"/>
      <c r="BV1622" s="10"/>
      <c r="BW1622" s="10"/>
      <c r="BX1622" s="10"/>
      <c r="BY1622" s="23"/>
      <c r="BZ1622" s="23"/>
      <c r="CA1622" s="23"/>
      <c r="CB1622" s="23"/>
      <c r="CC1622" s="23"/>
      <c r="CD1622" s="23"/>
      <c r="CE1622" s="23"/>
      <c r="CF1622" s="23"/>
      <c r="CG1622" s="23"/>
      <c r="CH1622" s="23"/>
      <c r="CI1622" s="23"/>
    </row>
    <row r="1623" spans="1:87" x14ac:dyDescent="0.3">
      <c r="A1623" s="9" t="s">
        <v>12366</v>
      </c>
      <c r="B1623" s="10" t="s">
        <v>12367</v>
      </c>
      <c r="C1623" s="11">
        <v>46043.125</v>
      </c>
      <c r="D1623" s="12">
        <v>8.3333333333333329E-2</v>
      </c>
      <c r="E1623" s="11">
        <v>46043.208333333336</v>
      </c>
      <c r="F1623" s="10" t="s">
        <v>3563</v>
      </c>
      <c r="G1623" s="13" t="b">
        <v>0</v>
      </c>
      <c r="H1623" s="10"/>
      <c r="I1623" s="10" t="s">
        <v>89</v>
      </c>
      <c r="J1623" s="13" t="b">
        <v>0</v>
      </c>
      <c r="K1623" s="13" t="b">
        <v>1</v>
      </c>
      <c r="L1623" s="10" t="s">
        <v>124</v>
      </c>
      <c r="M1623" s="10" t="s">
        <v>91</v>
      </c>
      <c r="N1623" s="10" t="s">
        <v>92</v>
      </c>
      <c r="O1623" s="10"/>
      <c r="P1623" s="10"/>
      <c r="Q1623" s="10"/>
      <c r="R1623" s="10"/>
      <c r="S1623" s="10"/>
      <c r="T1623" s="10"/>
      <c r="U1623" s="10" t="s">
        <v>429</v>
      </c>
      <c r="V1623" s="10" t="s">
        <v>11409</v>
      </c>
      <c r="W1623" s="10" t="s">
        <v>3569</v>
      </c>
      <c r="X1623" s="10" t="s">
        <v>130</v>
      </c>
      <c r="Y1623" s="10" t="s">
        <v>130</v>
      </c>
      <c r="Z1623" s="10" t="s">
        <v>99</v>
      </c>
      <c r="AA1623" s="10" t="s">
        <v>131</v>
      </c>
      <c r="AB1623" s="10" t="s">
        <v>3570</v>
      </c>
      <c r="AC1623" s="10" t="s">
        <v>3571</v>
      </c>
      <c r="AD1623" s="10" t="s">
        <v>12368</v>
      </c>
      <c r="AE1623" s="10" t="s">
        <v>12369</v>
      </c>
      <c r="AF1623" s="15"/>
      <c r="AG1623" s="10"/>
      <c r="AH1623" s="10"/>
      <c r="AI1623" s="10"/>
      <c r="AJ1623" s="10"/>
      <c r="AK1623" s="10"/>
      <c r="AL1623" s="10" t="s">
        <v>7897</v>
      </c>
      <c r="AM1623" s="10"/>
      <c r="AN1623" s="10"/>
      <c r="AO1623" s="13" t="b">
        <v>0</v>
      </c>
      <c r="AP1623" s="10" t="s">
        <v>104</v>
      </c>
      <c r="AQ1623" s="10"/>
      <c r="AR1623" s="17"/>
      <c r="AS1623" s="17"/>
      <c r="AT1623" s="17"/>
      <c r="AU1623" s="17"/>
      <c r="AV1623" s="17"/>
      <c r="AW1623" s="10"/>
      <c r="AX1623" s="17"/>
      <c r="AY1623" s="18" t="s">
        <v>257</v>
      </c>
      <c r="AZ1623" s="10"/>
      <c r="BA1623" s="20" t="b">
        <v>0</v>
      </c>
      <c r="BB1623" s="10"/>
      <c r="BC1623" s="17" t="s">
        <v>257</v>
      </c>
      <c r="BD1623" s="17" t="s">
        <v>257</v>
      </c>
      <c r="BE1623" s="17" t="s">
        <v>257</v>
      </c>
      <c r="BF1623" s="17" t="s">
        <v>257</v>
      </c>
      <c r="BG1623" s="11">
        <f ca="1">IFERROR(__xludf.DUMMYFUNCTION("""COMPUTED_VALUE"""),46043.125)</f>
        <v>46043.125</v>
      </c>
      <c r="BH1623" s="17"/>
      <c r="BI1623" s="17"/>
      <c r="BJ1623" s="15"/>
      <c r="BK1623" s="15"/>
      <c r="BL1623" s="13" t="b">
        <v>0</v>
      </c>
      <c r="BM1623" s="10"/>
      <c r="BN1623" s="10" t="s">
        <v>223</v>
      </c>
      <c r="BO1623" s="11">
        <v>45904.299976851849</v>
      </c>
      <c r="BP1623" s="11">
        <v>45904.299976851849</v>
      </c>
      <c r="BQ1623" s="15"/>
      <c r="BR1623" s="15"/>
      <c r="BS1623" s="10"/>
      <c r="BT1623" s="10"/>
      <c r="BU1623" s="10"/>
      <c r="BV1623" s="10"/>
      <c r="BW1623" s="10"/>
      <c r="BX1623" s="10"/>
      <c r="BY1623" s="23"/>
      <c r="BZ1623" s="23"/>
      <c r="CA1623" s="23"/>
      <c r="CB1623" s="23"/>
      <c r="CC1623" s="23"/>
      <c r="CD1623" s="23"/>
      <c r="CE1623" s="23"/>
      <c r="CF1623" s="23"/>
      <c r="CG1623" s="23"/>
      <c r="CH1623" s="23"/>
      <c r="CI1623" s="23"/>
    </row>
    <row r="1624" spans="1:87" x14ac:dyDescent="0.3">
      <c r="A1624" s="9" t="s">
        <v>12370</v>
      </c>
      <c r="B1624" s="10" t="s">
        <v>12371</v>
      </c>
      <c r="C1624" s="11">
        <v>46043.125</v>
      </c>
      <c r="D1624" s="12">
        <v>8.3333333333333329E-2</v>
      </c>
      <c r="E1624" s="11">
        <v>46043.208333333336</v>
      </c>
      <c r="F1624" s="10" t="s">
        <v>3563</v>
      </c>
      <c r="G1624" s="13" t="b">
        <v>0</v>
      </c>
      <c r="H1624" s="10"/>
      <c r="I1624" s="10" t="s">
        <v>89</v>
      </c>
      <c r="J1624" s="13" t="b">
        <v>0</v>
      </c>
      <c r="K1624" s="13" t="b">
        <v>1</v>
      </c>
      <c r="L1624" s="10" t="s">
        <v>124</v>
      </c>
      <c r="M1624" s="10" t="s">
        <v>91</v>
      </c>
      <c r="N1624" s="10" t="s">
        <v>92</v>
      </c>
      <c r="O1624" s="10"/>
      <c r="P1624" s="10"/>
      <c r="Q1624" s="10"/>
      <c r="R1624" s="10"/>
      <c r="S1624" s="10"/>
      <c r="T1624" s="10"/>
      <c r="U1624" s="10" t="s">
        <v>11446</v>
      </c>
      <c r="V1624" s="10" t="s">
        <v>11500</v>
      </c>
      <c r="W1624" s="10" t="s">
        <v>3569</v>
      </c>
      <c r="X1624" s="10" t="s">
        <v>130</v>
      </c>
      <c r="Y1624" s="10" t="s">
        <v>130</v>
      </c>
      <c r="Z1624" s="10" t="s">
        <v>99</v>
      </c>
      <c r="AA1624" s="10" t="s">
        <v>131</v>
      </c>
      <c r="AB1624" s="10" t="s">
        <v>3570</v>
      </c>
      <c r="AC1624" s="10" t="s">
        <v>3571</v>
      </c>
      <c r="AD1624" s="10" t="s">
        <v>12372</v>
      </c>
      <c r="AE1624" s="10" t="s">
        <v>12373</v>
      </c>
      <c r="AF1624" s="15"/>
      <c r="AG1624" s="10"/>
      <c r="AH1624" s="10"/>
      <c r="AI1624" s="10"/>
      <c r="AJ1624" s="10"/>
      <c r="AK1624" s="10"/>
      <c r="AL1624" s="10" t="s">
        <v>7897</v>
      </c>
      <c r="AM1624" s="10"/>
      <c r="AN1624" s="10"/>
      <c r="AO1624" s="13" t="b">
        <v>0</v>
      </c>
      <c r="AP1624" s="10" t="s">
        <v>104</v>
      </c>
      <c r="AQ1624" s="10"/>
      <c r="AR1624" s="17"/>
      <c r="AS1624" s="17"/>
      <c r="AT1624" s="17"/>
      <c r="AU1624" s="17"/>
      <c r="AV1624" s="17"/>
      <c r="AW1624" s="10"/>
      <c r="AX1624" s="17"/>
      <c r="AY1624" s="18" t="s">
        <v>257</v>
      </c>
      <c r="AZ1624" s="10"/>
      <c r="BA1624" s="20" t="b">
        <v>0</v>
      </c>
      <c r="BB1624" s="10"/>
      <c r="BC1624" s="17" t="s">
        <v>257</v>
      </c>
      <c r="BD1624" s="17" t="s">
        <v>257</v>
      </c>
      <c r="BE1624" s="17" t="s">
        <v>257</v>
      </c>
      <c r="BF1624" s="17" t="s">
        <v>257</v>
      </c>
      <c r="BG1624" s="11">
        <f ca="1">IFERROR(__xludf.DUMMYFUNCTION("""COMPUTED_VALUE"""),46043.125)</f>
        <v>46043.125</v>
      </c>
      <c r="BH1624" s="17"/>
      <c r="BI1624" s="17"/>
      <c r="BJ1624" s="15"/>
      <c r="BK1624" s="15"/>
      <c r="BL1624" s="13" t="b">
        <v>0</v>
      </c>
      <c r="BM1624" s="10"/>
      <c r="BN1624" s="10" t="s">
        <v>223</v>
      </c>
      <c r="BO1624" s="11">
        <v>45904.299976851849</v>
      </c>
      <c r="BP1624" s="11">
        <v>45904.299976851849</v>
      </c>
      <c r="BQ1624" s="15"/>
      <c r="BR1624" s="15"/>
      <c r="BS1624" s="10"/>
      <c r="BT1624" s="10"/>
      <c r="BU1624" s="10"/>
      <c r="BV1624" s="10"/>
      <c r="BW1624" s="10"/>
      <c r="BX1624" s="10"/>
      <c r="BY1624" s="23"/>
      <c r="BZ1624" s="23"/>
      <c r="CA1624" s="23"/>
      <c r="CB1624" s="23"/>
      <c r="CC1624" s="23"/>
      <c r="CD1624" s="23"/>
      <c r="CE1624" s="23"/>
      <c r="CF1624" s="23"/>
      <c r="CG1624" s="23"/>
      <c r="CH1624" s="23"/>
      <c r="CI1624" s="23"/>
    </row>
    <row r="1625" spans="1:87" x14ac:dyDescent="0.3">
      <c r="A1625" s="9" t="s">
        <v>12374</v>
      </c>
      <c r="B1625" s="10" t="s">
        <v>12375</v>
      </c>
      <c r="C1625" s="11">
        <v>46043.125</v>
      </c>
      <c r="D1625" s="12">
        <v>8.3333333333333329E-2</v>
      </c>
      <c r="E1625" s="11">
        <v>46043.208333333336</v>
      </c>
      <c r="F1625" s="10" t="s">
        <v>3563</v>
      </c>
      <c r="G1625" s="13" t="b">
        <v>0</v>
      </c>
      <c r="H1625" s="10"/>
      <c r="I1625" s="10" t="s">
        <v>89</v>
      </c>
      <c r="J1625" s="13" t="b">
        <v>0</v>
      </c>
      <c r="K1625" s="13" t="b">
        <v>1</v>
      </c>
      <c r="L1625" s="10" t="s">
        <v>124</v>
      </c>
      <c r="M1625" s="10" t="s">
        <v>91</v>
      </c>
      <c r="N1625" s="10" t="s">
        <v>92</v>
      </c>
      <c r="O1625" s="10"/>
      <c r="P1625" s="10"/>
      <c r="Q1625" s="10"/>
      <c r="R1625" s="10"/>
      <c r="S1625" s="10"/>
      <c r="T1625" s="10"/>
      <c r="U1625" s="10" t="s">
        <v>7859</v>
      </c>
      <c r="V1625" s="10" t="s">
        <v>11474</v>
      </c>
      <c r="W1625" s="10" t="s">
        <v>3569</v>
      </c>
      <c r="X1625" s="10" t="s">
        <v>130</v>
      </c>
      <c r="Y1625" s="10" t="s">
        <v>130</v>
      </c>
      <c r="Z1625" s="10" t="s">
        <v>99</v>
      </c>
      <c r="AA1625" s="10" t="s">
        <v>131</v>
      </c>
      <c r="AB1625" s="10" t="s">
        <v>3570</v>
      </c>
      <c r="AC1625" s="10" t="s">
        <v>3571</v>
      </c>
      <c r="AD1625" s="10" t="s">
        <v>12376</v>
      </c>
      <c r="AE1625" s="10" t="s">
        <v>12377</v>
      </c>
      <c r="AF1625" s="15"/>
      <c r="AG1625" s="10"/>
      <c r="AH1625" s="10"/>
      <c r="AI1625" s="10"/>
      <c r="AJ1625" s="10"/>
      <c r="AK1625" s="10"/>
      <c r="AL1625" s="10" t="s">
        <v>7897</v>
      </c>
      <c r="AM1625" s="10"/>
      <c r="AN1625" s="10"/>
      <c r="AO1625" s="13" t="b">
        <v>1</v>
      </c>
      <c r="AP1625" s="10" t="s">
        <v>104</v>
      </c>
      <c r="AQ1625" s="10"/>
      <c r="AR1625" s="17"/>
      <c r="AS1625" s="17"/>
      <c r="AT1625" s="17"/>
      <c r="AU1625" s="17"/>
      <c r="AV1625" s="17"/>
      <c r="AW1625" s="10"/>
      <c r="AX1625" s="17"/>
      <c r="AY1625" s="18" t="s">
        <v>257</v>
      </c>
      <c r="AZ1625" s="10"/>
      <c r="BA1625" s="20" t="b">
        <v>0</v>
      </c>
      <c r="BB1625" s="10"/>
      <c r="BC1625" s="17" t="s">
        <v>257</v>
      </c>
      <c r="BD1625" s="17" t="s">
        <v>257</v>
      </c>
      <c r="BE1625" s="17" t="s">
        <v>257</v>
      </c>
      <c r="BF1625" s="17" t="s">
        <v>257</v>
      </c>
      <c r="BG1625" s="11">
        <f ca="1">IFERROR(__xludf.DUMMYFUNCTION("""COMPUTED_VALUE"""),46043.125)</f>
        <v>46043.125</v>
      </c>
      <c r="BH1625" s="17"/>
      <c r="BI1625" s="17"/>
      <c r="BJ1625" s="15"/>
      <c r="BK1625" s="15"/>
      <c r="BL1625" s="13" t="b">
        <v>0</v>
      </c>
      <c r="BM1625" s="10"/>
      <c r="BN1625" s="10" t="s">
        <v>223</v>
      </c>
      <c r="BO1625" s="11">
        <v>45904.299976851849</v>
      </c>
      <c r="BP1625" s="11">
        <v>45904.299976851849</v>
      </c>
      <c r="BQ1625" s="15"/>
      <c r="BR1625" s="15"/>
      <c r="BS1625" s="10"/>
      <c r="BT1625" s="10"/>
      <c r="BU1625" s="10"/>
      <c r="BV1625" s="10"/>
      <c r="BW1625" s="10"/>
      <c r="BX1625" s="10"/>
      <c r="BY1625" s="23"/>
      <c r="BZ1625" s="23"/>
      <c r="CA1625" s="23"/>
      <c r="CB1625" s="23"/>
      <c r="CC1625" s="23"/>
      <c r="CD1625" s="23"/>
      <c r="CE1625" s="23"/>
      <c r="CF1625" s="23"/>
      <c r="CG1625" s="23"/>
      <c r="CH1625" s="23"/>
      <c r="CI1625" s="23"/>
    </row>
    <row r="1626" spans="1:87" x14ac:dyDescent="0.3">
      <c r="A1626" s="9" t="s">
        <v>12378</v>
      </c>
      <c r="B1626" s="10" t="s">
        <v>12379</v>
      </c>
      <c r="C1626" s="11">
        <v>46043.125</v>
      </c>
      <c r="D1626" s="12">
        <v>8.3333333333333329E-2</v>
      </c>
      <c r="E1626" s="11">
        <v>46043.208333333336</v>
      </c>
      <c r="F1626" s="10" t="s">
        <v>3563</v>
      </c>
      <c r="G1626" s="13" t="b">
        <v>0</v>
      </c>
      <c r="H1626" s="10"/>
      <c r="I1626" s="10" t="s">
        <v>89</v>
      </c>
      <c r="J1626" s="13" t="b">
        <v>0</v>
      </c>
      <c r="K1626" s="13" t="b">
        <v>1</v>
      </c>
      <c r="L1626" s="10" t="s">
        <v>124</v>
      </c>
      <c r="M1626" s="10" t="s">
        <v>91</v>
      </c>
      <c r="N1626" s="10" t="s">
        <v>92</v>
      </c>
      <c r="O1626" s="10"/>
      <c r="P1626" s="10"/>
      <c r="Q1626" s="10"/>
      <c r="R1626" s="10"/>
      <c r="S1626" s="10"/>
      <c r="T1626" s="10"/>
      <c r="U1626" s="10" t="s">
        <v>3278</v>
      </c>
      <c r="V1626" s="10" t="s">
        <v>362</v>
      </c>
      <c r="W1626" s="10" t="s">
        <v>3569</v>
      </c>
      <c r="X1626" s="10" t="s">
        <v>130</v>
      </c>
      <c r="Y1626" s="10" t="s">
        <v>130</v>
      </c>
      <c r="Z1626" s="10" t="s">
        <v>99</v>
      </c>
      <c r="AA1626" s="10" t="s">
        <v>131</v>
      </c>
      <c r="AB1626" s="10" t="s">
        <v>3570</v>
      </c>
      <c r="AC1626" s="10" t="s">
        <v>3571</v>
      </c>
      <c r="AD1626" s="10" t="s">
        <v>12380</v>
      </c>
      <c r="AE1626" s="10" t="s">
        <v>12381</v>
      </c>
      <c r="AF1626" s="15"/>
      <c r="AG1626" s="10"/>
      <c r="AH1626" s="10"/>
      <c r="AI1626" s="10"/>
      <c r="AJ1626" s="10"/>
      <c r="AK1626" s="10"/>
      <c r="AL1626" s="10" t="s">
        <v>7897</v>
      </c>
      <c r="AM1626" s="10"/>
      <c r="AN1626" s="10"/>
      <c r="AO1626" s="13" t="b">
        <v>1</v>
      </c>
      <c r="AP1626" s="10" t="s">
        <v>104</v>
      </c>
      <c r="AQ1626" s="10"/>
      <c r="AR1626" s="17"/>
      <c r="AS1626" s="17"/>
      <c r="AT1626" s="17"/>
      <c r="AU1626" s="17"/>
      <c r="AV1626" s="17"/>
      <c r="AW1626" s="10"/>
      <c r="AX1626" s="17"/>
      <c r="AY1626" s="18" t="s">
        <v>257</v>
      </c>
      <c r="AZ1626" s="10"/>
      <c r="BA1626" s="20" t="b">
        <v>0</v>
      </c>
      <c r="BB1626" s="10"/>
      <c r="BC1626" s="17" t="s">
        <v>257</v>
      </c>
      <c r="BD1626" s="17" t="s">
        <v>257</v>
      </c>
      <c r="BE1626" s="17" t="s">
        <v>257</v>
      </c>
      <c r="BF1626" s="17" t="s">
        <v>257</v>
      </c>
      <c r="BG1626" s="11">
        <f ca="1">IFERROR(__xludf.DUMMYFUNCTION("""COMPUTED_VALUE"""),46043.125)</f>
        <v>46043.125</v>
      </c>
      <c r="BH1626" s="17"/>
      <c r="BI1626" s="17"/>
      <c r="BJ1626" s="15"/>
      <c r="BK1626" s="15"/>
      <c r="BL1626" s="13" t="b">
        <v>0</v>
      </c>
      <c r="BM1626" s="10"/>
      <c r="BN1626" s="10" t="s">
        <v>12382</v>
      </c>
      <c r="BO1626" s="11">
        <v>45904.299305555556</v>
      </c>
      <c r="BP1626" s="11">
        <v>45904.299976851849</v>
      </c>
      <c r="BQ1626" s="15"/>
      <c r="BR1626" s="15"/>
      <c r="BS1626" s="10"/>
      <c r="BT1626" s="10"/>
      <c r="BU1626" s="10"/>
      <c r="BV1626" s="10" t="s">
        <v>281</v>
      </c>
      <c r="BW1626" s="10" t="s">
        <v>2629</v>
      </c>
      <c r="BX1626" s="10"/>
      <c r="BY1626" s="23"/>
      <c r="BZ1626" s="23"/>
      <c r="CA1626" s="23"/>
      <c r="CB1626" s="23"/>
      <c r="CC1626" s="23"/>
      <c r="CD1626" s="23"/>
      <c r="CE1626" s="23"/>
      <c r="CF1626" s="23"/>
      <c r="CG1626" s="23"/>
      <c r="CH1626" s="23"/>
      <c r="CI1626" s="23"/>
    </row>
    <row r="1627" spans="1:87" x14ac:dyDescent="0.3">
      <c r="A1627" s="9" t="s">
        <v>12383</v>
      </c>
      <c r="B1627" s="10" t="s">
        <v>12384</v>
      </c>
      <c r="C1627" s="11">
        <v>46043.125</v>
      </c>
      <c r="D1627" s="12">
        <v>8.3333333333333329E-2</v>
      </c>
      <c r="E1627" s="11">
        <v>46043.208333333336</v>
      </c>
      <c r="F1627" s="10" t="s">
        <v>3563</v>
      </c>
      <c r="G1627" s="13" t="b">
        <v>0</v>
      </c>
      <c r="H1627" s="10"/>
      <c r="I1627" s="10" t="s">
        <v>89</v>
      </c>
      <c r="J1627" s="13" t="b">
        <v>0</v>
      </c>
      <c r="K1627" s="13" t="b">
        <v>1</v>
      </c>
      <c r="L1627" s="10" t="s">
        <v>124</v>
      </c>
      <c r="M1627" s="10" t="s">
        <v>91</v>
      </c>
      <c r="N1627" s="10" t="s">
        <v>92</v>
      </c>
      <c r="O1627" s="10"/>
      <c r="P1627" s="10"/>
      <c r="Q1627" s="10"/>
      <c r="R1627" s="10"/>
      <c r="S1627" s="10"/>
      <c r="T1627" s="10"/>
      <c r="U1627" s="10" t="s">
        <v>5113</v>
      </c>
      <c r="V1627" s="10" t="s">
        <v>11509</v>
      </c>
      <c r="W1627" s="10" t="s">
        <v>3569</v>
      </c>
      <c r="X1627" s="10" t="s">
        <v>130</v>
      </c>
      <c r="Y1627" s="10" t="s">
        <v>130</v>
      </c>
      <c r="Z1627" s="10" t="s">
        <v>99</v>
      </c>
      <c r="AA1627" s="10" t="s">
        <v>131</v>
      </c>
      <c r="AB1627" s="10" t="s">
        <v>3570</v>
      </c>
      <c r="AC1627" s="10" t="s">
        <v>3571</v>
      </c>
      <c r="AD1627" s="10" t="s">
        <v>12385</v>
      </c>
      <c r="AE1627" s="10" t="s">
        <v>12386</v>
      </c>
      <c r="AF1627" s="15"/>
      <c r="AG1627" s="10"/>
      <c r="AH1627" s="10"/>
      <c r="AI1627" s="10"/>
      <c r="AJ1627" s="10"/>
      <c r="AK1627" s="10"/>
      <c r="AL1627" s="10" t="s">
        <v>7897</v>
      </c>
      <c r="AM1627" s="10"/>
      <c r="AN1627" s="10"/>
      <c r="AO1627" s="13" t="b">
        <v>1</v>
      </c>
      <c r="AP1627" s="10" t="s">
        <v>104</v>
      </c>
      <c r="AQ1627" s="10"/>
      <c r="AR1627" s="17"/>
      <c r="AS1627" s="17"/>
      <c r="AT1627" s="17"/>
      <c r="AU1627" s="17"/>
      <c r="AV1627" s="17"/>
      <c r="AW1627" s="10"/>
      <c r="AX1627" s="17"/>
      <c r="AY1627" s="18" t="s">
        <v>257</v>
      </c>
      <c r="AZ1627" s="10"/>
      <c r="BA1627" s="20" t="b">
        <v>0</v>
      </c>
      <c r="BB1627" s="10"/>
      <c r="BC1627" s="17" t="s">
        <v>257</v>
      </c>
      <c r="BD1627" s="17" t="s">
        <v>257</v>
      </c>
      <c r="BE1627" s="17" t="s">
        <v>257</v>
      </c>
      <c r="BF1627" s="17" t="s">
        <v>257</v>
      </c>
      <c r="BG1627" s="11">
        <f ca="1">IFERROR(__xludf.DUMMYFUNCTION("""COMPUTED_VALUE"""),46043.125)</f>
        <v>46043.125</v>
      </c>
      <c r="BH1627" s="17"/>
      <c r="BI1627" s="17"/>
      <c r="BJ1627" s="15"/>
      <c r="BK1627" s="15"/>
      <c r="BL1627" s="13" t="b">
        <v>0</v>
      </c>
      <c r="BM1627" s="10"/>
      <c r="BN1627" s="10" t="s">
        <v>12382</v>
      </c>
      <c r="BO1627" s="11">
        <v>45904.299305555556</v>
      </c>
      <c r="BP1627" s="11">
        <v>45904.299976851849</v>
      </c>
      <c r="BQ1627" s="15"/>
      <c r="BR1627" s="15"/>
      <c r="BS1627" s="10"/>
      <c r="BT1627" s="10"/>
      <c r="BU1627" s="10"/>
      <c r="BV1627" s="10" t="s">
        <v>281</v>
      </c>
      <c r="BW1627" s="10" t="s">
        <v>282</v>
      </c>
      <c r="BX1627" s="10"/>
      <c r="BY1627" s="23"/>
      <c r="BZ1627" s="23"/>
      <c r="CA1627" s="23"/>
      <c r="CB1627" s="23"/>
      <c r="CC1627" s="23"/>
      <c r="CD1627" s="23"/>
      <c r="CE1627" s="23"/>
      <c r="CF1627" s="23"/>
      <c r="CG1627" s="23"/>
      <c r="CH1627" s="23"/>
      <c r="CI1627" s="23"/>
    </row>
    <row r="1628" spans="1:87" x14ac:dyDescent="0.3">
      <c r="A1628" s="9" t="s">
        <v>12387</v>
      </c>
      <c r="B1628" s="10" t="s">
        <v>12388</v>
      </c>
      <c r="C1628" s="11">
        <v>46043.125</v>
      </c>
      <c r="D1628" s="12">
        <v>8.3333333333333329E-2</v>
      </c>
      <c r="E1628" s="11">
        <v>46043.208333333336</v>
      </c>
      <c r="F1628" s="10" t="s">
        <v>3563</v>
      </c>
      <c r="G1628" s="13" t="b">
        <v>0</v>
      </c>
      <c r="H1628" s="10"/>
      <c r="I1628" s="10" t="s">
        <v>89</v>
      </c>
      <c r="J1628" s="13" t="b">
        <v>0</v>
      </c>
      <c r="K1628" s="13" t="b">
        <v>1</v>
      </c>
      <c r="L1628" s="10" t="s">
        <v>124</v>
      </c>
      <c r="M1628" s="10" t="s">
        <v>91</v>
      </c>
      <c r="N1628" s="10" t="s">
        <v>92</v>
      </c>
      <c r="O1628" s="10"/>
      <c r="P1628" s="10"/>
      <c r="Q1628" s="10"/>
      <c r="R1628" s="10"/>
      <c r="S1628" s="10"/>
      <c r="T1628" s="10"/>
      <c r="U1628" s="10" t="s">
        <v>11499</v>
      </c>
      <c r="V1628" s="10" t="s">
        <v>3318</v>
      </c>
      <c r="W1628" s="10" t="s">
        <v>3569</v>
      </c>
      <c r="X1628" s="10" t="s">
        <v>130</v>
      </c>
      <c r="Y1628" s="10" t="s">
        <v>130</v>
      </c>
      <c r="Z1628" s="10" t="s">
        <v>99</v>
      </c>
      <c r="AA1628" s="10" t="s">
        <v>131</v>
      </c>
      <c r="AB1628" s="10" t="s">
        <v>3570</v>
      </c>
      <c r="AC1628" s="10" t="s">
        <v>3571</v>
      </c>
      <c r="AD1628" s="10" t="s">
        <v>12389</v>
      </c>
      <c r="AE1628" s="10" t="s">
        <v>12390</v>
      </c>
      <c r="AF1628" s="15"/>
      <c r="AG1628" s="10"/>
      <c r="AH1628" s="10"/>
      <c r="AI1628" s="10"/>
      <c r="AJ1628" s="10"/>
      <c r="AK1628" s="10"/>
      <c r="AL1628" s="10" t="s">
        <v>7897</v>
      </c>
      <c r="AM1628" s="10"/>
      <c r="AN1628" s="10"/>
      <c r="AO1628" s="13" t="b">
        <v>0</v>
      </c>
      <c r="AP1628" s="10" t="s">
        <v>104</v>
      </c>
      <c r="AQ1628" s="10"/>
      <c r="AR1628" s="17"/>
      <c r="AS1628" s="17"/>
      <c r="AT1628" s="17"/>
      <c r="AU1628" s="17"/>
      <c r="AV1628" s="17"/>
      <c r="AW1628" s="10"/>
      <c r="AX1628" s="17"/>
      <c r="AY1628" s="18" t="s">
        <v>257</v>
      </c>
      <c r="AZ1628" s="10"/>
      <c r="BA1628" s="20" t="b">
        <v>0</v>
      </c>
      <c r="BB1628" s="10"/>
      <c r="BC1628" s="17" t="s">
        <v>257</v>
      </c>
      <c r="BD1628" s="17" t="s">
        <v>257</v>
      </c>
      <c r="BE1628" s="17" t="s">
        <v>257</v>
      </c>
      <c r="BF1628" s="17" t="s">
        <v>257</v>
      </c>
      <c r="BG1628" s="11">
        <f ca="1">IFERROR(__xludf.DUMMYFUNCTION("""COMPUTED_VALUE"""),46043.125)</f>
        <v>46043.125</v>
      </c>
      <c r="BH1628" s="17"/>
      <c r="BI1628" s="17"/>
      <c r="BJ1628" s="15"/>
      <c r="BK1628" s="15"/>
      <c r="BL1628" s="13" t="b">
        <v>0</v>
      </c>
      <c r="BM1628" s="10"/>
      <c r="BN1628" s="10" t="s">
        <v>223</v>
      </c>
      <c r="BO1628" s="11">
        <v>45904.299976851849</v>
      </c>
      <c r="BP1628" s="11">
        <v>45904.299976851849</v>
      </c>
      <c r="BQ1628" s="15"/>
      <c r="BR1628" s="15"/>
      <c r="BS1628" s="10"/>
      <c r="BT1628" s="10"/>
      <c r="BU1628" s="10"/>
      <c r="BV1628" s="10"/>
      <c r="BW1628" s="10"/>
      <c r="BX1628" s="10"/>
      <c r="BY1628" s="23"/>
      <c r="BZ1628" s="23"/>
      <c r="CA1628" s="23"/>
      <c r="CB1628" s="23"/>
      <c r="CC1628" s="23"/>
      <c r="CD1628" s="23"/>
      <c r="CE1628" s="23"/>
      <c r="CF1628" s="23"/>
      <c r="CG1628" s="23"/>
      <c r="CH1628" s="23"/>
      <c r="CI1628" s="23"/>
    </row>
    <row r="1629" spans="1:87" x14ac:dyDescent="0.3">
      <c r="A1629" s="9" t="s">
        <v>12391</v>
      </c>
      <c r="B1629" s="10" t="s">
        <v>12392</v>
      </c>
      <c r="C1629" s="11">
        <v>46044.03125</v>
      </c>
      <c r="D1629" s="12">
        <v>8.3333333333333329E-2</v>
      </c>
      <c r="E1629" s="11">
        <v>46044.114583333336</v>
      </c>
      <c r="F1629" s="10" t="s">
        <v>3563</v>
      </c>
      <c r="G1629" s="13" t="b">
        <v>0</v>
      </c>
      <c r="H1629" s="10"/>
      <c r="I1629" s="10" t="s">
        <v>89</v>
      </c>
      <c r="J1629" s="13" t="b">
        <v>0</v>
      </c>
      <c r="K1629" s="13" t="b">
        <v>1</v>
      </c>
      <c r="L1629" s="10" t="s">
        <v>124</v>
      </c>
      <c r="M1629" s="10" t="s">
        <v>91</v>
      </c>
      <c r="N1629" s="10" t="s">
        <v>92</v>
      </c>
      <c r="O1629" s="10"/>
      <c r="P1629" s="10"/>
      <c r="Q1629" s="10"/>
      <c r="R1629" s="10"/>
      <c r="S1629" s="10"/>
      <c r="T1629" s="10"/>
      <c r="U1629" s="10" t="s">
        <v>11518</v>
      </c>
      <c r="V1629" s="10" t="s">
        <v>5090</v>
      </c>
      <c r="W1629" s="10" t="s">
        <v>3569</v>
      </c>
      <c r="X1629" s="10" t="s">
        <v>130</v>
      </c>
      <c r="Y1629" s="10" t="s">
        <v>130</v>
      </c>
      <c r="Z1629" s="10" t="s">
        <v>99</v>
      </c>
      <c r="AA1629" s="10" t="s">
        <v>131</v>
      </c>
      <c r="AB1629" s="10" t="s">
        <v>3570</v>
      </c>
      <c r="AC1629" s="10" t="s">
        <v>3571</v>
      </c>
      <c r="AD1629" s="10" t="s">
        <v>12393</v>
      </c>
      <c r="AE1629" s="10" t="s">
        <v>12394</v>
      </c>
      <c r="AF1629" s="15"/>
      <c r="AG1629" s="10"/>
      <c r="AH1629" s="10"/>
      <c r="AI1629" s="10"/>
      <c r="AJ1629" s="10"/>
      <c r="AK1629" s="10"/>
      <c r="AL1629" s="10" t="s">
        <v>7897</v>
      </c>
      <c r="AM1629" s="10"/>
      <c r="AN1629" s="10"/>
      <c r="AO1629" s="13" t="b">
        <v>0</v>
      </c>
      <c r="AP1629" s="10" t="s">
        <v>104</v>
      </c>
      <c r="AQ1629" s="10"/>
      <c r="AR1629" s="17"/>
      <c r="AS1629" s="17"/>
      <c r="AT1629" s="17"/>
      <c r="AU1629" s="17"/>
      <c r="AV1629" s="17"/>
      <c r="AW1629" s="10"/>
      <c r="AX1629" s="17"/>
      <c r="AY1629" s="18" t="s">
        <v>257</v>
      </c>
      <c r="AZ1629" s="10"/>
      <c r="BA1629" s="20" t="b">
        <v>0</v>
      </c>
      <c r="BB1629" s="10"/>
      <c r="BC1629" s="17" t="s">
        <v>257</v>
      </c>
      <c r="BD1629" s="17" t="s">
        <v>257</v>
      </c>
      <c r="BE1629" s="17" t="s">
        <v>257</v>
      </c>
      <c r="BF1629" s="17" t="s">
        <v>257</v>
      </c>
      <c r="BG1629" s="11">
        <f ca="1">IFERROR(__xludf.DUMMYFUNCTION("""COMPUTED_VALUE"""),46044.03125)</f>
        <v>46044.03125</v>
      </c>
      <c r="BH1629" s="17"/>
      <c r="BI1629" s="17"/>
      <c r="BJ1629" s="15"/>
      <c r="BK1629" s="15"/>
      <c r="BL1629" s="13" t="b">
        <v>0</v>
      </c>
      <c r="BM1629" s="10"/>
      <c r="BN1629" s="10" t="s">
        <v>223</v>
      </c>
      <c r="BO1629" s="11">
        <v>45904.299976851849</v>
      </c>
      <c r="BP1629" s="11">
        <v>45904.299976851849</v>
      </c>
      <c r="BQ1629" s="15"/>
      <c r="BR1629" s="15"/>
      <c r="BS1629" s="10"/>
      <c r="BT1629" s="10"/>
      <c r="BU1629" s="10"/>
      <c r="BV1629" s="10"/>
      <c r="BW1629" s="10"/>
      <c r="BX1629" s="10"/>
      <c r="BY1629" s="23"/>
      <c r="BZ1629" s="23"/>
      <c r="CA1629" s="23"/>
      <c r="CB1629" s="23"/>
      <c r="CC1629" s="23"/>
      <c r="CD1629" s="23"/>
      <c r="CE1629" s="23"/>
      <c r="CF1629" s="23"/>
      <c r="CG1629" s="23"/>
      <c r="CH1629" s="23"/>
      <c r="CI1629" s="23"/>
    </row>
    <row r="1630" spans="1:87" x14ac:dyDescent="0.3">
      <c r="A1630" s="9" t="s">
        <v>12395</v>
      </c>
      <c r="B1630" s="10" t="s">
        <v>12396</v>
      </c>
      <c r="C1630" s="11">
        <v>46044.03125</v>
      </c>
      <c r="D1630" s="12">
        <v>8.3333333333333329E-2</v>
      </c>
      <c r="E1630" s="11">
        <v>46044.114583333336</v>
      </c>
      <c r="F1630" s="10" t="s">
        <v>3563</v>
      </c>
      <c r="G1630" s="13" t="b">
        <v>0</v>
      </c>
      <c r="H1630" s="10"/>
      <c r="I1630" s="10" t="s">
        <v>89</v>
      </c>
      <c r="J1630" s="13" t="b">
        <v>0</v>
      </c>
      <c r="K1630" s="13" t="b">
        <v>1</v>
      </c>
      <c r="L1630" s="10" t="s">
        <v>124</v>
      </c>
      <c r="M1630" s="10" t="s">
        <v>91</v>
      </c>
      <c r="N1630" s="10" t="s">
        <v>92</v>
      </c>
      <c r="O1630" s="10"/>
      <c r="P1630" s="10"/>
      <c r="Q1630" s="10"/>
      <c r="R1630" s="10"/>
      <c r="S1630" s="10"/>
      <c r="T1630" s="10"/>
      <c r="U1630" s="10" t="s">
        <v>3599</v>
      </c>
      <c r="V1630" s="10" t="s">
        <v>11517</v>
      </c>
      <c r="W1630" s="10" t="s">
        <v>3569</v>
      </c>
      <c r="X1630" s="10" t="s">
        <v>130</v>
      </c>
      <c r="Y1630" s="10" t="s">
        <v>130</v>
      </c>
      <c r="Z1630" s="10" t="s">
        <v>99</v>
      </c>
      <c r="AA1630" s="10" t="s">
        <v>131</v>
      </c>
      <c r="AB1630" s="10" t="s">
        <v>3570</v>
      </c>
      <c r="AC1630" s="10" t="s">
        <v>3571</v>
      </c>
      <c r="AD1630" s="10" t="s">
        <v>12397</v>
      </c>
      <c r="AE1630" s="10" t="s">
        <v>12398</v>
      </c>
      <c r="AF1630" s="15"/>
      <c r="AG1630" s="10"/>
      <c r="AH1630" s="10"/>
      <c r="AI1630" s="10"/>
      <c r="AJ1630" s="10"/>
      <c r="AK1630" s="10"/>
      <c r="AL1630" s="10" t="s">
        <v>7897</v>
      </c>
      <c r="AM1630" s="10"/>
      <c r="AN1630" s="10"/>
      <c r="AO1630" s="13" t="b">
        <v>0</v>
      </c>
      <c r="AP1630" s="10" t="s">
        <v>104</v>
      </c>
      <c r="AQ1630" s="10"/>
      <c r="AR1630" s="17"/>
      <c r="AS1630" s="17"/>
      <c r="AT1630" s="17"/>
      <c r="AU1630" s="17"/>
      <c r="AV1630" s="17"/>
      <c r="AW1630" s="10"/>
      <c r="AX1630" s="17"/>
      <c r="AY1630" s="18" t="s">
        <v>257</v>
      </c>
      <c r="AZ1630" s="10"/>
      <c r="BA1630" s="20" t="b">
        <v>0</v>
      </c>
      <c r="BB1630" s="10"/>
      <c r="BC1630" s="17" t="s">
        <v>257</v>
      </c>
      <c r="BD1630" s="17" t="s">
        <v>257</v>
      </c>
      <c r="BE1630" s="17" t="s">
        <v>257</v>
      </c>
      <c r="BF1630" s="17" t="s">
        <v>257</v>
      </c>
      <c r="BG1630" s="11">
        <f ca="1">IFERROR(__xludf.DUMMYFUNCTION("""COMPUTED_VALUE"""),46044.03125)</f>
        <v>46044.03125</v>
      </c>
      <c r="BH1630" s="17"/>
      <c r="BI1630" s="17"/>
      <c r="BJ1630" s="15"/>
      <c r="BK1630" s="15"/>
      <c r="BL1630" s="13" t="b">
        <v>0</v>
      </c>
      <c r="BM1630" s="10"/>
      <c r="BN1630" s="10" t="s">
        <v>223</v>
      </c>
      <c r="BO1630" s="11">
        <v>45904.299976851849</v>
      </c>
      <c r="BP1630" s="11">
        <v>45904.299976851849</v>
      </c>
      <c r="BQ1630" s="15"/>
      <c r="BR1630" s="15"/>
      <c r="BS1630" s="10"/>
      <c r="BT1630" s="10"/>
      <c r="BU1630" s="10"/>
      <c r="BV1630" s="10"/>
      <c r="BW1630" s="10"/>
      <c r="BX1630" s="10"/>
      <c r="BY1630" s="23"/>
      <c r="BZ1630" s="23"/>
      <c r="CA1630" s="23"/>
      <c r="CB1630" s="23"/>
      <c r="CC1630" s="23"/>
      <c r="CD1630" s="23"/>
      <c r="CE1630" s="23"/>
      <c r="CF1630" s="23"/>
      <c r="CG1630" s="23"/>
      <c r="CH1630" s="23"/>
      <c r="CI1630" s="23"/>
    </row>
    <row r="1631" spans="1:87" x14ac:dyDescent="0.3">
      <c r="A1631" s="9" t="s">
        <v>12399</v>
      </c>
      <c r="B1631" s="10" t="s">
        <v>12400</v>
      </c>
      <c r="C1631" s="11">
        <v>46044.125</v>
      </c>
      <c r="D1631" s="12">
        <v>8.3333333333333329E-2</v>
      </c>
      <c r="E1631" s="11">
        <v>46044.208333333336</v>
      </c>
      <c r="F1631" s="10" t="s">
        <v>3563</v>
      </c>
      <c r="G1631" s="13" t="b">
        <v>0</v>
      </c>
      <c r="H1631" s="10"/>
      <c r="I1631" s="10" t="s">
        <v>89</v>
      </c>
      <c r="J1631" s="13" t="b">
        <v>0</v>
      </c>
      <c r="K1631" s="13" t="b">
        <v>1</v>
      </c>
      <c r="L1631" s="10" t="s">
        <v>124</v>
      </c>
      <c r="M1631" s="10" t="s">
        <v>91</v>
      </c>
      <c r="N1631" s="10" t="s">
        <v>92</v>
      </c>
      <c r="O1631" s="10"/>
      <c r="P1631" s="10"/>
      <c r="Q1631" s="10"/>
      <c r="R1631" s="10"/>
      <c r="S1631" s="10"/>
      <c r="T1631" s="10"/>
      <c r="U1631" s="10" t="s">
        <v>11435</v>
      </c>
      <c r="V1631" s="10" t="s">
        <v>270</v>
      </c>
      <c r="W1631" s="10" t="s">
        <v>3569</v>
      </c>
      <c r="X1631" s="10" t="s">
        <v>130</v>
      </c>
      <c r="Y1631" s="10" t="s">
        <v>130</v>
      </c>
      <c r="Z1631" s="10" t="s">
        <v>99</v>
      </c>
      <c r="AA1631" s="10" t="s">
        <v>131</v>
      </c>
      <c r="AB1631" s="10" t="s">
        <v>3570</v>
      </c>
      <c r="AC1631" s="10" t="s">
        <v>3571</v>
      </c>
      <c r="AD1631" s="10" t="s">
        <v>12401</v>
      </c>
      <c r="AE1631" s="10" t="s">
        <v>12402</v>
      </c>
      <c r="AF1631" s="15"/>
      <c r="AG1631" s="10"/>
      <c r="AH1631" s="10"/>
      <c r="AI1631" s="10"/>
      <c r="AJ1631" s="10"/>
      <c r="AK1631" s="10"/>
      <c r="AL1631" s="10" t="s">
        <v>7897</v>
      </c>
      <c r="AM1631" s="10"/>
      <c r="AN1631" s="10"/>
      <c r="AO1631" s="13" t="b">
        <v>1</v>
      </c>
      <c r="AP1631" s="10" t="s">
        <v>104</v>
      </c>
      <c r="AQ1631" s="10"/>
      <c r="AR1631" s="17"/>
      <c r="AS1631" s="17"/>
      <c r="AT1631" s="17"/>
      <c r="AU1631" s="17"/>
      <c r="AV1631" s="17"/>
      <c r="AW1631" s="10"/>
      <c r="AX1631" s="17"/>
      <c r="AY1631" s="18" t="s">
        <v>257</v>
      </c>
      <c r="AZ1631" s="10"/>
      <c r="BA1631" s="20" t="b">
        <v>0</v>
      </c>
      <c r="BB1631" s="10"/>
      <c r="BC1631" s="17" t="s">
        <v>257</v>
      </c>
      <c r="BD1631" s="17" t="s">
        <v>257</v>
      </c>
      <c r="BE1631" s="17" t="s">
        <v>257</v>
      </c>
      <c r="BF1631" s="17" t="s">
        <v>257</v>
      </c>
      <c r="BG1631" s="11">
        <f ca="1">IFERROR(__xludf.DUMMYFUNCTION("""COMPUTED_VALUE"""),46044.125)</f>
        <v>46044.125</v>
      </c>
      <c r="BH1631" s="17"/>
      <c r="BI1631" s="17"/>
      <c r="BJ1631" s="15"/>
      <c r="BK1631" s="15"/>
      <c r="BL1631" s="13" t="b">
        <v>0</v>
      </c>
      <c r="BM1631" s="10"/>
      <c r="BN1631" s="10" t="s">
        <v>223</v>
      </c>
      <c r="BO1631" s="11">
        <v>45904.299976851849</v>
      </c>
      <c r="BP1631" s="11">
        <v>45904.299976851849</v>
      </c>
      <c r="BQ1631" s="15"/>
      <c r="BR1631" s="15"/>
      <c r="BS1631" s="10"/>
      <c r="BT1631" s="10"/>
      <c r="BU1631" s="10"/>
      <c r="BV1631" s="10"/>
      <c r="BW1631" s="10"/>
      <c r="BX1631" s="10"/>
      <c r="BY1631" s="23"/>
      <c r="BZ1631" s="23"/>
      <c r="CA1631" s="23"/>
      <c r="CB1631" s="23"/>
      <c r="CC1631" s="23"/>
      <c r="CD1631" s="23"/>
      <c r="CE1631" s="23"/>
      <c r="CF1631" s="23"/>
      <c r="CG1631" s="23"/>
      <c r="CH1631" s="23"/>
      <c r="CI1631" s="23"/>
    </row>
    <row r="1632" spans="1:87" x14ac:dyDescent="0.3">
      <c r="A1632" s="9" t="s">
        <v>12403</v>
      </c>
      <c r="B1632" s="10" t="s">
        <v>12404</v>
      </c>
      <c r="C1632" s="11">
        <v>46044.125</v>
      </c>
      <c r="D1632" s="12">
        <v>8.3333333333333329E-2</v>
      </c>
      <c r="E1632" s="11">
        <v>46044.208333333336</v>
      </c>
      <c r="F1632" s="10" t="s">
        <v>3563</v>
      </c>
      <c r="G1632" s="13" t="b">
        <v>0</v>
      </c>
      <c r="H1632" s="10"/>
      <c r="I1632" s="10" t="s">
        <v>89</v>
      </c>
      <c r="J1632" s="13" t="b">
        <v>0</v>
      </c>
      <c r="K1632" s="13" t="b">
        <v>1</v>
      </c>
      <c r="L1632" s="10" t="s">
        <v>124</v>
      </c>
      <c r="M1632" s="10" t="s">
        <v>91</v>
      </c>
      <c r="N1632" s="10" t="s">
        <v>92</v>
      </c>
      <c r="O1632" s="10"/>
      <c r="P1632" s="10"/>
      <c r="Q1632" s="10"/>
      <c r="R1632" s="10"/>
      <c r="S1632" s="10"/>
      <c r="T1632" s="10"/>
      <c r="U1632" s="10" t="s">
        <v>293</v>
      </c>
      <c r="V1632" s="10" t="s">
        <v>3704</v>
      </c>
      <c r="W1632" s="10" t="s">
        <v>3569</v>
      </c>
      <c r="X1632" s="10" t="s">
        <v>130</v>
      </c>
      <c r="Y1632" s="10" t="s">
        <v>130</v>
      </c>
      <c r="Z1632" s="10" t="s">
        <v>99</v>
      </c>
      <c r="AA1632" s="10" t="s">
        <v>131</v>
      </c>
      <c r="AB1632" s="10" t="s">
        <v>3570</v>
      </c>
      <c r="AC1632" s="10" t="s">
        <v>3571</v>
      </c>
      <c r="AD1632" s="10" t="s">
        <v>12405</v>
      </c>
      <c r="AE1632" s="10" t="s">
        <v>12406</v>
      </c>
      <c r="AF1632" s="15"/>
      <c r="AG1632" s="10"/>
      <c r="AH1632" s="10"/>
      <c r="AI1632" s="10"/>
      <c r="AJ1632" s="10"/>
      <c r="AK1632" s="10"/>
      <c r="AL1632" s="10" t="s">
        <v>7897</v>
      </c>
      <c r="AM1632" s="10"/>
      <c r="AN1632" s="10"/>
      <c r="AO1632" s="13" t="b">
        <v>0</v>
      </c>
      <c r="AP1632" s="10" t="s">
        <v>104</v>
      </c>
      <c r="AQ1632" s="10"/>
      <c r="AR1632" s="17"/>
      <c r="AS1632" s="17"/>
      <c r="AT1632" s="17"/>
      <c r="AU1632" s="17"/>
      <c r="AV1632" s="17"/>
      <c r="AW1632" s="10"/>
      <c r="AX1632" s="17"/>
      <c r="AY1632" s="18" t="s">
        <v>257</v>
      </c>
      <c r="AZ1632" s="10"/>
      <c r="BA1632" s="20" t="b">
        <v>0</v>
      </c>
      <c r="BB1632" s="10"/>
      <c r="BC1632" s="17" t="s">
        <v>257</v>
      </c>
      <c r="BD1632" s="17" t="s">
        <v>257</v>
      </c>
      <c r="BE1632" s="17" t="s">
        <v>257</v>
      </c>
      <c r="BF1632" s="17" t="s">
        <v>257</v>
      </c>
      <c r="BG1632" s="11">
        <f ca="1">IFERROR(__xludf.DUMMYFUNCTION("""COMPUTED_VALUE"""),46044.125)</f>
        <v>46044.125</v>
      </c>
      <c r="BH1632" s="17"/>
      <c r="BI1632" s="17"/>
      <c r="BJ1632" s="15"/>
      <c r="BK1632" s="15"/>
      <c r="BL1632" s="13" t="b">
        <v>0</v>
      </c>
      <c r="BM1632" s="10"/>
      <c r="BN1632" s="10" t="s">
        <v>223</v>
      </c>
      <c r="BO1632" s="11">
        <v>45904.299976851849</v>
      </c>
      <c r="BP1632" s="11">
        <v>45904.299976851849</v>
      </c>
      <c r="BQ1632" s="15"/>
      <c r="BR1632" s="15"/>
      <c r="BS1632" s="10"/>
      <c r="BT1632" s="10"/>
      <c r="BU1632" s="10"/>
      <c r="BV1632" s="10"/>
      <c r="BW1632" s="10"/>
      <c r="BX1632" s="10"/>
      <c r="BY1632" s="23"/>
      <c r="BZ1632" s="23"/>
      <c r="CA1632" s="23"/>
      <c r="CB1632" s="23"/>
      <c r="CC1632" s="23"/>
      <c r="CD1632" s="23"/>
      <c r="CE1632" s="23"/>
      <c r="CF1632" s="23"/>
      <c r="CG1632" s="23"/>
      <c r="CH1632" s="23"/>
      <c r="CI1632" s="23"/>
    </row>
    <row r="1633" spans="1:87" x14ac:dyDescent="0.3">
      <c r="A1633" s="9" t="s">
        <v>12407</v>
      </c>
      <c r="B1633" s="10" t="s">
        <v>12408</v>
      </c>
      <c r="C1633" s="11">
        <v>46044.125</v>
      </c>
      <c r="D1633" s="12">
        <v>8.3333333333333329E-2</v>
      </c>
      <c r="E1633" s="11">
        <v>46044.208333333336</v>
      </c>
      <c r="F1633" s="10" t="s">
        <v>3563</v>
      </c>
      <c r="G1633" s="13" t="b">
        <v>0</v>
      </c>
      <c r="H1633" s="10"/>
      <c r="I1633" s="10" t="s">
        <v>89</v>
      </c>
      <c r="J1633" s="13" t="b">
        <v>0</v>
      </c>
      <c r="K1633" s="13" t="b">
        <v>1</v>
      </c>
      <c r="L1633" s="10" t="s">
        <v>124</v>
      </c>
      <c r="M1633" s="10" t="s">
        <v>91</v>
      </c>
      <c r="N1633" s="10" t="s">
        <v>92</v>
      </c>
      <c r="O1633" s="10"/>
      <c r="P1633" s="10"/>
      <c r="Q1633" s="10"/>
      <c r="R1633" s="10"/>
      <c r="S1633" s="10"/>
      <c r="T1633" s="10"/>
      <c r="U1633" s="10" t="s">
        <v>11454</v>
      </c>
      <c r="V1633" s="10" t="s">
        <v>5042</v>
      </c>
      <c r="W1633" s="10" t="s">
        <v>3569</v>
      </c>
      <c r="X1633" s="10" t="s">
        <v>130</v>
      </c>
      <c r="Y1633" s="10" t="s">
        <v>130</v>
      </c>
      <c r="Z1633" s="10" t="s">
        <v>99</v>
      </c>
      <c r="AA1633" s="10" t="s">
        <v>131</v>
      </c>
      <c r="AB1633" s="10" t="s">
        <v>3570</v>
      </c>
      <c r="AC1633" s="10" t="s">
        <v>3571</v>
      </c>
      <c r="AD1633" s="10" t="s">
        <v>12409</v>
      </c>
      <c r="AE1633" s="10" t="s">
        <v>12410</v>
      </c>
      <c r="AF1633" s="15"/>
      <c r="AG1633" s="10"/>
      <c r="AH1633" s="10"/>
      <c r="AI1633" s="10"/>
      <c r="AJ1633" s="10"/>
      <c r="AK1633" s="10"/>
      <c r="AL1633" s="10" t="s">
        <v>7897</v>
      </c>
      <c r="AM1633" s="10"/>
      <c r="AN1633" s="10"/>
      <c r="AO1633" s="13" t="b">
        <v>1</v>
      </c>
      <c r="AP1633" s="10" t="s">
        <v>104</v>
      </c>
      <c r="AQ1633" s="10"/>
      <c r="AR1633" s="17"/>
      <c r="AS1633" s="17"/>
      <c r="AT1633" s="17"/>
      <c r="AU1633" s="17"/>
      <c r="AV1633" s="17"/>
      <c r="AW1633" s="10"/>
      <c r="AX1633" s="17"/>
      <c r="AY1633" s="18" t="s">
        <v>257</v>
      </c>
      <c r="AZ1633" s="10"/>
      <c r="BA1633" s="20" t="b">
        <v>0</v>
      </c>
      <c r="BB1633" s="10"/>
      <c r="BC1633" s="17" t="s">
        <v>257</v>
      </c>
      <c r="BD1633" s="17" t="s">
        <v>257</v>
      </c>
      <c r="BE1633" s="17" t="s">
        <v>257</v>
      </c>
      <c r="BF1633" s="17" t="s">
        <v>257</v>
      </c>
      <c r="BG1633" s="11">
        <f ca="1">IFERROR(__xludf.DUMMYFUNCTION("""COMPUTED_VALUE"""),46044.125)</f>
        <v>46044.125</v>
      </c>
      <c r="BH1633" s="17"/>
      <c r="BI1633" s="17"/>
      <c r="BJ1633" s="15"/>
      <c r="BK1633" s="15"/>
      <c r="BL1633" s="13" t="b">
        <v>0</v>
      </c>
      <c r="BM1633" s="10"/>
      <c r="BN1633" s="10" t="s">
        <v>223</v>
      </c>
      <c r="BO1633" s="11">
        <v>45904.299976851849</v>
      </c>
      <c r="BP1633" s="11">
        <v>45904.299976851849</v>
      </c>
      <c r="BQ1633" s="15"/>
      <c r="BR1633" s="15"/>
      <c r="BS1633" s="10"/>
      <c r="BT1633" s="10"/>
      <c r="BU1633" s="10"/>
      <c r="BV1633" s="10"/>
      <c r="BW1633" s="10"/>
      <c r="BX1633" s="10"/>
      <c r="BY1633" s="23"/>
      <c r="BZ1633" s="23"/>
      <c r="CA1633" s="23"/>
      <c r="CB1633" s="23"/>
      <c r="CC1633" s="23"/>
      <c r="CD1633" s="23"/>
      <c r="CE1633" s="23"/>
      <c r="CF1633" s="23"/>
      <c r="CG1633" s="23"/>
      <c r="CH1633" s="23"/>
      <c r="CI1633" s="23"/>
    </row>
    <row r="1634" spans="1:87" x14ac:dyDescent="0.3">
      <c r="A1634" s="9" t="s">
        <v>12411</v>
      </c>
      <c r="B1634" s="10" t="s">
        <v>12412</v>
      </c>
      <c r="C1634" s="11">
        <v>46044.125</v>
      </c>
      <c r="D1634" s="12">
        <v>8.3333333333333329E-2</v>
      </c>
      <c r="E1634" s="11">
        <v>46044.208333333336</v>
      </c>
      <c r="F1634" s="10" t="s">
        <v>3563</v>
      </c>
      <c r="G1634" s="13" t="b">
        <v>0</v>
      </c>
      <c r="H1634" s="10"/>
      <c r="I1634" s="10" t="s">
        <v>89</v>
      </c>
      <c r="J1634" s="13" t="b">
        <v>0</v>
      </c>
      <c r="K1634" s="13" t="b">
        <v>1</v>
      </c>
      <c r="L1634" s="10" t="s">
        <v>124</v>
      </c>
      <c r="M1634" s="10" t="s">
        <v>91</v>
      </c>
      <c r="N1634" s="10" t="s">
        <v>92</v>
      </c>
      <c r="O1634" s="10"/>
      <c r="P1634" s="10"/>
      <c r="Q1634" s="10"/>
      <c r="R1634" s="10"/>
      <c r="S1634" s="10"/>
      <c r="T1634" s="10"/>
      <c r="U1634" s="10" t="s">
        <v>3259</v>
      </c>
      <c r="V1634" s="10" t="s">
        <v>3582</v>
      </c>
      <c r="W1634" s="10" t="s">
        <v>3569</v>
      </c>
      <c r="X1634" s="10" t="s">
        <v>130</v>
      </c>
      <c r="Y1634" s="10" t="s">
        <v>130</v>
      </c>
      <c r="Z1634" s="10" t="s">
        <v>99</v>
      </c>
      <c r="AA1634" s="10" t="s">
        <v>131</v>
      </c>
      <c r="AB1634" s="10" t="s">
        <v>3570</v>
      </c>
      <c r="AC1634" s="10" t="s">
        <v>3571</v>
      </c>
      <c r="AD1634" s="10" t="s">
        <v>12413</v>
      </c>
      <c r="AE1634" s="10" t="s">
        <v>12414</v>
      </c>
      <c r="AF1634" s="15"/>
      <c r="AG1634" s="10"/>
      <c r="AH1634" s="10"/>
      <c r="AI1634" s="10"/>
      <c r="AJ1634" s="10"/>
      <c r="AK1634" s="10"/>
      <c r="AL1634" s="10" t="s">
        <v>7897</v>
      </c>
      <c r="AM1634" s="10"/>
      <c r="AN1634" s="10"/>
      <c r="AO1634" s="13" t="b">
        <v>1</v>
      </c>
      <c r="AP1634" s="10" t="s">
        <v>104</v>
      </c>
      <c r="AQ1634" s="10"/>
      <c r="AR1634" s="17"/>
      <c r="AS1634" s="17"/>
      <c r="AT1634" s="17"/>
      <c r="AU1634" s="17"/>
      <c r="AV1634" s="17"/>
      <c r="AW1634" s="10"/>
      <c r="AX1634" s="17"/>
      <c r="AY1634" s="18" t="s">
        <v>257</v>
      </c>
      <c r="AZ1634" s="10"/>
      <c r="BA1634" s="20" t="b">
        <v>0</v>
      </c>
      <c r="BB1634" s="10"/>
      <c r="BC1634" s="17" t="s">
        <v>257</v>
      </c>
      <c r="BD1634" s="17" t="s">
        <v>257</v>
      </c>
      <c r="BE1634" s="17" t="s">
        <v>257</v>
      </c>
      <c r="BF1634" s="17" t="s">
        <v>257</v>
      </c>
      <c r="BG1634" s="11">
        <f ca="1">IFERROR(__xludf.DUMMYFUNCTION("""COMPUTED_VALUE"""),46044.125)</f>
        <v>46044.125</v>
      </c>
      <c r="BH1634" s="17"/>
      <c r="BI1634" s="17"/>
      <c r="BJ1634" s="15"/>
      <c r="BK1634" s="15"/>
      <c r="BL1634" s="13" t="b">
        <v>0</v>
      </c>
      <c r="BM1634" s="10"/>
      <c r="BN1634" s="10" t="s">
        <v>223</v>
      </c>
      <c r="BO1634" s="11">
        <v>45904.299976851849</v>
      </c>
      <c r="BP1634" s="11">
        <v>45904.299976851849</v>
      </c>
      <c r="BQ1634" s="15"/>
      <c r="BR1634" s="15"/>
      <c r="BS1634" s="10"/>
      <c r="BT1634" s="10"/>
      <c r="BU1634" s="10"/>
      <c r="BV1634" s="10"/>
      <c r="BW1634" s="10"/>
      <c r="BX1634" s="10"/>
      <c r="BY1634" s="23"/>
      <c r="BZ1634" s="23"/>
      <c r="CA1634" s="23"/>
      <c r="CB1634" s="23"/>
      <c r="CC1634" s="23"/>
      <c r="CD1634" s="23"/>
      <c r="CE1634" s="23"/>
      <c r="CF1634" s="23"/>
      <c r="CG1634" s="23"/>
      <c r="CH1634" s="23"/>
      <c r="CI1634" s="23"/>
    </row>
    <row r="1635" spans="1:87" x14ac:dyDescent="0.3">
      <c r="A1635" s="9" t="s">
        <v>12415</v>
      </c>
      <c r="B1635" s="10" t="s">
        <v>12416</v>
      </c>
      <c r="C1635" s="11">
        <v>46044.125</v>
      </c>
      <c r="D1635" s="12">
        <v>8.3333333333333329E-2</v>
      </c>
      <c r="E1635" s="11">
        <v>46044.208333333336</v>
      </c>
      <c r="F1635" s="10" t="s">
        <v>3563</v>
      </c>
      <c r="G1635" s="13" t="b">
        <v>0</v>
      </c>
      <c r="H1635" s="10"/>
      <c r="I1635" s="10" t="s">
        <v>89</v>
      </c>
      <c r="J1635" s="13" t="b">
        <v>0</v>
      </c>
      <c r="K1635" s="13" t="b">
        <v>1</v>
      </c>
      <c r="L1635" s="10" t="s">
        <v>124</v>
      </c>
      <c r="M1635" s="10" t="s">
        <v>91</v>
      </c>
      <c r="N1635" s="10" t="s">
        <v>92</v>
      </c>
      <c r="O1635" s="10"/>
      <c r="P1635" s="10"/>
      <c r="Q1635" s="10"/>
      <c r="R1635" s="10"/>
      <c r="S1635" s="10"/>
      <c r="T1635" s="10"/>
      <c r="U1635" s="10" t="s">
        <v>346</v>
      </c>
      <c r="V1635" s="10" t="s">
        <v>3590</v>
      </c>
      <c r="W1635" s="10" t="s">
        <v>3569</v>
      </c>
      <c r="X1635" s="10" t="s">
        <v>130</v>
      </c>
      <c r="Y1635" s="10" t="s">
        <v>130</v>
      </c>
      <c r="Z1635" s="10" t="s">
        <v>99</v>
      </c>
      <c r="AA1635" s="10" t="s">
        <v>131</v>
      </c>
      <c r="AB1635" s="10" t="s">
        <v>3570</v>
      </c>
      <c r="AC1635" s="10" t="s">
        <v>3571</v>
      </c>
      <c r="AD1635" s="10" t="s">
        <v>12417</v>
      </c>
      <c r="AE1635" s="10" t="s">
        <v>12418</v>
      </c>
      <c r="AF1635" s="15"/>
      <c r="AG1635" s="10"/>
      <c r="AH1635" s="10"/>
      <c r="AI1635" s="10"/>
      <c r="AJ1635" s="10"/>
      <c r="AK1635" s="10"/>
      <c r="AL1635" s="10" t="s">
        <v>7897</v>
      </c>
      <c r="AM1635" s="10"/>
      <c r="AN1635" s="10"/>
      <c r="AO1635" s="13" t="b">
        <v>1</v>
      </c>
      <c r="AP1635" s="10" t="s">
        <v>104</v>
      </c>
      <c r="AQ1635" s="10"/>
      <c r="AR1635" s="17"/>
      <c r="AS1635" s="17"/>
      <c r="AT1635" s="17"/>
      <c r="AU1635" s="17"/>
      <c r="AV1635" s="17"/>
      <c r="AW1635" s="10"/>
      <c r="AX1635" s="17"/>
      <c r="AY1635" s="18" t="s">
        <v>257</v>
      </c>
      <c r="AZ1635" s="10"/>
      <c r="BA1635" s="20" t="b">
        <v>0</v>
      </c>
      <c r="BB1635" s="10"/>
      <c r="BC1635" s="17" t="s">
        <v>257</v>
      </c>
      <c r="BD1635" s="17" t="s">
        <v>257</v>
      </c>
      <c r="BE1635" s="17" t="s">
        <v>257</v>
      </c>
      <c r="BF1635" s="17" t="s">
        <v>257</v>
      </c>
      <c r="BG1635" s="11">
        <f ca="1">IFERROR(__xludf.DUMMYFUNCTION("""COMPUTED_VALUE"""),46044.125)</f>
        <v>46044.125</v>
      </c>
      <c r="BH1635" s="17"/>
      <c r="BI1635" s="17"/>
      <c r="BJ1635" s="15"/>
      <c r="BK1635" s="15"/>
      <c r="BL1635" s="13" t="b">
        <v>0</v>
      </c>
      <c r="BM1635" s="10"/>
      <c r="BN1635" s="10" t="s">
        <v>223</v>
      </c>
      <c r="BO1635" s="11">
        <v>45904.299976851849</v>
      </c>
      <c r="BP1635" s="11">
        <v>45904.299976851849</v>
      </c>
      <c r="BQ1635" s="15"/>
      <c r="BR1635" s="15"/>
      <c r="BS1635" s="10"/>
      <c r="BT1635" s="10"/>
      <c r="BU1635" s="10"/>
      <c r="BV1635" s="10"/>
      <c r="BW1635" s="10"/>
      <c r="BX1635" s="10"/>
      <c r="BY1635" s="23"/>
      <c r="BZ1635" s="23"/>
      <c r="CA1635" s="23"/>
      <c r="CB1635" s="23"/>
      <c r="CC1635" s="23"/>
      <c r="CD1635" s="23"/>
      <c r="CE1635" s="23"/>
      <c r="CF1635" s="23"/>
      <c r="CG1635" s="23"/>
      <c r="CH1635" s="23"/>
      <c r="CI1635" s="23"/>
    </row>
    <row r="1636" spans="1:87" x14ac:dyDescent="0.3">
      <c r="A1636" s="9" t="s">
        <v>12419</v>
      </c>
      <c r="B1636" s="10" t="s">
        <v>12420</v>
      </c>
      <c r="C1636" s="11">
        <v>46044.125</v>
      </c>
      <c r="D1636" s="12">
        <v>8.3333333333333329E-2</v>
      </c>
      <c r="E1636" s="11">
        <v>46044.208333333336</v>
      </c>
      <c r="F1636" s="10" t="s">
        <v>3563</v>
      </c>
      <c r="G1636" s="13" t="b">
        <v>0</v>
      </c>
      <c r="H1636" s="10"/>
      <c r="I1636" s="10" t="s">
        <v>89</v>
      </c>
      <c r="J1636" s="13" t="b">
        <v>0</v>
      </c>
      <c r="K1636" s="13" t="b">
        <v>1</v>
      </c>
      <c r="L1636" s="10" t="s">
        <v>124</v>
      </c>
      <c r="M1636" s="10" t="s">
        <v>91</v>
      </c>
      <c r="N1636" s="10" t="s">
        <v>92</v>
      </c>
      <c r="O1636" s="10"/>
      <c r="P1636" s="10"/>
      <c r="Q1636" s="10"/>
      <c r="R1636" s="10"/>
      <c r="S1636" s="10"/>
      <c r="T1636" s="10"/>
      <c r="U1636" s="10" t="s">
        <v>11463</v>
      </c>
      <c r="V1636" s="10" t="s">
        <v>11393</v>
      </c>
      <c r="W1636" s="10" t="s">
        <v>3569</v>
      </c>
      <c r="X1636" s="10" t="s">
        <v>130</v>
      </c>
      <c r="Y1636" s="10" t="s">
        <v>130</v>
      </c>
      <c r="Z1636" s="10" t="s">
        <v>99</v>
      </c>
      <c r="AA1636" s="10" t="s">
        <v>131</v>
      </c>
      <c r="AB1636" s="10" t="s">
        <v>3570</v>
      </c>
      <c r="AC1636" s="10" t="s">
        <v>3571</v>
      </c>
      <c r="AD1636" s="10" t="s">
        <v>12421</v>
      </c>
      <c r="AE1636" s="10" t="s">
        <v>12422</v>
      </c>
      <c r="AF1636" s="15"/>
      <c r="AG1636" s="10"/>
      <c r="AH1636" s="10"/>
      <c r="AI1636" s="10"/>
      <c r="AJ1636" s="10"/>
      <c r="AK1636" s="10"/>
      <c r="AL1636" s="10" t="s">
        <v>7897</v>
      </c>
      <c r="AM1636" s="10"/>
      <c r="AN1636" s="10"/>
      <c r="AO1636" s="13" t="b">
        <v>1</v>
      </c>
      <c r="AP1636" s="10" t="s">
        <v>104</v>
      </c>
      <c r="AQ1636" s="10"/>
      <c r="AR1636" s="17"/>
      <c r="AS1636" s="17"/>
      <c r="AT1636" s="17"/>
      <c r="AU1636" s="17"/>
      <c r="AV1636" s="17"/>
      <c r="AW1636" s="10"/>
      <c r="AX1636" s="17"/>
      <c r="AY1636" s="18" t="s">
        <v>257</v>
      </c>
      <c r="AZ1636" s="10"/>
      <c r="BA1636" s="20" t="b">
        <v>0</v>
      </c>
      <c r="BB1636" s="10"/>
      <c r="BC1636" s="17" t="s">
        <v>257</v>
      </c>
      <c r="BD1636" s="17" t="s">
        <v>257</v>
      </c>
      <c r="BE1636" s="17" t="s">
        <v>257</v>
      </c>
      <c r="BF1636" s="17" t="s">
        <v>257</v>
      </c>
      <c r="BG1636" s="11">
        <f ca="1">IFERROR(__xludf.DUMMYFUNCTION("""COMPUTED_VALUE"""),46044.125)</f>
        <v>46044.125</v>
      </c>
      <c r="BH1636" s="17"/>
      <c r="BI1636" s="17"/>
      <c r="BJ1636" s="15"/>
      <c r="BK1636" s="15"/>
      <c r="BL1636" s="13" t="b">
        <v>0</v>
      </c>
      <c r="BM1636" s="10"/>
      <c r="BN1636" s="10" t="s">
        <v>223</v>
      </c>
      <c r="BO1636" s="11">
        <v>45904.299976851849</v>
      </c>
      <c r="BP1636" s="11">
        <v>45904.299976851849</v>
      </c>
      <c r="BQ1636" s="15"/>
      <c r="BR1636" s="15"/>
      <c r="BS1636" s="10"/>
      <c r="BT1636" s="10"/>
      <c r="BU1636" s="10"/>
      <c r="BV1636" s="10"/>
      <c r="BW1636" s="10"/>
      <c r="BX1636" s="10"/>
      <c r="BY1636" s="23"/>
      <c r="BZ1636" s="23"/>
      <c r="CA1636" s="23"/>
      <c r="CB1636" s="23"/>
      <c r="CC1636" s="23"/>
      <c r="CD1636" s="23"/>
      <c r="CE1636" s="23"/>
      <c r="CF1636" s="23"/>
      <c r="CG1636" s="23"/>
      <c r="CH1636" s="23"/>
      <c r="CI1636" s="23"/>
    </row>
    <row r="1637" spans="1:87" x14ac:dyDescent="0.3">
      <c r="A1637" s="9" t="s">
        <v>12423</v>
      </c>
      <c r="B1637" s="10" t="s">
        <v>12424</v>
      </c>
      <c r="C1637" s="11">
        <v>46044.125</v>
      </c>
      <c r="D1637" s="12">
        <v>8.3333333333333329E-2</v>
      </c>
      <c r="E1637" s="11">
        <v>46044.208333333336</v>
      </c>
      <c r="F1637" s="10" t="s">
        <v>3563</v>
      </c>
      <c r="G1637" s="13" t="b">
        <v>0</v>
      </c>
      <c r="H1637" s="10"/>
      <c r="I1637" s="10" t="s">
        <v>89</v>
      </c>
      <c r="J1637" s="13" t="b">
        <v>0</v>
      </c>
      <c r="K1637" s="13" t="b">
        <v>1</v>
      </c>
      <c r="L1637" s="10" t="s">
        <v>124</v>
      </c>
      <c r="M1637" s="10" t="s">
        <v>91</v>
      </c>
      <c r="N1637" s="10" t="s">
        <v>92</v>
      </c>
      <c r="O1637" s="10"/>
      <c r="P1637" s="10"/>
      <c r="Q1637" s="10"/>
      <c r="R1637" s="10"/>
      <c r="S1637" s="10"/>
      <c r="T1637" s="10"/>
      <c r="U1637" s="10" t="s">
        <v>3308</v>
      </c>
      <c r="V1637" s="10" t="s">
        <v>5076</v>
      </c>
      <c r="W1637" s="10" t="s">
        <v>3569</v>
      </c>
      <c r="X1637" s="10" t="s">
        <v>130</v>
      </c>
      <c r="Y1637" s="10" t="s">
        <v>130</v>
      </c>
      <c r="Z1637" s="10" t="s">
        <v>99</v>
      </c>
      <c r="AA1637" s="10" t="s">
        <v>131</v>
      </c>
      <c r="AB1637" s="10" t="s">
        <v>3570</v>
      </c>
      <c r="AC1637" s="10" t="s">
        <v>3571</v>
      </c>
      <c r="AD1637" s="10" t="s">
        <v>12425</v>
      </c>
      <c r="AE1637" s="10" t="s">
        <v>12426</v>
      </c>
      <c r="AF1637" s="15"/>
      <c r="AG1637" s="10"/>
      <c r="AH1637" s="10"/>
      <c r="AI1637" s="10"/>
      <c r="AJ1637" s="10"/>
      <c r="AK1637" s="10"/>
      <c r="AL1637" s="10" t="s">
        <v>7897</v>
      </c>
      <c r="AM1637" s="10"/>
      <c r="AN1637" s="10"/>
      <c r="AO1637" s="13" t="b">
        <v>0</v>
      </c>
      <c r="AP1637" s="10" t="s">
        <v>104</v>
      </c>
      <c r="AQ1637" s="10"/>
      <c r="AR1637" s="17"/>
      <c r="AS1637" s="17"/>
      <c r="AT1637" s="17"/>
      <c r="AU1637" s="17"/>
      <c r="AV1637" s="17"/>
      <c r="AW1637" s="10"/>
      <c r="AX1637" s="17"/>
      <c r="AY1637" s="18" t="s">
        <v>257</v>
      </c>
      <c r="AZ1637" s="10"/>
      <c r="BA1637" s="20" t="b">
        <v>0</v>
      </c>
      <c r="BB1637" s="10"/>
      <c r="BC1637" s="17" t="s">
        <v>257</v>
      </c>
      <c r="BD1637" s="17" t="s">
        <v>257</v>
      </c>
      <c r="BE1637" s="17" t="s">
        <v>257</v>
      </c>
      <c r="BF1637" s="17" t="s">
        <v>257</v>
      </c>
      <c r="BG1637" s="11">
        <f ca="1">IFERROR(__xludf.DUMMYFUNCTION("""COMPUTED_VALUE"""),46044.125)</f>
        <v>46044.125</v>
      </c>
      <c r="BH1637" s="17"/>
      <c r="BI1637" s="17"/>
      <c r="BJ1637" s="15"/>
      <c r="BK1637" s="15"/>
      <c r="BL1637" s="13" t="b">
        <v>0</v>
      </c>
      <c r="BM1637" s="10"/>
      <c r="BN1637" s="10" t="s">
        <v>223</v>
      </c>
      <c r="BO1637" s="11">
        <v>45904.299976851849</v>
      </c>
      <c r="BP1637" s="11">
        <v>45904.299976851849</v>
      </c>
      <c r="BQ1637" s="15"/>
      <c r="BR1637" s="15"/>
      <c r="BS1637" s="10"/>
      <c r="BT1637" s="10"/>
      <c r="BU1637" s="10"/>
      <c r="BV1637" s="10"/>
      <c r="BW1637" s="10"/>
      <c r="BX1637" s="10"/>
      <c r="BY1637" s="23"/>
      <c r="BZ1637" s="23"/>
      <c r="CA1637" s="23"/>
      <c r="CB1637" s="23"/>
      <c r="CC1637" s="23"/>
      <c r="CD1637" s="23"/>
      <c r="CE1637" s="23"/>
      <c r="CF1637" s="23"/>
      <c r="CG1637" s="23"/>
      <c r="CH1637" s="23"/>
      <c r="CI1637" s="23"/>
    </row>
    <row r="1638" spans="1:87" x14ac:dyDescent="0.3">
      <c r="A1638" s="9" t="s">
        <v>12427</v>
      </c>
      <c r="B1638" s="10" t="s">
        <v>12428</v>
      </c>
      <c r="C1638" s="11">
        <v>46051.125</v>
      </c>
      <c r="D1638" s="12">
        <v>8.3333333333333329E-2</v>
      </c>
      <c r="E1638" s="11">
        <v>46051.208333333336</v>
      </c>
      <c r="F1638" s="10" t="s">
        <v>3563</v>
      </c>
      <c r="G1638" s="13" t="b">
        <v>0</v>
      </c>
      <c r="H1638" s="10"/>
      <c r="I1638" s="10" t="s">
        <v>89</v>
      </c>
      <c r="J1638" s="13" t="b">
        <v>0</v>
      </c>
      <c r="K1638" s="13" t="b">
        <v>1</v>
      </c>
      <c r="L1638" s="10" t="s">
        <v>124</v>
      </c>
      <c r="M1638" s="10" t="s">
        <v>91</v>
      </c>
      <c r="N1638" s="10" t="s">
        <v>92</v>
      </c>
      <c r="O1638" s="10"/>
      <c r="P1638" s="10"/>
      <c r="Q1638" s="10"/>
      <c r="R1638" s="10"/>
      <c r="S1638" s="10"/>
      <c r="T1638" s="10"/>
      <c r="U1638" s="10" t="s">
        <v>5076</v>
      </c>
      <c r="V1638" s="10" t="s">
        <v>7859</v>
      </c>
      <c r="W1638" s="10" t="s">
        <v>3569</v>
      </c>
      <c r="X1638" s="10" t="s">
        <v>130</v>
      </c>
      <c r="Y1638" s="10" t="s">
        <v>130</v>
      </c>
      <c r="Z1638" s="10" t="s">
        <v>99</v>
      </c>
      <c r="AA1638" s="10" t="s">
        <v>131</v>
      </c>
      <c r="AB1638" s="10" t="s">
        <v>3570</v>
      </c>
      <c r="AC1638" s="10" t="s">
        <v>3571</v>
      </c>
      <c r="AD1638" s="10" t="s">
        <v>12429</v>
      </c>
      <c r="AE1638" s="10" t="s">
        <v>12430</v>
      </c>
      <c r="AF1638" s="15"/>
      <c r="AG1638" s="10"/>
      <c r="AH1638" s="10"/>
      <c r="AI1638" s="10"/>
      <c r="AJ1638" s="10"/>
      <c r="AK1638" s="10"/>
      <c r="AL1638" s="10" t="s">
        <v>7897</v>
      </c>
      <c r="AM1638" s="10"/>
      <c r="AN1638" s="10"/>
      <c r="AO1638" s="13" t="b">
        <v>0</v>
      </c>
      <c r="AP1638" s="10" t="s">
        <v>104</v>
      </c>
      <c r="AQ1638" s="10"/>
      <c r="AR1638" s="17"/>
      <c r="AS1638" s="17"/>
      <c r="AT1638" s="17"/>
      <c r="AU1638" s="17"/>
      <c r="AV1638" s="17"/>
      <c r="AW1638" s="10"/>
      <c r="AX1638" s="17"/>
      <c r="AY1638" s="18" t="s">
        <v>257</v>
      </c>
      <c r="AZ1638" s="10"/>
      <c r="BA1638" s="20" t="b">
        <v>0</v>
      </c>
      <c r="BB1638" s="10"/>
      <c r="BC1638" s="17" t="s">
        <v>257</v>
      </c>
      <c r="BD1638" s="17" t="s">
        <v>257</v>
      </c>
      <c r="BE1638" s="17" t="s">
        <v>257</v>
      </c>
      <c r="BF1638" s="17" t="s">
        <v>257</v>
      </c>
      <c r="BG1638" s="11">
        <f ca="1">IFERROR(__xludf.DUMMYFUNCTION("""COMPUTED_VALUE"""),46051.125)</f>
        <v>46051.125</v>
      </c>
      <c r="BH1638" s="17"/>
      <c r="BI1638" s="17"/>
      <c r="BJ1638" s="15"/>
      <c r="BK1638" s="15"/>
      <c r="BL1638" s="13" t="b">
        <v>0</v>
      </c>
      <c r="BM1638" s="10"/>
      <c r="BN1638" s="10" t="s">
        <v>223</v>
      </c>
      <c r="BO1638" s="11">
        <v>45904.299976851849</v>
      </c>
      <c r="BP1638" s="11">
        <v>45904.299976851849</v>
      </c>
      <c r="BQ1638" s="15"/>
      <c r="BR1638" s="15"/>
      <c r="BS1638" s="10"/>
      <c r="BT1638" s="10"/>
      <c r="BU1638" s="10"/>
      <c r="BV1638" s="10"/>
      <c r="BW1638" s="10"/>
      <c r="BX1638" s="10"/>
      <c r="BY1638" s="23"/>
      <c r="BZ1638" s="23"/>
      <c r="CA1638" s="23"/>
      <c r="CB1638" s="23"/>
      <c r="CC1638" s="23"/>
      <c r="CD1638" s="23"/>
      <c r="CE1638" s="23"/>
      <c r="CF1638" s="23"/>
      <c r="CG1638" s="23"/>
      <c r="CH1638" s="23"/>
      <c r="CI1638" s="23"/>
    </row>
    <row r="1639" spans="1:87" x14ac:dyDescent="0.3">
      <c r="A1639" s="9" t="s">
        <v>12431</v>
      </c>
      <c r="B1639" s="10" t="s">
        <v>12432</v>
      </c>
      <c r="C1639" s="11">
        <v>46051.125</v>
      </c>
      <c r="D1639" s="12">
        <v>8.3333333333333329E-2</v>
      </c>
      <c r="E1639" s="11">
        <v>46051.208333333336</v>
      </c>
      <c r="F1639" s="10" t="s">
        <v>3563</v>
      </c>
      <c r="G1639" s="13" t="b">
        <v>0</v>
      </c>
      <c r="H1639" s="10"/>
      <c r="I1639" s="10" t="s">
        <v>89</v>
      </c>
      <c r="J1639" s="13" t="b">
        <v>0</v>
      </c>
      <c r="K1639" s="13" t="b">
        <v>1</v>
      </c>
      <c r="L1639" s="10" t="s">
        <v>124</v>
      </c>
      <c r="M1639" s="10" t="s">
        <v>91</v>
      </c>
      <c r="N1639" s="10" t="s">
        <v>92</v>
      </c>
      <c r="O1639" s="10"/>
      <c r="P1639" s="10"/>
      <c r="Q1639" s="10"/>
      <c r="R1639" s="10"/>
      <c r="S1639" s="10"/>
      <c r="T1639" s="10"/>
      <c r="U1639" s="10" t="s">
        <v>270</v>
      </c>
      <c r="V1639" s="10" t="s">
        <v>3599</v>
      </c>
      <c r="W1639" s="10" t="s">
        <v>3569</v>
      </c>
      <c r="X1639" s="10" t="s">
        <v>130</v>
      </c>
      <c r="Y1639" s="10" t="s">
        <v>130</v>
      </c>
      <c r="Z1639" s="10" t="s">
        <v>99</v>
      </c>
      <c r="AA1639" s="10" t="s">
        <v>131</v>
      </c>
      <c r="AB1639" s="10" t="s">
        <v>3570</v>
      </c>
      <c r="AC1639" s="10" t="s">
        <v>3571</v>
      </c>
      <c r="AD1639" s="10" t="s">
        <v>12433</v>
      </c>
      <c r="AE1639" s="10" t="s">
        <v>12434</v>
      </c>
      <c r="AF1639" s="15"/>
      <c r="AG1639" s="10"/>
      <c r="AH1639" s="10"/>
      <c r="AI1639" s="10"/>
      <c r="AJ1639" s="10"/>
      <c r="AK1639" s="10"/>
      <c r="AL1639" s="10" t="s">
        <v>7897</v>
      </c>
      <c r="AM1639" s="10"/>
      <c r="AN1639" s="10"/>
      <c r="AO1639" s="13" t="b">
        <v>1</v>
      </c>
      <c r="AP1639" s="10" t="s">
        <v>104</v>
      </c>
      <c r="AQ1639" s="10"/>
      <c r="AR1639" s="17"/>
      <c r="AS1639" s="17"/>
      <c r="AT1639" s="17"/>
      <c r="AU1639" s="17"/>
      <c r="AV1639" s="17"/>
      <c r="AW1639" s="10"/>
      <c r="AX1639" s="17"/>
      <c r="AY1639" s="18" t="s">
        <v>257</v>
      </c>
      <c r="AZ1639" s="10"/>
      <c r="BA1639" s="20" t="b">
        <v>0</v>
      </c>
      <c r="BB1639" s="10"/>
      <c r="BC1639" s="17" t="s">
        <v>257</v>
      </c>
      <c r="BD1639" s="17" t="s">
        <v>257</v>
      </c>
      <c r="BE1639" s="17" t="s">
        <v>257</v>
      </c>
      <c r="BF1639" s="17" t="s">
        <v>257</v>
      </c>
      <c r="BG1639" s="11">
        <f ca="1">IFERROR(__xludf.DUMMYFUNCTION("""COMPUTED_VALUE"""),46051.125)</f>
        <v>46051.125</v>
      </c>
      <c r="BH1639" s="17"/>
      <c r="BI1639" s="17"/>
      <c r="BJ1639" s="15"/>
      <c r="BK1639" s="15"/>
      <c r="BL1639" s="13" t="b">
        <v>0</v>
      </c>
      <c r="BM1639" s="10"/>
      <c r="BN1639" s="10" t="s">
        <v>223</v>
      </c>
      <c r="BO1639" s="11">
        <v>45904.299976851849</v>
      </c>
      <c r="BP1639" s="11">
        <v>45904.299976851849</v>
      </c>
      <c r="BQ1639" s="15"/>
      <c r="BR1639" s="15"/>
      <c r="BS1639" s="10"/>
      <c r="BT1639" s="10"/>
      <c r="BU1639" s="10"/>
      <c r="BV1639" s="10"/>
      <c r="BW1639" s="10"/>
      <c r="BX1639" s="10"/>
      <c r="BY1639" s="23"/>
      <c r="BZ1639" s="23"/>
      <c r="CA1639" s="23"/>
      <c r="CB1639" s="23"/>
      <c r="CC1639" s="23"/>
      <c r="CD1639" s="23"/>
      <c r="CE1639" s="23"/>
      <c r="CF1639" s="23"/>
      <c r="CG1639" s="23"/>
      <c r="CH1639" s="23"/>
      <c r="CI1639" s="23"/>
    </row>
    <row r="1640" spans="1:87" x14ac:dyDescent="0.3">
      <c r="A1640" s="9" t="s">
        <v>12435</v>
      </c>
      <c r="B1640" s="10" t="s">
        <v>12436</v>
      </c>
      <c r="C1640" s="11">
        <v>46051.125</v>
      </c>
      <c r="D1640" s="12">
        <v>8.3333333333333329E-2</v>
      </c>
      <c r="E1640" s="11">
        <v>46051.208333333336</v>
      </c>
      <c r="F1640" s="10" t="s">
        <v>3563</v>
      </c>
      <c r="G1640" s="13" t="b">
        <v>0</v>
      </c>
      <c r="H1640" s="10"/>
      <c r="I1640" s="10" t="s">
        <v>89</v>
      </c>
      <c r="J1640" s="13" t="b">
        <v>0</v>
      </c>
      <c r="K1640" s="13" t="b">
        <v>1</v>
      </c>
      <c r="L1640" s="10" t="s">
        <v>124</v>
      </c>
      <c r="M1640" s="10" t="s">
        <v>91</v>
      </c>
      <c r="N1640" s="10" t="s">
        <v>92</v>
      </c>
      <c r="O1640" s="10"/>
      <c r="P1640" s="10"/>
      <c r="Q1640" s="10"/>
      <c r="R1640" s="10"/>
      <c r="S1640" s="10"/>
      <c r="T1640" s="10"/>
      <c r="U1640" s="10" t="s">
        <v>5042</v>
      </c>
      <c r="V1640" s="10" t="s">
        <v>11499</v>
      </c>
      <c r="W1640" s="10" t="s">
        <v>3569</v>
      </c>
      <c r="X1640" s="10" t="s">
        <v>130</v>
      </c>
      <c r="Y1640" s="10" t="s">
        <v>130</v>
      </c>
      <c r="Z1640" s="10" t="s">
        <v>99</v>
      </c>
      <c r="AA1640" s="10" t="s">
        <v>131</v>
      </c>
      <c r="AB1640" s="10" t="s">
        <v>3570</v>
      </c>
      <c r="AC1640" s="10" t="s">
        <v>3571</v>
      </c>
      <c r="AD1640" s="10" t="s">
        <v>12437</v>
      </c>
      <c r="AE1640" s="10" t="s">
        <v>12438</v>
      </c>
      <c r="AF1640" s="15"/>
      <c r="AG1640" s="10"/>
      <c r="AH1640" s="10"/>
      <c r="AI1640" s="10"/>
      <c r="AJ1640" s="10"/>
      <c r="AK1640" s="10"/>
      <c r="AL1640" s="10" t="s">
        <v>7897</v>
      </c>
      <c r="AM1640" s="10"/>
      <c r="AN1640" s="10"/>
      <c r="AO1640" s="13" t="b">
        <v>1</v>
      </c>
      <c r="AP1640" s="10" t="s">
        <v>104</v>
      </c>
      <c r="AQ1640" s="10"/>
      <c r="AR1640" s="17"/>
      <c r="AS1640" s="17"/>
      <c r="AT1640" s="17"/>
      <c r="AU1640" s="17"/>
      <c r="AV1640" s="17"/>
      <c r="AW1640" s="10"/>
      <c r="AX1640" s="17"/>
      <c r="AY1640" s="18" t="s">
        <v>257</v>
      </c>
      <c r="AZ1640" s="10"/>
      <c r="BA1640" s="20" t="b">
        <v>0</v>
      </c>
      <c r="BB1640" s="10"/>
      <c r="BC1640" s="17" t="s">
        <v>257</v>
      </c>
      <c r="BD1640" s="17" t="s">
        <v>257</v>
      </c>
      <c r="BE1640" s="17" t="s">
        <v>257</v>
      </c>
      <c r="BF1640" s="17" t="s">
        <v>257</v>
      </c>
      <c r="BG1640" s="11">
        <f ca="1">IFERROR(__xludf.DUMMYFUNCTION("""COMPUTED_VALUE"""),46051.125)</f>
        <v>46051.125</v>
      </c>
      <c r="BH1640" s="17"/>
      <c r="BI1640" s="17"/>
      <c r="BJ1640" s="15"/>
      <c r="BK1640" s="15"/>
      <c r="BL1640" s="13" t="b">
        <v>0</v>
      </c>
      <c r="BM1640" s="10"/>
      <c r="BN1640" s="10" t="s">
        <v>12382</v>
      </c>
      <c r="BO1640" s="11">
        <v>45904.299305555556</v>
      </c>
      <c r="BP1640" s="11">
        <v>45904.299976851849</v>
      </c>
      <c r="BQ1640" s="15"/>
      <c r="BR1640" s="15"/>
      <c r="BS1640" s="10"/>
      <c r="BT1640" s="10"/>
      <c r="BU1640" s="10"/>
      <c r="BV1640" s="10" t="s">
        <v>124</v>
      </c>
      <c r="BW1640" s="10"/>
      <c r="BX1640" s="10"/>
      <c r="BY1640" s="23"/>
      <c r="BZ1640" s="23"/>
      <c r="CA1640" s="23"/>
      <c r="CB1640" s="23"/>
      <c r="CC1640" s="23"/>
      <c r="CD1640" s="23"/>
      <c r="CE1640" s="23"/>
      <c r="CF1640" s="23"/>
      <c r="CG1640" s="23"/>
      <c r="CH1640" s="23"/>
      <c r="CI1640" s="23"/>
    </row>
    <row r="1641" spans="1:87" x14ac:dyDescent="0.3">
      <c r="A1641" s="9" t="s">
        <v>12439</v>
      </c>
      <c r="B1641" s="10" t="s">
        <v>12440</v>
      </c>
      <c r="C1641" s="11">
        <v>46051.125</v>
      </c>
      <c r="D1641" s="12">
        <v>8.3333333333333329E-2</v>
      </c>
      <c r="E1641" s="11">
        <v>46051.208333333336</v>
      </c>
      <c r="F1641" s="10" t="s">
        <v>3563</v>
      </c>
      <c r="G1641" s="13" t="b">
        <v>0</v>
      </c>
      <c r="H1641" s="10"/>
      <c r="I1641" s="10" t="s">
        <v>89</v>
      </c>
      <c r="J1641" s="13" t="b">
        <v>0</v>
      </c>
      <c r="K1641" s="13" t="b">
        <v>1</v>
      </c>
      <c r="L1641" s="10" t="s">
        <v>124</v>
      </c>
      <c r="M1641" s="10" t="s">
        <v>91</v>
      </c>
      <c r="N1641" s="10" t="s">
        <v>92</v>
      </c>
      <c r="O1641" s="10"/>
      <c r="P1641" s="10"/>
      <c r="Q1641" s="10"/>
      <c r="R1641" s="10"/>
      <c r="S1641" s="10"/>
      <c r="T1641" s="10"/>
      <c r="U1641" s="10" t="s">
        <v>11509</v>
      </c>
      <c r="V1641" s="10" t="s">
        <v>3259</v>
      </c>
      <c r="W1641" s="10" t="s">
        <v>3569</v>
      </c>
      <c r="X1641" s="10" t="s">
        <v>130</v>
      </c>
      <c r="Y1641" s="10" t="s">
        <v>130</v>
      </c>
      <c r="Z1641" s="10" t="s">
        <v>99</v>
      </c>
      <c r="AA1641" s="10" t="s">
        <v>131</v>
      </c>
      <c r="AB1641" s="10" t="s">
        <v>3570</v>
      </c>
      <c r="AC1641" s="10" t="s">
        <v>3571</v>
      </c>
      <c r="AD1641" s="10" t="s">
        <v>12441</v>
      </c>
      <c r="AE1641" s="10" t="s">
        <v>12442</v>
      </c>
      <c r="AF1641" s="15"/>
      <c r="AG1641" s="10"/>
      <c r="AH1641" s="10"/>
      <c r="AI1641" s="10"/>
      <c r="AJ1641" s="10"/>
      <c r="AK1641" s="10"/>
      <c r="AL1641" s="10" t="s">
        <v>7897</v>
      </c>
      <c r="AM1641" s="10"/>
      <c r="AN1641" s="10"/>
      <c r="AO1641" s="13" t="b">
        <v>1</v>
      </c>
      <c r="AP1641" s="10" t="s">
        <v>104</v>
      </c>
      <c r="AQ1641" s="10"/>
      <c r="AR1641" s="17"/>
      <c r="AS1641" s="17"/>
      <c r="AT1641" s="17"/>
      <c r="AU1641" s="17"/>
      <c r="AV1641" s="17"/>
      <c r="AW1641" s="10"/>
      <c r="AX1641" s="17"/>
      <c r="AY1641" s="18" t="s">
        <v>257</v>
      </c>
      <c r="AZ1641" s="10"/>
      <c r="BA1641" s="20" t="b">
        <v>0</v>
      </c>
      <c r="BB1641" s="10"/>
      <c r="BC1641" s="17" t="s">
        <v>257</v>
      </c>
      <c r="BD1641" s="17" t="s">
        <v>257</v>
      </c>
      <c r="BE1641" s="17" t="s">
        <v>257</v>
      </c>
      <c r="BF1641" s="17" t="s">
        <v>257</v>
      </c>
      <c r="BG1641" s="11">
        <f ca="1">IFERROR(__xludf.DUMMYFUNCTION("""COMPUTED_VALUE"""),46051.125)</f>
        <v>46051.125</v>
      </c>
      <c r="BH1641" s="17"/>
      <c r="BI1641" s="17"/>
      <c r="BJ1641" s="15"/>
      <c r="BK1641" s="15"/>
      <c r="BL1641" s="13" t="b">
        <v>0</v>
      </c>
      <c r="BM1641" s="10"/>
      <c r="BN1641" s="10" t="s">
        <v>223</v>
      </c>
      <c r="BO1641" s="11">
        <v>45904.299976851849</v>
      </c>
      <c r="BP1641" s="11">
        <v>45904.299976851849</v>
      </c>
      <c r="BQ1641" s="15"/>
      <c r="BR1641" s="15"/>
      <c r="BS1641" s="10"/>
      <c r="BT1641" s="10"/>
      <c r="BU1641" s="10"/>
      <c r="BV1641" s="10"/>
      <c r="BW1641" s="10"/>
      <c r="BX1641" s="10"/>
      <c r="BY1641" s="23"/>
      <c r="BZ1641" s="23"/>
      <c r="CA1641" s="23"/>
      <c r="CB1641" s="23"/>
      <c r="CC1641" s="23"/>
      <c r="CD1641" s="23"/>
      <c r="CE1641" s="23"/>
      <c r="CF1641" s="23"/>
      <c r="CG1641" s="23"/>
      <c r="CH1641" s="23"/>
      <c r="CI1641" s="23"/>
    </row>
    <row r="1642" spans="1:87" x14ac:dyDescent="0.3">
      <c r="A1642" s="9" t="s">
        <v>12443</v>
      </c>
      <c r="B1642" s="10" t="s">
        <v>12444</v>
      </c>
      <c r="C1642" s="11">
        <v>46051.125</v>
      </c>
      <c r="D1642" s="12">
        <v>8.3333333333333329E-2</v>
      </c>
      <c r="E1642" s="11">
        <v>46051.208333333336</v>
      </c>
      <c r="F1642" s="10" t="s">
        <v>3563</v>
      </c>
      <c r="G1642" s="13" t="b">
        <v>0</v>
      </c>
      <c r="H1642" s="10"/>
      <c r="I1642" s="10" t="s">
        <v>89</v>
      </c>
      <c r="J1642" s="13" t="b">
        <v>0</v>
      </c>
      <c r="K1642" s="13" t="b">
        <v>1</v>
      </c>
      <c r="L1642" s="10" t="s">
        <v>124</v>
      </c>
      <c r="M1642" s="10" t="s">
        <v>91</v>
      </c>
      <c r="N1642" s="10" t="s">
        <v>92</v>
      </c>
      <c r="O1642" s="10"/>
      <c r="P1642" s="10"/>
      <c r="Q1642" s="10"/>
      <c r="R1642" s="10"/>
      <c r="S1642" s="10"/>
      <c r="T1642" s="10"/>
      <c r="U1642" s="10" t="s">
        <v>3715</v>
      </c>
      <c r="V1642" s="10" t="s">
        <v>11446</v>
      </c>
      <c r="W1642" s="10" t="s">
        <v>3569</v>
      </c>
      <c r="X1642" s="10" t="s">
        <v>130</v>
      </c>
      <c r="Y1642" s="10" t="s">
        <v>130</v>
      </c>
      <c r="Z1642" s="10" t="s">
        <v>99</v>
      </c>
      <c r="AA1642" s="10" t="s">
        <v>131</v>
      </c>
      <c r="AB1642" s="10" t="s">
        <v>3570</v>
      </c>
      <c r="AC1642" s="10" t="s">
        <v>3571</v>
      </c>
      <c r="AD1642" s="10" t="s">
        <v>12445</v>
      </c>
      <c r="AE1642" s="10" t="s">
        <v>12446</v>
      </c>
      <c r="AF1642" s="15"/>
      <c r="AG1642" s="10"/>
      <c r="AH1642" s="10"/>
      <c r="AI1642" s="10"/>
      <c r="AJ1642" s="10"/>
      <c r="AK1642" s="10"/>
      <c r="AL1642" s="10" t="s">
        <v>7897</v>
      </c>
      <c r="AM1642" s="10"/>
      <c r="AN1642" s="10"/>
      <c r="AO1642" s="13" t="b">
        <v>0</v>
      </c>
      <c r="AP1642" s="10" t="s">
        <v>104</v>
      </c>
      <c r="AQ1642" s="10"/>
      <c r="AR1642" s="17"/>
      <c r="AS1642" s="17"/>
      <c r="AT1642" s="17"/>
      <c r="AU1642" s="17"/>
      <c r="AV1642" s="17"/>
      <c r="AW1642" s="10"/>
      <c r="AX1642" s="17"/>
      <c r="AY1642" s="18" t="s">
        <v>257</v>
      </c>
      <c r="AZ1642" s="10"/>
      <c r="BA1642" s="20" t="b">
        <v>0</v>
      </c>
      <c r="BB1642" s="10"/>
      <c r="BC1642" s="17" t="s">
        <v>257</v>
      </c>
      <c r="BD1642" s="17" t="s">
        <v>257</v>
      </c>
      <c r="BE1642" s="17" t="s">
        <v>257</v>
      </c>
      <c r="BF1642" s="17" t="s">
        <v>257</v>
      </c>
      <c r="BG1642" s="11">
        <f ca="1">IFERROR(__xludf.DUMMYFUNCTION("""COMPUTED_VALUE"""),46051.125)</f>
        <v>46051.125</v>
      </c>
      <c r="BH1642" s="17"/>
      <c r="BI1642" s="17"/>
      <c r="BJ1642" s="15"/>
      <c r="BK1642" s="15"/>
      <c r="BL1642" s="13" t="b">
        <v>0</v>
      </c>
      <c r="BM1642" s="10"/>
      <c r="BN1642" s="10" t="s">
        <v>223</v>
      </c>
      <c r="BO1642" s="11">
        <v>45904.299976851849</v>
      </c>
      <c r="BP1642" s="11">
        <v>45904.299976851849</v>
      </c>
      <c r="BQ1642" s="15"/>
      <c r="BR1642" s="15"/>
      <c r="BS1642" s="10"/>
      <c r="BT1642" s="10"/>
      <c r="BU1642" s="10"/>
      <c r="BV1642" s="10"/>
      <c r="BW1642" s="10"/>
      <c r="BX1642" s="10"/>
      <c r="BY1642" s="23"/>
      <c r="BZ1642" s="23"/>
      <c r="CA1642" s="23"/>
      <c r="CB1642" s="23"/>
      <c r="CC1642" s="23"/>
      <c r="CD1642" s="23"/>
      <c r="CE1642" s="23"/>
      <c r="CF1642" s="23"/>
      <c r="CG1642" s="23"/>
      <c r="CH1642" s="23"/>
      <c r="CI1642" s="23"/>
    </row>
    <row r="1643" spans="1:87" x14ac:dyDescent="0.3">
      <c r="A1643" s="9" t="s">
        <v>12447</v>
      </c>
      <c r="B1643" s="10" t="s">
        <v>12448</v>
      </c>
      <c r="C1643" s="11">
        <v>46051.125</v>
      </c>
      <c r="D1643" s="12">
        <v>8.3333333333333329E-2</v>
      </c>
      <c r="E1643" s="11">
        <v>46051.208333333336</v>
      </c>
      <c r="F1643" s="10" t="s">
        <v>3563</v>
      </c>
      <c r="G1643" s="13" t="b">
        <v>0</v>
      </c>
      <c r="H1643" s="10"/>
      <c r="I1643" s="10" t="s">
        <v>89</v>
      </c>
      <c r="J1643" s="13" t="b">
        <v>0</v>
      </c>
      <c r="K1643" s="13" t="b">
        <v>1</v>
      </c>
      <c r="L1643" s="10" t="s">
        <v>124</v>
      </c>
      <c r="M1643" s="10" t="s">
        <v>91</v>
      </c>
      <c r="N1643" s="10" t="s">
        <v>92</v>
      </c>
      <c r="O1643" s="10"/>
      <c r="P1643" s="10"/>
      <c r="Q1643" s="10"/>
      <c r="R1643" s="10"/>
      <c r="S1643" s="10"/>
      <c r="T1643" s="10"/>
      <c r="U1643" s="10" t="s">
        <v>11474</v>
      </c>
      <c r="V1643" s="10" t="s">
        <v>293</v>
      </c>
      <c r="W1643" s="10" t="s">
        <v>3569</v>
      </c>
      <c r="X1643" s="10" t="s">
        <v>130</v>
      </c>
      <c r="Y1643" s="10" t="s">
        <v>130</v>
      </c>
      <c r="Z1643" s="10" t="s">
        <v>99</v>
      </c>
      <c r="AA1643" s="10" t="s">
        <v>131</v>
      </c>
      <c r="AB1643" s="10" t="s">
        <v>3570</v>
      </c>
      <c r="AC1643" s="10" t="s">
        <v>3571</v>
      </c>
      <c r="AD1643" s="10" t="s">
        <v>12449</v>
      </c>
      <c r="AE1643" s="10" t="s">
        <v>12450</v>
      </c>
      <c r="AF1643" s="15"/>
      <c r="AG1643" s="10"/>
      <c r="AH1643" s="10"/>
      <c r="AI1643" s="10"/>
      <c r="AJ1643" s="10"/>
      <c r="AK1643" s="10"/>
      <c r="AL1643" s="10" t="s">
        <v>7897</v>
      </c>
      <c r="AM1643" s="10"/>
      <c r="AN1643" s="10"/>
      <c r="AO1643" s="13" t="b">
        <v>1</v>
      </c>
      <c r="AP1643" s="10" t="s">
        <v>104</v>
      </c>
      <c r="AQ1643" s="10"/>
      <c r="AR1643" s="17"/>
      <c r="AS1643" s="17"/>
      <c r="AT1643" s="17"/>
      <c r="AU1643" s="17"/>
      <c r="AV1643" s="17"/>
      <c r="AW1643" s="10"/>
      <c r="AX1643" s="17"/>
      <c r="AY1643" s="18" t="s">
        <v>257</v>
      </c>
      <c r="AZ1643" s="10"/>
      <c r="BA1643" s="20" t="b">
        <v>0</v>
      </c>
      <c r="BB1643" s="10"/>
      <c r="BC1643" s="17" t="s">
        <v>257</v>
      </c>
      <c r="BD1643" s="17" t="s">
        <v>257</v>
      </c>
      <c r="BE1643" s="17" t="s">
        <v>257</v>
      </c>
      <c r="BF1643" s="17" t="s">
        <v>257</v>
      </c>
      <c r="BG1643" s="11">
        <f ca="1">IFERROR(__xludf.DUMMYFUNCTION("""COMPUTED_VALUE"""),46051.125)</f>
        <v>46051.125</v>
      </c>
      <c r="BH1643" s="17"/>
      <c r="BI1643" s="17"/>
      <c r="BJ1643" s="15"/>
      <c r="BK1643" s="15"/>
      <c r="BL1643" s="13" t="b">
        <v>0</v>
      </c>
      <c r="BM1643" s="10"/>
      <c r="BN1643" s="10" t="s">
        <v>223</v>
      </c>
      <c r="BO1643" s="11">
        <v>45904.299976851849</v>
      </c>
      <c r="BP1643" s="11">
        <v>45904.299976851849</v>
      </c>
      <c r="BQ1643" s="15"/>
      <c r="BR1643" s="15"/>
      <c r="BS1643" s="10"/>
      <c r="BT1643" s="10"/>
      <c r="BU1643" s="10"/>
      <c r="BV1643" s="10"/>
      <c r="BW1643" s="10"/>
      <c r="BX1643" s="10"/>
      <c r="BY1643" s="23"/>
      <c r="BZ1643" s="23"/>
      <c r="CA1643" s="23"/>
      <c r="CB1643" s="23"/>
      <c r="CC1643" s="23"/>
      <c r="CD1643" s="23"/>
      <c r="CE1643" s="23"/>
      <c r="CF1643" s="23"/>
      <c r="CG1643" s="23"/>
      <c r="CH1643" s="23"/>
      <c r="CI1643" s="23"/>
    </row>
    <row r="1644" spans="1:87" x14ac:dyDescent="0.3">
      <c r="A1644" s="9" t="s">
        <v>12451</v>
      </c>
      <c r="B1644" s="10" t="s">
        <v>12452</v>
      </c>
      <c r="C1644" s="11">
        <v>46051.125</v>
      </c>
      <c r="D1644" s="12">
        <v>8.3333333333333329E-2</v>
      </c>
      <c r="E1644" s="11">
        <v>46051.208333333336</v>
      </c>
      <c r="F1644" s="10" t="s">
        <v>3563</v>
      </c>
      <c r="G1644" s="13" t="b">
        <v>0</v>
      </c>
      <c r="H1644" s="10"/>
      <c r="I1644" s="10" t="s">
        <v>89</v>
      </c>
      <c r="J1644" s="13" t="b">
        <v>0</v>
      </c>
      <c r="K1644" s="13" t="b">
        <v>1</v>
      </c>
      <c r="L1644" s="10" t="s">
        <v>124</v>
      </c>
      <c r="M1644" s="10" t="s">
        <v>91</v>
      </c>
      <c r="N1644" s="10" t="s">
        <v>92</v>
      </c>
      <c r="O1644" s="10"/>
      <c r="P1644" s="10"/>
      <c r="Q1644" s="10"/>
      <c r="R1644" s="10"/>
      <c r="S1644" s="10"/>
      <c r="T1644" s="10"/>
      <c r="U1644" s="10" t="s">
        <v>11409</v>
      </c>
      <c r="V1644" s="10" t="s">
        <v>3278</v>
      </c>
      <c r="W1644" s="10" t="s">
        <v>3569</v>
      </c>
      <c r="X1644" s="10" t="s">
        <v>130</v>
      </c>
      <c r="Y1644" s="10" t="s">
        <v>130</v>
      </c>
      <c r="Z1644" s="10" t="s">
        <v>99</v>
      </c>
      <c r="AA1644" s="10" t="s">
        <v>131</v>
      </c>
      <c r="AB1644" s="10" t="s">
        <v>3570</v>
      </c>
      <c r="AC1644" s="10" t="s">
        <v>3571</v>
      </c>
      <c r="AD1644" s="10" t="s">
        <v>12453</v>
      </c>
      <c r="AE1644" s="10" t="s">
        <v>12454</v>
      </c>
      <c r="AF1644" s="15"/>
      <c r="AG1644" s="10"/>
      <c r="AH1644" s="10"/>
      <c r="AI1644" s="10"/>
      <c r="AJ1644" s="10"/>
      <c r="AK1644" s="10"/>
      <c r="AL1644" s="10" t="s">
        <v>7897</v>
      </c>
      <c r="AM1644" s="10"/>
      <c r="AN1644" s="10"/>
      <c r="AO1644" s="13" t="b">
        <v>1</v>
      </c>
      <c r="AP1644" s="10" t="s">
        <v>104</v>
      </c>
      <c r="AQ1644" s="10"/>
      <c r="AR1644" s="17"/>
      <c r="AS1644" s="17"/>
      <c r="AT1644" s="17"/>
      <c r="AU1644" s="17"/>
      <c r="AV1644" s="17"/>
      <c r="AW1644" s="10"/>
      <c r="AX1644" s="17"/>
      <c r="AY1644" s="18" t="s">
        <v>257</v>
      </c>
      <c r="AZ1644" s="10"/>
      <c r="BA1644" s="20" t="b">
        <v>0</v>
      </c>
      <c r="BB1644" s="10"/>
      <c r="BC1644" s="17" t="s">
        <v>257</v>
      </c>
      <c r="BD1644" s="17" t="s">
        <v>257</v>
      </c>
      <c r="BE1644" s="17" t="s">
        <v>257</v>
      </c>
      <c r="BF1644" s="17" t="s">
        <v>257</v>
      </c>
      <c r="BG1644" s="11">
        <f ca="1">IFERROR(__xludf.DUMMYFUNCTION("""COMPUTED_VALUE"""),46051.125)</f>
        <v>46051.125</v>
      </c>
      <c r="BH1644" s="17"/>
      <c r="BI1644" s="17"/>
      <c r="BJ1644" s="15"/>
      <c r="BK1644" s="15"/>
      <c r="BL1644" s="13" t="b">
        <v>0</v>
      </c>
      <c r="BM1644" s="10"/>
      <c r="BN1644" s="10" t="s">
        <v>223</v>
      </c>
      <c r="BO1644" s="11">
        <v>45904.299976851849</v>
      </c>
      <c r="BP1644" s="11">
        <v>45904.299976851849</v>
      </c>
      <c r="BQ1644" s="15"/>
      <c r="BR1644" s="15"/>
      <c r="BS1644" s="10"/>
      <c r="BT1644" s="10"/>
      <c r="BU1644" s="10"/>
      <c r="BV1644" s="10"/>
      <c r="BW1644" s="10"/>
      <c r="BX1644" s="10"/>
      <c r="BY1644" s="23"/>
      <c r="BZ1644" s="23"/>
      <c r="CA1644" s="23"/>
      <c r="CB1644" s="23"/>
      <c r="CC1644" s="23"/>
      <c r="CD1644" s="23"/>
      <c r="CE1644" s="23"/>
      <c r="CF1644" s="23"/>
      <c r="CG1644" s="23"/>
      <c r="CH1644" s="23"/>
      <c r="CI1644" s="23"/>
    </row>
    <row r="1645" spans="1:87" x14ac:dyDescent="0.3">
      <c r="A1645" s="9" t="s">
        <v>12455</v>
      </c>
      <c r="B1645" s="10" t="s">
        <v>12456</v>
      </c>
      <c r="C1645" s="11">
        <v>46051.125</v>
      </c>
      <c r="D1645" s="12">
        <v>8.3333333333333329E-2</v>
      </c>
      <c r="E1645" s="11">
        <v>46051.208333333336</v>
      </c>
      <c r="F1645" s="10" t="s">
        <v>3563</v>
      </c>
      <c r="G1645" s="13" t="b">
        <v>0</v>
      </c>
      <c r="H1645" s="10"/>
      <c r="I1645" s="10" t="s">
        <v>89</v>
      </c>
      <c r="J1645" s="13" t="b">
        <v>0</v>
      </c>
      <c r="K1645" s="13" t="b">
        <v>1</v>
      </c>
      <c r="L1645" s="10" t="s">
        <v>124</v>
      </c>
      <c r="M1645" s="10" t="s">
        <v>91</v>
      </c>
      <c r="N1645" s="10" t="s">
        <v>92</v>
      </c>
      <c r="O1645" s="10"/>
      <c r="P1645" s="10"/>
      <c r="Q1645" s="10"/>
      <c r="R1645" s="10"/>
      <c r="S1645" s="10"/>
      <c r="T1645" s="10"/>
      <c r="U1645" s="10" t="s">
        <v>3318</v>
      </c>
      <c r="V1645" s="10" t="s">
        <v>346</v>
      </c>
      <c r="W1645" s="10" t="s">
        <v>3569</v>
      </c>
      <c r="X1645" s="10" t="s">
        <v>130</v>
      </c>
      <c r="Y1645" s="10" t="s">
        <v>130</v>
      </c>
      <c r="Z1645" s="10" t="s">
        <v>99</v>
      </c>
      <c r="AA1645" s="10" t="s">
        <v>131</v>
      </c>
      <c r="AB1645" s="10" t="s">
        <v>3570</v>
      </c>
      <c r="AC1645" s="10" t="s">
        <v>3571</v>
      </c>
      <c r="AD1645" s="10" t="s">
        <v>12457</v>
      </c>
      <c r="AE1645" s="10" t="s">
        <v>12458</v>
      </c>
      <c r="AF1645" s="15"/>
      <c r="AG1645" s="10"/>
      <c r="AH1645" s="10"/>
      <c r="AI1645" s="10"/>
      <c r="AJ1645" s="10"/>
      <c r="AK1645" s="10"/>
      <c r="AL1645" s="10" t="s">
        <v>7897</v>
      </c>
      <c r="AM1645" s="10"/>
      <c r="AN1645" s="10"/>
      <c r="AO1645" s="13" t="b">
        <v>0</v>
      </c>
      <c r="AP1645" s="10" t="s">
        <v>104</v>
      </c>
      <c r="AQ1645" s="10"/>
      <c r="AR1645" s="17"/>
      <c r="AS1645" s="17"/>
      <c r="AT1645" s="17"/>
      <c r="AU1645" s="17"/>
      <c r="AV1645" s="17"/>
      <c r="AW1645" s="10"/>
      <c r="AX1645" s="17"/>
      <c r="AY1645" s="18" t="s">
        <v>257</v>
      </c>
      <c r="AZ1645" s="10"/>
      <c r="BA1645" s="20" t="b">
        <v>0</v>
      </c>
      <c r="BB1645" s="10"/>
      <c r="BC1645" s="17" t="s">
        <v>257</v>
      </c>
      <c r="BD1645" s="17" t="s">
        <v>257</v>
      </c>
      <c r="BE1645" s="17" t="s">
        <v>257</v>
      </c>
      <c r="BF1645" s="17" t="s">
        <v>257</v>
      </c>
      <c r="BG1645" s="11">
        <f ca="1">IFERROR(__xludf.DUMMYFUNCTION("""COMPUTED_VALUE"""),46051.125)</f>
        <v>46051.125</v>
      </c>
      <c r="BH1645" s="17"/>
      <c r="BI1645" s="17"/>
      <c r="BJ1645" s="15"/>
      <c r="BK1645" s="15"/>
      <c r="BL1645" s="13" t="b">
        <v>0</v>
      </c>
      <c r="BM1645" s="10"/>
      <c r="BN1645" s="10" t="s">
        <v>12382</v>
      </c>
      <c r="BO1645" s="11">
        <v>45904.299305555556</v>
      </c>
      <c r="BP1645" s="11">
        <v>45904.299976851849</v>
      </c>
      <c r="BQ1645" s="15"/>
      <c r="BR1645" s="15"/>
      <c r="BS1645" s="10"/>
      <c r="BT1645" s="10"/>
      <c r="BU1645" s="10"/>
      <c r="BV1645" s="10" t="s">
        <v>124</v>
      </c>
      <c r="BW1645" s="10"/>
      <c r="BX1645" s="10"/>
      <c r="BY1645" s="23"/>
      <c r="BZ1645" s="23"/>
      <c r="CA1645" s="23"/>
      <c r="CB1645" s="23"/>
      <c r="CC1645" s="23"/>
      <c r="CD1645" s="23"/>
      <c r="CE1645" s="23"/>
      <c r="CF1645" s="23"/>
      <c r="CG1645" s="23"/>
      <c r="CH1645" s="23"/>
      <c r="CI1645" s="23"/>
    </row>
    <row r="1646" spans="1:87" x14ac:dyDescent="0.3">
      <c r="A1646" s="9" t="s">
        <v>12459</v>
      </c>
      <c r="B1646" s="10" t="s">
        <v>12460</v>
      </c>
      <c r="C1646" s="11">
        <v>46051.125</v>
      </c>
      <c r="D1646" s="12">
        <v>8.3333333333333329E-2</v>
      </c>
      <c r="E1646" s="11">
        <v>46051.208333333336</v>
      </c>
      <c r="F1646" s="10" t="s">
        <v>3563</v>
      </c>
      <c r="G1646" s="13" t="b">
        <v>0</v>
      </c>
      <c r="H1646" s="10"/>
      <c r="I1646" s="10" t="s">
        <v>89</v>
      </c>
      <c r="J1646" s="13" t="b">
        <v>0</v>
      </c>
      <c r="K1646" s="13" t="b">
        <v>1</v>
      </c>
      <c r="L1646" s="10" t="s">
        <v>124</v>
      </c>
      <c r="M1646" s="10" t="s">
        <v>91</v>
      </c>
      <c r="N1646" s="10" t="s">
        <v>92</v>
      </c>
      <c r="O1646" s="10"/>
      <c r="P1646" s="10"/>
      <c r="Q1646" s="10"/>
      <c r="R1646" s="10"/>
      <c r="S1646" s="10"/>
      <c r="T1646" s="10"/>
      <c r="U1646" s="10" t="s">
        <v>11517</v>
      </c>
      <c r="V1646" s="10" t="s">
        <v>429</v>
      </c>
      <c r="W1646" s="10" t="s">
        <v>3569</v>
      </c>
      <c r="X1646" s="10" t="s">
        <v>130</v>
      </c>
      <c r="Y1646" s="10" t="s">
        <v>130</v>
      </c>
      <c r="Z1646" s="10" t="s">
        <v>99</v>
      </c>
      <c r="AA1646" s="10" t="s">
        <v>131</v>
      </c>
      <c r="AB1646" s="10" t="s">
        <v>3570</v>
      </c>
      <c r="AC1646" s="10" t="s">
        <v>3571</v>
      </c>
      <c r="AD1646" s="10" t="s">
        <v>12461</v>
      </c>
      <c r="AE1646" s="10" t="s">
        <v>12462</v>
      </c>
      <c r="AF1646" s="15"/>
      <c r="AG1646" s="10"/>
      <c r="AH1646" s="10"/>
      <c r="AI1646" s="10"/>
      <c r="AJ1646" s="10"/>
      <c r="AK1646" s="10"/>
      <c r="AL1646" s="10" t="s">
        <v>7897</v>
      </c>
      <c r="AM1646" s="10"/>
      <c r="AN1646" s="10"/>
      <c r="AO1646" s="13" t="b">
        <v>0</v>
      </c>
      <c r="AP1646" s="10" t="s">
        <v>104</v>
      </c>
      <c r="AQ1646" s="10"/>
      <c r="AR1646" s="17"/>
      <c r="AS1646" s="17"/>
      <c r="AT1646" s="17"/>
      <c r="AU1646" s="17"/>
      <c r="AV1646" s="17"/>
      <c r="AW1646" s="10"/>
      <c r="AX1646" s="17"/>
      <c r="AY1646" s="18" t="s">
        <v>257</v>
      </c>
      <c r="AZ1646" s="10"/>
      <c r="BA1646" s="20" t="b">
        <v>0</v>
      </c>
      <c r="BB1646" s="10"/>
      <c r="BC1646" s="17" t="s">
        <v>257</v>
      </c>
      <c r="BD1646" s="17" t="s">
        <v>257</v>
      </c>
      <c r="BE1646" s="17" t="s">
        <v>257</v>
      </c>
      <c r="BF1646" s="17" t="s">
        <v>257</v>
      </c>
      <c r="BG1646" s="11">
        <f ca="1">IFERROR(__xludf.DUMMYFUNCTION("""COMPUTED_VALUE"""),46051.125)</f>
        <v>46051.125</v>
      </c>
      <c r="BH1646" s="17"/>
      <c r="BI1646" s="17"/>
      <c r="BJ1646" s="15"/>
      <c r="BK1646" s="15"/>
      <c r="BL1646" s="13" t="b">
        <v>0</v>
      </c>
      <c r="BM1646" s="10"/>
      <c r="BN1646" s="10" t="s">
        <v>223</v>
      </c>
      <c r="BO1646" s="11">
        <v>45904.299976851849</v>
      </c>
      <c r="BP1646" s="11">
        <v>45904.299976851849</v>
      </c>
      <c r="BQ1646" s="15"/>
      <c r="BR1646" s="15"/>
      <c r="BS1646" s="10"/>
      <c r="BT1646" s="10"/>
      <c r="BU1646" s="10"/>
      <c r="BV1646" s="10"/>
      <c r="BW1646" s="10"/>
      <c r="BX1646" s="10"/>
      <c r="BY1646" s="23"/>
      <c r="BZ1646" s="23"/>
      <c r="CA1646" s="23"/>
      <c r="CB1646" s="23"/>
      <c r="CC1646" s="23"/>
      <c r="CD1646" s="23"/>
      <c r="CE1646" s="23"/>
      <c r="CF1646" s="23"/>
      <c r="CG1646" s="23"/>
      <c r="CH1646" s="23"/>
      <c r="CI1646" s="23"/>
    </row>
    <row r="1647" spans="1:87" x14ac:dyDescent="0.3">
      <c r="A1647" s="9" t="s">
        <v>12463</v>
      </c>
      <c r="B1647" s="10" t="s">
        <v>12464</v>
      </c>
      <c r="C1647" s="11">
        <v>46051.125</v>
      </c>
      <c r="D1647" s="12">
        <v>8.3333333333333329E-2</v>
      </c>
      <c r="E1647" s="11">
        <v>46051.208333333336</v>
      </c>
      <c r="F1647" s="10" t="s">
        <v>3563</v>
      </c>
      <c r="G1647" s="13" t="b">
        <v>0</v>
      </c>
      <c r="H1647" s="10"/>
      <c r="I1647" s="10" t="s">
        <v>89</v>
      </c>
      <c r="J1647" s="13" t="b">
        <v>0</v>
      </c>
      <c r="K1647" s="13" t="b">
        <v>1</v>
      </c>
      <c r="L1647" s="10" t="s">
        <v>124</v>
      </c>
      <c r="M1647" s="10" t="s">
        <v>91</v>
      </c>
      <c r="N1647" s="10" t="s">
        <v>92</v>
      </c>
      <c r="O1647" s="10"/>
      <c r="P1647" s="10"/>
      <c r="Q1647" s="10"/>
      <c r="R1647" s="10"/>
      <c r="S1647" s="10"/>
      <c r="T1647" s="10"/>
      <c r="U1647" s="10" t="s">
        <v>5090</v>
      </c>
      <c r="V1647" s="10" t="s">
        <v>8556</v>
      </c>
      <c r="W1647" s="10" t="s">
        <v>3569</v>
      </c>
      <c r="X1647" s="10" t="s">
        <v>130</v>
      </c>
      <c r="Y1647" s="10" t="s">
        <v>130</v>
      </c>
      <c r="Z1647" s="10" t="s">
        <v>99</v>
      </c>
      <c r="AA1647" s="10" t="s">
        <v>131</v>
      </c>
      <c r="AB1647" s="10" t="s">
        <v>3570</v>
      </c>
      <c r="AC1647" s="10" t="s">
        <v>3571</v>
      </c>
      <c r="AD1647" s="10" t="s">
        <v>12465</v>
      </c>
      <c r="AE1647" s="10" t="s">
        <v>12466</v>
      </c>
      <c r="AF1647" s="15"/>
      <c r="AG1647" s="10"/>
      <c r="AH1647" s="10"/>
      <c r="AI1647" s="10"/>
      <c r="AJ1647" s="10"/>
      <c r="AK1647" s="10"/>
      <c r="AL1647" s="10" t="s">
        <v>7897</v>
      </c>
      <c r="AM1647" s="10"/>
      <c r="AN1647" s="10"/>
      <c r="AO1647" s="13" t="b">
        <v>0</v>
      </c>
      <c r="AP1647" s="10" t="s">
        <v>104</v>
      </c>
      <c r="AQ1647" s="10"/>
      <c r="AR1647" s="17"/>
      <c r="AS1647" s="17"/>
      <c r="AT1647" s="17"/>
      <c r="AU1647" s="17"/>
      <c r="AV1647" s="17"/>
      <c r="AW1647" s="10"/>
      <c r="AX1647" s="17"/>
      <c r="AY1647" s="18" t="s">
        <v>257</v>
      </c>
      <c r="AZ1647" s="10"/>
      <c r="BA1647" s="20" t="b">
        <v>0</v>
      </c>
      <c r="BB1647" s="10"/>
      <c r="BC1647" s="17" t="s">
        <v>257</v>
      </c>
      <c r="BD1647" s="17" t="s">
        <v>257</v>
      </c>
      <c r="BE1647" s="17" t="s">
        <v>257</v>
      </c>
      <c r="BF1647" s="17" t="s">
        <v>257</v>
      </c>
      <c r="BG1647" s="11">
        <f ca="1">IFERROR(__xludf.DUMMYFUNCTION("""COMPUTED_VALUE"""),46051.125)</f>
        <v>46051.125</v>
      </c>
      <c r="BH1647" s="17"/>
      <c r="BI1647" s="17"/>
      <c r="BJ1647" s="15"/>
      <c r="BK1647" s="15"/>
      <c r="BL1647" s="13" t="b">
        <v>0</v>
      </c>
      <c r="BM1647" s="10"/>
      <c r="BN1647" s="10" t="s">
        <v>223</v>
      </c>
      <c r="BO1647" s="11">
        <v>45904.299976851849</v>
      </c>
      <c r="BP1647" s="11">
        <v>45904.299976851849</v>
      </c>
      <c r="BQ1647" s="15"/>
      <c r="BR1647" s="15"/>
      <c r="BS1647" s="10"/>
      <c r="BT1647" s="10"/>
      <c r="BU1647" s="10"/>
      <c r="BV1647" s="10"/>
      <c r="BW1647" s="10"/>
      <c r="BX1647" s="10"/>
      <c r="BY1647" s="23"/>
      <c r="BZ1647" s="23"/>
      <c r="CA1647" s="23"/>
      <c r="CB1647" s="23"/>
      <c r="CC1647" s="23"/>
      <c r="CD1647" s="23"/>
      <c r="CE1647" s="23"/>
      <c r="CF1647" s="23"/>
      <c r="CG1647" s="23"/>
      <c r="CH1647" s="23"/>
      <c r="CI1647" s="23"/>
    </row>
    <row r="1648" spans="1:87" x14ac:dyDescent="0.3">
      <c r="A1648" s="9" t="s">
        <v>12467</v>
      </c>
      <c r="B1648" s="10" t="s">
        <v>12468</v>
      </c>
      <c r="C1648" s="11">
        <v>46051.125</v>
      </c>
      <c r="D1648" s="12">
        <v>8.3333333333333329E-2</v>
      </c>
      <c r="E1648" s="11">
        <v>46051.208333333336</v>
      </c>
      <c r="F1648" s="10" t="s">
        <v>3563</v>
      </c>
      <c r="G1648" s="13" t="b">
        <v>0</v>
      </c>
      <c r="H1648" s="10"/>
      <c r="I1648" s="10" t="s">
        <v>89</v>
      </c>
      <c r="J1648" s="13" t="b">
        <v>0</v>
      </c>
      <c r="K1648" s="13" t="b">
        <v>1</v>
      </c>
      <c r="L1648" s="10" t="s">
        <v>124</v>
      </c>
      <c r="M1648" s="10" t="s">
        <v>91</v>
      </c>
      <c r="N1648" s="10" t="s">
        <v>92</v>
      </c>
      <c r="O1648" s="10"/>
      <c r="P1648" s="10"/>
      <c r="Q1648" s="10"/>
      <c r="R1648" s="10"/>
      <c r="S1648" s="10"/>
      <c r="T1648" s="10"/>
      <c r="U1648" s="10" t="s">
        <v>11500</v>
      </c>
      <c r="V1648" s="10" t="s">
        <v>5018</v>
      </c>
      <c r="W1648" s="10" t="s">
        <v>3569</v>
      </c>
      <c r="X1648" s="10" t="s">
        <v>130</v>
      </c>
      <c r="Y1648" s="10" t="s">
        <v>130</v>
      </c>
      <c r="Z1648" s="10" t="s">
        <v>99</v>
      </c>
      <c r="AA1648" s="10" t="s">
        <v>131</v>
      </c>
      <c r="AB1648" s="10" t="s">
        <v>3570</v>
      </c>
      <c r="AC1648" s="10" t="s">
        <v>3571</v>
      </c>
      <c r="AD1648" s="10" t="s">
        <v>12469</v>
      </c>
      <c r="AE1648" s="10" t="s">
        <v>12470</v>
      </c>
      <c r="AF1648" s="15"/>
      <c r="AG1648" s="10"/>
      <c r="AH1648" s="10"/>
      <c r="AI1648" s="10"/>
      <c r="AJ1648" s="10"/>
      <c r="AK1648" s="10"/>
      <c r="AL1648" s="10" t="s">
        <v>7897</v>
      </c>
      <c r="AM1648" s="10"/>
      <c r="AN1648" s="10"/>
      <c r="AO1648" s="13" t="b">
        <v>0</v>
      </c>
      <c r="AP1648" s="10" t="s">
        <v>104</v>
      </c>
      <c r="AQ1648" s="10"/>
      <c r="AR1648" s="17"/>
      <c r="AS1648" s="17"/>
      <c r="AT1648" s="17"/>
      <c r="AU1648" s="17"/>
      <c r="AV1648" s="17"/>
      <c r="AW1648" s="10"/>
      <c r="AX1648" s="17"/>
      <c r="AY1648" s="18" t="s">
        <v>257</v>
      </c>
      <c r="AZ1648" s="10"/>
      <c r="BA1648" s="20" t="b">
        <v>0</v>
      </c>
      <c r="BB1648" s="10"/>
      <c r="BC1648" s="17" t="s">
        <v>257</v>
      </c>
      <c r="BD1648" s="17" t="s">
        <v>257</v>
      </c>
      <c r="BE1648" s="17" t="s">
        <v>257</v>
      </c>
      <c r="BF1648" s="17" t="s">
        <v>257</v>
      </c>
      <c r="BG1648" s="11">
        <f ca="1">IFERROR(__xludf.DUMMYFUNCTION("""COMPUTED_VALUE"""),46051.125)</f>
        <v>46051.125</v>
      </c>
      <c r="BH1648" s="17"/>
      <c r="BI1648" s="17"/>
      <c r="BJ1648" s="15"/>
      <c r="BK1648" s="15"/>
      <c r="BL1648" s="13" t="b">
        <v>0</v>
      </c>
      <c r="BM1648" s="10"/>
      <c r="BN1648" s="10" t="s">
        <v>223</v>
      </c>
      <c r="BO1648" s="11">
        <v>45904.299976851849</v>
      </c>
      <c r="BP1648" s="11">
        <v>45904.299976851849</v>
      </c>
      <c r="BQ1648" s="15"/>
      <c r="BR1648" s="15"/>
      <c r="BS1648" s="10"/>
      <c r="BT1648" s="10"/>
      <c r="BU1648" s="10"/>
      <c r="BV1648" s="10"/>
      <c r="BW1648" s="10"/>
      <c r="BX1648" s="10"/>
      <c r="BY1648" s="23"/>
      <c r="BZ1648" s="23"/>
      <c r="CA1648" s="23"/>
      <c r="CB1648" s="23"/>
      <c r="CC1648" s="23"/>
      <c r="CD1648" s="23"/>
      <c r="CE1648" s="23"/>
      <c r="CF1648" s="23"/>
      <c r="CG1648" s="23"/>
      <c r="CH1648" s="23"/>
      <c r="CI1648" s="23"/>
    </row>
    <row r="1649" spans="1:87" x14ac:dyDescent="0.3">
      <c r="A1649" s="9" t="s">
        <v>12471</v>
      </c>
      <c r="B1649" s="10" t="s">
        <v>12472</v>
      </c>
      <c r="C1649" s="11">
        <v>46051.125</v>
      </c>
      <c r="D1649" s="12">
        <v>8.3333333333333329E-2</v>
      </c>
      <c r="E1649" s="11">
        <v>46051.208333333336</v>
      </c>
      <c r="F1649" s="10" t="s">
        <v>3563</v>
      </c>
      <c r="G1649" s="13" t="b">
        <v>0</v>
      </c>
      <c r="H1649" s="10"/>
      <c r="I1649" s="10" t="s">
        <v>89</v>
      </c>
      <c r="J1649" s="13" t="b">
        <v>0</v>
      </c>
      <c r="K1649" s="13" t="b">
        <v>1</v>
      </c>
      <c r="L1649" s="10" t="s">
        <v>124</v>
      </c>
      <c r="M1649" s="10" t="s">
        <v>91</v>
      </c>
      <c r="N1649" s="10" t="s">
        <v>92</v>
      </c>
      <c r="O1649" s="10"/>
      <c r="P1649" s="10"/>
      <c r="Q1649" s="10"/>
      <c r="R1649" s="10"/>
      <c r="S1649" s="10"/>
      <c r="T1649" s="10"/>
      <c r="U1649" s="10" t="s">
        <v>362</v>
      </c>
      <c r="V1649" s="10" t="s">
        <v>7811</v>
      </c>
      <c r="W1649" s="10" t="s">
        <v>3569</v>
      </c>
      <c r="X1649" s="10" t="s">
        <v>130</v>
      </c>
      <c r="Y1649" s="10" t="s">
        <v>130</v>
      </c>
      <c r="Z1649" s="10" t="s">
        <v>99</v>
      </c>
      <c r="AA1649" s="10" t="s">
        <v>131</v>
      </c>
      <c r="AB1649" s="10" t="s">
        <v>3570</v>
      </c>
      <c r="AC1649" s="10" t="s">
        <v>3571</v>
      </c>
      <c r="AD1649" s="10" t="s">
        <v>12473</v>
      </c>
      <c r="AE1649" s="10" t="s">
        <v>12474</v>
      </c>
      <c r="AF1649" s="15"/>
      <c r="AG1649" s="10"/>
      <c r="AH1649" s="10"/>
      <c r="AI1649" s="10"/>
      <c r="AJ1649" s="10"/>
      <c r="AK1649" s="10"/>
      <c r="AL1649" s="10" t="s">
        <v>7897</v>
      </c>
      <c r="AM1649" s="10"/>
      <c r="AN1649" s="10"/>
      <c r="AO1649" s="13" t="b">
        <v>1</v>
      </c>
      <c r="AP1649" s="10" t="s">
        <v>104</v>
      </c>
      <c r="AQ1649" s="10"/>
      <c r="AR1649" s="17"/>
      <c r="AS1649" s="17"/>
      <c r="AT1649" s="17"/>
      <c r="AU1649" s="17"/>
      <c r="AV1649" s="17"/>
      <c r="AW1649" s="10"/>
      <c r="AX1649" s="17"/>
      <c r="AY1649" s="18" t="s">
        <v>257</v>
      </c>
      <c r="AZ1649" s="10"/>
      <c r="BA1649" s="20" t="b">
        <v>0</v>
      </c>
      <c r="BB1649" s="10"/>
      <c r="BC1649" s="17" t="s">
        <v>257</v>
      </c>
      <c r="BD1649" s="17" t="s">
        <v>257</v>
      </c>
      <c r="BE1649" s="17" t="s">
        <v>257</v>
      </c>
      <c r="BF1649" s="17" t="s">
        <v>257</v>
      </c>
      <c r="BG1649" s="11">
        <f ca="1">IFERROR(__xludf.DUMMYFUNCTION("""COMPUTED_VALUE"""),46051.125)</f>
        <v>46051.125</v>
      </c>
      <c r="BH1649" s="17"/>
      <c r="BI1649" s="17"/>
      <c r="BJ1649" s="15"/>
      <c r="BK1649" s="15"/>
      <c r="BL1649" s="13" t="b">
        <v>0</v>
      </c>
      <c r="BM1649" s="10"/>
      <c r="BN1649" s="10" t="s">
        <v>223</v>
      </c>
      <c r="BO1649" s="11">
        <v>45904.299976851849</v>
      </c>
      <c r="BP1649" s="11">
        <v>45904.299976851849</v>
      </c>
      <c r="BQ1649" s="15"/>
      <c r="BR1649" s="15"/>
      <c r="BS1649" s="10"/>
      <c r="BT1649" s="10"/>
      <c r="BU1649" s="10"/>
      <c r="BV1649" s="10"/>
      <c r="BW1649" s="10"/>
      <c r="BX1649" s="10"/>
      <c r="BY1649" s="23"/>
      <c r="BZ1649" s="23"/>
      <c r="CA1649" s="23"/>
      <c r="CB1649" s="23"/>
      <c r="CC1649" s="23"/>
      <c r="CD1649" s="23"/>
      <c r="CE1649" s="23"/>
      <c r="CF1649" s="23"/>
      <c r="CG1649" s="23"/>
      <c r="CH1649" s="23"/>
      <c r="CI1649" s="23"/>
    </row>
    <row r="1650" spans="1:87" x14ac:dyDescent="0.3">
      <c r="A1650" s="9" t="s">
        <v>12475</v>
      </c>
      <c r="B1650" s="10" t="s">
        <v>12476</v>
      </c>
      <c r="C1650" s="11">
        <v>46051.125</v>
      </c>
      <c r="D1650" s="12">
        <v>8.3333333333333329E-2</v>
      </c>
      <c r="E1650" s="11">
        <v>46051.208333333336</v>
      </c>
      <c r="F1650" s="10" t="s">
        <v>3563</v>
      </c>
      <c r="G1650" s="13" t="b">
        <v>0</v>
      </c>
      <c r="H1650" s="10"/>
      <c r="I1650" s="10" t="s">
        <v>89</v>
      </c>
      <c r="J1650" s="13" t="b">
        <v>0</v>
      </c>
      <c r="K1650" s="13" t="b">
        <v>1</v>
      </c>
      <c r="L1650" s="10" t="s">
        <v>124</v>
      </c>
      <c r="M1650" s="10" t="s">
        <v>91</v>
      </c>
      <c r="N1650" s="10" t="s">
        <v>92</v>
      </c>
      <c r="O1650" s="10"/>
      <c r="P1650" s="10"/>
      <c r="Q1650" s="10"/>
      <c r="R1650" s="10"/>
      <c r="S1650" s="10"/>
      <c r="T1650" s="10"/>
      <c r="U1650" s="10" t="s">
        <v>3590</v>
      </c>
      <c r="V1650" s="10" t="s">
        <v>11454</v>
      </c>
      <c r="W1650" s="10" t="s">
        <v>3569</v>
      </c>
      <c r="X1650" s="10" t="s">
        <v>130</v>
      </c>
      <c r="Y1650" s="10" t="s">
        <v>130</v>
      </c>
      <c r="Z1650" s="10" t="s">
        <v>99</v>
      </c>
      <c r="AA1650" s="10" t="s">
        <v>131</v>
      </c>
      <c r="AB1650" s="10" t="s">
        <v>3570</v>
      </c>
      <c r="AC1650" s="10" t="s">
        <v>3571</v>
      </c>
      <c r="AD1650" s="10" t="s">
        <v>12477</v>
      </c>
      <c r="AE1650" s="10" t="s">
        <v>12478</v>
      </c>
      <c r="AF1650" s="15"/>
      <c r="AG1650" s="10"/>
      <c r="AH1650" s="10"/>
      <c r="AI1650" s="10"/>
      <c r="AJ1650" s="10"/>
      <c r="AK1650" s="10"/>
      <c r="AL1650" s="10" t="s">
        <v>7897</v>
      </c>
      <c r="AM1650" s="10"/>
      <c r="AN1650" s="10"/>
      <c r="AO1650" s="13" t="b">
        <v>0</v>
      </c>
      <c r="AP1650" s="10" t="s">
        <v>104</v>
      </c>
      <c r="AQ1650" s="10"/>
      <c r="AR1650" s="17"/>
      <c r="AS1650" s="17"/>
      <c r="AT1650" s="17"/>
      <c r="AU1650" s="17"/>
      <c r="AV1650" s="17"/>
      <c r="AW1650" s="10"/>
      <c r="AX1650" s="17"/>
      <c r="AY1650" s="18" t="s">
        <v>257</v>
      </c>
      <c r="AZ1650" s="10"/>
      <c r="BA1650" s="20" t="b">
        <v>0</v>
      </c>
      <c r="BB1650" s="10"/>
      <c r="BC1650" s="17" t="s">
        <v>257</v>
      </c>
      <c r="BD1650" s="17" t="s">
        <v>257</v>
      </c>
      <c r="BE1650" s="17" t="s">
        <v>257</v>
      </c>
      <c r="BF1650" s="17" t="s">
        <v>257</v>
      </c>
      <c r="BG1650" s="11">
        <f ca="1">IFERROR(__xludf.DUMMYFUNCTION("""COMPUTED_VALUE"""),46051.125)</f>
        <v>46051.125</v>
      </c>
      <c r="BH1650" s="17"/>
      <c r="BI1650" s="17"/>
      <c r="BJ1650" s="15"/>
      <c r="BK1650" s="15"/>
      <c r="BL1650" s="13" t="b">
        <v>0</v>
      </c>
      <c r="BM1650" s="10"/>
      <c r="BN1650" s="10" t="s">
        <v>223</v>
      </c>
      <c r="BO1650" s="11">
        <v>45904.299976851849</v>
      </c>
      <c r="BP1650" s="11">
        <v>45904.299976851849</v>
      </c>
      <c r="BQ1650" s="15"/>
      <c r="BR1650" s="15"/>
      <c r="BS1650" s="10"/>
      <c r="BT1650" s="10"/>
      <c r="BU1650" s="10"/>
      <c r="BV1650" s="10"/>
      <c r="BW1650" s="10"/>
      <c r="BX1650" s="10"/>
      <c r="BY1650" s="23"/>
      <c r="BZ1650" s="23"/>
      <c r="CA1650" s="23"/>
      <c r="CB1650" s="23"/>
      <c r="CC1650" s="23"/>
      <c r="CD1650" s="23"/>
      <c r="CE1650" s="23"/>
      <c r="CF1650" s="23"/>
      <c r="CG1650" s="23"/>
      <c r="CH1650" s="23"/>
      <c r="CI1650" s="23"/>
    </row>
    <row r="1651" spans="1:87" x14ac:dyDescent="0.3">
      <c r="A1651" s="9" t="s">
        <v>12479</v>
      </c>
      <c r="B1651" s="10" t="s">
        <v>12480</v>
      </c>
      <c r="C1651" s="11">
        <v>46051.125</v>
      </c>
      <c r="D1651" s="12">
        <v>8.3333333333333329E-2</v>
      </c>
      <c r="E1651" s="11">
        <v>46051.208333333336</v>
      </c>
      <c r="F1651" s="10" t="s">
        <v>3563</v>
      </c>
      <c r="G1651" s="13" t="b">
        <v>0</v>
      </c>
      <c r="H1651" s="10"/>
      <c r="I1651" s="10" t="s">
        <v>89</v>
      </c>
      <c r="J1651" s="13" t="b">
        <v>0</v>
      </c>
      <c r="K1651" s="13" t="b">
        <v>1</v>
      </c>
      <c r="L1651" s="10" t="s">
        <v>124</v>
      </c>
      <c r="M1651" s="10" t="s">
        <v>91</v>
      </c>
      <c r="N1651" s="10" t="s">
        <v>92</v>
      </c>
      <c r="O1651" s="10"/>
      <c r="P1651" s="10"/>
      <c r="Q1651" s="10"/>
      <c r="R1651" s="10"/>
      <c r="S1651" s="10"/>
      <c r="T1651" s="10"/>
      <c r="U1651" s="10" t="s">
        <v>334</v>
      </c>
      <c r="V1651" s="10" t="s">
        <v>11518</v>
      </c>
      <c r="W1651" s="10" t="s">
        <v>3569</v>
      </c>
      <c r="X1651" s="10" t="s">
        <v>130</v>
      </c>
      <c r="Y1651" s="10" t="s">
        <v>130</v>
      </c>
      <c r="Z1651" s="10" t="s">
        <v>99</v>
      </c>
      <c r="AA1651" s="10" t="s">
        <v>131</v>
      </c>
      <c r="AB1651" s="10" t="s">
        <v>3570</v>
      </c>
      <c r="AC1651" s="10" t="s">
        <v>3571</v>
      </c>
      <c r="AD1651" s="10" t="s">
        <v>12481</v>
      </c>
      <c r="AE1651" s="10" t="s">
        <v>12482</v>
      </c>
      <c r="AF1651" s="15"/>
      <c r="AG1651" s="10"/>
      <c r="AH1651" s="10"/>
      <c r="AI1651" s="10"/>
      <c r="AJ1651" s="10"/>
      <c r="AK1651" s="10"/>
      <c r="AL1651" s="10" t="s">
        <v>7897</v>
      </c>
      <c r="AM1651" s="10"/>
      <c r="AN1651" s="10"/>
      <c r="AO1651" s="13" t="b">
        <v>1</v>
      </c>
      <c r="AP1651" s="10" t="s">
        <v>104</v>
      </c>
      <c r="AQ1651" s="10"/>
      <c r="AR1651" s="17"/>
      <c r="AS1651" s="17"/>
      <c r="AT1651" s="17"/>
      <c r="AU1651" s="17"/>
      <c r="AV1651" s="17"/>
      <c r="AW1651" s="10"/>
      <c r="AX1651" s="17"/>
      <c r="AY1651" s="18" t="s">
        <v>257</v>
      </c>
      <c r="AZ1651" s="10"/>
      <c r="BA1651" s="20" t="b">
        <v>0</v>
      </c>
      <c r="BB1651" s="10"/>
      <c r="BC1651" s="17" t="s">
        <v>257</v>
      </c>
      <c r="BD1651" s="17" t="s">
        <v>257</v>
      </c>
      <c r="BE1651" s="17" t="s">
        <v>257</v>
      </c>
      <c r="BF1651" s="17" t="s">
        <v>257</v>
      </c>
      <c r="BG1651" s="11">
        <f ca="1">IFERROR(__xludf.DUMMYFUNCTION("""COMPUTED_VALUE"""),46051.125)</f>
        <v>46051.125</v>
      </c>
      <c r="BH1651" s="17"/>
      <c r="BI1651" s="17"/>
      <c r="BJ1651" s="15"/>
      <c r="BK1651" s="15"/>
      <c r="BL1651" s="13" t="b">
        <v>0</v>
      </c>
      <c r="BM1651" s="10"/>
      <c r="BN1651" s="10" t="s">
        <v>223</v>
      </c>
      <c r="BO1651" s="11">
        <v>45904.299976851849</v>
      </c>
      <c r="BP1651" s="11">
        <v>45904.299976851849</v>
      </c>
      <c r="BQ1651" s="15"/>
      <c r="BR1651" s="15"/>
      <c r="BS1651" s="10"/>
      <c r="BT1651" s="10"/>
      <c r="BU1651" s="10"/>
      <c r="BV1651" s="10"/>
      <c r="BW1651" s="10"/>
      <c r="BX1651" s="10"/>
      <c r="BY1651" s="23"/>
      <c r="BZ1651" s="23"/>
      <c r="CA1651" s="23"/>
      <c r="CB1651" s="23"/>
      <c r="CC1651" s="23"/>
      <c r="CD1651" s="23"/>
      <c r="CE1651" s="23"/>
      <c r="CF1651" s="23"/>
      <c r="CG1651" s="23"/>
      <c r="CH1651" s="23"/>
      <c r="CI1651" s="23"/>
    </row>
    <row r="1652" spans="1:87" x14ac:dyDescent="0.3">
      <c r="A1652" s="9" t="s">
        <v>12483</v>
      </c>
      <c r="B1652" s="10" t="s">
        <v>12484</v>
      </c>
      <c r="C1652" s="11">
        <v>46051.125</v>
      </c>
      <c r="D1652" s="12">
        <v>8.3333333333333329E-2</v>
      </c>
      <c r="E1652" s="11">
        <v>46051.208333333336</v>
      </c>
      <c r="F1652" s="10" t="s">
        <v>3563</v>
      </c>
      <c r="G1652" s="13" t="b">
        <v>0</v>
      </c>
      <c r="H1652" s="10"/>
      <c r="I1652" s="10" t="s">
        <v>89</v>
      </c>
      <c r="J1652" s="13" t="b">
        <v>0</v>
      </c>
      <c r="K1652" s="13" t="b">
        <v>1</v>
      </c>
      <c r="L1652" s="10" t="s">
        <v>124</v>
      </c>
      <c r="M1652" s="10" t="s">
        <v>91</v>
      </c>
      <c r="N1652" s="10" t="s">
        <v>92</v>
      </c>
      <c r="O1652" s="10"/>
      <c r="P1652" s="10"/>
      <c r="Q1652" s="10"/>
      <c r="R1652" s="10"/>
      <c r="S1652" s="10"/>
      <c r="T1652" s="10"/>
      <c r="U1652" s="10" t="s">
        <v>3568</v>
      </c>
      <c r="V1652" s="10" t="s">
        <v>11435</v>
      </c>
      <c r="W1652" s="10" t="s">
        <v>3569</v>
      </c>
      <c r="X1652" s="10" t="s">
        <v>130</v>
      </c>
      <c r="Y1652" s="10" t="s">
        <v>130</v>
      </c>
      <c r="Z1652" s="10" t="s">
        <v>99</v>
      </c>
      <c r="AA1652" s="10" t="s">
        <v>131</v>
      </c>
      <c r="AB1652" s="10" t="s">
        <v>3570</v>
      </c>
      <c r="AC1652" s="10" t="s">
        <v>3571</v>
      </c>
      <c r="AD1652" s="10" t="s">
        <v>12485</v>
      </c>
      <c r="AE1652" s="10" t="s">
        <v>12486</v>
      </c>
      <c r="AF1652" s="15"/>
      <c r="AG1652" s="10"/>
      <c r="AH1652" s="10"/>
      <c r="AI1652" s="10"/>
      <c r="AJ1652" s="10"/>
      <c r="AK1652" s="10"/>
      <c r="AL1652" s="10" t="s">
        <v>7897</v>
      </c>
      <c r="AM1652" s="10"/>
      <c r="AN1652" s="10"/>
      <c r="AO1652" s="13" t="b">
        <v>0</v>
      </c>
      <c r="AP1652" s="10" t="s">
        <v>104</v>
      </c>
      <c r="AQ1652" s="10"/>
      <c r="AR1652" s="17"/>
      <c r="AS1652" s="17"/>
      <c r="AT1652" s="17"/>
      <c r="AU1652" s="17"/>
      <c r="AV1652" s="17"/>
      <c r="AW1652" s="10"/>
      <c r="AX1652" s="17"/>
      <c r="AY1652" s="18" t="s">
        <v>257</v>
      </c>
      <c r="AZ1652" s="10"/>
      <c r="BA1652" s="20" t="b">
        <v>0</v>
      </c>
      <c r="BB1652" s="10"/>
      <c r="BC1652" s="17" t="s">
        <v>257</v>
      </c>
      <c r="BD1652" s="17" t="s">
        <v>257</v>
      </c>
      <c r="BE1652" s="17" t="s">
        <v>257</v>
      </c>
      <c r="BF1652" s="17" t="s">
        <v>257</v>
      </c>
      <c r="BG1652" s="11">
        <f ca="1">IFERROR(__xludf.DUMMYFUNCTION("""COMPUTED_VALUE"""),46051.125)</f>
        <v>46051.125</v>
      </c>
      <c r="BH1652" s="17"/>
      <c r="BI1652" s="17"/>
      <c r="BJ1652" s="15"/>
      <c r="BK1652" s="15"/>
      <c r="BL1652" s="13" t="b">
        <v>0</v>
      </c>
      <c r="BM1652" s="10"/>
      <c r="BN1652" s="10" t="s">
        <v>223</v>
      </c>
      <c r="BO1652" s="11">
        <v>45904.299976851849</v>
      </c>
      <c r="BP1652" s="11">
        <v>45904.299976851849</v>
      </c>
      <c r="BQ1652" s="15"/>
      <c r="BR1652" s="15"/>
      <c r="BS1652" s="10"/>
      <c r="BT1652" s="10"/>
      <c r="BU1652" s="10"/>
      <c r="BV1652" s="10"/>
      <c r="BW1652" s="10"/>
      <c r="BX1652" s="10"/>
      <c r="BY1652" s="23"/>
      <c r="BZ1652" s="23"/>
      <c r="CA1652" s="23"/>
      <c r="CB1652" s="23"/>
      <c r="CC1652" s="23"/>
      <c r="CD1652" s="23"/>
      <c r="CE1652" s="23"/>
      <c r="CF1652" s="23"/>
      <c r="CG1652" s="23"/>
      <c r="CH1652" s="23"/>
      <c r="CI1652" s="23"/>
    </row>
    <row r="1653" spans="1:87" x14ac:dyDescent="0.3">
      <c r="A1653" s="9" t="s">
        <v>12487</v>
      </c>
      <c r="B1653" s="10" t="s">
        <v>12488</v>
      </c>
      <c r="C1653" s="11">
        <v>46051.125</v>
      </c>
      <c r="D1653" s="12">
        <v>8.3333333333333329E-2</v>
      </c>
      <c r="E1653" s="11">
        <v>46051.208333333336</v>
      </c>
      <c r="F1653" s="10" t="s">
        <v>3563</v>
      </c>
      <c r="G1653" s="13" t="b">
        <v>0</v>
      </c>
      <c r="H1653" s="10"/>
      <c r="I1653" s="10" t="s">
        <v>89</v>
      </c>
      <c r="J1653" s="13" t="b">
        <v>0</v>
      </c>
      <c r="K1653" s="13" t="b">
        <v>1</v>
      </c>
      <c r="L1653" s="10" t="s">
        <v>124</v>
      </c>
      <c r="M1653" s="10" t="s">
        <v>91</v>
      </c>
      <c r="N1653" s="10" t="s">
        <v>92</v>
      </c>
      <c r="O1653" s="10"/>
      <c r="P1653" s="10"/>
      <c r="Q1653" s="10"/>
      <c r="R1653" s="10"/>
      <c r="S1653" s="10"/>
      <c r="T1653" s="10"/>
      <c r="U1653" s="10" t="s">
        <v>3582</v>
      </c>
      <c r="V1653" s="10" t="s">
        <v>5113</v>
      </c>
      <c r="W1653" s="10" t="s">
        <v>3569</v>
      </c>
      <c r="X1653" s="10" t="s">
        <v>130</v>
      </c>
      <c r="Y1653" s="10" t="s">
        <v>130</v>
      </c>
      <c r="Z1653" s="10" t="s">
        <v>99</v>
      </c>
      <c r="AA1653" s="10" t="s">
        <v>131</v>
      </c>
      <c r="AB1653" s="10" t="s">
        <v>3570</v>
      </c>
      <c r="AC1653" s="10" t="s">
        <v>3571</v>
      </c>
      <c r="AD1653" s="10" t="s">
        <v>12489</v>
      </c>
      <c r="AE1653" s="10" t="s">
        <v>12490</v>
      </c>
      <c r="AF1653" s="15"/>
      <c r="AG1653" s="10"/>
      <c r="AH1653" s="10"/>
      <c r="AI1653" s="10"/>
      <c r="AJ1653" s="10"/>
      <c r="AK1653" s="10"/>
      <c r="AL1653" s="10" t="s">
        <v>7897</v>
      </c>
      <c r="AM1653" s="10"/>
      <c r="AN1653" s="10"/>
      <c r="AO1653" s="13" t="b">
        <v>1</v>
      </c>
      <c r="AP1653" s="10" t="s">
        <v>104</v>
      </c>
      <c r="AQ1653" s="10"/>
      <c r="AR1653" s="17"/>
      <c r="AS1653" s="17"/>
      <c r="AT1653" s="17"/>
      <c r="AU1653" s="17"/>
      <c r="AV1653" s="17"/>
      <c r="AW1653" s="10"/>
      <c r="AX1653" s="17"/>
      <c r="AY1653" s="18" t="s">
        <v>257</v>
      </c>
      <c r="AZ1653" s="10"/>
      <c r="BA1653" s="20" t="b">
        <v>0</v>
      </c>
      <c r="BB1653" s="10"/>
      <c r="BC1653" s="17" t="s">
        <v>257</v>
      </c>
      <c r="BD1653" s="17" t="s">
        <v>257</v>
      </c>
      <c r="BE1653" s="17" t="s">
        <v>257</v>
      </c>
      <c r="BF1653" s="17" t="s">
        <v>257</v>
      </c>
      <c r="BG1653" s="11">
        <f ca="1">IFERROR(__xludf.DUMMYFUNCTION("""COMPUTED_VALUE"""),46051.125)</f>
        <v>46051.125</v>
      </c>
      <c r="BH1653" s="17"/>
      <c r="BI1653" s="17"/>
      <c r="BJ1653" s="15"/>
      <c r="BK1653" s="15"/>
      <c r="BL1653" s="13" t="b">
        <v>0</v>
      </c>
      <c r="BM1653" s="10"/>
      <c r="BN1653" s="10" t="s">
        <v>12382</v>
      </c>
      <c r="BO1653" s="11">
        <v>45904.299305555556</v>
      </c>
      <c r="BP1653" s="11">
        <v>45904.299976851849</v>
      </c>
      <c r="BQ1653" s="15"/>
      <c r="BR1653" s="15"/>
      <c r="BS1653" s="10"/>
      <c r="BT1653" s="10"/>
      <c r="BU1653" s="10"/>
      <c r="BV1653" s="10" t="s">
        <v>124</v>
      </c>
      <c r="BW1653" s="10"/>
      <c r="BX1653" s="10"/>
      <c r="BY1653" s="23"/>
      <c r="BZ1653" s="23"/>
      <c r="CA1653" s="23"/>
      <c r="CB1653" s="23"/>
      <c r="CC1653" s="23"/>
      <c r="CD1653" s="23"/>
      <c r="CE1653" s="23"/>
      <c r="CF1653" s="23"/>
      <c r="CG1653" s="23"/>
      <c r="CH1653" s="23"/>
      <c r="CI1653" s="23"/>
    </row>
    <row r="1654" spans="1:87" x14ac:dyDescent="0.3">
      <c r="A1654" s="9" t="s">
        <v>12491</v>
      </c>
      <c r="B1654" s="10" t="s">
        <v>12492</v>
      </c>
      <c r="C1654" s="11">
        <v>46051.125</v>
      </c>
      <c r="D1654" s="12">
        <v>8.3333333333333329E-2</v>
      </c>
      <c r="E1654" s="11">
        <v>46051.208333333336</v>
      </c>
      <c r="F1654" s="10" t="s">
        <v>3563</v>
      </c>
      <c r="G1654" s="13" t="b">
        <v>0</v>
      </c>
      <c r="H1654" s="10"/>
      <c r="I1654" s="10" t="s">
        <v>89</v>
      </c>
      <c r="J1654" s="13" t="b">
        <v>0</v>
      </c>
      <c r="K1654" s="13" t="b">
        <v>1</v>
      </c>
      <c r="L1654" s="10" t="s">
        <v>124</v>
      </c>
      <c r="M1654" s="10" t="s">
        <v>91</v>
      </c>
      <c r="N1654" s="10" t="s">
        <v>92</v>
      </c>
      <c r="O1654" s="10"/>
      <c r="P1654" s="10"/>
      <c r="Q1654" s="10"/>
      <c r="R1654" s="10"/>
      <c r="S1654" s="10"/>
      <c r="T1654" s="10"/>
      <c r="U1654" s="10" t="s">
        <v>11393</v>
      </c>
      <c r="V1654" s="10" t="s">
        <v>3308</v>
      </c>
      <c r="W1654" s="10" t="s">
        <v>3569</v>
      </c>
      <c r="X1654" s="10" t="s">
        <v>130</v>
      </c>
      <c r="Y1654" s="10" t="s">
        <v>130</v>
      </c>
      <c r="Z1654" s="10" t="s">
        <v>99</v>
      </c>
      <c r="AA1654" s="10" t="s">
        <v>131</v>
      </c>
      <c r="AB1654" s="10" t="s">
        <v>3570</v>
      </c>
      <c r="AC1654" s="10" t="s">
        <v>3571</v>
      </c>
      <c r="AD1654" s="10" t="s">
        <v>12493</v>
      </c>
      <c r="AE1654" s="10" t="s">
        <v>12494</v>
      </c>
      <c r="AF1654" s="15"/>
      <c r="AG1654" s="10"/>
      <c r="AH1654" s="10"/>
      <c r="AI1654" s="10"/>
      <c r="AJ1654" s="10"/>
      <c r="AK1654" s="10"/>
      <c r="AL1654" s="10" t="s">
        <v>7897</v>
      </c>
      <c r="AM1654" s="10"/>
      <c r="AN1654" s="10"/>
      <c r="AO1654" s="13" t="b">
        <v>0</v>
      </c>
      <c r="AP1654" s="10" t="s">
        <v>104</v>
      </c>
      <c r="AQ1654" s="10"/>
      <c r="AR1654" s="17"/>
      <c r="AS1654" s="17"/>
      <c r="AT1654" s="17"/>
      <c r="AU1654" s="17"/>
      <c r="AV1654" s="17"/>
      <c r="AW1654" s="10"/>
      <c r="AX1654" s="17"/>
      <c r="AY1654" s="18" t="s">
        <v>257</v>
      </c>
      <c r="AZ1654" s="10"/>
      <c r="BA1654" s="20" t="b">
        <v>0</v>
      </c>
      <c r="BB1654" s="10"/>
      <c r="BC1654" s="17" t="s">
        <v>257</v>
      </c>
      <c r="BD1654" s="17" t="s">
        <v>257</v>
      </c>
      <c r="BE1654" s="17" t="s">
        <v>257</v>
      </c>
      <c r="BF1654" s="17" t="s">
        <v>257</v>
      </c>
      <c r="BG1654" s="11">
        <f ca="1">IFERROR(__xludf.DUMMYFUNCTION("""COMPUTED_VALUE"""),46051.125)</f>
        <v>46051.125</v>
      </c>
      <c r="BH1654" s="17"/>
      <c r="BI1654" s="17"/>
      <c r="BJ1654" s="15"/>
      <c r="BK1654" s="15"/>
      <c r="BL1654" s="13" t="b">
        <v>0</v>
      </c>
      <c r="BM1654" s="10"/>
      <c r="BN1654" s="10" t="s">
        <v>223</v>
      </c>
      <c r="BO1654" s="11">
        <v>45904.299976851849</v>
      </c>
      <c r="BP1654" s="11">
        <v>45904.299976851849</v>
      </c>
      <c r="BQ1654" s="15"/>
      <c r="BR1654" s="15"/>
      <c r="BS1654" s="10"/>
      <c r="BT1654" s="10"/>
      <c r="BU1654" s="10"/>
      <c r="BV1654" s="10"/>
      <c r="BW1654" s="10"/>
      <c r="BX1654" s="10"/>
      <c r="BY1654" s="23"/>
      <c r="BZ1654" s="23"/>
      <c r="CA1654" s="23"/>
      <c r="CB1654" s="23"/>
      <c r="CC1654" s="23"/>
      <c r="CD1654" s="23"/>
      <c r="CE1654" s="23"/>
      <c r="CF1654" s="23"/>
      <c r="CG1654" s="23"/>
      <c r="CH1654" s="23"/>
      <c r="CI1654" s="23"/>
    </row>
    <row r="1655" spans="1:87" x14ac:dyDescent="0.3">
      <c r="A1655" s="9" t="s">
        <v>12495</v>
      </c>
      <c r="B1655" s="10" t="s">
        <v>12496</v>
      </c>
      <c r="C1655" s="11">
        <v>46051.125</v>
      </c>
      <c r="D1655" s="12">
        <v>8.3333333333333329E-2</v>
      </c>
      <c r="E1655" s="11">
        <v>46051.208333333336</v>
      </c>
      <c r="F1655" s="10" t="s">
        <v>3563</v>
      </c>
      <c r="G1655" s="13" t="b">
        <v>0</v>
      </c>
      <c r="H1655" s="10"/>
      <c r="I1655" s="10" t="s">
        <v>89</v>
      </c>
      <c r="J1655" s="13" t="b">
        <v>0</v>
      </c>
      <c r="K1655" s="13" t="b">
        <v>1</v>
      </c>
      <c r="L1655" s="10" t="s">
        <v>124</v>
      </c>
      <c r="M1655" s="10" t="s">
        <v>91</v>
      </c>
      <c r="N1655" s="10" t="s">
        <v>92</v>
      </c>
      <c r="O1655" s="10"/>
      <c r="P1655" s="10"/>
      <c r="Q1655" s="10"/>
      <c r="R1655" s="10"/>
      <c r="S1655" s="10"/>
      <c r="T1655" s="10"/>
      <c r="U1655" s="10" t="s">
        <v>3704</v>
      </c>
      <c r="V1655" s="10" t="s">
        <v>11463</v>
      </c>
      <c r="W1655" s="10" t="s">
        <v>3569</v>
      </c>
      <c r="X1655" s="10" t="s">
        <v>130</v>
      </c>
      <c r="Y1655" s="10" t="s">
        <v>130</v>
      </c>
      <c r="Z1655" s="10" t="s">
        <v>99</v>
      </c>
      <c r="AA1655" s="10" t="s">
        <v>131</v>
      </c>
      <c r="AB1655" s="10" t="s">
        <v>3570</v>
      </c>
      <c r="AC1655" s="10" t="s">
        <v>3571</v>
      </c>
      <c r="AD1655" s="10" t="s">
        <v>12497</v>
      </c>
      <c r="AE1655" s="10" t="s">
        <v>12498</v>
      </c>
      <c r="AF1655" s="15"/>
      <c r="AG1655" s="10"/>
      <c r="AH1655" s="10"/>
      <c r="AI1655" s="10"/>
      <c r="AJ1655" s="10"/>
      <c r="AK1655" s="10"/>
      <c r="AL1655" s="10" t="s">
        <v>7897</v>
      </c>
      <c r="AM1655" s="10"/>
      <c r="AN1655" s="10"/>
      <c r="AO1655" s="13" t="b">
        <v>1</v>
      </c>
      <c r="AP1655" s="10" t="s">
        <v>104</v>
      </c>
      <c r="AQ1655" s="10"/>
      <c r="AR1655" s="17"/>
      <c r="AS1655" s="17"/>
      <c r="AT1655" s="17"/>
      <c r="AU1655" s="17"/>
      <c r="AV1655" s="17"/>
      <c r="AW1655" s="10"/>
      <c r="AX1655" s="17"/>
      <c r="AY1655" s="18" t="s">
        <v>257</v>
      </c>
      <c r="AZ1655" s="10"/>
      <c r="BA1655" s="20" t="b">
        <v>0</v>
      </c>
      <c r="BB1655" s="10"/>
      <c r="BC1655" s="17" t="s">
        <v>257</v>
      </c>
      <c r="BD1655" s="17" t="s">
        <v>257</v>
      </c>
      <c r="BE1655" s="17" t="s">
        <v>257</v>
      </c>
      <c r="BF1655" s="17" t="s">
        <v>257</v>
      </c>
      <c r="BG1655" s="11">
        <f ca="1">IFERROR(__xludf.DUMMYFUNCTION("""COMPUTED_VALUE"""),46051.125)</f>
        <v>46051.125</v>
      </c>
      <c r="BH1655" s="17"/>
      <c r="BI1655" s="17"/>
      <c r="BJ1655" s="15"/>
      <c r="BK1655" s="15"/>
      <c r="BL1655" s="13" t="b">
        <v>0</v>
      </c>
      <c r="BM1655" s="10"/>
      <c r="BN1655" s="10" t="s">
        <v>223</v>
      </c>
      <c r="BO1655" s="11">
        <v>45904.299976851849</v>
      </c>
      <c r="BP1655" s="11">
        <v>45904.299976851849</v>
      </c>
      <c r="BQ1655" s="15"/>
      <c r="BR1655" s="15"/>
      <c r="BS1655" s="10"/>
      <c r="BT1655" s="10"/>
      <c r="BU1655" s="10"/>
      <c r="BV1655" s="10"/>
      <c r="BW1655" s="10"/>
      <c r="BX1655" s="10"/>
      <c r="BY1655" s="23"/>
      <c r="BZ1655" s="23"/>
      <c r="CA1655" s="23"/>
      <c r="CB1655" s="23"/>
      <c r="CC1655" s="23"/>
      <c r="CD1655" s="23"/>
      <c r="CE1655" s="23"/>
      <c r="CF1655" s="23"/>
      <c r="CG1655" s="23"/>
      <c r="CH1655" s="23"/>
      <c r="CI1655" s="23"/>
    </row>
    <row r="1656" spans="1:87" x14ac:dyDescent="0.3">
      <c r="A1656" s="9" t="s">
        <v>12499</v>
      </c>
      <c r="B1656" s="10" t="s">
        <v>12500</v>
      </c>
      <c r="C1656" s="11">
        <v>45924.989583333336</v>
      </c>
      <c r="D1656" s="12">
        <v>8.3333333333333329E-2</v>
      </c>
      <c r="E1656" s="11">
        <v>45925.072916666664</v>
      </c>
      <c r="F1656" s="10" t="s">
        <v>7843</v>
      </c>
      <c r="G1656" s="13" t="b">
        <v>0</v>
      </c>
      <c r="H1656" s="10" t="s">
        <v>3578</v>
      </c>
      <c r="I1656" s="10" t="s">
        <v>89</v>
      </c>
      <c r="J1656" s="13" t="b">
        <v>0</v>
      </c>
      <c r="K1656" s="13" t="b">
        <v>1</v>
      </c>
      <c r="L1656" s="10" t="s">
        <v>124</v>
      </c>
      <c r="M1656" s="10" t="s">
        <v>91</v>
      </c>
      <c r="N1656" s="10" t="s">
        <v>92</v>
      </c>
      <c r="O1656" s="19" t="s">
        <v>12501</v>
      </c>
      <c r="P1656" s="10"/>
      <c r="Q1656" s="10" t="s">
        <v>94</v>
      </c>
      <c r="R1656" s="10"/>
      <c r="S1656" s="19" t="s">
        <v>12502</v>
      </c>
      <c r="T1656" s="19" t="s">
        <v>12503</v>
      </c>
      <c r="U1656" s="10" t="s">
        <v>12504</v>
      </c>
      <c r="V1656" s="10" t="s">
        <v>8555</v>
      </c>
      <c r="W1656" s="10" t="s">
        <v>7848</v>
      </c>
      <c r="X1656" s="10" t="s">
        <v>130</v>
      </c>
      <c r="Y1656" s="10" t="s">
        <v>130</v>
      </c>
      <c r="Z1656" s="10" t="s">
        <v>99</v>
      </c>
      <c r="AA1656" s="10" t="s">
        <v>131</v>
      </c>
      <c r="AB1656" s="10" t="s">
        <v>7849</v>
      </c>
      <c r="AC1656" s="10" t="s">
        <v>3571</v>
      </c>
      <c r="AD1656" s="10" t="s">
        <v>12505</v>
      </c>
      <c r="AE1656" s="10" t="s">
        <v>12506</v>
      </c>
      <c r="AF1656" s="15"/>
      <c r="AG1656" s="10"/>
      <c r="AH1656" s="10"/>
      <c r="AI1656" s="10"/>
      <c r="AJ1656" s="10"/>
      <c r="AK1656" s="10" t="s">
        <v>102</v>
      </c>
      <c r="AL1656" s="10" t="s">
        <v>7897</v>
      </c>
      <c r="AM1656" s="10"/>
      <c r="AN1656" s="10"/>
      <c r="AO1656" s="13" t="b">
        <v>0</v>
      </c>
      <c r="AP1656" s="10" t="s">
        <v>104</v>
      </c>
      <c r="AQ1656" s="10">
        <f ca="1">IFERROR(__xludf.DUMMYFUNCTION("""COMPUTED_VALUE"""),4591197)</f>
        <v>4591197</v>
      </c>
      <c r="AR1656" s="17">
        <v>6269</v>
      </c>
      <c r="AS1656" s="17">
        <v>4670</v>
      </c>
      <c r="AT1656" s="17">
        <v>86415.75</v>
      </c>
      <c r="AU1656" s="17">
        <v>22.1</v>
      </c>
      <c r="AV1656" s="17">
        <v>2.5499999999999998</v>
      </c>
      <c r="AW1656" s="10" t="s">
        <v>105</v>
      </c>
      <c r="AX1656" s="17">
        <v>1241</v>
      </c>
      <c r="AY1656" s="18">
        <v>18.504443254817986</v>
      </c>
      <c r="AZ1656" s="10" t="s">
        <v>117</v>
      </c>
      <c r="BA1656" s="20" t="b">
        <v>0</v>
      </c>
      <c r="BB1656" s="10"/>
      <c r="BC1656" s="17">
        <v>6269</v>
      </c>
      <c r="BD1656" s="17">
        <v>4670</v>
      </c>
      <c r="BE1656" s="17">
        <v>86415.75</v>
      </c>
      <c r="BF1656" s="17">
        <v>2.5499999999999998</v>
      </c>
      <c r="BG1656" s="11">
        <f ca="1">IFERROR(__xludf.DUMMYFUNCTION("""COMPUTED_VALUE"""),45924.9895833333)</f>
        <v>45924.989583333299</v>
      </c>
      <c r="BH1656" s="17" t="s">
        <v>105</v>
      </c>
      <c r="BI1656" s="17"/>
      <c r="BJ1656" s="15"/>
      <c r="BK1656" s="15"/>
      <c r="BL1656" s="13" t="b">
        <v>0</v>
      </c>
      <c r="BM1656" s="10"/>
      <c r="BN1656" s="10" t="s">
        <v>667</v>
      </c>
      <c r="BO1656" s="11">
        <v>45904.304861111108</v>
      </c>
      <c r="BP1656" s="11">
        <v>45916.541597222225</v>
      </c>
      <c r="BQ1656" s="15">
        <v>45922.527303240742</v>
      </c>
      <c r="BR1656" s="15">
        <v>45922.806203703702</v>
      </c>
      <c r="BS1656" s="10" t="s">
        <v>667</v>
      </c>
      <c r="BT1656" s="10" t="s">
        <v>279</v>
      </c>
      <c r="BU1656" s="10" t="s">
        <v>5081</v>
      </c>
      <c r="BV1656" s="10"/>
      <c r="BW1656" s="10"/>
      <c r="BX1656" s="10"/>
      <c r="BY1656" s="23"/>
      <c r="BZ1656" s="23"/>
      <c r="CA1656" s="19" t="s">
        <v>12507</v>
      </c>
      <c r="CB1656" s="19" t="s">
        <v>12508</v>
      </c>
      <c r="CC1656" s="23"/>
      <c r="CD1656" s="23"/>
      <c r="CE1656" s="23"/>
      <c r="CF1656" s="23"/>
      <c r="CG1656" s="23"/>
      <c r="CH1656" s="23"/>
      <c r="CI1656" s="23"/>
    </row>
    <row r="1657" spans="1:87" x14ac:dyDescent="0.3">
      <c r="A1657" s="9" t="s">
        <v>12509</v>
      </c>
      <c r="B1657" s="10" t="s">
        <v>12510</v>
      </c>
      <c r="C1657" s="11">
        <v>45924.989583333336</v>
      </c>
      <c r="D1657" s="12">
        <v>8.3333333333333329E-2</v>
      </c>
      <c r="E1657" s="11">
        <v>45925.072916666664</v>
      </c>
      <c r="F1657" s="10" t="s">
        <v>7843</v>
      </c>
      <c r="G1657" s="13" t="b">
        <v>0</v>
      </c>
      <c r="H1657" s="10" t="s">
        <v>3564</v>
      </c>
      <c r="I1657" s="10" t="s">
        <v>89</v>
      </c>
      <c r="J1657" s="13" t="b">
        <v>0</v>
      </c>
      <c r="K1657" s="13" t="b">
        <v>1</v>
      </c>
      <c r="L1657" s="10" t="s">
        <v>124</v>
      </c>
      <c r="M1657" s="10" t="s">
        <v>91</v>
      </c>
      <c r="N1657" s="10" t="s">
        <v>92</v>
      </c>
      <c r="O1657" s="19" t="s">
        <v>12511</v>
      </c>
      <c r="P1657" s="10"/>
      <c r="Q1657" s="10" t="s">
        <v>94</v>
      </c>
      <c r="R1657" s="10"/>
      <c r="S1657" s="19" t="s">
        <v>12512</v>
      </c>
      <c r="T1657" s="19" t="s">
        <v>12503</v>
      </c>
      <c r="U1657" s="10" t="s">
        <v>7846</v>
      </c>
      <c r="V1657" s="10" t="s">
        <v>12513</v>
      </c>
      <c r="W1657" s="10" t="s">
        <v>7848</v>
      </c>
      <c r="X1657" s="10" t="s">
        <v>130</v>
      </c>
      <c r="Y1657" s="10" t="s">
        <v>130</v>
      </c>
      <c r="Z1657" s="10" t="s">
        <v>99</v>
      </c>
      <c r="AA1657" s="10" t="s">
        <v>131</v>
      </c>
      <c r="AB1657" s="10" t="s">
        <v>7849</v>
      </c>
      <c r="AC1657" s="10" t="s">
        <v>3571</v>
      </c>
      <c r="AD1657" s="10" t="s">
        <v>12514</v>
      </c>
      <c r="AE1657" s="10" t="s">
        <v>12515</v>
      </c>
      <c r="AF1657" s="15"/>
      <c r="AG1657" s="10"/>
      <c r="AH1657" s="10"/>
      <c r="AI1657" s="10"/>
      <c r="AJ1657" s="10"/>
      <c r="AK1657" s="10" t="s">
        <v>102</v>
      </c>
      <c r="AL1657" s="10" t="s">
        <v>7897</v>
      </c>
      <c r="AM1657" s="10"/>
      <c r="AN1657" s="10"/>
      <c r="AO1657" s="13" t="b">
        <v>0</v>
      </c>
      <c r="AP1657" s="10" t="s">
        <v>104</v>
      </c>
      <c r="AQ1657" s="10">
        <f ca="1">IFERROR(__xludf.DUMMYFUNCTION("""COMPUTED_VALUE"""),4591196)</f>
        <v>4591196</v>
      </c>
      <c r="AR1657" s="17">
        <v>6863</v>
      </c>
      <c r="AS1657" s="17">
        <v>5109</v>
      </c>
      <c r="AT1657" s="17">
        <v>103067.5</v>
      </c>
      <c r="AU1657" s="17">
        <v>18.649999999999999</v>
      </c>
      <c r="AV1657" s="17">
        <v>1.9</v>
      </c>
      <c r="AW1657" s="10" t="s">
        <v>105</v>
      </c>
      <c r="AX1657" s="17">
        <v>1294</v>
      </c>
      <c r="AY1657" s="18">
        <v>20.173713055392444</v>
      </c>
      <c r="AZ1657" s="10" t="s">
        <v>117</v>
      </c>
      <c r="BA1657" s="20" t="b">
        <v>0</v>
      </c>
      <c r="BB1657" s="10"/>
      <c r="BC1657" s="17">
        <v>6863</v>
      </c>
      <c r="BD1657" s="17">
        <v>5109</v>
      </c>
      <c r="BE1657" s="17">
        <v>103067.5</v>
      </c>
      <c r="BF1657" s="17">
        <v>1.9</v>
      </c>
      <c r="BG1657" s="11">
        <f ca="1">IFERROR(__xludf.DUMMYFUNCTION("""COMPUTED_VALUE"""),45924.9895833333)</f>
        <v>45924.989583333299</v>
      </c>
      <c r="BH1657" s="17" t="s">
        <v>105</v>
      </c>
      <c r="BI1657" s="17"/>
      <c r="BJ1657" s="15"/>
      <c r="BK1657" s="15"/>
      <c r="BL1657" s="13" t="b">
        <v>0</v>
      </c>
      <c r="BM1657" s="10"/>
      <c r="BN1657" s="10" t="s">
        <v>667</v>
      </c>
      <c r="BO1657" s="11">
        <v>45904.304861111108</v>
      </c>
      <c r="BP1657" s="11">
        <v>45916.540300925924</v>
      </c>
      <c r="BQ1657" s="15">
        <v>45922.527488425927</v>
      </c>
      <c r="BR1657" s="15">
        <v>45922.800856481481</v>
      </c>
      <c r="BS1657" s="10" t="s">
        <v>667</v>
      </c>
      <c r="BT1657" s="10" t="s">
        <v>279</v>
      </c>
      <c r="BU1657" s="10" t="s">
        <v>3574</v>
      </c>
      <c r="BV1657" s="10"/>
      <c r="BW1657" s="10"/>
      <c r="BX1657" s="10"/>
      <c r="BY1657" s="23"/>
      <c r="BZ1657" s="23"/>
      <c r="CA1657" s="19" t="s">
        <v>12516</v>
      </c>
      <c r="CB1657" s="19" t="s">
        <v>12517</v>
      </c>
      <c r="CC1657" s="23"/>
      <c r="CD1657" s="23"/>
      <c r="CE1657" s="23"/>
      <c r="CF1657" s="23"/>
      <c r="CG1657" s="23"/>
      <c r="CH1657" s="23"/>
      <c r="CI1657" s="23"/>
    </row>
    <row r="1658" spans="1:87" x14ac:dyDescent="0.3">
      <c r="A1658" s="9" t="s">
        <v>12518</v>
      </c>
      <c r="B1658" s="10" t="s">
        <v>12519</v>
      </c>
      <c r="C1658" s="11">
        <v>45925.083333333336</v>
      </c>
      <c r="D1658" s="12">
        <v>8.3333333333333329E-2</v>
      </c>
      <c r="E1658" s="11">
        <v>45925.166666666664</v>
      </c>
      <c r="F1658" s="10" t="s">
        <v>7843</v>
      </c>
      <c r="G1658" s="13" t="b">
        <v>0</v>
      </c>
      <c r="H1658" s="10" t="s">
        <v>5239</v>
      </c>
      <c r="I1658" s="10" t="s">
        <v>89</v>
      </c>
      <c r="J1658" s="13" t="b">
        <v>0</v>
      </c>
      <c r="K1658" s="13" t="b">
        <v>1</v>
      </c>
      <c r="L1658" s="10" t="s">
        <v>124</v>
      </c>
      <c r="M1658" s="10" t="s">
        <v>91</v>
      </c>
      <c r="N1658" s="10" t="s">
        <v>92</v>
      </c>
      <c r="O1658" s="19" t="s">
        <v>12520</v>
      </c>
      <c r="P1658" s="10"/>
      <c r="Q1658" s="10" t="s">
        <v>94</v>
      </c>
      <c r="R1658" s="10"/>
      <c r="S1658" s="19" t="s">
        <v>12521</v>
      </c>
      <c r="T1658" s="19" t="s">
        <v>12503</v>
      </c>
      <c r="U1658" s="10" t="s">
        <v>12522</v>
      </c>
      <c r="V1658" s="10" t="s">
        <v>12523</v>
      </c>
      <c r="W1658" s="10" t="s">
        <v>7848</v>
      </c>
      <c r="X1658" s="10" t="s">
        <v>130</v>
      </c>
      <c r="Y1658" s="10" t="s">
        <v>130</v>
      </c>
      <c r="Z1658" s="10" t="s">
        <v>99</v>
      </c>
      <c r="AA1658" s="10" t="s">
        <v>131</v>
      </c>
      <c r="AB1658" s="10" t="s">
        <v>7849</v>
      </c>
      <c r="AC1658" s="10" t="s">
        <v>3571</v>
      </c>
      <c r="AD1658" s="10" t="s">
        <v>12524</v>
      </c>
      <c r="AE1658" s="10" t="s">
        <v>12525</v>
      </c>
      <c r="AF1658" s="15"/>
      <c r="AG1658" s="10"/>
      <c r="AH1658" s="10"/>
      <c r="AI1658" s="10"/>
      <c r="AJ1658" s="10"/>
      <c r="AK1658" s="10" t="s">
        <v>102</v>
      </c>
      <c r="AL1658" s="10" t="s">
        <v>7897</v>
      </c>
      <c r="AM1658" s="10"/>
      <c r="AN1658" s="10"/>
      <c r="AO1658" s="13" t="b">
        <v>0</v>
      </c>
      <c r="AP1658" s="10" t="s">
        <v>104</v>
      </c>
      <c r="AQ1658" s="10">
        <f ca="1">IFERROR(__xludf.DUMMYFUNCTION("""COMPUTED_VALUE"""),4591194)</f>
        <v>4591194</v>
      </c>
      <c r="AR1658" s="17">
        <v>993</v>
      </c>
      <c r="AS1658" s="17">
        <v>660</v>
      </c>
      <c r="AT1658" s="17">
        <v>4129.25</v>
      </c>
      <c r="AU1658" s="17">
        <v>0</v>
      </c>
      <c r="AV1658" s="17">
        <v>0</v>
      </c>
      <c r="AW1658" s="10" t="s">
        <v>105</v>
      </c>
      <c r="AX1658" s="17">
        <v>156</v>
      </c>
      <c r="AY1658" s="18">
        <v>6.2564393939393943</v>
      </c>
      <c r="AZ1658" s="10" t="s">
        <v>117</v>
      </c>
      <c r="BA1658" s="20" t="b">
        <v>0</v>
      </c>
      <c r="BB1658" s="10"/>
      <c r="BC1658" s="17">
        <v>993</v>
      </c>
      <c r="BD1658" s="17">
        <v>660</v>
      </c>
      <c r="BE1658" s="17">
        <v>4129.25</v>
      </c>
      <c r="BF1658" s="17">
        <v>0</v>
      </c>
      <c r="BG1658" s="11">
        <f ca="1">IFERROR(__xludf.DUMMYFUNCTION("""COMPUTED_VALUE"""),45925.0833333333)</f>
        <v>45925.083333333299</v>
      </c>
      <c r="BH1658" s="17" t="s">
        <v>105</v>
      </c>
      <c r="BI1658" s="17"/>
      <c r="BJ1658" s="15"/>
      <c r="BK1658" s="15"/>
      <c r="BL1658" s="13" t="b">
        <v>0</v>
      </c>
      <c r="BM1658" s="10"/>
      <c r="BN1658" s="10" t="s">
        <v>667</v>
      </c>
      <c r="BO1658" s="11">
        <v>45904.304861111108</v>
      </c>
      <c r="BP1658" s="11">
        <v>45919.682673611111</v>
      </c>
      <c r="BQ1658" s="15">
        <v>45922.528136574074</v>
      </c>
      <c r="BR1658" s="15">
        <v>45922.810682870368</v>
      </c>
      <c r="BS1658" s="10" t="s">
        <v>667</v>
      </c>
      <c r="BT1658" s="10" t="s">
        <v>279</v>
      </c>
      <c r="BU1658" s="10" t="s">
        <v>816</v>
      </c>
      <c r="BV1658" s="10"/>
      <c r="BW1658" s="10"/>
      <c r="BX1658" s="10"/>
      <c r="BY1658" s="23"/>
      <c r="BZ1658" s="23"/>
      <c r="CA1658" s="19" t="s">
        <v>12526</v>
      </c>
      <c r="CB1658" s="19" t="s">
        <v>12527</v>
      </c>
      <c r="CC1658" s="23"/>
      <c r="CD1658" s="23"/>
      <c r="CE1658" s="23"/>
      <c r="CF1658" s="23"/>
      <c r="CG1658" s="23"/>
      <c r="CH1658" s="23"/>
      <c r="CI1658" s="23"/>
    </row>
    <row r="1659" spans="1:87" x14ac:dyDescent="0.3">
      <c r="A1659" s="9" t="s">
        <v>12528</v>
      </c>
      <c r="B1659" s="10" t="s">
        <v>12529</v>
      </c>
      <c r="C1659" s="11">
        <v>45925.083333333336</v>
      </c>
      <c r="D1659" s="12">
        <v>8.3333333333333329E-2</v>
      </c>
      <c r="E1659" s="11">
        <v>45925.166666666664</v>
      </c>
      <c r="F1659" s="10" t="s">
        <v>7843</v>
      </c>
      <c r="G1659" s="13" t="b">
        <v>0</v>
      </c>
      <c r="H1659" s="10" t="s">
        <v>5239</v>
      </c>
      <c r="I1659" s="10" t="s">
        <v>89</v>
      </c>
      <c r="J1659" s="13" t="b">
        <v>0</v>
      </c>
      <c r="K1659" s="13" t="b">
        <v>1</v>
      </c>
      <c r="L1659" s="10" t="s">
        <v>124</v>
      </c>
      <c r="M1659" s="10" t="s">
        <v>91</v>
      </c>
      <c r="N1659" s="10" t="s">
        <v>92</v>
      </c>
      <c r="O1659" s="19" t="s">
        <v>12530</v>
      </c>
      <c r="P1659" s="10"/>
      <c r="Q1659" s="10" t="s">
        <v>94</v>
      </c>
      <c r="R1659" s="10"/>
      <c r="S1659" s="19" t="s">
        <v>12531</v>
      </c>
      <c r="T1659" s="19" t="s">
        <v>12503</v>
      </c>
      <c r="U1659" s="10" t="s">
        <v>8065</v>
      </c>
      <c r="V1659" s="10" t="s">
        <v>3690</v>
      </c>
      <c r="W1659" s="10" t="s">
        <v>7848</v>
      </c>
      <c r="X1659" s="10" t="s">
        <v>130</v>
      </c>
      <c r="Y1659" s="10" t="s">
        <v>130</v>
      </c>
      <c r="Z1659" s="10" t="s">
        <v>99</v>
      </c>
      <c r="AA1659" s="10" t="s">
        <v>131</v>
      </c>
      <c r="AB1659" s="10" t="s">
        <v>7849</v>
      </c>
      <c r="AC1659" s="10" t="s">
        <v>3571</v>
      </c>
      <c r="AD1659" s="10" t="s">
        <v>12532</v>
      </c>
      <c r="AE1659" s="10" t="s">
        <v>12533</v>
      </c>
      <c r="AF1659" s="15"/>
      <c r="AG1659" s="10"/>
      <c r="AH1659" s="10"/>
      <c r="AI1659" s="10"/>
      <c r="AJ1659" s="10"/>
      <c r="AK1659" s="10" t="s">
        <v>102</v>
      </c>
      <c r="AL1659" s="10" t="s">
        <v>7897</v>
      </c>
      <c r="AM1659" s="10"/>
      <c r="AN1659" s="10"/>
      <c r="AO1659" s="13" t="b">
        <v>0</v>
      </c>
      <c r="AP1659" s="10" t="s">
        <v>104</v>
      </c>
      <c r="AQ1659" s="10">
        <f ca="1">IFERROR(__xludf.DUMMYFUNCTION("""COMPUTED_VALUE"""),4590796)</f>
        <v>4590796</v>
      </c>
      <c r="AR1659" s="17">
        <v>2275</v>
      </c>
      <c r="AS1659" s="17">
        <v>1488</v>
      </c>
      <c r="AT1659" s="17">
        <v>14928</v>
      </c>
      <c r="AU1659" s="17">
        <v>3.45</v>
      </c>
      <c r="AV1659" s="17">
        <v>0.85</v>
      </c>
      <c r="AW1659" s="10" t="s">
        <v>105</v>
      </c>
      <c r="AX1659" s="17">
        <v>339</v>
      </c>
      <c r="AY1659" s="18">
        <v>10.03225806451613</v>
      </c>
      <c r="AZ1659" s="10" t="s">
        <v>117</v>
      </c>
      <c r="BA1659" s="20" t="b">
        <v>0</v>
      </c>
      <c r="BB1659" s="10"/>
      <c r="BC1659" s="17">
        <v>2275</v>
      </c>
      <c r="BD1659" s="17">
        <v>1488</v>
      </c>
      <c r="BE1659" s="17">
        <v>14928</v>
      </c>
      <c r="BF1659" s="17">
        <v>0.85</v>
      </c>
      <c r="BG1659" s="11">
        <f ca="1">IFERROR(__xludf.DUMMYFUNCTION("""COMPUTED_VALUE"""),45925.0833333333)</f>
        <v>45925.083333333299</v>
      </c>
      <c r="BH1659" s="17" t="s">
        <v>105</v>
      </c>
      <c r="BI1659" s="17"/>
      <c r="BJ1659" s="15"/>
      <c r="BK1659" s="15"/>
      <c r="BL1659" s="13" t="b">
        <v>0</v>
      </c>
      <c r="BM1659" s="10"/>
      <c r="BN1659" s="10" t="s">
        <v>667</v>
      </c>
      <c r="BO1659" s="11">
        <v>45904.304861111108</v>
      </c>
      <c r="BP1659" s="11">
        <v>45916.538136574076</v>
      </c>
      <c r="BQ1659" s="15">
        <v>45922.527685185189</v>
      </c>
      <c r="BR1659" s="15">
        <v>45922.809872685182</v>
      </c>
      <c r="BS1659" s="10" t="s">
        <v>667</v>
      </c>
      <c r="BT1659" s="10" t="s">
        <v>279</v>
      </c>
      <c r="BU1659" s="10" t="s">
        <v>655</v>
      </c>
      <c r="BV1659" s="10"/>
      <c r="BW1659" s="10"/>
      <c r="BX1659" s="10"/>
      <c r="BY1659" s="23"/>
      <c r="BZ1659" s="23"/>
      <c r="CA1659" s="19" t="s">
        <v>12534</v>
      </c>
      <c r="CB1659" s="19" t="s">
        <v>12535</v>
      </c>
      <c r="CC1659" s="23"/>
      <c r="CD1659" s="23"/>
      <c r="CE1659" s="23"/>
      <c r="CF1659" s="23"/>
      <c r="CG1659" s="23"/>
      <c r="CH1659" s="23"/>
      <c r="CI1659" s="23"/>
    </row>
    <row r="1660" spans="1:87" x14ac:dyDescent="0.3">
      <c r="A1660" s="9" t="s">
        <v>12536</v>
      </c>
      <c r="B1660" s="10" t="s">
        <v>12537</v>
      </c>
      <c r="C1660" s="11">
        <v>45925.083333333336</v>
      </c>
      <c r="D1660" s="12">
        <v>8.3333333333333329E-2</v>
      </c>
      <c r="E1660" s="11">
        <v>45925.166666666664</v>
      </c>
      <c r="F1660" s="10" t="s">
        <v>7843</v>
      </c>
      <c r="G1660" s="13" t="b">
        <v>0</v>
      </c>
      <c r="H1660" s="10" t="s">
        <v>3578</v>
      </c>
      <c r="I1660" s="10" t="s">
        <v>89</v>
      </c>
      <c r="J1660" s="13" t="b">
        <v>0</v>
      </c>
      <c r="K1660" s="13" t="b">
        <v>1</v>
      </c>
      <c r="L1660" s="10" t="s">
        <v>124</v>
      </c>
      <c r="M1660" s="10" t="s">
        <v>91</v>
      </c>
      <c r="N1660" s="10" t="s">
        <v>92</v>
      </c>
      <c r="O1660" s="19" t="s">
        <v>12538</v>
      </c>
      <c r="P1660" s="10"/>
      <c r="Q1660" s="10" t="s">
        <v>126</v>
      </c>
      <c r="R1660" s="10"/>
      <c r="S1660" s="19" t="s">
        <v>12539</v>
      </c>
      <c r="T1660" s="19" t="s">
        <v>12503</v>
      </c>
      <c r="U1660" s="10" t="s">
        <v>5102</v>
      </c>
      <c r="V1660" s="10" t="s">
        <v>320</v>
      </c>
      <c r="W1660" s="10" t="s">
        <v>7848</v>
      </c>
      <c r="X1660" s="10" t="s">
        <v>130</v>
      </c>
      <c r="Y1660" s="10" t="s">
        <v>130</v>
      </c>
      <c r="Z1660" s="10" t="s">
        <v>99</v>
      </c>
      <c r="AA1660" s="10" t="s">
        <v>131</v>
      </c>
      <c r="AB1660" s="10" t="s">
        <v>7849</v>
      </c>
      <c r="AC1660" s="10" t="s">
        <v>3571</v>
      </c>
      <c r="AD1660" s="10" t="s">
        <v>12540</v>
      </c>
      <c r="AE1660" s="10" t="s">
        <v>12541</v>
      </c>
      <c r="AF1660" s="15"/>
      <c r="AG1660" s="10"/>
      <c r="AH1660" s="10"/>
      <c r="AI1660" s="10"/>
      <c r="AJ1660" s="10"/>
      <c r="AK1660" s="10" t="s">
        <v>102</v>
      </c>
      <c r="AL1660" s="10" t="s">
        <v>7897</v>
      </c>
      <c r="AM1660" s="10"/>
      <c r="AN1660" s="10"/>
      <c r="AO1660" s="13" t="b">
        <v>0</v>
      </c>
      <c r="AP1660" s="10" t="s">
        <v>104</v>
      </c>
      <c r="AQ1660" s="10">
        <f ca="1">IFERROR(__xludf.DUMMYFUNCTION("""COMPUTED_VALUE"""),4591201)</f>
        <v>4591201</v>
      </c>
      <c r="AR1660" s="17">
        <v>9677</v>
      </c>
      <c r="AS1660" s="17">
        <v>6382</v>
      </c>
      <c r="AT1660" s="17">
        <v>194970.25</v>
      </c>
      <c r="AU1660" s="17">
        <v>13.9</v>
      </c>
      <c r="AV1660" s="17">
        <v>1.1499999999999999</v>
      </c>
      <c r="AW1660" s="10" t="s">
        <v>105</v>
      </c>
      <c r="AX1660" s="17">
        <v>2488</v>
      </c>
      <c r="AY1660" s="18">
        <v>30.550023503603885</v>
      </c>
      <c r="AZ1660" s="10" t="s">
        <v>117</v>
      </c>
      <c r="BA1660" s="20" t="b">
        <v>0</v>
      </c>
      <c r="BB1660" s="10"/>
      <c r="BC1660" s="17">
        <v>9677</v>
      </c>
      <c r="BD1660" s="17">
        <v>6382</v>
      </c>
      <c r="BE1660" s="17">
        <v>194970.25</v>
      </c>
      <c r="BF1660" s="17">
        <v>1.1499999999999999</v>
      </c>
      <c r="BG1660" s="11">
        <f ca="1">IFERROR(__xludf.DUMMYFUNCTION("""COMPUTED_VALUE"""),45925.0833333333)</f>
        <v>45925.083333333299</v>
      </c>
      <c r="BH1660" s="17" t="s">
        <v>105</v>
      </c>
      <c r="BI1660" s="17"/>
      <c r="BJ1660" s="15"/>
      <c r="BK1660" s="15"/>
      <c r="BL1660" s="13" t="b">
        <v>0</v>
      </c>
      <c r="BM1660" s="10"/>
      <c r="BN1660" s="10" t="s">
        <v>667</v>
      </c>
      <c r="BO1660" s="11">
        <v>45904.304861111108</v>
      </c>
      <c r="BP1660" s="11">
        <v>45916.541701388887</v>
      </c>
      <c r="BQ1660" s="15">
        <v>45922.52851851852</v>
      </c>
      <c r="BR1660" s="15">
        <v>45922.819490740738</v>
      </c>
      <c r="BS1660" s="10" t="s">
        <v>667</v>
      </c>
      <c r="BT1660" s="10" t="s">
        <v>279</v>
      </c>
      <c r="BU1660" s="10" t="s">
        <v>5081</v>
      </c>
      <c r="BV1660" s="10" t="s">
        <v>4315</v>
      </c>
      <c r="BW1660" s="10"/>
      <c r="BX1660" s="10"/>
      <c r="BY1660" s="23"/>
      <c r="BZ1660" s="23"/>
      <c r="CA1660" s="19" t="s">
        <v>12542</v>
      </c>
      <c r="CB1660" s="19" t="s">
        <v>12543</v>
      </c>
      <c r="CC1660" s="23"/>
      <c r="CD1660" s="19" t="s">
        <v>12544</v>
      </c>
      <c r="CE1660" s="23"/>
      <c r="CF1660" s="23"/>
      <c r="CG1660" s="23"/>
      <c r="CH1660" s="23"/>
      <c r="CI1660" s="23"/>
    </row>
    <row r="1661" spans="1:87" x14ac:dyDescent="0.3">
      <c r="A1661" s="9" t="s">
        <v>12545</v>
      </c>
      <c r="B1661" s="10" t="s">
        <v>12546</v>
      </c>
      <c r="C1661" s="11">
        <v>45925.083333333336</v>
      </c>
      <c r="D1661" s="12">
        <v>8.3333333333333329E-2</v>
      </c>
      <c r="E1661" s="11">
        <v>45925.166666666664</v>
      </c>
      <c r="F1661" s="10" t="s">
        <v>7843</v>
      </c>
      <c r="G1661" s="13" t="b">
        <v>0</v>
      </c>
      <c r="H1661" s="10" t="s">
        <v>6271</v>
      </c>
      <c r="I1661" s="10" t="s">
        <v>89</v>
      </c>
      <c r="J1661" s="13" t="b">
        <v>0</v>
      </c>
      <c r="K1661" s="13" t="b">
        <v>1</v>
      </c>
      <c r="L1661" s="10" t="s">
        <v>124</v>
      </c>
      <c r="M1661" s="10" t="s">
        <v>91</v>
      </c>
      <c r="N1661" s="10" t="s">
        <v>92</v>
      </c>
      <c r="O1661" s="19" t="s">
        <v>12547</v>
      </c>
      <c r="P1661" s="10"/>
      <c r="Q1661" s="10" t="s">
        <v>94</v>
      </c>
      <c r="R1661" s="10"/>
      <c r="S1661" s="19" t="s">
        <v>12548</v>
      </c>
      <c r="T1661" s="19" t="s">
        <v>12503</v>
      </c>
      <c r="U1661" s="10" t="s">
        <v>12549</v>
      </c>
      <c r="V1661" s="10" t="s">
        <v>12550</v>
      </c>
      <c r="W1661" s="10" t="s">
        <v>7848</v>
      </c>
      <c r="X1661" s="10" t="s">
        <v>130</v>
      </c>
      <c r="Y1661" s="10" t="s">
        <v>130</v>
      </c>
      <c r="Z1661" s="10" t="s">
        <v>99</v>
      </c>
      <c r="AA1661" s="10" t="s">
        <v>131</v>
      </c>
      <c r="AB1661" s="10" t="s">
        <v>7849</v>
      </c>
      <c r="AC1661" s="10" t="s">
        <v>3571</v>
      </c>
      <c r="AD1661" s="10" t="s">
        <v>12551</v>
      </c>
      <c r="AE1661" s="10" t="s">
        <v>12552</v>
      </c>
      <c r="AF1661" s="15"/>
      <c r="AG1661" s="10"/>
      <c r="AH1661" s="10"/>
      <c r="AI1661" s="10"/>
      <c r="AJ1661" s="10"/>
      <c r="AK1661" s="10" t="s">
        <v>102</v>
      </c>
      <c r="AL1661" s="10" t="s">
        <v>7897</v>
      </c>
      <c r="AM1661" s="10"/>
      <c r="AN1661" s="10"/>
      <c r="AO1661" s="13" t="b">
        <v>0</v>
      </c>
      <c r="AP1661" s="10" t="s">
        <v>104</v>
      </c>
      <c r="AQ1661" s="10">
        <f ca="1">IFERROR(__xludf.DUMMYFUNCTION("""COMPUTED_VALUE"""),4591203)</f>
        <v>4591203</v>
      </c>
      <c r="AR1661" s="17">
        <v>1138</v>
      </c>
      <c r="AS1661" s="17">
        <v>761</v>
      </c>
      <c r="AT1661" s="17">
        <v>7164.25</v>
      </c>
      <c r="AU1661" s="17">
        <v>0.9</v>
      </c>
      <c r="AV1661" s="17">
        <v>0.25</v>
      </c>
      <c r="AW1661" s="10" t="s">
        <v>105</v>
      </c>
      <c r="AX1661" s="17">
        <v>175</v>
      </c>
      <c r="AY1661" s="18">
        <v>9.4142575558475698</v>
      </c>
      <c r="AZ1661" s="10" t="s">
        <v>117</v>
      </c>
      <c r="BA1661" s="20" t="b">
        <v>0</v>
      </c>
      <c r="BB1661" s="10"/>
      <c r="BC1661" s="17">
        <v>1138</v>
      </c>
      <c r="BD1661" s="17">
        <v>761</v>
      </c>
      <c r="BE1661" s="17">
        <v>7164.25</v>
      </c>
      <c r="BF1661" s="17">
        <v>0.25</v>
      </c>
      <c r="BG1661" s="11">
        <f ca="1">IFERROR(__xludf.DUMMYFUNCTION("""COMPUTED_VALUE"""),45925.0833333333)</f>
        <v>45925.083333333299</v>
      </c>
      <c r="BH1661" s="17" t="s">
        <v>105</v>
      </c>
      <c r="BI1661" s="17"/>
      <c r="BJ1661" s="15"/>
      <c r="BK1661" s="15"/>
      <c r="BL1661" s="13" t="b">
        <v>0</v>
      </c>
      <c r="BM1661" s="10"/>
      <c r="BN1661" s="10" t="s">
        <v>667</v>
      </c>
      <c r="BO1661" s="11">
        <v>45904.304861111108</v>
      </c>
      <c r="BP1661" s="11">
        <v>45916.546851851854</v>
      </c>
      <c r="BQ1661" s="15">
        <v>45922.528645833336</v>
      </c>
      <c r="BR1661" s="15">
        <v>45922.819733796299</v>
      </c>
      <c r="BS1661" s="10" t="s">
        <v>667</v>
      </c>
      <c r="BT1661" s="10" t="s">
        <v>279</v>
      </c>
      <c r="BU1661" s="10" t="s">
        <v>5675</v>
      </c>
      <c r="BV1661" s="10"/>
      <c r="BW1661" s="10"/>
      <c r="BX1661" s="10"/>
      <c r="BY1661" s="23"/>
      <c r="BZ1661" s="23"/>
      <c r="CA1661" s="19" t="s">
        <v>12553</v>
      </c>
      <c r="CB1661" s="19" t="s">
        <v>12554</v>
      </c>
      <c r="CC1661" s="23"/>
      <c r="CD1661" s="23"/>
      <c r="CE1661" s="23"/>
      <c r="CF1661" s="23"/>
      <c r="CG1661" s="23"/>
      <c r="CH1661" s="23"/>
      <c r="CI1661" s="23"/>
    </row>
    <row r="1662" spans="1:87" x14ac:dyDescent="0.3">
      <c r="A1662" s="9" t="s">
        <v>12555</v>
      </c>
      <c r="B1662" s="10" t="s">
        <v>12556</v>
      </c>
      <c r="C1662" s="11">
        <v>45925.083333333336</v>
      </c>
      <c r="D1662" s="12">
        <v>8.3333333333333329E-2</v>
      </c>
      <c r="E1662" s="11">
        <v>45925.166666666664</v>
      </c>
      <c r="F1662" s="10" t="s">
        <v>7843</v>
      </c>
      <c r="G1662" s="13" t="b">
        <v>0</v>
      </c>
      <c r="H1662" s="10" t="s">
        <v>5239</v>
      </c>
      <c r="I1662" s="10" t="s">
        <v>89</v>
      </c>
      <c r="J1662" s="13" t="b">
        <v>0</v>
      </c>
      <c r="K1662" s="13" t="b">
        <v>1</v>
      </c>
      <c r="L1662" s="10" t="s">
        <v>124</v>
      </c>
      <c r="M1662" s="10" t="s">
        <v>91</v>
      </c>
      <c r="N1662" s="10" t="s">
        <v>92</v>
      </c>
      <c r="O1662" s="19" t="s">
        <v>12557</v>
      </c>
      <c r="P1662" s="10"/>
      <c r="Q1662" s="10" t="s">
        <v>94</v>
      </c>
      <c r="R1662" s="10"/>
      <c r="S1662" s="19" t="s">
        <v>12558</v>
      </c>
      <c r="T1662" s="19" t="s">
        <v>12503</v>
      </c>
      <c r="U1662" s="10" t="s">
        <v>12559</v>
      </c>
      <c r="V1662" s="10" t="s">
        <v>3581</v>
      </c>
      <c r="W1662" s="10" t="s">
        <v>7848</v>
      </c>
      <c r="X1662" s="10" t="s">
        <v>130</v>
      </c>
      <c r="Y1662" s="10" t="s">
        <v>130</v>
      </c>
      <c r="Z1662" s="10" t="s">
        <v>99</v>
      </c>
      <c r="AA1662" s="10" t="s">
        <v>131</v>
      </c>
      <c r="AB1662" s="10" t="s">
        <v>7849</v>
      </c>
      <c r="AC1662" s="10" t="s">
        <v>3571</v>
      </c>
      <c r="AD1662" s="10" t="s">
        <v>12560</v>
      </c>
      <c r="AE1662" s="10" t="s">
        <v>12561</v>
      </c>
      <c r="AF1662" s="15"/>
      <c r="AG1662" s="10"/>
      <c r="AH1662" s="10"/>
      <c r="AI1662" s="10"/>
      <c r="AJ1662" s="10"/>
      <c r="AK1662" s="10" t="s">
        <v>102</v>
      </c>
      <c r="AL1662" s="10" t="s">
        <v>7897</v>
      </c>
      <c r="AM1662" s="10"/>
      <c r="AN1662" s="10"/>
      <c r="AO1662" s="13" t="b">
        <v>0</v>
      </c>
      <c r="AP1662" s="10" t="s">
        <v>104</v>
      </c>
      <c r="AQ1662" s="10">
        <f ca="1">IFERROR(__xludf.DUMMYFUNCTION("""COMPUTED_VALUE"""),4591192)</f>
        <v>4591192</v>
      </c>
      <c r="AR1662" s="17">
        <v>1901</v>
      </c>
      <c r="AS1662" s="17">
        <v>1347</v>
      </c>
      <c r="AT1662" s="17">
        <v>8506</v>
      </c>
      <c r="AU1662" s="17">
        <v>2.5499999999999998</v>
      </c>
      <c r="AV1662" s="17">
        <v>0.1</v>
      </c>
      <c r="AW1662" s="10" t="s">
        <v>105</v>
      </c>
      <c r="AX1662" s="17">
        <v>244</v>
      </c>
      <c r="AY1662" s="18">
        <v>6.3147735708982928</v>
      </c>
      <c r="AZ1662" s="10" t="s">
        <v>117</v>
      </c>
      <c r="BA1662" s="20" t="b">
        <v>0</v>
      </c>
      <c r="BB1662" s="10"/>
      <c r="BC1662" s="17">
        <v>1901</v>
      </c>
      <c r="BD1662" s="17">
        <v>1347</v>
      </c>
      <c r="BE1662" s="17">
        <v>8506</v>
      </c>
      <c r="BF1662" s="17">
        <v>0.1</v>
      </c>
      <c r="BG1662" s="11">
        <f ca="1">IFERROR(__xludf.DUMMYFUNCTION("""COMPUTED_VALUE"""),45925.0833333333)</f>
        <v>45925.083333333299</v>
      </c>
      <c r="BH1662" s="17" t="s">
        <v>105</v>
      </c>
      <c r="BI1662" s="17"/>
      <c r="BJ1662" s="15"/>
      <c r="BK1662" s="15"/>
      <c r="BL1662" s="13" t="b">
        <v>0</v>
      </c>
      <c r="BM1662" s="10"/>
      <c r="BN1662" s="10" t="s">
        <v>667</v>
      </c>
      <c r="BO1662" s="11">
        <v>45904.304861111108</v>
      </c>
      <c r="BP1662" s="11">
        <v>45916.53806712963</v>
      </c>
      <c r="BQ1662" s="15">
        <v>45922.527962962966</v>
      </c>
      <c r="BR1662" s="15">
        <v>45922.810439814813</v>
      </c>
      <c r="BS1662" s="10" t="s">
        <v>667</v>
      </c>
      <c r="BT1662" s="10" t="s">
        <v>279</v>
      </c>
      <c r="BU1662" s="10" t="s">
        <v>521</v>
      </c>
      <c r="BV1662" s="10"/>
      <c r="BW1662" s="10"/>
      <c r="BX1662" s="10"/>
      <c r="BY1662" s="23"/>
      <c r="BZ1662" s="23"/>
      <c r="CA1662" s="19" t="s">
        <v>12562</v>
      </c>
      <c r="CB1662" s="19" t="s">
        <v>12563</v>
      </c>
      <c r="CC1662" s="23"/>
      <c r="CD1662" s="23"/>
      <c r="CE1662" s="23"/>
      <c r="CF1662" s="23"/>
      <c r="CG1662" s="23"/>
      <c r="CH1662" s="23"/>
      <c r="CI1662" s="23"/>
    </row>
    <row r="1663" spans="1:87" x14ac:dyDescent="0.3">
      <c r="A1663" s="9" t="s">
        <v>12564</v>
      </c>
      <c r="B1663" s="10" t="s">
        <v>12565</v>
      </c>
      <c r="C1663" s="11">
        <v>45925.083333333336</v>
      </c>
      <c r="D1663" s="12">
        <v>8.3333333333333329E-2</v>
      </c>
      <c r="E1663" s="11">
        <v>45925.166666666664</v>
      </c>
      <c r="F1663" s="10" t="s">
        <v>7843</v>
      </c>
      <c r="G1663" s="13" t="b">
        <v>0</v>
      </c>
      <c r="H1663" s="10" t="s">
        <v>5239</v>
      </c>
      <c r="I1663" s="10" t="s">
        <v>89</v>
      </c>
      <c r="J1663" s="13" t="b">
        <v>0</v>
      </c>
      <c r="K1663" s="13" t="b">
        <v>1</v>
      </c>
      <c r="L1663" s="10" t="s">
        <v>124</v>
      </c>
      <c r="M1663" s="10" t="s">
        <v>91</v>
      </c>
      <c r="N1663" s="10" t="s">
        <v>92</v>
      </c>
      <c r="O1663" s="19" t="s">
        <v>12566</v>
      </c>
      <c r="P1663" s="10"/>
      <c r="Q1663" s="10" t="s">
        <v>94</v>
      </c>
      <c r="R1663" s="10"/>
      <c r="S1663" s="19" t="s">
        <v>12567</v>
      </c>
      <c r="T1663" s="19" t="s">
        <v>12503</v>
      </c>
      <c r="U1663" s="10" t="s">
        <v>3591</v>
      </c>
      <c r="V1663" s="10" t="s">
        <v>8547</v>
      </c>
      <c r="W1663" s="10" t="s">
        <v>7848</v>
      </c>
      <c r="X1663" s="10" t="s">
        <v>130</v>
      </c>
      <c r="Y1663" s="10" t="s">
        <v>130</v>
      </c>
      <c r="Z1663" s="10" t="s">
        <v>99</v>
      </c>
      <c r="AA1663" s="10" t="s">
        <v>131</v>
      </c>
      <c r="AB1663" s="10" t="s">
        <v>7849</v>
      </c>
      <c r="AC1663" s="10" t="s">
        <v>3571</v>
      </c>
      <c r="AD1663" s="10" t="s">
        <v>12568</v>
      </c>
      <c r="AE1663" s="10" t="s">
        <v>12569</v>
      </c>
      <c r="AF1663" s="15"/>
      <c r="AG1663" s="10"/>
      <c r="AH1663" s="10"/>
      <c r="AI1663" s="10"/>
      <c r="AJ1663" s="10"/>
      <c r="AK1663" s="10" t="s">
        <v>102</v>
      </c>
      <c r="AL1663" s="10" t="s">
        <v>7897</v>
      </c>
      <c r="AM1663" s="10"/>
      <c r="AN1663" s="10"/>
      <c r="AO1663" s="13" t="b">
        <v>0</v>
      </c>
      <c r="AP1663" s="10" t="s">
        <v>104</v>
      </c>
      <c r="AQ1663" s="10">
        <f ca="1">IFERROR(__xludf.DUMMYFUNCTION("""COMPUTED_VALUE"""),4590798)</f>
        <v>4590798</v>
      </c>
      <c r="AR1663" s="17">
        <v>1537</v>
      </c>
      <c r="AS1663" s="17">
        <v>1028</v>
      </c>
      <c r="AT1663" s="17">
        <v>5490.75</v>
      </c>
      <c r="AU1663" s="17">
        <v>0.25</v>
      </c>
      <c r="AV1663" s="17">
        <v>0</v>
      </c>
      <c r="AW1663" s="10" t="s">
        <v>105</v>
      </c>
      <c r="AX1663" s="17">
        <v>229</v>
      </c>
      <c r="AY1663" s="18">
        <v>5.3411964980544751</v>
      </c>
      <c r="AZ1663" s="10" t="s">
        <v>117</v>
      </c>
      <c r="BA1663" s="20" t="b">
        <v>0</v>
      </c>
      <c r="BB1663" s="10"/>
      <c r="BC1663" s="17">
        <v>1537</v>
      </c>
      <c r="BD1663" s="17">
        <v>1028</v>
      </c>
      <c r="BE1663" s="17">
        <v>5490.75</v>
      </c>
      <c r="BF1663" s="17">
        <v>0</v>
      </c>
      <c r="BG1663" s="11">
        <f ca="1">IFERROR(__xludf.DUMMYFUNCTION("""COMPUTED_VALUE"""),45925.0833333333)</f>
        <v>45925.083333333299</v>
      </c>
      <c r="BH1663" s="17" t="s">
        <v>105</v>
      </c>
      <c r="BI1663" s="17"/>
      <c r="BJ1663" s="15"/>
      <c r="BK1663" s="15"/>
      <c r="BL1663" s="13" t="b">
        <v>0</v>
      </c>
      <c r="BM1663" s="10"/>
      <c r="BN1663" s="10" t="s">
        <v>667</v>
      </c>
      <c r="BO1663" s="11">
        <v>45904.304861111108</v>
      </c>
      <c r="BP1663" s="11">
        <v>45916.537997685184</v>
      </c>
      <c r="BQ1663" s="15">
        <v>45922.527824074074</v>
      </c>
      <c r="BR1663" s="15">
        <v>45922.810231481482</v>
      </c>
      <c r="BS1663" s="10" t="s">
        <v>667</v>
      </c>
      <c r="BT1663" s="10" t="s">
        <v>279</v>
      </c>
      <c r="BU1663" s="10" t="s">
        <v>456</v>
      </c>
      <c r="BV1663" s="10"/>
      <c r="BW1663" s="10"/>
      <c r="BX1663" s="10"/>
      <c r="BY1663" s="23"/>
      <c r="BZ1663" s="23"/>
      <c r="CA1663" s="19" t="s">
        <v>12570</v>
      </c>
      <c r="CB1663" s="19" t="s">
        <v>12571</v>
      </c>
      <c r="CC1663" s="23"/>
      <c r="CD1663" s="23"/>
      <c r="CE1663" s="23"/>
      <c r="CF1663" s="23"/>
      <c r="CG1663" s="23"/>
      <c r="CH1663" s="23"/>
      <c r="CI1663" s="23"/>
    </row>
    <row r="1664" spans="1:87" x14ac:dyDescent="0.3">
      <c r="A1664" s="9" t="s">
        <v>12572</v>
      </c>
      <c r="B1664" s="10" t="s">
        <v>12573</v>
      </c>
      <c r="C1664" s="11">
        <v>45925.083333333336</v>
      </c>
      <c r="D1664" s="12">
        <v>8.3333333333333329E-2</v>
      </c>
      <c r="E1664" s="11">
        <v>45925.166666666664</v>
      </c>
      <c r="F1664" s="10" t="s">
        <v>7843</v>
      </c>
      <c r="G1664" s="13" t="b">
        <v>0</v>
      </c>
      <c r="H1664" s="10" t="s">
        <v>11460</v>
      </c>
      <c r="I1664" s="10" t="s">
        <v>89</v>
      </c>
      <c r="J1664" s="13" t="b">
        <v>0</v>
      </c>
      <c r="K1664" s="13" t="b">
        <v>1</v>
      </c>
      <c r="L1664" s="10" t="s">
        <v>124</v>
      </c>
      <c r="M1664" s="10" t="s">
        <v>91</v>
      </c>
      <c r="N1664" s="10" t="s">
        <v>92</v>
      </c>
      <c r="O1664" s="19" t="s">
        <v>12574</v>
      </c>
      <c r="P1664" s="10"/>
      <c r="Q1664" s="10" t="s">
        <v>126</v>
      </c>
      <c r="R1664" s="10"/>
      <c r="S1664" s="19" t="s">
        <v>12575</v>
      </c>
      <c r="T1664" s="19" t="s">
        <v>12503</v>
      </c>
      <c r="U1664" s="10" t="s">
        <v>7821</v>
      </c>
      <c r="V1664" s="10" t="s">
        <v>3229</v>
      </c>
      <c r="W1664" s="10" t="s">
        <v>7848</v>
      </c>
      <c r="X1664" s="10" t="s">
        <v>130</v>
      </c>
      <c r="Y1664" s="10" t="s">
        <v>130</v>
      </c>
      <c r="Z1664" s="10" t="s">
        <v>99</v>
      </c>
      <c r="AA1664" s="10" t="s">
        <v>131</v>
      </c>
      <c r="AB1664" s="10" t="s">
        <v>7849</v>
      </c>
      <c r="AC1664" s="10" t="s">
        <v>3571</v>
      </c>
      <c r="AD1664" s="10" t="s">
        <v>12576</v>
      </c>
      <c r="AE1664" s="10" t="s">
        <v>12577</v>
      </c>
      <c r="AF1664" s="15"/>
      <c r="AG1664" s="10"/>
      <c r="AH1664" s="10"/>
      <c r="AI1664" s="10"/>
      <c r="AJ1664" s="10"/>
      <c r="AK1664" s="10" t="s">
        <v>102</v>
      </c>
      <c r="AL1664" s="10" t="s">
        <v>7897</v>
      </c>
      <c r="AM1664" s="10"/>
      <c r="AN1664" s="10"/>
      <c r="AO1664" s="13" t="b">
        <v>1</v>
      </c>
      <c r="AP1664" s="10" t="s">
        <v>104</v>
      </c>
      <c r="AQ1664" s="10">
        <f ca="1">IFERROR(__xludf.DUMMYFUNCTION("""COMPUTED_VALUE"""),4591200)</f>
        <v>4591200</v>
      </c>
      <c r="AR1664" s="17">
        <v>18794</v>
      </c>
      <c r="AS1664" s="17">
        <v>14459</v>
      </c>
      <c r="AT1664" s="17">
        <v>343904.5</v>
      </c>
      <c r="AU1664" s="17">
        <v>102.5</v>
      </c>
      <c r="AV1664" s="17">
        <v>9.5</v>
      </c>
      <c r="AW1664" s="10" t="s">
        <v>105</v>
      </c>
      <c r="AX1664" s="17">
        <v>4187</v>
      </c>
      <c r="AY1664" s="18">
        <v>23.784805311570647</v>
      </c>
      <c r="AZ1664" s="10" t="s">
        <v>117</v>
      </c>
      <c r="BA1664" s="20" t="b">
        <v>0</v>
      </c>
      <c r="BB1664" s="10"/>
      <c r="BC1664" s="17">
        <v>18794</v>
      </c>
      <c r="BD1664" s="17">
        <v>14459</v>
      </c>
      <c r="BE1664" s="17">
        <v>343904.5</v>
      </c>
      <c r="BF1664" s="17">
        <v>9.5</v>
      </c>
      <c r="BG1664" s="11">
        <f ca="1">IFERROR(__xludf.DUMMYFUNCTION("""COMPUTED_VALUE"""),45925.0833333333)</f>
        <v>45925.083333333299</v>
      </c>
      <c r="BH1664" s="17" t="s">
        <v>105</v>
      </c>
      <c r="BI1664" s="17"/>
      <c r="BJ1664" s="15"/>
      <c r="BK1664" s="15"/>
      <c r="BL1664" s="13" t="b">
        <v>0</v>
      </c>
      <c r="BM1664" s="10"/>
      <c r="BN1664" s="10" t="s">
        <v>667</v>
      </c>
      <c r="BO1664" s="11">
        <v>45904.304861111108</v>
      </c>
      <c r="BP1664" s="11">
        <v>45916.545798611114</v>
      </c>
      <c r="BQ1664" s="15">
        <v>45922.528275462966</v>
      </c>
      <c r="BR1664" s="15">
        <v>45922.81863425926</v>
      </c>
      <c r="BS1664" s="10" t="s">
        <v>667</v>
      </c>
      <c r="BT1664" s="10" t="s">
        <v>279</v>
      </c>
      <c r="BU1664" s="10" t="s">
        <v>498</v>
      </c>
      <c r="BV1664" s="10"/>
      <c r="BW1664" s="10"/>
      <c r="BX1664" s="10"/>
      <c r="BY1664" s="23"/>
      <c r="BZ1664" s="23"/>
      <c r="CA1664" s="19" t="s">
        <v>12578</v>
      </c>
      <c r="CB1664" s="19" t="s">
        <v>12579</v>
      </c>
      <c r="CC1664" s="23"/>
      <c r="CD1664" s="19" t="s">
        <v>12580</v>
      </c>
      <c r="CE1664" s="23"/>
      <c r="CF1664" s="23"/>
      <c r="CG1664" s="23"/>
      <c r="CH1664" s="23"/>
      <c r="CI1664" s="23"/>
    </row>
    <row r="1665" spans="1:87" x14ac:dyDescent="0.3">
      <c r="A1665" s="9" t="s">
        <v>12581</v>
      </c>
      <c r="B1665" s="10" t="s">
        <v>12582</v>
      </c>
      <c r="C1665" s="11">
        <v>45925.989583333336</v>
      </c>
      <c r="D1665" s="12">
        <v>8.3333333333333329E-2</v>
      </c>
      <c r="E1665" s="11">
        <v>45926.072916666664</v>
      </c>
      <c r="F1665" s="10" t="s">
        <v>7843</v>
      </c>
      <c r="G1665" s="13" t="b">
        <v>0</v>
      </c>
      <c r="H1665" s="10" t="s">
        <v>3564</v>
      </c>
      <c r="I1665" s="10" t="s">
        <v>89</v>
      </c>
      <c r="J1665" s="13" t="b">
        <v>0</v>
      </c>
      <c r="K1665" s="13" t="b">
        <v>1</v>
      </c>
      <c r="L1665" s="10" t="s">
        <v>124</v>
      </c>
      <c r="M1665" s="10" t="s">
        <v>91</v>
      </c>
      <c r="N1665" s="10" t="s">
        <v>92</v>
      </c>
      <c r="O1665" s="19" t="s">
        <v>12583</v>
      </c>
      <c r="P1665" s="10"/>
      <c r="Q1665" s="10" t="s">
        <v>126</v>
      </c>
      <c r="R1665" s="10"/>
      <c r="S1665" s="19" t="s">
        <v>12584</v>
      </c>
      <c r="T1665" s="19" t="s">
        <v>12503</v>
      </c>
      <c r="U1665" s="10" t="s">
        <v>4993</v>
      </c>
      <c r="V1665" s="10" t="s">
        <v>12585</v>
      </c>
      <c r="W1665" s="10" t="s">
        <v>7848</v>
      </c>
      <c r="X1665" s="10" t="s">
        <v>130</v>
      </c>
      <c r="Y1665" s="10" t="s">
        <v>130</v>
      </c>
      <c r="Z1665" s="10" t="s">
        <v>99</v>
      </c>
      <c r="AA1665" s="10" t="s">
        <v>131</v>
      </c>
      <c r="AB1665" s="10" t="s">
        <v>7849</v>
      </c>
      <c r="AC1665" s="10" t="s">
        <v>3571</v>
      </c>
      <c r="AD1665" s="10" t="s">
        <v>12586</v>
      </c>
      <c r="AE1665" s="10" t="s">
        <v>12587</v>
      </c>
      <c r="AF1665" s="15"/>
      <c r="AG1665" s="10"/>
      <c r="AH1665" s="10"/>
      <c r="AI1665" s="10"/>
      <c r="AJ1665" s="10"/>
      <c r="AK1665" s="10" t="s">
        <v>102</v>
      </c>
      <c r="AL1665" s="10" t="s">
        <v>7897</v>
      </c>
      <c r="AM1665" s="10"/>
      <c r="AN1665" s="10"/>
      <c r="AO1665" s="13" t="b">
        <v>1</v>
      </c>
      <c r="AP1665" s="10" t="s">
        <v>104</v>
      </c>
      <c r="AQ1665" s="10">
        <f ca="1">IFERROR(__xludf.DUMMYFUNCTION("""COMPUTED_VALUE"""),4591205)</f>
        <v>4591205</v>
      </c>
      <c r="AR1665" s="17">
        <v>25125</v>
      </c>
      <c r="AS1665" s="17">
        <v>16877</v>
      </c>
      <c r="AT1665" s="17">
        <v>138216</v>
      </c>
      <c r="AU1665" s="17">
        <v>40.85</v>
      </c>
      <c r="AV1665" s="17">
        <v>7</v>
      </c>
      <c r="AW1665" s="10" t="s">
        <v>105</v>
      </c>
      <c r="AX1665" s="17">
        <v>5676</v>
      </c>
      <c r="AY1665" s="18">
        <v>8.1896071576702028</v>
      </c>
      <c r="AZ1665" s="10" t="s">
        <v>117</v>
      </c>
      <c r="BA1665" s="20" t="b">
        <v>0</v>
      </c>
      <c r="BB1665" s="10"/>
      <c r="BC1665" s="17">
        <v>25125</v>
      </c>
      <c r="BD1665" s="17">
        <v>16877</v>
      </c>
      <c r="BE1665" s="17">
        <v>138216</v>
      </c>
      <c r="BF1665" s="17">
        <v>7</v>
      </c>
      <c r="BG1665" s="11">
        <f ca="1">IFERROR(__xludf.DUMMYFUNCTION("""COMPUTED_VALUE"""),45925.9895833333)</f>
        <v>45925.989583333299</v>
      </c>
      <c r="BH1665" s="17" t="s">
        <v>105</v>
      </c>
      <c r="BI1665" s="17"/>
      <c r="BJ1665" s="15"/>
      <c r="BK1665" s="15"/>
      <c r="BL1665" s="13" t="b">
        <v>0</v>
      </c>
      <c r="BM1665" s="10"/>
      <c r="BN1665" s="10" t="s">
        <v>197</v>
      </c>
      <c r="BO1665" s="11">
        <v>45904.304861111108</v>
      </c>
      <c r="BP1665" s="11">
        <v>45916.540578703702</v>
      </c>
      <c r="BQ1665" s="15">
        <v>45922.528784722221</v>
      </c>
      <c r="BR1665" s="15">
        <v>45922.82503472222</v>
      </c>
      <c r="BS1665" s="10" t="s">
        <v>197</v>
      </c>
      <c r="BT1665" s="10" t="s">
        <v>99</v>
      </c>
      <c r="BU1665" s="10" t="s">
        <v>298</v>
      </c>
      <c r="BV1665" s="10" t="s">
        <v>124</v>
      </c>
      <c r="BW1665" s="10" t="s">
        <v>12588</v>
      </c>
      <c r="BX1665" s="10"/>
      <c r="BY1665" s="23"/>
      <c r="BZ1665" s="23"/>
      <c r="CA1665" s="19" t="s">
        <v>12589</v>
      </c>
      <c r="CB1665" s="19" t="s">
        <v>12590</v>
      </c>
      <c r="CC1665" s="23"/>
      <c r="CD1665" s="19" t="s">
        <v>12591</v>
      </c>
      <c r="CE1665" s="23"/>
      <c r="CF1665" s="23"/>
      <c r="CG1665" s="23"/>
      <c r="CH1665" s="23"/>
      <c r="CI1665" s="23"/>
    </row>
    <row r="1666" spans="1:87" x14ac:dyDescent="0.3">
      <c r="A1666" s="9" t="s">
        <v>12592</v>
      </c>
      <c r="B1666" s="10" t="s">
        <v>12593</v>
      </c>
      <c r="C1666" s="11">
        <v>45925.989583333336</v>
      </c>
      <c r="D1666" s="12">
        <v>8.3333333333333329E-2</v>
      </c>
      <c r="E1666" s="11">
        <v>45926.072916666664</v>
      </c>
      <c r="F1666" s="10" t="s">
        <v>7843</v>
      </c>
      <c r="G1666" s="13" t="b">
        <v>0</v>
      </c>
      <c r="H1666" s="10" t="s">
        <v>3578</v>
      </c>
      <c r="I1666" s="10" t="s">
        <v>89</v>
      </c>
      <c r="J1666" s="13" t="b">
        <v>0</v>
      </c>
      <c r="K1666" s="13" t="b">
        <v>1</v>
      </c>
      <c r="L1666" s="10" t="s">
        <v>124</v>
      </c>
      <c r="M1666" s="10" t="s">
        <v>91</v>
      </c>
      <c r="N1666" s="10" t="s">
        <v>92</v>
      </c>
      <c r="O1666" s="19" t="s">
        <v>12594</v>
      </c>
      <c r="P1666" s="10"/>
      <c r="Q1666" s="10" t="s">
        <v>126</v>
      </c>
      <c r="R1666" s="10"/>
      <c r="S1666" s="19" t="s">
        <v>12595</v>
      </c>
      <c r="T1666" s="19" t="s">
        <v>12503</v>
      </c>
      <c r="U1666" s="10" t="s">
        <v>12596</v>
      </c>
      <c r="V1666" s="10" t="s">
        <v>8944</v>
      </c>
      <c r="W1666" s="10" t="s">
        <v>7848</v>
      </c>
      <c r="X1666" s="10" t="s">
        <v>130</v>
      </c>
      <c r="Y1666" s="10" t="s">
        <v>130</v>
      </c>
      <c r="Z1666" s="10" t="s">
        <v>99</v>
      </c>
      <c r="AA1666" s="10" t="s">
        <v>131</v>
      </c>
      <c r="AB1666" s="10" t="s">
        <v>7849</v>
      </c>
      <c r="AC1666" s="10" t="s">
        <v>3571</v>
      </c>
      <c r="AD1666" s="10" t="s">
        <v>12597</v>
      </c>
      <c r="AE1666" s="10" t="s">
        <v>12598</v>
      </c>
      <c r="AF1666" s="15"/>
      <c r="AG1666" s="10"/>
      <c r="AH1666" s="10"/>
      <c r="AI1666" s="10"/>
      <c r="AJ1666" s="10"/>
      <c r="AK1666" s="10" t="s">
        <v>102</v>
      </c>
      <c r="AL1666" s="10" t="s">
        <v>7897</v>
      </c>
      <c r="AM1666" s="10"/>
      <c r="AN1666" s="10"/>
      <c r="AO1666" s="13" t="b">
        <v>1</v>
      </c>
      <c r="AP1666" s="10" t="s">
        <v>104</v>
      </c>
      <c r="AQ1666" s="10">
        <f ca="1">IFERROR(__xludf.DUMMYFUNCTION("""COMPUTED_VALUE"""),4592603)</f>
        <v>4592603</v>
      </c>
      <c r="AR1666" s="17">
        <v>57960</v>
      </c>
      <c r="AS1666" s="17">
        <v>37564</v>
      </c>
      <c r="AT1666" s="17">
        <v>1037958</v>
      </c>
      <c r="AU1666" s="17">
        <v>423.35</v>
      </c>
      <c r="AV1666" s="17">
        <v>107.65</v>
      </c>
      <c r="AW1666" s="10" t="s">
        <v>105</v>
      </c>
      <c r="AX1666" s="17">
        <v>14522</v>
      </c>
      <c r="AY1666" s="18">
        <v>27.631721861356617</v>
      </c>
      <c r="AZ1666" s="10" t="s">
        <v>117</v>
      </c>
      <c r="BA1666" s="20" t="b">
        <v>0</v>
      </c>
      <c r="BB1666" s="10"/>
      <c r="BC1666" s="17">
        <v>57960</v>
      </c>
      <c r="BD1666" s="17">
        <v>37564</v>
      </c>
      <c r="BE1666" s="17">
        <v>1037958</v>
      </c>
      <c r="BF1666" s="17">
        <v>107.65</v>
      </c>
      <c r="BG1666" s="11">
        <f ca="1">IFERROR(__xludf.DUMMYFUNCTION("""COMPUTED_VALUE"""),45925.9895833333)</f>
        <v>45925.989583333299</v>
      </c>
      <c r="BH1666" s="17" t="s">
        <v>105</v>
      </c>
      <c r="BI1666" s="17"/>
      <c r="BJ1666" s="15"/>
      <c r="BK1666" s="15"/>
      <c r="BL1666" s="13" t="b">
        <v>0</v>
      </c>
      <c r="BM1666" s="10"/>
      <c r="BN1666" s="10" t="s">
        <v>197</v>
      </c>
      <c r="BO1666" s="11">
        <v>45904.304861111108</v>
      </c>
      <c r="BP1666" s="11">
        <v>45916.54184027778</v>
      </c>
      <c r="BQ1666" s="15">
        <v>45923.491238425922</v>
      </c>
      <c r="BR1666" s="15">
        <v>45923.496759259258</v>
      </c>
      <c r="BS1666" s="10" t="s">
        <v>197</v>
      </c>
      <c r="BT1666" s="10" t="s">
        <v>99</v>
      </c>
      <c r="BU1666" s="10" t="s">
        <v>280</v>
      </c>
      <c r="BV1666" s="10" t="s">
        <v>124</v>
      </c>
      <c r="BW1666" s="10" t="s">
        <v>12599</v>
      </c>
      <c r="BX1666" s="10"/>
      <c r="BY1666" s="23"/>
      <c r="BZ1666" s="23"/>
      <c r="CA1666" s="19" t="s">
        <v>12600</v>
      </c>
      <c r="CB1666" s="19" t="s">
        <v>12601</v>
      </c>
      <c r="CC1666" s="23"/>
      <c r="CD1666" s="19" t="s">
        <v>12602</v>
      </c>
      <c r="CE1666" s="23"/>
      <c r="CF1666" s="23"/>
      <c r="CG1666" s="23"/>
      <c r="CH1666" s="23"/>
      <c r="CI1666" s="23"/>
    </row>
    <row r="1667" spans="1:87" x14ac:dyDescent="0.3">
      <c r="A1667" s="9" t="s">
        <v>12603</v>
      </c>
      <c r="B1667" s="10" t="s">
        <v>12604</v>
      </c>
      <c r="C1667" s="11">
        <v>45926.083333333336</v>
      </c>
      <c r="D1667" s="12">
        <v>8.3333333333333329E-2</v>
      </c>
      <c r="E1667" s="11">
        <v>45926.166666666664</v>
      </c>
      <c r="F1667" s="10" t="s">
        <v>7843</v>
      </c>
      <c r="G1667" s="13" t="b">
        <v>0</v>
      </c>
      <c r="H1667" s="10" t="s">
        <v>5239</v>
      </c>
      <c r="I1667" s="10" t="s">
        <v>89</v>
      </c>
      <c r="J1667" s="13" t="b">
        <v>0</v>
      </c>
      <c r="K1667" s="13" t="b">
        <v>1</v>
      </c>
      <c r="L1667" s="10" t="s">
        <v>124</v>
      </c>
      <c r="M1667" s="10" t="s">
        <v>91</v>
      </c>
      <c r="N1667" s="10" t="s">
        <v>92</v>
      </c>
      <c r="O1667" s="19" t="s">
        <v>12605</v>
      </c>
      <c r="P1667" s="10"/>
      <c r="Q1667" s="10" t="s">
        <v>94</v>
      </c>
      <c r="R1667" s="10"/>
      <c r="S1667" s="19" t="s">
        <v>12606</v>
      </c>
      <c r="T1667" s="19" t="s">
        <v>12503</v>
      </c>
      <c r="U1667" s="10" t="s">
        <v>3600</v>
      </c>
      <c r="V1667" s="10" t="s">
        <v>7837</v>
      </c>
      <c r="W1667" s="10" t="s">
        <v>7848</v>
      </c>
      <c r="X1667" s="10" t="s">
        <v>130</v>
      </c>
      <c r="Y1667" s="10" t="s">
        <v>130</v>
      </c>
      <c r="Z1667" s="10" t="s">
        <v>99</v>
      </c>
      <c r="AA1667" s="10" t="s">
        <v>131</v>
      </c>
      <c r="AB1667" s="10" t="s">
        <v>7849</v>
      </c>
      <c r="AC1667" s="10" t="s">
        <v>3571</v>
      </c>
      <c r="AD1667" s="10" t="s">
        <v>12607</v>
      </c>
      <c r="AE1667" s="10" t="s">
        <v>12608</v>
      </c>
      <c r="AF1667" s="15"/>
      <c r="AG1667" s="10"/>
      <c r="AH1667" s="10"/>
      <c r="AI1667" s="10"/>
      <c r="AJ1667" s="10"/>
      <c r="AK1667" s="10" t="s">
        <v>102</v>
      </c>
      <c r="AL1667" s="10" t="s">
        <v>7897</v>
      </c>
      <c r="AM1667" s="10"/>
      <c r="AN1667" s="10"/>
      <c r="AO1667" s="13" t="b">
        <v>0</v>
      </c>
      <c r="AP1667" s="10" t="s">
        <v>104</v>
      </c>
      <c r="AQ1667" s="10">
        <f ca="1">IFERROR(__xludf.DUMMYFUNCTION("""COMPUTED_VALUE"""),4596298)</f>
        <v>4596298</v>
      </c>
      <c r="AR1667" s="17">
        <v>1108</v>
      </c>
      <c r="AS1667" s="17">
        <v>769</v>
      </c>
      <c r="AT1667" s="17">
        <v>3734.75</v>
      </c>
      <c r="AU1667" s="17">
        <v>0.5</v>
      </c>
      <c r="AV1667" s="17">
        <v>0</v>
      </c>
      <c r="AW1667" s="10" t="s">
        <v>105</v>
      </c>
      <c r="AX1667" s="17">
        <v>132</v>
      </c>
      <c r="AY1667" s="18">
        <v>4.8566319895968793</v>
      </c>
      <c r="AZ1667" s="10" t="s">
        <v>117</v>
      </c>
      <c r="BA1667" s="20" t="b">
        <v>0</v>
      </c>
      <c r="BB1667" s="10"/>
      <c r="BC1667" s="17">
        <v>1108</v>
      </c>
      <c r="BD1667" s="17">
        <v>769</v>
      </c>
      <c r="BE1667" s="17">
        <v>3734.75</v>
      </c>
      <c r="BF1667" s="17">
        <v>0</v>
      </c>
      <c r="BG1667" s="11">
        <f ca="1">IFERROR(__xludf.DUMMYFUNCTION("""COMPUTED_VALUE"""),45926.0833333333)</f>
        <v>45926.083333333299</v>
      </c>
      <c r="BH1667" s="17" t="s">
        <v>105</v>
      </c>
      <c r="BI1667" s="17"/>
      <c r="BJ1667" s="15"/>
      <c r="BK1667" s="15"/>
      <c r="BL1667" s="13" t="b">
        <v>0</v>
      </c>
      <c r="BM1667" s="10"/>
      <c r="BN1667" s="10" t="s">
        <v>197</v>
      </c>
      <c r="BO1667" s="11">
        <v>45904.304861111108</v>
      </c>
      <c r="BP1667" s="11">
        <v>45916.538738425923</v>
      </c>
      <c r="BQ1667" s="15">
        <v>45924.700358796297</v>
      </c>
      <c r="BR1667" s="15">
        <v>45925.193506944444</v>
      </c>
      <c r="BS1667" s="10" t="s">
        <v>197</v>
      </c>
      <c r="BT1667" s="10" t="s">
        <v>99</v>
      </c>
      <c r="BU1667" s="10" t="s">
        <v>421</v>
      </c>
      <c r="BV1667" s="10"/>
      <c r="BW1667" s="10"/>
      <c r="BX1667" s="10"/>
      <c r="BY1667" s="23"/>
      <c r="BZ1667" s="23"/>
      <c r="CA1667" s="19" t="s">
        <v>12609</v>
      </c>
      <c r="CB1667" s="19" t="s">
        <v>12610</v>
      </c>
      <c r="CC1667" s="23"/>
      <c r="CD1667" s="23"/>
      <c r="CE1667" s="23"/>
      <c r="CF1667" s="23"/>
      <c r="CG1667" s="23"/>
      <c r="CH1667" s="23"/>
      <c r="CI1667" s="23"/>
    </row>
    <row r="1668" spans="1:87" x14ac:dyDescent="0.3">
      <c r="A1668" s="9" t="s">
        <v>12611</v>
      </c>
      <c r="B1668" s="10" t="s">
        <v>12612</v>
      </c>
      <c r="C1668" s="11">
        <v>45926.083333333336</v>
      </c>
      <c r="D1668" s="12">
        <v>8.3333333333333329E-2</v>
      </c>
      <c r="E1668" s="11">
        <v>45926.166666666664</v>
      </c>
      <c r="F1668" s="10" t="s">
        <v>7843</v>
      </c>
      <c r="G1668" s="13" t="b">
        <v>0</v>
      </c>
      <c r="H1668" s="10" t="s">
        <v>11460</v>
      </c>
      <c r="I1668" s="10" t="s">
        <v>89</v>
      </c>
      <c r="J1668" s="13" t="b">
        <v>0</v>
      </c>
      <c r="K1668" s="13" t="b">
        <v>1</v>
      </c>
      <c r="L1668" s="10" t="s">
        <v>124</v>
      </c>
      <c r="M1668" s="10" t="s">
        <v>91</v>
      </c>
      <c r="N1668" s="10" t="s">
        <v>92</v>
      </c>
      <c r="O1668" s="19" t="s">
        <v>12613</v>
      </c>
      <c r="P1668" s="10"/>
      <c r="Q1668" s="10" t="s">
        <v>126</v>
      </c>
      <c r="R1668" s="10"/>
      <c r="S1668" s="19" t="s">
        <v>12614</v>
      </c>
      <c r="T1668" s="19" t="s">
        <v>12503</v>
      </c>
      <c r="U1668" s="10" t="s">
        <v>7829</v>
      </c>
      <c r="V1668" s="10" t="s">
        <v>7870</v>
      </c>
      <c r="W1668" s="10" t="s">
        <v>7848</v>
      </c>
      <c r="X1668" s="10" t="s">
        <v>130</v>
      </c>
      <c r="Y1668" s="10" t="s">
        <v>130</v>
      </c>
      <c r="Z1668" s="10" t="s">
        <v>99</v>
      </c>
      <c r="AA1668" s="10" t="s">
        <v>131</v>
      </c>
      <c r="AB1668" s="10" t="s">
        <v>7849</v>
      </c>
      <c r="AC1668" s="10" t="s">
        <v>3571</v>
      </c>
      <c r="AD1668" s="10" t="s">
        <v>12615</v>
      </c>
      <c r="AE1668" s="10" t="s">
        <v>12616</v>
      </c>
      <c r="AF1668" s="15"/>
      <c r="AG1668" s="10"/>
      <c r="AH1668" s="10"/>
      <c r="AI1668" s="10"/>
      <c r="AJ1668" s="10"/>
      <c r="AK1668" s="10" t="s">
        <v>102</v>
      </c>
      <c r="AL1668" s="10" t="s">
        <v>7897</v>
      </c>
      <c r="AM1668" s="10"/>
      <c r="AN1668" s="10"/>
      <c r="AO1668" s="13" t="b">
        <v>0</v>
      </c>
      <c r="AP1668" s="10" t="s">
        <v>104</v>
      </c>
      <c r="AQ1668" s="10">
        <f ca="1">IFERROR(__xludf.DUMMYFUNCTION("""COMPUTED_VALUE"""),4596296)</f>
        <v>4596296</v>
      </c>
      <c r="AR1668" s="17">
        <v>12732</v>
      </c>
      <c r="AS1668" s="17">
        <v>10206</v>
      </c>
      <c r="AT1668" s="17">
        <v>214156.25</v>
      </c>
      <c r="AU1668" s="17">
        <v>11.75</v>
      </c>
      <c r="AV1668" s="17">
        <v>2.9</v>
      </c>
      <c r="AW1668" s="10" t="s">
        <v>105</v>
      </c>
      <c r="AX1668" s="17">
        <v>4352</v>
      </c>
      <c r="AY1668" s="18">
        <v>20.983367626886146</v>
      </c>
      <c r="AZ1668" s="10" t="s">
        <v>117</v>
      </c>
      <c r="BA1668" s="20" t="b">
        <v>0</v>
      </c>
      <c r="BB1668" s="10"/>
      <c r="BC1668" s="17">
        <v>12732</v>
      </c>
      <c r="BD1668" s="17">
        <v>10206</v>
      </c>
      <c r="BE1668" s="17">
        <v>214156.25</v>
      </c>
      <c r="BF1668" s="17">
        <v>2.9</v>
      </c>
      <c r="BG1668" s="11">
        <f ca="1">IFERROR(__xludf.DUMMYFUNCTION("""COMPUTED_VALUE"""),45926.0833333333)</f>
        <v>45926.083333333299</v>
      </c>
      <c r="BH1668" s="17" t="s">
        <v>105</v>
      </c>
      <c r="BI1668" s="17"/>
      <c r="BJ1668" s="15"/>
      <c r="BK1668" s="15"/>
      <c r="BL1668" s="13" t="b">
        <v>0</v>
      </c>
      <c r="BM1668" s="10"/>
      <c r="BN1668" s="10" t="s">
        <v>197</v>
      </c>
      <c r="BO1668" s="11">
        <v>45904.304861111108</v>
      </c>
      <c r="BP1668" s="11">
        <v>45916.545567129629</v>
      </c>
      <c r="BQ1668" s="15">
        <v>45924.700775462959</v>
      </c>
      <c r="BR1668" s="15">
        <v>45925.180150462962</v>
      </c>
      <c r="BS1668" s="10" t="s">
        <v>197</v>
      </c>
      <c r="BT1668" s="10" t="s">
        <v>99</v>
      </c>
      <c r="BU1668" s="10" t="s">
        <v>12617</v>
      </c>
      <c r="BV1668" s="10"/>
      <c r="BW1668" s="10"/>
      <c r="BX1668" s="10"/>
      <c r="BY1668" s="23"/>
      <c r="BZ1668" s="23"/>
      <c r="CA1668" s="19" t="s">
        <v>12618</v>
      </c>
      <c r="CB1668" s="19" t="s">
        <v>12619</v>
      </c>
      <c r="CC1668" s="23"/>
      <c r="CD1668" s="19" t="s">
        <v>12620</v>
      </c>
      <c r="CE1668" s="23"/>
      <c r="CF1668" s="23"/>
      <c r="CG1668" s="23"/>
      <c r="CH1668" s="23"/>
      <c r="CI1668" s="23"/>
    </row>
    <row r="1669" spans="1:87" x14ac:dyDescent="0.3">
      <c r="A1669" s="9" t="s">
        <v>12621</v>
      </c>
      <c r="B1669" s="10" t="s">
        <v>12622</v>
      </c>
      <c r="C1669" s="11">
        <v>45926.083333333336</v>
      </c>
      <c r="D1669" s="12">
        <v>8.3333333333333329E-2</v>
      </c>
      <c r="E1669" s="11">
        <v>45926.166666666664</v>
      </c>
      <c r="F1669" s="10" t="s">
        <v>7843</v>
      </c>
      <c r="G1669" s="13" t="b">
        <v>0</v>
      </c>
      <c r="H1669" s="10" t="s">
        <v>6271</v>
      </c>
      <c r="I1669" s="10" t="s">
        <v>89</v>
      </c>
      <c r="J1669" s="13" t="b">
        <v>0</v>
      </c>
      <c r="K1669" s="13" t="b">
        <v>1</v>
      </c>
      <c r="L1669" s="10" t="s">
        <v>124</v>
      </c>
      <c r="M1669" s="10" t="s">
        <v>91</v>
      </c>
      <c r="N1669" s="10" t="s">
        <v>92</v>
      </c>
      <c r="O1669" s="19" t="s">
        <v>12623</v>
      </c>
      <c r="P1669" s="10"/>
      <c r="Q1669" s="10" t="s">
        <v>94</v>
      </c>
      <c r="R1669" s="10"/>
      <c r="S1669" s="19" t="s">
        <v>12624</v>
      </c>
      <c r="T1669" s="19" t="s">
        <v>12503</v>
      </c>
      <c r="U1669" s="10" t="s">
        <v>12625</v>
      </c>
      <c r="V1669" s="10" t="s">
        <v>5066</v>
      </c>
      <c r="W1669" s="10" t="s">
        <v>7848</v>
      </c>
      <c r="X1669" s="10" t="s">
        <v>130</v>
      </c>
      <c r="Y1669" s="10" t="s">
        <v>130</v>
      </c>
      <c r="Z1669" s="10" t="s">
        <v>99</v>
      </c>
      <c r="AA1669" s="10" t="s">
        <v>131</v>
      </c>
      <c r="AB1669" s="10" t="s">
        <v>7849</v>
      </c>
      <c r="AC1669" s="10" t="s">
        <v>3571</v>
      </c>
      <c r="AD1669" s="10" t="s">
        <v>12626</v>
      </c>
      <c r="AE1669" s="10" t="s">
        <v>12627</v>
      </c>
      <c r="AF1669" s="15"/>
      <c r="AG1669" s="10"/>
      <c r="AH1669" s="10"/>
      <c r="AI1669" s="10"/>
      <c r="AJ1669" s="10"/>
      <c r="AK1669" s="10" t="s">
        <v>102</v>
      </c>
      <c r="AL1669" s="10" t="s">
        <v>7897</v>
      </c>
      <c r="AM1669" s="10"/>
      <c r="AN1669" s="10"/>
      <c r="AO1669" s="13" t="b">
        <v>0</v>
      </c>
      <c r="AP1669" s="10" t="s">
        <v>104</v>
      </c>
      <c r="AQ1669" s="10">
        <f ca="1">IFERROR(__xludf.DUMMYFUNCTION("""COMPUTED_VALUE"""),4595218)</f>
        <v>4595218</v>
      </c>
      <c r="AR1669" s="17">
        <v>2433</v>
      </c>
      <c r="AS1669" s="17">
        <v>1613</v>
      </c>
      <c r="AT1669" s="17">
        <v>18343</v>
      </c>
      <c r="AU1669" s="17">
        <v>1.65</v>
      </c>
      <c r="AV1669" s="17">
        <v>0.65</v>
      </c>
      <c r="AW1669" s="10" t="s">
        <v>105</v>
      </c>
      <c r="AX1669" s="17">
        <v>361</v>
      </c>
      <c r="AY1669" s="18">
        <v>11.37197768133912</v>
      </c>
      <c r="AZ1669" s="10" t="s">
        <v>117</v>
      </c>
      <c r="BA1669" s="20" t="b">
        <v>0</v>
      </c>
      <c r="BB1669" s="10"/>
      <c r="BC1669" s="17">
        <v>2433</v>
      </c>
      <c r="BD1669" s="17">
        <v>1613</v>
      </c>
      <c r="BE1669" s="17">
        <v>18343</v>
      </c>
      <c r="BF1669" s="17">
        <v>0.65</v>
      </c>
      <c r="BG1669" s="11">
        <f ca="1">IFERROR(__xludf.DUMMYFUNCTION("""COMPUTED_VALUE"""),45926.0833333333)</f>
        <v>45926.083333333299</v>
      </c>
      <c r="BH1669" s="17" t="s">
        <v>105</v>
      </c>
      <c r="BI1669" s="17"/>
      <c r="BJ1669" s="15"/>
      <c r="BK1669" s="15"/>
      <c r="BL1669" s="13" t="b">
        <v>0</v>
      </c>
      <c r="BM1669" s="10"/>
      <c r="BN1669" s="10" t="s">
        <v>197</v>
      </c>
      <c r="BO1669" s="11">
        <v>45904.304861111108</v>
      </c>
      <c r="BP1669" s="11">
        <v>45916.546956018516</v>
      </c>
      <c r="BQ1669" s="15">
        <v>45924.70103009259</v>
      </c>
      <c r="BR1669" s="15">
        <v>45924.923078703701</v>
      </c>
      <c r="BS1669" s="10" t="s">
        <v>197</v>
      </c>
      <c r="BT1669" s="10" t="s">
        <v>99</v>
      </c>
      <c r="BU1669" s="10" t="s">
        <v>456</v>
      </c>
      <c r="BV1669" s="10"/>
      <c r="BW1669" s="10"/>
      <c r="BX1669" s="10"/>
      <c r="BY1669" s="23"/>
      <c r="BZ1669" s="23"/>
      <c r="CA1669" s="19" t="s">
        <v>12628</v>
      </c>
      <c r="CB1669" s="19" t="s">
        <v>12629</v>
      </c>
      <c r="CC1669" s="23"/>
      <c r="CD1669" s="23"/>
      <c r="CE1669" s="23"/>
      <c r="CF1669" s="23"/>
      <c r="CG1669" s="23"/>
      <c r="CH1669" s="23"/>
      <c r="CI1669" s="23"/>
    </row>
    <row r="1670" spans="1:87" x14ac:dyDescent="0.3">
      <c r="A1670" s="9" t="s">
        <v>12630</v>
      </c>
      <c r="B1670" s="10" t="s">
        <v>12631</v>
      </c>
      <c r="C1670" s="11">
        <v>45926.083333333336</v>
      </c>
      <c r="D1670" s="12">
        <v>8.3333333333333329E-2</v>
      </c>
      <c r="E1670" s="11">
        <v>45926.166666666664</v>
      </c>
      <c r="F1670" s="10" t="s">
        <v>7843</v>
      </c>
      <c r="G1670" s="13" t="b">
        <v>0</v>
      </c>
      <c r="H1670" s="10" t="s">
        <v>5239</v>
      </c>
      <c r="I1670" s="10" t="s">
        <v>89</v>
      </c>
      <c r="J1670" s="13" t="b">
        <v>0</v>
      </c>
      <c r="K1670" s="13" t="b">
        <v>1</v>
      </c>
      <c r="L1670" s="10" t="s">
        <v>124</v>
      </c>
      <c r="M1670" s="10" t="s">
        <v>91</v>
      </c>
      <c r="N1670" s="10" t="s">
        <v>92</v>
      </c>
      <c r="O1670" s="19" t="s">
        <v>12632</v>
      </c>
      <c r="P1670" s="10"/>
      <c r="Q1670" s="10" t="s">
        <v>126</v>
      </c>
      <c r="R1670" s="10"/>
      <c r="S1670" s="19" t="s">
        <v>12633</v>
      </c>
      <c r="T1670" s="19" t="s">
        <v>12503</v>
      </c>
      <c r="U1670" s="10" t="s">
        <v>8476</v>
      </c>
      <c r="V1670" s="10" t="s">
        <v>12634</v>
      </c>
      <c r="W1670" s="10" t="s">
        <v>7848</v>
      </c>
      <c r="X1670" s="10" t="s">
        <v>130</v>
      </c>
      <c r="Y1670" s="10" t="s">
        <v>130</v>
      </c>
      <c r="Z1670" s="10" t="s">
        <v>99</v>
      </c>
      <c r="AA1670" s="10" t="s">
        <v>131</v>
      </c>
      <c r="AB1670" s="10" t="s">
        <v>7849</v>
      </c>
      <c r="AC1670" s="10" t="s">
        <v>3571</v>
      </c>
      <c r="AD1670" s="10" t="s">
        <v>12635</v>
      </c>
      <c r="AE1670" s="10" t="s">
        <v>12636</v>
      </c>
      <c r="AF1670" s="15"/>
      <c r="AG1670" s="10"/>
      <c r="AH1670" s="10"/>
      <c r="AI1670" s="10"/>
      <c r="AJ1670" s="10"/>
      <c r="AK1670" s="10" t="s">
        <v>102</v>
      </c>
      <c r="AL1670" s="10" t="s">
        <v>7897</v>
      </c>
      <c r="AM1670" s="10"/>
      <c r="AN1670" s="10"/>
      <c r="AO1670" s="13" t="b">
        <v>1</v>
      </c>
      <c r="AP1670" s="10" t="s">
        <v>104</v>
      </c>
      <c r="AQ1670" s="10">
        <f ca="1">IFERROR(__xludf.DUMMYFUNCTION("""COMPUTED_VALUE"""),4596302)</f>
        <v>4596302</v>
      </c>
      <c r="AR1670" s="17">
        <v>13701</v>
      </c>
      <c r="AS1670" s="17">
        <v>9793</v>
      </c>
      <c r="AT1670" s="17">
        <v>160387.25</v>
      </c>
      <c r="AU1670" s="17">
        <v>23.95</v>
      </c>
      <c r="AV1670" s="17">
        <v>5.55</v>
      </c>
      <c r="AW1670" s="10" t="s">
        <v>105</v>
      </c>
      <c r="AX1670" s="17">
        <v>2332</v>
      </c>
      <c r="AY1670" s="18">
        <v>16.377744307158174</v>
      </c>
      <c r="AZ1670" s="10" t="s">
        <v>117</v>
      </c>
      <c r="BA1670" s="20" t="b">
        <v>0</v>
      </c>
      <c r="BB1670" s="10"/>
      <c r="BC1670" s="17">
        <v>13701</v>
      </c>
      <c r="BD1670" s="17">
        <v>9793</v>
      </c>
      <c r="BE1670" s="17">
        <v>160387.25</v>
      </c>
      <c r="BF1670" s="17">
        <v>5.55</v>
      </c>
      <c r="BG1670" s="11">
        <f ca="1">IFERROR(__xludf.DUMMYFUNCTION("""COMPUTED_VALUE"""),45926.0833333333)</f>
        <v>45926.083333333299</v>
      </c>
      <c r="BH1670" s="17" t="s">
        <v>105</v>
      </c>
      <c r="BI1670" s="17"/>
      <c r="BJ1670" s="15"/>
      <c r="BK1670" s="15"/>
      <c r="BL1670" s="13" t="b">
        <v>0</v>
      </c>
      <c r="BM1670" s="10"/>
      <c r="BN1670" s="10" t="s">
        <v>197</v>
      </c>
      <c r="BO1670" s="11">
        <v>45904.304861111108</v>
      </c>
      <c r="BP1670" s="11">
        <v>45916.538645833331</v>
      </c>
      <c r="BQ1670" s="15">
        <v>45924.700902777775</v>
      </c>
      <c r="BR1670" s="15">
        <v>45925.193807870368</v>
      </c>
      <c r="BS1670" s="10" t="s">
        <v>197</v>
      </c>
      <c r="BT1670" s="10" t="s">
        <v>99</v>
      </c>
      <c r="BU1670" s="10" t="s">
        <v>816</v>
      </c>
      <c r="BV1670" s="10" t="s">
        <v>124</v>
      </c>
      <c r="BW1670" s="10" t="s">
        <v>12599</v>
      </c>
      <c r="BX1670" s="10"/>
      <c r="BY1670" s="23"/>
      <c r="BZ1670" s="23"/>
      <c r="CA1670" s="19" t="s">
        <v>12637</v>
      </c>
      <c r="CB1670" s="19" t="s">
        <v>12638</v>
      </c>
      <c r="CC1670" s="23"/>
      <c r="CD1670" s="19" t="s">
        <v>12639</v>
      </c>
      <c r="CE1670" s="23"/>
      <c r="CF1670" s="23"/>
      <c r="CG1670" s="23"/>
      <c r="CH1670" s="23"/>
      <c r="CI1670" s="23"/>
    </row>
    <row r="1671" spans="1:87" x14ac:dyDescent="0.3">
      <c r="A1671" s="9" t="s">
        <v>12640</v>
      </c>
      <c r="B1671" s="10" t="s">
        <v>12641</v>
      </c>
      <c r="C1671" s="11">
        <v>45926.083333333336</v>
      </c>
      <c r="D1671" s="12">
        <v>8.3333333333333329E-2</v>
      </c>
      <c r="E1671" s="11">
        <v>45926.166666666664</v>
      </c>
      <c r="F1671" s="10" t="s">
        <v>7843</v>
      </c>
      <c r="G1671" s="13" t="b">
        <v>0</v>
      </c>
      <c r="H1671" s="10" t="s">
        <v>5239</v>
      </c>
      <c r="I1671" s="10" t="s">
        <v>89</v>
      </c>
      <c r="J1671" s="13" t="b">
        <v>0</v>
      </c>
      <c r="K1671" s="13" t="b">
        <v>1</v>
      </c>
      <c r="L1671" s="10" t="s">
        <v>124</v>
      </c>
      <c r="M1671" s="10" t="s">
        <v>91</v>
      </c>
      <c r="N1671" s="10" t="s">
        <v>92</v>
      </c>
      <c r="O1671" s="19" t="s">
        <v>12642</v>
      </c>
      <c r="P1671" s="10"/>
      <c r="Q1671" s="10" t="s">
        <v>94</v>
      </c>
      <c r="R1671" s="10"/>
      <c r="S1671" s="19" t="s">
        <v>12643</v>
      </c>
      <c r="T1671" s="19" t="s">
        <v>12503</v>
      </c>
      <c r="U1671" s="10" t="s">
        <v>3567</v>
      </c>
      <c r="V1671" s="10" t="s">
        <v>12644</v>
      </c>
      <c r="W1671" s="10" t="s">
        <v>7848</v>
      </c>
      <c r="X1671" s="10" t="s">
        <v>130</v>
      </c>
      <c r="Y1671" s="10" t="s">
        <v>130</v>
      </c>
      <c r="Z1671" s="10" t="s">
        <v>99</v>
      </c>
      <c r="AA1671" s="10" t="s">
        <v>131</v>
      </c>
      <c r="AB1671" s="10" t="s">
        <v>7849</v>
      </c>
      <c r="AC1671" s="10" t="s">
        <v>3571</v>
      </c>
      <c r="AD1671" s="10" t="s">
        <v>12645</v>
      </c>
      <c r="AE1671" s="10" t="s">
        <v>12646</v>
      </c>
      <c r="AF1671" s="15"/>
      <c r="AG1671" s="10"/>
      <c r="AH1671" s="10"/>
      <c r="AI1671" s="10"/>
      <c r="AJ1671" s="10"/>
      <c r="AK1671" s="10" t="s">
        <v>102</v>
      </c>
      <c r="AL1671" s="10" t="s">
        <v>7897</v>
      </c>
      <c r="AM1671" s="10"/>
      <c r="AN1671" s="10"/>
      <c r="AO1671" s="13" t="b">
        <v>0</v>
      </c>
      <c r="AP1671" s="10" t="s">
        <v>104</v>
      </c>
      <c r="AQ1671" s="10">
        <f ca="1">IFERROR(__xludf.DUMMYFUNCTION("""COMPUTED_VALUE"""),4596300)</f>
        <v>4596300</v>
      </c>
      <c r="AR1671" s="17">
        <v>2216</v>
      </c>
      <c r="AS1671" s="17">
        <v>1464</v>
      </c>
      <c r="AT1671" s="17">
        <v>9790.5</v>
      </c>
      <c r="AU1671" s="17">
        <v>1.7</v>
      </c>
      <c r="AV1671" s="17">
        <v>0.5</v>
      </c>
      <c r="AW1671" s="10" t="s">
        <v>105</v>
      </c>
      <c r="AX1671" s="17">
        <v>272</v>
      </c>
      <c r="AY1671" s="18">
        <v>6.6875</v>
      </c>
      <c r="AZ1671" s="10" t="s">
        <v>117</v>
      </c>
      <c r="BA1671" s="20" t="b">
        <v>0</v>
      </c>
      <c r="BB1671" s="10"/>
      <c r="BC1671" s="17">
        <v>2216</v>
      </c>
      <c r="BD1671" s="17">
        <v>1464</v>
      </c>
      <c r="BE1671" s="17">
        <v>9790.5</v>
      </c>
      <c r="BF1671" s="17">
        <v>0.5</v>
      </c>
      <c r="BG1671" s="11">
        <f ca="1">IFERROR(__xludf.DUMMYFUNCTION("""COMPUTED_VALUE"""),45926.0833333333)</f>
        <v>45926.083333333299</v>
      </c>
      <c r="BH1671" s="17" t="s">
        <v>105</v>
      </c>
      <c r="BI1671" s="17"/>
      <c r="BJ1671" s="15"/>
      <c r="BK1671" s="15"/>
      <c r="BL1671" s="13" t="b">
        <v>0</v>
      </c>
      <c r="BM1671" s="10"/>
      <c r="BN1671" s="10" t="s">
        <v>197</v>
      </c>
      <c r="BO1671" s="11">
        <v>45904.304861111108</v>
      </c>
      <c r="BP1671" s="11">
        <v>45916.538831018515</v>
      </c>
      <c r="BQ1671" s="15">
        <v>45924.700578703705</v>
      </c>
      <c r="BR1671" s="15">
        <v>45925.193969907406</v>
      </c>
      <c r="BS1671" s="10" t="s">
        <v>197</v>
      </c>
      <c r="BT1671" s="10" t="s">
        <v>99</v>
      </c>
      <c r="BU1671" s="10" t="s">
        <v>655</v>
      </c>
      <c r="BV1671" s="10"/>
      <c r="BW1671" s="10"/>
      <c r="BX1671" s="10"/>
      <c r="BY1671" s="23"/>
      <c r="BZ1671" s="23"/>
      <c r="CA1671" s="19" t="s">
        <v>12647</v>
      </c>
      <c r="CB1671" s="19" t="s">
        <v>12648</v>
      </c>
      <c r="CC1671" s="23"/>
      <c r="CD1671" s="23"/>
      <c r="CE1671" s="23"/>
      <c r="CF1671" s="23"/>
      <c r="CG1671" s="23"/>
      <c r="CH1671" s="23"/>
      <c r="CI1671" s="23"/>
    </row>
    <row r="1672" spans="1:87" x14ac:dyDescent="0.3">
      <c r="A1672" s="9" t="s">
        <v>12649</v>
      </c>
      <c r="B1672" s="10" t="s">
        <v>12650</v>
      </c>
      <c r="C1672" s="11">
        <v>45926.083333333336</v>
      </c>
      <c r="D1672" s="12">
        <v>8.3333333333333329E-2</v>
      </c>
      <c r="E1672" s="11">
        <v>45926.166666666664</v>
      </c>
      <c r="F1672" s="10" t="s">
        <v>7843</v>
      </c>
      <c r="G1672" s="13" t="b">
        <v>0</v>
      </c>
      <c r="H1672" s="10" t="s">
        <v>3578</v>
      </c>
      <c r="I1672" s="10" t="s">
        <v>89</v>
      </c>
      <c r="J1672" s="13" t="b">
        <v>0</v>
      </c>
      <c r="K1672" s="13" t="b">
        <v>1</v>
      </c>
      <c r="L1672" s="10" t="s">
        <v>124</v>
      </c>
      <c r="M1672" s="10" t="s">
        <v>91</v>
      </c>
      <c r="N1672" s="10" t="s">
        <v>92</v>
      </c>
      <c r="O1672" s="19" t="s">
        <v>12651</v>
      </c>
      <c r="P1672" s="10"/>
      <c r="Q1672" s="10" t="s">
        <v>126</v>
      </c>
      <c r="R1672" s="10"/>
      <c r="S1672" s="19" t="s">
        <v>12652</v>
      </c>
      <c r="T1672" s="19" t="s">
        <v>12503</v>
      </c>
      <c r="U1672" s="10" t="s">
        <v>292</v>
      </c>
      <c r="V1672" s="10" t="s">
        <v>3230</v>
      </c>
      <c r="W1672" s="10" t="s">
        <v>7848</v>
      </c>
      <c r="X1672" s="10" t="s">
        <v>130</v>
      </c>
      <c r="Y1672" s="10" t="s">
        <v>130</v>
      </c>
      <c r="Z1672" s="10" t="s">
        <v>99</v>
      </c>
      <c r="AA1672" s="10" t="s">
        <v>131</v>
      </c>
      <c r="AB1672" s="10" t="s">
        <v>7849</v>
      </c>
      <c r="AC1672" s="10" t="s">
        <v>3571</v>
      </c>
      <c r="AD1672" s="10" t="s">
        <v>12653</v>
      </c>
      <c r="AE1672" s="10" t="s">
        <v>12654</v>
      </c>
      <c r="AF1672" s="15"/>
      <c r="AG1672" s="10"/>
      <c r="AH1672" s="10"/>
      <c r="AI1672" s="10"/>
      <c r="AJ1672" s="10"/>
      <c r="AK1672" s="10" t="s">
        <v>102</v>
      </c>
      <c r="AL1672" s="10" t="s">
        <v>7897</v>
      </c>
      <c r="AM1672" s="10"/>
      <c r="AN1672" s="10"/>
      <c r="AO1672" s="13" t="b">
        <v>0</v>
      </c>
      <c r="AP1672" s="10" t="s">
        <v>104</v>
      </c>
      <c r="AQ1672" s="10">
        <f ca="1">IFERROR(__xludf.DUMMYFUNCTION("""COMPUTED_VALUE"""),4595190)</f>
        <v>4595190</v>
      </c>
      <c r="AR1672" s="17">
        <v>10718</v>
      </c>
      <c r="AS1672" s="17">
        <v>7581</v>
      </c>
      <c r="AT1672" s="17">
        <v>191112</v>
      </c>
      <c r="AU1672" s="17">
        <v>17.8</v>
      </c>
      <c r="AV1672" s="17">
        <v>3</v>
      </c>
      <c r="AW1672" s="10" t="s">
        <v>105</v>
      </c>
      <c r="AX1672" s="17">
        <v>4784</v>
      </c>
      <c r="AY1672" s="18">
        <v>25.209339137316977</v>
      </c>
      <c r="AZ1672" s="10" t="s">
        <v>117</v>
      </c>
      <c r="BA1672" s="20" t="b">
        <v>0</v>
      </c>
      <c r="BB1672" s="10"/>
      <c r="BC1672" s="17">
        <v>10718</v>
      </c>
      <c r="BD1672" s="17">
        <v>7581</v>
      </c>
      <c r="BE1672" s="17">
        <v>191112</v>
      </c>
      <c r="BF1672" s="17">
        <v>3</v>
      </c>
      <c r="BG1672" s="11">
        <f ca="1">IFERROR(__xludf.DUMMYFUNCTION("""COMPUTED_VALUE"""),45926.0833333333)</f>
        <v>45926.083333333299</v>
      </c>
      <c r="BH1672" s="17" t="s">
        <v>105</v>
      </c>
      <c r="BI1672" s="17"/>
      <c r="BJ1672" s="15"/>
      <c r="BK1672" s="15"/>
      <c r="BL1672" s="13" t="b">
        <v>0</v>
      </c>
      <c r="BM1672" s="10"/>
      <c r="BN1672" s="10" t="s">
        <v>197</v>
      </c>
      <c r="BO1672" s="11">
        <v>45904.304861111108</v>
      </c>
      <c r="BP1672" s="11">
        <v>45916.541944444441</v>
      </c>
      <c r="BQ1672" s="15">
        <v>45924.700162037036</v>
      </c>
      <c r="BR1672" s="15">
        <v>45924.922858796293</v>
      </c>
      <c r="BS1672" s="10" t="s">
        <v>197</v>
      </c>
      <c r="BT1672" s="10" t="s">
        <v>99</v>
      </c>
      <c r="BU1672" s="10" t="s">
        <v>521</v>
      </c>
      <c r="BV1672" s="10"/>
      <c r="BW1672" s="10"/>
      <c r="BX1672" s="10"/>
      <c r="BY1672" s="23"/>
      <c r="BZ1672" s="23"/>
      <c r="CA1672" s="19" t="s">
        <v>12655</v>
      </c>
      <c r="CB1672" s="19" t="s">
        <v>12656</v>
      </c>
      <c r="CC1672" s="23"/>
      <c r="CD1672" s="19" t="s">
        <v>12657</v>
      </c>
      <c r="CE1672" s="23"/>
      <c r="CF1672" s="23"/>
      <c r="CG1672" s="23"/>
      <c r="CH1672" s="23"/>
      <c r="CI1672" s="23"/>
    </row>
    <row r="1673" spans="1:87" x14ac:dyDescent="0.3">
      <c r="A1673" s="9" t="s">
        <v>12658</v>
      </c>
      <c r="B1673" s="10" t="s">
        <v>12659</v>
      </c>
      <c r="C1673" s="11">
        <v>45926.083333333336</v>
      </c>
      <c r="D1673" s="12">
        <v>8.3333333333333329E-2</v>
      </c>
      <c r="E1673" s="11">
        <v>45926.166666666664</v>
      </c>
      <c r="F1673" s="10" t="s">
        <v>7843</v>
      </c>
      <c r="G1673" s="13" t="b">
        <v>0</v>
      </c>
      <c r="H1673" s="10" t="s">
        <v>5239</v>
      </c>
      <c r="I1673" s="10" t="s">
        <v>89</v>
      </c>
      <c r="J1673" s="13" t="b">
        <v>0</v>
      </c>
      <c r="K1673" s="13" t="b">
        <v>1</v>
      </c>
      <c r="L1673" s="10" t="s">
        <v>124</v>
      </c>
      <c r="M1673" s="10" t="s">
        <v>91</v>
      </c>
      <c r="N1673" s="10" t="s">
        <v>92</v>
      </c>
      <c r="O1673" s="19" t="s">
        <v>12660</v>
      </c>
      <c r="P1673" s="10"/>
      <c r="Q1673" s="10" t="s">
        <v>94</v>
      </c>
      <c r="R1673" s="10"/>
      <c r="S1673" s="19" t="s">
        <v>12661</v>
      </c>
      <c r="T1673" s="19" t="s">
        <v>12503</v>
      </c>
      <c r="U1673" s="10" t="s">
        <v>12662</v>
      </c>
      <c r="V1673" s="10" t="s">
        <v>12663</v>
      </c>
      <c r="W1673" s="10" t="s">
        <v>7848</v>
      </c>
      <c r="X1673" s="10" t="s">
        <v>130</v>
      </c>
      <c r="Y1673" s="10" t="s">
        <v>130</v>
      </c>
      <c r="Z1673" s="10" t="s">
        <v>99</v>
      </c>
      <c r="AA1673" s="10" t="s">
        <v>131</v>
      </c>
      <c r="AB1673" s="10" t="s">
        <v>7849</v>
      </c>
      <c r="AC1673" s="10" t="s">
        <v>3571</v>
      </c>
      <c r="AD1673" s="10" t="s">
        <v>12664</v>
      </c>
      <c r="AE1673" s="10" t="s">
        <v>12665</v>
      </c>
      <c r="AF1673" s="15"/>
      <c r="AG1673" s="10"/>
      <c r="AH1673" s="10"/>
      <c r="AI1673" s="10"/>
      <c r="AJ1673" s="10"/>
      <c r="AK1673" s="10" t="s">
        <v>102</v>
      </c>
      <c r="AL1673" s="10" t="s">
        <v>7897</v>
      </c>
      <c r="AM1673" s="10"/>
      <c r="AN1673" s="10"/>
      <c r="AO1673" s="13" t="b">
        <v>0</v>
      </c>
      <c r="AP1673" s="10" t="s">
        <v>104</v>
      </c>
      <c r="AQ1673" s="10">
        <f ca="1">IFERROR(__xludf.DUMMYFUNCTION("""COMPUTED_VALUE"""),4596304)</f>
        <v>4596304</v>
      </c>
      <c r="AR1673" s="17">
        <v>1785</v>
      </c>
      <c r="AS1673" s="17">
        <v>1217</v>
      </c>
      <c r="AT1673" s="17">
        <v>9440</v>
      </c>
      <c r="AU1673" s="17">
        <v>0.6</v>
      </c>
      <c r="AV1673" s="17">
        <v>0.1</v>
      </c>
      <c r="AW1673" s="10" t="s">
        <v>105</v>
      </c>
      <c r="AX1673" s="17">
        <v>222</v>
      </c>
      <c r="AY1673" s="18">
        <v>7.7567789646672143</v>
      </c>
      <c r="AZ1673" s="10" t="s">
        <v>117</v>
      </c>
      <c r="BA1673" s="20" t="b">
        <v>0</v>
      </c>
      <c r="BB1673" s="10"/>
      <c r="BC1673" s="17">
        <v>1785</v>
      </c>
      <c r="BD1673" s="17">
        <v>1217</v>
      </c>
      <c r="BE1673" s="17">
        <v>9440</v>
      </c>
      <c r="BF1673" s="17">
        <v>0.1</v>
      </c>
      <c r="BG1673" s="11">
        <f ca="1">IFERROR(__xludf.DUMMYFUNCTION("""COMPUTED_VALUE"""),45926.0833333333)</f>
        <v>45926.083333333299</v>
      </c>
      <c r="BH1673" s="17" t="s">
        <v>105</v>
      </c>
      <c r="BI1673" s="17"/>
      <c r="BJ1673" s="15"/>
      <c r="BK1673" s="15"/>
      <c r="BL1673" s="13" t="b">
        <v>0</v>
      </c>
      <c r="BM1673" s="10"/>
      <c r="BN1673" s="10" t="s">
        <v>197</v>
      </c>
      <c r="BO1673" s="11">
        <v>45904.304861111108</v>
      </c>
      <c r="BP1673" s="11">
        <v>45916.538460648146</v>
      </c>
      <c r="BQ1673" s="15">
        <v>45924.701180555552</v>
      </c>
      <c r="BR1673" s="15">
        <v>45925.194386574076</v>
      </c>
      <c r="BS1673" s="10" t="s">
        <v>197</v>
      </c>
      <c r="BT1673" s="10" t="s">
        <v>99</v>
      </c>
      <c r="BU1673" s="10" t="s">
        <v>498</v>
      </c>
      <c r="BV1673" s="10"/>
      <c r="BW1673" s="10"/>
      <c r="BX1673" s="10"/>
      <c r="BY1673" s="23"/>
      <c r="BZ1673" s="23"/>
      <c r="CA1673" s="19" t="s">
        <v>12666</v>
      </c>
      <c r="CB1673" s="19" t="s">
        <v>12667</v>
      </c>
      <c r="CC1673" s="23"/>
      <c r="CD1673" s="23"/>
      <c r="CE1673" s="23"/>
      <c r="CF1673" s="23"/>
      <c r="CG1673" s="23"/>
      <c r="CH1673" s="23"/>
      <c r="CI1673" s="23"/>
    </row>
    <row r="1674" spans="1:87" x14ac:dyDescent="0.3">
      <c r="A1674" s="9" t="s">
        <v>12668</v>
      </c>
      <c r="B1674" s="10" t="s">
        <v>12669</v>
      </c>
      <c r="C1674" s="11">
        <v>45932.989583333336</v>
      </c>
      <c r="D1674" s="12">
        <v>8.3333333333333329E-2</v>
      </c>
      <c r="E1674" s="11">
        <v>45933.072916666664</v>
      </c>
      <c r="F1674" s="10" t="s">
        <v>7843</v>
      </c>
      <c r="G1674" s="13" t="b">
        <v>0</v>
      </c>
      <c r="H1674" s="10" t="s">
        <v>5239</v>
      </c>
      <c r="I1674" s="10" t="s">
        <v>89</v>
      </c>
      <c r="J1674" s="13" t="b">
        <v>0</v>
      </c>
      <c r="K1674" s="13" t="b">
        <v>1</v>
      </c>
      <c r="L1674" s="10" t="s">
        <v>124</v>
      </c>
      <c r="M1674" s="10" t="s">
        <v>91</v>
      </c>
      <c r="N1674" s="10" t="s">
        <v>92</v>
      </c>
      <c r="O1674" s="19" t="s">
        <v>12670</v>
      </c>
      <c r="P1674" s="10"/>
      <c r="Q1674" s="10" t="s">
        <v>126</v>
      </c>
      <c r="R1674" s="10"/>
      <c r="S1674" s="19" t="s">
        <v>12671</v>
      </c>
      <c r="T1674" s="10"/>
      <c r="U1674" s="10" t="s">
        <v>12663</v>
      </c>
      <c r="V1674" s="10" t="s">
        <v>4993</v>
      </c>
      <c r="W1674" s="10" t="s">
        <v>7848</v>
      </c>
      <c r="X1674" s="10" t="s">
        <v>130</v>
      </c>
      <c r="Y1674" s="10" t="s">
        <v>130</v>
      </c>
      <c r="Z1674" s="10" t="s">
        <v>99</v>
      </c>
      <c r="AA1674" s="10" t="s">
        <v>131</v>
      </c>
      <c r="AB1674" s="10" t="s">
        <v>7849</v>
      </c>
      <c r="AC1674" s="10" t="s">
        <v>3571</v>
      </c>
      <c r="AD1674" s="10" t="s">
        <v>12672</v>
      </c>
      <c r="AE1674" s="10" t="s">
        <v>12673</v>
      </c>
      <c r="AF1674" s="15"/>
      <c r="AG1674" s="10"/>
      <c r="AH1674" s="10"/>
      <c r="AI1674" s="10"/>
      <c r="AJ1674" s="10"/>
      <c r="AK1674" s="10" t="s">
        <v>102</v>
      </c>
      <c r="AL1674" s="10" t="s">
        <v>7897</v>
      </c>
      <c r="AM1674" s="10"/>
      <c r="AN1674" s="10"/>
      <c r="AO1674" s="13" t="b">
        <v>1</v>
      </c>
      <c r="AP1674" s="10" t="s">
        <v>104</v>
      </c>
      <c r="AQ1674" s="10">
        <f ca="1">IFERROR(__xludf.DUMMYFUNCTION("""COMPUTED_VALUE"""),4610734)</f>
        <v>4610734</v>
      </c>
      <c r="AR1674" s="17">
        <v>17391</v>
      </c>
      <c r="AS1674" s="17">
        <v>12305</v>
      </c>
      <c r="AT1674" s="17">
        <v>90450.5</v>
      </c>
      <c r="AU1674" s="17">
        <v>25.25</v>
      </c>
      <c r="AV1674" s="17">
        <v>4.75</v>
      </c>
      <c r="AW1674" s="10" t="s">
        <v>105</v>
      </c>
      <c r="AX1674" s="17">
        <v>3018</v>
      </c>
      <c r="AY1674" s="18">
        <v>7.3507110930516051</v>
      </c>
      <c r="AZ1674" s="10" t="s">
        <v>117</v>
      </c>
      <c r="BA1674" s="20" t="b">
        <v>0</v>
      </c>
      <c r="BB1674" s="10"/>
      <c r="BC1674" s="17">
        <v>17391</v>
      </c>
      <c r="BD1674" s="17">
        <v>12305</v>
      </c>
      <c r="BE1674" s="17">
        <v>90450.5</v>
      </c>
      <c r="BF1674" s="17">
        <v>4.75</v>
      </c>
      <c r="BG1674" s="11">
        <f ca="1">IFERROR(__xludf.DUMMYFUNCTION("""COMPUTED_VALUE"""),45932.9895833333)</f>
        <v>45932.989583333299</v>
      </c>
      <c r="BH1674" s="17" t="s">
        <v>105</v>
      </c>
      <c r="BI1674" s="17"/>
      <c r="BJ1674" s="15"/>
      <c r="BK1674" s="15"/>
      <c r="BL1674" s="13" t="b">
        <v>0</v>
      </c>
      <c r="BM1674" s="10"/>
      <c r="BN1674" s="10" t="s">
        <v>3422</v>
      </c>
      <c r="BO1674" s="11">
        <v>45904.304861111108</v>
      </c>
      <c r="BP1674" s="11">
        <v>45923.535590277781</v>
      </c>
      <c r="BQ1674" s="15">
        <v>45929.519756944443</v>
      </c>
      <c r="BR1674" s="15">
        <v>45929.915219907409</v>
      </c>
      <c r="BS1674" s="10"/>
      <c r="BT1674" s="10" t="s">
        <v>99</v>
      </c>
      <c r="BU1674" s="10" t="s">
        <v>5492</v>
      </c>
      <c r="BV1674" s="10"/>
      <c r="BW1674" s="10"/>
      <c r="BX1674" s="10"/>
      <c r="BY1674" s="23"/>
      <c r="BZ1674" s="23"/>
      <c r="CA1674" s="19" t="s">
        <v>12674</v>
      </c>
      <c r="CB1674" s="23"/>
      <c r="CC1674" s="23"/>
      <c r="CD1674" s="19" t="s">
        <v>12675</v>
      </c>
      <c r="CE1674" s="23"/>
      <c r="CF1674" s="23"/>
      <c r="CG1674" s="23"/>
      <c r="CH1674" s="23"/>
      <c r="CI1674" s="23"/>
    </row>
    <row r="1675" spans="1:87" x14ac:dyDescent="0.3">
      <c r="A1675" s="9" t="s">
        <v>12676</v>
      </c>
      <c r="B1675" s="10" t="s">
        <v>12677</v>
      </c>
      <c r="C1675" s="11">
        <v>45932.989583333336</v>
      </c>
      <c r="D1675" s="12">
        <v>8.3333333333333329E-2</v>
      </c>
      <c r="E1675" s="11">
        <v>45933.072916666664</v>
      </c>
      <c r="F1675" s="10" t="s">
        <v>7843</v>
      </c>
      <c r="G1675" s="13" t="b">
        <v>0</v>
      </c>
      <c r="H1675" s="10" t="s">
        <v>11460</v>
      </c>
      <c r="I1675" s="10" t="s">
        <v>89</v>
      </c>
      <c r="J1675" s="13" t="b">
        <v>0</v>
      </c>
      <c r="K1675" s="13" t="b">
        <v>1</v>
      </c>
      <c r="L1675" s="10" t="s">
        <v>124</v>
      </c>
      <c r="M1675" s="10" t="s">
        <v>91</v>
      </c>
      <c r="N1675" s="10" t="s">
        <v>92</v>
      </c>
      <c r="O1675" s="19" t="s">
        <v>12678</v>
      </c>
      <c r="P1675" s="10"/>
      <c r="Q1675" s="10" t="s">
        <v>126</v>
      </c>
      <c r="R1675" s="10"/>
      <c r="S1675" s="19" t="s">
        <v>12679</v>
      </c>
      <c r="T1675" s="10"/>
      <c r="U1675" s="10" t="s">
        <v>3229</v>
      </c>
      <c r="V1675" s="10" t="s">
        <v>12596</v>
      </c>
      <c r="W1675" s="10" t="s">
        <v>7848</v>
      </c>
      <c r="X1675" s="10" t="s">
        <v>130</v>
      </c>
      <c r="Y1675" s="10" t="s">
        <v>130</v>
      </c>
      <c r="Z1675" s="10" t="s">
        <v>99</v>
      </c>
      <c r="AA1675" s="10" t="s">
        <v>131</v>
      </c>
      <c r="AB1675" s="10" t="s">
        <v>7849</v>
      </c>
      <c r="AC1675" s="10" t="s">
        <v>3571</v>
      </c>
      <c r="AD1675" s="10" t="s">
        <v>12680</v>
      </c>
      <c r="AE1675" s="10" t="s">
        <v>12681</v>
      </c>
      <c r="AF1675" s="15"/>
      <c r="AG1675" s="10"/>
      <c r="AH1675" s="10"/>
      <c r="AI1675" s="10"/>
      <c r="AJ1675" s="10"/>
      <c r="AK1675" s="10" t="s">
        <v>102</v>
      </c>
      <c r="AL1675" s="10" t="s">
        <v>7897</v>
      </c>
      <c r="AM1675" s="10"/>
      <c r="AN1675" s="10"/>
      <c r="AO1675" s="13" t="b">
        <v>1</v>
      </c>
      <c r="AP1675" s="10" t="s">
        <v>104</v>
      </c>
      <c r="AQ1675" s="10">
        <f ca="1">IFERROR(__xludf.DUMMYFUNCTION("""COMPUTED_VALUE"""),4610724)</f>
        <v>4610724</v>
      </c>
      <c r="AR1675" s="17">
        <v>108882</v>
      </c>
      <c r="AS1675" s="17">
        <v>78576</v>
      </c>
      <c r="AT1675" s="17">
        <v>1852212</v>
      </c>
      <c r="AU1675" s="17">
        <v>620.54999999999995</v>
      </c>
      <c r="AV1675" s="17">
        <v>177.55</v>
      </c>
      <c r="AW1675" s="10" t="s">
        <v>105</v>
      </c>
      <c r="AX1675" s="17">
        <v>24937</v>
      </c>
      <c r="AY1675" s="18">
        <v>23.572235797189983</v>
      </c>
      <c r="AZ1675" s="10" t="s">
        <v>117</v>
      </c>
      <c r="BA1675" s="20" t="b">
        <v>0</v>
      </c>
      <c r="BB1675" s="10"/>
      <c r="BC1675" s="17">
        <v>108882</v>
      </c>
      <c r="BD1675" s="17">
        <v>78576</v>
      </c>
      <c r="BE1675" s="17">
        <v>1852212</v>
      </c>
      <c r="BF1675" s="17">
        <v>177.55</v>
      </c>
      <c r="BG1675" s="11">
        <f ca="1">IFERROR(__xludf.DUMMYFUNCTION("""COMPUTED_VALUE"""),45932.9895833333)</f>
        <v>45932.989583333299</v>
      </c>
      <c r="BH1675" s="17" t="s">
        <v>105</v>
      </c>
      <c r="BI1675" s="17"/>
      <c r="BJ1675" s="15"/>
      <c r="BK1675" s="15"/>
      <c r="BL1675" s="13" t="b">
        <v>0</v>
      </c>
      <c r="BM1675" s="10"/>
      <c r="BN1675" s="10" t="s">
        <v>3422</v>
      </c>
      <c r="BO1675" s="11">
        <v>45904.304861111108</v>
      </c>
      <c r="BP1675" s="11">
        <v>45923.527002314811</v>
      </c>
      <c r="BQ1675" s="15">
        <v>45929.519907407404</v>
      </c>
      <c r="BR1675" s="15">
        <v>45929.801736111112</v>
      </c>
      <c r="BS1675" s="10"/>
      <c r="BT1675" s="10" t="s">
        <v>99</v>
      </c>
      <c r="BU1675" s="10" t="s">
        <v>12682</v>
      </c>
      <c r="BV1675" s="10"/>
      <c r="BW1675" s="10"/>
      <c r="BX1675" s="10"/>
      <c r="BY1675" s="23"/>
      <c r="BZ1675" s="23"/>
      <c r="CA1675" s="19" t="s">
        <v>12683</v>
      </c>
      <c r="CB1675" s="23"/>
      <c r="CC1675" s="23"/>
      <c r="CD1675" s="19" t="s">
        <v>12684</v>
      </c>
      <c r="CE1675" s="23"/>
      <c r="CF1675" s="23"/>
      <c r="CG1675" s="23"/>
      <c r="CH1675" s="23"/>
      <c r="CI1675" s="23"/>
    </row>
    <row r="1676" spans="1:87" x14ac:dyDescent="0.3">
      <c r="A1676" s="9" t="s">
        <v>12685</v>
      </c>
      <c r="B1676" s="10" t="s">
        <v>12686</v>
      </c>
      <c r="C1676" s="11">
        <v>45932.989583333336</v>
      </c>
      <c r="D1676" s="12">
        <v>8.3333333333333329E-2</v>
      </c>
      <c r="E1676" s="11">
        <v>45933.072916666664</v>
      </c>
      <c r="F1676" s="10" t="s">
        <v>7843</v>
      </c>
      <c r="G1676" s="13" t="b">
        <v>0</v>
      </c>
      <c r="H1676" s="10" t="s">
        <v>5239</v>
      </c>
      <c r="I1676" s="10" t="s">
        <v>89</v>
      </c>
      <c r="J1676" s="13" t="b">
        <v>0</v>
      </c>
      <c r="K1676" s="13" t="b">
        <v>1</v>
      </c>
      <c r="L1676" s="10" t="s">
        <v>124</v>
      </c>
      <c r="M1676" s="10" t="s">
        <v>91</v>
      </c>
      <c r="N1676" s="10" t="s">
        <v>92</v>
      </c>
      <c r="O1676" s="19" t="s">
        <v>12687</v>
      </c>
      <c r="P1676" s="10"/>
      <c r="Q1676" s="10" t="s">
        <v>94</v>
      </c>
      <c r="R1676" s="10"/>
      <c r="S1676" s="19" t="s">
        <v>12688</v>
      </c>
      <c r="T1676" s="10"/>
      <c r="U1676" s="10" t="s">
        <v>12585</v>
      </c>
      <c r="V1676" s="10" t="s">
        <v>12662</v>
      </c>
      <c r="W1676" s="10" t="s">
        <v>7848</v>
      </c>
      <c r="X1676" s="10" t="s">
        <v>130</v>
      </c>
      <c r="Y1676" s="10" t="s">
        <v>130</v>
      </c>
      <c r="Z1676" s="10" t="s">
        <v>99</v>
      </c>
      <c r="AA1676" s="10" t="s">
        <v>131</v>
      </c>
      <c r="AB1676" s="10" t="s">
        <v>7849</v>
      </c>
      <c r="AC1676" s="10" t="s">
        <v>3571</v>
      </c>
      <c r="AD1676" s="10" t="s">
        <v>12689</v>
      </c>
      <c r="AE1676" s="10" t="s">
        <v>12690</v>
      </c>
      <c r="AF1676" s="15"/>
      <c r="AG1676" s="10"/>
      <c r="AH1676" s="10"/>
      <c r="AI1676" s="10"/>
      <c r="AJ1676" s="10"/>
      <c r="AK1676" s="10" t="s">
        <v>102</v>
      </c>
      <c r="AL1676" s="10" t="s">
        <v>7897</v>
      </c>
      <c r="AM1676" s="10"/>
      <c r="AN1676" s="10"/>
      <c r="AO1676" s="13" t="b">
        <v>0</v>
      </c>
      <c r="AP1676" s="10" t="s">
        <v>104</v>
      </c>
      <c r="AQ1676" s="10">
        <f ca="1">IFERROR(__xludf.DUMMYFUNCTION("""COMPUTED_VALUE"""),4610732)</f>
        <v>4610732</v>
      </c>
      <c r="AR1676" s="17">
        <v>1471</v>
      </c>
      <c r="AS1676" s="17">
        <v>1047</v>
      </c>
      <c r="AT1676" s="17">
        <v>7073.25</v>
      </c>
      <c r="AU1676" s="17">
        <v>1.45</v>
      </c>
      <c r="AV1676" s="17">
        <v>0</v>
      </c>
      <c r="AW1676" s="10" t="s">
        <v>105</v>
      </c>
      <c r="AX1676" s="17">
        <v>175</v>
      </c>
      <c r="AY1676" s="18">
        <v>6.7557306590257884</v>
      </c>
      <c r="AZ1676" s="10" t="s">
        <v>117</v>
      </c>
      <c r="BA1676" s="20" t="b">
        <v>0</v>
      </c>
      <c r="BB1676" s="10"/>
      <c r="BC1676" s="17">
        <v>1471</v>
      </c>
      <c r="BD1676" s="17">
        <v>1047</v>
      </c>
      <c r="BE1676" s="17">
        <v>7073.25</v>
      </c>
      <c r="BF1676" s="17">
        <v>0</v>
      </c>
      <c r="BG1676" s="11">
        <f ca="1">IFERROR(__xludf.DUMMYFUNCTION("""COMPUTED_VALUE"""),45932.9895833333)</f>
        <v>45932.989583333299</v>
      </c>
      <c r="BH1676" s="17" t="s">
        <v>105</v>
      </c>
      <c r="BI1676" s="17"/>
      <c r="BJ1676" s="15"/>
      <c r="BK1676" s="15"/>
      <c r="BL1676" s="13" t="b">
        <v>0</v>
      </c>
      <c r="BM1676" s="10"/>
      <c r="BN1676" s="10" t="s">
        <v>118</v>
      </c>
      <c r="BO1676" s="11">
        <v>45904.304861111108</v>
      </c>
      <c r="BP1676" s="11">
        <v>45923.535462962966</v>
      </c>
      <c r="BQ1676" s="15">
        <v>45929.519189814811</v>
      </c>
      <c r="BR1676" s="15">
        <v>45929.914652777778</v>
      </c>
      <c r="BS1676" s="10" t="s">
        <v>118</v>
      </c>
      <c r="BT1676" s="10" t="s">
        <v>99</v>
      </c>
      <c r="BU1676" s="10" t="s">
        <v>942</v>
      </c>
      <c r="BV1676" s="10"/>
      <c r="BW1676" s="10"/>
      <c r="BX1676" s="10"/>
      <c r="BY1676" s="23"/>
      <c r="BZ1676" s="23"/>
      <c r="CA1676" s="19" t="s">
        <v>12691</v>
      </c>
      <c r="CB1676" s="23"/>
      <c r="CC1676" s="23"/>
      <c r="CD1676" s="23"/>
      <c r="CE1676" s="23"/>
      <c r="CF1676" s="23"/>
      <c r="CG1676" s="23"/>
      <c r="CH1676" s="23"/>
      <c r="CI1676" s="23"/>
    </row>
    <row r="1677" spans="1:87" x14ac:dyDescent="0.3">
      <c r="A1677" s="9" t="s">
        <v>12692</v>
      </c>
      <c r="B1677" s="10" t="s">
        <v>12693</v>
      </c>
      <c r="C1677" s="11">
        <v>45932.989583333336</v>
      </c>
      <c r="D1677" s="12">
        <v>8.3333333333333329E-2</v>
      </c>
      <c r="E1677" s="11">
        <v>45933.072916666664</v>
      </c>
      <c r="F1677" s="10" t="s">
        <v>7843</v>
      </c>
      <c r="G1677" s="13" t="b">
        <v>0</v>
      </c>
      <c r="H1677" s="10" t="s">
        <v>5239</v>
      </c>
      <c r="I1677" s="10" t="s">
        <v>89</v>
      </c>
      <c r="J1677" s="13" t="b">
        <v>0</v>
      </c>
      <c r="K1677" s="13" t="b">
        <v>1</v>
      </c>
      <c r="L1677" s="10" t="s">
        <v>124</v>
      </c>
      <c r="M1677" s="10" t="s">
        <v>91</v>
      </c>
      <c r="N1677" s="10" t="s">
        <v>92</v>
      </c>
      <c r="O1677" s="19" t="s">
        <v>12694</v>
      </c>
      <c r="P1677" s="10"/>
      <c r="Q1677" s="10" t="s">
        <v>126</v>
      </c>
      <c r="R1677" s="10"/>
      <c r="S1677" s="19" t="s">
        <v>12695</v>
      </c>
      <c r="T1677" s="10"/>
      <c r="U1677" s="10" t="s">
        <v>12523</v>
      </c>
      <c r="V1677" s="10" t="s">
        <v>5102</v>
      </c>
      <c r="W1677" s="10" t="s">
        <v>7848</v>
      </c>
      <c r="X1677" s="10" t="s">
        <v>130</v>
      </c>
      <c r="Y1677" s="10" t="s">
        <v>130</v>
      </c>
      <c r="Z1677" s="10" t="s">
        <v>99</v>
      </c>
      <c r="AA1677" s="10" t="s">
        <v>131</v>
      </c>
      <c r="AB1677" s="10" t="s">
        <v>7849</v>
      </c>
      <c r="AC1677" s="10" t="s">
        <v>3571</v>
      </c>
      <c r="AD1677" s="10" t="s">
        <v>12696</v>
      </c>
      <c r="AE1677" s="10" t="s">
        <v>12697</v>
      </c>
      <c r="AF1677" s="15"/>
      <c r="AG1677" s="10"/>
      <c r="AH1677" s="10"/>
      <c r="AI1677" s="10"/>
      <c r="AJ1677" s="10"/>
      <c r="AK1677" s="10" t="s">
        <v>102</v>
      </c>
      <c r="AL1677" s="10" t="s">
        <v>7897</v>
      </c>
      <c r="AM1677" s="10"/>
      <c r="AN1677" s="10"/>
      <c r="AO1677" s="13" t="b">
        <v>0</v>
      </c>
      <c r="AP1677" s="10" t="s">
        <v>104</v>
      </c>
      <c r="AQ1677" s="10">
        <f ca="1">IFERROR(__xludf.DUMMYFUNCTION("""COMPUTED_VALUE"""),4610730)</f>
        <v>4610730</v>
      </c>
      <c r="AR1677" s="17">
        <v>5841</v>
      </c>
      <c r="AS1677" s="17">
        <v>4618</v>
      </c>
      <c r="AT1677" s="17">
        <v>29308.5</v>
      </c>
      <c r="AU1677" s="17">
        <v>8.65</v>
      </c>
      <c r="AV1677" s="17">
        <v>3.2</v>
      </c>
      <c r="AW1677" s="10" t="s">
        <v>105</v>
      </c>
      <c r="AX1677" s="17">
        <v>948</v>
      </c>
      <c r="AY1677" s="18">
        <v>6.3465786054569078</v>
      </c>
      <c r="AZ1677" s="10" t="s">
        <v>117</v>
      </c>
      <c r="BA1677" s="20" t="b">
        <v>0</v>
      </c>
      <c r="BB1677" s="10"/>
      <c r="BC1677" s="17">
        <v>5841</v>
      </c>
      <c r="BD1677" s="17">
        <v>4618</v>
      </c>
      <c r="BE1677" s="17">
        <v>29308.5</v>
      </c>
      <c r="BF1677" s="17">
        <v>3.2</v>
      </c>
      <c r="BG1677" s="11">
        <f ca="1">IFERROR(__xludf.DUMMYFUNCTION("""COMPUTED_VALUE"""),45932.9895833333)</f>
        <v>45932.989583333299</v>
      </c>
      <c r="BH1677" s="17" t="s">
        <v>105</v>
      </c>
      <c r="BI1677" s="17"/>
      <c r="BJ1677" s="15"/>
      <c r="BK1677" s="15"/>
      <c r="BL1677" s="13" t="b">
        <v>0</v>
      </c>
      <c r="BM1677" s="10"/>
      <c r="BN1677" s="10" t="s">
        <v>118</v>
      </c>
      <c r="BO1677" s="11">
        <v>45904.304861111108</v>
      </c>
      <c r="BP1677" s="11">
        <v>45923.53570601852</v>
      </c>
      <c r="BQ1677" s="15">
        <v>45929.519548611112</v>
      </c>
      <c r="BR1677" s="15">
        <v>45929.914988425924</v>
      </c>
      <c r="BS1677" s="10" t="s">
        <v>118</v>
      </c>
      <c r="BT1677" s="10" t="s">
        <v>279</v>
      </c>
      <c r="BU1677" s="10" t="s">
        <v>8038</v>
      </c>
      <c r="BV1677" s="10"/>
      <c r="BW1677" s="10"/>
      <c r="BX1677" s="10"/>
      <c r="BY1677" s="23"/>
      <c r="BZ1677" s="23"/>
      <c r="CA1677" s="19" t="s">
        <v>12698</v>
      </c>
      <c r="CB1677" s="23"/>
      <c r="CC1677" s="23"/>
      <c r="CD1677" s="19" t="s">
        <v>12699</v>
      </c>
      <c r="CE1677" s="23"/>
      <c r="CF1677" s="23"/>
      <c r="CG1677" s="23"/>
      <c r="CH1677" s="23"/>
      <c r="CI1677" s="23"/>
    </row>
    <row r="1678" spans="1:87" x14ac:dyDescent="0.3">
      <c r="A1678" s="9" t="s">
        <v>12700</v>
      </c>
      <c r="B1678" s="10" t="s">
        <v>12701</v>
      </c>
      <c r="C1678" s="11">
        <v>45932.989583333336</v>
      </c>
      <c r="D1678" s="12">
        <v>8.3333333333333329E-2</v>
      </c>
      <c r="E1678" s="11">
        <v>45933.072916666664</v>
      </c>
      <c r="F1678" s="10" t="s">
        <v>7843</v>
      </c>
      <c r="G1678" s="13" t="b">
        <v>0</v>
      </c>
      <c r="H1678" s="10" t="s">
        <v>5239</v>
      </c>
      <c r="I1678" s="10" t="s">
        <v>89</v>
      </c>
      <c r="J1678" s="13" t="b">
        <v>0</v>
      </c>
      <c r="K1678" s="13" t="b">
        <v>1</v>
      </c>
      <c r="L1678" s="10" t="s">
        <v>124</v>
      </c>
      <c r="M1678" s="10" t="s">
        <v>91</v>
      </c>
      <c r="N1678" s="10" t="s">
        <v>92</v>
      </c>
      <c r="O1678" s="19" t="s">
        <v>12702</v>
      </c>
      <c r="P1678" s="10"/>
      <c r="Q1678" s="10" t="s">
        <v>94</v>
      </c>
      <c r="R1678" s="10"/>
      <c r="S1678" s="19" t="s">
        <v>12703</v>
      </c>
      <c r="T1678" s="10"/>
      <c r="U1678" s="10" t="s">
        <v>7837</v>
      </c>
      <c r="V1678" s="10" t="s">
        <v>12522</v>
      </c>
      <c r="W1678" s="10" t="s">
        <v>7848</v>
      </c>
      <c r="X1678" s="10" t="s">
        <v>130</v>
      </c>
      <c r="Y1678" s="10" t="s">
        <v>130</v>
      </c>
      <c r="Z1678" s="10" t="s">
        <v>99</v>
      </c>
      <c r="AA1678" s="10" t="s">
        <v>131</v>
      </c>
      <c r="AB1678" s="10" t="s">
        <v>7849</v>
      </c>
      <c r="AC1678" s="10" t="s">
        <v>3571</v>
      </c>
      <c r="AD1678" s="10" t="s">
        <v>12704</v>
      </c>
      <c r="AE1678" s="10" t="s">
        <v>12705</v>
      </c>
      <c r="AF1678" s="15"/>
      <c r="AG1678" s="10"/>
      <c r="AH1678" s="10"/>
      <c r="AI1678" s="10"/>
      <c r="AJ1678" s="10"/>
      <c r="AK1678" s="10" t="s">
        <v>102</v>
      </c>
      <c r="AL1678" s="10" t="s">
        <v>7897</v>
      </c>
      <c r="AM1678" s="10"/>
      <c r="AN1678" s="10"/>
      <c r="AO1678" s="13" t="b">
        <v>0</v>
      </c>
      <c r="AP1678" s="10" t="s">
        <v>104</v>
      </c>
      <c r="AQ1678" s="10">
        <f ca="1">IFERROR(__xludf.DUMMYFUNCTION("""COMPUTED_VALUE"""),4610736)</f>
        <v>4610736</v>
      </c>
      <c r="AR1678" s="17">
        <v>938</v>
      </c>
      <c r="AS1678" s="17">
        <v>684</v>
      </c>
      <c r="AT1678" s="17">
        <v>3345.75</v>
      </c>
      <c r="AU1678" s="17">
        <v>0.9</v>
      </c>
      <c r="AV1678" s="17">
        <v>0</v>
      </c>
      <c r="AW1678" s="10" t="s">
        <v>105</v>
      </c>
      <c r="AX1678" s="17">
        <v>92</v>
      </c>
      <c r="AY1678" s="18">
        <v>4.8914473684210522</v>
      </c>
      <c r="AZ1678" s="10" t="s">
        <v>117</v>
      </c>
      <c r="BA1678" s="20" t="b">
        <v>0</v>
      </c>
      <c r="BB1678" s="10"/>
      <c r="BC1678" s="17">
        <v>938</v>
      </c>
      <c r="BD1678" s="17">
        <v>684</v>
      </c>
      <c r="BE1678" s="17">
        <v>3345.75</v>
      </c>
      <c r="BF1678" s="17">
        <v>0</v>
      </c>
      <c r="BG1678" s="11">
        <f ca="1">IFERROR(__xludf.DUMMYFUNCTION("""COMPUTED_VALUE"""),45932.9895833333)</f>
        <v>45932.989583333299</v>
      </c>
      <c r="BH1678" s="17" t="s">
        <v>105</v>
      </c>
      <c r="BI1678" s="17"/>
      <c r="BJ1678" s="15"/>
      <c r="BK1678" s="15"/>
      <c r="BL1678" s="13" t="b">
        <v>0</v>
      </c>
      <c r="BM1678" s="10"/>
      <c r="BN1678" s="10" t="s">
        <v>118</v>
      </c>
      <c r="BO1678" s="11">
        <v>45904.304861111108</v>
      </c>
      <c r="BP1678" s="11">
        <v>45923.53496527778</v>
      </c>
      <c r="BQ1678" s="15">
        <v>45929.52002314815</v>
      </c>
      <c r="BR1678" s="15">
        <v>45929.915405092594</v>
      </c>
      <c r="BS1678" s="10" t="s">
        <v>118</v>
      </c>
      <c r="BT1678" s="10" t="s">
        <v>99</v>
      </c>
      <c r="BU1678" s="10" t="s">
        <v>6732</v>
      </c>
      <c r="BV1678" s="10"/>
      <c r="BW1678" s="10"/>
      <c r="BX1678" s="10"/>
      <c r="BY1678" s="23"/>
      <c r="BZ1678" s="23"/>
      <c r="CA1678" s="19" t="s">
        <v>12706</v>
      </c>
      <c r="CB1678" s="23"/>
      <c r="CC1678" s="23"/>
      <c r="CD1678" s="23"/>
      <c r="CE1678" s="23"/>
      <c r="CF1678" s="23"/>
      <c r="CG1678" s="23"/>
      <c r="CH1678" s="23"/>
      <c r="CI1678" s="23"/>
    </row>
    <row r="1679" spans="1:87" x14ac:dyDescent="0.3">
      <c r="A1679" s="9" t="s">
        <v>12707</v>
      </c>
      <c r="B1679" s="10" t="s">
        <v>12708</v>
      </c>
      <c r="C1679" s="11">
        <v>45932.989583333336</v>
      </c>
      <c r="D1679" s="12">
        <v>8.3333333333333329E-2</v>
      </c>
      <c r="E1679" s="11">
        <v>45933.072916666664</v>
      </c>
      <c r="F1679" s="10" t="s">
        <v>7843</v>
      </c>
      <c r="G1679" s="13" t="b">
        <v>0</v>
      </c>
      <c r="H1679" s="10" t="s">
        <v>5239</v>
      </c>
      <c r="I1679" s="10" t="s">
        <v>89</v>
      </c>
      <c r="J1679" s="13" t="b">
        <v>0</v>
      </c>
      <c r="K1679" s="13" t="b">
        <v>1</v>
      </c>
      <c r="L1679" s="10" t="s">
        <v>124</v>
      </c>
      <c r="M1679" s="10" t="s">
        <v>91</v>
      </c>
      <c r="N1679" s="10" t="s">
        <v>92</v>
      </c>
      <c r="O1679" s="19" t="s">
        <v>12709</v>
      </c>
      <c r="P1679" s="10"/>
      <c r="Q1679" s="10" t="s">
        <v>126</v>
      </c>
      <c r="R1679" s="10"/>
      <c r="S1679" s="19" t="s">
        <v>12710</v>
      </c>
      <c r="T1679" s="10"/>
      <c r="U1679" s="10" t="s">
        <v>3581</v>
      </c>
      <c r="V1679" s="10" t="s">
        <v>7821</v>
      </c>
      <c r="W1679" s="10" t="s">
        <v>7848</v>
      </c>
      <c r="X1679" s="10" t="s">
        <v>130</v>
      </c>
      <c r="Y1679" s="10" t="s">
        <v>130</v>
      </c>
      <c r="Z1679" s="10" t="s">
        <v>99</v>
      </c>
      <c r="AA1679" s="10" t="s">
        <v>131</v>
      </c>
      <c r="AB1679" s="10" t="s">
        <v>7849</v>
      </c>
      <c r="AC1679" s="10" t="s">
        <v>3571</v>
      </c>
      <c r="AD1679" s="10" t="s">
        <v>12711</v>
      </c>
      <c r="AE1679" s="10" t="s">
        <v>12712</v>
      </c>
      <c r="AF1679" s="15"/>
      <c r="AG1679" s="10"/>
      <c r="AH1679" s="10"/>
      <c r="AI1679" s="10"/>
      <c r="AJ1679" s="10"/>
      <c r="AK1679" s="10" t="s">
        <v>102</v>
      </c>
      <c r="AL1679" s="10" t="s">
        <v>7897</v>
      </c>
      <c r="AM1679" s="10"/>
      <c r="AN1679" s="10"/>
      <c r="AO1679" s="13" t="b">
        <v>0</v>
      </c>
      <c r="AP1679" s="10" t="s">
        <v>104</v>
      </c>
      <c r="AQ1679" s="10">
        <f ca="1">IFERROR(__xludf.DUMMYFUNCTION("""COMPUTED_VALUE"""),4610728)</f>
        <v>4610728</v>
      </c>
      <c r="AR1679" s="17">
        <v>6868</v>
      </c>
      <c r="AS1679" s="17">
        <v>5203</v>
      </c>
      <c r="AT1679" s="17">
        <v>23927.25</v>
      </c>
      <c r="AU1679" s="17">
        <v>11.05</v>
      </c>
      <c r="AV1679" s="17">
        <v>4.25</v>
      </c>
      <c r="AW1679" s="10" t="s">
        <v>105</v>
      </c>
      <c r="AX1679" s="17">
        <v>1133</v>
      </c>
      <c r="AY1679" s="18">
        <v>4.5987411108975591</v>
      </c>
      <c r="AZ1679" s="10" t="s">
        <v>117</v>
      </c>
      <c r="BA1679" s="20" t="b">
        <v>0</v>
      </c>
      <c r="BB1679" s="10"/>
      <c r="BC1679" s="17">
        <v>6868</v>
      </c>
      <c r="BD1679" s="17">
        <v>5203</v>
      </c>
      <c r="BE1679" s="17">
        <v>23927.25</v>
      </c>
      <c r="BF1679" s="17">
        <v>4.25</v>
      </c>
      <c r="BG1679" s="11">
        <f ca="1">IFERROR(__xludf.DUMMYFUNCTION("""COMPUTED_VALUE"""),45932.9895833333)</f>
        <v>45932.989583333299</v>
      </c>
      <c r="BH1679" s="17" t="s">
        <v>105</v>
      </c>
      <c r="BI1679" s="17"/>
      <c r="BJ1679" s="15"/>
      <c r="BK1679" s="15"/>
      <c r="BL1679" s="13" t="b">
        <v>0</v>
      </c>
      <c r="BM1679" s="10"/>
      <c r="BN1679" s="10" t="s">
        <v>118</v>
      </c>
      <c r="BO1679" s="11">
        <v>45904.304861111108</v>
      </c>
      <c r="BP1679" s="11">
        <v>45923.535300925927</v>
      </c>
      <c r="BQ1679" s="15">
        <v>45929.51934027778</v>
      </c>
      <c r="BR1679" s="15">
        <v>45929.914826388886</v>
      </c>
      <c r="BS1679" s="10" t="s">
        <v>118</v>
      </c>
      <c r="BT1679" s="10" t="s">
        <v>99</v>
      </c>
      <c r="BU1679" s="10" t="s">
        <v>8497</v>
      </c>
      <c r="BV1679" s="10"/>
      <c r="BW1679" s="10"/>
      <c r="BX1679" s="10"/>
      <c r="BY1679" s="23"/>
      <c r="BZ1679" s="23"/>
      <c r="CA1679" s="19" t="s">
        <v>12713</v>
      </c>
      <c r="CB1679" s="23"/>
      <c r="CC1679" s="23"/>
      <c r="CD1679" s="19" t="s">
        <v>12714</v>
      </c>
      <c r="CE1679" s="23"/>
      <c r="CF1679" s="23"/>
      <c r="CG1679" s="23"/>
      <c r="CH1679" s="23"/>
      <c r="CI1679" s="23"/>
    </row>
    <row r="1680" spans="1:87" x14ac:dyDescent="0.3">
      <c r="A1680" s="9" t="s">
        <v>12715</v>
      </c>
      <c r="B1680" s="10" t="s">
        <v>12716</v>
      </c>
      <c r="C1680" s="11">
        <v>45932.989583333336</v>
      </c>
      <c r="D1680" s="12">
        <v>8.3333333333333329E-2</v>
      </c>
      <c r="E1680" s="11">
        <v>45933.072916666664</v>
      </c>
      <c r="F1680" s="10" t="s">
        <v>7843</v>
      </c>
      <c r="G1680" s="13" t="b">
        <v>0</v>
      </c>
      <c r="H1680" s="10" t="s">
        <v>6271</v>
      </c>
      <c r="I1680" s="10" t="s">
        <v>89</v>
      </c>
      <c r="J1680" s="13" t="b">
        <v>0</v>
      </c>
      <c r="K1680" s="13" t="b">
        <v>1</v>
      </c>
      <c r="L1680" s="10" t="s">
        <v>124</v>
      </c>
      <c r="M1680" s="10" t="s">
        <v>91</v>
      </c>
      <c r="N1680" s="10" t="s">
        <v>92</v>
      </c>
      <c r="O1680" s="19" t="s">
        <v>12717</v>
      </c>
      <c r="P1680" s="10"/>
      <c r="Q1680" s="10" t="s">
        <v>94</v>
      </c>
      <c r="R1680" s="10"/>
      <c r="S1680" s="19" t="s">
        <v>12718</v>
      </c>
      <c r="T1680" s="10"/>
      <c r="U1680" s="10" t="s">
        <v>3230</v>
      </c>
      <c r="V1680" s="10" t="s">
        <v>12549</v>
      </c>
      <c r="W1680" s="10" t="s">
        <v>7848</v>
      </c>
      <c r="X1680" s="10" t="s">
        <v>130</v>
      </c>
      <c r="Y1680" s="10" t="s">
        <v>130</v>
      </c>
      <c r="Z1680" s="10" t="s">
        <v>99</v>
      </c>
      <c r="AA1680" s="10" t="s">
        <v>131</v>
      </c>
      <c r="AB1680" s="10" t="s">
        <v>7849</v>
      </c>
      <c r="AC1680" s="10" t="s">
        <v>3571</v>
      </c>
      <c r="AD1680" s="10" t="s">
        <v>12719</v>
      </c>
      <c r="AE1680" s="10" t="s">
        <v>12720</v>
      </c>
      <c r="AF1680" s="15"/>
      <c r="AG1680" s="10"/>
      <c r="AH1680" s="10"/>
      <c r="AI1680" s="10"/>
      <c r="AJ1680" s="10"/>
      <c r="AK1680" s="10" t="s">
        <v>102</v>
      </c>
      <c r="AL1680" s="10" t="s">
        <v>7897</v>
      </c>
      <c r="AM1680" s="10"/>
      <c r="AN1680" s="10"/>
      <c r="AO1680" s="13" t="b">
        <v>0</v>
      </c>
      <c r="AP1680" s="10" t="s">
        <v>104</v>
      </c>
      <c r="AQ1680" s="10">
        <f ca="1">IFERROR(__xludf.DUMMYFUNCTION("""COMPUTED_VALUE"""),4613309)</f>
        <v>4613309</v>
      </c>
      <c r="AR1680" s="17">
        <v>3450</v>
      </c>
      <c r="AS1680" s="17">
        <v>2500</v>
      </c>
      <c r="AT1680" s="17">
        <v>27944</v>
      </c>
      <c r="AU1680" s="17">
        <v>5.25</v>
      </c>
      <c r="AV1680" s="17">
        <v>1.8</v>
      </c>
      <c r="AW1680" s="10" t="s">
        <v>105</v>
      </c>
      <c r="AX1680" s="17">
        <v>713</v>
      </c>
      <c r="AY1680" s="18">
        <v>11.1776</v>
      </c>
      <c r="AZ1680" s="10" t="s">
        <v>117</v>
      </c>
      <c r="BA1680" s="20" t="b">
        <v>0</v>
      </c>
      <c r="BB1680" s="10"/>
      <c r="BC1680" s="17">
        <v>3450</v>
      </c>
      <c r="BD1680" s="17">
        <v>2500</v>
      </c>
      <c r="BE1680" s="17">
        <v>27944</v>
      </c>
      <c r="BF1680" s="17">
        <v>1.8</v>
      </c>
      <c r="BG1680" s="11">
        <f ca="1">IFERROR(__xludf.DUMMYFUNCTION("""COMPUTED_VALUE"""),45932.9895833333)</f>
        <v>45932.989583333299</v>
      </c>
      <c r="BH1680" s="17" t="s">
        <v>105</v>
      </c>
      <c r="BI1680" s="17"/>
      <c r="BJ1680" s="15"/>
      <c r="BK1680" s="15"/>
      <c r="BL1680" s="13" t="b">
        <v>0</v>
      </c>
      <c r="BM1680" s="10"/>
      <c r="BN1680" s="10" t="s">
        <v>118</v>
      </c>
      <c r="BO1680" s="11">
        <v>45904.304861111108</v>
      </c>
      <c r="BP1680" s="11">
        <v>45924.916006944448</v>
      </c>
      <c r="BQ1680" s="15">
        <v>45929.51866898148</v>
      </c>
      <c r="BR1680" s="15">
        <v>45930.822916666664</v>
      </c>
      <c r="BS1680" s="10" t="s">
        <v>118</v>
      </c>
      <c r="BT1680" s="10" t="s">
        <v>99</v>
      </c>
      <c r="BU1680" s="10" t="s">
        <v>3394</v>
      </c>
      <c r="BV1680" s="10"/>
      <c r="BW1680" s="10"/>
      <c r="BX1680" s="10"/>
      <c r="BY1680" s="23"/>
      <c r="BZ1680" s="23"/>
      <c r="CA1680" s="19" t="s">
        <v>12721</v>
      </c>
      <c r="CB1680" s="23"/>
      <c r="CC1680" s="23"/>
      <c r="CD1680" s="23"/>
      <c r="CE1680" s="23"/>
      <c r="CF1680" s="23"/>
      <c r="CG1680" s="23"/>
      <c r="CH1680" s="23"/>
      <c r="CI1680" s="23"/>
    </row>
    <row r="1681" spans="1:87" x14ac:dyDescent="0.3">
      <c r="A1681" s="9" t="s">
        <v>12722</v>
      </c>
      <c r="B1681" s="10" t="s">
        <v>12723</v>
      </c>
      <c r="C1681" s="11">
        <v>45932.989583333336</v>
      </c>
      <c r="D1681" s="12">
        <v>8.3333333333333329E-2</v>
      </c>
      <c r="E1681" s="11">
        <v>45933.072916666664</v>
      </c>
      <c r="F1681" s="10" t="s">
        <v>7843</v>
      </c>
      <c r="G1681" s="13" t="b">
        <v>0</v>
      </c>
      <c r="H1681" s="10" t="s">
        <v>5239</v>
      </c>
      <c r="I1681" s="10" t="s">
        <v>89</v>
      </c>
      <c r="J1681" s="13" t="b">
        <v>0</v>
      </c>
      <c r="K1681" s="13" t="b">
        <v>1</v>
      </c>
      <c r="L1681" s="10" t="s">
        <v>124</v>
      </c>
      <c r="M1681" s="10" t="s">
        <v>91</v>
      </c>
      <c r="N1681" s="10" t="s">
        <v>92</v>
      </c>
      <c r="O1681" s="19" t="s">
        <v>12724</v>
      </c>
      <c r="P1681" s="10"/>
      <c r="Q1681" s="10" t="s">
        <v>126</v>
      </c>
      <c r="R1681" s="10"/>
      <c r="S1681" s="19" t="s">
        <v>12725</v>
      </c>
      <c r="T1681" s="10"/>
      <c r="U1681" s="10" t="s">
        <v>8944</v>
      </c>
      <c r="V1681" s="10" t="s">
        <v>8476</v>
      </c>
      <c r="W1681" s="10" t="s">
        <v>7848</v>
      </c>
      <c r="X1681" s="10" t="s">
        <v>130</v>
      </c>
      <c r="Y1681" s="10" t="s">
        <v>130</v>
      </c>
      <c r="Z1681" s="10" t="s">
        <v>99</v>
      </c>
      <c r="AA1681" s="10" t="s">
        <v>131</v>
      </c>
      <c r="AB1681" s="10" t="s">
        <v>7849</v>
      </c>
      <c r="AC1681" s="10" t="s">
        <v>3571</v>
      </c>
      <c r="AD1681" s="10" t="s">
        <v>12726</v>
      </c>
      <c r="AE1681" s="10" t="s">
        <v>12727</v>
      </c>
      <c r="AF1681" s="15"/>
      <c r="AG1681" s="10"/>
      <c r="AH1681" s="10"/>
      <c r="AI1681" s="10"/>
      <c r="AJ1681" s="10"/>
      <c r="AK1681" s="10" t="s">
        <v>102</v>
      </c>
      <c r="AL1681" s="10" t="s">
        <v>7897</v>
      </c>
      <c r="AM1681" s="10"/>
      <c r="AN1681" s="10"/>
      <c r="AO1681" s="13" t="b">
        <v>1</v>
      </c>
      <c r="AP1681" s="10" t="s">
        <v>104</v>
      </c>
      <c r="AQ1681" s="10">
        <f ca="1">IFERROR(__xludf.DUMMYFUNCTION("""COMPUTED_VALUE"""),4610725)</f>
        <v>4610725</v>
      </c>
      <c r="AR1681" s="17">
        <v>13606</v>
      </c>
      <c r="AS1681" s="17">
        <v>9607</v>
      </c>
      <c r="AT1681" s="17">
        <v>68894.5</v>
      </c>
      <c r="AU1681" s="17">
        <v>20.7</v>
      </c>
      <c r="AV1681" s="17">
        <v>5.45</v>
      </c>
      <c r="AW1681" s="10" t="s">
        <v>105</v>
      </c>
      <c r="AX1681" s="17">
        <v>2425</v>
      </c>
      <c r="AY1681" s="18">
        <v>7.1712813573436041</v>
      </c>
      <c r="AZ1681" s="10" t="s">
        <v>117</v>
      </c>
      <c r="BA1681" s="20" t="b">
        <v>0</v>
      </c>
      <c r="BB1681" s="10"/>
      <c r="BC1681" s="17">
        <v>13606</v>
      </c>
      <c r="BD1681" s="17">
        <v>9607</v>
      </c>
      <c r="BE1681" s="17">
        <v>68894.5</v>
      </c>
      <c r="BF1681" s="17">
        <v>5.45</v>
      </c>
      <c r="BG1681" s="11">
        <f ca="1">IFERROR(__xludf.DUMMYFUNCTION("""COMPUTED_VALUE"""),45932.9895833333)</f>
        <v>45932.989583333299</v>
      </c>
      <c r="BH1681" s="17" t="s">
        <v>105</v>
      </c>
      <c r="BI1681" s="17"/>
      <c r="BJ1681" s="15"/>
      <c r="BK1681" s="15"/>
      <c r="BL1681" s="13" t="b">
        <v>0</v>
      </c>
      <c r="BM1681" s="10"/>
      <c r="BN1681" s="10" t="s">
        <v>3422</v>
      </c>
      <c r="BO1681" s="11">
        <v>45904.304861111108</v>
      </c>
      <c r="BP1681" s="11">
        <v>45923.535856481481</v>
      </c>
      <c r="BQ1681" s="15">
        <v>45929.518854166665</v>
      </c>
      <c r="BR1681" s="15">
        <v>45929.914305555554</v>
      </c>
      <c r="BS1681" s="10"/>
      <c r="BT1681" s="10" t="s">
        <v>99</v>
      </c>
      <c r="BU1681" s="10" t="s">
        <v>11615</v>
      </c>
      <c r="BV1681" s="10"/>
      <c r="BW1681" s="10"/>
      <c r="BX1681" s="10"/>
      <c r="BY1681" s="23"/>
      <c r="BZ1681" s="23"/>
      <c r="CA1681" s="19" t="s">
        <v>12728</v>
      </c>
      <c r="CB1681" s="23"/>
      <c r="CC1681" s="23"/>
      <c r="CD1681" s="19" t="s">
        <v>12729</v>
      </c>
      <c r="CE1681" s="23"/>
      <c r="CF1681" s="23"/>
      <c r="CG1681" s="23"/>
      <c r="CH1681" s="23"/>
      <c r="CI1681" s="23"/>
    </row>
    <row r="1682" spans="1:87" x14ac:dyDescent="0.3">
      <c r="A1682" s="9" t="s">
        <v>12730</v>
      </c>
      <c r="B1682" s="10" t="s">
        <v>12731</v>
      </c>
      <c r="C1682" s="11">
        <v>45932.989583333336</v>
      </c>
      <c r="D1682" s="12">
        <v>8.3333333333333329E-2</v>
      </c>
      <c r="E1682" s="11">
        <v>45933.072916666664</v>
      </c>
      <c r="F1682" s="10" t="s">
        <v>7843</v>
      </c>
      <c r="G1682" s="13" t="b">
        <v>0</v>
      </c>
      <c r="H1682" s="10" t="s">
        <v>5239</v>
      </c>
      <c r="I1682" s="10" t="s">
        <v>89</v>
      </c>
      <c r="J1682" s="13" t="b">
        <v>0</v>
      </c>
      <c r="K1682" s="13" t="b">
        <v>1</v>
      </c>
      <c r="L1682" s="10" t="s">
        <v>124</v>
      </c>
      <c r="M1682" s="10" t="s">
        <v>91</v>
      </c>
      <c r="N1682" s="10" t="s">
        <v>92</v>
      </c>
      <c r="O1682" s="19" t="s">
        <v>12732</v>
      </c>
      <c r="P1682" s="10"/>
      <c r="Q1682" s="10" t="s">
        <v>94</v>
      </c>
      <c r="R1682" s="10"/>
      <c r="S1682" s="19" t="s">
        <v>12733</v>
      </c>
      <c r="T1682" s="10"/>
      <c r="U1682" s="10" t="s">
        <v>8547</v>
      </c>
      <c r="V1682" s="10" t="s">
        <v>8065</v>
      </c>
      <c r="W1682" s="10" t="s">
        <v>7848</v>
      </c>
      <c r="X1682" s="10" t="s">
        <v>130</v>
      </c>
      <c r="Y1682" s="10" t="s">
        <v>130</v>
      </c>
      <c r="Z1682" s="10" t="s">
        <v>99</v>
      </c>
      <c r="AA1682" s="10" t="s">
        <v>131</v>
      </c>
      <c r="AB1682" s="10" t="s">
        <v>7849</v>
      </c>
      <c r="AC1682" s="10" t="s">
        <v>3571</v>
      </c>
      <c r="AD1682" s="10" t="s">
        <v>12734</v>
      </c>
      <c r="AE1682" s="10" t="s">
        <v>12735</v>
      </c>
      <c r="AF1682" s="15"/>
      <c r="AG1682" s="10"/>
      <c r="AH1682" s="10"/>
      <c r="AI1682" s="10"/>
      <c r="AJ1682" s="10"/>
      <c r="AK1682" s="10" t="s">
        <v>102</v>
      </c>
      <c r="AL1682" s="10" t="s">
        <v>7897</v>
      </c>
      <c r="AM1682" s="10"/>
      <c r="AN1682" s="10"/>
      <c r="AO1682" s="13" t="b">
        <v>0</v>
      </c>
      <c r="AP1682" s="10" t="s">
        <v>104</v>
      </c>
      <c r="AQ1682" s="10">
        <f ca="1">IFERROR(__xludf.DUMMYFUNCTION("""COMPUTED_VALUE"""),4610726)</f>
        <v>4610726</v>
      </c>
      <c r="AR1682" s="17">
        <v>3242</v>
      </c>
      <c r="AS1682" s="17">
        <v>2265</v>
      </c>
      <c r="AT1682" s="17">
        <v>17746</v>
      </c>
      <c r="AU1682" s="17">
        <v>4.0999999999999996</v>
      </c>
      <c r="AV1682" s="17">
        <v>1.95</v>
      </c>
      <c r="AW1682" s="10" t="s">
        <v>105</v>
      </c>
      <c r="AX1682" s="17">
        <v>411</v>
      </c>
      <c r="AY1682" s="18">
        <v>7.8348785871964681</v>
      </c>
      <c r="AZ1682" s="10" t="s">
        <v>117</v>
      </c>
      <c r="BA1682" s="20" t="b">
        <v>0</v>
      </c>
      <c r="BB1682" s="10"/>
      <c r="BC1682" s="17">
        <v>3242</v>
      </c>
      <c r="BD1682" s="17">
        <v>2265</v>
      </c>
      <c r="BE1682" s="17">
        <v>17746</v>
      </c>
      <c r="BF1682" s="17">
        <v>1.95</v>
      </c>
      <c r="BG1682" s="11">
        <f ca="1">IFERROR(__xludf.DUMMYFUNCTION("""COMPUTED_VALUE"""),45932.9895833333)</f>
        <v>45932.989583333299</v>
      </c>
      <c r="BH1682" s="17" t="s">
        <v>105</v>
      </c>
      <c r="BI1682" s="17"/>
      <c r="BJ1682" s="15"/>
      <c r="BK1682" s="15"/>
      <c r="BL1682" s="13" t="b">
        <v>0</v>
      </c>
      <c r="BM1682" s="10"/>
      <c r="BN1682" s="10" t="s">
        <v>118</v>
      </c>
      <c r="BO1682" s="11">
        <v>45904.304861111108</v>
      </c>
      <c r="BP1682" s="11">
        <v>45923.534849537034</v>
      </c>
      <c r="BQ1682" s="15">
        <v>45929.519062500003</v>
      </c>
      <c r="BR1682" s="15">
        <v>45929.914467592593</v>
      </c>
      <c r="BS1682" s="10" t="s">
        <v>118</v>
      </c>
      <c r="BT1682" s="10" t="s">
        <v>99</v>
      </c>
      <c r="BU1682" s="10" t="s">
        <v>3752</v>
      </c>
      <c r="BV1682" s="10"/>
      <c r="BW1682" s="10"/>
      <c r="BX1682" s="10"/>
      <c r="BY1682" s="23"/>
      <c r="BZ1682" s="23"/>
      <c r="CA1682" s="19" t="s">
        <v>12736</v>
      </c>
      <c r="CB1682" s="23"/>
      <c r="CC1682" s="23"/>
      <c r="CD1682" s="23"/>
      <c r="CE1682" s="23"/>
      <c r="CF1682" s="23"/>
      <c r="CG1682" s="23"/>
      <c r="CH1682" s="23"/>
      <c r="CI1682" s="23"/>
    </row>
    <row r="1683" spans="1:87" x14ac:dyDescent="0.3">
      <c r="A1683" s="9" t="s">
        <v>12737</v>
      </c>
      <c r="B1683" s="10" t="s">
        <v>12738</v>
      </c>
      <c r="C1683" s="11">
        <v>45933.083333333336</v>
      </c>
      <c r="D1683" s="12">
        <v>8.3333333333333329E-2</v>
      </c>
      <c r="E1683" s="11">
        <v>45933.166666666664</v>
      </c>
      <c r="F1683" s="10" t="s">
        <v>7843</v>
      </c>
      <c r="G1683" s="13" t="b">
        <v>0</v>
      </c>
      <c r="H1683" s="10" t="s">
        <v>3564</v>
      </c>
      <c r="I1683" s="10" t="s">
        <v>89</v>
      </c>
      <c r="J1683" s="13" t="b">
        <v>0</v>
      </c>
      <c r="K1683" s="13" t="b">
        <v>1</v>
      </c>
      <c r="L1683" s="10" t="s">
        <v>124</v>
      </c>
      <c r="M1683" s="10" t="s">
        <v>91</v>
      </c>
      <c r="N1683" s="10" t="s">
        <v>92</v>
      </c>
      <c r="O1683" s="19" t="s">
        <v>12739</v>
      </c>
      <c r="P1683" s="10"/>
      <c r="Q1683" s="10" t="s">
        <v>126</v>
      </c>
      <c r="R1683" s="10"/>
      <c r="S1683" s="19" t="s">
        <v>12740</v>
      </c>
      <c r="T1683" s="19" t="s">
        <v>12741</v>
      </c>
      <c r="U1683" s="10" t="s">
        <v>320</v>
      </c>
      <c r="V1683" s="10" t="s">
        <v>12504</v>
      </c>
      <c r="W1683" s="10" t="s">
        <v>7848</v>
      </c>
      <c r="X1683" s="10" t="s">
        <v>130</v>
      </c>
      <c r="Y1683" s="10" t="s">
        <v>130</v>
      </c>
      <c r="Z1683" s="10" t="s">
        <v>99</v>
      </c>
      <c r="AA1683" s="10" t="s">
        <v>131</v>
      </c>
      <c r="AB1683" s="10" t="s">
        <v>7849</v>
      </c>
      <c r="AC1683" s="10" t="s">
        <v>3571</v>
      </c>
      <c r="AD1683" s="10" t="s">
        <v>12742</v>
      </c>
      <c r="AE1683" s="10" t="s">
        <v>12743</v>
      </c>
      <c r="AF1683" s="15"/>
      <c r="AG1683" s="10"/>
      <c r="AH1683" s="10"/>
      <c r="AI1683" s="10"/>
      <c r="AJ1683" s="10"/>
      <c r="AK1683" s="10" t="s">
        <v>102</v>
      </c>
      <c r="AL1683" s="10" t="s">
        <v>7897</v>
      </c>
      <c r="AM1683" s="10"/>
      <c r="AN1683" s="10"/>
      <c r="AO1683" s="13" t="b">
        <v>0</v>
      </c>
      <c r="AP1683" s="10" t="s">
        <v>104</v>
      </c>
      <c r="AQ1683" s="10">
        <f ca="1">IFERROR(__xludf.DUMMYFUNCTION("""COMPUTED_VALUE"""),4613311)</f>
        <v>4613311</v>
      </c>
      <c r="AR1683" s="17">
        <v>4607</v>
      </c>
      <c r="AS1683" s="17">
        <v>3050</v>
      </c>
      <c r="AT1683" s="17">
        <v>92333.75</v>
      </c>
      <c r="AU1683" s="17">
        <v>3.45</v>
      </c>
      <c r="AV1683" s="17">
        <v>1.5</v>
      </c>
      <c r="AW1683" s="10" t="s">
        <v>105</v>
      </c>
      <c r="AX1683" s="17">
        <v>1082</v>
      </c>
      <c r="AY1683" s="18">
        <v>30.273360655737704</v>
      </c>
      <c r="AZ1683" s="10" t="s">
        <v>117</v>
      </c>
      <c r="BA1683" s="20" t="b">
        <v>0</v>
      </c>
      <c r="BB1683" s="10"/>
      <c r="BC1683" s="17">
        <v>4607</v>
      </c>
      <c r="BD1683" s="17">
        <v>3050</v>
      </c>
      <c r="BE1683" s="17">
        <v>92333.75</v>
      </c>
      <c r="BF1683" s="17">
        <v>1.5</v>
      </c>
      <c r="BG1683" s="11">
        <f ca="1">IFERROR(__xludf.DUMMYFUNCTION("""COMPUTED_VALUE"""),45933.0833333333)</f>
        <v>45933.083333333299</v>
      </c>
      <c r="BH1683" s="17" t="s">
        <v>105</v>
      </c>
      <c r="BI1683" s="17"/>
      <c r="BJ1683" s="15"/>
      <c r="BK1683" s="15"/>
      <c r="BL1683" s="13" t="b">
        <v>0</v>
      </c>
      <c r="BM1683" s="10"/>
      <c r="BN1683" s="10" t="s">
        <v>117</v>
      </c>
      <c r="BO1683" s="11">
        <v>45904.304861111108</v>
      </c>
      <c r="BP1683" s="11">
        <v>45924.916134259256</v>
      </c>
      <c r="BQ1683" s="15">
        <v>45930.720335648148</v>
      </c>
      <c r="BR1683" s="15">
        <v>45930.836585648147</v>
      </c>
      <c r="BS1683" s="10"/>
      <c r="BT1683" s="10" t="s">
        <v>279</v>
      </c>
      <c r="BU1683" s="10" t="s">
        <v>6409</v>
      </c>
      <c r="BV1683" s="10"/>
      <c r="BW1683" s="10"/>
      <c r="BX1683" s="10"/>
      <c r="BY1683" s="23"/>
      <c r="BZ1683" s="23"/>
      <c r="CA1683" s="19" t="s">
        <v>12744</v>
      </c>
      <c r="CB1683" s="19" t="s">
        <v>12745</v>
      </c>
      <c r="CC1683" s="23"/>
      <c r="CD1683" s="19" t="s">
        <v>12746</v>
      </c>
      <c r="CE1683" s="23"/>
      <c r="CF1683" s="23"/>
      <c r="CG1683" s="23"/>
      <c r="CH1683" s="23"/>
      <c r="CI1683" s="23"/>
    </row>
    <row r="1684" spans="1:87" x14ac:dyDescent="0.3">
      <c r="A1684" s="9" t="s">
        <v>12747</v>
      </c>
      <c r="B1684" s="10" t="s">
        <v>12748</v>
      </c>
      <c r="C1684" s="11">
        <v>45933.083333333336</v>
      </c>
      <c r="D1684" s="12">
        <v>8.3333333333333329E-2</v>
      </c>
      <c r="E1684" s="11">
        <v>45933.166666666664</v>
      </c>
      <c r="F1684" s="10" t="s">
        <v>7843</v>
      </c>
      <c r="G1684" s="13" t="b">
        <v>0</v>
      </c>
      <c r="H1684" s="10" t="s">
        <v>11460</v>
      </c>
      <c r="I1684" s="10" t="s">
        <v>89</v>
      </c>
      <c r="J1684" s="13" t="b">
        <v>0</v>
      </c>
      <c r="K1684" s="13" t="b">
        <v>1</v>
      </c>
      <c r="L1684" s="10" t="s">
        <v>124</v>
      </c>
      <c r="M1684" s="10" t="s">
        <v>91</v>
      </c>
      <c r="N1684" s="10" t="s">
        <v>92</v>
      </c>
      <c r="O1684" s="19" t="s">
        <v>12749</v>
      </c>
      <c r="P1684" s="10"/>
      <c r="Q1684" s="10" t="s">
        <v>126</v>
      </c>
      <c r="R1684" s="10"/>
      <c r="S1684" s="19" t="s">
        <v>12750</v>
      </c>
      <c r="T1684" s="19" t="s">
        <v>12741</v>
      </c>
      <c r="U1684" s="10" t="s">
        <v>12634</v>
      </c>
      <c r="V1684" s="10" t="s">
        <v>7829</v>
      </c>
      <c r="W1684" s="10" t="s">
        <v>7848</v>
      </c>
      <c r="X1684" s="10" t="s">
        <v>130</v>
      </c>
      <c r="Y1684" s="10" t="s">
        <v>130</v>
      </c>
      <c r="Z1684" s="10" t="s">
        <v>99</v>
      </c>
      <c r="AA1684" s="10" t="s">
        <v>131</v>
      </c>
      <c r="AB1684" s="10" t="s">
        <v>7849</v>
      </c>
      <c r="AC1684" s="10" t="s">
        <v>3571</v>
      </c>
      <c r="AD1684" s="10" t="s">
        <v>12751</v>
      </c>
      <c r="AE1684" s="10" t="s">
        <v>12752</v>
      </c>
      <c r="AF1684" s="15"/>
      <c r="AG1684" s="10"/>
      <c r="AH1684" s="10"/>
      <c r="AI1684" s="10"/>
      <c r="AJ1684" s="10"/>
      <c r="AK1684" s="10" t="s">
        <v>102</v>
      </c>
      <c r="AL1684" s="10" t="s">
        <v>7897</v>
      </c>
      <c r="AM1684" s="10"/>
      <c r="AN1684" s="10"/>
      <c r="AO1684" s="13" t="b">
        <v>0</v>
      </c>
      <c r="AP1684" s="10" t="s">
        <v>104</v>
      </c>
      <c r="AQ1684" s="10">
        <f ca="1">IFERROR(__xludf.DUMMYFUNCTION("""COMPUTED_VALUE"""),4614702)</f>
        <v>4614702</v>
      </c>
      <c r="AR1684" s="17">
        <v>11210</v>
      </c>
      <c r="AS1684" s="17">
        <v>8554</v>
      </c>
      <c r="AT1684" s="17">
        <v>121961.75</v>
      </c>
      <c r="AU1684" s="17">
        <v>13.45</v>
      </c>
      <c r="AV1684" s="17">
        <v>3.75</v>
      </c>
      <c r="AW1684" s="10" t="s">
        <v>105</v>
      </c>
      <c r="AX1684" s="17">
        <v>15332</v>
      </c>
      <c r="AY1684" s="18">
        <v>14.257861819032032</v>
      </c>
      <c r="AZ1684" s="10" t="s">
        <v>117</v>
      </c>
      <c r="BA1684" s="20" t="b">
        <v>0</v>
      </c>
      <c r="BB1684" s="10"/>
      <c r="BC1684" s="17">
        <v>11210</v>
      </c>
      <c r="BD1684" s="17">
        <v>8554</v>
      </c>
      <c r="BE1684" s="17">
        <v>121961.75</v>
      </c>
      <c r="BF1684" s="17">
        <v>3.75</v>
      </c>
      <c r="BG1684" s="11">
        <f ca="1">IFERROR(__xludf.DUMMYFUNCTION("""COMPUTED_VALUE"""),45933.0833333333)</f>
        <v>45933.083333333299</v>
      </c>
      <c r="BH1684" s="17" t="s">
        <v>105</v>
      </c>
      <c r="BI1684" s="17"/>
      <c r="BJ1684" s="15"/>
      <c r="BK1684" s="15"/>
      <c r="BL1684" s="13" t="b">
        <v>0</v>
      </c>
      <c r="BM1684" s="10"/>
      <c r="BN1684" s="10" t="s">
        <v>117</v>
      </c>
      <c r="BO1684" s="11">
        <v>45904.304861111108</v>
      </c>
      <c r="BP1684" s="11">
        <v>45923.527199074073</v>
      </c>
      <c r="BQ1684" s="15">
        <v>45930.720069444447</v>
      </c>
      <c r="BR1684" s="15">
        <v>45931.543333333335</v>
      </c>
      <c r="BS1684" s="10"/>
      <c r="BT1684" s="10" t="s">
        <v>279</v>
      </c>
      <c r="BU1684" s="10" t="s">
        <v>8013</v>
      </c>
      <c r="BV1684" s="10"/>
      <c r="BW1684" s="10"/>
      <c r="BX1684" s="10"/>
      <c r="BY1684" s="23"/>
      <c r="BZ1684" s="23"/>
      <c r="CA1684" s="19" t="s">
        <v>12753</v>
      </c>
      <c r="CB1684" s="19" t="s">
        <v>12754</v>
      </c>
      <c r="CC1684" s="23"/>
      <c r="CD1684" s="19" t="s">
        <v>12755</v>
      </c>
      <c r="CE1684" s="23"/>
      <c r="CF1684" s="23"/>
      <c r="CG1684" s="23"/>
      <c r="CH1684" s="23"/>
      <c r="CI1684" s="23"/>
    </row>
    <row r="1685" spans="1:87" x14ac:dyDescent="0.3">
      <c r="A1685" s="9" t="s">
        <v>12756</v>
      </c>
      <c r="B1685" s="10" t="s">
        <v>12757</v>
      </c>
      <c r="C1685" s="11">
        <v>45933.083333333336</v>
      </c>
      <c r="D1685" s="12">
        <v>8.3333333333333329E-2</v>
      </c>
      <c r="E1685" s="11">
        <v>45933.166666666664</v>
      </c>
      <c r="F1685" s="10" t="s">
        <v>7843</v>
      </c>
      <c r="G1685" s="13" t="b">
        <v>0</v>
      </c>
      <c r="H1685" s="10" t="s">
        <v>5239</v>
      </c>
      <c r="I1685" s="10" t="s">
        <v>89</v>
      </c>
      <c r="J1685" s="13" t="b">
        <v>0</v>
      </c>
      <c r="K1685" s="13" t="b">
        <v>1</v>
      </c>
      <c r="L1685" s="10" t="s">
        <v>124</v>
      </c>
      <c r="M1685" s="10" t="s">
        <v>91</v>
      </c>
      <c r="N1685" s="10" t="s">
        <v>92</v>
      </c>
      <c r="O1685" s="19" t="s">
        <v>12758</v>
      </c>
      <c r="P1685" s="10"/>
      <c r="Q1685" s="10" t="s">
        <v>94</v>
      </c>
      <c r="R1685" s="10"/>
      <c r="S1685" s="19" t="s">
        <v>12759</v>
      </c>
      <c r="T1685" s="19" t="s">
        <v>12741</v>
      </c>
      <c r="U1685" s="10" t="s">
        <v>12644</v>
      </c>
      <c r="V1685" s="10" t="s">
        <v>3600</v>
      </c>
      <c r="W1685" s="10" t="s">
        <v>7848</v>
      </c>
      <c r="X1685" s="10" t="s">
        <v>130</v>
      </c>
      <c r="Y1685" s="10" t="s">
        <v>130</v>
      </c>
      <c r="Z1685" s="10" t="s">
        <v>99</v>
      </c>
      <c r="AA1685" s="10" t="s">
        <v>131</v>
      </c>
      <c r="AB1685" s="10" t="s">
        <v>7849</v>
      </c>
      <c r="AC1685" s="10" t="s">
        <v>3571</v>
      </c>
      <c r="AD1685" s="10" t="s">
        <v>12760</v>
      </c>
      <c r="AE1685" s="10" t="s">
        <v>12761</v>
      </c>
      <c r="AF1685" s="15"/>
      <c r="AG1685" s="10"/>
      <c r="AH1685" s="10"/>
      <c r="AI1685" s="10"/>
      <c r="AJ1685" s="10"/>
      <c r="AK1685" s="10" t="s">
        <v>102</v>
      </c>
      <c r="AL1685" s="10" t="s">
        <v>7897</v>
      </c>
      <c r="AM1685" s="10"/>
      <c r="AN1685" s="10"/>
      <c r="AO1685" s="13" t="b">
        <v>0</v>
      </c>
      <c r="AP1685" s="10" t="s">
        <v>104</v>
      </c>
      <c r="AQ1685" s="10">
        <f ca="1">IFERROR(__xludf.DUMMYFUNCTION("""COMPUTED_VALUE"""),4614705)</f>
        <v>4614705</v>
      </c>
      <c r="AR1685" s="17">
        <v>1000</v>
      </c>
      <c r="AS1685" s="17">
        <v>655</v>
      </c>
      <c r="AT1685" s="17">
        <v>3832</v>
      </c>
      <c r="AU1685" s="17">
        <v>0</v>
      </c>
      <c r="AV1685" s="17">
        <v>0</v>
      </c>
      <c r="AW1685" s="10" t="s">
        <v>105</v>
      </c>
      <c r="AX1685" s="17">
        <v>118</v>
      </c>
      <c r="AY1685" s="18">
        <v>5.8503816793893133</v>
      </c>
      <c r="AZ1685" s="10" t="s">
        <v>117</v>
      </c>
      <c r="BA1685" s="20" t="b">
        <v>0</v>
      </c>
      <c r="BB1685" s="10"/>
      <c r="BC1685" s="17">
        <v>1000</v>
      </c>
      <c r="BD1685" s="17">
        <v>655</v>
      </c>
      <c r="BE1685" s="17">
        <v>3832</v>
      </c>
      <c r="BF1685" s="17">
        <v>0</v>
      </c>
      <c r="BG1685" s="11">
        <f ca="1">IFERROR(__xludf.DUMMYFUNCTION("""COMPUTED_VALUE"""),45933.0833333333)</f>
        <v>45933.083333333299</v>
      </c>
      <c r="BH1685" s="17" t="s">
        <v>105</v>
      </c>
      <c r="BI1685" s="17"/>
      <c r="BJ1685" s="15"/>
      <c r="BK1685" s="15"/>
      <c r="BL1685" s="13" t="b">
        <v>0</v>
      </c>
      <c r="BM1685" s="10"/>
      <c r="BN1685" s="10" t="s">
        <v>117</v>
      </c>
      <c r="BO1685" s="11">
        <v>45904.304861111108</v>
      </c>
      <c r="BP1685" s="11">
        <v>45923.536597222221</v>
      </c>
      <c r="BQ1685" s="15">
        <v>45930.719930555555</v>
      </c>
      <c r="BR1685" s="15">
        <v>45931.542939814812</v>
      </c>
      <c r="BS1685" s="10"/>
      <c r="BT1685" s="10" t="s">
        <v>99</v>
      </c>
      <c r="BU1685" s="10" t="s">
        <v>3752</v>
      </c>
      <c r="BV1685" s="10"/>
      <c r="BW1685" s="10"/>
      <c r="BX1685" s="10"/>
      <c r="BY1685" s="23"/>
      <c r="BZ1685" s="23"/>
      <c r="CA1685" s="19" t="s">
        <v>12762</v>
      </c>
      <c r="CB1685" s="19" t="s">
        <v>12763</v>
      </c>
      <c r="CC1685" s="23"/>
      <c r="CD1685" s="23"/>
      <c r="CE1685" s="23"/>
      <c r="CF1685" s="23"/>
      <c r="CG1685" s="23"/>
      <c r="CH1685" s="23"/>
      <c r="CI1685" s="23"/>
    </row>
    <row r="1686" spans="1:87" x14ac:dyDescent="0.3">
      <c r="A1686" s="9" t="s">
        <v>12764</v>
      </c>
      <c r="B1686" s="10" t="s">
        <v>12765</v>
      </c>
      <c r="C1686" s="11">
        <v>45933.083333333336</v>
      </c>
      <c r="D1686" s="12">
        <v>8.3333333333333329E-2</v>
      </c>
      <c r="E1686" s="11">
        <v>45933.166666666664</v>
      </c>
      <c r="F1686" s="10" t="s">
        <v>7843</v>
      </c>
      <c r="G1686" s="13" t="b">
        <v>0</v>
      </c>
      <c r="H1686" s="10" t="s">
        <v>5239</v>
      </c>
      <c r="I1686" s="10" t="s">
        <v>89</v>
      </c>
      <c r="J1686" s="13" t="b">
        <v>0</v>
      </c>
      <c r="K1686" s="13" t="b">
        <v>1</v>
      </c>
      <c r="L1686" s="10" t="s">
        <v>124</v>
      </c>
      <c r="M1686" s="10" t="s">
        <v>91</v>
      </c>
      <c r="N1686" s="10" t="s">
        <v>92</v>
      </c>
      <c r="O1686" s="19" t="s">
        <v>12766</v>
      </c>
      <c r="P1686" s="10"/>
      <c r="Q1686" s="10" t="s">
        <v>94</v>
      </c>
      <c r="R1686" s="10"/>
      <c r="S1686" s="19" t="s">
        <v>12767</v>
      </c>
      <c r="T1686" s="19" t="s">
        <v>12741</v>
      </c>
      <c r="U1686" s="10" t="s">
        <v>12513</v>
      </c>
      <c r="V1686" s="10" t="s">
        <v>12559</v>
      </c>
      <c r="W1686" s="10" t="s">
        <v>7848</v>
      </c>
      <c r="X1686" s="10" t="s">
        <v>130</v>
      </c>
      <c r="Y1686" s="10" t="s">
        <v>130</v>
      </c>
      <c r="Z1686" s="10" t="s">
        <v>99</v>
      </c>
      <c r="AA1686" s="10" t="s">
        <v>131</v>
      </c>
      <c r="AB1686" s="10" t="s">
        <v>7849</v>
      </c>
      <c r="AC1686" s="10" t="s">
        <v>3571</v>
      </c>
      <c r="AD1686" s="10" t="s">
        <v>12768</v>
      </c>
      <c r="AE1686" s="10" t="s">
        <v>12769</v>
      </c>
      <c r="AF1686" s="15"/>
      <c r="AG1686" s="10"/>
      <c r="AH1686" s="10"/>
      <c r="AI1686" s="10"/>
      <c r="AJ1686" s="10"/>
      <c r="AK1686" s="10" t="s">
        <v>102</v>
      </c>
      <c r="AL1686" s="10" t="s">
        <v>7897</v>
      </c>
      <c r="AM1686" s="10"/>
      <c r="AN1686" s="10"/>
      <c r="AO1686" s="13" t="b">
        <v>0</v>
      </c>
      <c r="AP1686" s="10" t="s">
        <v>104</v>
      </c>
      <c r="AQ1686" s="10">
        <f ca="1">IFERROR(__xludf.DUMMYFUNCTION("""COMPUTED_VALUE"""),4614706)</f>
        <v>4614706</v>
      </c>
      <c r="AR1686" s="17">
        <v>1157</v>
      </c>
      <c r="AS1686" s="17">
        <v>923</v>
      </c>
      <c r="AT1686" s="17">
        <v>3937</v>
      </c>
      <c r="AU1686" s="17">
        <v>0.9</v>
      </c>
      <c r="AV1686" s="17">
        <v>0.9</v>
      </c>
      <c r="AW1686" s="10" t="s">
        <v>105</v>
      </c>
      <c r="AX1686" s="17">
        <v>129</v>
      </c>
      <c r="AY1686" s="18">
        <v>4.2654387865655474</v>
      </c>
      <c r="AZ1686" s="10" t="s">
        <v>117</v>
      </c>
      <c r="BA1686" s="20" t="b">
        <v>0</v>
      </c>
      <c r="BB1686" s="10"/>
      <c r="BC1686" s="17">
        <v>1157</v>
      </c>
      <c r="BD1686" s="17">
        <v>923</v>
      </c>
      <c r="BE1686" s="17">
        <v>3937</v>
      </c>
      <c r="BF1686" s="17">
        <v>0.9</v>
      </c>
      <c r="BG1686" s="11">
        <f ca="1">IFERROR(__xludf.DUMMYFUNCTION("""COMPUTED_VALUE"""),45933.0833333333)</f>
        <v>45933.083333333299</v>
      </c>
      <c r="BH1686" s="17" t="s">
        <v>105</v>
      </c>
      <c r="BI1686" s="17"/>
      <c r="BJ1686" s="15"/>
      <c r="BK1686" s="15"/>
      <c r="BL1686" s="13" t="b">
        <v>0</v>
      </c>
      <c r="BM1686" s="10"/>
      <c r="BN1686" s="10" t="s">
        <v>117</v>
      </c>
      <c r="BO1686" s="11">
        <v>45904.304861111108</v>
      </c>
      <c r="BP1686" s="11">
        <v>45923.53670138889</v>
      </c>
      <c r="BQ1686" s="15">
        <v>45930.720196759263</v>
      </c>
      <c r="BR1686" s="15">
        <v>45931.543506944443</v>
      </c>
      <c r="BS1686" s="10"/>
      <c r="BT1686" s="10" t="s">
        <v>279</v>
      </c>
      <c r="BU1686" s="10" t="s">
        <v>942</v>
      </c>
      <c r="BV1686" s="10"/>
      <c r="BW1686" s="10"/>
      <c r="BX1686" s="10"/>
      <c r="BY1686" s="23"/>
      <c r="BZ1686" s="23"/>
      <c r="CA1686" s="19" t="s">
        <v>12770</v>
      </c>
      <c r="CB1686" s="19" t="s">
        <v>12771</v>
      </c>
      <c r="CC1686" s="23"/>
      <c r="CD1686" s="23"/>
      <c r="CE1686" s="23"/>
      <c r="CF1686" s="23"/>
      <c r="CG1686" s="23"/>
      <c r="CH1686" s="23"/>
      <c r="CI1686" s="23"/>
    </row>
    <row r="1687" spans="1:87" x14ac:dyDescent="0.3">
      <c r="A1687" s="9" t="s">
        <v>12772</v>
      </c>
      <c r="B1687" s="10" t="s">
        <v>12773</v>
      </c>
      <c r="C1687" s="11">
        <v>45933.083333333336</v>
      </c>
      <c r="D1687" s="12">
        <v>8.3333333333333329E-2</v>
      </c>
      <c r="E1687" s="11">
        <v>45933.166666666664</v>
      </c>
      <c r="F1687" s="10" t="s">
        <v>7843</v>
      </c>
      <c r="G1687" s="13" t="b">
        <v>0</v>
      </c>
      <c r="H1687" s="10" t="s">
        <v>5239</v>
      </c>
      <c r="I1687" s="10" t="s">
        <v>89</v>
      </c>
      <c r="J1687" s="13" t="b">
        <v>0</v>
      </c>
      <c r="K1687" s="13" t="b">
        <v>1</v>
      </c>
      <c r="L1687" s="10" t="s">
        <v>124</v>
      </c>
      <c r="M1687" s="10" t="s">
        <v>91</v>
      </c>
      <c r="N1687" s="10" t="s">
        <v>92</v>
      </c>
      <c r="O1687" s="19" t="s">
        <v>12774</v>
      </c>
      <c r="P1687" s="10"/>
      <c r="Q1687" s="10" t="s">
        <v>94</v>
      </c>
      <c r="R1687" s="10"/>
      <c r="S1687" s="19" t="s">
        <v>12775</v>
      </c>
      <c r="T1687" s="19" t="s">
        <v>12741</v>
      </c>
      <c r="U1687" s="10" t="s">
        <v>8555</v>
      </c>
      <c r="V1687" s="10" t="s">
        <v>3567</v>
      </c>
      <c r="W1687" s="10" t="s">
        <v>7848</v>
      </c>
      <c r="X1687" s="10" t="s">
        <v>130</v>
      </c>
      <c r="Y1687" s="10" t="s">
        <v>130</v>
      </c>
      <c r="Z1687" s="10" t="s">
        <v>99</v>
      </c>
      <c r="AA1687" s="10" t="s">
        <v>131</v>
      </c>
      <c r="AB1687" s="10" t="s">
        <v>7849</v>
      </c>
      <c r="AC1687" s="10" t="s">
        <v>3571</v>
      </c>
      <c r="AD1687" s="10" t="s">
        <v>12776</v>
      </c>
      <c r="AE1687" s="10" t="s">
        <v>12777</v>
      </c>
      <c r="AF1687" s="15"/>
      <c r="AG1687" s="10"/>
      <c r="AH1687" s="10"/>
      <c r="AI1687" s="10"/>
      <c r="AJ1687" s="10"/>
      <c r="AK1687" s="10" t="s">
        <v>102</v>
      </c>
      <c r="AL1687" s="10" t="s">
        <v>7897</v>
      </c>
      <c r="AM1687" s="10"/>
      <c r="AN1687" s="10"/>
      <c r="AO1687" s="13" t="b">
        <v>0</v>
      </c>
      <c r="AP1687" s="10" t="s">
        <v>104</v>
      </c>
      <c r="AQ1687" s="10">
        <f ca="1">IFERROR(__xludf.DUMMYFUNCTION("""COMPUTED_VALUE"""),4614708)</f>
        <v>4614708</v>
      </c>
      <c r="AR1687" s="17">
        <v>721</v>
      </c>
      <c r="AS1687" s="17">
        <v>503</v>
      </c>
      <c r="AT1687" s="17">
        <v>2335.5</v>
      </c>
      <c r="AU1687" s="17">
        <v>0</v>
      </c>
      <c r="AV1687" s="17">
        <v>0</v>
      </c>
      <c r="AW1687" s="10" t="s">
        <v>105</v>
      </c>
      <c r="AX1687" s="17">
        <v>167</v>
      </c>
      <c r="AY1687" s="18">
        <v>4.643141153081511</v>
      </c>
      <c r="AZ1687" s="10" t="s">
        <v>117</v>
      </c>
      <c r="BA1687" s="20" t="b">
        <v>0</v>
      </c>
      <c r="BB1687" s="10"/>
      <c r="BC1687" s="17">
        <v>721</v>
      </c>
      <c r="BD1687" s="17">
        <v>503</v>
      </c>
      <c r="BE1687" s="17">
        <v>2335.5</v>
      </c>
      <c r="BF1687" s="17">
        <v>0</v>
      </c>
      <c r="BG1687" s="11">
        <f ca="1">IFERROR(__xludf.DUMMYFUNCTION("""COMPUTED_VALUE"""),45933.0833333333)</f>
        <v>45933.083333333299</v>
      </c>
      <c r="BH1687" s="17" t="s">
        <v>105</v>
      </c>
      <c r="BI1687" s="17"/>
      <c r="BJ1687" s="15"/>
      <c r="BK1687" s="15"/>
      <c r="BL1687" s="13" t="b">
        <v>0</v>
      </c>
      <c r="BM1687" s="10"/>
      <c r="BN1687" s="10" t="s">
        <v>117</v>
      </c>
      <c r="BO1687" s="11">
        <v>45904.304861111108</v>
      </c>
      <c r="BP1687" s="11">
        <v>45923.536979166667</v>
      </c>
      <c r="BQ1687" s="15">
        <v>45930.720601851855</v>
      </c>
      <c r="BR1687" s="15">
        <v>45931.544849537036</v>
      </c>
      <c r="BS1687" s="10"/>
      <c r="BT1687" s="10" t="s">
        <v>279</v>
      </c>
      <c r="BU1687" s="10" t="s">
        <v>8038</v>
      </c>
      <c r="BV1687" s="10"/>
      <c r="BW1687" s="10"/>
      <c r="BX1687" s="10"/>
      <c r="BY1687" s="23"/>
      <c r="BZ1687" s="23"/>
      <c r="CA1687" s="19" t="s">
        <v>12778</v>
      </c>
      <c r="CB1687" s="19" t="s">
        <v>12779</v>
      </c>
      <c r="CC1687" s="23"/>
      <c r="CD1687" s="23"/>
      <c r="CE1687" s="23"/>
      <c r="CF1687" s="23"/>
      <c r="CG1687" s="23"/>
      <c r="CH1687" s="23"/>
      <c r="CI1687" s="23"/>
    </row>
    <row r="1688" spans="1:87" x14ac:dyDescent="0.3">
      <c r="A1688" s="9" t="s">
        <v>12780</v>
      </c>
      <c r="B1688" s="10" t="s">
        <v>12781</v>
      </c>
      <c r="C1688" s="11">
        <v>45933.083333333336</v>
      </c>
      <c r="D1688" s="12">
        <v>8.3333333333333329E-2</v>
      </c>
      <c r="E1688" s="11">
        <v>45933.166666666664</v>
      </c>
      <c r="F1688" s="10" t="s">
        <v>7843</v>
      </c>
      <c r="G1688" s="13" t="b">
        <v>0</v>
      </c>
      <c r="H1688" s="10" t="s">
        <v>5239</v>
      </c>
      <c r="I1688" s="10" t="s">
        <v>89</v>
      </c>
      <c r="J1688" s="13" t="b">
        <v>0</v>
      </c>
      <c r="K1688" s="13" t="b">
        <v>1</v>
      </c>
      <c r="L1688" s="10" t="s">
        <v>124</v>
      </c>
      <c r="M1688" s="10" t="s">
        <v>91</v>
      </c>
      <c r="N1688" s="10" t="s">
        <v>92</v>
      </c>
      <c r="O1688" s="19" t="s">
        <v>12782</v>
      </c>
      <c r="P1688" s="10"/>
      <c r="Q1688" s="10" t="s">
        <v>94</v>
      </c>
      <c r="R1688" s="10"/>
      <c r="S1688" s="19" t="s">
        <v>12783</v>
      </c>
      <c r="T1688" s="19" t="s">
        <v>12741</v>
      </c>
      <c r="U1688" s="10" t="s">
        <v>5066</v>
      </c>
      <c r="V1688" s="10" t="s">
        <v>7846</v>
      </c>
      <c r="W1688" s="10" t="s">
        <v>7848</v>
      </c>
      <c r="X1688" s="10" t="s">
        <v>130</v>
      </c>
      <c r="Y1688" s="10" t="s">
        <v>130</v>
      </c>
      <c r="Z1688" s="10" t="s">
        <v>99</v>
      </c>
      <c r="AA1688" s="10" t="s">
        <v>131</v>
      </c>
      <c r="AB1688" s="10" t="s">
        <v>7849</v>
      </c>
      <c r="AC1688" s="10" t="s">
        <v>3571</v>
      </c>
      <c r="AD1688" s="10" t="s">
        <v>12784</v>
      </c>
      <c r="AE1688" s="10" t="s">
        <v>12785</v>
      </c>
      <c r="AF1688" s="15"/>
      <c r="AG1688" s="10"/>
      <c r="AH1688" s="10"/>
      <c r="AI1688" s="10"/>
      <c r="AJ1688" s="10"/>
      <c r="AK1688" s="10" t="s">
        <v>102</v>
      </c>
      <c r="AL1688" s="10" t="s">
        <v>7897</v>
      </c>
      <c r="AM1688" s="10"/>
      <c r="AN1688" s="10"/>
      <c r="AO1688" s="13" t="b">
        <v>0</v>
      </c>
      <c r="AP1688" s="10" t="s">
        <v>104</v>
      </c>
      <c r="AQ1688" s="10">
        <f ca="1">IFERROR(__xludf.DUMMYFUNCTION("""COMPUTED_VALUE"""),4614704)</f>
        <v>4614704</v>
      </c>
      <c r="AR1688" s="17">
        <v>1921</v>
      </c>
      <c r="AS1688" s="17">
        <v>1336</v>
      </c>
      <c r="AT1688" s="17">
        <v>11063.5</v>
      </c>
      <c r="AU1688" s="17">
        <v>0.3</v>
      </c>
      <c r="AV1688" s="17">
        <v>0.15</v>
      </c>
      <c r="AW1688" s="10" t="s">
        <v>105</v>
      </c>
      <c r="AX1688" s="17">
        <v>366</v>
      </c>
      <c r="AY1688" s="18">
        <v>8.2810628742514965</v>
      </c>
      <c r="AZ1688" s="10" t="s">
        <v>117</v>
      </c>
      <c r="BA1688" s="20" t="b">
        <v>0</v>
      </c>
      <c r="BB1688" s="10"/>
      <c r="BC1688" s="17">
        <v>1921</v>
      </c>
      <c r="BD1688" s="17">
        <v>1336</v>
      </c>
      <c r="BE1688" s="17">
        <v>11063.5</v>
      </c>
      <c r="BF1688" s="17">
        <v>0.15</v>
      </c>
      <c r="BG1688" s="11">
        <f ca="1">IFERROR(__xludf.DUMMYFUNCTION("""COMPUTED_VALUE"""),45933.0833333333)</f>
        <v>45933.083333333299</v>
      </c>
      <c r="BH1688" s="17" t="s">
        <v>105</v>
      </c>
      <c r="BI1688" s="17"/>
      <c r="BJ1688" s="15"/>
      <c r="BK1688" s="15"/>
      <c r="BL1688" s="13" t="b">
        <v>0</v>
      </c>
      <c r="BM1688" s="10"/>
      <c r="BN1688" s="10" t="s">
        <v>117</v>
      </c>
      <c r="BO1688" s="11">
        <v>45904.304861111108</v>
      </c>
      <c r="BP1688" s="11">
        <v>45923.536863425928</v>
      </c>
      <c r="BQ1688" s="15">
        <v>45930.719652777778</v>
      </c>
      <c r="BR1688" s="15">
        <v>45931.542731481481</v>
      </c>
      <c r="BS1688" s="10"/>
      <c r="BT1688" s="10" t="s">
        <v>279</v>
      </c>
      <c r="BU1688" s="10" t="s">
        <v>11615</v>
      </c>
      <c r="BV1688" s="10"/>
      <c r="BW1688" s="10"/>
      <c r="BX1688" s="10"/>
      <c r="BY1688" s="23"/>
      <c r="BZ1688" s="23"/>
      <c r="CA1688" s="19" t="s">
        <v>12786</v>
      </c>
      <c r="CB1688" s="19" t="s">
        <v>12787</v>
      </c>
      <c r="CC1688" s="23"/>
      <c r="CD1688" s="23"/>
      <c r="CE1688" s="23"/>
      <c r="CF1688" s="23"/>
      <c r="CG1688" s="23"/>
      <c r="CH1688" s="23"/>
      <c r="CI1688" s="23"/>
    </row>
    <row r="1689" spans="1:87" x14ac:dyDescent="0.3">
      <c r="A1689" s="9" t="s">
        <v>12788</v>
      </c>
      <c r="B1689" s="10" t="s">
        <v>12789</v>
      </c>
      <c r="C1689" s="11">
        <v>45933.083333333336</v>
      </c>
      <c r="D1689" s="12">
        <v>8.3333333333333329E-2</v>
      </c>
      <c r="E1689" s="11">
        <v>45933.166666666664</v>
      </c>
      <c r="F1689" s="10" t="s">
        <v>7843</v>
      </c>
      <c r="G1689" s="13" t="b">
        <v>0</v>
      </c>
      <c r="H1689" s="10" t="s">
        <v>5239</v>
      </c>
      <c r="I1689" s="10" t="s">
        <v>89</v>
      </c>
      <c r="J1689" s="13" t="b">
        <v>0</v>
      </c>
      <c r="K1689" s="13" t="b">
        <v>1</v>
      </c>
      <c r="L1689" s="10" t="s">
        <v>124</v>
      </c>
      <c r="M1689" s="10" t="s">
        <v>91</v>
      </c>
      <c r="N1689" s="10" t="s">
        <v>92</v>
      </c>
      <c r="O1689" s="19" t="s">
        <v>12790</v>
      </c>
      <c r="P1689" s="10"/>
      <c r="Q1689" s="10" t="s">
        <v>94</v>
      </c>
      <c r="R1689" s="10"/>
      <c r="S1689" s="19" t="s">
        <v>12791</v>
      </c>
      <c r="T1689" s="19" t="s">
        <v>12741</v>
      </c>
      <c r="U1689" s="10" t="s">
        <v>7870</v>
      </c>
      <c r="V1689" s="10" t="s">
        <v>3591</v>
      </c>
      <c r="W1689" s="10" t="s">
        <v>7848</v>
      </c>
      <c r="X1689" s="10" t="s">
        <v>130</v>
      </c>
      <c r="Y1689" s="10" t="s">
        <v>130</v>
      </c>
      <c r="Z1689" s="10" t="s">
        <v>99</v>
      </c>
      <c r="AA1689" s="10" t="s">
        <v>131</v>
      </c>
      <c r="AB1689" s="10" t="s">
        <v>7849</v>
      </c>
      <c r="AC1689" s="10" t="s">
        <v>3571</v>
      </c>
      <c r="AD1689" s="10" t="s">
        <v>12792</v>
      </c>
      <c r="AE1689" s="10" t="s">
        <v>12793</v>
      </c>
      <c r="AF1689" s="15"/>
      <c r="AG1689" s="10"/>
      <c r="AH1689" s="10"/>
      <c r="AI1689" s="10"/>
      <c r="AJ1689" s="10"/>
      <c r="AK1689" s="10" t="s">
        <v>102</v>
      </c>
      <c r="AL1689" s="10" t="s">
        <v>7897</v>
      </c>
      <c r="AM1689" s="10"/>
      <c r="AN1689" s="10"/>
      <c r="AO1689" s="13" t="b">
        <v>0</v>
      </c>
      <c r="AP1689" s="10" t="s">
        <v>104</v>
      </c>
      <c r="AQ1689" s="10">
        <f ca="1">IFERROR(__xludf.DUMMYFUNCTION("""COMPUTED_VALUE"""),4614707)</f>
        <v>4614707</v>
      </c>
      <c r="AR1689" s="17">
        <v>4062</v>
      </c>
      <c r="AS1689" s="17">
        <v>2392</v>
      </c>
      <c r="AT1689" s="17">
        <v>26712.5</v>
      </c>
      <c r="AU1689" s="17">
        <v>4</v>
      </c>
      <c r="AV1689" s="17">
        <v>0.6</v>
      </c>
      <c r="AW1689" s="10" t="s">
        <v>105</v>
      </c>
      <c r="AX1689" s="17">
        <v>770</v>
      </c>
      <c r="AY1689" s="18">
        <v>11.167433110367893</v>
      </c>
      <c r="AZ1689" s="10" t="s">
        <v>117</v>
      </c>
      <c r="BA1689" s="20" t="b">
        <v>0</v>
      </c>
      <c r="BB1689" s="10"/>
      <c r="BC1689" s="17">
        <v>4062</v>
      </c>
      <c r="BD1689" s="17">
        <v>2392</v>
      </c>
      <c r="BE1689" s="17">
        <v>26712.5</v>
      </c>
      <c r="BF1689" s="17">
        <v>0.6</v>
      </c>
      <c r="BG1689" s="11">
        <f ca="1">IFERROR(__xludf.DUMMYFUNCTION("""COMPUTED_VALUE"""),45933.0833333333)</f>
        <v>45933.083333333299</v>
      </c>
      <c r="BH1689" s="17" t="s">
        <v>105</v>
      </c>
      <c r="BI1689" s="17"/>
      <c r="BJ1689" s="15"/>
      <c r="BK1689" s="15"/>
      <c r="BL1689" s="13" t="b">
        <v>0</v>
      </c>
      <c r="BM1689" s="10"/>
      <c r="BN1689" s="10" t="s">
        <v>117</v>
      </c>
      <c r="BO1689" s="11">
        <v>45904.304861111108</v>
      </c>
      <c r="BP1689" s="11">
        <v>45923.536412037036</v>
      </c>
      <c r="BQ1689" s="15">
        <v>45930.72047453704</v>
      </c>
      <c r="BR1689" s="15">
        <v>45931.543645833335</v>
      </c>
      <c r="BS1689" s="10"/>
      <c r="BT1689" s="10" t="s">
        <v>279</v>
      </c>
      <c r="BU1689" s="10" t="s">
        <v>5492</v>
      </c>
      <c r="BV1689" s="10"/>
      <c r="BW1689" s="10"/>
      <c r="BX1689" s="10"/>
      <c r="BY1689" s="23"/>
      <c r="BZ1689" s="23"/>
      <c r="CA1689" s="19" t="s">
        <v>12794</v>
      </c>
      <c r="CB1689" s="19" t="s">
        <v>12795</v>
      </c>
      <c r="CC1689" s="23"/>
      <c r="CD1689" s="23"/>
      <c r="CE1689" s="23"/>
      <c r="CF1689" s="23"/>
      <c r="CG1689" s="23"/>
      <c r="CH1689" s="23"/>
      <c r="CI1689" s="23"/>
    </row>
    <row r="1690" spans="1:87" x14ac:dyDescent="0.3">
      <c r="A1690" s="9" t="s">
        <v>12796</v>
      </c>
      <c r="B1690" s="10" t="s">
        <v>12797</v>
      </c>
      <c r="C1690" s="11">
        <v>45933.083333333336</v>
      </c>
      <c r="D1690" s="12">
        <v>8.3333333333333329E-2</v>
      </c>
      <c r="E1690" s="11">
        <v>45933.166666666664</v>
      </c>
      <c r="F1690" s="10" t="s">
        <v>7843</v>
      </c>
      <c r="G1690" s="13" t="b">
        <v>0</v>
      </c>
      <c r="H1690" s="10" t="s">
        <v>3578</v>
      </c>
      <c r="I1690" s="10" t="s">
        <v>89</v>
      </c>
      <c r="J1690" s="13" t="b">
        <v>0</v>
      </c>
      <c r="K1690" s="13" t="b">
        <v>1</v>
      </c>
      <c r="L1690" s="10" t="s">
        <v>124</v>
      </c>
      <c r="M1690" s="10" t="s">
        <v>91</v>
      </c>
      <c r="N1690" s="10" t="s">
        <v>92</v>
      </c>
      <c r="O1690" s="19" t="s">
        <v>12798</v>
      </c>
      <c r="P1690" s="10"/>
      <c r="Q1690" s="10" t="s">
        <v>126</v>
      </c>
      <c r="R1690" s="10"/>
      <c r="S1690" s="19" t="s">
        <v>12799</v>
      </c>
      <c r="T1690" s="19" t="s">
        <v>12741</v>
      </c>
      <c r="U1690" s="10" t="s">
        <v>3690</v>
      </c>
      <c r="V1690" s="10" t="s">
        <v>292</v>
      </c>
      <c r="W1690" s="10" t="s">
        <v>7848</v>
      </c>
      <c r="X1690" s="10" t="s">
        <v>130</v>
      </c>
      <c r="Y1690" s="10" t="s">
        <v>130</v>
      </c>
      <c r="Z1690" s="10" t="s">
        <v>99</v>
      </c>
      <c r="AA1690" s="10" t="s">
        <v>131</v>
      </c>
      <c r="AB1690" s="10" t="s">
        <v>7849</v>
      </c>
      <c r="AC1690" s="10" t="s">
        <v>3571</v>
      </c>
      <c r="AD1690" s="10" t="s">
        <v>12800</v>
      </c>
      <c r="AE1690" s="10" t="s">
        <v>12801</v>
      </c>
      <c r="AF1690" s="15"/>
      <c r="AG1690" s="10"/>
      <c r="AH1690" s="10"/>
      <c r="AI1690" s="10"/>
      <c r="AJ1690" s="10"/>
      <c r="AK1690" s="10" t="s">
        <v>102</v>
      </c>
      <c r="AL1690" s="10" t="s">
        <v>7897</v>
      </c>
      <c r="AM1690" s="10"/>
      <c r="AN1690" s="10"/>
      <c r="AO1690" s="13" t="b">
        <v>0</v>
      </c>
      <c r="AP1690" s="10" t="s">
        <v>104</v>
      </c>
      <c r="AQ1690" s="10">
        <f ca="1">IFERROR(__xludf.DUMMYFUNCTION("""COMPUTED_VALUE"""),4613305)</f>
        <v>4613305</v>
      </c>
      <c r="AR1690" s="17">
        <v>10743</v>
      </c>
      <c r="AS1690" s="17">
        <v>7754</v>
      </c>
      <c r="AT1690" s="17">
        <v>318275</v>
      </c>
      <c r="AU1690" s="17">
        <v>10.8</v>
      </c>
      <c r="AV1690" s="17">
        <v>4.1500000000000004</v>
      </c>
      <c r="AW1690" s="10" t="s">
        <v>105</v>
      </c>
      <c r="AX1690" s="17">
        <v>2802</v>
      </c>
      <c r="AY1690" s="18">
        <v>41.046556615940162</v>
      </c>
      <c r="AZ1690" s="10" t="s">
        <v>117</v>
      </c>
      <c r="BA1690" s="20" t="b">
        <v>0</v>
      </c>
      <c r="BB1690" s="10"/>
      <c r="BC1690" s="17">
        <v>10743</v>
      </c>
      <c r="BD1690" s="17">
        <v>7754</v>
      </c>
      <c r="BE1690" s="17">
        <v>318275</v>
      </c>
      <c r="BF1690" s="17">
        <v>4.1500000000000004</v>
      </c>
      <c r="BG1690" s="11">
        <f ca="1">IFERROR(__xludf.DUMMYFUNCTION("""COMPUTED_VALUE"""),45933.0833333333)</f>
        <v>45933.083333333299</v>
      </c>
      <c r="BH1690" s="17" t="s">
        <v>105</v>
      </c>
      <c r="BI1690" s="17"/>
      <c r="BJ1690" s="15"/>
      <c r="BK1690" s="15"/>
      <c r="BL1690" s="13" t="b">
        <v>0</v>
      </c>
      <c r="BM1690" s="10"/>
      <c r="BN1690" s="10" t="s">
        <v>117</v>
      </c>
      <c r="BO1690" s="11">
        <v>45904.304861111108</v>
      </c>
      <c r="BP1690" s="11">
        <v>45924.916296296295</v>
      </c>
      <c r="BQ1690" s="15">
        <v>45930.719780092593</v>
      </c>
      <c r="BR1690" s="15">
        <v>45930.775034722225</v>
      </c>
      <c r="BS1690" s="10"/>
      <c r="BT1690" s="10" t="s">
        <v>279</v>
      </c>
      <c r="BU1690" s="10" t="s">
        <v>8057</v>
      </c>
      <c r="BV1690" s="10"/>
      <c r="BW1690" s="10"/>
      <c r="BX1690" s="10"/>
      <c r="BY1690" s="23"/>
      <c r="BZ1690" s="23"/>
      <c r="CA1690" s="19" t="s">
        <v>12802</v>
      </c>
      <c r="CB1690" s="19" t="s">
        <v>12803</v>
      </c>
      <c r="CC1690" s="23"/>
      <c r="CD1690" s="19" t="s">
        <v>12804</v>
      </c>
      <c r="CE1690" s="23"/>
      <c r="CF1690" s="23"/>
      <c r="CG1690" s="23"/>
      <c r="CH1690" s="23"/>
      <c r="CI1690" s="23"/>
    </row>
    <row r="1691" spans="1:87" x14ac:dyDescent="0.3">
      <c r="A1691" s="9" t="s">
        <v>12805</v>
      </c>
      <c r="B1691" s="10" t="s">
        <v>12806</v>
      </c>
      <c r="C1691" s="11">
        <v>45933.083333333336</v>
      </c>
      <c r="D1691" s="12">
        <v>8.3333333333333329E-2</v>
      </c>
      <c r="E1691" s="11">
        <v>45933.166666666664</v>
      </c>
      <c r="F1691" s="10" t="s">
        <v>7843</v>
      </c>
      <c r="G1691" s="13" t="b">
        <v>0</v>
      </c>
      <c r="H1691" s="10" t="s">
        <v>5239</v>
      </c>
      <c r="I1691" s="10" t="s">
        <v>89</v>
      </c>
      <c r="J1691" s="13" t="b">
        <v>0</v>
      </c>
      <c r="K1691" s="13" t="b">
        <v>1</v>
      </c>
      <c r="L1691" s="10" t="s">
        <v>124</v>
      </c>
      <c r="M1691" s="10" t="s">
        <v>91</v>
      </c>
      <c r="N1691" s="10" t="s">
        <v>92</v>
      </c>
      <c r="O1691" s="19" t="s">
        <v>12807</v>
      </c>
      <c r="P1691" s="10"/>
      <c r="Q1691" s="10" t="s">
        <v>94</v>
      </c>
      <c r="R1691" s="10"/>
      <c r="S1691" s="19" t="s">
        <v>12808</v>
      </c>
      <c r="T1691" s="19" t="s">
        <v>12741</v>
      </c>
      <c r="U1691" s="10" t="s">
        <v>12550</v>
      </c>
      <c r="V1691" s="10" t="s">
        <v>12625</v>
      </c>
      <c r="W1691" s="10" t="s">
        <v>7848</v>
      </c>
      <c r="X1691" s="10" t="s">
        <v>130</v>
      </c>
      <c r="Y1691" s="10" t="s">
        <v>130</v>
      </c>
      <c r="Z1691" s="10" t="s">
        <v>99</v>
      </c>
      <c r="AA1691" s="10" t="s">
        <v>131</v>
      </c>
      <c r="AB1691" s="10" t="s">
        <v>7849</v>
      </c>
      <c r="AC1691" s="10" t="s">
        <v>3571</v>
      </c>
      <c r="AD1691" s="10" t="s">
        <v>12809</v>
      </c>
      <c r="AE1691" s="10" t="s">
        <v>12810</v>
      </c>
      <c r="AF1691" s="15"/>
      <c r="AG1691" s="10"/>
      <c r="AH1691" s="10"/>
      <c r="AI1691" s="10"/>
      <c r="AJ1691" s="10"/>
      <c r="AK1691" s="10" t="s">
        <v>102</v>
      </c>
      <c r="AL1691" s="10" t="s">
        <v>7897</v>
      </c>
      <c r="AM1691" s="10"/>
      <c r="AN1691" s="10"/>
      <c r="AO1691" s="13" t="b">
        <v>0</v>
      </c>
      <c r="AP1691" s="10" t="s">
        <v>104</v>
      </c>
      <c r="AQ1691" s="10">
        <f ca="1">IFERROR(__xludf.DUMMYFUNCTION("""COMPUTED_VALUE"""),4614703)</f>
        <v>4614703</v>
      </c>
      <c r="AR1691" s="17">
        <v>2481</v>
      </c>
      <c r="AS1691" s="17">
        <v>1327</v>
      </c>
      <c r="AT1691" s="17">
        <v>21707</v>
      </c>
      <c r="AU1691" s="17">
        <v>1.75</v>
      </c>
      <c r="AV1691" s="17">
        <v>1.1000000000000001</v>
      </c>
      <c r="AW1691" s="10" t="s">
        <v>105</v>
      </c>
      <c r="AX1691" s="17">
        <v>393</v>
      </c>
      <c r="AY1691" s="18">
        <v>16.357950263752826</v>
      </c>
      <c r="AZ1691" s="10" t="s">
        <v>117</v>
      </c>
      <c r="BA1691" s="20" t="b">
        <v>0</v>
      </c>
      <c r="BB1691" s="10"/>
      <c r="BC1691" s="17">
        <v>2481</v>
      </c>
      <c r="BD1691" s="17">
        <v>1327</v>
      </c>
      <c r="BE1691" s="17">
        <v>21707</v>
      </c>
      <c r="BF1691" s="17">
        <v>1.1000000000000001</v>
      </c>
      <c r="BG1691" s="11">
        <f ca="1">IFERROR(__xludf.DUMMYFUNCTION("""COMPUTED_VALUE"""),45933.0833333333)</f>
        <v>45933.083333333299</v>
      </c>
      <c r="BH1691" s="17" t="s">
        <v>105</v>
      </c>
      <c r="BI1691" s="17"/>
      <c r="BJ1691" s="15"/>
      <c r="BK1691" s="15"/>
      <c r="BL1691" s="13" t="b">
        <v>0</v>
      </c>
      <c r="BM1691" s="10"/>
      <c r="BN1691" s="10" t="s">
        <v>117</v>
      </c>
      <c r="BO1691" s="11">
        <v>45904.304861111108</v>
      </c>
      <c r="BP1691" s="11">
        <v>45923.536215277774</v>
      </c>
      <c r="BQ1691" s="15">
        <v>45930.719467592593</v>
      </c>
      <c r="BR1691" s="15">
        <v>45931.542592592596</v>
      </c>
      <c r="BS1691" s="10"/>
      <c r="BT1691" s="10" t="s">
        <v>279</v>
      </c>
      <c r="BU1691" s="10" t="s">
        <v>6732</v>
      </c>
      <c r="BV1691" s="10"/>
      <c r="BW1691" s="10"/>
      <c r="BX1691" s="10"/>
      <c r="BY1691" s="23"/>
      <c r="BZ1691" s="23"/>
      <c r="CA1691" s="19" t="s">
        <v>12811</v>
      </c>
      <c r="CB1691" s="19" t="s">
        <v>12812</v>
      </c>
      <c r="CC1691" s="23"/>
      <c r="CD1691" s="23"/>
      <c r="CE1691" s="23"/>
      <c r="CF1691" s="23"/>
      <c r="CG1691" s="23"/>
      <c r="CH1691" s="23"/>
      <c r="CI1691" s="23"/>
    </row>
    <row r="1692" spans="1:87" x14ac:dyDescent="0.3">
      <c r="A1692" s="9" t="s">
        <v>12813</v>
      </c>
      <c r="B1692" s="10" t="s">
        <v>12814</v>
      </c>
      <c r="C1692" s="11">
        <v>45953.989583333336</v>
      </c>
      <c r="D1692" s="12">
        <v>8.3333333333333329E-2</v>
      </c>
      <c r="E1692" s="11">
        <v>45954.072916666664</v>
      </c>
      <c r="F1692" s="10" t="s">
        <v>7843</v>
      </c>
      <c r="G1692" s="13" t="b">
        <v>0</v>
      </c>
      <c r="H1692" s="10" t="s">
        <v>5239</v>
      </c>
      <c r="I1692" s="10" t="s">
        <v>89</v>
      </c>
      <c r="J1692" s="13" t="b">
        <v>0</v>
      </c>
      <c r="K1692" s="13" t="b">
        <v>1</v>
      </c>
      <c r="L1692" s="10" t="s">
        <v>124</v>
      </c>
      <c r="M1692" s="10" t="s">
        <v>91</v>
      </c>
      <c r="N1692" s="10" t="s">
        <v>92</v>
      </c>
      <c r="O1692" s="19" t="s">
        <v>12815</v>
      </c>
      <c r="P1692" s="10"/>
      <c r="Q1692" s="10" t="s">
        <v>94</v>
      </c>
      <c r="R1692" s="10"/>
      <c r="S1692" s="19" t="s">
        <v>12816</v>
      </c>
      <c r="T1692" s="19" t="s">
        <v>12817</v>
      </c>
      <c r="U1692" s="10" t="s">
        <v>7829</v>
      </c>
      <c r="V1692" s="10" t="s">
        <v>3600</v>
      </c>
      <c r="W1692" s="10" t="s">
        <v>7848</v>
      </c>
      <c r="X1692" s="10" t="s">
        <v>130</v>
      </c>
      <c r="Y1692" s="10" t="s">
        <v>130</v>
      </c>
      <c r="Z1692" s="10" t="s">
        <v>99</v>
      </c>
      <c r="AA1692" s="10" t="s">
        <v>131</v>
      </c>
      <c r="AB1692" s="10" t="s">
        <v>7849</v>
      </c>
      <c r="AC1692" s="10" t="s">
        <v>3571</v>
      </c>
      <c r="AD1692" s="10" t="s">
        <v>12818</v>
      </c>
      <c r="AE1692" s="10" t="s">
        <v>12819</v>
      </c>
      <c r="AF1692" s="15"/>
      <c r="AG1692" s="10"/>
      <c r="AH1692" s="10"/>
      <c r="AI1692" s="10"/>
      <c r="AJ1692" s="10"/>
      <c r="AK1692" s="10" t="s">
        <v>102</v>
      </c>
      <c r="AL1692" s="10" t="s">
        <v>7897</v>
      </c>
      <c r="AM1692" s="10"/>
      <c r="AN1692" s="10"/>
      <c r="AO1692" s="13" t="b">
        <v>0</v>
      </c>
      <c r="AP1692" s="10" t="s">
        <v>104</v>
      </c>
      <c r="AQ1692" s="10">
        <f ca="1">IFERROR(__xludf.DUMMYFUNCTION("""COMPUTED_VALUE"""),4664110)</f>
        <v>4664110</v>
      </c>
      <c r="AR1692" s="17">
        <v>1309</v>
      </c>
      <c r="AS1692" s="17">
        <v>941</v>
      </c>
      <c r="AT1692" s="17">
        <v>6867.25</v>
      </c>
      <c r="AU1692" s="17">
        <v>1.8</v>
      </c>
      <c r="AV1692" s="17">
        <v>0.45</v>
      </c>
      <c r="AW1692" s="10" t="s">
        <v>105</v>
      </c>
      <c r="AX1692" s="17">
        <v>168</v>
      </c>
      <c r="AY1692" s="18">
        <v>7.2978214665249732</v>
      </c>
      <c r="AZ1692" s="10" t="s">
        <v>117</v>
      </c>
      <c r="BA1692" s="20" t="b">
        <v>0</v>
      </c>
      <c r="BB1692" s="10"/>
      <c r="BC1692" s="17">
        <v>1309</v>
      </c>
      <c r="BD1692" s="17">
        <v>941</v>
      </c>
      <c r="BE1692" s="17">
        <v>6867.25</v>
      </c>
      <c r="BF1692" s="17">
        <v>0.45</v>
      </c>
      <c r="BG1692" s="11">
        <f ca="1">IFERROR(__xludf.DUMMYFUNCTION("""COMPUTED_VALUE"""),45953.9895833333)</f>
        <v>45953.989583333299</v>
      </c>
      <c r="BH1692" s="17" t="s">
        <v>105</v>
      </c>
      <c r="BI1692" s="17"/>
      <c r="BJ1692" s="15"/>
      <c r="BK1692" s="15"/>
      <c r="BL1692" s="13" t="b">
        <v>0</v>
      </c>
      <c r="BM1692" s="10"/>
      <c r="BN1692" s="10" t="s">
        <v>1160</v>
      </c>
      <c r="BO1692" s="11">
        <v>45904.305474537039</v>
      </c>
      <c r="BP1692" s="11">
        <v>45943.593101851853</v>
      </c>
      <c r="BQ1692" s="15">
        <v>45950.512048611112</v>
      </c>
      <c r="BR1692" s="15">
        <v>45951.418807870374</v>
      </c>
      <c r="BS1692" s="10" t="s">
        <v>1160</v>
      </c>
      <c r="BT1692" s="10" t="s">
        <v>99</v>
      </c>
      <c r="BU1692" s="10"/>
      <c r="BV1692" s="10"/>
      <c r="BW1692" s="10"/>
      <c r="BX1692" s="10"/>
      <c r="BY1692" s="23"/>
      <c r="BZ1692" s="23"/>
      <c r="CA1692" s="19" t="s">
        <v>12820</v>
      </c>
      <c r="CB1692" s="19" t="s">
        <v>12821</v>
      </c>
      <c r="CC1692" s="23"/>
      <c r="CD1692" s="23"/>
      <c r="CE1692" s="23"/>
      <c r="CF1692" s="23"/>
      <c r="CG1692" s="23"/>
      <c r="CH1692" s="23"/>
      <c r="CI1692" s="23"/>
    </row>
    <row r="1693" spans="1:87" x14ac:dyDescent="0.3">
      <c r="A1693" s="9" t="s">
        <v>12822</v>
      </c>
      <c r="B1693" s="10" t="s">
        <v>12823</v>
      </c>
      <c r="C1693" s="11">
        <v>45953.989583333336</v>
      </c>
      <c r="D1693" s="12">
        <v>8.3333333333333329E-2</v>
      </c>
      <c r="E1693" s="11">
        <v>45954.072916666664</v>
      </c>
      <c r="F1693" s="10" t="s">
        <v>7843</v>
      </c>
      <c r="G1693" s="13" t="b">
        <v>0</v>
      </c>
      <c r="H1693" s="10" t="s">
        <v>5239</v>
      </c>
      <c r="I1693" s="10" t="s">
        <v>89</v>
      </c>
      <c r="J1693" s="13" t="b">
        <v>0</v>
      </c>
      <c r="K1693" s="13" t="b">
        <v>1</v>
      </c>
      <c r="L1693" s="10" t="s">
        <v>124</v>
      </c>
      <c r="M1693" s="10" t="s">
        <v>91</v>
      </c>
      <c r="N1693" s="10" t="s">
        <v>92</v>
      </c>
      <c r="O1693" s="19" t="s">
        <v>12824</v>
      </c>
      <c r="P1693" s="10"/>
      <c r="Q1693" s="10" t="s">
        <v>94</v>
      </c>
      <c r="R1693" s="10"/>
      <c r="S1693" s="19" t="s">
        <v>12825</v>
      </c>
      <c r="T1693" s="10"/>
      <c r="U1693" s="10" t="s">
        <v>8065</v>
      </c>
      <c r="V1693" s="10" t="s">
        <v>3591</v>
      </c>
      <c r="W1693" s="10" t="s">
        <v>7848</v>
      </c>
      <c r="X1693" s="10" t="s">
        <v>130</v>
      </c>
      <c r="Y1693" s="10" t="s">
        <v>130</v>
      </c>
      <c r="Z1693" s="10" t="s">
        <v>99</v>
      </c>
      <c r="AA1693" s="10" t="s">
        <v>131</v>
      </c>
      <c r="AB1693" s="10" t="s">
        <v>7849</v>
      </c>
      <c r="AC1693" s="10" t="s">
        <v>3571</v>
      </c>
      <c r="AD1693" s="10" t="s">
        <v>12826</v>
      </c>
      <c r="AE1693" s="10" t="s">
        <v>12827</v>
      </c>
      <c r="AF1693" s="15"/>
      <c r="AG1693" s="10"/>
      <c r="AH1693" s="10"/>
      <c r="AI1693" s="10"/>
      <c r="AJ1693" s="10"/>
      <c r="AK1693" s="10" t="s">
        <v>102</v>
      </c>
      <c r="AL1693" s="10" t="s">
        <v>7897</v>
      </c>
      <c r="AM1693" s="10"/>
      <c r="AN1693" s="10"/>
      <c r="AO1693" s="13" t="b">
        <v>0</v>
      </c>
      <c r="AP1693" s="10" t="s">
        <v>104</v>
      </c>
      <c r="AQ1693" s="10">
        <f ca="1">IFERROR(__xludf.DUMMYFUNCTION("""COMPUTED_VALUE"""),4664049)</f>
        <v>4664049</v>
      </c>
      <c r="AR1693" s="17">
        <v>1981</v>
      </c>
      <c r="AS1693" s="17">
        <v>1465</v>
      </c>
      <c r="AT1693" s="17">
        <v>8105.75</v>
      </c>
      <c r="AU1693" s="17">
        <v>4.25</v>
      </c>
      <c r="AV1693" s="17">
        <v>0.65</v>
      </c>
      <c r="AW1693" s="10" t="s">
        <v>105</v>
      </c>
      <c r="AX1693" s="17">
        <v>248</v>
      </c>
      <c r="AY1693" s="18">
        <v>5.532935153583618</v>
      </c>
      <c r="AZ1693" s="10" t="s">
        <v>117</v>
      </c>
      <c r="BA1693" s="20" t="b">
        <v>0</v>
      </c>
      <c r="BB1693" s="10"/>
      <c r="BC1693" s="17">
        <v>1981</v>
      </c>
      <c r="BD1693" s="17">
        <v>1465</v>
      </c>
      <c r="BE1693" s="17">
        <v>8105.75</v>
      </c>
      <c r="BF1693" s="17">
        <v>0.65</v>
      </c>
      <c r="BG1693" s="11">
        <f ca="1">IFERROR(__xludf.DUMMYFUNCTION("""COMPUTED_VALUE"""),45953.9895833333)</f>
        <v>45953.989583333299</v>
      </c>
      <c r="BH1693" s="17" t="s">
        <v>105</v>
      </c>
      <c r="BI1693" s="17"/>
      <c r="BJ1693" s="15"/>
      <c r="BK1693" s="15"/>
      <c r="BL1693" s="13" t="b">
        <v>0</v>
      </c>
      <c r="BM1693" s="10"/>
      <c r="BN1693" s="10" t="s">
        <v>136</v>
      </c>
      <c r="BO1693" s="11">
        <v>45904.305474537039</v>
      </c>
      <c r="BP1693" s="11">
        <v>45943.592245370368</v>
      </c>
      <c r="BQ1693" s="15">
        <v>45995.65384259259</v>
      </c>
      <c r="BR1693" s="15">
        <v>45951.411597222221</v>
      </c>
      <c r="BS1693" s="10"/>
      <c r="BT1693" s="10" t="s">
        <v>99</v>
      </c>
      <c r="BU1693" s="10"/>
      <c r="BV1693" s="10"/>
      <c r="BW1693" s="10"/>
      <c r="BX1693" s="10"/>
      <c r="BY1693" s="23"/>
      <c r="BZ1693" s="23"/>
      <c r="CA1693" s="19" t="s">
        <v>12828</v>
      </c>
      <c r="CB1693" s="23"/>
      <c r="CC1693" s="23"/>
      <c r="CD1693" s="23"/>
      <c r="CE1693" s="23"/>
      <c r="CF1693" s="23"/>
      <c r="CG1693" s="23"/>
      <c r="CH1693" s="23"/>
      <c r="CI1693" s="23"/>
    </row>
    <row r="1694" spans="1:87" x14ac:dyDescent="0.3">
      <c r="A1694" s="9" t="s">
        <v>12829</v>
      </c>
      <c r="B1694" s="10" t="s">
        <v>12830</v>
      </c>
      <c r="C1694" s="11">
        <v>45953.989583333336</v>
      </c>
      <c r="D1694" s="12">
        <v>8.3333333333333329E-2</v>
      </c>
      <c r="E1694" s="11">
        <v>45954.072916666664</v>
      </c>
      <c r="F1694" s="10" t="s">
        <v>7843</v>
      </c>
      <c r="G1694" s="13" t="b">
        <v>0</v>
      </c>
      <c r="H1694" s="10" t="s">
        <v>3564</v>
      </c>
      <c r="I1694" s="10" t="s">
        <v>89</v>
      </c>
      <c r="J1694" s="13" t="b">
        <v>0</v>
      </c>
      <c r="K1694" s="13" t="b">
        <v>1</v>
      </c>
      <c r="L1694" s="10" t="s">
        <v>124</v>
      </c>
      <c r="M1694" s="10" t="s">
        <v>91</v>
      </c>
      <c r="N1694" s="10" t="s">
        <v>92</v>
      </c>
      <c r="O1694" s="19" t="s">
        <v>12831</v>
      </c>
      <c r="P1694" s="10"/>
      <c r="Q1694" s="10" t="s">
        <v>126</v>
      </c>
      <c r="R1694" s="10"/>
      <c r="S1694" s="19" t="s">
        <v>12832</v>
      </c>
      <c r="T1694" s="19" t="s">
        <v>12817</v>
      </c>
      <c r="U1694" s="10" t="s">
        <v>3581</v>
      </c>
      <c r="V1694" s="10" t="s">
        <v>12625</v>
      </c>
      <c r="W1694" s="10" t="s">
        <v>7848</v>
      </c>
      <c r="X1694" s="10" t="s">
        <v>130</v>
      </c>
      <c r="Y1694" s="10" t="s">
        <v>130</v>
      </c>
      <c r="Z1694" s="10" t="s">
        <v>99</v>
      </c>
      <c r="AA1694" s="10" t="s">
        <v>131</v>
      </c>
      <c r="AB1694" s="10" t="s">
        <v>7849</v>
      </c>
      <c r="AC1694" s="10" t="s">
        <v>3571</v>
      </c>
      <c r="AD1694" s="10" t="s">
        <v>12833</v>
      </c>
      <c r="AE1694" s="10" t="s">
        <v>12834</v>
      </c>
      <c r="AF1694" s="15"/>
      <c r="AG1694" s="10"/>
      <c r="AH1694" s="10"/>
      <c r="AI1694" s="10"/>
      <c r="AJ1694" s="10"/>
      <c r="AK1694" s="10" t="s">
        <v>102</v>
      </c>
      <c r="AL1694" s="10" t="s">
        <v>7897</v>
      </c>
      <c r="AM1694" s="10"/>
      <c r="AN1694" s="10"/>
      <c r="AO1694" s="13" t="b">
        <v>0</v>
      </c>
      <c r="AP1694" s="10" t="s">
        <v>104</v>
      </c>
      <c r="AQ1694" s="10">
        <f ca="1">IFERROR(__xludf.DUMMYFUNCTION("""COMPUTED_VALUE"""),4664042)</f>
        <v>4664042</v>
      </c>
      <c r="AR1694" s="17">
        <v>4635</v>
      </c>
      <c r="AS1694" s="17">
        <v>3398</v>
      </c>
      <c r="AT1694" s="17">
        <v>64933</v>
      </c>
      <c r="AU1694" s="17">
        <v>14</v>
      </c>
      <c r="AV1694" s="17">
        <v>1.7</v>
      </c>
      <c r="AW1694" s="10" t="s">
        <v>105</v>
      </c>
      <c r="AX1694" s="17">
        <v>1036</v>
      </c>
      <c r="AY1694" s="18">
        <v>19.109181871689231</v>
      </c>
      <c r="AZ1694" s="10" t="s">
        <v>117</v>
      </c>
      <c r="BA1694" s="20" t="b">
        <v>0</v>
      </c>
      <c r="BB1694" s="10"/>
      <c r="BC1694" s="17">
        <v>4635</v>
      </c>
      <c r="BD1694" s="17">
        <v>3398</v>
      </c>
      <c r="BE1694" s="17">
        <v>64933</v>
      </c>
      <c r="BF1694" s="17">
        <v>1.7</v>
      </c>
      <c r="BG1694" s="11">
        <f ca="1">IFERROR(__xludf.DUMMYFUNCTION("""COMPUTED_VALUE"""),45953.9895833333)</f>
        <v>45953.989583333299</v>
      </c>
      <c r="BH1694" s="17" t="s">
        <v>105</v>
      </c>
      <c r="BI1694" s="17"/>
      <c r="BJ1694" s="15"/>
      <c r="BK1694" s="15"/>
      <c r="BL1694" s="13" t="b">
        <v>0</v>
      </c>
      <c r="BM1694" s="10"/>
      <c r="BN1694" s="10" t="s">
        <v>1160</v>
      </c>
      <c r="BO1694" s="11">
        <v>45904.305474537039</v>
      </c>
      <c r="BP1694" s="11">
        <v>45931.832592592589</v>
      </c>
      <c r="BQ1694" s="15">
        <v>45950.511412037034</v>
      </c>
      <c r="BR1694" s="15">
        <v>45951.401388888888</v>
      </c>
      <c r="BS1694" s="10" t="s">
        <v>1160</v>
      </c>
      <c r="BT1694" s="10" t="s">
        <v>99</v>
      </c>
      <c r="BU1694" s="10"/>
      <c r="BV1694" s="10"/>
      <c r="BW1694" s="10"/>
      <c r="BX1694" s="10"/>
      <c r="BY1694" s="23"/>
      <c r="BZ1694" s="23"/>
      <c r="CA1694" s="19" t="s">
        <v>12835</v>
      </c>
      <c r="CB1694" s="19" t="s">
        <v>12836</v>
      </c>
      <c r="CC1694" s="23"/>
      <c r="CD1694" s="19" t="s">
        <v>12837</v>
      </c>
      <c r="CE1694" s="23"/>
      <c r="CF1694" s="23"/>
      <c r="CG1694" s="23"/>
      <c r="CH1694" s="23"/>
      <c r="CI1694" s="23"/>
    </row>
    <row r="1695" spans="1:87" x14ac:dyDescent="0.3">
      <c r="A1695" s="9" t="s">
        <v>12838</v>
      </c>
      <c r="B1695" s="10" t="s">
        <v>12839</v>
      </c>
      <c r="C1695" s="11">
        <v>45954.083333333336</v>
      </c>
      <c r="D1695" s="12">
        <v>8.3333333333333329E-2</v>
      </c>
      <c r="E1695" s="11">
        <v>45954.166666666664</v>
      </c>
      <c r="F1695" s="10" t="s">
        <v>7843</v>
      </c>
      <c r="G1695" s="13" t="b">
        <v>0</v>
      </c>
      <c r="H1695" s="10" t="s">
        <v>5239</v>
      </c>
      <c r="I1695" s="10" t="s">
        <v>89</v>
      </c>
      <c r="J1695" s="13" t="b">
        <v>0</v>
      </c>
      <c r="K1695" s="13" t="b">
        <v>1</v>
      </c>
      <c r="L1695" s="10" t="s">
        <v>124</v>
      </c>
      <c r="M1695" s="10" t="s">
        <v>91</v>
      </c>
      <c r="N1695" s="10" t="s">
        <v>92</v>
      </c>
      <c r="O1695" s="19" t="s">
        <v>12840</v>
      </c>
      <c r="P1695" s="10"/>
      <c r="Q1695" s="10" t="s">
        <v>94</v>
      </c>
      <c r="R1695" s="10"/>
      <c r="S1695" s="19" t="s">
        <v>12841</v>
      </c>
      <c r="T1695" s="19" t="s">
        <v>12817</v>
      </c>
      <c r="U1695" s="10" t="s">
        <v>3690</v>
      </c>
      <c r="V1695" s="10" t="s">
        <v>12663</v>
      </c>
      <c r="W1695" s="10" t="s">
        <v>7848</v>
      </c>
      <c r="X1695" s="10" t="s">
        <v>130</v>
      </c>
      <c r="Y1695" s="10" t="s">
        <v>130</v>
      </c>
      <c r="Z1695" s="10" t="s">
        <v>99</v>
      </c>
      <c r="AA1695" s="10" t="s">
        <v>131</v>
      </c>
      <c r="AB1695" s="10" t="s">
        <v>7849</v>
      </c>
      <c r="AC1695" s="10" t="s">
        <v>3571</v>
      </c>
      <c r="AD1695" s="10" t="s">
        <v>12842</v>
      </c>
      <c r="AE1695" s="10" t="s">
        <v>12843</v>
      </c>
      <c r="AF1695" s="15"/>
      <c r="AG1695" s="10"/>
      <c r="AH1695" s="10"/>
      <c r="AI1695" s="10"/>
      <c r="AJ1695" s="10"/>
      <c r="AK1695" s="10" t="s">
        <v>102</v>
      </c>
      <c r="AL1695" s="10" t="s">
        <v>7897</v>
      </c>
      <c r="AM1695" s="10"/>
      <c r="AN1695" s="10"/>
      <c r="AO1695" s="13" t="b">
        <v>0</v>
      </c>
      <c r="AP1695" s="10" t="s">
        <v>104</v>
      </c>
      <c r="AQ1695" s="10">
        <f ca="1">IFERROR(__xludf.DUMMYFUNCTION("""COMPUTED_VALUE"""),4668366)</f>
        <v>4668366</v>
      </c>
      <c r="AR1695" s="17">
        <v>2250</v>
      </c>
      <c r="AS1695" s="17">
        <v>1315</v>
      </c>
      <c r="AT1695" s="17">
        <v>20945.75</v>
      </c>
      <c r="AU1695" s="17">
        <v>3.15</v>
      </c>
      <c r="AV1695" s="17">
        <v>1.25</v>
      </c>
      <c r="AW1695" s="10" t="s">
        <v>105</v>
      </c>
      <c r="AX1695" s="17">
        <v>312</v>
      </c>
      <c r="AY1695" s="18">
        <v>15.928326996197718</v>
      </c>
      <c r="AZ1695" s="10" t="s">
        <v>117</v>
      </c>
      <c r="BA1695" s="20" t="b">
        <v>0</v>
      </c>
      <c r="BB1695" s="10"/>
      <c r="BC1695" s="17">
        <v>2250</v>
      </c>
      <c r="BD1695" s="17">
        <v>1315</v>
      </c>
      <c r="BE1695" s="17">
        <v>20945.75</v>
      </c>
      <c r="BF1695" s="17">
        <v>1.25</v>
      </c>
      <c r="BG1695" s="11">
        <f ca="1">IFERROR(__xludf.DUMMYFUNCTION("""COMPUTED_VALUE"""),45954.0833333333)</f>
        <v>45954.083333333299</v>
      </c>
      <c r="BH1695" s="17" t="s">
        <v>105</v>
      </c>
      <c r="BI1695" s="17"/>
      <c r="BJ1695" s="15"/>
      <c r="BK1695" s="15"/>
      <c r="BL1695" s="13" t="b">
        <v>0</v>
      </c>
      <c r="BM1695" s="10"/>
      <c r="BN1695" s="10" t="s">
        <v>4030</v>
      </c>
      <c r="BO1695" s="11">
        <v>45904.304861111108</v>
      </c>
      <c r="BP1695" s="11">
        <v>45953.848344907405</v>
      </c>
      <c r="BQ1695" s="15">
        <v>45950.511562500003</v>
      </c>
      <c r="BR1695" s="15">
        <v>45954.6094212963</v>
      </c>
      <c r="BS1695" s="10" t="s">
        <v>4030</v>
      </c>
      <c r="BT1695" s="10" t="s">
        <v>99</v>
      </c>
      <c r="BU1695" s="10"/>
      <c r="BV1695" s="10"/>
      <c r="BW1695" s="10"/>
      <c r="BX1695" s="10"/>
      <c r="BY1695" s="23"/>
      <c r="BZ1695" s="23"/>
      <c r="CA1695" s="19" t="s">
        <v>12844</v>
      </c>
      <c r="CB1695" s="19" t="s">
        <v>12845</v>
      </c>
      <c r="CC1695" s="23"/>
      <c r="CD1695" s="23"/>
      <c r="CE1695" s="23"/>
      <c r="CF1695" s="23"/>
      <c r="CG1695" s="23"/>
      <c r="CH1695" s="23"/>
      <c r="CI1695" s="23"/>
    </row>
    <row r="1696" spans="1:87" x14ac:dyDescent="0.3">
      <c r="A1696" s="9" t="s">
        <v>12846</v>
      </c>
      <c r="B1696" s="10" t="s">
        <v>12847</v>
      </c>
      <c r="C1696" s="11">
        <v>45953.989583333336</v>
      </c>
      <c r="D1696" s="12">
        <v>8.3333333333333329E-2</v>
      </c>
      <c r="E1696" s="11">
        <v>45954.072916666664</v>
      </c>
      <c r="F1696" s="10" t="s">
        <v>7843</v>
      </c>
      <c r="G1696" s="13" t="b">
        <v>0</v>
      </c>
      <c r="H1696" s="10" t="s">
        <v>5239</v>
      </c>
      <c r="I1696" s="10" t="s">
        <v>89</v>
      </c>
      <c r="J1696" s="13" t="b">
        <v>0</v>
      </c>
      <c r="K1696" s="13" t="b">
        <v>1</v>
      </c>
      <c r="L1696" s="10" t="s">
        <v>124</v>
      </c>
      <c r="M1696" s="10" t="s">
        <v>91</v>
      </c>
      <c r="N1696" s="10" t="s">
        <v>92</v>
      </c>
      <c r="O1696" s="19" t="s">
        <v>12848</v>
      </c>
      <c r="P1696" s="10"/>
      <c r="Q1696" s="10" t="s">
        <v>94</v>
      </c>
      <c r="R1696" s="10"/>
      <c r="S1696" s="19" t="s">
        <v>12849</v>
      </c>
      <c r="T1696" s="19" t="s">
        <v>12817</v>
      </c>
      <c r="U1696" s="10" t="s">
        <v>8944</v>
      </c>
      <c r="V1696" s="10" t="s">
        <v>3567</v>
      </c>
      <c r="W1696" s="10" t="s">
        <v>7848</v>
      </c>
      <c r="X1696" s="10" t="s">
        <v>130</v>
      </c>
      <c r="Y1696" s="10" t="s">
        <v>130</v>
      </c>
      <c r="Z1696" s="10" t="s">
        <v>99</v>
      </c>
      <c r="AA1696" s="10" t="s">
        <v>131</v>
      </c>
      <c r="AB1696" s="10" t="s">
        <v>7849</v>
      </c>
      <c r="AC1696" s="10" t="s">
        <v>3571</v>
      </c>
      <c r="AD1696" s="10" t="s">
        <v>12850</v>
      </c>
      <c r="AE1696" s="10" t="s">
        <v>12851</v>
      </c>
      <c r="AF1696" s="15"/>
      <c r="AG1696" s="10"/>
      <c r="AH1696" s="10"/>
      <c r="AI1696" s="10"/>
      <c r="AJ1696" s="10"/>
      <c r="AK1696" s="10" t="s">
        <v>102</v>
      </c>
      <c r="AL1696" s="10" t="s">
        <v>7897</v>
      </c>
      <c r="AM1696" s="10"/>
      <c r="AN1696" s="10"/>
      <c r="AO1696" s="13" t="b">
        <v>0</v>
      </c>
      <c r="AP1696" s="10" t="s">
        <v>104</v>
      </c>
      <c r="AQ1696" s="10">
        <f ca="1">IFERROR(__xludf.DUMMYFUNCTION("""COMPUTED_VALUE"""),4664051)</f>
        <v>4664051</v>
      </c>
      <c r="AR1696" s="17">
        <v>1388</v>
      </c>
      <c r="AS1696" s="17">
        <v>1034</v>
      </c>
      <c r="AT1696" s="17">
        <v>7683.75</v>
      </c>
      <c r="AU1696" s="17">
        <v>1.8</v>
      </c>
      <c r="AV1696" s="17">
        <v>0</v>
      </c>
      <c r="AW1696" s="10" t="s">
        <v>105</v>
      </c>
      <c r="AX1696" s="17">
        <v>195</v>
      </c>
      <c r="AY1696" s="18">
        <v>7.4310928433268861</v>
      </c>
      <c r="AZ1696" s="10" t="s">
        <v>117</v>
      </c>
      <c r="BA1696" s="20" t="b">
        <v>0</v>
      </c>
      <c r="BB1696" s="10"/>
      <c r="BC1696" s="17">
        <v>1388</v>
      </c>
      <c r="BD1696" s="17">
        <v>1034</v>
      </c>
      <c r="BE1696" s="17">
        <v>7683.75</v>
      </c>
      <c r="BF1696" s="17">
        <v>0</v>
      </c>
      <c r="BG1696" s="11">
        <f ca="1">IFERROR(__xludf.DUMMYFUNCTION("""COMPUTED_VALUE"""),45953.9895833333)</f>
        <v>45953.989583333299</v>
      </c>
      <c r="BH1696" s="17" t="s">
        <v>105</v>
      </c>
      <c r="BI1696" s="17"/>
      <c r="BJ1696" s="15"/>
      <c r="BK1696" s="15"/>
      <c r="BL1696" s="13" t="b">
        <v>0</v>
      </c>
      <c r="BM1696" s="10"/>
      <c r="BN1696" s="10" t="s">
        <v>1160</v>
      </c>
      <c r="BO1696" s="11">
        <v>45904.305474537039</v>
      </c>
      <c r="BP1696" s="11">
        <v>45943.592326388891</v>
      </c>
      <c r="BQ1696" s="15">
        <v>45950.511157407411</v>
      </c>
      <c r="BR1696" s="15">
        <v>45951.411817129629</v>
      </c>
      <c r="BS1696" s="10" t="s">
        <v>1160</v>
      </c>
      <c r="BT1696" s="10" t="s">
        <v>99</v>
      </c>
      <c r="BU1696" s="10"/>
      <c r="BV1696" s="10"/>
      <c r="BW1696" s="10"/>
      <c r="BX1696" s="10"/>
      <c r="BY1696" s="23"/>
      <c r="BZ1696" s="23"/>
      <c r="CA1696" s="19" t="s">
        <v>12852</v>
      </c>
      <c r="CB1696" s="19" t="s">
        <v>12853</v>
      </c>
      <c r="CC1696" s="23"/>
      <c r="CD1696" s="23"/>
      <c r="CE1696" s="23"/>
      <c r="CF1696" s="23"/>
      <c r="CG1696" s="23"/>
      <c r="CH1696" s="23"/>
      <c r="CI1696" s="23"/>
    </row>
    <row r="1697" spans="1:87" x14ac:dyDescent="0.3">
      <c r="A1697" s="9" t="s">
        <v>12854</v>
      </c>
      <c r="B1697" s="10" t="s">
        <v>12855</v>
      </c>
      <c r="C1697" s="11">
        <v>45953.989583333336</v>
      </c>
      <c r="D1697" s="12">
        <v>8.3333333333333329E-2</v>
      </c>
      <c r="E1697" s="11">
        <v>45954.072916666664</v>
      </c>
      <c r="F1697" s="10" t="s">
        <v>7843</v>
      </c>
      <c r="G1697" s="13" t="b">
        <v>0</v>
      </c>
      <c r="H1697" s="10" t="s">
        <v>3578</v>
      </c>
      <c r="I1697" s="10" t="s">
        <v>89</v>
      </c>
      <c r="J1697" s="13" t="b">
        <v>0</v>
      </c>
      <c r="K1697" s="13" t="b">
        <v>1</v>
      </c>
      <c r="L1697" s="10" t="s">
        <v>124</v>
      </c>
      <c r="M1697" s="10" t="s">
        <v>91</v>
      </c>
      <c r="N1697" s="10" t="s">
        <v>92</v>
      </c>
      <c r="O1697" s="19" t="s">
        <v>12856</v>
      </c>
      <c r="P1697" s="10"/>
      <c r="Q1697" s="10" t="s">
        <v>126</v>
      </c>
      <c r="R1697" s="10"/>
      <c r="S1697" s="19" t="s">
        <v>12857</v>
      </c>
      <c r="T1697" s="19" t="s">
        <v>12817</v>
      </c>
      <c r="U1697" s="10" t="s">
        <v>4993</v>
      </c>
      <c r="V1697" s="10" t="s">
        <v>292</v>
      </c>
      <c r="W1697" s="10" t="s">
        <v>7848</v>
      </c>
      <c r="X1697" s="10" t="s">
        <v>130</v>
      </c>
      <c r="Y1697" s="10" t="s">
        <v>130</v>
      </c>
      <c r="Z1697" s="10" t="s">
        <v>99</v>
      </c>
      <c r="AA1697" s="10" t="s">
        <v>131</v>
      </c>
      <c r="AB1697" s="10" t="s">
        <v>7849</v>
      </c>
      <c r="AC1697" s="10" t="s">
        <v>3571</v>
      </c>
      <c r="AD1697" s="10" t="s">
        <v>12858</v>
      </c>
      <c r="AE1697" s="10" t="s">
        <v>12859</v>
      </c>
      <c r="AF1697" s="15"/>
      <c r="AG1697" s="10"/>
      <c r="AH1697" s="10"/>
      <c r="AI1697" s="10"/>
      <c r="AJ1697" s="10"/>
      <c r="AK1697" s="10" t="s">
        <v>102</v>
      </c>
      <c r="AL1697" s="10" t="s">
        <v>7897</v>
      </c>
      <c r="AM1697" s="10"/>
      <c r="AN1697" s="10"/>
      <c r="AO1697" s="13" t="b">
        <v>1</v>
      </c>
      <c r="AP1697" s="10" t="s">
        <v>104</v>
      </c>
      <c r="AQ1697" s="10">
        <f ca="1">IFERROR(__xludf.DUMMYFUNCTION("""COMPUTED_VALUE"""),4664037)</f>
        <v>4664037</v>
      </c>
      <c r="AR1697" s="17">
        <v>20508</v>
      </c>
      <c r="AS1697" s="17">
        <v>15927</v>
      </c>
      <c r="AT1697" s="17">
        <v>423893.25</v>
      </c>
      <c r="AU1697" s="17">
        <v>109.15</v>
      </c>
      <c r="AV1697" s="17">
        <v>20</v>
      </c>
      <c r="AW1697" s="10" t="s">
        <v>105</v>
      </c>
      <c r="AX1697" s="17">
        <v>5251</v>
      </c>
      <c r="AY1697" s="18">
        <v>26.614757958184214</v>
      </c>
      <c r="AZ1697" s="10" t="s">
        <v>117</v>
      </c>
      <c r="BA1697" s="20" t="b">
        <v>0</v>
      </c>
      <c r="BB1697" s="10"/>
      <c r="BC1697" s="17">
        <v>20508</v>
      </c>
      <c r="BD1697" s="17">
        <v>15927</v>
      </c>
      <c r="BE1697" s="17">
        <v>423893.25</v>
      </c>
      <c r="BF1697" s="17">
        <v>20</v>
      </c>
      <c r="BG1697" s="11">
        <f ca="1">IFERROR(__xludf.DUMMYFUNCTION("""COMPUTED_VALUE"""),45953.9895833333)</f>
        <v>45953.989583333299</v>
      </c>
      <c r="BH1697" s="17" t="s">
        <v>105</v>
      </c>
      <c r="BI1697" s="17"/>
      <c r="BJ1697" s="15"/>
      <c r="BK1697" s="15"/>
      <c r="BL1697" s="13" t="b">
        <v>0</v>
      </c>
      <c r="BM1697" s="10"/>
      <c r="BN1697" s="10" t="s">
        <v>1160</v>
      </c>
      <c r="BO1697" s="11">
        <v>45904.304861111108</v>
      </c>
      <c r="BP1697" s="11">
        <v>45931.832708333335</v>
      </c>
      <c r="BQ1697" s="15">
        <v>45950.511817129627</v>
      </c>
      <c r="BR1697" s="15">
        <v>45951.401608796295</v>
      </c>
      <c r="BS1697" s="10" t="s">
        <v>1160</v>
      </c>
      <c r="BT1697" s="10" t="s">
        <v>99</v>
      </c>
      <c r="BU1697" s="10"/>
      <c r="BV1697" s="10" t="s">
        <v>124</v>
      </c>
      <c r="BW1697" s="10" t="s">
        <v>12860</v>
      </c>
      <c r="BX1697" s="19" t="s">
        <v>12861</v>
      </c>
      <c r="BY1697" s="23"/>
      <c r="BZ1697" s="23"/>
      <c r="CA1697" s="19" t="s">
        <v>12862</v>
      </c>
      <c r="CB1697" s="19" t="s">
        <v>12863</v>
      </c>
      <c r="CC1697" s="23"/>
      <c r="CD1697" s="19" t="s">
        <v>12864</v>
      </c>
      <c r="CE1697" s="23"/>
      <c r="CF1697" s="23"/>
      <c r="CG1697" s="23"/>
      <c r="CH1697" s="23"/>
      <c r="CI1697" s="23"/>
    </row>
    <row r="1698" spans="1:87" x14ac:dyDescent="0.3">
      <c r="A1698" s="9" t="s">
        <v>12865</v>
      </c>
      <c r="B1698" s="10" t="s">
        <v>12866</v>
      </c>
      <c r="C1698" s="11">
        <v>45953.989583333336</v>
      </c>
      <c r="D1698" s="12">
        <v>8.3333333333333329E-2</v>
      </c>
      <c r="E1698" s="11">
        <v>45954.072916666664</v>
      </c>
      <c r="F1698" s="10" t="s">
        <v>7843</v>
      </c>
      <c r="G1698" s="13" t="b">
        <v>0</v>
      </c>
      <c r="H1698" s="10" t="s">
        <v>5239</v>
      </c>
      <c r="I1698" s="10" t="s">
        <v>89</v>
      </c>
      <c r="J1698" s="13" t="b">
        <v>0</v>
      </c>
      <c r="K1698" s="13" t="b">
        <v>1</v>
      </c>
      <c r="L1698" s="10" t="s">
        <v>124</v>
      </c>
      <c r="M1698" s="10" t="s">
        <v>91</v>
      </c>
      <c r="N1698" s="10" t="s">
        <v>92</v>
      </c>
      <c r="O1698" s="19" t="s">
        <v>12867</v>
      </c>
      <c r="P1698" s="10"/>
      <c r="Q1698" s="10" t="s">
        <v>126</v>
      </c>
      <c r="R1698" s="10"/>
      <c r="S1698" s="19" t="s">
        <v>12868</v>
      </c>
      <c r="T1698" s="19" t="s">
        <v>12817</v>
      </c>
      <c r="U1698" s="10" t="s">
        <v>12644</v>
      </c>
      <c r="V1698" s="10" t="s">
        <v>5102</v>
      </c>
      <c r="W1698" s="10" t="s">
        <v>7848</v>
      </c>
      <c r="X1698" s="10" t="s">
        <v>130</v>
      </c>
      <c r="Y1698" s="10" t="s">
        <v>130</v>
      </c>
      <c r="Z1698" s="10" t="s">
        <v>99</v>
      </c>
      <c r="AA1698" s="10" t="s">
        <v>131</v>
      </c>
      <c r="AB1698" s="10" t="s">
        <v>7849</v>
      </c>
      <c r="AC1698" s="10" t="s">
        <v>3571</v>
      </c>
      <c r="AD1698" s="10" t="s">
        <v>12869</v>
      </c>
      <c r="AE1698" s="10" t="s">
        <v>12870</v>
      </c>
      <c r="AF1698" s="15"/>
      <c r="AG1698" s="10"/>
      <c r="AH1698" s="10"/>
      <c r="AI1698" s="10"/>
      <c r="AJ1698" s="10"/>
      <c r="AK1698" s="10" t="s">
        <v>102</v>
      </c>
      <c r="AL1698" s="10" t="s">
        <v>7897</v>
      </c>
      <c r="AM1698" s="10"/>
      <c r="AN1698" s="10"/>
      <c r="AO1698" s="13" t="b">
        <v>0</v>
      </c>
      <c r="AP1698" s="10" t="s">
        <v>104</v>
      </c>
      <c r="AQ1698" s="10">
        <f ca="1">IFERROR(__xludf.DUMMYFUNCTION("""COMPUTED_VALUE"""),4664108)</f>
        <v>4664108</v>
      </c>
      <c r="AR1698" s="17">
        <v>10342</v>
      </c>
      <c r="AS1698" s="17">
        <v>8000</v>
      </c>
      <c r="AT1698" s="17">
        <v>130900.75</v>
      </c>
      <c r="AU1698" s="17">
        <v>38.049999999999997</v>
      </c>
      <c r="AV1698" s="17">
        <v>8.3000000000000007</v>
      </c>
      <c r="AW1698" s="10" t="s">
        <v>105</v>
      </c>
      <c r="AX1698" s="17">
        <v>1962</v>
      </c>
      <c r="AY1698" s="18">
        <v>16.362593749999998</v>
      </c>
      <c r="AZ1698" s="10" t="s">
        <v>117</v>
      </c>
      <c r="BA1698" s="20" t="b">
        <v>0</v>
      </c>
      <c r="BB1698" s="10"/>
      <c r="BC1698" s="17">
        <v>10342</v>
      </c>
      <c r="BD1698" s="17">
        <v>8000</v>
      </c>
      <c r="BE1698" s="17">
        <v>130900.75</v>
      </c>
      <c r="BF1698" s="17">
        <v>8.3000000000000007</v>
      </c>
      <c r="BG1698" s="11">
        <f ca="1">IFERROR(__xludf.DUMMYFUNCTION("""COMPUTED_VALUE"""),45953.9895833333)</f>
        <v>45953.989583333299</v>
      </c>
      <c r="BH1698" s="17" t="s">
        <v>105</v>
      </c>
      <c r="BI1698" s="17"/>
      <c r="BJ1698" s="15"/>
      <c r="BK1698" s="15"/>
      <c r="BL1698" s="13" t="b">
        <v>0</v>
      </c>
      <c r="BM1698" s="10"/>
      <c r="BN1698" s="10" t="s">
        <v>1160</v>
      </c>
      <c r="BO1698" s="11">
        <v>45904.305474537039</v>
      </c>
      <c r="BP1698" s="11">
        <v>45943.592731481483</v>
      </c>
      <c r="BQ1698" s="15">
        <v>45950.511689814812</v>
      </c>
      <c r="BR1698" s="15">
        <v>45951.418321759258</v>
      </c>
      <c r="BS1698" s="10" t="s">
        <v>1160</v>
      </c>
      <c r="BT1698" s="10" t="s">
        <v>99</v>
      </c>
      <c r="BU1698" s="10"/>
      <c r="BV1698" s="10"/>
      <c r="BW1698" s="10"/>
      <c r="BX1698" s="10"/>
      <c r="BY1698" s="23"/>
      <c r="BZ1698" s="23"/>
      <c r="CA1698" s="19" t="s">
        <v>12871</v>
      </c>
      <c r="CB1698" s="19" t="s">
        <v>12872</v>
      </c>
      <c r="CC1698" s="23"/>
      <c r="CD1698" s="19" t="s">
        <v>12873</v>
      </c>
      <c r="CE1698" s="23"/>
      <c r="CF1698" s="23"/>
      <c r="CG1698" s="23"/>
      <c r="CH1698" s="23"/>
      <c r="CI1698" s="23"/>
    </row>
    <row r="1699" spans="1:87" x14ac:dyDescent="0.3">
      <c r="A1699" s="9" t="s">
        <v>12874</v>
      </c>
      <c r="B1699" s="10" t="s">
        <v>12875</v>
      </c>
      <c r="C1699" s="11">
        <v>45953.989583333336</v>
      </c>
      <c r="D1699" s="12">
        <v>8.3333333333333329E-2</v>
      </c>
      <c r="E1699" s="11">
        <v>45954.072916666664</v>
      </c>
      <c r="F1699" s="10" t="s">
        <v>7843</v>
      </c>
      <c r="G1699" s="13" t="b">
        <v>0</v>
      </c>
      <c r="H1699" s="10" t="s">
        <v>5239</v>
      </c>
      <c r="I1699" s="10" t="s">
        <v>89</v>
      </c>
      <c r="J1699" s="13" t="b">
        <v>0</v>
      </c>
      <c r="K1699" s="13" t="b">
        <v>1</v>
      </c>
      <c r="L1699" s="10" t="s">
        <v>124</v>
      </c>
      <c r="M1699" s="10" t="s">
        <v>91</v>
      </c>
      <c r="N1699" s="10" t="s">
        <v>92</v>
      </c>
      <c r="O1699" s="19" t="s">
        <v>12876</v>
      </c>
      <c r="P1699" s="10"/>
      <c r="Q1699" s="10" t="s">
        <v>94</v>
      </c>
      <c r="R1699" s="10"/>
      <c r="S1699" s="19" t="s">
        <v>12877</v>
      </c>
      <c r="T1699" s="19" t="s">
        <v>12817</v>
      </c>
      <c r="U1699" s="10" t="s">
        <v>12585</v>
      </c>
      <c r="V1699" s="10" t="s">
        <v>3230</v>
      </c>
      <c r="W1699" s="10" t="s">
        <v>7848</v>
      </c>
      <c r="X1699" s="10" t="s">
        <v>130</v>
      </c>
      <c r="Y1699" s="10" t="s">
        <v>130</v>
      </c>
      <c r="Z1699" s="10" t="s">
        <v>99</v>
      </c>
      <c r="AA1699" s="10" t="s">
        <v>131</v>
      </c>
      <c r="AB1699" s="10" t="s">
        <v>7849</v>
      </c>
      <c r="AC1699" s="10" t="s">
        <v>3571</v>
      </c>
      <c r="AD1699" s="10" t="s">
        <v>12878</v>
      </c>
      <c r="AE1699" s="10" t="s">
        <v>12879</v>
      </c>
      <c r="AF1699" s="15"/>
      <c r="AG1699" s="10"/>
      <c r="AH1699" s="10"/>
      <c r="AI1699" s="10"/>
      <c r="AJ1699" s="10"/>
      <c r="AK1699" s="10" t="s">
        <v>102</v>
      </c>
      <c r="AL1699" s="10" t="s">
        <v>7897</v>
      </c>
      <c r="AM1699" s="10"/>
      <c r="AN1699" s="10"/>
      <c r="AO1699" s="13" t="b">
        <v>0</v>
      </c>
      <c r="AP1699" s="10" t="s">
        <v>104</v>
      </c>
      <c r="AQ1699" s="10">
        <f ca="1">IFERROR(__xludf.DUMMYFUNCTION("""COMPUTED_VALUE"""),4664053)</f>
        <v>4664053</v>
      </c>
      <c r="AR1699" s="17">
        <v>2539</v>
      </c>
      <c r="AS1699" s="17">
        <v>1889</v>
      </c>
      <c r="AT1699" s="17">
        <v>22322.25</v>
      </c>
      <c r="AU1699" s="17">
        <v>5.55</v>
      </c>
      <c r="AV1699" s="17">
        <v>0.9</v>
      </c>
      <c r="AW1699" s="10" t="s">
        <v>105</v>
      </c>
      <c r="AX1699" s="17">
        <v>389</v>
      </c>
      <c r="AY1699" s="18">
        <v>11.816966649020646</v>
      </c>
      <c r="AZ1699" s="10" t="s">
        <v>117</v>
      </c>
      <c r="BA1699" s="20" t="b">
        <v>0</v>
      </c>
      <c r="BB1699" s="10"/>
      <c r="BC1699" s="17">
        <v>2539</v>
      </c>
      <c r="BD1699" s="17">
        <v>1889</v>
      </c>
      <c r="BE1699" s="17">
        <v>22322.25</v>
      </c>
      <c r="BF1699" s="17">
        <v>0.9</v>
      </c>
      <c r="BG1699" s="11">
        <f ca="1">IFERROR(__xludf.DUMMYFUNCTION("""COMPUTED_VALUE"""),45953.9895833333)</f>
        <v>45953.989583333299</v>
      </c>
      <c r="BH1699" s="17" t="s">
        <v>105</v>
      </c>
      <c r="BI1699" s="17"/>
      <c r="BJ1699" s="15"/>
      <c r="BK1699" s="15"/>
      <c r="BL1699" s="13" t="b">
        <v>0</v>
      </c>
      <c r="BM1699" s="10"/>
      <c r="BN1699" s="10" t="s">
        <v>1160</v>
      </c>
      <c r="BO1699" s="11">
        <v>45904.305474537039</v>
      </c>
      <c r="BP1699" s="11">
        <v>45943.592557870368</v>
      </c>
      <c r="BQ1699" s="15">
        <v>45950.511273148149</v>
      </c>
      <c r="BR1699" s="15">
        <v>45951.412083333336</v>
      </c>
      <c r="BS1699" s="10" t="s">
        <v>1160</v>
      </c>
      <c r="BT1699" s="10" t="s">
        <v>99</v>
      </c>
      <c r="BU1699" s="10"/>
      <c r="BV1699" s="10"/>
      <c r="BW1699" s="10"/>
      <c r="BX1699" s="10"/>
      <c r="BY1699" s="23"/>
      <c r="BZ1699" s="23"/>
      <c r="CA1699" s="19" t="s">
        <v>12880</v>
      </c>
      <c r="CB1699" s="19" t="s">
        <v>12881</v>
      </c>
      <c r="CC1699" s="23"/>
      <c r="CD1699" s="23"/>
      <c r="CE1699" s="23"/>
      <c r="CF1699" s="23"/>
      <c r="CG1699" s="23"/>
      <c r="CH1699" s="23"/>
      <c r="CI1699" s="23"/>
    </row>
    <row r="1700" spans="1:87" x14ac:dyDescent="0.3">
      <c r="A1700" s="9" t="s">
        <v>12882</v>
      </c>
      <c r="B1700" s="10" t="s">
        <v>12883</v>
      </c>
      <c r="C1700" s="11">
        <v>45953.989583333336</v>
      </c>
      <c r="D1700" s="12">
        <v>8.3333333333333329E-2</v>
      </c>
      <c r="E1700" s="11">
        <v>45954.072916666664</v>
      </c>
      <c r="F1700" s="10" t="s">
        <v>7843</v>
      </c>
      <c r="G1700" s="13" t="b">
        <v>0</v>
      </c>
      <c r="H1700" s="10" t="s">
        <v>11460</v>
      </c>
      <c r="I1700" s="10" t="s">
        <v>89</v>
      </c>
      <c r="J1700" s="13" t="b">
        <v>0</v>
      </c>
      <c r="K1700" s="13" t="b">
        <v>1</v>
      </c>
      <c r="L1700" s="10" t="s">
        <v>124</v>
      </c>
      <c r="M1700" s="10" t="s">
        <v>91</v>
      </c>
      <c r="N1700" s="10" t="s">
        <v>92</v>
      </c>
      <c r="O1700" s="19" t="s">
        <v>12884</v>
      </c>
      <c r="P1700" s="10"/>
      <c r="Q1700" s="10" t="s">
        <v>94</v>
      </c>
      <c r="R1700" s="10"/>
      <c r="S1700" s="19" t="s">
        <v>12885</v>
      </c>
      <c r="T1700" s="19" t="s">
        <v>12817</v>
      </c>
      <c r="U1700" s="10" t="s">
        <v>12634</v>
      </c>
      <c r="V1700" s="10" t="s">
        <v>12550</v>
      </c>
      <c r="W1700" s="10" t="s">
        <v>7848</v>
      </c>
      <c r="X1700" s="10" t="s">
        <v>130</v>
      </c>
      <c r="Y1700" s="10" t="s">
        <v>130</v>
      </c>
      <c r="Z1700" s="10" t="s">
        <v>99</v>
      </c>
      <c r="AA1700" s="10" t="s">
        <v>131</v>
      </c>
      <c r="AB1700" s="10" t="s">
        <v>7849</v>
      </c>
      <c r="AC1700" s="10" t="s">
        <v>3571</v>
      </c>
      <c r="AD1700" s="10" t="s">
        <v>12886</v>
      </c>
      <c r="AE1700" s="10" t="s">
        <v>12887</v>
      </c>
      <c r="AF1700" s="15"/>
      <c r="AG1700" s="10"/>
      <c r="AH1700" s="10"/>
      <c r="AI1700" s="10"/>
      <c r="AJ1700" s="10"/>
      <c r="AK1700" s="10" t="s">
        <v>102</v>
      </c>
      <c r="AL1700" s="10" t="s">
        <v>7897</v>
      </c>
      <c r="AM1700" s="10"/>
      <c r="AN1700" s="10"/>
      <c r="AO1700" s="13" t="b">
        <v>0</v>
      </c>
      <c r="AP1700" s="10" t="s">
        <v>104</v>
      </c>
      <c r="AQ1700" s="10">
        <f ca="1">IFERROR(__xludf.DUMMYFUNCTION("""COMPUTED_VALUE"""),4664106)</f>
        <v>4664106</v>
      </c>
      <c r="AR1700" s="17">
        <v>26564</v>
      </c>
      <c r="AS1700" s="17">
        <v>23773</v>
      </c>
      <c r="AT1700" s="17">
        <v>225440.75</v>
      </c>
      <c r="AU1700" s="17">
        <v>24.5</v>
      </c>
      <c r="AV1700" s="17">
        <v>4.5999999999999996</v>
      </c>
      <c r="AW1700" s="10" t="s">
        <v>105</v>
      </c>
      <c r="AX1700" s="17">
        <v>10316</v>
      </c>
      <c r="AY1700" s="18">
        <v>9.4830585117570347</v>
      </c>
      <c r="AZ1700" s="10" t="s">
        <v>117</v>
      </c>
      <c r="BA1700" s="20" t="b">
        <v>0</v>
      </c>
      <c r="BB1700" s="10"/>
      <c r="BC1700" s="17">
        <v>26564</v>
      </c>
      <c r="BD1700" s="17">
        <v>23773</v>
      </c>
      <c r="BE1700" s="17">
        <v>225440.75</v>
      </c>
      <c r="BF1700" s="17">
        <v>4.5999999999999996</v>
      </c>
      <c r="BG1700" s="11">
        <f ca="1">IFERROR(__xludf.DUMMYFUNCTION("""COMPUTED_VALUE"""),45953.9895833333)</f>
        <v>45953.989583333299</v>
      </c>
      <c r="BH1700" s="17" t="s">
        <v>105</v>
      </c>
      <c r="BI1700" s="17"/>
      <c r="BJ1700" s="15"/>
      <c r="BK1700" s="15"/>
      <c r="BL1700" s="13" t="b">
        <v>0</v>
      </c>
      <c r="BM1700" s="10"/>
      <c r="BN1700" s="10" t="s">
        <v>1160</v>
      </c>
      <c r="BO1700" s="11">
        <v>45904.304861111108</v>
      </c>
      <c r="BP1700" s="11">
        <v>45943.597719907404</v>
      </c>
      <c r="BQ1700" s="15">
        <v>45950.511932870373</v>
      </c>
      <c r="BR1700" s="15">
        <v>45951.418576388889</v>
      </c>
      <c r="BS1700" s="10" t="s">
        <v>1160</v>
      </c>
      <c r="BT1700" s="10" t="s">
        <v>99</v>
      </c>
      <c r="BU1700" s="10"/>
      <c r="BV1700" s="10"/>
      <c r="BW1700" s="10"/>
      <c r="BX1700" s="10"/>
      <c r="BY1700" s="23"/>
      <c r="BZ1700" s="23"/>
      <c r="CA1700" s="19" t="s">
        <v>12888</v>
      </c>
      <c r="CB1700" s="19" t="s">
        <v>12889</v>
      </c>
      <c r="CC1700" s="23"/>
      <c r="CD1700" s="23"/>
      <c r="CE1700" s="23"/>
      <c r="CF1700" s="23"/>
      <c r="CG1700" s="23"/>
      <c r="CH1700" s="23"/>
      <c r="CI1700" s="23"/>
    </row>
    <row r="1701" spans="1:87" x14ac:dyDescent="0.3">
      <c r="A1701" s="9" t="s">
        <v>12890</v>
      </c>
      <c r="B1701" s="10" t="s">
        <v>12891</v>
      </c>
      <c r="C1701" s="11">
        <v>45954.083333333336</v>
      </c>
      <c r="D1701" s="12">
        <v>8.3333333333333329E-2</v>
      </c>
      <c r="E1701" s="11">
        <v>45954.166666666664</v>
      </c>
      <c r="F1701" s="10" t="s">
        <v>7843</v>
      </c>
      <c r="G1701" s="13" t="b">
        <v>0</v>
      </c>
      <c r="H1701" s="10" t="s">
        <v>5239</v>
      </c>
      <c r="I1701" s="10" t="s">
        <v>89</v>
      </c>
      <c r="J1701" s="13" t="b">
        <v>0</v>
      </c>
      <c r="K1701" s="13" t="b">
        <v>1</v>
      </c>
      <c r="L1701" s="10" t="s">
        <v>124</v>
      </c>
      <c r="M1701" s="10" t="s">
        <v>91</v>
      </c>
      <c r="N1701" s="10" t="s">
        <v>92</v>
      </c>
      <c r="O1701" s="19" t="s">
        <v>12892</v>
      </c>
      <c r="P1701" s="10"/>
      <c r="Q1701" s="10" t="s">
        <v>94</v>
      </c>
      <c r="R1701" s="10"/>
      <c r="S1701" s="19" t="s">
        <v>12893</v>
      </c>
      <c r="T1701" s="19" t="s">
        <v>12817</v>
      </c>
      <c r="U1701" s="10" t="s">
        <v>5066</v>
      </c>
      <c r="V1701" s="10" t="s">
        <v>7821</v>
      </c>
      <c r="W1701" s="10" t="s">
        <v>7848</v>
      </c>
      <c r="X1701" s="10" t="s">
        <v>130</v>
      </c>
      <c r="Y1701" s="10" t="s">
        <v>130</v>
      </c>
      <c r="Z1701" s="10" t="s">
        <v>99</v>
      </c>
      <c r="AA1701" s="10" t="s">
        <v>131</v>
      </c>
      <c r="AB1701" s="10" t="s">
        <v>7849</v>
      </c>
      <c r="AC1701" s="10" t="s">
        <v>3571</v>
      </c>
      <c r="AD1701" s="10" t="s">
        <v>12894</v>
      </c>
      <c r="AE1701" s="10" t="s">
        <v>12895</v>
      </c>
      <c r="AF1701" s="15"/>
      <c r="AG1701" s="10"/>
      <c r="AH1701" s="10"/>
      <c r="AI1701" s="10"/>
      <c r="AJ1701" s="10"/>
      <c r="AK1701" s="10" t="s">
        <v>102</v>
      </c>
      <c r="AL1701" s="10" t="s">
        <v>7897</v>
      </c>
      <c r="AM1701" s="10"/>
      <c r="AN1701" s="10"/>
      <c r="AO1701" s="13" t="b">
        <v>0</v>
      </c>
      <c r="AP1701" s="10" t="s">
        <v>104</v>
      </c>
      <c r="AQ1701" s="10">
        <f ca="1">IFERROR(__xludf.DUMMYFUNCTION("""COMPUTED_VALUE"""),4664111)</f>
        <v>4664111</v>
      </c>
      <c r="AR1701" s="17">
        <v>2112</v>
      </c>
      <c r="AS1701" s="17">
        <v>1402</v>
      </c>
      <c r="AT1701" s="17">
        <v>13924</v>
      </c>
      <c r="AU1701" s="17">
        <v>1.45</v>
      </c>
      <c r="AV1701" s="17">
        <v>0.65</v>
      </c>
      <c r="AW1701" s="10" t="s">
        <v>105</v>
      </c>
      <c r="AX1701" s="17">
        <v>304</v>
      </c>
      <c r="AY1701" s="18">
        <v>9.9315263908701858</v>
      </c>
      <c r="AZ1701" s="10" t="s">
        <v>117</v>
      </c>
      <c r="BA1701" s="20" t="b">
        <v>0</v>
      </c>
      <c r="BB1701" s="10"/>
      <c r="BC1701" s="17">
        <v>2112</v>
      </c>
      <c r="BD1701" s="17">
        <v>1402</v>
      </c>
      <c r="BE1701" s="17">
        <v>13924</v>
      </c>
      <c r="BF1701" s="17">
        <v>0.65</v>
      </c>
      <c r="BG1701" s="11">
        <f ca="1">IFERROR(__xludf.DUMMYFUNCTION("""COMPUTED_VALUE"""),45954.0833333333)</f>
        <v>45954.083333333299</v>
      </c>
      <c r="BH1701" s="17" t="s">
        <v>105</v>
      </c>
      <c r="BI1701" s="17"/>
      <c r="BJ1701" s="15"/>
      <c r="BK1701" s="15"/>
      <c r="BL1701" s="13" t="b">
        <v>0</v>
      </c>
      <c r="BM1701" s="10"/>
      <c r="BN1701" s="10" t="s">
        <v>1160</v>
      </c>
      <c r="BO1701" s="11">
        <v>45904.305474537039</v>
      </c>
      <c r="BP1701" s="11">
        <v>45943.5934837963</v>
      </c>
      <c r="BQ1701" s="15">
        <v>45950.512199074074</v>
      </c>
      <c r="BR1701" s="15">
        <v>45951.419074074074</v>
      </c>
      <c r="BS1701" s="10" t="s">
        <v>1160</v>
      </c>
      <c r="BT1701" s="10" t="s">
        <v>99</v>
      </c>
      <c r="BU1701" s="10"/>
      <c r="BV1701" s="10"/>
      <c r="BW1701" s="10"/>
      <c r="BX1701" s="10"/>
      <c r="BY1701" s="23"/>
      <c r="BZ1701" s="23"/>
      <c r="CA1701" s="19" t="s">
        <v>12896</v>
      </c>
      <c r="CB1701" s="19" t="s">
        <v>12897</v>
      </c>
      <c r="CC1701" s="23"/>
      <c r="CD1701" s="23"/>
      <c r="CE1701" s="23"/>
      <c r="CF1701" s="23"/>
      <c r="CG1701" s="23"/>
      <c r="CH1701" s="23"/>
      <c r="CI1701" s="23"/>
    </row>
    <row r="1702" spans="1:87" x14ac:dyDescent="0.3">
      <c r="A1702" s="9" t="s">
        <v>12898</v>
      </c>
      <c r="B1702" s="10" t="s">
        <v>12899</v>
      </c>
      <c r="C1702" s="11">
        <v>45954.083333333336</v>
      </c>
      <c r="D1702" s="12">
        <v>8.3333333333333329E-2</v>
      </c>
      <c r="E1702" s="11">
        <v>45954.166666666664</v>
      </c>
      <c r="F1702" s="10" t="s">
        <v>7843</v>
      </c>
      <c r="G1702" s="13" t="b">
        <v>0</v>
      </c>
      <c r="H1702" s="10" t="s">
        <v>5239</v>
      </c>
      <c r="I1702" s="10" t="s">
        <v>89</v>
      </c>
      <c r="J1702" s="13" t="b">
        <v>0</v>
      </c>
      <c r="K1702" s="13" t="b">
        <v>1</v>
      </c>
      <c r="L1702" s="10" t="s">
        <v>124</v>
      </c>
      <c r="M1702" s="10" t="s">
        <v>91</v>
      </c>
      <c r="N1702" s="10" t="s">
        <v>92</v>
      </c>
      <c r="O1702" s="19" t="s">
        <v>12900</v>
      </c>
      <c r="P1702" s="10"/>
      <c r="Q1702" s="10" t="s">
        <v>126</v>
      </c>
      <c r="R1702" s="10"/>
      <c r="S1702" s="19" t="s">
        <v>12901</v>
      </c>
      <c r="T1702" s="19" t="s">
        <v>12817</v>
      </c>
      <c r="U1702" s="10" t="s">
        <v>12596</v>
      </c>
      <c r="V1702" s="10" t="s">
        <v>7846</v>
      </c>
      <c r="W1702" s="10" t="s">
        <v>7848</v>
      </c>
      <c r="X1702" s="10" t="s">
        <v>130</v>
      </c>
      <c r="Y1702" s="10" t="s">
        <v>130</v>
      </c>
      <c r="Z1702" s="10" t="s">
        <v>99</v>
      </c>
      <c r="AA1702" s="10" t="s">
        <v>131</v>
      </c>
      <c r="AB1702" s="10" t="s">
        <v>7849</v>
      </c>
      <c r="AC1702" s="10" t="s">
        <v>3571</v>
      </c>
      <c r="AD1702" s="10" t="s">
        <v>12902</v>
      </c>
      <c r="AE1702" s="10" t="s">
        <v>12903</v>
      </c>
      <c r="AF1702" s="15"/>
      <c r="AG1702" s="10"/>
      <c r="AH1702" s="10"/>
      <c r="AI1702" s="10"/>
      <c r="AJ1702" s="10"/>
      <c r="AK1702" s="10" t="s">
        <v>102</v>
      </c>
      <c r="AL1702" s="10" t="s">
        <v>7897</v>
      </c>
      <c r="AM1702" s="10"/>
      <c r="AN1702" s="10"/>
      <c r="AO1702" s="13" t="b">
        <v>1</v>
      </c>
      <c r="AP1702" s="10" t="s">
        <v>104</v>
      </c>
      <c r="AQ1702" s="10">
        <f ca="1">IFERROR(__xludf.DUMMYFUNCTION("""COMPUTED_VALUE"""),4664113)</f>
        <v>4664113</v>
      </c>
      <c r="AR1702" s="17">
        <v>19026</v>
      </c>
      <c r="AS1702" s="17">
        <v>11688</v>
      </c>
      <c r="AT1702" s="17">
        <v>333909.75</v>
      </c>
      <c r="AU1702" s="17">
        <v>55.6</v>
      </c>
      <c r="AV1702" s="17">
        <v>8.9499999999999993</v>
      </c>
      <c r="AW1702" s="10" t="s">
        <v>105</v>
      </c>
      <c r="AX1702" s="17">
        <v>4243</v>
      </c>
      <c r="AY1702" s="18">
        <v>28.568595995893222</v>
      </c>
      <c r="AZ1702" s="10" t="s">
        <v>117</v>
      </c>
      <c r="BA1702" s="20" t="b">
        <v>0</v>
      </c>
      <c r="BB1702" s="10"/>
      <c r="BC1702" s="17">
        <v>19026</v>
      </c>
      <c r="BD1702" s="17">
        <v>11688</v>
      </c>
      <c r="BE1702" s="17">
        <v>333909.75</v>
      </c>
      <c r="BF1702" s="17">
        <v>8.9499999999999993</v>
      </c>
      <c r="BG1702" s="11">
        <f ca="1">IFERROR(__xludf.DUMMYFUNCTION("""COMPUTED_VALUE"""),45954.0833333333)</f>
        <v>45954.083333333299</v>
      </c>
      <c r="BH1702" s="17" t="s">
        <v>105</v>
      </c>
      <c r="BI1702" s="17"/>
      <c r="BJ1702" s="15"/>
      <c r="BK1702" s="15"/>
      <c r="BL1702" s="13" t="b">
        <v>0</v>
      </c>
      <c r="BM1702" s="10"/>
      <c r="BN1702" s="10" t="s">
        <v>1160</v>
      </c>
      <c r="BO1702" s="11">
        <v>45904.304861111108</v>
      </c>
      <c r="BP1702" s="11">
        <v>45943.593865740739</v>
      </c>
      <c r="BQ1702" s="15">
        <v>45950.512442129628</v>
      </c>
      <c r="BR1702" s="15">
        <v>45951.42291666667</v>
      </c>
      <c r="BS1702" s="10" t="s">
        <v>1160</v>
      </c>
      <c r="BT1702" s="10" t="s">
        <v>99</v>
      </c>
      <c r="BU1702" s="10"/>
      <c r="BV1702" s="10" t="s">
        <v>124</v>
      </c>
      <c r="BW1702" s="10" t="s">
        <v>12860</v>
      </c>
      <c r="BX1702" s="19" t="s">
        <v>12861</v>
      </c>
      <c r="BY1702" s="23"/>
      <c r="BZ1702" s="23"/>
      <c r="CA1702" s="19" t="s">
        <v>12904</v>
      </c>
      <c r="CB1702" s="19" t="s">
        <v>12905</v>
      </c>
      <c r="CC1702" s="23"/>
      <c r="CD1702" s="19" t="s">
        <v>12906</v>
      </c>
      <c r="CE1702" s="23"/>
      <c r="CF1702" s="23"/>
      <c r="CG1702" s="23"/>
      <c r="CH1702" s="23"/>
      <c r="CI1702" s="23"/>
    </row>
    <row r="1703" spans="1:87" x14ac:dyDescent="0.3">
      <c r="A1703" s="9" t="s">
        <v>12907</v>
      </c>
      <c r="B1703" s="10" t="s">
        <v>12908</v>
      </c>
      <c r="C1703" s="11">
        <v>45954.083333333336</v>
      </c>
      <c r="D1703" s="12">
        <v>8.3333333333333329E-2</v>
      </c>
      <c r="E1703" s="11">
        <v>45954.166666666664</v>
      </c>
      <c r="F1703" s="10" t="s">
        <v>7843</v>
      </c>
      <c r="G1703" s="13" t="b">
        <v>0</v>
      </c>
      <c r="H1703" s="10" t="s">
        <v>5239</v>
      </c>
      <c r="I1703" s="10" t="s">
        <v>89</v>
      </c>
      <c r="J1703" s="13" t="b">
        <v>0</v>
      </c>
      <c r="K1703" s="13" t="b">
        <v>1</v>
      </c>
      <c r="L1703" s="10" t="s">
        <v>124</v>
      </c>
      <c r="M1703" s="10" t="s">
        <v>91</v>
      </c>
      <c r="N1703" s="10" t="s">
        <v>92</v>
      </c>
      <c r="O1703" s="19" t="s">
        <v>12909</v>
      </c>
      <c r="P1703" s="10"/>
      <c r="Q1703" s="10" t="s">
        <v>94</v>
      </c>
      <c r="R1703" s="10"/>
      <c r="S1703" s="19" t="s">
        <v>12910</v>
      </c>
      <c r="T1703" s="19" t="s">
        <v>12817</v>
      </c>
      <c r="U1703" s="10" t="s">
        <v>12522</v>
      </c>
      <c r="V1703" s="10" t="s">
        <v>12559</v>
      </c>
      <c r="W1703" s="10" t="s">
        <v>7848</v>
      </c>
      <c r="X1703" s="10" t="s">
        <v>130</v>
      </c>
      <c r="Y1703" s="10" t="s">
        <v>130</v>
      </c>
      <c r="Z1703" s="10" t="s">
        <v>99</v>
      </c>
      <c r="AA1703" s="10" t="s">
        <v>131</v>
      </c>
      <c r="AB1703" s="10" t="s">
        <v>7849</v>
      </c>
      <c r="AC1703" s="10" t="s">
        <v>3571</v>
      </c>
      <c r="AD1703" s="10" t="s">
        <v>12911</v>
      </c>
      <c r="AE1703" s="10" t="s">
        <v>12912</v>
      </c>
      <c r="AF1703" s="15"/>
      <c r="AG1703" s="10"/>
      <c r="AH1703" s="10"/>
      <c r="AI1703" s="10"/>
      <c r="AJ1703" s="10"/>
      <c r="AK1703" s="10" t="s">
        <v>102</v>
      </c>
      <c r="AL1703" s="10" t="s">
        <v>7897</v>
      </c>
      <c r="AM1703" s="10"/>
      <c r="AN1703" s="10"/>
      <c r="AO1703" s="13" t="b">
        <v>0</v>
      </c>
      <c r="AP1703" s="10" t="s">
        <v>104</v>
      </c>
      <c r="AQ1703" s="10">
        <f ca="1">IFERROR(__xludf.DUMMYFUNCTION("""COMPUTED_VALUE"""),4664115)</f>
        <v>4664115</v>
      </c>
      <c r="AR1703" s="17">
        <v>779</v>
      </c>
      <c r="AS1703" s="17">
        <v>502</v>
      </c>
      <c r="AT1703" s="17">
        <v>5097</v>
      </c>
      <c r="AU1703" s="17">
        <v>1.9</v>
      </c>
      <c r="AV1703" s="17">
        <v>1</v>
      </c>
      <c r="AW1703" s="10" t="s">
        <v>105</v>
      </c>
      <c r="AX1703" s="17">
        <v>181</v>
      </c>
      <c r="AY1703" s="18">
        <v>10.153386454183266</v>
      </c>
      <c r="AZ1703" s="10" t="s">
        <v>117</v>
      </c>
      <c r="BA1703" s="20" t="b">
        <v>0</v>
      </c>
      <c r="BB1703" s="10"/>
      <c r="BC1703" s="17">
        <v>779</v>
      </c>
      <c r="BD1703" s="17">
        <v>502</v>
      </c>
      <c r="BE1703" s="17">
        <v>5097</v>
      </c>
      <c r="BF1703" s="17">
        <v>1</v>
      </c>
      <c r="BG1703" s="11">
        <f ca="1">IFERROR(__xludf.DUMMYFUNCTION("""COMPUTED_VALUE"""),45954.0833333333)</f>
        <v>45954.083333333299</v>
      </c>
      <c r="BH1703" s="17" t="s">
        <v>105</v>
      </c>
      <c r="BI1703" s="17"/>
      <c r="BJ1703" s="15"/>
      <c r="BK1703" s="15"/>
      <c r="BL1703" s="13" t="b">
        <v>0</v>
      </c>
      <c r="BM1703" s="10"/>
      <c r="BN1703" s="10" t="s">
        <v>1160</v>
      </c>
      <c r="BO1703" s="11">
        <v>45904.305474537039</v>
      </c>
      <c r="BP1703" s="11">
        <v>45943.594050925924</v>
      </c>
      <c r="BQ1703" s="15">
        <v>45950.512673611112</v>
      </c>
      <c r="BR1703" s="15">
        <v>45951.426724537036</v>
      </c>
      <c r="BS1703" s="10" t="s">
        <v>1160</v>
      </c>
      <c r="BT1703" s="10" t="s">
        <v>99</v>
      </c>
      <c r="BU1703" s="10"/>
      <c r="BV1703" s="10"/>
      <c r="BW1703" s="10"/>
      <c r="BX1703" s="10"/>
      <c r="BY1703" s="23"/>
      <c r="BZ1703" s="23"/>
      <c r="CA1703" s="19" t="s">
        <v>12913</v>
      </c>
      <c r="CB1703" s="19" t="s">
        <v>12914</v>
      </c>
      <c r="CC1703" s="23"/>
      <c r="CD1703" s="23"/>
      <c r="CE1703" s="23"/>
      <c r="CF1703" s="23"/>
      <c r="CG1703" s="23"/>
      <c r="CH1703" s="23"/>
      <c r="CI1703" s="23"/>
    </row>
    <row r="1704" spans="1:87" x14ac:dyDescent="0.3">
      <c r="A1704" s="9" t="s">
        <v>12915</v>
      </c>
      <c r="B1704" s="10" t="s">
        <v>12916</v>
      </c>
      <c r="C1704" s="11">
        <v>45954.083333333336</v>
      </c>
      <c r="D1704" s="12">
        <v>8.3333333333333329E-2</v>
      </c>
      <c r="E1704" s="11">
        <v>45954.166666666664</v>
      </c>
      <c r="F1704" s="10" t="s">
        <v>7843</v>
      </c>
      <c r="G1704" s="13" t="b">
        <v>0</v>
      </c>
      <c r="H1704" s="10" t="s">
        <v>5239</v>
      </c>
      <c r="I1704" s="10" t="s">
        <v>89</v>
      </c>
      <c r="J1704" s="13" t="b">
        <v>0</v>
      </c>
      <c r="K1704" s="13" t="b">
        <v>1</v>
      </c>
      <c r="L1704" s="10" t="s">
        <v>124</v>
      </c>
      <c r="M1704" s="10" t="s">
        <v>91</v>
      </c>
      <c r="N1704" s="10" t="s">
        <v>92</v>
      </c>
      <c r="O1704" s="19" t="s">
        <v>12917</v>
      </c>
      <c r="P1704" s="10"/>
      <c r="Q1704" s="10" t="s">
        <v>94</v>
      </c>
      <c r="R1704" s="10"/>
      <c r="S1704" s="19" t="s">
        <v>12918</v>
      </c>
      <c r="T1704" s="19" t="s">
        <v>12817</v>
      </c>
      <c r="U1704" s="10" t="s">
        <v>12662</v>
      </c>
      <c r="V1704" s="10" t="s">
        <v>12523</v>
      </c>
      <c r="W1704" s="10" t="s">
        <v>7848</v>
      </c>
      <c r="X1704" s="10" t="s">
        <v>130</v>
      </c>
      <c r="Y1704" s="10" t="s">
        <v>130</v>
      </c>
      <c r="Z1704" s="10" t="s">
        <v>99</v>
      </c>
      <c r="AA1704" s="10" t="s">
        <v>131</v>
      </c>
      <c r="AB1704" s="10" t="s">
        <v>7849</v>
      </c>
      <c r="AC1704" s="10" t="s">
        <v>3571</v>
      </c>
      <c r="AD1704" s="10" t="s">
        <v>12919</v>
      </c>
      <c r="AE1704" s="10" t="s">
        <v>12920</v>
      </c>
      <c r="AF1704" s="15"/>
      <c r="AG1704" s="10"/>
      <c r="AH1704" s="10"/>
      <c r="AI1704" s="10"/>
      <c r="AJ1704" s="10"/>
      <c r="AK1704" s="10" t="s">
        <v>102</v>
      </c>
      <c r="AL1704" s="10" t="s">
        <v>7897</v>
      </c>
      <c r="AM1704" s="10"/>
      <c r="AN1704" s="10"/>
      <c r="AO1704" s="13" t="b">
        <v>0</v>
      </c>
      <c r="AP1704" s="10" t="s">
        <v>104</v>
      </c>
      <c r="AQ1704" s="10">
        <f ca="1">IFERROR(__xludf.DUMMYFUNCTION("""COMPUTED_VALUE"""),4664119)</f>
        <v>4664119</v>
      </c>
      <c r="AR1704" s="17">
        <v>670</v>
      </c>
      <c r="AS1704" s="17">
        <v>519</v>
      </c>
      <c r="AT1704" s="17">
        <v>2693.5</v>
      </c>
      <c r="AU1704" s="17">
        <v>0</v>
      </c>
      <c r="AV1704" s="17">
        <v>0</v>
      </c>
      <c r="AW1704" s="10" t="s">
        <v>105</v>
      </c>
      <c r="AX1704" s="17">
        <v>71</v>
      </c>
      <c r="AY1704" s="18">
        <v>5.1897880539499033</v>
      </c>
      <c r="AZ1704" s="10" t="s">
        <v>117</v>
      </c>
      <c r="BA1704" s="20" t="b">
        <v>0</v>
      </c>
      <c r="BB1704" s="10"/>
      <c r="BC1704" s="17">
        <v>670</v>
      </c>
      <c r="BD1704" s="17">
        <v>519</v>
      </c>
      <c r="BE1704" s="17">
        <v>2693.5</v>
      </c>
      <c r="BF1704" s="17">
        <v>0</v>
      </c>
      <c r="BG1704" s="11">
        <f ca="1">IFERROR(__xludf.DUMMYFUNCTION("""COMPUTED_VALUE"""),45954.0833333333)</f>
        <v>45954.083333333299</v>
      </c>
      <c r="BH1704" s="17" t="s">
        <v>105</v>
      </c>
      <c r="BI1704" s="17"/>
      <c r="BJ1704" s="15"/>
      <c r="BK1704" s="15"/>
      <c r="BL1704" s="13" t="b">
        <v>0</v>
      </c>
      <c r="BM1704" s="10"/>
      <c r="BN1704" s="10" t="s">
        <v>1160</v>
      </c>
      <c r="BO1704" s="11">
        <v>45904.305474537039</v>
      </c>
      <c r="BP1704" s="11">
        <v>45943.594710648147</v>
      </c>
      <c r="BQ1704" s="15">
        <v>45950.513136574074</v>
      </c>
      <c r="BR1704" s="15">
        <v>45951.433599537035</v>
      </c>
      <c r="BS1704" s="10" t="s">
        <v>1160</v>
      </c>
      <c r="BT1704" s="10" t="s">
        <v>99</v>
      </c>
      <c r="BU1704" s="10"/>
      <c r="BV1704" s="10"/>
      <c r="BW1704" s="10"/>
      <c r="BX1704" s="10"/>
      <c r="BY1704" s="23"/>
      <c r="BZ1704" s="23"/>
      <c r="CA1704" s="19" t="s">
        <v>12921</v>
      </c>
      <c r="CB1704" s="19" t="s">
        <v>12922</v>
      </c>
      <c r="CC1704" s="23"/>
      <c r="CD1704" s="23"/>
      <c r="CE1704" s="23"/>
      <c r="CF1704" s="23"/>
      <c r="CG1704" s="23"/>
      <c r="CH1704" s="23"/>
      <c r="CI1704" s="23"/>
    </row>
    <row r="1705" spans="1:87" x14ac:dyDescent="0.3">
      <c r="A1705" s="9" t="s">
        <v>12923</v>
      </c>
      <c r="B1705" s="10" t="s">
        <v>12924</v>
      </c>
      <c r="C1705" s="11">
        <v>45954.083333333336</v>
      </c>
      <c r="D1705" s="12">
        <v>8.3333333333333329E-2</v>
      </c>
      <c r="E1705" s="11">
        <v>45954.166666666664</v>
      </c>
      <c r="F1705" s="10" t="s">
        <v>7843</v>
      </c>
      <c r="G1705" s="13" t="b">
        <v>0</v>
      </c>
      <c r="H1705" s="10" t="s">
        <v>5239</v>
      </c>
      <c r="I1705" s="10" t="s">
        <v>89</v>
      </c>
      <c r="J1705" s="13" t="b">
        <v>0</v>
      </c>
      <c r="K1705" s="13" t="b">
        <v>1</v>
      </c>
      <c r="L1705" s="10" t="s">
        <v>124</v>
      </c>
      <c r="M1705" s="10" t="s">
        <v>91</v>
      </c>
      <c r="N1705" s="10" t="s">
        <v>92</v>
      </c>
      <c r="O1705" s="19" t="s">
        <v>12925</v>
      </c>
      <c r="P1705" s="10"/>
      <c r="Q1705" s="10" t="s">
        <v>126</v>
      </c>
      <c r="R1705" s="10"/>
      <c r="S1705" s="19" t="s">
        <v>12926</v>
      </c>
      <c r="T1705" s="19" t="s">
        <v>12817</v>
      </c>
      <c r="U1705" s="10" t="s">
        <v>12549</v>
      </c>
      <c r="V1705" s="10" t="s">
        <v>8476</v>
      </c>
      <c r="W1705" s="10" t="s">
        <v>7848</v>
      </c>
      <c r="X1705" s="10" t="s">
        <v>130</v>
      </c>
      <c r="Y1705" s="10" t="s">
        <v>130</v>
      </c>
      <c r="Z1705" s="10" t="s">
        <v>99</v>
      </c>
      <c r="AA1705" s="10" t="s">
        <v>131</v>
      </c>
      <c r="AB1705" s="10" t="s">
        <v>7849</v>
      </c>
      <c r="AC1705" s="10" t="s">
        <v>3571</v>
      </c>
      <c r="AD1705" s="10" t="s">
        <v>12927</v>
      </c>
      <c r="AE1705" s="10" t="s">
        <v>12928</v>
      </c>
      <c r="AF1705" s="15"/>
      <c r="AG1705" s="10"/>
      <c r="AH1705" s="10"/>
      <c r="AI1705" s="10"/>
      <c r="AJ1705" s="10"/>
      <c r="AK1705" s="10" t="s">
        <v>102</v>
      </c>
      <c r="AL1705" s="10" t="s">
        <v>7897</v>
      </c>
      <c r="AM1705" s="10"/>
      <c r="AN1705" s="10"/>
      <c r="AO1705" s="13" t="b">
        <v>1</v>
      </c>
      <c r="AP1705" s="10" t="s">
        <v>104</v>
      </c>
      <c r="AQ1705" s="10">
        <f ca="1">IFERROR(__xludf.DUMMYFUNCTION("""COMPUTED_VALUE"""),4664117)</f>
        <v>4664117</v>
      </c>
      <c r="AR1705" s="17">
        <v>2744</v>
      </c>
      <c r="AS1705" s="17">
        <v>2164</v>
      </c>
      <c r="AT1705" s="17">
        <v>14568</v>
      </c>
      <c r="AU1705" s="17">
        <v>1</v>
      </c>
      <c r="AV1705" s="17">
        <v>0.5</v>
      </c>
      <c r="AW1705" s="10" t="s">
        <v>105</v>
      </c>
      <c r="AX1705" s="17">
        <v>421</v>
      </c>
      <c r="AY1705" s="18">
        <v>6.7319778188539745</v>
      </c>
      <c r="AZ1705" s="10" t="s">
        <v>117</v>
      </c>
      <c r="BA1705" s="20" t="b">
        <v>0</v>
      </c>
      <c r="BB1705" s="10"/>
      <c r="BC1705" s="17">
        <v>2744</v>
      </c>
      <c r="BD1705" s="17">
        <v>2164</v>
      </c>
      <c r="BE1705" s="17">
        <v>14568</v>
      </c>
      <c r="BF1705" s="17">
        <v>0.5</v>
      </c>
      <c r="BG1705" s="11">
        <f ca="1">IFERROR(__xludf.DUMMYFUNCTION("""COMPUTED_VALUE"""),45954.0833333333)</f>
        <v>45954.083333333299</v>
      </c>
      <c r="BH1705" s="17" t="s">
        <v>105</v>
      </c>
      <c r="BI1705" s="17"/>
      <c r="BJ1705" s="15"/>
      <c r="BK1705" s="15"/>
      <c r="BL1705" s="13" t="b">
        <v>0</v>
      </c>
      <c r="BM1705" s="10"/>
      <c r="BN1705" s="10" t="s">
        <v>1160</v>
      </c>
      <c r="BO1705" s="11">
        <v>45904.304861111108</v>
      </c>
      <c r="BP1705" s="11">
        <v>45943.594293981485</v>
      </c>
      <c r="BQ1705" s="15">
        <v>45950.513032407405</v>
      </c>
      <c r="BR1705" s="15">
        <v>45951.427210648151</v>
      </c>
      <c r="BS1705" s="10" t="s">
        <v>1160</v>
      </c>
      <c r="BT1705" s="10" t="s">
        <v>99</v>
      </c>
      <c r="BU1705" s="10"/>
      <c r="BV1705" s="10" t="s">
        <v>124</v>
      </c>
      <c r="BW1705" s="10" t="s">
        <v>12860</v>
      </c>
      <c r="BX1705" s="19" t="s">
        <v>12861</v>
      </c>
      <c r="BY1705" s="23"/>
      <c r="BZ1705" s="23"/>
      <c r="CA1705" s="19" t="s">
        <v>12929</v>
      </c>
      <c r="CB1705" s="19" t="s">
        <v>12930</v>
      </c>
      <c r="CC1705" s="23"/>
      <c r="CD1705" s="19" t="s">
        <v>12931</v>
      </c>
      <c r="CE1705" s="23"/>
      <c r="CF1705" s="23"/>
      <c r="CG1705" s="23"/>
      <c r="CH1705" s="23"/>
      <c r="CI1705" s="23"/>
    </row>
    <row r="1706" spans="1:87" x14ac:dyDescent="0.3">
      <c r="A1706" s="9" t="s">
        <v>12932</v>
      </c>
      <c r="B1706" s="10" t="s">
        <v>12933</v>
      </c>
      <c r="C1706" s="11">
        <v>45954.083333333336</v>
      </c>
      <c r="D1706" s="12">
        <v>8.3333333333333329E-2</v>
      </c>
      <c r="E1706" s="11">
        <v>45954.166666666664</v>
      </c>
      <c r="F1706" s="10" t="s">
        <v>7843</v>
      </c>
      <c r="G1706" s="13" t="b">
        <v>0</v>
      </c>
      <c r="H1706" s="10" t="s">
        <v>5239</v>
      </c>
      <c r="I1706" s="10" t="s">
        <v>89</v>
      </c>
      <c r="J1706" s="13" t="b">
        <v>0</v>
      </c>
      <c r="K1706" s="13" t="b">
        <v>1</v>
      </c>
      <c r="L1706" s="10" t="s">
        <v>124</v>
      </c>
      <c r="M1706" s="10" t="s">
        <v>91</v>
      </c>
      <c r="N1706" s="10" t="s">
        <v>92</v>
      </c>
      <c r="O1706" s="19" t="s">
        <v>12934</v>
      </c>
      <c r="P1706" s="10"/>
      <c r="Q1706" s="10" t="s">
        <v>94</v>
      </c>
      <c r="R1706" s="10"/>
      <c r="S1706" s="19" t="s">
        <v>12935</v>
      </c>
      <c r="T1706" s="19" t="s">
        <v>12817</v>
      </c>
      <c r="U1706" s="10" t="s">
        <v>8547</v>
      </c>
      <c r="V1706" s="10" t="s">
        <v>8555</v>
      </c>
      <c r="W1706" s="10" t="s">
        <v>7848</v>
      </c>
      <c r="X1706" s="10" t="s">
        <v>130</v>
      </c>
      <c r="Y1706" s="10" t="s">
        <v>130</v>
      </c>
      <c r="Z1706" s="10" t="s">
        <v>99</v>
      </c>
      <c r="AA1706" s="10" t="s">
        <v>131</v>
      </c>
      <c r="AB1706" s="10" t="s">
        <v>7849</v>
      </c>
      <c r="AC1706" s="10" t="s">
        <v>3571</v>
      </c>
      <c r="AD1706" s="10" t="s">
        <v>12936</v>
      </c>
      <c r="AE1706" s="10" t="s">
        <v>12937</v>
      </c>
      <c r="AF1706" s="15"/>
      <c r="AG1706" s="10"/>
      <c r="AH1706" s="10"/>
      <c r="AI1706" s="10"/>
      <c r="AJ1706" s="10"/>
      <c r="AK1706" s="10" t="s">
        <v>102</v>
      </c>
      <c r="AL1706" s="10" t="s">
        <v>7897</v>
      </c>
      <c r="AM1706" s="10"/>
      <c r="AN1706" s="10"/>
      <c r="AO1706" s="13" t="b">
        <v>0</v>
      </c>
      <c r="AP1706" s="10" t="s">
        <v>104</v>
      </c>
      <c r="AQ1706" s="10">
        <f ca="1">IFERROR(__xludf.DUMMYFUNCTION("""COMPUTED_VALUE"""),4664112)</f>
        <v>4664112</v>
      </c>
      <c r="AR1706" s="17">
        <v>815</v>
      </c>
      <c r="AS1706" s="17">
        <v>592</v>
      </c>
      <c r="AT1706" s="17">
        <v>3986.25</v>
      </c>
      <c r="AU1706" s="17">
        <v>0</v>
      </c>
      <c r="AV1706" s="17">
        <v>0</v>
      </c>
      <c r="AW1706" s="10" t="s">
        <v>105</v>
      </c>
      <c r="AX1706" s="17">
        <v>535</v>
      </c>
      <c r="AY1706" s="18">
        <v>6.7335304054054053</v>
      </c>
      <c r="AZ1706" s="10" t="s">
        <v>117</v>
      </c>
      <c r="BA1706" s="20" t="b">
        <v>0</v>
      </c>
      <c r="BB1706" s="10"/>
      <c r="BC1706" s="17">
        <v>815</v>
      </c>
      <c r="BD1706" s="17">
        <v>592</v>
      </c>
      <c r="BE1706" s="17">
        <v>3986.25</v>
      </c>
      <c r="BF1706" s="17">
        <v>0</v>
      </c>
      <c r="BG1706" s="11">
        <f ca="1">IFERROR(__xludf.DUMMYFUNCTION("""COMPUTED_VALUE"""),45954.0833333333)</f>
        <v>45954.083333333299</v>
      </c>
      <c r="BH1706" s="17" t="s">
        <v>105</v>
      </c>
      <c r="BI1706" s="17"/>
      <c r="BJ1706" s="15"/>
      <c r="BK1706" s="15"/>
      <c r="BL1706" s="13" t="b">
        <v>0</v>
      </c>
      <c r="BM1706" s="10"/>
      <c r="BN1706" s="10" t="s">
        <v>1160</v>
      </c>
      <c r="BO1706" s="11">
        <v>45904.305474537039</v>
      </c>
      <c r="BP1706" s="11">
        <v>45943.593541666669</v>
      </c>
      <c r="BQ1706" s="15">
        <v>45950.512314814812</v>
      </c>
      <c r="BR1706" s="15">
        <v>45951.422708333332</v>
      </c>
      <c r="BS1706" s="10" t="s">
        <v>1160</v>
      </c>
      <c r="BT1706" s="10" t="s">
        <v>99</v>
      </c>
      <c r="BU1706" s="10"/>
      <c r="BV1706" s="10"/>
      <c r="BW1706" s="10"/>
      <c r="BX1706" s="10"/>
      <c r="BY1706" s="23"/>
      <c r="BZ1706" s="23"/>
      <c r="CA1706" s="19" t="s">
        <v>12938</v>
      </c>
      <c r="CB1706" s="19" t="s">
        <v>12939</v>
      </c>
      <c r="CC1706" s="23"/>
      <c r="CD1706" s="23"/>
      <c r="CE1706" s="23"/>
      <c r="CF1706" s="23"/>
      <c r="CG1706" s="23"/>
      <c r="CH1706" s="23"/>
      <c r="CI1706" s="23"/>
    </row>
    <row r="1707" spans="1:87" x14ac:dyDescent="0.3">
      <c r="A1707" s="9" t="s">
        <v>12940</v>
      </c>
      <c r="B1707" s="10" t="s">
        <v>12941</v>
      </c>
      <c r="C1707" s="11">
        <v>45954.083333333336</v>
      </c>
      <c r="D1707" s="12">
        <v>8.3333333333333329E-2</v>
      </c>
      <c r="E1707" s="11">
        <v>45954.166666666664</v>
      </c>
      <c r="F1707" s="10" t="s">
        <v>7843</v>
      </c>
      <c r="G1707" s="13" t="b">
        <v>0</v>
      </c>
      <c r="H1707" s="10" t="s">
        <v>5239</v>
      </c>
      <c r="I1707" s="10" t="s">
        <v>89</v>
      </c>
      <c r="J1707" s="13" t="b">
        <v>0</v>
      </c>
      <c r="K1707" s="13" t="b">
        <v>1</v>
      </c>
      <c r="L1707" s="10" t="s">
        <v>124</v>
      </c>
      <c r="M1707" s="10" t="s">
        <v>91</v>
      </c>
      <c r="N1707" s="10" t="s">
        <v>92</v>
      </c>
      <c r="O1707" s="19" t="s">
        <v>12942</v>
      </c>
      <c r="P1707" s="10"/>
      <c r="Q1707" s="10" t="s">
        <v>94</v>
      </c>
      <c r="R1707" s="10"/>
      <c r="S1707" s="19" t="s">
        <v>12943</v>
      </c>
      <c r="T1707" s="19" t="s">
        <v>12817</v>
      </c>
      <c r="U1707" s="10" t="s">
        <v>12513</v>
      </c>
      <c r="V1707" s="10" t="s">
        <v>12504</v>
      </c>
      <c r="W1707" s="10" t="s">
        <v>7848</v>
      </c>
      <c r="X1707" s="10" t="s">
        <v>130</v>
      </c>
      <c r="Y1707" s="10" t="s">
        <v>130</v>
      </c>
      <c r="Z1707" s="10" t="s">
        <v>99</v>
      </c>
      <c r="AA1707" s="10" t="s">
        <v>131</v>
      </c>
      <c r="AB1707" s="10" t="s">
        <v>7849</v>
      </c>
      <c r="AC1707" s="10" t="s">
        <v>3571</v>
      </c>
      <c r="AD1707" s="10" t="s">
        <v>12944</v>
      </c>
      <c r="AE1707" s="10" t="s">
        <v>12945</v>
      </c>
      <c r="AF1707" s="15"/>
      <c r="AG1707" s="10"/>
      <c r="AH1707" s="10"/>
      <c r="AI1707" s="10"/>
      <c r="AJ1707" s="10"/>
      <c r="AK1707" s="10" t="s">
        <v>102</v>
      </c>
      <c r="AL1707" s="10" t="s">
        <v>7897</v>
      </c>
      <c r="AM1707" s="10"/>
      <c r="AN1707" s="10"/>
      <c r="AO1707" s="13" t="b">
        <v>0</v>
      </c>
      <c r="AP1707" s="10" t="s">
        <v>104</v>
      </c>
      <c r="AQ1707" s="10">
        <f ca="1">IFERROR(__xludf.DUMMYFUNCTION("""COMPUTED_VALUE"""),4664114)</f>
        <v>4664114</v>
      </c>
      <c r="AR1707" s="17">
        <v>1035</v>
      </c>
      <c r="AS1707" s="17">
        <v>765</v>
      </c>
      <c r="AT1707" s="17">
        <v>4852.5</v>
      </c>
      <c r="AU1707" s="17">
        <v>0.7</v>
      </c>
      <c r="AV1707" s="17">
        <v>0</v>
      </c>
      <c r="AW1707" s="10" t="s">
        <v>105</v>
      </c>
      <c r="AX1707" s="17">
        <v>129</v>
      </c>
      <c r="AY1707" s="18">
        <v>6.3431372549019605</v>
      </c>
      <c r="AZ1707" s="10" t="s">
        <v>117</v>
      </c>
      <c r="BA1707" s="20" t="b">
        <v>0</v>
      </c>
      <c r="BB1707" s="10"/>
      <c r="BC1707" s="17">
        <v>1035</v>
      </c>
      <c r="BD1707" s="17">
        <v>765</v>
      </c>
      <c r="BE1707" s="17">
        <v>4852.5</v>
      </c>
      <c r="BF1707" s="17">
        <v>0</v>
      </c>
      <c r="BG1707" s="11">
        <f ca="1">IFERROR(__xludf.DUMMYFUNCTION("""COMPUTED_VALUE"""),45954.0833333333)</f>
        <v>45954.083333333299</v>
      </c>
      <c r="BH1707" s="17" t="s">
        <v>105</v>
      </c>
      <c r="BI1707" s="17"/>
      <c r="BJ1707" s="15"/>
      <c r="BK1707" s="15"/>
      <c r="BL1707" s="13" t="b">
        <v>0</v>
      </c>
      <c r="BM1707" s="10"/>
      <c r="BN1707" s="10" t="s">
        <v>1160</v>
      </c>
      <c r="BO1707" s="11">
        <v>45904.305474537039</v>
      </c>
      <c r="BP1707" s="11">
        <v>45943.593923611108</v>
      </c>
      <c r="BQ1707" s="15">
        <v>45950.512546296297</v>
      </c>
      <c r="BR1707" s="15">
        <v>45951.423101851855</v>
      </c>
      <c r="BS1707" s="10" t="s">
        <v>1160</v>
      </c>
      <c r="BT1707" s="10" t="s">
        <v>99</v>
      </c>
      <c r="BU1707" s="10"/>
      <c r="BV1707" s="10"/>
      <c r="BW1707" s="10"/>
      <c r="BX1707" s="10"/>
      <c r="BY1707" s="23"/>
      <c r="BZ1707" s="23"/>
      <c r="CA1707" s="19" t="s">
        <v>12946</v>
      </c>
      <c r="CB1707" s="19" t="s">
        <v>12947</v>
      </c>
      <c r="CC1707" s="23"/>
      <c r="CD1707" s="23"/>
      <c r="CE1707" s="23"/>
      <c r="CF1707" s="23"/>
      <c r="CG1707" s="23"/>
      <c r="CH1707" s="23"/>
      <c r="CI1707" s="23"/>
    </row>
    <row r="1708" spans="1:87" x14ac:dyDescent="0.3">
      <c r="A1708" s="9" t="s">
        <v>12948</v>
      </c>
      <c r="B1708" s="10" t="s">
        <v>12949</v>
      </c>
      <c r="C1708" s="11">
        <v>45954.083333333336</v>
      </c>
      <c r="D1708" s="12">
        <v>8.3333333333333329E-2</v>
      </c>
      <c r="E1708" s="11">
        <v>45954.166666666664</v>
      </c>
      <c r="F1708" s="10" t="s">
        <v>7843</v>
      </c>
      <c r="G1708" s="13" t="b">
        <v>0</v>
      </c>
      <c r="H1708" s="10" t="s">
        <v>3578</v>
      </c>
      <c r="I1708" s="10" t="s">
        <v>89</v>
      </c>
      <c r="J1708" s="13" t="b">
        <v>0</v>
      </c>
      <c r="K1708" s="13" t="b">
        <v>1</v>
      </c>
      <c r="L1708" s="10" t="s">
        <v>124</v>
      </c>
      <c r="M1708" s="10" t="s">
        <v>91</v>
      </c>
      <c r="N1708" s="10" t="s">
        <v>92</v>
      </c>
      <c r="O1708" s="19" t="s">
        <v>12950</v>
      </c>
      <c r="P1708" s="10"/>
      <c r="Q1708" s="10" t="s">
        <v>126</v>
      </c>
      <c r="R1708" s="10"/>
      <c r="S1708" s="19" t="s">
        <v>12951</v>
      </c>
      <c r="T1708" s="19" t="s">
        <v>12817</v>
      </c>
      <c r="U1708" s="10" t="s">
        <v>320</v>
      </c>
      <c r="V1708" s="10" t="s">
        <v>7870</v>
      </c>
      <c r="W1708" s="10" t="s">
        <v>7848</v>
      </c>
      <c r="X1708" s="10" t="s">
        <v>130</v>
      </c>
      <c r="Y1708" s="10" t="s">
        <v>130</v>
      </c>
      <c r="Z1708" s="10" t="s">
        <v>99</v>
      </c>
      <c r="AA1708" s="10" t="s">
        <v>131</v>
      </c>
      <c r="AB1708" s="10" t="s">
        <v>7849</v>
      </c>
      <c r="AC1708" s="10" t="s">
        <v>3571</v>
      </c>
      <c r="AD1708" s="10" t="s">
        <v>12952</v>
      </c>
      <c r="AE1708" s="10" t="s">
        <v>12953</v>
      </c>
      <c r="AF1708" s="15"/>
      <c r="AG1708" s="10"/>
      <c r="AH1708" s="10"/>
      <c r="AI1708" s="10"/>
      <c r="AJ1708" s="10"/>
      <c r="AK1708" s="10" t="s">
        <v>102</v>
      </c>
      <c r="AL1708" s="10" t="s">
        <v>7897</v>
      </c>
      <c r="AM1708" s="10"/>
      <c r="AN1708" s="10"/>
      <c r="AO1708" s="13" t="b">
        <v>0</v>
      </c>
      <c r="AP1708" s="10" t="s">
        <v>104</v>
      </c>
      <c r="AQ1708" s="10">
        <f ca="1">IFERROR(__xludf.DUMMYFUNCTION("""COMPUTED_VALUE"""),4664039)</f>
        <v>4664039</v>
      </c>
      <c r="AR1708" s="17">
        <v>5252</v>
      </c>
      <c r="AS1708" s="17">
        <v>3706</v>
      </c>
      <c r="AT1708" s="17">
        <v>114724.5</v>
      </c>
      <c r="AU1708" s="17">
        <v>7.35</v>
      </c>
      <c r="AV1708" s="17">
        <v>0</v>
      </c>
      <c r="AW1708" s="10" t="s">
        <v>105</v>
      </c>
      <c r="AX1708" s="17">
        <v>2160</v>
      </c>
      <c r="AY1708" s="18">
        <v>30.956422018348626</v>
      </c>
      <c r="AZ1708" s="10" t="s">
        <v>117</v>
      </c>
      <c r="BA1708" s="20" t="b">
        <v>0</v>
      </c>
      <c r="BB1708" s="10"/>
      <c r="BC1708" s="17">
        <v>5252</v>
      </c>
      <c r="BD1708" s="17">
        <v>3706</v>
      </c>
      <c r="BE1708" s="17">
        <v>114724.5</v>
      </c>
      <c r="BF1708" s="17">
        <v>0</v>
      </c>
      <c r="BG1708" s="11">
        <f ca="1">IFERROR(__xludf.DUMMYFUNCTION("""COMPUTED_VALUE"""),45954.0833333333)</f>
        <v>45954.083333333299</v>
      </c>
      <c r="BH1708" s="17" t="s">
        <v>105</v>
      </c>
      <c r="BI1708" s="17"/>
      <c r="BJ1708" s="15"/>
      <c r="BK1708" s="15"/>
      <c r="BL1708" s="13" t="b">
        <v>0</v>
      </c>
      <c r="BM1708" s="10"/>
      <c r="BN1708" s="10" t="s">
        <v>1160</v>
      </c>
      <c r="BO1708" s="11">
        <v>45904.305474537039</v>
      </c>
      <c r="BP1708" s="11">
        <v>45931.832812499997</v>
      </c>
      <c r="BQ1708" s="15">
        <v>45950.512789351851</v>
      </c>
      <c r="BR1708" s="15">
        <v>45951.402002314811</v>
      </c>
      <c r="BS1708" s="10" t="s">
        <v>1160</v>
      </c>
      <c r="BT1708" s="10" t="s">
        <v>99</v>
      </c>
      <c r="BU1708" s="10"/>
      <c r="BV1708" s="10"/>
      <c r="BW1708" s="10"/>
      <c r="BX1708" s="10"/>
      <c r="BY1708" s="23"/>
      <c r="BZ1708" s="23"/>
      <c r="CA1708" s="19" t="s">
        <v>12954</v>
      </c>
      <c r="CB1708" s="19" t="s">
        <v>12955</v>
      </c>
      <c r="CC1708" s="23"/>
      <c r="CD1708" s="19" t="s">
        <v>12956</v>
      </c>
      <c r="CE1708" s="23"/>
      <c r="CF1708" s="23"/>
      <c r="CG1708" s="23"/>
      <c r="CH1708" s="23"/>
      <c r="CI1708" s="23"/>
    </row>
    <row r="1709" spans="1:87" x14ac:dyDescent="0.3">
      <c r="A1709" s="9" t="s">
        <v>12957</v>
      </c>
      <c r="B1709" s="10" t="s">
        <v>12958</v>
      </c>
      <c r="C1709" s="11">
        <v>45954.083333333336</v>
      </c>
      <c r="D1709" s="12">
        <v>8.3333333333333329E-2</v>
      </c>
      <c r="E1709" s="11">
        <v>45954.166666666664</v>
      </c>
      <c r="F1709" s="10" t="s">
        <v>7843</v>
      </c>
      <c r="G1709" s="13" t="b">
        <v>0</v>
      </c>
      <c r="H1709" s="10" t="s">
        <v>11460</v>
      </c>
      <c r="I1709" s="10" t="s">
        <v>89</v>
      </c>
      <c r="J1709" s="13" t="b">
        <v>0</v>
      </c>
      <c r="K1709" s="13" t="b">
        <v>1</v>
      </c>
      <c r="L1709" s="10" t="s">
        <v>124</v>
      </c>
      <c r="M1709" s="10" t="s">
        <v>91</v>
      </c>
      <c r="N1709" s="10" t="s">
        <v>92</v>
      </c>
      <c r="O1709" s="19" t="s">
        <v>12959</v>
      </c>
      <c r="P1709" s="10"/>
      <c r="Q1709" s="10" t="s">
        <v>126</v>
      </c>
      <c r="R1709" s="10"/>
      <c r="S1709" s="19" t="s">
        <v>12960</v>
      </c>
      <c r="T1709" s="19" t="s">
        <v>12817</v>
      </c>
      <c r="U1709" s="10" t="s">
        <v>3229</v>
      </c>
      <c r="V1709" s="10" t="s">
        <v>7837</v>
      </c>
      <c r="W1709" s="10" t="s">
        <v>7848</v>
      </c>
      <c r="X1709" s="10" t="s">
        <v>130</v>
      </c>
      <c r="Y1709" s="10" t="s">
        <v>130</v>
      </c>
      <c r="Z1709" s="10" t="s">
        <v>99</v>
      </c>
      <c r="AA1709" s="10" t="s">
        <v>131</v>
      </c>
      <c r="AB1709" s="10" t="s">
        <v>7849</v>
      </c>
      <c r="AC1709" s="10" t="s">
        <v>3571</v>
      </c>
      <c r="AD1709" s="10" t="s">
        <v>12961</v>
      </c>
      <c r="AE1709" s="10" t="s">
        <v>12962</v>
      </c>
      <c r="AF1709" s="15"/>
      <c r="AG1709" s="10"/>
      <c r="AH1709" s="10"/>
      <c r="AI1709" s="10"/>
      <c r="AJ1709" s="10"/>
      <c r="AK1709" s="10" t="s">
        <v>102</v>
      </c>
      <c r="AL1709" s="10" t="s">
        <v>7897</v>
      </c>
      <c r="AM1709" s="10"/>
      <c r="AN1709" s="10"/>
      <c r="AO1709" s="13" t="b">
        <v>1</v>
      </c>
      <c r="AP1709" s="10" t="s">
        <v>104</v>
      </c>
      <c r="AQ1709" s="10">
        <f ca="1">IFERROR(__xludf.DUMMYFUNCTION("""COMPUTED_VALUE"""),4664116)</f>
        <v>4664116</v>
      </c>
      <c r="AR1709" s="17">
        <v>14927</v>
      </c>
      <c r="AS1709" s="17">
        <v>10499</v>
      </c>
      <c r="AT1709" s="17">
        <v>283593</v>
      </c>
      <c r="AU1709" s="17">
        <v>47.15</v>
      </c>
      <c r="AV1709" s="17">
        <v>6</v>
      </c>
      <c r="AW1709" s="10" t="s">
        <v>105</v>
      </c>
      <c r="AX1709" s="17">
        <v>4195</v>
      </c>
      <c r="AY1709" s="18">
        <v>27.011429659967614</v>
      </c>
      <c r="AZ1709" s="10" t="s">
        <v>117</v>
      </c>
      <c r="BA1709" s="20" t="b">
        <v>0</v>
      </c>
      <c r="BB1709" s="10"/>
      <c r="BC1709" s="17">
        <v>14927</v>
      </c>
      <c r="BD1709" s="17">
        <v>10499</v>
      </c>
      <c r="BE1709" s="17">
        <v>283593</v>
      </c>
      <c r="BF1709" s="17">
        <v>6</v>
      </c>
      <c r="BG1709" s="11">
        <f ca="1">IFERROR(__xludf.DUMMYFUNCTION("""COMPUTED_VALUE"""),45954.0833333333)</f>
        <v>45954.083333333299</v>
      </c>
      <c r="BH1709" s="17" t="s">
        <v>105</v>
      </c>
      <c r="BI1709" s="17"/>
      <c r="BJ1709" s="15"/>
      <c r="BK1709" s="15"/>
      <c r="BL1709" s="13" t="b">
        <v>0</v>
      </c>
      <c r="BM1709" s="10"/>
      <c r="BN1709" s="10" t="s">
        <v>1160</v>
      </c>
      <c r="BO1709" s="11">
        <v>45904.304861111108</v>
      </c>
      <c r="BP1709" s="11">
        <v>45943.59784722222</v>
      </c>
      <c r="BQ1709" s="15">
        <v>45950.51290509259</v>
      </c>
      <c r="BR1709" s="15">
        <v>45951.426932870374</v>
      </c>
      <c r="BS1709" s="10" t="s">
        <v>1160</v>
      </c>
      <c r="BT1709" s="10" t="s">
        <v>99</v>
      </c>
      <c r="BU1709" s="10"/>
      <c r="BV1709" s="10"/>
      <c r="BW1709" s="10"/>
      <c r="BX1709" s="10"/>
      <c r="BY1709" s="23"/>
      <c r="BZ1709" s="23"/>
      <c r="CA1709" s="19" t="s">
        <v>12963</v>
      </c>
      <c r="CB1709" s="19" t="s">
        <v>12964</v>
      </c>
      <c r="CC1709" s="23"/>
      <c r="CD1709" s="19" t="s">
        <v>12965</v>
      </c>
      <c r="CE1709" s="23"/>
      <c r="CF1709" s="23"/>
      <c r="CG1709" s="23"/>
      <c r="CH1709" s="23"/>
      <c r="CI1709" s="23"/>
    </row>
    <row r="1710" spans="1:87" x14ac:dyDescent="0.3">
      <c r="A1710" s="9" t="s">
        <v>12966</v>
      </c>
      <c r="B1710" s="10" t="s">
        <v>12967</v>
      </c>
      <c r="C1710" s="11">
        <v>45968.03125</v>
      </c>
      <c r="D1710" s="12">
        <v>8.3333333333333329E-2</v>
      </c>
      <c r="E1710" s="11">
        <v>45968.114583333336</v>
      </c>
      <c r="F1710" s="10" t="s">
        <v>7843</v>
      </c>
      <c r="G1710" s="13" t="b">
        <v>0</v>
      </c>
      <c r="H1710" s="10" t="s">
        <v>5239</v>
      </c>
      <c r="I1710" s="10" t="s">
        <v>89</v>
      </c>
      <c r="J1710" s="13" t="b">
        <v>0</v>
      </c>
      <c r="K1710" s="13" t="b">
        <v>1</v>
      </c>
      <c r="L1710" s="10" t="s">
        <v>124</v>
      </c>
      <c r="M1710" s="10" t="s">
        <v>91</v>
      </c>
      <c r="N1710" s="10" t="s">
        <v>92</v>
      </c>
      <c r="O1710" s="19" t="s">
        <v>12968</v>
      </c>
      <c r="P1710" s="10"/>
      <c r="Q1710" s="10" t="s">
        <v>94</v>
      </c>
      <c r="R1710" s="10"/>
      <c r="S1710" s="19" t="s">
        <v>12969</v>
      </c>
      <c r="T1710" s="19" t="s">
        <v>12970</v>
      </c>
      <c r="U1710" s="10" t="s">
        <v>12550</v>
      </c>
      <c r="V1710" s="10" t="s">
        <v>12585</v>
      </c>
      <c r="W1710" s="10" t="s">
        <v>7848</v>
      </c>
      <c r="X1710" s="10" t="s">
        <v>130</v>
      </c>
      <c r="Y1710" s="10" t="s">
        <v>130</v>
      </c>
      <c r="Z1710" s="10" t="s">
        <v>99</v>
      </c>
      <c r="AA1710" s="10" t="s">
        <v>131</v>
      </c>
      <c r="AB1710" s="10" t="s">
        <v>7849</v>
      </c>
      <c r="AC1710" s="10" t="s">
        <v>3571</v>
      </c>
      <c r="AD1710" s="10" t="s">
        <v>12971</v>
      </c>
      <c r="AE1710" s="10" t="s">
        <v>12972</v>
      </c>
      <c r="AF1710" s="15"/>
      <c r="AG1710" s="10"/>
      <c r="AH1710" s="10"/>
      <c r="AI1710" s="10"/>
      <c r="AJ1710" s="10"/>
      <c r="AK1710" s="10" t="s">
        <v>102</v>
      </c>
      <c r="AL1710" s="10" t="s">
        <v>7897</v>
      </c>
      <c r="AM1710" s="10"/>
      <c r="AN1710" s="10"/>
      <c r="AO1710" s="13" t="b">
        <v>0</v>
      </c>
      <c r="AP1710" s="10" t="s">
        <v>104</v>
      </c>
      <c r="AQ1710" s="10">
        <f ca="1">IFERROR(__xludf.DUMMYFUNCTION("""COMPUTED_VALUE"""),4701939)</f>
        <v>4701939</v>
      </c>
      <c r="AR1710" s="17">
        <v>2210</v>
      </c>
      <c r="AS1710" s="17">
        <v>1458</v>
      </c>
      <c r="AT1710" s="17">
        <v>20387.5</v>
      </c>
      <c r="AU1710" s="17">
        <v>0</v>
      </c>
      <c r="AV1710" s="17">
        <v>0</v>
      </c>
      <c r="AW1710" s="10" t="s">
        <v>105</v>
      </c>
      <c r="AX1710" s="17">
        <v>318</v>
      </c>
      <c r="AY1710" s="18">
        <v>13.983196159122086</v>
      </c>
      <c r="AZ1710" s="10" t="s">
        <v>117</v>
      </c>
      <c r="BA1710" s="20" t="b">
        <v>0</v>
      </c>
      <c r="BB1710" s="10"/>
      <c r="BC1710" s="17">
        <v>2210</v>
      </c>
      <c r="BD1710" s="17">
        <v>1458</v>
      </c>
      <c r="BE1710" s="17">
        <v>20387.5</v>
      </c>
      <c r="BF1710" s="17">
        <v>0</v>
      </c>
      <c r="BG1710" s="11">
        <f ca="1">IFERROR(__xludf.DUMMYFUNCTION("""COMPUTED_VALUE"""),45968.03125)</f>
        <v>45968.03125</v>
      </c>
      <c r="BH1710" s="17" t="s">
        <v>105</v>
      </c>
      <c r="BI1710" s="17"/>
      <c r="BJ1710" s="15"/>
      <c r="BK1710" s="15"/>
      <c r="BL1710" s="13" t="b">
        <v>0</v>
      </c>
      <c r="BM1710" s="10"/>
      <c r="BN1710" s="10" t="s">
        <v>197</v>
      </c>
      <c r="BO1710" s="11">
        <v>45904.304861111108</v>
      </c>
      <c r="BP1710" s="11">
        <v>45957.736921296295</v>
      </c>
      <c r="BQ1710" s="15">
        <v>45965.282256944447</v>
      </c>
      <c r="BR1710" s="15">
        <v>45965.336226851854</v>
      </c>
      <c r="BS1710" s="10" t="s">
        <v>197</v>
      </c>
      <c r="BT1710" s="10" t="s">
        <v>99</v>
      </c>
      <c r="BU1710" s="10" t="s">
        <v>8038</v>
      </c>
      <c r="BV1710" s="10"/>
      <c r="BW1710" s="10"/>
      <c r="BX1710" s="10"/>
      <c r="BY1710" s="23"/>
      <c r="BZ1710" s="23"/>
      <c r="CA1710" s="19" t="s">
        <v>12973</v>
      </c>
      <c r="CB1710" s="19" t="s">
        <v>12974</v>
      </c>
      <c r="CC1710" s="23"/>
      <c r="CD1710" s="23"/>
      <c r="CE1710" s="23"/>
      <c r="CF1710" s="23"/>
      <c r="CG1710" s="23"/>
      <c r="CH1710" s="23"/>
      <c r="CI1710" s="23"/>
    </row>
    <row r="1711" spans="1:87" x14ac:dyDescent="0.3">
      <c r="A1711" s="9" t="s">
        <v>12975</v>
      </c>
      <c r="B1711" s="10" t="s">
        <v>12976</v>
      </c>
      <c r="C1711" s="11">
        <v>45968.03125</v>
      </c>
      <c r="D1711" s="12">
        <v>8.3333333333333329E-2</v>
      </c>
      <c r="E1711" s="11">
        <v>45968.114583333336</v>
      </c>
      <c r="F1711" s="10" t="s">
        <v>7843</v>
      </c>
      <c r="G1711" s="13" t="b">
        <v>0</v>
      </c>
      <c r="H1711" s="10" t="s">
        <v>5239</v>
      </c>
      <c r="I1711" s="10" t="s">
        <v>89</v>
      </c>
      <c r="J1711" s="13" t="b">
        <v>0</v>
      </c>
      <c r="K1711" s="13" t="b">
        <v>1</v>
      </c>
      <c r="L1711" s="10" t="s">
        <v>124</v>
      </c>
      <c r="M1711" s="10" t="s">
        <v>91</v>
      </c>
      <c r="N1711" s="10" t="s">
        <v>92</v>
      </c>
      <c r="O1711" s="19" t="s">
        <v>12977</v>
      </c>
      <c r="P1711" s="10"/>
      <c r="Q1711" s="10" t="s">
        <v>126</v>
      </c>
      <c r="R1711" s="10"/>
      <c r="S1711" s="19" t="s">
        <v>12978</v>
      </c>
      <c r="T1711" s="19" t="s">
        <v>12970</v>
      </c>
      <c r="U1711" s="10" t="s">
        <v>3591</v>
      </c>
      <c r="V1711" s="10" t="s">
        <v>12596</v>
      </c>
      <c r="W1711" s="10" t="s">
        <v>7848</v>
      </c>
      <c r="X1711" s="10" t="s">
        <v>130</v>
      </c>
      <c r="Y1711" s="10" t="s">
        <v>130</v>
      </c>
      <c r="Z1711" s="10" t="s">
        <v>99</v>
      </c>
      <c r="AA1711" s="10" t="s">
        <v>131</v>
      </c>
      <c r="AB1711" s="10" t="s">
        <v>7849</v>
      </c>
      <c r="AC1711" s="10" t="s">
        <v>3571</v>
      </c>
      <c r="AD1711" s="10" t="s">
        <v>12979</v>
      </c>
      <c r="AE1711" s="10" t="s">
        <v>12980</v>
      </c>
      <c r="AF1711" s="15"/>
      <c r="AG1711" s="10"/>
      <c r="AH1711" s="10"/>
      <c r="AI1711" s="10"/>
      <c r="AJ1711" s="10"/>
      <c r="AK1711" s="10" t="s">
        <v>102</v>
      </c>
      <c r="AL1711" s="10" t="s">
        <v>7897</v>
      </c>
      <c r="AM1711" s="10"/>
      <c r="AN1711" s="10"/>
      <c r="AO1711" s="13" t="b">
        <v>1</v>
      </c>
      <c r="AP1711" s="10" t="s">
        <v>104</v>
      </c>
      <c r="AQ1711" s="10">
        <f ca="1">IFERROR(__xludf.DUMMYFUNCTION("""COMPUTED_VALUE"""),4701940)</f>
        <v>4701940</v>
      </c>
      <c r="AR1711" s="17">
        <v>22425</v>
      </c>
      <c r="AS1711" s="17">
        <v>14578</v>
      </c>
      <c r="AT1711" s="17">
        <v>588620.25</v>
      </c>
      <c r="AU1711" s="17">
        <v>60.65</v>
      </c>
      <c r="AV1711" s="17">
        <v>16</v>
      </c>
      <c r="AW1711" s="10" t="s">
        <v>105</v>
      </c>
      <c r="AX1711" s="17">
        <v>5157</v>
      </c>
      <c r="AY1711" s="18">
        <v>40.377297983262451</v>
      </c>
      <c r="AZ1711" s="10" t="s">
        <v>117</v>
      </c>
      <c r="BA1711" s="20" t="b">
        <v>0</v>
      </c>
      <c r="BB1711" s="10"/>
      <c r="BC1711" s="17">
        <v>22425</v>
      </c>
      <c r="BD1711" s="17">
        <v>14578</v>
      </c>
      <c r="BE1711" s="17">
        <v>588620.25</v>
      </c>
      <c r="BF1711" s="17">
        <v>16</v>
      </c>
      <c r="BG1711" s="11">
        <f ca="1">IFERROR(__xludf.DUMMYFUNCTION("""COMPUTED_VALUE"""),45968.03125)</f>
        <v>45968.03125</v>
      </c>
      <c r="BH1711" s="17" t="s">
        <v>105</v>
      </c>
      <c r="BI1711" s="17"/>
      <c r="BJ1711" s="15"/>
      <c r="BK1711" s="15"/>
      <c r="BL1711" s="13" t="b">
        <v>0</v>
      </c>
      <c r="BM1711" s="10"/>
      <c r="BN1711" s="10" t="s">
        <v>197</v>
      </c>
      <c r="BO1711" s="11">
        <v>45904.304861111108</v>
      </c>
      <c r="BP1711" s="11">
        <v>45957.737222222226</v>
      </c>
      <c r="BQ1711" s="15">
        <v>45965.282476851855</v>
      </c>
      <c r="BR1711" s="15">
        <v>45965.336597222224</v>
      </c>
      <c r="BS1711" s="10" t="s">
        <v>197</v>
      </c>
      <c r="BT1711" s="10" t="s">
        <v>99</v>
      </c>
      <c r="BU1711" s="10" t="s">
        <v>6732</v>
      </c>
      <c r="BV1711" s="10" t="s">
        <v>124</v>
      </c>
      <c r="BW1711" s="10" t="s">
        <v>12860</v>
      </c>
      <c r="BX1711" s="10"/>
      <c r="BY1711" s="23"/>
      <c r="BZ1711" s="23"/>
      <c r="CA1711" s="19" t="s">
        <v>12981</v>
      </c>
      <c r="CB1711" s="19" t="s">
        <v>12982</v>
      </c>
      <c r="CC1711" s="23"/>
      <c r="CD1711" s="19" t="s">
        <v>12983</v>
      </c>
      <c r="CE1711" s="23"/>
      <c r="CF1711" s="23"/>
      <c r="CG1711" s="23"/>
      <c r="CH1711" s="23"/>
      <c r="CI1711" s="23"/>
    </row>
    <row r="1712" spans="1:87" x14ac:dyDescent="0.3">
      <c r="A1712" s="9" t="s">
        <v>12984</v>
      </c>
      <c r="B1712" s="10" t="s">
        <v>12985</v>
      </c>
      <c r="C1712" s="11">
        <v>45968.03125</v>
      </c>
      <c r="D1712" s="12">
        <v>8.3333333333333329E-2</v>
      </c>
      <c r="E1712" s="11">
        <v>45968.114583333336</v>
      </c>
      <c r="F1712" s="10" t="s">
        <v>7843</v>
      </c>
      <c r="G1712" s="13" t="b">
        <v>0</v>
      </c>
      <c r="H1712" s="10" t="s">
        <v>3564</v>
      </c>
      <c r="I1712" s="10" t="s">
        <v>89</v>
      </c>
      <c r="J1712" s="13" t="b">
        <v>0</v>
      </c>
      <c r="K1712" s="13" t="b">
        <v>1</v>
      </c>
      <c r="L1712" s="10" t="s">
        <v>124</v>
      </c>
      <c r="M1712" s="10" t="s">
        <v>91</v>
      </c>
      <c r="N1712" s="10" t="s">
        <v>92</v>
      </c>
      <c r="O1712" s="19" t="s">
        <v>12986</v>
      </c>
      <c r="P1712" s="10"/>
      <c r="Q1712" s="10" t="s">
        <v>126</v>
      </c>
      <c r="R1712" s="10"/>
      <c r="S1712" s="19" t="s">
        <v>12987</v>
      </c>
      <c r="T1712" s="19" t="s">
        <v>12970</v>
      </c>
      <c r="U1712" s="10" t="s">
        <v>7821</v>
      </c>
      <c r="V1712" s="10" t="s">
        <v>12549</v>
      </c>
      <c r="W1712" s="10" t="s">
        <v>7848</v>
      </c>
      <c r="X1712" s="10" t="s">
        <v>130</v>
      </c>
      <c r="Y1712" s="10" t="s">
        <v>130</v>
      </c>
      <c r="Z1712" s="10" t="s">
        <v>99</v>
      </c>
      <c r="AA1712" s="10" t="s">
        <v>131</v>
      </c>
      <c r="AB1712" s="10" t="s">
        <v>7849</v>
      </c>
      <c r="AC1712" s="10" t="s">
        <v>3571</v>
      </c>
      <c r="AD1712" s="10" t="s">
        <v>12988</v>
      </c>
      <c r="AE1712" s="10" t="s">
        <v>12989</v>
      </c>
      <c r="AF1712" s="15"/>
      <c r="AG1712" s="10"/>
      <c r="AH1712" s="10"/>
      <c r="AI1712" s="10"/>
      <c r="AJ1712" s="10"/>
      <c r="AK1712" s="10" t="s">
        <v>102</v>
      </c>
      <c r="AL1712" s="10" t="s">
        <v>7897</v>
      </c>
      <c r="AM1712" s="10"/>
      <c r="AN1712" s="10"/>
      <c r="AO1712" s="13" t="b">
        <v>0</v>
      </c>
      <c r="AP1712" s="10" t="s">
        <v>104</v>
      </c>
      <c r="AQ1712" s="10">
        <f ca="1">IFERROR(__xludf.DUMMYFUNCTION("""COMPUTED_VALUE"""),4701938)</f>
        <v>4701938</v>
      </c>
      <c r="AR1712" s="17">
        <v>1623</v>
      </c>
      <c r="AS1712" s="17">
        <v>1190</v>
      </c>
      <c r="AT1712" s="17">
        <v>20143.75</v>
      </c>
      <c r="AU1712" s="17">
        <v>1.5</v>
      </c>
      <c r="AV1712" s="17">
        <v>0.75</v>
      </c>
      <c r="AW1712" s="10" t="s">
        <v>105</v>
      </c>
      <c r="AX1712" s="17">
        <v>300</v>
      </c>
      <c r="AY1712" s="18">
        <v>16.92752100840336</v>
      </c>
      <c r="AZ1712" s="10" t="s">
        <v>117</v>
      </c>
      <c r="BA1712" s="20" t="b">
        <v>0</v>
      </c>
      <c r="BB1712" s="10"/>
      <c r="BC1712" s="17">
        <v>1623</v>
      </c>
      <c r="BD1712" s="17">
        <v>1190</v>
      </c>
      <c r="BE1712" s="17">
        <v>20143.75</v>
      </c>
      <c r="BF1712" s="17">
        <v>0.75</v>
      </c>
      <c r="BG1712" s="11">
        <f ca="1">IFERROR(__xludf.DUMMYFUNCTION("""COMPUTED_VALUE"""),45968.03125)</f>
        <v>45968.03125</v>
      </c>
      <c r="BH1712" s="17" t="s">
        <v>105</v>
      </c>
      <c r="BI1712" s="17"/>
      <c r="BJ1712" s="15"/>
      <c r="BK1712" s="15"/>
      <c r="BL1712" s="13" t="b">
        <v>0</v>
      </c>
      <c r="BM1712" s="10"/>
      <c r="BN1712" s="10" t="s">
        <v>197</v>
      </c>
      <c r="BO1712" s="11">
        <v>45904.304861111108</v>
      </c>
      <c r="BP1712" s="11">
        <v>45957.737534722219</v>
      </c>
      <c r="BQ1712" s="15">
        <v>45965.290590277778</v>
      </c>
      <c r="BR1712" s="15">
        <v>45965.337731481479</v>
      </c>
      <c r="BS1712" s="10" t="s">
        <v>197</v>
      </c>
      <c r="BT1712" s="10" t="s">
        <v>99</v>
      </c>
      <c r="BU1712" s="10" t="s">
        <v>5492</v>
      </c>
      <c r="BV1712" s="10"/>
      <c r="BW1712" s="10"/>
      <c r="BX1712" s="10"/>
      <c r="BY1712" s="23"/>
      <c r="BZ1712" s="23"/>
      <c r="CA1712" s="19" t="s">
        <v>12990</v>
      </c>
      <c r="CB1712" s="19" t="s">
        <v>12991</v>
      </c>
      <c r="CC1712" s="23"/>
      <c r="CD1712" s="19" t="s">
        <v>12992</v>
      </c>
      <c r="CE1712" s="23"/>
      <c r="CF1712" s="23"/>
      <c r="CG1712" s="23"/>
      <c r="CH1712" s="23"/>
      <c r="CI1712" s="23"/>
    </row>
    <row r="1713" spans="1:87" x14ac:dyDescent="0.3">
      <c r="A1713" s="9" t="s">
        <v>12993</v>
      </c>
      <c r="B1713" s="10" t="s">
        <v>12994</v>
      </c>
      <c r="C1713" s="11">
        <v>45968.03125</v>
      </c>
      <c r="D1713" s="12">
        <v>8.3333333333333329E-2</v>
      </c>
      <c r="E1713" s="11">
        <v>45968.114583333336</v>
      </c>
      <c r="F1713" s="10" t="s">
        <v>7843</v>
      </c>
      <c r="G1713" s="13" t="b">
        <v>0</v>
      </c>
      <c r="H1713" s="10" t="s">
        <v>11460</v>
      </c>
      <c r="I1713" s="10" t="s">
        <v>89</v>
      </c>
      <c r="J1713" s="13" t="b">
        <v>0</v>
      </c>
      <c r="K1713" s="13" t="b">
        <v>1</v>
      </c>
      <c r="L1713" s="10" t="s">
        <v>124</v>
      </c>
      <c r="M1713" s="10" t="s">
        <v>91</v>
      </c>
      <c r="N1713" s="10" t="s">
        <v>92</v>
      </c>
      <c r="O1713" s="19" t="s">
        <v>12995</v>
      </c>
      <c r="P1713" s="10"/>
      <c r="Q1713" s="10" t="s">
        <v>126</v>
      </c>
      <c r="R1713" s="10"/>
      <c r="S1713" s="19" t="s">
        <v>12996</v>
      </c>
      <c r="T1713" s="19" t="s">
        <v>12970</v>
      </c>
      <c r="U1713" s="10" t="s">
        <v>8476</v>
      </c>
      <c r="V1713" s="10" t="s">
        <v>7870</v>
      </c>
      <c r="W1713" s="10" t="s">
        <v>7848</v>
      </c>
      <c r="X1713" s="10" t="s">
        <v>130</v>
      </c>
      <c r="Y1713" s="10" t="s">
        <v>130</v>
      </c>
      <c r="Z1713" s="10" t="s">
        <v>99</v>
      </c>
      <c r="AA1713" s="10" t="s">
        <v>131</v>
      </c>
      <c r="AB1713" s="10" t="s">
        <v>7849</v>
      </c>
      <c r="AC1713" s="10" t="s">
        <v>3571</v>
      </c>
      <c r="AD1713" s="10" t="s">
        <v>12997</v>
      </c>
      <c r="AE1713" s="10" t="s">
        <v>12998</v>
      </c>
      <c r="AF1713" s="15"/>
      <c r="AG1713" s="10"/>
      <c r="AH1713" s="10"/>
      <c r="AI1713" s="10"/>
      <c r="AJ1713" s="10"/>
      <c r="AK1713" s="10" t="s">
        <v>102</v>
      </c>
      <c r="AL1713" s="10" t="s">
        <v>7897</v>
      </c>
      <c r="AM1713" s="10"/>
      <c r="AN1713" s="10"/>
      <c r="AO1713" s="13" t="b">
        <v>1</v>
      </c>
      <c r="AP1713" s="10" t="s">
        <v>104</v>
      </c>
      <c r="AQ1713" s="10">
        <f ca="1">IFERROR(__xludf.DUMMYFUNCTION("""COMPUTED_VALUE"""),4702067)</f>
        <v>4702067</v>
      </c>
      <c r="AR1713" s="17">
        <v>19215</v>
      </c>
      <c r="AS1713" s="17">
        <v>14882</v>
      </c>
      <c r="AT1713" s="17">
        <v>432576.5</v>
      </c>
      <c r="AU1713" s="17">
        <v>21.6</v>
      </c>
      <c r="AV1713" s="17">
        <v>2</v>
      </c>
      <c r="AW1713" s="10" t="s">
        <v>105</v>
      </c>
      <c r="AX1713" s="17">
        <v>4448</v>
      </c>
      <c r="AY1713" s="18">
        <v>29.067094476548849</v>
      </c>
      <c r="AZ1713" s="10" t="s">
        <v>117</v>
      </c>
      <c r="BA1713" s="20" t="b">
        <v>0</v>
      </c>
      <c r="BB1713" s="10"/>
      <c r="BC1713" s="17">
        <v>19215</v>
      </c>
      <c r="BD1713" s="17">
        <v>14882</v>
      </c>
      <c r="BE1713" s="17">
        <v>432576.5</v>
      </c>
      <c r="BF1713" s="17">
        <v>2</v>
      </c>
      <c r="BG1713" s="11">
        <f ca="1">IFERROR(__xludf.DUMMYFUNCTION("""COMPUTED_VALUE"""),45968.03125)</f>
        <v>45968.03125</v>
      </c>
      <c r="BH1713" s="17" t="s">
        <v>105</v>
      </c>
      <c r="BI1713" s="17"/>
      <c r="BJ1713" s="15"/>
      <c r="BK1713" s="15"/>
      <c r="BL1713" s="13" t="b">
        <v>0</v>
      </c>
      <c r="BM1713" s="10"/>
      <c r="BN1713" s="10" t="s">
        <v>197</v>
      </c>
      <c r="BO1713" s="11">
        <v>45904.304861111108</v>
      </c>
      <c r="BP1713" s="11">
        <v>45957.737986111111</v>
      </c>
      <c r="BQ1713" s="15">
        <v>45965.383518518516</v>
      </c>
      <c r="BR1713" s="15">
        <v>45965.562696759262</v>
      </c>
      <c r="BS1713" s="10" t="s">
        <v>197</v>
      </c>
      <c r="BT1713" s="10" t="s">
        <v>99</v>
      </c>
      <c r="BU1713" s="10" t="s">
        <v>942</v>
      </c>
      <c r="BV1713" s="10" t="s">
        <v>124</v>
      </c>
      <c r="BW1713" s="10" t="s">
        <v>12860</v>
      </c>
      <c r="BX1713" s="10"/>
      <c r="BY1713" s="23"/>
      <c r="BZ1713" s="23"/>
      <c r="CA1713" s="19" t="s">
        <v>12999</v>
      </c>
      <c r="CB1713" s="19" t="s">
        <v>13000</v>
      </c>
      <c r="CC1713" s="23"/>
      <c r="CD1713" s="19" t="s">
        <v>13001</v>
      </c>
      <c r="CE1713" s="23"/>
      <c r="CF1713" s="23"/>
      <c r="CG1713" s="23"/>
      <c r="CH1713" s="23"/>
      <c r="CI1713" s="23"/>
    </row>
    <row r="1714" spans="1:87" x14ac:dyDescent="0.3">
      <c r="A1714" s="9" t="s">
        <v>13002</v>
      </c>
      <c r="B1714" s="10" t="s">
        <v>13003</v>
      </c>
      <c r="C1714" s="11">
        <v>45968.03125</v>
      </c>
      <c r="D1714" s="12">
        <v>8.3333333333333329E-2</v>
      </c>
      <c r="E1714" s="11">
        <v>45968.114583333336</v>
      </c>
      <c r="F1714" s="10" t="s">
        <v>7843</v>
      </c>
      <c r="G1714" s="13" t="b">
        <v>0</v>
      </c>
      <c r="H1714" s="10" t="s">
        <v>5239</v>
      </c>
      <c r="I1714" s="10" t="s">
        <v>89</v>
      </c>
      <c r="J1714" s="13" t="b">
        <v>0</v>
      </c>
      <c r="K1714" s="13" t="b">
        <v>1</v>
      </c>
      <c r="L1714" s="10" t="s">
        <v>124</v>
      </c>
      <c r="M1714" s="10" t="s">
        <v>91</v>
      </c>
      <c r="N1714" s="10" t="s">
        <v>92</v>
      </c>
      <c r="O1714" s="19" t="s">
        <v>13004</v>
      </c>
      <c r="P1714" s="10"/>
      <c r="Q1714" s="10" t="s">
        <v>126</v>
      </c>
      <c r="R1714" s="10"/>
      <c r="S1714" s="19" t="s">
        <v>13005</v>
      </c>
      <c r="T1714" s="19" t="s">
        <v>12970</v>
      </c>
      <c r="U1714" s="10" t="s">
        <v>7829</v>
      </c>
      <c r="V1714" s="10" t="s">
        <v>4993</v>
      </c>
      <c r="W1714" s="10" t="s">
        <v>7848</v>
      </c>
      <c r="X1714" s="10" t="s">
        <v>130</v>
      </c>
      <c r="Y1714" s="10" t="s">
        <v>130</v>
      </c>
      <c r="Z1714" s="10" t="s">
        <v>99</v>
      </c>
      <c r="AA1714" s="10" t="s">
        <v>131</v>
      </c>
      <c r="AB1714" s="10" t="s">
        <v>7849</v>
      </c>
      <c r="AC1714" s="10" t="s">
        <v>3571</v>
      </c>
      <c r="AD1714" s="10" t="s">
        <v>13006</v>
      </c>
      <c r="AE1714" s="10" t="s">
        <v>13007</v>
      </c>
      <c r="AF1714" s="15"/>
      <c r="AG1714" s="10"/>
      <c r="AH1714" s="10"/>
      <c r="AI1714" s="10"/>
      <c r="AJ1714" s="10"/>
      <c r="AK1714" s="10" t="s">
        <v>102</v>
      </c>
      <c r="AL1714" s="10" t="s">
        <v>7897</v>
      </c>
      <c r="AM1714" s="10"/>
      <c r="AN1714" s="10"/>
      <c r="AO1714" s="13" t="b">
        <v>1</v>
      </c>
      <c r="AP1714" s="10" t="s">
        <v>104</v>
      </c>
      <c r="AQ1714" s="10">
        <f ca="1">IFERROR(__xludf.DUMMYFUNCTION("""COMPUTED_VALUE"""),4701944)</f>
        <v>4701944</v>
      </c>
      <c r="AR1714" s="17">
        <v>6092</v>
      </c>
      <c r="AS1714" s="17">
        <v>4315</v>
      </c>
      <c r="AT1714" s="17">
        <v>47028.5</v>
      </c>
      <c r="AU1714" s="17">
        <v>4.1500000000000004</v>
      </c>
      <c r="AV1714" s="17">
        <v>1</v>
      </c>
      <c r="AW1714" s="10" t="s">
        <v>105</v>
      </c>
      <c r="AX1714" s="17">
        <v>1044</v>
      </c>
      <c r="AY1714" s="18">
        <v>10.898841251448436</v>
      </c>
      <c r="AZ1714" s="10" t="s">
        <v>117</v>
      </c>
      <c r="BA1714" s="20" t="b">
        <v>0</v>
      </c>
      <c r="BB1714" s="10"/>
      <c r="BC1714" s="17">
        <v>6092</v>
      </c>
      <c r="BD1714" s="17">
        <v>4315</v>
      </c>
      <c r="BE1714" s="17">
        <v>47028.5</v>
      </c>
      <c r="BF1714" s="17">
        <v>1</v>
      </c>
      <c r="BG1714" s="11">
        <f ca="1">IFERROR(__xludf.DUMMYFUNCTION("""COMPUTED_VALUE"""),45968.03125)</f>
        <v>45968.03125</v>
      </c>
      <c r="BH1714" s="17" t="s">
        <v>105</v>
      </c>
      <c r="BI1714" s="17"/>
      <c r="BJ1714" s="15"/>
      <c r="BK1714" s="15"/>
      <c r="BL1714" s="13" t="b">
        <v>0</v>
      </c>
      <c r="BM1714" s="10"/>
      <c r="BN1714" s="10" t="s">
        <v>197</v>
      </c>
      <c r="BO1714" s="11">
        <v>45904.304861111108</v>
      </c>
      <c r="BP1714" s="11">
        <v>45957.738263888888</v>
      </c>
      <c r="BQ1714" s="15">
        <v>45965.290844907409</v>
      </c>
      <c r="BR1714" s="15">
        <v>45965.33797453704</v>
      </c>
      <c r="BS1714" s="10" t="s">
        <v>197</v>
      </c>
      <c r="BT1714" s="10" t="s">
        <v>99</v>
      </c>
      <c r="BU1714" s="10" t="s">
        <v>11615</v>
      </c>
      <c r="BV1714" s="10" t="s">
        <v>124</v>
      </c>
      <c r="BW1714" s="10" t="s">
        <v>12860</v>
      </c>
      <c r="BX1714" s="10"/>
      <c r="BY1714" s="23"/>
      <c r="BZ1714" s="23"/>
      <c r="CA1714" s="19" t="s">
        <v>13008</v>
      </c>
      <c r="CB1714" s="19" t="s">
        <v>13009</v>
      </c>
      <c r="CC1714" s="23"/>
      <c r="CD1714" s="19" t="s">
        <v>13010</v>
      </c>
      <c r="CE1714" s="23"/>
      <c r="CF1714" s="23"/>
      <c r="CG1714" s="23"/>
      <c r="CH1714" s="23"/>
      <c r="CI1714" s="23"/>
    </row>
    <row r="1715" spans="1:87" x14ac:dyDescent="0.3">
      <c r="A1715" s="9" t="s">
        <v>13011</v>
      </c>
      <c r="B1715" s="10" t="s">
        <v>13012</v>
      </c>
      <c r="C1715" s="11">
        <v>45968.03125</v>
      </c>
      <c r="D1715" s="12">
        <v>8.3333333333333329E-2</v>
      </c>
      <c r="E1715" s="11">
        <v>45968.114583333336</v>
      </c>
      <c r="F1715" s="10" t="s">
        <v>7843</v>
      </c>
      <c r="G1715" s="13" t="b">
        <v>0</v>
      </c>
      <c r="H1715" s="10" t="s">
        <v>5239</v>
      </c>
      <c r="I1715" s="10" t="s">
        <v>89</v>
      </c>
      <c r="J1715" s="13" t="b">
        <v>0</v>
      </c>
      <c r="K1715" s="13" t="b">
        <v>1</v>
      </c>
      <c r="L1715" s="10" t="s">
        <v>124</v>
      </c>
      <c r="M1715" s="10" t="s">
        <v>91</v>
      </c>
      <c r="N1715" s="10" t="s">
        <v>92</v>
      </c>
      <c r="O1715" s="19" t="s">
        <v>13013</v>
      </c>
      <c r="P1715" s="10"/>
      <c r="Q1715" s="10" t="s">
        <v>94</v>
      </c>
      <c r="R1715" s="10"/>
      <c r="S1715" s="19" t="s">
        <v>13014</v>
      </c>
      <c r="T1715" s="19" t="s">
        <v>12970</v>
      </c>
      <c r="U1715" s="10" t="s">
        <v>12504</v>
      </c>
      <c r="V1715" s="10" t="s">
        <v>8547</v>
      </c>
      <c r="W1715" s="10" t="s">
        <v>7848</v>
      </c>
      <c r="X1715" s="10" t="s">
        <v>130</v>
      </c>
      <c r="Y1715" s="10" t="s">
        <v>130</v>
      </c>
      <c r="Z1715" s="10" t="s">
        <v>99</v>
      </c>
      <c r="AA1715" s="10" t="s">
        <v>131</v>
      </c>
      <c r="AB1715" s="10" t="s">
        <v>7849</v>
      </c>
      <c r="AC1715" s="10" t="s">
        <v>3571</v>
      </c>
      <c r="AD1715" s="10" t="s">
        <v>13015</v>
      </c>
      <c r="AE1715" s="10" t="s">
        <v>13016</v>
      </c>
      <c r="AF1715" s="15"/>
      <c r="AG1715" s="10"/>
      <c r="AH1715" s="10"/>
      <c r="AI1715" s="10"/>
      <c r="AJ1715" s="10"/>
      <c r="AK1715" s="10" t="s">
        <v>102</v>
      </c>
      <c r="AL1715" s="10" t="s">
        <v>7897</v>
      </c>
      <c r="AM1715" s="10"/>
      <c r="AN1715" s="10"/>
      <c r="AO1715" s="13" t="b">
        <v>0</v>
      </c>
      <c r="AP1715" s="10" t="s">
        <v>104</v>
      </c>
      <c r="AQ1715" s="10">
        <f ca="1">IFERROR(__xludf.DUMMYFUNCTION("""COMPUTED_VALUE"""),4702076)</f>
        <v>4702076</v>
      </c>
      <c r="AR1715" s="17">
        <v>1664</v>
      </c>
      <c r="AS1715" s="17">
        <v>1119</v>
      </c>
      <c r="AT1715" s="17">
        <v>18837.25</v>
      </c>
      <c r="AU1715" s="17">
        <v>0.75</v>
      </c>
      <c r="AV1715" s="17">
        <v>0</v>
      </c>
      <c r="AW1715" s="10" t="s">
        <v>105</v>
      </c>
      <c r="AX1715" s="17">
        <v>332</v>
      </c>
      <c r="AY1715" s="18">
        <v>16.834003574620198</v>
      </c>
      <c r="AZ1715" s="10" t="s">
        <v>117</v>
      </c>
      <c r="BA1715" s="20" t="b">
        <v>0</v>
      </c>
      <c r="BB1715" s="10"/>
      <c r="BC1715" s="17">
        <v>1664</v>
      </c>
      <c r="BD1715" s="17">
        <v>1119</v>
      </c>
      <c r="BE1715" s="17">
        <v>18837.25</v>
      </c>
      <c r="BF1715" s="17">
        <v>0</v>
      </c>
      <c r="BG1715" s="11">
        <f ca="1">IFERROR(__xludf.DUMMYFUNCTION("""COMPUTED_VALUE"""),45968.03125)</f>
        <v>45968.03125</v>
      </c>
      <c r="BH1715" s="17" t="s">
        <v>105</v>
      </c>
      <c r="BI1715" s="17"/>
      <c r="BJ1715" s="15"/>
      <c r="BK1715" s="15"/>
      <c r="BL1715" s="13" t="b">
        <v>0</v>
      </c>
      <c r="BM1715" s="10"/>
      <c r="BN1715" s="10" t="s">
        <v>197</v>
      </c>
      <c r="BO1715" s="11">
        <v>45904.304861111108</v>
      </c>
      <c r="BP1715" s="11">
        <v>45957.738368055558</v>
      </c>
      <c r="BQ1715" s="15">
        <v>45965.290277777778</v>
      </c>
      <c r="BR1715" s="15">
        <v>45965.600300925929</v>
      </c>
      <c r="BS1715" s="10" t="s">
        <v>197</v>
      </c>
      <c r="BT1715" s="10" t="s">
        <v>99</v>
      </c>
      <c r="BU1715" s="10" t="s">
        <v>3752</v>
      </c>
      <c r="BV1715" s="10"/>
      <c r="BW1715" s="10"/>
      <c r="BX1715" s="10"/>
      <c r="BY1715" s="23"/>
      <c r="BZ1715" s="23"/>
      <c r="CA1715" s="19" t="s">
        <v>13017</v>
      </c>
      <c r="CB1715" s="19" t="s">
        <v>13018</v>
      </c>
      <c r="CC1715" s="23"/>
      <c r="CD1715" s="23"/>
      <c r="CE1715" s="23"/>
      <c r="CF1715" s="23"/>
      <c r="CG1715" s="23"/>
      <c r="CH1715" s="23"/>
      <c r="CI1715" s="23"/>
    </row>
    <row r="1716" spans="1:87" x14ac:dyDescent="0.3">
      <c r="A1716" s="9" t="s">
        <v>13019</v>
      </c>
      <c r="B1716" s="10" t="s">
        <v>13020</v>
      </c>
      <c r="C1716" s="11">
        <v>45968.03125</v>
      </c>
      <c r="D1716" s="12">
        <v>8.3333333333333329E-2</v>
      </c>
      <c r="E1716" s="11">
        <v>45968.114583333336</v>
      </c>
      <c r="F1716" s="10" t="s">
        <v>7843</v>
      </c>
      <c r="G1716" s="13" t="b">
        <v>0</v>
      </c>
      <c r="H1716" s="10" t="s">
        <v>5239</v>
      </c>
      <c r="I1716" s="10" t="s">
        <v>89</v>
      </c>
      <c r="J1716" s="13" t="b">
        <v>0</v>
      </c>
      <c r="K1716" s="13" t="b">
        <v>1</v>
      </c>
      <c r="L1716" s="10" t="s">
        <v>124</v>
      </c>
      <c r="M1716" s="10" t="s">
        <v>91</v>
      </c>
      <c r="N1716" s="10" t="s">
        <v>92</v>
      </c>
      <c r="O1716" s="19" t="s">
        <v>13021</v>
      </c>
      <c r="P1716" s="10"/>
      <c r="Q1716" s="10" t="s">
        <v>94</v>
      </c>
      <c r="R1716" s="10"/>
      <c r="S1716" s="19" t="s">
        <v>13022</v>
      </c>
      <c r="T1716" s="19" t="s">
        <v>12970</v>
      </c>
      <c r="U1716" s="10" t="s">
        <v>12559</v>
      </c>
      <c r="V1716" s="10" t="s">
        <v>5066</v>
      </c>
      <c r="W1716" s="10" t="s">
        <v>7848</v>
      </c>
      <c r="X1716" s="10" t="s">
        <v>130</v>
      </c>
      <c r="Y1716" s="10" t="s">
        <v>130</v>
      </c>
      <c r="Z1716" s="10" t="s">
        <v>99</v>
      </c>
      <c r="AA1716" s="10" t="s">
        <v>131</v>
      </c>
      <c r="AB1716" s="10" t="s">
        <v>7849</v>
      </c>
      <c r="AC1716" s="10" t="s">
        <v>3571</v>
      </c>
      <c r="AD1716" s="10" t="s">
        <v>13023</v>
      </c>
      <c r="AE1716" s="10" t="s">
        <v>13024</v>
      </c>
      <c r="AF1716" s="15"/>
      <c r="AG1716" s="10"/>
      <c r="AH1716" s="10"/>
      <c r="AI1716" s="10"/>
      <c r="AJ1716" s="10"/>
      <c r="AK1716" s="10" t="s">
        <v>102</v>
      </c>
      <c r="AL1716" s="10" t="s">
        <v>7897</v>
      </c>
      <c r="AM1716" s="10"/>
      <c r="AN1716" s="10"/>
      <c r="AO1716" s="13" t="b">
        <v>0</v>
      </c>
      <c r="AP1716" s="10" t="s">
        <v>104</v>
      </c>
      <c r="AQ1716" s="10">
        <f ca="1">IFERROR(__xludf.DUMMYFUNCTION("""COMPUTED_VALUE"""),4701941)</f>
        <v>4701941</v>
      </c>
      <c r="AR1716" s="17">
        <v>1851</v>
      </c>
      <c r="AS1716" s="17">
        <v>1302</v>
      </c>
      <c r="AT1716" s="17">
        <v>22442.25</v>
      </c>
      <c r="AU1716" s="17">
        <v>3</v>
      </c>
      <c r="AV1716" s="17">
        <v>1</v>
      </c>
      <c r="AW1716" s="10" t="s">
        <v>105</v>
      </c>
      <c r="AX1716" s="17">
        <v>313</v>
      </c>
      <c r="AY1716" s="18">
        <v>17.236751152073733</v>
      </c>
      <c r="AZ1716" s="10" t="s">
        <v>117</v>
      </c>
      <c r="BA1716" s="20" t="b">
        <v>0</v>
      </c>
      <c r="BB1716" s="10"/>
      <c r="BC1716" s="17">
        <v>1851</v>
      </c>
      <c r="BD1716" s="17">
        <v>1302</v>
      </c>
      <c r="BE1716" s="17">
        <v>22442.25</v>
      </c>
      <c r="BF1716" s="17">
        <v>1</v>
      </c>
      <c r="BG1716" s="11">
        <f ca="1">IFERROR(__xludf.DUMMYFUNCTION("""COMPUTED_VALUE"""),45968.03125)</f>
        <v>45968.03125</v>
      </c>
      <c r="BH1716" s="17" t="s">
        <v>105</v>
      </c>
      <c r="BI1716" s="17"/>
      <c r="BJ1716" s="15"/>
      <c r="BK1716" s="15"/>
      <c r="BL1716" s="13" t="b">
        <v>0</v>
      </c>
      <c r="BM1716" s="10"/>
      <c r="BN1716" s="10" t="s">
        <v>197</v>
      </c>
      <c r="BO1716" s="11">
        <v>45904.304861111108</v>
      </c>
      <c r="BP1716" s="11">
        <v>45957.738680555558</v>
      </c>
      <c r="BQ1716" s="15">
        <v>45965.282650462963</v>
      </c>
      <c r="BR1716" s="15">
        <v>45965.336909722224</v>
      </c>
      <c r="BS1716" s="10" t="s">
        <v>197</v>
      </c>
      <c r="BT1716" s="10" t="s">
        <v>99</v>
      </c>
      <c r="BU1716" s="10" t="s">
        <v>8497</v>
      </c>
      <c r="BV1716" s="10"/>
      <c r="BW1716" s="10"/>
      <c r="BX1716" s="10"/>
      <c r="BY1716" s="23"/>
      <c r="BZ1716" s="23"/>
      <c r="CA1716" s="19" t="s">
        <v>13025</v>
      </c>
      <c r="CB1716" s="19" t="s">
        <v>13026</v>
      </c>
      <c r="CC1716" s="23"/>
      <c r="CD1716" s="23"/>
      <c r="CE1716" s="23"/>
      <c r="CF1716" s="23"/>
      <c r="CG1716" s="23"/>
      <c r="CH1716" s="23"/>
      <c r="CI1716" s="23"/>
    </row>
    <row r="1717" spans="1:87" x14ac:dyDescent="0.3">
      <c r="A1717" s="9" t="s">
        <v>13027</v>
      </c>
      <c r="B1717" s="10" t="s">
        <v>13028</v>
      </c>
      <c r="C1717" s="11">
        <v>45968.03125</v>
      </c>
      <c r="D1717" s="12">
        <v>8.3333333333333329E-2</v>
      </c>
      <c r="E1717" s="11">
        <v>45968.114583333336</v>
      </c>
      <c r="F1717" s="10" t="s">
        <v>7843</v>
      </c>
      <c r="G1717" s="13" t="b">
        <v>0</v>
      </c>
      <c r="H1717" s="10" t="s">
        <v>5239</v>
      </c>
      <c r="I1717" s="10" t="s">
        <v>89</v>
      </c>
      <c r="J1717" s="13" t="b">
        <v>0</v>
      </c>
      <c r="K1717" s="13" t="b">
        <v>1</v>
      </c>
      <c r="L1717" s="10" t="s">
        <v>124</v>
      </c>
      <c r="M1717" s="10" t="s">
        <v>91</v>
      </c>
      <c r="N1717" s="10" t="s">
        <v>92</v>
      </c>
      <c r="O1717" s="19" t="s">
        <v>13029</v>
      </c>
      <c r="P1717" s="10"/>
      <c r="Q1717" s="10" t="s">
        <v>94</v>
      </c>
      <c r="R1717" s="10"/>
      <c r="S1717" s="19" t="s">
        <v>13030</v>
      </c>
      <c r="T1717" s="19" t="s">
        <v>12970</v>
      </c>
      <c r="U1717" s="10" t="s">
        <v>12522</v>
      </c>
      <c r="V1717" s="10" t="s">
        <v>12663</v>
      </c>
      <c r="W1717" s="10" t="s">
        <v>7848</v>
      </c>
      <c r="X1717" s="10" t="s">
        <v>130</v>
      </c>
      <c r="Y1717" s="10" t="s">
        <v>130</v>
      </c>
      <c r="Z1717" s="10" t="s">
        <v>99</v>
      </c>
      <c r="AA1717" s="10" t="s">
        <v>131</v>
      </c>
      <c r="AB1717" s="10" t="s">
        <v>7849</v>
      </c>
      <c r="AC1717" s="10" t="s">
        <v>3571</v>
      </c>
      <c r="AD1717" s="10" t="s">
        <v>13031</v>
      </c>
      <c r="AE1717" s="10" t="s">
        <v>13032</v>
      </c>
      <c r="AF1717" s="15"/>
      <c r="AG1717" s="10"/>
      <c r="AH1717" s="10"/>
      <c r="AI1717" s="10"/>
      <c r="AJ1717" s="10"/>
      <c r="AK1717" s="10" t="s">
        <v>102</v>
      </c>
      <c r="AL1717" s="10" t="s">
        <v>7897</v>
      </c>
      <c r="AM1717" s="10"/>
      <c r="AN1717" s="10"/>
      <c r="AO1717" s="13" t="b">
        <v>0</v>
      </c>
      <c r="AP1717" s="10" t="s">
        <v>104</v>
      </c>
      <c r="AQ1717" s="10">
        <f ca="1">IFERROR(__xludf.DUMMYFUNCTION("""COMPUTED_VALUE"""),4701942)</f>
        <v>4701942</v>
      </c>
      <c r="AR1717" s="17">
        <v>903</v>
      </c>
      <c r="AS1717" s="17">
        <v>588</v>
      </c>
      <c r="AT1717" s="17">
        <v>6743.75</v>
      </c>
      <c r="AU1717" s="17">
        <v>0.75</v>
      </c>
      <c r="AV1717" s="17">
        <v>0</v>
      </c>
      <c r="AW1717" s="10" t="s">
        <v>105</v>
      </c>
      <c r="AX1717" s="17">
        <v>117</v>
      </c>
      <c r="AY1717" s="18">
        <v>11.468962585034014</v>
      </c>
      <c r="AZ1717" s="10" t="s">
        <v>117</v>
      </c>
      <c r="BA1717" s="20" t="b">
        <v>0</v>
      </c>
      <c r="BB1717" s="10"/>
      <c r="BC1717" s="17">
        <v>903</v>
      </c>
      <c r="BD1717" s="17">
        <v>588</v>
      </c>
      <c r="BE1717" s="17">
        <v>6743.75</v>
      </c>
      <c r="BF1717" s="17">
        <v>0</v>
      </c>
      <c r="BG1717" s="11">
        <f ca="1">IFERROR(__xludf.DUMMYFUNCTION("""COMPUTED_VALUE"""),45968.03125)</f>
        <v>45968.03125</v>
      </c>
      <c r="BH1717" s="17" t="s">
        <v>105</v>
      </c>
      <c r="BI1717" s="17"/>
      <c r="BJ1717" s="15"/>
      <c r="BK1717" s="15"/>
      <c r="BL1717" s="13" t="b">
        <v>0</v>
      </c>
      <c r="BM1717" s="10"/>
      <c r="BN1717" s="10" t="s">
        <v>197</v>
      </c>
      <c r="BO1717" s="11">
        <v>45904.304861111108</v>
      </c>
      <c r="BP1717" s="11">
        <v>45957.738865740743</v>
      </c>
      <c r="BQ1717" s="15">
        <v>45965.289930555555</v>
      </c>
      <c r="BR1717" s="15">
        <v>45965.337199074071</v>
      </c>
      <c r="BS1717" s="10" t="s">
        <v>197</v>
      </c>
      <c r="BT1717" s="10" t="s">
        <v>99</v>
      </c>
      <c r="BU1717" s="10" t="s">
        <v>9114</v>
      </c>
      <c r="BV1717" s="10"/>
      <c r="BW1717" s="10"/>
      <c r="BX1717" s="10"/>
      <c r="BY1717" s="23"/>
      <c r="BZ1717" s="23"/>
      <c r="CA1717" s="19" t="s">
        <v>13033</v>
      </c>
      <c r="CB1717" s="19" t="s">
        <v>13034</v>
      </c>
      <c r="CC1717" s="23"/>
      <c r="CD1717" s="23"/>
      <c r="CE1717" s="23"/>
      <c r="CF1717" s="23"/>
      <c r="CG1717" s="23"/>
      <c r="CH1717" s="23"/>
      <c r="CI1717" s="23"/>
    </row>
    <row r="1718" spans="1:87" x14ac:dyDescent="0.3">
      <c r="A1718" s="9" t="s">
        <v>13035</v>
      </c>
      <c r="B1718" s="10" t="s">
        <v>13036</v>
      </c>
      <c r="C1718" s="11">
        <v>45968.03125</v>
      </c>
      <c r="D1718" s="12">
        <v>8.3333333333333329E-2</v>
      </c>
      <c r="E1718" s="11">
        <v>45968.114583333336</v>
      </c>
      <c r="F1718" s="10" t="s">
        <v>7843</v>
      </c>
      <c r="G1718" s="13" t="b">
        <v>0</v>
      </c>
      <c r="H1718" s="10" t="s">
        <v>3578</v>
      </c>
      <c r="I1718" s="10" t="s">
        <v>89</v>
      </c>
      <c r="J1718" s="13" t="b">
        <v>0</v>
      </c>
      <c r="K1718" s="13" t="b">
        <v>1</v>
      </c>
      <c r="L1718" s="10" t="s">
        <v>124</v>
      </c>
      <c r="M1718" s="10" t="s">
        <v>91</v>
      </c>
      <c r="N1718" s="10" t="s">
        <v>92</v>
      </c>
      <c r="O1718" s="19" t="s">
        <v>13037</v>
      </c>
      <c r="P1718" s="10"/>
      <c r="Q1718" s="10" t="s">
        <v>126</v>
      </c>
      <c r="R1718" s="10"/>
      <c r="S1718" s="19" t="s">
        <v>13038</v>
      </c>
      <c r="T1718" s="19" t="s">
        <v>12970</v>
      </c>
      <c r="U1718" s="10" t="s">
        <v>8555</v>
      </c>
      <c r="V1718" s="10" t="s">
        <v>320</v>
      </c>
      <c r="W1718" s="10" t="s">
        <v>7848</v>
      </c>
      <c r="X1718" s="10" t="s">
        <v>130</v>
      </c>
      <c r="Y1718" s="10" t="s">
        <v>130</v>
      </c>
      <c r="Z1718" s="10" t="s">
        <v>99</v>
      </c>
      <c r="AA1718" s="10" t="s">
        <v>131</v>
      </c>
      <c r="AB1718" s="10" t="s">
        <v>7849</v>
      </c>
      <c r="AC1718" s="10" t="s">
        <v>3571</v>
      </c>
      <c r="AD1718" s="10" t="s">
        <v>13039</v>
      </c>
      <c r="AE1718" s="10" t="s">
        <v>13040</v>
      </c>
      <c r="AF1718" s="15"/>
      <c r="AG1718" s="10"/>
      <c r="AH1718" s="10"/>
      <c r="AI1718" s="10"/>
      <c r="AJ1718" s="10"/>
      <c r="AK1718" s="10" t="s">
        <v>102</v>
      </c>
      <c r="AL1718" s="10" t="s">
        <v>7897</v>
      </c>
      <c r="AM1718" s="10"/>
      <c r="AN1718" s="10"/>
      <c r="AO1718" s="13" t="b">
        <v>0</v>
      </c>
      <c r="AP1718" s="10" t="s">
        <v>104</v>
      </c>
      <c r="AQ1718" s="10">
        <f ca="1">IFERROR(__xludf.DUMMYFUNCTION("""COMPUTED_VALUE"""),4702065)</f>
        <v>4702065</v>
      </c>
      <c r="AR1718" s="17">
        <v>4407</v>
      </c>
      <c r="AS1718" s="17">
        <v>3128</v>
      </c>
      <c r="AT1718" s="17">
        <v>106215</v>
      </c>
      <c r="AU1718" s="17">
        <v>3.6</v>
      </c>
      <c r="AV1718" s="17">
        <v>1.55</v>
      </c>
      <c r="AW1718" s="10" t="s">
        <v>105</v>
      </c>
      <c r="AX1718" s="17">
        <v>899</v>
      </c>
      <c r="AY1718" s="18">
        <v>33.956202046035806</v>
      </c>
      <c r="AZ1718" s="10" t="s">
        <v>117</v>
      </c>
      <c r="BA1718" s="20" t="b">
        <v>0</v>
      </c>
      <c r="BB1718" s="10"/>
      <c r="BC1718" s="17">
        <v>4407</v>
      </c>
      <c r="BD1718" s="17">
        <v>3128</v>
      </c>
      <c r="BE1718" s="17">
        <v>106215</v>
      </c>
      <c r="BF1718" s="17">
        <v>1.55</v>
      </c>
      <c r="BG1718" s="11">
        <f ca="1">IFERROR(__xludf.DUMMYFUNCTION("""COMPUTED_VALUE"""),45968.03125)</f>
        <v>45968.03125</v>
      </c>
      <c r="BH1718" s="17" t="s">
        <v>105</v>
      </c>
      <c r="BI1718" s="17"/>
      <c r="BJ1718" s="15"/>
      <c r="BK1718" s="15"/>
      <c r="BL1718" s="13" t="b">
        <v>0</v>
      </c>
      <c r="BM1718" s="10"/>
      <c r="BN1718" s="10" t="s">
        <v>197</v>
      </c>
      <c r="BO1718" s="11">
        <v>45904.304861111108</v>
      </c>
      <c r="BP1718" s="11">
        <v>45957.739074074074</v>
      </c>
      <c r="BQ1718" s="15">
        <v>45965.383356481485</v>
      </c>
      <c r="BR1718" s="15">
        <v>45965.555578703701</v>
      </c>
      <c r="BS1718" s="10" t="s">
        <v>197</v>
      </c>
      <c r="BT1718" s="10" t="s">
        <v>99</v>
      </c>
      <c r="BU1718" s="10" t="s">
        <v>8013</v>
      </c>
      <c r="BV1718" s="10"/>
      <c r="BW1718" s="10"/>
      <c r="BX1718" s="10"/>
      <c r="BY1718" s="23"/>
      <c r="BZ1718" s="23"/>
      <c r="CA1718" s="19" t="s">
        <v>13041</v>
      </c>
      <c r="CB1718" s="19" t="s">
        <v>13042</v>
      </c>
      <c r="CC1718" s="23"/>
      <c r="CD1718" s="19" t="s">
        <v>13043</v>
      </c>
      <c r="CE1718" s="23"/>
      <c r="CF1718" s="23"/>
      <c r="CG1718" s="23"/>
      <c r="CH1718" s="23"/>
      <c r="CI1718" s="23"/>
    </row>
    <row r="1719" spans="1:87" x14ac:dyDescent="0.3">
      <c r="A1719" s="9" t="s">
        <v>13044</v>
      </c>
      <c r="B1719" s="10" t="s">
        <v>13045</v>
      </c>
      <c r="C1719" s="11">
        <v>45968.125</v>
      </c>
      <c r="D1719" s="12">
        <v>8.3333333333333329E-2</v>
      </c>
      <c r="E1719" s="11">
        <v>45968.208333333336</v>
      </c>
      <c r="F1719" s="10" t="s">
        <v>7843</v>
      </c>
      <c r="G1719" s="13" t="b">
        <v>0</v>
      </c>
      <c r="H1719" s="10" t="s">
        <v>5239</v>
      </c>
      <c r="I1719" s="10" t="s">
        <v>89</v>
      </c>
      <c r="J1719" s="13" t="b">
        <v>0</v>
      </c>
      <c r="K1719" s="13" t="b">
        <v>1</v>
      </c>
      <c r="L1719" s="10" t="s">
        <v>124</v>
      </c>
      <c r="M1719" s="10" t="s">
        <v>91</v>
      </c>
      <c r="N1719" s="10" t="s">
        <v>92</v>
      </c>
      <c r="O1719" s="19" t="s">
        <v>13046</v>
      </c>
      <c r="P1719" s="10"/>
      <c r="Q1719" s="10" t="s">
        <v>94</v>
      </c>
      <c r="R1719" s="10"/>
      <c r="S1719" s="19" t="s">
        <v>13047</v>
      </c>
      <c r="T1719" s="19" t="s">
        <v>12970</v>
      </c>
      <c r="U1719" s="10" t="s">
        <v>7846</v>
      </c>
      <c r="V1719" s="10" t="s">
        <v>12662</v>
      </c>
      <c r="W1719" s="10" t="s">
        <v>7848</v>
      </c>
      <c r="X1719" s="10" t="s">
        <v>130</v>
      </c>
      <c r="Y1719" s="10" t="s">
        <v>130</v>
      </c>
      <c r="Z1719" s="10" t="s">
        <v>99</v>
      </c>
      <c r="AA1719" s="10" t="s">
        <v>131</v>
      </c>
      <c r="AB1719" s="10" t="s">
        <v>7849</v>
      </c>
      <c r="AC1719" s="10" t="s">
        <v>3571</v>
      </c>
      <c r="AD1719" s="10" t="s">
        <v>13048</v>
      </c>
      <c r="AE1719" s="10" t="s">
        <v>13049</v>
      </c>
      <c r="AF1719" s="15"/>
      <c r="AG1719" s="10"/>
      <c r="AH1719" s="10"/>
      <c r="AI1719" s="10"/>
      <c r="AJ1719" s="10"/>
      <c r="AK1719" s="10" t="s">
        <v>102</v>
      </c>
      <c r="AL1719" s="10" t="s">
        <v>7897</v>
      </c>
      <c r="AM1719" s="10"/>
      <c r="AN1719" s="10"/>
      <c r="AO1719" s="13" t="b">
        <v>0</v>
      </c>
      <c r="AP1719" s="10" t="s">
        <v>104</v>
      </c>
      <c r="AQ1719" s="10">
        <f ca="1">IFERROR(__xludf.DUMMYFUNCTION("""COMPUTED_VALUE"""),4702072)</f>
        <v>4702072</v>
      </c>
      <c r="AR1719" s="17">
        <v>1674</v>
      </c>
      <c r="AS1719" s="17">
        <v>1253</v>
      </c>
      <c r="AT1719" s="17">
        <v>7667.75</v>
      </c>
      <c r="AU1719" s="17">
        <v>1</v>
      </c>
      <c r="AV1719" s="17">
        <v>0.1</v>
      </c>
      <c r="AW1719" s="10" t="s">
        <v>105</v>
      </c>
      <c r="AX1719" s="17">
        <v>2790</v>
      </c>
      <c r="AY1719" s="18">
        <v>6.1195131683958497</v>
      </c>
      <c r="AZ1719" s="10" t="s">
        <v>117</v>
      </c>
      <c r="BA1719" s="20" t="b">
        <v>0</v>
      </c>
      <c r="BB1719" s="10"/>
      <c r="BC1719" s="17">
        <v>1674</v>
      </c>
      <c r="BD1719" s="17">
        <v>1253</v>
      </c>
      <c r="BE1719" s="17">
        <v>7667.75</v>
      </c>
      <c r="BF1719" s="17">
        <v>0.1</v>
      </c>
      <c r="BG1719" s="11">
        <f ca="1">IFERROR(__xludf.DUMMYFUNCTION("""COMPUTED_VALUE"""),45968.125)</f>
        <v>45968.125</v>
      </c>
      <c r="BH1719" s="17" t="s">
        <v>105</v>
      </c>
      <c r="BI1719" s="17"/>
      <c r="BJ1719" s="15"/>
      <c r="BK1719" s="15"/>
      <c r="BL1719" s="13" t="b">
        <v>0</v>
      </c>
      <c r="BM1719" s="10"/>
      <c r="BN1719" s="10" t="s">
        <v>197</v>
      </c>
      <c r="BO1719" s="11">
        <v>45904.304861111108</v>
      </c>
      <c r="BP1719" s="11">
        <v>45957.739374999997</v>
      </c>
      <c r="BQ1719" s="15">
        <v>45965.384351851855</v>
      </c>
      <c r="BR1719" s="15">
        <v>45965.567719907405</v>
      </c>
      <c r="BS1719" s="10" t="s">
        <v>197</v>
      </c>
      <c r="BT1719" s="10" t="s">
        <v>99</v>
      </c>
      <c r="BU1719" s="10" t="s">
        <v>6732</v>
      </c>
      <c r="BV1719" s="10"/>
      <c r="BW1719" s="10"/>
      <c r="BX1719" s="10"/>
      <c r="BY1719" s="23"/>
      <c r="BZ1719" s="23"/>
      <c r="CA1719" s="19" t="s">
        <v>13050</v>
      </c>
      <c r="CB1719" s="19" t="s">
        <v>13051</v>
      </c>
      <c r="CC1719" s="23"/>
      <c r="CD1719" s="23"/>
      <c r="CE1719" s="23"/>
      <c r="CF1719" s="23"/>
      <c r="CG1719" s="23"/>
      <c r="CH1719" s="23"/>
      <c r="CI1719" s="23"/>
    </row>
    <row r="1720" spans="1:87" x14ac:dyDescent="0.3">
      <c r="A1720" s="9" t="s">
        <v>13052</v>
      </c>
      <c r="B1720" s="10" t="s">
        <v>13053</v>
      </c>
      <c r="C1720" s="11">
        <v>45968.125</v>
      </c>
      <c r="D1720" s="12">
        <v>8.3333333333333329E-2</v>
      </c>
      <c r="E1720" s="11">
        <v>45968.208333333336</v>
      </c>
      <c r="F1720" s="10" t="s">
        <v>7843</v>
      </c>
      <c r="G1720" s="13" t="b">
        <v>0</v>
      </c>
      <c r="H1720" s="10" t="s">
        <v>3578</v>
      </c>
      <c r="I1720" s="10" t="s">
        <v>89</v>
      </c>
      <c r="J1720" s="13" t="b">
        <v>0</v>
      </c>
      <c r="K1720" s="13" t="b">
        <v>1</v>
      </c>
      <c r="L1720" s="10" t="s">
        <v>124</v>
      </c>
      <c r="M1720" s="10" t="s">
        <v>91</v>
      </c>
      <c r="N1720" s="10" t="s">
        <v>92</v>
      </c>
      <c r="O1720" s="19" t="s">
        <v>13054</v>
      </c>
      <c r="P1720" s="10"/>
      <c r="Q1720" s="10" t="s">
        <v>126</v>
      </c>
      <c r="R1720" s="10"/>
      <c r="S1720" s="19" t="s">
        <v>13055</v>
      </c>
      <c r="T1720" s="19" t="s">
        <v>12970</v>
      </c>
      <c r="U1720" s="10" t="s">
        <v>292</v>
      </c>
      <c r="V1720" s="10" t="s">
        <v>12513</v>
      </c>
      <c r="W1720" s="10" t="s">
        <v>7848</v>
      </c>
      <c r="X1720" s="10" t="s">
        <v>130</v>
      </c>
      <c r="Y1720" s="10" t="s">
        <v>130</v>
      </c>
      <c r="Z1720" s="10" t="s">
        <v>99</v>
      </c>
      <c r="AA1720" s="10" t="s">
        <v>131</v>
      </c>
      <c r="AB1720" s="10" t="s">
        <v>7849</v>
      </c>
      <c r="AC1720" s="10" t="s">
        <v>3571</v>
      </c>
      <c r="AD1720" s="10" t="s">
        <v>13056</v>
      </c>
      <c r="AE1720" s="10" t="s">
        <v>13057</v>
      </c>
      <c r="AF1720" s="15"/>
      <c r="AG1720" s="10"/>
      <c r="AH1720" s="10"/>
      <c r="AI1720" s="10"/>
      <c r="AJ1720" s="10"/>
      <c r="AK1720" s="10" t="s">
        <v>102</v>
      </c>
      <c r="AL1720" s="10" t="s">
        <v>7897</v>
      </c>
      <c r="AM1720" s="10"/>
      <c r="AN1720" s="10"/>
      <c r="AO1720" s="13" t="b">
        <v>0</v>
      </c>
      <c r="AP1720" s="10" t="s">
        <v>104</v>
      </c>
      <c r="AQ1720" s="10">
        <f ca="1">IFERROR(__xludf.DUMMYFUNCTION("""COMPUTED_VALUE"""),4702066)</f>
        <v>4702066</v>
      </c>
      <c r="AR1720" s="17">
        <v>7311</v>
      </c>
      <c r="AS1720" s="17">
        <v>5287</v>
      </c>
      <c r="AT1720" s="17">
        <v>135615.5</v>
      </c>
      <c r="AU1720" s="17">
        <v>4.55</v>
      </c>
      <c r="AV1720" s="17">
        <v>2.4500000000000002</v>
      </c>
      <c r="AW1720" s="10" t="s">
        <v>105</v>
      </c>
      <c r="AX1720" s="17">
        <v>1586</v>
      </c>
      <c r="AY1720" s="18">
        <v>25.650747115566485</v>
      </c>
      <c r="AZ1720" s="10" t="s">
        <v>117</v>
      </c>
      <c r="BA1720" s="20" t="b">
        <v>0</v>
      </c>
      <c r="BB1720" s="10"/>
      <c r="BC1720" s="17">
        <v>7311</v>
      </c>
      <c r="BD1720" s="17">
        <v>5287</v>
      </c>
      <c r="BE1720" s="17">
        <v>135615.5</v>
      </c>
      <c r="BF1720" s="17">
        <v>2.4500000000000002</v>
      </c>
      <c r="BG1720" s="11">
        <f ca="1">IFERROR(__xludf.DUMMYFUNCTION("""COMPUTED_VALUE"""),45968.125)</f>
        <v>45968.125</v>
      </c>
      <c r="BH1720" s="17" t="s">
        <v>105</v>
      </c>
      <c r="BI1720" s="17"/>
      <c r="BJ1720" s="15"/>
      <c r="BK1720" s="15"/>
      <c r="BL1720" s="13" t="b">
        <v>0</v>
      </c>
      <c r="BM1720" s="10"/>
      <c r="BN1720" s="10" t="s">
        <v>197</v>
      </c>
      <c r="BO1720" s="11">
        <v>45904.304861111108</v>
      </c>
      <c r="BP1720" s="11">
        <v>45957.73951388889</v>
      </c>
      <c r="BQ1720" s="15">
        <v>45965.383715277778</v>
      </c>
      <c r="BR1720" s="15">
        <v>45965.555752314816</v>
      </c>
      <c r="BS1720" s="10" t="s">
        <v>197</v>
      </c>
      <c r="BT1720" s="10" t="s">
        <v>99</v>
      </c>
      <c r="BU1720" s="10" t="s">
        <v>8013</v>
      </c>
      <c r="BV1720" s="10"/>
      <c r="BW1720" s="10"/>
      <c r="BX1720" s="10"/>
      <c r="BY1720" s="23"/>
      <c r="BZ1720" s="23"/>
      <c r="CA1720" s="19" t="s">
        <v>13058</v>
      </c>
      <c r="CB1720" s="19" t="s">
        <v>13059</v>
      </c>
      <c r="CC1720" s="23"/>
      <c r="CD1720" s="19" t="s">
        <v>13060</v>
      </c>
      <c r="CE1720" s="23"/>
      <c r="CF1720" s="23"/>
      <c r="CG1720" s="23"/>
      <c r="CH1720" s="23"/>
      <c r="CI1720" s="23"/>
    </row>
    <row r="1721" spans="1:87" x14ac:dyDescent="0.3">
      <c r="A1721" s="9" t="s">
        <v>13061</v>
      </c>
      <c r="B1721" s="10" t="s">
        <v>13062</v>
      </c>
      <c r="C1721" s="11">
        <v>45968.125</v>
      </c>
      <c r="D1721" s="12">
        <v>8.3333333333333329E-2</v>
      </c>
      <c r="E1721" s="11">
        <v>45968.208333333336</v>
      </c>
      <c r="F1721" s="10" t="s">
        <v>7843</v>
      </c>
      <c r="G1721" s="13" t="b">
        <v>0</v>
      </c>
      <c r="H1721" s="10" t="s">
        <v>5239</v>
      </c>
      <c r="I1721" s="10" t="s">
        <v>89</v>
      </c>
      <c r="J1721" s="13" t="b">
        <v>0</v>
      </c>
      <c r="K1721" s="13" t="b">
        <v>1</v>
      </c>
      <c r="L1721" s="10" t="s">
        <v>124</v>
      </c>
      <c r="M1721" s="10" t="s">
        <v>91</v>
      </c>
      <c r="N1721" s="10" t="s">
        <v>92</v>
      </c>
      <c r="O1721" s="19" t="s">
        <v>13063</v>
      </c>
      <c r="P1721" s="10"/>
      <c r="Q1721" s="10" t="s">
        <v>126</v>
      </c>
      <c r="R1721" s="10"/>
      <c r="S1721" s="19" t="s">
        <v>13064</v>
      </c>
      <c r="T1721" s="19" t="s">
        <v>12970</v>
      </c>
      <c r="U1721" s="10" t="s">
        <v>12625</v>
      </c>
      <c r="V1721" s="10" t="s">
        <v>3690</v>
      </c>
      <c r="W1721" s="10" t="s">
        <v>7848</v>
      </c>
      <c r="X1721" s="10" t="s">
        <v>130</v>
      </c>
      <c r="Y1721" s="10" t="s">
        <v>130</v>
      </c>
      <c r="Z1721" s="10" t="s">
        <v>99</v>
      </c>
      <c r="AA1721" s="10" t="s">
        <v>131</v>
      </c>
      <c r="AB1721" s="10" t="s">
        <v>7849</v>
      </c>
      <c r="AC1721" s="10" t="s">
        <v>3571</v>
      </c>
      <c r="AD1721" s="10" t="s">
        <v>13065</v>
      </c>
      <c r="AE1721" s="10" t="s">
        <v>13066</v>
      </c>
      <c r="AF1721" s="15"/>
      <c r="AG1721" s="10"/>
      <c r="AH1721" s="10"/>
      <c r="AI1721" s="10"/>
      <c r="AJ1721" s="10"/>
      <c r="AK1721" s="10" t="s">
        <v>102</v>
      </c>
      <c r="AL1721" s="10" t="s">
        <v>7897</v>
      </c>
      <c r="AM1721" s="10"/>
      <c r="AN1721" s="10"/>
      <c r="AO1721" s="13" t="b">
        <v>0</v>
      </c>
      <c r="AP1721" s="10" t="s">
        <v>104</v>
      </c>
      <c r="AQ1721" s="10">
        <f ca="1">IFERROR(__xludf.DUMMYFUNCTION("""COMPUTED_VALUE"""),4702074)</f>
        <v>4702074</v>
      </c>
      <c r="AR1721" s="17">
        <v>2684</v>
      </c>
      <c r="AS1721" s="17">
        <v>1783</v>
      </c>
      <c r="AT1721" s="17">
        <v>29343.75</v>
      </c>
      <c r="AU1721" s="17">
        <v>3.4</v>
      </c>
      <c r="AV1721" s="17">
        <v>0</v>
      </c>
      <c r="AW1721" s="10" t="s">
        <v>105</v>
      </c>
      <c r="AX1721" s="17">
        <v>570</v>
      </c>
      <c r="AY1721" s="18">
        <v>16.457515423443635</v>
      </c>
      <c r="AZ1721" s="10" t="s">
        <v>117</v>
      </c>
      <c r="BA1721" s="20" t="b">
        <v>0</v>
      </c>
      <c r="BB1721" s="10"/>
      <c r="BC1721" s="17">
        <v>2684</v>
      </c>
      <c r="BD1721" s="17">
        <v>1783</v>
      </c>
      <c r="BE1721" s="17">
        <v>29343.75</v>
      </c>
      <c r="BF1721" s="17">
        <v>0</v>
      </c>
      <c r="BG1721" s="11">
        <f ca="1">IFERROR(__xludf.DUMMYFUNCTION("""COMPUTED_VALUE"""),45968.125)</f>
        <v>45968.125</v>
      </c>
      <c r="BH1721" s="17" t="s">
        <v>105</v>
      </c>
      <c r="BI1721" s="17"/>
      <c r="BJ1721" s="15"/>
      <c r="BK1721" s="15"/>
      <c r="BL1721" s="13" t="b">
        <v>0</v>
      </c>
      <c r="BM1721" s="10"/>
      <c r="BN1721" s="10" t="s">
        <v>197</v>
      </c>
      <c r="BO1721" s="11">
        <v>45904.304861111108</v>
      </c>
      <c r="BP1721" s="11">
        <v>45957.739976851852</v>
      </c>
      <c r="BQ1721" s="15">
        <v>45965.384768518517</v>
      </c>
      <c r="BR1721" s="15">
        <v>45965.567986111113</v>
      </c>
      <c r="BS1721" s="10" t="s">
        <v>197</v>
      </c>
      <c r="BT1721" s="10" t="s">
        <v>99</v>
      </c>
      <c r="BU1721" s="10" t="s">
        <v>8057</v>
      </c>
      <c r="BV1721" s="10"/>
      <c r="BW1721" s="10"/>
      <c r="BX1721" s="10"/>
      <c r="BY1721" s="23"/>
      <c r="BZ1721" s="23"/>
      <c r="CA1721" s="19" t="s">
        <v>13067</v>
      </c>
      <c r="CB1721" s="19" t="s">
        <v>13068</v>
      </c>
      <c r="CC1721" s="23"/>
      <c r="CD1721" s="19" t="s">
        <v>13069</v>
      </c>
      <c r="CE1721" s="23"/>
      <c r="CF1721" s="23"/>
      <c r="CG1721" s="23"/>
      <c r="CH1721" s="23"/>
      <c r="CI1721" s="23"/>
    </row>
    <row r="1722" spans="1:87" x14ac:dyDescent="0.3">
      <c r="A1722" s="9" t="s">
        <v>13070</v>
      </c>
      <c r="B1722" s="10" t="s">
        <v>13071</v>
      </c>
      <c r="C1722" s="11">
        <v>45968.125</v>
      </c>
      <c r="D1722" s="12">
        <v>8.3333333333333329E-2</v>
      </c>
      <c r="E1722" s="11">
        <v>45968.208333333336</v>
      </c>
      <c r="F1722" s="10" t="s">
        <v>7843</v>
      </c>
      <c r="G1722" s="13" t="b">
        <v>0</v>
      </c>
      <c r="H1722" s="10" t="s">
        <v>5239</v>
      </c>
      <c r="I1722" s="10" t="s">
        <v>89</v>
      </c>
      <c r="J1722" s="13" t="b">
        <v>0</v>
      </c>
      <c r="K1722" s="13" t="b">
        <v>1</v>
      </c>
      <c r="L1722" s="10" t="s">
        <v>124</v>
      </c>
      <c r="M1722" s="10" t="s">
        <v>91</v>
      </c>
      <c r="N1722" s="10" t="s">
        <v>92</v>
      </c>
      <c r="O1722" s="19" t="s">
        <v>13072</v>
      </c>
      <c r="P1722" s="10"/>
      <c r="Q1722" s="10" t="s">
        <v>126</v>
      </c>
      <c r="R1722" s="10"/>
      <c r="S1722" s="19" t="s">
        <v>13073</v>
      </c>
      <c r="T1722" s="19" t="s">
        <v>12970</v>
      </c>
      <c r="U1722" s="10" t="s">
        <v>7837</v>
      </c>
      <c r="V1722" s="10" t="s">
        <v>3581</v>
      </c>
      <c r="W1722" s="10" t="s">
        <v>7848</v>
      </c>
      <c r="X1722" s="10" t="s">
        <v>130</v>
      </c>
      <c r="Y1722" s="10" t="s">
        <v>130</v>
      </c>
      <c r="Z1722" s="10" t="s">
        <v>99</v>
      </c>
      <c r="AA1722" s="10" t="s">
        <v>131</v>
      </c>
      <c r="AB1722" s="10" t="s">
        <v>7849</v>
      </c>
      <c r="AC1722" s="10" t="s">
        <v>3571</v>
      </c>
      <c r="AD1722" s="10" t="s">
        <v>13074</v>
      </c>
      <c r="AE1722" s="10" t="s">
        <v>13075</v>
      </c>
      <c r="AF1722" s="15"/>
      <c r="AG1722" s="10"/>
      <c r="AH1722" s="10"/>
      <c r="AI1722" s="10"/>
      <c r="AJ1722" s="10"/>
      <c r="AK1722" s="10" t="s">
        <v>102</v>
      </c>
      <c r="AL1722" s="10" t="s">
        <v>7897</v>
      </c>
      <c r="AM1722" s="10"/>
      <c r="AN1722" s="10"/>
      <c r="AO1722" s="13" t="b">
        <v>0</v>
      </c>
      <c r="AP1722" s="10" t="s">
        <v>104</v>
      </c>
      <c r="AQ1722" s="10">
        <f ca="1">IFERROR(__xludf.DUMMYFUNCTION("""COMPUTED_VALUE"""),4702075)</f>
        <v>4702075</v>
      </c>
      <c r="AR1722" s="17">
        <v>1610</v>
      </c>
      <c r="AS1722" s="17">
        <v>1091</v>
      </c>
      <c r="AT1722" s="17">
        <v>13394.25</v>
      </c>
      <c r="AU1722" s="17">
        <v>0.5</v>
      </c>
      <c r="AV1722" s="17">
        <v>0.25</v>
      </c>
      <c r="AW1722" s="10" t="s">
        <v>105</v>
      </c>
      <c r="AX1722" s="17">
        <v>339</v>
      </c>
      <c r="AY1722" s="18">
        <v>12.277039413382218</v>
      </c>
      <c r="AZ1722" s="10" t="s">
        <v>117</v>
      </c>
      <c r="BA1722" s="20" t="b">
        <v>0</v>
      </c>
      <c r="BB1722" s="10"/>
      <c r="BC1722" s="17">
        <v>1610</v>
      </c>
      <c r="BD1722" s="17">
        <v>1091</v>
      </c>
      <c r="BE1722" s="17">
        <v>13394.25</v>
      </c>
      <c r="BF1722" s="17">
        <v>0.25</v>
      </c>
      <c r="BG1722" s="11">
        <f ca="1">IFERROR(__xludf.DUMMYFUNCTION("""COMPUTED_VALUE"""),45968.125)</f>
        <v>45968.125</v>
      </c>
      <c r="BH1722" s="17" t="s">
        <v>105</v>
      </c>
      <c r="BI1722" s="17"/>
      <c r="BJ1722" s="15"/>
      <c r="BK1722" s="15"/>
      <c r="BL1722" s="13" t="b">
        <v>0</v>
      </c>
      <c r="BM1722" s="10"/>
      <c r="BN1722" s="10" t="s">
        <v>197</v>
      </c>
      <c r="BO1722" s="11">
        <v>45904.304861111108</v>
      </c>
      <c r="BP1722" s="11">
        <v>45957.740567129629</v>
      </c>
      <c r="BQ1722" s="15">
        <v>45965.38517361111</v>
      </c>
      <c r="BR1722" s="15">
        <v>45965.568124999998</v>
      </c>
      <c r="BS1722" s="10" t="s">
        <v>197</v>
      </c>
      <c r="BT1722" s="10" t="s">
        <v>99</v>
      </c>
      <c r="BU1722" s="10" t="s">
        <v>3752</v>
      </c>
      <c r="BV1722" s="10"/>
      <c r="BW1722" s="10"/>
      <c r="BX1722" s="10"/>
      <c r="BY1722" s="23"/>
      <c r="BZ1722" s="23"/>
      <c r="CA1722" s="19" t="s">
        <v>13076</v>
      </c>
      <c r="CB1722" s="19" t="s">
        <v>13077</v>
      </c>
      <c r="CC1722" s="23"/>
      <c r="CD1722" s="19" t="s">
        <v>13078</v>
      </c>
      <c r="CE1722" s="23"/>
      <c r="CF1722" s="23"/>
      <c r="CG1722" s="23"/>
      <c r="CH1722" s="23"/>
      <c r="CI1722" s="23"/>
    </row>
    <row r="1723" spans="1:87" x14ac:dyDescent="0.3">
      <c r="A1723" s="25" t="s">
        <v>13079</v>
      </c>
      <c r="B1723" s="10" t="s">
        <v>13080</v>
      </c>
      <c r="C1723" s="11">
        <v>45968.125</v>
      </c>
      <c r="D1723" s="12">
        <v>8.3333333333333329E-2</v>
      </c>
      <c r="E1723" s="11">
        <v>45968.208333333336</v>
      </c>
      <c r="F1723" s="10" t="s">
        <v>7843</v>
      </c>
      <c r="G1723" s="13" t="b">
        <v>0</v>
      </c>
      <c r="H1723" s="10" t="s">
        <v>5239</v>
      </c>
      <c r="I1723" s="10" t="s">
        <v>89</v>
      </c>
      <c r="J1723" s="13" t="b">
        <v>0</v>
      </c>
      <c r="K1723" s="13" t="b">
        <v>1</v>
      </c>
      <c r="L1723" s="10" t="s">
        <v>124</v>
      </c>
      <c r="M1723" s="10" t="s">
        <v>91</v>
      </c>
      <c r="N1723" s="10" t="s">
        <v>92</v>
      </c>
      <c r="O1723" s="19" t="s">
        <v>13081</v>
      </c>
      <c r="P1723" s="10"/>
      <c r="Q1723" s="10" t="s">
        <v>94</v>
      </c>
      <c r="R1723" s="10"/>
      <c r="S1723" s="19" t="s">
        <v>13082</v>
      </c>
      <c r="T1723" s="19" t="s">
        <v>12970</v>
      </c>
      <c r="U1723" s="10" t="s">
        <v>3600</v>
      </c>
      <c r="V1723" s="10" t="s">
        <v>12523</v>
      </c>
      <c r="W1723" s="10" t="s">
        <v>7848</v>
      </c>
      <c r="X1723" s="10" t="s">
        <v>130</v>
      </c>
      <c r="Y1723" s="10" t="s">
        <v>130</v>
      </c>
      <c r="Z1723" s="10" t="s">
        <v>99</v>
      </c>
      <c r="AA1723" s="10" t="s">
        <v>131</v>
      </c>
      <c r="AB1723" s="10" t="s">
        <v>7849</v>
      </c>
      <c r="AC1723" s="10" t="s">
        <v>3571</v>
      </c>
      <c r="AD1723" s="10" t="s">
        <v>13083</v>
      </c>
      <c r="AE1723" s="10" t="s">
        <v>13084</v>
      </c>
      <c r="AF1723" s="15"/>
      <c r="AG1723" s="10"/>
      <c r="AH1723" s="10"/>
      <c r="AI1723" s="10"/>
      <c r="AJ1723" s="10"/>
      <c r="AK1723" s="10" t="s">
        <v>102</v>
      </c>
      <c r="AL1723" s="10" t="s">
        <v>7897</v>
      </c>
      <c r="AM1723" s="10"/>
      <c r="AN1723" s="10"/>
      <c r="AO1723" s="13" t="b">
        <v>0</v>
      </c>
      <c r="AP1723" s="10" t="s">
        <v>104</v>
      </c>
      <c r="AQ1723" s="10">
        <f ca="1">IFERROR(__xludf.DUMMYFUNCTION("""COMPUTED_VALUE"""),4702071)</f>
        <v>4702071</v>
      </c>
      <c r="AR1723" s="17">
        <v>769</v>
      </c>
      <c r="AS1723" s="17">
        <v>587</v>
      </c>
      <c r="AT1723" s="17">
        <v>2691.75</v>
      </c>
      <c r="AU1723" s="17">
        <v>0.15</v>
      </c>
      <c r="AV1723" s="17">
        <v>0</v>
      </c>
      <c r="AW1723" s="10" t="s">
        <v>105</v>
      </c>
      <c r="AX1723" s="17">
        <v>108</v>
      </c>
      <c r="AY1723" s="18">
        <v>4.5856047700170359</v>
      </c>
      <c r="AZ1723" s="10" t="s">
        <v>117</v>
      </c>
      <c r="BA1723" s="20" t="b">
        <v>0</v>
      </c>
      <c r="BB1723" s="10"/>
      <c r="BC1723" s="17">
        <v>769</v>
      </c>
      <c r="BD1723" s="17">
        <v>587</v>
      </c>
      <c r="BE1723" s="17">
        <v>2691.75</v>
      </c>
      <c r="BF1723" s="17">
        <v>0</v>
      </c>
      <c r="BG1723" s="11">
        <f ca="1">IFERROR(__xludf.DUMMYFUNCTION("""COMPUTED_VALUE"""),45968.125)</f>
        <v>45968.125</v>
      </c>
      <c r="BH1723" s="17" t="s">
        <v>105</v>
      </c>
      <c r="BI1723" s="17"/>
      <c r="BJ1723" s="15"/>
      <c r="BK1723" s="15"/>
      <c r="BL1723" s="13" t="b">
        <v>0</v>
      </c>
      <c r="BM1723" s="10"/>
      <c r="BN1723" s="10" t="s">
        <v>197</v>
      </c>
      <c r="BO1723" s="11">
        <v>45904.304861111108</v>
      </c>
      <c r="BP1723" s="11">
        <v>45957.740706018521</v>
      </c>
      <c r="BQ1723" s="15">
        <v>45965.384166666663</v>
      </c>
      <c r="BR1723" s="15">
        <v>45965.567615740743</v>
      </c>
      <c r="BS1723" s="10" t="s">
        <v>197</v>
      </c>
      <c r="BT1723" s="10" t="s">
        <v>99</v>
      </c>
      <c r="BU1723" s="10" t="s">
        <v>8497</v>
      </c>
      <c r="BV1723" s="10"/>
      <c r="BW1723" s="10"/>
      <c r="BX1723" s="10"/>
      <c r="BY1723" s="23"/>
      <c r="BZ1723" s="23"/>
      <c r="CA1723" s="19" t="s">
        <v>13085</v>
      </c>
      <c r="CB1723" s="19" t="s">
        <v>13086</v>
      </c>
      <c r="CC1723" s="23"/>
      <c r="CD1723" s="23"/>
      <c r="CE1723" s="23"/>
      <c r="CF1723" s="23"/>
      <c r="CG1723" s="23"/>
      <c r="CH1723" s="23"/>
      <c r="CI1723" s="23"/>
    </row>
    <row r="1724" spans="1:87" x14ac:dyDescent="0.3">
      <c r="A1724" s="9" t="s">
        <v>13087</v>
      </c>
      <c r="B1724" s="10" t="s">
        <v>13088</v>
      </c>
      <c r="C1724" s="11">
        <v>45968.125</v>
      </c>
      <c r="D1724" s="12">
        <v>8.3333333333333329E-2</v>
      </c>
      <c r="E1724" s="11">
        <v>45968.208333333336</v>
      </c>
      <c r="F1724" s="10" t="s">
        <v>7843</v>
      </c>
      <c r="G1724" s="13" t="b">
        <v>0</v>
      </c>
      <c r="H1724" s="10" t="s">
        <v>11460</v>
      </c>
      <c r="I1724" s="10" t="s">
        <v>89</v>
      </c>
      <c r="J1724" s="13" t="b">
        <v>0</v>
      </c>
      <c r="K1724" s="13" t="b">
        <v>1</v>
      </c>
      <c r="L1724" s="10" t="s">
        <v>124</v>
      </c>
      <c r="M1724" s="10" t="s">
        <v>91</v>
      </c>
      <c r="N1724" s="10" t="s">
        <v>92</v>
      </c>
      <c r="O1724" s="19" t="s">
        <v>13089</v>
      </c>
      <c r="P1724" s="10"/>
      <c r="Q1724" s="10" t="s">
        <v>126</v>
      </c>
      <c r="R1724" s="10"/>
      <c r="S1724" s="19" t="s">
        <v>13090</v>
      </c>
      <c r="T1724" s="19" t="s">
        <v>12970</v>
      </c>
      <c r="U1724" s="10" t="s">
        <v>3567</v>
      </c>
      <c r="V1724" s="10" t="s">
        <v>3229</v>
      </c>
      <c r="W1724" s="10" t="s">
        <v>7848</v>
      </c>
      <c r="X1724" s="10" t="s">
        <v>130</v>
      </c>
      <c r="Y1724" s="10" t="s">
        <v>130</v>
      </c>
      <c r="Z1724" s="10" t="s">
        <v>99</v>
      </c>
      <c r="AA1724" s="10" t="s">
        <v>131</v>
      </c>
      <c r="AB1724" s="10" t="s">
        <v>7849</v>
      </c>
      <c r="AC1724" s="10" t="s">
        <v>3571</v>
      </c>
      <c r="AD1724" s="10" t="s">
        <v>13091</v>
      </c>
      <c r="AE1724" s="10" t="s">
        <v>13092</v>
      </c>
      <c r="AF1724" s="15"/>
      <c r="AG1724" s="10"/>
      <c r="AH1724" s="10"/>
      <c r="AI1724" s="10"/>
      <c r="AJ1724" s="10"/>
      <c r="AK1724" s="10" t="s">
        <v>102</v>
      </c>
      <c r="AL1724" s="10" t="s">
        <v>7897</v>
      </c>
      <c r="AM1724" s="10"/>
      <c r="AN1724" s="10"/>
      <c r="AO1724" s="13" t="b">
        <v>1</v>
      </c>
      <c r="AP1724" s="10" t="s">
        <v>104</v>
      </c>
      <c r="AQ1724" s="10">
        <f ca="1">IFERROR(__xludf.DUMMYFUNCTION("""COMPUTED_VALUE"""),4702068)</f>
        <v>4702068</v>
      </c>
      <c r="AR1724" s="17">
        <v>16913</v>
      </c>
      <c r="AS1724" s="17">
        <v>12947</v>
      </c>
      <c r="AT1724" s="17">
        <v>289153.5</v>
      </c>
      <c r="AU1724" s="17">
        <v>38.35</v>
      </c>
      <c r="AV1724" s="17">
        <v>6.35</v>
      </c>
      <c r="AW1724" s="10" t="s">
        <v>105</v>
      </c>
      <c r="AX1724" s="17">
        <v>4900</v>
      </c>
      <c r="AY1724" s="18">
        <v>22.333629412219047</v>
      </c>
      <c r="AZ1724" s="10" t="s">
        <v>117</v>
      </c>
      <c r="BA1724" s="20" t="b">
        <v>0</v>
      </c>
      <c r="BB1724" s="10"/>
      <c r="BC1724" s="17">
        <v>16913</v>
      </c>
      <c r="BD1724" s="17">
        <v>12947</v>
      </c>
      <c r="BE1724" s="17">
        <v>289153.5</v>
      </c>
      <c r="BF1724" s="17">
        <v>6.35</v>
      </c>
      <c r="BG1724" s="11">
        <f ca="1">IFERROR(__xludf.DUMMYFUNCTION("""COMPUTED_VALUE"""),45968.125)</f>
        <v>45968.125</v>
      </c>
      <c r="BH1724" s="17" t="s">
        <v>105</v>
      </c>
      <c r="BI1724" s="17"/>
      <c r="BJ1724" s="15"/>
      <c r="BK1724" s="15"/>
      <c r="BL1724" s="13" t="b">
        <v>0</v>
      </c>
      <c r="BM1724" s="10"/>
      <c r="BN1724" s="10" t="s">
        <v>197</v>
      </c>
      <c r="BO1724" s="11">
        <v>45904.304861111108</v>
      </c>
      <c r="BP1724" s="11">
        <v>45957.740856481483</v>
      </c>
      <c r="BQ1724" s="15">
        <v>45965.38449074074</v>
      </c>
      <c r="BR1724" s="15">
        <v>45965.56287037037</v>
      </c>
      <c r="BS1724" s="10" t="s">
        <v>197</v>
      </c>
      <c r="BT1724" s="10" t="s">
        <v>99</v>
      </c>
      <c r="BU1724" s="10" t="s">
        <v>942</v>
      </c>
      <c r="BV1724" s="10"/>
      <c r="BW1724" s="10"/>
      <c r="BX1724" s="10"/>
      <c r="BY1724" s="23"/>
      <c r="BZ1724" s="23"/>
      <c r="CA1724" s="19" t="s">
        <v>13093</v>
      </c>
      <c r="CB1724" s="19" t="s">
        <v>13094</v>
      </c>
      <c r="CC1724" s="23"/>
      <c r="CD1724" s="19" t="s">
        <v>13095</v>
      </c>
      <c r="CE1724" s="23"/>
      <c r="CF1724" s="23"/>
      <c r="CG1724" s="23"/>
      <c r="CH1724" s="23"/>
      <c r="CI1724" s="23"/>
    </row>
    <row r="1725" spans="1:87" x14ac:dyDescent="0.3">
      <c r="A1725" s="9" t="s">
        <v>13096</v>
      </c>
      <c r="B1725" s="10" t="s">
        <v>13097</v>
      </c>
      <c r="C1725" s="11">
        <v>45968.125</v>
      </c>
      <c r="D1725" s="12">
        <v>8.3333333333333329E-2</v>
      </c>
      <c r="E1725" s="11">
        <v>45968.208333333336</v>
      </c>
      <c r="F1725" s="10" t="s">
        <v>7843</v>
      </c>
      <c r="G1725" s="13" t="b">
        <v>0</v>
      </c>
      <c r="H1725" s="10" t="s">
        <v>5239</v>
      </c>
      <c r="I1725" s="10" t="s">
        <v>89</v>
      </c>
      <c r="J1725" s="13" t="b">
        <v>0</v>
      </c>
      <c r="K1725" s="13" t="b">
        <v>1</v>
      </c>
      <c r="L1725" s="10" t="s">
        <v>124</v>
      </c>
      <c r="M1725" s="10" t="s">
        <v>91</v>
      </c>
      <c r="N1725" s="10" t="s">
        <v>92</v>
      </c>
      <c r="O1725" s="19" t="s">
        <v>13098</v>
      </c>
      <c r="P1725" s="10"/>
      <c r="Q1725" s="10" t="s">
        <v>126</v>
      </c>
      <c r="R1725" s="10"/>
      <c r="S1725" s="19" t="s">
        <v>13099</v>
      </c>
      <c r="T1725" s="19" t="s">
        <v>12970</v>
      </c>
      <c r="U1725" s="10" t="s">
        <v>5102</v>
      </c>
      <c r="V1725" s="10" t="s">
        <v>12634</v>
      </c>
      <c r="W1725" s="10" t="s">
        <v>7848</v>
      </c>
      <c r="X1725" s="10" t="s">
        <v>130</v>
      </c>
      <c r="Y1725" s="10" t="s">
        <v>130</v>
      </c>
      <c r="Z1725" s="10" t="s">
        <v>99</v>
      </c>
      <c r="AA1725" s="10" t="s">
        <v>131</v>
      </c>
      <c r="AB1725" s="10" t="s">
        <v>7849</v>
      </c>
      <c r="AC1725" s="10" t="s">
        <v>3571</v>
      </c>
      <c r="AD1725" s="10" t="s">
        <v>13100</v>
      </c>
      <c r="AE1725" s="10" t="s">
        <v>13101</v>
      </c>
      <c r="AF1725" s="15"/>
      <c r="AG1725" s="10"/>
      <c r="AH1725" s="10"/>
      <c r="AI1725" s="10"/>
      <c r="AJ1725" s="10"/>
      <c r="AK1725" s="10" t="s">
        <v>102</v>
      </c>
      <c r="AL1725" s="10" t="s">
        <v>7897</v>
      </c>
      <c r="AM1725" s="10"/>
      <c r="AN1725" s="10"/>
      <c r="AO1725" s="13" t="b">
        <v>0</v>
      </c>
      <c r="AP1725" s="10" t="s">
        <v>104</v>
      </c>
      <c r="AQ1725" s="10">
        <f ca="1">IFERROR(__xludf.DUMMYFUNCTION("""COMPUTED_VALUE"""),4702073)</f>
        <v>4702073</v>
      </c>
      <c r="AR1725" s="17">
        <v>7803</v>
      </c>
      <c r="AS1725" s="17">
        <v>5930</v>
      </c>
      <c r="AT1725" s="17">
        <v>110657.75</v>
      </c>
      <c r="AU1725" s="17">
        <v>8</v>
      </c>
      <c r="AV1725" s="17">
        <v>2.15</v>
      </c>
      <c r="AW1725" s="10" t="s">
        <v>105</v>
      </c>
      <c r="AX1725" s="17">
        <v>1500</v>
      </c>
      <c r="AY1725" s="18">
        <v>18.660666104553119</v>
      </c>
      <c r="AZ1725" s="10" t="s">
        <v>117</v>
      </c>
      <c r="BA1725" s="20" t="b">
        <v>0</v>
      </c>
      <c r="BB1725" s="10"/>
      <c r="BC1725" s="17">
        <v>7803</v>
      </c>
      <c r="BD1725" s="17">
        <v>5930</v>
      </c>
      <c r="BE1725" s="17">
        <v>110657.75</v>
      </c>
      <c r="BF1725" s="17">
        <v>2.15</v>
      </c>
      <c r="BG1725" s="11">
        <f ca="1">IFERROR(__xludf.DUMMYFUNCTION("""COMPUTED_VALUE"""),45968.125)</f>
        <v>45968.125</v>
      </c>
      <c r="BH1725" s="17" t="s">
        <v>105</v>
      </c>
      <c r="BI1725" s="17"/>
      <c r="BJ1725" s="15"/>
      <c r="BK1725" s="15"/>
      <c r="BL1725" s="13" t="b">
        <v>0</v>
      </c>
      <c r="BM1725" s="10"/>
      <c r="BN1725" s="10" t="s">
        <v>197</v>
      </c>
      <c r="BO1725" s="11">
        <v>45904.304861111108</v>
      </c>
      <c r="BP1725" s="11">
        <v>45957.740995370368</v>
      </c>
      <c r="BQ1725" s="15">
        <v>45965.384629629632</v>
      </c>
      <c r="BR1725" s="15">
        <v>45965.567835648151</v>
      </c>
      <c r="BS1725" s="10" t="s">
        <v>197</v>
      </c>
      <c r="BT1725" s="10" t="s">
        <v>99</v>
      </c>
      <c r="BU1725" s="10" t="s">
        <v>8038</v>
      </c>
      <c r="BV1725" s="10"/>
      <c r="BW1725" s="10"/>
      <c r="BX1725" s="10"/>
      <c r="BY1725" s="23"/>
      <c r="BZ1725" s="23"/>
      <c r="CA1725" s="19" t="s">
        <v>13102</v>
      </c>
      <c r="CB1725" s="19" t="s">
        <v>13103</v>
      </c>
      <c r="CC1725" s="23"/>
      <c r="CD1725" s="19" t="s">
        <v>13104</v>
      </c>
      <c r="CE1725" s="23"/>
      <c r="CF1725" s="23"/>
      <c r="CG1725" s="23"/>
      <c r="CH1725" s="23"/>
      <c r="CI1725" s="23"/>
    </row>
    <row r="1726" spans="1:87" x14ac:dyDescent="0.3">
      <c r="A1726" s="9" t="s">
        <v>13105</v>
      </c>
      <c r="B1726" s="10" t="s">
        <v>13106</v>
      </c>
      <c r="C1726" s="11">
        <v>45968.125</v>
      </c>
      <c r="D1726" s="12">
        <v>8.3333333333333329E-2</v>
      </c>
      <c r="E1726" s="11">
        <v>45968.208333333336</v>
      </c>
      <c r="F1726" s="10" t="s">
        <v>7843</v>
      </c>
      <c r="G1726" s="13" t="b">
        <v>0</v>
      </c>
      <c r="H1726" s="10" t="s">
        <v>5239</v>
      </c>
      <c r="I1726" s="10" t="s">
        <v>89</v>
      </c>
      <c r="J1726" s="13" t="b">
        <v>0</v>
      </c>
      <c r="K1726" s="13" t="b">
        <v>1</v>
      </c>
      <c r="L1726" s="10" t="s">
        <v>124</v>
      </c>
      <c r="M1726" s="10" t="s">
        <v>91</v>
      </c>
      <c r="N1726" s="10" t="s">
        <v>92</v>
      </c>
      <c r="O1726" s="19" t="s">
        <v>13107</v>
      </c>
      <c r="P1726" s="10"/>
      <c r="Q1726" s="10" t="s">
        <v>94</v>
      </c>
      <c r="R1726" s="10"/>
      <c r="S1726" s="19" t="s">
        <v>13108</v>
      </c>
      <c r="T1726" s="19" t="s">
        <v>12970</v>
      </c>
      <c r="U1726" s="10" t="s">
        <v>8065</v>
      </c>
      <c r="V1726" s="10" t="s">
        <v>12644</v>
      </c>
      <c r="W1726" s="10" t="s">
        <v>7848</v>
      </c>
      <c r="X1726" s="10" t="s">
        <v>130</v>
      </c>
      <c r="Y1726" s="10" t="s">
        <v>130</v>
      </c>
      <c r="Z1726" s="10" t="s">
        <v>99</v>
      </c>
      <c r="AA1726" s="10" t="s">
        <v>131</v>
      </c>
      <c r="AB1726" s="10" t="s">
        <v>7849</v>
      </c>
      <c r="AC1726" s="10" t="s">
        <v>3571</v>
      </c>
      <c r="AD1726" s="10" t="s">
        <v>13109</v>
      </c>
      <c r="AE1726" s="10" t="s">
        <v>13110</v>
      </c>
      <c r="AF1726" s="15"/>
      <c r="AG1726" s="10"/>
      <c r="AH1726" s="10"/>
      <c r="AI1726" s="10"/>
      <c r="AJ1726" s="10"/>
      <c r="AK1726" s="10" t="s">
        <v>102</v>
      </c>
      <c r="AL1726" s="10" t="s">
        <v>7897</v>
      </c>
      <c r="AM1726" s="10"/>
      <c r="AN1726" s="10"/>
      <c r="AO1726" s="13" t="b">
        <v>0</v>
      </c>
      <c r="AP1726" s="10" t="s">
        <v>104</v>
      </c>
      <c r="AQ1726" s="10">
        <f ca="1">IFERROR(__xludf.DUMMYFUNCTION("""COMPUTED_VALUE"""),4702070)</f>
        <v>4702070</v>
      </c>
      <c r="AR1726" s="17">
        <v>1016</v>
      </c>
      <c r="AS1726" s="17">
        <v>654</v>
      </c>
      <c r="AT1726" s="17">
        <v>8220.25</v>
      </c>
      <c r="AU1726" s="17">
        <v>1.75</v>
      </c>
      <c r="AV1726" s="17">
        <v>0</v>
      </c>
      <c r="AW1726" s="10" t="s">
        <v>105</v>
      </c>
      <c r="AX1726" s="17">
        <v>179</v>
      </c>
      <c r="AY1726" s="18">
        <v>12.569189602446484</v>
      </c>
      <c r="AZ1726" s="10" t="s">
        <v>117</v>
      </c>
      <c r="BA1726" s="20" t="b">
        <v>0</v>
      </c>
      <c r="BB1726" s="10"/>
      <c r="BC1726" s="17">
        <v>1016</v>
      </c>
      <c r="BD1726" s="17">
        <v>654</v>
      </c>
      <c r="BE1726" s="17">
        <v>8220.25</v>
      </c>
      <c r="BF1726" s="17">
        <v>0</v>
      </c>
      <c r="BG1726" s="11">
        <f ca="1">IFERROR(__xludf.DUMMYFUNCTION("""COMPUTED_VALUE"""),45968.125)</f>
        <v>45968.125</v>
      </c>
      <c r="BH1726" s="17" t="s">
        <v>105</v>
      </c>
      <c r="BI1726" s="17"/>
      <c r="BJ1726" s="15"/>
      <c r="BK1726" s="15"/>
      <c r="BL1726" s="13" t="b">
        <v>0</v>
      </c>
      <c r="BM1726" s="10"/>
      <c r="BN1726" s="10" t="s">
        <v>197</v>
      </c>
      <c r="BO1726" s="11">
        <v>45904.304861111108</v>
      </c>
      <c r="BP1726" s="11">
        <v>45957.741087962961</v>
      </c>
      <c r="BQ1726" s="15">
        <v>45965.384004629632</v>
      </c>
      <c r="BR1726" s="15">
        <v>45965.567476851851</v>
      </c>
      <c r="BS1726" s="10" t="s">
        <v>197</v>
      </c>
      <c r="BT1726" s="10" t="s">
        <v>99</v>
      </c>
      <c r="BU1726" s="10" t="s">
        <v>9114</v>
      </c>
      <c r="BV1726" s="10"/>
      <c r="BW1726" s="10"/>
      <c r="BX1726" s="10"/>
      <c r="BY1726" s="23"/>
      <c r="BZ1726" s="23"/>
      <c r="CA1726" s="19" t="s">
        <v>13111</v>
      </c>
      <c r="CB1726" s="19" t="s">
        <v>13112</v>
      </c>
      <c r="CC1726" s="23"/>
      <c r="CD1726" s="23"/>
      <c r="CE1726" s="23"/>
      <c r="CF1726" s="23"/>
      <c r="CG1726" s="23"/>
      <c r="CH1726" s="23"/>
      <c r="CI1726" s="23"/>
    </row>
    <row r="1727" spans="1:87" x14ac:dyDescent="0.3">
      <c r="A1727" s="9" t="s">
        <v>13113</v>
      </c>
      <c r="B1727" s="10" t="s">
        <v>13114</v>
      </c>
      <c r="C1727" s="11">
        <v>45968.125</v>
      </c>
      <c r="D1727" s="12">
        <v>8.3333333333333329E-2</v>
      </c>
      <c r="E1727" s="11">
        <v>45968.208333333336</v>
      </c>
      <c r="F1727" s="10" t="s">
        <v>7843</v>
      </c>
      <c r="G1727" s="13" t="b">
        <v>0</v>
      </c>
      <c r="H1727" s="10" t="s">
        <v>5239</v>
      </c>
      <c r="I1727" s="10" t="s">
        <v>89</v>
      </c>
      <c r="J1727" s="13" t="b">
        <v>0</v>
      </c>
      <c r="K1727" s="13" t="b">
        <v>1</v>
      </c>
      <c r="L1727" s="10" t="s">
        <v>124</v>
      </c>
      <c r="M1727" s="10" t="s">
        <v>91</v>
      </c>
      <c r="N1727" s="10" t="s">
        <v>92</v>
      </c>
      <c r="O1727" s="19" t="s">
        <v>13115</v>
      </c>
      <c r="P1727" s="10"/>
      <c r="Q1727" s="10" t="s">
        <v>94</v>
      </c>
      <c r="R1727" s="10"/>
      <c r="S1727" s="19" t="s">
        <v>13116</v>
      </c>
      <c r="T1727" s="19" t="s">
        <v>12970</v>
      </c>
      <c r="U1727" s="10" t="s">
        <v>3230</v>
      </c>
      <c r="V1727" s="10" t="s">
        <v>8944</v>
      </c>
      <c r="W1727" s="10" t="s">
        <v>7848</v>
      </c>
      <c r="X1727" s="10" t="s">
        <v>130</v>
      </c>
      <c r="Y1727" s="10" t="s">
        <v>130</v>
      </c>
      <c r="Z1727" s="10" t="s">
        <v>99</v>
      </c>
      <c r="AA1727" s="10" t="s">
        <v>131</v>
      </c>
      <c r="AB1727" s="10" t="s">
        <v>7849</v>
      </c>
      <c r="AC1727" s="10" t="s">
        <v>3571</v>
      </c>
      <c r="AD1727" s="10" t="s">
        <v>13117</v>
      </c>
      <c r="AE1727" s="10" t="s">
        <v>13118</v>
      </c>
      <c r="AF1727" s="15"/>
      <c r="AG1727" s="10"/>
      <c r="AH1727" s="10"/>
      <c r="AI1727" s="10"/>
      <c r="AJ1727" s="10"/>
      <c r="AK1727" s="10" t="s">
        <v>102</v>
      </c>
      <c r="AL1727" s="10" t="s">
        <v>7897</v>
      </c>
      <c r="AM1727" s="10"/>
      <c r="AN1727" s="10"/>
      <c r="AO1727" s="13" t="b">
        <v>0</v>
      </c>
      <c r="AP1727" s="10" t="s">
        <v>104</v>
      </c>
      <c r="AQ1727" s="10">
        <f ca="1">IFERROR(__xludf.DUMMYFUNCTION("""COMPUTED_VALUE"""),4702069)</f>
        <v>4702069</v>
      </c>
      <c r="AR1727" s="17">
        <v>2917</v>
      </c>
      <c r="AS1727" s="17">
        <v>1998</v>
      </c>
      <c r="AT1727" s="17">
        <v>18858.75</v>
      </c>
      <c r="AU1727" s="17">
        <v>0.65</v>
      </c>
      <c r="AV1727" s="17">
        <v>0.5</v>
      </c>
      <c r="AW1727" s="10" t="s">
        <v>105</v>
      </c>
      <c r="AX1727" s="17">
        <v>576</v>
      </c>
      <c r="AY1727" s="18">
        <v>9.4388138138138142</v>
      </c>
      <c r="AZ1727" s="10" t="s">
        <v>117</v>
      </c>
      <c r="BA1727" s="20" t="b">
        <v>0</v>
      </c>
      <c r="BB1727" s="10"/>
      <c r="BC1727" s="17">
        <v>2917</v>
      </c>
      <c r="BD1727" s="17">
        <v>1998</v>
      </c>
      <c r="BE1727" s="17">
        <v>18858.75</v>
      </c>
      <c r="BF1727" s="17">
        <v>0.5</v>
      </c>
      <c r="BG1727" s="11">
        <f ca="1">IFERROR(__xludf.DUMMYFUNCTION("""COMPUTED_VALUE"""),45968.125)</f>
        <v>45968.125</v>
      </c>
      <c r="BH1727" s="17" t="s">
        <v>105</v>
      </c>
      <c r="BI1727" s="17"/>
      <c r="BJ1727" s="15"/>
      <c r="BK1727" s="15"/>
      <c r="BL1727" s="13" t="b">
        <v>0</v>
      </c>
      <c r="BM1727" s="10"/>
      <c r="BN1727" s="10" t="s">
        <v>197</v>
      </c>
      <c r="BO1727" s="11">
        <v>45904.304861111108</v>
      </c>
      <c r="BP1727" s="11">
        <v>45957.741157407407</v>
      </c>
      <c r="BQ1727" s="15">
        <v>45965.38386574074</v>
      </c>
      <c r="BR1727" s="15">
        <v>45965.567349537036</v>
      </c>
      <c r="BS1727" s="10" t="s">
        <v>197</v>
      </c>
      <c r="BT1727" s="10" t="s">
        <v>99</v>
      </c>
      <c r="BU1727" s="10" t="s">
        <v>11615</v>
      </c>
      <c r="BV1727" s="10"/>
      <c r="BW1727" s="10"/>
      <c r="BX1727" s="10"/>
      <c r="BY1727" s="23"/>
      <c r="BZ1727" s="23"/>
      <c r="CA1727" s="19" t="s">
        <v>13119</v>
      </c>
      <c r="CB1727" s="19" t="s">
        <v>13120</v>
      </c>
      <c r="CC1727" s="23"/>
      <c r="CD1727" s="23"/>
      <c r="CE1727" s="23"/>
      <c r="CF1727" s="23"/>
      <c r="CG1727" s="23"/>
      <c r="CH1727" s="23"/>
      <c r="CI1727" s="23"/>
    </row>
    <row r="1728" spans="1:87" x14ac:dyDescent="0.3">
      <c r="A1728" s="9" t="s">
        <v>13121</v>
      </c>
      <c r="B1728" s="10" t="s">
        <v>13122</v>
      </c>
      <c r="C1728" s="11">
        <v>45989.03125</v>
      </c>
      <c r="D1728" s="12">
        <v>8.3333333333333329E-2</v>
      </c>
      <c r="E1728" s="11">
        <v>45989.114583333336</v>
      </c>
      <c r="F1728" s="10" t="s">
        <v>7843</v>
      </c>
      <c r="G1728" s="13" t="b">
        <v>0</v>
      </c>
      <c r="H1728" s="10" t="s">
        <v>3578</v>
      </c>
      <c r="I1728" s="10" t="s">
        <v>89</v>
      </c>
      <c r="J1728" s="13" t="b">
        <v>0</v>
      </c>
      <c r="K1728" s="13" t="b">
        <v>1</v>
      </c>
      <c r="L1728" s="10" t="s">
        <v>124</v>
      </c>
      <c r="M1728" s="10" t="s">
        <v>91</v>
      </c>
      <c r="N1728" s="10" t="s">
        <v>92</v>
      </c>
      <c r="O1728" s="19" t="s">
        <v>13123</v>
      </c>
      <c r="P1728" s="10"/>
      <c r="Q1728" s="10" t="s">
        <v>126</v>
      </c>
      <c r="R1728" s="10"/>
      <c r="S1728" s="19" t="s">
        <v>13124</v>
      </c>
      <c r="T1728" s="19" t="s">
        <v>13125</v>
      </c>
      <c r="U1728" s="10" t="s">
        <v>292</v>
      </c>
      <c r="V1728" s="10" t="s">
        <v>12662</v>
      </c>
      <c r="W1728" s="10" t="s">
        <v>7848</v>
      </c>
      <c r="X1728" s="10" t="s">
        <v>130</v>
      </c>
      <c r="Y1728" s="10" t="s">
        <v>130</v>
      </c>
      <c r="Z1728" s="10" t="s">
        <v>99</v>
      </c>
      <c r="AA1728" s="10" t="s">
        <v>131</v>
      </c>
      <c r="AB1728" s="10" t="s">
        <v>7849</v>
      </c>
      <c r="AC1728" s="10" t="s">
        <v>3571</v>
      </c>
      <c r="AD1728" s="10" t="s">
        <v>13126</v>
      </c>
      <c r="AE1728" s="10" t="s">
        <v>13127</v>
      </c>
      <c r="AF1728" s="15"/>
      <c r="AG1728" s="10"/>
      <c r="AH1728" s="10"/>
      <c r="AI1728" s="10"/>
      <c r="AJ1728" s="10"/>
      <c r="AK1728" s="10" t="s">
        <v>102</v>
      </c>
      <c r="AL1728" s="10" t="s">
        <v>7897</v>
      </c>
      <c r="AM1728" s="10"/>
      <c r="AN1728" s="10"/>
      <c r="AO1728" s="13" t="b">
        <v>0</v>
      </c>
      <c r="AP1728" s="10" t="s">
        <v>104</v>
      </c>
      <c r="AQ1728" s="10">
        <f ca="1">IFERROR(__xludf.DUMMYFUNCTION("""COMPUTED_VALUE"""),4733541)</f>
        <v>4733541</v>
      </c>
      <c r="AR1728" s="17">
        <v>6898</v>
      </c>
      <c r="AS1728" s="17">
        <v>4764</v>
      </c>
      <c r="AT1728" s="17">
        <v>156977</v>
      </c>
      <c r="AU1728" s="17">
        <v>11.8</v>
      </c>
      <c r="AV1728" s="17">
        <v>1.5</v>
      </c>
      <c r="AW1728" s="10" t="s">
        <v>105</v>
      </c>
      <c r="AX1728" s="17">
        <v>1590</v>
      </c>
      <c r="AY1728" s="18">
        <v>32.950671704450045</v>
      </c>
      <c r="AZ1728" s="10" t="s">
        <v>117</v>
      </c>
      <c r="BA1728" s="20" t="b">
        <v>0</v>
      </c>
      <c r="BB1728" s="10"/>
      <c r="BC1728" s="17">
        <v>6898</v>
      </c>
      <c r="BD1728" s="17">
        <v>4764</v>
      </c>
      <c r="BE1728" s="17">
        <v>156977</v>
      </c>
      <c r="BF1728" s="17">
        <v>1.5</v>
      </c>
      <c r="BG1728" s="11">
        <f ca="1">IFERROR(__xludf.DUMMYFUNCTION("""COMPUTED_VALUE"""),45989.03125)</f>
        <v>45989.03125</v>
      </c>
      <c r="BH1728" s="17" t="s">
        <v>105</v>
      </c>
      <c r="BI1728" s="17"/>
      <c r="BJ1728" s="15"/>
      <c r="BK1728" s="15"/>
      <c r="BL1728" s="13" t="b">
        <v>0</v>
      </c>
      <c r="BM1728" s="10"/>
      <c r="BN1728" s="10" t="s">
        <v>157</v>
      </c>
      <c r="BO1728" s="11">
        <v>45904.304861111108</v>
      </c>
      <c r="BP1728" s="11">
        <v>45978.618287037039</v>
      </c>
      <c r="BQ1728" s="15">
        <v>45983.493900462963</v>
      </c>
      <c r="BR1728" s="15">
        <v>45985.424953703703</v>
      </c>
      <c r="BS1728" s="10" t="s">
        <v>157</v>
      </c>
      <c r="BT1728" s="10" t="s">
        <v>99</v>
      </c>
      <c r="BU1728" s="10" t="s">
        <v>8013</v>
      </c>
      <c r="BV1728" s="10"/>
      <c r="BW1728" s="10"/>
      <c r="BX1728" s="10"/>
      <c r="BY1728" s="23"/>
      <c r="BZ1728" s="23"/>
      <c r="CA1728" s="19" t="s">
        <v>13128</v>
      </c>
      <c r="CB1728" s="19" t="s">
        <v>13129</v>
      </c>
      <c r="CC1728" s="23"/>
      <c r="CD1728" s="19" t="s">
        <v>13130</v>
      </c>
      <c r="CE1728" s="23"/>
      <c r="CF1728" s="23"/>
      <c r="CG1728" s="23"/>
      <c r="CH1728" s="23"/>
      <c r="CI1728" s="23"/>
    </row>
    <row r="1729" spans="1:87" x14ac:dyDescent="0.3">
      <c r="A1729" s="9" t="s">
        <v>13131</v>
      </c>
      <c r="B1729" s="10" t="s">
        <v>13132</v>
      </c>
      <c r="C1729" s="11">
        <v>45989.03125</v>
      </c>
      <c r="D1729" s="12">
        <v>8.3333333333333329E-2</v>
      </c>
      <c r="E1729" s="11">
        <v>45989.114583333336</v>
      </c>
      <c r="F1729" s="10" t="s">
        <v>7843</v>
      </c>
      <c r="G1729" s="13" t="b">
        <v>0</v>
      </c>
      <c r="H1729" s="10" t="s">
        <v>5239</v>
      </c>
      <c r="I1729" s="10" t="s">
        <v>89</v>
      </c>
      <c r="J1729" s="13" t="b">
        <v>0</v>
      </c>
      <c r="K1729" s="13" t="b">
        <v>1</v>
      </c>
      <c r="L1729" s="10" t="s">
        <v>124</v>
      </c>
      <c r="M1729" s="10" t="s">
        <v>91</v>
      </c>
      <c r="N1729" s="10" t="s">
        <v>92</v>
      </c>
      <c r="O1729" s="19" t="s">
        <v>13133</v>
      </c>
      <c r="P1729" s="10"/>
      <c r="Q1729" s="10" t="s">
        <v>126</v>
      </c>
      <c r="R1729" s="10"/>
      <c r="S1729" s="19" t="s">
        <v>13134</v>
      </c>
      <c r="T1729" s="19" t="s">
        <v>13125</v>
      </c>
      <c r="U1729" s="10" t="s">
        <v>3581</v>
      </c>
      <c r="V1729" s="10" t="s">
        <v>3600</v>
      </c>
      <c r="W1729" s="10" t="s">
        <v>7848</v>
      </c>
      <c r="X1729" s="10" t="s">
        <v>130</v>
      </c>
      <c r="Y1729" s="10" t="s">
        <v>130</v>
      </c>
      <c r="Z1729" s="10" t="s">
        <v>99</v>
      </c>
      <c r="AA1729" s="10" t="s">
        <v>131</v>
      </c>
      <c r="AB1729" s="10" t="s">
        <v>7849</v>
      </c>
      <c r="AC1729" s="10" t="s">
        <v>3571</v>
      </c>
      <c r="AD1729" s="10" t="s">
        <v>13135</v>
      </c>
      <c r="AE1729" s="10" t="s">
        <v>13136</v>
      </c>
      <c r="AF1729" s="15"/>
      <c r="AG1729" s="10"/>
      <c r="AH1729" s="10"/>
      <c r="AI1729" s="10"/>
      <c r="AJ1729" s="10"/>
      <c r="AK1729" s="10" t="s">
        <v>102</v>
      </c>
      <c r="AL1729" s="10" t="s">
        <v>7897</v>
      </c>
      <c r="AM1729" s="10"/>
      <c r="AN1729" s="10"/>
      <c r="AO1729" s="13" t="b">
        <v>0</v>
      </c>
      <c r="AP1729" s="10" t="s">
        <v>104</v>
      </c>
      <c r="AQ1729" s="10">
        <f ca="1">IFERROR(__xludf.DUMMYFUNCTION("""COMPUTED_VALUE"""),4734914)</f>
        <v>4734914</v>
      </c>
      <c r="AR1729" s="17">
        <v>3874</v>
      </c>
      <c r="AS1729" s="17">
        <v>2467</v>
      </c>
      <c r="AT1729" s="17">
        <v>42996.25</v>
      </c>
      <c r="AU1729" s="17">
        <v>5.55</v>
      </c>
      <c r="AV1729" s="17">
        <v>1.55</v>
      </c>
      <c r="AW1729" s="10" t="s">
        <v>105</v>
      </c>
      <c r="AX1729" s="17">
        <v>777</v>
      </c>
      <c r="AY1729" s="18">
        <v>17.428556951763277</v>
      </c>
      <c r="AZ1729" s="10" t="s">
        <v>117</v>
      </c>
      <c r="BA1729" s="20" t="b">
        <v>0</v>
      </c>
      <c r="BB1729" s="10"/>
      <c r="BC1729" s="17">
        <v>3874</v>
      </c>
      <c r="BD1729" s="17">
        <v>2467</v>
      </c>
      <c r="BE1729" s="17">
        <v>42996.25</v>
      </c>
      <c r="BF1729" s="17">
        <v>1.55</v>
      </c>
      <c r="BG1729" s="11">
        <f ca="1">IFERROR(__xludf.DUMMYFUNCTION("""COMPUTED_VALUE"""),45989.03125)</f>
        <v>45989.03125</v>
      </c>
      <c r="BH1729" s="17" t="s">
        <v>105</v>
      </c>
      <c r="BI1729" s="17"/>
      <c r="BJ1729" s="15"/>
      <c r="BK1729" s="15"/>
      <c r="BL1729" s="13" t="b">
        <v>0</v>
      </c>
      <c r="BM1729" s="10"/>
      <c r="BN1729" s="10" t="s">
        <v>157</v>
      </c>
      <c r="BO1729" s="11">
        <v>45904.304861111108</v>
      </c>
      <c r="BP1729" s="11">
        <v>45978.618414351855</v>
      </c>
      <c r="BQ1729" s="15">
        <v>45983.494027777779</v>
      </c>
      <c r="BR1729" s="15">
        <v>45986.463645833333</v>
      </c>
      <c r="BS1729" s="10" t="s">
        <v>157</v>
      </c>
      <c r="BT1729" s="10" t="s">
        <v>99</v>
      </c>
      <c r="BU1729" s="10" t="s">
        <v>6732</v>
      </c>
      <c r="BV1729" s="10"/>
      <c r="BW1729" s="10"/>
      <c r="BX1729" s="10"/>
      <c r="BY1729" s="23"/>
      <c r="BZ1729" s="23"/>
      <c r="CA1729" s="19" t="s">
        <v>13137</v>
      </c>
      <c r="CB1729" s="19" t="s">
        <v>13138</v>
      </c>
      <c r="CC1729" s="23"/>
      <c r="CD1729" s="19" t="s">
        <v>13139</v>
      </c>
      <c r="CE1729" s="23"/>
      <c r="CF1729" s="23"/>
      <c r="CG1729" s="23"/>
      <c r="CH1729" s="23"/>
      <c r="CI1729" s="23"/>
    </row>
    <row r="1730" spans="1:87" x14ac:dyDescent="0.3">
      <c r="A1730" s="9" t="s">
        <v>13140</v>
      </c>
      <c r="B1730" s="10" t="s">
        <v>13141</v>
      </c>
      <c r="C1730" s="11">
        <v>45989.03125</v>
      </c>
      <c r="D1730" s="12">
        <v>8.3333333333333329E-2</v>
      </c>
      <c r="E1730" s="11">
        <v>45989.114583333336</v>
      </c>
      <c r="F1730" s="10" t="s">
        <v>7843</v>
      </c>
      <c r="G1730" s="13" t="b">
        <v>0</v>
      </c>
      <c r="H1730" s="10" t="s">
        <v>5239</v>
      </c>
      <c r="I1730" s="10" t="s">
        <v>89</v>
      </c>
      <c r="J1730" s="13" t="b">
        <v>0</v>
      </c>
      <c r="K1730" s="13" t="b">
        <v>1</v>
      </c>
      <c r="L1730" s="10" t="s">
        <v>124</v>
      </c>
      <c r="M1730" s="10" t="s">
        <v>91</v>
      </c>
      <c r="N1730" s="10" t="s">
        <v>92</v>
      </c>
      <c r="O1730" s="19" t="s">
        <v>13142</v>
      </c>
      <c r="P1730" s="10"/>
      <c r="Q1730" s="10" t="s">
        <v>94</v>
      </c>
      <c r="R1730" s="10"/>
      <c r="S1730" s="19" t="s">
        <v>13143</v>
      </c>
      <c r="T1730" s="19" t="s">
        <v>13125</v>
      </c>
      <c r="U1730" s="10" t="s">
        <v>7837</v>
      </c>
      <c r="V1730" s="10" t="s">
        <v>12549</v>
      </c>
      <c r="W1730" s="10" t="s">
        <v>7848</v>
      </c>
      <c r="X1730" s="10" t="s">
        <v>130</v>
      </c>
      <c r="Y1730" s="10" t="s">
        <v>130</v>
      </c>
      <c r="Z1730" s="10" t="s">
        <v>99</v>
      </c>
      <c r="AA1730" s="10" t="s">
        <v>131</v>
      </c>
      <c r="AB1730" s="10" t="s">
        <v>7849</v>
      </c>
      <c r="AC1730" s="10" t="s">
        <v>3571</v>
      </c>
      <c r="AD1730" s="10" t="s">
        <v>13144</v>
      </c>
      <c r="AE1730" s="10" t="s">
        <v>13145</v>
      </c>
      <c r="AF1730" s="15"/>
      <c r="AG1730" s="10"/>
      <c r="AH1730" s="10"/>
      <c r="AI1730" s="10"/>
      <c r="AJ1730" s="10"/>
      <c r="AK1730" s="10" t="s">
        <v>102</v>
      </c>
      <c r="AL1730" s="10" t="s">
        <v>7897</v>
      </c>
      <c r="AM1730" s="10"/>
      <c r="AN1730" s="10"/>
      <c r="AO1730" s="13" t="b">
        <v>0</v>
      </c>
      <c r="AP1730" s="10" t="s">
        <v>104</v>
      </c>
      <c r="AQ1730" s="10">
        <f ca="1">IFERROR(__xludf.DUMMYFUNCTION("""COMPUTED_VALUE"""),4734924)</f>
        <v>4734924</v>
      </c>
      <c r="AR1730" s="17">
        <v>1069</v>
      </c>
      <c r="AS1730" s="17">
        <v>660</v>
      </c>
      <c r="AT1730" s="17">
        <v>10060</v>
      </c>
      <c r="AU1730" s="17">
        <v>1.35</v>
      </c>
      <c r="AV1730" s="17">
        <v>0.6</v>
      </c>
      <c r="AW1730" s="10" t="s">
        <v>105</v>
      </c>
      <c r="AX1730" s="17">
        <v>167</v>
      </c>
      <c r="AY1730" s="18">
        <v>15.242424242424242</v>
      </c>
      <c r="AZ1730" s="10" t="s">
        <v>117</v>
      </c>
      <c r="BA1730" s="20" t="b">
        <v>0</v>
      </c>
      <c r="BB1730" s="10"/>
      <c r="BC1730" s="17">
        <v>1069</v>
      </c>
      <c r="BD1730" s="17">
        <v>660</v>
      </c>
      <c r="BE1730" s="17">
        <v>10060</v>
      </c>
      <c r="BF1730" s="17">
        <v>0.6</v>
      </c>
      <c r="BG1730" s="11">
        <f ca="1">IFERROR(__xludf.DUMMYFUNCTION("""COMPUTED_VALUE"""),45989.03125)</f>
        <v>45989.03125</v>
      </c>
      <c r="BH1730" s="17" t="s">
        <v>105</v>
      </c>
      <c r="BI1730" s="17"/>
      <c r="BJ1730" s="15"/>
      <c r="BK1730" s="15"/>
      <c r="BL1730" s="13" t="b">
        <v>0</v>
      </c>
      <c r="BM1730" s="10"/>
      <c r="BN1730" s="10" t="s">
        <v>157</v>
      </c>
      <c r="BO1730" s="11">
        <v>45904.304861111108</v>
      </c>
      <c r="BP1730" s="11">
        <v>45978.618530092594</v>
      </c>
      <c r="BQ1730" s="15">
        <v>45983.494872685187</v>
      </c>
      <c r="BR1730" s="15">
        <v>45986.464965277781</v>
      </c>
      <c r="BS1730" s="10" t="s">
        <v>157</v>
      </c>
      <c r="BT1730" s="10" t="s">
        <v>99</v>
      </c>
      <c r="BU1730" s="10" t="s">
        <v>11615</v>
      </c>
      <c r="BV1730" s="10"/>
      <c r="BW1730" s="10"/>
      <c r="BX1730" s="10"/>
      <c r="BY1730" s="23"/>
      <c r="BZ1730" s="23"/>
      <c r="CA1730" s="19" t="s">
        <v>13146</v>
      </c>
      <c r="CB1730" s="19" t="s">
        <v>13147</v>
      </c>
      <c r="CC1730" s="23"/>
      <c r="CD1730" s="23"/>
      <c r="CE1730" s="23"/>
      <c r="CF1730" s="23"/>
      <c r="CG1730" s="23"/>
      <c r="CH1730" s="23"/>
      <c r="CI1730" s="23"/>
    </row>
    <row r="1731" spans="1:87" x14ac:dyDescent="0.3">
      <c r="A1731" s="9" t="s">
        <v>13148</v>
      </c>
      <c r="B1731" s="10" t="s">
        <v>13149</v>
      </c>
      <c r="C1731" s="11">
        <v>45989.03125</v>
      </c>
      <c r="D1731" s="12">
        <v>8.3333333333333329E-2</v>
      </c>
      <c r="E1731" s="11">
        <v>45989.114583333336</v>
      </c>
      <c r="F1731" s="10" t="s">
        <v>7843</v>
      </c>
      <c r="G1731" s="13" t="b">
        <v>0</v>
      </c>
      <c r="H1731" s="10" t="s">
        <v>3564</v>
      </c>
      <c r="I1731" s="10" t="s">
        <v>89</v>
      </c>
      <c r="J1731" s="13" t="b">
        <v>0</v>
      </c>
      <c r="K1731" s="13" t="b">
        <v>1</v>
      </c>
      <c r="L1731" s="10" t="s">
        <v>124</v>
      </c>
      <c r="M1731" s="10" t="s">
        <v>91</v>
      </c>
      <c r="N1731" s="10" t="s">
        <v>92</v>
      </c>
      <c r="O1731" s="19" t="s">
        <v>13150</v>
      </c>
      <c r="P1731" s="10"/>
      <c r="Q1731" s="10" t="s">
        <v>126</v>
      </c>
      <c r="R1731" s="10"/>
      <c r="S1731" s="19" t="s">
        <v>13151</v>
      </c>
      <c r="T1731" s="19" t="s">
        <v>13125</v>
      </c>
      <c r="U1731" s="10" t="s">
        <v>7870</v>
      </c>
      <c r="V1731" s="10" t="s">
        <v>7821</v>
      </c>
      <c r="W1731" s="10" t="s">
        <v>7848</v>
      </c>
      <c r="X1731" s="10" t="s">
        <v>130</v>
      </c>
      <c r="Y1731" s="10" t="s">
        <v>130</v>
      </c>
      <c r="Z1731" s="10" t="s">
        <v>99</v>
      </c>
      <c r="AA1731" s="10" t="s">
        <v>131</v>
      </c>
      <c r="AB1731" s="10" t="s">
        <v>7849</v>
      </c>
      <c r="AC1731" s="10" t="s">
        <v>3571</v>
      </c>
      <c r="AD1731" s="10" t="s">
        <v>13152</v>
      </c>
      <c r="AE1731" s="10" t="s">
        <v>13153</v>
      </c>
      <c r="AF1731" s="15"/>
      <c r="AG1731" s="10"/>
      <c r="AH1731" s="10"/>
      <c r="AI1731" s="10"/>
      <c r="AJ1731" s="10"/>
      <c r="AK1731" s="10" t="s">
        <v>102</v>
      </c>
      <c r="AL1731" s="10" t="s">
        <v>7897</v>
      </c>
      <c r="AM1731" s="10"/>
      <c r="AN1731" s="10"/>
      <c r="AO1731" s="13" t="b">
        <v>0</v>
      </c>
      <c r="AP1731" s="10" t="s">
        <v>104</v>
      </c>
      <c r="AQ1731" s="10">
        <f ca="1">IFERROR(__xludf.DUMMYFUNCTION("""COMPUTED_VALUE"""),4733518)</f>
        <v>4733518</v>
      </c>
      <c r="AR1731" s="17">
        <v>2291</v>
      </c>
      <c r="AS1731" s="17">
        <v>1684</v>
      </c>
      <c r="AT1731" s="17">
        <v>24641</v>
      </c>
      <c r="AU1731" s="17">
        <v>3</v>
      </c>
      <c r="AV1731" s="17">
        <v>0</v>
      </c>
      <c r="AW1731" s="10" t="s">
        <v>105</v>
      </c>
      <c r="AX1731" s="17">
        <v>321</v>
      </c>
      <c r="AY1731" s="18">
        <v>14.632422802850357</v>
      </c>
      <c r="AZ1731" s="10" t="s">
        <v>117</v>
      </c>
      <c r="BA1731" s="20" t="b">
        <v>0</v>
      </c>
      <c r="BB1731" s="10"/>
      <c r="BC1731" s="17">
        <v>2291</v>
      </c>
      <c r="BD1731" s="17">
        <v>1684</v>
      </c>
      <c r="BE1731" s="17">
        <v>24641</v>
      </c>
      <c r="BF1731" s="17">
        <v>0</v>
      </c>
      <c r="BG1731" s="11">
        <f ca="1">IFERROR(__xludf.DUMMYFUNCTION("""COMPUTED_VALUE"""),45989.03125)</f>
        <v>45989.03125</v>
      </c>
      <c r="BH1731" s="17" t="s">
        <v>105</v>
      </c>
      <c r="BI1731" s="17"/>
      <c r="BJ1731" s="15"/>
      <c r="BK1731" s="15"/>
      <c r="BL1731" s="13" t="b">
        <v>0</v>
      </c>
      <c r="BM1731" s="10"/>
      <c r="BN1731" s="10" t="s">
        <v>157</v>
      </c>
      <c r="BO1731" s="11">
        <v>45904.304861111108</v>
      </c>
      <c r="BP1731" s="11">
        <v>45978.618576388886</v>
      </c>
      <c r="BQ1731" s="15">
        <v>45983.494629629633</v>
      </c>
      <c r="BR1731" s="15">
        <v>45985.425127314818</v>
      </c>
      <c r="BS1731" s="10" t="s">
        <v>157</v>
      </c>
      <c r="BT1731" s="10" t="s">
        <v>99</v>
      </c>
      <c r="BU1731" s="10" t="s">
        <v>5492</v>
      </c>
      <c r="BV1731" s="10"/>
      <c r="BW1731" s="10"/>
      <c r="BX1731" s="10"/>
      <c r="BY1731" s="23"/>
      <c r="BZ1731" s="23"/>
      <c r="CA1731" s="19" t="s">
        <v>13154</v>
      </c>
      <c r="CB1731" s="19" t="s">
        <v>13155</v>
      </c>
      <c r="CC1731" s="23"/>
      <c r="CD1731" s="19" t="s">
        <v>13156</v>
      </c>
      <c r="CE1731" s="23"/>
      <c r="CF1731" s="23"/>
      <c r="CG1731" s="23"/>
      <c r="CH1731" s="23"/>
      <c r="CI1731" s="23"/>
    </row>
    <row r="1732" spans="1:87" x14ac:dyDescent="0.3">
      <c r="A1732" s="9" t="s">
        <v>13157</v>
      </c>
      <c r="B1732" s="10" t="s">
        <v>13158</v>
      </c>
      <c r="C1732" s="11">
        <v>45989.03125</v>
      </c>
      <c r="D1732" s="12">
        <v>8.3333333333333329E-2</v>
      </c>
      <c r="E1732" s="11">
        <v>45989.114583333336</v>
      </c>
      <c r="F1732" s="10" t="s">
        <v>7843</v>
      </c>
      <c r="G1732" s="13" t="b">
        <v>0</v>
      </c>
      <c r="H1732" s="10" t="s">
        <v>5239</v>
      </c>
      <c r="I1732" s="10" t="s">
        <v>89</v>
      </c>
      <c r="J1732" s="13" t="b">
        <v>0</v>
      </c>
      <c r="K1732" s="13" t="b">
        <v>1</v>
      </c>
      <c r="L1732" s="10" t="s">
        <v>124</v>
      </c>
      <c r="M1732" s="10" t="s">
        <v>91</v>
      </c>
      <c r="N1732" s="10" t="s">
        <v>92</v>
      </c>
      <c r="O1732" s="19" t="s">
        <v>13159</v>
      </c>
      <c r="P1732" s="10"/>
      <c r="Q1732" s="10" t="s">
        <v>94</v>
      </c>
      <c r="R1732" s="10"/>
      <c r="S1732" s="19" t="s">
        <v>13160</v>
      </c>
      <c r="T1732" s="19" t="s">
        <v>13125</v>
      </c>
      <c r="U1732" s="10" t="s">
        <v>3690</v>
      </c>
      <c r="V1732" s="10" t="s">
        <v>8547</v>
      </c>
      <c r="W1732" s="10" t="s">
        <v>7848</v>
      </c>
      <c r="X1732" s="10" t="s">
        <v>130</v>
      </c>
      <c r="Y1732" s="10" t="s">
        <v>130</v>
      </c>
      <c r="Z1732" s="10" t="s">
        <v>99</v>
      </c>
      <c r="AA1732" s="10" t="s">
        <v>131</v>
      </c>
      <c r="AB1732" s="10" t="s">
        <v>7849</v>
      </c>
      <c r="AC1732" s="10" t="s">
        <v>3571</v>
      </c>
      <c r="AD1732" s="10" t="s">
        <v>13161</v>
      </c>
      <c r="AE1732" s="10" t="s">
        <v>13162</v>
      </c>
      <c r="AF1732" s="15"/>
      <c r="AG1732" s="10"/>
      <c r="AH1732" s="10"/>
      <c r="AI1732" s="10"/>
      <c r="AJ1732" s="10"/>
      <c r="AK1732" s="10" t="s">
        <v>102</v>
      </c>
      <c r="AL1732" s="10" t="s">
        <v>7897</v>
      </c>
      <c r="AM1732" s="10"/>
      <c r="AN1732" s="10"/>
      <c r="AO1732" s="13" t="b">
        <v>0</v>
      </c>
      <c r="AP1732" s="10" t="s">
        <v>104</v>
      </c>
      <c r="AQ1732" s="10">
        <f ca="1">IFERROR(__xludf.DUMMYFUNCTION("""COMPUTED_VALUE"""),4734916)</f>
        <v>4734916</v>
      </c>
      <c r="AR1732" s="17">
        <v>3034</v>
      </c>
      <c r="AS1732" s="17">
        <v>2080</v>
      </c>
      <c r="AT1732" s="17">
        <v>30797</v>
      </c>
      <c r="AU1732" s="17">
        <v>5.6</v>
      </c>
      <c r="AV1732" s="17">
        <v>1.9</v>
      </c>
      <c r="AW1732" s="10" t="s">
        <v>105</v>
      </c>
      <c r="AX1732" s="17">
        <v>431</v>
      </c>
      <c r="AY1732" s="18">
        <v>14.80625</v>
      </c>
      <c r="AZ1732" s="10" t="s">
        <v>117</v>
      </c>
      <c r="BA1732" s="20" t="b">
        <v>0</v>
      </c>
      <c r="BB1732" s="10"/>
      <c r="BC1732" s="17">
        <v>3034</v>
      </c>
      <c r="BD1732" s="17">
        <v>2080</v>
      </c>
      <c r="BE1732" s="17">
        <v>30797</v>
      </c>
      <c r="BF1732" s="17">
        <v>1.9</v>
      </c>
      <c r="BG1732" s="11">
        <f ca="1">IFERROR(__xludf.DUMMYFUNCTION("""COMPUTED_VALUE"""),45989.03125)</f>
        <v>45989.03125</v>
      </c>
      <c r="BH1732" s="17" t="s">
        <v>105</v>
      </c>
      <c r="BI1732" s="17"/>
      <c r="BJ1732" s="15"/>
      <c r="BK1732" s="15"/>
      <c r="BL1732" s="13" t="b">
        <v>0</v>
      </c>
      <c r="BM1732" s="10"/>
      <c r="BN1732" s="10" t="s">
        <v>157</v>
      </c>
      <c r="BO1732" s="11">
        <v>45904.304861111108</v>
      </c>
      <c r="BP1732" s="11">
        <v>45978.618668981479</v>
      </c>
      <c r="BQ1732" s="15">
        <v>45983.49417824074</v>
      </c>
      <c r="BR1732" s="15">
        <v>45986.463969907411</v>
      </c>
      <c r="BS1732" s="10" t="s">
        <v>157</v>
      </c>
      <c r="BT1732" s="10" t="s">
        <v>99</v>
      </c>
      <c r="BU1732" s="10" t="s">
        <v>3752</v>
      </c>
      <c r="BV1732" s="10"/>
      <c r="BW1732" s="10"/>
      <c r="BX1732" s="10"/>
      <c r="BY1732" s="23"/>
      <c r="BZ1732" s="23"/>
      <c r="CA1732" s="19" t="s">
        <v>13163</v>
      </c>
      <c r="CB1732" s="19" t="s">
        <v>13164</v>
      </c>
      <c r="CC1732" s="23"/>
      <c r="CD1732" s="23"/>
      <c r="CE1732" s="23"/>
      <c r="CF1732" s="23"/>
      <c r="CG1732" s="23"/>
      <c r="CH1732" s="23"/>
      <c r="CI1732" s="23"/>
    </row>
    <row r="1733" spans="1:87" x14ac:dyDescent="0.3">
      <c r="A1733" s="9" t="s">
        <v>13165</v>
      </c>
      <c r="B1733" s="10" t="s">
        <v>13166</v>
      </c>
      <c r="C1733" s="11">
        <v>45989.03125</v>
      </c>
      <c r="D1733" s="12">
        <v>8.3333333333333329E-2</v>
      </c>
      <c r="E1733" s="11">
        <v>45989.114583333336</v>
      </c>
      <c r="F1733" s="10" t="s">
        <v>7843</v>
      </c>
      <c r="G1733" s="13" t="b">
        <v>0</v>
      </c>
      <c r="H1733" s="10" t="s">
        <v>5239</v>
      </c>
      <c r="I1733" s="10" t="s">
        <v>89</v>
      </c>
      <c r="J1733" s="13" t="b">
        <v>0</v>
      </c>
      <c r="K1733" s="13" t="b">
        <v>1</v>
      </c>
      <c r="L1733" s="10" t="s">
        <v>124</v>
      </c>
      <c r="M1733" s="10" t="s">
        <v>91</v>
      </c>
      <c r="N1733" s="10" t="s">
        <v>92</v>
      </c>
      <c r="O1733" s="19" t="s">
        <v>13167</v>
      </c>
      <c r="P1733" s="10"/>
      <c r="Q1733" s="10" t="s">
        <v>94</v>
      </c>
      <c r="R1733" s="10"/>
      <c r="S1733" s="19" t="s">
        <v>13168</v>
      </c>
      <c r="T1733" s="19" t="s">
        <v>13125</v>
      </c>
      <c r="U1733" s="10" t="s">
        <v>12523</v>
      </c>
      <c r="V1733" s="10" t="s">
        <v>5066</v>
      </c>
      <c r="W1733" s="10" t="s">
        <v>7848</v>
      </c>
      <c r="X1733" s="10" t="s">
        <v>130</v>
      </c>
      <c r="Y1733" s="10" t="s">
        <v>130</v>
      </c>
      <c r="Z1733" s="10" t="s">
        <v>99</v>
      </c>
      <c r="AA1733" s="10" t="s">
        <v>131</v>
      </c>
      <c r="AB1733" s="10" t="s">
        <v>7849</v>
      </c>
      <c r="AC1733" s="10" t="s">
        <v>3571</v>
      </c>
      <c r="AD1733" s="10" t="s">
        <v>13169</v>
      </c>
      <c r="AE1733" s="10" t="s">
        <v>13170</v>
      </c>
      <c r="AF1733" s="15"/>
      <c r="AG1733" s="10"/>
      <c r="AH1733" s="10"/>
      <c r="AI1733" s="10"/>
      <c r="AJ1733" s="10"/>
      <c r="AK1733" s="10" t="s">
        <v>102</v>
      </c>
      <c r="AL1733" s="10" t="s">
        <v>7897</v>
      </c>
      <c r="AM1733" s="10"/>
      <c r="AN1733" s="10"/>
      <c r="AO1733" s="13" t="b">
        <v>0</v>
      </c>
      <c r="AP1733" s="10" t="s">
        <v>104</v>
      </c>
      <c r="AQ1733" s="10">
        <f ca="1">IFERROR(__xludf.DUMMYFUNCTION("""COMPUTED_VALUE"""),4734920)</f>
        <v>4734920</v>
      </c>
      <c r="AR1733" s="17">
        <v>2039</v>
      </c>
      <c r="AS1733" s="17">
        <v>1307</v>
      </c>
      <c r="AT1733" s="17">
        <v>18365.25</v>
      </c>
      <c r="AU1733" s="17">
        <v>3.45</v>
      </c>
      <c r="AV1733" s="17">
        <v>0.5</v>
      </c>
      <c r="AW1733" s="10" t="s">
        <v>105</v>
      </c>
      <c r="AX1733" s="17">
        <v>315</v>
      </c>
      <c r="AY1733" s="18">
        <v>14.051453710788063</v>
      </c>
      <c r="AZ1733" s="10" t="s">
        <v>117</v>
      </c>
      <c r="BA1733" s="20" t="b">
        <v>0</v>
      </c>
      <c r="BB1733" s="10"/>
      <c r="BC1733" s="17">
        <v>2039</v>
      </c>
      <c r="BD1733" s="17">
        <v>1307</v>
      </c>
      <c r="BE1733" s="17">
        <v>18365.25</v>
      </c>
      <c r="BF1733" s="17">
        <v>0.5</v>
      </c>
      <c r="BG1733" s="11">
        <f ca="1">IFERROR(__xludf.DUMMYFUNCTION("""COMPUTED_VALUE"""),45989.03125)</f>
        <v>45989.03125</v>
      </c>
      <c r="BH1733" s="17" t="s">
        <v>105</v>
      </c>
      <c r="BI1733" s="17"/>
      <c r="BJ1733" s="15"/>
      <c r="BK1733" s="15"/>
      <c r="BL1733" s="13" t="b">
        <v>0</v>
      </c>
      <c r="BM1733" s="10"/>
      <c r="BN1733" s="10" t="s">
        <v>157</v>
      </c>
      <c r="BO1733" s="11">
        <v>45904.304861111108</v>
      </c>
      <c r="BP1733" s="11">
        <v>45978.618738425925</v>
      </c>
      <c r="BQ1733" s="15">
        <v>45983.494398148148</v>
      </c>
      <c r="BR1733" s="15">
        <v>45986.464502314811</v>
      </c>
      <c r="BS1733" s="10" t="s">
        <v>157</v>
      </c>
      <c r="BT1733" s="10" t="s">
        <v>99</v>
      </c>
      <c r="BU1733" s="10" t="s">
        <v>9200</v>
      </c>
      <c r="BV1733" s="10"/>
      <c r="BW1733" s="10"/>
      <c r="BX1733" s="10"/>
      <c r="BY1733" s="23"/>
      <c r="BZ1733" s="23"/>
      <c r="CA1733" s="19" t="s">
        <v>13171</v>
      </c>
      <c r="CB1733" s="19" t="s">
        <v>13172</v>
      </c>
      <c r="CC1733" s="23"/>
      <c r="CD1733" s="23"/>
      <c r="CE1733" s="23"/>
      <c r="CF1733" s="23"/>
      <c r="CG1733" s="23"/>
      <c r="CH1733" s="23"/>
      <c r="CI1733" s="23"/>
    </row>
    <row r="1734" spans="1:87" x14ac:dyDescent="0.3">
      <c r="A1734" s="9" t="s">
        <v>13173</v>
      </c>
      <c r="B1734" s="10" t="s">
        <v>13174</v>
      </c>
      <c r="C1734" s="11">
        <v>45989.03125</v>
      </c>
      <c r="D1734" s="12">
        <v>8.3333333333333329E-2</v>
      </c>
      <c r="E1734" s="11">
        <v>45989.114583333336</v>
      </c>
      <c r="F1734" s="10" t="s">
        <v>7843</v>
      </c>
      <c r="G1734" s="13" t="b">
        <v>0</v>
      </c>
      <c r="H1734" s="10" t="s">
        <v>11460</v>
      </c>
      <c r="I1734" s="10" t="s">
        <v>89</v>
      </c>
      <c r="J1734" s="13" t="b">
        <v>0</v>
      </c>
      <c r="K1734" s="13" t="b">
        <v>1</v>
      </c>
      <c r="L1734" s="10" t="s">
        <v>124</v>
      </c>
      <c r="M1734" s="10" t="s">
        <v>91</v>
      </c>
      <c r="N1734" s="10" t="s">
        <v>92</v>
      </c>
      <c r="O1734" s="19" t="s">
        <v>13175</v>
      </c>
      <c r="P1734" s="10"/>
      <c r="Q1734" s="10" t="s">
        <v>126</v>
      </c>
      <c r="R1734" s="10"/>
      <c r="S1734" s="19" t="s">
        <v>13176</v>
      </c>
      <c r="T1734" s="19" t="s">
        <v>13125</v>
      </c>
      <c r="U1734" s="10" t="s">
        <v>3229</v>
      </c>
      <c r="V1734" s="10" t="s">
        <v>12504</v>
      </c>
      <c r="W1734" s="10" t="s">
        <v>7848</v>
      </c>
      <c r="X1734" s="10" t="s">
        <v>130</v>
      </c>
      <c r="Y1734" s="10" t="s">
        <v>130</v>
      </c>
      <c r="Z1734" s="10" t="s">
        <v>99</v>
      </c>
      <c r="AA1734" s="10" t="s">
        <v>131</v>
      </c>
      <c r="AB1734" s="10" t="s">
        <v>7849</v>
      </c>
      <c r="AC1734" s="10" t="s">
        <v>3571</v>
      </c>
      <c r="AD1734" s="10" t="s">
        <v>13177</v>
      </c>
      <c r="AE1734" s="10" t="s">
        <v>13178</v>
      </c>
      <c r="AF1734" s="15"/>
      <c r="AG1734" s="10"/>
      <c r="AH1734" s="10"/>
      <c r="AI1734" s="10"/>
      <c r="AJ1734" s="10"/>
      <c r="AK1734" s="10" t="s">
        <v>102</v>
      </c>
      <c r="AL1734" s="10" t="s">
        <v>7897</v>
      </c>
      <c r="AM1734" s="10"/>
      <c r="AN1734" s="10"/>
      <c r="AO1734" s="13" t="b">
        <v>1</v>
      </c>
      <c r="AP1734" s="10" t="s">
        <v>104</v>
      </c>
      <c r="AQ1734" s="10">
        <f ca="1">IFERROR(__xludf.DUMMYFUNCTION("""COMPUTED_VALUE"""),4733530)</f>
        <v>4733530</v>
      </c>
      <c r="AR1734" s="17">
        <v>28800</v>
      </c>
      <c r="AS1734" s="17">
        <v>22015</v>
      </c>
      <c r="AT1734" s="17">
        <v>782449</v>
      </c>
      <c r="AU1734" s="17">
        <v>102.8</v>
      </c>
      <c r="AV1734" s="17">
        <v>11.45</v>
      </c>
      <c r="AW1734" s="10" t="s">
        <v>105</v>
      </c>
      <c r="AX1734" s="17">
        <v>6050</v>
      </c>
      <c r="AY1734" s="18">
        <v>35.541630706336591</v>
      </c>
      <c r="AZ1734" s="10" t="s">
        <v>117</v>
      </c>
      <c r="BA1734" s="20" t="b">
        <v>0</v>
      </c>
      <c r="BB1734" s="10"/>
      <c r="BC1734" s="17">
        <v>28800</v>
      </c>
      <c r="BD1734" s="17">
        <v>22015</v>
      </c>
      <c r="BE1734" s="17">
        <v>782449</v>
      </c>
      <c r="BF1734" s="17">
        <v>11.45</v>
      </c>
      <c r="BG1734" s="11">
        <f ca="1">IFERROR(__xludf.DUMMYFUNCTION("""COMPUTED_VALUE"""),45989.03125)</f>
        <v>45989.03125</v>
      </c>
      <c r="BH1734" s="17" t="s">
        <v>105</v>
      </c>
      <c r="BI1734" s="17"/>
      <c r="BJ1734" s="15"/>
      <c r="BK1734" s="15"/>
      <c r="BL1734" s="13" t="b">
        <v>0</v>
      </c>
      <c r="BM1734" s="10"/>
      <c r="BN1734" s="10" t="s">
        <v>157</v>
      </c>
      <c r="BO1734" s="11">
        <v>45904.304861111108</v>
      </c>
      <c r="BP1734" s="11">
        <v>45979.732719907406</v>
      </c>
      <c r="BQ1734" s="15">
        <v>45983.494756944441</v>
      </c>
      <c r="BR1734" s="15">
        <v>45985.419606481482</v>
      </c>
      <c r="BS1734" s="10" t="s">
        <v>157</v>
      </c>
      <c r="BT1734" s="10" t="s">
        <v>99</v>
      </c>
      <c r="BU1734" s="10" t="s">
        <v>13179</v>
      </c>
      <c r="BV1734" s="10"/>
      <c r="BW1734" s="10"/>
      <c r="BX1734" s="10"/>
      <c r="BY1734" s="23"/>
      <c r="BZ1734" s="23"/>
      <c r="CA1734" s="19" t="s">
        <v>13180</v>
      </c>
      <c r="CB1734" s="19" t="s">
        <v>13181</v>
      </c>
      <c r="CC1734" s="23"/>
      <c r="CD1734" s="19" t="s">
        <v>13182</v>
      </c>
      <c r="CE1734" s="23"/>
      <c r="CF1734" s="23"/>
      <c r="CG1734" s="23"/>
      <c r="CH1734" s="23"/>
      <c r="CI1734" s="23"/>
    </row>
    <row r="1735" spans="1:87" x14ac:dyDescent="0.3">
      <c r="A1735" s="9" t="s">
        <v>13183</v>
      </c>
      <c r="B1735" s="10" t="s">
        <v>13184</v>
      </c>
      <c r="C1735" s="11">
        <v>45989.03125</v>
      </c>
      <c r="D1735" s="12">
        <v>8.3333333333333329E-2</v>
      </c>
      <c r="E1735" s="11">
        <v>45989.114583333336</v>
      </c>
      <c r="F1735" s="10" t="s">
        <v>7843</v>
      </c>
      <c r="G1735" s="13" t="b">
        <v>0</v>
      </c>
      <c r="H1735" s="10" t="s">
        <v>5239</v>
      </c>
      <c r="I1735" s="10" t="s">
        <v>89</v>
      </c>
      <c r="J1735" s="13" t="b">
        <v>0</v>
      </c>
      <c r="K1735" s="13" t="b">
        <v>1</v>
      </c>
      <c r="L1735" s="10" t="s">
        <v>124</v>
      </c>
      <c r="M1735" s="10" t="s">
        <v>91</v>
      </c>
      <c r="N1735" s="10" t="s">
        <v>92</v>
      </c>
      <c r="O1735" s="19" t="s">
        <v>13185</v>
      </c>
      <c r="P1735" s="10"/>
      <c r="Q1735" s="10" t="s">
        <v>126</v>
      </c>
      <c r="R1735" s="10"/>
      <c r="S1735" s="19" t="s">
        <v>13186</v>
      </c>
      <c r="T1735" s="19" t="s">
        <v>13125</v>
      </c>
      <c r="U1735" s="10" t="s">
        <v>12596</v>
      </c>
      <c r="V1735" s="10" t="s">
        <v>12559</v>
      </c>
      <c r="W1735" s="10" t="s">
        <v>7848</v>
      </c>
      <c r="X1735" s="10" t="s">
        <v>130</v>
      </c>
      <c r="Y1735" s="10" t="s">
        <v>130</v>
      </c>
      <c r="Z1735" s="10" t="s">
        <v>99</v>
      </c>
      <c r="AA1735" s="10" t="s">
        <v>131</v>
      </c>
      <c r="AB1735" s="10" t="s">
        <v>7849</v>
      </c>
      <c r="AC1735" s="10" t="s">
        <v>3571</v>
      </c>
      <c r="AD1735" s="10" t="s">
        <v>13187</v>
      </c>
      <c r="AE1735" s="10" t="s">
        <v>13188</v>
      </c>
      <c r="AF1735" s="15"/>
      <c r="AG1735" s="10"/>
      <c r="AH1735" s="10"/>
      <c r="AI1735" s="10"/>
      <c r="AJ1735" s="10"/>
      <c r="AK1735" s="10" t="s">
        <v>102</v>
      </c>
      <c r="AL1735" s="10" t="s">
        <v>7897</v>
      </c>
      <c r="AM1735" s="10"/>
      <c r="AN1735" s="10"/>
      <c r="AO1735" s="13" t="b">
        <v>1</v>
      </c>
      <c r="AP1735" s="10" t="s">
        <v>104</v>
      </c>
      <c r="AQ1735" s="10">
        <f ca="1">IFERROR(__xludf.DUMMYFUNCTION("""COMPUTED_VALUE"""),4734918)</f>
        <v>4734918</v>
      </c>
      <c r="AR1735" s="17">
        <v>9878</v>
      </c>
      <c r="AS1735" s="17">
        <v>7841</v>
      </c>
      <c r="AT1735" s="17">
        <v>134908.5</v>
      </c>
      <c r="AU1735" s="17">
        <v>13.6</v>
      </c>
      <c r="AV1735" s="17">
        <v>4.5</v>
      </c>
      <c r="AW1735" s="10" t="s">
        <v>105</v>
      </c>
      <c r="AX1735" s="17">
        <v>1410</v>
      </c>
      <c r="AY1735" s="18">
        <v>17.205522254814436</v>
      </c>
      <c r="AZ1735" s="10" t="s">
        <v>117</v>
      </c>
      <c r="BA1735" s="20" t="b">
        <v>0</v>
      </c>
      <c r="BB1735" s="10"/>
      <c r="BC1735" s="17">
        <v>9878</v>
      </c>
      <c r="BD1735" s="17">
        <v>7841</v>
      </c>
      <c r="BE1735" s="17">
        <v>134908.5</v>
      </c>
      <c r="BF1735" s="17">
        <v>4.5</v>
      </c>
      <c r="BG1735" s="11">
        <f ca="1">IFERROR(__xludf.DUMMYFUNCTION("""COMPUTED_VALUE"""),45989.03125)</f>
        <v>45989.03125</v>
      </c>
      <c r="BH1735" s="17" t="s">
        <v>105</v>
      </c>
      <c r="BI1735" s="17"/>
      <c r="BJ1735" s="15"/>
      <c r="BK1735" s="15"/>
      <c r="BL1735" s="13" t="b">
        <v>0</v>
      </c>
      <c r="BM1735" s="10"/>
      <c r="BN1735" s="10" t="s">
        <v>157</v>
      </c>
      <c r="BO1735" s="11">
        <v>45904.304861111108</v>
      </c>
      <c r="BP1735" s="11">
        <v>45978.61886574074</v>
      </c>
      <c r="BQ1735" s="15">
        <v>45983.494293981479</v>
      </c>
      <c r="BR1735" s="15">
        <v>45986.464247685188</v>
      </c>
      <c r="BS1735" s="10" t="s">
        <v>157</v>
      </c>
      <c r="BT1735" s="10" t="s">
        <v>99</v>
      </c>
      <c r="BU1735" s="10" t="s">
        <v>9114</v>
      </c>
      <c r="BV1735" s="10" t="s">
        <v>124</v>
      </c>
      <c r="BW1735" s="10" t="s">
        <v>12860</v>
      </c>
      <c r="BX1735" s="10"/>
      <c r="BY1735" s="23"/>
      <c r="BZ1735" s="23"/>
      <c r="CA1735" s="19" t="s">
        <v>13189</v>
      </c>
      <c r="CB1735" s="19" t="s">
        <v>13190</v>
      </c>
      <c r="CC1735" s="23"/>
      <c r="CD1735" s="19" t="s">
        <v>13191</v>
      </c>
      <c r="CE1735" s="23"/>
      <c r="CF1735" s="23"/>
      <c r="CG1735" s="23"/>
      <c r="CH1735" s="23"/>
      <c r="CI1735" s="23"/>
    </row>
    <row r="1736" spans="1:87" x14ac:dyDescent="0.3">
      <c r="A1736" s="9" t="s">
        <v>13192</v>
      </c>
      <c r="B1736" s="10" t="s">
        <v>13193</v>
      </c>
      <c r="C1736" s="11">
        <v>45989.03125</v>
      </c>
      <c r="D1736" s="12">
        <v>8.3333333333333329E-2</v>
      </c>
      <c r="E1736" s="11">
        <v>45989.114583333336</v>
      </c>
      <c r="F1736" s="10" t="s">
        <v>7843</v>
      </c>
      <c r="G1736" s="13" t="b">
        <v>0</v>
      </c>
      <c r="H1736" s="10" t="s">
        <v>5239</v>
      </c>
      <c r="I1736" s="10" t="s">
        <v>89</v>
      </c>
      <c r="J1736" s="13" t="b">
        <v>0</v>
      </c>
      <c r="K1736" s="13" t="b">
        <v>1</v>
      </c>
      <c r="L1736" s="10" t="s">
        <v>124</v>
      </c>
      <c r="M1736" s="10" t="s">
        <v>91</v>
      </c>
      <c r="N1736" s="10" t="s">
        <v>92</v>
      </c>
      <c r="O1736" s="19" t="s">
        <v>13194</v>
      </c>
      <c r="P1736" s="10"/>
      <c r="Q1736" s="10" t="s">
        <v>94</v>
      </c>
      <c r="R1736" s="10"/>
      <c r="S1736" s="19" t="s">
        <v>13195</v>
      </c>
      <c r="T1736" s="19" t="s">
        <v>13125</v>
      </c>
      <c r="U1736" s="10" t="s">
        <v>7846</v>
      </c>
      <c r="V1736" s="10" t="s">
        <v>8944</v>
      </c>
      <c r="W1736" s="10" t="s">
        <v>7848</v>
      </c>
      <c r="X1736" s="10" t="s">
        <v>130</v>
      </c>
      <c r="Y1736" s="10" t="s">
        <v>130</v>
      </c>
      <c r="Z1736" s="10" t="s">
        <v>99</v>
      </c>
      <c r="AA1736" s="10" t="s">
        <v>131</v>
      </c>
      <c r="AB1736" s="10" t="s">
        <v>7849</v>
      </c>
      <c r="AC1736" s="10" t="s">
        <v>3571</v>
      </c>
      <c r="AD1736" s="10" t="s">
        <v>13196</v>
      </c>
      <c r="AE1736" s="10" t="s">
        <v>13197</v>
      </c>
      <c r="AF1736" s="15"/>
      <c r="AG1736" s="10"/>
      <c r="AH1736" s="10"/>
      <c r="AI1736" s="10"/>
      <c r="AJ1736" s="10"/>
      <c r="AK1736" s="10" t="s">
        <v>102</v>
      </c>
      <c r="AL1736" s="10" t="s">
        <v>7897</v>
      </c>
      <c r="AM1736" s="10"/>
      <c r="AN1736" s="10"/>
      <c r="AO1736" s="13" t="b">
        <v>0</v>
      </c>
      <c r="AP1736" s="10" t="s">
        <v>104</v>
      </c>
      <c r="AQ1736" s="10">
        <f ca="1">IFERROR(__xludf.DUMMYFUNCTION("""COMPUTED_VALUE"""),4734922)</f>
        <v>4734922</v>
      </c>
      <c r="AR1736" s="17">
        <v>1166</v>
      </c>
      <c r="AS1736" s="17">
        <v>702</v>
      </c>
      <c r="AT1736" s="17">
        <v>7140.5</v>
      </c>
      <c r="AU1736" s="17">
        <v>0</v>
      </c>
      <c r="AV1736" s="17">
        <v>0</v>
      </c>
      <c r="AW1736" s="10" t="s">
        <v>105</v>
      </c>
      <c r="AX1736" s="17">
        <v>144</v>
      </c>
      <c r="AY1736" s="18">
        <v>10.171652421652421</v>
      </c>
      <c r="AZ1736" s="10" t="s">
        <v>117</v>
      </c>
      <c r="BA1736" s="20" t="b">
        <v>0</v>
      </c>
      <c r="BB1736" s="10"/>
      <c r="BC1736" s="17">
        <v>1166</v>
      </c>
      <c r="BD1736" s="17">
        <v>702</v>
      </c>
      <c r="BE1736" s="17">
        <v>7140.5</v>
      </c>
      <c r="BF1736" s="17">
        <v>0</v>
      </c>
      <c r="BG1736" s="11">
        <f ca="1">IFERROR(__xludf.DUMMYFUNCTION("""COMPUTED_VALUE"""),45989.03125)</f>
        <v>45989.03125</v>
      </c>
      <c r="BH1736" s="17" t="s">
        <v>105</v>
      </c>
      <c r="BI1736" s="17"/>
      <c r="BJ1736" s="15"/>
      <c r="BK1736" s="15"/>
      <c r="BL1736" s="13" t="b">
        <v>0</v>
      </c>
      <c r="BM1736" s="10"/>
      <c r="BN1736" s="10" t="s">
        <v>157</v>
      </c>
      <c r="BO1736" s="11">
        <v>45904.304861111108</v>
      </c>
      <c r="BP1736" s="11">
        <v>45978.61891203704</v>
      </c>
      <c r="BQ1736" s="15">
        <v>45983.494525462964</v>
      </c>
      <c r="BR1736" s="15">
        <v>45986.464722222219</v>
      </c>
      <c r="BS1736" s="10" t="s">
        <v>157</v>
      </c>
      <c r="BT1736" s="10" t="s">
        <v>99</v>
      </c>
      <c r="BU1736" s="10" t="s">
        <v>6753</v>
      </c>
      <c r="BV1736" s="10"/>
      <c r="BW1736" s="10"/>
      <c r="BX1736" s="10"/>
      <c r="BY1736" s="23"/>
      <c r="BZ1736" s="23"/>
      <c r="CA1736" s="19" t="s">
        <v>13198</v>
      </c>
      <c r="CB1736" s="19" t="s">
        <v>13199</v>
      </c>
      <c r="CC1736" s="23"/>
      <c r="CD1736" s="23"/>
      <c r="CE1736" s="23"/>
      <c r="CF1736" s="23"/>
      <c r="CG1736" s="23"/>
      <c r="CH1736" s="23"/>
      <c r="CI1736" s="23"/>
    </row>
    <row r="1737" spans="1:87" x14ac:dyDescent="0.3">
      <c r="A1737" s="9" t="s">
        <v>13200</v>
      </c>
      <c r="B1737" s="10" t="s">
        <v>11995</v>
      </c>
      <c r="C1737" s="11">
        <v>45967.125</v>
      </c>
      <c r="D1737" s="12">
        <v>8.3333333333333329E-2</v>
      </c>
      <c r="E1737" s="11">
        <v>45967.208333333336</v>
      </c>
      <c r="F1737" s="10" t="s">
        <v>3563</v>
      </c>
      <c r="G1737" s="13" t="b">
        <v>0</v>
      </c>
      <c r="H1737" s="10" t="s">
        <v>3578</v>
      </c>
      <c r="I1737" s="10" t="s">
        <v>89</v>
      </c>
      <c r="J1737" s="13" t="b">
        <v>0</v>
      </c>
      <c r="K1737" s="13" t="b">
        <v>1</v>
      </c>
      <c r="L1737" s="10" t="s">
        <v>124</v>
      </c>
      <c r="M1737" s="10" t="s">
        <v>91</v>
      </c>
      <c r="N1737" s="10" t="s">
        <v>92</v>
      </c>
      <c r="O1737" s="10"/>
      <c r="P1737" s="10"/>
      <c r="Q1737" s="10" t="s">
        <v>126</v>
      </c>
      <c r="R1737" s="10"/>
      <c r="S1737" s="10"/>
      <c r="T1737" s="10"/>
      <c r="U1737" s="10" t="s">
        <v>3568</v>
      </c>
      <c r="V1737" s="10" t="s">
        <v>5042</v>
      </c>
      <c r="W1737" s="10" t="s">
        <v>3569</v>
      </c>
      <c r="X1737" s="10" t="s">
        <v>130</v>
      </c>
      <c r="Y1737" s="10" t="s">
        <v>130</v>
      </c>
      <c r="Z1737" s="10" t="s">
        <v>99</v>
      </c>
      <c r="AA1737" s="10" t="s">
        <v>131</v>
      </c>
      <c r="AB1737" s="10" t="s">
        <v>3570</v>
      </c>
      <c r="AC1737" s="10" t="s">
        <v>3571</v>
      </c>
      <c r="AD1737" s="10" t="s">
        <v>11998</v>
      </c>
      <c r="AE1737" s="10" t="s">
        <v>11999</v>
      </c>
      <c r="AF1737" s="15"/>
      <c r="AG1737" s="10"/>
      <c r="AH1737" s="10"/>
      <c r="AI1737" s="10"/>
      <c r="AJ1737" s="10"/>
      <c r="AK1737" s="10" t="s">
        <v>256</v>
      </c>
      <c r="AL1737" s="10" t="s">
        <v>7897</v>
      </c>
      <c r="AM1737" s="10"/>
      <c r="AN1737" s="10"/>
      <c r="AO1737" s="13" t="b">
        <v>1</v>
      </c>
      <c r="AP1737" s="10" t="s">
        <v>104</v>
      </c>
      <c r="AQ1737" s="10"/>
      <c r="AR1737" s="17"/>
      <c r="AS1737" s="17"/>
      <c r="AT1737" s="17"/>
      <c r="AU1737" s="17"/>
      <c r="AV1737" s="17"/>
      <c r="AW1737" s="10"/>
      <c r="AX1737" s="17"/>
      <c r="AY1737" s="18" t="s">
        <v>257</v>
      </c>
      <c r="AZ1737" s="10"/>
      <c r="BA1737" s="20" t="b">
        <v>0</v>
      </c>
      <c r="BB1737" s="10"/>
      <c r="BC1737" s="17" t="s">
        <v>257</v>
      </c>
      <c r="BD1737" s="17" t="s">
        <v>257</v>
      </c>
      <c r="BE1737" s="17" t="s">
        <v>257</v>
      </c>
      <c r="BF1737" s="17" t="s">
        <v>257</v>
      </c>
      <c r="BG1737" s="11">
        <f ca="1">IFERROR(__xludf.DUMMYFUNCTION("""COMPUTED_VALUE"""),45967.125)</f>
        <v>45967.125</v>
      </c>
      <c r="BH1737" s="17"/>
      <c r="BI1737" s="17"/>
      <c r="BJ1737" s="15"/>
      <c r="BK1737" s="15"/>
      <c r="BL1737" s="13" t="b">
        <v>0</v>
      </c>
      <c r="BM1737" s="10"/>
      <c r="BN1737" s="10" t="s">
        <v>223</v>
      </c>
      <c r="BO1737" s="11">
        <v>45904.299305555556</v>
      </c>
      <c r="BP1737" s="11">
        <v>45959.56144675926</v>
      </c>
      <c r="BQ1737" s="15"/>
      <c r="BR1737" s="15"/>
      <c r="BS1737" s="10"/>
      <c r="BT1737" s="10" t="s">
        <v>99</v>
      </c>
      <c r="BU1737" s="10"/>
      <c r="BV1737" s="10"/>
      <c r="BW1737" s="10"/>
      <c r="BX1737" s="10"/>
      <c r="BY1737" s="23"/>
      <c r="BZ1737" s="23"/>
      <c r="CA1737" s="23"/>
      <c r="CB1737" s="23"/>
      <c r="CC1737" s="23"/>
      <c r="CD1737" s="23"/>
      <c r="CE1737" s="23"/>
      <c r="CF1737" s="23"/>
      <c r="CG1737" s="23"/>
      <c r="CH1737" s="23"/>
      <c r="CI1737" s="23"/>
    </row>
    <row r="1738" spans="1:87" x14ac:dyDescent="0.3">
      <c r="A1738" s="9" t="s">
        <v>13201</v>
      </c>
      <c r="B1738" s="10" t="s">
        <v>13202</v>
      </c>
      <c r="C1738" s="11">
        <v>45989.125</v>
      </c>
      <c r="D1738" s="12">
        <v>8.3333333333333329E-2</v>
      </c>
      <c r="E1738" s="11">
        <v>45989.208333333336</v>
      </c>
      <c r="F1738" s="10" t="s">
        <v>7843</v>
      </c>
      <c r="G1738" s="13" t="b">
        <v>0</v>
      </c>
      <c r="H1738" s="10" t="s">
        <v>6271</v>
      </c>
      <c r="I1738" s="10" t="s">
        <v>89</v>
      </c>
      <c r="J1738" s="13" t="b">
        <v>0</v>
      </c>
      <c r="K1738" s="13" t="b">
        <v>1</v>
      </c>
      <c r="L1738" s="10" t="s">
        <v>124</v>
      </c>
      <c r="M1738" s="10" t="s">
        <v>91</v>
      </c>
      <c r="N1738" s="10" t="s">
        <v>92</v>
      </c>
      <c r="O1738" s="19" t="s">
        <v>13203</v>
      </c>
      <c r="P1738" s="10"/>
      <c r="Q1738" s="10" t="s">
        <v>126</v>
      </c>
      <c r="R1738" s="10"/>
      <c r="S1738" s="19" t="s">
        <v>13204</v>
      </c>
      <c r="T1738" s="19" t="s">
        <v>13125</v>
      </c>
      <c r="U1738" s="10" t="s">
        <v>3230</v>
      </c>
      <c r="V1738" s="10" t="s">
        <v>7829</v>
      </c>
      <c r="W1738" s="10" t="s">
        <v>7848</v>
      </c>
      <c r="X1738" s="10" t="s">
        <v>130</v>
      </c>
      <c r="Y1738" s="10" t="s">
        <v>130</v>
      </c>
      <c r="Z1738" s="10" t="s">
        <v>99</v>
      </c>
      <c r="AA1738" s="10" t="s">
        <v>131</v>
      </c>
      <c r="AB1738" s="10" t="s">
        <v>7849</v>
      </c>
      <c r="AC1738" s="10" t="s">
        <v>3571</v>
      </c>
      <c r="AD1738" s="10" t="s">
        <v>13205</v>
      </c>
      <c r="AE1738" s="10" t="s">
        <v>13206</v>
      </c>
      <c r="AF1738" s="15"/>
      <c r="AG1738" s="10"/>
      <c r="AH1738" s="10"/>
      <c r="AI1738" s="10"/>
      <c r="AJ1738" s="10"/>
      <c r="AK1738" s="10" t="s">
        <v>102</v>
      </c>
      <c r="AL1738" s="10" t="s">
        <v>7897</v>
      </c>
      <c r="AM1738" s="10"/>
      <c r="AN1738" s="10"/>
      <c r="AO1738" s="13" t="b">
        <v>0</v>
      </c>
      <c r="AP1738" s="10" t="s">
        <v>104</v>
      </c>
      <c r="AQ1738" s="10">
        <f ca="1">IFERROR(__xludf.DUMMYFUNCTION("""COMPUTED_VALUE"""),4733539)</f>
        <v>4733539</v>
      </c>
      <c r="AR1738" s="17">
        <v>2024</v>
      </c>
      <c r="AS1738" s="17">
        <v>1475</v>
      </c>
      <c r="AT1738" s="17">
        <v>30803.75</v>
      </c>
      <c r="AU1738" s="17">
        <v>6.45</v>
      </c>
      <c r="AV1738" s="17">
        <v>1.1000000000000001</v>
      </c>
      <c r="AW1738" s="10" t="s">
        <v>105</v>
      </c>
      <c r="AX1738" s="17">
        <v>396</v>
      </c>
      <c r="AY1738" s="18">
        <v>20.883898305084745</v>
      </c>
      <c r="AZ1738" s="10" t="s">
        <v>117</v>
      </c>
      <c r="BA1738" s="20" t="b">
        <v>0</v>
      </c>
      <c r="BB1738" s="10"/>
      <c r="BC1738" s="17">
        <v>2024</v>
      </c>
      <c r="BD1738" s="17">
        <v>1475</v>
      </c>
      <c r="BE1738" s="17">
        <v>30803.75</v>
      </c>
      <c r="BF1738" s="17">
        <v>1.1000000000000001</v>
      </c>
      <c r="BG1738" s="11">
        <f ca="1">IFERROR(__xludf.DUMMYFUNCTION("""COMPUTED_VALUE"""),45989.125)</f>
        <v>45989.125</v>
      </c>
      <c r="BH1738" s="17" t="s">
        <v>105</v>
      </c>
      <c r="BI1738" s="17"/>
      <c r="BJ1738" s="15"/>
      <c r="BK1738" s="15"/>
      <c r="BL1738" s="13" t="b">
        <v>0</v>
      </c>
      <c r="BM1738" s="10"/>
      <c r="BN1738" s="10" t="s">
        <v>157</v>
      </c>
      <c r="BO1738" s="11">
        <v>45904.304861111108</v>
      </c>
      <c r="BP1738" s="11">
        <v>45978.618981481479</v>
      </c>
      <c r="BQ1738" s="15">
        <v>45983.495000000003</v>
      </c>
      <c r="BR1738" s="15">
        <v>45985.425335648149</v>
      </c>
      <c r="BS1738" s="10" t="s">
        <v>157</v>
      </c>
      <c r="BT1738" s="10" t="s">
        <v>99</v>
      </c>
      <c r="BU1738" s="10" t="s">
        <v>942</v>
      </c>
      <c r="BV1738" s="10"/>
      <c r="BW1738" s="10"/>
      <c r="BX1738" s="10"/>
      <c r="BY1738" s="23"/>
      <c r="BZ1738" s="23"/>
      <c r="CA1738" s="19" t="s">
        <v>13207</v>
      </c>
      <c r="CB1738" s="19" t="s">
        <v>13208</v>
      </c>
      <c r="CC1738" s="23"/>
      <c r="CD1738" s="19" t="s">
        <v>13209</v>
      </c>
      <c r="CE1738" s="23"/>
      <c r="CF1738" s="23"/>
      <c r="CG1738" s="23"/>
      <c r="CH1738" s="23"/>
      <c r="CI1738" s="23"/>
    </row>
    <row r="1739" spans="1:87" x14ac:dyDescent="0.3">
      <c r="A1739" s="9" t="s">
        <v>13210</v>
      </c>
      <c r="B1739" s="10" t="s">
        <v>13211</v>
      </c>
      <c r="C1739" s="11">
        <v>45989.125</v>
      </c>
      <c r="D1739" s="12">
        <v>8.3333333333333329E-2</v>
      </c>
      <c r="E1739" s="11">
        <v>45989.208333333336</v>
      </c>
      <c r="F1739" s="10" t="s">
        <v>7843</v>
      </c>
      <c r="G1739" s="13" t="b">
        <v>0</v>
      </c>
      <c r="H1739" s="10" t="s">
        <v>5239</v>
      </c>
      <c r="I1739" s="10" t="s">
        <v>89</v>
      </c>
      <c r="J1739" s="13" t="b">
        <v>0</v>
      </c>
      <c r="K1739" s="13" t="b">
        <v>1</v>
      </c>
      <c r="L1739" s="10" t="s">
        <v>124</v>
      </c>
      <c r="M1739" s="10" t="s">
        <v>91</v>
      </c>
      <c r="N1739" s="10" t="s">
        <v>92</v>
      </c>
      <c r="O1739" s="19" t="s">
        <v>13212</v>
      </c>
      <c r="P1739" s="10"/>
      <c r="Q1739" s="10" t="s">
        <v>94</v>
      </c>
      <c r="R1739" s="10"/>
      <c r="S1739" s="19" t="s">
        <v>13213</v>
      </c>
      <c r="T1739" s="19" t="s">
        <v>13125</v>
      </c>
      <c r="U1739" s="10" t="s">
        <v>12644</v>
      </c>
      <c r="V1739" s="10" t="s">
        <v>12550</v>
      </c>
      <c r="W1739" s="10" t="s">
        <v>7848</v>
      </c>
      <c r="X1739" s="10" t="s">
        <v>130</v>
      </c>
      <c r="Y1739" s="10" t="s">
        <v>130</v>
      </c>
      <c r="Z1739" s="10" t="s">
        <v>99</v>
      </c>
      <c r="AA1739" s="10" t="s">
        <v>131</v>
      </c>
      <c r="AB1739" s="10" t="s">
        <v>7849</v>
      </c>
      <c r="AC1739" s="10" t="s">
        <v>3571</v>
      </c>
      <c r="AD1739" s="10" t="s">
        <v>13214</v>
      </c>
      <c r="AE1739" s="10" t="s">
        <v>13215</v>
      </c>
      <c r="AF1739" s="15"/>
      <c r="AG1739" s="10"/>
      <c r="AH1739" s="10"/>
      <c r="AI1739" s="10"/>
      <c r="AJ1739" s="10"/>
      <c r="AK1739" s="10" t="s">
        <v>102</v>
      </c>
      <c r="AL1739" s="10" t="s">
        <v>7897</v>
      </c>
      <c r="AM1739" s="10"/>
      <c r="AN1739" s="10"/>
      <c r="AO1739" s="13" t="b">
        <v>0</v>
      </c>
      <c r="AP1739" s="10" t="s">
        <v>104</v>
      </c>
      <c r="AQ1739" s="10">
        <f ca="1">IFERROR(__xludf.DUMMYFUNCTION("""COMPUTED_VALUE"""),4734927)</f>
        <v>4734927</v>
      </c>
      <c r="AR1739" s="17">
        <v>680</v>
      </c>
      <c r="AS1739" s="17">
        <v>498</v>
      </c>
      <c r="AT1739" s="17">
        <v>4389.5</v>
      </c>
      <c r="AU1739" s="17">
        <v>0.1</v>
      </c>
      <c r="AV1739" s="17">
        <v>0</v>
      </c>
      <c r="AW1739" s="10" t="s">
        <v>105</v>
      </c>
      <c r="AX1739" s="17">
        <v>225</v>
      </c>
      <c r="AY1739" s="18">
        <v>8.8142570281124506</v>
      </c>
      <c r="AZ1739" s="10" t="s">
        <v>117</v>
      </c>
      <c r="BA1739" s="20" t="b">
        <v>0</v>
      </c>
      <c r="BB1739" s="10"/>
      <c r="BC1739" s="17">
        <v>680</v>
      </c>
      <c r="BD1739" s="17">
        <v>498</v>
      </c>
      <c r="BE1739" s="17">
        <v>4389.5</v>
      </c>
      <c r="BF1739" s="17">
        <v>0</v>
      </c>
      <c r="BG1739" s="11">
        <f ca="1">IFERROR(__xludf.DUMMYFUNCTION("""COMPUTED_VALUE"""),45989.125)</f>
        <v>45989.125</v>
      </c>
      <c r="BH1739" s="17" t="s">
        <v>105</v>
      </c>
      <c r="BI1739" s="17"/>
      <c r="BJ1739" s="15"/>
      <c r="BK1739" s="15"/>
      <c r="BL1739" s="13" t="b">
        <v>0</v>
      </c>
      <c r="BM1739" s="10"/>
      <c r="BN1739" s="10" t="s">
        <v>157</v>
      </c>
      <c r="BO1739" s="11">
        <v>45904.304861111108</v>
      </c>
      <c r="BP1739" s="11">
        <v>45978.619027777779</v>
      </c>
      <c r="BQ1739" s="15">
        <v>45983.495219907411</v>
      </c>
      <c r="BR1739" s="15">
        <v>45986.465451388889</v>
      </c>
      <c r="BS1739" s="10" t="s">
        <v>157</v>
      </c>
      <c r="BT1739" s="10" t="s">
        <v>99</v>
      </c>
      <c r="BU1739" s="10" t="s">
        <v>6732</v>
      </c>
      <c r="BV1739" s="10"/>
      <c r="BW1739" s="10"/>
      <c r="BX1739" s="10"/>
      <c r="BY1739" s="23"/>
      <c r="BZ1739" s="23"/>
      <c r="CA1739" s="19" t="s">
        <v>13216</v>
      </c>
      <c r="CB1739" s="19" t="s">
        <v>13217</v>
      </c>
      <c r="CC1739" s="23"/>
      <c r="CD1739" s="23"/>
      <c r="CE1739" s="23"/>
      <c r="CF1739" s="23"/>
      <c r="CG1739" s="23"/>
      <c r="CH1739" s="23"/>
      <c r="CI1739" s="23"/>
    </row>
    <row r="1740" spans="1:87" x14ac:dyDescent="0.3">
      <c r="A1740" s="9" t="s">
        <v>13218</v>
      </c>
      <c r="B1740" s="10" t="s">
        <v>13219</v>
      </c>
      <c r="C1740" s="11">
        <v>45989.125</v>
      </c>
      <c r="D1740" s="12">
        <v>8.3333333333333329E-2</v>
      </c>
      <c r="E1740" s="11">
        <v>45989.208333333336</v>
      </c>
      <c r="F1740" s="10" t="s">
        <v>7843</v>
      </c>
      <c r="G1740" s="13" t="b">
        <v>0</v>
      </c>
      <c r="H1740" s="10" t="s">
        <v>5239</v>
      </c>
      <c r="I1740" s="10" t="s">
        <v>89</v>
      </c>
      <c r="J1740" s="13" t="b">
        <v>0</v>
      </c>
      <c r="K1740" s="13" t="b">
        <v>1</v>
      </c>
      <c r="L1740" s="10" t="s">
        <v>124</v>
      </c>
      <c r="M1740" s="10" t="s">
        <v>91</v>
      </c>
      <c r="N1740" s="10" t="s">
        <v>92</v>
      </c>
      <c r="O1740" s="19" t="s">
        <v>13220</v>
      </c>
      <c r="P1740" s="10"/>
      <c r="Q1740" s="10" t="s">
        <v>126</v>
      </c>
      <c r="R1740" s="10"/>
      <c r="S1740" s="19" t="s">
        <v>13221</v>
      </c>
      <c r="T1740" s="19" t="s">
        <v>13125</v>
      </c>
      <c r="U1740" s="10" t="s">
        <v>4993</v>
      </c>
      <c r="V1740" s="10" t="s">
        <v>12625</v>
      </c>
      <c r="W1740" s="10" t="s">
        <v>7848</v>
      </c>
      <c r="X1740" s="10" t="s">
        <v>130</v>
      </c>
      <c r="Y1740" s="10" t="s">
        <v>130</v>
      </c>
      <c r="Z1740" s="10" t="s">
        <v>99</v>
      </c>
      <c r="AA1740" s="10" t="s">
        <v>131</v>
      </c>
      <c r="AB1740" s="10" t="s">
        <v>7849</v>
      </c>
      <c r="AC1740" s="10" t="s">
        <v>3571</v>
      </c>
      <c r="AD1740" s="10" t="s">
        <v>13222</v>
      </c>
      <c r="AE1740" s="10" t="s">
        <v>13223</v>
      </c>
      <c r="AF1740" s="15"/>
      <c r="AG1740" s="10"/>
      <c r="AH1740" s="10"/>
      <c r="AI1740" s="10"/>
      <c r="AJ1740" s="10"/>
      <c r="AK1740" s="10" t="s">
        <v>102</v>
      </c>
      <c r="AL1740" s="10" t="s">
        <v>7897</v>
      </c>
      <c r="AM1740" s="10"/>
      <c r="AN1740" s="10"/>
      <c r="AO1740" s="13" t="b">
        <v>1</v>
      </c>
      <c r="AP1740" s="10" t="s">
        <v>104</v>
      </c>
      <c r="AQ1740" s="10">
        <f ca="1">IFERROR(__xludf.DUMMYFUNCTION("""COMPUTED_VALUE"""),4734928)</f>
        <v>4734928</v>
      </c>
      <c r="AR1740" s="17">
        <v>5080</v>
      </c>
      <c r="AS1740" s="17">
        <v>4061</v>
      </c>
      <c r="AT1740" s="17">
        <v>48433.25</v>
      </c>
      <c r="AU1740" s="17">
        <v>8.0500000000000007</v>
      </c>
      <c r="AV1740" s="17">
        <v>0</v>
      </c>
      <c r="AW1740" s="10" t="s">
        <v>105</v>
      </c>
      <c r="AX1740" s="17">
        <v>783</v>
      </c>
      <c r="AY1740" s="18">
        <v>11.926434375769515</v>
      </c>
      <c r="AZ1740" s="10" t="s">
        <v>117</v>
      </c>
      <c r="BA1740" s="20" t="b">
        <v>0</v>
      </c>
      <c r="BB1740" s="10"/>
      <c r="BC1740" s="17">
        <v>5080</v>
      </c>
      <c r="BD1740" s="17">
        <v>4061</v>
      </c>
      <c r="BE1740" s="17">
        <v>48433.25</v>
      </c>
      <c r="BF1740" s="17">
        <v>0</v>
      </c>
      <c r="BG1740" s="11">
        <f ca="1">IFERROR(__xludf.DUMMYFUNCTION("""COMPUTED_VALUE"""),45989.125)</f>
        <v>45989.125</v>
      </c>
      <c r="BH1740" s="17" t="s">
        <v>105</v>
      </c>
      <c r="BI1740" s="17"/>
      <c r="BJ1740" s="15"/>
      <c r="BK1740" s="15"/>
      <c r="BL1740" s="13" t="b">
        <v>0</v>
      </c>
      <c r="BM1740" s="10"/>
      <c r="BN1740" s="10" t="s">
        <v>157</v>
      </c>
      <c r="BO1740" s="11">
        <v>45904.304861111108</v>
      </c>
      <c r="BP1740" s="11">
        <v>45978.619085648148</v>
      </c>
      <c r="BQ1740" s="15">
        <v>45983.495335648149</v>
      </c>
      <c r="BR1740" s="15">
        <v>45986.467199074075</v>
      </c>
      <c r="BS1740" s="10" t="s">
        <v>157</v>
      </c>
      <c r="BT1740" s="10" t="s">
        <v>279</v>
      </c>
      <c r="BU1740" s="10" t="s">
        <v>3752</v>
      </c>
      <c r="BV1740" s="10" t="s">
        <v>124</v>
      </c>
      <c r="BW1740" s="10" t="s">
        <v>12860</v>
      </c>
      <c r="BX1740" s="10"/>
      <c r="BY1740" s="23"/>
      <c r="BZ1740" s="23"/>
      <c r="CA1740" s="19" t="s">
        <v>13224</v>
      </c>
      <c r="CB1740" s="19" t="s">
        <v>13225</v>
      </c>
      <c r="CC1740" s="23"/>
      <c r="CD1740" s="19" t="s">
        <v>13226</v>
      </c>
      <c r="CE1740" s="23"/>
      <c r="CF1740" s="23"/>
      <c r="CG1740" s="23"/>
      <c r="CH1740" s="23"/>
      <c r="CI1740" s="23"/>
    </row>
    <row r="1741" spans="1:87" x14ac:dyDescent="0.3">
      <c r="A1741" s="9" t="s">
        <v>13227</v>
      </c>
      <c r="B1741" s="10" t="s">
        <v>13228</v>
      </c>
      <c r="C1741" s="11">
        <v>45989.125</v>
      </c>
      <c r="D1741" s="12">
        <v>8.3333333333333329E-2</v>
      </c>
      <c r="E1741" s="11">
        <v>45989.208333333336</v>
      </c>
      <c r="F1741" s="10" t="s">
        <v>7843</v>
      </c>
      <c r="G1741" s="13" t="b">
        <v>0</v>
      </c>
      <c r="H1741" s="10" t="s">
        <v>5239</v>
      </c>
      <c r="I1741" s="10" t="s">
        <v>89</v>
      </c>
      <c r="J1741" s="13" t="b">
        <v>0</v>
      </c>
      <c r="K1741" s="13" t="b">
        <v>1</v>
      </c>
      <c r="L1741" s="10" t="s">
        <v>124</v>
      </c>
      <c r="M1741" s="10" t="s">
        <v>91</v>
      </c>
      <c r="N1741" s="10" t="s">
        <v>92</v>
      </c>
      <c r="O1741" s="19" t="s">
        <v>13229</v>
      </c>
      <c r="P1741" s="10"/>
      <c r="Q1741" s="10" t="s">
        <v>94</v>
      </c>
      <c r="R1741" s="10"/>
      <c r="S1741" s="19" t="s">
        <v>13230</v>
      </c>
      <c r="T1741" s="19" t="s">
        <v>13125</v>
      </c>
      <c r="U1741" s="10" t="s">
        <v>12513</v>
      </c>
      <c r="V1741" s="10" t="s">
        <v>12634</v>
      </c>
      <c r="W1741" s="10" t="s">
        <v>7848</v>
      </c>
      <c r="X1741" s="10" t="s">
        <v>130</v>
      </c>
      <c r="Y1741" s="10" t="s">
        <v>130</v>
      </c>
      <c r="Z1741" s="10" t="s">
        <v>99</v>
      </c>
      <c r="AA1741" s="10" t="s">
        <v>131</v>
      </c>
      <c r="AB1741" s="10" t="s">
        <v>7849</v>
      </c>
      <c r="AC1741" s="10" t="s">
        <v>3571</v>
      </c>
      <c r="AD1741" s="10" t="s">
        <v>13231</v>
      </c>
      <c r="AE1741" s="10" t="s">
        <v>13232</v>
      </c>
      <c r="AF1741" s="15"/>
      <c r="AG1741" s="10"/>
      <c r="AH1741" s="10"/>
      <c r="AI1741" s="10"/>
      <c r="AJ1741" s="10"/>
      <c r="AK1741" s="10" t="s">
        <v>102</v>
      </c>
      <c r="AL1741" s="10" t="s">
        <v>7897</v>
      </c>
      <c r="AM1741" s="10"/>
      <c r="AN1741" s="10"/>
      <c r="AO1741" s="13" t="b">
        <v>0</v>
      </c>
      <c r="AP1741" s="10" t="s">
        <v>104</v>
      </c>
      <c r="AQ1741" s="10">
        <f ca="1">IFERROR(__xludf.DUMMYFUNCTION("""COMPUTED_VALUE"""),4734929)</f>
        <v>4734929</v>
      </c>
      <c r="AR1741" s="17">
        <v>1725</v>
      </c>
      <c r="AS1741" s="17">
        <v>1384</v>
      </c>
      <c r="AT1741" s="17">
        <v>10360</v>
      </c>
      <c r="AU1741" s="17">
        <v>0.35</v>
      </c>
      <c r="AV1741" s="17">
        <v>0</v>
      </c>
      <c r="AW1741" s="10" t="s">
        <v>105</v>
      </c>
      <c r="AX1741" s="17">
        <v>591</v>
      </c>
      <c r="AY1741" s="18">
        <v>7.4855491329479769</v>
      </c>
      <c r="AZ1741" s="10" t="s">
        <v>117</v>
      </c>
      <c r="BA1741" s="20" t="b">
        <v>0</v>
      </c>
      <c r="BB1741" s="10"/>
      <c r="BC1741" s="17">
        <v>1725</v>
      </c>
      <c r="BD1741" s="17">
        <v>1384</v>
      </c>
      <c r="BE1741" s="17">
        <v>10360</v>
      </c>
      <c r="BF1741" s="17">
        <v>0</v>
      </c>
      <c r="BG1741" s="11">
        <f ca="1">IFERROR(__xludf.DUMMYFUNCTION("""COMPUTED_VALUE"""),45989.125)</f>
        <v>45989.125</v>
      </c>
      <c r="BH1741" s="17" t="s">
        <v>105</v>
      </c>
      <c r="BI1741" s="17"/>
      <c r="BJ1741" s="15"/>
      <c r="BK1741" s="15"/>
      <c r="BL1741" s="13" t="b">
        <v>0</v>
      </c>
      <c r="BM1741" s="10"/>
      <c r="BN1741" s="10" t="s">
        <v>157</v>
      </c>
      <c r="BO1741" s="11">
        <v>45904.304861111108</v>
      </c>
      <c r="BP1741" s="11">
        <v>45978.619143518517</v>
      </c>
      <c r="BQ1741" s="15">
        <v>45983.495451388888</v>
      </c>
      <c r="BR1741" s="15">
        <v>45986.467175925929</v>
      </c>
      <c r="BS1741" s="10" t="s">
        <v>157</v>
      </c>
      <c r="BT1741" s="10" t="s">
        <v>279</v>
      </c>
      <c r="BU1741" s="10" t="s">
        <v>9114</v>
      </c>
      <c r="BV1741" s="10"/>
      <c r="BW1741" s="10"/>
      <c r="BX1741" s="10"/>
      <c r="BY1741" s="23"/>
      <c r="BZ1741" s="23"/>
      <c r="CA1741" s="19" t="s">
        <v>13233</v>
      </c>
      <c r="CB1741" s="19" t="s">
        <v>13234</v>
      </c>
      <c r="CC1741" s="23"/>
      <c r="CD1741" s="23"/>
      <c r="CE1741" s="23"/>
      <c r="CF1741" s="23"/>
      <c r="CG1741" s="23"/>
      <c r="CH1741" s="23"/>
      <c r="CI1741" s="23"/>
    </row>
    <row r="1742" spans="1:87" x14ac:dyDescent="0.3">
      <c r="A1742" s="9" t="s">
        <v>13235</v>
      </c>
      <c r="B1742" s="10" t="s">
        <v>13236</v>
      </c>
      <c r="C1742" s="11">
        <v>45989.125</v>
      </c>
      <c r="D1742" s="12">
        <v>8.3333333333333329E-2</v>
      </c>
      <c r="E1742" s="11">
        <v>45989.208333333336</v>
      </c>
      <c r="F1742" s="10" t="s">
        <v>7843</v>
      </c>
      <c r="G1742" s="13" t="b">
        <v>0</v>
      </c>
      <c r="H1742" s="10" t="s">
        <v>5239</v>
      </c>
      <c r="I1742" s="10" t="s">
        <v>89</v>
      </c>
      <c r="J1742" s="13" t="b">
        <v>0</v>
      </c>
      <c r="K1742" s="13" t="b">
        <v>1</v>
      </c>
      <c r="L1742" s="10" t="s">
        <v>124</v>
      </c>
      <c r="M1742" s="10" t="s">
        <v>91</v>
      </c>
      <c r="N1742" s="10" t="s">
        <v>92</v>
      </c>
      <c r="O1742" s="19" t="s">
        <v>13237</v>
      </c>
      <c r="P1742" s="10"/>
      <c r="Q1742" s="10" t="s">
        <v>94</v>
      </c>
      <c r="R1742" s="10"/>
      <c r="S1742" s="19" t="s">
        <v>13238</v>
      </c>
      <c r="T1742" s="19" t="s">
        <v>13125</v>
      </c>
      <c r="U1742" s="10" t="s">
        <v>12663</v>
      </c>
      <c r="V1742" s="10" t="s">
        <v>8555</v>
      </c>
      <c r="W1742" s="10" t="s">
        <v>7848</v>
      </c>
      <c r="X1742" s="10" t="s">
        <v>130</v>
      </c>
      <c r="Y1742" s="10" t="s">
        <v>130</v>
      </c>
      <c r="Z1742" s="10" t="s">
        <v>99</v>
      </c>
      <c r="AA1742" s="10" t="s">
        <v>131</v>
      </c>
      <c r="AB1742" s="10" t="s">
        <v>7849</v>
      </c>
      <c r="AC1742" s="10" t="s">
        <v>3571</v>
      </c>
      <c r="AD1742" s="10" t="s">
        <v>13239</v>
      </c>
      <c r="AE1742" s="10" t="s">
        <v>13240</v>
      </c>
      <c r="AF1742" s="15"/>
      <c r="AG1742" s="10"/>
      <c r="AH1742" s="10"/>
      <c r="AI1742" s="10"/>
      <c r="AJ1742" s="10"/>
      <c r="AK1742" s="10" t="s">
        <v>102</v>
      </c>
      <c r="AL1742" s="10" t="s">
        <v>7897</v>
      </c>
      <c r="AM1742" s="10"/>
      <c r="AN1742" s="10"/>
      <c r="AO1742" s="13" t="b">
        <v>0</v>
      </c>
      <c r="AP1742" s="10" t="s">
        <v>104</v>
      </c>
      <c r="AQ1742" s="10">
        <f ca="1">IFERROR(__xludf.DUMMYFUNCTION("""COMPUTED_VALUE"""),4734930)</f>
        <v>4734930</v>
      </c>
      <c r="AR1742" s="17">
        <v>818</v>
      </c>
      <c r="AS1742" s="17">
        <v>543</v>
      </c>
      <c r="AT1742" s="17">
        <v>4155.5</v>
      </c>
      <c r="AU1742" s="17">
        <v>1.1000000000000001</v>
      </c>
      <c r="AV1742" s="17">
        <v>0</v>
      </c>
      <c r="AW1742" s="10" t="s">
        <v>105</v>
      </c>
      <c r="AX1742" s="17">
        <v>166</v>
      </c>
      <c r="AY1742" s="18">
        <v>7.652854511970534</v>
      </c>
      <c r="AZ1742" s="10" t="s">
        <v>117</v>
      </c>
      <c r="BA1742" s="20" t="b">
        <v>0</v>
      </c>
      <c r="BB1742" s="10"/>
      <c r="BC1742" s="17">
        <v>818</v>
      </c>
      <c r="BD1742" s="17">
        <v>543</v>
      </c>
      <c r="BE1742" s="17">
        <v>4155.5</v>
      </c>
      <c r="BF1742" s="17">
        <v>0</v>
      </c>
      <c r="BG1742" s="11">
        <f ca="1">IFERROR(__xludf.DUMMYFUNCTION("""COMPUTED_VALUE"""),45989.125)</f>
        <v>45989.125</v>
      </c>
      <c r="BH1742" s="17" t="s">
        <v>105</v>
      </c>
      <c r="BI1742" s="17"/>
      <c r="BJ1742" s="15"/>
      <c r="BK1742" s="15"/>
      <c r="BL1742" s="13" t="b">
        <v>0</v>
      </c>
      <c r="BM1742" s="10"/>
      <c r="BN1742" s="10" t="s">
        <v>157</v>
      </c>
      <c r="BO1742" s="11">
        <v>45904.304861111108</v>
      </c>
      <c r="BP1742" s="11">
        <v>45978.619189814817</v>
      </c>
      <c r="BQ1742" s="15">
        <v>45983.495729166665</v>
      </c>
      <c r="BR1742" s="15">
        <v>45986.467476851853</v>
      </c>
      <c r="BS1742" s="10" t="s">
        <v>157</v>
      </c>
      <c r="BT1742" s="10" t="s">
        <v>99</v>
      </c>
      <c r="BU1742" s="10" t="s">
        <v>8497</v>
      </c>
      <c r="BV1742" s="10"/>
      <c r="BW1742" s="10"/>
      <c r="BX1742" s="10"/>
      <c r="BY1742" s="23"/>
      <c r="BZ1742" s="23"/>
      <c r="CA1742" s="19" t="s">
        <v>13241</v>
      </c>
      <c r="CB1742" s="19" t="s">
        <v>13242</v>
      </c>
      <c r="CC1742" s="23"/>
      <c r="CD1742" s="23"/>
      <c r="CE1742" s="23"/>
      <c r="CF1742" s="23"/>
      <c r="CG1742" s="23"/>
      <c r="CH1742" s="23"/>
      <c r="CI1742" s="23"/>
    </row>
    <row r="1743" spans="1:87" x14ac:dyDescent="0.3">
      <c r="A1743" s="9" t="s">
        <v>13243</v>
      </c>
      <c r="B1743" s="10" t="s">
        <v>13244</v>
      </c>
      <c r="C1743" s="11">
        <v>45989.125</v>
      </c>
      <c r="D1743" s="12">
        <v>8.3333333333333329E-2</v>
      </c>
      <c r="E1743" s="11">
        <v>45989.208333333336</v>
      </c>
      <c r="F1743" s="10" t="s">
        <v>7843</v>
      </c>
      <c r="G1743" s="13" t="b">
        <v>0</v>
      </c>
      <c r="H1743" s="10" t="s">
        <v>3578</v>
      </c>
      <c r="I1743" s="10" t="s">
        <v>89</v>
      </c>
      <c r="J1743" s="13" t="b">
        <v>0</v>
      </c>
      <c r="K1743" s="13" t="b">
        <v>1</v>
      </c>
      <c r="L1743" s="10" t="s">
        <v>124</v>
      </c>
      <c r="M1743" s="10" t="s">
        <v>91</v>
      </c>
      <c r="N1743" s="10" t="s">
        <v>92</v>
      </c>
      <c r="O1743" s="19" t="s">
        <v>13245</v>
      </c>
      <c r="P1743" s="10"/>
      <c r="Q1743" s="10" t="s">
        <v>126</v>
      </c>
      <c r="R1743" s="10"/>
      <c r="S1743" s="19" t="s">
        <v>13246</v>
      </c>
      <c r="T1743" s="19" t="s">
        <v>13125</v>
      </c>
      <c r="U1743" s="10" t="s">
        <v>320</v>
      </c>
      <c r="V1743" s="10" t="s">
        <v>12522</v>
      </c>
      <c r="W1743" s="10" t="s">
        <v>7848</v>
      </c>
      <c r="X1743" s="10" t="s">
        <v>130</v>
      </c>
      <c r="Y1743" s="10" t="s">
        <v>130</v>
      </c>
      <c r="Z1743" s="10" t="s">
        <v>99</v>
      </c>
      <c r="AA1743" s="10" t="s">
        <v>131</v>
      </c>
      <c r="AB1743" s="10" t="s">
        <v>7849</v>
      </c>
      <c r="AC1743" s="10" t="s">
        <v>3571</v>
      </c>
      <c r="AD1743" s="10" t="s">
        <v>13247</v>
      </c>
      <c r="AE1743" s="10" t="s">
        <v>13248</v>
      </c>
      <c r="AF1743" s="15"/>
      <c r="AG1743" s="10"/>
      <c r="AH1743" s="10"/>
      <c r="AI1743" s="10"/>
      <c r="AJ1743" s="10"/>
      <c r="AK1743" s="10" t="s">
        <v>102</v>
      </c>
      <c r="AL1743" s="10" t="s">
        <v>7897</v>
      </c>
      <c r="AM1743" s="10"/>
      <c r="AN1743" s="10"/>
      <c r="AO1743" s="13" t="b">
        <v>0</v>
      </c>
      <c r="AP1743" s="10" t="s">
        <v>104</v>
      </c>
      <c r="AQ1743" s="10">
        <f ca="1">IFERROR(__xludf.DUMMYFUNCTION("""COMPUTED_VALUE"""),4733542)</f>
        <v>4733542</v>
      </c>
      <c r="AR1743" s="17">
        <v>4282</v>
      </c>
      <c r="AS1743" s="17">
        <v>3184</v>
      </c>
      <c r="AT1743" s="17">
        <v>47881.75</v>
      </c>
      <c r="AU1743" s="17">
        <v>4.3</v>
      </c>
      <c r="AV1743" s="17">
        <v>2.4</v>
      </c>
      <c r="AW1743" s="10" t="s">
        <v>105</v>
      </c>
      <c r="AX1743" s="17">
        <v>1568</v>
      </c>
      <c r="AY1743" s="18">
        <v>15.038238065326633</v>
      </c>
      <c r="AZ1743" s="10" t="s">
        <v>117</v>
      </c>
      <c r="BA1743" s="20" t="b">
        <v>0</v>
      </c>
      <c r="BB1743" s="10"/>
      <c r="BC1743" s="17">
        <v>4282</v>
      </c>
      <c r="BD1743" s="17">
        <v>3184</v>
      </c>
      <c r="BE1743" s="17">
        <v>47881.75</v>
      </c>
      <c r="BF1743" s="17">
        <v>2.4</v>
      </c>
      <c r="BG1743" s="11">
        <f ca="1">IFERROR(__xludf.DUMMYFUNCTION("""COMPUTED_VALUE"""),45989.125)</f>
        <v>45989.125</v>
      </c>
      <c r="BH1743" s="17" t="s">
        <v>105</v>
      </c>
      <c r="BI1743" s="17"/>
      <c r="BJ1743" s="15"/>
      <c r="BK1743" s="15"/>
      <c r="BL1743" s="13" t="b">
        <v>0</v>
      </c>
      <c r="BM1743" s="10"/>
      <c r="BN1743" s="10" t="s">
        <v>157</v>
      </c>
      <c r="BO1743" s="11">
        <v>45904.304861111108</v>
      </c>
      <c r="BP1743" s="11">
        <v>45978.619247685187</v>
      </c>
      <c r="BQ1743" s="15">
        <v>45983.495567129627</v>
      </c>
      <c r="BR1743" s="15">
        <v>45985.426840277774</v>
      </c>
      <c r="BS1743" s="10" t="s">
        <v>157</v>
      </c>
      <c r="BT1743" s="10" t="s">
        <v>279</v>
      </c>
      <c r="BU1743" s="10" t="s">
        <v>8013</v>
      </c>
      <c r="BV1743" s="10"/>
      <c r="BW1743" s="10"/>
      <c r="BX1743" s="10"/>
      <c r="BY1743" s="23"/>
      <c r="BZ1743" s="23"/>
      <c r="CA1743" s="19" t="s">
        <v>13249</v>
      </c>
      <c r="CB1743" s="19" t="s">
        <v>13250</v>
      </c>
      <c r="CC1743" s="23"/>
      <c r="CD1743" s="19" t="s">
        <v>13251</v>
      </c>
      <c r="CE1743" s="23"/>
      <c r="CF1743" s="23"/>
      <c r="CG1743" s="23"/>
      <c r="CH1743" s="23"/>
      <c r="CI1743" s="23"/>
    </row>
    <row r="1744" spans="1:87" x14ac:dyDescent="0.3">
      <c r="A1744" s="9" t="s">
        <v>13252</v>
      </c>
      <c r="B1744" s="10" t="s">
        <v>13253</v>
      </c>
      <c r="C1744" s="11">
        <v>45989.125</v>
      </c>
      <c r="D1744" s="12">
        <v>8.3333333333333329E-2</v>
      </c>
      <c r="E1744" s="11">
        <v>45989.208333333336</v>
      </c>
      <c r="F1744" s="10" t="s">
        <v>7843</v>
      </c>
      <c r="G1744" s="13" t="b">
        <v>0</v>
      </c>
      <c r="H1744" s="10" t="s">
        <v>5239</v>
      </c>
      <c r="I1744" s="10" t="s">
        <v>89</v>
      </c>
      <c r="J1744" s="13" t="b">
        <v>0</v>
      </c>
      <c r="K1744" s="13" t="b">
        <v>1</v>
      </c>
      <c r="L1744" s="10" t="s">
        <v>124</v>
      </c>
      <c r="M1744" s="10" t="s">
        <v>91</v>
      </c>
      <c r="N1744" s="10" t="s">
        <v>92</v>
      </c>
      <c r="O1744" s="19" t="s">
        <v>13254</v>
      </c>
      <c r="P1744" s="10"/>
      <c r="Q1744" s="10" t="s">
        <v>94</v>
      </c>
      <c r="R1744" s="10"/>
      <c r="S1744" s="19" t="s">
        <v>13255</v>
      </c>
      <c r="T1744" s="19" t="s">
        <v>13125</v>
      </c>
      <c r="U1744" s="10" t="s">
        <v>3591</v>
      </c>
      <c r="V1744" s="10" t="s">
        <v>12585</v>
      </c>
      <c r="W1744" s="10" t="s">
        <v>7848</v>
      </c>
      <c r="X1744" s="10" t="s">
        <v>130</v>
      </c>
      <c r="Y1744" s="10" t="s">
        <v>130</v>
      </c>
      <c r="Z1744" s="10" t="s">
        <v>99</v>
      </c>
      <c r="AA1744" s="10" t="s">
        <v>131</v>
      </c>
      <c r="AB1744" s="10" t="s">
        <v>7849</v>
      </c>
      <c r="AC1744" s="10" t="s">
        <v>3571</v>
      </c>
      <c r="AD1744" s="10" t="s">
        <v>13256</v>
      </c>
      <c r="AE1744" s="10" t="s">
        <v>13257</v>
      </c>
      <c r="AF1744" s="15"/>
      <c r="AG1744" s="10"/>
      <c r="AH1744" s="10"/>
      <c r="AI1744" s="10"/>
      <c r="AJ1744" s="10"/>
      <c r="AK1744" s="10" t="s">
        <v>102</v>
      </c>
      <c r="AL1744" s="10" t="s">
        <v>7897</v>
      </c>
      <c r="AM1744" s="10"/>
      <c r="AN1744" s="10"/>
      <c r="AO1744" s="13" t="b">
        <v>0</v>
      </c>
      <c r="AP1744" s="10" t="s">
        <v>104</v>
      </c>
      <c r="AQ1744" s="10">
        <f ca="1">IFERROR(__xludf.DUMMYFUNCTION("""COMPUTED_VALUE"""),4734926)</f>
        <v>4734926</v>
      </c>
      <c r="AR1744" s="17">
        <v>773</v>
      </c>
      <c r="AS1744" s="17">
        <v>491</v>
      </c>
      <c r="AT1744" s="17">
        <v>4813.75</v>
      </c>
      <c r="AU1744" s="17">
        <v>1.1000000000000001</v>
      </c>
      <c r="AV1744" s="17">
        <v>0.1</v>
      </c>
      <c r="AW1744" s="10" t="s">
        <v>105</v>
      </c>
      <c r="AX1744" s="17">
        <v>122</v>
      </c>
      <c r="AY1744" s="18">
        <v>9.8039714867617107</v>
      </c>
      <c r="AZ1744" s="10" t="s">
        <v>117</v>
      </c>
      <c r="BA1744" s="20" t="b">
        <v>0</v>
      </c>
      <c r="BB1744" s="10"/>
      <c r="BC1744" s="17">
        <v>773</v>
      </c>
      <c r="BD1744" s="17">
        <v>491</v>
      </c>
      <c r="BE1744" s="17">
        <v>4813.75</v>
      </c>
      <c r="BF1744" s="17">
        <v>0.1</v>
      </c>
      <c r="BG1744" s="11">
        <f ca="1">IFERROR(__xludf.DUMMYFUNCTION("""COMPUTED_VALUE"""),45989.125)</f>
        <v>45989.125</v>
      </c>
      <c r="BH1744" s="17" t="s">
        <v>105</v>
      </c>
      <c r="BI1744" s="17"/>
      <c r="BJ1744" s="15"/>
      <c r="BK1744" s="15"/>
      <c r="BL1744" s="13" t="b">
        <v>0</v>
      </c>
      <c r="BM1744" s="10"/>
      <c r="BN1744" s="10" t="s">
        <v>157</v>
      </c>
      <c r="BO1744" s="11">
        <v>45904.304861111108</v>
      </c>
      <c r="BP1744" s="11">
        <v>45978.619305555556</v>
      </c>
      <c r="BQ1744" s="15">
        <v>45983.495115740741</v>
      </c>
      <c r="BR1744" s="15">
        <v>45986.465254629627</v>
      </c>
      <c r="BS1744" s="10" t="s">
        <v>157</v>
      </c>
      <c r="BT1744" s="10" t="s">
        <v>99</v>
      </c>
      <c r="BU1744" s="10" t="s">
        <v>6753</v>
      </c>
      <c r="BV1744" s="10"/>
      <c r="BW1744" s="10"/>
      <c r="BX1744" s="10"/>
      <c r="BY1744" s="23"/>
      <c r="BZ1744" s="23"/>
      <c r="CA1744" s="19" t="s">
        <v>13258</v>
      </c>
      <c r="CB1744" s="19" t="s">
        <v>13259</v>
      </c>
      <c r="CC1744" s="23"/>
      <c r="CD1744" s="23"/>
      <c r="CE1744" s="23"/>
      <c r="CF1744" s="23"/>
      <c r="CG1744" s="23"/>
      <c r="CH1744" s="23"/>
      <c r="CI1744" s="23"/>
    </row>
    <row r="1745" spans="1:87" x14ac:dyDescent="0.3">
      <c r="A1745" s="9" t="s">
        <v>13260</v>
      </c>
      <c r="B1745" s="10" t="s">
        <v>13261</v>
      </c>
      <c r="C1745" s="11">
        <v>45989.125</v>
      </c>
      <c r="D1745" s="12">
        <v>8.3333333333333329E-2</v>
      </c>
      <c r="E1745" s="11">
        <v>45989.208333333336</v>
      </c>
      <c r="F1745" s="10" t="s">
        <v>7843</v>
      </c>
      <c r="G1745" s="13" t="b">
        <v>0</v>
      </c>
      <c r="H1745" s="10" t="s">
        <v>11460</v>
      </c>
      <c r="I1745" s="10" t="s">
        <v>89</v>
      </c>
      <c r="J1745" s="13" t="b">
        <v>0</v>
      </c>
      <c r="K1745" s="13" t="b">
        <v>1</v>
      </c>
      <c r="L1745" s="10" t="s">
        <v>124</v>
      </c>
      <c r="M1745" s="10" t="s">
        <v>91</v>
      </c>
      <c r="N1745" s="10" t="s">
        <v>92</v>
      </c>
      <c r="O1745" s="19" t="s">
        <v>13262</v>
      </c>
      <c r="P1745" s="10"/>
      <c r="Q1745" s="10" t="s">
        <v>126</v>
      </c>
      <c r="R1745" s="10"/>
      <c r="S1745" s="19" t="s">
        <v>13263</v>
      </c>
      <c r="T1745" s="19" t="s">
        <v>13125</v>
      </c>
      <c r="U1745" s="10" t="s">
        <v>5102</v>
      </c>
      <c r="V1745" s="10" t="s">
        <v>8476</v>
      </c>
      <c r="W1745" s="10" t="s">
        <v>7848</v>
      </c>
      <c r="X1745" s="10" t="s">
        <v>130</v>
      </c>
      <c r="Y1745" s="10" t="s">
        <v>130</v>
      </c>
      <c r="Z1745" s="10" t="s">
        <v>99</v>
      </c>
      <c r="AA1745" s="10" t="s">
        <v>131</v>
      </c>
      <c r="AB1745" s="10" t="s">
        <v>7849</v>
      </c>
      <c r="AC1745" s="10" t="s">
        <v>3571</v>
      </c>
      <c r="AD1745" s="10" t="s">
        <v>13264</v>
      </c>
      <c r="AE1745" s="10" t="s">
        <v>13265</v>
      </c>
      <c r="AF1745" s="15"/>
      <c r="AG1745" s="10"/>
      <c r="AH1745" s="10"/>
      <c r="AI1745" s="10"/>
      <c r="AJ1745" s="10"/>
      <c r="AK1745" s="10" t="s">
        <v>102</v>
      </c>
      <c r="AL1745" s="10" t="s">
        <v>7897</v>
      </c>
      <c r="AM1745" s="10"/>
      <c r="AN1745" s="10"/>
      <c r="AO1745" s="13" t="b">
        <v>1</v>
      </c>
      <c r="AP1745" s="10" t="s">
        <v>104</v>
      </c>
      <c r="AQ1745" s="10">
        <f ca="1">IFERROR(__xludf.DUMMYFUNCTION("""COMPUTED_VALUE"""),4739857)</f>
        <v>4739857</v>
      </c>
      <c r="AR1745" s="17">
        <v>17340</v>
      </c>
      <c r="AS1745" s="17">
        <v>12974</v>
      </c>
      <c r="AT1745" s="17">
        <v>244262.75</v>
      </c>
      <c r="AU1745" s="17">
        <v>23.25</v>
      </c>
      <c r="AV1745" s="17">
        <v>4.5999999999999996</v>
      </c>
      <c r="AW1745" s="10" t="s">
        <v>105</v>
      </c>
      <c r="AX1745" s="17">
        <v>5052</v>
      </c>
      <c r="AY1745" s="18">
        <v>18.827096500693695</v>
      </c>
      <c r="AZ1745" s="10" t="s">
        <v>117</v>
      </c>
      <c r="BA1745" s="20" t="b">
        <v>0</v>
      </c>
      <c r="BB1745" s="10"/>
      <c r="BC1745" s="17">
        <v>17340</v>
      </c>
      <c r="BD1745" s="17">
        <v>12974</v>
      </c>
      <c r="BE1745" s="17">
        <v>244262.75</v>
      </c>
      <c r="BF1745" s="17">
        <v>4.5999999999999996</v>
      </c>
      <c r="BG1745" s="11">
        <f ca="1">IFERROR(__xludf.DUMMYFUNCTION("""COMPUTED_VALUE"""),45989.125)</f>
        <v>45989.125</v>
      </c>
      <c r="BH1745" s="17" t="s">
        <v>105</v>
      </c>
      <c r="BI1745" s="17"/>
      <c r="BJ1745" s="15"/>
      <c r="BK1745" s="15"/>
      <c r="BL1745" s="13" t="b">
        <v>0</v>
      </c>
      <c r="BM1745" s="10"/>
      <c r="BN1745" s="10" t="s">
        <v>157</v>
      </c>
      <c r="BO1745" s="11">
        <v>45904.304861111108</v>
      </c>
      <c r="BP1745" s="11">
        <v>45979.732870370368</v>
      </c>
      <c r="BQ1745" s="15">
        <v>45983.495995370373</v>
      </c>
      <c r="BR1745" s="15">
        <v>45988.469629629632</v>
      </c>
      <c r="BS1745" s="10" t="s">
        <v>157</v>
      </c>
      <c r="BT1745" s="10" t="s">
        <v>279</v>
      </c>
      <c r="BU1745" s="10" t="s">
        <v>13179</v>
      </c>
      <c r="BV1745" s="10" t="s">
        <v>124</v>
      </c>
      <c r="BW1745" s="10" t="s">
        <v>12860</v>
      </c>
      <c r="BX1745" s="10"/>
      <c r="BY1745" s="23"/>
      <c r="BZ1745" s="23"/>
      <c r="CA1745" s="19" t="s">
        <v>13266</v>
      </c>
      <c r="CB1745" s="19" t="s">
        <v>13267</v>
      </c>
      <c r="CC1745" s="23"/>
      <c r="CD1745" s="19" t="s">
        <v>13268</v>
      </c>
      <c r="CE1745" s="23"/>
      <c r="CF1745" s="23"/>
      <c r="CG1745" s="23"/>
      <c r="CH1745" s="23"/>
      <c r="CI1745" s="23"/>
    </row>
    <row r="1746" spans="1:87" x14ac:dyDescent="0.3">
      <c r="A1746" s="9" t="s">
        <v>13269</v>
      </c>
      <c r="B1746" s="10" t="s">
        <v>13270</v>
      </c>
      <c r="C1746" s="11">
        <v>46003.03125</v>
      </c>
      <c r="D1746" s="12">
        <v>8.3333333333333329E-2</v>
      </c>
      <c r="E1746" s="11">
        <v>46003.114583333336</v>
      </c>
      <c r="F1746" s="10" t="s">
        <v>7843</v>
      </c>
      <c r="G1746" s="13" t="b">
        <v>0</v>
      </c>
      <c r="H1746" s="10" t="s">
        <v>5239</v>
      </c>
      <c r="I1746" s="10" t="s">
        <v>89</v>
      </c>
      <c r="J1746" s="13" t="b">
        <v>0</v>
      </c>
      <c r="K1746" s="13" t="b">
        <v>1</v>
      </c>
      <c r="L1746" s="10" t="s">
        <v>124</v>
      </c>
      <c r="M1746" s="10" t="s">
        <v>91</v>
      </c>
      <c r="N1746" s="10" t="s">
        <v>92</v>
      </c>
      <c r="O1746" s="19" t="s">
        <v>13271</v>
      </c>
      <c r="P1746" s="10"/>
      <c r="Q1746" s="10" t="s">
        <v>126</v>
      </c>
      <c r="R1746" s="10"/>
      <c r="S1746" s="19" t="s">
        <v>13272</v>
      </c>
      <c r="T1746" s="19" t="s">
        <v>13273</v>
      </c>
      <c r="U1746" s="10" t="s">
        <v>12662</v>
      </c>
      <c r="V1746" s="10" t="s">
        <v>12596</v>
      </c>
      <c r="W1746" s="10" t="s">
        <v>7848</v>
      </c>
      <c r="X1746" s="10" t="s">
        <v>130</v>
      </c>
      <c r="Y1746" s="10" t="s">
        <v>130</v>
      </c>
      <c r="Z1746" s="10" t="s">
        <v>99</v>
      </c>
      <c r="AA1746" s="10" t="s">
        <v>131</v>
      </c>
      <c r="AB1746" s="10" t="s">
        <v>7849</v>
      </c>
      <c r="AC1746" s="10" t="s">
        <v>3571</v>
      </c>
      <c r="AD1746" s="10" t="s">
        <v>13274</v>
      </c>
      <c r="AE1746" s="10" t="s">
        <v>13275</v>
      </c>
      <c r="AF1746" s="15"/>
      <c r="AG1746" s="10"/>
      <c r="AH1746" s="10"/>
      <c r="AI1746" s="10"/>
      <c r="AJ1746" s="10"/>
      <c r="AK1746" s="10" t="s">
        <v>102</v>
      </c>
      <c r="AL1746" s="10" t="s">
        <v>7897</v>
      </c>
      <c r="AM1746" s="10"/>
      <c r="AN1746" s="10"/>
      <c r="AO1746" s="13" t="b">
        <v>1</v>
      </c>
      <c r="AP1746" s="10" t="s">
        <v>104</v>
      </c>
      <c r="AQ1746" s="10">
        <f ca="1">IFERROR(__xludf.DUMMYFUNCTION("""COMPUTED_VALUE"""),4773543)</f>
        <v>4773543</v>
      </c>
      <c r="AR1746" s="17">
        <v>9493</v>
      </c>
      <c r="AS1746" s="17">
        <v>6884</v>
      </c>
      <c r="AT1746" s="17">
        <v>143075.25</v>
      </c>
      <c r="AU1746" s="17">
        <v>11.6</v>
      </c>
      <c r="AV1746" s="17">
        <v>5.95</v>
      </c>
      <c r="AW1746" s="10" t="s">
        <v>105</v>
      </c>
      <c r="AX1746" s="17">
        <v>1454</v>
      </c>
      <c r="AY1746" s="18">
        <v>20.783737652527599</v>
      </c>
      <c r="AZ1746" s="10" t="s">
        <v>117</v>
      </c>
      <c r="BA1746" s="20" t="b">
        <v>0</v>
      </c>
      <c r="BB1746" s="10"/>
      <c r="BC1746" s="17">
        <v>9493</v>
      </c>
      <c r="BD1746" s="17">
        <v>6884</v>
      </c>
      <c r="BE1746" s="17">
        <v>143075.25</v>
      </c>
      <c r="BF1746" s="17">
        <v>5.95</v>
      </c>
      <c r="BG1746" s="11">
        <f ca="1">IFERROR(__xludf.DUMMYFUNCTION("""COMPUTED_VALUE"""),46003.03125)</f>
        <v>46003.03125</v>
      </c>
      <c r="BH1746" s="17" t="s">
        <v>105</v>
      </c>
      <c r="BI1746" s="17"/>
      <c r="BJ1746" s="15"/>
      <c r="BK1746" s="15"/>
      <c r="BL1746" s="13" t="b">
        <v>0</v>
      </c>
      <c r="BM1746" s="10"/>
      <c r="BN1746" s="10" t="s">
        <v>1057</v>
      </c>
      <c r="BO1746" s="11">
        <v>45904.304861111108</v>
      </c>
      <c r="BP1746" s="11">
        <v>45993.71371527778</v>
      </c>
      <c r="BQ1746" s="15">
        <v>45999.465810185182</v>
      </c>
      <c r="BR1746" s="15">
        <v>46001.469687500001</v>
      </c>
      <c r="BS1746" s="10"/>
      <c r="BT1746" s="10" t="s">
        <v>279</v>
      </c>
      <c r="BU1746" s="10"/>
      <c r="BV1746" s="10" t="s">
        <v>124</v>
      </c>
      <c r="BW1746" s="10" t="s">
        <v>12860</v>
      </c>
      <c r="BX1746" s="10"/>
      <c r="BY1746" s="23"/>
      <c r="BZ1746" s="23"/>
      <c r="CA1746" s="19" t="s">
        <v>13276</v>
      </c>
      <c r="CB1746" s="19" t="s">
        <v>13277</v>
      </c>
      <c r="CC1746" s="23"/>
      <c r="CD1746" s="19" t="s">
        <v>13278</v>
      </c>
      <c r="CE1746" s="23"/>
      <c r="CF1746" s="23"/>
      <c r="CG1746" s="23"/>
      <c r="CH1746" s="23"/>
      <c r="CI1746" s="23"/>
    </row>
    <row r="1747" spans="1:87" x14ac:dyDescent="0.3">
      <c r="A1747" s="9" t="s">
        <v>13279</v>
      </c>
      <c r="B1747" s="10" t="s">
        <v>13280</v>
      </c>
      <c r="C1747" s="11">
        <v>46003.03125</v>
      </c>
      <c r="D1747" s="12">
        <v>8.3333333333333329E-2</v>
      </c>
      <c r="E1747" s="11">
        <v>46003.114583333336</v>
      </c>
      <c r="F1747" s="10" t="s">
        <v>7843</v>
      </c>
      <c r="G1747" s="13" t="b">
        <v>0</v>
      </c>
      <c r="H1747" s="10" t="s">
        <v>5239</v>
      </c>
      <c r="I1747" s="10" t="s">
        <v>89</v>
      </c>
      <c r="J1747" s="13" t="b">
        <v>0</v>
      </c>
      <c r="K1747" s="13" t="b">
        <v>1</v>
      </c>
      <c r="L1747" s="10" t="s">
        <v>124</v>
      </c>
      <c r="M1747" s="10" t="s">
        <v>91</v>
      </c>
      <c r="N1747" s="10" t="s">
        <v>92</v>
      </c>
      <c r="O1747" s="19" t="s">
        <v>13281</v>
      </c>
      <c r="P1747" s="10"/>
      <c r="Q1747" s="10" t="s">
        <v>94</v>
      </c>
      <c r="R1747" s="10"/>
      <c r="S1747" s="19" t="s">
        <v>13282</v>
      </c>
      <c r="T1747" s="19" t="s">
        <v>13283</v>
      </c>
      <c r="U1747" s="10" t="s">
        <v>7821</v>
      </c>
      <c r="V1747" s="10" t="s">
        <v>8065</v>
      </c>
      <c r="W1747" s="10" t="s">
        <v>7848</v>
      </c>
      <c r="X1747" s="10" t="s">
        <v>130</v>
      </c>
      <c r="Y1747" s="10" t="s">
        <v>130</v>
      </c>
      <c r="Z1747" s="10" t="s">
        <v>99</v>
      </c>
      <c r="AA1747" s="10" t="s">
        <v>131</v>
      </c>
      <c r="AB1747" s="10" t="s">
        <v>7849</v>
      </c>
      <c r="AC1747" s="10" t="s">
        <v>3571</v>
      </c>
      <c r="AD1747" s="10" t="s">
        <v>13284</v>
      </c>
      <c r="AE1747" s="10" t="s">
        <v>13285</v>
      </c>
      <c r="AF1747" s="15"/>
      <c r="AG1747" s="10"/>
      <c r="AH1747" s="10"/>
      <c r="AI1747" s="10"/>
      <c r="AJ1747" s="10"/>
      <c r="AK1747" s="10" t="s">
        <v>102</v>
      </c>
      <c r="AL1747" s="10" t="s">
        <v>7897</v>
      </c>
      <c r="AM1747" s="10"/>
      <c r="AN1747" s="10"/>
      <c r="AO1747" s="13" t="b">
        <v>0</v>
      </c>
      <c r="AP1747" s="10" t="s">
        <v>104</v>
      </c>
      <c r="AQ1747" s="10">
        <f ca="1">IFERROR(__xludf.DUMMYFUNCTION("""COMPUTED_VALUE"""),4773539)</f>
        <v>4773539</v>
      </c>
      <c r="AR1747" s="17">
        <v>3179</v>
      </c>
      <c r="AS1747" s="17">
        <v>2319</v>
      </c>
      <c r="AT1747" s="17">
        <v>24083</v>
      </c>
      <c r="AU1747" s="17">
        <v>1.5</v>
      </c>
      <c r="AV1747" s="17">
        <v>1</v>
      </c>
      <c r="AW1747" s="10" t="s">
        <v>105</v>
      </c>
      <c r="AX1747" s="17">
        <v>463</v>
      </c>
      <c r="AY1747" s="18">
        <v>10.385079775765416</v>
      </c>
      <c r="AZ1747" s="10" t="s">
        <v>117</v>
      </c>
      <c r="BA1747" s="20" t="b">
        <v>0</v>
      </c>
      <c r="BB1747" s="10"/>
      <c r="BC1747" s="17">
        <v>3179</v>
      </c>
      <c r="BD1747" s="17">
        <v>2319</v>
      </c>
      <c r="BE1747" s="17">
        <v>24083</v>
      </c>
      <c r="BF1747" s="17">
        <v>1</v>
      </c>
      <c r="BG1747" s="11">
        <f ca="1">IFERROR(__xludf.DUMMYFUNCTION("""COMPUTED_VALUE"""),46003.03125)</f>
        <v>46003.03125</v>
      </c>
      <c r="BH1747" s="17" t="s">
        <v>105</v>
      </c>
      <c r="BI1747" s="17"/>
      <c r="BJ1747" s="15"/>
      <c r="BK1747" s="15"/>
      <c r="BL1747" s="13" t="b">
        <v>0</v>
      </c>
      <c r="BM1747" s="10"/>
      <c r="BN1747" s="10" t="s">
        <v>137</v>
      </c>
      <c r="BO1747" s="11">
        <v>45904.304861111108</v>
      </c>
      <c r="BP1747" s="11">
        <v>45993.713912037034</v>
      </c>
      <c r="BQ1747" s="15">
        <v>45999.465289351851</v>
      </c>
      <c r="BR1747" s="15">
        <v>46001.469224537039</v>
      </c>
      <c r="BS1747" s="10" t="s">
        <v>137</v>
      </c>
      <c r="BT1747" s="10" t="s">
        <v>99</v>
      </c>
      <c r="BU1747" s="10"/>
      <c r="BV1747" s="10"/>
      <c r="BW1747" s="10"/>
      <c r="BX1747" s="10"/>
      <c r="BY1747" s="23"/>
      <c r="BZ1747" s="23"/>
      <c r="CA1747" s="19" t="s">
        <v>13286</v>
      </c>
      <c r="CB1747" s="19" t="s">
        <v>13287</v>
      </c>
      <c r="CC1747" s="23"/>
      <c r="CD1747" s="23"/>
      <c r="CE1747" s="23"/>
      <c r="CF1747" s="23"/>
      <c r="CG1747" s="23"/>
      <c r="CH1747" s="23"/>
      <c r="CI1747" s="23"/>
    </row>
    <row r="1748" spans="1:87" x14ac:dyDescent="0.3">
      <c r="A1748" s="9" t="s">
        <v>13288</v>
      </c>
      <c r="B1748" s="10" t="s">
        <v>13289</v>
      </c>
      <c r="C1748" s="11">
        <v>46003.03125</v>
      </c>
      <c r="D1748" s="12">
        <v>8.3333333333333329E-2</v>
      </c>
      <c r="E1748" s="11">
        <v>46003.114583333336</v>
      </c>
      <c r="F1748" s="10" t="s">
        <v>7843</v>
      </c>
      <c r="G1748" s="13" t="b">
        <v>0</v>
      </c>
      <c r="H1748" s="10" t="s">
        <v>5239</v>
      </c>
      <c r="I1748" s="10" t="s">
        <v>89</v>
      </c>
      <c r="J1748" s="13" t="b">
        <v>0</v>
      </c>
      <c r="K1748" s="13" t="b">
        <v>1</v>
      </c>
      <c r="L1748" s="10" t="s">
        <v>124</v>
      </c>
      <c r="M1748" s="10" t="s">
        <v>91</v>
      </c>
      <c r="N1748" s="10" t="s">
        <v>92</v>
      </c>
      <c r="O1748" s="19" t="s">
        <v>13290</v>
      </c>
      <c r="P1748" s="10"/>
      <c r="Q1748" s="10" t="s">
        <v>94</v>
      </c>
      <c r="R1748" s="10"/>
      <c r="S1748" s="19" t="s">
        <v>13291</v>
      </c>
      <c r="T1748" s="19" t="s">
        <v>13292</v>
      </c>
      <c r="U1748" s="10" t="s">
        <v>3600</v>
      </c>
      <c r="V1748" s="10" t="s">
        <v>3567</v>
      </c>
      <c r="W1748" s="10" t="s">
        <v>7848</v>
      </c>
      <c r="X1748" s="10" t="s">
        <v>130</v>
      </c>
      <c r="Y1748" s="10" t="s">
        <v>130</v>
      </c>
      <c r="Z1748" s="10" t="s">
        <v>99</v>
      </c>
      <c r="AA1748" s="10" t="s">
        <v>131</v>
      </c>
      <c r="AB1748" s="10" t="s">
        <v>7849</v>
      </c>
      <c r="AC1748" s="10" t="s">
        <v>3571</v>
      </c>
      <c r="AD1748" s="10" t="s">
        <v>13293</v>
      </c>
      <c r="AE1748" s="10" t="s">
        <v>13294</v>
      </c>
      <c r="AF1748" s="15"/>
      <c r="AG1748" s="10"/>
      <c r="AH1748" s="10"/>
      <c r="AI1748" s="10"/>
      <c r="AJ1748" s="10"/>
      <c r="AK1748" s="10" t="s">
        <v>102</v>
      </c>
      <c r="AL1748" s="10" t="s">
        <v>7897</v>
      </c>
      <c r="AM1748" s="10"/>
      <c r="AN1748" s="10"/>
      <c r="AO1748" s="13" t="b">
        <v>0</v>
      </c>
      <c r="AP1748" s="10" t="s">
        <v>104</v>
      </c>
      <c r="AQ1748" s="10">
        <f ca="1">IFERROR(__xludf.DUMMYFUNCTION("""COMPUTED_VALUE"""),4773533)</f>
        <v>4773533</v>
      </c>
      <c r="AR1748" s="17">
        <v>1910</v>
      </c>
      <c r="AS1748" s="17">
        <v>1162</v>
      </c>
      <c r="AT1748" s="17">
        <v>16329</v>
      </c>
      <c r="AU1748" s="17">
        <v>1.25</v>
      </c>
      <c r="AV1748" s="17">
        <v>1.25</v>
      </c>
      <c r="AW1748" s="10" t="s">
        <v>105</v>
      </c>
      <c r="AX1748" s="17">
        <v>267</v>
      </c>
      <c r="AY1748" s="18">
        <v>14.05249569707401</v>
      </c>
      <c r="AZ1748" s="10" t="s">
        <v>117</v>
      </c>
      <c r="BA1748" s="20" t="b">
        <v>0</v>
      </c>
      <c r="BB1748" s="10"/>
      <c r="BC1748" s="17">
        <v>1910</v>
      </c>
      <c r="BD1748" s="17">
        <v>1162</v>
      </c>
      <c r="BE1748" s="17">
        <v>16329</v>
      </c>
      <c r="BF1748" s="17">
        <v>1.25</v>
      </c>
      <c r="BG1748" s="11">
        <f ca="1">IFERROR(__xludf.DUMMYFUNCTION("""COMPUTED_VALUE"""),46003.03125)</f>
        <v>46003.03125</v>
      </c>
      <c r="BH1748" s="17" t="s">
        <v>105</v>
      </c>
      <c r="BI1748" s="17"/>
      <c r="BJ1748" s="15"/>
      <c r="BK1748" s="15"/>
      <c r="BL1748" s="13" t="b">
        <v>0</v>
      </c>
      <c r="BM1748" s="10"/>
      <c r="BN1748" s="10" t="s">
        <v>137</v>
      </c>
      <c r="BO1748" s="11">
        <v>45904.304861111108</v>
      </c>
      <c r="BP1748" s="11">
        <v>45993.714016203703</v>
      </c>
      <c r="BQ1748" s="15">
        <v>45999.464953703704</v>
      </c>
      <c r="BR1748" s="15">
        <v>46001.468842592592</v>
      </c>
      <c r="BS1748" s="10" t="s">
        <v>137</v>
      </c>
      <c r="BT1748" s="10" t="s">
        <v>99</v>
      </c>
      <c r="BU1748" s="10"/>
      <c r="BV1748" s="10"/>
      <c r="BW1748" s="10"/>
      <c r="BX1748" s="10"/>
      <c r="BY1748" s="23"/>
      <c r="BZ1748" s="23"/>
      <c r="CA1748" s="19" t="s">
        <v>13295</v>
      </c>
      <c r="CB1748" s="19" t="s">
        <v>13296</v>
      </c>
      <c r="CC1748" s="23"/>
      <c r="CD1748" s="23"/>
      <c r="CE1748" s="23"/>
      <c r="CF1748" s="23"/>
      <c r="CG1748" s="23"/>
      <c r="CH1748" s="23"/>
      <c r="CI1748" s="23"/>
    </row>
    <row r="1749" spans="1:87" x14ac:dyDescent="0.3">
      <c r="A1749" s="9" t="s">
        <v>13297</v>
      </c>
      <c r="B1749" s="10" t="s">
        <v>13298</v>
      </c>
      <c r="C1749" s="11">
        <v>46003.03125</v>
      </c>
      <c r="D1749" s="12">
        <v>8.3333333333333329E-2</v>
      </c>
      <c r="E1749" s="11">
        <v>46003.114583333336</v>
      </c>
      <c r="F1749" s="10" t="s">
        <v>7843</v>
      </c>
      <c r="G1749" s="13" t="b">
        <v>0</v>
      </c>
      <c r="H1749" s="10" t="s">
        <v>3564</v>
      </c>
      <c r="I1749" s="10" t="s">
        <v>89</v>
      </c>
      <c r="J1749" s="13" t="b">
        <v>0</v>
      </c>
      <c r="K1749" s="13" t="b">
        <v>1</v>
      </c>
      <c r="L1749" s="10" t="s">
        <v>124</v>
      </c>
      <c r="M1749" s="10" t="s">
        <v>91</v>
      </c>
      <c r="N1749" s="10" t="s">
        <v>92</v>
      </c>
      <c r="O1749" s="19" t="s">
        <v>13299</v>
      </c>
      <c r="P1749" s="10"/>
      <c r="Q1749" s="10" t="s">
        <v>126</v>
      </c>
      <c r="R1749" s="10"/>
      <c r="S1749" s="19" t="s">
        <v>13300</v>
      </c>
      <c r="T1749" s="19" t="s">
        <v>13301</v>
      </c>
      <c r="U1749" s="10" t="s">
        <v>12559</v>
      </c>
      <c r="V1749" s="10" t="s">
        <v>5102</v>
      </c>
      <c r="W1749" s="10" t="s">
        <v>7848</v>
      </c>
      <c r="X1749" s="10" t="s">
        <v>130</v>
      </c>
      <c r="Y1749" s="10" t="s">
        <v>130</v>
      </c>
      <c r="Z1749" s="10" t="s">
        <v>99</v>
      </c>
      <c r="AA1749" s="10" t="s">
        <v>131</v>
      </c>
      <c r="AB1749" s="10" t="s">
        <v>7849</v>
      </c>
      <c r="AC1749" s="10" t="s">
        <v>3571</v>
      </c>
      <c r="AD1749" s="10" t="s">
        <v>13302</v>
      </c>
      <c r="AE1749" s="10" t="s">
        <v>13303</v>
      </c>
      <c r="AF1749" s="15"/>
      <c r="AG1749" s="10"/>
      <c r="AH1749" s="10"/>
      <c r="AI1749" s="10"/>
      <c r="AJ1749" s="10"/>
      <c r="AK1749" s="10" t="s">
        <v>102</v>
      </c>
      <c r="AL1749" s="10" t="s">
        <v>7897</v>
      </c>
      <c r="AM1749" s="10"/>
      <c r="AN1749" s="10"/>
      <c r="AO1749" s="13" t="b">
        <v>0</v>
      </c>
      <c r="AP1749" s="10" t="s">
        <v>104</v>
      </c>
      <c r="AQ1749" s="10">
        <f ca="1">IFERROR(__xludf.DUMMYFUNCTION("""COMPUTED_VALUE"""),4773302)</f>
        <v>4773302</v>
      </c>
      <c r="AR1749" s="17">
        <v>5912</v>
      </c>
      <c r="AS1749" s="17">
        <v>4507</v>
      </c>
      <c r="AT1749" s="17">
        <v>117920.5</v>
      </c>
      <c r="AU1749" s="17">
        <v>6.6</v>
      </c>
      <c r="AV1749" s="17">
        <v>2.5</v>
      </c>
      <c r="AW1749" s="10" t="s">
        <v>105</v>
      </c>
      <c r="AX1749" s="17">
        <v>1259</v>
      </c>
      <c r="AY1749" s="18">
        <v>26.163856223652097</v>
      </c>
      <c r="AZ1749" s="10" t="s">
        <v>117</v>
      </c>
      <c r="BA1749" s="20" t="b">
        <v>0</v>
      </c>
      <c r="BB1749" s="10"/>
      <c r="BC1749" s="17">
        <v>5912</v>
      </c>
      <c r="BD1749" s="17">
        <v>4507</v>
      </c>
      <c r="BE1749" s="17">
        <v>117920.5</v>
      </c>
      <c r="BF1749" s="17">
        <v>2.5</v>
      </c>
      <c r="BG1749" s="11">
        <f ca="1">IFERROR(__xludf.DUMMYFUNCTION("""COMPUTED_VALUE"""),46003.03125)</f>
        <v>46003.03125</v>
      </c>
      <c r="BH1749" s="17" t="s">
        <v>105</v>
      </c>
      <c r="BI1749" s="17"/>
      <c r="BJ1749" s="15"/>
      <c r="BK1749" s="15"/>
      <c r="BL1749" s="13" t="b">
        <v>0</v>
      </c>
      <c r="BM1749" s="10"/>
      <c r="BN1749" s="10" t="s">
        <v>1057</v>
      </c>
      <c r="BO1749" s="11">
        <v>45904.304861111108</v>
      </c>
      <c r="BP1749" s="11">
        <v>45993.714895833335</v>
      </c>
      <c r="BQ1749" s="15">
        <v>45999.464594907404</v>
      </c>
      <c r="BR1749" s="15">
        <v>46000.454641203702</v>
      </c>
      <c r="BS1749" s="10"/>
      <c r="BT1749" s="10" t="s">
        <v>279</v>
      </c>
      <c r="BU1749" s="10"/>
      <c r="BV1749" s="10"/>
      <c r="BW1749" s="10"/>
      <c r="BX1749" s="10"/>
      <c r="BY1749" s="23"/>
      <c r="BZ1749" s="23"/>
      <c r="CA1749" s="19" t="s">
        <v>13304</v>
      </c>
      <c r="CB1749" s="19" t="s">
        <v>13305</v>
      </c>
      <c r="CC1749" s="23"/>
      <c r="CD1749" s="19" t="s">
        <v>13306</v>
      </c>
      <c r="CE1749" s="23"/>
      <c r="CF1749" s="23"/>
      <c r="CG1749" s="23"/>
      <c r="CH1749" s="23"/>
      <c r="CI1749" s="23"/>
    </row>
    <row r="1750" spans="1:87" x14ac:dyDescent="0.3">
      <c r="A1750" s="9" t="s">
        <v>13307</v>
      </c>
      <c r="B1750" s="10" t="s">
        <v>13308</v>
      </c>
      <c r="C1750" s="11">
        <v>46003.03125</v>
      </c>
      <c r="D1750" s="12">
        <v>8.3333333333333329E-2</v>
      </c>
      <c r="E1750" s="11">
        <v>46003.114583333336</v>
      </c>
      <c r="F1750" s="10" t="s">
        <v>7843</v>
      </c>
      <c r="G1750" s="13" t="b">
        <v>0</v>
      </c>
      <c r="H1750" s="10" t="s">
        <v>5239</v>
      </c>
      <c r="I1750" s="10" t="s">
        <v>89</v>
      </c>
      <c r="J1750" s="13" t="b">
        <v>0</v>
      </c>
      <c r="K1750" s="13" t="b">
        <v>1</v>
      </c>
      <c r="L1750" s="10" t="s">
        <v>124</v>
      </c>
      <c r="M1750" s="10" t="s">
        <v>91</v>
      </c>
      <c r="N1750" s="10" t="s">
        <v>92</v>
      </c>
      <c r="O1750" s="19" t="s">
        <v>13309</v>
      </c>
      <c r="P1750" s="10"/>
      <c r="Q1750" s="10" t="s">
        <v>94</v>
      </c>
      <c r="R1750" s="10"/>
      <c r="S1750" s="19" t="s">
        <v>13310</v>
      </c>
      <c r="T1750" s="19" t="s">
        <v>13311</v>
      </c>
      <c r="U1750" s="10" t="s">
        <v>8555</v>
      </c>
      <c r="V1750" s="10" t="s">
        <v>3591</v>
      </c>
      <c r="W1750" s="10" t="s">
        <v>7848</v>
      </c>
      <c r="X1750" s="10" t="s">
        <v>130</v>
      </c>
      <c r="Y1750" s="10" t="s">
        <v>130</v>
      </c>
      <c r="Z1750" s="10" t="s">
        <v>99</v>
      </c>
      <c r="AA1750" s="10" t="s">
        <v>131</v>
      </c>
      <c r="AB1750" s="10" t="s">
        <v>7849</v>
      </c>
      <c r="AC1750" s="10" t="s">
        <v>3571</v>
      </c>
      <c r="AD1750" s="10" t="s">
        <v>13312</v>
      </c>
      <c r="AE1750" s="10" t="s">
        <v>13313</v>
      </c>
      <c r="AF1750" s="15"/>
      <c r="AG1750" s="10"/>
      <c r="AH1750" s="10"/>
      <c r="AI1750" s="10"/>
      <c r="AJ1750" s="10"/>
      <c r="AK1750" s="10" t="s">
        <v>102</v>
      </c>
      <c r="AL1750" s="10" t="s">
        <v>7897</v>
      </c>
      <c r="AM1750" s="10"/>
      <c r="AN1750" s="10"/>
      <c r="AO1750" s="13" t="b">
        <v>0</v>
      </c>
      <c r="AP1750" s="10" t="s">
        <v>104</v>
      </c>
      <c r="AQ1750" s="10">
        <f ca="1">IFERROR(__xludf.DUMMYFUNCTION("""COMPUTED_VALUE"""),4773541)</f>
        <v>4773541</v>
      </c>
      <c r="AR1750" s="17">
        <v>700</v>
      </c>
      <c r="AS1750" s="17">
        <v>486</v>
      </c>
      <c r="AT1750" s="17">
        <v>5578.5</v>
      </c>
      <c r="AU1750" s="17">
        <v>1.1499999999999999</v>
      </c>
      <c r="AV1750" s="17">
        <v>0</v>
      </c>
      <c r="AW1750" s="10" t="s">
        <v>105</v>
      </c>
      <c r="AX1750" s="17">
        <v>98</v>
      </c>
      <c r="AY1750" s="18">
        <v>11.478395061728396</v>
      </c>
      <c r="AZ1750" s="10" t="s">
        <v>117</v>
      </c>
      <c r="BA1750" s="20" t="b">
        <v>0</v>
      </c>
      <c r="BB1750" s="10"/>
      <c r="BC1750" s="17">
        <v>700</v>
      </c>
      <c r="BD1750" s="17">
        <v>486</v>
      </c>
      <c r="BE1750" s="17">
        <v>5578.5</v>
      </c>
      <c r="BF1750" s="17">
        <v>0</v>
      </c>
      <c r="BG1750" s="11">
        <f ca="1">IFERROR(__xludf.DUMMYFUNCTION("""COMPUTED_VALUE"""),46003.03125)</f>
        <v>46003.03125</v>
      </c>
      <c r="BH1750" s="17" t="s">
        <v>105</v>
      </c>
      <c r="BI1750" s="17"/>
      <c r="BJ1750" s="15"/>
      <c r="BK1750" s="15"/>
      <c r="BL1750" s="13" t="b">
        <v>0</v>
      </c>
      <c r="BM1750" s="10"/>
      <c r="BN1750" s="10" t="s">
        <v>137</v>
      </c>
      <c r="BO1750" s="11">
        <v>45904.304861111108</v>
      </c>
      <c r="BP1750" s="11">
        <v>45993.714236111111</v>
      </c>
      <c r="BQ1750" s="15">
        <v>45999.465416666666</v>
      </c>
      <c r="BR1750" s="15">
        <v>46001.46943287037</v>
      </c>
      <c r="BS1750" s="10" t="s">
        <v>137</v>
      </c>
      <c r="BT1750" s="10" t="s">
        <v>99</v>
      </c>
      <c r="BU1750" s="10"/>
      <c r="BV1750" s="10"/>
      <c r="BW1750" s="10"/>
      <c r="BX1750" s="10"/>
      <c r="BY1750" s="23"/>
      <c r="BZ1750" s="23"/>
      <c r="CA1750" s="19" t="s">
        <v>13314</v>
      </c>
      <c r="CB1750" s="19" t="s">
        <v>13315</v>
      </c>
      <c r="CC1750" s="23"/>
      <c r="CD1750" s="23"/>
      <c r="CE1750" s="23"/>
      <c r="CF1750" s="23"/>
      <c r="CG1750" s="23"/>
      <c r="CH1750" s="23"/>
      <c r="CI1750" s="23"/>
    </row>
    <row r="1751" spans="1:87" x14ac:dyDescent="0.3">
      <c r="A1751" s="9" t="s">
        <v>13316</v>
      </c>
      <c r="B1751" s="10" t="s">
        <v>13317</v>
      </c>
      <c r="C1751" s="11">
        <v>46003.03125</v>
      </c>
      <c r="D1751" s="12">
        <v>8.3333333333333329E-2</v>
      </c>
      <c r="E1751" s="11">
        <v>46003.114583333336</v>
      </c>
      <c r="F1751" s="10" t="s">
        <v>7843</v>
      </c>
      <c r="G1751" s="13" t="b">
        <v>0</v>
      </c>
      <c r="H1751" s="10" t="s">
        <v>5239</v>
      </c>
      <c r="I1751" s="10" t="s">
        <v>89</v>
      </c>
      <c r="J1751" s="13" t="b">
        <v>0</v>
      </c>
      <c r="K1751" s="13" t="b">
        <v>1</v>
      </c>
      <c r="L1751" s="10" t="s">
        <v>124</v>
      </c>
      <c r="M1751" s="10" t="s">
        <v>91</v>
      </c>
      <c r="N1751" s="10" t="s">
        <v>92</v>
      </c>
      <c r="O1751" s="19" t="s">
        <v>13318</v>
      </c>
      <c r="P1751" s="10"/>
      <c r="Q1751" s="10" t="s">
        <v>94</v>
      </c>
      <c r="R1751" s="10"/>
      <c r="S1751" s="19" t="s">
        <v>13319</v>
      </c>
      <c r="T1751" s="19" t="s">
        <v>13320</v>
      </c>
      <c r="U1751" s="10" t="s">
        <v>12523</v>
      </c>
      <c r="V1751" s="10" t="s">
        <v>7846</v>
      </c>
      <c r="W1751" s="10" t="s">
        <v>7848</v>
      </c>
      <c r="X1751" s="10" t="s">
        <v>130</v>
      </c>
      <c r="Y1751" s="10" t="s">
        <v>130</v>
      </c>
      <c r="Z1751" s="10" t="s">
        <v>99</v>
      </c>
      <c r="AA1751" s="10" t="s">
        <v>131</v>
      </c>
      <c r="AB1751" s="10" t="s">
        <v>7849</v>
      </c>
      <c r="AC1751" s="10" t="s">
        <v>3571</v>
      </c>
      <c r="AD1751" s="10" t="s">
        <v>13321</v>
      </c>
      <c r="AE1751" s="10" t="s">
        <v>13322</v>
      </c>
      <c r="AF1751" s="15"/>
      <c r="AG1751" s="10"/>
      <c r="AH1751" s="10"/>
      <c r="AI1751" s="10"/>
      <c r="AJ1751" s="10"/>
      <c r="AK1751" s="10" t="s">
        <v>102</v>
      </c>
      <c r="AL1751" s="10" t="s">
        <v>7897</v>
      </c>
      <c r="AM1751" s="10"/>
      <c r="AN1751" s="10"/>
      <c r="AO1751" s="13" t="b">
        <v>0</v>
      </c>
      <c r="AP1751" s="10" t="s">
        <v>104</v>
      </c>
      <c r="AQ1751" s="10">
        <f ca="1">IFERROR(__xludf.DUMMYFUNCTION("""COMPUTED_VALUE"""),4773535)</f>
        <v>4773535</v>
      </c>
      <c r="AR1751" s="17">
        <v>1154</v>
      </c>
      <c r="AS1751" s="17">
        <v>757</v>
      </c>
      <c r="AT1751" s="17">
        <v>6721.5</v>
      </c>
      <c r="AU1751" s="17">
        <v>0.75</v>
      </c>
      <c r="AV1751" s="17">
        <v>0.75</v>
      </c>
      <c r="AW1751" s="10" t="s">
        <v>105</v>
      </c>
      <c r="AX1751" s="17">
        <v>203</v>
      </c>
      <c r="AY1751" s="18">
        <v>8.8791281373844129</v>
      </c>
      <c r="AZ1751" s="10" t="s">
        <v>117</v>
      </c>
      <c r="BA1751" s="20" t="b">
        <v>0</v>
      </c>
      <c r="BB1751" s="10"/>
      <c r="BC1751" s="17">
        <v>1154</v>
      </c>
      <c r="BD1751" s="17">
        <v>757</v>
      </c>
      <c r="BE1751" s="17">
        <v>6721.5</v>
      </c>
      <c r="BF1751" s="17">
        <v>0.75</v>
      </c>
      <c r="BG1751" s="11">
        <f ca="1">IFERROR(__xludf.DUMMYFUNCTION("""COMPUTED_VALUE"""),46003.03125)</f>
        <v>46003.03125</v>
      </c>
      <c r="BH1751" s="17" t="s">
        <v>105</v>
      </c>
      <c r="BI1751" s="17"/>
      <c r="BJ1751" s="15"/>
      <c r="BK1751" s="15"/>
      <c r="BL1751" s="13" t="b">
        <v>0</v>
      </c>
      <c r="BM1751" s="10"/>
      <c r="BN1751" s="10" t="s">
        <v>137</v>
      </c>
      <c r="BO1751" s="11">
        <v>45904.304861111108</v>
      </c>
      <c r="BP1751" s="11">
        <v>45993.714328703703</v>
      </c>
      <c r="BQ1751" s="15">
        <v>45999.465057870373</v>
      </c>
      <c r="BR1751" s="15">
        <v>46001.468993055554</v>
      </c>
      <c r="BS1751" s="10" t="s">
        <v>137</v>
      </c>
      <c r="BT1751" s="10" t="s">
        <v>99</v>
      </c>
      <c r="BU1751" s="10"/>
      <c r="BV1751" s="10"/>
      <c r="BW1751" s="10"/>
      <c r="BX1751" s="10"/>
      <c r="BY1751" s="23"/>
      <c r="BZ1751" s="23"/>
      <c r="CA1751" s="19" t="s">
        <v>13323</v>
      </c>
      <c r="CB1751" s="19" t="s">
        <v>13324</v>
      </c>
      <c r="CC1751" s="23"/>
      <c r="CD1751" s="23"/>
      <c r="CE1751" s="23"/>
      <c r="CF1751" s="23"/>
      <c r="CG1751" s="23"/>
      <c r="CH1751" s="23"/>
      <c r="CI1751" s="23"/>
    </row>
    <row r="1752" spans="1:87" x14ac:dyDescent="0.3">
      <c r="A1752" s="9" t="s">
        <v>13325</v>
      </c>
      <c r="B1752" s="10" t="s">
        <v>13326</v>
      </c>
      <c r="C1752" s="11">
        <v>46003.03125</v>
      </c>
      <c r="D1752" s="12">
        <v>8.3333333333333329E-2</v>
      </c>
      <c r="E1752" s="11">
        <v>46003.114583333336</v>
      </c>
      <c r="F1752" s="10" t="s">
        <v>7843</v>
      </c>
      <c r="G1752" s="13" t="b">
        <v>0</v>
      </c>
      <c r="H1752" s="10" t="s">
        <v>11460</v>
      </c>
      <c r="I1752" s="10" t="s">
        <v>89</v>
      </c>
      <c r="J1752" s="13" t="b">
        <v>0</v>
      </c>
      <c r="K1752" s="13" t="b">
        <v>1</v>
      </c>
      <c r="L1752" s="10" t="s">
        <v>124</v>
      </c>
      <c r="M1752" s="10" t="s">
        <v>91</v>
      </c>
      <c r="N1752" s="10" t="s">
        <v>92</v>
      </c>
      <c r="O1752" s="19" t="s">
        <v>13327</v>
      </c>
      <c r="P1752" s="10"/>
      <c r="Q1752" s="10" t="s">
        <v>126</v>
      </c>
      <c r="R1752" s="10"/>
      <c r="S1752" s="19" t="s">
        <v>13328</v>
      </c>
      <c r="T1752" s="19" t="s">
        <v>13329</v>
      </c>
      <c r="U1752" s="10" t="s">
        <v>8476</v>
      </c>
      <c r="V1752" s="10" t="s">
        <v>320</v>
      </c>
      <c r="W1752" s="10" t="s">
        <v>7848</v>
      </c>
      <c r="X1752" s="10" t="s">
        <v>130</v>
      </c>
      <c r="Y1752" s="10" t="s">
        <v>130</v>
      </c>
      <c r="Z1752" s="10" t="s">
        <v>99</v>
      </c>
      <c r="AA1752" s="10" t="s">
        <v>131</v>
      </c>
      <c r="AB1752" s="10" t="s">
        <v>7849</v>
      </c>
      <c r="AC1752" s="10" t="s">
        <v>3571</v>
      </c>
      <c r="AD1752" s="10" t="s">
        <v>13330</v>
      </c>
      <c r="AE1752" s="10" t="s">
        <v>13331</v>
      </c>
      <c r="AF1752" s="15"/>
      <c r="AG1752" s="10"/>
      <c r="AH1752" s="10"/>
      <c r="AI1752" s="10"/>
      <c r="AJ1752" s="10"/>
      <c r="AK1752" s="10" t="s">
        <v>102</v>
      </c>
      <c r="AL1752" s="10" t="s">
        <v>7897</v>
      </c>
      <c r="AM1752" s="10"/>
      <c r="AN1752" s="10"/>
      <c r="AO1752" s="13" t="b">
        <v>1</v>
      </c>
      <c r="AP1752" s="10" t="s">
        <v>104</v>
      </c>
      <c r="AQ1752" s="10">
        <f ca="1">IFERROR(__xludf.DUMMYFUNCTION("""COMPUTED_VALUE"""),4773545)</f>
        <v>4773545</v>
      </c>
      <c r="AR1752" s="17">
        <v>19588</v>
      </c>
      <c r="AS1752" s="17">
        <v>15634</v>
      </c>
      <c r="AT1752" s="17">
        <v>504471.25</v>
      </c>
      <c r="AU1752" s="17">
        <v>25.9</v>
      </c>
      <c r="AV1752" s="17">
        <v>10.7</v>
      </c>
      <c r="AW1752" s="10" t="s">
        <v>105</v>
      </c>
      <c r="AX1752" s="17">
        <v>4802</v>
      </c>
      <c r="AY1752" s="18">
        <v>32.267573877446594</v>
      </c>
      <c r="AZ1752" s="10" t="s">
        <v>117</v>
      </c>
      <c r="BA1752" s="20" t="b">
        <v>0</v>
      </c>
      <c r="BB1752" s="10"/>
      <c r="BC1752" s="17">
        <v>19588</v>
      </c>
      <c r="BD1752" s="17">
        <v>15634</v>
      </c>
      <c r="BE1752" s="17">
        <v>504471.25</v>
      </c>
      <c r="BF1752" s="17">
        <v>10.7</v>
      </c>
      <c r="BG1752" s="11">
        <f ca="1">IFERROR(__xludf.DUMMYFUNCTION("""COMPUTED_VALUE"""),46003.03125)</f>
        <v>46003.03125</v>
      </c>
      <c r="BH1752" s="17" t="s">
        <v>105</v>
      </c>
      <c r="BI1752" s="17"/>
      <c r="BJ1752" s="15"/>
      <c r="BK1752" s="15"/>
      <c r="BL1752" s="13" t="b">
        <v>0</v>
      </c>
      <c r="BM1752" s="10"/>
      <c r="BN1752" s="10" t="s">
        <v>1057</v>
      </c>
      <c r="BO1752" s="11">
        <v>45904.304861111108</v>
      </c>
      <c r="BP1752" s="11">
        <v>45993.714618055557</v>
      </c>
      <c r="BQ1752" s="15">
        <v>45999.465567129628</v>
      </c>
      <c r="BR1752" s="15">
        <v>46001.469525462962</v>
      </c>
      <c r="BS1752" s="10"/>
      <c r="BT1752" s="10" t="s">
        <v>279</v>
      </c>
      <c r="BU1752" s="10"/>
      <c r="BV1752" s="10" t="s">
        <v>124</v>
      </c>
      <c r="BW1752" s="10" t="s">
        <v>12860</v>
      </c>
      <c r="BX1752" s="10"/>
      <c r="BY1752" s="23"/>
      <c r="BZ1752" s="23"/>
      <c r="CA1752" s="19" t="s">
        <v>13332</v>
      </c>
      <c r="CB1752" s="19" t="s">
        <v>13333</v>
      </c>
      <c r="CC1752" s="23"/>
      <c r="CD1752" s="19" t="s">
        <v>13334</v>
      </c>
      <c r="CE1752" s="23"/>
      <c r="CF1752" s="23"/>
      <c r="CG1752" s="23"/>
      <c r="CH1752" s="23"/>
      <c r="CI1752" s="23"/>
    </row>
    <row r="1753" spans="1:87" x14ac:dyDescent="0.3">
      <c r="A1753" s="9" t="s">
        <v>13335</v>
      </c>
      <c r="B1753" s="10" t="s">
        <v>13336</v>
      </c>
      <c r="C1753" s="11">
        <v>46003.03125</v>
      </c>
      <c r="D1753" s="12">
        <v>8.3333333333333329E-2</v>
      </c>
      <c r="E1753" s="11">
        <v>46003.114583333336</v>
      </c>
      <c r="F1753" s="10" t="s">
        <v>7843</v>
      </c>
      <c r="G1753" s="13" t="b">
        <v>0</v>
      </c>
      <c r="H1753" s="10" t="s">
        <v>5239</v>
      </c>
      <c r="I1753" s="10" t="s">
        <v>89</v>
      </c>
      <c r="J1753" s="13" t="b">
        <v>0</v>
      </c>
      <c r="K1753" s="13" t="b">
        <v>1</v>
      </c>
      <c r="L1753" s="10" t="s">
        <v>124</v>
      </c>
      <c r="M1753" s="10" t="s">
        <v>91</v>
      </c>
      <c r="N1753" s="10" t="s">
        <v>92</v>
      </c>
      <c r="O1753" s="19" t="s">
        <v>13337</v>
      </c>
      <c r="P1753" s="10"/>
      <c r="Q1753" s="10" t="s">
        <v>94</v>
      </c>
      <c r="R1753" s="10"/>
      <c r="S1753" s="19" t="s">
        <v>13338</v>
      </c>
      <c r="T1753" s="19" t="s">
        <v>13339</v>
      </c>
      <c r="U1753" s="10" t="s">
        <v>12504</v>
      </c>
      <c r="V1753" s="10" t="s">
        <v>12644</v>
      </c>
      <c r="W1753" s="10" t="s">
        <v>7848</v>
      </c>
      <c r="X1753" s="10" t="s">
        <v>130</v>
      </c>
      <c r="Y1753" s="10" t="s">
        <v>130</v>
      </c>
      <c r="Z1753" s="10" t="s">
        <v>99</v>
      </c>
      <c r="AA1753" s="10" t="s">
        <v>131</v>
      </c>
      <c r="AB1753" s="10" t="s">
        <v>7849</v>
      </c>
      <c r="AC1753" s="10" t="s">
        <v>3571</v>
      </c>
      <c r="AD1753" s="10" t="s">
        <v>13340</v>
      </c>
      <c r="AE1753" s="10" t="s">
        <v>13341</v>
      </c>
      <c r="AF1753" s="15"/>
      <c r="AG1753" s="10"/>
      <c r="AH1753" s="10"/>
      <c r="AI1753" s="10"/>
      <c r="AJ1753" s="10"/>
      <c r="AK1753" s="10" t="s">
        <v>102</v>
      </c>
      <c r="AL1753" s="10" t="s">
        <v>7897</v>
      </c>
      <c r="AM1753" s="10"/>
      <c r="AN1753" s="10"/>
      <c r="AO1753" s="13" t="b">
        <v>0</v>
      </c>
      <c r="AP1753" s="10" t="s">
        <v>104</v>
      </c>
      <c r="AQ1753" s="10">
        <f ca="1">IFERROR(__xludf.DUMMYFUNCTION("""COMPUTED_VALUE"""),4773537)</f>
        <v>4773537</v>
      </c>
      <c r="AR1753" s="17">
        <v>1862</v>
      </c>
      <c r="AS1753" s="17">
        <v>1136</v>
      </c>
      <c r="AT1753" s="17">
        <v>22329.5</v>
      </c>
      <c r="AU1753" s="17">
        <v>1.5</v>
      </c>
      <c r="AV1753" s="17">
        <v>0</v>
      </c>
      <c r="AW1753" s="10" t="s">
        <v>105</v>
      </c>
      <c r="AX1753" s="17">
        <v>313</v>
      </c>
      <c r="AY1753" s="18">
        <v>19.65625</v>
      </c>
      <c r="AZ1753" s="10" t="s">
        <v>117</v>
      </c>
      <c r="BA1753" s="20" t="b">
        <v>0</v>
      </c>
      <c r="BB1753" s="10"/>
      <c r="BC1753" s="17">
        <v>1862</v>
      </c>
      <c r="BD1753" s="17">
        <v>1136</v>
      </c>
      <c r="BE1753" s="17">
        <v>22329.5</v>
      </c>
      <c r="BF1753" s="17">
        <v>0</v>
      </c>
      <c r="BG1753" s="11">
        <f ca="1">IFERROR(__xludf.DUMMYFUNCTION("""COMPUTED_VALUE"""),46003.03125)</f>
        <v>46003.03125</v>
      </c>
      <c r="BH1753" s="17" t="s">
        <v>105</v>
      </c>
      <c r="BI1753" s="17"/>
      <c r="BJ1753" s="15"/>
      <c r="BK1753" s="15"/>
      <c r="BL1753" s="13" t="b">
        <v>0</v>
      </c>
      <c r="BM1753" s="10"/>
      <c r="BN1753" s="10" t="s">
        <v>137</v>
      </c>
      <c r="BO1753" s="11">
        <v>45904.304861111108</v>
      </c>
      <c r="BP1753" s="11">
        <v>45993.715011574073</v>
      </c>
      <c r="BQ1753" s="15">
        <v>45999.465162037035</v>
      </c>
      <c r="BR1753" s="15">
        <v>46001.46912037037</v>
      </c>
      <c r="BS1753" s="10" t="s">
        <v>137</v>
      </c>
      <c r="BT1753" s="10" t="s">
        <v>99</v>
      </c>
      <c r="BU1753" s="10"/>
      <c r="BV1753" s="10"/>
      <c r="BW1753" s="10"/>
      <c r="BX1753" s="10"/>
      <c r="BY1753" s="23"/>
      <c r="BZ1753" s="23"/>
      <c r="CA1753" s="19" t="s">
        <v>13342</v>
      </c>
      <c r="CB1753" s="19" t="s">
        <v>13343</v>
      </c>
      <c r="CC1753" s="23"/>
      <c r="CD1753" s="23"/>
      <c r="CE1753" s="23"/>
      <c r="CF1753" s="23"/>
      <c r="CG1753" s="23"/>
      <c r="CH1753" s="23"/>
      <c r="CI1753" s="23"/>
    </row>
    <row r="1754" spans="1:87" x14ac:dyDescent="0.3">
      <c r="A1754" s="9" t="s">
        <v>13344</v>
      </c>
      <c r="B1754" s="10" t="s">
        <v>13345</v>
      </c>
      <c r="C1754" s="11">
        <v>46003.03125</v>
      </c>
      <c r="D1754" s="12">
        <v>8.3333333333333329E-2</v>
      </c>
      <c r="E1754" s="11">
        <v>46003.114583333336</v>
      </c>
      <c r="F1754" s="10" t="s">
        <v>7843</v>
      </c>
      <c r="G1754" s="13" t="b">
        <v>0</v>
      </c>
      <c r="H1754" s="10" t="s">
        <v>6271</v>
      </c>
      <c r="I1754" s="10" t="s">
        <v>89</v>
      </c>
      <c r="J1754" s="13" t="b">
        <v>0</v>
      </c>
      <c r="K1754" s="13" t="b">
        <v>1</v>
      </c>
      <c r="L1754" s="10" t="s">
        <v>124</v>
      </c>
      <c r="M1754" s="10" t="s">
        <v>91</v>
      </c>
      <c r="N1754" s="10" t="s">
        <v>92</v>
      </c>
      <c r="O1754" s="19" t="s">
        <v>13346</v>
      </c>
      <c r="P1754" s="10"/>
      <c r="Q1754" s="10" t="s">
        <v>126</v>
      </c>
      <c r="R1754" s="10"/>
      <c r="S1754" s="19" t="s">
        <v>13347</v>
      </c>
      <c r="T1754" s="19" t="s">
        <v>13348</v>
      </c>
      <c r="U1754" s="10" t="s">
        <v>12625</v>
      </c>
      <c r="V1754" s="10" t="s">
        <v>12513</v>
      </c>
      <c r="W1754" s="10" t="s">
        <v>7848</v>
      </c>
      <c r="X1754" s="10" t="s">
        <v>130</v>
      </c>
      <c r="Y1754" s="10" t="s">
        <v>130</v>
      </c>
      <c r="Z1754" s="10" t="s">
        <v>99</v>
      </c>
      <c r="AA1754" s="10" t="s">
        <v>131</v>
      </c>
      <c r="AB1754" s="10" t="s">
        <v>7849</v>
      </c>
      <c r="AC1754" s="10" t="s">
        <v>3571</v>
      </c>
      <c r="AD1754" s="10" t="s">
        <v>13349</v>
      </c>
      <c r="AE1754" s="10" t="s">
        <v>13350</v>
      </c>
      <c r="AF1754" s="15"/>
      <c r="AG1754" s="10"/>
      <c r="AH1754" s="10"/>
      <c r="AI1754" s="10"/>
      <c r="AJ1754" s="10"/>
      <c r="AK1754" s="10" t="s">
        <v>102</v>
      </c>
      <c r="AL1754" s="10" t="s">
        <v>7897</v>
      </c>
      <c r="AM1754" s="10"/>
      <c r="AN1754" s="10"/>
      <c r="AO1754" s="13" t="b">
        <v>0</v>
      </c>
      <c r="AP1754" s="10" t="s">
        <v>104</v>
      </c>
      <c r="AQ1754" s="10">
        <f ca="1">IFERROR(__xludf.DUMMYFUNCTION("""COMPUTED_VALUE"""),4773311)</f>
        <v>4773311</v>
      </c>
      <c r="AR1754" s="17">
        <v>2493</v>
      </c>
      <c r="AS1754" s="17">
        <v>1637</v>
      </c>
      <c r="AT1754" s="17">
        <v>37150.75</v>
      </c>
      <c r="AU1754" s="17">
        <v>3.25</v>
      </c>
      <c r="AV1754" s="17">
        <v>0</v>
      </c>
      <c r="AW1754" s="10" t="s">
        <v>105</v>
      </c>
      <c r="AX1754" s="17">
        <v>554</v>
      </c>
      <c r="AY1754" s="18">
        <v>22.694410507025047</v>
      </c>
      <c r="AZ1754" s="10" t="s">
        <v>117</v>
      </c>
      <c r="BA1754" s="20" t="b">
        <v>0</v>
      </c>
      <c r="BB1754" s="10"/>
      <c r="BC1754" s="17">
        <v>2493</v>
      </c>
      <c r="BD1754" s="17">
        <v>1637</v>
      </c>
      <c r="BE1754" s="17">
        <v>37150.75</v>
      </c>
      <c r="BF1754" s="17">
        <v>0</v>
      </c>
      <c r="BG1754" s="11">
        <f ca="1">IFERROR(__xludf.DUMMYFUNCTION("""COMPUTED_VALUE"""),46003.03125)</f>
        <v>46003.03125</v>
      </c>
      <c r="BH1754" s="17" t="s">
        <v>105</v>
      </c>
      <c r="BI1754" s="17"/>
      <c r="BJ1754" s="15"/>
      <c r="BK1754" s="15"/>
      <c r="BL1754" s="13" t="b">
        <v>0</v>
      </c>
      <c r="BM1754" s="10"/>
      <c r="BN1754" s="10" t="s">
        <v>149</v>
      </c>
      <c r="BO1754" s="11">
        <v>45904.304861111108</v>
      </c>
      <c r="BP1754" s="11">
        <v>45993.715219907404</v>
      </c>
      <c r="BQ1754" s="15">
        <v>45999.465694444443</v>
      </c>
      <c r="BR1754" s="15">
        <v>46000.466238425928</v>
      </c>
      <c r="BS1754" s="10" t="s">
        <v>149</v>
      </c>
      <c r="BT1754" s="10" t="s">
        <v>99</v>
      </c>
      <c r="BU1754" s="10"/>
      <c r="BV1754" s="10"/>
      <c r="BW1754" s="10"/>
      <c r="BX1754" s="10"/>
      <c r="BY1754" s="23"/>
      <c r="BZ1754" s="23"/>
      <c r="CA1754" s="19" t="s">
        <v>13351</v>
      </c>
      <c r="CB1754" s="19" t="s">
        <v>13352</v>
      </c>
      <c r="CC1754" s="23"/>
      <c r="CD1754" s="19" t="s">
        <v>13353</v>
      </c>
      <c r="CE1754" s="23"/>
      <c r="CF1754" s="23"/>
      <c r="CG1754" s="23"/>
      <c r="CH1754" s="23"/>
      <c r="CI1754" s="23"/>
    </row>
    <row r="1755" spans="1:87" x14ac:dyDescent="0.3">
      <c r="A1755" s="9" t="s">
        <v>13354</v>
      </c>
      <c r="B1755" s="10" t="s">
        <v>13355</v>
      </c>
      <c r="C1755" s="11">
        <v>46003.125</v>
      </c>
      <c r="D1755" s="12">
        <v>8.3333333333333329E-2</v>
      </c>
      <c r="E1755" s="11">
        <v>46003.208333333336</v>
      </c>
      <c r="F1755" s="10" t="s">
        <v>7843</v>
      </c>
      <c r="G1755" s="13" t="b">
        <v>0</v>
      </c>
      <c r="H1755" s="10" t="s">
        <v>5239</v>
      </c>
      <c r="I1755" s="10" t="s">
        <v>89</v>
      </c>
      <c r="J1755" s="13" t="b">
        <v>0</v>
      </c>
      <c r="K1755" s="13" t="b">
        <v>1</v>
      </c>
      <c r="L1755" s="10" t="s">
        <v>124</v>
      </c>
      <c r="M1755" s="10" t="s">
        <v>91</v>
      </c>
      <c r="N1755" s="10" t="s">
        <v>92</v>
      </c>
      <c r="O1755" s="19" t="s">
        <v>13356</v>
      </c>
      <c r="P1755" s="10"/>
      <c r="Q1755" s="10" t="s">
        <v>126</v>
      </c>
      <c r="R1755" s="10"/>
      <c r="S1755" s="19" t="s">
        <v>13357</v>
      </c>
      <c r="T1755" s="19" t="s">
        <v>13358</v>
      </c>
      <c r="U1755" s="10" t="s">
        <v>5066</v>
      </c>
      <c r="V1755" s="10" t="s">
        <v>3230</v>
      </c>
      <c r="W1755" s="10" t="s">
        <v>7848</v>
      </c>
      <c r="X1755" s="10" t="s">
        <v>130</v>
      </c>
      <c r="Y1755" s="10" t="s">
        <v>130</v>
      </c>
      <c r="Z1755" s="10" t="s">
        <v>99</v>
      </c>
      <c r="AA1755" s="10" t="s">
        <v>131</v>
      </c>
      <c r="AB1755" s="10" t="s">
        <v>7849</v>
      </c>
      <c r="AC1755" s="10" t="s">
        <v>3571</v>
      </c>
      <c r="AD1755" s="10" t="s">
        <v>13359</v>
      </c>
      <c r="AE1755" s="10" t="s">
        <v>13360</v>
      </c>
      <c r="AF1755" s="15"/>
      <c r="AG1755" s="10"/>
      <c r="AH1755" s="10"/>
      <c r="AI1755" s="10"/>
      <c r="AJ1755" s="10"/>
      <c r="AK1755" s="10" t="s">
        <v>102</v>
      </c>
      <c r="AL1755" s="10" t="s">
        <v>7897</v>
      </c>
      <c r="AM1755" s="10"/>
      <c r="AN1755" s="10"/>
      <c r="AO1755" s="13" t="b">
        <v>0</v>
      </c>
      <c r="AP1755" s="10" t="s">
        <v>104</v>
      </c>
      <c r="AQ1755" s="10">
        <f ca="1">IFERROR(__xludf.DUMMYFUNCTION("""COMPUTED_VALUE"""),4773536)</f>
        <v>4773536</v>
      </c>
      <c r="AR1755" s="17">
        <v>3966</v>
      </c>
      <c r="AS1755" s="17">
        <v>2666</v>
      </c>
      <c r="AT1755" s="17">
        <v>43896.75</v>
      </c>
      <c r="AU1755" s="17">
        <v>1.8</v>
      </c>
      <c r="AV1755" s="17">
        <v>0.15</v>
      </c>
      <c r="AW1755" s="10" t="s">
        <v>105</v>
      </c>
      <c r="AX1755" s="17">
        <v>852</v>
      </c>
      <c r="AY1755" s="18">
        <v>16.46539759939985</v>
      </c>
      <c r="AZ1755" s="10" t="s">
        <v>117</v>
      </c>
      <c r="BA1755" s="20" t="b">
        <v>0</v>
      </c>
      <c r="BB1755" s="10"/>
      <c r="BC1755" s="17">
        <v>3966</v>
      </c>
      <c r="BD1755" s="17">
        <v>2666</v>
      </c>
      <c r="BE1755" s="17">
        <v>43896.75</v>
      </c>
      <c r="BF1755" s="17">
        <v>0.15</v>
      </c>
      <c r="BG1755" s="11">
        <f ca="1">IFERROR(__xludf.DUMMYFUNCTION("""COMPUTED_VALUE"""),46003.125)</f>
        <v>46003.125</v>
      </c>
      <c r="BH1755" s="17" t="s">
        <v>105</v>
      </c>
      <c r="BI1755" s="17"/>
      <c r="BJ1755" s="15"/>
      <c r="BK1755" s="15"/>
      <c r="BL1755" s="13" t="b">
        <v>0</v>
      </c>
      <c r="BM1755" s="10"/>
      <c r="BN1755" s="10" t="s">
        <v>137</v>
      </c>
      <c r="BO1755" s="11">
        <v>45904.304861111108</v>
      </c>
      <c r="BP1755" s="11">
        <v>45993.715798611112</v>
      </c>
      <c r="BQ1755" s="15">
        <v>45999.466562499998</v>
      </c>
      <c r="BR1755" s="15">
        <v>46001.47</v>
      </c>
      <c r="BS1755" s="10" t="s">
        <v>137</v>
      </c>
      <c r="BT1755" s="10" t="s">
        <v>99</v>
      </c>
      <c r="BU1755" s="10"/>
      <c r="BV1755" s="10"/>
      <c r="BW1755" s="10"/>
      <c r="BX1755" s="10"/>
      <c r="BY1755" s="23"/>
      <c r="BZ1755" s="23"/>
      <c r="CA1755" s="19" t="s">
        <v>13361</v>
      </c>
      <c r="CB1755" s="19" t="s">
        <v>13362</v>
      </c>
      <c r="CC1755" s="23"/>
      <c r="CD1755" s="19" t="s">
        <v>13363</v>
      </c>
      <c r="CE1755" s="23"/>
      <c r="CF1755" s="23"/>
      <c r="CG1755" s="23"/>
      <c r="CH1755" s="23"/>
      <c r="CI1755" s="23"/>
    </row>
    <row r="1756" spans="1:87" x14ac:dyDescent="0.3">
      <c r="A1756" s="9" t="s">
        <v>13364</v>
      </c>
      <c r="B1756" s="10" t="s">
        <v>13365</v>
      </c>
      <c r="C1756" s="11">
        <v>46003.125</v>
      </c>
      <c r="D1756" s="12">
        <v>8.3333333333333329E-2</v>
      </c>
      <c r="E1756" s="11">
        <v>46003.208333333336</v>
      </c>
      <c r="F1756" s="10" t="s">
        <v>7843</v>
      </c>
      <c r="G1756" s="13" t="b">
        <v>0</v>
      </c>
      <c r="H1756" s="10" t="s">
        <v>3578</v>
      </c>
      <c r="I1756" s="10" t="s">
        <v>89</v>
      </c>
      <c r="J1756" s="13" t="b">
        <v>0</v>
      </c>
      <c r="K1756" s="13" t="b">
        <v>1</v>
      </c>
      <c r="L1756" s="10" t="s">
        <v>124</v>
      </c>
      <c r="M1756" s="10" t="s">
        <v>91</v>
      </c>
      <c r="N1756" s="10" t="s">
        <v>92</v>
      </c>
      <c r="O1756" s="19" t="s">
        <v>13366</v>
      </c>
      <c r="P1756" s="10"/>
      <c r="Q1756" s="10" t="s">
        <v>126</v>
      </c>
      <c r="R1756" s="10"/>
      <c r="S1756" s="19" t="s">
        <v>13367</v>
      </c>
      <c r="T1756" s="19" t="s">
        <v>13368</v>
      </c>
      <c r="U1756" s="10" t="s">
        <v>12550</v>
      </c>
      <c r="V1756" s="10" t="s">
        <v>292</v>
      </c>
      <c r="W1756" s="10" t="s">
        <v>7848</v>
      </c>
      <c r="X1756" s="10" t="s">
        <v>130</v>
      </c>
      <c r="Y1756" s="10" t="s">
        <v>130</v>
      </c>
      <c r="Z1756" s="10" t="s">
        <v>99</v>
      </c>
      <c r="AA1756" s="10" t="s">
        <v>131</v>
      </c>
      <c r="AB1756" s="10" t="s">
        <v>7849</v>
      </c>
      <c r="AC1756" s="10" t="s">
        <v>3571</v>
      </c>
      <c r="AD1756" s="10" t="s">
        <v>13369</v>
      </c>
      <c r="AE1756" s="10" t="s">
        <v>13370</v>
      </c>
      <c r="AF1756" s="15"/>
      <c r="AG1756" s="10"/>
      <c r="AH1756" s="10"/>
      <c r="AI1756" s="10"/>
      <c r="AJ1756" s="10"/>
      <c r="AK1756" s="10" t="s">
        <v>102</v>
      </c>
      <c r="AL1756" s="10" t="s">
        <v>7897</v>
      </c>
      <c r="AM1756" s="10"/>
      <c r="AN1756" s="10"/>
      <c r="AO1756" s="13" t="b">
        <v>0</v>
      </c>
      <c r="AP1756" s="10" t="s">
        <v>104</v>
      </c>
      <c r="AQ1756" s="10">
        <f ca="1">IFERROR(__xludf.DUMMYFUNCTION("""COMPUTED_VALUE"""),4773334)</f>
        <v>4773334</v>
      </c>
      <c r="AR1756" s="17">
        <v>7949</v>
      </c>
      <c r="AS1756" s="17">
        <v>5486</v>
      </c>
      <c r="AT1756" s="17">
        <v>162195.5</v>
      </c>
      <c r="AU1756" s="17">
        <v>9.3000000000000007</v>
      </c>
      <c r="AV1756" s="17">
        <v>5.9</v>
      </c>
      <c r="AW1756" s="10" t="s">
        <v>105</v>
      </c>
      <c r="AX1756" s="17">
        <v>2002</v>
      </c>
      <c r="AY1756" s="18">
        <v>29.565348158950055</v>
      </c>
      <c r="AZ1756" s="10" t="s">
        <v>117</v>
      </c>
      <c r="BA1756" s="20" t="b">
        <v>0</v>
      </c>
      <c r="BB1756" s="10"/>
      <c r="BC1756" s="17">
        <v>7949</v>
      </c>
      <c r="BD1756" s="17">
        <v>5486</v>
      </c>
      <c r="BE1756" s="17">
        <v>162195.5</v>
      </c>
      <c r="BF1756" s="17">
        <v>5.9</v>
      </c>
      <c r="BG1756" s="11">
        <f ca="1">IFERROR(__xludf.DUMMYFUNCTION("""COMPUTED_VALUE"""),46003.125)</f>
        <v>46003.125</v>
      </c>
      <c r="BH1756" s="17" t="s">
        <v>105</v>
      </c>
      <c r="BI1756" s="17"/>
      <c r="BJ1756" s="15"/>
      <c r="BK1756" s="15"/>
      <c r="BL1756" s="13" t="b">
        <v>0</v>
      </c>
      <c r="BM1756" s="10"/>
      <c r="BN1756" s="10" t="s">
        <v>1057</v>
      </c>
      <c r="BO1756" s="11">
        <v>45904.304861111108</v>
      </c>
      <c r="BP1756" s="11">
        <v>45993.716365740744</v>
      </c>
      <c r="BQ1756" s="15">
        <v>45999.465925925928</v>
      </c>
      <c r="BR1756" s="15">
        <v>46000.471458333333</v>
      </c>
      <c r="BS1756" s="10"/>
      <c r="BT1756" s="10" t="s">
        <v>279</v>
      </c>
      <c r="BU1756" s="10"/>
      <c r="BV1756" s="10"/>
      <c r="BW1756" s="10"/>
      <c r="BX1756" s="10"/>
      <c r="BY1756" s="23"/>
      <c r="BZ1756" s="23"/>
      <c r="CA1756" s="19" t="s">
        <v>13371</v>
      </c>
      <c r="CB1756" s="19" t="s">
        <v>13372</v>
      </c>
      <c r="CC1756" s="23"/>
      <c r="CD1756" s="19" t="s">
        <v>13373</v>
      </c>
      <c r="CE1756" s="23"/>
      <c r="CF1756" s="23"/>
      <c r="CG1756" s="23"/>
      <c r="CH1756" s="23"/>
      <c r="CI1756" s="23"/>
    </row>
    <row r="1757" spans="1:87" x14ac:dyDescent="0.3">
      <c r="A1757" s="9" t="s">
        <v>13374</v>
      </c>
      <c r="B1757" s="10" t="s">
        <v>13375</v>
      </c>
      <c r="C1757" s="11">
        <v>46003.125</v>
      </c>
      <c r="D1757" s="12">
        <v>8.3333333333333329E-2</v>
      </c>
      <c r="E1757" s="11">
        <v>46003.208333333336</v>
      </c>
      <c r="F1757" s="10" t="s">
        <v>7843</v>
      </c>
      <c r="G1757" s="13" t="b">
        <v>0</v>
      </c>
      <c r="H1757" s="10" t="s">
        <v>11460</v>
      </c>
      <c r="I1757" s="10" t="s">
        <v>89</v>
      </c>
      <c r="J1757" s="13" t="b">
        <v>0</v>
      </c>
      <c r="K1757" s="13" t="b">
        <v>1</v>
      </c>
      <c r="L1757" s="10" t="s">
        <v>124</v>
      </c>
      <c r="M1757" s="10" t="s">
        <v>91</v>
      </c>
      <c r="N1757" s="10" t="s">
        <v>92</v>
      </c>
      <c r="O1757" s="19" t="s">
        <v>13376</v>
      </c>
      <c r="P1757" s="10"/>
      <c r="Q1757" s="10" t="s">
        <v>126</v>
      </c>
      <c r="R1757" s="10"/>
      <c r="S1757" s="19" t="s">
        <v>13377</v>
      </c>
      <c r="T1757" s="19" t="s">
        <v>13378</v>
      </c>
      <c r="U1757" s="10" t="s">
        <v>8547</v>
      </c>
      <c r="V1757" s="10" t="s">
        <v>3229</v>
      </c>
      <c r="W1757" s="10" t="s">
        <v>7848</v>
      </c>
      <c r="X1757" s="10" t="s">
        <v>130</v>
      </c>
      <c r="Y1757" s="10" t="s">
        <v>130</v>
      </c>
      <c r="Z1757" s="10" t="s">
        <v>99</v>
      </c>
      <c r="AA1757" s="10" t="s">
        <v>131</v>
      </c>
      <c r="AB1757" s="10" t="s">
        <v>7849</v>
      </c>
      <c r="AC1757" s="10" t="s">
        <v>3571</v>
      </c>
      <c r="AD1757" s="10" t="s">
        <v>13379</v>
      </c>
      <c r="AE1757" s="10" t="s">
        <v>13380</v>
      </c>
      <c r="AF1757" s="15"/>
      <c r="AG1757" s="10"/>
      <c r="AH1757" s="10"/>
      <c r="AI1757" s="10"/>
      <c r="AJ1757" s="10"/>
      <c r="AK1757" s="10" t="s">
        <v>102</v>
      </c>
      <c r="AL1757" s="10" t="s">
        <v>7897</v>
      </c>
      <c r="AM1757" s="10"/>
      <c r="AN1757" s="10"/>
      <c r="AO1757" s="13" t="b">
        <v>1</v>
      </c>
      <c r="AP1757" s="10" t="s">
        <v>104</v>
      </c>
      <c r="AQ1757" s="10">
        <f ca="1">IFERROR(__xludf.DUMMYFUNCTION("""COMPUTED_VALUE"""),4773546)</f>
        <v>4773546</v>
      </c>
      <c r="AR1757" s="17">
        <v>16939</v>
      </c>
      <c r="AS1757" s="17">
        <v>13074</v>
      </c>
      <c r="AT1757" s="17">
        <v>301398</v>
      </c>
      <c r="AU1757" s="17">
        <v>36.4</v>
      </c>
      <c r="AV1757" s="17">
        <v>7.85</v>
      </c>
      <c r="AW1757" s="10" t="s">
        <v>105</v>
      </c>
      <c r="AX1757" s="17">
        <v>4875</v>
      </c>
      <c r="AY1757" s="18">
        <v>23.053235429095917</v>
      </c>
      <c r="AZ1757" s="10" t="s">
        <v>117</v>
      </c>
      <c r="BA1757" s="20" t="b">
        <v>0</v>
      </c>
      <c r="BB1757" s="10"/>
      <c r="BC1757" s="17">
        <v>16939</v>
      </c>
      <c r="BD1757" s="17">
        <v>13074</v>
      </c>
      <c r="BE1757" s="17">
        <v>301398</v>
      </c>
      <c r="BF1757" s="17">
        <v>7.85</v>
      </c>
      <c r="BG1757" s="11">
        <f ca="1">IFERROR(__xludf.DUMMYFUNCTION("""COMPUTED_VALUE"""),46003.125)</f>
        <v>46003.125</v>
      </c>
      <c r="BH1757" s="17" t="s">
        <v>105</v>
      </c>
      <c r="BI1757" s="17"/>
      <c r="BJ1757" s="15"/>
      <c r="BK1757" s="15"/>
      <c r="BL1757" s="13" t="b">
        <v>0</v>
      </c>
      <c r="BM1757" s="10"/>
      <c r="BN1757" s="10" t="s">
        <v>1057</v>
      </c>
      <c r="BO1757" s="11">
        <v>45904.304861111108</v>
      </c>
      <c r="BP1757" s="11">
        <v>45993.716516203705</v>
      </c>
      <c r="BQ1757" s="15">
        <v>45999.466666666667</v>
      </c>
      <c r="BR1757" s="15">
        <v>46001.470138888886</v>
      </c>
      <c r="BS1757" s="10"/>
      <c r="BT1757" s="10" t="s">
        <v>279</v>
      </c>
      <c r="BU1757" s="10"/>
      <c r="BV1757" s="10"/>
      <c r="BW1757" s="10"/>
      <c r="BX1757" s="10"/>
      <c r="BY1757" s="23"/>
      <c r="BZ1757" s="23"/>
      <c r="CA1757" s="19" t="s">
        <v>13381</v>
      </c>
      <c r="CB1757" s="19" t="s">
        <v>13382</v>
      </c>
      <c r="CC1757" s="23"/>
      <c r="CD1757" s="19" t="s">
        <v>13383</v>
      </c>
      <c r="CE1757" s="23"/>
      <c r="CF1757" s="23"/>
      <c r="CG1757" s="23"/>
      <c r="CH1757" s="23"/>
      <c r="CI1757" s="23"/>
    </row>
    <row r="1758" spans="1:87" x14ac:dyDescent="0.3">
      <c r="A1758" s="9" t="s">
        <v>13384</v>
      </c>
      <c r="B1758" s="10" t="s">
        <v>13385</v>
      </c>
      <c r="C1758" s="11">
        <v>46003.125</v>
      </c>
      <c r="D1758" s="12">
        <v>8.3333333333333329E-2</v>
      </c>
      <c r="E1758" s="11">
        <v>46003.208333333336</v>
      </c>
      <c r="F1758" s="10" t="s">
        <v>7843</v>
      </c>
      <c r="G1758" s="13" t="b">
        <v>0</v>
      </c>
      <c r="H1758" s="10" t="s">
        <v>5239</v>
      </c>
      <c r="I1758" s="10" t="s">
        <v>89</v>
      </c>
      <c r="J1758" s="13" t="b">
        <v>0</v>
      </c>
      <c r="K1758" s="13" t="b">
        <v>1</v>
      </c>
      <c r="L1758" s="10" t="s">
        <v>124</v>
      </c>
      <c r="M1758" s="10" t="s">
        <v>91</v>
      </c>
      <c r="N1758" s="10" t="s">
        <v>92</v>
      </c>
      <c r="O1758" s="19" t="s">
        <v>13386</v>
      </c>
      <c r="P1758" s="10"/>
      <c r="Q1758" s="10" t="s">
        <v>126</v>
      </c>
      <c r="R1758" s="10"/>
      <c r="S1758" s="19" t="s">
        <v>13387</v>
      </c>
      <c r="T1758" s="19" t="s">
        <v>13388</v>
      </c>
      <c r="U1758" s="10" t="s">
        <v>7870</v>
      </c>
      <c r="V1758" s="10" t="s">
        <v>12522</v>
      </c>
      <c r="W1758" s="10" t="s">
        <v>7848</v>
      </c>
      <c r="X1758" s="10" t="s">
        <v>130</v>
      </c>
      <c r="Y1758" s="10" t="s">
        <v>130</v>
      </c>
      <c r="Z1758" s="10" t="s">
        <v>99</v>
      </c>
      <c r="AA1758" s="10" t="s">
        <v>131</v>
      </c>
      <c r="AB1758" s="10" t="s">
        <v>7849</v>
      </c>
      <c r="AC1758" s="10" t="s">
        <v>3571</v>
      </c>
      <c r="AD1758" s="10" t="s">
        <v>13389</v>
      </c>
      <c r="AE1758" s="10" t="s">
        <v>13390</v>
      </c>
      <c r="AF1758" s="15"/>
      <c r="AG1758" s="10"/>
      <c r="AH1758" s="10"/>
      <c r="AI1758" s="10"/>
      <c r="AJ1758" s="10"/>
      <c r="AK1758" s="10" t="s">
        <v>102</v>
      </c>
      <c r="AL1758" s="10" t="s">
        <v>7897</v>
      </c>
      <c r="AM1758" s="10"/>
      <c r="AN1758" s="10"/>
      <c r="AO1758" s="13" t="b">
        <v>0</v>
      </c>
      <c r="AP1758" s="10" t="s">
        <v>104</v>
      </c>
      <c r="AQ1758" s="10">
        <f ca="1">IFERROR(__xludf.DUMMYFUNCTION("""COMPUTED_VALUE"""),4773544)</f>
        <v>4773544</v>
      </c>
      <c r="AR1758" s="17">
        <v>2361</v>
      </c>
      <c r="AS1758" s="17">
        <v>1591</v>
      </c>
      <c r="AT1758" s="17">
        <v>20990</v>
      </c>
      <c r="AU1758" s="17">
        <v>0.1</v>
      </c>
      <c r="AV1758" s="17">
        <v>0</v>
      </c>
      <c r="AW1758" s="10" t="s">
        <v>105</v>
      </c>
      <c r="AX1758" s="17">
        <v>684</v>
      </c>
      <c r="AY1758" s="18">
        <v>13.192960402262727</v>
      </c>
      <c r="AZ1758" s="10" t="s">
        <v>117</v>
      </c>
      <c r="BA1758" s="20" t="b">
        <v>0</v>
      </c>
      <c r="BB1758" s="10"/>
      <c r="BC1758" s="17">
        <v>2361</v>
      </c>
      <c r="BD1758" s="17">
        <v>1591</v>
      </c>
      <c r="BE1758" s="17">
        <v>20990</v>
      </c>
      <c r="BF1758" s="17">
        <v>0</v>
      </c>
      <c r="BG1758" s="11">
        <f ca="1">IFERROR(__xludf.DUMMYFUNCTION("""COMPUTED_VALUE"""),46003.125)</f>
        <v>46003.125</v>
      </c>
      <c r="BH1758" s="17" t="s">
        <v>105</v>
      </c>
      <c r="BI1758" s="17"/>
      <c r="BJ1758" s="15"/>
      <c r="BK1758" s="15"/>
      <c r="BL1758" s="13" t="b">
        <v>0</v>
      </c>
      <c r="BM1758" s="10"/>
      <c r="BN1758" s="10" t="s">
        <v>137</v>
      </c>
      <c r="BO1758" s="11">
        <v>45904.304861111108</v>
      </c>
      <c r="BP1758" s="11">
        <v>45993.71665509259</v>
      </c>
      <c r="BQ1758" s="15">
        <v>45999.467164351852</v>
      </c>
      <c r="BR1758" s="15">
        <v>46001.470763888887</v>
      </c>
      <c r="BS1758" s="10" t="s">
        <v>137</v>
      </c>
      <c r="BT1758" s="10"/>
      <c r="BU1758" s="10"/>
      <c r="BV1758" s="10"/>
      <c r="BW1758" s="10"/>
      <c r="BX1758" s="10"/>
      <c r="BY1758" s="23"/>
      <c r="BZ1758" s="23"/>
      <c r="CA1758" s="19" t="s">
        <v>13391</v>
      </c>
      <c r="CB1758" s="19" t="s">
        <v>13392</v>
      </c>
      <c r="CC1758" s="23"/>
      <c r="CD1758" s="19" t="s">
        <v>13393</v>
      </c>
      <c r="CE1758" s="23"/>
      <c r="CF1758" s="23"/>
      <c r="CG1758" s="23"/>
      <c r="CH1758" s="23"/>
      <c r="CI1758" s="23"/>
    </row>
    <row r="1759" spans="1:87" x14ac:dyDescent="0.3">
      <c r="A1759" s="9" t="s">
        <v>13394</v>
      </c>
      <c r="B1759" s="10" t="s">
        <v>13395</v>
      </c>
      <c r="C1759" s="11">
        <v>46003.125</v>
      </c>
      <c r="D1759" s="12">
        <v>8.3333333333333329E-2</v>
      </c>
      <c r="E1759" s="11">
        <v>46003.208333333336</v>
      </c>
      <c r="F1759" s="10" t="s">
        <v>7843</v>
      </c>
      <c r="G1759" s="13" t="b">
        <v>0</v>
      </c>
      <c r="H1759" s="10" t="s">
        <v>5239</v>
      </c>
      <c r="I1759" s="10" t="s">
        <v>89</v>
      </c>
      <c r="J1759" s="13" t="b">
        <v>0</v>
      </c>
      <c r="K1759" s="13" t="b">
        <v>1</v>
      </c>
      <c r="L1759" s="10" t="s">
        <v>124</v>
      </c>
      <c r="M1759" s="10" t="s">
        <v>91</v>
      </c>
      <c r="N1759" s="10" t="s">
        <v>92</v>
      </c>
      <c r="O1759" s="19" t="s">
        <v>13396</v>
      </c>
      <c r="P1759" s="10"/>
      <c r="Q1759" s="10" t="s">
        <v>126</v>
      </c>
      <c r="R1759" s="10"/>
      <c r="S1759" s="19" t="s">
        <v>13397</v>
      </c>
      <c r="T1759" s="19" t="s">
        <v>13398</v>
      </c>
      <c r="U1759" s="10" t="s">
        <v>12634</v>
      </c>
      <c r="V1759" s="10" t="s">
        <v>4993</v>
      </c>
      <c r="W1759" s="10" t="s">
        <v>7848</v>
      </c>
      <c r="X1759" s="10" t="s">
        <v>130</v>
      </c>
      <c r="Y1759" s="10" t="s">
        <v>130</v>
      </c>
      <c r="Z1759" s="10" t="s">
        <v>99</v>
      </c>
      <c r="AA1759" s="10" t="s">
        <v>131</v>
      </c>
      <c r="AB1759" s="10" t="s">
        <v>7849</v>
      </c>
      <c r="AC1759" s="10" t="s">
        <v>3571</v>
      </c>
      <c r="AD1759" s="10" t="s">
        <v>13399</v>
      </c>
      <c r="AE1759" s="10" t="s">
        <v>13400</v>
      </c>
      <c r="AF1759" s="15"/>
      <c r="AG1759" s="10"/>
      <c r="AH1759" s="10"/>
      <c r="AI1759" s="10"/>
      <c r="AJ1759" s="10"/>
      <c r="AK1759" s="10" t="s">
        <v>102</v>
      </c>
      <c r="AL1759" s="10" t="s">
        <v>7897</v>
      </c>
      <c r="AM1759" s="10"/>
      <c r="AN1759" s="10"/>
      <c r="AO1759" s="13" t="b">
        <v>1</v>
      </c>
      <c r="AP1759" s="10" t="s">
        <v>104</v>
      </c>
      <c r="AQ1759" s="10">
        <f ca="1">IFERROR(__xludf.DUMMYFUNCTION("""COMPUTED_VALUE"""),4773540)</f>
        <v>4773540</v>
      </c>
      <c r="AR1759" s="17">
        <v>9191</v>
      </c>
      <c r="AS1759" s="17">
        <v>7104</v>
      </c>
      <c r="AT1759" s="17">
        <v>104633.75</v>
      </c>
      <c r="AU1759" s="17">
        <v>15.9</v>
      </c>
      <c r="AV1759" s="17">
        <v>4.1500000000000004</v>
      </c>
      <c r="AW1759" s="10" t="s">
        <v>105</v>
      </c>
      <c r="AX1759" s="17">
        <v>1842</v>
      </c>
      <c r="AY1759" s="18">
        <v>14.728849943693694</v>
      </c>
      <c r="AZ1759" s="10" t="s">
        <v>117</v>
      </c>
      <c r="BA1759" s="20" t="b">
        <v>0</v>
      </c>
      <c r="BB1759" s="10"/>
      <c r="BC1759" s="17">
        <v>9191</v>
      </c>
      <c r="BD1759" s="17">
        <v>7104</v>
      </c>
      <c r="BE1759" s="17">
        <v>104633.75</v>
      </c>
      <c r="BF1759" s="17">
        <v>4.1500000000000004</v>
      </c>
      <c r="BG1759" s="11">
        <f ca="1">IFERROR(__xludf.DUMMYFUNCTION("""COMPUTED_VALUE"""),46003.125)</f>
        <v>46003.125</v>
      </c>
      <c r="BH1759" s="17" t="s">
        <v>105</v>
      </c>
      <c r="BI1759" s="17"/>
      <c r="BJ1759" s="15"/>
      <c r="BK1759" s="15"/>
      <c r="BL1759" s="13" t="b">
        <v>0</v>
      </c>
      <c r="BM1759" s="10"/>
      <c r="BN1759" s="10" t="s">
        <v>1057</v>
      </c>
      <c r="BO1759" s="11">
        <v>45904.304861111108</v>
      </c>
      <c r="BP1759" s="11">
        <v>45993.716909722221</v>
      </c>
      <c r="BQ1759" s="15">
        <v>45999.466921296298</v>
      </c>
      <c r="BR1759" s="15">
        <v>46001.470381944448</v>
      </c>
      <c r="BS1759" s="10"/>
      <c r="BT1759" s="10" t="s">
        <v>279</v>
      </c>
      <c r="BU1759" s="10"/>
      <c r="BV1759" s="10" t="s">
        <v>124</v>
      </c>
      <c r="BW1759" s="10" t="s">
        <v>12860</v>
      </c>
      <c r="BX1759" s="10"/>
      <c r="BY1759" s="23"/>
      <c r="BZ1759" s="23"/>
      <c r="CA1759" s="19" t="s">
        <v>13401</v>
      </c>
      <c r="CB1759" s="19" t="s">
        <v>13402</v>
      </c>
      <c r="CC1759" s="23"/>
      <c r="CD1759" s="19" t="s">
        <v>13403</v>
      </c>
      <c r="CE1759" s="23"/>
      <c r="CF1759" s="23"/>
      <c r="CG1759" s="23"/>
      <c r="CH1759" s="23"/>
      <c r="CI1759" s="23"/>
    </row>
    <row r="1760" spans="1:87" x14ac:dyDescent="0.3">
      <c r="A1760" s="9" t="s">
        <v>13404</v>
      </c>
      <c r="B1760" s="10" t="s">
        <v>13405</v>
      </c>
      <c r="C1760" s="11">
        <v>46003.125</v>
      </c>
      <c r="D1760" s="12">
        <v>8.3333333333333329E-2</v>
      </c>
      <c r="E1760" s="11">
        <v>46003.208333333336</v>
      </c>
      <c r="F1760" s="10" t="s">
        <v>7843</v>
      </c>
      <c r="G1760" s="13" t="b">
        <v>0</v>
      </c>
      <c r="H1760" s="10" t="s">
        <v>5239</v>
      </c>
      <c r="I1760" s="10" t="s">
        <v>89</v>
      </c>
      <c r="J1760" s="13" t="b">
        <v>0</v>
      </c>
      <c r="K1760" s="13" t="b">
        <v>1</v>
      </c>
      <c r="L1760" s="10" t="s">
        <v>124</v>
      </c>
      <c r="M1760" s="10" t="s">
        <v>91</v>
      </c>
      <c r="N1760" s="10" t="s">
        <v>92</v>
      </c>
      <c r="O1760" s="19" t="s">
        <v>13406</v>
      </c>
      <c r="P1760" s="10"/>
      <c r="Q1760" s="10" t="s">
        <v>94</v>
      </c>
      <c r="R1760" s="10"/>
      <c r="S1760" s="19" t="s">
        <v>13407</v>
      </c>
      <c r="T1760" s="19" t="s">
        <v>13408</v>
      </c>
      <c r="U1760" s="10" t="s">
        <v>12585</v>
      </c>
      <c r="V1760" s="10" t="s">
        <v>3690</v>
      </c>
      <c r="W1760" s="10" t="s">
        <v>7848</v>
      </c>
      <c r="X1760" s="10" t="s">
        <v>130</v>
      </c>
      <c r="Y1760" s="10" t="s">
        <v>130</v>
      </c>
      <c r="Z1760" s="10" t="s">
        <v>99</v>
      </c>
      <c r="AA1760" s="10" t="s">
        <v>131</v>
      </c>
      <c r="AB1760" s="10" t="s">
        <v>7849</v>
      </c>
      <c r="AC1760" s="10" t="s">
        <v>3571</v>
      </c>
      <c r="AD1760" s="10" t="s">
        <v>13409</v>
      </c>
      <c r="AE1760" s="10" t="s">
        <v>13410</v>
      </c>
      <c r="AF1760" s="15"/>
      <c r="AG1760" s="10"/>
      <c r="AH1760" s="10"/>
      <c r="AI1760" s="10"/>
      <c r="AJ1760" s="10"/>
      <c r="AK1760" s="10" t="s">
        <v>102</v>
      </c>
      <c r="AL1760" s="10" t="s">
        <v>7897</v>
      </c>
      <c r="AM1760" s="10"/>
      <c r="AN1760" s="10"/>
      <c r="AO1760" s="13" t="b">
        <v>0</v>
      </c>
      <c r="AP1760" s="10" t="s">
        <v>104</v>
      </c>
      <c r="AQ1760" s="10">
        <f ca="1">IFERROR(__xludf.DUMMYFUNCTION("""COMPUTED_VALUE"""),4773538)</f>
        <v>4773538</v>
      </c>
      <c r="AR1760" s="17">
        <v>2150</v>
      </c>
      <c r="AS1760" s="17">
        <v>1409</v>
      </c>
      <c r="AT1760" s="17">
        <v>15411.25</v>
      </c>
      <c r="AU1760" s="17">
        <v>1</v>
      </c>
      <c r="AV1760" s="17">
        <v>0.1</v>
      </c>
      <c r="AW1760" s="10" t="s">
        <v>105</v>
      </c>
      <c r="AX1760" s="17">
        <v>454</v>
      </c>
      <c r="AY1760" s="18">
        <v>10.937721788502484</v>
      </c>
      <c r="AZ1760" s="10" t="s">
        <v>117</v>
      </c>
      <c r="BA1760" s="20" t="b">
        <v>0</v>
      </c>
      <c r="BB1760" s="10"/>
      <c r="BC1760" s="17">
        <v>2150</v>
      </c>
      <c r="BD1760" s="17">
        <v>1409</v>
      </c>
      <c r="BE1760" s="17">
        <v>15411.25</v>
      </c>
      <c r="BF1760" s="17">
        <v>0.1</v>
      </c>
      <c r="BG1760" s="11">
        <f ca="1">IFERROR(__xludf.DUMMYFUNCTION("""COMPUTED_VALUE"""),46003.125)</f>
        <v>46003.125</v>
      </c>
      <c r="BH1760" s="17" t="s">
        <v>105</v>
      </c>
      <c r="BI1760" s="17"/>
      <c r="BJ1760" s="15"/>
      <c r="BK1760" s="15"/>
      <c r="BL1760" s="13" t="b">
        <v>0</v>
      </c>
      <c r="BM1760" s="10"/>
      <c r="BN1760" s="10" t="s">
        <v>137</v>
      </c>
      <c r="BO1760" s="11">
        <v>45904.304861111108</v>
      </c>
      <c r="BP1760" s="11">
        <v>45993.717037037037</v>
      </c>
      <c r="BQ1760" s="15">
        <v>45999.466805555552</v>
      </c>
      <c r="BR1760" s="15">
        <v>46001.470231481479</v>
      </c>
      <c r="BS1760" s="10" t="s">
        <v>137</v>
      </c>
      <c r="BT1760" s="10" t="s">
        <v>99</v>
      </c>
      <c r="BU1760" s="10"/>
      <c r="BV1760" s="10"/>
      <c r="BW1760" s="10"/>
      <c r="BX1760" s="10"/>
      <c r="BY1760" s="23"/>
      <c r="BZ1760" s="23"/>
      <c r="CA1760" s="19" t="s">
        <v>13411</v>
      </c>
      <c r="CB1760" s="19" t="s">
        <v>13412</v>
      </c>
      <c r="CC1760" s="23"/>
      <c r="CD1760" s="23"/>
      <c r="CE1760" s="23"/>
      <c r="CF1760" s="23"/>
      <c r="CG1760" s="23"/>
      <c r="CH1760" s="23"/>
      <c r="CI1760" s="23"/>
    </row>
    <row r="1761" spans="1:87" x14ac:dyDescent="0.3">
      <c r="A1761" s="9" t="s">
        <v>13413</v>
      </c>
      <c r="B1761" s="10" t="s">
        <v>13414</v>
      </c>
      <c r="C1761" s="11">
        <v>46003.125</v>
      </c>
      <c r="D1761" s="12">
        <v>8.3333333333333329E-2</v>
      </c>
      <c r="E1761" s="11">
        <v>46003.208333333336</v>
      </c>
      <c r="F1761" s="10" t="s">
        <v>7843</v>
      </c>
      <c r="G1761" s="13" t="b">
        <v>0</v>
      </c>
      <c r="H1761" s="10" t="s">
        <v>5239</v>
      </c>
      <c r="I1761" s="10" t="s">
        <v>89</v>
      </c>
      <c r="J1761" s="13" t="b">
        <v>0</v>
      </c>
      <c r="K1761" s="13" t="b">
        <v>1</v>
      </c>
      <c r="L1761" s="10" t="s">
        <v>124</v>
      </c>
      <c r="M1761" s="10" t="s">
        <v>91</v>
      </c>
      <c r="N1761" s="10" t="s">
        <v>92</v>
      </c>
      <c r="O1761" s="19" t="s">
        <v>13415</v>
      </c>
      <c r="P1761" s="10"/>
      <c r="Q1761" s="10" t="s">
        <v>94</v>
      </c>
      <c r="R1761" s="10"/>
      <c r="S1761" s="19" t="s">
        <v>13416</v>
      </c>
      <c r="T1761" s="19" t="s">
        <v>13417</v>
      </c>
      <c r="U1761" s="10" t="s">
        <v>12549</v>
      </c>
      <c r="V1761" s="10" t="s">
        <v>7829</v>
      </c>
      <c r="W1761" s="10" t="s">
        <v>7848</v>
      </c>
      <c r="X1761" s="10" t="s">
        <v>130</v>
      </c>
      <c r="Y1761" s="10" t="s">
        <v>130</v>
      </c>
      <c r="Z1761" s="10" t="s">
        <v>99</v>
      </c>
      <c r="AA1761" s="10" t="s">
        <v>131</v>
      </c>
      <c r="AB1761" s="10" t="s">
        <v>7849</v>
      </c>
      <c r="AC1761" s="10" t="s">
        <v>3571</v>
      </c>
      <c r="AD1761" s="10" t="s">
        <v>13418</v>
      </c>
      <c r="AE1761" s="10" t="s">
        <v>13419</v>
      </c>
      <c r="AF1761" s="15"/>
      <c r="AG1761" s="10"/>
      <c r="AH1761" s="10"/>
      <c r="AI1761" s="10"/>
      <c r="AJ1761" s="10"/>
      <c r="AK1761" s="10" t="s">
        <v>102</v>
      </c>
      <c r="AL1761" s="10" t="s">
        <v>7897</v>
      </c>
      <c r="AM1761" s="10"/>
      <c r="AN1761" s="10"/>
      <c r="AO1761" s="13" t="b">
        <v>0</v>
      </c>
      <c r="AP1761" s="10" t="s">
        <v>104</v>
      </c>
      <c r="AQ1761" s="10">
        <f ca="1">IFERROR(__xludf.DUMMYFUNCTION("""COMPUTED_VALUE"""),4773547)</f>
        <v>4773547</v>
      </c>
      <c r="AR1761" s="17">
        <v>2287</v>
      </c>
      <c r="AS1761" s="17">
        <v>1290</v>
      </c>
      <c r="AT1761" s="17">
        <v>21233.25</v>
      </c>
      <c r="AU1761" s="17">
        <v>4.6500000000000004</v>
      </c>
      <c r="AV1761" s="17">
        <v>1.95</v>
      </c>
      <c r="AW1761" s="10" t="s">
        <v>105</v>
      </c>
      <c r="AX1761" s="17">
        <v>414</v>
      </c>
      <c r="AY1761" s="18">
        <v>16.459883720930232</v>
      </c>
      <c r="AZ1761" s="10" t="s">
        <v>117</v>
      </c>
      <c r="BA1761" s="20" t="b">
        <v>0</v>
      </c>
      <c r="BB1761" s="10"/>
      <c r="BC1761" s="17">
        <v>2287</v>
      </c>
      <c r="BD1761" s="17">
        <v>1290</v>
      </c>
      <c r="BE1761" s="17">
        <v>21233.25</v>
      </c>
      <c r="BF1761" s="17">
        <v>1.95</v>
      </c>
      <c r="BG1761" s="11">
        <f ca="1">IFERROR(__xludf.DUMMYFUNCTION("""COMPUTED_VALUE"""),46003.125)</f>
        <v>46003.125</v>
      </c>
      <c r="BH1761" s="17" t="s">
        <v>105</v>
      </c>
      <c r="BI1761" s="17"/>
      <c r="BJ1761" s="15"/>
      <c r="BK1761" s="15"/>
      <c r="BL1761" s="13" t="b">
        <v>0</v>
      </c>
      <c r="BM1761" s="10"/>
      <c r="BN1761" s="10" t="s">
        <v>137</v>
      </c>
      <c r="BO1761" s="11">
        <v>45904.304861111108</v>
      </c>
      <c r="BP1761" s="11">
        <v>45993.717152777775</v>
      </c>
      <c r="BQ1761" s="15">
        <v>45999.467280092591</v>
      </c>
      <c r="BR1761" s="15">
        <v>46001.471006944441</v>
      </c>
      <c r="BS1761" s="10" t="s">
        <v>137</v>
      </c>
      <c r="BT1761" s="10"/>
      <c r="BU1761" s="10"/>
      <c r="BV1761" s="10"/>
      <c r="BW1761" s="10"/>
      <c r="BX1761" s="10"/>
      <c r="BY1761" s="23"/>
      <c r="BZ1761" s="23"/>
      <c r="CA1761" s="19" t="s">
        <v>13420</v>
      </c>
      <c r="CB1761" s="19" t="s">
        <v>13421</v>
      </c>
      <c r="CC1761" s="23"/>
      <c r="CD1761" s="23"/>
      <c r="CE1761" s="23"/>
      <c r="CF1761" s="23"/>
      <c r="CG1761" s="23"/>
      <c r="CH1761" s="23"/>
      <c r="CI1761" s="23"/>
    </row>
    <row r="1762" spans="1:87" x14ac:dyDescent="0.3">
      <c r="A1762" s="9" t="s">
        <v>13422</v>
      </c>
      <c r="B1762" s="10" t="s">
        <v>13423</v>
      </c>
      <c r="C1762" s="11">
        <v>46003.125</v>
      </c>
      <c r="D1762" s="12">
        <v>8.3333333333333329E-2</v>
      </c>
      <c r="E1762" s="11">
        <v>46003.208333333336</v>
      </c>
      <c r="F1762" s="10" t="s">
        <v>7843</v>
      </c>
      <c r="G1762" s="13" t="b">
        <v>0</v>
      </c>
      <c r="H1762" s="10" t="s">
        <v>5239</v>
      </c>
      <c r="I1762" s="10" t="s">
        <v>89</v>
      </c>
      <c r="J1762" s="13" t="b">
        <v>0</v>
      </c>
      <c r="K1762" s="13" t="b">
        <v>1</v>
      </c>
      <c r="L1762" s="10" t="s">
        <v>124</v>
      </c>
      <c r="M1762" s="10" t="s">
        <v>91</v>
      </c>
      <c r="N1762" s="10" t="s">
        <v>92</v>
      </c>
      <c r="O1762" s="19" t="s">
        <v>13424</v>
      </c>
      <c r="P1762" s="10"/>
      <c r="Q1762" s="10" t="s">
        <v>94</v>
      </c>
      <c r="R1762" s="10"/>
      <c r="S1762" s="19" t="s">
        <v>13425</v>
      </c>
      <c r="T1762" s="19" t="s">
        <v>13426</v>
      </c>
      <c r="U1762" s="10" t="s">
        <v>12663</v>
      </c>
      <c r="V1762" s="10" t="s">
        <v>7837</v>
      </c>
      <c r="W1762" s="10" t="s">
        <v>7848</v>
      </c>
      <c r="X1762" s="10" t="s">
        <v>130</v>
      </c>
      <c r="Y1762" s="10" t="s">
        <v>130</v>
      </c>
      <c r="Z1762" s="10" t="s">
        <v>99</v>
      </c>
      <c r="AA1762" s="10" t="s">
        <v>131</v>
      </c>
      <c r="AB1762" s="10" t="s">
        <v>7849</v>
      </c>
      <c r="AC1762" s="10" t="s">
        <v>3571</v>
      </c>
      <c r="AD1762" s="10" t="s">
        <v>13427</v>
      </c>
      <c r="AE1762" s="10" t="s">
        <v>13428</v>
      </c>
      <c r="AF1762" s="15"/>
      <c r="AG1762" s="10"/>
      <c r="AH1762" s="10"/>
      <c r="AI1762" s="10"/>
      <c r="AJ1762" s="10"/>
      <c r="AK1762" s="10" t="s">
        <v>102</v>
      </c>
      <c r="AL1762" s="10" t="s">
        <v>7897</v>
      </c>
      <c r="AM1762" s="10"/>
      <c r="AN1762" s="10"/>
      <c r="AO1762" s="13" t="b">
        <v>0</v>
      </c>
      <c r="AP1762" s="10" t="s">
        <v>104</v>
      </c>
      <c r="AQ1762" s="10">
        <f ca="1">IFERROR(__xludf.DUMMYFUNCTION("""COMPUTED_VALUE"""),4773542)</f>
        <v>4773542</v>
      </c>
      <c r="AR1762" s="17">
        <v>1248</v>
      </c>
      <c r="AS1762" s="17">
        <v>780</v>
      </c>
      <c r="AT1762" s="17">
        <v>11077.25</v>
      </c>
      <c r="AU1762" s="17">
        <v>2.35</v>
      </c>
      <c r="AV1762" s="17">
        <v>1.25</v>
      </c>
      <c r="AW1762" s="10" t="s">
        <v>105</v>
      </c>
      <c r="AX1762" s="17">
        <v>312</v>
      </c>
      <c r="AY1762" s="18">
        <v>14.201602564102565</v>
      </c>
      <c r="AZ1762" s="10" t="s">
        <v>117</v>
      </c>
      <c r="BA1762" s="20" t="b">
        <v>0</v>
      </c>
      <c r="BB1762" s="10"/>
      <c r="BC1762" s="17">
        <v>1248</v>
      </c>
      <c r="BD1762" s="17">
        <v>780</v>
      </c>
      <c r="BE1762" s="17">
        <v>11077.25</v>
      </c>
      <c r="BF1762" s="17">
        <v>1.25</v>
      </c>
      <c r="BG1762" s="11">
        <f ca="1">IFERROR(__xludf.DUMMYFUNCTION("""COMPUTED_VALUE"""),46003.125)</f>
        <v>46003.125</v>
      </c>
      <c r="BH1762" s="17" t="s">
        <v>105</v>
      </c>
      <c r="BI1762" s="17"/>
      <c r="BJ1762" s="15"/>
      <c r="BK1762" s="15"/>
      <c r="BL1762" s="13" t="b">
        <v>0</v>
      </c>
      <c r="BM1762" s="10"/>
      <c r="BN1762" s="10" t="s">
        <v>137</v>
      </c>
      <c r="BO1762" s="11">
        <v>45904.304861111108</v>
      </c>
      <c r="BP1762" s="11">
        <v>45993.717245370368</v>
      </c>
      <c r="BQ1762" s="15">
        <v>45999.467037037037</v>
      </c>
      <c r="BR1762" s="15">
        <v>46001.470567129632</v>
      </c>
      <c r="BS1762" s="10" t="s">
        <v>137</v>
      </c>
      <c r="BT1762" s="10"/>
      <c r="BU1762" s="10"/>
      <c r="BV1762" s="10"/>
      <c r="BW1762" s="10"/>
      <c r="BX1762" s="10"/>
      <c r="BY1762" s="23"/>
      <c r="BZ1762" s="23"/>
      <c r="CA1762" s="19" t="s">
        <v>13429</v>
      </c>
      <c r="CB1762" s="19" t="s">
        <v>13430</v>
      </c>
      <c r="CC1762" s="23"/>
      <c r="CD1762" s="23"/>
      <c r="CE1762" s="23"/>
      <c r="CF1762" s="23"/>
      <c r="CG1762" s="23"/>
      <c r="CH1762" s="23"/>
      <c r="CI1762" s="23"/>
    </row>
    <row r="1763" spans="1:87" x14ac:dyDescent="0.3">
      <c r="A1763" s="9" t="s">
        <v>13431</v>
      </c>
      <c r="B1763" s="10" t="s">
        <v>13432</v>
      </c>
      <c r="C1763" s="11">
        <v>46003.125</v>
      </c>
      <c r="D1763" s="12">
        <v>8.3333333333333329E-2</v>
      </c>
      <c r="E1763" s="11">
        <v>46003.208333333336</v>
      </c>
      <c r="F1763" s="10" t="s">
        <v>7843</v>
      </c>
      <c r="G1763" s="13" t="b">
        <v>0</v>
      </c>
      <c r="H1763" s="10" t="s">
        <v>5239</v>
      </c>
      <c r="I1763" s="10" t="s">
        <v>89</v>
      </c>
      <c r="J1763" s="13" t="b">
        <v>0</v>
      </c>
      <c r="K1763" s="13" t="b">
        <v>1</v>
      </c>
      <c r="L1763" s="10" t="s">
        <v>124</v>
      </c>
      <c r="M1763" s="10" t="s">
        <v>91</v>
      </c>
      <c r="N1763" s="10" t="s">
        <v>92</v>
      </c>
      <c r="O1763" s="19" t="s">
        <v>13433</v>
      </c>
      <c r="P1763" s="10"/>
      <c r="Q1763" s="10" t="s">
        <v>94</v>
      </c>
      <c r="R1763" s="10"/>
      <c r="S1763" s="19" t="s">
        <v>13434</v>
      </c>
      <c r="T1763" s="19" t="s">
        <v>13435</v>
      </c>
      <c r="U1763" s="10" t="s">
        <v>8944</v>
      </c>
      <c r="V1763" s="10" t="s">
        <v>3581</v>
      </c>
      <c r="W1763" s="10" t="s">
        <v>7848</v>
      </c>
      <c r="X1763" s="10" t="s">
        <v>130</v>
      </c>
      <c r="Y1763" s="10" t="s">
        <v>130</v>
      </c>
      <c r="Z1763" s="10" t="s">
        <v>99</v>
      </c>
      <c r="AA1763" s="10" t="s">
        <v>131</v>
      </c>
      <c r="AB1763" s="10" t="s">
        <v>7849</v>
      </c>
      <c r="AC1763" s="10" t="s">
        <v>3571</v>
      </c>
      <c r="AD1763" s="10" t="s">
        <v>13436</v>
      </c>
      <c r="AE1763" s="10" t="s">
        <v>13437</v>
      </c>
      <c r="AF1763" s="15"/>
      <c r="AG1763" s="10"/>
      <c r="AH1763" s="10"/>
      <c r="AI1763" s="10"/>
      <c r="AJ1763" s="10"/>
      <c r="AK1763" s="10" t="s">
        <v>102</v>
      </c>
      <c r="AL1763" s="10" t="s">
        <v>7897</v>
      </c>
      <c r="AM1763" s="10"/>
      <c r="AN1763" s="10"/>
      <c r="AO1763" s="13" t="b">
        <v>0</v>
      </c>
      <c r="AP1763" s="10" t="s">
        <v>104</v>
      </c>
      <c r="AQ1763" s="10">
        <f ca="1">IFERROR(__xludf.DUMMYFUNCTION("""COMPUTED_VALUE"""),4773534)</f>
        <v>4773534</v>
      </c>
      <c r="AR1763" s="17">
        <v>1506</v>
      </c>
      <c r="AS1763" s="17">
        <v>1117</v>
      </c>
      <c r="AT1763" s="17">
        <v>7320.25</v>
      </c>
      <c r="AU1763" s="17">
        <v>0.1</v>
      </c>
      <c r="AV1763" s="17">
        <v>0.1</v>
      </c>
      <c r="AW1763" s="10" t="s">
        <v>105</v>
      </c>
      <c r="AX1763" s="17">
        <v>195</v>
      </c>
      <c r="AY1763" s="18">
        <v>6.5534914950760967</v>
      </c>
      <c r="AZ1763" s="10" t="s">
        <v>117</v>
      </c>
      <c r="BA1763" s="20" t="b">
        <v>0</v>
      </c>
      <c r="BB1763" s="10"/>
      <c r="BC1763" s="17">
        <v>1506</v>
      </c>
      <c r="BD1763" s="17">
        <v>1117</v>
      </c>
      <c r="BE1763" s="17">
        <v>7320.25</v>
      </c>
      <c r="BF1763" s="17">
        <v>0.1</v>
      </c>
      <c r="BG1763" s="11">
        <f ca="1">IFERROR(__xludf.DUMMYFUNCTION("""COMPUTED_VALUE"""),46003.125)</f>
        <v>46003.125</v>
      </c>
      <c r="BH1763" s="17" t="s">
        <v>105</v>
      </c>
      <c r="BI1763" s="17"/>
      <c r="BJ1763" s="15"/>
      <c r="BK1763" s="15"/>
      <c r="BL1763" s="13" t="b">
        <v>0</v>
      </c>
      <c r="BM1763" s="10"/>
      <c r="BN1763" s="10" t="s">
        <v>137</v>
      </c>
      <c r="BO1763" s="11">
        <v>45904.304861111108</v>
      </c>
      <c r="BP1763" s="11">
        <v>45993.717349537037</v>
      </c>
      <c r="BQ1763" s="15">
        <v>45999.466053240743</v>
      </c>
      <c r="BR1763" s="15">
        <v>46001.469895833332</v>
      </c>
      <c r="BS1763" s="10" t="s">
        <v>137</v>
      </c>
      <c r="BT1763" s="10" t="s">
        <v>99</v>
      </c>
      <c r="BU1763" s="10"/>
      <c r="BV1763" s="10"/>
      <c r="BW1763" s="10"/>
      <c r="BX1763" s="10"/>
      <c r="BY1763" s="23"/>
      <c r="BZ1763" s="23"/>
      <c r="CA1763" s="19" t="s">
        <v>13438</v>
      </c>
      <c r="CB1763" s="19" t="s">
        <v>13439</v>
      </c>
      <c r="CC1763" s="23"/>
      <c r="CD1763" s="23"/>
      <c r="CE1763" s="23"/>
      <c r="CF1763" s="23"/>
      <c r="CG1763" s="23"/>
      <c r="CH1763" s="23"/>
      <c r="CI1763" s="23"/>
    </row>
    <row r="1764" spans="1:87" x14ac:dyDescent="0.3">
      <c r="A1764" s="9" t="s">
        <v>13440</v>
      </c>
      <c r="B1764" s="10" t="s">
        <v>13441</v>
      </c>
      <c r="C1764" s="11">
        <v>46045.03125</v>
      </c>
      <c r="D1764" s="12">
        <v>8.3333333333333329E-2</v>
      </c>
      <c r="E1764" s="11">
        <v>46045.114583333336</v>
      </c>
      <c r="F1764" s="10" t="s">
        <v>7843</v>
      </c>
      <c r="G1764" s="13" t="b">
        <v>0</v>
      </c>
      <c r="H1764" s="10"/>
      <c r="I1764" s="10" t="s">
        <v>89</v>
      </c>
      <c r="J1764" s="13" t="b">
        <v>0</v>
      </c>
      <c r="K1764" s="13" t="b">
        <v>1</v>
      </c>
      <c r="L1764" s="10" t="s">
        <v>124</v>
      </c>
      <c r="M1764" s="10" t="s">
        <v>91</v>
      </c>
      <c r="N1764" s="10" t="s">
        <v>92</v>
      </c>
      <c r="O1764" s="10"/>
      <c r="P1764" s="10"/>
      <c r="Q1764" s="10"/>
      <c r="R1764" s="10"/>
      <c r="S1764" s="10"/>
      <c r="T1764" s="10"/>
      <c r="U1764" s="10" t="s">
        <v>12549</v>
      </c>
      <c r="V1764" s="10" t="s">
        <v>12513</v>
      </c>
      <c r="W1764" s="10" t="s">
        <v>7848</v>
      </c>
      <c r="X1764" s="10" t="s">
        <v>130</v>
      </c>
      <c r="Y1764" s="10" t="s">
        <v>130</v>
      </c>
      <c r="Z1764" s="10" t="s">
        <v>99</v>
      </c>
      <c r="AA1764" s="10" t="s">
        <v>131</v>
      </c>
      <c r="AB1764" s="10" t="s">
        <v>7849</v>
      </c>
      <c r="AC1764" s="10" t="s">
        <v>3571</v>
      </c>
      <c r="AD1764" s="10" t="s">
        <v>13442</v>
      </c>
      <c r="AE1764" s="10" t="s">
        <v>13443</v>
      </c>
      <c r="AF1764" s="15"/>
      <c r="AG1764" s="10"/>
      <c r="AH1764" s="10"/>
      <c r="AI1764" s="10"/>
      <c r="AJ1764" s="10"/>
      <c r="AK1764" s="10"/>
      <c r="AL1764" s="10" t="s">
        <v>7897</v>
      </c>
      <c r="AM1764" s="10"/>
      <c r="AN1764" s="10"/>
      <c r="AO1764" s="13" t="b">
        <v>0</v>
      </c>
      <c r="AP1764" s="10" t="s">
        <v>104</v>
      </c>
      <c r="AQ1764" s="10"/>
      <c r="AR1764" s="17"/>
      <c r="AS1764" s="17"/>
      <c r="AT1764" s="17"/>
      <c r="AU1764" s="17"/>
      <c r="AV1764" s="17"/>
      <c r="AW1764" s="10"/>
      <c r="AX1764" s="17"/>
      <c r="AY1764" s="18" t="s">
        <v>257</v>
      </c>
      <c r="AZ1764" s="10"/>
      <c r="BA1764" s="20" t="b">
        <v>0</v>
      </c>
      <c r="BB1764" s="10"/>
      <c r="BC1764" s="17" t="s">
        <v>257</v>
      </c>
      <c r="BD1764" s="17" t="s">
        <v>257</v>
      </c>
      <c r="BE1764" s="17" t="s">
        <v>257</v>
      </c>
      <c r="BF1764" s="17" t="s">
        <v>257</v>
      </c>
      <c r="BG1764" s="11">
        <f ca="1">IFERROR(__xludf.DUMMYFUNCTION("""COMPUTED_VALUE"""),46045.03125)</f>
        <v>46045.03125</v>
      </c>
      <c r="BH1764" s="17"/>
      <c r="BI1764" s="17"/>
      <c r="BJ1764" s="15"/>
      <c r="BK1764" s="15"/>
      <c r="BL1764" s="13" t="b">
        <v>0</v>
      </c>
      <c r="BM1764" s="10"/>
      <c r="BN1764" s="10" t="s">
        <v>223</v>
      </c>
      <c r="BO1764" s="11">
        <v>45904.305474537039</v>
      </c>
      <c r="BP1764" s="11">
        <v>45904.305474537039</v>
      </c>
      <c r="BQ1764" s="15"/>
      <c r="BR1764" s="15"/>
      <c r="BS1764" s="10"/>
      <c r="BT1764" s="10"/>
      <c r="BU1764" s="10"/>
      <c r="BV1764" s="10"/>
      <c r="BW1764" s="10"/>
      <c r="BX1764" s="10"/>
      <c r="BY1764" s="23"/>
      <c r="BZ1764" s="23"/>
      <c r="CA1764" s="23"/>
      <c r="CB1764" s="23"/>
      <c r="CC1764" s="23"/>
      <c r="CD1764" s="23"/>
      <c r="CE1764" s="23"/>
      <c r="CF1764" s="23"/>
      <c r="CG1764" s="23"/>
      <c r="CH1764" s="23"/>
      <c r="CI1764" s="23"/>
    </row>
    <row r="1765" spans="1:87" x14ac:dyDescent="0.3">
      <c r="A1765" s="9" t="s">
        <v>13444</v>
      </c>
      <c r="B1765" s="10" t="s">
        <v>13445</v>
      </c>
      <c r="C1765" s="11">
        <v>46045.03125</v>
      </c>
      <c r="D1765" s="12">
        <v>8.3333333333333329E-2</v>
      </c>
      <c r="E1765" s="11">
        <v>46045.114583333336</v>
      </c>
      <c r="F1765" s="10" t="s">
        <v>7843</v>
      </c>
      <c r="G1765" s="13" t="b">
        <v>0</v>
      </c>
      <c r="H1765" s="10"/>
      <c r="I1765" s="10" t="s">
        <v>89</v>
      </c>
      <c r="J1765" s="13" t="b">
        <v>0</v>
      </c>
      <c r="K1765" s="13" t="b">
        <v>1</v>
      </c>
      <c r="L1765" s="10" t="s">
        <v>124</v>
      </c>
      <c r="M1765" s="10" t="s">
        <v>91</v>
      </c>
      <c r="N1765" s="10" t="s">
        <v>92</v>
      </c>
      <c r="O1765" s="10"/>
      <c r="P1765" s="10"/>
      <c r="Q1765" s="10"/>
      <c r="R1765" s="10"/>
      <c r="S1765" s="10"/>
      <c r="T1765" s="10"/>
      <c r="U1765" s="10" t="s">
        <v>3230</v>
      </c>
      <c r="V1765" s="10" t="s">
        <v>8547</v>
      </c>
      <c r="W1765" s="10" t="s">
        <v>7848</v>
      </c>
      <c r="X1765" s="10" t="s">
        <v>130</v>
      </c>
      <c r="Y1765" s="10" t="s">
        <v>130</v>
      </c>
      <c r="Z1765" s="10" t="s">
        <v>99</v>
      </c>
      <c r="AA1765" s="10" t="s">
        <v>131</v>
      </c>
      <c r="AB1765" s="10" t="s">
        <v>7849</v>
      </c>
      <c r="AC1765" s="10" t="s">
        <v>3571</v>
      </c>
      <c r="AD1765" s="10" t="s">
        <v>13446</v>
      </c>
      <c r="AE1765" s="10" t="s">
        <v>13447</v>
      </c>
      <c r="AF1765" s="15"/>
      <c r="AG1765" s="10"/>
      <c r="AH1765" s="10"/>
      <c r="AI1765" s="10"/>
      <c r="AJ1765" s="10"/>
      <c r="AK1765" s="10"/>
      <c r="AL1765" s="10" t="s">
        <v>7897</v>
      </c>
      <c r="AM1765" s="10"/>
      <c r="AN1765" s="10"/>
      <c r="AO1765" s="13" t="b">
        <v>0</v>
      </c>
      <c r="AP1765" s="10" t="s">
        <v>104</v>
      </c>
      <c r="AQ1765" s="10"/>
      <c r="AR1765" s="17"/>
      <c r="AS1765" s="17"/>
      <c r="AT1765" s="17"/>
      <c r="AU1765" s="17"/>
      <c r="AV1765" s="17"/>
      <c r="AW1765" s="10"/>
      <c r="AX1765" s="17"/>
      <c r="AY1765" s="18" t="s">
        <v>257</v>
      </c>
      <c r="AZ1765" s="10"/>
      <c r="BA1765" s="20" t="b">
        <v>0</v>
      </c>
      <c r="BB1765" s="10"/>
      <c r="BC1765" s="17" t="s">
        <v>257</v>
      </c>
      <c r="BD1765" s="17" t="s">
        <v>257</v>
      </c>
      <c r="BE1765" s="17" t="s">
        <v>257</v>
      </c>
      <c r="BF1765" s="17" t="s">
        <v>257</v>
      </c>
      <c r="BG1765" s="11">
        <f ca="1">IFERROR(__xludf.DUMMYFUNCTION("""COMPUTED_VALUE"""),46045.03125)</f>
        <v>46045.03125</v>
      </c>
      <c r="BH1765" s="17"/>
      <c r="BI1765" s="17"/>
      <c r="BJ1765" s="15"/>
      <c r="BK1765" s="15"/>
      <c r="BL1765" s="13" t="b">
        <v>0</v>
      </c>
      <c r="BM1765" s="10"/>
      <c r="BN1765" s="10" t="s">
        <v>223</v>
      </c>
      <c r="BO1765" s="11">
        <v>45904.305474537039</v>
      </c>
      <c r="BP1765" s="11">
        <v>45904.305474537039</v>
      </c>
      <c r="BQ1765" s="15"/>
      <c r="BR1765" s="15"/>
      <c r="BS1765" s="10"/>
      <c r="BT1765" s="10"/>
      <c r="BU1765" s="10"/>
      <c r="BV1765" s="10"/>
      <c r="BW1765" s="10"/>
      <c r="BX1765" s="10"/>
      <c r="BY1765" s="23"/>
      <c r="BZ1765" s="23"/>
      <c r="CA1765" s="23"/>
      <c r="CB1765" s="23"/>
      <c r="CC1765" s="23"/>
      <c r="CD1765" s="23"/>
      <c r="CE1765" s="23"/>
      <c r="CF1765" s="23"/>
      <c r="CG1765" s="23"/>
      <c r="CH1765" s="23"/>
      <c r="CI1765" s="23"/>
    </row>
    <row r="1766" spans="1:87" x14ac:dyDescent="0.3">
      <c r="A1766" s="9" t="s">
        <v>13448</v>
      </c>
      <c r="B1766" s="10" t="s">
        <v>13449</v>
      </c>
      <c r="C1766" s="11">
        <v>46045.03125</v>
      </c>
      <c r="D1766" s="12">
        <v>8.3333333333333329E-2</v>
      </c>
      <c r="E1766" s="11">
        <v>46045.114583333336</v>
      </c>
      <c r="F1766" s="10" t="s">
        <v>7843</v>
      </c>
      <c r="G1766" s="13" t="b">
        <v>0</v>
      </c>
      <c r="H1766" s="10"/>
      <c r="I1766" s="10" t="s">
        <v>89</v>
      </c>
      <c r="J1766" s="13" t="b">
        <v>0</v>
      </c>
      <c r="K1766" s="13" t="b">
        <v>1</v>
      </c>
      <c r="L1766" s="10" t="s">
        <v>124</v>
      </c>
      <c r="M1766" s="10" t="s">
        <v>91</v>
      </c>
      <c r="N1766" s="10" t="s">
        <v>92</v>
      </c>
      <c r="O1766" s="10"/>
      <c r="P1766" s="10"/>
      <c r="Q1766" s="10"/>
      <c r="R1766" s="10"/>
      <c r="S1766" s="10"/>
      <c r="T1766" s="10"/>
      <c r="U1766" s="10" t="s">
        <v>12522</v>
      </c>
      <c r="V1766" s="10" t="s">
        <v>3591</v>
      </c>
      <c r="W1766" s="10" t="s">
        <v>7848</v>
      </c>
      <c r="X1766" s="10" t="s">
        <v>130</v>
      </c>
      <c r="Y1766" s="10" t="s">
        <v>130</v>
      </c>
      <c r="Z1766" s="10" t="s">
        <v>99</v>
      </c>
      <c r="AA1766" s="10" t="s">
        <v>131</v>
      </c>
      <c r="AB1766" s="10" t="s">
        <v>7849</v>
      </c>
      <c r="AC1766" s="10" t="s">
        <v>3571</v>
      </c>
      <c r="AD1766" s="10" t="s">
        <v>13450</v>
      </c>
      <c r="AE1766" s="10" t="s">
        <v>13451</v>
      </c>
      <c r="AF1766" s="15"/>
      <c r="AG1766" s="10"/>
      <c r="AH1766" s="10"/>
      <c r="AI1766" s="10"/>
      <c r="AJ1766" s="10"/>
      <c r="AK1766" s="10"/>
      <c r="AL1766" s="10" t="s">
        <v>7897</v>
      </c>
      <c r="AM1766" s="10"/>
      <c r="AN1766" s="10"/>
      <c r="AO1766" s="13" t="b">
        <v>0</v>
      </c>
      <c r="AP1766" s="10" t="s">
        <v>104</v>
      </c>
      <c r="AQ1766" s="10"/>
      <c r="AR1766" s="17"/>
      <c r="AS1766" s="17"/>
      <c r="AT1766" s="17"/>
      <c r="AU1766" s="17"/>
      <c r="AV1766" s="17"/>
      <c r="AW1766" s="10"/>
      <c r="AX1766" s="17"/>
      <c r="AY1766" s="18" t="s">
        <v>257</v>
      </c>
      <c r="AZ1766" s="10"/>
      <c r="BA1766" s="20" t="b">
        <v>0</v>
      </c>
      <c r="BB1766" s="10"/>
      <c r="BC1766" s="17" t="s">
        <v>257</v>
      </c>
      <c r="BD1766" s="17" t="s">
        <v>257</v>
      </c>
      <c r="BE1766" s="17" t="s">
        <v>257</v>
      </c>
      <c r="BF1766" s="17" t="s">
        <v>257</v>
      </c>
      <c r="BG1766" s="11">
        <f ca="1">IFERROR(__xludf.DUMMYFUNCTION("""COMPUTED_VALUE"""),46045.03125)</f>
        <v>46045.03125</v>
      </c>
      <c r="BH1766" s="17"/>
      <c r="BI1766" s="17"/>
      <c r="BJ1766" s="15"/>
      <c r="BK1766" s="15"/>
      <c r="BL1766" s="13" t="b">
        <v>0</v>
      </c>
      <c r="BM1766" s="10"/>
      <c r="BN1766" s="10" t="s">
        <v>223</v>
      </c>
      <c r="BO1766" s="11">
        <v>45904.305474537039</v>
      </c>
      <c r="BP1766" s="11">
        <v>45904.305474537039</v>
      </c>
      <c r="BQ1766" s="15"/>
      <c r="BR1766" s="15"/>
      <c r="BS1766" s="10"/>
      <c r="BT1766" s="10"/>
      <c r="BU1766" s="10"/>
      <c r="BV1766" s="10"/>
      <c r="BW1766" s="10"/>
      <c r="BX1766" s="10"/>
      <c r="BY1766" s="23"/>
      <c r="BZ1766" s="23"/>
      <c r="CA1766" s="23"/>
      <c r="CB1766" s="23"/>
      <c r="CC1766" s="23"/>
      <c r="CD1766" s="23"/>
      <c r="CE1766" s="23"/>
      <c r="CF1766" s="23"/>
      <c r="CG1766" s="23"/>
      <c r="CH1766" s="23"/>
      <c r="CI1766" s="23"/>
    </row>
    <row r="1767" spans="1:87" x14ac:dyDescent="0.3">
      <c r="A1767" s="9" t="s">
        <v>13452</v>
      </c>
      <c r="B1767" s="10" t="s">
        <v>13453</v>
      </c>
      <c r="C1767" s="11">
        <v>46045.03125</v>
      </c>
      <c r="D1767" s="12">
        <v>8.3333333333333329E-2</v>
      </c>
      <c r="E1767" s="11">
        <v>46045.114583333336</v>
      </c>
      <c r="F1767" s="10" t="s">
        <v>7843</v>
      </c>
      <c r="G1767" s="13" t="b">
        <v>0</v>
      </c>
      <c r="H1767" s="10"/>
      <c r="I1767" s="10" t="s">
        <v>89</v>
      </c>
      <c r="J1767" s="13" t="b">
        <v>0</v>
      </c>
      <c r="K1767" s="13" t="b">
        <v>1</v>
      </c>
      <c r="L1767" s="10" t="s">
        <v>124</v>
      </c>
      <c r="M1767" s="10" t="s">
        <v>91</v>
      </c>
      <c r="N1767" s="10" t="s">
        <v>92</v>
      </c>
      <c r="O1767" s="10"/>
      <c r="P1767" s="10"/>
      <c r="Q1767" s="10"/>
      <c r="R1767" s="10"/>
      <c r="S1767" s="10"/>
      <c r="T1767" s="10"/>
      <c r="U1767" s="10" t="s">
        <v>12662</v>
      </c>
      <c r="V1767" s="10" t="s">
        <v>12634</v>
      </c>
      <c r="W1767" s="10" t="s">
        <v>7848</v>
      </c>
      <c r="X1767" s="10" t="s">
        <v>130</v>
      </c>
      <c r="Y1767" s="10" t="s">
        <v>130</v>
      </c>
      <c r="Z1767" s="10" t="s">
        <v>99</v>
      </c>
      <c r="AA1767" s="10" t="s">
        <v>131</v>
      </c>
      <c r="AB1767" s="10" t="s">
        <v>7849</v>
      </c>
      <c r="AC1767" s="10" t="s">
        <v>3571</v>
      </c>
      <c r="AD1767" s="10" t="s">
        <v>13454</v>
      </c>
      <c r="AE1767" s="10" t="s">
        <v>13455</v>
      </c>
      <c r="AF1767" s="15"/>
      <c r="AG1767" s="10"/>
      <c r="AH1767" s="10"/>
      <c r="AI1767" s="10"/>
      <c r="AJ1767" s="10"/>
      <c r="AK1767" s="10"/>
      <c r="AL1767" s="10" t="s">
        <v>7897</v>
      </c>
      <c r="AM1767" s="10"/>
      <c r="AN1767" s="10"/>
      <c r="AO1767" s="13" t="b">
        <v>0</v>
      </c>
      <c r="AP1767" s="10" t="s">
        <v>104</v>
      </c>
      <c r="AQ1767" s="10"/>
      <c r="AR1767" s="17"/>
      <c r="AS1767" s="17"/>
      <c r="AT1767" s="17"/>
      <c r="AU1767" s="17"/>
      <c r="AV1767" s="17"/>
      <c r="AW1767" s="10"/>
      <c r="AX1767" s="17"/>
      <c r="AY1767" s="18" t="s">
        <v>257</v>
      </c>
      <c r="AZ1767" s="10"/>
      <c r="BA1767" s="20" t="b">
        <v>0</v>
      </c>
      <c r="BB1767" s="10"/>
      <c r="BC1767" s="17" t="s">
        <v>257</v>
      </c>
      <c r="BD1767" s="17" t="s">
        <v>257</v>
      </c>
      <c r="BE1767" s="17" t="s">
        <v>257</v>
      </c>
      <c r="BF1767" s="17" t="s">
        <v>257</v>
      </c>
      <c r="BG1767" s="11">
        <f ca="1">IFERROR(__xludf.DUMMYFUNCTION("""COMPUTED_VALUE"""),46045.03125)</f>
        <v>46045.03125</v>
      </c>
      <c r="BH1767" s="17"/>
      <c r="BI1767" s="17"/>
      <c r="BJ1767" s="15"/>
      <c r="BK1767" s="15"/>
      <c r="BL1767" s="13" t="b">
        <v>0</v>
      </c>
      <c r="BM1767" s="10"/>
      <c r="BN1767" s="10" t="s">
        <v>223</v>
      </c>
      <c r="BO1767" s="11">
        <v>45904.305474537039</v>
      </c>
      <c r="BP1767" s="11">
        <v>45904.305474537039</v>
      </c>
      <c r="BQ1767" s="15"/>
      <c r="BR1767" s="15"/>
      <c r="BS1767" s="10"/>
      <c r="BT1767" s="10"/>
      <c r="BU1767" s="10"/>
      <c r="BV1767" s="10"/>
      <c r="BW1767" s="10"/>
      <c r="BX1767" s="10"/>
      <c r="BY1767" s="23"/>
      <c r="BZ1767" s="23"/>
      <c r="CA1767" s="23"/>
      <c r="CB1767" s="23"/>
      <c r="CC1767" s="23"/>
      <c r="CD1767" s="23"/>
      <c r="CE1767" s="23"/>
      <c r="CF1767" s="23"/>
      <c r="CG1767" s="23"/>
      <c r="CH1767" s="23"/>
      <c r="CI1767" s="23"/>
    </row>
    <row r="1768" spans="1:87" x14ac:dyDescent="0.3">
      <c r="A1768" s="9" t="s">
        <v>13456</v>
      </c>
      <c r="B1768" s="10" t="s">
        <v>13457</v>
      </c>
      <c r="C1768" s="11">
        <v>46045.03125</v>
      </c>
      <c r="D1768" s="12">
        <v>8.3333333333333329E-2</v>
      </c>
      <c r="E1768" s="11">
        <v>46045.114583333336</v>
      </c>
      <c r="F1768" s="10" t="s">
        <v>7843</v>
      </c>
      <c r="G1768" s="13" t="b">
        <v>0</v>
      </c>
      <c r="H1768" s="10"/>
      <c r="I1768" s="10" t="s">
        <v>89</v>
      </c>
      <c r="J1768" s="13" t="b">
        <v>0</v>
      </c>
      <c r="K1768" s="13" t="b">
        <v>1</v>
      </c>
      <c r="L1768" s="10" t="s">
        <v>124</v>
      </c>
      <c r="M1768" s="10" t="s">
        <v>91</v>
      </c>
      <c r="N1768" s="10" t="s">
        <v>92</v>
      </c>
      <c r="O1768" s="10"/>
      <c r="P1768" s="10"/>
      <c r="Q1768" s="10"/>
      <c r="R1768" s="10"/>
      <c r="S1768" s="10"/>
      <c r="T1768" s="10"/>
      <c r="U1768" s="10" t="s">
        <v>8944</v>
      </c>
      <c r="V1768" s="10" t="s">
        <v>12504</v>
      </c>
      <c r="W1768" s="10" t="s">
        <v>7848</v>
      </c>
      <c r="X1768" s="10" t="s">
        <v>130</v>
      </c>
      <c r="Y1768" s="10" t="s">
        <v>130</v>
      </c>
      <c r="Z1768" s="10" t="s">
        <v>99</v>
      </c>
      <c r="AA1768" s="10" t="s">
        <v>131</v>
      </c>
      <c r="AB1768" s="10" t="s">
        <v>7849</v>
      </c>
      <c r="AC1768" s="10" t="s">
        <v>3571</v>
      </c>
      <c r="AD1768" s="10" t="s">
        <v>13458</v>
      </c>
      <c r="AE1768" s="10" t="s">
        <v>13459</v>
      </c>
      <c r="AF1768" s="15"/>
      <c r="AG1768" s="10"/>
      <c r="AH1768" s="10"/>
      <c r="AI1768" s="10"/>
      <c r="AJ1768" s="10"/>
      <c r="AK1768" s="10"/>
      <c r="AL1768" s="10" t="s">
        <v>7897</v>
      </c>
      <c r="AM1768" s="10"/>
      <c r="AN1768" s="10"/>
      <c r="AO1768" s="13" t="b">
        <v>0</v>
      </c>
      <c r="AP1768" s="10" t="s">
        <v>104</v>
      </c>
      <c r="AQ1768" s="10"/>
      <c r="AR1768" s="17"/>
      <c r="AS1768" s="17"/>
      <c r="AT1768" s="17"/>
      <c r="AU1768" s="17"/>
      <c r="AV1768" s="17"/>
      <c r="AW1768" s="10"/>
      <c r="AX1768" s="17"/>
      <c r="AY1768" s="18" t="s">
        <v>257</v>
      </c>
      <c r="AZ1768" s="10"/>
      <c r="BA1768" s="20" t="b">
        <v>0</v>
      </c>
      <c r="BB1768" s="10"/>
      <c r="BC1768" s="17" t="s">
        <v>257</v>
      </c>
      <c r="BD1768" s="17" t="s">
        <v>257</v>
      </c>
      <c r="BE1768" s="17" t="s">
        <v>257</v>
      </c>
      <c r="BF1768" s="17" t="s">
        <v>257</v>
      </c>
      <c r="BG1768" s="11">
        <f ca="1">IFERROR(__xludf.DUMMYFUNCTION("""COMPUTED_VALUE"""),46045.03125)</f>
        <v>46045.03125</v>
      </c>
      <c r="BH1768" s="17"/>
      <c r="BI1768" s="17"/>
      <c r="BJ1768" s="15"/>
      <c r="BK1768" s="15"/>
      <c r="BL1768" s="13" t="b">
        <v>0</v>
      </c>
      <c r="BM1768" s="10"/>
      <c r="BN1768" s="10" t="s">
        <v>223</v>
      </c>
      <c r="BO1768" s="11">
        <v>45904.305474537039</v>
      </c>
      <c r="BP1768" s="11">
        <v>45904.305474537039</v>
      </c>
      <c r="BQ1768" s="15"/>
      <c r="BR1768" s="15"/>
      <c r="BS1768" s="10"/>
      <c r="BT1768" s="10"/>
      <c r="BU1768" s="10"/>
      <c r="BV1768" s="10"/>
      <c r="BW1768" s="10"/>
      <c r="BX1768" s="10"/>
      <c r="BY1768" s="23"/>
      <c r="BZ1768" s="23"/>
      <c r="CA1768" s="23"/>
      <c r="CB1768" s="23"/>
      <c r="CC1768" s="23"/>
      <c r="CD1768" s="23"/>
      <c r="CE1768" s="23"/>
      <c r="CF1768" s="23"/>
      <c r="CG1768" s="23"/>
      <c r="CH1768" s="23"/>
      <c r="CI1768" s="23"/>
    </row>
    <row r="1769" spans="1:87" x14ac:dyDescent="0.3">
      <c r="A1769" s="9" t="s">
        <v>13460</v>
      </c>
      <c r="B1769" s="10" t="s">
        <v>13461</v>
      </c>
      <c r="C1769" s="11">
        <v>46045.03125</v>
      </c>
      <c r="D1769" s="12">
        <v>8.3333333333333329E-2</v>
      </c>
      <c r="E1769" s="11">
        <v>46045.114583333336</v>
      </c>
      <c r="F1769" s="10" t="s">
        <v>7843</v>
      </c>
      <c r="G1769" s="13" t="b">
        <v>0</v>
      </c>
      <c r="H1769" s="10"/>
      <c r="I1769" s="10" t="s">
        <v>89</v>
      </c>
      <c r="J1769" s="13" t="b">
        <v>0</v>
      </c>
      <c r="K1769" s="13" t="b">
        <v>1</v>
      </c>
      <c r="L1769" s="10" t="s">
        <v>124</v>
      </c>
      <c r="M1769" s="10" t="s">
        <v>91</v>
      </c>
      <c r="N1769" s="10" t="s">
        <v>92</v>
      </c>
      <c r="O1769" s="10"/>
      <c r="P1769" s="10"/>
      <c r="Q1769" s="10"/>
      <c r="R1769" s="10"/>
      <c r="S1769" s="10"/>
      <c r="T1769" s="10"/>
      <c r="U1769" s="10" t="s">
        <v>3690</v>
      </c>
      <c r="V1769" s="10" t="s">
        <v>8555</v>
      </c>
      <c r="W1769" s="10" t="s">
        <v>7848</v>
      </c>
      <c r="X1769" s="10" t="s">
        <v>130</v>
      </c>
      <c r="Y1769" s="10" t="s">
        <v>130</v>
      </c>
      <c r="Z1769" s="10" t="s">
        <v>99</v>
      </c>
      <c r="AA1769" s="10" t="s">
        <v>131</v>
      </c>
      <c r="AB1769" s="10" t="s">
        <v>7849</v>
      </c>
      <c r="AC1769" s="10" t="s">
        <v>3571</v>
      </c>
      <c r="AD1769" s="10" t="s">
        <v>13462</v>
      </c>
      <c r="AE1769" s="10" t="s">
        <v>13463</v>
      </c>
      <c r="AF1769" s="15"/>
      <c r="AG1769" s="10"/>
      <c r="AH1769" s="10"/>
      <c r="AI1769" s="10"/>
      <c r="AJ1769" s="10"/>
      <c r="AK1769" s="10"/>
      <c r="AL1769" s="10" t="s">
        <v>7897</v>
      </c>
      <c r="AM1769" s="10"/>
      <c r="AN1769" s="10"/>
      <c r="AO1769" s="13" t="b">
        <v>0</v>
      </c>
      <c r="AP1769" s="10" t="s">
        <v>104</v>
      </c>
      <c r="AQ1769" s="10"/>
      <c r="AR1769" s="17"/>
      <c r="AS1769" s="17"/>
      <c r="AT1769" s="17"/>
      <c r="AU1769" s="17"/>
      <c r="AV1769" s="17"/>
      <c r="AW1769" s="10"/>
      <c r="AX1769" s="17"/>
      <c r="AY1769" s="18" t="s">
        <v>257</v>
      </c>
      <c r="AZ1769" s="10"/>
      <c r="BA1769" s="20" t="b">
        <v>0</v>
      </c>
      <c r="BB1769" s="10"/>
      <c r="BC1769" s="17" t="s">
        <v>257</v>
      </c>
      <c r="BD1769" s="17" t="s">
        <v>257</v>
      </c>
      <c r="BE1769" s="17" t="s">
        <v>257</v>
      </c>
      <c r="BF1769" s="17" t="s">
        <v>257</v>
      </c>
      <c r="BG1769" s="11">
        <f ca="1">IFERROR(__xludf.DUMMYFUNCTION("""COMPUTED_VALUE"""),46045.03125)</f>
        <v>46045.03125</v>
      </c>
      <c r="BH1769" s="17"/>
      <c r="BI1769" s="17"/>
      <c r="BJ1769" s="15"/>
      <c r="BK1769" s="15"/>
      <c r="BL1769" s="13" t="b">
        <v>0</v>
      </c>
      <c r="BM1769" s="10"/>
      <c r="BN1769" s="10" t="s">
        <v>223</v>
      </c>
      <c r="BO1769" s="11">
        <v>45904.305474537039</v>
      </c>
      <c r="BP1769" s="11">
        <v>45904.305474537039</v>
      </c>
      <c r="BQ1769" s="15"/>
      <c r="BR1769" s="15"/>
      <c r="BS1769" s="10"/>
      <c r="BT1769" s="10"/>
      <c r="BU1769" s="10"/>
      <c r="BV1769" s="10"/>
      <c r="BW1769" s="10"/>
      <c r="BX1769" s="10"/>
      <c r="BY1769" s="23"/>
      <c r="BZ1769" s="23"/>
      <c r="CA1769" s="23"/>
      <c r="CB1769" s="23"/>
      <c r="CC1769" s="23"/>
      <c r="CD1769" s="23"/>
      <c r="CE1769" s="23"/>
      <c r="CF1769" s="23"/>
      <c r="CG1769" s="23"/>
      <c r="CH1769" s="23"/>
      <c r="CI1769" s="23"/>
    </row>
    <row r="1770" spans="1:87" x14ac:dyDescent="0.3">
      <c r="A1770" s="9" t="s">
        <v>13464</v>
      </c>
      <c r="B1770" s="10" t="s">
        <v>13465</v>
      </c>
      <c r="C1770" s="11">
        <v>46045.03125</v>
      </c>
      <c r="D1770" s="12">
        <v>8.3333333333333329E-2</v>
      </c>
      <c r="E1770" s="11">
        <v>46045.114583333336</v>
      </c>
      <c r="F1770" s="10" t="s">
        <v>7843</v>
      </c>
      <c r="G1770" s="13" t="b">
        <v>0</v>
      </c>
      <c r="H1770" s="10"/>
      <c r="I1770" s="10" t="s">
        <v>89</v>
      </c>
      <c r="J1770" s="13" t="b">
        <v>0</v>
      </c>
      <c r="K1770" s="13" t="b">
        <v>1</v>
      </c>
      <c r="L1770" s="10" t="s">
        <v>124</v>
      </c>
      <c r="M1770" s="10" t="s">
        <v>91</v>
      </c>
      <c r="N1770" s="10" t="s">
        <v>92</v>
      </c>
      <c r="O1770" s="10"/>
      <c r="P1770" s="10"/>
      <c r="Q1770" s="10"/>
      <c r="R1770" s="10"/>
      <c r="S1770" s="10"/>
      <c r="T1770" s="10"/>
      <c r="U1770" s="10" t="s">
        <v>7846</v>
      </c>
      <c r="V1770" s="10" t="s">
        <v>5102</v>
      </c>
      <c r="W1770" s="10" t="s">
        <v>7848</v>
      </c>
      <c r="X1770" s="10" t="s">
        <v>130</v>
      </c>
      <c r="Y1770" s="10" t="s">
        <v>130</v>
      </c>
      <c r="Z1770" s="10" t="s">
        <v>99</v>
      </c>
      <c r="AA1770" s="10" t="s">
        <v>131</v>
      </c>
      <c r="AB1770" s="10" t="s">
        <v>7849</v>
      </c>
      <c r="AC1770" s="10" t="s">
        <v>3571</v>
      </c>
      <c r="AD1770" s="10" t="s">
        <v>13466</v>
      </c>
      <c r="AE1770" s="10" t="s">
        <v>13467</v>
      </c>
      <c r="AF1770" s="15"/>
      <c r="AG1770" s="10"/>
      <c r="AH1770" s="10"/>
      <c r="AI1770" s="10"/>
      <c r="AJ1770" s="10"/>
      <c r="AK1770" s="10"/>
      <c r="AL1770" s="10" t="s">
        <v>7897</v>
      </c>
      <c r="AM1770" s="10"/>
      <c r="AN1770" s="10"/>
      <c r="AO1770" s="13" t="b">
        <v>0</v>
      </c>
      <c r="AP1770" s="10" t="s">
        <v>104</v>
      </c>
      <c r="AQ1770" s="10"/>
      <c r="AR1770" s="17"/>
      <c r="AS1770" s="17"/>
      <c r="AT1770" s="17"/>
      <c r="AU1770" s="17"/>
      <c r="AV1770" s="17"/>
      <c r="AW1770" s="10"/>
      <c r="AX1770" s="17"/>
      <c r="AY1770" s="18" t="s">
        <v>257</v>
      </c>
      <c r="AZ1770" s="10"/>
      <c r="BA1770" s="20" t="b">
        <v>0</v>
      </c>
      <c r="BB1770" s="10"/>
      <c r="BC1770" s="17" t="s">
        <v>257</v>
      </c>
      <c r="BD1770" s="17" t="s">
        <v>257</v>
      </c>
      <c r="BE1770" s="17" t="s">
        <v>257</v>
      </c>
      <c r="BF1770" s="17" t="s">
        <v>257</v>
      </c>
      <c r="BG1770" s="11">
        <f ca="1">IFERROR(__xludf.DUMMYFUNCTION("""COMPUTED_VALUE"""),46045.03125)</f>
        <v>46045.03125</v>
      </c>
      <c r="BH1770" s="17"/>
      <c r="BI1770" s="17"/>
      <c r="BJ1770" s="15"/>
      <c r="BK1770" s="15"/>
      <c r="BL1770" s="13" t="b">
        <v>0</v>
      </c>
      <c r="BM1770" s="10"/>
      <c r="BN1770" s="10" t="s">
        <v>223</v>
      </c>
      <c r="BO1770" s="11">
        <v>45904.305474537039</v>
      </c>
      <c r="BP1770" s="11">
        <v>45904.305474537039</v>
      </c>
      <c r="BQ1770" s="15"/>
      <c r="BR1770" s="15"/>
      <c r="BS1770" s="10"/>
      <c r="BT1770" s="10"/>
      <c r="BU1770" s="10"/>
      <c r="BV1770" s="10"/>
      <c r="BW1770" s="10"/>
      <c r="BX1770" s="10"/>
      <c r="BY1770" s="23"/>
      <c r="BZ1770" s="23"/>
      <c r="CA1770" s="23"/>
      <c r="CB1770" s="23"/>
      <c r="CC1770" s="23"/>
      <c r="CD1770" s="23"/>
      <c r="CE1770" s="23"/>
      <c r="CF1770" s="23"/>
      <c r="CG1770" s="23"/>
      <c r="CH1770" s="23"/>
      <c r="CI1770" s="23"/>
    </row>
    <row r="1771" spans="1:87" x14ac:dyDescent="0.3">
      <c r="A1771" s="9" t="s">
        <v>13468</v>
      </c>
      <c r="B1771" s="10" t="s">
        <v>13469</v>
      </c>
      <c r="C1771" s="11">
        <v>46045.03125</v>
      </c>
      <c r="D1771" s="12">
        <v>8.3333333333333329E-2</v>
      </c>
      <c r="E1771" s="11">
        <v>46045.114583333336</v>
      </c>
      <c r="F1771" s="10" t="s">
        <v>7843</v>
      </c>
      <c r="G1771" s="13" t="b">
        <v>0</v>
      </c>
      <c r="H1771" s="10"/>
      <c r="I1771" s="10" t="s">
        <v>89</v>
      </c>
      <c r="J1771" s="13" t="b">
        <v>0</v>
      </c>
      <c r="K1771" s="13" t="b">
        <v>1</v>
      </c>
      <c r="L1771" s="10" t="s">
        <v>124</v>
      </c>
      <c r="M1771" s="10" t="s">
        <v>91</v>
      </c>
      <c r="N1771" s="10" t="s">
        <v>92</v>
      </c>
      <c r="O1771" s="10"/>
      <c r="P1771" s="10"/>
      <c r="Q1771" s="10"/>
      <c r="R1771" s="10"/>
      <c r="S1771" s="10"/>
      <c r="T1771" s="10"/>
      <c r="U1771" s="10" t="s">
        <v>7837</v>
      </c>
      <c r="V1771" s="10" t="s">
        <v>7870</v>
      </c>
      <c r="W1771" s="10" t="s">
        <v>7848</v>
      </c>
      <c r="X1771" s="10" t="s">
        <v>130</v>
      </c>
      <c r="Y1771" s="10" t="s">
        <v>130</v>
      </c>
      <c r="Z1771" s="10" t="s">
        <v>99</v>
      </c>
      <c r="AA1771" s="10" t="s">
        <v>131</v>
      </c>
      <c r="AB1771" s="10" t="s">
        <v>7849</v>
      </c>
      <c r="AC1771" s="10" t="s">
        <v>3571</v>
      </c>
      <c r="AD1771" s="10" t="s">
        <v>13470</v>
      </c>
      <c r="AE1771" s="10" t="s">
        <v>13471</v>
      </c>
      <c r="AF1771" s="15"/>
      <c r="AG1771" s="10"/>
      <c r="AH1771" s="10"/>
      <c r="AI1771" s="10"/>
      <c r="AJ1771" s="10"/>
      <c r="AK1771" s="10"/>
      <c r="AL1771" s="10" t="s">
        <v>7897</v>
      </c>
      <c r="AM1771" s="10"/>
      <c r="AN1771" s="10"/>
      <c r="AO1771" s="13" t="b">
        <v>0</v>
      </c>
      <c r="AP1771" s="10" t="s">
        <v>104</v>
      </c>
      <c r="AQ1771" s="10"/>
      <c r="AR1771" s="17"/>
      <c r="AS1771" s="17"/>
      <c r="AT1771" s="17"/>
      <c r="AU1771" s="17"/>
      <c r="AV1771" s="17"/>
      <c r="AW1771" s="10"/>
      <c r="AX1771" s="17"/>
      <c r="AY1771" s="18" t="s">
        <v>257</v>
      </c>
      <c r="AZ1771" s="10"/>
      <c r="BA1771" s="20" t="b">
        <v>0</v>
      </c>
      <c r="BB1771" s="10"/>
      <c r="BC1771" s="17" t="s">
        <v>257</v>
      </c>
      <c r="BD1771" s="17" t="s">
        <v>257</v>
      </c>
      <c r="BE1771" s="17" t="s">
        <v>257</v>
      </c>
      <c r="BF1771" s="17" t="s">
        <v>257</v>
      </c>
      <c r="BG1771" s="11">
        <f ca="1">IFERROR(__xludf.DUMMYFUNCTION("""COMPUTED_VALUE"""),46045.03125)</f>
        <v>46045.03125</v>
      </c>
      <c r="BH1771" s="17"/>
      <c r="BI1771" s="17"/>
      <c r="BJ1771" s="15"/>
      <c r="BK1771" s="15"/>
      <c r="BL1771" s="13" t="b">
        <v>0</v>
      </c>
      <c r="BM1771" s="10"/>
      <c r="BN1771" s="10" t="s">
        <v>223</v>
      </c>
      <c r="BO1771" s="11">
        <v>45904.305474537039</v>
      </c>
      <c r="BP1771" s="11">
        <v>45904.305474537039</v>
      </c>
      <c r="BQ1771" s="15"/>
      <c r="BR1771" s="15"/>
      <c r="BS1771" s="10"/>
      <c r="BT1771" s="10"/>
      <c r="BU1771" s="10"/>
      <c r="BV1771" s="10"/>
      <c r="BW1771" s="10"/>
      <c r="BX1771" s="10"/>
      <c r="BY1771" s="23"/>
      <c r="BZ1771" s="23"/>
      <c r="CA1771" s="23"/>
      <c r="CB1771" s="23"/>
      <c r="CC1771" s="23"/>
      <c r="CD1771" s="23"/>
      <c r="CE1771" s="23"/>
      <c r="CF1771" s="23"/>
      <c r="CG1771" s="23"/>
      <c r="CH1771" s="23"/>
      <c r="CI1771" s="23"/>
    </row>
    <row r="1772" spans="1:87" x14ac:dyDescent="0.3">
      <c r="A1772" s="9" t="s">
        <v>13472</v>
      </c>
      <c r="B1772" s="10" t="s">
        <v>13473</v>
      </c>
      <c r="C1772" s="11">
        <v>46045.03125</v>
      </c>
      <c r="D1772" s="12">
        <v>8.3333333333333329E-2</v>
      </c>
      <c r="E1772" s="11">
        <v>46045.114583333336</v>
      </c>
      <c r="F1772" s="10" t="s">
        <v>7843</v>
      </c>
      <c r="G1772" s="13" t="b">
        <v>0</v>
      </c>
      <c r="H1772" s="10"/>
      <c r="I1772" s="10" t="s">
        <v>89</v>
      </c>
      <c r="J1772" s="13" t="b">
        <v>0</v>
      </c>
      <c r="K1772" s="13" t="b">
        <v>1</v>
      </c>
      <c r="L1772" s="10" t="s">
        <v>124</v>
      </c>
      <c r="M1772" s="10" t="s">
        <v>91</v>
      </c>
      <c r="N1772" s="10" t="s">
        <v>92</v>
      </c>
      <c r="O1772" s="10"/>
      <c r="P1772" s="10"/>
      <c r="Q1772" s="10"/>
      <c r="R1772" s="10"/>
      <c r="S1772" s="10"/>
      <c r="T1772" s="10"/>
      <c r="U1772" s="10" t="s">
        <v>3581</v>
      </c>
      <c r="V1772" s="10" t="s">
        <v>292</v>
      </c>
      <c r="W1772" s="10" t="s">
        <v>7848</v>
      </c>
      <c r="X1772" s="10" t="s">
        <v>130</v>
      </c>
      <c r="Y1772" s="10" t="s">
        <v>130</v>
      </c>
      <c r="Z1772" s="10" t="s">
        <v>99</v>
      </c>
      <c r="AA1772" s="10" t="s">
        <v>131</v>
      </c>
      <c r="AB1772" s="10" t="s">
        <v>7849</v>
      </c>
      <c r="AC1772" s="10" t="s">
        <v>3571</v>
      </c>
      <c r="AD1772" s="10" t="s">
        <v>13474</v>
      </c>
      <c r="AE1772" s="10" t="s">
        <v>13475</v>
      </c>
      <c r="AF1772" s="15"/>
      <c r="AG1772" s="10"/>
      <c r="AH1772" s="10"/>
      <c r="AI1772" s="10"/>
      <c r="AJ1772" s="10"/>
      <c r="AK1772" s="10"/>
      <c r="AL1772" s="10" t="s">
        <v>7897</v>
      </c>
      <c r="AM1772" s="10"/>
      <c r="AN1772" s="10"/>
      <c r="AO1772" s="13" t="b">
        <v>0</v>
      </c>
      <c r="AP1772" s="10" t="s">
        <v>104</v>
      </c>
      <c r="AQ1772" s="10"/>
      <c r="AR1772" s="17"/>
      <c r="AS1772" s="17"/>
      <c r="AT1772" s="17"/>
      <c r="AU1772" s="17"/>
      <c r="AV1772" s="17"/>
      <c r="AW1772" s="10"/>
      <c r="AX1772" s="17"/>
      <c r="AY1772" s="18" t="s">
        <v>257</v>
      </c>
      <c r="AZ1772" s="10"/>
      <c r="BA1772" s="20" t="b">
        <v>0</v>
      </c>
      <c r="BB1772" s="10"/>
      <c r="BC1772" s="17" t="s">
        <v>257</v>
      </c>
      <c r="BD1772" s="17" t="s">
        <v>257</v>
      </c>
      <c r="BE1772" s="17" t="s">
        <v>257</v>
      </c>
      <c r="BF1772" s="17" t="s">
        <v>257</v>
      </c>
      <c r="BG1772" s="11">
        <f ca="1">IFERROR(__xludf.DUMMYFUNCTION("""COMPUTED_VALUE"""),46045.03125)</f>
        <v>46045.03125</v>
      </c>
      <c r="BH1772" s="17"/>
      <c r="BI1772" s="17"/>
      <c r="BJ1772" s="15"/>
      <c r="BK1772" s="15"/>
      <c r="BL1772" s="13" t="b">
        <v>0</v>
      </c>
      <c r="BM1772" s="10"/>
      <c r="BN1772" s="10" t="s">
        <v>223</v>
      </c>
      <c r="BO1772" s="11">
        <v>45904.305474537039</v>
      </c>
      <c r="BP1772" s="11">
        <v>45904.305474537039</v>
      </c>
      <c r="BQ1772" s="15"/>
      <c r="BR1772" s="15"/>
      <c r="BS1772" s="10"/>
      <c r="BT1772" s="10"/>
      <c r="BU1772" s="10"/>
      <c r="BV1772" s="10"/>
      <c r="BW1772" s="10"/>
      <c r="BX1772" s="10"/>
      <c r="BY1772" s="23"/>
      <c r="BZ1772" s="23"/>
      <c r="CA1772" s="23"/>
      <c r="CB1772" s="23"/>
      <c r="CC1772" s="23"/>
      <c r="CD1772" s="23"/>
      <c r="CE1772" s="23"/>
      <c r="CF1772" s="23"/>
      <c r="CG1772" s="23"/>
      <c r="CH1772" s="23"/>
      <c r="CI1772" s="23"/>
    </row>
    <row r="1773" spans="1:87" x14ac:dyDescent="0.3">
      <c r="A1773" s="9" t="s">
        <v>13476</v>
      </c>
      <c r="B1773" s="10" t="s">
        <v>13477</v>
      </c>
      <c r="C1773" s="11">
        <v>46045.125</v>
      </c>
      <c r="D1773" s="12">
        <v>8.3333333333333329E-2</v>
      </c>
      <c r="E1773" s="11">
        <v>46045.208333333336</v>
      </c>
      <c r="F1773" s="10" t="s">
        <v>7843</v>
      </c>
      <c r="G1773" s="13" t="b">
        <v>0</v>
      </c>
      <c r="H1773" s="10"/>
      <c r="I1773" s="10" t="s">
        <v>89</v>
      </c>
      <c r="J1773" s="13" t="b">
        <v>0</v>
      </c>
      <c r="K1773" s="13" t="b">
        <v>1</v>
      </c>
      <c r="L1773" s="10" t="s">
        <v>124</v>
      </c>
      <c r="M1773" s="10" t="s">
        <v>91</v>
      </c>
      <c r="N1773" s="10" t="s">
        <v>92</v>
      </c>
      <c r="O1773" s="10"/>
      <c r="P1773" s="10"/>
      <c r="Q1773" s="10"/>
      <c r="R1773" s="10"/>
      <c r="S1773" s="10"/>
      <c r="T1773" s="10"/>
      <c r="U1773" s="10" t="s">
        <v>8065</v>
      </c>
      <c r="V1773" s="10" t="s">
        <v>320</v>
      </c>
      <c r="W1773" s="10" t="s">
        <v>7848</v>
      </c>
      <c r="X1773" s="10" t="s">
        <v>130</v>
      </c>
      <c r="Y1773" s="10" t="s">
        <v>130</v>
      </c>
      <c r="Z1773" s="10" t="s">
        <v>99</v>
      </c>
      <c r="AA1773" s="10" t="s">
        <v>131</v>
      </c>
      <c r="AB1773" s="10" t="s">
        <v>7849</v>
      </c>
      <c r="AC1773" s="10" t="s">
        <v>3571</v>
      </c>
      <c r="AD1773" s="10" t="s">
        <v>13478</v>
      </c>
      <c r="AE1773" s="10" t="s">
        <v>13479</v>
      </c>
      <c r="AF1773" s="15"/>
      <c r="AG1773" s="10"/>
      <c r="AH1773" s="10"/>
      <c r="AI1773" s="10"/>
      <c r="AJ1773" s="10"/>
      <c r="AK1773" s="10"/>
      <c r="AL1773" s="10" t="s">
        <v>7897</v>
      </c>
      <c r="AM1773" s="10"/>
      <c r="AN1773" s="10"/>
      <c r="AO1773" s="13" t="b">
        <v>0</v>
      </c>
      <c r="AP1773" s="10" t="s">
        <v>104</v>
      </c>
      <c r="AQ1773" s="10"/>
      <c r="AR1773" s="17"/>
      <c r="AS1773" s="17"/>
      <c r="AT1773" s="17"/>
      <c r="AU1773" s="17"/>
      <c r="AV1773" s="17"/>
      <c r="AW1773" s="10"/>
      <c r="AX1773" s="17"/>
      <c r="AY1773" s="18" t="s">
        <v>257</v>
      </c>
      <c r="AZ1773" s="10"/>
      <c r="BA1773" s="20" t="b">
        <v>0</v>
      </c>
      <c r="BB1773" s="10"/>
      <c r="BC1773" s="17" t="s">
        <v>257</v>
      </c>
      <c r="BD1773" s="17" t="s">
        <v>257</v>
      </c>
      <c r="BE1773" s="17" t="s">
        <v>257</v>
      </c>
      <c r="BF1773" s="17" t="s">
        <v>257</v>
      </c>
      <c r="BG1773" s="11">
        <f ca="1">IFERROR(__xludf.DUMMYFUNCTION("""COMPUTED_VALUE"""),46045.125)</f>
        <v>46045.125</v>
      </c>
      <c r="BH1773" s="17"/>
      <c r="BI1773" s="17"/>
      <c r="BJ1773" s="15"/>
      <c r="BK1773" s="15"/>
      <c r="BL1773" s="13" t="b">
        <v>0</v>
      </c>
      <c r="BM1773" s="10"/>
      <c r="BN1773" s="10" t="s">
        <v>223</v>
      </c>
      <c r="BO1773" s="11">
        <v>45904.305474537039</v>
      </c>
      <c r="BP1773" s="11">
        <v>45904.305474537039</v>
      </c>
      <c r="BQ1773" s="15"/>
      <c r="BR1773" s="15"/>
      <c r="BS1773" s="10"/>
      <c r="BT1773" s="10"/>
      <c r="BU1773" s="10"/>
      <c r="BV1773" s="10"/>
      <c r="BW1773" s="10"/>
      <c r="BX1773" s="10"/>
      <c r="BY1773" s="23"/>
      <c r="BZ1773" s="23"/>
      <c r="CA1773" s="23"/>
      <c r="CB1773" s="23"/>
      <c r="CC1773" s="23"/>
      <c r="CD1773" s="23"/>
      <c r="CE1773" s="23"/>
      <c r="CF1773" s="23"/>
      <c r="CG1773" s="23"/>
      <c r="CH1773" s="23"/>
      <c r="CI1773" s="23"/>
    </row>
    <row r="1774" spans="1:87" x14ac:dyDescent="0.3">
      <c r="A1774" s="9" t="s">
        <v>13480</v>
      </c>
      <c r="B1774" s="10" t="s">
        <v>13481</v>
      </c>
      <c r="C1774" s="11">
        <v>46045.125</v>
      </c>
      <c r="D1774" s="12">
        <v>8.3333333333333329E-2</v>
      </c>
      <c r="E1774" s="11">
        <v>46045.208333333336</v>
      </c>
      <c r="F1774" s="10" t="s">
        <v>7843</v>
      </c>
      <c r="G1774" s="13" t="b">
        <v>0</v>
      </c>
      <c r="H1774" s="10"/>
      <c r="I1774" s="10" t="s">
        <v>89</v>
      </c>
      <c r="J1774" s="13" t="b">
        <v>0</v>
      </c>
      <c r="K1774" s="13" t="b">
        <v>1</v>
      </c>
      <c r="L1774" s="10" t="s">
        <v>124</v>
      </c>
      <c r="M1774" s="10" t="s">
        <v>91</v>
      </c>
      <c r="N1774" s="10" t="s">
        <v>92</v>
      </c>
      <c r="O1774" s="10"/>
      <c r="P1774" s="10"/>
      <c r="Q1774" s="10"/>
      <c r="R1774" s="10"/>
      <c r="S1774" s="10"/>
      <c r="T1774" s="10"/>
      <c r="U1774" s="10" t="s">
        <v>12559</v>
      </c>
      <c r="V1774" s="10" t="s">
        <v>12585</v>
      </c>
      <c r="W1774" s="10" t="s">
        <v>7848</v>
      </c>
      <c r="X1774" s="10" t="s">
        <v>130</v>
      </c>
      <c r="Y1774" s="10" t="s">
        <v>130</v>
      </c>
      <c r="Z1774" s="10" t="s">
        <v>99</v>
      </c>
      <c r="AA1774" s="10" t="s">
        <v>131</v>
      </c>
      <c r="AB1774" s="10" t="s">
        <v>7849</v>
      </c>
      <c r="AC1774" s="10" t="s">
        <v>3571</v>
      </c>
      <c r="AD1774" s="10" t="s">
        <v>13482</v>
      </c>
      <c r="AE1774" s="10" t="s">
        <v>13483</v>
      </c>
      <c r="AF1774" s="15"/>
      <c r="AG1774" s="10"/>
      <c r="AH1774" s="10"/>
      <c r="AI1774" s="10"/>
      <c r="AJ1774" s="10"/>
      <c r="AK1774" s="10"/>
      <c r="AL1774" s="10" t="s">
        <v>7897</v>
      </c>
      <c r="AM1774" s="10"/>
      <c r="AN1774" s="10"/>
      <c r="AO1774" s="13" t="b">
        <v>0</v>
      </c>
      <c r="AP1774" s="10" t="s">
        <v>104</v>
      </c>
      <c r="AQ1774" s="10"/>
      <c r="AR1774" s="17"/>
      <c r="AS1774" s="17"/>
      <c r="AT1774" s="17"/>
      <c r="AU1774" s="17"/>
      <c r="AV1774" s="17"/>
      <c r="AW1774" s="10"/>
      <c r="AX1774" s="17"/>
      <c r="AY1774" s="18" t="s">
        <v>257</v>
      </c>
      <c r="AZ1774" s="10"/>
      <c r="BA1774" s="20" t="b">
        <v>0</v>
      </c>
      <c r="BB1774" s="10"/>
      <c r="BC1774" s="17" t="s">
        <v>257</v>
      </c>
      <c r="BD1774" s="17" t="s">
        <v>257</v>
      </c>
      <c r="BE1774" s="17" t="s">
        <v>257</v>
      </c>
      <c r="BF1774" s="17" t="s">
        <v>257</v>
      </c>
      <c r="BG1774" s="11">
        <f ca="1">IFERROR(__xludf.DUMMYFUNCTION("""COMPUTED_VALUE"""),46045.125)</f>
        <v>46045.125</v>
      </c>
      <c r="BH1774" s="17"/>
      <c r="BI1774" s="17"/>
      <c r="BJ1774" s="15"/>
      <c r="BK1774" s="15"/>
      <c r="BL1774" s="13" t="b">
        <v>0</v>
      </c>
      <c r="BM1774" s="10"/>
      <c r="BN1774" s="10" t="s">
        <v>223</v>
      </c>
      <c r="BO1774" s="11">
        <v>45904.305474537039</v>
      </c>
      <c r="BP1774" s="11">
        <v>45904.305474537039</v>
      </c>
      <c r="BQ1774" s="15"/>
      <c r="BR1774" s="15"/>
      <c r="BS1774" s="10"/>
      <c r="BT1774" s="10"/>
      <c r="BU1774" s="10"/>
      <c r="BV1774" s="10"/>
      <c r="BW1774" s="10"/>
      <c r="BX1774" s="10"/>
      <c r="BY1774" s="23"/>
      <c r="BZ1774" s="23"/>
      <c r="CA1774" s="23"/>
      <c r="CB1774" s="23"/>
      <c r="CC1774" s="23"/>
      <c r="CD1774" s="23"/>
      <c r="CE1774" s="23"/>
      <c r="CF1774" s="23"/>
      <c r="CG1774" s="23"/>
      <c r="CH1774" s="23"/>
      <c r="CI1774" s="23"/>
    </row>
    <row r="1775" spans="1:87" x14ac:dyDescent="0.3">
      <c r="A1775" s="9" t="s">
        <v>13484</v>
      </c>
      <c r="B1775" s="10" t="s">
        <v>13485</v>
      </c>
      <c r="C1775" s="11">
        <v>46045.125</v>
      </c>
      <c r="D1775" s="12">
        <v>8.3333333333333329E-2</v>
      </c>
      <c r="E1775" s="11">
        <v>46045.208333333336</v>
      </c>
      <c r="F1775" s="10" t="s">
        <v>7843</v>
      </c>
      <c r="G1775" s="13" t="b">
        <v>0</v>
      </c>
      <c r="H1775" s="10"/>
      <c r="I1775" s="10" t="s">
        <v>89</v>
      </c>
      <c r="J1775" s="13" t="b">
        <v>0</v>
      </c>
      <c r="K1775" s="13" t="b">
        <v>1</v>
      </c>
      <c r="L1775" s="10" t="s">
        <v>124</v>
      </c>
      <c r="M1775" s="10" t="s">
        <v>91</v>
      </c>
      <c r="N1775" s="10" t="s">
        <v>92</v>
      </c>
      <c r="O1775" s="10"/>
      <c r="P1775" s="10"/>
      <c r="Q1775" s="10"/>
      <c r="R1775" s="10"/>
      <c r="S1775" s="10"/>
      <c r="T1775" s="10"/>
      <c r="U1775" s="10" t="s">
        <v>8476</v>
      </c>
      <c r="V1775" s="10" t="s">
        <v>12644</v>
      </c>
      <c r="W1775" s="10" t="s">
        <v>7848</v>
      </c>
      <c r="X1775" s="10" t="s">
        <v>130</v>
      </c>
      <c r="Y1775" s="10" t="s">
        <v>130</v>
      </c>
      <c r="Z1775" s="10" t="s">
        <v>99</v>
      </c>
      <c r="AA1775" s="10" t="s">
        <v>131</v>
      </c>
      <c r="AB1775" s="10" t="s">
        <v>7849</v>
      </c>
      <c r="AC1775" s="10" t="s">
        <v>3571</v>
      </c>
      <c r="AD1775" s="10" t="s">
        <v>13486</v>
      </c>
      <c r="AE1775" s="10" t="s">
        <v>13487</v>
      </c>
      <c r="AF1775" s="15"/>
      <c r="AG1775" s="10"/>
      <c r="AH1775" s="10"/>
      <c r="AI1775" s="10"/>
      <c r="AJ1775" s="10"/>
      <c r="AK1775" s="10"/>
      <c r="AL1775" s="10" t="s">
        <v>7897</v>
      </c>
      <c r="AM1775" s="10"/>
      <c r="AN1775" s="10"/>
      <c r="AO1775" s="13" t="b">
        <v>1</v>
      </c>
      <c r="AP1775" s="10" t="s">
        <v>104</v>
      </c>
      <c r="AQ1775" s="10"/>
      <c r="AR1775" s="17"/>
      <c r="AS1775" s="17"/>
      <c r="AT1775" s="17"/>
      <c r="AU1775" s="17"/>
      <c r="AV1775" s="17"/>
      <c r="AW1775" s="10"/>
      <c r="AX1775" s="17"/>
      <c r="AY1775" s="18" t="s">
        <v>257</v>
      </c>
      <c r="AZ1775" s="10"/>
      <c r="BA1775" s="20" t="b">
        <v>0</v>
      </c>
      <c r="BB1775" s="10"/>
      <c r="BC1775" s="17" t="s">
        <v>257</v>
      </c>
      <c r="BD1775" s="17" t="s">
        <v>257</v>
      </c>
      <c r="BE1775" s="17" t="s">
        <v>257</v>
      </c>
      <c r="BF1775" s="17" t="s">
        <v>257</v>
      </c>
      <c r="BG1775" s="11">
        <f ca="1">IFERROR(__xludf.DUMMYFUNCTION("""COMPUTED_VALUE"""),46045.125)</f>
        <v>46045.125</v>
      </c>
      <c r="BH1775" s="17"/>
      <c r="BI1775" s="17"/>
      <c r="BJ1775" s="15"/>
      <c r="BK1775" s="15"/>
      <c r="BL1775" s="13" t="b">
        <v>0</v>
      </c>
      <c r="BM1775" s="10"/>
      <c r="BN1775" s="10" t="s">
        <v>241</v>
      </c>
      <c r="BO1775" s="11">
        <v>45904.305474537039</v>
      </c>
      <c r="BP1775" s="11">
        <v>45904.305474537039</v>
      </c>
      <c r="BQ1775" s="15"/>
      <c r="BR1775" s="15"/>
      <c r="BS1775" s="10"/>
      <c r="BT1775" s="10"/>
      <c r="BU1775" s="10"/>
      <c r="BV1775" s="10"/>
      <c r="BW1775" s="10"/>
      <c r="BX1775" s="10"/>
      <c r="BY1775" s="23"/>
      <c r="BZ1775" s="23"/>
      <c r="CA1775" s="23"/>
      <c r="CB1775" s="23"/>
      <c r="CC1775" s="23"/>
      <c r="CD1775" s="23"/>
      <c r="CE1775" s="23"/>
      <c r="CF1775" s="23"/>
      <c r="CG1775" s="23"/>
      <c r="CH1775" s="23"/>
      <c r="CI1775" s="23"/>
    </row>
    <row r="1776" spans="1:87" x14ac:dyDescent="0.3">
      <c r="A1776" s="9" t="s">
        <v>13488</v>
      </c>
      <c r="B1776" s="10" t="s">
        <v>13489</v>
      </c>
      <c r="C1776" s="11">
        <v>46045.125</v>
      </c>
      <c r="D1776" s="12">
        <v>8.3333333333333329E-2</v>
      </c>
      <c r="E1776" s="11">
        <v>46045.208333333336</v>
      </c>
      <c r="F1776" s="10" t="s">
        <v>7843</v>
      </c>
      <c r="G1776" s="13" t="b">
        <v>0</v>
      </c>
      <c r="H1776" s="10"/>
      <c r="I1776" s="10" t="s">
        <v>89</v>
      </c>
      <c r="J1776" s="13" t="b">
        <v>0</v>
      </c>
      <c r="K1776" s="13" t="b">
        <v>1</v>
      </c>
      <c r="L1776" s="10" t="s">
        <v>124</v>
      </c>
      <c r="M1776" s="10" t="s">
        <v>91</v>
      </c>
      <c r="N1776" s="10" t="s">
        <v>92</v>
      </c>
      <c r="O1776" s="10"/>
      <c r="P1776" s="10"/>
      <c r="Q1776" s="10"/>
      <c r="R1776" s="10"/>
      <c r="S1776" s="10"/>
      <c r="T1776" s="10"/>
      <c r="U1776" s="10" t="s">
        <v>3600</v>
      </c>
      <c r="V1776" s="10" t="s">
        <v>12663</v>
      </c>
      <c r="W1776" s="10" t="s">
        <v>7848</v>
      </c>
      <c r="X1776" s="10" t="s">
        <v>130</v>
      </c>
      <c r="Y1776" s="10" t="s">
        <v>130</v>
      </c>
      <c r="Z1776" s="10" t="s">
        <v>99</v>
      </c>
      <c r="AA1776" s="10" t="s">
        <v>131</v>
      </c>
      <c r="AB1776" s="10" t="s">
        <v>7849</v>
      </c>
      <c r="AC1776" s="10" t="s">
        <v>3571</v>
      </c>
      <c r="AD1776" s="10" t="s">
        <v>13490</v>
      </c>
      <c r="AE1776" s="10" t="s">
        <v>13491</v>
      </c>
      <c r="AF1776" s="15"/>
      <c r="AG1776" s="10"/>
      <c r="AH1776" s="10"/>
      <c r="AI1776" s="10"/>
      <c r="AJ1776" s="10"/>
      <c r="AK1776" s="10"/>
      <c r="AL1776" s="10" t="s">
        <v>7897</v>
      </c>
      <c r="AM1776" s="10"/>
      <c r="AN1776" s="10"/>
      <c r="AO1776" s="13" t="b">
        <v>0</v>
      </c>
      <c r="AP1776" s="10" t="s">
        <v>104</v>
      </c>
      <c r="AQ1776" s="10"/>
      <c r="AR1776" s="17"/>
      <c r="AS1776" s="17"/>
      <c r="AT1776" s="17"/>
      <c r="AU1776" s="17"/>
      <c r="AV1776" s="17"/>
      <c r="AW1776" s="10"/>
      <c r="AX1776" s="17"/>
      <c r="AY1776" s="18" t="s">
        <v>257</v>
      </c>
      <c r="AZ1776" s="10"/>
      <c r="BA1776" s="20" t="b">
        <v>0</v>
      </c>
      <c r="BB1776" s="10"/>
      <c r="BC1776" s="17" t="s">
        <v>257</v>
      </c>
      <c r="BD1776" s="17" t="s">
        <v>257</v>
      </c>
      <c r="BE1776" s="17" t="s">
        <v>257</v>
      </c>
      <c r="BF1776" s="17" t="s">
        <v>257</v>
      </c>
      <c r="BG1776" s="11">
        <f ca="1">IFERROR(__xludf.DUMMYFUNCTION("""COMPUTED_VALUE"""),46045.125)</f>
        <v>46045.125</v>
      </c>
      <c r="BH1776" s="17"/>
      <c r="BI1776" s="17"/>
      <c r="BJ1776" s="15"/>
      <c r="BK1776" s="15"/>
      <c r="BL1776" s="13" t="b">
        <v>0</v>
      </c>
      <c r="BM1776" s="10"/>
      <c r="BN1776" s="10" t="s">
        <v>223</v>
      </c>
      <c r="BO1776" s="11">
        <v>45904.305474537039</v>
      </c>
      <c r="BP1776" s="11">
        <v>45904.305474537039</v>
      </c>
      <c r="BQ1776" s="15"/>
      <c r="BR1776" s="15"/>
      <c r="BS1776" s="10"/>
      <c r="BT1776" s="10"/>
      <c r="BU1776" s="10"/>
      <c r="BV1776" s="10"/>
      <c r="BW1776" s="10"/>
      <c r="BX1776" s="10"/>
      <c r="BY1776" s="23"/>
      <c r="BZ1776" s="23"/>
      <c r="CA1776" s="23"/>
      <c r="CB1776" s="23"/>
      <c r="CC1776" s="23"/>
      <c r="CD1776" s="23"/>
      <c r="CE1776" s="23"/>
      <c r="CF1776" s="23"/>
      <c r="CG1776" s="23"/>
      <c r="CH1776" s="23"/>
      <c r="CI1776" s="23"/>
    </row>
    <row r="1777" spans="1:87" x14ac:dyDescent="0.3">
      <c r="A1777" s="9" t="s">
        <v>13492</v>
      </c>
      <c r="B1777" s="10" t="s">
        <v>13493</v>
      </c>
      <c r="C1777" s="11">
        <v>46045.125</v>
      </c>
      <c r="D1777" s="12">
        <v>8.3333333333333329E-2</v>
      </c>
      <c r="E1777" s="11">
        <v>46045.208333333336</v>
      </c>
      <c r="F1777" s="10" t="s">
        <v>7843</v>
      </c>
      <c r="G1777" s="13" t="b">
        <v>0</v>
      </c>
      <c r="H1777" s="10"/>
      <c r="I1777" s="10" t="s">
        <v>89</v>
      </c>
      <c r="J1777" s="13" t="b">
        <v>0</v>
      </c>
      <c r="K1777" s="13" t="b">
        <v>1</v>
      </c>
      <c r="L1777" s="10" t="s">
        <v>124</v>
      </c>
      <c r="M1777" s="10" t="s">
        <v>91</v>
      </c>
      <c r="N1777" s="10" t="s">
        <v>92</v>
      </c>
      <c r="O1777" s="10"/>
      <c r="P1777" s="10"/>
      <c r="Q1777" s="10"/>
      <c r="R1777" s="10"/>
      <c r="S1777" s="10"/>
      <c r="T1777" s="10"/>
      <c r="U1777" s="10" t="s">
        <v>7821</v>
      </c>
      <c r="V1777" s="10" t="s">
        <v>4993</v>
      </c>
      <c r="W1777" s="10" t="s">
        <v>7848</v>
      </c>
      <c r="X1777" s="10" t="s">
        <v>130</v>
      </c>
      <c r="Y1777" s="10" t="s">
        <v>130</v>
      </c>
      <c r="Z1777" s="10" t="s">
        <v>99</v>
      </c>
      <c r="AA1777" s="10" t="s">
        <v>131</v>
      </c>
      <c r="AB1777" s="10" t="s">
        <v>7849</v>
      </c>
      <c r="AC1777" s="10" t="s">
        <v>3571</v>
      </c>
      <c r="AD1777" s="10" t="s">
        <v>13494</v>
      </c>
      <c r="AE1777" s="10" t="s">
        <v>13495</v>
      </c>
      <c r="AF1777" s="15"/>
      <c r="AG1777" s="10"/>
      <c r="AH1777" s="10"/>
      <c r="AI1777" s="10"/>
      <c r="AJ1777" s="10"/>
      <c r="AK1777" s="10"/>
      <c r="AL1777" s="10" t="s">
        <v>7897</v>
      </c>
      <c r="AM1777" s="10"/>
      <c r="AN1777" s="10"/>
      <c r="AO1777" s="13" t="b">
        <v>1</v>
      </c>
      <c r="AP1777" s="10" t="s">
        <v>104</v>
      </c>
      <c r="AQ1777" s="10"/>
      <c r="AR1777" s="17"/>
      <c r="AS1777" s="17"/>
      <c r="AT1777" s="17"/>
      <c r="AU1777" s="17"/>
      <c r="AV1777" s="17"/>
      <c r="AW1777" s="10"/>
      <c r="AX1777" s="17"/>
      <c r="AY1777" s="18" t="s">
        <v>257</v>
      </c>
      <c r="AZ1777" s="10"/>
      <c r="BA1777" s="20" t="b">
        <v>0</v>
      </c>
      <c r="BB1777" s="10"/>
      <c r="BC1777" s="17" t="s">
        <v>257</v>
      </c>
      <c r="BD1777" s="17" t="s">
        <v>257</v>
      </c>
      <c r="BE1777" s="17" t="s">
        <v>257</v>
      </c>
      <c r="BF1777" s="17" t="s">
        <v>257</v>
      </c>
      <c r="BG1777" s="11">
        <f ca="1">IFERROR(__xludf.DUMMYFUNCTION("""COMPUTED_VALUE"""),46045.125)</f>
        <v>46045.125</v>
      </c>
      <c r="BH1777" s="17"/>
      <c r="BI1777" s="17"/>
      <c r="BJ1777" s="15"/>
      <c r="BK1777" s="15"/>
      <c r="BL1777" s="13" t="b">
        <v>0</v>
      </c>
      <c r="BM1777" s="10"/>
      <c r="BN1777" s="10" t="s">
        <v>223</v>
      </c>
      <c r="BO1777" s="11">
        <v>45904.305474537039</v>
      </c>
      <c r="BP1777" s="11">
        <v>45904.305474537039</v>
      </c>
      <c r="BQ1777" s="15"/>
      <c r="BR1777" s="15"/>
      <c r="BS1777" s="10"/>
      <c r="BT1777" s="10"/>
      <c r="BU1777" s="10"/>
      <c r="BV1777" s="10"/>
      <c r="BW1777" s="10"/>
      <c r="BX1777" s="10"/>
      <c r="BY1777" s="23"/>
      <c r="BZ1777" s="23"/>
      <c r="CA1777" s="23"/>
      <c r="CB1777" s="23"/>
      <c r="CC1777" s="23"/>
      <c r="CD1777" s="23"/>
      <c r="CE1777" s="23"/>
      <c r="CF1777" s="23"/>
      <c r="CG1777" s="23"/>
      <c r="CH1777" s="23"/>
      <c r="CI1777" s="23"/>
    </row>
    <row r="1778" spans="1:87" x14ac:dyDescent="0.3">
      <c r="A1778" s="9" t="s">
        <v>13496</v>
      </c>
      <c r="B1778" s="10" t="s">
        <v>13497</v>
      </c>
      <c r="C1778" s="11">
        <v>46045.125</v>
      </c>
      <c r="D1778" s="12">
        <v>8.3333333333333329E-2</v>
      </c>
      <c r="E1778" s="11">
        <v>46045.208333333336</v>
      </c>
      <c r="F1778" s="10" t="s">
        <v>7843</v>
      </c>
      <c r="G1778" s="13" t="b">
        <v>0</v>
      </c>
      <c r="H1778" s="10"/>
      <c r="I1778" s="10" t="s">
        <v>89</v>
      </c>
      <c r="J1778" s="13" t="b">
        <v>0</v>
      </c>
      <c r="K1778" s="13" t="b">
        <v>1</v>
      </c>
      <c r="L1778" s="10" t="s">
        <v>124</v>
      </c>
      <c r="M1778" s="10" t="s">
        <v>91</v>
      </c>
      <c r="N1778" s="10" t="s">
        <v>92</v>
      </c>
      <c r="O1778" s="10"/>
      <c r="P1778" s="10"/>
      <c r="Q1778" s="10"/>
      <c r="R1778" s="10"/>
      <c r="S1778" s="10"/>
      <c r="T1778" s="10"/>
      <c r="U1778" s="10" t="s">
        <v>7829</v>
      </c>
      <c r="V1778" s="10" t="s">
        <v>12550</v>
      </c>
      <c r="W1778" s="10" t="s">
        <v>7848</v>
      </c>
      <c r="X1778" s="10" t="s">
        <v>130</v>
      </c>
      <c r="Y1778" s="10" t="s">
        <v>130</v>
      </c>
      <c r="Z1778" s="10" t="s">
        <v>99</v>
      </c>
      <c r="AA1778" s="10" t="s">
        <v>131</v>
      </c>
      <c r="AB1778" s="10" t="s">
        <v>7849</v>
      </c>
      <c r="AC1778" s="10" t="s">
        <v>3571</v>
      </c>
      <c r="AD1778" s="10" t="s">
        <v>13498</v>
      </c>
      <c r="AE1778" s="10" t="s">
        <v>13499</v>
      </c>
      <c r="AF1778" s="15"/>
      <c r="AG1778" s="10"/>
      <c r="AH1778" s="10"/>
      <c r="AI1778" s="10"/>
      <c r="AJ1778" s="10"/>
      <c r="AK1778" s="10"/>
      <c r="AL1778" s="10" t="s">
        <v>7897</v>
      </c>
      <c r="AM1778" s="10"/>
      <c r="AN1778" s="10"/>
      <c r="AO1778" s="13" t="b">
        <v>0</v>
      </c>
      <c r="AP1778" s="10" t="s">
        <v>104</v>
      </c>
      <c r="AQ1778" s="10"/>
      <c r="AR1778" s="17"/>
      <c r="AS1778" s="17"/>
      <c r="AT1778" s="17"/>
      <c r="AU1778" s="17"/>
      <c r="AV1778" s="17"/>
      <c r="AW1778" s="10"/>
      <c r="AX1778" s="17"/>
      <c r="AY1778" s="18" t="s">
        <v>257</v>
      </c>
      <c r="AZ1778" s="10"/>
      <c r="BA1778" s="20" t="b">
        <v>0</v>
      </c>
      <c r="BB1778" s="10"/>
      <c r="BC1778" s="17" t="s">
        <v>257</v>
      </c>
      <c r="BD1778" s="17" t="s">
        <v>257</v>
      </c>
      <c r="BE1778" s="17" t="s">
        <v>257</v>
      </c>
      <c r="BF1778" s="17" t="s">
        <v>257</v>
      </c>
      <c r="BG1778" s="11">
        <f ca="1">IFERROR(__xludf.DUMMYFUNCTION("""COMPUTED_VALUE"""),46045.125)</f>
        <v>46045.125</v>
      </c>
      <c r="BH1778" s="17"/>
      <c r="BI1778" s="17"/>
      <c r="BJ1778" s="15"/>
      <c r="BK1778" s="15"/>
      <c r="BL1778" s="13" t="b">
        <v>0</v>
      </c>
      <c r="BM1778" s="10"/>
      <c r="BN1778" s="10" t="s">
        <v>223</v>
      </c>
      <c r="BO1778" s="11">
        <v>45904.305474537039</v>
      </c>
      <c r="BP1778" s="11">
        <v>45904.305474537039</v>
      </c>
      <c r="BQ1778" s="15"/>
      <c r="BR1778" s="15"/>
      <c r="BS1778" s="10"/>
      <c r="BT1778" s="10"/>
      <c r="BU1778" s="10"/>
      <c r="BV1778" s="10"/>
      <c r="BW1778" s="10"/>
      <c r="BX1778" s="10"/>
      <c r="BY1778" s="23"/>
      <c r="BZ1778" s="23"/>
      <c r="CA1778" s="23"/>
      <c r="CB1778" s="23"/>
      <c r="CC1778" s="23"/>
      <c r="CD1778" s="23"/>
      <c r="CE1778" s="23"/>
      <c r="CF1778" s="23"/>
      <c r="CG1778" s="23"/>
      <c r="CH1778" s="23"/>
      <c r="CI1778" s="23"/>
    </row>
    <row r="1779" spans="1:87" x14ac:dyDescent="0.3">
      <c r="A1779" s="25" t="s">
        <v>13500</v>
      </c>
      <c r="B1779" s="10" t="s">
        <v>13501</v>
      </c>
      <c r="C1779" s="11">
        <v>46045.125</v>
      </c>
      <c r="D1779" s="12">
        <v>8.3333333333333329E-2</v>
      </c>
      <c r="E1779" s="11">
        <v>46045.208333333336</v>
      </c>
      <c r="F1779" s="10" t="s">
        <v>7843</v>
      </c>
      <c r="G1779" s="13" t="b">
        <v>0</v>
      </c>
      <c r="H1779" s="10"/>
      <c r="I1779" s="10" t="s">
        <v>89</v>
      </c>
      <c r="J1779" s="13" t="b">
        <v>0</v>
      </c>
      <c r="K1779" s="13" t="b">
        <v>1</v>
      </c>
      <c r="L1779" s="10" t="s">
        <v>124</v>
      </c>
      <c r="M1779" s="10" t="s">
        <v>91</v>
      </c>
      <c r="N1779" s="10" t="s">
        <v>92</v>
      </c>
      <c r="O1779" s="10"/>
      <c r="P1779" s="10"/>
      <c r="Q1779" s="10"/>
      <c r="R1779" s="10"/>
      <c r="S1779" s="10"/>
      <c r="T1779" s="10"/>
      <c r="U1779" s="10" t="s">
        <v>3229</v>
      </c>
      <c r="V1779" s="10" t="s">
        <v>12625</v>
      </c>
      <c r="W1779" s="10" t="s">
        <v>7848</v>
      </c>
      <c r="X1779" s="10" t="s">
        <v>130</v>
      </c>
      <c r="Y1779" s="10" t="s">
        <v>130</v>
      </c>
      <c r="Z1779" s="10" t="s">
        <v>99</v>
      </c>
      <c r="AA1779" s="10" t="s">
        <v>131</v>
      </c>
      <c r="AB1779" s="10" t="s">
        <v>7849</v>
      </c>
      <c r="AC1779" s="10" t="s">
        <v>3571</v>
      </c>
      <c r="AD1779" s="10" t="s">
        <v>13502</v>
      </c>
      <c r="AE1779" s="10" t="s">
        <v>13503</v>
      </c>
      <c r="AF1779" s="15"/>
      <c r="AG1779" s="10"/>
      <c r="AH1779" s="10"/>
      <c r="AI1779" s="10"/>
      <c r="AJ1779" s="10"/>
      <c r="AK1779" s="10"/>
      <c r="AL1779" s="10" t="s">
        <v>7897</v>
      </c>
      <c r="AM1779" s="10"/>
      <c r="AN1779" s="10"/>
      <c r="AO1779" s="13" t="b">
        <v>1</v>
      </c>
      <c r="AP1779" s="10" t="s">
        <v>104</v>
      </c>
      <c r="AQ1779" s="10"/>
      <c r="AR1779" s="17"/>
      <c r="AS1779" s="17"/>
      <c r="AT1779" s="17"/>
      <c r="AU1779" s="17"/>
      <c r="AV1779" s="17"/>
      <c r="AW1779" s="10"/>
      <c r="AX1779" s="17"/>
      <c r="AY1779" s="18" t="s">
        <v>257</v>
      </c>
      <c r="AZ1779" s="10"/>
      <c r="BA1779" s="20" t="b">
        <v>0</v>
      </c>
      <c r="BB1779" s="10"/>
      <c r="BC1779" s="17" t="s">
        <v>257</v>
      </c>
      <c r="BD1779" s="17" t="s">
        <v>257</v>
      </c>
      <c r="BE1779" s="17" t="s">
        <v>257</v>
      </c>
      <c r="BF1779" s="17" t="s">
        <v>257</v>
      </c>
      <c r="BG1779" s="11">
        <f ca="1">IFERROR(__xludf.DUMMYFUNCTION("""COMPUTED_VALUE"""),46045.125)</f>
        <v>46045.125</v>
      </c>
      <c r="BH1779" s="17"/>
      <c r="BI1779" s="17"/>
      <c r="BJ1779" s="15"/>
      <c r="BK1779" s="15"/>
      <c r="BL1779" s="13" t="b">
        <v>0</v>
      </c>
      <c r="BM1779" s="10"/>
      <c r="BN1779" s="10" t="s">
        <v>223</v>
      </c>
      <c r="BO1779" s="11">
        <v>45904.305474537039</v>
      </c>
      <c r="BP1779" s="11">
        <v>45904.305474537039</v>
      </c>
      <c r="BQ1779" s="15"/>
      <c r="BR1779" s="15"/>
      <c r="BS1779" s="10"/>
      <c r="BT1779" s="10"/>
      <c r="BU1779" s="10"/>
      <c r="BV1779" s="10"/>
      <c r="BW1779" s="10"/>
      <c r="BX1779" s="10"/>
      <c r="BY1779" s="23"/>
      <c r="BZ1779" s="23"/>
      <c r="CA1779" s="23"/>
      <c r="CB1779" s="23"/>
      <c r="CC1779" s="23"/>
      <c r="CD1779" s="23"/>
      <c r="CE1779" s="23"/>
      <c r="CF1779" s="23"/>
      <c r="CG1779" s="23"/>
      <c r="CH1779" s="23"/>
      <c r="CI1779" s="23"/>
    </row>
    <row r="1780" spans="1:87" x14ac:dyDescent="0.3">
      <c r="A1780" s="9" t="s">
        <v>13504</v>
      </c>
      <c r="B1780" s="10" t="s">
        <v>13505</v>
      </c>
      <c r="C1780" s="11">
        <v>46045.125</v>
      </c>
      <c r="D1780" s="12">
        <v>8.3333333333333329E-2</v>
      </c>
      <c r="E1780" s="11">
        <v>46045.208333333336</v>
      </c>
      <c r="F1780" s="10" t="s">
        <v>7843</v>
      </c>
      <c r="G1780" s="13" t="b">
        <v>0</v>
      </c>
      <c r="H1780" s="10"/>
      <c r="I1780" s="10" t="s">
        <v>89</v>
      </c>
      <c r="J1780" s="13" t="b">
        <v>0</v>
      </c>
      <c r="K1780" s="13" t="b">
        <v>1</v>
      </c>
      <c r="L1780" s="10" t="s">
        <v>124</v>
      </c>
      <c r="M1780" s="10" t="s">
        <v>91</v>
      </c>
      <c r="N1780" s="10" t="s">
        <v>92</v>
      </c>
      <c r="O1780" s="10"/>
      <c r="P1780" s="10"/>
      <c r="Q1780" s="10"/>
      <c r="R1780" s="10"/>
      <c r="S1780" s="10"/>
      <c r="T1780" s="10"/>
      <c r="U1780" s="10" t="s">
        <v>5066</v>
      </c>
      <c r="V1780" s="10" t="s">
        <v>12596</v>
      </c>
      <c r="W1780" s="10" t="s">
        <v>7848</v>
      </c>
      <c r="X1780" s="10" t="s">
        <v>130</v>
      </c>
      <c r="Y1780" s="10" t="s">
        <v>130</v>
      </c>
      <c r="Z1780" s="10" t="s">
        <v>99</v>
      </c>
      <c r="AA1780" s="10" t="s">
        <v>131</v>
      </c>
      <c r="AB1780" s="10" t="s">
        <v>7849</v>
      </c>
      <c r="AC1780" s="10" t="s">
        <v>3571</v>
      </c>
      <c r="AD1780" s="10" t="s">
        <v>13506</v>
      </c>
      <c r="AE1780" s="10" t="s">
        <v>13507</v>
      </c>
      <c r="AF1780" s="15"/>
      <c r="AG1780" s="10"/>
      <c r="AH1780" s="10"/>
      <c r="AI1780" s="10"/>
      <c r="AJ1780" s="10"/>
      <c r="AK1780" s="10"/>
      <c r="AL1780" s="10" t="s">
        <v>7897</v>
      </c>
      <c r="AM1780" s="10"/>
      <c r="AN1780" s="10"/>
      <c r="AO1780" s="13" t="b">
        <v>1</v>
      </c>
      <c r="AP1780" s="10" t="s">
        <v>104</v>
      </c>
      <c r="AQ1780" s="10"/>
      <c r="AR1780" s="17"/>
      <c r="AS1780" s="17"/>
      <c r="AT1780" s="17"/>
      <c r="AU1780" s="17"/>
      <c r="AV1780" s="17"/>
      <c r="AW1780" s="10"/>
      <c r="AX1780" s="17"/>
      <c r="AY1780" s="18" t="s">
        <v>257</v>
      </c>
      <c r="AZ1780" s="10"/>
      <c r="BA1780" s="20" t="b">
        <v>0</v>
      </c>
      <c r="BB1780" s="10"/>
      <c r="BC1780" s="17" t="s">
        <v>257</v>
      </c>
      <c r="BD1780" s="17" t="s">
        <v>257</v>
      </c>
      <c r="BE1780" s="17" t="s">
        <v>257</v>
      </c>
      <c r="BF1780" s="17" t="s">
        <v>257</v>
      </c>
      <c r="BG1780" s="11">
        <f ca="1">IFERROR(__xludf.DUMMYFUNCTION("""COMPUTED_VALUE"""),46045.125)</f>
        <v>46045.125</v>
      </c>
      <c r="BH1780" s="17"/>
      <c r="BI1780" s="17"/>
      <c r="BJ1780" s="15"/>
      <c r="BK1780" s="15"/>
      <c r="BL1780" s="13" t="b">
        <v>0</v>
      </c>
      <c r="BM1780" s="10"/>
      <c r="BN1780" s="10" t="s">
        <v>223</v>
      </c>
      <c r="BO1780" s="11">
        <v>45904.305474537039</v>
      </c>
      <c r="BP1780" s="11">
        <v>45904.305474537039</v>
      </c>
      <c r="BQ1780" s="15"/>
      <c r="BR1780" s="15"/>
      <c r="BS1780" s="10"/>
      <c r="BT1780" s="10"/>
      <c r="BU1780" s="10"/>
      <c r="BV1780" s="10"/>
      <c r="BW1780" s="10"/>
      <c r="BX1780" s="10"/>
      <c r="BY1780" s="23"/>
      <c r="BZ1780" s="23"/>
      <c r="CA1780" s="23"/>
      <c r="CB1780" s="23"/>
      <c r="CC1780" s="23"/>
      <c r="CD1780" s="23"/>
      <c r="CE1780" s="23"/>
      <c r="CF1780" s="23"/>
      <c r="CG1780" s="23"/>
      <c r="CH1780" s="23"/>
      <c r="CI1780" s="23"/>
    </row>
    <row r="1781" spans="1:87" x14ac:dyDescent="0.3">
      <c r="A1781" s="9" t="s">
        <v>13508</v>
      </c>
      <c r="B1781" s="10" t="s">
        <v>13509</v>
      </c>
      <c r="C1781" s="11">
        <v>46045.125</v>
      </c>
      <c r="D1781" s="12">
        <v>8.3333333333333329E-2</v>
      </c>
      <c r="E1781" s="11">
        <v>46045.208333333336</v>
      </c>
      <c r="F1781" s="10" t="s">
        <v>7843</v>
      </c>
      <c r="G1781" s="13" t="b">
        <v>0</v>
      </c>
      <c r="H1781" s="10"/>
      <c r="I1781" s="10" t="s">
        <v>89</v>
      </c>
      <c r="J1781" s="13" t="b">
        <v>0</v>
      </c>
      <c r="K1781" s="13" t="b">
        <v>1</v>
      </c>
      <c r="L1781" s="10" t="s">
        <v>124</v>
      </c>
      <c r="M1781" s="10" t="s">
        <v>91</v>
      </c>
      <c r="N1781" s="10" t="s">
        <v>92</v>
      </c>
      <c r="O1781" s="10"/>
      <c r="P1781" s="10"/>
      <c r="Q1781" s="10"/>
      <c r="R1781" s="10"/>
      <c r="S1781" s="10"/>
      <c r="T1781" s="10"/>
      <c r="U1781" s="10" t="s">
        <v>3567</v>
      </c>
      <c r="V1781" s="10" t="s">
        <v>12523</v>
      </c>
      <c r="W1781" s="10" t="s">
        <v>7848</v>
      </c>
      <c r="X1781" s="10" t="s">
        <v>130</v>
      </c>
      <c r="Y1781" s="10" t="s">
        <v>130</v>
      </c>
      <c r="Z1781" s="10" t="s">
        <v>99</v>
      </c>
      <c r="AA1781" s="10" t="s">
        <v>131</v>
      </c>
      <c r="AB1781" s="10" t="s">
        <v>7849</v>
      </c>
      <c r="AC1781" s="10" t="s">
        <v>3571</v>
      </c>
      <c r="AD1781" s="10" t="s">
        <v>13510</v>
      </c>
      <c r="AE1781" s="10" t="s">
        <v>13511</v>
      </c>
      <c r="AF1781" s="15"/>
      <c r="AG1781" s="10"/>
      <c r="AH1781" s="10"/>
      <c r="AI1781" s="10"/>
      <c r="AJ1781" s="10"/>
      <c r="AK1781" s="10"/>
      <c r="AL1781" s="10" t="s">
        <v>7897</v>
      </c>
      <c r="AM1781" s="10"/>
      <c r="AN1781" s="10"/>
      <c r="AO1781" s="13" t="b">
        <v>0</v>
      </c>
      <c r="AP1781" s="10" t="s">
        <v>104</v>
      </c>
      <c r="AQ1781" s="10"/>
      <c r="AR1781" s="17"/>
      <c r="AS1781" s="17"/>
      <c r="AT1781" s="17"/>
      <c r="AU1781" s="17"/>
      <c r="AV1781" s="17"/>
      <c r="AW1781" s="10"/>
      <c r="AX1781" s="17"/>
      <c r="AY1781" s="18" t="s">
        <v>257</v>
      </c>
      <c r="AZ1781" s="10"/>
      <c r="BA1781" s="20" t="b">
        <v>0</v>
      </c>
      <c r="BB1781" s="10"/>
      <c r="BC1781" s="17" t="s">
        <v>257</v>
      </c>
      <c r="BD1781" s="17" t="s">
        <v>257</v>
      </c>
      <c r="BE1781" s="17" t="s">
        <v>257</v>
      </c>
      <c r="BF1781" s="17" t="s">
        <v>257</v>
      </c>
      <c r="BG1781" s="11">
        <f ca="1">IFERROR(__xludf.DUMMYFUNCTION("""COMPUTED_VALUE"""),46045.125)</f>
        <v>46045.125</v>
      </c>
      <c r="BH1781" s="17"/>
      <c r="BI1781" s="17"/>
      <c r="BJ1781" s="15"/>
      <c r="BK1781" s="15"/>
      <c r="BL1781" s="13" t="b">
        <v>0</v>
      </c>
      <c r="BM1781" s="10"/>
      <c r="BN1781" s="10" t="s">
        <v>223</v>
      </c>
      <c r="BO1781" s="11">
        <v>45904.305474537039</v>
      </c>
      <c r="BP1781" s="11">
        <v>45904.305474537039</v>
      </c>
      <c r="BQ1781" s="15"/>
      <c r="BR1781" s="15"/>
      <c r="BS1781" s="10"/>
      <c r="BT1781" s="10"/>
      <c r="BU1781" s="10"/>
      <c r="BV1781" s="10"/>
      <c r="BW1781" s="10"/>
      <c r="BX1781" s="10"/>
      <c r="BY1781" s="23"/>
      <c r="BZ1781" s="23"/>
      <c r="CA1781" s="23"/>
      <c r="CB1781" s="23"/>
      <c r="CC1781" s="23"/>
      <c r="CD1781" s="23"/>
      <c r="CE1781" s="23"/>
      <c r="CF1781" s="23"/>
      <c r="CG1781" s="23"/>
      <c r="CH1781" s="23"/>
      <c r="CI1781" s="23"/>
    </row>
    <row r="1782" spans="1:87" x14ac:dyDescent="0.3">
      <c r="A1782" s="9" t="s">
        <v>13512</v>
      </c>
      <c r="B1782" s="10" t="s">
        <v>13513</v>
      </c>
      <c r="C1782" s="11">
        <v>46052.125</v>
      </c>
      <c r="D1782" s="12">
        <v>8.3333333333333329E-2</v>
      </c>
      <c r="E1782" s="11">
        <v>46052.208333333336</v>
      </c>
      <c r="F1782" s="10" t="s">
        <v>7843</v>
      </c>
      <c r="G1782" s="13" t="b">
        <v>0</v>
      </c>
      <c r="H1782" s="10"/>
      <c r="I1782" s="10" t="s">
        <v>89</v>
      </c>
      <c r="J1782" s="13" t="b">
        <v>0</v>
      </c>
      <c r="K1782" s="13" t="b">
        <v>1</v>
      </c>
      <c r="L1782" s="10" t="s">
        <v>124</v>
      </c>
      <c r="M1782" s="10" t="s">
        <v>91</v>
      </c>
      <c r="N1782" s="10" t="s">
        <v>92</v>
      </c>
      <c r="O1782" s="10"/>
      <c r="P1782" s="10"/>
      <c r="Q1782" s="10"/>
      <c r="R1782" s="10"/>
      <c r="S1782" s="10"/>
      <c r="T1782" s="10"/>
      <c r="U1782" s="10" t="s">
        <v>8547</v>
      </c>
      <c r="V1782" s="10" t="s">
        <v>8476</v>
      </c>
      <c r="W1782" s="10" t="s">
        <v>7848</v>
      </c>
      <c r="X1782" s="10" t="s">
        <v>130</v>
      </c>
      <c r="Y1782" s="10" t="s">
        <v>130</v>
      </c>
      <c r="Z1782" s="10" t="s">
        <v>99</v>
      </c>
      <c r="AA1782" s="10" t="s">
        <v>131</v>
      </c>
      <c r="AB1782" s="10" t="s">
        <v>7849</v>
      </c>
      <c r="AC1782" s="10" t="s">
        <v>3571</v>
      </c>
      <c r="AD1782" s="10" t="s">
        <v>13514</v>
      </c>
      <c r="AE1782" s="10" t="s">
        <v>13515</v>
      </c>
      <c r="AF1782" s="15"/>
      <c r="AG1782" s="10"/>
      <c r="AH1782" s="10"/>
      <c r="AI1782" s="10"/>
      <c r="AJ1782" s="10"/>
      <c r="AK1782" s="10"/>
      <c r="AL1782" s="10" t="s">
        <v>7897</v>
      </c>
      <c r="AM1782" s="10"/>
      <c r="AN1782" s="10"/>
      <c r="AO1782" s="13" t="b">
        <v>1</v>
      </c>
      <c r="AP1782" s="10" t="s">
        <v>104</v>
      </c>
      <c r="AQ1782" s="10"/>
      <c r="AR1782" s="17"/>
      <c r="AS1782" s="17"/>
      <c r="AT1782" s="17"/>
      <c r="AU1782" s="17"/>
      <c r="AV1782" s="17"/>
      <c r="AW1782" s="10"/>
      <c r="AX1782" s="17"/>
      <c r="AY1782" s="18" t="s">
        <v>257</v>
      </c>
      <c r="AZ1782" s="10"/>
      <c r="BA1782" s="20" t="b">
        <v>0</v>
      </c>
      <c r="BB1782" s="10"/>
      <c r="BC1782" s="17" t="s">
        <v>257</v>
      </c>
      <c r="BD1782" s="17" t="s">
        <v>257</v>
      </c>
      <c r="BE1782" s="17" t="s">
        <v>257</v>
      </c>
      <c r="BF1782" s="17" t="s">
        <v>257</v>
      </c>
      <c r="BG1782" s="11">
        <f ca="1">IFERROR(__xludf.DUMMYFUNCTION("""COMPUTED_VALUE"""),46052.125)</f>
        <v>46052.125</v>
      </c>
      <c r="BH1782" s="17"/>
      <c r="BI1782" s="17"/>
      <c r="BJ1782" s="15"/>
      <c r="BK1782" s="15"/>
      <c r="BL1782" s="13" t="b">
        <v>0</v>
      </c>
      <c r="BM1782" s="10"/>
      <c r="BN1782" s="10" t="s">
        <v>241</v>
      </c>
      <c r="BO1782" s="11">
        <v>45904.305474537039</v>
      </c>
      <c r="BP1782" s="11">
        <v>45904.305474537039</v>
      </c>
      <c r="BQ1782" s="15"/>
      <c r="BR1782" s="15"/>
      <c r="BS1782" s="10"/>
      <c r="BT1782" s="10"/>
      <c r="BU1782" s="10"/>
      <c r="BV1782" s="10"/>
      <c r="BW1782" s="10"/>
      <c r="BX1782" s="10"/>
      <c r="BY1782" s="23"/>
      <c r="BZ1782" s="23"/>
      <c r="CA1782" s="23"/>
      <c r="CB1782" s="23"/>
      <c r="CC1782" s="23"/>
      <c r="CD1782" s="23"/>
      <c r="CE1782" s="23"/>
      <c r="CF1782" s="23"/>
      <c r="CG1782" s="23"/>
      <c r="CH1782" s="23"/>
      <c r="CI1782" s="23"/>
    </row>
    <row r="1783" spans="1:87" x14ac:dyDescent="0.3">
      <c r="A1783" s="9" t="s">
        <v>13516</v>
      </c>
      <c r="B1783" s="10" t="s">
        <v>13517</v>
      </c>
      <c r="C1783" s="11">
        <v>46052.125</v>
      </c>
      <c r="D1783" s="12">
        <v>8.3333333333333329E-2</v>
      </c>
      <c r="E1783" s="11">
        <v>46052.208333333336</v>
      </c>
      <c r="F1783" s="10" t="s">
        <v>7843</v>
      </c>
      <c r="G1783" s="13" t="b">
        <v>0</v>
      </c>
      <c r="H1783" s="10"/>
      <c r="I1783" s="10" t="s">
        <v>89</v>
      </c>
      <c r="J1783" s="13" t="b">
        <v>0</v>
      </c>
      <c r="K1783" s="13" t="b">
        <v>1</v>
      </c>
      <c r="L1783" s="10" t="s">
        <v>124</v>
      </c>
      <c r="M1783" s="10" t="s">
        <v>91</v>
      </c>
      <c r="N1783" s="10" t="s">
        <v>92</v>
      </c>
      <c r="O1783" s="10"/>
      <c r="P1783" s="10"/>
      <c r="Q1783" s="10"/>
      <c r="R1783" s="10"/>
      <c r="S1783" s="10"/>
      <c r="T1783" s="10"/>
      <c r="U1783" s="10" t="s">
        <v>12625</v>
      </c>
      <c r="V1783" s="10" t="s">
        <v>12662</v>
      </c>
      <c r="W1783" s="10" t="s">
        <v>7848</v>
      </c>
      <c r="X1783" s="10" t="s">
        <v>130</v>
      </c>
      <c r="Y1783" s="10" t="s">
        <v>130</v>
      </c>
      <c r="Z1783" s="10" t="s">
        <v>99</v>
      </c>
      <c r="AA1783" s="10" t="s">
        <v>131</v>
      </c>
      <c r="AB1783" s="10" t="s">
        <v>7849</v>
      </c>
      <c r="AC1783" s="10" t="s">
        <v>3571</v>
      </c>
      <c r="AD1783" s="10" t="s">
        <v>13518</v>
      </c>
      <c r="AE1783" s="10" t="s">
        <v>13519</v>
      </c>
      <c r="AF1783" s="15"/>
      <c r="AG1783" s="10"/>
      <c r="AH1783" s="10"/>
      <c r="AI1783" s="10"/>
      <c r="AJ1783" s="10"/>
      <c r="AK1783" s="10"/>
      <c r="AL1783" s="10" t="s">
        <v>7897</v>
      </c>
      <c r="AM1783" s="10"/>
      <c r="AN1783" s="10"/>
      <c r="AO1783" s="13" t="b">
        <v>0</v>
      </c>
      <c r="AP1783" s="10" t="s">
        <v>104</v>
      </c>
      <c r="AQ1783" s="10"/>
      <c r="AR1783" s="17"/>
      <c r="AS1783" s="17"/>
      <c r="AT1783" s="17"/>
      <c r="AU1783" s="17"/>
      <c r="AV1783" s="17"/>
      <c r="AW1783" s="10"/>
      <c r="AX1783" s="17"/>
      <c r="AY1783" s="18" t="s">
        <v>257</v>
      </c>
      <c r="AZ1783" s="10"/>
      <c r="BA1783" s="20" t="b">
        <v>0</v>
      </c>
      <c r="BB1783" s="10"/>
      <c r="BC1783" s="17" t="s">
        <v>257</v>
      </c>
      <c r="BD1783" s="17" t="s">
        <v>257</v>
      </c>
      <c r="BE1783" s="17" t="s">
        <v>257</v>
      </c>
      <c r="BF1783" s="17" t="s">
        <v>257</v>
      </c>
      <c r="BG1783" s="11">
        <f ca="1">IFERROR(__xludf.DUMMYFUNCTION("""COMPUTED_VALUE"""),46052.125)</f>
        <v>46052.125</v>
      </c>
      <c r="BH1783" s="17"/>
      <c r="BI1783" s="17"/>
      <c r="BJ1783" s="15"/>
      <c r="BK1783" s="15"/>
      <c r="BL1783" s="13" t="b">
        <v>0</v>
      </c>
      <c r="BM1783" s="10"/>
      <c r="BN1783" s="10" t="s">
        <v>223</v>
      </c>
      <c r="BO1783" s="11">
        <v>45904.305474537039</v>
      </c>
      <c r="BP1783" s="11">
        <v>45904.305474537039</v>
      </c>
      <c r="BQ1783" s="15"/>
      <c r="BR1783" s="15"/>
      <c r="BS1783" s="10"/>
      <c r="BT1783" s="10"/>
      <c r="BU1783" s="10"/>
      <c r="BV1783" s="10"/>
      <c r="BW1783" s="10"/>
      <c r="BX1783" s="10"/>
      <c r="BY1783" s="23"/>
      <c r="BZ1783" s="23"/>
      <c r="CA1783" s="23"/>
      <c r="CB1783" s="23"/>
      <c r="CC1783" s="23"/>
      <c r="CD1783" s="23"/>
      <c r="CE1783" s="23"/>
      <c r="CF1783" s="23"/>
      <c r="CG1783" s="23"/>
      <c r="CH1783" s="23"/>
      <c r="CI1783" s="23"/>
    </row>
    <row r="1784" spans="1:87" x14ac:dyDescent="0.3">
      <c r="A1784" s="9" t="s">
        <v>13520</v>
      </c>
      <c r="B1784" s="10" t="s">
        <v>13521</v>
      </c>
      <c r="C1784" s="11">
        <v>46052.125</v>
      </c>
      <c r="D1784" s="12">
        <v>8.3333333333333329E-2</v>
      </c>
      <c r="E1784" s="11">
        <v>46052.208333333336</v>
      </c>
      <c r="F1784" s="10" t="s">
        <v>7843</v>
      </c>
      <c r="G1784" s="13" t="b">
        <v>0</v>
      </c>
      <c r="H1784" s="10"/>
      <c r="I1784" s="10" t="s">
        <v>89</v>
      </c>
      <c r="J1784" s="13" t="b">
        <v>0</v>
      </c>
      <c r="K1784" s="13" t="b">
        <v>1</v>
      </c>
      <c r="L1784" s="10" t="s">
        <v>124</v>
      </c>
      <c r="M1784" s="10" t="s">
        <v>91</v>
      </c>
      <c r="N1784" s="10" t="s">
        <v>92</v>
      </c>
      <c r="O1784" s="10"/>
      <c r="P1784" s="10"/>
      <c r="Q1784" s="10"/>
      <c r="R1784" s="10"/>
      <c r="S1784" s="10"/>
      <c r="T1784" s="10"/>
      <c r="U1784" s="10" t="s">
        <v>7870</v>
      </c>
      <c r="V1784" s="10" t="s">
        <v>3567</v>
      </c>
      <c r="W1784" s="10" t="s">
        <v>7848</v>
      </c>
      <c r="X1784" s="10" t="s">
        <v>130</v>
      </c>
      <c r="Y1784" s="10" t="s">
        <v>130</v>
      </c>
      <c r="Z1784" s="10" t="s">
        <v>99</v>
      </c>
      <c r="AA1784" s="10" t="s">
        <v>131</v>
      </c>
      <c r="AB1784" s="10" t="s">
        <v>7849</v>
      </c>
      <c r="AC1784" s="10" t="s">
        <v>3571</v>
      </c>
      <c r="AD1784" s="10" t="s">
        <v>13522</v>
      </c>
      <c r="AE1784" s="10" t="s">
        <v>13523</v>
      </c>
      <c r="AF1784" s="15"/>
      <c r="AG1784" s="10"/>
      <c r="AH1784" s="10"/>
      <c r="AI1784" s="10"/>
      <c r="AJ1784" s="10"/>
      <c r="AK1784" s="10"/>
      <c r="AL1784" s="10" t="s">
        <v>7897</v>
      </c>
      <c r="AM1784" s="10"/>
      <c r="AN1784" s="10"/>
      <c r="AO1784" s="13" t="b">
        <v>0</v>
      </c>
      <c r="AP1784" s="10" t="s">
        <v>104</v>
      </c>
      <c r="AQ1784" s="10"/>
      <c r="AR1784" s="17"/>
      <c r="AS1784" s="17"/>
      <c r="AT1784" s="17"/>
      <c r="AU1784" s="17"/>
      <c r="AV1784" s="17"/>
      <c r="AW1784" s="10"/>
      <c r="AX1784" s="17"/>
      <c r="AY1784" s="18" t="s">
        <v>257</v>
      </c>
      <c r="AZ1784" s="10"/>
      <c r="BA1784" s="20" t="b">
        <v>0</v>
      </c>
      <c r="BB1784" s="10"/>
      <c r="BC1784" s="17" t="s">
        <v>257</v>
      </c>
      <c r="BD1784" s="17" t="s">
        <v>257</v>
      </c>
      <c r="BE1784" s="17" t="s">
        <v>257</v>
      </c>
      <c r="BF1784" s="17" t="s">
        <v>257</v>
      </c>
      <c r="BG1784" s="11">
        <f ca="1">IFERROR(__xludf.DUMMYFUNCTION("""COMPUTED_VALUE"""),46052.125)</f>
        <v>46052.125</v>
      </c>
      <c r="BH1784" s="17"/>
      <c r="BI1784" s="17"/>
      <c r="BJ1784" s="15"/>
      <c r="BK1784" s="15"/>
      <c r="BL1784" s="13" t="b">
        <v>0</v>
      </c>
      <c r="BM1784" s="10"/>
      <c r="BN1784" s="10" t="s">
        <v>223</v>
      </c>
      <c r="BO1784" s="11">
        <v>45904.305474537039</v>
      </c>
      <c r="BP1784" s="11">
        <v>45904.305474537039</v>
      </c>
      <c r="BQ1784" s="15"/>
      <c r="BR1784" s="15"/>
      <c r="BS1784" s="10"/>
      <c r="BT1784" s="10"/>
      <c r="BU1784" s="10"/>
      <c r="BV1784" s="10"/>
      <c r="BW1784" s="10"/>
      <c r="BX1784" s="10"/>
      <c r="BY1784" s="23"/>
      <c r="BZ1784" s="23"/>
      <c r="CA1784" s="23"/>
      <c r="CB1784" s="23"/>
      <c r="CC1784" s="23"/>
      <c r="CD1784" s="23"/>
      <c r="CE1784" s="23"/>
      <c r="CF1784" s="23"/>
      <c r="CG1784" s="23"/>
      <c r="CH1784" s="23"/>
      <c r="CI1784" s="23"/>
    </row>
    <row r="1785" spans="1:87" x14ac:dyDescent="0.3">
      <c r="A1785" s="9" t="s">
        <v>13524</v>
      </c>
      <c r="B1785" s="10" t="s">
        <v>13525</v>
      </c>
      <c r="C1785" s="11">
        <v>46052.125</v>
      </c>
      <c r="D1785" s="12">
        <v>8.3333333333333329E-2</v>
      </c>
      <c r="E1785" s="11">
        <v>46052.208333333336</v>
      </c>
      <c r="F1785" s="10" t="s">
        <v>7843</v>
      </c>
      <c r="G1785" s="13" t="b">
        <v>0</v>
      </c>
      <c r="H1785" s="10"/>
      <c r="I1785" s="10" t="s">
        <v>89</v>
      </c>
      <c r="J1785" s="13" t="b">
        <v>0</v>
      </c>
      <c r="K1785" s="13" t="b">
        <v>1</v>
      </c>
      <c r="L1785" s="10" t="s">
        <v>124</v>
      </c>
      <c r="M1785" s="10" t="s">
        <v>91</v>
      </c>
      <c r="N1785" s="10" t="s">
        <v>92</v>
      </c>
      <c r="O1785" s="10"/>
      <c r="P1785" s="10"/>
      <c r="Q1785" s="10"/>
      <c r="R1785" s="10"/>
      <c r="S1785" s="10"/>
      <c r="T1785" s="10"/>
      <c r="U1785" s="10" t="s">
        <v>12634</v>
      </c>
      <c r="V1785" s="10" t="s">
        <v>7846</v>
      </c>
      <c r="W1785" s="10" t="s">
        <v>7848</v>
      </c>
      <c r="X1785" s="10" t="s">
        <v>130</v>
      </c>
      <c r="Y1785" s="10" t="s">
        <v>130</v>
      </c>
      <c r="Z1785" s="10" t="s">
        <v>99</v>
      </c>
      <c r="AA1785" s="10" t="s">
        <v>131</v>
      </c>
      <c r="AB1785" s="10" t="s">
        <v>7849</v>
      </c>
      <c r="AC1785" s="10" t="s">
        <v>3571</v>
      </c>
      <c r="AD1785" s="10" t="s">
        <v>13526</v>
      </c>
      <c r="AE1785" s="10" t="s">
        <v>13527</v>
      </c>
      <c r="AF1785" s="15"/>
      <c r="AG1785" s="10"/>
      <c r="AH1785" s="10"/>
      <c r="AI1785" s="10"/>
      <c r="AJ1785" s="10"/>
      <c r="AK1785" s="10"/>
      <c r="AL1785" s="10" t="s">
        <v>7897</v>
      </c>
      <c r="AM1785" s="10"/>
      <c r="AN1785" s="10"/>
      <c r="AO1785" s="13" t="b">
        <v>0</v>
      </c>
      <c r="AP1785" s="10" t="s">
        <v>104</v>
      </c>
      <c r="AQ1785" s="10"/>
      <c r="AR1785" s="17"/>
      <c r="AS1785" s="17"/>
      <c r="AT1785" s="17"/>
      <c r="AU1785" s="17"/>
      <c r="AV1785" s="17"/>
      <c r="AW1785" s="10"/>
      <c r="AX1785" s="17"/>
      <c r="AY1785" s="18" t="s">
        <v>257</v>
      </c>
      <c r="AZ1785" s="10"/>
      <c r="BA1785" s="20" t="b">
        <v>0</v>
      </c>
      <c r="BB1785" s="10"/>
      <c r="BC1785" s="17" t="s">
        <v>257</v>
      </c>
      <c r="BD1785" s="17" t="s">
        <v>257</v>
      </c>
      <c r="BE1785" s="17" t="s">
        <v>257</v>
      </c>
      <c r="BF1785" s="17" t="s">
        <v>257</v>
      </c>
      <c r="BG1785" s="11">
        <f ca="1">IFERROR(__xludf.DUMMYFUNCTION("""COMPUTED_VALUE"""),46052.125)</f>
        <v>46052.125</v>
      </c>
      <c r="BH1785" s="17"/>
      <c r="BI1785" s="17"/>
      <c r="BJ1785" s="15"/>
      <c r="BK1785" s="15"/>
      <c r="BL1785" s="13" t="b">
        <v>0</v>
      </c>
      <c r="BM1785" s="10"/>
      <c r="BN1785" s="10" t="s">
        <v>223</v>
      </c>
      <c r="BO1785" s="11">
        <v>45904.305474537039</v>
      </c>
      <c r="BP1785" s="11">
        <v>45904.305474537039</v>
      </c>
      <c r="BQ1785" s="15"/>
      <c r="BR1785" s="15"/>
      <c r="BS1785" s="10"/>
      <c r="BT1785" s="10"/>
      <c r="BU1785" s="10"/>
      <c r="BV1785" s="10"/>
      <c r="BW1785" s="10"/>
      <c r="BX1785" s="10"/>
      <c r="BY1785" s="23"/>
      <c r="BZ1785" s="23"/>
      <c r="CA1785" s="23"/>
      <c r="CB1785" s="23"/>
      <c r="CC1785" s="23"/>
      <c r="CD1785" s="23"/>
      <c r="CE1785" s="23"/>
      <c r="CF1785" s="23"/>
      <c r="CG1785" s="23"/>
      <c r="CH1785" s="23"/>
      <c r="CI1785" s="23"/>
    </row>
    <row r="1786" spans="1:87" x14ac:dyDescent="0.3">
      <c r="A1786" s="9" t="s">
        <v>13528</v>
      </c>
      <c r="B1786" s="10" t="s">
        <v>13529</v>
      </c>
      <c r="C1786" s="11">
        <v>46052.125</v>
      </c>
      <c r="D1786" s="12">
        <v>8.3333333333333329E-2</v>
      </c>
      <c r="E1786" s="11">
        <v>46052.208333333336</v>
      </c>
      <c r="F1786" s="10" t="s">
        <v>7843</v>
      </c>
      <c r="G1786" s="13" t="b">
        <v>0</v>
      </c>
      <c r="H1786" s="10"/>
      <c r="I1786" s="10" t="s">
        <v>89</v>
      </c>
      <c r="J1786" s="13" t="b">
        <v>0</v>
      </c>
      <c r="K1786" s="13" t="b">
        <v>1</v>
      </c>
      <c r="L1786" s="10" t="s">
        <v>124</v>
      </c>
      <c r="M1786" s="10" t="s">
        <v>91</v>
      </c>
      <c r="N1786" s="10" t="s">
        <v>92</v>
      </c>
      <c r="O1786" s="10"/>
      <c r="P1786" s="10"/>
      <c r="Q1786" s="10"/>
      <c r="R1786" s="10"/>
      <c r="S1786" s="10"/>
      <c r="T1786" s="10"/>
      <c r="U1786" s="10" t="s">
        <v>3591</v>
      </c>
      <c r="V1786" s="10" t="s">
        <v>5066</v>
      </c>
      <c r="W1786" s="10" t="s">
        <v>7848</v>
      </c>
      <c r="X1786" s="10" t="s">
        <v>130</v>
      </c>
      <c r="Y1786" s="10" t="s">
        <v>130</v>
      </c>
      <c r="Z1786" s="10" t="s">
        <v>99</v>
      </c>
      <c r="AA1786" s="10" t="s">
        <v>131</v>
      </c>
      <c r="AB1786" s="10" t="s">
        <v>7849</v>
      </c>
      <c r="AC1786" s="10" t="s">
        <v>3571</v>
      </c>
      <c r="AD1786" s="10" t="s">
        <v>13530</v>
      </c>
      <c r="AE1786" s="10" t="s">
        <v>13531</v>
      </c>
      <c r="AF1786" s="15"/>
      <c r="AG1786" s="10"/>
      <c r="AH1786" s="10"/>
      <c r="AI1786" s="10"/>
      <c r="AJ1786" s="10"/>
      <c r="AK1786" s="10"/>
      <c r="AL1786" s="10" t="s">
        <v>7897</v>
      </c>
      <c r="AM1786" s="10"/>
      <c r="AN1786" s="10"/>
      <c r="AO1786" s="13" t="b">
        <v>0</v>
      </c>
      <c r="AP1786" s="10" t="s">
        <v>104</v>
      </c>
      <c r="AQ1786" s="10"/>
      <c r="AR1786" s="17"/>
      <c r="AS1786" s="17"/>
      <c r="AT1786" s="17"/>
      <c r="AU1786" s="17"/>
      <c r="AV1786" s="17"/>
      <c r="AW1786" s="10"/>
      <c r="AX1786" s="17"/>
      <c r="AY1786" s="18" t="s">
        <v>257</v>
      </c>
      <c r="AZ1786" s="10"/>
      <c r="BA1786" s="20" t="b">
        <v>0</v>
      </c>
      <c r="BB1786" s="10"/>
      <c r="BC1786" s="17" t="s">
        <v>257</v>
      </c>
      <c r="BD1786" s="17" t="s">
        <v>257</v>
      </c>
      <c r="BE1786" s="17" t="s">
        <v>257</v>
      </c>
      <c r="BF1786" s="17" t="s">
        <v>257</v>
      </c>
      <c r="BG1786" s="11">
        <f ca="1">IFERROR(__xludf.DUMMYFUNCTION("""COMPUTED_VALUE"""),46052.125)</f>
        <v>46052.125</v>
      </c>
      <c r="BH1786" s="17"/>
      <c r="BI1786" s="17"/>
      <c r="BJ1786" s="15"/>
      <c r="BK1786" s="15"/>
      <c r="BL1786" s="13" t="b">
        <v>0</v>
      </c>
      <c r="BM1786" s="10"/>
      <c r="BN1786" s="10" t="s">
        <v>223</v>
      </c>
      <c r="BO1786" s="11">
        <v>45904.305474537039</v>
      </c>
      <c r="BP1786" s="11">
        <v>45904.305474537039</v>
      </c>
      <c r="BQ1786" s="15"/>
      <c r="BR1786" s="15"/>
      <c r="BS1786" s="10"/>
      <c r="BT1786" s="10"/>
      <c r="BU1786" s="10"/>
      <c r="BV1786" s="10"/>
      <c r="BW1786" s="10"/>
      <c r="BX1786" s="10"/>
      <c r="BY1786" s="23"/>
      <c r="BZ1786" s="23"/>
      <c r="CA1786" s="23"/>
      <c r="CB1786" s="23"/>
      <c r="CC1786" s="23"/>
      <c r="CD1786" s="23"/>
      <c r="CE1786" s="23"/>
      <c r="CF1786" s="23"/>
      <c r="CG1786" s="23"/>
      <c r="CH1786" s="23"/>
      <c r="CI1786" s="23"/>
    </row>
    <row r="1787" spans="1:87" x14ac:dyDescent="0.3">
      <c r="A1787" s="9" t="s">
        <v>13532</v>
      </c>
      <c r="B1787" s="10" t="s">
        <v>13533</v>
      </c>
      <c r="C1787" s="11">
        <v>46052.125</v>
      </c>
      <c r="D1787" s="12">
        <v>8.3333333333333329E-2</v>
      </c>
      <c r="E1787" s="11">
        <v>46052.208333333336</v>
      </c>
      <c r="F1787" s="10" t="s">
        <v>7843</v>
      </c>
      <c r="G1787" s="13" t="b">
        <v>0</v>
      </c>
      <c r="H1787" s="10"/>
      <c r="I1787" s="10" t="s">
        <v>89</v>
      </c>
      <c r="J1787" s="13" t="b">
        <v>0</v>
      </c>
      <c r="K1787" s="13" t="b">
        <v>1</v>
      </c>
      <c r="L1787" s="10" t="s">
        <v>124</v>
      </c>
      <c r="M1787" s="10" t="s">
        <v>91</v>
      </c>
      <c r="N1787" s="10" t="s">
        <v>92</v>
      </c>
      <c r="O1787" s="10"/>
      <c r="P1787" s="10"/>
      <c r="Q1787" s="10"/>
      <c r="R1787" s="10"/>
      <c r="S1787" s="10"/>
      <c r="T1787" s="10"/>
      <c r="U1787" s="10" t="s">
        <v>12504</v>
      </c>
      <c r="V1787" s="10" t="s">
        <v>12559</v>
      </c>
      <c r="W1787" s="10" t="s">
        <v>7848</v>
      </c>
      <c r="X1787" s="10" t="s">
        <v>130</v>
      </c>
      <c r="Y1787" s="10" t="s">
        <v>130</v>
      </c>
      <c r="Z1787" s="10" t="s">
        <v>99</v>
      </c>
      <c r="AA1787" s="10" t="s">
        <v>131</v>
      </c>
      <c r="AB1787" s="10" t="s">
        <v>7849</v>
      </c>
      <c r="AC1787" s="10" t="s">
        <v>3571</v>
      </c>
      <c r="AD1787" s="10" t="s">
        <v>13534</v>
      </c>
      <c r="AE1787" s="10" t="s">
        <v>13535</v>
      </c>
      <c r="AF1787" s="15"/>
      <c r="AG1787" s="10"/>
      <c r="AH1787" s="10"/>
      <c r="AI1787" s="10"/>
      <c r="AJ1787" s="10"/>
      <c r="AK1787" s="10"/>
      <c r="AL1787" s="10" t="s">
        <v>7897</v>
      </c>
      <c r="AM1787" s="10"/>
      <c r="AN1787" s="10"/>
      <c r="AO1787" s="13" t="b">
        <v>0</v>
      </c>
      <c r="AP1787" s="10" t="s">
        <v>104</v>
      </c>
      <c r="AQ1787" s="10"/>
      <c r="AR1787" s="17"/>
      <c r="AS1787" s="17"/>
      <c r="AT1787" s="17"/>
      <c r="AU1787" s="17"/>
      <c r="AV1787" s="17"/>
      <c r="AW1787" s="10"/>
      <c r="AX1787" s="17"/>
      <c r="AY1787" s="18" t="s">
        <v>257</v>
      </c>
      <c r="AZ1787" s="10"/>
      <c r="BA1787" s="20" t="b">
        <v>0</v>
      </c>
      <c r="BB1787" s="10"/>
      <c r="BC1787" s="17" t="s">
        <v>257</v>
      </c>
      <c r="BD1787" s="17" t="s">
        <v>257</v>
      </c>
      <c r="BE1787" s="17" t="s">
        <v>257</v>
      </c>
      <c r="BF1787" s="17" t="s">
        <v>257</v>
      </c>
      <c r="BG1787" s="11">
        <f ca="1">IFERROR(__xludf.DUMMYFUNCTION("""COMPUTED_VALUE"""),46052.125)</f>
        <v>46052.125</v>
      </c>
      <c r="BH1787" s="17"/>
      <c r="BI1787" s="17"/>
      <c r="BJ1787" s="15"/>
      <c r="BK1787" s="15"/>
      <c r="BL1787" s="13" t="b">
        <v>0</v>
      </c>
      <c r="BM1787" s="10"/>
      <c r="BN1787" s="10" t="s">
        <v>223</v>
      </c>
      <c r="BO1787" s="11">
        <v>45904.305474537039</v>
      </c>
      <c r="BP1787" s="11">
        <v>45904.305474537039</v>
      </c>
      <c r="BQ1787" s="15"/>
      <c r="BR1787" s="15"/>
      <c r="BS1787" s="10"/>
      <c r="BT1787" s="10"/>
      <c r="BU1787" s="10"/>
      <c r="BV1787" s="10"/>
      <c r="BW1787" s="10"/>
      <c r="BX1787" s="10"/>
      <c r="BY1787" s="23"/>
      <c r="BZ1787" s="23"/>
      <c r="CA1787" s="23"/>
      <c r="CB1787" s="23"/>
      <c r="CC1787" s="23"/>
      <c r="CD1787" s="23"/>
      <c r="CE1787" s="23"/>
      <c r="CF1787" s="23"/>
      <c r="CG1787" s="23"/>
      <c r="CH1787" s="23"/>
      <c r="CI1787" s="23"/>
    </row>
    <row r="1788" spans="1:87" x14ac:dyDescent="0.3">
      <c r="A1788" s="9" t="s">
        <v>13536</v>
      </c>
      <c r="B1788" s="10" t="s">
        <v>13537</v>
      </c>
      <c r="C1788" s="11">
        <v>46052.125</v>
      </c>
      <c r="D1788" s="12">
        <v>8.3333333333333329E-2</v>
      </c>
      <c r="E1788" s="11">
        <v>46052.208333333336</v>
      </c>
      <c r="F1788" s="10" t="s">
        <v>7843</v>
      </c>
      <c r="G1788" s="13" t="b">
        <v>0</v>
      </c>
      <c r="H1788" s="10"/>
      <c r="I1788" s="10" t="s">
        <v>89</v>
      </c>
      <c r="J1788" s="13" t="b">
        <v>0</v>
      </c>
      <c r="K1788" s="13" t="b">
        <v>1</v>
      </c>
      <c r="L1788" s="10" t="s">
        <v>124</v>
      </c>
      <c r="M1788" s="10" t="s">
        <v>91</v>
      </c>
      <c r="N1788" s="10" t="s">
        <v>92</v>
      </c>
      <c r="O1788" s="10"/>
      <c r="P1788" s="10"/>
      <c r="Q1788" s="10"/>
      <c r="R1788" s="10"/>
      <c r="S1788" s="10"/>
      <c r="T1788" s="10"/>
      <c r="U1788" s="10" t="s">
        <v>4993</v>
      </c>
      <c r="V1788" s="10" t="s">
        <v>8065</v>
      </c>
      <c r="W1788" s="10" t="s">
        <v>7848</v>
      </c>
      <c r="X1788" s="10" t="s">
        <v>130</v>
      </c>
      <c r="Y1788" s="10" t="s">
        <v>130</v>
      </c>
      <c r="Z1788" s="10" t="s">
        <v>99</v>
      </c>
      <c r="AA1788" s="10" t="s">
        <v>131</v>
      </c>
      <c r="AB1788" s="10" t="s">
        <v>7849</v>
      </c>
      <c r="AC1788" s="10" t="s">
        <v>3571</v>
      </c>
      <c r="AD1788" s="10" t="s">
        <v>13538</v>
      </c>
      <c r="AE1788" s="10" t="s">
        <v>13539</v>
      </c>
      <c r="AF1788" s="15"/>
      <c r="AG1788" s="10"/>
      <c r="AH1788" s="10"/>
      <c r="AI1788" s="10"/>
      <c r="AJ1788" s="10"/>
      <c r="AK1788" s="10"/>
      <c r="AL1788" s="10" t="s">
        <v>7897</v>
      </c>
      <c r="AM1788" s="10"/>
      <c r="AN1788" s="10"/>
      <c r="AO1788" s="13" t="b">
        <v>1</v>
      </c>
      <c r="AP1788" s="10" t="s">
        <v>104</v>
      </c>
      <c r="AQ1788" s="10"/>
      <c r="AR1788" s="17"/>
      <c r="AS1788" s="17"/>
      <c r="AT1788" s="17"/>
      <c r="AU1788" s="17"/>
      <c r="AV1788" s="17"/>
      <c r="AW1788" s="10"/>
      <c r="AX1788" s="17"/>
      <c r="AY1788" s="18" t="s">
        <v>257</v>
      </c>
      <c r="AZ1788" s="10"/>
      <c r="BA1788" s="20" t="b">
        <v>0</v>
      </c>
      <c r="BB1788" s="10"/>
      <c r="BC1788" s="17" t="s">
        <v>257</v>
      </c>
      <c r="BD1788" s="17" t="s">
        <v>257</v>
      </c>
      <c r="BE1788" s="17" t="s">
        <v>257</v>
      </c>
      <c r="BF1788" s="17" t="s">
        <v>257</v>
      </c>
      <c r="BG1788" s="11">
        <f ca="1">IFERROR(__xludf.DUMMYFUNCTION("""COMPUTED_VALUE"""),46052.125)</f>
        <v>46052.125</v>
      </c>
      <c r="BH1788" s="17"/>
      <c r="BI1788" s="17"/>
      <c r="BJ1788" s="15"/>
      <c r="BK1788" s="15"/>
      <c r="BL1788" s="13" t="b">
        <v>0</v>
      </c>
      <c r="BM1788" s="10"/>
      <c r="BN1788" s="10" t="s">
        <v>223</v>
      </c>
      <c r="BO1788" s="11">
        <v>45904.305474537039</v>
      </c>
      <c r="BP1788" s="11">
        <v>45904.305474537039</v>
      </c>
      <c r="BQ1788" s="15"/>
      <c r="BR1788" s="15"/>
      <c r="BS1788" s="10"/>
      <c r="BT1788" s="10"/>
      <c r="BU1788" s="10"/>
      <c r="BV1788" s="10"/>
      <c r="BW1788" s="10"/>
      <c r="BX1788" s="10"/>
      <c r="BY1788" s="23"/>
      <c r="BZ1788" s="23"/>
      <c r="CA1788" s="23"/>
      <c r="CB1788" s="23"/>
      <c r="CC1788" s="23"/>
      <c r="CD1788" s="23"/>
      <c r="CE1788" s="23"/>
      <c r="CF1788" s="23"/>
      <c r="CG1788" s="23"/>
      <c r="CH1788" s="23"/>
      <c r="CI1788" s="23"/>
    </row>
    <row r="1789" spans="1:87" x14ac:dyDescent="0.3">
      <c r="A1789" s="9" t="s">
        <v>13540</v>
      </c>
      <c r="B1789" s="10" t="s">
        <v>13541</v>
      </c>
      <c r="C1789" s="11">
        <v>46052.125</v>
      </c>
      <c r="D1789" s="12">
        <v>8.3333333333333329E-2</v>
      </c>
      <c r="E1789" s="11">
        <v>46052.208333333336</v>
      </c>
      <c r="F1789" s="10" t="s">
        <v>7843</v>
      </c>
      <c r="G1789" s="13" t="b">
        <v>0</v>
      </c>
      <c r="H1789" s="10"/>
      <c r="I1789" s="10" t="s">
        <v>89</v>
      </c>
      <c r="J1789" s="13" t="b">
        <v>0</v>
      </c>
      <c r="K1789" s="13" t="b">
        <v>1</v>
      </c>
      <c r="L1789" s="10" t="s">
        <v>124</v>
      </c>
      <c r="M1789" s="10" t="s">
        <v>91</v>
      </c>
      <c r="N1789" s="10" t="s">
        <v>92</v>
      </c>
      <c r="O1789" s="10"/>
      <c r="P1789" s="10"/>
      <c r="Q1789" s="10"/>
      <c r="R1789" s="10"/>
      <c r="S1789" s="10"/>
      <c r="T1789" s="10"/>
      <c r="U1789" s="10" t="s">
        <v>320</v>
      </c>
      <c r="V1789" s="10" t="s">
        <v>3600</v>
      </c>
      <c r="W1789" s="10" t="s">
        <v>7848</v>
      </c>
      <c r="X1789" s="10" t="s">
        <v>130</v>
      </c>
      <c r="Y1789" s="10" t="s">
        <v>130</v>
      </c>
      <c r="Z1789" s="10" t="s">
        <v>99</v>
      </c>
      <c r="AA1789" s="10" t="s">
        <v>131</v>
      </c>
      <c r="AB1789" s="10" t="s">
        <v>7849</v>
      </c>
      <c r="AC1789" s="10" t="s">
        <v>3571</v>
      </c>
      <c r="AD1789" s="10" t="s">
        <v>13542</v>
      </c>
      <c r="AE1789" s="10" t="s">
        <v>13543</v>
      </c>
      <c r="AF1789" s="15"/>
      <c r="AG1789" s="10"/>
      <c r="AH1789" s="10"/>
      <c r="AI1789" s="10"/>
      <c r="AJ1789" s="10"/>
      <c r="AK1789" s="10"/>
      <c r="AL1789" s="10" t="s">
        <v>7897</v>
      </c>
      <c r="AM1789" s="10"/>
      <c r="AN1789" s="10"/>
      <c r="AO1789" s="13" t="b">
        <v>0</v>
      </c>
      <c r="AP1789" s="10" t="s">
        <v>104</v>
      </c>
      <c r="AQ1789" s="10"/>
      <c r="AR1789" s="17"/>
      <c r="AS1789" s="17"/>
      <c r="AT1789" s="17"/>
      <c r="AU1789" s="17"/>
      <c r="AV1789" s="17"/>
      <c r="AW1789" s="10"/>
      <c r="AX1789" s="17"/>
      <c r="AY1789" s="18" t="s">
        <v>257</v>
      </c>
      <c r="AZ1789" s="10"/>
      <c r="BA1789" s="20" t="b">
        <v>0</v>
      </c>
      <c r="BB1789" s="10"/>
      <c r="BC1789" s="17" t="s">
        <v>257</v>
      </c>
      <c r="BD1789" s="17" t="s">
        <v>257</v>
      </c>
      <c r="BE1789" s="17" t="s">
        <v>257</v>
      </c>
      <c r="BF1789" s="17" t="s">
        <v>257</v>
      </c>
      <c r="BG1789" s="11">
        <f ca="1">IFERROR(__xludf.DUMMYFUNCTION("""COMPUTED_VALUE"""),46052.125)</f>
        <v>46052.125</v>
      </c>
      <c r="BH1789" s="17"/>
      <c r="BI1789" s="17"/>
      <c r="BJ1789" s="15"/>
      <c r="BK1789" s="15"/>
      <c r="BL1789" s="13" t="b">
        <v>0</v>
      </c>
      <c r="BM1789" s="10"/>
      <c r="BN1789" s="10" t="s">
        <v>223</v>
      </c>
      <c r="BO1789" s="11">
        <v>45904.305474537039</v>
      </c>
      <c r="BP1789" s="11">
        <v>45904.305474537039</v>
      </c>
      <c r="BQ1789" s="15"/>
      <c r="BR1789" s="15"/>
      <c r="BS1789" s="10"/>
      <c r="BT1789" s="10"/>
      <c r="BU1789" s="10"/>
      <c r="BV1789" s="10"/>
      <c r="BW1789" s="10"/>
      <c r="BX1789" s="10"/>
      <c r="BY1789" s="23"/>
      <c r="BZ1789" s="23"/>
      <c r="CA1789" s="23"/>
      <c r="CB1789" s="23"/>
      <c r="CC1789" s="23"/>
      <c r="CD1789" s="23"/>
      <c r="CE1789" s="23"/>
      <c r="CF1789" s="23"/>
      <c r="CG1789" s="23"/>
      <c r="CH1789" s="23"/>
      <c r="CI1789" s="23"/>
    </row>
    <row r="1790" spans="1:87" x14ac:dyDescent="0.3">
      <c r="A1790" s="9" t="s">
        <v>13544</v>
      </c>
      <c r="B1790" s="10" t="s">
        <v>13545</v>
      </c>
      <c r="C1790" s="11">
        <v>46052.125</v>
      </c>
      <c r="D1790" s="12">
        <v>8.3333333333333329E-2</v>
      </c>
      <c r="E1790" s="11">
        <v>46052.208333333336</v>
      </c>
      <c r="F1790" s="10" t="s">
        <v>7843</v>
      </c>
      <c r="G1790" s="13" t="b">
        <v>0</v>
      </c>
      <c r="H1790" s="10"/>
      <c r="I1790" s="10" t="s">
        <v>89</v>
      </c>
      <c r="J1790" s="13" t="b">
        <v>0</v>
      </c>
      <c r="K1790" s="13" t="b">
        <v>1</v>
      </c>
      <c r="L1790" s="10" t="s">
        <v>124</v>
      </c>
      <c r="M1790" s="10" t="s">
        <v>91</v>
      </c>
      <c r="N1790" s="10" t="s">
        <v>92</v>
      </c>
      <c r="O1790" s="10"/>
      <c r="P1790" s="10"/>
      <c r="Q1790" s="10"/>
      <c r="R1790" s="10"/>
      <c r="S1790" s="10"/>
      <c r="T1790" s="10"/>
      <c r="U1790" s="10" t="s">
        <v>5102</v>
      </c>
      <c r="V1790" s="10" t="s">
        <v>3690</v>
      </c>
      <c r="W1790" s="10" t="s">
        <v>7848</v>
      </c>
      <c r="X1790" s="10" t="s">
        <v>130</v>
      </c>
      <c r="Y1790" s="10" t="s">
        <v>130</v>
      </c>
      <c r="Z1790" s="10" t="s">
        <v>99</v>
      </c>
      <c r="AA1790" s="10" t="s">
        <v>131</v>
      </c>
      <c r="AB1790" s="10" t="s">
        <v>7849</v>
      </c>
      <c r="AC1790" s="10" t="s">
        <v>3571</v>
      </c>
      <c r="AD1790" s="10" t="s">
        <v>13546</v>
      </c>
      <c r="AE1790" s="10" t="s">
        <v>13547</v>
      </c>
      <c r="AF1790" s="15"/>
      <c r="AG1790" s="10"/>
      <c r="AH1790" s="10"/>
      <c r="AI1790" s="10"/>
      <c r="AJ1790" s="10"/>
      <c r="AK1790" s="10"/>
      <c r="AL1790" s="10" t="s">
        <v>7897</v>
      </c>
      <c r="AM1790" s="10"/>
      <c r="AN1790" s="10"/>
      <c r="AO1790" s="13" t="b">
        <v>0</v>
      </c>
      <c r="AP1790" s="10" t="s">
        <v>104</v>
      </c>
      <c r="AQ1790" s="10"/>
      <c r="AR1790" s="17"/>
      <c r="AS1790" s="17"/>
      <c r="AT1790" s="17"/>
      <c r="AU1790" s="17"/>
      <c r="AV1790" s="17"/>
      <c r="AW1790" s="10"/>
      <c r="AX1790" s="17"/>
      <c r="AY1790" s="18" t="s">
        <v>257</v>
      </c>
      <c r="AZ1790" s="10"/>
      <c r="BA1790" s="20" t="b">
        <v>0</v>
      </c>
      <c r="BB1790" s="10"/>
      <c r="BC1790" s="17" t="s">
        <v>257</v>
      </c>
      <c r="BD1790" s="17" t="s">
        <v>257</v>
      </c>
      <c r="BE1790" s="17" t="s">
        <v>257</v>
      </c>
      <c r="BF1790" s="17" t="s">
        <v>257</v>
      </c>
      <c r="BG1790" s="11">
        <f ca="1">IFERROR(__xludf.DUMMYFUNCTION("""COMPUTED_VALUE"""),46052.125)</f>
        <v>46052.125</v>
      </c>
      <c r="BH1790" s="17"/>
      <c r="BI1790" s="17"/>
      <c r="BJ1790" s="15"/>
      <c r="BK1790" s="15"/>
      <c r="BL1790" s="13" t="b">
        <v>0</v>
      </c>
      <c r="BM1790" s="10"/>
      <c r="BN1790" s="10" t="s">
        <v>223</v>
      </c>
      <c r="BO1790" s="11">
        <v>45904.305474537039</v>
      </c>
      <c r="BP1790" s="11">
        <v>45904.305474537039</v>
      </c>
      <c r="BQ1790" s="15"/>
      <c r="BR1790" s="15"/>
      <c r="BS1790" s="10"/>
      <c r="BT1790" s="10"/>
      <c r="BU1790" s="10"/>
      <c r="BV1790" s="10"/>
      <c r="BW1790" s="10"/>
      <c r="BX1790" s="10"/>
      <c r="BY1790" s="23"/>
      <c r="BZ1790" s="23"/>
      <c r="CA1790" s="23"/>
      <c r="CB1790" s="23"/>
      <c r="CC1790" s="23"/>
      <c r="CD1790" s="23"/>
      <c r="CE1790" s="23"/>
      <c r="CF1790" s="23"/>
      <c r="CG1790" s="23"/>
      <c r="CH1790" s="23"/>
      <c r="CI1790" s="23"/>
    </row>
    <row r="1791" spans="1:87" x14ac:dyDescent="0.3">
      <c r="A1791" s="25" t="s">
        <v>13548</v>
      </c>
      <c r="B1791" s="10" t="s">
        <v>13549</v>
      </c>
      <c r="C1791" s="11">
        <v>46052.125</v>
      </c>
      <c r="D1791" s="12">
        <v>8.3333333333333329E-2</v>
      </c>
      <c r="E1791" s="11">
        <v>46052.208333333336</v>
      </c>
      <c r="F1791" s="10" t="s">
        <v>7843</v>
      </c>
      <c r="G1791" s="13" t="b">
        <v>0</v>
      </c>
      <c r="H1791" s="10"/>
      <c r="I1791" s="10" t="s">
        <v>89</v>
      </c>
      <c r="J1791" s="13" t="b">
        <v>0</v>
      </c>
      <c r="K1791" s="13" t="b">
        <v>1</v>
      </c>
      <c r="L1791" s="10" t="s">
        <v>124</v>
      </c>
      <c r="M1791" s="10" t="s">
        <v>91</v>
      </c>
      <c r="N1791" s="10" t="s">
        <v>92</v>
      </c>
      <c r="O1791" s="10"/>
      <c r="P1791" s="10"/>
      <c r="Q1791" s="10"/>
      <c r="R1791" s="10"/>
      <c r="S1791" s="10"/>
      <c r="T1791" s="10"/>
      <c r="U1791" s="10" t="s">
        <v>12523</v>
      </c>
      <c r="V1791" s="10" t="s">
        <v>7821</v>
      </c>
      <c r="W1791" s="10" t="s">
        <v>7848</v>
      </c>
      <c r="X1791" s="10" t="s">
        <v>130</v>
      </c>
      <c r="Y1791" s="10" t="s">
        <v>130</v>
      </c>
      <c r="Z1791" s="10" t="s">
        <v>99</v>
      </c>
      <c r="AA1791" s="10" t="s">
        <v>131</v>
      </c>
      <c r="AB1791" s="10" t="s">
        <v>7849</v>
      </c>
      <c r="AC1791" s="10" t="s">
        <v>3571</v>
      </c>
      <c r="AD1791" s="10" t="s">
        <v>13550</v>
      </c>
      <c r="AE1791" s="10" t="s">
        <v>13551</v>
      </c>
      <c r="AF1791" s="15"/>
      <c r="AG1791" s="10"/>
      <c r="AH1791" s="10"/>
      <c r="AI1791" s="10"/>
      <c r="AJ1791" s="10"/>
      <c r="AK1791" s="10"/>
      <c r="AL1791" s="10" t="s">
        <v>7897</v>
      </c>
      <c r="AM1791" s="10"/>
      <c r="AN1791" s="10"/>
      <c r="AO1791" s="13" t="b">
        <v>0</v>
      </c>
      <c r="AP1791" s="10" t="s">
        <v>104</v>
      </c>
      <c r="AQ1791" s="10"/>
      <c r="AR1791" s="17"/>
      <c r="AS1791" s="17"/>
      <c r="AT1791" s="17"/>
      <c r="AU1791" s="17"/>
      <c r="AV1791" s="17"/>
      <c r="AW1791" s="10"/>
      <c r="AX1791" s="17"/>
      <c r="AY1791" s="18" t="s">
        <v>257</v>
      </c>
      <c r="AZ1791" s="10"/>
      <c r="BA1791" s="20" t="b">
        <v>0</v>
      </c>
      <c r="BB1791" s="10"/>
      <c r="BC1791" s="17" t="s">
        <v>257</v>
      </c>
      <c r="BD1791" s="17" t="s">
        <v>257</v>
      </c>
      <c r="BE1791" s="17" t="s">
        <v>257</v>
      </c>
      <c r="BF1791" s="17" t="s">
        <v>257</v>
      </c>
      <c r="BG1791" s="11">
        <f ca="1">IFERROR(__xludf.DUMMYFUNCTION("""COMPUTED_VALUE"""),46052.125)</f>
        <v>46052.125</v>
      </c>
      <c r="BH1791" s="17"/>
      <c r="BI1791" s="17"/>
      <c r="BJ1791" s="15"/>
      <c r="BK1791" s="15"/>
      <c r="BL1791" s="13" t="b">
        <v>0</v>
      </c>
      <c r="BM1791" s="10"/>
      <c r="BN1791" s="10" t="s">
        <v>223</v>
      </c>
      <c r="BO1791" s="11">
        <v>45904.305474537039</v>
      </c>
      <c r="BP1791" s="11">
        <v>45904.305474537039</v>
      </c>
      <c r="BQ1791" s="15"/>
      <c r="BR1791" s="15"/>
      <c r="BS1791" s="10"/>
      <c r="BT1791" s="10"/>
      <c r="BU1791" s="10"/>
      <c r="BV1791" s="10"/>
      <c r="BW1791" s="10"/>
      <c r="BX1791" s="10"/>
      <c r="BY1791" s="23"/>
      <c r="BZ1791" s="23"/>
      <c r="CA1791" s="23"/>
      <c r="CB1791" s="23"/>
      <c r="CC1791" s="23"/>
      <c r="CD1791" s="23"/>
      <c r="CE1791" s="23"/>
      <c r="CF1791" s="23"/>
      <c r="CG1791" s="23"/>
      <c r="CH1791" s="23"/>
      <c r="CI1791" s="23"/>
    </row>
    <row r="1792" spans="1:87" x14ac:dyDescent="0.3">
      <c r="A1792" s="9" t="s">
        <v>13552</v>
      </c>
      <c r="B1792" s="10" t="s">
        <v>13553</v>
      </c>
      <c r="C1792" s="11">
        <v>46052.125</v>
      </c>
      <c r="D1792" s="12">
        <v>8.3333333333333329E-2</v>
      </c>
      <c r="E1792" s="11">
        <v>46052.208333333336</v>
      </c>
      <c r="F1792" s="10" t="s">
        <v>7843</v>
      </c>
      <c r="G1792" s="13" t="b">
        <v>0</v>
      </c>
      <c r="H1792" s="10"/>
      <c r="I1792" s="10" t="s">
        <v>89</v>
      </c>
      <c r="J1792" s="13" t="b">
        <v>0</v>
      </c>
      <c r="K1792" s="13" t="b">
        <v>1</v>
      </c>
      <c r="L1792" s="10" t="s">
        <v>124</v>
      </c>
      <c r="M1792" s="10" t="s">
        <v>91</v>
      </c>
      <c r="N1792" s="10" t="s">
        <v>92</v>
      </c>
      <c r="O1792" s="10"/>
      <c r="P1792" s="10"/>
      <c r="Q1792" s="10"/>
      <c r="R1792" s="10"/>
      <c r="S1792" s="10"/>
      <c r="T1792" s="10"/>
      <c r="U1792" s="10" t="s">
        <v>12513</v>
      </c>
      <c r="V1792" s="10" t="s">
        <v>3230</v>
      </c>
      <c r="W1792" s="10" t="s">
        <v>7848</v>
      </c>
      <c r="X1792" s="10" t="s">
        <v>130</v>
      </c>
      <c r="Y1792" s="10" t="s">
        <v>130</v>
      </c>
      <c r="Z1792" s="10" t="s">
        <v>99</v>
      </c>
      <c r="AA1792" s="10" t="s">
        <v>131</v>
      </c>
      <c r="AB1792" s="10" t="s">
        <v>7849</v>
      </c>
      <c r="AC1792" s="10" t="s">
        <v>3571</v>
      </c>
      <c r="AD1792" s="10" t="s">
        <v>13554</v>
      </c>
      <c r="AE1792" s="10" t="s">
        <v>13555</v>
      </c>
      <c r="AF1792" s="15"/>
      <c r="AG1792" s="10"/>
      <c r="AH1792" s="10"/>
      <c r="AI1792" s="10"/>
      <c r="AJ1792" s="10"/>
      <c r="AK1792" s="10"/>
      <c r="AL1792" s="10" t="s">
        <v>7897</v>
      </c>
      <c r="AM1792" s="10"/>
      <c r="AN1792" s="10"/>
      <c r="AO1792" s="13" t="b">
        <v>0</v>
      </c>
      <c r="AP1792" s="10" t="s">
        <v>104</v>
      </c>
      <c r="AQ1792" s="10"/>
      <c r="AR1792" s="17"/>
      <c r="AS1792" s="17"/>
      <c r="AT1792" s="17"/>
      <c r="AU1792" s="17"/>
      <c r="AV1792" s="17"/>
      <c r="AW1792" s="10"/>
      <c r="AX1792" s="17"/>
      <c r="AY1792" s="18" t="s">
        <v>257</v>
      </c>
      <c r="AZ1792" s="10"/>
      <c r="BA1792" s="20" t="b">
        <v>0</v>
      </c>
      <c r="BB1792" s="10"/>
      <c r="BC1792" s="17" t="s">
        <v>257</v>
      </c>
      <c r="BD1792" s="17" t="s">
        <v>257</v>
      </c>
      <c r="BE1792" s="17" t="s">
        <v>257</v>
      </c>
      <c r="BF1792" s="17" t="s">
        <v>257</v>
      </c>
      <c r="BG1792" s="11">
        <f ca="1">IFERROR(__xludf.DUMMYFUNCTION("""COMPUTED_VALUE"""),46052.125)</f>
        <v>46052.125</v>
      </c>
      <c r="BH1792" s="17"/>
      <c r="BI1792" s="17"/>
      <c r="BJ1792" s="15"/>
      <c r="BK1792" s="15"/>
      <c r="BL1792" s="13" t="b">
        <v>0</v>
      </c>
      <c r="BM1792" s="10"/>
      <c r="BN1792" s="10" t="s">
        <v>223</v>
      </c>
      <c r="BO1792" s="11">
        <v>45904.305474537039</v>
      </c>
      <c r="BP1792" s="11">
        <v>45904.305474537039</v>
      </c>
      <c r="BQ1792" s="15"/>
      <c r="BR1792" s="15"/>
      <c r="BS1792" s="10"/>
      <c r="BT1792" s="10"/>
      <c r="BU1792" s="10"/>
      <c r="BV1792" s="10"/>
      <c r="BW1792" s="10"/>
      <c r="BX1792" s="10"/>
      <c r="BY1792" s="23"/>
      <c r="BZ1792" s="23"/>
      <c r="CA1792" s="23"/>
      <c r="CB1792" s="23"/>
      <c r="CC1792" s="23"/>
      <c r="CD1792" s="23"/>
      <c r="CE1792" s="23"/>
      <c r="CF1792" s="23"/>
      <c r="CG1792" s="23"/>
      <c r="CH1792" s="23"/>
      <c r="CI1792" s="23"/>
    </row>
    <row r="1793" spans="1:87" x14ac:dyDescent="0.3">
      <c r="A1793" s="9" t="s">
        <v>13556</v>
      </c>
      <c r="B1793" s="10" t="s">
        <v>13557</v>
      </c>
      <c r="C1793" s="11">
        <v>46052.125</v>
      </c>
      <c r="D1793" s="12">
        <v>8.3333333333333329E-2</v>
      </c>
      <c r="E1793" s="11">
        <v>46052.208333333336</v>
      </c>
      <c r="F1793" s="10" t="s">
        <v>7843</v>
      </c>
      <c r="G1793" s="13" t="b">
        <v>0</v>
      </c>
      <c r="H1793" s="10"/>
      <c r="I1793" s="10" t="s">
        <v>89</v>
      </c>
      <c r="J1793" s="13" t="b">
        <v>0</v>
      </c>
      <c r="K1793" s="13" t="b">
        <v>1</v>
      </c>
      <c r="L1793" s="10" t="s">
        <v>124</v>
      </c>
      <c r="M1793" s="10" t="s">
        <v>91</v>
      </c>
      <c r="N1793" s="10" t="s">
        <v>92</v>
      </c>
      <c r="O1793" s="10"/>
      <c r="P1793" s="10"/>
      <c r="Q1793" s="10"/>
      <c r="R1793" s="10"/>
      <c r="S1793" s="10"/>
      <c r="T1793" s="10"/>
      <c r="U1793" s="10" t="s">
        <v>12596</v>
      </c>
      <c r="V1793" s="10" t="s">
        <v>12549</v>
      </c>
      <c r="W1793" s="10" t="s">
        <v>7848</v>
      </c>
      <c r="X1793" s="10" t="s">
        <v>130</v>
      </c>
      <c r="Y1793" s="10" t="s">
        <v>130</v>
      </c>
      <c r="Z1793" s="10" t="s">
        <v>99</v>
      </c>
      <c r="AA1793" s="10" t="s">
        <v>131</v>
      </c>
      <c r="AB1793" s="10" t="s">
        <v>7849</v>
      </c>
      <c r="AC1793" s="10" t="s">
        <v>3571</v>
      </c>
      <c r="AD1793" s="10" t="s">
        <v>13558</v>
      </c>
      <c r="AE1793" s="10" t="s">
        <v>13559</v>
      </c>
      <c r="AF1793" s="15"/>
      <c r="AG1793" s="10"/>
      <c r="AH1793" s="10"/>
      <c r="AI1793" s="10"/>
      <c r="AJ1793" s="10"/>
      <c r="AK1793" s="10"/>
      <c r="AL1793" s="10" t="s">
        <v>7897</v>
      </c>
      <c r="AM1793" s="10"/>
      <c r="AN1793" s="10"/>
      <c r="AO1793" s="13" t="b">
        <v>1</v>
      </c>
      <c r="AP1793" s="10" t="s">
        <v>104</v>
      </c>
      <c r="AQ1793" s="10"/>
      <c r="AR1793" s="17"/>
      <c r="AS1793" s="17"/>
      <c r="AT1793" s="17"/>
      <c r="AU1793" s="17"/>
      <c r="AV1793" s="17"/>
      <c r="AW1793" s="10"/>
      <c r="AX1793" s="17"/>
      <c r="AY1793" s="18" t="s">
        <v>257</v>
      </c>
      <c r="AZ1793" s="10"/>
      <c r="BA1793" s="20" t="b">
        <v>0</v>
      </c>
      <c r="BB1793" s="10"/>
      <c r="BC1793" s="17" t="s">
        <v>257</v>
      </c>
      <c r="BD1793" s="17" t="s">
        <v>257</v>
      </c>
      <c r="BE1793" s="17" t="s">
        <v>257</v>
      </c>
      <c r="BF1793" s="17" t="s">
        <v>257</v>
      </c>
      <c r="BG1793" s="11">
        <f ca="1">IFERROR(__xludf.DUMMYFUNCTION("""COMPUTED_VALUE"""),46052.125)</f>
        <v>46052.125</v>
      </c>
      <c r="BH1793" s="17"/>
      <c r="BI1793" s="17"/>
      <c r="BJ1793" s="15"/>
      <c r="BK1793" s="15"/>
      <c r="BL1793" s="13" t="b">
        <v>0</v>
      </c>
      <c r="BM1793" s="10"/>
      <c r="BN1793" s="10" t="s">
        <v>223</v>
      </c>
      <c r="BO1793" s="11">
        <v>45904.305474537039</v>
      </c>
      <c r="BP1793" s="11">
        <v>45904.305474537039</v>
      </c>
      <c r="BQ1793" s="15"/>
      <c r="BR1793" s="15"/>
      <c r="BS1793" s="10"/>
      <c r="BT1793" s="10"/>
      <c r="BU1793" s="10"/>
      <c r="BV1793" s="10"/>
      <c r="BW1793" s="10"/>
      <c r="BX1793" s="10"/>
      <c r="BY1793" s="23"/>
      <c r="BZ1793" s="23"/>
      <c r="CA1793" s="23"/>
      <c r="CB1793" s="23"/>
      <c r="CC1793" s="23"/>
      <c r="CD1793" s="23"/>
      <c r="CE1793" s="23"/>
      <c r="CF1793" s="23"/>
      <c r="CG1793" s="23"/>
      <c r="CH1793" s="23"/>
      <c r="CI1793" s="23"/>
    </row>
    <row r="1794" spans="1:87" x14ac:dyDescent="0.3">
      <c r="A1794" s="9" t="s">
        <v>13560</v>
      </c>
      <c r="B1794" s="10" t="s">
        <v>13561</v>
      </c>
      <c r="C1794" s="11">
        <v>46052.125</v>
      </c>
      <c r="D1794" s="12">
        <v>8.3333333333333329E-2</v>
      </c>
      <c r="E1794" s="11">
        <v>46052.208333333336</v>
      </c>
      <c r="F1794" s="10" t="s">
        <v>7843</v>
      </c>
      <c r="G1794" s="13" t="b">
        <v>0</v>
      </c>
      <c r="H1794" s="10"/>
      <c r="I1794" s="10" t="s">
        <v>89</v>
      </c>
      <c r="J1794" s="13" t="b">
        <v>0</v>
      </c>
      <c r="K1794" s="13" t="b">
        <v>1</v>
      </c>
      <c r="L1794" s="10" t="s">
        <v>124</v>
      </c>
      <c r="M1794" s="10" t="s">
        <v>91</v>
      </c>
      <c r="N1794" s="10" t="s">
        <v>92</v>
      </c>
      <c r="O1794" s="10"/>
      <c r="P1794" s="10"/>
      <c r="Q1794" s="10"/>
      <c r="R1794" s="10"/>
      <c r="S1794" s="10"/>
      <c r="T1794" s="10"/>
      <c r="U1794" s="10" t="s">
        <v>8555</v>
      </c>
      <c r="V1794" s="10" t="s">
        <v>8944</v>
      </c>
      <c r="W1794" s="10" t="s">
        <v>7848</v>
      </c>
      <c r="X1794" s="10" t="s">
        <v>130</v>
      </c>
      <c r="Y1794" s="10" t="s">
        <v>130</v>
      </c>
      <c r="Z1794" s="10" t="s">
        <v>99</v>
      </c>
      <c r="AA1794" s="10" t="s">
        <v>131</v>
      </c>
      <c r="AB1794" s="10" t="s">
        <v>7849</v>
      </c>
      <c r="AC1794" s="10" t="s">
        <v>3571</v>
      </c>
      <c r="AD1794" s="10" t="s">
        <v>13562</v>
      </c>
      <c r="AE1794" s="10" t="s">
        <v>13563</v>
      </c>
      <c r="AF1794" s="15"/>
      <c r="AG1794" s="10"/>
      <c r="AH1794" s="10"/>
      <c r="AI1794" s="10"/>
      <c r="AJ1794" s="10"/>
      <c r="AK1794" s="10"/>
      <c r="AL1794" s="10" t="s">
        <v>7897</v>
      </c>
      <c r="AM1794" s="10"/>
      <c r="AN1794" s="10"/>
      <c r="AO1794" s="13" t="b">
        <v>0</v>
      </c>
      <c r="AP1794" s="10" t="s">
        <v>104</v>
      </c>
      <c r="AQ1794" s="10"/>
      <c r="AR1794" s="17"/>
      <c r="AS1794" s="17"/>
      <c r="AT1794" s="17"/>
      <c r="AU1794" s="17"/>
      <c r="AV1794" s="17"/>
      <c r="AW1794" s="10"/>
      <c r="AX1794" s="17"/>
      <c r="AY1794" s="18" t="s">
        <v>257</v>
      </c>
      <c r="AZ1794" s="10"/>
      <c r="BA1794" s="20" t="b">
        <v>0</v>
      </c>
      <c r="BB1794" s="10"/>
      <c r="BC1794" s="17" t="s">
        <v>257</v>
      </c>
      <c r="BD1794" s="17" t="s">
        <v>257</v>
      </c>
      <c r="BE1794" s="17" t="s">
        <v>257</v>
      </c>
      <c r="BF1794" s="17" t="s">
        <v>257</v>
      </c>
      <c r="BG1794" s="11">
        <f ca="1">IFERROR(__xludf.DUMMYFUNCTION("""COMPUTED_VALUE"""),46052.125)</f>
        <v>46052.125</v>
      </c>
      <c r="BH1794" s="17"/>
      <c r="BI1794" s="17"/>
      <c r="BJ1794" s="15"/>
      <c r="BK1794" s="15"/>
      <c r="BL1794" s="13" t="b">
        <v>0</v>
      </c>
      <c r="BM1794" s="10"/>
      <c r="BN1794" s="10" t="s">
        <v>223</v>
      </c>
      <c r="BO1794" s="11">
        <v>45904.305474537039</v>
      </c>
      <c r="BP1794" s="11">
        <v>45904.305474537039</v>
      </c>
      <c r="BQ1794" s="15"/>
      <c r="BR1794" s="15"/>
      <c r="BS1794" s="10"/>
      <c r="BT1794" s="10"/>
      <c r="BU1794" s="10"/>
      <c r="BV1794" s="10"/>
      <c r="BW1794" s="10"/>
      <c r="BX1794" s="10"/>
      <c r="BY1794" s="23"/>
      <c r="BZ1794" s="23"/>
      <c r="CA1794" s="23"/>
      <c r="CB1794" s="23"/>
      <c r="CC1794" s="23"/>
      <c r="CD1794" s="23"/>
      <c r="CE1794" s="23"/>
      <c r="CF1794" s="23"/>
      <c r="CG1794" s="23"/>
      <c r="CH1794" s="23"/>
      <c r="CI1794" s="23"/>
    </row>
    <row r="1795" spans="1:87" x14ac:dyDescent="0.3">
      <c r="A1795" s="9" t="s">
        <v>13564</v>
      </c>
      <c r="B1795" s="10" t="s">
        <v>13565</v>
      </c>
      <c r="C1795" s="11">
        <v>46052.125</v>
      </c>
      <c r="D1795" s="12">
        <v>8.3333333333333329E-2</v>
      </c>
      <c r="E1795" s="11">
        <v>46052.208333333336</v>
      </c>
      <c r="F1795" s="10" t="s">
        <v>7843</v>
      </c>
      <c r="G1795" s="13" t="b">
        <v>0</v>
      </c>
      <c r="H1795" s="10"/>
      <c r="I1795" s="10" t="s">
        <v>89</v>
      </c>
      <c r="J1795" s="13" t="b">
        <v>0</v>
      </c>
      <c r="K1795" s="13" t="b">
        <v>1</v>
      </c>
      <c r="L1795" s="10" t="s">
        <v>124</v>
      </c>
      <c r="M1795" s="10" t="s">
        <v>91</v>
      </c>
      <c r="N1795" s="10" t="s">
        <v>92</v>
      </c>
      <c r="O1795" s="10"/>
      <c r="P1795" s="10"/>
      <c r="Q1795" s="10"/>
      <c r="R1795" s="10"/>
      <c r="S1795" s="10"/>
      <c r="T1795" s="10"/>
      <c r="U1795" s="10" t="s">
        <v>292</v>
      </c>
      <c r="V1795" s="10" t="s">
        <v>7829</v>
      </c>
      <c r="W1795" s="10" t="s">
        <v>7848</v>
      </c>
      <c r="X1795" s="10" t="s">
        <v>130</v>
      </c>
      <c r="Y1795" s="10" t="s">
        <v>130</v>
      </c>
      <c r="Z1795" s="10" t="s">
        <v>99</v>
      </c>
      <c r="AA1795" s="10" t="s">
        <v>131</v>
      </c>
      <c r="AB1795" s="10" t="s">
        <v>7849</v>
      </c>
      <c r="AC1795" s="10" t="s">
        <v>3571</v>
      </c>
      <c r="AD1795" s="10" t="s">
        <v>13566</v>
      </c>
      <c r="AE1795" s="10" t="s">
        <v>13567</v>
      </c>
      <c r="AF1795" s="15"/>
      <c r="AG1795" s="10"/>
      <c r="AH1795" s="10"/>
      <c r="AI1795" s="10"/>
      <c r="AJ1795" s="10"/>
      <c r="AK1795" s="10"/>
      <c r="AL1795" s="10" t="s">
        <v>7897</v>
      </c>
      <c r="AM1795" s="10"/>
      <c r="AN1795" s="10"/>
      <c r="AO1795" s="13" t="b">
        <v>0</v>
      </c>
      <c r="AP1795" s="10" t="s">
        <v>104</v>
      </c>
      <c r="AQ1795" s="10"/>
      <c r="AR1795" s="17"/>
      <c r="AS1795" s="17"/>
      <c r="AT1795" s="17"/>
      <c r="AU1795" s="17"/>
      <c r="AV1795" s="17"/>
      <c r="AW1795" s="10"/>
      <c r="AX1795" s="17"/>
      <c r="AY1795" s="18" t="s">
        <v>257</v>
      </c>
      <c r="AZ1795" s="10"/>
      <c r="BA1795" s="20" t="b">
        <v>0</v>
      </c>
      <c r="BB1795" s="10"/>
      <c r="BC1795" s="17" t="s">
        <v>257</v>
      </c>
      <c r="BD1795" s="17" t="s">
        <v>257</v>
      </c>
      <c r="BE1795" s="17" t="s">
        <v>257</v>
      </c>
      <c r="BF1795" s="17" t="s">
        <v>257</v>
      </c>
      <c r="BG1795" s="11">
        <f ca="1">IFERROR(__xludf.DUMMYFUNCTION("""COMPUTED_VALUE"""),46052.125)</f>
        <v>46052.125</v>
      </c>
      <c r="BH1795" s="17"/>
      <c r="BI1795" s="17"/>
      <c r="BJ1795" s="15"/>
      <c r="BK1795" s="15"/>
      <c r="BL1795" s="13" t="b">
        <v>0</v>
      </c>
      <c r="BM1795" s="10"/>
      <c r="BN1795" s="10" t="s">
        <v>223</v>
      </c>
      <c r="BO1795" s="11">
        <v>45904.305474537039</v>
      </c>
      <c r="BP1795" s="11">
        <v>45904.305474537039</v>
      </c>
      <c r="BQ1795" s="15"/>
      <c r="BR1795" s="15"/>
      <c r="BS1795" s="10"/>
      <c r="BT1795" s="10"/>
      <c r="BU1795" s="10"/>
      <c r="BV1795" s="10"/>
      <c r="BW1795" s="10"/>
      <c r="BX1795" s="10"/>
      <c r="BY1795" s="23"/>
      <c r="BZ1795" s="23"/>
      <c r="CA1795" s="23"/>
      <c r="CB1795" s="23"/>
      <c r="CC1795" s="23"/>
      <c r="CD1795" s="23"/>
      <c r="CE1795" s="23"/>
      <c r="CF1795" s="23"/>
      <c r="CG1795" s="23"/>
      <c r="CH1795" s="23"/>
      <c r="CI1795" s="23"/>
    </row>
    <row r="1796" spans="1:87" x14ac:dyDescent="0.3">
      <c r="A1796" s="9" t="s">
        <v>13568</v>
      </c>
      <c r="B1796" s="10" t="s">
        <v>13569</v>
      </c>
      <c r="C1796" s="11">
        <v>46052.125</v>
      </c>
      <c r="D1796" s="12">
        <v>8.3333333333333329E-2</v>
      </c>
      <c r="E1796" s="11">
        <v>46052.208333333336</v>
      </c>
      <c r="F1796" s="10" t="s">
        <v>7843</v>
      </c>
      <c r="G1796" s="13" t="b">
        <v>0</v>
      </c>
      <c r="H1796" s="10"/>
      <c r="I1796" s="10" t="s">
        <v>89</v>
      </c>
      <c r="J1796" s="13" t="b">
        <v>0</v>
      </c>
      <c r="K1796" s="13" t="b">
        <v>1</v>
      </c>
      <c r="L1796" s="10" t="s">
        <v>124</v>
      </c>
      <c r="M1796" s="10" t="s">
        <v>91</v>
      </c>
      <c r="N1796" s="10" t="s">
        <v>92</v>
      </c>
      <c r="O1796" s="10"/>
      <c r="P1796" s="10"/>
      <c r="Q1796" s="10"/>
      <c r="R1796" s="10"/>
      <c r="S1796" s="10"/>
      <c r="T1796" s="10"/>
      <c r="U1796" s="10" t="s">
        <v>12663</v>
      </c>
      <c r="V1796" s="10" t="s">
        <v>3229</v>
      </c>
      <c r="W1796" s="10" t="s">
        <v>7848</v>
      </c>
      <c r="X1796" s="10" t="s">
        <v>130</v>
      </c>
      <c r="Y1796" s="10" t="s">
        <v>130</v>
      </c>
      <c r="Z1796" s="10" t="s">
        <v>99</v>
      </c>
      <c r="AA1796" s="10" t="s">
        <v>131</v>
      </c>
      <c r="AB1796" s="10" t="s">
        <v>7849</v>
      </c>
      <c r="AC1796" s="10" t="s">
        <v>3571</v>
      </c>
      <c r="AD1796" s="10" t="s">
        <v>13570</v>
      </c>
      <c r="AE1796" s="10" t="s">
        <v>13571</v>
      </c>
      <c r="AF1796" s="15"/>
      <c r="AG1796" s="10"/>
      <c r="AH1796" s="10"/>
      <c r="AI1796" s="10"/>
      <c r="AJ1796" s="10"/>
      <c r="AK1796" s="10"/>
      <c r="AL1796" s="10" t="s">
        <v>7897</v>
      </c>
      <c r="AM1796" s="10"/>
      <c r="AN1796" s="10"/>
      <c r="AO1796" s="13" t="b">
        <v>1</v>
      </c>
      <c r="AP1796" s="10" t="s">
        <v>104</v>
      </c>
      <c r="AQ1796" s="10"/>
      <c r="AR1796" s="17"/>
      <c r="AS1796" s="17"/>
      <c r="AT1796" s="17"/>
      <c r="AU1796" s="17"/>
      <c r="AV1796" s="17"/>
      <c r="AW1796" s="10"/>
      <c r="AX1796" s="17"/>
      <c r="AY1796" s="18" t="s">
        <v>257</v>
      </c>
      <c r="AZ1796" s="10"/>
      <c r="BA1796" s="20" t="b">
        <v>0</v>
      </c>
      <c r="BB1796" s="10"/>
      <c r="BC1796" s="17" t="s">
        <v>257</v>
      </c>
      <c r="BD1796" s="17" t="s">
        <v>257</v>
      </c>
      <c r="BE1796" s="17" t="s">
        <v>257</v>
      </c>
      <c r="BF1796" s="17" t="s">
        <v>257</v>
      </c>
      <c r="BG1796" s="11">
        <f ca="1">IFERROR(__xludf.DUMMYFUNCTION("""COMPUTED_VALUE"""),46052.125)</f>
        <v>46052.125</v>
      </c>
      <c r="BH1796" s="17"/>
      <c r="BI1796" s="17"/>
      <c r="BJ1796" s="15"/>
      <c r="BK1796" s="15"/>
      <c r="BL1796" s="13" t="b">
        <v>0</v>
      </c>
      <c r="BM1796" s="10"/>
      <c r="BN1796" s="10" t="s">
        <v>223</v>
      </c>
      <c r="BO1796" s="11">
        <v>45904.305474537039</v>
      </c>
      <c r="BP1796" s="11">
        <v>45904.305474537039</v>
      </c>
      <c r="BQ1796" s="15"/>
      <c r="BR1796" s="15"/>
      <c r="BS1796" s="10"/>
      <c r="BT1796" s="10"/>
      <c r="BU1796" s="10"/>
      <c r="BV1796" s="10"/>
      <c r="BW1796" s="10"/>
      <c r="BX1796" s="10"/>
      <c r="BY1796" s="23"/>
      <c r="BZ1796" s="23"/>
      <c r="CA1796" s="23"/>
      <c r="CB1796" s="23"/>
      <c r="CC1796" s="23"/>
      <c r="CD1796" s="23"/>
      <c r="CE1796" s="23"/>
      <c r="CF1796" s="23"/>
      <c r="CG1796" s="23"/>
      <c r="CH1796" s="23"/>
      <c r="CI1796" s="23"/>
    </row>
    <row r="1797" spans="1:87" x14ac:dyDescent="0.3">
      <c r="A1797" s="9" t="s">
        <v>13572</v>
      </c>
      <c r="B1797" s="10" t="s">
        <v>13573</v>
      </c>
      <c r="C1797" s="11">
        <v>46052.125</v>
      </c>
      <c r="D1797" s="12">
        <v>8.3333333333333329E-2</v>
      </c>
      <c r="E1797" s="11">
        <v>46052.208333333336</v>
      </c>
      <c r="F1797" s="10" t="s">
        <v>7843</v>
      </c>
      <c r="G1797" s="13" t="b">
        <v>0</v>
      </c>
      <c r="H1797" s="10"/>
      <c r="I1797" s="10" t="s">
        <v>89</v>
      </c>
      <c r="J1797" s="13" t="b">
        <v>0</v>
      </c>
      <c r="K1797" s="13" t="b">
        <v>1</v>
      </c>
      <c r="L1797" s="10" t="s">
        <v>124</v>
      </c>
      <c r="M1797" s="10" t="s">
        <v>91</v>
      </c>
      <c r="N1797" s="10" t="s">
        <v>92</v>
      </c>
      <c r="O1797" s="10"/>
      <c r="P1797" s="10"/>
      <c r="Q1797" s="10"/>
      <c r="R1797" s="10"/>
      <c r="S1797" s="10"/>
      <c r="T1797" s="10"/>
      <c r="U1797" s="10" t="s">
        <v>12550</v>
      </c>
      <c r="V1797" s="10" t="s">
        <v>7837</v>
      </c>
      <c r="W1797" s="10" t="s">
        <v>7848</v>
      </c>
      <c r="X1797" s="10" t="s">
        <v>130</v>
      </c>
      <c r="Y1797" s="10" t="s">
        <v>130</v>
      </c>
      <c r="Z1797" s="10" t="s">
        <v>99</v>
      </c>
      <c r="AA1797" s="10" t="s">
        <v>131</v>
      </c>
      <c r="AB1797" s="10" t="s">
        <v>7849</v>
      </c>
      <c r="AC1797" s="10" t="s">
        <v>3571</v>
      </c>
      <c r="AD1797" s="10" t="s">
        <v>13574</v>
      </c>
      <c r="AE1797" s="10" t="s">
        <v>13575</v>
      </c>
      <c r="AF1797" s="15"/>
      <c r="AG1797" s="10"/>
      <c r="AH1797" s="10"/>
      <c r="AI1797" s="10"/>
      <c r="AJ1797" s="10"/>
      <c r="AK1797" s="10"/>
      <c r="AL1797" s="10" t="s">
        <v>7897</v>
      </c>
      <c r="AM1797" s="10"/>
      <c r="AN1797" s="10"/>
      <c r="AO1797" s="13" t="b">
        <v>0</v>
      </c>
      <c r="AP1797" s="10" t="s">
        <v>104</v>
      </c>
      <c r="AQ1797" s="10"/>
      <c r="AR1797" s="17"/>
      <c r="AS1797" s="17"/>
      <c r="AT1797" s="17"/>
      <c r="AU1797" s="17"/>
      <c r="AV1797" s="17"/>
      <c r="AW1797" s="10"/>
      <c r="AX1797" s="17"/>
      <c r="AY1797" s="18" t="s">
        <v>257</v>
      </c>
      <c r="AZ1797" s="10"/>
      <c r="BA1797" s="20" t="b">
        <v>0</v>
      </c>
      <c r="BB1797" s="10"/>
      <c r="BC1797" s="17" t="s">
        <v>257</v>
      </c>
      <c r="BD1797" s="17" t="s">
        <v>257</v>
      </c>
      <c r="BE1797" s="17" t="s">
        <v>257</v>
      </c>
      <c r="BF1797" s="17" t="s">
        <v>257</v>
      </c>
      <c r="BG1797" s="11">
        <f ca="1">IFERROR(__xludf.DUMMYFUNCTION("""COMPUTED_VALUE"""),46052.125)</f>
        <v>46052.125</v>
      </c>
      <c r="BH1797" s="17"/>
      <c r="BI1797" s="17"/>
      <c r="BJ1797" s="15"/>
      <c r="BK1797" s="15"/>
      <c r="BL1797" s="13" t="b">
        <v>0</v>
      </c>
      <c r="BM1797" s="10"/>
      <c r="BN1797" s="10" t="s">
        <v>223</v>
      </c>
      <c r="BO1797" s="11">
        <v>45904.305474537039</v>
      </c>
      <c r="BP1797" s="11">
        <v>45904.305474537039</v>
      </c>
      <c r="BQ1797" s="15"/>
      <c r="BR1797" s="15"/>
      <c r="BS1797" s="10"/>
      <c r="BT1797" s="10"/>
      <c r="BU1797" s="10"/>
      <c r="BV1797" s="10"/>
      <c r="BW1797" s="10"/>
      <c r="BX1797" s="10"/>
      <c r="BY1797" s="23"/>
      <c r="BZ1797" s="23"/>
      <c r="CA1797" s="23"/>
      <c r="CB1797" s="23"/>
      <c r="CC1797" s="23"/>
      <c r="CD1797" s="23"/>
      <c r="CE1797" s="23"/>
      <c r="CF1797" s="23"/>
      <c r="CG1797" s="23"/>
      <c r="CH1797" s="23"/>
      <c r="CI1797" s="23"/>
    </row>
    <row r="1798" spans="1:87" x14ac:dyDescent="0.3">
      <c r="A1798" s="9" t="s">
        <v>13576</v>
      </c>
      <c r="B1798" s="10" t="s">
        <v>13577</v>
      </c>
      <c r="C1798" s="11">
        <v>46052.125</v>
      </c>
      <c r="D1798" s="12">
        <v>8.3333333333333329E-2</v>
      </c>
      <c r="E1798" s="11">
        <v>46052.208333333336</v>
      </c>
      <c r="F1798" s="10" t="s">
        <v>7843</v>
      </c>
      <c r="G1798" s="13" t="b">
        <v>0</v>
      </c>
      <c r="H1798" s="10"/>
      <c r="I1798" s="10" t="s">
        <v>89</v>
      </c>
      <c r="J1798" s="13" t="b">
        <v>0</v>
      </c>
      <c r="K1798" s="13" t="b">
        <v>1</v>
      </c>
      <c r="L1798" s="10" t="s">
        <v>124</v>
      </c>
      <c r="M1798" s="10" t="s">
        <v>91</v>
      </c>
      <c r="N1798" s="10" t="s">
        <v>92</v>
      </c>
      <c r="O1798" s="10"/>
      <c r="P1798" s="10"/>
      <c r="Q1798" s="10"/>
      <c r="R1798" s="10"/>
      <c r="S1798" s="10"/>
      <c r="T1798" s="10"/>
      <c r="U1798" s="10" t="s">
        <v>12585</v>
      </c>
      <c r="V1798" s="10" t="s">
        <v>3581</v>
      </c>
      <c r="W1798" s="10" t="s">
        <v>7848</v>
      </c>
      <c r="X1798" s="10" t="s">
        <v>130</v>
      </c>
      <c r="Y1798" s="10" t="s">
        <v>130</v>
      </c>
      <c r="Z1798" s="10" t="s">
        <v>99</v>
      </c>
      <c r="AA1798" s="10" t="s">
        <v>131</v>
      </c>
      <c r="AB1798" s="10" t="s">
        <v>7849</v>
      </c>
      <c r="AC1798" s="10" t="s">
        <v>3571</v>
      </c>
      <c r="AD1798" s="10" t="s">
        <v>13578</v>
      </c>
      <c r="AE1798" s="10" t="s">
        <v>13579</v>
      </c>
      <c r="AF1798" s="15"/>
      <c r="AG1798" s="10"/>
      <c r="AH1798" s="10"/>
      <c r="AI1798" s="10"/>
      <c r="AJ1798" s="10"/>
      <c r="AK1798" s="10"/>
      <c r="AL1798" s="10" t="s">
        <v>7897</v>
      </c>
      <c r="AM1798" s="10"/>
      <c r="AN1798" s="10"/>
      <c r="AO1798" s="13" t="b">
        <v>0</v>
      </c>
      <c r="AP1798" s="10" t="s">
        <v>104</v>
      </c>
      <c r="AQ1798" s="10"/>
      <c r="AR1798" s="17"/>
      <c r="AS1798" s="17"/>
      <c r="AT1798" s="17"/>
      <c r="AU1798" s="17"/>
      <c r="AV1798" s="17"/>
      <c r="AW1798" s="10"/>
      <c r="AX1798" s="17"/>
      <c r="AY1798" s="18" t="s">
        <v>257</v>
      </c>
      <c r="AZ1798" s="10"/>
      <c r="BA1798" s="20" t="b">
        <v>0</v>
      </c>
      <c r="BB1798" s="10"/>
      <c r="BC1798" s="17" t="s">
        <v>257</v>
      </c>
      <c r="BD1798" s="17" t="s">
        <v>257</v>
      </c>
      <c r="BE1798" s="17" t="s">
        <v>257</v>
      </c>
      <c r="BF1798" s="17" t="s">
        <v>257</v>
      </c>
      <c r="BG1798" s="11">
        <f ca="1">IFERROR(__xludf.DUMMYFUNCTION("""COMPUTED_VALUE"""),46052.125)</f>
        <v>46052.125</v>
      </c>
      <c r="BH1798" s="17"/>
      <c r="BI1798" s="17"/>
      <c r="BJ1798" s="15"/>
      <c r="BK1798" s="15"/>
      <c r="BL1798" s="13" t="b">
        <v>0</v>
      </c>
      <c r="BM1798" s="10"/>
      <c r="BN1798" s="10" t="s">
        <v>223</v>
      </c>
      <c r="BO1798" s="11">
        <v>45904.305474537039</v>
      </c>
      <c r="BP1798" s="11">
        <v>45904.305474537039</v>
      </c>
      <c r="BQ1798" s="15"/>
      <c r="BR1798" s="15"/>
      <c r="BS1798" s="10"/>
      <c r="BT1798" s="10"/>
      <c r="BU1798" s="10"/>
      <c r="BV1798" s="10"/>
      <c r="BW1798" s="10"/>
      <c r="BX1798" s="10"/>
      <c r="BY1798" s="23"/>
      <c r="BZ1798" s="23"/>
      <c r="CA1798" s="23"/>
      <c r="CB1798" s="23"/>
      <c r="CC1798" s="23"/>
      <c r="CD1798" s="23"/>
      <c r="CE1798" s="23"/>
      <c r="CF1798" s="23"/>
      <c r="CG1798" s="23"/>
      <c r="CH1798" s="23"/>
      <c r="CI1798" s="23"/>
    </row>
    <row r="1799" spans="1:87" x14ac:dyDescent="0.3">
      <c r="A1799" s="9" t="s">
        <v>13580</v>
      </c>
      <c r="B1799" s="10" t="s">
        <v>13581</v>
      </c>
      <c r="C1799" s="11">
        <v>46052.125</v>
      </c>
      <c r="D1799" s="12">
        <v>8.3333333333333329E-2</v>
      </c>
      <c r="E1799" s="11">
        <v>46052.208333333336</v>
      </c>
      <c r="F1799" s="10" t="s">
        <v>7843</v>
      </c>
      <c r="G1799" s="13" t="b">
        <v>0</v>
      </c>
      <c r="H1799" s="10"/>
      <c r="I1799" s="10" t="s">
        <v>89</v>
      </c>
      <c r="J1799" s="13" t="b">
        <v>0</v>
      </c>
      <c r="K1799" s="13" t="b">
        <v>1</v>
      </c>
      <c r="L1799" s="10" t="s">
        <v>124</v>
      </c>
      <c r="M1799" s="10" t="s">
        <v>91</v>
      </c>
      <c r="N1799" s="10" t="s">
        <v>92</v>
      </c>
      <c r="O1799" s="10"/>
      <c r="P1799" s="10"/>
      <c r="Q1799" s="10"/>
      <c r="R1799" s="10"/>
      <c r="S1799" s="10"/>
      <c r="T1799" s="10"/>
      <c r="U1799" s="10" t="s">
        <v>12644</v>
      </c>
      <c r="V1799" s="10" t="s">
        <v>12522</v>
      </c>
      <c r="W1799" s="10" t="s">
        <v>7848</v>
      </c>
      <c r="X1799" s="10" t="s">
        <v>130</v>
      </c>
      <c r="Y1799" s="10" t="s">
        <v>130</v>
      </c>
      <c r="Z1799" s="10" t="s">
        <v>99</v>
      </c>
      <c r="AA1799" s="10" t="s">
        <v>131</v>
      </c>
      <c r="AB1799" s="10" t="s">
        <v>7849</v>
      </c>
      <c r="AC1799" s="10" t="s">
        <v>3571</v>
      </c>
      <c r="AD1799" s="10" t="s">
        <v>13582</v>
      </c>
      <c r="AE1799" s="10" t="s">
        <v>13583</v>
      </c>
      <c r="AF1799" s="15"/>
      <c r="AG1799" s="10"/>
      <c r="AH1799" s="10"/>
      <c r="AI1799" s="10"/>
      <c r="AJ1799" s="10"/>
      <c r="AK1799" s="10"/>
      <c r="AL1799" s="10" t="s">
        <v>7897</v>
      </c>
      <c r="AM1799" s="10"/>
      <c r="AN1799" s="10"/>
      <c r="AO1799" s="13" t="b">
        <v>0</v>
      </c>
      <c r="AP1799" s="10" t="s">
        <v>104</v>
      </c>
      <c r="AQ1799" s="10"/>
      <c r="AR1799" s="17"/>
      <c r="AS1799" s="17"/>
      <c r="AT1799" s="17"/>
      <c r="AU1799" s="17"/>
      <c r="AV1799" s="17"/>
      <c r="AW1799" s="10"/>
      <c r="AX1799" s="17"/>
      <c r="AY1799" s="18" t="s">
        <v>257</v>
      </c>
      <c r="AZ1799" s="10"/>
      <c r="BA1799" s="20" t="b">
        <v>0</v>
      </c>
      <c r="BB1799" s="10"/>
      <c r="BC1799" s="17" t="s">
        <v>257</v>
      </c>
      <c r="BD1799" s="17" t="s">
        <v>257</v>
      </c>
      <c r="BE1799" s="17" t="s">
        <v>257</v>
      </c>
      <c r="BF1799" s="17" t="s">
        <v>257</v>
      </c>
      <c r="BG1799" s="11">
        <f ca="1">IFERROR(__xludf.DUMMYFUNCTION("""COMPUTED_VALUE"""),46052.125)</f>
        <v>46052.125</v>
      </c>
      <c r="BH1799" s="17"/>
      <c r="BI1799" s="17"/>
      <c r="BJ1799" s="15"/>
      <c r="BK1799" s="15"/>
      <c r="BL1799" s="13" t="b">
        <v>0</v>
      </c>
      <c r="BM1799" s="10"/>
      <c r="BN1799" s="10" t="s">
        <v>223</v>
      </c>
      <c r="BO1799" s="11">
        <v>45904.305474537039</v>
      </c>
      <c r="BP1799" s="11">
        <v>45904.305474537039</v>
      </c>
      <c r="BQ1799" s="15"/>
      <c r="BR1799" s="15"/>
      <c r="BS1799" s="10"/>
      <c r="BT1799" s="10"/>
      <c r="BU1799" s="10"/>
      <c r="BV1799" s="10"/>
      <c r="BW1799" s="10"/>
      <c r="BX1799" s="10"/>
      <c r="BY1799" s="23"/>
      <c r="BZ1799" s="23"/>
      <c r="CA1799" s="23"/>
      <c r="CB1799" s="23"/>
      <c r="CC1799" s="23"/>
      <c r="CD1799" s="23"/>
      <c r="CE1799" s="23"/>
      <c r="CF1799" s="23"/>
      <c r="CG1799" s="23"/>
      <c r="CH1799" s="23"/>
      <c r="CI1799" s="23"/>
    </row>
    <row r="1800" spans="1:87" x14ac:dyDescent="0.3">
      <c r="A1800" s="9" t="s">
        <v>13584</v>
      </c>
      <c r="B1800" s="10" t="s">
        <v>13585</v>
      </c>
      <c r="C1800" s="11">
        <v>45917.083333333336</v>
      </c>
      <c r="D1800" s="12">
        <v>8.3333333333333329E-2</v>
      </c>
      <c r="E1800" s="11">
        <v>45917.166666666664</v>
      </c>
      <c r="F1800" s="10" t="s">
        <v>7877</v>
      </c>
      <c r="G1800" s="13" t="b">
        <v>0</v>
      </c>
      <c r="H1800" s="10" t="s">
        <v>3478</v>
      </c>
      <c r="I1800" s="10" t="s">
        <v>89</v>
      </c>
      <c r="J1800" s="13" t="b">
        <v>0</v>
      </c>
      <c r="K1800" s="13" t="b">
        <v>1</v>
      </c>
      <c r="L1800" s="10" t="s">
        <v>124</v>
      </c>
      <c r="M1800" s="10" t="s">
        <v>91</v>
      </c>
      <c r="N1800" s="10" t="s">
        <v>92</v>
      </c>
      <c r="O1800" s="19" t="s">
        <v>13586</v>
      </c>
      <c r="P1800" s="10"/>
      <c r="Q1800" s="10" t="s">
        <v>126</v>
      </c>
      <c r="R1800" s="10"/>
      <c r="S1800" s="19" t="s">
        <v>13587</v>
      </c>
      <c r="T1800" s="19" t="s">
        <v>13588</v>
      </c>
      <c r="U1800" s="10" t="s">
        <v>347</v>
      </c>
      <c r="V1800" s="10" t="s">
        <v>8716</v>
      </c>
      <c r="W1800" s="10" t="s">
        <v>7883</v>
      </c>
      <c r="X1800" s="10" t="s">
        <v>130</v>
      </c>
      <c r="Y1800" s="10" t="s">
        <v>130</v>
      </c>
      <c r="Z1800" s="10" t="s">
        <v>99</v>
      </c>
      <c r="AA1800" s="10" t="s">
        <v>131</v>
      </c>
      <c r="AB1800" s="10" t="s">
        <v>7884</v>
      </c>
      <c r="AC1800" s="10" t="s">
        <v>7885</v>
      </c>
      <c r="AD1800" s="10" t="s">
        <v>13589</v>
      </c>
      <c r="AE1800" s="10" t="s">
        <v>13590</v>
      </c>
      <c r="AF1800" s="15"/>
      <c r="AG1800" s="10"/>
      <c r="AH1800" s="10"/>
      <c r="AI1800" s="10"/>
      <c r="AJ1800" s="10"/>
      <c r="AK1800" s="10" t="s">
        <v>102</v>
      </c>
      <c r="AL1800" s="10" t="s">
        <v>7897</v>
      </c>
      <c r="AM1800" s="10"/>
      <c r="AN1800" s="10"/>
      <c r="AO1800" s="13" t="b">
        <v>0</v>
      </c>
      <c r="AP1800" s="10" t="s">
        <v>104</v>
      </c>
      <c r="AQ1800" s="10">
        <f ca="1">IFERROR(__xludf.DUMMYFUNCTION("""COMPUTED_VALUE"""),4575851)</f>
        <v>4575851</v>
      </c>
      <c r="AR1800" s="17">
        <v>4560</v>
      </c>
      <c r="AS1800" s="17">
        <v>3408</v>
      </c>
      <c r="AT1800" s="17">
        <v>21575.25</v>
      </c>
      <c r="AU1800" s="17">
        <v>7.1</v>
      </c>
      <c r="AV1800" s="17">
        <v>0.5</v>
      </c>
      <c r="AW1800" s="10" t="s">
        <v>105</v>
      </c>
      <c r="AX1800" s="17">
        <v>1572</v>
      </c>
      <c r="AY1800" s="18">
        <v>6.3307658450704229</v>
      </c>
      <c r="AZ1800" s="10" t="s">
        <v>106</v>
      </c>
      <c r="BA1800" s="20" t="b">
        <v>0</v>
      </c>
      <c r="BB1800" s="10"/>
      <c r="BC1800" s="17">
        <v>4560</v>
      </c>
      <c r="BD1800" s="17">
        <v>3408</v>
      </c>
      <c r="BE1800" s="17">
        <v>21575.25</v>
      </c>
      <c r="BF1800" s="17">
        <v>0.5</v>
      </c>
      <c r="BG1800" s="11">
        <f ca="1">IFERROR(__xludf.DUMMYFUNCTION("""COMPUTED_VALUE"""),45917.0833333333)</f>
        <v>45917.083333333299</v>
      </c>
      <c r="BH1800" s="17" t="s">
        <v>105</v>
      </c>
      <c r="BI1800" s="17"/>
      <c r="BJ1800" s="15"/>
      <c r="BK1800" s="15"/>
      <c r="BL1800" s="13" t="b">
        <v>0</v>
      </c>
      <c r="BM1800" s="10"/>
      <c r="BN1800" s="10" t="s">
        <v>667</v>
      </c>
      <c r="BO1800" s="11">
        <v>45904.614583333336</v>
      </c>
      <c r="BP1800" s="11">
        <v>45915.761747685188</v>
      </c>
      <c r="BQ1800" s="15">
        <v>45916.499155092592</v>
      </c>
      <c r="BR1800" s="15">
        <v>45916.51834490741</v>
      </c>
      <c r="BS1800" s="10" t="s">
        <v>667</v>
      </c>
      <c r="BT1800" s="10" t="s">
        <v>99</v>
      </c>
      <c r="BU1800" s="10" t="s">
        <v>655</v>
      </c>
      <c r="BV1800" s="10"/>
      <c r="BW1800" s="10"/>
      <c r="BX1800" s="10"/>
      <c r="BY1800" s="23"/>
      <c r="BZ1800" s="23"/>
      <c r="CA1800" s="19" t="s">
        <v>13591</v>
      </c>
      <c r="CB1800" s="19" t="s">
        <v>13592</v>
      </c>
      <c r="CC1800" s="23"/>
      <c r="CD1800" s="19" t="s">
        <v>13593</v>
      </c>
      <c r="CE1800" s="23"/>
      <c r="CF1800" s="23"/>
      <c r="CG1800" s="23"/>
      <c r="CH1800" s="23"/>
      <c r="CI1800" s="23"/>
    </row>
    <row r="1801" spans="1:87" x14ac:dyDescent="0.3">
      <c r="A1801" s="9" t="s">
        <v>13594</v>
      </c>
      <c r="B1801" s="10" t="s">
        <v>13595</v>
      </c>
      <c r="C1801" s="11">
        <v>45917.083333333336</v>
      </c>
      <c r="D1801" s="12">
        <v>8.3333333333333329E-2</v>
      </c>
      <c r="E1801" s="11">
        <v>45917.166666666664</v>
      </c>
      <c r="F1801" s="10" t="s">
        <v>7877</v>
      </c>
      <c r="G1801" s="13" t="b">
        <v>0</v>
      </c>
      <c r="H1801" s="10" t="s">
        <v>88</v>
      </c>
      <c r="I1801" s="10" t="s">
        <v>89</v>
      </c>
      <c r="J1801" s="13" t="b">
        <v>0</v>
      </c>
      <c r="K1801" s="13" t="b">
        <v>1</v>
      </c>
      <c r="L1801" s="10" t="s">
        <v>124</v>
      </c>
      <c r="M1801" s="10" t="s">
        <v>91</v>
      </c>
      <c r="N1801" s="10" t="s">
        <v>92</v>
      </c>
      <c r="O1801" s="19" t="s">
        <v>13596</v>
      </c>
      <c r="P1801" s="10"/>
      <c r="Q1801" s="10" t="s">
        <v>126</v>
      </c>
      <c r="R1801" s="10"/>
      <c r="S1801" s="19" t="s">
        <v>13597</v>
      </c>
      <c r="T1801" s="19" t="s">
        <v>13588</v>
      </c>
      <c r="U1801" s="10" t="s">
        <v>321</v>
      </c>
      <c r="V1801" s="10" t="s">
        <v>292</v>
      </c>
      <c r="W1801" s="10" t="s">
        <v>7883</v>
      </c>
      <c r="X1801" s="10" t="s">
        <v>130</v>
      </c>
      <c r="Y1801" s="10" t="s">
        <v>130</v>
      </c>
      <c r="Z1801" s="10" t="s">
        <v>99</v>
      </c>
      <c r="AA1801" s="10" t="s">
        <v>131</v>
      </c>
      <c r="AB1801" s="10" t="s">
        <v>7884</v>
      </c>
      <c r="AC1801" s="10" t="s">
        <v>7885</v>
      </c>
      <c r="AD1801" s="10" t="s">
        <v>386</v>
      </c>
      <c r="AE1801" s="10" t="s">
        <v>13598</v>
      </c>
      <c r="AF1801" s="15"/>
      <c r="AG1801" s="10"/>
      <c r="AH1801" s="10"/>
      <c r="AI1801" s="10"/>
      <c r="AJ1801" s="10"/>
      <c r="AK1801" s="10" t="s">
        <v>102</v>
      </c>
      <c r="AL1801" s="10" t="s">
        <v>7897</v>
      </c>
      <c r="AM1801" s="10"/>
      <c r="AN1801" s="10"/>
      <c r="AO1801" s="13" t="b">
        <v>0</v>
      </c>
      <c r="AP1801" s="10" t="s">
        <v>104</v>
      </c>
      <c r="AQ1801" s="10">
        <f ca="1">IFERROR(__xludf.DUMMYFUNCTION("""COMPUTED_VALUE"""),4575850)</f>
        <v>4575850</v>
      </c>
      <c r="AR1801" s="17">
        <v>6219</v>
      </c>
      <c r="AS1801" s="17">
        <v>4761</v>
      </c>
      <c r="AT1801" s="17">
        <v>26415.75</v>
      </c>
      <c r="AU1801" s="17">
        <v>8.3000000000000007</v>
      </c>
      <c r="AV1801" s="17">
        <v>2.6</v>
      </c>
      <c r="AW1801" s="10" t="s">
        <v>105</v>
      </c>
      <c r="AX1801" s="17">
        <v>1681</v>
      </c>
      <c r="AY1801" s="18">
        <v>5.5483616887208571</v>
      </c>
      <c r="AZ1801" s="10" t="s">
        <v>106</v>
      </c>
      <c r="BA1801" s="20" t="b">
        <v>0</v>
      </c>
      <c r="BB1801" s="10"/>
      <c r="BC1801" s="17">
        <v>6219</v>
      </c>
      <c r="BD1801" s="17">
        <v>4761</v>
      </c>
      <c r="BE1801" s="17">
        <v>26415.75</v>
      </c>
      <c r="BF1801" s="17">
        <v>2.6</v>
      </c>
      <c r="BG1801" s="11">
        <f ca="1">IFERROR(__xludf.DUMMYFUNCTION("""COMPUTED_VALUE"""),45917.0833333333)</f>
        <v>45917.083333333299</v>
      </c>
      <c r="BH1801" s="17" t="s">
        <v>105</v>
      </c>
      <c r="BI1801" s="17"/>
      <c r="BJ1801" s="15"/>
      <c r="BK1801" s="15"/>
      <c r="BL1801" s="13" t="b">
        <v>0</v>
      </c>
      <c r="BM1801" s="10"/>
      <c r="BN1801" s="10" t="s">
        <v>667</v>
      </c>
      <c r="BO1801" s="11">
        <v>45904.614583333336</v>
      </c>
      <c r="BP1801" s="11">
        <v>45913.69159722222</v>
      </c>
      <c r="BQ1801" s="15">
        <v>45916.49894675926</v>
      </c>
      <c r="BR1801" s="15">
        <v>45916.518182870372</v>
      </c>
      <c r="BS1801" s="10" t="s">
        <v>667</v>
      </c>
      <c r="BT1801" s="10" t="s">
        <v>99</v>
      </c>
      <c r="BU1801" s="10" t="s">
        <v>816</v>
      </c>
      <c r="BV1801" s="10"/>
      <c r="BW1801" s="10"/>
      <c r="BX1801" s="10"/>
      <c r="BY1801" s="23"/>
      <c r="BZ1801" s="23"/>
      <c r="CA1801" s="19" t="s">
        <v>13599</v>
      </c>
      <c r="CB1801" s="19" t="s">
        <v>13600</v>
      </c>
      <c r="CC1801" s="23"/>
      <c r="CD1801" s="19" t="s">
        <v>13601</v>
      </c>
      <c r="CE1801" s="23"/>
      <c r="CF1801" s="23"/>
      <c r="CG1801" s="23"/>
      <c r="CH1801" s="23"/>
      <c r="CI1801" s="23"/>
    </row>
    <row r="1802" spans="1:87" x14ac:dyDescent="0.3">
      <c r="A1802" s="9" t="s">
        <v>13602</v>
      </c>
      <c r="B1802" s="10" t="s">
        <v>13603</v>
      </c>
      <c r="C1802" s="11">
        <v>45918.083333333336</v>
      </c>
      <c r="D1802" s="12">
        <v>8.3333333333333329E-2</v>
      </c>
      <c r="E1802" s="11">
        <v>45918.166666666664</v>
      </c>
      <c r="F1802" s="10" t="s">
        <v>7877</v>
      </c>
      <c r="G1802" s="13" t="b">
        <v>0</v>
      </c>
      <c r="H1802" s="10" t="s">
        <v>3478</v>
      </c>
      <c r="I1802" s="10" t="s">
        <v>89</v>
      </c>
      <c r="J1802" s="13" t="b">
        <v>0</v>
      </c>
      <c r="K1802" s="13" t="b">
        <v>1</v>
      </c>
      <c r="L1802" s="10" t="s">
        <v>124</v>
      </c>
      <c r="M1802" s="10" t="s">
        <v>91</v>
      </c>
      <c r="N1802" s="10" t="s">
        <v>92</v>
      </c>
      <c r="O1802" s="19" t="s">
        <v>13604</v>
      </c>
      <c r="P1802" s="10"/>
      <c r="Q1802" s="10" t="s">
        <v>126</v>
      </c>
      <c r="R1802" s="10"/>
      <c r="S1802" s="19" t="s">
        <v>13605</v>
      </c>
      <c r="T1802" s="19" t="s">
        <v>13588</v>
      </c>
      <c r="U1802" s="10" t="s">
        <v>8845</v>
      </c>
      <c r="V1802" s="10" t="s">
        <v>320</v>
      </c>
      <c r="W1802" s="10" t="s">
        <v>7883</v>
      </c>
      <c r="X1802" s="10" t="s">
        <v>130</v>
      </c>
      <c r="Y1802" s="10" t="s">
        <v>130</v>
      </c>
      <c r="Z1802" s="10" t="s">
        <v>99</v>
      </c>
      <c r="AA1802" s="10" t="s">
        <v>131</v>
      </c>
      <c r="AB1802" s="10" t="s">
        <v>7884</v>
      </c>
      <c r="AC1802" s="10" t="s">
        <v>7885</v>
      </c>
      <c r="AD1802" s="10" t="s">
        <v>13606</v>
      </c>
      <c r="AE1802" s="10" t="s">
        <v>13607</v>
      </c>
      <c r="AF1802" s="15"/>
      <c r="AG1802" s="10"/>
      <c r="AH1802" s="10"/>
      <c r="AI1802" s="10"/>
      <c r="AJ1802" s="10"/>
      <c r="AK1802" s="10" t="s">
        <v>102</v>
      </c>
      <c r="AL1802" s="10" t="s">
        <v>7897</v>
      </c>
      <c r="AM1802" s="10"/>
      <c r="AN1802" s="10"/>
      <c r="AO1802" s="13" t="b">
        <v>0</v>
      </c>
      <c r="AP1802" s="10" t="s">
        <v>104</v>
      </c>
      <c r="AQ1802" s="10">
        <f ca="1">IFERROR(__xludf.DUMMYFUNCTION("""COMPUTED_VALUE"""),4575949)</f>
        <v>4575949</v>
      </c>
      <c r="AR1802" s="17">
        <v>3776</v>
      </c>
      <c r="AS1802" s="17">
        <v>3047</v>
      </c>
      <c r="AT1802" s="17">
        <v>8328.5</v>
      </c>
      <c r="AU1802" s="17">
        <v>2.4</v>
      </c>
      <c r="AV1802" s="17">
        <v>0.6</v>
      </c>
      <c r="AW1802" s="10" t="s">
        <v>105</v>
      </c>
      <c r="AX1802" s="17">
        <v>625</v>
      </c>
      <c r="AY1802" s="18">
        <v>2.7333442730554642</v>
      </c>
      <c r="AZ1802" s="10"/>
      <c r="BA1802" s="20" t="b">
        <v>0</v>
      </c>
      <c r="BB1802" s="10"/>
      <c r="BC1802" s="17">
        <v>3776</v>
      </c>
      <c r="BD1802" s="17">
        <v>3047</v>
      </c>
      <c r="BE1802" s="17">
        <v>8328.5</v>
      </c>
      <c r="BF1802" s="17">
        <v>0.6</v>
      </c>
      <c r="BG1802" s="11">
        <f ca="1">IFERROR(__xludf.DUMMYFUNCTION("""COMPUTED_VALUE"""),45918.0833333333)</f>
        <v>45918.083333333299</v>
      </c>
      <c r="BH1802" s="17" t="s">
        <v>105</v>
      </c>
      <c r="BI1802" s="17"/>
      <c r="BJ1802" s="15"/>
      <c r="BK1802" s="15"/>
      <c r="BL1802" s="13" t="b">
        <v>0</v>
      </c>
      <c r="BM1802" s="10"/>
      <c r="BN1802" s="10" t="s">
        <v>1057</v>
      </c>
      <c r="BO1802" s="11">
        <v>45904.615277777775</v>
      </c>
      <c r="BP1802" s="11">
        <v>45915.761840277781</v>
      </c>
      <c r="BQ1802" s="15">
        <v>45916.601041666669</v>
      </c>
      <c r="BR1802" s="15">
        <v>45916.677002314813</v>
      </c>
      <c r="BS1802" s="10"/>
      <c r="BT1802" s="10" t="s">
        <v>279</v>
      </c>
      <c r="BU1802" s="10" t="s">
        <v>655</v>
      </c>
      <c r="BV1802" s="10"/>
      <c r="BW1802" s="10"/>
      <c r="BX1802" s="10"/>
      <c r="BY1802" s="23"/>
      <c r="BZ1802" s="23"/>
      <c r="CA1802" s="19" t="s">
        <v>13608</v>
      </c>
      <c r="CB1802" s="19" t="s">
        <v>13609</v>
      </c>
      <c r="CC1802" s="23"/>
      <c r="CD1802" s="19" t="s">
        <v>13610</v>
      </c>
      <c r="CE1802" s="23"/>
      <c r="CF1802" s="23"/>
      <c r="CG1802" s="23"/>
      <c r="CH1802" s="23"/>
      <c r="CI1802" s="23"/>
    </row>
    <row r="1803" spans="1:87" x14ac:dyDescent="0.3">
      <c r="A1803" s="9" t="s">
        <v>13611</v>
      </c>
      <c r="B1803" s="10" t="s">
        <v>13612</v>
      </c>
      <c r="C1803" s="11">
        <v>45924.072916666664</v>
      </c>
      <c r="D1803" s="12">
        <v>8.3333333333333329E-2</v>
      </c>
      <c r="E1803" s="11">
        <v>45924.15625</v>
      </c>
      <c r="F1803" s="10" t="s">
        <v>7877</v>
      </c>
      <c r="G1803" s="13" t="b">
        <v>0</v>
      </c>
      <c r="H1803" s="10" t="s">
        <v>7878</v>
      </c>
      <c r="I1803" s="10" t="s">
        <v>89</v>
      </c>
      <c r="J1803" s="13" t="b">
        <v>0</v>
      </c>
      <c r="K1803" s="13" t="b">
        <v>1</v>
      </c>
      <c r="L1803" s="10" t="s">
        <v>124</v>
      </c>
      <c r="M1803" s="10" t="s">
        <v>91</v>
      </c>
      <c r="N1803" s="10" t="s">
        <v>92</v>
      </c>
      <c r="O1803" s="19" t="s">
        <v>13613</v>
      </c>
      <c r="P1803" s="10"/>
      <c r="Q1803" s="10" t="s">
        <v>94</v>
      </c>
      <c r="R1803" s="10"/>
      <c r="S1803" s="19" t="s">
        <v>13614</v>
      </c>
      <c r="T1803" s="19" t="s">
        <v>13615</v>
      </c>
      <c r="U1803" s="10" t="s">
        <v>609</v>
      </c>
      <c r="V1803" s="10" t="s">
        <v>13616</v>
      </c>
      <c r="W1803" s="10" t="s">
        <v>7883</v>
      </c>
      <c r="X1803" s="10" t="s">
        <v>130</v>
      </c>
      <c r="Y1803" s="10" t="s">
        <v>130</v>
      </c>
      <c r="Z1803" s="10" t="s">
        <v>99</v>
      </c>
      <c r="AA1803" s="10" t="s">
        <v>131</v>
      </c>
      <c r="AB1803" s="10" t="s">
        <v>7884</v>
      </c>
      <c r="AC1803" s="10" t="s">
        <v>7885</v>
      </c>
      <c r="AD1803" s="10" t="s">
        <v>13617</v>
      </c>
      <c r="AE1803" s="10" t="s">
        <v>13618</v>
      </c>
      <c r="AF1803" s="15"/>
      <c r="AG1803" s="10"/>
      <c r="AH1803" s="10"/>
      <c r="AI1803" s="10"/>
      <c r="AJ1803" s="10"/>
      <c r="AK1803" s="10" t="s">
        <v>102</v>
      </c>
      <c r="AL1803" s="10" t="s">
        <v>7897</v>
      </c>
      <c r="AM1803" s="10"/>
      <c r="AN1803" s="10"/>
      <c r="AO1803" s="13" t="b">
        <v>0</v>
      </c>
      <c r="AP1803" s="10" t="s">
        <v>104</v>
      </c>
      <c r="AQ1803" s="10">
        <f ca="1">IFERROR(__xludf.DUMMYFUNCTION("""COMPUTED_VALUE"""),4592573)</f>
        <v>4592573</v>
      </c>
      <c r="AR1803" s="17">
        <v>2538</v>
      </c>
      <c r="AS1803" s="17">
        <v>1997</v>
      </c>
      <c r="AT1803" s="17">
        <v>7164.75</v>
      </c>
      <c r="AU1803" s="17">
        <v>1.9</v>
      </c>
      <c r="AV1803" s="17">
        <v>1</v>
      </c>
      <c r="AW1803" s="10" t="s">
        <v>105</v>
      </c>
      <c r="AX1803" s="17">
        <v>190</v>
      </c>
      <c r="AY1803" s="18">
        <v>3.5877566349524286</v>
      </c>
      <c r="AZ1803" s="10" t="s">
        <v>106</v>
      </c>
      <c r="BA1803" s="20" t="b">
        <v>0</v>
      </c>
      <c r="BB1803" s="10"/>
      <c r="BC1803" s="17">
        <v>2538</v>
      </c>
      <c r="BD1803" s="17">
        <v>1997</v>
      </c>
      <c r="BE1803" s="17">
        <v>7164.75</v>
      </c>
      <c r="BF1803" s="17">
        <v>1</v>
      </c>
      <c r="BG1803" s="11">
        <f ca="1">IFERROR(__xludf.DUMMYFUNCTION("""COMPUTED_VALUE"""),45924.0729166666)</f>
        <v>45924.072916666599</v>
      </c>
      <c r="BH1803" s="17" t="s">
        <v>105</v>
      </c>
      <c r="BI1803" s="17"/>
      <c r="BJ1803" s="15"/>
      <c r="BK1803" s="15"/>
      <c r="BL1803" s="13" t="b">
        <v>0</v>
      </c>
      <c r="BM1803" s="10"/>
      <c r="BN1803" s="10" t="s">
        <v>157</v>
      </c>
      <c r="BO1803" s="11">
        <v>45904.615277777775</v>
      </c>
      <c r="BP1803" s="11">
        <v>45920.501192129632</v>
      </c>
      <c r="BQ1803" s="15">
        <v>45922.896226851852</v>
      </c>
      <c r="BR1803" s="15">
        <v>45923.349803240744</v>
      </c>
      <c r="BS1803" s="10" t="s">
        <v>157</v>
      </c>
      <c r="BT1803" s="10" t="s">
        <v>279</v>
      </c>
      <c r="BU1803" s="10" t="s">
        <v>456</v>
      </c>
      <c r="BV1803" s="10"/>
      <c r="BW1803" s="10"/>
      <c r="BX1803" s="10"/>
      <c r="BY1803" s="23"/>
      <c r="BZ1803" s="23"/>
      <c r="CA1803" s="19" t="s">
        <v>13619</v>
      </c>
      <c r="CB1803" s="19" t="s">
        <v>13620</v>
      </c>
      <c r="CC1803" s="23"/>
      <c r="CD1803" s="23"/>
      <c r="CE1803" s="23"/>
      <c r="CF1803" s="23"/>
      <c r="CG1803" s="23"/>
      <c r="CH1803" s="23"/>
      <c r="CI1803" s="23"/>
    </row>
    <row r="1804" spans="1:87" x14ac:dyDescent="0.3">
      <c r="A1804" s="9" t="s">
        <v>13621</v>
      </c>
      <c r="B1804" s="10" t="s">
        <v>13622</v>
      </c>
      <c r="C1804" s="11">
        <v>45924.072916666664</v>
      </c>
      <c r="D1804" s="12">
        <v>8.3333333333333329E-2</v>
      </c>
      <c r="E1804" s="11">
        <v>45924.15625</v>
      </c>
      <c r="F1804" s="10" t="s">
        <v>7877</v>
      </c>
      <c r="G1804" s="13" t="b">
        <v>0</v>
      </c>
      <c r="H1804" s="10" t="s">
        <v>7878</v>
      </c>
      <c r="I1804" s="10" t="s">
        <v>89</v>
      </c>
      <c r="J1804" s="13" t="b">
        <v>0</v>
      </c>
      <c r="K1804" s="13" t="b">
        <v>1</v>
      </c>
      <c r="L1804" s="10" t="s">
        <v>124</v>
      </c>
      <c r="M1804" s="10" t="s">
        <v>91</v>
      </c>
      <c r="N1804" s="10" t="s">
        <v>92</v>
      </c>
      <c r="O1804" s="19" t="s">
        <v>13623</v>
      </c>
      <c r="P1804" s="10"/>
      <c r="Q1804" s="10" t="s">
        <v>126</v>
      </c>
      <c r="R1804" s="10"/>
      <c r="S1804" s="19" t="s">
        <v>13624</v>
      </c>
      <c r="T1804" s="19" t="s">
        <v>13615</v>
      </c>
      <c r="U1804" s="10" t="s">
        <v>13625</v>
      </c>
      <c r="V1804" s="10" t="s">
        <v>308</v>
      </c>
      <c r="W1804" s="10" t="s">
        <v>7883</v>
      </c>
      <c r="X1804" s="10" t="s">
        <v>130</v>
      </c>
      <c r="Y1804" s="10" t="s">
        <v>130</v>
      </c>
      <c r="Z1804" s="10" t="s">
        <v>99</v>
      </c>
      <c r="AA1804" s="10" t="s">
        <v>131</v>
      </c>
      <c r="AB1804" s="10" t="s">
        <v>7884</v>
      </c>
      <c r="AC1804" s="10" t="s">
        <v>7885</v>
      </c>
      <c r="AD1804" s="10" t="s">
        <v>13626</v>
      </c>
      <c r="AE1804" s="10" t="s">
        <v>13627</v>
      </c>
      <c r="AF1804" s="15"/>
      <c r="AG1804" s="10"/>
      <c r="AH1804" s="10"/>
      <c r="AI1804" s="10"/>
      <c r="AJ1804" s="10"/>
      <c r="AK1804" s="10" t="s">
        <v>102</v>
      </c>
      <c r="AL1804" s="10" t="s">
        <v>7897</v>
      </c>
      <c r="AM1804" s="10"/>
      <c r="AN1804" s="10"/>
      <c r="AO1804" s="13" t="b">
        <v>0</v>
      </c>
      <c r="AP1804" s="10" t="s">
        <v>104</v>
      </c>
      <c r="AQ1804" s="10">
        <f ca="1">IFERROR(__xludf.DUMMYFUNCTION("""COMPUTED_VALUE"""),4591209)</f>
        <v>4591209</v>
      </c>
      <c r="AR1804" s="17">
        <v>2108</v>
      </c>
      <c r="AS1804" s="17">
        <v>1621</v>
      </c>
      <c r="AT1804" s="17">
        <v>6357.75</v>
      </c>
      <c r="AU1804" s="17">
        <v>0</v>
      </c>
      <c r="AV1804" s="17">
        <v>0</v>
      </c>
      <c r="AW1804" s="10" t="s">
        <v>105</v>
      </c>
      <c r="AX1804" s="17">
        <v>203</v>
      </c>
      <c r="AY1804" s="18">
        <v>3.9221159777914867</v>
      </c>
      <c r="AZ1804" s="10" t="s">
        <v>106</v>
      </c>
      <c r="BA1804" s="20" t="b">
        <v>0</v>
      </c>
      <c r="BB1804" s="10"/>
      <c r="BC1804" s="17">
        <v>2108</v>
      </c>
      <c r="BD1804" s="17">
        <v>1621</v>
      </c>
      <c r="BE1804" s="17">
        <v>6357.75</v>
      </c>
      <c r="BF1804" s="17">
        <v>0</v>
      </c>
      <c r="BG1804" s="11">
        <f ca="1">IFERROR(__xludf.DUMMYFUNCTION("""COMPUTED_VALUE"""),45924.0729166666)</f>
        <v>45924.072916666599</v>
      </c>
      <c r="BH1804" s="17" t="s">
        <v>105</v>
      </c>
      <c r="BI1804" s="17"/>
      <c r="BJ1804" s="15"/>
      <c r="BK1804" s="15"/>
      <c r="BL1804" s="13" t="b">
        <v>0</v>
      </c>
      <c r="BM1804" s="10"/>
      <c r="BN1804" s="10" t="s">
        <v>157</v>
      </c>
      <c r="BO1804" s="11">
        <v>45904.615972222222</v>
      </c>
      <c r="BP1804" s="11">
        <v>45920.50104166667</v>
      </c>
      <c r="BQ1804" s="15">
        <v>45922.807604166665</v>
      </c>
      <c r="BR1804" s="15">
        <v>45922.864340277774</v>
      </c>
      <c r="BS1804" s="10" t="s">
        <v>157</v>
      </c>
      <c r="BT1804" s="10" t="s">
        <v>279</v>
      </c>
      <c r="BU1804" s="10" t="s">
        <v>718</v>
      </c>
      <c r="BV1804" s="10"/>
      <c r="BW1804" s="10"/>
      <c r="BX1804" s="10"/>
      <c r="BY1804" s="23"/>
      <c r="BZ1804" s="23"/>
      <c r="CA1804" s="19" t="s">
        <v>13628</v>
      </c>
      <c r="CB1804" s="19" t="s">
        <v>13629</v>
      </c>
      <c r="CC1804" s="23"/>
      <c r="CD1804" s="19" t="s">
        <v>13630</v>
      </c>
      <c r="CE1804" s="23"/>
      <c r="CF1804" s="23"/>
      <c r="CG1804" s="23"/>
      <c r="CH1804" s="23"/>
      <c r="CI1804" s="23"/>
    </row>
    <row r="1805" spans="1:87" x14ac:dyDescent="0.3">
      <c r="A1805" s="9" t="s">
        <v>13631</v>
      </c>
      <c r="B1805" s="10" t="s">
        <v>13632</v>
      </c>
      <c r="C1805" s="11">
        <v>45932.989583333336</v>
      </c>
      <c r="D1805" s="12">
        <v>8.3333333333333329E-2</v>
      </c>
      <c r="E1805" s="11">
        <v>45933.072916666664</v>
      </c>
      <c r="F1805" s="10" t="s">
        <v>8609</v>
      </c>
      <c r="G1805" s="13" t="b">
        <v>0</v>
      </c>
      <c r="H1805" s="10" t="s">
        <v>5239</v>
      </c>
      <c r="I1805" s="10" t="s">
        <v>89</v>
      </c>
      <c r="J1805" s="13" t="b">
        <v>0</v>
      </c>
      <c r="K1805" s="13" t="b">
        <v>1</v>
      </c>
      <c r="L1805" s="10" t="s">
        <v>124</v>
      </c>
      <c r="M1805" s="10" t="s">
        <v>91</v>
      </c>
      <c r="N1805" s="10" t="s">
        <v>92</v>
      </c>
      <c r="O1805" s="19" t="s">
        <v>13633</v>
      </c>
      <c r="P1805" s="10"/>
      <c r="Q1805" s="10" t="s">
        <v>94</v>
      </c>
      <c r="R1805" s="10"/>
      <c r="S1805" s="19" t="s">
        <v>13634</v>
      </c>
      <c r="T1805" s="19" t="s">
        <v>13635</v>
      </c>
      <c r="U1805" s="10" t="s">
        <v>13636</v>
      </c>
      <c r="V1805" s="10" t="s">
        <v>13637</v>
      </c>
      <c r="W1805" s="10" t="s">
        <v>8613</v>
      </c>
      <c r="X1805" s="10" t="s">
        <v>130</v>
      </c>
      <c r="Y1805" s="10" t="s">
        <v>130</v>
      </c>
      <c r="Z1805" s="10" t="s">
        <v>99</v>
      </c>
      <c r="AA1805" s="10" t="s">
        <v>131</v>
      </c>
      <c r="AB1805" s="10" t="s">
        <v>8614</v>
      </c>
      <c r="AC1805" s="10" t="s">
        <v>3571</v>
      </c>
      <c r="AD1805" s="10" t="s">
        <v>13638</v>
      </c>
      <c r="AE1805" s="10" t="s">
        <v>13639</v>
      </c>
      <c r="AF1805" s="15"/>
      <c r="AG1805" s="10"/>
      <c r="AH1805" s="10"/>
      <c r="AI1805" s="10"/>
      <c r="AJ1805" s="10"/>
      <c r="AK1805" s="10" t="s">
        <v>102</v>
      </c>
      <c r="AL1805" s="10" t="s">
        <v>7897</v>
      </c>
      <c r="AM1805" s="10"/>
      <c r="AN1805" s="10"/>
      <c r="AO1805" s="13" t="b">
        <v>0</v>
      </c>
      <c r="AP1805" s="10" t="s">
        <v>104</v>
      </c>
      <c r="AQ1805" s="10">
        <f ca="1">IFERROR(__xludf.DUMMYFUNCTION("""COMPUTED_VALUE"""),4614678)</f>
        <v>4614678</v>
      </c>
      <c r="AR1805" s="17">
        <v>479</v>
      </c>
      <c r="AS1805" s="17">
        <v>406</v>
      </c>
      <c r="AT1805" s="17">
        <v>1859.75</v>
      </c>
      <c r="AU1805" s="17">
        <v>0</v>
      </c>
      <c r="AV1805" s="17">
        <v>0</v>
      </c>
      <c r="AW1805" s="10" t="s">
        <v>105</v>
      </c>
      <c r="AX1805" s="17">
        <v>52</v>
      </c>
      <c r="AY1805" s="18">
        <v>4.5806650246305418</v>
      </c>
      <c r="AZ1805" s="10"/>
      <c r="BA1805" s="20" t="b">
        <v>0</v>
      </c>
      <c r="BB1805" s="10"/>
      <c r="BC1805" s="17">
        <v>479</v>
      </c>
      <c r="BD1805" s="17">
        <v>406</v>
      </c>
      <c r="BE1805" s="17">
        <v>1859.75</v>
      </c>
      <c r="BF1805" s="17">
        <v>0</v>
      </c>
      <c r="BG1805" s="11">
        <f ca="1">IFERROR(__xludf.DUMMYFUNCTION("""COMPUTED_VALUE"""),45932.9895833333)</f>
        <v>45932.989583333299</v>
      </c>
      <c r="BH1805" s="17" t="s">
        <v>105</v>
      </c>
      <c r="BI1805" s="17"/>
      <c r="BJ1805" s="15"/>
      <c r="BK1805" s="15"/>
      <c r="BL1805" s="13" t="b">
        <v>0</v>
      </c>
      <c r="BM1805" s="10"/>
      <c r="BN1805" s="10" t="s">
        <v>118</v>
      </c>
      <c r="BO1805" s="11">
        <v>45904.326388888891</v>
      </c>
      <c r="BP1805" s="11">
        <v>45923.541296296295</v>
      </c>
      <c r="BQ1805" s="15">
        <v>45930.933981481481</v>
      </c>
      <c r="BR1805" s="15">
        <v>45931.463055555556</v>
      </c>
      <c r="BS1805" s="10" t="s">
        <v>118</v>
      </c>
      <c r="BT1805" s="10" t="s">
        <v>99</v>
      </c>
      <c r="BU1805" s="10" t="s">
        <v>9114</v>
      </c>
      <c r="BV1805" s="10"/>
      <c r="BW1805" s="10"/>
      <c r="BX1805" s="10"/>
      <c r="BY1805" s="23"/>
      <c r="BZ1805" s="23"/>
      <c r="CA1805" s="19" t="s">
        <v>13640</v>
      </c>
      <c r="CB1805" s="19" t="s">
        <v>13641</v>
      </c>
      <c r="CC1805" s="23"/>
      <c r="CD1805" s="23"/>
      <c r="CE1805" s="23"/>
      <c r="CF1805" s="23"/>
      <c r="CG1805" s="23"/>
      <c r="CH1805" s="23"/>
      <c r="CI1805" s="23"/>
    </row>
    <row r="1806" spans="1:87" x14ac:dyDescent="0.3">
      <c r="A1806" s="9" t="s">
        <v>13642</v>
      </c>
      <c r="B1806" s="10" t="s">
        <v>13643</v>
      </c>
      <c r="C1806" s="11">
        <v>45932.989583333336</v>
      </c>
      <c r="D1806" s="12">
        <v>8.3333333333333329E-2</v>
      </c>
      <c r="E1806" s="11">
        <v>45933.072916666664</v>
      </c>
      <c r="F1806" s="10" t="s">
        <v>8609</v>
      </c>
      <c r="G1806" s="13" t="b">
        <v>0</v>
      </c>
      <c r="H1806" s="10" t="s">
        <v>5239</v>
      </c>
      <c r="I1806" s="10" t="s">
        <v>89</v>
      </c>
      <c r="J1806" s="13" t="b">
        <v>0</v>
      </c>
      <c r="K1806" s="13" t="b">
        <v>1</v>
      </c>
      <c r="L1806" s="10" t="s">
        <v>124</v>
      </c>
      <c r="M1806" s="10" t="s">
        <v>91</v>
      </c>
      <c r="N1806" s="10" t="s">
        <v>92</v>
      </c>
      <c r="O1806" s="19" t="s">
        <v>13644</v>
      </c>
      <c r="P1806" s="10"/>
      <c r="Q1806" s="10" t="s">
        <v>94</v>
      </c>
      <c r="R1806" s="10"/>
      <c r="S1806" s="19" t="s">
        <v>13645</v>
      </c>
      <c r="T1806" s="19" t="s">
        <v>13635</v>
      </c>
      <c r="U1806" s="10" t="s">
        <v>13646</v>
      </c>
      <c r="V1806" s="10" t="s">
        <v>13647</v>
      </c>
      <c r="W1806" s="10" t="s">
        <v>8613</v>
      </c>
      <c r="X1806" s="10" t="s">
        <v>130</v>
      </c>
      <c r="Y1806" s="10" t="s">
        <v>130</v>
      </c>
      <c r="Z1806" s="10" t="s">
        <v>99</v>
      </c>
      <c r="AA1806" s="10" t="s">
        <v>131</v>
      </c>
      <c r="AB1806" s="10" t="s">
        <v>8614</v>
      </c>
      <c r="AC1806" s="10" t="s">
        <v>3571</v>
      </c>
      <c r="AD1806" s="10" t="s">
        <v>13648</v>
      </c>
      <c r="AE1806" s="10" t="s">
        <v>13649</v>
      </c>
      <c r="AF1806" s="15"/>
      <c r="AG1806" s="10"/>
      <c r="AH1806" s="10"/>
      <c r="AI1806" s="10"/>
      <c r="AJ1806" s="10"/>
      <c r="AK1806" s="10" t="s">
        <v>102</v>
      </c>
      <c r="AL1806" s="10" t="s">
        <v>7897</v>
      </c>
      <c r="AM1806" s="10"/>
      <c r="AN1806" s="10"/>
      <c r="AO1806" s="13" t="b">
        <v>0</v>
      </c>
      <c r="AP1806" s="10" t="s">
        <v>104</v>
      </c>
      <c r="AQ1806" s="10">
        <f ca="1">IFERROR(__xludf.DUMMYFUNCTION("""COMPUTED_VALUE"""),4614690)</f>
        <v>4614690</v>
      </c>
      <c r="AR1806" s="17">
        <v>456</v>
      </c>
      <c r="AS1806" s="17">
        <v>396</v>
      </c>
      <c r="AT1806" s="17">
        <v>846</v>
      </c>
      <c r="AU1806" s="17">
        <v>0</v>
      </c>
      <c r="AV1806" s="17">
        <v>0</v>
      </c>
      <c r="AW1806" s="10" t="s">
        <v>105</v>
      </c>
      <c r="AX1806" s="17">
        <v>79</v>
      </c>
      <c r="AY1806" s="18">
        <v>2.1363636363636362</v>
      </c>
      <c r="AZ1806" s="10"/>
      <c r="BA1806" s="20" t="b">
        <v>0</v>
      </c>
      <c r="BB1806" s="10"/>
      <c r="BC1806" s="17">
        <v>456</v>
      </c>
      <c r="BD1806" s="17">
        <v>396</v>
      </c>
      <c r="BE1806" s="17">
        <v>846</v>
      </c>
      <c r="BF1806" s="17">
        <v>0</v>
      </c>
      <c r="BG1806" s="11">
        <f ca="1">IFERROR(__xludf.DUMMYFUNCTION("""COMPUTED_VALUE"""),45932.9895833333)</f>
        <v>45932.989583333299</v>
      </c>
      <c r="BH1806" s="17" t="s">
        <v>105</v>
      </c>
      <c r="BI1806" s="17"/>
      <c r="BJ1806" s="15"/>
      <c r="BK1806" s="15"/>
      <c r="BL1806" s="13" t="b">
        <v>0</v>
      </c>
      <c r="BM1806" s="10"/>
      <c r="BN1806" s="10" t="s">
        <v>118</v>
      </c>
      <c r="BO1806" s="11">
        <v>45904.326388888891</v>
      </c>
      <c r="BP1806" s="11">
        <v>45923.541122685187</v>
      </c>
      <c r="BQ1806" s="15">
        <v>45930.934305555558</v>
      </c>
      <c r="BR1806" s="15">
        <v>45931.479386574072</v>
      </c>
      <c r="BS1806" s="10" t="s">
        <v>118</v>
      </c>
      <c r="BT1806" s="10" t="s">
        <v>99</v>
      </c>
      <c r="BU1806" s="10" t="s">
        <v>6753</v>
      </c>
      <c r="BV1806" s="10"/>
      <c r="BW1806" s="10"/>
      <c r="BX1806" s="10"/>
      <c r="BY1806" s="23"/>
      <c r="BZ1806" s="23"/>
      <c r="CA1806" s="19" t="s">
        <v>13650</v>
      </c>
      <c r="CB1806" s="19" t="s">
        <v>13651</v>
      </c>
      <c r="CC1806" s="23"/>
      <c r="CD1806" s="23"/>
      <c r="CE1806" s="23"/>
      <c r="CF1806" s="23"/>
      <c r="CG1806" s="23"/>
      <c r="CH1806" s="23"/>
      <c r="CI1806" s="23"/>
    </row>
    <row r="1807" spans="1:87" x14ac:dyDescent="0.3">
      <c r="A1807" s="9" t="s">
        <v>13652</v>
      </c>
      <c r="B1807" s="10" t="s">
        <v>13653</v>
      </c>
      <c r="C1807" s="11">
        <v>45932.989583333336</v>
      </c>
      <c r="D1807" s="12">
        <v>8.3333333333333329E-2</v>
      </c>
      <c r="E1807" s="11">
        <v>45933.072916666664</v>
      </c>
      <c r="F1807" s="10" t="s">
        <v>8609</v>
      </c>
      <c r="G1807" s="13" t="b">
        <v>0</v>
      </c>
      <c r="H1807" s="10" t="s">
        <v>5239</v>
      </c>
      <c r="I1807" s="10" t="s">
        <v>89</v>
      </c>
      <c r="J1807" s="13" t="b">
        <v>0</v>
      </c>
      <c r="K1807" s="13" t="b">
        <v>1</v>
      </c>
      <c r="L1807" s="10" t="s">
        <v>124</v>
      </c>
      <c r="M1807" s="10" t="s">
        <v>91</v>
      </c>
      <c r="N1807" s="10" t="s">
        <v>92</v>
      </c>
      <c r="O1807" s="19" t="s">
        <v>13654</v>
      </c>
      <c r="P1807" s="10"/>
      <c r="Q1807" s="10" t="s">
        <v>94</v>
      </c>
      <c r="R1807" s="10"/>
      <c r="S1807" s="19" t="s">
        <v>13655</v>
      </c>
      <c r="T1807" s="19" t="s">
        <v>13635</v>
      </c>
      <c r="U1807" s="10" t="s">
        <v>13656</v>
      </c>
      <c r="V1807" s="10" t="s">
        <v>13657</v>
      </c>
      <c r="W1807" s="10" t="s">
        <v>8613</v>
      </c>
      <c r="X1807" s="10" t="s">
        <v>130</v>
      </c>
      <c r="Y1807" s="10" t="s">
        <v>130</v>
      </c>
      <c r="Z1807" s="10" t="s">
        <v>99</v>
      </c>
      <c r="AA1807" s="10" t="s">
        <v>131</v>
      </c>
      <c r="AB1807" s="10" t="s">
        <v>8614</v>
      </c>
      <c r="AC1807" s="10" t="s">
        <v>3571</v>
      </c>
      <c r="AD1807" s="10" t="s">
        <v>13658</v>
      </c>
      <c r="AE1807" s="10" t="s">
        <v>13659</v>
      </c>
      <c r="AF1807" s="15"/>
      <c r="AG1807" s="10"/>
      <c r="AH1807" s="10"/>
      <c r="AI1807" s="10"/>
      <c r="AJ1807" s="10"/>
      <c r="AK1807" s="10" t="s">
        <v>102</v>
      </c>
      <c r="AL1807" s="10" t="s">
        <v>7897</v>
      </c>
      <c r="AM1807" s="10"/>
      <c r="AN1807" s="10"/>
      <c r="AO1807" s="13" t="b">
        <v>0</v>
      </c>
      <c r="AP1807" s="10" t="s">
        <v>104</v>
      </c>
      <c r="AQ1807" s="10">
        <f ca="1">IFERROR(__xludf.DUMMYFUNCTION("""COMPUTED_VALUE"""),4614688)</f>
        <v>4614688</v>
      </c>
      <c r="AR1807" s="17">
        <v>386</v>
      </c>
      <c r="AS1807" s="17">
        <v>327</v>
      </c>
      <c r="AT1807" s="17">
        <v>532.75</v>
      </c>
      <c r="AU1807" s="17">
        <v>0</v>
      </c>
      <c r="AV1807" s="17">
        <v>0</v>
      </c>
      <c r="AW1807" s="10" t="s">
        <v>105</v>
      </c>
      <c r="AX1807" s="17">
        <v>56</v>
      </c>
      <c r="AY1807" s="18">
        <v>1.629204892966361</v>
      </c>
      <c r="AZ1807" s="10"/>
      <c r="BA1807" s="20" t="b">
        <v>0</v>
      </c>
      <c r="BB1807" s="10"/>
      <c r="BC1807" s="17">
        <v>386</v>
      </c>
      <c r="BD1807" s="17">
        <v>327</v>
      </c>
      <c r="BE1807" s="17">
        <v>532.75</v>
      </c>
      <c r="BF1807" s="17">
        <v>0</v>
      </c>
      <c r="BG1807" s="11">
        <f ca="1">IFERROR(__xludf.DUMMYFUNCTION("""COMPUTED_VALUE"""),45932.9895833333)</f>
        <v>45932.989583333299</v>
      </c>
      <c r="BH1807" s="17" t="s">
        <v>105</v>
      </c>
      <c r="BI1807" s="17"/>
      <c r="BJ1807" s="15"/>
      <c r="BK1807" s="15"/>
      <c r="BL1807" s="13" t="b">
        <v>0</v>
      </c>
      <c r="BM1807" s="10"/>
      <c r="BN1807" s="10" t="s">
        <v>118</v>
      </c>
      <c r="BO1807" s="11">
        <v>45904.326388888891</v>
      </c>
      <c r="BP1807" s="11">
        <v>45923.540914351855</v>
      </c>
      <c r="BQ1807" s="15">
        <v>45930.934907407405</v>
      </c>
      <c r="BR1807" s="15">
        <v>45931.476319444446</v>
      </c>
      <c r="BS1807" s="10" t="s">
        <v>118</v>
      </c>
      <c r="BT1807" s="10" t="s">
        <v>99</v>
      </c>
      <c r="BU1807" s="10" t="s">
        <v>5854</v>
      </c>
      <c r="BV1807" s="10"/>
      <c r="BW1807" s="10"/>
      <c r="BX1807" s="10"/>
      <c r="BY1807" s="23"/>
      <c r="BZ1807" s="23"/>
      <c r="CA1807" s="19" t="s">
        <v>13660</v>
      </c>
      <c r="CB1807" s="19" t="s">
        <v>13661</v>
      </c>
      <c r="CC1807" s="23"/>
      <c r="CD1807" s="23"/>
      <c r="CE1807" s="23"/>
      <c r="CF1807" s="23"/>
      <c r="CG1807" s="23"/>
      <c r="CH1807" s="23"/>
      <c r="CI1807" s="23"/>
    </row>
    <row r="1808" spans="1:87" x14ac:dyDescent="0.3">
      <c r="A1808" s="9" t="s">
        <v>13662</v>
      </c>
      <c r="B1808" s="10" t="s">
        <v>13663</v>
      </c>
      <c r="C1808" s="11">
        <v>45932.989583333336</v>
      </c>
      <c r="D1808" s="12">
        <v>8.3333333333333329E-2</v>
      </c>
      <c r="E1808" s="11">
        <v>45933.072916666664</v>
      </c>
      <c r="F1808" s="10" t="s">
        <v>8609</v>
      </c>
      <c r="G1808" s="13" t="b">
        <v>0</v>
      </c>
      <c r="H1808" s="10" t="s">
        <v>5239</v>
      </c>
      <c r="I1808" s="10" t="s">
        <v>89</v>
      </c>
      <c r="J1808" s="13" t="b">
        <v>0</v>
      </c>
      <c r="K1808" s="13" t="b">
        <v>1</v>
      </c>
      <c r="L1808" s="10" t="s">
        <v>124</v>
      </c>
      <c r="M1808" s="10" t="s">
        <v>91</v>
      </c>
      <c r="N1808" s="10" t="s">
        <v>92</v>
      </c>
      <c r="O1808" s="19" t="s">
        <v>13664</v>
      </c>
      <c r="P1808" s="10"/>
      <c r="Q1808" s="10" t="s">
        <v>94</v>
      </c>
      <c r="R1808" s="10"/>
      <c r="S1808" s="19" t="s">
        <v>13665</v>
      </c>
      <c r="T1808" s="19" t="s">
        <v>13635</v>
      </c>
      <c r="U1808" s="10" t="s">
        <v>13666</v>
      </c>
      <c r="V1808" s="10" t="s">
        <v>13667</v>
      </c>
      <c r="W1808" s="10" t="s">
        <v>8613</v>
      </c>
      <c r="X1808" s="10" t="s">
        <v>130</v>
      </c>
      <c r="Y1808" s="10" t="s">
        <v>130</v>
      </c>
      <c r="Z1808" s="10" t="s">
        <v>99</v>
      </c>
      <c r="AA1808" s="10" t="s">
        <v>131</v>
      </c>
      <c r="AB1808" s="10" t="s">
        <v>8614</v>
      </c>
      <c r="AC1808" s="10" t="s">
        <v>3571</v>
      </c>
      <c r="AD1808" s="10" t="s">
        <v>13668</v>
      </c>
      <c r="AE1808" s="10" t="s">
        <v>13669</v>
      </c>
      <c r="AF1808" s="15"/>
      <c r="AG1808" s="10"/>
      <c r="AH1808" s="10"/>
      <c r="AI1808" s="10"/>
      <c r="AJ1808" s="10"/>
      <c r="AK1808" s="10" t="s">
        <v>102</v>
      </c>
      <c r="AL1808" s="10" t="s">
        <v>7897</v>
      </c>
      <c r="AM1808" s="10"/>
      <c r="AN1808" s="10"/>
      <c r="AO1808" s="13" t="b">
        <v>0</v>
      </c>
      <c r="AP1808" s="10" t="s">
        <v>104</v>
      </c>
      <c r="AQ1808" s="10">
        <f ca="1">IFERROR(__xludf.DUMMYFUNCTION("""COMPUTED_VALUE"""),4614684)</f>
        <v>4614684</v>
      </c>
      <c r="AR1808" s="17">
        <v>934</v>
      </c>
      <c r="AS1808" s="17">
        <v>768</v>
      </c>
      <c r="AT1808" s="17">
        <v>3897</v>
      </c>
      <c r="AU1808" s="17">
        <v>1.65</v>
      </c>
      <c r="AV1808" s="17">
        <v>0</v>
      </c>
      <c r="AW1808" s="10" t="s">
        <v>105</v>
      </c>
      <c r="AX1808" s="17">
        <v>158</v>
      </c>
      <c r="AY1808" s="18">
        <v>5.07421875</v>
      </c>
      <c r="AZ1808" s="10"/>
      <c r="BA1808" s="20" t="b">
        <v>0</v>
      </c>
      <c r="BB1808" s="10"/>
      <c r="BC1808" s="17">
        <v>934</v>
      </c>
      <c r="BD1808" s="17">
        <v>768</v>
      </c>
      <c r="BE1808" s="17">
        <v>3897</v>
      </c>
      <c r="BF1808" s="17">
        <v>0</v>
      </c>
      <c r="BG1808" s="11">
        <f ca="1">IFERROR(__xludf.DUMMYFUNCTION("""COMPUTED_VALUE"""),45932.9895833333)</f>
        <v>45932.989583333299</v>
      </c>
      <c r="BH1808" s="17" t="s">
        <v>105</v>
      </c>
      <c r="BI1808" s="17"/>
      <c r="BJ1808" s="15"/>
      <c r="BK1808" s="15"/>
      <c r="BL1808" s="13" t="b">
        <v>0</v>
      </c>
      <c r="BM1808" s="10"/>
      <c r="BN1808" s="10" t="s">
        <v>118</v>
      </c>
      <c r="BO1808" s="11">
        <v>45904.326388888891</v>
      </c>
      <c r="BP1808" s="11">
        <v>45923.541435185187</v>
      </c>
      <c r="BQ1808" s="15">
        <v>45930.934618055559</v>
      </c>
      <c r="BR1808" s="15">
        <v>45931.474120370367</v>
      </c>
      <c r="BS1808" s="10" t="s">
        <v>118</v>
      </c>
      <c r="BT1808" s="10" t="s">
        <v>99</v>
      </c>
      <c r="BU1808" s="10" t="s">
        <v>1264</v>
      </c>
      <c r="BV1808" s="10"/>
      <c r="BW1808" s="10"/>
      <c r="BX1808" s="10"/>
      <c r="BY1808" s="23"/>
      <c r="BZ1808" s="23"/>
      <c r="CA1808" s="19" t="s">
        <v>13670</v>
      </c>
      <c r="CB1808" s="19" t="s">
        <v>13671</v>
      </c>
      <c r="CC1808" s="23"/>
      <c r="CD1808" s="23"/>
      <c r="CE1808" s="23"/>
      <c r="CF1808" s="23"/>
      <c r="CG1808" s="23"/>
      <c r="CH1808" s="23"/>
      <c r="CI1808" s="23"/>
    </row>
    <row r="1809" spans="1:87" x14ac:dyDescent="0.3">
      <c r="A1809" s="9" t="s">
        <v>13672</v>
      </c>
      <c r="B1809" s="10" t="s">
        <v>13673</v>
      </c>
      <c r="C1809" s="11">
        <v>45932.989583333336</v>
      </c>
      <c r="D1809" s="12">
        <v>8.3333333333333329E-2</v>
      </c>
      <c r="E1809" s="11">
        <v>45933.072916666664</v>
      </c>
      <c r="F1809" s="10" t="s">
        <v>8609</v>
      </c>
      <c r="G1809" s="13" t="b">
        <v>0</v>
      </c>
      <c r="H1809" s="10" t="s">
        <v>5239</v>
      </c>
      <c r="I1809" s="10" t="s">
        <v>89</v>
      </c>
      <c r="J1809" s="13" t="b">
        <v>0</v>
      </c>
      <c r="K1809" s="13" t="b">
        <v>1</v>
      </c>
      <c r="L1809" s="10" t="s">
        <v>124</v>
      </c>
      <c r="M1809" s="10" t="s">
        <v>91</v>
      </c>
      <c r="N1809" s="10" t="s">
        <v>92</v>
      </c>
      <c r="O1809" s="19" t="s">
        <v>13674</v>
      </c>
      <c r="P1809" s="10"/>
      <c r="Q1809" s="10" t="s">
        <v>126</v>
      </c>
      <c r="R1809" s="10"/>
      <c r="S1809" s="19" t="s">
        <v>13675</v>
      </c>
      <c r="T1809" s="19" t="s">
        <v>13635</v>
      </c>
      <c r="U1809" s="10" t="s">
        <v>5006</v>
      </c>
      <c r="V1809" s="10" t="s">
        <v>13676</v>
      </c>
      <c r="W1809" s="10" t="s">
        <v>8613</v>
      </c>
      <c r="X1809" s="10" t="s">
        <v>130</v>
      </c>
      <c r="Y1809" s="10" t="s">
        <v>130</v>
      </c>
      <c r="Z1809" s="10" t="s">
        <v>99</v>
      </c>
      <c r="AA1809" s="10" t="s">
        <v>131</v>
      </c>
      <c r="AB1809" s="10" t="s">
        <v>8614</v>
      </c>
      <c r="AC1809" s="10" t="s">
        <v>3571</v>
      </c>
      <c r="AD1809" s="10" t="s">
        <v>13677</v>
      </c>
      <c r="AE1809" s="10" t="s">
        <v>13678</v>
      </c>
      <c r="AF1809" s="15"/>
      <c r="AG1809" s="10"/>
      <c r="AH1809" s="10"/>
      <c r="AI1809" s="10"/>
      <c r="AJ1809" s="10"/>
      <c r="AK1809" s="10" t="s">
        <v>102</v>
      </c>
      <c r="AL1809" s="10" t="s">
        <v>7897</v>
      </c>
      <c r="AM1809" s="10"/>
      <c r="AN1809" s="10"/>
      <c r="AO1809" s="13" t="b">
        <v>0</v>
      </c>
      <c r="AP1809" s="10" t="s">
        <v>104</v>
      </c>
      <c r="AQ1809" s="10">
        <f ca="1">IFERROR(__xludf.DUMMYFUNCTION("""COMPUTED_VALUE"""),4614686)</f>
        <v>4614686</v>
      </c>
      <c r="AR1809" s="17">
        <v>892</v>
      </c>
      <c r="AS1809" s="17">
        <v>687</v>
      </c>
      <c r="AT1809" s="17">
        <v>4594.5</v>
      </c>
      <c r="AU1809" s="17">
        <v>2.4</v>
      </c>
      <c r="AV1809" s="17">
        <v>1.5</v>
      </c>
      <c r="AW1809" s="10" t="s">
        <v>105</v>
      </c>
      <c r="AX1809" s="17">
        <v>120</v>
      </c>
      <c r="AY1809" s="18">
        <v>6.6877729257641922</v>
      </c>
      <c r="AZ1809" s="10"/>
      <c r="BA1809" s="20" t="b">
        <v>0</v>
      </c>
      <c r="BB1809" s="10"/>
      <c r="BC1809" s="17">
        <v>892</v>
      </c>
      <c r="BD1809" s="17">
        <v>687</v>
      </c>
      <c r="BE1809" s="17">
        <v>4594.5</v>
      </c>
      <c r="BF1809" s="17">
        <v>1.5</v>
      </c>
      <c r="BG1809" s="11">
        <f ca="1">IFERROR(__xludf.DUMMYFUNCTION("""COMPUTED_VALUE"""),45932.9895833333)</f>
        <v>45932.989583333299</v>
      </c>
      <c r="BH1809" s="17" t="s">
        <v>105</v>
      </c>
      <c r="BI1809" s="17"/>
      <c r="BJ1809" s="15"/>
      <c r="BK1809" s="15"/>
      <c r="BL1809" s="13" t="b">
        <v>0</v>
      </c>
      <c r="BM1809" s="10"/>
      <c r="BN1809" s="10" t="s">
        <v>118</v>
      </c>
      <c r="BO1809" s="11">
        <v>45904.326388888891</v>
      </c>
      <c r="BP1809" s="11">
        <v>45923.54241898148</v>
      </c>
      <c r="BQ1809" s="15">
        <v>45930.934756944444</v>
      </c>
      <c r="BR1809" s="15">
        <v>45931.474594907406</v>
      </c>
      <c r="BS1809" s="10" t="s">
        <v>118</v>
      </c>
      <c r="BT1809" s="10" t="s">
        <v>99</v>
      </c>
      <c r="BU1809" s="10" t="s">
        <v>9200</v>
      </c>
      <c r="BV1809" s="10"/>
      <c r="BW1809" s="10"/>
      <c r="BX1809" s="10"/>
      <c r="BY1809" s="23"/>
      <c r="BZ1809" s="23"/>
      <c r="CA1809" s="19" t="s">
        <v>13679</v>
      </c>
      <c r="CB1809" s="19" t="s">
        <v>13680</v>
      </c>
      <c r="CC1809" s="23"/>
      <c r="CD1809" s="19" t="s">
        <v>13681</v>
      </c>
      <c r="CE1809" s="23"/>
      <c r="CF1809" s="23"/>
      <c r="CG1809" s="23"/>
      <c r="CH1809" s="23"/>
      <c r="CI1809" s="23"/>
    </row>
    <row r="1810" spans="1:87" x14ac:dyDescent="0.3">
      <c r="A1810" s="9" t="s">
        <v>13682</v>
      </c>
      <c r="B1810" s="10" t="s">
        <v>13683</v>
      </c>
      <c r="C1810" s="11">
        <v>45932.989583333336</v>
      </c>
      <c r="D1810" s="12">
        <v>8.3333333333333329E-2</v>
      </c>
      <c r="E1810" s="11">
        <v>45933.072916666664</v>
      </c>
      <c r="F1810" s="10" t="s">
        <v>8609</v>
      </c>
      <c r="G1810" s="13" t="b">
        <v>0</v>
      </c>
      <c r="H1810" s="10" t="s">
        <v>5239</v>
      </c>
      <c r="I1810" s="10" t="s">
        <v>89</v>
      </c>
      <c r="J1810" s="13" t="b">
        <v>0</v>
      </c>
      <c r="K1810" s="13" t="b">
        <v>1</v>
      </c>
      <c r="L1810" s="10" t="s">
        <v>124</v>
      </c>
      <c r="M1810" s="10" t="s">
        <v>91</v>
      </c>
      <c r="N1810" s="10" t="s">
        <v>92</v>
      </c>
      <c r="O1810" s="19" t="s">
        <v>13684</v>
      </c>
      <c r="P1810" s="10"/>
      <c r="Q1810" s="10" t="s">
        <v>94</v>
      </c>
      <c r="R1810" s="10"/>
      <c r="S1810" s="19" t="s">
        <v>13685</v>
      </c>
      <c r="T1810" s="19" t="s">
        <v>13635</v>
      </c>
      <c r="U1810" s="10" t="s">
        <v>13686</v>
      </c>
      <c r="V1810" s="10" t="s">
        <v>13687</v>
      </c>
      <c r="W1810" s="10" t="s">
        <v>8613</v>
      </c>
      <c r="X1810" s="10" t="s">
        <v>130</v>
      </c>
      <c r="Y1810" s="10" t="s">
        <v>130</v>
      </c>
      <c r="Z1810" s="10" t="s">
        <v>99</v>
      </c>
      <c r="AA1810" s="10" t="s">
        <v>131</v>
      </c>
      <c r="AB1810" s="10" t="s">
        <v>8614</v>
      </c>
      <c r="AC1810" s="10" t="s">
        <v>3571</v>
      </c>
      <c r="AD1810" s="10" t="s">
        <v>13688</v>
      </c>
      <c r="AE1810" s="10" t="s">
        <v>13689</v>
      </c>
      <c r="AF1810" s="15"/>
      <c r="AG1810" s="10"/>
      <c r="AH1810" s="10"/>
      <c r="AI1810" s="10"/>
      <c r="AJ1810" s="10"/>
      <c r="AK1810" s="10" t="s">
        <v>102</v>
      </c>
      <c r="AL1810" s="10" t="s">
        <v>7897</v>
      </c>
      <c r="AM1810" s="10"/>
      <c r="AN1810" s="10"/>
      <c r="AO1810" s="13" t="b">
        <v>0</v>
      </c>
      <c r="AP1810" s="10" t="s">
        <v>104</v>
      </c>
      <c r="AQ1810" s="10">
        <f ca="1">IFERROR(__xludf.DUMMYFUNCTION("""COMPUTED_VALUE"""),4614676)</f>
        <v>4614676</v>
      </c>
      <c r="AR1810" s="17">
        <v>484</v>
      </c>
      <c r="AS1810" s="17">
        <v>402</v>
      </c>
      <c r="AT1810" s="17">
        <v>1885.5</v>
      </c>
      <c r="AU1810" s="17">
        <v>0.5</v>
      </c>
      <c r="AV1810" s="17">
        <v>0</v>
      </c>
      <c r="AW1810" s="10" t="s">
        <v>105</v>
      </c>
      <c r="AX1810" s="17">
        <v>63</v>
      </c>
      <c r="AY1810" s="18">
        <v>4.6902985074626864</v>
      </c>
      <c r="AZ1810" s="10"/>
      <c r="BA1810" s="20" t="b">
        <v>0</v>
      </c>
      <c r="BB1810" s="10"/>
      <c r="BC1810" s="17">
        <v>484</v>
      </c>
      <c r="BD1810" s="17">
        <v>402</v>
      </c>
      <c r="BE1810" s="17">
        <v>1885.5</v>
      </c>
      <c r="BF1810" s="17">
        <v>0</v>
      </c>
      <c r="BG1810" s="11">
        <f ca="1">IFERROR(__xludf.DUMMYFUNCTION("""COMPUTED_VALUE"""),45932.9895833333)</f>
        <v>45932.989583333299</v>
      </c>
      <c r="BH1810" s="17" t="s">
        <v>105</v>
      </c>
      <c r="BI1810" s="17"/>
      <c r="BJ1810" s="15"/>
      <c r="BK1810" s="15"/>
      <c r="BL1810" s="13" t="b">
        <v>0</v>
      </c>
      <c r="BM1810" s="10"/>
      <c r="BN1810" s="10" t="s">
        <v>118</v>
      </c>
      <c r="BO1810" s="11">
        <v>45904.326388888891</v>
      </c>
      <c r="BP1810" s="11">
        <v>45923.541018518517</v>
      </c>
      <c r="BQ1810" s="15">
        <v>45930.933854166666</v>
      </c>
      <c r="BR1810" s="15">
        <v>45931.459421296298</v>
      </c>
      <c r="BS1810" s="10" t="s">
        <v>118</v>
      </c>
      <c r="BT1810" s="10" t="s">
        <v>99</v>
      </c>
      <c r="BU1810" s="10" t="s">
        <v>1253</v>
      </c>
      <c r="BV1810" s="10"/>
      <c r="BW1810" s="10"/>
      <c r="BX1810" s="10"/>
      <c r="BY1810" s="23"/>
      <c r="BZ1810" s="23"/>
      <c r="CA1810" s="19" t="s">
        <v>13690</v>
      </c>
      <c r="CB1810" s="19" t="s">
        <v>13691</v>
      </c>
      <c r="CC1810" s="23"/>
      <c r="CD1810" s="23"/>
      <c r="CE1810" s="23"/>
      <c r="CF1810" s="23"/>
      <c r="CG1810" s="23"/>
      <c r="CH1810" s="23"/>
      <c r="CI1810" s="23"/>
    </row>
    <row r="1811" spans="1:87" x14ac:dyDescent="0.3">
      <c r="A1811" s="9" t="s">
        <v>13692</v>
      </c>
      <c r="B1811" s="10" t="s">
        <v>13693</v>
      </c>
      <c r="C1811" s="11">
        <v>45932.989583333336</v>
      </c>
      <c r="D1811" s="12">
        <v>8.3333333333333329E-2</v>
      </c>
      <c r="E1811" s="11">
        <v>45933.072916666664</v>
      </c>
      <c r="F1811" s="10" t="s">
        <v>8609</v>
      </c>
      <c r="G1811" s="13" t="b">
        <v>0</v>
      </c>
      <c r="H1811" s="10" t="s">
        <v>5239</v>
      </c>
      <c r="I1811" s="10" t="s">
        <v>89</v>
      </c>
      <c r="J1811" s="13" t="b">
        <v>0</v>
      </c>
      <c r="K1811" s="13" t="b">
        <v>1</v>
      </c>
      <c r="L1811" s="10" t="s">
        <v>124</v>
      </c>
      <c r="M1811" s="10" t="s">
        <v>91</v>
      </c>
      <c r="N1811" s="10" t="s">
        <v>92</v>
      </c>
      <c r="O1811" s="19" t="s">
        <v>13694</v>
      </c>
      <c r="P1811" s="10"/>
      <c r="Q1811" s="10" t="s">
        <v>94</v>
      </c>
      <c r="R1811" s="10"/>
      <c r="S1811" s="19" t="s">
        <v>13695</v>
      </c>
      <c r="T1811" s="19" t="s">
        <v>13635</v>
      </c>
      <c r="U1811" s="10" t="s">
        <v>13696</v>
      </c>
      <c r="V1811" s="10" t="s">
        <v>13697</v>
      </c>
      <c r="W1811" s="10" t="s">
        <v>8613</v>
      </c>
      <c r="X1811" s="10" t="s">
        <v>130</v>
      </c>
      <c r="Y1811" s="10" t="s">
        <v>130</v>
      </c>
      <c r="Z1811" s="10" t="s">
        <v>99</v>
      </c>
      <c r="AA1811" s="10" t="s">
        <v>131</v>
      </c>
      <c r="AB1811" s="10" t="s">
        <v>8614</v>
      </c>
      <c r="AC1811" s="10" t="s">
        <v>3571</v>
      </c>
      <c r="AD1811" s="10" t="s">
        <v>13698</v>
      </c>
      <c r="AE1811" s="10" t="s">
        <v>13699</v>
      </c>
      <c r="AF1811" s="15"/>
      <c r="AG1811" s="10"/>
      <c r="AH1811" s="10"/>
      <c r="AI1811" s="10"/>
      <c r="AJ1811" s="10"/>
      <c r="AK1811" s="10" t="s">
        <v>102</v>
      </c>
      <c r="AL1811" s="10" t="s">
        <v>7897</v>
      </c>
      <c r="AM1811" s="10"/>
      <c r="AN1811" s="10"/>
      <c r="AO1811" s="13" t="b">
        <v>0</v>
      </c>
      <c r="AP1811" s="10" t="s">
        <v>104</v>
      </c>
      <c r="AQ1811" s="10">
        <f ca="1">IFERROR(__xludf.DUMMYFUNCTION("""COMPUTED_VALUE"""),4614682)</f>
        <v>4614682</v>
      </c>
      <c r="AR1811" s="17">
        <v>414</v>
      </c>
      <c r="AS1811" s="17">
        <v>339</v>
      </c>
      <c r="AT1811" s="17">
        <v>1549.5</v>
      </c>
      <c r="AU1811" s="17">
        <v>0.1</v>
      </c>
      <c r="AV1811" s="17">
        <v>0</v>
      </c>
      <c r="AW1811" s="10" t="s">
        <v>105</v>
      </c>
      <c r="AX1811" s="17">
        <v>50</v>
      </c>
      <c r="AY1811" s="18">
        <v>4.5707964601769913</v>
      </c>
      <c r="AZ1811" s="10"/>
      <c r="BA1811" s="20" t="b">
        <v>0</v>
      </c>
      <c r="BB1811" s="10"/>
      <c r="BC1811" s="17">
        <v>414</v>
      </c>
      <c r="BD1811" s="17">
        <v>339</v>
      </c>
      <c r="BE1811" s="17">
        <v>1549.5</v>
      </c>
      <c r="BF1811" s="17">
        <v>0</v>
      </c>
      <c r="BG1811" s="11">
        <f ca="1">IFERROR(__xludf.DUMMYFUNCTION("""COMPUTED_VALUE"""),45932.9895833333)</f>
        <v>45932.989583333299</v>
      </c>
      <c r="BH1811" s="17" t="s">
        <v>105</v>
      </c>
      <c r="BI1811" s="17"/>
      <c r="BJ1811" s="15"/>
      <c r="BK1811" s="15"/>
      <c r="BL1811" s="13" t="b">
        <v>0</v>
      </c>
      <c r="BM1811" s="10"/>
      <c r="BN1811" s="10" t="s">
        <v>118</v>
      </c>
      <c r="BO1811" s="11">
        <v>45904.326388888891</v>
      </c>
      <c r="BP1811" s="11">
        <v>45923.540810185186</v>
      </c>
      <c r="BQ1811" s="15">
        <v>45930.934467592589</v>
      </c>
      <c r="BR1811" s="15">
        <v>45931.472719907404</v>
      </c>
      <c r="BS1811" s="10" t="s">
        <v>118</v>
      </c>
      <c r="BT1811" s="10" t="s">
        <v>99</v>
      </c>
      <c r="BU1811" s="10" t="s">
        <v>1275</v>
      </c>
      <c r="BV1811" s="10"/>
      <c r="BW1811" s="10"/>
      <c r="BX1811" s="10"/>
      <c r="BY1811" s="23"/>
      <c r="BZ1811" s="23"/>
      <c r="CA1811" s="19" t="s">
        <v>13700</v>
      </c>
      <c r="CB1811" s="19" t="s">
        <v>13701</v>
      </c>
      <c r="CC1811" s="23"/>
      <c r="CD1811" s="23"/>
      <c r="CE1811" s="23"/>
      <c r="CF1811" s="23"/>
      <c r="CG1811" s="23"/>
      <c r="CH1811" s="23"/>
      <c r="CI1811" s="23"/>
    </row>
    <row r="1812" spans="1:87" x14ac:dyDescent="0.3">
      <c r="A1812" s="9" t="s">
        <v>13702</v>
      </c>
      <c r="B1812" s="10" t="s">
        <v>13703</v>
      </c>
      <c r="C1812" s="11">
        <v>45932.989583333336</v>
      </c>
      <c r="D1812" s="12">
        <v>8.3333333333333329E-2</v>
      </c>
      <c r="E1812" s="11">
        <v>45933.072916666664</v>
      </c>
      <c r="F1812" s="10" t="s">
        <v>8609</v>
      </c>
      <c r="G1812" s="13" t="b">
        <v>0</v>
      </c>
      <c r="H1812" s="10" t="s">
        <v>3564</v>
      </c>
      <c r="I1812" s="10" t="s">
        <v>89</v>
      </c>
      <c r="J1812" s="13" t="b">
        <v>0</v>
      </c>
      <c r="K1812" s="13" t="b">
        <v>1</v>
      </c>
      <c r="L1812" s="10" t="s">
        <v>124</v>
      </c>
      <c r="M1812" s="10" t="s">
        <v>91</v>
      </c>
      <c r="N1812" s="10" t="s">
        <v>92</v>
      </c>
      <c r="O1812" s="19" t="s">
        <v>13704</v>
      </c>
      <c r="P1812" s="10"/>
      <c r="Q1812" s="10" t="s">
        <v>126</v>
      </c>
      <c r="R1812" s="10"/>
      <c r="S1812" s="19" t="s">
        <v>13705</v>
      </c>
      <c r="T1812" s="19" t="s">
        <v>13635</v>
      </c>
      <c r="U1812" s="10" t="s">
        <v>13706</v>
      </c>
      <c r="V1812" s="10" t="s">
        <v>347</v>
      </c>
      <c r="W1812" s="10" t="s">
        <v>8613</v>
      </c>
      <c r="X1812" s="10" t="s">
        <v>130</v>
      </c>
      <c r="Y1812" s="10" t="s">
        <v>130</v>
      </c>
      <c r="Z1812" s="10" t="s">
        <v>99</v>
      </c>
      <c r="AA1812" s="10" t="s">
        <v>131</v>
      </c>
      <c r="AB1812" s="10" t="s">
        <v>8614</v>
      </c>
      <c r="AC1812" s="10" t="s">
        <v>3571</v>
      </c>
      <c r="AD1812" s="10" t="s">
        <v>13707</v>
      </c>
      <c r="AE1812" s="10" t="s">
        <v>13708</v>
      </c>
      <c r="AF1812" s="15"/>
      <c r="AG1812" s="10"/>
      <c r="AH1812" s="10"/>
      <c r="AI1812" s="10"/>
      <c r="AJ1812" s="10"/>
      <c r="AK1812" s="10" t="s">
        <v>102</v>
      </c>
      <c r="AL1812" s="10" t="s">
        <v>7897</v>
      </c>
      <c r="AM1812" s="10"/>
      <c r="AN1812" s="10"/>
      <c r="AO1812" s="13" t="b">
        <v>0</v>
      </c>
      <c r="AP1812" s="10" t="s">
        <v>104</v>
      </c>
      <c r="AQ1812" s="10">
        <f ca="1">IFERROR(__xludf.DUMMYFUNCTION("""COMPUTED_VALUE"""),4614502)</f>
        <v>4614502</v>
      </c>
      <c r="AR1812" s="17">
        <v>4296</v>
      </c>
      <c r="AS1812" s="17">
        <v>3437</v>
      </c>
      <c r="AT1812" s="17">
        <v>52202.75</v>
      </c>
      <c r="AU1812" s="17">
        <v>5.55</v>
      </c>
      <c r="AV1812" s="17">
        <v>2.25</v>
      </c>
      <c r="AW1812" s="10" t="s">
        <v>105</v>
      </c>
      <c r="AX1812" s="17">
        <v>807</v>
      </c>
      <c r="AY1812" s="18">
        <v>15.188463776549316</v>
      </c>
      <c r="AZ1812" s="10"/>
      <c r="BA1812" s="20" t="b">
        <v>0</v>
      </c>
      <c r="BB1812" s="10"/>
      <c r="BC1812" s="17">
        <v>4296</v>
      </c>
      <c r="BD1812" s="17">
        <v>3437</v>
      </c>
      <c r="BE1812" s="17">
        <v>52202.75</v>
      </c>
      <c r="BF1812" s="17">
        <v>2.25</v>
      </c>
      <c r="BG1812" s="11">
        <f ca="1">IFERROR(__xludf.DUMMYFUNCTION("""COMPUTED_VALUE"""),45932.9895833333)</f>
        <v>45932.989583333299</v>
      </c>
      <c r="BH1812" s="17" t="s">
        <v>105</v>
      </c>
      <c r="BI1812" s="17"/>
      <c r="BJ1812" s="15"/>
      <c r="BK1812" s="15"/>
      <c r="BL1812" s="13" t="b">
        <v>0</v>
      </c>
      <c r="BM1812" s="10"/>
      <c r="BN1812" s="10" t="s">
        <v>118</v>
      </c>
      <c r="BO1812" s="11">
        <v>45904.326388888891</v>
      </c>
      <c r="BP1812" s="11">
        <v>45924.916817129626</v>
      </c>
      <c r="BQ1812" s="15">
        <v>45930.933692129627</v>
      </c>
      <c r="BR1812" s="15">
        <v>45931.387824074074</v>
      </c>
      <c r="BS1812" s="10" t="s">
        <v>118</v>
      </c>
      <c r="BT1812" s="10" t="s">
        <v>279</v>
      </c>
      <c r="BU1812" s="10" t="s">
        <v>6409</v>
      </c>
      <c r="BV1812" s="10"/>
      <c r="BW1812" s="10"/>
      <c r="BX1812" s="10"/>
      <c r="BY1812" s="23"/>
      <c r="BZ1812" s="23"/>
      <c r="CA1812" s="19" t="s">
        <v>13709</v>
      </c>
      <c r="CB1812" s="19" t="s">
        <v>13710</v>
      </c>
      <c r="CC1812" s="23"/>
      <c r="CD1812" s="19" t="s">
        <v>13711</v>
      </c>
      <c r="CE1812" s="23"/>
      <c r="CF1812" s="23"/>
      <c r="CG1812" s="23"/>
      <c r="CH1812" s="23"/>
      <c r="CI1812" s="23"/>
    </row>
    <row r="1813" spans="1:87" x14ac:dyDescent="0.3">
      <c r="A1813" s="9" t="s">
        <v>13712</v>
      </c>
      <c r="B1813" s="10" t="s">
        <v>13713</v>
      </c>
      <c r="C1813" s="11">
        <v>45932.989583333336</v>
      </c>
      <c r="D1813" s="12">
        <v>8.3333333333333329E-2</v>
      </c>
      <c r="E1813" s="11">
        <v>45933.072916666664</v>
      </c>
      <c r="F1813" s="10" t="s">
        <v>8609</v>
      </c>
      <c r="G1813" s="13" t="b">
        <v>0</v>
      </c>
      <c r="H1813" s="10" t="s">
        <v>5239</v>
      </c>
      <c r="I1813" s="10" t="s">
        <v>89</v>
      </c>
      <c r="J1813" s="13" t="b">
        <v>0</v>
      </c>
      <c r="K1813" s="13" t="b">
        <v>1</v>
      </c>
      <c r="L1813" s="10" t="s">
        <v>124</v>
      </c>
      <c r="M1813" s="10" t="s">
        <v>91</v>
      </c>
      <c r="N1813" s="10" t="s">
        <v>92</v>
      </c>
      <c r="O1813" s="19" t="s">
        <v>13714</v>
      </c>
      <c r="P1813" s="10"/>
      <c r="Q1813" s="10" t="s">
        <v>94</v>
      </c>
      <c r="R1813" s="10"/>
      <c r="S1813" s="19" t="s">
        <v>13715</v>
      </c>
      <c r="T1813" s="19" t="s">
        <v>13635</v>
      </c>
      <c r="U1813" s="10" t="s">
        <v>13716</v>
      </c>
      <c r="V1813" s="10" t="s">
        <v>13717</v>
      </c>
      <c r="W1813" s="10" t="s">
        <v>8613</v>
      </c>
      <c r="X1813" s="10" t="s">
        <v>130</v>
      </c>
      <c r="Y1813" s="10" t="s">
        <v>130</v>
      </c>
      <c r="Z1813" s="10" t="s">
        <v>99</v>
      </c>
      <c r="AA1813" s="10" t="s">
        <v>131</v>
      </c>
      <c r="AB1813" s="10" t="s">
        <v>8614</v>
      </c>
      <c r="AC1813" s="10" t="s">
        <v>3571</v>
      </c>
      <c r="AD1813" s="10" t="s">
        <v>13718</v>
      </c>
      <c r="AE1813" s="10" t="s">
        <v>13719</v>
      </c>
      <c r="AF1813" s="15"/>
      <c r="AG1813" s="10"/>
      <c r="AH1813" s="10"/>
      <c r="AI1813" s="10"/>
      <c r="AJ1813" s="10"/>
      <c r="AK1813" s="10" t="s">
        <v>102</v>
      </c>
      <c r="AL1813" s="10" t="s">
        <v>7897</v>
      </c>
      <c r="AM1813" s="10"/>
      <c r="AN1813" s="10"/>
      <c r="AO1813" s="13" t="b">
        <v>0</v>
      </c>
      <c r="AP1813" s="10" t="s">
        <v>104</v>
      </c>
      <c r="AQ1813" s="10">
        <f ca="1">IFERROR(__xludf.DUMMYFUNCTION("""COMPUTED_VALUE"""),4614680)</f>
        <v>4614680</v>
      </c>
      <c r="AR1813" s="17">
        <v>226</v>
      </c>
      <c r="AS1813" s="17">
        <v>186</v>
      </c>
      <c r="AT1813" s="17">
        <v>924.5</v>
      </c>
      <c r="AU1813" s="17">
        <v>0</v>
      </c>
      <c r="AV1813" s="17">
        <v>0</v>
      </c>
      <c r="AW1813" s="10" t="s">
        <v>105</v>
      </c>
      <c r="AX1813" s="17">
        <v>27</v>
      </c>
      <c r="AY1813" s="18">
        <v>4.970430107526882</v>
      </c>
      <c r="AZ1813" s="10"/>
      <c r="BA1813" s="20" t="b">
        <v>0</v>
      </c>
      <c r="BB1813" s="10"/>
      <c r="BC1813" s="17">
        <v>226</v>
      </c>
      <c r="BD1813" s="17">
        <v>186</v>
      </c>
      <c r="BE1813" s="17">
        <v>924.5</v>
      </c>
      <c r="BF1813" s="17">
        <v>0</v>
      </c>
      <c r="BG1813" s="11">
        <f ca="1">IFERROR(__xludf.DUMMYFUNCTION("""COMPUTED_VALUE"""),45932.9895833333)</f>
        <v>45932.989583333299</v>
      </c>
      <c r="BH1813" s="17" t="s">
        <v>105</v>
      </c>
      <c r="BI1813" s="17"/>
      <c r="BJ1813" s="15"/>
      <c r="BK1813" s="15"/>
      <c r="BL1813" s="13" t="b">
        <v>0</v>
      </c>
      <c r="BM1813" s="10"/>
      <c r="BN1813" s="10" t="s">
        <v>118</v>
      </c>
      <c r="BO1813" s="11">
        <v>45904.326388888891</v>
      </c>
      <c r="BP1813" s="11">
        <v>45923.540694444448</v>
      </c>
      <c r="BQ1813" s="15">
        <v>45930.934131944443</v>
      </c>
      <c r="BR1813" s="15">
        <v>45931.473032407404</v>
      </c>
      <c r="BS1813" s="10" t="s">
        <v>118</v>
      </c>
      <c r="BT1813" s="10" t="s">
        <v>99</v>
      </c>
      <c r="BU1813" s="10" t="s">
        <v>1286</v>
      </c>
      <c r="BV1813" s="10"/>
      <c r="BW1813" s="10"/>
      <c r="BX1813" s="10"/>
      <c r="BY1813" s="23"/>
      <c r="BZ1813" s="23"/>
      <c r="CA1813" s="19" t="s">
        <v>13720</v>
      </c>
      <c r="CB1813" s="19" t="s">
        <v>13721</v>
      </c>
      <c r="CC1813" s="23"/>
      <c r="CD1813" s="23"/>
      <c r="CE1813" s="23"/>
      <c r="CF1813" s="23"/>
      <c r="CG1813" s="23"/>
      <c r="CH1813" s="23"/>
      <c r="CI1813" s="23"/>
    </row>
    <row r="1814" spans="1:87" x14ac:dyDescent="0.3">
      <c r="A1814" s="9" t="s">
        <v>13722</v>
      </c>
      <c r="B1814" s="10" t="s">
        <v>13723</v>
      </c>
      <c r="C1814" s="11">
        <v>45933.083333333336</v>
      </c>
      <c r="D1814" s="12">
        <v>8.3333333333333329E-2</v>
      </c>
      <c r="E1814" s="11">
        <v>45933.166666666664</v>
      </c>
      <c r="F1814" s="10" t="s">
        <v>8609</v>
      </c>
      <c r="G1814" s="13" t="b">
        <v>0</v>
      </c>
      <c r="H1814" s="10" t="s">
        <v>5239</v>
      </c>
      <c r="I1814" s="10" t="s">
        <v>89</v>
      </c>
      <c r="J1814" s="13" t="b">
        <v>0</v>
      </c>
      <c r="K1814" s="13" t="b">
        <v>1</v>
      </c>
      <c r="L1814" s="10" t="s">
        <v>124</v>
      </c>
      <c r="M1814" s="10" t="s">
        <v>91</v>
      </c>
      <c r="N1814" s="10" t="s">
        <v>92</v>
      </c>
      <c r="O1814" s="19" t="s">
        <v>13724</v>
      </c>
      <c r="P1814" s="10"/>
      <c r="Q1814" s="10" t="s">
        <v>94</v>
      </c>
      <c r="R1814" s="10"/>
      <c r="S1814" s="19" t="s">
        <v>13725</v>
      </c>
      <c r="T1814" s="19" t="s">
        <v>13635</v>
      </c>
      <c r="U1814" s="10" t="s">
        <v>13726</v>
      </c>
      <c r="V1814" s="10" t="s">
        <v>13727</v>
      </c>
      <c r="W1814" s="10" t="s">
        <v>8613</v>
      </c>
      <c r="X1814" s="10" t="s">
        <v>130</v>
      </c>
      <c r="Y1814" s="10" t="s">
        <v>130</v>
      </c>
      <c r="Z1814" s="10" t="s">
        <v>99</v>
      </c>
      <c r="AA1814" s="10" t="s">
        <v>131</v>
      </c>
      <c r="AB1814" s="10" t="s">
        <v>8614</v>
      </c>
      <c r="AC1814" s="10" t="s">
        <v>3571</v>
      </c>
      <c r="AD1814" s="10" t="s">
        <v>13728</v>
      </c>
      <c r="AE1814" s="10" t="s">
        <v>13729</v>
      </c>
      <c r="AF1814" s="15"/>
      <c r="AG1814" s="10"/>
      <c r="AH1814" s="10"/>
      <c r="AI1814" s="10"/>
      <c r="AJ1814" s="10"/>
      <c r="AK1814" s="10" t="s">
        <v>102</v>
      </c>
      <c r="AL1814" s="10" t="s">
        <v>7897</v>
      </c>
      <c r="AM1814" s="10"/>
      <c r="AN1814" s="10"/>
      <c r="AO1814" s="13" t="b">
        <v>0</v>
      </c>
      <c r="AP1814" s="10" t="s">
        <v>104</v>
      </c>
      <c r="AQ1814" s="10">
        <f ca="1">IFERROR(__xludf.DUMMYFUNCTION("""COMPUTED_VALUE"""),4614701)</f>
        <v>4614701</v>
      </c>
      <c r="AR1814" s="17">
        <v>812</v>
      </c>
      <c r="AS1814" s="17">
        <v>658</v>
      </c>
      <c r="AT1814" s="17">
        <v>3752.25</v>
      </c>
      <c r="AU1814" s="17">
        <v>0.75</v>
      </c>
      <c r="AV1814" s="17">
        <v>0.25</v>
      </c>
      <c r="AW1814" s="10" t="s">
        <v>105</v>
      </c>
      <c r="AX1814" s="17">
        <v>114</v>
      </c>
      <c r="AY1814" s="18">
        <v>5.7025075987841944</v>
      </c>
      <c r="AZ1814" s="10"/>
      <c r="BA1814" s="20" t="b">
        <v>0</v>
      </c>
      <c r="BB1814" s="10"/>
      <c r="BC1814" s="17">
        <v>812</v>
      </c>
      <c r="BD1814" s="17">
        <v>658</v>
      </c>
      <c r="BE1814" s="17">
        <v>3752.25</v>
      </c>
      <c r="BF1814" s="17">
        <v>0.25</v>
      </c>
      <c r="BG1814" s="11">
        <f ca="1">IFERROR(__xludf.DUMMYFUNCTION("""COMPUTED_VALUE"""),45933.0833333333)</f>
        <v>45933.083333333299</v>
      </c>
      <c r="BH1814" s="17" t="s">
        <v>105</v>
      </c>
      <c r="BI1814" s="17"/>
      <c r="BJ1814" s="15"/>
      <c r="BK1814" s="15"/>
      <c r="BL1814" s="13" t="b">
        <v>0</v>
      </c>
      <c r="BM1814" s="10"/>
      <c r="BN1814" s="10" t="s">
        <v>185</v>
      </c>
      <c r="BO1814" s="11">
        <v>45904.326388888891</v>
      </c>
      <c r="BP1814" s="11">
        <v>45923.542708333334</v>
      </c>
      <c r="BQ1814" s="15">
        <v>45931.440023148149</v>
      </c>
      <c r="BR1814" s="15">
        <v>45931.555034722223</v>
      </c>
      <c r="BS1814" s="10"/>
      <c r="BT1814" s="10" t="s">
        <v>99</v>
      </c>
      <c r="BU1814" s="10" t="s">
        <v>931</v>
      </c>
      <c r="BV1814" s="10"/>
      <c r="BW1814" s="10"/>
      <c r="BX1814" s="10"/>
      <c r="BY1814" s="23"/>
      <c r="BZ1814" s="23"/>
      <c r="CA1814" s="19" t="s">
        <v>13730</v>
      </c>
      <c r="CB1814" s="19" t="s">
        <v>13731</v>
      </c>
      <c r="CC1814" s="23"/>
      <c r="CD1814" s="23"/>
      <c r="CE1814" s="23"/>
      <c r="CF1814" s="23"/>
      <c r="CG1814" s="23"/>
      <c r="CH1814" s="23"/>
      <c r="CI1814" s="23"/>
    </row>
    <row r="1815" spans="1:87" x14ac:dyDescent="0.3">
      <c r="A1815" s="9" t="s">
        <v>13732</v>
      </c>
      <c r="B1815" s="10" t="s">
        <v>13733</v>
      </c>
      <c r="C1815" s="11">
        <v>45933.083333333336</v>
      </c>
      <c r="D1815" s="12">
        <v>8.3333333333333329E-2</v>
      </c>
      <c r="E1815" s="11">
        <v>45933.166666666664</v>
      </c>
      <c r="F1815" s="10" t="s">
        <v>8609</v>
      </c>
      <c r="G1815" s="13" t="b">
        <v>0</v>
      </c>
      <c r="H1815" s="10" t="s">
        <v>5239</v>
      </c>
      <c r="I1815" s="10" t="s">
        <v>89</v>
      </c>
      <c r="J1815" s="13" t="b">
        <v>0</v>
      </c>
      <c r="K1815" s="13" t="b">
        <v>1</v>
      </c>
      <c r="L1815" s="10" t="s">
        <v>124</v>
      </c>
      <c r="M1815" s="10" t="s">
        <v>91</v>
      </c>
      <c r="N1815" s="10" t="s">
        <v>92</v>
      </c>
      <c r="O1815" s="19" t="s">
        <v>13734</v>
      </c>
      <c r="P1815" s="10"/>
      <c r="Q1815" s="10" t="s">
        <v>94</v>
      </c>
      <c r="R1815" s="10"/>
      <c r="S1815" s="19" t="s">
        <v>13735</v>
      </c>
      <c r="T1815" s="19" t="s">
        <v>13635</v>
      </c>
      <c r="U1815" s="10" t="s">
        <v>13736</v>
      </c>
      <c r="V1815" s="10" t="s">
        <v>13737</v>
      </c>
      <c r="W1815" s="10" t="s">
        <v>8613</v>
      </c>
      <c r="X1815" s="10" t="s">
        <v>130</v>
      </c>
      <c r="Y1815" s="10" t="s">
        <v>130</v>
      </c>
      <c r="Z1815" s="10" t="s">
        <v>99</v>
      </c>
      <c r="AA1815" s="10" t="s">
        <v>131</v>
      </c>
      <c r="AB1815" s="10" t="s">
        <v>8614</v>
      </c>
      <c r="AC1815" s="10" t="s">
        <v>3571</v>
      </c>
      <c r="AD1815" s="10" t="s">
        <v>13738</v>
      </c>
      <c r="AE1815" s="10" t="s">
        <v>13739</v>
      </c>
      <c r="AF1815" s="15"/>
      <c r="AG1815" s="10"/>
      <c r="AH1815" s="10"/>
      <c r="AI1815" s="10"/>
      <c r="AJ1815" s="10"/>
      <c r="AK1815" s="10" t="s">
        <v>102</v>
      </c>
      <c r="AL1815" s="10" t="s">
        <v>7897</v>
      </c>
      <c r="AM1815" s="10"/>
      <c r="AN1815" s="10"/>
      <c r="AO1815" s="13" t="b">
        <v>0</v>
      </c>
      <c r="AP1815" s="10" t="s">
        <v>104</v>
      </c>
      <c r="AQ1815" s="10">
        <f ca="1">IFERROR(__xludf.DUMMYFUNCTION("""COMPUTED_VALUE"""),4614697)</f>
        <v>4614697</v>
      </c>
      <c r="AR1815" s="17">
        <v>260</v>
      </c>
      <c r="AS1815" s="17">
        <v>211</v>
      </c>
      <c r="AT1815" s="17">
        <v>730.75</v>
      </c>
      <c r="AU1815" s="17">
        <v>0</v>
      </c>
      <c r="AV1815" s="17">
        <v>0</v>
      </c>
      <c r="AW1815" s="10" t="s">
        <v>105</v>
      </c>
      <c r="AX1815" s="17">
        <v>32</v>
      </c>
      <c r="AY1815" s="18">
        <v>3.4632701421800949</v>
      </c>
      <c r="AZ1815" s="10"/>
      <c r="BA1815" s="20" t="b">
        <v>0</v>
      </c>
      <c r="BB1815" s="10"/>
      <c r="BC1815" s="17">
        <v>260</v>
      </c>
      <c r="BD1815" s="17">
        <v>211</v>
      </c>
      <c r="BE1815" s="17">
        <v>730.75</v>
      </c>
      <c r="BF1815" s="17">
        <v>0</v>
      </c>
      <c r="BG1815" s="11">
        <f ca="1">IFERROR(__xludf.DUMMYFUNCTION("""COMPUTED_VALUE"""),45933.0833333333)</f>
        <v>45933.083333333299</v>
      </c>
      <c r="BH1815" s="17" t="s">
        <v>105</v>
      </c>
      <c r="BI1815" s="17"/>
      <c r="BJ1815" s="15"/>
      <c r="BK1815" s="15"/>
      <c r="BL1815" s="13" t="b">
        <v>0</v>
      </c>
      <c r="BM1815" s="10"/>
      <c r="BN1815" s="10" t="s">
        <v>185</v>
      </c>
      <c r="BO1815" s="11">
        <v>45904.326388888891</v>
      </c>
      <c r="BP1815" s="11">
        <v>45923.543333333335</v>
      </c>
      <c r="BQ1815" s="15">
        <v>45931.439560185187</v>
      </c>
      <c r="BR1815" s="15">
        <v>45931.54446759259</v>
      </c>
      <c r="BS1815" s="10"/>
      <c r="BT1815" s="10" t="s">
        <v>99</v>
      </c>
      <c r="BU1815" s="10" t="s">
        <v>9200</v>
      </c>
      <c r="BV1815" s="10"/>
      <c r="BW1815" s="10"/>
      <c r="BX1815" s="10"/>
      <c r="BY1815" s="23"/>
      <c r="BZ1815" s="23"/>
      <c r="CA1815" s="19" t="s">
        <v>13740</v>
      </c>
      <c r="CB1815" s="19" t="s">
        <v>13741</v>
      </c>
      <c r="CC1815" s="23"/>
      <c r="CD1815" s="23"/>
      <c r="CE1815" s="23"/>
      <c r="CF1815" s="23"/>
      <c r="CG1815" s="23"/>
      <c r="CH1815" s="23"/>
      <c r="CI1815" s="23"/>
    </row>
    <row r="1816" spans="1:87" x14ac:dyDescent="0.3">
      <c r="A1816" s="9" t="s">
        <v>13742</v>
      </c>
      <c r="B1816" s="10" t="s">
        <v>13743</v>
      </c>
      <c r="C1816" s="11">
        <v>45933.083333333336</v>
      </c>
      <c r="D1816" s="12">
        <v>8.3333333333333329E-2</v>
      </c>
      <c r="E1816" s="11">
        <v>45933.166666666664</v>
      </c>
      <c r="F1816" s="10" t="s">
        <v>8609</v>
      </c>
      <c r="G1816" s="13" t="b">
        <v>0</v>
      </c>
      <c r="H1816" s="10" t="s">
        <v>5239</v>
      </c>
      <c r="I1816" s="10" t="s">
        <v>89</v>
      </c>
      <c r="J1816" s="13" t="b">
        <v>0</v>
      </c>
      <c r="K1816" s="13" t="b">
        <v>1</v>
      </c>
      <c r="L1816" s="10" t="s">
        <v>124</v>
      </c>
      <c r="M1816" s="10" t="s">
        <v>91</v>
      </c>
      <c r="N1816" s="10" t="s">
        <v>92</v>
      </c>
      <c r="O1816" s="19" t="s">
        <v>13744</v>
      </c>
      <c r="P1816" s="10"/>
      <c r="Q1816" s="10" t="s">
        <v>94</v>
      </c>
      <c r="R1816" s="10"/>
      <c r="S1816" s="19" t="s">
        <v>13745</v>
      </c>
      <c r="T1816" s="19" t="s">
        <v>13635</v>
      </c>
      <c r="U1816" s="10" t="s">
        <v>13746</v>
      </c>
      <c r="V1816" s="10" t="s">
        <v>13747</v>
      </c>
      <c r="W1816" s="10" t="s">
        <v>8613</v>
      </c>
      <c r="X1816" s="10" t="s">
        <v>130</v>
      </c>
      <c r="Y1816" s="10" t="s">
        <v>130</v>
      </c>
      <c r="Z1816" s="10" t="s">
        <v>99</v>
      </c>
      <c r="AA1816" s="10" t="s">
        <v>131</v>
      </c>
      <c r="AB1816" s="10" t="s">
        <v>8614</v>
      </c>
      <c r="AC1816" s="10" t="s">
        <v>3571</v>
      </c>
      <c r="AD1816" s="10" t="s">
        <v>13748</v>
      </c>
      <c r="AE1816" s="10" t="s">
        <v>13749</v>
      </c>
      <c r="AF1816" s="15"/>
      <c r="AG1816" s="10"/>
      <c r="AH1816" s="10"/>
      <c r="AI1816" s="10"/>
      <c r="AJ1816" s="10"/>
      <c r="AK1816" s="10" t="s">
        <v>102</v>
      </c>
      <c r="AL1816" s="10" t="s">
        <v>7897</v>
      </c>
      <c r="AM1816" s="10"/>
      <c r="AN1816" s="10"/>
      <c r="AO1816" s="13" t="b">
        <v>0</v>
      </c>
      <c r="AP1816" s="10" t="s">
        <v>104</v>
      </c>
      <c r="AQ1816" s="10">
        <f ca="1">IFERROR(__xludf.DUMMYFUNCTION("""COMPUTED_VALUE"""),4614698)</f>
        <v>4614698</v>
      </c>
      <c r="AR1816" s="17">
        <v>311</v>
      </c>
      <c r="AS1816" s="17">
        <v>250</v>
      </c>
      <c r="AT1816" s="17">
        <v>1168.75</v>
      </c>
      <c r="AU1816" s="17">
        <v>0</v>
      </c>
      <c r="AV1816" s="17">
        <v>0</v>
      </c>
      <c r="AW1816" s="10" t="s">
        <v>105</v>
      </c>
      <c r="AX1816" s="17">
        <v>35</v>
      </c>
      <c r="AY1816" s="18">
        <v>4.6749999999999998</v>
      </c>
      <c r="AZ1816" s="10"/>
      <c r="BA1816" s="20" t="b">
        <v>0</v>
      </c>
      <c r="BB1816" s="10"/>
      <c r="BC1816" s="17">
        <v>311</v>
      </c>
      <c r="BD1816" s="17">
        <v>250</v>
      </c>
      <c r="BE1816" s="17">
        <v>1168.75</v>
      </c>
      <c r="BF1816" s="17">
        <v>0</v>
      </c>
      <c r="BG1816" s="11">
        <f ca="1">IFERROR(__xludf.DUMMYFUNCTION("""COMPUTED_VALUE"""),45933.0833333333)</f>
        <v>45933.083333333299</v>
      </c>
      <c r="BH1816" s="17" t="s">
        <v>105</v>
      </c>
      <c r="BI1816" s="17"/>
      <c r="BJ1816" s="15"/>
      <c r="BK1816" s="15"/>
      <c r="BL1816" s="13" t="b">
        <v>0</v>
      </c>
      <c r="BM1816" s="10"/>
      <c r="BN1816" s="10" t="s">
        <v>185</v>
      </c>
      <c r="BO1816" s="11">
        <v>45904.326388888891</v>
      </c>
      <c r="BP1816" s="11">
        <v>45923.543414351851</v>
      </c>
      <c r="BQ1816" s="15">
        <v>45931.439710648148</v>
      </c>
      <c r="BR1816" s="15">
        <v>45931.544710648152</v>
      </c>
      <c r="BS1816" s="10"/>
      <c r="BT1816" s="10" t="s">
        <v>99</v>
      </c>
      <c r="BU1816" s="10" t="s">
        <v>5854</v>
      </c>
      <c r="BV1816" s="10"/>
      <c r="BW1816" s="10"/>
      <c r="BX1816" s="10"/>
      <c r="BY1816" s="23"/>
      <c r="BZ1816" s="23"/>
      <c r="CA1816" s="19" t="s">
        <v>13750</v>
      </c>
      <c r="CB1816" s="19" t="s">
        <v>13751</v>
      </c>
      <c r="CC1816" s="23"/>
      <c r="CD1816" s="23"/>
      <c r="CE1816" s="23"/>
      <c r="CF1816" s="23"/>
      <c r="CG1816" s="23"/>
      <c r="CH1816" s="23"/>
      <c r="CI1816" s="23"/>
    </row>
    <row r="1817" spans="1:87" x14ac:dyDescent="0.3">
      <c r="A1817" s="9" t="s">
        <v>13752</v>
      </c>
      <c r="B1817" s="10" t="s">
        <v>13753</v>
      </c>
      <c r="C1817" s="11">
        <v>45933.083333333336</v>
      </c>
      <c r="D1817" s="12">
        <v>8.3333333333333329E-2</v>
      </c>
      <c r="E1817" s="11">
        <v>45933.166666666664</v>
      </c>
      <c r="F1817" s="10" t="s">
        <v>8609</v>
      </c>
      <c r="G1817" s="13" t="b">
        <v>0</v>
      </c>
      <c r="H1817" s="10" t="s">
        <v>5239</v>
      </c>
      <c r="I1817" s="10" t="s">
        <v>89</v>
      </c>
      <c r="J1817" s="13" t="b">
        <v>0</v>
      </c>
      <c r="K1817" s="13" t="b">
        <v>1</v>
      </c>
      <c r="L1817" s="10" t="s">
        <v>124</v>
      </c>
      <c r="M1817" s="10" t="s">
        <v>91</v>
      </c>
      <c r="N1817" s="10" t="s">
        <v>92</v>
      </c>
      <c r="O1817" s="19" t="s">
        <v>13754</v>
      </c>
      <c r="P1817" s="10"/>
      <c r="Q1817" s="10" t="s">
        <v>126</v>
      </c>
      <c r="R1817" s="10"/>
      <c r="S1817" s="19" t="s">
        <v>13755</v>
      </c>
      <c r="T1817" s="19" t="s">
        <v>13635</v>
      </c>
      <c r="U1817" s="10" t="s">
        <v>3240</v>
      </c>
      <c r="V1817" s="10" t="s">
        <v>13756</v>
      </c>
      <c r="W1817" s="10" t="s">
        <v>8613</v>
      </c>
      <c r="X1817" s="10" t="s">
        <v>130</v>
      </c>
      <c r="Y1817" s="10" t="s">
        <v>130</v>
      </c>
      <c r="Z1817" s="10" t="s">
        <v>99</v>
      </c>
      <c r="AA1817" s="10" t="s">
        <v>131</v>
      </c>
      <c r="AB1817" s="10" t="s">
        <v>8614</v>
      </c>
      <c r="AC1817" s="10" t="s">
        <v>3571</v>
      </c>
      <c r="AD1817" s="10" t="s">
        <v>13757</v>
      </c>
      <c r="AE1817" s="10" t="s">
        <v>13758</v>
      </c>
      <c r="AF1817" s="15"/>
      <c r="AG1817" s="10"/>
      <c r="AH1817" s="10"/>
      <c r="AI1817" s="10"/>
      <c r="AJ1817" s="10"/>
      <c r="AK1817" s="10" t="s">
        <v>102</v>
      </c>
      <c r="AL1817" s="10" t="s">
        <v>7897</v>
      </c>
      <c r="AM1817" s="10"/>
      <c r="AN1817" s="10"/>
      <c r="AO1817" s="13" t="b">
        <v>0</v>
      </c>
      <c r="AP1817" s="10" t="s">
        <v>104</v>
      </c>
      <c r="AQ1817" s="10">
        <f ca="1">IFERROR(__xludf.DUMMYFUNCTION("""COMPUTED_VALUE"""),4614695)</f>
        <v>4614695</v>
      </c>
      <c r="AR1817" s="17">
        <v>3759</v>
      </c>
      <c r="AS1817" s="17">
        <v>3039</v>
      </c>
      <c r="AT1817" s="17">
        <v>46056.75</v>
      </c>
      <c r="AU1817" s="17">
        <v>5.8</v>
      </c>
      <c r="AV1817" s="17">
        <v>1.65</v>
      </c>
      <c r="AW1817" s="10" t="s">
        <v>105</v>
      </c>
      <c r="AX1817" s="17">
        <v>730</v>
      </c>
      <c r="AY1817" s="18">
        <v>15.155231984205331</v>
      </c>
      <c r="AZ1817" s="10"/>
      <c r="BA1817" s="20" t="b">
        <v>0</v>
      </c>
      <c r="BB1817" s="10"/>
      <c r="BC1817" s="17">
        <v>3759</v>
      </c>
      <c r="BD1817" s="17">
        <v>3039</v>
      </c>
      <c r="BE1817" s="17">
        <v>46056.75</v>
      </c>
      <c r="BF1817" s="17">
        <v>1.65</v>
      </c>
      <c r="BG1817" s="11">
        <f ca="1">IFERROR(__xludf.DUMMYFUNCTION("""COMPUTED_VALUE"""),45933.0833333333)</f>
        <v>45933.083333333299</v>
      </c>
      <c r="BH1817" s="17" t="s">
        <v>105</v>
      </c>
      <c r="BI1817" s="17"/>
      <c r="BJ1817" s="15"/>
      <c r="BK1817" s="15"/>
      <c r="BL1817" s="13" t="b">
        <v>0</v>
      </c>
      <c r="BM1817" s="10"/>
      <c r="BN1817" s="10" t="s">
        <v>185</v>
      </c>
      <c r="BO1817" s="11">
        <v>45904.326388888891</v>
      </c>
      <c r="BP1817" s="11">
        <v>45923.542800925927</v>
      </c>
      <c r="BQ1817" s="15">
        <v>45931.439097222225</v>
      </c>
      <c r="BR1817" s="15">
        <v>45931.539733796293</v>
      </c>
      <c r="BS1817" s="10"/>
      <c r="BT1817" s="10" t="s">
        <v>279</v>
      </c>
      <c r="BU1817" s="10" t="s">
        <v>1275</v>
      </c>
      <c r="BV1817" s="10"/>
      <c r="BW1817" s="10"/>
      <c r="BX1817" s="10"/>
      <c r="BY1817" s="23"/>
      <c r="BZ1817" s="23"/>
      <c r="CA1817" s="19" t="s">
        <v>13759</v>
      </c>
      <c r="CB1817" s="19" t="s">
        <v>13760</v>
      </c>
      <c r="CC1817" s="23"/>
      <c r="CD1817" s="19" t="s">
        <v>13761</v>
      </c>
      <c r="CE1817" s="23"/>
      <c r="CF1817" s="23"/>
      <c r="CG1817" s="23"/>
      <c r="CH1817" s="23"/>
      <c r="CI1817" s="23"/>
    </row>
    <row r="1818" spans="1:87" x14ac:dyDescent="0.3">
      <c r="A1818" s="9" t="s">
        <v>13762</v>
      </c>
      <c r="B1818" s="10" t="s">
        <v>13763</v>
      </c>
      <c r="C1818" s="11">
        <v>45933.083333333336</v>
      </c>
      <c r="D1818" s="12">
        <v>8.3333333333333329E-2</v>
      </c>
      <c r="E1818" s="11">
        <v>45933.166666666664</v>
      </c>
      <c r="F1818" s="10" t="s">
        <v>8609</v>
      </c>
      <c r="G1818" s="13" t="b">
        <v>0</v>
      </c>
      <c r="H1818" s="10" t="s">
        <v>5239</v>
      </c>
      <c r="I1818" s="10" t="s">
        <v>89</v>
      </c>
      <c r="J1818" s="13" t="b">
        <v>0</v>
      </c>
      <c r="K1818" s="13" t="b">
        <v>1</v>
      </c>
      <c r="L1818" s="10" t="s">
        <v>124</v>
      </c>
      <c r="M1818" s="10" t="s">
        <v>91</v>
      </c>
      <c r="N1818" s="10" t="s">
        <v>92</v>
      </c>
      <c r="O1818" s="19" t="s">
        <v>13764</v>
      </c>
      <c r="P1818" s="10"/>
      <c r="Q1818" s="10" t="s">
        <v>94</v>
      </c>
      <c r="R1818" s="10"/>
      <c r="S1818" s="19" t="s">
        <v>13765</v>
      </c>
      <c r="T1818" s="19" t="s">
        <v>13635</v>
      </c>
      <c r="U1818" s="10" t="s">
        <v>13766</v>
      </c>
      <c r="V1818" s="10" t="s">
        <v>13767</v>
      </c>
      <c r="W1818" s="10" t="s">
        <v>8613</v>
      </c>
      <c r="X1818" s="10" t="s">
        <v>130</v>
      </c>
      <c r="Y1818" s="10" t="s">
        <v>130</v>
      </c>
      <c r="Z1818" s="10" t="s">
        <v>99</v>
      </c>
      <c r="AA1818" s="10" t="s">
        <v>131</v>
      </c>
      <c r="AB1818" s="10" t="s">
        <v>8614</v>
      </c>
      <c r="AC1818" s="10" t="s">
        <v>3571</v>
      </c>
      <c r="AD1818" s="10" t="s">
        <v>13768</v>
      </c>
      <c r="AE1818" s="10" t="s">
        <v>13769</v>
      </c>
      <c r="AF1818" s="15"/>
      <c r="AG1818" s="10"/>
      <c r="AH1818" s="10"/>
      <c r="AI1818" s="10"/>
      <c r="AJ1818" s="10"/>
      <c r="AK1818" s="10" t="s">
        <v>102</v>
      </c>
      <c r="AL1818" s="10" t="s">
        <v>7897</v>
      </c>
      <c r="AM1818" s="10"/>
      <c r="AN1818" s="10"/>
      <c r="AO1818" s="13" t="b">
        <v>0</v>
      </c>
      <c r="AP1818" s="10" t="s">
        <v>104</v>
      </c>
      <c r="AQ1818" s="10">
        <f ca="1">IFERROR(__xludf.DUMMYFUNCTION("""COMPUTED_VALUE"""),4614693)</f>
        <v>4614693</v>
      </c>
      <c r="AR1818" s="17">
        <v>293</v>
      </c>
      <c r="AS1818" s="17">
        <v>228</v>
      </c>
      <c r="AT1818" s="17">
        <v>859.75</v>
      </c>
      <c r="AU1818" s="17">
        <v>0</v>
      </c>
      <c r="AV1818" s="17">
        <v>0</v>
      </c>
      <c r="AW1818" s="10" t="s">
        <v>105</v>
      </c>
      <c r="AX1818" s="17">
        <v>32</v>
      </c>
      <c r="AY1818" s="18">
        <v>3.7708333333333335</v>
      </c>
      <c r="AZ1818" s="10"/>
      <c r="BA1818" s="20" t="b">
        <v>0</v>
      </c>
      <c r="BB1818" s="10"/>
      <c r="BC1818" s="17">
        <v>293</v>
      </c>
      <c r="BD1818" s="17">
        <v>228</v>
      </c>
      <c r="BE1818" s="17">
        <v>859.75</v>
      </c>
      <c r="BF1818" s="17">
        <v>0</v>
      </c>
      <c r="BG1818" s="11">
        <f ca="1">IFERROR(__xludf.DUMMYFUNCTION("""COMPUTED_VALUE"""),45933.0833333333)</f>
        <v>45933.083333333299</v>
      </c>
      <c r="BH1818" s="17" t="s">
        <v>105</v>
      </c>
      <c r="BI1818" s="17"/>
      <c r="BJ1818" s="15"/>
      <c r="BK1818" s="15"/>
      <c r="BL1818" s="13" t="b">
        <v>0</v>
      </c>
      <c r="BM1818" s="10"/>
      <c r="BN1818" s="10" t="s">
        <v>185</v>
      </c>
      <c r="BO1818" s="11">
        <v>45904.326388888891</v>
      </c>
      <c r="BP1818" s="11">
        <v>45923.543229166666</v>
      </c>
      <c r="BQ1818" s="15">
        <v>45931.438877314817</v>
      </c>
      <c r="BR1818" s="15">
        <v>45931.540162037039</v>
      </c>
      <c r="BS1818" s="10"/>
      <c r="BT1818" s="10" t="s">
        <v>99</v>
      </c>
      <c r="BU1818" s="10" t="s">
        <v>1286</v>
      </c>
      <c r="BV1818" s="10"/>
      <c r="BW1818" s="10"/>
      <c r="BX1818" s="10"/>
      <c r="BY1818" s="23"/>
      <c r="BZ1818" s="23"/>
      <c r="CA1818" s="19" t="s">
        <v>13770</v>
      </c>
      <c r="CB1818" s="19" t="s">
        <v>13771</v>
      </c>
      <c r="CC1818" s="23"/>
      <c r="CD1818" s="23"/>
      <c r="CE1818" s="23"/>
      <c r="CF1818" s="23"/>
      <c r="CG1818" s="23"/>
      <c r="CH1818" s="23"/>
      <c r="CI1818" s="23"/>
    </row>
    <row r="1819" spans="1:87" x14ac:dyDescent="0.3">
      <c r="A1819" s="9" t="s">
        <v>13772</v>
      </c>
      <c r="B1819" s="10" t="s">
        <v>13773</v>
      </c>
      <c r="C1819" s="11">
        <v>45933.083333333336</v>
      </c>
      <c r="D1819" s="12">
        <v>8.3333333333333329E-2</v>
      </c>
      <c r="E1819" s="11">
        <v>45933.166666666664</v>
      </c>
      <c r="F1819" s="10" t="s">
        <v>8609</v>
      </c>
      <c r="G1819" s="13" t="b">
        <v>0</v>
      </c>
      <c r="H1819" s="10" t="s">
        <v>5239</v>
      </c>
      <c r="I1819" s="10" t="s">
        <v>89</v>
      </c>
      <c r="J1819" s="13" t="b">
        <v>0</v>
      </c>
      <c r="K1819" s="13" t="b">
        <v>1</v>
      </c>
      <c r="L1819" s="10" t="s">
        <v>124</v>
      </c>
      <c r="M1819" s="10" t="s">
        <v>91</v>
      </c>
      <c r="N1819" s="10" t="s">
        <v>92</v>
      </c>
      <c r="O1819" s="19" t="s">
        <v>13774</v>
      </c>
      <c r="P1819" s="10"/>
      <c r="Q1819" s="10" t="s">
        <v>94</v>
      </c>
      <c r="R1819" s="10"/>
      <c r="S1819" s="19" t="s">
        <v>13775</v>
      </c>
      <c r="T1819" s="19" t="s">
        <v>13635</v>
      </c>
      <c r="U1819" s="10" t="s">
        <v>7924</v>
      </c>
      <c r="V1819" s="10" t="s">
        <v>13776</v>
      </c>
      <c r="W1819" s="10" t="s">
        <v>8613</v>
      </c>
      <c r="X1819" s="10" t="s">
        <v>130</v>
      </c>
      <c r="Y1819" s="10" t="s">
        <v>130</v>
      </c>
      <c r="Z1819" s="10" t="s">
        <v>99</v>
      </c>
      <c r="AA1819" s="10" t="s">
        <v>131</v>
      </c>
      <c r="AB1819" s="10" t="s">
        <v>8614</v>
      </c>
      <c r="AC1819" s="10" t="s">
        <v>3571</v>
      </c>
      <c r="AD1819" s="10" t="s">
        <v>13777</v>
      </c>
      <c r="AE1819" s="10" t="s">
        <v>13778</v>
      </c>
      <c r="AF1819" s="15"/>
      <c r="AG1819" s="10"/>
      <c r="AH1819" s="10"/>
      <c r="AI1819" s="10"/>
      <c r="AJ1819" s="10"/>
      <c r="AK1819" s="10" t="s">
        <v>102</v>
      </c>
      <c r="AL1819" s="10" t="s">
        <v>7897</v>
      </c>
      <c r="AM1819" s="10"/>
      <c r="AN1819" s="10"/>
      <c r="AO1819" s="13" t="b">
        <v>0</v>
      </c>
      <c r="AP1819" s="10" t="s">
        <v>104</v>
      </c>
      <c r="AQ1819" s="10">
        <f ca="1">IFERROR(__xludf.DUMMYFUNCTION("""COMPUTED_VALUE"""),4614696)</f>
        <v>4614696</v>
      </c>
      <c r="AR1819" s="17">
        <v>359</v>
      </c>
      <c r="AS1819" s="17">
        <v>272</v>
      </c>
      <c r="AT1819" s="17">
        <v>2036.5</v>
      </c>
      <c r="AU1819" s="17">
        <v>0.6</v>
      </c>
      <c r="AV1819" s="17">
        <v>0</v>
      </c>
      <c r="AW1819" s="10" t="s">
        <v>105</v>
      </c>
      <c r="AX1819" s="17">
        <v>47</v>
      </c>
      <c r="AY1819" s="18">
        <v>7.4871323529411766</v>
      </c>
      <c r="AZ1819" s="10"/>
      <c r="BA1819" s="20" t="b">
        <v>0</v>
      </c>
      <c r="BB1819" s="10"/>
      <c r="BC1819" s="17">
        <v>359</v>
      </c>
      <c r="BD1819" s="17">
        <v>272</v>
      </c>
      <c r="BE1819" s="17">
        <v>2036.5</v>
      </c>
      <c r="BF1819" s="17">
        <v>0</v>
      </c>
      <c r="BG1819" s="11">
        <f ca="1">IFERROR(__xludf.DUMMYFUNCTION("""COMPUTED_VALUE"""),45933.0833333333)</f>
        <v>45933.083333333299</v>
      </c>
      <c r="BH1819" s="17" t="s">
        <v>105</v>
      </c>
      <c r="BI1819" s="17"/>
      <c r="BJ1819" s="15"/>
      <c r="BK1819" s="15"/>
      <c r="BL1819" s="13" t="b">
        <v>0</v>
      </c>
      <c r="BM1819" s="10"/>
      <c r="BN1819" s="10" t="s">
        <v>185</v>
      </c>
      <c r="BO1819" s="11">
        <v>45904.326388888891</v>
      </c>
      <c r="BP1819" s="11">
        <v>45923.543078703704</v>
      </c>
      <c r="BQ1819" s="15">
        <v>45931.439351851855</v>
      </c>
      <c r="BR1819" s="15">
        <v>45931.54314814815</v>
      </c>
      <c r="BS1819" s="10"/>
      <c r="BT1819" s="10" t="s">
        <v>99</v>
      </c>
      <c r="BU1819" s="10" t="s">
        <v>1264</v>
      </c>
      <c r="BV1819" s="10"/>
      <c r="BW1819" s="10"/>
      <c r="BX1819" s="10"/>
      <c r="BY1819" s="23"/>
      <c r="BZ1819" s="23"/>
      <c r="CA1819" s="19" t="s">
        <v>13779</v>
      </c>
      <c r="CB1819" s="19" t="s">
        <v>13780</v>
      </c>
      <c r="CC1819" s="23"/>
      <c r="CD1819" s="23"/>
      <c r="CE1819" s="23"/>
      <c r="CF1819" s="23"/>
      <c r="CG1819" s="23"/>
      <c r="CH1819" s="23"/>
      <c r="CI1819" s="23"/>
    </row>
    <row r="1820" spans="1:87" x14ac:dyDescent="0.3">
      <c r="A1820" s="9" t="s">
        <v>13781</v>
      </c>
      <c r="B1820" s="10" t="s">
        <v>13782</v>
      </c>
      <c r="C1820" s="11">
        <v>45933.083333333336</v>
      </c>
      <c r="D1820" s="12">
        <v>8.3333333333333329E-2</v>
      </c>
      <c r="E1820" s="11">
        <v>45933.166666666664</v>
      </c>
      <c r="F1820" s="10" t="s">
        <v>8609</v>
      </c>
      <c r="G1820" s="13" t="b">
        <v>0</v>
      </c>
      <c r="H1820" s="10" t="s">
        <v>5239</v>
      </c>
      <c r="I1820" s="10" t="s">
        <v>89</v>
      </c>
      <c r="J1820" s="13" t="b">
        <v>0</v>
      </c>
      <c r="K1820" s="13" t="b">
        <v>1</v>
      </c>
      <c r="L1820" s="10" t="s">
        <v>124</v>
      </c>
      <c r="M1820" s="10" t="s">
        <v>91</v>
      </c>
      <c r="N1820" s="10" t="s">
        <v>92</v>
      </c>
      <c r="O1820" s="19" t="s">
        <v>13783</v>
      </c>
      <c r="P1820" s="10"/>
      <c r="Q1820" s="10" t="s">
        <v>126</v>
      </c>
      <c r="R1820" s="10"/>
      <c r="S1820" s="19" t="s">
        <v>13784</v>
      </c>
      <c r="T1820" s="19" t="s">
        <v>13635</v>
      </c>
      <c r="U1820" s="10" t="s">
        <v>7923</v>
      </c>
      <c r="V1820" s="10" t="s">
        <v>3727</v>
      </c>
      <c r="W1820" s="10" t="s">
        <v>8613</v>
      </c>
      <c r="X1820" s="10" t="s">
        <v>130</v>
      </c>
      <c r="Y1820" s="10" t="s">
        <v>130</v>
      </c>
      <c r="Z1820" s="10" t="s">
        <v>99</v>
      </c>
      <c r="AA1820" s="10" t="s">
        <v>131</v>
      </c>
      <c r="AB1820" s="10" t="s">
        <v>8614</v>
      </c>
      <c r="AC1820" s="10" t="s">
        <v>3571</v>
      </c>
      <c r="AD1820" s="10" t="s">
        <v>13785</v>
      </c>
      <c r="AE1820" s="10" t="s">
        <v>13786</v>
      </c>
      <c r="AF1820" s="15"/>
      <c r="AG1820" s="10"/>
      <c r="AH1820" s="10"/>
      <c r="AI1820" s="10"/>
      <c r="AJ1820" s="10"/>
      <c r="AK1820" s="10" t="s">
        <v>102</v>
      </c>
      <c r="AL1820" s="10" t="s">
        <v>7897</v>
      </c>
      <c r="AM1820" s="10"/>
      <c r="AN1820" s="10"/>
      <c r="AO1820" s="13" t="b">
        <v>0</v>
      </c>
      <c r="AP1820" s="10" t="s">
        <v>104</v>
      </c>
      <c r="AQ1820" s="10">
        <f ca="1">IFERROR(__xludf.DUMMYFUNCTION("""COMPUTED_VALUE"""),4614692)</f>
        <v>4614692</v>
      </c>
      <c r="AR1820" s="17">
        <v>1112</v>
      </c>
      <c r="AS1820" s="17">
        <v>869</v>
      </c>
      <c r="AT1820" s="17">
        <v>4876</v>
      </c>
      <c r="AU1820" s="17">
        <v>0.1</v>
      </c>
      <c r="AV1820" s="17">
        <v>0.1</v>
      </c>
      <c r="AW1820" s="10" t="s">
        <v>105</v>
      </c>
      <c r="AX1820" s="17">
        <v>114</v>
      </c>
      <c r="AY1820" s="18">
        <v>5.611047180667434</v>
      </c>
      <c r="AZ1820" s="10"/>
      <c r="BA1820" s="20" t="b">
        <v>0</v>
      </c>
      <c r="BB1820" s="10"/>
      <c r="BC1820" s="17">
        <v>1112</v>
      </c>
      <c r="BD1820" s="17">
        <v>869</v>
      </c>
      <c r="BE1820" s="17">
        <v>4876</v>
      </c>
      <c r="BF1820" s="17">
        <v>0.1</v>
      </c>
      <c r="BG1820" s="11">
        <f ca="1">IFERROR(__xludf.DUMMYFUNCTION("""COMPUTED_VALUE"""),45933.0833333333)</f>
        <v>45933.083333333299</v>
      </c>
      <c r="BH1820" s="17" t="s">
        <v>105</v>
      </c>
      <c r="BI1820" s="17"/>
      <c r="BJ1820" s="15"/>
      <c r="BK1820" s="15"/>
      <c r="BL1820" s="13" t="b">
        <v>0</v>
      </c>
      <c r="BM1820" s="10"/>
      <c r="BN1820" s="10" t="s">
        <v>185</v>
      </c>
      <c r="BO1820" s="11">
        <v>45904.326388888891</v>
      </c>
      <c r="BP1820" s="11">
        <v>45923.542939814812</v>
      </c>
      <c r="BQ1820" s="15">
        <v>45931.438738425924</v>
      </c>
      <c r="BR1820" s="15">
        <v>45931.538287037038</v>
      </c>
      <c r="BS1820" s="10"/>
      <c r="BT1820" s="10" t="s">
        <v>99</v>
      </c>
      <c r="BU1820" s="10" t="s">
        <v>9114</v>
      </c>
      <c r="BV1820" s="10"/>
      <c r="BW1820" s="10"/>
      <c r="BX1820" s="10"/>
      <c r="BY1820" s="23"/>
      <c r="BZ1820" s="23"/>
      <c r="CA1820" s="19" t="s">
        <v>13787</v>
      </c>
      <c r="CB1820" s="19" t="s">
        <v>13788</v>
      </c>
      <c r="CC1820" s="23"/>
      <c r="CD1820" s="19" t="s">
        <v>13789</v>
      </c>
      <c r="CE1820" s="23"/>
      <c r="CF1820" s="23"/>
      <c r="CG1820" s="23"/>
      <c r="CH1820" s="23"/>
      <c r="CI1820" s="23"/>
    </row>
    <row r="1821" spans="1:87" x14ac:dyDescent="0.3">
      <c r="A1821" s="9" t="s">
        <v>13790</v>
      </c>
      <c r="B1821" s="10" t="s">
        <v>13791</v>
      </c>
      <c r="C1821" s="11">
        <v>45933.083333333336</v>
      </c>
      <c r="D1821" s="12">
        <v>8.3333333333333329E-2</v>
      </c>
      <c r="E1821" s="11">
        <v>45933.166666666664</v>
      </c>
      <c r="F1821" s="10" t="s">
        <v>8609</v>
      </c>
      <c r="G1821" s="13" t="b">
        <v>0</v>
      </c>
      <c r="H1821" s="10" t="s">
        <v>5239</v>
      </c>
      <c r="I1821" s="10" t="s">
        <v>89</v>
      </c>
      <c r="J1821" s="13" t="b">
        <v>0</v>
      </c>
      <c r="K1821" s="13" t="b">
        <v>1</v>
      </c>
      <c r="L1821" s="10" t="s">
        <v>124</v>
      </c>
      <c r="M1821" s="10" t="s">
        <v>91</v>
      </c>
      <c r="N1821" s="10" t="s">
        <v>92</v>
      </c>
      <c r="O1821" s="19" t="s">
        <v>13792</v>
      </c>
      <c r="P1821" s="10"/>
      <c r="Q1821" s="10" t="s">
        <v>94</v>
      </c>
      <c r="R1821" s="10"/>
      <c r="S1821" s="19" t="s">
        <v>13793</v>
      </c>
      <c r="T1821" s="19" t="s">
        <v>13635</v>
      </c>
      <c r="U1821" s="10" t="s">
        <v>13794</v>
      </c>
      <c r="V1821" s="10" t="s">
        <v>13795</v>
      </c>
      <c r="W1821" s="10" t="s">
        <v>8613</v>
      </c>
      <c r="X1821" s="10" t="s">
        <v>130</v>
      </c>
      <c r="Y1821" s="10" t="s">
        <v>130</v>
      </c>
      <c r="Z1821" s="10" t="s">
        <v>99</v>
      </c>
      <c r="AA1821" s="10" t="s">
        <v>131</v>
      </c>
      <c r="AB1821" s="10" t="s">
        <v>8614</v>
      </c>
      <c r="AC1821" s="10" t="s">
        <v>3571</v>
      </c>
      <c r="AD1821" s="10" t="s">
        <v>13796</v>
      </c>
      <c r="AE1821" s="10" t="s">
        <v>13797</v>
      </c>
      <c r="AF1821" s="15"/>
      <c r="AG1821" s="10"/>
      <c r="AH1821" s="10"/>
      <c r="AI1821" s="10"/>
      <c r="AJ1821" s="10"/>
      <c r="AK1821" s="10" t="s">
        <v>102</v>
      </c>
      <c r="AL1821" s="10" t="s">
        <v>7897</v>
      </c>
      <c r="AM1821" s="10"/>
      <c r="AN1821" s="10"/>
      <c r="AO1821" s="13" t="b">
        <v>0</v>
      </c>
      <c r="AP1821" s="10" t="s">
        <v>104</v>
      </c>
      <c r="AQ1821" s="10">
        <f ca="1">IFERROR(__xludf.DUMMYFUNCTION("""COMPUTED_VALUE"""),4614691)</f>
        <v>4614691</v>
      </c>
      <c r="AR1821" s="17">
        <v>561</v>
      </c>
      <c r="AS1821" s="17">
        <v>422</v>
      </c>
      <c r="AT1821" s="17">
        <v>2645.25</v>
      </c>
      <c r="AU1821" s="17">
        <v>0.1</v>
      </c>
      <c r="AV1821" s="17">
        <v>0.1</v>
      </c>
      <c r="AW1821" s="10" t="s">
        <v>105</v>
      </c>
      <c r="AX1821" s="17">
        <v>65</v>
      </c>
      <c r="AY1821" s="18">
        <v>6.2683649289099526</v>
      </c>
      <c r="AZ1821" s="10"/>
      <c r="BA1821" s="20" t="b">
        <v>0</v>
      </c>
      <c r="BB1821" s="10"/>
      <c r="BC1821" s="17">
        <v>561</v>
      </c>
      <c r="BD1821" s="17">
        <v>422</v>
      </c>
      <c r="BE1821" s="17">
        <v>2645.25</v>
      </c>
      <c r="BF1821" s="17">
        <v>0.1</v>
      </c>
      <c r="BG1821" s="11">
        <f ca="1">IFERROR(__xludf.DUMMYFUNCTION("""COMPUTED_VALUE"""),45933.0833333333)</f>
        <v>45933.083333333299</v>
      </c>
      <c r="BH1821" s="17" t="s">
        <v>105</v>
      </c>
      <c r="BI1821" s="17"/>
      <c r="BJ1821" s="15"/>
      <c r="BK1821" s="15"/>
      <c r="BL1821" s="13" t="b">
        <v>0</v>
      </c>
      <c r="BM1821" s="10"/>
      <c r="BN1821" s="10" t="s">
        <v>185</v>
      </c>
      <c r="BO1821" s="11">
        <v>45904.326388888891</v>
      </c>
      <c r="BP1821" s="11">
        <v>45923.542638888888</v>
      </c>
      <c r="BQ1821" s="15">
        <v>45931.438460648147</v>
      </c>
      <c r="BR1821" s="15">
        <v>45931.537974537037</v>
      </c>
      <c r="BS1821" s="10"/>
      <c r="BT1821" s="10" t="s">
        <v>99</v>
      </c>
      <c r="BU1821" s="10" t="s">
        <v>1253</v>
      </c>
      <c r="BV1821" s="10"/>
      <c r="BW1821" s="10"/>
      <c r="BX1821" s="10"/>
      <c r="BY1821" s="23"/>
      <c r="BZ1821" s="23"/>
      <c r="CA1821" s="19" t="s">
        <v>13798</v>
      </c>
      <c r="CB1821" s="19" t="s">
        <v>13799</v>
      </c>
      <c r="CC1821" s="23"/>
      <c r="CD1821" s="23"/>
      <c r="CE1821" s="23"/>
      <c r="CF1821" s="23"/>
      <c r="CG1821" s="23"/>
      <c r="CH1821" s="23"/>
      <c r="CI1821" s="23"/>
    </row>
    <row r="1822" spans="1:87" x14ac:dyDescent="0.3">
      <c r="A1822" s="9" t="s">
        <v>13800</v>
      </c>
      <c r="B1822" s="10" t="s">
        <v>13801</v>
      </c>
      <c r="C1822" s="11">
        <v>45933.083333333336</v>
      </c>
      <c r="D1822" s="12">
        <v>8.3333333333333329E-2</v>
      </c>
      <c r="E1822" s="11">
        <v>45933.166666666664</v>
      </c>
      <c r="F1822" s="10" t="s">
        <v>8609</v>
      </c>
      <c r="G1822" s="13" t="b">
        <v>0</v>
      </c>
      <c r="H1822" s="10" t="s">
        <v>5239</v>
      </c>
      <c r="I1822" s="10" t="s">
        <v>89</v>
      </c>
      <c r="J1822" s="13" t="b">
        <v>0</v>
      </c>
      <c r="K1822" s="13" t="b">
        <v>1</v>
      </c>
      <c r="L1822" s="10" t="s">
        <v>124</v>
      </c>
      <c r="M1822" s="10" t="s">
        <v>91</v>
      </c>
      <c r="N1822" s="10" t="s">
        <v>92</v>
      </c>
      <c r="O1822" s="19" t="s">
        <v>13802</v>
      </c>
      <c r="P1822" s="10"/>
      <c r="Q1822" s="10" t="s">
        <v>94</v>
      </c>
      <c r="R1822" s="10"/>
      <c r="S1822" s="19" t="s">
        <v>13803</v>
      </c>
      <c r="T1822" s="19" t="s">
        <v>13635</v>
      </c>
      <c r="U1822" s="10" t="s">
        <v>7812</v>
      </c>
      <c r="V1822" s="10" t="s">
        <v>8622</v>
      </c>
      <c r="W1822" s="10" t="s">
        <v>8613</v>
      </c>
      <c r="X1822" s="10" t="s">
        <v>130</v>
      </c>
      <c r="Y1822" s="10" t="s">
        <v>130</v>
      </c>
      <c r="Z1822" s="10" t="s">
        <v>99</v>
      </c>
      <c r="AA1822" s="10" t="s">
        <v>131</v>
      </c>
      <c r="AB1822" s="10" t="s">
        <v>8614</v>
      </c>
      <c r="AC1822" s="10" t="s">
        <v>3571</v>
      </c>
      <c r="AD1822" s="10" t="s">
        <v>13804</v>
      </c>
      <c r="AE1822" s="10" t="s">
        <v>13805</v>
      </c>
      <c r="AF1822" s="15"/>
      <c r="AG1822" s="10"/>
      <c r="AH1822" s="10"/>
      <c r="AI1822" s="10"/>
      <c r="AJ1822" s="10"/>
      <c r="AK1822" s="10" t="s">
        <v>102</v>
      </c>
      <c r="AL1822" s="10" t="s">
        <v>7897</v>
      </c>
      <c r="AM1822" s="10"/>
      <c r="AN1822" s="10"/>
      <c r="AO1822" s="13" t="b">
        <v>0</v>
      </c>
      <c r="AP1822" s="10" t="s">
        <v>104</v>
      </c>
      <c r="AQ1822" s="10">
        <f ca="1">IFERROR(__xludf.DUMMYFUNCTION("""COMPUTED_VALUE"""),4614699)</f>
        <v>4614699</v>
      </c>
      <c r="AR1822" s="17">
        <v>537</v>
      </c>
      <c r="AS1822" s="17">
        <v>424</v>
      </c>
      <c r="AT1822" s="17">
        <v>3390</v>
      </c>
      <c r="AU1822" s="17">
        <v>0</v>
      </c>
      <c r="AV1822" s="17">
        <v>0</v>
      </c>
      <c r="AW1822" s="10" t="s">
        <v>105</v>
      </c>
      <c r="AX1822" s="17">
        <v>74</v>
      </c>
      <c r="AY1822" s="18">
        <v>7.9952830188679247</v>
      </c>
      <c r="AZ1822" s="10"/>
      <c r="BA1822" s="20" t="b">
        <v>0</v>
      </c>
      <c r="BB1822" s="10"/>
      <c r="BC1822" s="17">
        <v>537</v>
      </c>
      <c r="BD1822" s="17">
        <v>424</v>
      </c>
      <c r="BE1822" s="17">
        <v>3390</v>
      </c>
      <c r="BF1822" s="17">
        <v>0</v>
      </c>
      <c r="BG1822" s="11">
        <f ca="1">IFERROR(__xludf.DUMMYFUNCTION("""COMPUTED_VALUE"""),45933.0833333333)</f>
        <v>45933.083333333299</v>
      </c>
      <c r="BH1822" s="17" t="s">
        <v>105</v>
      </c>
      <c r="BI1822" s="17"/>
      <c r="BJ1822" s="15"/>
      <c r="BK1822" s="15"/>
      <c r="BL1822" s="13" t="b">
        <v>0</v>
      </c>
      <c r="BM1822" s="10"/>
      <c r="BN1822" s="10" t="s">
        <v>185</v>
      </c>
      <c r="BO1822" s="11">
        <v>45904.326388888891</v>
      </c>
      <c r="BP1822" s="11">
        <v>45923.543495370373</v>
      </c>
      <c r="BQ1822" s="15">
        <v>45931.439849537041</v>
      </c>
      <c r="BR1822" s="15">
        <v>45931.581053240741</v>
      </c>
      <c r="BS1822" s="10"/>
      <c r="BT1822" s="10" t="s">
        <v>99</v>
      </c>
      <c r="BU1822" s="10" t="s">
        <v>6753</v>
      </c>
      <c r="BV1822" s="10"/>
      <c r="BW1822" s="10"/>
      <c r="BX1822" s="10"/>
      <c r="BY1822" s="23"/>
      <c r="BZ1822" s="23"/>
      <c r="CA1822" s="19" t="s">
        <v>13806</v>
      </c>
      <c r="CB1822" s="19" t="s">
        <v>13807</v>
      </c>
      <c r="CC1822" s="23"/>
      <c r="CD1822" s="23"/>
      <c r="CE1822" s="23"/>
      <c r="CF1822" s="23"/>
      <c r="CG1822" s="23"/>
      <c r="CH1822" s="23"/>
      <c r="CI1822" s="23"/>
    </row>
    <row r="1823" spans="1:87" x14ac:dyDescent="0.3">
      <c r="A1823" s="9" t="s">
        <v>13808</v>
      </c>
      <c r="B1823" s="10" t="s">
        <v>13809</v>
      </c>
      <c r="C1823" s="11">
        <v>45953.989583333336</v>
      </c>
      <c r="D1823" s="12">
        <v>8.3333333333333329E-2</v>
      </c>
      <c r="E1823" s="11">
        <v>45954.072916666664</v>
      </c>
      <c r="F1823" s="10" t="s">
        <v>8609</v>
      </c>
      <c r="G1823" s="13" t="b">
        <v>0</v>
      </c>
      <c r="H1823" s="10" t="s">
        <v>5239</v>
      </c>
      <c r="I1823" s="10" t="s">
        <v>89</v>
      </c>
      <c r="J1823" s="13" t="b">
        <v>0</v>
      </c>
      <c r="K1823" s="13" t="b">
        <v>1</v>
      </c>
      <c r="L1823" s="10" t="s">
        <v>124</v>
      </c>
      <c r="M1823" s="10" t="s">
        <v>91</v>
      </c>
      <c r="N1823" s="10" t="s">
        <v>92</v>
      </c>
      <c r="O1823" s="19" t="s">
        <v>13810</v>
      </c>
      <c r="P1823" s="10"/>
      <c r="Q1823" s="10" t="s">
        <v>94</v>
      </c>
      <c r="R1823" s="10"/>
      <c r="S1823" s="19" t="s">
        <v>13811</v>
      </c>
      <c r="T1823" s="19" t="s">
        <v>13812</v>
      </c>
      <c r="U1823" s="10" t="s">
        <v>13717</v>
      </c>
      <c r="V1823" s="10" t="s">
        <v>13636</v>
      </c>
      <c r="W1823" s="10" t="s">
        <v>8613</v>
      </c>
      <c r="X1823" s="10" t="s">
        <v>130</v>
      </c>
      <c r="Y1823" s="10" t="s">
        <v>130</v>
      </c>
      <c r="Z1823" s="10" t="s">
        <v>99</v>
      </c>
      <c r="AA1823" s="10" t="s">
        <v>131</v>
      </c>
      <c r="AB1823" s="10" t="s">
        <v>8614</v>
      </c>
      <c r="AC1823" s="10" t="s">
        <v>3571</v>
      </c>
      <c r="AD1823" s="10" t="s">
        <v>13813</v>
      </c>
      <c r="AE1823" s="10" t="s">
        <v>13814</v>
      </c>
      <c r="AF1823" s="15"/>
      <c r="AG1823" s="10"/>
      <c r="AH1823" s="10"/>
      <c r="AI1823" s="10"/>
      <c r="AJ1823" s="10"/>
      <c r="AK1823" s="10" t="s">
        <v>102</v>
      </c>
      <c r="AL1823" s="10" t="s">
        <v>7897</v>
      </c>
      <c r="AM1823" s="10"/>
      <c r="AN1823" s="10"/>
      <c r="AO1823" s="13" t="b">
        <v>0</v>
      </c>
      <c r="AP1823" s="10" t="s">
        <v>104</v>
      </c>
      <c r="AQ1823" s="10">
        <f ca="1">IFERROR(__xludf.DUMMYFUNCTION("""COMPUTED_VALUE"""),4664181)</f>
        <v>4664181</v>
      </c>
      <c r="AR1823" s="17">
        <v>266</v>
      </c>
      <c r="AS1823" s="17">
        <v>238</v>
      </c>
      <c r="AT1823" s="17">
        <v>675.25</v>
      </c>
      <c r="AU1823" s="17">
        <v>0.15</v>
      </c>
      <c r="AV1823" s="17">
        <v>0</v>
      </c>
      <c r="AW1823" s="10" t="s">
        <v>105</v>
      </c>
      <c r="AX1823" s="17">
        <v>27</v>
      </c>
      <c r="AY1823" s="18">
        <v>2.83718487394958</v>
      </c>
      <c r="AZ1823" s="10"/>
      <c r="BA1823" s="20" t="b">
        <v>0</v>
      </c>
      <c r="BB1823" s="10"/>
      <c r="BC1823" s="17">
        <v>266</v>
      </c>
      <c r="BD1823" s="17">
        <v>238</v>
      </c>
      <c r="BE1823" s="17">
        <v>675.25</v>
      </c>
      <c r="BF1823" s="17">
        <v>0</v>
      </c>
      <c r="BG1823" s="11">
        <f ca="1">IFERROR(__xludf.DUMMYFUNCTION("""COMPUTED_VALUE"""),45953.9895833333)</f>
        <v>45953.989583333299</v>
      </c>
      <c r="BH1823" s="17" t="s">
        <v>105</v>
      </c>
      <c r="BI1823" s="17"/>
      <c r="BJ1823" s="15"/>
      <c r="BK1823" s="15"/>
      <c r="BL1823" s="13" t="b">
        <v>0</v>
      </c>
      <c r="BM1823" s="10"/>
      <c r="BN1823" s="10" t="s">
        <v>185</v>
      </c>
      <c r="BO1823" s="11">
        <v>45904.326747685183</v>
      </c>
      <c r="BP1823" s="11">
        <v>45943.592418981483</v>
      </c>
      <c r="BQ1823" s="15">
        <v>45951.46130787037</v>
      </c>
      <c r="BR1823" s="15">
        <v>45951.516192129631</v>
      </c>
      <c r="BS1823" s="10"/>
      <c r="BT1823" s="10" t="s">
        <v>99</v>
      </c>
      <c r="BU1823" s="10"/>
      <c r="BV1823" s="10"/>
      <c r="BW1823" s="10"/>
      <c r="BX1823" s="10"/>
      <c r="BY1823" s="23"/>
      <c r="BZ1823" s="23"/>
      <c r="CA1823" s="19" t="s">
        <v>13815</v>
      </c>
      <c r="CB1823" s="19" t="s">
        <v>13816</v>
      </c>
      <c r="CC1823" s="23"/>
      <c r="CD1823" s="23"/>
      <c r="CE1823" s="23"/>
      <c r="CF1823" s="23"/>
      <c r="CG1823" s="23"/>
      <c r="CH1823" s="23"/>
      <c r="CI1823" s="23"/>
    </row>
    <row r="1824" spans="1:87" x14ac:dyDescent="0.3">
      <c r="A1824" s="9" t="s">
        <v>13817</v>
      </c>
      <c r="B1824" s="10" t="s">
        <v>13818</v>
      </c>
      <c r="C1824" s="11">
        <v>45953.989583333336</v>
      </c>
      <c r="D1824" s="12">
        <v>8.3333333333333329E-2</v>
      </c>
      <c r="E1824" s="11">
        <v>45954.072916666664</v>
      </c>
      <c r="F1824" s="10" t="s">
        <v>8609</v>
      </c>
      <c r="G1824" s="13" t="b">
        <v>0</v>
      </c>
      <c r="H1824" s="10" t="s">
        <v>5239</v>
      </c>
      <c r="I1824" s="10" t="s">
        <v>89</v>
      </c>
      <c r="J1824" s="13" t="b">
        <v>0</v>
      </c>
      <c r="K1824" s="13" t="b">
        <v>1</v>
      </c>
      <c r="L1824" s="10" t="s">
        <v>124</v>
      </c>
      <c r="M1824" s="10" t="s">
        <v>91</v>
      </c>
      <c r="N1824" s="10" t="s">
        <v>92</v>
      </c>
      <c r="O1824" s="19" t="s">
        <v>13819</v>
      </c>
      <c r="P1824" s="10"/>
      <c r="Q1824" s="10" t="s">
        <v>94</v>
      </c>
      <c r="R1824" s="10"/>
      <c r="S1824" s="19" t="s">
        <v>13820</v>
      </c>
      <c r="T1824" s="19" t="s">
        <v>13812</v>
      </c>
      <c r="U1824" s="10" t="s">
        <v>13637</v>
      </c>
      <c r="V1824" s="10" t="s">
        <v>13666</v>
      </c>
      <c r="W1824" s="10" t="s">
        <v>8613</v>
      </c>
      <c r="X1824" s="10" t="s">
        <v>130</v>
      </c>
      <c r="Y1824" s="10" t="s">
        <v>130</v>
      </c>
      <c r="Z1824" s="10" t="s">
        <v>99</v>
      </c>
      <c r="AA1824" s="10" t="s">
        <v>131</v>
      </c>
      <c r="AB1824" s="10" t="s">
        <v>8614</v>
      </c>
      <c r="AC1824" s="10" t="s">
        <v>3571</v>
      </c>
      <c r="AD1824" s="10" t="s">
        <v>13821</v>
      </c>
      <c r="AE1824" s="10" t="s">
        <v>13822</v>
      </c>
      <c r="AF1824" s="15"/>
      <c r="AG1824" s="10"/>
      <c r="AH1824" s="10"/>
      <c r="AI1824" s="10"/>
      <c r="AJ1824" s="10"/>
      <c r="AK1824" s="10" t="s">
        <v>102</v>
      </c>
      <c r="AL1824" s="10" t="s">
        <v>7897</v>
      </c>
      <c r="AM1824" s="10"/>
      <c r="AN1824" s="10"/>
      <c r="AO1824" s="13" t="b">
        <v>0</v>
      </c>
      <c r="AP1824" s="10" t="s">
        <v>104</v>
      </c>
      <c r="AQ1824" s="10">
        <f ca="1">IFERROR(__xludf.DUMMYFUNCTION("""COMPUTED_VALUE"""),4664183)</f>
        <v>4664183</v>
      </c>
      <c r="AR1824" s="17">
        <v>325</v>
      </c>
      <c r="AS1824" s="17">
        <v>271</v>
      </c>
      <c r="AT1824" s="17">
        <v>747.25</v>
      </c>
      <c r="AU1824" s="17">
        <v>0.15</v>
      </c>
      <c r="AV1824" s="17">
        <v>0</v>
      </c>
      <c r="AW1824" s="10" t="s">
        <v>105</v>
      </c>
      <c r="AX1824" s="17">
        <v>33</v>
      </c>
      <c r="AY1824" s="18">
        <v>2.7573800738007379</v>
      </c>
      <c r="AZ1824" s="10"/>
      <c r="BA1824" s="20" t="b">
        <v>0</v>
      </c>
      <c r="BB1824" s="10"/>
      <c r="BC1824" s="17">
        <v>325</v>
      </c>
      <c r="BD1824" s="17">
        <v>271</v>
      </c>
      <c r="BE1824" s="17">
        <v>747.25</v>
      </c>
      <c r="BF1824" s="17">
        <v>0</v>
      </c>
      <c r="BG1824" s="11">
        <f ca="1">IFERROR(__xludf.DUMMYFUNCTION("""COMPUTED_VALUE"""),45953.9895833333)</f>
        <v>45953.989583333299</v>
      </c>
      <c r="BH1824" s="17" t="s">
        <v>105</v>
      </c>
      <c r="BI1824" s="17"/>
      <c r="BJ1824" s="15"/>
      <c r="BK1824" s="15"/>
      <c r="BL1824" s="13" t="b">
        <v>0</v>
      </c>
      <c r="BM1824" s="10"/>
      <c r="BN1824" s="10" t="s">
        <v>185</v>
      </c>
      <c r="BO1824" s="11">
        <v>45904.326747685183</v>
      </c>
      <c r="BP1824" s="11">
        <v>45943.592488425929</v>
      </c>
      <c r="BQ1824" s="15">
        <v>45951.461354166669</v>
      </c>
      <c r="BR1824" s="15">
        <v>45951.516469907408</v>
      </c>
      <c r="BS1824" s="10"/>
      <c r="BT1824" s="10" t="s">
        <v>99</v>
      </c>
      <c r="BU1824" s="10"/>
      <c r="BV1824" s="10"/>
      <c r="BW1824" s="10"/>
      <c r="BX1824" s="10"/>
      <c r="BY1824" s="23"/>
      <c r="BZ1824" s="23"/>
      <c r="CA1824" s="19" t="s">
        <v>13823</v>
      </c>
      <c r="CB1824" s="19" t="s">
        <v>13824</v>
      </c>
      <c r="CC1824" s="23"/>
      <c r="CD1824" s="23"/>
      <c r="CE1824" s="23"/>
      <c r="CF1824" s="23"/>
      <c r="CG1824" s="23"/>
      <c r="CH1824" s="23"/>
      <c r="CI1824" s="23"/>
    </row>
    <row r="1825" spans="1:87" x14ac:dyDescent="0.3">
      <c r="A1825" s="9" t="s">
        <v>13825</v>
      </c>
      <c r="B1825" s="10" t="s">
        <v>13826</v>
      </c>
      <c r="C1825" s="11">
        <v>45953.989583333336</v>
      </c>
      <c r="D1825" s="12">
        <v>8.3333333333333329E-2</v>
      </c>
      <c r="E1825" s="11">
        <v>45954.072916666664</v>
      </c>
      <c r="F1825" s="10" t="s">
        <v>8609</v>
      </c>
      <c r="G1825" s="13" t="b">
        <v>0</v>
      </c>
      <c r="H1825" s="10" t="s">
        <v>5239</v>
      </c>
      <c r="I1825" s="10" t="s">
        <v>89</v>
      </c>
      <c r="J1825" s="13" t="b">
        <v>0</v>
      </c>
      <c r="K1825" s="13" t="b">
        <v>1</v>
      </c>
      <c r="L1825" s="10" t="s">
        <v>124</v>
      </c>
      <c r="M1825" s="10" t="s">
        <v>91</v>
      </c>
      <c r="N1825" s="10" t="s">
        <v>92</v>
      </c>
      <c r="O1825" s="19" t="s">
        <v>13827</v>
      </c>
      <c r="P1825" s="10"/>
      <c r="Q1825" s="10" t="s">
        <v>94</v>
      </c>
      <c r="R1825" s="10"/>
      <c r="S1825" s="19" t="s">
        <v>13828</v>
      </c>
      <c r="T1825" s="19" t="s">
        <v>13812</v>
      </c>
      <c r="U1825" s="10" t="s">
        <v>13795</v>
      </c>
      <c r="V1825" s="10" t="s">
        <v>7924</v>
      </c>
      <c r="W1825" s="10" t="s">
        <v>8613</v>
      </c>
      <c r="X1825" s="10" t="s">
        <v>130</v>
      </c>
      <c r="Y1825" s="10" t="s">
        <v>130</v>
      </c>
      <c r="Z1825" s="10" t="s">
        <v>99</v>
      </c>
      <c r="AA1825" s="10" t="s">
        <v>131</v>
      </c>
      <c r="AB1825" s="10" t="s">
        <v>8614</v>
      </c>
      <c r="AC1825" s="10" t="s">
        <v>3571</v>
      </c>
      <c r="AD1825" s="10" t="s">
        <v>13829</v>
      </c>
      <c r="AE1825" s="10" t="s">
        <v>13830</v>
      </c>
      <c r="AF1825" s="15"/>
      <c r="AG1825" s="10"/>
      <c r="AH1825" s="10"/>
      <c r="AI1825" s="10"/>
      <c r="AJ1825" s="10"/>
      <c r="AK1825" s="10" t="s">
        <v>102</v>
      </c>
      <c r="AL1825" s="10" t="s">
        <v>7897</v>
      </c>
      <c r="AM1825" s="10"/>
      <c r="AN1825" s="10"/>
      <c r="AO1825" s="13" t="b">
        <v>0</v>
      </c>
      <c r="AP1825" s="10" t="s">
        <v>104</v>
      </c>
      <c r="AQ1825" s="10">
        <f ca="1">IFERROR(__xludf.DUMMYFUNCTION("""COMPUTED_VALUE"""),4664191)</f>
        <v>4664191</v>
      </c>
      <c r="AR1825" s="17">
        <v>819</v>
      </c>
      <c r="AS1825" s="17">
        <v>638</v>
      </c>
      <c r="AT1825" s="17">
        <v>7066.75</v>
      </c>
      <c r="AU1825" s="17">
        <v>1.8</v>
      </c>
      <c r="AV1825" s="17">
        <v>1</v>
      </c>
      <c r="AW1825" s="10" t="s">
        <v>105</v>
      </c>
      <c r="AX1825" s="17">
        <v>128</v>
      </c>
      <c r="AY1825" s="18">
        <v>11.076410658307211</v>
      </c>
      <c r="AZ1825" s="10"/>
      <c r="BA1825" s="20" t="b">
        <v>0</v>
      </c>
      <c r="BB1825" s="10"/>
      <c r="BC1825" s="17">
        <v>819</v>
      </c>
      <c r="BD1825" s="17">
        <v>638</v>
      </c>
      <c r="BE1825" s="17">
        <v>7066.75</v>
      </c>
      <c r="BF1825" s="17">
        <v>1</v>
      </c>
      <c r="BG1825" s="11">
        <f ca="1">IFERROR(__xludf.DUMMYFUNCTION("""COMPUTED_VALUE"""),45953.9895833333)</f>
        <v>45953.989583333299</v>
      </c>
      <c r="BH1825" s="17" t="s">
        <v>105</v>
      </c>
      <c r="BI1825" s="17"/>
      <c r="BJ1825" s="15"/>
      <c r="BK1825" s="15"/>
      <c r="BL1825" s="13" t="b">
        <v>0</v>
      </c>
      <c r="BM1825" s="10"/>
      <c r="BN1825" s="10" t="s">
        <v>185</v>
      </c>
      <c r="BO1825" s="11">
        <v>45904.326747685183</v>
      </c>
      <c r="BP1825" s="11">
        <v>45943.593240740738</v>
      </c>
      <c r="BQ1825" s="15">
        <v>45951.461597222224</v>
      </c>
      <c r="BR1825" s="15">
        <v>45951.519745370373</v>
      </c>
      <c r="BS1825" s="10"/>
      <c r="BT1825" s="10" t="s">
        <v>99</v>
      </c>
      <c r="BU1825" s="10"/>
      <c r="BV1825" s="10"/>
      <c r="BW1825" s="10"/>
      <c r="BX1825" s="10"/>
      <c r="BY1825" s="23"/>
      <c r="BZ1825" s="23"/>
      <c r="CA1825" s="19" t="s">
        <v>13831</v>
      </c>
      <c r="CB1825" s="19" t="s">
        <v>13832</v>
      </c>
      <c r="CC1825" s="23"/>
      <c r="CD1825" s="23"/>
      <c r="CE1825" s="23"/>
      <c r="CF1825" s="23"/>
      <c r="CG1825" s="23"/>
      <c r="CH1825" s="23"/>
      <c r="CI1825" s="23"/>
    </row>
    <row r="1826" spans="1:87" x14ac:dyDescent="0.3">
      <c r="A1826" s="9" t="s">
        <v>13833</v>
      </c>
      <c r="B1826" s="10" t="s">
        <v>13834</v>
      </c>
      <c r="C1826" s="11">
        <v>45953.989583333336</v>
      </c>
      <c r="D1826" s="12">
        <v>8.3333333333333329E-2</v>
      </c>
      <c r="E1826" s="11">
        <v>45954.072916666664</v>
      </c>
      <c r="F1826" s="10" t="s">
        <v>8609</v>
      </c>
      <c r="G1826" s="13" t="b">
        <v>0</v>
      </c>
      <c r="H1826" s="10" t="s">
        <v>5239</v>
      </c>
      <c r="I1826" s="10" t="s">
        <v>89</v>
      </c>
      <c r="J1826" s="13" t="b">
        <v>0</v>
      </c>
      <c r="K1826" s="13" t="b">
        <v>1</v>
      </c>
      <c r="L1826" s="10" t="s">
        <v>124</v>
      </c>
      <c r="M1826" s="10" t="s">
        <v>91</v>
      </c>
      <c r="N1826" s="10" t="s">
        <v>92</v>
      </c>
      <c r="O1826" s="19" t="s">
        <v>13835</v>
      </c>
      <c r="P1826" s="10"/>
      <c r="Q1826" s="10" t="s">
        <v>94</v>
      </c>
      <c r="R1826" s="10"/>
      <c r="S1826" s="19" t="s">
        <v>13836</v>
      </c>
      <c r="T1826" s="19" t="s">
        <v>13812</v>
      </c>
      <c r="U1826" s="10" t="s">
        <v>8622</v>
      </c>
      <c r="V1826" s="10" t="s">
        <v>13686</v>
      </c>
      <c r="W1826" s="10" t="s">
        <v>8613</v>
      </c>
      <c r="X1826" s="10" t="s">
        <v>130</v>
      </c>
      <c r="Y1826" s="10" t="s">
        <v>130</v>
      </c>
      <c r="Z1826" s="10" t="s">
        <v>99</v>
      </c>
      <c r="AA1826" s="10" t="s">
        <v>131</v>
      </c>
      <c r="AB1826" s="10" t="s">
        <v>8614</v>
      </c>
      <c r="AC1826" s="10" t="s">
        <v>3571</v>
      </c>
      <c r="AD1826" s="10" t="s">
        <v>13837</v>
      </c>
      <c r="AE1826" s="10" t="s">
        <v>13838</v>
      </c>
      <c r="AF1826" s="15"/>
      <c r="AG1826" s="10"/>
      <c r="AH1826" s="10"/>
      <c r="AI1826" s="10"/>
      <c r="AJ1826" s="10"/>
      <c r="AK1826" s="10" t="s">
        <v>102</v>
      </c>
      <c r="AL1826" s="10" t="s">
        <v>7897</v>
      </c>
      <c r="AM1826" s="10"/>
      <c r="AN1826" s="10"/>
      <c r="AO1826" s="13" t="b">
        <v>0</v>
      </c>
      <c r="AP1826" s="10" t="s">
        <v>104</v>
      </c>
      <c r="AQ1826" s="10">
        <f ca="1">IFERROR(__xludf.DUMMYFUNCTION("""COMPUTED_VALUE"""),4664231)</f>
        <v>4664231</v>
      </c>
      <c r="AR1826" s="17">
        <v>1311</v>
      </c>
      <c r="AS1826" s="17">
        <v>915</v>
      </c>
      <c r="AT1826" s="17">
        <v>12869.25</v>
      </c>
      <c r="AU1826" s="17">
        <v>4.55</v>
      </c>
      <c r="AV1826" s="17">
        <v>0.95</v>
      </c>
      <c r="AW1826" s="10" t="s">
        <v>105</v>
      </c>
      <c r="AX1826" s="17">
        <v>265</v>
      </c>
      <c r="AY1826" s="18">
        <v>14.064754098360655</v>
      </c>
      <c r="AZ1826" s="10"/>
      <c r="BA1826" s="20" t="b">
        <v>0</v>
      </c>
      <c r="BB1826" s="10"/>
      <c r="BC1826" s="17">
        <v>1311</v>
      </c>
      <c r="BD1826" s="17">
        <v>915</v>
      </c>
      <c r="BE1826" s="17">
        <v>12869.25</v>
      </c>
      <c r="BF1826" s="17">
        <v>0.95</v>
      </c>
      <c r="BG1826" s="11">
        <f ca="1">IFERROR(__xludf.DUMMYFUNCTION("""COMPUTED_VALUE"""),45953.9895833333)</f>
        <v>45953.989583333299</v>
      </c>
      <c r="BH1826" s="17" t="s">
        <v>105</v>
      </c>
      <c r="BI1826" s="17"/>
      <c r="BJ1826" s="15"/>
      <c r="BK1826" s="15"/>
      <c r="BL1826" s="13" t="b">
        <v>0</v>
      </c>
      <c r="BM1826" s="10"/>
      <c r="BN1826" s="10" t="s">
        <v>185</v>
      </c>
      <c r="BO1826" s="11">
        <v>45904.326747685183</v>
      </c>
      <c r="BP1826" s="11">
        <v>45943.593368055554</v>
      </c>
      <c r="BQ1826" s="15">
        <v>45951.461712962962</v>
      </c>
      <c r="BR1826" s="15">
        <v>45951.520231481481</v>
      </c>
      <c r="BS1826" s="10"/>
      <c r="BT1826" s="10" t="s">
        <v>99</v>
      </c>
      <c r="BU1826" s="10"/>
      <c r="BV1826" s="10"/>
      <c r="BW1826" s="10"/>
      <c r="BX1826" s="10"/>
      <c r="BY1826" s="23"/>
      <c r="BZ1826" s="23"/>
      <c r="CA1826" s="19" t="s">
        <v>13839</v>
      </c>
      <c r="CB1826" s="19" t="s">
        <v>13840</v>
      </c>
      <c r="CC1826" s="23"/>
      <c r="CD1826" s="23"/>
      <c r="CE1826" s="23"/>
      <c r="CF1826" s="23"/>
      <c r="CG1826" s="23"/>
      <c r="CH1826" s="23"/>
      <c r="CI1826" s="23"/>
    </row>
    <row r="1827" spans="1:87" x14ac:dyDescent="0.3">
      <c r="A1827" s="9" t="s">
        <v>13841</v>
      </c>
      <c r="B1827" s="10" t="s">
        <v>13842</v>
      </c>
      <c r="C1827" s="11">
        <v>45953.989583333336</v>
      </c>
      <c r="D1827" s="12">
        <v>8.3333333333333329E-2</v>
      </c>
      <c r="E1827" s="11">
        <v>45954.072916666664</v>
      </c>
      <c r="F1827" s="10" t="s">
        <v>8609</v>
      </c>
      <c r="G1827" s="13" t="b">
        <v>0</v>
      </c>
      <c r="H1827" s="10" t="s">
        <v>5239</v>
      </c>
      <c r="I1827" s="10" t="s">
        <v>89</v>
      </c>
      <c r="J1827" s="13" t="b">
        <v>0</v>
      </c>
      <c r="K1827" s="13" t="b">
        <v>1</v>
      </c>
      <c r="L1827" s="10" t="s">
        <v>124</v>
      </c>
      <c r="M1827" s="10" t="s">
        <v>91</v>
      </c>
      <c r="N1827" s="10" t="s">
        <v>92</v>
      </c>
      <c r="O1827" s="19" t="s">
        <v>13843</v>
      </c>
      <c r="P1827" s="10"/>
      <c r="Q1827" s="10" t="s">
        <v>94</v>
      </c>
      <c r="R1827" s="10"/>
      <c r="S1827" s="19" t="s">
        <v>13844</v>
      </c>
      <c r="T1827" s="19" t="s">
        <v>13812</v>
      </c>
      <c r="U1827" s="10" t="s">
        <v>13676</v>
      </c>
      <c r="V1827" s="10" t="s">
        <v>13746</v>
      </c>
      <c r="W1827" s="10" t="s">
        <v>8613</v>
      </c>
      <c r="X1827" s="10" t="s">
        <v>130</v>
      </c>
      <c r="Y1827" s="10" t="s">
        <v>130</v>
      </c>
      <c r="Z1827" s="10" t="s">
        <v>99</v>
      </c>
      <c r="AA1827" s="10" t="s">
        <v>131</v>
      </c>
      <c r="AB1827" s="10" t="s">
        <v>8614</v>
      </c>
      <c r="AC1827" s="10" t="s">
        <v>3571</v>
      </c>
      <c r="AD1827" s="10" t="s">
        <v>13845</v>
      </c>
      <c r="AE1827" s="10" t="s">
        <v>13846</v>
      </c>
      <c r="AF1827" s="15"/>
      <c r="AG1827" s="10"/>
      <c r="AH1827" s="10"/>
      <c r="AI1827" s="10"/>
      <c r="AJ1827" s="10"/>
      <c r="AK1827" s="10" t="s">
        <v>102</v>
      </c>
      <c r="AL1827" s="10" t="s">
        <v>7897</v>
      </c>
      <c r="AM1827" s="10"/>
      <c r="AN1827" s="10"/>
      <c r="AO1827" s="13" t="b">
        <v>0</v>
      </c>
      <c r="AP1827" s="10" t="s">
        <v>104</v>
      </c>
      <c r="AQ1827" s="10">
        <f ca="1">IFERROR(__xludf.DUMMYFUNCTION("""COMPUTED_VALUE"""),4664193)</f>
        <v>4664193</v>
      </c>
      <c r="AR1827" s="17">
        <v>250</v>
      </c>
      <c r="AS1827" s="17">
        <v>204</v>
      </c>
      <c r="AT1827" s="17">
        <v>472.25</v>
      </c>
      <c r="AU1827" s="17">
        <v>0.15</v>
      </c>
      <c r="AV1827" s="17">
        <v>0.15</v>
      </c>
      <c r="AW1827" s="10" t="s">
        <v>105</v>
      </c>
      <c r="AX1827" s="17">
        <v>22</v>
      </c>
      <c r="AY1827" s="18">
        <v>2.3149509803921569</v>
      </c>
      <c r="AZ1827" s="10"/>
      <c r="BA1827" s="20" t="b">
        <v>0</v>
      </c>
      <c r="BB1827" s="10"/>
      <c r="BC1827" s="17">
        <v>250</v>
      </c>
      <c r="BD1827" s="17">
        <v>204</v>
      </c>
      <c r="BE1827" s="17">
        <v>472.25</v>
      </c>
      <c r="BF1827" s="17">
        <v>0.15</v>
      </c>
      <c r="BG1827" s="11">
        <f ca="1">IFERROR(__xludf.DUMMYFUNCTION("""COMPUTED_VALUE"""),45953.9895833333)</f>
        <v>45953.989583333299</v>
      </c>
      <c r="BH1827" s="17" t="s">
        <v>105</v>
      </c>
      <c r="BI1827" s="17"/>
      <c r="BJ1827" s="15"/>
      <c r="BK1827" s="15"/>
      <c r="BL1827" s="13" t="b">
        <v>0</v>
      </c>
      <c r="BM1827" s="10"/>
      <c r="BN1827" s="10" t="s">
        <v>185</v>
      </c>
      <c r="BO1827" s="11">
        <v>45904.326747685183</v>
      </c>
      <c r="BP1827" s="11">
        <v>45943.593298611115</v>
      </c>
      <c r="BQ1827" s="15">
        <v>45951.461655092593</v>
      </c>
      <c r="BR1827" s="15">
        <v>45951.52002314815</v>
      </c>
      <c r="BS1827" s="10"/>
      <c r="BT1827" s="10" t="s">
        <v>99</v>
      </c>
      <c r="BU1827" s="10"/>
      <c r="BV1827" s="10"/>
      <c r="BW1827" s="10"/>
      <c r="BX1827" s="10"/>
      <c r="BY1827" s="23"/>
      <c r="BZ1827" s="23"/>
      <c r="CA1827" s="19" t="s">
        <v>13847</v>
      </c>
      <c r="CB1827" s="19" t="s">
        <v>13848</v>
      </c>
      <c r="CC1827" s="23"/>
      <c r="CD1827" s="23"/>
      <c r="CE1827" s="23"/>
      <c r="CF1827" s="23"/>
      <c r="CG1827" s="23"/>
      <c r="CH1827" s="23"/>
      <c r="CI1827" s="23"/>
    </row>
    <row r="1828" spans="1:87" x14ac:dyDescent="0.3">
      <c r="A1828" s="9" t="s">
        <v>13849</v>
      </c>
      <c r="B1828" s="10" t="s">
        <v>13850</v>
      </c>
      <c r="C1828" s="11">
        <v>45953.989583333336</v>
      </c>
      <c r="D1828" s="12">
        <v>8.3333333333333329E-2</v>
      </c>
      <c r="E1828" s="11">
        <v>45954.072916666664</v>
      </c>
      <c r="F1828" s="10" t="s">
        <v>8609</v>
      </c>
      <c r="G1828" s="13" t="b">
        <v>0</v>
      </c>
      <c r="H1828" s="10" t="s">
        <v>5239</v>
      </c>
      <c r="I1828" s="10" t="s">
        <v>89</v>
      </c>
      <c r="J1828" s="13" t="b">
        <v>0</v>
      </c>
      <c r="K1828" s="13" t="b">
        <v>1</v>
      </c>
      <c r="L1828" s="10" t="s">
        <v>124</v>
      </c>
      <c r="M1828" s="10" t="s">
        <v>91</v>
      </c>
      <c r="N1828" s="10" t="s">
        <v>92</v>
      </c>
      <c r="O1828" s="19" t="s">
        <v>13851</v>
      </c>
      <c r="P1828" s="10"/>
      <c r="Q1828" s="10" t="s">
        <v>94</v>
      </c>
      <c r="R1828" s="10"/>
      <c r="S1828" s="19" t="s">
        <v>13852</v>
      </c>
      <c r="T1828" s="19" t="s">
        <v>13812</v>
      </c>
      <c r="U1828" s="10" t="s">
        <v>13697</v>
      </c>
      <c r="V1828" s="10" t="s">
        <v>13726</v>
      </c>
      <c r="W1828" s="10" t="s">
        <v>8613</v>
      </c>
      <c r="X1828" s="10" t="s">
        <v>130</v>
      </c>
      <c r="Y1828" s="10" t="s">
        <v>130</v>
      </c>
      <c r="Z1828" s="10" t="s">
        <v>99</v>
      </c>
      <c r="AA1828" s="10" t="s">
        <v>131</v>
      </c>
      <c r="AB1828" s="10" t="s">
        <v>8614</v>
      </c>
      <c r="AC1828" s="10" t="s">
        <v>3571</v>
      </c>
      <c r="AD1828" s="10" t="s">
        <v>13853</v>
      </c>
      <c r="AE1828" s="10" t="s">
        <v>13854</v>
      </c>
      <c r="AF1828" s="15"/>
      <c r="AG1828" s="10"/>
      <c r="AH1828" s="10"/>
      <c r="AI1828" s="10"/>
      <c r="AJ1828" s="10"/>
      <c r="AK1828" s="10" t="s">
        <v>102</v>
      </c>
      <c r="AL1828" s="10" t="s">
        <v>7897</v>
      </c>
      <c r="AM1828" s="10"/>
      <c r="AN1828" s="10"/>
      <c r="AO1828" s="13" t="b">
        <v>0</v>
      </c>
      <c r="AP1828" s="10" t="s">
        <v>104</v>
      </c>
      <c r="AQ1828" s="10">
        <f ca="1">IFERROR(__xludf.DUMMYFUNCTION("""COMPUTED_VALUE"""),4664189)</f>
        <v>4664189</v>
      </c>
      <c r="AR1828" s="17">
        <v>777</v>
      </c>
      <c r="AS1828" s="17">
        <v>600</v>
      </c>
      <c r="AT1828" s="17">
        <v>1495.5</v>
      </c>
      <c r="AU1828" s="17">
        <v>0.95</v>
      </c>
      <c r="AV1828" s="17">
        <v>0.75</v>
      </c>
      <c r="AW1828" s="10" t="s">
        <v>105</v>
      </c>
      <c r="AX1828" s="17">
        <v>85</v>
      </c>
      <c r="AY1828" s="18">
        <v>2.4925000000000002</v>
      </c>
      <c r="AZ1828" s="10"/>
      <c r="BA1828" s="20" t="b">
        <v>0</v>
      </c>
      <c r="BB1828" s="10"/>
      <c r="BC1828" s="17">
        <v>777</v>
      </c>
      <c r="BD1828" s="17">
        <v>600</v>
      </c>
      <c r="BE1828" s="17">
        <v>1495.5</v>
      </c>
      <c r="BF1828" s="17">
        <v>0.75</v>
      </c>
      <c r="BG1828" s="11">
        <f ca="1">IFERROR(__xludf.DUMMYFUNCTION("""COMPUTED_VALUE"""),45953.9895833333)</f>
        <v>45953.989583333299</v>
      </c>
      <c r="BH1828" s="17" t="s">
        <v>105</v>
      </c>
      <c r="BI1828" s="17"/>
      <c r="BJ1828" s="15"/>
      <c r="BK1828" s="15"/>
      <c r="BL1828" s="13" t="b">
        <v>0</v>
      </c>
      <c r="BM1828" s="10"/>
      <c r="BN1828" s="10" t="s">
        <v>185</v>
      </c>
      <c r="BO1828" s="11">
        <v>45904.326747685183</v>
      </c>
      <c r="BP1828" s="11">
        <v>45943.593159722222</v>
      </c>
      <c r="BQ1828" s="15">
        <v>45951.461550925924</v>
      </c>
      <c r="BR1828" s="15">
        <v>45951.519560185188</v>
      </c>
      <c r="BS1828" s="10"/>
      <c r="BT1828" s="10" t="s">
        <v>99</v>
      </c>
      <c r="BU1828" s="10"/>
      <c r="BV1828" s="10"/>
      <c r="BW1828" s="10"/>
      <c r="BX1828" s="10"/>
      <c r="BY1828" s="23"/>
      <c r="BZ1828" s="23"/>
      <c r="CA1828" s="19" t="s">
        <v>13855</v>
      </c>
      <c r="CB1828" s="19" t="s">
        <v>13856</v>
      </c>
      <c r="CC1828" s="23"/>
      <c r="CD1828" s="23"/>
      <c r="CE1828" s="23"/>
      <c r="CF1828" s="23"/>
      <c r="CG1828" s="23"/>
      <c r="CH1828" s="23"/>
      <c r="CI1828" s="23"/>
    </row>
    <row r="1829" spans="1:87" x14ac:dyDescent="0.3">
      <c r="A1829" s="9" t="s">
        <v>13857</v>
      </c>
      <c r="B1829" s="10" t="s">
        <v>13858</v>
      </c>
      <c r="C1829" s="11">
        <v>45953.989583333336</v>
      </c>
      <c r="D1829" s="12">
        <v>8.3333333333333329E-2</v>
      </c>
      <c r="E1829" s="11">
        <v>45954.072916666664</v>
      </c>
      <c r="F1829" s="10" t="s">
        <v>8609</v>
      </c>
      <c r="G1829" s="13" t="b">
        <v>0</v>
      </c>
      <c r="H1829" s="10" t="s">
        <v>5239</v>
      </c>
      <c r="I1829" s="10" t="s">
        <v>89</v>
      </c>
      <c r="J1829" s="13" t="b">
        <v>0</v>
      </c>
      <c r="K1829" s="13" t="b">
        <v>1</v>
      </c>
      <c r="L1829" s="10" t="s">
        <v>124</v>
      </c>
      <c r="M1829" s="10" t="s">
        <v>91</v>
      </c>
      <c r="N1829" s="10" t="s">
        <v>92</v>
      </c>
      <c r="O1829" s="19" t="s">
        <v>13859</v>
      </c>
      <c r="P1829" s="10"/>
      <c r="Q1829" s="10" t="s">
        <v>126</v>
      </c>
      <c r="R1829" s="10"/>
      <c r="S1829" s="19" t="s">
        <v>13860</v>
      </c>
      <c r="T1829" s="19" t="s">
        <v>13812</v>
      </c>
      <c r="U1829" s="10" t="s">
        <v>13647</v>
      </c>
      <c r="V1829" s="10" t="s">
        <v>3240</v>
      </c>
      <c r="W1829" s="10" t="s">
        <v>8613</v>
      </c>
      <c r="X1829" s="10" t="s">
        <v>130</v>
      </c>
      <c r="Y1829" s="10" t="s">
        <v>130</v>
      </c>
      <c r="Z1829" s="10" t="s">
        <v>99</v>
      </c>
      <c r="AA1829" s="10" t="s">
        <v>131</v>
      </c>
      <c r="AB1829" s="10" t="s">
        <v>8614</v>
      </c>
      <c r="AC1829" s="10" t="s">
        <v>3571</v>
      </c>
      <c r="AD1829" s="10" t="s">
        <v>13861</v>
      </c>
      <c r="AE1829" s="10" t="s">
        <v>13862</v>
      </c>
      <c r="AF1829" s="15"/>
      <c r="AG1829" s="10"/>
      <c r="AH1829" s="10"/>
      <c r="AI1829" s="10"/>
      <c r="AJ1829" s="10"/>
      <c r="AK1829" s="10" t="s">
        <v>102</v>
      </c>
      <c r="AL1829" s="10" t="s">
        <v>7897</v>
      </c>
      <c r="AM1829" s="10"/>
      <c r="AN1829" s="10"/>
      <c r="AO1829" s="13" t="b">
        <v>0</v>
      </c>
      <c r="AP1829" s="10" t="s">
        <v>104</v>
      </c>
      <c r="AQ1829" s="10">
        <f ca="1">IFERROR(__xludf.DUMMYFUNCTION("""COMPUTED_VALUE"""),4664187)</f>
        <v>4664187</v>
      </c>
      <c r="AR1829" s="17">
        <v>1911</v>
      </c>
      <c r="AS1829" s="17">
        <v>1658</v>
      </c>
      <c r="AT1829" s="17">
        <v>18162</v>
      </c>
      <c r="AU1829" s="17">
        <v>6.7</v>
      </c>
      <c r="AV1829" s="17">
        <v>0.35</v>
      </c>
      <c r="AW1829" s="10" t="s">
        <v>105</v>
      </c>
      <c r="AX1829" s="17">
        <v>313</v>
      </c>
      <c r="AY1829" s="18">
        <v>10.95416164053076</v>
      </c>
      <c r="AZ1829" s="10"/>
      <c r="BA1829" s="20" t="b">
        <v>0</v>
      </c>
      <c r="BB1829" s="10"/>
      <c r="BC1829" s="17">
        <v>1911</v>
      </c>
      <c r="BD1829" s="17">
        <v>1658</v>
      </c>
      <c r="BE1829" s="17">
        <v>18162</v>
      </c>
      <c r="BF1829" s="17">
        <v>0.35</v>
      </c>
      <c r="BG1829" s="11">
        <f ca="1">IFERROR(__xludf.DUMMYFUNCTION("""COMPUTED_VALUE"""),45953.9895833333)</f>
        <v>45953.989583333299</v>
      </c>
      <c r="BH1829" s="17" t="s">
        <v>105</v>
      </c>
      <c r="BI1829" s="17"/>
      <c r="BJ1829" s="15"/>
      <c r="BK1829" s="15"/>
      <c r="BL1829" s="13" t="b">
        <v>0</v>
      </c>
      <c r="BM1829" s="10"/>
      <c r="BN1829" s="10" t="s">
        <v>185</v>
      </c>
      <c r="BO1829" s="11">
        <v>45904.326747685183</v>
      </c>
      <c r="BP1829" s="11">
        <v>45943.593032407407</v>
      </c>
      <c r="BQ1829" s="15">
        <v>45951.461493055554</v>
      </c>
      <c r="BR1829" s="15">
        <v>45951.517048611109</v>
      </c>
      <c r="BS1829" s="10"/>
      <c r="BT1829" s="10" t="s">
        <v>99</v>
      </c>
      <c r="BU1829" s="10"/>
      <c r="BV1829" s="10"/>
      <c r="BW1829" s="10"/>
      <c r="BX1829" s="10"/>
      <c r="BY1829" s="23"/>
      <c r="BZ1829" s="23"/>
      <c r="CA1829" s="19" t="s">
        <v>13863</v>
      </c>
      <c r="CB1829" s="19" t="s">
        <v>13864</v>
      </c>
      <c r="CC1829" s="23"/>
      <c r="CD1829" s="19" t="s">
        <v>13865</v>
      </c>
      <c r="CE1829" s="23"/>
      <c r="CF1829" s="23"/>
      <c r="CG1829" s="23"/>
      <c r="CH1829" s="23"/>
      <c r="CI1829" s="23"/>
    </row>
    <row r="1830" spans="1:87" x14ac:dyDescent="0.3">
      <c r="A1830" s="9" t="s">
        <v>13866</v>
      </c>
      <c r="B1830" s="10" t="s">
        <v>13867</v>
      </c>
      <c r="C1830" s="11">
        <v>45953.989583333336</v>
      </c>
      <c r="D1830" s="12">
        <v>8.3333333333333329E-2</v>
      </c>
      <c r="E1830" s="11">
        <v>45954.072916666664</v>
      </c>
      <c r="F1830" s="10" t="s">
        <v>8609</v>
      </c>
      <c r="G1830" s="13" t="b">
        <v>0</v>
      </c>
      <c r="H1830" s="10" t="s">
        <v>5239</v>
      </c>
      <c r="I1830" s="10" t="s">
        <v>89</v>
      </c>
      <c r="J1830" s="13" t="b">
        <v>0</v>
      </c>
      <c r="K1830" s="13" t="b">
        <v>1</v>
      </c>
      <c r="L1830" s="10" t="s">
        <v>124</v>
      </c>
      <c r="M1830" s="10" t="s">
        <v>91</v>
      </c>
      <c r="N1830" s="10" t="s">
        <v>92</v>
      </c>
      <c r="O1830" s="19" t="s">
        <v>13868</v>
      </c>
      <c r="P1830" s="10"/>
      <c r="Q1830" s="10" t="s">
        <v>94</v>
      </c>
      <c r="R1830" s="10"/>
      <c r="S1830" s="19" t="s">
        <v>13869</v>
      </c>
      <c r="T1830" s="19" t="s">
        <v>13812</v>
      </c>
      <c r="U1830" s="10" t="s">
        <v>13767</v>
      </c>
      <c r="V1830" s="10" t="s">
        <v>13794</v>
      </c>
      <c r="W1830" s="10" t="s">
        <v>8613</v>
      </c>
      <c r="X1830" s="10" t="s">
        <v>130</v>
      </c>
      <c r="Y1830" s="10" t="s">
        <v>130</v>
      </c>
      <c r="Z1830" s="10" t="s">
        <v>99</v>
      </c>
      <c r="AA1830" s="10" t="s">
        <v>131</v>
      </c>
      <c r="AB1830" s="10" t="s">
        <v>8614</v>
      </c>
      <c r="AC1830" s="10" t="s">
        <v>3571</v>
      </c>
      <c r="AD1830" s="10" t="s">
        <v>13870</v>
      </c>
      <c r="AE1830" s="10" t="s">
        <v>13871</v>
      </c>
      <c r="AF1830" s="15"/>
      <c r="AG1830" s="10"/>
      <c r="AH1830" s="10"/>
      <c r="AI1830" s="10"/>
      <c r="AJ1830" s="10"/>
      <c r="AK1830" s="10" t="s">
        <v>102</v>
      </c>
      <c r="AL1830" s="10" t="s">
        <v>7897</v>
      </c>
      <c r="AM1830" s="10"/>
      <c r="AN1830" s="10"/>
      <c r="AO1830" s="13" t="b">
        <v>0</v>
      </c>
      <c r="AP1830" s="10" t="s">
        <v>104</v>
      </c>
      <c r="AQ1830" s="10">
        <f ca="1">IFERROR(__xludf.DUMMYFUNCTION("""COMPUTED_VALUE"""),4664179)</f>
        <v>4664179</v>
      </c>
      <c r="AR1830" s="17">
        <v>498</v>
      </c>
      <c r="AS1830" s="17">
        <v>427</v>
      </c>
      <c r="AT1830" s="17">
        <v>1616</v>
      </c>
      <c r="AU1830" s="17">
        <v>0</v>
      </c>
      <c r="AV1830" s="17">
        <v>0</v>
      </c>
      <c r="AW1830" s="10" t="s">
        <v>105</v>
      </c>
      <c r="AX1830" s="17">
        <v>51</v>
      </c>
      <c r="AY1830" s="18">
        <v>3.7845433255269323</v>
      </c>
      <c r="AZ1830" s="10"/>
      <c r="BA1830" s="20" t="b">
        <v>0</v>
      </c>
      <c r="BB1830" s="10"/>
      <c r="BC1830" s="17">
        <v>498</v>
      </c>
      <c r="BD1830" s="17">
        <v>427</v>
      </c>
      <c r="BE1830" s="17">
        <v>1616</v>
      </c>
      <c r="BF1830" s="17">
        <v>0</v>
      </c>
      <c r="BG1830" s="11">
        <f ca="1">IFERROR(__xludf.DUMMYFUNCTION("""COMPUTED_VALUE"""),45953.9895833333)</f>
        <v>45953.989583333299</v>
      </c>
      <c r="BH1830" s="17" t="s">
        <v>105</v>
      </c>
      <c r="BI1830" s="17"/>
      <c r="BJ1830" s="15"/>
      <c r="BK1830" s="15"/>
      <c r="BL1830" s="13" t="b">
        <v>0</v>
      </c>
      <c r="BM1830" s="10"/>
      <c r="BN1830" s="10" t="s">
        <v>185</v>
      </c>
      <c r="BO1830" s="11">
        <v>45904.326747685183</v>
      </c>
      <c r="BP1830" s="11">
        <v>45943.590162037035</v>
      </c>
      <c r="BQ1830" s="15">
        <v>45951.46125</v>
      </c>
      <c r="BR1830" s="15">
        <v>45951.515914351854</v>
      </c>
      <c r="BS1830" s="10"/>
      <c r="BT1830" s="10" t="s">
        <v>99</v>
      </c>
      <c r="BU1830" s="10"/>
      <c r="BV1830" s="10"/>
      <c r="BW1830" s="10"/>
      <c r="BX1830" s="10"/>
      <c r="BY1830" s="23"/>
      <c r="BZ1830" s="23"/>
      <c r="CA1830" s="19" t="s">
        <v>13872</v>
      </c>
      <c r="CB1830" s="19" t="s">
        <v>13873</v>
      </c>
      <c r="CC1830" s="23"/>
      <c r="CD1830" s="23"/>
      <c r="CE1830" s="23"/>
      <c r="CF1830" s="23"/>
      <c r="CG1830" s="23"/>
      <c r="CH1830" s="23"/>
      <c r="CI1830" s="23"/>
    </row>
    <row r="1831" spans="1:87" x14ac:dyDescent="0.3">
      <c r="A1831" s="9" t="s">
        <v>13874</v>
      </c>
      <c r="B1831" s="10" t="s">
        <v>13875</v>
      </c>
      <c r="C1831" s="11">
        <v>45953.989583333336</v>
      </c>
      <c r="D1831" s="12">
        <v>8.3333333333333329E-2</v>
      </c>
      <c r="E1831" s="11">
        <v>45954.072916666664</v>
      </c>
      <c r="F1831" s="10" t="s">
        <v>8609</v>
      </c>
      <c r="G1831" s="13" t="b">
        <v>0</v>
      </c>
      <c r="H1831" s="10" t="s">
        <v>5239</v>
      </c>
      <c r="I1831" s="10" t="s">
        <v>89</v>
      </c>
      <c r="J1831" s="13" t="b">
        <v>0</v>
      </c>
      <c r="K1831" s="13" t="b">
        <v>1</v>
      </c>
      <c r="L1831" s="10" t="s">
        <v>124</v>
      </c>
      <c r="M1831" s="10" t="s">
        <v>91</v>
      </c>
      <c r="N1831" s="10" t="s">
        <v>92</v>
      </c>
      <c r="O1831" s="19" t="s">
        <v>13876</v>
      </c>
      <c r="P1831" s="10"/>
      <c r="Q1831" s="10" t="s">
        <v>126</v>
      </c>
      <c r="R1831" s="10"/>
      <c r="S1831" s="19" t="s">
        <v>13877</v>
      </c>
      <c r="T1831" s="19" t="s">
        <v>13812</v>
      </c>
      <c r="U1831" s="10" t="s">
        <v>13747</v>
      </c>
      <c r="V1831" s="10" t="s">
        <v>5006</v>
      </c>
      <c r="W1831" s="10" t="s">
        <v>8613</v>
      </c>
      <c r="X1831" s="10" t="s">
        <v>130</v>
      </c>
      <c r="Y1831" s="10" t="s">
        <v>130</v>
      </c>
      <c r="Z1831" s="10" t="s">
        <v>99</v>
      </c>
      <c r="AA1831" s="10" t="s">
        <v>131</v>
      </c>
      <c r="AB1831" s="10" t="s">
        <v>8614</v>
      </c>
      <c r="AC1831" s="10" t="s">
        <v>3571</v>
      </c>
      <c r="AD1831" s="10" t="s">
        <v>13878</v>
      </c>
      <c r="AE1831" s="10" t="s">
        <v>13879</v>
      </c>
      <c r="AF1831" s="15"/>
      <c r="AG1831" s="10"/>
      <c r="AH1831" s="10"/>
      <c r="AI1831" s="10"/>
      <c r="AJ1831" s="10"/>
      <c r="AK1831" s="10" t="s">
        <v>102</v>
      </c>
      <c r="AL1831" s="10" t="s">
        <v>7897</v>
      </c>
      <c r="AM1831" s="10"/>
      <c r="AN1831" s="10"/>
      <c r="AO1831" s="13" t="b">
        <v>0</v>
      </c>
      <c r="AP1831" s="10" t="s">
        <v>104</v>
      </c>
      <c r="AQ1831" s="10">
        <f ca="1">IFERROR(__xludf.DUMMYFUNCTION("""COMPUTED_VALUE"""),4664185)</f>
        <v>4664185</v>
      </c>
      <c r="AR1831" s="17">
        <v>862</v>
      </c>
      <c r="AS1831" s="17">
        <v>701</v>
      </c>
      <c r="AT1831" s="17">
        <v>5002.25</v>
      </c>
      <c r="AU1831" s="17">
        <v>1.75</v>
      </c>
      <c r="AV1831" s="17">
        <v>0</v>
      </c>
      <c r="AW1831" s="10" t="s">
        <v>105</v>
      </c>
      <c r="AX1831" s="17">
        <v>121</v>
      </c>
      <c r="AY1831" s="18">
        <v>7.1358773181169761</v>
      </c>
      <c r="AZ1831" s="10"/>
      <c r="BA1831" s="20" t="b">
        <v>0</v>
      </c>
      <c r="BB1831" s="10"/>
      <c r="BC1831" s="17">
        <v>862</v>
      </c>
      <c r="BD1831" s="17">
        <v>701</v>
      </c>
      <c r="BE1831" s="17">
        <v>5002.25</v>
      </c>
      <c r="BF1831" s="17">
        <v>0</v>
      </c>
      <c r="BG1831" s="11">
        <f ca="1">IFERROR(__xludf.DUMMYFUNCTION("""COMPUTED_VALUE"""),45953.9895833333)</f>
        <v>45953.989583333299</v>
      </c>
      <c r="BH1831" s="17" t="s">
        <v>105</v>
      </c>
      <c r="BI1831" s="17"/>
      <c r="BJ1831" s="15"/>
      <c r="BK1831" s="15"/>
      <c r="BL1831" s="13" t="b">
        <v>0</v>
      </c>
      <c r="BM1831" s="10"/>
      <c r="BN1831" s="10" t="s">
        <v>185</v>
      </c>
      <c r="BO1831" s="11">
        <v>45904.326747685183</v>
      </c>
      <c r="BP1831" s="11">
        <v>45943.592905092592</v>
      </c>
      <c r="BQ1831" s="15">
        <v>45951.461435185185</v>
      </c>
      <c r="BR1831" s="15">
        <v>45951.516828703701</v>
      </c>
      <c r="BS1831" s="10"/>
      <c r="BT1831" s="10" t="s">
        <v>99</v>
      </c>
      <c r="BU1831" s="10"/>
      <c r="BV1831" s="10"/>
      <c r="BW1831" s="10"/>
      <c r="BX1831" s="10"/>
      <c r="BY1831" s="23"/>
      <c r="BZ1831" s="23"/>
      <c r="CA1831" s="19" t="s">
        <v>13880</v>
      </c>
      <c r="CB1831" s="19" t="s">
        <v>13881</v>
      </c>
      <c r="CC1831" s="23"/>
      <c r="CD1831" s="19" t="s">
        <v>13882</v>
      </c>
      <c r="CE1831" s="23"/>
      <c r="CF1831" s="23"/>
      <c r="CG1831" s="23"/>
      <c r="CH1831" s="23"/>
      <c r="CI1831" s="23"/>
    </row>
    <row r="1832" spans="1:87" x14ac:dyDescent="0.3">
      <c r="A1832" s="9" t="s">
        <v>13883</v>
      </c>
      <c r="B1832" s="10" t="s">
        <v>13884</v>
      </c>
      <c r="C1832" s="11">
        <v>45954.083333333336</v>
      </c>
      <c r="D1832" s="12">
        <v>8.3333333333333329E-2</v>
      </c>
      <c r="E1832" s="11">
        <v>45954.166666666664</v>
      </c>
      <c r="F1832" s="10" t="s">
        <v>8609</v>
      </c>
      <c r="G1832" s="13" t="b">
        <v>0</v>
      </c>
      <c r="H1832" s="10" t="s">
        <v>5239</v>
      </c>
      <c r="I1832" s="10" t="s">
        <v>89</v>
      </c>
      <c r="J1832" s="13" t="b">
        <v>0</v>
      </c>
      <c r="K1832" s="13" t="b">
        <v>1</v>
      </c>
      <c r="L1832" s="10" t="s">
        <v>124</v>
      </c>
      <c r="M1832" s="10" t="s">
        <v>91</v>
      </c>
      <c r="N1832" s="10" t="s">
        <v>92</v>
      </c>
      <c r="O1832" s="19" t="s">
        <v>13885</v>
      </c>
      <c r="P1832" s="10"/>
      <c r="Q1832" s="10" t="s">
        <v>94</v>
      </c>
      <c r="R1832" s="10"/>
      <c r="S1832" s="19" t="s">
        <v>13886</v>
      </c>
      <c r="T1832" s="19" t="s">
        <v>13812</v>
      </c>
      <c r="U1832" s="10" t="s">
        <v>13657</v>
      </c>
      <c r="V1832" s="10" t="s">
        <v>13646</v>
      </c>
      <c r="W1832" s="10" t="s">
        <v>8613</v>
      </c>
      <c r="X1832" s="10" t="s">
        <v>130</v>
      </c>
      <c r="Y1832" s="10" t="s">
        <v>130</v>
      </c>
      <c r="Z1832" s="10" t="s">
        <v>99</v>
      </c>
      <c r="AA1832" s="10" t="s">
        <v>131</v>
      </c>
      <c r="AB1832" s="10" t="s">
        <v>8614</v>
      </c>
      <c r="AC1832" s="10" t="s">
        <v>3571</v>
      </c>
      <c r="AD1832" s="10" t="s">
        <v>13887</v>
      </c>
      <c r="AE1832" s="10" t="s">
        <v>13888</v>
      </c>
      <c r="AF1832" s="15"/>
      <c r="AG1832" s="10"/>
      <c r="AH1832" s="10"/>
      <c r="AI1832" s="10"/>
      <c r="AJ1832" s="10"/>
      <c r="AK1832" s="10" t="s">
        <v>102</v>
      </c>
      <c r="AL1832" s="10" t="s">
        <v>7897</v>
      </c>
      <c r="AM1832" s="10"/>
      <c r="AN1832" s="10"/>
      <c r="AO1832" s="13" t="b">
        <v>0</v>
      </c>
      <c r="AP1832" s="10" t="s">
        <v>104</v>
      </c>
      <c r="AQ1832" s="10">
        <f ca="1">IFERROR(__xludf.DUMMYFUNCTION("""COMPUTED_VALUE"""),4664234)</f>
        <v>4664234</v>
      </c>
      <c r="AR1832" s="17">
        <v>333</v>
      </c>
      <c r="AS1832" s="17">
        <v>269</v>
      </c>
      <c r="AT1832" s="17">
        <v>1681</v>
      </c>
      <c r="AU1832" s="17">
        <v>0</v>
      </c>
      <c r="AV1832" s="17">
        <v>0</v>
      </c>
      <c r="AW1832" s="10" t="s">
        <v>105</v>
      </c>
      <c r="AX1832" s="17">
        <v>38</v>
      </c>
      <c r="AY1832" s="18">
        <v>6.2490706319702598</v>
      </c>
      <c r="AZ1832" s="10"/>
      <c r="BA1832" s="20" t="b">
        <v>0</v>
      </c>
      <c r="BB1832" s="10"/>
      <c r="BC1832" s="17">
        <v>333</v>
      </c>
      <c r="BD1832" s="17">
        <v>269</v>
      </c>
      <c r="BE1832" s="17">
        <v>1681</v>
      </c>
      <c r="BF1832" s="17">
        <v>0</v>
      </c>
      <c r="BG1832" s="11">
        <f ca="1">IFERROR(__xludf.DUMMYFUNCTION("""COMPUTED_VALUE"""),45954.0833333333)</f>
        <v>45954.083333333299</v>
      </c>
      <c r="BH1832" s="17" t="s">
        <v>105</v>
      </c>
      <c r="BI1832" s="17"/>
      <c r="BJ1832" s="15"/>
      <c r="BK1832" s="15"/>
      <c r="BL1832" s="13" t="b">
        <v>0</v>
      </c>
      <c r="BM1832" s="10"/>
      <c r="BN1832" s="10" t="s">
        <v>185</v>
      </c>
      <c r="BO1832" s="11">
        <v>45904.326747685183</v>
      </c>
      <c r="BP1832" s="11">
        <v>45943.593807870369</v>
      </c>
      <c r="BQ1832" s="15">
        <v>45951.462152777778</v>
      </c>
      <c r="BR1832" s="15">
        <v>45951.523668981485</v>
      </c>
      <c r="BS1832" s="10"/>
      <c r="BT1832" s="10" t="s">
        <v>99</v>
      </c>
      <c r="BU1832" s="10"/>
      <c r="BV1832" s="10"/>
      <c r="BW1832" s="10"/>
      <c r="BX1832" s="10"/>
      <c r="BY1832" s="23"/>
      <c r="BZ1832" s="23"/>
      <c r="CA1832" s="19" t="s">
        <v>13889</v>
      </c>
      <c r="CB1832" s="19" t="s">
        <v>13890</v>
      </c>
      <c r="CC1832" s="23"/>
      <c r="CD1832" s="23"/>
      <c r="CE1832" s="23"/>
      <c r="CF1832" s="23"/>
      <c r="CG1832" s="23"/>
      <c r="CH1832" s="23"/>
      <c r="CI1832" s="23"/>
    </row>
    <row r="1833" spans="1:87" x14ac:dyDescent="0.3">
      <c r="A1833" s="9" t="s">
        <v>13891</v>
      </c>
      <c r="B1833" s="10" t="s">
        <v>13892</v>
      </c>
      <c r="C1833" s="11">
        <v>45954.083333333336</v>
      </c>
      <c r="D1833" s="12">
        <v>8.3333333333333329E-2</v>
      </c>
      <c r="E1833" s="11">
        <v>45954.166666666664</v>
      </c>
      <c r="F1833" s="10" t="s">
        <v>8609</v>
      </c>
      <c r="G1833" s="13" t="b">
        <v>0</v>
      </c>
      <c r="H1833" s="10" t="s">
        <v>5239</v>
      </c>
      <c r="I1833" s="10" t="s">
        <v>89</v>
      </c>
      <c r="J1833" s="13" t="b">
        <v>0</v>
      </c>
      <c r="K1833" s="13" t="b">
        <v>1</v>
      </c>
      <c r="L1833" s="10" t="s">
        <v>124</v>
      </c>
      <c r="M1833" s="10" t="s">
        <v>91</v>
      </c>
      <c r="N1833" s="10" t="s">
        <v>92</v>
      </c>
      <c r="O1833" s="19" t="s">
        <v>13893</v>
      </c>
      <c r="P1833" s="10"/>
      <c r="Q1833" s="10" t="s">
        <v>94</v>
      </c>
      <c r="R1833" s="10"/>
      <c r="S1833" s="19" t="s">
        <v>13894</v>
      </c>
      <c r="T1833" s="19" t="s">
        <v>13812</v>
      </c>
      <c r="U1833" s="10" t="s">
        <v>13776</v>
      </c>
      <c r="V1833" s="10" t="s">
        <v>13706</v>
      </c>
      <c r="W1833" s="10" t="s">
        <v>8613</v>
      </c>
      <c r="X1833" s="10" t="s">
        <v>130</v>
      </c>
      <c r="Y1833" s="10" t="s">
        <v>130</v>
      </c>
      <c r="Z1833" s="10" t="s">
        <v>99</v>
      </c>
      <c r="AA1833" s="10" t="s">
        <v>131</v>
      </c>
      <c r="AB1833" s="10" t="s">
        <v>8614</v>
      </c>
      <c r="AC1833" s="10" t="s">
        <v>3571</v>
      </c>
      <c r="AD1833" s="10" t="s">
        <v>13895</v>
      </c>
      <c r="AE1833" s="10" t="s">
        <v>13896</v>
      </c>
      <c r="AF1833" s="15"/>
      <c r="AG1833" s="10"/>
      <c r="AH1833" s="10"/>
      <c r="AI1833" s="10"/>
      <c r="AJ1833" s="10"/>
      <c r="AK1833" s="10" t="s">
        <v>102</v>
      </c>
      <c r="AL1833" s="10" t="s">
        <v>7897</v>
      </c>
      <c r="AM1833" s="10"/>
      <c r="AN1833" s="10"/>
      <c r="AO1833" s="13" t="b">
        <v>0</v>
      </c>
      <c r="AP1833" s="10" t="s">
        <v>104</v>
      </c>
      <c r="AQ1833" s="10">
        <f ca="1">IFERROR(__xludf.DUMMYFUNCTION("""COMPUTED_VALUE"""),4664236)</f>
        <v>4664236</v>
      </c>
      <c r="AR1833" s="17">
        <v>214</v>
      </c>
      <c r="AS1833" s="17">
        <v>179</v>
      </c>
      <c r="AT1833" s="17">
        <v>678.5</v>
      </c>
      <c r="AU1833" s="17">
        <v>0</v>
      </c>
      <c r="AV1833" s="17">
        <v>0</v>
      </c>
      <c r="AW1833" s="10" t="s">
        <v>105</v>
      </c>
      <c r="AX1833" s="17">
        <v>156</v>
      </c>
      <c r="AY1833" s="18">
        <v>3.7905027932960893</v>
      </c>
      <c r="AZ1833" s="10"/>
      <c r="BA1833" s="20" t="b">
        <v>0</v>
      </c>
      <c r="BB1833" s="10"/>
      <c r="BC1833" s="17">
        <v>214</v>
      </c>
      <c r="BD1833" s="17">
        <v>179</v>
      </c>
      <c r="BE1833" s="17">
        <v>678.5</v>
      </c>
      <c r="BF1833" s="17">
        <v>0</v>
      </c>
      <c r="BG1833" s="11">
        <f ca="1">IFERROR(__xludf.DUMMYFUNCTION("""COMPUTED_VALUE"""),45954.0833333333)</f>
        <v>45954.083333333299</v>
      </c>
      <c r="BH1833" s="17" t="s">
        <v>105</v>
      </c>
      <c r="BI1833" s="17"/>
      <c r="BJ1833" s="15"/>
      <c r="BK1833" s="15"/>
      <c r="BL1833" s="13" t="b">
        <v>0</v>
      </c>
      <c r="BM1833" s="10"/>
      <c r="BN1833" s="10" t="s">
        <v>185</v>
      </c>
      <c r="BO1833" s="11">
        <v>45904.326747685183</v>
      </c>
      <c r="BP1833" s="11">
        <v>45943.594201388885</v>
      </c>
      <c r="BQ1833" s="15">
        <v>45951.462256944447</v>
      </c>
      <c r="BR1833" s="15">
        <v>45951.525034722225</v>
      </c>
      <c r="BS1833" s="10"/>
      <c r="BT1833" s="10" t="s">
        <v>99</v>
      </c>
      <c r="BU1833" s="10"/>
      <c r="BV1833" s="10"/>
      <c r="BW1833" s="10"/>
      <c r="BX1833" s="10"/>
      <c r="BY1833" s="23"/>
      <c r="BZ1833" s="23"/>
      <c r="CA1833" s="19" t="s">
        <v>13897</v>
      </c>
      <c r="CB1833" s="19" t="s">
        <v>13898</v>
      </c>
      <c r="CC1833" s="23"/>
      <c r="CD1833" s="23"/>
      <c r="CE1833" s="23"/>
      <c r="CF1833" s="23"/>
      <c r="CG1833" s="23"/>
      <c r="CH1833" s="23"/>
      <c r="CI1833" s="23"/>
    </row>
    <row r="1834" spans="1:87" x14ac:dyDescent="0.3">
      <c r="A1834" s="9" t="s">
        <v>13899</v>
      </c>
      <c r="B1834" s="10" t="s">
        <v>13900</v>
      </c>
      <c r="C1834" s="11">
        <v>45954.083333333336</v>
      </c>
      <c r="D1834" s="12">
        <v>8.3333333333333329E-2</v>
      </c>
      <c r="E1834" s="11">
        <v>45954.166666666664</v>
      </c>
      <c r="F1834" s="10" t="s">
        <v>8609</v>
      </c>
      <c r="G1834" s="13" t="b">
        <v>0</v>
      </c>
      <c r="H1834" s="10" t="s">
        <v>5239</v>
      </c>
      <c r="I1834" s="10" t="s">
        <v>89</v>
      </c>
      <c r="J1834" s="13" t="b">
        <v>0</v>
      </c>
      <c r="K1834" s="13" t="b">
        <v>1</v>
      </c>
      <c r="L1834" s="10" t="s">
        <v>124</v>
      </c>
      <c r="M1834" s="10" t="s">
        <v>91</v>
      </c>
      <c r="N1834" s="10" t="s">
        <v>92</v>
      </c>
      <c r="O1834" s="19" t="s">
        <v>13901</v>
      </c>
      <c r="P1834" s="10"/>
      <c r="Q1834" s="10" t="s">
        <v>94</v>
      </c>
      <c r="R1834" s="10"/>
      <c r="S1834" s="19" t="s">
        <v>13902</v>
      </c>
      <c r="T1834" s="19" t="s">
        <v>13812</v>
      </c>
      <c r="U1834" s="10" t="s">
        <v>13667</v>
      </c>
      <c r="V1834" s="10" t="s">
        <v>13656</v>
      </c>
      <c r="W1834" s="10" t="s">
        <v>8613</v>
      </c>
      <c r="X1834" s="10" t="s">
        <v>130</v>
      </c>
      <c r="Y1834" s="10" t="s">
        <v>130</v>
      </c>
      <c r="Z1834" s="10" t="s">
        <v>99</v>
      </c>
      <c r="AA1834" s="10" t="s">
        <v>131</v>
      </c>
      <c r="AB1834" s="10" t="s">
        <v>8614</v>
      </c>
      <c r="AC1834" s="10" t="s">
        <v>3571</v>
      </c>
      <c r="AD1834" s="10" t="s">
        <v>13903</v>
      </c>
      <c r="AE1834" s="10" t="s">
        <v>13904</v>
      </c>
      <c r="AF1834" s="15"/>
      <c r="AG1834" s="10"/>
      <c r="AH1834" s="10"/>
      <c r="AI1834" s="10"/>
      <c r="AJ1834" s="10"/>
      <c r="AK1834" s="10" t="s">
        <v>102</v>
      </c>
      <c r="AL1834" s="10" t="s">
        <v>7897</v>
      </c>
      <c r="AM1834" s="10"/>
      <c r="AN1834" s="10"/>
      <c r="AO1834" s="13" t="b">
        <v>0</v>
      </c>
      <c r="AP1834" s="10" t="s">
        <v>104</v>
      </c>
      <c r="AQ1834" s="10">
        <f ca="1">IFERROR(__xludf.DUMMYFUNCTION("""COMPUTED_VALUE"""),4664235)</f>
        <v>4664235</v>
      </c>
      <c r="AR1834" s="17">
        <v>385</v>
      </c>
      <c r="AS1834" s="17">
        <v>281</v>
      </c>
      <c r="AT1834" s="17">
        <v>2473.75</v>
      </c>
      <c r="AU1834" s="17">
        <v>0</v>
      </c>
      <c r="AV1834" s="17">
        <v>0</v>
      </c>
      <c r="AW1834" s="10" t="s">
        <v>105</v>
      </c>
      <c r="AX1834" s="17">
        <v>64</v>
      </c>
      <c r="AY1834" s="18">
        <v>8.8033807829181487</v>
      </c>
      <c r="AZ1834" s="10"/>
      <c r="BA1834" s="20" t="b">
        <v>0</v>
      </c>
      <c r="BB1834" s="10"/>
      <c r="BC1834" s="17">
        <v>385</v>
      </c>
      <c r="BD1834" s="17">
        <v>281</v>
      </c>
      <c r="BE1834" s="17">
        <v>2473.75</v>
      </c>
      <c r="BF1834" s="17">
        <v>0</v>
      </c>
      <c r="BG1834" s="11">
        <f ca="1">IFERROR(__xludf.DUMMYFUNCTION("""COMPUTED_VALUE"""),45954.0833333333)</f>
        <v>45954.083333333299</v>
      </c>
      <c r="BH1834" s="17" t="s">
        <v>105</v>
      </c>
      <c r="BI1834" s="17"/>
      <c r="BJ1834" s="15"/>
      <c r="BK1834" s="15"/>
      <c r="BL1834" s="13" t="b">
        <v>0</v>
      </c>
      <c r="BM1834" s="10"/>
      <c r="BN1834" s="10" t="s">
        <v>185</v>
      </c>
      <c r="BO1834" s="11">
        <v>45904.326747685183</v>
      </c>
      <c r="BP1834" s="11">
        <v>45943.593993055554</v>
      </c>
      <c r="BQ1834" s="15">
        <v>45951.462210648147</v>
      </c>
      <c r="BR1834" s="15">
        <v>45951.524768518517</v>
      </c>
      <c r="BS1834" s="10"/>
      <c r="BT1834" s="10" t="s">
        <v>99</v>
      </c>
      <c r="BU1834" s="10"/>
      <c r="BV1834" s="10"/>
      <c r="BW1834" s="10"/>
      <c r="BX1834" s="10"/>
      <c r="BY1834" s="23"/>
      <c r="BZ1834" s="23"/>
      <c r="CA1834" s="19" t="s">
        <v>13905</v>
      </c>
      <c r="CB1834" s="19" t="s">
        <v>13906</v>
      </c>
      <c r="CC1834" s="23"/>
      <c r="CD1834" s="23"/>
      <c r="CE1834" s="23"/>
      <c r="CF1834" s="23"/>
      <c r="CG1834" s="23"/>
      <c r="CH1834" s="23"/>
      <c r="CI1834" s="23"/>
    </row>
    <row r="1835" spans="1:87" x14ac:dyDescent="0.3">
      <c r="A1835" s="9" t="s">
        <v>13907</v>
      </c>
      <c r="B1835" s="10" t="s">
        <v>13908</v>
      </c>
      <c r="C1835" s="11">
        <v>45954.083333333336</v>
      </c>
      <c r="D1835" s="12">
        <v>8.3333333333333329E-2</v>
      </c>
      <c r="E1835" s="11">
        <v>45954.166666666664</v>
      </c>
      <c r="F1835" s="10" t="s">
        <v>8609</v>
      </c>
      <c r="G1835" s="13" t="b">
        <v>0</v>
      </c>
      <c r="H1835" s="10" t="s">
        <v>3564</v>
      </c>
      <c r="I1835" s="10" t="s">
        <v>89</v>
      </c>
      <c r="J1835" s="13" t="b">
        <v>0</v>
      </c>
      <c r="K1835" s="13" t="b">
        <v>1</v>
      </c>
      <c r="L1835" s="10" t="s">
        <v>124</v>
      </c>
      <c r="M1835" s="10" t="s">
        <v>91</v>
      </c>
      <c r="N1835" s="10" t="s">
        <v>92</v>
      </c>
      <c r="O1835" s="19" t="s">
        <v>13909</v>
      </c>
      <c r="P1835" s="10"/>
      <c r="Q1835" s="10" t="s">
        <v>126</v>
      </c>
      <c r="R1835" s="10"/>
      <c r="S1835" s="19" t="s">
        <v>13910</v>
      </c>
      <c r="T1835" s="19" t="s">
        <v>13812</v>
      </c>
      <c r="U1835" s="10" t="s">
        <v>347</v>
      </c>
      <c r="V1835" s="10" t="s">
        <v>7923</v>
      </c>
      <c r="W1835" s="10" t="s">
        <v>8613</v>
      </c>
      <c r="X1835" s="10" t="s">
        <v>130</v>
      </c>
      <c r="Y1835" s="10" t="s">
        <v>130</v>
      </c>
      <c r="Z1835" s="10" t="s">
        <v>99</v>
      </c>
      <c r="AA1835" s="10" t="s">
        <v>131</v>
      </c>
      <c r="AB1835" s="10" t="s">
        <v>8614</v>
      </c>
      <c r="AC1835" s="10" t="s">
        <v>3571</v>
      </c>
      <c r="AD1835" s="10" t="s">
        <v>13911</v>
      </c>
      <c r="AE1835" s="10" t="s">
        <v>13912</v>
      </c>
      <c r="AF1835" s="15"/>
      <c r="AG1835" s="10"/>
      <c r="AH1835" s="10"/>
      <c r="AI1835" s="10"/>
      <c r="AJ1835" s="10"/>
      <c r="AK1835" s="10" t="s">
        <v>102</v>
      </c>
      <c r="AL1835" s="10" t="s">
        <v>7897</v>
      </c>
      <c r="AM1835" s="10"/>
      <c r="AN1835" s="10"/>
      <c r="AO1835" s="13" t="b">
        <v>0</v>
      </c>
      <c r="AP1835" s="10" t="s">
        <v>104</v>
      </c>
      <c r="AQ1835" s="10">
        <f ca="1">IFERROR(__xludf.DUMMYFUNCTION("""COMPUTED_VALUE"""),4664157)</f>
        <v>4664157</v>
      </c>
      <c r="AR1835" s="17">
        <v>2226</v>
      </c>
      <c r="AS1835" s="17">
        <v>1587</v>
      </c>
      <c r="AT1835" s="17">
        <v>34957</v>
      </c>
      <c r="AU1835" s="17">
        <v>3.65</v>
      </c>
      <c r="AV1835" s="17">
        <v>0</v>
      </c>
      <c r="AW1835" s="10" t="s">
        <v>105</v>
      </c>
      <c r="AX1835" s="17">
        <v>580</v>
      </c>
      <c r="AY1835" s="18">
        <v>22.027095148078136</v>
      </c>
      <c r="AZ1835" s="10"/>
      <c r="BA1835" s="20" t="b">
        <v>0</v>
      </c>
      <c r="BB1835" s="10"/>
      <c r="BC1835" s="17">
        <v>2226</v>
      </c>
      <c r="BD1835" s="17">
        <v>1587</v>
      </c>
      <c r="BE1835" s="17">
        <v>34957</v>
      </c>
      <c r="BF1835" s="17">
        <v>0</v>
      </c>
      <c r="BG1835" s="11">
        <f ca="1">IFERROR(__xludf.DUMMYFUNCTION("""COMPUTED_VALUE"""),45954.0833333333)</f>
        <v>45954.083333333299</v>
      </c>
      <c r="BH1835" s="17" t="s">
        <v>105</v>
      </c>
      <c r="BI1835" s="17"/>
      <c r="BJ1835" s="15"/>
      <c r="BK1835" s="15"/>
      <c r="BL1835" s="13" t="b">
        <v>0</v>
      </c>
      <c r="BM1835" s="10"/>
      <c r="BN1835" s="10" t="s">
        <v>185</v>
      </c>
      <c r="BO1835" s="11">
        <v>45904.326747685183</v>
      </c>
      <c r="BP1835" s="11">
        <v>45931.835821759261</v>
      </c>
      <c r="BQ1835" s="15">
        <v>45951.462048611109</v>
      </c>
      <c r="BR1835" s="15">
        <v>45951.50984953704</v>
      </c>
      <c r="BS1835" s="10"/>
      <c r="BT1835" s="10" t="s">
        <v>99</v>
      </c>
      <c r="BU1835" s="10"/>
      <c r="BV1835" s="10"/>
      <c r="BW1835" s="10"/>
      <c r="BX1835" s="10"/>
      <c r="BY1835" s="23"/>
      <c r="BZ1835" s="23"/>
      <c r="CA1835" s="19" t="s">
        <v>13913</v>
      </c>
      <c r="CB1835" s="19" t="s">
        <v>13914</v>
      </c>
      <c r="CC1835" s="23"/>
      <c r="CD1835" s="19" t="s">
        <v>13915</v>
      </c>
      <c r="CE1835" s="23"/>
      <c r="CF1835" s="23"/>
      <c r="CG1835" s="23"/>
      <c r="CH1835" s="23"/>
      <c r="CI1835" s="23"/>
    </row>
    <row r="1836" spans="1:87" x14ac:dyDescent="0.3">
      <c r="A1836" s="9" t="s">
        <v>13916</v>
      </c>
      <c r="B1836" s="10" t="s">
        <v>13917</v>
      </c>
      <c r="C1836" s="11">
        <v>45954.083333333336</v>
      </c>
      <c r="D1836" s="12">
        <v>8.3333333333333329E-2</v>
      </c>
      <c r="E1836" s="11">
        <v>45954.166666666664</v>
      </c>
      <c r="F1836" s="10" t="s">
        <v>8609</v>
      </c>
      <c r="G1836" s="13" t="b">
        <v>0</v>
      </c>
      <c r="H1836" s="10" t="s">
        <v>5239</v>
      </c>
      <c r="I1836" s="10" t="s">
        <v>89</v>
      </c>
      <c r="J1836" s="13" t="b">
        <v>0</v>
      </c>
      <c r="K1836" s="13" t="b">
        <v>1</v>
      </c>
      <c r="L1836" s="10" t="s">
        <v>124</v>
      </c>
      <c r="M1836" s="10" t="s">
        <v>91</v>
      </c>
      <c r="N1836" s="10" t="s">
        <v>92</v>
      </c>
      <c r="O1836" s="19" t="s">
        <v>13918</v>
      </c>
      <c r="P1836" s="10"/>
      <c r="Q1836" s="10" t="s">
        <v>94</v>
      </c>
      <c r="R1836" s="10"/>
      <c r="S1836" s="19" t="s">
        <v>13919</v>
      </c>
      <c r="T1836" s="19" t="s">
        <v>13812</v>
      </c>
      <c r="U1836" s="10" t="s">
        <v>13727</v>
      </c>
      <c r="V1836" s="10" t="s">
        <v>13766</v>
      </c>
      <c r="W1836" s="10" t="s">
        <v>8613</v>
      </c>
      <c r="X1836" s="10" t="s">
        <v>130</v>
      </c>
      <c r="Y1836" s="10" t="s">
        <v>130</v>
      </c>
      <c r="Z1836" s="10" t="s">
        <v>99</v>
      </c>
      <c r="AA1836" s="10" t="s">
        <v>131</v>
      </c>
      <c r="AB1836" s="10" t="s">
        <v>8614</v>
      </c>
      <c r="AC1836" s="10" t="s">
        <v>3571</v>
      </c>
      <c r="AD1836" s="10" t="s">
        <v>13920</v>
      </c>
      <c r="AE1836" s="10" t="s">
        <v>13921</v>
      </c>
      <c r="AF1836" s="15"/>
      <c r="AG1836" s="10"/>
      <c r="AH1836" s="10"/>
      <c r="AI1836" s="10"/>
      <c r="AJ1836" s="10"/>
      <c r="AK1836" s="10" t="s">
        <v>102</v>
      </c>
      <c r="AL1836" s="10" t="s">
        <v>7897</v>
      </c>
      <c r="AM1836" s="10"/>
      <c r="AN1836" s="10"/>
      <c r="AO1836" s="13" t="b">
        <v>0</v>
      </c>
      <c r="AP1836" s="10" t="s">
        <v>104</v>
      </c>
      <c r="AQ1836" s="10">
        <f ca="1">IFERROR(__xludf.DUMMYFUNCTION("""COMPUTED_VALUE"""),4664237)</f>
        <v>4664237</v>
      </c>
      <c r="AR1836" s="17">
        <v>179</v>
      </c>
      <c r="AS1836" s="17">
        <v>142</v>
      </c>
      <c r="AT1836" s="17">
        <v>287.5</v>
      </c>
      <c r="AU1836" s="17">
        <v>0</v>
      </c>
      <c r="AV1836" s="17">
        <v>0</v>
      </c>
      <c r="AW1836" s="10" t="s">
        <v>105</v>
      </c>
      <c r="AX1836" s="17">
        <v>82</v>
      </c>
      <c r="AY1836" s="18">
        <v>2.0246478873239435</v>
      </c>
      <c r="AZ1836" s="10"/>
      <c r="BA1836" s="20" t="b">
        <v>0</v>
      </c>
      <c r="BB1836" s="10"/>
      <c r="BC1836" s="17">
        <v>179</v>
      </c>
      <c r="BD1836" s="17">
        <v>142</v>
      </c>
      <c r="BE1836" s="17">
        <v>287.5</v>
      </c>
      <c r="BF1836" s="17">
        <v>0</v>
      </c>
      <c r="BG1836" s="11">
        <f ca="1">IFERROR(__xludf.DUMMYFUNCTION("""COMPUTED_VALUE"""),45954.0833333333)</f>
        <v>45954.083333333299</v>
      </c>
      <c r="BH1836" s="17" t="s">
        <v>105</v>
      </c>
      <c r="BI1836" s="17"/>
      <c r="BJ1836" s="15"/>
      <c r="BK1836" s="15"/>
      <c r="BL1836" s="13" t="b">
        <v>0</v>
      </c>
      <c r="BM1836" s="10"/>
      <c r="BN1836" s="10" t="s">
        <v>185</v>
      </c>
      <c r="BO1836" s="11">
        <v>45904.326747685183</v>
      </c>
      <c r="BP1836" s="11">
        <v>45943.594363425924</v>
      </c>
      <c r="BQ1836" s="15">
        <v>45951.462326388886</v>
      </c>
      <c r="BR1836" s="15">
        <v>45951.524583333332</v>
      </c>
      <c r="BS1836" s="10"/>
      <c r="BT1836" s="10" t="s">
        <v>99</v>
      </c>
      <c r="BU1836" s="10"/>
      <c r="BV1836" s="10"/>
      <c r="BW1836" s="10"/>
      <c r="BX1836" s="10"/>
      <c r="BY1836" s="23"/>
      <c r="BZ1836" s="23"/>
      <c r="CA1836" s="19" t="s">
        <v>13922</v>
      </c>
      <c r="CB1836" s="19" t="s">
        <v>13923</v>
      </c>
      <c r="CC1836" s="23"/>
      <c r="CD1836" s="23"/>
      <c r="CE1836" s="23"/>
      <c r="CF1836" s="23"/>
      <c r="CG1836" s="23"/>
      <c r="CH1836" s="23"/>
      <c r="CI1836" s="23"/>
    </row>
    <row r="1837" spans="1:87" x14ac:dyDescent="0.3">
      <c r="A1837" s="9" t="s">
        <v>13924</v>
      </c>
      <c r="B1837" s="10" t="s">
        <v>13925</v>
      </c>
      <c r="C1837" s="11">
        <v>45954.083333333336</v>
      </c>
      <c r="D1837" s="12">
        <v>8.3333333333333329E-2</v>
      </c>
      <c r="E1837" s="11">
        <v>45954.166666666664</v>
      </c>
      <c r="F1837" s="10" t="s">
        <v>8609</v>
      </c>
      <c r="G1837" s="13" t="b">
        <v>0</v>
      </c>
      <c r="H1837" s="10" t="s">
        <v>5239</v>
      </c>
      <c r="I1837" s="10" t="s">
        <v>89</v>
      </c>
      <c r="J1837" s="13" t="b">
        <v>0</v>
      </c>
      <c r="K1837" s="13" t="b">
        <v>1</v>
      </c>
      <c r="L1837" s="10" t="s">
        <v>124</v>
      </c>
      <c r="M1837" s="10" t="s">
        <v>91</v>
      </c>
      <c r="N1837" s="10" t="s">
        <v>92</v>
      </c>
      <c r="O1837" s="19" t="s">
        <v>13926</v>
      </c>
      <c r="P1837" s="10"/>
      <c r="Q1837" s="10" t="s">
        <v>94</v>
      </c>
      <c r="R1837" s="10"/>
      <c r="S1837" s="19" t="s">
        <v>13927</v>
      </c>
      <c r="T1837" s="19" t="s">
        <v>13812</v>
      </c>
      <c r="U1837" s="10" t="s">
        <v>13737</v>
      </c>
      <c r="V1837" s="10" t="s">
        <v>13696</v>
      </c>
      <c r="W1837" s="10" t="s">
        <v>8613</v>
      </c>
      <c r="X1837" s="10" t="s">
        <v>130</v>
      </c>
      <c r="Y1837" s="10" t="s">
        <v>130</v>
      </c>
      <c r="Z1837" s="10" t="s">
        <v>99</v>
      </c>
      <c r="AA1837" s="10" t="s">
        <v>131</v>
      </c>
      <c r="AB1837" s="10" t="s">
        <v>8614</v>
      </c>
      <c r="AC1837" s="10" t="s">
        <v>3571</v>
      </c>
      <c r="AD1837" s="10" t="s">
        <v>13928</v>
      </c>
      <c r="AE1837" s="10" t="s">
        <v>13929</v>
      </c>
      <c r="AF1837" s="15"/>
      <c r="AG1837" s="10"/>
      <c r="AH1837" s="10"/>
      <c r="AI1837" s="10"/>
      <c r="AJ1837" s="10"/>
      <c r="AK1837" s="10" t="s">
        <v>102</v>
      </c>
      <c r="AL1837" s="10" t="s">
        <v>7897</v>
      </c>
      <c r="AM1837" s="10"/>
      <c r="AN1837" s="10"/>
      <c r="AO1837" s="13" t="b">
        <v>0</v>
      </c>
      <c r="AP1837" s="10" t="s">
        <v>104</v>
      </c>
      <c r="AQ1837" s="10">
        <f ca="1">IFERROR(__xludf.DUMMYFUNCTION("""COMPUTED_VALUE"""),4664239)</f>
        <v>4664239</v>
      </c>
      <c r="AR1837" s="17">
        <v>202</v>
      </c>
      <c r="AS1837" s="17">
        <v>172</v>
      </c>
      <c r="AT1837" s="17">
        <v>440.5</v>
      </c>
      <c r="AU1837" s="17">
        <v>0</v>
      </c>
      <c r="AV1837" s="17">
        <v>0</v>
      </c>
      <c r="AW1837" s="10" t="s">
        <v>105</v>
      </c>
      <c r="AX1837" s="17">
        <v>47</v>
      </c>
      <c r="AY1837" s="18">
        <v>2.5610465116279069</v>
      </c>
      <c r="AZ1837" s="10"/>
      <c r="BA1837" s="20" t="b">
        <v>0</v>
      </c>
      <c r="BB1837" s="10"/>
      <c r="BC1837" s="17">
        <v>202</v>
      </c>
      <c r="BD1837" s="17">
        <v>172</v>
      </c>
      <c r="BE1837" s="17">
        <v>440.5</v>
      </c>
      <c r="BF1837" s="17">
        <v>0</v>
      </c>
      <c r="BG1837" s="11">
        <f ca="1">IFERROR(__xludf.DUMMYFUNCTION("""COMPUTED_VALUE"""),45954.0833333333)</f>
        <v>45954.083333333299</v>
      </c>
      <c r="BH1837" s="17" t="s">
        <v>105</v>
      </c>
      <c r="BI1837" s="17"/>
      <c r="BJ1837" s="15"/>
      <c r="BK1837" s="15"/>
      <c r="BL1837" s="13" t="b">
        <v>0</v>
      </c>
      <c r="BM1837" s="10"/>
      <c r="BN1837" s="10" t="s">
        <v>185</v>
      </c>
      <c r="BO1837" s="11">
        <v>45904.326747685183</v>
      </c>
      <c r="BP1837" s="11">
        <v>45943.594652777778</v>
      </c>
      <c r="BQ1837" s="15">
        <v>45951.462442129632</v>
      </c>
      <c r="BR1837" s="15">
        <v>45951.551944444444</v>
      </c>
      <c r="BS1837" s="10"/>
      <c r="BT1837" s="10" t="s">
        <v>99</v>
      </c>
      <c r="BU1837" s="10"/>
      <c r="BV1837" s="10"/>
      <c r="BW1837" s="10"/>
      <c r="BX1837" s="10"/>
      <c r="BY1837" s="23"/>
      <c r="BZ1837" s="23"/>
      <c r="CA1837" s="19" t="s">
        <v>13930</v>
      </c>
      <c r="CB1837" s="19" t="s">
        <v>13931</v>
      </c>
      <c r="CC1837" s="23"/>
      <c r="CD1837" s="23"/>
      <c r="CE1837" s="23"/>
      <c r="CF1837" s="23"/>
      <c r="CG1837" s="23"/>
      <c r="CH1837" s="23"/>
      <c r="CI1837" s="23"/>
    </row>
    <row r="1838" spans="1:87" x14ac:dyDescent="0.3">
      <c r="A1838" s="9" t="s">
        <v>13932</v>
      </c>
      <c r="B1838" s="10" t="s">
        <v>13933</v>
      </c>
      <c r="C1838" s="11">
        <v>45954.083333333336</v>
      </c>
      <c r="D1838" s="12">
        <v>8.3333333333333329E-2</v>
      </c>
      <c r="E1838" s="11">
        <v>45954.166666666664</v>
      </c>
      <c r="F1838" s="10" t="s">
        <v>8609</v>
      </c>
      <c r="G1838" s="13" t="b">
        <v>0</v>
      </c>
      <c r="H1838" s="10" t="s">
        <v>5239</v>
      </c>
      <c r="I1838" s="10" t="s">
        <v>89</v>
      </c>
      <c r="J1838" s="13" t="b">
        <v>0</v>
      </c>
      <c r="K1838" s="13" t="b">
        <v>1</v>
      </c>
      <c r="L1838" s="10" t="s">
        <v>124</v>
      </c>
      <c r="M1838" s="10" t="s">
        <v>91</v>
      </c>
      <c r="N1838" s="10" t="s">
        <v>92</v>
      </c>
      <c r="O1838" s="19" t="s">
        <v>13934</v>
      </c>
      <c r="P1838" s="10"/>
      <c r="Q1838" s="10" t="s">
        <v>94</v>
      </c>
      <c r="R1838" s="10"/>
      <c r="S1838" s="19" t="s">
        <v>13935</v>
      </c>
      <c r="T1838" s="19" t="s">
        <v>13812</v>
      </c>
      <c r="U1838" s="10" t="s">
        <v>13756</v>
      </c>
      <c r="V1838" s="10" t="s">
        <v>13736</v>
      </c>
      <c r="W1838" s="10" t="s">
        <v>8613</v>
      </c>
      <c r="X1838" s="10" t="s">
        <v>130</v>
      </c>
      <c r="Y1838" s="10" t="s">
        <v>130</v>
      </c>
      <c r="Z1838" s="10" t="s">
        <v>99</v>
      </c>
      <c r="AA1838" s="10" t="s">
        <v>131</v>
      </c>
      <c r="AB1838" s="10" t="s">
        <v>8614</v>
      </c>
      <c r="AC1838" s="10" t="s">
        <v>3571</v>
      </c>
      <c r="AD1838" s="10" t="s">
        <v>13936</v>
      </c>
      <c r="AE1838" s="10" t="s">
        <v>13937</v>
      </c>
      <c r="AF1838" s="15"/>
      <c r="AG1838" s="10"/>
      <c r="AH1838" s="10"/>
      <c r="AI1838" s="10"/>
      <c r="AJ1838" s="10"/>
      <c r="AK1838" s="10" t="s">
        <v>102</v>
      </c>
      <c r="AL1838" s="10" t="s">
        <v>7897</v>
      </c>
      <c r="AM1838" s="10"/>
      <c r="AN1838" s="10"/>
      <c r="AO1838" s="13" t="b">
        <v>0</v>
      </c>
      <c r="AP1838" s="10" t="s">
        <v>104</v>
      </c>
      <c r="AQ1838" s="10">
        <f ca="1">IFERROR(__xludf.DUMMYFUNCTION("""COMPUTED_VALUE"""),4668407)</f>
        <v>4668407</v>
      </c>
      <c r="AR1838" s="17">
        <v>117</v>
      </c>
      <c r="AS1838" s="17">
        <v>100</v>
      </c>
      <c r="AT1838" s="17">
        <v>234.5</v>
      </c>
      <c r="AU1838" s="17">
        <v>0</v>
      </c>
      <c r="AV1838" s="17">
        <v>0</v>
      </c>
      <c r="AW1838" s="10" t="s">
        <v>105</v>
      </c>
      <c r="AX1838" s="17">
        <v>14</v>
      </c>
      <c r="AY1838" s="18">
        <v>2.3450000000000002</v>
      </c>
      <c r="AZ1838" s="10"/>
      <c r="BA1838" s="20" t="b">
        <v>0</v>
      </c>
      <c r="BB1838" s="10"/>
      <c r="BC1838" s="17">
        <v>117</v>
      </c>
      <c r="BD1838" s="17">
        <v>100</v>
      </c>
      <c r="BE1838" s="17">
        <v>234.5</v>
      </c>
      <c r="BF1838" s="17">
        <v>0</v>
      </c>
      <c r="BG1838" s="11">
        <f ca="1">IFERROR(__xludf.DUMMYFUNCTION("""COMPUTED_VALUE"""),45954.0833333333)</f>
        <v>45954.083333333299</v>
      </c>
      <c r="BH1838" s="17" t="s">
        <v>105</v>
      </c>
      <c r="BI1838" s="17"/>
      <c r="BJ1838" s="15"/>
      <c r="BK1838" s="15"/>
      <c r="BL1838" s="13" t="b">
        <v>0</v>
      </c>
      <c r="BM1838" s="10"/>
      <c r="BN1838" s="10" t="s">
        <v>157</v>
      </c>
      <c r="BO1838" s="11">
        <v>45904.326747685183</v>
      </c>
      <c r="BP1838" s="11">
        <v>45943.594583333332</v>
      </c>
      <c r="BQ1838" s="15">
        <v>45951.462384259263</v>
      </c>
      <c r="BR1838" s="15">
        <v>45954.059652777774</v>
      </c>
      <c r="BS1838" s="10" t="s">
        <v>157</v>
      </c>
      <c r="BT1838" s="10" t="s">
        <v>99</v>
      </c>
      <c r="BU1838" s="10" t="s">
        <v>5762</v>
      </c>
      <c r="BV1838" s="10"/>
      <c r="BW1838" s="10"/>
      <c r="BX1838" s="10"/>
      <c r="BY1838" s="23"/>
      <c r="BZ1838" s="23"/>
      <c r="CA1838" s="19" t="s">
        <v>13938</v>
      </c>
      <c r="CB1838" s="19" t="s">
        <v>13939</v>
      </c>
      <c r="CC1838" s="23"/>
      <c r="CD1838" s="23"/>
      <c r="CE1838" s="23"/>
      <c r="CF1838" s="23"/>
      <c r="CG1838" s="23"/>
      <c r="CH1838" s="23"/>
      <c r="CI1838" s="23"/>
    </row>
    <row r="1839" spans="1:87" x14ac:dyDescent="0.3">
      <c r="A1839" s="9" t="s">
        <v>13940</v>
      </c>
      <c r="B1839" s="10" t="s">
        <v>13941</v>
      </c>
      <c r="C1839" s="11">
        <v>45953.989583333336</v>
      </c>
      <c r="D1839" s="12">
        <v>8.3333333333333329E-2</v>
      </c>
      <c r="E1839" s="11">
        <v>45954.072916666664</v>
      </c>
      <c r="F1839" s="10" t="s">
        <v>8609</v>
      </c>
      <c r="G1839" s="13" t="b">
        <v>0</v>
      </c>
      <c r="H1839" s="10" t="s">
        <v>5239</v>
      </c>
      <c r="I1839" s="10" t="s">
        <v>89</v>
      </c>
      <c r="J1839" s="13" t="b">
        <v>0</v>
      </c>
      <c r="K1839" s="13" t="b">
        <v>1</v>
      </c>
      <c r="L1839" s="10" t="s">
        <v>124</v>
      </c>
      <c r="M1839" s="10" t="s">
        <v>91</v>
      </c>
      <c r="N1839" s="10" t="s">
        <v>92</v>
      </c>
      <c r="O1839" s="19" t="s">
        <v>13942</v>
      </c>
      <c r="P1839" s="10"/>
      <c r="Q1839" s="10" t="s">
        <v>126</v>
      </c>
      <c r="R1839" s="10"/>
      <c r="S1839" s="19" t="s">
        <v>13943</v>
      </c>
      <c r="T1839" s="10"/>
      <c r="U1839" s="10" t="s">
        <v>3727</v>
      </c>
      <c r="V1839" s="10" t="s">
        <v>7812</v>
      </c>
      <c r="W1839" s="10" t="s">
        <v>8613</v>
      </c>
      <c r="X1839" s="10" t="s">
        <v>130</v>
      </c>
      <c r="Y1839" s="10" t="s">
        <v>130</v>
      </c>
      <c r="Z1839" s="10" t="s">
        <v>99</v>
      </c>
      <c r="AA1839" s="10" t="s">
        <v>131</v>
      </c>
      <c r="AB1839" s="10" t="s">
        <v>8614</v>
      </c>
      <c r="AC1839" s="10" t="s">
        <v>3571</v>
      </c>
      <c r="AD1839" s="10" t="s">
        <v>13944</v>
      </c>
      <c r="AE1839" s="10" t="s">
        <v>13945</v>
      </c>
      <c r="AF1839" s="15"/>
      <c r="AG1839" s="10"/>
      <c r="AH1839" s="10"/>
      <c r="AI1839" s="10"/>
      <c r="AJ1839" s="10"/>
      <c r="AK1839" s="10" t="s">
        <v>102</v>
      </c>
      <c r="AL1839" s="10" t="s">
        <v>7897</v>
      </c>
      <c r="AM1839" s="10"/>
      <c r="AN1839" s="10"/>
      <c r="AO1839" s="13" t="b">
        <v>0</v>
      </c>
      <c r="AP1839" s="10" t="s">
        <v>104</v>
      </c>
      <c r="AQ1839" s="10">
        <f ca="1">IFERROR(__xludf.DUMMYFUNCTION("""COMPUTED_VALUE"""),4667494)</f>
        <v>4667494</v>
      </c>
      <c r="AR1839" s="17">
        <v>1509</v>
      </c>
      <c r="AS1839" s="17">
        <v>1168</v>
      </c>
      <c r="AT1839" s="17">
        <v>12466.25</v>
      </c>
      <c r="AU1839" s="17">
        <v>3</v>
      </c>
      <c r="AV1839" s="17">
        <v>0.1</v>
      </c>
      <c r="AW1839" s="10" t="s">
        <v>105</v>
      </c>
      <c r="AX1839" s="17">
        <v>250</v>
      </c>
      <c r="AY1839" s="18">
        <v>10.673159246575343</v>
      </c>
      <c r="AZ1839" s="10"/>
      <c r="BA1839" s="20" t="b">
        <v>0</v>
      </c>
      <c r="BB1839" s="10"/>
      <c r="BC1839" s="17">
        <v>1509</v>
      </c>
      <c r="BD1839" s="17">
        <v>1168</v>
      </c>
      <c r="BE1839" s="17">
        <v>12466.25</v>
      </c>
      <c r="BF1839" s="17">
        <v>0.1</v>
      </c>
      <c r="BG1839" s="11">
        <f ca="1">IFERROR(__xludf.DUMMYFUNCTION("""COMPUTED_VALUE"""),45953.9895833333)</f>
        <v>45953.989583333299</v>
      </c>
      <c r="BH1839" s="17" t="s">
        <v>105</v>
      </c>
      <c r="BI1839" s="17"/>
      <c r="BJ1839" s="15"/>
      <c r="BK1839" s="15"/>
      <c r="BL1839" s="13" t="b">
        <v>0</v>
      </c>
      <c r="BM1839" s="10"/>
      <c r="BN1839" s="10" t="s">
        <v>136</v>
      </c>
      <c r="BO1839" s="11">
        <v>45904.326388888891</v>
      </c>
      <c r="BP1839" s="11">
        <v>45953.626076388886</v>
      </c>
      <c r="BQ1839" s="15">
        <v>45995.654756944445</v>
      </c>
      <c r="BR1839" s="15">
        <v>45953.647766203707</v>
      </c>
      <c r="BS1839" s="10"/>
      <c r="BT1839" s="10" t="s">
        <v>99</v>
      </c>
      <c r="BU1839" s="10"/>
      <c r="BV1839" s="10"/>
      <c r="BW1839" s="10"/>
      <c r="BX1839" s="10"/>
      <c r="BY1839" s="23"/>
      <c r="BZ1839" s="23"/>
      <c r="CA1839" s="19" t="s">
        <v>13946</v>
      </c>
      <c r="CB1839" s="23"/>
      <c r="CC1839" s="23"/>
      <c r="CD1839" s="19" t="s">
        <v>13947</v>
      </c>
      <c r="CE1839" s="23"/>
      <c r="CF1839" s="23"/>
      <c r="CG1839" s="23"/>
      <c r="CH1839" s="23"/>
      <c r="CI1839" s="23"/>
    </row>
    <row r="1840" spans="1:87" x14ac:dyDescent="0.3">
      <c r="A1840" s="9" t="s">
        <v>13948</v>
      </c>
      <c r="B1840" s="10" t="s">
        <v>13949</v>
      </c>
      <c r="C1840" s="11">
        <v>45954.083333333336</v>
      </c>
      <c r="D1840" s="12">
        <v>8.3333333333333329E-2</v>
      </c>
      <c r="E1840" s="11">
        <v>45954.166666666664</v>
      </c>
      <c r="F1840" s="10" t="s">
        <v>8609</v>
      </c>
      <c r="G1840" s="13" t="b">
        <v>0</v>
      </c>
      <c r="H1840" s="10" t="s">
        <v>5239</v>
      </c>
      <c r="I1840" s="10" t="s">
        <v>89</v>
      </c>
      <c r="J1840" s="13" t="b">
        <v>0</v>
      </c>
      <c r="K1840" s="13" t="b">
        <v>1</v>
      </c>
      <c r="L1840" s="10" t="s">
        <v>124</v>
      </c>
      <c r="M1840" s="10" t="s">
        <v>91</v>
      </c>
      <c r="N1840" s="10" t="s">
        <v>92</v>
      </c>
      <c r="O1840" s="19" t="s">
        <v>13950</v>
      </c>
      <c r="P1840" s="10"/>
      <c r="Q1840" s="10" t="s">
        <v>94</v>
      </c>
      <c r="R1840" s="10"/>
      <c r="S1840" s="19" t="s">
        <v>13951</v>
      </c>
      <c r="T1840" s="19" t="s">
        <v>13812</v>
      </c>
      <c r="U1840" s="10" t="s">
        <v>13687</v>
      </c>
      <c r="V1840" s="10" t="s">
        <v>13716</v>
      </c>
      <c r="W1840" s="10" t="s">
        <v>8613</v>
      </c>
      <c r="X1840" s="10" t="s">
        <v>130</v>
      </c>
      <c r="Y1840" s="10" t="s">
        <v>130</v>
      </c>
      <c r="Z1840" s="10" t="s">
        <v>99</v>
      </c>
      <c r="AA1840" s="10" t="s">
        <v>131</v>
      </c>
      <c r="AB1840" s="10" t="s">
        <v>8614</v>
      </c>
      <c r="AC1840" s="10" t="s">
        <v>3571</v>
      </c>
      <c r="AD1840" s="10" t="s">
        <v>13952</v>
      </c>
      <c r="AE1840" s="10" t="s">
        <v>13953</v>
      </c>
      <c r="AF1840" s="15"/>
      <c r="AG1840" s="10"/>
      <c r="AH1840" s="10"/>
      <c r="AI1840" s="10"/>
      <c r="AJ1840" s="10"/>
      <c r="AK1840" s="10" t="s">
        <v>102</v>
      </c>
      <c r="AL1840" s="10" t="s">
        <v>7897</v>
      </c>
      <c r="AM1840" s="10"/>
      <c r="AN1840" s="10"/>
      <c r="AO1840" s="13" t="b">
        <v>0</v>
      </c>
      <c r="AP1840" s="10" t="s">
        <v>104</v>
      </c>
      <c r="AQ1840" s="10">
        <f ca="1">IFERROR(__xludf.DUMMYFUNCTION("""COMPUTED_VALUE"""),4664233)</f>
        <v>4664233</v>
      </c>
      <c r="AR1840" s="17">
        <v>202</v>
      </c>
      <c r="AS1840" s="17">
        <v>175</v>
      </c>
      <c r="AT1840" s="17">
        <v>316.25</v>
      </c>
      <c r="AU1840" s="17">
        <v>0</v>
      </c>
      <c r="AV1840" s="17">
        <v>0</v>
      </c>
      <c r="AW1840" s="10" t="s">
        <v>105</v>
      </c>
      <c r="AX1840" s="17">
        <v>25</v>
      </c>
      <c r="AY1840" s="18">
        <v>1.8071428571428572</v>
      </c>
      <c r="AZ1840" s="10"/>
      <c r="BA1840" s="20" t="b">
        <v>0</v>
      </c>
      <c r="BB1840" s="10"/>
      <c r="BC1840" s="17">
        <v>202</v>
      </c>
      <c r="BD1840" s="17">
        <v>175</v>
      </c>
      <c r="BE1840" s="17">
        <v>316.25</v>
      </c>
      <c r="BF1840" s="17">
        <v>0</v>
      </c>
      <c r="BG1840" s="11">
        <f ca="1">IFERROR(__xludf.DUMMYFUNCTION("""COMPUTED_VALUE"""),45954.0833333333)</f>
        <v>45954.083333333299</v>
      </c>
      <c r="BH1840" s="17" t="s">
        <v>105</v>
      </c>
      <c r="BI1840" s="17"/>
      <c r="BJ1840" s="15"/>
      <c r="BK1840" s="15"/>
      <c r="BL1840" s="13" t="b">
        <v>0</v>
      </c>
      <c r="BM1840" s="10"/>
      <c r="BN1840" s="10" t="s">
        <v>185</v>
      </c>
      <c r="BO1840" s="11">
        <v>45904.326747685183</v>
      </c>
      <c r="BP1840" s="11">
        <v>45943.593657407408</v>
      </c>
      <c r="BQ1840" s="15">
        <v>45951.462094907409</v>
      </c>
      <c r="BR1840" s="15">
        <v>45951.523472222223</v>
      </c>
      <c r="BS1840" s="10"/>
      <c r="BT1840" s="10" t="s">
        <v>99</v>
      </c>
      <c r="BU1840" s="10"/>
      <c r="BV1840" s="10"/>
      <c r="BW1840" s="10"/>
      <c r="BX1840" s="10"/>
      <c r="BY1840" s="23"/>
      <c r="BZ1840" s="23"/>
      <c r="CA1840" s="19" t="s">
        <v>13954</v>
      </c>
      <c r="CB1840" s="19" t="s">
        <v>13955</v>
      </c>
      <c r="CC1840" s="23"/>
      <c r="CD1840" s="23"/>
      <c r="CE1840" s="23"/>
      <c r="CF1840" s="23"/>
      <c r="CG1840" s="23"/>
      <c r="CH1840" s="23"/>
      <c r="CI1840" s="23"/>
    </row>
    <row r="1841" spans="1:87" x14ac:dyDescent="0.3">
      <c r="A1841" s="9" t="s">
        <v>13956</v>
      </c>
      <c r="B1841" s="10" t="s">
        <v>13957</v>
      </c>
      <c r="C1841" s="11">
        <v>45968.03125</v>
      </c>
      <c r="D1841" s="12">
        <v>8.3333333333333329E-2</v>
      </c>
      <c r="E1841" s="11">
        <v>45968.114583333336</v>
      </c>
      <c r="F1841" s="10" t="s">
        <v>8609</v>
      </c>
      <c r="G1841" s="13" t="b">
        <v>0</v>
      </c>
      <c r="H1841" s="10" t="s">
        <v>5239</v>
      </c>
      <c r="I1841" s="10" t="s">
        <v>89</v>
      </c>
      <c r="J1841" s="13" t="b">
        <v>0</v>
      </c>
      <c r="K1841" s="13" t="b">
        <v>1</v>
      </c>
      <c r="L1841" s="10" t="s">
        <v>124</v>
      </c>
      <c r="M1841" s="10" t="s">
        <v>91</v>
      </c>
      <c r="N1841" s="10" t="s">
        <v>92</v>
      </c>
      <c r="O1841" s="19" t="s">
        <v>13958</v>
      </c>
      <c r="P1841" s="10"/>
      <c r="Q1841" s="10" t="s">
        <v>94</v>
      </c>
      <c r="R1841" s="10"/>
      <c r="S1841" s="19" t="s">
        <v>13959</v>
      </c>
      <c r="T1841" s="19" t="s">
        <v>13960</v>
      </c>
      <c r="U1841" s="10" t="s">
        <v>13776</v>
      </c>
      <c r="V1841" s="10" t="s">
        <v>13687</v>
      </c>
      <c r="W1841" s="10" t="s">
        <v>8613</v>
      </c>
      <c r="X1841" s="10" t="s">
        <v>130</v>
      </c>
      <c r="Y1841" s="10" t="s">
        <v>130</v>
      </c>
      <c r="Z1841" s="10" t="s">
        <v>99</v>
      </c>
      <c r="AA1841" s="10" t="s">
        <v>131</v>
      </c>
      <c r="AB1841" s="10" t="s">
        <v>8614</v>
      </c>
      <c r="AC1841" s="10" t="s">
        <v>3571</v>
      </c>
      <c r="AD1841" s="10" t="s">
        <v>13961</v>
      </c>
      <c r="AE1841" s="10" t="s">
        <v>13962</v>
      </c>
      <c r="AF1841" s="15"/>
      <c r="AG1841" s="10"/>
      <c r="AH1841" s="10"/>
      <c r="AI1841" s="10"/>
      <c r="AJ1841" s="10"/>
      <c r="AK1841" s="10" t="s">
        <v>102</v>
      </c>
      <c r="AL1841" s="10" t="s">
        <v>7897</v>
      </c>
      <c r="AM1841" s="10"/>
      <c r="AN1841" s="10"/>
      <c r="AO1841" s="13" t="b">
        <v>0</v>
      </c>
      <c r="AP1841" s="10" t="s">
        <v>104</v>
      </c>
      <c r="AQ1841" s="10">
        <f ca="1">IFERROR(__xludf.DUMMYFUNCTION("""COMPUTED_VALUE"""),4700068)</f>
        <v>4700068</v>
      </c>
      <c r="AR1841" s="17">
        <v>434</v>
      </c>
      <c r="AS1841" s="17">
        <v>316</v>
      </c>
      <c r="AT1841" s="17">
        <v>2247.25</v>
      </c>
      <c r="AU1841" s="17">
        <v>0</v>
      </c>
      <c r="AV1841" s="17">
        <v>0</v>
      </c>
      <c r="AW1841" s="10" t="s">
        <v>105</v>
      </c>
      <c r="AX1841" s="17">
        <v>54</v>
      </c>
      <c r="AY1841" s="18">
        <v>7.111550632911392</v>
      </c>
      <c r="AZ1841" s="10"/>
      <c r="BA1841" s="20" t="b">
        <v>0</v>
      </c>
      <c r="BB1841" s="10"/>
      <c r="BC1841" s="17">
        <v>434</v>
      </c>
      <c r="BD1841" s="17">
        <v>316</v>
      </c>
      <c r="BE1841" s="17">
        <v>2247.25</v>
      </c>
      <c r="BF1841" s="17">
        <v>0</v>
      </c>
      <c r="BG1841" s="11">
        <f ca="1">IFERROR(__xludf.DUMMYFUNCTION("""COMPUTED_VALUE"""),45968.03125)</f>
        <v>45968.03125</v>
      </c>
      <c r="BH1841" s="17" t="s">
        <v>105</v>
      </c>
      <c r="BI1841" s="17"/>
      <c r="BJ1841" s="15"/>
      <c r="BK1841" s="15"/>
      <c r="BL1841" s="13" t="b">
        <v>0</v>
      </c>
      <c r="BM1841" s="10"/>
      <c r="BN1841" s="10" t="s">
        <v>197</v>
      </c>
      <c r="BO1841" s="11">
        <v>45904.326388888891</v>
      </c>
      <c r="BP1841" s="11">
        <v>45957.741747685184</v>
      </c>
      <c r="BQ1841" s="15">
        <v>45960.384664351855</v>
      </c>
      <c r="BR1841" s="15">
        <v>45965.091203703705</v>
      </c>
      <c r="BS1841" s="10" t="s">
        <v>197</v>
      </c>
      <c r="BT1841" s="10" t="s">
        <v>99</v>
      </c>
      <c r="BU1841" s="10" t="s">
        <v>6753</v>
      </c>
      <c r="BV1841" s="10"/>
      <c r="BW1841" s="10"/>
      <c r="BX1841" s="10"/>
      <c r="BY1841" s="23"/>
      <c r="BZ1841" s="23"/>
      <c r="CA1841" s="19" t="s">
        <v>13963</v>
      </c>
      <c r="CB1841" s="19" t="s">
        <v>13964</v>
      </c>
      <c r="CC1841" s="23"/>
      <c r="CD1841" s="23"/>
      <c r="CE1841" s="23"/>
      <c r="CF1841" s="23"/>
      <c r="CG1841" s="23"/>
      <c r="CH1841" s="23"/>
      <c r="CI1841" s="23"/>
    </row>
    <row r="1842" spans="1:87" x14ac:dyDescent="0.3">
      <c r="A1842" s="9" t="s">
        <v>13965</v>
      </c>
      <c r="B1842" s="10" t="s">
        <v>13966</v>
      </c>
      <c r="C1842" s="11">
        <v>45968.03125</v>
      </c>
      <c r="D1842" s="12">
        <v>8.3333333333333329E-2</v>
      </c>
      <c r="E1842" s="11">
        <v>45968.114583333336</v>
      </c>
      <c r="F1842" s="10" t="s">
        <v>8609</v>
      </c>
      <c r="G1842" s="13" t="b">
        <v>0</v>
      </c>
      <c r="H1842" s="10" t="s">
        <v>5239</v>
      </c>
      <c r="I1842" s="10" t="s">
        <v>89</v>
      </c>
      <c r="J1842" s="13" t="b">
        <v>0</v>
      </c>
      <c r="K1842" s="13" t="b">
        <v>1</v>
      </c>
      <c r="L1842" s="10" t="s">
        <v>124</v>
      </c>
      <c r="M1842" s="10" t="s">
        <v>91</v>
      </c>
      <c r="N1842" s="10" t="s">
        <v>92</v>
      </c>
      <c r="O1842" s="19" t="s">
        <v>13967</v>
      </c>
      <c r="P1842" s="10"/>
      <c r="Q1842" s="10" t="s">
        <v>126</v>
      </c>
      <c r="R1842" s="10"/>
      <c r="S1842" s="19" t="s">
        <v>13968</v>
      </c>
      <c r="T1842" s="19" t="s">
        <v>13960</v>
      </c>
      <c r="U1842" s="10" t="s">
        <v>13667</v>
      </c>
      <c r="V1842" s="10" t="s">
        <v>3240</v>
      </c>
      <c r="W1842" s="10" t="s">
        <v>8613</v>
      </c>
      <c r="X1842" s="10" t="s">
        <v>130</v>
      </c>
      <c r="Y1842" s="10" t="s">
        <v>130</v>
      </c>
      <c r="Z1842" s="10" t="s">
        <v>99</v>
      </c>
      <c r="AA1842" s="10" t="s">
        <v>131</v>
      </c>
      <c r="AB1842" s="10" t="s">
        <v>8614</v>
      </c>
      <c r="AC1842" s="10" t="s">
        <v>3571</v>
      </c>
      <c r="AD1842" s="10" t="s">
        <v>13969</v>
      </c>
      <c r="AE1842" s="10" t="s">
        <v>13970</v>
      </c>
      <c r="AF1842" s="15"/>
      <c r="AG1842" s="10"/>
      <c r="AH1842" s="10"/>
      <c r="AI1842" s="10"/>
      <c r="AJ1842" s="10"/>
      <c r="AK1842" s="10" t="s">
        <v>102</v>
      </c>
      <c r="AL1842" s="10" t="s">
        <v>7897</v>
      </c>
      <c r="AM1842" s="10"/>
      <c r="AN1842" s="10"/>
      <c r="AO1842" s="13" t="b">
        <v>0</v>
      </c>
      <c r="AP1842" s="10" t="s">
        <v>104</v>
      </c>
      <c r="AQ1842" s="10">
        <f ca="1">IFERROR(__xludf.DUMMYFUNCTION("""COMPUTED_VALUE"""),4700077)</f>
        <v>4700077</v>
      </c>
      <c r="AR1842" s="17">
        <v>2306</v>
      </c>
      <c r="AS1842" s="17">
        <v>1835</v>
      </c>
      <c r="AT1842" s="17">
        <v>46749</v>
      </c>
      <c r="AU1842" s="17">
        <v>2.5499999999999998</v>
      </c>
      <c r="AV1842" s="17">
        <v>0.65</v>
      </c>
      <c r="AW1842" s="10" t="s">
        <v>105</v>
      </c>
      <c r="AX1842" s="17">
        <v>557</v>
      </c>
      <c r="AY1842" s="18">
        <v>25.476294277929156</v>
      </c>
      <c r="AZ1842" s="10"/>
      <c r="BA1842" s="20" t="b">
        <v>0</v>
      </c>
      <c r="BB1842" s="10"/>
      <c r="BC1842" s="17">
        <v>2306</v>
      </c>
      <c r="BD1842" s="17">
        <v>1835</v>
      </c>
      <c r="BE1842" s="17">
        <v>46749</v>
      </c>
      <c r="BF1842" s="17">
        <v>0.65</v>
      </c>
      <c r="BG1842" s="11">
        <f ca="1">IFERROR(__xludf.DUMMYFUNCTION("""COMPUTED_VALUE"""),45968.03125)</f>
        <v>45968.03125</v>
      </c>
      <c r="BH1842" s="17" t="s">
        <v>105</v>
      </c>
      <c r="BI1842" s="17"/>
      <c r="BJ1842" s="15"/>
      <c r="BK1842" s="15"/>
      <c r="BL1842" s="13" t="b">
        <v>0</v>
      </c>
      <c r="BM1842" s="10"/>
      <c r="BN1842" s="10" t="s">
        <v>197</v>
      </c>
      <c r="BO1842" s="11">
        <v>45904.326388888891</v>
      </c>
      <c r="BP1842" s="11">
        <v>45957.741886574076</v>
      </c>
      <c r="BQ1842" s="15">
        <v>45960.384722222225</v>
      </c>
      <c r="BR1842" s="15">
        <v>45965.09983796296</v>
      </c>
      <c r="BS1842" s="10" t="s">
        <v>197</v>
      </c>
      <c r="BT1842" s="10" t="s">
        <v>99</v>
      </c>
      <c r="BU1842" s="10" t="s">
        <v>5854</v>
      </c>
      <c r="BV1842" s="10"/>
      <c r="BW1842" s="10"/>
      <c r="BX1842" s="10"/>
      <c r="BY1842" s="23"/>
      <c r="BZ1842" s="23"/>
      <c r="CA1842" s="19" t="s">
        <v>13971</v>
      </c>
      <c r="CB1842" s="19" t="s">
        <v>13972</v>
      </c>
      <c r="CC1842" s="23"/>
      <c r="CD1842" s="19" t="s">
        <v>13973</v>
      </c>
      <c r="CE1842" s="23"/>
      <c r="CF1842" s="23"/>
      <c r="CG1842" s="23"/>
      <c r="CH1842" s="23"/>
      <c r="CI1842" s="23"/>
    </row>
    <row r="1843" spans="1:87" x14ac:dyDescent="0.3">
      <c r="A1843" s="9" t="s">
        <v>13974</v>
      </c>
      <c r="B1843" s="10" t="s">
        <v>13975</v>
      </c>
      <c r="C1843" s="11">
        <v>45968.03125</v>
      </c>
      <c r="D1843" s="12">
        <v>8.3333333333333329E-2</v>
      </c>
      <c r="E1843" s="11">
        <v>45968.114583333336</v>
      </c>
      <c r="F1843" s="10" t="s">
        <v>8609</v>
      </c>
      <c r="G1843" s="13" t="b">
        <v>0</v>
      </c>
      <c r="H1843" s="10" t="s">
        <v>5239</v>
      </c>
      <c r="I1843" s="10" t="s">
        <v>89</v>
      </c>
      <c r="J1843" s="13" t="b">
        <v>0</v>
      </c>
      <c r="K1843" s="13" t="b">
        <v>1</v>
      </c>
      <c r="L1843" s="10" t="s">
        <v>124</v>
      </c>
      <c r="M1843" s="10" t="s">
        <v>91</v>
      </c>
      <c r="N1843" s="10" t="s">
        <v>92</v>
      </c>
      <c r="O1843" s="19" t="s">
        <v>13976</v>
      </c>
      <c r="P1843" s="10"/>
      <c r="Q1843" s="10" t="s">
        <v>94</v>
      </c>
      <c r="R1843" s="10"/>
      <c r="S1843" s="19" t="s">
        <v>13977</v>
      </c>
      <c r="T1843" s="19" t="s">
        <v>13960</v>
      </c>
      <c r="U1843" s="10" t="s">
        <v>13696</v>
      </c>
      <c r="V1843" s="10" t="s">
        <v>13756</v>
      </c>
      <c r="W1843" s="10" t="s">
        <v>8613</v>
      </c>
      <c r="X1843" s="10" t="s">
        <v>130</v>
      </c>
      <c r="Y1843" s="10" t="s">
        <v>130</v>
      </c>
      <c r="Z1843" s="10" t="s">
        <v>99</v>
      </c>
      <c r="AA1843" s="10" t="s">
        <v>131</v>
      </c>
      <c r="AB1843" s="10" t="s">
        <v>8614</v>
      </c>
      <c r="AC1843" s="10" t="s">
        <v>3571</v>
      </c>
      <c r="AD1843" s="10" t="s">
        <v>13978</v>
      </c>
      <c r="AE1843" s="10" t="s">
        <v>13979</v>
      </c>
      <c r="AF1843" s="15"/>
      <c r="AG1843" s="10"/>
      <c r="AH1843" s="10"/>
      <c r="AI1843" s="10"/>
      <c r="AJ1843" s="10"/>
      <c r="AK1843" s="10" t="s">
        <v>102</v>
      </c>
      <c r="AL1843" s="10" t="s">
        <v>7897</v>
      </c>
      <c r="AM1843" s="10"/>
      <c r="AN1843" s="10"/>
      <c r="AO1843" s="13" t="b">
        <v>0</v>
      </c>
      <c r="AP1843" s="10" t="s">
        <v>104</v>
      </c>
      <c r="AQ1843" s="10">
        <f ca="1">IFERROR(__xludf.DUMMYFUNCTION("""COMPUTED_VALUE"""),4700063)</f>
        <v>4700063</v>
      </c>
      <c r="AR1843" s="17">
        <v>356</v>
      </c>
      <c r="AS1843" s="17">
        <v>276</v>
      </c>
      <c r="AT1843" s="17">
        <v>1526.75</v>
      </c>
      <c r="AU1843" s="17">
        <v>0</v>
      </c>
      <c r="AV1843" s="17">
        <v>0</v>
      </c>
      <c r="AW1843" s="10" t="s">
        <v>105</v>
      </c>
      <c r="AX1843" s="17">
        <v>42</v>
      </c>
      <c r="AY1843" s="18">
        <v>5.5317028985507246</v>
      </c>
      <c r="AZ1843" s="10"/>
      <c r="BA1843" s="20" t="b">
        <v>0</v>
      </c>
      <c r="BB1843" s="10"/>
      <c r="BC1843" s="17">
        <v>356</v>
      </c>
      <c r="BD1843" s="17">
        <v>276</v>
      </c>
      <c r="BE1843" s="17">
        <v>1526.75</v>
      </c>
      <c r="BF1843" s="17">
        <v>0</v>
      </c>
      <c r="BG1843" s="11">
        <f ca="1">IFERROR(__xludf.DUMMYFUNCTION("""COMPUTED_VALUE"""),45968.03125)</f>
        <v>45968.03125</v>
      </c>
      <c r="BH1843" s="17" t="s">
        <v>105</v>
      </c>
      <c r="BI1843" s="17"/>
      <c r="BJ1843" s="15"/>
      <c r="BK1843" s="15"/>
      <c r="BL1843" s="13" t="b">
        <v>0</v>
      </c>
      <c r="BM1843" s="10"/>
      <c r="BN1843" s="10" t="s">
        <v>197</v>
      </c>
      <c r="BO1843" s="11">
        <v>45904.326388888891</v>
      </c>
      <c r="BP1843" s="11">
        <v>45957.741990740738</v>
      </c>
      <c r="BQ1843" s="15">
        <v>45960.384837962964</v>
      </c>
      <c r="BR1843" s="15">
        <v>45965.088472222225</v>
      </c>
      <c r="BS1843" s="10" t="s">
        <v>197</v>
      </c>
      <c r="BT1843" s="10" t="s">
        <v>99</v>
      </c>
      <c r="BU1843" s="10" t="s">
        <v>9200</v>
      </c>
      <c r="BV1843" s="10"/>
      <c r="BW1843" s="10"/>
      <c r="BX1843" s="10"/>
      <c r="BY1843" s="23"/>
      <c r="BZ1843" s="23"/>
      <c r="CA1843" s="19" t="s">
        <v>13980</v>
      </c>
      <c r="CB1843" s="19" t="s">
        <v>13981</v>
      </c>
      <c r="CC1843" s="23"/>
      <c r="CD1843" s="23"/>
      <c r="CE1843" s="23"/>
      <c r="CF1843" s="23"/>
      <c r="CG1843" s="23"/>
      <c r="CH1843" s="23"/>
      <c r="CI1843" s="23"/>
    </row>
    <row r="1844" spans="1:87" x14ac:dyDescent="0.3">
      <c r="A1844" s="9" t="s">
        <v>13982</v>
      </c>
      <c r="B1844" s="10" t="s">
        <v>13983</v>
      </c>
      <c r="C1844" s="11">
        <v>45968.03125</v>
      </c>
      <c r="D1844" s="12">
        <v>8.3333333333333329E-2</v>
      </c>
      <c r="E1844" s="11">
        <v>45968.114583333336</v>
      </c>
      <c r="F1844" s="10" t="s">
        <v>8609</v>
      </c>
      <c r="G1844" s="13" t="b">
        <v>0</v>
      </c>
      <c r="H1844" s="10" t="s">
        <v>5239</v>
      </c>
      <c r="I1844" s="10" t="s">
        <v>89</v>
      </c>
      <c r="J1844" s="13" t="b">
        <v>0</v>
      </c>
      <c r="K1844" s="13" t="b">
        <v>1</v>
      </c>
      <c r="L1844" s="10" t="s">
        <v>124</v>
      </c>
      <c r="M1844" s="10" t="s">
        <v>91</v>
      </c>
      <c r="N1844" s="10" t="s">
        <v>92</v>
      </c>
      <c r="O1844" s="19" t="s">
        <v>13984</v>
      </c>
      <c r="P1844" s="10"/>
      <c r="Q1844" s="10" t="s">
        <v>94</v>
      </c>
      <c r="R1844" s="10"/>
      <c r="S1844" s="19" t="s">
        <v>13985</v>
      </c>
      <c r="T1844" s="19" t="s">
        <v>13960</v>
      </c>
      <c r="U1844" s="10" t="s">
        <v>13636</v>
      </c>
      <c r="V1844" s="10" t="s">
        <v>7812</v>
      </c>
      <c r="W1844" s="10" t="s">
        <v>8613</v>
      </c>
      <c r="X1844" s="10" t="s">
        <v>130</v>
      </c>
      <c r="Y1844" s="10" t="s">
        <v>130</v>
      </c>
      <c r="Z1844" s="10" t="s">
        <v>99</v>
      </c>
      <c r="AA1844" s="10" t="s">
        <v>131</v>
      </c>
      <c r="AB1844" s="10" t="s">
        <v>8614</v>
      </c>
      <c r="AC1844" s="10" t="s">
        <v>3571</v>
      </c>
      <c r="AD1844" s="10" t="s">
        <v>13986</v>
      </c>
      <c r="AE1844" s="10" t="s">
        <v>13987</v>
      </c>
      <c r="AF1844" s="15"/>
      <c r="AG1844" s="10"/>
      <c r="AH1844" s="10"/>
      <c r="AI1844" s="10"/>
      <c r="AJ1844" s="10"/>
      <c r="AK1844" s="10" t="s">
        <v>102</v>
      </c>
      <c r="AL1844" s="10" t="s">
        <v>7897</v>
      </c>
      <c r="AM1844" s="10"/>
      <c r="AN1844" s="10"/>
      <c r="AO1844" s="13" t="b">
        <v>0</v>
      </c>
      <c r="AP1844" s="10" t="s">
        <v>104</v>
      </c>
      <c r="AQ1844" s="10">
        <f ca="1">IFERROR(__xludf.DUMMYFUNCTION("""COMPUTED_VALUE"""),4700072)</f>
        <v>4700072</v>
      </c>
      <c r="AR1844" s="17">
        <v>226</v>
      </c>
      <c r="AS1844" s="17">
        <v>185</v>
      </c>
      <c r="AT1844" s="17">
        <v>537.25</v>
      </c>
      <c r="AU1844" s="17">
        <v>0</v>
      </c>
      <c r="AV1844" s="17">
        <v>0</v>
      </c>
      <c r="AW1844" s="10" t="s">
        <v>105</v>
      </c>
      <c r="AX1844" s="17">
        <v>27</v>
      </c>
      <c r="AY1844" s="18">
        <v>2.904054054054054</v>
      </c>
      <c r="AZ1844" s="10"/>
      <c r="BA1844" s="20" t="b">
        <v>0</v>
      </c>
      <c r="BB1844" s="10"/>
      <c r="BC1844" s="17">
        <v>226</v>
      </c>
      <c r="BD1844" s="17">
        <v>185</v>
      </c>
      <c r="BE1844" s="17">
        <v>537.25</v>
      </c>
      <c r="BF1844" s="17">
        <v>0</v>
      </c>
      <c r="BG1844" s="11">
        <f ca="1">IFERROR(__xludf.DUMMYFUNCTION("""COMPUTED_VALUE"""),45968.03125)</f>
        <v>45968.03125</v>
      </c>
      <c r="BH1844" s="17" t="s">
        <v>105</v>
      </c>
      <c r="BI1844" s="17"/>
      <c r="BJ1844" s="15"/>
      <c r="BK1844" s="15"/>
      <c r="BL1844" s="13" t="b">
        <v>0</v>
      </c>
      <c r="BM1844" s="10"/>
      <c r="BN1844" s="10" t="s">
        <v>197</v>
      </c>
      <c r="BO1844" s="11">
        <v>45904.326388888891</v>
      </c>
      <c r="BP1844" s="11">
        <v>45957.742071759261</v>
      </c>
      <c r="BQ1844" s="15">
        <v>45960.384884259256</v>
      </c>
      <c r="BR1844" s="15">
        <v>45965.099502314813</v>
      </c>
      <c r="BS1844" s="10" t="s">
        <v>197</v>
      </c>
      <c r="BT1844" s="10" t="s">
        <v>99</v>
      </c>
      <c r="BU1844" s="10" t="s">
        <v>1253</v>
      </c>
      <c r="BV1844" s="10"/>
      <c r="BW1844" s="10"/>
      <c r="BX1844" s="10"/>
      <c r="BY1844" s="23"/>
      <c r="BZ1844" s="23"/>
      <c r="CA1844" s="19" t="s">
        <v>13988</v>
      </c>
      <c r="CB1844" s="19" t="s">
        <v>13989</v>
      </c>
      <c r="CC1844" s="23"/>
      <c r="CD1844" s="23"/>
      <c r="CE1844" s="23"/>
      <c r="CF1844" s="23"/>
      <c r="CG1844" s="23"/>
      <c r="CH1844" s="23"/>
      <c r="CI1844" s="23"/>
    </row>
    <row r="1845" spans="1:87" x14ac:dyDescent="0.3">
      <c r="A1845" s="9" t="s">
        <v>13990</v>
      </c>
      <c r="B1845" s="10" t="s">
        <v>13991</v>
      </c>
      <c r="C1845" s="11">
        <v>45968.03125</v>
      </c>
      <c r="D1845" s="12">
        <v>8.3333333333333329E-2</v>
      </c>
      <c r="E1845" s="11">
        <v>45968.114583333336</v>
      </c>
      <c r="F1845" s="10" t="s">
        <v>8609</v>
      </c>
      <c r="G1845" s="13" t="b">
        <v>0</v>
      </c>
      <c r="H1845" s="10" t="s">
        <v>5239</v>
      </c>
      <c r="I1845" s="10" t="s">
        <v>89</v>
      </c>
      <c r="J1845" s="13" t="b">
        <v>0</v>
      </c>
      <c r="K1845" s="13" t="b">
        <v>1</v>
      </c>
      <c r="L1845" s="10" t="s">
        <v>124</v>
      </c>
      <c r="M1845" s="10" t="s">
        <v>91</v>
      </c>
      <c r="N1845" s="10" t="s">
        <v>92</v>
      </c>
      <c r="O1845" s="19" t="s">
        <v>13992</v>
      </c>
      <c r="P1845" s="10"/>
      <c r="Q1845" s="10" t="s">
        <v>94</v>
      </c>
      <c r="R1845" s="10"/>
      <c r="S1845" s="19" t="s">
        <v>13993</v>
      </c>
      <c r="T1845" s="19" t="s">
        <v>13960</v>
      </c>
      <c r="U1845" s="10" t="s">
        <v>13726</v>
      </c>
      <c r="V1845" s="10" t="s">
        <v>13736</v>
      </c>
      <c r="W1845" s="10" t="s">
        <v>8613</v>
      </c>
      <c r="X1845" s="10" t="s">
        <v>130</v>
      </c>
      <c r="Y1845" s="10" t="s">
        <v>130</v>
      </c>
      <c r="Z1845" s="10" t="s">
        <v>99</v>
      </c>
      <c r="AA1845" s="10" t="s">
        <v>131</v>
      </c>
      <c r="AB1845" s="10" t="s">
        <v>8614</v>
      </c>
      <c r="AC1845" s="10" t="s">
        <v>3571</v>
      </c>
      <c r="AD1845" s="10" t="s">
        <v>13994</v>
      </c>
      <c r="AE1845" s="10" t="s">
        <v>13995</v>
      </c>
      <c r="AF1845" s="15"/>
      <c r="AG1845" s="10"/>
      <c r="AH1845" s="10"/>
      <c r="AI1845" s="10"/>
      <c r="AJ1845" s="10"/>
      <c r="AK1845" s="10" t="s">
        <v>102</v>
      </c>
      <c r="AL1845" s="10" t="s">
        <v>7897</v>
      </c>
      <c r="AM1845" s="10"/>
      <c r="AN1845" s="10"/>
      <c r="AO1845" s="13" t="b">
        <v>0</v>
      </c>
      <c r="AP1845" s="10" t="s">
        <v>104</v>
      </c>
      <c r="AQ1845" s="10">
        <f ca="1">IFERROR(__xludf.DUMMYFUNCTION("""COMPUTED_VALUE"""),4700080)</f>
        <v>4700080</v>
      </c>
      <c r="AR1845" s="17">
        <v>395</v>
      </c>
      <c r="AS1845" s="17">
        <v>298</v>
      </c>
      <c r="AT1845" s="17">
        <v>3124</v>
      </c>
      <c r="AU1845" s="17">
        <v>0</v>
      </c>
      <c r="AV1845" s="17">
        <v>0</v>
      </c>
      <c r="AW1845" s="10" t="s">
        <v>105</v>
      </c>
      <c r="AX1845" s="17">
        <v>71</v>
      </c>
      <c r="AY1845" s="18">
        <v>10.483221476510067</v>
      </c>
      <c r="AZ1845" s="10"/>
      <c r="BA1845" s="20" t="b">
        <v>0</v>
      </c>
      <c r="BB1845" s="10"/>
      <c r="BC1845" s="17">
        <v>395</v>
      </c>
      <c r="BD1845" s="17">
        <v>298</v>
      </c>
      <c r="BE1845" s="17">
        <v>3124</v>
      </c>
      <c r="BF1845" s="17">
        <v>0</v>
      </c>
      <c r="BG1845" s="11">
        <f ca="1">IFERROR(__xludf.DUMMYFUNCTION("""COMPUTED_VALUE"""),45968.03125)</f>
        <v>45968.03125</v>
      </c>
      <c r="BH1845" s="17" t="s">
        <v>105</v>
      </c>
      <c r="BI1845" s="17"/>
      <c r="BJ1845" s="15"/>
      <c r="BK1845" s="15"/>
      <c r="BL1845" s="13" t="b">
        <v>0</v>
      </c>
      <c r="BM1845" s="10"/>
      <c r="BN1845" s="10" t="s">
        <v>197</v>
      </c>
      <c r="BO1845" s="11">
        <v>45904.326388888891</v>
      </c>
      <c r="BP1845" s="11">
        <v>45957.742164351854</v>
      </c>
      <c r="BQ1845" s="15">
        <v>45960.384930555556</v>
      </c>
      <c r="BR1845" s="15">
        <v>45965.097939814812</v>
      </c>
      <c r="BS1845" s="10" t="s">
        <v>197</v>
      </c>
      <c r="BT1845" s="10" t="s">
        <v>99</v>
      </c>
      <c r="BU1845" s="10" t="s">
        <v>6409</v>
      </c>
      <c r="BV1845" s="10"/>
      <c r="BW1845" s="10"/>
      <c r="BX1845" s="10"/>
      <c r="BY1845" s="23"/>
      <c r="BZ1845" s="23"/>
      <c r="CA1845" s="19" t="s">
        <v>13996</v>
      </c>
      <c r="CB1845" s="19" t="s">
        <v>13997</v>
      </c>
      <c r="CC1845" s="23"/>
      <c r="CD1845" s="23"/>
      <c r="CE1845" s="23"/>
      <c r="CF1845" s="23"/>
      <c r="CG1845" s="23"/>
      <c r="CH1845" s="23"/>
      <c r="CI1845" s="23"/>
    </row>
    <row r="1846" spans="1:87" x14ac:dyDescent="0.3">
      <c r="A1846" s="9" t="s">
        <v>13998</v>
      </c>
      <c r="B1846" s="10" t="s">
        <v>13999</v>
      </c>
      <c r="C1846" s="11">
        <v>45968.03125</v>
      </c>
      <c r="D1846" s="12">
        <v>8.3333333333333329E-2</v>
      </c>
      <c r="E1846" s="11">
        <v>45968.114583333336</v>
      </c>
      <c r="F1846" s="10" t="s">
        <v>8609</v>
      </c>
      <c r="G1846" s="13" t="b">
        <v>0</v>
      </c>
      <c r="H1846" s="10" t="s">
        <v>5239</v>
      </c>
      <c r="I1846" s="10" t="s">
        <v>89</v>
      </c>
      <c r="J1846" s="13" t="b">
        <v>0</v>
      </c>
      <c r="K1846" s="13" t="b">
        <v>1</v>
      </c>
      <c r="L1846" s="10" t="s">
        <v>124</v>
      </c>
      <c r="M1846" s="10" t="s">
        <v>91</v>
      </c>
      <c r="N1846" s="10" t="s">
        <v>92</v>
      </c>
      <c r="O1846" s="19" t="s">
        <v>14000</v>
      </c>
      <c r="P1846" s="10"/>
      <c r="Q1846" s="10" t="s">
        <v>94</v>
      </c>
      <c r="R1846" s="10"/>
      <c r="S1846" s="19" t="s">
        <v>14001</v>
      </c>
      <c r="T1846" s="19" t="s">
        <v>13960</v>
      </c>
      <c r="U1846" s="10" t="s">
        <v>7923</v>
      </c>
      <c r="V1846" s="10" t="s">
        <v>13794</v>
      </c>
      <c r="W1846" s="10" t="s">
        <v>8613</v>
      </c>
      <c r="X1846" s="10" t="s">
        <v>130</v>
      </c>
      <c r="Y1846" s="10" t="s">
        <v>130</v>
      </c>
      <c r="Z1846" s="10" t="s">
        <v>99</v>
      </c>
      <c r="AA1846" s="10" t="s">
        <v>131</v>
      </c>
      <c r="AB1846" s="10" t="s">
        <v>8614</v>
      </c>
      <c r="AC1846" s="10" t="s">
        <v>3571</v>
      </c>
      <c r="AD1846" s="10" t="s">
        <v>14002</v>
      </c>
      <c r="AE1846" s="10" t="s">
        <v>14003</v>
      </c>
      <c r="AF1846" s="15"/>
      <c r="AG1846" s="10"/>
      <c r="AH1846" s="10"/>
      <c r="AI1846" s="10"/>
      <c r="AJ1846" s="10"/>
      <c r="AK1846" s="10" t="s">
        <v>102</v>
      </c>
      <c r="AL1846" s="10" t="s">
        <v>7897</v>
      </c>
      <c r="AM1846" s="10"/>
      <c r="AN1846" s="10"/>
      <c r="AO1846" s="13" t="b">
        <v>0</v>
      </c>
      <c r="AP1846" s="10" t="s">
        <v>104</v>
      </c>
      <c r="AQ1846" s="10">
        <f ca="1">IFERROR(__xludf.DUMMYFUNCTION("""COMPUTED_VALUE"""),4700064)</f>
        <v>4700064</v>
      </c>
      <c r="AR1846" s="17">
        <v>487</v>
      </c>
      <c r="AS1846" s="17">
        <v>348</v>
      </c>
      <c r="AT1846" s="17">
        <v>4836.75</v>
      </c>
      <c r="AU1846" s="17">
        <v>0</v>
      </c>
      <c r="AV1846" s="17">
        <v>0</v>
      </c>
      <c r="AW1846" s="10" t="s">
        <v>105</v>
      </c>
      <c r="AX1846" s="17">
        <v>80</v>
      </c>
      <c r="AY1846" s="18">
        <v>13.898706896551724</v>
      </c>
      <c r="AZ1846" s="10"/>
      <c r="BA1846" s="20" t="b">
        <v>0</v>
      </c>
      <c r="BB1846" s="10"/>
      <c r="BC1846" s="17">
        <v>487</v>
      </c>
      <c r="BD1846" s="17">
        <v>348</v>
      </c>
      <c r="BE1846" s="17">
        <v>4836.75</v>
      </c>
      <c r="BF1846" s="17">
        <v>0</v>
      </c>
      <c r="BG1846" s="11">
        <f ca="1">IFERROR(__xludf.DUMMYFUNCTION("""COMPUTED_VALUE"""),45968.03125)</f>
        <v>45968.03125</v>
      </c>
      <c r="BH1846" s="17" t="s">
        <v>105</v>
      </c>
      <c r="BI1846" s="17"/>
      <c r="BJ1846" s="15"/>
      <c r="BK1846" s="15"/>
      <c r="BL1846" s="13" t="b">
        <v>0</v>
      </c>
      <c r="BM1846" s="10"/>
      <c r="BN1846" s="10" t="s">
        <v>197</v>
      </c>
      <c r="BO1846" s="11">
        <v>45904.326388888891</v>
      </c>
      <c r="BP1846" s="11">
        <v>45957.742245370369</v>
      </c>
      <c r="BQ1846" s="15">
        <v>45960.384965277779</v>
      </c>
      <c r="BR1846" s="15">
        <v>45965.09888888889</v>
      </c>
      <c r="BS1846" s="10" t="s">
        <v>197</v>
      </c>
      <c r="BT1846" s="10" t="s">
        <v>99</v>
      </c>
      <c r="BU1846" s="10" t="s">
        <v>1275</v>
      </c>
      <c r="BV1846" s="10"/>
      <c r="BW1846" s="10"/>
      <c r="BX1846" s="10"/>
      <c r="BY1846" s="23"/>
      <c r="BZ1846" s="23"/>
      <c r="CA1846" s="19" t="s">
        <v>14004</v>
      </c>
      <c r="CB1846" s="19" t="s">
        <v>14005</v>
      </c>
      <c r="CC1846" s="23"/>
      <c r="CD1846" s="23"/>
      <c r="CE1846" s="23"/>
      <c r="CF1846" s="23"/>
      <c r="CG1846" s="23"/>
      <c r="CH1846" s="23"/>
      <c r="CI1846" s="23"/>
    </row>
    <row r="1847" spans="1:87" x14ac:dyDescent="0.3">
      <c r="A1847" s="9" t="s">
        <v>14006</v>
      </c>
      <c r="B1847" s="10" t="s">
        <v>14007</v>
      </c>
      <c r="C1847" s="11">
        <v>45968.03125</v>
      </c>
      <c r="D1847" s="12">
        <v>8.3333333333333329E-2</v>
      </c>
      <c r="E1847" s="11">
        <v>45968.114583333336</v>
      </c>
      <c r="F1847" s="10" t="s">
        <v>8609</v>
      </c>
      <c r="G1847" s="13" t="b">
        <v>0</v>
      </c>
      <c r="H1847" s="10" t="s">
        <v>5239</v>
      </c>
      <c r="I1847" s="10" t="s">
        <v>89</v>
      </c>
      <c r="J1847" s="13" t="b">
        <v>0</v>
      </c>
      <c r="K1847" s="13" t="b">
        <v>1</v>
      </c>
      <c r="L1847" s="10" t="s">
        <v>124</v>
      </c>
      <c r="M1847" s="10" t="s">
        <v>91</v>
      </c>
      <c r="N1847" s="10" t="s">
        <v>92</v>
      </c>
      <c r="O1847" s="19" t="s">
        <v>14008</v>
      </c>
      <c r="P1847" s="10"/>
      <c r="Q1847" s="10" t="s">
        <v>94</v>
      </c>
      <c r="R1847" s="10"/>
      <c r="S1847" s="19" t="s">
        <v>14009</v>
      </c>
      <c r="T1847" s="19" t="s">
        <v>13960</v>
      </c>
      <c r="U1847" s="10" t="s">
        <v>13766</v>
      </c>
      <c r="V1847" s="10" t="s">
        <v>7924</v>
      </c>
      <c r="W1847" s="10" t="s">
        <v>8613</v>
      </c>
      <c r="X1847" s="10" t="s">
        <v>130</v>
      </c>
      <c r="Y1847" s="10" t="s">
        <v>130</v>
      </c>
      <c r="Z1847" s="10" t="s">
        <v>99</v>
      </c>
      <c r="AA1847" s="10" t="s">
        <v>131</v>
      </c>
      <c r="AB1847" s="10" t="s">
        <v>8614</v>
      </c>
      <c r="AC1847" s="10" t="s">
        <v>3571</v>
      </c>
      <c r="AD1847" s="10" t="s">
        <v>14010</v>
      </c>
      <c r="AE1847" s="10" t="s">
        <v>14011</v>
      </c>
      <c r="AF1847" s="15"/>
      <c r="AG1847" s="10"/>
      <c r="AH1847" s="10"/>
      <c r="AI1847" s="10"/>
      <c r="AJ1847" s="10"/>
      <c r="AK1847" s="10" t="s">
        <v>102</v>
      </c>
      <c r="AL1847" s="10" t="s">
        <v>7897</v>
      </c>
      <c r="AM1847" s="10"/>
      <c r="AN1847" s="10"/>
      <c r="AO1847" s="13" t="b">
        <v>0</v>
      </c>
      <c r="AP1847" s="10" t="s">
        <v>104</v>
      </c>
      <c r="AQ1847" s="10">
        <f ca="1">IFERROR(__xludf.DUMMYFUNCTION("""COMPUTED_VALUE"""),4700069)</f>
        <v>4700069</v>
      </c>
      <c r="AR1847" s="17">
        <v>312</v>
      </c>
      <c r="AS1847" s="17">
        <v>255</v>
      </c>
      <c r="AT1847" s="17">
        <v>1822.5</v>
      </c>
      <c r="AU1847" s="17">
        <v>0.25</v>
      </c>
      <c r="AV1847" s="17">
        <v>0.25</v>
      </c>
      <c r="AW1847" s="10" t="s">
        <v>105</v>
      </c>
      <c r="AX1847" s="17">
        <v>40</v>
      </c>
      <c r="AY1847" s="18">
        <v>7.1470588235294121</v>
      </c>
      <c r="AZ1847" s="10"/>
      <c r="BA1847" s="20" t="b">
        <v>0</v>
      </c>
      <c r="BB1847" s="10"/>
      <c r="BC1847" s="17">
        <v>312</v>
      </c>
      <c r="BD1847" s="17">
        <v>255</v>
      </c>
      <c r="BE1847" s="17">
        <v>1822.5</v>
      </c>
      <c r="BF1847" s="17">
        <v>0.25</v>
      </c>
      <c r="BG1847" s="11">
        <f ca="1">IFERROR(__xludf.DUMMYFUNCTION("""COMPUTED_VALUE"""),45968.03125)</f>
        <v>45968.03125</v>
      </c>
      <c r="BH1847" s="17" t="s">
        <v>105</v>
      </c>
      <c r="BI1847" s="17"/>
      <c r="BJ1847" s="15"/>
      <c r="BK1847" s="15"/>
      <c r="BL1847" s="13" t="b">
        <v>0</v>
      </c>
      <c r="BM1847" s="10"/>
      <c r="BN1847" s="10" t="s">
        <v>197</v>
      </c>
      <c r="BO1847" s="11">
        <v>45904.326388888891</v>
      </c>
      <c r="BP1847" s="11">
        <v>45957.742314814815</v>
      </c>
      <c r="BQ1847" s="15">
        <v>45960.39334490741</v>
      </c>
      <c r="BR1847" s="15">
        <v>45965.099212962959</v>
      </c>
      <c r="BS1847" s="10" t="s">
        <v>197</v>
      </c>
      <c r="BT1847" s="10" t="s">
        <v>99</v>
      </c>
      <c r="BU1847" s="10" t="s">
        <v>1286</v>
      </c>
      <c r="BV1847" s="10"/>
      <c r="BW1847" s="10"/>
      <c r="BX1847" s="10"/>
      <c r="BY1847" s="23"/>
      <c r="BZ1847" s="23"/>
      <c r="CA1847" s="19" t="s">
        <v>14012</v>
      </c>
      <c r="CB1847" s="19" t="s">
        <v>14013</v>
      </c>
      <c r="CC1847" s="23"/>
      <c r="CD1847" s="23"/>
      <c r="CE1847" s="23"/>
      <c r="CF1847" s="23"/>
      <c r="CG1847" s="23"/>
      <c r="CH1847" s="23"/>
      <c r="CI1847" s="23"/>
    </row>
    <row r="1848" spans="1:87" x14ac:dyDescent="0.3">
      <c r="A1848" s="9" t="s">
        <v>14014</v>
      </c>
      <c r="B1848" s="10" t="s">
        <v>14015</v>
      </c>
      <c r="C1848" s="11">
        <v>45968.03125</v>
      </c>
      <c r="D1848" s="12">
        <v>8.3333333333333329E-2</v>
      </c>
      <c r="E1848" s="11">
        <v>45968.114583333336</v>
      </c>
      <c r="F1848" s="10" t="s">
        <v>8609</v>
      </c>
      <c r="G1848" s="13" t="b">
        <v>0</v>
      </c>
      <c r="H1848" s="10" t="s">
        <v>5239</v>
      </c>
      <c r="I1848" s="10" t="s">
        <v>89</v>
      </c>
      <c r="J1848" s="13" t="b">
        <v>0</v>
      </c>
      <c r="K1848" s="13" t="b">
        <v>1</v>
      </c>
      <c r="L1848" s="10" t="s">
        <v>124</v>
      </c>
      <c r="M1848" s="10" t="s">
        <v>91</v>
      </c>
      <c r="N1848" s="10" t="s">
        <v>92</v>
      </c>
      <c r="O1848" s="19" t="s">
        <v>14016</v>
      </c>
      <c r="P1848" s="10"/>
      <c r="Q1848" s="10" t="s">
        <v>94</v>
      </c>
      <c r="R1848" s="10"/>
      <c r="S1848" s="19" t="s">
        <v>14017</v>
      </c>
      <c r="T1848" s="19" t="s">
        <v>13960</v>
      </c>
      <c r="U1848" s="10" t="s">
        <v>13795</v>
      </c>
      <c r="V1848" s="10" t="s">
        <v>13717</v>
      </c>
      <c r="W1848" s="10" t="s">
        <v>8613</v>
      </c>
      <c r="X1848" s="10" t="s">
        <v>130</v>
      </c>
      <c r="Y1848" s="10" t="s">
        <v>130</v>
      </c>
      <c r="Z1848" s="10" t="s">
        <v>99</v>
      </c>
      <c r="AA1848" s="10" t="s">
        <v>131</v>
      </c>
      <c r="AB1848" s="10" t="s">
        <v>8614</v>
      </c>
      <c r="AC1848" s="10" t="s">
        <v>3571</v>
      </c>
      <c r="AD1848" s="10" t="s">
        <v>14018</v>
      </c>
      <c r="AE1848" s="10" t="s">
        <v>14019</v>
      </c>
      <c r="AF1848" s="15"/>
      <c r="AG1848" s="10"/>
      <c r="AH1848" s="10"/>
      <c r="AI1848" s="10"/>
      <c r="AJ1848" s="10"/>
      <c r="AK1848" s="10" t="s">
        <v>102</v>
      </c>
      <c r="AL1848" s="10" t="s">
        <v>7897</v>
      </c>
      <c r="AM1848" s="10"/>
      <c r="AN1848" s="10"/>
      <c r="AO1848" s="13" t="b">
        <v>0</v>
      </c>
      <c r="AP1848" s="10" t="s">
        <v>104</v>
      </c>
      <c r="AQ1848" s="10">
        <f ca="1">IFERROR(__xludf.DUMMYFUNCTION("""COMPUTED_VALUE"""),4700075)</f>
        <v>4700075</v>
      </c>
      <c r="AR1848" s="17">
        <v>449</v>
      </c>
      <c r="AS1848" s="17">
        <v>340</v>
      </c>
      <c r="AT1848" s="17">
        <v>2740</v>
      </c>
      <c r="AU1848" s="17">
        <v>0</v>
      </c>
      <c r="AV1848" s="17">
        <v>0</v>
      </c>
      <c r="AW1848" s="10" t="s">
        <v>105</v>
      </c>
      <c r="AX1848" s="17">
        <v>58</v>
      </c>
      <c r="AY1848" s="18">
        <v>8.0588235294117645</v>
      </c>
      <c r="AZ1848" s="10"/>
      <c r="BA1848" s="20" t="b">
        <v>0</v>
      </c>
      <c r="BB1848" s="10"/>
      <c r="BC1848" s="17">
        <v>449</v>
      </c>
      <c r="BD1848" s="17">
        <v>340</v>
      </c>
      <c r="BE1848" s="17">
        <v>2740</v>
      </c>
      <c r="BF1848" s="17">
        <v>0</v>
      </c>
      <c r="BG1848" s="11">
        <f ca="1">IFERROR(__xludf.DUMMYFUNCTION("""COMPUTED_VALUE"""),45968.03125)</f>
        <v>45968.03125</v>
      </c>
      <c r="BH1848" s="17" t="s">
        <v>105</v>
      </c>
      <c r="BI1848" s="17"/>
      <c r="BJ1848" s="15"/>
      <c r="BK1848" s="15"/>
      <c r="BL1848" s="13" t="b">
        <v>0</v>
      </c>
      <c r="BM1848" s="10"/>
      <c r="BN1848" s="10" t="s">
        <v>197</v>
      </c>
      <c r="BO1848" s="11">
        <v>45904.326388888891</v>
      </c>
      <c r="BP1848" s="11">
        <v>45957.742384259262</v>
      </c>
      <c r="BQ1848" s="15">
        <v>45960.393379629626</v>
      </c>
      <c r="BR1848" s="15">
        <v>45965.095196759263</v>
      </c>
      <c r="BS1848" s="10" t="s">
        <v>197</v>
      </c>
      <c r="BT1848" s="10" t="s">
        <v>99</v>
      </c>
      <c r="BU1848" s="10" t="s">
        <v>1264</v>
      </c>
      <c r="BV1848" s="10"/>
      <c r="BW1848" s="10"/>
      <c r="BX1848" s="10"/>
      <c r="BY1848" s="23"/>
      <c r="BZ1848" s="23"/>
      <c r="CA1848" s="19" t="s">
        <v>14020</v>
      </c>
      <c r="CB1848" s="19" t="s">
        <v>14021</v>
      </c>
      <c r="CC1848" s="23"/>
      <c r="CD1848" s="23"/>
      <c r="CE1848" s="23"/>
      <c r="CF1848" s="23"/>
      <c r="CG1848" s="23"/>
      <c r="CH1848" s="23"/>
      <c r="CI1848" s="23"/>
    </row>
    <row r="1849" spans="1:87" x14ac:dyDescent="0.3">
      <c r="A1849" s="9" t="s">
        <v>14022</v>
      </c>
      <c r="B1849" s="10" t="s">
        <v>14023</v>
      </c>
      <c r="C1849" s="11">
        <v>45968.03125</v>
      </c>
      <c r="D1849" s="12">
        <v>8.3333333333333329E-2</v>
      </c>
      <c r="E1849" s="11">
        <v>45968.114583333336</v>
      </c>
      <c r="F1849" s="10" t="s">
        <v>8609</v>
      </c>
      <c r="G1849" s="13" t="b">
        <v>0</v>
      </c>
      <c r="H1849" s="10" t="s">
        <v>5239</v>
      </c>
      <c r="I1849" s="10" t="s">
        <v>89</v>
      </c>
      <c r="J1849" s="13" t="b">
        <v>0</v>
      </c>
      <c r="K1849" s="13" t="b">
        <v>1</v>
      </c>
      <c r="L1849" s="10" t="s">
        <v>124</v>
      </c>
      <c r="M1849" s="10" t="s">
        <v>91</v>
      </c>
      <c r="N1849" s="10" t="s">
        <v>92</v>
      </c>
      <c r="O1849" s="19" t="s">
        <v>14024</v>
      </c>
      <c r="P1849" s="10"/>
      <c r="Q1849" s="10" t="s">
        <v>94</v>
      </c>
      <c r="R1849" s="10"/>
      <c r="S1849" s="19" t="s">
        <v>14025</v>
      </c>
      <c r="T1849" s="19" t="s">
        <v>13960</v>
      </c>
      <c r="U1849" s="10" t="s">
        <v>13767</v>
      </c>
      <c r="V1849" s="10" t="s">
        <v>13727</v>
      </c>
      <c r="W1849" s="10" t="s">
        <v>8613</v>
      </c>
      <c r="X1849" s="10" t="s">
        <v>130</v>
      </c>
      <c r="Y1849" s="10" t="s">
        <v>130</v>
      </c>
      <c r="Z1849" s="10" t="s">
        <v>99</v>
      </c>
      <c r="AA1849" s="10" t="s">
        <v>131</v>
      </c>
      <c r="AB1849" s="10" t="s">
        <v>8614</v>
      </c>
      <c r="AC1849" s="10" t="s">
        <v>3571</v>
      </c>
      <c r="AD1849" s="10" t="s">
        <v>14026</v>
      </c>
      <c r="AE1849" s="10" t="s">
        <v>14027</v>
      </c>
      <c r="AF1849" s="15"/>
      <c r="AG1849" s="10"/>
      <c r="AH1849" s="10"/>
      <c r="AI1849" s="10"/>
      <c r="AJ1849" s="10"/>
      <c r="AK1849" s="10" t="s">
        <v>102</v>
      </c>
      <c r="AL1849" s="10" t="s">
        <v>7897</v>
      </c>
      <c r="AM1849" s="10"/>
      <c r="AN1849" s="10"/>
      <c r="AO1849" s="13" t="b">
        <v>0</v>
      </c>
      <c r="AP1849" s="10" t="s">
        <v>104</v>
      </c>
      <c r="AQ1849" s="10">
        <f ca="1">IFERROR(__xludf.DUMMYFUNCTION("""COMPUTED_VALUE"""),4700060)</f>
        <v>4700060</v>
      </c>
      <c r="AR1849" s="17">
        <v>742</v>
      </c>
      <c r="AS1849" s="17">
        <v>528</v>
      </c>
      <c r="AT1849" s="17">
        <v>8456</v>
      </c>
      <c r="AU1849" s="17">
        <v>0</v>
      </c>
      <c r="AV1849" s="17">
        <v>0</v>
      </c>
      <c r="AW1849" s="10" t="s">
        <v>105</v>
      </c>
      <c r="AX1849" s="17">
        <v>155</v>
      </c>
      <c r="AY1849" s="18">
        <v>16.015151515151516</v>
      </c>
      <c r="AZ1849" s="10"/>
      <c r="BA1849" s="20" t="b">
        <v>0</v>
      </c>
      <c r="BB1849" s="10"/>
      <c r="BC1849" s="17">
        <v>742</v>
      </c>
      <c r="BD1849" s="17">
        <v>528</v>
      </c>
      <c r="BE1849" s="17">
        <v>8456</v>
      </c>
      <c r="BF1849" s="17">
        <v>0</v>
      </c>
      <c r="BG1849" s="11">
        <f ca="1">IFERROR(__xludf.DUMMYFUNCTION("""COMPUTED_VALUE"""),45968.03125)</f>
        <v>45968.03125</v>
      </c>
      <c r="BH1849" s="17" t="s">
        <v>105</v>
      </c>
      <c r="BI1849" s="17"/>
      <c r="BJ1849" s="15"/>
      <c r="BK1849" s="15"/>
      <c r="BL1849" s="13" t="b">
        <v>0</v>
      </c>
      <c r="BM1849" s="10"/>
      <c r="BN1849" s="10" t="s">
        <v>197</v>
      </c>
      <c r="BO1849" s="11">
        <v>45904.326388888891</v>
      </c>
      <c r="BP1849" s="11">
        <v>45957.742465277777</v>
      </c>
      <c r="BQ1849" s="15">
        <v>45960.393425925926</v>
      </c>
      <c r="BR1849" s="15">
        <v>45965.098460648151</v>
      </c>
      <c r="BS1849" s="10" t="s">
        <v>197</v>
      </c>
      <c r="BT1849" s="10" t="s">
        <v>99</v>
      </c>
      <c r="BU1849" s="10" t="s">
        <v>3394</v>
      </c>
      <c r="BV1849" s="10"/>
      <c r="BW1849" s="10"/>
      <c r="BX1849" s="10"/>
      <c r="BY1849" s="23"/>
      <c r="BZ1849" s="23"/>
      <c r="CA1849" s="19" t="s">
        <v>14028</v>
      </c>
      <c r="CB1849" s="19" t="s">
        <v>14029</v>
      </c>
      <c r="CC1849" s="23"/>
      <c r="CD1849" s="23"/>
      <c r="CE1849" s="23"/>
      <c r="CF1849" s="23"/>
      <c r="CG1849" s="23"/>
      <c r="CH1849" s="23"/>
      <c r="CI1849" s="23"/>
    </row>
    <row r="1850" spans="1:87" x14ac:dyDescent="0.3">
      <c r="A1850" s="9" t="s">
        <v>14030</v>
      </c>
      <c r="B1850" s="10" t="s">
        <v>14031</v>
      </c>
      <c r="C1850" s="11">
        <v>45968.125</v>
      </c>
      <c r="D1850" s="12">
        <v>8.3333333333333329E-2</v>
      </c>
      <c r="E1850" s="11">
        <v>45968.208333333336</v>
      </c>
      <c r="F1850" s="10" t="s">
        <v>8609</v>
      </c>
      <c r="G1850" s="13" t="b">
        <v>0</v>
      </c>
      <c r="H1850" s="10" t="s">
        <v>5239</v>
      </c>
      <c r="I1850" s="10" t="s">
        <v>89</v>
      </c>
      <c r="J1850" s="13" t="b">
        <v>0</v>
      </c>
      <c r="K1850" s="13" t="b">
        <v>1</v>
      </c>
      <c r="L1850" s="10" t="s">
        <v>124</v>
      </c>
      <c r="M1850" s="10" t="s">
        <v>91</v>
      </c>
      <c r="N1850" s="10" t="s">
        <v>92</v>
      </c>
      <c r="O1850" s="19" t="s">
        <v>14032</v>
      </c>
      <c r="P1850" s="10"/>
      <c r="Q1850" s="10" t="s">
        <v>94</v>
      </c>
      <c r="R1850" s="10"/>
      <c r="S1850" s="19" t="s">
        <v>14033</v>
      </c>
      <c r="T1850" s="19" t="s">
        <v>13960</v>
      </c>
      <c r="U1850" s="10" t="s">
        <v>5006</v>
      </c>
      <c r="V1850" s="10" t="s">
        <v>13646</v>
      </c>
      <c r="W1850" s="10" t="s">
        <v>8613</v>
      </c>
      <c r="X1850" s="10" t="s">
        <v>130</v>
      </c>
      <c r="Y1850" s="10" t="s">
        <v>130</v>
      </c>
      <c r="Z1850" s="10" t="s">
        <v>99</v>
      </c>
      <c r="AA1850" s="10" t="s">
        <v>131</v>
      </c>
      <c r="AB1850" s="10" t="s">
        <v>8614</v>
      </c>
      <c r="AC1850" s="10" t="s">
        <v>3571</v>
      </c>
      <c r="AD1850" s="10" t="s">
        <v>14034</v>
      </c>
      <c r="AE1850" s="10" t="s">
        <v>14035</v>
      </c>
      <c r="AF1850" s="15"/>
      <c r="AG1850" s="10"/>
      <c r="AH1850" s="10"/>
      <c r="AI1850" s="10"/>
      <c r="AJ1850" s="10"/>
      <c r="AK1850" s="10" t="s">
        <v>102</v>
      </c>
      <c r="AL1850" s="10" t="s">
        <v>7897</v>
      </c>
      <c r="AM1850" s="10"/>
      <c r="AN1850" s="10"/>
      <c r="AO1850" s="13" t="b">
        <v>0</v>
      </c>
      <c r="AP1850" s="10" t="s">
        <v>104</v>
      </c>
      <c r="AQ1850" s="10">
        <f ca="1">IFERROR(__xludf.DUMMYFUNCTION("""COMPUTED_VALUE"""),4700066)</f>
        <v>4700066</v>
      </c>
      <c r="AR1850" s="17">
        <v>661</v>
      </c>
      <c r="AS1850" s="17">
        <v>511</v>
      </c>
      <c r="AT1850" s="17">
        <v>6048.75</v>
      </c>
      <c r="AU1850" s="17">
        <v>1.8</v>
      </c>
      <c r="AV1850" s="17">
        <v>1.5</v>
      </c>
      <c r="AW1850" s="10" t="s">
        <v>105</v>
      </c>
      <c r="AX1850" s="17">
        <v>136</v>
      </c>
      <c r="AY1850" s="18">
        <v>11.837084148727984</v>
      </c>
      <c r="AZ1850" s="10"/>
      <c r="BA1850" s="20" t="b">
        <v>0</v>
      </c>
      <c r="BB1850" s="10"/>
      <c r="BC1850" s="17">
        <v>661</v>
      </c>
      <c r="BD1850" s="17">
        <v>511</v>
      </c>
      <c r="BE1850" s="17">
        <v>6048.75</v>
      </c>
      <c r="BF1850" s="17">
        <v>1.5</v>
      </c>
      <c r="BG1850" s="11">
        <f ca="1">IFERROR(__xludf.DUMMYFUNCTION("""COMPUTED_VALUE"""),45968.125)</f>
        <v>45968.125</v>
      </c>
      <c r="BH1850" s="17" t="s">
        <v>105</v>
      </c>
      <c r="BI1850" s="17"/>
      <c r="BJ1850" s="15"/>
      <c r="BK1850" s="15"/>
      <c r="BL1850" s="13" t="b">
        <v>0</v>
      </c>
      <c r="BM1850" s="10"/>
      <c r="BN1850" s="10" t="s">
        <v>197</v>
      </c>
      <c r="BO1850" s="11">
        <v>45904.326388888891</v>
      </c>
      <c r="BP1850" s="11">
        <v>45957.742546296293</v>
      </c>
      <c r="BQ1850" s="15">
        <v>45960.393472222226</v>
      </c>
      <c r="BR1850" s="15">
        <v>45965.089606481481</v>
      </c>
      <c r="BS1850" s="10" t="s">
        <v>197</v>
      </c>
      <c r="BT1850" s="10" t="s">
        <v>99</v>
      </c>
      <c r="BU1850" s="10" t="s">
        <v>9200</v>
      </c>
      <c r="BV1850" s="10"/>
      <c r="BW1850" s="10"/>
      <c r="BX1850" s="10"/>
      <c r="BY1850" s="23"/>
      <c r="BZ1850" s="23"/>
      <c r="CA1850" s="19" t="s">
        <v>14036</v>
      </c>
      <c r="CB1850" s="19" t="s">
        <v>14037</v>
      </c>
      <c r="CC1850" s="23"/>
      <c r="CD1850" s="23"/>
      <c r="CE1850" s="23"/>
      <c r="CF1850" s="23"/>
      <c r="CG1850" s="23"/>
      <c r="CH1850" s="23"/>
      <c r="CI1850" s="23"/>
    </row>
    <row r="1851" spans="1:87" x14ac:dyDescent="0.3">
      <c r="A1851" s="9" t="s">
        <v>14038</v>
      </c>
      <c r="B1851" s="10" t="s">
        <v>14039</v>
      </c>
      <c r="C1851" s="11">
        <v>45968.125</v>
      </c>
      <c r="D1851" s="12">
        <v>8.3333333333333329E-2</v>
      </c>
      <c r="E1851" s="11">
        <v>45968.208333333336</v>
      </c>
      <c r="F1851" s="10" t="s">
        <v>8609</v>
      </c>
      <c r="G1851" s="13" t="b">
        <v>0</v>
      </c>
      <c r="H1851" s="10" t="s">
        <v>5239</v>
      </c>
      <c r="I1851" s="10" t="s">
        <v>89</v>
      </c>
      <c r="J1851" s="13" t="b">
        <v>0</v>
      </c>
      <c r="K1851" s="13" t="b">
        <v>1</v>
      </c>
      <c r="L1851" s="10" t="s">
        <v>124</v>
      </c>
      <c r="M1851" s="10" t="s">
        <v>91</v>
      </c>
      <c r="N1851" s="10" t="s">
        <v>92</v>
      </c>
      <c r="O1851" s="19" t="s">
        <v>14040</v>
      </c>
      <c r="P1851" s="10"/>
      <c r="Q1851" s="10" t="s">
        <v>94</v>
      </c>
      <c r="R1851" s="10"/>
      <c r="S1851" s="19" t="s">
        <v>14041</v>
      </c>
      <c r="T1851" s="19" t="s">
        <v>13960</v>
      </c>
      <c r="U1851" s="10" t="s">
        <v>13676</v>
      </c>
      <c r="V1851" s="10" t="s">
        <v>13686</v>
      </c>
      <c r="W1851" s="10" t="s">
        <v>8613</v>
      </c>
      <c r="X1851" s="10" t="s">
        <v>130</v>
      </c>
      <c r="Y1851" s="10" t="s">
        <v>130</v>
      </c>
      <c r="Z1851" s="10" t="s">
        <v>99</v>
      </c>
      <c r="AA1851" s="10" t="s">
        <v>131</v>
      </c>
      <c r="AB1851" s="10" t="s">
        <v>8614</v>
      </c>
      <c r="AC1851" s="10" t="s">
        <v>3571</v>
      </c>
      <c r="AD1851" s="10" t="s">
        <v>14042</v>
      </c>
      <c r="AE1851" s="10" t="s">
        <v>14043</v>
      </c>
      <c r="AF1851" s="15"/>
      <c r="AG1851" s="10"/>
      <c r="AH1851" s="10"/>
      <c r="AI1851" s="10"/>
      <c r="AJ1851" s="10"/>
      <c r="AK1851" s="10" t="s">
        <v>102</v>
      </c>
      <c r="AL1851" s="10" t="s">
        <v>7897</v>
      </c>
      <c r="AM1851" s="10"/>
      <c r="AN1851" s="10"/>
      <c r="AO1851" s="13" t="b">
        <v>0</v>
      </c>
      <c r="AP1851" s="10" t="s">
        <v>104</v>
      </c>
      <c r="AQ1851" s="10">
        <f ca="1">IFERROR(__xludf.DUMMYFUNCTION("""COMPUTED_VALUE"""),4700076)</f>
        <v>4700076</v>
      </c>
      <c r="AR1851" s="17">
        <v>215</v>
      </c>
      <c r="AS1851" s="17">
        <v>183</v>
      </c>
      <c r="AT1851" s="17">
        <v>580.5</v>
      </c>
      <c r="AU1851" s="17">
        <v>0</v>
      </c>
      <c r="AV1851" s="17">
        <v>0</v>
      </c>
      <c r="AW1851" s="10" t="s">
        <v>105</v>
      </c>
      <c r="AX1851" s="17">
        <v>43</v>
      </c>
      <c r="AY1851" s="18">
        <v>3.1721311475409837</v>
      </c>
      <c r="AZ1851" s="10"/>
      <c r="BA1851" s="20" t="b">
        <v>0</v>
      </c>
      <c r="BB1851" s="10"/>
      <c r="BC1851" s="17">
        <v>215</v>
      </c>
      <c r="BD1851" s="17">
        <v>183</v>
      </c>
      <c r="BE1851" s="17">
        <v>580.5</v>
      </c>
      <c r="BF1851" s="17">
        <v>0</v>
      </c>
      <c r="BG1851" s="11">
        <f ca="1">IFERROR(__xludf.DUMMYFUNCTION("""COMPUTED_VALUE"""),45968.125)</f>
        <v>45968.125</v>
      </c>
      <c r="BH1851" s="17" t="s">
        <v>105</v>
      </c>
      <c r="BI1851" s="17"/>
      <c r="BJ1851" s="15"/>
      <c r="BK1851" s="15"/>
      <c r="BL1851" s="13" t="b">
        <v>0</v>
      </c>
      <c r="BM1851" s="10"/>
      <c r="BN1851" s="10" t="s">
        <v>197</v>
      </c>
      <c r="BO1851" s="11">
        <v>45904.326388888891</v>
      </c>
      <c r="BP1851" s="11">
        <v>45957.742881944447</v>
      </c>
      <c r="BQ1851" s="15">
        <v>45960.393506944441</v>
      </c>
      <c r="BR1851" s="15">
        <v>45965.096250000002</v>
      </c>
      <c r="BS1851" s="10" t="s">
        <v>197</v>
      </c>
      <c r="BT1851" s="10" t="s">
        <v>99</v>
      </c>
      <c r="BU1851" s="10" t="s">
        <v>1264</v>
      </c>
      <c r="BV1851" s="10"/>
      <c r="BW1851" s="10"/>
      <c r="BX1851" s="10"/>
      <c r="BY1851" s="23"/>
      <c r="BZ1851" s="23"/>
      <c r="CA1851" s="19" t="s">
        <v>14044</v>
      </c>
      <c r="CB1851" s="19" t="s">
        <v>14045</v>
      </c>
      <c r="CC1851" s="23"/>
      <c r="CD1851" s="23"/>
      <c r="CE1851" s="23"/>
      <c r="CF1851" s="23"/>
      <c r="CG1851" s="23"/>
      <c r="CH1851" s="23"/>
      <c r="CI1851" s="23"/>
    </row>
    <row r="1852" spans="1:87" x14ac:dyDescent="0.3">
      <c r="A1852" s="25" t="s">
        <v>14046</v>
      </c>
      <c r="B1852" s="10" t="s">
        <v>14047</v>
      </c>
      <c r="C1852" s="11">
        <v>45968.125</v>
      </c>
      <c r="D1852" s="12">
        <v>8.3333333333333329E-2</v>
      </c>
      <c r="E1852" s="11">
        <v>45968.208333333336</v>
      </c>
      <c r="F1852" s="10" t="s">
        <v>8609</v>
      </c>
      <c r="G1852" s="13" t="b">
        <v>0</v>
      </c>
      <c r="H1852" s="10" t="s">
        <v>3564</v>
      </c>
      <c r="I1852" s="10" t="s">
        <v>89</v>
      </c>
      <c r="J1852" s="13" t="b">
        <v>0</v>
      </c>
      <c r="K1852" s="13" t="b">
        <v>1</v>
      </c>
      <c r="L1852" s="10" t="s">
        <v>124</v>
      </c>
      <c r="M1852" s="10" t="s">
        <v>91</v>
      </c>
      <c r="N1852" s="10" t="s">
        <v>92</v>
      </c>
      <c r="O1852" s="19" t="s">
        <v>14048</v>
      </c>
      <c r="P1852" s="10"/>
      <c r="Q1852" s="10" t="s">
        <v>126</v>
      </c>
      <c r="R1852" s="10"/>
      <c r="S1852" s="19" t="s">
        <v>14049</v>
      </c>
      <c r="T1852" s="19" t="s">
        <v>13960</v>
      </c>
      <c r="U1852" s="10" t="s">
        <v>347</v>
      </c>
      <c r="V1852" s="10" t="s">
        <v>3727</v>
      </c>
      <c r="W1852" s="10" t="s">
        <v>8613</v>
      </c>
      <c r="X1852" s="10" t="s">
        <v>130</v>
      </c>
      <c r="Y1852" s="10" t="s">
        <v>130</v>
      </c>
      <c r="Z1852" s="10" t="s">
        <v>99</v>
      </c>
      <c r="AA1852" s="10" t="s">
        <v>131</v>
      </c>
      <c r="AB1852" s="10" t="s">
        <v>8614</v>
      </c>
      <c r="AC1852" s="10" t="s">
        <v>3571</v>
      </c>
      <c r="AD1852" s="10" t="s">
        <v>14050</v>
      </c>
      <c r="AE1852" s="10" t="s">
        <v>14051</v>
      </c>
      <c r="AF1852" s="15"/>
      <c r="AG1852" s="10"/>
      <c r="AH1852" s="10"/>
      <c r="AI1852" s="10"/>
      <c r="AJ1852" s="10"/>
      <c r="AK1852" s="10" t="s">
        <v>102</v>
      </c>
      <c r="AL1852" s="10" t="s">
        <v>7897</v>
      </c>
      <c r="AM1852" s="10"/>
      <c r="AN1852" s="10"/>
      <c r="AO1852" s="13" t="b">
        <v>0</v>
      </c>
      <c r="AP1852" s="10" t="s">
        <v>104</v>
      </c>
      <c r="AQ1852" s="10">
        <f ca="1">IFERROR(__xludf.DUMMYFUNCTION("""COMPUTED_VALUE"""),4683975)</f>
        <v>4683975</v>
      </c>
      <c r="AR1852" s="17">
        <v>2527</v>
      </c>
      <c r="AS1852" s="17">
        <v>1982</v>
      </c>
      <c r="AT1852" s="17">
        <v>37068</v>
      </c>
      <c r="AU1852" s="17">
        <v>1.25</v>
      </c>
      <c r="AV1852" s="17">
        <v>0</v>
      </c>
      <c r="AW1852" s="10" t="s">
        <v>105</v>
      </c>
      <c r="AX1852" s="17">
        <v>490</v>
      </c>
      <c r="AY1852" s="18">
        <v>18.702320887991927</v>
      </c>
      <c r="AZ1852" s="10"/>
      <c r="BA1852" s="20" t="b">
        <v>0</v>
      </c>
      <c r="BB1852" s="10"/>
      <c r="BC1852" s="17">
        <v>2527</v>
      </c>
      <c r="BD1852" s="17">
        <v>1982</v>
      </c>
      <c r="BE1852" s="17">
        <v>37068</v>
      </c>
      <c r="BF1852" s="17">
        <v>0</v>
      </c>
      <c r="BG1852" s="11">
        <f ca="1">IFERROR(__xludf.DUMMYFUNCTION("""COMPUTED_VALUE"""),45968.125)</f>
        <v>45968.125</v>
      </c>
      <c r="BH1852" s="17" t="s">
        <v>105</v>
      </c>
      <c r="BI1852" s="17"/>
      <c r="BJ1852" s="15"/>
      <c r="BK1852" s="15"/>
      <c r="BL1852" s="13" t="b">
        <v>0</v>
      </c>
      <c r="BM1852" s="10"/>
      <c r="BN1852" s="10" t="s">
        <v>197</v>
      </c>
      <c r="BO1852" s="11">
        <v>45904.326388888891</v>
      </c>
      <c r="BP1852" s="11">
        <v>45957.741655092592</v>
      </c>
      <c r="BQ1852" s="15">
        <v>45960.393842592595</v>
      </c>
      <c r="BR1852" s="15">
        <v>45964.415844907409</v>
      </c>
      <c r="BS1852" s="10" t="s">
        <v>197</v>
      </c>
      <c r="BT1852" s="10" t="s">
        <v>99</v>
      </c>
      <c r="BU1852" s="10" t="s">
        <v>5492</v>
      </c>
      <c r="BV1852" s="10"/>
      <c r="BW1852" s="10"/>
      <c r="BX1852" s="10"/>
      <c r="BY1852" s="23"/>
      <c r="BZ1852" s="23"/>
      <c r="CA1852" s="19" t="s">
        <v>14052</v>
      </c>
      <c r="CB1852" s="19" t="s">
        <v>14053</v>
      </c>
      <c r="CC1852" s="23"/>
      <c r="CD1852" s="19" t="s">
        <v>14054</v>
      </c>
      <c r="CE1852" s="23"/>
      <c r="CF1852" s="23"/>
      <c r="CG1852" s="23"/>
      <c r="CH1852" s="23"/>
      <c r="CI1852" s="23"/>
    </row>
    <row r="1853" spans="1:87" x14ac:dyDescent="0.3">
      <c r="A1853" s="9" t="s">
        <v>14055</v>
      </c>
      <c r="B1853" s="10" t="s">
        <v>14056</v>
      </c>
      <c r="C1853" s="11">
        <v>45968.125</v>
      </c>
      <c r="D1853" s="12">
        <v>8.3333333333333329E-2</v>
      </c>
      <c r="E1853" s="11">
        <v>45968.208333333336</v>
      </c>
      <c r="F1853" s="10" t="s">
        <v>8609</v>
      </c>
      <c r="G1853" s="13" t="b">
        <v>0</v>
      </c>
      <c r="H1853" s="10" t="s">
        <v>5239</v>
      </c>
      <c r="I1853" s="10" t="s">
        <v>89</v>
      </c>
      <c r="J1853" s="13" t="b">
        <v>0</v>
      </c>
      <c r="K1853" s="13" t="b">
        <v>1</v>
      </c>
      <c r="L1853" s="10" t="s">
        <v>124</v>
      </c>
      <c r="M1853" s="10" t="s">
        <v>91</v>
      </c>
      <c r="N1853" s="10" t="s">
        <v>92</v>
      </c>
      <c r="O1853" s="19" t="s">
        <v>14057</v>
      </c>
      <c r="P1853" s="10"/>
      <c r="Q1853" s="10" t="s">
        <v>94</v>
      </c>
      <c r="R1853" s="10"/>
      <c r="S1853" s="19" t="s">
        <v>14058</v>
      </c>
      <c r="T1853" s="19" t="s">
        <v>13960</v>
      </c>
      <c r="U1853" s="10" t="s">
        <v>13746</v>
      </c>
      <c r="V1853" s="10" t="s">
        <v>13637</v>
      </c>
      <c r="W1853" s="10" t="s">
        <v>8613</v>
      </c>
      <c r="X1853" s="10" t="s">
        <v>130</v>
      </c>
      <c r="Y1853" s="10" t="s">
        <v>130</v>
      </c>
      <c r="Z1853" s="10" t="s">
        <v>99</v>
      </c>
      <c r="AA1853" s="10" t="s">
        <v>131</v>
      </c>
      <c r="AB1853" s="10" t="s">
        <v>8614</v>
      </c>
      <c r="AC1853" s="10" t="s">
        <v>3571</v>
      </c>
      <c r="AD1853" s="10" t="s">
        <v>14059</v>
      </c>
      <c r="AE1853" s="10" t="s">
        <v>14060</v>
      </c>
      <c r="AF1853" s="15"/>
      <c r="AG1853" s="10"/>
      <c r="AH1853" s="10"/>
      <c r="AI1853" s="10"/>
      <c r="AJ1853" s="10"/>
      <c r="AK1853" s="10" t="s">
        <v>102</v>
      </c>
      <c r="AL1853" s="10" t="s">
        <v>7897</v>
      </c>
      <c r="AM1853" s="10"/>
      <c r="AN1853" s="10"/>
      <c r="AO1853" s="13" t="b">
        <v>0</v>
      </c>
      <c r="AP1853" s="10" t="s">
        <v>104</v>
      </c>
      <c r="AQ1853" s="10">
        <f ca="1">IFERROR(__xludf.DUMMYFUNCTION("""COMPUTED_VALUE"""),4700071)</f>
        <v>4700071</v>
      </c>
      <c r="AR1853" s="17">
        <v>199</v>
      </c>
      <c r="AS1853" s="17">
        <v>166</v>
      </c>
      <c r="AT1853" s="17">
        <v>607.75</v>
      </c>
      <c r="AU1853" s="17">
        <v>0</v>
      </c>
      <c r="AV1853" s="17">
        <v>0</v>
      </c>
      <c r="AW1853" s="10" t="s">
        <v>105</v>
      </c>
      <c r="AX1853" s="17">
        <v>23</v>
      </c>
      <c r="AY1853" s="18">
        <v>3.661144578313253</v>
      </c>
      <c r="AZ1853" s="10"/>
      <c r="BA1853" s="20" t="b">
        <v>0</v>
      </c>
      <c r="BB1853" s="10"/>
      <c r="BC1853" s="17">
        <v>199</v>
      </c>
      <c r="BD1853" s="17">
        <v>166</v>
      </c>
      <c r="BE1853" s="17">
        <v>607.75</v>
      </c>
      <c r="BF1853" s="17">
        <v>0</v>
      </c>
      <c r="BG1853" s="11">
        <f ca="1">IFERROR(__xludf.DUMMYFUNCTION("""COMPUTED_VALUE"""),45968.125)</f>
        <v>45968.125</v>
      </c>
      <c r="BH1853" s="17" t="s">
        <v>105</v>
      </c>
      <c r="BI1853" s="17"/>
      <c r="BJ1853" s="15"/>
      <c r="BK1853" s="15"/>
      <c r="BL1853" s="13" t="b">
        <v>0</v>
      </c>
      <c r="BM1853" s="10"/>
      <c r="BN1853" s="10" t="s">
        <v>197</v>
      </c>
      <c r="BO1853" s="11">
        <v>45904.326388888891</v>
      </c>
      <c r="BP1853" s="11">
        <v>45957.742962962962</v>
      </c>
      <c r="BQ1853" s="15">
        <v>45960.393796296295</v>
      </c>
      <c r="BR1853" s="15">
        <v>45965.09233796296</v>
      </c>
      <c r="BS1853" s="10" t="s">
        <v>197</v>
      </c>
      <c r="BT1853" s="10" t="s">
        <v>99</v>
      </c>
      <c r="BU1853" s="10" t="s">
        <v>6753</v>
      </c>
      <c r="BV1853" s="10"/>
      <c r="BW1853" s="10"/>
      <c r="BX1853" s="10"/>
      <c r="BY1853" s="23"/>
      <c r="BZ1853" s="23"/>
      <c r="CA1853" s="19" t="s">
        <v>14061</v>
      </c>
      <c r="CB1853" s="19" t="s">
        <v>14062</v>
      </c>
      <c r="CC1853" s="23"/>
      <c r="CD1853" s="23"/>
      <c r="CE1853" s="23"/>
      <c r="CF1853" s="23"/>
      <c r="CG1853" s="23"/>
      <c r="CH1853" s="23"/>
      <c r="CI1853" s="23"/>
    </row>
    <row r="1854" spans="1:87" x14ac:dyDescent="0.3">
      <c r="A1854" s="9" t="s">
        <v>14063</v>
      </c>
      <c r="B1854" s="10" t="s">
        <v>14064</v>
      </c>
      <c r="C1854" s="11">
        <v>45968.125</v>
      </c>
      <c r="D1854" s="12">
        <v>8.3333333333333329E-2</v>
      </c>
      <c r="E1854" s="11">
        <v>45968.208333333336</v>
      </c>
      <c r="F1854" s="10" t="s">
        <v>8609</v>
      </c>
      <c r="G1854" s="13" t="b">
        <v>0</v>
      </c>
      <c r="H1854" s="10" t="s">
        <v>5239</v>
      </c>
      <c r="I1854" s="10" t="s">
        <v>89</v>
      </c>
      <c r="J1854" s="13" t="b">
        <v>0</v>
      </c>
      <c r="K1854" s="13" t="b">
        <v>1</v>
      </c>
      <c r="L1854" s="10" t="s">
        <v>124</v>
      </c>
      <c r="M1854" s="10" t="s">
        <v>91</v>
      </c>
      <c r="N1854" s="10" t="s">
        <v>92</v>
      </c>
      <c r="O1854" s="19" t="s">
        <v>14065</v>
      </c>
      <c r="P1854" s="10"/>
      <c r="Q1854" s="10" t="s">
        <v>94</v>
      </c>
      <c r="R1854" s="10"/>
      <c r="S1854" s="19" t="s">
        <v>14066</v>
      </c>
      <c r="T1854" s="19" t="s">
        <v>13960</v>
      </c>
      <c r="U1854" s="10" t="s">
        <v>13747</v>
      </c>
      <c r="V1854" s="10" t="s">
        <v>8622</v>
      </c>
      <c r="W1854" s="10" t="s">
        <v>8613</v>
      </c>
      <c r="X1854" s="10" t="s">
        <v>130</v>
      </c>
      <c r="Y1854" s="10" t="s">
        <v>130</v>
      </c>
      <c r="Z1854" s="10" t="s">
        <v>99</v>
      </c>
      <c r="AA1854" s="10" t="s">
        <v>131</v>
      </c>
      <c r="AB1854" s="10" t="s">
        <v>8614</v>
      </c>
      <c r="AC1854" s="10" t="s">
        <v>3571</v>
      </c>
      <c r="AD1854" s="10" t="s">
        <v>14067</v>
      </c>
      <c r="AE1854" s="10" t="s">
        <v>14068</v>
      </c>
      <c r="AF1854" s="15"/>
      <c r="AG1854" s="10"/>
      <c r="AH1854" s="10"/>
      <c r="AI1854" s="10"/>
      <c r="AJ1854" s="10"/>
      <c r="AK1854" s="10" t="s">
        <v>102</v>
      </c>
      <c r="AL1854" s="10" t="s">
        <v>7897</v>
      </c>
      <c r="AM1854" s="10"/>
      <c r="AN1854" s="10"/>
      <c r="AO1854" s="13" t="b">
        <v>0</v>
      </c>
      <c r="AP1854" s="10" t="s">
        <v>104</v>
      </c>
      <c r="AQ1854" s="10">
        <f ca="1">IFERROR(__xludf.DUMMYFUNCTION("""COMPUTED_VALUE"""),4700065)</f>
        <v>4700065</v>
      </c>
      <c r="AR1854" s="17">
        <v>325</v>
      </c>
      <c r="AS1854" s="17">
        <v>261</v>
      </c>
      <c r="AT1854" s="17">
        <v>2576</v>
      </c>
      <c r="AU1854" s="17">
        <v>0</v>
      </c>
      <c r="AV1854" s="17">
        <v>0</v>
      </c>
      <c r="AW1854" s="10" t="s">
        <v>105</v>
      </c>
      <c r="AX1854" s="17">
        <v>50</v>
      </c>
      <c r="AY1854" s="18">
        <v>9.8697318007662833</v>
      </c>
      <c r="AZ1854" s="10"/>
      <c r="BA1854" s="20" t="b">
        <v>0</v>
      </c>
      <c r="BB1854" s="10"/>
      <c r="BC1854" s="17">
        <v>325</v>
      </c>
      <c r="BD1854" s="17">
        <v>261</v>
      </c>
      <c r="BE1854" s="17">
        <v>2576</v>
      </c>
      <c r="BF1854" s="17">
        <v>0</v>
      </c>
      <c r="BG1854" s="11">
        <f ca="1">IFERROR(__xludf.DUMMYFUNCTION("""COMPUTED_VALUE"""),45968.125)</f>
        <v>45968.125</v>
      </c>
      <c r="BH1854" s="17" t="s">
        <v>105</v>
      </c>
      <c r="BI1854" s="17"/>
      <c r="BJ1854" s="15"/>
      <c r="BK1854" s="15"/>
      <c r="BL1854" s="13" t="b">
        <v>0</v>
      </c>
      <c r="BM1854" s="10"/>
      <c r="BN1854" s="10" t="s">
        <v>197</v>
      </c>
      <c r="BO1854" s="11">
        <v>45904.326388888891</v>
      </c>
      <c r="BP1854" s="11">
        <v>45957.743043981478</v>
      </c>
      <c r="BQ1854" s="15">
        <v>45960.393761574072</v>
      </c>
      <c r="BR1854" s="15">
        <v>45965.100648148145</v>
      </c>
      <c r="BS1854" s="10" t="s">
        <v>197</v>
      </c>
      <c r="BT1854" s="10" t="s">
        <v>99</v>
      </c>
      <c r="BU1854" s="10" t="s">
        <v>1275</v>
      </c>
      <c r="BV1854" s="10"/>
      <c r="BW1854" s="10"/>
      <c r="BX1854" s="10"/>
      <c r="BY1854" s="23"/>
      <c r="BZ1854" s="23"/>
      <c r="CA1854" s="19" t="s">
        <v>14069</v>
      </c>
      <c r="CB1854" s="19" t="s">
        <v>14070</v>
      </c>
      <c r="CC1854" s="23"/>
      <c r="CD1854" s="23"/>
      <c r="CE1854" s="23"/>
      <c r="CF1854" s="23"/>
      <c r="CG1854" s="23"/>
      <c r="CH1854" s="23"/>
      <c r="CI1854" s="23"/>
    </row>
    <row r="1855" spans="1:87" x14ac:dyDescent="0.3">
      <c r="A1855" s="9" t="s">
        <v>14071</v>
      </c>
      <c r="B1855" s="10" t="s">
        <v>14072</v>
      </c>
      <c r="C1855" s="11">
        <v>45968.125</v>
      </c>
      <c r="D1855" s="12">
        <v>8.3333333333333329E-2</v>
      </c>
      <c r="E1855" s="11">
        <v>45968.208333333336</v>
      </c>
      <c r="F1855" s="10" t="s">
        <v>8609</v>
      </c>
      <c r="G1855" s="13" t="b">
        <v>0</v>
      </c>
      <c r="H1855" s="10" t="s">
        <v>5239</v>
      </c>
      <c r="I1855" s="10" t="s">
        <v>89</v>
      </c>
      <c r="J1855" s="13" t="b">
        <v>0</v>
      </c>
      <c r="K1855" s="13" t="b">
        <v>1</v>
      </c>
      <c r="L1855" s="10" t="s">
        <v>124</v>
      </c>
      <c r="M1855" s="10" t="s">
        <v>91</v>
      </c>
      <c r="N1855" s="10" t="s">
        <v>92</v>
      </c>
      <c r="O1855" s="19" t="s">
        <v>14073</v>
      </c>
      <c r="P1855" s="10"/>
      <c r="Q1855" s="10" t="s">
        <v>94</v>
      </c>
      <c r="R1855" s="10"/>
      <c r="S1855" s="19" t="s">
        <v>14074</v>
      </c>
      <c r="T1855" s="19" t="s">
        <v>13960</v>
      </c>
      <c r="U1855" s="10" t="s">
        <v>13657</v>
      </c>
      <c r="V1855" s="10" t="s">
        <v>13697</v>
      </c>
      <c r="W1855" s="10" t="s">
        <v>8613</v>
      </c>
      <c r="X1855" s="10" t="s">
        <v>130</v>
      </c>
      <c r="Y1855" s="10" t="s">
        <v>130</v>
      </c>
      <c r="Z1855" s="10" t="s">
        <v>99</v>
      </c>
      <c r="AA1855" s="10" t="s">
        <v>131</v>
      </c>
      <c r="AB1855" s="10" t="s">
        <v>8614</v>
      </c>
      <c r="AC1855" s="10" t="s">
        <v>3571</v>
      </c>
      <c r="AD1855" s="10" t="s">
        <v>14075</v>
      </c>
      <c r="AE1855" s="10" t="s">
        <v>14076</v>
      </c>
      <c r="AF1855" s="15"/>
      <c r="AG1855" s="10"/>
      <c r="AH1855" s="10"/>
      <c r="AI1855" s="10"/>
      <c r="AJ1855" s="10"/>
      <c r="AK1855" s="10" t="s">
        <v>102</v>
      </c>
      <c r="AL1855" s="10" t="s">
        <v>7897</v>
      </c>
      <c r="AM1855" s="10"/>
      <c r="AN1855" s="10"/>
      <c r="AO1855" s="13" t="b">
        <v>0</v>
      </c>
      <c r="AP1855" s="10" t="s">
        <v>104</v>
      </c>
      <c r="AQ1855" s="10">
        <f ca="1">IFERROR(__xludf.DUMMYFUNCTION("""COMPUTED_VALUE"""),4700073)</f>
        <v>4700073</v>
      </c>
      <c r="AR1855" s="17">
        <v>252</v>
      </c>
      <c r="AS1855" s="17">
        <v>223</v>
      </c>
      <c r="AT1855" s="17">
        <v>712.25</v>
      </c>
      <c r="AU1855" s="17">
        <v>0</v>
      </c>
      <c r="AV1855" s="17">
        <v>0</v>
      </c>
      <c r="AW1855" s="10" t="s">
        <v>105</v>
      </c>
      <c r="AX1855" s="17">
        <v>41</v>
      </c>
      <c r="AY1855" s="18">
        <v>3.1939461883408073</v>
      </c>
      <c r="AZ1855" s="10"/>
      <c r="BA1855" s="20" t="b">
        <v>0</v>
      </c>
      <c r="BB1855" s="10"/>
      <c r="BC1855" s="17">
        <v>252</v>
      </c>
      <c r="BD1855" s="17">
        <v>223</v>
      </c>
      <c r="BE1855" s="17">
        <v>712.25</v>
      </c>
      <c r="BF1855" s="17">
        <v>0</v>
      </c>
      <c r="BG1855" s="11">
        <f ca="1">IFERROR(__xludf.DUMMYFUNCTION("""COMPUTED_VALUE"""),45968.125)</f>
        <v>45968.125</v>
      </c>
      <c r="BH1855" s="17" t="s">
        <v>105</v>
      </c>
      <c r="BI1855" s="17"/>
      <c r="BJ1855" s="15"/>
      <c r="BK1855" s="15"/>
      <c r="BL1855" s="13" t="b">
        <v>0</v>
      </c>
      <c r="BM1855" s="10"/>
      <c r="BN1855" s="10" t="s">
        <v>197</v>
      </c>
      <c r="BO1855" s="11">
        <v>45904.326388888891</v>
      </c>
      <c r="BP1855" s="11">
        <v>45957.743125000001</v>
      </c>
      <c r="BQ1855" s="15">
        <v>45960.39371527778</v>
      </c>
      <c r="BR1855" s="15">
        <v>45965.10125</v>
      </c>
      <c r="BS1855" s="10" t="s">
        <v>197</v>
      </c>
      <c r="BT1855" s="10" t="s">
        <v>99</v>
      </c>
      <c r="BU1855" s="10" t="s">
        <v>1253</v>
      </c>
      <c r="BV1855" s="10"/>
      <c r="BW1855" s="10"/>
      <c r="BX1855" s="10"/>
      <c r="BY1855" s="23"/>
      <c r="BZ1855" s="23"/>
      <c r="CA1855" s="19" t="s">
        <v>14077</v>
      </c>
      <c r="CB1855" s="19" t="s">
        <v>14078</v>
      </c>
      <c r="CC1855" s="23"/>
      <c r="CD1855" s="23"/>
      <c r="CE1855" s="23"/>
      <c r="CF1855" s="23"/>
      <c r="CG1855" s="23"/>
      <c r="CH1855" s="23"/>
      <c r="CI1855" s="23"/>
    </row>
    <row r="1856" spans="1:87" x14ac:dyDescent="0.3">
      <c r="A1856" s="9" t="s">
        <v>14079</v>
      </c>
      <c r="B1856" s="10" t="s">
        <v>14080</v>
      </c>
      <c r="C1856" s="11">
        <v>45968.125</v>
      </c>
      <c r="D1856" s="12">
        <v>8.3333333333333329E-2</v>
      </c>
      <c r="E1856" s="11">
        <v>45968.208333333336</v>
      </c>
      <c r="F1856" s="10" t="s">
        <v>8609</v>
      </c>
      <c r="G1856" s="13" t="b">
        <v>0</v>
      </c>
      <c r="H1856" s="10" t="s">
        <v>5239</v>
      </c>
      <c r="I1856" s="10" t="s">
        <v>89</v>
      </c>
      <c r="J1856" s="13" t="b">
        <v>0</v>
      </c>
      <c r="K1856" s="13" t="b">
        <v>1</v>
      </c>
      <c r="L1856" s="10" t="s">
        <v>124</v>
      </c>
      <c r="M1856" s="10" t="s">
        <v>91</v>
      </c>
      <c r="N1856" s="10" t="s">
        <v>92</v>
      </c>
      <c r="O1856" s="19" t="s">
        <v>14081</v>
      </c>
      <c r="P1856" s="10"/>
      <c r="Q1856" s="10" t="s">
        <v>94</v>
      </c>
      <c r="R1856" s="10"/>
      <c r="S1856" s="19" t="s">
        <v>14082</v>
      </c>
      <c r="T1856" s="19" t="s">
        <v>13960</v>
      </c>
      <c r="U1856" s="10" t="s">
        <v>13647</v>
      </c>
      <c r="V1856" s="10" t="s">
        <v>13737</v>
      </c>
      <c r="W1856" s="10" t="s">
        <v>8613</v>
      </c>
      <c r="X1856" s="10" t="s">
        <v>130</v>
      </c>
      <c r="Y1856" s="10" t="s">
        <v>130</v>
      </c>
      <c r="Z1856" s="10" t="s">
        <v>99</v>
      </c>
      <c r="AA1856" s="10" t="s">
        <v>131</v>
      </c>
      <c r="AB1856" s="10" t="s">
        <v>8614</v>
      </c>
      <c r="AC1856" s="10" t="s">
        <v>3571</v>
      </c>
      <c r="AD1856" s="10" t="s">
        <v>14083</v>
      </c>
      <c r="AE1856" s="10" t="s">
        <v>14084</v>
      </c>
      <c r="AF1856" s="15"/>
      <c r="AG1856" s="10"/>
      <c r="AH1856" s="10"/>
      <c r="AI1856" s="10"/>
      <c r="AJ1856" s="10"/>
      <c r="AK1856" s="10" t="s">
        <v>102</v>
      </c>
      <c r="AL1856" s="10" t="s">
        <v>7897</v>
      </c>
      <c r="AM1856" s="10"/>
      <c r="AN1856" s="10"/>
      <c r="AO1856" s="13" t="b">
        <v>0</v>
      </c>
      <c r="AP1856" s="10" t="s">
        <v>104</v>
      </c>
      <c r="AQ1856" s="10">
        <f ca="1">IFERROR(__xludf.DUMMYFUNCTION("""COMPUTED_VALUE"""),4700078)</f>
        <v>4700078</v>
      </c>
      <c r="AR1856" s="17">
        <v>202</v>
      </c>
      <c r="AS1856" s="17">
        <v>173</v>
      </c>
      <c r="AT1856" s="17">
        <v>606.25</v>
      </c>
      <c r="AU1856" s="17">
        <v>0</v>
      </c>
      <c r="AV1856" s="17">
        <v>0</v>
      </c>
      <c r="AW1856" s="10" t="s">
        <v>105</v>
      </c>
      <c r="AX1856" s="17">
        <v>260</v>
      </c>
      <c r="AY1856" s="18">
        <v>3.504335260115607</v>
      </c>
      <c r="AZ1856" s="10"/>
      <c r="BA1856" s="20" t="b">
        <v>0</v>
      </c>
      <c r="BB1856" s="10"/>
      <c r="BC1856" s="17">
        <v>202</v>
      </c>
      <c r="BD1856" s="17">
        <v>173</v>
      </c>
      <c r="BE1856" s="17">
        <v>606.25</v>
      </c>
      <c r="BF1856" s="17">
        <v>0</v>
      </c>
      <c r="BG1856" s="11">
        <f ca="1">IFERROR(__xludf.DUMMYFUNCTION("""COMPUTED_VALUE"""),45968.125)</f>
        <v>45968.125</v>
      </c>
      <c r="BH1856" s="17" t="s">
        <v>105</v>
      </c>
      <c r="BI1856" s="17"/>
      <c r="BJ1856" s="15"/>
      <c r="BK1856" s="15"/>
      <c r="BL1856" s="13" t="b">
        <v>0</v>
      </c>
      <c r="BM1856" s="10"/>
      <c r="BN1856" s="10" t="s">
        <v>197</v>
      </c>
      <c r="BO1856" s="11">
        <v>45904.326388888891</v>
      </c>
      <c r="BP1856" s="11">
        <v>45957.743194444447</v>
      </c>
      <c r="BQ1856" s="15">
        <v>45960.39366898148</v>
      </c>
      <c r="BR1856" s="15">
        <v>45965.1015162037</v>
      </c>
      <c r="BS1856" s="10" t="s">
        <v>197</v>
      </c>
      <c r="BT1856" s="10" t="s">
        <v>99</v>
      </c>
      <c r="BU1856" s="10" t="s">
        <v>5854</v>
      </c>
      <c r="BV1856" s="10"/>
      <c r="BW1856" s="10"/>
      <c r="BX1856" s="10"/>
      <c r="BY1856" s="23"/>
      <c r="BZ1856" s="23"/>
      <c r="CA1856" s="19" t="s">
        <v>14085</v>
      </c>
      <c r="CB1856" s="19" t="s">
        <v>14086</v>
      </c>
      <c r="CC1856" s="23"/>
      <c r="CD1856" s="23"/>
      <c r="CE1856" s="23"/>
      <c r="CF1856" s="23"/>
      <c r="CG1856" s="23"/>
      <c r="CH1856" s="23"/>
      <c r="CI1856" s="23"/>
    </row>
    <row r="1857" spans="1:87" x14ac:dyDescent="0.3">
      <c r="A1857" s="9" t="s">
        <v>14087</v>
      </c>
      <c r="B1857" s="10" t="s">
        <v>14088</v>
      </c>
      <c r="C1857" s="11">
        <v>45968.125</v>
      </c>
      <c r="D1857" s="12">
        <v>8.3333333333333329E-2</v>
      </c>
      <c r="E1857" s="11">
        <v>45968.208333333336</v>
      </c>
      <c r="F1857" s="10" t="s">
        <v>8609</v>
      </c>
      <c r="G1857" s="13" t="b">
        <v>0</v>
      </c>
      <c r="H1857" s="10" t="s">
        <v>5239</v>
      </c>
      <c r="I1857" s="10" t="s">
        <v>89</v>
      </c>
      <c r="J1857" s="13" t="b">
        <v>0</v>
      </c>
      <c r="K1857" s="13" t="b">
        <v>1</v>
      </c>
      <c r="L1857" s="10" t="s">
        <v>124</v>
      </c>
      <c r="M1857" s="10" t="s">
        <v>91</v>
      </c>
      <c r="N1857" s="10" t="s">
        <v>92</v>
      </c>
      <c r="O1857" s="19" t="s">
        <v>14089</v>
      </c>
      <c r="P1857" s="10"/>
      <c r="Q1857" s="10" t="s">
        <v>94</v>
      </c>
      <c r="R1857" s="10"/>
      <c r="S1857" s="19" t="s">
        <v>14090</v>
      </c>
      <c r="T1857" s="19" t="s">
        <v>13960</v>
      </c>
      <c r="U1857" s="10" t="s">
        <v>13706</v>
      </c>
      <c r="V1857" s="10" t="s">
        <v>13656</v>
      </c>
      <c r="W1857" s="10" t="s">
        <v>8613</v>
      </c>
      <c r="X1857" s="10" t="s">
        <v>130</v>
      </c>
      <c r="Y1857" s="10" t="s">
        <v>130</v>
      </c>
      <c r="Z1857" s="10" t="s">
        <v>99</v>
      </c>
      <c r="AA1857" s="10" t="s">
        <v>131</v>
      </c>
      <c r="AB1857" s="10" t="s">
        <v>8614</v>
      </c>
      <c r="AC1857" s="10" t="s">
        <v>3571</v>
      </c>
      <c r="AD1857" s="10" t="s">
        <v>14091</v>
      </c>
      <c r="AE1857" s="10" t="s">
        <v>14092</v>
      </c>
      <c r="AF1857" s="15"/>
      <c r="AG1857" s="10"/>
      <c r="AH1857" s="10"/>
      <c r="AI1857" s="10"/>
      <c r="AJ1857" s="10"/>
      <c r="AK1857" s="10" t="s">
        <v>102</v>
      </c>
      <c r="AL1857" s="10" t="s">
        <v>7897</v>
      </c>
      <c r="AM1857" s="10"/>
      <c r="AN1857" s="10"/>
      <c r="AO1857" s="13" t="b">
        <v>0</v>
      </c>
      <c r="AP1857" s="10" t="s">
        <v>104</v>
      </c>
      <c r="AQ1857" s="10">
        <f ca="1">IFERROR(__xludf.DUMMYFUNCTION("""COMPUTED_VALUE"""),4700061)</f>
        <v>4700061</v>
      </c>
      <c r="AR1857" s="17">
        <v>288</v>
      </c>
      <c r="AS1857" s="17">
        <v>242</v>
      </c>
      <c r="AT1857" s="17">
        <v>612</v>
      </c>
      <c r="AU1857" s="17">
        <v>1</v>
      </c>
      <c r="AV1857" s="17">
        <v>0</v>
      </c>
      <c r="AW1857" s="10" t="s">
        <v>105</v>
      </c>
      <c r="AX1857" s="17">
        <v>98</v>
      </c>
      <c r="AY1857" s="18">
        <v>2.5289256198347108</v>
      </c>
      <c r="AZ1857" s="10"/>
      <c r="BA1857" s="20" t="b">
        <v>0</v>
      </c>
      <c r="BB1857" s="10"/>
      <c r="BC1857" s="17">
        <v>288</v>
      </c>
      <c r="BD1857" s="17">
        <v>242</v>
      </c>
      <c r="BE1857" s="17">
        <v>612</v>
      </c>
      <c r="BF1857" s="17">
        <v>0</v>
      </c>
      <c r="BG1857" s="11">
        <f ca="1">IFERROR(__xludf.DUMMYFUNCTION("""COMPUTED_VALUE"""),45968.125)</f>
        <v>45968.125</v>
      </c>
      <c r="BH1857" s="17" t="s">
        <v>105</v>
      </c>
      <c r="BI1857" s="17"/>
      <c r="BJ1857" s="15"/>
      <c r="BK1857" s="15"/>
      <c r="BL1857" s="13" t="b">
        <v>0</v>
      </c>
      <c r="BM1857" s="10"/>
      <c r="BN1857" s="10" t="s">
        <v>197</v>
      </c>
      <c r="BO1857" s="11">
        <v>45904.326388888891</v>
      </c>
      <c r="BP1857" s="11">
        <v>45957.743287037039</v>
      </c>
      <c r="BQ1857" s="15">
        <v>45960.393611111111</v>
      </c>
      <c r="BR1857" s="15">
        <v>45965.100277777776</v>
      </c>
      <c r="BS1857" s="10" t="s">
        <v>197</v>
      </c>
      <c r="BT1857" s="10" t="s">
        <v>99</v>
      </c>
      <c r="BU1857" s="10" t="s">
        <v>3394</v>
      </c>
      <c r="BV1857" s="10"/>
      <c r="BW1857" s="10"/>
      <c r="BX1857" s="10"/>
      <c r="BY1857" s="23"/>
      <c r="BZ1857" s="23"/>
      <c r="CA1857" s="19" t="s">
        <v>14093</v>
      </c>
      <c r="CB1857" s="19" t="s">
        <v>14094</v>
      </c>
      <c r="CC1857" s="23"/>
      <c r="CD1857" s="23"/>
      <c r="CE1857" s="23"/>
      <c r="CF1857" s="23"/>
      <c r="CG1857" s="23"/>
      <c r="CH1857" s="23"/>
      <c r="CI1857" s="23"/>
    </row>
    <row r="1858" spans="1:87" x14ac:dyDescent="0.3">
      <c r="A1858" s="9" t="s">
        <v>14095</v>
      </c>
      <c r="B1858" s="10" t="s">
        <v>14096</v>
      </c>
      <c r="C1858" s="11">
        <v>45968.125</v>
      </c>
      <c r="D1858" s="12">
        <v>8.3333333333333329E-2</v>
      </c>
      <c r="E1858" s="11">
        <v>45968.208333333336</v>
      </c>
      <c r="F1858" s="10" t="s">
        <v>8609</v>
      </c>
      <c r="G1858" s="13" t="b">
        <v>0</v>
      </c>
      <c r="H1858" s="10" t="s">
        <v>5239</v>
      </c>
      <c r="I1858" s="10" t="s">
        <v>89</v>
      </c>
      <c r="J1858" s="13" t="b">
        <v>0</v>
      </c>
      <c r="K1858" s="13" t="b">
        <v>1</v>
      </c>
      <c r="L1858" s="10" t="s">
        <v>124</v>
      </c>
      <c r="M1858" s="10" t="s">
        <v>91</v>
      </c>
      <c r="N1858" s="10" t="s">
        <v>92</v>
      </c>
      <c r="O1858" s="19" t="s">
        <v>14097</v>
      </c>
      <c r="P1858" s="10"/>
      <c r="Q1858" s="10" t="s">
        <v>94</v>
      </c>
      <c r="R1858" s="10"/>
      <c r="S1858" s="19" t="s">
        <v>14098</v>
      </c>
      <c r="T1858" s="19" t="s">
        <v>13960</v>
      </c>
      <c r="U1858" s="10" t="s">
        <v>13716</v>
      </c>
      <c r="V1858" s="10" t="s">
        <v>13666</v>
      </c>
      <c r="W1858" s="10" t="s">
        <v>8613</v>
      </c>
      <c r="X1858" s="10" t="s">
        <v>130</v>
      </c>
      <c r="Y1858" s="10" t="s">
        <v>130</v>
      </c>
      <c r="Z1858" s="10" t="s">
        <v>99</v>
      </c>
      <c r="AA1858" s="10" t="s">
        <v>131</v>
      </c>
      <c r="AB1858" s="10" t="s">
        <v>8614</v>
      </c>
      <c r="AC1858" s="10" t="s">
        <v>3571</v>
      </c>
      <c r="AD1858" s="10" t="s">
        <v>14099</v>
      </c>
      <c r="AE1858" s="10" t="s">
        <v>14100</v>
      </c>
      <c r="AF1858" s="15"/>
      <c r="AG1858" s="10"/>
      <c r="AH1858" s="10"/>
      <c r="AI1858" s="10"/>
      <c r="AJ1858" s="10"/>
      <c r="AK1858" s="10" t="s">
        <v>102</v>
      </c>
      <c r="AL1858" s="10" t="s">
        <v>7897</v>
      </c>
      <c r="AM1858" s="10"/>
      <c r="AN1858" s="10"/>
      <c r="AO1858" s="13" t="b">
        <v>0</v>
      </c>
      <c r="AP1858" s="10" t="s">
        <v>104</v>
      </c>
      <c r="AQ1858" s="10">
        <f ca="1">IFERROR(__xludf.DUMMYFUNCTION("""COMPUTED_VALUE"""),4700070)</f>
        <v>4700070</v>
      </c>
      <c r="AR1858" s="17">
        <v>340</v>
      </c>
      <c r="AS1858" s="17">
        <v>277</v>
      </c>
      <c r="AT1858" s="17">
        <v>1524.5</v>
      </c>
      <c r="AU1858" s="17">
        <v>0</v>
      </c>
      <c r="AV1858" s="17">
        <v>0</v>
      </c>
      <c r="AW1858" s="10" t="s">
        <v>105</v>
      </c>
      <c r="AX1858" s="17">
        <v>112</v>
      </c>
      <c r="AY1858" s="18">
        <v>5.5036101083032491</v>
      </c>
      <c r="AZ1858" s="10"/>
      <c r="BA1858" s="20" t="b">
        <v>0</v>
      </c>
      <c r="BB1858" s="10"/>
      <c r="BC1858" s="17">
        <v>340</v>
      </c>
      <c r="BD1858" s="17">
        <v>277</v>
      </c>
      <c r="BE1858" s="17">
        <v>1524.5</v>
      </c>
      <c r="BF1858" s="17">
        <v>0</v>
      </c>
      <c r="BG1858" s="11">
        <f ca="1">IFERROR(__xludf.DUMMYFUNCTION("""COMPUTED_VALUE"""),45968.125)</f>
        <v>45968.125</v>
      </c>
      <c r="BH1858" s="17" t="s">
        <v>105</v>
      </c>
      <c r="BI1858" s="17"/>
      <c r="BJ1858" s="15"/>
      <c r="BK1858" s="15"/>
      <c r="BL1858" s="13" t="b">
        <v>0</v>
      </c>
      <c r="BM1858" s="10"/>
      <c r="BN1858" s="10" t="s">
        <v>197</v>
      </c>
      <c r="BO1858" s="11">
        <v>45904.326388888891</v>
      </c>
      <c r="BP1858" s="11">
        <v>45957.743379629632</v>
      </c>
      <c r="BQ1858" s="15">
        <v>45960.393564814818</v>
      </c>
      <c r="BR1858" s="15">
        <v>45965.100949074076</v>
      </c>
      <c r="BS1858" s="10" t="s">
        <v>197</v>
      </c>
      <c r="BT1858" s="10" t="s">
        <v>99</v>
      </c>
      <c r="BU1858" s="10" t="s">
        <v>1286</v>
      </c>
      <c r="BV1858" s="10"/>
      <c r="BW1858" s="10"/>
      <c r="BX1858" s="10"/>
      <c r="BY1858" s="23"/>
      <c r="BZ1858" s="23"/>
      <c r="CA1858" s="19" t="s">
        <v>14101</v>
      </c>
      <c r="CB1858" s="19" t="s">
        <v>14102</v>
      </c>
      <c r="CC1858" s="23"/>
      <c r="CD1858" s="23"/>
      <c r="CE1858" s="23"/>
      <c r="CF1858" s="23"/>
      <c r="CG1858" s="23"/>
      <c r="CH1858" s="23"/>
      <c r="CI1858" s="23"/>
    </row>
    <row r="1859" spans="1:87" x14ac:dyDescent="0.3">
      <c r="A1859" s="25" t="s">
        <v>14103</v>
      </c>
      <c r="B1859" s="10" t="s">
        <v>14104</v>
      </c>
      <c r="C1859" s="11">
        <v>45989.03125</v>
      </c>
      <c r="D1859" s="12">
        <v>8.3333333333333329E-2</v>
      </c>
      <c r="E1859" s="11">
        <v>45989.114583333336</v>
      </c>
      <c r="F1859" s="10" t="s">
        <v>8609</v>
      </c>
      <c r="G1859" s="13" t="b">
        <v>0</v>
      </c>
      <c r="H1859" s="10" t="s">
        <v>5239</v>
      </c>
      <c r="I1859" s="10" t="s">
        <v>89</v>
      </c>
      <c r="J1859" s="13" t="b">
        <v>0</v>
      </c>
      <c r="K1859" s="13" t="b">
        <v>1</v>
      </c>
      <c r="L1859" s="10" t="s">
        <v>124</v>
      </c>
      <c r="M1859" s="10" t="s">
        <v>91</v>
      </c>
      <c r="N1859" s="10" t="s">
        <v>92</v>
      </c>
      <c r="O1859" s="19" t="s">
        <v>14105</v>
      </c>
      <c r="P1859" s="10"/>
      <c r="Q1859" s="10" t="s">
        <v>94</v>
      </c>
      <c r="R1859" s="10"/>
      <c r="S1859" s="19" t="s">
        <v>14106</v>
      </c>
      <c r="T1859" s="19" t="s">
        <v>14107</v>
      </c>
      <c r="U1859" s="10" t="s">
        <v>13656</v>
      </c>
      <c r="V1859" s="10" t="s">
        <v>13747</v>
      </c>
      <c r="W1859" s="10" t="s">
        <v>8613</v>
      </c>
      <c r="X1859" s="10" t="s">
        <v>130</v>
      </c>
      <c r="Y1859" s="10" t="s">
        <v>130</v>
      </c>
      <c r="Z1859" s="10" t="s">
        <v>99</v>
      </c>
      <c r="AA1859" s="10" t="s">
        <v>131</v>
      </c>
      <c r="AB1859" s="10" t="s">
        <v>8614</v>
      </c>
      <c r="AC1859" s="10" t="s">
        <v>3571</v>
      </c>
      <c r="AD1859" s="10" t="s">
        <v>14108</v>
      </c>
      <c r="AE1859" s="10" t="s">
        <v>14109</v>
      </c>
      <c r="AF1859" s="15"/>
      <c r="AG1859" s="10"/>
      <c r="AH1859" s="10"/>
      <c r="AI1859" s="10"/>
      <c r="AJ1859" s="10"/>
      <c r="AK1859" s="10" t="s">
        <v>102</v>
      </c>
      <c r="AL1859" s="10" t="s">
        <v>7897</v>
      </c>
      <c r="AM1859" s="10"/>
      <c r="AN1859" s="10"/>
      <c r="AO1859" s="13" t="b">
        <v>0</v>
      </c>
      <c r="AP1859" s="10" t="s">
        <v>104</v>
      </c>
      <c r="AQ1859" s="10">
        <f ca="1">IFERROR(__xludf.DUMMYFUNCTION("""COMPUTED_VALUE"""),4734902)</f>
        <v>4734902</v>
      </c>
      <c r="AR1859" s="17">
        <v>191</v>
      </c>
      <c r="AS1859" s="17">
        <v>155</v>
      </c>
      <c r="AT1859" s="17">
        <v>616.75</v>
      </c>
      <c r="AU1859" s="17">
        <v>0</v>
      </c>
      <c r="AV1859" s="17">
        <v>0</v>
      </c>
      <c r="AW1859" s="10" t="s">
        <v>105</v>
      </c>
      <c r="AX1859" s="17">
        <v>23</v>
      </c>
      <c r="AY1859" s="18">
        <v>3.9790322580645161</v>
      </c>
      <c r="AZ1859" s="10"/>
      <c r="BA1859" s="20" t="b">
        <v>0</v>
      </c>
      <c r="BB1859" s="10"/>
      <c r="BC1859" s="17">
        <v>191</v>
      </c>
      <c r="BD1859" s="17">
        <v>155</v>
      </c>
      <c r="BE1859" s="17">
        <v>616.75</v>
      </c>
      <c r="BF1859" s="17">
        <v>0</v>
      </c>
      <c r="BG1859" s="11">
        <f ca="1">IFERROR(__xludf.DUMMYFUNCTION("""COMPUTED_VALUE"""),45989.03125)</f>
        <v>45989.03125</v>
      </c>
      <c r="BH1859" s="17" t="s">
        <v>105</v>
      </c>
      <c r="BI1859" s="17"/>
      <c r="BJ1859" s="15"/>
      <c r="BK1859" s="15"/>
      <c r="BL1859" s="13" t="b">
        <v>0</v>
      </c>
      <c r="BM1859" s="10"/>
      <c r="BN1859" s="10" t="s">
        <v>157</v>
      </c>
      <c r="BO1859" s="11">
        <v>45904.326388888891</v>
      </c>
      <c r="BP1859" s="11">
        <v>45978.624791666669</v>
      </c>
      <c r="BQ1859" s="15">
        <v>45985.779768518521</v>
      </c>
      <c r="BR1859" s="15">
        <v>45986.431574074071</v>
      </c>
      <c r="BS1859" s="10" t="s">
        <v>157</v>
      </c>
      <c r="BT1859" s="10" t="s">
        <v>99</v>
      </c>
      <c r="BU1859" s="10" t="s">
        <v>5854</v>
      </c>
      <c r="BV1859" s="10"/>
      <c r="BW1859" s="10"/>
      <c r="BX1859" s="10"/>
      <c r="BY1859" s="23"/>
      <c r="BZ1859" s="23"/>
      <c r="CA1859" s="19" t="s">
        <v>14110</v>
      </c>
      <c r="CB1859" s="19" t="s">
        <v>14111</v>
      </c>
      <c r="CC1859" s="23"/>
      <c r="CD1859" s="23"/>
      <c r="CE1859" s="23"/>
      <c r="CF1859" s="23"/>
      <c r="CG1859" s="23"/>
      <c r="CH1859" s="23"/>
      <c r="CI1859" s="23"/>
    </row>
    <row r="1860" spans="1:87" x14ac:dyDescent="0.3">
      <c r="A1860" s="9" t="s">
        <v>14112</v>
      </c>
      <c r="B1860" s="10" t="s">
        <v>14113</v>
      </c>
      <c r="C1860" s="11">
        <v>45989.03125</v>
      </c>
      <c r="D1860" s="12">
        <v>8.3333333333333329E-2</v>
      </c>
      <c r="E1860" s="11">
        <v>45989.114583333336</v>
      </c>
      <c r="F1860" s="10" t="s">
        <v>8609</v>
      </c>
      <c r="G1860" s="13" t="b">
        <v>0</v>
      </c>
      <c r="H1860" s="10" t="s">
        <v>5239</v>
      </c>
      <c r="I1860" s="10" t="s">
        <v>89</v>
      </c>
      <c r="J1860" s="13" t="b">
        <v>0</v>
      </c>
      <c r="K1860" s="13" t="b">
        <v>1</v>
      </c>
      <c r="L1860" s="10" t="s">
        <v>124</v>
      </c>
      <c r="M1860" s="10" t="s">
        <v>91</v>
      </c>
      <c r="N1860" s="10" t="s">
        <v>92</v>
      </c>
      <c r="O1860" s="19" t="s">
        <v>14114</v>
      </c>
      <c r="P1860" s="10"/>
      <c r="Q1860" s="10" t="s">
        <v>94</v>
      </c>
      <c r="R1860" s="10"/>
      <c r="S1860" s="19" t="s">
        <v>14115</v>
      </c>
      <c r="T1860" s="19" t="s">
        <v>14107</v>
      </c>
      <c r="U1860" s="10" t="s">
        <v>13646</v>
      </c>
      <c r="V1860" s="10" t="s">
        <v>13716</v>
      </c>
      <c r="W1860" s="10" t="s">
        <v>8613</v>
      </c>
      <c r="X1860" s="10" t="s">
        <v>130</v>
      </c>
      <c r="Y1860" s="10" t="s">
        <v>130</v>
      </c>
      <c r="Z1860" s="10" t="s">
        <v>99</v>
      </c>
      <c r="AA1860" s="10" t="s">
        <v>131</v>
      </c>
      <c r="AB1860" s="10" t="s">
        <v>8614</v>
      </c>
      <c r="AC1860" s="10" t="s">
        <v>3571</v>
      </c>
      <c r="AD1860" s="10" t="s">
        <v>14116</v>
      </c>
      <c r="AE1860" s="10" t="s">
        <v>14117</v>
      </c>
      <c r="AF1860" s="15"/>
      <c r="AG1860" s="10"/>
      <c r="AH1860" s="10"/>
      <c r="AI1860" s="10"/>
      <c r="AJ1860" s="10"/>
      <c r="AK1860" s="10" t="s">
        <v>102</v>
      </c>
      <c r="AL1860" s="10" t="s">
        <v>7897</v>
      </c>
      <c r="AM1860" s="10"/>
      <c r="AN1860" s="10"/>
      <c r="AO1860" s="13" t="b">
        <v>0</v>
      </c>
      <c r="AP1860" s="10" t="s">
        <v>104</v>
      </c>
      <c r="AQ1860" s="10">
        <f ca="1">IFERROR(__xludf.DUMMYFUNCTION("""COMPUTED_VALUE"""),4734889)</f>
        <v>4734889</v>
      </c>
      <c r="AR1860" s="17">
        <v>222</v>
      </c>
      <c r="AS1860" s="17">
        <v>180</v>
      </c>
      <c r="AT1860" s="17">
        <v>1141.75</v>
      </c>
      <c r="AU1860" s="17">
        <v>0</v>
      </c>
      <c r="AV1860" s="17">
        <v>0</v>
      </c>
      <c r="AW1860" s="10" t="s">
        <v>105</v>
      </c>
      <c r="AX1860" s="17">
        <v>39</v>
      </c>
      <c r="AY1860" s="18">
        <v>6.3430555555555559</v>
      </c>
      <c r="AZ1860" s="10"/>
      <c r="BA1860" s="20" t="b">
        <v>0</v>
      </c>
      <c r="BB1860" s="10"/>
      <c r="BC1860" s="17">
        <v>222</v>
      </c>
      <c r="BD1860" s="17">
        <v>180</v>
      </c>
      <c r="BE1860" s="17">
        <v>1141.75</v>
      </c>
      <c r="BF1860" s="17">
        <v>0</v>
      </c>
      <c r="BG1860" s="11">
        <f ca="1">IFERROR(__xludf.DUMMYFUNCTION("""COMPUTED_VALUE"""),45989.03125)</f>
        <v>45989.03125</v>
      </c>
      <c r="BH1860" s="17" t="s">
        <v>105</v>
      </c>
      <c r="BI1860" s="17"/>
      <c r="BJ1860" s="15"/>
      <c r="BK1860" s="15"/>
      <c r="BL1860" s="13" t="b">
        <v>0</v>
      </c>
      <c r="BM1860" s="10"/>
      <c r="BN1860" s="10" t="s">
        <v>157</v>
      </c>
      <c r="BO1860" s="11">
        <v>45904.326388888891</v>
      </c>
      <c r="BP1860" s="11">
        <v>45978.624895833331</v>
      </c>
      <c r="BQ1860" s="15">
        <v>45985.779548611114</v>
      </c>
      <c r="BR1860" s="15">
        <v>45986.429814814815</v>
      </c>
      <c r="BS1860" s="10" t="s">
        <v>157</v>
      </c>
      <c r="BT1860" s="10" t="s">
        <v>99</v>
      </c>
      <c r="BU1860" s="10" t="s">
        <v>1264</v>
      </c>
      <c r="BV1860" s="10"/>
      <c r="BW1860" s="10"/>
      <c r="BX1860" s="10"/>
      <c r="BY1860" s="23"/>
      <c r="BZ1860" s="23"/>
      <c r="CA1860" s="19" t="s">
        <v>14118</v>
      </c>
      <c r="CB1860" s="19" t="s">
        <v>14119</v>
      </c>
      <c r="CC1860" s="23"/>
      <c r="CD1860" s="23"/>
      <c r="CE1860" s="23"/>
      <c r="CF1860" s="23"/>
      <c r="CG1860" s="23"/>
      <c r="CH1860" s="23"/>
      <c r="CI1860" s="23"/>
    </row>
    <row r="1861" spans="1:87" x14ac:dyDescent="0.3">
      <c r="A1861" s="9" t="s">
        <v>14120</v>
      </c>
      <c r="B1861" s="10" t="s">
        <v>14121</v>
      </c>
      <c r="C1861" s="11">
        <v>45989.03125</v>
      </c>
      <c r="D1861" s="12">
        <v>8.3333333333333329E-2</v>
      </c>
      <c r="E1861" s="11">
        <v>45989.114583333336</v>
      </c>
      <c r="F1861" s="10" t="s">
        <v>8609</v>
      </c>
      <c r="G1861" s="13" t="b">
        <v>0</v>
      </c>
      <c r="H1861" s="10" t="s">
        <v>5239</v>
      </c>
      <c r="I1861" s="10" t="s">
        <v>89</v>
      </c>
      <c r="J1861" s="13" t="b">
        <v>0</v>
      </c>
      <c r="K1861" s="13" t="b">
        <v>1</v>
      </c>
      <c r="L1861" s="10" t="s">
        <v>124</v>
      </c>
      <c r="M1861" s="10" t="s">
        <v>91</v>
      </c>
      <c r="N1861" s="10" t="s">
        <v>92</v>
      </c>
      <c r="O1861" s="19" t="s">
        <v>14122</v>
      </c>
      <c r="P1861" s="10"/>
      <c r="Q1861" s="10" t="s">
        <v>94</v>
      </c>
      <c r="R1861" s="10"/>
      <c r="S1861" s="19" t="s">
        <v>14123</v>
      </c>
      <c r="T1861" s="19" t="s">
        <v>14107</v>
      </c>
      <c r="U1861" s="10" t="s">
        <v>3727</v>
      </c>
      <c r="V1861" s="10" t="s">
        <v>13746</v>
      </c>
      <c r="W1861" s="10" t="s">
        <v>8613</v>
      </c>
      <c r="X1861" s="10" t="s">
        <v>130</v>
      </c>
      <c r="Y1861" s="10" t="s">
        <v>130</v>
      </c>
      <c r="Z1861" s="10" t="s">
        <v>99</v>
      </c>
      <c r="AA1861" s="10" t="s">
        <v>131</v>
      </c>
      <c r="AB1861" s="10" t="s">
        <v>8614</v>
      </c>
      <c r="AC1861" s="10" t="s">
        <v>3571</v>
      </c>
      <c r="AD1861" s="10" t="s">
        <v>14124</v>
      </c>
      <c r="AE1861" s="10" t="s">
        <v>14125</v>
      </c>
      <c r="AF1861" s="15"/>
      <c r="AG1861" s="10"/>
      <c r="AH1861" s="10"/>
      <c r="AI1861" s="10"/>
      <c r="AJ1861" s="10"/>
      <c r="AK1861" s="10" t="s">
        <v>102</v>
      </c>
      <c r="AL1861" s="10" t="s">
        <v>7897</v>
      </c>
      <c r="AM1861" s="10"/>
      <c r="AN1861" s="10"/>
      <c r="AO1861" s="13" t="b">
        <v>0</v>
      </c>
      <c r="AP1861" s="10" t="s">
        <v>104</v>
      </c>
      <c r="AQ1861" s="10">
        <f ca="1">IFERROR(__xludf.DUMMYFUNCTION("""COMPUTED_VALUE"""),4734885)</f>
        <v>4734885</v>
      </c>
      <c r="AR1861" s="17">
        <v>674</v>
      </c>
      <c r="AS1861" s="17">
        <v>514</v>
      </c>
      <c r="AT1861" s="17">
        <v>6664.5</v>
      </c>
      <c r="AU1861" s="17">
        <v>0.9</v>
      </c>
      <c r="AV1861" s="17">
        <v>0</v>
      </c>
      <c r="AW1861" s="10" t="s">
        <v>105</v>
      </c>
      <c r="AX1861" s="17">
        <v>109</v>
      </c>
      <c r="AY1861" s="18">
        <v>12.965953307392995</v>
      </c>
      <c r="AZ1861" s="10"/>
      <c r="BA1861" s="20" t="b">
        <v>0</v>
      </c>
      <c r="BB1861" s="10"/>
      <c r="BC1861" s="17">
        <v>674</v>
      </c>
      <c r="BD1861" s="17">
        <v>514</v>
      </c>
      <c r="BE1861" s="17">
        <v>6664.5</v>
      </c>
      <c r="BF1861" s="17">
        <v>0</v>
      </c>
      <c r="BG1861" s="11">
        <f ca="1">IFERROR(__xludf.DUMMYFUNCTION("""COMPUTED_VALUE"""),45989.03125)</f>
        <v>45989.03125</v>
      </c>
      <c r="BH1861" s="17" t="s">
        <v>105</v>
      </c>
      <c r="BI1861" s="17"/>
      <c r="BJ1861" s="15"/>
      <c r="BK1861" s="15"/>
      <c r="BL1861" s="13" t="b">
        <v>0</v>
      </c>
      <c r="BM1861" s="10"/>
      <c r="BN1861" s="10" t="s">
        <v>157</v>
      </c>
      <c r="BO1861" s="11">
        <v>45904.326388888891</v>
      </c>
      <c r="BP1861" s="11">
        <v>45978.625</v>
      </c>
      <c r="BQ1861" s="15">
        <v>45985.779456018521</v>
      </c>
      <c r="BR1861" s="15">
        <v>45986.429351851853</v>
      </c>
      <c r="BS1861" s="10" t="s">
        <v>157</v>
      </c>
      <c r="BT1861" s="10" t="s">
        <v>99</v>
      </c>
      <c r="BU1861" s="10" t="s">
        <v>3394</v>
      </c>
      <c r="BV1861" s="10"/>
      <c r="BW1861" s="10"/>
      <c r="BX1861" s="10"/>
      <c r="BY1861" s="23"/>
      <c r="BZ1861" s="23"/>
      <c r="CA1861" s="19" t="s">
        <v>14126</v>
      </c>
      <c r="CB1861" s="19" t="s">
        <v>14127</v>
      </c>
      <c r="CC1861" s="23"/>
      <c r="CD1861" s="23"/>
      <c r="CE1861" s="23"/>
      <c r="CF1861" s="23"/>
      <c r="CG1861" s="23"/>
      <c r="CH1861" s="23"/>
      <c r="CI1861" s="23"/>
    </row>
    <row r="1862" spans="1:87" x14ac:dyDescent="0.3">
      <c r="A1862" s="9" t="s">
        <v>14128</v>
      </c>
      <c r="B1862" s="10" t="s">
        <v>14129</v>
      </c>
      <c r="C1862" s="11">
        <v>45989.03125</v>
      </c>
      <c r="D1862" s="12">
        <v>8.3333333333333329E-2</v>
      </c>
      <c r="E1862" s="11">
        <v>45989.114583333336</v>
      </c>
      <c r="F1862" s="10" t="s">
        <v>8609</v>
      </c>
      <c r="G1862" s="13" t="b">
        <v>0</v>
      </c>
      <c r="H1862" s="10" t="s">
        <v>5239</v>
      </c>
      <c r="I1862" s="10" t="s">
        <v>89</v>
      </c>
      <c r="J1862" s="13" t="b">
        <v>0</v>
      </c>
      <c r="K1862" s="13" t="b">
        <v>1</v>
      </c>
      <c r="L1862" s="10" t="s">
        <v>124</v>
      </c>
      <c r="M1862" s="10" t="s">
        <v>91</v>
      </c>
      <c r="N1862" s="10" t="s">
        <v>92</v>
      </c>
      <c r="O1862" s="19" t="s">
        <v>14130</v>
      </c>
      <c r="P1862" s="10"/>
      <c r="Q1862" s="10" t="s">
        <v>94</v>
      </c>
      <c r="R1862" s="10"/>
      <c r="S1862" s="19" t="s">
        <v>14131</v>
      </c>
      <c r="T1862" s="19" t="s">
        <v>14107</v>
      </c>
      <c r="U1862" s="10" t="s">
        <v>13736</v>
      </c>
      <c r="V1862" s="10" t="s">
        <v>13647</v>
      </c>
      <c r="W1862" s="10" t="s">
        <v>8613</v>
      </c>
      <c r="X1862" s="10" t="s">
        <v>130</v>
      </c>
      <c r="Y1862" s="10" t="s">
        <v>130</v>
      </c>
      <c r="Z1862" s="10" t="s">
        <v>99</v>
      </c>
      <c r="AA1862" s="10" t="s">
        <v>131</v>
      </c>
      <c r="AB1862" s="10" t="s">
        <v>8614</v>
      </c>
      <c r="AC1862" s="10" t="s">
        <v>3571</v>
      </c>
      <c r="AD1862" s="10" t="s">
        <v>14132</v>
      </c>
      <c r="AE1862" s="10" t="s">
        <v>14133</v>
      </c>
      <c r="AF1862" s="15"/>
      <c r="AG1862" s="10"/>
      <c r="AH1862" s="10"/>
      <c r="AI1862" s="10"/>
      <c r="AJ1862" s="10"/>
      <c r="AK1862" s="10" t="s">
        <v>102</v>
      </c>
      <c r="AL1862" s="10" t="s">
        <v>7897</v>
      </c>
      <c r="AM1862" s="10"/>
      <c r="AN1862" s="10"/>
      <c r="AO1862" s="13" t="b">
        <v>0</v>
      </c>
      <c r="AP1862" s="10" t="s">
        <v>104</v>
      </c>
      <c r="AQ1862" s="10">
        <f ca="1">IFERROR(__xludf.DUMMYFUNCTION("""COMPUTED_VALUE"""),4734893)</f>
        <v>4734893</v>
      </c>
      <c r="AR1862" s="17">
        <v>132</v>
      </c>
      <c r="AS1862" s="17">
        <v>116</v>
      </c>
      <c r="AT1862" s="17">
        <v>263.75</v>
      </c>
      <c r="AU1862" s="17">
        <v>0</v>
      </c>
      <c r="AV1862" s="17">
        <v>0</v>
      </c>
      <c r="AW1862" s="10" t="s">
        <v>105</v>
      </c>
      <c r="AX1862" s="17">
        <v>15</v>
      </c>
      <c r="AY1862" s="18">
        <v>2.2737068965517242</v>
      </c>
      <c r="AZ1862" s="10"/>
      <c r="BA1862" s="20" t="b">
        <v>0</v>
      </c>
      <c r="BB1862" s="10"/>
      <c r="BC1862" s="17">
        <v>132</v>
      </c>
      <c r="BD1862" s="17">
        <v>116</v>
      </c>
      <c r="BE1862" s="17">
        <v>263.75</v>
      </c>
      <c r="BF1862" s="17">
        <v>0</v>
      </c>
      <c r="BG1862" s="11">
        <f ca="1">IFERROR(__xludf.DUMMYFUNCTION("""COMPUTED_VALUE"""),45989.03125)</f>
        <v>45989.03125</v>
      </c>
      <c r="BH1862" s="17" t="s">
        <v>105</v>
      </c>
      <c r="BI1862" s="17"/>
      <c r="BJ1862" s="15"/>
      <c r="BK1862" s="15"/>
      <c r="BL1862" s="13" t="b">
        <v>0</v>
      </c>
      <c r="BM1862" s="10"/>
      <c r="BN1862" s="10" t="s">
        <v>157</v>
      </c>
      <c r="BO1862" s="11">
        <v>45904.326388888891</v>
      </c>
      <c r="BP1862" s="11">
        <v>45978.625219907408</v>
      </c>
      <c r="BQ1862" s="15">
        <v>45985.779641203706</v>
      </c>
      <c r="BR1862" s="15">
        <v>45986.430590277778</v>
      </c>
      <c r="BS1862" s="10" t="s">
        <v>157</v>
      </c>
      <c r="BT1862" s="10" t="s">
        <v>99</v>
      </c>
      <c r="BU1862" s="10" t="s">
        <v>6409</v>
      </c>
      <c r="BV1862" s="10"/>
      <c r="BW1862" s="10"/>
      <c r="BX1862" s="10"/>
      <c r="BY1862" s="23"/>
      <c r="BZ1862" s="23"/>
      <c r="CA1862" s="19" t="s">
        <v>14134</v>
      </c>
      <c r="CB1862" s="19" t="s">
        <v>14135</v>
      </c>
      <c r="CC1862" s="23"/>
      <c r="CD1862" s="23"/>
      <c r="CE1862" s="23"/>
      <c r="CF1862" s="23"/>
      <c r="CG1862" s="23"/>
      <c r="CH1862" s="23"/>
      <c r="CI1862" s="23"/>
    </row>
    <row r="1863" spans="1:87" x14ac:dyDescent="0.3">
      <c r="A1863" s="9" t="s">
        <v>14136</v>
      </c>
      <c r="B1863" s="10" t="s">
        <v>14137</v>
      </c>
      <c r="C1863" s="11">
        <v>45989.03125</v>
      </c>
      <c r="D1863" s="12">
        <v>8.3333333333333329E-2</v>
      </c>
      <c r="E1863" s="11">
        <v>45989.114583333336</v>
      </c>
      <c r="F1863" s="10" t="s">
        <v>8609</v>
      </c>
      <c r="G1863" s="13" t="b">
        <v>0</v>
      </c>
      <c r="H1863" s="10" t="s">
        <v>5239</v>
      </c>
      <c r="I1863" s="10" t="s">
        <v>89</v>
      </c>
      <c r="J1863" s="13" t="b">
        <v>0</v>
      </c>
      <c r="K1863" s="13" t="b">
        <v>1</v>
      </c>
      <c r="L1863" s="10" t="s">
        <v>124</v>
      </c>
      <c r="M1863" s="10" t="s">
        <v>91</v>
      </c>
      <c r="N1863" s="10" t="s">
        <v>92</v>
      </c>
      <c r="O1863" s="19" t="s">
        <v>14138</v>
      </c>
      <c r="P1863" s="10"/>
      <c r="Q1863" s="10" t="s">
        <v>94</v>
      </c>
      <c r="R1863" s="10"/>
      <c r="S1863" s="19" t="s">
        <v>14139</v>
      </c>
      <c r="T1863" s="19" t="s">
        <v>14107</v>
      </c>
      <c r="U1863" s="10" t="s">
        <v>7812</v>
      </c>
      <c r="V1863" s="10" t="s">
        <v>5006</v>
      </c>
      <c r="W1863" s="10" t="s">
        <v>8613</v>
      </c>
      <c r="X1863" s="10" t="s">
        <v>130</v>
      </c>
      <c r="Y1863" s="10" t="s">
        <v>130</v>
      </c>
      <c r="Z1863" s="10" t="s">
        <v>99</v>
      </c>
      <c r="AA1863" s="10" t="s">
        <v>131</v>
      </c>
      <c r="AB1863" s="10" t="s">
        <v>8614</v>
      </c>
      <c r="AC1863" s="10" t="s">
        <v>3571</v>
      </c>
      <c r="AD1863" s="10" t="s">
        <v>14140</v>
      </c>
      <c r="AE1863" s="10" t="s">
        <v>14141</v>
      </c>
      <c r="AF1863" s="15"/>
      <c r="AG1863" s="10"/>
      <c r="AH1863" s="10"/>
      <c r="AI1863" s="10"/>
      <c r="AJ1863" s="10"/>
      <c r="AK1863" s="10" t="s">
        <v>102</v>
      </c>
      <c r="AL1863" s="10" t="s">
        <v>7897</v>
      </c>
      <c r="AM1863" s="10"/>
      <c r="AN1863" s="10"/>
      <c r="AO1863" s="13" t="b">
        <v>0</v>
      </c>
      <c r="AP1863" s="10" t="s">
        <v>104</v>
      </c>
      <c r="AQ1863" s="10">
        <f ca="1">IFERROR(__xludf.DUMMYFUNCTION("""COMPUTED_VALUE"""),4734898)</f>
        <v>4734898</v>
      </c>
      <c r="AR1863" s="17">
        <v>405</v>
      </c>
      <c r="AS1863" s="17">
        <v>311</v>
      </c>
      <c r="AT1863" s="17">
        <v>1527.5</v>
      </c>
      <c r="AU1863" s="17">
        <v>0</v>
      </c>
      <c r="AV1863" s="17">
        <v>0</v>
      </c>
      <c r="AW1863" s="10" t="s">
        <v>105</v>
      </c>
      <c r="AX1863" s="17">
        <v>51</v>
      </c>
      <c r="AY1863" s="18">
        <v>4.911575562700965</v>
      </c>
      <c r="AZ1863" s="10"/>
      <c r="BA1863" s="20" t="b">
        <v>0</v>
      </c>
      <c r="BB1863" s="10"/>
      <c r="BC1863" s="17">
        <v>405</v>
      </c>
      <c r="BD1863" s="17">
        <v>311</v>
      </c>
      <c r="BE1863" s="17">
        <v>1527.5</v>
      </c>
      <c r="BF1863" s="17">
        <v>0</v>
      </c>
      <c r="BG1863" s="11">
        <f ca="1">IFERROR(__xludf.DUMMYFUNCTION("""COMPUTED_VALUE"""),45989.03125)</f>
        <v>45989.03125</v>
      </c>
      <c r="BH1863" s="17" t="s">
        <v>105</v>
      </c>
      <c r="BI1863" s="17"/>
      <c r="BJ1863" s="15"/>
      <c r="BK1863" s="15"/>
      <c r="BL1863" s="13" t="b">
        <v>0</v>
      </c>
      <c r="BM1863" s="10"/>
      <c r="BN1863" s="10" t="s">
        <v>157</v>
      </c>
      <c r="BO1863" s="11">
        <v>45904.326388888891</v>
      </c>
      <c r="BP1863" s="11">
        <v>45978.625324074077</v>
      </c>
      <c r="BQ1863" s="15">
        <v>45985.779722222222</v>
      </c>
      <c r="BR1863" s="15">
        <v>45986.431168981479</v>
      </c>
      <c r="BS1863" s="10" t="s">
        <v>157</v>
      </c>
      <c r="BT1863" s="10" t="s">
        <v>99</v>
      </c>
      <c r="BU1863" s="10" t="s">
        <v>9200</v>
      </c>
      <c r="BV1863" s="10"/>
      <c r="BW1863" s="10"/>
      <c r="BX1863" s="10"/>
      <c r="BY1863" s="23"/>
      <c r="BZ1863" s="23"/>
      <c r="CA1863" s="19" t="s">
        <v>14142</v>
      </c>
      <c r="CB1863" s="19" t="s">
        <v>14143</v>
      </c>
      <c r="CC1863" s="23"/>
      <c r="CD1863" s="23"/>
      <c r="CE1863" s="23"/>
      <c r="CF1863" s="23"/>
      <c r="CG1863" s="23"/>
      <c r="CH1863" s="23"/>
      <c r="CI1863" s="23"/>
    </row>
    <row r="1864" spans="1:87" x14ac:dyDescent="0.3">
      <c r="A1864" s="9" t="s">
        <v>14144</v>
      </c>
      <c r="B1864" s="10" t="s">
        <v>14145</v>
      </c>
      <c r="C1864" s="11">
        <v>45989.03125</v>
      </c>
      <c r="D1864" s="12">
        <v>8.3333333333333329E-2</v>
      </c>
      <c r="E1864" s="11">
        <v>45989.114583333336</v>
      </c>
      <c r="F1864" s="10" t="s">
        <v>8609</v>
      </c>
      <c r="G1864" s="13" t="b">
        <v>0</v>
      </c>
      <c r="H1864" s="10" t="s">
        <v>5239</v>
      </c>
      <c r="I1864" s="10" t="s">
        <v>89</v>
      </c>
      <c r="J1864" s="13" t="b">
        <v>0</v>
      </c>
      <c r="K1864" s="13" t="b">
        <v>1</v>
      </c>
      <c r="L1864" s="10" t="s">
        <v>124</v>
      </c>
      <c r="M1864" s="10" t="s">
        <v>91</v>
      </c>
      <c r="N1864" s="10" t="s">
        <v>92</v>
      </c>
      <c r="O1864" s="19" t="s">
        <v>14146</v>
      </c>
      <c r="P1864" s="10"/>
      <c r="Q1864" s="10" t="s">
        <v>94</v>
      </c>
      <c r="R1864" s="10"/>
      <c r="S1864" s="19" t="s">
        <v>14147</v>
      </c>
      <c r="T1864" s="19" t="s">
        <v>14107</v>
      </c>
      <c r="U1864" s="10" t="s">
        <v>13756</v>
      </c>
      <c r="V1864" s="10" t="s">
        <v>13766</v>
      </c>
      <c r="W1864" s="10" t="s">
        <v>8613</v>
      </c>
      <c r="X1864" s="10" t="s">
        <v>130</v>
      </c>
      <c r="Y1864" s="10" t="s">
        <v>130</v>
      </c>
      <c r="Z1864" s="10" t="s">
        <v>99</v>
      </c>
      <c r="AA1864" s="10" t="s">
        <v>131</v>
      </c>
      <c r="AB1864" s="10" t="s">
        <v>8614</v>
      </c>
      <c r="AC1864" s="10" t="s">
        <v>3571</v>
      </c>
      <c r="AD1864" s="10" t="s">
        <v>14148</v>
      </c>
      <c r="AE1864" s="10" t="s">
        <v>14149</v>
      </c>
      <c r="AF1864" s="15"/>
      <c r="AG1864" s="10"/>
      <c r="AH1864" s="10"/>
      <c r="AI1864" s="10"/>
      <c r="AJ1864" s="10"/>
      <c r="AK1864" s="10" t="s">
        <v>102</v>
      </c>
      <c r="AL1864" s="10" t="s">
        <v>7897</v>
      </c>
      <c r="AM1864" s="10"/>
      <c r="AN1864" s="10"/>
      <c r="AO1864" s="13" t="b">
        <v>0</v>
      </c>
      <c r="AP1864" s="10" t="s">
        <v>104</v>
      </c>
      <c r="AQ1864" s="10">
        <f ca="1">IFERROR(__xludf.DUMMYFUNCTION("""COMPUTED_VALUE"""),4734895)</f>
        <v>4734895</v>
      </c>
      <c r="AR1864" s="17">
        <v>270</v>
      </c>
      <c r="AS1864" s="17">
        <v>225</v>
      </c>
      <c r="AT1864" s="17">
        <v>714.25</v>
      </c>
      <c r="AU1864" s="17">
        <v>0</v>
      </c>
      <c r="AV1864" s="17">
        <v>0</v>
      </c>
      <c r="AW1864" s="10" t="s">
        <v>105</v>
      </c>
      <c r="AX1864" s="17">
        <v>26</v>
      </c>
      <c r="AY1864" s="18">
        <v>3.1744444444444446</v>
      </c>
      <c r="AZ1864" s="10"/>
      <c r="BA1864" s="20" t="b">
        <v>0</v>
      </c>
      <c r="BB1864" s="10"/>
      <c r="BC1864" s="17">
        <v>270</v>
      </c>
      <c r="BD1864" s="17">
        <v>225</v>
      </c>
      <c r="BE1864" s="17">
        <v>714.25</v>
      </c>
      <c r="BF1864" s="17">
        <v>0</v>
      </c>
      <c r="BG1864" s="11">
        <f ca="1">IFERROR(__xludf.DUMMYFUNCTION("""COMPUTED_VALUE"""),45989.03125)</f>
        <v>45989.03125</v>
      </c>
      <c r="BH1864" s="17" t="s">
        <v>105</v>
      </c>
      <c r="BI1864" s="17"/>
      <c r="BJ1864" s="15"/>
      <c r="BK1864" s="15"/>
      <c r="BL1864" s="13" t="b">
        <v>0</v>
      </c>
      <c r="BM1864" s="10"/>
      <c r="BN1864" s="10" t="s">
        <v>157</v>
      </c>
      <c r="BO1864" s="11">
        <v>45904.326388888891</v>
      </c>
      <c r="BP1864" s="11">
        <v>45978.625439814816</v>
      </c>
      <c r="BQ1864" s="15">
        <v>45985.779687499999</v>
      </c>
      <c r="BR1864" s="15">
        <v>45986.43074074074</v>
      </c>
      <c r="BS1864" s="10" t="s">
        <v>157</v>
      </c>
      <c r="BT1864" s="10" t="s">
        <v>99</v>
      </c>
      <c r="BU1864" s="10" t="s">
        <v>1253</v>
      </c>
      <c r="BV1864" s="10"/>
      <c r="BW1864" s="10"/>
      <c r="BX1864" s="10"/>
      <c r="BY1864" s="23"/>
      <c r="BZ1864" s="23"/>
      <c r="CA1864" s="19" t="s">
        <v>14150</v>
      </c>
      <c r="CB1864" s="19" t="s">
        <v>14151</v>
      </c>
      <c r="CC1864" s="23"/>
      <c r="CD1864" s="23"/>
      <c r="CE1864" s="23"/>
      <c r="CF1864" s="23"/>
      <c r="CG1864" s="23"/>
      <c r="CH1864" s="23"/>
      <c r="CI1864" s="23"/>
    </row>
    <row r="1865" spans="1:87" x14ac:dyDescent="0.3">
      <c r="A1865" s="9" t="s">
        <v>14152</v>
      </c>
      <c r="B1865" s="10" t="s">
        <v>14153</v>
      </c>
      <c r="C1865" s="11">
        <v>45989.03125</v>
      </c>
      <c r="D1865" s="12">
        <v>8.3333333333333329E-2</v>
      </c>
      <c r="E1865" s="11">
        <v>45989.114583333336</v>
      </c>
      <c r="F1865" s="10" t="s">
        <v>8609</v>
      </c>
      <c r="G1865" s="13" t="b">
        <v>0</v>
      </c>
      <c r="H1865" s="10" t="s">
        <v>5239</v>
      </c>
      <c r="I1865" s="10" t="s">
        <v>89</v>
      </c>
      <c r="J1865" s="13" t="b">
        <v>0</v>
      </c>
      <c r="K1865" s="13" t="b">
        <v>1</v>
      </c>
      <c r="L1865" s="10" t="s">
        <v>124</v>
      </c>
      <c r="M1865" s="10" t="s">
        <v>91</v>
      </c>
      <c r="N1865" s="10" t="s">
        <v>92</v>
      </c>
      <c r="O1865" s="19" t="s">
        <v>14154</v>
      </c>
      <c r="P1865" s="10"/>
      <c r="Q1865" s="10" t="s">
        <v>94</v>
      </c>
      <c r="R1865" s="10"/>
      <c r="S1865" s="19" t="s">
        <v>14155</v>
      </c>
      <c r="T1865" s="19" t="s">
        <v>14107</v>
      </c>
      <c r="U1865" s="10" t="s">
        <v>13666</v>
      </c>
      <c r="V1865" s="10" t="s">
        <v>13706</v>
      </c>
      <c r="W1865" s="10" t="s">
        <v>8613</v>
      </c>
      <c r="X1865" s="10" t="s">
        <v>130</v>
      </c>
      <c r="Y1865" s="10" t="s">
        <v>130</v>
      </c>
      <c r="Z1865" s="10" t="s">
        <v>99</v>
      </c>
      <c r="AA1865" s="10" t="s">
        <v>131</v>
      </c>
      <c r="AB1865" s="10" t="s">
        <v>8614</v>
      </c>
      <c r="AC1865" s="10" t="s">
        <v>3571</v>
      </c>
      <c r="AD1865" s="10" t="s">
        <v>14156</v>
      </c>
      <c r="AE1865" s="10" t="s">
        <v>14157</v>
      </c>
      <c r="AF1865" s="15"/>
      <c r="AG1865" s="10"/>
      <c r="AH1865" s="10"/>
      <c r="AI1865" s="10"/>
      <c r="AJ1865" s="10"/>
      <c r="AK1865" s="10" t="s">
        <v>102</v>
      </c>
      <c r="AL1865" s="10" t="s">
        <v>7897</v>
      </c>
      <c r="AM1865" s="10"/>
      <c r="AN1865" s="10"/>
      <c r="AO1865" s="13" t="b">
        <v>0</v>
      </c>
      <c r="AP1865" s="10" t="s">
        <v>104</v>
      </c>
      <c r="AQ1865" s="10">
        <f ca="1">IFERROR(__xludf.DUMMYFUNCTION("""COMPUTED_VALUE"""),4734891)</f>
        <v>4734891</v>
      </c>
      <c r="AR1865" s="17">
        <v>650</v>
      </c>
      <c r="AS1865" s="17">
        <v>539</v>
      </c>
      <c r="AT1865" s="17">
        <v>2743.5</v>
      </c>
      <c r="AU1865" s="17">
        <v>0.85</v>
      </c>
      <c r="AV1865" s="17">
        <v>0</v>
      </c>
      <c r="AW1865" s="10" t="s">
        <v>105</v>
      </c>
      <c r="AX1865" s="17">
        <v>71</v>
      </c>
      <c r="AY1865" s="18">
        <v>5.0899814471243046</v>
      </c>
      <c r="AZ1865" s="10"/>
      <c r="BA1865" s="20" t="b">
        <v>0</v>
      </c>
      <c r="BB1865" s="10"/>
      <c r="BC1865" s="17">
        <v>650</v>
      </c>
      <c r="BD1865" s="17">
        <v>539</v>
      </c>
      <c r="BE1865" s="17">
        <v>2743.5</v>
      </c>
      <c r="BF1865" s="17">
        <v>0</v>
      </c>
      <c r="BG1865" s="11">
        <f ca="1">IFERROR(__xludf.DUMMYFUNCTION("""COMPUTED_VALUE"""),45989.03125)</f>
        <v>45989.03125</v>
      </c>
      <c r="BH1865" s="17" t="s">
        <v>105</v>
      </c>
      <c r="BI1865" s="17"/>
      <c r="BJ1865" s="15"/>
      <c r="BK1865" s="15"/>
      <c r="BL1865" s="13" t="b">
        <v>0</v>
      </c>
      <c r="BM1865" s="10"/>
      <c r="BN1865" s="10" t="s">
        <v>157</v>
      </c>
      <c r="BO1865" s="11">
        <v>45904.326388888891</v>
      </c>
      <c r="BP1865" s="11">
        <v>45978.625520833331</v>
      </c>
      <c r="BQ1865" s="15">
        <v>45985.779594907406</v>
      </c>
      <c r="BR1865" s="15">
        <v>45986.429988425924</v>
      </c>
      <c r="BS1865" s="10" t="s">
        <v>157</v>
      </c>
      <c r="BT1865" s="10" t="s">
        <v>99</v>
      </c>
      <c r="BU1865" s="10" t="s">
        <v>8057</v>
      </c>
      <c r="BV1865" s="10"/>
      <c r="BW1865" s="10"/>
      <c r="BX1865" s="10"/>
      <c r="BY1865" s="23"/>
      <c r="BZ1865" s="23"/>
      <c r="CA1865" s="19" t="s">
        <v>14158</v>
      </c>
      <c r="CB1865" s="19" t="s">
        <v>14159</v>
      </c>
      <c r="CC1865" s="23"/>
      <c r="CD1865" s="23"/>
      <c r="CE1865" s="23"/>
      <c r="CF1865" s="23"/>
      <c r="CG1865" s="23"/>
      <c r="CH1865" s="23"/>
      <c r="CI1865" s="23"/>
    </row>
    <row r="1866" spans="1:87" x14ac:dyDescent="0.3">
      <c r="A1866" s="9" t="s">
        <v>14160</v>
      </c>
      <c r="B1866" s="10" t="s">
        <v>14161</v>
      </c>
      <c r="C1866" s="11">
        <v>45989.03125</v>
      </c>
      <c r="D1866" s="12">
        <v>8.3333333333333329E-2</v>
      </c>
      <c r="E1866" s="11">
        <v>45989.114583333336</v>
      </c>
      <c r="F1866" s="10" t="s">
        <v>8609</v>
      </c>
      <c r="G1866" s="13" t="b">
        <v>0</v>
      </c>
      <c r="H1866" s="10" t="s">
        <v>5239</v>
      </c>
      <c r="I1866" s="10" t="s">
        <v>89</v>
      </c>
      <c r="J1866" s="13" t="b">
        <v>0</v>
      </c>
      <c r="K1866" s="13" t="b">
        <v>1</v>
      </c>
      <c r="L1866" s="10" t="s">
        <v>124</v>
      </c>
      <c r="M1866" s="10" t="s">
        <v>91</v>
      </c>
      <c r="N1866" s="10" t="s">
        <v>92</v>
      </c>
      <c r="O1866" s="19" t="s">
        <v>14162</v>
      </c>
      <c r="P1866" s="10"/>
      <c r="Q1866" s="10" t="s">
        <v>94</v>
      </c>
      <c r="R1866" s="10"/>
      <c r="S1866" s="19" t="s">
        <v>14163</v>
      </c>
      <c r="T1866" s="19" t="s">
        <v>14107</v>
      </c>
      <c r="U1866" s="10" t="s">
        <v>13687</v>
      </c>
      <c r="V1866" s="10" t="s">
        <v>13657</v>
      </c>
      <c r="W1866" s="10" t="s">
        <v>8613</v>
      </c>
      <c r="X1866" s="10" t="s">
        <v>130</v>
      </c>
      <c r="Y1866" s="10" t="s">
        <v>130</v>
      </c>
      <c r="Z1866" s="10" t="s">
        <v>99</v>
      </c>
      <c r="AA1866" s="10" t="s">
        <v>131</v>
      </c>
      <c r="AB1866" s="10" t="s">
        <v>8614</v>
      </c>
      <c r="AC1866" s="10" t="s">
        <v>3571</v>
      </c>
      <c r="AD1866" s="10" t="s">
        <v>14164</v>
      </c>
      <c r="AE1866" s="10" t="s">
        <v>14165</v>
      </c>
      <c r="AF1866" s="15"/>
      <c r="AG1866" s="10"/>
      <c r="AH1866" s="10"/>
      <c r="AI1866" s="10"/>
      <c r="AJ1866" s="10"/>
      <c r="AK1866" s="10" t="s">
        <v>102</v>
      </c>
      <c r="AL1866" s="10" t="s">
        <v>7897</v>
      </c>
      <c r="AM1866" s="10"/>
      <c r="AN1866" s="10"/>
      <c r="AO1866" s="13" t="b">
        <v>0</v>
      </c>
      <c r="AP1866" s="10" t="s">
        <v>104</v>
      </c>
      <c r="AQ1866" s="10">
        <f ca="1">IFERROR(__xludf.DUMMYFUNCTION("""COMPUTED_VALUE"""),4734887)</f>
        <v>4734887</v>
      </c>
      <c r="AR1866" s="17">
        <v>310</v>
      </c>
      <c r="AS1866" s="17">
        <v>249</v>
      </c>
      <c r="AT1866" s="17">
        <v>970</v>
      </c>
      <c r="AU1866" s="17">
        <v>0</v>
      </c>
      <c r="AV1866" s="17">
        <v>0</v>
      </c>
      <c r="AW1866" s="10" t="s">
        <v>105</v>
      </c>
      <c r="AX1866" s="17">
        <v>33</v>
      </c>
      <c r="AY1866" s="18">
        <v>3.8955823293172691</v>
      </c>
      <c r="AZ1866" s="10"/>
      <c r="BA1866" s="20" t="b">
        <v>0</v>
      </c>
      <c r="BB1866" s="10"/>
      <c r="BC1866" s="17">
        <v>310</v>
      </c>
      <c r="BD1866" s="17">
        <v>249</v>
      </c>
      <c r="BE1866" s="17">
        <v>970</v>
      </c>
      <c r="BF1866" s="17">
        <v>0</v>
      </c>
      <c r="BG1866" s="11">
        <f ca="1">IFERROR(__xludf.DUMMYFUNCTION("""COMPUTED_VALUE"""),45989.03125)</f>
        <v>45989.03125</v>
      </c>
      <c r="BH1866" s="17" t="s">
        <v>105</v>
      </c>
      <c r="BI1866" s="17"/>
      <c r="BJ1866" s="15"/>
      <c r="BK1866" s="15"/>
      <c r="BL1866" s="13" t="b">
        <v>0</v>
      </c>
      <c r="BM1866" s="10"/>
      <c r="BN1866" s="10" t="s">
        <v>157</v>
      </c>
      <c r="BO1866" s="11">
        <v>45904.326388888891</v>
      </c>
      <c r="BP1866" s="11">
        <v>45978.625590277778</v>
      </c>
      <c r="BQ1866" s="15">
        <v>45985.779502314814</v>
      </c>
      <c r="BR1866" s="15">
        <v>45986.429606481484</v>
      </c>
      <c r="BS1866" s="10" t="s">
        <v>157</v>
      </c>
      <c r="BT1866" s="10" t="s">
        <v>99</v>
      </c>
      <c r="BU1866" s="10" t="s">
        <v>5762</v>
      </c>
      <c r="BV1866" s="10"/>
      <c r="BW1866" s="10"/>
      <c r="BX1866" s="10"/>
      <c r="BY1866" s="23"/>
      <c r="BZ1866" s="23"/>
      <c r="CA1866" s="19" t="s">
        <v>14166</v>
      </c>
      <c r="CB1866" s="19" t="s">
        <v>14167</v>
      </c>
      <c r="CC1866" s="23"/>
      <c r="CD1866" s="23"/>
      <c r="CE1866" s="23"/>
      <c r="CF1866" s="23"/>
      <c r="CG1866" s="23"/>
      <c r="CH1866" s="23"/>
      <c r="CI1866" s="23"/>
    </row>
    <row r="1867" spans="1:87" x14ac:dyDescent="0.3">
      <c r="A1867" s="9" t="s">
        <v>14168</v>
      </c>
      <c r="B1867" s="10" t="s">
        <v>14169</v>
      </c>
      <c r="C1867" s="11">
        <v>45989.03125</v>
      </c>
      <c r="D1867" s="12">
        <v>8.3333333333333329E-2</v>
      </c>
      <c r="E1867" s="11">
        <v>45989.114583333336</v>
      </c>
      <c r="F1867" s="10" t="s">
        <v>8609</v>
      </c>
      <c r="G1867" s="13" t="b">
        <v>0</v>
      </c>
      <c r="H1867" s="10" t="s">
        <v>5239</v>
      </c>
      <c r="I1867" s="10" t="s">
        <v>89</v>
      </c>
      <c r="J1867" s="13" t="b">
        <v>0</v>
      </c>
      <c r="K1867" s="13" t="b">
        <v>1</v>
      </c>
      <c r="L1867" s="10" t="s">
        <v>124</v>
      </c>
      <c r="M1867" s="10" t="s">
        <v>91</v>
      </c>
      <c r="N1867" s="10" t="s">
        <v>92</v>
      </c>
      <c r="O1867" s="19" t="s">
        <v>14170</v>
      </c>
      <c r="P1867" s="10"/>
      <c r="Q1867" s="10" t="s">
        <v>94</v>
      </c>
      <c r="R1867" s="10"/>
      <c r="S1867" s="19" t="s">
        <v>14171</v>
      </c>
      <c r="T1867" s="19" t="s">
        <v>14107</v>
      </c>
      <c r="U1867" s="10" t="s">
        <v>13737</v>
      </c>
      <c r="V1867" s="10" t="s">
        <v>13667</v>
      </c>
      <c r="W1867" s="10" t="s">
        <v>8613</v>
      </c>
      <c r="X1867" s="10" t="s">
        <v>130</v>
      </c>
      <c r="Y1867" s="10" t="s">
        <v>130</v>
      </c>
      <c r="Z1867" s="10" t="s">
        <v>99</v>
      </c>
      <c r="AA1867" s="10" t="s">
        <v>131</v>
      </c>
      <c r="AB1867" s="10" t="s">
        <v>8614</v>
      </c>
      <c r="AC1867" s="10" t="s">
        <v>3571</v>
      </c>
      <c r="AD1867" s="10" t="s">
        <v>14172</v>
      </c>
      <c r="AE1867" s="10" t="s">
        <v>14173</v>
      </c>
      <c r="AF1867" s="15"/>
      <c r="AG1867" s="10"/>
      <c r="AH1867" s="10"/>
      <c r="AI1867" s="10"/>
      <c r="AJ1867" s="10"/>
      <c r="AK1867" s="10" t="s">
        <v>102</v>
      </c>
      <c r="AL1867" s="10" t="s">
        <v>7897</v>
      </c>
      <c r="AM1867" s="10"/>
      <c r="AN1867" s="10"/>
      <c r="AO1867" s="13" t="b">
        <v>0</v>
      </c>
      <c r="AP1867" s="10" t="s">
        <v>104</v>
      </c>
      <c r="AQ1867" s="10">
        <f ca="1">IFERROR(__xludf.DUMMYFUNCTION("""COMPUTED_VALUE"""),4734900)</f>
        <v>4734900</v>
      </c>
      <c r="AR1867" s="17">
        <v>352</v>
      </c>
      <c r="AS1867" s="17">
        <v>252</v>
      </c>
      <c r="AT1867" s="17">
        <v>2345.5</v>
      </c>
      <c r="AU1867" s="17">
        <v>0.1</v>
      </c>
      <c r="AV1867" s="17">
        <v>0</v>
      </c>
      <c r="AW1867" s="10" t="s">
        <v>105</v>
      </c>
      <c r="AX1867" s="17">
        <v>55</v>
      </c>
      <c r="AY1867" s="18">
        <v>9.3075396825396819</v>
      </c>
      <c r="AZ1867" s="10" t="s">
        <v>185</v>
      </c>
      <c r="BA1867" s="20" t="b">
        <v>0</v>
      </c>
      <c r="BB1867" s="10"/>
      <c r="BC1867" s="17">
        <v>352</v>
      </c>
      <c r="BD1867" s="17">
        <v>252</v>
      </c>
      <c r="BE1867" s="17">
        <v>2345.5</v>
      </c>
      <c r="BF1867" s="17">
        <v>0</v>
      </c>
      <c r="BG1867" s="11">
        <f ca="1">IFERROR(__xludf.DUMMYFUNCTION("""COMPUTED_VALUE"""),45989.03125)</f>
        <v>45989.03125</v>
      </c>
      <c r="BH1867" s="17" t="s">
        <v>105</v>
      </c>
      <c r="BI1867" s="17"/>
      <c r="BJ1867" s="15"/>
      <c r="BK1867" s="15"/>
      <c r="BL1867" s="13" t="b">
        <v>0</v>
      </c>
      <c r="BM1867" s="10"/>
      <c r="BN1867" s="10" t="s">
        <v>157</v>
      </c>
      <c r="BO1867" s="11">
        <v>45904.326388888891</v>
      </c>
      <c r="BP1867" s="11">
        <v>45978.62568287037</v>
      </c>
      <c r="BQ1867" s="15">
        <v>45985.889386574076</v>
      </c>
      <c r="BR1867" s="15">
        <v>45986.431377314817</v>
      </c>
      <c r="BS1867" s="10" t="s">
        <v>157</v>
      </c>
      <c r="BT1867" s="10" t="s">
        <v>99</v>
      </c>
      <c r="BU1867" s="10" t="s">
        <v>5046</v>
      </c>
      <c r="BV1867" s="10"/>
      <c r="BW1867" s="10"/>
      <c r="BX1867" s="10"/>
      <c r="BY1867" s="23"/>
      <c r="BZ1867" s="23"/>
      <c r="CA1867" s="19" t="s">
        <v>14174</v>
      </c>
      <c r="CB1867" s="19" t="s">
        <v>14175</v>
      </c>
      <c r="CC1867" s="23"/>
      <c r="CD1867" s="23"/>
      <c r="CE1867" s="23"/>
      <c r="CF1867" s="23"/>
      <c r="CG1867" s="23"/>
      <c r="CH1867" s="23"/>
      <c r="CI1867" s="23"/>
    </row>
    <row r="1868" spans="1:87" x14ac:dyDescent="0.3">
      <c r="A1868" s="9" t="s">
        <v>14176</v>
      </c>
      <c r="B1868" s="10" t="s">
        <v>14177</v>
      </c>
      <c r="C1868" s="11">
        <v>45989.125</v>
      </c>
      <c r="D1868" s="12">
        <v>8.3333333333333329E-2</v>
      </c>
      <c r="E1868" s="11">
        <v>45989.208333333336</v>
      </c>
      <c r="F1868" s="10" t="s">
        <v>8609</v>
      </c>
      <c r="G1868" s="13" t="b">
        <v>0</v>
      </c>
      <c r="H1868" s="10" t="s">
        <v>5239</v>
      </c>
      <c r="I1868" s="10" t="s">
        <v>89</v>
      </c>
      <c r="J1868" s="13" t="b">
        <v>0</v>
      </c>
      <c r="K1868" s="13" t="b">
        <v>1</v>
      </c>
      <c r="L1868" s="10" t="s">
        <v>124</v>
      </c>
      <c r="M1868" s="10" t="s">
        <v>91</v>
      </c>
      <c r="N1868" s="10" t="s">
        <v>92</v>
      </c>
      <c r="O1868" s="19" t="s">
        <v>14178</v>
      </c>
      <c r="P1868" s="10"/>
      <c r="Q1868" s="10" t="s">
        <v>94</v>
      </c>
      <c r="R1868" s="10"/>
      <c r="S1868" s="19" t="s">
        <v>14179</v>
      </c>
      <c r="T1868" s="19" t="s">
        <v>14107</v>
      </c>
      <c r="U1868" s="10" t="s">
        <v>13697</v>
      </c>
      <c r="V1868" s="10" t="s">
        <v>7923</v>
      </c>
      <c r="W1868" s="10" t="s">
        <v>8613</v>
      </c>
      <c r="X1868" s="10" t="s">
        <v>130</v>
      </c>
      <c r="Y1868" s="10" t="s">
        <v>130</v>
      </c>
      <c r="Z1868" s="10" t="s">
        <v>99</v>
      </c>
      <c r="AA1868" s="10" t="s">
        <v>131</v>
      </c>
      <c r="AB1868" s="10" t="s">
        <v>8614</v>
      </c>
      <c r="AC1868" s="10" t="s">
        <v>3571</v>
      </c>
      <c r="AD1868" s="10" t="s">
        <v>14180</v>
      </c>
      <c r="AE1868" s="10" t="s">
        <v>14181</v>
      </c>
      <c r="AF1868" s="15"/>
      <c r="AG1868" s="10"/>
      <c r="AH1868" s="10"/>
      <c r="AI1868" s="10"/>
      <c r="AJ1868" s="10"/>
      <c r="AK1868" s="10" t="s">
        <v>102</v>
      </c>
      <c r="AL1868" s="10" t="s">
        <v>7897</v>
      </c>
      <c r="AM1868" s="10"/>
      <c r="AN1868" s="10"/>
      <c r="AO1868" s="13" t="b">
        <v>0</v>
      </c>
      <c r="AP1868" s="10" t="s">
        <v>104</v>
      </c>
      <c r="AQ1868" s="10">
        <f ca="1">IFERROR(__xludf.DUMMYFUNCTION("""COMPUTED_VALUE"""),4734911)</f>
        <v>4734911</v>
      </c>
      <c r="AR1868" s="17">
        <v>172</v>
      </c>
      <c r="AS1868" s="17">
        <v>133</v>
      </c>
      <c r="AT1868" s="17">
        <v>756.75</v>
      </c>
      <c r="AU1868" s="17">
        <v>0.15</v>
      </c>
      <c r="AV1868" s="17">
        <v>0</v>
      </c>
      <c r="AW1868" s="10" t="s">
        <v>105</v>
      </c>
      <c r="AX1868" s="17">
        <v>35</v>
      </c>
      <c r="AY1868" s="18">
        <v>5.6898496240601499</v>
      </c>
      <c r="AZ1868" s="10"/>
      <c r="BA1868" s="20" t="b">
        <v>0</v>
      </c>
      <c r="BB1868" s="10"/>
      <c r="BC1868" s="17">
        <v>172</v>
      </c>
      <c r="BD1868" s="17">
        <v>133</v>
      </c>
      <c r="BE1868" s="17">
        <v>756.75</v>
      </c>
      <c r="BF1868" s="17">
        <v>0</v>
      </c>
      <c r="BG1868" s="11">
        <f ca="1">IFERROR(__xludf.DUMMYFUNCTION("""COMPUTED_VALUE"""),45989.125)</f>
        <v>45989.125</v>
      </c>
      <c r="BH1868" s="17" t="s">
        <v>105</v>
      </c>
      <c r="BI1868" s="17"/>
      <c r="BJ1868" s="15"/>
      <c r="BK1868" s="15"/>
      <c r="BL1868" s="13" t="b">
        <v>0</v>
      </c>
      <c r="BM1868" s="10"/>
      <c r="BN1868" s="10" t="s">
        <v>157</v>
      </c>
      <c r="BO1868" s="11">
        <v>45904.326388888891</v>
      </c>
      <c r="BP1868" s="11">
        <v>45978.625752314816</v>
      </c>
      <c r="BQ1868" s="15">
        <v>45985.780081018522</v>
      </c>
      <c r="BR1868" s="15">
        <v>45986.432835648149</v>
      </c>
      <c r="BS1868" s="10" t="s">
        <v>157</v>
      </c>
      <c r="BT1868" s="10" t="s">
        <v>99</v>
      </c>
      <c r="BU1868" s="10" t="s">
        <v>8057</v>
      </c>
      <c r="BV1868" s="10"/>
      <c r="BW1868" s="10"/>
      <c r="BX1868" s="10"/>
      <c r="BY1868" s="23"/>
      <c r="BZ1868" s="23"/>
      <c r="CA1868" s="19" t="s">
        <v>14182</v>
      </c>
      <c r="CB1868" s="19" t="s">
        <v>14183</v>
      </c>
      <c r="CC1868" s="23"/>
      <c r="CD1868" s="23"/>
      <c r="CE1868" s="23"/>
      <c r="CF1868" s="23"/>
      <c r="CG1868" s="23"/>
      <c r="CH1868" s="23"/>
      <c r="CI1868" s="23"/>
    </row>
    <row r="1869" spans="1:87" x14ac:dyDescent="0.3">
      <c r="A1869" s="9" t="s">
        <v>14184</v>
      </c>
      <c r="B1869" s="10" t="s">
        <v>14185</v>
      </c>
      <c r="C1869" s="11">
        <v>45989.125</v>
      </c>
      <c r="D1869" s="12">
        <v>8.3333333333333329E-2</v>
      </c>
      <c r="E1869" s="11">
        <v>45989.208333333336</v>
      </c>
      <c r="F1869" s="10" t="s">
        <v>8609</v>
      </c>
      <c r="G1869" s="13" t="b">
        <v>0</v>
      </c>
      <c r="H1869" s="10" t="s">
        <v>5239</v>
      </c>
      <c r="I1869" s="10" t="s">
        <v>89</v>
      </c>
      <c r="J1869" s="13" t="b">
        <v>0</v>
      </c>
      <c r="K1869" s="13" t="b">
        <v>1</v>
      </c>
      <c r="L1869" s="10" t="s">
        <v>124</v>
      </c>
      <c r="M1869" s="10" t="s">
        <v>91</v>
      </c>
      <c r="N1869" s="10" t="s">
        <v>92</v>
      </c>
      <c r="O1869" s="19" t="s">
        <v>14186</v>
      </c>
      <c r="P1869" s="10"/>
      <c r="Q1869" s="10" t="s">
        <v>94</v>
      </c>
      <c r="R1869" s="10"/>
      <c r="S1869" s="19" t="s">
        <v>14187</v>
      </c>
      <c r="T1869" s="19" t="s">
        <v>14107</v>
      </c>
      <c r="U1869" s="10" t="s">
        <v>13717</v>
      </c>
      <c r="V1869" s="10" t="s">
        <v>13776</v>
      </c>
      <c r="W1869" s="10" t="s">
        <v>8613</v>
      </c>
      <c r="X1869" s="10" t="s">
        <v>130</v>
      </c>
      <c r="Y1869" s="10" t="s">
        <v>130</v>
      </c>
      <c r="Z1869" s="10" t="s">
        <v>99</v>
      </c>
      <c r="AA1869" s="10" t="s">
        <v>131</v>
      </c>
      <c r="AB1869" s="10" t="s">
        <v>8614</v>
      </c>
      <c r="AC1869" s="10" t="s">
        <v>3571</v>
      </c>
      <c r="AD1869" s="10" t="s">
        <v>14188</v>
      </c>
      <c r="AE1869" s="10" t="s">
        <v>14189</v>
      </c>
      <c r="AF1869" s="15"/>
      <c r="AG1869" s="10"/>
      <c r="AH1869" s="10"/>
      <c r="AI1869" s="10"/>
      <c r="AJ1869" s="10"/>
      <c r="AK1869" s="10" t="s">
        <v>102</v>
      </c>
      <c r="AL1869" s="10" t="s">
        <v>7897</v>
      </c>
      <c r="AM1869" s="10"/>
      <c r="AN1869" s="10"/>
      <c r="AO1869" s="13" t="b">
        <v>0</v>
      </c>
      <c r="AP1869" s="10" t="s">
        <v>104</v>
      </c>
      <c r="AQ1869" s="10">
        <f ca="1">IFERROR(__xludf.DUMMYFUNCTION("""COMPUTED_VALUE"""),4734905)</f>
        <v>4734905</v>
      </c>
      <c r="AR1869" s="17">
        <v>243</v>
      </c>
      <c r="AS1869" s="17">
        <v>189</v>
      </c>
      <c r="AT1869" s="17">
        <v>1058.25</v>
      </c>
      <c r="AU1869" s="17">
        <v>1</v>
      </c>
      <c r="AV1869" s="17">
        <v>0</v>
      </c>
      <c r="AW1869" s="10" t="s">
        <v>105</v>
      </c>
      <c r="AX1869" s="17">
        <v>52</v>
      </c>
      <c r="AY1869" s="18">
        <v>5.5992063492063489</v>
      </c>
      <c r="AZ1869" s="10"/>
      <c r="BA1869" s="20" t="b">
        <v>0</v>
      </c>
      <c r="BB1869" s="10"/>
      <c r="BC1869" s="17">
        <v>243</v>
      </c>
      <c r="BD1869" s="17">
        <v>189</v>
      </c>
      <c r="BE1869" s="17">
        <v>1058.25</v>
      </c>
      <c r="BF1869" s="17">
        <v>0</v>
      </c>
      <c r="BG1869" s="11">
        <f ca="1">IFERROR(__xludf.DUMMYFUNCTION("""COMPUTED_VALUE"""),45989.125)</f>
        <v>45989.125</v>
      </c>
      <c r="BH1869" s="17" t="s">
        <v>105</v>
      </c>
      <c r="BI1869" s="17"/>
      <c r="BJ1869" s="15"/>
      <c r="BK1869" s="15"/>
      <c r="BL1869" s="13" t="b">
        <v>0</v>
      </c>
      <c r="BM1869" s="10"/>
      <c r="BN1869" s="10" t="s">
        <v>157</v>
      </c>
      <c r="BO1869" s="11">
        <v>45904.326388888891</v>
      </c>
      <c r="BP1869" s="11">
        <v>45978.625833333332</v>
      </c>
      <c r="BQ1869" s="15">
        <v>45985.779872685183</v>
      </c>
      <c r="BR1869" s="15">
        <v>45986.431979166664</v>
      </c>
      <c r="BS1869" s="10" t="s">
        <v>157</v>
      </c>
      <c r="BT1869" s="10" t="s">
        <v>99</v>
      </c>
      <c r="BU1869" s="10" t="s">
        <v>3394</v>
      </c>
      <c r="BV1869" s="10"/>
      <c r="BW1869" s="10"/>
      <c r="BX1869" s="10"/>
      <c r="BY1869" s="23"/>
      <c r="BZ1869" s="23"/>
      <c r="CA1869" s="19" t="s">
        <v>14190</v>
      </c>
      <c r="CB1869" s="19" t="s">
        <v>14191</v>
      </c>
      <c r="CC1869" s="23"/>
      <c r="CD1869" s="23"/>
      <c r="CE1869" s="23"/>
      <c r="CF1869" s="23"/>
      <c r="CG1869" s="23"/>
      <c r="CH1869" s="23"/>
      <c r="CI1869" s="23"/>
    </row>
    <row r="1870" spans="1:87" x14ac:dyDescent="0.3">
      <c r="A1870" s="9" t="s">
        <v>14192</v>
      </c>
      <c r="B1870" s="10" t="s">
        <v>14193</v>
      </c>
      <c r="C1870" s="11">
        <v>45989.125</v>
      </c>
      <c r="D1870" s="12">
        <v>8.3333333333333329E-2</v>
      </c>
      <c r="E1870" s="11">
        <v>45989.208333333336</v>
      </c>
      <c r="F1870" s="10" t="s">
        <v>8609</v>
      </c>
      <c r="G1870" s="13" t="b">
        <v>0</v>
      </c>
      <c r="H1870" s="10" t="s">
        <v>3564</v>
      </c>
      <c r="I1870" s="10" t="s">
        <v>89</v>
      </c>
      <c r="J1870" s="13" t="b">
        <v>0</v>
      </c>
      <c r="K1870" s="13" t="b">
        <v>1</v>
      </c>
      <c r="L1870" s="10" t="s">
        <v>124</v>
      </c>
      <c r="M1870" s="10" t="s">
        <v>91</v>
      </c>
      <c r="N1870" s="10" t="s">
        <v>92</v>
      </c>
      <c r="O1870" s="19" t="s">
        <v>14194</v>
      </c>
      <c r="P1870" s="10"/>
      <c r="Q1870" s="10" t="s">
        <v>126</v>
      </c>
      <c r="R1870" s="10"/>
      <c r="S1870" s="19" t="s">
        <v>14195</v>
      </c>
      <c r="T1870" s="19" t="s">
        <v>14107</v>
      </c>
      <c r="U1870" s="10" t="s">
        <v>8622</v>
      </c>
      <c r="V1870" s="10" t="s">
        <v>347</v>
      </c>
      <c r="W1870" s="10" t="s">
        <v>8613</v>
      </c>
      <c r="X1870" s="10" t="s">
        <v>130</v>
      </c>
      <c r="Y1870" s="10" t="s">
        <v>130</v>
      </c>
      <c r="Z1870" s="10" t="s">
        <v>99</v>
      </c>
      <c r="AA1870" s="10" t="s">
        <v>131</v>
      </c>
      <c r="AB1870" s="10" t="s">
        <v>8614</v>
      </c>
      <c r="AC1870" s="10" t="s">
        <v>3571</v>
      </c>
      <c r="AD1870" s="10" t="s">
        <v>14196</v>
      </c>
      <c r="AE1870" s="10" t="s">
        <v>14197</v>
      </c>
      <c r="AF1870" s="15"/>
      <c r="AG1870" s="10"/>
      <c r="AH1870" s="10"/>
      <c r="AI1870" s="10"/>
      <c r="AJ1870" s="10"/>
      <c r="AK1870" s="10" t="s">
        <v>102</v>
      </c>
      <c r="AL1870" s="10" t="s">
        <v>7897</v>
      </c>
      <c r="AM1870" s="10"/>
      <c r="AN1870" s="10"/>
      <c r="AO1870" s="13" t="b">
        <v>0</v>
      </c>
      <c r="AP1870" s="10" t="s">
        <v>104</v>
      </c>
      <c r="AQ1870" s="10">
        <f ca="1">IFERROR(__xludf.DUMMYFUNCTION("""COMPUTED_VALUE"""),4734870)</f>
        <v>4734870</v>
      </c>
      <c r="AR1870" s="17">
        <v>3159</v>
      </c>
      <c r="AS1870" s="17">
        <v>2345</v>
      </c>
      <c r="AT1870" s="17">
        <v>51330.75</v>
      </c>
      <c r="AU1870" s="17">
        <v>2.2000000000000002</v>
      </c>
      <c r="AV1870" s="17">
        <v>0</v>
      </c>
      <c r="AW1870" s="10" t="s">
        <v>105</v>
      </c>
      <c r="AX1870" s="17">
        <v>784</v>
      </c>
      <c r="AY1870" s="18">
        <v>21.889445628997869</v>
      </c>
      <c r="AZ1870" s="10"/>
      <c r="BA1870" s="20" t="b">
        <v>0</v>
      </c>
      <c r="BB1870" s="10"/>
      <c r="BC1870" s="17">
        <v>3159</v>
      </c>
      <c r="BD1870" s="17">
        <v>2345</v>
      </c>
      <c r="BE1870" s="17">
        <v>51330.75</v>
      </c>
      <c r="BF1870" s="17">
        <v>0</v>
      </c>
      <c r="BG1870" s="11">
        <f ca="1">IFERROR(__xludf.DUMMYFUNCTION("""COMPUTED_VALUE"""),45989.125)</f>
        <v>45989.125</v>
      </c>
      <c r="BH1870" s="17" t="s">
        <v>105</v>
      </c>
      <c r="BI1870" s="17"/>
      <c r="BJ1870" s="15"/>
      <c r="BK1870" s="15"/>
      <c r="BL1870" s="13" t="b">
        <v>0</v>
      </c>
      <c r="BM1870" s="10"/>
      <c r="BN1870" s="10" t="s">
        <v>157</v>
      </c>
      <c r="BO1870" s="11">
        <v>45904.326388888891</v>
      </c>
      <c r="BP1870" s="11">
        <v>45978.625902777778</v>
      </c>
      <c r="BQ1870" s="15">
        <v>45985.780173611114</v>
      </c>
      <c r="BR1870" s="15">
        <v>45986.395833333336</v>
      </c>
      <c r="BS1870" s="10" t="s">
        <v>157</v>
      </c>
      <c r="BT1870" s="10" t="s">
        <v>279</v>
      </c>
      <c r="BU1870" s="10" t="s">
        <v>5492</v>
      </c>
      <c r="BV1870" s="10"/>
      <c r="BW1870" s="10"/>
      <c r="BX1870" s="10"/>
      <c r="BY1870" s="23"/>
      <c r="BZ1870" s="23"/>
      <c r="CA1870" s="19" t="s">
        <v>14198</v>
      </c>
      <c r="CB1870" s="19" t="s">
        <v>14199</v>
      </c>
      <c r="CC1870" s="23"/>
      <c r="CD1870" s="19" t="s">
        <v>14200</v>
      </c>
      <c r="CE1870" s="23"/>
      <c r="CF1870" s="23"/>
      <c r="CG1870" s="23"/>
      <c r="CH1870" s="23"/>
      <c r="CI1870" s="23"/>
    </row>
    <row r="1871" spans="1:87" x14ac:dyDescent="0.3">
      <c r="A1871" s="9" t="s">
        <v>14201</v>
      </c>
      <c r="B1871" s="10" t="s">
        <v>14202</v>
      </c>
      <c r="C1871" s="11">
        <v>45989.125</v>
      </c>
      <c r="D1871" s="12">
        <v>8.3333333333333329E-2</v>
      </c>
      <c r="E1871" s="11">
        <v>45989.208333333336</v>
      </c>
      <c r="F1871" s="10" t="s">
        <v>8609</v>
      </c>
      <c r="G1871" s="13" t="b">
        <v>0</v>
      </c>
      <c r="H1871" s="10" t="s">
        <v>5239</v>
      </c>
      <c r="I1871" s="10" t="s">
        <v>89</v>
      </c>
      <c r="J1871" s="13" t="b">
        <v>0</v>
      </c>
      <c r="K1871" s="13" t="b">
        <v>1</v>
      </c>
      <c r="L1871" s="10" t="s">
        <v>124</v>
      </c>
      <c r="M1871" s="10" t="s">
        <v>91</v>
      </c>
      <c r="N1871" s="10" t="s">
        <v>92</v>
      </c>
      <c r="O1871" s="19" t="s">
        <v>14203</v>
      </c>
      <c r="P1871" s="10"/>
      <c r="Q1871" s="10" t="s">
        <v>94</v>
      </c>
      <c r="R1871" s="10"/>
      <c r="S1871" s="19" t="s">
        <v>14204</v>
      </c>
      <c r="T1871" s="19" t="s">
        <v>14107</v>
      </c>
      <c r="U1871" s="10" t="s">
        <v>13727</v>
      </c>
      <c r="V1871" s="10" t="s">
        <v>13795</v>
      </c>
      <c r="W1871" s="10" t="s">
        <v>8613</v>
      </c>
      <c r="X1871" s="10" t="s">
        <v>130</v>
      </c>
      <c r="Y1871" s="10" t="s">
        <v>130</v>
      </c>
      <c r="Z1871" s="10" t="s">
        <v>99</v>
      </c>
      <c r="AA1871" s="10" t="s">
        <v>131</v>
      </c>
      <c r="AB1871" s="10" t="s">
        <v>8614</v>
      </c>
      <c r="AC1871" s="10" t="s">
        <v>3571</v>
      </c>
      <c r="AD1871" s="10" t="s">
        <v>14205</v>
      </c>
      <c r="AE1871" s="10" t="s">
        <v>14206</v>
      </c>
      <c r="AF1871" s="15"/>
      <c r="AG1871" s="10"/>
      <c r="AH1871" s="10"/>
      <c r="AI1871" s="10"/>
      <c r="AJ1871" s="10"/>
      <c r="AK1871" s="10" t="s">
        <v>102</v>
      </c>
      <c r="AL1871" s="10" t="s">
        <v>7897</v>
      </c>
      <c r="AM1871" s="10"/>
      <c r="AN1871" s="10"/>
      <c r="AO1871" s="13" t="b">
        <v>0</v>
      </c>
      <c r="AP1871" s="10" t="s">
        <v>104</v>
      </c>
      <c r="AQ1871" s="10">
        <f ca="1">IFERROR(__xludf.DUMMYFUNCTION("""COMPUTED_VALUE"""),4734912)</f>
        <v>4734912</v>
      </c>
      <c r="AR1871" s="17">
        <v>227</v>
      </c>
      <c r="AS1871" s="17">
        <v>195</v>
      </c>
      <c r="AT1871" s="17">
        <v>871.5</v>
      </c>
      <c r="AU1871" s="17">
        <v>0</v>
      </c>
      <c r="AV1871" s="17">
        <v>0</v>
      </c>
      <c r="AW1871" s="10" t="s">
        <v>105</v>
      </c>
      <c r="AX1871" s="17">
        <v>43</v>
      </c>
      <c r="AY1871" s="18">
        <v>4.4692307692307693</v>
      </c>
      <c r="AZ1871" s="10"/>
      <c r="BA1871" s="20" t="b">
        <v>0</v>
      </c>
      <c r="BB1871" s="10"/>
      <c r="BC1871" s="17">
        <v>227</v>
      </c>
      <c r="BD1871" s="17">
        <v>195</v>
      </c>
      <c r="BE1871" s="17">
        <v>871.5</v>
      </c>
      <c r="BF1871" s="17">
        <v>0</v>
      </c>
      <c r="BG1871" s="11">
        <f ca="1">IFERROR(__xludf.DUMMYFUNCTION("""COMPUTED_VALUE"""),45989.125)</f>
        <v>45989.125</v>
      </c>
      <c r="BH1871" s="17" t="s">
        <v>105</v>
      </c>
      <c r="BI1871" s="17"/>
      <c r="BJ1871" s="15"/>
      <c r="BK1871" s="15"/>
      <c r="BL1871" s="13" t="b">
        <v>0</v>
      </c>
      <c r="BM1871" s="10"/>
      <c r="BN1871" s="10" t="s">
        <v>157</v>
      </c>
      <c r="BO1871" s="11">
        <v>45904.326388888891</v>
      </c>
      <c r="BP1871" s="11">
        <v>45978.626064814816</v>
      </c>
      <c r="BQ1871" s="15">
        <v>45985.780138888891</v>
      </c>
      <c r="BR1871" s="15">
        <v>45986.43304398148</v>
      </c>
      <c r="BS1871" s="10" t="s">
        <v>157</v>
      </c>
      <c r="BT1871" s="10" t="s">
        <v>99</v>
      </c>
      <c r="BU1871" s="10" t="s">
        <v>6409</v>
      </c>
      <c r="BV1871" s="10"/>
      <c r="BW1871" s="10"/>
      <c r="BX1871" s="10"/>
      <c r="BY1871" s="23"/>
      <c r="BZ1871" s="23"/>
      <c r="CA1871" s="19" t="s">
        <v>14207</v>
      </c>
      <c r="CB1871" s="19" t="s">
        <v>14208</v>
      </c>
      <c r="CC1871" s="23"/>
      <c r="CD1871" s="23"/>
      <c r="CE1871" s="23"/>
      <c r="CF1871" s="23"/>
      <c r="CG1871" s="23"/>
      <c r="CH1871" s="23"/>
      <c r="CI1871" s="23"/>
    </row>
    <row r="1872" spans="1:87" x14ac:dyDescent="0.3">
      <c r="A1872" s="9" t="s">
        <v>14209</v>
      </c>
      <c r="B1872" s="10" t="s">
        <v>14210</v>
      </c>
      <c r="C1872" s="11">
        <v>45989.125</v>
      </c>
      <c r="D1872" s="12">
        <v>8.3333333333333329E-2</v>
      </c>
      <c r="E1872" s="11">
        <v>45989.208333333336</v>
      </c>
      <c r="F1872" s="10" t="s">
        <v>8609</v>
      </c>
      <c r="G1872" s="13" t="b">
        <v>0</v>
      </c>
      <c r="H1872" s="10" t="s">
        <v>5239</v>
      </c>
      <c r="I1872" s="10" t="s">
        <v>89</v>
      </c>
      <c r="J1872" s="13" t="b">
        <v>0</v>
      </c>
      <c r="K1872" s="13" t="b">
        <v>1</v>
      </c>
      <c r="L1872" s="10" t="s">
        <v>124</v>
      </c>
      <c r="M1872" s="10" t="s">
        <v>91</v>
      </c>
      <c r="N1872" s="10" t="s">
        <v>92</v>
      </c>
      <c r="O1872" s="19" t="s">
        <v>14211</v>
      </c>
      <c r="P1872" s="10"/>
      <c r="Q1872" s="10" t="s">
        <v>94</v>
      </c>
      <c r="R1872" s="10"/>
      <c r="S1872" s="19" t="s">
        <v>14212</v>
      </c>
      <c r="T1872" s="19" t="s">
        <v>14107</v>
      </c>
      <c r="U1872" s="10" t="s">
        <v>13794</v>
      </c>
      <c r="V1872" s="10" t="s">
        <v>13696</v>
      </c>
      <c r="W1872" s="10" t="s">
        <v>8613</v>
      </c>
      <c r="X1872" s="10" t="s">
        <v>130</v>
      </c>
      <c r="Y1872" s="10" t="s">
        <v>130</v>
      </c>
      <c r="Z1872" s="10" t="s">
        <v>99</v>
      </c>
      <c r="AA1872" s="10" t="s">
        <v>131</v>
      </c>
      <c r="AB1872" s="10" t="s">
        <v>8614</v>
      </c>
      <c r="AC1872" s="10" t="s">
        <v>3571</v>
      </c>
      <c r="AD1872" s="10" t="s">
        <v>14213</v>
      </c>
      <c r="AE1872" s="10" t="s">
        <v>14214</v>
      </c>
      <c r="AF1872" s="15"/>
      <c r="AG1872" s="10"/>
      <c r="AH1872" s="10"/>
      <c r="AI1872" s="10"/>
      <c r="AJ1872" s="10"/>
      <c r="AK1872" s="10" t="s">
        <v>102</v>
      </c>
      <c r="AL1872" s="10" t="s">
        <v>7897</v>
      </c>
      <c r="AM1872" s="10"/>
      <c r="AN1872" s="10"/>
      <c r="AO1872" s="13" t="b">
        <v>0</v>
      </c>
      <c r="AP1872" s="10" t="s">
        <v>104</v>
      </c>
      <c r="AQ1872" s="10">
        <f ca="1">IFERROR(__xludf.DUMMYFUNCTION("""COMPUTED_VALUE"""),4734904)</f>
        <v>4734904</v>
      </c>
      <c r="AR1872" s="17">
        <v>337</v>
      </c>
      <c r="AS1872" s="17">
        <v>280</v>
      </c>
      <c r="AT1872" s="17">
        <v>1618.75</v>
      </c>
      <c r="AU1872" s="17">
        <v>0.15</v>
      </c>
      <c r="AV1872" s="17">
        <v>0</v>
      </c>
      <c r="AW1872" s="10" t="s">
        <v>105</v>
      </c>
      <c r="AX1872" s="17">
        <v>43</v>
      </c>
      <c r="AY1872" s="18">
        <v>5.78125</v>
      </c>
      <c r="AZ1872" s="10"/>
      <c r="BA1872" s="20" t="b">
        <v>0</v>
      </c>
      <c r="BB1872" s="10"/>
      <c r="BC1872" s="17">
        <v>337</v>
      </c>
      <c r="BD1872" s="17">
        <v>280</v>
      </c>
      <c r="BE1872" s="17">
        <v>1618.75</v>
      </c>
      <c r="BF1872" s="17">
        <v>0</v>
      </c>
      <c r="BG1872" s="11">
        <f ca="1">IFERROR(__xludf.DUMMYFUNCTION("""COMPUTED_VALUE"""),45989.125)</f>
        <v>45989.125</v>
      </c>
      <c r="BH1872" s="17" t="s">
        <v>105</v>
      </c>
      <c r="BI1872" s="17"/>
      <c r="BJ1872" s="15"/>
      <c r="BK1872" s="15"/>
      <c r="BL1872" s="13" t="b">
        <v>0</v>
      </c>
      <c r="BM1872" s="10"/>
      <c r="BN1872" s="10" t="s">
        <v>157</v>
      </c>
      <c r="BO1872" s="11">
        <v>45904.326388888891</v>
      </c>
      <c r="BP1872" s="11">
        <v>45978.626203703701</v>
      </c>
      <c r="BQ1872" s="15">
        <v>45985.779826388891</v>
      </c>
      <c r="BR1872" s="15">
        <v>45986.43172453704</v>
      </c>
      <c r="BS1872" s="10" t="s">
        <v>157</v>
      </c>
      <c r="BT1872" s="10" t="s">
        <v>99</v>
      </c>
      <c r="BU1872" s="10" t="s">
        <v>1275</v>
      </c>
      <c r="BV1872" s="10"/>
      <c r="BW1872" s="10"/>
      <c r="BX1872" s="10"/>
      <c r="BY1872" s="23"/>
      <c r="BZ1872" s="23"/>
      <c r="CA1872" s="19" t="s">
        <v>14215</v>
      </c>
      <c r="CB1872" s="19" t="s">
        <v>14216</v>
      </c>
      <c r="CC1872" s="23"/>
      <c r="CD1872" s="23"/>
      <c r="CE1872" s="23"/>
      <c r="CF1872" s="23"/>
      <c r="CG1872" s="23"/>
      <c r="CH1872" s="23"/>
      <c r="CI1872" s="23"/>
    </row>
    <row r="1873" spans="1:87" x14ac:dyDescent="0.3">
      <c r="A1873" s="9" t="s">
        <v>14217</v>
      </c>
      <c r="B1873" s="10" t="s">
        <v>14218</v>
      </c>
      <c r="C1873" s="11">
        <v>45989.125</v>
      </c>
      <c r="D1873" s="12">
        <v>8.3333333333333329E-2</v>
      </c>
      <c r="E1873" s="11">
        <v>45989.208333333336</v>
      </c>
      <c r="F1873" s="10" t="s">
        <v>8609</v>
      </c>
      <c r="G1873" s="13" t="b">
        <v>0</v>
      </c>
      <c r="H1873" s="10" t="s">
        <v>5239</v>
      </c>
      <c r="I1873" s="10" t="s">
        <v>89</v>
      </c>
      <c r="J1873" s="13" t="b">
        <v>0</v>
      </c>
      <c r="K1873" s="13" t="b">
        <v>1</v>
      </c>
      <c r="L1873" s="10" t="s">
        <v>124</v>
      </c>
      <c r="M1873" s="10" t="s">
        <v>91</v>
      </c>
      <c r="N1873" s="10" t="s">
        <v>92</v>
      </c>
      <c r="O1873" s="19" t="s">
        <v>14219</v>
      </c>
      <c r="P1873" s="10"/>
      <c r="Q1873" s="10" t="s">
        <v>126</v>
      </c>
      <c r="R1873" s="10"/>
      <c r="S1873" s="19" t="s">
        <v>14220</v>
      </c>
      <c r="T1873" s="19" t="s">
        <v>14107</v>
      </c>
      <c r="U1873" s="10" t="s">
        <v>3240</v>
      </c>
      <c r="V1873" s="10" t="s">
        <v>13767</v>
      </c>
      <c r="W1873" s="10" t="s">
        <v>8613</v>
      </c>
      <c r="X1873" s="10" t="s">
        <v>130</v>
      </c>
      <c r="Y1873" s="10" t="s">
        <v>130</v>
      </c>
      <c r="Z1873" s="10" t="s">
        <v>99</v>
      </c>
      <c r="AA1873" s="10" t="s">
        <v>131</v>
      </c>
      <c r="AB1873" s="10" t="s">
        <v>8614</v>
      </c>
      <c r="AC1873" s="10" t="s">
        <v>3571</v>
      </c>
      <c r="AD1873" s="10" t="s">
        <v>14221</v>
      </c>
      <c r="AE1873" s="10" t="s">
        <v>14222</v>
      </c>
      <c r="AF1873" s="15"/>
      <c r="AG1873" s="10"/>
      <c r="AH1873" s="10"/>
      <c r="AI1873" s="10"/>
      <c r="AJ1873" s="10"/>
      <c r="AK1873" s="10" t="s">
        <v>102</v>
      </c>
      <c r="AL1873" s="10" t="s">
        <v>7897</v>
      </c>
      <c r="AM1873" s="10"/>
      <c r="AN1873" s="10"/>
      <c r="AO1873" s="13" t="b">
        <v>0</v>
      </c>
      <c r="AP1873" s="10" t="s">
        <v>104</v>
      </c>
      <c r="AQ1873" s="10">
        <f ca="1">IFERROR(__xludf.DUMMYFUNCTION("""COMPUTED_VALUE"""),4734908)</f>
        <v>4734908</v>
      </c>
      <c r="AR1873" s="17">
        <v>4917</v>
      </c>
      <c r="AS1873" s="17">
        <v>3643</v>
      </c>
      <c r="AT1873" s="17">
        <v>52813.75</v>
      </c>
      <c r="AU1873" s="17">
        <v>10.45</v>
      </c>
      <c r="AV1873" s="17">
        <v>0.5</v>
      </c>
      <c r="AW1873" s="10" t="s">
        <v>105</v>
      </c>
      <c r="AX1873" s="17">
        <v>960</v>
      </c>
      <c r="AY1873" s="18">
        <v>14.49732363436728</v>
      </c>
      <c r="AZ1873" s="10"/>
      <c r="BA1873" s="20" t="b">
        <v>0</v>
      </c>
      <c r="BB1873" s="10"/>
      <c r="BC1873" s="17">
        <v>4917</v>
      </c>
      <c r="BD1873" s="17">
        <v>3643</v>
      </c>
      <c r="BE1873" s="17">
        <v>52813.75</v>
      </c>
      <c r="BF1873" s="17">
        <v>0.5</v>
      </c>
      <c r="BG1873" s="11">
        <f ca="1">IFERROR(__xludf.DUMMYFUNCTION("""COMPUTED_VALUE"""),45989.125)</f>
        <v>45989.125</v>
      </c>
      <c r="BH1873" s="17" t="s">
        <v>105</v>
      </c>
      <c r="BI1873" s="17"/>
      <c r="BJ1873" s="15"/>
      <c r="BK1873" s="15"/>
      <c r="BL1873" s="13" t="b">
        <v>0</v>
      </c>
      <c r="BM1873" s="10"/>
      <c r="BN1873" s="10" t="s">
        <v>157</v>
      </c>
      <c r="BO1873" s="11">
        <v>45904.326388888891</v>
      </c>
      <c r="BP1873" s="11">
        <v>45978.62641203704</v>
      </c>
      <c r="BQ1873" s="15">
        <v>45985.779953703706</v>
      </c>
      <c r="BR1873" s="15">
        <v>45986.432268518518</v>
      </c>
      <c r="BS1873" s="10" t="s">
        <v>157</v>
      </c>
      <c r="BT1873" s="10" t="s">
        <v>279</v>
      </c>
      <c r="BU1873" s="10" t="s">
        <v>1286</v>
      </c>
      <c r="BV1873" s="10" t="s">
        <v>4315</v>
      </c>
      <c r="BW1873" s="10"/>
      <c r="BX1873" s="10"/>
      <c r="BY1873" s="23"/>
      <c r="BZ1873" s="23"/>
      <c r="CA1873" s="19" t="s">
        <v>14223</v>
      </c>
      <c r="CB1873" s="19" t="s">
        <v>14224</v>
      </c>
      <c r="CC1873" s="23"/>
      <c r="CD1873" s="19" t="s">
        <v>14225</v>
      </c>
      <c r="CE1873" s="23"/>
      <c r="CF1873" s="23"/>
      <c r="CG1873" s="23"/>
      <c r="CH1873" s="23"/>
      <c r="CI1873" s="23"/>
    </row>
    <row r="1874" spans="1:87" x14ac:dyDescent="0.3">
      <c r="A1874" s="9" t="s">
        <v>14226</v>
      </c>
      <c r="B1874" s="10" t="s">
        <v>14227</v>
      </c>
      <c r="C1874" s="11">
        <v>45989.125</v>
      </c>
      <c r="D1874" s="12">
        <v>8.3333333333333329E-2</v>
      </c>
      <c r="E1874" s="11">
        <v>45989.208333333336</v>
      </c>
      <c r="F1874" s="10" t="s">
        <v>8609</v>
      </c>
      <c r="G1874" s="13" t="b">
        <v>0</v>
      </c>
      <c r="H1874" s="10" t="s">
        <v>5239</v>
      </c>
      <c r="I1874" s="10" t="s">
        <v>89</v>
      </c>
      <c r="J1874" s="13" t="b">
        <v>0</v>
      </c>
      <c r="K1874" s="13" t="b">
        <v>1</v>
      </c>
      <c r="L1874" s="10" t="s">
        <v>124</v>
      </c>
      <c r="M1874" s="10" t="s">
        <v>91</v>
      </c>
      <c r="N1874" s="10" t="s">
        <v>92</v>
      </c>
      <c r="O1874" s="19" t="s">
        <v>14228</v>
      </c>
      <c r="P1874" s="10"/>
      <c r="Q1874" s="10" t="s">
        <v>94</v>
      </c>
      <c r="R1874" s="10"/>
      <c r="S1874" s="19" t="s">
        <v>14229</v>
      </c>
      <c r="T1874" s="19" t="s">
        <v>14107</v>
      </c>
      <c r="U1874" s="10" t="s">
        <v>13637</v>
      </c>
      <c r="V1874" s="10" t="s">
        <v>13676</v>
      </c>
      <c r="W1874" s="10" t="s">
        <v>8613</v>
      </c>
      <c r="X1874" s="10" t="s">
        <v>130</v>
      </c>
      <c r="Y1874" s="10" t="s">
        <v>130</v>
      </c>
      <c r="Z1874" s="10" t="s">
        <v>99</v>
      </c>
      <c r="AA1874" s="10" t="s">
        <v>131</v>
      </c>
      <c r="AB1874" s="10" t="s">
        <v>8614</v>
      </c>
      <c r="AC1874" s="10" t="s">
        <v>3571</v>
      </c>
      <c r="AD1874" s="10" t="s">
        <v>14230</v>
      </c>
      <c r="AE1874" s="10" t="s">
        <v>14231</v>
      </c>
      <c r="AF1874" s="15"/>
      <c r="AG1874" s="10"/>
      <c r="AH1874" s="10"/>
      <c r="AI1874" s="10"/>
      <c r="AJ1874" s="10"/>
      <c r="AK1874" s="10" t="s">
        <v>102</v>
      </c>
      <c r="AL1874" s="10" t="s">
        <v>7897</v>
      </c>
      <c r="AM1874" s="10"/>
      <c r="AN1874" s="10"/>
      <c r="AO1874" s="13" t="b">
        <v>0</v>
      </c>
      <c r="AP1874" s="10" t="s">
        <v>104</v>
      </c>
      <c r="AQ1874" s="10">
        <f ca="1">IFERROR(__xludf.DUMMYFUNCTION("""COMPUTED_VALUE"""),4734906)</f>
        <v>4734906</v>
      </c>
      <c r="AR1874" s="17">
        <v>129</v>
      </c>
      <c r="AS1874" s="17">
        <v>108</v>
      </c>
      <c r="AT1874" s="17">
        <v>180.25</v>
      </c>
      <c r="AU1874" s="17">
        <v>0</v>
      </c>
      <c r="AV1874" s="17">
        <v>0</v>
      </c>
      <c r="AW1874" s="10" t="s">
        <v>105</v>
      </c>
      <c r="AX1874" s="17">
        <v>24</v>
      </c>
      <c r="AY1874" s="18">
        <v>1.6689814814814814</v>
      </c>
      <c r="AZ1874" s="10"/>
      <c r="BA1874" s="20" t="b">
        <v>0</v>
      </c>
      <c r="BB1874" s="10"/>
      <c r="BC1874" s="17">
        <v>129</v>
      </c>
      <c r="BD1874" s="17">
        <v>108</v>
      </c>
      <c r="BE1874" s="17">
        <v>180.25</v>
      </c>
      <c r="BF1874" s="17">
        <v>0</v>
      </c>
      <c r="BG1874" s="11">
        <f ca="1">IFERROR(__xludf.DUMMYFUNCTION("""COMPUTED_VALUE"""),45989.125)</f>
        <v>45989.125</v>
      </c>
      <c r="BH1874" s="17" t="s">
        <v>105</v>
      </c>
      <c r="BI1874" s="17"/>
      <c r="BJ1874" s="15"/>
      <c r="BK1874" s="15"/>
      <c r="BL1874" s="13" t="b">
        <v>0</v>
      </c>
      <c r="BM1874" s="10"/>
      <c r="BN1874" s="10" t="s">
        <v>157</v>
      </c>
      <c r="BO1874" s="11">
        <v>45904.326388888891</v>
      </c>
      <c r="BP1874" s="11">
        <v>45978.626562500001</v>
      </c>
      <c r="BQ1874" s="15">
        <v>45985.779918981483</v>
      </c>
      <c r="BR1874" s="15">
        <v>45986.432118055556</v>
      </c>
      <c r="BS1874" s="10" t="s">
        <v>157</v>
      </c>
      <c r="BT1874" s="10" t="s">
        <v>99</v>
      </c>
      <c r="BU1874" s="10" t="s">
        <v>5046</v>
      </c>
      <c r="BV1874" s="10"/>
      <c r="BW1874" s="10"/>
      <c r="BX1874" s="10"/>
      <c r="BY1874" s="23"/>
      <c r="BZ1874" s="23"/>
      <c r="CA1874" s="19" t="s">
        <v>14232</v>
      </c>
      <c r="CB1874" s="19" t="s">
        <v>14233</v>
      </c>
      <c r="CC1874" s="23"/>
      <c r="CD1874" s="23"/>
      <c r="CE1874" s="23"/>
      <c r="CF1874" s="23"/>
      <c r="CG1874" s="23"/>
      <c r="CH1874" s="23"/>
      <c r="CI1874" s="23"/>
    </row>
    <row r="1875" spans="1:87" x14ac:dyDescent="0.3">
      <c r="A1875" s="9" t="s">
        <v>14234</v>
      </c>
      <c r="B1875" s="10" t="s">
        <v>14235</v>
      </c>
      <c r="C1875" s="11">
        <v>45989.125</v>
      </c>
      <c r="D1875" s="12">
        <v>8.3333333333333329E-2</v>
      </c>
      <c r="E1875" s="11">
        <v>45989.208333333336</v>
      </c>
      <c r="F1875" s="10" t="s">
        <v>8609</v>
      </c>
      <c r="G1875" s="13" t="b">
        <v>0</v>
      </c>
      <c r="H1875" s="10" t="s">
        <v>5239</v>
      </c>
      <c r="I1875" s="10" t="s">
        <v>89</v>
      </c>
      <c r="J1875" s="13" t="b">
        <v>0</v>
      </c>
      <c r="K1875" s="13" t="b">
        <v>1</v>
      </c>
      <c r="L1875" s="10" t="s">
        <v>124</v>
      </c>
      <c r="M1875" s="10" t="s">
        <v>91</v>
      </c>
      <c r="N1875" s="10" t="s">
        <v>92</v>
      </c>
      <c r="O1875" s="19" t="s">
        <v>14236</v>
      </c>
      <c r="P1875" s="10"/>
      <c r="Q1875" s="10" t="s">
        <v>94</v>
      </c>
      <c r="R1875" s="10"/>
      <c r="S1875" s="19" t="s">
        <v>14237</v>
      </c>
      <c r="T1875" s="19" t="s">
        <v>14107</v>
      </c>
      <c r="U1875" s="10" t="s">
        <v>7924</v>
      </c>
      <c r="V1875" s="10" t="s">
        <v>13726</v>
      </c>
      <c r="W1875" s="10" t="s">
        <v>8613</v>
      </c>
      <c r="X1875" s="10" t="s">
        <v>130</v>
      </c>
      <c r="Y1875" s="10" t="s">
        <v>130</v>
      </c>
      <c r="Z1875" s="10" t="s">
        <v>99</v>
      </c>
      <c r="AA1875" s="10" t="s">
        <v>131</v>
      </c>
      <c r="AB1875" s="10" t="s">
        <v>8614</v>
      </c>
      <c r="AC1875" s="10" t="s">
        <v>3571</v>
      </c>
      <c r="AD1875" s="10" t="s">
        <v>14238</v>
      </c>
      <c r="AE1875" s="10" t="s">
        <v>14239</v>
      </c>
      <c r="AF1875" s="15"/>
      <c r="AG1875" s="10"/>
      <c r="AH1875" s="10"/>
      <c r="AI1875" s="10"/>
      <c r="AJ1875" s="10"/>
      <c r="AK1875" s="10" t="s">
        <v>102</v>
      </c>
      <c r="AL1875" s="10" t="s">
        <v>7897</v>
      </c>
      <c r="AM1875" s="10"/>
      <c r="AN1875" s="10"/>
      <c r="AO1875" s="13" t="b">
        <v>0</v>
      </c>
      <c r="AP1875" s="10" t="s">
        <v>104</v>
      </c>
      <c r="AQ1875" s="10">
        <f ca="1">IFERROR(__xludf.DUMMYFUNCTION("""COMPUTED_VALUE"""),4734910)</f>
        <v>4734910</v>
      </c>
      <c r="AR1875" s="17">
        <v>211</v>
      </c>
      <c r="AS1875" s="17">
        <v>164</v>
      </c>
      <c r="AT1875" s="17">
        <v>1139</v>
      </c>
      <c r="AU1875" s="17">
        <v>0</v>
      </c>
      <c r="AV1875" s="17">
        <v>0</v>
      </c>
      <c r="AW1875" s="10" t="s">
        <v>105</v>
      </c>
      <c r="AX1875" s="17">
        <v>37</v>
      </c>
      <c r="AY1875" s="18">
        <v>6.9451219512195124</v>
      </c>
      <c r="AZ1875" s="10"/>
      <c r="BA1875" s="20" t="b">
        <v>0</v>
      </c>
      <c r="BB1875" s="10"/>
      <c r="BC1875" s="17">
        <v>211</v>
      </c>
      <c r="BD1875" s="17">
        <v>164</v>
      </c>
      <c r="BE1875" s="17">
        <v>1139</v>
      </c>
      <c r="BF1875" s="17">
        <v>0</v>
      </c>
      <c r="BG1875" s="11">
        <f ca="1">IFERROR(__xludf.DUMMYFUNCTION("""COMPUTED_VALUE"""),45989.125)</f>
        <v>45989.125</v>
      </c>
      <c r="BH1875" s="17" t="s">
        <v>105</v>
      </c>
      <c r="BI1875" s="17"/>
      <c r="BJ1875" s="15"/>
      <c r="BK1875" s="15"/>
      <c r="BL1875" s="13" t="b">
        <v>0</v>
      </c>
      <c r="BM1875" s="10"/>
      <c r="BN1875" s="10" t="s">
        <v>157</v>
      </c>
      <c r="BO1875" s="11">
        <v>45904.326388888891</v>
      </c>
      <c r="BP1875" s="11">
        <v>45978.626655092594</v>
      </c>
      <c r="BQ1875" s="15">
        <v>45985.780034722222</v>
      </c>
      <c r="BR1875" s="15">
        <v>45986.432638888888</v>
      </c>
      <c r="BS1875" s="10" t="s">
        <v>157</v>
      </c>
      <c r="BT1875" s="10" t="s">
        <v>99</v>
      </c>
      <c r="BU1875" s="10" t="s">
        <v>1264</v>
      </c>
      <c r="BV1875" s="10"/>
      <c r="BW1875" s="10"/>
      <c r="BX1875" s="10"/>
      <c r="BY1875" s="23"/>
      <c r="BZ1875" s="23"/>
      <c r="CA1875" s="19" t="s">
        <v>14240</v>
      </c>
      <c r="CB1875" s="19" t="s">
        <v>14241</v>
      </c>
      <c r="CC1875" s="23"/>
      <c r="CD1875" s="23"/>
      <c r="CE1875" s="23"/>
      <c r="CF1875" s="23"/>
      <c r="CG1875" s="23"/>
      <c r="CH1875" s="23"/>
      <c r="CI1875" s="23"/>
    </row>
    <row r="1876" spans="1:87" x14ac:dyDescent="0.3">
      <c r="A1876" s="9" t="s">
        <v>14242</v>
      </c>
      <c r="B1876" s="10" t="s">
        <v>14243</v>
      </c>
      <c r="C1876" s="11">
        <v>45989.125</v>
      </c>
      <c r="D1876" s="12">
        <v>8.3333333333333329E-2</v>
      </c>
      <c r="E1876" s="11">
        <v>45989.208333333336</v>
      </c>
      <c r="F1876" s="10" t="s">
        <v>8609</v>
      </c>
      <c r="G1876" s="13" t="b">
        <v>0</v>
      </c>
      <c r="H1876" s="10" t="s">
        <v>5239</v>
      </c>
      <c r="I1876" s="10" t="s">
        <v>89</v>
      </c>
      <c r="J1876" s="13" t="b">
        <v>0</v>
      </c>
      <c r="K1876" s="13" t="b">
        <v>1</v>
      </c>
      <c r="L1876" s="10" t="s">
        <v>124</v>
      </c>
      <c r="M1876" s="10" t="s">
        <v>91</v>
      </c>
      <c r="N1876" s="10" t="s">
        <v>92</v>
      </c>
      <c r="O1876" s="19" t="s">
        <v>14244</v>
      </c>
      <c r="P1876" s="10"/>
      <c r="Q1876" s="10" t="s">
        <v>94</v>
      </c>
      <c r="R1876" s="10"/>
      <c r="S1876" s="19" t="s">
        <v>14245</v>
      </c>
      <c r="T1876" s="19" t="s">
        <v>14107</v>
      </c>
      <c r="U1876" s="10" t="s">
        <v>13686</v>
      </c>
      <c r="V1876" s="10" t="s">
        <v>13636</v>
      </c>
      <c r="W1876" s="10" t="s">
        <v>8613</v>
      </c>
      <c r="X1876" s="10" t="s">
        <v>130</v>
      </c>
      <c r="Y1876" s="10" t="s">
        <v>130</v>
      </c>
      <c r="Z1876" s="10" t="s">
        <v>99</v>
      </c>
      <c r="AA1876" s="10" t="s">
        <v>131</v>
      </c>
      <c r="AB1876" s="10" t="s">
        <v>8614</v>
      </c>
      <c r="AC1876" s="10" t="s">
        <v>3571</v>
      </c>
      <c r="AD1876" s="10" t="s">
        <v>14246</v>
      </c>
      <c r="AE1876" s="10" t="s">
        <v>14247</v>
      </c>
      <c r="AF1876" s="15"/>
      <c r="AG1876" s="10"/>
      <c r="AH1876" s="10"/>
      <c r="AI1876" s="10"/>
      <c r="AJ1876" s="10"/>
      <c r="AK1876" s="10" t="s">
        <v>102</v>
      </c>
      <c r="AL1876" s="10" t="s">
        <v>7897</v>
      </c>
      <c r="AM1876" s="10"/>
      <c r="AN1876" s="10"/>
      <c r="AO1876" s="13" t="b">
        <v>0</v>
      </c>
      <c r="AP1876" s="10" t="s">
        <v>104</v>
      </c>
      <c r="AQ1876" s="10">
        <f ca="1">IFERROR(__xludf.DUMMYFUNCTION("""COMPUTED_VALUE"""),4734909)</f>
        <v>4734909</v>
      </c>
      <c r="AR1876" s="17">
        <v>195</v>
      </c>
      <c r="AS1876" s="17">
        <v>148</v>
      </c>
      <c r="AT1876" s="17">
        <v>910.5</v>
      </c>
      <c r="AU1876" s="17">
        <v>0</v>
      </c>
      <c r="AV1876" s="17">
        <v>0</v>
      </c>
      <c r="AW1876" s="10" t="s">
        <v>105</v>
      </c>
      <c r="AX1876" s="17">
        <v>28</v>
      </c>
      <c r="AY1876" s="18">
        <v>6.1520270270270272</v>
      </c>
      <c r="AZ1876" s="10"/>
      <c r="BA1876" s="20" t="b">
        <v>0</v>
      </c>
      <c r="BB1876" s="10"/>
      <c r="BC1876" s="17">
        <v>195</v>
      </c>
      <c r="BD1876" s="17">
        <v>148</v>
      </c>
      <c r="BE1876" s="17">
        <v>910.5</v>
      </c>
      <c r="BF1876" s="17">
        <v>0</v>
      </c>
      <c r="BG1876" s="11">
        <f ca="1">IFERROR(__xludf.DUMMYFUNCTION("""COMPUTED_VALUE"""),45989.125)</f>
        <v>45989.125</v>
      </c>
      <c r="BH1876" s="17" t="s">
        <v>105</v>
      </c>
      <c r="BI1876" s="17"/>
      <c r="BJ1876" s="15"/>
      <c r="BK1876" s="15"/>
      <c r="BL1876" s="13" t="b">
        <v>0</v>
      </c>
      <c r="BM1876" s="10"/>
      <c r="BN1876" s="10" t="s">
        <v>157</v>
      </c>
      <c r="BO1876" s="11">
        <v>45904.326388888891</v>
      </c>
      <c r="BP1876" s="11">
        <v>45978.626747685186</v>
      </c>
      <c r="BQ1876" s="15">
        <v>45985.78</v>
      </c>
      <c r="BR1876" s="15">
        <v>45986.432453703703</v>
      </c>
      <c r="BS1876" s="10" t="s">
        <v>157</v>
      </c>
      <c r="BT1876" s="10" t="s">
        <v>99</v>
      </c>
      <c r="BU1876" s="10" t="s">
        <v>5762</v>
      </c>
      <c r="BV1876" s="10"/>
      <c r="BW1876" s="10"/>
      <c r="BX1876" s="10"/>
      <c r="BY1876" s="23"/>
      <c r="BZ1876" s="23"/>
      <c r="CA1876" s="19" t="s">
        <v>14248</v>
      </c>
      <c r="CB1876" s="19" t="s">
        <v>14249</v>
      </c>
      <c r="CC1876" s="23"/>
      <c r="CD1876" s="23"/>
      <c r="CE1876" s="23"/>
      <c r="CF1876" s="23"/>
      <c r="CG1876" s="23"/>
      <c r="CH1876" s="23"/>
      <c r="CI1876" s="23"/>
    </row>
    <row r="1877" spans="1:87" x14ac:dyDescent="0.3">
      <c r="A1877" s="9" t="s">
        <v>14250</v>
      </c>
      <c r="B1877" s="10" t="s">
        <v>14251</v>
      </c>
      <c r="C1877" s="11">
        <v>46003.03125</v>
      </c>
      <c r="D1877" s="12">
        <v>8.3333333333333329E-2</v>
      </c>
      <c r="E1877" s="11">
        <v>46003.114583333336</v>
      </c>
      <c r="F1877" s="10" t="s">
        <v>8609</v>
      </c>
      <c r="G1877" s="13" t="b">
        <v>0</v>
      </c>
      <c r="H1877" s="10" t="s">
        <v>5239</v>
      </c>
      <c r="I1877" s="10" t="s">
        <v>89</v>
      </c>
      <c r="J1877" s="13" t="b">
        <v>0</v>
      </c>
      <c r="K1877" s="13" t="b">
        <v>1</v>
      </c>
      <c r="L1877" s="10" t="s">
        <v>124</v>
      </c>
      <c r="M1877" s="10" t="s">
        <v>91</v>
      </c>
      <c r="N1877" s="10" t="s">
        <v>92</v>
      </c>
      <c r="O1877" s="19" t="s">
        <v>14252</v>
      </c>
      <c r="P1877" s="10"/>
      <c r="Q1877" s="10" t="s">
        <v>126</v>
      </c>
      <c r="R1877" s="10"/>
      <c r="S1877" s="19" t="s">
        <v>14253</v>
      </c>
      <c r="T1877" s="19" t="s">
        <v>14254</v>
      </c>
      <c r="U1877" s="10" t="s">
        <v>3240</v>
      </c>
      <c r="V1877" s="10" t="s">
        <v>13706</v>
      </c>
      <c r="W1877" s="10" t="s">
        <v>8613</v>
      </c>
      <c r="X1877" s="10" t="s">
        <v>130</v>
      </c>
      <c r="Y1877" s="10" t="s">
        <v>130</v>
      </c>
      <c r="Z1877" s="10" t="s">
        <v>99</v>
      </c>
      <c r="AA1877" s="10" t="s">
        <v>131</v>
      </c>
      <c r="AB1877" s="10" t="s">
        <v>8614</v>
      </c>
      <c r="AC1877" s="10" t="s">
        <v>3571</v>
      </c>
      <c r="AD1877" s="10" t="s">
        <v>14255</v>
      </c>
      <c r="AE1877" s="10" t="s">
        <v>14256</v>
      </c>
      <c r="AF1877" s="15"/>
      <c r="AG1877" s="10"/>
      <c r="AH1877" s="10"/>
      <c r="AI1877" s="10"/>
      <c r="AJ1877" s="10"/>
      <c r="AK1877" s="10" t="s">
        <v>102</v>
      </c>
      <c r="AL1877" s="10" t="s">
        <v>7897</v>
      </c>
      <c r="AM1877" s="10"/>
      <c r="AN1877" s="10"/>
      <c r="AO1877" s="13" t="b">
        <v>0</v>
      </c>
      <c r="AP1877" s="10" t="s">
        <v>104</v>
      </c>
      <c r="AQ1877" s="10">
        <f ca="1">IFERROR(__xludf.DUMMYFUNCTION("""COMPUTED_VALUE"""),4771647)</f>
        <v>4771647</v>
      </c>
      <c r="AR1877" s="17">
        <v>2368</v>
      </c>
      <c r="AS1877" s="17">
        <v>1913</v>
      </c>
      <c r="AT1877" s="17">
        <v>52480.25</v>
      </c>
      <c r="AU1877" s="17">
        <v>2.95</v>
      </c>
      <c r="AV1877" s="17">
        <v>0.75</v>
      </c>
      <c r="AW1877" s="10" t="s">
        <v>105</v>
      </c>
      <c r="AX1877" s="17">
        <v>591</v>
      </c>
      <c r="AY1877" s="18">
        <v>27.433481442760062</v>
      </c>
      <c r="AZ1877" s="10"/>
      <c r="BA1877" s="20" t="b">
        <v>0</v>
      </c>
      <c r="BB1877" s="10"/>
      <c r="BC1877" s="17">
        <v>2368</v>
      </c>
      <c r="BD1877" s="17">
        <v>1913</v>
      </c>
      <c r="BE1877" s="17">
        <v>52480.25</v>
      </c>
      <c r="BF1877" s="17">
        <v>0.75</v>
      </c>
      <c r="BG1877" s="11">
        <f ca="1">IFERROR(__xludf.DUMMYFUNCTION("""COMPUTED_VALUE"""),46003.03125)</f>
        <v>46003.03125</v>
      </c>
      <c r="BH1877" s="17" t="s">
        <v>105</v>
      </c>
      <c r="BI1877" s="17"/>
      <c r="BJ1877" s="15"/>
      <c r="BK1877" s="15"/>
      <c r="BL1877" s="13" t="b">
        <v>0</v>
      </c>
      <c r="BM1877" s="10"/>
      <c r="BN1877" s="10" t="s">
        <v>1057</v>
      </c>
      <c r="BO1877" s="11">
        <v>45904.326388888891</v>
      </c>
      <c r="BP1877" s="11">
        <v>45993.718298611115</v>
      </c>
      <c r="BQ1877" s="15">
        <v>45996.746238425927</v>
      </c>
      <c r="BR1877" s="15">
        <v>45999.401574074072</v>
      </c>
      <c r="BS1877" s="10"/>
      <c r="BT1877" s="10" t="s">
        <v>279</v>
      </c>
      <c r="BU1877" s="10"/>
      <c r="BV1877" s="10"/>
      <c r="BW1877" s="10"/>
      <c r="BX1877" s="10"/>
      <c r="BY1877" s="23"/>
      <c r="BZ1877" s="23"/>
      <c r="CA1877" s="19" t="s">
        <v>14257</v>
      </c>
      <c r="CB1877" s="19" t="s">
        <v>14258</v>
      </c>
      <c r="CC1877" s="23"/>
      <c r="CD1877" s="19" t="s">
        <v>14259</v>
      </c>
      <c r="CE1877" s="23"/>
      <c r="CF1877" s="23"/>
      <c r="CG1877" s="23"/>
      <c r="CH1877" s="23"/>
      <c r="CI1877" s="23"/>
    </row>
    <row r="1878" spans="1:87" x14ac:dyDescent="0.3">
      <c r="A1878" s="9" t="s">
        <v>14260</v>
      </c>
      <c r="B1878" s="10" t="s">
        <v>14261</v>
      </c>
      <c r="C1878" s="11">
        <v>46003.03125</v>
      </c>
      <c r="D1878" s="12">
        <v>8.3333333333333329E-2</v>
      </c>
      <c r="E1878" s="11">
        <v>46003.114583333336</v>
      </c>
      <c r="F1878" s="10" t="s">
        <v>8609</v>
      </c>
      <c r="G1878" s="13" t="b">
        <v>0</v>
      </c>
      <c r="H1878" s="10" t="s">
        <v>5239</v>
      </c>
      <c r="I1878" s="10" t="s">
        <v>89</v>
      </c>
      <c r="J1878" s="13" t="b">
        <v>0</v>
      </c>
      <c r="K1878" s="13" t="b">
        <v>1</v>
      </c>
      <c r="L1878" s="10" t="s">
        <v>124</v>
      </c>
      <c r="M1878" s="10" t="s">
        <v>91</v>
      </c>
      <c r="N1878" s="10" t="s">
        <v>92</v>
      </c>
      <c r="O1878" s="19" t="s">
        <v>14262</v>
      </c>
      <c r="P1878" s="10"/>
      <c r="Q1878" s="10" t="s">
        <v>94</v>
      </c>
      <c r="R1878" s="10"/>
      <c r="S1878" s="19" t="s">
        <v>14263</v>
      </c>
      <c r="T1878" s="19" t="s">
        <v>14264</v>
      </c>
      <c r="U1878" s="10" t="s">
        <v>13717</v>
      </c>
      <c r="V1878" s="10" t="s">
        <v>13727</v>
      </c>
      <c r="W1878" s="10" t="s">
        <v>8613</v>
      </c>
      <c r="X1878" s="10" t="s">
        <v>130</v>
      </c>
      <c r="Y1878" s="10" t="s">
        <v>130</v>
      </c>
      <c r="Z1878" s="10" t="s">
        <v>99</v>
      </c>
      <c r="AA1878" s="10" t="s">
        <v>131</v>
      </c>
      <c r="AB1878" s="10" t="s">
        <v>8614</v>
      </c>
      <c r="AC1878" s="10" t="s">
        <v>3571</v>
      </c>
      <c r="AD1878" s="10" t="s">
        <v>14265</v>
      </c>
      <c r="AE1878" s="10" t="s">
        <v>14266</v>
      </c>
      <c r="AF1878" s="15"/>
      <c r="AG1878" s="10"/>
      <c r="AH1878" s="10"/>
      <c r="AI1878" s="10"/>
      <c r="AJ1878" s="10"/>
      <c r="AK1878" s="10" t="s">
        <v>102</v>
      </c>
      <c r="AL1878" s="10" t="s">
        <v>7897</v>
      </c>
      <c r="AM1878" s="10"/>
      <c r="AN1878" s="10"/>
      <c r="AO1878" s="13" t="b">
        <v>0</v>
      </c>
      <c r="AP1878" s="10" t="s">
        <v>104</v>
      </c>
      <c r="AQ1878" s="10">
        <f ca="1">IFERROR(__xludf.DUMMYFUNCTION("""COMPUTED_VALUE"""),4771643)</f>
        <v>4771643</v>
      </c>
      <c r="AR1878" s="17">
        <v>261</v>
      </c>
      <c r="AS1878" s="17">
        <v>220</v>
      </c>
      <c r="AT1878" s="17">
        <v>1982.5</v>
      </c>
      <c r="AU1878" s="17">
        <v>0</v>
      </c>
      <c r="AV1878" s="17">
        <v>0</v>
      </c>
      <c r="AW1878" s="10" t="s">
        <v>105</v>
      </c>
      <c r="AX1878" s="17">
        <v>30</v>
      </c>
      <c r="AY1878" s="18">
        <v>9.0113636363636367</v>
      </c>
      <c r="AZ1878" s="10"/>
      <c r="BA1878" s="20" t="b">
        <v>0</v>
      </c>
      <c r="BB1878" s="10"/>
      <c r="BC1878" s="17">
        <v>261</v>
      </c>
      <c r="BD1878" s="17">
        <v>220</v>
      </c>
      <c r="BE1878" s="17">
        <v>1982.5</v>
      </c>
      <c r="BF1878" s="17">
        <v>0</v>
      </c>
      <c r="BG1878" s="11">
        <f ca="1">IFERROR(__xludf.DUMMYFUNCTION("""COMPUTED_VALUE"""),46003.03125)</f>
        <v>46003.03125</v>
      </c>
      <c r="BH1878" s="17" t="s">
        <v>105</v>
      </c>
      <c r="BI1878" s="17"/>
      <c r="BJ1878" s="15"/>
      <c r="BK1878" s="15"/>
      <c r="BL1878" s="13" t="b">
        <v>0</v>
      </c>
      <c r="BM1878" s="10"/>
      <c r="BN1878" s="10" t="s">
        <v>118</v>
      </c>
      <c r="BO1878" s="11">
        <v>45904.326388888891</v>
      </c>
      <c r="BP1878" s="11">
        <v>45993.718449074076</v>
      </c>
      <c r="BQ1878" s="15">
        <v>45996.747384259259</v>
      </c>
      <c r="BR1878" s="15">
        <v>45999.401331018518</v>
      </c>
      <c r="BS1878" s="10" t="s">
        <v>118</v>
      </c>
      <c r="BT1878" s="10" t="s">
        <v>99</v>
      </c>
      <c r="BU1878" s="10"/>
      <c r="BV1878" s="10"/>
      <c r="BW1878" s="10"/>
      <c r="BX1878" s="10"/>
      <c r="BY1878" s="23"/>
      <c r="BZ1878" s="23"/>
      <c r="CA1878" s="19" t="s">
        <v>14267</v>
      </c>
      <c r="CB1878" s="19" t="s">
        <v>14268</v>
      </c>
      <c r="CC1878" s="23"/>
      <c r="CD1878" s="23"/>
      <c r="CE1878" s="23"/>
      <c r="CF1878" s="23"/>
      <c r="CG1878" s="23"/>
      <c r="CH1878" s="23"/>
      <c r="CI1878" s="23"/>
    </row>
    <row r="1879" spans="1:87" x14ac:dyDescent="0.3">
      <c r="A1879" s="9" t="s">
        <v>14269</v>
      </c>
      <c r="B1879" s="10" t="s">
        <v>14270</v>
      </c>
      <c r="C1879" s="11">
        <v>46003.03125</v>
      </c>
      <c r="D1879" s="12">
        <v>8.3333333333333329E-2</v>
      </c>
      <c r="E1879" s="11">
        <v>46003.114583333336</v>
      </c>
      <c r="F1879" s="10" t="s">
        <v>8609</v>
      </c>
      <c r="G1879" s="13" t="b">
        <v>0</v>
      </c>
      <c r="H1879" s="10" t="s">
        <v>5239</v>
      </c>
      <c r="I1879" s="10" t="s">
        <v>89</v>
      </c>
      <c r="J1879" s="13" t="b">
        <v>0</v>
      </c>
      <c r="K1879" s="13" t="b">
        <v>1</v>
      </c>
      <c r="L1879" s="10" t="s">
        <v>124</v>
      </c>
      <c r="M1879" s="10" t="s">
        <v>91</v>
      </c>
      <c r="N1879" s="10" t="s">
        <v>92</v>
      </c>
      <c r="O1879" s="19" t="s">
        <v>14271</v>
      </c>
      <c r="P1879" s="10"/>
      <c r="Q1879" s="10" t="s">
        <v>94</v>
      </c>
      <c r="R1879" s="10"/>
      <c r="S1879" s="19" t="s">
        <v>14272</v>
      </c>
      <c r="T1879" s="19" t="s">
        <v>14273</v>
      </c>
      <c r="U1879" s="10" t="s">
        <v>13676</v>
      </c>
      <c r="V1879" s="10" t="s">
        <v>7812</v>
      </c>
      <c r="W1879" s="10" t="s">
        <v>8613</v>
      </c>
      <c r="X1879" s="10" t="s">
        <v>130</v>
      </c>
      <c r="Y1879" s="10" t="s">
        <v>130</v>
      </c>
      <c r="Z1879" s="10" t="s">
        <v>99</v>
      </c>
      <c r="AA1879" s="10" t="s">
        <v>131</v>
      </c>
      <c r="AB1879" s="10" t="s">
        <v>8614</v>
      </c>
      <c r="AC1879" s="10" t="s">
        <v>3571</v>
      </c>
      <c r="AD1879" s="10" t="s">
        <v>14274</v>
      </c>
      <c r="AE1879" s="10" t="s">
        <v>14275</v>
      </c>
      <c r="AF1879" s="15"/>
      <c r="AG1879" s="10"/>
      <c r="AH1879" s="10"/>
      <c r="AI1879" s="10"/>
      <c r="AJ1879" s="10"/>
      <c r="AK1879" s="10" t="s">
        <v>102</v>
      </c>
      <c r="AL1879" s="10" t="s">
        <v>7897</v>
      </c>
      <c r="AM1879" s="10"/>
      <c r="AN1879" s="10"/>
      <c r="AO1879" s="13" t="b">
        <v>0</v>
      </c>
      <c r="AP1879" s="10" t="s">
        <v>104</v>
      </c>
      <c r="AQ1879" s="10">
        <f ca="1">IFERROR(__xludf.DUMMYFUNCTION("""COMPUTED_VALUE"""),4771657)</f>
        <v>4771657</v>
      </c>
      <c r="AR1879" s="17">
        <v>268</v>
      </c>
      <c r="AS1879" s="17">
        <v>227</v>
      </c>
      <c r="AT1879" s="17">
        <v>1212.5</v>
      </c>
      <c r="AU1879" s="17">
        <v>0</v>
      </c>
      <c r="AV1879" s="17">
        <v>0</v>
      </c>
      <c r="AW1879" s="10" t="s">
        <v>105</v>
      </c>
      <c r="AX1879" s="17">
        <v>39</v>
      </c>
      <c r="AY1879" s="18">
        <v>5.3414096916299556</v>
      </c>
      <c r="AZ1879" s="10"/>
      <c r="BA1879" s="20" t="b">
        <v>0</v>
      </c>
      <c r="BB1879" s="10"/>
      <c r="BC1879" s="17">
        <v>268</v>
      </c>
      <c r="BD1879" s="17">
        <v>227</v>
      </c>
      <c r="BE1879" s="17">
        <v>1212.5</v>
      </c>
      <c r="BF1879" s="17">
        <v>0</v>
      </c>
      <c r="BG1879" s="11">
        <f ca="1">IFERROR(__xludf.DUMMYFUNCTION("""COMPUTED_VALUE"""),46003.03125)</f>
        <v>46003.03125</v>
      </c>
      <c r="BH1879" s="17" t="s">
        <v>105</v>
      </c>
      <c r="BI1879" s="17"/>
      <c r="BJ1879" s="15"/>
      <c r="BK1879" s="15"/>
      <c r="BL1879" s="13" t="b">
        <v>0</v>
      </c>
      <c r="BM1879" s="10"/>
      <c r="BN1879" s="10" t="s">
        <v>118</v>
      </c>
      <c r="BO1879" s="11">
        <v>45904.326388888891</v>
      </c>
      <c r="BP1879" s="11">
        <v>45993.718553240738</v>
      </c>
      <c r="BQ1879" s="15">
        <v>45996.749872685185</v>
      </c>
      <c r="BR1879" s="15">
        <v>45999.402245370373</v>
      </c>
      <c r="BS1879" s="10" t="s">
        <v>118</v>
      </c>
      <c r="BT1879" s="10" t="s">
        <v>99</v>
      </c>
      <c r="BU1879" s="10"/>
      <c r="BV1879" s="10"/>
      <c r="BW1879" s="10"/>
      <c r="BX1879" s="10"/>
      <c r="BY1879" s="23"/>
      <c r="BZ1879" s="23"/>
      <c r="CA1879" s="19" t="s">
        <v>14276</v>
      </c>
      <c r="CB1879" s="19" t="s">
        <v>14277</v>
      </c>
      <c r="CC1879" s="23"/>
      <c r="CD1879" s="23"/>
      <c r="CE1879" s="23"/>
      <c r="CF1879" s="23"/>
      <c r="CG1879" s="23"/>
      <c r="CH1879" s="23"/>
      <c r="CI1879" s="23"/>
    </row>
    <row r="1880" spans="1:87" x14ac:dyDescent="0.3">
      <c r="A1880" s="9" t="s">
        <v>14278</v>
      </c>
      <c r="B1880" s="10" t="s">
        <v>14279</v>
      </c>
      <c r="C1880" s="11">
        <v>46003.03125</v>
      </c>
      <c r="D1880" s="12">
        <v>8.3333333333333329E-2</v>
      </c>
      <c r="E1880" s="11">
        <v>46003.114583333336</v>
      </c>
      <c r="F1880" s="10" t="s">
        <v>8609</v>
      </c>
      <c r="G1880" s="13" t="b">
        <v>0</v>
      </c>
      <c r="H1880" s="10" t="s">
        <v>5239</v>
      </c>
      <c r="I1880" s="10" t="s">
        <v>89</v>
      </c>
      <c r="J1880" s="13" t="b">
        <v>0</v>
      </c>
      <c r="K1880" s="13" t="b">
        <v>1</v>
      </c>
      <c r="L1880" s="10" t="s">
        <v>124</v>
      </c>
      <c r="M1880" s="10" t="s">
        <v>91</v>
      </c>
      <c r="N1880" s="10" t="s">
        <v>92</v>
      </c>
      <c r="O1880" s="19" t="s">
        <v>14280</v>
      </c>
      <c r="P1880" s="10"/>
      <c r="Q1880" s="10" t="s">
        <v>94</v>
      </c>
      <c r="R1880" s="10"/>
      <c r="S1880" s="19" t="s">
        <v>14281</v>
      </c>
      <c r="T1880" s="19" t="s">
        <v>14282</v>
      </c>
      <c r="U1880" s="10" t="s">
        <v>13637</v>
      </c>
      <c r="V1880" s="10" t="s">
        <v>3727</v>
      </c>
      <c r="W1880" s="10" t="s">
        <v>8613</v>
      </c>
      <c r="X1880" s="10" t="s">
        <v>130</v>
      </c>
      <c r="Y1880" s="10" t="s">
        <v>130</v>
      </c>
      <c r="Z1880" s="10" t="s">
        <v>99</v>
      </c>
      <c r="AA1880" s="10" t="s">
        <v>131</v>
      </c>
      <c r="AB1880" s="10" t="s">
        <v>8614</v>
      </c>
      <c r="AC1880" s="10" t="s">
        <v>3571</v>
      </c>
      <c r="AD1880" s="10" t="s">
        <v>14283</v>
      </c>
      <c r="AE1880" s="10" t="s">
        <v>14284</v>
      </c>
      <c r="AF1880" s="15"/>
      <c r="AG1880" s="10"/>
      <c r="AH1880" s="10"/>
      <c r="AI1880" s="10"/>
      <c r="AJ1880" s="10"/>
      <c r="AK1880" s="10" t="s">
        <v>102</v>
      </c>
      <c r="AL1880" s="10" t="s">
        <v>7897</v>
      </c>
      <c r="AM1880" s="10"/>
      <c r="AN1880" s="10"/>
      <c r="AO1880" s="13" t="b">
        <v>0</v>
      </c>
      <c r="AP1880" s="10" t="s">
        <v>104</v>
      </c>
      <c r="AQ1880" s="10">
        <f ca="1">IFERROR(__xludf.DUMMYFUNCTION("""COMPUTED_VALUE"""),4771645)</f>
        <v>4771645</v>
      </c>
      <c r="AR1880" s="17">
        <v>618</v>
      </c>
      <c r="AS1880" s="17">
        <v>470</v>
      </c>
      <c r="AT1880" s="17">
        <v>4273.5</v>
      </c>
      <c r="AU1880" s="17">
        <v>1.35</v>
      </c>
      <c r="AV1880" s="17">
        <v>0.5</v>
      </c>
      <c r="AW1880" s="10" t="s">
        <v>105</v>
      </c>
      <c r="AX1880" s="17">
        <v>80</v>
      </c>
      <c r="AY1880" s="18">
        <v>9.0925531914893618</v>
      </c>
      <c r="AZ1880" s="10"/>
      <c r="BA1880" s="20" t="b">
        <v>0</v>
      </c>
      <c r="BB1880" s="10"/>
      <c r="BC1880" s="17">
        <v>618</v>
      </c>
      <c r="BD1880" s="17">
        <v>470</v>
      </c>
      <c r="BE1880" s="17">
        <v>4273.5</v>
      </c>
      <c r="BF1880" s="17">
        <v>0.5</v>
      </c>
      <c r="BG1880" s="11">
        <f ca="1">IFERROR(__xludf.DUMMYFUNCTION("""COMPUTED_VALUE"""),46003.03125)</f>
        <v>46003.03125</v>
      </c>
      <c r="BH1880" s="17" t="s">
        <v>105</v>
      </c>
      <c r="BI1880" s="17"/>
      <c r="BJ1880" s="15"/>
      <c r="BK1880" s="15"/>
      <c r="BL1880" s="13" t="b">
        <v>0</v>
      </c>
      <c r="BM1880" s="10"/>
      <c r="BN1880" s="10" t="s">
        <v>118</v>
      </c>
      <c r="BO1880" s="11">
        <v>45904.326388888891</v>
      </c>
      <c r="BP1880" s="11">
        <v>45993.718645833331</v>
      </c>
      <c r="BQ1880" s="15">
        <v>45996.747569444444</v>
      </c>
      <c r="BR1880" s="15">
        <v>45999.401446759257</v>
      </c>
      <c r="BS1880" s="10" t="s">
        <v>118</v>
      </c>
      <c r="BT1880" s="10" t="s">
        <v>99</v>
      </c>
      <c r="BU1880" s="10"/>
      <c r="BV1880" s="10"/>
      <c r="BW1880" s="10"/>
      <c r="BX1880" s="10"/>
      <c r="BY1880" s="23"/>
      <c r="BZ1880" s="23"/>
      <c r="CA1880" s="19" t="s">
        <v>14285</v>
      </c>
      <c r="CB1880" s="19" t="s">
        <v>14286</v>
      </c>
      <c r="CC1880" s="23"/>
      <c r="CD1880" s="23"/>
      <c r="CE1880" s="23"/>
      <c r="CF1880" s="23"/>
      <c r="CG1880" s="23"/>
      <c r="CH1880" s="23"/>
      <c r="CI1880" s="23"/>
    </row>
    <row r="1881" spans="1:87" x14ac:dyDescent="0.3">
      <c r="A1881" s="9" t="s">
        <v>14287</v>
      </c>
      <c r="B1881" s="10" t="s">
        <v>14288</v>
      </c>
      <c r="C1881" s="11">
        <v>46003.03125</v>
      </c>
      <c r="D1881" s="12">
        <v>8.3333333333333329E-2</v>
      </c>
      <c r="E1881" s="11">
        <v>46003.114583333336</v>
      </c>
      <c r="F1881" s="10" t="s">
        <v>8609</v>
      </c>
      <c r="G1881" s="13" t="b">
        <v>0</v>
      </c>
      <c r="H1881" s="10" t="s">
        <v>5239</v>
      </c>
      <c r="I1881" s="10" t="s">
        <v>89</v>
      </c>
      <c r="J1881" s="13" t="b">
        <v>0</v>
      </c>
      <c r="K1881" s="13" t="b">
        <v>1</v>
      </c>
      <c r="L1881" s="10" t="s">
        <v>124</v>
      </c>
      <c r="M1881" s="10" t="s">
        <v>91</v>
      </c>
      <c r="N1881" s="10" t="s">
        <v>92</v>
      </c>
      <c r="O1881" s="19" t="s">
        <v>14289</v>
      </c>
      <c r="P1881" s="10"/>
      <c r="Q1881" s="10" t="s">
        <v>94</v>
      </c>
      <c r="R1881" s="10"/>
      <c r="S1881" s="19" t="s">
        <v>14290</v>
      </c>
      <c r="T1881" s="19" t="s">
        <v>14291</v>
      </c>
      <c r="U1881" s="10" t="s">
        <v>13737</v>
      </c>
      <c r="V1881" s="10" t="s">
        <v>13726</v>
      </c>
      <c r="W1881" s="10" t="s">
        <v>8613</v>
      </c>
      <c r="X1881" s="10" t="s">
        <v>130</v>
      </c>
      <c r="Y1881" s="10" t="s">
        <v>130</v>
      </c>
      <c r="Z1881" s="10" t="s">
        <v>99</v>
      </c>
      <c r="AA1881" s="10" t="s">
        <v>131</v>
      </c>
      <c r="AB1881" s="10" t="s">
        <v>8614</v>
      </c>
      <c r="AC1881" s="10" t="s">
        <v>3571</v>
      </c>
      <c r="AD1881" s="10" t="s">
        <v>14292</v>
      </c>
      <c r="AE1881" s="10" t="s">
        <v>14293</v>
      </c>
      <c r="AF1881" s="15"/>
      <c r="AG1881" s="10"/>
      <c r="AH1881" s="10"/>
      <c r="AI1881" s="10"/>
      <c r="AJ1881" s="10"/>
      <c r="AK1881" s="10" t="s">
        <v>102</v>
      </c>
      <c r="AL1881" s="10" t="s">
        <v>7897</v>
      </c>
      <c r="AM1881" s="10"/>
      <c r="AN1881" s="10"/>
      <c r="AO1881" s="13" t="b">
        <v>0</v>
      </c>
      <c r="AP1881" s="10" t="s">
        <v>104</v>
      </c>
      <c r="AQ1881" s="10">
        <f ca="1">IFERROR(__xludf.DUMMYFUNCTION("""COMPUTED_VALUE"""),4771659)</f>
        <v>4771659</v>
      </c>
      <c r="AR1881" s="17">
        <v>307</v>
      </c>
      <c r="AS1881" s="17">
        <v>222</v>
      </c>
      <c r="AT1881" s="17">
        <v>1466.5</v>
      </c>
      <c r="AU1881" s="17">
        <v>0</v>
      </c>
      <c r="AV1881" s="17">
        <v>0</v>
      </c>
      <c r="AW1881" s="10" t="s">
        <v>105</v>
      </c>
      <c r="AX1881" s="17">
        <v>50</v>
      </c>
      <c r="AY1881" s="18">
        <v>6.6058558558558556</v>
      </c>
      <c r="AZ1881" s="10"/>
      <c r="BA1881" s="20" t="b">
        <v>0</v>
      </c>
      <c r="BB1881" s="10"/>
      <c r="BC1881" s="17">
        <v>307</v>
      </c>
      <c r="BD1881" s="17">
        <v>222</v>
      </c>
      <c r="BE1881" s="17">
        <v>1466.5</v>
      </c>
      <c r="BF1881" s="17">
        <v>0</v>
      </c>
      <c r="BG1881" s="11">
        <f ca="1">IFERROR(__xludf.DUMMYFUNCTION("""COMPUTED_VALUE"""),46003.03125)</f>
        <v>46003.03125</v>
      </c>
      <c r="BH1881" s="17" t="s">
        <v>105</v>
      </c>
      <c r="BI1881" s="17"/>
      <c r="BJ1881" s="15"/>
      <c r="BK1881" s="15"/>
      <c r="BL1881" s="13" t="b">
        <v>0</v>
      </c>
      <c r="BM1881" s="10"/>
      <c r="BN1881" s="10" t="s">
        <v>118</v>
      </c>
      <c r="BO1881" s="11">
        <v>45904.326388888891</v>
      </c>
      <c r="BP1881" s="11">
        <v>45993.718738425923</v>
      </c>
      <c r="BQ1881" s="15">
        <v>45996.750057870369</v>
      </c>
      <c r="BR1881" s="15">
        <v>45999.402372685188</v>
      </c>
      <c r="BS1881" s="10" t="s">
        <v>118</v>
      </c>
      <c r="BT1881" s="10" t="s">
        <v>99</v>
      </c>
      <c r="BU1881" s="10"/>
      <c r="BV1881" s="10"/>
      <c r="BW1881" s="10"/>
      <c r="BX1881" s="10"/>
      <c r="BY1881" s="23"/>
      <c r="BZ1881" s="23"/>
      <c r="CA1881" s="19" t="s">
        <v>14294</v>
      </c>
      <c r="CB1881" s="19" t="s">
        <v>14295</v>
      </c>
      <c r="CC1881" s="23"/>
      <c r="CD1881" s="23"/>
      <c r="CE1881" s="23"/>
      <c r="CF1881" s="23"/>
      <c r="CG1881" s="23"/>
      <c r="CH1881" s="23"/>
      <c r="CI1881" s="23"/>
    </row>
    <row r="1882" spans="1:87" x14ac:dyDescent="0.3">
      <c r="A1882" s="9" t="s">
        <v>14296</v>
      </c>
      <c r="B1882" s="10" t="s">
        <v>14297</v>
      </c>
      <c r="C1882" s="11">
        <v>46003.03125</v>
      </c>
      <c r="D1882" s="12">
        <v>8.3333333333333329E-2</v>
      </c>
      <c r="E1882" s="11">
        <v>46003.114583333336</v>
      </c>
      <c r="F1882" s="10" t="s">
        <v>8609</v>
      </c>
      <c r="G1882" s="13" t="b">
        <v>0</v>
      </c>
      <c r="H1882" s="10" t="s">
        <v>5239</v>
      </c>
      <c r="I1882" s="10" t="s">
        <v>89</v>
      </c>
      <c r="J1882" s="13" t="b">
        <v>0</v>
      </c>
      <c r="K1882" s="13" t="b">
        <v>1</v>
      </c>
      <c r="L1882" s="10" t="s">
        <v>124</v>
      </c>
      <c r="M1882" s="10" t="s">
        <v>91</v>
      </c>
      <c r="N1882" s="10" t="s">
        <v>92</v>
      </c>
      <c r="O1882" s="19" t="s">
        <v>14298</v>
      </c>
      <c r="P1882" s="10"/>
      <c r="Q1882" s="10" t="s">
        <v>94</v>
      </c>
      <c r="R1882" s="10"/>
      <c r="S1882" s="19" t="s">
        <v>14299</v>
      </c>
      <c r="T1882" s="19" t="s">
        <v>14264</v>
      </c>
      <c r="U1882" s="10" t="s">
        <v>13747</v>
      </c>
      <c r="V1882" s="10" t="s">
        <v>7923</v>
      </c>
      <c r="W1882" s="10" t="s">
        <v>8613</v>
      </c>
      <c r="X1882" s="10" t="s">
        <v>130</v>
      </c>
      <c r="Y1882" s="10" t="s">
        <v>130</v>
      </c>
      <c r="Z1882" s="10" t="s">
        <v>99</v>
      </c>
      <c r="AA1882" s="10" t="s">
        <v>131</v>
      </c>
      <c r="AB1882" s="10" t="s">
        <v>8614</v>
      </c>
      <c r="AC1882" s="10" t="s">
        <v>3571</v>
      </c>
      <c r="AD1882" s="10" t="s">
        <v>14300</v>
      </c>
      <c r="AE1882" s="10" t="s">
        <v>14301</v>
      </c>
      <c r="AF1882" s="15"/>
      <c r="AG1882" s="10"/>
      <c r="AH1882" s="10"/>
      <c r="AI1882" s="10"/>
      <c r="AJ1882" s="10"/>
      <c r="AK1882" s="10" t="s">
        <v>102</v>
      </c>
      <c r="AL1882" s="10" t="s">
        <v>7897</v>
      </c>
      <c r="AM1882" s="10"/>
      <c r="AN1882" s="10"/>
      <c r="AO1882" s="13" t="b">
        <v>0</v>
      </c>
      <c r="AP1882" s="10" t="s">
        <v>104</v>
      </c>
      <c r="AQ1882" s="10">
        <f ca="1">IFERROR(__xludf.DUMMYFUNCTION("""COMPUTED_VALUE"""),4771649)</f>
        <v>4771649</v>
      </c>
      <c r="AR1882" s="17">
        <v>297</v>
      </c>
      <c r="AS1882" s="17">
        <v>221</v>
      </c>
      <c r="AT1882" s="17">
        <v>1922.25</v>
      </c>
      <c r="AU1882" s="17">
        <v>0.9</v>
      </c>
      <c r="AV1882" s="17">
        <v>0</v>
      </c>
      <c r="AW1882" s="10" t="s">
        <v>105</v>
      </c>
      <c r="AX1882" s="17">
        <v>47</v>
      </c>
      <c r="AY1882" s="18">
        <v>8.6979638009049776</v>
      </c>
      <c r="AZ1882" s="10"/>
      <c r="BA1882" s="20" t="b">
        <v>0</v>
      </c>
      <c r="BB1882" s="10"/>
      <c r="BC1882" s="17">
        <v>297</v>
      </c>
      <c r="BD1882" s="17">
        <v>221</v>
      </c>
      <c r="BE1882" s="17">
        <v>1922.25</v>
      </c>
      <c r="BF1882" s="17">
        <v>0</v>
      </c>
      <c r="BG1882" s="11">
        <f ca="1">IFERROR(__xludf.DUMMYFUNCTION("""COMPUTED_VALUE"""),46003.03125)</f>
        <v>46003.03125</v>
      </c>
      <c r="BH1882" s="17" t="s">
        <v>105</v>
      </c>
      <c r="BI1882" s="17"/>
      <c r="BJ1882" s="15"/>
      <c r="BK1882" s="15"/>
      <c r="BL1882" s="13" t="b">
        <v>0</v>
      </c>
      <c r="BM1882" s="10"/>
      <c r="BN1882" s="10" t="s">
        <v>118</v>
      </c>
      <c r="BO1882" s="11">
        <v>45904.326388888891</v>
      </c>
      <c r="BP1882" s="11">
        <v>45993.718831018516</v>
      </c>
      <c r="BQ1882" s="15">
        <v>45996.747719907406</v>
      </c>
      <c r="BR1882" s="15">
        <v>45999.401724537034</v>
      </c>
      <c r="BS1882" s="10" t="s">
        <v>118</v>
      </c>
      <c r="BT1882" s="10" t="s">
        <v>99</v>
      </c>
      <c r="BU1882" s="10"/>
      <c r="BV1882" s="10"/>
      <c r="BW1882" s="10"/>
      <c r="BX1882" s="10"/>
      <c r="BY1882" s="23"/>
      <c r="BZ1882" s="23"/>
      <c r="CA1882" s="19" t="s">
        <v>14302</v>
      </c>
      <c r="CB1882" s="19" t="s">
        <v>14268</v>
      </c>
      <c r="CC1882" s="23"/>
      <c r="CD1882" s="23"/>
      <c r="CE1882" s="23"/>
      <c r="CF1882" s="23"/>
      <c r="CG1882" s="23"/>
      <c r="CH1882" s="23"/>
      <c r="CI1882" s="23"/>
    </row>
    <row r="1883" spans="1:87" x14ac:dyDescent="0.3">
      <c r="A1883" s="25" t="s">
        <v>14303</v>
      </c>
      <c r="B1883" s="10" t="s">
        <v>14304</v>
      </c>
      <c r="C1883" s="11">
        <v>46003.03125</v>
      </c>
      <c r="D1883" s="12">
        <v>8.3333333333333329E-2</v>
      </c>
      <c r="E1883" s="11">
        <v>46003.114583333336</v>
      </c>
      <c r="F1883" s="10" t="s">
        <v>8609</v>
      </c>
      <c r="G1883" s="13" t="b">
        <v>0</v>
      </c>
      <c r="H1883" s="10" t="s">
        <v>5239</v>
      </c>
      <c r="I1883" s="10" t="s">
        <v>89</v>
      </c>
      <c r="J1883" s="13" t="b">
        <v>0</v>
      </c>
      <c r="K1883" s="13" t="b">
        <v>1</v>
      </c>
      <c r="L1883" s="10" t="s">
        <v>124</v>
      </c>
      <c r="M1883" s="10" t="s">
        <v>91</v>
      </c>
      <c r="N1883" s="10" t="s">
        <v>92</v>
      </c>
      <c r="O1883" s="19" t="s">
        <v>14305</v>
      </c>
      <c r="P1883" s="10"/>
      <c r="Q1883" s="10" t="s">
        <v>94</v>
      </c>
      <c r="R1883" s="10"/>
      <c r="S1883" s="19" t="s">
        <v>14306</v>
      </c>
      <c r="T1883" s="19" t="s">
        <v>14307</v>
      </c>
      <c r="U1883" s="10" t="s">
        <v>13686</v>
      </c>
      <c r="V1883" s="10" t="s">
        <v>5006</v>
      </c>
      <c r="W1883" s="10" t="s">
        <v>8613</v>
      </c>
      <c r="X1883" s="10" t="s">
        <v>130</v>
      </c>
      <c r="Y1883" s="10" t="s">
        <v>130</v>
      </c>
      <c r="Z1883" s="10" t="s">
        <v>99</v>
      </c>
      <c r="AA1883" s="10" t="s">
        <v>131</v>
      </c>
      <c r="AB1883" s="10" t="s">
        <v>8614</v>
      </c>
      <c r="AC1883" s="10" t="s">
        <v>3571</v>
      </c>
      <c r="AD1883" s="10" t="s">
        <v>14308</v>
      </c>
      <c r="AE1883" s="10" t="s">
        <v>14309</v>
      </c>
      <c r="AF1883" s="15"/>
      <c r="AG1883" s="10"/>
      <c r="AH1883" s="10"/>
      <c r="AI1883" s="10"/>
      <c r="AJ1883" s="10"/>
      <c r="AK1883" s="10" t="s">
        <v>102</v>
      </c>
      <c r="AL1883" s="10" t="s">
        <v>7897</v>
      </c>
      <c r="AM1883" s="10"/>
      <c r="AN1883" s="10"/>
      <c r="AO1883" s="13" t="b">
        <v>0</v>
      </c>
      <c r="AP1883" s="10" t="s">
        <v>104</v>
      </c>
      <c r="AQ1883" s="10">
        <f ca="1">IFERROR(__xludf.DUMMYFUNCTION("""COMPUTED_VALUE"""),4771651)</f>
        <v>4771651</v>
      </c>
      <c r="AR1883" s="17">
        <v>487</v>
      </c>
      <c r="AS1883" s="17">
        <v>397</v>
      </c>
      <c r="AT1883" s="17">
        <v>3512.75</v>
      </c>
      <c r="AU1883" s="17">
        <v>0</v>
      </c>
      <c r="AV1883" s="17">
        <v>0</v>
      </c>
      <c r="AW1883" s="10" t="s">
        <v>105</v>
      </c>
      <c r="AX1883" s="17">
        <v>65</v>
      </c>
      <c r="AY1883" s="18">
        <v>8.8482367758186395</v>
      </c>
      <c r="AZ1883" s="10"/>
      <c r="BA1883" s="20" t="b">
        <v>0</v>
      </c>
      <c r="BB1883" s="10"/>
      <c r="BC1883" s="17">
        <v>487</v>
      </c>
      <c r="BD1883" s="17">
        <v>397</v>
      </c>
      <c r="BE1883" s="17">
        <v>3512.75</v>
      </c>
      <c r="BF1883" s="17">
        <v>0</v>
      </c>
      <c r="BG1883" s="11">
        <f ca="1">IFERROR(__xludf.DUMMYFUNCTION("""COMPUTED_VALUE"""),46003.03125)</f>
        <v>46003.03125</v>
      </c>
      <c r="BH1883" s="17" t="s">
        <v>105</v>
      </c>
      <c r="BI1883" s="17"/>
      <c r="BJ1883" s="15"/>
      <c r="BK1883" s="15"/>
      <c r="BL1883" s="13" t="b">
        <v>0</v>
      </c>
      <c r="BM1883" s="10"/>
      <c r="BN1883" s="10" t="s">
        <v>118</v>
      </c>
      <c r="BO1883" s="11">
        <v>45904.326388888891</v>
      </c>
      <c r="BP1883" s="11">
        <v>45993.718923611108</v>
      </c>
      <c r="BQ1883" s="15">
        <v>45996.748055555552</v>
      </c>
      <c r="BR1883" s="15">
        <v>45999.40184027778</v>
      </c>
      <c r="BS1883" s="10" t="s">
        <v>118</v>
      </c>
      <c r="BT1883" s="10" t="s">
        <v>99</v>
      </c>
      <c r="BU1883" s="10"/>
      <c r="BV1883" s="10"/>
      <c r="BW1883" s="10"/>
      <c r="BX1883" s="10"/>
      <c r="BY1883" s="23"/>
      <c r="BZ1883" s="23"/>
      <c r="CA1883" s="19" t="s">
        <v>14310</v>
      </c>
      <c r="CB1883" s="19" t="s">
        <v>14311</v>
      </c>
      <c r="CC1883" s="23"/>
      <c r="CD1883" s="23"/>
      <c r="CE1883" s="23"/>
      <c r="CF1883" s="23"/>
      <c r="CG1883" s="23"/>
      <c r="CH1883" s="23"/>
      <c r="CI1883" s="23"/>
    </row>
    <row r="1884" spans="1:87" x14ac:dyDescent="0.3">
      <c r="A1884" s="9" t="s">
        <v>14312</v>
      </c>
      <c r="B1884" s="10" t="s">
        <v>14313</v>
      </c>
      <c r="C1884" s="11">
        <v>46003.03125</v>
      </c>
      <c r="D1884" s="12">
        <v>8.3333333333333329E-2</v>
      </c>
      <c r="E1884" s="11">
        <v>46003.114583333336</v>
      </c>
      <c r="F1884" s="10" t="s">
        <v>8609</v>
      </c>
      <c r="G1884" s="13" t="b">
        <v>0</v>
      </c>
      <c r="H1884" s="10" t="s">
        <v>5239</v>
      </c>
      <c r="I1884" s="10" t="s">
        <v>89</v>
      </c>
      <c r="J1884" s="13" t="b">
        <v>0</v>
      </c>
      <c r="K1884" s="13" t="b">
        <v>1</v>
      </c>
      <c r="L1884" s="10" t="s">
        <v>124</v>
      </c>
      <c r="M1884" s="10" t="s">
        <v>91</v>
      </c>
      <c r="N1884" s="10" t="s">
        <v>92</v>
      </c>
      <c r="O1884" s="19" t="s">
        <v>14314</v>
      </c>
      <c r="P1884" s="10"/>
      <c r="Q1884" s="10" t="s">
        <v>94</v>
      </c>
      <c r="R1884" s="10"/>
      <c r="S1884" s="19" t="s">
        <v>14315</v>
      </c>
      <c r="T1884" s="19" t="s">
        <v>14316</v>
      </c>
      <c r="U1884" s="10" t="s">
        <v>13776</v>
      </c>
      <c r="V1884" s="10" t="s">
        <v>13767</v>
      </c>
      <c r="W1884" s="10" t="s">
        <v>8613</v>
      </c>
      <c r="X1884" s="10" t="s">
        <v>130</v>
      </c>
      <c r="Y1884" s="10" t="s">
        <v>130</v>
      </c>
      <c r="Z1884" s="10" t="s">
        <v>99</v>
      </c>
      <c r="AA1884" s="10" t="s">
        <v>131</v>
      </c>
      <c r="AB1884" s="10" t="s">
        <v>8614</v>
      </c>
      <c r="AC1884" s="10" t="s">
        <v>3571</v>
      </c>
      <c r="AD1884" s="10" t="s">
        <v>14317</v>
      </c>
      <c r="AE1884" s="10" t="s">
        <v>14318</v>
      </c>
      <c r="AF1884" s="15"/>
      <c r="AG1884" s="10"/>
      <c r="AH1884" s="10"/>
      <c r="AI1884" s="10"/>
      <c r="AJ1884" s="10"/>
      <c r="AK1884" s="10" t="s">
        <v>102</v>
      </c>
      <c r="AL1884" s="10" t="s">
        <v>7897</v>
      </c>
      <c r="AM1884" s="10"/>
      <c r="AN1884" s="10"/>
      <c r="AO1884" s="13" t="b">
        <v>0</v>
      </c>
      <c r="AP1884" s="10" t="s">
        <v>104</v>
      </c>
      <c r="AQ1884" s="10">
        <f ca="1">IFERROR(__xludf.DUMMYFUNCTION("""COMPUTED_VALUE"""),4771655)</f>
        <v>4771655</v>
      </c>
      <c r="AR1884" s="17">
        <v>340</v>
      </c>
      <c r="AS1884" s="17">
        <v>257</v>
      </c>
      <c r="AT1884" s="17">
        <v>3168</v>
      </c>
      <c r="AU1884" s="17">
        <v>0</v>
      </c>
      <c r="AV1884" s="17">
        <v>0</v>
      </c>
      <c r="AW1884" s="10" t="s">
        <v>105</v>
      </c>
      <c r="AX1884" s="17">
        <v>51</v>
      </c>
      <c r="AY1884" s="18">
        <v>12.326848249027238</v>
      </c>
      <c r="AZ1884" s="10"/>
      <c r="BA1884" s="20" t="b">
        <v>0</v>
      </c>
      <c r="BB1884" s="10"/>
      <c r="BC1884" s="17">
        <v>340</v>
      </c>
      <c r="BD1884" s="17">
        <v>257</v>
      </c>
      <c r="BE1884" s="17">
        <v>3168</v>
      </c>
      <c r="BF1884" s="17">
        <v>0</v>
      </c>
      <c r="BG1884" s="11">
        <f ca="1">IFERROR(__xludf.DUMMYFUNCTION("""COMPUTED_VALUE"""),46003.03125)</f>
        <v>46003.03125</v>
      </c>
      <c r="BH1884" s="17" t="s">
        <v>105</v>
      </c>
      <c r="BI1884" s="17"/>
      <c r="BJ1884" s="15"/>
      <c r="BK1884" s="15"/>
      <c r="BL1884" s="13" t="b">
        <v>0</v>
      </c>
      <c r="BM1884" s="10"/>
      <c r="BN1884" s="10" t="s">
        <v>118</v>
      </c>
      <c r="BO1884" s="11">
        <v>45904.326388888891</v>
      </c>
      <c r="BP1884" s="11">
        <v>45993.719004629631</v>
      </c>
      <c r="BQ1884" s="15">
        <v>45996.749548611115</v>
      </c>
      <c r="BR1884" s="15">
        <v>45999.402118055557</v>
      </c>
      <c r="BS1884" s="10" t="s">
        <v>118</v>
      </c>
      <c r="BT1884" s="10" t="s">
        <v>99</v>
      </c>
      <c r="BU1884" s="10"/>
      <c r="BV1884" s="10"/>
      <c r="BW1884" s="10"/>
      <c r="BX1884" s="10"/>
      <c r="BY1884" s="23"/>
      <c r="BZ1884" s="23"/>
      <c r="CA1884" s="19" t="s">
        <v>14319</v>
      </c>
      <c r="CB1884" s="19" t="s">
        <v>14320</v>
      </c>
      <c r="CC1884" s="23"/>
      <c r="CD1884" s="23"/>
      <c r="CE1884" s="23"/>
      <c r="CF1884" s="23"/>
      <c r="CG1884" s="23"/>
      <c r="CH1884" s="23"/>
      <c r="CI1884" s="23"/>
    </row>
    <row r="1885" spans="1:87" x14ac:dyDescent="0.3">
      <c r="A1885" s="9" t="s">
        <v>14321</v>
      </c>
      <c r="B1885" s="10" t="s">
        <v>14322</v>
      </c>
      <c r="C1885" s="11">
        <v>46003.03125</v>
      </c>
      <c r="D1885" s="12">
        <v>8.3333333333333329E-2</v>
      </c>
      <c r="E1885" s="11">
        <v>46003.114583333336</v>
      </c>
      <c r="F1885" s="10" t="s">
        <v>8609</v>
      </c>
      <c r="G1885" s="13" t="b">
        <v>0</v>
      </c>
      <c r="H1885" s="10" t="s">
        <v>5239</v>
      </c>
      <c r="I1885" s="10" t="s">
        <v>89</v>
      </c>
      <c r="J1885" s="13" t="b">
        <v>0</v>
      </c>
      <c r="K1885" s="13" t="b">
        <v>1</v>
      </c>
      <c r="L1885" s="10" t="s">
        <v>124</v>
      </c>
      <c r="M1885" s="10" t="s">
        <v>91</v>
      </c>
      <c r="N1885" s="10" t="s">
        <v>92</v>
      </c>
      <c r="O1885" s="19" t="s">
        <v>14323</v>
      </c>
      <c r="P1885" s="10"/>
      <c r="Q1885" s="10" t="s">
        <v>94</v>
      </c>
      <c r="R1885" s="10"/>
      <c r="S1885" s="19" t="s">
        <v>14324</v>
      </c>
      <c r="T1885" s="19" t="s">
        <v>14325</v>
      </c>
      <c r="U1885" s="10" t="s">
        <v>13696</v>
      </c>
      <c r="V1885" s="10" t="s">
        <v>7924</v>
      </c>
      <c r="W1885" s="10" t="s">
        <v>8613</v>
      </c>
      <c r="X1885" s="10" t="s">
        <v>130</v>
      </c>
      <c r="Y1885" s="10" t="s">
        <v>130</v>
      </c>
      <c r="Z1885" s="10" t="s">
        <v>99</v>
      </c>
      <c r="AA1885" s="10" t="s">
        <v>131</v>
      </c>
      <c r="AB1885" s="10" t="s">
        <v>8614</v>
      </c>
      <c r="AC1885" s="10" t="s">
        <v>3571</v>
      </c>
      <c r="AD1885" s="10" t="s">
        <v>14326</v>
      </c>
      <c r="AE1885" s="10" t="s">
        <v>14327</v>
      </c>
      <c r="AF1885" s="15"/>
      <c r="AG1885" s="10"/>
      <c r="AH1885" s="10"/>
      <c r="AI1885" s="10"/>
      <c r="AJ1885" s="10"/>
      <c r="AK1885" s="10" t="s">
        <v>102</v>
      </c>
      <c r="AL1885" s="10" t="s">
        <v>7897</v>
      </c>
      <c r="AM1885" s="10"/>
      <c r="AN1885" s="10"/>
      <c r="AO1885" s="13" t="b">
        <v>0</v>
      </c>
      <c r="AP1885" s="10" t="s">
        <v>104</v>
      </c>
      <c r="AQ1885" s="10">
        <f ca="1">IFERROR(__xludf.DUMMYFUNCTION("""COMPUTED_VALUE"""),4771653)</f>
        <v>4771653</v>
      </c>
      <c r="AR1885" s="17">
        <v>215</v>
      </c>
      <c r="AS1885" s="17">
        <v>181</v>
      </c>
      <c r="AT1885" s="17">
        <v>891</v>
      </c>
      <c r="AU1885" s="17">
        <v>0</v>
      </c>
      <c r="AV1885" s="17">
        <v>0</v>
      </c>
      <c r="AW1885" s="10" t="s">
        <v>105</v>
      </c>
      <c r="AX1885" s="17">
        <v>22</v>
      </c>
      <c r="AY1885" s="18">
        <v>4.9226519337016574</v>
      </c>
      <c r="AZ1885" s="10"/>
      <c r="BA1885" s="20" t="b">
        <v>0</v>
      </c>
      <c r="BB1885" s="10"/>
      <c r="BC1885" s="17">
        <v>215</v>
      </c>
      <c r="BD1885" s="17">
        <v>181</v>
      </c>
      <c r="BE1885" s="17">
        <v>891</v>
      </c>
      <c r="BF1885" s="17">
        <v>0</v>
      </c>
      <c r="BG1885" s="11">
        <f ca="1">IFERROR(__xludf.DUMMYFUNCTION("""COMPUTED_VALUE"""),46003.03125)</f>
        <v>46003.03125</v>
      </c>
      <c r="BH1885" s="17" t="s">
        <v>105</v>
      </c>
      <c r="BI1885" s="17"/>
      <c r="BJ1885" s="15"/>
      <c r="BK1885" s="15"/>
      <c r="BL1885" s="13" t="b">
        <v>0</v>
      </c>
      <c r="BM1885" s="10"/>
      <c r="BN1885" s="10" t="s">
        <v>118</v>
      </c>
      <c r="BO1885" s="11">
        <v>45904.326388888891</v>
      </c>
      <c r="BP1885" s="11">
        <v>45993.719097222223</v>
      </c>
      <c r="BQ1885" s="15">
        <v>45996.74863425926</v>
      </c>
      <c r="BR1885" s="15">
        <v>45999.401990740742</v>
      </c>
      <c r="BS1885" s="10" t="s">
        <v>118</v>
      </c>
      <c r="BT1885" s="10" t="s">
        <v>99</v>
      </c>
      <c r="BU1885" s="10"/>
      <c r="BV1885" s="10"/>
      <c r="BW1885" s="10"/>
      <c r="BX1885" s="10"/>
      <c r="BY1885" s="23"/>
      <c r="BZ1885" s="23"/>
      <c r="CA1885" s="19" t="s">
        <v>14328</v>
      </c>
      <c r="CB1885" s="19" t="s">
        <v>14329</v>
      </c>
      <c r="CC1885" s="23"/>
      <c r="CD1885" s="23"/>
      <c r="CE1885" s="23"/>
      <c r="CF1885" s="23"/>
      <c r="CG1885" s="23"/>
      <c r="CH1885" s="23"/>
      <c r="CI1885" s="23"/>
    </row>
    <row r="1886" spans="1:87" x14ac:dyDescent="0.3">
      <c r="A1886" s="9" t="s">
        <v>14330</v>
      </c>
      <c r="B1886" s="10" t="s">
        <v>14331</v>
      </c>
      <c r="C1886" s="11">
        <v>46003.125</v>
      </c>
      <c r="D1886" s="12">
        <v>8.3333333333333329E-2</v>
      </c>
      <c r="E1886" s="11">
        <v>46003.208333333336</v>
      </c>
      <c r="F1886" s="10" t="s">
        <v>8609</v>
      </c>
      <c r="G1886" s="13" t="b">
        <v>0</v>
      </c>
      <c r="H1886" s="10" t="s">
        <v>6271</v>
      </c>
      <c r="I1886" s="10" t="s">
        <v>89</v>
      </c>
      <c r="J1886" s="13" t="b">
        <v>0</v>
      </c>
      <c r="K1886" s="13" t="b">
        <v>1</v>
      </c>
      <c r="L1886" s="10" t="s">
        <v>124</v>
      </c>
      <c r="M1886" s="10" t="s">
        <v>91</v>
      </c>
      <c r="N1886" s="10" t="s">
        <v>92</v>
      </c>
      <c r="O1886" s="19" t="s">
        <v>14332</v>
      </c>
      <c r="P1886" s="10"/>
      <c r="Q1886" s="10" t="s">
        <v>126</v>
      </c>
      <c r="R1886" s="10"/>
      <c r="S1886" s="19" t="s">
        <v>14333</v>
      </c>
      <c r="T1886" s="19" t="s">
        <v>14334</v>
      </c>
      <c r="U1886" s="10" t="s">
        <v>13746</v>
      </c>
      <c r="V1886" s="10" t="s">
        <v>347</v>
      </c>
      <c r="W1886" s="10" t="s">
        <v>8613</v>
      </c>
      <c r="X1886" s="10" t="s">
        <v>130</v>
      </c>
      <c r="Y1886" s="10" t="s">
        <v>130</v>
      </c>
      <c r="Z1886" s="10" t="s">
        <v>99</v>
      </c>
      <c r="AA1886" s="10" t="s">
        <v>131</v>
      </c>
      <c r="AB1886" s="10" t="s">
        <v>8614</v>
      </c>
      <c r="AC1886" s="10" t="s">
        <v>3571</v>
      </c>
      <c r="AD1886" s="10" t="s">
        <v>14335</v>
      </c>
      <c r="AE1886" s="10" t="s">
        <v>14336</v>
      </c>
      <c r="AF1886" s="15"/>
      <c r="AG1886" s="10"/>
      <c r="AH1886" s="10"/>
      <c r="AI1886" s="10"/>
      <c r="AJ1886" s="10"/>
      <c r="AK1886" s="10" t="s">
        <v>102</v>
      </c>
      <c r="AL1886" s="10" t="s">
        <v>7897</v>
      </c>
      <c r="AM1886" s="10"/>
      <c r="AN1886" s="10"/>
      <c r="AO1886" s="13" t="b">
        <v>0</v>
      </c>
      <c r="AP1886" s="10" t="s">
        <v>104</v>
      </c>
      <c r="AQ1886" s="10">
        <f ca="1">IFERROR(__xludf.DUMMYFUNCTION("""COMPUTED_VALUE"""),4771668)</f>
        <v>4771668</v>
      </c>
      <c r="AR1886" s="17">
        <v>1447</v>
      </c>
      <c r="AS1886" s="17">
        <v>1245</v>
      </c>
      <c r="AT1886" s="17">
        <v>11940.75</v>
      </c>
      <c r="AU1886" s="17">
        <v>0.25</v>
      </c>
      <c r="AV1886" s="17">
        <v>0</v>
      </c>
      <c r="AW1886" s="10" t="s">
        <v>105</v>
      </c>
      <c r="AX1886" s="17">
        <v>281</v>
      </c>
      <c r="AY1886" s="18">
        <v>9.5909638554216876</v>
      </c>
      <c r="AZ1886" s="10"/>
      <c r="BA1886" s="20" t="b">
        <v>0</v>
      </c>
      <c r="BB1886" s="10"/>
      <c r="BC1886" s="17">
        <v>1447</v>
      </c>
      <c r="BD1886" s="17">
        <v>1245</v>
      </c>
      <c r="BE1886" s="17">
        <v>11940.75</v>
      </c>
      <c r="BF1886" s="17">
        <v>0</v>
      </c>
      <c r="BG1886" s="11">
        <f ca="1">IFERROR(__xludf.DUMMYFUNCTION("""COMPUTED_VALUE"""),46003.125)</f>
        <v>46003.125</v>
      </c>
      <c r="BH1886" s="17" t="s">
        <v>105</v>
      </c>
      <c r="BI1886" s="17"/>
      <c r="BJ1886" s="15"/>
      <c r="BK1886" s="15"/>
      <c r="BL1886" s="13" t="b">
        <v>0</v>
      </c>
      <c r="BM1886" s="10"/>
      <c r="BN1886" s="10" t="s">
        <v>1057</v>
      </c>
      <c r="BO1886" s="11">
        <v>45904.326388888891</v>
      </c>
      <c r="BP1886" s="11">
        <v>45993.719641203701</v>
      </c>
      <c r="BQ1886" s="15">
        <v>45996.749710648146</v>
      </c>
      <c r="BR1886" s="15">
        <v>45999.414895833332</v>
      </c>
      <c r="BS1886" s="10"/>
      <c r="BT1886" s="10" t="s">
        <v>279</v>
      </c>
      <c r="BU1886" s="10"/>
      <c r="BV1886" s="10"/>
      <c r="BW1886" s="10"/>
      <c r="BX1886" s="10"/>
      <c r="BY1886" s="23"/>
      <c r="BZ1886" s="23"/>
      <c r="CA1886" s="19" t="s">
        <v>14337</v>
      </c>
      <c r="CB1886" s="19" t="s">
        <v>14338</v>
      </c>
      <c r="CC1886" s="23"/>
      <c r="CD1886" s="19" t="s">
        <v>14339</v>
      </c>
      <c r="CE1886" s="23"/>
      <c r="CF1886" s="23"/>
      <c r="CG1886" s="23"/>
      <c r="CH1886" s="23"/>
      <c r="CI1886" s="23"/>
    </row>
    <row r="1887" spans="1:87" x14ac:dyDescent="0.3">
      <c r="A1887" s="9" t="s">
        <v>14340</v>
      </c>
      <c r="B1887" s="10" t="s">
        <v>14341</v>
      </c>
      <c r="C1887" s="11">
        <v>46003.125</v>
      </c>
      <c r="D1887" s="12">
        <v>8.3333333333333329E-2</v>
      </c>
      <c r="E1887" s="11">
        <v>46003.208333333336</v>
      </c>
      <c r="F1887" s="10" t="s">
        <v>8609</v>
      </c>
      <c r="G1887" s="13" t="b">
        <v>0</v>
      </c>
      <c r="H1887" s="10" t="s">
        <v>5239</v>
      </c>
      <c r="I1887" s="10" t="s">
        <v>89</v>
      </c>
      <c r="J1887" s="13" t="b">
        <v>0</v>
      </c>
      <c r="K1887" s="13" t="b">
        <v>1</v>
      </c>
      <c r="L1887" s="10" t="s">
        <v>124</v>
      </c>
      <c r="M1887" s="10" t="s">
        <v>91</v>
      </c>
      <c r="N1887" s="10" t="s">
        <v>92</v>
      </c>
      <c r="O1887" s="19" t="s">
        <v>14342</v>
      </c>
      <c r="P1887" s="10"/>
      <c r="Q1887" s="10" t="s">
        <v>94</v>
      </c>
      <c r="R1887" s="10"/>
      <c r="S1887" s="19" t="s">
        <v>14343</v>
      </c>
      <c r="T1887" s="19" t="s">
        <v>14344</v>
      </c>
      <c r="U1887" s="10" t="s">
        <v>13636</v>
      </c>
      <c r="V1887" s="10" t="s">
        <v>13716</v>
      </c>
      <c r="W1887" s="10" t="s">
        <v>8613</v>
      </c>
      <c r="X1887" s="10" t="s">
        <v>130</v>
      </c>
      <c r="Y1887" s="10" t="s">
        <v>130</v>
      </c>
      <c r="Z1887" s="10" t="s">
        <v>99</v>
      </c>
      <c r="AA1887" s="10" t="s">
        <v>131</v>
      </c>
      <c r="AB1887" s="10" t="s">
        <v>8614</v>
      </c>
      <c r="AC1887" s="10" t="s">
        <v>3571</v>
      </c>
      <c r="AD1887" s="10" t="s">
        <v>14345</v>
      </c>
      <c r="AE1887" s="10" t="s">
        <v>14346</v>
      </c>
      <c r="AF1887" s="15"/>
      <c r="AG1887" s="10"/>
      <c r="AH1887" s="10"/>
      <c r="AI1887" s="10"/>
      <c r="AJ1887" s="10"/>
      <c r="AK1887" s="10" t="s">
        <v>102</v>
      </c>
      <c r="AL1887" s="10" t="s">
        <v>7897</v>
      </c>
      <c r="AM1887" s="10"/>
      <c r="AN1887" s="10"/>
      <c r="AO1887" s="13" t="b">
        <v>0</v>
      </c>
      <c r="AP1887" s="10" t="s">
        <v>104</v>
      </c>
      <c r="AQ1887" s="10">
        <f ca="1">IFERROR(__xludf.DUMMYFUNCTION("""COMPUTED_VALUE"""),4771662)</f>
        <v>4771662</v>
      </c>
      <c r="AR1887" s="17">
        <v>298</v>
      </c>
      <c r="AS1887" s="17">
        <v>258</v>
      </c>
      <c r="AT1887" s="17">
        <v>794</v>
      </c>
      <c r="AU1887" s="17">
        <v>0.1</v>
      </c>
      <c r="AV1887" s="17">
        <v>0</v>
      </c>
      <c r="AW1887" s="10" t="s">
        <v>105</v>
      </c>
      <c r="AX1887" s="17">
        <v>300</v>
      </c>
      <c r="AY1887" s="18">
        <v>3.0775193798449614</v>
      </c>
      <c r="AZ1887" s="10"/>
      <c r="BA1887" s="20" t="b">
        <v>0</v>
      </c>
      <c r="BB1887" s="10"/>
      <c r="BC1887" s="17">
        <v>298</v>
      </c>
      <c r="BD1887" s="17">
        <v>258</v>
      </c>
      <c r="BE1887" s="17">
        <v>794</v>
      </c>
      <c r="BF1887" s="17">
        <v>0</v>
      </c>
      <c r="BG1887" s="11">
        <f ca="1">IFERROR(__xludf.DUMMYFUNCTION("""COMPUTED_VALUE"""),46003.125)</f>
        <v>46003.125</v>
      </c>
      <c r="BH1887" s="17" t="s">
        <v>105</v>
      </c>
      <c r="BI1887" s="17"/>
      <c r="BJ1887" s="15"/>
      <c r="BK1887" s="15"/>
      <c r="BL1887" s="13" t="b">
        <v>0</v>
      </c>
      <c r="BM1887" s="10"/>
      <c r="BN1887" s="10" t="s">
        <v>118</v>
      </c>
      <c r="BO1887" s="11">
        <v>45904.326388888891</v>
      </c>
      <c r="BP1887" s="11">
        <v>45993.719212962962</v>
      </c>
      <c r="BQ1887" s="15">
        <v>45996.748194444444</v>
      </c>
      <c r="BR1887" s="15">
        <v>45999.402777777781</v>
      </c>
      <c r="BS1887" s="10" t="s">
        <v>118</v>
      </c>
      <c r="BT1887" s="10" t="s">
        <v>99</v>
      </c>
      <c r="BU1887" s="10"/>
      <c r="BV1887" s="10"/>
      <c r="BW1887" s="10"/>
      <c r="BX1887" s="10"/>
      <c r="BY1887" s="23"/>
      <c r="BZ1887" s="23"/>
      <c r="CA1887" s="19" t="s">
        <v>14347</v>
      </c>
      <c r="CB1887" s="19" t="s">
        <v>14348</v>
      </c>
      <c r="CC1887" s="23"/>
      <c r="CD1887" s="23"/>
      <c r="CE1887" s="23"/>
      <c r="CF1887" s="23"/>
      <c r="CG1887" s="23"/>
      <c r="CH1887" s="23"/>
      <c r="CI1887" s="23"/>
    </row>
    <row r="1888" spans="1:87" x14ac:dyDescent="0.3">
      <c r="A1888" s="9" t="s">
        <v>14349</v>
      </c>
      <c r="B1888" s="10" t="s">
        <v>14350</v>
      </c>
      <c r="C1888" s="11">
        <v>46003.125</v>
      </c>
      <c r="D1888" s="12">
        <v>8.3333333333333329E-2</v>
      </c>
      <c r="E1888" s="11">
        <v>46003.208333333336</v>
      </c>
      <c r="F1888" s="10" t="s">
        <v>8609</v>
      </c>
      <c r="G1888" s="13" t="b">
        <v>0</v>
      </c>
      <c r="H1888" s="10" t="s">
        <v>5239</v>
      </c>
      <c r="I1888" s="10" t="s">
        <v>89</v>
      </c>
      <c r="J1888" s="13" t="b">
        <v>0</v>
      </c>
      <c r="K1888" s="13" t="b">
        <v>1</v>
      </c>
      <c r="L1888" s="10" t="s">
        <v>124</v>
      </c>
      <c r="M1888" s="10" t="s">
        <v>91</v>
      </c>
      <c r="N1888" s="10" t="s">
        <v>92</v>
      </c>
      <c r="O1888" s="19" t="s">
        <v>14351</v>
      </c>
      <c r="P1888" s="10"/>
      <c r="Q1888" s="10" t="s">
        <v>94</v>
      </c>
      <c r="R1888" s="10"/>
      <c r="S1888" s="19" t="s">
        <v>14352</v>
      </c>
      <c r="T1888" s="19" t="s">
        <v>14353</v>
      </c>
      <c r="U1888" s="10" t="s">
        <v>13646</v>
      </c>
      <c r="V1888" s="10" t="s">
        <v>13667</v>
      </c>
      <c r="W1888" s="10" t="s">
        <v>8613</v>
      </c>
      <c r="X1888" s="10" t="s">
        <v>130</v>
      </c>
      <c r="Y1888" s="10" t="s">
        <v>130</v>
      </c>
      <c r="Z1888" s="10" t="s">
        <v>99</v>
      </c>
      <c r="AA1888" s="10" t="s">
        <v>131</v>
      </c>
      <c r="AB1888" s="10" t="s">
        <v>8614</v>
      </c>
      <c r="AC1888" s="10" t="s">
        <v>3571</v>
      </c>
      <c r="AD1888" s="10" t="s">
        <v>14354</v>
      </c>
      <c r="AE1888" s="10" t="s">
        <v>14355</v>
      </c>
      <c r="AF1888" s="15"/>
      <c r="AG1888" s="10"/>
      <c r="AH1888" s="10"/>
      <c r="AI1888" s="10"/>
      <c r="AJ1888" s="10"/>
      <c r="AK1888" s="10" t="s">
        <v>102</v>
      </c>
      <c r="AL1888" s="10" t="s">
        <v>7897</v>
      </c>
      <c r="AM1888" s="10"/>
      <c r="AN1888" s="10"/>
      <c r="AO1888" s="13" t="b">
        <v>0</v>
      </c>
      <c r="AP1888" s="10" t="s">
        <v>104</v>
      </c>
      <c r="AQ1888" s="10">
        <f ca="1">IFERROR(__xludf.DUMMYFUNCTION("""COMPUTED_VALUE"""),4771663)</f>
        <v>4771663</v>
      </c>
      <c r="AR1888" s="17">
        <v>394</v>
      </c>
      <c r="AS1888" s="17">
        <v>298</v>
      </c>
      <c r="AT1888" s="17">
        <v>2112</v>
      </c>
      <c r="AU1888" s="17">
        <v>0</v>
      </c>
      <c r="AV1888" s="17">
        <v>0</v>
      </c>
      <c r="AW1888" s="10" t="s">
        <v>105</v>
      </c>
      <c r="AX1888" s="17">
        <v>84</v>
      </c>
      <c r="AY1888" s="18">
        <v>7.0872483221476514</v>
      </c>
      <c r="AZ1888" s="10"/>
      <c r="BA1888" s="20" t="b">
        <v>0</v>
      </c>
      <c r="BB1888" s="10"/>
      <c r="BC1888" s="17">
        <v>394</v>
      </c>
      <c r="BD1888" s="17">
        <v>298</v>
      </c>
      <c r="BE1888" s="17">
        <v>2112</v>
      </c>
      <c r="BF1888" s="17">
        <v>0</v>
      </c>
      <c r="BG1888" s="11">
        <f ca="1">IFERROR(__xludf.DUMMYFUNCTION("""COMPUTED_VALUE"""),46003.125)</f>
        <v>46003.125</v>
      </c>
      <c r="BH1888" s="17" t="s">
        <v>105</v>
      </c>
      <c r="BI1888" s="17"/>
      <c r="BJ1888" s="15"/>
      <c r="BK1888" s="15"/>
      <c r="BL1888" s="13" t="b">
        <v>0</v>
      </c>
      <c r="BM1888" s="10"/>
      <c r="BN1888" s="10" t="s">
        <v>118</v>
      </c>
      <c r="BO1888" s="11">
        <v>45904.326388888891</v>
      </c>
      <c r="BP1888" s="11">
        <v>45993.720532407409</v>
      </c>
      <c r="BQ1888" s="15">
        <v>45996.748344907406</v>
      </c>
      <c r="BR1888" s="15">
        <v>45999.402881944443</v>
      </c>
      <c r="BS1888" s="10" t="s">
        <v>118</v>
      </c>
      <c r="BT1888" s="10"/>
      <c r="BU1888" s="10"/>
      <c r="BV1888" s="10"/>
      <c r="BW1888" s="10"/>
      <c r="BX1888" s="10"/>
      <c r="BY1888" s="23"/>
      <c r="BZ1888" s="23"/>
      <c r="CA1888" s="19" t="s">
        <v>14356</v>
      </c>
      <c r="CB1888" s="19" t="s">
        <v>14357</v>
      </c>
      <c r="CC1888" s="23"/>
      <c r="CD1888" s="23"/>
      <c r="CE1888" s="23"/>
      <c r="CF1888" s="23"/>
      <c r="CG1888" s="23"/>
      <c r="CH1888" s="23"/>
      <c r="CI1888" s="23"/>
    </row>
    <row r="1889" spans="1:87" x14ac:dyDescent="0.3">
      <c r="A1889" s="9" t="s">
        <v>14358</v>
      </c>
      <c r="B1889" s="10" t="s">
        <v>14359</v>
      </c>
      <c r="C1889" s="11">
        <v>46003.125</v>
      </c>
      <c r="D1889" s="12">
        <v>8.3333333333333329E-2</v>
      </c>
      <c r="E1889" s="11">
        <v>46003.208333333336</v>
      </c>
      <c r="F1889" s="10" t="s">
        <v>8609</v>
      </c>
      <c r="G1889" s="13" t="b">
        <v>0</v>
      </c>
      <c r="H1889" s="10" t="s">
        <v>5239</v>
      </c>
      <c r="I1889" s="10" t="s">
        <v>89</v>
      </c>
      <c r="J1889" s="13" t="b">
        <v>0</v>
      </c>
      <c r="K1889" s="13" t="b">
        <v>1</v>
      </c>
      <c r="L1889" s="10" t="s">
        <v>124</v>
      </c>
      <c r="M1889" s="10" t="s">
        <v>91</v>
      </c>
      <c r="N1889" s="10" t="s">
        <v>92</v>
      </c>
      <c r="O1889" s="19" t="s">
        <v>14360</v>
      </c>
      <c r="P1889" s="10"/>
      <c r="Q1889" s="10" t="s">
        <v>94</v>
      </c>
      <c r="R1889" s="10"/>
      <c r="S1889" s="19" t="s">
        <v>14361</v>
      </c>
      <c r="T1889" s="19" t="s">
        <v>14362</v>
      </c>
      <c r="U1889" s="10" t="s">
        <v>13657</v>
      </c>
      <c r="V1889" s="10" t="s">
        <v>13756</v>
      </c>
      <c r="W1889" s="10" t="s">
        <v>8613</v>
      </c>
      <c r="X1889" s="10" t="s">
        <v>130</v>
      </c>
      <c r="Y1889" s="10" t="s">
        <v>130</v>
      </c>
      <c r="Z1889" s="10" t="s">
        <v>99</v>
      </c>
      <c r="AA1889" s="10" t="s">
        <v>131</v>
      </c>
      <c r="AB1889" s="10" t="s">
        <v>8614</v>
      </c>
      <c r="AC1889" s="10" t="s">
        <v>3571</v>
      </c>
      <c r="AD1889" s="10" t="s">
        <v>14363</v>
      </c>
      <c r="AE1889" s="10" t="s">
        <v>14364</v>
      </c>
      <c r="AF1889" s="15"/>
      <c r="AG1889" s="10"/>
      <c r="AH1889" s="10"/>
      <c r="AI1889" s="10"/>
      <c r="AJ1889" s="10"/>
      <c r="AK1889" s="10" t="s">
        <v>102</v>
      </c>
      <c r="AL1889" s="10" t="s">
        <v>7897</v>
      </c>
      <c r="AM1889" s="10"/>
      <c r="AN1889" s="10"/>
      <c r="AO1889" s="13" t="b">
        <v>0</v>
      </c>
      <c r="AP1889" s="10" t="s">
        <v>104</v>
      </c>
      <c r="AQ1889" s="10">
        <f ca="1">IFERROR(__xludf.DUMMYFUNCTION("""COMPUTED_VALUE"""),4771664)</f>
        <v>4771664</v>
      </c>
      <c r="AR1889" s="17">
        <v>227</v>
      </c>
      <c r="AS1889" s="17">
        <v>179</v>
      </c>
      <c r="AT1889" s="17">
        <v>987</v>
      </c>
      <c r="AU1889" s="17">
        <v>0</v>
      </c>
      <c r="AV1889" s="17">
        <v>0</v>
      </c>
      <c r="AW1889" s="10" t="s">
        <v>105</v>
      </c>
      <c r="AX1889" s="17">
        <v>37</v>
      </c>
      <c r="AY1889" s="18">
        <v>5.5139664804469275</v>
      </c>
      <c r="AZ1889" s="10"/>
      <c r="BA1889" s="20" t="b">
        <v>0</v>
      </c>
      <c r="BB1889" s="10"/>
      <c r="BC1889" s="17">
        <v>227</v>
      </c>
      <c r="BD1889" s="17">
        <v>179</v>
      </c>
      <c r="BE1889" s="17">
        <v>987</v>
      </c>
      <c r="BF1889" s="17">
        <v>0</v>
      </c>
      <c r="BG1889" s="11">
        <f ca="1">IFERROR(__xludf.DUMMYFUNCTION("""COMPUTED_VALUE"""),46003.125)</f>
        <v>46003.125</v>
      </c>
      <c r="BH1889" s="17" t="s">
        <v>105</v>
      </c>
      <c r="BI1889" s="17"/>
      <c r="BJ1889" s="15"/>
      <c r="BK1889" s="15"/>
      <c r="BL1889" s="13" t="b">
        <v>0</v>
      </c>
      <c r="BM1889" s="10"/>
      <c r="BN1889" s="10" t="s">
        <v>118</v>
      </c>
      <c r="BO1889" s="11">
        <v>45904.326388888891</v>
      </c>
      <c r="BP1889" s="11">
        <v>45993.719293981485</v>
      </c>
      <c r="BQ1889" s="15">
        <v>45996.748506944445</v>
      </c>
      <c r="BR1889" s="15">
        <v>45999.402997685182</v>
      </c>
      <c r="BS1889" s="10" t="s">
        <v>118</v>
      </c>
      <c r="BT1889" s="10" t="s">
        <v>99</v>
      </c>
      <c r="BU1889" s="10"/>
      <c r="BV1889" s="10"/>
      <c r="BW1889" s="10"/>
      <c r="BX1889" s="10"/>
      <c r="BY1889" s="23"/>
      <c r="BZ1889" s="23"/>
      <c r="CA1889" s="19" t="s">
        <v>14365</v>
      </c>
      <c r="CB1889" s="19" t="s">
        <v>14366</v>
      </c>
      <c r="CC1889" s="23"/>
      <c r="CD1889" s="23"/>
      <c r="CE1889" s="23"/>
      <c r="CF1889" s="23"/>
      <c r="CG1889" s="23"/>
      <c r="CH1889" s="23"/>
      <c r="CI1889" s="23"/>
    </row>
    <row r="1890" spans="1:87" x14ac:dyDescent="0.3">
      <c r="A1890" s="9" t="s">
        <v>14367</v>
      </c>
      <c r="B1890" s="10" t="s">
        <v>14368</v>
      </c>
      <c r="C1890" s="11">
        <v>46003.125</v>
      </c>
      <c r="D1890" s="12">
        <v>8.3333333333333329E-2</v>
      </c>
      <c r="E1890" s="11">
        <v>46003.208333333336</v>
      </c>
      <c r="F1890" s="10" t="s">
        <v>8609</v>
      </c>
      <c r="G1890" s="13" t="b">
        <v>0</v>
      </c>
      <c r="H1890" s="10" t="s">
        <v>5239</v>
      </c>
      <c r="I1890" s="10" t="s">
        <v>89</v>
      </c>
      <c r="J1890" s="13" t="b">
        <v>0</v>
      </c>
      <c r="K1890" s="13" t="b">
        <v>1</v>
      </c>
      <c r="L1890" s="10" t="s">
        <v>124</v>
      </c>
      <c r="M1890" s="10" t="s">
        <v>91</v>
      </c>
      <c r="N1890" s="10" t="s">
        <v>92</v>
      </c>
      <c r="O1890" s="19" t="s">
        <v>14369</v>
      </c>
      <c r="P1890" s="10"/>
      <c r="Q1890" s="10" t="s">
        <v>94</v>
      </c>
      <c r="R1890" s="10"/>
      <c r="S1890" s="19" t="s">
        <v>14370</v>
      </c>
      <c r="T1890" s="19" t="s">
        <v>14371</v>
      </c>
      <c r="U1890" s="10" t="s">
        <v>13697</v>
      </c>
      <c r="V1890" s="10" t="s">
        <v>13766</v>
      </c>
      <c r="W1890" s="10" t="s">
        <v>8613</v>
      </c>
      <c r="X1890" s="10" t="s">
        <v>130</v>
      </c>
      <c r="Y1890" s="10" t="s">
        <v>130</v>
      </c>
      <c r="Z1890" s="10" t="s">
        <v>99</v>
      </c>
      <c r="AA1890" s="10" t="s">
        <v>131</v>
      </c>
      <c r="AB1890" s="10" t="s">
        <v>8614</v>
      </c>
      <c r="AC1890" s="10" t="s">
        <v>3571</v>
      </c>
      <c r="AD1890" s="10" t="s">
        <v>14372</v>
      </c>
      <c r="AE1890" s="10" t="s">
        <v>14373</v>
      </c>
      <c r="AF1890" s="15"/>
      <c r="AG1890" s="10"/>
      <c r="AH1890" s="10"/>
      <c r="AI1890" s="10"/>
      <c r="AJ1890" s="10"/>
      <c r="AK1890" s="10" t="s">
        <v>102</v>
      </c>
      <c r="AL1890" s="10" t="s">
        <v>7897</v>
      </c>
      <c r="AM1890" s="10"/>
      <c r="AN1890" s="10"/>
      <c r="AO1890" s="13" t="b">
        <v>0</v>
      </c>
      <c r="AP1890" s="10" t="s">
        <v>104</v>
      </c>
      <c r="AQ1890" s="10">
        <f ca="1">IFERROR(__xludf.DUMMYFUNCTION("""COMPUTED_VALUE"""),4771667)</f>
        <v>4771667</v>
      </c>
      <c r="AR1890" s="17">
        <v>498</v>
      </c>
      <c r="AS1890" s="17">
        <v>415</v>
      </c>
      <c r="AT1890" s="17">
        <v>1776.25</v>
      </c>
      <c r="AU1890" s="17">
        <v>0</v>
      </c>
      <c r="AV1890" s="17">
        <v>0</v>
      </c>
      <c r="AW1890" s="10" t="s">
        <v>105</v>
      </c>
      <c r="AX1890" s="17">
        <v>53</v>
      </c>
      <c r="AY1890" s="18">
        <v>4.2801204819277112</v>
      </c>
      <c r="AZ1890" s="10"/>
      <c r="BA1890" s="20" t="b">
        <v>0</v>
      </c>
      <c r="BB1890" s="10"/>
      <c r="BC1890" s="17">
        <v>498</v>
      </c>
      <c r="BD1890" s="17">
        <v>415</v>
      </c>
      <c r="BE1890" s="17">
        <v>1776.25</v>
      </c>
      <c r="BF1890" s="17">
        <v>0</v>
      </c>
      <c r="BG1890" s="11">
        <f ca="1">IFERROR(__xludf.DUMMYFUNCTION("""COMPUTED_VALUE"""),46003.125)</f>
        <v>46003.125</v>
      </c>
      <c r="BH1890" s="17" t="s">
        <v>105</v>
      </c>
      <c r="BI1890" s="17"/>
      <c r="BJ1890" s="15"/>
      <c r="BK1890" s="15"/>
      <c r="BL1890" s="13" t="b">
        <v>0</v>
      </c>
      <c r="BM1890" s="10"/>
      <c r="BN1890" s="10" t="s">
        <v>118</v>
      </c>
      <c r="BO1890" s="11">
        <v>45904.326388888891</v>
      </c>
      <c r="BP1890" s="11">
        <v>45993.719375000001</v>
      </c>
      <c r="BQ1890" s="15">
        <v>45996.749363425923</v>
      </c>
      <c r="BR1890" s="15">
        <v>45999.403356481482</v>
      </c>
      <c r="BS1890" s="10" t="s">
        <v>118</v>
      </c>
      <c r="BT1890" s="10" t="s">
        <v>99</v>
      </c>
      <c r="BU1890" s="10"/>
      <c r="BV1890" s="10"/>
      <c r="BW1890" s="10"/>
      <c r="BX1890" s="10"/>
      <c r="BY1890" s="23"/>
      <c r="BZ1890" s="23"/>
      <c r="CA1890" s="19" t="s">
        <v>14374</v>
      </c>
      <c r="CB1890" s="19" t="s">
        <v>14375</v>
      </c>
      <c r="CC1890" s="23"/>
      <c r="CD1890" s="23"/>
      <c r="CE1890" s="23"/>
      <c r="CF1890" s="23"/>
      <c r="CG1890" s="23"/>
      <c r="CH1890" s="23"/>
      <c r="CI1890" s="23"/>
    </row>
    <row r="1891" spans="1:87" x14ac:dyDescent="0.3">
      <c r="A1891" s="9" t="s">
        <v>14376</v>
      </c>
      <c r="B1891" s="10" t="s">
        <v>14377</v>
      </c>
      <c r="C1891" s="11">
        <v>46003.125</v>
      </c>
      <c r="D1891" s="12">
        <v>8.3333333333333329E-2</v>
      </c>
      <c r="E1891" s="11">
        <v>46003.208333333336</v>
      </c>
      <c r="F1891" s="10" t="s">
        <v>8609</v>
      </c>
      <c r="G1891" s="13" t="b">
        <v>0</v>
      </c>
      <c r="H1891" s="10" t="s">
        <v>5239</v>
      </c>
      <c r="I1891" s="10" t="s">
        <v>89</v>
      </c>
      <c r="J1891" s="13" t="b">
        <v>0</v>
      </c>
      <c r="K1891" s="13" t="b">
        <v>1</v>
      </c>
      <c r="L1891" s="10" t="s">
        <v>124</v>
      </c>
      <c r="M1891" s="10" t="s">
        <v>91</v>
      </c>
      <c r="N1891" s="10" t="s">
        <v>92</v>
      </c>
      <c r="O1891" s="19" t="s">
        <v>14378</v>
      </c>
      <c r="P1891" s="10"/>
      <c r="Q1891" s="10" t="s">
        <v>94</v>
      </c>
      <c r="R1891" s="10"/>
      <c r="S1891" s="19" t="s">
        <v>14379</v>
      </c>
      <c r="T1891" s="19" t="s">
        <v>14380</v>
      </c>
      <c r="U1891" s="10" t="s">
        <v>13794</v>
      </c>
      <c r="V1891" s="10" t="s">
        <v>8622</v>
      </c>
      <c r="W1891" s="10" t="s">
        <v>8613</v>
      </c>
      <c r="X1891" s="10" t="s">
        <v>130</v>
      </c>
      <c r="Y1891" s="10" t="s">
        <v>130</v>
      </c>
      <c r="Z1891" s="10" t="s">
        <v>99</v>
      </c>
      <c r="AA1891" s="10" t="s">
        <v>131</v>
      </c>
      <c r="AB1891" s="10" t="s">
        <v>8614</v>
      </c>
      <c r="AC1891" s="10" t="s">
        <v>3571</v>
      </c>
      <c r="AD1891" s="10" t="s">
        <v>14381</v>
      </c>
      <c r="AE1891" s="10" t="s">
        <v>14382</v>
      </c>
      <c r="AF1891" s="15"/>
      <c r="AG1891" s="10"/>
      <c r="AH1891" s="10"/>
      <c r="AI1891" s="10"/>
      <c r="AJ1891" s="10"/>
      <c r="AK1891" s="10" t="s">
        <v>102</v>
      </c>
      <c r="AL1891" s="10" t="s">
        <v>7897</v>
      </c>
      <c r="AM1891" s="10"/>
      <c r="AN1891" s="10"/>
      <c r="AO1891" s="13" t="b">
        <v>0</v>
      </c>
      <c r="AP1891" s="10" t="s">
        <v>104</v>
      </c>
      <c r="AQ1891" s="10">
        <f ca="1">IFERROR(__xludf.DUMMYFUNCTION("""COMPUTED_VALUE"""),4771660)</f>
        <v>4771660</v>
      </c>
      <c r="AR1891" s="17">
        <v>588</v>
      </c>
      <c r="AS1891" s="17">
        <v>403</v>
      </c>
      <c r="AT1891" s="17">
        <v>4326</v>
      </c>
      <c r="AU1891" s="17">
        <v>0</v>
      </c>
      <c r="AV1891" s="17">
        <v>0</v>
      </c>
      <c r="AW1891" s="10" t="s">
        <v>105</v>
      </c>
      <c r="AX1891" s="17">
        <v>103</v>
      </c>
      <c r="AY1891" s="18">
        <v>10.734491315136477</v>
      </c>
      <c r="AZ1891" s="10"/>
      <c r="BA1891" s="20" t="b">
        <v>0</v>
      </c>
      <c r="BB1891" s="10"/>
      <c r="BC1891" s="17">
        <v>588</v>
      </c>
      <c r="BD1891" s="17">
        <v>403</v>
      </c>
      <c r="BE1891" s="17">
        <v>4326</v>
      </c>
      <c r="BF1891" s="17">
        <v>0</v>
      </c>
      <c r="BG1891" s="11">
        <f ca="1">IFERROR(__xludf.DUMMYFUNCTION("""COMPUTED_VALUE"""),46003.125)</f>
        <v>46003.125</v>
      </c>
      <c r="BH1891" s="17" t="s">
        <v>105</v>
      </c>
      <c r="BI1891" s="17"/>
      <c r="BJ1891" s="15"/>
      <c r="BK1891" s="15"/>
      <c r="BL1891" s="13" t="b">
        <v>0</v>
      </c>
      <c r="BM1891" s="10"/>
      <c r="BN1891" s="10" t="s">
        <v>118</v>
      </c>
      <c r="BO1891" s="11">
        <v>45904.326388888891</v>
      </c>
      <c r="BP1891" s="11">
        <v>45993.719456018516</v>
      </c>
      <c r="BQ1891" s="15">
        <v>45996.744884259257</v>
      </c>
      <c r="BR1891" s="15">
        <v>45999.40252314815</v>
      </c>
      <c r="BS1891" s="10" t="s">
        <v>118</v>
      </c>
      <c r="BT1891" s="10" t="s">
        <v>99</v>
      </c>
      <c r="BU1891" s="10"/>
      <c r="BV1891" s="10"/>
      <c r="BW1891" s="10"/>
      <c r="BX1891" s="10"/>
      <c r="BY1891" s="23"/>
      <c r="BZ1891" s="23"/>
      <c r="CA1891" s="19" t="s">
        <v>14383</v>
      </c>
      <c r="CB1891" s="19" t="s">
        <v>14384</v>
      </c>
      <c r="CC1891" s="23"/>
      <c r="CD1891" s="23"/>
      <c r="CE1891" s="23"/>
      <c r="CF1891" s="23"/>
      <c r="CG1891" s="23"/>
      <c r="CH1891" s="23"/>
      <c r="CI1891" s="23"/>
    </row>
    <row r="1892" spans="1:87" x14ac:dyDescent="0.3">
      <c r="A1892" s="9" t="s">
        <v>14385</v>
      </c>
      <c r="B1892" s="10" t="s">
        <v>14386</v>
      </c>
      <c r="C1892" s="11">
        <v>46003.125</v>
      </c>
      <c r="D1892" s="12">
        <v>8.3333333333333329E-2</v>
      </c>
      <c r="E1892" s="11">
        <v>46003.208333333336</v>
      </c>
      <c r="F1892" s="10" t="s">
        <v>8609</v>
      </c>
      <c r="G1892" s="13" t="b">
        <v>0</v>
      </c>
      <c r="H1892" s="10" t="s">
        <v>5239</v>
      </c>
      <c r="I1892" s="10" t="s">
        <v>89</v>
      </c>
      <c r="J1892" s="13" t="b">
        <v>0</v>
      </c>
      <c r="K1892" s="13" t="b">
        <v>1</v>
      </c>
      <c r="L1892" s="10" t="s">
        <v>124</v>
      </c>
      <c r="M1892" s="10" t="s">
        <v>91</v>
      </c>
      <c r="N1892" s="10" t="s">
        <v>92</v>
      </c>
      <c r="O1892" s="19" t="s">
        <v>14387</v>
      </c>
      <c r="P1892" s="10"/>
      <c r="Q1892" s="10" t="s">
        <v>94</v>
      </c>
      <c r="R1892" s="10"/>
      <c r="S1892" s="19" t="s">
        <v>14388</v>
      </c>
      <c r="T1892" s="19" t="s">
        <v>14307</v>
      </c>
      <c r="U1892" s="10" t="s">
        <v>13687</v>
      </c>
      <c r="V1892" s="10" t="s">
        <v>13795</v>
      </c>
      <c r="W1892" s="10" t="s">
        <v>8613</v>
      </c>
      <c r="X1892" s="10" t="s">
        <v>130</v>
      </c>
      <c r="Y1892" s="10" t="s">
        <v>130</v>
      </c>
      <c r="Z1892" s="10" t="s">
        <v>99</v>
      </c>
      <c r="AA1892" s="10" t="s">
        <v>131</v>
      </c>
      <c r="AB1892" s="10" t="s">
        <v>8614</v>
      </c>
      <c r="AC1892" s="10" t="s">
        <v>3571</v>
      </c>
      <c r="AD1892" s="10" t="s">
        <v>14389</v>
      </c>
      <c r="AE1892" s="10" t="s">
        <v>14390</v>
      </c>
      <c r="AF1892" s="15"/>
      <c r="AG1892" s="10"/>
      <c r="AH1892" s="10"/>
      <c r="AI1892" s="10"/>
      <c r="AJ1892" s="10"/>
      <c r="AK1892" s="10" t="s">
        <v>102</v>
      </c>
      <c r="AL1892" s="10" t="s">
        <v>7897</v>
      </c>
      <c r="AM1892" s="10"/>
      <c r="AN1892" s="10"/>
      <c r="AO1892" s="13" t="b">
        <v>0</v>
      </c>
      <c r="AP1892" s="10" t="s">
        <v>104</v>
      </c>
      <c r="AQ1892" s="10">
        <f ca="1">IFERROR(__xludf.DUMMYFUNCTION("""COMPUTED_VALUE"""),4771661)</f>
        <v>4771661</v>
      </c>
      <c r="AR1892" s="17">
        <v>405</v>
      </c>
      <c r="AS1892" s="17">
        <v>305</v>
      </c>
      <c r="AT1892" s="17">
        <v>2899</v>
      </c>
      <c r="AU1892" s="17">
        <v>0.35</v>
      </c>
      <c r="AV1892" s="17">
        <v>0</v>
      </c>
      <c r="AW1892" s="10" t="s">
        <v>105</v>
      </c>
      <c r="AX1892" s="17">
        <v>109</v>
      </c>
      <c r="AY1892" s="18">
        <v>9.5049180327868861</v>
      </c>
      <c r="AZ1892" s="10"/>
      <c r="BA1892" s="20" t="b">
        <v>0</v>
      </c>
      <c r="BB1892" s="10"/>
      <c r="BC1892" s="17">
        <v>405</v>
      </c>
      <c r="BD1892" s="17">
        <v>305</v>
      </c>
      <c r="BE1892" s="17">
        <v>2899</v>
      </c>
      <c r="BF1892" s="17">
        <v>0</v>
      </c>
      <c r="BG1892" s="11">
        <f ca="1">IFERROR(__xludf.DUMMYFUNCTION("""COMPUTED_VALUE"""),46003.125)</f>
        <v>46003.125</v>
      </c>
      <c r="BH1892" s="17" t="s">
        <v>105</v>
      </c>
      <c r="BI1892" s="17"/>
      <c r="BJ1892" s="15"/>
      <c r="BK1892" s="15"/>
      <c r="BL1892" s="13" t="b">
        <v>0</v>
      </c>
      <c r="BM1892" s="10"/>
      <c r="BN1892" s="10" t="s">
        <v>118</v>
      </c>
      <c r="BO1892" s="11">
        <v>45904.326388888891</v>
      </c>
      <c r="BP1892" s="11">
        <v>45993.719699074078</v>
      </c>
      <c r="BQ1892" s="15">
        <v>45996.747893518521</v>
      </c>
      <c r="BR1892" s="15">
        <v>45999.402638888889</v>
      </c>
      <c r="BS1892" s="10" t="s">
        <v>118</v>
      </c>
      <c r="BT1892" s="10" t="s">
        <v>99</v>
      </c>
      <c r="BU1892" s="10"/>
      <c r="BV1892" s="10"/>
      <c r="BW1892" s="10"/>
      <c r="BX1892" s="10"/>
      <c r="BY1892" s="23"/>
      <c r="BZ1892" s="23"/>
      <c r="CA1892" s="19" t="s">
        <v>14391</v>
      </c>
      <c r="CB1892" s="19" t="s">
        <v>14311</v>
      </c>
      <c r="CC1892" s="23"/>
      <c r="CD1892" s="23"/>
      <c r="CE1892" s="23"/>
      <c r="CF1892" s="23"/>
      <c r="CG1892" s="23"/>
      <c r="CH1892" s="23"/>
      <c r="CI1892" s="23"/>
    </row>
    <row r="1893" spans="1:87" x14ac:dyDescent="0.3">
      <c r="A1893" s="9" t="s">
        <v>14392</v>
      </c>
      <c r="B1893" s="10" t="s">
        <v>14393</v>
      </c>
      <c r="C1893" s="11">
        <v>46003.125</v>
      </c>
      <c r="D1893" s="12">
        <v>8.3333333333333329E-2</v>
      </c>
      <c r="E1893" s="11">
        <v>46003.208333333336</v>
      </c>
      <c r="F1893" s="10" t="s">
        <v>8609</v>
      </c>
      <c r="G1893" s="13" t="b">
        <v>0</v>
      </c>
      <c r="H1893" s="10" t="s">
        <v>5239</v>
      </c>
      <c r="I1893" s="10" t="s">
        <v>89</v>
      </c>
      <c r="J1893" s="13" t="b">
        <v>0</v>
      </c>
      <c r="K1893" s="13" t="b">
        <v>1</v>
      </c>
      <c r="L1893" s="10" t="s">
        <v>124</v>
      </c>
      <c r="M1893" s="10" t="s">
        <v>91</v>
      </c>
      <c r="N1893" s="10" t="s">
        <v>92</v>
      </c>
      <c r="O1893" s="19" t="s">
        <v>14394</v>
      </c>
      <c r="P1893" s="10"/>
      <c r="Q1893" s="10" t="s">
        <v>94</v>
      </c>
      <c r="R1893" s="10"/>
      <c r="S1893" s="19" t="s">
        <v>14395</v>
      </c>
      <c r="T1893" s="19" t="s">
        <v>14396</v>
      </c>
      <c r="U1893" s="10" t="s">
        <v>13736</v>
      </c>
      <c r="V1893" s="10" t="s">
        <v>13656</v>
      </c>
      <c r="W1893" s="10" t="s">
        <v>8613</v>
      </c>
      <c r="X1893" s="10" t="s">
        <v>130</v>
      </c>
      <c r="Y1893" s="10" t="s">
        <v>130</v>
      </c>
      <c r="Z1893" s="10" t="s">
        <v>99</v>
      </c>
      <c r="AA1893" s="10" t="s">
        <v>131</v>
      </c>
      <c r="AB1893" s="10" t="s">
        <v>8614</v>
      </c>
      <c r="AC1893" s="10" t="s">
        <v>3571</v>
      </c>
      <c r="AD1893" s="10" t="s">
        <v>14397</v>
      </c>
      <c r="AE1893" s="10" t="s">
        <v>14398</v>
      </c>
      <c r="AF1893" s="15"/>
      <c r="AG1893" s="10"/>
      <c r="AH1893" s="10"/>
      <c r="AI1893" s="10"/>
      <c r="AJ1893" s="10"/>
      <c r="AK1893" s="10" t="s">
        <v>102</v>
      </c>
      <c r="AL1893" s="10" t="s">
        <v>7897</v>
      </c>
      <c r="AM1893" s="10"/>
      <c r="AN1893" s="10"/>
      <c r="AO1893" s="13" t="b">
        <v>0</v>
      </c>
      <c r="AP1893" s="10" t="s">
        <v>104</v>
      </c>
      <c r="AQ1893" s="10">
        <f ca="1">IFERROR(__xludf.DUMMYFUNCTION("""COMPUTED_VALUE"""),4771665)</f>
        <v>4771665</v>
      </c>
      <c r="AR1893" s="17">
        <v>231</v>
      </c>
      <c r="AS1893" s="17">
        <v>169</v>
      </c>
      <c r="AT1893" s="17">
        <v>988.75</v>
      </c>
      <c r="AU1893" s="17">
        <v>0.15</v>
      </c>
      <c r="AV1893" s="17">
        <v>0</v>
      </c>
      <c r="AW1893" s="10" t="s">
        <v>105</v>
      </c>
      <c r="AX1893" s="17">
        <v>40</v>
      </c>
      <c r="AY1893" s="18">
        <v>5.8505917159763312</v>
      </c>
      <c r="AZ1893" s="10"/>
      <c r="BA1893" s="20" t="b">
        <v>0</v>
      </c>
      <c r="BB1893" s="10"/>
      <c r="BC1893" s="17">
        <v>231</v>
      </c>
      <c r="BD1893" s="17">
        <v>169</v>
      </c>
      <c r="BE1893" s="17">
        <v>988.75</v>
      </c>
      <c r="BF1893" s="17">
        <v>0</v>
      </c>
      <c r="BG1893" s="11">
        <f ca="1">IFERROR(__xludf.DUMMYFUNCTION("""COMPUTED_VALUE"""),46003.125)</f>
        <v>46003.125</v>
      </c>
      <c r="BH1893" s="17" t="s">
        <v>105</v>
      </c>
      <c r="BI1893" s="17"/>
      <c r="BJ1893" s="15"/>
      <c r="BK1893" s="15"/>
      <c r="BL1893" s="13" t="b">
        <v>0</v>
      </c>
      <c r="BM1893" s="10"/>
      <c r="BN1893" s="10" t="s">
        <v>118</v>
      </c>
      <c r="BO1893" s="11">
        <v>45904.326388888891</v>
      </c>
      <c r="BP1893" s="11">
        <v>45993.719780092593</v>
      </c>
      <c r="BQ1893" s="15">
        <v>45996.749039351853</v>
      </c>
      <c r="BR1893" s="15">
        <v>45999.403124999997</v>
      </c>
      <c r="BS1893" s="10" t="s">
        <v>118</v>
      </c>
      <c r="BT1893" s="10" t="s">
        <v>99</v>
      </c>
      <c r="BU1893" s="10"/>
      <c r="BV1893" s="10"/>
      <c r="BW1893" s="10"/>
      <c r="BX1893" s="10"/>
      <c r="BY1893" s="23"/>
      <c r="BZ1893" s="23"/>
      <c r="CA1893" s="19" t="s">
        <v>14399</v>
      </c>
      <c r="CB1893" s="19" t="s">
        <v>14400</v>
      </c>
      <c r="CC1893" s="23"/>
      <c r="CD1893" s="23"/>
      <c r="CE1893" s="23"/>
      <c r="CF1893" s="23"/>
      <c r="CG1893" s="23"/>
      <c r="CH1893" s="23"/>
      <c r="CI1893" s="23"/>
    </row>
    <row r="1894" spans="1:87" x14ac:dyDescent="0.3">
      <c r="A1894" s="25" t="s">
        <v>14401</v>
      </c>
      <c r="B1894" s="10" t="s">
        <v>14402</v>
      </c>
      <c r="C1894" s="11">
        <v>46003.125</v>
      </c>
      <c r="D1894" s="12">
        <v>8.3333333333333329E-2</v>
      </c>
      <c r="E1894" s="11">
        <v>46003.208333333336</v>
      </c>
      <c r="F1894" s="10" t="s">
        <v>8609</v>
      </c>
      <c r="G1894" s="13" t="b">
        <v>0</v>
      </c>
      <c r="H1894" s="10" t="s">
        <v>5239</v>
      </c>
      <c r="I1894" s="10" t="s">
        <v>89</v>
      </c>
      <c r="J1894" s="13" t="b">
        <v>0</v>
      </c>
      <c r="K1894" s="13" t="b">
        <v>1</v>
      </c>
      <c r="L1894" s="10" t="s">
        <v>124</v>
      </c>
      <c r="M1894" s="10" t="s">
        <v>91</v>
      </c>
      <c r="N1894" s="10" t="s">
        <v>92</v>
      </c>
      <c r="O1894" s="19" t="s">
        <v>14403</v>
      </c>
      <c r="P1894" s="10"/>
      <c r="Q1894" s="10" t="s">
        <v>94</v>
      </c>
      <c r="R1894" s="10"/>
      <c r="S1894" s="19" t="s">
        <v>14404</v>
      </c>
      <c r="T1894" s="19" t="s">
        <v>14405</v>
      </c>
      <c r="U1894" s="10" t="s">
        <v>13647</v>
      </c>
      <c r="V1894" s="10" t="s">
        <v>13666</v>
      </c>
      <c r="W1894" s="10" t="s">
        <v>8613</v>
      </c>
      <c r="X1894" s="10" t="s">
        <v>130</v>
      </c>
      <c r="Y1894" s="10" t="s">
        <v>130</v>
      </c>
      <c r="Z1894" s="10" t="s">
        <v>99</v>
      </c>
      <c r="AA1894" s="10" t="s">
        <v>131</v>
      </c>
      <c r="AB1894" s="10" t="s">
        <v>8614</v>
      </c>
      <c r="AC1894" s="10" t="s">
        <v>3571</v>
      </c>
      <c r="AD1894" s="10" t="s">
        <v>14406</v>
      </c>
      <c r="AE1894" s="10" t="s">
        <v>14407</v>
      </c>
      <c r="AF1894" s="15"/>
      <c r="AG1894" s="10"/>
      <c r="AH1894" s="10"/>
      <c r="AI1894" s="10"/>
      <c r="AJ1894" s="10"/>
      <c r="AK1894" s="10" t="s">
        <v>102</v>
      </c>
      <c r="AL1894" s="10" t="s">
        <v>7897</v>
      </c>
      <c r="AM1894" s="10"/>
      <c r="AN1894" s="10"/>
      <c r="AO1894" s="13" t="b">
        <v>0</v>
      </c>
      <c r="AP1894" s="10" t="s">
        <v>104</v>
      </c>
      <c r="AQ1894" s="10">
        <f ca="1">IFERROR(__xludf.DUMMYFUNCTION("""COMPUTED_VALUE"""),4771666)</f>
        <v>4771666</v>
      </c>
      <c r="AR1894" s="17">
        <v>293</v>
      </c>
      <c r="AS1894" s="17">
        <v>211</v>
      </c>
      <c r="AT1894" s="17">
        <v>1390.75</v>
      </c>
      <c r="AU1894" s="17">
        <v>0</v>
      </c>
      <c r="AV1894" s="17">
        <v>0</v>
      </c>
      <c r="AW1894" s="10" t="s">
        <v>105</v>
      </c>
      <c r="AX1894" s="17">
        <v>52</v>
      </c>
      <c r="AY1894" s="18">
        <v>6.5912322274881516</v>
      </c>
      <c r="AZ1894" s="10"/>
      <c r="BA1894" s="20" t="b">
        <v>0</v>
      </c>
      <c r="BB1894" s="10"/>
      <c r="BC1894" s="17">
        <v>293</v>
      </c>
      <c r="BD1894" s="17">
        <v>211</v>
      </c>
      <c r="BE1894" s="17">
        <v>1390.75</v>
      </c>
      <c r="BF1894" s="17">
        <v>0</v>
      </c>
      <c r="BG1894" s="11">
        <f ca="1">IFERROR(__xludf.DUMMYFUNCTION("""COMPUTED_VALUE"""),46003.125)</f>
        <v>46003.125</v>
      </c>
      <c r="BH1894" s="17" t="s">
        <v>105</v>
      </c>
      <c r="BI1894" s="17"/>
      <c r="BJ1894" s="15"/>
      <c r="BK1894" s="15"/>
      <c r="BL1894" s="13" t="b">
        <v>0</v>
      </c>
      <c r="BM1894" s="10"/>
      <c r="BN1894" s="10" t="s">
        <v>118</v>
      </c>
      <c r="BO1894" s="11">
        <v>45904.326388888891</v>
      </c>
      <c r="BP1894" s="11">
        <v>45993.719861111109</v>
      </c>
      <c r="BQ1894" s="15">
        <v>45996.749201388891</v>
      </c>
      <c r="BR1894" s="15">
        <v>45999.403240740743</v>
      </c>
      <c r="BS1894" s="10" t="s">
        <v>118</v>
      </c>
      <c r="BT1894" s="10" t="s">
        <v>99</v>
      </c>
      <c r="BU1894" s="10"/>
      <c r="BV1894" s="10"/>
      <c r="BW1894" s="10"/>
      <c r="BX1894" s="10"/>
      <c r="BY1894" s="23"/>
      <c r="BZ1894" s="23"/>
      <c r="CA1894" s="19" t="s">
        <v>14408</v>
      </c>
      <c r="CB1894" s="19" t="s">
        <v>14409</v>
      </c>
      <c r="CC1894" s="23"/>
      <c r="CD1894" s="23"/>
      <c r="CE1894" s="23"/>
      <c r="CF1894" s="23"/>
      <c r="CG1894" s="23"/>
      <c r="CH1894" s="23"/>
      <c r="CI1894" s="23"/>
    </row>
    <row r="1895" spans="1:87" x14ac:dyDescent="0.3">
      <c r="A1895" s="9" t="s">
        <v>14410</v>
      </c>
      <c r="B1895" s="10" t="s">
        <v>14411</v>
      </c>
      <c r="C1895" s="11">
        <v>46010.125</v>
      </c>
      <c r="D1895" s="12">
        <v>8.3333333333333329E-2</v>
      </c>
      <c r="E1895" s="11">
        <v>46010.208333333336</v>
      </c>
      <c r="F1895" s="10" t="s">
        <v>8609</v>
      </c>
      <c r="G1895" s="13" t="b">
        <v>0</v>
      </c>
      <c r="H1895" s="10" t="s">
        <v>5239</v>
      </c>
      <c r="I1895" s="10" t="s">
        <v>89</v>
      </c>
      <c r="J1895" s="13" t="b">
        <v>0</v>
      </c>
      <c r="K1895" s="13" t="b">
        <v>1</v>
      </c>
      <c r="L1895" s="10" t="s">
        <v>124</v>
      </c>
      <c r="M1895" s="10" t="s">
        <v>91</v>
      </c>
      <c r="N1895" s="10" t="s">
        <v>92</v>
      </c>
      <c r="O1895" s="19" t="s">
        <v>14412</v>
      </c>
      <c r="P1895" s="10"/>
      <c r="Q1895" s="10" t="s">
        <v>94</v>
      </c>
      <c r="R1895" s="10"/>
      <c r="S1895" s="19" t="s">
        <v>14413</v>
      </c>
      <c r="T1895" s="19" t="s">
        <v>14414</v>
      </c>
      <c r="U1895" s="10" t="s">
        <v>13706</v>
      </c>
      <c r="V1895" s="10" t="s">
        <v>13696</v>
      </c>
      <c r="W1895" s="10" t="s">
        <v>8613</v>
      </c>
      <c r="X1895" s="10" t="s">
        <v>130</v>
      </c>
      <c r="Y1895" s="10" t="s">
        <v>130</v>
      </c>
      <c r="Z1895" s="10" t="s">
        <v>99</v>
      </c>
      <c r="AA1895" s="10" t="s">
        <v>131</v>
      </c>
      <c r="AB1895" s="10" t="s">
        <v>8614</v>
      </c>
      <c r="AC1895" s="10" t="s">
        <v>3571</v>
      </c>
      <c r="AD1895" s="10" t="s">
        <v>14415</v>
      </c>
      <c r="AE1895" s="10" t="s">
        <v>14416</v>
      </c>
      <c r="AF1895" s="15"/>
      <c r="AG1895" s="10"/>
      <c r="AH1895" s="10"/>
      <c r="AI1895" s="10"/>
      <c r="AJ1895" s="10"/>
      <c r="AK1895" s="10" t="s">
        <v>102</v>
      </c>
      <c r="AL1895" s="10" t="s">
        <v>7897</v>
      </c>
      <c r="AM1895" s="10"/>
      <c r="AN1895" s="10"/>
      <c r="AO1895" s="13" t="b">
        <v>0</v>
      </c>
      <c r="AP1895" s="10" t="s">
        <v>104</v>
      </c>
      <c r="AQ1895" s="10">
        <f ca="1">IFERROR(__xludf.DUMMYFUNCTION("""COMPUTED_VALUE"""),4783297)</f>
        <v>4783297</v>
      </c>
      <c r="AR1895" s="17">
        <v>528</v>
      </c>
      <c r="AS1895" s="17">
        <v>425</v>
      </c>
      <c r="AT1895" s="17">
        <v>3360.75</v>
      </c>
      <c r="AU1895" s="17">
        <v>0</v>
      </c>
      <c r="AV1895" s="17">
        <v>0</v>
      </c>
      <c r="AW1895" s="10" t="s">
        <v>105</v>
      </c>
      <c r="AX1895" s="17">
        <v>72</v>
      </c>
      <c r="AY1895" s="18">
        <v>7.907647058823529</v>
      </c>
      <c r="AZ1895" s="10"/>
      <c r="BA1895" s="20" t="b">
        <v>0</v>
      </c>
      <c r="BB1895" s="10"/>
      <c r="BC1895" s="17">
        <v>528</v>
      </c>
      <c r="BD1895" s="17">
        <v>425</v>
      </c>
      <c r="BE1895" s="17">
        <v>3360.75</v>
      </c>
      <c r="BF1895" s="17">
        <v>0</v>
      </c>
      <c r="BG1895" s="11">
        <f ca="1">IFERROR(__xludf.DUMMYFUNCTION("""COMPUTED_VALUE"""),46010.125)</f>
        <v>46010.125</v>
      </c>
      <c r="BH1895" s="17" t="s">
        <v>105</v>
      </c>
      <c r="BI1895" s="17"/>
      <c r="BJ1895" s="15"/>
      <c r="BK1895" s="15"/>
      <c r="BL1895" s="13" t="b">
        <v>0</v>
      </c>
      <c r="BM1895" s="10"/>
      <c r="BN1895" s="10" t="s">
        <v>634</v>
      </c>
      <c r="BO1895" s="11">
        <v>45904.326388888891</v>
      </c>
      <c r="BP1895" s="11">
        <v>46000.56046296296</v>
      </c>
      <c r="BQ1895" s="15">
        <v>46006.453668981485</v>
      </c>
      <c r="BR1895" s="15">
        <v>46007.611631944441</v>
      </c>
      <c r="BS1895" s="10" t="s">
        <v>634</v>
      </c>
      <c r="BT1895" s="10" t="s">
        <v>279</v>
      </c>
      <c r="BU1895" s="10" t="s">
        <v>942</v>
      </c>
      <c r="BV1895" s="10"/>
      <c r="BW1895" s="10"/>
      <c r="BX1895" s="10"/>
      <c r="BY1895" s="23"/>
      <c r="BZ1895" s="23"/>
      <c r="CA1895" s="19" t="s">
        <v>14417</v>
      </c>
      <c r="CB1895" s="19" t="s">
        <v>14418</v>
      </c>
      <c r="CC1895" s="23"/>
      <c r="CD1895" s="23"/>
      <c r="CE1895" s="23"/>
      <c r="CF1895" s="23"/>
      <c r="CG1895" s="23"/>
      <c r="CH1895" s="23"/>
      <c r="CI1895" s="23"/>
    </row>
    <row r="1896" spans="1:87" x14ac:dyDescent="0.3">
      <c r="A1896" s="9" t="s">
        <v>14419</v>
      </c>
      <c r="B1896" s="10" t="s">
        <v>14420</v>
      </c>
      <c r="C1896" s="11">
        <v>46010.125</v>
      </c>
      <c r="D1896" s="12">
        <v>8.3333333333333329E-2</v>
      </c>
      <c r="E1896" s="11">
        <v>46010.208333333336</v>
      </c>
      <c r="F1896" s="10" t="s">
        <v>8609</v>
      </c>
      <c r="G1896" s="13" t="b">
        <v>0</v>
      </c>
      <c r="H1896" s="10" t="s">
        <v>5239</v>
      </c>
      <c r="I1896" s="10" t="s">
        <v>89</v>
      </c>
      <c r="J1896" s="13" t="b">
        <v>0</v>
      </c>
      <c r="K1896" s="13" t="b">
        <v>1</v>
      </c>
      <c r="L1896" s="10" t="s">
        <v>124</v>
      </c>
      <c r="M1896" s="10" t="s">
        <v>91</v>
      </c>
      <c r="N1896" s="10" t="s">
        <v>92</v>
      </c>
      <c r="O1896" s="19" t="s">
        <v>14421</v>
      </c>
      <c r="P1896" s="10"/>
      <c r="Q1896" s="10" t="s">
        <v>94</v>
      </c>
      <c r="R1896" s="10"/>
      <c r="S1896" s="19" t="s">
        <v>14422</v>
      </c>
      <c r="T1896" s="19" t="s">
        <v>14423</v>
      </c>
      <c r="U1896" s="10" t="s">
        <v>13666</v>
      </c>
      <c r="V1896" s="10" t="s">
        <v>13736</v>
      </c>
      <c r="W1896" s="10" t="s">
        <v>8613</v>
      </c>
      <c r="X1896" s="10" t="s">
        <v>130</v>
      </c>
      <c r="Y1896" s="10" t="s">
        <v>130</v>
      </c>
      <c r="Z1896" s="10" t="s">
        <v>99</v>
      </c>
      <c r="AA1896" s="10" t="s">
        <v>131</v>
      </c>
      <c r="AB1896" s="10" t="s">
        <v>8614</v>
      </c>
      <c r="AC1896" s="10" t="s">
        <v>3571</v>
      </c>
      <c r="AD1896" s="10" t="s">
        <v>14424</v>
      </c>
      <c r="AE1896" s="10" t="s">
        <v>14425</v>
      </c>
      <c r="AF1896" s="15"/>
      <c r="AG1896" s="10"/>
      <c r="AH1896" s="10"/>
      <c r="AI1896" s="10"/>
      <c r="AJ1896" s="10"/>
      <c r="AK1896" s="10" t="s">
        <v>102</v>
      </c>
      <c r="AL1896" s="10" t="s">
        <v>7897</v>
      </c>
      <c r="AM1896" s="10"/>
      <c r="AN1896" s="10"/>
      <c r="AO1896" s="13" t="b">
        <v>0</v>
      </c>
      <c r="AP1896" s="10" t="s">
        <v>104</v>
      </c>
      <c r="AQ1896" s="10">
        <f ca="1">IFERROR(__xludf.DUMMYFUNCTION("""COMPUTED_VALUE"""),4783306)</f>
        <v>4783306</v>
      </c>
      <c r="AR1896" s="17">
        <v>622</v>
      </c>
      <c r="AS1896" s="17">
        <v>535</v>
      </c>
      <c r="AT1896" s="17">
        <v>2796</v>
      </c>
      <c r="AU1896" s="17">
        <v>0.15</v>
      </c>
      <c r="AV1896" s="17">
        <v>0</v>
      </c>
      <c r="AW1896" s="10" t="s">
        <v>105</v>
      </c>
      <c r="AX1896" s="17">
        <v>72</v>
      </c>
      <c r="AY1896" s="18">
        <v>5.226168224299065</v>
      </c>
      <c r="AZ1896" s="10"/>
      <c r="BA1896" s="20" t="b">
        <v>0</v>
      </c>
      <c r="BB1896" s="10"/>
      <c r="BC1896" s="17">
        <v>622</v>
      </c>
      <c r="BD1896" s="17">
        <v>535</v>
      </c>
      <c r="BE1896" s="17">
        <v>2796</v>
      </c>
      <c r="BF1896" s="17">
        <v>0</v>
      </c>
      <c r="BG1896" s="11">
        <f ca="1">IFERROR(__xludf.DUMMYFUNCTION("""COMPUTED_VALUE"""),46010.125)</f>
        <v>46010.125</v>
      </c>
      <c r="BH1896" s="17" t="s">
        <v>105</v>
      </c>
      <c r="BI1896" s="17"/>
      <c r="BJ1896" s="15"/>
      <c r="BK1896" s="15"/>
      <c r="BL1896" s="13" t="b">
        <v>0</v>
      </c>
      <c r="BM1896" s="10"/>
      <c r="BN1896" s="10" t="s">
        <v>634</v>
      </c>
      <c r="BO1896" s="11">
        <v>45904.326388888891</v>
      </c>
      <c r="BP1896" s="11">
        <v>46000.560613425929</v>
      </c>
      <c r="BQ1896" s="15">
        <v>46006.454398148147</v>
      </c>
      <c r="BR1896" s="15">
        <v>46007.619085648148</v>
      </c>
      <c r="BS1896" s="10" t="s">
        <v>634</v>
      </c>
      <c r="BT1896" s="10" t="s">
        <v>99</v>
      </c>
      <c r="BU1896" s="10" t="s">
        <v>8038</v>
      </c>
      <c r="BV1896" s="10"/>
      <c r="BW1896" s="10"/>
      <c r="BX1896" s="10"/>
      <c r="BY1896" s="23"/>
      <c r="BZ1896" s="23"/>
      <c r="CA1896" s="19" t="s">
        <v>14426</v>
      </c>
      <c r="CB1896" s="19" t="s">
        <v>14427</v>
      </c>
      <c r="CC1896" s="23"/>
      <c r="CD1896" s="23"/>
      <c r="CE1896" s="23"/>
      <c r="CF1896" s="23"/>
      <c r="CG1896" s="23"/>
      <c r="CH1896" s="23"/>
      <c r="CI1896" s="23"/>
    </row>
    <row r="1897" spans="1:87" x14ac:dyDescent="0.3">
      <c r="A1897" s="9" t="s">
        <v>14428</v>
      </c>
      <c r="B1897" s="10" t="s">
        <v>14429</v>
      </c>
      <c r="C1897" s="11">
        <v>46010.125</v>
      </c>
      <c r="D1897" s="12">
        <v>8.3333333333333329E-2</v>
      </c>
      <c r="E1897" s="11">
        <v>46010.208333333336</v>
      </c>
      <c r="F1897" s="10" t="s">
        <v>8609</v>
      </c>
      <c r="G1897" s="13" t="b">
        <v>0</v>
      </c>
      <c r="H1897" s="10" t="s">
        <v>5239</v>
      </c>
      <c r="I1897" s="10" t="s">
        <v>89</v>
      </c>
      <c r="J1897" s="13" t="b">
        <v>0</v>
      </c>
      <c r="K1897" s="13" t="b">
        <v>1</v>
      </c>
      <c r="L1897" s="10" t="s">
        <v>124</v>
      </c>
      <c r="M1897" s="10" t="s">
        <v>91</v>
      </c>
      <c r="N1897" s="10" t="s">
        <v>92</v>
      </c>
      <c r="O1897" s="19" t="s">
        <v>14430</v>
      </c>
      <c r="P1897" s="10"/>
      <c r="Q1897" s="10" t="s">
        <v>94</v>
      </c>
      <c r="R1897" s="10"/>
      <c r="S1897" s="19" t="s">
        <v>14431</v>
      </c>
      <c r="T1897" s="19" t="s">
        <v>14432</v>
      </c>
      <c r="U1897" s="10" t="s">
        <v>7923</v>
      </c>
      <c r="V1897" s="10" t="s">
        <v>13676</v>
      </c>
      <c r="W1897" s="10" t="s">
        <v>8613</v>
      </c>
      <c r="X1897" s="10" t="s">
        <v>130</v>
      </c>
      <c r="Y1897" s="10" t="s">
        <v>130</v>
      </c>
      <c r="Z1897" s="10" t="s">
        <v>99</v>
      </c>
      <c r="AA1897" s="10" t="s">
        <v>131</v>
      </c>
      <c r="AB1897" s="10" t="s">
        <v>8614</v>
      </c>
      <c r="AC1897" s="10" t="s">
        <v>3571</v>
      </c>
      <c r="AD1897" s="10" t="s">
        <v>14433</v>
      </c>
      <c r="AE1897" s="10" t="s">
        <v>14434</v>
      </c>
      <c r="AF1897" s="15"/>
      <c r="AG1897" s="10"/>
      <c r="AH1897" s="10"/>
      <c r="AI1897" s="10"/>
      <c r="AJ1897" s="10"/>
      <c r="AK1897" s="10" t="s">
        <v>102</v>
      </c>
      <c r="AL1897" s="10" t="s">
        <v>7897</v>
      </c>
      <c r="AM1897" s="10"/>
      <c r="AN1897" s="10"/>
      <c r="AO1897" s="13" t="b">
        <v>0</v>
      </c>
      <c r="AP1897" s="10" t="s">
        <v>104</v>
      </c>
      <c r="AQ1897" s="10">
        <f ca="1">IFERROR(__xludf.DUMMYFUNCTION("""COMPUTED_VALUE"""),4783291)</f>
        <v>4783291</v>
      </c>
      <c r="AR1897" s="17">
        <v>211</v>
      </c>
      <c r="AS1897" s="17">
        <v>169</v>
      </c>
      <c r="AT1897" s="17">
        <v>854.75</v>
      </c>
      <c r="AU1897" s="17">
        <v>0</v>
      </c>
      <c r="AV1897" s="17">
        <v>0</v>
      </c>
      <c r="AW1897" s="10" t="s">
        <v>105</v>
      </c>
      <c r="AX1897" s="17">
        <v>29</v>
      </c>
      <c r="AY1897" s="18">
        <v>5.0576923076923075</v>
      </c>
      <c r="AZ1897" s="10"/>
      <c r="BA1897" s="20" t="b">
        <v>0</v>
      </c>
      <c r="BB1897" s="10"/>
      <c r="BC1897" s="17">
        <v>211</v>
      </c>
      <c r="BD1897" s="17">
        <v>169</v>
      </c>
      <c r="BE1897" s="17">
        <v>854.75</v>
      </c>
      <c r="BF1897" s="17">
        <v>0</v>
      </c>
      <c r="BG1897" s="11">
        <f ca="1">IFERROR(__xludf.DUMMYFUNCTION("""COMPUTED_VALUE"""),46010.125)</f>
        <v>46010.125</v>
      </c>
      <c r="BH1897" s="17" t="s">
        <v>105</v>
      </c>
      <c r="BI1897" s="17"/>
      <c r="BJ1897" s="15"/>
      <c r="BK1897" s="15"/>
      <c r="BL1897" s="13" t="b">
        <v>0</v>
      </c>
      <c r="BM1897" s="10"/>
      <c r="BN1897" s="10" t="s">
        <v>634</v>
      </c>
      <c r="BO1897" s="11">
        <v>45904.326388888891</v>
      </c>
      <c r="BP1897" s="11">
        <v>46000.560740740744</v>
      </c>
      <c r="BQ1897" s="15">
        <v>46006.452569444446</v>
      </c>
      <c r="BR1897" s="15">
        <v>46007.604664351849</v>
      </c>
      <c r="BS1897" s="10" t="s">
        <v>634</v>
      </c>
      <c r="BT1897" s="10" t="s">
        <v>279</v>
      </c>
      <c r="BU1897" s="10" t="s">
        <v>6732</v>
      </c>
      <c r="BV1897" s="10"/>
      <c r="BW1897" s="10"/>
      <c r="BX1897" s="10"/>
      <c r="BY1897" s="23"/>
      <c r="BZ1897" s="23"/>
      <c r="CA1897" s="19" t="s">
        <v>14435</v>
      </c>
      <c r="CB1897" s="19" t="s">
        <v>14436</v>
      </c>
      <c r="CC1897" s="23"/>
      <c r="CD1897" s="23"/>
      <c r="CE1897" s="23"/>
      <c r="CF1897" s="23"/>
      <c r="CG1897" s="23"/>
      <c r="CH1897" s="23"/>
      <c r="CI1897" s="23"/>
    </row>
    <row r="1898" spans="1:87" x14ac:dyDescent="0.3">
      <c r="A1898" s="9" t="s">
        <v>14437</v>
      </c>
      <c r="B1898" s="10" t="s">
        <v>14438</v>
      </c>
      <c r="C1898" s="11">
        <v>46010.125</v>
      </c>
      <c r="D1898" s="12">
        <v>8.3333333333333329E-2</v>
      </c>
      <c r="E1898" s="11">
        <v>46010.208333333336</v>
      </c>
      <c r="F1898" s="10" t="s">
        <v>8609</v>
      </c>
      <c r="G1898" s="13" t="b">
        <v>0</v>
      </c>
      <c r="H1898" s="10" t="s">
        <v>5239</v>
      </c>
      <c r="I1898" s="10" t="s">
        <v>89</v>
      </c>
      <c r="J1898" s="13" t="b">
        <v>0</v>
      </c>
      <c r="K1898" s="13" t="b">
        <v>1</v>
      </c>
      <c r="L1898" s="10" t="s">
        <v>124</v>
      </c>
      <c r="M1898" s="10" t="s">
        <v>91</v>
      </c>
      <c r="N1898" s="10" t="s">
        <v>92</v>
      </c>
      <c r="O1898" s="19" t="s">
        <v>14439</v>
      </c>
      <c r="P1898" s="10"/>
      <c r="Q1898" s="10" t="s">
        <v>94</v>
      </c>
      <c r="R1898" s="10"/>
      <c r="S1898" s="19" t="s">
        <v>14440</v>
      </c>
      <c r="T1898" s="19" t="s">
        <v>14441</v>
      </c>
      <c r="U1898" s="10" t="s">
        <v>13667</v>
      </c>
      <c r="V1898" s="10" t="s">
        <v>13776</v>
      </c>
      <c r="W1898" s="10" t="s">
        <v>8613</v>
      </c>
      <c r="X1898" s="10" t="s">
        <v>130</v>
      </c>
      <c r="Y1898" s="10" t="s">
        <v>130</v>
      </c>
      <c r="Z1898" s="10" t="s">
        <v>99</v>
      </c>
      <c r="AA1898" s="10" t="s">
        <v>131</v>
      </c>
      <c r="AB1898" s="10" t="s">
        <v>8614</v>
      </c>
      <c r="AC1898" s="10" t="s">
        <v>3571</v>
      </c>
      <c r="AD1898" s="10" t="s">
        <v>14442</v>
      </c>
      <c r="AE1898" s="10" t="s">
        <v>14443</v>
      </c>
      <c r="AF1898" s="15"/>
      <c r="AG1898" s="10"/>
      <c r="AH1898" s="10"/>
      <c r="AI1898" s="10"/>
      <c r="AJ1898" s="10"/>
      <c r="AK1898" s="10" t="s">
        <v>102</v>
      </c>
      <c r="AL1898" s="10" t="s">
        <v>7897</v>
      </c>
      <c r="AM1898" s="10"/>
      <c r="AN1898" s="10"/>
      <c r="AO1898" s="13" t="b">
        <v>0</v>
      </c>
      <c r="AP1898" s="10" t="s">
        <v>104</v>
      </c>
      <c r="AQ1898" s="10">
        <f ca="1">IFERROR(__xludf.DUMMYFUNCTION("""COMPUTED_VALUE"""),4783302)</f>
        <v>4783302</v>
      </c>
      <c r="AR1898" s="17">
        <v>485</v>
      </c>
      <c r="AS1898" s="17">
        <v>338</v>
      </c>
      <c r="AT1898" s="17">
        <v>4069.25</v>
      </c>
      <c r="AU1898" s="17">
        <v>0.25</v>
      </c>
      <c r="AV1898" s="17">
        <v>0</v>
      </c>
      <c r="AW1898" s="10" t="s">
        <v>105</v>
      </c>
      <c r="AX1898" s="17">
        <v>77</v>
      </c>
      <c r="AY1898" s="18">
        <v>12.039201183431953</v>
      </c>
      <c r="AZ1898" s="10"/>
      <c r="BA1898" s="20" t="b">
        <v>0</v>
      </c>
      <c r="BB1898" s="10"/>
      <c r="BC1898" s="17">
        <v>485</v>
      </c>
      <c r="BD1898" s="17">
        <v>338</v>
      </c>
      <c r="BE1898" s="17">
        <v>4069.25</v>
      </c>
      <c r="BF1898" s="17">
        <v>0</v>
      </c>
      <c r="BG1898" s="11">
        <f ca="1">IFERROR(__xludf.DUMMYFUNCTION("""COMPUTED_VALUE"""),46010.125)</f>
        <v>46010.125</v>
      </c>
      <c r="BH1898" s="17" t="s">
        <v>105</v>
      </c>
      <c r="BI1898" s="17"/>
      <c r="BJ1898" s="15"/>
      <c r="BK1898" s="15"/>
      <c r="BL1898" s="13" t="b">
        <v>0</v>
      </c>
      <c r="BM1898" s="10"/>
      <c r="BN1898" s="10" t="s">
        <v>634</v>
      </c>
      <c r="BO1898" s="11">
        <v>45904.326388888891</v>
      </c>
      <c r="BP1898" s="11">
        <v>46000.56082175926</v>
      </c>
      <c r="BQ1898" s="15">
        <v>46006.45416666667</v>
      </c>
      <c r="BR1898" s="15">
        <v>46007.616423611114</v>
      </c>
      <c r="BS1898" s="10" t="s">
        <v>634</v>
      </c>
      <c r="BT1898" s="10" t="s">
        <v>99</v>
      </c>
      <c r="BU1898" s="10" t="s">
        <v>11615</v>
      </c>
      <c r="BV1898" s="10"/>
      <c r="BW1898" s="10"/>
      <c r="BX1898" s="10"/>
      <c r="BY1898" s="23"/>
      <c r="BZ1898" s="23"/>
      <c r="CA1898" s="19" t="s">
        <v>14444</v>
      </c>
      <c r="CB1898" s="19" t="s">
        <v>14445</v>
      </c>
      <c r="CC1898" s="23"/>
      <c r="CD1898" s="23"/>
      <c r="CE1898" s="23"/>
      <c r="CF1898" s="23"/>
      <c r="CG1898" s="23"/>
      <c r="CH1898" s="23"/>
      <c r="CI1898" s="23"/>
    </row>
    <row r="1899" spans="1:87" x14ac:dyDescent="0.3">
      <c r="A1899" s="9" t="s">
        <v>14446</v>
      </c>
      <c r="B1899" s="10" t="s">
        <v>14447</v>
      </c>
      <c r="C1899" s="11">
        <v>46010.125</v>
      </c>
      <c r="D1899" s="12">
        <v>8.3333333333333329E-2</v>
      </c>
      <c r="E1899" s="11">
        <v>46010.208333333336</v>
      </c>
      <c r="F1899" s="10" t="s">
        <v>8609</v>
      </c>
      <c r="G1899" s="13" t="b">
        <v>0</v>
      </c>
      <c r="H1899" s="10" t="s">
        <v>5239</v>
      </c>
      <c r="I1899" s="10" t="s">
        <v>89</v>
      </c>
      <c r="J1899" s="13" t="b">
        <v>0</v>
      </c>
      <c r="K1899" s="13" t="b">
        <v>1</v>
      </c>
      <c r="L1899" s="10" t="s">
        <v>124</v>
      </c>
      <c r="M1899" s="10" t="s">
        <v>91</v>
      </c>
      <c r="N1899" s="10" t="s">
        <v>92</v>
      </c>
      <c r="O1899" s="19" t="s">
        <v>14448</v>
      </c>
      <c r="P1899" s="10"/>
      <c r="Q1899" s="10" t="s">
        <v>94</v>
      </c>
      <c r="R1899" s="10"/>
      <c r="S1899" s="19" t="s">
        <v>14449</v>
      </c>
      <c r="T1899" s="19" t="s">
        <v>14450</v>
      </c>
      <c r="U1899" s="10" t="s">
        <v>13656</v>
      </c>
      <c r="V1899" s="10" t="s">
        <v>13647</v>
      </c>
      <c r="W1899" s="10" t="s">
        <v>8613</v>
      </c>
      <c r="X1899" s="10" t="s">
        <v>130</v>
      </c>
      <c r="Y1899" s="10" t="s">
        <v>130</v>
      </c>
      <c r="Z1899" s="10" t="s">
        <v>99</v>
      </c>
      <c r="AA1899" s="10" t="s">
        <v>131</v>
      </c>
      <c r="AB1899" s="10" t="s">
        <v>8614</v>
      </c>
      <c r="AC1899" s="10" t="s">
        <v>3571</v>
      </c>
      <c r="AD1899" s="10" t="s">
        <v>14451</v>
      </c>
      <c r="AE1899" s="10" t="s">
        <v>14452</v>
      </c>
      <c r="AF1899" s="15"/>
      <c r="AG1899" s="10"/>
      <c r="AH1899" s="10"/>
      <c r="AI1899" s="10"/>
      <c r="AJ1899" s="10"/>
      <c r="AK1899" s="10" t="s">
        <v>102</v>
      </c>
      <c r="AL1899" s="10" t="s">
        <v>7897</v>
      </c>
      <c r="AM1899" s="10"/>
      <c r="AN1899" s="10"/>
      <c r="AO1899" s="13" t="b">
        <v>0</v>
      </c>
      <c r="AP1899" s="10" t="s">
        <v>104</v>
      </c>
      <c r="AQ1899" s="10">
        <f ca="1">IFERROR(__xludf.DUMMYFUNCTION("""COMPUTED_VALUE"""),4783350)</f>
        <v>4783350</v>
      </c>
      <c r="AR1899" s="17">
        <v>273</v>
      </c>
      <c r="AS1899" s="17">
        <v>229</v>
      </c>
      <c r="AT1899" s="17">
        <v>1497.25</v>
      </c>
      <c r="AU1899" s="17">
        <v>0</v>
      </c>
      <c r="AV1899" s="17">
        <v>0</v>
      </c>
      <c r="AW1899" s="10" t="s">
        <v>105</v>
      </c>
      <c r="AX1899" s="17">
        <v>38</v>
      </c>
      <c r="AY1899" s="18">
        <v>6.5382096069868991</v>
      </c>
      <c r="AZ1899" s="10"/>
      <c r="BA1899" s="20" t="b">
        <v>0</v>
      </c>
      <c r="BB1899" s="10"/>
      <c r="BC1899" s="17">
        <v>273</v>
      </c>
      <c r="BD1899" s="17">
        <v>229</v>
      </c>
      <c r="BE1899" s="17">
        <v>1497.25</v>
      </c>
      <c r="BF1899" s="17">
        <v>0</v>
      </c>
      <c r="BG1899" s="11">
        <f ca="1">IFERROR(__xludf.DUMMYFUNCTION("""COMPUTED_VALUE"""),46010.125)</f>
        <v>46010.125</v>
      </c>
      <c r="BH1899" s="17" t="s">
        <v>105</v>
      </c>
      <c r="BI1899" s="17"/>
      <c r="BJ1899" s="15"/>
      <c r="BK1899" s="15"/>
      <c r="BL1899" s="13" t="b">
        <v>0</v>
      </c>
      <c r="BM1899" s="10"/>
      <c r="BN1899" s="10" t="s">
        <v>634</v>
      </c>
      <c r="BO1899" s="11">
        <v>45904.326388888891</v>
      </c>
      <c r="BP1899" s="11">
        <v>46000.561030092591</v>
      </c>
      <c r="BQ1899" s="15">
        <v>46006.456111111111</v>
      </c>
      <c r="BR1899" s="15">
        <v>46007.696886574071</v>
      </c>
      <c r="BS1899" s="10" t="s">
        <v>634</v>
      </c>
      <c r="BT1899" s="10" t="s">
        <v>99</v>
      </c>
      <c r="BU1899" s="10" t="s">
        <v>3752</v>
      </c>
      <c r="BV1899" s="10"/>
      <c r="BW1899" s="10"/>
      <c r="BX1899" s="10"/>
      <c r="BY1899" s="23"/>
      <c r="BZ1899" s="23"/>
      <c r="CA1899" s="19" t="s">
        <v>14453</v>
      </c>
      <c r="CB1899" s="19" t="s">
        <v>14454</v>
      </c>
      <c r="CC1899" s="23"/>
      <c r="CD1899" s="23"/>
      <c r="CE1899" s="23"/>
      <c r="CF1899" s="23"/>
      <c r="CG1899" s="23"/>
      <c r="CH1899" s="23"/>
      <c r="CI1899" s="23"/>
    </row>
    <row r="1900" spans="1:87" x14ac:dyDescent="0.3">
      <c r="A1900" s="9" t="s">
        <v>14455</v>
      </c>
      <c r="B1900" s="10" t="s">
        <v>14456</v>
      </c>
      <c r="C1900" s="11">
        <v>46010.125</v>
      </c>
      <c r="D1900" s="12">
        <v>8.3333333333333329E-2</v>
      </c>
      <c r="E1900" s="11">
        <v>46010.208333333336</v>
      </c>
      <c r="F1900" s="10" t="s">
        <v>8609</v>
      </c>
      <c r="G1900" s="13" t="b">
        <v>0</v>
      </c>
      <c r="H1900" s="10" t="s">
        <v>5239</v>
      </c>
      <c r="I1900" s="10" t="s">
        <v>89</v>
      </c>
      <c r="J1900" s="13" t="b">
        <v>0</v>
      </c>
      <c r="K1900" s="13" t="b">
        <v>1</v>
      </c>
      <c r="L1900" s="10" t="s">
        <v>124</v>
      </c>
      <c r="M1900" s="10" t="s">
        <v>91</v>
      </c>
      <c r="N1900" s="10" t="s">
        <v>92</v>
      </c>
      <c r="O1900" s="19" t="s">
        <v>14457</v>
      </c>
      <c r="P1900" s="10"/>
      <c r="Q1900" s="10" t="s">
        <v>94</v>
      </c>
      <c r="R1900" s="10"/>
      <c r="S1900" s="19" t="s">
        <v>14458</v>
      </c>
      <c r="T1900" s="19" t="s">
        <v>14459</v>
      </c>
      <c r="U1900" s="10" t="s">
        <v>8622</v>
      </c>
      <c r="V1900" s="10" t="s">
        <v>13717</v>
      </c>
      <c r="W1900" s="10" t="s">
        <v>8613</v>
      </c>
      <c r="X1900" s="10" t="s">
        <v>130</v>
      </c>
      <c r="Y1900" s="10" t="s">
        <v>130</v>
      </c>
      <c r="Z1900" s="10" t="s">
        <v>99</v>
      </c>
      <c r="AA1900" s="10" t="s">
        <v>131</v>
      </c>
      <c r="AB1900" s="10" t="s">
        <v>8614</v>
      </c>
      <c r="AC1900" s="10" t="s">
        <v>3571</v>
      </c>
      <c r="AD1900" s="10" t="s">
        <v>14460</v>
      </c>
      <c r="AE1900" s="10" t="s">
        <v>14461</v>
      </c>
      <c r="AF1900" s="15"/>
      <c r="AG1900" s="10"/>
      <c r="AH1900" s="10"/>
      <c r="AI1900" s="10"/>
      <c r="AJ1900" s="10"/>
      <c r="AK1900" s="10" t="s">
        <v>102</v>
      </c>
      <c r="AL1900" s="10" t="s">
        <v>7897</v>
      </c>
      <c r="AM1900" s="10"/>
      <c r="AN1900" s="10"/>
      <c r="AO1900" s="13" t="b">
        <v>0</v>
      </c>
      <c r="AP1900" s="10" t="s">
        <v>104</v>
      </c>
      <c r="AQ1900" s="10">
        <f ca="1">IFERROR(__xludf.DUMMYFUNCTION("""COMPUTED_VALUE"""),4783348)</f>
        <v>4783348</v>
      </c>
      <c r="AR1900" s="17">
        <v>536</v>
      </c>
      <c r="AS1900" s="17">
        <v>391</v>
      </c>
      <c r="AT1900" s="17">
        <v>4447</v>
      </c>
      <c r="AU1900" s="17">
        <v>0.85</v>
      </c>
      <c r="AV1900" s="17">
        <v>0</v>
      </c>
      <c r="AW1900" s="10" t="s">
        <v>105</v>
      </c>
      <c r="AX1900" s="17">
        <v>108</v>
      </c>
      <c r="AY1900" s="18">
        <v>11.373401534526854</v>
      </c>
      <c r="AZ1900" s="10"/>
      <c r="BA1900" s="20" t="b">
        <v>0</v>
      </c>
      <c r="BB1900" s="10"/>
      <c r="BC1900" s="17">
        <v>536</v>
      </c>
      <c r="BD1900" s="17">
        <v>391</v>
      </c>
      <c r="BE1900" s="17">
        <v>4447</v>
      </c>
      <c r="BF1900" s="17">
        <v>0</v>
      </c>
      <c r="BG1900" s="11">
        <f ca="1">IFERROR(__xludf.DUMMYFUNCTION("""COMPUTED_VALUE"""),46010.125)</f>
        <v>46010.125</v>
      </c>
      <c r="BH1900" s="17" t="s">
        <v>105</v>
      </c>
      <c r="BI1900" s="17"/>
      <c r="BJ1900" s="15"/>
      <c r="BK1900" s="15"/>
      <c r="BL1900" s="13" t="b">
        <v>0</v>
      </c>
      <c r="BM1900" s="10"/>
      <c r="BN1900" s="10" t="s">
        <v>634</v>
      </c>
      <c r="BO1900" s="11">
        <v>45904.326388888891</v>
      </c>
      <c r="BP1900" s="11">
        <v>46000.561157407406</v>
      </c>
      <c r="BQ1900" s="15">
        <v>46006.456284722219</v>
      </c>
      <c r="BR1900" s="15">
        <v>46007.693622685183</v>
      </c>
      <c r="BS1900" s="10" t="s">
        <v>634</v>
      </c>
      <c r="BT1900" s="10" t="s">
        <v>99</v>
      </c>
      <c r="BU1900" s="10" t="s">
        <v>8497</v>
      </c>
      <c r="BV1900" s="10"/>
      <c r="BW1900" s="10"/>
      <c r="BX1900" s="10"/>
      <c r="BY1900" s="23"/>
      <c r="BZ1900" s="23"/>
      <c r="CA1900" s="19" t="s">
        <v>14462</v>
      </c>
      <c r="CB1900" s="19" t="s">
        <v>14463</v>
      </c>
      <c r="CC1900" s="23"/>
      <c r="CD1900" s="23"/>
      <c r="CE1900" s="23"/>
      <c r="CF1900" s="23"/>
      <c r="CG1900" s="23"/>
      <c r="CH1900" s="23"/>
      <c r="CI1900" s="23"/>
    </row>
    <row r="1901" spans="1:87" x14ac:dyDescent="0.3">
      <c r="A1901" s="9" t="s">
        <v>14464</v>
      </c>
      <c r="B1901" s="10" t="s">
        <v>14465</v>
      </c>
      <c r="C1901" s="11">
        <v>46010.125</v>
      </c>
      <c r="D1901" s="12">
        <v>8.3333333333333329E-2</v>
      </c>
      <c r="E1901" s="11">
        <v>46010.208333333336</v>
      </c>
      <c r="F1901" s="10" t="s">
        <v>8609</v>
      </c>
      <c r="G1901" s="13" t="b">
        <v>0</v>
      </c>
      <c r="H1901" s="10" t="s">
        <v>3564</v>
      </c>
      <c r="I1901" s="10" t="s">
        <v>89</v>
      </c>
      <c r="J1901" s="13" t="b">
        <v>0</v>
      </c>
      <c r="K1901" s="13" t="b">
        <v>1</v>
      </c>
      <c r="L1901" s="10" t="s">
        <v>124</v>
      </c>
      <c r="M1901" s="10" t="s">
        <v>91</v>
      </c>
      <c r="N1901" s="10" t="s">
        <v>92</v>
      </c>
      <c r="O1901" s="19" t="s">
        <v>14466</v>
      </c>
      <c r="P1901" s="10"/>
      <c r="Q1901" s="10" t="s">
        <v>126</v>
      </c>
      <c r="R1901" s="10"/>
      <c r="S1901" s="19" t="s">
        <v>14467</v>
      </c>
      <c r="T1901" s="19" t="s">
        <v>14468</v>
      </c>
      <c r="U1901" s="10" t="s">
        <v>13716</v>
      </c>
      <c r="V1901" s="10" t="s">
        <v>3240</v>
      </c>
      <c r="W1901" s="10" t="s">
        <v>8613</v>
      </c>
      <c r="X1901" s="10" t="s">
        <v>130</v>
      </c>
      <c r="Y1901" s="10" t="s">
        <v>130</v>
      </c>
      <c r="Z1901" s="10" t="s">
        <v>99</v>
      </c>
      <c r="AA1901" s="10" t="s">
        <v>131</v>
      </c>
      <c r="AB1901" s="10" t="s">
        <v>8614</v>
      </c>
      <c r="AC1901" s="10" t="s">
        <v>3571</v>
      </c>
      <c r="AD1901" s="10" t="s">
        <v>14469</v>
      </c>
      <c r="AE1901" s="10" t="s">
        <v>14470</v>
      </c>
      <c r="AF1901" s="15"/>
      <c r="AG1901" s="10"/>
      <c r="AH1901" s="10"/>
      <c r="AI1901" s="10"/>
      <c r="AJ1901" s="10"/>
      <c r="AK1901" s="10" t="s">
        <v>102</v>
      </c>
      <c r="AL1901" s="10" t="s">
        <v>7897</v>
      </c>
      <c r="AM1901" s="10"/>
      <c r="AN1901" s="10"/>
      <c r="AO1901" s="13" t="b">
        <v>0</v>
      </c>
      <c r="AP1901" s="10" t="s">
        <v>104</v>
      </c>
      <c r="AQ1901" s="10">
        <f ca="1">IFERROR(__xludf.DUMMYFUNCTION("""COMPUTED_VALUE"""),4783085)</f>
        <v>4783085</v>
      </c>
      <c r="AR1901" s="17">
        <v>2227</v>
      </c>
      <c r="AS1901" s="17">
        <v>1757</v>
      </c>
      <c r="AT1901" s="17">
        <v>33960.5</v>
      </c>
      <c r="AU1901" s="17">
        <v>1.4</v>
      </c>
      <c r="AV1901" s="17">
        <v>0</v>
      </c>
      <c r="AW1901" s="10" t="s">
        <v>105</v>
      </c>
      <c r="AX1901" s="17">
        <v>541</v>
      </c>
      <c r="AY1901" s="18">
        <v>19.328685258964143</v>
      </c>
      <c r="AZ1901" s="10"/>
      <c r="BA1901" s="20" t="b">
        <v>0</v>
      </c>
      <c r="BB1901" s="10"/>
      <c r="BC1901" s="17">
        <v>2227</v>
      </c>
      <c r="BD1901" s="17">
        <v>1757</v>
      </c>
      <c r="BE1901" s="17">
        <v>33960.5</v>
      </c>
      <c r="BF1901" s="17">
        <v>0</v>
      </c>
      <c r="BG1901" s="11">
        <f ca="1">IFERROR(__xludf.DUMMYFUNCTION("""COMPUTED_VALUE"""),46010.125)</f>
        <v>46010.125</v>
      </c>
      <c r="BH1901" s="17" t="s">
        <v>105</v>
      </c>
      <c r="BI1901" s="17"/>
      <c r="BJ1901" s="15"/>
      <c r="BK1901" s="15"/>
      <c r="BL1901" s="13" t="b">
        <v>0</v>
      </c>
      <c r="BM1901" s="10"/>
      <c r="BN1901" s="10" t="s">
        <v>634</v>
      </c>
      <c r="BO1901" s="11">
        <v>45904.326388888891</v>
      </c>
      <c r="BP1901" s="11">
        <v>46000.561261574076</v>
      </c>
      <c r="BQ1901" s="15">
        <v>46006.453842592593</v>
      </c>
      <c r="BR1901" s="15">
        <v>46006.71802083333</v>
      </c>
      <c r="BS1901" s="10" t="s">
        <v>634</v>
      </c>
      <c r="BT1901" s="10" t="s">
        <v>279</v>
      </c>
      <c r="BU1901" s="10" t="s">
        <v>5492</v>
      </c>
      <c r="BV1901" s="10"/>
      <c r="BW1901" s="10"/>
      <c r="BX1901" s="10"/>
      <c r="BY1901" s="23"/>
      <c r="BZ1901" s="23"/>
      <c r="CA1901" s="19" t="s">
        <v>14471</v>
      </c>
      <c r="CB1901" s="19" t="s">
        <v>14472</v>
      </c>
      <c r="CC1901" s="23"/>
      <c r="CD1901" s="19" t="s">
        <v>14473</v>
      </c>
      <c r="CE1901" s="23"/>
      <c r="CF1901" s="23"/>
      <c r="CG1901" s="23"/>
      <c r="CH1901" s="23"/>
      <c r="CI1901" s="23"/>
    </row>
    <row r="1902" spans="1:87" x14ac:dyDescent="0.3">
      <c r="A1902" s="9" t="s">
        <v>14474</v>
      </c>
      <c r="B1902" s="10" t="s">
        <v>14475</v>
      </c>
      <c r="C1902" s="11">
        <v>46010.125</v>
      </c>
      <c r="D1902" s="12">
        <v>8.3333333333333329E-2</v>
      </c>
      <c r="E1902" s="11">
        <v>46010.208333333336</v>
      </c>
      <c r="F1902" s="10" t="s">
        <v>8609</v>
      </c>
      <c r="G1902" s="13" t="b">
        <v>0</v>
      </c>
      <c r="H1902" s="10" t="s">
        <v>5239</v>
      </c>
      <c r="I1902" s="10" t="s">
        <v>89</v>
      </c>
      <c r="J1902" s="13" t="b">
        <v>0</v>
      </c>
      <c r="K1902" s="13" t="b">
        <v>1</v>
      </c>
      <c r="L1902" s="10" t="s">
        <v>124</v>
      </c>
      <c r="M1902" s="10" t="s">
        <v>91</v>
      </c>
      <c r="N1902" s="10" t="s">
        <v>92</v>
      </c>
      <c r="O1902" s="19" t="s">
        <v>14476</v>
      </c>
      <c r="P1902" s="10"/>
      <c r="Q1902" s="10" t="s">
        <v>94</v>
      </c>
      <c r="R1902" s="10"/>
      <c r="S1902" s="19" t="s">
        <v>14477</v>
      </c>
      <c r="T1902" s="19" t="s">
        <v>14478</v>
      </c>
      <c r="U1902" s="10" t="s">
        <v>13727</v>
      </c>
      <c r="V1902" s="10" t="s">
        <v>13687</v>
      </c>
      <c r="W1902" s="10" t="s">
        <v>8613</v>
      </c>
      <c r="X1902" s="10" t="s">
        <v>130</v>
      </c>
      <c r="Y1902" s="10" t="s">
        <v>130</v>
      </c>
      <c r="Z1902" s="10" t="s">
        <v>99</v>
      </c>
      <c r="AA1902" s="10" t="s">
        <v>131</v>
      </c>
      <c r="AB1902" s="10" t="s">
        <v>8614</v>
      </c>
      <c r="AC1902" s="10" t="s">
        <v>3571</v>
      </c>
      <c r="AD1902" s="10" t="s">
        <v>14479</v>
      </c>
      <c r="AE1902" s="10" t="s">
        <v>14480</v>
      </c>
      <c r="AF1902" s="15"/>
      <c r="AG1902" s="10"/>
      <c r="AH1902" s="10"/>
      <c r="AI1902" s="10"/>
      <c r="AJ1902" s="10"/>
      <c r="AK1902" s="10" t="s">
        <v>102</v>
      </c>
      <c r="AL1902" s="10" t="s">
        <v>7897</v>
      </c>
      <c r="AM1902" s="10"/>
      <c r="AN1902" s="10"/>
      <c r="AO1902" s="13" t="b">
        <v>0</v>
      </c>
      <c r="AP1902" s="10" t="s">
        <v>104</v>
      </c>
      <c r="AQ1902" s="10">
        <f ca="1">IFERROR(__xludf.DUMMYFUNCTION("""COMPUTED_VALUE"""),4783332)</f>
        <v>4783332</v>
      </c>
      <c r="AR1902" s="17">
        <v>162</v>
      </c>
      <c r="AS1902" s="17">
        <v>136</v>
      </c>
      <c r="AT1902" s="17">
        <v>769.75</v>
      </c>
      <c r="AU1902" s="17">
        <v>0</v>
      </c>
      <c r="AV1902" s="17">
        <v>0</v>
      </c>
      <c r="AW1902" s="10" t="s">
        <v>105</v>
      </c>
      <c r="AX1902" s="17">
        <v>29</v>
      </c>
      <c r="AY1902" s="18">
        <v>5.6599264705882355</v>
      </c>
      <c r="AZ1902" s="10"/>
      <c r="BA1902" s="20" t="b">
        <v>0</v>
      </c>
      <c r="BB1902" s="10"/>
      <c r="BC1902" s="17">
        <v>162</v>
      </c>
      <c r="BD1902" s="17">
        <v>136</v>
      </c>
      <c r="BE1902" s="17">
        <v>769.75</v>
      </c>
      <c r="BF1902" s="17">
        <v>0</v>
      </c>
      <c r="BG1902" s="11">
        <f ca="1">IFERROR(__xludf.DUMMYFUNCTION("""COMPUTED_VALUE"""),46010.125)</f>
        <v>46010.125</v>
      </c>
      <c r="BH1902" s="17" t="s">
        <v>105</v>
      </c>
      <c r="BI1902" s="17"/>
      <c r="BJ1902" s="15"/>
      <c r="BK1902" s="15"/>
      <c r="BL1902" s="13" t="b">
        <v>0</v>
      </c>
      <c r="BM1902" s="10"/>
      <c r="BN1902" s="10" t="s">
        <v>634</v>
      </c>
      <c r="BO1902" s="11">
        <v>45904.326388888891</v>
      </c>
      <c r="BP1902" s="11">
        <v>46000.561724537038</v>
      </c>
      <c r="BQ1902" s="15">
        <v>46006.455451388887</v>
      </c>
      <c r="BR1902" s="15">
        <v>46007.674259259256</v>
      </c>
      <c r="BS1902" s="10" t="s">
        <v>634</v>
      </c>
      <c r="BT1902" s="10" t="s">
        <v>99</v>
      </c>
      <c r="BU1902" s="10" t="s">
        <v>9114</v>
      </c>
      <c r="BV1902" s="10"/>
      <c r="BW1902" s="10"/>
      <c r="BX1902" s="10"/>
      <c r="BY1902" s="23"/>
      <c r="BZ1902" s="23"/>
      <c r="CA1902" s="19" t="s">
        <v>14481</v>
      </c>
      <c r="CB1902" s="19" t="s">
        <v>14482</v>
      </c>
      <c r="CC1902" s="23"/>
      <c r="CD1902" s="23"/>
      <c r="CE1902" s="23"/>
      <c r="CF1902" s="23"/>
      <c r="CG1902" s="23"/>
      <c r="CH1902" s="23"/>
      <c r="CI1902" s="23"/>
    </row>
    <row r="1903" spans="1:87" x14ac:dyDescent="0.3">
      <c r="A1903" s="9" t="s">
        <v>14483</v>
      </c>
      <c r="B1903" s="10" t="s">
        <v>14484</v>
      </c>
      <c r="C1903" s="11">
        <v>46010.125</v>
      </c>
      <c r="D1903" s="12">
        <v>8.3333333333333329E-2</v>
      </c>
      <c r="E1903" s="11">
        <v>46010.208333333336</v>
      </c>
      <c r="F1903" s="10" t="s">
        <v>8609</v>
      </c>
      <c r="G1903" s="13" t="b">
        <v>0</v>
      </c>
      <c r="H1903" s="10" t="s">
        <v>5239</v>
      </c>
      <c r="I1903" s="10" t="s">
        <v>89</v>
      </c>
      <c r="J1903" s="13" t="b">
        <v>0</v>
      </c>
      <c r="K1903" s="13" t="b">
        <v>1</v>
      </c>
      <c r="L1903" s="10" t="s">
        <v>124</v>
      </c>
      <c r="M1903" s="10" t="s">
        <v>91</v>
      </c>
      <c r="N1903" s="10" t="s">
        <v>92</v>
      </c>
      <c r="O1903" s="19" t="s">
        <v>14485</v>
      </c>
      <c r="P1903" s="10"/>
      <c r="Q1903" s="10" t="s">
        <v>94</v>
      </c>
      <c r="R1903" s="10"/>
      <c r="S1903" s="19" t="s">
        <v>14486</v>
      </c>
      <c r="T1903" s="19" t="s">
        <v>14487</v>
      </c>
      <c r="U1903" s="10" t="s">
        <v>13766</v>
      </c>
      <c r="V1903" s="10" t="s">
        <v>13746</v>
      </c>
      <c r="W1903" s="10" t="s">
        <v>8613</v>
      </c>
      <c r="X1903" s="10" t="s">
        <v>130</v>
      </c>
      <c r="Y1903" s="10" t="s">
        <v>130</v>
      </c>
      <c r="Z1903" s="10" t="s">
        <v>99</v>
      </c>
      <c r="AA1903" s="10" t="s">
        <v>131</v>
      </c>
      <c r="AB1903" s="10" t="s">
        <v>8614</v>
      </c>
      <c r="AC1903" s="10" t="s">
        <v>3571</v>
      </c>
      <c r="AD1903" s="10" t="s">
        <v>14488</v>
      </c>
      <c r="AE1903" s="10" t="s">
        <v>14489</v>
      </c>
      <c r="AF1903" s="15"/>
      <c r="AG1903" s="10"/>
      <c r="AH1903" s="10"/>
      <c r="AI1903" s="10"/>
      <c r="AJ1903" s="10"/>
      <c r="AK1903" s="10" t="s">
        <v>102</v>
      </c>
      <c r="AL1903" s="10" t="s">
        <v>7897</v>
      </c>
      <c r="AM1903" s="10"/>
      <c r="AN1903" s="10"/>
      <c r="AO1903" s="13" t="b">
        <v>0</v>
      </c>
      <c r="AP1903" s="10" t="s">
        <v>104</v>
      </c>
      <c r="AQ1903" s="10">
        <f ca="1">IFERROR(__xludf.DUMMYFUNCTION("""COMPUTED_VALUE"""),4783295)</f>
        <v>4783295</v>
      </c>
      <c r="AR1903" s="17">
        <v>175</v>
      </c>
      <c r="AS1903" s="17">
        <v>138</v>
      </c>
      <c r="AT1903" s="17">
        <v>602.25</v>
      </c>
      <c r="AU1903" s="17">
        <v>0</v>
      </c>
      <c r="AV1903" s="17">
        <v>0</v>
      </c>
      <c r="AW1903" s="10" t="s">
        <v>105</v>
      </c>
      <c r="AX1903" s="17">
        <v>23</v>
      </c>
      <c r="AY1903" s="18">
        <v>4.3641304347826084</v>
      </c>
      <c r="AZ1903" s="10"/>
      <c r="BA1903" s="20" t="b">
        <v>0</v>
      </c>
      <c r="BB1903" s="10"/>
      <c r="BC1903" s="17">
        <v>175</v>
      </c>
      <c r="BD1903" s="17">
        <v>138</v>
      </c>
      <c r="BE1903" s="17">
        <v>602.25</v>
      </c>
      <c r="BF1903" s="17">
        <v>0</v>
      </c>
      <c r="BG1903" s="11">
        <f ca="1">IFERROR(__xludf.DUMMYFUNCTION("""COMPUTED_VALUE"""),46010.125)</f>
        <v>46010.125</v>
      </c>
      <c r="BH1903" s="17" t="s">
        <v>105</v>
      </c>
      <c r="BI1903" s="17"/>
      <c r="BJ1903" s="15"/>
      <c r="BK1903" s="15"/>
      <c r="BL1903" s="13" t="b">
        <v>0</v>
      </c>
      <c r="BM1903" s="10"/>
      <c r="BN1903" s="10" t="s">
        <v>634</v>
      </c>
      <c r="BO1903" s="11">
        <v>45904.326388888891</v>
      </c>
      <c r="BP1903" s="11">
        <v>46000.561874999999</v>
      </c>
      <c r="BQ1903" s="15">
        <v>46006.453043981484</v>
      </c>
      <c r="BR1903" s="15">
        <v>46007.609675925924</v>
      </c>
      <c r="BS1903" s="10" t="s">
        <v>634</v>
      </c>
      <c r="BT1903" s="10" t="s">
        <v>99</v>
      </c>
      <c r="BU1903" s="10" t="s">
        <v>6753</v>
      </c>
      <c r="BV1903" s="10"/>
      <c r="BW1903" s="10"/>
      <c r="BX1903" s="10"/>
      <c r="BY1903" s="23"/>
      <c r="BZ1903" s="23"/>
      <c r="CA1903" s="19" t="s">
        <v>14490</v>
      </c>
      <c r="CB1903" s="19" t="s">
        <v>14491</v>
      </c>
      <c r="CC1903" s="23"/>
      <c r="CD1903" s="23"/>
      <c r="CE1903" s="23"/>
      <c r="CF1903" s="23"/>
      <c r="CG1903" s="23"/>
      <c r="CH1903" s="23"/>
      <c r="CI1903" s="23"/>
    </row>
    <row r="1904" spans="1:87" x14ac:dyDescent="0.3">
      <c r="A1904" s="9" t="s">
        <v>14492</v>
      </c>
      <c r="B1904" s="10" t="s">
        <v>14493</v>
      </c>
      <c r="C1904" s="11">
        <v>46010.125</v>
      </c>
      <c r="D1904" s="12">
        <v>8.3333333333333329E-2</v>
      </c>
      <c r="E1904" s="11">
        <v>46010.208333333336</v>
      </c>
      <c r="F1904" s="10" t="s">
        <v>8609</v>
      </c>
      <c r="G1904" s="13" t="b">
        <v>0</v>
      </c>
      <c r="H1904" s="10" t="s">
        <v>5239</v>
      </c>
      <c r="I1904" s="10" t="s">
        <v>89</v>
      </c>
      <c r="J1904" s="13" t="b">
        <v>0</v>
      </c>
      <c r="K1904" s="13" t="b">
        <v>1</v>
      </c>
      <c r="L1904" s="10" t="s">
        <v>124</v>
      </c>
      <c r="M1904" s="10" t="s">
        <v>91</v>
      </c>
      <c r="N1904" s="10" t="s">
        <v>92</v>
      </c>
      <c r="O1904" s="19" t="s">
        <v>14494</v>
      </c>
      <c r="P1904" s="10"/>
      <c r="Q1904" s="10" t="s">
        <v>94</v>
      </c>
      <c r="R1904" s="10"/>
      <c r="S1904" s="19" t="s">
        <v>14495</v>
      </c>
      <c r="T1904" s="19" t="s">
        <v>14496</v>
      </c>
      <c r="U1904" s="10" t="s">
        <v>7924</v>
      </c>
      <c r="V1904" s="10" t="s">
        <v>13657</v>
      </c>
      <c r="W1904" s="10" t="s">
        <v>8613</v>
      </c>
      <c r="X1904" s="10" t="s">
        <v>130</v>
      </c>
      <c r="Y1904" s="10" t="s">
        <v>130</v>
      </c>
      <c r="Z1904" s="10" t="s">
        <v>99</v>
      </c>
      <c r="AA1904" s="10" t="s">
        <v>131</v>
      </c>
      <c r="AB1904" s="10" t="s">
        <v>8614</v>
      </c>
      <c r="AC1904" s="10" t="s">
        <v>3571</v>
      </c>
      <c r="AD1904" s="10" t="s">
        <v>14497</v>
      </c>
      <c r="AE1904" s="10" t="s">
        <v>14498</v>
      </c>
      <c r="AF1904" s="15"/>
      <c r="AG1904" s="10"/>
      <c r="AH1904" s="10"/>
      <c r="AI1904" s="10"/>
      <c r="AJ1904" s="10"/>
      <c r="AK1904" s="10" t="s">
        <v>102</v>
      </c>
      <c r="AL1904" s="10" t="s">
        <v>7897</v>
      </c>
      <c r="AM1904" s="10"/>
      <c r="AN1904" s="10"/>
      <c r="AO1904" s="13" t="b">
        <v>0</v>
      </c>
      <c r="AP1904" s="10" t="s">
        <v>104</v>
      </c>
      <c r="AQ1904" s="10">
        <f ca="1">IFERROR(__xludf.DUMMYFUNCTION("""COMPUTED_VALUE"""),4783299)</f>
        <v>4783299</v>
      </c>
      <c r="AR1904" s="17">
        <v>197</v>
      </c>
      <c r="AS1904" s="17">
        <v>170</v>
      </c>
      <c r="AT1904" s="17">
        <v>712.75</v>
      </c>
      <c r="AU1904" s="17">
        <v>0</v>
      </c>
      <c r="AV1904" s="17">
        <v>0</v>
      </c>
      <c r="AW1904" s="10" t="s">
        <v>105</v>
      </c>
      <c r="AX1904" s="17">
        <v>22</v>
      </c>
      <c r="AY1904" s="18">
        <v>4.1926470588235292</v>
      </c>
      <c r="AZ1904" s="10"/>
      <c r="BA1904" s="20" t="b">
        <v>0</v>
      </c>
      <c r="BB1904" s="10"/>
      <c r="BC1904" s="17">
        <v>197</v>
      </c>
      <c r="BD1904" s="17">
        <v>170</v>
      </c>
      <c r="BE1904" s="17">
        <v>712.75</v>
      </c>
      <c r="BF1904" s="17">
        <v>0</v>
      </c>
      <c r="BG1904" s="11">
        <f ca="1">IFERROR(__xludf.DUMMYFUNCTION("""COMPUTED_VALUE"""),46010.125)</f>
        <v>46010.125</v>
      </c>
      <c r="BH1904" s="17" t="s">
        <v>105</v>
      </c>
      <c r="BI1904" s="17"/>
      <c r="BJ1904" s="15"/>
      <c r="BK1904" s="15"/>
      <c r="BL1904" s="13" t="b">
        <v>0</v>
      </c>
      <c r="BM1904" s="10"/>
      <c r="BN1904" s="10" t="s">
        <v>634</v>
      </c>
      <c r="BO1904" s="11">
        <v>45904.326388888891</v>
      </c>
      <c r="BP1904" s="11">
        <v>46000.561967592592</v>
      </c>
      <c r="BQ1904" s="15">
        <v>46006.454027777778</v>
      </c>
      <c r="BR1904" s="15">
        <v>46007.613888888889</v>
      </c>
      <c r="BS1904" s="10" t="s">
        <v>634</v>
      </c>
      <c r="BT1904" s="10" t="s">
        <v>99</v>
      </c>
      <c r="BU1904" s="10" t="s">
        <v>5854</v>
      </c>
      <c r="BV1904" s="10"/>
      <c r="BW1904" s="10"/>
      <c r="BX1904" s="10"/>
      <c r="BY1904" s="23"/>
      <c r="BZ1904" s="23"/>
      <c r="CA1904" s="19" t="s">
        <v>14499</v>
      </c>
      <c r="CB1904" s="19" t="s">
        <v>14500</v>
      </c>
      <c r="CC1904" s="23"/>
      <c r="CD1904" s="23"/>
      <c r="CE1904" s="23"/>
      <c r="CF1904" s="23"/>
      <c r="CG1904" s="23"/>
      <c r="CH1904" s="23"/>
      <c r="CI1904" s="23"/>
    </row>
    <row r="1905" spans="1:87" x14ac:dyDescent="0.3">
      <c r="A1905" s="9" t="s">
        <v>14501</v>
      </c>
      <c r="B1905" s="10" t="s">
        <v>14502</v>
      </c>
      <c r="C1905" s="11">
        <v>46010.125</v>
      </c>
      <c r="D1905" s="12">
        <v>8.3333333333333329E-2</v>
      </c>
      <c r="E1905" s="11">
        <v>46010.208333333336</v>
      </c>
      <c r="F1905" s="10" t="s">
        <v>8609</v>
      </c>
      <c r="G1905" s="13" t="b">
        <v>0</v>
      </c>
      <c r="H1905" s="10" t="s">
        <v>3578</v>
      </c>
      <c r="I1905" s="10" t="s">
        <v>89</v>
      </c>
      <c r="J1905" s="13" t="b">
        <v>0</v>
      </c>
      <c r="K1905" s="13" t="b">
        <v>1</v>
      </c>
      <c r="L1905" s="10" t="s">
        <v>124</v>
      </c>
      <c r="M1905" s="10" t="s">
        <v>91</v>
      </c>
      <c r="N1905" s="10" t="s">
        <v>92</v>
      </c>
      <c r="O1905" s="19" t="s">
        <v>14503</v>
      </c>
      <c r="P1905" s="10"/>
      <c r="Q1905" s="10" t="s">
        <v>126</v>
      </c>
      <c r="R1905" s="10"/>
      <c r="S1905" s="19" t="s">
        <v>14504</v>
      </c>
      <c r="T1905" s="19" t="s">
        <v>14505</v>
      </c>
      <c r="U1905" s="10" t="s">
        <v>347</v>
      </c>
      <c r="V1905" s="10" t="s">
        <v>13636</v>
      </c>
      <c r="W1905" s="10" t="s">
        <v>8613</v>
      </c>
      <c r="X1905" s="10" t="s">
        <v>130</v>
      </c>
      <c r="Y1905" s="10" t="s">
        <v>130</v>
      </c>
      <c r="Z1905" s="10" t="s">
        <v>99</v>
      </c>
      <c r="AA1905" s="10" t="s">
        <v>131</v>
      </c>
      <c r="AB1905" s="10" t="s">
        <v>8614</v>
      </c>
      <c r="AC1905" s="10" t="s">
        <v>3571</v>
      </c>
      <c r="AD1905" s="10" t="s">
        <v>14506</v>
      </c>
      <c r="AE1905" s="10" t="s">
        <v>14507</v>
      </c>
      <c r="AF1905" s="15"/>
      <c r="AG1905" s="10"/>
      <c r="AH1905" s="10"/>
      <c r="AI1905" s="10"/>
      <c r="AJ1905" s="10"/>
      <c r="AK1905" s="10" t="s">
        <v>102</v>
      </c>
      <c r="AL1905" s="10" t="s">
        <v>7897</v>
      </c>
      <c r="AM1905" s="10"/>
      <c r="AN1905" s="10"/>
      <c r="AO1905" s="13" t="b">
        <v>0</v>
      </c>
      <c r="AP1905" s="10" t="s">
        <v>104</v>
      </c>
      <c r="AQ1905" s="10">
        <f ca="1">IFERROR(__xludf.DUMMYFUNCTION("""COMPUTED_VALUE"""),4783088)</f>
        <v>4783088</v>
      </c>
      <c r="AR1905" s="17">
        <v>4102</v>
      </c>
      <c r="AS1905" s="17">
        <v>3172</v>
      </c>
      <c r="AT1905" s="17">
        <v>92072.25</v>
      </c>
      <c r="AU1905" s="17">
        <v>5.45</v>
      </c>
      <c r="AV1905" s="17">
        <v>0.1</v>
      </c>
      <c r="AW1905" s="10" t="s">
        <v>105</v>
      </c>
      <c r="AX1905" s="17">
        <v>1281</v>
      </c>
      <c r="AY1905" s="18">
        <v>29.026560529634299</v>
      </c>
      <c r="AZ1905" s="10"/>
      <c r="BA1905" s="20" t="b">
        <v>0</v>
      </c>
      <c r="BB1905" s="10"/>
      <c r="BC1905" s="17">
        <v>4102</v>
      </c>
      <c r="BD1905" s="17">
        <v>3172</v>
      </c>
      <c r="BE1905" s="17">
        <v>92072.25</v>
      </c>
      <c r="BF1905" s="17">
        <v>0.1</v>
      </c>
      <c r="BG1905" s="11">
        <f ca="1">IFERROR(__xludf.DUMMYFUNCTION("""COMPUTED_VALUE"""),46010.125)</f>
        <v>46010.125</v>
      </c>
      <c r="BH1905" s="17" t="s">
        <v>105</v>
      </c>
      <c r="BI1905" s="17"/>
      <c r="BJ1905" s="15"/>
      <c r="BK1905" s="15"/>
      <c r="BL1905" s="13" t="b">
        <v>0</v>
      </c>
      <c r="BM1905" s="10"/>
      <c r="BN1905" s="10" t="s">
        <v>634</v>
      </c>
      <c r="BO1905" s="11">
        <v>45904.326388888891</v>
      </c>
      <c r="BP1905" s="11">
        <v>46000.56212962963</v>
      </c>
      <c r="BQ1905" s="15">
        <v>46006.453206018516</v>
      </c>
      <c r="BR1905" s="15">
        <v>46006.771099537036</v>
      </c>
      <c r="BS1905" s="10" t="s">
        <v>634</v>
      </c>
      <c r="BT1905" s="10" t="s">
        <v>279</v>
      </c>
      <c r="BU1905" s="10" t="s">
        <v>8013</v>
      </c>
      <c r="BV1905" s="10"/>
      <c r="BW1905" s="10"/>
      <c r="BX1905" s="10"/>
      <c r="BY1905" s="23"/>
      <c r="BZ1905" s="23"/>
      <c r="CA1905" s="19" t="s">
        <v>14508</v>
      </c>
      <c r="CB1905" s="19" t="s">
        <v>14509</v>
      </c>
      <c r="CC1905" s="23"/>
      <c r="CD1905" s="19" t="s">
        <v>14510</v>
      </c>
      <c r="CE1905" s="23"/>
      <c r="CF1905" s="23"/>
      <c r="CG1905" s="23"/>
      <c r="CH1905" s="23"/>
      <c r="CI1905" s="23"/>
    </row>
    <row r="1906" spans="1:87" x14ac:dyDescent="0.3">
      <c r="A1906" s="9" t="s">
        <v>14511</v>
      </c>
      <c r="B1906" s="10" t="s">
        <v>14512</v>
      </c>
      <c r="C1906" s="11">
        <v>46010.125</v>
      </c>
      <c r="D1906" s="12">
        <v>8.3333333333333329E-2</v>
      </c>
      <c r="E1906" s="11">
        <v>46010.208333333336</v>
      </c>
      <c r="F1906" s="10" t="s">
        <v>8609</v>
      </c>
      <c r="G1906" s="13" t="b">
        <v>0</v>
      </c>
      <c r="H1906" s="10" t="s">
        <v>5239</v>
      </c>
      <c r="I1906" s="10" t="s">
        <v>89</v>
      </c>
      <c r="J1906" s="13" t="b">
        <v>0</v>
      </c>
      <c r="K1906" s="13" t="b">
        <v>1</v>
      </c>
      <c r="L1906" s="10" t="s">
        <v>124</v>
      </c>
      <c r="M1906" s="10" t="s">
        <v>91</v>
      </c>
      <c r="N1906" s="10" t="s">
        <v>92</v>
      </c>
      <c r="O1906" s="19" t="s">
        <v>14513</v>
      </c>
      <c r="P1906" s="10"/>
      <c r="Q1906" s="10" t="s">
        <v>94</v>
      </c>
      <c r="R1906" s="10"/>
      <c r="S1906" s="19" t="s">
        <v>14514</v>
      </c>
      <c r="T1906" s="19" t="s">
        <v>14515</v>
      </c>
      <c r="U1906" s="10" t="s">
        <v>7812</v>
      </c>
      <c r="V1906" s="10" t="s">
        <v>13747</v>
      </c>
      <c r="W1906" s="10" t="s">
        <v>8613</v>
      </c>
      <c r="X1906" s="10" t="s">
        <v>130</v>
      </c>
      <c r="Y1906" s="10" t="s">
        <v>130</v>
      </c>
      <c r="Z1906" s="10" t="s">
        <v>99</v>
      </c>
      <c r="AA1906" s="10" t="s">
        <v>131</v>
      </c>
      <c r="AB1906" s="10" t="s">
        <v>8614</v>
      </c>
      <c r="AC1906" s="10" t="s">
        <v>3571</v>
      </c>
      <c r="AD1906" s="10" t="s">
        <v>14516</v>
      </c>
      <c r="AE1906" s="10" t="s">
        <v>14517</v>
      </c>
      <c r="AF1906" s="15"/>
      <c r="AG1906" s="10"/>
      <c r="AH1906" s="10"/>
      <c r="AI1906" s="10"/>
      <c r="AJ1906" s="10"/>
      <c r="AK1906" s="10" t="s">
        <v>102</v>
      </c>
      <c r="AL1906" s="10" t="s">
        <v>7897</v>
      </c>
      <c r="AM1906" s="10"/>
      <c r="AN1906" s="10"/>
      <c r="AO1906" s="13" t="b">
        <v>0</v>
      </c>
      <c r="AP1906" s="10" t="s">
        <v>104</v>
      </c>
      <c r="AQ1906" s="10">
        <f ca="1">IFERROR(__xludf.DUMMYFUNCTION("""COMPUTED_VALUE"""),4783340)</f>
        <v>4783340</v>
      </c>
      <c r="AR1906" s="17">
        <v>151</v>
      </c>
      <c r="AS1906" s="17">
        <v>127</v>
      </c>
      <c r="AT1906" s="17">
        <v>789.5</v>
      </c>
      <c r="AU1906" s="17">
        <v>0.6</v>
      </c>
      <c r="AV1906" s="17">
        <v>0</v>
      </c>
      <c r="AW1906" s="10" t="s">
        <v>105</v>
      </c>
      <c r="AX1906" s="17">
        <v>22</v>
      </c>
      <c r="AY1906" s="18">
        <v>6.2165354330708658</v>
      </c>
      <c r="AZ1906" s="10"/>
      <c r="BA1906" s="20" t="b">
        <v>0</v>
      </c>
      <c r="BB1906" s="10"/>
      <c r="BC1906" s="17">
        <v>151</v>
      </c>
      <c r="BD1906" s="17">
        <v>127</v>
      </c>
      <c r="BE1906" s="17">
        <v>789.5</v>
      </c>
      <c r="BF1906" s="17">
        <v>0</v>
      </c>
      <c r="BG1906" s="11">
        <f ca="1">IFERROR(__xludf.DUMMYFUNCTION("""COMPUTED_VALUE"""),46010.125)</f>
        <v>46010.125</v>
      </c>
      <c r="BH1906" s="17" t="s">
        <v>105</v>
      </c>
      <c r="BI1906" s="17"/>
      <c r="BJ1906" s="15"/>
      <c r="BK1906" s="15"/>
      <c r="BL1906" s="13" t="b">
        <v>0</v>
      </c>
      <c r="BM1906" s="10"/>
      <c r="BN1906" s="10" t="s">
        <v>634</v>
      </c>
      <c r="BO1906" s="11">
        <v>45904.326388888891</v>
      </c>
      <c r="BP1906" s="11">
        <v>46000.562326388892</v>
      </c>
      <c r="BQ1906" s="15">
        <v>46006.455752314818</v>
      </c>
      <c r="BR1906" s="15">
        <v>46007.685381944444</v>
      </c>
      <c r="BS1906" s="10" t="s">
        <v>634</v>
      </c>
      <c r="BT1906" s="10" t="s">
        <v>99</v>
      </c>
      <c r="BU1906" s="10" t="s">
        <v>9200</v>
      </c>
      <c r="BV1906" s="10"/>
      <c r="BW1906" s="10"/>
      <c r="BX1906" s="10"/>
      <c r="BY1906" s="23"/>
      <c r="BZ1906" s="23"/>
      <c r="CA1906" s="19" t="s">
        <v>14518</v>
      </c>
      <c r="CB1906" s="19" t="s">
        <v>14519</v>
      </c>
      <c r="CC1906" s="23"/>
      <c r="CD1906" s="23"/>
      <c r="CE1906" s="23"/>
      <c r="CF1906" s="23"/>
      <c r="CG1906" s="23"/>
      <c r="CH1906" s="23"/>
      <c r="CI1906" s="23"/>
    </row>
    <row r="1907" spans="1:87" x14ac:dyDescent="0.3">
      <c r="A1907" s="9" t="s">
        <v>14520</v>
      </c>
      <c r="B1907" s="10" t="s">
        <v>14521</v>
      </c>
      <c r="C1907" s="11">
        <v>46010.125</v>
      </c>
      <c r="D1907" s="12">
        <v>8.3333333333333329E-2</v>
      </c>
      <c r="E1907" s="11">
        <v>46010.208333333336</v>
      </c>
      <c r="F1907" s="10" t="s">
        <v>8609</v>
      </c>
      <c r="G1907" s="13" t="b">
        <v>0</v>
      </c>
      <c r="H1907" s="10" t="s">
        <v>5239</v>
      </c>
      <c r="I1907" s="10" t="s">
        <v>89</v>
      </c>
      <c r="J1907" s="13" t="b">
        <v>0</v>
      </c>
      <c r="K1907" s="13" t="b">
        <v>1</v>
      </c>
      <c r="L1907" s="10" t="s">
        <v>124</v>
      </c>
      <c r="M1907" s="10" t="s">
        <v>91</v>
      </c>
      <c r="N1907" s="10" t="s">
        <v>92</v>
      </c>
      <c r="O1907" s="19" t="s">
        <v>14522</v>
      </c>
      <c r="P1907" s="10"/>
      <c r="Q1907" s="10" t="s">
        <v>94</v>
      </c>
      <c r="R1907" s="10"/>
      <c r="S1907" s="19" t="s">
        <v>14523</v>
      </c>
      <c r="T1907" s="19" t="s">
        <v>14524</v>
      </c>
      <c r="U1907" s="10" t="s">
        <v>13756</v>
      </c>
      <c r="V1907" s="10" t="s">
        <v>13646</v>
      </c>
      <c r="W1907" s="10" t="s">
        <v>8613</v>
      </c>
      <c r="X1907" s="10" t="s">
        <v>130</v>
      </c>
      <c r="Y1907" s="10" t="s">
        <v>130</v>
      </c>
      <c r="Z1907" s="10" t="s">
        <v>99</v>
      </c>
      <c r="AA1907" s="10" t="s">
        <v>131</v>
      </c>
      <c r="AB1907" s="10" t="s">
        <v>8614</v>
      </c>
      <c r="AC1907" s="10" t="s">
        <v>3571</v>
      </c>
      <c r="AD1907" s="10" t="s">
        <v>14525</v>
      </c>
      <c r="AE1907" s="10" t="s">
        <v>14526</v>
      </c>
      <c r="AF1907" s="15"/>
      <c r="AG1907" s="10"/>
      <c r="AH1907" s="10"/>
      <c r="AI1907" s="10"/>
      <c r="AJ1907" s="10"/>
      <c r="AK1907" s="10" t="s">
        <v>102</v>
      </c>
      <c r="AL1907" s="10" t="s">
        <v>7897</v>
      </c>
      <c r="AM1907" s="10"/>
      <c r="AN1907" s="10"/>
      <c r="AO1907" s="13" t="b">
        <v>0</v>
      </c>
      <c r="AP1907" s="10" t="s">
        <v>104</v>
      </c>
      <c r="AQ1907" s="10">
        <f ca="1">IFERROR(__xludf.DUMMYFUNCTION("""COMPUTED_VALUE"""),4783336)</f>
        <v>4783336</v>
      </c>
      <c r="AR1907" s="17">
        <v>171</v>
      </c>
      <c r="AS1907" s="17">
        <v>149</v>
      </c>
      <c r="AT1907" s="17">
        <v>385.25</v>
      </c>
      <c r="AU1907" s="17">
        <v>0</v>
      </c>
      <c r="AV1907" s="17">
        <v>0</v>
      </c>
      <c r="AW1907" s="10" t="s">
        <v>105</v>
      </c>
      <c r="AX1907" s="17">
        <v>18</v>
      </c>
      <c r="AY1907" s="18">
        <v>2.5855704697986579</v>
      </c>
      <c r="AZ1907" s="10"/>
      <c r="BA1907" s="20" t="b">
        <v>0</v>
      </c>
      <c r="BB1907" s="10"/>
      <c r="BC1907" s="17">
        <v>171</v>
      </c>
      <c r="BD1907" s="17">
        <v>149</v>
      </c>
      <c r="BE1907" s="17">
        <v>385.25</v>
      </c>
      <c r="BF1907" s="17">
        <v>0</v>
      </c>
      <c r="BG1907" s="11">
        <f ca="1">IFERROR(__xludf.DUMMYFUNCTION("""COMPUTED_VALUE"""),46010.125)</f>
        <v>46010.125</v>
      </c>
      <c r="BH1907" s="17" t="s">
        <v>105</v>
      </c>
      <c r="BI1907" s="17"/>
      <c r="BJ1907" s="15"/>
      <c r="BK1907" s="15"/>
      <c r="BL1907" s="13" t="b">
        <v>0</v>
      </c>
      <c r="BM1907" s="10"/>
      <c r="BN1907" s="10" t="s">
        <v>634</v>
      </c>
      <c r="BO1907" s="11">
        <v>45904.326388888891</v>
      </c>
      <c r="BP1907" s="11">
        <v>46000.5624537037</v>
      </c>
      <c r="BQ1907" s="15">
        <v>46006.455613425926</v>
      </c>
      <c r="BR1907" s="15">
        <v>46007.682152777779</v>
      </c>
      <c r="BS1907" s="10" t="s">
        <v>634</v>
      </c>
      <c r="BT1907" s="10" t="s">
        <v>99</v>
      </c>
      <c r="BU1907" s="10" t="s">
        <v>1253</v>
      </c>
      <c r="BV1907" s="10"/>
      <c r="BW1907" s="10"/>
      <c r="BX1907" s="10"/>
      <c r="BY1907" s="23"/>
      <c r="BZ1907" s="23"/>
      <c r="CA1907" s="19" t="s">
        <v>14527</v>
      </c>
      <c r="CB1907" s="19" t="s">
        <v>14528</v>
      </c>
      <c r="CC1907" s="23"/>
      <c r="CD1907" s="23"/>
      <c r="CE1907" s="23"/>
      <c r="CF1907" s="23"/>
      <c r="CG1907" s="23"/>
      <c r="CH1907" s="23"/>
      <c r="CI1907" s="23"/>
    </row>
    <row r="1908" spans="1:87" x14ac:dyDescent="0.3">
      <c r="A1908" s="9" t="s">
        <v>14529</v>
      </c>
      <c r="B1908" s="10" t="s">
        <v>14530</v>
      </c>
      <c r="C1908" s="11">
        <v>46010.125</v>
      </c>
      <c r="D1908" s="12">
        <v>8.3333333333333329E-2</v>
      </c>
      <c r="E1908" s="11">
        <v>46010.208333333336</v>
      </c>
      <c r="F1908" s="10" t="s">
        <v>8609</v>
      </c>
      <c r="G1908" s="13" t="b">
        <v>0</v>
      </c>
      <c r="H1908" s="10" t="s">
        <v>5239</v>
      </c>
      <c r="I1908" s="10" t="s">
        <v>89</v>
      </c>
      <c r="J1908" s="13" t="b">
        <v>0</v>
      </c>
      <c r="K1908" s="13" t="b">
        <v>1</v>
      </c>
      <c r="L1908" s="10" t="s">
        <v>124</v>
      </c>
      <c r="M1908" s="10" t="s">
        <v>91</v>
      </c>
      <c r="N1908" s="10" t="s">
        <v>92</v>
      </c>
      <c r="O1908" s="19" t="s">
        <v>14531</v>
      </c>
      <c r="P1908" s="10"/>
      <c r="Q1908" s="10" t="s">
        <v>94</v>
      </c>
      <c r="R1908" s="10"/>
      <c r="S1908" s="19" t="s">
        <v>14532</v>
      </c>
      <c r="T1908" s="19" t="s">
        <v>14533</v>
      </c>
      <c r="U1908" s="10" t="s">
        <v>3727</v>
      </c>
      <c r="V1908" s="10" t="s">
        <v>13686</v>
      </c>
      <c r="W1908" s="10" t="s">
        <v>8613</v>
      </c>
      <c r="X1908" s="10" t="s">
        <v>130</v>
      </c>
      <c r="Y1908" s="10" t="s">
        <v>130</v>
      </c>
      <c r="Z1908" s="10" t="s">
        <v>99</v>
      </c>
      <c r="AA1908" s="10" t="s">
        <v>131</v>
      </c>
      <c r="AB1908" s="10" t="s">
        <v>8614</v>
      </c>
      <c r="AC1908" s="10" t="s">
        <v>3571</v>
      </c>
      <c r="AD1908" s="10" t="s">
        <v>14534</v>
      </c>
      <c r="AE1908" s="10" t="s">
        <v>14535</v>
      </c>
      <c r="AF1908" s="15"/>
      <c r="AG1908" s="10"/>
      <c r="AH1908" s="10"/>
      <c r="AI1908" s="10"/>
      <c r="AJ1908" s="10"/>
      <c r="AK1908" s="10" t="s">
        <v>102</v>
      </c>
      <c r="AL1908" s="10" t="s">
        <v>7897</v>
      </c>
      <c r="AM1908" s="10"/>
      <c r="AN1908" s="10"/>
      <c r="AO1908" s="13" t="b">
        <v>0</v>
      </c>
      <c r="AP1908" s="10" t="s">
        <v>104</v>
      </c>
      <c r="AQ1908" s="10">
        <f ca="1">IFERROR(__xludf.DUMMYFUNCTION("""COMPUTED_VALUE"""),4783293)</f>
        <v>4783293</v>
      </c>
      <c r="AR1908" s="17">
        <v>809</v>
      </c>
      <c r="AS1908" s="17">
        <v>614</v>
      </c>
      <c r="AT1908" s="17">
        <v>9215.75</v>
      </c>
      <c r="AU1908" s="17">
        <v>1.2</v>
      </c>
      <c r="AV1908" s="17">
        <v>0</v>
      </c>
      <c r="AW1908" s="10" t="s">
        <v>105</v>
      </c>
      <c r="AX1908" s="17">
        <v>168</v>
      </c>
      <c r="AY1908" s="18">
        <v>15.009364820846905</v>
      </c>
      <c r="AZ1908" s="10"/>
      <c r="BA1908" s="20" t="b">
        <v>0</v>
      </c>
      <c r="BB1908" s="10"/>
      <c r="BC1908" s="17">
        <v>809</v>
      </c>
      <c r="BD1908" s="17">
        <v>614</v>
      </c>
      <c r="BE1908" s="17">
        <v>9215.75</v>
      </c>
      <c r="BF1908" s="17">
        <v>0</v>
      </c>
      <c r="BG1908" s="11">
        <f ca="1">IFERROR(__xludf.DUMMYFUNCTION("""COMPUTED_VALUE"""),46010.125)</f>
        <v>46010.125</v>
      </c>
      <c r="BH1908" s="17" t="s">
        <v>105</v>
      </c>
      <c r="BI1908" s="17"/>
      <c r="BJ1908" s="15"/>
      <c r="BK1908" s="15"/>
      <c r="BL1908" s="13" t="b">
        <v>0</v>
      </c>
      <c r="BM1908" s="10"/>
      <c r="BN1908" s="10" t="s">
        <v>634</v>
      </c>
      <c r="BO1908" s="11">
        <v>45904.326388888891</v>
      </c>
      <c r="BP1908" s="11">
        <v>46000.562800925924</v>
      </c>
      <c r="BQ1908" s="15">
        <v>46006.4528587963</v>
      </c>
      <c r="BR1908" s="15">
        <v>46007.60732638889</v>
      </c>
      <c r="BS1908" s="10" t="s">
        <v>634</v>
      </c>
      <c r="BT1908" s="10" t="s">
        <v>279</v>
      </c>
      <c r="BU1908" s="10" t="s">
        <v>1275</v>
      </c>
      <c r="BV1908" s="10"/>
      <c r="BW1908" s="10"/>
      <c r="BX1908" s="10"/>
      <c r="BY1908" s="23"/>
      <c r="BZ1908" s="23"/>
      <c r="CA1908" s="19" t="s">
        <v>14536</v>
      </c>
      <c r="CB1908" s="19" t="s">
        <v>14537</v>
      </c>
      <c r="CC1908" s="23"/>
      <c r="CD1908" s="23"/>
      <c r="CE1908" s="23"/>
      <c r="CF1908" s="23"/>
      <c r="CG1908" s="23"/>
      <c r="CH1908" s="23"/>
      <c r="CI1908" s="23"/>
    </row>
    <row r="1909" spans="1:87" x14ac:dyDescent="0.3">
      <c r="A1909" s="9" t="s">
        <v>14538</v>
      </c>
      <c r="B1909" s="10" t="s">
        <v>14539</v>
      </c>
      <c r="C1909" s="11">
        <v>46010.125</v>
      </c>
      <c r="D1909" s="12">
        <v>8.3333333333333329E-2</v>
      </c>
      <c r="E1909" s="11">
        <v>46010.208333333336</v>
      </c>
      <c r="F1909" s="10" t="s">
        <v>8609</v>
      </c>
      <c r="G1909" s="13" t="b">
        <v>0</v>
      </c>
      <c r="H1909" s="10" t="s">
        <v>5239</v>
      </c>
      <c r="I1909" s="10" t="s">
        <v>89</v>
      </c>
      <c r="J1909" s="13" t="b">
        <v>0</v>
      </c>
      <c r="K1909" s="13" t="b">
        <v>1</v>
      </c>
      <c r="L1909" s="10" t="s">
        <v>124</v>
      </c>
      <c r="M1909" s="10" t="s">
        <v>91</v>
      </c>
      <c r="N1909" s="10" t="s">
        <v>92</v>
      </c>
      <c r="O1909" s="19" t="s">
        <v>14540</v>
      </c>
      <c r="P1909" s="10"/>
      <c r="Q1909" s="10" t="s">
        <v>94</v>
      </c>
      <c r="R1909" s="10"/>
      <c r="S1909" s="19" t="s">
        <v>14541</v>
      </c>
      <c r="T1909" s="19" t="s">
        <v>14542</v>
      </c>
      <c r="U1909" s="10" t="s">
        <v>13726</v>
      </c>
      <c r="V1909" s="10" t="s">
        <v>13794</v>
      </c>
      <c r="W1909" s="10" t="s">
        <v>8613</v>
      </c>
      <c r="X1909" s="10" t="s">
        <v>130</v>
      </c>
      <c r="Y1909" s="10" t="s">
        <v>130</v>
      </c>
      <c r="Z1909" s="10" t="s">
        <v>99</v>
      </c>
      <c r="AA1909" s="10" t="s">
        <v>131</v>
      </c>
      <c r="AB1909" s="10" t="s">
        <v>8614</v>
      </c>
      <c r="AC1909" s="10" t="s">
        <v>3571</v>
      </c>
      <c r="AD1909" s="10" t="s">
        <v>14543</v>
      </c>
      <c r="AE1909" s="10" t="s">
        <v>14544</v>
      </c>
      <c r="AF1909" s="15"/>
      <c r="AG1909" s="10"/>
      <c r="AH1909" s="10"/>
      <c r="AI1909" s="10"/>
      <c r="AJ1909" s="10"/>
      <c r="AK1909" s="10" t="s">
        <v>102</v>
      </c>
      <c r="AL1909" s="10" t="s">
        <v>7897</v>
      </c>
      <c r="AM1909" s="10"/>
      <c r="AN1909" s="10"/>
      <c r="AO1909" s="13" t="b">
        <v>0</v>
      </c>
      <c r="AP1909" s="10" t="s">
        <v>104</v>
      </c>
      <c r="AQ1909" s="10">
        <f ca="1">IFERROR(__xludf.DUMMYFUNCTION("""COMPUTED_VALUE"""),4783346)</f>
        <v>4783346</v>
      </c>
      <c r="AR1909" s="17">
        <v>333</v>
      </c>
      <c r="AS1909" s="17">
        <v>276</v>
      </c>
      <c r="AT1909" s="17">
        <v>1612.5</v>
      </c>
      <c r="AU1909" s="17">
        <v>0</v>
      </c>
      <c r="AV1909" s="17">
        <v>0</v>
      </c>
      <c r="AW1909" s="10" t="s">
        <v>105</v>
      </c>
      <c r="AX1909" s="17">
        <v>39</v>
      </c>
      <c r="AY1909" s="18">
        <v>5.8423913043478262</v>
      </c>
      <c r="AZ1909" s="10"/>
      <c r="BA1909" s="20" t="b">
        <v>0</v>
      </c>
      <c r="BB1909" s="10"/>
      <c r="BC1909" s="17">
        <v>333</v>
      </c>
      <c r="BD1909" s="17">
        <v>276</v>
      </c>
      <c r="BE1909" s="17">
        <v>1612.5</v>
      </c>
      <c r="BF1909" s="17">
        <v>0</v>
      </c>
      <c r="BG1909" s="11">
        <f ca="1">IFERROR(__xludf.DUMMYFUNCTION("""COMPUTED_VALUE"""),46010.125)</f>
        <v>46010.125</v>
      </c>
      <c r="BH1909" s="17" t="s">
        <v>105</v>
      </c>
      <c r="BI1909" s="17"/>
      <c r="BJ1909" s="15"/>
      <c r="BK1909" s="15"/>
      <c r="BL1909" s="13" t="b">
        <v>0</v>
      </c>
      <c r="BM1909" s="10"/>
      <c r="BN1909" s="10" t="s">
        <v>634</v>
      </c>
      <c r="BO1909" s="11">
        <v>45904.326388888891</v>
      </c>
      <c r="BP1909" s="11">
        <v>46000.562962962962</v>
      </c>
      <c r="BQ1909" s="15">
        <v>46006.455949074072</v>
      </c>
      <c r="BR1909" s="15">
        <v>46007.690185185187</v>
      </c>
      <c r="BS1909" s="10" t="s">
        <v>634</v>
      </c>
      <c r="BT1909" s="10" t="s">
        <v>99</v>
      </c>
      <c r="BU1909" s="10" t="s">
        <v>1286</v>
      </c>
      <c r="BV1909" s="10"/>
      <c r="BW1909" s="10"/>
      <c r="BX1909" s="10"/>
      <c r="BY1909" s="23"/>
      <c r="BZ1909" s="23"/>
      <c r="CA1909" s="19" t="s">
        <v>14545</v>
      </c>
      <c r="CB1909" s="19" t="s">
        <v>14546</v>
      </c>
      <c r="CC1909" s="23"/>
      <c r="CD1909" s="23"/>
      <c r="CE1909" s="23"/>
      <c r="CF1909" s="23"/>
      <c r="CG1909" s="23"/>
      <c r="CH1909" s="23"/>
      <c r="CI1909" s="23"/>
    </row>
    <row r="1910" spans="1:87" x14ac:dyDescent="0.3">
      <c r="A1910" s="9" t="s">
        <v>14547</v>
      </c>
      <c r="B1910" s="10" t="s">
        <v>14548</v>
      </c>
      <c r="C1910" s="11">
        <v>46010.125</v>
      </c>
      <c r="D1910" s="12">
        <v>8.3333333333333329E-2</v>
      </c>
      <c r="E1910" s="11">
        <v>46010.208333333336</v>
      </c>
      <c r="F1910" s="10" t="s">
        <v>8609</v>
      </c>
      <c r="G1910" s="13" t="b">
        <v>0</v>
      </c>
      <c r="H1910" s="10" t="s">
        <v>5239</v>
      </c>
      <c r="I1910" s="10" t="s">
        <v>89</v>
      </c>
      <c r="J1910" s="13" t="b">
        <v>0</v>
      </c>
      <c r="K1910" s="13" t="b">
        <v>1</v>
      </c>
      <c r="L1910" s="10" t="s">
        <v>124</v>
      </c>
      <c r="M1910" s="10" t="s">
        <v>91</v>
      </c>
      <c r="N1910" s="10" t="s">
        <v>92</v>
      </c>
      <c r="O1910" s="19" t="s">
        <v>14549</v>
      </c>
      <c r="P1910" s="10"/>
      <c r="Q1910" s="10" t="s">
        <v>94</v>
      </c>
      <c r="R1910" s="10"/>
      <c r="S1910" s="19" t="s">
        <v>14550</v>
      </c>
      <c r="T1910" s="19" t="s">
        <v>14551</v>
      </c>
      <c r="U1910" s="10" t="s">
        <v>13767</v>
      </c>
      <c r="V1910" s="10" t="s">
        <v>13737</v>
      </c>
      <c r="W1910" s="10" t="s">
        <v>8613</v>
      </c>
      <c r="X1910" s="10" t="s">
        <v>130</v>
      </c>
      <c r="Y1910" s="10" t="s">
        <v>130</v>
      </c>
      <c r="Z1910" s="10" t="s">
        <v>99</v>
      </c>
      <c r="AA1910" s="10" t="s">
        <v>131</v>
      </c>
      <c r="AB1910" s="10" t="s">
        <v>8614</v>
      </c>
      <c r="AC1910" s="10" t="s">
        <v>3571</v>
      </c>
      <c r="AD1910" s="10" t="s">
        <v>14552</v>
      </c>
      <c r="AE1910" s="10" t="s">
        <v>14553</v>
      </c>
      <c r="AF1910" s="15"/>
      <c r="AG1910" s="10"/>
      <c r="AH1910" s="10"/>
      <c r="AI1910" s="10"/>
      <c r="AJ1910" s="10"/>
      <c r="AK1910" s="10" t="s">
        <v>102</v>
      </c>
      <c r="AL1910" s="10" t="s">
        <v>7897</v>
      </c>
      <c r="AM1910" s="10"/>
      <c r="AN1910" s="10"/>
      <c r="AO1910" s="13" t="b">
        <v>0</v>
      </c>
      <c r="AP1910" s="10" t="s">
        <v>104</v>
      </c>
      <c r="AQ1910" s="10">
        <f ca="1">IFERROR(__xludf.DUMMYFUNCTION("""COMPUTED_VALUE"""),4783289)</f>
        <v>4783289</v>
      </c>
      <c r="AR1910" s="17">
        <v>673</v>
      </c>
      <c r="AS1910" s="17">
        <v>485</v>
      </c>
      <c r="AT1910" s="17">
        <v>4988</v>
      </c>
      <c r="AU1910" s="17">
        <v>0</v>
      </c>
      <c r="AV1910" s="17">
        <v>0</v>
      </c>
      <c r="AW1910" s="10" t="s">
        <v>105</v>
      </c>
      <c r="AX1910" s="17">
        <v>139</v>
      </c>
      <c r="AY1910" s="18">
        <v>10.284536082474228</v>
      </c>
      <c r="AZ1910" s="10"/>
      <c r="BA1910" s="20" t="b">
        <v>0</v>
      </c>
      <c r="BB1910" s="10"/>
      <c r="BC1910" s="17">
        <v>673</v>
      </c>
      <c r="BD1910" s="17">
        <v>485</v>
      </c>
      <c r="BE1910" s="17">
        <v>4988</v>
      </c>
      <c r="BF1910" s="17">
        <v>0</v>
      </c>
      <c r="BG1910" s="11">
        <f ca="1">IFERROR(__xludf.DUMMYFUNCTION("""COMPUTED_VALUE"""),46010.125)</f>
        <v>46010.125</v>
      </c>
      <c r="BH1910" s="17" t="s">
        <v>105</v>
      </c>
      <c r="BI1910" s="17"/>
      <c r="BJ1910" s="15"/>
      <c r="BK1910" s="15"/>
      <c r="BL1910" s="13" t="b">
        <v>0</v>
      </c>
      <c r="BM1910" s="10"/>
      <c r="BN1910" s="10" t="s">
        <v>634</v>
      </c>
      <c r="BO1910" s="11">
        <v>45904.326388888891</v>
      </c>
      <c r="BP1910" s="11">
        <v>46000.563310185185</v>
      </c>
      <c r="BQ1910" s="15">
        <v>46006.452060185184</v>
      </c>
      <c r="BR1910" s="15">
        <v>46007.602395833332</v>
      </c>
      <c r="BS1910" s="10" t="s">
        <v>634</v>
      </c>
      <c r="BT1910" s="10" t="s">
        <v>279</v>
      </c>
      <c r="BU1910" s="10" t="s">
        <v>1264</v>
      </c>
      <c r="BV1910" s="10"/>
      <c r="BW1910" s="10"/>
      <c r="BX1910" s="10"/>
      <c r="BY1910" s="23"/>
      <c r="BZ1910" s="23"/>
      <c r="CA1910" s="19" t="s">
        <v>14554</v>
      </c>
      <c r="CB1910" s="19" t="s">
        <v>14555</v>
      </c>
      <c r="CC1910" s="23"/>
      <c r="CD1910" s="23"/>
      <c r="CE1910" s="23"/>
      <c r="CF1910" s="23"/>
      <c r="CG1910" s="23"/>
      <c r="CH1910" s="23"/>
      <c r="CI1910" s="23"/>
    </row>
    <row r="1911" spans="1:87" x14ac:dyDescent="0.3">
      <c r="A1911" s="9" t="s">
        <v>14556</v>
      </c>
      <c r="B1911" s="10" t="s">
        <v>14557</v>
      </c>
      <c r="C1911" s="11">
        <v>46010.125</v>
      </c>
      <c r="D1911" s="12">
        <v>8.3333333333333329E-2</v>
      </c>
      <c r="E1911" s="11">
        <v>46010.208333333336</v>
      </c>
      <c r="F1911" s="10" t="s">
        <v>8609</v>
      </c>
      <c r="G1911" s="13" t="b">
        <v>0</v>
      </c>
      <c r="H1911" s="10" t="s">
        <v>5239</v>
      </c>
      <c r="I1911" s="10" t="s">
        <v>89</v>
      </c>
      <c r="J1911" s="13" t="b">
        <v>0</v>
      </c>
      <c r="K1911" s="13" t="b">
        <v>1</v>
      </c>
      <c r="L1911" s="10" t="s">
        <v>124</v>
      </c>
      <c r="M1911" s="10" t="s">
        <v>91</v>
      </c>
      <c r="N1911" s="10" t="s">
        <v>92</v>
      </c>
      <c r="O1911" s="19" t="s">
        <v>14558</v>
      </c>
      <c r="P1911" s="10"/>
      <c r="Q1911" s="10" t="s">
        <v>126</v>
      </c>
      <c r="R1911" s="10"/>
      <c r="S1911" s="19" t="s">
        <v>14559</v>
      </c>
      <c r="T1911" s="19" t="s">
        <v>14560</v>
      </c>
      <c r="U1911" s="10" t="s">
        <v>5006</v>
      </c>
      <c r="V1911" s="10" t="s">
        <v>13637</v>
      </c>
      <c r="W1911" s="10" t="s">
        <v>8613</v>
      </c>
      <c r="X1911" s="10" t="s">
        <v>130</v>
      </c>
      <c r="Y1911" s="10" t="s">
        <v>130</v>
      </c>
      <c r="Z1911" s="10" t="s">
        <v>99</v>
      </c>
      <c r="AA1911" s="10" t="s">
        <v>131</v>
      </c>
      <c r="AB1911" s="10" t="s">
        <v>8614</v>
      </c>
      <c r="AC1911" s="10" t="s">
        <v>3571</v>
      </c>
      <c r="AD1911" s="10" t="s">
        <v>14561</v>
      </c>
      <c r="AE1911" s="10" t="s">
        <v>14562</v>
      </c>
      <c r="AF1911" s="15"/>
      <c r="AG1911" s="10"/>
      <c r="AH1911" s="10"/>
      <c r="AI1911" s="10"/>
      <c r="AJ1911" s="10"/>
      <c r="AK1911" s="10" t="s">
        <v>102</v>
      </c>
      <c r="AL1911" s="10" t="s">
        <v>7897</v>
      </c>
      <c r="AM1911" s="10"/>
      <c r="AN1911" s="10"/>
      <c r="AO1911" s="13" t="b">
        <v>0</v>
      </c>
      <c r="AP1911" s="10" t="s">
        <v>104</v>
      </c>
      <c r="AQ1911" s="10">
        <f ca="1">IFERROR(__xludf.DUMMYFUNCTION("""COMPUTED_VALUE"""),4783310)</f>
        <v>4783310</v>
      </c>
      <c r="AR1911" s="17">
        <v>1056</v>
      </c>
      <c r="AS1911" s="17">
        <v>809</v>
      </c>
      <c r="AT1911" s="17">
        <v>9414.5</v>
      </c>
      <c r="AU1911" s="17">
        <v>5.0999999999999996</v>
      </c>
      <c r="AV1911" s="17">
        <v>0</v>
      </c>
      <c r="AW1911" s="10" t="s">
        <v>105</v>
      </c>
      <c r="AX1911" s="17">
        <v>180</v>
      </c>
      <c r="AY1911" s="18">
        <v>11.637206427688504</v>
      </c>
      <c r="AZ1911" s="10"/>
      <c r="BA1911" s="20" t="b">
        <v>0</v>
      </c>
      <c r="BB1911" s="10"/>
      <c r="BC1911" s="17">
        <v>1056</v>
      </c>
      <c r="BD1911" s="17">
        <v>809</v>
      </c>
      <c r="BE1911" s="17">
        <v>9414.5</v>
      </c>
      <c r="BF1911" s="17">
        <v>0</v>
      </c>
      <c r="BG1911" s="11">
        <f ca="1">IFERROR(__xludf.DUMMYFUNCTION("""COMPUTED_VALUE"""),46010.125)</f>
        <v>46010.125</v>
      </c>
      <c r="BH1911" s="17" t="s">
        <v>105</v>
      </c>
      <c r="BI1911" s="17"/>
      <c r="BJ1911" s="15"/>
      <c r="BK1911" s="15"/>
      <c r="BL1911" s="13" t="b">
        <v>0</v>
      </c>
      <c r="BM1911" s="10"/>
      <c r="BN1911" s="10" t="s">
        <v>634</v>
      </c>
      <c r="BO1911" s="11">
        <v>45904.326388888891</v>
      </c>
      <c r="BP1911" s="11">
        <v>46000.563599537039</v>
      </c>
      <c r="BQ1911" s="15">
        <v>46006.454560185186</v>
      </c>
      <c r="BR1911" s="15">
        <v>46007.660567129627</v>
      </c>
      <c r="BS1911" s="10" t="s">
        <v>634</v>
      </c>
      <c r="BT1911" s="10" t="s">
        <v>99</v>
      </c>
      <c r="BU1911" s="10" t="s">
        <v>3394</v>
      </c>
      <c r="BV1911" s="10"/>
      <c r="BW1911" s="10"/>
      <c r="BX1911" s="10"/>
      <c r="BY1911" s="23"/>
      <c r="BZ1911" s="23"/>
      <c r="CA1911" s="19" t="s">
        <v>14563</v>
      </c>
      <c r="CB1911" s="19" t="s">
        <v>14564</v>
      </c>
      <c r="CC1911" s="23"/>
      <c r="CD1911" s="19" t="s">
        <v>14565</v>
      </c>
      <c r="CE1911" s="23"/>
      <c r="CF1911" s="23"/>
      <c r="CG1911" s="23"/>
      <c r="CH1911" s="23"/>
      <c r="CI1911" s="23"/>
    </row>
    <row r="1912" spans="1:87" x14ac:dyDescent="0.3">
      <c r="A1912" s="9" t="s">
        <v>14566</v>
      </c>
      <c r="B1912" s="10" t="s">
        <v>14567</v>
      </c>
      <c r="C1912" s="11">
        <v>46010.125</v>
      </c>
      <c r="D1912" s="12">
        <v>8.3333333333333329E-2</v>
      </c>
      <c r="E1912" s="11">
        <v>46010.208333333336</v>
      </c>
      <c r="F1912" s="10" t="s">
        <v>8609</v>
      </c>
      <c r="G1912" s="13" t="b">
        <v>0</v>
      </c>
      <c r="H1912" s="10" t="s">
        <v>5239</v>
      </c>
      <c r="I1912" s="10" t="s">
        <v>89</v>
      </c>
      <c r="J1912" s="13" t="b">
        <v>0</v>
      </c>
      <c r="K1912" s="13" t="b">
        <v>1</v>
      </c>
      <c r="L1912" s="10" t="s">
        <v>124</v>
      </c>
      <c r="M1912" s="10" t="s">
        <v>91</v>
      </c>
      <c r="N1912" s="10" t="s">
        <v>92</v>
      </c>
      <c r="O1912" s="19" t="s">
        <v>14568</v>
      </c>
      <c r="P1912" s="10"/>
      <c r="Q1912" s="10" t="s">
        <v>94</v>
      </c>
      <c r="R1912" s="10"/>
      <c r="S1912" s="19" t="s">
        <v>14569</v>
      </c>
      <c r="T1912" s="19" t="s">
        <v>14570</v>
      </c>
      <c r="U1912" s="10" t="s">
        <v>13795</v>
      </c>
      <c r="V1912" s="10" t="s">
        <v>13697</v>
      </c>
      <c r="W1912" s="10" t="s">
        <v>8613</v>
      </c>
      <c r="X1912" s="10" t="s">
        <v>130</v>
      </c>
      <c r="Y1912" s="10" t="s">
        <v>130</v>
      </c>
      <c r="Z1912" s="10" t="s">
        <v>99</v>
      </c>
      <c r="AA1912" s="10" t="s">
        <v>131</v>
      </c>
      <c r="AB1912" s="10" t="s">
        <v>8614</v>
      </c>
      <c r="AC1912" s="10" t="s">
        <v>3571</v>
      </c>
      <c r="AD1912" s="10" t="s">
        <v>14571</v>
      </c>
      <c r="AE1912" s="10" t="s">
        <v>14572</v>
      </c>
      <c r="AF1912" s="15"/>
      <c r="AG1912" s="10"/>
      <c r="AH1912" s="10"/>
      <c r="AI1912" s="10"/>
      <c r="AJ1912" s="10"/>
      <c r="AK1912" s="10" t="s">
        <v>102</v>
      </c>
      <c r="AL1912" s="10" t="s">
        <v>7897</v>
      </c>
      <c r="AM1912" s="10"/>
      <c r="AN1912" s="10"/>
      <c r="AO1912" s="13" t="b">
        <v>0</v>
      </c>
      <c r="AP1912" s="10" t="s">
        <v>104</v>
      </c>
      <c r="AQ1912" s="10">
        <f ca="1">IFERROR(__xludf.DUMMYFUNCTION("""COMPUTED_VALUE"""),4783330)</f>
        <v>4783330</v>
      </c>
      <c r="AR1912" s="17">
        <v>720</v>
      </c>
      <c r="AS1912" s="17">
        <v>504</v>
      </c>
      <c r="AT1912" s="17">
        <v>4853.5</v>
      </c>
      <c r="AU1912" s="17">
        <v>0.9</v>
      </c>
      <c r="AV1912" s="17">
        <v>0</v>
      </c>
      <c r="AW1912" s="10" t="s">
        <v>105</v>
      </c>
      <c r="AX1912" s="17">
        <v>128</v>
      </c>
      <c r="AY1912" s="18">
        <v>9.6299603174603181</v>
      </c>
      <c r="AZ1912" s="10"/>
      <c r="BA1912" s="20" t="b">
        <v>0</v>
      </c>
      <c r="BB1912" s="10"/>
      <c r="BC1912" s="17">
        <v>720</v>
      </c>
      <c r="BD1912" s="17">
        <v>504</v>
      </c>
      <c r="BE1912" s="17">
        <v>4853.5</v>
      </c>
      <c r="BF1912" s="17">
        <v>0</v>
      </c>
      <c r="BG1912" s="11">
        <f ca="1">IFERROR(__xludf.DUMMYFUNCTION("""COMPUTED_VALUE"""),46010.125)</f>
        <v>46010.125</v>
      </c>
      <c r="BH1912" s="17" t="s">
        <v>105</v>
      </c>
      <c r="BI1912" s="17"/>
      <c r="BJ1912" s="15"/>
      <c r="BK1912" s="15"/>
      <c r="BL1912" s="13" t="b">
        <v>0</v>
      </c>
      <c r="BM1912" s="10"/>
      <c r="BN1912" s="10" t="s">
        <v>634</v>
      </c>
      <c r="BO1912" s="11">
        <v>45904.326388888891</v>
      </c>
      <c r="BP1912" s="11">
        <v>46000.563692129632</v>
      </c>
      <c r="BQ1912" s="15">
        <v>46006.454699074071</v>
      </c>
      <c r="BR1912" s="15">
        <v>46007.671979166669</v>
      </c>
      <c r="BS1912" s="10" t="s">
        <v>634</v>
      </c>
      <c r="BT1912" s="10" t="s">
        <v>99</v>
      </c>
      <c r="BU1912" s="10" t="s">
        <v>6409</v>
      </c>
      <c r="BV1912" s="10"/>
      <c r="BW1912" s="10"/>
      <c r="BX1912" s="10"/>
      <c r="BY1912" s="23"/>
      <c r="BZ1912" s="23"/>
      <c r="CA1912" s="19" t="s">
        <v>14573</v>
      </c>
      <c r="CB1912" s="19" t="s">
        <v>14574</v>
      </c>
      <c r="CC1912" s="23"/>
      <c r="CD1912" s="23"/>
      <c r="CE1912" s="23"/>
      <c r="CF1912" s="23"/>
      <c r="CG1912" s="23"/>
      <c r="CH1912" s="23"/>
      <c r="CI1912" s="23"/>
    </row>
    <row r="1913" spans="1:87" x14ac:dyDescent="0.3">
      <c r="A1913" s="9" t="s">
        <v>14575</v>
      </c>
      <c r="B1913" s="10" t="s">
        <v>14576</v>
      </c>
      <c r="C1913" s="11">
        <v>45924.072916666664</v>
      </c>
      <c r="D1913" s="12">
        <v>8.3333333333333329E-2</v>
      </c>
      <c r="E1913" s="11">
        <v>45924.15625</v>
      </c>
      <c r="F1913" s="10" t="s">
        <v>7877</v>
      </c>
      <c r="G1913" s="13" t="b">
        <v>0</v>
      </c>
      <c r="H1913" s="10" t="s">
        <v>7878</v>
      </c>
      <c r="I1913" s="10" t="s">
        <v>89</v>
      </c>
      <c r="J1913" s="13" t="b">
        <v>0</v>
      </c>
      <c r="K1913" s="13" t="b">
        <v>1</v>
      </c>
      <c r="L1913" s="10" t="s">
        <v>124</v>
      </c>
      <c r="M1913" s="10" t="s">
        <v>91</v>
      </c>
      <c r="N1913" s="10" t="s">
        <v>92</v>
      </c>
      <c r="O1913" s="19" t="s">
        <v>14577</v>
      </c>
      <c r="P1913" s="10"/>
      <c r="Q1913" s="10" t="s">
        <v>94</v>
      </c>
      <c r="R1913" s="10"/>
      <c r="S1913" s="19" t="s">
        <v>14578</v>
      </c>
      <c r="T1913" s="19" t="s">
        <v>13615</v>
      </c>
      <c r="U1913" s="10" t="s">
        <v>309</v>
      </c>
      <c r="V1913" s="10" t="s">
        <v>14579</v>
      </c>
      <c r="W1913" s="10" t="s">
        <v>7883</v>
      </c>
      <c r="X1913" s="10" t="s">
        <v>130</v>
      </c>
      <c r="Y1913" s="10" t="s">
        <v>130</v>
      </c>
      <c r="Z1913" s="10" t="s">
        <v>99</v>
      </c>
      <c r="AA1913" s="10" t="s">
        <v>131</v>
      </c>
      <c r="AB1913" s="10" t="s">
        <v>7884</v>
      </c>
      <c r="AC1913" s="10" t="s">
        <v>7885</v>
      </c>
      <c r="AD1913" s="10" t="s">
        <v>14580</v>
      </c>
      <c r="AE1913" s="10" t="s">
        <v>14581</v>
      </c>
      <c r="AF1913" s="15"/>
      <c r="AG1913" s="10"/>
      <c r="AH1913" s="10"/>
      <c r="AI1913" s="10"/>
      <c r="AJ1913" s="10"/>
      <c r="AK1913" s="10" t="s">
        <v>102</v>
      </c>
      <c r="AL1913" s="10" t="s">
        <v>7897</v>
      </c>
      <c r="AM1913" s="10"/>
      <c r="AN1913" s="10"/>
      <c r="AO1913" s="13" t="b">
        <v>0</v>
      </c>
      <c r="AP1913" s="10" t="s">
        <v>104</v>
      </c>
      <c r="AQ1913" s="10">
        <f ca="1">IFERROR(__xludf.DUMMYFUNCTION("""COMPUTED_VALUE"""),4592577)</f>
        <v>4592577</v>
      </c>
      <c r="AR1913" s="17">
        <v>3167</v>
      </c>
      <c r="AS1913" s="17">
        <v>2282</v>
      </c>
      <c r="AT1913" s="17">
        <v>12487.75</v>
      </c>
      <c r="AU1913" s="17">
        <v>2.9</v>
      </c>
      <c r="AV1913" s="17">
        <v>0.5</v>
      </c>
      <c r="AW1913" s="10" t="s">
        <v>105</v>
      </c>
      <c r="AX1913" s="17">
        <v>329</v>
      </c>
      <c r="AY1913" s="18">
        <v>5.4722830850131468</v>
      </c>
      <c r="AZ1913" s="10" t="s">
        <v>106</v>
      </c>
      <c r="BA1913" s="20" t="b">
        <v>0</v>
      </c>
      <c r="BB1913" s="10"/>
      <c r="BC1913" s="17">
        <v>3167</v>
      </c>
      <c r="BD1913" s="17">
        <v>2282</v>
      </c>
      <c r="BE1913" s="17">
        <v>12487.75</v>
      </c>
      <c r="BF1913" s="17">
        <v>0.5</v>
      </c>
      <c r="BG1913" s="11">
        <f ca="1">IFERROR(__xludf.DUMMYFUNCTION("""COMPUTED_VALUE"""),45924.0729166666)</f>
        <v>45924.072916666599</v>
      </c>
      <c r="BH1913" s="17" t="s">
        <v>105</v>
      </c>
      <c r="BI1913" s="17"/>
      <c r="BJ1913" s="15"/>
      <c r="BK1913" s="15"/>
      <c r="BL1913" s="13" t="b">
        <v>0</v>
      </c>
      <c r="BM1913" s="10"/>
      <c r="BN1913" s="10" t="s">
        <v>157</v>
      </c>
      <c r="BO1913" s="11">
        <v>45904.615972222222</v>
      </c>
      <c r="BP1913" s="11">
        <v>45920.501319444447</v>
      </c>
      <c r="BQ1913" s="15">
        <v>45922.896423611113</v>
      </c>
      <c r="BR1913" s="15">
        <v>45923.353738425925</v>
      </c>
      <c r="BS1913" s="10" t="s">
        <v>157</v>
      </c>
      <c r="BT1913" s="10" t="s">
        <v>279</v>
      </c>
      <c r="BU1913" s="10" t="s">
        <v>534</v>
      </c>
      <c r="BV1913" s="10"/>
      <c r="BW1913" s="10"/>
      <c r="BX1913" s="10"/>
      <c r="BY1913" s="23"/>
      <c r="BZ1913" s="23"/>
      <c r="CA1913" s="19" t="s">
        <v>14582</v>
      </c>
      <c r="CB1913" s="19" t="s">
        <v>14583</v>
      </c>
      <c r="CC1913" s="23"/>
      <c r="CD1913" s="23"/>
      <c r="CE1913" s="23"/>
      <c r="CF1913" s="23"/>
      <c r="CG1913" s="23"/>
      <c r="CH1913" s="23"/>
      <c r="CI1913" s="23"/>
    </row>
    <row r="1914" spans="1:87" x14ac:dyDescent="0.3">
      <c r="A1914" s="9" t="s">
        <v>14584</v>
      </c>
      <c r="B1914" s="10" t="s">
        <v>14585</v>
      </c>
      <c r="C1914" s="11">
        <v>45924.072916666664</v>
      </c>
      <c r="D1914" s="12">
        <v>8.3333333333333329E-2</v>
      </c>
      <c r="E1914" s="11">
        <v>45924.15625</v>
      </c>
      <c r="F1914" s="10" t="s">
        <v>7877</v>
      </c>
      <c r="G1914" s="13" t="b">
        <v>0</v>
      </c>
      <c r="H1914" s="10" t="s">
        <v>3215</v>
      </c>
      <c r="I1914" s="10" t="s">
        <v>89</v>
      </c>
      <c r="J1914" s="13" t="b">
        <v>0</v>
      </c>
      <c r="K1914" s="13" t="b">
        <v>1</v>
      </c>
      <c r="L1914" s="10" t="s">
        <v>124</v>
      </c>
      <c r="M1914" s="10" t="s">
        <v>91</v>
      </c>
      <c r="N1914" s="10" t="s">
        <v>92</v>
      </c>
      <c r="O1914" s="19" t="s">
        <v>14586</v>
      </c>
      <c r="P1914" s="10"/>
      <c r="Q1914" s="10" t="s">
        <v>126</v>
      </c>
      <c r="R1914" s="10"/>
      <c r="S1914" s="19" t="s">
        <v>14587</v>
      </c>
      <c r="T1914" s="19" t="s">
        <v>13615</v>
      </c>
      <c r="U1914" s="10" t="s">
        <v>14588</v>
      </c>
      <c r="V1914" s="10" t="s">
        <v>346</v>
      </c>
      <c r="W1914" s="10" t="s">
        <v>7883</v>
      </c>
      <c r="X1914" s="10" t="s">
        <v>130</v>
      </c>
      <c r="Y1914" s="10" t="s">
        <v>130</v>
      </c>
      <c r="Z1914" s="10" t="s">
        <v>99</v>
      </c>
      <c r="AA1914" s="10" t="s">
        <v>131</v>
      </c>
      <c r="AB1914" s="10" t="s">
        <v>7884</v>
      </c>
      <c r="AC1914" s="10" t="s">
        <v>7885</v>
      </c>
      <c r="AD1914" s="10" t="s">
        <v>14589</v>
      </c>
      <c r="AE1914" s="10" t="s">
        <v>14590</v>
      </c>
      <c r="AF1914" s="15"/>
      <c r="AG1914" s="10"/>
      <c r="AH1914" s="10"/>
      <c r="AI1914" s="10"/>
      <c r="AJ1914" s="10"/>
      <c r="AK1914" s="10" t="s">
        <v>102</v>
      </c>
      <c r="AL1914" s="10" t="s">
        <v>7897</v>
      </c>
      <c r="AM1914" s="10"/>
      <c r="AN1914" s="10"/>
      <c r="AO1914" s="13" t="b">
        <v>1</v>
      </c>
      <c r="AP1914" s="10" t="s">
        <v>104</v>
      </c>
      <c r="AQ1914" s="10">
        <f ca="1">IFERROR(__xludf.DUMMYFUNCTION("""COMPUTED_VALUE"""),4592567)</f>
        <v>4592567</v>
      </c>
      <c r="AR1914" s="17">
        <v>28958</v>
      </c>
      <c r="AS1914" s="17">
        <v>17880</v>
      </c>
      <c r="AT1914" s="17">
        <v>718334</v>
      </c>
      <c r="AU1914" s="17">
        <v>120.2</v>
      </c>
      <c r="AV1914" s="17">
        <v>29.75</v>
      </c>
      <c r="AW1914" s="10" t="s">
        <v>105</v>
      </c>
      <c r="AX1914" s="17">
        <v>6917</v>
      </c>
      <c r="AY1914" s="18">
        <v>40.175279642058165</v>
      </c>
      <c r="AZ1914" s="10" t="s">
        <v>106</v>
      </c>
      <c r="BA1914" s="20" t="b">
        <v>0</v>
      </c>
      <c r="BB1914" s="10"/>
      <c r="BC1914" s="17">
        <v>28958</v>
      </c>
      <c r="BD1914" s="17">
        <v>17880</v>
      </c>
      <c r="BE1914" s="17">
        <v>718334</v>
      </c>
      <c r="BF1914" s="17">
        <v>29.75</v>
      </c>
      <c r="BG1914" s="11">
        <f ca="1">IFERROR(__xludf.DUMMYFUNCTION("""COMPUTED_VALUE"""),45924.0729166666)</f>
        <v>45924.072916666599</v>
      </c>
      <c r="BH1914" s="17" t="s">
        <v>105</v>
      </c>
      <c r="BI1914" s="17"/>
      <c r="BJ1914" s="15"/>
      <c r="BK1914" s="15"/>
      <c r="BL1914" s="13" t="b">
        <v>0</v>
      </c>
      <c r="BM1914" s="10"/>
      <c r="BN1914" s="10" t="s">
        <v>157</v>
      </c>
      <c r="BO1914" s="11">
        <v>45904.617361111108</v>
      </c>
      <c r="BP1914" s="11">
        <v>45920.500694444447</v>
      </c>
      <c r="BQ1914" s="15">
        <v>45922.896608796298</v>
      </c>
      <c r="BR1914" s="15">
        <v>45923.348275462966</v>
      </c>
      <c r="BS1914" s="10" t="s">
        <v>157</v>
      </c>
      <c r="BT1914" s="10" t="s">
        <v>279</v>
      </c>
      <c r="BU1914" s="10" t="s">
        <v>421</v>
      </c>
      <c r="BV1914" s="10"/>
      <c r="BW1914" s="10"/>
      <c r="BX1914" s="10"/>
      <c r="BY1914" s="23"/>
      <c r="BZ1914" s="23"/>
      <c r="CA1914" s="19" t="s">
        <v>14591</v>
      </c>
      <c r="CB1914" s="19" t="s">
        <v>14592</v>
      </c>
      <c r="CC1914" s="23"/>
      <c r="CD1914" s="19" t="s">
        <v>14593</v>
      </c>
      <c r="CE1914" s="23"/>
      <c r="CF1914" s="23"/>
      <c r="CG1914" s="23"/>
      <c r="CH1914" s="23"/>
      <c r="CI1914" s="23"/>
    </row>
    <row r="1915" spans="1:87" x14ac:dyDescent="0.3">
      <c r="A1915" s="9" t="s">
        <v>14594</v>
      </c>
      <c r="B1915" s="10" t="s">
        <v>14595</v>
      </c>
      <c r="C1915" s="11">
        <v>45924.072916666664</v>
      </c>
      <c r="D1915" s="12">
        <v>8.3333333333333329E-2</v>
      </c>
      <c r="E1915" s="11">
        <v>45924.15625</v>
      </c>
      <c r="F1915" s="10" t="s">
        <v>7877</v>
      </c>
      <c r="G1915" s="13" t="b">
        <v>0</v>
      </c>
      <c r="H1915" s="10" t="s">
        <v>3478</v>
      </c>
      <c r="I1915" s="10" t="s">
        <v>89</v>
      </c>
      <c r="J1915" s="13" t="b">
        <v>0</v>
      </c>
      <c r="K1915" s="13" t="b">
        <v>1</v>
      </c>
      <c r="L1915" s="10" t="s">
        <v>124</v>
      </c>
      <c r="M1915" s="10" t="s">
        <v>91</v>
      </c>
      <c r="N1915" s="10" t="s">
        <v>92</v>
      </c>
      <c r="O1915" s="19" t="s">
        <v>14596</v>
      </c>
      <c r="P1915" s="10"/>
      <c r="Q1915" s="10" t="s">
        <v>126</v>
      </c>
      <c r="R1915" s="10"/>
      <c r="S1915" s="19" t="s">
        <v>14597</v>
      </c>
      <c r="T1915" s="19" t="s">
        <v>13615</v>
      </c>
      <c r="U1915" s="10" t="s">
        <v>333</v>
      </c>
      <c r="V1915" s="10" t="s">
        <v>407</v>
      </c>
      <c r="W1915" s="10" t="s">
        <v>7883</v>
      </c>
      <c r="X1915" s="10" t="s">
        <v>130</v>
      </c>
      <c r="Y1915" s="10" t="s">
        <v>130</v>
      </c>
      <c r="Z1915" s="10" t="s">
        <v>99</v>
      </c>
      <c r="AA1915" s="10" t="s">
        <v>131</v>
      </c>
      <c r="AB1915" s="10" t="s">
        <v>7884</v>
      </c>
      <c r="AC1915" s="10" t="s">
        <v>7885</v>
      </c>
      <c r="AD1915" s="10" t="s">
        <v>530</v>
      </c>
      <c r="AE1915" s="10" t="s">
        <v>14598</v>
      </c>
      <c r="AF1915" s="15"/>
      <c r="AG1915" s="10"/>
      <c r="AH1915" s="10"/>
      <c r="AI1915" s="10"/>
      <c r="AJ1915" s="10"/>
      <c r="AK1915" s="10" t="s">
        <v>102</v>
      </c>
      <c r="AL1915" s="10" t="s">
        <v>7897</v>
      </c>
      <c r="AM1915" s="10"/>
      <c r="AN1915" s="10"/>
      <c r="AO1915" s="13" t="b">
        <v>0</v>
      </c>
      <c r="AP1915" s="10" t="s">
        <v>104</v>
      </c>
      <c r="AQ1915" s="10">
        <f ca="1">IFERROR(__xludf.DUMMYFUNCTION("""COMPUTED_VALUE"""),4592568)</f>
        <v>4592568</v>
      </c>
      <c r="AR1915" s="17">
        <v>4394</v>
      </c>
      <c r="AS1915" s="17">
        <v>3145</v>
      </c>
      <c r="AT1915" s="17">
        <v>38290.75</v>
      </c>
      <c r="AU1915" s="17">
        <v>1.05</v>
      </c>
      <c r="AV1915" s="17">
        <v>0.1</v>
      </c>
      <c r="AW1915" s="10" t="s">
        <v>105</v>
      </c>
      <c r="AX1915" s="17">
        <v>546</v>
      </c>
      <c r="AY1915" s="18">
        <v>12.175119236883942</v>
      </c>
      <c r="AZ1915" s="10" t="s">
        <v>106</v>
      </c>
      <c r="BA1915" s="20" t="b">
        <v>0</v>
      </c>
      <c r="BB1915" s="10"/>
      <c r="BC1915" s="17">
        <v>4394</v>
      </c>
      <c r="BD1915" s="17">
        <v>3145</v>
      </c>
      <c r="BE1915" s="17">
        <v>38290.75</v>
      </c>
      <c r="BF1915" s="17">
        <v>0.1</v>
      </c>
      <c r="BG1915" s="11">
        <f ca="1">IFERROR(__xludf.DUMMYFUNCTION("""COMPUTED_VALUE"""),45924.0729166666)</f>
        <v>45924.072916666599</v>
      </c>
      <c r="BH1915" s="17" t="s">
        <v>105</v>
      </c>
      <c r="BI1915" s="17"/>
      <c r="BJ1915" s="15"/>
      <c r="BK1915" s="15"/>
      <c r="BL1915" s="13" t="b">
        <v>0</v>
      </c>
      <c r="BM1915" s="10"/>
      <c r="BN1915" s="10" t="s">
        <v>157</v>
      </c>
      <c r="BO1915" s="11">
        <v>45904.618055555555</v>
      </c>
      <c r="BP1915" s="11">
        <v>45920.492905092593</v>
      </c>
      <c r="BQ1915" s="15">
        <v>45922.896770833337</v>
      </c>
      <c r="BR1915" s="15">
        <v>45923.348124999997</v>
      </c>
      <c r="BS1915" s="10" t="s">
        <v>157</v>
      </c>
      <c r="BT1915" s="10" t="s">
        <v>279</v>
      </c>
      <c r="BU1915" s="10" t="s">
        <v>280</v>
      </c>
      <c r="BV1915" s="10"/>
      <c r="BW1915" s="10"/>
      <c r="BX1915" s="10"/>
      <c r="BY1915" s="23"/>
      <c r="BZ1915" s="23"/>
      <c r="CA1915" s="19" t="s">
        <v>14599</v>
      </c>
      <c r="CB1915" s="19" t="s">
        <v>14600</v>
      </c>
      <c r="CC1915" s="23"/>
      <c r="CD1915" s="19" t="s">
        <v>14601</v>
      </c>
      <c r="CE1915" s="23"/>
      <c r="CF1915" s="23"/>
      <c r="CG1915" s="23"/>
      <c r="CH1915" s="23"/>
      <c r="CI1915" s="23"/>
    </row>
    <row r="1916" spans="1:87" x14ac:dyDescent="0.3">
      <c r="A1916" s="9" t="s">
        <v>14602</v>
      </c>
      <c r="B1916" s="10" t="s">
        <v>14603</v>
      </c>
      <c r="C1916" s="11">
        <v>45924.083333333336</v>
      </c>
      <c r="D1916" s="12">
        <v>8.3333333333333329E-2</v>
      </c>
      <c r="E1916" s="11">
        <v>45924.166666666664</v>
      </c>
      <c r="F1916" s="10" t="s">
        <v>7877</v>
      </c>
      <c r="G1916" s="13" t="b">
        <v>0</v>
      </c>
      <c r="H1916" s="10" t="s">
        <v>88</v>
      </c>
      <c r="I1916" s="10" t="s">
        <v>89</v>
      </c>
      <c r="J1916" s="13" t="b">
        <v>0</v>
      </c>
      <c r="K1916" s="13" t="b">
        <v>1</v>
      </c>
      <c r="L1916" s="10" t="s">
        <v>124</v>
      </c>
      <c r="M1916" s="10" t="s">
        <v>91</v>
      </c>
      <c r="N1916" s="10" t="s">
        <v>92</v>
      </c>
      <c r="O1916" s="19" t="s">
        <v>14604</v>
      </c>
      <c r="P1916" s="10"/>
      <c r="Q1916" s="10" t="s">
        <v>126</v>
      </c>
      <c r="R1916" s="10"/>
      <c r="S1916" s="19" t="s">
        <v>14605</v>
      </c>
      <c r="T1916" s="19" t="s">
        <v>13615</v>
      </c>
      <c r="U1916" s="10" t="s">
        <v>270</v>
      </c>
      <c r="V1916" s="10" t="s">
        <v>7632</v>
      </c>
      <c r="W1916" s="10" t="s">
        <v>7883</v>
      </c>
      <c r="X1916" s="10" t="s">
        <v>130</v>
      </c>
      <c r="Y1916" s="10" t="s">
        <v>130</v>
      </c>
      <c r="Z1916" s="10" t="s">
        <v>99</v>
      </c>
      <c r="AA1916" s="10" t="s">
        <v>131</v>
      </c>
      <c r="AB1916" s="10" t="s">
        <v>7884</v>
      </c>
      <c r="AC1916" s="10" t="s">
        <v>7885</v>
      </c>
      <c r="AD1916" s="10" t="s">
        <v>14606</v>
      </c>
      <c r="AE1916" s="10" t="s">
        <v>14607</v>
      </c>
      <c r="AF1916" s="15"/>
      <c r="AG1916" s="10"/>
      <c r="AH1916" s="10"/>
      <c r="AI1916" s="10"/>
      <c r="AJ1916" s="10"/>
      <c r="AK1916" s="10" t="s">
        <v>102</v>
      </c>
      <c r="AL1916" s="10" t="s">
        <v>7897</v>
      </c>
      <c r="AM1916" s="10"/>
      <c r="AN1916" s="10"/>
      <c r="AO1916" s="13" t="b">
        <v>1</v>
      </c>
      <c r="AP1916" s="10" t="s">
        <v>104</v>
      </c>
      <c r="AQ1916" s="10">
        <f ca="1">IFERROR(__xludf.DUMMYFUNCTION("""COMPUTED_VALUE"""),4592569)</f>
        <v>4592569</v>
      </c>
      <c r="AR1916" s="17">
        <v>58497</v>
      </c>
      <c r="AS1916" s="17">
        <v>32938</v>
      </c>
      <c r="AT1916" s="17">
        <v>1551376</v>
      </c>
      <c r="AU1916" s="17">
        <v>195.75</v>
      </c>
      <c r="AV1916" s="17">
        <v>64.349999999999994</v>
      </c>
      <c r="AW1916" s="10" t="s">
        <v>105</v>
      </c>
      <c r="AX1916" s="17">
        <v>16151</v>
      </c>
      <c r="AY1916" s="18">
        <v>47.099884631732344</v>
      </c>
      <c r="AZ1916" s="10" t="s">
        <v>106</v>
      </c>
      <c r="BA1916" s="20" t="b">
        <v>0</v>
      </c>
      <c r="BB1916" s="10"/>
      <c r="BC1916" s="17">
        <v>58497</v>
      </c>
      <c r="BD1916" s="17">
        <v>32938</v>
      </c>
      <c r="BE1916" s="17">
        <v>1551376</v>
      </c>
      <c r="BF1916" s="17">
        <v>64.349999999999994</v>
      </c>
      <c r="BG1916" s="11">
        <f ca="1">IFERROR(__xludf.DUMMYFUNCTION("""COMPUTED_VALUE"""),45924.0833333333)</f>
        <v>45924.083333333299</v>
      </c>
      <c r="BH1916" s="17" t="s">
        <v>105</v>
      </c>
      <c r="BI1916" s="17"/>
      <c r="BJ1916" s="15"/>
      <c r="BK1916" s="15"/>
      <c r="BL1916" s="13" t="b">
        <v>0</v>
      </c>
      <c r="BM1916" s="10"/>
      <c r="BN1916" s="10" t="s">
        <v>157</v>
      </c>
      <c r="BO1916" s="11">
        <v>45904.618055555555</v>
      </c>
      <c r="BP1916" s="11">
        <v>45920.493923611109</v>
      </c>
      <c r="BQ1916" s="15">
        <v>45922.897106481483</v>
      </c>
      <c r="BR1916" s="15">
        <v>45923.348449074074</v>
      </c>
      <c r="BS1916" s="10" t="s">
        <v>157</v>
      </c>
      <c r="BT1916" s="10" t="s">
        <v>279</v>
      </c>
      <c r="BU1916" s="10" t="s">
        <v>298</v>
      </c>
      <c r="BV1916" s="10" t="s">
        <v>124</v>
      </c>
      <c r="BW1916" s="10"/>
      <c r="BX1916" s="10"/>
      <c r="BY1916" s="23"/>
      <c r="BZ1916" s="23"/>
      <c r="CA1916" s="19" t="s">
        <v>14608</v>
      </c>
      <c r="CB1916" s="19" t="s">
        <v>14609</v>
      </c>
      <c r="CC1916" s="23"/>
      <c r="CD1916" s="19" t="s">
        <v>14610</v>
      </c>
      <c r="CE1916" s="23"/>
      <c r="CF1916" s="23"/>
      <c r="CG1916" s="23"/>
      <c r="CH1916" s="23"/>
      <c r="CI1916" s="23"/>
    </row>
    <row r="1917" spans="1:87" x14ac:dyDescent="0.3">
      <c r="A1917" s="9" t="s">
        <v>14611</v>
      </c>
      <c r="B1917" s="10" t="s">
        <v>14612</v>
      </c>
      <c r="C1917" s="11">
        <v>45925.072916666664</v>
      </c>
      <c r="D1917" s="12">
        <v>8.3333333333333329E-2</v>
      </c>
      <c r="E1917" s="11">
        <v>45925.15625</v>
      </c>
      <c r="F1917" s="10" t="s">
        <v>7877</v>
      </c>
      <c r="G1917" s="13" t="b">
        <v>0</v>
      </c>
      <c r="H1917" s="10" t="s">
        <v>3478</v>
      </c>
      <c r="I1917" s="10" t="s">
        <v>89</v>
      </c>
      <c r="J1917" s="13" t="b">
        <v>0</v>
      </c>
      <c r="K1917" s="13" t="b">
        <v>1</v>
      </c>
      <c r="L1917" s="10" t="s">
        <v>124</v>
      </c>
      <c r="M1917" s="10" t="s">
        <v>91</v>
      </c>
      <c r="N1917" s="10" t="s">
        <v>92</v>
      </c>
      <c r="O1917" s="19" t="s">
        <v>14613</v>
      </c>
      <c r="P1917" s="10"/>
      <c r="Q1917" s="10" t="s">
        <v>126</v>
      </c>
      <c r="R1917" s="10"/>
      <c r="S1917" s="19" t="s">
        <v>14614</v>
      </c>
      <c r="T1917" s="19" t="s">
        <v>13615</v>
      </c>
      <c r="U1917" s="10" t="s">
        <v>14615</v>
      </c>
      <c r="V1917" s="10" t="s">
        <v>334</v>
      </c>
      <c r="W1917" s="10" t="s">
        <v>7883</v>
      </c>
      <c r="X1917" s="10" t="s">
        <v>130</v>
      </c>
      <c r="Y1917" s="10" t="s">
        <v>130</v>
      </c>
      <c r="Z1917" s="10" t="s">
        <v>99</v>
      </c>
      <c r="AA1917" s="10" t="s">
        <v>131</v>
      </c>
      <c r="AB1917" s="10" t="s">
        <v>7884</v>
      </c>
      <c r="AC1917" s="10" t="s">
        <v>7885</v>
      </c>
      <c r="AD1917" s="10" t="s">
        <v>14616</v>
      </c>
      <c r="AE1917" s="10" t="s">
        <v>14617</v>
      </c>
      <c r="AF1917" s="15"/>
      <c r="AG1917" s="10"/>
      <c r="AH1917" s="10"/>
      <c r="AI1917" s="10"/>
      <c r="AJ1917" s="10"/>
      <c r="AK1917" s="10" t="s">
        <v>102</v>
      </c>
      <c r="AL1917" s="10" t="s">
        <v>7897</v>
      </c>
      <c r="AM1917" s="10"/>
      <c r="AN1917" s="10"/>
      <c r="AO1917" s="13" t="b">
        <v>1</v>
      </c>
      <c r="AP1917" s="10" t="s">
        <v>104</v>
      </c>
      <c r="AQ1917" s="10">
        <f ca="1">IFERROR(__xludf.DUMMYFUNCTION("""COMPUTED_VALUE"""),4593838)</f>
        <v>4593838</v>
      </c>
      <c r="AR1917" s="17">
        <v>24193</v>
      </c>
      <c r="AS1917" s="17">
        <v>17074</v>
      </c>
      <c r="AT1917" s="17">
        <v>559087.75</v>
      </c>
      <c r="AU1917" s="17">
        <v>69.25</v>
      </c>
      <c r="AV1917" s="17">
        <v>14.85</v>
      </c>
      <c r="AW1917" s="10" t="s">
        <v>105</v>
      </c>
      <c r="AX1917" s="17">
        <v>5007</v>
      </c>
      <c r="AY1917" s="18">
        <v>32.744977743938151</v>
      </c>
      <c r="AZ1917" s="10" t="s">
        <v>106</v>
      </c>
      <c r="BA1917" s="20" t="b">
        <v>0</v>
      </c>
      <c r="BB1917" s="10"/>
      <c r="BC1917" s="17">
        <v>24193</v>
      </c>
      <c r="BD1917" s="17">
        <v>17074</v>
      </c>
      <c r="BE1917" s="17">
        <v>559087.75</v>
      </c>
      <c r="BF1917" s="17">
        <v>14.85</v>
      </c>
      <c r="BG1917" s="11">
        <f ca="1">IFERROR(__xludf.DUMMYFUNCTION("""COMPUTED_VALUE"""),45925.0729166666)</f>
        <v>45925.072916666599</v>
      </c>
      <c r="BH1917" s="17" t="s">
        <v>105</v>
      </c>
      <c r="BI1917" s="17"/>
      <c r="BJ1917" s="15"/>
      <c r="BK1917" s="15"/>
      <c r="BL1917" s="13" t="b">
        <v>0</v>
      </c>
      <c r="BM1917" s="10"/>
      <c r="BN1917" s="10" t="s">
        <v>667</v>
      </c>
      <c r="BO1917" s="11">
        <v>45904.618750000001</v>
      </c>
      <c r="BP1917" s="11">
        <v>45920.493101851855</v>
      </c>
      <c r="BQ1917" s="15">
        <v>45923.797858796293</v>
      </c>
      <c r="BR1917" s="15">
        <v>45923.938113425924</v>
      </c>
      <c r="BS1917" s="10" t="s">
        <v>667</v>
      </c>
      <c r="BT1917" s="10" t="s">
        <v>279</v>
      </c>
      <c r="BU1917" s="10" t="s">
        <v>280</v>
      </c>
      <c r="BV1917" s="10"/>
      <c r="BW1917" s="10"/>
      <c r="BX1917" s="10"/>
      <c r="BY1917" s="23"/>
      <c r="BZ1917" s="23"/>
      <c r="CA1917" s="19" t="s">
        <v>14618</v>
      </c>
      <c r="CB1917" s="19" t="s">
        <v>14619</v>
      </c>
      <c r="CC1917" s="23"/>
      <c r="CD1917" s="19" t="s">
        <v>14620</v>
      </c>
      <c r="CE1917" s="23"/>
      <c r="CF1917" s="23"/>
      <c r="CG1917" s="23"/>
      <c r="CH1917" s="23"/>
      <c r="CI1917" s="23"/>
    </row>
    <row r="1918" spans="1:87" x14ac:dyDescent="0.3">
      <c r="A1918" s="9" t="s">
        <v>14621</v>
      </c>
      <c r="B1918" s="10" t="s">
        <v>14622</v>
      </c>
      <c r="C1918" s="11">
        <v>45925.072916666664</v>
      </c>
      <c r="D1918" s="12">
        <v>8.3333333333333329E-2</v>
      </c>
      <c r="E1918" s="11">
        <v>45925.15625</v>
      </c>
      <c r="F1918" s="10" t="s">
        <v>7877</v>
      </c>
      <c r="G1918" s="13" t="b">
        <v>0</v>
      </c>
      <c r="H1918" s="10" t="s">
        <v>3215</v>
      </c>
      <c r="I1918" s="10" t="s">
        <v>89</v>
      </c>
      <c r="J1918" s="13" t="b">
        <v>0</v>
      </c>
      <c r="K1918" s="13" t="b">
        <v>1</v>
      </c>
      <c r="L1918" s="10" t="s">
        <v>124</v>
      </c>
      <c r="M1918" s="10" t="s">
        <v>91</v>
      </c>
      <c r="N1918" s="10" t="s">
        <v>92</v>
      </c>
      <c r="O1918" s="19" t="s">
        <v>14623</v>
      </c>
      <c r="P1918" s="10"/>
      <c r="Q1918" s="10" t="s">
        <v>126</v>
      </c>
      <c r="R1918" s="10"/>
      <c r="S1918" s="19" t="s">
        <v>14624</v>
      </c>
      <c r="T1918" s="19" t="s">
        <v>13615</v>
      </c>
      <c r="U1918" s="10" t="s">
        <v>293</v>
      </c>
      <c r="V1918" s="10" t="s">
        <v>14625</v>
      </c>
      <c r="W1918" s="10" t="s">
        <v>7883</v>
      </c>
      <c r="X1918" s="10" t="s">
        <v>130</v>
      </c>
      <c r="Y1918" s="10" t="s">
        <v>130</v>
      </c>
      <c r="Z1918" s="10" t="s">
        <v>99</v>
      </c>
      <c r="AA1918" s="10" t="s">
        <v>131</v>
      </c>
      <c r="AB1918" s="10" t="s">
        <v>7884</v>
      </c>
      <c r="AC1918" s="10" t="s">
        <v>7885</v>
      </c>
      <c r="AD1918" s="10" t="s">
        <v>14626</v>
      </c>
      <c r="AE1918" s="10" t="s">
        <v>14627</v>
      </c>
      <c r="AF1918" s="15"/>
      <c r="AG1918" s="10"/>
      <c r="AH1918" s="10"/>
      <c r="AI1918" s="10"/>
      <c r="AJ1918" s="10"/>
      <c r="AK1918" s="10" t="s">
        <v>102</v>
      </c>
      <c r="AL1918" s="10" t="s">
        <v>7897</v>
      </c>
      <c r="AM1918" s="10"/>
      <c r="AN1918" s="10"/>
      <c r="AO1918" s="13" t="b">
        <v>0</v>
      </c>
      <c r="AP1918" s="10" t="s">
        <v>104</v>
      </c>
      <c r="AQ1918" s="10">
        <f ca="1">IFERROR(__xludf.DUMMYFUNCTION("""COMPUTED_VALUE"""),4593641)</f>
        <v>4593641</v>
      </c>
      <c r="AR1918" s="17">
        <v>4853</v>
      </c>
      <c r="AS1918" s="17">
        <v>3433</v>
      </c>
      <c r="AT1918" s="17">
        <v>49216.75</v>
      </c>
      <c r="AU1918" s="17">
        <v>3.1</v>
      </c>
      <c r="AV1918" s="17">
        <v>0</v>
      </c>
      <c r="AW1918" s="10" t="s">
        <v>105</v>
      </c>
      <c r="AX1918" s="17">
        <v>601</v>
      </c>
      <c r="AY1918" s="18">
        <v>14.336367608505681</v>
      </c>
      <c r="AZ1918" s="10" t="s">
        <v>106</v>
      </c>
      <c r="BA1918" s="20" t="b">
        <v>0</v>
      </c>
      <c r="BB1918" s="10"/>
      <c r="BC1918" s="17">
        <v>4853</v>
      </c>
      <c r="BD1918" s="17">
        <v>3433</v>
      </c>
      <c r="BE1918" s="17">
        <v>49216.75</v>
      </c>
      <c r="BF1918" s="17">
        <v>0</v>
      </c>
      <c r="BG1918" s="11">
        <f ca="1">IFERROR(__xludf.DUMMYFUNCTION("""COMPUTED_VALUE"""),45925.0729166666)</f>
        <v>45925.072916666599</v>
      </c>
      <c r="BH1918" s="17" t="s">
        <v>105</v>
      </c>
      <c r="BI1918" s="17"/>
      <c r="BJ1918" s="15"/>
      <c r="BK1918" s="15"/>
      <c r="BL1918" s="13" t="b">
        <v>0</v>
      </c>
      <c r="BM1918" s="10"/>
      <c r="BN1918" s="10" t="s">
        <v>667</v>
      </c>
      <c r="BO1918" s="11">
        <v>45904.619444444441</v>
      </c>
      <c r="BP1918" s="11">
        <v>45920.500844907408</v>
      </c>
      <c r="BQ1918" s="15">
        <v>45923.798067129632</v>
      </c>
      <c r="BR1918" s="15">
        <v>45923.872777777775</v>
      </c>
      <c r="BS1918" s="10" t="s">
        <v>667</v>
      </c>
      <c r="BT1918" s="10" t="s">
        <v>99</v>
      </c>
      <c r="BU1918" s="10" t="s">
        <v>421</v>
      </c>
      <c r="BV1918" s="10"/>
      <c r="BW1918" s="10"/>
      <c r="BX1918" s="10"/>
      <c r="BY1918" s="23"/>
      <c r="BZ1918" s="23"/>
      <c r="CA1918" s="19" t="s">
        <v>14628</v>
      </c>
      <c r="CB1918" s="19" t="s">
        <v>14629</v>
      </c>
      <c r="CC1918" s="23"/>
      <c r="CD1918" s="19" t="s">
        <v>14630</v>
      </c>
      <c r="CE1918" s="23"/>
      <c r="CF1918" s="23"/>
      <c r="CG1918" s="23"/>
      <c r="CH1918" s="23"/>
      <c r="CI1918" s="23"/>
    </row>
    <row r="1919" spans="1:87" x14ac:dyDescent="0.3">
      <c r="A1919" s="25" t="s">
        <v>14631</v>
      </c>
      <c r="B1919" s="10" t="s">
        <v>14632</v>
      </c>
      <c r="C1919" s="11">
        <v>45925.072916666664</v>
      </c>
      <c r="D1919" s="12">
        <v>8.3333333333333329E-2</v>
      </c>
      <c r="E1919" s="11">
        <v>45925.15625</v>
      </c>
      <c r="F1919" s="10" t="s">
        <v>7877</v>
      </c>
      <c r="G1919" s="13" t="b">
        <v>0</v>
      </c>
      <c r="H1919" s="10" t="s">
        <v>7878</v>
      </c>
      <c r="I1919" s="10" t="s">
        <v>89</v>
      </c>
      <c r="J1919" s="13" t="b">
        <v>0</v>
      </c>
      <c r="K1919" s="13" t="b">
        <v>1</v>
      </c>
      <c r="L1919" s="10" t="s">
        <v>124</v>
      </c>
      <c r="M1919" s="10" t="s">
        <v>91</v>
      </c>
      <c r="N1919" s="10" t="s">
        <v>92</v>
      </c>
      <c r="O1919" s="19" t="s">
        <v>14633</v>
      </c>
      <c r="P1919" s="10"/>
      <c r="Q1919" s="10" t="s">
        <v>126</v>
      </c>
      <c r="R1919" s="10"/>
      <c r="S1919" s="19" t="s">
        <v>14634</v>
      </c>
      <c r="T1919" s="19" t="s">
        <v>13615</v>
      </c>
      <c r="U1919" s="10" t="s">
        <v>429</v>
      </c>
      <c r="V1919" s="10" t="s">
        <v>14635</v>
      </c>
      <c r="W1919" s="10" t="s">
        <v>7883</v>
      </c>
      <c r="X1919" s="10" t="s">
        <v>130</v>
      </c>
      <c r="Y1919" s="10" t="s">
        <v>130</v>
      </c>
      <c r="Z1919" s="10" t="s">
        <v>99</v>
      </c>
      <c r="AA1919" s="10" t="s">
        <v>131</v>
      </c>
      <c r="AB1919" s="10" t="s">
        <v>7884</v>
      </c>
      <c r="AC1919" s="10" t="s">
        <v>7885</v>
      </c>
      <c r="AD1919" s="10" t="s">
        <v>14636</v>
      </c>
      <c r="AE1919" s="10" t="s">
        <v>14637</v>
      </c>
      <c r="AF1919" s="15"/>
      <c r="AG1919" s="10"/>
      <c r="AH1919" s="10"/>
      <c r="AI1919" s="10"/>
      <c r="AJ1919" s="10"/>
      <c r="AK1919" s="10" t="s">
        <v>102</v>
      </c>
      <c r="AL1919" s="10" t="s">
        <v>7897</v>
      </c>
      <c r="AM1919" s="10"/>
      <c r="AN1919" s="10"/>
      <c r="AO1919" s="13" t="b">
        <v>1</v>
      </c>
      <c r="AP1919" s="10" t="s">
        <v>104</v>
      </c>
      <c r="AQ1919" s="10">
        <f ca="1">IFERROR(__xludf.DUMMYFUNCTION("""COMPUTED_VALUE"""),4594564)</f>
        <v>4594564</v>
      </c>
      <c r="AR1919" s="17">
        <v>8324</v>
      </c>
      <c r="AS1919" s="17">
        <v>5884</v>
      </c>
      <c r="AT1919" s="17">
        <v>91613.5</v>
      </c>
      <c r="AU1919" s="17">
        <v>17.899999999999999</v>
      </c>
      <c r="AV1919" s="17">
        <v>3.1</v>
      </c>
      <c r="AW1919" s="10" t="s">
        <v>105</v>
      </c>
      <c r="AX1919" s="17">
        <v>1208</v>
      </c>
      <c r="AY1919" s="18">
        <v>15.569935418082936</v>
      </c>
      <c r="AZ1919" s="10" t="s">
        <v>106</v>
      </c>
      <c r="BA1919" s="20" t="b">
        <v>0</v>
      </c>
      <c r="BB1919" s="10"/>
      <c r="BC1919" s="17">
        <v>8324</v>
      </c>
      <c r="BD1919" s="17">
        <v>5884</v>
      </c>
      <c r="BE1919" s="17">
        <v>91613.5</v>
      </c>
      <c r="BF1919" s="17">
        <v>3.1</v>
      </c>
      <c r="BG1919" s="11">
        <f ca="1">IFERROR(__xludf.DUMMYFUNCTION("""COMPUTED_VALUE"""),45925.0729166666)</f>
        <v>45925.072916666599</v>
      </c>
      <c r="BH1919" s="17" t="s">
        <v>105</v>
      </c>
      <c r="BI1919" s="17"/>
      <c r="BJ1919" s="15"/>
      <c r="BK1919" s="15"/>
      <c r="BL1919" s="13" t="b">
        <v>0</v>
      </c>
      <c r="BM1919" s="10"/>
      <c r="BN1919" s="10" t="s">
        <v>667</v>
      </c>
      <c r="BO1919" s="11">
        <v>45904.632638888892</v>
      </c>
      <c r="BP1919" s="11">
        <v>45920.501469907409</v>
      </c>
      <c r="BQ1919" s="15">
        <v>45923.874236111114</v>
      </c>
      <c r="BR1919" s="15">
        <v>45924.280092592591</v>
      </c>
      <c r="BS1919" s="10" t="s">
        <v>667</v>
      </c>
      <c r="BT1919" s="10" t="s">
        <v>279</v>
      </c>
      <c r="BU1919" s="10" t="s">
        <v>718</v>
      </c>
      <c r="BV1919" s="10"/>
      <c r="BW1919" s="10"/>
      <c r="BX1919" s="10"/>
      <c r="BY1919" s="23"/>
      <c r="BZ1919" s="23"/>
      <c r="CA1919" s="19" t="s">
        <v>14638</v>
      </c>
      <c r="CB1919" s="19" t="s">
        <v>14639</v>
      </c>
      <c r="CC1919" s="23"/>
      <c r="CD1919" s="19" t="s">
        <v>14640</v>
      </c>
      <c r="CE1919" s="23"/>
      <c r="CF1919" s="23"/>
      <c r="CG1919" s="23"/>
      <c r="CH1919" s="23"/>
      <c r="CI1919" s="23"/>
    </row>
    <row r="1920" spans="1:87" x14ac:dyDescent="0.3">
      <c r="A1920" s="9" t="s">
        <v>14641</v>
      </c>
      <c r="B1920" s="10" t="s">
        <v>14642</v>
      </c>
      <c r="C1920" s="11">
        <v>45925.083333333336</v>
      </c>
      <c r="D1920" s="12">
        <v>8.3333333333333329E-2</v>
      </c>
      <c r="E1920" s="11">
        <v>45925.166666666664</v>
      </c>
      <c r="F1920" s="10" t="s">
        <v>7877</v>
      </c>
      <c r="G1920" s="13" t="b">
        <v>0</v>
      </c>
      <c r="H1920" s="10" t="s">
        <v>88</v>
      </c>
      <c r="I1920" s="10" t="s">
        <v>89</v>
      </c>
      <c r="J1920" s="13" t="b">
        <v>0</v>
      </c>
      <c r="K1920" s="13" t="b">
        <v>1</v>
      </c>
      <c r="L1920" s="10" t="s">
        <v>124</v>
      </c>
      <c r="M1920" s="10" t="s">
        <v>91</v>
      </c>
      <c r="N1920" s="10" t="s">
        <v>92</v>
      </c>
      <c r="O1920" s="19" t="s">
        <v>14643</v>
      </c>
      <c r="P1920" s="10"/>
      <c r="Q1920" s="10" t="s">
        <v>126</v>
      </c>
      <c r="R1920" s="10"/>
      <c r="S1920" s="19" t="s">
        <v>14644</v>
      </c>
      <c r="T1920" s="19" t="s">
        <v>13615</v>
      </c>
      <c r="U1920" s="10" t="s">
        <v>14645</v>
      </c>
      <c r="V1920" s="10" t="s">
        <v>362</v>
      </c>
      <c r="W1920" s="10" t="s">
        <v>7883</v>
      </c>
      <c r="X1920" s="10" t="s">
        <v>130</v>
      </c>
      <c r="Y1920" s="10" t="s">
        <v>130</v>
      </c>
      <c r="Z1920" s="10" t="s">
        <v>99</v>
      </c>
      <c r="AA1920" s="10" t="s">
        <v>131</v>
      </c>
      <c r="AB1920" s="10" t="s">
        <v>7884</v>
      </c>
      <c r="AC1920" s="10" t="s">
        <v>7885</v>
      </c>
      <c r="AD1920" s="10" t="s">
        <v>14646</v>
      </c>
      <c r="AE1920" s="10" t="s">
        <v>14647</v>
      </c>
      <c r="AF1920" s="15"/>
      <c r="AG1920" s="10"/>
      <c r="AH1920" s="10"/>
      <c r="AI1920" s="10"/>
      <c r="AJ1920" s="10"/>
      <c r="AK1920" s="10" t="s">
        <v>102</v>
      </c>
      <c r="AL1920" s="10" t="s">
        <v>7897</v>
      </c>
      <c r="AM1920" s="10"/>
      <c r="AN1920" s="10"/>
      <c r="AO1920" s="13" t="b">
        <v>1</v>
      </c>
      <c r="AP1920" s="10" t="s">
        <v>104</v>
      </c>
      <c r="AQ1920" s="10">
        <f ca="1">IFERROR(__xludf.DUMMYFUNCTION("""COMPUTED_VALUE"""),4593839)</f>
        <v>4593839</v>
      </c>
      <c r="AR1920" s="17">
        <v>22366</v>
      </c>
      <c r="AS1920" s="17">
        <v>15119</v>
      </c>
      <c r="AT1920" s="17">
        <v>647912.75</v>
      </c>
      <c r="AU1920" s="17">
        <v>111.8</v>
      </c>
      <c r="AV1920" s="17">
        <v>10.35</v>
      </c>
      <c r="AW1920" s="10" t="s">
        <v>105</v>
      </c>
      <c r="AX1920" s="17">
        <v>6636</v>
      </c>
      <c r="AY1920" s="18">
        <v>42.85420662742245</v>
      </c>
      <c r="AZ1920" s="10" t="s">
        <v>106</v>
      </c>
      <c r="BA1920" s="20" t="b">
        <v>0</v>
      </c>
      <c r="BB1920" s="10"/>
      <c r="BC1920" s="17">
        <v>22366</v>
      </c>
      <c r="BD1920" s="17">
        <v>15119</v>
      </c>
      <c r="BE1920" s="17">
        <v>647912.75</v>
      </c>
      <c r="BF1920" s="17">
        <v>10.35</v>
      </c>
      <c r="BG1920" s="11">
        <f ca="1">IFERROR(__xludf.DUMMYFUNCTION("""COMPUTED_VALUE"""),45925.0833333333)</f>
        <v>45925.083333333299</v>
      </c>
      <c r="BH1920" s="17" t="s">
        <v>105</v>
      </c>
      <c r="BI1920" s="17"/>
      <c r="BJ1920" s="15"/>
      <c r="BK1920" s="15"/>
      <c r="BL1920" s="13" t="b">
        <v>0</v>
      </c>
      <c r="BM1920" s="10"/>
      <c r="BN1920" s="10" t="s">
        <v>667</v>
      </c>
      <c r="BO1920" s="11">
        <v>45904.633333333331</v>
      </c>
      <c r="BP1920" s="11">
        <v>45920.494085648148</v>
      </c>
      <c r="BQ1920" s="15">
        <v>45923.874502314815</v>
      </c>
      <c r="BR1920" s="15">
        <v>45923.938414351855</v>
      </c>
      <c r="BS1920" s="10" t="s">
        <v>667</v>
      </c>
      <c r="BT1920" s="10" t="s">
        <v>279</v>
      </c>
      <c r="BU1920" s="10" t="s">
        <v>298</v>
      </c>
      <c r="BV1920" s="10"/>
      <c r="BW1920" s="10"/>
      <c r="BX1920" s="10"/>
      <c r="BY1920" s="23"/>
      <c r="BZ1920" s="23"/>
      <c r="CA1920" s="19" t="s">
        <v>14648</v>
      </c>
      <c r="CB1920" s="19" t="s">
        <v>14649</v>
      </c>
      <c r="CC1920" s="23"/>
      <c r="CD1920" s="19" t="s">
        <v>14650</v>
      </c>
      <c r="CE1920" s="23"/>
      <c r="CF1920" s="23"/>
      <c r="CG1920" s="23"/>
      <c r="CH1920" s="23"/>
      <c r="CI1920" s="23"/>
    </row>
    <row r="1921" spans="1:87" x14ac:dyDescent="0.3">
      <c r="A1921" s="9" t="s">
        <v>14651</v>
      </c>
      <c r="B1921" s="10" t="s">
        <v>14652</v>
      </c>
      <c r="C1921" s="11">
        <v>45927.041666666664</v>
      </c>
      <c r="D1921" s="12">
        <v>8.3333333333333329E-2</v>
      </c>
      <c r="E1921" s="11">
        <v>45927.125</v>
      </c>
      <c r="F1921" s="10" t="s">
        <v>3687</v>
      </c>
      <c r="G1921" s="13" t="b">
        <v>0</v>
      </c>
      <c r="H1921" s="10" t="s">
        <v>88</v>
      </c>
      <c r="I1921" s="10" t="s">
        <v>89</v>
      </c>
      <c r="J1921" s="13" t="b">
        <v>0</v>
      </c>
      <c r="K1921" s="13" t="b">
        <v>1</v>
      </c>
      <c r="L1921" s="10" t="s">
        <v>124</v>
      </c>
      <c r="M1921" s="10" t="s">
        <v>91</v>
      </c>
      <c r="N1921" s="10" t="s">
        <v>92</v>
      </c>
      <c r="O1921" s="19" t="s">
        <v>14653</v>
      </c>
      <c r="P1921" s="10"/>
      <c r="Q1921" s="10" t="s">
        <v>126</v>
      </c>
      <c r="R1921" s="10"/>
      <c r="S1921" s="19" t="s">
        <v>14654</v>
      </c>
      <c r="T1921" s="19" t="s">
        <v>8467</v>
      </c>
      <c r="U1921" s="10" t="s">
        <v>7741</v>
      </c>
      <c r="V1921" s="10" t="s">
        <v>4992</v>
      </c>
      <c r="W1921" s="10" t="s">
        <v>3692</v>
      </c>
      <c r="X1921" s="10" t="s">
        <v>130</v>
      </c>
      <c r="Y1921" s="10" t="s">
        <v>130</v>
      </c>
      <c r="Z1921" s="10" t="s">
        <v>99</v>
      </c>
      <c r="AA1921" s="10" t="s">
        <v>131</v>
      </c>
      <c r="AB1921" s="10" t="s">
        <v>3693</v>
      </c>
      <c r="AC1921" s="10" t="s">
        <v>3694</v>
      </c>
      <c r="AD1921" s="10" t="s">
        <v>14655</v>
      </c>
      <c r="AE1921" s="10" t="s">
        <v>14656</v>
      </c>
      <c r="AF1921" s="15"/>
      <c r="AG1921" s="10"/>
      <c r="AH1921" s="10"/>
      <c r="AI1921" s="10"/>
      <c r="AJ1921" s="10"/>
      <c r="AK1921" s="10" t="s">
        <v>102</v>
      </c>
      <c r="AL1921" s="10" t="s">
        <v>184</v>
      </c>
      <c r="AM1921" s="10"/>
      <c r="AN1921" s="10"/>
      <c r="AO1921" s="13" t="b">
        <v>0</v>
      </c>
      <c r="AP1921" s="10" t="s">
        <v>104</v>
      </c>
      <c r="AQ1921" s="10">
        <f ca="1">IFERROR(__xludf.DUMMYFUNCTION("""COMPUTED_VALUE"""),4599290)</f>
        <v>4599290</v>
      </c>
      <c r="AR1921" s="17">
        <v>10694</v>
      </c>
      <c r="AS1921" s="17">
        <v>8127</v>
      </c>
      <c r="AT1921" s="17">
        <v>230033.25</v>
      </c>
      <c r="AU1921" s="17">
        <v>6.65</v>
      </c>
      <c r="AV1921" s="17">
        <v>1.75</v>
      </c>
      <c r="AW1921" s="10" t="s">
        <v>105</v>
      </c>
      <c r="AX1921" s="17">
        <v>2223</v>
      </c>
      <c r="AY1921" s="18">
        <v>28.30481727574751</v>
      </c>
      <c r="AZ1921" s="10" t="s">
        <v>3783</v>
      </c>
      <c r="BA1921" s="20" t="b">
        <v>0</v>
      </c>
      <c r="BB1921" s="10"/>
      <c r="BC1921" s="17">
        <v>10694</v>
      </c>
      <c r="BD1921" s="17">
        <v>8127</v>
      </c>
      <c r="BE1921" s="17">
        <v>230033.25</v>
      </c>
      <c r="BF1921" s="17">
        <v>1.75</v>
      </c>
      <c r="BG1921" s="11">
        <f ca="1">IFERROR(__xludf.DUMMYFUNCTION("""COMPUTED_VALUE"""),45927.0416666666)</f>
        <v>45927.041666666599</v>
      </c>
      <c r="BH1921" s="17" t="s">
        <v>105</v>
      </c>
      <c r="BI1921" s="17"/>
      <c r="BJ1921" s="15"/>
      <c r="BK1921" s="15"/>
      <c r="BL1921" s="13" t="b">
        <v>0</v>
      </c>
      <c r="BM1921" s="10"/>
      <c r="BN1921" s="10" t="s">
        <v>1149</v>
      </c>
      <c r="BO1921" s="11">
        <v>45905.416666666664</v>
      </c>
      <c r="BP1921" s="11">
        <v>45919.636874999997</v>
      </c>
      <c r="BQ1921" s="15">
        <v>45919.652268518519</v>
      </c>
      <c r="BR1921" s="15">
        <v>45926.297361111108</v>
      </c>
      <c r="BS1921" s="10" t="s">
        <v>1149</v>
      </c>
      <c r="BT1921" s="10" t="s">
        <v>279</v>
      </c>
      <c r="BU1921" s="10" t="s">
        <v>14657</v>
      </c>
      <c r="BV1921" s="10"/>
      <c r="BW1921" s="10"/>
      <c r="BX1921" s="10"/>
      <c r="BY1921" s="23"/>
      <c r="BZ1921" s="23"/>
      <c r="CA1921" s="19" t="s">
        <v>14658</v>
      </c>
      <c r="CB1921" s="19" t="s">
        <v>14659</v>
      </c>
      <c r="CC1921" s="23"/>
      <c r="CD1921" s="19" t="s">
        <v>14660</v>
      </c>
      <c r="CE1921" s="23"/>
      <c r="CF1921" s="23"/>
      <c r="CG1921" s="23"/>
      <c r="CH1921" s="23"/>
      <c r="CI1921" s="23"/>
    </row>
    <row r="1922" spans="1:87" x14ac:dyDescent="0.3">
      <c r="A1922" s="9" t="s">
        <v>14661</v>
      </c>
      <c r="B1922" s="10" t="s">
        <v>14662</v>
      </c>
      <c r="C1922" s="11">
        <v>45927.895833333336</v>
      </c>
      <c r="D1922" s="12">
        <v>8.3333333333333329E-2</v>
      </c>
      <c r="E1922" s="11">
        <v>45927.979166666664</v>
      </c>
      <c r="F1922" s="10" t="s">
        <v>3687</v>
      </c>
      <c r="G1922" s="13" t="b">
        <v>0</v>
      </c>
      <c r="H1922" s="10" t="s">
        <v>88</v>
      </c>
      <c r="I1922" s="10" t="s">
        <v>89</v>
      </c>
      <c r="J1922" s="13" t="b">
        <v>0</v>
      </c>
      <c r="K1922" s="13" t="b">
        <v>1</v>
      </c>
      <c r="L1922" s="10" t="s">
        <v>124</v>
      </c>
      <c r="M1922" s="10" t="s">
        <v>91</v>
      </c>
      <c r="N1922" s="10" t="s">
        <v>92</v>
      </c>
      <c r="O1922" s="19" t="s">
        <v>14663</v>
      </c>
      <c r="P1922" s="10"/>
      <c r="Q1922" s="10" t="s">
        <v>126</v>
      </c>
      <c r="R1922" s="10"/>
      <c r="S1922" s="19" t="s">
        <v>14664</v>
      </c>
      <c r="T1922" s="19" t="s">
        <v>8467</v>
      </c>
      <c r="U1922" s="10" t="s">
        <v>3715</v>
      </c>
      <c r="V1922" s="10" t="s">
        <v>3691</v>
      </c>
      <c r="W1922" s="10" t="s">
        <v>3692</v>
      </c>
      <c r="X1922" s="10" t="s">
        <v>130</v>
      </c>
      <c r="Y1922" s="10" t="s">
        <v>130</v>
      </c>
      <c r="Z1922" s="10" t="s">
        <v>99</v>
      </c>
      <c r="AA1922" s="10" t="s">
        <v>131</v>
      </c>
      <c r="AB1922" s="10" t="s">
        <v>3693</v>
      </c>
      <c r="AC1922" s="10" t="s">
        <v>3694</v>
      </c>
      <c r="AD1922" s="10" t="s">
        <v>14665</v>
      </c>
      <c r="AE1922" s="10" t="s">
        <v>14666</v>
      </c>
      <c r="AF1922" s="15"/>
      <c r="AG1922" s="10"/>
      <c r="AH1922" s="10"/>
      <c r="AI1922" s="10"/>
      <c r="AJ1922" s="10"/>
      <c r="AK1922" s="10" t="s">
        <v>102</v>
      </c>
      <c r="AL1922" s="10" t="s">
        <v>184</v>
      </c>
      <c r="AM1922" s="10"/>
      <c r="AN1922" s="10"/>
      <c r="AO1922" s="13" t="b">
        <v>0</v>
      </c>
      <c r="AP1922" s="10" t="s">
        <v>104</v>
      </c>
      <c r="AQ1922" s="10">
        <f ca="1">IFERROR(__xludf.DUMMYFUNCTION("""COMPUTED_VALUE"""),4599325)</f>
        <v>4599325</v>
      </c>
      <c r="AR1922" s="17">
        <v>13414</v>
      </c>
      <c r="AS1922" s="17">
        <v>11301</v>
      </c>
      <c r="AT1922" s="17">
        <v>82664</v>
      </c>
      <c r="AU1922" s="17">
        <v>21.75</v>
      </c>
      <c r="AV1922" s="17">
        <v>6.8</v>
      </c>
      <c r="AW1922" s="10" t="s">
        <v>105</v>
      </c>
      <c r="AX1922" s="17">
        <v>2724</v>
      </c>
      <c r="AY1922" s="18">
        <v>7.3147509069993806</v>
      </c>
      <c r="AZ1922" s="10" t="s">
        <v>3783</v>
      </c>
      <c r="BA1922" s="20" t="b">
        <v>0</v>
      </c>
      <c r="BB1922" s="10"/>
      <c r="BC1922" s="17">
        <v>13414</v>
      </c>
      <c r="BD1922" s="17">
        <v>11301</v>
      </c>
      <c r="BE1922" s="17">
        <v>82664</v>
      </c>
      <c r="BF1922" s="17">
        <v>6.8</v>
      </c>
      <c r="BG1922" s="11">
        <f ca="1">IFERROR(__xludf.DUMMYFUNCTION("""COMPUTED_VALUE"""),45927.8958333333)</f>
        <v>45927.895833333299</v>
      </c>
      <c r="BH1922" s="17" t="s">
        <v>105</v>
      </c>
      <c r="BI1922" s="17"/>
      <c r="BJ1922" s="15"/>
      <c r="BK1922" s="15"/>
      <c r="BL1922" s="13" t="b">
        <v>0</v>
      </c>
      <c r="BM1922" s="10"/>
      <c r="BN1922" s="10" t="s">
        <v>4030</v>
      </c>
      <c r="BO1922" s="11">
        <v>45905.417361111111</v>
      </c>
      <c r="BP1922" s="11">
        <v>45926.761273148149</v>
      </c>
      <c r="BQ1922" s="15">
        <v>45919.652430555558</v>
      </c>
      <c r="BR1922" s="15">
        <v>45926.80023148148</v>
      </c>
      <c r="BS1922" s="10" t="s">
        <v>4030</v>
      </c>
      <c r="BT1922" s="10" t="s">
        <v>99</v>
      </c>
      <c r="BU1922" s="10"/>
      <c r="BV1922" s="10"/>
      <c r="BW1922" s="10"/>
      <c r="BX1922" s="10"/>
      <c r="BY1922" s="23"/>
      <c r="BZ1922" s="23"/>
      <c r="CA1922" s="19" t="s">
        <v>14667</v>
      </c>
      <c r="CB1922" s="19" t="s">
        <v>14668</v>
      </c>
      <c r="CC1922" s="23"/>
      <c r="CD1922" s="19" t="s">
        <v>14669</v>
      </c>
      <c r="CE1922" s="23"/>
      <c r="CF1922" s="23"/>
      <c r="CG1922" s="23"/>
      <c r="CH1922" s="23"/>
      <c r="CI1922" s="23"/>
    </row>
    <row r="1923" spans="1:87" x14ac:dyDescent="0.3">
      <c r="A1923" s="9" t="s">
        <v>14670</v>
      </c>
      <c r="B1923" s="10" t="s">
        <v>14671</v>
      </c>
      <c r="C1923" s="11">
        <v>45928.041666666664</v>
      </c>
      <c r="D1923" s="12">
        <v>8.3333333333333329E-2</v>
      </c>
      <c r="E1923" s="11">
        <v>45928.125</v>
      </c>
      <c r="F1923" s="10" t="s">
        <v>3687</v>
      </c>
      <c r="G1923" s="13" t="b">
        <v>0</v>
      </c>
      <c r="H1923" s="10" t="s">
        <v>88</v>
      </c>
      <c r="I1923" s="10" t="s">
        <v>89</v>
      </c>
      <c r="J1923" s="13" t="b">
        <v>0</v>
      </c>
      <c r="K1923" s="13" t="b">
        <v>1</v>
      </c>
      <c r="L1923" s="10" t="s">
        <v>124</v>
      </c>
      <c r="M1923" s="10" t="s">
        <v>91</v>
      </c>
      <c r="N1923" s="10" t="s">
        <v>92</v>
      </c>
      <c r="O1923" s="19" t="s">
        <v>14672</v>
      </c>
      <c r="P1923" s="10"/>
      <c r="Q1923" s="10" t="s">
        <v>126</v>
      </c>
      <c r="R1923" s="10"/>
      <c r="S1923" s="19" t="s">
        <v>14673</v>
      </c>
      <c r="T1923" s="19" t="s">
        <v>8467</v>
      </c>
      <c r="U1923" s="10" t="s">
        <v>7708</v>
      </c>
      <c r="V1923" s="10" t="s">
        <v>3704</v>
      </c>
      <c r="W1923" s="10" t="s">
        <v>3692</v>
      </c>
      <c r="X1923" s="10" t="s">
        <v>130</v>
      </c>
      <c r="Y1923" s="10" t="s">
        <v>130</v>
      </c>
      <c r="Z1923" s="10" t="s">
        <v>99</v>
      </c>
      <c r="AA1923" s="10" t="s">
        <v>131</v>
      </c>
      <c r="AB1923" s="10" t="s">
        <v>3693</v>
      </c>
      <c r="AC1923" s="10" t="s">
        <v>3694</v>
      </c>
      <c r="AD1923" s="10" t="s">
        <v>14674</v>
      </c>
      <c r="AE1923" s="10" t="s">
        <v>14675</v>
      </c>
      <c r="AF1923" s="15"/>
      <c r="AG1923" s="10"/>
      <c r="AH1923" s="10"/>
      <c r="AI1923" s="10"/>
      <c r="AJ1923" s="10"/>
      <c r="AK1923" s="10" t="s">
        <v>102</v>
      </c>
      <c r="AL1923" s="10" t="s">
        <v>184</v>
      </c>
      <c r="AM1923" s="10"/>
      <c r="AN1923" s="10"/>
      <c r="AO1923" s="13" t="b">
        <v>0</v>
      </c>
      <c r="AP1923" s="10" t="s">
        <v>104</v>
      </c>
      <c r="AQ1923" s="10">
        <f ca="1">IFERROR(__xludf.DUMMYFUNCTION("""COMPUTED_VALUE"""),4599327)</f>
        <v>4599327</v>
      </c>
      <c r="AR1923" s="21">
        <v>4422</v>
      </c>
      <c r="AS1923" s="21">
        <v>3279</v>
      </c>
      <c r="AT1923" s="21">
        <v>86620.5</v>
      </c>
      <c r="AU1923" s="21">
        <v>4.5</v>
      </c>
      <c r="AV1923" s="21">
        <v>0</v>
      </c>
      <c r="AW1923" s="22" t="s">
        <v>105</v>
      </c>
      <c r="AX1923" s="21">
        <v>1508</v>
      </c>
      <c r="AY1923" s="18">
        <v>26.416742909423604</v>
      </c>
      <c r="AZ1923" s="10" t="s">
        <v>3783</v>
      </c>
      <c r="BA1923" s="20" t="b">
        <v>0</v>
      </c>
      <c r="BB1923" s="10"/>
      <c r="BC1923" s="17">
        <v>4422</v>
      </c>
      <c r="BD1923" s="17">
        <v>3279</v>
      </c>
      <c r="BE1923" s="17">
        <v>86620.5</v>
      </c>
      <c r="BF1923" s="17">
        <v>0</v>
      </c>
      <c r="BG1923" s="11">
        <f ca="1">IFERROR(__xludf.DUMMYFUNCTION("""COMPUTED_VALUE"""),45928.0416666666)</f>
        <v>45928.041666666599</v>
      </c>
      <c r="BH1923" s="17" t="s">
        <v>105</v>
      </c>
      <c r="BI1923" s="17"/>
      <c r="BJ1923" s="15"/>
      <c r="BK1923" s="15"/>
      <c r="BL1923" s="13" t="b">
        <v>0</v>
      </c>
      <c r="BM1923" s="10"/>
      <c r="BN1923" s="10" t="s">
        <v>634</v>
      </c>
      <c r="BO1923" s="11">
        <v>45905.418749999997</v>
      </c>
      <c r="BP1923" s="11">
        <v>45926.762650462966</v>
      </c>
      <c r="BQ1923" s="15">
        <v>45919.652604166666</v>
      </c>
      <c r="BR1923" s="15">
        <v>45925.398634259262</v>
      </c>
      <c r="BS1923" s="10" t="s">
        <v>634</v>
      </c>
      <c r="BT1923" s="10" t="s">
        <v>99</v>
      </c>
      <c r="BU1923" s="10" t="s">
        <v>8013</v>
      </c>
      <c r="BV1923" s="10"/>
      <c r="BW1923" s="10"/>
      <c r="BX1923" s="10"/>
      <c r="BY1923" s="23"/>
      <c r="BZ1923" s="23"/>
      <c r="CA1923" s="19" t="s">
        <v>14676</v>
      </c>
      <c r="CB1923" s="19" t="s">
        <v>14677</v>
      </c>
      <c r="CC1923" s="23"/>
      <c r="CD1923" s="19" t="s">
        <v>14678</v>
      </c>
      <c r="CE1923" s="23"/>
      <c r="CF1923" s="23"/>
      <c r="CG1923" s="23"/>
      <c r="CH1923" s="23"/>
      <c r="CI1923" s="23"/>
    </row>
    <row r="1924" spans="1:87" x14ac:dyDescent="0.3">
      <c r="A1924" s="9" t="s">
        <v>14679</v>
      </c>
      <c r="B1924" s="10" t="s">
        <v>14680</v>
      </c>
      <c r="C1924" s="11">
        <v>45928.71875</v>
      </c>
      <c r="D1924" s="12">
        <v>8.3333333333333329E-2</v>
      </c>
      <c r="E1924" s="11">
        <v>45928.802083333336</v>
      </c>
      <c r="F1924" s="10" t="s">
        <v>3687</v>
      </c>
      <c r="G1924" s="13" t="b">
        <v>0</v>
      </c>
      <c r="H1924" s="10" t="s">
        <v>88</v>
      </c>
      <c r="I1924" s="10" t="s">
        <v>89</v>
      </c>
      <c r="J1924" s="13" t="b">
        <v>0</v>
      </c>
      <c r="K1924" s="13" t="b">
        <v>1</v>
      </c>
      <c r="L1924" s="10" t="s">
        <v>124</v>
      </c>
      <c r="M1924" s="10" t="s">
        <v>91</v>
      </c>
      <c r="N1924" s="10" t="s">
        <v>92</v>
      </c>
      <c r="O1924" s="19" t="s">
        <v>14681</v>
      </c>
      <c r="P1924" s="10"/>
      <c r="Q1924" s="10" t="s">
        <v>126</v>
      </c>
      <c r="R1924" s="10"/>
      <c r="S1924" s="19" t="s">
        <v>14682</v>
      </c>
      <c r="T1924" s="19" t="s">
        <v>8467</v>
      </c>
      <c r="U1924" s="10" t="s">
        <v>7720</v>
      </c>
      <c r="V1924" s="10" t="s">
        <v>3727</v>
      </c>
      <c r="W1924" s="10" t="s">
        <v>3692</v>
      </c>
      <c r="X1924" s="10" t="s">
        <v>130</v>
      </c>
      <c r="Y1924" s="10" t="s">
        <v>130</v>
      </c>
      <c r="Z1924" s="10" t="s">
        <v>99</v>
      </c>
      <c r="AA1924" s="10" t="s">
        <v>131</v>
      </c>
      <c r="AB1924" s="10" t="s">
        <v>3693</v>
      </c>
      <c r="AC1924" s="10" t="s">
        <v>3694</v>
      </c>
      <c r="AD1924" s="10" t="s">
        <v>14683</v>
      </c>
      <c r="AE1924" s="10" t="s">
        <v>14684</v>
      </c>
      <c r="AF1924" s="15"/>
      <c r="AG1924" s="10"/>
      <c r="AH1924" s="10"/>
      <c r="AI1924" s="10"/>
      <c r="AJ1924" s="10"/>
      <c r="AK1924" s="10" t="s">
        <v>102</v>
      </c>
      <c r="AL1924" s="10" t="s">
        <v>184</v>
      </c>
      <c r="AM1924" s="10"/>
      <c r="AN1924" s="10"/>
      <c r="AO1924" s="13" t="b">
        <v>0</v>
      </c>
      <c r="AP1924" s="10" t="s">
        <v>104</v>
      </c>
      <c r="AQ1924" s="10">
        <f ca="1">IFERROR(__xludf.DUMMYFUNCTION("""COMPUTED_VALUE"""),4596522)</f>
        <v>4596522</v>
      </c>
      <c r="AR1924" s="17">
        <v>12379</v>
      </c>
      <c r="AS1924" s="17">
        <v>9923</v>
      </c>
      <c r="AT1924" s="17">
        <v>100541.5</v>
      </c>
      <c r="AU1924" s="17">
        <v>14.55</v>
      </c>
      <c r="AV1924" s="17">
        <v>2.15</v>
      </c>
      <c r="AW1924" s="10" t="s">
        <v>105</v>
      </c>
      <c r="AX1924" s="17">
        <v>2168</v>
      </c>
      <c r="AY1924" s="18">
        <v>10.132167691222413</v>
      </c>
      <c r="AZ1924" s="10" t="s">
        <v>3783</v>
      </c>
      <c r="BA1924" s="20" t="b">
        <v>0</v>
      </c>
      <c r="BB1924" s="10"/>
      <c r="BC1924" s="17">
        <v>12379</v>
      </c>
      <c r="BD1924" s="17">
        <v>9923</v>
      </c>
      <c r="BE1924" s="17">
        <v>100541.5</v>
      </c>
      <c r="BF1924" s="17">
        <v>2.15</v>
      </c>
      <c r="BG1924" s="11">
        <f ca="1">IFERROR(__xludf.DUMMYFUNCTION("""COMPUTED_VALUE"""),45928.71875)</f>
        <v>45928.71875</v>
      </c>
      <c r="BH1924" s="17" t="s">
        <v>105</v>
      </c>
      <c r="BI1924" s="17"/>
      <c r="BJ1924" s="15"/>
      <c r="BK1924" s="15"/>
      <c r="BL1924" s="13" t="b">
        <v>0</v>
      </c>
      <c r="BM1924" s="10"/>
      <c r="BN1924" s="10" t="s">
        <v>667</v>
      </c>
      <c r="BO1924" s="11">
        <v>45905.420138888891</v>
      </c>
      <c r="BP1924" s="11">
        <v>45919.637175925927</v>
      </c>
      <c r="BQ1924" s="15">
        <v>45919.652719907404</v>
      </c>
      <c r="BR1924" s="15">
        <v>45925.435162037036</v>
      </c>
      <c r="BS1924" s="10" t="s">
        <v>667</v>
      </c>
      <c r="BT1924" s="10" t="s">
        <v>99</v>
      </c>
      <c r="BU1924" s="10" t="s">
        <v>298</v>
      </c>
      <c r="BV1924" s="10"/>
      <c r="BW1924" s="10"/>
      <c r="BX1924" s="10"/>
      <c r="BY1924" s="23"/>
      <c r="BZ1924" s="23"/>
      <c r="CA1924" s="19" t="s">
        <v>14685</v>
      </c>
      <c r="CB1924" s="19" t="s">
        <v>14686</v>
      </c>
      <c r="CC1924" s="23"/>
      <c r="CD1924" s="19" t="s">
        <v>14687</v>
      </c>
      <c r="CE1924" s="23"/>
      <c r="CF1924" s="23"/>
      <c r="CG1924" s="23"/>
      <c r="CH1924" s="23"/>
      <c r="CI1924" s="23"/>
    </row>
    <row r="1925" spans="1:87" x14ac:dyDescent="0.3">
      <c r="A1925" s="9" t="s">
        <v>14688</v>
      </c>
      <c r="B1925" s="10" t="s">
        <v>14689</v>
      </c>
      <c r="C1925" s="11">
        <v>45928.8125</v>
      </c>
      <c r="D1925" s="12">
        <v>8.3333333333333329E-2</v>
      </c>
      <c r="E1925" s="11">
        <v>45928.895833333336</v>
      </c>
      <c r="F1925" s="10" t="s">
        <v>3687</v>
      </c>
      <c r="G1925" s="13" t="b">
        <v>0</v>
      </c>
      <c r="H1925" s="10" t="s">
        <v>8464</v>
      </c>
      <c r="I1925" s="10" t="s">
        <v>89</v>
      </c>
      <c r="J1925" s="13" t="b">
        <v>0</v>
      </c>
      <c r="K1925" s="13" t="b">
        <v>1</v>
      </c>
      <c r="L1925" s="10" t="s">
        <v>124</v>
      </c>
      <c r="M1925" s="10" t="s">
        <v>91</v>
      </c>
      <c r="N1925" s="10" t="s">
        <v>92</v>
      </c>
      <c r="O1925" s="19" t="s">
        <v>14690</v>
      </c>
      <c r="P1925" s="10"/>
      <c r="Q1925" s="10" t="s">
        <v>126</v>
      </c>
      <c r="R1925" s="10"/>
      <c r="S1925" s="19" t="s">
        <v>14691</v>
      </c>
      <c r="T1925" s="19" t="s">
        <v>8467</v>
      </c>
      <c r="U1925" s="10" t="s">
        <v>3728</v>
      </c>
      <c r="V1925" s="10" t="s">
        <v>3690</v>
      </c>
      <c r="W1925" s="10" t="s">
        <v>3692</v>
      </c>
      <c r="X1925" s="10" t="s">
        <v>130</v>
      </c>
      <c r="Y1925" s="10" t="s">
        <v>130</v>
      </c>
      <c r="Z1925" s="10" t="s">
        <v>99</v>
      </c>
      <c r="AA1925" s="10" t="s">
        <v>131</v>
      </c>
      <c r="AB1925" s="10" t="s">
        <v>3693</v>
      </c>
      <c r="AC1925" s="10" t="s">
        <v>3694</v>
      </c>
      <c r="AD1925" s="10" t="s">
        <v>14692</v>
      </c>
      <c r="AE1925" s="10" t="s">
        <v>14693</v>
      </c>
      <c r="AF1925" s="15"/>
      <c r="AG1925" s="10"/>
      <c r="AH1925" s="10"/>
      <c r="AI1925" s="10"/>
      <c r="AJ1925" s="10"/>
      <c r="AK1925" s="10" t="s">
        <v>102</v>
      </c>
      <c r="AL1925" s="10" t="s">
        <v>184</v>
      </c>
      <c r="AM1925" s="10"/>
      <c r="AN1925" s="10"/>
      <c r="AO1925" s="13" t="b">
        <v>0</v>
      </c>
      <c r="AP1925" s="10" t="s">
        <v>104</v>
      </c>
      <c r="AQ1925" s="10">
        <f ca="1">IFERROR(__xludf.DUMMYFUNCTION("""COMPUTED_VALUE"""),4599322)</f>
        <v>4599322</v>
      </c>
      <c r="AR1925" s="17">
        <v>11808</v>
      </c>
      <c r="AS1925" s="17">
        <v>9324</v>
      </c>
      <c r="AT1925" s="17">
        <v>93897.5</v>
      </c>
      <c r="AU1925" s="17">
        <v>20.95</v>
      </c>
      <c r="AV1925" s="17">
        <v>5.25</v>
      </c>
      <c r="AW1925" s="10" t="s">
        <v>105</v>
      </c>
      <c r="AX1925" s="17">
        <v>2536</v>
      </c>
      <c r="AY1925" s="18">
        <v>10.070516945516946</v>
      </c>
      <c r="AZ1925" s="10" t="s">
        <v>3783</v>
      </c>
      <c r="BA1925" s="20" t="b">
        <v>0</v>
      </c>
      <c r="BB1925" s="10"/>
      <c r="BC1925" s="17">
        <v>11808</v>
      </c>
      <c r="BD1925" s="17">
        <v>9324</v>
      </c>
      <c r="BE1925" s="17">
        <v>93897.5</v>
      </c>
      <c r="BF1925" s="17">
        <v>5.25</v>
      </c>
      <c r="BG1925" s="11">
        <f ca="1">IFERROR(__xludf.DUMMYFUNCTION("""COMPUTED_VALUE"""),45928.8125)</f>
        <v>45928.8125</v>
      </c>
      <c r="BH1925" s="17" t="s">
        <v>105</v>
      </c>
      <c r="BI1925" s="17"/>
      <c r="BJ1925" s="15"/>
      <c r="BK1925" s="15"/>
      <c r="BL1925" s="13" t="b">
        <v>0</v>
      </c>
      <c r="BM1925" s="10"/>
      <c r="BN1925" s="10" t="s">
        <v>667</v>
      </c>
      <c r="BO1925" s="11">
        <v>45905.42083333333</v>
      </c>
      <c r="BP1925" s="11">
        <v>45926.657870370371</v>
      </c>
      <c r="BQ1925" s="15">
        <v>45919.652858796297</v>
      </c>
      <c r="BR1925" s="15">
        <v>45926.696770833332</v>
      </c>
      <c r="BS1925" s="10" t="s">
        <v>667</v>
      </c>
      <c r="BT1925" s="10" t="s">
        <v>99</v>
      </c>
      <c r="BU1925" s="10" t="s">
        <v>421</v>
      </c>
      <c r="BV1925" s="10"/>
      <c r="BW1925" s="10"/>
      <c r="BX1925" s="10"/>
      <c r="BY1925" s="23"/>
      <c r="BZ1925" s="23"/>
      <c r="CA1925" s="19" t="s">
        <v>14694</v>
      </c>
      <c r="CB1925" s="19" t="s">
        <v>14695</v>
      </c>
      <c r="CC1925" s="23"/>
      <c r="CD1925" s="19" t="s">
        <v>14696</v>
      </c>
      <c r="CE1925" s="23"/>
      <c r="CF1925" s="23"/>
      <c r="CG1925" s="23"/>
      <c r="CH1925" s="23"/>
      <c r="CI1925" s="23"/>
    </row>
    <row r="1926" spans="1:87" x14ac:dyDescent="0.3">
      <c r="A1926" s="9" t="s">
        <v>14697</v>
      </c>
      <c r="B1926" s="10" t="s">
        <v>14698</v>
      </c>
      <c r="C1926" s="11">
        <v>45914.597222222219</v>
      </c>
      <c r="D1926" s="12">
        <v>0.20833333333333334</v>
      </c>
      <c r="E1926" s="11">
        <v>45914.805555555555</v>
      </c>
      <c r="F1926" s="10" t="s">
        <v>87</v>
      </c>
      <c r="G1926" s="13" t="b">
        <v>0</v>
      </c>
      <c r="H1926" s="10" t="s">
        <v>88</v>
      </c>
      <c r="I1926" s="10" t="s">
        <v>89</v>
      </c>
      <c r="J1926" s="13" t="b">
        <v>0</v>
      </c>
      <c r="K1926" s="13" t="b">
        <v>1</v>
      </c>
      <c r="L1926" s="10" t="s">
        <v>124</v>
      </c>
      <c r="M1926" s="10" t="s">
        <v>91</v>
      </c>
      <c r="N1926" s="10" t="s">
        <v>265</v>
      </c>
      <c r="O1926" s="19" t="s">
        <v>14699</v>
      </c>
      <c r="P1926" s="10"/>
      <c r="Q1926" s="10" t="s">
        <v>126</v>
      </c>
      <c r="R1926" s="19" t="s">
        <v>14700</v>
      </c>
      <c r="S1926" s="19" t="s">
        <v>14701</v>
      </c>
      <c r="T1926" s="10"/>
      <c r="U1926" s="10"/>
      <c r="V1926" s="10"/>
      <c r="W1926" s="10" t="s">
        <v>97</v>
      </c>
      <c r="X1926" s="10" t="s">
        <v>98</v>
      </c>
      <c r="Y1926" s="10" t="s">
        <v>98</v>
      </c>
      <c r="Z1926" s="10" t="s">
        <v>99</v>
      </c>
      <c r="AA1926" s="10" t="s">
        <v>100</v>
      </c>
      <c r="AB1926" s="10" t="s">
        <v>87</v>
      </c>
      <c r="AC1926" s="10"/>
      <c r="AD1926" s="10" t="s">
        <v>165</v>
      </c>
      <c r="AE1926" s="10" t="s">
        <v>14702</v>
      </c>
      <c r="AF1926" s="15"/>
      <c r="AG1926" s="10"/>
      <c r="AH1926" s="10"/>
      <c r="AI1926" s="10"/>
      <c r="AJ1926" s="10"/>
      <c r="AK1926" s="10" t="s">
        <v>102</v>
      </c>
      <c r="AL1926" s="10"/>
      <c r="AM1926" s="10"/>
      <c r="AN1926" s="10"/>
      <c r="AO1926" s="13" t="b">
        <v>0</v>
      </c>
      <c r="AP1926" s="10" t="s">
        <v>104</v>
      </c>
      <c r="AQ1926" s="10">
        <f ca="1">IFERROR(__xludf.DUMMYFUNCTION("""COMPUTED_VALUE"""),4566540)</f>
        <v>4566540</v>
      </c>
      <c r="AR1926" s="17">
        <v>19193</v>
      </c>
      <c r="AS1926" s="17">
        <v>10612</v>
      </c>
      <c r="AT1926" s="17">
        <v>217666</v>
      </c>
      <c r="AU1926" s="17">
        <v>56.9</v>
      </c>
      <c r="AV1926" s="17">
        <v>26.5</v>
      </c>
      <c r="AW1926" s="10" t="s">
        <v>105</v>
      </c>
      <c r="AX1926" s="17">
        <v>2318</v>
      </c>
      <c r="AY1926" s="18">
        <v>20.511307953260459</v>
      </c>
      <c r="AZ1926" s="10" t="s">
        <v>3783</v>
      </c>
      <c r="BA1926" s="20" t="b">
        <v>0</v>
      </c>
      <c r="BB1926" s="10"/>
      <c r="BC1926" s="17">
        <v>19193</v>
      </c>
      <c r="BD1926" s="17">
        <v>10612</v>
      </c>
      <c r="BE1926" s="17">
        <v>217666</v>
      </c>
      <c r="BF1926" s="17">
        <v>26.5</v>
      </c>
      <c r="BG1926" s="11">
        <f ca="1">IFERROR(__xludf.DUMMYFUNCTION("""COMPUTED_VALUE"""),45914.5972222222)</f>
        <v>45914.597222222197</v>
      </c>
      <c r="BH1926" s="17" t="s">
        <v>105</v>
      </c>
      <c r="BI1926" s="17"/>
      <c r="BJ1926" s="15"/>
      <c r="BK1926" s="15"/>
      <c r="BL1926" s="13" t="b">
        <v>0</v>
      </c>
      <c r="BM1926" s="10"/>
      <c r="BN1926" s="10" t="s">
        <v>634</v>
      </c>
      <c r="BO1926" s="11">
        <v>45905.713888888888</v>
      </c>
      <c r="BP1926" s="11">
        <v>45914.571932870371</v>
      </c>
      <c r="BQ1926" s="15">
        <v>45912.364837962959</v>
      </c>
      <c r="BR1926" s="15">
        <v>45912.575497685182</v>
      </c>
      <c r="BS1926" s="10" t="s">
        <v>634</v>
      </c>
      <c r="BT1926" s="10" t="s">
        <v>99</v>
      </c>
      <c r="BU1926" s="10" t="s">
        <v>5675</v>
      </c>
      <c r="BV1926" s="10"/>
      <c r="BW1926" s="10"/>
      <c r="BX1926" s="10"/>
      <c r="BY1926" s="23"/>
      <c r="BZ1926" s="23"/>
      <c r="CA1926" s="19" t="s">
        <v>14703</v>
      </c>
      <c r="CB1926" s="23"/>
      <c r="CC1926" s="23"/>
      <c r="CD1926" s="19" t="s">
        <v>14704</v>
      </c>
      <c r="CE1926" s="23"/>
      <c r="CF1926" s="23"/>
      <c r="CG1926" s="23"/>
      <c r="CH1926" s="23"/>
      <c r="CI1926" s="23"/>
    </row>
    <row r="1927" spans="1:87" x14ac:dyDescent="0.3">
      <c r="A1927" s="9" t="s">
        <v>14705</v>
      </c>
      <c r="B1927" s="10" t="s">
        <v>14706</v>
      </c>
      <c r="C1927" s="11">
        <v>45919.770833333336</v>
      </c>
      <c r="D1927" s="12">
        <v>2.0833333333333332E-2</v>
      </c>
      <c r="E1927" s="11">
        <v>45919.791666666664</v>
      </c>
      <c r="F1927" s="10" t="s">
        <v>3511</v>
      </c>
      <c r="G1927" s="13" t="b">
        <v>0</v>
      </c>
      <c r="H1927" s="10" t="s">
        <v>3512</v>
      </c>
      <c r="I1927" s="10" t="s">
        <v>212</v>
      </c>
      <c r="J1927" s="13" t="b">
        <v>1</v>
      </c>
      <c r="K1927" s="13" t="b">
        <v>0</v>
      </c>
      <c r="L1927" s="10" t="s">
        <v>90</v>
      </c>
      <c r="M1927" s="10" t="s">
        <v>91</v>
      </c>
      <c r="N1927" s="10" t="s">
        <v>92</v>
      </c>
      <c r="O1927" s="19" t="s">
        <v>14707</v>
      </c>
      <c r="P1927" s="10"/>
      <c r="Q1927" s="10" t="s">
        <v>94</v>
      </c>
      <c r="R1927" s="10"/>
      <c r="S1927" s="19" t="s">
        <v>14708</v>
      </c>
      <c r="T1927" s="10"/>
      <c r="U1927" s="10" t="s">
        <v>3551</v>
      </c>
      <c r="V1927" s="10" t="s">
        <v>3610</v>
      </c>
      <c r="W1927" s="10" t="s">
        <v>3519</v>
      </c>
      <c r="X1927" s="10" t="s">
        <v>130</v>
      </c>
      <c r="Y1927" s="10" t="s">
        <v>130</v>
      </c>
      <c r="Z1927" s="10" t="s">
        <v>99</v>
      </c>
      <c r="AA1927" s="10" t="s">
        <v>131</v>
      </c>
      <c r="AB1927" s="10" t="s">
        <v>3520</v>
      </c>
      <c r="AC1927" s="10" t="s">
        <v>3521</v>
      </c>
      <c r="AD1927" s="10" t="s">
        <v>4121</v>
      </c>
      <c r="AE1927" s="10" t="s">
        <v>14709</v>
      </c>
      <c r="AF1927" s="15"/>
      <c r="AG1927" s="10"/>
      <c r="AH1927" s="10"/>
      <c r="AI1927" s="10"/>
      <c r="AJ1927" s="10"/>
      <c r="AK1927" s="10" t="s">
        <v>102</v>
      </c>
      <c r="AL1927" s="10"/>
      <c r="AM1927" s="10"/>
      <c r="AN1927" s="10"/>
      <c r="AO1927" s="13" t="b">
        <v>0</v>
      </c>
      <c r="AP1927" s="10" t="s">
        <v>104</v>
      </c>
      <c r="AQ1927" s="10">
        <f ca="1">IFERROR(__xludf.DUMMYFUNCTION("""COMPUTED_VALUE"""),4579945)</f>
        <v>4579945</v>
      </c>
      <c r="AR1927" s="17">
        <v>6911</v>
      </c>
      <c r="AS1927" s="17">
        <v>5541</v>
      </c>
      <c r="AT1927" s="17">
        <v>26651.75</v>
      </c>
      <c r="AU1927" s="17">
        <v>20.399999999999999</v>
      </c>
      <c r="AV1927" s="17">
        <v>1.7</v>
      </c>
      <c r="AW1927" s="10" t="s">
        <v>105</v>
      </c>
      <c r="AX1927" s="17">
        <v>2783</v>
      </c>
      <c r="AY1927" s="18">
        <v>4.8099169824941344</v>
      </c>
      <c r="AZ1927" s="10"/>
      <c r="BA1927" s="20" t="b">
        <v>0</v>
      </c>
      <c r="BB1927" s="10"/>
      <c r="BC1927" s="17">
        <v>6911</v>
      </c>
      <c r="BD1927" s="17">
        <v>5541</v>
      </c>
      <c r="BE1927" s="17">
        <v>26651.75</v>
      </c>
      <c r="BF1927" s="17">
        <v>1.7</v>
      </c>
      <c r="BG1927" s="11">
        <f ca="1">IFERROR(__xludf.DUMMYFUNCTION("""COMPUTED_VALUE"""),45919.7708333333)</f>
        <v>45919.770833333299</v>
      </c>
      <c r="BH1927" s="17" t="s">
        <v>105</v>
      </c>
      <c r="BI1927" s="17"/>
      <c r="BJ1927" s="15"/>
      <c r="BK1927" s="15"/>
      <c r="BL1927" s="13" t="b">
        <v>0</v>
      </c>
      <c r="BM1927" s="10"/>
      <c r="BN1927" s="10" t="s">
        <v>149</v>
      </c>
      <c r="BO1927" s="11">
        <v>45905.758333333331</v>
      </c>
      <c r="BP1927" s="11">
        <v>45905.760474537034</v>
      </c>
      <c r="BQ1927" s="15">
        <v>45918.642476851855</v>
      </c>
      <c r="BR1927" s="15">
        <v>45918.793020833335</v>
      </c>
      <c r="BS1927" s="10" t="s">
        <v>149</v>
      </c>
      <c r="BT1927" s="10"/>
      <c r="BU1927" s="10"/>
      <c r="BV1927" s="10"/>
      <c r="BW1927" s="10"/>
      <c r="BX1927" s="10"/>
      <c r="BY1927" s="23"/>
      <c r="BZ1927" s="23"/>
      <c r="CA1927" s="19" t="s">
        <v>14710</v>
      </c>
      <c r="CB1927" s="23"/>
      <c r="CC1927" s="23"/>
      <c r="CD1927" s="23"/>
      <c r="CE1927" s="23"/>
      <c r="CF1927" s="23"/>
      <c r="CG1927" s="23"/>
      <c r="CH1927" s="23"/>
      <c r="CI1927" s="23"/>
    </row>
    <row r="1928" spans="1:87" x14ac:dyDescent="0.3">
      <c r="A1928" s="9" t="s">
        <v>14711</v>
      </c>
      <c r="B1928" s="10" t="s">
        <v>14712</v>
      </c>
      <c r="C1928" s="11">
        <v>45921.770833333336</v>
      </c>
      <c r="D1928" s="12">
        <v>2.0833333333333332E-2</v>
      </c>
      <c r="E1928" s="11">
        <v>45921.791666666664</v>
      </c>
      <c r="F1928" s="10" t="s">
        <v>3511</v>
      </c>
      <c r="G1928" s="13" t="b">
        <v>0</v>
      </c>
      <c r="H1928" s="10" t="s">
        <v>3512</v>
      </c>
      <c r="I1928" s="10" t="s">
        <v>212</v>
      </c>
      <c r="J1928" s="13" t="b">
        <v>1</v>
      </c>
      <c r="K1928" s="13" t="b">
        <v>0</v>
      </c>
      <c r="L1928" s="10" t="s">
        <v>90</v>
      </c>
      <c r="M1928" s="10" t="s">
        <v>91</v>
      </c>
      <c r="N1928" s="10" t="s">
        <v>92</v>
      </c>
      <c r="O1928" s="19" t="s">
        <v>14713</v>
      </c>
      <c r="P1928" s="10"/>
      <c r="Q1928" s="10" t="s">
        <v>94</v>
      </c>
      <c r="R1928" s="10"/>
      <c r="S1928" s="19" t="s">
        <v>4170</v>
      </c>
      <c r="T1928" s="10"/>
      <c r="U1928" s="10" t="s">
        <v>3535</v>
      </c>
      <c r="V1928" s="10" t="s">
        <v>3647</v>
      </c>
      <c r="W1928" s="10" t="s">
        <v>3519</v>
      </c>
      <c r="X1928" s="10" t="s">
        <v>130</v>
      </c>
      <c r="Y1928" s="10" t="s">
        <v>130</v>
      </c>
      <c r="Z1928" s="10" t="s">
        <v>99</v>
      </c>
      <c r="AA1928" s="10" t="s">
        <v>131</v>
      </c>
      <c r="AB1928" s="10" t="s">
        <v>3520</v>
      </c>
      <c r="AC1928" s="10" t="s">
        <v>3521</v>
      </c>
      <c r="AD1928" s="10" t="s">
        <v>4171</v>
      </c>
      <c r="AE1928" s="10" t="s">
        <v>14714</v>
      </c>
      <c r="AF1928" s="15"/>
      <c r="AG1928" s="10"/>
      <c r="AH1928" s="10"/>
      <c r="AI1928" s="10"/>
      <c r="AJ1928" s="10"/>
      <c r="AK1928" s="10" t="s">
        <v>102</v>
      </c>
      <c r="AL1928" s="10"/>
      <c r="AM1928" s="10"/>
      <c r="AN1928" s="10"/>
      <c r="AO1928" s="13" t="b">
        <v>0</v>
      </c>
      <c r="AP1928" s="10" t="s">
        <v>104</v>
      </c>
      <c r="AQ1928" s="10">
        <f ca="1">IFERROR(__xludf.DUMMYFUNCTION("""COMPUTED_VALUE"""),4581460)</f>
        <v>4581460</v>
      </c>
      <c r="AR1928" s="17">
        <v>23384</v>
      </c>
      <c r="AS1928" s="17">
        <v>18084</v>
      </c>
      <c r="AT1928" s="17">
        <v>107418.25</v>
      </c>
      <c r="AU1928" s="17">
        <v>67.5</v>
      </c>
      <c r="AV1928" s="17">
        <v>12.65</v>
      </c>
      <c r="AW1928" s="10" t="s">
        <v>105</v>
      </c>
      <c r="AX1928" s="17">
        <v>10413</v>
      </c>
      <c r="AY1928" s="18">
        <v>5.939960738774607</v>
      </c>
      <c r="AZ1928" s="10"/>
      <c r="BA1928" s="20" t="b">
        <v>0</v>
      </c>
      <c r="BB1928" s="10"/>
      <c r="BC1928" s="17">
        <v>23384</v>
      </c>
      <c r="BD1928" s="17">
        <v>18084</v>
      </c>
      <c r="BE1928" s="17">
        <v>107418.25</v>
      </c>
      <c r="BF1928" s="17">
        <v>12.65</v>
      </c>
      <c r="BG1928" s="11">
        <f ca="1">IFERROR(__xludf.DUMMYFUNCTION("""COMPUTED_VALUE"""),45921.7708333333)</f>
        <v>45921.770833333299</v>
      </c>
      <c r="BH1928" s="17" t="s">
        <v>105</v>
      </c>
      <c r="BI1928" s="17"/>
      <c r="BJ1928" s="15"/>
      <c r="BK1928" s="15"/>
      <c r="BL1928" s="13" t="b">
        <v>0</v>
      </c>
      <c r="BM1928" s="10"/>
      <c r="BN1928" s="10" t="s">
        <v>118</v>
      </c>
      <c r="BO1928" s="11">
        <v>45905.760416666664</v>
      </c>
      <c r="BP1928" s="11">
        <v>45905.760717592595</v>
      </c>
      <c r="BQ1928" s="15">
        <v>45919.010057870371</v>
      </c>
      <c r="BR1928" s="15">
        <v>45919.409363425926</v>
      </c>
      <c r="BS1928" s="10" t="s">
        <v>118</v>
      </c>
      <c r="BT1928" s="10"/>
      <c r="BU1928" s="10"/>
      <c r="BV1928" s="10"/>
      <c r="BW1928" s="10"/>
      <c r="BX1928" s="10"/>
      <c r="BY1928" s="23"/>
      <c r="BZ1928" s="23"/>
      <c r="CA1928" s="19" t="s">
        <v>4174</v>
      </c>
      <c r="CB1928" s="23"/>
      <c r="CC1928" s="23"/>
      <c r="CD1928" s="23"/>
      <c r="CE1928" s="23"/>
      <c r="CF1928" s="23"/>
      <c r="CG1928" s="23"/>
      <c r="CH1928" s="23"/>
      <c r="CI1928" s="23"/>
    </row>
    <row r="1929" spans="1:87" x14ac:dyDescent="0.3">
      <c r="A1929" s="9" t="s">
        <v>14715</v>
      </c>
      <c r="B1929" s="10" t="s">
        <v>14716</v>
      </c>
      <c r="C1929" s="11">
        <v>45922.625</v>
      </c>
      <c r="D1929" s="12">
        <v>2.0833333333333332E-2</v>
      </c>
      <c r="E1929" s="11">
        <v>45922.645833333336</v>
      </c>
      <c r="F1929" s="10" t="s">
        <v>3511</v>
      </c>
      <c r="G1929" s="13" t="b">
        <v>0</v>
      </c>
      <c r="H1929" s="10" t="s">
        <v>3512</v>
      </c>
      <c r="I1929" s="10" t="s">
        <v>212</v>
      </c>
      <c r="J1929" s="13" t="b">
        <v>1</v>
      </c>
      <c r="K1929" s="13" t="b">
        <v>0</v>
      </c>
      <c r="L1929" s="10" t="s">
        <v>90</v>
      </c>
      <c r="M1929" s="10" t="s">
        <v>91</v>
      </c>
      <c r="N1929" s="10" t="s">
        <v>92</v>
      </c>
      <c r="O1929" s="19" t="s">
        <v>14717</v>
      </c>
      <c r="P1929" s="10"/>
      <c r="Q1929" s="10" t="s">
        <v>94</v>
      </c>
      <c r="R1929" s="10"/>
      <c r="S1929" s="19" t="s">
        <v>4180</v>
      </c>
      <c r="T1929" s="10"/>
      <c r="U1929" s="10" t="s">
        <v>3676</v>
      </c>
      <c r="V1929" s="10" t="s">
        <v>3609</v>
      </c>
      <c r="W1929" s="10" t="s">
        <v>3519</v>
      </c>
      <c r="X1929" s="10" t="s">
        <v>130</v>
      </c>
      <c r="Y1929" s="10" t="s">
        <v>130</v>
      </c>
      <c r="Z1929" s="10" t="s">
        <v>99</v>
      </c>
      <c r="AA1929" s="10" t="s">
        <v>131</v>
      </c>
      <c r="AB1929" s="10" t="s">
        <v>3520</v>
      </c>
      <c r="AC1929" s="10" t="s">
        <v>3521</v>
      </c>
      <c r="AD1929" s="10" t="s">
        <v>14718</v>
      </c>
      <c r="AE1929" s="10" t="s">
        <v>14719</v>
      </c>
      <c r="AF1929" s="15"/>
      <c r="AG1929" s="10"/>
      <c r="AH1929" s="10"/>
      <c r="AI1929" s="10"/>
      <c r="AJ1929" s="10"/>
      <c r="AK1929" s="10" t="s">
        <v>102</v>
      </c>
      <c r="AL1929" s="10"/>
      <c r="AM1929" s="10"/>
      <c r="AN1929" s="10"/>
      <c r="AO1929" s="13" t="b">
        <v>0</v>
      </c>
      <c r="AP1929" s="10" t="s">
        <v>104</v>
      </c>
      <c r="AQ1929" s="10">
        <f ca="1">IFERROR(__xludf.DUMMYFUNCTION("""COMPUTED_VALUE"""),4581462)</f>
        <v>4581462</v>
      </c>
      <c r="AR1929" s="17">
        <v>10786</v>
      </c>
      <c r="AS1929" s="17">
        <v>8263</v>
      </c>
      <c r="AT1929" s="17">
        <v>30645.5</v>
      </c>
      <c r="AU1929" s="17">
        <v>27.9</v>
      </c>
      <c r="AV1929" s="17">
        <v>8.4</v>
      </c>
      <c r="AW1929" s="10" t="s">
        <v>105</v>
      </c>
      <c r="AX1929" s="17">
        <v>4609</v>
      </c>
      <c r="AY1929" s="18">
        <v>3.7087619508653034</v>
      </c>
      <c r="AZ1929" s="10"/>
      <c r="BA1929" s="20" t="b">
        <v>0</v>
      </c>
      <c r="BB1929" s="10"/>
      <c r="BC1929" s="17">
        <v>10786</v>
      </c>
      <c r="BD1929" s="17">
        <v>8263</v>
      </c>
      <c r="BE1929" s="17">
        <v>30645.5</v>
      </c>
      <c r="BF1929" s="17">
        <v>8.4</v>
      </c>
      <c r="BG1929" s="11">
        <f ca="1">IFERROR(__xludf.DUMMYFUNCTION("""COMPUTED_VALUE"""),45922.625)</f>
        <v>45922.625</v>
      </c>
      <c r="BH1929" s="17" t="s">
        <v>105</v>
      </c>
      <c r="BI1929" s="17"/>
      <c r="BJ1929" s="15"/>
      <c r="BK1929" s="15"/>
      <c r="BL1929" s="13" t="b">
        <v>0</v>
      </c>
      <c r="BM1929" s="10"/>
      <c r="BN1929" s="10" t="s">
        <v>118</v>
      </c>
      <c r="BO1929" s="11">
        <v>45905.761805555558</v>
      </c>
      <c r="BP1929" s="11">
        <v>45905.76189814815</v>
      </c>
      <c r="BQ1929" s="15">
        <v>45919.010474537034</v>
      </c>
      <c r="BR1929" s="15">
        <v>45919.413923611108</v>
      </c>
      <c r="BS1929" s="10" t="s">
        <v>118</v>
      </c>
      <c r="BT1929" s="10"/>
      <c r="BU1929" s="10"/>
      <c r="BV1929" s="10"/>
      <c r="BW1929" s="10"/>
      <c r="BX1929" s="10"/>
      <c r="BY1929" s="23"/>
      <c r="BZ1929" s="23"/>
      <c r="CA1929" s="19" t="s">
        <v>4185</v>
      </c>
      <c r="CB1929" s="23"/>
      <c r="CC1929" s="23"/>
      <c r="CD1929" s="23"/>
      <c r="CE1929" s="23"/>
      <c r="CF1929" s="23"/>
      <c r="CG1929" s="23"/>
      <c r="CH1929" s="23"/>
      <c r="CI1929" s="23"/>
    </row>
    <row r="1930" spans="1:87" x14ac:dyDescent="0.3">
      <c r="A1930" s="9" t="s">
        <v>14720</v>
      </c>
      <c r="B1930" s="10" t="s">
        <v>14721</v>
      </c>
      <c r="C1930" s="11">
        <v>45907.291666666664</v>
      </c>
      <c r="D1930" s="12">
        <v>0.375</v>
      </c>
      <c r="E1930" s="11">
        <v>45907.666666666664</v>
      </c>
      <c r="F1930" s="10" t="s">
        <v>9016</v>
      </c>
      <c r="G1930" s="13" t="b">
        <v>0</v>
      </c>
      <c r="H1930" s="10" t="s">
        <v>9017</v>
      </c>
      <c r="I1930" s="10" t="s">
        <v>212</v>
      </c>
      <c r="J1930" s="13" t="b">
        <v>1</v>
      </c>
      <c r="K1930" s="13" t="b">
        <v>0</v>
      </c>
      <c r="L1930" s="10" t="s">
        <v>124</v>
      </c>
      <c r="M1930" s="10" t="s">
        <v>91</v>
      </c>
      <c r="N1930" s="10" t="s">
        <v>3513</v>
      </c>
      <c r="O1930" s="19" t="s">
        <v>14722</v>
      </c>
      <c r="P1930" s="10"/>
      <c r="Q1930" s="10" t="s">
        <v>94</v>
      </c>
      <c r="R1930" s="10"/>
      <c r="S1930" s="19" t="s">
        <v>9019</v>
      </c>
      <c r="T1930" s="10"/>
      <c r="U1930" s="10"/>
      <c r="V1930" s="10"/>
      <c r="W1930" s="10" t="s">
        <v>9020</v>
      </c>
      <c r="X1930" s="10" t="s">
        <v>130</v>
      </c>
      <c r="Y1930" s="10" t="s">
        <v>130</v>
      </c>
      <c r="Z1930" s="10" t="s">
        <v>99</v>
      </c>
      <c r="AA1930" s="10" t="s">
        <v>131</v>
      </c>
      <c r="AB1930" s="10" t="s">
        <v>9021</v>
      </c>
      <c r="AC1930" s="10" t="s">
        <v>9022</v>
      </c>
      <c r="AD1930" s="10" t="s">
        <v>165</v>
      </c>
      <c r="AE1930" s="10" t="s">
        <v>14723</v>
      </c>
      <c r="AF1930" s="15"/>
      <c r="AG1930" s="10"/>
      <c r="AH1930" s="10"/>
      <c r="AI1930" s="10"/>
      <c r="AJ1930" s="10"/>
      <c r="AK1930" s="10" t="s">
        <v>102</v>
      </c>
      <c r="AL1930" s="10" t="s">
        <v>116</v>
      </c>
      <c r="AM1930" s="10"/>
      <c r="AN1930" s="10"/>
      <c r="AO1930" s="13" t="b">
        <v>0</v>
      </c>
      <c r="AP1930" s="10" t="s">
        <v>104</v>
      </c>
      <c r="AQ1930" s="10">
        <f ca="1">IFERROR(__xludf.DUMMYFUNCTION("""COMPUTED_VALUE"""),19519)</f>
        <v>19519</v>
      </c>
      <c r="AR1930" s="21">
        <v>253</v>
      </c>
      <c r="AS1930" s="21">
        <v>191</v>
      </c>
      <c r="AT1930" s="21">
        <v>559</v>
      </c>
      <c r="AU1930" s="21">
        <v>0.5</v>
      </c>
      <c r="AV1930" s="21">
        <v>0.5</v>
      </c>
      <c r="AW1930" s="22" t="s">
        <v>105</v>
      </c>
      <c r="AX1930" s="17"/>
      <c r="AY1930" s="18">
        <v>2.9267015706806281</v>
      </c>
      <c r="AZ1930" s="10"/>
      <c r="BA1930" s="20" t="b">
        <v>1</v>
      </c>
      <c r="BB1930" s="10"/>
      <c r="BC1930" s="17">
        <v>253</v>
      </c>
      <c r="BD1930" s="17">
        <v>191</v>
      </c>
      <c r="BE1930" s="17">
        <v>559</v>
      </c>
      <c r="BF1930" s="17">
        <v>0.5</v>
      </c>
      <c r="BG1930" s="11">
        <f ca="1">IFERROR(__xludf.DUMMYFUNCTION("""COMPUTED_VALUE"""),45907.2916666666)</f>
        <v>45907.291666666599</v>
      </c>
      <c r="BH1930" s="17" t="s">
        <v>105</v>
      </c>
      <c r="BI1930" s="17"/>
      <c r="BJ1930" s="15"/>
      <c r="BK1930" s="15"/>
      <c r="BL1930" s="13" t="b">
        <v>0</v>
      </c>
      <c r="BM1930" s="10"/>
      <c r="BN1930" s="10" t="s">
        <v>920</v>
      </c>
      <c r="BO1930" s="11">
        <v>45905.824305555558</v>
      </c>
      <c r="BP1930" s="11">
        <v>45905.82440972222</v>
      </c>
      <c r="BQ1930" s="15">
        <v>45905.825798611113</v>
      </c>
      <c r="BR1930" s="15">
        <v>45906.425821759258</v>
      </c>
      <c r="BS1930" s="10" t="s">
        <v>920</v>
      </c>
      <c r="BT1930" s="10"/>
      <c r="BU1930" s="10"/>
      <c r="BV1930" s="10"/>
      <c r="BW1930" s="10"/>
      <c r="BX1930" s="10"/>
      <c r="BY1930" s="23"/>
      <c r="BZ1930" s="23"/>
      <c r="CA1930" s="19" t="s">
        <v>9024</v>
      </c>
      <c r="CB1930" s="23"/>
      <c r="CC1930" s="23"/>
      <c r="CD1930" s="23"/>
      <c r="CE1930" s="23"/>
      <c r="CF1930" s="23"/>
      <c r="CG1930" s="23"/>
      <c r="CH1930" s="23"/>
      <c r="CI1930" s="23"/>
    </row>
    <row r="1931" spans="1:87" x14ac:dyDescent="0.3">
      <c r="A1931" s="9" t="s">
        <v>14724</v>
      </c>
      <c r="B1931" s="10" t="s">
        <v>14725</v>
      </c>
      <c r="C1931" s="11">
        <v>45907.291666666664</v>
      </c>
      <c r="D1931" s="12">
        <v>2.0833333333333332E-2</v>
      </c>
      <c r="E1931" s="11">
        <v>45907.3125</v>
      </c>
      <c r="F1931" s="10" t="s">
        <v>9016</v>
      </c>
      <c r="G1931" s="13" t="b">
        <v>0</v>
      </c>
      <c r="H1931" s="10" t="s">
        <v>9017</v>
      </c>
      <c r="I1931" s="10" t="s">
        <v>212</v>
      </c>
      <c r="J1931" s="13" t="b">
        <v>1</v>
      </c>
      <c r="K1931" s="13" t="b">
        <v>0</v>
      </c>
      <c r="L1931" s="10" t="s">
        <v>124</v>
      </c>
      <c r="M1931" s="10" t="s">
        <v>91</v>
      </c>
      <c r="N1931" s="10" t="s">
        <v>3513</v>
      </c>
      <c r="O1931" s="19" t="s">
        <v>14726</v>
      </c>
      <c r="P1931" s="10"/>
      <c r="Q1931" s="10" t="s">
        <v>94</v>
      </c>
      <c r="R1931" s="10"/>
      <c r="S1931" s="19" t="s">
        <v>9019</v>
      </c>
      <c r="T1931" s="10"/>
      <c r="U1931" s="10"/>
      <c r="V1931" s="10"/>
      <c r="W1931" s="10" t="s">
        <v>9020</v>
      </c>
      <c r="X1931" s="10" t="s">
        <v>130</v>
      </c>
      <c r="Y1931" s="10" t="s">
        <v>130</v>
      </c>
      <c r="Z1931" s="10" t="s">
        <v>99</v>
      </c>
      <c r="AA1931" s="10" t="s">
        <v>131</v>
      </c>
      <c r="AB1931" s="10" t="s">
        <v>9021</v>
      </c>
      <c r="AC1931" s="10" t="s">
        <v>9022</v>
      </c>
      <c r="AD1931" s="10" t="s">
        <v>165</v>
      </c>
      <c r="AE1931" s="10" t="s">
        <v>14727</v>
      </c>
      <c r="AF1931" s="15"/>
      <c r="AG1931" s="10"/>
      <c r="AH1931" s="10"/>
      <c r="AI1931" s="10"/>
      <c r="AJ1931" s="10"/>
      <c r="AK1931" s="10"/>
      <c r="AL1931" s="10"/>
      <c r="AM1931" s="10"/>
      <c r="AN1931" s="10"/>
      <c r="AO1931" s="13" t="b">
        <v>0</v>
      </c>
      <c r="AP1931" s="10" t="s">
        <v>104</v>
      </c>
      <c r="AQ1931" s="10">
        <f ca="1">IFERROR(__xludf.DUMMYFUNCTION("""COMPUTED_VALUE"""),4553298)</f>
        <v>4553298</v>
      </c>
      <c r="AR1931" s="17"/>
      <c r="AS1931" s="17"/>
      <c r="AT1931" s="17"/>
      <c r="AU1931" s="17"/>
      <c r="AV1931" s="17"/>
      <c r="AW1931" s="10"/>
      <c r="AX1931" s="17"/>
      <c r="AY1931" s="18" t="s">
        <v>257</v>
      </c>
      <c r="AZ1931" s="10"/>
      <c r="BA1931" s="20" t="b">
        <v>0</v>
      </c>
      <c r="BB1931" s="10" t="s">
        <v>14720</v>
      </c>
      <c r="BC1931" s="17" t="s">
        <v>257</v>
      </c>
      <c r="BD1931" s="17" t="s">
        <v>257</v>
      </c>
      <c r="BE1931" s="17" t="s">
        <v>257</v>
      </c>
      <c r="BF1931" s="17" t="s">
        <v>257</v>
      </c>
      <c r="BG1931" s="11">
        <f ca="1">IFERROR(__xludf.DUMMYFUNCTION("""COMPUTED_VALUE"""),45907.2916666666)</f>
        <v>45907.291666666599</v>
      </c>
      <c r="BH1931" s="17"/>
      <c r="BI1931" s="17"/>
      <c r="BJ1931" s="15"/>
      <c r="BK1931" s="15"/>
      <c r="BL1931" s="13" t="b">
        <v>0</v>
      </c>
      <c r="BM1931" s="10"/>
      <c r="BN1931" s="10" t="s">
        <v>920</v>
      </c>
      <c r="BO1931" s="11">
        <v>45905.825694444444</v>
      </c>
      <c r="BP1931" s="11">
        <v>45905.826423611114</v>
      </c>
      <c r="BQ1931" s="15"/>
      <c r="BR1931" s="15">
        <v>45906.426134259258</v>
      </c>
      <c r="BS1931" s="10" t="s">
        <v>920</v>
      </c>
      <c r="BT1931" s="10"/>
      <c r="BU1931" s="10"/>
      <c r="BV1931" s="10"/>
      <c r="BW1931" s="10"/>
      <c r="BX1931" s="10"/>
      <c r="BY1931" s="23"/>
      <c r="BZ1931" s="23"/>
      <c r="CA1931" s="19" t="s">
        <v>9024</v>
      </c>
      <c r="CB1931" s="23"/>
      <c r="CC1931" s="23"/>
      <c r="CD1931" s="23"/>
      <c r="CE1931" s="23"/>
      <c r="CF1931" s="23"/>
      <c r="CG1931" s="23"/>
      <c r="CH1931" s="23"/>
      <c r="CI1931" s="23"/>
    </row>
    <row r="1932" spans="1:87" x14ac:dyDescent="0.3">
      <c r="A1932" s="9" t="s">
        <v>14728</v>
      </c>
      <c r="B1932" s="10" t="s">
        <v>14729</v>
      </c>
      <c r="C1932" s="11">
        <v>45907.3125</v>
      </c>
      <c r="D1932" s="12">
        <v>2.0833333333333332E-2</v>
      </c>
      <c r="E1932" s="11">
        <v>45907.333333333336</v>
      </c>
      <c r="F1932" s="10" t="s">
        <v>9016</v>
      </c>
      <c r="G1932" s="13" t="b">
        <v>0</v>
      </c>
      <c r="H1932" s="10" t="s">
        <v>9017</v>
      </c>
      <c r="I1932" s="10" t="s">
        <v>212</v>
      </c>
      <c r="J1932" s="13" t="b">
        <v>1</v>
      </c>
      <c r="K1932" s="13" t="b">
        <v>0</v>
      </c>
      <c r="L1932" s="10" t="s">
        <v>124</v>
      </c>
      <c r="M1932" s="10" t="s">
        <v>91</v>
      </c>
      <c r="N1932" s="10" t="s">
        <v>3513</v>
      </c>
      <c r="O1932" s="19" t="s">
        <v>14730</v>
      </c>
      <c r="P1932" s="10"/>
      <c r="Q1932" s="10" t="s">
        <v>94</v>
      </c>
      <c r="R1932" s="10"/>
      <c r="S1932" s="19" t="s">
        <v>9019</v>
      </c>
      <c r="T1932" s="10"/>
      <c r="U1932" s="10"/>
      <c r="V1932" s="10"/>
      <c r="W1932" s="10" t="s">
        <v>9020</v>
      </c>
      <c r="X1932" s="10" t="s">
        <v>130</v>
      </c>
      <c r="Y1932" s="10" t="s">
        <v>130</v>
      </c>
      <c r="Z1932" s="10" t="s">
        <v>99</v>
      </c>
      <c r="AA1932" s="10" t="s">
        <v>131</v>
      </c>
      <c r="AB1932" s="10" t="s">
        <v>9021</v>
      </c>
      <c r="AC1932" s="10" t="s">
        <v>9022</v>
      </c>
      <c r="AD1932" s="10" t="s">
        <v>165</v>
      </c>
      <c r="AE1932" s="10" t="s">
        <v>14731</v>
      </c>
      <c r="AF1932" s="15"/>
      <c r="AG1932" s="10"/>
      <c r="AH1932" s="10"/>
      <c r="AI1932" s="10"/>
      <c r="AJ1932" s="10"/>
      <c r="AK1932" s="10"/>
      <c r="AL1932" s="10"/>
      <c r="AM1932" s="10"/>
      <c r="AN1932" s="10"/>
      <c r="AO1932" s="13" t="b">
        <v>0</v>
      </c>
      <c r="AP1932" s="10" t="s">
        <v>104</v>
      </c>
      <c r="AQ1932" s="10">
        <f ca="1">IFERROR(__xludf.DUMMYFUNCTION("""COMPUTED_VALUE"""),4553299)</f>
        <v>4553299</v>
      </c>
      <c r="AR1932" s="17"/>
      <c r="AS1932" s="17"/>
      <c r="AT1932" s="17"/>
      <c r="AU1932" s="17"/>
      <c r="AV1932" s="17"/>
      <c r="AW1932" s="10"/>
      <c r="AX1932" s="17"/>
      <c r="AY1932" s="18" t="s">
        <v>257</v>
      </c>
      <c r="AZ1932" s="10"/>
      <c r="BA1932" s="20" t="b">
        <v>0</v>
      </c>
      <c r="BB1932" s="10" t="s">
        <v>14720</v>
      </c>
      <c r="BC1932" s="17" t="s">
        <v>257</v>
      </c>
      <c r="BD1932" s="17" t="s">
        <v>257</v>
      </c>
      <c r="BE1932" s="17" t="s">
        <v>257</v>
      </c>
      <c r="BF1932" s="17" t="s">
        <v>257</v>
      </c>
      <c r="BG1932" s="11">
        <f ca="1">IFERROR(__xludf.DUMMYFUNCTION("""COMPUTED_VALUE"""),45907.3125)</f>
        <v>45907.3125</v>
      </c>
      <c r="BH1932" s="17"/>
      <c r="BI1932" s="17"/>
      <c r="BJ1932" s="15"/>
      <c r="BK1932" s="15"/>
      <c r="BL1932" s="13" t="b">
        <v>0</v>
      </c>
      <c r="BM1932" s="10"/>
      <c r="BN1932" s="10" t="s">
        <v>920</v>
      </c>
      <c r="BO1932" s="11">
        <v>45905.826388888891</v>
      </c>
      <c r="BP1932" s="11">
        <v>45905.826620370368</v>
      </c>
      <c r="BQ1932" s="15"/>
      <c r="BR1932" s="15">
        <v>45906.426226851851</v>
      </c>
      <c r="BS1932" s="10" t="s">
        <v>920</v>
      </c>
      <c r="BT1932" s="10"/>
      <c r="BU1932" s="10"/>
      <c r="BV1932" s="10"/>
      <c r="BW1932" s="10"/>
      <c r="BX1932" s="10"/>
      <c r="BY1932" s="23"/>
      <c r="BZ1932" s="23"/>
      <c r="CA1932" s="19" t="s">
        <v>9024</v>
      </c>
      <c r="CB1932" s="23"/>
      <c r="CC1932" s="23"/>
      <c r="CD1932" s="23"/>
      <c r="CE1932" s="23"/>
      <c r="CF1932" s="23"/>
      <c r="CG1932" s="23"/>
      <c r="CH1932" s="23"/>
      <c r="CI1932" s="23"/>
    </row>
    <row r="1933" spans="1:87" x14ac:dyDescent="0.3">
      <c r="A1933" s="9" t="s">
        <v>14732</v>
      </c>
      <c r="B1933" s="10" t="s">
        <v>14733</v>
      </c>
      <c r="C1933" s="11">
        <v>45907.333333333336</v>
      </c>
      <c r="D1933" s="12">
        <v>2.0833333333333332E-2</v>
      </c>
      <c r="E1933" s="11">
        <v>45907.354166666664</v>
      </c>
      <c r="F1933" s="10" t="s">
        <v>9016</v>
      </c>
      <c r="G1933" s="13" t="b">
        <v>0</v>
      </c>
      <c r="H1933" s="10" t="s">
        <v>9017</v>
      </c>
      <c r="I1933" s="10" t="s">
        <v>212</v>
      </c>
      <c r="J1933" s="13" t="b">
        <v>1</v>
      </c>
      <c r="K1933" s="13" t="b">
        <v>0</v>
      </c>
      <c r="L1933" s="10" t="s">
        <v>124</v>
      </c>
      <c r="M1933" s="10" t="s">
        <v>91</v>
      </c>
      <c r="N1933" s="10" t="s">
        <v>3513</v>
      </c>
      <c r="O1933" s="19" t="s">
        <v>14734</v>
      </c>
      <c r="P1933" s="10"/>
      <c r="Q1933" s="10" t="s">
        <v>94</v>
      </c>
      <c r="R1933" s="10"/>
      <c r="S1933" s="19" t="s">
        <v>9019</v>
      </c>
      <c r="T1933" s="10"/>
      <c r="U1933" s="10"/>
      <c r="V1933" s="10"/>
      <c r="W1933" s="10" t="s">
        <v>9020</v>
      </c>
      <c r="X1933" s="10" t="s">
        <v>130</v>
      </c>
      <c r="Y1933" s="10" t="s">
        <v>130</v>
      </c>
      <c r="Z1933" s="10" t="s">
        <v>99</v>
      </c>
      <c r="AA1933" s="10" t="s">
        <v>131</v>
      </c>
      <c r="AB1933" s="10" t="s">
        <v>9021</v>
      </c>
      <c r="AC1933" s="10" t="s">
        <v>9022</v>
      </c>
      <c r="AD1933" s="10" t="s">
        <v>165</v>
      </c>
      <c r="AE1933" s="10" t="s">
        <v>14735</v>
      </c>
      <c r="AF1933" s="15"/>
      <c r="AG1933" s="10"/>
      <c r="AH1933" s="10"/>
      <c r="AI1933" s="10"/>
      <c r="AJ1933" s="10"/>
      <c r="AK1933" s="10"/>
      <c r="AL1933" s="10"/>
      <c r="AM1933" s="10"/>
      <c r="AN1933" s="10"/>
      <c r="AO1933" s="13" t="b">
        <v>0</v>
      </c>
      <c r="AP1933" s="10" t="s">
        <v>104</v>
      </c>
      <c r="AQ1933" s="10">
        <f ca="1">IFERROR(__xludf.DUMMYFUNCTION("""COMPUTED_VALUE"""),4553300)</f>
        <v>4553300</v>
      </c>
      <c r="AR1933" s="17"/>
      <c r="AS1933" s="17"/>
      <c r="AT1933" s="17"/>
      <c r="AU1933" s="17"/>
      <c r="AV1933" s="17"/>
      <c r="AW1933" s="10"/>
      <c r="AX1933" s="17"/>
      <c r="AY1933" s="18" t="s">
        <v>257</v>
      </c>
      <c r="AZ1933" s="10"/>
      <c r="BA1933" s="20" t="b">
        <v>0</v>
      </c>
      <c r="BB1933" s="10" t="s">
        <v>14720</v>
      </c>
      <c r="BC1933" s="17" t="s">
        <v>257</v>
      </c>
      <c r="BD1933" s="17" t="s">
        <v>257</v>
      </c>
      <c r="BE1933" s="17" t="s">
        <v>257</v>
      </c>
      <c r="BF1933" s="17" t="s">
        <v>257</v>
      </c>
      <c r="BG1933" s="11">
        <f ca="1">IFERROR(__xludf.DUMMYFUNCTION("""COMPUTED_VALUE"""),45907.3333333333)</f>
        <v>45907.333333333299</v>
      </c>
      <c r="BH1933" s="17"/>
      <c r="BI1933" s="17"/>
      <c r="BJ1933" s="15"/>
      <c r="BK1933" s="15"/>
      <c r="BL1933" s="13" t="b">
        <v>0</v>
      </c>
      <c r="BM1933" s="10"/>
      <c r="BN1933" s="10" t="s">
        <v>920</v>
      </c>
      <c r="BO1933" s="11">
        <v>45905.826388888891</v>
      </c>
      <c r="BP1933" s="11">
        <v>45905.826874999999</v>
      </c>
      <c r="BQ1933" s="15"/>
      <c r="BR1933" s="15">
        <v>45906.42633101852</v>
      </c>
      <c r="BS1933" s="10" t="s">
        <v>920</v>
      </c>
      <c r="BT1933" s="10"/>
      <c r="BU1933" s="10"/>
      <c r="BV1933" s="10"/>
      <c r="BW1933" s="10"/>
      <c r="BX1933" s="10"/>
      <c r="BY1933" s="23"/>
      <c r="BZ1933" s="23"/>
      <c r="CA1933" s="19" t="s">
        <v>9024</v>
      </c>
      <c r="CB1933" s="23"/>
      <c r="CC1933" s="23"/>
      <c r="CD1933" s="23"/>
      <c r="CE1933" s="23"/>
      <c r="CF1933" s="23"/>
      <c r="CG1933" s="23"/>
      <c r="CH1933" s="23"/>
      <c r="CI1933" s="23"/>
    </row>
    <row r="1934" spans="1:87" x14ac:dyDescent="0.3">
      <c r="A1934" s="9" t="s">
        <v>14736</v>
      </c>
      <c r="B1934" s="10" t="s">
        <v>14737</v>
      </c>
      <c r="C1934" s="11">
        <v>45907.354166666664</v>
      </c>
      <c r="D1934" s="12">
        <v>2.0833333333333332E-2</v>
      </c>
      <c r="E1934" s="11">
        <v>45907.375</v>
      </c>
      <c r="F1934" s="10" t="s">
        <v>9016</v>
      </c>
      <c r="G1934" s="13" t="b">
        <v>0</v>
      </c>
      <c r="H1934" s="10" t="s">
        <v>9017</v>
      </c>
      <c r="I1934" s="10" t="s">
        <v>212</v>
      </c>
      <c r="J1934" s="13" t="b">
        <v>1</v>
      </c>
      <c r="K1934" s="13" t="b">
        <v>0</v>
      </c>
      <c r="L1934" s="10" t="s">
        <v>124</v>
      </c>
      <c r="M1934" s="10" t="s">
        <v>91</v>
      </c>
      <c r="N1934" s="10" t="s">
        <v>3513</v>
      </c>
      <c r="O1934" s="19" t="s">
        <v>14738</v>
      </c>
      <c r="P1934" s="10"/>
      <c r="Q1934" s="10" t="s">
        <v>94</v>
      </c>
      <c r="R1934" s="10"/>
      <c r="S1934" s="19" t="s">
        <v>9019</v>
      </c>
      <c r="T1934" s="10"/>
      <c r="U1934" s="10"/>
      <c r="V1934" s="10"/>
      <c r="W1934" s="10" t="s">
        <v>9020</v>
      </c>
      <c r="X1934" s="10" t="s">
        <v>130</v>
      </c>
      <c r="Y1934" s="10" t="s">
        <v>130</v>
      </c>
      <c r="Z1934" s="10" t="s">
        <v>99</v>
      </c>
      <c r="AA1934" s="10" t="s">
        <v>131</v>
      </c>
      <c r="AB1934" s="10" t="s">
        <v>9021</v>
      </c>
      <c r="AC1934" s="10" t="s">
        <v>9022</v>
      </c>
      <c r="AD1934" s="10" t="s">
        <v>165</v>
      </c>
      <c r="AE1934" s="10" t="s">
        <v>14739</v>
      </c>
      <c r="AF1934" s="15"/>
      <c r="AG1934" s="10"/>
      <c r="AH1934" s="10"/>
      <c r="AI1934" s="10"/>
      <c r="AJ1934" s="10"/>
      <c r="AK1934" s="10"/>
      <c r="AL1934" s="10"/>
      <c r="AM1934" s="10"/>
      <c r="AN1934" s="10"/>
      <c r="AO1934" s="13" t="b">
        <v>0</v>
      </c>
      <c r="AP1934" s="10" t="s">
        <v>104</v>
      </c>
      <c r="AQ1934" s="10">
        <f ca="1">IFERROR(__xludf.DUMMYFUNCTION("""COMPUTED_VALUE"""),4553302)</f>
        <v>4553302</v>
      </c>
      <c r="AR1934" s="17"/>
      <c r="AS1934" s="17"/>
      <c r="AT1934" s="17"/>
      <c r="AU1934" s="17"/>
      <c r="AV1934" s="17"/>
      <c r="AW1934" s="10"/>
      <c r="AX1934" s="17"/>
      <c r="AY1934" s="18" t="s">
        <v>257</v>
      </c>
      <c r="AZ1934" s="10"/>
      <c r="BA1934" s="20" t="b">
        <v>0</v>
      </c>
      <c r="BB1934" s="10" t="s">
        <v>14720</v>
      </c>
      <c r="BC1934" s="17" t="s">
        <v>257</v>
      </c>
      <c r="BD1934" s="17" t="s">
        <v>257</v>
      </c>
      <c r="BE1934" s="17" t="s">
        <v>257</v>
      </c>
      <c r="BF1934" s="17" t="s">
        <v>257</v>
      </c>
      <c r="BG1934" s="11">
        <f ca="1">IFERROR(__xludf.DUMMYFUNCTION("""COMPUTED_VALUE"""),45907.3541666666)</f>
        <v>45907.354166666599</v>
      </c>
      <c r="BH1934" s="17"/>
      <c r="BI1934" s="17"/>
      <c r="BJ1934" s="15"/>
      <c r="BK1934" s="15"/>
      <c r="BL1934" s="13" t="b">
        <v>0</v>
      </c>
      <c r="BM1934" s="10"/>
      <c r="BN1934" s="10" t="s">
        <v>920</v>
      </c>
      <c r="BO1934" s="11">
        <v>45905.826388888891</v>
      </c>
      <c r="BP1934" s="11">
        <v>45905.827037037037</v>
      </c>
      <c r="BQ1934" s="15"/>
      <c r="BR1934" s="15">
        <v>45906.426446759258</v>
      </c>
      <c r="BS1934" s="10" t="s">
        <v>920</v>
      </c>
      <c r="BT1934" s="10"/>
      <c r="BU1934" s="10"/>
      <c r="BV1934" s="10"/>
      <c r="BW1934" s="10"/>
      <c r="BX1934" s="10"/>
      <c r="BY1934" s="23"/>
      <c r="BZ1934" s="23"/>
      <c r="CA1934" s="19" t="s">
        <v>9024</v>
      </c>
      <c r="CB1934" s="23"/>
      <c r="CC1934" s="23"/>
      <c r="CD1934" s="23"/>
      <c r="CE1934" s="23"/>
      <c r="CF1934" s="23"/>
      <c r="CG1934" s="23"/>
      <c r="CH1934" s="23"/>
      <c r="CI1934" s="23"/>
    </row>
    <row r="1935" spans="1:87" x14ac:dyDescent="0.3">
      <c r="A1935" s="9" t="s">
        <v>14740</v>
      </c>
      <c r="B1935" s="10" t="s">
        <v>14741</v>
      </c>
      <c r="C1935" s="11">
        <v>45907.375</v>
      </c>
      <c r="D1935" s="12">
        <v>2.0833333333333332E-2</v>
      </c>
      <c r="E1935" s="11">
        <v>45907.395833333336</v>
      </c>
      <c r="F1935" s="10" t="s">
        <v>9016</v>
      </c>
      <c r="G1935" s="13" t="b">
        <v>0</v>
      </c>
      <c r="H1935" s="10" t="s">
        <v>9017</v>
      </c>
      <c r="I1935" s="10" t="s">
        <v>212</v>
      </c>
      <c r="J1935" s="13" t="b">
        <v>1</v>
      </c>
      <c r="K1935" s="13" t="b">
        <v>0</v>
      </c>
      <c r="L1935" s="10" t="s">
        <v>124</v>
      </c>
      <c r="M1935" s="10" t="s">
        <v>91</v>
      </c>
      <c r="N1935" s="10" t="s">
        <v>3513</v>
      </c>
      <c r="O1935" s="19" t="s">
        <v>14742</v>
      </c>
      <c r="P1935" s="10"/>
      <c r="Q1935" s="10" t="s">
        <v>94</v>
      </c>
      <c r="R1935" s="10"/>
      <c r="S1935" s="19" t="s">
        <v>9019</v>
      </c>
      <c r="T1935" s="10"/>
      <c r="U1935" s="10"/>
      <c r="V1935" s="10"/>
      <c r="W1935" s="10" t="s">
        <v>9020</v>
      </c>
      <c r="X1935" s="10" t="s">
        <v>130</v>
      </c>
      <c r="Y1935" s="10" t="s">
        <v>130</v>
      </c>
      <c r="Z1935" s="10" t="s">
        <v>99</v>
      </c>
      <c r="AA1935" s="10" t="s">
        <v>131</v>
      </c>
      <c r="AB1935" s="10" t="s">
        <v>9021</v>
      </c>
      <c r="AC1935" s="10" t="s">
        <v>9022</v>
      </c>
      <c r="AD1935" s="10" t="s">
        <v>165</v>
      </c>
      <c r="AE1935" s="10" t="s">
        <v>14743</v>
      </c>
      <c r="AF1935" s="15"/>
      <c r="AG1935" s="10"/>
      <c r="AH1935" s="10"/>
      <c r="AI1935" s="10"/>
      <c r="AJ1935" s="10"/>
      <c r="AK1935" s="10"/>
      <c r="AL1935" s="10"/>
      <c r="AM1935" s="10"/>
      <c r="AN1935" s="10"/>
      <c r="AO1935" s="13" t="b">
        <v>0</v>
      </c>
      <c r="AP1935" s="10" t="s">
        <v>104</v>
      </c>
      <c r="AQ1935" s="10">
        <f ca="1">IFERROR(__xludf.DUMMYFUNCTION("""COMPUTED_VALUE"""),4553301)</f>
        <v>4553301</v>
      </c>
      <c r="AR1935" s="17"/>
      <c r="AS1935" s="17"/>
      <c r="AT1935" s="17"/>
      <c r="AU1935" s="17"/>
      <c r="AV1935" s="17"/>
      <c r="AW1935" s="10"/>
      <c r="AX1935" s="17"/>
      <c r="AY1935" s="18" t="s">
        <v>257</v>
      </c>
      <c r="AZ1935" s="10"/>
      <c r="BA1935" s="20" t="b">
        <v>0</v>
      </c>
      <c r="BB1935" s="10" t="s">
        <v>14720</v>
      </c>
      <c r="BC1935" s="17" t="s">
        <v>257</v>
      </c>
      <c r="BD1935" s="17" t="s">
        <v>257</v>
      </c>
      <c r="BE1935" s="17" t="s">
        <v>257</v>
      </c>
      <c r="BF1935" s="17" t="s">
        <v>257</v>
      </c>
      <c r="BG1935" s="11">
        <f ca="1">IFERROR(__xludf.DUMMYFUNCTION("""COMPUTED_VALUE"""),45907.375)</f>
        <v>45907.375</v>
      </c>
      <c r="BH1935" s="17"/>
      <c r="BI1935" s="17"/>
      <c r="BJ1935" s="15"/>
      <c r="BK1935" s="15"/>
      <c r="BL1935" s="13" t="b">
        <v>0</v>
      </c>
      <c r="BM1935" s="10"/>
      <c r="BN1935" s="10" t="s">
        <v>920</v>
      </c>
      <c r="BO1935" s="11">
        <v>45905.82708333333</v>
      </c>
      <c r="BP1935" s="11">
        <v>45905.827210648145</v>
      </c>
      <c r="BQ1935" s="15"/>
      <c r="BR1935" s="15">
        <v>45906.426539351851</v>
      </c>
      <c r="BS1935" s="10" t="s">
        <v>920</v>
      </c>
      <c r="BT1935" s="10"/>
      <c r="BU1935" s="10"/>
      <c r="BV1935" s="10"/>
      <c r="BW1935" s="10"/>
      <c r="BX1935" s="10"/>
      <c r="BY1935" s="23"/>
      <c r="BZ1935" s="23"/>
      <c r="CA1935" s="19" t="s">
        <v>9024</v>
      </c>
      <c r="CB1935" s="23"/>
      <c r="CC1935" s="23"/>
      <c r="CD1935" s="23"/>
      <c r="CE1935" s="23"/>
      <c r="CF1935" s="23"/>
      <c r="CG1935" s="23"/>
      <c r="CH1935" s="23"/>
      <c r="CI1935" s="23"/>
    </row>
    <row r="1936" spans="1:87" x14ac:dyDescent="0.3">
      <c r="A1936" s="9" t="s">
        <v>14744</v>
      </c>
      <c r="B1936" s="10" t="s">
        <v>14745</v>
      </c>
      <c r="C1936" s="11">
        <v>45907.395833333336</v>
      </c>
      <c r="D1936" s="12">
        <v>2.0833333333333332E-2</v>
      </c>
      <c r="E1936" s="11">
        <v>45907.416666666664</v>
      </c>
      <c r="F1936" s="10" t="s">
        <v>9016</v>
      </c>
      <c r="G1936" s="13" t="b">
        <v>0</v>
      </c>
      <c r="H1936" s="10" t="s">
        <v>9017</v>
      </c>
      <c r="I1936" s="10" t="s">
        <v>212</v>
      </c>
      <c r="J1936" s="13" t="b">
        <v>1</v>
      </c>
      <c r="K1936" s="13" t="b">
        <v>0</v>
      </c>
      <c r="L1936" s="10" t="s">
        <v>124</v>
      </c>
      <c r="M1936" s="10" t="s">
        <v>91</v>
      </c>
      <c r="N1936" s="10" t="s">
        <v>3513</v>
      </c>
      <c r="O1936" s="19" t="s">
        <v>14746</v>
      </c>
      <c r="P1936" s="10"/>
      <c r="Q1936" s="10" t="s">
        <v>94</v>
      </c>
      <c r="R1936" s="10"/>
      <c r="S1936" s="19" t="s">
        <v>9019</v>
      </c>
      <c r="T1936" s="10"/>
      <c r="U1936" s="10"/>
      <c r="V1936" s="10"/>
      <c r="W1936" s="10" t="s">
        <v>9020</v>
      </c>
      <c r="X1936" s="10" t="s">
        <v>130</v>
      </c>
      <c r="Y1936" s="10" t="s">
        <v>130</v>
      </c>
      <c r="Z1936" s="10" t="s">
        <v>99</v>
      </c>
      <c r="AA1936" s="10" t="s">
        <v>131</v>
      </c>
      <c r="AB1936" s="10" t="s">
        <v>9021</v>
      </c>
      <c r="AC1936" s="10" t="s">
        <v>9022</v>
      </c>
      <c r="AD1936" s="10" t="s">
        <v>165</v>
      </c>
      <c r="AE1936" s="10" t="s">
        <v>14747</v>
      </c>
      <c r="AF1936" s="15"/>
      <c r="AG1936" s="10"/>
      <c r="AH1936" s="10"/>
      <c r="AI1936" s="10"/>
      <c r="AJ1936" s="10"/>
      <c r="AK1936" s="10"/>
      <c r="AL1936" s="10"/>
      <c r="AM1936" s="10"/>
      <c r="AN1936" s="10"/>
      <c r="AO1936" s="13" t="b">
        <v>0</v>
      </c>
      <c r="AP1936" s="10" t="s">
        <v>104</v>
      </c>
      <c r="AQ1936" s="10">
        <f ca="1">IFERROR(__xludf.DUMMYFUNCTION("""COMPUTED_VALUE"""),4553306)</f>
        <v>4553306</v>
      </c>
      <c r="AR1936" s="17"/>
      <c r="AS1936" s="17"/>
      <c r="AT1936" s="17"/>
      <c r="AU1936" s="17"/>
      <c r="AV1936" s="17"/>
      <c r="AW1936" s="10"/>
      <c r="AX1936" s="17"/>
      <c r="AY1936" s="18" t="s">
        <v>257</v>
      </c>
      <c r="AZ1936" s="10"/>
      <c r="BA1936" s="20" t="b">
        <v>0</v>
      </c>
      <c r="BB1936" s="10" t="s">
        <v>14720</v>
      </c>
      <c r="BC1936" s="17" t="s">
        <v>257</v>
      </c>
      <c r="BD1936" s="17" t="s">
        <v>257</v>
      </c>
      <c r="BE1936" s="17" t="s">
        <v>257</v>
      </c>
      <c r="BF1936" s="17" t="s">
        <v>257</v>
      </c>
      <c r="BG1936" s="11">
        <f ca="1">IFERROR(__xludf.DUMMYFUNCTION("""COMPUTED_VALUE"""),45907.3958333333)</f>
        <v>45907.395833333299</v>
      </c>
      <c r="BH1936" s="17"/>
      <c r="BI1936" s="17"/>
      <c r="BJ1936" s="15"/>
      <c r="BK1936" s="15"/>
      <c r="BL1936" s="13" t="b">
        <v>0</v>
      </c>
      <c r="BM1936" s="10"/>
      <c r="BN1936" s="10" t="s">
        <v>920</v>
      </c>
      <c r="BO1936" s="11">
        <v>45905.82708333333</v>
      </c>
      <c r="BP1936" s="11">
        <v>45905.827372685184</v>
      </c>
      <c r="BQ1936" s="15"/>
      <c r="BR1936" s="15">
        <v>45906.42664351852</v>
      </c>
      <c r="BS1936" s="10" t="s">
        <v>920</v>
      </c>
      <c r="BT1936" s="10"/>
      <c r="BU1936" s="10"/>
      <c r="BV1936" s="10"/>
      <c r="BW1936" s="10"/>
      <c r="BX1936" s="10"/>
      <c r="BY1936" s="23"/>
      <c r="BZ1936" s="23"/>
      <c r="CA1936" s="19" t="s">
        <v>9024</v>
      </c>
      <c r="CB1936" s="23"/>
      <c r="CC1936" s="23"/>
      <c r="CD1936" s="23"/>
      <c r="CE1936" s="23"/>
      <c r="CF1936" s="23"/>
      <c r="CG1936" s="23"/>
      <c r="CH1936" s="23"/>
      <c r="CI1936" s="23"/>
    </row>
    <row r="1937" spans="1:87" x14ac:dyDescent="0.3">
      <c r="A1937" s="9" t="s">
        <v>14748</v>
      </c>
      <c r="B1937" s="10" t="s">
        <v>14749</v>
      </c>
      <c r="C1937" s="11">
        <v>45907.416666666664</v>
      </c>
      <c r="D1937" s="12">
        <v>2.0833333333333332E-2</v>
      </c>
      <c r="E1937" s="11">
        <v>45907.4375</v>
      </c>
      <c r="F1937" s="10" t="s">
        <v>9016</v>
      </c>
      <c r="G1937" s="13" t="b">
        <v>0</v>
      </c>
      <c r="H1937" s="10" t="s">
        <v>9017</v>
      </c>
      <c r="I1937" s="10" t="s">
        <v>212</v>
      </c>
      <c r="J1937" s="13" t="b">
        <v>1</v>
      </c>
      <c r="K1937" s="13" t="b">
        <v>0</v>
      </c>
      <c r="L1937" s="10" t="s">
        <v>124</v>
      </c>
      <c r="M1937" s="10" t="s">
        <v>91</v>
      </c>
      <c r="N1937" s="10" t="s">
        <v>3513</v>
      </c>
      <c r="O1937" s="19" t="s">
        <v>14750</v>
      </c>
      <c r="P1937" s="10"/>
      <c r="Q1937" s="10" t="s">
        <v>94</v>
      </c>
      <c r="R1937" s="10"/>
      <c r="S1937" s="19" t="s">
        <v>9019</v>
      </c>
      <c r="T1937" s="10"/>
      <c r="U1937" s="10"/>
      <c r="V1937" s="10"/>
      <c r="W1937" s="10" t="s">
        <v>9020</v>
      </c>
      <c r="X1937" s="10" t="s">
        <v>130</v>
      </c>
      <c r="Y1937" s="10" t="s">
        <v>130</v>
      </c>
      <c r="Z1937" s="10" t="s">
        <v>99</v>
      </c>
      <c r="AA1937" s="10" t="s">
        <v>131</v>
      </c>
      <c r="AB1937" s="10" t="s">
        <v>9021</v>
      </c>
      <c r="AC1937" s="10" t="s">
        <v>9022</v>
      </c>
      <c r="AD1937" s="10" t="s">
        <v>165</v>
      </c>
      <c r="AE1937" s="10" t="s">
        <v>14751</v>
      </c>
      <c r="AF1937" s="15"/>
      <c r="AG1937" s="10"/>
      <c r="AH1937" s="10"/>
      <c r="AI1937" s="10"/>
      <c r="AJ1937" s="10"/>
      <c r="AK1937" s="10"/>
      <c r="AL1937" s="10"/>
      <c r="AM1937" s="10"/>
      <c r="AN1937" s="10"/>
      <c r="AO1937" s="13" t="b">
        <v>0</v>
      </c>
      <c r="AP1937" s="10" t="s">
        <v>104</v>
      </c>
      <c r="AQ1937" s="10">
        <f ca="1">IFERROR(__xludf.DUMMYFUNCTION("""COMPUTED_VALUE"""),4553307)</f>
        <v>4553307</v>
      </c>
      <c r="AR1937" s="17"/>
      <c r="AS1937" s="17"/>
      <c r="AT1937" s="17"/>
      <c r="AU1937" s="17"/>
      <c r="AV1937" s="17"/>
      <c r="AW1937" s="10"/>
      <c r="AX1937" s="17"/>
      <c r="AY1937" s="18" t="s">
        <v>257</v>
      </c>
      <c r="AZ1937" s="10"/>
      <c r="BA1937" s="20" t="b">
        <v>0</v>
      </c>
      <c r="BB1937" s="10" t="s">
        <v>14720</v>
      </c>
      <c r="BC1937" s="17" t="s">
        <v>257</v>
      </c>
      <c r="BD1937" s="17" t="s">
        <v>257</v>
      </c>
      <c r="BE1937" s="17" t="s">
        <v>257</v>
      </c>
      <c r="BF1937" s="17" t="s">
        <v>257</v>
      </c>
      <c r="BG1937" s="11">
        <f ca="1">IFERROR(__xludf.DUMMYFUNCTION("""COMPUTED_VALUE"""),45907.4166666666)</f>
        <v>45907.416666666599</v>
      </c>
      <c r="BH1937" s="17"/>
      <c r="BI1937" s="17"/>
      <c r="BJ1937" s="15"/>
      <c r="BK1937" s="15"/>
      <c r="BL1937" s="13" t="b">
        <v>0</v>
      </c>
      <c r="BM1937" s="10"/>
      <c r="BN1937" s="10" t="s">
        <v>920</v>
      </c>
      <c r="BO1937" s="11">
        <v>45905.82708333333</v>
      </c>
      <c r="BP1937" s="11">
        <v>45905.827476851853</v>
      </c>
      <c r="BQ1937" s="15"/>
      <c r="BR1937" s="15">
        <v>45906.426747685182</v>
      </c>
      <c r="BS1937" s="10" t="s">
        <v>920</v>
      </c>
      <c r="BT1937" s="10"/>
      <c r="BU1937" s="10"/>
      <c r="BV1937" s="10"/>
      <c r="BW1937" s="10"/>
      <c r="BX1937" s="10"/>
      <c r="BY1937" s="23"/>
      <c r="BZ1937" s="23"/>
      <c r="CA1937" s="19" t="s">
        <v>9024</v>
      </c>
      <c r="CB1937" s="23"/>
      <c r="CC1937" s="23"/>
      <c r="CD1937" s="23"/>
      <c r="CE1937" s="23"/>
      <c r="CF1937" s="23"/>
      <c r="CG1937" s="23"/>
      <c r="CH1937" s="23"/>
      <c r="CI1937" s="23"/>
    </row>
    <row r="1938" spans="1:87" x14ac:dyDescent="0.3">
      <c r="A1938" s="9" t="s">
        <v>14752</v>
      </c>
      <c r="B1938" s="10" t="s">
        <v>14753</v>
      </c>
      <c r="C1938" s="11">
        <v>45907.4375</v>
      </c>
      <c r="D1938" s="12">
        <v>2.0833333333333332E-2</v>
      </c>
      <c r="E1938" s="11">
        <v>45907.458333333336</v>
      </c>
      <c r="F1938" s="10" t="s">
        <v>9016</v>
      </c>
      <c r="G1938" s="13" t="b">
        <v>0</v>
      </c>
      <c r="H1938" s="10" t="s">
        <v>9017</v>
      </c>
      <c r="I1938" s="10" t="s">
        <v>212</v>
      </c>
      <c r="J1938" s="13" t="b">
        <v>1</v>
      </c>
      <c r="K1938" s="13" t="b">
        <v>0</v>
      </c>
      <c r="L1938" s="10" t="s">
        <v>124</v>
      </c>
      <c r="M1938" s="10" t="s">
        <v>91</v>
      </c>
      <c r="N1938" s="10" t="s">
        <v>3513</v>
      </c>
      <c r="O1938" s="19" t="s">
        <v>14754</v>
      </c>
      <c r="P1938" s="10"/>
      <c r="Q1938" s="10" t="s">
        <v>94</v>
      </c>
      <c r="R1938" s="10"/>
      <c r="S1938" s="19" t="s">
        <v>9019</v>
      </c>
      <c r="T1938" s="10"/>
      <c r="U1938" s="10"/>
      <c r="V1938" s="10"/>
      <c r="W1938" s="10" t="s">
        <v>9020</v>
      </c>
      <c r="X1938" s="10" t="s">
        <v>130</v>
      </c>
      <c r="Y1938" s="10" t="s">
        <v>130</v>
      </c>
      <c r="Z1938" s="10" t="s">
        <v>99</v>
      </c>
      <c r="AA1938" s="10" t="s">
        <v>131</v>
      </c>
      <c r="AB1938" s="10" t="s">
        <v>9021</v>
      </c>
      <c r="AC1938" s="10" t="s">
        <v>9022</v>
      </c>
      <c r="AD1938" s="10" t="s">
        <v>165</v>
      </c>
      <c r="AE1938" s="10" t="s">
        <v>14755</v>
      </c>
      <c r="AF1938" s="15"/>
      <c r="AG1938" s="10"/>
      <c r="AH1938" s="10"/>
      <c r="AI1938" s="10"/>
      <c r="AJ1938" s="10"/>
      <c r="AK1938" s="10"/>
      <c r="AL1938" s="10"/>
      <c r="AM1938" s="10"/>
      <c r="AN1938" s="10"/>
      <c r="AO1938" s="13" t="b">
        <v>0</v>
      </c>
      <c r="AP1938" s="10" t="s">
        <v>104</v>
      </c>
      <c r="AQ1938" s="10">
        <f ca="1">IFERROR(__xludf.DUMMYFUNCTION("""COMPUTED_VALUE"""),4553305)</f>
        <v>4553305</v>
      </c>
      <c r="AR1938" s="17"/>
      <c r="AS1938" s="17"/>
      <c r="AT1938" s="17"/>
      <c r="AU1938" s="17"/>
      <c r="AV1938" s="17"/>
      <c r="AW1938" s="10"/>
      <c r="AX1938" s="17"/>
      <c r="AY1938" s="18" t="s">
        <v>257</v>
      </c>
      <c r="AZ1938" s="10"/>
      <c r="BA1938" s="20" t="b">
        <v>0</v>
      </c>
      <c r="BB1938" s="10" t="s">
        <v>14720</v>
      </c>
      <c r="BC1938" s="17" t="s">
        <v>257</v>
      </c>
      <c r="BD1938" s="17" t="s">
        <v>257</v>
      </c>
      <c r="BE1938" s="17" t="s">
        <v>257</v>
      </c>
      <c r="BF1938" s="17" t="s">
        <v>257</v>
      </c>
      <c r="BG1938" s="11">
        <f ca="1">IFERROR(__xludf.DUMMYFUNCTION("""COMPUTED_VALUE"""),45907.4375)</f>
        <v>45907.4375</v>
      </c>
      <c r="BH1938" s="17"/>
      <c r="BI1938" s="17"/>
      <c r="BJ1938" s="15"/>
      <c r="BK1938" s="15"/>
      <c r="BL1938" s="13" t="b">
        <v>0</v>
      </c>
      <c r="BM1938" s="10"/>
      <c r="BN1938" s="10" t="s">
        <v>920</v>
      </c>
      <c r="BO1938" s="11">
        <v>45905.82708333333</v>
      </c>
      <c r="BP1938" s="11">
        <v>45905.827592592592</v>
      </c>
      <c r="BQ1938" s="15"/>
      <c r="BR1938" s="15">
        <v>45906.426840277774</v>
      </c>
      <c r="BS1938" s="10" t="s">
        <v>920</v>
      </c>
      <c r="BT1938" s="10"/>
      <c r="BU1938" s="10"/>
      <c r="BV1938" s="10"/>
      <c r="BW1938" s="10"/>
      <c r="BX1938" s="10"/>
      <c r="BY1938" s="23"/>
      <c r="BZ1938" s="23"/>
      <c r="CA1938" s="19" t="s">
        <v>9024</v>
      </c>
      <c r="CB1938" s="23"/>
      <c r="CC1938" s="23"/>
      <c r="CD1938" s="23"/>
      <c r="CE1938" s="23"/>
      <c r="CF1938" s="23"/>
      <c r="CG1938" s="23"/>
      <c r="CH1938" s="23"/>
      <c r="CI1938" s="23"/>
    </row>
    <row r="1939" spans="1:87" x14ac:dyDescent="0.3">
      <c r="A1939" s="9" t="s">
        <v>14756</v>
      </c>
      <c r="B1939" s="10" t="s">
        <v>14757</v>
      </c>
      <c r="C1939" s="11">
        <v>45907.458333333336</v>
      </c>
      <c r="D1939" s="12">
        <v>2.0833333333333332E-2</v>
      </c>
      <c r="E1939" s="11">
        <v>45907.479166666664</v>
      </c>
      <c r="F1939" s="10" t="s">
        <v>9016</v>
      </c>
      <c r="G1939" s="13" t="b">
        <v>0</v>
      </c>
      <c r="H1939" s="10" t="s">
        <v>9017</v>
      </c>
      <c r="I1939" s="10" t="s">
        <v>212</v>
      </c>
      <c r="J1939" s="13" t="b">
        <v>1</v>
      </c>
      <c r="K1939" s="13" t="b">
        <v>0</v>
      </c>
      <c r="L1939" s="10" t="s">
        <v>124</v>
      </c>
      <c r="M1939" s="10" t="s">
        <v>91</v>
      </c>
      <c r="N1939" s="10" t="s">
        <v>3513</v>
      </c>
      <c r="O1939" s="19" t="s">
        <v>14758</v>
      </c>
      <c r="P1939" s="10"/>
      <c r="Q1939" s="10" t="s">
        <v>94</v>
      </c>
      <c r="R1939" s="10"/>
      <c r="S1939" s="19" t="s">
        <v>9019</v>
      </c>
      <c r="T1939" s="10"/>
      <c r="U1939" s="10"/>
      <c r="V1939" s="10"/>
      <c r="W1939" s="10" t="s">
        <v>9020</v>
      </c>
      <c r="X1939" s="10" t="s">
        <v>130</v>
      </c>
      <c r="Y1939" s="10" t="s">
        <v>130</v>
      </c>
      <c r="Z1939" s="10" t="s">
        <v>99</v>
      </c>
      <c r="AA1939" s="10" t="s">
        <v>131</v>
      </c>
      <c r="AB1939" s="10" t="s">
        <v>9021</v>
      </c>
      <c r="AC1939" s="10" t="s">
        <v>9022</v>
      </c>
      <c r="AD1939" s="10" t="s">
        <v>165</v>
      </c>
      <c r="AE1939" s="10" t="s">
        <v>14759</v>
      </c>
      <c r="AF1939" s="15"/>
      <c r="AG1939" s="10"/>
      <c r="AH1939" s="10"/>
      <c r="AI1939" s="10"/>
      <c r="AJ1939" s="10"/>
      <c r="AK1939" s="10"/>
      <c r="AL1939" s="10"/>
      <c r="AM1939" s="10"/>
      <c r="AN1939" s="10"/>
      <c r="AO1939" s="13" t="b">
        <v>0</v>
      </c>
      <c r="AP1939" s="10" t="s">
        <v>104</v>
      </c>
      <c r="AQ1939" s="10">
        <f ca="1">IFERROR(__xludf.DUMMYFUNCTION("""COMPUTED_VALUE"""),4553304)</f>
        <v>4553304</v>
      </c>
      <c r="AR1939" s="17"/>
      <c r="AS1939" s="17"/>
      <c r="AT1939" s="17"/>
      <c r="AU1939" s="17"/>
      <c r="AV1939" s="17"/>
      <c r="AW1939" s="10"/>
      <c r="AX1939" s="17"/>
      <c r="AY1939" s="18" t="s">
        <v>257</v>
      </c>
      <c r="AZ1939" s="10"/>
      <c r="BA1939" s="20" t="b">
        <v>0</v>
      </c>
      <c r="BB1939" s="10" t="s">
        <v>14720</v>
      </c>
      <c r="BC1939" s="17" t="s">
        <v>257</v>
      </c>
      <c r="BD1939" s="17" t="s">
        <v>257</v>
      </c>
      <c r="BE1939" s="17" t="s">
        <v>257</v>
      </c>
      <c r="BF1939" s="17" t="s">
        <v>257</v>
      </c>
      <c r="BG1939" s="11">
        <f ca="1">IFERROR(__xludf.DUMMYFUNCTION("""COMPUTED_VALUE"""),45907.4583333333)</f>
        <v>45907.458333333299</v>
      </c>
      <c r="BH1939" s="17"/>
      <c r="BI1939" s="17"/>
      <c r="BJ1939" s="15"/>
      <c r="BK1939" s="15"/>
      <c r="BL1939" s="13" t="b">
        <v>0</v>
      </c>
      <c r="BM1939" s="10"/>
      <c r="BN1939" s="10" t="s">
        <v>920</v>
      </c>
      <c r="BO1939" s="11">
        <v>45905.82708333333</v>
      </c>
      <c r="BP1939" s="11">
        <v>45905.827824074076</v>
      </c>
      <c r="BQ1939" s="15"/>
      <c r="BR1939" s="15">
        <v>45906.42695601852</v>
      </c>
      <c r="BS1939" s="10" t="s">
        <v>920</v>
      </c>
      <c r="BT1939" s="10"/>
      <c r="BU1939" s="10"/>
      <c r="BV1939" s="10"/>
      <c r="BW1939" s="10"/>
      <c r="BX1939" s="10"/>
      <c r="BY1939" s="23"/>
      <c r="BZ1939" s="23"/>
      <c r="CA1939" s="19" t="s">
        <v>9024</v>
      </c>
      <c r="CB1939" s="23"/>
      <c r="CC1939" s="23"/>
      <c r="CD1939" s="23"/>
      <c r="CE1939" s="23"/>
      <c r="CF1939" s="23"/>
      <c r="CG1939" s="23"/>
      <c r="CH1939" s="23"/>
      <c r="CI1939" s="23"/>
    </row>
    <row r="1940" spans="1:87" x14ac:dyDescent="0.3">
      <c r="A1940" s="9" t="s">
        <v>14760</v>
      </c>
      <c r="B1940" s="10" t="s">
        <v>14761</v>
      </c>
      <c r="C1940" s="11">
        <v>45907.479166666664</v>
      </c>
      <c r="D1940" s="12">
        <v>2.0833333333333332E-2</v>
      </c>
      <c r="E1940" s="11">
        <v>45907.5</v>
      </c>
      <c r="F1940" s="10" t="s">
        <v>9016</v>
      </c>
      <c r="G1940" s="13" t="b">
        <v>0</v>
      </c>
      <c r="H1940" s="10" t="s">
        <v>9017</v>
      </c>
      <c r="I1940" s="10" t="s">
        <v>212</v>
      </c>
      <c r="J1940" s="13" t="b">
        <v>1</v>
      </c>
      <c r="K1940" s="13" t="b">
        <v>0</v>
      </c>
      <c r="L1940" s="10" t="s">
        <v>124</v>
      </c>
      <c r="M1940" s="10" t="s">
        <v>91</v>
      </c>
      <c r="N1940" s="10" t="s">
        <v>3513</v>
      </c>
      <c r="O1940" s="19" t="s">
        <v>14762</v>
      </c>
      <c r="P1940" s="10"/>
      <c r="Q1940" s="10" t="s">
        <v>94</v>
      </c>
      <c r="R1940" s="10"/>
      <c r="S1940" s="19" t="s">
        <v>9019</v>
      </c>
      <c r="T1940" s="10"/>
      <c r="U1940" s="10"/>
      <c r="V1940" s="10"/>
      <c r="W1940" s="10" t="s">
        <v>9020</v>
      </c>
      <c r="X1940" s="10" t="s">
        <v>130</v>
      </c>
      <c r="Y1940" s="10" t="s">
        <v>130</v>
      </c>
      <c r="Z1940" s="10" t="s">
        <v>99</v>
      </c>
      <c r="AA1940" s="10" t="s">
        <v>131</v>
      </c>
      <c r="AB1940" s="10" t="s">
        <v>9021</v>
      </c>
      <c r="AC1940" s="10" t="s">
        <v>9022</v>
      </c>
      <c r="AD1940" s="10" t="s">
        <v>165</v>
      </c>
      <c r="AE1940" s="10" t="s">
        <v>14763</v>
      </c>
      <c r="AF1940" s="15"/>
      <c r="AG1940" s="10"/>
      <c r="AH1940" s="10"/>
      <c r="AI1940" s="10"/>
      <c r="AJ1940" s="10"/>
      <c r="AK1940" s="10"/>
      <c r="AL1940" s="10"/>
      <c r="AM1940" s="10"/>
      <c r="AN1940" s="10"/>
      <c r="AO1940" s="13" t="b">
        <v>0</v>
      </c>
      <c r="AP1940" s="10" t="s">
        <v>104</v>
      </c>
      <c r="AQ1940" s="10">
        <f ca="1">IFERROR(__xludf.DUMMYFUNCTION("""COMPUTED_VALUE"""),4553303)</f>
        <v>4553303</v>
      </c>
      <c r="AR1940" s="17"/>
      <c r="AS1940" s="17"/>
      <c r="AT1940" s="17"/>
      <c r="AU1940" s="17"/>
      <c r="AV1940" s="17"/>
      <c r="AW1940" s="10"/>
      <c r="AX1940" s="17"/>
      <c r="AY1940" s="18" t="s">
        <v>257</v>
      </c>
      <c r="AZ1940" s="10"/>
      <c r="BA1940" s="20" t="b">
        <v>0</v>
      </c>
      <c r="BB1940" s="10" t="s">
        <v>14720</v>
      </c>
      <c r="BC1940" s="17" t="s">
        <v>257</v>
      </c>
      <c r="BD1940" s="17" t="s">
        <v>257</v>
      </c>
      <c r="BE1940" s="17" t="s">
        <v>257</v>
      </c>
      <c r="BF1940" s="17" t="s">
        <v>257</v>
      </c>
      <c r="BG1940" s="11">
        <f ca="1">IFERROR(__xludf.DUMMYFUNCTION("""COMPUTED_VALUE"""),45907.4791666666)</f>
        <v>45907.479166666599</v>
      </c>
      <c r="BH1940" s="17"/>
      <c r="BI1940" s="17"/>
      <c r="BJ1940" s="15"/>
      <c r="BK1940" s="15"/>
      <c r="BL1940" s="13" t="b">
        <v>0</v>
      </c>
      <c r="BM1940" s="10"/>
      <c r="BN1940" s="10" t="s">
        <v>920</v>
      </c>
      <c r="BO1940" s="11">
        <v>45905.827777777777</v>
      </c>
      <c r="BP1940" s="11">
        <v>45905.827916666669</v>
      </c>
      <c r="BQ1940" s="15"/>
      <c r="BR1940" s="15">
        <v>45906.427048611113</v>
      </c>
      <c r="BS1940" s="10" t="s">
        <v>920</v>
      </c>
      <c r="BT1940" s="10"/>
      <c r="BU1940" s="10"/>
      <c r="BV1940" s="10"/>
      <c r="BW1940" s="10"/>
      <c r="BX1940" s="10"/>
      <c r="BY1940" s="23"/>
      <c r="BZ1940" s="23"/>
      <c r="CA1940" s="19" t="s">
        <v>9024</v>
      </c>
      <c r="CB1940" s="23"/>
      <c r="CC1940" s="23"/>
      <c r="CD1940" s="23"/>
      <c r="CE1940" s="23"/>
      <c r="CF1940" s="23"/>
      <c r="CG1940" s="23"/>
      <c r="CH1940" s="23"/>
      <c r="CI1940" s="23"/>
    </row>
    <row r="1941" spans="1:87" x14ac:dyDescent="0.3">
      <c r="A1941" s="9" t="s">
        <v>14764</v>
      </c>
      <c r="B1941" s="10" t="s">
        <v>14765</v>
      </c>
      <c r="C1941" s="11">
        <v>45907.517361111109</v>
      </c>
      <c r="D1941" s="12">
        <v>2.7777777777777776E-2</v>
      </c>
      <c r="E1941" s="11">
        <v>45907.545138888891</v>
      </c>
      <c r="F1941" s="10" t="s">
        <v>9016</v>
      </c>
      <c r="G1941" s="13" t="b">
        <v>0</v>
      </c>
      <c r="H1941" s="10" t="s">
        <v>9017</v>
      </c>
      <c r="I1941" s="10" t="s">
        <v>212</v>
      </c>
      <c r="J1941" s="13" t="b">
        <v>1</v>
      </c>
      <c r="K1941" s="13" t="b">
        <v>0</v>
      </c>
      <c r="L1941" s="10" t="s">
        <v>124</v>
      </c>
      <c r="M1941" s="10" t="s">
        <v>91</v>
      </c>
      <c r="N1941" s="10" t="s">
        <v>3513</v>
      </c>
      <c r="O1941" s="19" t="s">
        <v>14766</v>
      </c>
      <c r="P1941" s="10"/>
      <c r="Q1941" s="10" t="s">
        <v>94</v>
      </c>
      <c r="R1941" s="10"/>
      <c r="S1941" s="19" t="s">
        <v>9019</v>
      </c>
      <c r="T1941" s="10"/>
      <c r="U1941" s="10"/>
      <c r="V1941" s="10"/>
      <c r="W1941" s="10" t="s">
        <v>9020</v>
      </c>
      <c r="X1941" s="10" t="s">
        <v>130</v>
      </c>
      <c r="Y1941" s="10" t="s">
        <v>130</v>
      </c>
      <c r="Z1941" s="10" t="s">
        <v>99</v>
      </c>
      <c r="AA1941" s="10" t="s">
        <v>131</v>
      </c>
      <c r="AB1941" s="10" t="s">
        <v>9021</v>
      </c>
      <c r="AC1941" s="10" t="s">
        <v>9022</v>
      </c>
      <c r="AD1941" s="10" t="s">
        <v>165</v>
      </c>
      <c r="AE1941" s="10" t="s">
        <v>14767</v>
      </c>
      <c r="AF1941" s="15"/>
      <c r="AG1941" s="10"/>
      <c r="AH1941" s="10"/>
      <c r="AI1941" s="10"/>
      <c r="AJ1941" s="10"/>
      <c r="AK1941" s="10"/>
      <c r="AL1941" s="10"/>
      <c r="AM1941" s="10"/>
      <c r="AN1941" s="10"/>
      <c r="AO1941" s="13" t="b">
        <v>0</v>
      </c>
      <c r="AP1941" s="10" t="s">
        <v>104</v>
      </c>
      <c r="AQ1941" s="10">
        <f ca="1">IFERROR(__xludf.DUMMYFUNCTION("""COMPUTED_VALUE"""),4553312)</f>
        <v>4553312</v>
      </c>
      <c r="AR1941" s="17"/>
      <c r="AS1941" s="17"/>
      <c r="AT1941" s="17"/>
      <c r="AU1941" s="17"/>
      <c r="AV1941" s="17"/>
      <c r="AW1941" s="10"/>
      <c r="AX1941" s="17"/>
      <c r="AY1941" s="18" t="s">
        <v>257</v>
      </c>
      <c r="AZ1941" s="10"/>
      <c r="BA1941" s="20" t="b">
        <v>0</v>
      </c>
      <c r="BB1941" s="10" t="s">
        <v>14720</v>
      </c>
      <c r="BC1941" s="17" t="s">
        <v>257</v>
      </c>
      <c r="BD1941" s="17" t="s">
        <v>257</v>
      </c>
      <c r="BE1941" s="17" t="s">
        <v>257</v>
      </c>
      <c r="BF1941" s="17" t="s">
        <v>257</v>
      </c>
      <c r="BG1941" s="11">
        <f ca="1">IFERROR(__xludf.DUMMYFUNCTION("""COMPUTED_VALUE"""),45907.5173611111)</f>
        <v>45907.517361111102</v>
      </c>
      <c r="BH1941" s="17"/>
      <c r="BI1941" s="17"/>
      <c r="BJ1941" s="15"/>
      <c r="BK1941" s="15"/>
      <c r="BL1941" s="13" t="b">
        <v>0</v>
      </c>
      <c r="BM1941" s="10"/>
      <c r="BN1941" s="10" t="s">
        <v>920</v>
      </c>
      <c r="BO1941" s="11">
        <v>45905.827777777777</v>
      </c>
      <c r="BP1941" s="11">
        <v>45905.828287037039</v>
      </c>
      <c r="BQ1941" s="15"/>
      <c r="BR1941" s="15">
        <v>45906.427141203705</v>
      </c>
      <c r="BS1941" s="10" t="s">
        <v>920</v>
      </c>
      <c r="BT1941" s="10"/>
      <c r="BU1941" s="10"/>
      <c r="BV1941" s="10"/>
      <c r="BW1941" s="10"/>
      <c r="BX1941" s="10"/>
      <c r="BY1941" s="23"/>
      <c r="BZ1941" s="23"/>
      <c r="CA1941" s="19" t="s">
        <v>9024</v>
      </c>
      <c r="CB1941" s="23"/>
      <c r="CC1941" s="23"/>
      <c r="CD1941" s="23"/>
      <c r="CE1941" s="23"/>
      <c r="CF1941" s="23"/>
      <c r="CG1941" s="23"/>
      <c r="CH1941" s="23"/>
      <c r="CI1941" s="23"/>
    </row>
    <row r="1942" spans="1:87" x14ac:dyDescent="0.3">
      <c r="A1942" s="9" t="s">
        <v>14768</v>
      </c>
      <c r="B1942" s="10" t="s">
        <v>14769</v>
      </c>
      <c r="C1942" s="11">
        <v>45907.545138888891</v>
      </c>
      <c r="D1942" s="12">
        <v>2.7777777777777776E-2</v>
      </c>
      <c r="E1942" s="11">
        <v>45907.572916666664</v>
      </c>
      <c r="F1942" s="10" t="s">
        <v>9016</v>
      </c>
      <c r="G1942" s="13" t="b">
        <v>0</v>
      </c>
      <c r="H1942" s="10" t="s">
        <v>9017</v>
      </c>
      <c r="I1942" s="10" t="s">
        <v>212</v>
      </c>
      <c r="J1942" s="13" t="b">
        <v>1</v>
      </c>
      <c r="K1942" s="13" t="b">
        <v>0</v>
      </c>
      <c r="L1942" s="10" t="s">
        <v>124</v>
      </c>
      <c r="M1942" s="10" t="s">
        <v>91</v>
      </c>
      <c r="N1942" s="10" t="s">
        <v>3513</v>
      </c>
      <c r="O1942" s="19" t="s">
        <v>14770</v>
      </c>
      <c r="P1942" s="10"/>
      <c r="Q1942" s="10" t="s">
        <v>94</v>
      </c>
      <c r="R1942" s="10"/>
      <c r="S1942" s="19" t="s">
        <v>9019</v>
      </c>
      <c r="T1942" s="10"/>
      <c r="U1942" s="10"/>
      <c r="V1942" s="10"/>
      <c r="W1942" s="10" t="s">
        <v>9020</v>
      </c>
      <c r="X1942" s="10" t="s">
        <v>130</v>
      </c>
      <c r="Y1942" s="10" t="s">
        <v>130</v>
      </c>
      <c r="Z1942" s="10" t="s">
        <v>99</v>
      </c>
      <c r="AA1942" s="10" t="s">
        <v>131</v>
      </c>
      <c r="AB1942" s="10" t="s">
        <v>9021</v>
      </c>
      <c r="AC1942" s="10" t="s">
        <v>9022</v>
      </c>
      <c r="AD1942" s="10" t="s">
        <v>165</v>
      </c>
      <c r="AE1942" s="10" t="s">
        <v>14771</v>
      </c>
      <c r="AF1942" s="15"/>
      <c r="AG1942" s="10"/>
      <c r="AH1942" s="10"/>
      <c r="AI1942" s="10"/>
      <c r="AJ1942" s="10"/>
      <c r="AK1942" s="10"/>
      <c r="AL1942" s="10"/>
      <c r="AM1942" s="10"/>
      <c r="AN1942" s="10"/>
      <c r="AO1942" s="13" t="b">
        <v>0</v>
      </c>
      <c r="AP1942" s="10" t="s">
        <v>104</v>
      </c>
      <c r="AQ1942" s="10">
        <f ca="1">IFERROR(__xludf.DUMMYFUNCTION("""COMPUTED_VALUE"""),4553310)</f>
        <v>4553310</v>
      </c>
      <c r="AR1942" s="17"/>
      <c r="AS1942" s="17"/>
      <c r="AT1942" s="17"/>
      <c r="AU1942" s="17"/>
      <c r="AV1942" s="17"/>
      <c r="AW1942" s="10"/>
      <c r="AX1942" s="17"/>
      <c r="AY1942" s="18" t="s">
        <v>257</v>
      </c>
      <c r="AZ1942" s="10"/>
      <c r="BA1942" s="20" t="b">
        <v>0</v>
      </c>
      <c r="BB1942" s="10" t="s">
        <v>14720</v>
      </c>
      <c r="BC1942" s="17" t="s">
        <v>257</v>
      </c>
      <c r="BD1942" s="17" t="s">
        <v>257</v>
      </c>
      <c r="BE1942" s="17" t="s">
        <v>257</v>
      </c>
      <c r="BF1942" s="17" t="s">
        <v>257</v>
      </c>
      <c r="BG1942" s="11">
        <f ca="1">IFERROR(__xludf.DUMMYFUNCTION("""COMPUTED_VALUE"""),45907.5451388888)</f>
        <v>45907.545138888803</v>
      </c>
      <c r="BH1942" s="17"/>
      <c r="BI1942" s="17"/>
      <c r="BJ1942" s="15"/>
      <c r="BK1942" s="15"/>
      <c r="BL1942" s="13" t="b">
        <v>0</v>
      </c>
      <c r="BM1942" s="10"/>
      <c r="BN1942" s="10" t="s">
        <v>920</v>
      </c>
      <c r="BO1942" s="11">
        <v>45905.828472222223</v>
      </c>
      <c r="BP1942" s="11">
        <v>45905.828969907408</v>
      </c>
      <c r="BQ1942" s="15"/>
      <c r="BR1942" s="15">
        <v>45906.427233796298</v>
      </c>
      <c r="BS1942" s="10" t="s">
        <v>920</v>
      </c>
      <c r="BT1942" s="10"/>
      <c r="BU1942" s="10"/>
      <c r="BV1942" s="10"/>
      <c r="BW1942" s="10"/>
      <c r="BX1942" s="10"/>
      <c r="BY1942" s="23"/>
      <c r="BZ1942" s="23"/>
      <c r="CA1942" s="19" t="s">
        <v>9024</v>
      </c>
      <c r="CB1942" s="23"/>
      <c r="CC1942" s="23"/>
      <c r="CD1942" s="23"/>
      <c r="CE1942" s="23"/>
      <c r="CF1942" s="23"/>
      <c r="CG1942" s="23"/>
      <c r="CH1942" s="23"/>
      <c r="CI1942" s="23"/>
    </row>
    <row r="1943" spans="1:87" x14ac:dyDescent="0.3">
      <c r="A1943" s="9" t="s">
        <v>14772</v>
      </c>
      <c r="B1943" s="10" t="s">
        <v>14773</v>
      </c>
      <c r="C1943" s="11">
        <v>45907.572916666664</v>
      </c>
      <c r="D1943" s="12">
        <v>2.7777777777777776E-2</v>
      </c>
      <c r="E1943" s="11">
        <v>45907.600694444445</v>
      </c>
      <c r="F1943" s="10" t="s">
        <v>9016</v>
      </c>
      <c r="G1943" s="13" t="b">
        <v>0</v>
      </c>
      <c r="H1943" s="10" t="s">
        <v>9017</v>
      </c>
      <c r="I1943" s="10" t="s">
        <v>212</v>
      </c>
      <c r="J1943" s="13" t="b">
        <v>1</v>
      </c>
      <c r="K1943" s="13" t="b">
        <v>0</v>
      </c>
      <c r="L1943" s="10" t="s">
        <v>124</v>
      </c>
      <c r="M1943" s="10" t="s">
        <v>91</v>
      </c>
      <c r="N1943" s="10" t="s">
        <v>3513</v>
      </c>
      <c r="O1943" s="19" t="s">
        <v>14774</v>
      </c>
      <c r="P1943" s="10"/>
      <c r="Q1943" s="10" t="s">
        <v>94</v>
      </c>
      <c r="R1943" s="10"/>
      <c r="S1943" s="19" t="s">
        <v>9019</v>
      </c>
      <c r="T1943" s="10"/>
      <c r="U1943" s="10"/>
      <c r="V1943" s="10"/>
      <c r="W1943" s="10" t="s">
        <v>9020</v>
      </c>
      <c r="X1943" s="10" t="s">
        <v>130</v>
      </c>
      <c r="Y1943" s="10" t="s">
        <v>130</v>
      </c>
      <c r="Z1943" s="10" t="s">
        <v>99</v>
      </c>
      <c r="AA1943" s="10" t="s">
        <v>131</v>
      </c>
      <c r="AB1943" s="10" t="s">
        <v>9021</v>
      </c>
      <c r="AC1943" s="10" t="s">
        <v>9022</v>
      </c>
      <c r="AD1943" s="10" t="s">
        <v>165</v>
      </c>
      <c r="AE1943" s="10" t="s">
        <v>14775</v>
      </c>
      <c r="AF1943" s="15"/>
      <c r="AG1943" s="10"/>
      <c r="AH1943" s="10"/>
      <c r="AI1943" s="10"/>
      <c r="AJ1943" s="10"/>
      <c r="AK1943" s="10"/>
      <c r="AL1943" s="10"/>
      <c r="AM1943" s="10"/>
      <c r="AN1943" s="10"/>
      <c r="AO1943" s="13" t="b">
        <v>0</v>
      </c>
      <c r="AP1943" s="10" t="s">
        <v>104</v>
      </c>
      <c r="AQ1943" s="10">
        <f ca="1">IFERROR(__xludf.DUMMYFUNCTION("""COMPUTED_VALUE"""),4553311)</f>
        <v>4553311</v>
      </c>
      <c r="AR1943" s="17"/>
      <c r="AS1943" s="17"/>
      <c r="AT1943" s="17"/>
      <c r="AU1943" s="17"/>
      <c r="AV1943" s="17"/>
      <c r="AW1943" s="10"/>
      <c r="AX1943" s="17"/>
      <c r="AY1943" s="18" t="s">
        <v>257</v>
      </c>
      <c r="AZ1943" s="10"/>
      <c r="BA1943" s="20" t="b">
        <v>0</v>
      </c>
      <c r="BB1943" s="10" t="s">
        <v>14720</v>
      </c>
      <c r="BC1943" s="17" t="s">
        <v>257</v>
      </c>
      <c r="BD1943" s="17" t="s">
        <v>257</v>
      </c>
      <c r="BE1943" s="17" t="s">
        <v>257</v>
      </c>
      <c r="BF1943" s="17" t="s">
        <v>257</v>
      </c>
      <c r="BG1943" s="11">
        <f ca="1">IFERROR(__xludf.DUMMYFUNCTION("""COMPUTED_VALUE"""),45907.5729166666)</f>
        <v>45907.572916666599</v>
      </c>
      <c r="BH1943" s="17"/>
      <c r="BI1943" s="17"/>
      <c r="BJ1943" s="15"/>
      <c r="BK1943" s="15"/>
      <c r="BL1943" s="13" t="b">
        <v>0</v>
      </c>
      <c r="BM1943" s="10"/>
      <c r="BN1943" s="10" t="s">
        <v>920</v>
      </c>
      <c r="BO1943" s="11">
        <v>45905.828472222223</v>
      </c>
      <c r="BP1943" s="11">
        <v>45905.829259259262</v>
      </c>
      <c r="BQ1943" s="15"/>
      <c r="BR1943" s="15">
        <v>45906.42732638889</v>
      </c>
      <c r="BS1943" s="10" t="s">
        <v>920</v>
      </c>
      <c r="BT1943" s="10"/>
      <c r="BU1943" s="10"/>
      <c r="BV1943" s="10"/>
      <c r="BW1943" s="10"/>
      <c r="BX1943" s="10"/>
      <c r="BY1943" s="23"/>
      <c r="BZ1943" s="23"/>
      <c r="CA1943" s="19" t="s">
        <v>9024</v>
      </c>
      <c r="CB1943" s="23"/>
      <c r="CC1943" s="23"/>
      <c r="CD1943" s="23"/>
      <c r="CE1943" s="23"/>
      <c r="CF1943" s="23"/>
      <c r="CG1943" s="23"/>
      <c r="CH1943" s="23"/>
      <c r="CI1943" s="23"/>
    </row>
    <row r="1944" spans="1:87" x14ac:dyDescent="0.3">
      <c r="A1944" s="9" t="s">
        <v>14776</v>
      </c>
      <c r="B1944" s="10" t="s">
        <v>14777</v>
      </c>
      <c r="C1944" s="11">
        <v>45907.600694444445</v>
      </c>
      <c r="D1944" s="12">
        <v>2.7777777777777776E-2</v>
      </c>
      <c r="E1944" s="11">
        <v>45907.628472222219</v>
      </c>
      <c r="F1944" s="10" t="s">
        <v>9016</v>
      </c>
      <c r="G1944" s="13" t="b">
        <v>0</v>
      </c>
      <c r="H1944" s="10" t="s">
        <v>9017</v>
      </c>
      <c r="I1944" s="10" t="s">
        <v>212</v>
      </c>
      <c r="J1944" s="13" t="b">
        <v>1</v>
      </c>
      <c r="K1944" s="13" t="b">
        <v>0</v>
      </c>
      <c r="L1944" s="10" t="s">
        <v>124</v>
      </c>
      <c r="M1944" s="10" t="s">
        <v>91</v>
      </c>
      <c r="N1944" s="10" t="s">
        <v>3513</v>
      </c>
      <c r="O1944" s="19" t="s">
        <v>14778</v>
      </c>
      <c r="P1944" s="10"/>
      <c r="Q1944" s="10" t="s">
        <v>94</v>
      </c>
      <c r="R1944" s="10"/>
      <c r="S1944" s="19" t="s">
        <v>9019</v>
      </c>
      <c r="T1944" s="10"/>
      <c r="U1944" s="10"/>
      <c r="V1944" s="10"/>
      <c r="W1944" s="10" t="s">
        <v>9020</v>
      </c>
      <c r="X1944" s="10" t="s">
        <v>130</v>
      </c>
      <c r="Y1944" s="10" t="s">
        <v>130</v>
      </c>
      <c r="Z1944" s="10" t="s">
        <v>99</v>
      </c>
      <c r="AA1944" s="10" t="s">
        <v>131</v>
      </c>
      <c r="AB1944" s="10" t="s">
        <v>9021</v>
      </c>
      <c r="AC1944" s="10" t="s">
        <v>9022</v>
      </c>
      <c r="AD1944" s="10" t="s">
        <v>165</v>
      </c>
      <c r="AE1944" s="10" t="s">
        <v>14779</v>
      </c>
      <c r="AF1944" s="15"/>
      <c r="AG1944" s="10"/>
      <c r="AH1944" s="10"/>
      <c r="AI1944" s="10"/>
      <c r="AJ1944" s="10"/>
      <c r="AK1944" s="10"/>
      <c r="AL1944" s="10"/>
      <c r="AM1944" s="10"/>
      <c r="AN1944" s="10"/>
      <c r="AO1944" s="13" t="b">
        <v>0</v>
      </c>
      <c r="AP1944" s="10" t="s">
        <v>104</v>
      </c>
      <c r="AQ1944" s="10">
        <f ca="1">IFERROR(__xludf.DUMMYFUNCTION("""COMPUTED_VALUE"""),4553309)</f>
        <v>4553309</v>
      </c>
      <c r="AR1944" s="17"/>
      <c r="AS1944" s="17"/>
      <c r="AT1944" s="17"/>
      <c r="AU1944" s="17"/>
      <c r="AV1944" s="17"/>
      <c r="AW1944" s="10"/>
      <c r="AX1944" s="17"/>
      <c r="AY1944" s="18" t="s">
        <v>257</v>
      </c>
      <c r="AZ1944" s="10"/>
      <c r="BA1944" s="20" t="b">
        <v>0</v>
      </c>
      <c r="BB1944" s="10" t="s">
        <v>14720</v>
      </c>
      <c r="BC1944" s="17" t="s">
        <v>257</v>
      </c>
      <c r="BD1944" s="17" t="s">
        <v>257</v>
      </c>
      <c r="BE1944" s="17" t="s">
        <v>257</v>
      </c>
      <c r="BF1944" s="17" t="s">
        <v>257</v>
      </c>
      <c r="BG1944" s="11">
        <f ca="1">IFERROR(__xludf.DUMMYFUNCTION("""COMPUTED_VALUE"""),45907.6006944444)</f>
        <v>45907.600694444402</v>
      </c>
      <c r="BH1944" s="17"/>
      <c r="BI1944" s="17"/>
      <c r="BJ1944" s="15"/>
      <c r="BK1944" s="15"/>
      <c r="BL1944" s="13" t="b">
        <v>0</v>
      </c>
      <c r="BM1944" s="10"/>
      <c r="BN1944" s="10" t="s">
        <v>920</v>
      </c>
      <c r="BO1944" s="11">
        <v>45905.82916666667</v>
      </c>
      <c r="BP1944" s="11">
        <v>45905.829583333332</v>
      </c>
      <c r="BQ1944" s="15"/>
      <c r="BR1944" s="15">
        <v>45906.427430555559</v>
      </c>
      <c r="BS1944" s="10" t="s">
        <v>920</v>
      </c>
      <c r="BT1944" s="10"/>
      <c r="BU1944" s="10"/>
      <c r="BV1944" s="10"/>
      <c r="BW1944" s="10"/>
      <c r="BX1944" s="10"/>
      <c r="BY1944" s="23"/>
      <c r="BZ1944" s="23"/>
      <c r="CA1944" s="19" t="s">
        <v>9024</v>
      </c>
      <c r="CB1944" s="23"/>
      <c r="CC1944" s="23"/>
      <c r="CD1944" s="23"/>
      <c r="CE1944" s="23"/>
      <c r="CF1944" s="23"/>
      <c r="CG1944" s="23"/>
      <c r="CH1944" s="23"/>
      <c r="CI1944" s="23"/>
    </row>
    <row r="1945" spans="1:87" x14ac:dyDescent="0.3">
      <c r="A1945" s="9" t="s">
        <v>14780</v>
      </c>
      <c r="B1945" s="10" t="s">
        <v>14781</v>
      </c>
      <c r="C1945" s="11">
        <v>45907.628472222219</v>
      </c>
      <c r="D1945" s="12">
        <v>2.4305555555555556E-2</v>
      </c>
      <c r="E1945" s="11">
        <v>45907.652777777781</v>
      </c>
      <c r="F1945" s="10" t="s">
        <v>9016</v>
      </c>
      <c r="G1945" s="13" t="b">
        <v>0</v>
      </c>
      <c r="H1945" s="10" t="s">
        <v>9017</v>
      </c>
      <c r="I1945" s="10" t="s">
        <v>212</v>
      </c>
      <c r="J1945" s="13" t="b">
        <v>1</v>
      </c>
      <c r="K1945" s="13" t="b">
        <v>0</v>
      </c>
      <c r="L1945" s="10" t="s">
        <v>124</v>
      </c>
      <c r="M1945" s="10" t="s">
        <v>91</v>
      </c>
      <c r="N1945" s="10" t="s">
        <v>3513</v>
      </c>
      <c r="O1945" s="19" t="s">
        <v>14782</v>
      </c>
      <c r="P1945" s="10"/>
      <c r="Q1945" s="10" t="s">
        <v>94</v>
      </c>
      <c r="R1945" s="10"/>
      <c r="S1945" s="19" t="s">
        <v>9019</v>
      </c>
      <c r="T1945" s="10"/>
      <c r="U1945" s="10"/>
      <c r="V1945" s="10"/>
      <c r="W1945" s="10" t="s">
        <v>9020</v>
      </c>
      <c r="X1945" s="10" t="s">
        <v>130</v>
      </c>
      <c r="Y1945" s="10" t="s">
        <v>130</v>
      </c>
      <c r="Z1945" s="10" t="s">
        <v>99</v>
      </c>
      <c r="AA1945" s="10" t="s">
        <v>131</v>
      </c>
      <c r="AB1945" s="10" t="s">
        <v>9021</v>
      </c>
      <c r="AC1945" s="10" t="s">
        <v>9022</v>
      </c>
      <c r="AD1945" s="10" t="s">
        <v>165</v>
      </c>
      <c r="AE1945" s="10" t="s">
        <v>14783</v>
      </c>
      <c r="AF1945" s="15"/>
      <c r="AG1945" s="10"/>
      <c r="AH1945" s="10"/>
      <c r="AI1945" s="10"/>
      <c r="AJ1945" s="10"/>
      <c r="AK1945" s="10"/>
      <c r="AL1945" s="10"/>
      <c r="AM1945" s="10"/>
      <c r="AN1945" s="10"/>
      <c r="AO1945" s="13" t="b">
        <v>0</v>
      </c>
      <c r="AP1945" s="10" t="s">
        <v>104</v>
      </c>
      <c r="AQ1945" s="10">
        <f ca="1">IFERROR(__xludf.DUMMYFUNCTION("""COMPUTED_VALUE"""),4553308)</f>
        <v>4553308</v>
      </c>
      <c r="AR1945" s="17"/>
      <c r="AS1945" s="17"/>
      <c r="AT1945" s="17"/>
      <c r="AU1945" s="17"/>
      <c r="AV1945" s="17"/>
      <c r="AW1945" s="10"/>
      <c r="AX1945" s="17"/>
      <c r="AY1945" s="18" t="s">
        <v>257</v>
      </c>
      <c r="AZ1945" s="10"/>
      <c r="BA1945" s="20" t="b">
        <v>0</v>
      </c>
      <c r="BB1945" s="10" t="s">
        <v>14720</v>
      </c>
      <c r="BC1945" s="17" t="s">
        <v>257</v>
      </c>
      <c r="BD1945" s="17" t="s">
        <v>257</v>
      </c>
      <c r="BE1945" s="17" t="s">
        <v>257</v>
      </c>
      <c r="BF1945" s="17" t="s">
        <v>257</v>
      </c>
      <c r="BG1945" s="11">
        <f ca="1">IFERROR(__xludf.DUMMYFUNCTION("""COMPUTED_VALUE"""),45907.6284722222)</f>
        <v>45907.628472222197</v>
      </c>
      <c r="BH1945" s="17"/>
      <c r="BI1945" s="17"/>
      <c r="BJ1945" s="15"/>
      <c r="BK1945" s="15"/>
      <c r="BL1945" s="13" t="b">
        <v>0</v>
      </c>
      <c r="BM1945" s="10"/>
      <c r="BN1945" s="10" t="s">
        <v>920</v>
      </c>
      <c r="BO1945" s="11">
        <v>45905.829861111109</v>
      </c>
      <c r="BP1945" s="11">
        <v>45905.83011574074</v>
      </c>
      <c r="BQ1945" s="15"/>
      <c r="BR1945" s="15">
        <v>45906.427534722221</v>
      </c>
      <c r="BS1945" s="10" t="s">
        <v>920</v>
      </c>
      <c r="BT1945" s="10"/>
      <c r="BU1945" s="10"/>
      <c r="BV1945" s="10"/>
      <c r="BW1945" s="10"/>
      <c r="BX1945" s="10"/>
      <c r="BY1945" s="23"/>
      <c r="BZ1945" s="23"/>
      <c r="CA1945" s="19" t="s">
        <v>9024</v>
      </c>
      <c r="CB1945" s="23"/>
      <c r="CC1945" s="23"/>
      <c r="CD1945" s="23"/>
      <c r="CE1945" s="23"/>
      <c r="CF1945" s="23"/>
      <c r="CG1945" s="23"/>
      <c r="CH1945" s="23"/>
      <c r="CI1945" s="23"/>
    </row>
    <row r="1946" spans="1:87" x14ac:dyDescent="0.3">
      <c r="A1946" s="9" t="s">
        <v>14784</v>
      </c>
      <c r="B1946" s="10" t="s">
        <v>14785</v>
      </c>
      <c r="C1946" s="11">
        <v>45912.791666666664</v>
      </c>
      <c r="D1946" s="12">
        <v>8.3333333333333329E-2</v>
      </c>
      <c r="E1946" s="11">
        <v>45912.875</v>
      </c>
      <c r="F1946" s="10" t="s">
        <v>14786</v>
      </c>
      <c r="G1946" s="13" t="b">
        <v>0</v>
      </c>
      <c r="H1946" s="10" t="s">
        <v>14787</v>
      </c>
      <c r="I1946" s="10" t="s">
        <v>212</v>
      </c>
      <c r="J1946" s="13" t="b">
        <v>1</v>
      </c>
      <c r="K1946" s="13" t="b">
        <v>0</v>
      </c>
      <c r="L1946" s="10" t="s">
        <v>124</v>
      </c>
      <c r="M1946" s="10" t="s">
        <v>91</v>
      </c>
      <c r="N1946" s="10" t="s">
        <v>3513</v>
      </c>
      <c r="O1946" s="19" t="s">
        <v>14788</v>
      </c>
      <c r="P1946" s="10"/>
      <c r="Q1946" s="10" t="s">
        <v>126</v>
      </c>
      <c r="R1946" s="10"/>
      <c r="S1946" s="19" t="s">
        <v>14789</v>
      </c>
      <c r="T1946" s="19" t="s">
        <v>14790</v>
      </c>
      <c r="U1946" s="10" t="s">
        <v>14791</v>
      </c>
      <c r="V1946" s="10" t="s">
        <v>14792</v>
      </c>
      <c r="W1946" s="10" t="s">
        <v>14793</v>
      </c>
      <c r="X1946" s="10" t="s">
        <v>130</v>
      </c>
      <c r="Y1946" s="10" t="s">
        <v>130</v>
      </c>
      <c r="Z1946" s="10" t="s">
        <v>99</v>
      </c>
      <c r="AA1946" s="10" t="s">
        <v>131</v>
      </c>
      <c r="AB1946" s="10" t="s">
        <v>14794</v>
      </c>
      <c r="AC1946" s="10" t="s">
        <v>3521</v>
      </c>
      <c r="AD1946" s="10" t="s">
        <v>14795</v>
      </c>
      <c r="AE1946" s="10" t="s">
        <v>14796</v>
      </c>
      <c r="AF1946" s="15"/>
      <c r="AG1946" s="10"/>
      <c r="AH1946" s="10"/>
      <c r="AI1946" s="10"/>
      <c r="AJ1946" s="10"/>
      <c r="AK1946" s="10" t="s">
        <v>102</v>
      </c>
      <c r="AL1946" s="10" t="s">
        <v>103</v>
      </c>
      <c r="AM1946" s="10"/>
      <c r="AN1946" s="10"/>
      <c r="AO1946" s="13" t="b">
        <v>0</v>
      </c>
      <c r="AP1946" s="10" t="s">
        <v>104</v>
      </c>
      <c r="AQ1946" s="10">
        <f ca="1">IFERROR(__xludf.DUMMYFUNCTION("""COMPUTED_VALUE"""),4564712)</f>
        <v>4564712</v>
      </c>
      <c r="AR1946" s="17">
        <v>47936</v>
      </c>
      <c r="AS1946" s="17">
        <v>26205</v>
      </c>
      <c r="AT1946" s="17">
        <v>444300</v>
      </c>
      <c r="AU1946" s="17">
        <v>221.75</v>
      </c>
      <c r="AV1946" s="17">
        <v>140.80000000000001</v>
      </c>
      <c r="AW1946" s="10" t="s">
        <v>105</v>
      </c>
      <c r="AX1946" s="17">
        <v>7265</v>
      </c>
      <c r="AY1946" s="18">
        <v>16.954779622209504</v>
      </c>
      <c r="AZ1946" s="10" t="s">
        <v>106</v>
      </c>
      <c r="BA1946" s="20" t="b">
        <v>0</v>
      </c>
      <c r="BB1946" s="10"/>
      <c r="BC1946" s="17">
        <v>47936</v>
      </c>
      <c r="BD1946" s="17">
        <v>26205</v>
      </c>
      <c r="BE1946" s="17">
        <v>444300</v>
      </c>
      <c r="BF1946" s="17">
        <v>140.80000000000001</v>
      </c>
      <c r="BG1946" s="11">
        <f ca="1">IFERROR(__xludf.DUMMYFUNCTION("""COMPUTED_VALUE"""),45912.7916666666)</f>
        <v>45912.791666666599</v>
      </c>
      <c r="BH1946" s="17" t="s">
        <v>105</v>
      </c>
      <c r="BI1946" s="17"/>
      <c r="BJ1946" s="15"/>
      <c r="BK1946" s="15"/>
      <c r="BL1946" s="13" t="b">
        <v>0</v>
      </c>
      <c r="BM1946" s="10"/>
      <c r="BN1946" s="10" t="s">
        <v>667</v>
      </c>
      <c r="BO1946" s="11">
        <v>45908.489583333336</v>
      </c>
      <c r="BP1946" s="11">
        <v>45908.583773148152</v>
      </c>
      <c r="BQ1946" s="15">
        <v>45910.818356481483</v>
      </c>
      <c r="BR1946" s="15">
        <v>45911.350497685184</v>
      </c>
      <c r="BS1946" s="10" t="s">
        <v>667</v>
      </c>
      <c r="BT1946" s="10" t="s">
        <v>279</v>
      </c>
      <c r="BU1946" s="10" t="s">
        <v>1253</v>
      </c>
      <c r="BV1946" s="10"/>
      <c r="BW1946" s="10"/>
      <c r="BX1946" s="10"/>
      <c r="BY1946" s="23"/>
      <c r="BZ1946" s="23"/>
      <c r="CA1946" s="19" t="s">
        <v>14797</v>
      </c>
      <c r="CB1946" s="19" t="s">
        <v>14798</v>
      </c>
      <c r="CC1946" s="23"/>
      <c r="CD1946" s="19" t="s">
        <v>14799</v>
      </c>
      <c r="CE1946" s="23"/>
      <c r="CF1946" s="23"/>
      <c r="CG1946" s="23"/>
      <c r="CH1946" s="23"/>
      <c r="CI1946" s="23"/>
    </row>
    <row r="1947" spans="1:87" x14ac:dyDescent="0.3">
      <c r="A1947" s="9" t="s">
        <v>14800</v>
      </c>
      <c r="B1947" s="10" t="s">
        <v>14801</v>
      </c>
      <c r="C1947" s="11">
        <v>45912.791666666664</v>
      </c>
      <c r="D1947" s="12">
        <v>8.3333333333333329E-2</v>
      </c>
      <c r="E1947" s="11">
        <v>45912.875</v>
      </c>
      <c r="F1947" s="10" t="s">
        <v>14786</v>
      </c>
      <c r="G1947" s="13" t="b">
        <v>0</v>
      </c>
      <c r="H1947" s="10" t="s">
        <v>236</v>
      </c>
      <c r="I1947" s="10" t="s">
        <v>212</v>
      </c>
      <c r="J1947" s="13" t="b">
        <v>1</v>
      </c>
      <c r="K1947" s="13" t="b">
        <v>0</v>
      </c>
      <c r="L1947" s="10" t="s">
        <v>124</v>
      </c>
      <c r="M1947" s="10" t="s">
        <v>91</v>
      </c>
      <c r="N1947" s="10" t="s">
        <v>3513</v>
      </c>
      <c r="O1947" s="19" t="s">
        <v>14802</v>
      </c>
      <c r="P1947" s="10"/>
      <c r="Q1947" s="10" t="s">
        <v>126</v>
      </c>
      <c r="R1947" s="10"/>
      <c r="S1947" s="19" t="s">
        <v>14803</v>
      </c>
      <c r="T1947" s="19" t="s">
        <v>14790</v>
      </c>
      <c r="U1947" s="10" t="s">
        <v>14804</v>
      </c>
      <c r="V1947" s="10" t="s">
        <v>14805</v>
      </c>
      <c r="W1947" s="10" t="s">
        <v>14793</v>
      </c>
      <c r="X1947" s="10" t="s">
        <v>130</v>
      </c>
      <c r="Y1947" s="10" t="s">
        <v>130</v>
      </c>
      <c r="Z1947" s="10" t="s">
        <v>99</v>
      </c>
      <c r="AA1947" s="10" t="s">
        <v>131</v>
      </c>
      <c r="AB1947" s="10" t="s">
        <v>14794</v>
      </c>
      <c r="AC1947" s="10" t="s">
        <v>3521</v>
      </c>
      <c r="AD1947" s="10" t="s">
        <v>14806</v>
      </c>
      <c r="AE1947" s="10" t="s">
        <v>14807</v>
      </c>
      <c r="AF1947" s="15"/>
      <c r="AG1947" s="10"/>
      <c r="AH1947" s="10"/>
      <c r="AI1947" s="10"/>
      <c r="AJ1947" s="10"/>
      <c r="AK1947" s="10" t="s">
        <v>102</v>
      </c>
      <c r="AL1947" s="10" t="s">
        <v>103</v>
      </c>
      <c r="AM1947" s="10"/>
      <c r="AN1947" s="10"/>
      <c r="AO1947" s="13" t="b">
        <v>0</v>
      </c>
      <c r="AP1947" s="10" t="s">
        <v>104</v>
      </c>
      <c r="AQ1947" s="10">
        <f ca="1">IFERROR(__xludf.DUMMYFUNCTION("""COMPUTED_VALUE"""),4564766)</f>
        <v>4564766</v>
      </c>
      <c r="AR1947" s="17">
        <v>241071</v>
      </c>
      <c r="AS1947" s="17">
        <v>153873</v>
      </c>
      <c r="AT1947" s="17">
        <v>2532176.5</v>
      </c>
      <c r="AU1947" s="17">
        <v>561.85</v>
      </c>
      <c r="AV1947" s="17">
        <v>262.8</v>
      </c>
      <c r="AW1947" s="10" t="s">
        <v>105</v>
      </c>
      <c r="AX1947" s="17">
        <v>33819</v>
      </c>
      <c r="AY1947" s="18">
        <v>16.456275629902581</v>
      </c>
      <c r="AZ1947" s="10" t="s">
        <v>106</v>
      </c>
      <c r="BA1947" s="20" t="b">
        <v>0</v>
      </c>
      <c r="BB1947" s="10"/>
      <c r="BC1947" s="17">
        <v>241071</v>
      </c>
      <c r="BD1947" s="17">
        <v>153873</v>
      </c>
      <c r="BE1947" s="17">
        <v>2532176.5</v>
      </c>
      <c r="BF1947" s="17">
        <v>262.8</v>
      </c>
      <c r="BG1947" s="11">
        <f ca="1">IFERROR(__xludf.DUMMYFUNCTION("""COMPUTED_VALUE"""),45912.7916666666)</f>
        <v>45912.791666666599</v>
      </c>
      <c r="BH1947" s="17" t="s">
        <v>105</v>
      </c>
      <c r="BI1947" s="17"/>
      <c r="BJ1947" s="15"/>
      <c r="BK1947" s="15"/>
      <c r="BL1947" s="13" t="b">
        <v>0</v>
      </c>
      <c r="BM1947" s="10"/>
      <c r="BN1947" s="10" t="s">
        <v>667</v>
      </c>
      <c r="BO1947" s="11">
        <v>45908.513888888891</v>
      </c>
      <c r="BP1947" s="11">
        <v>45908.584016203706</v>
      </c>
      <c r="BQ1947" s="15">
        <v>45910.819085648145</v>
      </c>
      <c r="BR1947" s="15">
        <v>45911.350844907407</v>
      </c>
      <c r="BS1947" s="10" t="s">
        <v>667</v>
      </c>
      <c r="BT1947" s="10" t="s">
        <v>99</v>
      </c>
      <c r="BU1947" s="10" t="s">
        <v>718</v>
      </c>
      <c r="BV1947" s="10"/>
      <c r="BW1947" s="10"/>
      <c r="BX1947" s="10"/>
      <c r="BY1947" s="23"/>
      <c r="BZ1947" s="23"/>
      <c r="CA1947" s="19" t="s">
        <v>14808</v>
      </c>
      <c r="CB1947" s="19" t="s">
        <v>14809</v>
      </c>
      <c r="CC1947" s="23"/>
      <c r="CD1947" s="19" t="s">
        <v>14810</v>
      </c>
      <c r="CE1947" s="23"/>
      <c r="CF1947" s="23"/>
      <c r="CG1947" s="23"/>
      <c r="CH1947" s="23"/>
      <c r="CI1947" s="23"/>
    </row>
    <row r="1948" spans="1:87" x14ac:dyDescent="0.3">
      <c r="A1948" s="9" t="s">
        <v>14811</v>
      </c>
      <c r="B1948" s="10" t="s">
        <v>14812</v>
      </c>
      <c r="C1948" s="11">
        <v>45914.645833333336</v>
      </c>
      <c r="D1948" s="12">
        <v>8.3333333333333329E-2</v>
      </c>
      <c r="E1948" s="11">
        <v>45914.729166666664</v>
      </c>
      <c r="F1948" s="10" t="s">
        <v>14786</v>
      </c>
      <c r="G1948" s="13" t="b">
        <v>0</v>
      </c>
      <c r="H1948" s="10" t="s">
        <v>14787</v>
      </c>
      <c r="I1948" s="10" t="s">
        <v>212</v>
      </c>
      <c r="J1948" s="13" t="b">
        <v>1</v>
      </c>
      <c r="K1948" s="13" t="b">
        <v>0</v>
      </c>
      <c r="L1948" s="10" t="s">
        <v>124</v>
      </c>
      <c r="M1948" s="10" t="s">
        <v>91</v>
      </c>
      <c r="N1948" s="10" t="s">
        <v>3513</v>
      </c>
      <c r="O1948" s="19" t="s">
        <v>14813</v>
      </c>
      <c r="P1948" s="10"/>
      <c r="Q1948" s="10" t="s">
        <v>126</v>
      </c>
      <c r="R1948" s="10"/>
      <c r="S1948" s="19" t="s">
        <v>14814</v>
      </c>
      <c r="T1948" s="19" t="s">
        <v>14790</v>
      </c>
      <c r="U1948" s="10" t="s">
        <v>14815</v>
      </c>
      <c r="V1948" s="10" t="s">
        <v>14816</v>
      </c>
      <c r="W1948" s="10" t="s">
        <v>14793</v>
      </c>
      <c r="X1948" s="10" t="s">
        <v>130</v>
      </c>
      <c r="Y1948" s="10" t="s">
        <v>130</v>
      </c>
      <c r="Z1948" s="10" t="s">
        <v>99</v>
      </c>
      <c r="AA1948" s="10" t="s">
        <v>131</v>
      </c>
      <c r="AB1948" s="10" t="s">
        <v>14794</v>
      </c>
      <c r="AC1948" s="10" t="s">
        <v>3521</v>
      </c>
      <c r="AD1948" s="10" t="s">
        <v>14817</v>
      </c>
      <c r="AE1948" s="10" t="s">
        <v>14818</v>
      </c>
      <c r="AF1948" s="15"/>
      <c r="AG1948" s="10"/>
      <c r="AH1948" s="10"/>
      <c r="AI1948" s="10"/>
      <c r="AJ1948" s="10"/>
      <c r="AK1948" s="10" t="s">
        <v>102</v>
      </c>
      <c r="AL1948" s="10" t="s">
        <v>103</v>
      </c>
      <c r="AM1948" s="10"/>
      <c r="AN1948" s="10"/>
      <c r="AO1948" s="13" t="b">
        <v>0</v>
      </c>
      <c r="AP1948" s="10" t="s">
        <v>104</v>
      </c>
      <c r="AQ1948" s="10">
        <f ca="1">IFERROR(__xludf.DUMMYFUNCTION("""COMPUTED_VALUE"""),4567623)</f>
        <v>4567623</v>
      </c>
      <c r="AR1948" s="17">
        <v>57124</v>
      </c>
      <c r="AS1948" s="17">
        <v>33135</v>
      </c>
      <c r="AT1948" s="17">
        <v>507131.75</v>
      </c>
      <c r="AU1948" s="17">
        <v>160.6</v>
      </c>
      <c r="AV1948" s="17">
        <v>108.15</v>
      </c>
      <c r="AW1948" s="10" t="s">
        <v>105</v>
      </c>
      <c r="AX1948" s="17">
        <v>8586</v>
      </c>
      <c r="AY1948" s="18">
        <v>15.305017353251849</v>
      </c>
      <c r="AZ1948" s="10" t="s">
        <v>106</v>
      </c>
      <c r="BA1948" s="20" t="b">
        <v>0</v>
      </c>
      <c r="BB1948" s="10"/>
      <c r="BC1948" s="17">
        <v>57124</v>
      </c>
      <c r="BD1948" s="17">
        <v>33135</v>
      </c>
      <c r="BE1948" s="17">
        <v>507131.75</v>
      </c>
      <c r="BF1948" s="17">
        <v>108.15</v>
      </c>
      <c r="BG1948" s="11">
        <f ca="1">IFERROR(__xludf.DUMMYFUNCTION("""COMPUTED_VALUE"""),45914.6458333333)</f>
        <v>45914.645833333299</v>
      </c>
      <c r="BH1948" s="17" t="s">
        <v>105</v>
      </c>
      <c r="BI1948" s="17"/>
      <c r="BJ1948" s="15"/>
      <c r="BK1948" s="15"/>
      <c r="BL1948" s="13" t="b">
        <v>0</v>
      </c>
      <c r="BM1948" s="10"/>
      <c r="BN1948" s="10" t="s">
        <v>634</v>
      </c>
      <c r="BO1948" s="11">
        <v>45908.520833333336</v>
      </c>
      <c r="BP1948" s="11">
        <v>45908.585833333331</v>
      </c>
      <c r="BQ1948" s="15">
        <v>45912.873055555552</v>
      </c>
      <c r="BR1948" s="15">
        <v>45912.980462962965</v>
      </c>
      <c r="BS1948" s="10" t="s">
        <v>634</v>
      </c>
      <c r="BT1948" s="10" t="s">
        <v>99</v>
      </c>
      <c r="BU1948" s="10" t="s">
        <v>521</v>
      </c>
      <c r="BV1948" s="10"/>
      <c r="BW1948" s="10"/>
      <c r="BX1948" s="10"/>
      <c r="BY1948" s="23"/>
      <c r="BZ1948" s="23"/>
      <c r="CA1948" s="19" t="s">
        <v>14819</v>
      </c>
      <c r="CB1948" s="19" t="s">
        <v>14820</v>
      </c>
      <c r="CC1948" s="23"/>
      <c r="CD1948" s="19" t="s">
        <v>14821</v>
      </c>
      <c r="CE1948" s="23"/>
      <c r="CF1948" s="23"/>
      <c r="CG1948" s="23"/>
      <c r="CH1948" s="23"/>
      <c r="CI1948" s="23"/>
    </row>
    <row r="1949" spans="1:87" x14ac:dyDescent="0.3">
      <c r="A1949" s="9" t="s">
        <v>14822</v>
      </c>
      <c r="B1949" s="10" t="s">
        <v>14823</v>
      </c>
      <c r="C1949" s="11">
        <v>45914.791666666664</v>
      </c>
      <c r="D1949" s="12">
        <v>8.3333333333333329E-2</v>
      </c>
      <c r="E1949" s="11">
        <v>45914.875</v>
      </c>
      <c r="F1949" s="10" t="s">
        <v>14786</v>
      </c>
      <c r="G1949" s="13" t="b">
        <v>0</v>
      </c>
      <c r="H1949" s="10" t="s">
        <v>14787</v>
      </c>
      <c r="I1949" s="10" t="s">
        <v>3548</v>
      </c>
      <c r="J1949" s="13" t="b">
        <v>0</v>
      </c>
      <c r="K1949" s="13" t="b">
        <v>1</v>
      </c>
      <c r="L1949" s="10" t="s">
        <v>124</v>
      </c>
      <c r="M1949" s="10" t="s">
        <v>91</v>
      </c>
      <c r="N1949" s="10" t="s">
        <v>3513</v>
      </c>
      <c r="O1949" s="19" t="s">
        <v>14824</v>
      </c>
      <c r="P1949" s="10"/>
      <c r="Q1949" s="10" t="s">
        <v>126</v>
      </c>
      <c r="R1949" s="10"/>
      <c r="S1949" s="19" t="s">
        <v>14825</v>
      </c>
      <c r="T1949" s="19" t="s">
        <v>14790</v>
      </c>
      <c r="U1949" s="10" t="s">
        <v>14826</v>
      </c>
      <c r="V1949" s="10" t="s">
        <v>14827</v>
      </c>
      <c r="W1949" s="10" t="s">
        <v>14793</v>
      </c>
      <c r="X1949" s="10" t="s">
        <v>130</v>
      </c>
      <c r="Y1949" s="10" t="s">
        <v>130</v>
      </c>
      <c r="Z1949" s="10" t="s">
        <v>99</v>
      </c>
      <c r="AA1949" s="10" t="s">
        <v>131</v>
      </c>
      <c r="AB1949" s="10" t="s">
        <v>14794</v>
      </c>
      <c r="AC1949" s="10" t="s">
        <v>3521</v>
      </c>
      <c r="AD1949" s="10" t="s">
        <v>14828</v>
      </c>
      <c r="AE1949" s="10" t="s">
        <v>14829</v>
      </c>
      <c r="AF1949" s="15"/>
      <c r="AG1949" s="10"/>
      <c r="AH1949" s="10"/>
      <c r="AI1949" s="10"/>
      <c r="AJ1949" s="10"/>
      <c r="AK1949" s="10" t="s">
        <v>102</v>
      </c>
      <c r="AL1949" s="10" t="s">
        <v>103</v>
      </c>
      <c r="AM1949" s="10"/>
      <c r="AN1949" s="10"/>
      <c r="AO1949" s="13" t="b">
        <v>0</v>
      </c>
      <c r="AP1949" s="10" t="s">
        <v>104</v>
      </c>
      <c r="AQ1949" s="10">
        <f ca="1">IFERROR(__xludf.DUMMYFUNCTION("""COMPUTED_VALUE"""),4567624)</f>
        <v>4567624</v>
      </c>
      <c r="AR1949" s="17">
        <v>46705</v>
      </c>
      <c r="AS1949" s="17">
        <v>32892</v>
      </c>
      <c r="AT1949" s="17">
        <v>328005</v>
      </c>
      <c r="AU1949" s="17">
        <v>445.3</v>
      </c>
      <c r="AV1949" s="17">
        <v>336.1</v>
      </c>
      <c r="AW1949" s="10" t="s">
        <v>105</v>
      </c>
      <c r="AX1949" s="17">
        <v>7825</v>
      </c>
      <c r="AY1949" s="18">
        <v>9.9721816855162349</v>
      </c>
      <c r="AZ1949" s="10" t="s">
        <v>106</v>
      </c>
      <c r="BA1949" s="20" t="b">
        <v>0</v>
      </c>
      <c r="BB1949" s="10"/>
      <c r="BC1949" s="17">
        <v>46705</v>
      </c>
      <c r="BD1949" s="17">
        <v>32892</v>
      </c>
      <c r="BE1949" s="17">
        <v>328005</v>
      </c>
      <c r="BF1949" s="17">
        <v>336.1</v>
      </c>
      <c r="BG1949" s="11">
        <f ca="1">IFERROR(__xludf.DUMMYFUNCTION("""COMPUTED_VALUE"""),45914.7916666666)</f>
        <v>45914.791666666599</v>
      </c>
      <c r="BH1949" s="17" t="s">
        <v>105</v>
      </c>
      <c r="BI1949" s="17"/>
      <c r="BJ1949" s="15"/>
      <c r="BK1949" s="15"/>
      <c r="BL1949" s="13" t="b">
        <v>0</v>
      </c>
      <c r="BM1949" s="10"/>
      <c r="BN1949" s="10" t="s">
        <v>634</v>
      </c>
      <c r="BO1949" s="11">
        <v>45908.522222222222</v>
      </c>
      <c r="BP1949" s="11">
        <v>45908.586030092592</v>
      </c>
      <c r="BQ1949" s="15">
        <v>45912.873194444444</v>
      </c>
      <c r="BR1949" s="15">
        <v>45912.980856481481</v>
      </c>
      <c r="BS1949" s="10" t="s">
        <v>634</v>
      </c>
      <c r="BT1949" s="10" t="s">
        <v>279</v>
      </c>
      <c r="BU1949" s="10" t="s">
        <v>521</v>
      </c>
      <c r="BV1949" s="10"/>
      <c r="BW1949" s="10"/>
      <c r="BX1949" s="10"/>
      <c r="BY1949" s="23"/>
      <c r="BZ1949" s="23"/>
      <c r="CA1949" s="19" t="s">
        <v>14830</v>
      </c>
      <c r="CB1949" s="19" t="s">
        <v>14831</v>
      </c>
      <c r="CC1949" s="23"/>
      <c r="CD1949" s="19" t="s">
        <v>14832</v>
      </c>
      <c r="CE1949" s="23"/>
      <c r="CF1949" s="23"/>
      <c r="CG1949" s="23"/>
      <c r="CH1949" s="23"/>
      <c r="CI1949" s="23"/>
    </row>
    <row r="1950" spans="1:87" x14ac:dyDescent="0.3">
      <c r="A1950" s="9" t="s">
        <v>14833</v>
      </c>
      <c r="B1950" s="10" t="s">
        <v>14834</v>
      </c>
      <c r="C1950" s="11">
        <v>45915.645833333336</v>
      </c>
      <c r="D1950" s="12">
        <v>8.3333333333333329E-2</v>
      </c>
      <c r="E1950" s="11">
        <v>45915.729166666664</v>
      </c>
      <c r="F1950" s="10" t="s">
        <v>14786</v>
      </c>
      <c r="G1950" s="13" t="b">
        <v>0</v>
      </c>
      <c r="H1950" s="10" t="s">
        <v>14787</v>
      </c>
      <c r="I1950" s="10" t="s">
        <v>3548</v>
      </c>
      <c r="J1950" s="13" t="b">
        <v>0</v>
      </c>
      <c r="K1950" s="13" t="b">
        <v>1</v>
      </c>
      <c r="L1950" s="10" t="s">
        <v>124</v>
      </c>
      <c r="M1950" s="10" t="s">
        <v>91</v>
      </c>
      <c r="N1950" s="10" t="s">
        <v>3513</v>
      </c>
      <c r="O1950" s="19" t="s">
        <v>14835</v>
      </c>
      <c r="P1950" s="10"/>
      <c r="Q1950" s="10" t="s">
        <v>126</v>
      </c>
      <c r="R1950" s="10"/>
      <c r="S1950" s="19" t="s">
        <v>14836</v>
      </c>
      <c r="T1950" s="19" t="s">
        <v>14790</v>
      </c>
      <c r="U1950" s="10" t="s">
        <v>14837</v>
      </c>
      <c r="V1950" s="10" t="s">
        <v>14838</v>
      </c>
      <c r="W1950" s="10" t="s">
        <v>14793</v>
      </c>
      <c r="X1950" s="10" t="s">
        <v>130</v>
      </c>
      <c r="Y1950" s="10" t="s">
        <v>130</v>
      </c>
      <c r="Z1950" s="10" t="s">
        <v>99</v>
      </c>
      <c r="AA1950" s="10" t="s">
        <v>131</v>
      </c>
      <c r="AB1950" s="10" t="s">
        <v>14794</v>
      </c>
      <c r="AC1950" s="10" t="s">
        <v>3521</v>
      </c>
      <c r="AD1950" s="10" t="s">
        <v>14839</v>
      </c>
      <c r="AE1950" s="10" t="s">
        <v>14840</v>
      </c>
      <c r="AF1950" s="15"/>
      <c r="AG1950" s="10"/>
      <c r="AH1950" s="10"/>
      <c r="AI1950" s="10"/>
      <c r="AJ1950" s="10"/>
      <c r="AK1950" s="10" t="s">
        <v>102</v>
      </c>
      <c r="AL1950" s="10" t="s">
        <v>103</v>
      </c>
      <c r="AM1950" s="10"/>
      <c r="AN1950" s="10"/>
      <c r="AO1950" s="13" t="b">
        <v>0</v>
      </c>
      <c r="AP1950" s="10" t="s">
        <v>104</v>
      </c>
      <c r="AQ1950" s="10">
        <f ca="1">IFERROR(__xludf.DUMMYFUNCTION("""COMPUTED_VALUE"""),4568442)</f>
        <v>4568442</v>
      </c>
      <c r="AR1950" s="17">
        <v>67887</v>
      </c>
      <c r="AS1950" s="17">
        <v>46336</v>
      </c>
      <c r="AT1950" s="17">
        <v>1136379.25</v>
      </c>
      <c r="AU1950" s="17">
        <v>779.55</v>
      </c>
      <c r="AV1950" s="17">
        <v>563.4</v>
      </c>
      <c r="AW1950" s="10" t="s">
        <v>105</v>
      </c>
      <c r="AX1950" s="17">
        <v>14374</v>
      </c>
      <c r="AY1950" s="18">
        <v>24.524759366367402</v>
      </c>
      <c r="AZ1950" s="10" t="s">
        <v>106</v>
      </c>
      <c r="BA1950" s="20" t="b">
        <v>0</v>
      </c>
      <c r="BB1950" s="10"/>
      <c r="BC1950" s="17">
        <v>67887</v>
      </c>
      <c r="BD1950" s="17">
        <v>46336</v>
      </c>
      <c r="BE1950" s="17">
        <v>1136379.25</v>
      </c>
      <c r="BF1950" s="17">
        <v>563.4</v>
      </c>
      <c r="BG1950" s="11">
        <f ca="1">IFERROR(__xludf.DUMMYFUNCTION("""COMPUTED_VALUE"""),45915.6458333333)</f>
        <v>45915.645833333299</v>
      </c>
      <c r="BH1950" s="17" t="s">
        <v>105</v>
      </c>
      <c r="BI1950" s="17"/>
      <c r="BJ1950" s="15"/>
      <c r="BK1950" s="15"/>
      <c r="BL1950" s="13" t="b">
        <v>0</v>
      </c>
      <c r="BM1950" s="10"/>
      <c r="BN1950" s="10" t="s">
        <v>197</v>
      </c>
      <c r="BO1950" s="11">
        <v>45908.525000000001</v>
      </c>
      <c r="BP1950" s="11">
        <v>45908.586180555554</v>
      </c>
      <c r="BQ1950" s="15">
        <v>45912.873414351852</v>
      </c>
      <c r="BR1950" s="15">
        <v>45913.0703587963</v>
      </c>
      <c r="BS1950" s="10" t="s">
        <v>197</v>
      </c>
      <c r="BT1950" s="10" t="s">
        <v>99</v>
      </c>
      <c r="BU1950" s="10"/>
      <c r="BV1950" s="10"/>
      <c r="BW1950" s="10"/>
      <c r="BX1950" s="10"/>
      <c r="BY1950" s="23"/>
      <c r="BZ1950" s="23"/>
      <c r="CA1950" s="19" t="s">
        <v>14841</v>
      </c>
      <c r="CB1950" s="19" t="s">
        <v>14842</v>
      </c>
      <c r="CC1950" s="23"/>
      <c r="CD1950" s="19" t="s">
        <v>14843</v>
      </c>
      <c r="CE1950" s="23"/>
      <c r="CF1950" s="23"/>
      <c r="CG1950" s="23"/>
      <c r="CH1950" s="23"/>
      <c r="CI1950" s="23"/>
    </row>
    <row r="1951" spans="1:87" x14ac:dyDescent="0.3">
      <c r="A1951" s="9" t="s">
        <v>14844</v>
      </c>
      <c r="B1951" s="10" t="s">
        <v>14845</v>
      </c>
      <c r="C1951" s="11">
        <v>45915.791666666664</v>
      </c>
      <c r="D1951" s="12">
        <v>8.3333333333333329E-2</v>
      </c>
      <c r="E1951" s="11">
        <v>45915.875</v>
      </c>
      <c r="F1951" s="10" t="s">
        <v>14786</v>
      </c>
      <c r="G1951" s="13" t="b">
        <v>0</v>
      </c>
      <c r="H1951" s="10" t="s">
        <v>14787</v>
      </c>
      <c r="I1951" s="10" t="s">
        <v>3548</v>
      </c>
      <c r="J1951" s="13" t="b">
        <v>0</v>
      </c>
      <c r="K1951" s="13" t="b">
        <v>1</v>
      </c>
      <c r="L1951" s="10" t="s">
        <v>124</v>
      </c>
      <c r="M1951" s="10" t="s">
        <v>91</v>
      </c>
      <c r="N1951" s="10" t="s">
        <v>3513</v>
      </c>
      <c r="O1951" s="19" t="s">
        <v>14846</v>
      </c>
      <c r="P1951" s="10"/>
      <c r="Q1951" s="10" t="s">
        <v>126</v>
      </c>
      <c r="R1951" s="10"/>
      <c r="S1951" s="19" t="s">
        <v>14847</v>
      </c>
      <c r="T1951" s="19" t="s">
        <v>14790</v>
      </c>
      <c r="U1951" s="10" t="s">
        <v>14848</v>
      </c>
      <c r="V1951" s="10" t="s">
        <v>14849</v>
      </c>
      <c r="W1951" s="10" t="s">
        <v>14793</v>
      </c>
      <c r="X1951" s="10" t="s">
        <v>130</v>
      </c>
      <c r="Y1951" s="10" t="s">
        <v>130</v>
      </c>
      <c r="Z1951" s="10" t="s">
        <v>99</v>
      </c>
      <c r="AA1951" s="10" t="s">
        <v>131</v>
      </c>
      <c r="AB1951" s="10" t="s">
        <v>14794</v>
      </c>
      <c r="AC1951" s="10" t="s">
        <v>3521</v>
      </c>
      <c r="AD1951" s="10" t="s">
        <v>14850</v>
      </c>
      <c r="AE1951" s="10" t="s">
        <v>14851</v>
      </c>
      <c r="AF1951" s="15"/>
      <c r="AG1951" s="10"/>
      <c r="AH1951" s="10"/>
      <c r="AI1951" s="10"/>
      <c r="AJ1951" s="10"/>
      <c r="AK1951" s="10" t="s">
        <v>102</v>
      </c>
      <c r="AL1951" s="10" t="s">
        <v>103</v>
      </c>
      <c r="AM1951" s="10"/>
      <c r="AN1951" s="10"/>
      <c r="AO1951" s="13" t="b">
        <v>0</v>
      </c>
      <c r="AP1951" s="10" t="s">
        <v>104</v>
      </c>
      <c r="AQ1951" s="10">
        <f ca="1">IFERROR(__xludf.DUMMYFUNCTION("""COMPUTED_VALUE"""),4568462)</f>
        <v>4568462</v>
      </c>
      <c r="AR1951" s="17">
        <v>118347</v>
      </c>
      <c r="AS1951" s="17">
        <v>78078</v>
      </c>
      <c r="AT1951" s="17">
        <v>2597277</v>
      </c>
      <c r="AU1951" s="17">
        <v>1516.9</v>
      </c>
      <c r="AV1951" s="17">
        <v>854.35</v>
      </c>
      <c r="AW1951" s="10" t="s">
        <v>105</v>
      </c>
      <c r="AX1951" s="17">
        <v>28965</v>
      </c>
      <c r="AY1951" s="18">
        <v>33.265157919004075</v>
      </c>
      <c r="AZ1951" s="10" t="s">
        <v>106</v>
      </c>
      <c r="BA1951" s="20" t="b">
        <v>0</v>
      </c>
      <c r="BB1951" s="10"/>
      <c r="BC1951" s="17">
        <v>118347</v>
      </c>
      <c r="BD1951" s="17">
        <v>78078</v>
      </c>
      <c r="BE1951" s="17">
        <v>2597277</v>
      </c>
      <c r="BF1951" s="17">
        <v>854.35</v>
      </c>
      <c r="BG1951" s="11">
        <f ca="1">IFERROR(__xludf.DUMMYFUNCTION("""COMPUTED_VALUE"""),45915.7916666666)</f>
        <v>45915.791666666599</v>
      </c>
      <c r="BH1951" s="17" t="s">
        <v>105</v>
      </c>
      <c r="BI1951" s="17"/>
      <c r="BJ1951" s="15"/>
      <c r="BK1951" s="15"/>
      <c r="BL1951" s="13" t="b">
        <v>0</v>
      </c>
      <c r="BM1951" s="10"/>
      <c r="BN1951" s="10" t="s">
        <v>197</v>
      </c>
      <c r="BO1951" s="11">
        <v>45908.553472222222</v>
      </c>
      <c r="BP1951" s="11">
        <v>45908.586331018516</v>
      </c>
      <c r="BQ1951" s="15">
        <v>45912.873622685183</v>
      </c>
      <c r="BR1951" s="15">
        <v>45913.070520833331</v>
      </c>
      <c r="BS1951" s="10" t="s">
        <v>197</v>
      </c>
      <c r="BT1951" s="10" t="s">
        <v>99</v>
      </c>
      <c r="BU1951" s="10"/>
      <c r="BV1951" s="10"/>
      <c r="BW1951" s="10"/>
      <c r="BX1951" s="10"/>
      <c r="BY1951" s="23"/>
      <c r="BZ1951" s="23"/>
      <c r="CA1951" s="19" t="s">
        <v>14852</v>
      </c>
      <c r="CB1951" s="19" t="s">
        <v>14853</v>
      </c>
      <c r="CC1951" s="23"/>
      <c r="CD1951" s="19" t="s">
        <v>14854</v>
      </c>
      <c r="CE1951" s="23"/>
      <c r="CF1951" s="23"/>
      <c r="CG1951" s="23"/>
      <c r="CH1951" s="23"/>
      <c r="CI1951" s="23"/>
    </row>
    <row r="1952" spans="1:87" x14ac:dyDescent="0.3">
      <c r="A1952" s="9" t="s">
        <v>14855</v>
      </c>
      <c r="B1952" s="10" t="s">
        <v>14856</v>
      </c>
      <c r="C1952" s="11">
        <v>45912.791666666664</v>
      </c>
      <c r="D1952" s="12">
        <v>8.3333333333333329E-2</v>
      </c>
      <c r="E1952" s="11">
        <v>45912.875</v>
      </c>
      <c r="F1952" s="10" t="s">
        <v>14786</v>
      </c>
      <c r="G1952" s="13" t="b">
        <v>0</v>
      </c>
      <c r="H1952" s="10" t="s">
        <v>14787</v>
      </c>
      <c r="I1952" s="10" t="s">
        <v>3548</v>
      </c>
      <c r="J1952" s="13" t="b">
        <v>0</v>
      </c>
      <c r="K1952" s="13" t="b">
        <v>1</v>
      </c>
      <c r="L1952" s="10" t="s">
        <v>124</v>
      </c>
      <c r="M1952" s="10" t="s">
        <v>91</v>
      </c>
      <c r="N1952" s="10" t="s">
        <v>3513</v>
      </c>
      <c r="O1952" s="19" t="s">
        <v>14857</v>
      </c>
      <c r="P1952" s="10"/>
      <c r="Q1952" s="10" t="s">
        <v>126</v>
      </c>
      <c r="R1952" s="10"/>
      <c r="S1952" s="19" t="s">
        <v>14858</v>
      </c>
      <c r="T1952" s="19" t="s">
        <v>14790</v>
      </c>
      <c r="U1952" s="10" t="s">
        <v>14859</v>
      </c>
      <c r="V1952" s="10" t="s">
        <v>14860</v>
      </c>
      <c r="W1952" s="10" t="s">
        <v>14793</v>
      </c>
      <c r="X1952" s="10" t="s">
        <v>130</v>
      </c>
      <c r="Y1952" s="10" t="s">
        <v>130</v>
      </c>
      <c r="Z1952" s="10" t="s">
        <v>99</v>
      </c>
      <c r="AA1952" s="10" t="s">
        <v>131</v>
      </c>
      <c r="AB1952" s="10" t="s">
        <v>14794</v>
      </c>
      <c r="AC1952" s="10" t="s">
        <v>3521</v>
      </c>
      <c r="AD1952" s="10" t="s">
        <v>14861</v>
      </c>
      <c r="AE1952" s="10" t="s">
        <v>14862</v>
      </c>
      <c r="AF1952" s="15"/>
      <c r="AG1952" s="10"/>
      <c r="AH1952" s="10"/>
      <c r="AI1952" s="10"/>
      <c r="AJ1952" s="10"/>
      <c r="AK1952" s="10" t="s">
        <v>102</v>
      </c>
      <c r="AL1952" s="10" t="s">
        <v>103</v>
      </c>
      <c r="AM1952" s="10"/>
      <c r="AN1952" s="10"/>
      <c r="AO1952" s="13" t="b">
        <v>0</v>
      </c>
      <c r="AP1952" s="10" t="s">
        <v>104</v>
      </c>
      <c r="AQ1952" s="10">
        <f ca="1">IFERROR(__xludf.DUMMYFUNCTION("""COMPUTED_VALUE"""),4564714)</f>
        <v>4564714</v>
      </c>
      <c r="AR1952" s="17">
        <v>41153</v>
      </c>
      <c r="AS1952" s="17">
        <v>26505</v>
      </c>
      <c r="AT1952" s="17">
        <v>396198.25</v>
      </c>
      <c r="AU1952" s="17">
        <v>675.25</v>
      </c>
      <c r="AV1952" s="17">
        <v>456.7</v>
      </c>
      <c r="AW1952" s="10" t="s">
        <v>105</v>
      </c>
      <c r="AX1952" s="17">
        <v>5680</v>
      </c>
      <c r="AY1952" s="18">
        <v>14.948056970382947</v>
      </c>
      <c r="AZ1952" s="10" t="s">
        <v>106</v>
      </c>
      <c r="BA1952" s="20" t="b">
        <v>0</v>
      </c>
      <c r="BB1952" s="10"/>
      <c r="BC1952" s="17">
        <v>41153</v>
      </c>
      <c r="BD1952" s="17">
        <v>26505</v>
      </c>
      <c r="BE1952" s="17">
        <v>396198.25</v>
      </c>
      <c r="BF1952" s="17">
        <v>456.7</v>
      </c>
      <c r="BG1952" s="11">
        <f ca="1">IFERROR(__xludf.DUMMYFUNCTION("""COMPUTED_VALUE"""),45912.7916666666)</f>
        <v>45912.791666666599</v>
      </c>
      <c r="BH1952" s="17" t="s">
        <v>105</v>
      </c>
      <c r="BI1952" s="17"/>
      <c r="BJ1952" s="15"/>
      <c r="BK1952" s="15"/>
      <c r="BL1952" s="13" t="b">
        <v>0</v>
      </c>
      <c r="BM1952" s="10"/>
      <c r="BN1952" s="10" t="s">
        <v>667</v>
      </c>
      <c r="BO1952" s="11">
        <v>45908.57708333333</v>
      </c>
      <c r="BP1952" s="11">
        <v>45908.582048611112</v>
      </c>
      <c r="BQ1952" s="15">
        <v>45910.818912037037</v>
      </c>
      <c r="BR1952" s="15">
        <v>45911.350659722222</v>
      </c>
      <c r="BS1952" s="10" t="s">
        <v>667</v>
      </c>
      <c r="BT1952" s="10" t="s">
        <v>279</v>
      </c>
      <c r="BU1952" s="10" t="s">
        <v>421</v>
      </c>
      <c r="BV1952" s="10"/>
      <c r="BW1952" s="10"/>
      <c r="BX1952" s="10"/>
      <c r="BY1952" s="23"/>
      <c r="BZ1952" s="23"/>
      <c r="CA1952" s="19" t="s">
        <v>14863</v>
      </c>
      <c r="CB1952" s="19" t="s">
        <v>14864</v>
      </c>
      <c r="CC1952" s="23"/>
      <c r="CD1952" s="19" t="s">
        <v>14865</v>
      </c>
      <c r="CE1952" s="23"/>
      <c r="CF1952" s="23"/>
      <c r="CG1952" s="23"/>
      <c r="CH1952" s="23"/>
      <c r="CI1952" s="23"/>
    </row>
    <row r="1953" spans="1:87" x14ac:dyDescent="0.3">
      <c r="A1953" s="9" t="s">
        <v>14866</v>
      </c>
      <c r="B1953" s="10" t="s">
        <v>14867</v>
      </c>
      <c r="C1953" s="11">
        <v>45913.645833333336</v>
      </c>
      <c r="D1953" s="12">
        <v>8.3333333333333329E-2</v>
      </c>
      <c r="E1953" s="11">
        <v>45913.729166666664</v>
      </c>
      <c r="F1953" s="10" t="s">
        <v>14786</v>
      </c>
      <c r="G1953" s="13" t="b">
        <v>0</v>
      </c>
      <c r="H1953" s="10" t="s">
        <v>14787</v>
      </c>
      <c r="I1953" s="10" t="s">
        <v>3548</v>
      </c>
      <c r="J1953" s="13" t="b">
        <v>0</v>
      </c>
      <c r="K1953" s="13" t="b">
        <v>1</v>
      </c>
      <c r="L1953" s="10" t="s">
        <v>124</v>
      </c>
      <c r="M1953" s="10" t="s">
        <v>91</v>
      </c>
      <c r="N1953" s="10" t="s">
        <v>3513</v>
      </c>
      <c r="O1953" s="19" t="s">
        <v>14868</v>
      </c>
      <c r="P1953" s="10"/>
      <c r="Q1953" s="10" t="s">
        <v>126</v>
      </c>
      <c r="R1953" s="10"/>
      <c r="S1953" s="19" t="s">
        <v>14869</v>
      </c>
      <c r="T1953" s="19" t="s">
        <v>14790</v>
      </c>
      <c r="U1953" s="10" t="s">
        <v>14870</v>
      </c>
      <c r="V1953" s="10" t="s">
        <v>14871</v>
      </c>
      <c r="W1953" s="10" t="s">
        <v>14793</v>
      </c>
      <c r="X1953" s="10" t="s">
        <v>130</v>
      </c>
      <c r="Y1953" s="10" t="s">
        <v>130</v>
      </c>
      <c r="Z1953" s="10" t="s">
        <v>99</v>
      </c>
      <c r="AA1953" s="10" t="s">
        <v>131</v>
      </c>
      <c r="AB1953" s="10" t="s">
        <v>14794</v>
      </c>
      <c r="AC1953" s="10" t="s">
        <v>3521</v>
      </c>
      <c r="AD1953" s="10" t="s">
        <v>14872</v>
      </c>
      <c r="AE1953" s="10" t="s">
        <v>14873</v>
      </c>
      <c r="AF1953" s="15"/>
      <c r="AG1953" s="10"/>
      <c r="AH1953" s="10"/>
      <c r="AI1953" s="10"/>
      <c r="AJ1953" s="10"/>
      <c r="AK1953" s="10" t="s">
        <v>102</v>
      </c>
      <c r="AL1953" s="10" t="s">
        <v>103</v>
      </c>
      <c r="AM1953" s="10"/>
      <c r="AN1953" s="10"/>
      <c r="AO1953" s="13" t="b">
        <v>0</v>
      </c>
      <c r="AP1953" s="10" t="s">
        <v>104</v>
      </c>
      <c r="AQ1953" s="10">
        <f ca="1">IFERROR(__xludf.DUMMYFUNCTION("""COMPUTED_VALUE"""),4564770)</f>
        <v>4564770</v>
      </c>
      <c r="AR1953" s="17">
        <v>48921</v>
      </c>
      <c r="AS1953" s="17">
        <v>31508</v>
      </c>
      <c r="AT1953" s="17">
        <v>457400.25</v>
      </c>
      <c r="AU1953" s="17">
        <v>864.6</v>
      </c>
      <c r="AV1953" s="17">
        <v>601.29999999999995</v>
      </c>
      <c r="AW1953" s="10" t="s">
        <v>105</v>
      </c>
      <c r="AX1953" s="17">
        <v>7300</v>
      </c>
      <c r="AY1953" s="18">
        <v>14.516956011171766</v>
      </c>
      <c r="AZ1953" s="10" t="s">
        <v>106</v>
      </c>
      <c r="BA1953" s="20" t="b">
        <v>0</v>
      </c>
      <c r="BB1953" s="10"/>
      <c r="BC1953" s="17">
        <v>48921</v>
      </c>
      <c r="BD1953" s="17">
        <v>31508</v>
      </c>
      <c r="BE1953" s="17">
        <v>457400.25</v>
      </c>
      <c r="BF1953" s="17">
        <v>601.29999999999995</v>
      </c>
      <c r="BG1953" s="11">
        <f ca="1">IFERROR(__xludf.DUMMYFUNCTION("""COMPUTED_VALUE"""),45913.6458333333)</f>
        <v>45913.645833333299</v>
      </c>
      <c r="BH1953" s="17" t="s">
        <v>105</v>
      </c>
      <c r="BI1953" s="17"/>
      <c r="BJ1953" s="15"/>
      <c r="BK1953" s="15"/>
      <c r="BL1953" s="13" t="b">
        <v>0</v>
      </c>
      <c r="BM1953" s="10"/>
      <c r="BN1953" s="10" t="s">
        <v>3422</v>
      </c>
      <c r="BO1953" s="11">
        <v>45908.577777777777</v>
      </c>
      <c r="BP1953" s="11">
        <v>45908.584189814814</v>
      </c>
      <c r="BQ1953" s="15">
        <v>45910.819675925923</v>
      </c>
      <c r="BR1953" s="15">
        <v>45911.457430555558</v>
      </c>
      <c r="BS1953" s="10"/>
      <c r="BT1953" s="10" t="s">
        <v>99</v>
      </c>
      <c r="BU1953" s="10" t="s">
        <v>280</v>
      </c>
      <c r="BV1953" s="10"/>
      <c r="BW1953" s="10"/>
      <c r="BX1953" s="10"/>
      <c r="BY1953" s="23"/>
      <c r="BZ1953" s="23"/>
      <c r="CA1953" s="19" t="s">
        <v>14874</v>
      </c>
      <c r="CB1953" s="19" t="s">
        <v>14875</v>
      </c>
      <c r="CC1953" s="23"/>
      <c r="CD1953" s="19" t="s">
        <v>14876</v>
      </c>
      <c r="CE1953" s="23"/>
      <c r="CF1953" s="23"/>
      <c r="CG1953" s="23"/>
      <c r="CH1953" s="23"/>
      <c r="CI1953" s="23"/>
    </row>
    <row r="1954" spans="1:87" x14ac:dyDescent="0.3">
      <c r="A1954" s="9" t="s">
        <v>14877</v>
      </c>
      <c r="B1954" s="10" t="s">
        <v>14878</v>
      </c>
      <c r="C1954" s="11">
        <v>45913.645833333336</v>
      </c>
      <c r="D1954" s="12">
        <v>8.3333333333333329E-2</v>
      </c>
      <c r="E1954" s="11">
        <v>45913.729166666664</v>
      </c>
      <c r="F1954" s="10" t="s">
        <v>14786</v>
      </c>
      <c r="G1954" s="13" t="b">
        <v>0</v>
      </c>
      <c r="H1954" s="10" t="s">
        <v>14787</v>
      </c>
      <c r="I1954" s="10" t="s">
        <v>212</v>
      </c>
      <c r="J1954" s="13" t="b">
        <v>1</v>
      </c>
      <c r="K1954" s="13" t="b">
        <v>0</v>
      </c>
      <c r="L1954" s="10" t="s">
        <v>124</v>
      </c>
      <c r="M1954" s="10" t="s">
        <v>91</v>
      </c>
      <c r="N1954" s="10" t="s">
        <v>3513</v>
      </c>
      <c r="O1954" s="19" t="s">
        <v>14879</v>
      </c>
      <c r="P1954" s="10"/>
      <c r="Q1954" s="10" t="s">
        <v>94</v>
      </c>
      <c r="R1954" s="10"/>
      <c r="S1954" s="19" t="s">
        <v>14880</v>
      </c>
      <c r="T1954" s="19" t="s">
        <v>14790</v>
      </c>
      <c r="U1954" s="10" t="s">
        <v>14881</v>
      </c>
      <c r="V1954" s="10" t="s">
        <v>14882</v>
      </c>
      <c r="W1954" s="10" t="s">
        <v>14793</v>
      </c>
      <c r="X1954" s="10" t="s">
        <v>130</v>
      </c>
      <c r="Y1954" s="10" t="s">
        <v>130</v>
      </c>
      <c r="Z1954" s="10" t="s">
        <v>99</v>
      </c>
      <c r="AA1954" s="10" t="s">
        <v>131</v>
      </c>
      <c r="AB1954" s="10" t="s">
        <v>14794</v>
      </c>
      <c r="AC1954" s="10" t="s">
        <v>3521</v>
      </c>
      <c r="AD1954" s="10" t="s">
        <v>14883</v>
      </c>
      <c r="AE1954" s="10" t="s">
        <v>14884</v>
      </c>
      <c r="AF1954" s="15"/>
      <c r="AG1954" s="10"/>
      <c r="AH1954" s="10"/>
      <c r="AI1954" s="10"/>
      <c r="AJ1954" s="10"/>
      <c r="AK1954" s="10" t="s">
        <v>102</v>
      </c>
      <c r="AL1954" s="10" t="s">
        <v>103</v>
      </c>
      <c r="AM1954" s="10"/>
      <c r="AN1954" s="10"/>
      <c r="AO1954" s="13" t="b">
        <v>0</v>
      </c>
      <c r="AP1954" s="10" t="s">
        <v>104</v>
      </c>
      <c r="AQ1954" s="10">
        <f ca="1">IFERROR(__xludf.DUMMYFUNCTION("""COMPUTED_VALUE"""),4564769)</f>
        <v>4564769</v>
      </c>
      <c r="AR1954" s="17">
        <v>31190</v>
      </c>
      <c r="AS1954" s="17">
        <v>18365</v>
      </c>
      <c r="AT1954" s="17">
        <v>260314.25</v>
      </c>
      <c r="AU1954" s="17">
        <v>82.15</v>
      </c>
      <c r="AV1954" s="17">
        <v>48.6</v>
      </c>
      <c r="AW1954" s="10" t="s">
        <v>105</v>
      </c>
      <c r="AX1954" s="17">
        <v>4764</v>
      </c>
      <c r="AY1954" s="18">
        <v>14.17447590525456</v>
      </c>
      <c r="AZ1954" s="10" t="s">
        <v>106</v>
      </c>
      <c r="BA1954" s="20" t="b">
        <v>0</v>
      </c>
      <c r="BB1954" s="10"/>
      <c r="BC1954" s="17">
        <v>31190</v>
      </c>
      <c r="BD1954" s="17">
        <v>18365</v>
      </c>
      <c r="BE1954" s="17">
        <v>260314.25</v>
      </c>
      <c r="BF1954" s="17">
        <v>48.6</v>
      </c>
      <c r="BG1954" s="11">
        <f ca="1">IFERROR(__xludf.DUMMYFUNCTION("""COMPUTED_VALUE"""),45913.6458333333)</f>
        <v>45913.645833333299</v>
      </c>
      <c r="BH1954" s="17" t="s">
        <v>105</v>
      </c>
      <c r="BI1954" s="17"/>
      <c r="BJ1954" s="15"/>
      <c r="BK1954" s="15"/>
      <c r="BL1954" s="13" t="b">
        <v>0</v>
      </c>
      <c r="BM1954" s="10"/>
      <c r="BN1954" s="10" t="s">
        <v>137</v>
      </c>
      <c r="BO1954" s="11">
        <v>45908.578472222223</v>
      </c>
      <c r="BP1954" s="11">
        <v>45908.578900462962</v>
      </c>
      <c r="BQ1954" s="15">
        <v>45910.819548611114</v>
      </c>
      <c r="BR1954" s="15">
        <v>45911.457187499997</v>
      </c>
      <c r="BS1954" s="10" t="s">
        <v>137</v>
      </c>
      <c r="BT1954" s="10" t="s">
        <v>279</v>
      </c>
      <c r="BU1954" s="10" t="s">
        <v>14885</v>
      </c>
      <c r="BV1954" s="10"/>
      <c r="BW1954" s="10"/>
      <c r="BX1954" s="10"/>
      <c r="BY1954" s="23"/>
      <c r="BZ1954" s="23"/>
      <c r="CA1954" s="19" t="s">
        <v>14886</v>
      </c>
      <c r="CB1954" s="19" t="s">
        <v>14887</v>
      </c>
      <c r="CC1954" s="23"/>
      <c r="CD1954" s="23"/>
      <c r="CE1954" s="23"/>
      <c r="CF1954" s="23"/>
      <c r="CG1954" s="23"/>
      <c r="CH1954" s="23"/>
      <c r="CI1954" s="23"/>
    </row>
    <row r="1955" spans="1:87" x14ac:dyDescent="0.3">
      <c r="A1955" s="9" t="s">
        <v>14888</v>
      </c>
      <c r="B1955" s="10" t="s">
        <v>14889</v>
      </c>
      <c r="C1955" s="11">
        <v>45913.854166666664</v>
      </c>
      <c r="D1955" s="12">
        <v>8.3333333333333329E-2</v>
      </c>
      <c r="E1955" s="11">
        <v>45913.9375</v>
      </c>
      <c r="F1955" s="10" t="s">
        <v>14786</v>
      </c>
      <c r="G1955" s="13" t="b">
        <v>0</v>
      </c>
      <c r="H1955" s="10" t="s">
        <v>14787</v>
      </c>
      <c r="I1955" s="10" t="s">
        <v>3548</v>
      </c>
      <c r="J1955" s="13" t="b">
        <v>0</v>
      </c>
      <c r="K1955" s="13" t="b">
        <v>1</v>
      </c>
      <c r="L1955" s="10" t="s">
        <v>124</v>
      </c>
      <c r="M1955" s="10" t="s">
        <v>91</v>
      </c>
      <c r="N1955" s="10" t="s">
        <v>3513</v>
      </c>
      <c r="O1955" s="19" t="s">
        <v>14890</v>
      </c>
      <c r="P1955" s="10"/>
      <c r="Q1955" s="10" t="s">
        <v>126</v>
      </c>
      <c r="R1955" s="10"/>
      <c r="S1955" s="19" t="s">
        <v>14891</v>
      </c>
      <c r="T1955" s="19" t="s">
        <v>14790</v>
      </c>
      <c r="U1955" s="10" t="s">
        <v>14892</v>
      </c>
      <c r="V1955" s="10" t="s">
        <v>14893</v>
      </c>
      <c r="W1955" s="10" t="s">
        <v>14793</v>
      </c>
      <c r="X1955" s="10" t="s">
        <v>130</v>
      </c>
      <c r="Y1955" s="10" t="s">
        <v>130</v>
      </c>
      <c r="Z1955" s="10" t="s">
        <v>99</v>
      </c>
      <c r="AA1955" s="10" t="s">
        <v>131</v>
      </c>
      <c r="AB1955" s="10" t="s">
        <v>14794</v>
      </c>
      <c r="AC1955" s="10" t="s">
        <v>3521</v>
      </c>
      <c r="AD1955" s="10" t="s">
        <v>14894</v>
      </c>
      <c r="AE1955" s="10" t="s">
        <v>14895</v>
      </c>
      <c r="AF1955" s="15"/>
      <c r="AG1955" s="10"/>
      <c r="AH1955" s="10"/>
      <c r="AI1955" s="10"/>
      <c r="AJ1955" s="10"/>
      <c r="AK1955" s="10" t="s">
        <v>102</v>
      </c>
      <c r="AL1955" s="10" t="s">
        <v>103</v>
      </c>
      <c r="AM1955" s="10"/>
      <c r="AN1955" s="10"/>
      <c r="AO1955" s="13" t="b">
        <v>0</v>
      </c>
      <c r="AP1955" s="10" t="s">
        <v>104</v>
      </c>
      <c r="AQ1955" s="10">
        <f ca="1">IFERROR(__xludf.DUMMYFUNCTION("""COMPUTED_VALUE"""),4564771)</f>
        <v>4564771</v>
      </c>
      <c r="AR1955" s="17">
        <v>40084</v>
      </c>
      <c r="AS1955" s="17">
        <v>26860</v>
      </c>
      <c r="AT1955" s="17">
        <v>444488</v>
      </c>
      <c r="AU1955" s="17">
        <v>650.15</v>
      </c>
      <c r="AV1955" s="17">
        <v>492.45</v>
      </c>
      <c r="AW1955" s="10" t="s">
        <v>105</v>
      </c>
      <c r="AX1955" s="17">
        <v>8247</v>
      </c>
      <c r="AY1955" s="18">
        <v>16.548324646314221</v>
      </c>
      <c r="AZ1955" s="10" t="s">
        <v>106</v>
      </c>
      <c r="BA1955" s="20" t="b">
        <v>0</v>
      </c>
      <c r="BB1955" s="10"/>
      <c r="BC1955" s="17">
        <v>40084</v>
      </c>
      <c r="BD1955" s="17">
        <v>26860</v>
      </c>
      <c r="BE1955" s="17">
        <v>444488</v>
      </c>
      <c r="BF1955" s="17">
        <v>492.45</v>
      </c>
      <c r="BG1955" s="11">
        <f ca="1">IFERROR(__xludf.DUMMYFUNCTION("""COMPUTED_VALUE"""),45913.8541666666)</f>
        <v>45913.854166666599</v>
      </c>
      <c r="BH1955" s="17" t="s">
        <v>105</v>
      </c>
      <c r="BI1955" s="17"/>
      <c r="BJ1955" s="15"/>
      <c r="BK1955" s="15"/>
      <c r="BL1955" s="13" t="b">
        <v>0</v>
      </c>
      <c r="BM1955" s="10"/>
      <c r="BN1955" s="10" t="s">
        <v>634</v>
      </c>
      <c r="BO1955" s="11">
        <v>45908.57916666667</v>
      </c>
      <c r="BP1955" s="11">
        <v>45908.585625</v>
      </c>
      <c r="BQ1955" s="15">
        <v>45910.819965277777</v>
      </c>
      <c r="BR1955" s="15">
        <v>45911.457731481481</v>
      </c>
      <c r="BS1955" s="10" t="s">
        <v>634</v>
      </c>
      <c r="BT1955" s="10" t="s">
        <v>99</v>
      </c>
      <c r="BU1955" s="10" t="s">
        <v>14896</v>
      </c>
      <c r="BV1955" s="10"/>
      <c r="BW1955" s="10"/>
      <c r="BX1955" s="10"/>
      <c r="BY1955" s="23"/>
      <c r="BZ1955" s="23"/>
      <c r="CA1955" s="19" t="s">
        <v>14897</v>
      </c>
      <c r="CB1955" s="19" t="s">
        <v>14898</v>
      </c>
      <c r="CC1955" s="23"/>
      <c r="CD1955" s="19" t="s">
        <v>14899</v>
      </c>
      <c r="CE1955" s="23"/>
      <c r="CF1955" s="23"/>
      <c r="CG1955" s="23"/>
      <c r="CH1955" s="23"/>
      <c r="CI1955" s="23"/>
    </row>
    <row r="1956" spans="1:87" x14ac:dyDescent="0.3">
      <c r="A1956" s="9" t="s">
        <v>14900</v>
      </c>
      <c r="B1956" s="10" t="s">
        <v>14901</v>
      </c>
      <c r="C1956" s="11">
        <v>45920.791666666664</v>
      </c>
      <c r="D1956" s="12">
        <v>0.14583333333333334</v>
      </c>
      <c r="E1956" s="11">
        <v>45920.9375</v>
      </c>
      <c r="F1956" s="10" t="s">
        <v>8402</v>
      </c>
      <c r="G1956" s="13" t="b">
        <v>0</v>
      </c>
      <c r="H1956" s="10" t="s">
        <v>8403</v>
      </c>
      <c r="I1956" s="10" t="s">
        <v>212</v>
      </c>
      <c r="J1956" s="13" t="b">
        <v>1</v>
      </c>
      <c r="K1956" s="13" t="b">
        <v>0</v>
      </c>
      <c r="L1956" s="10" t="s">
        <v>124</v>
      </c>
      <c r="M1956" s="10" t="s">
        <v>91</v>
      </c>
      <c r="N1956" s="10" t="s">
        <v>92</v>
      </c>
      <c r="O1956" s="19" t="s">
        <v>14902</v>
      </c>
      <c r="P1956" s="10"/>
      <c r="Q1956" s="10" t="s">
        <v>126</v>
      </c>
      <c r="R1956" s="10"/>
      <c r="S1956" s="19" t="s">
        <v>14903</v>
      </c>
      <c r="T1956" s="10"/>
      <c r="U1956" s="10"/>
      <c r="V1956" s="10"/>
      <c r="W1956" s="10" t="s">
        <v>8407</v>
      </c>
      <c r="X1956" s="10" t="s">
        <v>8408</v>
      </c>
      <c r="Y1956" s="10" t="s">
        <v>8409</v>
      </c>
      <c r="Z1956" s="10" t="s">
        <v>99</v>
      </c>
      <c r="AA1956" s="10" t="s">
        <v>100</v>
      </c>
      <c r="AB1956" s="10" t="s">
        <v>8410</v>
      </c>
      <c r="AC1956" s="10"/>
      <c r="AD1956" s="10" t="s">
        <v>165</v>
      </c>
      <c r="AE1956" s="10" t="s">
        <v>14904</v>
      </c>
      <c r="AF1956" s="15"/>
      <c r="AG1956" s="10"/>
      <c r="AH1956" s="10"/>
      <c r="AI1956" s="10"/>
      <c r="AJ1956" s="19" t="s">
        <v>14905</v>
      </c>
      <c r="AK1956" s="10" t="s">
        <v>102</v>
      </c>
      <c r="AL1956" s="10"/>
      <c r="AM1956" s="10"/>
      <c r="AN1956" s="10"/>
      <c r="AO1956" s="13" t="b">
        <v>0</v>
      </c>
      <c r="AP1956" s="10"/>
      <c r="AQ1956" s="10">
        <f ca="1">IFERROR(__xludf.DUMMYFUNCTION("""COMPUTED_VALUE"""),4578234)</f>
        <v>4578234</v>
      </c>
      <c r="AR1956" s="17">
        <v>9066</v>
      </c>
      <c r="AS1956" s="17">
        <v>6780</v>
      </c>
      <c r="AT1956" s="17">
        <v>70898</v>
      </c>
      <c r="AU1956" s="17">
        <v>16.25</v>
      </c>
      <c r="AV1956" s="17">
        <v>3.5</v>
      </c>
      <c r="AW1956" s="10" t="s">
        <v>105</v>
      </c>
      <c r="AX1956" s="17">
        <v>1047</v>
      </c>
      <c r="AY1956" s="18">
        <v>10.45693215339233</v>
      </c>
      <c r="AZ1956" s="10" t="s">
        <v>3783</v>
      </c>
      <c r="BA1956" s="20" t="b">
        <v>0</v>
      </c>
      <c r="BB1956" s="10"/>
      <c r="BC1956" s="17">
        <v>9066</v>
      </c>
      <c r="BD1956" s="17">
        <v>6780</v>
      </c>
      <c r="BE1956" s="17">
        <v>70898</v>
      </c>
      <c r="BF1956" s="17">
        <v>3.5</v>
      </c>
      <c r="BG1956" s="11">
        <f ca="1">IFERROR(__xludf.DUMMYFUNCTION("""COMPUTED_VALUE"""),45920.7916666666)</f>
        <v>45920.791666666599</v>
      </c>
      <c r="BH1956" s="17" t="s">
        <v>105</v>
      </c>
      <c r="BI1956" s="17"/>
      <c r="BJ1956" s="15"/>
      <c r="BK1956" s="15"/>
      <c r="BL1956" s="13" t="b">
        <v>0</v>
      </c>
      <c r="BM1956" s="10"/>
      <c r="BN1956" s="10" t="s">
        <v>149</v>
      </c>
      <c r="BO1956" s="11">
        <v>45908.621527777781</v>
      </c>
      <c r="BP1956" s="11">
        <v>45908.625023148146</v>
      </c>
      <c r="BQ1956" s="15">
        <v>45917.473576388889</v>
      </c>
      <c r="BR1956" s="15">
        <v>45917.541446759256</v>
      </c>
      <c r="BS1956" s="10" t="s">
        <v>149</v>
      </c>
      <c r="BT1956" s="10"/>
      <c r="BU1956" s="10"/>
      <c r="BV1956" s="10"/>
      <c r="BW1956" s="10"/>
      <c r="BX1956" s="10"/>
      <c r="BY1956" s="23"/>
      <c r="BZ1956" s="23"/>
      <c r="CA1956" s="19" t="s">
        <v>14906</v>
      </c>
      <c r="CB1956" s="23"/>
      <c r="CC1956" s="23"/>
      <c r="CD1956" s="19" t="s">
        <v>14907</v>
      </c>
      <c r="CE1956" s="23"/>
      <c r="CF1956" s="23"/>
      <c r="CG1956" s="23"/>
      <c r="CH1956" s="23"/>
      <c r="CI1956" s="23"/>
    </row>
    <row r="1957" spans="1:87" x14ac:dyDescent="0.3">
      <c r="A1957" s="9" t="s">
        <v>14908</v>
      </c>
      <c r="B1957" s="10" t="s">
        <v>14909</v>
      </c>
      <c r="C1957" s="11">
        <v>45916.791666666664</v>
      </c>
      <c r="D1957" s="12">
        <v>8.3333333333333329E-2</v>
      </c>
      <c r="E1957" s="11">
        <v>45916.875</v>
      </c>
      <c r="F1957" s="10" t="s">
        <v>14910</v>
      </c>
      <c r="G1957" s="13" t="b">
        <v>0</v>
      </c>
      <c r="H1957" s="10" t="s">
        <v>3578</v>
      </c>
      <c r="I1957" s="10" t="s">
        <v>89</v>
      </c>
      <c r="J1957" s="13" t="b">
        <v>0</v>
      </c>
      <c r="K1957" s="13" t="b">
        <v>1</v>
      </c>
      <c r="L1957" s="10" t="s">
        <v>124</v>
      </c>
      <c r="M1957" s="10" t="s">
        <v>91</v>
      </c>
      <c r="N1957" s="10" t="s">
        <v>92</v>
      </c>
      <c r="O1957" s="19" t="s">
        <v>14911</v>
      </c>
      <c r="P1957" s="10"/>
      <c r="Q1957" s="10" t="s">
        <v>94</v>
      </c>
      <c r="R1957" s="10"/>
      <c r="S1957" s="19" t="s">
        <v>14912</v>
      </c>
      <c r="T1957" s="19" t="s">
        <v>14913</v>
      </c>
      <c r="U1957" s="10" t="s">
        <v>3259</v>
      </c>
      <c r="V1957" s="10" t="s">
        <v>11409</v>
      </c>
      <c r="W1957" s="10" t="s">
        <v>14914</v>
      </c>
      <c r="X1957" s="10" t="s">
        <v>130</v>
      </c>
      <c r="Y1957" s="10" t="s">
        <v>130</v>
      </c>
      <c r="Z1957" s="10" t="s">
        <v>99</v>
      </c>
      <c r="AA1957" s="10" t="s">
        <v>131</v>
      </c>
      <c r="AB1957" s="10" t="s">
        <v>14915</v>
      </c>
      <c r="AC1957" s="10" t="s">
        <v>3571</v>
      </c>
      <c r="AD1957" s="10" t="s">
        <v>11410</v>
      </c>
      <c r="AE1957" s="10" t="s">
        <v>14916</v>
      </c>
      <c r="AF1957" s="15"/>
      <c r="AG1957" s="10"/>
      <c r="AH1957" s="10"/>
      <c r="AI1957" s="10"/>
      <c r="AJ1957" s="10"/>
      <c r="AK1957" s="10" t="s">
        <v>102</v>
      </c>
      <c r="AL1957" s="10" t="s">
        <v>7897</v>
      </c>
      <c r="AM1957" s="10"/>
      <c r="AN1957" s="10"/>
      <c r="AO1957" s="13" t="b">
        <v>0</v>
      </c>
      <c r="AP1957" s="10" t="s">
        <v>104</v>
      </c>
      <c r="AQ1957" s="10">
        <f ca="1">IFERROR(__xludf.DUMMYFUNCTION("""COMPUTED_VALUE"""),4574255)</f>
        <v>4574255</v>
      </c>
      <c r="AR1957" s="17">
        <v>28628</v>
      </c>
      <c r="AS1957" s="17">
        <v>23851</v>
      </c>
      <c r="AT1957" s="17">
        <v>221743.5</v>
      </c>
      <c r="AU1957" s="17">
        <v>86.55</v>
      </c>
      <c r="AV1957" s="17">
        <v>29.55</v>
      </c>
      <c r="AW1957" s="10" t="s">
        <v>105</v>
      </c>
      <c r="AX1957" s="17">
        <v>3021</v>
      </c>
      <c r="AY1957" s="18">
        <v>9.2970315710033127</v>
      </c>
      <c r="AZ1957" s="10" t="s">
        <v>148</v>
      </c>
      <c r="BA1957" s="20" t="b">
        <v>0</v>
      </c>
      <c r="BB1957" s="10"/>
      <c r="BC1957" s="17">
        <v>28628</v>
      </c>
      <c r="BD1957" s="17">
        <v>23851</v>
      </c>
      <c r="BE1957" s="17">
        <v>221743.5</v>
      </c>
      <c r="BF1957" s="17">
        <v>29.55</v>
      </c>
      <c r="BG1957" s="11">
        <f ca="1">IFERROR(__xludf.DUMMYFUNCTION("""COMPUTED_VALUE"""),45916.7916666666)</f>
        <v>45916.791666666599</v>
      </c>
      <c r="BH1957" s="17" t="s">
        <v>105</v>
      </c>
      <c r="BI1957" s="17"/>
      <c r="BJ1957" s="15"/>
      <c r="BK1957" s="15"/>
      <c r="BL1957" s="13" t="b">
        <v>0</v>
      </c>
      <c r="BM1957" s="10"/>
      <c r="BN1957" s="10" t="s">
        <v>197</v>
      </c>
      <c r="BO1957" s="11">
        <v>45908.738888888889</v>
      </c>
      <c r="BP1957" s="11">
        <v>45908.739363425928</v>
      </c>
      <c r="BQ1957" s="15">
        <v>45915.799120370371</v>
      </c>
      <c r="BR1957" s="15">
        <v>45915.82172453704</v>
      </c>
      <c r="BS1957" s="10" t="s">
        <v>197</v>
      </c>
      <c r="BT1957" s="10" t="s">
        <v>99</v>
      </c>
      <c r="BU1957" s="10" t="s">
        <v>5081</v>
      </c>
      <c r="BV1957" s="10"/>
      <c r="BW1957" s="10"/>
      <c r="BX1957" s="10"/>
      <c r="BY1957" s="23"/>
      <c r="BZ1957" s="23"/>
      <c r="CA1957" s="19" t="s">
        <v>14917</v>
      </c>
      <c r="CB1957" s="19" t="s">
        <v>14918</v>
      </c>
      <c r="CC1957" s="23"/>
      <c r="CD1957" s="23"/>
      <c r="CE1957" s="23"/>
      <c r="CF1957" s="23"/>
      <c r="CG1957" s="23"/>
      <c r="CH1957" s="23"/>
      <c r="CI1957" s="23"/>
    </row>
    <row r="1958" spans="1:87" x14ac:dyDescent="0.3">
      <c r="A1958" s="9" t="s">
        <v>14919</v>
      </c>
      <c r="B1958" s="10" t="s">
        <v>14920</v>
      </c>
      <c r="C1958" s="11">
        <v>45916.875</v>
      </c>
      <c r="D1958" s="12">
        <v>8.3333333333333329E-2</v>
      </c>
      <c r="E1958" s="11">
        <v>45916.958333333336</v>
      </c>
      <c r="F1958" s="10" t="s">
        <v>14910</v>
      </c>
      <c r="G1958" s="13" t="b">
        <v>0</v>
      </c>
      <c r="H1958" s="10" t="s">
        <v>3578</v>
      </c>
      <c r="I1958" s="10" t="s">
        <v>89</v>
      </c>
      <c r="J1958" s="13" t="b">
        <v>0</v>
      </c>
      <c r="K1958" s="13" t="b">
        <v>1</v>
      </c>
      <c r="L1958" s="10" t="s">
        <v>124</v>
      </c>
      <c r="M1958" s="10" t="s">
        <v>91</v>
      </c>
      <c r="N1958" s="10" t="s">
        <v>92</v>
      </c>
      <c r="O1958" s="19" t="s">
        <v>14921</v>
      </c>
      <c r="P1958" s="10"/>
      <c r="Q1958" s="10" t="s">
        <v>94</v>
      </c>
      <c r="R1958" s="10"/>
      <c r="S1958" s="19" t="s">
        <v>14922</v>
      </c>
      <c r="T1958" s="19" t="s">
        <v>14913</v>
      </c>
      <c r="U1958" s="10" t="s">
        <v>5113</v>
      </c>
      <c r="V1958" s="10" t="s">
        <v>11435</v>
      </c>
      <c r="W1958" s="10" t="s">
        <v>14914</v>
      </c>
      <c r="X1958" s="10" t="s">
        <v>130</v>
      </c>
      <c r="Y1958" s="10" t="s">
        <v>130</v>
      </c>
      <c r="Z1958" s="10" t="s">
        <v>99</v>
      </c>
      <c r="AA1958" s="10" t="s">
        <v>131</v>
      </c>
      <c r="AB1958" s="10" t="s">
        <v>14915</v>
      </c>
      <c r="AC1958" s="10" t="s">
        <v>3571</v>
      </c>
      <c r="AD1958" s="10" t="s">
        <v>11436</v>
      </c>
      <c r="AE1958" s="10" t="s">
        <v>14923</v>
      </c>
      <c r="AF1958" s="15"/>
      <c r="AG1958" s="10"/>
      <c r="AH1958" s="10"/>
      <c r="AI1958" s="10"/>
      <c r="AJ1958" s="10"/>
      <c r="AK1958" s="10" t="s">
        <v>102</v>
      </c>
      <c r="AL1958" s="10" t="s">
        <v>7897</v>
      </c>
      <c r="AM1958" s="10"/>
      <c r="AN1958" s="10"/>
      <c r="AO1958" s="13" t="b">
        <v>0</v>
      </c>
      <c r="AP1958" s="10" t="s">
        <v>104</v>
      </c>
      <c r="AQ1958" s="10">
        <f ca="1">IFERROR(__xludf.DUMMYFUNCTION("""COMPUTED_VALUE"""),4574256)</f>
        <v>4574256</v>
      </c>
      <c r="AR1958" s="17">
        <v>25391</v>
      </c>
      <c r="AS1958" s="17">
        <v>20692</v>
      </c>
      <c r="AT1958" s="17">
        <v>181288.5</v>
      </c>
      <c r="AU1958" s="17">
        <v>142.94999999999999</v>
      </c>
      <c r="AV1958" s="17">
        <v>33.450000000000003</v>
      </c>
      <c r="AW1958" s="10" t="s">
        <v>105</v>
      </c>
      <c r="AX1958" s="17">
        <v>3163</v>
      </c>
      <c r="AY1958" s="18">
        <v>8.7612845544171662</v>
      </c>
      <c r="AZ1958" s="10" t="s">
        <v>148</v>
      </c>
      <c r="BA1958" s="20" t="b">
        <v>0</v>
      </c>
      <c r="BB1958" s="10"/>
      <c r="BC1958" s="17">
        <v>25391</v>
      </c>
      <c r="BD1958" s="17">
        <v>20692</v>
      </c>
      <c r="BE1958" s="17">
        <v>181288.5</v>
      </c>
      <c r="BF1958" s="17">
        <v>33.450000000000003</v>
      </c>
      <c r="BG1958" s="11">
        <f ca="1">IFERROR(__xludf.DUMMYFUNCTION("""COMPUTED_VALUE"""),45916.875)</f>
        <v>45916.875</v>
      </c>
      <c r="BH1958" s="17" t="s">
        <v>105</v>
      </c>
      <c r="BI1958" s="17"/>
      <c r="BJ1958" s="15"/>
      <c r="BK1958" s="15"/>
      <c r="BL1958" s="13" t="b">
        <v>0</v>
      </c>
      <c r="BM1958" s="10"/>
      <c r="BN1958" s="10" t="s">
        <v>197</v>
      </c>
      <c r="BO1958" s="11">
        <v>45908.739583333336</v>
      </c>
      <c r="BP1958" s="11">
        <v>45908.739965277775</v>
      </c>
      <c r="BQ1958" s="15">
        <v>45915.79923611111</v>
      </c>
      <c r="BR1958" s="15">
        <v>45915.821840277778</v>
      </c>
      <c r="BS1958" s="10" t="s">
        <v>197</v>
      </c>
      <c r="BT1958" s="10" t="s">
        <v>99</v>
      </c>
      <c r="BU1958" s="10" t="s">
        <v>5081</v>
      </c>
      <c r="BV1958" s="10"/>
      <c r="BW1958" s="10"/>
      <c r="BX1958" s="10"/>
      <c r="BY1958" s="23"/>
      <c r="BZ1958" s="23"/>
      <c r="CA1958" s="19" t="s">
        <v>14924</v>
      </c>
      <c r="CB1958" s="19" t="s">
        <v>14925</v>
      </c>
      <c r="CC1958" s="23"/>
      <c r="CD1958" s="23"/>
      <c r="CE1958" s="23"/>
      <c r="CF1958" s="23"/>
      <c r="CG1958" s="23"/>
      <c r="CH1958" s="23"/>
      <c r="CI1958" s="23"/>
    </row>
    <row r="1959" spans="1:87" x14ac:dyDescent="0.3">
      <c r="A1959" s="9" t="s">
        <v>14926</v>
      </c>
      <c r="B1959" s="10" t="s">
        <v>14927</v>
      </c>
      <c r="C1959" s="11">
        <v>45917.875</v>
      </c>
      <c r="D1959" s="12">
        <v>8.3333333333333329E-2</v>
      </c>
      <c r="E1959" s="11">
        <v>45917.958333333336</v>
      </c>
      <c r="F1959" s="10" t="s">
        <v>14910</v>
      </c>
      <c r="G1959" s="13" t="b">
        <v>0</v>
      </c>
      <c r="H1959" s="10" t="s">
        <v>3578</v>
      </c>
      <c r="I1959" s="10" t="s">
        <v>89</v>
      </c>
      <c r="J1959" s="13" t="b">
        <v>0</v>
      </c>
      <c r="K1959" s="13" t="b">
        <v>1</v>
      </c>
      <c r="L1959" s="10" t="s">
        <v>124</v>
      </c>
      <c r="M1959" s="10" t="s">
        <v>91</v>
      </c>
      <c r="N1959" s="10" t="s">
        <v>92</v>
      </c>
      <c r="O1959" s="19" t="s">
        <v>14928</v>
      </c>
      <c r="P1959" s="10"/>
      <c r="Q1959" s="10" t="s">
        <v>94</v>
      </c>
      <c r="R1959" s="10"/>
      <c r="S1959" s="19" t="s">
        <v>14929</v>
      </c>
      <c r="T1959" s="19" t="s">
        <v>14913</v>
      </c>
      <c r="U1959" s="10" t="s">
        <v>270</v>
      </c>
      <c r="V1959" s="10" t="s">
        <v>5090</v>
      </c>
      <c r="W1959" s="10" t="s">
        <v>14914</v>
      </c>
      <c r="X1959" s="10" t="s">
        <v>130</v>
      </c>
      <c r="Y1959" s="10" t="s">
        <v>130</v>
      </c>
      <c r="Z1959" s="10" t="s">
        <v>99</v>
      </c>
      <c r="AA1959" s="10" t="s">
        <v>131</v>
      </c>
      <c r="AB1959" s="10" t="s">
        <v>14915</v>
      </c>
      <c r="AC1959" s="10" t="s">
        <v>3571</v>
      </c>
      <c r="AD1959" s="10" t="s">
        <v>11491</v>
      </c>
      <c r="AE1959" s="10" t="s">
        <v>14930</v>
      </c>
      <c r="AF1959" s="15"/>
      <c r="AG1959" s="10"/>
      <c r="AH1959" s="10"/>
      <c r="AI1959" s="10"/>
      <c r="AJ1959" s="10"/>
      <c r="AK1959" s="10" t="s">
        <v>102</v>
      </c>
      <c r="AL1959" s="10" t="s">
        <v>7897</v>
      </c>
      <c r="AM1959" s="10"/>
      <c r="AN1959" s="10"/>
      <c r="AO1959" s="13" t="b">
        <v>0</v>
      </c>
      <c r="AP1959" s="10" t="s">
        <v>104</v>
      </c>
      <c r="AQ1959" s="10">
        <f ca="1">IFERROR(__xludf.DUMMYFUNCTION("""COMPUTED_VALUE"""),4575832)</f>
        <v>4575832</v>
      </c>
      <c r="AR1959" s="17">
        <v>18453</v>
      </c>
      <c r="AS1959" s="17">
        <v>15990</v>
      </c>
      <c r="AT1959" s="17">
        <v>164323.25</v>
      </c>
      <c r="AU1959" s="17">
        <v>85.55</v>
      </c>
      <c r="AV1959" s="17">
        <v>14.9</v>
      </c>
      <c r="AW1959" s="10" t="s">
        <v>105</v>
      </c>
      <c r="AX1959" s="17">
        <v>2155</v>
      </c>
      <c r="AY1959" s="18">
        <v>10.276626016260163</v>
      </c>
      <c r="AZ1959" s="10" t="s">
        <v>148</v>
      </c>
      <c r="BA1959" s="20" t="b">
        <v>0</v>
      </c>
      <c r="BB1959" s="10"/>
      <c r="BC1959" s="17">
        <v>18453</v>
      </c>
      <c r="BD1959" s="17">
        <v>15990</v>
      </c>
      <c r="BE1959" s="17">
        <v>164323.25</v>
      </c>
      <c r="BF1959" s="17">
        <v>14.9</v>
      </c>
      <c r="BG1959" s="11">
        <f ca="1">IFERROR(__xludf.DUMMYFUNCTION("""COMPUTED_VALUE"""),45917.875)</f>
        <v>45917.875</v>
      </c>
      <c r="BH1959" s="17" t="s">
        <v>105</v>
      </c>
      <c r="BI1959" s="17"/>
      <c r="BJ1959" s="15"/>
      <c r="BK1959" s="15"/>
      <c r="BL1959" s="13" t="b">
        <v>0</v>
      </c>
      <c r="BM1959" s="10"/>
      <c r="BN1959" s="10" t="s">
        <v>197</v>
      </c>
      <c r="BO1959" s="11">
        <v>45908.739583333336</v>
      </c>
      <c r="BP1959" s="11">
        <v>45908.740277777775</v>
      </c>
      <c r="BQ1959" s="15">
        <v>45915.799375000002</v>
      </c>
      <c r="BR1959" s="15">
        <v>45916.454675925925</v>
      </c>
      <c r="BS1959" s="10" t="s">
        <v>197</v>
      </c>
      <c r="BT1959" s="10" t="s">
        <v>99</v>
      </c>
      <c r="BU1959" s="10" t="s">
        <v>5081</v>
      </c>
      <c r="BV1959" s="10"/>
      <c r="BW1959" s="10"/>
      <c r="BX1959" s="10"/>
      <c r="BY1959" s="23"/>
      <c r="BZ1959" s="23"/>
      <c r="CA1959" s="19" t="s">
        <v>14931</v>
      </c>
      <c r="CB1959" s="19" t="s">
        <v>14932</v>
      </c>
      <c r="CC1959" s="23"/>
      <c r="CD1959" s="23"/>
      <c r="CE1959" s="23"/>
      <c r="CF1959" s="23"/>
      <c r="CG1959" s="23"/>
      <c r="CH1959" s="23"/>
      <c r="CI1959" s="23"/>
    </row>
    <row r="1960" spans="1:87" x14ac:dyDescent="0.3">
      <c r="A1960" s="9" t="s">
        <v>14933</v>
      </c>
      <c r="B1960" s="10" t="s">
        <v>14934</v>
      </c>
      <c r="C1960" s="11">
        <v>45918.875</v>
      </c>
      <c r="D1960" s="12">
        <v>8.3333333333333329E-2</v>
      </c>
      <c r="E1960" s="11">
        <v>45918.958333333336</v>
      </c>
      <c r="F1960" s="10" t="s">
        <v>14910</v>
      </c>
      <c r="G1960" s="13" t="b">
        <v>0</v>
      </c>
      <c r="H1960" s="10" t="s">
        <v>3578</v>
      </c>
      <c r="I1960" s="10" t="s">
        <v>89</v>
      </c>
      <c r="J1960" s="13" t="b">
        <v>0</v>
      </c>
      <c r="K1960" s="13" t="b">
        <v>1</v>
      </c>
      <c r="L1960" s="10" t="s">
        <v>124</v>
      </c>
      <c r="M1960" s="10" t="s">
        <v>91</v>
      </c>
      <c r="N1960" s="10" t="s">
        <v>92</v>
      </c>
      <c r="O1960" s="19" t="s">
        <v>14935</v>
      </c>
      <c r="P1960" s="10"/>
      <c r="Q1960" s="10" t="s">
        <v>94</v>
      </c>
      <c r="R1960" s="10"/>
      <c r="S1960" s="19" t="s">
        <v>14936</v>
      </c>
      <c r="T1960" s="19" t="s">
        <v>14913</v>
      </c>
      <c r="U1960" s="10" t="s">
        <v>334</v>
      </c>
      <c r="V1960" s="10" t="s">
        <v>3318</v>
      </c>
      <c r="W1960" s="10" t="s">
        <v>14914</v>
      </c>
      <c r="X1960" s="10" t="s">
        <v>130</v>
      </c>
      <c r="Y1960" s="10" t="s">
        <v>130</v>
      </c>
      <c r="Z1960" s="10" t="s">
        <v>99</v>
      </c>
      <c r="AA1960" s="10" t="s">
        <v>131</v>
      </c>
      <c r="AB1960" s="10" t="s">
        <v>14915</v>
      </c>
      <c r="AC1960" s="10" t="s">
        <v>3571</v>
      </c>
      <c r="AD1960" s="10" t="s">
        <v>11541</v>
      </c>
      <c r="AE1960" s="10" t="s">
        <v>14937</v>
      </c>
      <c r="AF1960" s="15"/>
      <c r="AG1960" s="10"/>
      <c r="AH1960" s="10"/>
      <c r="AI1960" s="10"/>
      <c r="AJ1960" s="10"/>
      <c r="AK1960" s="10" t="s">
        <v>102</v>
      </c>
      <c r="AL1960" s="10" t="s">
        <v>7897</v>
      </c>
      <c r="AM1960" s="10"/>
      <c r="AN1960" s="10"/>
      <c r="AO1960" s="13" t="b">
        <v>0</v>
      </c>
      <c r="AP1960" s="10" t="s">
        <v>104</v>
      </c>
      <c r="AQ1960" s="10">
        <f ca="1">IFERROR(__xludf.DUMMYFUNCTION("""COMPUTED_VALUE"""),4575861)</f>
        <v>4575861</v>
      </c>
      <c r="AR1960" s="17">
        <v>17848</v>
      </c>
      <c r="AS1960" s="17">
        <v>15202</v>
      </c>
      <c r="AT1960" s="17">
        <v>160999</v>
      </c>
      <c r="AU1960" s="17">
        <v>68.400000000000006</v>
      </c>
      <c r="AV1960" s="17">
        <v>16.8</v>
      </c>
      <c r="AW1960" s="10" t="s">
        <v>105</v>
      </c>
      <c r="AX1960" s="17">
        <v>2221</v>
      </c>
      <c r="AY1960" s="18">
        <v>10.590645967635837</v>
      </c>
      <c r="AZ1960" s="10" t="s">
        <v>148</v>
      </c>
      <c r="BA1960" s="20" t="b">
        <v>0</v>
      </c>
      <c r="BB1960" s="10"/>
      <c r="BC1960" s="17">
        <v>17848</v>
      </c>
      <c r="BD1960" s="17">
        <v>15202</v>
      </c>
      <c r="BE1960" s="17">
        <v>160999</v>
      </c>
      <c r="BF1960" s="17">
        <v>16.8</v>
      </c>
      <c r="BG1960" s="11">
        <f ca="1">IFERROR(__xludf.DUMMYFUNCTION("""COMPUTED_VALUE"""),45918.875)</f>
        <v>45918.875</v>
      </c>
      <c r="BH1960" s="17" t="s">
        <v>105</v>
      </c>
      <c r="BI1960" s="17"/>
      <c r="BJ1960" s="15"/>
      <c r="BK1960" s="15"/>
      <c r="BL1960" s="13" t="b">
        <v>0</v>
      </c>
      <c r="BM1960" s="10"/>
      <c r="BN1960" s="10" t="s">
        <v>149</v>
      </c>
      <c r="BO1960" s="11">
        <v>45908.740277777775</v>
      </c>
      <c r="BP1960" s="11">
        <v>45908.740520833337</v>
      </c>
      <c r="BQ1960" s="15">
        <v>45915.799479166664</v>
      </c>
      <c r="BR1960" s="15">
        <v>45916.592650462961</v>
      </c>
      <c r="BS1960" s="10" t="s">
        <v>149</v>
      </c>
      <c r="BT1960" s="10" t="s">
        <v>99</v>
      </c>
      <c r="BU1960" s="10" t="s">
        <v>5081</v>
      </c>
      <c r="BV1960" s="10"/>
      <c r="BW1960" s="10"/>
      <c r="BX1960" s="10"/>
      <c r="BY1960" s="23"/>
      <c r="BZ1960" s="23"/>
      <c r="CA1960" s="19" t="s">
        <v>14938</v>
      </c>
      <c r="CB1960" s="19" t="s">
        <v>14939</v>
      </c>
      <c r="CC1960" s="23"/>
      <c r="CD1960" s="23"/>
      <c r="CE1960" s="23"/>
      <c r="CF1960" s="23"/>
      <c r="CG1960" s="23"/>
      <c r="CH1960" s="23"/>
      <c r="CI1960" s="23"/>
    </row>
    <row r="1961" spans="1:87" x14ac:dyDescent="0.3">
      <c r="A1961" s="9" t="s">
        <v>14940</v>
      </c>
      <c r="B1961" s="10" t="s">
        <v>14941</v>
      </c>
      <c r="C1961" s="11">
        <v>45920.041666666664</v>
      </c>
      <c r="D1961" s="12">
        <v>8.3333333333333329E-2</v>
      </c>
      <c r="E1961" s="11">
        <v>45920.125</v>
      </c>
      <c r="F1961" s="10" t="s">
        <v>9129</v>
      </c>
      <c r="G1961" s="13" t="b">
        <v>0</v>
      </c>
      <c r="H1961" s="10" t="s">
        <v>9130</v>
      </c>
      <c r="I1961" s="10" t="s">
        <v>9131</v>
      </c>
      <c r="J1961" s="13" t="b">
        <v>0</v>
      </c>
      <c r="K1961" s="13" t="b">
        <v>1</v>
      </c>
      <c r="L1961" s="10" t="s">
        <v>124</v>
      </c>
      <c r="M1961" s="10" t="s">
        <v>91</v>
      </c>
      <c r="N1961" s="10" t="s">
        <v>265</v>
      </c>
      <c r="O1961" s="19" t="s">
        <v>14942</v>
      </c>
      <c r="P1961" s="10"/>
      <c r="Q1961" s="10" t="s">
        <v>126</v>
      </c>
      <c r="R1961" s="10"/>
      <c r="S1961" s="19" t="s">
        <v>14943</v>
      </c>
      <c r="T1961" s="10"/>
      <c r="U1961" s="10" t="s">
        <v>14944</v>
      </c>
      <c r="V1961" s="10" t="s">
        <v>9149</v>
      </c>
      <c r="W1961" s="10" t="s">
        <v>9136</v>
      </c>
      <c r="X1961" s="10" t="s">
        <v>130</v>
      </c>
      <c r="Y1961" s="10" t="s">
        <v>130</v>
      </c>
      <c r="Z1961" s="10" t="s">
        <v>99</v>
      </c>
      <c r="AA1961" s="10" t="s">
        <v>131</v>
      </c>
      <c r="AB1961" s="10" t="s">
        <v>9137</v>
      </c>
      <c r="AC1961" s="10" t="s">
        <v>9138</v>
      </c>
      <c r="AD1961" s="10" t="s">
        <v>14945</v>
      </c>
      <c r="AE1961" s="10" t="s">
        <v>14946</v>
      </c>
      <c r="AF1961" s="15"/>
      <c r="AG1961" s="10"/>
      <c r="AH1961" s="10"/>
      <c r="AI1961" s="10"/>
      <c r="AJ1961" s="10" t="s">
        <v>14947</v>
      </c>
      <c r="AK1961" s="10" t="s">
        <v>102</v>
      </c>
      <c r="AL1961" s="10" t="s">
        <v>147</v>
      </c>
      <c r="AM1961" s="10"/>
      <c r="AN1961" s="10"/>
      <c r="AO1961" s="13" t="b">
        <v>0</v>
      </c>
      <c r="AP1961" s="10" t="s">
        <v>104</v>
      </c>
      <c r="AQ1961" s="10">
        <f ca="1">IFERROR(__xludf.DUMMYFUNCTION("""COMPUTED_VALUE"""),4583211)</f>
        <v>4583211</v>
      </c>
      <c r="AR1961" s="17">
        <v>8206</v>
      </c>
      <c r="AS1961" s="17">
        <v>6994</v>
      </c>
      <c r="AT1961" s="17">
        <v>162337</v>
      </c>
      <c r="AU1961" s="17">
        <v>21.75</v>
      </c>
      <c r="AV1961" s="17">
        <v>3.2</v>
      </c>
      <c r="AW1961" s="10" t="s">
        <v>105</v>
      </c>
      <c r="AX1961" s="17">
        <v>1463</v>
      </c>
      <c r="AY1961" s="18">
        <v>23.210895052902487</v>
      </c>
      <c r="AZ1961" s="10"/>
      <c r="BA1961" s="20" t="b">
        <v>0</v>
      </c>
      <c r="BB1961" s="10"/>
      <c r="BC1961" s="17">
        <v>8206</v>
      </c>
      <c r="BD1961" s="17">
        <v>6994</v>
      </c>
      <c r="BE1961" s="17">
        <v>162337</v>
      </c>
      <c r="BF1961" s="17">
        <v>3.2</v>
      </c>
      <c r="BG1961" s="11">
        <f ca="1">IFERROR(__xludf.DUMMYFUNCTION("""COMPUTED_VALUE"""),45920.0416666666)</f>
        <v>45920.041666666599</v>
      </c>
      <c r="BH1961" s="17" t="s">
        <v>105</v>
      </c>
      <c r="BI1961" s="17"/>
      <c r="BJ1961" s="15"/>
      <c r="BK1961" s="15"/>
      <c r="BL1961" s="13" t="b">
        <v>0</v>
      </c>
      <c r="BM1961" s="10"/>
      <c r="BN1961" s="10" t="s">
        <v>1160</v>
      </c>
      <c r="BO1961" s="11">
        <v>45910.479166666664</v>
      </c>
      <c r="BP1961" s="11">
        <v>45916.754131944443</v>
      </c>
      <c r="BQ1961" s="15">
        <v>45919.605000000003</v>
      </c>
      <c r="BR1961" s="15">
        <v>45919.618923611109</v>
      </c>
      <c r="BS1961" s="10" t="s">
        <v>1160</v>
      </c>
      <c r="BT1961" s="10" t="s">
        <v>99</v>
      </c>
      <c r="BU1961" s="10" t="s">
        <v>568</v>
      </c>
      <c r="BV1961" s="10"/>
      <c r="BW1961" s="10"/>
      <c r="BX1961" s="10"/>
      <c r="BY1961" s="23"/>
      <c r="BZ1961" s="23"/>
      <c r="CA1961" s="19" t="s">
        <v>14948</v>
      </c>
      <c r="CB1961" s="23"/>
      <c r="CC1961" s="23"/>
      <c r="CD1961" s="19" t="s">
        <v>14949</v>
      </c>
      <c r="CE1961" s="23"/>
      <c r="CF1961" s="23"/>
      <c r="CG1961" s="23"/>
      <c r="CH1961" s="23"/>
      <c r="CI1961" s="23"/>
    </row>
    <row r="1962" spans="1:87" x14ac:dyDescent="0.3">
      <c r="A1962" s="9" t="s">
        <v>14950</v>
      </c>
      <c r="B1962" s="10" t="s">
        <v>14951</v>
      </c>
      <c r="C1962" s="11">
        <v>45921.041666666664</v>
      </c>
      <c r="D1962" s="12">
        <v>8.3333333333333329E-2</v>
      </c>
      <c r="E1962" s="11">
        <v>45921.125</v>
      </c>
      <c r="F1962" s="10" t="s">
        <v>9129</v>
      </c>
      <c r="G1962" s="13" t="b">
        <v>0</v>
      </c>
      <c r="H1962" s="10" t="s">
        <v>9130</v>
      </c>
      <c r="I1962" s="10" t="s">
        <v>9131</v>
      </c>
      <c r="J1962" s="13" t="b">
        <v>0</v>
      </c>
      <c r="K1962" s="13" t="b">
        <v>1</v>
      </c>
      <c r="L1962" s="10" t="s">
        <v>124</v>
      </c>
      <c r="M1962" s="10" t="s">
        <v>91</v>
      </c>
      <c r="N1962" s="10" t="s">
        <v>265</v>
      </c>
      <c r="O1962" s="19" t="s">
        <v>14952</v>
      </c>
      <c r="P1962" s="10"/>
      <c r="Q1962" s="10" t="s">
        <v>126</v>
      </c>
      <c r="R1962" s="10"/>
      <c r="S1962" s="19" t="s">
        <v>14953</v>
      </c>
      <c r="T1962" s="10"/>
      <c r="U1962" s="10" t="s">
        <v>9160</v>
      </c>
      <c r="V1962" s="10" t="s">
        <v>14954</v>
      </c>
      <c r="W1962" s="10" t="s">
        <v>9136</v>
      </c>
      <c r="X1962" s="10" t="s">
        <v>130</v>
      </c>
      <c r="Y1962" s="10" t="s">
        <v>130</v>
      </c>
      <c r="Z1962" s="10" t="s">
        <v>99</v>
      </c>
      <c r="AA1962" s="10" t="s">
        <v>131</v>
      </c>
      <c r="AB1962" s="10" t="s">
        <v>9137</v>
      </c>
      <c r="AC1962" s="10" t="s">
        <v>9138</v>
      </c>
      <c r="AD1962" s="10" t="s">
        <v>14955</v>
      </c>
      <c r="AE1962" s="10" t="s">
        <v>14956</v>
      </c>
      <c r="AF1962" s="15"/>
      <c r="AG1962" s="10"/>
      <c r="AH1962" s="10"/>
      <c r="AI1962" s="10"/>
      <c r="AJ1962" s="10"/>
      <c r="AK1962" s="10" t="s">
        <v>102</v>
      </c>
      <c r="AL1962" s="10" t="s">
        <v>147</v>
      </c>
      <c r="AM1962" s="10"/>
      <c r="AN1962" s="10"/>
      <c r="AO1962" s="13" t="b">
        <v>0</v>
      </c>
      <c r="AP1962" s="10" t="s">
        <v>104</v>
      </c>
      <c r="AQ1962" s="10">
        <f ca="1">IFERROR(__xludf.DUMMYFUNCTION("""COMPUTED_VALUE"""),4585499)</f>
        <v>4585499</v>
      </c>
      <c r="AR1962" s="17">
        <v>13951</v>
      </c>
      <c r="AS1962" s="17">
        <v>11231</v>
      </c>
      <c r="AT1962" s="17">
        <v>164481.25</v>
      </c>
      <c r="AU1962" s="17">
        <v>34.65</v>
      </c>
      <c r="AV1962" s="17">
        <v>8.35</v>
      </c>
      <c r="AW1962" s="10" t="s">
        <v>105</v>
      </c>
      <c r="AX1962" s="17">
        <v>3703</v>
      </c>
      <c r="AY1962" s="18">
        <v>14.64528982281186</v>
      </c>
      <c r="AZ1962" s="10"/>
      <c r="BA1962" s="20" t="b">
        <v>0</v>
      </c>
      <c r="BB1962" s="10"/>
      <c r="BC1962" s="17">
        <v>13951</v>
      </c>
      <c r="BD1962" s="17">
        <v>11231</v>
      </c>
      <c r="BE1962" s="17">
        <v>164481.25</v>
      </c>
      <c r="BF1962" s="17">
        <v>8.35</v>
      </c>
      <c r="BG1962" s="11">
        <f ca="1">IFERROR(__xludf.DUMMYFUNCTION("""COMPUTED_VALUE"""),45921.0416666666)</f>
        <v>45921.041666666599</v>
      </c>
      <c r="BH1962" s="17" t="s">
        <v>105</v>
      </c>
      <c r="BI1962" s="17"/>
      <c r="BJ1962" s="15"/>
      <c r="BK1962" s="15"/>
      <c r="BL1962" s="13" t="b">
        <v>0</v>
      </c>
      <c r="BM1962" s="10"/>
      <c r="BN1962" s="10" t="s">
        <v>634</v>
      </c>
      <c r="BO1962" s="11">
        <v>45910.479861111111</v>
      </c>
      <c r="BP1962" s="11">
        <v>45910.480196759258</v>
      </c>
      <c r="BQ1962" s="15">
        <v>45920.03533564815</v>
      </c>
      <c r="BR1962" s="15">
        <v>45920.046307870369</v>
      </c>
      <c r="BS1962" s="10" t="s">
        <v>634</v>
      </c>
      <c r="BT1962" s="10" t="s">
        <v>99</v>
      </c>
      <c r="BU1962" s="10" t="s">
        <v>1253</v>
      </c>
      <c r="BV1962" s="10"/>
      <c r="BW1962" s="10"/>
      <c r="BX1962" s="10"/>
      <c r="BY1962" s="23"/>
      <c r="BZ1962" s="23"/>
      <c r="CA1962" s="19" t="s">
        <v>14957</v>
      </c>
      <c r="CB1962" s="23"/>
      <c r="CC1962" s="23"/>
      <c r="CD1962" s="19" t="s">
        <v>14958</v>
      </c>
      <c r="CE1962" s="23"/>
      <c r="CF1962" s="23"/>
      <c r="CG1962" s="23"/>
      <c r="CH1962" s="23"/>
      <c r="CI1962" s="23"/>
    </row>
    <row r="1963" spans="1:87" x14ac:dyDescent="0.3">
      <c r="A1963" s="9" t="s">
        <v>14959</v>
      </c>
      <c r="B1963" s="10" t="s">
        <v>14960</v>
      </c>
      <c r="C1963" s="11">
        <v>45919.041666666664</v>
      </c>
      <c r="D1963" s="12">
        <v>8.3333333333333329E-2</v>
      </c>
      <c r="E1963" s="11">
        <v>45919.125</v>
      </c>
      <c r="F1963" s="10" t="s">
        <v>9129</v>
      </c>
      <c r="G1963" s="13" t="b">
        <v>0</v>
      </c>
      <c r="H1963" s="10" t="s">
        <v>9130</v>
      </c>
      <c r="I1963" s="10" t="s">
        <v>9131</v>
      </c>
      <c r="J1963" s="13" t="b">
        <v>0</v>
      </c>
      <c r="K1963" s="13" t="b">
        <v>1</v>
      </c>
      <c r="L1963" s="10" t="s">
        <v>124</v>
      </c>
      <c r="M1963" s="10" t="s">
        <v>91</v>
      </c>
      <c r="N1963" s="10" t="s">
        <v>265</v>
      </c>
      <c r="O1963" s="19" t="s">
        <v>14961</v>
      </c>
      <c r="P1963" s="10"/>
      <c r="Q1963" s="10" t="s">
        <v>94</v>
      </c>
      <c r="R1963" s="10"/>
      <c r="S1963" s="19" t="s">
        <v>14962</v>
      </c>
      <c r="T1963" s="10"/>
      <c r="U1963" s="10" t="s">
        <v>14963</v>
      </c>
      <c r="V1963" s="10" t="s">
        <v>14964</v>
      </c>
      <c r="W1963" s="10" t="s">
        <v>9136</v>
      </c>
      <c r="X1963" s="10" t="s">
        <v>130</v>
      </c>
      <c r="Y1963" s="10" t="s">
        <v>130</v>
      </c>
      <c r="Z1963" s="10" t="s">
        <v>99</v>
      </c>
      <c r="AA1963" s="10" t="s">
        <v>131</v>
      </c>
      <c r="AB1963" s="10" t="s">
        <v>9137</v>
      </c>
      <c r="AC1963" s="10" t="s">
        <v>9138</v>
      </c>
      <c r="AD1963" s="10" t="s">
        <v>14965</v>
      </c>
      <c r="AE1963" s="10" t="s">
        <v>14966</v>
      </c>
      <c r="AF1963" s="15"/>
      <c r="AG1963" s="10"/>
      <c r="AH1963" s="10"/>
      <c r="AI1963" s="10"/>
      <c r="AJ1963" s="10"/>
      <c r="AK1963" s="10" t="s">
        <v>102</v>
      </c>
      <c r="AL1963" s="10" t="s">
        <v>147</v>
      </c>
      <c r="AM1963" s="10"/>
      <c r="AN1963" s="10"/>
      <c r="AO1963" s="13" t="b">
        <v>0</v>
      </c>
      <c r="AP1963" s="10" t="s">
        <v>104</v>
      </c>
      <c r="AQ1963" s="10">
        <f ca="1">IFERROR(__xludf.DUMMYFUNCTION("""COMPUTED_VALUE"""),4579921)</f>
        <v>4579921</v>
      </c>
      <c r="AR1963" s="17">
        <v>1963</v>
      </c>
      <c r="AS1963" s="17">
        <v>1706</v>
      </c>
      <c r="AT1963" s="17">
        <v>8617</v>
      </c>
      <c r="AU1963" s="17">
        <v>1.5</v>
      </c>
      <c r="AV1963" s="17">
        <v>1</v>
      </c>
      <c r="AW1963" s="10" t="s">
        <v>105</v>
      </c>
      <c r="AX1963" s="17">
        <v>390</v>
      </c>
      <c r="AY1963" s="18">
        <v>5.050996483001172</v>
      </c>
      <c r="AZ1963" s="10"/>
      <c r="BA1963" s="20" t="b">
        <v>0</v>
      </c>
      <c r="BB1963" s="10"/>
      <c r="BC1963" s="17">
        <v>1963</v>
      </c>
      <c r="BD1963" s="17">
        <v>1706</v>
      </c>
      <c r="BE1963" s="17">
        <v>8617</v>
      </c>
      <c r="BF1963" s="17">
        <v>1</v>
      </c>
      <c r="BG1963" s="11">
        <f ca="1">IFERROR(__xludf.DUMMYFUNCTION("""COMPUTED_VALUE"""),45919.0416666666)</f>
        <v>45919.041666666599</v>
      </c>
      <c r="BH1963" s="17" t="s">
        <v>105</v>
      </c>
      <c r="BI1963" s="17"/>
      <c r="BJ1963" s="15"/>
      <c r="BK1963" s="15"/>
      <c r="BL1963" s="13" t="b">
        <v>0</v>
      </c>
      <c r="BM1963" s="10"/>
      <c r="BN1963" s="10" t="s">
        <v>157</v>
      </c>
      <c r="BO1963" s="11">
        <v>45910.547222222223</v>
      </c>
      <c r="BP1963" s="11">
        <v>45910.547534722224</v>
      </c>
      <c r="BQ1963" s="15">
        <v>45918.689675925925</v>
      </c>
      <c r="BR1963" s="15">
        <v>45918.707511574074</v>
      </c>
      <c r="BS1963" s="10" t="s">
        <v>157</v>
      </c>
      <c r="BT1963" s="10"/>
      <c r="BU1963" s="10"/>
      <c r="BV1963" s="10"/>
      <c r="BW1963" s="10"/>
      <c r="BX1963" s="10"/>
      <c r="BY1963" s="23"/>
      <c r="BZ1963" s="23"/>
      <c r="CA1963" s="19" t="s">
        <v>14967</v>
      </c>
      <c r="CB1963" s="23"/>
      <c r="CC1963" s="23"/>
      <c r="CD1963" s="23"/>
      <c r="CE1963" s="23"/>
      <c r="CF1963" s="23"/>
      <c r="CG1963" s="23"/>
      <c r="CH1963" s="23"/>
      <c r="CI1963" s="23"/>
    </row>
    <row r="1964" spans="1:87" x14ac:dyDescent="0.3">
      <c r="A1964" s="9" t="s">
        <v>14968</v>
      </c>
      <c r="B1964" s="10" t="s">
        <v>14969</v>
      </c>
      <c r="C1964" s="11">
        <v>45920.5625</v>
      </c>
      <c r="D1964" s="12">
        <v>8.3333333333333329E-2</v>
      </c>
      <c r="E1964" s="11">
        <v>45920.645833333336</v>
      </c>
      <c r="F1964" s="10" t="s">
        <v>14786</v>
      </c>
      <c r="G1964" s="13" t="b">
        <v>0</v>
      </c>
      <c r="H1964" s="10" t="s">
        <v>14787</v>
      </c>
      <c r="I1964" s="10" t="s">
        <v>3548</v>
      </c>
      <c r="J1964" s="13" t="b">
        <v>0</v>
      </c>
      <c r="K1964" s="13" t="b">
        <v>1</v>
      </c>
      <c r="L1964" s="10" t="s">
        <v>124</v>
      </c>
      <c r="M1964" s="10" t="s">
        <v>91</v>
      </c>
      <c r="N1964" s="10" t="s">
        <v>3513</v>
      </c>
      <c r="O1964" s="19" t="s">
        <v>14970</v>
      </c>
      <c r="P1964" s="10"/>
      <c r="Q1964" s="10" t="s">
        <v>126</v>
      </c>
      <c r="R1964" s="10"/>
      <c r="S1964" s="19" t="s">
        <v>14971</v>
      </c>
      <c r="T1964" s="19" t="s">
        <v>14972</v>
      </c>
      <c r="U1964" s="10" t="s">
        <v>14871</v>
      </c>
      <c r="V1964" s="10" t="s">
        <v>14826</v>
      </c>
      <c r="W1964" s="10" t="s">
        <v>14793</v>
      </c>
      <c r="X1964" s="10" t="s">
        <v>130</v>
      </c>
      <c r="Y1964" s="10" t="s">
        <v>130</v>
      </c>
      <c r="Z1964" s="10" t="s">
        <v>99</v>
      </c>
      <c r="AA1964" s="10" t="s">
        <v>131</v>
      </c>
      <c r="AB1964" s="10" t="s">
        <v>14794</v>
      </c>
      <c r="AC1964" s="10" t="s">
        <v>3521</v>
      </c>
      <c r="AD1964" s="10" t="s">
        <v>14973</v>
      </c>
      <c r="AE1964" s="10" t="s">
        <v>14974</v>
      </c>
      <c r="AF1964" s="15"/>
      <c r="AG1964" s="10"/>
      <c r="AH1964" s="10"/>
      <c r="AI1964" s="10"/>
      <c r="AJ1964" s="10"/>
      <c r="AK1964" s="10" t="s">
        <v>102</v>
      </c>
      <c r="AL1964" s="10" t="s">
        <v>116</v>
      </c>
      <c r="AM1964" s="10"/>
      <c r="AN1964" s="10"/>
      <c r="AO1964" s="13" t="b">
        <v>1</v>
      </c>
      <c r="AP1964" s="10" t="s">
        <v>104</v>
      </c>
      <c r="AQ1964" s="10">
        <f ca="1">IFERROR(__xludf.DUMMYFUNCTION("""COMPUTED_VALUE"""),4579878)</f>
        <v>4579878</v>
      </c>
      <c r="AR1964" s="17">
        <v>52594</v>
      </c>
      <c r="AS1964" s="17">
        <v>35605</v>
      </c>
      <c r="AT1964" s="17">
        <v>755884</v>
      </c>
      <c r="AU1964" s="17">
        <v>571.35</v>
      </c>
      <c r="AV1964" s="17">
        <v>276.7</v>
      </c>
      <c r="AW1964" s="10" t="s">
        <v>105</v>
      </c>
      <c r="AX1964" s="17">
        <v>11987</v>
      </c>
      <c r="AY1964" s="18">
        <v>21.229714927678696</v>
      </c>
      <c r="AZ1964" s="10" t="s">
        <v>106</v>
      </c>
      <c r="BA1964" s="20" t="b">
        <v>0</v>
      </c>
      <c r="BB1964" s="10"/>
      <c r="BC1964" s="17">
        <v>52594</v>
      </c>
      <c r="BD1964" s="17">
        <v>35605</v>
      </c>
      <c r="BE1964" s="17">
        <v>755884</v>
      </c>
      <c r="BF1964" s="17">
        <v>276.7</v>
      </c>
      <c r="BG1964" s="11">
        <f ca="1">IFERROR(__xludf.DUMMYFUNCTION("""COMPUTED_VALUE"""),45920.5625)</f>
        <v>45920.5625</v>
      </c>
      <c r="BH1964" s="17" t="s">
        <v>105</v>
      </c>
      <c r="BI1964" s="17"/>
      <c r="BJ1964" s="15"/>
      <c r="BK1964" s="15"/>
      <c r="BL1964" s="13" t="b">
        <v>0</v>
      </c>
      <c r="BM1964" s="10"/>
      <c r="BN1964" s="10" t="s">
        <v>455</v>
      </c>
      <c r="BO1964" s="11">
        <v>45910.684027777781</v>
      </c>
      <c r="BP1964" s="11">
        <v>45912.63008101852</v>
      </c>
      <c r="BQ1964" s="15">
        <v>45917.804305555554</v>
      </c>
      <c r="BR1964" s="15">
        <v>45918.605624999997</v>
      </c>
      <c r="BS1964" s="10" t="s">
        <v>455</v>
      </c>
      <c r="BT1964" s="10" t="s">
        <v>99</v>
      </c>
      <c r="BU1964" s="10" t="s">
        <v>298</v>
      </c>
      <c r="BV1964" s="10" t="s">
        <v>124</v>
      </c>
      <c r="BW1964" s="10"/>
      <c r="BX1964" s="10"/>
      <c r="BY1964" s="23"/>
      <c r="BZ1964" s="23"/>
      <c r="CA1964" s="19" t="s">
        <v>14975</v>
      </c>
      <c r="CB1964" s="19" t="s">
        <v>14976</v>
      </c>
      <c r="CC1964" s="23"/>
      <c r="CD1964" s="19" t="s">
        <v>14977</v>
      </c>
      <c r="CE1964" s="23"/>
      <c r="CF1964" s="23"/>
      <c r="CG1964" s="23"/>
      <c r="CH1964" s="23"/>
      <c r="CI1964" s="23"/>
    </row>
    <row r="1965" spans="1:87" x14ac:dyDescent="0.3">
      <c r="A1965" s="9" t="s">
        <v>14978</v>
      </c>
      <c r="B1965" s="10" t="s">
        <v>14979</v>
      </c>
      <c r="C1965" s="11">
        <v>45920.645833333336</v>
      </c>
      <c r="D1965" s="12">
        <v>8.3333333333333329E-2</v>
      </c>
      <c r="E1965" s="11">
        <v>45920.729166666664</v>
      </c>
      <c r="F1965" s="10" t="s">
        <v>14786</v>
      </c>
      <c r="G1965" s="13" t="b">
        <v>0</v>
      </c>
      <c r="H1965" s="10" t="s">
        <v>14787</v>
      </c>
      <c r="I1965" s="10" t="s">
        <v>212</v>
      </c>
      <c r="J1965" s="13" t="b">
        <v>1</v>
      </c>
      <c r="K1965" s="13" t="b">
        <v>0</v>
      </c>
      <c r="L1965" s="10" t="s">
        <v>124</v>
      </c>
      <c r="M1965" s="10" t="s">
        <v>91</v>
      </c>
      <c r="N1965" s="10" t="s">
        <v>3513</v>
      </c>
      <c r="O1965" s="19" t="s">
        <v>14980</v>
      </c>
      <c r="P1965" s="10"/>
      <c r="Q1965" s="10" t="s">
        <v>126</v>
      </c>
      <c r="R1965" s="10"/>
      <c r="S1965" s="19" t="s">
        <v>14981</v>
      </c>
      <c r="T1965" s="19" t="s">
        <v>14972</v>
      </c>
      <c r="U1965" s="10" t="s">
        <v>14792</v>
      </c>
      <c r="V1965" s="10" t="s">
        <v>14804</v>
      </c>
      <c r="W1965" s="10" t="s">
        <v>14793</v>
      </c>
      <c r="X1965" s="10" t="s">
        <v>130</v>
      </c>
      <c r="Y1965" s="10" t="s">
        <v>130</v>
      </c>
      <c r="Z1965" s="10" t="s">
        <v>99</v>
      </c>
      <c r="AA1965" s="10" t="s">
        <v>131</v>
      </c>
      <c r="AB1965" s="10" t="s">
        <v>14794</v>
      </c>
      <c r="AC1965" s="10" t="s">
        <v>3521</v>
      </c>
      <c r="AD1965" s="10" t="s">
        <v>14982</v>
      </c>
      <c r="AE1965" s="10" t="s">
        <v>14983</v>
      </c>
      <c r="AF1965" s="15"/>
      <c r="AG1965" s="10"/>
      <c r="AH1965" s="10"/>
      <c r="AI1965" s="10"/>
      <c r="AJ1965" s="10"/>
      <c r="AK1965" s="10" t="s">
        <v>102</v>
      </c>
      <c r="AL1965" s="10" t="s">
        <v>116</v>
      </c>
      <c r="AM1965" s="10"/>
      <c r="AN1965" s="10"/>
      <c r="AO1965" s="13" t="b">
        <v>0</v>
      </c>
      <c r="AP1965" s="10" t="s">
        <v>104</v>
      </c>
      <c r="AQ1965" s="10">
        <f ca="1">IFERROR(__xludf.DUMMYFUNCTION("""COMPUTED_VALUE"""),4579888)</f>
        <v>4579888</v>
      </c>
      <c r="AR1965" s="17">
        <v>67460</v>
      </c>
      <c r="AS1965" s="17">
        <v>35217</v>
      </c>
      <c r="AT1965" s="17">
        <v>957793.25</v>
      </c>
      <c r="AU1965" s="17">
        <v>294.2</v>
      </c>
      <c r="AV1965" s="17">
        <v>143.25</v>
      </c>
      <c r="AW1965" s="10" t="s">
        <v>105</v>
      </c>
      <c r="AX1965" s="17">
        <v>12670</v>
      </c>
      <c r="AY1965" s="18">
        <v>27.196900644575063</v>
      </c>
      <c r="AZ1965" s="10" t="s">
        <v>106</v>
      </c>
      <c r="BA1965" s="20" t="b">
        <v>0</v>
      </c>
      <c r="BB1965" s="10"/>
      <c r="BC1965" s="17">
        <v>67460</v>
      </c>
      <c r="BD1965" s="17">
        <v>35217</v>
      </c>
      <c r="BE1965" s="17">
        <v>957793.25</v>
      </c>
      <c r="BF1965" s="17">
        <v>143.25</v>
      </c>
      <c r="BG1965" s="11">
        <f ca="1">IFERROR(__xludf.DUMMYFUNCTION("""COMPUTED_VALUE"""),45920.6458333333)</f>
        <v>45920.645833333299</v>
      </c>
      <c r="BH1965" s="17" t="s">
        <v>105</v>
      </c>
      <c r="BI1965" s="17"/>
      <c r="BJ1965" s="15"/>
      <c r="BK1965" s="15"/>
      <c r="BL1965" s="13" t="b">
        <v>0</v>
      </c>
      <c r="BM1965" s="10"/>
      <c r="BN1965" s="10" t="s">
        <v>455</v>
      </c>
      <c r="BO1965" s="11">
        <v>45910.6875</v>
      </c>
      <c r="BP1965" s="11">
        <v>45912.630486111113</v>
      </c>
      <c r="BQ1965" s="15">
        <v>45917.804560185185</v>
      </c>
      <c r="BR1965" s="15">
        <v>45918.605925925927</v>
      </c>
      <c r="BS1965" s="10" t="s">
        <v>455</v>
      </c>
      <c r="BT1965" s="10" t="s">
        <v>99</v>
      </c>
      <c r="BU1965" s="10" t="s">
        <v>280</v>
      </c>
      <c r="BV1965" s="10"/>
      <c r="BW1965" s="10"/>
      <c r="BX1965" s="10"/>
      <c r="BY1965" s="23"/>
      <c r="BZ1965" s="23"/>
      <c r="CA1965" s="19" t="s">
        <v>14984</v>
      </c>
      <c r="CB1965" s="19" t="s">
        <v>14985</v>
      </c>
      <c r="CC1965" s="23"/>
      <c r="CD1965" s="19" t="s">
        <v>14986</v>
      </c>
      <c r="CE1965" s="23"/>
      <c r="CF1965" s="23"/>
      <c r="CG1965" s="23"/>
      <c r="CH1965" s="23"/>
      <c r="CI1965" s="23"/>
    </row>
    <row r="1966" spans="1:87" x14ac:dyDescent="0.3">
      <c r="A1966" s="9" t="s">
        <v>14987</v>
      </c>
      <c r="B1966" s="10" t="s">
        <v>14988</v>
      </c>
      <c r="C1966" s="11">
        <v>45920.645833333336</v>
      </c>
      <c r="D1966" s="12">
        <v>8.3333333333333329E-2</v>
      </c>
      <c r="E1966" s="11">
        <v>45920.729166666664</v>
      </c>
      <c r="F1966" s="10" t="s">
        <v>14786</v>
      </c>
      <c r="G1966" s="13" t="b">
        <v>0</v>
      </c>
      <c r="H1966" s="10" t="s">
        <v>14787</v>
      </c>
      <c r="I1966" s="10" t="s">
        <v>212</v>
      </c>
      <c r="J1966" s="13" t="b">
        <v>1</v>
      </c>
      <c r="K1966" s="13" t="b">
        <v>0</v>
      </c>
      <c r="L1966" s="10" t="s">
        <v>124</v>
      </c>
      <c r="M1966" s="10" t="s">
        <v>91</v>
      </c>
      <c r="N1966" s="10" t="s">
        <v>3513</v>
      </c>
      <c r="O1966" s="19" t="s">
        <v>14989</v>
      </c>
      <c r="P1966" s="10"/>
      <c r="Q1966" s="10" t="s">
        <v>94</v>
      </c>
      <c r="R1966" s="10"/>
      <c r="S1966" s="19" t="s">
        <v>14990</v>
      </c>
      <c r="T1966" s="19" t="s">
        <v>14972</v>
      </c>
      <c r="U1966" s="10" t="s">
        <v>14816</v>
      </c>
      <c r="V1966" s="10" t="s">
        <v>14805</v>
      </c>
      <c r="W1966" s="10" t="s">
        <v>14793</v>
      </c>
      <c r="X1966" s="10" t="s">
        <v>130</v>
      </c>
      <c r="Y1966" s="10" t="s">
        <v>130</v>
      </c>
      <c r="Z1966" s="10" t="s">
        <v>99</v>
      </c>
      <c r="AA1966" s="10" t="s">
        <v>131</v>
      </c>
      <c r="AB1966" s="10" t="s">
        <v>14794</v>
      </c>
      <c r="AC1966" s="10" t="s">
        <v>3521</v>
      </c>
      <c r="AD1966" s="10" t="s">
        <v>14991</v>
      </c>
      <c r="AE1966" s="10" t="s">
        <v>14992</v>
      </c>
      <c r="AF1966" s="15"/>
      <c r="AG1966" s="10"/>
      <c r="AH1966" s="10"/>
      <c r="AI1966" s="10"/>
      <c r="AJ1966" s="10"/>
      <c r="AK1966" s="10" t="s">
        <v>102</v>
      </c>
      <c r="AL1966" s="10" t="s">
        <v>116</v>
      </c>
      <c r="AM1966" s="10"/>
      <c r="AN1966" s="10"/>
      <c r="AO1966" s="13" t="b">
        <v>0</v>
      </c>
      <c r="AP1966" s="10" t="s">
        <v>104</v>
      </c>
      <c r="AQ1966" s="10">
        <f ca="1">IFERROR(__xludf.DUMMYFUNCTION("""COMPUTED_VALUE"""),4579886)</f>
        <v>4579886</v>
      </c>
      <c r="AR1966" s="17">
        <v>30026</v>
      </c>
      <c r="AS1966" s="17">
        <v>18283</v>
      </c>
      <c r="AT1966" s="17">
        <v>207496.75</v>
      </c>
      <c r="AU1966" s="17">
        <v>50.25</v>
      </c>
      <c r="AV1966" s="17">
        <v>26.4</v>
      </c>
      <c r="AW1966" s="10" t="s">
        <v>105</v>
      </c>
      <c r="AX1966" s="17">
        <v>4095</v>
      </c>
      <c r="AY1966" s="18">
        <v>11.349163157031121</v>
      </c>
      <c r="AZ1966" s="10" t="s">
        <v>106</v>
      </c>
      <c r="BA1966" s="20" t="b">
        <v>0</v>
      </c>
      <c r="BB1966" s="10"/>
      <c r="BC1966" s="17">
        <v>30026</v>
      </c>
      <c r="BD1966" s="17">
        <v>18283</v>
      </c>
      <c r="BE1966" s="17">
        <v>207496.75</v>
      </c>
      <c r="BF1966" s="17">
        <v>26.4</v>
      </c>
      <c r="BG1966" s="11">
        <f ca="1">IFERROR(__xludf.DUMMYFUNCTION("""COMPUTED_VALUE"""),45920.6458333333)</f>
        <v>45920.645833333299</v>
      </c>
      <c r="BH1966" s="17" t="s">
        <v>105</v>
      </c>
      <c r="BI1966" s="17"/>
      <c r="BJ1966" s="15"/>
      <c r="BK1966" s="15"/>
      <c r="BL1966" s="13" t="b">
        <v>0</v>
      </c>
      <c r="BM1966" s="10"/>
      <c r="BN1966" s="10" t="s">
        <v>455</v>
      </c>
      <c r="BO1966" s="11">
        <v>45910.688888888886</v>
      </c>
      <c r="BP1966" s="11">
        <v>45917.889745370368</v>
      </c>
      <c r="BQ1966" s="15">
        <v>45917.804699074077</v>
      </c>
      <c r="BR1966" s="15">
        <v>45918.605775462966</v>
      </c>
      <c r="BS1966" s="10" t="s">
        <v>455</v>
      </c>
      <c r="BT1966" s="10" t="s">
        <v>99</v>
      </c>
      <c r="BU1966" s="10" t="s">
        <v>421</v>
      </c>
      <c r="BV1966" s="10"/>
      <c r="BW1966" s="10"/>
      <c r="BX1966" s="10"/>
      <c r="BY1966" s="23"/>
      <c r="BZ1966" s="23"/>
      <c r="CA1966" s="19" t="s">
        <v>14993</v>
      </c>
      <c r="CB1966" s="19" t="s">
        <v>14994</v>
      </c>
      <c r="CC1966" s="23"/>
      <c r="CD1966" s="23"/>
      <c r="CE1966" s="23"/>
      <c r="CF1966" s="23"/>
      <c r="CG1966" s="23"/>
      <c r="CH1966" s="23"/>
      <c r="CI1966" s="23"/>
    </row>
    <row r="1967" spans="1:87" x14ac:dyDescent="0.3">
      <c r="A1967" s="9" t="s">
        <v>14995</v>
      </c>
      <c r="B1967" s="10" t="s">
        <v>14996</v>
      </c>
      <c r="C1967" s="11">
        <v>45921.645833333336</v>
      </c>
      <c r="D1967" s="12">
        <v>8.3333333333333329E-2</v>
      </c>
      <c r="E1967" s="11">
        <v>45921.729166666664</v>
      </c>
      <c r="F1967" s="10" t="s">
        <v>14786</v>
      </c>
      <c r="G1967" s="13" t="b">
        <v>0</v>
      </c>
      <c r="H1967" s="10" t="s">
        <v>14787</v>
      </c>
      <c r="I1967" s="10" t="s">
        <v>3548</v>
      </c>
      <c r="J1967" s="13" t="b">
        <v>0</v>
      </c>
      <c r="K1967" s="13" t="b">
        <v>1</v>
      </c>
      <c r="L1967" s="10" t="s">
        <v>124</v>
      </c>
      <c r="M1967" s="10" t="s">
        <v>91</v>
      </c>
      <c r="N1967" s="10" t="s">
        <v>3513</v>
      </c>
      <c r="O1967" s="19" t="s">
        <v>14997</v>
      </c>
      <c r="P1967" s="10"/>
      <c r="Q1967" s="10" t="s">
        <v>126</v>
      </c>
      <c r="R1967" s="10"/>
      <c r="S1967" s="19" t="s">
        <v>14998</v>
      </c>
      <c r="T1967" s="19" t="s">
        <v>14972</v>
      </c>
      <c r="U1967" s="10" t="s">
        <v>14827</v>
      </c>
      <c r="V1967" s="10" t="s">
        <v>14848</v>
      </c>
      <c r="W1967" s="10" t="s">
        <v>14793</v>
      </c>
      <c r="X1967" s="10" t="s">
        <v>130</v>
      </c>
      <c r="Y1967" s="10" t="s">
        <v>130</v>
      </c>
      <c r="Z1967" s="10" t="s">
        <v>99</v>
      </c>
      <c r="AA1967" s="10" t="s">
        <v>131</v>
      </c>
      <c r="AB1967" s="10" t="s">
        <v>14794</v>
      </c>
      <c r="AC1967" s="10" t="s">
        <v>3521</v>
      </c>
      <c r="AD1967" s="10" t="s">
        <v>14999</v>
      </c>
      <c r="AE1967" s="10" t="s">
        <v>15000</v>
      </c>
      <c r="AF1967" s="15"/>
      <c r="AG1967" s="10"/>
      <c r="AH1967" s="10"/>
      <c r="AI1967" s="10"/>
      <c r="AJ1967" s="10"/>
      <c r="AK1967" s="10" t="s">
        <v>102</v>
      </c>
      <c r="AL1967" s="10" t="s">
        <v>116</v>
      </c>
      <c r="AM1967" s="10"/>
      <c r="AN1967" s="10"/>
      <c r="AO1967" s="13" t="b">
        <v>0</v>
      </c>
      <c r="AP1967" s="10" t="s">
        <v>104</v>
      </c>
      <c r="AQ1967" s="10">
        <f ca="1">IFERROR(__xludf.DUMMYFUNCTION("""COMPUTED_VALUE"""),4582511)</f>
        <v>4582511</v>
      </c>
      <c r="AR1967" s="17">
        <v>78943</v>
      </c>
      <c r="AS1967" s="17">
        <v>50013</v>
      </c>
      <c r="AT1967" s="17">
        <v>981451.25</v>
      </c>
      <c r="AU1967" s="17">
        <v>1210.5</v>
      </c>
      <c r="AV1967" s="17">
        <v>896.6</v>
      </c>
      <c r="AW1967" s="10" t="s">
        <v>105</v>
      </c>
      <c r="AX1967" s="17">
        <v>13708</v>
      </c>
      <c r="AY1967" s="18">
        <v>19.62392278007718</v>
      </c>
      <c r="AZ1967" s="10" t="s">
        <v>106</v>
      </c>
      <c r="BA1967" s="20" t="b">
        <v>0</v>
      </c>
      <c r="BB1967" s="10"/>
      <c r="BC1967" s="17">
        <v>78943</v>
      </c>
      <c r="BD1967" s="17">
        <v>50013</v>
      </c>
      <c r="BE1967" s="17">
        <v>981451.25</v>
      </c>
      <c r="BF1967" s="17">
        <v>896.6</v>
      </c>
      <c r="BG1967" s="11">
        <f ca="1">IFERROR(__xludf.DUMMYFUNCTION("""COMPUTED_VALUE"""),45921.6458333333)</f>
        <v>45921.645833333299</v>
      </c>
      <c r="BH1967" s="17" t="s">
        <v>105</v>
      </c>
      <c r="BI1967" s="17"/>
      <c r="BJ1967" s="15"/>
      <c r="BK1967" s="15"/>
      <c r="BL1967" s="13" t="b">
        <v>0</v>
      </c>
      <c r="BM1967" s="10"/>
      <c r="BN1967" s="10" t="s">
        <v>455</v>
      </c>
      <c r="BO1967" s="11">
        <v>45910.69027777778</v>
      </c>
      <c r="BP1967" s="11">
        <v>45912.630879629629</v>
      </c>
      <c r="BQ1967" s="15">
        <v>45919.430474537039</v>
      </c>
      <c r="BR1967" s="15">
        <v>45919.532731481479</v>
      </c>
      <c r="BS1967" s="10" t="s">
        <v>455</v>
      </c>
      <c r="BT1967" s="10" t="s">
        <v>99</v>
      </c>
      <c r="BU1967" s="10" t="s">
        <v>421</v>
      </c>
      <c r="BV1967" s="10"/>
      <c r="BW1967" s="10"/>
      <c r="BX1967" s="10"/>
      <c r="BY1967" s="23"/>
      <c r="BZ1967" s="23"/>
      <c r="CA1967" s="19" t="s">
        <v>15001</v>
      </c>
      <c r="CB1967" s="19" t="s">
        <v>15002</v>
      </c>
      <c r="CC1967" s="23"/>
      <c r="CD1967" s="19" t="s">
        <v>15003</v>
      </c>
      <c r="CE1967" s="23"/>
      <c r="CF1967" s="23"/>
      <c r="CG1967" s="23"/>
      <c r="CH1967" s="23"/>
      <c r="CI1967" s="23"/>
    </row>
    <row r="1968" spans="1:87" x14ac:dyDescent="0.3">
      <c r="A1968" s="9" t="s">
        <v>15004</v>
      </c>
      <c r="B1968" s="10" t="s">
        <v>15005</v>
      </c>
      <c r="C1968" s="11">
        <v>45921.645833333336</v>
      </c>
      <c r="D1968" s="12">
        <v>8.3333333333333329E-2</v>
      </c>
      <c r="E1968" s="11">
        <v>45921.729166666664</v>
      </c>
      <c r="F1968" s="10" t="s">
        <v>14786</v>
      </c>
      <c r="G1968" s="13" t="b">
        <v>0</v>
      </c>
      <c r="H1968" s="10" t="s">
        <v>14787</v>
      </c>
      <c r="I1968" s="10" t="s">
        <v>3548</v>
      </c>
      <c r="J1968" s="13" t="b">
        <v>0</v>
      </c>
      <c r="K1968" s="13" t="b">
        <v>1</v>
      </c>
      <c r="L1968" s="10" t="s">
        <v>124</v>
      </c>
      <c r="M1968" s="10" t="s">
        <v>91</v>
      </c>
      <c r="N1968" s="10" t="s">
        <v>3513</v>
      </c>
      <c r="O1968" s="19" t="s">
        <v>15006</v>
      </c>
      <c r="P1968" s="10"/>
      <c r="Q1968" s="10" t="s">
        <v>126</v>
      </c>
      <c r="R1968" s="10"/>
      <c r="S1968" s="19" t="s">
        <v>15007</v>
      </c>
      <c r="T1968" s="19" t="s">
        <v>14972</v>
      </c>
      <c r="U1968" s="10" t="s">
        <v>14860</v>
      </c>
      <c r="V1968" s="10" t="s">
        <v>14837</v>
      </c>
      <c r="W1968" s="10" t="s">
        <v>14793</v>
      </c>
      <c r="X1968" s="10" t="s">
        <v>130</v>
      </c>
      <c r="Y1968" s="10" t="s">
        <v>130</v>
      </c>
      <c r="Z1968" s="10" t="s">
        <v>99</v>
      </c>
      <c r="AA1968" s="10" t="s">
        <v>131</v>
      </c>
      <c r="AB1968" s="10" t="s">
        <v>14794</v>
      </c>
      <c r="AC1968" s="10" t="s">
        <v>3521</v>
      </c>
      <c r="AD1968" s="10" t="s">
        <v>15008</v>
      </c>
      <c r="AE1968" s="10" t="s">
        <v>15009</v>
      </c>
      <c r="AF1968" s="15"/>
      <c r="AG1968" s="10"/>
      <c r="AH1968" s="10"/>
      <c r="AI1968" s="10"/>
      <c r="AJ1968" s="10"/>
      <c r="AK1968" s="10" t="s">
        <v>102</v>
      </c>
      <c r="AL1968" s="10" t="s">
        <v>116</v>
      </c>
      <c r="AM1968" s="10"/>
      <c r="AN1968" s="10"/>
      <c r="AO1968" s="13" t="b">
        <v>0</v>
      </c>
      <c r="AP1968" s="10" t="s">
        <v>104</v>
      </c>
      <c r="AQ1968" s="10">
        <f ca="1">IFERROR(__xludf.DUMMYFUNCTION("""COMPUTED_VALUE"""),4583215)</f>
        <v>4583215</v>
      </c>
      <c r="AR1968" s="17">
        <v>39308</v>
      </c>
      <c r="AS1968" s="17">
        <v>24478</v>
      </c>
      <c r="AT1968" s="17">
        <v>294329.5</v>
      </c>
      <c r="AU1968" s="17">
        <v>198.3</v>
      </c>
      <c r="AV1968" s="17">
        <v>133.25</v>
      </c>
      <c r="AW1968" s="10" t="s">
        <v>105</v>
      </c>
      <c r="AX1968" s="17">
        <v>6781</v>
      </c>
      <c r="AY1968" s="18">
        <v>12.024246261949505</v>
      </c>
      <c r="AZ1968" s="10" t="s">
        <v>106</v>
      </c>
      <c r="BA1968" s="20" t="b">
        <v>0</v>
      </c>
      <c r="BB1968" s="10"/>
      <c r="BC1968" s="17">
        <v>39308</v>
      </c>
      <c r="BD1968" s="17">
        <v>24478</v>
      </c>
      <c r="BE1968" s="17">
        <v>294329.5</v>
      </c>
      <c r="BF1968" s="17">
        <v>133.25</v>
      </c>
      <c r="BG1968" s="11">
        <f ca="1">IFERROR(__xludf.DUMMYFUNCTION("""COMPUTED_VALUE"""),45921.6458333333)</f>
        <v>45921.645833333299</v>
      </c>
      <c r="BH1968" s="17" t="s">
        <v>105</v>
      </c>
      <c r="BI1968" s="17"/>
      <c r="BJ1968" s="15"/>
      <c r="BK1968" s="15"/>
      <c r="BL1968" s="13" t="b">
        <v>0</v>
      </c>
      <c r="BM1968" s="10"/>
      <c r="BN1968" s="10" t="s">
        <v>455</v>
      </c>
      <c r="BO1968" s="11">
        <v>45910.690972222219</v>
      </c>
      <c r="BP1968" s="11">
        <v>45912.630740740744</v>
      </c>
      <c r="BQ1968" s="15">
        <v>45919.43037037037</v>
      </c>
      <c r="BR1968" s="15">
        <v>45919.646770833337</v>
      </c>
      <c r="BS1968" s="10" t="s">
        <v>455</v>
      </c>
      <c r="BT1968" s="10" t="s">
        <v>99</v>
      </c>
      <c r="BU1968" s="10" t="s">
        <v>793</v>
      </c>
      <c r="BV1968" s="10"/>
      <c r="BW1968" s="10"/>
      <c r="BX1968" s="10"/>
      <c r="BY1968" s="23"/>
      <c r="BZ1968" s="23"/>
      <c r="CA1968" s="19" t="s">
        <v>15010</v>
      </c>
      <c r="CB1968" s="19" t="s">
        <v>15011</v>
      </c>
      <c r="CC1968" s="23"/>
      <c r="CD1968" s="19" t="s">
        <v>15012</v>
      </c>
      <c r="CE1968" s="23"/>
      <c r="CF1968" s="23"/>
      <c r="CG1968" s="23"/>
      <c r="CH1968" s="23"/>
      <c r="CI1968" s="23"/>
    </row>
    <row r="1969" spans="1:87" x14ac:dyDescent="0.3">
      <c r="A1969" s="9" t="s">
        <v>15013</v>
      </c>
      <c r="B1969" s="10" t="s">
        <v>15014</v>
      </c>
      <c r="C1969" s="11">
        <v>45921.791666666664</v>
      </c>
      <c r="D1969" s="12">
        <v>8.3333333333333329E-2</v>
      </c>
      <c r="E1969" s="11">
        <v>45921.875</v>
      </c>
      <c r="F1969" s="10" t="s">
        <v>14786</v>
      </c>
      <c r="G1969" s="13" t="b">
        <v>0</v>
      </c>
      <c r="H1969" s="10" t="s">
        <v>14787</v>
      </c>
      <c r="I1969" s="10" t="s">
        <v>3548</v>
      </c>
      <c r="J1969" s="13" t="b">
        <v>0</v>
      </c>
      <c r="K1969" s="13" t="b">
        <v>1</v>
      </c>
      <c r="L1969" s="10" t="s">
        <v>124</v>
      </c>
      <c r="M1969" s="10" t="s">
        <v>91</v>
      </c>
      <c r="N1969" s="10" t="s">
        <v>3513</v>
      </c>
      <c r="O1969" s="19" t="s">
        <v>15015</v>
      </c>
      <c r="P1969" s="10"/>
      <c r="Q1969" s="10" t="s">
        <v>126</v>
      </c>
      <c r="R1969" s="10"/>
      <c r="S1969" s="19" t="s">
        <v>15016</v>
      </c>
      <c r="T1969" s="19" t="s">
        <v>14972</v>
      </c>
      <c r="U1969" s="10" t="s">
        <v>14838</v>
      </c>
      <c r="V1969" s="10" t="s">
        <v>14859</v>
      </c>
      <c r="W1969" s="10" t="s">
        <v>14793</v>
      </c>
      <c r="X1969" s="10" t="s">
        <v>130</v>
      </c>
      <c r="Y1969" s="10" t="s">
        <v>130</v>
      </c>
      <c r="Z1969" s="10" t="s">
        <v>99</v>
      </c>
      <c r="AA1969" s="10" t="s">
        <v>131</v>
      </c>
      <c r="AB1969" s="10" t="s">
        <v>14794</v>
      </c>
      <c r="AC1969" s="10" t="s">
        <v>3521</v>
      </c>
      <c r="AD1969" s="10" t="s">
        <v>15017</v>
      </c>
      <c r="AE1969" s="10" t="s">
        <v>15018</v>
      </c>
      <c r="AF1969" s="15"/>
      <c r="AG1969" s="10"/>
      <c r="AH1969" s="10"/>
      <c r="AI1969" s="10"/>
      <c r="AJ1969" s="10"/>
      <c r="AK1969" s="10" t="s">
        <v>102</v>
      </c>
      <c r="AL1969" s="10" t="s">
        <v>116</v>
      </c>
      <c r="AM1969" s="10"/>
      <c r="AN1969" s="10"/>
      <c r="AO1969" s="13" t="b">
        <v>0</v>
      </c>
      <c r="AP1969" s="10" t="s">
        <v>104</v>
      </c>
      <c r="AQ1969" s="10">
        <f ca="1">IFERROR(__xludf.DUMMYFUNCTION("""COMPUTED_VALUE"""),4583213)</f>
        <v>4583213</v>
      </c>
      <c r="AR1969" s="17">
        <v>52522</v>
      </c>
      <c r="AS1969" s="17">
        <v>31693</v>
      </c>
      <c r="AT1969" s="17">
        <v>656529.25</v>
      </c>
      <c r="AU1969" s="17">
        <v>488.9</v>
      </c>
      <c r="AV1969" s="17">
        <v>298.64999999999998</v>
      </c>
      <c r="AW1969" s="10" t="s">
        <v>105</v>
      </c>
      <c r="AX1969" s="17">
        <v>10804</v>
      </c>
      <c r="AY1969" s="18">
        <v>20.715276243965544</v>
      </c>
      <c r="AZ1969" s="10" t="s">
        <v>106</v>
      </c>
      <c r="BA1969" s="20" t="b">
        <v>0</v>
      </c>
      <c r="BB1969" s="10"/>
      <c r="BC1969" s="17">
        <v>52522</v>
      </c>
      <c r="BD1969" s="17">
        <v>31693</v>
      </c>
      <c r="BE1969" s="17">
        <v>656529.25</v>
      </c>
      <c r="BF1969" s="17">
        <v>298.64999999999998</v>
      </c>
      <c r="BG1969" s="11">
        <f ca="1">IFERROR(__xludf.DUMMYFUNCTION("""COMPUTED_VALUE"""),45921.7916666666)</f>
        <v>45921.791666666599</v>
      </c>
      <c r="BH1969" s="17" t="s">
        <v>105</v>
      </c>
      <c r="BI1969" s="17"/>
      <c r="BJ1969" s="15"/>
      <c r="BK1969" s="15"/>
      <c r="BL1969" s="13" t="b">
        <v>0</v>
      </c>
      <c r="BM1969" s="10"/>
      <c r="BN1969" s="10" t="s">
        <v>455</v>
      </c>
      <c r="BO1969" s="11">
        <v>45910.691666666666</v>
      </c>
      <c r="BP1969" s="11">
        <v>45912.631064814814</v>
      </c>
      <c r="BQ1969" s="15">
        <v>45919.430590277778</v>
      </c>
      <c r="BR1969" s="15">
        <v>45919.64303240741</v>
      </c>
      <c r="BS1969" s="10" t="s">
        <v>455</v>
      </c>
      <c r="BT1969" s="10" t="s">
        <v>99</v>
      </c>
      <c r="BU1969" s="10" t="s">
        <v>421</v>
      </c>
      <c r="BV1969" s="10"/>
      <c r="BW1969" s="10"/>
      <c r="BX1969" s="10"/>
      <c r="BY1969" s="23"/>
      <c r="BZ1969" s="23"/>
      <c r="CA1969" s="19" t="s">
        <v>15019</v>
      </c>
      <c r="CB1969" s="19" t="s">
        <v>15020</v>
      </c>
      <c r="CC1969" s="23"/>
      <c r="CD1969" s="19" t="s">
        <v>15021</v>
      </c>
      <c r="CE1969" s="23"/>
      <c r="CF1969" s="23"/>
      <c r="CG1969" s="23"/>
      <c r="CH1969" s="23"/>
      <c r="CI1969" s="23"/>
    </row>
    <row r="1970" spans="1:87" x14ac:dyDescent="0.3">
      <c r="A1970" s="9" t="s">
        <v>15022</v>
      </c>
      <c r="B1970" s="10" t="s">
        <v>15023</v>
      </c>
      <c r="C1970" s="11">
        <v>45921.791666666664</v>
      </c>
      <c r="D1970" s="12">
        <v>8.3333333333333329E-2</v>
      </c>
      <c r="E1970" s="11">
        <v>45921.875</v>
      </c>
      <c r="F1970" s="10" t="s">
        <v>14786</v>
      </c>
      <c r="G1970" s="13" t="b">
        <v>0</v>
      </c>
      <c r="H1970" s="10" t="s">
        <v>14787</v>
      </c>
      <c r="I1970" s="10" t="s">
        <v>212</v>
      </c>
      <c r="J1970" s="13" t="b">
        <v>1</v>
      </c>
      <c r="K1970" s="13" t="b">
        <v>0</v>
      </c>
      <c r="L1970" s="10" t="s">
        <v>124</v>
      </c>
      <c r="M1970" s="10" t="s">
        <v>91</v>
      </c>
      <c r="N1970" s="10" t="s">
        <v>3513</v>
      </c>
      <c r="O1970" s="19" t="s">
        <v>15024</v>
      </c>
      <c r="P1970" s="10"/>
      <c r="Q1970" s="10" t="s">
        <v>1094</v>
      </c>
      <c r="R1970" s="10"/>
      <c r="S1970" s="19" t="s">
        <v>15025</v>
      </c>
      <c r="T1970" s="19" t="s">
        <v>14972</v>
      </c>
      <c r="U1970" s="10" t="s">
        <v>14849</v>
      </c>
      <c r="V1970" s="10" t="s">
        <v>14870</v>
      </c>
      <c r="W1970" s="10" t="s">
        <v>14793</v>
      </c>
      <c r="X1970" s="10" t="s">
        <v>130</v>
      </c>
      <c r="Y1970" s="10" t="s">
        <v>130</v>
      </c>
      <c r="Z1970" s="10" t="s">
        <v>99</v>
      </c>
      <c r="AA1970" s="10" t="s">
        <v>131</v>
      </c>
      <c r="AB1970" s="10" t="s">
        <v>14794</v>
      </c>
      <c r="AC1970" s="10" t="s">
        <v>3521</v>
      </c>
      <c r="AD1970" s="10" t="s">
        <v>15026</v>
      </c>
      <c r="AE1970" s="10" t="s">
        <v>15027</v>
      </c>
      <c r="AF1970" s="15"/>
      <c r="AG1970" s="10"/>
      <c r="AH1970" s="10"/>
      <c r="AI1970" s="10"/>
      <c r="AJ1970" s="10"/>
      <c r="AK1970" s="10" t="s">
        <v>102</v>
      </c>
      <c r="AL1970" s="10" t="s">
        <v>116</v>
      </c>
      <c r="AM1970" s="10"/>
      <c r="AN1970" s="10"/>
      <c r="AO1970" s="13" t="b">
        <v>0</v>
      </c>
      <c r="AP1970" s="10" t="s">
        <v>104</v>
      </c>
      <c r="AQ1970" s="10">
        <f ca="1">IFERROR(__xludf.DUMMYFUNCTION("""COMPUTED_VALUE"""),4582513)</f>
        <v>4582513</v>
      </c>
      <c r="AR1970" s="17">
        <v>37709</v>
      </c>
      <c r="AS1970" s="17">
        <v>20447</v>
      </c>
      <c r="AT1970" s="17">
        <v>344128.75</v>
      </c>
      <c r="AU1970" s="17">
        <v>64.25</v>
      </c>
      <c r="AV1970" s="17">
        <v>34.5</v>
      </c>
      <c r="AW1970" s="10" t="s">
        <v>105</v>
      </c>
      <c r="AX1970" s="17">
        <v>7023</v>
      </c>
      <c r="AY1970" s="18">
        <v>16.830280725778842</v>
      </c>
      <c r="AZ1970" s="10" t="s">
        <v>106</v>
      </c>
      <c r="BA1970" s="20" t="b">
        <v>0</v>
      </c>
      <c r="BB1970" s="10"/>
      <c r="BC1970" s="17">
        <v>37709</v>
      </c>
      <c r="BD1970" s="17">
        <v>20447</v>
      </c>
      <c r="BE1970" s="17">
        <v>344128.75</v>
      </c>
      <c r="BF1970" s="17">
        <v>34.5</v>
      </c>
      <c r="BG1970" s="11">
        <f ca="1">IFERROR(__xludf.DUMMYFUNCTION("""COMPUTED_VALUE"""),45921.7916666666)</f>
        <v>45921.791666666599</v>
      </c>
      <c r="BH1970" s="17" t="s">
        <v>105</v>
      </c>
      <c r="BI1970" s="17"/>
      <c r="BJ1970" s="15"/>
      <c r="BK1970" s="15"/>
      <c r="BL1970" s="13" t="b">
        <v>0</v>
      </c>
      <c r="BM1970" s="10"/>
      <c r="BN1970" s="10" t="s">
        <v>455</v>
      </c>
      <c r="BO1970" s="11">
        <v>45910.692361111112</v>
      </c>
      <c r="BP1970" s="11">
        <v>45912.631238425929</v>
      </c>
      <c r="BQ1970" s="15">
        <v>45919.43068287037</v>
      </c>
      <c r="BR1970" s="15">
        <v>45919.533229166664</v>
      </c>
      <c r="BS1970" s="10" t="s">
        <v>455</v>
      </c>
      <c r="BT1970" s="10" t="s">
        <v>99</v>
      </c>
      <c r="BU1970" s="10" t="s">
        <v>793</v>
      </c>
      <c r="BV1970" s="10"/>
      <c r="BW1970" s="10"/>
      <c r="BX1970" s="10"/>
      <c r="BY1970" s="23"/>
      <c r="BZ1970" s="23"/>
      <c r="CA1970" s="19" t="s">
        <v>15028</v>
      </c>
      <c r="CB1970" s="19" t="s">
        <v>15029</v>
      </c>
      <c r="CC1970" s="23"/>
      <c r="CD1970" s="19" t="s">
        <v>15030</v>
      </c>
      <c r="CE1970" s="23"/>
      <c r="CF1970" s="23"/>
      <c r="CG1970" s="23"/>
      <c r="CH1970" s="23"/>
      <c r="CI1970" s="23"/>
    </row>
    <row r="1971" spans="1:87" x14ac:dyDescent="0.3">
      <c r="A1971" s="9" t="s">
        <v>15031</v>
      </c>
      <c r="B1971" s="10" t="s">
        <v>15032</v>
      </c>
      <c r="C1971" s="11">
        <v>45922.645833333336</v>
      </c>
      <c r="D1971" s="12">
        <v>8.3333333333333329E-2</v>
      </c>
      <c r="E1971" s="11">
        <v>45922.729166666664</v>
      </c>
      <c r="F1971" s="10" t="s">
        <v>14786</v>
      </c>
      <c r="G1971" s="13" t="b">
        <v>0</v>
      </c>
      <c r="H1971" s="10" t="s">
        <v>14787</v>
      </c>
      <c r="I1971" s="10" t="s">
        <v>212</v>
      </c>
      <c r="J1971" s="13" t="b">
        <v>1</v>
      </c>
      <c r="K1971" s="13" t="b">
        <v>0</v>
      </c>
      <c r="L1971" s="10" t="s">
        <v>124</v>
      </c>
      <c r="M1971" s="10" t="s">
        <v>91</v>
      </c>
      <c r="N1971" s="10" t="s">
        <v>3513</v>
      </c>
      <c r="O1971" s="19" t="s">
        <v>15033</v>
      </c>
      <c r="P1971" s="10"/>
      <c r="Q1971" s="10" t="s">
        <v>126</v>
      </c>
      <c r="R1971" s="10"/>
      <c r="S1971" s="19" t="s">
        <v>15034</v>
      </c>
      <c r="T1971" s="19" t="s">
        <v>14972</v>
      </c>
      <c r="U1971" s="10" t="s">
        <v>14881</v>
      </c>
      <c r="V1971" s="10" t="s">
        <v>14815</v>
      </c>
      <c r="W1971" s="10" t="s">
        <v>14793</v>
      </c>
      <c r="X1971" s="10" t="s">
        <v>130</v>
      </c>
      <c r="Y1971" s="10" t="s">
        <v>130</v>
      </c>
      <c r="Z1971" s="10" t="s">
        <v>99</v>
      </c>
      <c r="AA1971" s="10" t="s">
        <v>131</v>
      </c>
      <c r="AB1971" s="10" t="s">
        <v>14794</v>
      </c>
      <c r="AC1971" s="10" t="s">
        <v>3521</v>
      </c>
      <c r="AD1971" s="10" t="s">
        <v>15035</v>
      </c>
      <c r="AE1971" s="10" t="s">
        <v>15036</v>
      </c>
      <c r="AF1971" s="15"/>
      <c r="AG1971" s="10"/>
      <c r="AH1971" s="10"/>
      <c r="AI1971" s="10"/>
      <c r="AJ1971" s="10"/>
      <c r="AK1971" s="10" t="s">
        <v>102</v>
      </c>
      <c r="AL1971" s="10" t="s">
        <v>116</v>
      </c>
      <c r="AM1971" s="10"/>
      <c r="AN1971" s="10"/>
      <c r="AO1971" s="13" t="b">
        <v>0</v>
      </c>
      <c r="AP1971" s="10" t="s">
        <v>104</v>
      </c>
      <c r="AQ1971" s="10">
        <f ca="1">IFERROR(__xludf.DUMMYFUNCTION("""COMPUTED_VALUE"""),4585671)</f>
        <v>4585671</v>
      </c>
      <c r="AR1971" s="17">
        <v>40341</v>
      </c>
      <c r="AS1971" s="17">
        <v>21763</v>
      </c>
      <c r="AT1971" s="17">
        <v>392250.5</v>
      </c>
      <c r="AU1971" s="17">
        <v>57.1</v>
      </c>
      <c r="AV1971" s="17">
        <v>27.35</v>
      </c>
      <c r="AW1971" s="10" t="s">
        <v>105</v>
      </c>
      <c r="AX1971" s="17">
        <v>6687</v>
      </c>
      <c r="AY1971" s="18">
        <v>18.023732941230527</v>
      </c>
      <c r="AZ1971" s="10" t="s">
        <v>106</v>
      </c>
      <c r="BA1971" s="20" t="b">
        <v>0</v>
      </c>
      <c r="BB1971" s="10"/>
      <c r="BC1971" s="17">
        <v>40341</v>
      </c>
      <c r="BD1971" s="17">
        <v>21763</v>
      </c>
      <c r="BE1971" s="17">
        <v>392250.5</v>
      </c>
      <c r="BF1971" s="17">
        <v>27.35</v>
      </c>
      <c r="BG1971" s="11">
        <f ca="1">IFERROR(__xludf.DUMMYFUNCTION("""COMPUTED_VALUE"""),45922.6458333333)</f>
        <v>45922.645833333299</v>
      </c>
      <c r="BH1971" s="17" t="s">
        <v>105</v>
      </c>
      <c r="BI1971" s="17"/>
      <c r="BJ1971" s="15"/>
      <c r="BK1971" s="15"/>
      <c r="BL1971" s="13" t="b">
        <v>0</v>
      </c>
      <c r="BM1971" s="10"/>
      <c r="BN1971" s="10" t="s">
        <v>3422</v>
      </c>
      <c r="BO1971" s="11">
        <v>45910.693055555559</v>
      </c>
      <c r="BP1971" s="11">
        <v>45912.631562499999</v>
      </c>
      <c r="BQ1971" s="15">
        <v>45919.430925925924</v>
      </c>
      <c r="BR1971" s="15">
        <v>45920.414490740739</v>
      </c>
      <c r="BS1971" s="10"/>
      <c r="BT1971" s="10" t="s">
        <v>99</v>
      </c>
      <c r="BU1971" s="10" t="s">
        <v>280</v>
      </c>
      <c r="BV1971" s="10"/>
      <c r="BW1971" s="10"/>
      <c r="BX1971" s="10"/>
      <c r="BY1971" s="23"/>
      <c r="BZ1971" s="23"/>
      <c r="CA1971" s="19" t="s">
        <v>15037</v>
      </c>
      <c r="CB1971" s="19" t="s">
        <v>15038</v>
      </c>
      <c r="CC1971" s="23"/>
      <c r="CD1971" s="19" t="s">
        <v>15039</v>
      </c>
      <c r="CE1971" s="23"/>
      <c r="CF1971" s="23"/>
      <c r="CG1971" s="23"/>
      <c r="CH1971" s="23"/>
      <c r="CI1971" s="23"/>
    </row>
    <row r="1972" spans="1:87" x14ac:dyDescent="0.3">
      <c r="A1972" s="9" t="s">
        <v>15040</v>
      </c>
      <c r="B1972" s="10" t="s">
        <v>15041</v>
      </c>
      <c r="C1972" s="11">
        <v>45922.645833333336</v>
      </c>
      <c r="D1972" s="12">
        <v>8.3333333333333329E-2</v>
      </c>
      <c r="E1972" s="11">
        <v>45922.729166666664</v>
      </c>
      <c r="F1972" s="10" t="s">
        <v>14786</v>
      </c>
      <c r="G1972" s="13" t="b">
        <v>0</v>
      </c>
      <c r="H1972" s="10" t="s">
        <v>14787</v>
      </c>
      <c r="I1972" s="10" t="s">
        <v>212</v>
      </c>
      <c r="J1972" s="13" t="b">
        <v>1</v>
      </c>
      <c r="K1972" s="13" t="b">
        <v>0</v>
      </c>
      <c r="L1972" s="10" t="s">
        <v>124</v>
      </c>
      <c r="M1972" s="10" t="s">
        <v>91</v>
      </c>
      <c r="N1972" s="10" t="s">
        <v>3513</v>
      </c>
      <c r="O1972" s="19" t="s">
        <v>15042</v>
      </c>
      <c r="P1972" s="10"/>
      <c r="Q1972" s="10" t="s">
        <v>94</v>
      </c>
      <c r="R1972" s="10"/>
      <c r="S1972" s="19" t="s">
        <v>15043</v>
      </c>
      <c r="T1972" s="19" t="s">
        <v>14972</v>
      </c>
      <c r="U1972" s="10" t="s">
        <v>14893</v>
      </c>
      <c r="V1972" s="10" t="s">
        <v>14791</v>
      </c>
      <c r="W1972" s="10" t="s">
        <v>14793</v>
      </c>
      <c r="X1972" s="10" t="s">
        <v>130</v>
      </c>
      <c r="Y1972" s="10" t="s">
        <v>130</v>
      </c>
      <c r="Z1972" s="10" t="s">
        <v>99</v>
      </c>
      <c r="AA1972" s="10" t="s">
        <v>131</v>
      </c>
      <c r="AB1972" s="10" t="s">
        <v>14794</v>
      </c>
      <c r="AC1972" s="10" t="s">
        <v>3521</v>
      </c>
      <c r="AD1972" s="10" t="s">
        <v>15044</v>
      </c>
      <c r="AE1972" s="10" t="s">
        <v>15045</v>
      </c>
      <c r="AF1972" s="15"/>
      <c r="AG1972" s="10"/>
      <c r="AH1972" s="10"/>
      <c r="AI1972" s="10"/>
      <c r="AJ1972" s="10"/>
      <c r="AK1972" s="10" t="s">
        <v>102</v>
      </c>
      <c r="AL1972" s="10" t="s">
        <v>116</v>
      </c>
      <c r="AM1972" s="10"/>
      <c r="AN1972" s="10"/>
      <c r="AO1972" s="13" t="b">
        <v>0</v>
      </c>
      <c r="AP1972" s="10" t="s">
        <v>104</v>
      </c>
      <c r="AQ1972" s="10">
        <f ca="1">IFERROR(__xludf.DUMMYFUNCTION("""COMPUTED_VALUE"""),4585670)</f>
        <v>4585670</v>
      </c>
      <c r="AR1972" s="17">
        <v>21927</v>
      </c>
      <c r="AS1972" s="17">
        <v>13560</v>
      </c>
      <c r="AT1972" s="17">
        <v>111819.5</v>
      </c>
      <c r="AU1972" s="17">
        <v>15.65</v>
      </c>
      <c r="AV1972" s="17">
        <v>7.8</v>
      </c>
      <c r="AW1972" s="10" t="s">
        <v>105</v>
      </c>
      <c r="AX1972" s="17">
        <v>3849</v>
      </c>
      <c r="AY1972" s="18">
        <v>8.2462758112094399</v>
      </c>
      <c r="AZ1972" s="10" t="s">
        <v>106</v>
      </c>
      <c r="BA1972" s="20" t="b">
        <v>0</v>
      </c>
      <c r="BB1972" s="10"/>
      <c r="BC1972" s="17">
        <v>21927</v>
      </c>
      <c r="BD1972" s="17">
        <v>13560</v>
      </c>
      <c r="BE1972" s="17">
        <v>111819.5</v>
      </c>
      <c r="BF1972" s="17">
        <v>7.8</v>
      </c>
      <c r="BG1972" s="11">
        <f ca="1">IFERROR(__xludf.DUMMYFUNCTION("""COMPUTED_VALUE"""),45922.6458333333)</f>
        <v>45922.645833333299</v>
      </c>
      <c r="BH1972" s="17" t="s">
        <v>105</v>
      </c>
      <c r="BI1972" s="17"/>
      <c r="BJ1972" s="15"/>
      <c r="BK1972" s="15"/>
      <c r="BL1972" s="13" t="b">
        <v>0</v>
      </c>
      <c r="BM1972" s="10"/>
      <c r="BN1972" s="10" t="s">
        <v>667</v>
      </c>
      <c r="BO1972" s="11">
        <v>45910.693749999999</v>
      </c>
      <c r="BP1972" s="11">
        <v>45912.63140046296</v>
      </c>
      <c r="BQ1972" s="15">
        <v>45919.430821759262</v>
      </c>
      <c r="BR1972" s="15">
        <v>45920.414351851854</v>
      </c>
      <c r="BS1972" s="10" t="s">
        <v>667</v>
      </c>
      <c r="BT1972" s="10" t="s">
        <v>279</v>
      </c>
      <c r="BU1972" s="10" t="s">
        <v>421</v>
      </c>
      <c r="BV1972" s="10"/>
      <c r="BW1972" s="10"/>
      <c r="BX1972" s="10"/>
      <c r="BY1972" s="23"/>
      <c r="BZ1972" s="23"/>
      <c r="CA1972" s="19" t="s">
        <v>15046</v>
      </c>
      <c r="CB1972" s="19" t="s">
        <v>15047</v>
      </c>
      <c r="CC1972" s="23"/>
      <c r="CD1972" s="23"/>
      <c r="CE1972" s="23"/>
      <c r="CF1972" s="23"/>
      <c r="CG1972" s="23"/>
      <c r="CH1972" s="23"/>
      <c r="CI1972" s="23"/>
    </row>
    <row r="1973" spans="1:87" x14ac:dyDescent="0.3">
      <c r="A1973" s="9" t="s">
        <v>15048</v>
      </c>
      <c r="B1973" s="10" t="s">
        <v>15049</v>
      </c>
      <c r="C1973" s="11">
        <v>45922.791666666664</v>
      </c>
      <c r="D1973" s="12">
        <v>8.3333333333333329E-2</v>
      </c>
      <c r="E1973" s="11">
        <v>45922.875</v>
      </c>
      <c r="F1973" s="10" t="s">
        <v>14786</v>
      </c>
      <c r="G1973" s="13" t="b">
        <v>0</v>
      </c>
      <c r="H1973" s="10" t="s">
        <v>14787</v>
      </c>
      <c r="I1973" s="10" t="s">
        <v>3548</v>
      </c>
      <c r="J1973" s="13" t="b">
        <v>0</v>
      </c>
      <c r="K1973" s="13" t="b">
        <v>1</v>
      </c>
      <c r="L1973" s="10" t="s">
        <v>124</v>
      </c>
      <c r="M1973" s="10" t="s">
        <v>91</v>
      </c>
      <c r="N1973" s="10" t="s">
        <v>3513</v>
      </c>
      <c r="O1973" s="19" t="s">
        <v>15050</v>
      </c>
      <c r="P1973" s="10"/>
      <c r="Q1973" s="10" t="s">
        <v>126</v>
      </c>
      <c r="R1973" s="10"/>
      <c r="S1973" s="19" t="s">
        <v>15051</v>
      </c>
      <c r="T1973" s="19" t="s">
        <v>14972</v>
      </c>
      <c r="U1973" s="10" t="s">
        <v>14882</v>
      </c>
      <c r="V1973" s="10" t="s">
        <v>14892</v>
      </c>
      <c r="W1973" s="10" t="s">
        <v>14793</v>
      </c>
      <c r="X1973" s="10" t="s">
        <v>130</v>
      </c>
      <c r="Y1973" s="10" t="s">
        <v>130</v>
      </c>
      <c r="Z1973" s="10" t="s">
        <v>99</v>
      </c>
      <c r="AA1973" s="10" t="s">
        <v>131</v>
      </c>
      <c r="AB1973" s="10" t="s">
        <v>14794</v>
      </c>
      <c r="AC1973" s="10" t="s">
        <v>3521</v>
      </c>
      <c r="AD1973" s="10" t="s">
        <v>15052</v>
      </c>
      <c r="AE1973" s="10" t="s">
        <v>15053</v>
      </c>
      <c r="AF1973" s="15"/>
      <c r="AG1973" s="10"/>
      <c r="AH1973" s="10"/>
      <c r="AI1973" s="10"/>
      <c r="AJ1973" s="10"/>
      <c r="AK1973" s="10" t="s">
        <v>102</v>
      </c>
      <c r="AL1973" s="10" t="s">
        <v>116</v>
      </c>
      <c r="AM1973" s="10"/>
      <c r="AN1973" s="10"/>
      <c r="AO1973" s="13" t="b">
        <v>0</v>
      </c>
      <c r="AP1973" s="10" t="s">
        <v>104</v>
      </c>
      <c r="AQ1973" s="10">
        <f ca="1">IFERROR(__xludf.DUMMYFUNCTION("""COMPUTED_VALUE"""),4585672)</f>
        <v>4585672</v>
      </c>
      <c r="AR1973" s="17">
        <v>44595</v>
      </c>
      <c r="AS1973" s="17">
        <v>27986</v>
      </c>
      <c r="AT1973" s="17">
        <v>551020.75</v>
      </c>
      <c r="AU1973" s="17">
        <v>360.35</v>
      </c>
      <c r="AV1973" s="17">
        <v>224.6</v>
      </c>
      <c r="AW1973" s="10" t="s">
        <v>105</v>
      </c>
      <c r="AX1973" s="17">
        <v>8745</v>
      </c>
      <c r="AY1973" s="18">
        <v>19.689157078539271</v>
      </c>
      <c r="AZ1973" s="10" t="s">
        <v>106</v>
      </c>
      <c r="BA1973" s="20" t="b">
        <v>0</v>
      </c>
      <c r="BB1973" s="10"/>
      <c r="BC1973" s="17">
        <v>44595</v>
      </c>
      <c r="BD1973" s="17">
        <v>27986</v>
      </c>
      <c r="BE1973" s="17">
        <v>551020.75</v>
      </c>
      <c r="BF1973" s="17">
        <v>224.6</v>
      </c>
      <c r="BG1973" s="11">
        <f ca="1">IFERROR(__xludf.DUMMYFUNCTION("""COMPUTED_VALUE"""),45922.7916666666)</f>
        <v>45922.791666666599</v>
      </c>
      <c r="BH1973" s="17" t="s">
        <v>105</v>
      </c>
      <c r="BI1973" s="17"/>
      <c r="BJ1973" s="15"/>
      <c r="BK1973" s="15"/>
      <c r="BL1973" s="13" t="b">
        <v>0</v>
      </c>
      <c r="BM1973" s="10"/>
      <c r="BN1973" s="10" t="s">
        <v>3422</v>
      </c>
      <c r="BO1973" s="11">
        <v>45910.694444444445</v>
      </c>
      <c r="BP1973" s="11">
        <v>45912.631701388891</v>
      </c>
      <c r="BQ1973" s="15">
        <v>45919.431018518517</v>
      </c>
      <c r="BR1973" s="15">
        <v>45920.414652777778</v>
      </c>
      <c r="BS1973" s="10"/>
      <c r="BT1973" s="10" t="s">
        <v>99</v>
      </c>
      <c r="BU1973" s="10" t="s">
        <v>421</v>
      </c>
      <c r="BV1973" s="10"/>
      <c r="BW1973" s="10"/>
      <c r="BX1973" s="10"/>
      <c r="BY1973" s="23"/>
      <c r="BZ1973" s="23"/>
      <c r="CA1973" s="19" t="s">
        <v>15054</v>
      </c>
      <c r="CB1973" s="19" t="s">
        <v>15055</v>
      </c>
      <c r="CC1973" s="23"/>
      <c r="CD1973" s="19" t="s">
        <v>15056</v>
      </c>
      <c r="CE1973" s="23"/>
      <c r="CF1973" s="23"/>
      <c r="CG1973" s="23"/>
      <c r="CH1973" s="23"/>
      <c r="CI1973" s="23"/>
    </row>
    <row r="1974" spans="1:87" x14ac:dyDescent="0.3">
      <c r="A1974" s="9" t="s">
        <v>15057</v>
      </c>
      <c r="B1974" s="10" t="s">
        <v>15058</v>
      </c>
      <c r="C1974" s="11">
        <v>45927.645833333336</v>
      </c>
      <c r="D1974" s="12">
        <v>8.3333333333333329E-2</v>
      </c>
      <c r="E1974" s="11">
        <v>45927.729166666664</v>
      </c>
      <c r="F1974" s="10" t="s">
        <v>14786</v>
      </c>
      <c r="G1974" s="13" t="b">
        <v>0</v>
      </c>
      <c r="H1974" s="10" t="s">
        <v>14787</v>
      </c>
      <c r="I1974" s="10" t="s">
        <v>3548</v>
      </c>
      <c r="J1974" s="13" t="b">
        <v>0</v>
      </c>
      <c r="K1974" s="13" t="b">
        <v>1</v>
      </c>
      <c r="L1974" s="10" t="s">
        <v>124</v>
      </c>
      <c r="M1974" s="10" t="s">
        <v>91</v>
      </c>
      <c r="N1974" s="10" t="s">
        <v>3513</v>
      </c>
      <c r="O1974" s="19" t="s">
        <v>15059</v>
      </c>
      <c r="P1974" s="10"/>
      <c r="Q1974" s="10" t="s">
        <v>126</v>
      </c>
      <c r="R1974" s="10"/>
      <c r="S1974" s="19" t="s">
        <v>15060</v>
      </c>
      <c r="T1974" s="19" t="s">
        <v>15061</v>
      </c>
      <c r="U1974" s="10" t="s">
        <v>14826</v>
      </c>
      <c r="V1974" s="10" t="s">
        <v>14849</v>
      </c>
      <c r="W1974" s="10" t="s">
        <v>14793</v>
      </c>
      <c r="X1974" s="10" t="s">
        <v>130</v>
      </c>
      <c r="Y1974" s="10" t="s">
        <v>130</v>
      </c>
      <c r="Z1974" s="10" t="s">
        <v>99</v>
      </c>
      <c r="AA1974" s="10" t="s">
        <v>131</v>
      </c>
      <c r="AB1974" s="10" t="s">
        <v>14794</v>
      </c>
      <c r="AC1974" s="10" t="s">
        <v>3521</v>
      </c>
      <c r="AD1974" s="10" t="s">
        <v>15062</v>
      </c>
      <c r="AE1974" s="10" t="s">
        <v>15063</v>
      </c>
      <c r="AF1974" s="15"/>
      <c r="AG1974" s="10"/>
      <c r="AH1974" s="10"/>
      <c r="AI1974" s="10"/>
      <c r="AJ1974" s="10"/>
      <c r="AK1974" s="10" t="s">
        <v>102</v>
      </c>
      <c r="AL1974" s="10" t="s">
        <v>147</v>
      </c>
      <c r="AM1974" s="10"/>
      <c r="AN1974" s="10"/>
      <c r="AO1974" s="13" t="b">
        <v>0</v>
      </c>
      <c r="AP1974" s="10" t="s">
        <v>104</v>
      </c>
      <c r="AQ1974" s="10">
        <f ca="1">IFERROR(__xludf.DUMMYFUNCTION("""COMPUTED_VALUE"""),4598357)</f>
        <v>4598357</v>
      </c>
      <c r="AR1974" s="17">
        <v>40707</v>
      </c>
      <c r="AS1974" s="17">
        <v>25344</v>
      </c>
      <c r="AT1974" s="17">
        <v>347373</v>
      </c>
      <c r="AU1974" s="17">
        <v>249.15</v>
      </c>
      <c r="AV1974" s="17">
        <v>115.6</v>
      </c>
      <c r="AW1974" s="10" t="s">
        <v>105</v>
      </c>
      <c r="AX1974" s="17">
        <v>7584</v>
      </c>
      <c r="AY1974" s="18">
        <v>13.706321022727273</v>
      </c>
      <c r="AZ1974" s="10" t="s">
        <v>106</v>
      </c>
      <c r="BA1974" s="20" t="b">
        <v>0</v>
      </c>
      <c r="BB1974" s="10"/>
      <c r="BC1974" s="17">
        <v>40707</v>
      </c>
      <c r="BD1974" s="17">
        <v>25344</v>
      </c>
      <c r="BE1974" s="17">
        <v>347373</v>
      </c>
      <c r="BF1974" s="17">
        <v>115.6</v>
      </c>
      <c r="BG1974" s="11">
        <f ca="1">IFERROR(__xludf.DUMMYFUNCTION("""COMPUTED_VALUE"""),45927.6458333333)</f>
        <v>45927.645833333299</v>
      </c>
      <c r="BH1974" s="17" t="s">
        <v>105</v>
      </c>
      <c r="BI1974" s="17"/>
      <c r="BJ1974" s="15"/>
      <c r="BK1974" s="15"/>
      <c r="BL1974" s="13" t="b">
        <v>0</v>
      </c>
      <c r="BM1974" s="10"/>
      <c r="BN1974" s="10" t="s">
        <v>278</v>
      </c>
      <c r="BO1974" s="11">
        <v>45910.723611111112</v>
      </c>
      <c r="BP1974" s="11">
        <v>45920.490127314813</v>
      </c>
      <c r="BQ1974" s="15">
        <v>45925.766284722224</v>
      </c>
      <c r="BR1974" s="15">
        <v>45925.777465277781</v>
      </c>
      <c r="BS1974" s="10" t="s">
        <v>278</v>
      </c>
      <c r="BT1974" s="10" t="s">
        <v>99</v>
      </c>
      <c r="BU1974" s="10" t="s">
        <v>718</v>
      </c>
      <c r="BV1974" s="10"/>
      <c r="BW1974" s="10"/>
      <c r="BX1974" s="10"/>
      <c r="BY1974" s="23"/>
      <c r="BZ1974" s="23"/>
      <c r="CA1974" s="19" t="s">
        <v>15064</v>
      </c>
      <c r="CB1974" s="19" t="s">
        <v>15065</v>
      </c>
      <c r="CC1974" s="23"/>
      <c r="CD1974" s="19" t="s">
        <v>15066</v>
      </c>
      <c r="CE1974" s="23"/>
      <c r="CF1974" s="23"/>
      <c r="CG1974" s="23"/>
      <c r="CH1974" s="23"/>
      <c r="CI1974" s="23"/>
    </row>
    <row r="1975" spans="1:87" x14ac:dyDescent="0.3">
      <c r="A1975" s="9" t="s">
        <v>15067</v>
      </c>
      <c r="B1975" s="10" t="s">
        <v>15068</v>
      </c>
      <c r="C1975" s="11">
        <v>45927.645833333336</v>
      </c>
      <c r="D1975" s="12">
        <v>8.3333333333333329E-2</v>
      </c>
      <c r="E1975" s="11">
        <v>45927.729166666664</v>
      </c>
      <c r="F1975" s="10" t="s">
        <v>14786</v>
      </c>
      <c r="G1975" s="13" t="b">
        <v>0</v>
      </c>
      <c r="H1975" s="10" t="s">
        <v>14787</v>
      </c>
      <c r="I1975" s="10" t="s">
        <v>3548</v>
      </c>
      <c r="J1975" s="13" t="b">
        <v>0</v>
      </c>
      <c r="K1975" s="13" t="b">
        <v>1</v>
      </c>
      <c r="L1975" s="10" t="s">
        <v>124</v>
      </c>
      <c r="M1975" s="10" t="s">
        <v>91</v>
      </c>
      <c r="N1975" s="10" t="s">
        <v>3513</v>
      </c>
      <c r="O1975" s="19" t="s">
        <v>15069</v>
      </c>
      <c r="P1975" s="10"/>
      <c r="Q1975" s="10" t="s">
        <v>126</v>
      </c>
      <c r="R1975" s="10"/>
      <c r="S1975" s="19" t="s">
        <v>15070</v>
      </c>
      <c r="T1975" s="19" t="s">
        <v>15061</v>
      </c>
      <c r="U1975" s="10" t="s">
        <v>14815</v>
      </c>
      <c r="V1975" s="10" t="s">
        <v>14892</v>
      </c>
      <c r="W1975" s="10" t="s">
        <v>14793</v>
      </c>
      <c r="X1975" s="10" t="s">
        <v>130</v>
      </c>
      <c r="Y1975" s="10" t="s">
        <v>130</v>
      </c>
      <c r="Z1975" s="10" t="s">
        <v>99</v>
      </c>
      <c r="AA1975" s="10" t="s">
        <v>131</v>
      </c>
      <c r="AB1975" s="10" t="s">
        <v>14794</v>
      </c>
      <c r="AC1975" s="10" t="s">
        <v>3521</v>
      </c>
      <c r="AD1975" s="10" t="s">
        <v>15071</v>
      </c>
      <c r="AE1975" s="10" t="s">
        <v>15072</v>
      </c>
      <c r="AF1975" s="15"/>
      <c r="AG1975" s="10"/>
      <c r="AH1975" s="10"/>
      <c r="AI1975" s="10"/>
      <c r="AJ1975" s="10"/>
      <c r="AK1975" s="10" t="s">
        <v>102</v>
      </c>
      <c r="AL1975" s="10" t="s">
        <v>147</v>
      </c>
      <c r="AM1975" s="10"/>
      <c r="AN1975" s="10"/>
      <c r="AO1975" s="13" t="b">
        <v>0</v>
      </c>
      <c r="AP1975" s="10" t="s">
        <v>104</v>
      </c>
      <c r="AQ1975" s="10">
        <f ca="1">IFERROR(__xludf.DUMMYFUNCTION("""COMPUTED_VALUE"""),4598359)</f>
        <v>4598359</v>
      </c>
      <c r="AR1975" s="17">
        <v>42604</v>
      </c>
      <c r="AS1975" s="17">
        <v>25188</v>
      </c>
      <c r="AT1975" s="17">
        <v>539242.75</v>
      </c>
      <c r="AU1975" s="17">
        <v>363.4</v>
      </c>
      <c r="AV1975" s="17">
        <v>235.1</v>
      </c>
      <c r="AW1975" s="10" t="s">
        <v>105</v>
      </c>
      <c r="AX1975" s="17">
        <v>8331</v>
      </c>
      <c r="AY1975" s="18">
        <v>21.408716452278863</v>
      </c>
      <c r="AZ1975" s="10" t="s">
        <v>106</v>
      </c>
      <c r="BA1975" s="20" t="b">
        <v>0</v>
      </c>
      <c r="BB1975" s="10"/>
      <c r="BC1975" s="17">
        <v>42604</v>
      </c>
      <c r="BD1975" s="17">
        <v>25188</v>
      </c>
      <c r="BE1975" s="17">
        <v>539242.75</v>
      </c>
      <c r="BF1975" s="17">
        <v>235.1</v>
      </c>
      <c r="BG1975" s="11">
        <f ca="1">IFERROR(__xludf.DUMMYFUNCTION("""COMPUTED_VALUE"""),45927.6458333333)</f>
        <v>45927.645833333299</v>
      </c>
      <c r="BH1975" s="17" t="s">
        <v>105</v>
      </c>
      <c r="BI1975" s="17"/>
      <c r="BJ1975" s="15"/>
      <c r="BK1975" s="15"/>
      <c r="BL1975" s="13" t="b">
        <v>0</v>
      </c>
      <c r="BM1975" s="10"/>
      <c r="BN1975" s="10" t="s">
        <v>278</v>
      </c>
      <c r="BO1975" s="11">
        <v>45910.724305555559</v>
      </c>
      <c r="BP1975" s="11">
        <v>45920.490300925929</v>
      </c>
      <c r="BQ1975" s="15">
        <v>45925.766481481478</v>
      </c>
      <c r="BR1975" s="15">
        <v>45925.777349537035</v>
      </c>
      <c r="BS1975" s="10" t="s">
        <v>278</v>
      </c>
      <c r="BT1975" s="10" t="s">
        <v>99</v>
      </c>
      <c r="BU1975" s="10" t="s">
        <v>534</v>
      </c>
      <c r="BV1975" s="10"/>
      <c r="BW1975" s="10"/>
      <c r="BX1975" s="10"/>
      <c r="BY1975" s="23"/>
      <c r="BZ1975" s="23"/>
      <c r="CA1975" s="19" t="s">
        <v>15073</v>
      </c>
      <c r="CB1975" s="19" t="s">
        <v>15074</v>
      </c>
      <c r="CC1975" s="23"/>
      <c r="CD1975" s="19" t="s">
        <v>15075</v>
      </c>
      <c r="CE1975" s="23"/>
      <c r="CF1975" s="23"/>
      <c r="CG1975" s="23"/>
      <c r="CH1975" s="23"/>
      <c r="CI1975" s="23"/>
    </row>
    <row r="1976" spans="1:87" x14ac:dyDescent="0.3">
      <c r="A1976" s="9" t="s">
        <v>15076</v>
      </c>
      <c r="B1976" s="10" t="s">
        <v>15077</v>
      </c>
      <c r="C1976" s="11">
        <v>45927.791666666664</v>
      </c>
      <c r="D1976" s="12">
        <v>8.3333333333333329E-2</v>
      </c>
      <c r="E1976" s="11">
        <v>45927.875</v>
      </c>
      <c r="F1976" s="10" t="s">
        <v>14786</v>
      </c>
      <c r="G1976" s="13" t="b">
        <v>0</v>
      </c>
      <c r="H1976" s="10" t="s">
        <v>14787</v>
      </c>
      <c r="I1976" s="10" t="s">
        <v>3548</v>
      </c>
      <c r="J1976" s="13" t="b">
        <v>0</v>
      </c>
      <c r="K1976" s="13" t="b">
        <v>1</v>
      </c>
      <c r="L1976" s="10" t="s">
        <v>124</v>
      </c>
      <c r="M1976" s="10" t="s">
        <v>91</v>
      </c>
      <c r="N1976" s="10" t="s">
        <v>3513</v>
      </c>
      <c r="O1976" s="19" t="s">
        <v>15078</v>
      </c>
      <c r="P1976" s="10"/>
      <c r="Q1976" s="10" t="s">
        <v>126</v>
      </c>
      <c r="R1976" s="10"/>
      <c r="S1976" s="19" t="s">
        <v>15079</v>
      </c>
      <c r="T1976" s="19" t="s">
        <v>15061</v>
      </c>
      <c r="U1976" s="10" t="s">
        <v>14859</v>
      </c>
      <c r="V1976" s="10" t="s">
        <v>14870</v>
      </c>
      <c r="W1976" s="10" t="s">
        <v>14793</v>
      </c>
      <c r="X1976" s="10" t="s">
        <v>130</v>
      </c>
      <c r="Y1976" s="10" t="s">
        <v>130</v>
      </c>
      <c r="Z1976" s="10" t="s">
        <v>99</v>
      </c>
      <c r="AA1976" s="10" t="s">
        <v>131</v>
      </c>
      <c r="AB1976" s="10" t="s">
        <v>14794</v>
      </c>
      <c r="AC1976" s="10" t="s">
        <v>3521</v>
      </c>
      <c r="AD1976" s="10" t="s">
        <v>15080</v>
      </c>
      <c r="AE1976" s="10" t="s">
        <v>15081</v>
      </c>
      <c r="AF1976" s="15"/>
      <c r="AG1976" s="10"/>
      <c r="AH1976" s="10"/>
      <c r="AI1976" s="10"/>
      <c r="AJ1976" s="10"/>
      <c r="AK1976" s="10" t="s">
        <v>102</v>
      </c>
      <c r="AL1976" s="10" t="s">
        <v>147</v>
      </c>
      <c r="AM1976" s="10"/>
      <c r="AN1976" s="10"/>
      <c r="AO1976" s="13" t="b">
        <v>0</v>
      </c>
      <c r="AP1976" s="10" t="s">
        <v>104</v>
      </c>
      <c r="AQ1976" s="10">
        <f ca="1">IFERROR(__xludf.DUMMYFUNCTION("""COMPUTED_VALUE"""),4598360)</f>
        <v>4598360</v>
      </c>
      <c r="AR1976" s="17">
        <v>31814</v>
      </c>
      <c r="AS1976" s="17">
        <v>20412</v>
      </c>
      <c r="AT1976" s="17">
        <v>342637.25</v>
      </c>
      <c r="AU1976" s="17">
        <v>219.65</v>
      </c>
      <c r="AV1976" s="17">
        <v>118.05</v>
      </c>
      <c r="AW1976" s="10" t="s">
        <v>105</v>
      </c>
      <c r="AX1976" s="17">
        <v>5647</v>
      </c>
      <c r="AY1976" s="18">
        <v>16.786069468939839</v>
      </c>
      <c r="AZ1976" s="10" t="s">
        <v>106</v>
      </c>
      <c r="BA1976" s="20" t="b">
        <v>0</v>
      </c>
      <c r="BB1976" s="10"/>
      <c r="BC1976" s="17">
        <v>31814</v>
      </c>
      <c r="BD1976" s="17">
        <v>20412</v>
      </c>
      <c r="BE1976" s="17">
        <v>342637.25</v>
      </c>
      <c r="BF1976" s="17">
        <v>118.05</v>
      </c>
      <c r="BG1976" s="11">
        <f ca="1">IFERROR(__xludf.DUMMYFUNCTION("""COMPUTED_VALUE"""),45927.7916666666)</f>
        <v>45927.791666666599</v>
      </c>
      <c r="BH1976" s="17" t="s">
        <v>105</v>
      </c>
      <c r="BI1976" s="17"/>
      <c r="BJ1976" s="15"/>
      <c r="BK1976" s="15"/>
      <c r="BL1976" s="13" t="b">
        <v>0</v>
      </c>
      <c r="BM1976" s="10"/>
      <c r="BN1976" s="10" t="s">
        <v>118</v>
      </c>
      <c r="BO1976" s="11">
        <v>45910.725694444445</v>
      </c>
      <c r="BP1976" s="11">
        <v>45920.49046296296</v>
      </c>
      <c r="BQ1976" s="15">
        <v>45925.76662037037</v>
      </c>
      <c r="BR1976" s="15">
        <v>45925.777685185189</v>
      </c>
      <c r="BS1976" s="10" t="s">
        <v>118</v>
      </c>
      <c r="BT1976" s="10" t="s">
        <v>99</v>
      </c>
      <c r="BU1976" s="10"/>
      <c r="BV1976" s="10"/>
      <c r="BW1976" s="10"/>
      <c r="BX1976" s="10"/>
      <c r="BY1976" s="23"/>
      <c r="BZ1976" s="23"/>
      <c r="CA1976" s="19" t="s">
        <v>15082</v>
      </c>
      <c r="CB1976" s="19" t="s">
        <v>15083</v>
      </c>
      <c r="CC1976" s="23"/>
      <c r="CD1976" s="19" t="s">
        <v>15084</v>
      </c>
      <c r="CE1976" s="23"/>
      <c r="CF1976" s="23"/>
      <c r="CG1976" s="23"/>
      <c r="CH1976" s="23"/>
      <c r="CI1976" s="23"/>
    </row>
    <row r="1977" spans="1:87" x14ac:dyDescent="0.3">
      <c r="A1977" s="9" t="s">
        <v>15085</v>
      </c>
      <c r="B1977" s="10" t="s">
        <v>15086</v>
      </c>
      <c r="C1977" s="11">
        <v>45928.5625</v>
      </c>
      <c r="D1977" s="12">
        <v>8.3333333333333329E-2</v>
      </c>
      <c r="E1977" s="11">
        <v>45928.645833333336</v>
      </c>
      <c r="F1977" s="10" t="s">
        <v>14786</v>
      </c>
      <c r="G1977" s="13" t="b">
        <v>0</v>
      </c>
      <c r="H1977" s="10" t="s">
        <v>14787</v>
      </c>
      <c r="I1977" s="10" t="s">
        <v>3548</v>
      </c>
      <c r="J1977" s="13" t="b">
        <v>0</v>
      </c>
      <c r="K1977" s="13" t="b">
        <v>1</v>
      </c>
      <c r="L1977" s="10" t="s">
        <v>124</v>
      </c>
      <c r="M1977" s="10" t="s">
        <v>91</v>
      </c>
      <c r="N1977" s="10" t="s">
        <v>3513</v>
      </c>
      <c r="O1977" s="19" t="s">
        <v>15087</v>
      </c>
      <c r="P1977" s="10"/>
      <c r="Q1977" s="10" t="s">
        <v>126</v>
      </c>
      <c r="R1977" s="10"/>
      <c r="S1977" s="19" t="s">
        <v>15088</v>
      </c>
      <c r="T1977" s="19" t="s">
        <v>15061</v>
      </c>
      <c r="U1977" s="10" t="s">
        <v>14871</v>
      </c>
      <c r="V1977" s="10" t="s">
        <v>14860</v>
      </c>
      <c r="W1977" s="10" t="s">
        <v>14793</v>
      </c>
      <c r="X1977" s="10" t="s">
        <v>130</v>
      </c>
      <c r="Y1977" s="10" t="s">
        <v>130</v>
      </c>
      <c r="Z1977" s="10" t="s">
        <v>99</v>
      </c>
      <c r="AA1977" s="10" t="s">
        <v>131</v>
      </c>
      <c r="AB1977" s="10" t="s">
        <v>14794</v>
      </c>
      <c r="AC1977" s="10" t="s">
        <v>3521</v>
      </c>
      <c r="AD1977" s="10" t="s">
        <v>15089</v>
      </c>
      <c r="AE1977" s="10" t="s">
        <v>15090</v>
      </c>
      <c r="AF1977" s="15"/>
      <c r="AG1977" s="10"/>
      <c r="AH1977" s="10"/>
      <c r="AI1977" s="10"/>
      <c r="AJ1977" s="10"/>
      <c r="AK1977" s="10" t="s">
        <v>102</v>
      </c>
      <c r="AL1977" s="10" t="s">
        <v>147</v>
      </c>
      <c r="AM1977" s="10"/>
      <c r="AN1977" s="10"/>
      <c r="AO1977" s="13" t="b">
        <v>0</v>
      </c>
      <c r="AP1977" s="10" t="s">
        <v>104</v>
      </c>
      <c r="AQ1977" s="10">
        <f ca="1">IFERROR(__xludf.DUMMYFUNCTION("""COMPUTED_VALUE"""),4599292)</f>
        <v>4599292</v>
      </c>
      <c r="AR1977" s="17">
        <v>40711</v>
      </c>
      <c r="AS1977" s="17">
        <v>26833</v>
      </c>
      <c r="AT1977" s="17">
        <v>630768.25</v>
      </c>
      <c r="AU1977" s="17">
        <v>262.64999999999998</v>
      </c>
      <c r="AV1977" s="17">
        <v>147.30000000000001</v>
      </c>
      <c r="AW1977" s="10" t="s">
        <v>105</v>
      </c>
      <c r="AX1977" s="17">
        <v>10350</v>
      </c>
      <c r="AY1977" s="18">
        <v>23.507183319047442</v>
      </c>
      <c r="AZ1977" s="10" t="s">
        <v>106</v>
      </c>
      <c r="BA1977" s="20" t="b">
        <v>0</v>
      </c>
      <c r="BB1977" s="10"/>
      <c r="BC1977" s="17">
        <v>40711</v>
      </c>
      <c r="BD1977" s="17">
        <v>26833</v>
      </c>
      <c r="BE1977" s="17">
        <v>630768.25</v>
      </c>
      <c r="BF1977" s="17">
        <v>147.30000000000001</v>
      </c>
      <c r="BG1977" s="11">
        <f ca="1">IFERROR(__xludf.DUMMYFUNCTION("""COMPUTED_VALUE"""),45928.5625)</f>
        <v>45928.5625</v>
      </c>
      <c r="BH1977" s="17" t="s">
        <v>105</v>
      </c>
      <c r="BI1977" s="17"/>
      <c r="BJ1977" s="15"/>
      <c r="BK1977" s="15"/>
      <c r="BL1977" s="13" t="b">
        <v>0</v>
      </c>
      <c r="BM1977" s="10"/>
      <c r="BN1977" s="10" t="s">
        <v>667</v>
      </c>
      <c r="BO1977" s="11">
        <v>45910.726388888892</v>
      </c>
      <c r="BP1977" s="11">
        <v>45922.57739583333</v>
      </c>
      <c r="BQ1977" s="15">
        <v>45925.766909722224</v>
      </c>
      <c r="BR1977" s="15">
        <v>45926.488576388889</v>
      </c>
      <c r="BS1977" s="10" t="s">
        <v>667</v>
      </c>
      <c r="BT1977" s="10" t="s">
        <v>99</v>
      </c>
      <c r="BU1977" s="10" t="s">
        <v>456</v>
      </c>
      <c r="BV1977" s="10"/>
      <c r="BW1977" s="10"/>
      <c r="BX1977" s="10"/>
      <c r="BY1977" s="23"/>
      <c r="BZ1977" s="23"/>
      <c r="CA1977" s="19" t="s">
        <v>15091</v>
      </c>
      <c r="CB1977" s="19" t="s">
        <v>15092</v>
      </c>
      <c r="CC1977" s="23"/>
      <c r="CD1977" s="19" t="s">
        <v>15093</v>
      </c>
      <c r="CE1977" s="23"/>
      <c r="CF1977" s="23"/>
      <c r="CG1977" s="23"/>
      <c r="CH1977" s="23"/>
      <c r="CI1977" s="23"/>
    </row>
    <row r="1978" spans="1:87" x14ac:dyDescent="0.3">
      <c r="A1978" s="9" t="s">
        <v>15094</v>
      </c>
      <c r="B1978" s="10" t="s">
        <v>15095</v>
      </c>
      <c r="C1978" s="11">
        <v>45928.645833333336</v>
      </c>
      <c r="D1978" s="12">
        <v>8.3333333333333329E-2</v>
      </c>
      <c r="E1978" s="11">
        <v>45928.729166666664</v>
      </c>
      <c r="F1978" s="10" t="s">
        <v>14786</v>
      </c>
      <c r="G1978" s="13" t="b">
        <v>0</v>
      </c>
      <c r="H1978" s="10" t="s">
        <v>14787</v>
      </c>
      <c r="I1978" s="10" t="s">
        <v>212</v>
      </c>
      <c r="J1978" s="13" t="b">
        <v>1</v>
      </c>
      <c r="K1978" s="13" t="b">
        <v>0</v>
      </c>
      <c r="L1978" s="10" t="s">
        <v>124</v>
      </c>
      <c r="M1978" s="10" t="s">
        <v>91</v>
      </c>
      <c r="N1978" s="10" t="s">
        <v>3513</v>
      </c>
      <c r="O1978" s="19" t="s">
        <v>15096</v>
      </c>
      <c r="P1978" s="10"/>
      <c r="Q1978" s="10" t="s">
        <v>3496</v>
      </c>
      <c r="R1978" s="10"/>
      <c r="S1978" s="19" t="s">
        <v>15097</v>
      </c>
      <c r="T1978" s="19" t="s">
        <v>15061</v>
      </c>
      <c r="U1978" s="10" t="s">
        <v>14893</v>
      </c>
      <c r="V1978" s="10" t="s">
        <v>14881</v>
      </c>
      <c r="W1978" s="10" t="s">
        <v>14793</v>
      </c>
      <c r="X1978" s="10" t="s">
        <v>130</v>
      </c>
      <c r="Y1978" s="10" t="s">
        <v>130</v>
      </c>
      <c r="Z1978" s="10" t="s">
        <v>99</v>
      </c>
      <c r="AA1978" s="10" t="s">
        <v>131</v>
      </c>
      <c r="AB1978" s="10" t="s">
        <v>14794</v>
      </c>
      <c r="AC1978" s="10" t="s">
        <v>3521</v>
      </c>
      <c r="AD1978" s="10" t="s">
        <v>15098</v>
      </c>
      <c r="AE1978" s="10" t="s">
        <v>15099</v>
      </c>
      <c r="AF1978" s="15"/>
      <c r="AG1978" s="10"/>
      <c r="AH1978" s="10"/>
      <c r="AI1978" s="10"/>
      <c r="AJ1978" s="10"/>
      <c r="AK1978" s="10" t="s">
        <v>102</v>
      </c>
      <c r="AL1978" s="10" t="s">
        <v>147</v>
      </c>
      <c r="AM1978" s="10"/>
      <c r="AN1978" s="10"/>
      <c r="AO1978" s="13" t="b">
        <v>0</v>
      </c>
      <c r="AP1978" s="10" t="s">
        <v>104</v>
      </c>
      <c r="AQ1978" s="10">
        <f ca="1">IFERROR(__xludf.DUMMYFUNCTION("""COMPUTED_VALUE"""),4599294)</f>
        <v>4599294</v>
      </c>
      <c r="AR1978" s="17">
        <v>28997</v>
      </c>
      <c r="AS1978" s="17">
        <v>18590</v>
      </c>
      <c r="AT1978" s="17">
        <v>242436.75</v>
      </c>
      <c r="AU1978" s="17">
        <v>32.4</v>
      </c>
      <c r="AV1978" s="17">
        <v>11.35</v>
      </c>
      <c r="AW1978" s="10" t="s">
        <v>105</v>
      </c>
      <c r="AX1978" s="17">
        <v>4825</v>
      </c>
      <c r="AY1978" s="18">
        <v>13.04124529316837</v>
      </c>
      <c r="AZ1978" s="10" t="s">
        <v>106</v>
      </c>
      <c r="BA1978" s="20" t="b">
        <v>0</v>
      </c>
      <c r="BB1978" s="10"/>
      <c r="BC1978" s="17">
        <v>28997</v>
      </c>
      <c r="BD1978" s="17">
        <v>18590</v>
      </c>
      <c r="BE1978" s="17">
        <v>242436.75</v>
      </c>
      <c r="BF1978" s="17">
        <v>11.35</v>
      </c>
      <c r="BG1978" s="11">
        <f ca="1">IFERROR(__xludf.DUMMYFUNCTION("""COMPUTED_VALUE"""),45928.6458333333)</f>
        <v>45928.645833333299</v>
      </c>
      <c r="BH1978" s="17" t="s">
        <v>105</v>
      </c>
      <c r="BI1978" s="17"/>
      <c r="BJ1978" s="15"/>
      <c r="BK1978" s="15"/>
      <c r="BL1978" s="13" t="b">
        <v>0</v>
      </c>
      <c r="BM1978" s="10"/>
      <c r="BN1978" s="10" t="s">
        <v>667</v>
      </c>
      <c r="BO1978" s="11">
        <v>45910.727083333331</v>
      </c>
      <c r="BP1978" s="11">
        <v>45924.740185185183</v>
      </c>
      <c r="BQ1978" s="15">
        <v>45925.767060185186</v>
      </c>
      <c r="BR1978" s="15">
        <v>45926.490023148152</v>
      </c>
      <c r="BS1978" s="10" t="s">
        <v>667</v>
      </c>
      <c r="BT1978" s="10" t="s">
        <v>99</v>
      </c>
      <c r="BU1978" s="10" t="s">
        <v>718</v>
      </c>
      <c r="BV1978" s="10"/>
      <c r="BW1978" s="10"/>
      <c r="BX1978" s="10"/>
      <c r="BY1978" s="23"/>
      <c r="BZ1978" s="23"/>
      <c r="CA1978" s="19" t="s">
        <v>15100</v>
      </c>
      <c r="CB1978" s="19" t="s">
        <v>15101</v>
      </c>
      <c r="CC1978" s="23"/>
      <c r="CD1978" s="19" t="s">
        <v>15102</v>
      </c>
      <c r="CE1978" s="23"/>
      <c r="CF1978" s="23"/>
      <c r="CG1978" s="23"/>
      <c r="CH1978" s="23"/>
      <c r="CI1978" s="23"/>
    </row>
    <row r="1979" spans="1:87" x14ac:dyDescent="0.3">
      <c r="A1979" s="9" t="s">
        <v>15103</v>
      </c>
      <c r="B1979" s="10" t="s">
        <v>15104</v>
      </c>
      <c r="C1979" s="11">
        <v>45928.791666666664</v>
      </c>
      <c r="D1979" s="12">
        <v>8.3333333333333329E-2</v>
      </c>
      <c r="E1979" s="11">
        <v>45928.875</v>
      </c>
      <c r="F1979" s="10" t="s">
        <v>14786</v>
      </c>
      <c r="G1979" s="13" t="b">
        <v>0</v>
      </c>
      <c r="H1979" s="10" t="s">
        <v>14787</v>
      </c>
      <c r="I1979" s="10" t="s">
        <v>212</v>
      </c>
      <c r="J1979" s="13" t="b">
        <v>1</v>
      </c>
      <c r="K1979" s="13" t="b">
        <v>0</v>
      </c>
      <c r="L1979" s="10" t="s">
        <v>124</v>
      </c>
      <c r="M1979" s="10" t="s">
        <v>91</v>
      </c>
      <c r="N1979" s="10" t="s">
        <v>3513</v>
      </c>
      <c r="O1979" s="19" t="s">
        <v>15105</v>
      </c>
      <c r="P1979" s="10"/>
      <c r="Q1979" s="10" t="s">
        <v>126</v>
      </c>
      <c r="R1979" s="10"/>
      <c r="S1979" s="19" t="s">
        <v>15106</v>
      </c>
      <c r="T1979" s="19" t="s">
        <v>15061</v>
      </c>
      <c r="U1979" s="10" t="s">
        <v>14804</v>
      </c>
      <c r="V1979" s="10" t="s">
        <v>14882</v>
      </c>
      <c r="W1979" s="10" t="s">
        <v>14793</v>
      </c>
      <c r="X1979" s="10" t="s">
        <v>130</v>
      </c>
      <c r="Y1979" s="10" t="s">
        <v>130</v>
      </c>
      <c r="Z1979" s="10" t="s">
        <v>99</v>
      </c>
      <c r="AA1979" s="10" t="s">
        <v>131</v>
      </c>
      <c r="AB1979" s="10" t="s">
        <v>14794</v>
      </c>
      <c r="AC1979" s="10" t="s">
        <v>3521</v>
      </c>
      <c r="AD1979" s="10" t="s">
        <v>15107</v>
      </c>
      <c r="AE1979" s="10" t="s">
        <v>15108</v>
      </c>
      <c r="AF1979" s="15"/>
      <c r="AG1979" s="10"/>
      <c r="AH1979" s="10"/>
      <c r="AI1979" s="10"/>
      <c r="AJ1979" s="10"/>
      <c r="AK1979" s="10" t="s">
        <v>102</v>
      </c>
      <c r="AL1979" s="10" t="s">
        <v>147</v>
      </c>
      <c r="AM1979" s="10"/>
      <c r="AN1979" s="10"/>
      <c r="AO1979" s="13" t="b">
        <v>0</v>
      </c>
      <c r="AP1979" s="10" t="s">
        <v>104</v>
      </c>
      <c r="AQ1979" s="10">
        <f ca="1">IFERROR(__xludf.DUMMYFUNCTION("""COMPUTED_VALUE"""),4599295)</f>
        <v>4599295</v>
      </c>
      <c r="AR1979" s="17">
        <v>60108</v>
      </c>
      <c r="AS1979" s="17">
        <v>32902</v>
      </c>
      <c r="AT1979" s="17">
        <v>819529.25</v>
      </c>
      <c r="AU1979" s="17">
        <v>169.75</v>
      </c>
      <c r="AV1979" s="17">
        <v>77.900000000000006</v>
      </c>
      <c r="AW1979" s="10" t="s">
        <v>105</v>
      </c>
      <c r="AX1979" s="17">
        <v>12161</v>
      </c>
      <c r="AY1979" s="18">
        <v>24.908189471764633</v>
      </c>
      <c r="AZ1979" s="10" t="s">
        <v>106</v>
      </c>
      <c r="BA1979" s="20" t="b">
        <v>0</v>
      </c>
      <c r="BB1979" s="10"/>
      <c r="BC1979" s="17">
        <v>60108</v>
      </c>
      <c r="BD1979" s="17">
        <v>32902</v>
      </c>
      <c r="BE1979" s="17">
        <v>819529.25</v>
      </c>
      <c r="BF1979" s="17">
        <v>77.900000000000006</v>
      </c>
      <c r="BG1979" s="11">
        <f ca="1">IFERROR(__xludf.DUMMYFUNCTION("""COMPUTED_VALUE"""),45928.7916666666)</f>
        <v>45928.791666666599</v>
      </c>
      <c r="BH1979" s="17" t="s">
        <v>105</v>
      </c>
      <c r="BI1979" s="17"/>
      <c r="BJ1979" s="15"/>
      <c r="BK1979" s="15"/>
      <c r="BL1979" s="13" t="b">
        <v>0</v>
      </c>
      <c r="BM1979" s="10"/>
      <c r="BN1979" s="10" t="s">
        <v>667</v>
      </c>
      <c r="BO1979" s="11">
        <v>45910.727777777778</v>
      </c>
      <c r="BP1979" s="11">
        <v>45920.490914351853</v>
      </c>
      <c r="BQ1979" s="15">
        <v>45925.767187500001</v>
      </c>
      <c r="BR1979" s="15">
        <v>45926.490972222222</v>
      </c>
      <c r="BS1979" s="10" t="s">
        <v>667</v>
      </c>
      <c r="BT1979" s="10" t="s">
        <v>99</v>
      </c>
      <c r="BU1979" s="10" t="s">
        <v>718</v>
      </c>
      <c r="BV1979" s="10"/>
      <c r="BW1979" s="10"/>
      <c r="BX1979" s="10"/>
      <c r="BY1979" s="23"/>
      <c r="BZ1979" s="23"/>
      <c r="CA1979" s="19" t="s">
        <v>15109</v>
      </c>
      <c r="CB1979" s="19" t="s">
        <v>15110</v>
      </c>
      <c r="CC1979" s="23"/>
      <c r="CD1979" s="19" t="s">
        <v>15111</v>
      </c>
      <c r="CE1979" s="23"/>
      <c r="CF1979" s="23"/>
      <c r="CG1979" s="23"/>
      <c r="CH1979" s="23"/>
      <c r="CI1979" s="23"/>
    </row>
    <row r="1980" spans="1:87" x14ac:dyDescent="0.3">
      <c r="A1980" s="9" t="s">
        <v>15112</v>
      </c>
      <c r="B1980" s="10" t="s">
        <v>15113</v>
      </c>
      <c r="C1980" s="11">
        <v>45929.645833333336</v>
      </c>
      <c r="D1980" s="12">
        <v>8.3333333333333329E-2</v>
      </c>
      <c r="E1980" s="11">
        <v>45929.729166666664</v>
      </c>
      <c r="F1980" s="10" t="s">
        <v>14786</v>
      </c>
      <c r="G1980" s="13" t="b">
        <v>0</v>
      </c>
      <c r="H1980" s="10" t="s">
        <v>14787</v>
      </c>
      <c r="I1980" s="10" t="s">
        <v>212</v>
      </c>
      <c r="J1980" s="13" t="b">
        <v>1</v>
      </c>
      <c r="K1980" s="13" t="b">
        <v>0</v>
      </c>
      <c r="L1980" s="10" t="s">
        <v>124</v>
      </c>
      <c r="M1980" s="10" t="s">
        <v>91</v>
      </c>
      <c r="N1980" s="10" t="s">
        <v>3513</v>
      </c>
      <c r="O1980" s="19" t="s">
        <v>15114</v>
      </c>
      <c r="P1980" s="10"/>
      <c r="Q1980" s="10" t="s">
        <v>3496</v>
      </c>
      <c r="R1980" s="10"/>
      <c r="S1980" s="19" t="s">
        <v>15115</v>
      </c>
      <c r="T1980" s="19" t="s">
        <v>15061</v>
      </c>
      <c r="U1980" s="10" t="s">
        <v>14805</v>
      </c>
      <c r="V1980" s="10" t="s">
        <v>14791</v>
      </c>
      <c r="W1980" s="10" t="s">
        <v>14793</v>
      </c>
      <c r="X1980" s="10" t="s">
        <v>130</v>
      </c>
      <c r="Y1980" s="10" t="s">
        <v>130</v>
      </c>
      <c r="Z1980" s="10" t="s">
        <v>99</v>
      </c>
      <c r="AA1980" s="10" t="s">
        <v>131</v>
      </c>
      <c r="AB1980" s="10" t="s">
        <v>14794</v>
      </c>
      <c r="AC1980" s="10" t="s">
        <v>3521</v>
      </c>
      <c r="AD1980" s="10" t="s">
        <v>15116</v>
      </c>
      <c r="AE1980" s="10" t="s">
        <v>15117</v>
      </c>
      <c r="AF1980" s="15"/>
      <c r="AG1980" s="10"/>
      <c r="AH1980" s="10"/>
      <c r="AI1980" s="10"/>
      <c r="AJ1980" s="10"/>
      <c r="AK1980" s="10" t="s">
        <v>102</v>
      </c>
      <c r="AL1980" s="10" t="s">
        <v>147</v>
      </c>
      <c r="AM1980" s="10"/>
      <c r="AN1980" s="10"/>
      <c r="AO1980" s="13" t="b">
        <v>0</v>
      </c>
      <c r="AP1980" s="10" t="s">
        <v>104</v>
      </c>
      <c r="AQ1980" s="10">
        <f ca="1">IFERROR(__xludf.DUMMYFUNCTION("""COMPUTED_VALUE"""),4602005)</f>
        <v>4602005</v>
      </c>
      <c r="AR1980" s="17">
        <v>39937</v>
      </c>
      <c r="AS1980" s="17">
        <v>21935</v>
      </c>
      <c r="AT1980" s="17">
        <v>399586</v>
      </c>
      <c r="AU1980" s="17">
        <v>33.6</v>
      </c>
      <c r="AV1980" s="17">
        <v>12.5</v>
      </c>
      <c r="AW1980" s="10" t="s">
        <v>105</v>
      </c>
      <c r="AX1980" s="17">
        <v>7373</v>
      </c>
      <c r="AY1980" s="18">
        <v>18.216822429906543</v>
      </c>
      <c r="AZ1980" s="10" t="s">
        <v>106</v>
      </c>
      <c r="BA1980" s="20" t="b">
        <v>0</v>
      </c>
      <c r="BB1980" s="10"/>
      <c r="BC1980" s="17">
        <v>39937</v>
      </c>
      <c r="BD1980" s="17">
        <v>21935</v>
      </c>
      <c r="BE1980" s="17">
        <v>399586</v>
      </c>
      <c r="BF1980" s="17">
        <v>12.5</v>
      </c>
      <c r="BG1980" s="11">
        <f ca="1">IFERROR(__xludf.DUMMYFUNCTION("""COMPUTED_VALUE"""),45929.6458333333)</f>
        <v>45929.645833333299</v>
      </c>
      <c r="BH1980" s="17" t="s">
        <v>105</v>
      </c>
      <c r="BI1980" s="17"/>
      <c r="BJ1980" s="15"/>
      <c r="BK1980" s="15"/>
      <c r="BL1980" s="13" t="b">
        <v>0</v>
      </c>
      <c r="BM1980" s="10"/>
      <c r="BN1980" s="10" t="s">
        <v>667</v>
      </c>
      <c r="BO1980" s="11">
        <v>45910.728472222225</v>
      </c>
      <c r="BP1980" s="11">
        <v>45924.74050925926</v>
      </c>
      <c r="BQ1980" s="15">
        <v>45925.767546296294</v>
      </c>
      <c r="BR1980" s="15">
        <v>45928.422893518517</v>
      </c>
      <c r="BS1980" s="10" t="s">
        <v>667</v>
      </c>
      <c r="BT1980" s="10" t="s">
        <v>99</v>
      </c>
      <c r="BU1980" s="10" t="s">
        <v>498</v>
      </c>
      <c r="BV1980" s="10"/>
      <c r="BW1980" s="10"/>
      <c r="BX1980" s="10"/>
      <c r="BY1980" s="23"/>
      <c r="BZ1980" s="23"/>
      <c r="CA1980" s="19" t="s">
        <v>15118</v>
      </c>
      <c r="CB1980" s="19" t="s">
        <v>15119</v>
      </c>
      <c r="CC1980" s="23"/>
      <c r="CD1980" s="19" t="s">
        <v>15120</v>
      </c>
      <c r="CE1980" s="23"/>
      <c r="CF1980" s="23"/>
      <c r="CG1980" s="23"/>
      <c r="CH1980" s="23"/>
      <c r="CI1980" s="23"/>
    </row>
    <row r="1981" spans="1:87" x14ac:dyDescent="0.3">
      <c r="A1981" s="9" t="s">
        <v>15121</v>
      </c>
      <c r="B1981" s="10" t="s">
        <v>15122</v>
      </c>
      <c r="C1981" s="11">
        <v>45929.645833333336</v>
      </c>
      <c r="D1981" s="12">
        <v>8.3333333333333329E-2</v>
      </c>
      <c r="E1981" s="11">
        <v>45929.729166666664</v>
      </c>
      <c r="F1981" s="10" t="s">
        <v>14786</v>
      </c>
      <c r="G1981" s="13" t="b">
        <v>0</v>
      </c>
      <c r="H1981" s="10" t="s">
        <v>14787</v>
      </c>
      <c r="I1981" s="10" t="s">
        <v>212</v>
      </c>
      <c r="J1981" s="13" t="b">
        <v>1</v>
      </c>
      <c r="K1981" s="13" t="b">
        <v>0</v>
      </c>
      <c r="L1981" s="10" t="s">
        <v>124</v>
      </c>
      <c r="M1981" s="10" t="s">
        <v>91</v>
      </c>
      <c r="N1981" s="10" t="s">
        <v>3513</v>
      </c>
      <c r="O1981" s="19" t="s">
        <v>15123</v>
      </c>
      <c r="P1981" s="10"/>
      <c r="Q1981" s="10" t="s">
        <v>3496</v>
      </c>
      <c r="R1981" s="10"/>
      <c r="S1981" s="19" t="s">
        <v>15124</v>
      </c>
      <c r="T1981" s="19" t="s">
        <v>15061</v>
      </c>
      <c r="U1981" s="10" t="s">
        <v>14816</v>
      </c>
      <c r="V1981" s="10" t="s">
        <v>14792</v>
      </c>
      <c r="W1981" s="10" t="s">
        <v>14793</v>
      </c>
      <c r="X1981" s="10" t="s">
        <v>130</v>
      </c>
      <c r="Y1981" s="10" t="s">
        <v>130</v>
      </c>
      <c r="Z1981" s="10" t="s">
        <v>99</v>
      </c>
      <c r="AA1981" s="10" t="s">
        <v>131</v>
      </c>
      <c r="AB1981" s="10" t="s">
        <v>14794</v>
      </c>
      <c r="AC1981" s="10" t="s">
        <v>3521</v>
      </c>
      <c r="AD1981" s="10" t="s">
        <v>15125</v>
      </c>
      <c r="AE1981" s="10" t="s">
        <v>15126</v>
      </c>
      <c r="AF1981" s="15"/>
      <c r="AG1981" s="10"/>
      <c r="AH1981" s="10"/>
      <c r="AI1981" s="10"/>
      <c r="AJ1981" s="10"/>
      <c r="AK1981" s="10" t="s">
        <v>102</v>
      </c>
      <c r="AL1981" s="10" t="s">
        <v>147</v>
      </c>
      <c r="AM1981" s="10"/>
      <c r="AN1981" s="10"/>
      <c r="AO1981" s="13" t="b">
        <v>0</v>
      </c>
      <c r="AP1981" s="10" t="s">
        <v>104</v>
      </c>
      <c r="AQ1981" s="10">
        <f ca="1">IFERROR(__xludf.DUMMYFUNCTION("""COMPUTED_VALUE"""),4602003)</f>
        <v>4602003</v>
      </c>
      <c r="AR1981" s="17">
        <v>48617</v>
      </c>
      <c r="AS1981" s="17">
        <v>25861</v>
      </c>
      <c r="AT1981" s="17">
        <v>602143</v>
      </c>
      <c r="AU1981" s="17">
        <v>67.55</v>
      </c>
      <c r="AV1981" s="17">
        <v>23</v>
      </c>
      <c r="AW1981" s="10" t="s">
        <v>105</v>
      </c>
      <c r="AX1981" s="17">
        <v>9015</v>
      </c>
      <c r="AY1981" s="18">
        <v>23.283825064769342</v>
      </c>
      <c r="AZ1981" s="10" t="s">
        <v>106</v>
      </c>
      <c r="BA1981" s="20" t="b">
        <v>0</v>
      </c>
      <c r="BB1981" s="10"/>
      <c r="BC1981" s="17">
        <v>48617</v>
      </c>
      <c r="BD1981" s="17">
        <v>25861</v>
      </c>
      <c r="BE1981" s="17">
        <v>602143</v>
      </c>
      <c r="BF1981" s="17">
        <v>23</v>
      </c>
      <c r="BG1981" s="11">
        <f ca="1">IFERROR(__xludf.DUMMYFUNCTION("""COMPUTED_VALUE"""),45929.6458333333)</f>
        <v>45929.645833333299</v>
      </c>
      <c r="BH1981" s="17" t="s">
        <v>105</v>
      </c>
      <c r="BI1981" s="17"/>
      <c r="BJ1981" s="15"/>
      <c r="BK1981" s="15"/>
      <c r="BL1981" s="13" t="b">
        <v>0</v>
      </c>
      <c r="BM1981" s="10"/>
      <c r="BN1981" s="10" t="s">
        <v>667</v>
      </c>
      <c r="BO1981" s="11">
        <v>45910.729166666664</v>
      </c>
      <c r="BP1981" s="11">
        <v>45924.740347222221</v>
      </c>
      <c r="BQ1981" s="15">
        <v>45925.767407407409</v>
      </c>
      <c r="BR1981" s="15">
        <v>45927.414652777778</v>
      </c>
      <c r="BS1981" s="10" t="s">
        <v>667</v>
      </c>
      <c r="BT1981" s="10" t="s">
        <v>99</v>
      </c>
      <c r="BU1981" s="10" t="s">
        <v>816</v>
      </c>
      <c r="BV1981" s="10"/>
      <c r="BW1981" s="10"/>
      <c r="BX1981" s="10"/>
      <c r="BY1981" s="23"/>
      <c r="BZ1981" s="23"/>
      <c r="CA1981" s="19" t="s">
        <v>15127</v>
      </c>
      <c r="CB1981" s="19" t="s">
        <v>15128</v>
      </c>
      <c r="CC1981" s="23"/>
      <c r="CD1981" s="19" t="s">
        <v>15129</v>
      </c>
      <c r="CE1981" s="23"/>
      <c r="CF1981" s="23"/>
      <c r="CG1981" s="23"/>
      <c r="CH1981" s="23"/>
      <c r="CI1981" s="23"/>
    </row>
    <row r="1982" spans="1:87" x14ac:dyDescent="0.3">
      <c r="A1982" s="9" t="s">
        <v>15130</v>
      </c>
      <c r="B1982" s="10" t="s">
        <v>15131</v>
      </c>
      <c r="C1982" s="11">
        <v>45929.645833333336</v>
      </c>
      <c r="D1982" s="12">
        <v>8.3333333333333329E-2</v>
      </c>
      <c r="E1982" s="11">
        <v>45929.729166666664</v>
      </c>
      <c r="F1982" s="10" t="s">
        <v>14786</v>
      </c>
      <c r="G1982" s="13" t="b">
        <v>0</v>
      </c>
      <c r="H1982" s="10" t="s">
        <v>14787</v>
      </c>
      <c r="I1982" s="10" t="s">
        <v>3548</v>
      </c>
      <c r="J1982" s="13" t="b">
        <v>0</v>
      </c>
      <c r="K1982" s="13" t="b">
        <v>1</v>
      </c>
      <c r="L1982" s="10" t="s">
        <v>124</v>
      </c>
      <c r="M1982" s="10" t="s">
        <v>91</v>
      </c>
      <c r="N1982" s="10" t="s">
        <v>3513</v>
      </c>
      <c r="O1982" s="19" t="s">
        <v>15132</v>
      </c>
      <c r="P1982" s="10"/>
      <c r="Q1982" s="10" t="s">
        <v>126</v>
      </c>
      <c r="R1982" s="10"/>
      <c r="S1982" s="19" t="s">
        <v>15133</v>
      </c>
      <c r="T1982" s="19" t="s">
        <v>15061</v>
      </c>
      <c r="U1982" s="10" t="s">
        <v>14837</v>
      </c>
      <c r="V1982" s="10" t="s">
        <v>14827</v>
      </c>
      <c r="W1982" s="10" t="s">
        <v>14793</v>
      </c>
      <c r="X1982" s="10" t="s">
        <v>130</v>
      </c>
      <c r="Y1982" s="10" t="s">
        <v>130</v>
      </c>
      <c r="Z1982" s="10" t="s">
        <v>99</v>
      </c>
      <c r="AA1982" s="10" t="s">
        <v>131</v>
      </c>
      <c r="AB1982" s="10" t="s">
        <v>14794</v>
      </c>
      <c r="AC1982" s="10" t="s">
        <v>3521</v>
      </c>
      <c r="AD1982" s="10" t="s">
        <v>15134</v>
      </c>
      <c r="AE1982" s="10" t="s">
        <v>15135</v>
      </c>
      <c r="AF1982" s="15"/>
      <c r="AG1982" s="10"/>
      <c r="AH1982" s="10"/>
      <c r="AI1982" s="10"/>
      <c r="AJ1982" s="10"/>
      <c r="AK1982" s="10" t="s">
        <v>102</v>
      </c>
      <c r="AL1982" s="10" t="s">
        <v>147</v>
      </c>
      <c r="AM1982" s="10"/>
      <c r="AN1982" s="10"/>
      <c r="AO1982" s="13" t="b">
        <v>0</v>
      </c>
      <c r="AP1982" s="10" t="s">
        <v>104</v>
      </c>
      <c r="AQ1982" s="10">
        <f ca="1">IFERROR(__xludf.DUMMYFUNCTION("""COMPUTED_VALUE"""),4602006)</f>
        <v>4602006</v>
      </c>
      <c r="AR1982" s="17">
        <v>50791</v>
      </c>
      <c r="AS1982" s="17">
        <v>30581</v>
      </c>
      <c r="AT1982" s="17">
        <v>666189.75</v>
      </c>
      <c r="AU1982" s="17">
        <v>216.7</v>
      </c>
      <c r="AV1982" s="17">
        <v>104.55</v>
      </c>
      <c r="AW1982" s="10" t="s">
        <v>105</v>
      </c>
      <c r="AX1982" s="17">
        <v>8730</v>
      </c>
      <c r="AY1982" s="18">
        <v>21.784433144763089</v>
      </c>
      <c r="AZ1982" s="10" t="s">
        <v>106</v>
      </c>
      <c r="BA1982" s="20" t="b">
        <v>0</v>
      </c>
      <c r="BB1982" s="10"/>
      <c r="BC1982" s="17">
        <v>50791</v>
      </c>
      <c r="BD1982" s="17">
        <v>30581</v>
      </c>
      <c r="BE1982" s="17">
        <v>666189.75</v>
      </c>
      <c r="BF1982" s="17">
        <v>104.55</v>
      </c>
      <c r="BG1982" s="11">
        <f ca="1">IFERROR(__xludf.DUMMYFUNCTION("""COMPUTED_VALUE"""),45929.6458333333)</f>
        <v>45929.645833333299</v>
      </c>
      <c r="BH1982" s="17" t="s">
        <v>105</v>
      </c>
      <c r="BI1982" s="17"/>
      <c r="BJ1982" s="15"/>
      <c r="BK1982" s="15"/>
      <c r="BL1982" s="13" t="b">
        <v>0</v>
      </c>
      <c r="BM1982" s="10"/>
      <c r="BN1982" s="10" t="s">
        <v>667</v>
      </c>
      <c r="BO1982" s="11">
        <v>45910.729861111111</v>
      </c>
      <c r="BP1982" s="11">
        <v>45920.492037037038</v>
      </c>
      <c r="BQ1982" s="15">
        <v>45925.767685185187</v>
      </c>
      <c r="BR1982" s="15">
        <v>45927.416018518517</v>
      </c>
      <c r="BS1982" s="10" t="s">
        <v>667</v>
      </c>
      <c r="BT1982" s="10" t="s">
        <v>99</v>
      </c>
      <c r="BU1982" s="10" t="s">
        <v>655</v>
      </c>
      <c r="BV1982" s="10"/>
      <c r="BW1982" s="10"/>
      <c r="BX1982" s="10"/>
      <c r="BY1982" s="23"/>
      <c r="BZ1982" s="23"/>
      <c r="CA1982" s="19" t="s">
        <v>15136</v>
      </c>
      <c r="CB1982" s="19" t="s">
        <v>15137</v>
      </c>
      <c r="CC1982" s="23"/>
      <c r="CD1982" s="19" t="s">
        <v>15138</v>
      </c>
      <c r="CE1982" s="23"/>
      <c r="CF1982" s="23"/>
      <c r="CG1982" s="23"/>
      <c r="CH1982" s="23"/>
      <c r="CI1982" s="23"/>
    </row>
    <row r="1983" spans="1:87" x14ac:dyDescent="0.3">
      <c r="A1983" s="9" t="s">
        <v>15139</v>
      </c>
      <c r="B1983" s="10" t="s">
        <v>15140</v>
      </c>
      <c r="C1983" s="11">
        <v>45929.791666666664</v>
      </c>
      <c r="D1983" s="12">
        <v>8.3333333333333329E-2</v>
      </c>
      <c r="E1983" s="11">
        <v>45929.875</v>
      </c>
      <c r="F1983" s="10" t="s">
        <v>14786</v>
      </c>
      <c r="G1983" s="13" t="b">
        <v>0</v>
      </c>
      <c r="H1983" s="10" t="s">
        <v>14787</v>
      </c>
      <c r="I1983" s="10" t="s">
        <v>3548</v>
      </c>
      <c r="J1983" s="13" t="b">
        <v>0</v>
      </c>
      <c r="K1983" s="13" t="b">
        <v>1</v>
      </c>
      <c r="L1983" s="10" t="s">
        <v>124</v>
      </c>
      <c r="M1983" s="10" t="s">
        <v>91</v>
      </c>
      <c r="N1983" s="10" t="s">
        <v>3513</v>
      </c>
      <c r="O1983" s="19" t="s">
        <v>15141</v>
      </c>
      <c r="P1983" s="10"/>
      <c r="Q1983" s="10" t="s">
        <v>126</v>
      </c>
      <c r="R1983" s="10"/>
      <c r="S1983" s="19" t="s">
        <v>15142</v>
      </c>
      <c r="T1983" s="19" t="s">
        <v>15061</v>
      </c>
      <c r="U1983" s="10" t="s">
        <v>14848</v>
      </c>
      <c r="V1983" s="10" t="s">
        <v>14838</v>
      </c>
      <c r="W1983" s="10" t="s">
        <v>14793</v>
      </c>
      <c r="X1983" s="10" t="s">
        <v>130</v>
      </c>
      <c r="Y1983" s="10" t="s">
        <v>130</v>
      </c>
      <c r="Z1983" s="10" t="s">
        <v>99</v>
      </c>
      <c r="AA1983" s="10" t="s">
        <v>131</v>
      </c>
      <c r="AB1983" s="10" t="s">
        <v>14794</v>
      </c>
      <c r="AC1983" s="10" t="s">
        <v>3521</v>
      </c>
      <c r="AD1983" s="10" t="s">
        <v>15143</v>
      </c>
      <c r="AE1983" s="10" t="s">
        <v>15144</v>
      </c>
      <c r="AF1983" s="15"/>
      <c r="AG1983" s="10"/>
      <c r="AH1983" s="10"/>
      <c r="AI1983" s="10"/>
      <c r="AJ1983" s="10"/>
      <c r="AK1983" s="10" t="s">
        <v>102</v>
      </c>
      <c r="AL1983" s="10" t="s">
        <v>147</v>
      </c>
      <c r="AM1983" s="10"/>
      <c r="AN1983" s="10"/>
      <c r="AO1983" s="13" t="b">
        <v>0</v>
      </c>
      <c r="AP1983" s="10" t="s">
        <v>104</v>
      </c>
      <c r="AQ1983" s="10">
        <f ca="1">IFERROR(__xludf.DUMMYFUNCTION("""COMPUTED_VALUE"""),4602007)</f>
        <v>4602007</v>
      </c>
      <c r="AR1983" s="17">
        <v>90581</v>
      </c>
      <c r="AS1983" s="17">
        <v>59736</v>
      </c>
      <c r="AT1983" s="17">
        <v>1869855</v>
      </c>
      <c r="AU1983" s="17">
        <v>723.15</v>
      </c>
      <c r="AV1983" s="17">
        <v>308</v>
      </c>
      <c r="AW1983" s="10" t="s">
        <v>105</v>
      </c>
      <c r="AX1983" s="17">
        <v>22263</v>
      </c>
      <c r="AY1983" s="18">
        <v>31.301978706307754</v>
      </c>
      <c r="AZ1983" s="10" t="s">
        <v>106</v>
      </c>
      <c r="BA1983" s="20" t="b">
        <v>0</v>
      </c>
      <c r="BB1983" s="10"/>
      <c r="BC1983" s="17">
        <v>90581</v>
      </c>
      <c r="BD1983" s="17">
        <v>59736</v>
      </c>
      <c r="BE1983" s="17">
        <v>1869855</v>
      </c>
      <c r="BF1983" s="17">
        <v>308</v>
      </c>
      <c r="BG1983" s="11">
        <f ca="1">IFERROR(__xludf.DUMMYFUNCTION("""COMPUTED_VALUE"""),45929.7916666666)</f>
        <v>45929.791666666599</v>
      </c>
      <c r="BH1983" s="17" t="s">
        <v>105</v>
      </c>
      <c r="BI1983" s="17"/>
      <c r="BJ1983" s="15"/>
      <c r="BK1983" s="15"/>
      <c r="BL1983" s="13" t="b">
        <v>0</v>
      </c>
      <c r="BM1983" s="10"/>
      <c r="BN1983" s="10" t="s">
        <v>667</v>
      </c>
      <c r="BO1983" s="11">
        <v>45910.730555555558</v>
      </c>
      <c r="BP1983" s="11">
        <v>45920.492256944446</v>
      </c>
      <c r="BQ1983" s="15">
        <v>45925.767812500002</v>
      </c>
      <c r="BR1983" s="15">
        <v>45927.416180555556</v>
      </c>
      <c r="BS1983" s="10" t="s">
        <v>667</v>
      </c>
      <c r="BT1983" s="10" t="s">
        <v>99</v>
      </c>
      <c r="BU1983" s="10" t="s">
        <v>498</v>
      </c>
      <c r="BV1983" s="10"/>
      <c r="BW1983" s="10"/>
      <c r="BX1983" s="10"/>
      <c r="BY1983" s="23"/>
      <c r="BZ1983" s="23"/>
      <c r="CA1983" s="19" t="s">
        <v>15145</v>
      </c>
      <c r="CB1983" s="19" t="s">
        <v>15146</v>
      </c>
      <c r="CC1983" s="23"/>
      <c r="CD1983" s="19" t="s">
        <v>15147</v>
      </c>
      <c r="CE1983" s="23"/>
      <c r="CF1983" s="23"/>
      <c r="CG1983" s="23"/>
      <c r="CH1983" s="23"/>
      <c r="CI1983" s="23"/>
    </row>
    <row r="1984" spans="1:87" x14ac:dyDescent="0.3">
      <c r="A1984" s="9" t="s">
        <v>15148</v>
      </c>
      <c r="B1984" s="10" t="s">
        <v>15149</v>
      </c>
      <c r="C1984" s="11">
        <v>45912.777777777781</v>
      </c>
      <c r="D1984" s="12">
        <v>1.3888888888888888E-2</v>
      </c>
      <c r="E1984" s="11">
        <v>45912.791666666664</v>
      </c>
      <c r="F1984" s="10" t="s">
        <v>14786</v>
      </c>
      <c r="G1984" s="13" t="b">
        <v>0</v>
      </c>
      <c r="H1984" s="10" t="s">
        <v>14787</v>
      </c>
      <c r="I1984" s="10" t="s">
        <v>212</v>
      </c>
      <c r="J1984" s="13" t="b">
        <v>1</v>
      </c>
      <c r="K1984" s="13" t="b">
        <v>0</v>
      </c>
      <c r="L1984" s="10" t="s">
        <v>124</v>
      </c>
      <c r="M1984" s="10" t="s">
        <v>91</v>
      </c>
      <c r="N1984" s="10" t="s">
        <v>3513</v>
      </c>
      <c r="O1984" s="19" t="s">
        <v>15150</v>
      </c>
      <c r="P1984" s="10"/>
      <c r="Q1984" s="10" t="s">
        <v>94</v>
      </c>
      <c r="R1984" s="10"/>
      <c r="S1984" s="19" t="s">
        <v>15151</v>
      </c>
      <c r="T1984" s="10"/>
      <c r="U1984" s="10"/>
      <c r="V1984" s="10"/>
      <c r="W1984" s="10" t="s">
        <v>14793</v>
      </c>
      <c r="X1984" s="10" t="s">
        <v>130</v>
      </c>
      <c r="Y1984" s="10" t="s">
        <v>130</v>
      </c>
      <c r="Z1984" s="10" t="s">
        <v>99</v>
      </c>
      <c r="AA1984" s="10" t="s">
        <v>131</v>
      </c>
      <c r="AB1984" s="10" t="s">
        <v>14794</v>
      </c>
      <c r="AC1984" s="10" t="s">
        <v>3521</v>
      </c>
      <c r="AD1984" s="10" t="s">
        <v>165</v>
      </c>
      <c r="AE1984" s="10" t="s">
        <v>15152</v>
      </c>
      <c r="AF1984" s="15"/>
      <c r="AG1984" s="10"/>
      <c r="AH1984" s="10"/>
      <c r="AI1984" s="10"/>
      <c r="AJ1984" s="10"/>
      <c r="AK1984" s="10" t="s">
        <v>102</v>
      </c>
      <c r="AL1984" s="10"/>
      <c r="AM1984" s="10"/>
      <c r="AN1984" s="10"/>
      <c r="AO1984" s="13" t="b">
        <v>0</v>
      </c>
      <c r="AP1984" s="10" t="s">
        <v>104</v>
      </c>
      <c r="AQ1984" s="10">
        <f ca="1">IFERROR(__xludf.DUMMYFUNCTION("""COMPUTED_VALUE"""),4564710)</f>
        <v>4564710</v>
      </c>
      <c r="AR1984" s="17">
        <v>6219</v>
      </c>
      <c r="AS1984" s="17">
        <v>5019</v>
      </c>
      <c r="AT1984" s="17">
        <v>31762.75</v>
      </c>
      <c r="AU1984" s="17">
        <v>22.55</v>
      </c>
      <c r="AV1984" s="17">
        <v>14.35</v>
      </c>
      <c r="AW1984" s="10" t="s">
        <v>105</v>
      </c>
      <c r="AX1984" s="17">
        <v>2180</v>
      </c>
      <c r="AY1984" s="18">
        <v>6.3285016935644549</v>
      </c>
      <c r="AZ1984" s="10"/>
      <c r="BA1984" s="20" t="b">
        <v>0</v>
      </c>
      <c r="BB1984" s="10"/>
      <c r="BC1984" s="17">
        <v>6219</v>
      </c>
      <c r="BD1984" s="17">
        <v>5019</v>
      </c>
      <c r="BE1984" s="17">
        <v>31762.75</v>
      </c>
      <c r="BF1984" s="17">
        <v>14.35</v>
      </c>
      <c r="BG1984" s="11">
        <f ca="1">IFERROR(__xludf.DUMMYFUNCTION("""COMPUTED_VALUE"""),45912.7777777777)</f>
        <v>45912.777777777701</v>
      </c>
      <c r="BH1984" s="17" t="s">
        <v>105</v>
      </c>
      <c r="BI1984" s="17"/>
      <c r="BJ1984" s="15"/>
      <c r="BK1984" s="15"/>
      <c r="BL1984" s="13" t="b">
        <v>0</v>
      </c>
      <c r="BM1984" s="10"/>
      <c r="BN1984" s="10" t="s">
        <v>1149</v>
      </c>
      <c r="BO1984" s="11">
        <v>45910.743750000001</v>
      </c>
      <c r="BP1984" s="11">
        <v>45910.744120370371</v>
      </c>
      <c r="BQ1984" s="15">
        <v>45910.825972222221</v>
      </c>
      <c r="BR1984" s="15">
        <v>45911.350300925929</v>
      </c>
      <c r="BS1984" s="10" t="s">
        <v>1149</v>
      </c>
      <c r="BT1984" s="10" t="s">
        <v>99</v>
      </c>
      <c r="BU1984" s="10" t="s">
        <v>1253</v>
      </c>
      <c r="BV1984" s="10"/>
      <c r="BW1984" s="10"/>
      <c r="BX1984" s="10"/>
      <c r="BY1984" s="23"/>
      <c r="BZ1984" s="23"/>
      <c r="CA1984" s="19" t="s">
        <v>15153</v>
      </c>
      <c r="CB1984" s="23"/>
      <c r="CC1984" s="23"/>
      <c r="CD1984" s="23"/>
      <c r="CE1984" s="23"/>
      <c r="CF1984" s="23"/>
      <c r="CG1984" s="23"/>
      <c r="CH1984" s="23"/>
      <c r="CI1984" s="23"/>
    </row>
    <row r="1985" spans="1:87" x14ac:dyDescent="0.3">
      <c r="A1985" s="9" t="s">
        <v>15154</v>
      </c>
      <c r="B1985" s="10" t="s">
        <v>15155</v>
      </c>
      <c r="C1985" s="11">
        <v>45934.645833333336</v>
      </c>
      <c r="D1985" s="12">
        <v>8.3333333333333329E-2</v>
      </c>
      <c r="E1985" s="11">
        <v>45934.729166666664</v>
      </c>
      <c r="F1985" s="10" t="s">
        <v>14786</v>
      </c>
      <c r="G1985" s="13" t="b">
        <v>0</v>
      </c>
      <c r="H1985" s="10" t="s">
        <v>14787</v>
      </c>
      <c r="I1985" s="10" t="s">
        <v>212</v>
      </c>
      <c r="J1985" s="13" t="b">
        <v>1</v>
      </c>
      <c r="K1985" s="13" t="b">
        <v>0</v>
      </c>
      <c r="L1985" s="10" t="s">
        <v>124</v>
      </c>
      <c r="M1985" s="10" t="s">
        <v>91</v>
      </c>
      <c r="N1985" s="10" t="s">
        <v>3513</v>
      </c>
      <c r="O1985" s="19" t="s">
        <v>15156</v>
      </c>
      <c r="P1985" s="10"/>
      <c r="Q1985" s="10" t="s">
        <v>126</v>
      </c>
      <c r="R1985" s="10"/>
      <c r="S1985" s="19" t="s">
        <v>15157</v>
      </c>
      <c r="T1985" s="19" t="s">
        <v>15158</v>
      </c>
      <c r="U1985" s="10" t="s">
        <v>14804</v>
      </c>
      <c r="V1985" s="10" t="s">
        <v>14815</v>
      </c>
      <c r="W1985" s="10" t="s">
        <v>14793</v>
      </c>
      <c r="X1985" s="10" t="s">
        <v>130</v>
      </c>
      <c r="Y1985" s="10" t="s">
        <v>130</v>
      </c>
      <c r="Z1985" s="10" t="s">
        <v>99</v>
      </c>
      <c r="AA1985" s="10" t="s">
        <v>131</v>
      </c>
      <c r="AB1985" s="10" t="s">
        <v>14794</v>
      </c>
      <c r="AC1985" s="10" t="s">
        <v>3521</v>
      </c>
      <c r="AD1985" s="10" t="s">
        <v>15159</v>
      </c>
      <c r="AE1985" s="10" t="s">
        <v>15160</v>
      </c>
      <c r="AF1985" s="15"/>
      <c r="AG1985" s="10"/>
      <c r="AH1985" s="10"/>
      <c r="AI1985" s="10"/>
      <c r="AJ1985" s="10"/>
      <c r="AK1985" s="10" t="s">
        <v>102</v>
      </c>
      <c r="AL1985" s="10" t="s">
        <v>156</v>
      </c>
      <c r="AM1985" s="10"/>
      <c r="AN1985" s="10"/>
      <c r="AO1985" s="13" t="b">
        <v>0</v>
      </c>
      <c r="AP1985" s="10" t="s">
        <v>104</v>
      </c>
      <c r="AQ1985" s="10">
        <f ca="1">IFERROR(__xludf.DUMMYFUNCTION("""COMPUTED_VALUE"""),4626330)</f>
        <v>4626330</v>
      </c>
      <c r="AR1985" s="17">
        <v>81323</v>
      </c>
      <c r="AS1985" s="17">
        <v>40800</v>
      </c>
      <c r="AT1985" s="17">
        <v>1089301</v>
      </c>
      <c r="AU1985" s="17">
        <v>188.85</v>
      </c>
      <c r="AV1985" s="17">
        <v>66.3</v>
      </c>
      <c r="AW1985" s="10" t="s">
        <v>105</v>
      </c>
      <c r="AX1985" s="17">
        <v>13113</v>
      </c>
      <c r="AY1985" s="18">
        <v>26.698553921568628</v>
      </c>
      <c r="AZ1985" s="10" t="s">
        <v>106</v>
      </c>
      <c r="BA1985" s="20" t="b">
        <v>0</v>
      </c>
      <c r="BB1985" s="10"/>
      <c r="BC1985" s="17">
        <v>81323</v>
      </c>
      <c r="BD1985" s="17">
        <v>40800</v>
      </c>
      <c r="BE1985" s="17">
        <v>1089301</v>
      </c>
      <c r="BF1985" s="17">
        <v>66.3</v>
      </c>
      <c r="BG1985" s="11">
        <f ca="1">IFERROR(__xludf.DUMMYFUNCTION("""COMPUTED_VALUE"""),45934.6458333333)</f>
        <v>45934.645833333299</v>
      </c>
      <c r="BH1985" s="17" t="s">
        <v>105</v>
      </c>
      <c r="BI1985" s="17"/>
      <c r="BJ1985" s="15"/>
      <c r="BK1985" s="15"/>
      <c r="BL1985" s="13" t="b">
        <v>0</v>
      </c>
      <c r="BM1985" s="10"/>
      <c r="BN1985" s="10" t="s">
        <v>149</v>
      </c>
      <c r="BO1985" s="11">
        <v>45911.451388888891</v>
      </c>
      <c r="BP1985" s="11">
        <v>45929.60460648148</v>
      </c>
      <c r="BQ1985" s="15">
        <v>45932.473356481481</v>
      </c>
      <c r="BR1985" s="15">
        <v>45932.555787037039</v>
      </c>
      <c r="BS1985" s="10" t="s">
        <v>149</v>
      </c>
      <c r="BT1985" s="10" t="s">
        <v>279</v>
      </c>
      <c r="BU1985" s="10" t="s">
        <v>298</v>
      </c>
      <c r="BV1985" s="10"/>
      <c r="BW1985" s="10"/>
      <c r="BX1985" s="10"/>
      <c r="BY1985" s="23"/>
      <c r="BZ1985" s="23"/>
      <c r="CA1985" s="19" t="s">
        <v>15161</v>
      </c>
      <c r="CB1985" s="19" t="s">
        <v>15162</v>
      </c>
      <c r="CC1985" s="23"/>
      <c r="CD1985" s="19" t="s">
        <v>15163</v>
      </c>
      <c r="CE1985" s="23"/>
      <c r="CF1985" s="23"/>
      <c r="CG1985" s="23"/>
      <c r="CH1985" s="23"/>
      <c r="CI1985" s="23"/>
    </row>
    <row r="1986" spans="1:87" x14ac:dyDescent="0.3">
      <c r="A1986" s="9" t="s">
        <v>15164</v>
      </c>
      <c r="B1986" s="10" t="s">
        <v>15165</v>
      </c>
      <c r="C1986" s="11">
        <v>45934.645833333336</v>
      </c>
      <c r="D1986" s="12">
        <v>8.3333333333333329E-2</v>
      </c>
      <c r="E1986" s="11">
        <v>45934.729166666664</v>
      </c>
      <c r="F1986" s="10" t="s">
        <v>14786</v>
      </c>
      <c r="G1986" s="13" t="b">
        <v>0</v>
      </c>
      <c r="H1986" s="10" t="s">
        <v>14787</v>
      </c>
      <c r="I1986" s="10" t="s">
        <v>212</v>
      </c>
      <c r="J1986" s="13" t="b">
        <v>1</v>
      </c>
      <c r="K1986" s="13" t="b">
        <v>0</v>
      </c>
      <c r="L1986" s="10" t="s">
        <v>124</v>
      </c>
      <c r="M1986" s="10" t="s">
        <v>91</v>
      </c>
      <c r="N1986" s="10" t="s">
        <v>3513</v>
      </c>
      <c r="O1986" s="19" t="s">
        <v>15166</v>
      </c>
      <c r="P1986" s="10"/>
      <c r="Q1986" s="10" t="s">
        <v>126</v>
      </c>
      <c r="R1986" s="10"/>
      <c r="S1986" s="19" t="s">
        <v>15167</v>
      </c>
      <c r="T1986" s="19" t="s">
        <v>15158</v>
      </c>
      <c r="U1986" s="10" t="s">
        <v>14881</v>
      </c>
      <c r="V1986" s="10" t="s">
        <v>14792</v>
      </c>
      <c r="W1986" s="10" t="s">
        <v>14793</v>
      </c>
      <c r="X1986" s="10" t="s">
        <v>130</v>
      </c>
      <c r="Y1986" s="10" t="s">
        <v>130</v>
      </c>
      <c r="Z1986" s="10" t="s">
        <v>99</v>
      </c>
      <c r="AA1986" s="10" t="s">
        <v>131</v>
      </c>
      <c r="AB1986" s="10" t="s">
        <v>14794</v>
      </c>
      <c r="AC1986" s="10" t="s">
        <v>3521</v>
      </c>
      <c r="AD1986" s="10" t="s">
        <v>15168</v>
      </c>
      <c r="AE1986" s="10" t="s">
        <v>15169</v>
      </c>
      <c r="AF1986" s="15"/>
      <c r="AG1986" s="10"/>
      <c r="AH1986" s="10"/>
      <c r="AI1986" s="10"/>
      <c r="AJ1986" s="10"/>
      <c r="AK1986" s="10" t="s">
        <v>102</v>
      </c>
      <c r="AL1986" s="10" t="s">
        <v>156</v>
      </c>
      <c r="AM1986" s="10"/>
      <c r="AN1986" s="10"/>
      <c r="AO1986" s="13" t="b">
        <v>0</v>
      </c>
      <c r="AP1986" s="10" t="s">
        <v>104</v>
      </c>
      <c r="AQ1986" s="10">
        <f ca="1">IFERROR(__xludf.DUMMYFUNCTION("""COMPUTED_VALUE"""),4626328)</f>
        <v>4626328</v>
      </c>
      <c r="AR1986" s="17">
        <v>54134</v>
      </c>
      <c r="AS1986" s="17">
        <v>30390</v>
      </c>
      <c r="AT1986" s="17">
        <v>734012.25</v>
      </c>
      <c r="AU1986" s="17">
        <v>108.15</v>
      </c>
      <c r="AV1986" s="17">
        <v>23.4</v>
      </c>
      <c r="AW1986" s="10" t="s">
        <v>105</v>
      </c>
      <c r="AX1986" s="17">
        <v>9730</v>
      </c>
      <c r="AY1986" s="18">
        <v>24.153084896347483</v>
      </c>
      <c r="AZ1986" s="10" t="s">
        <v>106</v>
      </c>
      <c r="BA1986" s="20" t="b">
        <v>0</v>
      </c>
      <c r="BB1986" s="10"/>
      <c r="BC1986" s="17">
        <v>54134</v>
      </c>
      <c r="BD1986" s="17">
        <v>30390</v>
      </c>
      <c r="BE1986" s="17">
        <v>734012.25</v>
      </c>
      <c r="BF1986" s="17">
        <v>23.4</v>
      </c>
      <c r="BG1986" s="11">
        <f ca="1">IFERROR(__xludf.DUMMYFUNCTION("""COMPUTED_VALUE"""),45934.6458333333)</f>
        <v>45934.645833333299</v>
      </c>
      <c r="BH1986" s="17" t="s">
        <v>105</v>
      </c>
      <c r="BI1986" s="17"/>
      <c r="BJ1986" s="15"/>
      <c r="BK1986" s="15"/>
      <c r="BL1986" s="13" t="b">
        <v>0</v>
      </c>
      <c r="BM1986" s="10"/>
      <c r="BN1986" s="10" t="s">
        <v>149</v>
      </c>
      <c r="BO1986" s="11">
        <v>45911.45208333333</v>
      </c>
      <c r="BP1986" s="11">
        <v>45929.604467592595</v>
      </c>
      <c r="BQ1986" s="15">
        <v>45932.473194444443</v>
      </c>
      <c r="BR1986" s="15">
        <v>45932.555914351855</v>
      </c>
      <c r="BS1986" s="10" t="s">
        <v>149</v>
      </c>
      <c r="BT1986" s="10" t="s">
        <v>279</v>
      </c>
      <c r="BU1986" s="10" t="s">
        <v>280</v>
      </c>
      <c r="BV1986" s="10"/>
      <c r="BW1986" s="10"/>
      <c r="BX1986" s="10"/>
      <c r="BY1986" s="23"/>
      <c r="BZ1986" s="23"/>
      <c r="CA1986" s="19" t="s">
        <v>15170</v>
      </c>
      <c r="CB1986" s="19" t="s">
        <v>15171</v>
      </c>
      <c r="CC1986" s="23"/>
      <c r="CD1986" s="19" t="s">
        <v>15172</v>
      </c>
      <c r="CE1986" s="23"/>
      <c r="CF1986" s="23"/>
      <c r="CG1986" s="23"/>
      <c r="CH1986" s="23"/>
      <c r="CI1986" s="23"/>
    </row>
    <row r="1987" spans="1:87" x14ac:dyDescent="0.3">
      <c r="A1987" s="9" t="s">
        <v>15173</v>
      </c>
      <c r="B1987" s="10" t="s">
        <v>15174</v>
      </c>
      <c r="C1987" s="11">
        <v>45934.791666666664</v>
      </c>
      <c r="D1987" s="12">
        <v>8.3333333333333329E-2</v>
      </c>
      <c r="E1987" s="11">
        <v>45934.875</v>
      </c>
      <c r="F1987" s="10" t="s">
        <v>14786</v>
      </c>
      <c r="G1987" s="13" t="b">
        <v>0</v>
      </c>
      <c r="H1987" s="10" t="s">
        <v>14787</v>
      </c>
      <c r="I1987" s="10" t="s">
        <v>3548</v>
      </c>
      <c r="J1987" s="13" t="b">
        <v>0</v>
      </c>
      <c r="K1987" s="13" t="b">
        <v>1</v>
      </c>
      <c r="L1987" s="10" t="s">
        <v>124</v>
      </c>
      <c r="M1987" s="10" t="s">
        <v>91</v>
      </c>
      <c r="N1987" s="10" t="s">
        <v>3513</v>
      </c>
      <c r="O1987" s="19" t="s">
        <v>15175</v>
      </c>
      <c r="P1987" s="10"/>
      <c r="Q1987" s="10" t="s">
        <v>126</v>
      </c>
      <c r="R1987" s="10"/>
      <c r="S1987" s="19" t="s">
        <v>15176</v>
      </c>
      <c r="T1987" s="19" t="s">
        <v>15158</v>
      </c>
      <c r="U1987" s="10" t="s">
        <v>14826</v>
      </c>
      <c r="V1987" s="10" t="s">
        <v>14859</v>
      </c>
      <c r="W1987" s="10" t="s">
        <v>14793</v>
      </c>
      <c r="X1987" s="10" t="s">
        <v>130</v>
      </c>
      <c r="Y1987" s="10" t="s">
        <v>130</v>
      </c>
      <c r="Z1987" s="10" t="s">
        <v>99</v>
      </c>
      <c r="AA1987" s="10" t="s">
        <v>131</v>
      </c>
      <c r="AB1987" s="10" t="s">
        <v>14794</v>
      </c>
      <c r="AC1987" s="10" t="s">
        <v>3521</v>
      </c>
      <c r="AD1987" s="10" t="s">
        <v>15177</v>
      </c>
      <c r="AE1987" s="10" t="s">
        <v>15178</v>
      </c>
      <c r="AF1987" s="15"/>
      <c r="AG1987" s="10"/>
      <c r="AH1987" s="10"/>
      <c r="AI1987" s="10"/>
      <c r="AJ1987" s="10"/>
      <c r="AK1987" s="10" t="s">
        <v>102</v>
      </c>
      <c r="AL1987" s="10" t="s">
        <v>156</v>
      </c>
      <c r="AM1987" s="10"/>
      <c r="AN1987" s="10"/>
      <c r="AO1987" s="13" t="b">
        <v>1</v>
      </c>
      <c r="AP1987" s="10" t="s">
        <v>104</v>
      </c>
      <c r="AQ1987" s="10">
        <f ca="1">IFERROR(__xludf.DUMMYFUNCTION("""COMPUTED_VALUE"""),4626332)</f>
        <v>4626332</v>
      </c>
      <c r="AR1987" s="17">
        <v>59723</v>
      </c>
      <c r="AS1987" s="17">
        <v>39350</v>
      </c>
      <c r="AT1987" s="17">
        <v>746530.25</v>
      </c>
      <c r="AU1987" s="17">
        <v>478.75</v>
      </c>
      <c r="AV1987" s="17">
        <v>194.5</v>
      </c>
      <c r="AW1987" s="10" t="s">
        <v>105</v>
      </c>
      <c r="AX1987" s="17">
        <v>10285</v>
      </c>
      <c r="AY1987" s="18">
        <v>18.971543837357054</v>
      </c>
      <c r="AZ1987" s="10" t="s">
        <v>106</v>
      </c>
      <c r="BA1987" s="20" t="b">
        <v>0</v>
      </c>
      <c r="BB1987" s="10"/>
      <c r="BC1987" s="17">
        <v>59723</v>
      </c>
      <c r="BD1987" s="17">
        <v>39350</v>
      </c>
      <c r="BE1987" s="17">
        <v>746530.25</v>
      </c>
      <c r="BF1987" s="17">
        <v>194.5</v>
      </c>
      <c r="BG1987" s="11">
        <f ca="1">IFERROR(__xludf.DUMMYFUNCTION("""COMPUTED_VALUE"""),45934.7916666666)</f>
        <v>45934.791666666599</v>
      </c>
      <c r="BH1987" s="17" t="s">
        <v>105</v>
      </c>
      <c r="BI1987" s="17"/>
      <c r="BJ1987" s="15"/>
      <c r="BK1987" s="15"/>
      <c r="BL1987" s="13" t="b">
        <v>0</v>
      </c>
      <c r="BM1987" s="10"/>
      <c r="BN1987" s="10" t="s">
        <v>137</v>
      </c>
      <c r="BO1987" s="11">
        <v>45911.452777777777</v>
      </c>
      <c r="BP1987" s="11">
        <v>45929.604768518519</v>
      </c>
      <c r="BQ1987" s="15">
        <v>45932.473530092589</v>
      </c>
      <c r="BR1987" s="15">
        <v>45932.55605324074</v>
      </c>
      <c r="BS1987" s="10" t="s">
        <v>137</v>
      </c>
      <c r="BT1987" s="10" t="s">
        <v>279</v>
      </c>
      <c r="BU1987" s="10" t="s">
        <v>498</v>
      </c>
      <c r="BV1987" s="10" t="s">
        <v>124</v>
      </c>
      <c r="BW1987" s="10"/>
      <c r="BX1987" s="10"/>
      <c r="BY1987" s="23"/>
      <c r="BZ1987" s="23"/>
      <c r="CA1987" s="19" t="s">
        <v>15179</v>
      </c>
      <c r="CB1987" s="19" t="s">
        <v>15180</v>
      </c>
      <c r="CC1987" s="23"/>
      <c r="CD1987" s="19" t="s">
        <v>15181</v>
      </c>
      <c r="CE1987" s="23"/>
      <c r="CF1987" s="23"/>
      <c r="CG1987" s="23"/>
      <c r="CH1987" s="23"/>
      <c r="CI1987" s="23"/>
    </row>
    <row r="1988" spans="1:87" x14ac:dyDescent="0.3">
      <c r="A1988" s="9" t="s">
        <v>15182</v>
      </c>
      <c r="B1988" s="10" t="s">
        <v>15183</v>
      </c>
      <c r="C1988" s="11">
        <v>45935.645833333336</v>
      </c>
      <c r="D1988" s="12">
        <v>8.3333333333333329E-2</v>
      </c>
      <c r="E1988" s="11">
        <v>45935.729166666664</v>
      </c>
      <c r="F1988" s="10" t="s">
        <v>14786</v>
      </c>
      <c r="G1988" s="13" t="b">
        <v>0</v>
      </c>
      <c r="H1988" s="10" t="s">
        <v>14787</v>
      </c>
      <c r="I1988" s="10" t="s">
        <v>212</v>
      </c>
      <c r="J1988" s="13" t="b">
        <v>1</v>
      </c>
      <c r="K1988" s="13" t="b">
        <v>0</v>
      </c>
      <c r="L1988" s="10" t="s">
        <v>124</v>
      </c>
      <c r="M1988" s="10" t="s">
        <v>91</v>
      </c>
      <c r="N1988" s="10" t="s">
        <v>3513</v>
      </c>
      <c r="O1988" s="19" t="s">
        <v>15184</v>
      </c>
      <c r="P1988" s="10"/>
      <c r="Q1988" s="10" t="s">
        <v>126</v>
      </c>
      <c r="R1988" s="10"/>
      <c r="S1988" s="19" t="s">
        <v>15185</v>
      </c>
      <c r="T1988" s="19" t="s">
        <v>15158</v>
      </c>
      <c r="U1988" s="10" t="s">
        <v>14805</v>
      </c>
      <c r="V1988" s="10" t="s">
        <v>14893</v>
      </c>
      <c r="W1988" s="10" t="s">
        <v>14793</v>
      </c>
      <c r="X1988" s="10" t="s">
        <v>130</v>
      </c>
      <c r="Y1988" s="10" t="s">
        <v>130</v>
      </c>
      <c r="Z1988" s="10" t="s">
        <v>99</v>
      </c>
      <c r="AA1988" s="10" t="s">
        <v>131</v>
      </c>
      <c r="AB1988" s="10" t="s">
        <v>14794</v>
      </c>
      <c r="AC1988" s="10" t="s">
        <v>3521</v>
      </c>
      <c r="AD1988" s="10" t="s">
        <v>15186</v>
      </c>
      <c r="AE1988" s="10" t="s">
        <v>15187</v>
      </c>
      <c r="AF1988" s="15"/>
      <c r="AG1988" s="10"/>
      <c r="AH1988" s="10"/>
      <c r="AI1988" s="10"/>
      <c r="AJ1988" s="10"/>
      <c r="AK1988" s="10" t="s">
        <v>102</v>
      </c>
      <c r="AL1988" s="10" t="s">
        <v>156</v>
      </c>
      <c r="AM1988" s="10"/>
      <c r="AN1988" s="10"/>
      <c r="AO1988" s="13" t="b">
        <v>0</v>
      </c>
      <c r="AP1988" s="10" t="s">
        <v>104</v>
      </c>
      <c r="AQ1988" s="10">
        <f ca="1">IFERROR(__xludf.DUMMYFUNCTION("""COMPUTED_VALUE"""),4626335)</f>
        <v>4626335</v>
      </c>
      <c r="AR1988" s="17">
        <v>49107</v>
      </c>
      <c r="AS1988" s="17">
        <v>31233</v>
      </c>
      <c r="AT1988" s="17">
        <v>813143</v>
      </c>
      <c r="AU1988" s="17">
        <v>96</v>
      </c>
      <c r="AV1988" s="17">
        <v>25.3</v>
      </c>
      <c r="AW1988" s="10" t="s">
        <v>105</v>
      </c>
      <c r="AX1988" s="17">
        <v>12621</v>
      </c>
      <c r="AY1988" s="18">
        <v>26.034738897960491</v>
      </c>
      <c r="AZ1988" s="10" t="s">
        <v>106</v>
      </c>
      <c r="BA1988" s="20" t="b">
        <v>0</v>
      </c>
      <c r="BB1988" s="10"/>
      <c r="BC1988" s="17">
        <v>49107</v>
      </c>
      <c r="BD1988" s="17">
        <v>31233</v>
      </c>
      <c r="BE1988" s="17">
        <v>813143</v>
      </c>
      <c r="BF1988" s="17">
        <v>25.3</v>
      </c>
      <c r="BG1988" s="11">
        <f ca="1">IFERROR(__xludf.DUMMYFUNCTION("""COMPUTED_VALUE"""),45935.6458333333)</f>
        <v>45935.645833333299</v>
      </c>
      <c r="BH1988" s="17" t="s">
        <v>105</v>
      </c>
      <c r="BI1988" s="17"/>
      <c r="BJ1988" s="15"/>
      <c r="BK1988" s="15"/>
      <c r="BL1988" s="13" t="b">
        <v>0</v>
      </c>
      <c r="BM1988" s="10"/>
      <c r="BN1988" s="10" t="s">
        <v>149</v>
      </c>
      <c r="BO1988" s="11">
        <v>45911.453472222223</v>
      </c>
      <c r="BP1988" s="11">
        <v>45929.604849537034</v>
      </c>
      <c r="BQ1988" s="15">
        <v>45932.473923611113</v>
      </c>
      <c r="BR1988" s="15">
        <v>45932.562858796293</v>
      </c>
      <c r="BS1988" s="10" t="s">
        <v>149</v>
      </c>
      <c r="BT1988" s="10" t="s">
        <v>279</v>
      </c>
      <c r="BU1988" s="10" t="s">
        <v>280</v>
      </c>
      <c r="BV1988" s="10"/>
      <c r="BW1988" s="10"/>
      <c r="BX1988" s="10"/>
      <c r="BY1988" s="23"/>
      <c r="BZ1988" s="23"/>
      <c r="CA1988" s="19" t="s">
        <v>15188</v>
      </c>
      <c r="CB1988" s="19" t="s">
        <v>15189</v>
      </c>
      <c r="CC1988" s="23"/>
      <c r="CD1988" s="19" t="s">
        <v>15190</v>
      </c>
      <c r="CE1988" s="23"/>
      <c r="CF1988" s="23"/>
      <c r="CG1988" s="23"/>
      <c r="CH1988" s="23"/>
      <c r="CI1988" s="23"/>
    </row>
    <row r="1989" spans="1:87" x14ac:dyDescent="0.3">
      <c r="A1989" s="9" t="s">
        <v>15191</v>
      </c>
      <c r="B1989" s="10" t="s">
        <v>15192</v>
      </c>
      <c r="C1989" s="11">
        <v>45935.604166666664</v>
      </c>
      <c r="D1989" s="12">
        <v>8.3333333333333329E-2</v>
      </c>
      <c r="E1989" s="11">
        <v>45935.6875</v>
      </c>
      <c r="F1989" s="10" t="s">
        <v>14786</v>
      </c>
      <c r="G1989" s="13" t="b">
        <v>0</v>
      </c>
      <c r="H1989" s="10" t="s">
        <v>14787</v>
      </c>
      <c r="I1989" s="10" t="s">
        <v>3548</v>
      </c>
      <c r="J1989" s="13" t="b">
        <v>0</v>
      </c>
      <c r="K1989" s="13" t="b">
        <v>1</v>
      </c>
      <c r="L1989" s="10" t="s">
        <v>124</v>
      </c>
      <c r="M1989" s="10" t="s">
        <v>91</v>
      </c>
      <c r="N1989" s="10" t="s">
        <v>3513</v>
      </c>
      <c r="O1989" s="19" t="s">
        <v>15193</v>
      </c>
      <c r="P1989" s="10"/>
      <c r="Q1989" s="10" t="s">
        <v>126</v>
      </c>
      <c r="R1989" s="10"/>
      <c r="S1989" s="19" t="s">
        <v>15194</v>
      </c>
      <c r="T1989" s="19" t="s">
        <v>15158</v>
      </c>
      <c r="U1989" s="10" t="s">
        <v>14870</v>
      </c>
      <c r="V1989" s="10" t="s">
        <v>14848</v>
      </c>
      <c r="W1989" s="10" t="s">
        <v>14793</v>
      </c>
      <c r="X1989" s="10" t="s">
        <v>130</v>
      </c>
      <c r="Y1989" s="10" t="s">
        <v>130</v>
      </c>
      <c r="Z1989" s="10" t="s">
        <v>99</v>
      </c>
      <c r="AA1989" s="10" t="s">
        <v>131</v>
      </c>
      <c r="AB1989" s="10" t="s">
        <v>14794</v>
      </c>
      <c r="AC1989" s="10" t="s">
        <v>3521</v>
      </c>
      <c r="AD1989" s="10" t="s">
        <v>15195</v>
      </c>
      <c r="AE1989" s="10" t="s">
        <v>15196</v>
      </c>
      <c r="AF1989" s="15"/>
      <c r="AG1989" s="10"/>
      <c r="AH1989" s="10"/>
      <c r="AI1989" s="10"/>
      <c r="AJ1989" s="10"/>
      <c r="AK1989" s="10" t="s">
        <v>102</v>
      </c>
      <c r="AL1989" s="10" t="s">
        <v>156</v>
      </c>
      <c r="AM1989" s="10"/>
      <c r="AN1989" s="10"/>
      <c r="AO1989" s="13" t="b">
        <v>0</v>
      </c>
      <c r="AP1989" s="10" t="s">
        <v>104</v>
      </c>
      <c r="AQ1989" s="10">
        <f ca="1">IFERROR(__xludf.DUMMYFUNCTION("""COMPUTED_VALUE"""),4626334)</f>
        <v>4626334</v>
      </c>
      <c r="AR1989" s="17">
        <v>59614</v>
      </c>
      <c r="AS1989" s="17">
        <v>39137</v>
      </c>
      <c r="AT1989" s="17">
        <v>806595</v>
      </c>
      <c r="AU1989" s="17">
        <v>368.3</v>
      </c>
      <c r="AV1989" s="17">
        <v>172.1</v>
      </c>
      <c r="AW1989" s="10" t="s">
        <v>105</v>
      </c>
      <c r="AX1989" s="17">
        <v>11551</v>
      </c>
      <c r="AY1989" s="18">
        <v>20.609525512941719</v>
      </c>
      <c r="AZ1989" s="10" t="s">
        <v>106</v>
      </c>
      <c r="BA1989" s="20" t="b">
        <v>0</v>
      </c>
      <c r="BB1989" s="10"/>
      <c r="BC1989" s="17">
        <v>59614</v>
      </c>
      <c r="BD1989" s="17">
        <v>39137</v>
      </c>
      <c r="BE1989" s="17">
        <v>806595</v>
      </c>
      <c r="BF1989" s="17">
        <v>172.1</v>
      </c>
      <c r="BG1989" s="11">
        <f ca="1">IFERROR(__xludf.DUMMYFUNCTION("""COMPUTED_VALUE"""),45935.6041666666)</f>
        <v>45935.604166666599</v>
      </c>
      <c r="BH1989" s="17" t="s">
        <v>105</v>
      </c>
      <c r="BI1989" s="17"/>
      <c r="BJ1989" s="15"/>
      <c r="BK1989" s="15"/>
      <c r="BL1989" s="13" t="b">
        <v>0</v>
      </c>
      <c r="BM1989" s="10"/>
      <c r="BN1989" s="10" t="s">
        <v>149</v>
      </c>
      <c r="BO1989" s="11">
        <v>45911.45416666667</v>
      </c>
      <c r="BP1989" s="11">
        <v>45930.447245370371</v>
      </c>
      <c r="BQ1989" s="15">
        <v>45932.473761574074</v>
      </c>
      <c r="BR1989" s="15">
        <v>45932.562719907408</v>
      </c>
      <c r="BS1989" s="10" t="s">
        <v>149</v>
      </c>
      <c r="BT1989" s="10" t="s">
        <v>279</v>
      </c>
      <c r="BU1989" s="10" t="s">
        <v>298</v>
      </c>
      <c r="BV1989" s="10"/>
      <c r="BW1989" s="10"/>
      <c r="BX1989" s="10"/>
      <c r="BY1989" s="23"/>
      <c r="BZ1989" s="23"/>
      <c r="CA1989" s="19" t="s">
        <v>15197</v>
      </c>
      <c r="CB1989" s="19" t="s">
        <v>15198</v>
      </c>
      <c r="CC1989" s="23"/>
      <c r="CD1989" s="19" t="s">
        <v>15199</v>
      </c>
      <c r="CE1989" s="23"/>
      <c r="CF1989" s="23"/>
      <c r="CG1989" s="23"/>
      <c r="CH1989" s="23"/>
      <c r="CI1989" s="23"/>
    </row>
    <row r="1990" spans="1:87" x14ac:dyDescent="0.3">
      <c r="A1990" s="9" t="s">
        <v>15200</v>
      </c>
      <c r="B1990" s="10" t="s">
        <v>15201</v>
      </c>
      <c r="C1990" s="11">
        <v>45935.791666666664</v>
      </c>
      <c r="D1990" s="12">
        <v>8.3333333333333329E-2</v>
      </c>
      <c r="E1990" s="11">
        <v>45935.875</v>
      </c>
      <c r="F1990" s="10" t="s">
        <v>14786</v>
      </c>
      <c r="G1990" s="13" t="b">
        <v>0</v>
      </c>
      <c r="H1990" s="10" t="s">
        <v>236</v>
      </c>
      <c r="I1990" s="10" t="s">
        <v>212</v>
      </c>
      <c r="J1990" s="13" t="b">
        <v>1</v>
      </c>
      <c r="K1990" s="13" t="b">
        <v>0</v>
      </c>
      <c r="L1990" s="10" t="s">
        <v>124</v>
      </c>
      <c r="M1990" s="10" t="s">
        <v>91</v>
      </c>
      <c r="N1990" s="10" t="s">
        <v>3513</v>
      </c>
      <c r="O1990" s="19" t="s">
        <v>15202</v>
      </c>
      <c r="P1990" s="10"/>
      <c r="Q1990" s="10" t="s">
        <v>126</v>
      </c>
      <c r="R1990" s="10"/>
      <c r="S1990" s="19" t="s">
        <v>15203</v>
      </c>
      <c r="T1990" s="19" t="s">
        <v>15158</v>
      </c>
      <c r="U1990" s="10" t="s">
        <v>14838</v>
      </c>
      <c r="V1990" s="10" t="s">
        <v>14827</v>
      </c>
      <c r="W1990" s="10" t="s">
        <v>14793</v>
      </c>
      <c r="X1990" s="10" t="s">
        <v>130</v>
      </c>
      <c r="Y1990" s="10" t="s">
        <v>130</v>
      </c>
      <c r="Z1990" s="10" t="s">
        <v>99</v>
      </c>
      <c r="AA1990" s="10" t="s">
        <v>131</v>
      </c>
      <c r="AB1990" s="10" t="s">
        <v>14794</v>
      </c>
      <c r="AC1990" s="10" t="s">
        <v>3521</v>
      </c>
      <c r="AD1990" s="10" t="s">
        <v>15204</v>
      </c>
      <c r="AE1990" s="10" t="s">
        <v>15205</v>
      </c>
      <c r="AF1990" s="15"/>
      <c r="AG1990" s="10"/>
      <c r="AH1990" s="10"/>
      <c r="AI1990" s="10"/>
      <c r="AJ1990" s="10"/>
      <c r="AK1990" s="10" t="s">
        <v>102</v>
      </c>
      <c r="AL1990" s="10" t="s">
        <v>156</v>
      </c>
      <c r="AM1990" s="10"/>
      <c r="AN1990" s="10"/>
      <c r="AO1990" s="13" t="b">
        <v>0</v>
      </c>
      <c r="AP1990" s="10" t="s">
        <v>104</v>
      </c>
      <c r="AQ1990" s="10">
        <f ca="1">IFERROR(__xludf.DUMMYFUNCTION("""COMPUTED_VALUE"""),4628661)</f>
        <v>4628661</v>
      </c>
      <c r="AR1990" s="17">
        <v>142592</v>
      </c>
      <c r="AS1990" s="17">
        <v>98661</v>
      </c>
      <c r="AT1990" s="17">
        <v>2043467.5</v>
      </c>
      <c r="AU1990" s="17">
        <v>237.65</v>
      </c>
      <c r="AV1990" s="17">
        <v>55.2</v>
      </c>
      <c r="AW1990" s="10" t="s">
        <v>105</v>
      </c>
      <c r="AX1990" s="17">
        <v>32982</v>
      </c>
      <c r="AY1990" s="18">
        <v>20.712008797802575</v>
      </c>
      <c r="AZ1990" s="10" t="s">
        <v>106</v>
      </c>
      <c r="BA1990" s="20" t="b">
        <v>0</v>
      </c>
      <c r="BB1990" s="10"/>
      <c r="BC1990" s="17">
        <v>142592</v>
      </c>
      <c r="BD1990" s="17">
        <v>98661</v>
      </c>
      <c r="BE1990" s="17">
        <v>2043467.5</v>
      </c>
      <c r="BF1990" s="17">
        <v>55.2</v>
      </c>
      <c r="BG1990" s="11">
        <f ca="1">IFERROR(__xludf.DUMMYFUNCTION("""COMPUTED_VALUE"""),45935.7916666666)</f>
        <v>45935.791666666599</v>
      </c>
      <c r="BH1990" s="17" t="s">
        <v>105</v>
      </c>
      <c r="BI1990" s="17"/>
      <c r="BJ1990" s="15"/>
      <c r="BK1990" s="15"/>
      <c r="BL1990" s="13" t="b">
        <v>0</v>
      </c>
      <c r="BM1990" s="10"/>
      <c r="BN1990" s="10" t="s">
        <v>137</v>
      </c>
      <c r="BO1990" s="11">
        <v>45911.454861111109</v>
      </c>
      <c r="BP1990" s="11">
        <v>45933.719733796293</v>
      </c>
      <c r="BQ1990" s="15">
        <v>45932.474085648151</v>
      </c>
      <c r="BR1990" s="15">
        <v>45933.919351851851</v>
      </c>
      <c r="BS1990" s="10" t="s">
        <v>137</v>
      </c>
      <c r="BT1990" s="10" t="s">
        <v>279</v>
      </c>
      <c r="BU1990" s="10" t="s">
        <v>298</v>
      </c>
      <c r="BV1990" s="10"/>
      <c r="BW1990" s="10"/>
      <c r="BX1990" s="10"/>
      <c r="BY1990" s="23"/>
      <c r="BZ1990" s="23"/>
      <c r="CA1990" s="19" t="s">
        <v>15206</v>
      </c>
      <c r="CB1990" s="19" t="s">
        <v>15207</v>
      </c>
      <c r="CC1990" s="23"/>
      <c r="CD1990" s="19" t="s">
        <v>15208</v>
      </c>
      <c r="CE1990" s="23"/>
      <c r="CF1990" s="23"/>
      <c r="CG1990" s="23"/>
      <c r="CH1990" s="23"/>
      <c r="CI1990" s="23"/>
    </row>
    <row r="1991" spans="1:87" x14ac:dyDescent="0.3">
      <c r="A1991" s="9" t="s">
        <v>15209</v>
      </c>
      <c r="B1991" s="10" t="s">
        <v>15210</v>
      </c>
      <c r="C1991" s="11">
        <v>45935.864583333336</v>
      </c>
      <c r="D1991" s="12">
        <v>8.3333333333333329E-2</v>
      </c>
      <c r="E1991" s="11">
        <v>45935.947916666664</v>
      </c>
      <c r="F1991" s="10" t="s">
        <v>14786</v>
      </c>
      <c r="G1991" s="13" t="b">
        <v>0</v>
      </c>
      <c r="H1991" s="10" t="s">
        <v>123</v>
      </c>
      <c r="I1991" s="10" t="s">
        <v>3548</v>
      </c>
      <c r="J1991" s="13" t="b">
        <v>0</v>
      </c>
      <c r="K1991" s="13" t="b">
        <v>1</v>
      </c>
      <c r="L1991" s="10" t="s">
        <v>124</v>
      </c>
      <c r="M1991" s="10" t="s">
        <v>91</v>
      </c>
      <c r="N1991" s="10" t="s">
        <v>3513</v>
      </c>
      <c r="O1991" s="19" t="s">
        <v>15211</v>
      </c>
      <c r="P1991" s="10"/>
      <c r="Q1991" s="10" t="s">
        <v>126</v>
      </c>
      <c r="R1991" s="10"/>
      <c r="S1991" s="19" t="s">
        <v>15212</v>
      </c>
      <c r="T1991" s="19" t="s">
        <v>15158</v>
      </c>
      <c r="U1991" s="10" t="s">
        <v>14892</v>
      </c>
      <c r="V1991" s="10" t="s">
        <v>14816</v>
      </c>
      <c r="W1991" s="10" t="s">
        <v>14793</v>
      </c>
      <c r="X1991" s="10" t="s">
        <v>130</v>
      </c>
      <c r="Y1991" s="10" t="s">
        <v>130</v>
      </c>
      <c r="Z1991" s="10" t="s">
        <v>99</v>
      </c>
      <c r="AA1991" s="10" t="s">
        <v>131</v>
      </c>
      <c r="AB1991" s="10" t="s">
        <v>14794</v>
      </c>
      <c r="AC1991" s="10" t="s">
        <v>3521</v>
      </c>
      <c r="AD1991" s="10" t="s">
        <v>15213</v>
      </c>
      <c r="AE1991" s="10" t="s">
        <v>15214</v>
      </c>
      <c r="AF1991" s="15"/>
      <c r="AG1991" s="10"/>
      <c r="AH1991" s="10"/>
      <c r="AI1991" s="10"/>
      <c r="AJ1991" s="10"/>
      <c r="AK1991" s="10" t="s">
        <v>102</v>
      </c>
      <c r="AL1991" s="10" t="s">
        <v>156</v>
      </c>
      <c r="AM1991" s="10"/>
      <c r="AN1991" s="10"/>
      <c r="AO1991" s="13" t="b">
        <v>0</v>
      </c>
      <c r="AP1991" s="10" t="s">
        <v>104</v>
      </c>
      <c r="AQ1991" s="10">
        <f ca="1">IFERROR(__xludf.DUMMYFUNCTION("""COMPUTED_VALUE"""),4628811)</f>
        <v>4628811</v>
      </c>
      <c r="AR1991" s="17">
        <v>78436</v>
      </c>
      <c r="AS1991" s="17">
        <v>56375</v>
      </c>
      <c r="AT1991" s="17">
        <v>1183855</v>
      </c>
      <c r="AU1991" s="17">
        <v>552.65</v>
      </c>
      <c r="AV1991" s="17">
        <v>243.55</v>
      </c>
      <c r="AW1991" s="10" t="s">
        <v>105</v>
      </c>
      <c r="AX1991" s="17">
        <v>21416</v>
      </c>
      <c r="AY1991" s="18">
        <v>20.999645232815965</v>
      </c>
      <c r="AZ1991" s="10" t="s">
        <v>106</v>
      </c>
      <c r="BA1991" s="20" t="b">
        <v>0</v>
      </c>
      <c r="BB1991" s="10"/>
      <c r="BC1991" s="17">
        <v>78436</v>
      </c>
      <c r="BD1991" s="17">
        <v>56375</v>
      </c>
      <c r="BE1991" s="17">
        <v>1183855</v>
      </c>
      <c r="BF1991" s="17">
        <v>243.55</v>
      </c>
      <c r="BG1991" s="11">
        <f ca="1">IFERROR(__xludf.DUMMYFUNCTION("""COMPUTED_VALUE"""),45935.8645833333)</f>
        <v>45935.864583333299</v>
      </c>
      <c r="BH1991" s="17" t="s">
        <v>105</v>
      </c>
      <c r="BI1991" s="17"/>
      <c r="BJ1991" s="15"/>
      <c r="BK1991" s="15"/>
      <c r="BL1991" s="13" t="b">
        <v>0</v>
      </c>
      <c r="BM1991" s="10"/>
      <c r="BN1991" s="10" t="s">
        <v>137</v>
      </c>
      <c r="BO1991" s="11">
        <v>45911.455555555556</v>
      </c>
      <c r="BP1991" s="11">
        <v>45933.738969907405</v>
      </c>
      <c r="BQ1991" s="15">
        <v>45932.474236111113</v>
      </c>
      <c r="BR1991" s="15">
        <v>45933.934525462966</v>
      </c>
      <c r="BS1991" s="10" t="s">
        <v>137</v>
      </c>
      <c r="BT1991" s="10" t="s">
        <v>279</v>
      </c>
      <c r="BU1991" s="10" t="s">
        <v>280</v>
      </c>
      <c r="BV1991" s="10"/>
      <c r="BW1991" s="10"/>
      <c r="BX1991" s="10"/>
      <c r="BY1991" s="23"/>
      <c r="BZ1991" s="23"/>
      <c r="CA1991" s="19" t="s">
        <v>15215</v>
      </c>
      <c r="CB1991" s="19" t="s">
        <v>15216</v>
      </c>
      <c r="CC1991" s="23"/>
      <c r="CD1991" s="19" t="s">
        <v>15217</v>
      </c>
      <c r="CE1991" s="23"/>
      <c r="CF1991" s="23"/>
      <c r="CG1991" s="23"/>
      <c r="CH1991" s="23"/>
      <c r="CI1991" s="23"/>
    </row>
    <row r="1992" spans="1:87" x14ac:dyDescent="0.3">
      <c r="A1992" s="9" t="s">
        <v>15218</v>
      </c>
      <c r="B1992" s="10" t="s">
        <v>15219</v>
      </c>
      <c r="C1992" s="11">
        <v>45936.645833333336</v>
      </c>
      <c r="D1992" s="12">
        <v>8.3333333333333329E-2</v>
      </c>
      <c r="E1992" s="11">
        <v>45936.729166666664</v>
      </c>
      <c r="F1992" s="10" t="s">
        <v>14786</v>
      </c>
      <c r="G1992" s="13" t="b">
        <v>0</v>
      </c>
      <c r="H1992" s="10" t="s">
        <v>14787</v>
      </c>
      <c r="I1992" s="10" t="s">
        <v>212</v>
      </c>
      <c r="J1992" s="13" t="b">
        <v>1</v>
      </c>
      <c r="K1992" s="13" t="b">
        <v>0</v>
      </c>
      <c r="L1992" s="10" t="s">
        <v>124</v>
      </c>
      <c r="M1992" s="10" t="s">
        <v>91</v>
      </c>
      <c r="N1992" s="10" t="s">
        <v>3513</v>
      </c>
      <c r="O1992" s="19" t="s">
        <v>15220</v>
      </c>
      <c r="P1992" s="10"/>
      <c r="Q1992" s="10" t="s">
        <v>126</v>
      </c>
      <c r="R1992" s="10"/>
      <c r="S1992" s="19" t="s">
        <v>15221</v>
      </c>
      <c r="T1992" s="19" t="s">
        <v>15158</v>
      </c>
      <c r="U1992" s="10" t="s">
        <v>14791</v>
      </c>
      <c r="V1992" s="10" t="s">
        <v>14882</v>
      </c>
      <c r="W1992" s="10" t="s">
        <v>14793</v>
      </c>
      <c r="X1992" s="10" t="s">
        <v>130</v>
      </c>
      <c r="Y1992" s="10" t="s">
        <v>130</v>
      </c>
      <c r="Z1992" s="10" t="s">
        <v>99</v>
      </c>
      <c r="AA1992" s="10" t="s">
        <v>131</v>
      </c>
      <c r="AB1992" s="10" t="s">
        <v>14794</v>
      </c>
      <c r="AC1992" s="10" t="s">
        <v>3521</v>
      </c>
      <c r="AD1992" s="10" t="s">
        <v>15222</v>
      </c>
      <c r="AE1992" s="10" t="s">
        <v>15223</v>
      </c>
      <c r="AF1992" s="15"/>
      <c r="AG1992" s="10"/>
      <c r="AH1992" s="10"/>
      <c r="AI1992" s="10"/>
      <c r="AJ1992" s="10"/>
      <c r="AK1992" s="10" t="s">
        <v>102</v>
      </c>
      <c r="AL1992" s="10" t="s">
        <v>156</v>
      </c>
      <c r="AM1992" s="10"/>
      <c r="AN1992" s="10"/>
      <c r="AO1992" s="13" t="b">
        <v>0</v>
      </c>
      <c r="AP1992" s="10" t="s">
        <v>104</v>
      </c>
      <c r="AQ1992" s="10">
        <f ca="1">IFERROR(__xludf.DUMMYFUNCTION("""COMPUTED_VALUE"""),4627666)</f>
        <v>4627666</v>
      </c>
      <c r="AR1992" s="17">
        <v>39389</v>
      </c>
      <c r="AS1992" s="17">
        <v>23571</v>
      </c>
      <c r="AT1992" s="17">
        <v>541634.25</v>
      </c>
      <c r="AU1992" s="17">
        <v>80.75</v>
      </c>
      <c r="AV1992" s="17">
        <v>24</v>
      </c>
      <c r="AW1992" s="10" t="s">
        <v>105</v>
      </c>
      <c r="AX1992" s="17">
        <v>7816</v>
      </c>
      <c r="AY1992" s="18">
        <v>22.978840524373169</v>
      </c>
      <c r="AZ1992" s="10" t="s">
        <v>106</v>
      </c>
      <c r="BA1992" s="20" t="b">
        <v>0</v>
      </c>
      <c r="BB1992" s="10"/>
      <c r="BC1992" s="17">
        <v>39389</v>
      </c>
      <c r="BD1992" s="17">
        <v>23571</v>
      </c>
      <c r="BE1992" s="17">
        <v>541634.25</v>
      </c>
      <c r="BF1992" s="17">
        <v>24</v>
      </c>
      <c r="BG1992" s="11">
        <f ca="1">IFERROR(__xludf.DUMMYFUNCTION("""COMPUTED_VALUE"""),45936.6458333333)</f>
        <v>45936.645833333299</v>
      </c>
      <c r="BH1992" s="17" t="s">
        <v>105</v>
      </c>
      <c r="BI1992" s="17"/>
      <c r="BJ1992" s="15"/>
      <c r="BK1992" s="15"/>
      <c r="BL1992" s="13" t="b">
        <v>0</v>
      </c>
      <c r="BM1992" s="10"/>
      <c r="BN1992" s="10" t="s">
        <v>137</v>
      </c>
      <c r="BO1992" s="11">
        <v>45911.456250000003</v>
      </c>
      <c r="BP1992" s="11">
        <v>45929.60560185185</v>
      </c>
      <c r="BQ1992" s="15">
        <v>45932.474479166667</v>
      </c>
      <c r="BR1992" s="15">
        <v>45933.432384259257</v>
      </c>
      <c r="BS1992" s="10" t="s">
        <v>137</v>
      </c>
      <c r="BT1992" s="10" t="s">
        <v>279</v>
      </c>
      <c r="BU1992" s="10" t="s">
        <v>280</v>
      </c>
      <c r="BV1992" s="10"/>
      <c r="BW1992" s="10"/>
      <c r="BX1992" s="10"/>
      <c r="BY1992" s="23"/>
      <c r="BZ1992" s="23"/>
      <c r="CA1992" s="19" t="s">
        <v>15224</v>
      </c>
      <c r="CB1992" s="19" t="s">
        <v>15225</v>
      </c>
      <c r="CC1992" s="23"/>
      <c r="CD1992" s="19" t="s">
        <v>15226</v>
      </c>
      <c r="CE1992" s="23"/>
      <c r="CF1992" s="23"/>
      <c r="CG1992" s="23"/>
      <c r="CH1992" s="23"/>
      <c r="CI1992" s="23"/>
    </row>
    <row r="1993" spans="1:87" x14ac:dyDescent="0.3">
      <c r="A1993" s="9" t="s">
        <v>15227</v>
      </c>
      <c r="B1993" s="10" t="s">
        <v>15228</v>
      </c>
      <c r="C1993" s="11">
        <v>45936.645833333336</v>
      </c>
      <c r="D1993" s="12">
        <v>8.3333333333333329E-2</v>
      </c>
      <c r="E1993" s="11">
        <v>45936.729166666664</v>
      </c>
      <c r="F1993" s="10" t="s">
        <v>14786</v>
      </c>
      <c r="G1993" s="13" t="b">
        <v>0</v>
      </c>
      <c r="H1993" s="10" t="s">
        <v>14787</v>
      </c>
      <c r="I1993" s="10" t="s">
        <v>212</v>
      </c>
      <c r="J1993" s="13" t="b">
        <v>1</v>
      </c>
      <c r="K1993" s="13" t="b">
        <v>0</v>
      </c>
      <c r="L1993" s="10" t="s">
        <v>124</v>
      </c>
      <c r="M1993" s="10" t="s">
        <v>91</v>
      </c>
      <c r="N1993" s="10" t="s">
        <v>3513</v>
      </c>
      <c r="O1993" s="19" t="s">
        <v>15229</v>
      </c>
      <c r="P1993" s="10"/>
      <c r="Q1993" s="10" t="s">
        <v>126</v>
      </c>
      <c r="R1993" s="10"/>
      <c r="S1993" s="19" t="s">
        <v>15230</v>
      </c>
      <c r="T1993" s="19" t="s">
        <v>15158</v>
      </c>
      <c r="U1993" s="10" t="s">
        <v>14860</v>
      </c>
      <c r="V1993" s="10" t="s">
        <v>14849</v>
      </c>
      <c r="W1993" s="10" t="s">
        <v>14793</v>
      </c>
      <c r="X1993" s="10" t="s">
        <v>130</v>
      </c>
      <c r="Y1993" s="10" t="s">
        <v>130</v>
      </c>
      <c r="Z1993" s="10" t="s">
        <v>99</v>
      </c>
      <c r="AA1993" s="10" t="s">
        <v>131</v>
      </c>
      <c r="AB1993" s="10" t="s">
        <v>14794</v>
      </c>
      <c r="AC1993" s="10" t="s">
        <v>3521</v>
      </c>
      <c r="AD1993" s="10" t="s">
        <v>15231</v>
      </c>
      <c r="AE1993" s="10" t="s">
        <v>15232</v>
      </c>
      <c r="AF1993" s="15"/>
      <c r="AG1993" s="10"/>
      <c r="AH1993" s="10"/>
      <c r="AI1993" s="10"/>
      <c r="AJ1993" s="10"/>
      <c r="AK1993" s="10" t="s">
        <v>102</v>
      </c>
      <c r="AL1993" s="10" t="s">
        <v>156</v>
      </c>
      <c r="AM1993" s="10"/>
      <c r="AN1993" s="10"/>
      <c r="AO1993" s="13" t="b">
        <v>0</v>
      </c>
      <c r="AP1993" s="10" t="s">
        <v>104</v>
      </c>
      <c r="AQ1993" s="10">
        <f ca="1">IFERROR(__xludf.DUMMYFUNCTION("""COMPUTED_VALUE"""),4627667)</f>
        <v>4627667</v>
      </c>
      <c r="AR1993" s="17">
        <v>34417</v>
      </c>
      <c r="AS1993" s="17">
        <v>19279</v>
      </c>
      <c r="AT1993" s="17">
        <v>501539.75</v>
      </c>
      <c r="AU1993" s="17">
        <v>103</v>
      </c>
      <c r="AV1993" s="17">
        <v>37.049999999999997</v>
      </c>
      <c r="AW1993" s="10" t="s">
        <v>105</v>
      </c>
      <c r="AX1993" s="17">
        <v>7424</v>
      </c>
      <c r="AY1993" s="18">
        <v>26.014821826858238</v>
      </c>
      <c r="AZ1993" s="10" t="s">
        <v>106</v>
      </c>
      <c r="BA1993" s="20" t="b">
        <v>0</v>
      </c>
      <c r="BB1993" s="10"/>
      <c r="BC1993" s="17">
        <v>34417</v>
      </c>
      <c r="BD1993" s="17">
        <v>19279</v>
      </c>
      <c r="BE1993" s="17">
        <v>501539.75</v>
      </c>
      <c r="BF1993" s="17">
        <v>37.049999999999997</v>
      </c>
      <c r="BG1993" s="11">
        <f ca="1">IFERROR(__xludf.DUMMYFUNCTION("""COMPUTED_VALUE"""),45936.6458333333)</f>
        <v>45936.645833333299</v>
      </c>
      <c r="BH1993" s="17" t="s">
        <v>105</v>
      </c>
      <c r="BI1993" s="17"/>
      <c r="BJ1993" s="15"/>
      <c r="BK1993" s="15"/>
      <c r="BL1993" s="13" t="b">
        <v>0</v>
      </c>
      <c r="BM1993" s="10"/>
      <c r="BN1993" s="10" t="s">
        <v>137</v>
      </c>
      <c r="BO1993" s="11">
        <v>45911.456944444442</v>
      </c>
      <c r="BP1993" s="11">
        <v>45929.605706018519</v>
      </c>
      <c r="BQ1993" s="15">
        <v>45932.474652777775</v>
      </c>
      <c r="BR1993" s="15">
        <v>45933.432627314818</v>
      </c>
      <c r="BS1993" s="10" t="s">
        <v>137</v>
      </c>
      <c r="BT1993" s="10" t="s">
        <v>279</v>
      </c>
      <c r="BU1993" s="10" t="s">
        <v>298</v>
      </c>
      <c r="BV1993" s="10"/>
      <c r="BW1993" s="10"/>
      <c r="BX1993" s="10"/>
      <c r="BY1993" s="23"/>
      <c r="BZ1993" s="23"/>
      <c r="CA1993" s="19" t="s">
        <v>15233</v>
      </c>
      <c r="CB1993" s="19" t="s">
        <v>15234</v>
      </c>
      <c r="CC1993" s="23"/>
      <c r="CD1993" s="19" t="s">
        <v>15235</v>
      </c>
      <c r="CE1993" s="23"/>
      <c r="CF1993" s="23"/>
      <c r="CG1993" s="23"/>
      <c r="CH1993" s="23"/>
      <c r="CI1993" s="23"/>
    </row>
    <row r="1994" spans="1:87" x14ac:dyDescent="0.3">
      <c r="A1994" s="9" t="s">
        <v>15236</v>
      </c>
      <c r="B1994" s="10" t="s">
        <v>15237</v>
      </c>
      <c r="C1994" s="11">
        <v>45936.791666666664</v>
      </c>
      <c r="D1994" s="12">
        <v>8.3333333333333329E-2</v>
      </c>
      <c r="E1994" s="11">
        <v>45936.875</v>
      </c>
      <c r="F1994" s="10" t="s">
        <v>14786</v>
      </c>
      <c r="G1994" s="13" t="b">
        <v>0</v>
      </c>
      <c r="H1994" s="10" t="s">
        <v>14787</v>
      </c>
      <c r="I1994" s="10" t="s">
        <v>3548</v>
      </c>
      <c r="J1994" s="13" t="b">
        <v>0</v>
      </c>
      <c r="K1994" s="13" t="b">
        <v>1</v>
      </c>
      <c r="L1994" s="10" t="s">
        <v>124</v>
      </c>
      <c r="M1994" s="10" t="s">
        <v>91</v>
      </c>
      <c r="N1994" s="10" t="s">
        <v>3513</v>
      </c>
      <c r="O1994" s="19" t="s">
        <v>15238</v>
      </c>
      <c r="P1994" s="10"/>
      <c r="Q1994" s="10" t="s">
        <v>126</v>
      </c>
      <c r="R1994" s="10"/>
      <c r="S1994" s="19" t="s">
        <v>15239</v>
      </c>
      <c r="T1994" s="19" t="s">
        <v>15158</v>
      </c>
      <c r="U1994" s="10" t="s">
        <v>14837</v>
      </c>
      <c r="V1994" s="10" t="s">
        <v>14871</v>
      </c>
      <c r="W1994" s="10" t="s">
        <v>14793</v>
      </c>
      <c r="X1994" s="10" t="s">
        <v>130</v>
      </c>
      <c r="Y1994" s="10" t="s">
        <v>130</v>
      </c>
      <c r="Z1994" s="10" t="s">
        <v>99</v>
      </c>
      <c r="AA1994" s="10" t="s">
        <v>131</v>
      </c>
      <c r="AB1994" s="10" t="s">
        <v>14794</v>
      </c>
      <c r="AC1994" s="10" t="s">
        <v>3521</v>
      </c>
      <c r="AD1994" s="10" t="s">
        <v>15240</v>
      </c>
      <c r="AE1994" s="10" t="s">
        <v>15241</v>
      </c>
      <c r="AF1994" s="15"/>
      <c r="AG1994" s="10"/>
      <c r="AH1994" s="10"/>
      <c r="AI1994" s="10"/>
      <c r="AJ1994" s="10"/>
      <c r="AK1994" s="10" t="s">
        <v>102</v>
      </c>
      <c r="AL1994" s="10" t="s">
        <v>156</v>
      </c>
      <c r="AM1994" s="10"/>
      <c r="AN1994" s="10"/>
      <c r="AO1994" s="13" t="b">
        <v>1</v>
      </c>
      <c r="AP1994" s="10" t="s">
        <v>104</v>
      </c>
      <c r="AQ1994" s="10">
        <f ca="1">IFERROR(__xludf.DUMMYFUNCTION("""COMPUTED_VALUE"""),4627668)</f>
        <v>4627668</v>
      </c>
      <c r="AR1994" s="17">
        <v>97013</v>
      </c>
      <c r="AS1994" s="17">
        <v>64680</v>
      </c>
      <c r="AT1994" s="17">
        <v>1954223.25</v>
      </c>
      <c r="AU1994" s="17">
        <v>1076.95</v>
      </c>
      <c r="AV1994" s="17">
        <v>458.05</v>
      </c>
      <c r="AW1994" s="10" t="s">
        <v>105</v>
      </c>
      <c r="AX1994" s="17">
        <v>21067</v>
      </c>
      <c r="AY1994" s="18">
        <v>30.213717532467534</v>
      </c>
      <c r="AZ1994" s="10" t="s">
        <v>106</v>
      </c>
      <c r="BA1994" s="20" t="b">
        <v>0</v>
      </c>
      <c r="BB1994" s="10"/>
      <c r="BC1994" s="17">
        <v>97013</v>
      </c>
      <c r="BD1994" s="17">
        <v>64680</v>
      </c>
      <c r="BE1994" s="17">
        <v>1954223.25</v>
      </c>
      <c r="BF1994" s="17">
        <v>458.05</v>
      </c>
      <c r="BG1994" s="11">
        <f ca="1">IFERROR(__xludf.DUMMYFUNCTION("""COMPUTED_VALUE"""),45936.7916666666)</f>
        <v>45936.791666666599</v>
      </c>
      <c r="BH1994" s="17" t="s">
        <v>105</v>
      </c>
      <c r="BI1994" s="17"/>
      <c r="BJ1994" s="15"/>
      <c r="BK1994" s="15"/>
      <c r="BL1994" s="13" t="b">
        <v>0</v>
      </c>
      <c r="BM1994" s="10"/>
      <c r="BN1994" s="10" t="s">
        <v>137</v>
      </c>
      <c r="BO1994" s="11">
        <v>45911.457638888889</v>
      </c>
      <c r="BP1994" s="11">
        <v>45929.605787037035</v>
      </c>
      <c r="BQ1994" s="15">
        <v>45932.474826388891</v>
      </c>
      <c r="BR1994" s="15">
        <v>45933.432870370372</v>
      </c>
      <c r="BS1994" s="10" t="s">
        <v>137</v>
      </c>
      <c r="BT1994" s="10" t="s">
        <v>279</v>
      </c>
      <c r="BU1994" s="10" t="s">
        <v>298</v>
      </c>
      <c r="BV1994" s="10"/>
      <c r="BW1994" s="10"/>
      <c r="BX1994" s="10"/>
      <c r="BY1994" s="23"/>
      <c r="BZ1994" s="23"/>
      <c r="CA1994" s="19" t="s">
        <v>15242</v>
      </c>
      <c r="CB1994" s="19" t="s">
        <v>15243</v>
      </c>
      <c r="CC1994" s="23"/>
      <c r="CD1994" s="19" t="s">
        <v>15244</v>
      </c>
      <c r="CE1994" s="23"/>
      <c r="CF1994" s="23"/>
      <c r="CG1994" s="23"/>
      <c r="CH1994" s="23"/>
      <c r="CI1994" s="23"/>
    </row>
    <row r="1995" spans="1:87" x14ac:dyDescent="0.3">
      <c r="A1995" s="9" t="s">
        <v>15245</v>
      </c>
      <c r="B1995" s="10" t="s">
        <v>15246</v>
      </c>
      <c r="C1995" s="11">
        <v>45912.416666666664</v>
      </c>
      <c r="D1995" s="12">
        <v>4.1666666666666664E-2</v>
      </c>
      <c r="E1995" s="11">
        <v>45912.458333333336</v>
      </c>
      <c r="F1995" s="10" t="s">
        <v>14786</v>
      </c>
      <c r="G1995" s="13" t="b">
        <v>0</v>
      </c>
      <c r="H1995" s="10" t="s">
        <v>14787</v>
      </c>
      <c r="I1995" s="10" t="s">
        <v>212</v>
      </c>
      <c r="J1995" s="13" t="b">
        <v>1</v>
      </c>
      <c r="K1995" s="13" t="b">
        <v>0</v>
      </c>
      <c r="L1995" s="10" t="s">
        <v>124</v>
      </c>
      <c r="M1995" s="10" t="s">
        <v>91</v>
      </c>
      <c r="N1995" s="10" t="s">
        <v>92</v>
      </c>
      <c r="O1995" s="19" t="s">
        <v>15247</v>
      </c>
      <c r="P1995" s="10"/>
      <c r="Q1995" s="10" t="s">
        <v>126</v>
      </c>
      <c r="R1995" s="10"/>
      <c r="S1995" s="19" t="s">
        <v>15248</v>
      </c>
      <c r="T1995" s="10"/>
      <c r="U1995" s="10"/>
      <c r="V1995" s="10"/>
      <c r="W1995" s="10" t="s">
        <v>14793</v>
      </c>
      <c r="X1995" s="10" t="s">
        <v>130</v>
      </c>
      <c r="Y1995" s="10" t="s">
        <v>130</v>
      </c>
      <c r="Z1995" s="10" t="s">
        <v>99</v>
      </c>
      <c r="AA1995" s="10" t="s">
        <v>131</v>
      </c>
      <c r="AB1995" s="10" t="s">
        <v>14794</v>
      </c>
      <c r="AC1995" s="10" t="s">
        <v>3521</v>
      </c>
      <c r="AD1995" s="10" t="s">
        <v>165</v>
      </c>
      <c r="AE1995" s="10" t="s">
        <v>15249</v>
      </c>
      <c r="AF1995" s="15"/>
      <c r="AG1995" s="10"/>
      <c r="AH1995" s="10"/>
      <c r="AI1995" s="10"/>
      <c r="AJ1995" s="10"/>
      <c r="AK1995" s="10" t="s">
        <v>102</v>
      </c>
      <c r="AL1995" s="10"/>
      <c r="AM1995" s="10"/>
      <c r="AN1995" s="10"/>
      <c r="AO1995" s="13" t="b">
        <v>0</v>
      </c>
      <c r="AP1995" s="10" t="s">
        <v>104</v>
      </c>
      <c r="AQ1995" s="10">
        <f ca="1">IFERROR(__xludf.DUMMYFUNCTION("""COMPUTED_VALUE"""),4566439)</f>
        <v>4566439</v>
      </c>
      <c r="AR1995" s="17">
        <v>2496</v>
      </c>
      <c r="AS1995" s="17">
        <v>2154</v>
      </c>
      <c r="AT1995" s="17">
        <v>10364.5</v>
      </c>
      <c r="AU1995" s="17">
        <v>5.0999999999999996</v>
      </c>
      <c r="AV1995" s="17">
        <v>2.0499999999999998</v>
      </c>
      <c r="AW1995" s="10" t="s">
        <v>105</v>
      </c>
      <c r="AX1995" s="17">
        <v>272</v>
      </c>
      <c r="AY1995" s="18">
        <v>4.8117455896007426</v>
      </c>
      <c r="AZ1995" s="10" t="s">
        <v>106</v>
      </c>
      <c r="BA1995" s="20" t="b">
        <v>0</v>
      </c>
      <c r="BB1995" s="10"/>
      <c r="BC1995" s="17">
        <v>2496</v>
      </c>
      <c r="BD1995" s="17">
        <v>2154</v>
      </c>
      <c r="BE1995" s="17">
        <v>10364.5</v>
      </c>
      <c r="BF1995" s="17">
        <v>2.0499999999999998</v>
      </c>
      <c r="BG1995" s="11">
        <f ca="1">IFERROR(__xludf.DUMMYFUNCTION("""COMPUTED_VALUE"""),45912.4166666666)</f>
        <v>45912.416666666599</v>
      </c>
      <c r="BH1995" s="17" t="s">
        <v>105</v>
      </c>
      <c r="BI1995" s="17"/>
      <c r="BJ1995" s="15"/>
      <c r="BK1995" s="15"/>
      <c r="BL1995" s="13" t="b">
        <v>0</v>
      </c>
      <c r="BM1995" s="10"/>
      <c r="BN1995" s="10" t="s">
        <v>920</v>
      </c>
      <c r="BO1995" s="11">
        <v>45911.585416666669</v>
      </c>
      <c r="BP1995" s="11">
        <v>45911.585833333331</v>
      </c>
      <c r="BQ1995" s="15">
        <v>45912.13144675926</v>
      </c>
      <c r="BR1995" s="15">
        <v>45912.166041666664</v>
      </c>
      <c r="BS1995" s="10" t="s">
        <v>920</v>
      </c>
      <c r="BT1995" s="10"/>
      <c r="BU1995" s="10"/>
      <c r="BV1995" s="10"/>
      <c r="BW1995" s="10"/>
      <c r="BX1995" s="10"/>
      <c r="BY1995" s="23"/>
      <c r="BZ1995" s="23"/>
      <c r="CA1995" s="19" t="s">
        <v>15250</v>
      </c>
      <c r="CB1995" s="23"/>
      <c r="CC1995" s="23"/>
      <c r="CD1995" s="19" t="s">
        <v>15251</v>
      </c>
      <c r="CE1995" s="23"/>
      <c r="CF1995" s="23"/>
      <c r="CG1995" s="23"/>
      <c r="CH1995" s="23"/>
      <c r="CI1995" s="23"/>
    </row>
    <row r="1996" spans="1:87" x14ac:dyDescent="0.3">
      <c r="A1996" s="9" t="s">
        <v>15252</v>
      </c>
      <c r="B1996" s="10" t="s">
        <v>15253</v>
      </c>
      <c r="C1996" s="11">
        <v>45921.868055555555</v>
      </c>
      <c r="D1996" s="12">
        <v>8.3333333333333329E-2</v>
      </c>
      <c r="E1996" s="11">
        <v>45921.951388888891</v>
      </c>
      <c r="F1996" s="10" t="s">
        <v>15254</v>
      </c>
      <c r="G1996" s="13" t="b">
        <v>0</v>
      </c>
      <c r="H1996" s="10" t="s">
        <v>3564</v>
      </c>
      <c r="I1996" s="10" t="s">
        <v>89</v>
      </c>
      <c r="J1996" s="13" t="b">
        <v>0</v>
      </c>
      <c r="K1996" s="13" t="b">
        <v>1</v>
      </c>
      <c r="L1996" s="10" t="s">
        <v>358</v>
      </c>
      <c r="M1996" s="10" t="s">
        <v>91</v>
      </c>
      <c r="N1996" s="10" t="s">
        <v>265</v>
      </c>
      <c r="O1996" s="19" t="s">
        <v>15255</v>
      </c>
      <c r="P1996" s="10"/>
      <c r="Q1996" s="10" t="s">
        <v>126</v>
      </c>
      <c r="R1996" s="10"/>
      <c r="S1996" s="19" t="s">
        <v>15256</v>
      </c>
      <c r="T1996" s="19" t="s">
        <v>15257</v>
      </c>
      <c r="U1996" s="10" t="s">
        <v>15258</v>
      </c>
      <c r="V1996" s="10" t="s">
        <v>15259</v>
      </c>
      <c r="W1996" s="10" t="s">
        <v>15260</v>
      </c>
      <c r="X1996" s="10" t="s">
        <v>130</v>
      </c>
      <c r="Y1996" s="10" t="s">
        <v>130</v>
      </c>
      <c r="Z1996" s="10" t="s">
        <v>99</v>
      </c>
      <c r="AA1996" s="10" t="s">
        <v>131</v>
      </c>
      <c r="AB1996" s="10" t="s">
        <v>15261</v>
      </c>
      <c r="AC1996" s="10" t="s">
        <v>274</v>
      </c>
      <c r="AD1996" s="10" t="s">
        <v>15262</v>
      </c>
      <c r="AE1996" s="10" t="s">
        <v>15263</v>
      </c>
      <c r="AF1996" s="15"/>
      <c r="AG1996" s="10"/>
      <c r="AH1996" s="10"/>
      <c r="AI1996" s="10"/>
      <c r="AJ1996" s="10" t="s">
        <v>15264</v>
      </c>
      <c r="AK1996" s="10" t="s">
        <v>102</v>
      </c>
      <c r="AL1996" s="10" t="s">
        <v>147</v>
      </c>
      <c r="AM1996" s="10"/>
      <c r="AN1996" s="10"/>
      <c r="AO1996" s="13" t="b">
        <v>0</v>
      </c>
      <c r="AP1996" s="10" t="s">
        <v>135</v>
      </c>
      <c r="AQ1996" s="10">
        <f ca="1">IFERROR(__xludf.DUMMYFUNCTION("""COMPUTED_VALUE"""),4582514)</f>
        <v>4582514</v>
      </c>
      <c r="AR1996" s="17">
        <v>30161</v>
      </c>
      <c r="AS1996" s="17">
        <v>25354</v>
      </c>
      <c r="AT1996" s="17">
        <v>125912</v>
      </c>
      <c r="AU1996" s="17">
        <v>48.75</v>
      </c>
      <c r="AV1996" s="17">
        <v>9.9</v>
      </c>
      <c r="AW1996" s="10" t="s">
        <v>105</v>
      </c>
      <c r="AX1996" s="17">
        <v>3508</v>
      </c>
      <c r="AY1996" s="18">
        <v>4.9661591859272702</v>
      </c>
      <c r="AZ1996" s="10" t="s">
        <v>148</v>
      </c>
      <c r="BA1996" s="20" t="b">
        <v>0</v>
      </c>
      <c r="BB1996" s="10"/>
      <c r="BC1996" s="17">
        <v>30161</v>
      </c>
      <c r="BD1996" s="17">
        <v>25354</v>
      </c>
      <c r="BE1996" s="17">
        <v>125912</v>
      </c>
      <c r="BF1996" s="17">
        <v>9.9</v>
      </c>
      <c r="BG1996" s="11">
        <f ca="1">IFERROR(__xludf.DUMMYFUNCTION("""COMPUTED_VALUE"""),45921.8680555555)</f>
        <v>45921.868055555497</v>
      </c>
      <c r="BH1996" s="17" t="s">
        <v>105</v>
      </c>
      <c r="BI1996" s="17"/>
      <c r="BJ1996" s="15"/>
      <c r="BK1996" s="15"/>
      <c r="BL1996" s="13" t="b">
        <v>0</v>
      </c>
      <c r="BM1996" s="10"/>
      <c r="BN1996" s="10" t="s">
        <v>223</v>
      </c>
      <c r="BO1996" s="11">
        <v>45911.710416666669</v>
      </c>
      <c r="BP1996" s="11">
        <v>45918.543310185189</v>
      </c>
      <c r="BQ1996" s="15">
        <v>45919.43372685185</v>
      </c>
      <c r="BR1996" s="15">
        <v>45919.653611111113</v>
      </c>
      <c r="BS1996" s="10"/>
      <c r="BT1996" s="10" t="s">
        <v>99</v>
      </c>
      <c r="BU1996" s="10" t="s">
        <v>5762</v>
      </c>
      <c r="BV1996" s="10"/>
      <c r="BW1996" s="10"/>
      <c r="BX1996" s="10"/>
      <c r="BY1996" s="23"/>
      <c r="BZ1996" s="23"/>
      <c r="CA1996" s="19" t="s">
        <v>15265</v>
      </c>
      <c r="CB1996" s="19" t="s">
        <v>15266</v>
      </c>
      <c r="CC1996" s="23"/>
      <c r="CD1996" s="19" t="s">
        <v>15267</v>
      </c>
      <c r="CE1996" s="23"/>
      <c r="CF1996" s="23"/>
      <c r="CG1996" s="23"/>
      <c r="CH1996" s="23"/>
      <c r="CI1996" s="23"/>
    </row>
    <row r="1997" spans="1:87" x14ac:dyDescent="0.3">
      <c r="A1997" s="9" t="s">
        <v>15268</v>
      </c>
      <c r="B1997" s="10" t="s">
        <v>15269</v>
      </c>
      <c r="C1997" s="11">
        <v>45912.302083333336</v>
      </c>
      <c r="D1997" s="12">
        <v>0.125</v>
      </c>
      <c r="E1997" s="11">
        <v>45912.427083333336</v>
      </c>
      <c r="F1997" s="10" t="s">
        <v>15270</v>
      </c>
      <c r="G1997" s="13" t="b">
        <v>0</v>
      </c>
      <c r="H1997" s="22" t="s">
        <v>15271</v>
      </c>
      <c r="I1997" s="10" t="s">
        <v>3213</v>
      </c>
      <c r="J1997" s="13" t="b">
        <v>0</v>
      </c>
      <c r="K1997" s="13" t="b">
        <v>1</v>
      </c>
      <c r="L1997" s="10" t="s">
        <v>124</v>
      </c>
      <c r="M1997" s="10" t="s">
        <v>91</v>
      </c>
      <c r="N1997" s="10" t="s">
        <v>92</v>
      </c>
      <c r="O1997" s="19" t="s">
        <v>15272</v>
      </c>
      <c r="P1997" s="10" t="s">
        <v>3215</v>
      </c>
      <c r="Q1997" s="10" t="s">
        <v>126</v>
      </c>
      <c r="R1997" s="10"/>
      <c r="S1997" s="19" t="s">
        <v>15273</v>
      </c>
      <c r="T1997" s="10"/>
      <c r="U1997" s="10" t="s">
        <v>15274</v>
      </c>
      <c r="V1997" s="10" t="s">
        <v>15275</v>
      </c>
      <c r="W1997" s="10" t="s">
        <v>15276</v>
      </c>
      <c r="X1997" s="10" t="s">
        <v>15277</v>
      </c>
      <c r="Y1997" s="10" t="s">
        <v>15277</v>
      </c>
      <c r="Z1997" s="10" t="s">
        <v>99</v>
      </c>
      <c r="AA1997" s="10" t="s">
        <v>131</v>
      </c>
      <c r="AB1997" s="10" t="s">
        <v>15278</v>
      </c>
      <c r="AC1997" s="10" t="s">
        <v>15279</v>
      </c>
      <c r="AD1997" s="10" t="s">
        <v>165</v>
      </c>
      <c r="AE1997" s="10" t="s">
        <v>15280</v>
      </c>
      <c r="AF1997" s="15"/>
      <c r="AG1997" s="10"/>
      <c r="AH1997" s="10"/>
      <c r="AI1997" s="10"/>
      <c r="AJ1997" s="10"/>
      <c r="AK1997" s="10" t="s">
        <v>102</v>
      </c>
      <c r="AL1997" s="10"/>
      <c r="AM1997" s="10"/>
      <c r="AN1997" s="10"/>
      <c r="AO1997" s="13" t="b">
        <v>0</v>
      </c>
      <c r="AP1997" s="10" t="s">
        <v>104</v>
      </c>
      <c r="AQ1997" s="10">
        <f ca="1">IFERROR(__xludf.DUMMYFUNCTION("""COMPUTED_VALUE"""),4565718)</f>
        <v>4565718</v>
      </c>
      <c r="AR1997" s="17">
        <v>5307</v>
      </c>
      <c r="AS1997" s="17">
        <v>4597</v>
      </c>
      <c r="AT1997" s="17">
        <v>31377.25</v>
      </c>
      <c r="AU1997" s="17">
        <v>27.95</v>
      </c>
      <c r="AV1997" s="17">
        <v>14.85</v>
      </c>
      <c r="AW1997" s="10" t="s">
        <v>105</v>
      </c>
      <c r="AX1997" s="17">
        <v>331</v>
      </c>
      <c r="AY1997" s="18">
        <v>6.8255927778986294</v>
      </c>
      <c r="AZ1997" s="10"/>
      <c r="BA1997" s="20" t="b">
        <v>0</v>
      </c>
      <c r="BB1997" s="10"/>
      <c r="BC1997" s="17">
        <v>5307</v>
      </c>
      <c r="BD1997" s="17">
        <v>4597</v>
      </c>
      <c r="BE1997" s="17">
        <v>31377.25</v>
      </c>
      <c r="BF1997" s="17">
        <v>14.85</v>
      </c>
      <c r="BG1997" s="11">
        <f ca="1">IFERROR(__xludf.DUMMYFUNCTION("""COMPUTED_VALUE"""),45912.3020833333)</f>
        <v>45912.302083333299</v>
      </c>
      <c r="BH1997" s="17" t="s">
        <v>105</v>
      </c>
      <c r="BI1997" s="17"/>
      <c r="BJ1997" s="15"/>
      <c r="BK1997" s="15"/>
      <c r="BL1997" s="13" t="b">
        <v>0</v>
      </c>
      <c r="BM1997" s="10"/>
      <c r="BN1997" s="10" t="s">
        <v>157</v>
      </c>
      <c r="BO1997" s="11">
        <v>45912.010416666664</v>
      </c>
      <c r="BP1997" s="11">
        <v>45912.01054398148</v>
      </c>
      <c r="BQ1997" s="15">
        <v>45912.017199074071</v>
      </c>
      <c r="BR1997" s="15">
        <v>45912.08556712963</v>
      </c>
      <c r="BS1997" s="10" t="s">
        <v>157</v>
      </c>
      <c r="BT1997" s="10"/>
      <c r="BU1997" s="10"/>
      <c r="BV1997" s="10"/>
      <c r="BW1997" s="10"/>
      <c r="BX1997" s="10"/>
      <c r="BY1997" s="23"/>
      <c r="BZ1997" s="23"/>
      <c r="CA1997" s="19" t="s">
        <v>15281</v>
      </c>
      <c r="CB1997" s="23"/>
      <c r="CC1997" s="23"/>
      <c r="CD1997" s="19" t="s">
        <v>15282</v>
      </c>
      <c r="CE1997" s="23"/>
      <c r="CF1997" s="23"/>
      <c r="CG1997" s="23"/>
      <c r="CH1997" s="23"/>
      <c r="CI1997" s="23"/>
    </row>
    <row r="1998" spans="1:87" x14ac:dyDescent="0.3">
      <c r="A1998" s="9" t="s">
        <v>15283</v>
      </c>
      <c r="B1998" s="10" t="s">
        <v>15269</v>
      </c>
      <c r="C1998" s="11">
        <v>45912.666666666664</v>
      </c>
      <c r="D1998" s="12">
        <v>0.125</v>
      </c>
      <c r="E1998" s="11">
        <v>45912.791666666664</v>
      </c>
      <c r="F1998" s="10" t="s">
        <v>15270</v>
      </c>
      <c r="G1998" s="13" t="b">
        <v>0</v>
      </c>
      <c r="H1998" s="10" t="s">
        <v>3215</v>
      </c>
      <c r="I1998" s="10" t="s">
        <v>89</v>
      </c>
      <c r="J1998" s="13" t="b">
        <v>0</v>
      </c>
      <c r="K1998" s="13" t="b">
        <v>1</v>
      </c>
      <c r="L1998" s="10" t="s">
        <v>124</v>
      </c>
      <c r="M1998" s="10" t="s">
        <v>15284</v>
      </c>
      <c r="N1998" s="10" t="s">
        <v>92</v>
      </c>
      <c r="O1998" s="10"/>
      <c r="P1998" s="10"/>
      <c r="Q1998" s="10" t="s">
        <v>94</v>
      </c>
      <c r="R1998" s="10"/>
      <c r="S1998" s="19" t="s">
        <v>15273</v>
      </c>
      <c r="T1998" s="10"/>
      <c r="U1998" s="10" t="s">
        <v>15274</v>
      </c>
      <c r="V1998" s="10" t="s">
        <v>15275</v>
      </c>
      <c r="W1998" s="10" t="s">
        <v>15276</v>
      </c>
      <c r="X1998" s="10" t="s">
        <v>15277</v>
      </c>
      <c r="Y1998" s="10" t="s">
        <v>15277</v>
      </c>
      <c r="Z1998" s="10" t="s">
        <v>99</v>
      </c>
      <c r="AA1998" s="10" t="s">
        <v>131</v>
      </c>
      <c r="AB1998" s="10" t="s">
        <v>15278</v>
      </c>
      <c r="AC1998" s="10" t="s">
        <v>15279</v>
      </c>
      <c r="AD1998" s="10" t="s">
        <v>165</v>
      </c>
      <c r="AE1998" s="10" t="s">
        <v>15280</v>
      </c>
      <c r="AF1998" s="15"/>
      <c r="AG1998" s="10"/>
      <c r="AH1998" s="10"/>
      <c r="AI1998" s="10"/>
      <c r="AJ1998" s="10"/>
      <c r="AK1998" s="10" t="s">
        <v>256</v>
      </c>
      <c r="AL1998" s="10"/>
      <c r="AM1998" s="10"/>
      <c r="AN1998" s="10"/>
      <c r="AO1998" s="13" t="b">
        <v>0</v>
      </c>
      <c r="AP1998" s="10" t="s">
        <v>104</v>
      </c>
      <c r="AQ1998" s="10"/>
      <c r="AR1998" s="17"/>
      <c r="AS1998" s="17"/>
      <c r="AT1998" s="17"/>
      <c r="AU1998" s="17"/>
      <c r="AV1998" s="17"/>
      <c r="AW1998" s="10"/>
      <c r="AX1998" s="17"/>
      <c r="AY1998" s="18" t="s">
        <v>257</v>
      </c>
      <c r="AZ1998" s="10"/>
      <c r="BA1998" s="20" t="b">
        <v>0</v>
      </c>
      <c r="BB1998" s="10"/>
      <c r="BC1998" s="17" t="s">
        <v>257</v>
      </c>
      <c r="BD1998" s="17" t="s">
        <v>257</v>
      </c>
      <c r="BE1998" s="17" t="s">
        <v>257</v>
      </c>
      <c r="BF1998" s="17" t="s">
        <v>257</v>
      </c>
      <c r="BG1998" s="11">
        <f ca="1">IFERROR(__xludf.DUMMYFUNCTION("""COMPUTED_VALUE"""),45912.6666666666)</f>
        <v>45912.666666666599</v>
      </c>
      <c r="BH1998" s="17"/>
      <c r="BI1998" s="17"/>
      <c r="BJ1998" s="15"/>
      <c r="BK1998" s="15"/>
      <c r="BL1998" s="13" t="b">
        <v>0</v>
      </c>
      <c r="BM1998" s="10"/>
      <c r="BN1998" s="10" t="s">
        <v>8529</v>
      </c>
      <c r="BO1998" s="11">
        <v>45912.018055555556</v>
      </c>
      <c r="BP1998" s="11">
        <v>45912.021493055552</v>
      </c>
      <c r="BQ1998" s="15">
        <v>45912.022546296299</v>
      </c>
      <c r="BR1998" s="15"/>
      <c r="BS1998" s="10"/>
      <c r="BT1998" s="10"/>
      <c r="BU1998" s="10"/>
      <c r="BV1998" s="10"/>
      <c r="BW1998" s="10"/>
      <c r="BX1998" s="10"/>
      <c r="BY1998" s="23"/>
      <c r="BZ1998" s="23"/>
      <c r="CA1998" s="19" t="s">
        <v>15281</v>
      </c>
      <c r="CB1998" s="23"/>
      <c r="CC1998" s="23"/>
      <c r="CD1998" s="23"/>
      <c r="CE1998" s="23"/>
      <c r="CF1998" s="23"/>
      <c r="CG1998" s="23"/>
      <c r="CH1998" s="23"/>
      <c r="CI1998" s="23"/>
    </row>
    <row r="1999" spans="1:87" x14ac:dyDescent="0.3">
      <c r="A1999" s="25" t="s">
        <v>15285</v>
      </c>
      <c r="B1999" s="10" t="s">
        <v>15286</v>
      </c>
      <c r="C1999" s="11">
        <v>45915</v>
      </c>
      <c r="D1999" s="12">
        <v>0.14583333333333334</v>
      </c>
      <c r="E1999" s="11">
        <v>45915.145833333336</v>
      </c>
      <c r="F1999" s="10" t="s">
        <v>15270</v>
      </c>
      <c r="G1999" s="13" t="b">
        <v>0</v>
      </c>
      <c r="H1999" s="22" t="s">
        <v>15271</v>
      </c>
      <c r="I1999" s="10" t="s">
        <v>3213</v>
      </c>
      <c r="J1999" s="13" t="b">
        <v>0</v>
      </c>
      <c r="K1999" s="13" t="b">
        <v>1</v>
      </c>
      <c r="L1999" s="10" t="s">
        <v>124</v>
      </c>
      <c r="M1999" s="10" t="s">
        <v>91</v>
      </c>
      <c r="N1999" s="10" t="s">
        <v>92</v>
      </c>
      <c r="O1999" s="19" t="s">
        <v>15287</v>
      </c>
      <c r="P1999" s="10" t="s">
        <v>3478</v>
      </c>
      <c r="Q1999" s="10" t="s">
        <v>126</v>
      </c>
      <c r="R1999" s="10"/>
      <c r="S1999" s="19" t="s">
        <v>15288</v>
      </c>
      <c r="T1999" s="10"/>
      <c r="U1999" s="10" t="s">
        <v>15289</v>
      </c>
      <c r="V1999" s="10" t="s">
        <v>15290</v>
      </c>
      <c r="W1999" s="10" t="s">
        <v>15276</v>
      </c>
      <c r="X1999" s="10" t="s">
        <v>15277</v>
      </c>
      <c r="Y1999" s="10" t="s">
        <v>15277</v>
      </c>
      <c r="Z1999" s="10" t="s">
        <v>99</v>
      </c>
      <c r="AA1999" s="10" t="s">
        <v>131</v>
      </c>
      <c r="AB1999" s="10" t="s">
        <v>15278</v>
      </c>
      <c r="AC1999" s="10" t="s">
        <v>15279</v>
      </c>
      <c r="AD1999" s="10" t="s">
        <v>165</v>
      </c>
      <c r="AE1999" s="10" t="s">
        <v>15291</v>
      </c>
      <c r="AF1999" s="15"/>
      <c r="AG1999" s="10"/>
      <c r="AH1999" s="10"/>
      <c r="AI1999" s="10"/>
      <c r="AJ1999" s="10"/>
      <c r="AK1999" s="10" t="s">
        <v>102</v>
      </c>
      <c r="AL1999" s="10" t="s">
        <v>116</v>
      </c>
      <c r="AM1999" s="10"/>
      <c r="AN1999" s="10"/>
      <c r="AO1999" s="13" t="b">
        <v>0</v>
      </c>
      <c r="AP1999" s="10" t="s">
        <v>104</v>
      </c>
      <c r="AQ1999" s="10">
        <f ca="1">IFERROR(__xludf.DUMMYFUNCTION("""COMPUTED_VALUE"""),4568491)</f>
        <v>4568491</v>
      </c>
      <c r="AR1999" s="17">
        <v>3793</v>
      </c>
      <c r="AS1999" s="17">
        <v>3082</v>
      </c>
      <c r="AT1999" s="17">
        <v>34538</v>
      </c>
      <c r="AU1999" s="17">
        <v>13.2</v>
      </c>
      <c r="AV1999" s="17">
        <v>5.75</v>
      </c>
      <c r="AW1999" s="10" t="s">
        <v>105</v>
      </c>
      <c r="AX1999" s="17">
        <v>447</v>
      </c>
      <c r="AY1999" s="18">
        <v>11.206359506813758</v>
      </c>
      <c r="AZ1999" s="10"/>
      <c r="BA1999" s="20" t="b">
        <v>0</v>
      </c>
      <c r="BB1999" s="10"/>
      <c r="BC1999" s="17">
        <v>3793</v>
      </c>
      <c r="BD1999" s="17">
        <v>3082</v>
      </c>
      <c r="BE1999" s="17">
        <v>34538</v>
      </c>
      <c r="BF1999" s="17">
        <v>5.75</v>
      </c>
      <c r="BG1999" s="11">
        <f ca="1">IFERROR(__xludf.DUMMYFUNCTION("""COMPUTED_VALUE"""),45915)</f>
        <v>45915</v>
      </c>
      <c r="BH1999" s="17" t="s">
        <v>105</v>
      </c>
      <c r="BI1999" s="17"/>
      <c r="BJ1999" s="15"/>
      <c r="BK1999" s="15"/>
      <c r="BL1999" s="13" t="b">
        <v>0</v>
      </c>
      <c r="BM1999" s="10"/>
      <c r="BN1999" s="10" t="s">
        <v>8437</v>
      </c>
      <c r="BO1999" s="11">
        <v>45912.418055555558</v>
      </c>
      <c r="BP1999" s="11">
        <v>45912.418171296296</v>
      </c>
      <c r="BQ1999" s="15">
        <v>45912.89980324074</v>
      </c>
      <c r="BR1999" s="15">
        <v>45913.074270833335</v>
      </c>
      <c r="BS1999" s="10"/>
      <c r="BT1999" s="10"/>
      <c r="BU1999" s="10"/>
      <c r="BV1999" s="10"/>
      <c r="BW1999" s="10"/>
      <c r="BX1999" s="10"/>
      <c r="BY1999" s="23"/>
      <c r="BZ1999" s="23"/>
      <c r="CA1999" s="19" t="s">
        <v>15292</v>
      </c>
      <c r="CB1999" s="23"/>
      <c r="CC1999" s="23"/>
      <c r="CD1999" s="19" t="s">
        <v>15293</v>
      </c>
      <c r="CE1999" s="23"/>
      <c r="CF1999" s="23"/>
      <c r="CG1999" s="23"/>
      <c r="CH1999" s="23"/>
      <c r="CI1999" s="23"/>
    </row>
    <row r="2000" spans="1:87" x14ac:dyDescent="0.3">
      <c r="A2000" s="9" t="s">
        <v>15294</v>
      </c>
      <c r="B2000" s="10" t="s">
        <v>15295</v>
      </c>
      <c r="C2000" s="11">
        <v>45915.142361111109</v>
      </c>
      <c r="D2000" s="12">
        <v>0.14930555555555555</v>
      </c>
      <c r="E2000" s="11">
        <v>45915.291666666664</v>
      </c>
      <c r="F2000" s="10" t="s">
        <v>15270</v>
      </c>
      <c r="G2000" s="13" t="b">
        <v>0</v>
      </c>
      <c r="H2000" s="22" t="s">
        <v>15271</v>
      </c>
      <c r="I2000" s="10" t="s">
        <v>3213</v>
      </c>
      <c r="J2000" s="13" t="b">
        <v>0</v>
      </c>
      <c r="K2000" s="13" t="b">
        <v>1</v>
      </c>
      <c r="L2000" s="10" t="s">
        <v>124</v>
      </c>
      <c r="M2000" s="10" t="s">
        <v>91</v>
      </c>
      <c r="N2000" s="10" t="s">
        <v>92</v>
      </c>
      <c r="O2000" s="19" t="s">
        <v>15296</v>
      </c>
      <c r="P2000" s="10" t="s">
        <v>3478</v>
      </c>
      <c r="Q2000" s="10" t="s">
        <v>126</v>
      </c>
      <c r="R2000" s="10"/>
      <c r="S2000" s="19" t="s">
        <v>15297</v>
      </c>
      <c r="T2000" s="10"/>
      <c r="U2000" s="10" t="s">
        <v>15298</v>
      </c>
      <c r="V2000" s="10" t="s">
        <v>15299</v>
      </c>
      <c r="W2000" s="10" t="s">
        <v>15276</v>
      </c>
      <c r="X2000" s="10" t="s">
        <v>15277</v>
      </c>
      <c r="Y2000" s="10" t="s">
        <v>15277</v>
      </c>
      <c r="Z2000" s="10" t="s">
        <v>99</v>
      </c>
      <c r="AA2000" s="10" t="s">
        <v>131</v>
      </c>
      <c r="AB2000" s="10" t="s">
        <v>15278</v>
      </c>
      <c r="AC2000" s="10" t="s">
        <v>15279</v>
      </c>
      <c r="AD2000" s="10" t="s">
        <v>165</v>
      </c>
      <c r="AE2000" s="10" t="s">
        <v>15300</v>
      </c>
      <c r="AF2000" s="15"/>
      <c r="AG2000" s="10"/>
      <c r="AH2000" s="10"/>
      <c r="AI2000" s="10"/>
      <c r="AJ2000" s="10"/>
      <c r="AK2000" s="10" t="s">
        <v>102</v>
      </c>
      <c r="AL2000" s="10" t="s">
        <v>116</v>
      </c>
      <c r="AM2000" s="10"/>
      <c r="AN2000" s="10"/>
      <c r="AO2000" s="13" t="b">
        <v>0</v>
      </c>
      <c r="AP2000" s="10" t="s">
        <v>104</v>
      </c>
      <c r="AQ2000" s="10">
        <f ca="1">IFERROR(__xludf.DUMMYFUNCTION("""COMPUTED_VALUE"""),4568492)</f>
        <v>4568492</v>
      </c>
      <c r="AR2000" s="17">
        <v>4223</v>
      </c>
      <c r="AS2000" s="17">
        <v>3524</v>
      </c>
      <c r="AT2000" s="17">
        <v>46614.25</v>
      </c>
      <c r="AU2000" s="17">
        <v>11.9</v>
      </c>
      <c r="AV2000" s="17">
        <v>4</v>
      </c>
      <c r="AW2000" s="10" t="s">
        <v>105</v>
      </c>
      <c r="AX2000" s="17">
        <v>501</v>
      </c>
      <c r="AY2000" s="18">
        <v>13.227653234960272</v>
      </c>
      <c r="AZ2000" s="10"/>
      <c r="BA2000" s="20" t="b">
        <v>0</v>
      </c>
      <c r="BB2000" s="10"/>
      <c r="BC2000" s="17">
        <v>4223</v>
      </c>
      <c r="BD2000" s="17">
        <v>3524</v>
      </c>
      <c r="BE2000" s="17">
        <v>46614.25</v>
      </c>
      <c r="BF2000" s="17">
        <v>4</v>
      </c>
      <c r="BG2000" s="11">
        <f ca="1">IFERROR(__xludf.DUMMYFUNCTION("""COMPUTED_VALUE"""),45915.1423611111)</f>
        <v>45915.142361111102</v>
      </c>
      <c r="BH2000" s="17" t="s">
        <v>105</v>
      </c>
      <c r="BI2000" s="17"/>
      <c r="BJ2000" s="15"/>
      <c r="BK2000" s="15"/>
      <c r="BL2000" s="13" t="b">
        <v>0</v>
      </c>
      <c r="BM2000" s="10"/>
      <c r="BN2000" s="10" t="s">
        <v>8437</v>
      </c>
      <c r="BO2000" s="11">
        <v>45912.420138888891</v>
      </c>
      <c r="BP2000" s="11">
        <v>45912.420324074075</v>
      </c>
      <c r="BQ2000" s="15">
        <v>45912.89984953704</v>
      </c>
      <c r="BR2000" s="15">
        <v>45913.074456018519</v>
      </c>
      <c r="BS2000" s="10"/>
      <c r="BT2000" s="10"/>
      <c r="BU2000" s="10"/>
      <c r="BV2000" s="10" t="s">
        <v>4315</v>
      </c>
      <c r="BW2000" s="10"/>
      <c r="BX2000" s="10"/>
      <c r="BY2000" s="23"/>
      <c r="BZ2000" s="23"/>
      <c r="CA2000" s="19" t="s">
        <v>15301</v>
      </c>
      <c r="CB2000" s="23"/>
      <c r="CC2000" s="23"/>
      <c r="CD2000" s="19" t="s">
        <v>15302</v>
      </c>
      <c r="CE2000" s="23"/>
      <c r="CF2000" s="23"/>
      <c r="CG2000" s="23"/>
      <c r="CH2000" s="23"/>
      <c r="CI2000" s="23"/>
    </row>
    <row r="2001" spans="1:87" x14ac:dyDescent="0.3">
      <c r="A2001" s="9" t="s">
        <v>15303</v>
      </c>
      <c r="B2001" s="10" t="s">
        <v>15304</v>
      </c>
      <c r="C2001" s="11">
        <v>45915.305555555555</v>
      </c>
      <c r="D2001" s="12">
        <v>0.15277777777777779</v>
      </c>
      <c r="E2001" s="11">
        <v>45915.458333333336</v>
      </c>
      <c r="F2001" s="10" t="s">
        <v>15270</v>
      </c>
      <c r="G2001" s="13" t="b">
        <v>0</v>
      </c>
      <c r="H2001" s="22" t="s">
        <v>15271</v>
      </c>
      <c r="I2001" s="10" t="s">
        <v>3213</v>
      </c>
      <c r="J2001" s="13" t="b">
        <v>0</v>
      </c>
      <c r="K2001" s="13" t="b">
        <v>1</v>
      </c>
      <c r="L2001" s="10" t="s">
        <v>124</v>
      </c>
      <c r="M2001" s="10" t="s">
        <v>91</v>
      </c>
      <c r="N2001" s="10" t="s">
        <v>92</v>
      </c>
      <c r="O2001" s="19" t="s">
        <v>15305</v>
      </c>
      <c r="P2001" s="10" t="s">
        <v>3215</v>
      </c>
      <c r="Q2001" s="10" t="s">
        <v>126</v>
      </c>
      <c r="R2001" s="10"/>
      <c r="S2001" s="19" t="s">
        <v>15306</v>
      </c>
      <c r="T2001" s="10"/>
      <c r="U2001" s="10" t="s">
        <v>15307</v>
      </c>
      <c r="V2001" s="10" t="s">
        <v>15308</v>
      </c>
      <c r="W2001" s="10" t="s">
        <v>15276</v>
      </c>
      <c r="X2001" s="10" t="s">
        <v>15277</v>
      </c>
      <c r="Y2001" s="10" t="s">
        <v>15277</v>
      </c>
      <c r="Z2001" s="10" t="s">
        <v>99</v>
      </c>
      <c r="AA2001" s="10" t="s">
        <v>131</v>
      </c>
      <c r="AB2001" s="10" t="s">
        <v>15278</v>
      </c>
      <c r="AC2001" s="10" t="s">
        <v>15279</v>
      </c>
      <c r="AD2001" s="10" t="s">
        <v>165</v>
      </c>
      <c r="AE2001" s="10" t="s">
        <v>15309</v>
      </c>
      <c r="AF2001" s="15"/>
      <c r="AG2001" s="10"/>
      <c r="AH2001" s="10"/>
      <c r="AI2001" s="10"/>
      <c r="AJ2001" s="10"/>
      <c r="AK2001" s="10" t="s">
        <v>102</v>
      </c>
      <c r="AL2001" s="10" t="s">
        <v>116</v>
      </c>
      <c r="AM2001" s="10"/>
      <c r="AN2001" s="10"/>
      <c r="AO2001" s="13" t="b">
        <v>0</v>
      </c>
      <c r="AP2001" s="10" t="s">
        <v>104</v>
      </c>
      <c r="AQ2001" s="10">
        <f ca="1">IFERROR(__xludf.DUMMYFUNCTION("""COMPUTED_VALUE"""),4568493)</f>
        <v>4568493</v>
      </c>
      <c r="AR2001" s="17">
        <v>5263</v>
      </c>
      <c r="AS2001" s="17">
        <v>4442</v>
      </c>
      <c r="AT2001" s="17">
        <v>45435.75</v>
      </c>
      <c r="AU2001" s="17">
        <v>9</v>
      </c>
      <c r="AV2001" s="17">
        <v>3.25</v>
      </c>
      <c r="AW2001" s="10" t="s">
        <v>105</v>
      </c>
      <c r="AX2001" s="17">
        <v>468</v>
      </c>
      <c r="AY2001" s="18">
        <v>10.22866951823503</v>
      </c>
      <c r="AZ2001" s="10"/>
      <c r="BA2001" s="20" t="b">
        <v>0</v>
      </c>
      <c r="BB2001" s="10"/>
      <c r="BC2001" s="17">
        <v>5263</v>
      </c>
      <c r="BD2001" s="17">
        <v>4442</v>
      </c>
      <c r="BE2001" s="17">
        <v>45435.75</v>
      </c>
      <c r="BF2001" s="17">
        <v>3.25</v>
      </c>
      <c r="BG2001" s="11">
        <f ca="1">IFERROR(__xludf.DUMMYFUNCTION("""COMPUTED_VALUE"""),45915.3055555555)</f>
        <v>45915.305555555497</v>
      </c>
      <c r="BH2001" s="17" t="s">
        <v>105</v>
      </c>
      <c r="BI2001" s="17"/>
      <c r="BJ2001" s="15"/>
      <c r="BK2001" s="15"/>
      <c r="BL2001" s="13" t="b">
        <v>0</v>
      </c>
      <c r="BM2001" s="10"/>
      <c r="BN2001" s="10" t="s">
        <v>197</v>
      </c>
      <c r="BO2001" s="11">
        <v>45912.421527777777</v>
      </c>
      <c r="BP2001" s="11">
        <v>45912.422083333331</v>
      </c>
      <c r="BQ2001" s="15">
        <v>45912.899895833332</v>
      </c>
      <c r="BR2001" s="15">
        <v>45913.074606481481</v>
      </c>
      <c r="BS2001" s="10" t="s">
        <v>197</v>
      </c>
      <c r="BT2001" s="10"/>
      <c r="BU2001" s="10"/>
      <c r="BV2001" s="10"/>
      <c r="BW2001" s="10"/>
      <c r="BX2001" s="10"/>
      <c r="BY2001" s="23"/>
      <c r="BZ2001" s="23"/>
      <c r="CA2001" s="19" t="s">
        <v>15310</v>
      </c>
      <c r="CB2001" s="23"/>
      <c r="CC2001" s="23"/>
      <c r="CD2001" s="19" t="s">
        <v>15311</v>
      </c>
      <c r="CE2001" s="23"/>
      <c r="CF2001" s="23"/>
      <c r="CG2001" s="23"/>
      <c r="CH2001" s="23"/>
      <c r="CI2001" s="23"/>
    </row>
    <row r="2002" spans="1:87" x14ac:dyDescent="0.3">
      <c r="A2002" s="9" t="s">
        <v>15312</v>
      </c>
      <c r="B2002" s="10" t="s">
        <v>15313</v>
      </c>
      <c r="C2002" s="11">
        <v>45916.25</v>
      </c>
      <c r="D2002" s="12">
        <v>0.125</v>
      </c>
      <c r="E2002" s="11">
        <v>45916.375</v>
      </c>
      <c r="F2002" s="10" t="s">
        <v>15270</v>
      </c>
      <c r="G2002" s="13" t="b">
        <v>0</v>
      </c>
      <c r="H2002" s="22" t="s">
        <v>15271</v>
      </c>
      <c r="I2002" s="10" t="s">
        <v>3213</v>
      </c>
      <c r="J2002" s="13" t="b">
        <v>0</v>
      </c>
      <c r="K2002" s="13" t="b">
        <v>1</v>
      </c>
      <c r="L2002" s="10" t="s">
        <v>124</v>
      </c>
      <c r="M2002" s="10" t="s">
        <v>91</v>
      </c>
      <c r="N2002" s="10" t="s">
        <v>92</v>
      </c>
      <c r="O2002" s="19" t="s">
        <v>15314</v>
      </c>
      <c r="P2002" s="10" t="s">
        <v>3215</v>
      </c>
      <c r="Q2002" s="10" t="s">
        <v>126</v>
      </c>
      <c r="R2002" s="10"/>
      <c r="S2002" s="19" t="s">
        <v>15315</v>
      </c>
      <c r="T2002" s="10"/>
      <c r="U2002" s="10" t="s">
        <v>15316</v>
      </c>
      <c r="V2002" s="10" t="s">
        <v>15317</v>
      </c>
      <c r="W2002" s="10" t="s">
        <v>15276</v>
      </c>
      <c r="X2002" s="10" t="s">
        <v>15277</v>
      </c>
      <c r="Y2002" s="10" t="s">
        <v>15277</v>
      </c>
      <c r="Z2002" s="10" t="s">
        <v>99</v>
      </c>
      <c r="AA2002" s="10" t="s">
        <v>131</v>
      </c>
      <c r="AB2002" s="10" t="s">
        <v>15278</v>
      </c>
      <c r="AC2002" s="10" t="s">
        <v>15279</v>
      </c>
      <c r="AD2002" s="10" t="s">
        <v>165</v>
      </c>
      <c r="AE2002" s="10" t="s">
        <v>15318</v>
      </c>
      <c r="AF2002" s="15"/>
      <c r="AG2002" s="10"/>
      <c r="AH2002" s="10"/>
      <c r="AI2002" s="10"/>
      <c r="AJ2002" s="10"/>
      <c r="AK2002" s="10" t="s">
        <v>102</v>
      </c>
      <c r="AL2002" s="10" t="s">
        <v>116</v>
      </c>
      <c r="AM2002" s="10"/>
      <c r="AN2002" s="10"/>
      <c r="AO2002" s="13" t="b">
        <v>0</v>
      </c>
      <c r="AP2002" s="10" t="s">
        <v>104</v>
      </c>
      <c r="AQ2002" s="10">
        <f ca="1">IFERROR(__xludf.DUMMYFUNCTION("""COMPUTED_VALUE"""),4574017)</f>
        <v>4574017</v>
      </c>
      <c r="AR2002" s="17">
        <v>4185</v>
      </c>
      <c r="AS2002" s="17">
        <v>3461</v>
      </c>
      <c r="AT2002" s="17">
        <v>51227.25</v>
      </c>
      <c r="AU2002" s="17">
        <v>10.3</v>
      </c>
      <c r="AV2002" s="17">
        <v>1.9</v>
      </c>
      <c r="AW2002" s="10" t="s">
        <v>105</v>
      </c>
      <c r="AX2002" s="17">
        <v>434</v>
      </c>
      <c r="AY2002" s="18">
        <v>14.801285755561976</v>
      </c>
      <c r="AZ2002" s="10" t="s">
        <v>185</v>
      </c>
      <c r="BA2002" s="20" t="b">
        <v>0</v>
      </c>
      <c r="BB2002" s="10"/>
      <c r="BC2002" s="17">
        <v>4185</v>
      </c>
      <c r="BD2002" s="17">
        <v>3461</v>
      </c>
      <c r="BE2002" s="17">
        <v>51227.25</v>
      </c>
      <c r="BF2002" s="17">
        <v>1.9</v>
      </c>
      <c r="BG2002" s="11">
        <f ca="1">IFERROR(__xludf.DUMMYFUNCTION("""COMPUTED_VALUE"""),45916.25)</f>
        <v>45916.25</v>
      </c>
      <c r="BH2002" s="17" t="s">
        <v>105</v>
      </c>
      <c r="BI2002" s="17"/>
      <c r="BJ2002" s="15"/>
      <c r="BK2002" s="15"/>
      <c r="BL2002" s="13" t="b">
        <v>0</v>
      </c>
      <c r="BM2002" s="10"/>
      <c r="BN2002" s="10" t="s">
        <v>118</v>
      </c>
      <c r="BO2002" s="11">
        <v>45912.423611111109</v>
      </c>
      <c r="BP2002" s="11">
        <v>45912.424270833333</v>
      </c>
      <c r="BQ2002" s="15">
        <v>45915.587175925924</v>
      </c>
      <c r="BR2002" s="15">
        <v>45915.613402777781</v>
      </c>
      <c r="BS2002" s="10" t="s">
        <v>118</v>
      </c>
      <c r="BT2002" s="10"/>
      <c r="BU2002" s="10"/>
      <c r="BV2002" s="10"/>
      <c r="BW2002" s="10"/>
      <c r="BX2002" s="10"/>
      <c r="BY2002" s="23"/>
      <c r="BZ2002" s="23"/>
      <c r="CA2002" s="19" t="s">
        <v>15319</v>
      </c>
      <c r="CB2002" s="23"/>
      <c r="CC2002" s="23"/>
      <c r="CD2002" s="19" t="s">
        <v>15320</v>
      </c>
      <c r="CE2002" s="23"/>
      <c r="CF2002" s="23"/>
      <c r="CG2002" s="23"/>
      <c r="CH2002" s="23"/>
      <c r="CI2002" s="23"/>
    </row>
    <row r="2003" spans="1:87" x14ac:dyDescent="0.3">
      <c r="A2003" s="9" t="s">
        <v>15321</v>
      </c>
      <c r="B2003" s="10" t="s">
        <v>15322</v>
      </c>
      <c r="C2003" s="11">
        <v>45916.375</v>
      </c>
      <c r="D2003" s="12">
        <v>0.14583333333333334</v>
      </c>
      <c r="E2003" s="11">
        <v>45916.520833333336</v>
      </c>
      <c r="F2003" s="10" t="s">
        <v>15270</v>
      </c>
      <c r="G2003" s="13" t="b">
        <v>0</v>
      </c>
      <c r="H2003" s="22" t="s">
        <v>15271</v>
      </c>
      <c r="I2003" s="10" t="s">
        <v>3213</v>
      </c>
      <c r="J2003" s="13" t="b">
        <v>0</v>
      </c>
      <c r="K2003" s="13" t="b">
        <v>1</v>
      </c>
      <c r="L2003" s="10" t="s">
        <v>124</v>
      </c>
      <c r="M2003" s="10" t="s">
        <v>91</v>
      </c>
      <c r="N2003" s="10" t="s">
        <v>92</v>
      </c>
      <c r="O2003" s="19" t="s">
        <v>15323</v>
      </c>
      <c r="P2003" s="10" t="s">
        <v>3215</v>
      </c>
      <c r="Q2003" s="10" t="s">
        <v>126</v>
      </c>
      <c r="R2003" s="10"/>
      <c r="S2003" s="19" t="s">
        <v>15324</v>
      </c>
      <c r="T2003" s="10"/>
      <c r="U2003" s="10" t="s">
        <v>15325</v>
      </c>
      <c r="V2003" s="10" t="s">
        <v>15326</v>
      </c>
      <c r="W2003" s="10" t="s">
        <v>15276</v>
      </c>
      <c r="X2003" s="10" t="s">
        <v>15277</v>
      </c>
      <c r="Y2003" s="10" t="s">
        <v>15277</v>
      </c>
      <c r="Z2003" s="10" t="s">
        <v>99</v>
      </c>
      <c r="AA2003" s="10" t="s">
        <v>131</v>
      </c>
      <c r="AB2003" s="10" t="s">
        <v>15278</v>
      </c>
      <c r="AC2003" s="10" t="s">
        <v>15279</v>
      </c>
      <c r="AD2003" s="10" t="s">
        <v>165</v>
      </c>
      <c r="AE2003" s="10" t="s">
        <v>15327</v>
      </c>
      <c r="AF2003" s="15"/>
      <c r="AG2003" s="10"/>
      <c r="AH2003" s="10"/>
      <c r="AI2003" s="10"/>
      <c r="AJ2003" s="10"/>
      <c r="AK2003" s="10" t="s">
        <v>102</v>
      </c>
      <c r="AL2003" s="10" t="s">
        <v>116</v>
      </c>
      <c r="AM2003" s="10"/>
      <c r="AN2003" s="10"/>
      <c r="AO2003" s="13" t="b">
        <v>0</v>
      </c>
      <c r="AP2003" s="10" t="s">
        <v>104</v>
      </c>
      <c r="AQ2003" s="10">
        <f ca="1">IFERROR(__xludf.DUMMYFUNCTION("""COMPUTED_VALUE"""),4574018)</f>
        <v>4574018</v>
      </c>
      <c r="AR2003" s="17">
        <v>3551</v>
      </c>
      <c r="AS2003" s="17">
        <v>2857</v>
      </c>
      <c r="AT2003" s="17">
        <v>30479.5</v>
      </c>
      <c r="AU2003" s="17">
        <v>17.05</v>
      </c>
      <c r="AV2003" s="17">
        <v>5.85</v>
      </c>
      <c r="AW2003" s="10" t="s">
        <v>105</v>
      </c>
      <c r="AX2003" s="17">
        <v>432</v>
      </c>
      <c r="AY2003" s="18">
        <v>10.668358417920896</v>
      </c>
      <c r="AZ2003" s="10" t="s">
        <v>185</v>
      </c>
      <c r="BA2003" s="20" t="b">
        <v>0</v>
      </c>
      <c r="BB2003" s="10"/>
      <c r="BC2003" s="17">
        <v>3551</v>
      </c>
      <c r="BD2003" s="17">
        <v>2857</v>
      </c>
      <c r="BE2003" s="17">
        <v>30479.5</v>
      </c>
      <c r="BF2003" s="17">
        <v>5.85</v>
      </c>
      <c r="BG2003" s="11">
        <f ca="1">IFERROR(__xludf.DUMMYFUNCTION("""COMPUTED_VALUE"""),45916.375)</f>
        <v>45916.375</v>
      </c>
      <c r="BH2003" s="17" t="s">
        <v>105</v>
      </c>
      <c r="BI2003" s="17"/>
      <c r="BJ2003" s="15"/>
      <c r="BK2003" s="15"/>
      <c r="BL2003" s="13" t="b">
        <v>0</v>
      </c>
      <c r="BM2003" s="10"/>
      <c r="BN2003" s="10" t="s">
        <v>118</v>
      </c>
      <c r="BO2003" s="11">
        <v>45912.424305555556</v>
      </c>
      <c r="BP2003" s="11">
        <v>45912.424756944441</v>
      </c>
      <c r="BQ2003" s="15">
        <v>45915.587268518517</v>
      </c>
      <c r="BR2003" s="15">
        <v>45915.613518518519</v>
      </c>
      <c r="BS2003" s="10" t="s">
        <v>118</v>
      </c>
      <c r="BT2003" s="10"/>
      <c r="BU2003" s="10"/>
      <c r="BV2003" s="10"/>
      <c r="BW2003" s="10"/>
      <c r="BX2003" s="10"/>
      <c r="BY2003" s="23"/>
      <c r="BZ2003" s="23"/>
      <c r="CA2003" s="19" t="s">
        <v>15328</v>
      </c>
      <c r="CB2003" s="23"/>
      <c r="CC2003" s="23"/>
      <c r="CD2003" s="19" t="s">
        <v>15329</v>
      </c>
      <c r="CE2003" s="23"/>
      <c r="CF2003" s="23"/>
      <c r="CG2003" s="23"/>
      <c r="CH2003" s="23"/>
      <c r="CI2003" s="23"/>
    </row>
    <row r="2004" spans="1:87" x14ac:dyDescent="0.3">
      <c r="A2004" s="9" t="s">
        <v>15330</v>
      </c>
      <c r="B2004" s="10" t="s">
        <v>15331</v>
      </c>
      <c r="C2004" s="11">
        <v>45940.645833333336</v>
      </c>
      <c r="D2004" s="12">
        <v>8.3333333333333329E-2</v>
      </c>
      <c r="E2004" s="11">
        <v>45940.729166666664</v>
      </c>
      <c r="F2004" s="10" t="s">
        <v>14786</v>
      </c>
      <c r="G2004" s="13" t="b">
        <v>0</v>
      </c>
      <c r="H2004" s="10" t="s">
        <v>14787</v>
      </c>
      <c r="I2004" s="10" t="s">
        <v>3548</v>
      </c>
      <c r="J2004" s="13" t="b">
        <v>0</v>
      </c>
      <c r="K2004" s="13" t="b">
        <v>1</v>
      </c>
      <c r="L2004" s="10" t="s">
        <v>124</v>
      </c>
      <c r="M2004" s="10" t="s">
        <v>91</v>
      </c>
      <c r="N2004" s="10" t="s">
        <v>3513</v>
      </c>
      <c r="O2004" s="19" t="s">
        <v>15332</v>
      </c>
      <c r="P2004" s="10"/>
      <c r="Q2004" s="10" t="s">
        <v>126</v>
      </c>
      <c r="R2004" s="10"/>
      <c r="S2004" s="19" t="s">
        <v>15333</v>
      </c>
      <c r="T2004" s="19" t="s">
        <v>15334</v>
      </c>
      <c r="U2004" s="10" t="s">
        <v>14827</v>
      </c>
      <c r="V2004" s="10" t="s">
        <v>14859</v>
      </c>
      <c r="W2004" s="10" t="s">
        <v>14793</v>
      </c>
      <c r="X2004" s="10" t="s">
        <v>130</v>
      </c>
      <c r="Y2004" s="10" t="s">
        <v>130</v>
      </c>
      <c r="Z2004" s="10" t="s">
        <v>99</v>
      </c>
      <c r="AA2004" s="10" t="s">
        <v>131</v>
      </c>
      <c r="AB2004" s="10" t="s">
        <v>14794</v>
      </c>
      <c r="AC2004" s="10" t="s">
        <v>3521</v>
      </c>
      <c r="AD2004" s="10" t="s">
        <v>15335</v>
      </c>
      <c r="AE2004" s="10" t="s">
        <v>15336</v>
      </c>
      <c r="AF2004" s="15"/>
      <c r="AG2004" s="10"/>
      <c r="AH2004" s="10"/>
      <c r="AI2004" s="10"/>
      <c r="AJ2004" s="10"/>
      <c r="AK2004" s="10" t="s">
        <v>102</v>
      </c>
      <c r="AL2004" s="10" t="s">
        <v>167</v>
      </c>
      <c r="AM2004" s="10"/>
      <c r="AN2004" s="10"/>
      <c r="AO2004" s="13" t="b">
        <v>0</v>
      </c>
      <c r="AP2004" s="10" t="s">
        <v>104</v>
      </c>
      <c r="AQ2004" s="10">
        <f ca="1">IFERROR(__xludf.DUMMYFUNCTION("""COMPUTED_VALUE"""),4637938)</f>
        <v>4637938</v>
      </c>
      <c r="AR2004" s="17">
        <v>45187</v>
      </c>
      <c r="AS2004" s="17">
        <v>26698</v>
      </c>
      <c r="AT2004" s="17">
        <v>695270.5</v>
      </c>
      <c r="AU2004" s="17">
        <v>421.15</v>
      </c>
      <c r="AV2004" s="17">
        <v>139.55000000000001</v>
      </c>
      <c r="AW2004" s="10" t="s">
        <v>105</v>
      </c>
      <c r="AX2004" s="17">
        <v>8933</v>
      </c>
      <c r="AY2004" s="18">
        <v>26.042044347891228</v>
      </c>
      <c r="AZ2004" s="10" t="s">
        <v>106</v>
      </c>
      <c r="BA2004" s="20" t="b">
        <v>0</v>
      </c>
      <c r="BB2004" s="10"/>
      <c r="BC2004" s="17">
        <v>45187</v>
      </c>
      <c r="BD2004" s="17">
        <v>26698</v>
      </c>
      <c r="BE2004" s="17">
        <v>695270.5</v>
      </c>
      <c r="BF2004" s="17">
        <v>139.55000000000001</v>
      </c>
      <c r="BG2004" s="11">
        <f ca="1">IFERROR(__xludf.DUMMYFUNCTION("""COMPUTED_VALUE"""),45940.6458333333)</f>
        <v>45940.645833333299</v>
      </c>
      <c r="BH2004" s="17" t="s">
        <v>105</v>
      </c>
      <c r="BI2004" s="17"/>
      <c r="BJ2004" s="15"/>
      <c r="BK2004" s="15"/>
      <c r="BL2004" s="13" t="b">
        <v>0</v>
      </c>
      <c r="BM2004" s="10"/>
      <c r="BN2004" s="10" t="s">
        <v>157</v>
      </c>
      <c r="BO2004" s="11">
        <v>45912.565972222219</v>
      </c>
      <c r="BP2004" s="11">
        <v>45930.719976851855</v>
      </c>
      <c r="BQ2004" s="15">
        <v>45938.839444444442</v>
      </c>
      <c r="BR2004" s="15">
        <v>45938.855706018519</v>
      </c>
      <c r="BS2004" s="10" t="s">
        <v>157</v>
      </c>
      <c r="BT2004" s="10" t="s">
        <v>279</v>
      </c>
      <c r="BU2004" s="10" t="s">
        <v>298</v>
      </c>
      <c r="BV2004" s="10"/>
      <c r="BW2004" s="10"/>
      <c r="BX2004" s="10"/>
      <c r="BY2004" s="23"/>
      <c r="BZ2004" s="23"/>
      <c r="CA2004" s="19" t="s">
        <v>15337</v>
      </c>
      <c r="CB2004" s="19" t="s">
        <v>15338</v>
      </c>
      <c r="CC2004" s="23"/>
      <c r="CD2004" s="19" t="s">
        <v>15339</v>
      </c>
      <c r="CE2004" s="23"/>
      <c r="CF2004" s="23"/>
      <c r="CG2004" s="23"/>
      <c r="CH2004" s="23"/>
      <c r="CI2004" s="23"/>
    </row>
    <row r="2005" spans="1:87" x14ac:dyDescent="0.3">
      <c r="A2005" s="9" t="s">
        <v>15340</v>
      </c>
      <c r="B2005" s="10" t="s">
        <v>15341</v>
      </c>
      <c r="C2005" s="11">
        <v>45940.645833333336</v>
      </c>
      <c r="D2005" s="12">
        <v>8.3333333333333329E-2</v>
      </c>
      <c r="E2005" s="11">
        <v>45940.729166666664</v>
      </c>
      <c r="F2005" s="10" t="s">
        <v>14786</v>
      </c>
      <c r="G2005" s="13" t="b">
        <v>0</v>
      </c>
      <c r="H2005" s="10" t="s">
        <v>14787</v>
      </c>
      <c r="I2005" s="10" t="s">
        <v>212</v>
      </c>
      <c r="J2005" s="13" t="b">
        <v>1</v>
      </c>
      <c r="K2005" s="13" t="b">
        <v>0</v>
      </c>
      <c r="L2005" s="10" t="s">
        <v>124</v>
      </c>
      <c r="M2005" s="10" t="s">
        <v>91</v>
      </c>
      <c r="N2005" s="10" t="s">
        <v>3513</v>
      </c>
      <c r="O2005" s="19" t="s">
        <v>15342</v>
      </c>
      <c r="P2005" s="10"/>
      <c r="Q2005" s="10" t="s">
        <v>126</v>
      </c>
      <c r="R2005" s="10"/>
      <c r="S2005" s="19" t="s">
        <v>15343</v>
      </c>
      <c r="T2005" s="19" t="s">
        <v>15334</v>
      </c>
      <c r="U2005" s="10" t="s">
        <v>14792</v>
      </c>
      <c r="V2005" s="10" t="s">
        <v>14815</v>
      </c>
      <c r="W2005" s="10" t="s">
        <v>14793</v>
      </c>
      <c r="X2005" s="10" t="s">
        <v>130</v>
      </c>
      <c r="Y2005" s="10" t="s">
        <v>130</v>
      </c>
      <c r="Z2005" s="10" t="s">
        <v>99</v>
      </c>
      <c r="AA2005" s="10" t="s">
        <v>131</v>
      </c>
      <c r="AB2005" s="10" t="s">
        <v>14794</v>
      </c>
      <c r="AC2005" s="10" t="s">
        <v>3521</v>
      </c>
      <c r="AD2005" s="10" t="s">
        <v>15344</v>
      </c>
      <c r="AE2005" s="10" t="s">
        <v>15345</v>
      </c>
      <c r="AF2005" s="15"/>
      <c r="AG2005" s="10"/>
      <c r="AH2005" s="10"/>
      <c r="AI2005" s="10"/>
      <c r="AJ2005" s="10"/>
      <c r="AK2005" s="10" t="s">
        <v>102</v>
      </c>
      <c r="AL2005" s="10" t="s">
        <v>167</v>
      </c>
      <c r="AM2005" s="10"/>
      <c r="AN2005" s="10"/>
      <c r="AO2005" s="13" t="b">
        <v>0</v>
      </c>
      <c r="AP2005" s="10" t="s">
        <v>104</v>
      </c>
      <c r="AQ2005" s="10">
        <f ca="1">IFERROR(__xludf.DUMMYFUNCTION("""COMPUTED_VALUE"""),4637940)</f>
        <v>4637940</v>
      </c>
      <c r="AR2005" s="17">
        <v>44927</v>
      </c>
      <c r="AS2005" s="17">
        <v>23292</v>
      </c>
      <c r="AT2005" s="17">
        <v>656408.25</v>
      </c>
      <c r="AU2005" s="17">
        <v>121.6</v>
      </c>
      <c r="AV2005" s="17">
        <v>14.85</v>
      </c>
      <c r="AW2005" s="10" t="s">
        <v>105</v>
      </c>
      <c r="AX2005" s="17">
        <v>9981</v>
      </c>
      <c r="AY2005" s="18">
        <v>28.181704018547141</v>
      </c>
      <c r="AZ2005" s="10" t="s">
        <v>106</v>
      </c>
      <c r="BA2005" s="20" t="b">
        <v>0</v>
      </c>
      <c r="BB2005" s="10"/>
      <c r="BC2005" s="17">
        <v>44927</v>
      </c>
      <c r="BD2005" s="17">
        <v>23292</v>
      </c>
      <c r="BE2005" s="17">
        <v>656408.25</v>
      </c>
      <c r="BF2005" s="17">
        <v>14.85</v>
      </c>
      <c r="BG2005" s="11">
        <f ca="1">IFERROR(__xludf.DUMMYFUNCTION("""COMPUTED_VALUE"""),45940.6458333333)</f>
        <v>45940.645833333299</v>
      </c>
      <c r="BH2005" s="17" t="s">
        <v>105</v>
      </c>
      <c r="BI2005" s="17"/>
      <c r="BJ2005" s="15"/>
      <c r="BK2005" s="15"/>
      <c r="BL2005" s="13" t="b">
        <v>0</v>
      </c>
      <c r="BM2005" s="10"/>
      <c r="BN2005" s="10" t="s">
        <v>157</v>
      </c>
      <c r="BO2005" s="11">
        <v>45912.566666666666</v>
      </c>
      <c r="BP2005" s="11">
        <v>45930.720081018517</v>
      </c>
      <c r="BQ2005" s="15">
        <v>45938.840046296296</v>
      </c>
      <c r="BR2005" s="15">
        <v>45938.855844907404</v>
      </c>
      <c r="BS2005" s="10" t="s">
        <v>157</v>
      </c>
      <c r="BT2005" s="10" t="s">
        <v>279</v>
      </c>
      <c r="BU2005" s="10" t="s">
        <v>456</v>
      </c>
      <c r="BV2005" s="10"/>
      <c r="BW2005" s="10"/>
      <c r="BX2005" s="10"/>
      <c r="BY2005" s="23"/>
      <c r="BZ2005" s="23"/>
      <c r="CA2005" s="19" t="s">
        <v>15346</v>
      </c>
      <c r="CB2005" s="19" t="s">
        <v>15347</v>
      </c>
      <c r="CC2005" s="23"/>
      <c r="CD2005" s="19" t="s">
        <v>15348</v>
      </c>
      <c r="CE2005" s="23"/>
      <c r="CF2005" s="23"/>
      <c r="CG2005" s="23"/>
      <c r="CH2005" s="23"/>
      <c r="CI2005" s="23"/>
    </row>
    <row r="2006" spans="1:87" x14ac:dyDescent="0.3">
      <c r="A2006" s="9" t="s">
        <v>15349</v>
      </c>
      <c r="B2006" s="10" t="s">
        <v>15350</v>
      </c>
      <c r="C2006" s="11">
        <v>45941.604166666664</v>
      </c>
      <c r="D2006" s="12">
        <v>8.3333333333333329E-2</v>
      </c>
      <c r="E2006" s="11">
        <v>45941.6875</v>
      </c>
      <c r="F2006" s="10" t="s">
        <v>14786</v>
      </c>
      <c r="G2006" s="13" t="b">
        <v>0</v>
      </c>
      <c r="H2006" s="10" t="s">
        <v>14787</v>
      </c>
      <c r="I2006" s="10" t="s">
        <v>3548</v>
      </c>
      <c r="J2006" s="13" t="b">
        <v>0</v>
      </c>
      <c r="K2006" s="13" t="b">
        <v>1</v>
      </c>
      <c r="L2006" s="10" t="s">
        <v>124</v>
      </c>
      <c r="M2006" s="10" t="s">
        <v>91</v>
      </c>
      <c r="N2006" s="10" t="s">
        <v>3513</v>
      </c>
      <c r="O2006" s="19" t="s">
        <v>15351</v>
      </c>
      <c r="P2006" s="10"/>
      <c r="Q2006" s="10" t="s">
        <v>126</v>
      </c>
      <c r="R2006" s="10"/>
      <c r="S2006" s="19" t="s">
        <v>15352</v>
      </c>
      <c r="T2006" s="19" t="s">
        <v>15353</v>
      </c>
      <c r="U2006" s="10" t="s">
        <v>14870</v>
      </c>
      <c r="V2006" s="10" t="s">
        <v>14826</v>
      </c>
      <c r="W2006" s="10" t="s">
        <v>14793</v>
      </c>
      <c r="X2006" s="10" t="s">
        <v>130</v>
      </c>
      <c r="Y2006" s="10" t="s">
        <v>130</v>
      </c>
      <c r="Z2006" s="10" t="s">
        <v>99</v>
      </c>
      <c r="AA2006" s="10" t="s">
        <v>131</v>
      </c>
      <c r="AB2006" s="10" t="s">
        <v>14794</v>
      </c>
      <c r="AC2006" s="10" t="s">
        <v>3521</v>
      </c>
      <c r="AD2006" s="10" t="s">
        <v>15354</v>
      </c>
      <c r="AE2006" s="10" t="s">
        <v>15355</v>
      </c>
      <c r="AF2006" s="15"/>
      <c r="AG2006" s="10"/>
      <c r="AH2006" s="10"/>
      <c r="AI2006" s="10"/>
      <c r="AJ2006" s="10"/>
      <c r="AK2006" s="10" t="s">
        <v>102</v>
      </c>
      <c r="AL2006" s="10" t="s">
        <v>167</v>
      </c>
      <c r="AM2006" s="10"/>
      <c r="AN2006" s="10"/>
      <c r="AO2006" s="13" t="b">
        <v>0</v>
      </c>
      <c r="AP2006" s="10" t="s">
        <v>104</v>
      </c>
      <c r="AQ2006" s="10">
        <f ca="1">IFERROR(__xludf.DUMMYFUNCTION("""COMPUTED_VALUE"""),4638543)</f>
        <v>4638543</v>
      </c>
      <c r="AR2006" s="17">
        <v>29565</v>
      </c>
      <c r="AS2006" s="17">
        <v>20406</v>
      </c>
      <c r="AT2006" s="17">
        <v>336925.75</v>
      </c>
      <c r="AU2006" s="17">
        <v>130.55000000000001</v>
      </c>
      <c r="AV2006" s="17">
        <v>28.8</v>
      </c>
      <c r="AW2006" s="10" t="s">
        <v>105</v>
      </c>
      <c r="AX2006" s="17">
        <v>6791</v>
      </c>
      <c r="AY2006" s="18">
        <v>16.511111927864352</v>
      </c>
      <c r="AZ2006" s="10" t="s">
        <v>106</v>
      </c>
      <c r="BA2006" s="20" t="b">
        <v>0</v>
      </c>
      <c r="BB2006" s="10"/>
      <c r="BC2006" s="17">
        <v>29565</v>
      </c>
      <c r="BD2006" s="17">
        <v>20406</v>
      </c>
      <c r="BE2006" s="17">
        <v>336925.75</v>
      </c>
      <c r="BF2006" s="17">
        <v>28.8</v>
      </c>
      <c r="BG2006" s="11">
        <f ca="1">IFERROR(__xludf.DUMMYFUNCTION("""COMPUTED_VALUE"""),45941.6041666666)</f>
        <v>45941.604166666599</v>
      </c>
      <c r="BH2006" s="17" t="s">
        <v>105</v>
      </c>
      <c r="BI2006" s="17"/>
      <c r="BJ2006" s="15"/>
      <c r="BK2006" s="15"/>
      <c r="BL2006" s="13" t="b">
        <v>0</v>
      </c>
      <c r="BM2006" s="10"/>
      <c r="BN2006" s="10" t="s">
        <v>137</v>
      </c>
      <c r="BO2006" s="11">
        <v>45912.567361111112</v>
      </c>
      <c r="BP2006" s="11">
        <v>45939.985543981478</v>
      </c>
      <c r="BQ2006" s="15">
        <v>45940.714826388888</v>
      </c>
      <c r="BR2006" s="15">
        <v>45940.716168981482</v>
      </c>
      <c r="BS2006" s="10" t="s">
        <v>137</v>
      </c>
      <c r="BT2006" s="10" t="s">
        <v>279</v>
      </c>
      <c r="BU2006" s="10" t="s">
        <v>456</v>
      </c>
      <c r="BV2006" s="10"/>
      <c r="BW2006" s="10"/>
      <c r="BX2006" s="10"/>
      <c r="BY2006" s="23"/>
      <c r="BZ2006" s="23"/>
      <c r="CA2006" s="19" t="s">
        <v>15356</v>
      </c>
      <c r="CB2006" s="19" t="s">
        <v>15357</v>
      </c>
      <c r="CC2006" s="23"/>
      <c r="CD2006" s="19" t="s">
        <v>15358</v>
      </c>
      <c r="CE2006" s="23"/>
      <c r="CF2006" s="23"/>
      <c r="CG2006" s="23"/>
      <c r="CH2006" s="23"/>
      <c r="CI2006" s="23"/>
    </row>
    <row r="2007" spans="1:87" x14ac:dyDescent="0.3">
      <c r="A2007" s="9" t="s">
        <v>15359</v>
      </c>
      <c r="B2007" s="10" t="s">
        <v>15360</v>
      </c>
      <c r="C2007" s="11">
        <v>45941.645833333336</v>
      </c>
      <c r="D2007" s="12">
        <v>8.3333333333333329E-2</v>
      </c>
      <c r="E2007" s="11">
        <v>45941.729166666664</v>
      </c>
      <c r="F2007" s="10" t="s">
        <v>14786</v>
      </c>
      <c r="G2007" s="13" t="b">
        <v>0</v>
      </c>
      <c r="H2007" s="10" t="s">
        <v>14787</v>
      </c>
      <c r="I2007" s="10" t="s">
        <v>212</v>
      </c>
      <c r="J2007" s="13" t="b">
        <v>1</v>
      </c>
      <c r="K2007" s="13" t="b">
        <v>0</v>
      </c>
      <c r="L2007" s="10" t="s">
        <v>124</v>
      </c>
      <c r="M2007" s="10" t="s">
        <v>91</v>
      </c>
      <c r="N2007" s="10" t="s">
        <v>3513</v>
      </c>
      <c r="O2007" s="19" t="s">
        <v>15361</v>
      </c>
      <c r="P2007" s="10"/>
      <c r="Q2007" s="10" t="s">
        <v>126</v>
      </c>
      <c r="R2007" s="10"/>
      <c r="S2007" s="19" t="s">
        <v>15362</v>
      </c>
      <c r="T2007" s="19" t="s">
        <v>15334</v>
      </c>
      <c r="U2007" s="10" t="s">
        <v>14816</v>
      </c>
      <c r="V2007" s="10" t="s">
        <v>14893</v>
      </c>
      <c r="W2007" s="10" t="s">
        <v>14793</v>
      </c>
      <c r="X2007" s="10" t="s">
        <v>130</v>
      </c>
      <c r="Y2007" s="10" t="s">
        <v>130</v>
      </c>
      <c r="Z2007" s="10" t="s">
        <v>99</v>
      </c>
      <c r="AA2007" s="10" t="s">
        <v>131</v>
      </c>
      <c r="AB2007" s="10" t="s">
        <v>14794</v>
      </c>
      <c r="AC2007" s="10" t="s">
        <v>3521</v>
      </c>
      <c r="AD2007" s="10" t="s">
        <v>15363</v>
      </c>
      <c r="AE2007" s="10" t="s">
        <v>15364</v>
      </c>
      <c r="AF2007" s="15"/>
      <c r="AG2007" s="10"/>
      <c r="AH2007" s="10"/>
      <c r="AI2007" s="10"/>
      <c r="AJ2007" s="10"/>
      <c r="AK2007" s="10" t="s">
        <v>102</v>
      </c>
      <c r="AL2007" s="10" t="s">
        <v>167</v>
      </c>
      <c r="AM2007" s="10"/>
      <c r="AN2007" s="10"/>
      <c r="AO2007" s="13" t="b">
        <v>0</v>
      </c>
      <c r="AP2007" s="10" t="s">
        <v>104</v>
      </c>
      <c r="AQ2007" s="10">
        <f ca="1">IFERROR(__xludf.DUMMYFUNCTION("""COMPUTED_VALUE"""),4638542)</f>
        <v>4638542</v>
      </c>
      <c r="AR2007" s="17">
        <v>32688</v>
      </c>
      <c r="AS2007" s="17">
        <v>20755</v>
      </c>
      <c r="AT2007" s="17">
        <v>529474</v>
      </c>
      <c r="AU2007" s="17">
        <v>87.7</v>
      </c>
      <c r="AV2007" s="17">
        <v>13.65</v>
      </c>
      <c r="AW2007" s="10" t="s">
        <v>105</v>
      </c>
      <c r="AX2007" s="17">
        <v>6864</v>
      </c>
      <c r="AY2007" s="18">
        <v>25.510672127198266</v>
      </c>
      <c r="AZ2007" s="10" t="s">
        <v>106</v>
      </c>
      <c r="BA2007" s="20" t="b">
        <v>0</v>
      </c>
      <c r="BB2007" s="10"/>
      <c r="BC2007" s="17">
        <v>32688</v>
      </c>
      <c r="BD2007" s="17">
        <v>20755</v>
      </c>
      <c r="BE2007" s="17">
        <v>529474</v>
      </c>
      <c r="BF2007" s="17">
        <v>13.65</v>
      </c>
      <c r="BG2007" s="11">
        <f ca="1">IFERROR(__xludf.DUMMYFUNCTION("""COMPUTED_VALUE"""),45941.6458333333)</f>
        <v>45941.645833333299</v>
      </c>
      <c r="BH2007" s="17" t="s">
        <v>105</v>
      </c>
      <c r="BI2007" s="17"/>
      <c r="BJ2007" s="15"/>
      <c r="BK2007" s="15"/>
      <c r="BL2007" s="13" t="b">
        <v>0</v>
      </c>
      <c r="BM2007" s="10"/>
      <c r="BN2007" s="10" t="s">
        <v>137</v>
      </c>
      <c r="BO2007" s="11">
        <v>45912.568749999999</v>
      </c>
      <c r="BP2007" s="11">
        <v>45930.720266203702</v>
      </c>
      <c r="BQ2007" s="15">
        <v>45938.840300925927</v>
      </c>
      <c r="BR2007" s="15">
        <v>45939.397187499999</v>
      </c>
      <c r="BS2007" s="10" t="s">
        <v>137</v>
      </c>
      <c r="BT2007" s="10" t="s">
        <v>279</v>
      </c>
      <c r="BU2007" s="10" t="s">
        <v>718</v>
      </c>
      <c r="BV2007" s="10"/>
      <c r="BW2007" s="10"/>
      <c r="BX2007" s="10"/>
      <c r="BY2007" s="23"/>
      <c r="BZ2007" s="23"/>
      <c r="CA2007" s="19" t="s">
        <v>15365</v>
      </c>
      <c r="CB2007" s="19" t="s">
        <v>15366</v>
      </c>
      <c r="CC2007" s="23"/>
      <c r="CD2007" s="19" t="s">
        <v>15367</v>
      </c>
      <c r="CE2007" s="23"/>
      <c r="CF2007" s="23"/>
      <c r="CG2007" s="23"/>
      <c r="CH2007" s="23"/>
      <c r="CI2007" s="23"/>
    </row>
    <row r="2008" spans="1:87" x14ac:dyDescent="0.3">
      <c r="A2008" s="9" t="s">
        <v>15368</v>
      </c>
      <c r="B2008" s="10" t="s">
        <v>15369</v>
      </c>
      <c r="C2008" s="11">
        <v>45941.791666666664</v>
      </c>
      <c r="D2008" s="12">
        <v>8.3333333333333329E-2</v>
      </c>
      <c r="E2008" s="11">
        <v>45941.875</v>
      </c>
      <c r="F2008" s="10" t="s">
        <v>14786</v>
      </c>
      <c r="G2008" s="13" t="b">
        <v>0</v>
      </c>
      <c r="H2008" s="10" t="s">
        <v>14787</v>
      </c>
      <c r="I2008" s="10" t="s">
        <v>212</v>
      </c>
      <c r="J2008" s="13" t="b">
        <v>1</v>
      </c>
      <c r="K2008" s="13" t="b">
        <v>0</v>
      </c>
      <c r="L2008" s="10" t="s">
        <v>124</v>
      </c>
      <c r="M2008" s="10" t="s">
        <v>91</v>
      </c>
      <c r="N2008" s="10" t="s">
        <v>3513</v>
      </c>
      <c r="O2008" s="19" t="s">
        <v>15370</v>
      </c>
      <c r="P2008" s="10"/>
      <c r="Q2008" s="10" t="s">
        <v>126</v>
      </c>
      <c r="R2008" s="10"/>
      <c r="S2008" s="19" t="s">
        <v>15371</v>
      </c>
      <c r="T2008" s="19" t="s">
        <v>15334</v>
      </c>
      <c r="U2008" s="10" t="s">
        <v>14804</v>
      </c>
      <c r="V2008" s="10" t="s">
        <v>14881</v>
      </c>
      <c r="W2008" s="10" t="s">
        <v>14793</v>
      </c>
      <c r="X2008" s="10" t="s">
        <v>130</v>
      </c>
      <c r="Y2008" s="10" t="s">
        <v>130</v>
      </c>
      <c r="Z2008" s="10" t="s">
        <v>99</v>
      </c>
      <c r="AA2008" s="10" t="s">
        <v>131</v>
      </c>
      <c r="AB2008" s="10" t="s">
        <v>14794</v>
      </c>
      <c r="AC2008" s="10" t="s">
        <v>3521</v>
      </c>
      <c r="AD2008" s="10" t="s">
        <v>15372</v>
      </c>
      <c r="AE2008" s="10" t="s">
        <v>15373</v>
      </c>
      <c r="AF2008" s="15"/>
      <c r="AG2008" s="10"/>
      <c r="AH2008" s="10"/>
      <c r="AI2008" s="10"/>
      <c r="AJ2008" s="10"/>
      <c r="AK2008" s="10" t="s">
        <v>102</v>
      </c>
      <c r="AL2008" s="10" t="s">
        <v>167</v>
      </c>
      <c r="AM2008" s="10"/>
      <c r="AN2008" s="10"/>
      <c r="AO2008" s="13" t="b">
        <v>0</v>
      </c>
      <c r="AP2008" s="10" t="s">
        <v>104</v>
      </c>
      <c r="AQ2008" s="10">
        <f ca="1">IFERROR(__xludf.DUMMYFUNCTION("""COMPUTED_VALUE"""),4638544)</f>
        <v>4638544</v>
      </c>
      <c r="AR2008" s="17">
        <v>97306</v>
      </c>
      <c r="AS2008" s="17">
        <v>38443</v>
      </c>
      <c r="AT2008" s="17">
        <v>1301084.5</v>
      </c>
      <c r="AU2008" s="17">
        <v>237.6</v>
      </c>
      <c r="AV2008" s="17">
        <v>65.45</v>
      </c>
      <c r="AW2008" s="10" t="s">
        <v>105</v>
      </c>
      <c r="AX2008" s="17">
        <v>13936</v>
      </c>
      <c r="AY2008" s="18">
        <v>33.844510053845951</v>
      </c>
      <c r="AZ2008" s="10" t="s">
        <v>106</v>
      </c>
      <c r="BA2008" s="20" t="b">
        <v>0</v>
      </c>
      <c r="BB2008" s="10"/>
      <c r="BC2008" s="17">
        <v>97306</v>
      </c>
      <c r="BD2008" s="17">
        <v>38443</v>
      </c>
      <c r="BE2008" s="17">
        <v>1301084.5</v>
      </c>
      <c r="BF2008" s="17">
        <v>65.45</v>
      </c>
      <c r="BG2008" s="11">
        <f ca="1">IFERROR(__xludf.DUMMYFUNCTION("""COMPUTED_VALUE"""),45941.7916666666)</f>
        <v>45941.791666666599</v>
      </c>
      <c r="BH2008" s="17" t="s">
        <v>105</v>
      </c>
      <c r="BI2008" s="17"/>
      <c r="BJ2008" s="15"/>
      <c r="BK2008" s="15"/>
      <c r="BL2008" s="13" t="b">
        <v>0</v>
      </c>
      <c r="BM2008" s="10"/>
      <c r="BN2008" s="10" t="s">
        <v>137</v>
      </c>
      <c r="BO2008" s="11">
        <v>45912.569444444445</v>
      </c>
      <c r="BP2008" s="11">
        <v>45930.721192129633</v>
      </c>
      <c r="BQ2008" s="15">
        <v>45938.840844907405</v>
      </c>
      <c r="BR2008" s="15">
        <v>45939.397546296299</v>
      </c>
      <c r="BS2008" s="10" t="s">
        <v>137</v>
      </c>
      <c r="BT2008" s="10" t="s">
        <v>279</v>
      </c>
      <c r="BU2008" s="10" t="s">
        <v>718</v>
      </c>
      <c r="BV2008" s="10"/>
      <c r="BW2008" s="10"/>
      <c r="BX2008" s="10"/>
      <c r="BY2008" s="23"/>
      <c r="BZ2008" s="23"/>
      <c r="CA2008" s="19" t="s">
        <v>15374</v>
      </c>
      <c r="CB2008" s="19" t="s">
        <v>15375</v>
      </c>
      <c r="CC2008" s="23"/>
      <c r="CD2008" s="19" t="s">
        <v>15376</v>
      </c>
      <c r="CE2008" s="23"/>
      <c r="CF2008" s="23"/>
      <c r="CG2008" s="23"/>
      <c r="CH2008" s="23"/>
      <c r="CI2008" s="23"/>
    </row>
    <row r="2009" spans="1:87" x14ac:dyDescent="0.3">
      <c r="A2009" s="9" t="s">
        <v>15377</v>
      </c>
      <c r="B2009" s="10" t="s">
        <v>15378</v>
      </c>
      <c r="C2009" s="11">
        <v>45941.791666666664</v>
      </c>
      <c r="D2009" s="12">
        <v>8.3333333333333329E-2</v>
      </c>
      <c r="E2009" s="11">
        <v>45941.875</v>
      </c>
      <c r="F2009" s="10" t="s">
        <v>14786</v>
      </c>
      <c r="G2009" s="13" t="b">
        <v>0</v>
      </c>
      <c r="H2009" s="10" t="s">
        <v>236</v>
      </c>
      <c r="I2009" s="10" t="s">
        <v>3548</v>
      </c>
      <c r="J2009" s="13" t="b">
        <v>0</v>
      </c>
      <c r="K2009" s="13" t="b">
        <v>1</v>
      </c>
      <c r="L2009" s="10" t="s">
        <v>124</v>
      </c>
      <c r="M2009" s="10" t="s">
        <v>91</v>
      </c>
      <c r="N2009" s="10" t="s">
        <v>3513</v>
      </c>
      <c r="O2009" s="19" t="s">
        <v>15379</v>
      </c>
      <c r="P2009" s="10"/>
      <c r="Q2009" s="10" t="s">
        <v>126</v>
      </c>
      <c r="R2009" s="10"/>
      <c r="S2009" s="19" t="s">
        <v>15380</v>
      </c>
      <c r="T2009" s="19" t="s">
        <v>15334</v>
      </c>
      <c r="U2009" s="10" t="s">
        <v>14838</v>
      </c>
      <c r="V2009" s="10" t="s">
        <v>14871</v>
      </c>
      <c r="W2009" s="10" t="s">
        <v>14793</v>
      </c>
      <c r="X2009" s="10" t="s">
        <v>130</v>
      </c>
      <c r="Y2009" s="10" t="s">
        <v>130</v>
      </c>
      <c r="Z2009" s="10" t="s">
        <v>99</v>
      </c>
      <c r="AA2009" s="10" t="s">
        <v>131</v>
      </c>
      <c r="AB2009" s="10" t="s">
        <v>14794</v>
      </c>
      <c r="AC2009" s="10" t="s">
        <v>3521</v>
      </c>
      <c r="AD2009" s="10" t="s">
        <v>15381</v>
      </c>
      <c r="AE2009" s="10" t="s">
        <v>15382</v>
      </c>
      <c r="AF2009" s="15"/>
      <c r="AG2009" s="10"/>
      <c r="AH2009" s="10"/>
      <c r="AI2009" s="10"/>
      <c r="AJ2009" s="10"/>
      <c r="AK2009" s="10" t="s">
        <v>102</v>
      </c>
      <c r="AL2009" s="10" t="s">
        <v>167</v>
      </c>
      <c r="AM2009" s="10"/>
      <c r="AN2009" s="10"/>
      <c r="AO2009" s="13" t="b">
        <v>0</v>
      </c>
      <c r="AP2009" s="10" t="s">
        <v>104</v>
      </c>
      <c r="AQ2009" s="10">
        <f ca="1">IFERROR(__xludf.DUMMYFUNCTION("""COMPUTED_VALUE"""),4638535)</f>
        <v>4638535</v>
      </c>
      <c r="AR2009" s="17">
        <v>143160</v>
      </c>
      <c r="AS2009" s="17">
        <v>103689</v>
      </c>
      <c r="AT2009" s="17">
        <v>1927985</v>
      </c>
      <c r="AU2009" s="17">
        <v>799.1</v>
      </c>
      <c r="AV2009" s="17">
        <v>326.5</v>
      </c>
      <c r="AW2009" s="10" t="s">
        <v>105</v>
      </c>
      <c r="AX2009" s="17">
        <v>20660</v>
      </c>
      <c r="AY2009" s="18">
        <v>18.593920280839818</v>
      </c>
      <c r="AZ2009" s="10" t="s">
        <v>106</v>
      </c>
      <c r="BA2009" s="20" t="b">
        <v>0</v>
      </c>
      <c r="BB2009" s="10"/>
      <c r="BC2009" s="17">
        <v>143160</v>
      </c>
      <c r="BD2009" s="17">
        <v>103689</v>
      </c>
      <c r="BE2009" s="17">
        <v>1927985</v>
      </c>
      <c r="BF2009" s="17">
        <v>326.5</v>
      </c>
      <c r="BG2009" s="11">
        <f ca="1">IFERROR(__xludf.DUMMYFUNCTION("""COMPUTED_VALUE"""),45941.7916666666)</f>
        <v>45941.791666666599</v>
      </c>
      <c r="BH2009" s="17" t="s">
        <v>105</v>
      </c>
      <c r="BI2009" s="17"/>
      <c r="BJ2009" s="15"/>
      <c r="BK2009" s="15"/>
      <c r="BL2009" s="13" t="b">
        <v>0</v>
      </c>
      <c r="BM2009" s="10"/>
      <c r="BN2009" s="10" t="s">
        <v>137</v>
      </c>
      <c r="BO2009" s="11">
        <v>45912.570138888892</v>
      </c>
      <c r="BP2009" s="11">
        <v>45936.705543981479</v>
      </c>
      <c r="BQ2009" s="15">
        <v>45938.84065972222</v>
      </c>
      <c r="BR2009" s="15">
        <v>45939.360439814816</v>
      </c>
      <c r="BS2009" s="10" t="s">
        <v>137</v>
      </c>
      <c r="BT2009" s="10" t="s">
        <v>279</v>
      </c>
      <c r="BU2009" s="10" t="s">
        <v>456</v>
      </c>
      <c r="BV2009" s="10"/>
      <c r="BW2009" s="10"/>
      <c r="BX2009" s="10"/>
      <c r="BY2009" s="23"/>
      <c r="BZ2009" s="23"/>
      <c r="CA2009" s="19" t="s">
        <v>15383</v>
      </c>
      <c r="CB2009" s="19" t="s">
        <v>15384</v>
      </c>
      <c r="CC2009" s="23"/>
      <c r="CD2009" s="19" t="s">
        <v>15385</v>
      </c>
      <c r="CE2009" s="23"/>
      <c r="CF2009" s="23"/>
      <c r="CG2009" s="23"/>
      <c r="CH2009" s="23"/>
      <c r="CI2009" s="23"/>
    </row>
    <row r="2010" spans="1:87" x14ac:dyDescent="0.3">
      <c r="A2010" s="9" t="s">
        <v>15386</v>
      </c>
      <c r="B2010" s="10" t="s">
        <v>15387</v>
      </c>
      <c r="C2010" s="11">
        <v>45942.645833333336</v>
      </c>
      <c r="D2010" s="12">
        <v>8.3333333333333329E-2</v>
      </c>
      <c r="E2010" s="11">
        <v>45942.729166666664</v>
      </c>
      <c r="F2010" s="10" t="s">
        <v>14786</v>
      </c>
      <c r="G2010" s="13" t="b">
        <v>0</v>
      </c>
      <c r="H2010" s="10" t="s">
        <v>14787</v>
      </c>
      <c r="I2010" s="10" t="s">
        <v>212</v>
      </c>
      <c r="J2010" s="13" t="b">
        <v>1</v>
      </c>
      <c r="K2010" s="13" t="b">
        <v>0</v>
      </c>
      <c r="L2010" s="10" t="s">
        <v>124</v>
      </c>
      <c r="M2010" s="10" t="s">
        <v>91</v>
      </c>
      <c r="N2010" s="10" t="s">
        <v>3513</v>
      </c>
      <c r="O2010" s="19" t="s">
        <v>15388</v>
      </c>
      <c r="P2010" s="10"/>
      <c r="Q2010" s="10" t="s">
        <v>126</v>
      </c>
      <c r="R2010" s="10"/>
      <c r="S2010" s="19" t="s">
        <v>15389</v>
      </c>
      <c r="T2010" s="19" t="s">
        <v>15334</v>
      </c>
      <c r="U2010" s="10" t="s">
        <v>14882</v>
      </c>
      <c r="V2010" s="10" t="s">
        <v>14805</v>
      </c>
      <c r="W2010" s="10" t="s">
        <v>14793</v>
      </c>
      <c r="X2010" s="10" t="s">
        <v>130</v>
      </c>
      <c r="Y2010" s="10" t="s">
        <v>130</v>
      </c>
      <c r="Z2010" s="10" t="s">
        <v>99</v>
      </c>
      <c r="AA2010" s="10" t="s">
        <v>131</v>
      </c>
      <c r="AB2010" s="10" t="s">
        <v>14794</v>
      </c>
      <c r="AC2010" s="10" t="s">
        <v>3521</v>
      </c>
      <c r="AD2010" s="10" t="s">
        <v>15390</v>
      </c>
      <c r="AE2010" s="10" t="s">
        <v>15391</v>
      </c>
      <c r="AF2010" s="15"/>
      <c r="AG2010" s="10"/>
      <c r="AH2010" s="10"/>
      <c r="AI2010" s="10"/>
      <c r="AJ2010" s="10"/>
      <c r="AK2010" s="10" t="s">
        <v>102</v>
      </c>
      <c r="AL2010" s="10" t="s">
        <v>167</v>
      </c>
      <c r="AM2010" s="10"/>
      <c r="AN2010" s="10"/>
      <c r="AO2010" s="13" t="b">
        <v>0</v>
      </c>
      <c r="AP2010" s="10" t="s">
        <v>104</v>
      </c>
      <c r="AQ2010" s="10">
        <f ca="1">IFERROR(__xludf.DUMMYFUNCTION("""COMPUTED_VALUE"""),4640656)</f>
        <v>4640656</v>
      </c>
      <c r="AR2010" s="17">
        <v>31140</v>
      </c>
      <c r="AS2010" s="17">
        <v>17195</v>
      </c>
      <c r="AT2010" s="17">
        <v>398122.25</v>
      </c>
      <c r="AU2010" s="17">
        <v>49.7</v>
      </c>
      <c r="AV2010" s="17">
        <v>8.8000000000000007</v>
      </c>
      <c r="AW2010" s="10" t="s">
        <v>105</v>
      </c>
      <c r="AX2010" s="17">
        <v>5595</v>
      </c>
      <c r="AY2010" s="18">
        <v>23.153373073567899</v>
      </c>
      <c r="AZ2010" s="10" t="s">
        <v>106</v>
      </c>
      <c r="BA2010" s="20" t="b">
        <v>0</v>
      </c>
      <c r="BB2010" s="10"/>
      <c r="BC2010" s="17">
        <v>31140</v>
      </c>
      <c r="BD2010" s="17">
        <v>17195</v>
      </c>
      <c r="BE2010" s="17">
        <v>398122.25</v>
      </c>
      <c r="BF2010" s="17">
        <v>8.8000000000000007</v>
      </c>
      <c r="BG2010" s="11">
        <f ca="1">IFERROR(__xludf.DUMMYFUNCTION("""COMPUTED_VALUE"""),45942.6458333333)</f>
        <v>45942.645833333299</v>
      </c>
      <c r="BH2010" s="17" t="s">
        <v>105</v>
      </c>
      <c r="BI2010" s="17"/>
      <c r="BJ2010" s="15"/>
      <c r="BK2010" s="15"/>
      <c r="BL2010" s="13" t="b">
        <v>0</v>
      </c>
      <c r="BM2010" s="10"/>
      <c r="BN2010" s="10" t="s">
        <v>149</v>
      </c>
      <c r="BO2010" s="11">
        <v>45912.571527777778</v>
      </c>
      <c r="BP2010" s="11">
        <v>45930.72142361111</v>
      </c>
      <c r="BQ2010" s="15">
        <v>45938.841597222221</v>
      </c>
      <c r="BR2010" s="15">
        <v>45940.007719907408</v>
      </c>
      <c r="BS2010" s="10" t="s">
        <v>149</v>
      </c>
      <c r="BT2010" s="10" t="s">
        <v>279</v>
      </c>
      <c r="BU2010" s="10" t="s">
        <v>456</v>
      </c>
      <c r="BV2010" s="10"/>
      <c r="BW2010" s="10"/>
      <c r="BX2010" s="10"/>
      <c r="BY2010" s="23"/>
      <c r="BZ2010" s="23"/>
      <c r="CA2010" s="19" t="s">
        <v>15392</v>
      </c>
      <c r="CB2010" s="19" t="s">
        <v>15393</v>
      </c>
      <c r="CC2010" s="23"/>
      <c r="CD2010" s="19" t="s">
        <v>15394</v>
      </c>
      <c r="CE2010" s="23"/>
      <c r="CF2010" s="23"/>
      <c r="CG2010" s="23"/>
      <c r="CH2010" s="23"/>
      <c r="CI2010" s="23"/>
    </row>
    <row r="2011" spans="1:87" x14ac:dyDescent="0.3">
      <c r="A2011" s="9" t="s">
        <v>15395</v>
      </c>
      <c r="B2011" s="10" t="s">
        <v>15396</v>
      </c>
      <c r="C2011" s="11">
        <v>45942.645833333336</v>
      </c>
      <c r="D2011" s="12">
        <v>8.3333333333333329E-2</v>
      </c>
      <c r="E2011" s="11">
        <v>45942.729166666664</v>
      </c>
      <c r="F2011" s="10" t="s">
        <v>14786</v>
      </c>
      <c r="G2011" s="13" t="b">
        <v>0</v>
      </c>
      <c r="H2011" s="10" t="s">
        <v>14787</v>
      </c>
      <c r="I2011" s="10" t="s">
        <v>3548</v>
      </c>
      <c r="J2011" s="13" t="b">
        <v>0</v>
      </c>
      <c r="K2011" s="13" t="b">
        <v>1</v>
      </c>
      <c r="L2011" s="10" t="s">
        <v>124</v>
      </c>
      <c r="M2011" s="10" t="s">
        <v>91</v>
      </c>
      <c r="N2011" s="10" t="s">
        <v>3513</v>
      </c>
      <c r="O2011" s="19" t="s">
        <v>15397</v>
      </c>
      <c r="P2011" s="10"/>
      <c r="Q2011" s="10" t="s">
        <v>126</v>
      </c>
      <c r="R2011" s="10"/>
      <c r="S2011" s="19" t="s">
        <v>15398</v>
      </c>
      <c r="T2011" s="19" t="s">
        <v>15334</v>
      </c>
      <c r="U2011" s="10" t="s">
        <v>14848</v>
      </c>
      <c r="V2011" s="10" t="s">
        <v>14860</v>
      </c>
      <c r="W2011" s="10" t="s">
        <v>14793</v>
      </c>
      <c r="X2011" s="10" t="s">
        <v>130</v>
      </c>
      <c r="Y2011" s="10" t="s">
        <v>130</v>
      </c>
      <c r="Z2011" s="10" t="s">
        <v>99</v>
      </c>
      <c r="AA2011" s="10" t="s">
        <v>131</v>
      </c>
      <c r="AB2011" s="10" t="s">
        <v>14794</v>
      </c>
      <c r="AC2011" s="10" t="s">
        <v>3521</v>
      </c>
      <c r="AD2011" s="10" t="s">
        <v>15399</v>
      </c>
      <c r="AE2011" s="10" t="s">
        <v>15400</v>
      </c>
      <c r="AF2011" s="15"/>
      <c r="AG2011" s="10"/>
      <c r="AH2011" s="10"/>
      <c r="AI2011" s="10"/>
      <c r="AJ2011" s="10"/>
      <c r="AK2011" s="10" t="s">
        <v>102</v>
      </c>
      <c r="AL2011" s="10" t="s">
        <v>167</v>
      </c>
      <c r="AM2011" s="10"/>
      <c r="AN2011" s="10"/>
      <c r="AO2011" s="13" t="b">
        <v>0</v>
      </c>
      <c r="AP2011" s="10" t="s">
        <v>104</v>
      </c>
      <c r="AQ2011" s="10">
        <f ca="1">IFERROR(__xludf.DUMMYFUNCTION("""COMPUTED_VALUE"""),4640614)</f>
        <v>4640614</v>
      </c>
      <c r="AR2011" s="17">
        <v>55199</v>
      </c>
      <c r="AS2011" s="17">
        <v>33355</v>
      </c>
      <c r="AT2011" s="17">
        <v>989687.5</v>
      </c>
      <c r="AU2011" s="17">
        <v>563.04999999999995</v>
      </c>
      <c r="AV2011" s="17">
        <v>234.2</v>
      </c>
      <c r="AW2011" s="10" t="s">
        <v>105</v>
      </c>
      <c r="AX2011" s="17">
        <v>11742</v>
      </c>
      <c r="AY2011" s="18">
        <v>29.67133862989057</v>
      </c>
      <c r="AZ2011" s="10" t="s">
        <v>106</v>
      </c>
      <c r="BA2011" s="20" t="b">
        <v>0</v>
      </c>
      <c r="BB2011" s="10"/>
      <c r="BC2011" s="17">
        <v>55199</v>
      </c>
      <c r="BD2011" s="17">
        <v>33355</v>
      </c>
      <c r="BE2011" s="17">
        <v>989687.5</v>
      </c>
      <c r="BF2011" s="17">
        <v>234.2</v>
      </c>
      <c r="BG2011" s="11">
        <f ca="1">IFERROR(__xludf.DUMMYFUNCTION("""COMPUTED_VALUE"""),45942.6458333333)</f>
        <v>45942.645833333299</v>
      </c>
      <c r="BH2011" s="17" t="s">
        <v>105</v>
      </c>
      <c r="BI2011" s="17"/>
      <c r="BJ2011" s="15"/>
      <c r="BK2011" s="15"/>
      <c r="BL2011" s="13" t="b">
        <v>0</v>
      </c>
      <c r="BM2011" s="10"/>
      <c r="BN2011" s="10" t="s">
        <v>149</v>
      </c>
      <c r="BO2011" s="11">
        <v>45912.572222222225</v>
      </c>
      <c r="BP2011" s="11">
        <v>45930.721331018518</v>
      </c>
      <c r="BQ2011" s="15">
        <v>45938.841400462959</v>
      </c>
      <c r="BR2011" s="15">
        <v>45939.971759259257</v>
      </c>
      <c r="BS2011" s="10" t="s">
        <v>149</v>
      </c>
      <c r="BT2011" s="10" t="s">
        <v>279</v>
      </c>
      <c r="BU2011" s="10" t="s">
        <v>718</v>
      </c>
      <c r="BV2011" s="10"/>
      <c r="BW2011" s="10"/>
      <c r="BX2011" s="10"/>
      <c r="BY2011" s="23"/>
      <c r="BZ2011" s="23"/>
      <c r="CA2011" s="19" t="s">
        <v>15401</v>
      </c>
      <c r="CB2011" s="19" t="s">
        <v>15402</v>
      </c>
      <c r="CC2011" s="23"/>
      <c r="CD2011" s="19" t="s">
        <v>15403</v>
      </c>
      <c r="CE2011" s="23"/>
      <c r="CF2011" s="23"/>
      <c r="CG2011" s="23"/>
      <c r="CH2011" s="23"/>
      <c r="CI2011" s="23"/>
    </row>
    <row r="2012" spans="1:87" x14ac:dyDescent="0.3">
      <c r="A2012" s="9" t="s">
        <v>15404</v>
      </c>
      <c r="B2012" s="10" t="s">
        <v>15405</v>
      </c>
      <c r="C2012" s="11">
        <v>45942.791666666664</v>
      </c>
      <c r="D2012" s="12">
        <v>8.3333333333333329E-2</v>
      </c>
      <c r="E2012" s="11">
        <v>45942.875</v>
      </c>
      <c r="F2012" s="10" t="s">
        <v>14786</v>
      </c>
      <c r="G2012" s="13" t="b">
        <v>0</v>
      </c>
      <c r="H2012" s="10" t="s">
        <v>123</v>
      </c>
      <c r="I2012" s="10" t="s">
        <v>3548</v>
      </c>
      <c r="J2012" s="13" t="b">
        <v>0</v>
      </c>
      <c r="K2012" s="13" t="b">
        <v>1</v>
      </c>
      <c r="L2012" s="10" t="s">
        <v>124</v>
      </c>
      <c r="M2012" s="10" t="s">
        <v>91</v>
      </c>
      <c r="N2012" s="10" t="s">
        <v>3513</v>
      </c>
      <c r="O2012" s="19" t="s">
        <v>15406</v>
      </c>
      <c r="P2012" s="10"/>
      <c r="Q2012" s="10" t="s">
        <v>126</v>
      </c>
      <c r="R2012" s="10"/>
      <c r="S2012" s="19" t="s">
        <v>15407</v>
      </c>
      <c r="T2012" s="19" t="s">
        <v>15334</v>
      </c>
      <c r="U2012" s="10" t="s">
        <v>14849</v>
      </c>
      <c r="V2012" s="10" t="s">
        <v>14837</v>
      </c>
      <c r="W2012" s="10" t="s">
        <v>14793</v>
      </c>
      <c r="X2012" s="10" t="s">
        <v>130</v>
      </c>
      <c r="Y2012" s="10" t="s">
        <v>130</v>
      </c>
      <c r="Z2012" s="10" t="s">
        <v>99</v>
      </c>
      <c r="AA2012" s="10" t="s">
        <v>131</v>
      </c>
      <c r="AB2012" s="10" t="s">
        <v>14794</v>
      </c>
      <c r="AC2012" s="10" t="s">
        <v>3521</v>
      </c>
      <c r="AD2012" s="10" t="s">
        <v>15408</v>
      </c>
      <c r="AE2012" s="10" t="s">
        <v>15409</v>
      </c>
      <c r="AF2012" s="15"/>
      <c r="AG2012" s="10"/>
      <c r="AH2012" s="10"/>
      <c r="AI2012" s="10"/>
      <c r="AJ2012" s="10"/>
      <c r="AK2012" s="10" t="s">
        <v>102</v>
      </c>
      <c r="AL2012" s="10" t="s">
        <v>167</v>
      </c>
      <c r="AM2012" s="10"/>
      <c r="AN2012" s="10"/>
      <c r="AO2012" s="13" t="b">
        <v>0</v>
      </c>
      <c r="AP2012" s="10" t="s">
        <v>104</v>
      </c>
      <c r="AQ2012" s="10">
        <f ca="1">IFERROR(__xludf.DUMMYFUNCTION("""COMPUTED_VALUE"""),4640600)</f>
        <v>4640600</v>
      </c>
      <c r="AR2012" s="17">
        <v>113720</v>
      </c>
      <c r="AS2012" s="17">
        <v>85862</v>
      </c>
      <c r="AT2012" s="17">
        <v>1562347.25</v>
      </c>
      <c r="AU2012" s="17">
        <v>501.85</v>
      </c>
      <c r="AV2012" s="17">
        <v>129.69999999999999</v>
      </c>
      <c r="AW2012" s="10" t="s">
        <v>105</v>
      </c>
      <c r="AX2012" s="17">
        <v>17432</v>
      </c>
      <c r="AY2012" s="18">
        <v>18.196026763876919</v>
      </c>
      <c r="AZ2012" s="10" t="s">
        <v>106</v>
      </c>
      <c r="BA2012" s="20" t="b">
        <v>0</v>
      </c>
      <c r="BB2012" s="10"/>
      <c r="BC2012" s="17">
        <v>113720</v>
      </c>
      <c r="BD2012" s="17">
        <v>85862</v>
      </c>
      <c r="BE2012" s="17">
        <v>1562347.25</v>
      </c>
      <c r="BF2012" s="17">
        <v>129.69999999999999</v>
      </c>
      <c r="BG2012" s="11">
        <f ca="1">IFERROR(__xludf.DUMMYFUNCTION("""COMPUTED_VALUE"""),45942.7916666666)</f>
        <v>45942.791666666599</v>
      </c>
      <c r="BH2012" s="17" t="s">
        <v>105</v>
      </c>
      <c r="BI2012" s="17"/>
      <c r="BJ2012" s="15"/>
      <c r="BK2012" s="15"/>
      <c r="BL2012" s="13" t="b">
        <v>0</v>
      </c>
      <c r="BM2012" s="10"/>
      <c r="BN2012" s="10" t="s">
        <v>149</v>
      </c>
      <c r="BO2012" s="11">
        <v>45912.572916666664</v>
      </c>
      <c r="BP2012" s="11">
        <v>45940.54446759259</v>
      </c>
      <c r="BQ2012" s="15">
        <v>45938.841956018521</v>
      </c>
      <c r="BR2012" s="15">
        <v>45939.966539351852</v>
      </c>
      <c r="BS2012" s="10" t="s">
        <v>149</v>
      </c>
      <c r="BT2012" s="10" t="s">
        <v>279</v>
      </c>
      <c r="BU2012" s="10" t="s">
        <v>456</v>
      </c>
      <c r="BV2012" s="10"/>
      <c r="BW2012" s="10"/>
      <c r="BX2012" s="10"/>
      <c r="BY2012" s="23"/>
      <c r="BZ2012" s="23"/>
      <c r="CA2012" s="19" t="s">
        <v>15410</v>
      </c>
      <c r="CB2012" s="19" t="s">
        <v>15411</v>
      </c>
      <c r="CC2012" s="23"/>
      <c r="CD2012" s="19" t="s">
        <v>15412</v>
      </c>
      <c r="CE2012" s="23"/>
      <c r="CF2012" s="23"/>
      <c r="CG2012" s="23"/>
      <c r="CH2012" s="23"/>
      <c r="CI2012" s="23"/>
    </row>
    <row r="2013" spans="1:87" x14ac:dyDescent="0.3">
      <c r="A2013" s="9" t="s">
        <v>15413</v>
      </c>
      <c r="B2013" s="10" t="s">
        <v>15414</v>
      </c>
      <c r="C2013" s="11">
        <v>45942.854166666664</v>
      </c>
      <c r="D2013" s="12">
        <v>8.3333333333333329E-2</v>
      </c>
      <c r="E2013" s="11">
        <v>45942.9375</v>
      </c>
      <c r="F2013" s="10" t="s">
        <v>14786</v>
      </c>
      <c r="G2013" s="13" t="b">
        <v>0</v>
      </c>
      <c r="H2013" s="10" t="s">
        <v>123</v>
      </c>
      <c r="I2013" s="10" t="s">
        <v>3548</v>
      </c>
      <c r="J2013" s="13" t="b">
        <v>0</v>
      </c>
      <c r="K2013" s="13" t="b">
        <v>1</v>
      </c>
      <c r="L2013" s="10" t="s">
        <v>124</v>
      </c>
      <c r="M2013" s="10" t="s">
        <v>91</v>
      </c>
      <c r="N2013" s="10" t="s">
        <v>3513</v>
      </c>
      <c r="O2013" s="19" t="s">
        <v>15415</v>
      </c>
      <c r="P2013" s="10"/>
      <c r="Q2013" s="10" t="s">
        <v>126</v>
      </c>
      <c r="R2013" s="10"/>
      <c r="S2013" s="19" t="s">
        <v>15416</v>
      </c>
      <c r="T2013" s="19" t="s">
        <v>15334</v>
      </c>
      <c r="U2013" s="10" t="s">
        <v>14892</v>
      </c>
      <c r="V2013" s="10" t="s">
        <v>14791</v>
      </c>
      <c r="W2013" s="10" t="s">
        <v>14793</v>
      </c>
      <c r="X2013" s="10" t="s">
        <v>130</v>
      </c>
      <c r="Y2013" s="10" t="s">
        <v>130</v>
      </c>
      <c r="Z2013" s="10" t="s">
        <v>99</v>
      </c>
      <c r="AA2013" s="10" t="s">
        <v>131</v>
      </c>
      <c r="AB2013" s="10" t="s">
        <v>14794</v>
      </c>
      <c r="AC2013" s="10" t="s">
        <v>3521</v>
      </c>
      <c r="AD2013" s="10" t="s">
        <v>15417</v>
      </c>
      <c r="AE2013" s="10" t="s">
        <v>15418</v>
      </c>
      <c r="AF2013" s="15"/>
      <c r="AG2013" s="10"/>
      <c r="AH2013" s="10"/>
      <c r="AI2013" s="10"/>
      <c r="AJ2013" s="10" t="s">
        <v>15419</v>
      </c>
      <c r="AK2013" s="10" t="s">
        <v>102</v>
      </c>
      <c r="AL2013" s="10" t="s">
        <v>167</v>
      </c>
      <c r="AM2013" s="10"/>
      <c r="AN2013" s="10"/>
      <c r="AO2013" s="13" t="b">
        <v>0</v>
      </c>
      <c r="AP2013" s="10" t="s">
        <v>104</v>
      </c>
      <c r="AQ2013" s="10">
        <f ca="1">IFERROR(__xludf.DUMMYFUNCTION("""COMPUTED_VALUE"""),4642148)</f>
        <v>4642148</v>
      </c>
      <c r="AR2013" s="17">
        <v>54872</v>
      </c>
      <c r="AS2013" s="17">
        <v>38825</v>
      </c>
      <c r="AT2013" s="17">
        <v>937013.5</v>
      </c>
      <c r="AU2013" s="17">
        <v>370.4</v>
      </c>
      <c r="AV2013" s="17">
        <v>94.9</v>
      </c>
      <c r="AW2013" s="10" t="s">
        <v>105</v>
      </c>
      <c r="AX2013" s="17">
        <v>11483</v>
      </c>
      <c r="AY2013" s="18">
        <v>24.13428203477141</v>
      </c>
      <c r="AZ2013" s="10" t="s">
        <v>106</v>
      </c>
      <c r="BA2013" s="20" t="b">
        <v>0</v>
      </c>
      <c r="BB2013" s="10"/>
      <c r="BC2013" s="17">
        <v>54872</v>
      </c>
      <c r="BD2013" s="17">
        <v>38825</v>
      </c>
      <c r="BE2013" s="17">
        <v>937013.5</v>
      </c>
      <c r="BF2013" s="17">
        <v>94.9</v>
      </c>
      <c r="BG2013" s="11">
        <f ca="1">IFERROR(__xludf.DUMMYFUNCTION("""COMPUTED_VALUE"""),45942.8541666666)</f>
        <v>45942.854166666599</v>
      </c>
      <c r="BH2013" s="17" t="s">
        <v>105</v>
      </c>
      <c r="BI2013" s="17"/>
      <c r="BJ2013" s="15"/>
      <c r="BK2013" s="15"/>
      <c r="BL2013" s="13" t="b">
        <v>0</v>
      </c>
      <c r="BM2013" s="10"/>
      <c r="BN2013" s="10" t="s">
        <v>149</v>
      </c>
      <c r="BO2013" s="11">
        <v>45912.573611111111</v>
      </c>
      <c r="BP2013" s="11">
        <v>45940.54414351852</v>
      </c>
      <c r="BQ2013" s="15">
        <v>45938.842199074075</v>
      </c>
      <c r="BR2013" s="15">
        <v>45940.666226851848</v>
      </c>
      <c r="BS2013" s="10" t="s">
        <v>149</v>
      </c>
      <c r="BT2013" s="10" t="s">
        <v>279</v>
      </c>
      <c r="BU2013" s="10" t="s">
        <v>718</v>
      </c>
      <c r="BV2013" s="10"/>
      <c r="BW2013" s="10"/>
      <c r="BX2013" s="10"/>
      <c r="BY2013" s="23"/>
      <c r="BZ2013" s="23"/>
      <c r="CA2013" s="19" t="s">
        <v>15420</v>
      </c>
      <c r="CB2013" s="19" t="s">
        <v>15421</v>
      </c>
      <c r="CC2013" s="23"/>
      <c r="CD2013" s="19" t="s">
        <v>15422</v>
      </c>
      <c r="CE2013" s="23"/>
      <c r="CF2013" s="23"/>
      <c r="CG2013" s="23"/>
      <c r="CH2013" s="23"/>
      <c r="CI2013" s="23"/>
    </row>
    <row r="2014" spans="1:87" x14ac:dyDescent="0.3">
      <c r="A2014" s="9" t="s">
        <v>15423</v>
      </c>
      <c r="B2014" s="10" t="s">
        <v>15424</v>
      </c>
      <c r="C2014" s="11">
        <v>45914.291666666664</v>
      </c>
      <c r="D2014" s="12">
        <v>0.375</v>
      </c>
      <c r="E2014" s="11">
        <v>45914.666666666664</v>
      </c>
      <c r="F2014" s="10" t="s">
        <v>9016</v>
      </c>
      <c r="G2014" s="13" t="b">
        <v>0</v>
      </c>
      <c r="H2014" s="10" t="s">
        <v>9017</v>
      </c>
      <c r="I2014" s="10" t="s">
        <v>212</v>
      </c>
      <c r="J2014" s="13" t="b">
        <v>1</v>
      </c>
      <c r="K2014" s="13" t="b">
        <v>0</v>
      </c>
      <c r="L2014" s="10" t="s">
        <v>124</v>
      </c>
      <c r="M2014" s="10" t="s">
        <v>91</v>
      </c>
      <c r="N2014" s="10" t="s">
        <v>92</v>
      </c>
      <c r="O2014" s="19" t="s">
        <v>15425</v>
      </c>
      <c r="P2014" s="10"/>
      <c r="Q2014" s="10" t="s">
        <v>94</v>
      </c>
      <c r="R2014" s="10"/>
      <c r="S2014" s="19" t="s">
        <v>9019</v>
      </c>
      <c r="T2014" s="10"/>
      <c r="U2014" s="10"/>
      <c r="V2014" s="10"/>
      <c r="W2014" s="10" t="s">
        <v>9020</v>
      </c>
      <c r="X2014" s="10" t="s">
        <v>130</v>
      </c>
      <c r="Y2014" s="10" t="s">
        <v>130</v>
      </c>
      <c r="Z2014" s="10" t="s">
        <v>99</v>
      </c>
      <c r="AA2014" s="10" t="s">
        <v>131</v>
      </c>
      <c r="AB2014" s="10" t="s">
        <v>9021</v>
      </c>
      <c r="AC2014" s="10" t="s">
        <v>9022</v>
      </c>
      <c r="AD2014" s="10" t="s">
        <v>165</v>
      </c>
      <c r="AE2014" s="10" t="s">
        <v>15426</v>
      </c>
      <c r="AF2014" s="15"/>
      <c r="AG2014" s="10"/>
      <c r="AH2014" s="10"/>
      <c r="AI2014" s="10"/>
      <c r="AJ2014" s="10"/>
      <c r="AK2014" s="10" t="s">
        <v>102</v>
      </c>
      <c r="AL2014" s="10" t="s">
        <v>147</v>
      </c>
      <c r="AM2014" s="10"/>
      <c r="AN2014" s="10"/>
      <c r="AO2014" s="13" t="b">
        <v>0</v>
      </c>
      <c r="AP2014" s="10" t="s">
        <v>104</v>
      </c>
      <c r="AQ2014" s="10">
        <f ca="1">IFERROR(__xludf.DUMMYFUNCTION("""COMPUTED_VALUE"""),19556)</f>
        <v>19556</v>
      </c>
      <c r="AR2014" s="28">
        <v>410</v>
      </c>
      <c r="AS2014" s="28">
        <v>331</v>
      </c>
      <c r="AT2014" s="28">
        <v>2835.5</v>
      </c>
      <c r="AU2014" s="28">
        <v>0</v>
      </c>
      <c r="AV2014" s="28">
        <v>0</v>
      </c>
      <c r="AW2014" s="26" t="s">
        <v>105</v>
      </c>
      <c r="AX2014" s="17"/>
      <c r="AY2014" s="18">
        <v>7.3626644736842106</v>
      </c>
      <c r="AZ2014" s="10"/>
      <c r="BA2014" s="20" t="b">
        <v>1</v>
      </c>
      <c r="BB2014" s="10"/>
      <c r="BC2014" s="17">
        <v>3127</v>
      </c>
      <c r="BD2014" s="17">
        <v>2432</v>
      </c>
      <c r="BE2014" s="17">
        <v>17906</v>
      </c>
      <c r="BF2014" s="17">
        <v>0.65</v>
      </c>
      <c r="BG2014" s="11">
        <f ca="1">IFERROR(__xludf.DUMMYFUNCTION("""COMPUTED_VALUE"""),45914.2916666666)</f>
        <v>45914.291666666599</v>
      </c>
      <c r="BH2014" s="17" t="s">
        <v>105</v>
      </c>
      <c r="BI2014" s="17"/>
      <c r="BJ2014" s="15"/>
      <c r="BK2014" s="15"/>
      <c r="BL2014" s="13" t="b">
        <v>0</v>
      </c>
      <c r="BM2014" s="10"/>
      <c r="BN2014" s="10" t="s">
        <v>118</v>
      </c>
      <c r="BO2014" s="11">
        <v>45913.611805555556</v>
      </c>
      <c r="BP2014" s="11">
        <v>45913.612349537034</v>
      </c>
      <c r="BQ2014" s="15">
        <v>45913.613229166665</v>
      </c>
      <c r="BR2014" s="15">
        <v>45913.772685185184</v>
      </c>
      <c r="BS2014" s="10" t="s">
        <v>118</v>
      </c>
      <c r="BT2014" s="10"/>
      <c r="BU2014" s="10"/>
      <c r="BV2014" s="10"/>
      <c r="BW2014" s="10"/>
      <c r="BX2014" s="10"/>
      <c r="BY2014" s="23"/>
      <c r="BZ2014" s="23"/>
      <c r="CA2014" s="19" t="s">
        <v>9024</v>
      </c>
      <c r="CB2014" s="23"/>
      <c r="CC2014" s="23"/>
      <c r="CD2014" s="23"/>
      <c r="CE2014" s="23"/>
      <c r="CF2014" s="23"/>
      <c r="CG2014" s="23"/>
      <c r="CH2014" s="23"/>
      <c r="CI2014" s="23"/>
    </row>
    <row r="2015" spans="1:87" x14ac:dyDescent="0.3">
      <c r="A2015" s="9" t="s">
        <v>15427</v>
      </c>
      <c r="B2015" s="10" t="s">
        <v>15428</v>
      </c>
      <c r="C2015" s="11">
        <v>45914.291666666664</v>
      </c>
      <c r="D2015" s="12">
        <v>2.0833333333333332E-2</v>
      </c>
      <c r="E2015" s="11">
        <v>45914.3125</v>
      </c>
      <c r="F2015" s="10" t="s">
        <v>9016</v>
      </c>
      <c r="G2015" s="13" t="b">
        <v>0</v>
      </c>
      <c r="H2015" s="10" t="s">
        <v>9017</v>
      </c>
      <c r="I2015" s="10" t="s">
        <v>212</v>
      </c>
      <c r="J2015" s="13" t="b">
        <v>1</v>
      </c>
      <c r="K2015" s="13" t="b">
        <v>0</v>
      </c>
      <c r="L2015" s="10" t="s">
        <v>124</v>
      </c>
      <c r="M2015" s="10" t="s">
        <v>91</v>
      </c>
      <c r="N2015" s="10" t="s">
        <v>92</v>
      </c>
      <c r="O2015" s="19" t="s">
        <v>15429</v>
      </c>
      <c r="P2015" s="10"/>
      <c r="Q2015" s="10" t="s">
        <v>94</v>
      </c>
      <c r="R2015" s="10"/>
      <c r="S2015" s="19" t="s">
        <v>9019</v>
      </c>
      <c r="T2015" s="10"/>
      <c r="U2015" s="10"/>
      <c r="V2015" s="10"/>
      <c r="W2015" s="10" t="s">
        <v>9020</v>
      </c>
      <c r="X2015" s="10" t="s">
        <v>130</v>
      </c>
      <c r="Y2015" s="10" t="s">
        <v>130</v>
      </c>
      <c r="Z2015" s="10" t="s">
        <v>99</v>
      </c>
      <c r="AA2015" s="10" t="s">
        <v>131</v>
      </c>
      <c r="AB2015" s="10" t="s">
        <v>9021</v>
      </c>
      <c r="AC2015" s="10" t="s">
        <v>9022</v>
      </c>
      <c r="AD2015" s="10" t="s">
        <v>165</v>
      </c>
      <c r="AE2015" s="10" t="s">
        <v>15430</v>
      </c>
      <c r="AF2015" s="15"/>
      <c r="AG2015" s="10"/>
      <c r="AH2015" s="10"/>
      <c r="AI2015" s="10"/>
      <c r="AJ2015" s="10"/>
      <c r="AK2015" s="10" t="s">
        <v>102</v>
      </c>
      <c r="AL2015" s="10"/>
      <c r="AM2015" s="10"/>
      <c r="AN2015" s="10"/>
      <c r="AO2015" s="13" t="b">
        <v>0</v>
      </c>
      <c r="AP2015" s="10" t="s">
        <v>104</v>
      </c>
      <c r="AQ2015" s="10">
        <f ca="1">IFERROR(__xludf.DUMMYFUNCTION("""COMPUTED_VALUE"""),4569316)</f>
        <v>4569316</v>
      </c>
      <c r="AR2015" s="17">
        <v>183</v>
      </c>
      <c r="AS2015" s="17">
        <v>136</v>
      </c>
      <c r="AT2015" s="17">
        <v>1600</v>
      </c>
      <c r="AU2015" s="17">
        <v>0</v>
      </c>
      <c r="AV2015" s="17">
        <v>0</v>
      </c>
      <c r="AW2015" s="10" t="s">
        <v>105</v>
      </c>
      <c r="AX2015" s="17">
        <v>60</v>
      </c>
      <c r="AY2015" s="18">
        <v>11.764705882352942</v>
      </c>
      <c r="AZ2015" s="10"/>
      <c r="BA2015" s="20" t="b">
        <v>0</v>
      </c>
      <c r="BB2015" s="10" t="s">
        <v>15423</v>
      </c>
      <c r="BC2015" s="17">
        <v>183</v>
      </c>
      <c r="BD2015" s="17">
        <v>136</v>
      </c>
      <c r="BE2015" s="17">
        <v>1600</v>
      </c>
      <c r="BF2015" s="17">
        <v>0</v>
      </c>
      <c r="BG2015" s="11">
        <f ca="1">IFERROR(__xludf.DUMMYFUNCTION("""COMPUTED_VALUE"""),45914.2916666666)</f>
        <v>45914.291666666599</v>
      </c>
      <c r="BH2015" s="17" t="s">
        <v>105</v>
      </c>
      <c r="BI2015" s="17"/>
      <c r="BJ2015" s="15"/>
      <c r="BK2015" s="15"/>
      <c r="BL2015" s="13" t="b">
        <v>0</v>
      </c>
      <c r="BM2015" s="10"/>
      <c r="BN2015" s="10" t="s">
        <v>118</v>
      </c>
      <c r="BO2015" s="11">
        <v>45913.618055555555</v>
      </c>
      <c r="BP2015" s="11">
        <v>45913.618773148148</v>
      </c>
      <c r="BQ2015" s="15"/>
      <c r="BR2015" s="15">
        <v>45913.760416666664</v>
      </c>
      <c r="BS2015" s="10" t="s">
        <v>118</v>
      </c>
      <c r="BT2015" s="10"/>
      <c r="BU2015" s="10"/>
      <c r="BV2015" s="10"/>
      <c r="BW2015" s="10"/>
      <c r="BX2015" s="10"/>
      <c r="BY2015" s="23"/>
      <c r="BZ2015" s="23"/>
      <c r="CA2015" s="19" t="s">
        <v>9024</v>
      </c>
      <c r="CB2015" s="23"/>
      <c r="CC2015" s="23"/>
      <c r="CD2015" s="23"/>
      <c r="CE2015" s="23"/>
      <c r="CF2015" s="23"/>
      <c r="CG2015" s="23"/>
      <c r="CH2015" s="23"/>
      <c r="CI2015" s="23"/>
    </row>
    <row r="2016" spans="1:87" x14ac:dyDescent="0.3">
      <c r="A2016" s="9" t="s">
        <v>15431</v>
      </c>
      <c r="B2016" s="10" t="s">
        <v>15432</v>
      </c>
      <c r="C2016" s="11">
        <v>45914.3125</v>
      </c>
      <c r="D2016" s="12">
        <v>2.0833333333333332E-2</v>
      </c>
      <c r="E2016" s="11">
        <v>45914.333333333336</v>
      </c>
      <c r="F2016" s="10" t="s">
        <v>9016</v>
      </c>
      <c r="G2016" s="13" t="b">
        <v>0</v>
      </c>
      <c r="H2016" s="10" t="s">
        <v>9017</v>
      </c>
      <c r="I2016" s="10" t="s">
        <v>212</v>
      </c>
      <c r="J2016" s="13" t="b">
        <v>1</v>
      </c>
      <c r="K2016" s="13" t="b">
        <v>0</v>
      </c>
      <c r="L2016" s="10" t="s">
        <v>124</v>
      </c>
      <c r="M2016" s="10" t="s">
        <v>91</v>
      </c>
      <c r="N2016" s="10" t="s">
        <v>92</v>
      </c>
      <c r="O2016" s="19" t="s">
        <v>15433</v>
      </c>
      <c r="P2016" s="10"/>
      <c r="Q2016" s="10" t="s">
        <v>94</v>
      </c>
      <c r="R2016" s="10"/>
      <c r="S2016" s="19" t="s">
        <v>9019</v>
      </c>
      <c r="T2016" s="10"/>
      <c r="U2016" s="10"/>
      <c r="V2016" s="10"/>
      <c r="W2016" s="10" t="s">
        <v>9020</v>
      </c>
      <c r="X2016" s="10" t="s">
        <v>130</v>
      </c>
      <c r="Y2016" s="10" t="s">
        <v>130</v>
      </c>
      <c r="Z2016" s="10" t="s">
        <v>99</v>
      </c>
      <c r="AA2016" s="10" t="s">
        <v>131</v>
      </c>
      <c r="AB2016" s="10" t="s">
        <v>9021</v>
      </c>
      <c r="AC2016" s="10" t="s">
        <v>9022</v>
      </c>
      <c r="AD2016" s="10" t="s">
        <v>165</v>
      </c>
      <c r="AE2016" s="10" t="s">
        <v>15434</v>
      </c>
      <c r="AF2016" s="15"/>
      <c r="AG2016" s="10"/>
      <c r="AH2016" s="10"/>
      <c r="AI2016" s="10"/>
      <c r="AJ2016" s="10"/>
      <c r="AK2016" s="10" t="s">
        <v>102</v>
      </c>
      <c r="AL2016" s="10"/>
      <c r="AM2016" s="10"/>
      <c r="AN2016" s="10"/>
      <c r="AO2016" s="13" t="b">
        <v>0</v>
      </c>
      <c r="AP2016" s="10" t="s">
        <v>104</v>
      </c>
      <c r="AQ2016" s="10">
        <f ca="1">IFERROR(__xludf.DUMMYFUNCTION("""COMPUTED_VALUE"""),4569317)</f>
        <v>4569317</v>
      </c>
      <c r="AR2016" s="17">
        <v>170</v>
      </c>
      <c r="AS2016" s="17">
        <v>115</v>
      </c>
      <c r="AT2016" s="17">
        <v>1213.5</v>
      </c>
      <c r="AU2016" s="17">
        <v>0</v>
      </c>
      <c r="AV2016" s="17">
        <v>0</v>
      </c>
      <c r="AW2016" s="10" t="s">
        <v>105</v>
      </c>
      <c r="AX2016" s="17">
        <v>60</v>
      </c>
      <c r="AY2016" s="18">
        <v>10.552173913043479</v>
      </c>
      <c r="AZ2016" s="10"/>
      <c r="BA2016" s="20" t="b">
        <v>0</v>
      </c>
      <c r="BB2016" s="10" t="s">
        <v>15423</v>
      </c>
      <c r="BC2016" s="17">
        <v>170</v>
      </c>
      <c r="BD2016" s="17">
        <v>115</v>
      </c>
      <c r="BE2016" s="17">
        <v>1213.5</v>
      </c>
      <c r="BF2016" s="17">
        <v>0</v>
      </c>
      <c r="BG2016" s="11">
        <f ca="1">IFERROR(__xludf.DUMMYFUNCTION("""COMPUTED_VALUE"""),45914.3125)</f>
        <v>45914.3125</v>
      </c>
      <c r="BH2016" s="17" t="s">
        <v>105</v>
      </c>
      <c r="BI2016" s="17"/>
      <c r="BJ2016" s="15"/>
      <c r="BK2016" s="15"/>
      <c r="BL2016" s="13" t="b">
        <v>0</v>
      </c>
      <c r="BM2016" s="10"/>
      <c r="BN2016" s="10" t="s">
        <v>118</v>
      </c>
      <c r="BO2016" s="11">
        <v>45913.619444444441</v>
      </c>
      <c r="BP2016" s="11">
        <v>45913.620428240742</v>
      </c>
      <c r="BQ2016" s="15"/>
      <c r="BR2016" s="15">
        <v>45913.760613425926</v>
      </c>
      <c r="BS2016" s="10" t="s">
        <v>118</v>
      </c>
      <c r="BT2016" s="10"/>
      <c r="BU2016" s="10"/>
      <c r="BV2016" s="10"/>
      <c r="BW2016" s="10"/>
      <c r="BX2016" s="10"/>
      <c r="BY2016" s="23"/>
      <c r="BZ2016" s="23"/>
      <c r="CA2016" s="19" t="s">
        <v>9024</v>
      </c>
      <c r="CB2016" s="23"/>
      <c r="CC2016" s="23"/>
      <c r="CD2016" s="23"/>
      <c r="CE2016" s="23"/>
      <c r="CF2016" s="23"/>
      <c r="CG2016" s="23"/>
      <c r="CH2016" s="23"/>
      <c r="CI2016" s="23"/>
    </row>
    <row r="2017" spans="1:87" x14ac:dyDescent="0.3">
      <c r="A2017" s="9" t="s">
        <v>15435</v>
      </c>
      <c r="B2017" s="10" t="s">
        <v>15436</v>
      </c>
      <c r="C2017" s="11">
        <v>45914.333333333336</v>
      </c>
      <c r="D2017" s="12">
        <v>2.0833333333333332E-2</v>
      </c>
      <c r="E2017" s="11">
        <v>45914.354166666664</v>
      </c>
      <c r="F2017" s="10" t="s">
        <v>9016</v>
      </c>
      <c r="G2017" s="13" t="b">
        <v>0</v>
      </c>
      <c r="H2017" s="10" t="s">
        <v>9017</v>
      </c>
      <c r="I2017" s="10" t="s">
        <v>212</v>
      </c>
      <c r="J2017" s="13" t="b">
        <v>1</v>
      </c>
      <c r="K2017" s="13" t="b">
        <v>0</v>
      </c>
      <c r="L2017" s="10" t="s">
        <v>124</v>
      </c>
      <c r="M2017" s="10" t="s">
        <v>91</v>
      </c>
      <c r="N2017" s="10" t="s">
        <v>92</v>
      </c>
      <c r="O2017" s="19" t="s">
        <v>15437</v>
      </c>
      <c r="P2017" s="10"/>
      <c r="Q2017" s="10" t="s">
        <v>94</v>
      </c>
      <c r="R2017" s="10"/>
      <c r="S2017" s="19" t="s">
        <v>9019</v>
      </c>
      <c r="T2017" s="10"/>
      <c r="U2017" s="10"/>
      <c r="V2017" s="10"/>
      <c r="W2017" s="10" t="s">
        <v>9020</v>
      </c>
      <c r="X2017" s="10" t="s">
        <v>130</v>
      </c>
      <c r="Y2017" s="10" t="s">
        <v>130</v>
      </c>
      <c r="Z2017" s="10" t="s">
        <v>99</v>
      </c>
      <c r="AA2017" s="10" t="s">
        <v>131</v>
      </c>
      <c r="AB2017" s="10" t="s">
        <v>9021</v>
      </c>
      <c r="AC2017" s="10" t="s">
        <v>9022</v>
      </c>
      <c r="AD2017" s="10" t="s">
        <v>165</v>
      </c>
      <c r="AE2017" s="10" t="s">
        <v>15438</v>
      </c>
      <c r="AF2017" s="15"/>
      <c r="AG2017" s="10"/>
      <c r="AH2017" s="10"/>
      <c r="AI2017" s="10"/>
      <c r="AJ2017" s="10"/>
      <c r="AK2017" s="10" t="s">
        <v>102</v>
      </c>
      <c r="AL2017" s="10"/>
      <c r="AM2017" s="10"/>
      <c r="AN2017" s="10"/>
      <c r="AO2017" s="13" t="b">
        <v>0</v>
      </c>
      <c r="AP2017" s="10" t="s">
        <v>104</v>
      </c>
      <c r="AQ2017" s="10">
        <f ca="1">IFERROR(__xludf.DUMMYFUNCTION("""COMPUTED_VALUE"""),4569318)</f>
        <v>4569318</v>
      </c>
      <c r="AR2017" s="17">
        <v>193</v>
      </c>
      <c r="AS2017" s="17">
        <v>153</v>
      </c>
      <c r="AT2017" s="17">
        <v>1722.75</v>
      </c>
      <c r="AU2017" s="17">
        <v>0</v>
      </c>
      <c r="AV2017" s="17">
        <v>0</v>
      </c>
      <c r="AW2017" s="10" t="s">
        <v>105</v>
      </c>
      <c r="AX2017" s="17">
        <v>73</v>
      </c>
      <c r="AY2017" s="18">
        <v>11.259803921568627</v>
      </c>
      <c r="AZ2017" s="10"/>
      <c r="BA2017" s="20" t="b">
        <v>0</v>
      </c>
      <c r="BB2017" s="10" t="s">
        <v>15423</v>
      </c>
      <c r="BC2017" s="17">
        <v>193</v>
      </c>
      <c r="BD2017" s="17">
        <v>153</v>
      </c>
      <c r="BE2017" s="17">
        <v>1722.75</v>
      </c>
      <c r="BF2017" s="17">
        <v>0</v>
      </c>
      <c r="BG2017" s="11">
        <f ca="1">IFERROR(__xludf.DUMMYFUNCTION("""COMPUTED_VALUE"""),45914.3333333333)</f>
        <v>45914.333333333299</v>
      </c>
      <c r="BH2017" s="17" t="s">
        <v>105</v>
      </c>
      <c r="BI2017" s="17"/>
      <c r="BJ2017" s="15"/>
      <c r="BK2017" s="15"/>
      <c r="BL2017" s="13" t="b">
        <v>0</v>
      </c>
      <c r="BM2017" s="10"/>
      <c r="BN2017" s="10" t="s">
        <v>118</v>
      </c>
      <c r="BO2017" s="11">
        <v>45913.619444444441</v>
      </c>
      <c r="BP2017" s="11">
        <v>45913.63521990741</v>
      </c>
      <c r="BQ2017" s="15"/>
      <c r="BR2017" s="15">
        <v>45913.760775462964</v>
      </c>
      <c r="BS2017" s="10" t="s">
        <v>118</v>
      </c>
      <c r="BT2017" s="10"/>
      <c r="BU2017" s="10"/>
      <c r="BV2017" s="10"/>
      <c r="BW2017" s="10"/>
      <c r="BX2017" s="10"/>
      <c r="BY2017" s="23"/>
      <c r="BZ2017" s="23"/>
      <c r="CA2017" s="19" t="s">
        <v>9024</v>
      </c>
      <c r="CB2017" s="23"/>
      <c r="CC2017" s="23"/>
      <c r="CD2017" s="23"/>
      <c r="CE2017" s="23"/>
      <c r="CF2017" s="23"/>
      <c r="CG2017" s="23"/>
      <c r="CH2017" s="23"/>
      <c r="CI2017" s="23"/>
    </row>
    <row r="2018" spans="1:87" x14ac:dyDescent="0.3">
      <c r="A2018" s="9" t="s">
        <v>15439</v>
      </c>
      <c r="B2018" s="10" t="s">
        <v>15440</v>
      </c>
      <c r="C2018" s="11">
        <v>45914.354166666664</v>
      </c>
      <c r="D2018" s="12">
        <v>2.0833333333333332E-2</v>
      </c>
      <c r="E2018" s="11">
        <v>45914.375</v>
      </c>
      <c r="F2018" s="10" t="s">
        <v>9016</v>
      </c>
      <c r="G2018" s="13" t="b">
        <v>0</v>
      </c>
      <c r="H2018" s="10" t="s">
        <v>9017</v>
      </c>
      <c r="I2018" s="10" t="s">
        <v>212</v>
      </c>
      <c r="J2018" s="13" t="b">
        <v>1</v>
      </c>
      <c r="K2018" s="13" t="b">
        <v>0</v>
      </c>
      <c r="L2018" s="10" t="s">
        <v>124</v>
      </c>
      <c r="M2018" s="10" t="s">
        <v>91</v>
      </c>
      <c r="N2018" s="10" t="s">
        <v>92</v>
      </c>
      <c r="O2018" s="19" t="s">
        <v>15441</v>
      </c>
      <c r="P2018" s="10"/>
      <c r="Q2018" s="10" t="s">
        <v>94</v>
      </c>
      <c r="R2018" s="10"/>
      <c r="S2018" s="19" t="s">
        <v>9019</v>
      </c>
      <c r="T2018" s="10"/>
      <c r="U2018" s="10"/>
      <c r="V2018" s="10"/>
      <c r="W2018" s="10" t="s">
        <v>9020</v>
      </c>
      <c r="X2018" s="10" t="s">
        <v>130</v>
      </c>
      <c r="Y2018" s="10" t="s">
        <v>130</v>
      </c>
      <c r="Z2018" s="10" t="s">
        <v>99</v>
      </c>
      <c r="AA2018" s="10" t="s">
        <v>131</v>
      </c>
      <c r="AB2018" s="10" t="s">
        <v>9021</v>
      </c>
      <c r="AC2018" s="10" t="s">
        <v>9022</v>
      </c>
      <c r="AD2018" s="10" t="s">
        <v>165</v>
      </c>
      <c r="AE2018" s="10" t="s">
        <v>15442</v>
      </c>
      <c r="AF2018" s="15"/>
      <c r="AG2018" s="10"/>
      <c r="AH2018" s="10"/>
      <c r="AI2018" s="10"/>
      <c r="AJ2018" s="10"/>
      <c r="AK2018" s="10" t="s">
        <v>102</v>
      </c>
      <c r="AL2018" s="10"/>
      <c r="AM2018" s="10"/>
      <c r="AN2018" s="10"/>
      <c r="AO2018" s="13" t="b">
        <v>0</v>
      </c>
      <c r="AP2018" s="10" t="s">
        <v>104</v>
      </c>
      <c r="AQ2018" s="10">
        <f ca="1">IFERROR(__xludf.DUMMYFUNCTION("""COMPUTED_VALUE"""),4569320)</f>
        <v>4569320</v>
      </c>
      <c r="AR2018" s="17">
        <v>200</v>
      </c>
      <c r="AS2018" s="17">
        <v>150</v>
      </c>
      <c r="AT2018" s="17">
        <v>623.25</v>
      </c>
      <c r="AU2018" s="17">
        <v>0</v>
      </c>
      <c r="AV2018" s="17">
        <v>0</v>
      </c>
      <c r="AW2018" s="10" t="s">
        <v>105</v>
      </c>
      <c r="AX2018" s="17">
        <v>81</v>
      </c>
      <c r="AY2018" s="18">
        <v>4.1550000000000002</v>
      </c>
      <c r="AZ2018" s="10"/>
      <c r="BA2018" s="20" t="b">
        <v>0</v>
      </c>
      <c r="BB2018" s="10" t="s">
        <v>15423</v>
      </c>
      <c r="BC2018" s="17">
        <v>200</v>
      </c>
      <c r="BD2018" s="17">
        <v>150</v>
      </c>
      <c r="BE2018" s="17">
        <v>623.25</v>
      </c>
      <c r="BF2018" s="17">
        <v>0</v>
      </c>
      <c r="BG2018" s="11">
        <f ca="1">IFERROR(__xludf.DUMMYFUNCTION("""COMPUTED_VALUE"""),45914.3541666666)</f>
        <v>45914.354166666599</v>
      </c>
      <c r="BH2018" s="17" t="s">
        <v>105</v>
      </c>
      <c r="BI2018" s="17"/>
      <c r="BJ2018" s="15"/>
      <c r="BK2018" s="15"/>
      <c r="BL2018" s="13" t="b">
        <v>0</v>
      </c>
      <c r="BM2018" s="10"/>
      <c r="BN2018" s="10" t="s">
        <v>118</v>
      </c>
      <c r="BO2018" s="11">
        <v>45913.619444444441</v>
      </c>
      <c r="BP2018" s="11">
        <v>45913.635335648149</v>
      </c>
      <c r="BQ2018" s="15"/>
      <c r="BR2018" s="15">
        <v>45913.760949074072</v>
      </c>
      <c r="BS2018" s="10" t="s">
        <v>118</v>
      </c>
      <c r="BT2018" s="10"/>
      <c r="BU2018" s="10"/>
      <c r="BV2018" s="10"/>
      <c r="BW2018" s="10"/>
      <c r="BX2018" s="10"/>
      <c r="BY2018" s="23"/>
      <c r="BZ2018" s="23"/>
      <c r="CA2018" s="19" t="s">
        <v>9024</v>
      </c>
      <c r="CB2018" s="23"/>
      <c r="CC2018" s="23"/>
      <c r="CD2018" s="23"/>
      <c r="CE2018" s="23"/>
      <c r="CF2018" s="23"/>
      <c r="CG2018" s="23"/>
      <c r="CH2018" s="23"/>
      <c r="CI2018" s="23"/>
    </row>
    <row r="2019" spans="1:87" x14ac:dyDescent="0.3">
      <c r="A2019" s="9" t="s">
        <v>15443</v>
      </c>
      <c r="B2019" s="10" t="s">
        <v>15444</v>
      </c>
      <c r="C2019" s="11">
        <v>45914.375</v>
      </c>
      <c r="D2019" s="12">
        <v>2.0833333333333332E-2</v>
      </c>
      <c r="E2019" s="11">
        <v>45914.395833333336</v>
      </c>
      <c r="F2019" s="10" t="s">
        <v>9016</v>
      </c>
      <c r="G2019" s="13" t="b">
        <v>0</v>
      </c>
      <c r="H2019" s="10" t="s">
        <v>9017</v>
      </c>
      <c r="I2019" s="10" t="s">
        <v>212</v>
      </c>
      <c r="J2019" s="13" t="b">
        <v>1</v>
      </c>
      <c r="K2019" s="13" t="b">
        <v>0</v>
      </c>
      <c r="L2019" s="10" t="s">
        <v>124</v>
      </c>
      <c r="M2019" s="10" t="s">
        <v>91</v>
      </c>
      <c r="N2019" s="10" t="s">
        <v>92</v>
      </c>
      <c r="O2019" s="19" t="s">
        <v>15445</v>
      </c>
      <c r="P2019" s="10"/>
      <c r="Q2019" s="10" t="s">
        <v>94</v>
      </c>
      <c r="R2019" s="10"/>
      <c r="S2019" s="19" t="s">
        <v>9019</v>
      </c>
      <c r="T2019" s="10"/>
      <c r="U2019" s="10"/>
      <c r="V2019" s="10"/>
      <c r="W2019" s="10" t="s">
        <v>9020</v>
      </c>
      <c r="X2019" s="10" t="s">
        <v>130</v>
      </c>
      <c r="Y2019" s="10" t="s">
        <v>130</v>
      </c>
      <c r="Z2019" s="10" t="s">
        <v>99</v>
      </c>
      <c r="AA2019" s="10" t="s">
        <v>131</v>
      </c>
      <c r="AB2019" s="10" t="s">
        <v>9021</v>
      </c>
      <c r="AC2019" s="10" t="s">
        <v>9022</v>
      </c>
      <c r="AD2019" s="10" t="s">
        <v>165</v>
      </c>
      <c r="AE2019" s="10" t="s">
        <v>15446</v>
      </c>
      <c r="AF2019" s="15"/>
      <c r="AG2019" s="10"/>
      <c r="AH2019" s="10"/>
      <c r="AI2019" s="10"/>
      <c r="AJ2019" s="10"/>
      <c r="AK2019" s="10" t="s">
        <v>102</v>
      </c>
      <c r="AL2019" s="10"/>
      <c r="AM2019" s="10"/>
      <c r="AN2019" s="10"/>
      <c r="AO2019" s="13" t="b">
        <v>0</v>
      </c>
      <c r="AP2019" s="10" t="s">
        <v>104</v>
      </c>
      <c r="AQ2019" s="10">
        <f ca="1">IFERROR(__xludf.DUMMYFUNCTION("""COMPUTED_VALUE"""),4569319)</f>
        <v>4569319</v>
      </c>
      <c r="AR2019" s="17">
        <v>155</v>
      </c>
      <c r="AS2019" s="17">
        <v>122</v>
      </c>
      <c r="AT2019" s="17">
        <v>593</v>
      </c>
      <c r="AU2019" s="17">
        <v>0</v>
      </c>
      <c r="AV2019" s="17">
        <v>0</v>
      </c>
      <c r="AW2019" s="10" t="s">
        <v>105</v>
      </c>
      <c r="AX2019" s="17">
        <v>54</v>
      </c>
      <c r="AY2019" s="18">
        <v>4.860655737704918</v>
      </c>
      <c r="AZ2019" s="10"/>
      <c r="BA2019" s="20" t="b">
        <v>0</v>
      </c>
      <c r="BB2019" s="10" t="s">
        <v>15423</v>
      </c>
      <c r="BC2019" s="17">
        <v>155</v>
      </c>
      <c r="BD2019" s="17">
        <v>122</v>
      </c>
      <c r="BE2019" s="17">
        <v>593</v>
      </c>
      <c r="BF2019" s="17">
        <v>0</v>
      </c>
      <c r="BG2019" s="11">
        <f ca="1">IFERROR(__xludf.DUMMYFUNCTION("""COMPUTED_VALUE"""),45914.375)</f>
        <v>45914.375</v>
      </c>
      <c r="BH2019" s="17" t="s">
        <v>105</v>
      </c>
      <c r="BI2019" s="17"/>
      <c r="BJ2019" s="15"/>
      <c r="BK2019" s="15"/>
      <c r="BL2019" s="13" t="b">
        <v>0</v>
      </c>
      <c r="BM2019" s="10"/>
      <c r="BN2019" s="10" t="s">
        <v>118</v>
      </c>
      <c r="BO2019" s="11">
        <v>45913.635416666664</v>
      </c>
      <c r="BP2019" s="11">
        <v>45913.635671296295</v>
      </c>
      <c r="BQ2019" s="15"/>
      <c r="BR2019" s="15">
        <v>45913.761087962965</v>
      </c>
      <c r="BS2019" s="10" t="s">
        <v>118</v>
      </c>
      <c r="BT2019" s="10"/>
      <c r="BU2019" s="10"/>
      <c r="BV2019" s="10"/>
      <c r="BW2019" s="10"/>
      <c r="BX2019" s="10"/>
      <c r="BY2019" s="23"/>
      <c r="BZ2019" s="23"/>
      <c r="CA2019" s="19" t="s">
        <v>9024</v>
      </c>
      <c r="CB2019" s="23"/>
      <c r="CC2019" s="23"/>
      <c r="CD2019" s="23"/>
      <c r="CE2019" s="23"/>
      <c r="CF2019" s="23"/>
      <c r="CG2019" s="23"/>
      <c r="CH2019" s="23"/>
      <c r="CI2019" s="23"/>
    </row>
    <row r="2020" spans="1:87" x14ac:dyDescent="0.3">
      <c r="A2020" s="9" t="s">
        <v>15447</v>
      </c>
      <c r="B2020" s="10" t="s">
        <v>15448</v>
      </c>
      <c r="C2020" s="11">
        <v>45914.395833333336</v>
      </c>
      <c r="D2020" s="12">
        <v>2.0833333333333332E-2</v>
      </c>
      <c r="E2020" s="11">
        <v>45914.416666666664</v>
      </c>
      <c r="F2020" s="10" t="s">
        <v>9016</v>
      </c>
      <c r="G2020" s="13" t="b">
        <v>0</v>
      </c>
      <c r="H2020" s="10" t="s">
        <v>9017</v>
      </c>
      <c r="I2020" s="10" t="s">
        <v>212</v>
      </c>
      <c r="J2020" s="13" t="b">
        <v>1</v>
      </c>
      <c r="K2020" s="13" t="b">
        <v>0</v>
      </c>
      <c r="L2020" s="10" t="s">
        <v>124</v>
      </c>
      <c r="M2020" s="10" t="s">
        <v>91</v>
      </c>
      <c r="N2020" s="10" t="s">
        <v>92</v>
      </c>
      <c r="O2020" s="19" t="s">
        <v>15449</v>
      </c>
      <c r="P2020" s="10"/>
      <c r="Q2020" s="10" t="s">
        <v>94</v>
      </c>
      <c r="R2020" s="10"/>
      <c r="S2020" s="19" t="s">
        <v>9019</v>
      </c>
      <c r="T2020" s="10"/>
      <c r="U2020" s="10"/>
      <c r="V2020" s="10"/>
      <c r="W2020" s="10" t="s">
        <v>9020</v>
      </c>
      <c r="X2020" s="10" t="s">
        <v>130</v>
      </c>
      <c r="Y2020" s="10" t="s">
        <v>130</v>
      </c>
      <c r="Z2020" s="10" t="s">
        <v>99</v>
      </c>
      <c r="AA2020" s="10" t="s">
        <v>131</v>
      </c>
      <c r="AB2020" s="10" t="s">
        <v>9021</v>
      </c>
      <c r="AC2020" s="10" t="s">
        <v>9022</v>
      </c>
      <c r="AD2020" s="10" t="s">
        <v>165</v>
      </c>
      <c r="AE2020" s="10" t="s">
        <v>15450</v>
      </c>
      <c r="AF2020" s="15"/>
      <c r="AG2020" s="10"/>
      <c r="AH2020" s="10"/>
      <c r="AI2020" s="10"/>
      <c r="AJ2020" s="10"/>
      <c r="AK2020" s="10" t="s">
        <v>102</v>
      </c>
      <c r="AL2020" s="10"/>
      <c r="AM2020" s="10"/>
      <c r="AN2020" s="10"/>
      <c r="AO2020" s="13" t="b">
        <v>0</v>
      </c>
      <c r="AP2020" s="10" t="s">
        <v>104</v>
      </c>
      <c r="AQ2020" s="10">
        <f ca="1">IFERROR(__xludf.DUMMYFUNCTION("""COMPUTED_VALUE"""),4569324)</f>
        <v>4569324</v>
      </c>
      <c r="AR2020" s="17">
        <v>178</v>
      </c>
      <c r="AS2020" s="17">
        <v>144</v>
      </c>
      <c r="AT2020" s="17">
        <v>631.5</v>
      </c>
      <c r="AU2020" s="17">
        <v>0</v>
      </c>
      <c r="AV2020" s="17">
        <v>0</v>
      </c>
      <c r="AW2020" s="10" t="s">
        <v>105</v>
      </c>
      <c r="AX2020" s="17">
        <v>68</v>
      </c>
      <c r="AY2020" s="18">
        <v>4.385416666666667</v>
      </c>
      <c r="AZ2020" s="10"/>
      <c r="BA2020" s="20" t="b">
        <v>0</v>
      </c>
      <c r="BB2020" s="10" t="s">
        <v>15423</v>
      </c>
      <c r="BC2020" s="17">
        <v>178</v>
      </c>
      <c r="BD2020" s="17">
        <v>144</v>
      </c>
      <c r="BE2020" s="17">
        <v>631.5</v>
      </c>
      <c r="BF2020" s="17">
        <v>0</v>
      </c>
      <c r="BG2020" s="11">
        <f ca="1">IFERROR(__xludf.DUMMYFUNCTION("""COMPUTED_VALUE"""),45914.3958333333)</f>
        <v>45914.395833333299</v>
      </c>
      <c r="BH2020" s="17" t="s">
        <v>105</v>
      </c>
      <c r="BI2020" s="17"/>
      <c r="BJ2020" s="15"/>
      <c r="BK2020" s="15"/>
      <c r="BL2020" s="13" t="b">
        <v>0</v>
      </c>
      <c r="BM2020" s="10"/>
      <c r="BN2020" s="10" t="s">
        <v>118</v>
      </c>
      <c r="BO2020" s="11">
        <v>45913.635416666664</v>
      </c>
      <c r="BP2020" s="11">
        <v>45913.636053240742</v>
      </c>
      <c r="BQ2020" s="15"/>
      <c r="BR2020" s="15">
        <v>45913.761273148149</v>
      </c>
      <c r="BS2020" s="10" t="s">
        <v>118</v>
      </c>
      <c r="BT2020" s="10"/>
      <c r="BU2020" s="10"/>
      <c r="BV2020" s="10"/>
      <c r="BW2020" s="10"/>
      <c r="BX2020" s="10"/>
      <c r="BY2020" s="23"/>
      <c r="BZ2020" s="23"/>
      <c r="CA2020" s="19" t="s">
        <v>9024</v>
      </c>
      <c r="CB2020" s="23"/>
      <c r="CC2020" s="23"/>
      <c r="CD2020" s="23"/>
      <c r="CE2020" s="23"/>
      <c r="CF2020" s="23"/>
      <c r="CG2020" s="23"/>
      <c r="CH2020" s="23"/>
      <c r="CI2020" s="23"/>
    </row>
    <row r="2021" spans="1:87" x14ac:dyDescent="0.3">
      <c r="A2021" s="9" t="s">
        <v>15451</v>
      </c>
      <c r="B2021" s="10" t="s">
        <v>15452</v>
      </c>
      <c r="C2021" s="11">
        <v>45914.416666666664</v>
      </c>
      <c r="D2021" s="12">
        <v>2.0833333333333332E-2</v>
      </c>
      <c r="E2021" s="11">
        <v>45914.4375</v>
      </c>
      <c r="F2021" s="10" t="s">
        <v>9016</v>
      </c>
      <c r="G2021" s="13" t="b">
        <v>0</v>
      </c>
      <c r="H2021" s="10" t="s">
        <v>9017</v>
      </c>
      <c r="I2021" s="10" t="s">
        <v>212</v>
      </c>
      <c r="J2021" s="13" t="b">
        <v>1</v>
      </c>
      <c r="K2021" s="13" t="b">
        <v>0</v>
      </c>
      <c r="L2021" s="10" t="s">
        <v>124</v>
      </c>
      <c r="M2021" s="10" t="s">
        <v>91</v>
      </c>
      <c r="N2021" s="10" t="s">
        <v>92</v>
      </c>
      <c r="O2021" s="19" t="s">
        <v>15453</v>
      </c>
      <c r="P2021" s="10"/>
      <c r="Q2021" s="10" t="s">
        <v>94</v>
      </c>
      <c r="R2021" s="10"/>
      <c r="S2021" s="19" t="s">
        <v>9019</v>
      </c>
      <c r="T2021" s="10"/>
      <c r="U2021" s="10"/>
      <c r="V2021" s="10"/>
      <c r="W2021" s="10" t="s">
        <v>9020</v>
      </c>
      <c r="X2021" s="10" t="s">
        <v>130</v>
      </c>
      <c r="Y2021" s="10" t="s">
        <v>130</v>
      </c>
      <c r="Z2021" s="10" t="s">
        <v>99</v>
      </c>
      <c r="AA2021" s="10" t="s">
        <v>131</v>
      </c>
      <c r="AB2021" s="10" t="s">
        <v>9021</v>
      </c>
      <c r="AC2021" s="10" t="s">
        <v>9022</v>
      </c>
      <c r="AD2021" s="10" t="s">
        <v>165</v>
      </c>
      <c r="AE2021" s="10" t="s">
        <v>15454</v>
      </c>
      <c r="AF2021" s="15"/>
      <c r="AG2021" s="10"/>
      <c r="AH2021" s="10"/>
      <c r="AI2021" s="10"/>
      <c r="AJ2021" s="10"/>
      <c r="AK2021" s="10" t="s">
        <v>102</v>
      </c>
      <c r="AL2021" s="10"/>
      <c r="AM2021" s="10"/>
      <c r="AN2021" s="10"/>
      <c r="AO2021" s="13" t="b">
        <v>0</v>
      </c>
      <c r="AP2021" s="10" t="s">
        <v>104</v>
      </c>
      <c r="AQ2021" s="10">
        <f ca="1">IFERROR(__xludf.DUMMYFUNCTION("""COMPUTED_VALUE"""),4569321)</f>
        <v>4569321</v>
      </c>
      <c r="AR2021" s="17">
        <v>200</v>
      </c>
      <c r="AS2021" s="17">
        <v>152</v>
      </c>
      <c r="AT2021" s="17">
        <v>1097.75</v>
      </c>
      <c r="AU2021" s="17">
        <v>0</v>
      </c>
      <c r="AV2021" s="17">
        <v>0</v>
      </c>
      <c r="AW2021" s="10" t="s">
        <v>105</v>
      </c>
      <c r="AX2021" s="17">
        <v>68</v>
      </c>
      <c r="AY2021" s="18">
        <v>7.2220394736842106</v>
      </c>
      <c r="AZ2021" s="10"/>
      <c r="BA2021" s="20" t="b">
        <v>0</v>
      </c>
      <c r="BB2021" s="10" t="s">
        <v>15423</v>
      </c>
      <c r="BC2021" s="17">
        <v>200</v>
      </c>
      <c r="BD2021" s="17">
        <v>152</v>
      </c>
      <c r="BE2021" s="17">
        <v>1097.75</v>
      </c>
      <c r="BF2021" s="17">
        <v>0</v>
      </c>
      <c r="BG2021" s="11">
        <f ca="1">IFERROR(__xludf.DUMMYFUNCTION("""COMPUTED_VALUE"""),45914.4166666666)</f>
        <v>45914.416666666599</v>
      </c>
      <c r="BH2021" s="17" t="s">
        <v>105</v>
      </c>
      <c r="BI2021" s="17"/>
      <c r="BJ2021" s="15"/>
      <c r="BK2021" s="15"/>
      <c r="BL2021" s="13" t="b">
        <v>0</v>
      </c>
      <c r="BM2021" s="10"/>
      <c r="BN2021" s="10" t="s">
        <v>118</v>
      </c>
      <c r="BO2021" s="11">
        <v>45913.65625</v>
      </c>
      <c r="BP2021" s="11">
        <v>45913.656782407408</v>
      </c>
      <c r="BQ2021" s="15"/>
      <c r="BR2021" s="15">
        <v>45913.770127314812</v>
      </c>
      <c r="BS2021" s="10" t="s">
        <v>118</v>
      </c>
      <c r="BT2021" s="10"/>
      <c r="BU2021" s="10"/>
      <c r="BV2021" s="10"/>
      <c r="BW2021" s="10"/>
      <c r="BX2021" s="10"/>
      <c r="BY2021" s="23"/>
      <c r="BZ2021" s="23"/>
      <c r="CA2021" s="19" t="s">
        <v>9024</v>
      </c>
      <c r="CB2021" s="23"/>
      <c r="CC2021" s="23"/>
      <c r="CD2021" s="23"/>
      <c r="CE2021" s="23"/>
      <c r="CF2021" s="23"/>
      <c r="CG2021" s="23"/>
      <c r="CH2021" s="23"/>
      <c r="CI2021" s="23"/>
    </row>
    <row r="2022" spans="1:87" x14ac:dyDescent="0.3">
      <c r="A2022" s="9" t="s">
        <v>15455</v>
      </c>
      <c r="B2022" s="10" t="s">
        <v>15456</v>
      </c>
      <c r="C2022" s="11">
        <v>45914.4375</v>
      </c>
      <c r="D2022" s="12">
        <v>2.0833333333333332E-2</v>
      </c>
      <c r="E2022" s="11">
        <v>45914.458333333336</v>
      </c>
      <c r="F2022" s="10" t="s">
        <v>9016</v>
      </c>
      <c r="G2022" s="13" t="b">
        <v>0</v>
      </c>
      <c r="H2022" s="10" t="s">
        <v>9017</v>
      </c>
      <c r="I2022" s="10" t="s">
        <v>212</v>
      </c>
      <c r="J2022" s="13" t="b">
        <v>1</v>
      </c>
      <c r="K2022" s="13" t="b">
        <v>0</v>
      </c>
      <c r="L2022" s="10" t="s">
        <v>124</v>
      </c>
      <c r="M2022" s="10" t="s">
        <v>91</v>
      </c>
      <c r="N2022" s="10" t="s">
        <v>92</v>
      </c>
      <c r="O2022" s="19" t="s">
        <v>15457</v>
      </c>
      <c r="P2022" s="10"/>
      <c r="Q2022" s="10" t="s">
        <v>94</v>
      </c>
      <c r="R2022" s="10"/>
      <c r="S2022" s="19" t="s">
        <v>9019</v>
      </c>
      <c r="T2022" s="10"/>
      <c r="U2022" s="10"/>
      <c r="V2022" s="10"/>
      <c r="W2022" s="10" t="s">
        <v>9020</v>
      </c>
      <c r="X2022" s="10" t="s">
        <v>130</v>
      </c>
      <c r="Y2022" s="10" t="s">
        <v>130</v>
      </c>
      <c r="Z2022" s="10" t="s">
        <v>99</v>
      </c>
      <c r="AA2022" s="10" t="s">
        <v>131</v>
      </c>
      <c r="AB2022" s="10" t="s">
        <v>9021</v>
      </c>
      <c r="AC2022" s="10" t="s">
        <v>9022</v>
      </c>
      <c r="AD2022" s="10" t="s">
        <v>165</v>
      </c>
      <c r="AE2022" s="10" t="s">
        <v>15458</v>
      </c>
      <c r="AF2022" s="15"/>
      <c r="AG2022" s="10"/>
      <c r="AH2022" s="10"/>
      <c r="AI2022" s="10"/>
      <c r="AJ2022" s="10"/>
      <c r="AK2022" s="10" t="s">
        <v>102</v>
      </c>
      <c r="AL2022" s="10"/>
      <c r="AM2022" s="10"/>
      <c r="AN2022" s="10"/>
      <c r="AO2022" s="13" t="b">
        <v>0</v>
      </c>
      <c r="AP2022" s="10" t="s">
        <v>104</v>
      </c>
      <c r="AQ2022" s="10">
        <f ca="1">IFERROR(__xludf.DUMMYFUNCTION("""COMPUTED_VALUE"""),4569323)</f>
        <v>4569323</v>
      </c>
      <c r="AR2022" s="17">
        <v>195</v>
      </c>
      <c r="AS2022" s="17">
        <v>155</v>
      </c>
      <c r="AT2022" s="17">
        <v>1004</v>
      </c>
      <c r="AU2022" s="17">
        <v>0</v>
      </c>
      <c r="AV2022" s="17">
        <v>0</v>
      </c>
      <c r="AW2022" s="10" t="s">
        <v>105</v>
      </c>
      <c r="AX2022" s="17">
        <v>67</v>
      </c>
      <c r="AY2022" s="18">
        <v>6.4774193548387098</v>
      </c>
      <c r="AZ2022" s="10"/>
      <c r="BA2022" s="20" t="b">
        <v>0</v>
      </c>
      <c r="BB2022" s="10" t="s">
        <v>15423</v>
      </c>
      <c r="BC2022" s="17">
        <v>195</v>
      </c>
      <c r="BD2022" s="17">
        <v>155</v>
      </c>
      <c r="BE2022" s="17">
        <v>1004</v>
      </c>
      <c r="BF2022" s="17">
        <v>0</v>
      </c>
      <c r="BG2022" s="11">
        <f ca="1">IFERROR(__xludf.DUMMYFUNCTION("""COMPUTED_VALUE"""),45914.4375)</f>
        <v>45914.4375</v>
      </c>
      <c r="BH2022" s="17" t="s">
        <v>105</v>
      </c>
      <c r="BI2022" s="17"/>
      <c r="BJ2022" s="15"/>
      <c r="BK2022" s="15"/>
      <c r="BL2022" s="13" t="b">
        <v>0</v>
      </c>
      <c r="BM2022" s="10"/>
      <c r="BN2022" s="10" t="s">
        <v>118</v>
      </c>
      <c r="BO2022" s="11">
        <v>45913.656944444447</v>
      </c>
      <c r="BP2022" s="11">
        <v>45913.657326388886</v>
      </c>
      <c r="BQ2022" s="15"/>
      <c r="BR2022" s="15">
        <v>45913.770277777781</v>
      </c>
      <c r="BS2022" s="10" t="s">
        <v>118</v>
      </c>
      <c r="BT2022" s="10"/>
      <c r="BU2022" s="10"/>
      <c r="BV2022" s="10"/>
      <c r="BW2022" s="10"/>
      <c r="BX2022" s="10"/>
      <c r="BY2022" s="23"/>
      <c r="BZ2022" s="23"/>
      <c r="CA2022" s="19" t="s">
        <v>9024</v>
      </c>
      <c r="CB2022" s="23"/>
      <c r="CC2022" s="23"/>
      <c r="CD2022" s="23"/>
      <c r="CE2022" s="23"/>
      <c r="CF2022" s="23"/>
      <c r="CG2022" s="23"/>
      <c r="CH2022" s="23"/>
      <c r="CI2022" s="23"/>
    </row>
    <row r="2023" spans="1:87" x14ac:dyDescent="0.3">
      <c r="A2023" s="9" t="s">
        <v>15459</v>
      </c>
      <c r="B2023" s="10" t="s">
        <v>15460</v>
      </c>
      <c r="C2023" s="11">
        <v>45914.458333333336</v>
      </c>
      <c r="D2023" s="12">
        <v>2.0833333333333332E-2</v>
      </c>
      <c r="E2023" s="11">
        <v>45914.479166666664</v>
      </c>
      <c r="F2023" s="10" t="s">
        <v>9016</v>
      </c>
      <c r="G2023" s="13" t="b">
        <v>0</v>
      </c>
      <c r="H2023" s="10" t="s">
        <v>9017</v>
      </c>
      <c r="I2023" s="10" t="s">
        <v>212</v>
      </c>
      <c r="J2023" s="13" t="b">
        <v>1</v>
      </c>
      <c r="K2023" s="13" t="b">
        <v>0</v>
      </c>
      <c r="L2023" s="10" t="s">
        <v>124</v>
      </c>
      <c r="M2023" s="10" t="s">
        <v>91</v>
      </c>
      <c r="N2023" s="10" t="s">
        <v>92</v>
      </c>
      <c r="O2023" s="19" t="s">
        <v>15461</v>
      </c>
      <c r="P2023" s="10"/>
      <c r="Q2023" s="10" t="s">
        <v>94</v>
      </c>
      <c r="R2023" s="10"/>
      <c r="S2023" s="19" t="s">
        <v>9019</v>
      </c>
      <c r="T2023" s="10"/>
      <c r="U2023" s="10"/>
      <c r="V2023" s="10"/>
      <c r="W2023" s="10" t="s">
        <v>9020</v>
      </c>
      <c r="X2023" s="10" t="s">
        <v>130</v>
      </c>
      <c r="Y2023" s="10" t="s">
        <v>130</v>
      </c>
      <c r="Z2023" s="10" t="s">
        <v>99</v>
      </c>
      <c r="AA2023" s="10" t="s">
        <v>131</v>
      </c>
      <c r="AB2023" s="10" t="s">
        <v>9021</v>
      </c>
      <c r="AC2023" s="10" t="s">
        <v>9022</v>
      </c>
      <c r="AD2023" s="10" t="s">
        <v>165</v>
      </c>
      <c r="AE2023" s="10" t="s">
        <v>15462</v>
      </c>
      <c r="AF2023" s="15"/>
      <c r="AG2023" s="10"/>
      <c r="AH2023" s="10"/>
      <c r="AI2023" s="10"/>
      <c r="AJ2023" s="10"/>
      <c r="AK2023" s="10" t="s">
        <v>102</v>
      </c>
      <c r="AL2023" s="10"/>
      <c r="AM2023" s="10"/>
      <c r="AN2023" s="10"/>
      <c r="AO2023" s="13" t="b">
        <v>0</v>
      </c>
      <c r="AP2023" s="10" t="s">
        <v>104</v>
      </c>
      <c r="AQ2023" s="10">
        <f ca="1">IFERROR(__xludf.DUMMYFUNCTION("""COMPUTED_VALUE"""),4569326)</f>
        <v>4569326</v>
      </c>
      <c r="AR2023" s="17">
        <v>202</v>
      </c>
      <c r="AS2023" s="17">
        <v>159</v>
      </c>
      <c r="AT2023" s="17">
        <v>1026.25</v>
      </c>
      <c r="AU2023" s="17">
        <v>0</v>
      </c>
      <c r="AV2023" s="17">
        <v>0</v>
      </c>
      <c r="AW2023" s="10" t="s">
        <v>105</v>
      </c>
      <c r="AX2023" s="17">
        <v>77</v>
      </c>
      <c r="AY2023" s="18">
        <v>6.4544025157232703</v>
      </c>
      <c r="AZ2023" s="10"/>
      <c r="BA2023" s="20" t="b">
        <v>0</v>
      </c>
      <c r="BB2023" s="10" t="s">
        <v>15423</v>
      </c>
      <c r="BC2023" s="17">
        <v>202</v>
      </c>
      <c r="BD2023" s="17">
        <v>159</v>
      </c>
      <c r="BE2023" s="17">
        <v>1026.25</v>
      </c>
      <c r="BF2023" s="17">
        <v>0</v>
      </c>
      <c r="BG2023" s="11">
        <f ca="1">IFERROR(__xludf.DUMMYFUNCTION("""COMPUTED_VALUE"""),45914.4583333333)</f>
        <v>45914.458333333299</v>
      </c>
      <c r="BH2023" s="17" t="s">
        <v>105</v>
      </c>
      <c r="BI2023" s="17"/>
      <c r="BJ2023" s="15"/>
      <c r="BK2023" s="15"/>
      <c r="BL2023" s="13" t="b">
        <v>0</v>
      </c>
      <c r="BM2023" s="10"/>
      <c r="BN2023" s="10" t="s">
        <v>118</v>
      </c>
      <c r="BO2023" s="11">
        <v>45913.656944444447</v>
      </c>
      <c r="BP2023" s="11">
        <v>45913.657789351855</v>
      </c>
      <c r="BQ2023" s="15"/>
      <c r="BR2023" s="15">
        <v>45913.770439814813</v>
      </c>
      <c r="BS2023" s="10" t="s">
        <v>118</v>
      </c>
      <c r="BT2023" s="10"/>
      <c r="BU2023" s="10"/>
      <c r="BV2023" s="10"/>
      <c r="BW2023" s="10"/>
      <c r="BX2023" s="10"/>
      <c r="BY2023" s="23"/>
      <c r="BZ2023" s="23"/>
      <c r="CA2023" s="19" t="s">
        <v>9024</v>
      </c>
      <c r="CB2023" s="23"/>
      <c r="CC2023" s="23"/>
      <c r="CD2023" s="23"/>
      <c r="CE2023" s="23"/>
      <c r="CF2023" s="23"/>
      <c r="CG2023" s="23"/>
      <c r="CH2023" s="23"/>
      <c r="CI2023" s="23"/>
    </row>
    <row r="2024" spans="1:87" x14ac:dyDescent="0.3">
      <c r="A2024" s="9" t="s">
        <v>15463</v>
      </c>
      <c r="B2024" s="10" t="s">
        <v>15464</v>
      </c>
      <c r="C2024" s="11">
        <v>45914.479166666664</v>
      </c>
      <c r="D2024" s="12">
        <v>2.0833333333333332E-2</v>
      </c>
      <c r="E2024" s="11">
        <v>45914.5</v>
      </c>
      <c r="F2024" s="10" t="s">
        <v>9016</v>
      </c>
      <c r="G2024" s="13" t="b">
        <v>0</v>
      </c>
      <c r="H2024" s="10" t="s">
        <v>9017</v>
      </c>
      <c r="I2024" s="10" t="s">
        <v>212</v>
      </c>
      <c r="J2024" s="13" t="b">
        <v>1</v>
      </c>
      <c r="K2024" s="13" t="b">
        <v>0</v>
      </c>
      <c r="L2024" s="10" t="s">
        <v>124</v>
      </c>
      <c r="M2024" s="10" t="s">
        <v>91</v>
      </c>
      <c r="N2024" s="10" t="s">
        <v>92</v>
      </c>
      <c r="O2024" s="19" t="s">
        <v>15465</v>
      </c>
      <c r="P2024" s="10"/>
      <c r="Q2024" s="10" t="s">
        <v>94</v>
      </c>
      <c r="R2024" s="10"/>
      <c r="S2024" s="19" t="s">
        <v>9019</v>
      </c>
      <c r="T2024" s="10"/>
      <c r="U2024" s="10"/>
      <c r="V2024" s="10"/>
      <c r="W2024" s="10" t="s">
        <v>9020</v>
      </c>
      <c r="X2024" s="10" t="s">
        <v>130</v>
      </c>
      <c r="Y2024" s="10" t="s">
        <v>130</v>
      </c>
      <c r="Z2024" s="10" t="s">
        <v>99</v>
      </c>
      <c r="AA2024" s="10" t="s">
        <v>131</v>
      </c>
      <c r="AB2024" s="10" t="s">
        <v>9021</v>
      </c>
      <c r="AC2024" s="10" t="s">
        <v>9022</v>
      </c>
      <c r="AD2024" s="10" t="s">
        <v>165</v>
      </c>
      <c r="AE2024" s="10" t="s">
        <v>15466</v>
      </c>
      <c r="AF2024" s="15"/>
      <c r="AG2024" s="10"/>
      <c r="AH2024" s="10"/>
      <c r="AI2024" s="10"/>
      <c r="AJ2024" s="10"/>
      <c r="AK2024" s="10" t="s">
        <v>102</v>
      </c>
      <c r="AL2024" s="10"/>
      <c r="AM2024" s="10"/>
      <c r="AN2024" s="10"/>
      <c r="AO2024" s="13" t="b">
        <v>0</v>
      </c>
      <c r="AP2024" s="10" t="s">
        <v>104</v>
      </c>
      <c r="AQ2024" s="10">
        <f ca="1">IFERROR(__xludf.DUMMYFUNCTION("""COMPUTED_VALUE"""),4569327)</f>
        <v>4569327</v>
      </c>
      <c r="AR2024" s="17">
        <v>141</v>
      </c>
      <c r="AS2024" s="17">
        <v>106</v>
      </c>
      <c r="AT2024" s="17">
        <v>763.25</v>
      </c>
      <c r="AU2024" s="17">
        <v>0</v>
      </c>
      <c r="AV2024" s="17">
        <v>0</v>
      </c>
      <c r="AW2024" s="10" t="s">
        <v>105</v>
      </c>
      <c r="AX2024" s="17">
        <v>64</v>
      </c>
      <c r="AY2024" s="18">
        <v>7.2004716981132075</v>
      </c>
      <c r="AZ2024" s="10"/>
      <c r="BA2024" s="20" t="b">
        <v>0</v>
      </c>
      <c r="BB2024" s="10" t="s">
        <v>15423</v>
      </c>
      <c r="BC2024" s="17">
        <v>141</v>
      </c>
      <c r="BD2024" s="17">
        <v>106</v>
      </c>
      <c r="BE2024" s="17">
        <v>763.25</v>
      </c>
      <c r="BF2024" s="17">
        <v>0</v>
      </c>
      <c r="BG2024" s="11">
        <f ca="1">IFERROR(__xludf.DUMMYFUNCTION("""COMPUTED_VALUE"""),45914.4791666666)</f>
        <v>45914.479166666599</v>
      </c>
      <c r="BH2024" s="17" t="s">
        <v>105</v>
      </c>
      <c r="BI2024" s="17"/>
      <c r="BJ2024" s="15"/>
      <c r="BK2024" s="15"/>
      <c r="BL2024" s="13" t="b">
        <v>0</v>
      </c>
      <c r="BM2024" s="10"/>
      <c r="BN2024" s="10" t="s">
        <v>118</v>
      </c>
      <c r="BO2024" s="11">
        <v>45913.657638888886</v>
      </c>
      <c r="BP2024" s="11">
        <v>45913.658067129632</v>
      </c>
      <c r="BQ2024" s="15"/>
      <c r="BR2024" s="15">
        <v>45913.770578703705</v>
      </c>
      <c r="BS2024" s="10" t="s">
        <v>118</v>
      </c>
      <c r="BT2024" s="10"/>
      <c r="BU2024" s="10"/>
      <c r="BV2024" s="10"/>
      <c r="BW2024" s="10"/>
      <c r="BX2024" s="10"/>
      <c r="BY2024" s="23"/>
      <c r="BZ2024" s="23"/>
      <c r="CA2024" s="19" t="s">
        <v>9024</v>
      </c>
      <c r="CB2024" s="23"/>
      <c r="CC2024" s="23"/>
      <c r="CD2024" s="23"/>
      <c r="CE2024" s="23"/>
      <c r="CF2024" s="23"/>
      <c r="CG2024" s="23"/>
      <c r="CH2024" s="23"/>
      <c r="CI2024" s="23"/>
    </row>
    <row r="2025" spans="1:87" x14ac:dyDescent="0.3">
      <c r="A2025" s="9" t="s">
        <v>15467</v>
      </c>
      <c r="B2025" s="10" t="s">
        <v>15468</v>
      </c>
      <c r="C2025" s="11">
        <v>45914.517361111109</v>
      </c>
      <c r="D2025" s="12">
        <v>2.0833333333333332E-2</v>
      </c>
      <c r="E2025" s="11">
        <v>45914.538194444445</v>
      </c>
      <c r="F2025" s="10" t="s">
        <v>9016</v>
      </c>
      <c r="G2025" s="13" t="b">
        <v>0</v>
      </c>
      <c r="H2025" s="10" t="s">
        <v>9017</v>
      </c>
      <c r="I2025" s="10" t="s">
        <v>212</v>
      </c>
      <c r="J2025" s="13" t="b">
        <v>1</v>
      </c>
      <c r="K2025" s="13" t="b">
        <v>0</v>
      </c>
      <c r="L2025" s="10" t="s">
        <v>124</v>
      </c>
      <c r="M2025" s="10" t="s">
        <v>91</v>
      </c>
      <c r="N2025" s="10" t="s">
        <v>92</v>
      </c>
      <c r="O2025" s="19" t="s">
        <v>15469</v>
      </c>
      <c r="P2025" s="10"/>
      <c r="Q2025" s="10" t="s">
        <v>94</v>
      </c>
      <c r="R2025" s="10"/>
      <c r="S2025" s="19" t="s">
        <v>9019</v>
      </c>
      <c r="T2025" s="10"/>
      <c r="U2025" s="10"/>
      <c r="V2025" s="10"/>
      <c r="W2025" s="10" t="s">
        <v>9020</v>
      </c>
      <c r="X2025" s="10" t="s">
        <v>130</v>
      </c>
      <c r="Y2025" s="10" t="s">
        <v>130</v>
      </c>
      <c r="Z2025" s="10" t="s">
        <v>99</v>
      </c>
      <c r="AA2025" s="10" t="s">
        <v>131</v>
      </c>
      <c r="AB2025" s="10" t="s">
        <v>9021</v>
      </c>
      <c r="AC2025" s="10" t="s">
        <v>9022</v>
      </c>
      <c r="AD2025" s="10" t="s">
        <v>165</v>
      </c>
      <c r="AE2025" s="10" t="s">
        <v>15470</v>
      </c>
      <c r="AF2025" s="15"/>
      <c r="AG2025" s="10"/>
      <c r="AH2025" s="10"/>
      <c r="AI2025" s="10"/>
      <c r="AJ2025" s="10"/>
      <c r="AK2025" s="10" t="s">
        <v>102</v>
      </c>
      <c r="AL2025" s="10"/>
      <c r="AM2025" s="10"/>
      <c r="AN2025" s="10"/>
      <c r="AO2025" s="13" t="b">
        <v>0</v>
      </c>
      <c r="AP2025" s="10" t="s">
        <v>104</v>
      </c>
      <c r="AQ2025" s="10">
        <f ca="1">IFERROR(__xludf.DUMMYFUNCTION("""COMPUTED_VALUE"""),4569330)</f>
        <v>4569330</v>
      </c>
      <c r="AR2025" s="21">
        <v>195</v>
      </c>
      <c r="AS2025" s="21">
        <v>155</v>
      </c>
      <c r="AT2025" s="21">
        <v>1164.75</v>
      </c>
      <c r="AU2025" s="21">
        <v>0</v>
      </c>
      <c r="AV2025" s="21">
        <v>0</v>
      </c>
      <c r="AW2025" s="22" t="s">
        <v>105</v>
      </c>
      <c r="AX2025" s="21">
        <v>70</v>
      </c>
      <c r="AY2025" s="18">
        <v>7.5145161290322582</v>
      </c>
      <c r="AZ2025" s="10"/>
      <c r="BA2025" s="20" t="b">
        <v>0</v>
      </c>
      <c r="BB2025" s="10" t="s">
        <v>15423</v>
      </c>
      <c r="BC2025" s="17">
        <v>195</v>
      </c>
      <c r="BD2025" s="17">
        <v>155</v>
      </c>
      <c r="BE2025" s="17">
        <v>1164.75</v>
      </c>
      <c r="BF2025" s="17">
        <v>0</v>
      </c>
      <c r="BG2025" s="11">
        <f ca="1">IFERROR(__xludf.DUMMYFUNCTION("""COMPUTED_VALUE"""),45914.5173611111)</f>
        <v>45914.517361111102</v>
      </c>
      <c r="BH2025" s="17" t="s">
        <v>105</v>
      </c>
      <c r="BI2025" s="17"/>
      <c r="BJ2025" s="15"/>
      <c r="BK2025" s="15"/>
      <c r="BL2025" s="13" t="b">
        <v>0</v>
      </c>
      <c r="BM2025" s="10"/>
      <c r="BN2025" s="10" t="s">
        <v>118</v>
      </c>
      <c r="BO2025" s="11">
        <v>45913.658333333333</v>
      </c>
      <c r="BP2025" s="11">
        <v>45913.677060185182</v>
      </c>
      <c r="BQ2025" s="15"/>
      <c r="BR2025" s="15">
        <v>45913.770995370367</v>
      </c>
      <c r="BS2025" s="10" t="s">
        <v>118</v>
      </c>
      <c r="BT2025" s="10"/>
      <c r="BU2025" s="10"/>
      <c r="BV2025" s="10"/>
      <c r="BW2025" s="10"/>
      <c r="BX2025" s="10"/>
      <c r="BY2025" s="23"/>
      <c r="BZ2025" s="23"/>
      <c r="CA2025" s="19" t="s">
        <v>9024</v>
      </c>
      <c r="CB2025" s="23"/>
      <c r="CC2025" s="23"/>
      <c r="CD2025" s="23"/>
      <c r="CE2025" s="23"/>
      <c r="CF2025" s="23"/>
      <c r="CG2025" s="23"/>
      <c r="CH2025" s="23"/>
      <c r="CI2025" s="23"/>
    </row>
    <row r="2026" spans="1:87" x14ac:dyDescent="0.3">
      <c r="A2026" s="9" t="s">
        <v>15471</v>
      </c>
      <c r="B2026" s="10" t="s">
        <v>15472</v>
      </c>
      <c r="C2026" s="11">
        <v>45914.545138888891</v>
      </c>
      <c r="D2026" s="12">
        <v>2.0833333333333332E-2</v>
      </c>
      <c r="E2026" s="11">
        <v>45914.565972222219</v>
      </c>
      <c r="F2026" s="10" t="s">
        <v>9016</v>
      </c>
      <c r="G2026" s="13" t="b">
        <v>0</v>
      </c>
      <c r="H2026" s="10" t="s">
        <v>9017</v>
      </c>
      <c r="I2026" s="10" t="s">
        <v>212</v>
      </c>
      <c r="J2026" s="13" t="b">
        <v>1</v>
      </c>
      <c r="K2026" s="13" t="b">
        <v>0</v>
      </c>
      <c r="L2026" s="10" t="s">
        <v>124</v>
      </c>
      <c r="M2026" s="10" t="s">
        <v>91</v>
      </c>
      <c r="N2026" s="10" t="s">
        <v>92</v>
      </c>
      <c r="O2026" s="19" t="s">
        <v>15469</v>
      </c>
      <c r="P2026" s="10"/>
      <c r="Q2026" s="10" t="s">
        <v>94</v>
      </c>
      <c r="R2026" s="10"/>
      <c r="S2026" s="19" t="s">
        <v>9019</v>
      </c>
      <c r="T2026" s="10"/>
      <c r="U2026" s="10"/>
      <c r="V2026" s="10"/>
      <c r="W2026" s="10" t="s">
        <v>9020</v>
      </c>
      <c r="X2026" s="10" t="s">
        <v>130</v>
      </c>
      <c r="Y2026" s="10" t="s">
        <v>130</v>
      </c>
      <c r="Z2026" s="10" t="s">
        <v>99</v>
      </c>
      <c r="AA2026" s="10" t="s">
        <v>131</v>
      </c>
      <c r="AB2026" s="10" t="s">
        <v>9021</v>
      </c>
      <c r="AC2026" s="10" t="s">
        <v>9022</v>
      </c>
      <c r="AD2026" s="10" t="s">
        <v>165</v>
      </c>
      <c r="AE2026" s="10" t="s">
        <v>15473</v>
      </c>
      <c r="AF2026" s="15"/>
      <c r="AG2026" s="10"/>
      <c r="AH2026" s="10"/>
      <c r="AI2026" s="10"/>
      <c r="AJ2026" s="10"/>
      <c r="AK2026" s="10" t="s">
        <v>102</v>
      </c>
      <c r="AL2026" s="10"/>
      <c r="AM2026" s="10"/>
      <c r="AN2026" s="10"/>
      <c r="AO2026" s="13" t="b">
        <v>0</v>
      </c>
      <c r="AP2026" s="10" t="s">
        <v>104</v>
      </c>
      <c r="AQ2026" s="10">
        <f ca="1">IFERROR(__xludf.DUMMYFUNCTION("""COMPUTED_VALUE"""),4569330)</f>
        <v>4569330</v>
      </c>
      <c r="AR2026" s="17">
        <v>195</v>
      </c>
      <c r="AS2026" s="17">
        <v>155</v>
      </c>
      <c r="AT2026" s="17">
        <v>1164.75</v>
      </c>
      <c r="AU2026" s="17">
        <v>0</v>
      </c>
      <c r="AV2026" s="17">
        <v>0</v>
      </c>
      <c r="AW2026" s="10" t="s">
        <v>105</v>
      </c>
      <c r="AX2026" s="17">
        <v>70</v>
      </c>
      <c r="AY2026" s="18">
        <v>7.5145161290322582</v>
      </c>
      <c r="AZ2026" s="10"/>
      <c r="BA2026" s="20" t="b">
        <v>0</v>
      </c>
      <c r="BB2026" s="10" t="s">
        <v>15423</v>
      </c>
      <c r="BC2026" s="17">
        <v>195</v>
      </c>
      <c r="BD2026" s="17">
        <v>155</v>
      </c>
      <c r="BE2026" s="17">
        <v>1164.75</v>
      </c>
      <c r="BF2026" s="17">
        <v>0</v>
      </c>
      <c r="BG2026" s="11">
        <f ca="1">IFERROR(__xludf.DUMMYFUNCTION("""COMPUTED_VALUE"""),45914.5451388888)</f>
        <v>45914.545138888803</v>
      </c>
      <c r="BH2026" s="17" t="s">
        <v>105</v>
      </c>
      <c r="BI2026" s="17"/>
      <c r="BJ2026" s="15"/>
      <c r="BK2026" s="15"/>
      <c r="BL2026" s="13" t="b">
        <v>0</v>
      </c>
      <c r="BM2026" s="10"/>
      <c r="BN2026" s="10" t="s">
        <v>118</v>
      </c>
      <c r="BO2026" s="11">
        <v>45913.658333333333</v>
      </c>
      <c r="BP2026" s="11">
        <v>45913.677361111113</v>
      </c>
      <c r="BQ2026" s="15"/>
      <c r="BR2026" s="15">
        <v>45913.771226851852</v>
      </c>
      <c r="BS2026" s="10" t="s">
        <v>118</v>
      </c>
      <c r="BT2026" s="10"/>
      <c r="BU2026" s="10"/>
      <c r="BV2026" s="10"/>
      <c r="BW2026" s="10"/>
      <c r="BX2026" s="10"/>
      <c r="BY2026" s="23"/>
      <c r="BZ2026" s="23"/>
      <c r="CA2026" s="19" t="s">
        <v>9024</v>
      </c>
      <c r="CB2026" s="23"/>
      <c r="CC2026" s="23"/>
      <c r="CD2026" s="23"/>
      <c r="CE2026" s="23"/>
      <c r="CF2026" s="23"/>
      <c r="CG2026" s="23"/>
      <c r="CH2026" s="23"/>
      <c r="CI2026" s="23"/>
    </row>
    <row r="2027" spans="1:87" x14ac:dyDescent="0.3">
      <c r="A2027" s="9" t="s">
        <v>15474</v>
      </c>
      <c r="B2027" s="10" t="s">
        <v>15475</v>
      </c>
      <c r="C2027" s="11">
        <v>45914.572916666664</v>
      </c>
      <c r="D2027" s="12">
        <v>2.0833333333333332E-2</v>
      </c>
      <c r="E2027" s="11">
        <v>45914.59375</v>
      </c>
      <c r="F2027" s="10" t="s">
        <v>9016</v>
      </c>
      <c r="G2027" s="13" t="b">
        <v>0</v>
      </c>
      <c r="H2027" s="10" t="s">
        <v>9017</v>
      </c>
      <c r="I2027" s="10" t="s">
        <v>212</v>
      </c>
      <c r="J2027" s="13" t="b">
        <v>1</v>
      </c>
      <c r="K2027" s="13" t="b">
        <v>0</v>
      </c>
      <c r="L2027" s="10" t="s">
        <v>124</v>
      </c>
      <c r="M2027" s="10" t="s">
        <v>91</v>
      </c>
      <c r="N2027" s="10" t="s">
        <v>92</v>
      </c>
      <c r="O2027" s="19" t="s">
        <v>15476</v>
      </c>
      <c r="P2027" s="10"/>
      <c r="Q2027" s="10" t="s">
        <v>94</v>
      </c>
      <c r="R2027" s="10"/>
      <c r="S2027" s="19" t="s">
        <v>9019</v>
      </c>
      <c r="T2027" s="10"/>
      <c r="U2027" s="10"/>
      <c r="V2027" s="10"/>
      <c r="W2027" s="10" t="s">
        <v>9020</v>
      </c>
      <c r="X2027" s="10" t="s">
        <v>130</v>
      </c>
      <c r="Y2027" s="10" t="s">
        <v>130</v>
      </c>
      <c r="Z2027" s="10" t="s">
        <v>99</v>
      </c>
      <c r="AA2027" s="10" t="s">
        <v>131</v>
      </c>
      <c r="AB2027" s="10" t="s">
        <v>9021</v>
      </c>
      <c r="AC2027" s="10" t="s">
        <v>9022</v>
      </c>
      <c r="AD2027" s="10" t="s">
        <v>165</v>
      </c>
      <c r="AE2027" s="10" t="s">
        <v>15477</v>
      </c>
      <c r="AF2027" s="15"/>
      <c r="AG2027" s="10"/>
      <c r="AH2027" s="10"/>
      <c r="AI2027" s="10"/>
      <c r="AJ2027" s="10"/>
      <c r="AK2027" s="10" t="s">
        <v>102</v>
      </c>
      <c r="AL2027" s="10"/>
      <c r="AM2027" s="10"/>
      <c r="AN2027" s="10"/>
      <c r="AO2027" s="13" t="b">
        <v>0</v>
      </c>
      <c r="AP2027" s="10" t="s">
        <v>104</v>
      </c>
      <c r="AQ2027" s="10">
        <f ca="1">IFERROR(__xludf.DUMMYFUNCTION("""COMPUTED_VALUE"""),4569328)</f>
        <v>4569328</v>
      </c>
      <c r="AR2027" s="17">
        <v>172</v>
      </c>
      <c r="AS2027" s="17">
        <v>141</v>
      </c>
      <c r="AT2027" s="17">
        <v>835</v>
      </c>
      <c r="AU2027" s="17">
        <v>0</v>
      </c>
      <c r="AV2027" s="17">
        <v>0</v>
      </c>
      <c r="AW2027" s="10" t="s">
        <v>105</v>
      </c>
      <c r="AX2027" s="17">
        <v>71</v>
      </c>
      <c r="AY2027" s="18">
        <v>5.9219858156028371</v>
      </c>
      <c r="AZ2027" s="10"/>
      <c r="BA2027" s="20" t="b">
        <v>0</v>
      </c>
      <c r="BB2027" s="10" t="s">
        <v>15423</v>
      </c>
      <c r="BC2027" s="17">
        <v>172</v>
      </c>
      <c r="BD2027" s="17">
        <v>141</v>
      </c>
      <c r="BE2027" s="17">
        <v>835</v>
      </c>
      <c r="BF2027" s="17">
        <v>0</v>
      </c>
      <c r="BG2027" s="11">
        <f ca="1">IFERROR(__xludf.DUMMYFUNCTION("""COMPUTED_VALUE"""),45914.5729166666)</f>
        <v>45914.572916666599</v>
      </c>
      <c r="BH2027" s="17" t="s">
        <v>105</v>
      </c>
      <c r="BI2027" s="17"/>
      <c r="BJ2027" s="15"/>
      <c r="BK2027" s="15"/>
      <c r="BL2027" s="13" t="b">
        <v>0</v>
      </c>
      <c r="BM2027" s="10"/>
      <c r="BN2027" s="10" t="s">
        <v>118</v>
      </c>
      <c r="BO2027" s="11">
        <v>45913.65902777778</v>
      </c>
      <c r="BP2027" s="11">
        <v>45913.677557870367</v>
      </c>
      <c r="BQ2027" s="15"/>
      <c r="BR2027" s="15">
        <v>45913.771435185183</v>
      </c>
      <c r="BS2027" s="10" t="s">
        <v>118</v>
      </c>
      <c r="BT2027" s="10"/>
      <c r="BU2027" s="10"/>
      <c r="BV2027" s="10"/>
      <c r="BW2027" s="10"/>
      <c r="BX2027" s="10"/>
      <c r="BY2027" s="23"/>
      <c r="BZ2027" s="23"/>
      <c r="CA2027" s="19" t="s">
        <v>9024</v>
      </c>
      <c r="CB2027" s="23"/>
      <c r="CC2027" s="23"/>
      <c r="CD2027" s="23"/>
      <c r="CE2027" s="23"/>
      <c r="CF2027" s="23"/>
      <c r="CG2027" s="23"/>
      <c r="CH2027" s="23"/>
      <c r="CI2027" s="23"/>
    </row>
    <row r="2028" spans="1:87" x14ac:dyDescent="0.3">
      <c r="A2028" s="9" t="s">
        <v>15478</v>
      </c>
      <c r="B2028" s="10" t="s">
        <v>15479</v>
      </c>
      <c r="C2028" s="11">
        <v>45914.600694444445</v>
      </c>
      <c r="D2028" s="12">
        <v>2.0833333333333332E-2</v>
      </c>
      <c r="E2028" s="11">
        <v>45914.621527777781</v>
      </c>
      <c r="F2028" s="10" t="s">
        <v>9016</v>
      </c>
      <c r="G2028" s="13" t="b">
        <v>0</v>
      </c>
      <c r="H2028" s="10" t="s">
        <v>9017</v>
      </c>
      <c r="I2028" s="10" t="s">
        <v>212</v>
      </c>
      <c r="J2028" s="13" t="b">
        <v>1</v>
      </c>
      <c r="K2028" s="13" t="b">
        <v>0</v>
      </c>
      <c r="L2028" s="10" t="s">
        <v>124</v>
      </c>
      <c r="M2028" s="10" t="s">
        <v>91</v>
      </c>
      <c r="N2028" s="10" t="s">
        <v>92</v>
      </c>
      <c r="O2028" s="19" t="s">
        <v>15480</v>
      </c>
      <c r="P2028" s="10"/>
      <c r="Q2028" s="10" t="s">
        <v>94</v>
      </c>
      <c r="R2028" s="10"/>
      <c r="S2028" s="19" t="s">
        <v>9019</v>
      </c>
      <c r="T2028" s="10"/>
      <c r="U2028" s="10"/>
      <c r="V2028" s="10"/>
      <c r="W2028" s="10" t="s">
        <v>9020</v>
      </c>
      <c r="X2028" s="10" t="s">
        <v>130</v>
      </c>
      <c r="Y2028" s="10" t="s">
        <v>130</v>
      </c>
      <c r="Z2028" s="10" t="s">
        <v>99</v>
      </c>
      <c r="AA2028" s="10" t="s">
        <v>131</v>
      </c>
      <c r="AB2028" s="10" t="s">
        <v>9021</v>
      </c>
      <c r="AC2028" s="10" t="s">
        <v>9022</v>
      </c>
      <c r="AD2028" s="10" t="s">
        <v>165</v>
      </c>
      <c r="AE2028" s="10" t="s">
        <v>15481</v>
      </c>
      <c r="AF2028" s="15"/>
      <c r="AG2028" s="10"/>
      <c r="AH2028" s="10"/>
      <c r="AI2028" s="10"/>
      <c r="AJ2028" s="10"/>
      <c r="AK2028" s="10" t="s">
        <v>102</v>
      </c>
      <c r="AL2028" s="10"/>
      <c r="AM2028" s="10"/>
      <c r="AN2028" s="10"/>
      <c r="AO2028" s="13" t="b">
        <v>0</v>
      </c>
      <c r="AP2028" s="10" t="s">
        <v>104</v>
      </c>
      <c r="AQ2028" s="10">
        <f ca="1">IFERROR(__xludf.DUMMYFUNCTION("""COMPUTED_VALUE"""),4569329)</f>
        <v>4569329</v>
      </c>
      <c r="AR2028" s="17">
        <v>162</v>
      </c>
      <c r="AS2028" s="17">
        <v>125</v>
      </c>
      <c r="AT2028" s="17">
        <v>1102.75</v>
      </c>
      <c r="AU2028" s="17">
        <v>0.65</v>
      </c>
      <c r="AV2028" s="17">
        <v>0.65</v>
      </c>
      <c r="AW2028" s="10" t="s">
        <v>105</v>
      </c>
      <c r="AX2028" s="17">
        <v>72</v>
      </c>
      <c r="AY2028" s="18">
        <v>8.8219999999999992</v>
      </c>
      <c r="AZ2028" s="10"/>
      <c r="BA2028" s="20" t="b">
        <v>0</v>
      </c>
      <c r="BB2028" s="10" t="s">
        <v>15423</v>
      </c>
      <c r="BC2028" s="17">
        <v>162</v>
      </c>
      <c r="BD2028" s="17">
        <v>125</v>
      </c>
      <c r="BE2028" s="17">
        <v>1102.75</v>
      </c>
      <c r="BF2028" s="17">
        <v>0.65</v>
      </c>
      <c r="BG2028" s="11">
        <f ca="1">IFERROR(__xludf.DUMMYFUNCTION("""COMPUTED_VALUE"""),45914.6006944444)</f>
        <v>45914.600694444402</v>
      </c>
      <c r="BH2028" s="17" t="s">
        <v>105</v>
      </c>
      <c r="BI2028" s="17"/>
      <c r="BJ2028" s="15"/>
      <c r="BK2028" s="15"/>
      <c r="BL2028" s="13" t="b">
        <v>0</v>
      </c>
      <c r="BM2028" s="10"/>
      <c r="BN2028" s="10" t="s">
        <v>118</v>
      </c>
      <c r="BO2028" s="11">
        <v>45913.659722222219</v>
      </c>
      <c r="BP2028" s="11">
        <v>45913.677766203706</v>
      </c>
      <c r="BQ2028" s="15"/>
      <c r="BR2028" s="15">
        <v>45913.771608796298</v>
      </c>
      <c r="BS2028" s="10" t="s">
        <v>118</v>
      </c>
      <c r="BT2028" s="10"/>
      <c r="BU2028" s="10"/>
      <c r="BV2028" s="10"/>
      <c r="BW2028" s="10"/>
      <c r="BX2028" s="10"/>
      <c r="BY2028" s="23"/>
      <c r="BZ2028" s="23"/>
      <c r="CA2028" s="19" t="s">
        <v>9024</v>
      </c>
      <c r="CB2028" s="23"/>
      <c r="CC2028" s="23"/>
      <c r="CD2028" s="23"/>
      <c r="CE2028" s="23"/>
      <c r="CF2028" s="23"/>
      <c r="CG2028" s="23"/>
      <c r="CH2028" s="23"/>
      <c r="CI2028" s="23"/>
    </row>
    <row r="2029" spans="1:87" x14ac:dyDescent="0.3">
      <c r="A2029" s="9" t="s">
        <v>15482</v>
      </c>
      <c r="B2029" s="10" t="s">
        <v>15483</v>
      </c>
      <c r="C2029" s="11">
        <v>45914.628472222219</v>
      </c>
      <c r="D2029" s="12">
        <v>2.0833333333333332E-2</v>
      </c>
      <c r="E2029" s="11">
        <v>45914.649305555555</v>
      </c>
      <c r="F2029" s="10" t="s">
        <v>9016</v>
      </c>
      <c r="G2029" s="13" t="b">
        <v>0</v>
      </c>
      <c r="H2029" s="10" t="s">
        <v>9017</v>
      </c>
      <c r="I2029" s="10" t="s">
        <v>212</v>
      </c>
      <c r="J2029" s="13" t="b">
        <v>1</v>
      </c>
      <c r="K2029" s="13" t="b">
        <v>0</v>
      </c>
      <c r="L2029" s="10" t="s">
        <v>124</v>
      </c>
      <c r="M2029" s="10" t="s">
        <v>91</v>
      </c>
      <c r="N2029" s="10" t="s">
        <v>92</v>
      </c>
      <c r="O2029" s="19" t="s">
        <v>15484</v>
      </c>
      <c r="P2029" s="10"/>
      <c r="Q2029" s="10" t="s">
        <v>94</v>
      </c>
      <c r="R2029" s="10"/>
      <c r="S2029" s="19" t="s">
        <v>9019</v>
      </c>
      <c r="T2029" s="10"/>
      <c r="U2029" s="10"/>
      <c r="V2029" s="10"/>
      <c r="W2029" s="10" t="s">
        <v>9020</v>
      </c>
      <c r="X2029" s="10" t="s">
        <v>130</v>
      </c>
      <c r="Y2029" s="10" t="s">
        <v>130</v>
      </c>
      <c r="Z2029" s="10" t="s">
        <v>99</v>
      </c>
      <c r="AA2029" s="10" t="s">
        <v>131</v>
      </c>
      <c r="AB2029" s="10" t="s">
        <v>9021</v>
      </c>
      <c r="AC2029" s="10" t="s">
        <v>9022</v>
      </c>
      <c r="AD2029" s="10" t="s">
        <v>165</v>
      </c>
      <c r="AE2029" s="10" t="s">
        <v>15485</v>
      </c>
      <c r="AF2029" s="15"/>
      <c r="AG2029" s="10"/>
      <c r="AH2029" s="10"/>
      <c r="AI2029" s="10"/>
      <c r="AJ2029" s="10"/>
      <c r="AK2029" s="10" t="s">
        <v>102</v>
      </c>
      <c r="AL2029" s="10"/>
      <c r="AM2029" s="10"/>
      <c r="AN2029" s="10"/>
      <c r="AO2029" s="13" t="b">
        <v>0</v>
      </c>
      <c r="AP2029" s="10" t="s">
        <v>104</v>
      </c>
      <c r="AQ2029" s="10">
        <f ca="1">IFERROR(__xludf.DUMMYFUNCTION("""COMPUTED_VALUE"""),4569325)</f>
        <v>4569325</v>
      </c>
      <c r="AR2029" s="17">
        <v>176</v>
      </c>
      <c r="AS2029" s="17">
        <v>133</v>
      </c>
      <c r="AT2029" s="17">
        <v>528</v>
      </c>
      <c r="AU2029" s="17">
        <v>0</v>
      </c>
      <c r="AV2029" s="17">
        <v>0</v>
      </c>
      <c r="AW2029" s="10" t="s">
        <v>105</v>
      </c>
      <c r="AX2029" s="17">
        <v>67</v>
      </c>
      <c r="AY2029" s="18">
        <v>3.969924812030075</v>
      </c>
      <c r="AZ2029" s="10"/>
      <c r="BA2029" s="20" t="b">
        <v>0</v>
      </c>
      <c r="BB2029" s="10" t="s">
        <v>15423</v>
      </c>
      <c r="BC2029" s="17">
        <v>176</v>
      </c>
      <c r="BD2029" s="17">
        <v>133</v>
      </c>
      <c r="BE2029" s="17">
        <v>528</v>
      </c>
      <c r="BF2029" s="17">
        <v>0</v>
      </c>
      <c r="BG2029" s="11">
        <f ca="1">IFERROR(__xludf.DUMMYFUNCTION("""COMPUTED_VALUE"""),45914.6284722222)</f>
        <v>45914.628472222197</v>
      </c>
      <c r="BH2029" s="17" t="s">
        <v>105</v>
      </c>
      <c r="BI2029" s="17"/>
      <c r="BJ2029" s="15"/>
      <c r="BK2029" s="15"/>
      <c r="BL2029" s="13" t="b">
        <v>0</v>
      </c>
      <c r="BM2029" s="10"/>
      <c r="BN2029" s="10" t="s">
        <v>118</v>
      </c>
      <c r="BO2029" s="11">
        <v>45913.659722222219</v>
      </c>
      <c r="BP2029" s="11">
        <v>45913.677951388891</v>
      </c>
      <c r="BQ2029" s="15"/>
      <c r="BR2029" s="15">
        <v>45913.771770833337</v>
      </c>
      <c r="BS2029" s="10" t="s">
        <v>118</v>
      </c>
      <c r="BT2029" s="10"/>
      <c r="BU2029" s="10"/>
      <c r="BV2029" s="10"/>
      <c r="BW2029" s="10"/>
      <c r="BX2029" s="10"/>
      <c r="BY2029" s="23"/>
      <c r="BZ2029" s="23"/>
      <c r="CA2029" s="19" t="s">
        <v>9024</v>
      </c>
      <c r="CB2029" s="23"/>
      <c r="CC2029" s="23"/>
      <c r="CD2029" s="23"/>
      <c r="CE2029" s="23"/>
      <c r="CF2029" s="23"/>
      <c r="CG2029" s="23"/>
      <c r="CH2029" s="23"/>
      <c r="CI2029" s="23"/>
    </row>
    <row r="2030" spans="1:87" x14ac:dyDescent="0.3">
      <c r="A2030" s="9" t="s">
        <v>15486</v>
      </c>
      <c r="B2030" s="10" t="s">
        <v>15487</v>
      </c>
      <c r="C2030" s="11">
        <v>45928.854166666664</v>
      </c>
      <c r="D2030" s="12">
        <v>0.14583333333333334</v>
      </c>
      <c r="E2030" s="11">
        <v>45929</v>
      </c>
      <c r="F2030" s="10" t="s">
        <v>15270</v>
      </c>
      <c r="G2030" s="13" t="b">
        <v>0</v>
      </c>
      <c r="H2030" s="22" t="s">
        <v>15271</v>
      </c>
      <c r="I2030" s="10" t="s">
        <v>3213</v>
      </c>
      <c r="J2030" s="13" t="b">
        <v>0</v>
      </c>
      <c r="K2030" s="13" t="b">
        <v>1</v>
      </c>
      <c r="L2030" s="10" t="s">
        <v>124</v>
      </c>
      <c r="M2030" s="10" t="s">
        <v>91</v>
      </c>
      <c r="N2030" s="10" t="s">
        <v>92</v>
      </c>
      <c r="O2030" s="19" t="s">
        <v>15488</v>
      </c>
      <c r="P2030" s="10" t="s">
        <v>88</v>
      </c>
      <c r="Q2030" s="10" t="s">
        <v>126</v>
      </c>
      <c r="R2030" s="10"/>
      <c r="S2030" s="19" t="s">
        <v>15489</v>
      </c>
      <c r="T2030" s="10"/>
      <c r="U2030" s="10" t="s">
        <v>15490</v>
      </c>
      <c r="V2030" s="10" t="s">
        <v>15307</v>
      </c>
      <c r="W2030" s="10" t="s">
        <v>15276</v>
      </c>
      <c r="X2030" s="10" t="s">
        <v>15277</v>
      </c>
      <c r="Y2030" s="10" t="s">
        <v>15277</v>
      </c>
      <c r="Z2030" s="10" t="s">
        <v>99</v>
      </c>
      <c r="AA2030" s="10" t="s">
        <v>131</v>
      </c>
      <c r="AB2030" s="10" t="s">
        <v>15278</v>
      </c>
      <c r="AC2030" s="10" t="s">
        <v>15279</v>
      </c>
      <c r="AD2030" s="10" t="s">
        <v>165</v>
      </c>
      <c r="AE2030" s="10" t="s">
        <v>15491</v>
      </c>
      <c r="AF2030" s="15"/>
      <c r="AG2030" s="10"/>
      <c r="AH2030" s="10"/>
      <c r="AI2030" s="10"/>
      <c r="AJ2030" s="10" t="s">
        <v>15492</v>
      </c>
      <c r="AK2030" s="10" t="s">
        <v>102</v>
      </c>
      <c r="AL2030" s="10" t="s">
        <v>156</v>
      </c>
      <c r="AM2030" s="10"/>
      <c r="AN2030" s="10"/>
      <c r="AO2030" s="13" t="b">
        <v>0</v>
      </c>
      <c r="AP2030" s="22" t="s">
        <v>104</v>
      </c>
      <c r="AQ2030" s="10">
        <f ca="1">IFERROR(__xludf.DUMMYFUNCTION("""COMPUTED_VALUE"""),4601998)</f>
        <v>4601998</v>
      </c>
      <c r="AR2030" s="17">
        <v>7607</v>
      </c>
      <c r="AS2030" s="17">
        <v>6123</v>
      </c>
      <c r="AT2030" s="17">
        <v>59388.5</v>
      </c>
      <c r="AU2030" s="17">
        <v>33.65</v>
      </c>
      <c r="AV2030" s="17">
        <v>11.7</v>
      </c>
      <c r="AW2030" s="10" t="s">
        <v>105</v>
      </c>
      <c r="AX2030" s="17">
        <v>843</v>
      </c>
      <c r="AY2030" s="18">
        <v>9.699248734280582</v>
      </c>
      <c r="AZ2030" s="10"/>
      <c r="BA2030" s="20" t="b">
        <v>0</v>
      </c>
      <c r="BB2030" s="10"/>
      <c r="BC2030" s="17">
        <v>7607</v>
      </c>
      <c r="BD2030" s="17">
        <v>6123</v>
      </c>
      <c r="BE2030" s="17">
        <v>59388.5</v>
      </c>
      <c r="BF2030" s="17">
        <v>11.7</v>
      </c>
      <c r="BG2030" s="11">
        <f ca="1">IFERROR(__xludf.DUMMYFUNCTION("""COMPUTED_VALUE"""),45928.8541666666)</f>
        <v>45928.854166666599</v>
      </c>
      <c r="BH2030" s="17" t="s">
        <v>105</v>
      </c>
      <c r="BI2030" s="17"/>
      <c r="BJ2030" s="15"/>
      <c r="BK2030" s="15"/>
      <c r="BL2030" s="13" t="b">
        <v>0</v>
      </c>
      <c r="BM2030" s="10"/>
      <c r="BN2030" s="10" t="s">
        <v>667</v>
      </c>
      <c r="BO2030" s="11">
        <v>45915.474305555559</v>
      </c>
      <c r="BP2030" s="11">
        <v>45925.601504629631</v>
      </c>
      <c r="BQ2030" s="15">
        <v>45927.254884259259</v>
      </c>
      <c r="BR2030" s="15">
        <v>45927.40525462963</v>
      </c>
      <c r="BS2030" s="10" t="s">
        <v>667</v>
      </c>
      <c r="BT2030" s="10" t="s">
        <v>99</v>
      </c>
      <c r="BU2030" s="10" t="s">
        <v>298</v>
      </c>
      <c r="BV2030" s="10"/>
      <c r="BW2030" s="10"/>
      <c r="BX2030" s="10"/>
      <c r="BY2030" s="23"/>
      <c r="BZ2030" s="23"/>
      <c r="CA2030" s="19" t="s">
        <v>15493</v>
      </c>
      <c r="CB2030" s="23"/>
      <c r="CC2030" s="23"/>
      <c r="CD2030" s="19" t="s">
        <v>15494</v>
      </c>
      <c r="CE2030" s="23"/>
      <c r="CF2030" s="23"/>
      <c r="CG2030" s="23"/>
      <c r="CH2030" s="23"/>
      <c r="CI2030" s="23"/>
    </row>
    <row r="2031" spans="1:87" x14ac:dyDescent="0.3">
      <c r="A2031" s="9" t="s">
        <v>15495</v>
      </c>
      <c r="B2031" s="10" t="s">
        <v>15496</v>
      </c>
      <c r="C2031" s="11">
        <v>45935.854166666664</v>
      </c>
      <c r="D2031" s="12">
        <v>0.14583333333333334</v>
      </c>
      <c r="E2031" s="11">
        <v>45936</v>
      </c>
      <c r="F2031" s="10" t="s">
        <v>15270</v>
      </c>
      <c r="G2031" s="13" t="b">
        <v>0</v>
      </c>
      <c r="H2031" s="22" t="s">
        <v>15271</v>
      </c>
      <c r="I2031" s="10" t="s">
        <v>3213</v>
      </c>
      <c r="J2031" s="13" t="b">
        <v>0</v>
      </c>
      <c r="K2031" s="13" t="b">
        <v>1</v>
      </c>
      <c r="L2031" s="10" t="s">
        <v>124</v>
      </c>
      <c r="M2031" s="10" t="s">
        <v>91</v>
      </c>
      <c r="N2031" s="10" t="s">
        <v>92</v>
      </c>
      <c r="O2031" s="19" t="s">
        <v>15497</v>
      </c>
      <c r="P2031" s="10" t="s">
        <v>88</v>
      </c>
      <c r="Q2031" s="10" t="s">
        <v>126</v>
      </c>
      <c r="R2031" s="10"/>
      <c r="S2031" s="19" t="s">
        <v>15498</v>
      </c>
      <c r="T2031" s="10"/>
      <c r="U2031" s="10" t="s">
        <v>15499</v>
      </c>
      <c r="V2031" s="10" t="s">
        <v>15307</v>
      </c>
      <c r="W2031" s="10" t="s">
        <v>15276</v>
      </c>
      <c r="X2031" s="10" t="s">
        <v>15277</v>
      </c>
      <c r="Y2031" s="10" t="s">
        <v>15277</v>
      </c>
      <c r="Z2031" s="10" t="s">
        <v>99</v>
      </c>
      <c r="AA2031" s="10" t="s">
        <v>131</v>
      </c>
      <c r="AB2031" s="10" t="s">
        <v>15278</v>
      </c>
      <c r="AC2031" s="10" t="s">
        <v>15279</v>
      </c>
      <c r="AD2031" s="10" t="s">
        <v>165</v>
      </c>
      <c r="AE2031" s="10" t="s">
        <v>15500</v>
      </c>
      <c r="AF2031" s="15"/>
      <c r="AG2031" s="10"/>
      <c r="AH2031" s="10"/>
      <c r="AI2031" s="10"/>
      <c r="AJ2031" s="10" t="s">
        <v>15501</v>
      </c>
      <c r="AK2031" s="10" t="s">
        <v>102</v>
      </c>
      <c r="AL2031" s="10" t="s">
        <v>167</v>
      </c>
      <c r="AM2031" s="10"/>
      <c r="AN2031" s="10"/>
      <c r="AO2031" s="13" t="b">
        <v>0</v>
      </c>
      <c r="AP2031" s="22" t="s">
        <v>104</v>
      </c>
      <c r="AQ2031" s="10">
        <f ca="1">IFERROR(__xludf.DUMMYFUNCTION("""COMPUTED_VALUE"""),4628655)</f>
        <v>4628655</v>
      </c>
      <c r="AR2031" s="17">
        <v>6689</v>
      </c>
      <c r="AS2031" s="17">
        <v>5693</v>
      </c>
      <c r="AT2031" s="17">
        <v>46018.5</v>
      </c>
      <c r="AU2031" s="17">
        <v>16.95</v>
      </c>
      <c r="AV2031" s="17">
        <v>4.8</v>
      </c>
      <c r="AW2031" s="10" t="s">
        <v>105</v>
      </c>
      <c r="AX2031" s="17">
        <v>1595</v>
      </c>
      <c r="AY2031" s="18">
        <v>8.0833479711926923</v>
      </c>
      <c r="AZ2031" s="10"/>
      <c r="BA2031" s="20" t="b">
        <v>0</v>
      </c>
      <c r="BB2031" s="10"/>
      <c r="BC2031" s="17">
        <v>6689</v>
      </c>
      <c r="BD2031" s="17">
        <v>5693</v>
      </c>
      <c r="BE2031" s="17">
        <v>46018.5</v>
      </c>
      <c r="BF2031" s="17">
        <v>4.8</v>
      </c>
      <c r="BG2031" s="11">
        <f ca="1">IFERROR(__xludf.DUMMYFUNCTION("""COMPUTED_VALUE"""),45935.8541666666)</f>
        <v>45935.854166666599</v>
      </c>
      <c r="BH2031" s="17" t="s">
        <v>105</v>
      </c>
      <c r="BI2031" s="17"/>
      <c r="BJ2031" s="15"/>
      <c r="BK2031" s="15"/>
      <c r="BL2031" s="13" t="b">
        <v>0</v>
      </c>
      <c r="BM2031" s="10"/>
      <c r="BN2031" s="10" t="s">
        <v>137</v>
      </c>
      <c r="BO2031" s="11">
        <v>45915.492361111108</v>
      </c>
      <c r="BP2031" s="11">
        <v>45925.602164351854</v>
      </c>
      <c r="BQ2031" s="15">
        <v>45933.828726851854</v>
      </c>
      <c r="BR2031" s="15">
        <v>45933.883969907409</v>
      </c>
      <c r="BS2031" s="10" t="s">
        <v>137</v>
      </c>
      <c r="BT2031" s="10" t="s">
        <v>99</v>
      </c>
      <c r="BU2031" s="10" t="s">
        <v>15502</v>
      </c>
      <c r="BV2031" s="10" t="s">
        <v>4315</v>
      </c>
      <c r="BW2031" s="10"/>
      <c r="BX2031" s="10"/>
      <c r="BY2031" s="23"/>
      <c r="BZ2031" s="23"/>
      <c r="CA2031" s="19" t="s">
        <v>15503</v>
      </c>
      <c r="CB2031" s="23"/>
      <c r="CC2031" s="23"/>
      <c r="CD2031" s="19" t="s">
        <v>15504</v>
      </c>
      <c r="CE2031" s="23"/>
      <c r="CF2031" s="23"/>
      <c r="CG2031" s="23"/>
      <c r="CH2031" s="23"/>
      <c r="CI2031" s="23"/>
    </row>
    <row r="2032" spans="1:87" x14ac:dyDescent="0.3">
      <c r="A2032" s="9" t="s">
        <v>15505</v>
      </c>
      <c r="B2032" s="10" t="s">
        <v>15506</v>
      </c>
      <c r="C2032" s="11">
        <v>45942.854166666664</v>
      </c>
      <c r="D2032" s="12">
        <v>0.14583333333333334</v>
      </c>
      <c r="E2032" s="11">
        <v>45943</v>
      </c>
      <c r="F2032" s="10" t="s">
        <v>15270</v>
      </c>
      <c r="G2032" s="13" t="b">
        <v>0</v>
      </c>
      <c r="H2032" s="22" t="s">
        <v>15271</v>
      </c>
      <c r="I2032" s="10" t="s">
        <v>3213</v>
      </c>
      <c r="J2032" s="13" t="b">
        <v>0</v>
      </c>
      <c r="K2032" s="13" t="b">
        <v>1</v>
      </c>
      <c r="L2032" s="10" t="s">
        <v>124</v>
      </c>
      <c r="M2032" s="10" t="s">
        <v>91</v>
      </c>
      <c r="N2032" s="10" t="s">
        <v>92</v>
      </c>
      <c r="O2032" s="19" t="s">
        <v>15507</v>
      </c>
      <c r="P2032" s="10" t="s">
        <v>3215</v>
      </c>
      <c r="Q2032" s="10" t="s">
        <v>126</v>
      </c>
      <c r="R2032" s="10"/>
      <c r="S2032" s="19" t="s">
        <v>15508</v>
      </c>
      <c r="T2032" s="10"/>
      <c r="U2032" s="10" t="s">
        <v>15509</v>
      </c>
      <c r="V2032" s="10" t="s">
        <v>15510</v>
      </c>
      <c r="W2032" s="10" t="s">
        <v>15276</v>
      </c>
      <c r="X2032" s="10" t="s">
        <v>15277</v>
      </c>
      <c r="Y2032" s="10" t="s">
        <v>15277</v>
      </c>
      <c r="Z2032" s="10" t="s">
        <v>99</v>
      </c>
      <c r="AA2032" s="10" t="s">
        <v>131</v>
      </c>
      <c r="AB2032" s="10" t="s">
        <v>15278</v>
      </c>
      <c r="AC2032" s="10" t="s">
        <v>15279</v>
      </c>
      <c r="AD2032" s="10" t="s">
        <v>165</v>
      </c>
      <c r="AE2032" s="10" t="s">
        <v>15511</v>
      </c>
      <c r="AF2032" s="15"/>
      <c r="AG2032" s="10"/>
      <c r="AH2032" s="10"/>
      <c r="AI2032" s="10"/>
      <c r="AJ2032" s="10"/>
      <c r="AK2032" s="10" t="s">
        <v>102</v>
      </c>
      <c r="AL2032" s="10" t="s">
        <v>176</v>
      </c>
      <c r="AM2032" s="10"/>
      <c r="AN2032" s="10"/>
      <c r="AO2032" s="13" t="b">
        <v>0</v>
      </c>
      <c r="AP2032" s="22" t="s">
        <v>104</v>
      </c>
      <c r="AQ2032" s="10">
        <f ca="1">IFERROR(__xludf.DUMMYFUNCTION("""COMPUTED_VALUE"""),4638992)</f>
        <v>4638992</v>
      </c>
      <c r="AR2032" s="17">
        <v>6140</v>
      </c>
      <c r="AS2032" s="17">
        <v>4801</v>
      </c>
      <c r="AT2032" s="17">
        <v>77807</v>
      </c>
      <c r="AU2032" s="17">
        <v>23.7</v>
      </c>
      <c r="AV2032" s="17">
        <v>4.0999999999999996</v>
      </c>
      <c r="AW2032" s="10" t="s">
        <v>105</v>
      </c>
      <c r="AX2032" s="17">
        <v>697</v>
      </c>
      <c r="AY2032" s="18">
        <v>16.206415330139553</v>
      </c>
      <c r="AZ2032" s="10"/>
      <c r="BA2032" s="20" t="b">
        <v>0</v>
      </c>
      <c r="BB2032" s="10"/>
      <c r="BC2032" s="17">
        <v>6140</v>
      </c>
      <c r="BD2032" s="17">
        <v>4801</v>
      </c>
      <c r="BE2032" s="17">
        <v>77807</v>
      </c>
      <c r="BF2032" s="17">
        <v>4.0999999999999996</v>
      </c>
      <c r="BG2032" s="11">
        <f ca="1">IFERROR(__xludf.DUMMYFUNCTION("""COMPUTED_VALUE"""),45942.8541666666)</f>
        <v>45942.854166666599</v>
      </c>
      <c r="BH2032" s="17" t="s">
        <v>105</v>
      </c>
      <c r="BI2032" s="17"/>
      <c r="BJ2032" s="15"/>
      <c r="BK2032" s="15"/>
      <c r="BL2032" s="13" t="b">
        <v>0</v>
      </c>
      <c r="BM2032" s="10"/>
      <c r="BN2032" s="10" t="s">
        <v>8529</v>
      </c>
      <c r="BO2032" s="11">
        <v>45915.499305555553</v>
      </c>
      <c r="BP2032" s="11">
        <v>45915.499652777777</v>
      </c>
      <c r="BQ2032" s="15">
        <v>45936.62976851852</v>
      </c>
      <c r="BR2032" s="15">
        <v>45940.008715277778</v>
      </c>
      <c r="BS2032" s="10"/>
      <c r="BT2032" s="10"/>
      <c r="BU2032" s="10"/>
      <c r="BV2032" s="10" t="s">
        <v>4315</v>
      </c>
      <c r="BW2032" s="10"/>
      <c r="BX2032" s="10"/>
      <c r="BY2032" s="23"/>
      <c r="BZ2032" s="23"/>
      <c r="CA2032" s="19" t="s">
        <v>15512</v>
      </c>
      <c r="CB2032" s="23"/>
      <c r="CC2032" s="23"/>
      <c r="CD2032" s="19" t="s">
        <v>15513</v>
      </c>
      <c r="CE2032" s="23"/>
      <c r="CF2032" s="23"/>
      <c r="CG2032" s="23"/>
      <c r="CH2032" s="23"/>
      <c r="CI2032" s="23"/>
    </row>
    <row r="2033" spans="1:87" x14ac:dyDescent="0.3">
      <c r="A2033" s="9" t="s">
        <v>15514</v>
      </c>
      <c r="B2033" s="10" t="s">
        <v>15515</v>
      </c>
      <c r="C2033" s="11">
        <v>45949.854166666664</v>
      </c>
      <c r="D2033" s="12">
        <v>0.14583333333333334</v>
      </c>
      <c r="E2033" s="11">
        <v>45950</v>
      </c>
      <c r="F2033" s="10" t="s">
        <v>15270</v>
      </c>
      <c r="G2033" s="13" t="b">
        <v>0</v>
      </c>
      <c r="H2033" s="22" t="s">
        <v>15271</v>
      </c>
      <c r="I2033" s="10" t="s">
        <v>3213</v>
      </c>
      <c r="J2033" s="13" t="b">
        <v>0</v>
      </c>
      <c r="K2033" s="13" t="b">
        <v>1</v>
      </c>
      <c r="L2033" s="10" t="s">
        <v>124</v>
      </c>
      <c r="M2033" s="10" t="s">
        <v>91</v>
      </c>
      <c r="N2033" s="10" t="s">
        <v>92</v>
      </c>
      <c r="O2033" s="19" t="s">
        <v>15516</v>
      </c>
      <c r="P2033" s="10" t="s">
        <v>88</v>
      </c>
      <c r="Q2033" s="10" t="s">
        <v>126</v>
      </c>
      <c r="R2033" s="10"/>
      <c r="S2033" s="19" t="s">
        <v>15517</v>
      </c>
      <c r="T2033" s="10"/>
      <c r="U2033" s="10" t="s">
        <v>15518</v>
      </c>
      <c r="V2033" s="10" t="s">
        <v>15519</v>
      </c>
      <c r="W2033" s="10" t="s">
        <v>15276</v>
      </c>
      <c r="X2033" s="10" t="s">
        <v>15277</v>
      </c>
      <c r="Y2033" s="10" t="s">
        <v>15277</v>
      </c>
      <c r="Z2033" s="10" t="s">
        <v>99</v>
      </c>
      <c r="AA2033" s="10" t="s">
        <v>131</v>
      </c>
      <c r="AB2033" s="10" t="s">
        <v>15278</v>
      </c>
      <c r="AC2033" s="10" t="s">
        <v>15279</v>
      </c>
      <c r="AD2033" s="10" t="s">
        <v>165</v>
      </c>
      <c r="AE2033" s="10" t="s">
        <v>15520</v>
      </c>
      <c r="AF2033" s="15"/>
      <c r="AG2033" s="10"/>
      <c r="AH2033" s="10"/>
      <c r="AI2033" s="10"/>
      <c r="AJ2033" s="10"/>
      <c r="AK2033" s="10" t="s">
        <v>102</v>
      </c>
      <c r="AL2033" s="10" t="s">
        <v>184</v>
      </c>
      <c r="AM2033" s="10"/>
      <c r="AN2033" s="10"/>
      <c r="AO2033" s="13" t="b">
        <v>0</v>
      </c>
      <c r="AP2033" s="22" t="s">
        <v>104</v>
      </c>
      <c r="AQ2033" s="10">
        <f ca="1">IFERROR(__xludf.DUMMYFUNCTION("""COMPUTED_VALUE"""),4653439)</f>
        <v>4653439</v>
      </c>
      <c r="AR2033" s="17">
        <v>7384</v>
      </c>
      <c r="AS2033" s="17">
        <v>5833</v>
      </c>
      <c r="AT2033" s="17">
        <v>43016</v>
      </c>
      <c r="AU2033" s="17">
        <v>11.5</v>
      </c>
      <c r="AV2033" s="17">
        <v>4.8</v>
      </c>
      <c r="AW2033" s="10" t="s">
        <v>105</v>
      </c>
      <c r="AX2033" s="17">
        <v>713</v>
      </c>
      <c r="AY2033" s="18">
        <v>7.3745928338762212</v>
      </c>
      <c r="AZ2033" s="10"/>
      <c r="BA2033" s="20" t="b">
        <v>0</v>
      </c>
      <c r="BB2033" s="10"/>
      <c r="BC2033" s="17">
        <v>7384</v>
      </c>
      <c r="BD2033" s="17">
        <v>5833</v>
      </c>
      <c r="BE2033" s="17">
        <v>43016</v>
      </c>
      <c r="BF2033" s="17">
        <v>4.8</v>
      </c>
      <c r="BG2033" s="11">
        <f ca="1">IFERROR(__xludf.DUMMYFUNCTION("""COMPUTED_VALUE"""),45949.8541666666)</f>
        <v>45949.854166666599</v>
      </c>
      <c r="BH2033" s="17" t="s">
        <v>105</v>
      </c>
      <c r="BI2033" s="17"/>
      <c r="BJ2033" s="15"/>
      <c r="BK2033" s="15"/>
      <c r="BL2033" s="13" t="b">
        <v>0</v>
      </c>
      <c r="BM2033" s="10"/>
      <c r="BN2033" s="10" t="s">
        <v>8529</v>
      </c>
      <c r="BO2033" s="11">
        <v>45915.556250000001</v>
      </c>
      <c r="BP2033" s="11">
        <v>45915.556493055556</v>
      </c>
      <c r="BQ2033" s="15">
        <v>45942.583981481483</v>
      </c>
      <c r="BR2033" s="15">
        <v>45946.435335648152</v>
      </c>
      <c r="BS2033" s="10"/>
      <c r="BT2033" s="10"/>
      <c r="BU2033" s="10"/>
      <c r="BV2033" s="10" t="s">
        <v>4315</v>
      </c>
      <c r="BW2033" s="10"/>
      <c r="BX2033" s="10"/>
      <c r="BY2033" s="23"/>
      <c r="BZ2033" s="23"/>
      <c r="CA2033" s="19" t="s">
        <v>15521</v>
      </c>
      <c r="CB2033" s="23"/>
      <c r="CC2033" s="23"/>
      <c r="CD2033" s="19" t="s">
        <v>15522</v>
      </c>
      <c r="CE2033" s="23"/>
      <c r="CF2033" s="23"/>
      <c r="CG2033" s="23"/>
      <c r="CH2033" s="23"/>
      <c r="CI2033" s="23"/>
    </row>
    <row r="2034" spans="1:87" x14ac:dyDescent="0.3">
      <c r="A2034" s="9" t="s">
        <v>15523</v>
      </c>
      <c r="B2034" s="10" t="s">
        <v>15524</v>
      </c>
      <c r="C2034" s="11">
        <v>45970.895833333336</v>
      </c>
      <c r="D2034" s="12">
        <v>0.14583333333333334</v>
      </c>
      <c r="E2034" s="11">
        <v>45971.041666666664</v>
      </c>
      <c r="F2034" s="10" t="s">
        <v>15270</v>
      </c>
      <c r="G2034" s="13" t="b">
        <v>0</v>
      </c>
      <c r="H2034" s="22" t="s">
        <v>15271</v>
      </c>
      <c r="I2034" s="10" t="s">
        <v>3213</v>
      </c>
      <c r="J2034" s="13" t="b">
        <v>0</v>
      </c>
      <c r="K2034" s="13" t="b">
        <v>1</v>
      </c>
      <c r="L2034" s="10" t="s">
        <v>124</v>
      </c>
      <c r="M2034" s="10" t="s">
        <v>91</v>
      </c>
      <c r="N2034" s="10" t="s">
        <v>92</v>
      </c>
      <c r="O2034" s="19" t="s">
        <v>15525</v>
      </c>
      <c r="P2034" s="10" t="s">
        <v>88</v>
      </c>
      <c r="Q2034" s="10" t="s">
        <v>126</v>
      </c>
      <c r="R2034" s="10"/>
      <c r="S2034" s="19" t="s">
        <v>15526</v>
      </c>
      <c r="T2034" s="19" t="s">
        <v>15527</v>
      </c>
      <c r="U2034" s="10" t="s">
        <v>15528</v>
      </c>
      <c r="V2034" s="10" t="s">
        <v>15308</v>
      </c>
      <c r="W2034" s="10" t="s">
        <v>15276</v>
      </c>
      <c r="X2034" s="10" t="s">
        <v>15277</v>
      </c>
      <c r="Y2034" s="10" t="s">
        <v>15277</v>
      </c>
      <c r="Z2034" s="10" t="s">
        <v>99</v>
      </c>
      <c r="AA2034" s="10" t="s">
        <v>131</v>
      </c>
      <c r="AB2034" s="10" t="s">
        <v>15278</v>
      </c>
      <c r="AC2034" s="10" t="s">
        <v>15279</v>
      </c>
      <c r="AD2034" s="10" t="s">
        <v>165</v>
      </c>
      <c r="AE2034" s="10" t="s">
        <v>15529</v>
      </c>
      <c r="AF2034" s="15"/>
      <c r="AG2034" s="10"/>
      <c r="AH2034" s="10"/>
      <c r="AI2034" s="10"/>
      <c r="AJ2034" s="10"/>
      <c r="AK2034" s="10" t="s">
        <v>102</v>
      </c>
      <c r="AL2034" s="10" t="s">
        <v>1252</v>
      </c>
      <c r="AM2034" s="10"/>
      <c r="AN2034" s="10"/>
      <c r="AO2034" s="13" t="b">
        <v>0</v>
      </c>
      <c r="AP2034" s="22" t="s">
        <v>104</v>
      </c>
      <c r="AQ2034" s="10">
        <f ca="1">IFERROR(__xludf.DUMMYFUNCTION("""COMPUTED_VALUE"""),4708917)</f>
        <v>4708917</v>
      </c>
      <c r="AR2034" s="17">
        <v>3495</v>
      </c>
      <c r="AS2034" s="17">
        <v>2825</v>
      </c>
      <c r="AT2034" s="17">
        <v>28103.75</v>
      </c>
      <c r="AU2034" s="17">
        <v>12.65</v>
      </c>
      <c r="AV2034" s="17">
        <v>5.0999999999999996</v>
      </c>
      <c r="AW2034" s="10" t="s">
        <v>105</v>
      </c>
      <c r="AX2034" s="17">
        <v>412</v>
      </c>
      <c r="AY2034" s="18">
        <v>9.9482300884955759</v>
      </c>
      <c r="AZ2034" s="10"/>
      <c r="BA2034" s="20" t="b">
        <v>0</v>
      </c>
      <c r="BB2034" s="10"/>
      <c r="BC2034" s="17">
        <v>3495</v>
      </c>
      <c r="BD2034" s="17">
        <v>2825</v>
      </c>
      <c r="BE2034" s="17">
        <v>28103.75</v>
      </c>
      <c r="BF2034" s="17">
        <v>5.0999999999999996</v>
      </c>
      <c r="BG2034" s="11">
        <f ca="1">IFERROR(__xludf.DUMMYFUNCTION("""COMPUTED_VALUE"""),45970.8958333333)</f>
        <v>45970.895833333299</v>
      </c>
      <c r="BH2034" s="17" t="s">
        <v>105</v>
      </c>
      <c r="BI2034" s="17"/>
      <c r="BJ2034" s="15"/>
      <c r="BK2034" s="15"/>
      <c r="BL2034" s="13" t="b">
        <v>0</v>
      </c>
      <c r="BM2034" s="10"/>
      <c r="BN2034" s="10" t="s">
        <v>118</v>
      </c>
      <c r="BO2034" s="11">
        <v>45915.563194444447</v>
      </c>
      <c r="BP2034" s="11">
        <v>45915.563506944447</v>
      </c>
      <c r="BQ2034" s="15">
        <v>45968.618090277778</v>
      </c>
      <c r="BR2034" s="15">
        <v>45969.695439814815</v>
      </c>
      <c r="BS2034" s="10" t="s">
        <v>118</v>
      </c>
      <c r="BT2034" s="10"/>
      <c r="BU2034" s="10"/>
      <c r="BV2034" s="10" t="s">
        <v>4315</v>
      </c>
      <c r="BW2034" s="10"/>
      <c r="BX2034" s="10"/>
      <c r="BY2034" s="23"/>
      <c r="BZ2034" s="23"/>
      <c r="CA2034" s="19" t="s">
        <v>15530</v>
      </c>
      <c r="CB2034" s="19" t="s">
        <v>15531</v>
      </c>
      <c r="CC2034" s="23"/>
      <c r="CD2034" s="19" t="s">
        <v>15532</v>
      </c>
      <c r="CE2034" s="23"/>
      <c r="CF2034" s="23"/>
      <c r="CG2034" s="23"/>
      <c r="CH2034" s="23"/>
      <c r="CI2034" s="23"/>
    </row>
    <row r="2035" spans="1:87" x14ac:dyDescent="0.3">
      <c r="A2035" s="9" t="s">
        <v>15533</v>
      </c>
      <c r="B2035" s="10" t="s">
        <v>15534</v>
      </c>
      <c r="C2035" s="11">
        <v>45977.895833333336</v>
      </c>
      <c r="D2035" s="12">
        <v>0.14583333333333334</v>
      </c>
      <c r="E2035" s="11">
        <v>45978.041666666664</v>
      </c>
      <c r="F2035" s="10" t="s">
        <v>15270</v>
      </c>
      <c r="G2035" s="13" t="b">
        <v>0</v>
      </c>
      <c r="H2035" s="22" t="s">
        <v>15271</v>
      </c>
      <c r="I2035" s="10" t="s">
        <v>3213</v>
      </c>
      <c r="J2035" s="13" t="b">
        <v>0</v>
      </c>
      <c r="K2035" s="13" t="b">
        <v>1</v>
      </c>
      <c r="L2035" s="10" t="s">
        <v>124</v>
      </c>
      <c r="M2035" s="10" t="s">
        <v>91</v>
      </c>
      <c r="N2035" s="10" t="s">
        <v>92</v>
      </c>
      <c r="O2035" s="19" t="s">
        <v>15535</v>
      </c>
      <c r="P2035" s="10" t="s">
        <v>3215</v>
      </c>
      <c r="Q2035" s="10" t="s">
        <v>126</v>
      </c>
      <c r="R2035" s="10"/>
      <c r="S2035" s="19" t="s">
        <v>15536</v>
      </c>
      <c r="T2035" s="10"/>
      <c r="U2035" s="10" t="s">
        <v>15537</v>
      </c>
      <c r="V2035" s="10" t="s">
        <v>15275</v>
      </c>
      <c r="W2035" s="10" t="s">
        <v>15276</v>
      </c>
      <c r="X2035" s="10" t="s">
        <v>15277</v>
      </c>
      <c r="Y2035" s="10" t="s">
        <v>15277</v>
      </c>
      <c r="Z2035" s="10" t="s">
        <v>99</v>
      </c>
      <c r="AA2035" s="10" t="s">
        <v>131</v>
      </c>
      <c r="AB2035" s="10" t="s">
        <v>15278</v>
      </c>
      <c r="AC2035" s="10" t="s">
        <v>15279</v>
      </c>
      <c r="AD2035" s="10" t="s">
        <v>165</v>
      </c>
      <c r="AE2035" s="10" t="s">
        <v>15538</v>
      </c>
      <c r="AF2035" s="15"/>
      <c r="AG2035" s="10"/>
      <c r="AH2035" s="10"/>
      <c r="AI2035" s="10"/>
      <c r="AJ2035" s="10"/>
      <c r="AK2035" s="10" t="s">
        <v>102</v>
      </c>
      <c r="AL2035" s="10" t="s">
        <v>1360</v>
      </c>
      <c r="AM2035" s="10"/>
      <c r="AN2035" s="10"/>
      <c r="AO2035" s="13" t="b">
        <v>0</v>
      </c>
      <c r="AP2035" s="22" t="s">
        <v>104</v>
      </c>
      <c r="AQ2035" s="10">
        <f ca="1">IFERROR(__xludf.DUMMYFUNCTION("""COMPUTED_VALUE"""),4717952)</f>
        <v>4717952</v>
      </c>
      <c r="AR2035" s="17">
        <v>3555</v>
      </c>
      <c r="AS2035" s="17">
        <v>2905</v>
      </c>
      <c r="AT2035" s="17">
        <v>42590.5</v>
      </c>
      <c r="AU2035" s="17">
        <v>21.75</v>
      </c>
      <c r="AV2035" s="17">
        <v>2.15</v>
      </c>
      <c r="AW2035" s="10" t="s">
        <v>105</v>
      </c>
      <c r="AX2035" s="17">
        <v>527</v>
      </c>
      <c r="AY2035" s="18">
        <v>14.661101549053356</v>
      </c>
      <c r="AZ2035" s="10"/>
      <c r="BA2035" s="20" t="b">
        <v>0</v>
      </c>
      <c r="BB2035" s="10"/>
      <c r="BC2035" s="17">
        <v>3555</v>
      </c>
      <c r="BD2035" s="17">
        <v>2905</v>
      </c>
      <c r="BE2035" s="17">
        <v>42590.5</v>
      </c>
      <c r="BF2035" s="17">
        <v>2.15</v>
      </c>
      <c r="BG2035" s="11">
        <f ca="1">IFERROR(__xludf.DUMMYFUNCTION("""COMPUTED_VALUE"""),45977.8958333333)</f>
        <v>45977.895833333299</v>
      </c>
      <c r="BH2035" s="17" t="s">
        <v>105</v>
      </c>
      <c r="BI2035" s="17"/>
      <c r="BJ2035" s="15"/>
      <c r="BK2035" s="15"/>
      <c r="BL2035" s="13" t="b">
        <v>0</v>
      </c>
      <c r="BM2035" s="10"/>
      <c r="BN2035" s="10" t="s">
        <v>4030</v>
      </c>
      <c r="BO2035" s="11">
        <v>45915.574305555558</v>
      </c>
      <c r="BP2035" s="11">
        <v>45915.57471064815</v>
      </c>
      <c r="BQ2035" s="15">
        <v>45975.456319444442</v>
      </c>
      <c r="BR2035" s="15">
        <v>45975.490243055552</v>
      </c>
      <c r="BS2035" s="10" t="s">
        <v>4030</v>
      </c>
      <c r="BT2035" s="10"/>
      <c r="BU2035" s="10"/>
      <c r="BV2035" s="10" t="s">
        <v>4315</v>
      </c>
      <c r="BW2035" s="10"/>
      <c r="BX2035" s="10"/>
      <c r="BY2035" s="23"/>
      <c r="BZ2035" s="23"/>
      <c r="CA2035" s="19" t="s">
        <v>15539</v>
      </c>
      <c r="CB2035" s="23"/>
      <c r="CC2035" s="23"/>
      <c r="CD2035" s="19" t="s">
        <v>15540</v>
      </c>
      <c r="CE2035" s="23"/>
      <c r="CF2035" s="23"/>
      <c r="CG2035" s="23"/>
      <c r="CH2035" s="23"/>
      <c r="CI2035" s="23"/>
    </row>
    <row r="2036" spans="1:87" x14ac:dyDescent="0.3">
      <c r="A2036" s="9" t="s">
        <v>15541</v>
      </c>
      <c r="B2036" s="10" t="s">
        <v>15542</v>
      </c>
      <c r="C2036" s="11">
        <v>45947.645833333336</v>
      </c>
      <c r="D2036" s="12">
        <v>8.3333333333333329E-2</v>
      </c>
      <c r="E2036" s="11">
        <v>45947.729166666664</v>
      </c>
      <c r="F2036" s="10" t="s">
        <v>14786</v>
      </c>
      <c r="G2036" s="13" t="b">
        <v>0</v>
      </c>
      <c r="H2036" s="22" t="s">
        <v>14787</v>
      </c>
      <c r="I2036" s="10" t="s">
        <v>212</v>
      </c>
      <c r="J2036" s="13" t="b">
        <v>1</v>
      </c>
      <c r="K2036" s="13" t="b">
        <v>0</v>
      </c>
      <c r="L2036" s="10" t="s">
        <v>124</v>
      </c>
      <c r="M2036" s="10" t="s">
        <v>91</v>
      </c>
      <c r="N2036" s="10" t="s">
        <v>3513</v>
      </c>
      <c r="O2036" s="19" t="s">
        <v>15543</v>
      </c>
      <c r="P2036" s="10"/>
      <c r="Q2036" s="10" t="s">
        <v>126</v>
      </c>
      <c r="R2036" s="10"/>
      <c r="S2036" s="19" t="s">
        <v>15544</v>
      </c>
      <c r="T2036" s="19" t="s">
        <v>15545</v>
      </c>
      <c r="U2036" s="10" t="s">
        <v>14827</v>
      </c>
      <c r="V2036" s="10" t="s">
        <v>14870</v>
      </c>
      <c r="W2036" s="10" t="s">
        <v>14793</v>
      </c>
      <c r="X2036" s="10" t="s">
        <v>130</v>
      </c>
      <c r="Y2036" s="10" t="s">
        <v>130</v>
      </c>
      <c r="Z2036" s="10" t="s">
        <v>99</v>
      </c>
      <c r="AA2036" s="10" t="s">
        <v>131</v>
      </c>
      <c r="AB2036" s="10" t="s">
        <v>14794</v>
      </c>
      <c r="AC2036" s="10" t="s">
        <v>3521</v>
      </c>
      <c r="AD2036" s="10" t="s">
        <v>15546</v>
      </c>
      <c r="AE2036" s="10" t="s">
        <v>15547</v>
      </c>
      <c r="AF2036" s="15"/>
      <c r="AG2036" s="10"/>
      <c r="AH2036" s="10"/>
      <c r="AI2036" s="10"/>
      <c r="AJ2036" s="10"/>
      <c r="AK2036" s="10" t="s">
        <v>102</v>
      </c>
      <c r="AL2036" s="10" t="s">
        <v>176</v>
      </c>
      <c r="AM2036" s="10"/>
      <c r="AN2036" s="10"/>
      <c r="AO2036" s="13" t="b">
        <v>0</v>
      </c>
      <c r="AP2036" s="22" t="s">
        <v>104</v>
      </c>
      <c r="AQ2036" s="10">
        <f ca="1">IFERROR(__xludf.DUMMYFUNCTION("""COMPUTED_VALUE"""),4652401)</f>
        <v>4652401</v>
      </c>
      <c r="AR2036" s="17">
        <v>21472</v>
      </c>
      <c r="AS2036" s="17">
        <v>12485</v>
      </c>
      <c r="AT2036" s="17">
        <v>187166.75</v>
      </c>
      <c r="AU2036" s="17">
        <v>61.5</v>
      </c>
      <c r="AV2036" s="17">
        <v>7.45</v>
      </c>
      <c r="AW2036" s="10" t="s">
        <v>105</v>
      </c>
      <c r="AX2036" s="17">
        <v>3372</v>
      </c>
      <c r="AY2036" s="18">
        <v>14.991329595514618</v>
      </c>
      <c r="AZ2036" s="10" t="s">
        <v>106</v>
      </c>
      <c r="BA2036" s="20" t="b">
        <v>0</v>
      </c>
      <c r="BB2036" s="10"/>
      <c r="BC2036" s="17">
        <v>21472</v>
      </c>
      <c r="BD2036" s="17">
        <v>12485</v>
      </c>
      <c r="BE2036" s="17">
        <v>187166.75</v>
      </c>
      <c r="BF2036" s="17">
        <v>7.45</v>
      </c>
      <c r="BG2036" s="11">
        <f ca="1">IFERROR(__xludf.DUMMYFUNCTION("""COMPUTED_VALUE"""),45947.6458333333)</f>
        <v>45947.645833333299</v>
      </c>
      <c r="BH2036" s="17" t="s">
        <v>105</v>
      </c>
      <c r="BI2036" s="17"/>
      <c r="BJ2036" s="15"/>
      <c r="BK2036" s="15"/>
      <c r="BL2036" s="13" t="b">
        <v>0</v>
      </c>
      <c r="BM2036" s="10"/>
      <c r="BN2036" s="10" t="s">
        <v>278</v>
      </c>
      <c r="BO2036" s="11">
        <v>45916.463194444441</v>
      </c>
      <c r="BP2036" s="11">
        <v>45936.707696759258</v>
      </c>
      <c r="BQ2036" s="15">
        <v>45944.755324074074</v>
      </c>
      <c r="BR2036" s="15">
        <v>45945.392141203702</v>
      </c>
      <c r="BS2036" s="10" t="s">
        <v>278</v>
      </c>
      <c r="BT2036" s="10" t="s">
        <v>99</v>
      </c>
      <c r="BU2036" s="10" t="s">
        <v>718</v>
      </c>
      <c r="BV2036" s="10"/>
      <c r="BW2036" s="10"/>
      <c r="BX2036" s="10"/>
      <c r="BY2036" s="23"/>
      <c r="BZ2036" s="23"/>
      <c r="CA2036" s="19" t="s">
        <v>15548</v>
      </c>
      <c r="CB2036" s="19" t="s">
        <v>15549</v>
      </c>
      <c r="CC2036" s="23"/>
      <c r="CD2036" s="19" t="s">
        <v>15550</v>
      </c>
      <c r="CE2036" s="23"/>
      <c r="CF2036" s="23"/>
      <c r="CG2036" s="23"/>
      <c r="CH2036" s="23"/>
      <c r="CI2036" s="23"/>
    </row>
    <row r="2037" spans="1:87" x14ac:dyDescent="0.3">
      <c r="A2037" s="9" t="s">
        <v>15551</v>
      </c>
      <c r="B2037" s="10" t="s">
        <v>15552</v>
      </c>
      <c r="C2037" s="11">
        <v>45947.645833333336</v>
      </c>
      <c r="D2037" s="12">
        <v>8.3333333333333329E-2</v>
      </c>
      <c r="E2037" s="11">
        <v>45947.729166666664</v>
      </c>
      <c r="F2037" s="10" t="s">
        <v>14786</v>
      </c>
      <c r="G2037" s="13" t="b">
        <v>0</v>
      </c>
      <c r="H2037" s="22" t="s">
        <v>14787</v>
      </c>
      <c r="I2037" s="10" t="s">
        <v>212</v>
      </c>
      <c r="J2037" s="13" t="b">
        <v>1</v>
      </c>
      <c r="K2037" s="13" t="b">
        <v>0</v>
      </c>
      <c r="L2037" s="10" t="s">
        <v>124</v>
      </c>
      <c r="M2037" s="10" t="s">
        <v>91</v>
      </c>
      <c r="N2037" s="10" t="s">
        <v>3513</v>
      </c>
      <c r="O2037" s="19" t="s">
        <v>15553</v>
      </c>
      <c r="P2037" s="10"/>
      <c r="Q2037" s="10" t="s">
        <v>126</v>
      </c>
      <c r="R2037" s="10"/>
      <c r="S2037" s="19" t="s">
        <v>15554</v>
      </c>
      <c r="T2037" s="19" t="s">
        <v>15545</v>
      </c>
      <c r="U2037" s="10" t="s">
        <v>14815</v>
      </c>
      <c r="V2037" s="10" t="s">
        <v>14805</v>
      </c>
      <c r="W2037" s="10" t="s">
        <v>14793</v>
      </c>
      <c r="X2037" s="10" t="s">
        <v>130</v>
      </c>
      <c r="Y2037" s="10" t="s">
        <v>130</v>
      </c>
      <c r="Z2037" s="10" t="s">
        <v>99</v>
      </c>
      <c r="AA2037" s="10" t="s">
        <v>131</v>
      </c>
      <c r="AB2037" s="10" t="s">
        <v>14794</v>
      </c>
      <c r="AC2037" s="10" t="s">
        <v>3521</v>
      </c>
      <c r="AD2037" s="10" t="s">
        <v>15555</v>
      </c>
      <c r="AE2037" s="10" t="s">
        <v>15556</v>
      </c>
      <c r="AF2037" s="15"/>
      <c r="AG2037" s="10"/>
      <c r="AH2037" s="10"/>
      <c r="AI2037" s="10"/>
      <c r="AJ2037" s="10"/>
      <c r="AK2037" s="10" t="s">
        <v>102</v>
      </c>
      <c r="AL2037" s="10" t="s">
        <v>176</v>
      </c>
      <c r="AM2037" s="10"/>
      <c r="AN2037" s="10"/>
      <c r="AO2037" s="13" t="b">
        <v>0</v>
      </c>
      <c r="AP2037" s="22" t="s">
        <v>104</v>
      </c>
      <c r="AQ2037" s="10">
        <f ca="1">IFERROR(__xludf.DUMMYFUNCTION("""COMPUTED_VALUE"""),4652404)</f>
        <v>4652404</v>
      </c>
      <c r="AR2037" s="17">
        <v>41387</v>
      </c>
      <c r="AS2037" s="17">
        <v>22270</v>
      </c>
      <c r="AT2037" s="17">
        <v>513502.25</v>
      </c>
      <c r="AU2037" s="17">
        <v>84</v>
      </c>
      <c r="AV2037" s="17">
        <v>11.8</v>
      </c>
      <c r="AW2037" s="10" t="s">
        <v>105</v>
      </c>
      <c r="AX2037" s="17">
        <v>7486</v>
      </c>
      <c r="AY2037" s="18">
        <v>23.058026493039964</v>
      </c>
      <c r="AZ2037" s="10" t="s">
        <v>106</v>
      </c>
      <c r="BA2037" s="20" t="b">
        <v>0</v>
      </c>
      <c r="BB2037" s="10"/>
      <c r="BC2037" s="17">
        <v>41387</v>
      </c>
      <c r="BD2037" s="17">
        <v>22270</v>
      </c>
      <c r="BE2037" s="17">
        <v>513502.25</v>
      </c>
      <c r="BF2037" s="17">
        <v>11.8</v>
      </c>
      <c r="BG2037" s="11">
        <f ca="1">IFERROR(__xludf.DUMMYFUNCTION("""COMPUTED_VALUE"""),45947.6458333333)</f>
        <v>45947.645833333299</v>
      </c>
      <c r="BH2037" s="17" t="s">
        <v>105</v>
      </c>
      <c r="BI2037" s="17"/>
      <c r="BJ2037" s="15"/>
      <c r="BK2037" s="15"/>
      <c r="BL2037" s="13" t="b">
        <v>0</v>
      </c>
      <c r="BM2037" s="10"/>
      <c r="BN2037" s="10" t="s">
        <v>278</v>
      </c>
      <c r="BO2037" s="11">
        <v>45916.464583333334</v>
      </c>
      <c r="BP2037" s="11">
        <v>45936.707824074074</v>
      </c>
      <c r="BQ2037" s="15">
        <v>45944.755474537036</v>
      </c>
      <c r="BR2037" s="15">
        <v>45945.392268518517</v>
      </c>
      <c r="BS2037" s="10" t="s">
        <v>278</v>
      </c>
      <c r="BT2037" s="10" t="s">
        <v>99</v>
      </c>
      <c r="BU2037" s="10" t="s">
        <v>534</v>
      </c>
      <c r="BV2037" s="10"/>
      <c r="BW2037" s="10"/>
      <c r="BX2037" s="10"/>
      <c r="BY2037" s="23"/>
      <c r="BZ2037" s="23"/>
      <c r="CA2037" s="19" t="s">
        <v>15557</v>
      </c>
      <c r="CB2037" s="19" t="s">
        <v>15558</v>
      </c>
      <c r="CC2037" s="23"/>
      <c r="CD2037" s="19" t="s">
        <v>15559</v>
      </c>
      <c r="CE2037" s="23"/>
      <c r="CF2037" s="23"/>
      <c r="CG2037" s="23"/>
      <c r="CH2037" s="23"/>
      <c r="CI2037" s="23"/>
    </row>
    <row r="2038" spans="1:87" x14ac:dyDescent="0.3">
      <c r="A2038" s="25" t="s">
        <v>15560</v>
      </c>
      <c r="B2038" s="10" t="s">
        <v>15561</v>
      </c>
      <c r="C2038" s="11">
        <v>45947.791666666664</v>
      </c>
      <c r="D2038" s="12">
        <v>8.3333333333333329E-2</v>
      </c>
      <c r="E2038" s="11">
        <v>45947.875</v>
      </c>
      <c r="F2038" s="10" t="s">
        <v>14786</v>
      </c>
      <c r="G2038" s="13" t="b">
        <v>0</v>
      </c>
      <c r="H2038" s="22" t="s">
        <v>14787</v>
      </c>
      <c r="I2038" s="10" t="s">
        <v>212</v>
      </c>
      <c r="J2038" s="13" t="b">
        <v>1</v>
      </c>
      <c r="K2038" s="13" t="b">
        <v>0</v>
      </c>
      <c r="L2038" s="10" t="s">
        <v>124</v>
      </c>
      <c r="M2038" s="10" t="s">
        <v>91</v>
      </c>
      <c r="N2038" s="10" t="s">
        <v>3513</v>
      </c>
      <c r="O2038" s="19" t="s">
        <v>15562</v>
      </c>
      <c r="P2038" s="10"/>
      <c r="Q2038" s="10" t="s">
        <v>126</v>
      </c>
      <c r="R2038" s="10"/>
      <c r="S2038" s="19" t="s">
        <v>15563</v>
      </c>
      <c r="T2038" s="19" t="s">
        <v>15545</v>
      </c>
      <c r="U2038" s="10" t="s">
        <v>14860</v>
      </c>
      <c r="V2038" s="10" t="s">
        <v>14838</v>
      </c>
      <c r="W2038" s="10" t="s">
        <v>14793</v>
      </c>
      <c r="X2038" s="10" t="s">
        <v>130</v>
      </c>
      <c r="Y2038" s="10" t="s">
        <v>130</v>
      </c>
      <c r="Z2038" s="10" t="s">
        <v>99</v>
      </c>
      <c r="AA2038" s="10" t="s">
        <v>131</v>
      </c>
      <c r="AB2038" s="10" t="s">
        <v>14794</v>
      </c>
      <c r="AC2038" s="10" t="s">
        <v>3521</v>
      </c>
      <c r="AD2038" s="10" t="s">
        <v>15564</v>
      </c>
      <c r="AE2038" s="10" t="s">
        <v>15565</v>
      </c>
      <c r="AF2038" s="15"/>
      <c r="AG2038" s="10"/>
      <c r="AH2038" s="10"/>
      <c r="AI2038" s="10"/>
      <c r="AJ2038" s="10"/>
      <c r="AK2038" s="10" t="s">
        <v>102</v>
      </c>
      <c r="AL2038" s="10" t="s">
        <v>176</v>
      </c>
      <c r="AM2038" s="10"/>
      <c r="AN2038" s="10"/>
      <c r="AO2038" s="13" t="b">
        <v>0</v>
      </c>
      <c r="AP2038" s="22" t="s">
        <v>104</v>
      </c>
      <c r="AQ2038" s="10">
        <f ca="1">IFERROR(__xludf.DUMMYFUNCTION("""COMPUTED_VALUE"""),4652402)</f>
        <v>4652402</v>
      </c>
      <c r="AR2038" s="17">
        <v>26014</v>
      </c>
      <c r="AS2038" s="17">
        <v>16736</v>
      </c>
      <c r="AT2038" s="17">
        <v>234495.5</v>
      </c>
      <c r="AU2038" s="17">
        <v>82.15</v>
      </c>
      <c r="AV2038" s="17">
        <v>11.7</v>
      </c>
      <c r="AW2038" s="10" t="s">
        <v>105</v>
      </c>
      <c r="AX2038" s="17">
        <v>5799</v>
      </c>
      <c r="AY2038" s="18">
        <v>14.011442399617591</v>
      </c>
      <c r="AZ2038" s="10" t="s">
        <v>106</v>
      </c>
      <c r="BA2038" s="20" t="b">
        <v>0</v>
      </c>
      <c r="BB2038" s="10"/>
      <c r="BC2038" s="17">
        <v>26014</v>
      </c>
      <c r="BD2038" s="17">
        <v>16736</v>
      </c>
      <c r="BE2038" s="17">
        <v>234495.5</v>
      </c>
      <c r="BF2038" s="17">
        <v>11.7</v>
      </c>
      <c r="BG2038" s="11">
        <f ca="1">IFERROR(__xludf.DUMMYFUNCTION("""COMPUTED_VALUE"""),45947.7916666666)</f>
        <v>45947.791666666599</v>
      </c>
      <c r="BH2038" s="17" t="s">
        <v>105</v>
      </c>
      <c r="BI2038" s="17"/>
      <c r="BJ2038" s="15"/>
      <c r="BK2038" s="15"/>
      <c r="BL2038" s="13" t="b">
        <v>0</v>
      </c>
      <c r="BM2038" s="10"/>
      <c r="BN2038" s="10" t="s">
        <v>278</v>
      </c>
      <c r="BO2038" s="11">
        <v>45916.464583333334</v>
      </c>
      <c r="BP2038" s="11">
        <v>45936.707905092589</v>
      </c>
      <c r="BQ2038" s="15">
        <v>45944.755613425928</v>
      </c>
      <c r="BR2038" s="15">
        <v>45945.392430555556</v>
      </c>
      <c r="BS2038" s="10" t="s">
        <v>278</v>
      </c>
      <c r="BT2038" s="10" t="s">
        <v>99</v>
      </c>
      <c r="BU2038" s="10" t="s">
        <v>15566</v>
      </c>
      <c r="BV2038" s="10"/>
      <c r="BW2038" s="10"/>
      <c r="BX2038" s="10"/>
      <c r="BY2038" s="23"/>
      <c r="BZ2038" s="23"/>
      <c r="CA2038" s="19" t="s">
        <v>15567</v>
      </c>
      <c r="CB2038" s="19" t="s">
        <v>15568</v>
      </c>
      <c r="CC2038" s="23"/>
      <c r="CD2038" s="19" t="s">
        <v>15569</v>
      </c>
      <c r="CE2038" s="23"/>
      <c r="CF2038" s="23"/>
      <c r="CG2038" s="23"/>
      <c r="CH2038" s="23"/>
      <c r="CI2038" s="23"/>
    </row>
    <row r="2039" spans="1:87" x14ac:dyDescent="0.3">
      <c r="A2039" s="9" t="s">
        <v>15570</v>
      </c>
      <c r="B2039" s="10" t="s">
        <v>15571</v>
      </c>
      <c r="C2039" s="11">
        <v>45948.645833333336</v>
      </c>
      <c r="D2039" s="12">
        <v>8.3333333333333329E-2</v>
      </c>
      <c r="E2039" s="11">
        <v>45948.729166666664</v>
      </c>
      <c r="F2039" s="10" t="s">
        <v>14786</v>
      </c>
      <c r="G2039" s="13" t="b">
        <v>0</v>
      </c>
      <c r="H2039" s="22" t="s">
        <v>14787</v>
      </c>
      <c r="I2039" s="10" t="s">
        <v>212</v>
      </c>
      <c r="J2039" s="13" t="b">
        <v>1</v>
      </c>
      <c r="K2039" s="13" t="b">
        <v>0</v>
      </c>
      <c r="L2039" s="10" t="s">
        <v>124</v>
      </c>
      <c r="M2039" s="10" t="s">
        <v>91</v>
      </c>
      <c r="N2039" s="10" t="s">
        <v>3513</v>
      </c>
      <c r="O2039" s="19" t="s">
        <v>15572</v>
      </c>
      <c r="P2039" s="10"/>
      <c r="Q2039" s="10" t="s">
        <v>126</v>
      </c>
      <c r="R2039" s="10"/>
      <c r="S2039" s="19" t="s">
        <v>15573</v>
      </c>
      <c r="T2039" s="19" t="s">
        <v>15545</v>
      </c>
      <c r="U2039" s="10" t="s">
        <v>14791</v>
      </c>
      <c r="V2039" s="10" t="s">
        <v>14816</v>
      </c>
      <c r="W2039" s="10" t="s">
        <v>14793</v>
      </c>
      <c r="X2039" s="10" t="s">
        <v>130</v>
      </c>
      <c r="Y2039" s="10" t="s">
        <v>130</v>
      </c>
      <c r="Z2039" s="10" t="s">
        <v>99</v>
      </c>
      <c r="AA2039" s="10" t="s">
        <v>131</v>
      </c>
      <c r="AB2039" s="10" t="s">
        <v>14794</v>
      </c>
      <c r="AC2039" s="10" t="s">
        <v>3521</v>
      </c>
      <c r="AD2039" s="10" t="s">
        <v>15574</v>
      </c>
      <c r="AE2039" s="10" t="s">
        <v>15575</v>
      </c>
      <c r="AF2039" s="15"/>
      <c r="AG2039" s="10"/>
      <c r="AH2039" s="10"/>
      <c r="AI2039" s="10"/>
      <c r="AJ2039" s="10"/>
      <c r="AK2039" s="10" t="s">
        <v>102</v>
      </c>
      <c r="AL2039" s="10" t="s">
        <v>176</v>
      </c>
      <c r="AM2039" s="10"/>
      <c r="AN2039" s="10"/>
      <c r="AO2039" s="13" t="b">
        <v>0</v>
      </c>
      <c r="AP2039" s="22" t="s">
        <v>104</v>
      </c>
      <c r="AQ2039" s="10">
        <f ca="1">IFERROR(__xludf.DUMMYFUNCTION("""COMPUTED_VALUE"""),4652405)</f>
        <v>4652405</v>
      </c>
      <c r="AR2039" s="17">
        <v>24304</v>
      </c>
      <c r="AS2039" s="17">
        <v>15624</v>
      </c>
      <c r="AT2039" s="17">
        <v>124321</v>
      </c>
      <c r="AU2039" s="17">
        <v>41</v>
      </c>
      <c r="AV2039" s="17">
        <v>5.95</v>
      </c>
      <c r="AW2039" s="10" t="s">
        <v>105</v>
      </c>
      <c r="AX2039" s="17">
        <v>3541</v>
      </c>
      <c r="AY2039" s="18">
        <v>7.9570532514080901</v>
      </c>
      <c r="AZ2039" s="10" t="s">
        <v>106</v>
      </c>
      <c r="BA2039" s="20" t="b">
        <v>0</v>
      </c>
      <c r="BB2039" s="10"/>
      <c r="BC2039" s="17">
        <v>24304</v>
      </c>
      <c r="BD2039" s="17">
        <v>15624</v>
      </c>
      <c r="BE2039" s="17">
        <v>124321</v>
      </c>
      <c r="BF2039" s="17">
        <v>5.95</v>
      </c>
      <c r="BG2039" s="11">
        <f ca="1">IFERROR(__xludf.DUMMYFUNCTION("""COMPUTED_VALUE"""),45948.6458333333)</f>
        <v>45948.645833333299</v>
      </c>
      <c r="BH2039" s="17" t="s">
        <v>105</v>
      </c>
      <c r="BI2039" s="17"/>
      <c r="BJ2039" s="15"/>
      <c r="BK2039" s="15"/>
      <c r="BL2039" s="13" t="b">
        <v>0</v>
      </c>
      <c r="BM2039" s="10"/>
      <c r="BN2039" s="10" t="s">
        <v>278</v>
      </c>
      <c r="BO2039" s="11">
        <v>45916.465277777781</v>
      </c>
      <c r="BP2039" s="11">
        <v>45936.707997685182</v>
      </c>
      <c r="BQ2039" s="15">
        <v>45944.755810185183</v>
      </c>
      <c r="BR2039" s="15">
        <v>45945.400104166663</v>
      </c>
      <c r="BS2039" s="10" t="s">
        <v>278</v>
      </c>
      <c r="BT2039" s="10" t="s">
        <v>99</v>
      </c>
      <c r="BU2039" s="10" t="s">
        <v>280</v>
      </c>
      <c r="BV2039" s="10"/>
      <c r="BW2039" s="10"/>
      <c r="BX2039" s="10"/>
      <c r="BY2039" s="23"/>
      <c r="BZ2039" s="23"/>
      <c r="CA2039" s="19" t="s">
        <v>15576</v>
      </c>
      <c r="CB2039" s="19" t="s">
        <v>15577</v>
      </c>
      <c r="CC2039" s="23"/>
      <c r="CD2039" s="19" t="s">
        <v>15578</v>
      </c>
      <c r="CE2039" s="23"/>
      <c r="CF2039" s="23"/>
      <c r="CG2039" s="23"/>
      <c r="CH2039" s="23"/>
      <c r="CI2039" s="23"/>
    </row>
    <row r="2040" spans="1:87" x14ac:dyDescent="0.3">
      <c r="A2040" s="9" t="s">
        <v>15579</v>
      </c>
      <c r="B2040" s="10" t="s">
        <v>15580</v>
      </c>
      <c r="C2040" s="11">
        <v>45948.645833333336</v>
      </c>
      <c r="D2040" s="12">
        <v>8.3333333333333329E-2</v>
      </c>
      <c r="E2040" s="11">
        <v>45948.729166666664</v>
      </c>
      <c r="F2040" s="10" t="s">
        <v>14786</v>
      </c>
      <c r="G2040" s="13" t="b">
        <v>0</v>
      </c>
      <c r="H2040" s="22" t="s">
        <v>14787</v>
      </c>
      <c r="I2040" s="10" t="s">
        <v>3548</v>
      </c>
      <c r="J2040" s="13" t="b">
        <v>0</v>
      </c>
      <c r="K2040" s="13" t="b">
        <v>1</v>
      </c>
      <c r="L2040" s="10" t="s">
        <v>124</v>
      </c>
      <c r="M2040" s="10" t="s">
        <v>91</v>
      </c>
      <c r="N2040" s="10" t="s">
        <v>3513</v>
      </c>
      <c r="O2040" s="19" t="s">
        <v>15581</v>
      </c>
      <c r="P2040" s="10"/>
      <c r="Q2040" s="10" t="s">
        <v>126</v>
      </c>
      <c r="R2040" s="10"/>
      <c r="S2040" s="19" t="s">
        <v>15582</v>
      </c>
      <c r="T2040" s="19" t="s">
        <v>15545</v>
      </c>
      <c r="U2040" s="10" t="s">
        <v>14859</v>
      </c>
      <c r="V2040" s="10" t="s">
        <v>14837</v>
      </c>
      <c r="W2040" s="10" t="s">
        <v>14793</v>
      </c>
      <c r="X2040" s="10" t="s">
        <v>130</v>
      </c>
      <c r="Y2040" s="10" t="s">
        <v>130</v>
      </c>
      <c r="Z2040" s="10" t="s">
        <v>99</v>
      </c>
      <c r="AA2040" s="10" t="s">
        <v>131</v>
      </c>
      <c r="AB2040" s="10" t="s">
        <v>14794</v>
      </c>
      <c r="AC2040" s="10" t="s">
        <v>3521</v>
      </c>
      <c r="AD2040" s="10" t="s">
        <v>15583</v>
      </c>
      <c r="AE2040" s="10" t="s">
        <v>15584</v>
      </c>
      <c r="AF2040" s="15"/>
      <c r="AG2040" s="10"/>
      <c r="AH2040" s="10"/>
      <c r="AI2040" s="10"/>
      <c r="AJ2040" s="10"/>
      <c r="AK2040" s="10" t="s">
        <v>102</v>
      </c>
      <c r="AL2040" s="10" t="s">
        <v>176</v>
      </c>
      <c r="AM2040" s="10"/>
      <c r="AN2040" s="10"/>
      <c r="AO2040" s="13" t="b">
        <v>0</v>
      </c>
      <c r="AP2040" s="22" t="s">
        <v>104</v>
      </c>
      <c r="AQ2040" s="10">
        <f ca="1">IFERROR(__xludf.DUMMYFUNCTION("""COMPUTED_VALUE"""),4652408)</f>
        <v>4652408</v>
      </c>
      <c r="AR2040" s="17">
        <v>51117</v>
      </c>
      <c r="AS2040" s="17">
        <v>30729</v>
      </c>
      <c r="AT2040" s="17">
        <v>654986.75</v>
      </c>
      <c r="AU2040" s="17">
        <v>745</v>
      </c>
      <c r="AV2040" s="17">
        <v>198.8</v>
      </c>
      <c r="AW2040" s="10" t="s">
        <v>105</v>
      </c>
      <c r="AX2040" s="17">
        <v>10242</v>
      </c>
      <c r="AY2040" s="18">
        <v>21.314938657294412</v>
      </c>
      <c r="AZ2040" s="10" t="s">
        <v>106</v>
      </c>
      <c r="BA2040" s="20" t="b">
        <v>0</v>
      </c>
      <c r="BB2040" s="10"/>
      <c r="BC2040" s="17">
        <v>51117</v>
      </c>
      <c r="BD2040" s="17">
        <v>30729</v>
      </c>
      <c r="BE2040" s="17">
        <v>654986.75</v>
      </c>
      <c r="BF2040" s="17">
        <v>198.8</v>
      </c>
      <c r="BG2040" s="11">
        <f ca="1">IFERROR(__xludf.DUMMYFUNCTION("""COMPUTED_VALUE"""),45948.6458333333)</f>
        <v>45948.645833333299</v>
      </c>
      <c r="BH2040" s="17" t="s">
        <v>105</v>
      </c>
      <c r="BI2040" s="17"/>
      <c r="BJ2040" s="15"/>
      <c r="BK2040" s="15"/>
      <c r="BL2040" s="13" t="b">
        <v>0</v>
      </c>
      <c r="BM2040" s="10"/>
      <c r="BN2040" s="10" t="s">
        <v>278</v>
      </c>
      <c r="BO2040" s="11">
        <v>45916.46597222222</v>
      </c>
      <c r="BP2040" s="11">
        <v>45936.708101851851</v>
      </c>
      <c r="BQ2040" s="15">
        <v>45944.755960648145</v>
      </c>
      <c r="BR2040" s="15">
        <v>45945.400289351855</v>
      </c>
      <c r="BS2040" s="10" t="s">
        <v>278</v>
      </c>
      <c r="BT2040" s="10" t="s">
        <v>99</v>
      </c>
      <c r="BU2040" s="10" t="s">
        <v>498</v>
      </c>
      <c r="BV2040" s="10"/>
      <c r="BW2040" s="10"/>
      <c r="BX2040" s="10"/>
      <c r="BY2040" s="23"/>
      <c r="BZ2040" s="23"/>
      <c r="CA2040" s="19" t="s">
        <v>15585</v>
      </c>
      <c r="CB2040" s="19" t="s">
        <v>15586</v>
      </c>
      <c r="CC2040" s="23"/>
      <c r="CD2040" s="19" t="s">
        <v>15587</v>
      </c>
      <c r="CE2040" s="23"/>
      <c r="CF2040" s="23"/>
      <c r="CG2040" s="23"/>
      <c r="CH2040" s="23"/>
      <c r="CI2040" s="23"/>
    </row>
    <row r="2041" spans="1:87" x14ac:dyDescent="0.3">
      <c r="A2041" s="9" t="s">
        <v>15588</v>
      </c>
      <c r="B2041" s="10" t="s">
        <v>15589</v>
      </c>
      <c r="C2041" s="11">
        <v>45948.645833333336</v>
      </c>
      <c r="D2041" s="12">
        <v>8.3333333333333329E-2</v>
      </c>
      <c r="E2041" s="11">
        <v>45948.729166666664</v>
      </c>
      <c r="F2041" s="10" t="s">
        <v>14786</v>
      </c>
      <c r="G2041" s="13" t="b">
        <v>0</v>
      </c>
      <c r="H2041" s="22" t="s">
        <v>14787</v>
      </c>
      <c r="I2041" s="10" t="s">
        <v>212</v>
      </c>
      <c r="J2041" s="13" t="b">
        <v>1</v>
      </c>
      <c r="K2041" s="13" t="b">
        <v>0</v>
      </c>
      <c r="L2041" s="10" t="s">
        <v>124</v>
      </c>
      <c r="M2041" s="10" t="s">
        <v>91</v>
      </c>
      <c r="N2041" s="10" t="s">
        <v>3513</v>
      </c>
      <c r="O2041" s="19" t="s">
        <v>15590</v>
      </c>
      <c r="P2041" s="10"/>
      <c r="Q2041" s="10" t="s">
        <v>126</v>
      </c>
      <c r="R2041" s="10"/>
      <c r="S2041" s="19" t="s">
        <v>15591</v>
      </c>
      <c r="T2041" s="19" t="s">
        <v>15545</v>
      </c>
      <c r="U2041" s="10" t="s">
        <v>14792</v>
      </c>
      <c r="V2041" s="10" t="s">
        <v>14882</v>
      </c>
      <c r="W2041" s="10" t="s">
        <v>14793</v>
      </c>
      <c r="X2041" s="10" t="s">
        <v>130</v>
      </c>
      <c r="Y2041" s="10" t="s">
        <v>130</v>
      </c>
      <c r="Z2041" s="10" t="s">
        <v>99</v>
      </c>
      <c r="AA2041" s="10" t="s">
        <v>131</v>
      </c>
      <c r="AB2041" s="10" t="s">
        <v>14794</v>
      </c>
      <c r="AC2041" s="10" t="s">
        <v>3521</v>
      </c>
      <c r="AD2041" s="10" t="s">
        <v>15592</v>
      </c>
      <c r="AE2041" s="10" t="s">
        <v>15593</v>
      </c>
      <c r="AF2041" s="15"/>
      <c r="AG2041" s="10"/>
      <c r="AH2041" s="10"/>
      <c r="AI2041" s="10"/>
      <c r="AJ2041" s="10"/>
      <c r="AK2041" s="10" t="s">
        <v>102</v>
      </c>
      <c r="AL2041" s="10" t="s">
        <v>176</v>
      </c>
      <c r="AM2041" s="10"/>
      <c r="AN2041" s="10"/>
      <c r="AO2041" s="13" t="b">
        <v>0</v>
      </c>
      <c r="AP2041" s="22" t="s">
        <v>104</v>
      </c>
      <c r="AQ2041" s="10">
        <f ca="1">IFERROR(__xludf.DUMMYFUNCTION("""COMPUTED_VALUE"""),4652406)</f>
        <v>4652406</v>
      </c>
      <c r="AR2041" s="17">
        <v>33354</v>
      </c>
      <c r="AS2041" s="17">
        <v>16842</v>
      </c>
      <c r="AT2041" s="17">
        <v>454360.75</v>
      </c>
      <c r="AU2041" s="17">
        <v>107.35</v>
      </c>
      <c r="AV2041" s="17">
        <v>15.55</v>
      </c>
      <c r="AW2041" s="10" t="s">
        <v>105</v>
      </c>
      <c r="AX2041" s="17">
        <v>6460</v>
      </c>
      <c r="AY2041" s="18">
        <v>26.977838142738392</v>
      </c>
      <c r="AZ2041" s="10" t="s">
        <v>106</v>
      </c>
      <c r="BA2041" s="20" t="b">
        <v>0</v>
      </c>
      <c r="BB2041" s="10"/>
      <c r="BC2041" s="17">
        <v>33354</v>
      </c>
      <c r="BD2041" s="17">
        <v>16842</v>
      </c>
      <c r="BE2041" s="17">
        <v>454360.75</v>
      </c>
      <c r="BF2041" s="17">
        <v>15.55</v>
      </c>
      <c r="BG2041" s="11">
        <f ca="1">IFERROR(__xludf.DUMMYFUNCTION("""COMPUTED_VALUE"""),45948.6458333333)</f>
        <v>45948.645833333299</v>
      </c>
      <c r="BH2041" s="17" t="s">
        <v>105</v>
      </c>
      <c r="BI2041" s="17"/>
      <c r="BJ2041" s="15"/>
      <c r="BK2041" s="15"/>
      <c r="BL2041" s="13" t="b">
        <v>0</v>
      </c>
      <c r="BM2041" s="10"/>
      <c r="BN2041" s="10" t="s">
        <v>278</v>
      </c>
      <c r="BO2041" s="11">
        <v>45916.466666666667</v>
      </c>
      <c r="BP2041" s="11">
        <v>45936.708182870374</v>
      </c>
      <c r="BQ2041" s="15">
        <v>45944.75608796296</v>
      </c>
      <c r="BR2041" s="15">
        <v>45945.40047453704</v>
      </c>
      <c r="BS2041" s="10" t="s">
        <v>278</v>
      </c>
      <c r="BT2041" s="10" t="s">
        <v>99</v>
      </c>
      <c r="BU2041" s="10" t="s">
        <v>816</v>
      </c>
      <c r="BV2041" s="10"/>
      <c r="BW2041" s="10"/>
      <c r="BX2041" s="10"/>
      <c r="BY2041" s="23"/>
      <c r="BZ2041" s="23"/>
      <c r="CA2041" s="19" t="s">
        <v>15594</v>
      </c>
      <c r="CB2041" s="19" t="s">
        <v>15595</v>
      </c>
      <c r="CC2041" s="23"/>
      <c r="CD2041" s="19" t="s">
        <v>15596</v>
      </c>
      <c r="CE2041" s="23"/>
      <c r="CF2041" s="23"/>
      <c r="CG2041" s="23"/>
      <c r="CH2041" s="23"/>
      <c r="CI2041" s="23"/>
    </row>
    <row r="2042" spans="1:87" x14ac:dyDescent="0.3">
      <c r="A2042" s="9" t="s">
        <v>15597</v>
      </c>
      <c r="B2042" s="10" t="s">
        <v>15598</v>
      </c>
      <c r="C2042" s="11">
        <v>45948.791666666664</v>
      </c>
      <c r="D2042" s="12">
        <v>8.3333333333333329E-2</v>
      </c>
      <c r="E2042" s="11">
        <v>45948.875</v>
      </c>
      <c r="F2042" s="10" t="s">
        <v>14786</v>
      </c>
      <c r="G2042" s="13" t="b">
        <v>0</v>
      </c>
      <c r="H2042" s="22" t="s">
        <v>14787</v>
      </c>
      <c r="I2042" s="10" t="s">
        <v>212</v>
      </c>
      <c r="J2042" s="13" t="b">
        <v>1</v>
      </c>
      <c r="K2042" s="13" t="b">
        <v>0</v>
      </c>
      <c r="L2042" s="10" t="s">
        <v>124</v>
      </c>
      <c r="M2042" s="10" t="s">
        <v>91</v>
      </c>
      <c r="N2042" s="10" t="s">
        <v>3513</v>
      </c>
      <c r="O2042" s="19" t="s">
        <v>15599</v>
      </c>
      <c r="P2042" s="10"/>
      <c r="Q2042" s="10" t="s">
        <v>126</v>
      </c>
      <c r="R2042" s="10"/>
      <c r="S2042" s="19" t="s">
        <v>15600</v>
      </c>
      <c r="T2042" s="19" t="s">
        <v>15545</v>
      </c>
      <c r="U2042" s="10" t="s">
        <v>14893</v>
      </c>
      <c r="V2042" s="10" t="s">
        <v>14804</v>
      </c>
      <c r="W2042" s="10" t="s">
        <v>14793</v>
      </c>
      <c r="X2042" s="10" t="s">
        <v>130</v>
      </c>
      <c r="Y2042" s="10" t="s">
        <v>130</v>
      </c>
      <c r="Z2042" s="10" t="s">
        <v>99</v>
      </c>
      <c r="AA2042" s="10" t="s">
        <v>131</v>
      </c>
      <c r="AB2042" s="10" t="s">
        <v>14794</v>
      </c>
      <c r="AC2042" s="10" t="s">
        <v>3521</v>
      </c>
      <c r="AD2042" s="10" t="s">
        <v>15601</v>
      </c>
      <c r="AE2042" s="10" t="s">
        <v>15602</v>
      </c>
      <c r="AF2042" s="15"/>
      <c r="AG2042" s="10"/>
      <c r="AH2042" s="10"/>
      <c r="AI2042" s="10"/>
      <c r="AJ2042" s="10"/>
      <c r="AK2042" s="10" t="s">
        <v>102</v>
      </c>
      <c r="AL2042" s="10" t="s">
        <v>176</v>
      </c>
      <c r="AM2042" s="10"/>
      <c r="AN2042" s="10"/>
      <c r="AO2042" s="13" t="b">
        <v>0</v>
      </c>
      <c r="AP2042" s="22" t="s">
        <v>104</v>
      </c>
      <c r="AQ2042" s="10">
        <f ca="1">IFERROR(__xludf.DUMMYFUNCTION("""COMPUTED_VALUE"""),4652409)</f>
        <v>4652409</v>
      </c>
      <c r="AR2042" s="17">
        <v>48343</v>
      </c>
      <c r="AS2042" s="17">
        <v>24235</v>
      </c>
      <c r="AT2042" s="17">
        <v>798899.5</v>
      </c>
      <c r="AU2042" s="17">
        <v>182.7</v>
      </c>
      <c r="AV2042" s="17">
        <v>35.15</v>
      </c>
      <c r="AW2042" s="10" t="s">
        <v>105</v>
      </c>
      <c r="AX2042" s="17">
        <v>11070</v>
      </c>
      <c r="AY2042" s="18">
        <v>32.964699814318138</v>
      </c>
      <c r="AZ2042" s="10" t="s">
        <v>106</v>
      </c>
      <c r="BA2042" s="20" t="b">
        <v>0</v>
      </c>
      <c r="BB2042" s="10"/>
      <c r="BC2042" s="17">
        <v>48343</v>
      </c>
      <c r="BD2042" s="17">
        <v>24235</v>
      </c>
      <c r="BE2042" s="17">
        <v>798899.5</v>
      </c>
      <c r="BF2042" s="17">
        <v>35.15</v>
      </c>
      <c r="BG2042" s="11">
        <f ca="1">IFERROR(__xludf.DUMMYFUNCTION("""COMPUTED_VALUE"""),45948.7916666666)</f>
        <v>45948.791666666599</v>
      </c>
      <c r="BH2042" s="17" t="s">
        <v>105</v>
      </c>
      <c r="BI2042" s="17"/>
      <c r="BJ2042" s="15"/>
      <c r="BK2042" s="15"/>
      <c r="BL2042" s="13" t="b">
        <v>0</v>
      </c>
      <c r="BM2042" s="10"/>
      <c r="BN2042" s="10" t="s">
        <v>278</v>
      </c>
      <c r="BO2042" s="11">
        <v>45916.467361111114</v>
      </c>
      <c r="BP2042" s="11">
        <v>45936.708472222221</v>
      </c>
      <c r="BQ2042" s="15">
        <v>45944.756238425929</v>
      </c>
      <c r="BR2042" s="15">
        <v>45945.400775462964</v>
      </c>
      <c r="BS2042" s="10" t="s">
        <v>278</v>
      </c>
      <c r="BT2042" s="10" t="s">
        <v>99</v>
      </c>
      <c r="BU2042" s="10" t="s">
        <v>6753</v>
      </c>
      <c r="BV2042" s="10"/>
      <c r="BW2042" s="10"/>
      <c r="BX2042" s="10"/>
      <c r="BY2042" s="23"/>
      <c r="BZ2042" s="23"/>
      <c r="CA2042" s="19" t="s">
        <v>15603</v>
      </c>
      <c r="CB2042" s="19" t="s">
        <v>15604</v>
      </c>
      <c r="CC2042" s="23"/>
      <c r="CD2042" s="19" t="s">
        <v>15605</v>
      </c>
      <c r="CE2042" s="23"/>
      <c r="CF2042" s="23"/>
      <c r="CG2042" s="23"/>
      <c r="CH2042" s="23"/>
      <c r="CI2042" s="23"/>
    </row>
    <row r="2043" spans="1:87" x14ac:dyDescent="0.3">
      <c r="A2043" s="9" t="s">
        <v>15606</v>
      </c>
      <c r="B2043" s="10" t="s">
        <v>15607</v>
      </c>
      <c r="C2043" s="11">
        <v>45949.5625</v>
      </c>
      <c r="D2043" s="12">
        <v>8.3333333333333329E-2</v>
      </c>
      <c r="E2043" s="11">
        <v>45949.645833333336</v>
      </c>
      <c r="F2043" s="10" t="s">
        <v>14786</v>
      </c>
      <c r="G2043" s="13" t="b">
        <v>0</v>
      </c>
      <c r="H2043" s="22" t="s">
        <v>14787</v>
      </c>
      <c r="I2043" s="10" t="s">
        <v>3548</v>
      </c>
      <c r="J2043" s="13" t="b">
        <v>0</v>
      </c>
      <c r="K2043" s="13" t="b">
        <v>1</v>
      </c>
      <c r="L2043" s="10" t="s">
        <v>124</v>
      </c>
      <c r="M2043" s="10" t="s">
        <v>91</v>
      </c>
      <c r="N2043" s="10" t="s">
        <v>3513</v>
      </c>
      <c r="O2043" s="19" t="s">
        <v>15608</v>
      </c>
      <c r="P2043" s="10"/>
      <c r="Q2043" s="10" t="s">
        <v>126</v>
      </c>
      <c r="R2043" s="10"/>
      <c r="S2043" s="19" t="s">
        <v>15609</v>
      </c>
      <c r="T2043" s="19" t="s">
        <v>15545</v>
      </c>
      <c r="U2043" s="10" t="s">
        <v>14871</v>
      </c>
      <c r="V2043" s="10" t="s">
        <v>14849</v>
      </c>
      <c r="W2043" s="10" t="s">
        <v>14793</v>
      </c>
      <c r="X2043" s="10" t="s">
        <v>130</v>
      </c>
      <c r="Y2043" s="10" t="s">
        <v>130</v>
      </c>
      <c r="Z2043" s="10" t="s">
        <v>99</v>
      </c>
      <c r="AA2043" s="10" t="s">
        <v>131</v>
      </c>
      <c r="AB2043" s="10" t="s">
        <v>14794</v>
      </c>
      <c r="AC2043" s="10" t="s">
        <v>3521</v>
      </c>
      <c r="AD2043" s="10" t="s">
        <v>15610</v>
      </c>
      <c r="AE2043" s="10" t="s">
        <v>15611</v>
      </c>
      <c r="AF2043" s="15"/>
      <c r="AG2043" s="10"/>
      <c r="AH2043" s="10"/>
      <c r="AI2043" s="10"/>
      <c r="AJ2043" s="10"/>
      <c r="AK2043" s="10" t="s">
        <v>102</v>
      </c>
      <c r="AL2043" s="10" t="s">
        <v>176</v>
      </c>
      <c r="AM2043" s="10"/>
      <c r="AN2043" s="10"/>
      <c r="AO2043" s="13" t="b">
        <v>0</v>
      </c>
      <c r="AP2043" s="22" t="s">
        <v>104</v>
      </c>
      <c r="AQ2043" s="10">
        <f ca="1">IFERROR(__xludf.DUMMYFUNCTION("""COMPUTED_VALUE"""),4653433)</f>
        <v>4653433</v>
      </c>
      <c r="AR2043" s="17">
        <v>43239</v>
      </c>
      <c r="AS2043" s="17">
        <v>28802</v>
      </c>
      <c r="AT2043" s="17">
        <v>804302.75</v>
      </c>
      <c r="AU2043" s="17">
        <v>606.20000000000005</v>
      </c>
      <c r="AV2043" s="17">
        <v>170.4</v>
      </c>
      <c r="AW2043" s="10" t="s">
        <v>105</v>
      </c>
      <c r="AX2043" s="17">
        <v>11022</v>
      </c>
      <c r="AY2043" s="18">
        <v>27.925239566696757</v>
      </c>
      <c r="AZ2043" s="10" t="s">
        <v>106</v>
      </c>
      <c r="BA2043" s="20" t="b">
        <v>0</v>
      </c>
      <c r="BB2043" s="10"/>
      <c r="BC2043" s="17">
        <v>43239</v>
      </c>
      <c r="BD2043" s="17">
        <v>28802</v>
      </c>
      <c r="BE2043" s="17">
        <v>804302.75</v>
      </c>
      <c r="BF2043" s="17">
        <v>170.4</v>
      </c>
      <c r="BG2043" s="11">
        <f ca="1">IFERROR(__xludf.DUMMYFUNCTION("""COMPUTED_VALUE"""),45949.5625)</f>
        <v>45949.5625</v>
      </c>
      <c r="BH2043" s="17" t="s">
        <v>105</v>
      </c>
      <c r="BI2043" s="17"/>
      <c r="BJ2043" s="15"/>
      <c r="BK2043" s="15"/>
      <c r="BL2043" s="13" t="b">
        <v>0</v>
      </c>
      <c r="BM2043" s="10"/>
      <c r="BN2043" s="10" t="s">
        <v>197</v>
      </c>
      <c r="BO2043" s="11">
        <v>45916.46875</v>
      </c>
      <c r="BP2043" s="11">
        <v>45936.708634259259</v>
      </c>
      <c r="BQ2043" s="15">
        <v>45944.756585648145</v>
      </c>
      <c r="BR2043" s="15">
        <v>45946.434490740743</v>
      </c>
      <c r="BS2043" s="10" t="s">
        <v>197</v>
      </c>
      <c r="BT2043" s="10" t="s">
        <v>279</v>
      </c>
      <c r="BU2043" s="10" t="s">
        <v>498</v>
      </c>
      <c r="BV2043" s="10"/>
      <c r="BW2043" s="10"/>
      <c r="BX2043" s="10"/>
      <c r="BY2043" s="23"/>
      <c r="BZ2043" s="23"/>
      <c r="CA2043" s="19" t="s">
        <v>15612</v>
      </c>
      <c r="CB2043" s="19" t="s">
        <v>15613</v>
      </c>
      <c r="CC2043" s="23"/>
      <c r="CD2043" s="19" t="s">
        <v>15614</v>
      </c>
      <c r="CE2043" s="23"/>
      <c r="CF2043" s="23"/>
      <c r="CG2043" s="23"/>
      <c r="CH2043" s="23"/>
      <c r="CI2043" s="23"/>
    </row>
    <row r="2044" spans="1:87" x14ac:dyDescent="0.3">
      <c r="A2044" s="9" t="s">
        <v>15615</v>
      </c>
      <c r="B2044" s="10" t="s">
        <v>15616</v>
      </c>
      <c r="C2044" s="11">
        <v>45949.645833333336</v>
      </c>
      <c r="D2044" s="12">
        <v>8.3333333333333329E-2</v>
      </c>
      <c r="E2044" s="11">
        <v>45949.729166666664</v>
      </c>
      <c r="F2044" s="10" t="s">
        <v>14786</v>
      </c>
      <c r="G2044" s="13" t="b">
        <v>0</v>
      </c>
      <c r="H2044" s="22" t="s">
        <v>14787</v>
      </c>
      <c r="I2044" s="10" t="s">
        <v>3548</v>
      </c>
      <c r="J2044" s="13" t="b">
        <v>0</v>
      </c>
      <c r="K2044" s="13" t="b">
        <v>1</v>
      </c>
      <c r="L2044" s="10" t="s">
        <v>124</v>
      </c>
      <c r="M2044" s="10" t="s">
        <v>91</v>
      </c>
      <c r="N2044" s="10" t="s">
        <v>3513</v>
      </c>
      <c r="O2044" s="19" t="s">
        <v>15617</v>
      </c>
      <c r="P2044" s="10"/>
      <c r="Q2044" s="10" t="s">
        <v>126</v>
      </c>
      <c r="R2044" s="10"/>
      <c r="S2044" s="19" t="s">
        <v>15618</v>
      </c>
      <c r="T2044" s="19" t="s">
        <v>15545</v>
      </c>
      <c r="U2044" s="10" t="s">
        <v>14881</v>
      </c>
      <c r="V2044" s="10" t="s">
        <v>14892</v>
      </c>
      <c r="W2044" s="10" t="s">
        <v>14793</v>
      </c>
      <c r="X2044" s="10" t="s">
        <v>130</v>
      </c>
      <c r="Y2044" s="10" t="s">
        <v>130</v>
      </c>
      <c r="Z2044" s="10" t="s">
        <v>99</v>
      </c>
      <c r="AA2044" s="10" t="s">
        <v>131</v>
      </c>
      <c r="AB2044" s="10" t="s">
        <v>14794</v>
      </c>
      <c r="AC2044" s="10" t="s">
        <v>3521</v>
      </c>
      <c r="AD2044" s="10" t="s">
        <v>15619</v>
      </c>
      <c r="AE2044" s="10" t="s">
        <v>15620</v>
      </c>
      <c r="AF2044" s="15"/>
      <c r="AG2044" s="10"/>
      <c r="AH2044" s="10"/>
      <c r="AI2044" s="10"/>
      <c r="AJ2044" s="10"/>
      <c r="AK2044" s="10" t="s">
        <v>102</v>
      </c>
      <c r="AL2044" s="10" t="s">
        <v>176</v>
      </c>
      <c r="AM2044" s="10"/>
      <c r="AN2044" s="10"/>
      <c r="AO2044" s="13" t="b">
        <v>0</v>
      </c>
      <c r="AP2044" s="22" t="s">
        <v>104</v>
      </c>
      <c r="AQ2044" s="10">
        <f ca="1">IFERROR(__xludf.DUMMYFUNCTION("""COMPUTED_VALUE"""),4653435)</f>
        <v>4653435</v>
      </c>
      <c r="AR2044" s="17">
        <v>31360</v>
      </c>
      <c r="AS2044" s="17">
        <v>20071</v>
      </c>
      <c r="AT2044" s="17">
        <v>425390.75</v>
      </c>
      <c r="AU2044" s="17">
        <v>282.60000000000002</v>
      </c>
      <c r="AV2044" s="17">
        <v>68.650000000000006</v>
      </c>
      <c r="AW2044" s="10" t="s">
        <v>105</v>
      </c>
      <c r="AX2044" s="17">
        <v>6624</v>
      </c>
      <c r="AY2044" s="18">
        <v>21.194297743012307</v>
      </c>
      <c r="AZ2044" s="10" t="s">
        <v>106</v>
      </c>
      <c r="BA2044" s="20" t="b">
        <v>0</v>
      </c>
      <c r="BB2044" s="10"/>
      <c r="BC2044" s="17">
        <v>31360</v>
      </c>
      <c r="BD2044" s="17">
        <v>20071</v>
      </c>
      <c r="BE2044" s="17">
        <v>425390.75</v>
      </c>
      <c r="BF2044" s="17">
        <v>68.650000000000006</v>
      </c>
      <c r="BG2044" s="11">
        <f ca="1">IFERROR(__xludf.DUMMYFUNCTION("""COMPUTED_VALUE"""),45949.6458333333)</f>
        <v>45949.645833333299</v>
      </c>
      <c r="BH2044" s="17" t="s">
        <v>105</v>
      </c>
      <c r="BI2044" s="17"/>
      <c r="BJ2044" s="15"/>
      <c r="BK2044" s="15"/>
      <c r="BL2044" s="13" t="b">
        <v>0</v>
      </c>
      <c r="BM2044" s="10"/>
      <c r="BN2044" s="10" t="s">
        <v>197</v>
      </c>
      <c r="BO2044" s="11">
        <v>45916.46875</v>
      </c>
      <c r="BP2044" s="11">
        <v>45936.708749999998</v>
      </c>
      <c r="BQ2044" s="15">
        <v>45944.756782407407</v>
      </c>
      <c r="BR2044" s="15">
        <v>45946.43476851852</v>
      </c>
      <c r="BS2044" s="10" t="s">
        <v>197</v>
      </c>
      <c r="BT2044" s="10" t="s">
        <v>279</v>
      </c>
      <c r="BU2044" s="10" t="s">
        <v>816</v>
      </c>
      <c r="BV2044" s="10"/>
      <c r="BW2044" s="10"/>
      <c r="BX2044" s="10"/>
      <c r="BY2044" s="23"/>
      <c r="BZ2044" s="23"/>
      <c r="CA2044" s="19" t="s">
        <v>15621</v>
      </c>
      <c r="CB2044" s="19" t="s">
        <v>15622</v>
      </c>
      <c r="CC2044" s="23"/>
      <c r="CD2044" s="19" t="s">
        <v>15623</v>
      </c>
      <c r="CE2044" s="23"/>
      <c r="CF2044" s="23"/>
      <c r="CG2044" s="23"/>
      <c r="CH2044" s="23"/>
      <c r="CI2044" s="23"/>
    </row>
    <row r="2045" spans="1:87" x14ac:dyDescent="0.3">
      <c r="A2045" s="9" t="s">
        <v>15624</v>
      </c>
      <c r="B2045" s="10" t="s">
        <v>15625</v>
      </c>
      <c r="C2045" s="11">
        <v>45949.791666666664</v>
      </c>
      <c r="D2045" s="12">
        <v>8.3333333333333329E-2</v>
      </c>
      <c r="E2045" s="11">
        <v>45949.875</v>
      </c>
      <c r="F2045" s="10" t="s">
        <v>14786</v>
      </c>
      <c r="G2045" s="13" t="b">
        <v>0</v>
      </c>
      <c r="H2045" s="22" t="s">
        <v>14787</v>
      </c>
      <c r="I2045" s="10" t="s">
        <v>3548</v>
      </c>
      <c r="J2045" s="13" t="b">
        <v>0</v>
      </c>
      <c r="K2045" s="13" t="b">
        <v>1</v>
      </c>
      <c r="L2045" s="10" t="s">
        <v>124</v>
      </c>
      <c r="M2045" s="10" t="s">
        <v>91</v>
      </c>
      <c r="N2045" s="10" t="s">
        <v>3513</v>
      </c>
      <c r="O2045" s="19" t="s">
        <v>15626</v>
      </c>
      <c r="P2045" s="10"/>
      <c r="Q2045" s="10" t="s">
        <v>126</v>
      </c>
      <c r="R2045" s="10"/>
      <c r="S2045" s="19" t="s">
        <v>15627</v>
      </c>
      <c r="T2045" s="19" t="s">
        <v>15545</v>
      </c>
      <c r="U2045" s="10" t="s">
        <v>14826</v>
      </c>
      <c r="V2045" s="10" t="s">
        <v>14848</v>
      </c>
      <c r="W2045" s="10" t="s">
        <v>14793</v>
      </c>
      <c r="X2045" s="10" t="s">
        <v>130</v>
      </c>
      <c r="Y2045" s="10" t="s">
        <v>130</v>
      </c>
      <c r="Z2045" s="10" t="s">
        <v>99</v>
      </c>
      <c r="AA2045" s="10" t="s">
        <v>131</v>
      </c>
      <c r="AB2045" s="10" t="s">
        <v>14794</v>
      </c>
      <c r="AC2045" s="10" t="s">
        <v>3521</v>
      </c>
      <c r="AD2045" s="10" t="s">
        <v>15628</v>
      </c>
      <c r="AE2045" s="10" t="s">
        <v>15629</v>
      </c>
      <c r="AF2045" s="15"/>
      <c r="AG2045" s="10"/>
      <c r="AH2045" s="10"/>
      <c r="AI2045" s="10"/>
      <c r="AJ2045" s="10"/>
      <c r="AK2045" s="10" t="s">
        <v>102</v>
      </c>
      <c r="AL2045" s="10" t="s">
        <v>176</v>
      </c>
      <c r="AM2045" s="10"/>
      <c r="AN2045" s="10"/>
      <c r="AO2045" s="13" t="b">
        <v>1</v>
      </c>
      <c r="AP2045" s="22" t="s">
        <v>104</v>
      </c>
      <c r="AQ2045" s="10">
        <f ca="1">IFERROR(__xludf.DUMMYFUNCTION("""COMPUTED_VALUE"""),4653436)</f>
        <v>4653436</v>
      </c>
      <c r="AR2045" s="17">
        <v>73424</v>
      </c>
      <c r="AS2045" s="17">
        <v>47552</v>
      </c>
      <c r="AT2045" s="17">
        <v>979234.75</v>
      </c>
      <c r="AU2045" s="17">
        <v>1106</v>
      </c>
      <c r="AV2045" s="17">
        <v>427.1</v>
      </c>
      <c r="AW2045" s="10" t="s">
        <v>105</v>
      </c>
      <c r="AX2045" s="17">
        <v>13634</v>
      </c>
      <c r="AY2045" s="18">
        <v>20.592924587819649</v>
      </c>
      <c r="AZ2045" s="10" t="s">
        <v>106</v>
      </c>
      <c r="BA2045" s="20" t="b">
        <v>0</v>
      </c>
      <c r="BB2045" s="10"/>
      <c r="BC2045" s="17">
        <v>73424</v>
      </c>
      <c r="BD2045" s="17">
        <v>47552</v>
      </c>
      <c r="BE2045" s="17">
        <v>979234.75</v>
      </c>
      <c r="BF2045" s="17">
        <v>427.1</v>
      </c>
      <c r="BG2045" s="11">
        <f ca="1">IFERROR(__xludf.DUMMYFUNCTION("""COMPUTED_VALUE"""),45949.7916666666)</f>
        <v>45949.791666666599</v>
      </c>
      <c r="BH2045" s="17" t="s">
        <v>105</v>
      </c>
      <c r="BI2045" s="17"/>
      <c r="BJ2045" s="15"/>
      <c r="BK2045" s="15"/>
      <c r="BL2045" s="13" t="b">
        <v>0</v>
      </c>
      <c r="BM2045" s="10"/>
      <c r="BN2045" s="10" t="s">
        <v>197</v>
      </c>
      <c r="BO2045" s="11">
        <v>45916.469444444447</v>
      </c>
      <c r="BP2045" s="11">
        <v>45936.708877314813</v>
      </c>
      <c r="BQ2045" s="15">
        <v>45944.756909722222</v>
      </c>
      <c r="BR2045" s="15">
        <v>45946.435173611113</v>
      </c>
      <c r="BS2045" s="10" t="s">
        <v>197</v>
      </c>
      <c r="BT2045" s="10" t="s">
        <v>279</v>
      </c>
      <c r="BU2045" s="10" t="s">
        <v>816</v>
      </c>
      <c r="BV2045" s="10"/>
      <c r="BW2045" s="10"/>
      <c r="BX2045" s="10"/>
      <c r="BY2045" s="23"/>
      <c r="BZ2045" s="23"/>
      <c r="CA2045" s="19" t="s">
        <v>15630</v>
      </c>
      <c r="CB2045" s="19" t="s">
        <v>15631</v>
      </c>
      <c r="CC2045" s="23"/>
      <c r="CD2045" s="19" t="s">
        <v>15632</v>
      </c>
      <c r="CE2045" s="23"/>
      <c r="CF2045" s="23"/>
      <c r="CG2045" s="23"/>
      <c r="CH2045" s="23"/>
      <c r="CI2045" s="23"/>
    </row>
    <row r="2046" spans="1:87" x14ac:dyDescent="0.3">
      <c r="A2046" s="9" t="s">
        <v>15633</v>
      </c>
      <c r="B2046" s="10" t="s">
        <v>15634</v>
      </c>
      <c r="C2046" s="11">
        <v>45919.302083333336</v>
      </c>
      <c r="D2046" s="12">
        <v>0.13541666666666666</v>
      </c>
      <c r="E2046" s="11">
        <v>45919.4375</v>
      </c>
      <c r="F2046" s="10" t="s">
        <v>15270</v>
      </c>
      <c r="G2046" s="13" t="b">
        <v>0</v>
      </c>
      <c r="H2046" s="22" t="s">
        <v>15271</v>
      </c>
      <c r="I2046" s="10" t="s">
        <v>3213</v>
      </c>
      <c r="J2046" s="13" t="b">
        <v>0</v>
      </c>
      <c r="K2046" s="13" t="b">
        <v>1</v>
      </c>
      <c r="L2046" s="10" t="s">
        <v>124</v>
      </c>
      <c r="M2046" s="10" t="s">
        <v>91</v>
      </c>
      <c r="N2046" s="10" t="s">
        <v>92</v>
      </c>
      <c r="O2046" s="19" t="s">
        <v>15635</v>
      </c>
      <c r="P2046" s="10" t="s">
        <v>3215</v>
      </c>
      <c r="Q2046" s="10" t="s">
        <v>126</v>
      </c>
      <c r="R2046" s="10"/>
      <c r="S2046" s="19" t="s">
        <v>15636</v>
      </c>
      <c r="T2046" s="10"/>
      <c r="U2046" s="10" t="s">
        <v>15637</v>
      </c>
      <c r="V2046" s="10" t="s">
        <v>15537</v>
      </c>
      <c r="W2046" s="10" t="s">
        <v>15276</v>
      </c>
      <c r="X2046" s="10" t="s">
        <v>15277</v>
      </c>
      <c r="Y2046" s="10" t="s">
        <v>15277</v>
      </c>
      <c r="Z2046" s="10" t="s">
        <v>99</v>
      </c>
      <c r="AA2046" s="10" t="s">
        <v>131</v>
      </c>
      <c r="AB2046" s="10" t="s">
        <v>15278</v>
      </c>
      <c r="AC2046" s="10" t="s">
        <v>15279</v>
      </c>
      <c r="AD2046" s="10" t="s">
        <v>165</v>
      </c>
      <c r="AE2046" s="10" t="s">
        <v>15638</v>
      </c>
      <c r="AF2046" s="15"/>
      <c r="AG2046" s="10"/>
      <c r="AH2046" s="10"/>
      <c r="AI2046" s="10"/>
      <c r="AJ2046" s="10"/>
      <c r="AK2046" s="10" t="s">
        <v>102</v>
      </c>
      <c r="AL2046" s="10" t="s">
        <v>147</v>
      </c>
      <c r="AM2046" s="10"/>
      <c r="AN2046" s="10"/>
      <c r="AO2046" s="13" t="b">
        <v>0</v>
      </c>
      <c r="AP2046" s="22" t="s">
        <v>104</v>
      </c>
      <c r="AQ2046" s="10">
        <f ca="1">IFERROR(__xludf.DUMMYFUNCTION("""COMPUTED_VALUE"""),4579920)</f>
        <v>4579920</v>
      </c>
      <c r="AR2046" s="17">
        <v>4042</v>
      </c>
      <c r="AS2046" s="17">
        <v>3170</v>
      </c>
      <c r="AT2046" s="17">
        <v>44899</v>
      </c>
      <c r="AU2046" s="17">
        <v>13.6</v>
      </c>
      <c r="AV2046" s="17">
        <v>3.1</v>
      </c>
      <c r="AW2046" s="10" t="s">
        <v>105</v>
      </c>
      <c r="AX2046" s="17">
        <v>423</v>
      </c>
      <c r="AY2046" s="18">
        <v>14.163722397476342</v>
      </c>
      <c r="AZ2046" s="10"/>
      <c r="BA2046" s="20" t="b">
        <v>0</v>
      </c>
      <c r="BB2046" s="10"/>
      <c r="BC2046" s="17">
        <v>4042</v>
      </c>
      <c r="BD2046" s="17">
        <v>3170</v>
      </c>
      <c r="BE2046" s="17">
        <v>44899</v>
      </c>
      <c r="BF2046" s="17">
        <v>3.1</v>
      </c>
      <c r="BG2046" s="11">
        <f ca="1">IFERROR(__xludf.DUMMYFUNCTION("""COMPUTED_VALUE"""),45919.3020833333)</f>
        <v>45919.302083333299</v>
      </c>
      <c r="BH2046" s="17" t="s">
        <v>105</v>
      </c>
      <c r="BI2046" s="17"/>
      <c r="BJ2046" s="15"/>
      <c r="BK2046" s="15"/>
      <c r="BL2046" s="13" t="b">
        <v>0</v>
      </c>
      <c r="BM2046" s="10"/>
      <c r="BN2046" s="10" t="s">
        <v>157</v>
      </c>
      <c r="BO2046" s="11">
        <v>45916.54791666667</v>
      </c>
      <c r="BP2046" s="11">
        <v>45916.549178240741</v>
      </c>
      <c r="BQ2046" s="15">
        <v>45918.641967592594</v>
      </c>
      <c r="BR2046" s="15">
        <v>45918.708287037036</v>
      </c>
      <c r="BS2046" s="10" t="s">
        <v>157</v>
      </c>
      <c r="BT2046" s="10"/>
      <c r="BU2046" s="10"/>
      <c r="BV2046" s="10"/>
      <c r="BW2046" s="10"/>
      <c r="BX2046" s="10"/>
      <c r="BY2046" s="23"/>
      <c r="BZ2046" s="23"/>
      <c r="CA2046" s="19" t="s">
        <v>15639</v>
      </c>
      <c r="CB2046" s="23"/>
      <c r="CC2046" s="23"/>
      <c r="CD2046" s="19" t="s">
        <v>15640</v>
      </c>
      <c r="CE2046" s="23"/>
      <c r="CF2046" s="23"/>
      <c r="CG2046" s="23"/>
      <c r="CH2046" s="23"/>
      <c r="CI2046" s="23"/>
    </row>
    <row r="2047" spans="1:87" x14ac:dyDescent="0.3">
      <c r="A2047" s="25" t="s">
        <v>15641</v>
      </c>
      <c r="B2047" s="10" t="s">
        <v>15642</v>
      </c>
      <c r="C2047" s="11">
        <v>45922</v>
      </c>
      <c r="D2047" s="12">
        <v>0.1423611111111111</v>
      </c>
      <c r="E2047" s="11">
        <v>45922.142361111109</v>
      </c>
      <c r="F2047" s="10" t="s">
        <v>15270</v>
      </c>
      <c r="G2047" s="13" t="b">
        <v>0</v>
      </c>
      <c r="H2047" s="22" t="s">
        <v>15271</v>
      </c>
      <c r="I2047" s="10" t="s">
        <v>3213</v>
      </c>
      <c r="J2047" s="13" t="b">
        <v>0</v>
      </c>
      <c r="K2047" s="13" t="b">
        <v>1</v>
      </c>
      <c r="L2047" s="10" t="s">
        <v>124</v>
      </c>
      <c r="M2047" s="10" t="s">
        <v>91</v>
      </c>
      <c r="N2047" s="10" t="s">
        <v>92</v>
      </c>
      <c r="O2047" s="19" t="s">
        <v>15643</v>
      </c>
      <c r="P2047" s="10" t="s">
        <v>88</v>
      </c>
      <c r="Q2047" s="10" t="s">
        <v>126</v>
      </c>
      <c r="R2047" s="10"/>
      <c r="S2047" s="19" t="s">
        <v>15644</v>
      </c>
      <c r="T2047" s="19" t="s">
        <v>15645</v>
      </c>
      <c r="U2047" s="10" t="s">
        <v>15299</v>
      </c>
      <c r="V2047" s="10" t="s">
        <v>15519</v>
      </c>
      <c r="W2047" s="10" t="s">
        <v>15276</v>
      </c>
      <c r="X2047" s="10" t="s">
        <v>15277</v>
      </c>
      <c r="Y2047" s="10" t="s">
        <v>15277</v>
      </c>
      <c r="Z2047" s="10" t="s">
        <v>99</v>
      </c>
      <c r="AA2047" s="10" t="s">
        <v>131</v>
      </c>
      <c r="AB2047" s="10" t="s">
        <v>15278</v>
      </c>
      <c r="AC2047" s="10" t="s">
        <v>15279</v>
      </c>
      <c r="AD2047" s="10" t="s">
        <v>165</v>
      </c>
      <c r="AE2047" s="10" t="s">
        <v>15646</v>
      </c>
      <c r="AF2047" s="15"/>
      <c r="AG2047" s="10"/>
      <c r="AH2047" s="10"/>
      <c r="AI2047" s="10"/>
      <c r="AJ2047" s="10"/>
      <c r="AK2047" s="10" t="s">
        <v>102</v>
      </c>
      <c r="AL2047" s="10" t="s">
        <v>147</v>
      </c>
      <c r="AM2047" s="10"/>
      <c r="AN2047" s="10"/>
      <c r="AO2047" s="13" t="b">
        <v>0</v>
      </c>
      <c r="AP2047" s="22" t="s">
        <v>104</v>
      </c>
      <c r="AQ2047" s="10">
        <f ca="1">IFERROR(__xludf.DUMMYFUNCTION("""COMPUTED_VALUE"""),4585759)</f>
        <v>4585759</v>
      </c>
      <c r="AR2047" s="17">
        <v>4802</v>
      </c>
      <c r="AS2047" s="17">
        <v>3916</v>
      </c>
      <c r="AT2047" s="17">
        <v>70205.25</v>
      </c>
      <c r="AU2047" s="17">
        <v>4.3499999999999996</v>
      </c>
      <c r="AV2047" s="17">
        <v>0.85</v>
      </c>
      <c r="AW2047" s="10" t="s">
        <v>105</v>
      </c>
      <c r="AX2047" s="17">
        <v>934</v>
      </c>
      <c r="AY2047" s="18">
        <v>17.927796220633301</v>
      </c>
      <c r="AZ2047" s="10" t="s">
        <v>106</v>
      </c>
      <c r="BA2047" s="20" t="b">
        <v>0</v>
      </c>
      <c r="BB2047" s="10"/>
      <c r="BC2047" s="17">
        <v>4802</v>
      </c>
      <c r="BD2047" s="17">
        <v>3916</v>
      </c>
      <c r="BE2047" s="17">
        <v>70205.25</v>
      </c>
      <c r="BF2047" s="17">
        <v>0.85</v>
      </c>
      <c r="BG2047" s="11">
        <f ca="1">IFERROR(__xludf.DUMMYFUNCTION("""COMPUTED_VALUE"""),45922)</f>
        <v>45922</v>
      </c>
      <c r="BH2047" s="17" t="s">
        <v>105</v>
      </c>
      <c r="BI2047" s="17"/>
      <c r="BJ2047" s="15"/>
      <c r="BK2047" s="15"/>
      <c r="BL2047" s="13" t="b">
        <v>0</v>
      </c>
      <c r="BM2047" s="10"/>
      <c r="BN2047" s="10" t="s">
        <v>106</v>
      </c>
      <c r="BO2047" s="11">
        <v>45916.55</v>
      </c>
      <c r="BP2047" s="11">
        <v>45916.550219907411</v>
      </c>
      <c r="BQ2047" s="15">
        <v>45920.845625000002</v>
      </c>
      <c r="BR2047" s="15">
        <v>45920.897129629629</v>
      </c>
      <c r="BS2047" s="10"/>
      <c r="BT2047" s="10"/>
      <c r="BU2047" s="10"/>
      <c r="BV2047" s="10"/>
      <c r="BW2047" s="10"/>
      <c r="BX2047" s="10"/>
      <c r="BY2047" s="23"/>
      <c r="BZ2047" s="23"/>
      <c r="CA2047" s="19" t="s">
        <v>15647</v>
      </c>
      <c r="CB2047" s="19" t="s">
        <v>15648</v>
      </c>
      <c r="CC2047" s="23"/>
      <c r="CD2047" s="19" t="s">
        <v>15649</v>
      </c>
      <c r="CE2047" s="23"/>
      <c r="CF2047" s="23"/>
      <c r="CG2047" s="23"/>
      <c r="CH2047" s="23"/>
      <c r="CI2047" s="23"/>
    </row>
    <row r="2048" spans="1:87" x14ac:dyDescent="0.3">
      <c r="A2048" s="9" t="s">
        <v>15650</v>
      </c>
      <c r="B2048" s="10" t="s">
        <v>15651</v>
      </c>
      <c r="C2048" s="11">
        <v>45922.142361111109</v>
      </c>
      <c r="D2048" s="12">
        <v>0.14583333333333334</v>
      </c>
      <c r="E2048" s="11">
        <v>45922.288194444445</v>
      </c>
      <c r="F2048" s="10" t="s">
        <v>15270</v>
      </c>
      <c r="G2048" s="13" t="b">
        <v>0</v>
      </c>
      <c r="H2048" s="22" t="s">
        <v>15271</v>
      </c>
      <c r="I2048" s="10" t="s">
        <v>3213</v>
      </c>
      <c r="J2048" s="13" t="b">
        <v>0</v>
      </c>
      <c r="K2048" s="13" t="b">
        <v>1</v>
      </c>
      <c r="L2048" s="10" t="s">
        <v>124</v>
      </c>
      <c r="M2048" s="10" t="s">
        <v>91</v>
      </c>
      <c r="N2048" s="10" t="s">
        <v>92</v>
      </c>
      <c r="O2048" s="19" t="s">
        <v>15652</v>
      </c>
      <c r="P2048" s="10" t="s">
        <v>88</v>
      </c>
      <c r="Q2048" s="10" t="s">
        <v>126</v>
      </c>
      <c r="R2048" s="10"/>
      <c r="S2048" s="19" t="s">
        <v>15653</v>
      </c>
      <c r="T2048" s="19" t="s">
        <v>15645</v>
      </c>
      <c r="U2048" s="10" t="s">
        <v>15654</v>
      </c>
      <c r="V2048" s="10" t="s">
        <v>15655</v>
      </c>
      <c r="W2048" s="10" t="s">
        <v>15276</v>
      </c>
      <c r="X2048" s="10" t="s">
        <v>15277</v>
      </c>
      <c r="Y2048" s="10" t="s">
        <v>15277</v>
      </c>
      <c r="Z2048" s="10" t="s">
        <v>99</v>
      </c>
      <c r="AA2048" s="10" t="s">
        <v>131</v>
      </c>
      <c r="AB2048" s="10" t="s">
        <v>15278</v>
      </c>
      <c r="AC2048" s="10" t="s">
        <v>15279</v>
      </c>
      <c r="AD2048" s="10" t="s">
        <v>165</v>
      </c>
      <c r="AE2048" s="10" t="s">
        <v>15656</v>
      </c>
      <c r="AF2048" s="15"/>
      <c r="AG2048" s="10"/>
      <c r="AH2048" s="10"/>
      <c r="AI2048" s="10"/>
      <c r="AJ2048" s="10"/>
      <c r="AK2048" s="10" t="s">
        <v>102</v>
      </c>
      <c r="AL2048" s="10" t="s">
        <v>147</v>
      </c>
      <c r="AM2048" s="10"/>
      <c r="AN2048" s="10"/>
      <c r="AO2048" s="13" t="b">
        <v>0</v>
      </c>
      <c r="AP2048" s="22" t="s">
        <v>104</v>
      </c>
      <c r="AQ2048" s="10">
        <f ca="1">IFERROR(__xludf.DUMMYFUNCTION("""COMPUTED_VALUE"""),4585760)</f>
        <v>4585760</v>
      </c>
      <c r="AR2048" s="17">
        <v>2494</v>
      </c>
      <c r="AS2048" s="17">
        <v>2041</v>
      </c>
      <c r="AT2048" s="17">
        <v>26539.5</v>
      </c>
      <c r="AU2048" s="17">
        <v>1.5</v>
      </c>
      <c r="AV2048" s="17">
        <v>0</v>
      </c>
      <c r="AW2048" s="10" t="s">
        <v>105</v>
      </c>
      <c r="AX2048" s="17">
        <v>299</v>
      </c>
      <c r="AY2048" s="18">
        <v>13.003184713375797</v>
      </c>
      <c r="AZ2048" s="10" t="s">
        <v>106</v>
      </c>
      <c r="BA2048" s="20" t="b">
        <v>0</v>
      </c>
      <c r="BB2048" s="10"/>
      <c r="BC2048" s="17">
        <v>2494</v>
      </c>
      <c r="BD2048" s="17">
        <v>2041</v>
      </c>
      <c r="BE2048" s="17">
        <v>26539.5</v>
      </c>
      <c r="BF2048" s="17">
        <v>0</v>
      </c>
      <c r="BG2048" s="11">
        <f ca="1">IFERROR(__xludf.DUMMYFUNCTION("""COMPUTED_VALUE"""),45922.1423611111)</f>
        <v>45922.142361111102</v>
      </c>
      <c r="BH2048" s="17" t="s">
        <v>105</v>
      </c>
      <c r="BI2048" s="17"/>
      <c r="BJ2048" s="15"/>
      <c r="BK2048" s="15"/>
      <c r="BL2048" s="13" t="b">
        <v>0</v>
      </c>
      <c r="BM2048" s="10"/>
      <c r="BN2048" s="10" t="s">
        <v>106</v>
      </c>
      <c r="BO2048" s="11">
        <v>45916.550694444442</v>
      </c>
      <c r="BP2048" s="11">
        <v>45916.551111111112</v>
      </c>
      <c r="BQ2048" s="15">
        <v>45920.845995370371</v>
      </c>
      <c r="BR2048" s="15">
        <v>45920.899467592593</v>
      </c>
      <c r="BS2048" s="10"/>
      <c r="BT2048" s="10"/>
      <c r="BU2048" s="10"/>
      <c r="BV2048" s="10"/>
      <c r="BW2048" s="10"/>
      <c r="BX2048" s="10"/>
      <c r="BY2048" s="23"/>
      <c r="BZ2048" s="23"/>
      <c r="CA2048" s="19" t="s">
        <v>15657</v>
      </c>
      <c r="CB2048" s="19" t="s">
        <v>15658</v>
      </c>
      <c r="CC2048" s="23"/>
      <c r="CD2048" s="19" t="s">
        <v>15659</v>
      </c>
      <c r="CE2048" s="23"/>
      <c r="CF2048" s="23"/>
      <c r="CG2048" s="23"/>
      <c r="CH2048" s="23"/>
      <c r="CI2048" s="23"/>
    </row>
    <row r="2049" spans="1:87" x14ac:dyDescent="0.3">
      <c r="A2049" s="9" t="s">
        <v>15660</v>
      </c>
      <c r="B2049" s="10" t="s">
        <v>15661</v>
      </c>
      <c r="C2049" s="11">
        <v>45922.305555555555</v>
      </c>
      <c r="D2049" s="12">
        <v>0.13194444444444445</v>
      </c>
      <c r="E2049" s="11">
        <v>45922.4375</v>
      </c>
      <c r="F2049" s="10" t="s">
        <v>15270</v>
      </c>
      <c r="G2049" s="13" t="b">
        <v>0</v>
      </c>
      <c r="H2049" s="22" t="s">
        <v>15271</v>
      </c>
      <c r="I2049" s="10" t="s">
        <v>3213</v>
      </c>
      <c r="J2049" s="13" t="b">
        <v>0</v>
      </c>
      <c r="K2049" s="13" t="b">
        <v>1</v>
      </c>
      <c r="L2049" s="10" t="s">
        <v>124</v>
      </c>
      <c r="M2049" s="10" t="s">
        <v>91</v>
      </c>
      <c r="N2049" s="10" t="s">
        <v>92</v>
      </c>
      <c r="O2049" s="19" t="s">
        <v>15662</v>
      </c>
      <c r="P2049" s="10" t="s">
        <v>3215</v>
      </c>
      <c r="Q2049" s="10" t="s">
        <v>126</v>
      </c>
      <c r="R2049" s="10"/>
      <c r="S2049" s="19" t="s">
        <v>15663</v>
      </c>
      <c r="T2049" s="19" t="s">
        <v>15645</v>
      </c>
      <c r="U2049" s="10" t="s">
        <v>15664</v>
      </c>
      <c r="V2049" s="10" t="s">
        <v>15298</v>
      </c>
      <c r="W2049" s="10" t="s">
        <v>15276</v>
      </c>
      <c r="X2049" s="10" t="s">
        <v>15277</v>
      </c>
      <c r="Y2049" s="10" t="s">
        <v>15277</v>
      </c>
      <c r="Z2049" s="10" t="s">
        <v>99</v>
      </c>
      <c r="AA2049" s="10" t="s">
        <v>131</v>
      </c>
      <c r="AB2049" s="10" t="s">
        <v>15278</v>
      </c>
      <c r="AC2049" s="10" t="s">
        <v>15279</v>
      </c>
      <c r="AD2049" s="10" t="s">
        <v>165</v>
      </c>
      <c r="AE2049" s="10" t="s">
        <v>15665</v>
      </c>
      <c r="AF2049" s="15"/>
      <c r="AG2049" s="10"/>
      <c r="AH2049" s="10"/>
      <c r="AI2049" s="10"/>
      <c r="AJ2049" s="10"/>
      <c r="AK2049" s="10" t="s">
        <v>102</v>
      </c>
      <c r="AL2049" s="10" t="s">
        <v>147</v>
      </c>
      <c r="AM2049" s="10"/>
      <c r="AN2049" s="10"/>
      <c r="AO2049" s="13" t="b">
        <v>0</v>
      </c>
      <c r="AP2049" s="22" t="s">
        <v>104</v>
      </c>
      <c r="AQ2049" s="10">
        <f ca="1">IFERROR(__xludf.DUMMYFUNCTION("""COMPUTED_VALUE"""),4587127)</f>
        <v>4587127</v>
      </c>
      <c r="AR2049" s="17">
        <v>5553</v>
      </c>
      <c r="AS2049" s="17">
        <v>4465</v>
      </c>
      <c r="AT2049" s="17">
        <v>59312.25</v>
      </c>
      <c r="AU2049" s="17">
        <v>11.75</v>
      </c>
      <c r="AV2049" s="17">
        <v>3.35</v>
      </c>
      <c r="AW2049" s="10" t="s">
        <v>105</v>
      </c>
      <c r="AX2049" s="17">
        <v>595</v>
      </c>
      <c r="AY2049" s="18">
        <v>13.283818589025756</v>
      </c>
      <c r="AZ2049" s="10" t="s">
        <v>106</v>
      </c>
      <c r="BA2049" s="20" t="b">
        <v>0</v>
      </c>
      <c r="BB2049" s="10"/>
      <c r="BC2049" s="17">
        <v>5553</v>
      </c>
      <c r="BD2049" s="17">
        <v>4465</v>
      </c>
      <c r="BE2049" s="17">
        <v>59312.25</v>
      </c>
      <c r="BF2049" s="17">
        <v>3.35</v>
      </c>
      <c r="BG2049" s="11">
        <f ca="1">IFERROR(__xludf.DUMMYFUNCTION("""COMPUTED_VALUE"""),45922.3055555555)</f>
        <v>45922.305555555497</v>
      </c>
      <c r="BH2049" s="17" t="s">
        <v>105</v>
      </c>
      <c r="BI2049" s="17"/>
      <c r="BJ2049" s="15"/>
      <c r="BK2049" s="15"/>
      <c r="BL2049" s="13" t="b">
        <v>0</v>
      </c>
      <c r="BM2049" s="10"/>
      <c r="BN2049" s="10" t="s">
        <v>106</v>
      </c>
      <c r="BO2049" s="11">
        <v>45916.552083333336</v>
      </c>
      <c r="BP2049" s="11">
        <v>45916.552384259259</v>
      </c>
      <c r="BQ2049" s="15">
        <v>45920.846215277779</v>
      </c>
      <c r="BR2049" s="15">
        <v>45921.438506944447</v>
      </c>
      <c r="BS2049" s="10"/>
      <c r="BT2049" s="10"/>
      <c r="BU2049" s="10"/>
      <c r="BV2049" s="10"/>
      <c r="BW2049" s="10"/>
      <c r="BX2049" s="10"/>
      <c r="BY2049" s="23"/>
      <c r="BZ2049" s="23"/>
      <c r="CA2049" s="19" t="s">
        <v>15666</v>
      </c>
      <c r="CB2049" s="19" t="s">
        <v>15667</v>
      </c>
      <c r="CC2049" s="23"/>
      <c r="CD2049" s="19" t="s">
        <v>15668</v>
      </c>
      <c r="CE2049" s="23"/>
      <c r="CF2049" s="23"/>
      <c r="CG2049" s="23"/>
      <c r="CH2049" s="23"/>
      <c r="CI2049" s="23"/>
    </row>
    <row r="2050" spans="1:87" x14ac:dyDescent="0.3">
      <c r="A2050" s="9" t="s">
        <v>15669</v>
      </c>
      <c r="B2050" s="10" t="s">
        <v>15670</v>
      </c>
      <c r="C2050" s="11">
        <v>45923.302083333336</v>
      </c>
      <c r="D2050" s="12">
        <v>0.14583333333333334</v>
      </c>
      <c r="E2050" s="11">
        <v>45923.447916666664</v>
      </c>
      <c r="F2050" s="10" t="s">
        <v>15270</v>
      </c>
      <c r="G2050" s="13" t="b">
        <v>0</v>
      </c>
      <c r="H2050" s="22" t="s">
        <v>15271</v>
      </c>
      <c r="I2050" s="10" t="s">
        <v>3213</v>
      </c>
      <c r="J2050" s="13" t="b">
        <v>0</v>
      </c>
      <c r="K2050" s="13" t="b">
        <v>1</v>
      </c>
      <c r="L2050" s="10" t="s">
        <v>124</v>
      </c>
      <c r="M2050" s="10" t="s">
        <v>91</v>
      </c>
      <c r="N2050" s="10" t="s">
        <v>92</v>
      </c>
      <c r="O2050" s="19" t="s">
        <v>15671</v>
      </c>
      <c r="P2050" s="10" t="s">
        <v>3215</v>
      </c>
      <c r="Q2050" s="10" t="s">
        <v>126</v>
      </c>
      <c r="R2050" s="10"/>
      <c r="S2050" s="19" t="s">
        <v>15672</v>
      </c>
      <c r="T2050" s="19" t="s">
        <v>15645</v>
      </c>
      <c r="U2050" s="10" t="s">
        <v>15673</v>
      </c>
      <c r="V2050" s="10" t="s">
        <v>15289</v>
      </c>
      <c r="W2050" s="10" t="s">
        <v>15276</v>
      </c>
      <c r="X2050" s="10" t="s">
        <v>15277</v>
      </c>
      <c r="Y2050" s="10" t="s">
        <v>15277</v>
      </c>
      <c r="Z2050" s="10" t="s">
        <v>99</v>
      </c>
      <c r="AA2050" s="10" t="s">
        <v>131</v>
      </c>
      <c r="AB2050" s="10" t="s">
        <v>15278</v>
      </c>
      <c r="AC2050" s="10" t="s">
        <v>15279</v>
      </c>
      <c r="AD2050" s="10" t="s">
        <v>165</v>
      </c>
      <c r="AE2050" s="10" t="s">
        <v>15674</v>
      </c>
      <c r="AF2050" s="15"/>
      <c r="AG2050" s="10"/>
      <c r="AH2050" s="10"/>
      <c r="AI2050" s="10"/>
      <c r="AJ2050" s="10"/>
      <c r="AK2050" s="10" t="s">
        <v>102</v>
      </c>
      <c r="AL2050" s="10" t="s">
        <v>147</v>
      </c>
      <c r="AM2050" s="10"/>
      <c r="AN2050" s="10"/>
      <c r="AO2050" s="13" t="b">
        <v>0</v>
      </c>
      <c r="AP2050" s="22" t="s">
        <v>104</v>
      </c>
      <c r="AQ2050" s="10">
        <f ca="1">IFERROR(__xludf.DUMMYFUNCTION("""COMPUTED_VALUE"""),4587621)</f>
        <v>4587621</v>
      </c>
      <c r="AR2050" s="17">
        <v>3207</v>
      </c>
      <c r="AS2050" s="17">
        <v>2310</v>
      </c>
      <c r="AT2050" s="17">
        <v>58164.75</v>
      </c>
      <c r="AU2050" s="17">
        <v>15.95</v>
      </c>
      <c r="AV2050" s="17">
        <v>4.0999999999999996</v>
      </c>
      <c r="AW2050" s="10" t="s">
        <v>105</v>
      </c>
      <c r="AX2050" s="17">
        <v>482</v>
      </c>
      <c r="AY2050" s="18">
        <v>25.179545454545455</v>
      </c>
      <c r="AZ2050" s="10" t="s">
        <v>106</v>
      </c>
      <c r="BA2050" s="20" t="b">
        <v>0</v>
      </c>
      <c r="BB2050" s="10"/>
      <c r="BC2050" s="17">
        <v>3207</v>
      </c>
      <c r="BD2050" s="17">
        <v>2310</v>
      </c>
      <c r="BE2050" s="17">
        <v>58164.75</v>
      </c>
      <c r="BF2050" s="17">
        <v>4.0999999999999996</v>
      </c>
      <c r="BG2050" s="11">
        <f ca="1">IFERROR(__xludf.DUMMYFUNCTION("""COMPUTED_VALUE"""),45923.3020833333)</f>
        <v>45923.302083333299</v>
      </c>
      <c r="BH2050" s="17" t="s">
        <v>105</v>
      </c>
      <c r="BI2050" s="17"/>
      <c r="BJ2050" s="15"/>
      <c r="BK2050" s="15"/>
      <c r="BL2050" s="13" t="b">
        <v>0</v>
      </c>
      <c r="BM2050" s="10"/>
      <c r="BN2050" s="10" t="s">
        <v>118</v>
      </c>
      <c r="BO2050" s="11">
        <v>45916.552777777775</v>
      </c>
      <c r="BP2050" s="11">
        <v>45916.553101851852</v>
      </c>
      <c r="BQ2050" s="15">
        <v>45921.676493055558</v>
      </c>
      <c r="BR2050" s="15">
        <v>45921.69734953704</v>
      </c>
      <c r="BS2050" s="10" t="s">
        <v>118</v>
      </c>
      <c r="BT2050" s="10"/>
      <c r="BU2050" s="10"/>
      <c r="BV2050" s="10"/>
      <c r="BW2050" s="10"/>
      <c r="BX2050" s="10"/>
      <c r="BY2050" s="23"/>
      <c r="BZ2050" s="23"/>
      <c r="CA2050" s="19" t="s">
        <v>15675</v>
      </c>
      <c r="CB2050" s="19" t="s">
        <v>15676</v>
      </c>
      <c r="CC2050" s="23"/>
      <c r="CD2050" s="19" t="s">
        <v>15677</v>
      </c>
      <c r="CE2050" s="23"/>
      <c r="CF2050" s="23"/>
      <c r="CG2050" s="23"/>
      <c r="CH2050" s="23"/>
      <c r="CI2050" s="23"/>
    </row>
    <row r="2051" spans="1:87" x14ac:dyDescent="0.3">
      <c r="A2051" s="9" t="s">
        <v>15678</v>
      </c>
      <c r="B2051" s="10" t="s">
        <v>15679</v>
      </c>
      <c r="C2051" s="11">
        <v>45928.854166666664</v>
      </c>
      <c r="D2051" s="12">
        <v>8.3333333333333329E-2</v>
      </c>
      <c r="E2051" s="11">
        <v>45928.9375</v>
      </c>
      <c r="F2051" s="10" t="s">
        <v>15254</v>
      </c>
      <c r="G2051" s="13" t="b">
        <v>0</v>
      </c>
      <c r="H2051" s="22" t="s">
        <v>3564</v>
      </c>
      <c r="I2051" s="10" t="s">
        <v>89</v>
      </c>
      <c r="J2051" s="13" t="b">
        <v>0</v>
      </c>
      <c r="K2051" s="13" t="b">
        <v>1</v>
      </c>
      <c r="L2051" s="10" t="s">
        <v>124</v>
      </c>
      <c r="M2051" s="10" t="s">
        <v>91</v>
      </c>
      <c r="N2051" s="10" t="s">
        <v>265</v>
      </c>
      <c r="O2051" s="19" t="s">
        <v>15680</v>
      </c>
      <c r="P2051" s="10"/>
      <c r="Q2051" s="10" t="s">
        <v>126</v>
      </c>
      <c r="R2051" s="10"/>
      <c r="S2051" s="19" t="s">
        <v>15681</v>
      </c>
      <c r="T2051" s="19" t="s">
        <v>15682</v>
      </c>
      <c r="U2051" s="10" t="s">
        <v>15683</v>
      </c>
      <c r="V2051" s="10" t="s">
        <v>15684</v>
      </c>
      <c r="W2051" s="10" t="s">
        <v>15260</v>
      </c>
      <c r="X2051" s="10" t="s">
        <v>130</v>
      </c>
      <c r="Y2051" s="10" t="s">
        <v>130</v>
      </c>
      <c r="Z2051" s="10" t="s">
        <v>99</v>
      </c>
      <c r="AA2051" s="10" t="s">
        <v>131</v>
      </c>
      <c r="AB2051" s="10" t="s">
        <v>15261</v>
      </c>
      <c r="AC2051" s="10" t="s">
        <v>274</v>
      </c>
      <c r="AD2051" s="10" t="s">
        <v>452</v>
      </c>
      <c r="AE2051" s="10" t="s">
        <v>15685</v>
      </c>
      <c r="AF2051" s="15"/>
      <c r="AG2051" s="10"/>
      <c r="AH2051" s="10"/>
      <c r="AI2051" s="10"/>
      <c r="AJ2051" s="10"/>
      <c r="AK2051" s="10" t="s">
        <v>102</v>
      </c>
      <c r="AL2051" s="10" t="s">
        <v>156</v>
      </c>
      <c r="AM2051" s="10"/>
      <c r="AN2051" s="10"/>
      <c r="AO2051" s="13" t="b">
        <v>0</v>
      </c>
      <c r="AP2051" s="22" t="s">
        <v>135</v>
      </c>
      <c r="AQ2051" s="10">
        <f ca="1">IFERROR(__xludf.DUMMYFUNCTION("""COMPUTED_VALUE"""),4599344)</f>
        <v>4599344</v>
      </c>
      <c r="AR2051" s="17">
        <v>19990</v>
      </c>
      <c r="AS2051" s="17">
        <v>17851</v>
      </c>
      <c r="AT2051" s="17">
        <v>66847.75</v>
      </c>
      <c r="AU2051" s="17">
        <v>17.100000000000001</v>
      </c>
      <c r="AV2051" s="17">
        <v>2.9</v>
      </c>
      <c r="AW2051" s="10" t="s">
        <v>105</v>
      </c>
      <c r="AX2051" s="17">
        <v>2423</v>
      </c>
      <c r="AY2051" s="18">
        <v>3.7447621981961796</v>
      </c>
      <c r="AZ2051" s="10" t="s">
        <v>148</v>
      </c>
      <c r="BA2051" s="20" t="b">
        <v>0</v>
      </c>
      <c r="BB2051" s="10"/>
      <c r="BC2051" s="17">
        <v>19990</v>
      </c>
      <c r="BD2051" s="17">
        <v>17851</v>
      </c>
      <c r="BE2051" s="17">
        <v>66847.75</v>
      </c>
      <c r="BF2051" s="17">
        <v>2.9</v>
      </c>
      <c r="BG2051" s="11">
        <f ca="1">IFERROR(__xludf.DUMMYFUNCTION("""COMPUTED_VALUE"""),45928.8541666666)</f>
        <v>45928.854166666599</v>
      </c>
      <c r="BH2051" s="17" t="s">
        <v>105</v>
      </c>
      <c r="BI2051" s="17"/>
      <c r="BJ2051" s="15"/>
      <c r="BK2051" s="15"/>
      <c r="BL2051" s="13" t="b">
        <v>0</v>
      </c>
      <c r="BM2051" s="10"/>
      <c r="BN2051" s="10" t="s">
        <v>667</v>
      </c>
      <c r="BO2051" s="11">
        <v>45916.576388888891</v>
      </c>
      <c r="BP2051" s="11">
        <v>45916.576747685183</v>
      </c>
      <c r="BQ2051" s="15">
        <v>45926.764918981484</v>
      </c>
      <c r="BR2051" s="15">
        <v>45927.4062962963</v>
      </c>
      <c r="BS2051" s="10" t="s">
        <v>667</v>
      </c>
      <c r="BT2051" s="10" t="s">
        <v>99</v>
      </c>
      <c r="BU2051" s="10" t="s">
        <v>5081</v>
      </c>
      <c r="BV2051" s="10"/>
      <c r="BW2051" s="10"/>
      <c r="BX2051" s="10"/>
      <c r="BY2051" s="23"/>
      <c r="BZ2051" s="23"/>
      <c r="CA2051" s="19" t="s">
        <v>15686</v>
      </c>
      <c r="CB2051" s="19" t="s">
        <v>15687</v>
      </c>
      <c r="CC2051" s="23"/>
      <c r="CD2051" s="19" t="s">
        <v>15688</v>
      </c>
      <c r="CE2051" s="23"/>
      <c r="CF2051" s="23"/>
      <c r="CG2051" s="23"/>
      <c r="CH2051" s="23"/>
      <c r="CI2051" s="23"/>
    </row>
    <row r="2052" spans="1:87" x14ac:dyDescent="0.3">
      <c r="A2052" s="9" t="s">
        <v>15689</v>
      </c>
      <c r="B2052" s="10" t="s">
        <v>15690</v>
      </c>
      <c r="C2052" s="11">
        <v>45927.791666666664</v>
      </c>
      <c r="D2052" s="12">
        <v>0.14583333333333334</v>
      </c>
      <c r="E2052" s="11">
        <v>45927.9375</v>
      </c>
      <c r="F2052" s="10" t="s">
        <v>8402</v>
      </c>
      <c r="G2052" s="13" t="b">
        <v>0</v>
      </c>
      <c r="H2052" s="22" t="s">
        <v>8403</v>
      </c>
      <c r="I2052" s="10" t="s">
        <v>212</v>
      </c>
      <c r="J2052" s="13" t="b">
        <v>1</v>
      </c>
      <c r="K2052" s="13" t="b">
        <v>0</v>
      </c>
      <c r="L2052" s="10" t="s">
        <v>358</v>
      </c>
      <c r="M2052" s="10" t="s">
        <v>91</v>
      </c>
      <c r="N2052" s="10" t="s">
        <v>92</v>
      </c>
      <c r="O2052" s="19" t="s">
        <v>15691</v>
      </c>
      <c r="P2052" s="10"/>
      <c r="Q2052" s="10" t="s">
        <v>126</v>
      </c>
      <c r="R2052" s="19" t="s">
        <v>15692</v>
      </c>
      <c r="S2052" s="19" t="s">
        <v>15693</v>
      </c>
      <c r="T2052" s="10"/>
      <c r="U2052" s="10"/>
      <c r="V2052" s="10"/>
      <c r="W2052" s="10" t="s">
        <v>8407</v>
      </c>
      <c r="X2052" s="10" t="s">
        <v>8408</v>
      </c>
      <c r="Y2052" s="10" t="s">
        <v>8409</v>
      </c>
      <c r="Z2052" s="10" t="s">
        <v>99</v>
      </c>
      <c r="AA2052" s="10" t="s">
        <v>100</v>
      </c>
      <c r="AB2052" s="10" t="s">
        <v>8410</v>
      </c>
      <c r="AC2052" s="10"/>
      <c r="AD2052" s="10" t="s">
        <v>165</v>
      </c>
      <c r="AE2052" s="10" t="s">
        <v>15694</v>
      </c>
      <c r="AF2052" s="15"/>
      <c r="AG2052" s="10"/>
      <c r="AH2052" s="10"/>
      <c r="AI2052" s="10"/>
      <c r="AJ2052" s="10" t="s">
        <v>15695</v>
      </c>
      <c r="AK2052" s="10" t="s">
        <v>102</v>
      </c>
      <c r="AL2052" s="10"/>
      <c r="AM2052" s="10"/>
      <c r="AN2052" s="10"/>
      <c r="AO2052" s="13" t="b">
        <v>0</v>
      </c>
      <c r="AP2052" s="22"/>
      <c r="AQ2052" s="10">
        <f ca="1">IFERROR(__xludf.DUMMYFUNCTION("""COMPUTED_VALUE"""),4596461)</f>
        <v>4596461</v>
      </c>
      <c r="AR2052" s="17">
        <v>6190</v>
      </c>
      <c r="AS2052" s="17">
        <v>4724</v>
      </c>
      <c r="AT2052" s="17">
        <v>58308.25</v>
      </c>
      <c r="AU2052" s="17">
        <v>10.85</v>
      </c>
      <c r="AV2052" s="17">
        <v>2.9</v>
      </c>
      <c r="AW2052" s="10" t="s">
        <v>105</v>
      </c>
      <c r="AX2052" s="17">
        <v>832</v>
      </c>
      <c r="AY2052" s="18">
        <v>12.342982641828959</v>
      </c>
      <c r="AZ2052" s="10" t="s">
        <v>3783</v>
      </c>
      <c r="BA2052" s="20" t="b">
        <v>0</v>
      </c>
      <c r="BB2052" s="10"/>
      <c r="BC2052" s="17">
        <v>6190</v>
      </c>
      <c r="BD2052" s="17">
        <v>4724</v>
      </c>
      <c r="BE2052" s="17">
        <v>58308.25</v>
      </c>
      <c r="BF2052" s="17">
        <v>2.9</v>
      </c>
      <c r="BG2052" s="11">
        <f ca="1">IFERROR(__xludf.DUMMYFUNCTION("""COMPUTED_VALUE"""),45927.7916666666)</f>
        <v>45927.791666666599</v>
      </c>
      <c r="BH2052" s="17" t="s">
        <v>105</v>
      </c>
      <c r="BI2052" s="17"/>
      <c r="BJ2052" s="15"/>
      <c r="BK2052" s="15"/>
      <c r="BL2052" s="13" t="b">
        <v>0</v>
      </c>
      <c r="BM2052" s="10"/>
      <c r="BN2052" s="10" t="s">
        <v>197</v>
      </c>
      <c r="BO2052" s="11">
        <v>45916.698611111111</v>
      </c>
      <c r="BP2052" s="11">
        <v>45921.702291666668</v>
      </c>
      <c r="BQ2052" s="15">
        <v>45924.530532407407</v>
      </c>
      <c r="BR2052" s="15">
        <v>45925.355891203704</v>
      </c>
      <c r="BS2052" s="10" t="s">
        <v>197</v>
      </c>
      <c r="BT2052" s="10"/>
      <c r="BU2052" s="10"/>
      <c r="BV2052" s="10"/>
      <c r="BW2052" s="10"/>
      <c r="BX2052" s="10"/>
      <c r="BY2052" s="23"/>
      <c r="BZ2052" s="23"/>
      <c r="CA2052" s="19" t="s">
        <v>15696</v>
      </c>
      <c r="CB2052" s="23"/>
      <c r="CC2052" s="23"/>
      <c r="CD2052" s="19" t="s">
        <v>15697</v>
      </c>
      <c r="CE2052" s="23"/>
      <c r="CF2052" s="23"/>
      <c r="CG2052" s="23"/>
      <c r="CH2052" s="23"/>
      <c r="CI2052" s="23"/>
    </row>
    <row r="2053" spans="1:87" x14ac:dyDescent="0.3">
      <c r="A2053" s="9" t="s">
        <v>15698</v>
      </c>
      <c r="B2053" s="10" t="s">
        <v>14988</v>
      </c>
      <c r="C2053" s="11">
        <v>45920.791666666664</v>
      </c>
      <c r="D2053" s="12">
        <v>8.3333333333333329E-2</v>
      </c>
      <c r="E2053" s="11">
        <v>45920.875</v>
      </c>
      <c r="F2053" s="10" t="s">
        <v>14786</v>
      </c>
      <c r="G2053" s="13" t="b">
        <v>0</v>
      </c>
      <c r="H2053" s="22" t="s">
        <v>14787</v>
      </c>
      <c r="I2053" s="10" t="s">
        <v>212</v>
      </c>
      <c r="J2053" s="13" t="b">
        <v>1</v>
      </c>
      <c r="K2053" s="13" t="b">
        <v>0</v>
      </c>
      <c r="L2053" s="10" t="s">
        <v>124</v>
      </c>
      <c r="M2053" s="10" t="s">
        <v>91</v>
      </c>
      <c r="N2053" s="10" t="s">
        <v>3513</v>
      </c>
      <c r="O2053" s="10"/>
      <c r="P2053" s="10"/>
      <c r="Q2053" s="10" t="s">
        <v>126</v>
      </c>
      <c r="R2053" s="10"/>
      <c r="S2053" s="10"/>
      <c r="T2053" s="10"/>
      <c r="U2053" s="10" t="s">
        <v>14816</v>
      </c>
      <c r="V2053" s="10" t="s">
        <v>14805</v>
      </c>
      <c r="W2053" s="10" t="s">
        <v>14793</v>
      </c>
      <c r="X2053" s="10" t="s">
        <v>130</v>
      </c>
      <c r="Y2053" s="10" t="s">
        <v>130</v>
      </c>
      <c r="Z2053" s="10" t="s">
        <v>99</v>
      </c>
      <c r="AA2053" s="10" t="s">
        <v>131</v>
      </c>
      <c r="AB2053" s="10" t="s">
        <v>14794</v>
      </c>
      <c r="AC2053" s="10" t="s">
        <v>3521</v>
      </c>
      <c r="AD2053" s="10" t="s">
        <v>14991</v>
      </c>
      <c r="AE2053" s="10" t="s">
        <v>14992</v>
      </c>
      <c r="AF2053" s="15"/>
      <c r="AG2053" s="10"/>
      <c r="AH2053" s="10"/>
      <c r="AI2053" s="10"/>
      <c r="AJ2053" s="10"/>
      <c r="AK2053" s="10" t="s">
        <v>256</v>
      </c>
      <c r="AL2053" s="10" t="s">
        <v>116</v>
      </c>
      <c r="AM2053" s="10"/>
      <c r="AN2053" s="10"/>
      <c r="AO2053" s="13" t="b">
        <v>0</v>
      </c>
      <c r="AP2053" s="22" t="s">
        <v>104</v>
      </c>
      <c r="AQ2053" s="10"/>
      <c r="AR2053" s="17"/>
      <c r="AS2053" s="17"/>
      <c r="AT2053" s="17"/>
      <c r="AU2053" s="17"/>
      <c r="AV2053" s="17"/>
      <c r="AW2053" s="10"/>
      <c r="AX2053" s="17"/>
      <c r="AY2053" s="18" t="s">
        <v>257</v>
      </c>
      <c r="AZ2053" s="10"/>
      <c r="BA2053" s="20" t="b">
        <v>0</v>
      </c>
      <c r="BB2053" s="10"/>
      <c r="BC2053" s="17" t="s">
        <v>257</v>
      </c>
      <c r="BD2053" s="17" t="s">
        <v>257</v>
      </c>
      <c r="BE2053" s="17" t="s">
        <v>257</v>
      </c>
      <c r="BF2053" s="17" t="s">
        <v>257</v>
      </c>
      <c r="BG2053" s="11">
        <f ca="1">IFERROR(__xludf.DUMMYFUNCTION("""COMPUTED_VALUE"""),45920.7916666666)</f>
        <v>45920.791666666599</v>
      </c>
      <c r="BH2053" s="17"/>
      <c r="BI2053" s="17"/>
      <c r="BJ2053" s="15"/>
      <c r="BK2053" s="15"/>
      <c r="BL2053" s="13" t="b">
        <v>0</v>
      </c>
      <c r="BM2053" s="10"/>
      <c r="BN2053" s="10" t="s">
        <v>241</v>
      </c>
      <c r="BO2053" s="11">
        <v>45917.518750000003</v>
      </c>
      <c r="BP2053" s="11">
        <v>45917.7106712963</v>
      </c>
      <c r="BQ2053" s="15"/>
      <c r="BR2053" s="15"/>
      <c r="BS2053" s="10"/>
      <c r="BT2053" s="10" t="s">
        <v>99</v>
      </c>
      <c r="BU2053" s="10"/>
      <c r="BV2053" s="10"/>
      <c r="BW2053" s="10"/>
      <c r="BX2053" s="10"/>
      <c r="BY2053" s="23"/>
      <c r="BZ2053" s="23"/>
      <c r="CA2053" s="23"/>
      <c r="CB2053" s="23"/>
      <c r="CC2053" s="23"/>
      <c r="CD2053" s="23"/>
      <c r="CE2053" s="23"/>
      <c r="CF2053" s="23"/>
      <c r="CG2053" s="23"/>
      <c r="CH2053" s="23"/>
      <c r="CI2053" s="23"/>
    </row>
    <row r="2054" spans="1:87" x14ac:dyDescent="0.3">
      <c r="A2054" s="9" t="s">
        <v>15699</v>
      </c>
      <c r="B2054" s="10" t="s">
        <v>15041</v>
      </c>
      <c r="C2054" s="11">
        <v>45922.645833333336</v>
      </c>
      <c r="D2054" s="12">
        <v>8.3333333333333329E-2</v>
      </c>
      <c r="E2054" s="11">
        <v>45922.729166666664</v>
      </c>
      <c r="F2054" s="10" t="s">
        <v>14786</v>
      </c>
      <c r="G2054" s="13" t="b">
        <v>0</v>
      </c>
      <c r="H2054" s="22" t="s">
        <v>14787</v>
      </c>
      <c r="I2054" s="10"/>
      <c r="J2054" s="13" t="b">
        <v>0</v>
      </c>
      <c r="K2054" s="13" t="b">
        <v>1</v>
      </c>
      <c r="L2054" s="10" t="s">
        <v>124</v>
      </c>
      <c r="M2054" s="10" t="s">
        <v>91</v>
      </c>
      <c r="N2054" s="10" t="s">
        <v>3513</v>
      </c>
      <c r="O2054" s="10"/>
      <c r="P2054" s="10"/>
      <c r="Q2054" s="10" t="s">
        <v>126</v>
      </c>
      <c r="R2054" s="10"/>
      <c r="S2054" s="10"/>
      <c r="T2054" s="10"/>
      <c r="U2054" s="10" t="s">
        <v>14893</v>
      </c>
      <c r="V2054" s="10" t="s">
        <v>14791</v>
      </c>
      <c r="W2054" s="10" t="s">
        <v>14793</v>
      </c>
      <c r="X2054" s="10" t="s">
        <v>130</v>
      </c>
      <c r="Y2054" s="10" t="s">
        <v>130</v>
      </c>
      <c r="Z2054" s="10" t="s">
        <v>99</v>
      </c>
      <c r="AA2054" s="10" t="s">
        <v>131</v>
      </c>
      <c r="AB2054" s="10" t="s">
        <v>14794</v>
      </c>
      <c r="AC2054" s="10" t="s">
        <v>3521</v>
      </c>
      <c r="AD2054" s="10" t="s">
        <v>15044</v>
      </c>
      <c r="AE2054" s="10" t="s">
        <v>15045</v>
      </c>
      <c r="AF2054" s="15"/>
      <c r="AG2054" s="10"/>
      <c r="AH2054" s="10"/>
      <c r="AI2054" s="10"/>
      <c r="AJ2054" s="10"/>
      <c r="AK2054" s="10" t="s">
        <v>256</v>
      </c>
      <c r="AL2054" s="10" t="s">
        <v>116</v>
      </c>
      <c r="AM2054" s="10"/>
      <c r="AN2054" s="10"/>
      <c r="AO2054" s="13" t="b">
        <v>0</v>
      </c>
      <c r="AP2054" s="22" t="s">
        <v>104</v>
      </c>
      <c r="AQ2054" s="10"/>
      <c r="AR2054" s="17"/>
      <c r="AS2054" s="17"/>
      <c r="AT2054" s="17"/>
      <c r="AU2054" s="17"/>
      <c r="AV2054" s="17"/>
      <c r="AW2054" s="10"/>
      <c r="AX2054" s="17"/>
      <c r="AY2054" s="18" t="s">
        <v>257</v>
      </c>
      <c r="AZ2054" s="10"/>
      <c r="BA2054" s="20" t="b">
        <v>0</v>
      </c>
      <c r="BB2054" s="10"/>
      <c r="BC2054" s="17" t="s">
        <v>257</v>
      </c>
      <c r="BD2054" s="17" t="s">
        <v>257</v>
      </c>
      <c r="BE2054" s="17" t="s">
        <v>257</v>
      </c>
      <c r="BF2054" s="17" t="s">
        <v>257</v>
      </c>
      <c r="BG2054" s="11">
        <f ca="1">IFERROR(__xludf.DUMMYFUNCTION("""COMPUTED_VALUE"""),45922.6458333333)</f>
        <v>45922.645833333299</v>
      </c>
      <c r="BH2054" s="17"/>
      <c r="BI2054" s="17"/>
      <c r="BJ2054" s="15"/>
      <c r="BK2054" s="15"/>
      <c r="BL2054" s="13" t="b">
        <v>0</v>
      </c>
      <c r="BM2054" s="10"/>
      <c r="BN2054" s="10" t="s">
        <v>241</v>
      </c>
      <c r="BO2054" s="11">
        <v>45917.522222222222</v>
      </c>
      <c r="BP2054" s="11">
        <v>45917.522858796299</v>
      </c>
      <c r="BQ2054" s="15"/>
      <c r="BR2054" s="15"/>
      <c r="BS2054" s="10"/>
      <c r="BT2054" s="10" t="s">
        <v>99</v>
      </c>
      <c r="BU2054" s="10"/>
      <c r="BV2054" s="10"/>
      <c r="BW2054" s="10"/>
      <c r="BX2054" s="10"/>
      <c r="BY2054" s="23"/>
      <c r="BZ2054" s="23"/>
      <c r="CA2054" s="23"/>
      <c r="CB2054" s="23"/>
      <c r="CC2054" s="23"/>
      <c r="CD2054" s="23"/>
      <c r="CE2054" s="23"/>
      <c r="CF2054" s="23"/>
      <c r="CG2054" s="23"/>
      <c r="CH2054" s="23"/>
      <c r="CI2054" s="23"/>
    </row>
    <row r="2055" spans="1:87" x14ac:dyDescent="0.3">
      <c r="A2055" s="9" t="s">
        <v>15700</v>
      </c>
      <c r="B2055" s="10" t="s">
        <v>15095</v>
      </c>
      <c r="C2055" s="11">
        <v>45928.645833333336</v>
      </c>
      <c r="D2055" s="12">
        <v>8.3333333333333329E-2</v>
      </c>
      <c r="E2055" s="11">
        <v>45928.729166666664</v>
      </c>
      <c r="F2055" s="10" t="s">
        <v>14786</v>
      </c>
      <c r="G2055" s="13" t="b">
        <v>0</v>
      </c>
      <c r="H2055" s="22" t="s">
        <v>14787</v>
      </c>
      <c r="I2055" s="10"/>
      <c r="J2055" s="13" t="b">
        <v>0</v>
      </c>
      <c r="K2055" s="13" t="b">
        <v>1</v>
      </c>
      <c r="L2055" s="10" t="s">
        <v>124</v>
      </c>
      <c r="M2055" s="10" t="s">
        <v>91</v>
      </c>
      <c r="N2055" s="10" t="s">
        <v>3513</v>
      </c>
      <c r="O2055" s="10"/>
      <c r="P2055" s="10"/>
      <c r="Q2055" s="10" t="s">
        <v>126</v>
      </c>
      <c r="R2055" s="10"/>
      <c r="S2055" s="10"/>
      <c r="T2055" s="10"/>
      <c r="U2055" s="10" t="s">
        <v>14893</v>
      </c>
      <c r="V2055" s="10" t="s">
        <v>14881</v>
      </c>
      <c r="W2055" s="10" t="s">
        <v>14793</v>
      </c>
      <c r="X2055" s="10" t="s">
        <v>130</v>
      </c>
      <c r="Y2055" s="10" t="s">
        <v>130</v>
      </c>
      <c r="Z2055" s="10" t="s">
        <v>99</v>
      </c>
      <c r="AA2055" s="10" t="s">
        <v>131</v>
      </c>
      <c r="AB2055" s="10" t="s">
        <v>14794</v>
      </c>
      <c r="AC2055" s="10" t="s">
        <v>3521</v>
      </c>
      <c r="AD2055" s="10" t="s">
        <v>15098</v>
      </c>
      <c r="AE2055" s="10" t="s">
        <v>15099</v>
      </c>
      <c r="AF2055" s="15"/>
      <c r="AG2055" s="10"/>
      <c r="AH2055" s="10"/>
      <c r="AI2055" s="10"/>
      <c r="AJ2055" s="10"/>
      <c r="AK2055" s="10" t="s">
        <v>256</v>
      </c>
      <c r="AL2055" s="10" t="s">
        <v>147</v>
      </c>
      <c r="AM2055" s="10"/>
      <c r="AN2055" s="10"/>
      <c r="AO2055" s="13" t="b">
        <v>0</v>
      </c>
      <c r="AP2055" s="22" t="s">
        <v>104</v>
      </c>
      <c r="AQ2055" s="10"/>
      <c r="AR2055" s="17"/>
      <c r="AS2055" s="17"/>
      <c r="AT2055" s="17"/>
      <c r="AU2055" s="17"/>
      <c r="AV2055" s="17"/>
      <c r="AW2055" s="10"/>
      <c r="AX2055" s="17"/>
      <c r="AY2055" s="18" t="s">
        <v>257</v>
      </c>
      <c r="AZ2055" s="10"/>
      <c r="BA2055" s="20" t="b">
        <v>0</v>
      </c>
      <c r="BB2055" s="10"/>
      <c r="BC2055" s="17" t="s">
        <v>257</v>
      </c>
      <c r="BD2055" s="17" t="s">
        <v>257</v>
      </c>
      <c r="BE2055" s="17" t="s">
        <v>257</v>
      </c>
      <c r="BF2055" s="17" t="s">
        <v>257</v>
      </c>
      <c r="BG2055" s="11">
        <f ca="1">IFERROR(__xludf.DUMMYFUNCTION("""COMPUTED_VALUE"""),45928.6458333333)</f>
        <v>45928.645833333299</v>
      </c>
      <c r="BH2055" s="17"/>
      <c r="BI2055" s="17"/>
      <c r="BJ2055" s="15"/>
      <c r="BK2055" s="15"/>
      <c r="BL2055" s="13" t="b">
        <v>0</v>
      </c>
      <c r="BM2055" s="10"/>
      <c r="BN2055" s="10" t="s">
        <v>241</v>
      </c>
      <c r="BO2055" s="11">
        <v>45917.526388888888</v>
      </c>
      <c r="BP2055" s="11">
        <v>45917.527060185188</v>
      </c>
      <c r="BQ2055" s="15"/>
      <c r="BR2055" s="15"/>
      <c r="BS2055" s="10"/>
      <c r="BT2055" s="10" t="s">
        <v>99</v>
      </c>
      <c r="BU2055" s="10"/>
      <c r="BV2055" s="10"/>
      <c r="BW2055" s="10"/>
      <c r="BX2055" s="10"/>
      <c r="BY2055" s="23"/>
      <c r="BZ2055" s="23"/>
      <c r="CA2055" s="23"/>
      <c r="CB2055" s="23"/>
      <c r="CC2055" s="23"/>
      <c r="CD2055" s="23"/>
      <c r="CE2055" s="23"/>
      <c r="CF2055" s="23"/>
      <c r="CG2055" s="23"/>
      <c r="CH2055" s="23"/>
      <c r="CI2055" s="23"/>
    </row>
    <row r="2056" spans="1:87" x14ac:dyDescent="0.3">
      <c r="A2056" s="9" t="s">
        <v>15701</v>
      </c>
      <c r="B2056" s="10" t="s">
        <v>15113</v>
      </c>
      <c r="C2056" s="11">
        <v>45929.645833333336</v>
      </c>
      <c r="D2056" s="12">
        <v>8.3333333333333329E-2</v>
      </c>
      <c r="E2056" s="11">
        <v>45929.729166666664</v>
      </c>
      <c r="F2056" s="10" t="s">
        <v>14786</v>
      </c>
      <c r="G2056" s="13" t="b">
        <v>0</v>
      </c>
      <c r="H2056" s="22" t="s">
        <v>14787</v>
      </c>
      <c r="I2056" s="10"/>
      <c r="J2056" s="13" t="b">
        <v>0</v>
      </c>
      <c r="K2056" s="13" t="b">
        <v>1</v>
      </c>
      <c r="L2056" s="10" t="s">
        <v>124</v>
      </c>
      <c r="M2056" s="10" t="s">
        <v>91</v>
      </c>
      <c r="N2056" s="10" t="s">
        <v>3513</v>
      </c>
      <c r="O2056" s="10"/>
      <c r="P2056" s="10"/>
      <c r="Q2056" s="10" t="s">
        <v>126</v>
      </c>
      <c r="R2056" s="10"/>
      <c r="S2056" s="10"/>
      <c r="T2056" s="10"/>
      <c r="U2056" s="10" t="s">
        <v>14805</v>
      </c>
      <c r="V2056" s="10" t="s">
        <v>14791</v>
      </c>
      <c r="W2056" s="10" t="s">
        <v>14793</v>
      </c>
      <c r="X2056" s="10" t="s">
        <v>130</v>
      </c>
      <c r="Y2056" s="10" t="s">
        <v>130</v>
      </c>
      <c r="Z2056" s="10" t="s">
        <v>99</v>
      </c>
      <c r="AA2056" s="10" t="s">
        <v>131</v>
      </c>
      <c r="AB2056" s="10" t="s">
        <v>14794</v>
      </c>
      <c r="AC2056" s="10" t="s">
        <v>3521</v>
      </c>
      <c r="AD2056" s="10" t="s">
        <v>15116</v>
      </c>
      <c r="AE2056" s="10" t="s">
        <v>15117</v>
      </c>
      <c r="AF2056" s="15"/>
      <c r="AG2056" s="10"/>
      <c r="AH2056" s="10"/>
      <c r="AI2056" s="10"/>
      <c r="AJ2056" s="10"/>
      <c r="AK2056" s="10" t="s">
        <v>256</v>
      </c>
      <c r="AL2056" s="10" t="s">
        <v>147</v>
      </c>
      <c r="AM2056" s="10"/>
      <c r="AN2056" s="10"/>
      <c r="AO2056" s="13" t="b">
        <v>0</v>
      </c>
      <c r="AP2056" s="22" t="s">
        <v>104</v>
      </c>
      <c r="AQ2056" s="10"/>
      <c r="AR2056" s="17"/>
      <c r="AS2056" s="17"/>
      <c r="AT2056" s="17"/>
      <c r="AU2056" s="17"/>
      <c r="AV2056" s="17"/>
      <c r="AW2056" s="10"/>
      <c r="AX2056" s="17"/>
      <c r="AY2056" s="18" t="s">
        <v>257</v>
      </c>
      <c r="AZ2056" s="10"/>
      <c r="BA2056" s="20" t="b">
        <v>0</v>
      </c>
      <c r="BB2056" s="10"/>
      <c r="BC2056" s="17" t="s">
        <v>257</v>
      </c>
      <c r="BD2056" s="17" t="s">
        <v>257</v>
      </c>
      <c r="BE2056" s="17" t="s">
        <v>257</v>
      </c>
      <c r="BF2056" s="17" t="s">
        <v>257</v>
      </c>
      <c r="BG2056" s="11">
        <f ca="1">IFERROR(__xludf.DUMMYFUNCTION("""COMPUTED_VALUE"""),45929.6458333333)</f>
        <v>45929.645833333299</v>
      </c>
      <c r="BH2056" s="17"/>
      <c r="BI2056" s="17"/>
      <c r="BJ2056" s="15"/>
      <c r="BK2056" s="15"/>
      <c r="BL2056" s="13" t="b">
        <v>0</v>
      </c>
      <c r="BM2056" s="10"/>
      <c r="BN2056" s="10" t="s">
        <v>241</v>
      </c>
      <c r="BO2056" s="11">
        <v>45917.52847222222</v>
      </c>
      <c r="BP2056" s="11">
        <v>45917.528958333336</v>
      </c>
      <c r="BQ2056" s="15"/>
      <c r="BR2056" s="15"/>
      <c r="BS2056" s="10"/>
      <c r="BT2056" s="10" t="s">
        <v>99</v>
      </c>
      <c r="BU2056" s="10"/>
      <c r="BV2056" s="10"/>
      <c r="BW2056" s="10"/>
      <c r="BX2056" s="10"/>
      <c r="BY2056" s="23"/>
      <c r="BZ2056" s="23"/>
      <c r="CA2056" s="23"/>
      <c r="CB2056" s="23"/>
      <c r="CC2056" s="23"/>
      <c r="CD2056" s="23"/>
      <c r="CE2056" s="23"/>
      <c r="CF2056" s="23"/>
      <c r="CG2056" s="23"/>
      <c r="CH2056" s="23"/>
      <c r="CI2056" s="23"/>
    </row>
    <row r="2057" spans="1:87" x14ac:dyDescent="0.3">
      <c r="A2057" s="9" t="s">
        <v>15702</v>
      </c>
      <c r="B2057" s="10" t="s">
        <v>15122</v>
      </c>
      <c r="C2057" s="11">
        <v>45929.645833333336</v>
      </c>
      <c r="D2057" s="12">
        <v>8.3333333333333329E-2</v>
      </c>
      <c r="E2057" s="11">
        <v>45929.729166666664</v>
      </c>
      <c r="F2057" s="10" t="s">
        <v>14786</v>
      </c>
      <c r="G2057" s="13" t="b">
        <v>0</v>
      </c>
      <c r="H2057" s="22" t="s">
        <v>14787</v>
      </c>
      <c r="I2057" s="10"/>
      <c r="J2057" s="13" t="b">
        <v>0</v>
      </c>
      <c r="K2057" s="13" t="b">
        <v>1</v>
      </c>
      <c r="L2057" s="10" t="s">
        <v>124</v>
      </c>
      <c r="M2057" s="10" t="s">
        <v>91</v>
      </c>
      <c r="N2057" s="10" t="s">
        <v>3513</v>
      </c>
      <c r="O2057" s="10"/>
      <c r="P2057" s="10"/>
      <c r="Q2057" s="10" t="s">
        <v>126</v>
      </c>
      <c r="R2057" s="10"/>
      <c r="S2057" s="10"/>
      <c r="T2057" s="10"/>
      <c r="U2057" s="10" t="s">
        <v>14816</v>
      </c>
      <c r="V2057" s="10" t="s">
        <v>14792</v>
      </c>
      <c r="W2057" s="10" t="s">
        <v>14793</v>
      </c>
      <c r="X2057" s="10" t="s">
        <v>130</v>
      </c>
      <c r="Y2057" s="10" t="s">
        <v>130</v>
      </c>
      <c r="Z2057" s="10" t="s">
        <v>99</v>
      </c>
      <c r="AA2057" s="10" t="s">
        <v>131</v>
      </c>
      <c r="AB2057" s="10" t="s">
        <v>14794</v>
      </c>
      <c r="AC2057" s="10" t="s">
        <v>3521</v>
      </c>
      <c r="AD2057" s="10" t="s">
        <v>15125</v>
      </c>
      <c r="AE2057" s="10" t="s">
        <v>15126</v>
      </c>
      <c r="AF2057" s="15"/>
      <c r="AG2057" s="10"/>
      <c r="AH2057" s="10"/>
      <c r="AI2057" s="10"/>
      <c r="AJ2057" s="10"/>
      <c r="AK2057" s="10" t="s">
        <v>256</v>
      </c>
      <c r="AL2057" s="10" t="s">
        <v>147</v>
      </c>
      <c r="AM2057" s="10"/>
      <c r="AN2057" s="10"/>
      <c r="AO2057" s="13" t="b">
        <v>0</v>
      </c>
      <c r="AP2057" s="22" t="s">
        <v>104</v>
      </c>
      <c r="AQ2057" s="10"/>
      <c r="AR2057" s="17"/>
      <c r="AS2057" s="17"/>
      <c r="AT2057" s="17"/>
      <c r="AU2057" s="17"/>
      <c r="AV2057" s="17"/>
      <c r="AW2057" s="10"/>
      <c r="AX2057" s="17"/>
      <c r="AY2057" s="18" t="s">
        <v>257</v>
      </c>
      <c r="AZ2057" s="10"/>
      <c r="BA2057" s="20" t="b">
        <v>0</v>
      </c>
      <c r="BB2057" s="10"/>
      <c r="BC2057" s="17" t="s">
        <v>257</v>
      </c>
      <c r="BD2057" s="17" t="s">
        <v>257</v>
      </c>
      <c r="BE2057" s="17" t="s">
        <v>257</v>
      </c>
      <c r="BF2057" s="17" t="s">
        <v>257</v>
      </c>
      <c r="BG2057" s="11">
        <f ca="1">IFERROR(__xludf.DUMMYFUNCTION("""COMPUTED_VALUE"""),45929.6458333333)</f>
        <v>45929.645833333299</v>
      </c>
      <c r="BH2057" s="17"/>
      <c r="BI2057" s="17"/>
      <c r="BJ2057" s="15"/>
      <c r="BK2057" s="15"/>
      <c r="BL2057" s="13" t="b">
        <v>0</v>
      </c>
      <c r="BM2057" s="10"/>
      <c r="BN2057" s="10" t="s">
        <v>241</v>
      </c>
      <c r="BO2057" s="11">
        <v>45917.529166666667</v>
      </c>
      <c r="BP2057" s="11">
        <v>45917.529629629629</v>
      </c>
      <c r="BQ2057" s="15"/>
      <c r="BR2057" s="15"/>
      <c r="BS2057" s="10"/>
      <c r="BT2057" s="10" t="s">
        <v>99</v>
      </c>
      <c r="BU2057" s="10"/>
      <c r="BV2057" s="10"/>
      <c r="BW2057" s="10"/>
      <c r="BX2057" s="10"/>
      <c r="BY2057" s="23"/>
      <c r="BZ2057" s="23"/>
      <c r="CA2057" s="23"/>
      <c r="CB2057" s="23"/>
      <c r="CC2057" s="23"/>
      <c r="CD2057" s="23"/>
      <c r="CE2057" s="23"/>
      <c r="CF2057" s="23"/>
      <c r="CG2057" s="23"/>
      <c r="CH2057" s="23"/>
      <c r="CI2057" s="23"/>
    </row>
    <row r="2058" spans="1:87" x14ac:dyDescent="0.3">
      <c r="A2058" s="9" t="s">
        <v>15703</v>
      </c>
      <c r="B2058" s="10" t="s">
        <v>15704</v>
      </c>
      <c r="C2058" s="11">
        <v>45926.770833333336</v>
      </c>
      <c r="D2058" s="12">
        <v>2.0833333333333332E-2</v>
      </c>
      <c r="E2058" s="11">
        <v>45926.791666666664</v>
      </c>
      <c r="F2058" s="10" t="s">
        <v>3511</v>
      </c>
      <c r="G2058" s="13" t="b">
        <v>0</v>
      </c>
      <c r="H2058" s="22" t="s">
        <v>3512</v>
      </c>
      <c r="I2058" s="10" t="s">
        <v>212</v>
      </c>
      <c r="J2058" s="13" t="b">
        <v>1</v>
      </c>
      <c r="K2058" s="13" t="b">
        <v>0</v>
      </c>
      <c r="L2058" s="10" t="s">
        <v>90</v>
      </c>
      <c r="M2058" s="10" t="s">
        <v>91</v>
      </c>
      <c r="N2058" s="10" t="s">
        <v>92</v>
      </c>
      <c r="O2058" s="19" t="s">
        <v>15705</v>
      </c>
      <c r="P2058" s="10"/>
      <c r="Q2058" s="10" t="s">
        <v>94</v>
      </c>
      <c r="R2058" s="10"/>
      <c r="S2058" s="19" t="s">
        <v>4232</v>
      </c>
      <c r="T2058" s="10"/>
      <c r="U2058" s="10" t="s">
        <v>3622</v>
      </c>
      <c r="V2058" s="10" t="s">
        <v>3551</v>
      </c>
      <c r="W2058" s="10" t="s">
        <v>3519</v>
      </c>
      <c r="X2058" s="10" t="s">
        <v>130</v>
      </c>
      <c r="Y2058" s="10" t="s">
        <v>130</v>
      </c>
      <c r="Z2058" s="10" t="s">
        <v>99</v>
      </c>
      <c r="AA2058" s="10" t="s">
        <v>131</v>
      </c>
      <c r="AB2058" s="10" t="s">
        <v>3520</v>
      </c>
      <c r="AC2058" s="10" t="s">
        <v>3521</v>
      </c>
      <c r="AD2058" s="10" t="s">
        <v>4233</v>
      </c>
      <c r="AE2058" s="10" t="s">
        <v>15706</v>
      </c>
      <c r="AF2058" s="15"/>
      <c r="AG2058" s="10"/>
      <c r="AH2058" s="10"/>
      <c r="AI2058" s="10"/>
      <c r="AJ2058" s="10"/>
      <c r="AK2058" s="10" t="s">
        <v>102</v>
      </c>
      <c r="AL2058" s="10"/>
      <c r="AM2058" s="10"/>
      <c r="AN2058" s="10"/>
      <c r="AO2058" s="13" t="b">
        <v>0</v>
      </c>
      <c r="AP2058" s="22" t="s">
        <v>104</v>
      </c>
      <c r="AQ2058" s="10">
        <f ca="1">IFERROR(__xludf.DUMMYFUNCTION("""COMPUTED_VALUE"""),4596294)</f>
        <v>4596294</v>
      </c>
      <c r="AR2058" s="17">
        <v>11274</v>
      </c>
      <c r="AS2058" s="17">
        <v>9243</v>
      </c>
      <c r="AT2058" s="17">
        <v>48756</v>
      </c>
      <c r="AU2058" s="17">
        <v>25.35</v>
      </c>
      <c r="AV2058" s="17">
        <v>3.95</v>
      </c>
      <c r="AW2058" s="10" t="s">
        <v>105</v>
      </c>
      <c r="AX2058" s="17">
        <v>4180</v>
      </c>
      <c r="AY2058" s="18">
        <v>5.2749107432651741</v>
      </c>
      <c r="AZ2058" s="10"/>
      <c r="BA2058" s="20" t="b">
        <v>0</v>
      </c>
      <c r="BB2058" s="10"/>
      <c r="BC2058" s="17">
        <v>11274</v>
      </c>
      <c r="BD2058" s="17">
        <v>9243</v>
      </c>
      <c r="BE2058" s="17">
        <v>48756</v>
      </c>
      <c r="BF2058" s="17">
        <v>3.95</v>
      </c>
      <c r="BG2058" s="11">
        <f ca="1">IFERROR(__xludf.DUMMYFUNCTION("""COMPUTED_VALUE"""),45926.7708333333)</f>
        <v>45926.770833333299</v>
      </c>
      <c r="BH2058" s="17" t="s">
        <v>105</v>
      </c>
      <c r="BI2058" s="17"/>
      <c r="BJ2058" s="15"/>
      <c r="BK2058" s="15"/>
      <c r="BL2058" s="13" t="b">
        <v>0</v>
      </c>
      <c r="BM2058" s="10"/>
      <c r="BN2058" s="10" t="s">
        <v>197</v>
      </c>
      <c r="BO2058" s="11">
        <v>45917.612500000003</v>
      </c>
      <c r="BP2058" s="11">
        <v>45917.612939814811</v>
      </c>
      <c r="BQ2058" s="15">
        <v>45923.817650462966</v>
      </c>
      <c r="BR2058" s="15">
        <v>45925.180590277778</v>
      </c>
      <c r="BS2058" s="10" t="s">
        <v>197</v>
      </c>
      <c r="BT2058" s="10"/>
      <c r="BU2058" s="10"/>
      <c r="BV2058" s="10"/>
      <c r="BW2058" s="10"/>
      <c r="BX2058" s="10"/>
      <c r="BY2058" s="23"/>
      <c r="BZ2058" s="23"/>
      <c r="CA2058" s="19" t="s">
        <v>15707</v>
      </c>
      <c r="CB2058" s="23"/>
      <c r="CC2058" s="23"/>
      <c r="CD2058" s="23"/>
      <c r="CE2058" s="23"/>
      <c r="CF2058" s="23"/>
      <c r="CG2058" s="23"/>
      <c r="CH2058" s="23"/>
      <c r="CI2058" s="23"/>
    </row>
    <row r="2059" spans="1:87" x14ac:dyDescent="0.3">
      <c r="A2059" s="9" t="s">
        <v>15708</v>
      </c>
      <c r="B2059" s="10" t="s">
        <v>15709</v>
      </c>
      <c r="C2059" s="11">
        <v>45927.770833333336</v>
      </c>
      <c r="D2059" s="12">
        <v>2.0833333333333332E-2</v>
      </c>
      <c r="E2059" s="11">
        <v>45927.791666666664</v>
      </c>
      <c r="F2059" s="10" t="s">
        <v>3511</v>
      </c>
      <c r="G2059" s="13" t="b">
        <v>0</v>
      </c>
      <c r="H2059" s="22" t="s">
        <v>3512</v>
      </c>
      <c r="I2059" s="10" t="s">
        <v>212</v>
      </c>
      <c r="J2059" s="13" t="b">
        <v>1</v>
      </c>
      <c r="K2059" s="13" t="b">
        <v>0</v>
      </c>
      <c r="L2059" s="10" t="s">
        <v>90</v>
      </c>
      <c r="M2059" s="10" t="s">
        <v>91</v>
      </c>
      <c r="N2059" s="10" t="s">
        <v>92</v>
      </c>
      <c r="O2059" s="19" t="s">
        <v>15710</v>
      </c>
      <c r="P2059" s="10"/>
      <c r="Q2059" s="10" t="s">
        <v>94</v>
      </c>
      <c r="R2059" s="10"/>
      <c r="S2059" s="19" t="s">
        <v>4252</v>
      </c>
      <c r="T2059" s="10"/>
      <c r="U2059" s="10" t="s">
        <v>3648</v>
      </c>
      <c r="V2059" s="10" t="s">
        <v>3609</v>
      </c>
      <c r="W2059" s="10" t="s">
        <v>3519</v>
      </c>
      <c r="X2059" s="10" t="s">
        <v>130</v>
      </c>
      <c r="Y2059" s="10" t="s">
        <v>130</v>
      </c>
      <c r="Z2059" s="10" t="s">
        <v>99</v>
      </c>
      <c r="AA2059" s="10" t="s">
        <v>131</v>
      </c>
      <c r="AB2059" s="10" t="s">
        <v>3520</v>
      </c>
      <c r="AC2059" s="10" t="s">
        <v>3521</v>
      </c>
      <c r="AD2059" s="10" t="s">
        <v>15711</v>
      </c>
      <c r="AE2059" s="10" t="s">
        <v>15712</v>
      </c>
      <c r="AF2059" s="15"/>
      <c r="AG2059" s="10"/>
      <c r="AH2059" s="10"/>
      <c r="AI2059" s="10"/>
      <c r="AJ2059" s="10"/>
      <c r="AK2059" s="10" t="s">
        <v>102</v>
      </c>
      <c r="AL2059" s="10"/>
      <c r="AM2059" s="10"/>
      <c r="AN2059" s="10"/>
      <c r="AO2059" s="13" t="b">
        <v>0</v>
      </c>
      <c r="AP2059" s="22" t="s">
        <v>104</v>
      </c>
      <c r="AQ2059" s="10">
        <f ca="1">IFERROR(__xludf.DUMMYFUNCTION("""COMPUTED_VALUE"""),4596463)</f>
        <v>4596463</v>
      </c>
      <c r="AR2059" s="17">
        <v>27047</v>
      </c>
      <c r="AS2059" s="17">
        <v>20869</v>
      </c>
      <c r="AT2059" s="17">
        <v>101304.25</v>
      </c>
      <c r="AU2059" s="17">
        <v>119.2</v>
      </c>
      <c r="AV2059" s="17">
        <v>36.450000000000003</v>
      </c>
      <c r="AW2059" s="10" t="s">
        <v>105</v>
      </c>
      <c r="AX2059" s="17">
        <v>10576</v>
      </c>
      <c r="AY2059" s="18">
        <v>4.8542934496142607</v>
      </c>
      <c r="AZ2059" s="10"/>
      <c r="BA2059" s="20" t="b">
        <v>0</v>
      </c>
      <c r="BB2059" s="10"/>
      <c r="BC2059" s="17">
        <v>27047</v>
      </c>
      <c r="BD2059" s="17">
        <v>20869</v>
      </c>
      <c r="BE2059" s="17">
        <v>101304.25</v>
      </c>
      <c r="BF2059" s="17">
        <v>36.450000000000003</v>
      </c>
      <c r="BG2059" s="11">
        <f ca="1">IFERROR(__xludf.DUMMYFUNCTION("""COMPUTED_VALUE"""),45927.7708333333)</f>
        <v>45927.770833333299</v>
      </c>
      <c r="BH2059" s="17" t="s">
        <v>105</v>
      </c>
      <c r="BI2059" s="17"/>
      <c r="BJ2059" s="15"/>
      <c r="BK2059" s="15"/>
      <c r="BL2059" s="13" t="b">
        <v>0</v>
      </c>
      <c r="BM2059" s="10"/>
      <c r="BN2059" s="10" t="s">
        <v>197</v>
      </c>
      <c r="BO2059" s="11">
        <v>45917.613194444442</v>
      </c>
      <c r="BP2059" s="11">
        <v>45917.613703703704</v>
      </c>
      <c r="BQ2059" s="15">
        <v>45923.817858796298</v>
      </c>
      <c r="BR2059" s="15">
        <v>45925.36105324074</v>
      </c>
      <c r="BS2059" s="10" t="s">
        <v>197</v>
      </c>
      <c r="BT2059" s="10"/>
      <c r="BU2059" s="10"/>
      <c r="BV2059" s="10"/>
      <c r="BW2059" s="10"/>
      <c r="BX2059" s="10"/>
      <c r="BY2059" s="23"/>
      <c r="BZ2059" s="23"/>
      <c r="CA2059" s="19" t="s">
        <v>15713</v>
      </c>
      <c r="CB2059" s="23"/>
      <c r="CC2059" s="23"/>
      <c r="CD2059" s="23"/>
      <c r="CE2059" s="23"/>
      <c r="CF2059" s="23"/>
      <c r="CG2059" s="23"/>
      <c r="CH2059" s="23"/>
      <c r="CI2059" s="23"/>
    </row>
    <row r="2060" spans="1:87" x14ac:dyDescent="0.3">
      <c r="A2060" s="9" t="s">
        <v>15714</v>
      </c>
      <c r="B2060" s="10" t="s">
        <v>15715</v>
      </c>
      <c r="C2060" s="11">
        <v>45928.770833333336</v>
      </c>
      <c r="D2060" s="12">
        <v>2.0833333333333332E-2</v>
      </c>
      <c r="E2060" s="11">
        <v>45928.791666666664</v>
      </c>
      <c r="F2060" s="10" t="s">
        <v>3511</v>
      </c>
      <c r="G2060" s="13" t="b">
        <v>0</v>
      </c>
      <c r="H2060" s="22" t="s">
        <v>3512</v>
      </c>
      <c r="I2060" s="10" t="s">
        <v>212</v>
      </c>
      <c r="J2060" s="13" t="b">
        <v>1</v>
      </c>
      <c r="K2060" s="13" t="b">
        <v>0</v>
      </c>
      <c r="L2060" s="10" t="s">
        <v>90</v>
      </c>
      <c r="M2060" s="10" t="s">
        <v>91</v>
      </c>
      <c r="N2060" s="10" t="s">
        <v>92</v>
      </c>
      <c r="O2060" s="19" t="s">
        <v>15716</v>
      </c>
      <c r="P2060" s="10"/>
      <c r="Q2060" s="10" t="s">
        <v>94</v>
      </c>
      <c r="R2060" s="10"/>
      <c r="S2060" s="19" t="s">
        <v>15717</v>
      </c>
      <c r="T2060" s="10"/>
      <c r="U2060" s="10" t="s">
        <v>3517</v>
      </c>
      <c r="V2060" s="10" t="s">
        <v>3647</v>
      </c>
      <c r="W2060" s="10" t="s">
        <v>3519</v>
      </c>
      <c r="X2060" s="10" t="s">
        <v>130</v>
      </c>
      <c r="Y2060" s="10" t="s">
        <v>130</v>
      </c>
      <c r="Z2060" s="10" t="s">
        <v>99</v>
      </c>
      <c r="AA2060" s="10" t="s">
        <v>131</v>
      </c>
      <c r="AB2060" s="10" t="s">
        <v>3520</v>
      </c>
      <c r="AC2060" s="10" t="s">
        <v>3521</v>
      </c>
      <c r="AD2060" s="10" t="s">
        <v>4283</v>
      </c>
      <c r="AE2060" s="10" t="s">
        <v>15718</v>
      </c>
      <c r="AF2060" s="15"/>
      <c r="AG2060" s="10"/>
      <c r="AH2060" s="10"/>
      <c r="AI2060" s="10"/>
      <c r="AJ2060" s="10"/>
      <c r="AK2060" s="10" t="s">
        <v>102</v>
      </c>
      <c r="AL2060" s="10"/>
      <c r="AM2060" s="10"/>
      <c r="AN2060" s="10"/>
      <c r="AO2060" s="13" t="b">
        <v>0</v>
      </c>
      <c r="AP2060" s="22" t="s">
        <v>104</v>
      </c>
      <c r="AQ2060" s="10">
        <f ca="1">IFERROR(__xludf.DUMMYFUNCTION("""COMPUTED_VALUE"""),4596521)</f>
        <v>4596521</v>
      </c>
      <c r="AR2060" s="17">
        <v>20907</v>
      </c>
      <c r="AS2060" s="17">
        <v>16437</v>
      </c>
      <c r="AT2060" s="17">
        <v>93728.25</v>
      </c>
      <c r="AU2060" s="17">
        <v>64.75</v>
      </c>
      <c r="AV2060" s="17">
        <v>25.2</v>
      </c>
      <c r="AW2060" s="10" t="s">
        <v>105</v>
      </c>
      <c r="AX2060" s="17">
        <v>9164</v>
      </c>
      <c r="AY2060" s="18">
        <v>5.7022723124657784</v>
      </c>
      <c r="AZ2060" s="10"/>
      <c r="BA2060" s="20" t="b">
        <v>0</v>
      </c>
      <c r="BB2060" s="10"/>
      <c r="BC2060" s="17">
        <v>20907</v>
      </c>
      <c r="BD2060" s="17">
        <v>16437</v>
      </c>
      <c r="BE2060" s="17">
        <v>93728.25</v>
      </c>
      <c r="BF2060" s="17">
        <v>25.2</v>
      </c>
      <c r="BG2060" s="11">
        <f ca="1">IFERROR(__xludf.DUMMYFUNCTION("""COMPUTED_VALUE"""),45928.7708333333)</f>
        <v>45928.770833333299</v>
      </c>
      <c r="BH2060" s="17" t="s">
        <v>105</v>
      </c>
      <c r="BI2060" s="17"/>
      <c r="BJ2060" s="15"/>
      <c r="BK2060" s="15"/>
      <c r="BL2060" s="13" t="b">
        <v>0</v>
      </c>
      <c r="BM2060" s="10"/>
      <c r="BN2060" s="10" t="s">
        <v>455</v>
      </c>
      <c r="BO2060" s="11">
        <v>45917.613888888889</v>
      </c>
      <c r="BP2060" s="11">
        <v>45917.61440972222</v>
      </c>
      <c r="BQ2060" s="15">
        <v>45923.818043981482</v>
      </c>
      <c r="BR2060" s="15">
        <v>45925.435613425929</v>
      </c>
      <c r="BS2060" s="10" t="s">
        <v>455</v>
      </c>
      <c r="BT2060" s="10"/>
      <c r="BU2060" s="10"/>
      <c r="BV2060" s="10"/>
      <c r="BW2060" s="10"/>
      <c r="BX2060" s="10"/>
      <c r="BY2060" s="23"/>
      <c r="BZ2060" s="23"/>
      <c r="CA2060" s="19" t="s">
        <v>15719</v>
      </c>
      <c r="CB2060" s="23"/>
      <c r="CC2060" s="23"/>
      <c r="CD2060" s="23"/>
      <c r="CE2060" s="23"/>
      <c r="CF2060" s="23"/>
      <c r="CG2060" s="23"/>
      <c r="CH2060" s="23"/>
      <c r="CI2060" s="23"/>
    </row>
    <row r="2061" spans="1:87" x14ac:dyDescent="0.3">
      <c r="A2061" s="9" t="s">
        <v>15720</v>
      </c>
      <c r="B2061" s="10" t="s">
        <v>15721</v>
      </c>
      <c r="C2061" s="11">
        <v>45926.041666666664</v>
      </c>
      <c r="D2061" s="12">
        <v>8.3333333333333329E-2</v>
      </c>
      <c r="E2061" s="11">
        <v>45926.125</v>
      </c>
      <c r="F2061" s="10" t="s">
        <v>9129</v>
      </c>
      <c r="G2061" s="13" t="b">
        <v>0</v>
      </c>
      <c r="H2061" s="22" t="s">
        <v>9146</v>
      </c>
      <c r="I2061" s="10" t="s">
        <v>9131</v>
      </c>
      <c r="J2061" s="13" t="b">
        <v>0</v>
      </c>
      <c r="K2061" s="13" t="b">
        <v>1</v>
      </c>
      <c r="L2061" s="10" t="s">
        <v>124</v>
      </c>
      <c r="M2061" s="10" t="s">
        <v>91</v>
      </c>
      <c r="N2061" s="10" t="s">
        <v>265</v>
      </c>
      <c r="O2061" s="19" t="s">
        <v>15722</v>
      </c>
      <c r="P2061" s="10"/>
      <c r="Q2061" s="10" t="s">
        <v>126</v>
      </c>
      <c r="R2061" s="10"/>
      <c r="S2061" s="19" t="s">
        <v>15723</v>
      </c>
      <c r="T2061" s="10"/>
      <c r="U2061" s="10" t="s">
        <v>9149</v>
      </c>
      <c r="V2061" s="10" t="s">
        <v>14964</v>
      </c>
      <c r="W2061" s="10" t="s">
        <v>9136</v>
      </c>
      <c r="X2061" s="10" t="s">
        <v>130</v>
      </c>
      <c r="Y2061" s="10" t="s">
        <v>130</v>
      </c>
      <c r="Z2061" s="10" t="s">
        <v>99</v>
      </c>
      <c r="AA2061" s="10" t="s">
        <v>131</v>
      </c>
      <c r="AB2061" s="10" t="s">
        <v>9137</v>
      </c>
      <c r="AC2061" s="10" t="s">
        <v>9138</v>
      </c>
      <c r="AD2061" s="10" t="s">
        <v>15724</v>
      </c>
      <c r="AE2061" s="10" t="s">
        <v>15725</v>
      </c>
      <c r="AF2061" s="15"/>
      <c r="AG2061" s="10"/>
      <c r="AH2061" s="10"/>
      <c r="AI2061" s="10"/>
      <c r="AJ2061" s="10"/>
      <c r="AK2061" s="10" t="s">
        <v>102</v>
      </c>
      <c r="AL2061" s="10" t="s">
        <v>156</v>
      </c>
      <c r="AM2061" s="10"/>
      <c r="AN2061" s="10"/>
      <c r="AO2061" s="13" t="b">
        <v>0</v>
      </c>
      <c r="AP2061" s="22" t="s">
        <v>104</v>
      </c>
      <c r="AQ2061" s="10">
        <f ca="1">IFERROR(__xludf.DUMMYFUNCTION("""COMPUTED_VALUE"""),4594601)</f>
        <v>4594601</v>
      </c>
      <c r="AR2061" s="17">
        <v>5412</v>
      </c>
      <c r="AS2061" s="17">
        <v>4625</v>
      </c>
      <c r="AT2061" s="17">
        <v>54113.5</v>
      </c>
      <c r="AU2061" s="17">
        <v>12.2</v>
      </c>
      <c r="AV2061" s="17">
        <v>1.2</v>
      </c>
      <c r="AW2061" s="10" t="s">
        <v>105</v>
      </c>
      <c r="AX2061" s="17">
        <v>1513</v>
      </c>
      <c r="AY2061" s="18">
        <v>11.700216216216216</v>
      </c>
      <c r="AZ2061" s="10"/>
      <c r="BA2061" s="20" t="b">
        <v>0</v>
      </c>
      <c r="BB2061" s="10"/>
      <c r="BC2061" s="17">
        <v>5412</v>
      </c>
      <c r="BD2061" s="17">
        <v>4625</v>
      </c>
      <c r="BE2061" s="17">
        <v>54113.5</v>
      </c>
      <c r="BF2061" s="17">
        <v>1.2</v>
      </c>
      <c r="BG2061" s="11">
        <f ca="1">IFERROR(__xludf.DUMMYFUNCTION("""COMPUTED_VALUE"""),45926.0416666666)</f>
        <v>45926.041666666599</v>
      </c>
      <c r="BH2061" s="17" t="s">
        <v>105</v>
      </c>
      <c r="BI2061" s="17"/>
      <c r="BJ2061" s="15"/>
      <c r="BK2061" s="15"/>
      <c r="BL2061" s="13" t="b">
        <v>0</v>
      </c>
      <c r="BM2061" s="10"/>
      <c r="BN2061" s="10" t="s">
        <v>197</v>
      </c>
      <c r="BO2061" s="11">
        <v>45917.65</v>
      </c>
      <c r="BP2061" s="11">
        <v>45917.650706018518</v>
      </c>
      <c r="BQ2061" s="15">
        <v>45923.80127314815</v>
      </c>
      <c r="BR2061" s="15">
        <v>45924.345243055555</v>
      </c>
      <c r="BS2061" s="10" t="s">
        <v>197</v>
      </c>
      <c r="BT2061" s="10" t="s">
        <v>99</v>
      </c>
      <c r="BU2061" s="10" t="s">
        <v>730</v>
      </c>
      <c r="BV2061" s="10"/>
      <c r="BW2061" s="10"/>
      <c r="BX2061" s="10"/>
      <c r="BY2061" s="23"/>
      <c r="BZ2061" s="23"/>
      <c r="CA2061" s="19" t="s">
        <v>15726</v>
      </c>
      <c r="CB2061" s="23"/>
      <c r="CC2061" s="23"/>
      <c r="CD2061" s="19" t="s">
        <v>15727</v>
      </c>
      <c r="CE2061" s="23"/>
      <c r="CF2061" s="23"/>
      <c r="CG2061" s="23"/>
      <c r="CH2061" s="23"/>
      <c r="CI2061" s="23"/>
    </row>
    <row r="2062" spans="1:87" x14ac:dyDescent="0.3">
      <c r="A2062" s="9" t="s">
        <v>15728</v>
      </c>
      <c r="B2062" s="10" t="s">
        <v>15729</v>
      </c>
      <c r="C2062" s="11">
        <v>45927.041666666664</v>
      </c>
      <c r="D2062" s="12">
        <v>8.3333333333333329E-2</v>
      </c>
      <c r="E2062" s="11">
        <v>45927.125</v>
      </c>
      <c r="F2062" s="10" t="s">
        <v>9129</v>
      </c>
      <c r="G2062" s="13" t="b">
        <v>0</v>
      </c>
      <c r="H2062" s="22"/>
      <c r="I2062" s="10" t="s">
        <v>9131</v>
      </c>
      <c r="J2062" s="13" t="b">
        <v>0</v>
      </c>
      <c r="K2062" s="13" t="b">
        <v>1</v>
      </c>
      <c r="L2062" s="10" t="s">
        <v>124</v>
      </c>
      <c r="M2062" s="10" t="s">
        <v>91</v>
      </c>
      <c r="N2062" s="10" t="s">
        <v>265</v>
      </c>
      <c r="O2062" s="10"/>
      <c r="P2062" s="10"/>
      <c r="Q2062" s="10" t="s">
        <v>126</v>
      </c>
      <c r="R2062" s="10"/>
      <c r="S2062" s="19" t="s">
        <v>15730</v>
      </c>
      <c r="T2062" s="10"/>
      <c r="U2062" s="10" t="s">
        <v>9134</v>
      </c>
      <c r="V2062" s="10" t="s">
        <v>9160</v>
      </c>
      <c r="W2062" s="10" t="s">
        <v>9136</v>
      </c>
      <c r="X2062" s="10" t="s">
        <v>130</v>
      </c>
      <c r="Y2062" s="10" t="s">
        <v>130</v>
      </c>
      <c r="Z2062" s="10" t="s">
        <v>99</v>
      </c>
      <c r="AA2062" s="10" t="s">
        <v>131</v>
      </c>
      <c r="AB2062" s="10" t="s">
        <v>9137</v>
      </c>
      <c r="AC2062" s="10" t="s">
        <v>9138</v>
      </c>
      <c r="AD2062" s="10" t="s">
        <v>15731</v>
      </c>
      <c r="AE2062" s="10" t="s">
        <v>15732</v>
      </c>
      <c r="AF2062" s="15"/>
      <c r="AG2062" s="10"/>
      <c r="AH2062" s="10"/>
      <c r="AI2062" s="10"/>
      <c r="AJ2062" s="10"/>
      <c r="AK2062" s="10" t="s">
        <v>256</v>
      </c>
      <c r="AL2062" s="10" t="s">
        <v>156</v>
      </c>
      <c r="AM2062" s="10"/>
      <c r="AN2062" s="10"/>
      <c r="AO2062" s="13" t="b">
        <v>0</v>
      </c>
      <c r="AP2062" s="22" t="s">
        <v>104</v>
      </c>
      <c r="AQ2062" s="10"/>
      <c r="AR2062" s="17"/>
      <c r="AS2062" s="17"/>
      <c r="AT2062" s="17"/>
      <c r="AU2062" s="17"/>
      <c r="AV2062" s="17"/>
      <c r="AW2062" s="10"/>
      <c r="AX2062" s="17"/>
      <c r="AY2062" s="18" t="s">
        <v>257</v>
      </c>
      <c r="AZ2062" s="10"/>
      <c r="BA2062" s="20" t="b">
        <v>0</v>
      </c>
      <c r="BB2062" s="10"/>
      <c r="BC2062" s="17" t="s">
        <v>257</v>
      </c>
      <c r="BD2062" s="17" t="s">
        <v>257</v>
      </c>
      <c r="BE2062" s="17" t="s">
        <v>257</v>
      </c>
      <c r="BF2062" s="17" t="s">
        <v>257</v>
      </c>
      <c r="BG2062" s="11">
        <f ca="1">IFERROR(__xludf.DUMMYFUNCTION("""COMPUTED_VALUE"""),45927.0416666666)</f>
        <v>45927.041666666599</v>
      </c>
      <c r="BH2062" s="17"/>
      <c r="BI2062" s="17"/>
      <c r="BJ2062" s="15"/>
      <c r="BK2062" s="15"/>
      <c r="BL2062" s="13" t="b">
        <v>0</v>
      </c>
      <c r="BM2062" s="10"/>
      <c r="BN2062" s="10" t="s">
        <v>351</v>
      </c>
      <c r="BO2062" s="11">
        <v>45917.651388888888</v>
      </c>
      <c r="BP2062" s="11">
        <v>45922.90824074074</v>
      </c>
      <c r="BQ2062" s="15">
        <v>45923.801481481481</v>
      </c>
      <c r="BR2062" s="15"/>
      <c r="BS2062" s="10"/>
      <c r="BT2062" s="10" t="s">
        <v>279</v>
      </c>
      <c r="BU2062" s="10"/>
      <c r="BV2062" s="10"/>
      <c r="BW2062" s="10"/>
      <c r="BX2062" s="10"/>
      <c r="BY2062" s="23"/>
      <c r="BZ2062" s="23"/>
      <c r="CA2062" s="19" t="s">
        <v>15733</v>
      </c>
      <c r="CB2062" s="23"/>
      <c r="CC2062" s="23"/>
      <c r="CD2062" s="19" t="s">
        <v>15734</v>
      </c>
      <c r="CE2062" s="23"/>
      <c r="CF2062" s="23"/>
      <c r="CG2062" s="23"/>
      <c r="CH2062" s="23"/>
      <c r="CI2062" s="23"/>
    </row>
    <row r="2063" spans="1:87" x14ac:dyDescent="0.3">
      <c r="A2063" s="9" t="s">
        <v>15735</v>
      </c>
      <c r="B2063" s="10" t="s">
        <v>15736</v>
      </c>
      <c r="C2063" s="11">
        <v>45928.041666666664</v>
      </c>
      <c r="D2063" s="12">
        <v>8.3333333333333329E-2</v>
      </c>
      <c r="E2063" s="11">
        <v>45928.125</v>
      </c>
      <c r="F2063" s="10" t="s">
        <v>9129</v>
      </c>
      <c r="G2063" s="13" t="b">
        <v>0</v>
      </c>
      <c r="H2063" s="22" t="s">
        <v>9146</v>
      </c>
      <c r="I2063" s="10" t="s">
        <v>9131</v>
      </c>
      <c r="J2063" s="13" t="b">
        <v>0</v>
      </c>
      <c r="K2063" s="13" t="b">
        <v>1</v>
      </c>
      <c r="L2063" s="10" t="s">
        <v>124</v>
      </c>
      <c r="M2063" s="10" t="s">
        <v>91</v>
      </c>
      <c r="N2063" s="10" t="s">
        <v>265</v>
      </c>
      <c r="O2063" s="19" t="s">
        <v>15737</v>
      </c>
      <c r="P2063" s="10"/>
      <c r="Q2063" s="10" t="s">
        <v>94</v>
      </c>
      <c r="R2063" s="10"/>
      <c r="S2063" s="19" t="s">
        <v>15738</v>
      </c>
      <c r="T2063" s="10"/>
      <c r="U2063" s="10" t="s">
        <v>9150</v>
      </c>
      <c r="V2063" s="10" t="s">
        <v>9135</v>
      </c>
      <c r="W2063" s="10" t="s">
        <v>9136</v>
      </c>
      <c r="X2063" s="10" t="s">
        <v>130</v>
      </c>
      <c r="Y2063" s="10" t="s">
        <v>130</v>
      </c>
      <c r="Z2063" s="10" t="s">
        <v>99</v>
      </c>
      <c r="AA2063" s="10" t="s">
        <v>131</v>
      </c>
      <c r="AB2063" s="10" t="s">
        <v>9137</v>
      </c>
      <c r="AC2063" s="10" t="s">
        <v>9138</v>
      </c>
      <c r="AD2063" s="10" t="s">
        <v>15739</v>
      </c>
      <c r="AE2063" s="10" t="s">
        <v>15740</v>
      </c>
      <c r="AF2063" s="15"/>
      <c r="AG2063" s="10"/>
      <c r="AH2063" s="10"/>
      <c r="AI2063" s="10"/>
      <c r="AJ2063" s="10"/>
      <c r="AK2063" s="10" t="s">
        <v>102</v>
      </c>
      <c r="AL2063" s="10" t="s">
        <v>156</v>
      </c>
      <c r="AM2063" s="10"/>
      <c r="AN2063" s="10"/>
      <c r="AO2063" s="13" t="b">
        <v>0</v>
      </c>
      <c r="AP2063" s="22" t="s">
        <v>104</v>
      </c>
      <c r="AQ2063" s="10">
        <f ca="1">IFERROR(__xludf.DUMMYFUNCTION("""COMPUTED_VALUE"""),4599296)</f>
        <v>4599296</v>
      </c>
      <c r="AR2063" s="17">
        <v>1853</v>
      </c>
      <c r="AS2063" s="17">
        <v>1589</v>
      </c>
      <c r="AT2063" s="17">
        <v>15338.25</v>
      </c>
      <c r="AU2063" s="17">
        <v>0</v>
      </c>
      <c r="AV2063" s="17">
        <v>0</v>
      </c>
      <c r="AW2063" s="10" t="s">
        <v>105</v>
      </c>
      <c r="AX2063" s="17">
        <v>390</v>
      </c>
      <c r="AY2063" s="18">
        <v>9.6527690371302715</v>
      </c>
      <c r="AZ2063" s="10"/>
      <c r="BA2063" s="20" t="b">
        <v>0</v>
      </c>
      <c r="BB2063" s="10"/>
      <c r="BC2063" s="17">
        <v>1853</v>
      </c>
      <c r="BD2063" s="17">
        <v>1589</v>
      </c>
      <c r="BE2063" s="17">
        <v>15338.25</v>
      </c>
      <c r="BF2063" s="17">
        <v>0</v>
      </c>
      <c r="BG2063" s="11">
        <f ca="1">IFERROR(__xludf.DUMMYFUNCTION("""COMPUTED_VALUE"""),45928.0416666666)</f>
        <v>45928.041666666599</v>
      </c>
      <c r="BH2063" s="17" t="s">
        <v>105</v>
      </c>
      <c r="BI2063" s="17"/>
      <c r="BJ2063" s="15"/>
      <c r="BK2063" s="15"/>
      <c r="BL2063" s="13" t="b">
        <v>0</v>
      </c>
      <c r="BM2063" s="10"/>
      <c r="BN2063" s="10" t="s">
        <v>4030</v>
      </c>
      <c r="BO2063" s="11">
        <v>45917.652083333334</v>
      </c>
      <c r="BP2063" s="11">
        <v>45917.652199074073</v>
      </c>
      <c r="BQ2063" s="15">
        <v>45923.801689814813</v>
      </c>
      <c r="BR2063" s="15">
        <v>45926.751180555555</v>
      </c>
      <c r="BS2063" s="10" t="s">
        <v>4030</v>
      </c>
      <c r="BT2063" s="10"/>
      <c r="BU2063" s="10"/>
      <c r="BV2063" s="10"/>
      <c r="BW2063" s="10"/>
      <c r="BX2063" s="10"/>
      <c r="BY2063" s="23"/>
      <c r="BZ2063" s="23"/>
      <c r="CA2063" s="19" t="s">
        <v>15741</v>
      </c>
      <c r="CB2063" s="23"/>
      <c r="CC2063" s="23"/>
      <c r="CD2063" s="23"/>
      <c r="CE2063" s="23"/>
      <c r="CF2063" s="23"/>
      <c r="CG2063" s="23"/>
      <c r="CH2063" s="23"/>
      <c r="CI2063" s="23"/>
    </row>
    <row r="2064" spans="1:87" x14ac:dyDescent="0.3">
      <c r="A2064" s="9" t="s">
        <v>15742</v>
      </c>
      <c r="B2064" s="10" t="s">
        <v>15743</v>
      </c>
      <c r="C2064" s="11">
        <v>45928.9375</v>
      </c>
      <c r="D2064" s="12">
        <v>8.3333333333333329E-2</v>
      </c>
      <c r="E2064" s="11">
        <v>45929.020833333336</v>
      </c>
      <c r="F2064" s="10" t="s">
        <v>262</v>
      </c>
      <c r="G2064" s="13" t="b">
        <v>0</v>
      </c>
      <c r="H2064" s="22" t="s">
        <v>305</v>
      </c>
      <c r="I2064" s="10" t="s">
        <v>264</v>
      </c>
      <c r="J2064" s="13" t="b">
        <v>0</v>
      </c>
      <c r="K2064" s="13" t="b">
        <v>1</v>
      </c>
      <c r="L2064" s="10" t="s">
        <v>124</v>
      </c>
      <c r="M2064" s="10" t="s">
        <v>91</v>
      </c>
      <c r="N2064" s="10" t="s">
        <v>265</v>
      </c>
      <c r="O2064" s="19" t="s">
        <v>15744</v>
      </c>
      <c r="P2064" s="10"/>
      <c r="Q2064" s="10" t="s">
        <v>94</v>
      </c>
      <c r="R2064" s="10"/>
      <c r="S2064" s="19" t="s">
        <v>916</v>
      </c>
      <c r="T2064" s="10"/>
      <c r="U2064" s="10" t="s">
        <v>293</v>
      </c>
      <c r="V2064" s="10" t="s">
        <v>362</v>
      </c>
      <c r="W2064" s="10" t="s">
        <v>272</v>
      </c>
      <c r="X2064" s="10" t="s">
        <v>130</v>
      </c>
      <c r="Y2064" s="10" t="s">
        <v>130</v>
      </c>
      <c r="Z2064" s="10" t="s">
        <v>99</v>
      </c>
      <c r="AA2064" s="10" t="s">
        <v>131</v>
      </c>
      <c r="AB2064" s="10" t="s">
        <v>273</v>
      </c>
      <c r="AC2064" s="10" t="s">
        <v>274</v>
      </c>
      <c r="AD2064" s="10" t="s">
        <v>917</v>
      </c>
      <c r="AE2064" s="10" t="s">
        <v>15745</v>
      </c>
      <c r="AF2064" s="15"/>
      <c r="AG2064" s="10"/>
      <c r="AH2064" s="10"/>
      <c r="AI2064" s="10"/>
      <c r="AJ2064" s="10"/>
      <c r="AK2064" s="10" t="s">
        <v>102</v>
      </c>
      <c r="AL2064" s="10" t="s">
        <v>176</v>
      </c>
      <c r="AM2064" s="10"/>
      <c r="AN2064" s="10"/>
      <c r="AO2064" s="13" t="b">
        <v>0</v>
      </c>
      <c r="AP2064" s="22" t="s">
        <v>104</v>
      </c>
      <c r="AQ2064" s="10">
        <f ca="1">IFERROR(__xludf.DUMMYFUNCTION("""COMPUTED_VALUE"""),4606676)</f>
        <v>4606676</v>
      </c>
      <c r="AR2064" s="21">
        <v>4346</v>
      </c>
      <c r="AS2064" s="21">
        <v>3963</v>
      </c>
      <c r="AT2064" s="21">
        <v>17642.5</v>
      </c>
      <c r="AU2064" s="21">
        <v>6.05</v>
      </c>
      <c r="AV2064" s="21">
        <v>1.95</v>
      </c>
      <c r="AW2064" s="22" t="s">
        <v>105</v>
      </c>
      <c r="AX2064" s="21">
        <v>1205</v>
      </c>
      <c r="AY2064" s="18">
        <v>4.4518041887458999</v>
      </c>
      <c r="AZ2064" s="10" t="s">
        <v>148</v>
      </c>
      <c r="BA2064" s="20" t="b">
        <v>0</v>
      </c>
      <c r="BB2064" s="10"/>
      <c r="BC2064" s="17">
        <v>4346</v>
      </c>
      <c r="BD2064" s="17">
        <v>3963</v>
      </c>
      <c r="BE2064" s="17">
        <v>17642.5</v>
      </c>
      <c r="BF2064" s="17">
        <v>1.95</v>
      </c>
      <c r="BG2064" s="11">
        <f ca="1">IFERROR(__xludf.DUMMYFUNCTION("""COMPUTED_VALUE"""),45928.9375)</f>
        <v>45928.9375</v>
      </c>
      <c r="BH2064" s="17" t="s">
        <v>105</v>
      </c>
      <c r="BI2064" s="17"/>
      <c r="BJ2064" s="15"/>
      <c r="BK2064" s="15"/>
      <c r="BL2064" s="13" t="b">
        <v>0</v>
      </c>
      <c r="BM2064" s="10"/>
      <c r="BN2064" s="10" t="s">
        <v>455</v>
      </c>
      <c r="BO2064" s="11">
        <v>45919.022916666669</v>
      </c>
      <c r="BP2064" s="11">
        <v>45919.023194444446</v>
      </c>
      <c r="BQ2064" s="15">
        <v>45925.683391203704</v>
      </c>
      <c r="BR2064" s="15">
        <v>45925.7187037037</v>
      </c>
      <c r="BS2064" s="10" t="s">
        <v>455</v>
      </c>
      <c r="BT2064" s="10"/>
      <c r="BU2064" s="10"/>
      <c r="BV2064" s="10"/>
      <c r="BW2064" s="10"/>
      <c r="BX2064" s="10"/>
      <c r="BY2064" s="23"/>
      <c r="BZ2064" s="23"/>
      <c r="CA2064" s="19" t="s">
        <v>921</v>
      </c>
      <c r="CB2064" s="23"/>
      <c r="CC2064" s="23"/>
      <c r="CD2064" s="23"/>
      <c r="CE2064" s="23"/>
      <c r="CF2064" s="23"/>
      <c r="CG2064" s="23"/>
      <c r="CH2064" s="23"/>
      <c r="CI2064" s="23"/>
    </row>
    <row r="2065" spans="1:87" x14ac:dyDescent="0.3">
      <c r="A2065" s="9" t="s">
        <v>15746</v>
      </c>
      <c r="B2065" s="10" t="s">
        <v>15747</v>
      </c>
      <c r="C2065" s="11">
        <v>45928.75</v>
      </c>
      <c r="D2065" s="12">
        <v>8.3333333333333329E-2</v>
      </c>
      <c r="E2065" s="11">
        <v>45928.833333333336</v>
      </c>
      <c r="F2065" s="10" t="s">
        <v>15254</v>
      </c>
      <c r="G2065" s="13" t="b">
        <v>0</v>
      </c>
      <c r="H2065" s="22" t="s">
        <v>3564</v>
      </c>
      <c r="I2065" s="10" t="s">
        <v>89</v>
      </c>
      <c r="J2065" s="13" t="b">
        <v>0</v>
      </c>
      <c r="K2065" s="13" t="b">
        <v>1</v>
      </c>
      <c r="L2065" s="10" t="s">
        <v>124</v>
      </c>
      <c r="M2065" s="10" t="s">
        <v>91</v>
      </c>
      <c r="N2065" s="10" t="s">
        <v>265</v>
      </c>
      <c r="O2065" s="19" t="s">
        <v>15748</v>
      </c>
      <c r="P2065" s="10"/>
      <c r="Q2065" s="10" t="s">
        <v>126</v>
      </c>
      <c r="R2065" s="10"/>
      <c r="S2065" s="19" t="s">
        <v>15749</v>
      </c>
      <c r="T2065" s="19" t="s">
        <v>15682</v>
      </c>
      <c r="U2065" s="10" t="s">
        <v>15750</v>
      </c>
      <c r="V2065" s="10" t="s">
        <v>15258</v>
      </c>
      <c r="W2065" s="10" t="s">
        <v>15260</v>
      </c>
      <c r="X2065" s="10" t="s">
        <v>130</v>
      </c>
      <c r="Y2065" s="10" t="s">
        <v>130</v>
      </c>
      <c r="Z2065" s="10" t="s">
        <v>99</v>
      </c>
      <c r="AA2065" s="10" t="s">
        <v>131</v>
      </c>
      <c r="AB2065" s="10" t="s">
        <v>15261</v>
      </c>
      <c r="AC2065" s="10" t="s">
        <v>274</v>
      </c>
      <c r="AD2065" s="10" t="s">
        <v>1096</v>
      </c>
      <c r="AE2065" s="10" t="s">
        <v>15751</v>
      </c>
      <c r="AF2065" s="15"/>
      <c r="AG2065" s="10"/>
      <c r="AH2065" s="10"/>
      <c r="AI2065" s="10"/>
      <c r="AJ2065" s="10"/>
      <c r="AK2065" s="10" t="s">
        <v>256</v>
      </c>
      <c r="AL2065" s="10" t="s">
        <v>156</v>
      </c>
      <c r="AM2065" s="10"/>
      <c r="AN2065" s="10"/>
      <c r="AO2065" s="13" t="b">
        <v>0</v>
      </c>
      <c r="AP2065" s="22" t="s">
        <v>135</v>
      </c>
      <c r="AQ2065" s="10">
        <f ca="1">IFERROR(__xludf.DUMMYFUNCTION("""COMPUTED_VALUE"""),4603148)</f>
        <v>4603148</v>
      </c>
      <c r="AR2065" s="17"/>
      <c r="AS2065" s="17"/>
      <c r="AT2065" s="17"/>
      <c r="AU2065" s="17"/>
      <c r="AV2065" s="17"/>
      <c r="AW2065" s="10"/>
      <c r="AX2065" s="17"/>
      <c r="AY2065" s="18" t="s">
        <v>257</v>
      </c>
      <c r="AZ2065" s="10" t="s">
        <v>148</v>
      </c>
      <c r="BA2065" s="20" t="b">
        <v>0</v>
      </c>
      <c r="BB2065" s="10"/>
      <c r="BC2065" s="17" t="s">
        <v>257</v>
      </c>
      <c r="BD2065" s="17" t="s">
        <v>257</v>
      </c>
      <c r="BE2065" s="17" t="s">
        <v>257</v>
      </c>
      <c r="BF2065" s="17" t="s">
        <v>257</v>
      </c>
      <c r="BG2065" s="11">
        <f ca="1">IFERROR(__xludf.DUMMYFUNCTION("""COMPUTED_VALUE"""),45928.75)</f>
        <v>45928.75</v>
      </c>
      <c r="BH2065" s="17"/>
      <c r="BI2065" s="17"/>
      <c r="BJ2065" s="15"/>
      <c r="BK2065" s="15"/>
      <c r="BL2065" s="13" t="b">
        <v>0</v>
      </c>
      <c r="BM2065" s="10"/>
      <c r="BN2065" s="10" t="s">
        <v>667</v>
      </c>
      <c r="BO2065" s="11">
        <v>45919.051388888889</v>
      </c>
      <c r="BP2065" s="11">
        <v>45927.89099537037</v>
      </c>
      <c r="BQ2065" s="15">
        <v>45926.764745370368</v>
      </c>
      <c r="BR2065" s="15">
        <v>45927.883425925924</v>
      </c>
      <c r="BS2065" s="10" t="s">
        <v>667</v>
      </c>
      <c r="BT2065" s="10" t="s">
        <v>99</v>
      </c>
      <c r="BU2065" s="10" t="s">
        <v>5081</v>
      </c>
      <c r="BV2065" s="10"/>
      <c r="BW2065" s="10"/>
      <c r="BX2065" s="10"/>
      <c r="BY2065" s="23"/>
      <c r="BZ2065" s="23"/>
      <c r="CA2065" s="19" t="s">
        <v>15752</v>
      </c>
      <c r="CB2065" s="19" t="s">
        <v>15753</v>
      </c>
      <c r="CC2065" s="23"/>
      <c r="CD2065" s="19" t="s">
        <v>15754</v>
      </c>
      <c r="CE2065" s="23"/>
      <c r="CF2065" s="23"/>
      <c r="CG2065" s="23"/>
      <c r="CH2065" s="23"/>
      <c r="CI2065" s="23"/>
    </row>
    <row r="2066" spans="1:87" x14ac:dyDescent="0.3">
      <c r="A2066" s="9" t="s">
        <v>15755</v>
      </c>
      <c r="B2066" s="10" t="s">
        <v>15756</v>
      </c>
      <c r="C2066" s="11">
        <v>45934.895833333336</v>
      </c>
      <c r="D2066" s="12">
        <v>8.3333333333333329E-2</v>
      </c>
      <c r="E2066" s="11">
        <v>45934.979166666664</v>
      </c>
      <c r="F2066" s="10" t="s">
        <v>3687</v>
      </c>
      <c r="G2066" s="13" t="b">
        <v>0</v>
      </c>
      <c r="H2066" s="22" t="s">
        <v>8464</v>
      </c>
      <c r="I2066" s="10" t="s">
        <v>89</v>
      </c>
      <c r="J2066" s="13" t="b">
        <v>0</v>
      </c>
      <c r="K2066" s="13" t="b">
        <v>1</v>
      </c>
      <c r="L2066" s="10" t="s">
        <v>124</v>
      </c>
      <c r="M2066" s="10" t="s">
        <v>91</v>
      </c>
      <c r="N2066" s="10" t="s">
        <v>92</v>
      </c>
      <c r="O2066" s="19" t="s">
        <v>15757</v>
      </c>
      <c r="P2066" s="10"/>
      <c r="Q2066" s="10" t="s">
        <v>126</v>
      </c>
      <c r="R2066" s="10"/>
      <c r="S2066" s="19" t="s">
        <v>15758</v>
      </c>
      <c r="T2066" s="10"/>
      <c r="U2066" s="10" t="s">
        <v>3705</v>
      </c>
      <c r="V2066" s="10" t="s">
        <v>3715</v>
      </c>
      <c r="W2066" s="10" t="s">
        <v>3692</v>
      </c>
      <c r="X2066" s="10" t="s">
        <v>130</v>
      </c>
      <c r="Y2066" s="10" t="s">
        <v>130</v>
      </c>
      <c r="Z2066" s="10" t="s">
        <v>99</v>
      </c>
      <c r="AA2066" s="10" t="s">
        <v>131</v>
      </c>
      <c r="AB2066" s="10" t="s">
        <v>3693</v>
      </c>
      <c r="AC2066" s="10" t="s">
        <v>3694</v>
      </c>
      <c r="AD2066" s="10" t="s">
        <v>15759</v>
      </c>
      <c r="AE2066" s="10" t="s">
        <v>15760</v>
      </c>
      <c r="AF2066" s="15"/>
      <c r="AG2066" s="10"/>
      <c r="AH2066" s="10"/>
      <c r="AI2066" s="10"/>
      <c r="AJ2066" s="10"/>
      <c r="AK2066" s="10" t="s">
        <v>102</v>
      </c>
      <c r="AL2066" s="10" t="s">
        <v>195</v>
      </c>
      <c r="AM2066" s="10"/>
      <c r="AN2066" s="10"/>
      <c r="AO2066" s="13" t="b">
        <v>0</v>
      </c>
      <c r="AP2066" s="22" t="s">
        <v>104</v>
      </c>
      <c r="AQ2066" s="10">
        <f ca="1">IFERROR(__xludf.DUMMYFUNCTION("""COMPUTED_VALUE"""),4614724)</f>
        <v>4614724</v>
      </c>
      <c r="AR2066" s="17">
        <v>10883</v>
      </c>
      <c r="AS2066" s="17">
        <v>8627</v>
      </c>
      <c r="AT2066" s="17">
        <v>106995.25</v>
      </c>
      <c r="AU2066" s="17">
        <v>37.15</v>
      </c>
      <c r="AV2066" s="17">
        <v>14.45</v>
      </c>
      <c r="AW2066" s="10" t="s">
        <v>105</v>
      </c>
      <c r="AX2066" s="17">
        <v>1956</v>
      </c>
      <c r="AY2066" s="18">
        <v>12.402370464819752</v>
      </c>
      <c r="AZ2066" s="10" t="s">
        <v>3783</v>
      </c>
      <c r="BA2066" s="20" t="b">
        <v>0</v>
      </c>
      <c r="BB2066" s="10"/>
      <c r="BC2066" s="17">
        <v>10883</v>
      </c>
      <c r="BD2066" s="17">
        <v>8627</v>
      </c>
      <c r="BE2066" s="17">
        <v>106995.25</v>
      </c>
      <c r="BF2066" s="17">
        <v>14.45</v>
      </c>
      <c r="BG2066" s="11">
        <f ca="1">IFERROR(__xludf.DUMMYFUNCTION("""COMPUTED_VALUE"""),45934.8958333333)</f>
        <v>45934.895833333299</v>
      </c>
      <c r="BH2066" s="17" t="s">
        <v>105</v>
      </c>
      <c r="BI2066" s="17"/>
      <c r="BJ2066" s="15"/>
      <c r="BK2066" s="15"/>
      <c r="BL2066" s="13" t="b">
        <v>0</v>
      </c>
      <c r="BM2066" s="10"/>
      <c r="BN2066" s="10" t="s">
        <v>137</v>
      </c>
      <c r="BO2066" s="11">
        <v>45919.613194444442</v>
      </c>
      <c r="BP2066" s="11">
        <v>45930.73369212963</v>
      </c>
      <c r="BQ2066" s="15">
        <v>45931.555347222224</v>
      </c>
      <c r="BR2066" s="15">
        <v>45931.784224537034</v>
      </c>
      <c r="BS2066" s="10" t="s">
        <v>137</v>
      </c>
      <c r="BT2066" s="10" t="s">
        <v>99</v>
      </c>
      <c r="BU2066" s="10" t="s">
        <v>655</v>
      </c>
      <c r="BV2066" s="10"/>
      <c r="BW2066" s="10"/>
      <c r="BX2066" s="10"/>
      <c r="BY2066" s="23"/>
      <c r="BZ2066" s="23"/>
      <c r="CA2066" s="19" t="s">
        <v>15761</v>
      </c>
      <c r="CB2066" s="23"/>
      <c r="CC2066" s="23"/>
      <c r="CD2066" s="19" t="s">
        <v>15762</v>
      </c>
      <c r="CE2066" s="23"/>
      <c r="CF2066" s="23"/>
      <c r="CG2066" s="23"/>
      <c r="CH2066" s="23"/>
      <c r="CI2066" s="23"/>
    </row>
    <row r="2067" spans="1:87" x14ac:dyDescent="0.3">
      <c r="A2067" s="9" t="s">
        <v>15763</v>
      </c>
      <c r="B2067" s="10" t="s">
        <v>15764</v>
      </c>
      <c r="C2067" s="11">
        <v>45935.041666666664</v>
      </c>
      <c r="D2067" s="12">
        <v>8.3333333333333329E-2</v>
      </c>
      <c r="E2067" s="11">
        <v>45935.125</v>
      </c>
      <c r="F2067" s="10" t="s">
        <v>3687</v>
      </c>
      <c r="G2067" s="13" t="b">
        <v>0</v>
      </c>
      <c r="H2067" s="22" t="s">
        <v>3478</v>
      </c>
      <c r="I2067" s="10" t="s">
        <v>89</v>
      </c>
      <c r="J2067" s="13" t="b">
        <v>0</v>
      </c>
      <c r="K2067" s="13" t="b">
        <v>1</v>
      </c>
      <c r="L2067" s="10" t="s">
        <v>124</v>
      </c>
      <c r="M2067" s="10" t="s">
        <v>91</v>
      </c>
      <c r="N2067" s="10" t="s">
        <v>92</v>
      </c>
      <c r="O2067" s="19" t="s">
        <v>15765</v>
      </c>
      <c r="P2067" s="10"/>
      <c r="Q2067" s="10" t="s">
        <v>126</v>
      </c>
      <c r="R2067" s="10"/>
      <c r="S2067" s="19" t="s">
        <v>15766</v>
      </c>
      <c r="T2067" s="10"/>
      <c r="U2067" s="10" t="s">
        <v>8468</v>
      </c>
      <c r="V2067" s="10" t="s">
        <v>3704</v>
      </c>
      <c r="W2067" s="10" t="s">
        <v>3692</v>
      </c>
      <c r="X2067" s="10" t="s">
        <v>130</v>
      </c>
      <c r="Y2067" s="10" t="s">
        <v>130</v>
      </c>
      <c r="Z2067" s="10" t="s">
        <v>99</v>
      </c>
      <c r="AA2067" s="10" t="s">
        <v>131</v>
      </c>
      <c r="AB2067" s="10" t="s">
        <v>3693</v>
      </c>
      <c r="AC2067" s="10" t="s">
        <v>3694</v>
      </c>
      <c r="AD2067" s="10" t="s">
        <v>15767</v>
      </c>
      <c r="AE2067" s="10" t="s">
        <v>15768</v>
      </c>
      <c r="AF2067" s="15"/>
      <c r="AG2067" s="10"/>
      <c r="AH2067" s="10"/>
      <c r="AI2067" s="10"/>
      <c r="AJ2067" s="10"/>
      <c r="AK2067" s="10" t="s">
        <v>102</v>
      </c>
      <c r="AL2067" s="10" t="s">
        <v>195</v>
      </c>
      <c r="AM2067" s="10"/>
      <c r="AN2067" s="10"/>
      <c r="AO2067" s="13" t="b">
        <v>0</v>
      </c>
      <c r="AP2067" s="22" t="s">
        <v>104</v>
      </c>
      <c r="AQ2067" s="10">
        <f ca="1">IFERROR(__xludf.DUMMYFUNCTION("""COMPUTED_VALUE"""),4626128)</f>
        <v>4626128</v>
      </c>
      <c r="AR2067" s="17">
        <v>5357</v>
      </c>
      <c r="AS2067" s="17">
        <v>4385</v>
      </c>
      <c r="AT2067" s="17">
        <v>65937</v>
      </c>
      <c r="AU2067" s="17">
        <v>3</v>
      </c>
      <c r="AV2067" s="17">
        <v>1.25</v>
      </c>
      <c r="AW2067" s="10" t="s">
        <v>105</v>
      </c>
      <c r="AX2067" s="17">
        <v>1563</v>
      </c>
      <c r="AY2067" s="18">
        <v>15.036944127708097</v>
      </c>
      <c r="AZ2067" s="10" t="s">
        <v>3783</v>
      </c>
      <c r="BA2067" s="20" t="b">
        <v>0</v>
      </c>
      <c r="BB2067" s="10"/>
      <c r="BC2067" s="17">
        <v>5357</v>
      </c>
      <c r="BD2067" s="17">
        <v>4385</v>
      </c>
      <c r="BE2067" s="17">
        <v>65937</v>
      </c>
      <c r="BF2067" s="17">
        <v>1.25</v>
      </c>
      <c r="BG2067" s="11">
        <f ca="1">IFERROR(__xludf.DUMMYFUNCTION("""COMPUTED_VALUE"""),45935.0416666666)</f>
        <v>45935.041666666599</v>
      </c>
      <c r="BH2067" s="17" t="s">
        <v>105</v>
      </c>
      <c r="BI2067" s="17"/>
      <c r="BJ2067" s="15"/>
      <c r="BK2067" s="15"/>
      <c r="BL2067" s="13" t="b">
        <v>0</v>
      </c>
      <c r="BM2067" s="10"/>
      <c r="BN2067" s="10" t="s">
        <v>278</v>
      </c>
      <c r="BO2067" s="11">
        <v>45919.613888888889</v>
      </c>
      <c r="BP2067" s="11">
        <v>45930.732997685183</v>
      </c>
      <c r="BQ2067" s="15">
        <v>45931.555497685185</v>
      </c>
      <c r="BR2067" s="15">
        <v>45932.337465277778</v>
      </c>
      <c r="BS2067" s="10" t="s">
        <v>278</v>
      </c>
      <c r="BT2067" s="10" t="s">
        <v>99</v>
      </c>
      <c r="BU2067" s="10" t="s">
        <v>534</v>
      </c>
      <c r="BV2067" s="10"/>
      <c r="BW2067" s="10"/>
      <c r="BX2067" s="10"/>
      <c r="BY2067" s="23"/>
      <c r="BZ2067" s="23"/>
      <c r="CA2067" s="19" t="s">
        <v>15769</v>
      </c>
      <c r="CB2067" s="23"/>
      <c r="CC2067" s="23"/>
      <c r="CD2067" s="19" t="s">
        <v>15770</v>
      </c>
      <c r="CE2067" s="23"/>
      <c r="CF2067" s="23"/>
      <c r="CG2067" s="23"/>
      <c r="CH2067" s="23"/>
      <c r="CI2067" s="23"/>
    </row>
    <row r="2068" spans="1:87" x14ac:dyDescent="0.3">
      <c r="A2068" s="9" t="s">
        <v>15771</v>
      </c>
      <c r="B2068" s="10" t="s">
        <v>15772</v>
      </c>
      <c r="C2068" s="11">
        <v>45935.90625</v>
      </c>
      <c r="D2068" s="12">
        <v>8.3333333333333329E-2</v>
      </c>
      <c r="E2068" s="11">
        <v>45935.989583333336</v>
      </c>
      <c r="F2068" s="10" t="s">
        <v>3687</v>
      </c>
      <c r="G2068" s="13" t="b">
        <v>0</v>
      </c>
      <c r="H2068" s="22" t="s">
        <v>8464</v>
      </c>
      <c r="I2068" s="10" t="s">
        <v>89</v>
      </c>
      <c r="J2068" s="13" t="b">
        <v>0</v>
      </c>
      <c r="K2068" s="13" t="b">
        <v>1</v>
      </c>
      <c r="L2068" s="10" t="s">
        <v>124</v>
      </c>
      <c r="M2068" s="10" t="s">
        <v>91</v>
      </c>
      <c r="N2068" s="10" t="s">
        <v>92</v>
      </c>
      <c r="O2068" s="19" t="s">
        <v>15773</v>
      </c>
      <c r="P2068" s="10"/>
      <c r="Q2068" s="10" t="s">
        <v>126</v>
      </c>
      <c r="R2068" s="10"/>
      <c r="S2068" s="19" t="s">
        <v>15774</v>
      </c>
      <c r="T2068" s="10"/>
      <c r="U2068" s="10" t="s">
        <v>3727</v>
      </c>
      <c r="V2068" s="10" t="s">
        <v>3716</v>
      </c>
      <c r="W2068" s="10" t="s">
        <v>3692</v>
      </c>
      <c r="X2068" s="10" t="s">
        <v>130</v>
      </c>
      <c r="Y2068" s="10" t="s">
        <v>130</v>
      </c>
      <c r="Z2068" s="10" t="s">
        <v>99</v>
      </c>
      <c r="AA2068" s="10" t="s">
        <v>131</v>
      </c>
      <c r="AB2068" s="10" t="s">
        <v>3693</v>
      </c>
      <c r="AC2068" s="10" t="s">
        <v>3694</v>
      </c>
      <c r="AD2068" s="10" t="s">
        <v>15775</v>
      </c>
      <c r="AE2068" s="10" t="s">
        <v>15776</v>
      </c>
      <c r="AF2068" s="15"/>
      <c r="AG2068" s="10"/>
      <c r="AH2068" s="10"/>
      <c r="AI2068" s="10"/>
      <c r="AJ2068" s="10"/>
      <c r="AK2068" s="10" t="s">
        <v>102</v>
      </c>
      <c r="AL2068" s="10" t="s">
        <v>195</v>
      </c>
      <c r="AM2068" s="10"/>
      <c r="AN2068" s="10"/>
      <c r="AO2068" s="13" t="b">
        <v>0</v>
      </c>
      <c r="AP2068" s="22" t="s">
        <v>104</v>
      </c>
      <c r="AQ2068" s="10">
        <f ca="1">IFERROR(__xludf.DUMMYFUNCTION("""COMPUTED_VALUE"""),4626142)</f>
        <v>4626142</v>
      </c>
      <c r="AR2068" s="17">
        <v>5553</v>
      </c>
      <c r="AS2068" s="17">
        <v>4603</v>
      </c>
      <c r="AT2068" s="17">
        <v>42321</v>
      </c>
      <c r="AU2068" s="17">
        <v>11.8</v>
      </c>
      <c r="AV2068" s="17">
        <v>3</v>
      </c>
      <c r="AW2068" s="10" t="s">
        <v>105</v>
      </c>
      <c r="AX2068" s="17">
        <v>1236</v>
      </c>
      <c r="AY2068" s="18">
        <v>9.1942211601129706</v>
      </c>
      <c r="AZ2068" s="10" t="s">
        <v>3783</v>
      </c>
      <c r="BA2068" s="20" t="b">
        <v>0</v>
      </c>
      <c r="BB2068" s="10"/>
      <c r="BC2068" s="17">
        <v>5553</v>
      </c>
      <c r="BD2068" s="17">
        <v>4603</v>
      </c>
      <c r="BE2068" s="17">
        <v>42321</v>
      </c>
      <c r="BF2068" s="17">
        <v>3</v>
      </c>
      <c r="BG2068" s="11">
        <f ca="1">IFERROR(__xludf.DUMMYFUNCTION("""COMPUTED_VALUE"""),45935.90625)</f>
        <v>45935.90625</v>
      </c>
      <c r="BH2068" s="17" t="s">
        <v>105</v>
      </c>
      <c r="BI2068" s="17"/>
      <c r="BJ2068" s="15"/>
      <c r="BK2068" s="15"/>
      <c r="BL2068" s="13" t="b">
        <v>0</v>
      </c>
      <c r="BM2068" s="10"/>
      <c r="BN2068" s="10" t="s">
        <v>137</v>
      </c>
      <c r="BO2068" s="11">
        <v>45919.614583333336</v>
      </c>
      <c r="BP2068" s="11">
        <v>45930.734166666669</v>
      </c>
      <c r="BQ2068" s="15">
        <v>45931.555706018517</v>
      </c>
      <c r="BR2068" s="15">
        <v>45933.41642361111</v>
      </c>
      <c r="BS2068" s="10" t="s">
        <v>137</v>
      </c>
      <c r="BT2068" s="10" t="s">
        <v>99</v>
      </c>
      <c r="BU2068" s="10" t="s">
        <v>421</v>
      </c>
      <c r="BV2068" s="10"/>
      <c r="BW2068" s="10"/>
      <c r="BX2068" s="10"/>
      <c r="BY2068" s="23"/>
      <c r="BZ2068" s="23"/>
      <c r="CA2068" s="19" t="s">
        <v>15777</v>
      </c>
      <c r="CB2068" s="23"/>
      <c r="CC2068" s="23"/>
      <c r="CD2068" s="19" t="s">
        <v>15778</v>
      </c>
      <c r="CE2068" s="23"/>
      <c r="CF2068" s="23"/>
      <c r="CG2068" s="23"/>
      <c r="CH2068" s="23"/>
      <c r="CI2068" s="23"/>
    </row>
    <row r="2069" spans="1:87" x14ac:dyDescent="0.3">
      <c r="A2069" s="25" t="s">
        <v>15779</v>
      </c>
      <c r="B2069" s="10" t="s">
        <v>15780</v>
      </c>
      <c r="C2069" s="11">
        <v>45935.8125</v>
      </c>
      <c r="D2069" s="12">
        <v>8.3333333333333329E-2</v>
      </c>
      <c r="E2069" s="11">
        <v>45935.895833333336</v>
      </c>
      <c r="F2069" s="10" t="s">
        <v>3687</v>
      </c>
      <c r="G2069" s="13" t="b">
        <v>0</v>
      </c>
      <c r="H2069" s="22" t="s">
        <v>88</v>
      </c>
      <c r="I2069" s="10" t="s">
        <v>89</v>
      </c>
      <c r="J2069" s="13" t="b">
        <v>0</v>
      </c>
      <c r="K2069" s="13" t="b">
        <v>1</v>
      </c>
      <c r="L2069" s="10" t="s">
        <v>124</v>
      </c>
      <c r="M2069" s="10" t="s">
        <v>91</v>
      </c>
      <c r="N2069" s="10" t="s">
        <v>92</v>
      </c>
      <c r="O2069" s="19" t="s">
        <v>15781</v>
      </c>
      <c r="P2069" s="10"/>
      <c r="Q2069" s="10" t="s">
        <v>126</v>
      </c>
      <c r="R2069" s="10"/>
      <c r="S2069" s="19" t="s">
        <v>15782</v>
      </c>
      <c r="T2069" s="10"/>
      <c r="U2069" s="10" t="s">
        <v>3690</v>
      </c>
      <c r="V2069" s="10" t="s">
        <v>8476</v>
      </c>
      <c r="W2069" s="10" t="s">
        <v>3692</v>
      </c>
      <c r="X2069" s="10" t="s">
        <v>130</v>
      </c>
      <c r="Y2069" s="10" t="s">
        <v>130</v>
      </c>
      <c r="Z2069" s="10" t="s">
        <v>99</v>
      </c>
      <c r="AA2069" s="10" t="s">
        <v>131</v>
      </c>
      <c r="AB2069" s="10" t="s">
        <v>3693</v>
      </c>
      <c r="AC2069" s="10" t="s">
        <v>3694</v>
      </c>
      <c r="AD2069" s="10" t="s">
        <v>15783</v>
      </c>
      <c r="AE2069" s="10" t="s">
        <v>15784</v>
      </c>
      <c r="AF2069" s="15"/>
      <c r="AG2069" s="10"/>
      <c r="AH2069" s="10"/>
      <c r="AI2069" s="10"/>
      <c r="AJ2069" s="10"/>
      <c r="AK2069" s="10" t="s">
        <v>102</v>
      </c>
      <c r="AL2069" s="10" t="s">
        <v>195</v>
      </c>
      <c r="AM2069" s="10"/>
      <c r="AN2069" s="10"/>
      <c r="AO2069" s="13" t="b">
        <v>0</v>
      </c>
      <c r="AP2069" s="22" t="s">
        <v>104</v>
      </c>
      <c r="AQ2069" s="10">
        <f ca="1">IFERROR(__xludf.DUMMYFUNCTION("""COMPUTED_VALUE"""),4626141)</f>
        <v>4626141</v>
      </c>
      <c r="AR2069" s="17">
        <v>33766</v>
      </c>
      <c r="AS2069" s="17">
        <v>26402</v>
      </c>
      <c r="AT2069" s="17">
        <v>303518.25</v>
      </c>
      <c r="AU2069" s="17">
        <v>102</v>
      </c>
      <c r="AV2069" s="17">
        <v>19.600000000000001</v>
      </c>
      <c r="AW2069" s="10" t="s">
        <v>105</v>
      </c>
      <c r="AX2069" s="17">
        <v>5833</v>
      </c>
      <c r="AY2069" s="18">
        <v>11.496032497538065</v>
      </c>
      <c r="AZ2069" s="10" t="s">
        <v>3783</v>
      </c>
      <c r="BA2069" s="20" t="b">
        <v>0</v>
      </c>
      <c r="BB2069" s="10"/>
      <c r="BC2069" s="17">
        <v>33766</v>
      </c>
      <c r="BD2069" s="17">
        <v>26402</v>
      </c>
      <c r="BE2069" s="17">
        <v>303518.25</v>
      </c>
      <c r="BF2069" s="17">
        <v>19.600000000000001</v>
      </c>
      <c r="BG2069" s="11">
        <f ca="1">IFERROR(__xludf.DUMMYFUNCTION("""COMPUTED_VALUE"""),45935.8125)</f>
        <v>45935.8125</v>
      </c>
      <c r="BH2069" s="17" t="s">
        <v>105</v>
      </c>
      <c r="BI2069" s="17"/>
      <c r="BJ2069" s="15"/>
      <c r="BK2069" s="15"/>
      <c r="BL2069" s="13" t="b">
        <v>0</v>
      </c>
      <c r="BM2069" s="10"/>
      <c r="BN2069" s="10" t="s">
        <v>137</v>
      </c>
      <c r="BO2069" s="11">
        <v>45919.615277777775</v>
      </c>
      <c r="BP2069" s="11">
        <v>45926.85733796296</v>
      </c>
      <c r="BQ2069" s="15">
        <v>45931.555601851855</v>
      </c>
      <c r="BR2069" s="15">
        <v>45932.339780092596</v>
      </c>
      <c r="BS2069" s="10" t="s">
        <v>137</v>
      </c>
      <c r="BT2069" s="10" t="s">
        <v>99</v>
      </c>
      <c r="BU2069" s="10" t="s">
        <v>718</v>
      </c>
      <c r="BV2069" s="10"/>
      <c r="BW2069" s="10"/>
      <c r="BX2069" s="10"/>
      <c r="BY2069" s="23"/>
      <c r="BZ2069" s="23"/>
      <c r="CA2069" s="19" t="s">
        <v>15785</v>
      </c>
      <c r="CB2069" s="23"/>
      <c r="CC2069" s="23"/>
      <c r="CD2069" s="19" t="s">
        <v>15786</v>
      </c>
      <c r="CE2069" s="23"/>
      <c r="CF2069" s="23"/>
      <c r="CG2069" s="23"/>
      <c r="CH2069" s="23"/>
      <c r="CI2069" s="23"/>
    </row>
    <row r="2070" spans="1:87" x14ac:dyDescent="0.3">
      <c r="A2070" s="9" t="s">
        <v>15787</v>
      </c>
      <c r="B2070" s="10" t="s">
        <v>15788</v>
      </c>
      <c r="C2070" s="11">
        <v>45949.90625</v>
      </c>
      <c r="D2070" s="12">
        <v>8.3333333333333329E-2</v>
      </c>
      <c r="E2070" s="11">
        <v>45949.989583333336</v>
      </c>
      <c r="F2070" s="10" t="s">
        <v>3687</v>
      </c>
      <c r="G2070" s="13" t="b">
        <v>0</v>
      </c>
      <c r="H2070" s="22" t="s">
        <v>8464</v>
      </c>
      <c r="I2070" s="10" t="s">
        <v>89</v>
      </c>
      <c r="J2070" s="13" t="b">
        <v>0</v>
      </c>
      <c r="K2070" s="13" t="b">
        <v>1</v>
      </c>
      <c r="L2070" s="10" t="s">
        <v>124</v>
      </c>
      <c r="M2070" s="10" t="s">
        <v>91</v>
      </c>
      <c r="N2070" s="10" t="s">
        <v>92</v>
      </c>
      <c r="O2070" s="19" t="s">
        <v>15789</v>
      </c>
      <c r="P2070" s="10"/>
      <c r="Q2070" s="10" t="s">
        <v>126</v>
      </c>
      <c r="R2070" s="10"/>
      <c r="S2070" s="19" t="s">
        <v>15790</v>
      </c>
      <c r="T2070" s="19" t="s">
        <v>15791</v>
      </c>
      <c r="U2070" s="10" t="s">
        <v>7719</v>
      </c>
      <c r="V2070" s="10" t="s">
        <v>3690</v>
      </c>
      <c r="W2070" s="10" t="s">
        <v>3692</v>
      </c>
      <c r="X2070" s="10" t="s">
        <v>130</v>
      </c>
      <c r="Y2070" s="10" t="s">
        <v>130</v>
      </c>
      <c r="Z2070" s="10" t="s">
        <v>99</v>
      </c>
      <c r="AA2070" s="10" t="s">
        <v>131</v>
      </c>
      <c r="AB2070" s="10" t="s">
        <v>3693</v>
      </c>
      <c r="AC2070" s="10" t="s">
        <v>3694</v>
      </c>
      <c r="AD2070" s="10" t="s">
        <v>15792</v>
      </c>
      <c r="AE2070" s="10" t="s">
        <v>15793</v>
      </c>
      <c r="AF2070" s="15"/>
      <c r="AG2070" s="10"/>
      <c r="AH2070" s="10"/>
      <c r="AI2070" s="10"/>
      <c r="AJ2070" s="10"/>
      <c r="AK2070" s="10" t="s">
        <v>102</v>
      </c>
      <c r="AL2070" s="10" t="s">
        <v>205</v>
      </c>
      <c r="AM2070" s="10"/>
      <c r="AN2070" s="10"/>
      <c r="AO2070" s="13" t="b">
        <v>0</v>
      </c>
      <c r="AP2070" s="22" t="s">
        <v>104</v>
      </c>
      <c r="AQ2070" s="10">
        <f ca="1">IFERROR(__xludf.DUMMYFUNCTION("""COMPUTED_VALUE"""),4653440)</f>
        <v>4653440</v>
      </c>
      <c r="AR2070" s="17">
        <v>9522</v>
      </c>
      <c r="AS2070" s="17">
        <v>7962</v>
      </c>
      <c r="AT2070" s="17">
        <v>64567</v>
      </c>
      <c r="AU2070" s="17">
        <v>15.55</v>
      </c>
      <c r="AV2070" s="17">
        <v>4.6500000000000004</v>
      </c>
      <c r="AW2070" s="10" t="s">
        <v>105</v>
      </c>
      <c r="AX2070" s="17">
        <v>1578</v>
      </c>
      <c r="AY2070" s="18">
        <v>8.1093946244662138</v>
      </c>
      <c r="AZ2070" s="10" t="s">
        <v>3783</v>
      </c>
      <c r="BA2070" s="20" t="b">
        <v>0</v>
      </c>
      <c r="BB2070" s="10"/>
      <c r="BC2070" s="17">
        <v>9522</v>
      </c>
      <c r="BD2070" s="17">
        <v>7962</v>
      </c>
      <c r="BE2070" s="17">
        <v>64567</v>
      </c>
      <c r="BF2070" s="17">
        <v>4.6500000000000004</v>
      </c>
      <c r="BG2070" s="11">
        <f ca="1">IFERROR(__xludf.DUMMYFUNCTION("""COMPUTED_VALUE"""),45949.90625)</f>
        <v>45949.90625</v>
      </c>
      <c r="BH2070" s="17" t="s">
        <v>105</v>
      </c>
      <c r="BI2070" s="17"/>
      <c r="BJ2070" s="15"/>
      <c r="BK2070" s="15"/>
      <c r="BL2070" s="13" t="b">
        <v>0</v>
      </c>
      <c r="BM2070" s="10"/>
      <c r="BN2070" s="10" t="s">
        <v>197</v>
      </c>
      <c r="BO2070" s="11">
        <v>45919.615972222222</v>
      </c>
      <c r="BP2070" s="11">
        <v>45942.409918981481</v>
      </c>
      <c r="BQ2070" s="15">
        <v>45937.651307870372</v>
      </c>
      <c r="BR2070" s="15">
        <v>45946.435486111113</v>
      </c>
      <c r="BS2070" s="10" t="s">
        <v>197</v>
      </c>
      <c r="BT2070" s="10" t="s">
        <v>99</v>
      </c>
      <c r="BU2070" s="10" t="s">
        <v>3394</v>
      </c>
      <c r="BV2070" s="10"/>
      <c r="BW2070" s="10"/>
      <c r="BX2070" s="10"/>
      <c r="BY2070" s="23"/>
      <c r="BZ2070" s="23"/>
      <c r="CA2070" s="19" t="s">
        <v>15794</v>
      </c>
      <c r="CB2070" s="19" t="s">
        <v>15795</v>
      </c>
      <c r="CC2070" s="23"/>
      <c r="CD2070" s="19" t="s">
        <v>15796</v>
      </c>
      <c r="CE2070" s="23"/>
      <c r="CF2070" s="23"/>
      <c r="CG2070" s="23"/>
      <c r="CH2070" s="23"/>
      <c r="CI2070" s="23"/>
    </row>
    <row r="2071" spans="1:87" x14ac:dyDescent="0.3">
      <c r="A2071" s="9" t="s">
        <v>15797</v>
      </c>
      <c r="B2071" s="10" t="s">
        <v>15798</v>
      </c>
      <c r="C2071" s="11">
        <v>45948.989583333336</v>
      </c>
      <c r="D2071" s="12">
        <v>8.3333333333333329E-2</v>
      </c>
      <c r="E2071" s="11">
        <v>45949.072916666664</v>
      </c>
      <c r="F2071" s="10" t="s">
        <v>3687</v>
      </c>
      <c r="G2071" s="13" t="b">
        <v>0</v>
      </c>
      <c r="H2071" s="22" t="s">
        <v>88</v>
      </c>
      <c r="I2071" s="10" t="s">
        <v>89</v>
      </c>
      <c r="J2071" s="13" t="b">
        <v>0</v>
      </c>
      <c r="K2071" s="13" t="b">
        <v>1</v>
      </c>
      <c r="L2071" s="10" t="s">
        <v>124</v>
      </c>
      <c r="M2071" s="10" t="s">
        <v>91</v>
      </c>
      <c r="N2071" s="10" t="s">
        <v>92</v>
      </c>
      <c r="O2071" s="19" t="s">
        <v>15799</v>
      </c>
      <c r="P2071" s="10"/>
      <c r="Q2071" s="10" t="s">
        <v>126</v>
      </c>
      <c r="R2071" s="10"/>
      <c r="S2071" s="19" t="s">
        <v>15800</v>
      </c>
      <c r="T2071" s="19" t="s">
        <v>15801</v>
      </c>
      <c r="U2071" s="10" t="s">
        <v>8476</v>
      </c>
      <c r="V2071" s="10" t="s">
        <v>7752</v>
      </c>
      <c r="W2071" s="10" t="s">
        <v>3692</v>
      </c>
      <c r="X2071" s="10" t="s">
        <v>130</v>
      </c>
      <c r="Y2071" s="10" t="s">
        <v>130</v>
      </c>
      <c r="Z2071" s="10" t="s">
        <v>99</v>
      </c>
      <c r="AA2071" s="10" t="s">
        <v>131</v>
      </c>
      <c r="AB2071" s="10" t="s">
        <v>3693</v>
      </c>
      <c r="AC2071" s="10" t="s">
        <v>3694</v>
      </c>
      <c r="AD2071" s="10" t="s">
        <v>15802</v>
      </c>
      <c r="AE2071" s="10" t="s">
        <v>15803</v>
      </c>
      <c r="AF2071" s="15"/>
      <c r="AG2071" s="10"/>
      <c r="AH2071" s="10"/>
      <c r="AI2071" s="10"/>
      <c r="AJ2071" s="10"/>
      <c r="AK2071" s="10" t="s">
        <v>102</v>
      </c>
      <c r="AL2071" s="10" t="s">
        <v>205</v>
      </c>
      <c r="AM2071" s="10"/>
      <c r="AN2071" s="10"/>
      <c r="AO2071" s="13" t="b">
        <v>0</v>
      </c>
      <c r="AP2071" s="22" t="s">
        <v>104</v>
      </c>
      <c r="AQ2071" s="10">
        <f ca="1">IFERROR(__xludf.DUMMYFUNCTION("""COMPUTED_VALUE"""),4652731)</f>
        <v>4652731</v>
      </c>
      <c r="AR2071" s="17">
        <v>5762</v>
      </c>
      <c r="AS2071" s="17">
        <v>4672</v>
      </c>
      <c r="AT2071" s="17">
        <v>44921</v>
      </c>
      <c r="AU2071" s="17">
        <v>8.1</v>
      </c>
      <c r="AV2071" s="17">
        <v>1.65</v>
      </c>
      <c r="AW2071" s="10" t="s">
        <v>105</v>
      </c>
      <c r="AX2071" s="17">
        <v>879</v>
      </c>
      <c r="AY2071" s="18">
        <v>9.6149400684931514</v>
      </c>
      <c r="AZ2071" s="10" t="s">
        <v>3783</v>
      </c>
      <c r="BA2071" s="20" t="b">
        <v>0</v>
      </c>
      <c r="BB2071" s="10"/>
      <c r="BC2071" s="17">
        <v>5762</v>
      </c>
      <c r="BD2071" s="17">
        <v>4672</v>
      </c>
      <c r="BE2071" s="17">
        <v>44921</v>
      </c>
      <c r="BF2071" s="17">
        <v>1.65</v>
      </c>
      <c r="BG2071" s="11">
        <f ca="1">IFERROR(__xludf.DUMMYFUNCTION("""COMPUTED_VALUE"""),45948.9895833333)</f>
        <v>45948.989583333299</v>
      </c>
      <c r="BH2071" s="17" t="s">
        <v>105</v>
      </c>
      <c r="BI2071" s="17"/>
      <c r="BJ2071" s="15"/>
      <c r="BK2071" s="15"/>
      <c r="BL2071" s="13" t="b">
        <v>0</v>
      </c>
      <c r="BM2071" s="10"/>
      <c r="BN2071" s="10" t="s">
        <v>197</v>
      </c>
      <c r="BO2071" s="11">
        <v>45919.616666666669</v>
      </c>
      <c r="BP2071" s="11">
        <v>45942.409733796296</v>
      </c>
      <c r="BQ2071" s="15">
        <v>45937.651064814818</v>
      </c>
      <c r="BR2071" s="15">
        <v>45945.552534722221</v>
      </c>
      <c r="BS2071" s="10" t="s">
        <v>197</v>
      </c>
      <c r="BT2071" s="10" t="s">
        <v>99</v>
      </c>
      <c r="BU2071" s="10"/>
      <c r="BV2071" s="10"/>
      <c r="BW2071" s="10"/>
      <c r="BX2071" s="10"/>
      <c r="BY2071" s="23"/>
      <c r="BZ2071" s="23"/>
      <c r="CA2071" s="19" t="s">
        <v>15804</v>
      </c>
      <c r="CB2071" s="19" t="s">
        <v>15805</v>
      </c>
      <c r="CC2071" s="23"/>
      <c r="CD2071" s="19" t="s">
        <v>15806</v>
      </c>
      <c r="CE2071" s="23"/>
      <c r="CF2071" s="23"/>
      <c r="CG2071" s="23"/>
      <c r="CH2071" s="23"/>
      <c r="CI2071" s="23"/>
    </row>
    <row r="2072" spans="1:87" x14ac:dyDescent="0.3">
      <c r="A2072" s="9" t="s">
        <v>15807</v>
      </c>
      <c r="B2072" s="10" t="s">
        <v>15808</v>
      </c>
      <c r="C2072" s="11">
        <v>45948.989583333336</v>
      </c>
      <c r="D2072" s="12">
        <v>8.3333333333333329E-2</v>
      </c>
      <c r="E2072" s="11">
        <v>45949.072916666664</v>
      </c>
      <c r="F2072" s="10" t="s">
        <v>3687</v>
      </c>
      <c r="G2072" s="13" t="b">
        <v>0</v>
      </c>
      <c r="H2072" s="22" t="s">
        <v>3478</v>
      </c>
      <c r="I2072" s="10" t="s">
        <v>89</v>
      </c>
      <c r="J2072" s="13" t="b">
        <v>0</v>
      </c>
      <c r="K2072" s="13" t="b">
        <v>1</v>
      </c>
      <c r="L2072" s="10" t="s">
        <v>124</v>
      </c>
      <c r="M2072" s="10" t="s">
        <v>91</v>
      </c>
      <c r="N2072" s="10" t="s">
        <v>92</v>
      </c>
      <c r="O2072" s="19" t="s">
        <v>15809</v>
      </c>
      <c r="P2072" s="10"/>
      <c r="Q2072" s="10" t="s">
        <v>126</v>
      </c>
      <c r="R2072" s="10"/>
      <c r="S2072" s="19" t="s">
        <v>15810</v>
      </c>
      <c r="T2072" s="19" t="s">
        <v>15811</v>
      </c>
      <c r="U2072" s="10" t="s">
        <v>3704</v>
      </c>
      <c r="V2072" s="10" t="s">
        <v>4993</v>
      </c>
      <c r="W2072" s="10" t="s">
        <v>3692</v>
      </c>
      <c r="X2072" s="10" t="s">
        <v>130</v>
      </c>
      <c r="Y2072" s="10" t="s">
        <v>130</v>
      </c>
      <c r="Z2072" s="10" t="s">
        <v>99</v>
      </c>
      <c r="AA2072" s="10" t="s">
        <v>131</v>
      </c>
      <c r="AB2072" s="10" t="s">
        <v>3693</v>
      </c>
      <c r="AC2072" s="10" t="s">
        <v>3694</v>
      </c>
      <c r="AD2072" s="10" t="s">
        <v>15812</v>
      </c>
      <c r="AE2072" s="10" t="s">
        <v>15813</v>
      </c>
      <c r="AF2072" s="15"/>
      <c r="AG2072" s="10"/>
      <c r="AH2072" s="10"/>
      <c r="AI2072" s="10"/>
      <c r="AJ2072" s="10"/>
      <c r="AK2072" s="10" t="s">
        <v>102</v>
      </c>
      <c r="AL2072" s="10" t="s">
        <v>205</v>
      </c>
      <c r="AM2072" s="10"/>
      <c r="AN2072" s="10"/>
      <c r="AO2072" s="13" t="b">
        <v>0</v>
      </c>
      <c r="AP2072" s="22" t="s">
        <v>104</v>
      </c>
      <c r="AQ2072" s="10">
        <f ca="1">IFERROR(__xludf.DUMMYFUNCTION("""COMPUTED_VALUE"""),4652730)</f>
        <v>4652730</v>
      </c>
      <c r="AR2072" s="17">
        <v>9467</v>
      </c>
      <c r="AS2072" s="17">
        <v>7691</v>
      </c>
      <c r="AT2072" s="17">
        <v>87126.75</v>
      </c>
      <c r="AU2072" s="17">
        <v>17.55</v>
      </c>
      <c r="AV2072" s="17">
        <v>2</v>
      </c>
      <c r="AW2072" s="10" t="s">
        <v>105</v>
      </c>
      <c r="AX2072" s="17">
        <v>1703</v>
      </c>
      <c r="AY2072" s="18">
        <v>11.328403328565857</v>
      </c>
      <c r="AZ2072" s="10" t="s">
        <v>3783</v>
      </c>
      <c r="BA2072" s="20" t="b">
        <v>0</v>
      </c>
      <c r="BB2072" s="10"/>
      <c r="BC2072" s="17">
        <v>9467</v>
      </c>
      <c r="BD2072" s="17">
        <v>7691</v>
      </c>
      <c r="BE2072" s="17">
        <v>87126.75</v>
      </c>
      <c r="BF2072" s="17">
        <v>2</v>
      </c>
      <c r="BG2072" s="11">
        <f ca="1">IFERROR(__xludf.DUMMYFUNCTION("""COMPUTED_VALUE"""),45948.9895833333)</f>
        <v>45948.989583333299</v>
      </c>
      <c r="BH2072" s="17" t="s">
        <v>105</v>
      </c>
      <c r="BI2072" s="17"/>
      <c r="BJ2072" s="15"/>
      <c r="BK2072" s="15"/>
      <c r="BL2072" s="13" t="b">
        <v>0</v>
      </c>
      <c r="BM2072" s="10"/>
      <c r="BN2072" s="10" t="s">
        <v>197</v>
      </c>
      <c r="BO2072" s="11">
        <v>45919.617361111108</v>
      </c>
      <c r="BP2072" s="11">
        <v>45942.409641203703</v>
      </c>
      <c r="BQ2072" s="15">
        <v>45937.650960648149</v>
      </c>
      <c r="BR2072" s="15">
        <v>45945.551805555559</v>
      </c>
      <c r="BS2072" s="10" t="s">
        <v>197</v>
      </c>
      <c r="BT2072" s="10" t="s">
        <v>99</v>
      </c>
      <c r="BU2072" s="10"/>
      <c r="BV2072" s="10"/>
      <c r="BW2072" s="10"/>
      <c r="BX2072" s="10"/>
      <c r="BY2072" s="23"/>
      <c r="BZ2072" s="23"/>
      <c r="CA2072" s="19" t="s">
        <v>15814</v>
      </c>
      <c r="CB2072" s="19" t="s">
        <v>15815</v>
      </c>
      <c r="CC2072" s="23"/>
      <c r="CD2072" s="19" t="s">
        <v>15816</v>
      </c>
      <c r="CE2072" s="23"/>
      <c r="CF2072" s="23"/>
      <c r="CG2072" s="23"/>
      <c r="CH2072" s="23"/>
      <c r="CI2072" s="23"/>
    </row>
    <row r="2073" spans="1:87" x14ac:dyDescent="0.3">
      <c r="A2073" s="25" t="s">
        <v>15817</v>
      </c>
      <c r="B2073" s="10" t="s">
        <v>15818</v>
      </c>
      <c r="C2073" s="11">
        <v>45949.083333333336</v>
      </c>
      <c r="D2073" s="12">
        <v>8.3333333333333329E-2</v>
      </c>
      <c r="E2073" s="11">
        <v>45949.166666666664</v>
      </c>
      <c r="F2073" s="10" t="s">
        <v>3687</v>
      </c>
      <c r="G2073" s="13" t="b">
        <v>0</v>
      </c>
      <c r="H2073" s="22" t="s">
        <v>88</v>
      </c>
      <c r="I2073" s="10" t="s">
        <v>89</v>
      </c>
      <c r="J2073" s="13" t="b">
        <v>0</v>
      </c>
      <c r="K2073" s="13" t="b">
        <v>1</v>
      </c>
      <c r="L2073" s="10" t="s">
        <v>124</v>
      </c>
      <c r="M2073" s="10" t="s">
        <v>91</v>
      </c>
      <c r="N2073" s="10" t="s">
        <v>92</v>
      </c>
      <c r="O2073" s="19" t="s">
        <v>15819</v>
      </c>
      <c r="P2073" s="10"/>
      <c r="Q2073" s="10" t="s">
        <v>126</v>
      </c>
      <c r="R2073" s="10"/>
      <c r="S2073" s="19" t="s">
        <v>15820</v>
      </c>
      <c r="T2073" s="19" t="s">
        <v>15821</v>
      </c>
      <c r="U2073" s="10" t="s">
        <v>3715</v>
      </c>
      <c r="V2073" s="10" t="s">
        <v>3727</v>
      </c>
      <c r="W2073" s="10" t="s">
        <v>3692</v>
      </c>
      <c r="X2073" s="10" t="s">
        <v>130</v>
      </c>
      <c r="Y2073" s="10" t="s">
        <v>130</v>
      </c>
      <c r="Z2073" s="10" t="s">
        <v>99</v>
      </c>
      <c r="AA2073" s="10" t="s">
        <v>131</v>
      </c>
      <c r="AB2073" s="10" t="s">
        <v>3693</v>
      </c>
      <c r="AC2073" s="10" t="s">
        <v>3694</v>
      </c>
      <c r="AD2073" s="10" t="s">
        <v>15822</v>
      </c>
      <c r="AE2073" s="10" t="s">
        <v>15823</v>
      </c>
      <c r="AF2073" s="15"/>
      <c r="AG2073" s="10"/>
      <c r="AH2073" s="10"/>
      <c r="AI2073" s="10"/>
      <c r="AJ2073" s="10"/>
      <c r="AK2073" s="10" t="s">
        <v>102</v>
      </c>
      <c r="AL2073" s="10" t="s">
        <v>205</v>
      </c>
      <c r="AM2073" s="10"/>
      <c r="AN2073" s="10"/>
      <c r="AO2073" s="13" t="b">
        <v>0</v>
      </c>
      <c r="AP2073" s="22" t="s">
        <v>104</v>
      </c>
      <c r="AQ2073" s="10">
        <f ca="1">IFERROR(__xludf.DUMMYFUNCTION("""COMPUTED_VALUE"""),4653416)</f>
        <v>4653416</v>
      </c>
      <c r="AR2073" s="17">
        <v>2718</v>
      </c>
      <c r="AS2073" s="17">
        <v>2072</v>
      </c>
      <c r="AT2073" s="17">
        <v>31336.75</v>
      </c>
      <c r="AU2073" s="17">
        <v>2.75</v>
      </c>
      <c r="AV2073" s="17">
        <v>0</v>
      </c>
      <c r="AW2073" s="10" t="s">
        <v>105</v>
      </c>
      <c r="AX2073" s="17">
        <v>533</v>
      </c>
      <c r="AY2073" s="18">
        <v>15.123914092664092</v>
      </c>
      <c r="AZ2073" s="10" t="s">
        <v>3783</v>
      </c>
      <c r="BA2073" s="20" t="b">
        <v>0</v>
      </c>
      <c r="BB2073" s="10"/>
      <c r="BC2073" s="17">
        <v>2718</v>
      </c>
      <c r="BD2073" s="17">
        <v>2072</v>
      </c>
      <c r="BE2073" s="17">
        <v>31336.75</v>
      </c>
      <c r="BF2073" s="17">
        <v>0</v>
      </c>
      <c r="BG2073" s="11">
        <f ca="1">IFERROR(__xludf.DUMMYFUNCTION("""COMPUTED_VALUE"""),45949.0833333333)</f>
        <v>45949.083333333299</v>
      </c>
      <c r="BH2073" s="17" t="s">
        <v>105</v>
      </c>
      <c r="BI2073" s="17"/>
      <c r="BJ2073" s="15"/>
      <c r="BK2073" s="15"/>
      <c r="BL2073" s="13" t="b">
        <v>0</v>
      </c>
      <c r="BM2073" s="10"/>
      <c r="BN2073" s="10" t="s">
        <v>137</v>
      </c>
      <c r="BO2073" s="11">
        <v>45919.617361111108</v>
      </c>
      <c r="BP2073" s="11">
        <v>45942.409826388888</v>
      </c>
      <c r="BQ2073" s="15">
        <v>45937.651203703703</v>
      </c>
      <c r="BR2073" s="15">
        <v>45946.414224537039</v>
      </c>
      <c r="BS2073" s="10" t="s">
        <v>137</v>
      </c>
      <c r="BT2073" s="10" t="s">
        <v>99</v>
      </c>
      <c r="BU2073" s="10"/>
      <c r="BV2073" s="10"/>
      <c r="BW2073" s="10"/>
      <c r="BX2073" s="10"/>
      <c r="BY2073" s="23"/>
      <c r="BZ2073" s="23"/>
      <c r="CA2073" s="19" t="s">
        <v>15824</v>
      </c>
      <c r="CB2073" s="19" t="s">
        <v>15825</v>
      </c>
      <c r="CC2073" s="23"/>
      <c r="CD2073" s="19" t="s">
        <v>15826</v>
      </c>
      <c r="CE2073" s="23"/>
      <c r="CF2073" s="23"/>
      <c r="CG2073" s="23"/>
      <c r="CH2073" s="23"/>
      <c r="CI2073" s="23"/>
    </row>
    <row r="2074" spans="1:87" x14ac:dyDescent="0.3">
      <c r="A2074" s="9" t="s">
        <v>15827</v>
      </c>
      <c r="B2074" s="10" t="s">
        <v>15828</v>
      </c>
      <c r="C2074" s="11">
        <v>45956.760416666664</v>
      </c>
      <c r="D2074" s="12">
        <v>8.3333333333333329E-2</v>
      </c>
      <c r="E2074" s="11">
        <v>45956.84375</v>
      </c>
      <c r="F2074" s="10" t="s">
        <v>3687</v>
      </c>
      <c r="G2074" s="13" t="b">
        <v>0</v>
      </c>
      <c r="H2074" s="22" t="s">
        <v>88</v>
      </c>
      <c r="I2074" s="10" t="s">
        <v>89</v>
      </c>
      <c r="J2074" s="13" t="b">
        <v>0</v>
      </c>
      <c r="K2074" s="13" t="b">
        <v>1</v>
      </c>
      <c r="L2074" s="10" t="s">
        <v>124</v>
      </c>
      <c r="M2074" s="10" t="s">
        <v>91</v>
      </c>
      <c r="N2074" s="10" t="s">
        <v>92</v>
      </c>
      <c r="O2074" s="19" t="s">
        <v>15829</v>
      </c>
      <c r="P2074" s="10"/>
      <c r="Q2074" s="10" t="s">
        <v>126</v>
      </c>
      <c r="R2074" s="10"/>
      <c r="S2074" s="19" t="s">
        <v>15830</v>
      </c>
      <c r="T2074" s="19" t="s">
        <v>15831</v>
      </c>
      <c r="U2074" s="10" t="s">
        <v>7741</v>
      </c>
      <c r="V2074" s="10" t="s">
        <v>3715</v>
      </c>
      <c r="W2074" s="10" t="s">
        <v>3692</v>
      </c>
      <c r="X2074" s="10" t="s">
        <v>130</v>
      </c>
      <c r="Y2074" s="10" t="s">
        <v>130</v>
      </c>
      <c r="Z2074" s="10" t="s">
        <v>99</v>
      </c>
      <c r="AA2074" s="10" t="s">
        <v>131</v>
      </c>
      <c r="AB2074" s="10" t="s">
        <v>3693</v>
      </c>
      <c r="AC2074" s="10" t="s">
        <v>3694</v>
      </c>
      <c r="AD2074" s="10" t="s">
        <v>15832</v>
      </c>
      <c r="AE2074" s="10" t="s">
        <v>15833</v>
      </c>
      <c r="AF2074" s="15"/>
      <c r="AG2074" s="10"/>
      <c r="AH2074" s="10"/>
      <c r="AI2074" s="10"/>
      <c r="AJ2074" s="10"/>
      <c r="AK2074" s="10" t="s">
        <v>102</v>
      </c>
      <c r="AL2074" s="10" t="s">
        <v>1252</v>
      </c>
      <c r="AM2074" s="10"/>
      <c r="AN2074" s="10"/>
      <c r="AO2074" s="13" t="b">
        <v>0</v>
      </c>
      <c r="AP2074" s="22" t="s">
        <v>104</v>
      </c>
      <c r="AQ2074" s="10">
        <f ca="1">IFERROR(__xludf.DUMMYFUNCTION("""COMPUTED_VALUE"""),4666460)</f>
        <v>4666460</v>
      </c>
      <c r="AR2074" s="17">
        <v>31379</v>
      </c>
      <c r="AS2074" s="17">
        <v>24269</v>
      </c>
      <c r="AT2074" s="17">
        <v>358891</v>
      </c>
      <c r="AU2074" s="17">
        <v>188</v>
      </c>
      <c r="AV2074" s="17">
        <v>79.099999999999994</v>
      </c>
      <c r="AW2074" s="10" t="s">
        <v>105</v>
      </c>
      <c r="AX2074" s="17">
        <v>6487</v>
      </c>
      <c r="AY2074" s="18">
        <v>14.788042358564423</v>
      </c>
      <c r="AZ2074" s="10" t="s">
        <v>3783</v>
      </c>
      <c r="BA2074" s="20" t="b">
        <v>0</v>
      </c>
      <c r="BB2074" s="10"/>
      <c r="BC2074" s="17">
        <v>31379</v>
      </c>
      <c r="BD2074" s="17">
        <v>24269</v>
      </c>
      <c r="BE2074" s="17">
        <v>358891</v>
      </c>
      <c r="BF2074" s="17">
        <v>79.099999999999994</v>
      </c>
      <c r="BG2074" s="11">
        <f ca="1">IFERROR(__xludf.DUMMYFUNCTION("""COMPUTED_VALUE"""),45956.7604166666)</f>
        <v>45956.760416666599</v>
      </c>
      <c r="BH2074" s="17" t="s">
        <v>105</v>
      </c>
      <c r="BI2074" s="17"/>
      <c r="BJ2074" s="15"/>
      <c r="BK2074" s="15"/>
      <c r="BL2074" s="13" t="b">
        <v>0</v>
      </c>
      <c r="BM2074" s="10"/>
      <c r="BN2074" s="10" t="s">
        <v>1160</v>
      </c>
      <c r="BO2074" s="11">
        <v>45919.618750000001</v>
      </c>
      <c r="BP2074" s="11">
        <v>45948.412222222221</v>
      </c>
      <c r="BQ2074" s="15">
        <v>45953.405497685184</v>
      </c>
      <c r="BR2074" s="15">
        <v>45953.483553240738</v>
      </c>
      <c r="BS2074" s="10" t="s">
        <v>1160</v>
      </c>
      <c r="BT2074" s="10" t="s">
        <v>99</v>
      </c>
      <c r="BU2074" s="10" t="s">
        <v>6753</v>
      </c>
      <c r="BV2074" s="10"/>
      <c r="BW2074" s="10"/>
      <c r="BX2074" s="10"/>
      <c r="BY2074" s="23"/>
      <c r="BZ2074" s="23"/>
      <c r="CA2074" s="19" t="s">
        <v>15834</v>
      </c>
      <c r="CB2074" s="19" t="s">
        <v>15835</v>
      </c>
      <c r="CC2074" s="23"/>
      <c r="CD2074" s="19" t="s">
        <v>15836</v>
      </c>
      <c r="CE2074" s="23"/>
      <c r="CF2074" s="23"/>
      <c r="CG2074" s="23"/>
      <c r="CH2074" s="23"/>
      <c r="CI2074" s="23"/>
    </row>
    <row r="2075" spans="1:87" x14ac:dyDescent="0.3">
      <c r="A2075" s="9" t="s">
        <v>15837</v>
      </c>
      <c r="B2075" s="10" t="s">
        <v>15838</v>
      </c>
      <c r="C2075" s="11">
        <v>45956.854166666664</v>
      </c>
      <c r="D2075" s="12">
        <v>8.3333333333333329E-2</v>
      </c>
      <c r="E2075" s="11">
        <v>45956.9375</v>
      </c>
      <c r="F2075" s="10" t="s">
        <v>3687</v>
      </c>
      <c r="G2075" s="13" t="b">
        <v>0</v>
      </c>
      <c r="H2075" s="22" t="s">
        <v>88</v>
      </c>
      <c r="I2075" s="10" t="s">
        <v>89</v>
      </c>
      <c r="J2075" s="13" t="b">
        <v>0</v>
      </c>
      <c r="K2075" s="13" t="b">
        <v>1</v>
      </c>
      <c r="L2075" s="10" t="s">
        <v>124</v>
      </c>
      <c r="M2075" s="10" t="s">
        <v>91</v>
      </c>
      <c r="N2075" s="10" t="s">
        <v>92</v>
      </c>
      <c r="O2075" s="19" t="s">
        <v>15839</v>
      </c>
      <c r="P2075" s="10"/>
      <c r="Q2075" s="10" t="s">
        <v>126</v>
      </c>
      <c r="R2075" s="10"/>
      <c r="S2075" s="19" t="s">
        <v>15840</v>
      </c>
      <c r="T2075" s="19" t="s">
        <v>15841</v>
      </c>
      <c r="U2075" s="10" t="s">
        <v>3690</v>
      </c>
      <c r="V2075" s="10" t="s">
        <v>3704</v>
      </c>
      <c r="W2075" s="10" t="s">
        <v>3692</v>
      </c>
      <c r="X2075" s="10" t="s">
        <v>130</v>
      </c>
      <c r="Y2075" s="10" t="s">
        <v>130</v>
      </c>
      <c r="Z2075" s="10" t="s">
        <v>99</v>
      </c>
      <c r="AA2075" s="10" t="s">
        <v>131</v>
      </c>
      <c r="AB2075" s="10" t="s">
        <v>3693</v>
      </c>
      <c r="AC2075" s="10" t="s">
        <v>3694</v>
      </c>
      <c r="AD2075" s="10" t="s">
        <v>15842</v>
      </c>
      <c r="AE2075" s="10" t="s">
        <v>15843</v>
      </c>
      <c r="AF2075" s="15"/>
      <c r="AG2075" s="10"/>
      <c r="AH2075" s="10"/>
      <c r="AI2075" s="10"/>
      <c r="AJ2075" s="10"/>
      <c r="AK2075" s="10" t="s">
        <v>102</v>
      </c>
      <c r="AL2075" s="10" t="s">
        <v>1252</v>
      </c>
      <c r="AM2075" s="10"/>
      <c r="AN2075" s="10"/>
      <c r="AO2075" s="13" t="b">
        <v>0</v>
      </c>
      <c r="AP2075" s="22" t="s">
        <v>104</v>
      </c>
      <c r="AQ2075" s="10">
        <f ca="1">IFERROR(__xludf.DUMMYFUNCTION("""COMPUTED_VALUE"""),4666461)</f>
        <v>4666461</v>
      </c>
      <c r="AR2075" s="17">
        <v>27487</v>
      </c>
      <c r="AS2075" s="17">
        <v>20256</v>
      </c>
      <c r="AT2075" s="17">
        <v>221972</v>
      </c>
      <c r="AU2075" s="17">
        <v>163.65</v>
      </c>
      <c r="AV2075" s="17">
        <v>76.650000000000006</v>
      </c>
      <c r="AW2075" s="10" t="s">
        <v>105</v>
      </c>
      <c r="AX2075" s="17">
        <v>5331</v>
      </c>
      <c r="AY2075" s="18">
        <v>10.958333333333334</v>
      </c>
      <c r="AZ2075" s="10" t="s">
        <v>3783</v>
      </c>
      <c r="BA2075" s="20" t="b">
        <v>0</v>
      </c>
      <c r="BB2075" s="10"/>
      <c r="BC2075" s="17">
        <v>27487</v>
      </c>
      <c r="BD2075" s="17">
        <v>20256</v>
      </c>
      <c r="BE2075" s="17">
        <v>221972</v>
      </c>
      <c r="BF2075" s="17">
        <v>76.650000000000006</v>
      </c>
      <c r="BG2075" s="11">
        <f ca="1">IFERROR(__xludf.DUMMYFUNCTION("""COMPUTED_VALUE"""),45956.8541666666)</f>
        <v>45956.854166666599</v>
      </c>
      <c r="BH2075" s="17" t="s">
        <v>105</v>
      </c>
      <c r="BI2075" s="17"/>
      <c r="BJ2075" s="15"/>
      <c r="BK2075" s="15"/>
      <c r="BL2075" s="13" t="b">
        <v>0</v>
      </c>
      <c r="BM2075" s="10"/>
      <c r="BN2075" s="10" t="s">
        <v>1160</v>
      </c>
      <c r="BO2075" s="11">
        <v>45919.619444444441</v>
      </c>
      <c r="BP2075" s="11">
        <v>45948.412291666667</v>
      </c>
      <c r="BQ2075" s="15">
        <v>45953.405601851853</v>
      </c>
      <c r="BR2075" s="15">
        <v>45953.483344907407</v>
      </c>
      <c r="BS2075" s="10" t="s">
        <v>1160</v>
      </c>
      <c r="BT2075" s="10" t="s">
        <v>99</v>
      </c>
      <c r="BU2075" s="10" t="s">
        <v>9200</v>
      </c>
      <c r="BV2075" s="10"/>
      <c r="BW2075" s="10"/>
      <c r="BX2075" s="10"/>
      <c r="BY2075" s="23"/>
      <c r="BZ2075" s="23"/>
      <c r="CA2075" s="19" t="s">
        <v>15844</v>
      </c>
      <c r="CB2075" s="19" t="s">
        <v>15845</v>
      </c>
      <c r="CC2075" s="23"/>
      <c r="CD2075" s="19" t="s">
        <v>15846</v>
      </c>
      <c r="CE2075" s="23"/>
      <c r="CF2075" s="23"/>
      <c r="CG2075" s="23"/>
      <c r="CH2075" s="23"/>
      <c r="CI2075" s="23"/>
    </row>
    <row r="2076" spans="1:87" x14ac:dyDescent="0.3">
      <c r="A2076" s="9" t="s">
        <v>15847</v>
      </c>
      <c r="B2076" s="10" t="s">
        <v>15848</v>
      </c>
      <c r="C2076" s="11">
        <v>45957.083333333336</v>
      </c>
      <c r="D2076" s="12">
        <v>8.3333333333333329E-2</v>
      </c>
      <c r="E2076" s="11">
        <v>45957.166666666664</v>
      </c>
      <c r="F2076" s="10" t="s">
        <v>3687</v>
      </c>
      <c r="G2076" s="13" t="b">
        <v>0</v>
      </c>
      <c r="H2076" s="22" t="s">
        <v>88</v>
      </c>
      <c r="I2076" s="10" t="s">
        <v>89</v>
      </c>
      <c r="J2076" s="13" t="b">
        <v>0</v>
      </c>
      <c r="K2076" s="13" t="b">
        <v>1</v>
      </c>
      <c r="L2076" s="10" t="s">
        <v>124</v>
      </c>
      <c r="M2076" s="10" t="s">
        <v>91</v>
      </c>
      <c r="N2076" s="10" t="s">
        <v>92</v>
      </c>
      <c r="O2076" s="19" t="s">
        <v>15849</v>
      </c>
      <c r="P2076" s="10"/>
      <c r="Q2076" s="10" t="s">
        <v>126</v>
      </c>
      <c r="R2076" s="10"/>
      <c r="S2076" s="19" t="s">
        <v>15850</v>
      </c>
      <c r="T2076" s="19" t="s">
        <v>15851</v>
      </c>
      <c r="U2076" s="10" t="s">
        <v>4993</v>
      </c>
      <c r="V2076" s="10" t="s">
        <v>7708</v>
      </c>
      <c r="W2076" s="10" t="s">
        <v>3692</v>
      </c>
      <c r="X2076" s="10" t="s">
        <v>130</v>
      </c>
      <c r="Y2076" s="10" t="s">
        <v>130</v>
      </c>
      <c r="Z2076" s="10" t="s">
        <v>99</v>
      </c>
      <c r="AA2076" s="10" t="s">
        <v>131</v>
      </c>
      <c r="AB2076" s="10" t="s">
        <v>3693</v>
      </c>
      <c r="AC2076" s="10" t="s">
        <v>3694</v>
      </c>
      <c r="AD2076" s="10" t="s">
        <v>15852</v>
      </c>
      <c r="AE2076" s="10" t="s">
        <v>15853</v>
      </c>
      <c r="AF2076" s="15"/>
      <c r="AG2076" s="10"/>
      <c r="AH2076" s="10"/>
      <c r="AI2076" s="10"/>
      <c r="AJ2076" s="10"/>
      <c r="AK2076" s="10" t="s">
        <v>102</v>
      </c>
      <c r="AL2076" s="10" t="s">
        <v>1252</v>
      </c>
      <c r="AM2076" s="10"/>
      <c r="AN2076" s="10"/>
      <c r="AO2076" s="13" t="b">
        <v>0</v>
      </c>
      <c r="AP2076" s="22" t="s">
        <v>104</v>
      </c>
      <c r="AQ2076" s="10">
        <f ca="1">IFERROR(__xludf.DUMMYFUNCTION("""COMPUTED_VALUE"""),4671774)</f>
        <v>4671774</v>
      </c>
      <c r="AR2076" s="17">
        <v>2956</v>
      </c>
      <c r="AS2076" s="17">
        <v>2359</v>
      </c>
      <c r="AT2076" s="17">
        <v>59326.25</v>
      </c>
      <c r="AU2076" s="17">
        <v>1.1499999999999999</v>
      </c>
      <c r="AV2076" s="17">
        <v>0.1</v>
      </c>
      <c r="AW2076" s="10" t="s">
        <v>105</v>
      </c>
      <c r="AX2076" s="17">
        <v>819</v>
      </c>
      <c r="AY2076" s="18">
        <v>25.148897838066979</v>
      </c>
      <c r="AZ2076" s="10" t="s">
        <v>3783</v>
      </c>
      <c r="BA2076" s="20" t="b">
        <v>0</v>
      </c>
      <c r="BB2076" s="10"/>
      <c r="BC2076" s="17">
        <v>2956</v>
      </c>
      <c r="BD2076" s="17">
        <v>2359</v>
      </c>
      <c r="BE2076" s="17">
        <v>59326.25</v>
      </c>
      <c r="BF2076" s="17">
        <v>0.1</v>
      </c>
      <c r="BG2076" s="11">
        <f ca="1">IFERROR(__xludf.DUMMYFUNCTION("""COMPUTED_VALUE"""),45957.0833333333)</f>
        <v>45957.083333333299</v>
      </c>
      <c r="BH2076" s="17" t="s">
        <v>105</v>
      </c>
      <c r="BI2076" s="17"/>
      <c r="BJ2076" s="15"/>
      <c r="BK2076" s="15"/>
      <c r="BL2076" s="13" t="b">
        <v>0</v>
      </c>
      <c r="BM2076" s="10"/>
      <c r="BN2076" s="10" t="s">
        <v>197</v>
      </c>
      <c r="BO2076" s="11">
        <v>45919.619444444441</v>
      </c>
      <c r="BP2076" s="11">
        <v>45950.598009259258</v>
      </c>
      <c r="BQ2076" s="15">
        <v>45953.405844907407</v>
      </c>
      <c r="BR2076" s="15">
        <v>45956.406967592593</v>
      </c>
      <c r="BS2076" s="10" t="s">
        <v>197</v>
      </c>
      <c r="BT2076" s="10" t="s">
        <v>99</v>
      </c>
      <c r="BU2076" s="10" t="s">
        <v>9200</v>
      </c>
      <c r="BV2076" s="10"/>
      <c r="BW2076" s="10"/>
      <c r="BX2076" s="10"/>
      <c r="BY2076" s="23"/>
      <c r="BZ2076" s="23"/>
      <c r="CA2076" s="19" t="s">
        <v>15854</v>
      </c>
      <c r="CB2076" s="19" t="s">
        <v>15855</v>
      </c>
      <c r="CC2076" s="23"/>
      <c r="CD2076" s="19" t="s">
        <v>15856</v>
      </c>
      <c r="CE2076" s="23"/>
      <c r="CF2076" s="23"/>
      <c r="CG2076" s="23"/>
      <c r="CH2076" s="23"/>
      <c r="CI2076" s="23"/>
    </row>
    <row r="2077" spans="1:87" x14ac:dyDescent="0.3">
      <c r="A2077" s="9" t="s">
        <v>15857</v>
      </c>
      <c r="B2077" s="10" t="s">
        <v>15858</v>
      </c>
      <c r="C2077" s="11">
        <v>45956.947916666664</v>
      </c>
      <c r="D2077" s="12">
        <v>8.3333333333333329E-2</v>
      </c>
      <c r="E2077" s="11">
        <v>45957.03125</v>
      </c>
      <c r="F2077" s="10" t="s">
        <v>3687</v>
      </c>
      <c r="G2077" s="13" t="b">
        <v>0</v>
      </c>
      <c r="H2077" s="22" t="s">
        <v>88</v>
      </c>
      <c r="I2077" s="10" t="s">
        <v>89</v>
      </c>
      <c r="J2077" s="13" t="b">
        <v>0</v>
      </c>
      <c r="K2077" s="13" t="b">
        <v>1</v>
      </c>
      <c r="L2077" s="10" t="s">
        <v>124</v>
      </c>
      <c r="M2077" s="10" t="s">
        <v>91</v>
      </c>
      <c r="N2077" s="10" t="s">
        <v>92</v>
      </c>
      <c r="O2077" s="19" t="s">
        <v>15859</v>
      </c>
      <c r="P2077" s="10"/>
      <c r="Q2077" s="10" t="s">
        <v>126</v>
      </c>
      <c r="R2077" s="10"/>
      <c r="S2077" s="19" t="s">
        <v>15860</v>
      </c>
      <c r="T2077" s="19" t="s">
        <v>15861</v>
      </c>
      <c r="U2077" s="10" t="s">
        <v>3727</v>
      </c>
      <c r="V2077" s="10" t="s">
        <v>8476</v>
      </c>
      <c r="W2077" s="10" t="s">
        <v>3692</v>
      </c>
      <c r="X2077" s="10" t="s">
        <v>130</v>
      </c>
      <c r="Y2077" s="10" t="s">
        <v>130</v>
      </c>
      <c r="Z2077" s="10" t="s">
        <v>99</v>
      </c>
      <c r="AA2077" s="10" t="s">
        <v>131</v>
      </c>
      <c r="AB2077" s="10" t="s">
        <v>3693</v>
      </c>
      <c r="AC2077" s="10" t="s">
        <v>3694</v>
      </c>
      <c r="AD2077" s="10" t="s">
        <v>15862</v>
      </c>
      <c r="AE2077" s="10" t="s">
        <v>15863</v>
      </c>
      <c r="AF2077" s="15"/>
      <c r="AG2077" s="10"/>
      <c r="AH2077" s="10"/>
      <c r="AI2077" s="10"/>
      <c r="AJ2077" s="10"/>
      <c r="AK2077" s="10" t="s">
        <v>102</v>
      </c>
      <c r="AL2077" s="10" t="s">
        <v>1252</v>
      </c>
      <c r="AM2077" s="10"/>
      <c r="AN2077" s="10"/>
      <c r="AO2077" s="13" t="b">
        <v>0</v>
      </c>
      <c r="AP2077" s="22" t="s">
        <v>104</v>
      </c>
      <c r="AQ2077" s="10">
        <f ca="1">IFERROR(__xludf.DUMMYFUNCTION("""COMPUTED_VALUE"""),4666462)</f>
        <v>4666462</v>
      </c>
      <c r="AR2077" s="17">
        <v>14739</v>
      </c>
      <c r="AS2077" s="17">
        <v>13387</v>
      </c>
      <c r="AT2077" s="17">
        <v>78377</v>
      </c>
      <c r="AU2077" s="17">
        <v>38.299999999999997</v>
      </c>
      <c r="AV2077" s="17">
        <v>18.95</v>
      </c>
      <c r="AW2077" s="10" t="s">
        <v>105</v>
      </c>
      <c r="AX2077" s="17">
        <v>3705</v>
      </c>
      <c r="AY2077" s="18">
        <v>5.8547097930828418</v>
      </c>
      <c r="AZ2077" s="10" t="s">
        <v>3783</v>
      </c>
      <c r="BA2077" s="20" t="b">
        <v>0</v>
      </c>
      <c r="BB2077" s="10"/>
      <c r="BC2077" s="17">
        <v>14739</v>
      </c>
      <c r="BD2077" s="17">
        <v>13387</v>
      </c>
      <c r="BE2077" s="17">
        <v>78377</v>
      </c>
      <c r="BF2077" s="17">
        <v>18.95</v>
      </c>
      <c r="BG2077" s="11">
        <f ca="1">IFERROR(__xludf.DUMMYFUNCTION("""COMPUTED_VALUE"""),45956.9479166666)</f>
        <v>45956.947916666599</v>
      </c>
      <c r="BH2077" s="17" t="s">
        <v>105</v>
      </c>
      <c r="BI2077" s="17"/>
      <c r="BJ2077" s="15"/>
      <c r="BK2077" s="15"/>
      <c r="BL2077" s="13" t="b">
        <v>0</v>
      </c>
      <c r="BM2077" s="10"/>
      <c r="BN2077" s="10" t="s">
        <v>455</v>
      </c>
      <c r="BO2077" s="11">
        <v>45919.620833333334</v>
      </c>
      <c r="BP2077" s="11">
        <v>45948.412372685183</v>
      </c>
      <c r="BQ2077" s="15">
        <v>45953.405717592592</v>
      </c>
      <c r="BR2077" s="15">
        <v>45953.483020833337</v>
      </c>
      <c r="BS2077" s="10" t="s">
        <v>455</v>
      </c>
      <c r="BT2077" s="10" t="s">
        <v>279</v>
      </c>
      <c r="BU2077" s="10" t="s">
        <v>6753</v>
      </c>
      <c r="BV2077" s="10"/>
      <c r="BW2077" s="10"/>
      <c r="BX2077" s="10"/>
      <c r="BY2077" s="23"/>
      <c r="BZ2077" s="23"/>
      <c r="CA2077" s="19" t="s">
        <v>15864</v>
      </c>
      <c r="CB2077" s="19" t="s">
        <v>15865</v>
      </c>
      <c r="CC2077" s="23"/>
      <c r="CD2077" s="19" t="s">
        <v>15866</v>
      </c>
      <c r="CE2077" s="23"/>
      <c r="CF2077" s="23"/>
      <c r="CG2077" s="23"/>
      <c r="CH2077" s="23"/>
      <c r="CI2077" s="23"/>
    </row>
    <row r="2078" spans="1:87" x14ac:dyDescent="0.3">
      <c r="A2078" s="9" t="s">
        <v>15867</v>
      </c>
      <c r="B2078" s="10" t="s">
        <v>15868</v>
      </c>
      <c r="C2078" s="11">
        <v>45962.083333333336</v>
      </c>
      <c r="D2078" s="12">
        <v>8.3333333333333329E-2</v>
      </c>
      <c r="E2078" s="11">
        <v>45962.166666666664</v>
      </c>
      <c r="F2078" s="10" t="s">
        <v>3687</v>
      </c>
      <c r="G2078" s="13" t="b">
        <v>0</v>
      </c>
      <c r="H2078" s="22" t="s">
        <v>88</v>
      </c>
      <c r="I2078" s="10" t="s">
        <v>89</v>
      </c>
      <c r="J2078" s="13" t="b">
        <v>0</v>
      </c>
      <c r="K2078" s="13" t="b">
        <v>1</v>
      </c>
      <c r="L2078" s="10" t="s">
        <v>124</v>
      </c>
      <c r="M2078" s="10" t="s">
        <v>91</v>
      </c>
      <c r="N2078" s="10" t="s">
        <v>92</v>
      </c>
      <c r="O2078" s="19" t="s">
        <v>15869</v>
      </c>
      <c r="P2078" s="10"/>
      <c r="Q2078" s="10" t="s">
        <v>126</v>
      </c>
      <c r="R2078" s="10"/>
      <c r="S2078" s="19" t="s">
        <v>15870</v>
      </c>
      <c r="T2078" s="19" t="s">
        <v>15871</v>
      </c>
      <c r="U2078" s="10" t="s">
        <v>3704</v>
      </c>
      <c r="V2078" s="10" t="s">
        <v>4992</v>
      </c>
      <c r="W2078" s="10" t="s">
        <v>3692</v>
      </c>
      <c r="X2078" s="10" t="s">
        <v>130</v>
      </c>
      <c r="Y2078" s="10" t="s">
        <v>130</v>
      </c>
      <c r="Z2078" s="10" t="s">
        <v>99</v>
      </c>
      <c r="AA2078" s="10" t="s">
        <v>131</v>
      </c>
      <c r="AB2078" s="10" t="s">
        <v>3693</v>
      </c>
      <c r="AC2078" s="10" t="s">
        <v>3694</v>
      </c>
      <c r="AD2078" s="10" t="s">
        <v>15872</v>
      </c>
      <c r="AE2078" s="10" t="s">
        <v>15873</v>
      </c>
      <c r="AF2078" s="15"/>
      <c r="AG2078" s="10"/>
      <c r="AH2078" s="10"/>
      <c r="AI2078" s="10"/>
      <c r="AJ2078" s="10" t="s">
        <v>15874</v>
      </c>
      <c r="AK2078" s="10" t="s">
        <v>102</v>
      </c>
      <c r="AL2078" s="10" t="s">
        <v>1360</v>
      </c>
      <c r="AM2078" s="10"/>
      <c r="AN2078" s="10"/>
      <c r="AO2078" s="13" t="b">
        <v>0</v>
      </c>
      <c r="AP2078" s="22" t="s">
        <v>104</v>
      </c>
      <c r="AQ2078" s="10">
        <f ca="1">IFERROR(__xludf.DUMMYFUNCTION("""COMPUTED_VALUE"""),4678464)</f>
        <v>4678464</v>
      </c>
      <c r="AR2078" s="17">
        <v>5426</v>
      </c>
      <c r="AS2078" s="17">
        <v>4237</v>
      </c>
      <c r="AT2078" s="17">
        <v>138891</v>
      </c>
      <c r="AU2078" s="17">
        <v>12.85</v>
      </c>
      <c r="AV2078" s="17">
        <v>4.0999999999999996</v>
      </c>
      <c r="AW2078" s="10" t="s">
        <v>105</v>
      </c>
      <c r="AX2078" s="17">
        <v>1300</v>
      </c>
      <c r="AY2078" s="18">
        <v>32.780505074345058</v>
      </c>
      <c r="AZ2078" s="10" t="s">
        <v>3783</v>
      </c>
      <c r="BA2078" s="20" t="b">
        <v>0</v>
      </c>
      <c r="BB2078" s="10"/>
      <c r="BC2078" s="17">
        <v>5426</v>
      </c>
      <c r="BD2078" s="17">
        <v>4237</v>
      </c>
      <c r="BE2078" s="17">
        <v>138891</v>
      </c>
      <c r="BF2078" s="17">
        <v>4.0999999999999996</v>
      </c>
      <c r="BG2078" s="11">
        <f ca="1">IFERROR(__xludf.DUMMYFUNCTION("""COMPUTED_VALUE"""),45962.0833333333)</f>
        <v>45962.083333333299</v>
      </c>
      <c r="BH2078" s="17" t="s">
        <v>105</v>
      </c>
      <c r="BI2078" s="17"/>
      <c r="BJ2078" s="15"/>
      <c r="BK2078" s="15"/>
      <c r="BL2078" s="13" t="b">
        <v>0</v>
      </c>
      <c r="BM2078" s="10"/>
      <c r="BN2078" s="10" t="s">
        <v>197</v>
      </c>
      <c r="BO2078" s="11">
        <v>45919.624305555553</v>
      </c>
      <c r="BP2078" s="11">
        <v>45957.631226851852</v>
      </c>
      <c r="BQ2078" s="15">
        <v>45960.562083333331</v>
      </c>
      <c r="BR2078" s="15">
        <v>45960.709618055553</v>
      </c>
      <c r="BS2078" s="10" t="s">
        <v>197</v>
      </c>
      <c r="BT2078" s="10" t="s">
        <v>99</v>
      </c>
      <c r="BU2078" s="10" t="s">
        <v>456</v>
      </c>
      <c r="BV2078" s="10"/>
      <c r="BW2078" s="10"/>
      <c r="BX2078" s="10"/>
      <c r="BY2078" s="23"/>
      <c r="BZ2078" s="23"/>
      <c r="CA2078" s="19" t="s">
        <v>15875</v>
      </c>
      <c r="CB2078" s="19" t="s">
        <v>15876</v>
      </c>
      <c r="CC2078" s="23"/>
      <c r="CD2078" s="19" t="s">
        <v>15877</v>
      </c>
      <c r="CE2078" s="23"/>
      <c r="CF2078" s="23"/>
      <c r="CG2078" s="23"/>
      <c r="CH2078" s="23"/>
      <c r="CI2078" s="23"/>
    </row>
    <row r="2079" spans="1:87" x14ac:dyDescent="0.3">
      <c r="A2079" s="9" t="s">
        <v>15878</v>
      </c>
      <c r="B2079" s="10" t="s">
        <v>15879</v>
      </c>
      <c r="C2079" s="11">
        <v>45963.083333333336</v>
      </c>
      <c r="D2079" s="12">
        <v>8.3333333333333329E-2</v>
      </c>
      <c r="E2079" s="11">
        <v>45963.166666666664</v>
      </c>
      <c r="F2079" s="10" t="s">
        <v>3687</v>
      </c>
      <c r="G2079" s="13" t="b">
        <v>0</v>
      </c>
      <c r="H2079" s="22" t="s">
        <v>88</v>
      </c>
      <c r="I2079" s="10" t="s">
        <v>89</v>
      </c>
      <c r="J2079" s="13" t="b">
        <v>0</v>
      </c>
      <c r="K2079" s="13" t="b">
        <v>1</v>
      </c>
      <c r="L2079" s="10" t="s">
        <v>124</v>
      </c>
      <c r="M2079" s="10" t="s">
        <v>91</v>
      </c>
      <c r="N2079" s="10" t="s">
        <v>92</v>
      </c>
      <c r="O2079" s="19" t="s">
        <v>15880</v>
      </c>
      <c r="P2079" s="10"/>
      <c r="Q2079" s="10" t="s">
        <v>126</v>
      </c>
      <c r="R2079" s="10"/>
      <c r="S2079" s="19" t="s">
        <v>15881</v>
      </c>
      <c r="T2079" s="19" t="s">
        <v>15882</v>
      </c>
      <c r="U2079" s="10" t="s">
        <v>3690</v>
      </c>
      <c r="V2079" s="10" t="s">
        <v>7752</v>
      </c>
      <c r="W2079" s="10" t="s">
        <v>3692</v>
      </c>
      <c r="X2079" s="10" t="s">
        <v>130</v>
      </c>
      <c r="Y2079" s="10" t="s">
        <v>130</v>
      </c>
      <c r="Z2079" s="10" t="s">
        <v>99</v>
      </c>
      <c r="AA2079" s="10" t="s">
        <v>131</v>
      </c>
      <c r="AB2079" s="10" t="s">
        <v>3693</v>
      </c>
      <c r="AC2079" s="10" t="s">
        <v>3694</v>
      </c>
      <c r="AD2079" s="10" t="s">
        <v>15883</v>
      </c>
      <c r="AE2079" s="10" t="s">
        <v>15884</v>
      </c>
      <c r="AF2079" s="15"/>
      <c r="AG2079" s="10"/>
      <c r="AH2079" s="10"/>
      <c r="AI2079" s="10"/>
      <c r="AJ2079" s="10" t="s">
        <v>15885</v>
      </c>
      <c r="AK2079" s="10" t="s">
        <v>102</v>
      </c>
      <c r="AL2079" s="10" t="s">
        <v>1360</v>
      </c>
      <c r="AM2079" s="10"/>
      <c r="AN2079" s="10"/>
      <c r="AO2079" s="13" t="b">
        <v>0</v>
      </c>
      <c r="AP2079" s="22" t="s">
        <v>104</v>
      </c>
      <c r="AQ2079" s="10">
        <f ca="1">IFERROR(__xludf.DUMMYFUNCTION("""COMPUTED_VALUE"""),4678466)</f>
        <v>4678466</v>
      </c>
      <c r="AR2079" s="17">
        <v>3348</v>
      </c>
      <c r="AS2079" s="17">
        <v>2713</v>
      </c>
      <c r="AT2079" s="17">
        <v>34813</v>
      </c>
      <c r="AU2079" s="17">
        <v>1.55</v>
      </c>
      <c r="AV2079" s="17">
        <v>0</v>
      </c>
      <c r="AW2079" s="10" t="s">
        <v>105</v>
      </c>
      <c r="AX2079" s="17">
        <v>815</v>
      </c>
      <c r="AY2079" s="18">
        <v>12.831920383339476</v>
      </c>
      <c r="AZ2079" s="10" t="s">
        <v>3783</v>
      </c>
      <c r="BA2079" s="20" t="b">
        <v>0</v>
      </c>
      <c r="BB2079" s="10"/>
      <c r="BC2079" s="17">
        <v>3348</v>
      </c>
      <c r="BD2079" s="17">
        <v>2713</v>
      </c>
      <c r="BE2079" s="17">
        <v>34813</v>
      </c>
      <c r="BF2079" s="17">
        <v>0</v>
      </c>
      <c r="BG2079" s="11">
        <f ca="1">IFERROR(__xludf.DUMMYFUNCTION("""COMPUTED_VALUE"""),45963.0833333333)</f>
        <v>45963.083333333299</v>
      </c>
      <c r="BH2079" s="17" t="s">
        <v>105</v>
      </c>
      <c r="BI2079" s="17"/>
      <c r="BJ2079" s="15"/>
      <c r="BK2079" s="15"/>
      <c r="BL2079" s="13" t="b">
        <v>0</v>
      </c>
      <c r="BM2079" s="10"/>
      <c r="BN2079" s="10" t="s">
        <v>634</v>
      </c>
      <c r="BO2079" s="11">
        <v>45919.625</v>
      </c>
      <c r="BP2079" s="11">
        <v>45957.447581018518</v>
      </c>
      <c r="BQ2079" s="15">
        <v>45960.562303240738</v>
      </c>
      <c r="BR2079" s="15">
        <v>45960.712812500002</v>
      </c>
      <c r="BS2079" s="10" t="s">
        <v>634</v>
      </c>
      <c r="BT2079" s="10" t="s">
        <v>99</v>
      </c>
      <c r="BU2079" s="10" t="s">
        <v>931</v>
      </c>
      <c r="BV2079" s="10"/>
      <c r="BW2079" s="10"/>
      <c r="BX2079" s="10"/>
      <c r="BY2079" s="23"/>
      <c r="BZ2079" s="23"/>
      <c r="CA2079" s="19" t="s">
        <v>15886</v>
      </c>
      <c r="CB2079" s="19" t="s">
        <v>15887</v>
      </c>
      <c r="CC2079" s="23"/>
      <c r="CD2079" s="19" t="s">
        <v>15888</v>
      </c>
      <c r="CE2079" s="23"/>
      <c r="CF2079" s="23"/>
      <c r="CG2079" s="23"/>
      <c r="CH2079" s="23"/>
      <c r="CI2079" s="23"/>
    </row>
    <row r="2080" spans="1:87" x14ac:dyDescent="0.3">
      <c r="A2080" s="9" t="s">
        <v>15889</v>
      </c>
      <c r="B2080" s="10" t="s">
        <v>15890</v>
      </c>
      <c r="C2080" s="11">
        <v>45962.9375</v>
      </c>
      <c r="D2080" s="12">
        <v>8.3333333333333329E-2</v>
      </c>
      <c r="E2080" s="11">
        <v>45963.020833333336</v>
      </c>
      <c r="F2080" s="10" t="s">
        <v>3687</v>
      </c>
      <c r="G2080" s="13" t="b">
        <v>0</v>
      </c>
      <c r="H2080" s="22" t="s">
        <v>88</v>
      </c>
      <c r="I2080" s="10" t="s">
        <v>89</v>
      </c>
      <c r="J2080" s="13" t="b">
        <v>0</v>
      </c>
      <c r="K2080" s="13" t="b">
        <v>1</v>
      </c>
      <c r="L2080" s="10" t="s">
        <v>124</v>
      </c>
      <c r="M2080" s="10" t="s">
        <v>91</v>
      </c>
      <c r="N2080" s="10" t="s">
        <v>92</v>
      </c>
      <c r="O2080" s="19" t="s">
        <v>15891</v>
      </c>
      <c r="P2080" s="10"/>
      <c r="Q2080" s="10" t="s">
        <v>126</v>
      </c>
      <c r="R2080" s="10"/>
      <c r="S2080" s="19" t="s">
        <v>15892</v>
      </c>
      <c r="T2080" s="19" t="s">
        <v>15893</v>
      </c>
      <c r="U2080" s="10" t="s">
        <v>3715</v>
      </c>
      <c r="V2080" s="10" t="s">
        <v>8689</v>
      </c>
      <c r="W2080" s="10" t="s">
        <v>3692</v>
      </c>
      <c r="X2080" s="10" t="s">
        <v>130</v>
      </c>
      <c r="Y2080" s="10" t="s">
        <v>130</v>
      </c>
      <c r="Z2080" s="10" t="s">
        <v>99</v>
      </c>
      <c r="AA2080" s="10" t="s">
        <v>131</v>
      </c>
      <c r="AB2080" s="10" t="s">
        <v>3693</v>
      </c>
      <c r="AC2080" s="10" t="s">
        <v>3694</v>
      </c>
      <c r="AD2080" s="10" t="s">
        <v>15894</v>
      </c>
      <c r="AE2080" s="10" t="s">
        <v>15895</v>
      </c>
      <c r="AF2080" s="15"/>
      <c r="AG2080" s="10"/>
      <c r="AH2080" s="10"/>
      <c r="AI2080" s="10"/>
      <c r="AJ2080" s="10" t="s">
        <v>15896</v>
      </c>
      <c r="AK2080" s="10" t="s">
        <v>102</v>
      </c>
      <c r="AL2080" s="10" t="s">
        <v>1360</v>
      </c>
      <c r="AM2080" s="10"/>
      <c r="AN2080" s="10"/>
      <c r="AO2080" s="13" t="b">
        <v>0</v>
      </c>
      <c r="AP2080" s="22" t="s">
        <v>104</v>
      </c>
      <c r="AQ2080" s="10">
        <f ca="1">IFERROR(__xludf.DUMMYFUNCTION("""COMPUTED_VALUE"""),4678465)</f>
        <v>4678465</v>
      </c>
      <c r="AR2080" s="17">
        <v>8072</v>
      </c>
      <c r="AS2080" s="17">
        <v>6604</v>
      </c>
      <c r="AT2080" s="17">
        <v>70236</v>
      </c>
      <c r="AU2080" s="17">
        <v>13.15</v>
      </c>
      <c r="AV2080" s="17">
        <v>4.3</v>
      </c>
      <c r="AW2080" s="10" t="s">
        <v>105</v>
      </c>
      <c r="AX2080" s="17">
        <v>1281</v>
      </c>
      <c r="AY2080" s="18">
        <v>10.635372501514233</v>
      </c>
      <c r="AZ2080" s="10" t="s">
        <v>3783</v>
      </c>
      <c r="BA2080" s="20" t="b">
        <v>0</v>
      </c>
      <c r="BB2080" s="10"/>
      <c r="BC2080" s="17">
        <v>8072</v>
      </c>
      <c r="BD2080" s="17">
        <v>6604</v>
      </c>
      <c r="BE2080" s="17">
        <v>70236</v>
      </c>
      <c r="BF2080" s="17">
        <v>4.3</v>
      </c>
      <c r="BG2080" s="11">
        <f ca="1">IFERROR(__xludf.DUMMYFUNCTION("""COMPUTED_VALUE"""),45962.9375)</f>
        <v>45962.9375</v>
      </c>
      <c r="BH2080" s="17" t="s">
        <v>105</v>
      </c>
      <c r="BI2080" s="17"/>
      <c r="BJ2080" s="15"/>
      <c r="BK2080" s="15"/>
      <c r="BL2080" s="13" t="b">
        <v>0</v>
      </c>
      <c r="BM2080" s="10"/>
      <c r="BN2080" s="10" t="s">
        <v>197</v>
      </c>
      <c r="BO2080" s="11">
        <v>45919.627083333333</v>
      </c>
      <c r="BP2080" s="11">
        <v>45957.447152777779</v>
      </c>
      <c r="BQ2080" s="15">
        <v>45960.5621875</v>
      </c>
      <c r="BR2080" s="15">
        <v>45960.711064814815</v>
      </c>
      <c r="BS2080" s="10" t="s">
        <v>197</v>
      </c>
      <c r="BT2080" s="10" t="s">
        <v>99</v>
      </c>
      <c r="BU2080" s="10" t="s">
        <v>9114</v>
      </c>
      <c r="BV2080" s="10"/>
      <c r="BW2080" s="10"/>
      <c r="BX2080" s="10"/>
      <c r="BY2080" s="23"/>
      <c r="BZ2080" s="23"/>
      <c r="CA2080" s="19" t="s">
        <v>15897</v>
      </c>
      <c r="CB2080" s="19" t="s">
        <v>15898</v>
      </c>
      <c r="CC2080" s="23"/>
      <c r="CD2080" s="19" t="s">
        <v>15899</v>
      </c>
      <c r="CE2080" s="23"/>
      <c r="CF2080" s="23"/>
      <c r="CG2080" s="23"/>
      <c r="CH2080" s="23"/>
      <c r="CI2080" s="23"/>
    </row>
    <row r="2081" spans="1:87" x14ac:dyDescent="0.3">
      <c r="A2081" s="9" t="s">
        <v>15900</v>
      </c>
      <c r="B2081" s="10" t="s">
        <v>15901</v>
      </c>
      <c r="C2081" s="11">
        <v>45921.291666666664</v>
      </c>
      <c r="D2081" s="12">
        <v>0.375</v>
      </c>
      <c r="E2081" s="11">
        <v>45921.666666666664</v>
      </c>
      <c r="F2081" s="10" t="s">
        <v>9016</v>
      </c>
      <c r="G2081" s="13" t="b">
        <v>0</v>
      </c>
      <c r="H2081" s="22" t="s">
        <v>9017</v>
      </c>
      <c r="I2081" s="10" t="s">
        <v>212</v>
      </c>
      <c r="J2081" s="13" t="b">
        <v>1</v>
      </c>
      <c r="K2081" s="13" t="b">
        <v>0</v>
      </c>
      <c r="L2081" s="10" t="s">
        <v>124</v>
      </c>
      <c r="M2081" s="10" t="s">
        <v>91</v>
      </c>
      <c r="N2081" s="10" t="s">
        <v>92</v>
      </c>
      <c r="O2081" s="19" t="s">
        <v>15902</v>
      </c>
      <c r="P2081" s="10"/>
      <c r="Q2081" s="10" t="s">
        <v>94</v>
      </c>
      <c r="R2081" s="10"/>
      <c r="S2081" s="19" t="s">
        <v>9019</v>
      </c>
      <c r="T2081" s="10"/>
      <c r="U2081" s="10"/>
      <c r="V2081" s="10"/>
      <c r="W2081" s="10" t="s">
        <v>9020</v>
      </c>
      <c r="X2081" s="10" t="s">
        <v>130</v>
      </c>
      <c r="Y2081" s="10" t="s">
        <v>130</v>
      </c>
      <c r="Z2081" s="10" t="s">
        <v>99</v>
      </c>
      <c r="AA2081" s="10" t="s">
        <v>131</v>
      </c>
      <c r="AB2081" s="10" t="s">
        <v>9021</v>
      </c>
      <c r="AC2081" s="10" t="s">
        <v>9022</v>
      </c>
      <c r="AD2081" s="10" t="s">
        <v>165</v>
      </c>
      <c r="AE2081" s="10" t="s">
        <v>15903</v>
      </c>
      <c r="AF2081" s="15"/>
      <c r="AG2081" s="10"/>
      <c r="AH2081" s="10"/>
      <c r="AI2081" s="10"/>
      <c r="AJ2081" s="10"/>
      <c r="AK2081" s="10" t="s">
        <v>102</v>
      </c>
      <c r="AL2081" s="10" t="s">
        <v>156</v>
      </c>
      <c r="AM2081" s="10"/>
      <c r="AN2081" s="10"/>
      <c r="AO2081" s="13" t="b">
        <v>0</v>
      </c>
      <c r="AP2081" s="22" t="s">
        <v>104</v>
      </c>
      <c r="AQ2081" s="10">
        <f ca="1">IFERROR(__xludf.DUMMYFUNCTION("""COMPUTED_VALUE"""),19587)</f>
        <v>19587</v>
      </c>
      <c r="AR2081" s="21">
        <v>155</v>
      </c>
      <c r="AS2081" s="21">
        <v>132</v>
      </c>
      <c r="AT2081" s="21">
        <v>1394</v>
      </c>
      <c r="AU2081" s="21">
        <v>0</v>
      </c>
      <c r="AV2081" s="21">
        <v>0</v>
      </c>
      <c r="AW2081" s="22" t="s">
        <v>105</v>
      </c>
      <c r="AX2081" s="21"/>
      <c r="AY2081" s="18">
        <v>9.291922531884742</v>
      </c>
      <c r="AZ2081" s="10"/>
      <c r="BA2081" s="20" t="b">
        <v>1</v>
      </c>
      <c r="BB2081" s="10"/>
      <c r="BC2081" s="17">
        <v>2677</v>
      </c>
      <c r="BD2081" s="17">
        <v>2117</v>
      </c>
      <c r="BE2081" s="17">
        <v>19671</v>
      </c>
      <c r="BF2081" s="17">
        <v>0</v>
      </c>
      <c r="BG2081" s="11">
        <f ca="1">IFERROR(__xludf.DUMMYFUNCTION("""COMPUTED_VALUE"""),45921.2916666666)</f>
        <v>45921.291666666599</v>
      </c>
      <c r="BH2081" s="17" t="s">
        <v>105</v>
      </c>
      <c r="BI2081" s="17"/>
      <c r="BJ2081" s="15"/>
      <c r="BK2081" s="15"/>
      <c r="BL2081" s="13" t="b">
        <v>0</v>
      </c>
      <c r="BM2081" s="10"/>
      <c r="BN2081" s="10" t="s">
        <v>118</v>
      </c>
      <c r="BO2081" s="11">
        <v>45920.606249999997</v>
      </c>
      <c r="BP2081" s="11">
        <v>45920.606446759259</v>
      </c>
      <c r="BQ2081" s="15">
        <v>45920.61074074074</v>
      </c>
      <c r="BR2081" s="15">
        <v>45920.748622685183</v>
      </c>
      <c r="BS2081" s="10" t="s">
        <v>118</v>
      </c>
      <c r="BT2081" s="10"/>
      <c r="BU2081" s="10"/>
      <c r="BV2081" s="10"/>
      <c r="BW2081" s="10"/>
      <c r="BX2081" s="10"/>
      <c r="BY2081" s="23"/>
      <c r="BZ2081" s="23"/>
      <c r="CA2081" s="19" t="s">
        <v>9024</v>
      </c>
      <c r="CB2081" s="23"/>
      <c r="CC2081" s="23"/>
      <c r="CD2081" s="23"/>
      <c r="CE2081" s="23"/>
      <c r="CF2081" s="23"/>
      <c r="CG2081" s="23"/>
      <c r="CH2081" s="23"/>
      <c r="CI2081" s="23"/>
    </row>
    <row r="2082" spans="1:87" x14ac:dyDescent="0.3">
      <c r="A2082" s="9" t="s">
        <v>15904</v>
      </c>
      <c r="B2082" s="10" t="s">
        <v>15905</v>
      </c>
      <c r="C2082" s="11">
        <v>45921.291666666664</v>
      </c>
      <c r="D2082" s="12">
        <v>2.0833333333333332E-2</v>
      </c>
      <c r="E2082" s="11">
        <v>45921.3125</v>
      </c>
      <c r="F2082" s="10" t="s">
        <v>9016</v>
      </c>
      <c r="G2082" s="13" t="b">
        <v>0</v>
      </c>
      <c r="H2082" s="22" t="s">
        <v>9017</v>
      </c>
      <c r="I2082" s="10" t="s">
        <v>212</v>
      </c>
      <c r="J2082" s="13" t="b">
        <v>1</v>
      </c>
      <c r="K2082" s="13" t="b">
        <v>0</v>
      </c>
      <c r="L2082" s="10" t="s">
        <v>124</v>
      </c>
      <c r="M2082" s="10" t="s">
        <v>91</v>
      </c>
      <c r="N2082" s="10" t="s">
        <v>92</v>
      </c>
      <c r="O2082" s="19" t="s">
        <v>15906</v>
      </c>
      <c r="P2082" s="10"/>
      <c r="Q2082" s="10" t="s">
        <v>94</v>
      </c>
      <c r="R2082" s="10"/>
      <c r="S2082" s="19" t="s">
        <v>9019</v>
      </c>
      <c r="T2082" s="10"/>
      <c r="U2082" s="10"/>
      <c r="V2082" s="10"/>
      <c r="W2082" s="10" t="s">
        <v>9020</v>
      </c>
      <c r="X2082" s="10" t="s">
        <v>130</v>
      </c>
      <c r="Y2082" s="10" t="s">
        <v>130</v>
      </c>
      <c r="Z2082" s="10" t="s">
        <v>99</v>
      </c>
      <c r="AA2082" s="10" t="s">
        <v>131</v>
      </c>
      <c r="AB2082" s="10" t="s">
        <v>9021</v>
      </c>
      <c r="AC2082" s="10" t="s">
        <v>9022</v>
      </c>
      <c r="AD2082" s="10" t="s">
        <v>165</v>
      </c>
      <c r="AE2082" s="10" t="s">
        <v>15907</v>
      </c>
      <c r="AF2082" s="15"/>
      <c r="AG2082" s="10"/>
      <c r="AH2082" s="10"/>
      <c r="AI2082" s="10"/>
      <c r="AJ2082" s="10"/>
      <c r="AK2082" s="10" t="s">
        <v>102</v>
      </c>
      <c r="AL2082" s="10"/>
      <c r="AM2082" s="10"/>
      <c r="AN2082" s="10"/>
      <c r="AO2082" s="13" t="b">
        <v>0</v>
      </c>
      <c r="AP2082" s="22" t="s">
        <v>104</v>
      </c>
      <c r="AQ2082" s="10">
        <f ca="1">IFERROR(__xludf.DUMMYFUNCTION("""COMPUTED_VALUE"""),4585740)</f>
        <v>4585740</v>
      </c>
      <c r="AR2082" s="17">
        <v>112</v>
      </c>
      <c r="AS2082" s="17">
        <v>94</v>
      </c>
      <c r="AT2082" s="17">
        <v>1176.25</v>
      </c>
      <c r="AU2082" s="17">
        <v>0</v>
      </c>
      <c r="AV2082" s="17">
        <v>0</v>
      </c>
      <c r="AW2082" s="10" t="s">
        <v>105</v>
      </c>
      <c r="AX2082" s="17">
        <v>44</v>
      </c>
      <c r="AY2082" s="18">
        <v>12.513297872340425</v>
      </c>
      <c r="AZ2082" s="10"/>
      <c r="BA2082" s="20" t="b">
        <v>0</v>
      </c>
      <c r="BB2082" s="10" t="s">
        <v>15900</v>
      </c>
      <c r="BC2082" s="17">
        <v>112</v>
      </c>
      <c r="BD2082" s="17">
        <v>94</v>
      </c>
      <c r="BE2082" s="17">
        <v>1176.25</v>
      </c>
      <c r="BF2082" s="17">
        <v>0</v>
      </c>
      <c r="BG2082" s="11">
        <f ca="1">IFERROR(__xludf.DUMMYFUNCTION("""COMPUTED_VALUE"""),45921.2916666666)</f>
        <v>45921.291666666599</v>
      </c>
      <c r="BH2082" s="17" t="s">
        <v>105</v>
      </c>
      <c r="BI2082" s="17"/>
      <c r="BJ2082" s="15"/>
      <c r="BK2082" s="15"/>
      <c r="BL2082" s="13" t="b">
        <v>0</v>
      </c>
      <c r="BM2082" s="10"/>
      <c r="BN2082" s="10" t="s">
        <v>118</v>
      </c>
      <c r="BO2082" s="11">
        <v>45920.61041666667</v>
      </c>
      <c r="BP2082" s="11">
        <v>45920.611180555556</v>
      </c>
      <c r="BQ2082" s="15"/>
      <c r="BR2082" s="15">
        <v>45920.745289351849</v>
      </c>
      <c r="BS2082" s="10" t="s">
        <v>118</v>
      </c>
      <c r="BT2082" s="10"/>
      <c r="BU2082" s="10"/>
      <c r="BV2082" s="10"/>
      <c r="BW2082" s="10"/>
      <c r="BX2082" s="10"/>
      <c r="BY2082" s="23"/>
      <c r="BZ2082" s="23"/>
      <c r="CA2082" s="19" t="s">
        <v>9024</v>
      </c>
      <c r="CB2082" s="23"/>
      <c r="CC2082" s="23"/>
      <c r="CD2082" s="23"/>
      <c r="CE2082" s="23"/>
      <c r="CF2082" s="23"/>
      <c r="CG2082" s="23"/>
      <c r="CH2082" s="23"/>
      <c r="CI2082" s="23"/>
    </row>
    <row r="2083" spans="1:87" x14ac:dyDescent="0.3">
      <c r="A2083" s="9" t="s">
        <v>15908</v>
      </c>
      <c r="B2083" s="10" t="s">
        <v>15909</v>
      </c>
      <c r="C2083" s="11">
        <v>45921.3125</v>
      </c>
      <c r="D2083" s="12">
        <v>2.0833333333333332E-2</v>
      </c>
      <c r="E2083" s="11">
        <v>45921.333333333336</v>
      </c>
      <c r="F2083" s="10" t="s">
        <v>9016</v>
      </c>
      <c r="G2083" s="13" t="b">
        <v>0</v>
      </c>
      <c r="H2083" s="22" t="s">
        <v>9017</v>
      </c>
      <c r="I2083" s="10" t="s">
        <v>212</v>
      </c>
      <c r="J2083" s="13" t="b">
        <v>1</v>
      </c>
      <c r="K2083" s="13" t="b">
        <v>0</v>
      </c>
      <c r="L2083" s="10" t="s">
        <v>124</v>
      </c>
      <c r="M2083" s="10" t="s">
        <v>91</v>
      </c>
      <c r="N2083" s="10" t="s">
        <v>92</v>
      </c>
      <c r="O2083" s="19" t="s">
        <v>15910</v>
      </c>
      <c r="P2083" s="10"/>
      <c r="Q2083" s="10" t="s">
        <v>94</v>
      </c>
      <c r="R2083" s="10"/>
      <c r="S2083" s="19" t="s">
        <v>9019</v>
      </c>
      <c r="T2083" s="10"/>
      <c r="U2083" s="10"/>
      <c r="V2083" s="10"/>
      <c r="W2083" s="10" t="s">
        <v>9020</v>
      </c>
      <c r="X2083" s="10" t="s">
        <v>130</v>
      </c>
      <c r="Y2083" s="10" t="s">
        <v>130</v>
      </c>
      <c r="Z2083" s="10" t="s">
        <v>99</v>
      </c>
      <c r="AA2083" s="10" t="s">
        <v>131</v>
      </c>
      <c r="AB2083" s="10" t="s">
        <v>9021</v>
      </c>
      <c r="AC2083" s="10" t="s">
        <v>9022</v>
      </c>
      <c r="AD2083" s="10" t="s">
        <v>165</v>
      </c>
      <c r="AE2083" s="10" t="s">
        <v>15911</v>
      </c>
      <c r="AF2083" s="15"/>
      <c r="AG2083" s="10"/>
      <c r="AH2083" s="10"/>
      <c r="AI2083" s="10"/>
      <c r="AJ2083" s="10"/>
      <c r="AK2083" s="10" t="s">
        <v>102</v>
      </c>
      <c r="AL2083" s="10"/>
      <c r="AM2083" s="10"/>
      <c r="AN2083" s="10"/>
      <c r="AO2083" s="13" t="b">
        <v>0</v>
      </c>
      <c r="AP2083" s="22" t="s">
        <v>104</v>
      </c>
      <c r="AQ2083" s="10">
        <f ca="1">IFERROR(__xludf.DUMMYFUNCTION("""COMPUTED_VALUE"""),4585741)</f>
        <v>4585741</v>
      </c>
      <c r="AR2083" s="17">
        <v>107</v>
      </c>
      <c r="AS2083" s="17">
        <v>87</v>
      </c>
      <c r="AT2083" s="17">
        <v>598.5</v>
      </c>
      <c r="AU2083" s="17">
        <v>0</v>
      </c>
      <c r="AV2083" s="17">
        <v>0</v>
      </c>
      <c r="AW2083" s="10" t="s">
        <v>105</v>
      </c>
      <c r="AX2083" s="17">
        <v>39</v>
      </c>
      <c r="AY2083" s="18">
        <v>6.8793103448275863</v>
      </c>
      <c r="AZ2083" s="10"/>
      <c r="BA2083" s="20" t="b">
        <v>0</v>
      </c>
      <c r="BB2083" s="10" t="s">
        <v>15900</v>
      </c>
      <c r="BC2083" s="17">
        <v>107</v>
      </c>
      <c r="BD2083" s="17">
        <v>87</v>
      </c>
      <c r="BE2083" s="17">
        <v>598.5</v>
      </c>
      <c r="BF2083" s="17">
        <v>0</v>
      </c>
      <c r="BG2083" s="11">
        <f ca="1">IFERROR(__xludf.DUMMYFUNCTION("""COMPUTED_VALUE"""),45921.3125)</f>
        <v>45921.3125</v>
      </c>
      <c r="BH2083" s="17" t="s">
        <v>105</v>
      </c>
      <c r="BI2083" s="17"/>
      <c r="BJ2083" s="15"/>
      <c r="BK2083" s="15"/>
      <c r="BL2083" s="13" t="b">
        <v>0</v>
      </c>
      <c r="BM2083" s="10"/>
      <c r="BN2083" s="10" t="s">
        <v>118</v>
      </c>
      <c r="BO2083" s="11">
        <v>45920.611111111109</v>
      </c>
      <c r="BP2083" s="11">
        <v>45920.611319444448</v>
      </c>
      <c r="BQ2083" s="15"/>
      <c r="BR2083" s="15">
        <v>45920.745416666665</v>
      </c>
      <c r="BS2083" s="10" t="s">
        <v>118</v>
      </c>
      <c r="BT2083" s="10"/>
      <c r="BU2083" s="10"/>
      <c r="BV2083" s="10"/>
      <c r="BW2083" s="10"/>
      <c r="BX2083" s="10"/>
      <c r="BY2083" s="23"/>
      <c r="BZ2083" s="23"/>
      <c r="CA2083" s="19" t="s">
        <v>9024</v>
      </c>
      <c r="CB2083" s="23"/>
      <c r="CC2083" s="23"/>
      <c r="CD2083" s="23"/>
      <c r="CE2083" s="23"/>
      <c r="CF2083" s="23"/>
      <c r="CG2083" s="23"/>
      <c r="CH2083" s="23"/>
      <c r="CI2083" s="23"/>
    </row>
    <row r="2084" spans="1:87" x14ac:dyDescent="0.3">
      <c r="A2084" s="9" t="s">
        <v>15912</v>
      </c>
      <c r="B2084" s="10" t="s">
        <v>15913</v>
      </c>
      <c r="C2084" s="11">
        <v>45921.333333333336</v>
      </c>
      <c r="D2084" s="12">
        <v>2.0833333333333332E-2</v>
      </c>
      <c r="E2084" s="11">
        <v>45921.354166666664</v>
      </c>
      <c r="F2084" s="10" t="s">
        <v>9016</v>
      </c>
      <c r="G2084" s="13" t="b">
        <v>0</v>
      </c>
      <c r="H2084" s="22" t="s">
        <v>9017</v>
      </c>
      <c r="I2084" s="10" t="s">
        <v>212</v>
      </c>
      <c r="J2084" s="13" t="b">
        <v>1</v>
      </c>
      <c r="K2084" s="13" t="b">
        <v>0</v>
      </c>
      <c r="L2084" s="10" t="s">
        <v>124</v>
      </c>
      <c r="M2084" s="10" t="s">
        <v>91</v>
      </c>
      <c r="N2084" s="10" t="s">
        <v>92</v>
      </c>
      <c r="O2084" s="19" t="s">
        <v>15914</v>
      </c>
      <c r="P2084" s="10"/>
      <c r="Q2084" s="10" t="s">
        <v>94</v>
      </c>
      <c r="R2084" s="10"/>
      <c r="S2084" s="19" t="s">
        <v>9019</v>
      </c>
      <c r="T2084" s="10"/>
      <c r="U2084" s="10"/>
      <c r="V2084" s="10"/>
      <c r="W2084" s="10" t="s">
        <v>9020</v>
      </c>
      <c r="X2084" s="10" t="s">
        <v>130</v>
      </c>
      <c r="Y2084" s="10" t="s">
        <v>130</v>
      </c>
      <c r="Z2084" s="10" t="s">
        <v>99</v>
      </c>
      <c r="AA2084" s="10" t="s">
        <v>131</v>
      </c>
      <c r="AB2084" s="10" t="s">
        <v>9021</v>
      </c>
      <c r="AC2084" s="10" t="s">
        <v>9022</v>
      </c>
      <c r="AD2084" s="10" t="s">
        <v>165</v>
      </c>
      <c r="AE2084" s="10" t="s">
        <v>15915</v>
      </c>
      <c r="AF2084" s="15"/>
      <c r="AG2084" s="10"/>
      <c r="AH2084" s="10"/>
      <c r="AI2084" s="10"/>
      <c r="AJ2084" s="10"/>
      <c r="AK2084" s="10" t="s">
        <v>102</v>
      </c>
      <c r="AL2084" s="10"/>
      <c r="AM2084" s="10"/>
      <c r="AN2084" s="10"/>
      <c r="AO2084" s="13" t="b">
        <v>0</v>
      </c>
      <c r="AP2084" s="22" t="s">
        <v>104</v>
      </c>
      <c r="AQ2084" s="10">
        <f ca="1">IFERROR(__xludf.DUMMYFUNCTION("""COMPUTED_VALUE"""),4585743)</f>
        <v>4585743</v>
      </c>
      <c r="AR2084" s="17">
        <v>137</v>
      </c>
      <c r="AS2084" s="17">
        <v>108</v>
      </c>
      <c r="AT2084" s="17">
        <v>890.25</v>
      </c>
      <c r="AU2084" s="17">
        <v>0</v>
      </c>
      <c r="AV2084" s="17">
        <v>0</v>
      </c>
      <c r="AW2084" s="10" t="s">
        <v>105</v>
      </c>
      <c r="AX2084" s="17">
        <v>52</v>
      </c>
      <c r="AY2084" s="18">
        <v>8.2430555555555554</v>
      </c>
      <c r="AZ2084" s="10"/>
      <c r="BA2084" s="20" t="b">
        <v>0</v>
      </c>
      <c r="BB2084" s="10" t="s">
        <v>15900</v>
      </c>
      <c r="BC2084" s="17">
        <v>137</v>
      </c>
      <c r="BD2084" s="17">
        <v>108</v>
      </c>
      <c r="BE2084" s="17">
        <v>890.25</v>
      </c>
      <c r="BF2084" s="17">
        <v>0</v>
      </c>
      <c r="BG2084" s="11">
        <f ca="1">IFERROR(__xludf.DUMMYFUNCTION("""COMPUTED_VALUE"""),45921.3333333333)</f>
        <v>45921.333333333299</v>
      </c>
      <c r="BH2084" s="17" t="s">
        <v>105</v>
      </c>
      <c r="BI2084" s="17"/>
      <c r="BJ2084" s="15"/>
      <c r="BK2084" s="15"/>
      <c r="BL2084" s="13" t="b">
        <v>0</v>
      </c>
      <c r="BM2084" s="10"/>
      <c r="BN2084" s="10" t="s">
        <v>118</v>
      </c>
      <c r="BO2084" s="11">
        <v>45920.611111111109</v>
      </c>
      <c r="BP2084" s="11">
        <v>45920.61142361111</v>
      </c>
      <c r="BQ2084" s="15"/>
      <c r="BR2084" s="15">
        <v>45920.745613425926</v>
      </c>
      <c r="BS2084" s="10" t="s">
        <v>118</v>
      </c>
      <c r="BT2084" s="10"/>
      <c r="BU2084" s="10"/>
      <c r="BV2084" s="10"/>
      <c r="BW2084" s="10"/>
      <c r="BX2084" s="10"/>
      <c r="BY2084" s="23"/>
      <c r="BZ2084" s="23"/>
      <c r="CA2084" s="19" t="s">
        <v>9024</v>
      </c>
      <c r="CB2084" s="23"/>
      <c r="CC2084" s="23"/>
      <c r="CD2084" s="23"/>
      <c r="CE2084" s="23"/>
      <c r="CF2084" s="23"/>
      <c r="CG2084" s="23"/>
      <c r="CH2084" s="23"/>
      <c r="CI2084" s="23"/>
    </row>
    <row r="2085" spans="1:87" x14ac:dyDescent="0.3">
      <c r="A2085" s="9" t="s">
        <v>15916</v>
      </c>
      <c r="B2085" s="10" t="s">
        <v>15917</v>
      </c>
      <c r="C2085" s="11">
        <v>45921.354166666664</v>
      </c>
      <c r="D2085" s="12">
        <v>2.0833333333333332E-2</v>
      </c>
      <c r="E2085" s="11">
        <v>45921.375</v>
      </c>
      <c r="F2085" s="10" t="s">
        <v>9016</v>
      </c>
      <c r="G2085" s="13" t="b">
        <v>0</v>
      </c>
      <c r="H2085" s="22" t="s">
        <v>9017</v>
      </c>
      <c r="I2085" s="10" t="s">
        <v>212</v>
      </c>
      <c r="J2085" s="13" t="b">
        <v>1</v>
      </c>
      <c r="K2085" s="13" t="b">
        <v>0</v>
      </c>
      <c r="L2085" s="10" t="s">
        <v>124</v>
      </c>
      <c r="M2085" s="10" t="s">
        <v>91</v>
      </c>
      <c r="N2085" s="10" t="s">
        <v>92</v>
      </c>
      <c r="O2085" s="19" t="s">
        <v>15918</v>
      </c>
      <c r="P2085" s="10"/>
      <c r="Q2085" s="10" t="s">
        <v>94</v>
      </c>
      <c r="R2085" s="10"/>
      <c r="S2085" s="19" t="s">
        <v>9019</v>
      </c>
      <c r="T2085" s="10"/>
      <c r="U2085" s="10"/>
      <c r="V2085" s="10"/>
      <c r="W2085" s="10" t="s">
        <v>9020</v>
      </c>
      <c r="X2085" s="10" t="s">
        <v>130</v>
      </c>
      <c r="Y2085" s="10" t="s">
        <v>130</v>
      </c>
      <c r="Z2085" s="10" t="s">
        <v>99</v>
      </c>
      <c r="AA2085" s="10" t="s">
        <v>131</v>
      </c>
      <c r="AB2085" s="10" t="s">
        <v>9021</v>
      </c>
      <c r="AC2085" s="10" t="s">
        <v>9022</v>
      </c>
      <c r="AD2085" s="10" t="s">
        <v>165</v>
      </c>
      <c r="AE2085" s="10" t="s">
        <v>15919</v>
      </c>
      <c r="AF2085" s="15"/>
      <c r="AG2085" s="10"/>
      <c r="AH2085" s="10"/>
      <c r="AI2085" s="10"/>
      <c r="AJ2085" s="10"/>
      <c r="AK2085" s="10" t="s">
        <v>102</v>
      </c>
      <c r="AL2085" s="10"/>
      <c r="AM2085" s="10"/>
      <c r="AN2085" s="10"/>
      <c r="AO2085" s="13" t="b">
        <v>0</v>
      </c>
      <c r="AP2085" s="22" t="s">
        <v>104</v>
      </c>
      <c r="AQ2085" s="10">
        <f ca="1">IFERROR(__xludf.DUMMYFUNCTION("""COMPUTED_VALUE"""),4585742)</f>
        <v>4585742</v>
      </c>
      <c r="AR2085" s="17">
        <v>123</v>
      </c>
      <c r="AS2085" s="17">
        <v>102</v>
      </c>
      <c r="AT2085" s="17">
        <v>1958.75</v>
      </c>
      <c r="AU2085" s="17">
        <v>0</v>
      </c>
      <c r="AV2085" s="17">
        <v>0</v>
      </c>
      <c r="AW2085" s="10" t="s">
        <v>105</v>
      </c>
      <c r="AX2085" s="17">
        <v>53</v>
      </c>
      <c r="AY2085" s="18">
        <v>19.203431372549019</v>
      </c>
      <c r="AZ2085" s="10"/>
      <c r="BA2085" s="20" t="b">
        <v>0</v>
      </c>
      <c r="BB2085" s="10" t="s">
        <v>15900</v>
      </c>
      <c r="BC2085" s="17">
        <v>123</v>
      </c>
      <c r="BD2085" s="17">
        <v>102</v>
      </c>
      <c r="BE2085" s="17">
        <v>1958.75</v>
      </c>
      <c r="BF2085" s="17">
        <v>0</v>
      </c>
      <c r="BG2085" s="11">
        <f ca="1">IFERROR(__xludf.DUMMYFUNCTION("""COMPUTED_VALUE"""),45921.3541666666)</f>
        <v>45921.354166666599</v>
      </c>
      <c r="BH2085" s="17" t="s">
        <v>105</v>
      </c>
      <c r="BI2085" s="17"/>
      <c r="BJ2085" s="15"/>
      <c r="BK2085" s="15"/>
      <c r="BL2085" s="13" t="b">
        <v>0</v>
      </c>
      <c r="BM2085" s="10"/>
      <c r="BN2085" s="10" t="s">
        <v>118</v>
      </c>
      <c r="BO2085" s="11">
        <v>45920.611111111109</v>
      </c>
      <c r="BP2085" s="11">
        <v>45920.611550925925</v>
      </c>
      <c r="BQ2085" s="15"/>
      <c r="BR2085" s="15">
        <v>45920.745740740742</v>
      </c>
      <c r="BS2085" s="10" t="s">
        <v>118</v>
      </c>
      <c r="BT2085" s="10"/>
      <c r="BU2085" s="10"/>
      <c r="BV2085" s="10"/>
      <c r="BW2085" s="10"/>
      <c r="BX2085" s="10"/>
      <c r="BY2085" s="23"/>
      <c r="BZ2085" s="23"/>
      <c r="CA2085" s="19" t="s">
        <v>9024</v>
      </c>
      <c r="CB2085" s="23"/>
      <c r="CC2085" s="23"/>
      <c r="CD2085" s="23"/>
      <c r="CE2085" s="23"/>
      <c r="CF2085" s="23"/>
      <c r="CG2085" s="23"/>
      <c r="CH2085" s="23"/>
      <c r="CI2085" s="23"/>
    </row>
    <row r="2086" spans="1:87" x14ac:dyDescent="0.3">
      <c r="A2086" s="9" t="s">
        <v>15920</v>
      </c>
      <c r="B2086" s="10" t="s">
        <v>15921</v>
      </c>
      <c r="C2086" s="11">
        <v>45921.375</v>
      </c>
      <c r="D2086" s="12">
        <v>2.0833333333333332E-2</v>
      </c>
      <c r="E2086" s="11">
        <v>45921.395833333336</v>
      </c>
      <c r="F2086" s="10" t="s">
        <v>9016</v>
      </c>
      <c r="G2086" s="13" t="b">
        <v>0</v>
      </c>
      <c r="H2086" s="22" t="s">
        <v>9017</v>
      </c>
      <c r="I2086" s="10" t="s">
        <v>212</v>
      </c>
      <c r="J2086" s="13" t="b">
        <v>1</v>
      </c>
      <c r="K2086" s="13" t="b">
        <v>0</v>
      </c>
      <c r="L2086" s="10" t="s">
        <v>124</v>
      </c>
      <c r="M2086" s="10" t="s">
        <v>91</v>
      </c>
      <c r="N2086" s="10" t="s">
        <v>92</v>
      </c>
      <c r="O2086" s="19" t="s">
        <v>15922</v>
      </c>
      <c r="P2086" s="10"/>
      <c r="Q2086" s="10" t="s">
        <v>94</v>
      </c>
      <c r="R2086" s="10"/>
      <c r="S2086" s="19" t="s">
        <v>9019</v>
      </c>
      <c r="T2086" s="10"/>
      <c r="U2086" s="10"/>
      <c r="V2086" s="10"/>
      <c r="W2086" s="10" t="s">
        <v>9020</v>
      </c>
      <c r="X2086" s="10" t="s">
        <v>130</v>
      </c>
      <c r="Y2086" s="10" t="s">
        <v>130</v>
      </c>
      <c r="Z2086" s="10" t="s">
        <v>99</v>
      </c>
      <c r="AA2086" s="10" t="s">
        <v>131</v>
      </c>
      <c r="AB2086" s="10" t="s">
        <v>9021</v>
      </c>
      <c r="AC2086" s="10" t="s">
        <v>9022</v>
      </c>
      <c r="AD2086" s="10" t="s">
        <v>165</v>
      </c>
      <c r="AE2086" s="10" t="s">
        <v>15923</v>
      </c>
      <c r="AF2086" s="15"/>
      <c r="AG2086" s="10"/>
      <c r="AH2086" s="10"/>
      <c r="AI2086" s="10"/>
      <c r="AJ2086" s="10"/>
      <c r="AK2086" s="10" t="s">
        <v>102</v>
      </c>
      <c r="AL2086" s="10"/>
      <c r="AM2086" s="10"/>
      <c r="AN2086" s="10"/>
      <c r="AO2086" s="13" t="b">
        <v>0</v>
      </c>
      <c r="AP2086" s="22" t="s">
        <v>104</v>
      </c>
      <c r="AQ2086" s="10">
        <f ca="1">IFERROR(__xludf.DUMMYFUNCTION("""COMPUTED_VALUE"""),4585754)</f>
        <v>4585754</v>
      </c>
      <c r="AR2086" s="17">
        <v>115</v>
      </c>
      <c r="AS2086" s="17">
        <v>96</v>
      </c>
      <c r="AT2086" s="17">
        <v>822.75</v>
      </c>
      <c r="AU2086" s="17">
        <v>0.25</v>
      </c>
      <c r="AV2086" s="17">
        <v>0</v>
      </c>
      <c r="AW2086" s="10" t="s">
        <v>105</v>
      </c>
      <c r="AX2086" s="17">
        <v>54</v>
      </c>
      <c r="AY2086" s="18">
        <v>8.5703125</v>
      </c>
      <c r="AZ2086" s="10"/>
      <c r="BA2086" s="20" t="b">
        <v>0</v>
      </c>
      <c r="BB2086" s="10" t="s">
        <v>15900</v>
      </c>
      <c r="BC2086" s="17">
        <v>115</v>
      </c>
      <c r="BD2086" s="17">
        <v>96</v>
      </c>
      <c r="BE2086" s="17">
        <v>822.75</v>
      </c>
      <c r="BF2086" s="17">
        <v>0</v>
      </c>
      <c r="BG2086" s="11">
        <f ca="1">IFERROR(__xludf.DUMMYFUNCTION("""COMPUTED_VALUE"""),45921.375)</f>
        <v>45921.375</v>
      </c>
      <c r="BH2086" s="17" t="s">
        <v>105</v>
      </c>
      <c r="BI2086" s="17"/>
      <c r="BJ2086" s="15"/>
      <c r="BK2086" s="15"/>
      <c r="BL2086" s="13" t="b">
        <v>0</v>
      </c>
      <c r="BM2086" s="10"/>
      <c r="BN2086" s="10" t="s">
        <v>118</v>
      </c>
      <c r="BO2086" s="11">
        <v>45920.611111111109</v>
      </c>
      <c r="BP2086" s="11">
        <v>45920.611701388887</v>
      </c>
      <c r="BQ2086" s="15"/>
      <c r="BR2086" s="15">
        <v>45920.746712962966</v>
      </c>
      <c r="BS2086" s="10" t="s">
        <v>118</v>
      </c>
      <c r="BT2086" s="10"/>
      <c r="BU2086" s="10"/>
      <c r="BV2086" s="10"/>
      <c r="BW2086" s="10"/>
      <c r="BX2086" s="10"/>
      <c r="BY2086" s="23"/>
      <c r="BZ2086" s="23"/>
      <c r="CA2086" s="19" t="s">
        <v>9024</v>
      </c>
      <c r="CB2086" s="23"/>
      <c r="CC2086" s="23"/>
      <c r="CD2086" s="23"/>
      <c r="CE2086" s="23"/>
      <c r="CF2086" s="23"/>
      <c r="CG2086" s="23"/>
      <c r="CH2086" s="23"/>
      <c r="CI2086" s="23"/>
    </row>
    <row r="2087" spans="1:87" x14ac:dyDescent="0.3">
      <c r="A2087" s="9" t="s">
        <v>15924</v>
      </c>
      <c r="B2087" s="10" t="s">
        <v>15925</v>
      </c>
      <c r="C2087" s="11">
        <v>45921.395833333336</v>
      </c>
      <c r="D2087" s="12">
        <v>2.0833333333333332E-2</v>
      </c>
      <c r="E2087" s="11">
        <v>45921.416666666664</v>
      </c>
      <c r="F2087" s="10" t="s">
        <v>9016</v>
      </c>
      <c r="G2087" s="13" t="b">
        <v>0</v>
      </c>
      <c r="H2087" s="22" t="s">
        <v>9017</v>
      </c>
      <c r="I2087" s="10" t="s">
        <v>212</v>
      </c>
      <c r="J2087" s="13" t="b">
        <v>1</v>
      </c>
      <c r="K2087" s="13" t="b">
        <v>0</v>
      </c>
      <c r="L2087" s="10" t="s">
        <v>124</v>
      </c>
      <c r="M2087" s="10" t="s">
        <v>91</v>
      </c>
      <c r="N2087" s="10" t="s">
        <v>92</v>
      </c>
      <c r="O2087" s="19" t="s">
        <v>15926</v>
      </c>
      <c r="P2087" s="10"/>
      <c r="Q2087" s="10" t="s">
        <v>94</v>
      </c>
      <c r="R2087" s="10"/>
      <c r="S2087" s="19" t="s">
        <v>9019</v>
      </c>
      <c r="T2087" s="10"/>
      <c r="U2087" s="10"/>
      <c r="V2087" s="10"/>
      <c r="W2087" s="10" t="s">
        <v>9020</v>
      </c>
      <c r="X2087" s="10" t="s">
        <v>130</v>
      </c>
      <c r="Y2087" s="10" t="s">
        <v>130</v>
      </c>
      <c r="Z2087" s="10" t="s">
        <v>99</v>
      </c>
      <c r="AA2087" s="10" t="s">
        <v>131</v>
      </c>
      <c r="AB2087" s="10" t="s">
        <v>9021</v>
      </c>
      <c r="AC2087" s="10" t="s">
        <v>9022</v>
      </c>
      <c r="AD2087" s="10" t="s">
        <v>165</v>
      </c>
      <c r="AE2087" s="10" t="s">
        <v>15927</v>
      </c>
      <c r="AF2087" s="15"/>
      <c r="AG2087" s="10"/>
      <c r="AH2087" s="10"/>
      <c r="AI2087" s="10"/>
      <c r="AJ2087" s="10"/>
      <c r="AK2087" s="10" t="s">
        <v>102</v>
      </c>
      <c r="AL2087" s="10"/>
      <c r="AM2087" s="10"/>
      <c r="AN2087" s="10"/>
      <c r="AO2087" s="13" t="b">
        <v>0</v>
      </c>
      <c r="AP2087" s="22" t="s">
        <v>104</v>
      </c>
      <c r="AQ2087" s="10">
        <f ca="1">IFERROR(__xludf.DUMMYFUNCTION("""COMPUTED_VALUE"""),4585746)</f>
        <v>4585746</v>
      </c>
      <c r="AR2087" s="17">
        <v>153</v>
      </c>
      <c r="AS2087" s="17">
        <v>118</v>
      </c>
      <c r="AT2087" s="17">
        <v>1936.5</v>
      </c>
      <c r="AU2087" s="17">
        <v>0</v>
      </c>
      <c r="AV2087" s="17">
        <v>0</v>
      </c>
      <c r="AW2087" s="10" t="s">
        <v>105</v>
      </c>
      <c r="AX2087" s="17">
        <v>61</v>
      </c>
      <c r="AY2087" s="18">
        <v>16.411016949152543</v>
      </c>
      <c r="AZ2087" s="10"/>
      <c r="BA2087" s="20" t="b">
        <v>0</v>
      </c>
      <c r="BB2087" s="10" t="s">
        <v>15900</v>
      </c>
      <c r="BC2087" s="17">
        <v>153</v>
      </c>
      <c r="BD2087" s="17">
        <v>118</v>
      </c>
      <c r="BE2087" s="17">
        <v>1936.5</v>
      </c>
      <c r="BF2087" s="17">
        <v>0</v>
      </c>
      <c r="BG2087" s="11">
        <f ca="1">IFERROR(__xludf.DUMMYFUNCTION("""COMPUTED_VALUE"""),45921.3958333333)</f>
        <v>45921.395833333299</v>
      </c>
      <c r="BH2087" s="17" t="s">
        <v>105</v>
      </c>
      <c r="BI2087" s="17"/>
      <c r="BJ2087" s="15"/>
      <c r="BK2087" s="15"/>
      <c r="BL2087" s="13" t="b">
        <v>0</v>
      </c>
      <c r="BM2087" s="10"/>
      <c r="BN2087" s="10" t="s">
        <v>118</v>
      </c>
      <c r="BO2087" s="11">
        <v>45920.611805555556</v>
      </c>
      <c r="BP2087" s="11">
        <v>45920.611886574072</v>
      </c>
      <c r="BQ2087" s="15"/>
      <c r="BR2087" s="15">
        <v>45920.74690972222</v>
      </c>
      <c r="BS2087" s="10" t="s">
        <v>118</v>
      </c>
      <c r="BT2087" s="10"/>
      <c r="BU2087" s="10"/>
      <c r="BV2087" s="10"/>
      <c r="BW2087" s="10"/>
      <c r="BX2087" s="10"/>
      <c r="BY2087" s="23"/>
      <c r="BZ2087" s="23"/>
      <c r="CA2087" s="19" t="s">
        <v>9024</v>
      </c>
      <c r="CB2087" s="23"/>
      <c r="CC2087" s="23"/>
      <c r="CD2087" s="23"/>
      <c r="CE2087" s="23"/>
      <c r="CF2087" s="23"/>
      <c r="CG2087" s="23"/>
      <c r="CH2087" s="23"/>
      <c r="CI2087" s="23"/>
    </row>
    <row r="2088" spans="1:87" x14ac:dyDescent="0.3">
      <c r="A2088" s="9" t="s">
        <v>15928</v>
      </c>
      <c r="B2088" s="10" t="s">
        <v>15929</v>
      </c>
      <c r="C2088" s="11">
        <v>45921.416666666664</v>
      </c>
      <c r="D2088" s="12">
        <v>2.0833333333333332E-2</v>
      </c>
      <c r="E2088" s="11">
        <v>45921.4375</v>
      </c>
      <c r="F2088" s="10" t="s">
        <v>9016</v>
      </c>
      <c r="G2088" s="13" t="b">
        <v>0</v>
      </c>
      <c r="H2088" s="22" t="s">
        <v>9017</v>
      </c>
      <c r="I2088" s="10" t="s">
        <v>212</v>
      </c>
      <c r="J2088" s="13" t="b">
        <v>1</v>
      </c>
      <c r="K2088" s="13" t="b">
        <v>0</v>
      </c>
      <c r="L2088" s="10" t="s">
        <v>124</v>
      </c>
      <c r="M2088" s="10" t="s">
        <v>91</v>
      </c>
      <c r="N2088" s="10" t="s">
        <v>92</v>
      </c>
      <c r="O2088" s="19" t="s">
        <v>15930</v>
      </c>
      <c r="P2088" s="10"/>
      <c r="Q2088" s="10" t="s">
        <v>94</v>
      </c>
      <c r="R2088" s="10"/>
      <c r="S2088" s="19" t="s">
        <v>9019</v>
      </c>
      <c r="T2088" s="10"/>
      <c r="U2088" s="10"/>
      <c r="V2088" s="10"/>
      <c r="W2088" s="10" t="s">
        <v>9020</v>
      </c>
      <c r="X2088" s="10" t="s">
        <v>130</v>
      </c>
      <c r="Y2088" s="10" t="s">
        <v>130</v>
      </c>
      <c r="Z2088" s="10" t="s">
        <v>99</v>
      </c>
      <c r="AA2088" s="10" t="s">
        <v>131</v>
      </c>
      <c r="AB2088" s="10" t="s">
        <v>9021</v>
      </c>
      <c r="AC2088" s="10" t="s">
        <v>9022</v>
      </c>
      <c r="AD2088" s="10" t="s">
        <v>165</v>
      </c>
      <c r="AE2088" s="10" t="s">
        <v>15931</v>
      </c>
      <c r="AF2088" s="15"/>
      <c r="AG2088" s="10"/>
      <c r="AH2088" s="10"/>
      <c r="AI2088" s="10"/>
      <c r="AJ2088" s="10"/>
      <c r="AK2088" s="10" t="s">
        <v>102</v>
      </c>
      <c r="AL2088" s="10"/>
      <c r="AM2088" s="10"/>
      <c r="AN2088" s="10"/>
      <c r="AO2088" s="13" t="b">
        <v>0</v>
      </c>
      <c r="AP2088" s="22" t="s">
        <v>104</v>
      </c>
      <c r="AQ2088" s="10">
        <f ca="1">IFERROR(__xludf.DUMMYFUNCTION("""COMPUTED_VALUE"""),4585744)</f>
        <v>4585744</v>
      </c>
      <c r="AR2088" s="17">
        <v>148</v>
      </c>
      <c r="AS2088" s="17">
        <v>116</v>
      </c>
      <c r="AT2088" s="17">
        <v>568.5</v>
      </c>
      <c r="AU2088" s="17">
        <v>0</v>
      </c>
      <c r="AV2088" s="17">
        <v>0</v>
      </c>
      <c r="AW2088" s="10" t="s">
        <v>105</v>
      </c>
      <c r="AX2088" s="17">
        <v>60</v>
      </c>
      <c r="AY2088" s="18">
        <v>4.9008620689655169</v>
      </c>
      <c r="AZ2088" s="10"/>
      <c r="BA2088" s="20" t="b">
        <v>0</v>
      </c>
      <c r="BB2088" s="10" t="s">
        <v>15900</v>
      </c>
      <c r="BC2088" s="17">
        <v>148</v>
      </c>
      <c r="BD2088" s="17">
        <v>116</v>
      </c>
      <c r="BE2088" s="17">
        <v>568.5</v>
      </c>
      <c r="BF2088" s="17">
        <v>0</v>
      </c>
      <c r="BG2088" s="11">
        <f ca="1">IFERROR(__xludf.DUMMYFUNCTION("""COMPUTED_VALUE"""),45921.4166666666)</f>
        <v>45921.416666666599</v>
      </c>
      <c r="BH2088" s="17" t="s">
        <v>105</v>
      </c>
      <c r="BI2088" s="17"/>
      <c r="BJ2088" s="15"/>
      <c r="BK2088" s="15"/>
      <c r="BL2088" s="13" t="b">
        <v>0</v>
      </c>
      <c r="BM2088" s="10"/>
      <c r="BN2088" s="10" t="s">
        <v>118</v>
      </c>
      <c r="BO2088" s="11">
        <v>45920.611805555556</v>
      </c>
      <c r="BP2088" s="11">
        <v>45920.612025462964</v>
      </c>
      <c r="BQ2088" s="15"/>
      <c r="BR2088" s="15">
        <v>45920.747071759259</v>
      </c>
      <c r="BS2088" s="10" t="s">
        <v>118</v>
      </c>
      <c r="BT2088" s="10"/>
      <c r="BU2088" s="10"/>
      <c r="BV2088" s="10"/>
      <c r="BW2088" s="10"/>
      <c r="BX2088" s="10"/>
      <c r="BY2088" s="23"/>
      <c r="BZ2088" s="23"/>
      <c r="CA2088" s="19" t="s">
        <v>9024</v>
      </c>
      <c r="CB2088" s="23"/>
      <c r="CC2088" s="23"/>
      <c r="CD2088" s="23"/>
      <c r="CE2088" s="23"/>
      <c r="CF2088" s="23"/>
      <c r="CG2088" s="23"/>
      <c r="CH2088" s="23"/>
      <c r="CI2088" s="23"/>
    </row>
    <row r="2089" spans="1:87" x14ac:dyDescent="0.3">
      <c r="A2089" s="9" t="s">
        <v>15932</v>
      </c>
      <c r="B2089" s="10" t="s">
        <v>15933</v>
      </c>
      <c r="C2089" s="11">
        <v>45921.4375</v>
      </c>
      <c r="D2089" s="12">
        <v>2.0833333333333332E-2</v>
      </c>
      <c r="E2089" s="11">
        <v>45921.458333333336</v>
      </c>
      <c r="F2089" s="10" t="s">
        <v>9016</v>
      </c>
      <c r="G2089" s="13" t="b">
        <v>0</v>
      </c>
      <c r="H2089" s="22" t="s">
        <v>9017</v>
      </c>
      <c r="I2089" s="10" t="s">
        <v>212</v>
      </c>
      <c r="J2089" s="13" t="b">
        <v>1</v>
      </c>
      <c r="K2089" s="13" t="b">
        <v>0</v>
      </c>
      <c r="L2089" s="10" t="s">
        <v>124</v>
      </c>
      <c r="M2089" s="10" t="s">
        <v>91</v>
      </c>
      <c r="N2089" s="10" t="s">
        <v>92</v>
      </c>
      <c r="O2089" s="19" t="s">
        <v>15934</v>
      </c>
      <c r="P2089" s="10"/>
      <c r="Q2089" s="10" t="s">
        <v>94</v>
      </c>
      <c r="R2089" s="10"/>
      <c r="S2089" s="19" t="s">
        <v>9019</v>
      </c>
      <c r="T2089" s="10"/>
      <c r="U2089" s="10"/>
      <c r="V2089" s="10"/>
      <c r="W2089" s="10" t="s">
        <v>9020</v>
      </c>
      <c r="X2089" s="10" t="s">
        <v>130</v>
      </c>
      <c r="Y2089" s="10" t="s">
        <v>130</v>
      </c>
      <c r="Z2089" s="10" t="s">
        <v>99</v>
      </c>
      <c r="AA2089" s="10" t="s">
        <v>131</v>
      </c>
      <c r="AB2089" s="10" t="s">
        <v>9021</v>
      </c>
      <c r="AC2089" s="10" t="s">
        <v>9022</v>
      </c>
      <c r="AD2089" s="10" t="s">
        <v>165</v>
      </c>
      <c r="AE2089" s="10" t="s">
        <v>15935</v>
      </c>
      <c r="AF2089" s="15"/>
      <c r="AG2089" s="10"/>
      <c r="AH2089" s="10"/>
      <c r="AI2089" s="10"/>
      <c r="AJ2089" s="10"/>
      <c r="AK2089" s="10" t="s">
        <v>102</v>
      </c>
      <c r="AL2089" s="10"/>
      <c r="AM2089" s="10"/>
      <c r="AN2089" s="10"/>
      <c r="AO2089" s="13" t="b">
        <v>0</v>
      </c>
      <c r="AP2089" s="22" t="s">
        <v>104</v>
      </c>
      <c r="AQ2089" s="10">
        <f ca="1">IFERROR(__xludf.DUMMYFUNCTION("""COMPUTED_VALUE"""),4585745)</f>
        <v>4585745</v>
      </c>
      <c r="AR2089" s="17">
        <v>174</v>
      </c>
      <c r="AS2089" s="17">
        <v>130</v>
      </c>
      <c r="AT2089" s="17">
        <v>1828</v>
      </c>
      <c r="AU2089" s="17">
        <v>0</v>
      </c>
      <c r="AV2089" s="17">
        <v>0</v>
      </c>
      <c r="AW2089" s="10" t="s">
        <v>105</v>
      </c>
      <c r="AX2089" s="17">
        <v>82</v>
      </c>
      <c r="AY2089" s="18">
        <v>14.061538461538461</v>
      </c>
      <c r="AZ2089" s="10"/>
      <c r="BA2089" s="20" t="b">
        <v>0</v>
      </c>
      <c r="BB2089" s="10" t="s">
        <v>15900</v>
      </c>
      <c r="BC2089" s="17">
        <v>174</v>
      </c>
      <c r="BD2089" s="17">
        <v>130</v>
      </c>
      <c r="BE2089" s="17">
        <v>1828</v>
      </c>
      <c r="BF2089" s="17">
        <v>0</v>
      </c>
      <c r="BG2089" s="11">
        <f ca="1">IFERROR(__xludf.DUMMYFUNCTION("""COMPUTED_VALUE"""),45921.4375)</f>
        <v>45921.4375</v>
      </c>
      <c r="BH2089" s="17" t="s">
        <v>105</v>
      </c>
      <c r="BI2089" s="17"/>
      <c r="BJ2089" s="15"/>
      <c r="BK2089" s="15"/>
      <c r="BL2089" s="13" t="b">
        <v>0</v>
      </c>
      <c r="BM2089" s="10"/>
      <c r="BN2089" s="10" t="s">
        <v>118</v>
      </c>
      <c r="BO2089" s="11">
        <v>45920.611805555556</v>
      </c>
      <c r="BP2089" s="11">
        <v>45920.612129629626</v>
      </c>
      <c r="BQ2089" s="15"/>
      <c r="BR2089" s="15">
        <v>45920.747233796297</v>
      </c>
      <c r="BS2089" s="10" t="s">
        <v>118</v>
      </c>
      <c r="BT2089" s="10"/>
      <c r="BU2089" s="10"/>
      <c r="BV2089" s="10"/>
      <c r="BW2089" s="10"/>
      <c r="BX2089" s="10"/>
      <c r="BY2089" s="23"/>
      <c r="BZ2089" s="23"/>
      <c r="CA2089" s="19" t="s">
        <v>9024</v>
      </c>
      <c r="CB2089" s="23"/>
      <c r="CC2089" s="23"/>
      <c r="CD2089" s="23"/>
      <c r="CE2089" s="23"/>
      <c r="CF2089" s="23"/>
      <c r="CG2089" s="23"/>
      <c r="CH2089" s="23"/>
      <c r="CI2089" s="23"/>
    </row>
    <row r="2090" spans="1:87" x14ac:dyDescent="0.3">
      <c r="A2090" s="9" t="s">
        <v>15936</v>
      </c>
      <c r="B2090" s="10" t="s">
        <v>15937</v>
      </c>
      <c r="C2090" s="11">
        <v>45921.458333333336</v>
      </c>
      <c r="D2090" s="12">
        <v>2.0833333333333332E-2</v>
      </c>
      <c r="E2090" s="11">
        <v>45921.479166666664</v>
      </c>
      <c r="F2090" s="10" t="s">
        <v>9016</v>
      </c>
      <c r="G2090" s="13" t="b">
        <v>0</v>
      </c>
      <c r="H2090" s="22" t="s">
        <v>9017</v>
      </c>
      <c r="I2090" s="10" t="s">
        <v>212</v>
      </c>
      <c r="J2090" s="13" t="b">
        <v>1</v>
      </c>
      <c r="K2090" s="13" t="b">
        <v>0</v>
      </c>
      <c r="L2090" s="10" t="s">
        <v>124</v>
      </c>
      <c r="M2090" s="10" t="s">
        <v>91</v>
      </c>
      <c r="N2090" s="10" t="s">
        <v>92</v>
      </c>
      <c r="O2090" s="19" t="s">
        <v>15938</v>
      </c>
      <c r="P2090" s="10"/>
      <c r="Q2090" s="10" t="s">
        <v>94</v>
      </c>
      <c r="R2090" s="10"/>
      <c r="S2090" s="19" t="s">
        <v>9019</v>
      </c>
      <c r="T2090" s="10"/>
      <c r="U2090" s="10"/>
      <c r="V2090" s="10"/>
      <c r="W2090" s="10" t="s">
        <v>9020</v>
      </c>
      <c r="X2090" s="10" t="s">
        <v>130</v>
      </c>
      <c r="Y2090" s="10" t="s">
        <v>130</v>
      </c>
      <c r="Z2090" s="10" t="s">
        <v>99</v>
      </c>
      <c r="AA2090" s="10" t="s">
        <v>131</v>
      </c>
      <c r="AB2090" s="10" t="s">
        <v>9021</v>
      </c>
      <c r="AC2090" s="10" t="s">
        <v>9022</v>
      </c>
      <c r="AD2090" s="10" t="s">
        <v>165</v>
      </c>
      <c r="AE2090" s="10" t="s">
        <v>15939</v>
      </c>
      <c r="AF2090" s="15"/>
      <c r="AG2090" s="10"/>
      <c r="AH2090" s="10"/>
      <c r="AI2090" s="10"/>
      <c r="AJ2090" s="10"/>
      <c r="AK2090" s="10" t="s">
        <v>102</v>
      </c>
      <c r="AL2090" s="10"/>
      <c r="AM2090" s="10"/>
      <c r="AN2090" s="10"/>
      <c r="AO2090" s="13" t="b">
        <v>0</v>
      </c>
      <c r="AP2090" s="22" t="s">
        <v>104</v>
      </c>
      <c r="AQ2090" s="10">
        <f ca="1">IFERROR(__xludf.DUMMYFUNCTION("""COMPUTED_VALUE"""),4585747)</f>
        <v>4585747</v>
      </c>
      <c r="AR2090" s="17">
        <v>164</v>
      </c>
      <c r="AS2090" s="17">
        <v>135</v>
      </c>
      <c r="AT2090" s="17">
        <v>1006.75</v>
      </c>
      <c r="AU2090" s="17">
        <v>0</v>
      </c>
      <c r="AV2090" s="17">
        <v>0</v>
      </c>
      <c r="AW2090" s="10" t="s">
        <v>105</v>
      </c>
      <c r="AX2090" s="17">
        <v>84</v>
      </c>
      <c r="AY2090" s="18">
        <v>7.4574074074074073</v>
      </c>
      <c r="AZ2090" s="10"/>
      <c r="BA2090" s="20" t="b">
        <v>0</v>
      </c>
      <c r="BB2090" s="10" t="s">
        <v>15900</v>
      </c>
      <c r="BC2090" s="17">
        <v>164</v>
      </c>
      <c r="BD2090" s="17">
        <v>135</v>
      </c>
      <c r="BE2090" s="17">
        <v>1006.75</v>
      </c>
      <c r="BF2090" s="17">
        <v>0</v>
      </c>
      <c r="BG2090" s="11">
        <f ca="1">IFERROR(__xludf.DUMMYFUNCTION("""COMPUTED_VALUE"""),45921.4583333333)</f>
        <v>45921.458333333299</v>
      </c>
      <c r="BH2090" s="17" t="s">
        <v>105</v>
      </c>
      <c r="BI2090" s="17"/>
      <c r="BJ2090" s="15"/>
      <c r="BK2090" s="15"/>
      <c r="BL2090" s="13" t="b">
        <v>0</v>
      </c>
      <c r="BM2090" s="10"/>
      <c r="BN2090" s="10" t="s">
        <v>118</v>
      </c>
      <c r="BO2090" s="11">
        <v>45920.611805555556</v>
      </c>
      <c r="BP2090" s="11">
        <v>45920.61241898148</v>
      </c>
      <c r="BQ2090" s="15"/>
      <c r="BR2090" s="15">
        <v>45920.747361111113</v>
      </c>
      <c r="BS2090" s="10" t="s">
        <v>118</v>
      </c>
      <c r="BT2090" s="10"/>
      <c r="BU2090" s="10"/>
      <c r="BV2090" s="10"/>
      <c r="BW2090" s="10"/>
      <c r="BX2090" s="10"/>
      <c r="BY2090" s="23"/>
      <c r="BZ2090" s="23"/>
      <c r="CA2090" s="19" t="s">
        <v>9024</v>
      </c>
      <c r="CB2090" s="23"/>
      <c r="CC2090" s="23"/>
      <c r="CD2090" s="23"/>
      <c r="CE2090" s="23"/>
      <c r="CF2090" s="23"/>
      <c r="CG2090" s="23"/>
      <c r="CH2090" s="23"/>
      <c r="CI2090" s="23"/>
    </row>
    <row r="2091" spans="1:87" x14ac:dyDescent="0.3">
      <c r="A2091" s="9" t="s">
        <v>15940</v>
      </c>
      <c r="B2091" s="10" t="s">
        <v>15941</v>
      </c>
      <c r="C2091" s="11">
        <v>45921.479166666664</v>
      </c>
      <c r="D2091" s="12">
        <v>2.0833333333333332E-2</v>
      </c>
      <c r="E2091" s="11">
        <v>45921.5</v>
      </c>
      <c r="F2091" s="10" t="s">
        <v>9016</v>
      </c>
      <c r="G2091" s="13" t="b">
        <v>0</v>
      </c>
      <c r="H2091" s="22" t="s">
        <v>9017</v>
      </c>
      <c r="I2091" s="10" t="s">
        <v>212</v>
      </c>
      <c r="J2091" s="13" t="b">
        <v>1</v>
      </c>
      <c r="K2091" s="13" t="b">
        <v>0</v>
      </c>
      <c r="L2091" s="10" t="s">
        <v>124</v>
      </c>
      <c r="M2091" s="10" t="s">
        <v>91</v>
      </c>
      <c r="N2091" s="10" t="s">
        <v>92</v>
      </c>
      <c r="O2091" s="19" t="s">
        <v>15942</v>
      </c>
      <c r="P2091" s="10"/>
      <c r="Q2091" s="10" t="s">
        <v>94</v>
      </c>
      <c r="R2091" s="10"/>
      <c r="S2091" s="19" t="s">
        <v>9019</v>
      </c>
      <c r="T2091" s="10"/>
      <c r="U2091" s="10"/>
      <c r="V2091" s="10"/>
      <c r="W2091" s="10" t="s">
        <v>9020</v>
      </c>
      <c r="X2091" s="10" t="s">
        <v>130</v>
      </c>
      <c r="Y2091" s="10" t="s">
        <v>130</v>
      </c>
      <c r="Z2091" s="10" t="s">
        <v>99</v>
      </c>
      <c r="AA2091" s="10" t="s">
        <v>131</v>
      </c>
      <c r="AB2091" s="10" t="s">
        <v>9021</v>
      </c>
      <c r="AC2091" s="10" t="s">
        <v>9022</v>
      </c>
      <c r="AD2091" s="10" t="s">
        <v>165</v>
      </c>
      <c r="AE2091" s="10" t="s">
        <v>15943</v>
      </c>
      <c r="AF2091" s="15"/>
      <c r="AG2091" s="10"/>
      <c r="AH2091" s="10"/>
      <c r="AI2091" s="10"/>
      <c r="AJ2091" s="10"/>
      <c r="AK2091" s="10" t="s">
        <v>102</v>
      </c>
      <c r="AL2091" s="10"/>
      <c r="AM2091" s="10"/>
      <c r="AN2091" s="10"/>
      <c r="AO2091" s="13" t="b">
        <v>0</v>
      </c>
      <c r="AP2091" s="22" t="s">
        <v>104</v>
      </c>
      <c r="AQ2091" s="10">
        <f ca="1">IFERROR(__xludf.DUMMYFUNCTION("""COMPUTED_VALUE"""),4585748)</f>
        <v>4585748</v>
      </c>
      <c r="AR2091" s="17">
        <v>129</v>
      </c>
      <c r="AS2091" s="17">
        <v>110</v>
      </c>
      <c r="AT2091" s="17">
        <v>418.75</v>
      </c>
      <c r="AU2091" s="17">
        <v>0</v>
      </c>
      <c r="AV2091" s="17">
        <v>0</v>
      </c>
      <c r="AW2091" s="10" t="s">
        <v>105</v>
      </c>
      <c r="AX2091" s="17">
        <v>65</v>
      </c>
      <c r="AY2091" s="18">
        <v>3.8068181818181817</v>
      </c>
      <c r="AZ2091" s="10"/>
      <c r="BA2091" s="20" t="b">
        <v>0</v>
      </c>
      <c r="BB2091" s="10" t="s">
        <v>15900</v>
      </c>
      <c r="BC2091" s="17">
        <v>129</v>
      </c>
      <c r="BD2091" s="17">
        <v>110</v>
      </c>
      <c r="BE2091" s="17">
        <v>418.75</v>
      </c>
      <c r="BF2091" s="17">
        <v>0</v>
      </c>
      <c r="BG2091" s="11">
        <f ca="1">IFERROR(__xludf.DUMMYFUNCTION("""COMPUTED_VALUE"""),45921.4791666666)</f>
        <v>45921.479166666599</v>
      </c>
      <c r="BH2091" s="17" t="s">
        <v>105</v>
      </c>
      <c r="BI2091" s="17"/>
      <c r="BJ2091" s="15"/>
      <c r="BK2091" s="15"/>
      <c r="BL2091" s="13" t="b">
        <v>0</v>
      </c>
      <c r="BM2091" s="10"/>
      <c r="BN2091" s="10" t="s">
        <v>118</v>
      </c>
      <c r="BO2091" s="11">
        <v>45920.612500000003</v>
      </c>
      <c r="BP2091" s="11">
        <v>45920.612534722219</v>
      </c>
      <c r="BQ2091" s="15"/>
      <c r="BR2091" s="15">
        <v>45920.747546296298</v>
      </c>
      <c r="BS2091" s="10" t="s">
        <v>118</v>
      </c>
      <c r="BT2091" s="10"/>
      <c r="BU2091" s="10"/>
      <c r="BV2091" s="10"/>
      <c r="BW2091" s="10"/>
      <c r="BX2091" s="10"/>
      <c r="BY2091" s="23"/>
      <c r="BZ2091" s="23"/>
      <c r="CA2091" s="19" t="s">
        <v>9024</v>
      </c>
      <c r="CB2091" s="23"/>
      <c r="CC2091" s="23"/>
      <c r="CD2091" s="23"/>
      <c r="CE2091" s="23"/>
      <c r="CF2091" s="23"/>
      <c r="CG2091" s="23"/>
      <c r="CH2091" s="23"/>
      <c r="CI2091" s="23"/>
    </row>
    <row r="2092" spans="1:87" x14ac:dyDescent="0.3">
      <c r="A2092" s="9" t="s">
        <v>15944</v>
      </c>
      <c r="B2092" s="10" t="s">
        <v>15945</v>
      </c>
      <c r="C2092" s="11">
        <v>45921.517361111109</v>
      </c>
      <c r="D2092" s="12">
        <v>2.7777777777777776E-2</v>
      </c>
      <c r="E2092" s="11">
        <v>45921.545138888891</v>
      </c>
      <c r="F2092" s="10" t="s">
        <v>9016</v>
      </c>
      <c r="G2092" s="13" t="b">
        <v>0</v>
      </c>
      <c r="H2092" s="22" t="s">
        <v>9017</v>
      </c>
      <c r="I2092" s="10" t="s">
        <v>212</v>
      </c>
      <c r="J2092" s="13" t="b">
        <v>1</v>
      </c>
      <c r="K2092" s="13" t="b">
        <v>0</v>
      </c>
      <c r="L2092" s="10" t="s">
        <v>124</v>
      </c>
      <c r="M2092" s="10" t="s">
        <v>91</v>
      </c>
      <c r="N2092" s="10" t="s">
        <v>92</v>
      </c>
      <c r="O2092" s="19" t="s">
        <v>15946</v>
      </c>
      <c r="P2092" s="10"/>
      <c r="Q2092" s="10" t="s">
        <v>94</v>
      </c>
      <c r="R2092" s="10"/>
      <c r="S2092" s="19" t="s">
        <v>9019</v>
      </c>
      <c r="T2092" s="10"/>
      <c r="U2092" s="10"/>
      <c r="V2092" s="10"/>
      <c r="W2092" s="10" t="s">
        <v>9020</v>
      </c>
      <c r="X2092" s="10" t="s">
        <v>130</v>
      </c>
      <c r="Y2092" s="10" t="s">
        <v>130</v>
      </c>
      <c r="Z2092" s="10" t="s">
        <v>99</v>
      </c>
      <c r="AA2092" s="10" t="s">
        <v>131</v>
      </c>
      <c r="AB2092" s="10" t="s">
        <v>9021</v>
      </c>
      <c r="AC2092" s="10" t="s">
        <v>9022</v>
      </c>
      <c r="AD2092" s="10" t="s">
        <v>165</v>
      </c>
      <c r="AE2092" s="10" t="s">
        <v>15947</v>
      </c>
      <c r="AF2092" s="15"/>
      <c r="AG2092" s="10"/>
      <c r="AH2092" s="10"/>
      <c r="AI2092" s="10"/>
      <c r="AJ2092" s="10"/>
      <c r="AK2092" s="10" t="s">
        <v>102</v>
      </c>
      <c r="AL2092" s="10"/>
      <c r="AM2092" s="10"/>
      <c r="AN2092" s="10"/>
      <c r="AO2092" s="13" t="b">
        <v>0</v>
      </c>
      <c r="AP2092" s="22" t="s">
        <v>104</v>
      </c>
      <c r="AQ2092" s="10">
        <f ca="1">IFERROR(__xludf.DUMMYFUNCTION("""COMPUTED_VALUE"""),4585749)</f>
        <v>4585749</v>
      </c>
      <c r="AR2092" s="17">
        <v>254</v>
      </c>
      <c r="AS2092" s="17">
        <v>197</v>
      </c>
      <c r="AT2092" s="17">
        <v>1709.5</v>
      </c>
      <c r="AU2092" s="17">
        <v>0</v>
      </c>
      <c r="AV2092" s="17">
        <v>0</v>
      </c>
      <c r="AW2092" s="10" t="s">
        <v>105</v>
      </c>
      <c r="AX2092" s="17">
        <v>86</v>
      </c>
      <c r="AY2092" s="18">
        <v>8.6776649746192902</v>
      </c>
      <c r="AZ2092" s="10"/>
      <c r="BA2092" s="20" t="b">
        <v>0</v>
      </c>
      <c r="BB2092" s="10" t="s">
        <v>15900</v>
      </c>
      <c r="BC2092" s="17">
        <v>254</v>
      </c>
      <c r="BD2092" s="17">
        <v>197</v>
      </c>
      <c r="BE2092" s="17">
        <v>1709.5</v>
      </c>
      <c r="BF2092" s="17">
        <v>0</v>
      </c>
      <c r="BG2092" s="11">
        <f ca="1">IFERROR(__xludf.DUMMYFUNCTION("""COMPUTED_VALUE"""),45921.5173611111)</f>
        <v>45921.517361111102</v>
      </c>
      <c r="BH2092" s="17" t="s">
        <v>105</v>
      </c>
      <c r="BI2092" s="17"/>
      <c r="BJ2092" s="15"/>
      <c r="BK2092" s="15"/>
      <c r="BL2092" s="13" t="b">
        <v>0</v>
      </c>
      <c r="BM2092" s="10"/>
      <c r="BN2092" s="10" t="s">
        <v>118</v>
      </c>
      <c r="BO2092" s="11">
        <v>45920.612500000003</v>
      </c>
      <c r="BP2092" s="11">
        <v>45920.613611111112</v>
      </c>
      <c r="BQ2092" s="15"/>
      <c r="BR2092" s="15">
        <v>45920.747673611113</v>
      </c>
      <c r="BS2092" s="10" t="s">
        <v>118</v>
      </c>
      <c r="BT2092" s="10"/>
      <c r="BU2092" s="10"/>
      <c r="BV2092" s="10"/>
      <c r="BW2092" s="10"/>
      <c r="BX2092" s="10"/>
      <c r="BY2092" s="23"/>
      <c r="BZ2092" s="23"/>
      <c r="CA2092" s="19" t="s">
        <v>9024</v>
      </c>
      <c r="CB2092" s="23"/>
      <c r="CC2092" s="23"/>
      <c r="CD2092" s="23"/>
      <c r="CE2092" s="23"/>
      <c r="CF2092" s="23"/>
      <c r="CG2092" s="23"/>
      <c r="CH2092" s="23"/>
      <c r="CI2092" s="23"/>
    </row>
    <row r="2093" spans="1:87" x14ac:dyDescent="0.3">
      <c r="A2093" s="9" t="s">
        <v>15948</v>
      </c>
      <c r="B2093" s="10" t="s">
        <v>15949</v>
      </c>
      <c r="C2093" s="11">
        <v>45921.545138888891</v>
      </c>
      <c r="D2093" s="12">
        <v>2.7777777777777776E-2</v>
      </c>
      <c r="E2093" s="11">
        <v>45921.572916666664</v>
      </c>
      <c r="F2093" s="10" t="s">
        <v>9016</v>
      </c>
      <c r="G2093" s="13" t="b">
        <v>0</v>
      </c>
      <c r="H2093" s="22" t="s">
        <v>9017</v>
      </c>
      <c r="I2093" s="10" t="s">
        <v>212</v>
      </c>
      <c r="J2093" s="13" t="b">
        <v>1</v>
      </c>
      <c r="K2093" s="13" t="b">
        <v>0</v>
      </c>
      <c r="L2093" s="10" t="s">
        <v>124</v>
      </c>
      <c r="M2093" s="10" t="s">
        <v>91</v>
      </c>
      <c r="N2093" s="10" t="s">
        <v>92</v>
      </c>
      <c r="O2093" s="19" t="s">
        <v>15950</v>
      </c>
      <c r="P2093" s="10"/>
      <c r="Q2093" s="10" t="s">
        <v>94</v>
      </c>
      <c r="R2093" s="10"/>
      <c r="S2093" s="19" t="s">
        <v>9019</v>
      </c>
      <c r="T2093" s="10"/>
      <c r="U2093" s="10"/>
      <c r="V2093" s="10"/>
      <c r="W2093" s="10" t="s">
        <v>9020</v>
      </c>
      <c r="X2093" s="10" t="s">
        <v>130</v>
      </c>
      <c r="Y2093" s="10" t="s">
        <v>130</v>
      </c>
      <c r="Z2093" s="10" t="s">
        <v>99</v>
      </c>
      <c r="AA2093" s="10" t="s">
        <v>131</v>
      </c>
      <c r="AB2093" s="10" t="s">
        <v>9021</v>
      </c>
      <c r="AC2093" s="10" t="s">
        <v>9022</v>
      </c>
      <c r="AD2093" s="10" t="s">
        <v>165</v>
      </c>
      <c r="AE2093" s="10" t="s">
        <v>15951</v>
      </c>
      <c r="AF2093" s="15"/>
      <c r="AG2093" s="10"/>
      <c r="AH2093" s="10"/>
      <c r="AI2093" s="10"/>
      <c r="AJ2093" s="10"/>
      <c r="AK2093" s="10" t="s">
        <v>102</v>
      </c>
      <c r="AL2093" s="10"/>
      <c r="AM2093" s="10"/>
      <c r="AN2093" s="10"/>
      <c r="AO2093" s="13" t="b">
        <v>0</v>
      </c>
      <c r="AP2093" s="22" t="s">
        <v>104</v>
      </c>
      <c r="AQ2093" s="10">
        <f ca="1">IFERROR(__xludf.DUMMYFUNCTION("""COMPUTED_VALUE"""),4585750)</f>
        <v>4585750</v>
      </c>
      <c r="AR2093" s="17">
        <v>259</v>
      </c>
      <c r="AS2093" s="17">
        <v>196</v>
      </c>
      <c r="AT2093" s="17">
        <v>2012.25</v>
      </c>
      <c r="AU2093" s="17">
        <v>0</v>
      </c>
      <c r="AV2093" s="17">
        <v>0</v>
      </c>
      <c r="AW2093" s="10" t="s">
        <v>105</v>
      </c>
      <c r="AX2093" s="17">
        <v>93</v>
      </c>
      <c r="AY2093" s="18">
        <v>10.266581632653061</v>
      </c>
      <c r="AZ2093" s="10"/>
      <c r="BA2093" s="20" t="b">
        <v>0</v>
      </c>
      <c r="BB2093" s="10" t="s">
        <v>15900</v>
      </c>
      <c r="BC2093" s="17">
        <v>259</v>
      </c>
      <c r="BD2093" s="17">
        <v>196</v>
      </c>
      <c r="BE2093" s="17">
        <v>2012.25</v>
      </c>
      <c r="BF2093" s="17">
        <v>0</v>
      </c>
      <c r="BG2093" s="11">
        <f ca="1">IFERROR(__xludf.DUMMYFUNCTION("""COMPUTED_VALUE"""),45921.5451388888)</f>
        <v>45921.545138888803</v>
      </c>
      <c r="BH2093" s="17" t="s">
        <v>105</v>
      </c>
      <c r="BI2093" s="17"/>
      <c r="BJ2093" s="15"/>
      <c r="BK2093" s="15"/>
      <c r="BL2093" s="13" t="b">
        <v>0</v>
      </c>
      <c r="BM2093" s="10"/>
      <c r="BN2093" s="10" t="s">
        <v>118</v>
      </c>
      <c r="BO2093" s="11">
        <v>45920.612500000003</v>
      </c>
      <c r="BP2093" s="11">
        <v>45920.613726851851</v>
      </c>
      <c r="BQ2093" s="15"/>
      <c r="BR2093" s="15">
        <v>45920.747916666667</v>
      </c>
      <c r="BS2093" s="10" t="s">
        <v>118</v>
      </c>
      <c r="BT2093" s="10"/>
      <c r="BU2093" s="10"/>
      <c r="BV2093" s="10"/>
      <c r="BW2093" s="10"/>
      <c r="BX2093" s="10"/>
      <c r="BY2093" s="23"/>
      <c r="BZ2093" s="23"/>
      <c r="CA2093" s="19" t="s">
        <v>9024</v>
      </c>
      <c r="CB2093" s="23"/>
      <c r="CC2093" s="23"/>
      <c r="CD2093" s="23"/>
      <c r="CE2093" s="23"/>
      <c r="CF2093" s="23"/>
      <c r="CG2093" s="23"/>
      <c r="CH2093" s="23"/>
      <c r="CI2093" s="23"/>
    </row>
    <row r="2094" spans="1:87" x14ac:dyDescent="0.3">
      <c r="A2094" s="9" t="s">
        <v>15952</v>
      </c>
      <c r="B2094" s="10" t="s">
        <v>15953</v>
      </c>
      <c r="C2094" s="11">
        <v>45921.572916666664</v>
      </c>
      <c r="D2094" s="12">
        <v>2.7777777777777776E-2</v>
      </c>
      <c r="E2094" s="11">
        <v>45921.600694444445</v>
      </c>
      <c r="F2094" s="10" t="s">
        <v>9016</v>
      </c>
      <c r="G2094" s="13" t="b">
        <v>0</v>
      </c>
      <c r="H2094" s="22" t="s">
        <v>9017</v>
      </c>
      <c r="I2094" s="10" t="s">
        <v>212</v>
      </c>
      <c r="J2094" s="13" t="b">
        <v>1</v>
      </c>
      <c r="K2094" s="13" t="b">
        <v>0</v>
      </c>
      <c r="L2094" s="10" t="s">
        <v>124</v>
      </c>
      <c r="M2094" s="10" t="s">
        <v>91</v>
      </c>
      <c r="N2094" s="10" t="s">
        <v>92</v>
      </c>
      <c r="O2094" s="19" t="s">
        <v>15954</v>
      </c>
      <c r="P2094" s="10"/>
      <c r="Q2094" s="10" t="s">
        <v>94</v>
      </c>
      <c r="R2094" s="10"/>
      <c r="S2094" s="19" t="s">
        <v>9019</v>
      </c>
      <c r="T2094" s="10"/>
      <c r="U2094" s="10"/>
      <c r="V2094" s="10"/>
      <c r="W2094" s="10" t="s">
        <v>9020</v>
      </c>
      <c r="X2094" s="10" t="s">
        <v>130</v>
      </c>
      <c r="Y2094" s="10" t="s">
        <v>130</v>
      </c>
      <c r="Z2094" s="10" t="s">
        <v>99</v>
      </c>
      <c r="AA2094" s="10" t="s">
        <v>131</v>
      </c>
      <c r="AB2094" s="10" t="s">
        <v>9021</v>
      </c>
      <c r="AC2094" s="10" t="s">
        <v>9022</v>
      </c>
      <c r="AD2094" s="10" t="s">
        <v>165</v>
      </c>
      <c r="AE2094" s="10" t="s">
        <v>15955</v>
      </c>
      <c r="AF2094" s="15"/>
      <c r="AG2094" s="10"/>
      <c r="AH2094" s="10"/>
      <c r="AI2094" s="10"/>
      <c r="AJ2094" s="10"/>
      <c r="AK2094" s="10" t="s">
        <v>102</v>
      </c>
      <c r="AL2094" s="10"/>
      <c r="AM2094" s="10"/>
      <c r="AN2094" s="10"/>
      <c r="AO2094" s="13" t="b">
        <v>0</v>
      </c>
      <c r="AP2094" s="22" t="s">
        <v>104</v>
      </c>
      <c r="AQ2094" s="10">
        <f ca="1">IFERROR(__xludf.DUMMYFUNCTION("""COMPUTED_VALUE"""),4585751)</f>
        <v>4585751</v>
      </c>
      <c r="AR2094" s="17">
        <v>226</v>
      </c>
      <c r="AS2094" s="17">
        <v>177</v>
      </c>
      <c r="AT2094" s="17">
        <v>1921.25</v>
      </c>
      <c r="AU2094" s="17">
        <v>0</v>
      </c>
      <c r="AV2094" s="17">
        <v>0</v>
      </c>
      <c r="AW2094" s="10" t="s">
        <v>105</v>
      </c>
      <c r="AX2094" s="17">
        <v>83</v>
      </c>
      <c r="AY2094" s="18">
        <v>10.854519774011299</v>
      </c>
      <c r="AZ2094" s="10"/>
      <c r="BA2094" s="20" t="b">
        <v>0</v>
      </c>
      <c r="BB2094" s="10" t="s">
        <v>15900</v>
      </c>
      <c r="BC2094" s="17">
        <v>226</v>
      </c>
      <c r="BD2094" s="17">
        <v>177</v>
      </c>
      <c r="BE2094" s="17">
        <v>1921.25</v>
      </c>
      <c r="BF2094" s="17">
        <v>0</v>
      </c>
      <c r="BG2094" s="11">
        <f ca="1">IFERROR(__xludf.DUMMYFUNCTION("""COMPUTED_VALUE"""),45921.5729166666)</f>
        <v>45921.572916666599</v>
      </c>
      <c r="BH2094" s="17" t="s">
        <v>105</v>
      </c>
      <c r="BI2094" s="17"/>
      <c r="BJ2094" s="15"/>
      <c r="BK2094" s="15"/>
      <c r="BL2094" s="13" t="b">
        <v>0</v>
      </c>
      <c r="BM2094" s="10"/>
      <c r="BN2094" s="10" t="s">
        <v>118</v>
      </c>
      <c r="BO2094" s="11">
        <v>45920.612500000003</v>
      </c>
      <c r="BP2094" s="11">
        <v>45920.61383101852</v>
      </c>
      <c r="BQ2094" s="15"/>
      <c r="BR2094" s="15">
        <v>45920.748020833336</v>
      </c>
      <c r="BS2094" s="10" t="s">
        <v>118</v>
      </c>
      <c r="BT2094" s="10"/>
      <c r="BU2094" s="10"/>
      <c r="BV2094" s="10"/>
      <c r="BW2094" s="10"/>
      <c r="BX2094" s="10"/>
      <c r="BY2094" s="23"/>
      <c r="BZ2094" s="23"/>
      <c r="CA2094" s="19" t="s">
        <v>9024</v>
      </c>
      <c r="CB2094" s="23"/>
      <c r="CC2094" s="23"/>
      <c r="CD2094" s="23"/>
      <c r="CE2094" s="23"/>
      <c r="CF2094" s="23"/>
      <c r="CG2094" s="23"/>
      <c r="CH2094" s="23"/>
      <c r="CI2094" s="23"/>
    </row>
    <row r="2095" spans="1:87" x14ac:dyDescent="0.3">
      <c r="A2095" s="9" t="s">
        <v>15956</v>
      </c>
      <c r="B2095" s="10" t="s">
        <v>15957</v>
      </c>
      <c r="C2095" s="11">
        <v>45921.600694444445</v>
      </c>
      <c r="D2095" s="12">
        <v>2.7777777777777776E-2</v>
      </c>
      <c r="E2095" s="11">
        <v>45921.628472222219</v>
      </c>
      <c r="F2095" s="10" t="s">
        <v>9016</v>
      </c>
      <c r="G2095" s="13" t="b">
        <v>0</v>
      </c>
      <c r="H2095" s="22" t="s">
        <v>9017</v>
      </c>
      <c r="I2095" s="10" t="s">
        <v>212</v>
      </c>
      <c r="J2095" s="13" t="b">
        <v>1</v>
      </c>
      <c r="K2095" s="13" t="b">
        <v>0</v>
      </c>
      <c r="L2095" s="10" t="s">
        <v>124</v>
      </c>
      <c r="M2095" s="10" t="s">
        <v>91</v>
      </c>
      <c r="N2095" s="10" t="s">
        <v>92</v>
      </c>
      <c r="O2095" s="19" t="s">
        <v>15958</v>
      </c>
      <c r="P2095" s="10"/>
      <c r="Q2095" s="10" t="s">
        <v>94</v>
      </c>
      <c r="R2095" s="10"/>
      <c r="S2095" s="19" t="s">
        <v>9019</v>
      </c>
      <c r="T2095" s="10"/>
      <c r="U2095" s="10"/>
      <c r="V2095" s="10"/>
      <c r="W2095" s="10" t="s">
        <v>9020</v>
      </c>
      <c r="X2095" s="10" t="s">
        <v>130</v>
      </c>
      <c r="Y2095" s="10" t="s">
        <v>130</v>
      </c>
      <c r="Z2095" s="10" t="s">
        <v>99</v>
      </c>
      <c r="AA2095" s="10" t="s">
        <v>131</v>
      </c>
      <c r="AB2095" s="10" t="s">
        <v>9021</v>
      </c>
      <c r="AC2095" s="10" t="s">
        <v>9022</v>
      </c>
      <c r="AD2095" s="10" t="s">
        <v>165</v>
      </c>
      <c r="AE2095" s="10" t="s">
        <v>15959</v>
      </c>
      <c r="AF2095" s="15"/>
      <c r="AG2095" s="10"/>
      <c r="AH2095" s="10"/>
      <c r="AI2095" s="10"/>
      <c r="AJ2095" s="10"/>
      <c r="AK2095" s="10" t="s">
        <v>102</v>
      </c>
      <c r="AL2095" s="10"/>
      <c r="AM2095" s="10"/>
      <c r="AN2095" s="10"/>
      <c r="AO2095" s="13" t="b">
        <v>0</v>
      </c>
      <c r="AP2095" s="22" t="s">
        <v>104</v>
      </c>
      <c r="AQ2095" s="10">
        <f ca="1">IFERROR(__xludf.DUMMYFUNCTION("""COMPUTED_VALUE"""),4585752)</f>
        <v>4585752</v>
      </c>
      <c r="AR2095" s="17">
        <v>219</v>
      </c>
      <c r="AS2095" s="17">
        <v>170</v>
      </c>
      <c r="AT2095" s="17">
        <v>1044.5</v>
      </c>
      <c r="AU2095" s="17">
        <v>0</v>
      </c>
      <c r="AV2095" s="17">
        <v>0</v>
      </c>
      <c r="AW2095" s="10" t="s">
        <v>105</v>
      </c>
      <c r="AX2095" s="17">
        <v>84</v>
      </c>
      <c r="AY2095" s="18">
        <v>6.1441176470588239</v>
      </c>
      <c r="AZ2095" s="10"/>
      <c r="BA2095" s="20" t="b">
        <v>0</v>
      </c>
      <c r="BB2095" s="10" t="s">
        <v>15900</v>
      </c>
      <c r="BC2095" s="17">
        <v>219</v>
      </c>
      <c r="BD2095" s="17">
        <v>170</v>
      </c>
      <c r="BE2095" s="17">
        <v>1044.5</v>
      </c>
      <c r="BF2095" s="17">
        <v>0</v>
      </c>
      <c r="BG2095" s="11">
        <f ca="1">IFERROR(__xludf.DUMMYFUNCTION("""COMPUTED_VALUE"""),45921.6006944444)</f>
        <v>45921.600694444402</v>
      </c>
      <c r="BH2095" s="17" t="s">
        <v>105</v>
      </c>
      <c r="BI2095" s="17"/>
      <c r="BJ2095" s="15"/>
      <c r="BK2095" s="15"/>
      <c r="BL2095" s="13" t="b">
        <v>0</v>
      </c>
      <c r="BM2095" s="10"/>
      <c r="BN2095" s="10" t="s">
        <v>118</v>
      </c>
      <c r="BO2095" s="11">
        <v>45920.613194444442</v>
      </c>
      <c r="BP2095" s="11">
        <v>45920.613923611112</v>
      </c>
      <c r="BQ2095" s="15"/>
      <c r="BR2095" s="15">
        <v>45920.748148148145</v>
      </c>
      <c r="BS2095" s="10" t="s">
        <v>118</v>
      </c>
      <c r="BT2095" s="10"/>
      <c r="BU2095" s="10"/>
      <c r="BV2095" s="10"/>
      <c r="BW2095" s="10"/>
      <c r="BX2095" s="10"/>
      <c r="BY2095" s="23"/>
      <c r="BZ2095" s="23"/>
      <c r="CA2095" s="19" t="s">
        <v>9024</v>
      </c>
      <c r="CB2095" s="23"/>
      <c r="CC2095" s="23"/>
      <c r="CD2095" s="23"/>
      <c r="CE2095" s="23"/>
      <c r="CF2095" s="23"/>
      <c r="CG2095" s="23"/>
      <c r="CH2095" s="23"/>
      <c r="CI2095" s="23"/>
    </row>
    <row r="2096" spans="1:87" x14ac:dyDescent="0.3">
      <c r="A2096" s="9" t="s">
        <v>15960</v>
      </c>
      <c r="B2096" s="10" t="s">
        <v>15961</v>
      </c>
      <c r="C2096" s="11">
        <v>45921.628472222219</v>
      </c>
      <c r="D2096" s="12">
        <v>3.8194444444444448E-2</v>
      </c>
      <c r="E2096" s="11">
        <v>45921.666666666664</v>
      </c>
      <c r="F2096" s="10" t="s">
        <v>9016</v>
      </c>
      <c r="G2096" s="13" t="b">
        <v>0</v>
      </c>
      <c r="H2096" s="22" t="s">
        <v>9017</v>
      </c>
      <c r="I2096" s="10" t="s">
        <v>212</v>
      </c>
      <c r="J2096" s="13" t="b">
        <v>1</v>
      </c>
      <c r="K2096" s="13" t="b">
        <v>0</v>
      </c>
      <c r="L2096" s="10" t="s">
        <v>124</v>
      </c>
      <c r="M2096" s="10" t="s">
        <v>91</v>
      </c>
      <c r="N2096" s="10" t="s">
        <v>92</v>
      </c>
      <c r="O2096" s="19" t="s">
        <v>15962</v>
      </c>
      <c r="P2096" s="10"/>
      <c r="Q2096" s="10" t="s">
        <v>94</v>
      </c>
      <c r="R2096" s="10"/>
      <c r="S2096" s="19" t="s">
        <v>9019</v>
      </c>
      <c r="T2096" s="10"/>
      <c r="U2096" s="10"/>
      <c r="V2096" s="10"/>
      <c r="W2096" s="10" t="s">
        <v>9020</v>
      </c>
      <c r="X2096" s="10" t="s">
        <v>130</v>
      </c>
      <c r="Y2096" s="10" t="s">
        <v>130</v>
      </c>
      <c r="Z2096" s="10" t="s">
        <v>99</v>
      </c>
      <c r="AA2096" s="10" t="s">
        <v>131</v>
      </c>
      <c r="AB2096" s="10" t="s">
        <v>9021</v>
      </c>
      <c r="AC2096" s="10" t="s">
        <v>9022</v>
      </c>
      <c r="AD2096" s="10" t="s">
        <v>165</v>
      </c>
      <c r="AE2096" s="10" t="s">
        <v>15963</v>
      </c>
      <c r="AF2096" s="15"/>
      <c r="AG2096" s="10"/>
      <c r="AH2096" s="10"/>
      <c r="AI2096" s="10"/>
      <c r="AJ2096" s="10"/>
      <c r="AK2096" s="10" t="s">
        <v>102</v>
      </c>
      <c r="AL2096" s="10"/>
      <c r="AM2096" s="10"/>
      <c r="AN2096" s="10"/>
      <c r="AO2096" s="13" t="b">
        <v>0</v>
      </c>
      <c r="AP2096" s="22" t="s">
        <v>104</v>
      </c>
      <c r="AQ2096" s="10">
        <f ca="1">IFERROR(__xludf.DUMMYFUNCTION("""COMPUTED_VALUE"""),4585753)</f>
        <v>4585753</v>
      </c>
      <c r="AR2096" s="17">
        <v>202</v>
      </c>
      <c r="AS2096" s="17">
        <v>149</v>
      </c>
      <c r="AT2096" s="17">
        <v>384.5</v>
      </c>
      <c r="AU2096" s="17">
        <v>0</v>
      </c>
      <c r="AV2096" s="17">
        <v>0</v>
      </c>
      <c r="AW2096" s="10" t="s">
        <v>105</v>
      </c>
      <c r="AX2096" s="17">
        <v>61</v>
      </c>
      <c r="AY2096" s="18">
        <v>2.5805369127516777</v>
      </c>
      <c r="AZ2096" s="10"/>
      <c r="BA2096" s="20" t="b">
        <v>0</v>
      </c>
      <c r="BB2096" s="10" t="s">
        <v>15900</v>
      </c>
      <c r="BC2096" s="17">
        <v>202</v>
      </c>
      <c r="BD2096" s="17">
        <v>149</v>
      </c>
      <c r="BE2096" s="17">
        <v>384.5</v>
      </c>
      <c r="BF2096" s="17">
        <v>0</v>
      </c>
      <c r="BG2096" s="11">
        <f ca="1">IFERROR(__xludf.DUMMYFUNCTION("""COMPUTED_VALUE"""),45921.6284722222)</f>
        <v>45921.628472222197</v>
      </c>
      <c r="BH2096" s="17" t="s">
        <v>105</v>
      </c>
      <c r="BI2096" s="17"/>
      <c r="BJ2096" s="15"/>
      <c r="BK2096" s="15"/>
      <c r="BL2096" s="13" t="b">
        <v>0</v>
      </c>
      <c r="BM2096" s="10"/>
      <c r="BN2096" s="10" t="s">
        <v>118</v>
      </c>
      <c r="BO2096" s="11">
        <v>45920.613888888889</v>
      </c>
      <c r="BP2096" s="11">
        <v>45920.614062499997</v>
      </c>
      <c r="BQ2096" s="15"/>
      <c r="BR2096" s="15">
        <v>45920.748287037037</v>
      </c>
      <c r="BS2096" s="10" t="s">
        <v>118</v>
      </c>
      <c r="BT2096" s="10"/>
      <c r="BU2096" s="10"/>
      <c r="BV2096" s="10"/>
      <c r="BW2096" s="10"/>
      <c r="BX2096" s="10"/>
      <c r="BY2096" s="23"/>
      <c r="BZ2096" s="23"/>
      <c r="CA2096" s="19" t="s">
        <v>9024</v>
      </c>
      <c r="CB2096" s="23"/>
      <c r="CC2096" s="23"/>
      <c r="CD2096" s="23"/>
      <c r="CE2096" s="23"/>
      <c r="CF2096" s="23"/>
      <c r="CG2096" s="23"/>
      <c r="CH2096" s="23"/>
      <c r="CI2096" s="23"/>
    </row>
    <row r="2097" spans="1:87" x14ac:dyDescent="0.3">
      <c r="A2097" s="9" t="s">
        <v>15964</v>
      </c>
      <c r="B2097" s="10" t="s">
        <v>15965</v>
      </c>
      <c r="C2097" s="11">
        <v>45934.791666666664</v>
      </c>
      <c r="D2097" s="12">
        <v>0.14583333333333334</v>
      </c>
      <c r="E2097" s="11">
        <v>45934.9375</v>
      </c>
      <c r="F2097" s="10" t="s">
        <v>8402</v>
      </c>
      <c r="G2097" s="13" t="b">
        <v>0</v>
      </c>
      <c r="H2097" s="22" t="s">
        <v>8403</v>
      </c>
      <c r="I2097" s="10" t="s">
        <v>212</v>
      </c>
      <c r="J2097" s="13" t="b">
        <v>1</v>
      </c>
      <c r="K2097" s="13" t="b">
        <v>0</v>
      </c>
      <c r="L2097" s="10" t="s">
        <v>124</v>
      </c>
      <c r="M2097" s="10" t="s">
        <v>91</v>
      </c>
      <c r="N2097" s="10" t="s">
        <v>92</v>
      </c>
      <c r="O2097" s="19" t="s">
        <v>15966</v>
      </c>
      <c r="P2097" s="10"/>
      <c r="Q2097" s="10" t="s">
        <v>126</v>
      </c>
      <c r="R2097" s="19" t="s">
        <v>15967</v>
      </c>
      <c r="S2097" s="19" t="s">
        <v>15968</v>
      </c>
      <c r="T2097" s="10"/>
      <c r="U2097" s="10"/>
      <c r="V2097" s="10"/>
      <c r="W2097" s="10" t="s">
        <v>8407</v>
      </c>
      <c r="X2097" s="10" t="s">
        <v>8408</v>
      </c>
      <c r="Y2097" s="10" t="s">
        <v>8409</v>
      </c>
      <c r="Z2097" s="10" t="s">
        <v>99</v>
      </c>
      <c r="AA2097" s="10" t="s">
        <v>100</v>
      </c>
      <c r="AB2097" s="10" t="s">
        <v>8410</v>
      </c>
      <c r="AC2097" s="10"/>
      <c r="AD2097" s="10" t="s">
        <v>165</v>
      </c>
      <c r="AE2097" s="10" t="s">
        <v>15969</v>
      </c>
      <c r="AF2097" s="15"/>
      <c r="AG2097" s="10"/>
      <c r="AH2097" s="10"/>
      <c r="AI2097" s="10"/>
      <c r="AJ2097" s="10"/>
      <c r="AK2097" s="10" t="s">
        <v>102</v>
      </c>
      <c r="AL2097" s="10"/>
      <c r="AM2097" s="10"/>
      <c r="AN2097" s="10"/>
      <c r="AO2097" s="13" t="b">
        <v>0</v>
      </c>
      <c r="AP2097" s="22"/>
      <c r="AQ2097" s="10">
        <f ca="1">IFERROR(__xludf.DUMMYFUNCTION("""COMPUTED_VALUE"""),4613310)</f>
        <v>4613310</v>
      </c>
      <c r="AR2097" s="17">
        <v>7016</v>
      </c>
      <c r="AS2097" s="17">
        <v>5352</v>
      </c>
      <c r="AT2097" s="17">
        <v>60514.75</v>
      </c>
      <c r="AU2097" s="17">
        <v>10.6</v>
      </c>
      <c r="AV2097" s="17">
        <v>1.75</v>
      </c>
      <c r="AW2097" s="10" t="s">
        <v>105</v>
      </c>
      <c r="AX2097" s="17">
        <v>843</v>
      </c>
      <c r="AY2097" s="18">
        <v>11.306941330343797</v>
      </c>
      <c r="AZ2097" s="10" t="s">
        <v>3783</v>
      </c>
      <c r="BA2097" s="20" t="b">
        <v>0</v>
      </c>
      <c r="BB2097" s="10"/>
      <c r="BC2097" s="17">
        <v>7016</v>
      </c>
      <c r="BD2097" s="17">
        <v>5352</v>
      </c>
      <c r="BE2097" s="17">
        <v>60514.75</v>
      </c>
      <c r="BF2097" s="17">
        <v>1.75</v>
      </c>
      <c r="BG2097" s="11">
        <f ca="1">IFERROR(__xludf.DUMMYFUNCTION("""COMPUTED_VALUE"""),45934.7916666666)</f>
        <v>45934.791666666599</v>
      </c>
      <c r="BH2097" s="17" t="s">
        <v>105</v>
      </c>
      <c r="BI2097" s="17"/>
      <c r="BJ2097" s="15"/>
      <c r="BK2097" s="15"/>
      <c r="BL2097" s="13" t="b">
        <v>0</v>
      </c>
      <c r="BM2097" s="10"/>
      <c r="BN2097" s="10" t="s">
        <v>4030</v>
      </c>
      <c r="BO2097" s="11">
        <v>45921.703472222223</v>
      </c>
      <c r="BP2097" s="11">
        <v>45921.703819444447</v>
      </c>
      <c r="BQ2097" s="15">
        <v>45930.460162037038</v>
      </c>
      <c r="BR2097" s="15">
        <v>45930.831712962965</v>
      </c>
      <c r="BS2097" s="10" t="s">
        <v>4030</v>
      </c>
      <c r="BT2097" s="10"/>
      <c r="BU2097" s="10"/>
      <c r="BV2097" s="10"/>
      <c r="BW2097" s="10"/>
      <c r="BX2097" s="10"/>
      <c r="BY2097" s="23"/>
      <c r="BZ2097" s="23"/>
      <c r="CA2097" s="19" t="s">
        <v>15970</v>
      </c>
      <c r="CB2097" s="23"/>
      <c r="CC2097" s="23"/>
      <c r="CD2097" s="19" t="s">
        <v>15971</v>
      </c>
      <c r="CE2097" s="23"/>
      <c r="CF2097" s="23"/>
      <c r="CG2097" s="23"/>
      <c r="CH2097" s="23"/>
      <c r="CI2097" s="23"/>
    </row>
    <row r="2098" spans="1:87" x14ac:dyDescent="0.3">
      <c r="A2098" s="9" t="s">
        <v>15972</v>
      </c>
      <c r="B2098" s="10" t="s">
        <v>15973</v>
      </c>
      <c r="C2098" s="11">
        <v>45963.854166666664</v>
      </c>
      <c r="D2098" s="12">
        <v>8.3333333333333329E-2</v>
      </c>
      <c r="E2098" s="11">
        <v>45963.9375</v>
      </c>
      <c r="F2098" s="10" t="s">
        <v>3687</v>
      </c>
      <c r="G2098" s="13" t="b">
        <v>0</v>
      </c>
      <c r="H2098" s="22" t="s">
        <v>8464</v>
      </c>
      <c r="I2098" s="10" t="s">
        <v>89</v>
      </c>
      <c r="J2098" s="13" t="b">
        <v>0</v>
      </c>
      <c r="K2098" s="13" t="b">
        <v>1</v>
      </c>
      <c r="L2098" s="10" t="s">
        <v>124</v>
      </c>
      <c r="M2098" s="10" t="s">
        <v>91</v>
      </c>
      <c r="N2098" s="10" t="s">
        <v>92</v>
      </c>
      <c r="O2098" s="19" t="s">
        <v>15974</v>
      </c>
      <c r="P2098" s="10"/>
      <c r="Q2098" s="10" t="s">
        <v>126</v>
      </c>
      <c r="R2098" s="10"/>
      <c r="S2098" s="19" t="s">
        <v>15975</v>
      </c>
      <c r="T2098" s="19" t="s">
        <v>15976</v>
      </c>
      <c r="U2098" s="10" t="s">
        <v>3705</v>
      </c>
      <c r="V2098" s="10" t="s">
        <v>3727</v>
      </c>
      <c r="W2098" s="10" t="s">
        <v>3692</v>
      </c>
      <c r="X2098" s="10" t="s">
        <v>130</v>
      </c>
      <c r="Y2098" s="10" t="s">
        <v>130</v>
      </c>
      <c r="Z2098" s="10" t="s">
        <v>99</v>
      </c>
      <c r="AA2098" s="10" t="s">
        <v>131</v>
      </c>
      <c r="AB2098" s="10" t="s">
        <v>3693</v>
      </c>
      <c r="AC2098" s="10" t="s">
        <v>3694</v>
      </c>
      <c r="AD2098" s="10" t="s">
        <v>15977</v>
      </c>
      <c r="AE2098" s="10" t="s">
        <v>15978</v>
      </c>
      <c r="AF2098" s="15"/>
      <c r="AG2098" s="10"/>
      <c r="AH2098" s="10"/>
      <c r="AI2098" s="10"/>
      <c r="AJ2098" s="10" t="s">
        <v>15979</v>
      </c>
      <c r="AK2098" s="10" t="s">
        <v>102</v>
      </c>
      <c r="AL2098" s="10" t="s">
        <v>1360</v>
      </c>
      <c r="AM2098" s="10"/>
      <c r="AN2098" s="10"/>
      <c r="AO2098" s="13" t="b">
        <v>0</v>
      </c>
      <c r="AP2098" s="22" t="s">
        <v>104</v>
      </c>
      <c r="AQ2098" s="10">
        <f ca="1">IFERROR(__xludf.DUMMYFUNCTION("""COMPUTED_VALUE"""),4691064)</f>
        <v>4691064</v>
      </c>
      <c r="AR2098" s="17">
        <v>5515</v>
      </c>
      <c r="AS2098" s="17">
        <v>4364</v>
      </c>
      <c r="AT2098" s="17">
        <v>48344.25</v>
      </c>
      <c r="AU2098" s="17">
        <v>13.35</v>
      </c>
      <c r="AV2098" s="17">
        <v>4.9000000000000004</v>
      </c>
      <c r="AW2098" s="10" t="s">
        <v>105</v>
      </c>
      <c r="AX2098" s="17">
        <v>990</v>
      </c>
      <c r="AY2098" s="18">
        <v>11.077967461044913</v>
      </c>
      <c r="AZ2098" s="10" t="s">
        <v>3783</v>
      </c>
      <c r="BA2098" s="20" t="b">
        <v>0</v>
      </c>
      <c r="BB2098" s="10"/>
      <c r="BC2098" s="17">
        <v>5515</v>
      </c>
      <c r="BD2098" s="17">
        <v>4364</v>
      </c>
      <c r="BE2098" s="17">
        <v>48344.25</v>
      </c>
      <c r="BF2098" s="17">
        <v>4.9000000000000004</v>
      </c>
      <c r="BG2098" s="11">
        <f ca="1">IFERROR(__xludf.DUMMYFUNCTION("""COMPUTED_VALUE"""),45963.8541666666)</f>
        <v>45963.854166666599</v>
      </c>
      <c r="BH2098" s="17" t="s">
        <v>105</v>
      </c>
      <c r="BI2098" s="17"/>
      <c r="BJ2098" s="15"/>
      <c r="BK2098" s="15"/>
      <c r="BL2098" s="13" t="b">
        <v>0</v>
      </c>
      <c r="BM2098" s="10"/>
      <c r="BN2098" s="10" t="s">
        <v>455</v>
      </c>
      <c r="BO2098" s="11">
        <v>45922.489583333336</v>
      </c>
      <c r="BP2098" s="11">
        <v>45963.52884259259</v>
      </c>
      <c r="BQ2098" s="15">
        <v>45960.562708333331</v>
      </c>
      <c r="BR2098" s="15">
        <v>45963.537199074075</v>
      </c>
      <c r="BS2098" s="10" t="s">
        <v>455</v>
      </c>
      <c r="BT2098" s="10" t="s">
        <v>99</v>
      </c>
      <c r="BU2098" s="10" t="s">
        <v>6518</v>
      </c>
      <c r="BV2098" s="10"/>
      <c r="BW2098" s="10"/>
      <c r="BX2098" s="10"/>
      <c r="BY2098" s="23"/>
      <c r="BZ2098" s="23"/>
      <c r="CA2098" s="19" t="s">
        <v>15980</v>
      </c>
      <c r="CB2098" s="19" t="s">
        <v>15981</v>
      </c>
      <c r="CC2098" s="23"/>
      <c r="CD2098" s="19" t="s">
        <v>15982</v>
      </c>
      <c r="CE2098" s="23"/>
      <c r="CF2098" s="23"/>
      <c r="CG2098" s="23"/>
      <c r="CH2098" s="23"/>
      <c r="CI2098" s="23"/>
    </row>
    <row r="2099" spans="1:87" x14ac:dyDescent="0.3">
      <c r="A2099" s="9" t="s">
        <v>15983</v>
      </c>
      <c r="B2099" s="10" t="s">
        <v>15984</v>
      </c>
      <c r="C2099" s="11">
        <v>45926.302083333336</v>
      </c>
      <c r="D2099" s="12">
        <v>0.14583333333333334</v>
      </c>
      <c r="E2099" s="11">
        <v>45926.447916666664</v>
      </c>
      <c r="F2099" s="10" t="s">
        <v>15270</v>
      </c>
      <c r="G2099" s="13" t="b">
        <v>0</v>
      </c>
      <c r="H2099" s="22" t="s">
        <v>15271</v>
      </c>
      <c r="I2099" s="10" t="s">
        <v>3213</v>
      </c>
      <c r="J2099" s="13" t="b">
        <v>0</v>
      </c>
      <c r="K2099" s="13" t="b">
        <v>1</v>
      </c>
      <c r="L2099" s="10" t="s">
        <v>124</v>
      </c>
      <c r="M2099" s="10" t="s">
        <v>91</v>
      </c>
      <c r="N2099" s="10" t="s">
        <v>92</v>
      </c>
      <c r="O2099" s="19" t="s">
        <v>15985</v>
      </c>
      <c r="P2099" s="10" t="s">
        <v>3215</v>
      </c>
      <c r="Q2099" s="10" t="s">
        <v>126</v>
      </c>
      <c r="R2099" s="10"/>
      <c r="S2099" s="19" t="s">
        <v>15986</v>
      </c>
      <c r="T2099" s="10"/>
      <c r="U2099" s="10" t="s">
        <v>15655</v>
      </c>
      <c r="V2099" s="10" t="s">
        <v>15987</v>
      </c>
      <c r="W2099" s="10" t="s">
        <v>15276</v>
      </c>
      <c r="X2099" s="10" t="s">
        <v>15277</v>
      </c>
      <c r="Y2099" s="10" t="s">
        <v>15277</v>
      </c>
      <c r="Z2099" s="10" t="s">
        <v>99</v>
      </c>
      <c r="AA2099" s="10" t="s">
        <v>131</v>
      </c>
      <c r="AB2099" s="10" t="s">
        <v>15278</v>
      </c>
      <c r="AC2099" s="10" t="s">
        <v>15279</v>
      </c>
      <c r="AD2099" s="10" t="s">
        <v>165</v>
      </c>
      <c r="AE2099" s="10" t="s">
        <v>15988</v>
      </c>
      <c r="AF2099" s="15"/>
      <c r="AG2099" s="10"/>
      <c r="AH2099" s="10"/>
      <c r="AI2099" s="10"/>
      <c r="AJ2099" s="10"/>
      <c r="AK2099" s="10" t="s">
        <v>102</v>
      </c>
      <c r="AL2099" s="10" t="s">
        <v>156</v>
      </c>
      <c r="AM2099" s="10"/>
      <c r="AN2099" s="10"/>
      <c r="AO2099" s="13" t="b">
        <v>0</v>
      </c>
      <c r="AP2099" s="22" t="s">
        <v>104</v>
      </c>
      <c r="AQ2099" s="10">
        <f ca="1">IFERROR(__xludf.DUMMYFUNCTION("""COMPUTED_VALUE"""),4596777)</f>
        <v>4596777</v>
      </c>
      <c r="AR2099" s="17">
        <v>3096</v>
      </c>
      <c r="AS2099" s="17">
        <v>2384</v>
      </c>
      <c r="AT2099" s="17">
        <v>41458.25</v>
      </c>
      <c r="AU2099" s="17">
        <v>10.1</v>
      </c>
      <c r="AV2099" s="17">
        <v>3.5</v>
      </c>
      <c r="AW2099" s="10" t="s">
        <v>105</v>
      </c>
      <c r="AX2099" s="17">
        <v>420</v>
      </c>
      <c r="AY2099" s="18">
        <v>17.390205536912752</v>
      </c>
      <c r="AZ2099" s="10"/>
      <c r="BA2099" s="20" t="b">
        <v>0</v>
      </c>
      <c r="BB2099" s="10"/>
      <c r="BC2099" s="17">
        <v>3096</v>
      </c>
      <c r="BD2099" s="17">
        <v>2384</v>
      </c>
      <c r="BE2099" s="17">
        <v>41458.25</v>
      </c>
      <c r="BF2099" s="17">
        <v>3.5</v>
      </c>
      <c r="BG2099" s="11">
        <f ca="1">IFERROR(__xludf.DUMMYFUNCTION("""COMPUTED_VALUE"""),45926.3020833333)</f>
        <v>45926.302083333299</v>
      </c>
      <c r="BH2099" s="17" t="s">
        <v>105</v>
      </c>
      <c r="BI2099" s="17"/>
      <c r="BJ2099" s="15"/>
      <c r="BK2099" s="15"/>
      <c r="BL2099" s="13" t="b">
        <v>0</v>
      </c>
      <c r="BM2099" s="10"/>
      <c r="BN2099" s="10" t="s">
        <v>197</v>
      </c>
      <c r="BO2099" s="11">
        <v>45923.434027777781</v>
      </c>
      <c r="BP2099" s="11">
        <v>45923.434178240743</v>
      </c>
      <c r="BQ2099" s="15">
        <v>45925.451550925929</v>
      </c>
      <c r="BR2099" s="15">
        <v>45925.479375000003</v>
      </c>
      <c r="BS2099" s="10" t="s">
        <v>197</v>
      </c>
      <c r="BT2099" s="10" t="s">
        <v>99</v>
      </c>
      <c r="BU2099" s="10" t="s">
        <v>456</v>
      </c>
      <c r="BV2099" s="10"/>
      <c r="BW2099" s="10"/>
      <c r="BX2099" s="10"/>
      <c r="BY2099" s="23"/>
      <c r="BZ2099" s="23"/>
      <c r="CA2099" s="19" t="s">
        <v>15989</v>
      </c>
      <c r="CB2099" s="23"/>
      <c r="CC2099" s="23"/>
      <c r="CD2099" s="19" t="s">
        <v>15990</v>
      </c>
      <c r="CE2099" s="23"/>
      <c r="CF2099" s="23"/>
      <c r="CG2099" s="23"/>
      <c r="CH2099" s="23"/>
      <c r="CI2099" s="23"/>
    </row>
    <row r="2100" spans="1:87" x14ac:dyDescent="0.3">
      <c r="A2100" s="9" t="s">
        <v>15991</v>
      </c>
      <c r="B2100" s="10" t="s">
        <v>15992</v>
      </c>
      <c r="C2100" s="11">
        <v>45929</v>
      </c>
      <c r="D2100" s="12">
        <v>0.12847222222222221</v>
      </c>
      <c r="E2100" s="11">
        <v>45929.128472222219</v>
      </c>
      <c r="F2100" s="10" t="s">
        <v>15270</v>
      </c>
      <c r="G2100" s="13" t="b">
        <v>0</v>
      </c>
      <c r="H2100" s="22" t="s">
        <v>15271</v>
      </c>
      <c r="I2100" s="10" t="s">
        <v>3213</v>
      </c>
      <c r="J2100" s="13" t="b">
        <v>0</v>
      </c>
      <c r="K2100" s="13" t="b">
        <v>1</v>
      </c>
      <c r="L2100" s="10" t="s">
        <v>124</v>
      </c>
      <c r="M2100" s="10" t="s">
        <v>91</v>
      </c>
      <c r="N2100" s="10" t="s">
        <v>92</v>
      </c>
      <c r="O2100" s="19" t="s">
        <v>15993</v>
      </c>
      <c r="P2100" s="10" t="s">
        <v>88</v>
      </c>
      <c r="Q2100" s="10" t="s">
        <v>126</v>
      </c>
      <c r="R2100" s="10"/>
      <c r="S2100" s="19" t="s">
        <v>15994</v>
      </c>
      <c r="T2100" s="10"/>
      <c r="U2100" s="10" t="s">
        <v>15308</v>
      </c>
      <c r="V2100" s="10" t="s">
        <v>15275</v>
      </c>
      <c r="W2100" s="10" t="s">
        <v>15276</v>
      </c>
      <c r="X2100" s="10" t="s">
        <v>15277</v>
      </c>
      <c r="Y2100" s="10" t="s">
        <v>15277</v>
      </c>
      <c r="Z2100" s="10" t="s">
        <v>99</v>
      </c>
      <c r="AA2100" s="10" t="s">
        <v>131</v>
      </c>
      <c r="AB2100" s="10" t="s">
        <v>15278</v>
      </c>
      <c r="AC2100" s="10" t="s">
        <v>15279</v>
      </c>
      <c r="AD2100" s="10" t="s">
        <v>165</v>
      </c>
      <c r="AE2100" s="10" t="s">
        <v>15995</v>
      </c>
      <c r="AF2100" s="15"/>
      <c r="AG2100" s="10"/>
      <c r="AH2100" s="10"/>
      <c r="AI2100" s="10"/>
      <c r="AJ2100" s="10"/>
      <c r="AK2100" s="10" t="s">
        <v>102</v>
      </c>
      <c r="AL2100" s="10" t="s">
        <v>156</v>
      </c>
      <c r="AM2100" s="10"/>
      <c r="AN2100" s="10"/>
      <c r="AO2100" s="13" t="b">
        <v>0</v>
      </c>
      <c r="AP2100" s="22" t="s">
        <v>104</v>
      </c>
      <c r="AQ2100" s="10">
        <f ca="1">IFERROR(__xludf.DUMMYFUNCTION("""COMPUTED_VALUE"""),4605159)</f>
        <v>4605159</v>
      </c>
      <c r="AR2100" s="17">
        <v>2700</v>
      </c>
      <c r="AS2100" s="17">
        <v>2343</v>
      </c>
      <c r="AT2100" s="17">
        <v>20029.25</v>
      </c>
      <c r="AU2100" s="17">
        <v>2.75</v>
      </c>
      <c r="AV2100" s="17">
        <v>0.65</v>
      </c>
      <c r="AW2100" s="10" t="s">
        <v>105</v>
      </c>
      <c r="AX2100" s="17">
        <v>395</v>
      </c>
      <c r="AY2100" s="18">
        <v>8.5485488689714035</v>
      </c>
      <c r="AZ2100" s="10" t="s">
        <v>117</v>
      </c>
      <c r="BA2100" s="20" t="b">
        <v>0</v>
      </c>
      <c r="BB2100" s="10"/>
      <c r="BC2100" s="17">
        <v>2700</v>
      </c>
      <c r="BD2100" s="17">
        <v>2343</v>
      </c>
      <c r="BE2100" s="17">
        <v>20029.25</v>
      </c>
      <c r="BF2100" s="17">
        <v>0.65</v>
      </c>
      <c r="BG2100" s="11">
        <f ca="1">IFERROR(__xludf.DUMMYFUNCTION("""COMPUTED_VALUE"""),45929)</f>
        <v>45929</v>
      </c>
      <c r="BH2100" s="17" t="s">
        <v>105</v>
      </c>
      <c r="BI2100" s="17"/>
      <c r="BJ2100" s="15"/>
      <c r="BK2100" s="15"/>
      <c r="BL2100" s="13" t="b">
        <v>0</v>
      </c>
      <c r="BM2100" s="10"/>
      <c r="BN2100" s="10" t="s">
        <v>278</v>
      </c>
      <c r="BO2100" s="11">
        <v>45923.44027777778</v>
      </c>
      <c r="BP2100" s="11">
        <v>45923.440509259257</v>
      </c>
      <c r="BQ2100" s="15">
        <v>45928.618680555555</v>
      </c>
      <c r="BR2100" s="15">
        <v>45928.641145833331</v>
      </c>
      <c r="BS2100" s="10" t="s">
        <v>278</v>
      </c>
      <c r="BT2100" s="10" t="s">
        <v>99</v>
      </c>
      <c r="BU2100" s="10" t="s">
        <v>280</v>
      </c>
      <c r="BV2100" s="10"/>
      <c r="BW2100" s="10"/>
      <c r="BX2100" s="10"/>
      <c r="BY2100" s="23"/>
      <c r="BZ2100" s="23"/>
      <c r="CA2100" s="19" t="s">
        <v>15996</v>
      </c>
      <c r="CB2100" s="23"/>
      <c r="CC2100" s="23"/>
      <c r="CD2100" s="19" t="s">
        <v>15997</v>
      </c>
      <c r="CE2100" s="23"/>
      <c r="CF2100" s="23"/>
      <c r="CG2100" s="23"/>
      <c r="CH2100" s="23"/>
      <c r="CI2100" s="23"/>
    </row>
    <row r="2101" spans="1:87" x14ac:dyDescent="0.3">
      <c r="A2101" s="9" t="s">
        <v>15998</v>
      </c>
      <c r="B2101" s="10" t="s">
        <v>15999</v>
      </c>
      <c r="C2101" s="11">
        <v>45929.128472222219</v>
      </c>
      <c r="D2101" s="12">
        <v>0.14583333333333334</v>
      </c>
      <c r="E2101" s="11">
        <v>45929.274305555555</v>
      </c>
      <c r="F2101" s="10" t="s">
        <v>15270</v>
      </c>
      <c r="G2101" s="13" t="b">
        <v>0</v>
      </c>
      <c r="H2101" s="22" t="s">
        <v>15271</v>
      </c>
      <c r="I2101" s="10" t="s">
        <v>3213</v>
      </c>
      <c r="J2101" s="13" t="b">
        <v>0</v>
      </c>
      <c r="K2101" s="13" t="b">
        <v>1</v>
      </c>
      <c r="L2101" s="10" t="s">
        <v>124</v>
      </c>
      <c r="M2101" s="10" t="s">
        <v>91</v>
      </c>
      <c r="N2101" s="10" t="s">
        <v>92</v>
      </c>
      <c r="O2101" s="19" t="s">
        <v>16000</v>
      </c>
      <c r="P2101" s="10" t="s">
        <v>88</v>
      </c>
      <c r="Q2101" s="10" t="s">
        <v>126</v>
      </c>
      <c r="R2101" s="10"/>
      <c r="S2101" s="19" t="s">
        <v>16001</v>
      </c>
      <c r="T2101" s="10"/>
      <c r="U2101" s="10" t="s">
        <v>15519</v>
      </c>
      <c r="V2101" s="10" t="s">
        <v>15528</v>
      </c>
      <c r="W2101" s="10" t="s">
        <v>15276</v>
      </c>
      <c r="X2101" s="10" t="s">
        <v>15277</v>
      </c>
      <c r="Y2101" s="10" t="s">
        <v>15277</v>
      </c>
      <c r="Z2101" s="10" t="s">
        <v>99</v>
      </c>
      <c r="AA2101" s="10" t="s">
        <v>131</v>
      </c>
      <c r="AB2101" s="10" t="s">
        <v>15278</v>
      </c>
      <c r="AC2101" s="10" t="s">
        <v>15279</v>
      </c>
      <c r="AD2101" s="10" t="s">
        <v>165</v>
      </c>
      <c r="AE2101" s="10" t="s">
        <v>16002</v>
      </c>
      <c r="AF2101" s="15"/>
      <c r="AG2101" s="10"/>
      <c r="AH2101" s="10"/>
      <c r="AI2101" s="10"/>
      <c r="AJ2101" s="10"/>
      <c r="AK2101" s="10" t="s">
        <v>102</v>
      </c>
      <c r="AL2101" s="10" t="s">
        <v>156</v>
      </c>
      <c r="AM2101" s="10"/>
      <c r="AN2101" s="10"/>
      <c r="AO2101" s="13" t="b">
        <v>0</v>
      </c>
      <c r="AP2101" s="22" t="s">
        <v>104</v>
      </c>
      <c r="AQ2101" s="10">
        <f ca="1">IFERROR(__xludf.DUMMYFUNCTION("""COMPUTED_VALUE"""),4605160)</f>
        <v>4605160</v>
      </c>
      <c r="AR2101" s="17">
        <v>2293</v>
      </c>
      <c r="AS2101" s="17">
        <v>2014</v>
      </c>
      <c r="AT2101" s="17">
        <v>23777.25</v>
      </c>
      <c r="AU2101" s="17">
        <v>1.5</v>
      </c>
      <c r="AV2101" s="17">
        <v>0</v>
      </c>
      <c r="AW2101" s="10" t="s">
        <v>105</v>
      </c>
      <c r="AX2101" s="17">
        <v>304</v>
      </c>
      <c r="AY2101" s="18">
        <v>11.80598311817279</v>
      </c>
      <c r="AZ2101" s="10" t="s">
        <v>117</v>
      </c>
      <c r="BA2101" s="20" t="b">
        <v>0</v>
      </c>
      <c r="BB2101" s="10"/>
      <c r="BC2101" s="17">
        <v>2293</v>
      </c>
      <c r="BD2101" s="17">
        <v>2014</v>
      </c>
      <c r="BE2101" s="17">
        <v>23777.25</v>
      </c>
      <c r="BF2101" s="17">
        <v>0</v>
      </c>
      <c r="BG2101" s="11">
        <f ca="1">IFERROR(__xludf.DUMMYFUNCTION("""COMPUTED_VALUE"""),45929.1284722222)</f>
        <v>45929.128472222197</v>
      </c>
      <c r="BH2101" s="17" t="s">
        <v>105</v>
      </c>
      <c r="BI2101" s="17"/>
      <c r="BJ2101" s="15"/>
      <c r="BK2101" s="15"/>
      <c r="BL2101" s="13" t="b">
        <v>0</v>
      </c>
      <c r="BM2101" s="10"/>
      <c r="BN2101" s="10" t="s">
        <v>278</v>
      </c>
      <c r="BO2101" s="11">
        <v>45923.440972222219</v>
      </c>
      <c r="BP2101" s="11">
        <v>45923.441157407404</v>
      </c>
      <c r="BQ2101" s="15">
        <v>45928.618935185186</v>
      </c>
      <c r="BR2101" s="15">
        <v>45928.641689814816</v>
      </c>
      <c r="BS2101" s="10" t="s">
        <v>278</v>
      </c>
      <c r="BT2101" s="10" t="s">
        <v>99</v>
      </c>
      <c r="BU2101" s="10" t="s">
        <v>421</v>
      </c>
      <c r="BV2101" s="10"/>
      <c r="BW2101" s="10"/>
      <c r="BX2101" s="10"/>
      <c r="BY2101" s="23"/>
      <c r="BZ2101" s="23"/>
      <c r="CA2101" s="19" t="s">
        <v>16003</v>
      </c>
      <c r="CB2101" s="23"/>
      <c r="CC2101" s="23"/>
      <c r="CD2101" s="19" t="s">
        <v>16004</v>
      </c>
      <c r="CE2101" s="23"/>
      <c r="CF2101" s="23"/>
      <c r="CG2101" s="23"/>
      <c r="CH2101" s="23"/>
      <c r="CI2101" s="23"/>
    </row>
    <row r="2102" spans="1:87" x14ac:dyDescent="0.3">
      <c r="A2102" s="9" t="s">
        <v>16005</v>
      </c>
      <c r="B2102" s="10" t="s">
        <v>16006</v>
      </c>
      <c r="C2102" s="11">
        <v>45929.305555555555</v>
      </c>
      <c r="D2102" s="12">
        <v>0.14583333333333334</v>
      </c>
      <c r="E2102" s="11">
        <v>45929.451388888891</v>
      </c>
      <c r="F2102" s="10" t="s">
        <v>15270</v>
      </c>
      <c r="G2102" s="13" t="b">
        <v>0</v>
      </c>
      <c r="H2102" s="22" t="s">
        <v>15271</v>
      </c>
      <c r="I2102" s="10" t="s">
        <v>3213</v>
      </c>
      <c r="J2102" s="13" t="b">
        <v>0</v>
      </c>
      <c r="K2102" s="13" t="b">
        <v>1</v>
      </c>
      <c r="L2102" s="10" t="s">
        <v>124</v>
      </c>
      <c r="M2102" s="10" t="s">
        <v>91</v>
      </c>
      <c r="N2102" s="10" t="s">
        <v>92</v>
      </c>
      <c r="O2102" s="19" t="s">
        <v>16007</v>
      </c>
      <c r="P2102" s="10" t="s">
        <v>3215</v>
      </c>
      <c r="Q2102" s="10" t="s">
        <v>126</v>
      </c>
      <c r="R2102" s="10"/>
      <c r="S2102" s="19" t="s">
        <v>16008</v>
      </c>
      <c r="T2102" s="10"/>
      <c r="U2102" s="10" t="s">
        <v>16009</v>
      </c>
      <c r="V2102" s="10" t="s">
        <v>15274</v>
      </c>
      <c r="W2102" s="10" t="s">
        <v>15276</v>
      </c>
      <c r="X2102" s="10" t="s">
        <v>15277</v>
      </c>
      <c r="Y2102" s="10" t="s">
        <v>15277</v>
      </c>
      <c r="Z2102" s="10" t="s">
        <v>99</v>
      </c>
      <c r="AA2102" s="10" t="s">
        <v>131</v>
      </c>
      <c r="AB2102" s="10" t="s">
        <v>15278</v>
      </c>
      <c r="AC2102" s="10" t="s">
        <v>15279</v>
      </c>
      <c r="AD2102" s="10" t="s">
        <v>165</v>
      </c>
      <c r="AE2102" s="10" t="s">
        <v>16010</v>
      </c>
      <c r="AF2102" s="15"/>
      <c r="AG2102" s="10"/>
      <c r="AH2102" s="10"/>
      <c r="AI2102" s="10"/>
      <c r="AJ2102" s="10"/>
      <c r="AK2102" s="10" t="s">
        <v>102</v>
      </c>
      <c r="AL2102" s="10" t="s">
        <v>156</v>
      </c>
      <c r="AM2102" s="10"/>
      <c r="AN2102" s="10"/>
      <c r="AO2102" s="13" t="b">
        <v>0</v>
      </c>
      <c r="AP2102" s="22" t="s">
        <v>104</v>
      </c>
      <c r="AQ2102" s="10">
        <f ca="1">IFERROR(__xludf.DUMMYFUNCTION("""COMPUTED_VALUE"""),4605161)</f>
        <v>4605161</v>
      </c>
      <c r="AR2102" s="17">
        <v>5883</v>
      </c>
      <c r="AS2102" s="17">
        <v>4135</v>
      </c>
      <c r="AT2102" s="17">
        <v>77412.25</v>
      </c>
      <c r="AU2102" s="17">
        <v>10.3</v>
      </c>
      <c r="AV2102" s="17">
        <v>5.65</v>
      </c>
      <c r="AW2102" s="10" t="s">
        <v>105</v>
      </c>
      <c r="AX2102" s="17">
        <v>601</v>
      </c>
      <c r="AY2102" s="18">
        <v>18.721221281741233</v>
      </c>
      <c r="AZ2102" s="10" t="s">
        <v>117</v>
      </c>
      <c r="BA2102" s="20" t="b">
        <v>0</v>
      </c>
      <c r="BB2102" s="10"/>
      <c r="BC2102" s="17">
        <v>5883</v>
      </c>
      <c r="BD2102" s="17">
        <v>4135</v>
      </c>
      <c r="BE2102" s="17">
        <v>77412.25</v>
      </c>
      <c r="BF2102" s="17">
        <v>5.65</v>
      </c>
      <c r="BG2102" s="11">
        <f ca="1">IFERROR(__xludf.DUMMYFUNCTION("""COMPUTED_VALUE"""),45929.3055555555)</f>
        <v>45929.305555555497</v>
      </c>
      <c r="BH2102" s="17" t="s">
        <v>105</v>
      </c>
      <c r="BI2102" s="17"/>
      <c r="BJ2102" s="15"/>
      <c r="BK2102" s="15"/>
      <c r="BL2102" s="13" t="b">
        <v>0</v>
      </c>
      <c r="BM2102" s="10"/>
      <c r="BN2102" s="10" t="s">
        <v>278</v>
      </c>
      <c r="BO2102" s="11">
        <v>45923.441666666666</v>
      </c>
      <c r="BP2102" s="11">
        <v>45923.441689814812</v>
      </c>
      <c r="BQ2102" s="15">
        <v>45928.61923611111</v>
      </c>
      <c r="BR2102" s="15">
        <v>45928.642060185186</v>
      </c>
      <c r="BS2102" s="10" t="s">
        <v>278</v>
      </c>
      <c r="BT2102" s="10" t="s">
        <v>99</v>
      </c>
      <c r="BU2102" s="10" t="s">
        <v>298</v>
      </c>
      <c r="BV2102" s="10"/>
      <c r="BW2102" s="10"/>
      <c r="BX2102" s="10"/>
      <c r="BY2102" s="23"/>
      <c r="BZ2102" s="23"/>
      <c r="CA2102" s="19" t="s">
        <v>16011</v>
      </c>
      <c r="CB2102" s="23"/>
      <c r="CC2102" s="23"/>
      <c r="CD2102" s="19" t="s">
        <v>16012</v>
      </c>
      <c r="CE2102" s="23"/>
      <c r="CF2102" s="23"/>
      <c r="CG2102" s="23"/>
      <c r="CH2102" s="23"/>
      <c r="CI2102" s="23"/>
    </row>
    <row r="2103" spans="1:87" x14ac:dyDescent="0.3">
      <c r="A2103" s="9" t="s">
        <v>16013</v>
      </c>
      <c r="B2103" s="10" t="s">
        <v>16014</v>
      </c>
      <c r="C2103" s="11">
        <v>45930.302083333336</v>
      </c>
      <c r="D2103" s="12">
        <v>0.13541666666666666</v>
      </c>
      <c r="E2103" s="11">
        <v>45930.4375</v>
      </c>
      <c r="F2103" s="10" t="s">
        <v>15270</v>
      </c>
      <c r="G2103" s="13" t="b">
        <v>0</v>
      </c>
      <c r="H2103" s="22" t="s">
        <v>15271</v>
      </c>
      <c r="I2103" s="10" t="s">
        <v>3213</v>
      </c>
      <c r="J2103" s="13" t="b">
        <v>0</v>
      </c>
      <c r="K2103" s="13" t="b">
        <v>1</v>
      </c>
      <c r="L2103" s="10" t="s">
        <v>124</v>
      </c>
      <c r="M2103" s="10" t="s">
        <v>91</v>
      </c>
      <c r="N2103" s="10" t="s">
        <v>92</v>
      </c>
      <c r="O2103" s="19" t="s">
        <v>16015</v>
      </c>
      <c r="P2103" s="10" t="s">
        <v>3215</v>
      </c>
      <c r="Q2103" s="10" t="s">
        <v>126</v>
      </c>
      <c r="R2103" s="10"/>
      <c r="S2103" s="19" t="s">
        <v>16016</v>
      </c>
      <c r="T2103" s="10"/>
      <c r="U2103" s="10" t="s">
        <v>15510</v>
      </c>
      <c r="V2103" s="10" t="s">
        <v>16017</v>
      </c>
      <c r="W2103" s="10" t="s">
        <v>15276</v>
      </c>
      <c r="X2103" s="10" t="s">
        <v>15277</v>
      </c>
      <c r="Y2103" s="10" t="s">
        <v>15277</v>
      </c>
      <c r="Z2103" s="10" t="s">
        <v>99</v>
      </c>
      <c r="AA2103" s="10" t="s">
        <v>131</v>
      </c>
      <c r="AB2103" s="10" t="s">
        <v>15278</v>
      </c>
      <c r="AC2103" s="10" t="s">
        <v>15279</v>
      </c>
      <c r="AD2103" s="10" t="s">
        <v>165</v>
      </c>
      <c r="AE2103" s="10" t="s">
        <v>16018</v>
      </c>
      <c r="AF2103" s="15"/>
      <c r="AG2103" s="10"/>
      <c r="AH2103" s="10"/>
      <c r="AI2103" s="10"/>
      <c r="AJ2103" s="10"/>
      <c r="AK2103" s="10" t="s">
        <v>102</v>
      </c>
      <c r="AL2103" s="10" t="s">
        <v>156</v>
      </c>
      <c r="AM2103" s="10"/>
      <c r="AN2103" s="10"/>
      <c r="AO2103" s="13" t="b">
        <v>0</v>
      </c>
      <c r="AP2103" s="22" t="s">
        <v>104</v>
      </c>
      <c r="AQ2103" s="10">
        <f ca="1">IFERROR(__xludf.DUMMYFUNCTION("""COMPUTED_VALUE"""),4606943)</f>
        <v>4606943</v>
      </c>
      <c r="AR2103" s="17">
        <v>2334</v>
      </c>
      <c r="AS2103" s="17">
        <v>1669</v>
      </c>
      <c r="AT2103" s="17">
        <v>24442.25</v>
      </c>
      <c r="AU2103" s="17">
        <v>2.7</v>
      </c>
      <c r="AV2103" s="17">
        <v>0</v>
      </c>
      <c r="AW2103" s="10" t="s">
        <v>105</v>
      </c>
      <c r="AX2103" s="17">
        <v>279</v>
      </c>
      <c r="AY2103" s="18">
        <v>14.644847213900539</v>
      </c>
      <c r="AZ2103" s="10" t="s">
        <v>117</v>
      </c>
      <c r="BA2103" s="20" t="b">
        <v>0</v>
      </c>
      <c r="BB2103" s="10"/>
      <c r="BC2103" s="17">
        <v>2334</v>
      </c>
      <c r="BD2103" s="17">
        <v>1669</v>
      </c>
      <c r="BE2103" s="17">
        <v>24442.25</v>
      </c>
      <c r="BF2103" s="17">
        <v>0</v>
      </c>
      <c r="BG2103" s="11">
        <f ca="1">IFERROR(__xludf.DUMMYFUNCTION("""COMPUTED_VALUE"""),45930.3020833333)</f>
        <v>45930.302083333299</v>
      </c>
      <c r="BH2103" s="17" t="s">
        <v>105</v>
      </c>
      <c r="BI2103" s="17"/>
      <c r="BJ2103" s="15"/>
      <c r="BK2103" s="15"/>
      <c r="BL2103" s="13" t="b">
        <v>0</v>
      </c>
      <c r="BM2103" s="10"/>
      <c r="BN2103" s="10" t="s">
        <v>157</v>
      </c>
      <c r="BO2103" s="11">
        <v>45923.441666666666</v>
      </c>
      <c r="BP2103" s="11">
        <v>45923.442256944443</v>
      </c>
      <c r="BQ2103" s="15">
        <v>45928.679259259261</v>
      </c>
      <c r="BR2103" s="15">
        <v>45929.252939814818</v>
      </c>
      <c r="BS2103" s="10" t="s">
        <v>157</v>
      </c>
      <c r="BT2103" s="10" t="s">
        <v>99</v>
      </c>
      <c r="BU2103" s="10" t="s">
        <v>16019</v>
      </c>
      <c r="BV2103" s="10"/>
      <c r="BW2103" s="10"/>
      <c r="BX2103" s="10"/>
      <c r="BY2103" s="23"/>
      <c r="BZ2103" s="23"/>
      <c r="CA2103" s="19" t="s">
        <v>16020</v>
      </c>
      <c r="CB2103" s="23"/>
      <c r="CC2103" s="23"/>
      <c r="CD2103" s="19" t="s">
        <v>16021</v>
      </c>
      <c r="CE2103" s="23"/>
      <c r="CF2103" s="23"/>
      <c r="CG2103" s="23"/>
      <c r="CH2103" s="23"/>
      <c r="CI2103" s="23"/>
    </row>
    <row r="2104" spans="1:87" x14ac:dyDescent="0.3">
      <c r="A2104" s="9" t="s">
        <v>16022</v>
      </c>
      <c r="B2104" s="10" t="s">
        <v>16023</v>
      </c>
      <c r="C2104" s="11">
        <v>45930.260416666664</v>
      </c>
      <c r="D2104" s="12">
        <v>0.14583333333333334</v>
      </c>
      <c r="E2104" s="11">
        <v>45930.40625</v>
      </c>
      <c r="F2104" s="10" t="s">
        <v>15270</v>
      </c>
      <c r="G2104" s="13" t="b">
        <v>0</v>
      </c>
      <c r="H2104" s="22" t="s">
        <v>15271</v>
      </c>
      <c r="I2104" s="10" t="s">
        <v>3213</v>
      </c>
      <c r="J2104" s="13" t="b">
        <v>0</v>
      </c>
      <c r="K2104" s="13" t="b">
        <v>1</v>
      </c>
      <c r="L2104" s="10" t="s">
        <v>124</v>
      </c>
      <c r="M2104" s="10" t="s">
        <v>91</v>
      </c>
      <c r="N2104" s="10" t="s">
        <v>92</v>
      </c>
      <c r="O2104" s="19" t="s">
        <v>16024</v>
      </c>
      <c r="P2104" s="10" t="s">
        <v>88</v>
      </c>
      <c r="Q2104" s="10" t="s">
        <v>126</v>
      </c>
      <c r="R2104" s="10"/>
      <c r="S2104" s="19" t="s">
        <v>16025</v>
      </c>
      <c r="T2104" s="10"/>
      <c r="U2104" s="10" t="s">
        <v>15537</v>
      </c>
      <c r="V2104" s="10" t="s">
        <v>15509</v>
      </c>
      <c r="W2104" s="10" t="s">
        <v>15276</v>
      </c>
      <c r="X2104" s="10" t="s">
        <v>15277</v>
      </c>
      <c r="Y2104" s="10" t="s">
        <v>15277</v>
      </c>
      <c r="Z2104" s="10" t="s">
        <v>99</v>
      </c>
      <c r="AA2104" s="10" t="s">
        <v>131</v>
      </c>
      <c r="AB2104" s="10" t="s">
        <v>15278</v>
      </c>
      <c r="AC2104" s="10" t="s">
        <v>15279</v>
      </c>
      <c r="AD2104" s="10" t="s">
        <v>165</v>
      </c>
      <c r="AE2104" s="10" t="s">
        <v>16026</v>
      </c>
      <c r="AF2104" s="15"/>
      <c r="AG2104" s="10"/>
      <c r="AH2104" s="10"/>
      <c r="AI2104" s="10"/>
      <c r="AJ2104" s="10"/>
      <c r="AK2104" s="10" t="s">
        <v>102</v>
      </c>
      <c r="AL2104" s="10" t="s">
        <v>156</v>
      </c>
      <c r="AM2104" s="10"/>
      <c r="AN2104" s="10"/>
      <c r="AO2104" s="13" t="b">
        <v>0</v>
      </c>
      <c r="AP2104" s="22" t="s">
        <v>104</v>
      </c>
      <c r="AQ2104" s="10">
        <f ca="1">IFERROR(__xludf.DUMMYFUNCTION("""COMPUTED_VALUE"""),4606944)</f>
        <v>4606944</v>
      </c>
      <c r="AR2104" s="17">
        <v>4202</v>
      </c>
      <c r="AS2104" s="17">
        <v>3442</v>
      </c>
      <c r="AT2104" s="17">
        <v>38542.75</v>
      </c>
      <c r="AU2104" s="17">
        <v>6.35</v>
      </c>
      <c r="AV2104" s="17">
        <v>2.15</v>
      </c>
      <c r="AW2104" s="10" t="s">
        <v>105</v>
      </c>
      <c r="AX2104" s="17">
        <v>369</v>
      </c>
      <c r="AY2104" s="18">
        <v>11.197777454968042</v>
      </c>
      <c r="AZ2104" s="10" t="s">
        <v>117</v>
      </c>
      <c r="BA2104" s="20" t="b">
        <v>0</v>
      </c>
      <c r="BB2104" s="10"/>
      <c r="BC2104" s="17">
        <v>4202</v>
      </c>
      <c r="BD2104" s="17">
        <v>3442</v>
      </c>
      <c r="BE2104" s="17">
        <v>38542.75</v>
      </c>
      <c r="BF2104" s="17">
        <v>2.15</v>
      </c>
      <c r="BG2104" s="11">
        <f ca="1">IFERROR(__xludf.DUMMYFUNCTION("""COMPUTED_VALUE"""),45930.2604166666)</f>
        <v>45930.260416666599</v>
      </c>
      <c r="BH2104" s="17" t="s">
        <v>105</v>
      </c>
      <c r="BI2104" s="17"/>
      <c r="BJ2104" s="15"/>
      <c r="BK2104" s="15"/>
      <c r="BL2104" s="13" t="b">
        <v>0</v>
      </c>
      <c r="BM2104" s="10"/>
      <c r="BN2104" s="10" t="s">
        <v>157</v>
      </c>
      <c r="BO2104" s="11">
        <v>45923.463194444441</v>
      </c>
      <c r="BP2104" s="11">
        <v>45923.463321759256</v>
      </c>
      <c r="BQ2104" s="15">
        <v>45928.678946759261</v>
      </c>
      <c r="BR2104" s="15">
        <v>45929.252696759257</v>
      </c>
      <c r="BS2104" s="10" t="s">
        <v>157</v>
      </c>
      <c r="BT2104" s="10" t="s">
        <v>99</v>
      </c>
      <c r="BU2104" s="10" t="s">
        <v>16027</v>
      </c>
      <c r="BV2104" s="10"/>
      <c r="BW2104" s="10"/>
      <c r="BX2104" s="10"/>
      <c r="BY2104" s="23"/>
      <c r="BZ2104" s="23"/>
      <c r="CA2104" s="19" t="s">
        <v>16028</v>
      </c>
      <c r="CB2104" s="23"/>
      <c r="CC2104" s="23"/>
      <c r="CD2104" s="19" t="s">
        <v>16029</v>
      </c>
      <c r="CE2104" s="23"/>
      <c r="CF2104" s="23"/>
      <c r="CG2104" s="23"/>
      <c r="CH2104" s="23"/>
      <c r="CI2104" s="23"/>
    </row>
    <row r="2105" spans="1:87" x14ac:dyDescent="0.3">
      <c r="A2105" s="9" t="s">
        <v>16030</v>
      </c>
      <c r="B2105" s="10" t="s">
        <v>16031</v>
      </c>
      <c r="C2105" s="11">
        <v>45930.791666666664</v>
      </c>
      <c r="D2105" s="12">
        <v>8.3333333333333329E-2</v>
      </c>
      <c r="E2105" s="11">
        <v>45930.875</v>
      </c>
      <c r="F2105" s="10" t="s">
        <v>14910</v>
      </c>
      <c r="G2105" s="13" t="b">
        <v>0</v>
      </c>
      <c r="H2105" s="22" t="s">
        <v>3578</v>
      </c>
      <c r="I2105" s="10" t="s">
        <v>89</v>
      </c>
      <c r="J2105" s="13" t="b">
        <v>0</v>
      </c>
      <c r="K2105" s="13" t="b">
        <v>1</v>
      </c>
      <c r="L2105" s="10" t="s">
        <v>124</v>
      </c>
      <c r="M2105" s="10" t="s">
        <v>91</v>
      </c>
      <c r="N2105" s="10" t="s">
        <v>92</v>
      </c>
      <c r="O2105" s="19" t="s">
        <v>16032</v>
      </c>
      <c r="P2105" s="10"/>
      <c r="Q2105" s="10" t="s">
        <v>94</v>
      </c>
      <c r="R2105" s="10"/>
      <c r="S2105" s="19" t="s">
        <v>16033</v>
      </c>
      <c r="T2105" s="19" t="s">
        <v>16034</v>
      </c>
      <c r="U2105" s="10" t="s">
        <v>3308</v>
      </c>
      <c r="V2105" s="10" t="s">
        <v>3568</v>
      </c>
      <c r="W2105" s="10" t="s">
        <v>14914</v>
      </c>
      <c r="X2105" s="10" t="s">
        <v>130</v>
      </c>
      <c r="Y2105" s="10" t="s">
        <v>130</v>
      </c>
      <c r="Z2105" s="10" t="s">
        <v>99</v>
      </c>
      <c r="AA2105" s="10" t="s">
        <v>131</v>
      </c>
      <c r="AB2105" s="10" t="s">
        <v>14915</v>
      </c>
      <c r="AC2105" s="10" t="s">
        <v>3571</v>
      </c>
      <c r="AD2105" s="10" t="s">
        <v>11561</v>
      </c>
      <c r="AE2105" s="10" t="s">
        <v>16035</v>
      </c>
      <c r="AF2105" s="15"/>
      <c r="AG2105" s="10"/>
      <c r="AH2105" s="10"/>
      <c r="AI2105" s="10"/>
      <c r="AJ2105" s="10"/>
      <c r="AK2105" s="10" t="s">
        <v>102</v>
      </c>
      <c r="AL2105" s="10" t="s">
        <v>7897</v>
      </c>
      <c r="AM2105" s="10"/>
      <c r="AN2105" s="10"/>
      <c r="AO2105" s="13" t="b">
        <v>0</v>
      </c>
      <c r="AP2105" s="22" t="s">
        <v>104</v>
      </c>
      <c r="AQ2105" s="10">
        <f ca="1">IFERROR(__xludf.DUMMYFUNCTION("""COMPUTED_VALUE"""),4610721)</f>
        <v>4610721</v>
      </c>
      <c r="AR2105" s="17">
        <v>14459</v>
      </c>
      <c r="AS2105" s="17">
        <v>12007</v>
      </c>
      <c r="AT2105" s="17">
        <v>158983</v>
      </c>
      <c r="AU2105" s="17">
        <v>47.5</v>
      </c>
      <c r="AV2105" s="17">
        <v>12.05</v>
      </c>
      <c r="AW2105" s="10" t="s">
        <v>105</v>
      </c>
      <c r="AX2105" s="17">
        <v>1762</v>
      </c>
      <c r="AY2105" s="18">
        <v>13.240859498625802</v>
      </c>
      <c r="AZ2105" s="10" t="s">
        <v>148</v>
      </c>
      <c r="BA2105" s="20" t="b">
        <v>0</v>
      </c>
      <c r="BB2105" s="10"/>
      <c r="BC2105" s="17">
        <v>14459</v>
      </c>
      <c r="BD2105" s="17">
        <v>12007</v>
      </c>
      <c r="BE2105" s="17">
        <v>158983</v>
      </c>
      <c r="BF2105" s="17">
        <v>12.05</v>
      </c>
      <c r="BG2105" s="11">
        <f ca="1">IFERROR(__xludf.DUMMYFUNCTION("""COMPUTED_VALUE"""),45930.7916666666)</f>
        <v>45930.791666666599</v>
      </c>
      <c r="BH2105" s="17" t="s">
        <v>105</v>
      </c>
      <c r="BI2105" s="17"/>
      <c r="BJ2105" s="15"/>
      <c r="BK2105" s="15"/>
      <c r="BL2105" s="13" t="b">
        <v>0</v>
      </c>
      <c r="BM2105" s="10"/>
      <c r="BN2105" s="10" t="s">
        <v>148</v>
      </c>
      <c r="BO2105" s="11">
        <v>45923.523611111108</v>
      </c>
      <c r="BP2105" s="11">
        <v>45923.523877314816</v>
      </c>
      <c r="BQ2105" s="15">
        <v>45929.735324074078</v>
      </c>
      <c r="BR2105" s="15">
        <v>45929.77542824074</v>
      </c>
      <c r="BS2105" s="10"/>
      <c r="BT2105" s="10" t="s">
        <v>99</v>
      </c>
      <c r="BU2105" s="10" t="s">
        <v>6732</v>
      </c>
      <c r="BV2105" s="10"/>
      <c r="BW2105" s="10"/>
      <c r="BX2105" s="10"/>
      <c r="BY2105" s="23"/>
      <c r="BZ2105" s="23"/>
      <c r="CA2105" s="19" t="s">
        <v>16036</v>
      </c>
      <c r="CB2105" s="19" t="s">
        <v>16037</v>
      </c>
      <c r="CC2105" s="23"/>
      <c r="CD2105" s="23"/>
      <c r="CE2105" s="23"/>
      <c r="CF2105" s="23"/>
      <c r="CG2105" s="23"/>
      <c r="CH2105" s="23"/>
      <c r="CI2105" s="23"/>
    </row>
    <row r="2106" spans="1:87" x14ac:dyDescent="0.3">
      <c r="A2106" s="9" t="s">
        <v>16038</v>
      </c>
      <c r="B2106" s="10" t="s">
        <v>16039</v>
      </c>
      <c r="C2106" s="11">
        <v>45930.875</v>
      </c>
      <c r="D2106" s="12">
        <v>8.3333333333333329E-2</v>
      </c>
      <c r="E2106" s="11">
        <v>45930.958333333336</v>
      </c>
      <c r="F2106" s="10" t="s">
        <v>14910</v>
      </c>
      <c r="G2106" s="13" t="b">
        <v>0</v>
      </c>
      <c r="H2106" s="22" t="s">
        <v>3578</v>
      </c>
      <c r="I2106" s="10" t="s">
        <v>89</v>
      </c>
      <c r="J2106" s="13" t="b">
        <v>0</v>
      </c>
      <c r="K2106" s="13" t="b">
        <v>1</v>
      </c>
      <c r="L2106" s="10" t="s">
        <v>124</v>
      </c>
      <c r="M2106" s="10" t="s">
        <v>91</v>
      </c>
      <c r="N2106" s="10" t="s">
        <v>92</v>
      </c>
      <c r="O2106" s="19" t="s">
        <v>16040</v>
      </c>
      <c r="P2106" s="10"/>
      <c r="Q2106" s="10" t="s">
        <v>94</v>
      </c>
      <c r="R2106" s="10"/>
      <c r="S2106" s="19" t="s">
        <v>16041</v>
      </c>
      <c r="T2106" s="19" t="s">
        <v>16034</v>
      </c>
      <c r="U2106" s="10" t="s">
        <v>346</v>
      </c>
      <c r="V2106" s="10" t="s">
        <v>3582</v>
      </c>
      <c r="W2106" s="10" t="s">
        <v>14914</v>
      </c>
      <c r="X2106" s="10" t="s">
        <v>130</v>
      </c>
      <c r="Y2106" s="10" t="s">
        <v>130</v>
      </c>
      <c r="Z2106" s="10" t="s">
        <v>99</v>
      </c>
      <c r="AA2106" s="10" t="s">
        <v>131</v>
      </c>
      <c r="AB2106" s="10" t="s">
        <v>14915</v>
      </c>
      <c r="AC2106" s="10" t="s">
        <v>3571</v>
      </c>
      <c r="AD2106" s="10" t="s">
        <v>11586</v>
      </c>
      <c r="AE2106" s="10" t="s">
        <v>16042</v>
      </c>
      <c r="AF2106" s="15"/>
      <c r="AG2106" s="10"/>
      <c r="AH2106" s="10"/>
      <c r="AI2106" s="10"/>
      <c r="AJ2106" s="10"/>
      <c r="AK2106" s="10" t="s">
        <v>102</v>
      </c>
      <c r="AL2106" s="10" t="s">
        <v>7897</v>
      </c>
      <c r="AM2106" s="10"/>
      <c r="AN2106" s="10"/>
      <c r="AO2106" s="13" t="b">
        <v>0</v>
      </c>
      <c r="AP2106" s="22" t="s">
        <v>104</v>
      </c>
      <c r="AQ2106" s="10">
        <f ca="1">IFERROR(__xludf.DUMMYFUNCTION("""COMPUTED_VALUE"""),4610722)</f>
        <v>4610722</v>
      </c>
      <c r="AR2106" s="17">
        <v>16729</v>
      </c>
      <c r="AS2106" s="17">
        <v>14298</v>
      </c>
      <c r="AT2106" s="17">
        <v>152093.25</v>
      </c>
      <c r="AU2106" s="17">
        <v>81.400000000000006</v>
      </c>
      <c r="AV2106" s="17">
        <v>20.85</v>
      </c>
      <c r="AW2106" s="10" t="s">
        <v>105</v>
      </c>
      <c r="AX2106" s="17">
        <v>2239</v>
      </c>
      <c r="AY2106" s="18">
        <v>10.637379353755771</v>
      </c>
      <c r="AZ2106" s="10" t="s">
        <v>148</v>
      </c>
      <c r="BA2106" s="20" t="b">
        <v>0</v>
      </c>
      <c r="BB2106" s="10"/>
      <c r="BC2106" s="17">
        <v>16729</v>
      </c>
      <c r="BD2106" s="17">
        <v>14298</v>
      </c>
      <c r="BE2106" s="17">
        <v>152093.25</v>
      </c>
      <c r="BF2106" s="17">
        <v>20.85</v>
      </c>
      <c r="BG2106" s="11">
        <f ca="1">IFERROR(__xludf.DUMMYFUNCTION("""COMPUTED_VALUE"""),45930.875)</f>
        <v>45930.875</v>
      </c>
      <c r="BH2106" s="17" t="s">
        <v>105</v>
      </c>
      <c r="BI2106" s="17"/>
      <c r="BJ2106" s="15"/>
      <c r="BK2106" s="15"/>
      <c r="BL2106" s="13" t="b">
        <v>0</v>
      </c>
      <c r="BM2106" s="10"/>
      <c r="BN2106" s="10" t="s">
        <v>148</v>
      </c>
      <c r="BO2106" s="11">
        <v>45923.524305555555</v>
      </c>
      <c r="BP2106" s="11">
        <v>45923.524421296293</v>
      </c>
      <c r="BQ2106" s="15">
        <v>45929.735486111109</v>
      </c>
      <c r="BR2106" s="15">
        <v>45929.777106481481</v>
      </c>
      <c r="BS2106" s="10"/>
      <c r="BT2106" s="10" t="s">
        <v>99</v>
      </c>
      <c r="BU2106" s="10" t="s">
        <v>6732</v>
      </c>
      <c r="BV2106" s="10"/>
      <c r="BW2106" s="10"/>
      <c r="BX2106" s="10"/>
      <c r="BY2106" s="23"/>
      <c r="BZ2106" s="23"/>
      <c r="CA2106" s="19" t="s">
        <v>16043</v>
      </c>
      <c r="CB2106" s="19" t="s">
        <v>16044</v>
      </c>
      <c r="CC2106" s="23"/>
      <c r="CD2106" s="23"/>
      <c r="CE2106" s="23"/>
      <c r="CF2106" s="23"/>
      <c r="CG2106" s="23"/>
      <c r="CH2106" s="23"/>
      <c r="CI2106" s="23"/>
    </row>
    <row r="2107" spans="1:87" x14ac:dyDescent="0.3">
      <c r="A2107" s="9" t="s">
        <v>16045</v>
      </c>
      <c r="B2107" s="10" t="s">
        <v>3992</v>
      </c>
      <c r="C2107" s="11">
        <v>45934.791666666664</v>
      </c>
      <c r="D2107" s="12">
        <v>8.3333333333333329E-2</v>
      </c>
      <c r="E2107" s="11">
        <v>45934.875</v>
      </c>
      <c r="F2107" s="10" t="s">
        <v>3511</v>
      </c>
      <c r="G2107" s="13" t="b">
        <v>0</v>
      </c>
      <c r="H2107" s="22" t="s">
        <v>236</v>
      </c>
      <c r="I2107" s="10" t="s">
        <v>212</v>
      </c>
      <c r="J2107" s="13" t="b">
        <v>1</v>
      </c>
      <c r="K2107" s="13" t="b">
        <v>0</v>
      </c>
      <c r="L2107" s="10" t="s">
        <v>124</v>
      </c>
      <c r="M2107" s="10" t="s">
        <v>91</v>
      </c>
      <c r="N2107" s="10" t="s">
        <v>3513</v>
      </c>
      <c r="O2107" s="19" t="s">
        <v>16046</v>
      </c>
      <c r="P2107" s="10"/>
      <c r="Q2107" s="10" t="s">
        <v>126</v>
      </c>
      <c r="R2107" s="10"/>
      <c r="S2107" s="19" t="s">
        <v>16047</v>
      </c>
      <c r="T2107" s="10"/>
      <c r="U2107" s="10" t="s">
        <v>3648</v>
      </c>
      <c r="V2107" s="10" t="s">
        <v>3610</v>
      </c>
      <c r="W2107" s="10" t="s">
        <v>3519</v>
      </c>
      <c r="X2107" s="10" t="s">
        <v>130</v>
      </c>
      <c r="Y2107" s="10" t="s">
        <v>130</v>
      </c>
      <c r="Z2107" s="10" t="s">
        <v>99</v>
      </c>
      <c r="AA2107" s="10" t="s">
        <v>131</v>
      </c>
      <c r="AB2107" s="10" t="s">
        <v>3520</v>
      </c>
      <c r="AC2107" s="10" t="s">
        <v>3521</v>
      </c>
      <c r="AD2107" s="10" t="s">
        <v>3995</v>
      </c>
      <c r="AE2107" s="10" t="s">
        <v>3996</v>
      </c>
      <c r="AF2107" s="15"/>
      <c r="AG2107" s="10" t="s">
        <v>3524</v>
      </c>
      <c r="AH2107" s="10" t="s">
        <v>3539</v>
      </c>
      <c r="AI2107" s="10" t="s">
        <v>3539</v>
      </c>
      <c r="AJ2107" s="10" t="s">
        <v>16048</v>
      </c>
      <c r="AK2107" s="10" t="s">
        <v>102</v>
      </c>
      <c r="AL2107" s="10" t="s">
        <v>156</v>
      </c>
      <c r="AM2107" s="10"/>
      <c r="AN2107" s="10"/>
      <c r="AO2107" s="13" t="b">
        <v>0</v>
      </c>
      <c r="AP2107" s="22" t="s">
        <v>104</v>
      </c>
      <c r="AQ2107" s="10">
        <f ca="1">IFERROR(__xludf.DUMMYFUNCTION("""COMPUTED_VALUE"""),4626711)</f>
        <v>4626711</v>
      </c>
      <c r="AR2107" s="17">
        <v>222567</v>
      </c>
      <c r="AS2107" s="17">
        <v>145052</v>
      </c>
      <c r="AT2107" s="17">
        <v>3913386</v>
      </c>
      <c r="AU2107" s="17">
        <v>537.29999999999995</v>
      </c>
      <c r="AV2107" s="17">
        <v>98.85</v>
      </c>
      <c r="AW2107" s="10" t="s">
        <v>105</v>
      </c>
      <c r="AX2107" s="17">
        <v>41077</v>
      </c>
      <c r="AY2107" s="18">
        <v>26.97919366847751</v>
      </c>
      <c r="AZ2107" s="10"/>
      <c r="BA2107" s="20" t="b">
        <v>0</v>
      </c>
      <c r="BB2107" s="10"/>
      <c r="BC2107" s="17">
        <v>222567</v>
      </c>
      <c r="BD2107" s="17">
        <v>145052</v>
      </c>
      <c r="BE2107" s="17">
        <v>3913386</v>
      </c>
      <c r="BF2107" s="17">
        <v>98.85</v>
      </c>
      <c r="BG2107" s="11">
        <f ca="1">IFERROR(__xludf.DUMMYFUNCTION("""COMPUTED_VALUE"""),45934.7916666666)</f>
        <v>45934.791666666599</v>
      </c>
      <c r="BH2107" s="17" t="s">
        <v>105</v>
      </c>
      <c r="BI2107" s="17"/>
      <c r="BJ2107" s="15"/>
      <c r="BK2107" s="15"/>
      <c r="BL2107" s="13" t="b">
        <v>0</v>
      </c>
      <c r="BM2107" s="10"/>
      <c r="BN2107" s="10" t="s">
        <v>137</v>
      </c>
      <c r="BO2107" s="11">
        <v>45923.60833333333</v>
      </c>
      <c r="BP2107" s="11">
        <v>45929.467233796298</v>
      </c>
      <c r="BQ2107" s="15">
        <v>45932.625960648147</v>
      </c>
      <c r="BR2107" s="15">
        <v>45933.414189814815</v>
      </c>
      <c r="BS2107" s="10" t="s">
        <v>137</v>
      </c>
      <c r="BT2107" s="10" t="s">
        <v>99</v>
      </c>
      <c r="BU2107" s="10" t="s">
        <v>816</v>
      </c>
      <c r="BV2107" s="10"/>
      <c r="BW2107" s="10"/>
      <c r="BX2107" s="10"/>
      <c r="BY2107" s="23"/>
      <c r="BZ2107" s="23"/>
      <c r="CA2107" s="19" t="s">
        <v>16049</v>
      </c>
      <c r="CB2107" s="23"/>
      <c r="CC2107" s="23"/>
      <c r="CD2107" s="19" t="s">
        <v>16050</v>
      </c>
      <c r="CE2107" s="23"/>
      <c r="CF2107" s="23"/>
      <c r="CG2107" s="23"/>
      <c r="CH2107" s="23"/>
      <c r="CI2107" s="23"/>
    </row>
    <row r="2108" spans="1:87" x14ac:dyDescent="0.3">
      <c r="A2108" s="25" t="s">
        <v>16051</v>
      </c>
      <c r="B2108" s="10" t="s">
        <v>16052</v>
      </c>
      <c r="C2108" s="11">
        <v>45933.590277777781</v>
      </c>
      <c r="D2108" s="12">
        <v>4.1666666666666664E-2</v>
      </c>
      <c r="E2108" s="11">
        <v>45933.631944444445</v>
      </c>
      <c r="F2108" s="10" t="s">
        <v>8381</v>
      </c>
      <c r="G2108" s="13" t="b">
        <v>0</v>
      </c>
      <c r="H2108" s="22" t="s">
        <v>8382</v>
      </c>
      <c r="I2108" s="10" t="s">
        <v>8383</v>
      </c>
      <c r="J2108" s="13" t="b">
        <v>0</v>
      </c>
      <c r="K2108" s="13" t="b">
        <v>1</v>
      </c>
      <c r="L2108" s="10" t="s">
        <v>358</v>
      </c>
      <c r="M2108" s="10" t="s">
        <v>91</v>
      </c>
      <c r="N2108" s="10" t="s">
        <v>92</v>
      </c>
      <c r="O2108" s="19" t="s">
        <v>16053</v>
      </c>
      <c r="P2108" s="10"/>
      <c r="Q2108" s="10" t="s">
        <v>126</v>
      </c>
      <c r="R2108" s="10"/>
      <c r="S2108" s="19" t="s">
        <v>16054</v>
      </c>
      <c r="T2108" s="10"/>
      <c r="U2108" s="10"/>
      <c r="V2108" s="10"/>
      <c r="W2108" s="10" t="s">
        <v>8386</v>
      </c>
      <c r="X2108" s="10" t="s">
        <v>8387</v>
      </c>
      <c r="Y2108" s="10" t="s">
        <v>8387</v>
      </c>
      <c r="Z2108" s="10" t="s">
        <v>99</v>
      </c>
      <c r="AA2108" s="10" t="s">
        <v>131</v>
      </c>
      <c r="AB2108" s="10" t="s">
        <v>8388</v>
      </c>
      <c r="AC2108" s="10" t="s">
        <v>8389</v>
      </c>
      <c r="AD2108" s="10" t="s">
        <v>165</v>
      </c>
      <c r="AE2108" s="10" t="s">
        <v>16055</v>
      </c>
      <c r="AF2108" s="15"/>
      <c r="AG2108" s="10"/>
      <c r="AH2108" s="10"/>
      <c r="AI2108" s="10"/>
      <c r="AJ2108" s="10"/>
      <c r="AK2108" s="10" t="s">
        <v>102</v>
      </c>
      <c r="AL2108" s="10"/>
      <c r="AM2108" s="10"/>
      <c r="AN2108" s="10"/>
      <c r="AO2108" s="13" t="b">
        <v>0</v>
      </c>
      <c r="AP2108" s="22" t="s">
        <v>221</v>
      </c>
      <c r="AQ2108" s="10">
        <f ca="1">IFERROR(__xludf.DUMMYFUNCTION("""COMPUTED_VALUE"""),4626708)</f>
        <v>4626708</v>
      </c>
      <c r="AR2108" s="17">
        <v>591</v>
      </c>
      <c r="AS2108" s="17">
        <v>555</v>
      </c>
      <c r="AT2108" s="17">
        <v>1640.75</v>
      </c>
      <c r="AU2108" s="17">
        <v>0.2</v>
      </c>
      <c r="AV2108" s="17">
        <v>0</v>
      </c>
      <c r="AW2108" s="10" t="s">
        <v>105</v>
      </c>
      <c r="AX2108" s="17">
        <v>148</v>
      </c>
      <c r="AY2108" s="18">
        <v>2.9563063063063062</v>
      </c>
      <c r="AZ2108" s="10" t="s">
        <v>3998</v>
      </c>
      <c r="BA2108" s="20" t="b">
        <v>0</v>
      </c>
      <c r="BB2108" s="10"/>
      <c r="BC2108" s="17">
        <v>591</v>
      </c>
      <c r="BD2108" s="17">
        <v>555</v>
      </c>
      <c r="BE2108" s="17">
        <v>1640.75</v>
      </c>
      <c r="BF2108" s="17">
        <v>0</v>
      </c>
      <c r="BG2108" s="11">
        <f ca="1">IFERROR(__xludf.DUMMYFUNCTION("""COMPUTED_VALUE"""),45933.5902777777)</f>
        <v>45933.590277777701</v>
      </c>
      <c r="BH2108" s="17" t="s">
        <v>105</v>
      </c>
      <c r="BI2108" s="17"/>
      <c r="BJ2108" s="15"/>
      <c r="BK2108" s="15"/>
      <c r="BL2108" s="13" t="b">
        <v>0</v>
      </c>
      <c r="BM2108" s="10"/>
      <c r="BN2108" s="10" t="s">
        <v>118</v>
      </c>
      <c r="BO2108" s="11">
        <v>45923.68472222222</v>
      </c>
      <c r="BP2108" s="11">
        <v>45923.685416666667</v>
      </c>
      <c r="BQ2108" s="15">
        <v>45932.57849537037</v>
      </c>
      <c r="BR2108" s="15">
        <v>45932.599143518521</v>
      </c>
      <c r="BS2108" s="10" t="s">
        <v>118</v>
      </c>
      <c r="BT2108" s="10"/>
      <c r="BU2108" s="10"/>
      <c r="BV2108" s="10"/>
      <c r="BW2108" s="10"/>
      <c r="BX2108" s="10"/>
      <c r="BY2108" s="23"/>
      <c r="BZ2108" s="23"/>
      <c r="CA2108" s="19" t="s">
        <v>16056</v>
      </c>
      <c r="CB2108" s="23"/>
      <c r="CC2108" s="23"/>
      <c r="CD2108" s="19" t="s">
        <v>16057</v>
      </c>
      <c r="CE2108" s="23"/>
      <c r="CF2108" s="23"/>
      <c r="CG2108" s="23"/>
      <c r="CH2108" s="23"/>
      <c r="CI2108" s="23"/>
    </row>
    <row r="2109" spans="1:87" x14ac:dyDescent="0.3">
      <c r="A2109" s="9" t="s">
        <v>16058</v>
      </c>
      <c r="B2109" s="10" t="s">
        <v>16059</v>
      </c>
      <c r="C2109" s="11">
        <v>45934.586805555555</v>
      </c>
      <c r="D2109" s="12">
        <v>4.1666666666666664E-2</v>
      </c>
      <c r="E2109" s="11">
        <v>45934.628472222219</v>
      </c>
      <c r="F2109" s="10" t="s">
        <v>8381</v>
      </c>
      <c r="G2109" s="13" t="b">
        <v>0</v>
      </c>
      <c r="H2109" s="22" t="s">
        <v>8382</v>
      </c>
      <c r="I2109" s="10" t="s">
        <v>8383</v>
      </c>
      <c r="J2109" s="13" t="b">
        <v>0</v>
      </c>
      <c r="K2109" s="13" t="b">
        <v>1</v>
      </c>
      <c r="L2109" s="10" t="s">
        <v>358</v>
      </c>
      <c r="M2109" s="10" t="s">
        <v>91</v>
      </c>
      <c r="N2109" s="10" t="s">
        <v>92</v>
      </c>
      <c r="O2109" s="19" t="s">
        <v>16060</v>
      </c>
      <c r="P2109" s="10"/>
      <c r="Q2109" s="10" t="s">
        <v>126</v>
      </c>
      <c r="R2109" s="10"/>
      <c r="S2109" s="19" t="s">
        <v>16061</v>
      </c>
      <c r="T2109" s="10"/>
      <c r="U2109" s="10"/>
      <c r="V2109" s="10"/>
      <c r="W2109" s="10" t="s">
        <v>8386</v>
      </c>
      <c r="X2109" s="10" t="s">
        <v>8387</v>
      </c>
      <c r="Y2109" s="10" t="s">
        <v>8387</v>
      </c>
      <c r="Z2109" s="10" t="s">
        <v>99</v>
      </c>
      <c r="AA2109" s="10" t="s">
        <v>131</v>
      </c>
      <c r="AB2109" s="10" t="s">
        <v>8388</v>
      </c>
      <c r="AC2109" s="10" t="s">
        <v>8389</v>
      </c>
      <c r="AD2109" s="10" t="s">
        <v>165</v>
      </c>
      <c r="AE2109" s="10" t="s">
        <v>16062</v>
      </c>
      <c r="AF2109" s="15"/>
      <c r="AG2109" s="10"/>
      <c r="AH2109" s="10"/>
      <c r="AI2109" s="10"/>
      <c r="AJ2109" s="10"/>
      <c r="AK2109" s="10" t="s">
        <v>102</v>
      </c>
      <c r="AL2109" s="10"/>
      <c r="AM2109" s="10"/>
      <c r="AN2109" s="10"/>
      <c r="AO2109" s="13" t="b">
        <v>0</v>
      </c>
      <c r="AP2109" s="22" t="s">
        <v>221</v>
      </c>
      <c r="AQ2109" s="10">
        <f ca="1">IFERROR(__xludf.DUMMYFUNCTION("""COMPUTED_VALUE"""),4626709)</f>
        <v>4626709</v>
      </c>
      <c r="AR2109" s="17">
        <v>1273</v>
      </c>
      <c r="AS2109" s="17">
        <v>1213</v>
      </c>
      <c r="AT2109" s="17">
        <v>3993.75</v>
      </c>
      <c r="AU2109" s="17">
        <v>3.2</v>
      </c>
      <c r="AV2109" s="17">
        <v>0.95</v>
      </c>
      <c r="AW2109" s="10" t="s">
        <v>105</v>
      </c>
      <c r="AX2109" s="17">
        <v>327</v>
      </c>
      <c r="AY2109" s="18">
        <v>3.292456718878813</v>
      </c>
      <c r="AZ2109" s="10" t="s">
        <v>3998</v>
      </c>
      <c r="BA2109" s="20" t="b">
        <v>0</v>
      </c>
      <c r="BB2109" s="10"/>
      <c r="BC2109" s="17">
        <v>1273</v>
      </c>
      <c r="BD2109" s="17">
        <v>1213</v>
      </c>
      <c r="BE2109" s="17">
        <v>3993.75</v>
      </c>
      <c r="BF2109" s="17">
        <v>0.95</v>
      </c>
      <c r="BG2109" s="11">
        <f ca="1">IFERROR(__xludf.DUMMYFUNCTION("""COMPUTED_VALUE"""),45934.5868055555)</f>
        <v>45934.586805555497</v>
      </c>
      <c r="BH2109" s="17" t="s">
        <v>105</v>
      </c>
      <c r="BI2109" s="17"/>
      <c r="BJ2109" s="15"/>
      <c r="BK2109" s="15"/>
      <c r="BL2109" s="13" t="b">
        <v>0</v>
      </c>
      <c r="BM2109" s="10"/>
      <c r="BN2109" s="10" t="s">
        <v>118</v>
      </c>
      <c r="BO2109" s="11">
        <v>45923.6875</v>
      </c>
      <c r="BP2109" s="11">
        <v>45923.687581018516</v>
      </c>
      <c r="BQ2109" s="15">
        <v>45932.578287037039</v>
      </c>
      <c r="BR2109" s="15">
        <v>45932.62667824074</v>
      </c>
      <c r="BS2109" s="10" t="s">
        <v>118</v>
      </c>
      <c r="BT2109" s="10"/>
      <c r="BU2109" s="10"/>
      <c r="BV2109" s="10"/>
      <c r="BW2109" s="10"/>
      <c r="BX2109" s="10"/>
      <c r="BY2109" s="23"/>
      <c r="BZ2109" s="23"/>
      <c r="CA2109" s="19" t="s">
        <v>16063</v>
      </c>
      <c r="CB2109" s="23"/>
      <c r="CC2109" s="23"/>
      <c r="CD2109" s="19" t="s">
        <v>16064</v>
      </c>
      <c r="CE2109" s="23"/>
      <c r="CF2109" s="23"/>
      <c r="CG2109" s="23"/>
      <c r="CH2109" s="23"/>
      <c r="CI2109" s="23"/>
    </row>
    <row r="2110" spans="1:87" x14ac:dyDescent="0.3">
      <c r="A2110" s="9" t="s">
        <v>16065</v>
      </c>
      <c r="B2110" s="10" t="s">
        <v>16066</v>
      </c>
      <c r="C2110" s="11">
        <v>45941.545138888891</v>
      </c>
      <c r="D2110" s="12">
        <v>4.1666666666666664E-2</v>
      </c>
      <c r="E2110" s="11">
        <v>45941.586805555555</v>
      </c>
      <c r="F2110" s="10" t="s">
        <v>8381</v>
      </c>
      <c r="G2110" s="13" t="b">
        <v>0</v>
      </c>
      <c r="H2110" s="22" t="s">
        <v>8382</v>
      </c>
      <c r="I2110" s="10" t="s">
        <v>8383</v>
      </c>
      <c r="J2110" s="13" t="b">
        <v>0</v>
      </c>
      <c r="K2110" s="13" t="b">
        <v>1</v>
      </c>
      <c r="L2110" s="10" t="s">
        <v>358</v>
      </c>
      <c r="M2110" s="10" t="s">
        <v>91</v>
      </c>
      <c r="N2110" s="10" t="s">
        <v>92</v>
      </c>
      <c r="O2110" s="19" t="s">
        <v>16067</v>
      </c>
      <c r="P2110" s="10"/>
      <c r="Q2110" s="10" t="s">
        <v>126</v>
      </c>
      <c r="R2110" s="10"/>
      <c r="S2110" s="19" t="s">
        <v>16068</v>
      </c>
      <c r="T2110" s="10"/>
      <c r="U2110" s="10"/>
      <c r="V2110" s="10"/>
      <c r="W2110" s="10" t="s">
        <v>8386</v>
      </c>
      <c r="X2110" s="10" t="s">
        <v>8387</v>
      </c>
      <c r="Y2110" s="10" t="s">
        <v>8387</v>
      </c>
      <c r="Z2110" s="10" t="s">
        <v>99</v>
      </c>
      <c r="AA2110" s="10" t="s">
        <v>131</v>
      </c>
      <c r="AB2110" s="10" t="s">
        <v>8388</v>
      </c>
      <c r="AC2110" s="10" t="s">
        <v>8389</v>
      </c>
      <c r="AD2110" s="10" t="s">
        <v>165</v>
      </c>
      <c r="AE2110" s="10" t="s">
        <v>16069</v>
      </c>
      <c r="AF2110" s="15"/>
      <c r="AG2110" s="10"/>
      <c r="AH2110" s="10"/>
      <c r="AI2110" s="10"/>
      <c r="AJ2110" s="10"/>
      <c r="AK2110" s="10" t="s">
        <v>102</v>
      </c>
      <c r="AL2110" s="10"/>
      <c r="AM2110" s="10"/>
      <c r="AN2110" s="10"/>
      <c r="AO2110" s="13" t="b">
        <v>0</v>
      </c>
      <c r="AP2110" s="22" t="s">
        <v>221</v>
      </c>
      <c r="AQ2110" s="10">
        <f ca="1">IFERROR(__xludf.DUMMYFUNCTION("""COMPUTED_VALUE"""),4636604)</f>
        <v>4636604</v>
      </c>
      <c r="AR2110" s="17">
        <v>1432</v>
      </c>
      <c r="AS2110" s="17">
        <v>1287</v>
      </c>
      <c r="AT2110" s="17">
        <v>7441</v>
      </c>
      <c r="AU2110" s="17">
        <v>0.15</v>
      </c>
      <c r="AV2110" s="17">
        <v>0</v>
      </c>
      <c r="AW2110" s="10" t="s">
        <v>105</v>
      </c>
      <c r="AX2110" s="17">
        <v>200</v>
      </c>
      <c r="AY2110" s="18">
        <v>5.7816627816627815</v>
      </c>
      <c r="AZ2110" s="10" t="s">
        <v>3998</v>
      </c>
      <c r="BA2110" s="20" t="b">
        <v>0</v>
      </c>
      <c r="BB2110" s="10"/>
      <c r="BC2110" s="17">
        <v>1432</v>
      </c>
      <c r="BD2110" s="17">
        <v>1287</v>
      </c>
      <c r="BE2110" s="17">
        <v>7441</v>
      </c>
      <c r="BF2110" s="17">
        <v>0</v>
      </c>
      <c r="BG2110" s="11">
        <f ca="1">IFERROR(__xludf.DUMMYFUNCTION("""COMPUTED_VALUE"""),45941.5451388888)</f>
        <v>45941.545138888803</v>
      </c>
      <c r="BH2110" s="17" t="s">
        <v>105</v>
      </c>
      <c r="BI2110" s="17"/>
      <c r="BJ2110" s="15"/>
      <c r="BK2110" s="15"/>
      <c r="BL2110" s="13" t="b">
        <v>0</v>
      </c>
      <c r="BM2110" s="10"/>
      <c r="BN2110" s="10" t="s">
        <v>4030</v>
      </c>
      <c r="BO2110" s="11">
        <v>45923.688888888886</v>
      </c>
      <c r="BP2110" s="11">
        <v>45923.696527777778</v>
      </c>
      <c r="BQ2110" s="15">
        <v>45936.815439814818</v>
      </c>
      <c r="BR2110" s="15">
        <v>45937.610208333332</v>
      </c>
      <c r="BS2110" s="10" t="s">
        <v>4030</v>
      </c>
      <c r="BT2110" s="10"/>
      <c r="BU2110" s="10"/>
      <c r="BV2110" s="10"/>
      <c r="BW2110" s="10"/>
      <c r="BX2110" s="10"/>
      <c r="BY2110" s="23"/>
      <c r="BZ2110" s="23"/>
      <c r="CA2110" s="19" t="s">
        <v>16070</v>
      </c>
      <c r="CB2110" s="23"/>
      <c r="CC2110" s="23"/>
      <c r="CD2110" s="19" t="s">
        <v>16071</v>
      </c>
      <c r="CE2110" s="23"/>
      <c r="CF2110" s="23"/>
      <c r="CG2110" s="23"/>
      <c r="CH2110" s="23"/>
      <c r="CI2110" s="23"/>
    </row>
    <row r="2111" spans="1:87" x14ac:dyDescent="0.3">
      <c r="A2111" s="9" t="s">
        <v>16072</v>
      </c>
      <c r="B2111" s="10" t="s">
        <v>16073</v>
      </c>
      <c r="C2111" s="11">
        <v>45942.399305555555</v>
      </c>
      <c r="D2111" s="12">
        <v>4.1666666666666664E-2</v>
      </c>
      <c r="E2111" s="11">
        <v>45942.440972222219</v>
      </c>
      <c r="F2111" s="10" t="s">
        <v>8381</v>
      </c>
      <c r="G2111" s="13" t="b">
        <v>0</v>
      </c>
      <c r="H2111" s="22" t="s">
        <v>8382</v>
      </c>
      <c r="I2111" s="10" t="s">
        <v>8383</v>
      </c>
      <c r="J2111" s="13" t="b">
        <v>0</v>
      </c>
      <c r="K2111" s="13" t="b">
        <v>1</v>
      </c>
      <c r="L2111" s="10" t="s">
        <v>358</v>
      </c>
      <c r="M2111" s="10" t="s">
        <v>91</v>
      </c>
      <c r="N2111" s="10" t="s">
        <v>92</v>
      </c>
      <c r="O2111" s="19" t="s">
        <v>16074</v>
      </c>
      <c r="P2111" s="10"/>
      <c r="Q2111" s="10" t="s">
        <v>126</v>
      </c>
      <c r="R2111" s="10"/>
      <c r="S2111" s="19" t="s">
        <v>16075</v>
      </c>
      <c r="T2111" s="10"/>
      <c r="U2111" s="10"/>
      <c r="V2111" s="10"/>
      <c r="W2111" s="10" t="s">
        <v>8386</v>
      </c>
      <c r="X2111" s="10" t="s">
        <v>8387</v>
      </c>
      <c r="Y2111" s="10" t="s">
        <v>8387</v>
      </c>
      <c r="Z2111" s="10" t="s">
        <v>99</v>
      </c>
      <c r="AA2111" s="10" t="s">
        <v>131</v>
      </c>
      <c r="AB2111" s="10" t="s">
        <v>8388</v>
      </c>
      <c r="AC2111" s="10" t="s">
        <v>8389</v>
      </c>
      <c r="AD2111" s="10" t="s">
        <v>165</v>
      </c>
      <c r="AE2111" s="10" t="s">
        <v>16076</v>
      </c>
      <c r="AF2111" s="15"/>
      <c r="AG2111" s="10"/>
      <c r="AH2111" s="10"/>
      <c r="AI2111" s="10"/>
      <c r="AJ2111" s="10"/>
      <c r="AK2111" s="10" t="s">
        <v>102</v>
      </c>
      <c r="AL2111" s="10"/>
      <c r="AM2111" s="10"/>
      <c r="AN2111" s="10"/>
      <c r="AO2111" s="13" t="b">
        <v>0</v>
      </c>
      <c r="AP2111" s="22" t="s">
        <v>221</v>
      </c>
      <c r="AQ2111" s="10">
        <f ca="1">IFERROR(__xludf.DUMMYFUNCTION("""COMPUTED_VALUE"""),4636605)</f>
        <v>4636605</v>
      </c>
      <c r="AR2111" s="17">
        <v>837</v>
      </c>
      <c r="AS2111" s="17">
        <v>769</v>
      </c>
      <c r="AT2111" s="17">
        <v>3058.25</v>
      </c>
      <c r="AU2111" s="17">
        <v>1</v>
      </c>
      <c r="AV2111" s="17">
        <v>1</v>
      </c>
      <c r="AW2111" s="10" t="s">
        <v>105</v>
      </c>
      <c r="AX2111" s="17">
        <v>167</v>
      </c>
      <c r="AY2111" s="18">
        <v>3.9769180754226268</v>
      </c>
      <c r="AZ2111" s="10" t="s">
        <v>3998</v>
      </c>
      <c r="BA2111" s="20" t="b">
        <v>0</v>
      </c>
      <c r="BB2111" s="10"/>
      <c r="BC2111" s="17">
        <v>837</v>
      </c>
      <c r="BD2111" s="17">
        <v>769</v>
      </c>
      <c r="BE2111" s="17">
        <v>3058.25</v>
      </c>
      <c r="BF2111" s="17">
        <v>1</v>
      </c>
      <c r="BG2111" s="11">
        <f ca="1">IFERROR(__xludf.DUMMYFUNCTION("""COMPUTED_VALUE"""),45942.3993055555)</f>
        <v>45942.399305555497</v>
      </c>
      <c r="BH2111" s="17" t="s">
        <v>105</v>
      </c>
      <c r="BI2111" s="17"/>
      <c r="BJ2111" s="15"/>
      <c r="BK2111" s="15"/>
      <c r="BL2111" s="13" t="b">
        <v>0</v>
      </c>
      <c r="BM2111" s="10"/>
      <c r="BN2111" s="10" t="s">
        <v>4030</v>
      </c>
      <c r="BO2111" s="11">
        <v>45923.690972222219</v>
      </c>
      <c r="BP2111" s="11">
        <v>45923.696655092594</v>
      </c>
      <c r="BQ2111" s="15">
        <v>45936.815671296295</v>
      </c>
      <c r="BR2111" s="15">
        <v>45937.610462962963</v>
      </c>
      <c r="BS2111" s="10" t="s">
        <v>4030</v>
      </c>
      <c r="BT2111" s="10"/>
      <c r="BU2111" s="10"/>
      <c r="BV2111" s="10"/>
      <c r="BW2111" s="10"/>
      <c r="BX2111" s="10"/>
      <c r="BY2111" s="23"/>
      <c r="BZ2111" s="23"/>
      <c r="CA2111" s="19" t="s">
        <v>16077</v>
      </c>
      <c r="CB2111" s="23"/>
      <c r="CC2111" s="23"/>
      <c r="CD2111" s="19" t="s">
        <v>16078</v>
      </c>
      <c r="CE2111" s="23"/>
      <c r="CF2111" s="23"/>
      <c r="CG2111" s="23"/>
      <c r="CH2111" s="23"/>
      <c r="CI2111" s="23"/>
    </row>
    <row r="2112" spans="1:87" x14ac:dyDescent="0.3">
      <c r="A2112" s="9" t="s">
        <v>16079</v>
      </c>
      <c r="B2112" s="10" t="s">
        <v>16080</v>
      </c>
      <c r="C2112" s="11">
        <v>45931.791666666664</v>
      </c>
      <c r="D2112" s="12">
        <v>8.3333333333333329E-2</v>
      </c>
      <c r="E2112" s="11">
        <v>45931.875</v>
      </c>
      <c r="F2112" s="10" t="s">
        <v>14910</v>
      </c>
      <c r="G2112" s="13" t="b">
        <v>0</v>
      </c>
      <c r="H2112" s="22" t="s">
        <v>3578</v>
      </c>
      <c r="I2112" s="10" t="s">
        <v>89</v>
      </c>
      <c r="J2112" s="13" t="b">
        <v>0</v>
      </c>
      <c r="K2112" s="13" t="b">
        <v>1</v>
      </c>
      <c r="L2112" s="10" t="s">
        <v>124</v>
      </c>
      <c r="M2112" s="10" t="s">
        <v>91</v>
      </c>
      <c r="N2112" s="10" t="s">
        <v>92</v>
      </c>
      <c r="O2112" s="19" t="s">
        <v>16081</v>
      </c>
      <c r="P2112" s="10"/>
      <c r="Q2112" s="10" t="s">
        <v>94</v>
      </c>
      <c r="R2112" s="10"/>
      <c r="S2112" s="19" t="s">
        <v>16082</v>
      </c>
      <c r="T2112" s="19" t="s">
        <v>16034</v>
      </c>
      <c r="U2112" s="10" t="s">
        <v>11500</v>
      </c>
      <c r="V2112" s="10" t="s">
        <v>3704</v>
      </c>
      <c r="W2112" s="10" t="s">
        <v>14914</v>
      </c>
      <c r="X2112" s="10" t="s">
        <v>130</v>
      </c>
      <c r="Y2112" s="10" t="s">
        <v>130</v>
      </c>
      <c r="Z2112" s="10" t="s">
        <v>99</v>
      </c>
      <c r="AA2112" s="10" t="s">
        <v>131</v>
      </c>
      <c r="AB2112" s="10" t="s">
        <v>14915</v>
      </c>
      <c r="AC2112" s="10" t="s">
        <v>3571</v>
      </c>
      <c r="AD2112" s="10" t="s">
        <v>11703</v>
      </c>
      <c r="AE2112" s="10" t="s">
        <v>16083</v>
      </c>
      <c r="AF2112" s="15"/>
      <c r="AG2112" s="10"/>
      <c r="AH2112" s="10"/>
      <c r="AI2112" s="10"/>
      <c r="AJ2112" s="10"/>
      <c r="AK2112" s="10" t="s">
        <v>102</v>
      </c>
      <c r="AL2112" s="10" t="s">
        <v>7897</v>
      </c>
      <c r="AM2112" s="10"/>
      <c r="AN2112" s="10"/>
      <c r="AO2112" s="13" t="b">
        <v>0</v>
      </c>
      <c r="AP2112" s="22" t="s">
        <v>104</v>
      </c>
      <c r="AQ2112" s="10">
        <f ca="1">IFERROR(__xludf.DUMMYFUNCTION("""COMPUTED_VALUE"""),4613303)</f>
        <v>4613303</v>
      </c>
      <c r="AR2112" s="17">
        <v>22448</v>
      </c>
      <c r="AS2112" s="17">
        <v>18724</v>
      </c>
      <c r="AT2112" s="17">
        <v>156753</v>
      </c>
      <c r="AU2112" s="17">
        <v>89.05</v>
      </c>
      <c r="AV2112" s="17">
        <v>37.15</v>
      </c>
      <c r="AW2112" s="10" t="s">
        <v>105</v>
      </c>
      <c r="AX2112" s="17">
        <v>1964</v>
      </c>
      <c r="AY2112" s="18">
        <v>8.3717688528092289</v>
      </c>
      <c r="AZ2112" s="10" t="s">
        <v>148</v>
      </c>
      <c r="BA2112" s="20" t="b">
        <v>0</v>
      </c>
      <c r="BB2112" s="10"/>
      <c r="BC2112" s="17">
        <v>22448</v>
      </c>
      <c r="BD2112" s="17">
        <v>18724</v>
      </c>
      <c r="BE2112" s="17">
        <v>156753</v>
      </c>
      <c r="BF2112" s="17">
        <v>37.15</v>
      </c>
      <c r="BG2112" s="11">
        <f ca="1">IFERROR(__xludf.DUMMYFUNCTION("""COMPUTED_VALUE"""),45931.7916666666)</f>
        <v>45931.791666666599</v>
      </c>
      <c r="BH2112" s="17" t="s">
        <v>105</v>
      </c>
      <c r="BI2112" s="17"/>
      <c r="BJ2112" s="15"/>
      <c r="BK2112" s="15"/>
      <c r="BL2112" s="13" t="b">
        <v>0</v>
      </c>
      <c r="BM2112" s="10"/>
      <c r="BN2112" s="10" t="s">
        <v>4030</v>
      </c>
      <c r="BO2112" s="11">
        <v>45924.911805555559</v>
      </c>
      <c r="BP2112" s="11">
        <v>45924.911990740744</v>
      </c>
      <c r="BQ2112" s="15">
        <v>45930.640289351853</v>
      </c>
      <c r="BR2112" s="15">
        <v>45930.775324074071</v>
      </c>
      <c r="BS2112" s="10" t="s">
        <v>4030</v>
      </c>
      <c r="BT2112" s="10"/>
      <c r="BU2112" s="10"/>
      <c r="BV2112" s="10"/>
      <c r="BW2112" s="10"/>
      <c r="BX2112" s="10"/>
      <c r="BY2112" s="23"/>
      <c r="BZ2112" s="23"/>
      <c r="CA2112" s="19" t="s">
        <v>16084</v>
      </c>
      <c r="CB2112" s="19" t="s">
        <v>16085</v>
      </c>
      <c r="CC2112" s="23"/>
      <c r="CD2112" s="23"/>
      <c r="CE2112" s="23"/>
      <c r="CF2112" s="23"/>
      <c r="CG2112" s="23"/>
      <c r="CH2112" s="23"/>
      <c r="CI2112" s="23"/>
    </row>
    <row r="2113" spans="1:87" x14ac:dyDescent="0.3">
      <c r="A2113" s="9" t="s">
        <v>16086</v>
      </c>
      <c r="B2113" s="10" t="s">
        <v>16087</v>
      </c>
      <c r="C2113" s="11">
        <v>45931.875</v>
      </c>
      <c r="D2113" s="12">
        <v>8.3333333333333329E-2</v>
      </c>
      <c r="E2113" s="11">
        <v>45931.958333333336</v>
      </c>
      <c r="F2113" s="10" t="s">
        <v>14910</v>
      </c>
      <c r="G2113" s="13" t="b">
        <v>0</v>
      </c>
      <c r="H2113" s="22" t="s">
        <v>3578</v>
      </c>
      <c r="I2113" s="10" t="s">
        <v>89</v>
      </c>
      <c r="J2113" s="13" t="b">
        <v>0</v>
      </c>
      <c r="K2113" s="13" t="b">
        <v>1</v>
      </c>
      <c r="L2113" s="10" t="s">
        <v>124</v>
      </c>
      <c r="M2113" s="10" t="s">
        <v>91</v>
      </c>
      <c r="N2113" s="10" t="s">
        <v>92</v>
      </c>
      <c r="O2113" s="19" t="s">
        <v>16088</v>
      </c>
      <c r="P2113" s="10"/>
      <c r="Q2113" s="10" t="s">
        <v>94</v>
      </c>
      <c r="R2113" s="10"/>
      <c r="S2113" s="19" t="s">
        <v>16089</v>
      </c>
      <c r="T2113" s="19" t="s">
        <v>16034</v>
      </c>
      <c r="U2113" s="10" t="s">
        <v>5042</v>
      </c>
      <c r="V2113" s="10" t="s">
        <v>11474</v>
      </c>
      <c r="W2113" s="10" t="s">
        <v>14914</v>
      </c>
      <c r="X2113" s="10" t="s">
        <v>130</v>
      </c>
      <c r="Y2113" s="10" t="s">
        <v>130</v>
      </c>
      <c r="Z2113" s="10" t="s">
        <v>99</v>
      </c>
      <c r="AA2113" s="10" t="s">
        <v>131</v>
      </c>
      <c r="AB2113" s="10" t="s">
        <v>14915</v>
      </c>
      <c r="AC2113" s="10" t="s">
        <v>3571</v>
      </c>
      <c r="AD2113" s="10" t="s">
        <v>11694</v>
      </c>
      <c r="AE2113" s="10" t="s">
        <v>16090</v>
      </c>
      <c r="AF2113" s="15"/>
      <c r="AG2113" s="10"/>
      <c r="AH2113" s="10"/>
      <c r="AI2113" s="10"/>
      <c r="AJ2113" s="10"/>
      <c r="AK2113" s="10" t="s">
        <v>102</v>
      </c>
      <c r="AL2113" s="10" t="s">
        <v>7897</v>
      </c>
      <c r="AM2113" s="10"/>
      <c r="AN2113" s="10"/>
      <c r="AO2113" s="13" t="b">
        <v>0</v>
      </c>
      <c r="AP2113" s="22" t="s">
        <v>104</v>
      </c>
      <c r="AQ2113" s="10">
        <f ca="1">IFERROR(__xludf.DUMMYFUNCTION("""COMPUTED_VALUE"""),4613304)</f>
        <v>4613304</v>
      </c>
      <c r="AR2113" s="17">
        <v>25768</v>
      </c>
      <c r="AS2113" s="17">
        <v>21335</v>
      </c>
      <c r="AT2113" s="17">
        <v>221667.5</v>
      </c>
      <c r="AU2113" s="17">
        <v>179.55</v>
      </c>
      <c r="AV2113" s="17">
        <v>75.55</v>
      </c>
      <c r="AW2113" s="10" t="s">
        <v>105</v>
      </c>
      <c r="AX2113" s="17">
        <v>3358</v>
      </c>
      <c r="AY2113" s="18">
        <v>10.389852355284743</v>
      </c>
      <c r="AZ2113" s="10" t="s">
        <v>148</v>
      </c>
      <c r="BA2113" s="20" t="b">
        <v>0</v>
      </c>
      <c r="BB2113" s="10"/>
      <c r="BC2113" s="17">
        <v>25768</v>
      </c>
      <c r="BD2113" s="17">
        <v>21335</v>
      </c>
      <c r="BE2113" s="17">
        <v>221667.5</v>
      </c>
      <c r="BF2113" s="17">
        <v>75.55</v>
      </c>
      <c r="BG2113" s="11">
        <f ca="1">IFERROR(__xludf.DUMMYFUNCTION("""COMPUTED_VALUE"""),45931.875)</f>
        <v>45931.875</v>
      </c>
      <c r="BH2113" s="17" t="s">
        <v>105</v>
      </c>
      <c r="BI2113" s="17"/>
      <c r="BJ2113" s="15"/>
      <c r="BK2113" s="15"/>
      <c r="BL2113" s="13" t="b">
        <v>0</v>
      </c>
      <c r="BM2113" s="10"/>
      <c r="BN2113" s="10" t="s">
        <v>4030</v>
      </c>
      <c r="BO2113" s="11">
        <v>45924.912499999999</v>
      </c>
      <c r="BP2113" s="11">
        <v>45924.912812499999</v>
      </c>
      <c r="BQ2113" s="15">
        <v>45930.640381944446</v>
      </c>
      <c r="BR2113" s="15">
        <v>45930.77553240741</v>
      </c>
      <c r="BS2113" s="10" t="s">
        <v>4030</v>
      </c>
      <c r="BT2113" s="10"/>
      <c r="BU2113" s="10"/>
      <c r="BV2113" s="10"/>
      <c r="BW2113" s="10"/>
      <c r="BX2113" s="10"/>
      <c r="BY2113" s="23"/>
      <c r="BZ2113" s="23"/>
      <c r="CA2113" s="19" t="s">
        <v>16091</v>
      </c>
      <c r="CB2113" s="19" t="s">
        <v>16092</v>
      </c>
      <c r="CC2113" s="23"/>
      <c r="CD2113" s="23"/>
      <c r="CE2113" s="23"/>
      <c r="CF2113" s="23"/>
      <c r="CG2113" s="23"/>
      <c r="CH2113" s="23"/>
      <c r="CI2113" s="23"/>
    </row>
    <row r="2114" spans="1:87" x14ac:dyDescent="0.3">
      <c r="A2114" s="9" t="s">
        <v>16093</v>
      </c>
      <c r="B2114" s="10" t="s">
        <v>16094</v>
      </c>
      <c r="C2114" s="11">
        <v>45934.0625</v>
      </c>
      <c r="D2114" s="12">
        <v>8.3333333333333329E-2</v>
      </c>
      <c r="E2114" s="11">
        <v>45934.145833333336</v>
      </c>
      <c r="F2114" s="10" t="s">
        <v>15254</v>
      </c>
      <c r="G2114" s="13" t="b">
        <v>0</v>
      </c>
      <c r="H2114" s="22" t="s">
        <v>6271</v>
      </c>
      <c r="I2114" s="10" t="s">
        <v>89</v>
      </c>
      <c r="J2114" s="13" t="b">
        <v>0</v>
      </c>
      <c r="K2114" s="13" t="b">
        <v>1</v>
      </c>
      <c r="L2114" s="10" t="s">
        <v>124</v>
      </c>
      <c r="M2114" s="10" t="s">
        <v>91</v>
      </c>
      <c r="N2114" s="10" t="s">
        <v>265</v>
      </c>
      <c r="O2114" s="19" t="s">
        <v>16095</v>
      </c>
      <c r="P2114" s="10"/>
      <c r="Q2114" s="10" t="s">
        <v>126</v>
      </c>
      <c r="R2114" s="10"/>
      <c r="S2114" s="19" t="s">
        <v>16096</v>
      </c>
      <c r="T2114" s="19" t="s">
        <v>16097</v>
      </c>
      <c r="U2114" s="10" t="s">
        <v>15258</v>
      </c>
      <c r="V2114" s="10" t="s">
        <v>15684</v>
      </c>
      <c r="W2114" s="10" t="s">
        <v>15260</v>
      </c>
      <c r="X2114" s="10" t="s">
        <v>130</v>
      </c>
      <c r="Y2114" s="10" t="s">
        <v>130</v>
      </c>
      <c r="Z2114" s="10" t="s">
        <v>99</v>
      </c>
      <c r="AA2114" s="10" t="s">
        <v>131</v>
      </c>
      <c r="AB2114" s="10" t="s">
        <v>15261</v>
      </c>
      <c r="AC2114" s="10" t="s">
        <v>274</v>
      </c>
      <c r="AD2114" s="10" t="s">
        <v>802</v>
      </c>
      <c r="AE2114" s="10" t="s">
        <v>16098</v>
      </c>
      <c r="AF2114" s="15"/>
      <c r="AG2114" s="10"/>
      <c r="AH2114" s="10"/>
      <c r="AI2114" s="10"/>
      <c r="AJ2114" s="10" t="s">
        <v>16099</v>
      </c>
      <c r="AK2114" s="10" t="s">
        <v>102</v>
      </c>
      <c r="AL2114" s="10" t="s">
        <v>167</v>
      </c>
      <c r="AM2114" s="10"/>
      <c r="AN2114" s="10"/>
      <c r="AO2114" s="13" t="b">
        <v>0</v>
      </c>
      <c r="AP2114" s="22" t="s">
        <v>135</v>
      </c>
      <c r="AQ2114" s="10">
        <f ca="1">IFERROR(__xludf.DUMMYFUNCTION("""COMPUTED_VALUE"""),4627858)</f>
        <v>4627858</v>
      </c>
      <c r="AR2114" s="17">
        <v>10393</v>
      </c>
      <c r="AS2114" s="17">
        <v>9024</v>
      </c>
      <c r="AT2114" s="17">
        <v>93549.25</v>
      </c>
      <c r="AU2114" s="17">
        <v>4.8499999999999996</v>
      </c>
      <c r="AV2114" s="17">
        <v>0.1</v>
      </c>
      <c r="AW2114" s="10" t="s">
        <v>105</v>
      </c>
      <c r="AX2114" s="17">
        <v>1281</v>
      </c>
      <c r="AY2114" s="18">
        <v>10.366716533687944</v>
      </c>
      <c r="AZ2114" s="10" t="s">
        <v>148</v>
      </c>
      <c r="BA2114" s="20" t="b">
        <v>0</v>
      </c>
      <c r="BB2114" s="10"/>
      <c r="BC2114" s="17">
        <v>10393</v>
      </c>
      <c r="BD2114" s="17">
        <v>9024</v>
      </c>
      <c r="BE2114" s="17">
        <v>93549.25</v>
      </c>
      <c r="BF2114" s="17">
        <v>0.1</v>
      </c>
      <c r="BG2114" s="11">
        <f ca="1">IFERROR(__xludf.DUMMYFUNCTION("""COMPUTED_VALUE"""),45934.0625)</f>
        <v>45934.0625</v>
      </c>
      <c r="BH2114" s="17" t="s">
        <v>105</v>
      </c>
      <c r="BI2114" s="17"/>
      <c r="BJ2114" s="15"/>
      <c r="BK2114" s="15"/>
      <c r="BL2114" s="13" t="b">
        <v>0</v>
      </c>
      <c r="BM2114" s="10"/>
      <c r="BN2114" s="10" t="s">
        <v>634</v>
      </c>
      <c r="BO2114" s="11">
        <v>45925.618750000001</v>
      </c>
      <c r="BP2114" s="11">
        <v>45931.540358796294</v>
      </c>
      <c r="BQ2114" s="15">
        <v>45933.568518518521</v>
      </c>
      <c r="BR2114" s="15">
        <v>45933.672210648147</v>
      </c>
      <c r="BS2114" s="10" t="s">
        <v>634</v>
      </c>
      <c r="BT2114" s="10" t="s">
        <v>99</v>
      </c>
      <c r="BU2114" s="10" t="s">
        <v>16100</v>
      </c>
      <c r="BV2114" s="10" t="s">
        <v>4315</v>
      </c>
      <c r="BW2114" s="10"/>
      <c r="BX2114" s="10"/>
      <c r="BY2114" s="23"/>
      <c r="BZ2114" s="23"/>
      <c r="CA2114" s="19" t="s">
        <v>16101</v>
      </c>
      <c r="CB2114" s="19" t="s">
        <v>16102</v>
      </c>
      <c r="CC2114" s="23"/>
      <c r="CD2114" s="19" t="s">
        <v>16103</v>
      </c>
      <c r="CE2114" s="23"/>
      <c r="CF2114" s="23"/>
      <c r="CG2114" s="23"/>
      <c r="CH2114" s="23"/>
      <c r="CI2114" s="23"/>
    </row>
    <row r="2115" spans="1:87" x14ac:dyDescent="0.3">
      <c r="A2115" s="9" t="s">
        <v>16104</v>
      </c>
      <c r="B2115" s="10" t="s">
        <v>16105</v>
      </c>
      <c r="C2115" s="11">
        <v>45942.75</v>
      </c>
      <c r="D2115" s="12">
        <v>8.3333333333333329E-2</v>
      </c>
      <c r="E2115" s="11">
        <v>45942.833333333336</v>
      </c>
      <c r="F2115" s="10" t="s">
        <v>15254</v>
      </c>
      <c r="G2115" s="13" t="b">
        <v>0</v>
      </c>
      <c r="H2115" s="22" t="s">
        <v>3578</v>
      </c>
      <c r="I2115" s="10" t="s">
        <v>89</v>
      </c>
      <c r="J2115" s="13" t="b">
        <v>0</v>
      </c>
      <c r="K2115" s="13" t="b">
        <v>1</v>
      </c>
      <c r="L2115" s="10" t="s">
        <v>124</v>
      </c>
      <c r="M2115" s="10" t="s">
        <v>91</v>
      </c>
      <c r="N2115" s="10" t="s">
        <v>265</v>
      </c>
      <c r="O2115" s="19" t="s">
        <v>16106</v>
      </c>
      <c r="P2115" s="10"/>
      <c r="Q2115" s="10" t="s">
        <v>126</v>
      </c>
      <c r="R2115" s="19" t="s">
        <v>16107</v>
      </c>
      <c r="S2115" s="19" t="s">
        <v>16108</v>
      </c>
      <c r="T2115" s="19" t="s">
        <v>16109</v>
      </c>
      <c r="U2115" s="10" t="s">
        <v>15684</v>
      </c>
      <c r="V2115" s="10" t="s">
        <v>16110</v>
      </c>
      <c r="W2115" s="10" t="s">
        <v>15260</v>
      </c>
      <c r="X2115" s="10" t="s">
        <v>130</v>
      </c>
      <c r="Y2115" s="10" t="s">
        <v>130</v>
      </c>
      <c r="Z2115" s="10" t="s">
        <v>99</v>
      </c>
      <c r="AA2115" s="10" t="s">
        <v>131</v>
      </c>
      <c r="AB2115" s="10" t="s">
        <v>15261</v>
      </c>
      <c r="AC2115" s="10" t="s">
        <v>274</v>
      </c>
      <c r="AD2115" s="10" t="s">
        <v>3146</v>
      </c>
      <c r="AE2115" s="10" t="s">
        <v>16111</v>
      </c>
      <c r="AF2115" s="15"/>
      <c r="AG2115" s="10"/>
      <c r="AH2115" s="10"/>
      <c r="AI2115" s="10"/>
      <c r="AJ2115" s="10" t="s">
        <v>16112</v>
      </c>
      <c r="AK2115" s="10" t="s">
        <v>102</v>
      </c>
      <c r="AL2115" s="10" t="s">
        <v>176</v>
      </c>
      <c r="AM2115" s="10"/>
      <c r="AN2115" s="10"/>
      <c r="AO2115" s="13" t="b">
        <v>0</v>
      </c>
      <c r="AP2115" s="22" t="s">
        <v>135</v>
      </c>
      <c r="AQ2115" s="10">
        <f ca="1">IFERROR(__xludf.DUMMYFUNCTION("""COMPUTED_VALUE"""),4644298)</f>
        <v>4644298</v>
      </c>
      <c r="AR2115" s="17">
        <v>7803</v>
      </c>
      <c r="AS2115" s="17">
        <v>6568</v>
      </c>
      <c r="AT2115" s="17">
        <v>46306</v>
      </c>
      <c r="AU2115" s="17">
        <v>10.25</v>
      </c>
      <c r="AV2115" s="17">
        <v>0.65</v>
      </c>
      <c r="AW2115" s="10" t="s">
        <v>105</v>
      </c>
      <c r="AX2115" s="17">
        <v>1079</v>
      </c>
      <c r="AY2115" s="18">
        <v>7.0502436053593183</v>
      </c>
      <c r="AZ2115" s="10" t="s">
        <v>106</v>
      </c>
      <c r="BA2115" s="20" t="b">
        <v>0</v>
      </c>
      <c r="BB2115" s="10"/>
      <c r="BC2115" s="17">
        <v>7803</v>
      </c>
      <c r="BD2115" s="17">
        <v>6568</v>
      </c>
      <c r="BE2115" s="17">
        <v>46306</v>
      </c>
      <c r="BF2115" s="17">
        <v>0.65</v>
      </c>
      <c r="BG2115" s="11">
        <f ca="1">IFERROR(__xludf.DUMMYFUNCTION("""COMPUTED_VALUE"""),45942.75)</f>
        <v>45942.75</v>
      </c>
      <c r="BH2115" s="17" t="s">
        <v>105</v>
      </c>
      <c r="BI2115" s="17"/>
      <c r="BJ2115" s="15"/>
      <c r="BK2115" s="15"/>
      <c r="BL2115" s="13" t="b">
        <v>0</v>
      </c>
      <c r="BM2115" s="10"/>
      <c r="BN2115" s="10" t="s">
        <v>149</v>
      </c>
      <c r="BO2115" s="11">
        <v>45925.620138888888</v>
      </c>
      <c r="BP2115" s="11">
        <v>45939.727858796294</v>
      </c>
      <c r="BQ2115" s="15">
        <v>45940.890532407408</v>
      </c>
      <c r="BR2115" s="15">
        <v>45941.082349537035</v>
      </c>
      <c r="BS2115" s="10" t="s">
        <v>149</v>
      </c>
      <c r="BT2115" s="10" t="s">
        <v>99</v>
      </c>
      <c r="BU2115" s="10" t="s">
        <v>5081</v>
      </c>
      <c r="BV2115" s="10"/>
      <c r="BW2115" s="10"/>
      <c r="BX2115" s="10"/>
      <c r="BY2115" s="23"/>
      <c r="BZ2115" s="23"/>
      <c r="CA2115" s="19" t="s">
        <v>16113</v>
      </c>
      <c r="CB2115" s="19" t="s">
        <v>16114</v>
      </c>
      <c r="CC2115" s="23"/>
      <c r="CD2115" s="19" t="s">
        <v>16115</v>
      </c>
      <c r="CE2115" s="23"/>
      <c r="CF2115" s="23"/>
      <c r="CG2115" s="23"/>
      <c r="CH2115" s="23"/>
      <c r="CI2115" s="23"/>
    </row>
    <row r="2116" spans="1:87" x14ac:dyDescent="0.3">
      <c r="A2116" s="9" t="s">
        <v>16116</v>
      </c>
      <c r="B2116" s="10" t="s">
        <v>16117</v>
      </c>
      <c r="C2116" s="11">
        <v>45942.75</v>
      </c>
      <c r="D2116" s="12">
        <v>8.3333333333333329E-2</v>
      </c>
      <c r="E2116" s="11">
        <v>45942.833333333336</v>
      </c>
      <c r="F2116" s="10" t="s">
        <v>15254</v>
      </c>
      <c r="G2116" s="13" t="b">
        <v>0</v>
      </c>
      <c r="H2116" s="22" t="s">
        <v>3564</v>
      </c>
      <c r="I2116" s="10" t="s">
        <v>89</v>
      </c>
      <c r="J2116" s="13" t="b">
        <v>0</v>
      </c>
      <c r="K2116" s="13" t="b">
        <v>1</v>
      </c>
      <c r="L2116" s="10" t="s">
        <v>124</v>
      </c>
      <c r="M2116" s="10" t="s">
        <v>91</v>
      </c>
      <c r="N2116" s="10" t="s">
        <v>265</v>
      </c>
      <c r="O2116" s="19" t="s">
        <v>16118</v>
      </c>
      <c r="P2116" s="10"/>
      <c r="Q2116" s="10" t="s">
        <v>126</v>
      </c>
      <c r="R2116" s="19" t="s">
        <v>16107</v>
      </c>
      <c r="S2116" s="19" t="s">
        <v>16119</v>
      </c>
      <c r="T2116" s="19" t="s">
        <v>16109</v>
      </c>
      <c r="U2116" s="10" t="s">
        <v>16120</v>
      </c>
      <c r="V2116" s="10" t="s">
        <v>15258</v>
      </c>
      <c r="W2116" s="10" t="s">
        <v>15260</v>
      </c>
      <c r="X2116" s="10" t="s">
        <v>130</v>
      </c>
      <c r="Y2116" s="10" t="s">
        <v>130</v>
      </c>
      <c r="Z2116" s="10" t="s">
        <v>99</v>
      </c>
      <c r="AA2116" s="10" t="s">
        <v>131</v>
      </c>
      <c r="AB2116" s="10" t="s">
        <v>15261</v>
      </c>
      <c r="AC2116" s="10" t="s">
        <v>274</v>
      </c>
      <c r="AD2116" s="10" t="s">
        <v>2735</v>
      </c>
      <c r="AE2116" s="10" t="s">
        <v>16121</v>
      </c>
      <c r="AF2116" s="15"/>
      <c r="AG2116" s="10"/>
      <c r="AH2116" s="10"/>
      <c r="AI2116" s="10"/>
      <c r="AJ2116" s="10" t="s">
        <v>16122</v>
      </c>
      <c r="AK2116" s="10" t="s">
        <v>102</v>
      </c>
      <c r="AL2116" s="10" t="s">
        <v>176</v>
      </c>
      <c r="AM2116" s="10"/>
      <c r="AN2116" s="10"/>
      <c r="AO2116" s="13" t="b">
        <v>0</v>
      </c>
      <c r="AP2116" s="22" t="s">
        <v>135</v>
      </c>
      <c r="AQ2116" s="10">
        <f ca="1">IFERROR(__xludf.DUMMYFUNCTION("""COMPUTED_VALUE"""),4644299)</f>
        <v>4644299</v>
      </c>
      <c r="AR2116" s="17">
        <v>13181</v>
      </c>
      <c r="AS2116" s="17">
        <v>10850</v>
      </c>
      <c r="AT2116" s="17">
        <v>101813.25</v>
      </c>
      <c r="AU2116" s="17">
        <v>20.7</v>
      </c>
      <c r="AV2116" s="17">
        <v>2.1</v>
      </c>
      <c r="AW2116" s="10" t="s">
        <v>105</v>
      </c>
      <c r="AX2116" s="17">
        <v>2050</v>
      </c>
      <c r="AY2116" s="18">
        <v>9.383709677419354</v>
      </c>
      <c r="AZ2116" s="10" t="s">
        <v>106</v>
      </c>
      <c r="BA2116" s="20" t="b">
        <v>0</v>
      </c>
      <c r="BB2116" s="10"/>
      <c r="BC2116" s="17">
        <v>13181</v>
      </c>
      <c r="BD2116" s="17">
        <v>10850</v>
      </c>
      <c r="BE2116" s="17">
        <v>101813.25</v>
      </c>
      <c r="BF2116" s="17">
        <v>2.1</v>
      </c>
      <c r="BG2116" s="11">
        <f ca="1">IFERROR(__xludf.DUMMYFUNCTION("""COMPUTED_VALUE"""),45942.75)</f>
        <v>45942.75</v>
      </c>
      <c r="BH2116" s="17" t="s">
        <v>105</v>
      </c>
      <c r="BI2116" s="17"/>
      <c r="BJ2116" s="15"/>
      <c r="BK2116" s="15"/>
      <c r="BL2116" s="13" t="b">
        <v>0</v>
      </c>
      <c r="BM2116" s="10"/>
      <c r="BN2116" s="10" t="s">
        <v>149</v>
      </c>
      <c r="BO2116" s="11">
        <v>45925.62222222222</v>
      </c>
      <c r="BP2116" s="11">
        <v>45939.639270833337</v>
      </c>
      <c r="BQ2116" s="15">
        <v>45940.890706018516</v>
      </c>
      <c r="BR2116" s="15">
        <v>45941.082731481481</v>
      </c>
      <c r="BS2116" s="10" t="s">
        <v>149</v>
      </c>
      <c r="BT2116" s="10" t="s">
        <v>99</v>
      </c>
      <c r="BU2116" s="10" t="s">
        <v>5675</v>
      </c>
      <c r="BV2116" s="10"/>
      <c r="BW2116" s="10"/>
      <c r="BX2116" s="10"/>
      <c r="BY2116" s="23"/>
      <c r="BZ2116" s="23"/>
      <c r="CA2116" s="19" t="s">
        <v>16123</v>
      </c>
      <c r="CB2116" s="19" t="s">
        <v>16124</v>
      </c>
      <c r="CC2116" s="23"/>
      <c r="CD2116" s="19" t="s">
        <v>16125</v>
      </c>
      <c r="CE2116" s="23"/>
      <c r="CF2116" s="23"/>
      <c r="CG2116" s="23"/>
      <c r="CH2116" s="23"/>
      <c r="CI2116" s="23"/>
    </row>
    <row r="2117" spans="1:87" x14ac:dyDescent="0.3">
      <c r="A2117" s="9" t="s">
        <v>16126</v>
      </c>
      <c r="B2117" s="10" t="s">
        <v>16127</v>
      </c>
      <c r="C2117" s="11">
        <v>45942.854166666664</v>
      </c>
      <c r="D2117" s="12">
        <v>8.3333333333333329E-2</v>
      </c>
      <c r="E2117" s="11">
        <v>45942.9375</v>
      </c>
      <c r="F2117" s="10" t="s">
        <v>15254</v>
      </c>
      <c r="G2117" s="13" t="b">
        <v>0</v>
      </c>
      <c r="H2117" s="22" t="s">
        <v>3564</v>
      </c>
      <c r="I2117" s="10" t="s">
        <v>89</v>
      </c>
      <c r="J2117" s="13" t="b">
        <v>0</v>
      </c>
      <c r="K2117" s="13" t="b">
        <v>1</v>
      </c>
      <c r="L2117" s="10" t="s">
        <v>124</v>
      </c>
      <c r="M2117" s="10" t="s">
        <v>91</v>
      </c>
      <c r="N2117" s="10" t="s">
        <v>265</v>
      </c>
      <c r="O2117" s="19" t="s">
        <v>16128</v>
      </c>
      <c r="P2117" s="10"/>
      <c r="Q2117" s="10" t="s">
        <v>126</v>
      </c>
      <c r="R2117" s="19" t="s">
        <v>16129</v>
      </c>
      <c r="S2117" s="19" t="s">
        <v>16130</v>
      </c>
      <c r="T2117" s="19" t="s">
        <v>16109</v>
      </c>
      <c r="U2117" s="10" t="s">
        <v>15259</v>
      </c>
      <c r="V2117" s="10" t="s">
        <v>16131</v>
      </c>
      <c r="W2117" s="10" t="s">
        <v>15260</v>
      </c>
      <c r="X2117" s="10" t="s">
        <v>130</v>
      </c>
      <c r="Y2117" s="10" t="s">
        <v>130</v>
      </c>
      <c r="Z2117" s="10" t="s">
        <v>99</v>
      </c>
      <c r="AA2117" s="10" t="s">
        <v>131</v>
      </c>
      <c r="AB2117" s="10" t="s">
        <v>15261</v>
      </c>
      <c r="AC2117" s="10" t="s">
        <v>274</v>
      </c>
      <c r="AD2117" s="10" t="s">
        <v>2095</v>
      </c>
      <c r="AE2117" s="10" t="s">
        <v>16132</v>
      </c>
      <c r="AF2117" s="15"/>
      <c r="AG2117" s="10"/>
      <c r="AH2117" s="10"/>
      <c r="AI2117" s="10"/>
      <c r="AJ2117" s="10" t="s">
        <v>16133</v>
      </c>
      <c r="AK2117" s="10" t="s">
        <v>102</v>
      </c>
      <c r="AL2117" s="10" t="s">
        <v>176</v>
      </c>
      <c r="AM2117" s="10"/>
      <c r="AN2117" s="10"/>
      <c r="AO2117" s="13" t="b">
        <v>0</v>
      </c>
      <c r="AP2117" s="22" t="s">
        <v>135</v>
      </c>
      <c r="AQ2117" s="10">
        <f ca="1">IFERROR(__xludf.DUMMYFUNCTION("""COMPUTED_VALUE"""),4644301)</f>
        <v>4644301</v>
      </c>
      <c r="AR2117" s="17">
        <v>12950</v>
      </c>
      <c r="AS2117" s="17">
        <v>10727</v>
      </c>
      <c r="AT2117" s="17">
        <v>124496.75</v>
      </c>
      <c r="AU2117" s="17">
        <v>24.05</v>
      </c>
      <c r="AV2117" s="17">
        <v>5.25</v>
      </c>
      <c r="AW2117" s="10" t="s">
        <v>105</v>
      </c>
      <c r="AX2117" s="17">
        <v>1979</v>
      </c>
      <c r="AY2117" s="18">
        <v>11.605924303160251</v>
      </c>
      <c r="AZ2117" s="10" t="s">
        <v>106</v>
      </c>
      <c r="BA2117" s="20" t="b">
        <v>0</v>
      </c>
      <c r="BB2117" s="10"/>
      <c r="BC2117" s="17">
        <v>12950</v>
      </c>
      <c r="BD2117" s="17">
        <v>10727</v>
      </c>
      <c r="BE2117" s="17">
        <v>124496.75</v>
      </c>
      <c r="BF2117" s="17">
        <v>5.25</v>
      </c>
      <c r="BG2117" s="11">
        <f ca="1">IFERROR(__xludf.DUMMYFUNCTION("""COMPUTED_VALUE"""),45942.8541666666)</f>
        <v>45942.854166666599</v>
      </c>
      <c r="BH2117" s="17" t="s">
        <v>105</v>
      </c>
      <c r="BI2117" s="17"/>
      <c r="BJ2117" s="15"/>
      <c r="BK2117" s="15"/>
      <c r="BL2117" s="13" t="b">
        <v>0</v>
      </c>
      <c r="BM2117" s="10"/>
      <c r="BN2117" s="10" t="s">
        <v>149</v>
      </c>
      <c r="BO2117" s="11">
        <v>45925.624305555553</v>
      </c>
      <c r="BP2117" s="11">
        <v>45939.658645833333</v>
      </c>
      <c r="BQ2117" s="15">
        <v>45940.890902777777</v>
      </c>
      <c r="BR2117" s="15">
        <v>45941.085405092592</v>
      </c>
      <c r="BS2117" s="10" t="s">
        <v>149</v>
      </c>
      <c r="BT2117" s="10" t="s">
        <v>279</v>
      </c>
      <c r="BU2117" s="10" t="s">
        <v>5675</v>
      </c>
      <c r="BV2117" s="10"/>
      <c r="BW2117" s="10"/>
      <c r="BX2117" s="10"/>
      <c r="BY2117" s="23"/>
      <c r="BZ2117" s="23"/>
      <c r="CA2117" s="19" t="s">
        <v>16134</v>
      </c>
      <c r="CB2117" s="19" t="s">
        <v>16135</v>
      </c>
      <c r="CC2117" s="23"/>
      <c r="CD2117" s="19" t="s">
        <v>16136</v>
      </c>
      <c r="CE2117" s="23"/>
      <c r="CF2117" s="23"/>
      <c r="CG2117" s="23"/>
      <c r="CH2117" s="23"/>
      <c r="CI2117" s="23"/>
    </row>
    <row r="2118" spans="1:87" x14ac:dyDescent="0.3">
      <c r="A2118" s="9" t="s">
        <v>16137</v>
      </c>
      <c r="B2118" s="10" t="s">
        <v>16138</v>
      </c>
      <c r="C2118" s="11">
        <v>45942.947916666664</v>
      </c>
      <c r="D2118" s="12">
        <v>8.3333333333333329E-2</v>
      </c>
      <c r="E2118" s="11">
        <v>45943.03125</v>
      </c>
      <c r="F2118" s="10" t="s">
        <v>15254</v>
      </c>
      <c r="G2118" s="13" t="b">
        <v>0</v>
      </c>
      <c r="H2118" s="22" t="s">
        <v>3564</v>
      </c>
      <c r="I2118" s="10" t="s">
        <v>89</v>
      </c>
      <c r="J2118" s="13" t="b">
        <v>0</v>
      </c>
      <c r="K2118" s="13" t="b">
        <v>1</v>
      </c>
      <c r="L2118" s="10" t="s">
        <v>124</v>
      </c>
      <c r="M2118" s="10" t="s">
        <v>91</v>
      </c>
      <c r="N2118" s="10" t="s">
        <v>265</v>
      </c>
      <c r="O2118" s="19" t="s">
        <v>16139</v>
      </c>
      <c r="P2118" s="10"/>
      <c r="Q2118" s="10" t="s">
        <v>126</v>
      </c>
      <c r="R2118" s="10"/>
      <c r="S2118" s="19" t="s">
        <v>16140</v>
      </c>
      <c r="T2118" s="19" t="s">
        <v>16109</v>
      </c>
      <c r="U2118" s="10" t="s">
        <v>15750</v>
      </c>
      <c r="V2118" s="10" t="s">
        <v>16141</v>
      </c>
      <c r="W2118" s="10" t="s">
        <v>15260</v>
      </c>
      <c r="X2118" s="10" t="s">
        <v>130</v>
      </c>
      <c r="Y2118" s="10" t="s">
        <v>130</v>
      </c>
      <c r="Z2118" s="10" t="s">
        <v>99</v>
      </c>
      <c r="AA2118" s="10" t="s">
        <v>131</v>
      </c>
      <c r="AB2118" s="10" t="s">
        <v>15261</v>
      </c>
      <c r="AC2118" s="10" t="s">
        <v>274</v>
      </c>
      <c r="AD2118" s="10" t="s">
        <v>2661</v>
      </c>
      <c r="AE2118" s="10" t="s">
        <v>16142</v>
      </c>
      <c r="AF2118" s="15"/>
      <c r="AG2118" s="10"/>
      <c r="AH2118" s="10"/>
      <c r="AI2118" s="10"/>
      <c r="AJ2118" s="10" t="s">
        <v>16143</v>
      </c>
      <c r="AK2118" s="10" t="s">
        <v>102</v>
      </c>
      <c r="AL2118" s="10" t="s">
        <v>176</v>
      </c>
      <c r="AM2118" s="10"/>
      <c r="AN2118" s="10"/>
      <c r="AO2118" s="13" t="b">
        <v>0</v>
      </c>
      <c r="AP2118" s="22" t="s">
        <v>135</v>
      </c>
      <c r="AQ2118" s="10">
        <f ca="1">IFERROR(__xludf.DUMMYFUNCTION("""COMPUTED_VALUE"""),4644302)</f>
        <v>4644302</v>
      </c>
      <c r="AR2118" s="17">
        <v>9467</v>
      </c>
      <c r="AS2118" s="17">
        <v>8328</v>
      </c>
      <c r="AT2118" s="17">
        <v>83112.75</v>
      </c>
      <c r="AU2118" s="17">
        <v>18</v>
      </c>
      <c r="AV2118" s="17">
        <v>1.2</v>
      </c>
      <c r="AW2118" s="10" t="s">
        <v>105</v>
      </c>
      <c r="AX2118" s="17">
        <v>2051</v>
      </c>
      <c r="AY2118" s="18">
        <v>9.9799171469740635</v>
      </c>
      <c r="AZ2118" s="10" t="s">
        <v>106</v>
      </c>
      <c r="BA2118" s="20" t="b">
        <v>0</v>
      </c>
      <c r="BB2118" s="10"/>
      <c r="BC2118" s="17">
        <v>9467</v>
      </c>
      <c r="BD2118" s="17">
        <v>8328</v>
      </c>
      <c r="BE2118" s="17">
        <v>83112.75</v>
      </c>
      <c r="BF2118" s="17">
        <v>1.2</v>
      </c>
      <c r="BG2118" s="11">
        <f ca="1">IFERROR(__xludf.DUMMYFUNCTION("""COMPUTED_VALUE"""),45942.9479166666)</f>
        <v>45942.947916666599</v>
      </c>
      <c r="BH2118" s="17" t="s">
        <v>105</v>
      </c>
      <c r="BI2118" s="17"/>
      <c r="BJ2118" s="15"/>
      <c r="BK2118" s="15"/>
      <c r="BL2118" s="13" t="b">
        <v>0</v>
      </c>
      <c r="BM2118" s="10"/>
      <c r="BN2118" s="10" t="s">
        <v>149</v>
      </c>
      <c r="BO2118" s="11">
        <v>45925.626388888886</v>
      </c>
      <c r="BP2118" s="11">
        <v>45939.702719907407</v>
      </c>
      <c r="BQ2118" s="15">
        <v>45940.891122685185</v>
      </c>
      <c r="BR2118" s="15">
        <v>45941.085763888892</v>
      </c>
      <c r="BS2118" s="10" t="s">
        <v>149</v>
      </c>
      <c r="BT2118" s="10" t="s">
        <v>279</v>
      </c>
      <c r="BU2118" s="10" t="s">
        <v>5675</v>
      </c>
      <c r="BV2118" s="10"/>
      <c r="BW2118" s="10"/>
      <c r="BX2118" s="10"/>
      <c r="BY2118" s="23"/>
      <c r="BZ2118" s="23"/>
      <c r="CA2118" s="19" t="s">
        <v>16144</v>
      </c>
      <c r="CB2118" s="19" t="s">
        <v>16145</v>
      </c>
      <c r="CC2118" s="23"/>
      <c r="CD2118" s="19" t="s">
        <v>16146</v>
      </c>
      <c r="CE2118" s="23"/>
      <c r="CF2118" s="23"/>
      <c r="CG2118" s="23"/>
      <c r="CH2118" s="23"/>
      <c r="CI2118" s="23"/>
    </row>
    <row r="2119" spans="1:87" x14ac:dyDescent="0.3">
      <c r="A2119" s="9" t="s">
        <v>16147</v>
      </c>
      <c r="B2119" s="10" t="s">
        <v>16148</v>
      </c>
      <c r="C2119" s="11">
        <v>45937.989583333336</v>
      </c>
      <c r="D2119" s="12">
        <v>8.3333333333333329E-2</v>
      </c>
      <c r="E2119" s="11">
        <v>45938.072916666664</v>
      </c>
      <c r="F2119" s="10" t="s">
        <v>16149</v>
      </c>
      <c r="G2119" s="13" t="b">
        <v>0</v>
      </c>
      <c r="H2119" s="22" t="s">
        <v>3564</v>
      </c>
      <c r="I2119" s="10" t="s">
        <v>89</v>
      </c>
      <c r="J2119" s="13" t="b">
        <v>0</v>
      </c>
      <c r="K2119" s="13" t="b">
        <v>1</v>
      </c>
      <c r="L2119" s="10" t="s">
        <v>124</v>
      </c>
      <c r="M2119" s="10" t="s">
        <v>91</v>
      </c>
      <c r="N2119" s="10" t="s">
        <v>92</v>
      </c>
      <c r="O2119" s="19" t="s">
        <v>16150</v>
      </c>
      <c r="P2119" s="10"/>
      <c r="Q2119" s="10" t="s">
        <v>126</v>
      </c>
      <c r="R2119" s="10"/>
      <c r="S2119" s="19" t="s">
        <v>16151</v>
      </c>
      <c r="T2119" s="10"/>
      <c r="U2119" s="10" t="s">
        <v>16152</v>
      </c>
      <c r="V2119" s="10" t="s">
        <v>16153</v>
      </c>
      <c r="W2119" s="10" t="s">
        <v>16154</v>
      </c>
      <c r="X2119" s="10" t="s">
        <v>130</v>
      </c>
      <c r="Y2119" s="10" t="s">
        <v>130</v>
      </c>
      <c r="Z2119" s="10" t="s">
        <v>99</v>
      </c>
      <c r="AA2119" s="10" t="s">
        <v>131</v>
      </c>
      <c r="AB2119" s="10" t="s">
        <v>16155</v>
      </c>
      <c r="AC2119" s="10" t="s">
        <v>3571</v>
      </c>
      <c r="AD2119" s="10" t="s">
        <v>16156</v>
      </c>
      <c r="AE2119" s="10" t="s">
        <v>16157</v>
      </c>
      <c r="AF2119" s="15"/>
      <c r="AG2119" s="10"/>
      <c r="AH2119" s="10"/>
      <c r="AI2119" s="10"/>
      <c r="AJ2119" s="10"/>
      <c r="AK2119" s="10" t="s">
        <v>102</v>
      </c>
      <c r="AL2119" s="10" t="s">
        <v>7897</v>
      </c>
      <c r="AM2119" s="10"/>
      <c r="AN2119" s="10"/>
      <c r="AO2119" s="13" t="b">
        <v>0</v>
      </c>
      <c r="AP2119" s="22" t="s">
        <v>135</v>
      </c>
      <c r="AQ2119" s="10">
        <f ca="1">IFERROR(__xludf.DUMMYFUNCTION("""COMPUTED_VALUE"""),4636459)</f>
        <v>4636459</v>
      </c>
      <c r="AR2119" s="17">
        <v>10408</v>
      </c>
      <c r="AS2119" s="17">
        <v>8795</v>
      </c>
      <c r="AT2119" s="17">
        <v>146058.25</v>
      </c>
      <c r="AU2119" s="17">
        <v>29.75</v>
      </c>
      <c r="AV2119" s="17">
        <v>7.8</v>
      </c>
      <c r="AW2119" s="10" t="s">
        <v>105</v>
      </c>
      <c r="AX2119" s="17">
        <v>1619</v>
      </c>
      <c r="AY2119" s="18">
        <v>16.606964184195565</v>
      </c>
      <c r="AZ2119" s="10" t="s">
        <v>239</v>
      </c>
      <c r="BA2119" s="20" t="b">
        <v>0</v>
      </c>
      <c r="BB2119" s="10"/>
      <c r="BC2119" s="17">
        <v>10408</v>
      </c>
      <c r="BD2119" s="17">
        <v>8795</v>
      </c>
      <c r="BE2119" s="17">
        <v>146058.25</v>
      </c>
      <c r="BF2119" s="17">
        <v>7.8</v>
      </c>
      <c r="BG2119" s="11">
        <f ca="1">IFERROR(__xludf.DUMMYFUNCTION("""COMPUTED_VALUE"""),45937.9895833333)</f>
        <v>45937.989583333299</v>
      </c>
      <c r="BH2119" s="17" t="s">
        <v>105</v>
      </c>
      <c r="BI2119" s="17"/>
      <c r="BJ2119" s="15"/>
      <c r="BK2119" s="15"/>
      <c r="BL2119" s="13" t="b">
        <v>0</v>
      </c>
      <c r="BM2119" s="10"/>
      <c r="BN2119" s="10" t="s">
        <v>197</v>
      </c>
      <c r="BO2119" s="11">
        <v>45925.718055555553</v>
      </c>
      <c r="BP2119" s="11">
        <v>45931.475937499999</v>
      </c>
      <c r="BQ2119" s="15">
        <v>45937.217222222222</v>
      </c>
      <c r="BR2119" s="15">
        <v>45937.311932870369</v>
      </c>
      <c r="BS2119" s="10" t="s">
        <v>197</v>
      </c>
      <c r="BT2119" s="10" t="s">
        <v>279</v>
      </c>
      <c r="BU2119" s="10" t="s">
        <v>9114</v>
      </c>
      <c r="BV2119" s="10"/>
      <c r="BW2119" s="10"/>
      <c r="BX2119" s="10"/>
      <c r="BY2119" s="23"/>
      <c r="BZ2119" s="23"/>
      <c r="CA2119" s="19" t="s">
        <v>16158</v>
      </c>
      <c r="CB2119" s="23"/>
      <c r="CC2119" s="23"/>
      <c r="CD2119" s="19" t="s">
        <v>16159</v>
      </c>
      <c r="CE2119" s="23"/>
      <c r="CF2119" s="23"/>
      <c r="CG2119" s="23"/>
      <c r="CH2119" s="23"/>
      <c r="CI2119" s="23"/>
    </row>
    <row r="2120" spans="1:87" x14ac:dyDescent="0.3">
      <c r="A2120" s="9" t="s">
        <v>16160</v>
      </c>
      <c r="B2120" s="10" t="s">
        <v>16161</v>
      </c>
      <c r="C2120" s="11">
        <v>45938.083333333336</v>
      </c>
      <c r="D2120" s="12">
        <v>8.3333333333333329E-2</v>
      </c>
      <c r="E2120" s="11">
        <v>45938.166666666664</v>
      </c>
      <c r="F2120" s="10" t="s">
        <v>16149</v>
      </c>
      <c r="G2120" s="13" t="b">
        <v>0</v>
      </c>
      <c r="H2120" s="22" t="s">
        <v>6271</v>
      </c>
      <c r="I2120" s="10" t="s">
        <v>89</v>
      </c>
      <c r="J2120" s="13" t="b">
        <v>0</v>
      </c>
      <c r="K2120" s="13" t="b">
        <v>1</v>
      </c>
      <c r="L2120" s="10" t="s">
        <v>124</v>
      </c>
      <c r="M2120" s="10" t="s">
        <v>91</v>
      </c>
      <c r="N2120" s="10" t="s">
        <v>92</v>
      </c>
      <c r="O2120" s="19" t="s">
        <v>16162</v>
      </c>
      <c r="P2120" s="10"/>
      <c r="Q2120" s="10" t="s">
        <v>94</v>
      </c>
      <c r="R2120" s="10"/>
      <c r="S2120" s="19" t="s">
        <v>16163</v>
      </c>
      <c r="T2120" s="10"/>
      <c r="U2120" s="10" t="s">
        <v>16164</v>
      </c>
      <c r="V2120" s="10" t="s">
        <v>16165</v>
      </c>
      <c r="W2120" s="10" t="s">
        <v>16154</v>
      </c>
      <c r="X2120" s="10" t="s">
        <v>130</v>
      </c>
      <c r="Y2120" s="10" t="s">
        <v>130</v>
      </c>
      <c r="Z2120" s="10" t="s">
        <v>99</v>
      </c>
      <c r="AA2120" s="10" t="s">
        <v>131</v>
      </c>
      <c r="AB2120" s="10" t="s">
        <v>16155</v>
      </c>
      <c r="AC2120" s="10" t="s">
        <v>3571</v>
      </c>
      <c r="AD2120" s="10" t="s">
        <v>165</v>
      </c>
      <c r="AE2120" s="10" t="s">
        <v>16166</v>
      </c>
      <c r="AF2120" s="15"/>
      <c r="AG2120" s="10"/>
      <c r="AH2120" s="10"/>
      <c r="AI2120" s="10"/>
      <c r="AJ2120" s="10"/>
      <c r="AK2120" s="10" t="s">
        <v>102</v>
      </c>
      <c r="AL2120" s="10" t="s">
        <v>7897</v>
      </c>
      <c r="AM2120" s="10"/>
      <c r="AN2120" s="10"/>
      <c r="AO2120" s="13" t="b">
        <v>0</v>
      </c>
      <c r="AP2120" s="22" t="s">
        <v>135</v>
      </c>
      <c r="AQ2120" s="10">
        <f ca="1">IFERROR(__xludf.DUMMYFUNCTION("""COMPUTED_VALUE"""),4636462)</f>
        <v>4636462</v>
      </c>
      <c r="AR2120" s="17">
        <v>1330</v>
      </c>
      <c r="AS2120" s="17">
        <v>991</v>
      </c>
      <c r="AT2120" s="17">
        <v>9750.75</v>
      </c>
      <c r="AU2120" s="17">
        <v>0.9</v>
      </c>
      <c r="AV2120" s="17">
        <v>0</v>
      </c>
      <c r="AW2120" s="10" t="s">
        <v>105</v>
      </c>
      <c r="AX2120" s="17">
        <v>295</v>
      </c>
      <c r="AY2120" s="18">
        <v>9.8393037336024225</v>
      </c>
      <c r="AZ2120" s="10" t="s">
        <v>239</v>
      </c>
      <c r="BA2120" s="20" t="b">
        <v>0</v>
      </c>
      <c r="BB2120" s="10"/>
      <c r="BC2120" s="17">
        <v>1330</v>
      </c>
      <c r="BD2120" s="17">
        <v>991</v>
      </c>
      <c r="BE2120" s="17">
        <v>9750.75</v>
      </c>
      <c r="BF2120" s="17">
        <v>0</v>
      </c>
      <c r="BG2120" s="11">
        <f ca="1">IFERROR(__xludf.DUMMYFUNCTION("""COMPUTED_VALUE"""),45938.0833333333)</f>
        <v>45938.083333333299</v>
      </c>
      <c r="BH2120" s="17" t="s">
        <v>105</v>
      </c>
      <c r="BI2120" s="17"/>
      <c r="BJ2120" s="15"/>
      <c r="BK2120" s="15"/>
      <c r="BL2120" s="13" t="b">
        <v>0</v>
      </c>
      <c r="BM2120" s="10"/>
      <c r="BN2120" s="10" t="s">
        <v>1149</v>
      </c>
      <c r="BO2120" s="11">
        <v>45926.587500000001</v>
      </c>
      <c r="BP2120" s="11">
        <v>45931.477824074071</v>
      </c>
      <c r="BQ2120" s="15">
        <v>45937.218368055554</v>
      </c>
      <c r="BR2120" s="15">
        <v>45937.313449074078</v>
      </c>
      <c r="BS2120" s="10" t="s">
        <v>1149</v>
      </c>
      <c r="BT2120" s="10" t="s">
        <v>279</v>
      </c>
      <c r="BU2120" s="10" t="s">
        <v>6753</v>
      </c>
      <c r="BV2120" s="10"/>
      <c r="BW2120" s="10"/>
      <c r="BX2120" s="10"/>
      <c r="BY2120" s="23"/>
      <c r="BZ2120" s="23"/>
      <c r="CA2120" s="19" t="s">
        <v>16167</v>
      </c>
      <c r="CB2120" s="23"/>
      <c r="CC2120" s="23"/>
      <c r="CD2120" s="23"/>
      <c r="CE2120" s="23"/>
      <c r="CF2120" s="23"/>
      <c r="CG2120" s="23"/>
      <c r="CH2120" s="23"/>
      <c r="CI2120" s="23"/>
    </row>
    <row r="2121" spans="1:87" x14ac:dyDescent="0.3">
      <c r="A2121" s="25" t="s">
        <v>16168</v>
      </c>
      <c r="B2121" s="10" t="s">
        <v>16169</v>
      </c>
      <c r="C2121" s="11">
        <v>45938.083333333336</v>
      </c>
      <c r="D2121" s="12">
        <v>8.3333333333333329E-2</v>
      </c>
      <c r="E2121" s="11">
        <v>45938.166666666664</v>
      </c>
      <c r="F2121" s="10" t="s">
        <v>16149</v>
      </c>
      <c r="G2121" s="13" t="b">
        <v>0</v>
      </c>
      <c r="H2121" s="22" t="s">
        <v>3578</v>
      </c>
      <c r="I2121" s="10" t="s">
        <v>89</v>
      </c>
      <c r="J2121" s="13" t="b">
        <v>0</v>
      </c>
      <c r="K2121" s="13" t="b">
        <v>1</v>
      </c>
      <c r="L2121" s="10" t="s">
        <v>124</v>
      </c>
      <c r="M2121" s="10" t="s">
        <v>91</v>
      </c>
      <c r="N2121" s="10" t="s">
        <v>92</v>
      </c>
      <c r="O2121" s="19" t="s">
        <v>16170</v>
      </c>
      <c r="P2121" s="10"/>
      <c r="Q2121" s="10" t="s">
        <v>126</v>
      </c>
      <c r="R2121" s="10"/>
      <c r="S2121" s="19" t="s">
        <v>16171</v>
      </c>
      <c r="T2121" s="10"/>
      <c r="U2121" s="10" t="s">
        <v>15259</v>
      </c>
      <c r="V2121" s="10" t="s">
        <v>16172</v>
      </c>
      <c r="W2121" s="10" t="s">
        <v>16154</v>
      </c>
      <c r="X2121" s="10" t="s">
        <v>130</v>
      </c>
      <c r="Y2121" s="10" t="s">
        <v>130</v>
      </c>
      <c r="Z2121" s="10" t="s">
        <v>99</v>
      </c>
      <c r="AA2121" s="10" t="s">
        <v>131</v>
      </c>
      <c r="AB2121" s="10" t="s">
        <v>16155</v>
      </c>
      <c r="AC2121" s="10" t="s">
        <v>3571</v>
      </c>
      <c r="AD2121" s="10" t="s">
        <v>16173</v>
      </c>
      <c r="AE2121" s="10" t="s">
        <v>16174</v>
      </c>
      <c r="AF2121" s="15"/>
      <c r="AG2121" s="10"/>
      <c r="AH2121" s="10"/>
      <c r="AI2121" s="10"/>
      <c r="AJ2121" s="10"/>
      <c r="AK2121" s="10" t="s">
        <v>102</v>
      </c>
      <c r="AL2121" s="10" t="s">
        <v>7897</v>
      </c>
      <c r="AM2121" s="10"/>
      <c r="AN2121" s="10"/>
      <c r="AO2121" s="13" t="b">
        <v>0</v>
      </c>
      <c r="AP2121" s="22" t="s">
        <v>135</v>
      </c>
      <c r="AQ2121" s="10">
        <f ca="1">IFERROR(__xludf.DUMMYFUNCTION("""COMPUTED_VALUE"""),4636461)</f>
        <v>4636461</v>
      </c>
      <c r="AR2121" s="17">
        <v>4343</v>
      </c>
      <c r="AS2121" s="17">
        <v>3321</v>
      </c>
      <c r="AT2121" s="17">
        <v>50271.75</v>
      </c>
      <c r="AU2121" s="17">
        <v>2.7</v>
      </c>
      <c r="AV2121" s="17">
        <v>0.35</v>
      </c>
      <c r="AW2121" s="10" t="s">
        <v>105</v>
      </c>
      <c r="AX2121" s="17">
        <v>605</v>
      </c>
      <c r="AY2121" s="18">
        <v>15.137533875338754</v>
      </c>
      <c r="AZ2121" s="10" t="s">
        <v>239</v>
      </c>
      <c r="BA2121" s="20" t="b">
        <v>0</v>
      </c>
      <c r="BB2121" s="10"/>
      <c r="BC2121" s="17">
        <v>4343</v>
      </c>
      <c r="BD2121" s="17">
        <v>3321</v>
      </c>
      <c r="BE2121" s="17">
        <v>50271.75</v>
      </c>
      <c r="BF2121" s="17">
        <v>0.35</v>
      </c>
      <c r="BG2121" s="11">
        <f ca="1">IFERROR(__xludf.DUMMYFUNCTION("""COMPUTED_VALUE"""),45938.0833333333)</f>
        <v>45938.083333333299</v>
      </c>
      <c r="BH2121" s="17" t="s">
        <v>105</v>
      </c>
      <c r="BI2121" s="17"/>
      <c r="BJ2121" s="15"/>
      <c r="BK2121" s="15"/>
      <c r="BL2121" s="13" t="b">
        <v>0</v>
      </c>
      <c r="BM2121" s="10"/>
      <c r="BN2121" s="10" t="s">
        <v>197</v>
      </c>
      <c r="BO2121" s="11">
        <v>45926.597916666666</v>
      </c>
      <c r="BP2121" s="11">
        <v>45931.473611111112</v>
      </c>
      <c r="BQ2121" s="15">
        <v>45937.21770833333</v>
      </c>
      <c r="BR2121" s="15">
        <v>45937.312557870369</v>
      </c>
      <c r="BS2121" s="10" t="s">
        <v>197</v>
      </c>
      <c r="BT2121" s="10" t="s">
        <v>279</v>
      </c>
      <c r="BU2121" s="10" t="s">
        <v>5854</v>
      </c>
      <c r="BV2121" s="10"/>
      <c r="BW2121" s="10"/>
      <c r="BX2121" s="10"/>
      <c r="BY2121" s="23"/>
      <c r="BZ2121" s="23"/>
      <c r="CA2121" s="19" t="s">
        <v>16175</v>
      </c>
      <c r="CB2121" s="23"/>
      <c r="CC2121" s="23"/>
      <c r="CD2121" s="19" t="s">
        <v>16176</v>
      </c>
      <c r="CE2121" s="23"/>
      <c r="CF2121" s="23"/>
      <c r="CG2121" s="23"/>
      <c r="CH2121" s="23"/>
      <c r="CI2121" s="23"/>
    </row>
    <row r="2122" spans="1:87" x14ac:dyDescent="0.3">
      <c r="A2122" s="9" t="s">
        <v>16177</v>
      </c>
      <c r="B2122" s="10" t="s">
        <v>16178</v>
      </c>
      <c r="C2122" s="11">
        <v>45938.083333333336</v>
      </c>
      <c r="D2122" s="12">
        <v>8.3333333333333329E-2</v>
      </c>
      <c r="E2122" s="11">
        <v>45938.166666666664</v>
      </c>
      <c r="F2122" s="10" t="s">
        <v>16149</v>
      </c>
      <c r="G2122" s="13" t="b">
        <v>0</v>
      </c>
      <c r="H2122" s="22" t="s">
        <v>3564</v>
      </c>
      <c r="I2122" s="10" t="s">
        <v>89</v>
      </c>
      <c r="J2122" s="13" t="b">
        <v>0</v>
      </c>
      <c r="K2122" s="13" t="b">
        <v>1</v>
      </c>
      <c r="L2122" s="10" t="s">
        <v>124</v>
      </c>
      <c r="M2122" s="10" t="s">
        <v>91</v>
      </c>
      <c r="N2122" s="10" t="s">
        <v>92</v>
      </c>
      <c r="O2122" s="19" t="s">
        <v>16179</v>
      </c>
      <c r="P2122" s="10"/>
      <c r="Q2122" s="10" t="s">
        <v>126</v>
      </c>
      <c r="R2122" s="10"/>
      <c r="S2122" s="19" t="s">
        <v>16180</v>
      </c>
      <c r="T2122" s="10"/>
      <c r="U2122" s="10" t="s">
        <v>16181</v>
      </c>
      <c r="V2122" s="10" t="s">
        <v>16182</v>
      </c>
      <c r="W2122" s="10" t="s">
        <v>16154</v>
      </c>
      <c r="X2122" s="10" t="s">
        <v>130</v>
      </c>
      <c r="Y2122" s="10" t="s">
        <v>130</v>
      </c>
      <c r="Z2122" s="10" t="s">
        <v>99</v>
      </c>
      <c r="AA2122" s="10" t="s">
        <v>131</v>
      </c>
      <c r="AB2122" s="10" t="s">
        <v>16155</v>
      </c>
      <c r="AC2122" s="10" t="s">
        <v>3571</v>
      </c>
      <c r="AD2122" s="10" t="s">
        <v>16183</v>
      </c>
      <c r="AE2122" s="10" t="s">
        <v>16184</v>
      </c>
      <c r="AF2122" s="15"/>
      <c r="AG2122" s="10"/>
      <c r="AH2122" s="10"/>
      <c r="AI2122" s="10"/>
      <c r="AJ2122" s="10"/>
      <c r="AK2122" s="10" t="s">
        <v>102</v>
      </c>
      <c r="AL2122" s="10" t="s">
        <v>7897</v>
      </c>
      <c r="AM2122" s="10"/>
      <c r="AN2122" s="10"/>
      <c r="AO2122" s="13" t="b">
        <v>0</v>
      </c>
      <c r="AP2122" s="22" t="s">
        <v>135</v>
      </c>
      <c r="AQ2122" s="10">
        <f ca="1">IFERROR(__xludf.DUMMYFUNCTION("""COMPUTED_VALUE"""),4636460)</f>
        <v>4636460</v>
      </c>
      <c r="AR2122" s="17">
        <v>6660</v>
      </c>
      <c r="AS2122" s="17">
        <v>5147</v>
      </c>
      <c r="AT2122" s="17">
        <v>100711.25</v>
      </c>
      <c r="AU2122" s="17">
        <v>9.65</v>
      </c>
      <c r="AV2122" s="17">
        <v>2.5</v>
      </c>
      <c r="AW2122" s="10" t="s">
        <v>105</v>
      </c>
      <c r="AX2122" s="17">
        <v>1369</v>
      </c>
      <c r="AY2122" s="18">
        <v>19.566980765494463</v>
      </c>
      <c r="AZ2122" s="10" t="s">
        <v>239</v>
      </c>
      <c r="BA2122" s="20" t="b">
        <v>0</v>
      </c>
      <c r="BB2122" s="10"/>
      <c r="BC2122" s="17">
        <v>6660</v>
      </c>
      <c r="BD2122" s="17">
        <v>5147</v>
      </c>
      <c r="BE2122" s="17">
        <v>100711.25</v>
      </c>
      <c r="BF2122" s="17">
        <v>2.5</v>
      </c>
      <c r="BG2122" s="11">
        <f ca="1">IFERROR(__xludf.DUMMYFUNCTION("""COMPUTED_VALUE"""),45938.0833333333)</f>
        <v>45938.083333333299</v>
      </c>
      <c r="BH2122" s="17" t="s">
        <v>105</v>
      </c>
      <c r="BI2122" s="17"/>
      <c r="BJ2122" s="15"/>
      <c r="BK2122" s="15"/>
      <c r="BL2122" s="13" t="b">
        <v>0</v>
      </c>
      <c r="BM2122" s="10"/>
      <c r="BN2122" s="10" t="s">
        <v>1149</v>
      </c>
      <c r="BO2122" s="11">
        <v>45926.598611111112</v>
      </c>
      <c r="BP2122" s="11">
        <v>45931.476122685184</v>
      </c>
      <c r="BQ2122" s="15">
        <v>45937.218032407407</v>
      </c>
      <c r="BR2122" s="15">
        <v>45937.312951388885</v>
      </c>
      <c r="BS2122" s="10" t="s">
        <v>1149</v>
      </c>
      <c r="BT2122" s="10" t="s">
        <v>99</v>
      </c>
      <c r="BU2122" s="10" t="s">
        <v>9114</v>
      </c>
      <c r="BV2122" s="10"/>
      <c r="BW2122" s="10"/>
      <c r="BX2122" s="10"/>
      <c r="BY2122" s="23"/>
      <c r="BZ2122" s="23"/>
      <c r="CA2122" s="19" t="s">
        <v>16185</v>
      </c>
      <c r="CB2122" s="23"/>
      <c r="CC2122" s="23"/>
      <c r="CD2122" s="19" t="s">
        <v>16186</v>
      </c>
      <c r="CE2122" s="23"/>
      <c r="CF2122" s="23"/>
      <c r="CG2122" s="23"/>
      <c r="CH2122" s="23"/>
      <c r="CI2122" s="23"/>
    </row>
    <row r="2123" spans="1:87" x14ac:dyDescent="0.3">
      <c r="A2123" s="9" t="s">
        <v>16187</v>
      </c>
      <c r="B2123" s="10" t="s">
        <v>16188</v>
      </c>
      <c r="C2123" s="11">
        <v>45938.989583333336</v>
      </c>
      <c r="D2123" s="12">
        <v>8.3333333333333329E-2</v>
      </c>
      <c r="E2123" s="11">
        <v>45939.072916666664</v>
      </c>
      <c r="F2123" s="10" t="s">
        <v>16149</v>
      </c>
      <c r="G2123" s="13" t="b">
        <v>0</v>
      </c>
      <c r="H2123" s="22" t="s">
        <v>3564</v>
      </c>
      <c r="I2123" s="10" t="s">
        <v>89</v>
      </c>
      <c r="J2123" s="13" t="b">
        <v>0</v>
      </c>
      <c r="K2123" s="13" t="b">
        <v>1</v>
      </c>
      <c r="L2123" s="10" t="s">
        <v>124</v>
      </c>
      <c r="M2123" s="10" t="s">
        <v>91</v>
      </c>
      <c r="N2123" s="10" t="s">
        <v>92</v>
      </c>
      <c r="O2123" s="19" t="s">
        <v>16189</v>
      </c>
      <c r="P2123" s="10"/>
      <c r="Q2123" s="10" t="s">
        <v>126</v>
      </c>
      <c r="R2123" s="10"/>
      <c r="S2123" s="19" t="s">
        <v>16190</v>
      </c>
      <c r="T2123" s="10"/>
      <c r="U2123" s="10" t="s">
        <v>16191</v>
      </c>
      <c r="V2123" s="10" t="s">
        <v>16192</v>
      </c>
      <c r="W2123" s="10" t="s">
        <v>16154</v>
      </c>
      <c r="X2123" s="10" t="s">
        <v>130</v>
      </c>
      <c r="Y2123" s="10" t="s">
        <v>130</v>
      </c>
      <c r="Z2123" s="10" t="s">
        <v>99</v>
      </c>
      <c r="AA2123" s="10" t="s">
        <v>131</v>
      </c>
      <c r="AB2123" s="10" t="s">
        <v>16155</v>
      </c>
      <c r="AC2123" s="10" t="s">
        <v>3571</v>
      </c>
      <c r="AD2123" s="10" t="s">
        <v>16193</v>
      </c>
      <c r="AE2123" s="10" t="s">
        <v>16194</v>
      </c>
      <c r="AF2123" s="15"/>
      <c r="AG2123" s="10"/>
      <c r="AH2123" s="10"/>
      <c r="AI2123" s="10"/>
      <c r="AJ2123" s="10"/>
      <c r="AK2123" s="10" t="s">
        <v>102</v>
      </c>
      <c r="AL2123" s="10" t="s">
        <v>7897</v>
      </c>
      <c r="AM2123" s="10"/>
      <c r="AN2123" s="10"/>
      <c r="AO2123" s="13" t="b">
        <v>0</v>
      </c>
      <c r="AP2123" s="22" t="s">
        <v>135</v>
      </c>
      <c r="AQ2123" s="10">
        <f ca="1">IFERROR(__xludf.DUMMYFUNCTION("""COMPUTED_VALUE"""),4636581)</f>
        <v>4636581</v>
      </c>
      <c r="AR2123" s="17">
        <v>38047</v>
      </c>
      <c r="AS2123" s="17">
        <v>34102</v>
      </c>
      <c r="AT2123" s="17">
        <v>78039.25</v>
      </c>
      <c r="AU2123" s="17">
        <v>69.5</v>
      </c>
      <c r="AV2123" s="17">
        <v>25.55</v>
      </c>
      <c r="AW2123" s="10" t="s">
        <v>105</v>
      </c>
      <c r="AX2123" s="17">
        <v>3867</v>
      </c>
      <c r="AY2123" s="18">
        <v>2.2884068383086036</v>
      </c>
      <c r="AZ2123" s="10" t="s">
        <v>239</v>
      </c>
      <c r="BA2123" s="20" t="b">
        <v>0</v>
      </c>
      <c r="BB2123" s="10"/>
      <c r="BC2123" s="17">
        <v>38047</v>
      </c>
      <c r="BD2123" s="17">
        <v>34102</v>
      </c>
      <c r="BE2123" s="17">
        <v>78039.25</v>
      </c>
      <c r="BF2123" s="17">
        <v>25.55</v>
      </c>
      <c r="BG2123" s="11">
        <f ca="1">IFERROR(__xludf.DUMMYFUNCTION("""COMPUTED_VALUE"""),45938.9895833333)</f>
        <v>45938.989583333299</v>
      </c>
      <c r="BH2123" s="17" t="s">
        <v>105</v>
      </c>
      <c r="BI2123" s="17"/>
      <c r="BJ2123" s="15"/>
      <c r="BK2123" s="15"/>
      <c r="BL2123" s="13" t="b">
        <v>0</v>
      </c>
      <c r="BM2123" s="10"/>
      <c r="BN2123" s="10" t="s">
        <v>197</v>
      </c>
      <c r="BO2123" s="11">
        <v>45926.601388888892</v>
      </c>
      <c r="BP2123" s="11">
        <v>45931.476631944446</v>
      </c>
      <c r="BQ2123" s="15">
        <v>45937.220416666663</v>
      </c>
      <c r="BR2123" s="15">
        <v>45937.417256944442</v>
      </c>
      <c r="BS2123" s="10" t="s">
        <v>197</v>
      </c>
      <c r="BT2123" s="10" t="s">
        <v>279</v>
      </c>
      <c r="BU2123" s="10" t="s">
        <v>5854</v>
      </c>
      <c r="BV2123" s="10"/>
      <c r="BW2123" s="10"/>
      <c r="BX2123" s="10"/>
      <c r="BY2123" s="23"/>
      <c r="BZ2123" s="23"/>
      <c r="CA2123" s="19" t="s">
        <v>16195</v>
      </c>
      <c r="CB2123" s="23"/>
      <c r="CC2123" s="23"/>
      <c r="CD2123" s="19" t="s">
        <v>16196</v>
      </c>
      <c r="CE2123" s="23"/>
      <c r="CF2123" s="23"/>
      <c r="CG2123" s="23"/>
      <c r="CH2123" s="23"/>
      <c r="CI2123" s="23"/>
    </row>
    <row r="2124" spans="1:87" x14ac:dyDescent="0.3">
      <c r="A2124" s="9" t="s">
        <v>16197</v>
      </c>
      <c r="B2124" s="10" t="s">
        <v>16198</v>
      </c>
      <c r="C2124" s="11">
        <v>45938.989583333336</v>
      </c>
      <c r="D2124" s="12">
        <v>8.3333333333333329E-2</v>
      </c>
      <c r="E2124" s="11">
        <v>45939.072916666664</v>
      </c>
      <c r="F2124" s="10" t="s">
        <v>16149</v>
      </c>
      <c r="G2124" s="13" t="b">
        <v>0</v>
      </c>
      <c r="H2124" s="22" t="s">
        <v>3578</v>
      </c>
      <c r="I2124" s="10" t="s">
        <v>89</v>
      </c>
      <c r="J2124" s="13" t="b">
        <v>0</v>
      </c>
      <c r="K2124" s="13" t="b">
        <v>1</v>
      </c>
      <c r="L2124" s="10" t="s">
        <v>124</v>
      </c>
      <c r="M2124" s="10" t="s">
        <v>91</v>
      </c>
      <c r="N2124" s="10" t="s">
        <v>92</v>
      </c>
      <c r="O2124" s="19" t="s">
        <v>16199</v>
      </c>
      <c r="P2124" s="10"/>
      <c r="Q2124" s="10" t="s">
        <v>126</v>
      </c>
      <c r="R2124" s="10"/>
      <c r="S2124" s="19" t="s">
        <v>16200</v>
      </c>
      <c r="T2124" s="10"/>
      <c r="U2124" s="10" t="s">
        <v>16201</v>
      </c>
      <c r="V2124" s="10" t="s">
        <v>15684</v>
      </c>
      <c r="W2124" s="10" t="s">
        <v>16154</v>
      </c>
      <c r="X2124" s="10" t="s">
        <v>130</v>
      </c>
      <c r="Y2124" s="10" t="s">
        <v>130</v>
      </c>
      <c r="Z2124" s="10" t="s">
        <v>99</v>
      </c>
      <c r="AA2124" s="10" t="s">
        <v>131</v>
      </c>
      <c r="AB2124" s="10" t="s">
        <v>16155</v>
      </c>
      <c r="AC2124" s="10" t="s">
        <v>3571</v>
      </c>
      <c r="AD2124" s="10" t="s">
        <v>16202</v>
      </c>
      <c r="AE2124" s="10" t="s">
        <v>16203</v>
      </c>
      <c r="AF2124" s="15"/>
      <c r="AG2124" s="10"/>
      <c r="AH2124" s="10"/>
      <c r="AI2124" s="10"/>
      <c r="AJ2124" s="10"/>
      <c r="AK2124" s="10" t="s">
        <v>102</v>
      </c>
      <c r="AL2124" s="10" t="s">
        <v>7897</v>
      </c>
      <c r="AM2124" s="10"/>
      <c r="AN2124" s="10"/>
      <c r="AO2124" s="13" t="b">
        <v>0</v>
      </c>
      <c r="AP2124" s="22" t="s">
        <v>135</v>
      </c>
      <c r="AQ2124" s="10">
        <f ca="1">IFERROR(__xludf.DUMMYFUNCTION("""COMPUTED_VALUE"""),4636582)</f>
        <v>4636582</v>
      </c>
      <c r="AR2124" s="17">
        <v>22703</v>
      </c>
      <c r="AS2124" s="17">
        <v>20183</v>
      </c>
      <c r="AT2124" s="17">
        <v>37395.25</v>
      </c>
      <c r="AU2124" s="17">
        <v>17.350000000000001</v>
      </c>
      <c r="AV2124" s="17">
        <v>4.5</v>
      </c>
      <c r="AW2124" s="10" t="s">
        <v>105</v>
      </c>
      <c r="AX2124" s="17">
        <v>2338</v>
      </c>
      <c r="AY2124" s="18">
        <v>1.8528092949511965</v>
      </c>
      <c r="AZ2124" s="10" t="s">
        <v>239</v>
      </c>
      <c r="BA2124" s="20" t="b">
        <v>0</v>
      </c>
      <c r="BB2124" s="10"/>
      <c r="BC2124" s="17">
        <v>22703</v>
      </c>
      <c r="BD2124" s="17">
        <v>20183</v>
      </c>
      <c r="BE2124" s="17">
        <v>37395.25</v>
      </c>
      <c r="BF2124" s="17">
        <v>4.5</v>
      </c>
      <c r="BG2124" s="11">
        <f ca="1">IFERROR(__xludf.DUMMYFUNCTION("""COMPUTED_VALUE"""),45938.9895833333)</f>
        <v>45938.989583333299</v>
      </c>
      <c r="BH2124" s="17" t="s">
        <v>105</v>
      </c>
      <c r="BI2124" s="17"/>
      <c r="BJ2124" s="15"/>
      <c r="BK2124" s="15"/>
      <c r="BL2124" s="13" t="b">
        <v>0</v>
      </c>
      <c r="BM2124" s="10"/>
      <c r="BN2124" s="10" t="s">
        <v>1160</v>
      </c>
      <c r="BO2124" s="11">
        <v>45926.602083333331</v>
      </c>
      <c r="BP2124" s="11">
        <v>45931.474479166667</v>
      </c>
      <c r="BQ2124" s="15">
        <v>45937.219340277778</v>
      </c>
      <c r="BR2124" s="15">
        <v>45937.417395833334</v>
      </c>
      <c r="BS2124" s="10" t="s">
        <v>1160</v>
      </c>
      <c r="BT2124" s="10" t="s">
        <v>279</v>
      </c>
      <c r="BU2124" s="10" t="s">
        <v>9114</v>
      </c>
      <c r="BV2124" s="10"/>
      <c r="BW2124" s="10"/>
      <c r="BX2124" s="10"/>
      <c r="BY2124" s="23"/>
      <c r="BZ2124" s="23"/>
      <c r="CA2124" s="19" t="s">
        <v>16204</v>
      </c>
      <c r="CB2124" s="23"/>
      <c r="CC2124" s="23"/>
      <c r="CD2124" s="19" t="s">
        <v>16205</v>
      </c>
      <c r="CE2124" s="23"/>
      <c r="CF2124" s="23"/>
      <c r="CG2124" s="23"/>
      <c r="CH2124" s="23"/>
      <c r="CI2124" s="23"/>
    </row>
    <row r="2125" spans="1:87" x14ac:dyDescent="0.3">
      <c r="A2125" s="9" t="s">
        <v>16206</v>
      </c>
      <c r="B2125" s="10" t="s">
        <v>16207</v>
      </c>
      <c r="C2125" s="11">
        <v>45939.083333333336</v>
      </c>
      <c r="D2125" s="12">
        <v>8.3333333333333329E-2</v>
      </c>
      <c r="E2125" s="11">
        <v>45939.166666666664</v>
      </c>
      <c r="F2125" s="10" t="s">
        <v>16149</v>
      </c>
      <c r="G2125" s="13" t="b">
        <v>0</v>
      </c>
      <c r="H2125" s="22" t="s">
        <v>3564</v>
      </c>
      <c r="I2125" s="10" t="s">
        <v>89</v>
      </c>
      <c r="J2125" s="13" t="b">
        <v>0</v>
      </c>
      <c r="K2125" s="13" t="b">
        <v>1</v>
      </c>
      <c r="L2125" s="10" t="s">
        <v>124</v>
      </c>
      <c r="M2125" s="10" t="s">
        <v>91</v>
      </c>
      <c r="N2125" s="10" t="s">
        <v>92</v>
      </c>
      <c r="O2125" s="19" t="s">
        <v>16208</v>
      </c>
      <c r="P2125" s="10"/>
      <c r="Q2125" s="10" t="s">
        <v>126</v>
      </c>
      <c r="R2125" s="10"/>
      <c r="S2125" s="19" t="s">
        <v>16209</v>
      </c>
      <c r="T2125" s="10"/>
      <c r="U2125" s="10" t="s">
        <v>15258</v>
      </c>
      <c r="V2125" s="10" t="s">
        <v>16210</v>
      </c>
      <c r="W2125" s="10" t="s">
        <v>16154</v>
      </c>
      <c r="X2125" s="10" t="s">
        <v>130</v>
      </c>
      <c r="Y2125" s="10" t="s">
        <v>130</v>
      </c>
      <c r="Z2125" s="10" t="s">
        <v>99</v>
      </c>
      <c r="AA2125" s="10" t="s">
        <v>131</v>
      </c>
      <c r="AB2125" s="10" t="s">
        <v>16155</v>
      </c>
      <c r="AC2125" s="10" t="s">
        <v>3571</v>
      </c>
      <c r="AD2125" s="10" t="s">
        <v>15262</v>
      </c>
      <c r="AE2125" s="10" t="s">
        <v>16211</v>
      </c>
      <c r="AF2125" s="15"/>
      <c r="AG2125" s="10"/>
      <c r="AH2125" s="10"/>
      <c r="AI2125" s="10"/>
      <c r="AJ2125" s="10"/>
      <c r="AK2125" s="10" t="s">
        <v>102</v>
      </c>
      <c r="AL2125" s="10" t="s">
        <v>7897</v>
      </c>
      <c r="AM2125" s="10"/>
      <c r="AN2125" s="10"/>
      <c r="AO2125" s="13" t="b">
        <v>0</v>
      </c>
      <c r="AP2125" s="22" t="s">
        <v>135</v>
      </c>
      <c r="AQ2125" s="10">
        <f ca="1">IFERROR(__xludf.DUMMYFUNCTION("""COMPUTED_VALUE"""),4636583)</f>
        <v>4636583</v>
      </c>
      <c r="AR2125" s="17">
        <v>6380</v>
      </c>
      <c r="AS2125" s="17">
        <v>5167</v>
      </c>
      <c r="AT2125" s="17">
        <v>87288</v>
      </c>
      <c r="AU2125" s="17">
        <v>6.1</v>
      </c>
      <c r="AV2125" s="17">
        <v>0.6</v>
      </c>
      <c r="AW2125" s="10" t="s">
        <v>105</v>
      </c>
      <c r="AX2125" s="17">
        <v>1378</v>
      </c>
      <c r="AY2125" s="18">
        <v>16.893361718598801</v>
      </c>
      <c r="AZ2125" s="10" t="s">
        <v>239</v>
      </c>
      <c r="BA2125" s="20" t="b">
        <v>0</v>
      </c>
      <c r="BB2125" s="10"/>
      <c r="BC2125" s="17">
        <v>6380</v>
      </c>
      <c r="BD2125" s="17">
        <v>5167</v>
      </c>
      <c r="BE2125" s="17">
        <v>87288</v>
      </c>
      <c r="BF2125" s="17">
        <v>0.6</v>
      </c>
      <c r="BG2125" s="11">
        <f ca="1">IFERROR(__xludf.DUMMYFUNCTION("""COMPUTED_VALUE"""),45939.0833333333)</f>
        <v>45939.083333333299</v>
      </c>
      <c r="BH2125" s="17" t="s">
        <v>105</v>
      </c>
      <c r="BI2125" s="17"/>
      <c r="BJ2125" s="15"/>
      <c r="BK2125" s="15"/>
      <c r="BL2125" s="13" t="b">
        <v>0</v>
      </c>
      <c r="BM2125" s="10"/>
      <c r="BN2125" s="10" t="s">
        <v>197</v>
      </c>
      <c r="BO2125" s="11">
        <v>45926.60833333333</v>
      </c>
      <c r="BP2125" s="11">
        <v>45931.476759259262</v>
      </c>
      <c r="BQ2125" s="15">
        <v>45937.219560185185</v>
      </c>
      <c r="BR2125" s="15">
        <v>45937.417534722219</v>
      </c>
      <c r="BS2125" s="10" t="s">
        <v>197</v>
      </c>
      <c r="BT2125" s="10" t="s">
        <v>279</v>
      </c>
      <c r="BU2125" s="10" t="s">
        <v>5854</v>
      </c>
      <c r="BV2125" s="10"/>
      <c r="BW2125" s="10"/>
      <c r="BX2125" s="10"/>
      <c r="BY2125" s="23"/>
      <c r="BZ2125" s="23"/>
      <c r="CA2125" s="19" t="s">
        <v>16212</v>
      </c>
      <c r="CB2125" s="23"/>
      <c r="CC2125" s="23"/>
      <c r="CD2125" s="19" t="s">
        <v>16213</v>
      </c>
      <c r="CE2125" s="23"/>
      <c r="CF2125" s="23"/>
      <c r="CG2125" s="23"/>
      <c r="CH2125" s="23"/>
      <c r="CI2125" s="23"/>
    </row>
    <row r="2126" spans="1:87" x14ac:dyDescent="0.3">
      <c r="A2126" s="9" t="s">
        <v>16214</v>
      </c>
      <c r="B2126" s="10" t="s">
        <v>16215</v>
      </c>
      <c r="C2126" s="11">
        <v>45939.083333333336</v>
      </c>
      <c r="D2126" s="12">
        <v>8.3333333333333329E-2</v>
      </c>
      <c r="E2126" s="11">
        <v>45939.166666666664</v>
      </c>
      <c r="F2126" s="10" t="s">
        <v>16149</v>
      </c>
      <c r="G2126" s="13" t="b">
        <v>0</v>
      </c>
      <c r="H2126" s="22" t="s">
        <v>6271</v>
      </c>
      <c r="I2126" s="10" t="s">
        <v>89</v>
      </c>
      <c r="J2126" s="13" t="b">
        <v>0</v>
      </c>
      <c r="K2126" s="13" t="b">
        <v>1</v>
      </c>
      <c r="L2126" s="10" t="s">
        <v>124</v>
      </c>
      <c r="M2126" s="10" t="s">
        <v>91</v>
      </c>
      <c r="N2126" s="10" t="s">
        <v>92</v>
      </c>
      <c r="O2126" s="19" t="s">
        <v>16216</v>
      </c>
      <c r="P2126" s="10"/>
      <c r="Q2126" s="10" t="s">
        <v>94</v>
      </c>
      <c r="R2126" s="10"/>
      <c r="S2126" s="19" t="s">
        <v>16217</v>
      </c>
      <c r="T2126" s="10"/>
      <c r="U2126" s="10" t="s">
        <v>16218</v>
      </c>
      <c r="V2126" s="10" t="s">
        <v>16219</v>
      </c>
      <c r="W2126" s="10" t="s">
        <v>16154</v>
      </c>
      <c r="X2126" s="10" t="s">
        <v>130</v>
      </c>
      <c r="Y2126" s="10" t="s">
        <v>130</v>
      </c>
      <c r="Z2126" s="10" t="s">
        <v>99</v>
      </c>
      <c r="AA2126" s="10" t="s">
        <v>131</v>
      </c>
      <c r="AB2126" s="10" t="s">
        <v>16155</v>
      </c>
      <c r="AC2126" s="10" t="s">
        <v>3571</v>
      </c>
      <c r="AD2126" s="10" t="s">
        <v>16220</v>
      </c>
      <c r="AE2126" s="10" t="s">
        <v>16221</v>
      </c>
      <c r="AF2126" s="15"/>
      <c r="AG2126" s="10"/>
      <c r="AH2126" s="10"/>
      <c r="AI2126" s="10"/>
      <c r="AJ2126" s="10"/>
      <c r="AK2126" s="10" t="s">
        <v>102</v>
      </c>
      <c r="AL2126" s="10" t="s">
        <v>7897</v>
      </c>
      <c r="AM2126" s="10"/>
      <c r="AN2126" s="10"/>
      <c r="AO2126" s="13" t="b">
        <v>0</v>
      </c>
      <c r="AP2126" s="22" t="s">
        <v>135</v>
      </c>
      <c r="AQ2126" s="10">
        <f ca="1">IFERROR(__xludf.DUMMYFUNCTION("""COMPUTED_VALUE"""),4636584)</f>
        <v>4636584</v>
      </c>
      <c r="AR2126" s="17">
        <v>2282</v>
      </c>
      <c r="AS2126" s="17">
        <v>1816</v>
      </c>
      <c r="AT2126" s="17">
        <v>14260.25</v>
      </c>
      <c r="AU2126" s="17">
        <v>1</v>
      </c>
      <c r="AV2126" s="17">
        <v>1</v>
      </c>
      <c r="AW2126" s="10" t="s">
        <v>105</v>
      </c>
      <c r="AX2126" s="17">
        <v>370</v>
      </c>
      <c r="AY2126" s="18">
        <v>7.8525605726872243</v>
      </c>
      <c r="AZ2126" s="10" t="s">
        <v>239</v>
      </c>
      <c r="BA2126" s="20" t="b">
        <v>0</v>
      </c>
      <c r="BB2126" s="10"/>
      <c r="BC2126" s="17">
        <v>2282</v>
      </c>
      <c r="BD2126" s="17">
        <v>1816</v>
      </c>
      <c r="BE2126" s="17">
        <v>14260.25</v>
      </c>
      <c r="BF2126" s="17">
        <v>1</v>
      </c>
      <c r="BG2126" s="11">
        <f ca="1">IFERROR(__xludf.DUMMYFUNCTION("""COMPUTED_VALUE"""),45939.0833333333)</f>
        <v>45939.083333333299</v>
      </c>
      <c r="BH2126" s="17" t="s">
        <v>105</v>
      </c>
      <c r="BI2126" s="17"/>
      <c r="BJ2126" s="15"/>
      <c r="BK2126" s="15"/>
      <c r="BL2126" s="13" t="b">
        <v>0</v>
      </c>
      <c r="BM2126" s="10"/>
      <c r="BN2126" s="10" t="s">
        <v>197</v>
      </c>
      <c r="BO2126" s="11">
        <v>45926.609027777777</v>
      </c>
      <c r="BP2126" s="11">
        <v>45931.478055555555</v>
      </c>
      <c r="BQ2126" s="15">
        <v>45937.219814814816</v>
      </c>
      <c r="BR2126" s="15">
        <v>45937.417708333334</v>
      </c>
      <c r="BS2126" s="10" t="s">
        <v>197</v>
      </c>
      <c r="BT2126" s="10" t="s">
        <v>279</v>
      </c>
      <c r="BU2126" s="10" t="s">
        <v>6753</v>
      </c>
      <c r="BV2126" s="10"/>
      <c r="BW2126" s="10"/>
      <c r="BX2126" s="10"/>
      <c r="BY2126" s="23"/>
      <c r="BZ2126" s="23"/>
      <c r="CA2126" s="19" t="s">
        <v>16222</v>
      </c>
      <c r="CB2126" s="23"/>
      <c r="CC2126" s="23"/>
      <c r="CD2126" s="23"/>
      <c r="CE2126" s="23"/>
      <c r="CF2126" s="23"/>
      <c r="CG2126" s="23"/>
      <c r="CH2126" s="23"/>
      <c r="CI2126" s="23"/>
    </row>
    <row r="2127" spans="1:87" x14ac:dyDescent="0.3">
      <c r="A2127" s="9" t="s">
        <v>16223</v>
      </c>
      <c r="B2127" s="10" t="s">
        <v>16224</v>
      </c>
      <c r="C2127" s="11">
        <v>45939.083333333336</v>
      </c>
      <c r="D2127" s="12">
        <v>8.3333333333333329E-2</v>
      </c>
      <c r="E2127" s="11">
        <v>45939.166666666664</v>
      </c>
      <c r="F2127" s="10" t="s">
        <v>16149</v>
      </c>
      <c r="G2127" s="13" t="b">
        <v>0</v>
      </c>
      <c r="H2127" s="22" t="s">
        <v>3578</v>
      </c>
      <c r="I2127" s="10" t="s">
        <v>89</v>
      </c>
      <c r="J2127" s="13" t="b">
        <v>0</v>
      </c>
      <c r="K2127" s="13" t="b">
        <v>1</v>
      </c>
      <c r="L2127" s="10" t="s">
        <v>124</v>
      </c>
      <c r="M2127" s="10" t="s">
        <v>91</v>
      </c>
      <c r="N2127" s="10" t="s">
        <v>92</v>
      </c>
      <c r="O2127" s="19" t="s">
        <v>16225</v>
      </c>
      <c r="P2127" s="10"/>
      <c r="Q2127" s="10" t="s">
        <v>94</v>
      </c>
      <c r="R2127" s="10"/>
      <c r="S2127" s="19" t="s">
        <v>16226</v>
      </c>
      <c r="T2127" s="10"/>
      <c r="U2127" s="10" t="s">
        <v>16227</v>
      </c>
      <c r="V2127" s="10" t="s">
        <v>16228</v>
      </c>
      <c r="W2127" s="10" t="s">
        <v>16154</v>
      </c>
      <c r="X2127" s="10" t="s">
        <v>130</v>
      </c>
      <c r="Y2127" s="10" t="s">
        <v>130</v>
      </c>
      <c r="Z2127" s="10" t="s">
        <v>99</v>
      </c>
      <c r="AA2127" s="10" t="s">
        <v>131</v>
      </c>
      <c r="AB2127" s="10" t="s">
        <v>16155</v>
      </c>
      <c r="AC2127" s="10" t="s">
        <v>3571</v>
      </c>
      <c r="AD2127" s="10" t="s">
        <v>16229</v>
      </c>
      <c r="AE2127" s="10" t="s">
        <v>16230</v>
      </c>
      <c r="AF2127" s="15"/>
      <c r="AG2127" s="10"/>
      <c r="AH2127" s="10"/>
      <c r="AI2127" s="10"/>
      <c r="AJ2127" s="10"/>
      <c r="AK2127" s="10" t="s">
        <v>102</v>
      </c>
      <c r="AL2127" s="10" t="s">
        <v>7897</v>
      </c>
      <c r="AM2127" s="10"/>
      <c r="AN2127" s="10"/>
      <c r="AO2127" s="13" t="b">
        <v>0</v>
      </c>
      <c r="AP2127" s="22" t="s">
        <v>135</v>
      </c>
      <c r="AQ2127" s="10">
        <f ca="1">IFERROR(__xludf.DUMMYFUNCTION("""COMPUTED_VALUE"""),4636585)</f>
        <v>4636585</v>
      </c>
      <c r="AR2127" s="17">
        <v>3299</v>
      </c>
      <c r="AS2127" s="17">
        <v>2727</v>
      </c>
      <c r="AT2127" s="17">
        <v>23873.25</v>
      </c>
      <c r="AU2127" s="17">
        <v>1.5</v>
      </c>
      <c r="AV2127" s="17">
        <v>1</v>
      </c>
      <c r="AW2127" s="10" t="s">
        <v>105</v>
      </c>
      <c r="AX2127" s="17">
        <v>503</v>
      </c>
      <c r="AY2127" s="18">
        <v>8.7544004400440052</v>
      </c>
      <c r="AZ2127" s="10" t="s">
        <v>239</v>
      </c>
      <c r="BA2127" s="20" t="b">
        <v>0</v>
      </c>
      <c r="BB2127" s="10"/>
      <c r="BC2127" s="17">
        <v>3299</v>
      </c>
      <c r="BD2127" s="17">
        <v>2727</v>
      </c>
      <c r="BE2127" s="17">
        <v>23873.25</v>
      </c>
      <c r="BF2127" s="17">
        <v>1</v>
      </c>
      <c r="BG2127" s="11">
        <f ca="1">IFERROR(__xludf.DUMMYFUNCTION("""COMPUTED_VALUE"""),45939.0833333333)</f>
        <v>45939.083333333299</v>
      </c>
      <c r="BH2127" s="17" t="s">
        <v>105</v>
      </c>
      <c r="BI2127" s="17"/>
      <c r="BJ2127" s="15"/>
      <c r="BK2127" s="15"/>
      <c r="BL2127" s="13" t="b">
        <v>0</v>
      </c>
      <c r="BM2127" s="10"/>
      <c r="BN2127" s="10" t="s">
        <v>197</v>
      </c>
      <c r="BO2127" s="11">
        <v>45926.609722222223</v>
      </c>
      <c r="BP2127" s="11">
        <v>45931.474652777775</v>
      </c>
      <c r="BQ2127" s="15">
        <v>45937.22</v>
      </c>
      <c r="BR2127" s="15">
        <v>45937.417858796296</v>
      </c>
      <c r="BS2127" s="10" t="s">
        <v>197</v>
      </c>
      <c r="BT2127" s="10" t="s">
        <v>279</v>
      </c>
      <c r="BU2127" s="10" t="s">
        <v>9114</v>
      </c>
      <c r="BV2127" s="10"/>
      <c r="BW2127" s="10"/>
      <c r="BX2127" s="10"/>
      <c r="BY2127" s="23"/>
      <c r="BZ2127" s="23"/>
      <c r="CA2127" s="19" t="s">
        <v>16231</v>
      </c>
      <c r="CB2127" s="23"/>
      <c r="CC2127" s="23"/>
      <c r="CD2127" s="23"/>
      <c r="CE2127" s="23"/>
      <c r="CF2127" s="23"/>
      <c r="CG2127" s="23"/>
      <c r="CH2127" s="23"/>
      <c r="CI2127" s="23"/>
    </row>
    <row r="2128" spans="1:87" x14ac:dyDescent="0.3">
      <c r="A2128" s="9" t="s">
        <v>16232</v>
      </c>
      <c r="B2128" s="10" t="s">
        <v>16233</v>
      </c>
      <c r="C2128" s="11">
        <v>45934.979166666664</v>
      </c>
      <c r="D2128" s="12">
        <v>8.3333333333333329E-2</v>
      </c>
      <c r="E2128" s="11">
        <v>45935.0625</v>
      </c>
      <c r="F2128" s="10" t="s">
        <v>262</v>
      </c>
      <c r="G2128" s="13" t="b">
        <v>0</v>
      </c>
      <c r="H2128" s="22" t="s">
        <v>305</v>
      </c>
      <c r="I2128" s="10" t="s">
        <v>264</v>
      </c>
      <c r="J2128" s="13" t="b">
        <v>0</v>
      </c>
      <c r="K2128" s="13" t="b">
        <v>1</v>
      </c>
      <c r="L2128" s="10" t="s">
        <v>124</v>
      </c>
      <c r="M2128" s="10" t="s">
        <v>91</v>
      </c>
      <c r="N2128" s="10" t="s">
        <v>265</v>
      </c>
      <c r="O2128" s="19" t="s">
        <v>16234</v>
      </c>
      <c r="P2128" s="10"/>
      <c r="Q2128" s="10" t="s">
        <v>94</v>
      </c>
      <c r="R2128" s="10"/>
      <c r="S2128" s="19" t="s">
        <v>991</v>
      </c>
      <c r="T2128" s="10"/>
      <c r="U2128" s="10" t="s">
        <v>346</v>
      </c>
      <c r="V2128" s="10" t="s">
        <v>270</v>
      </c>
      <c r="W2128" s="10" t="s">
        <v>272</v>
      </c>
      <c r="X2128" s="10" t="s">
        <v>130</v>
      </c>
      <c r="Y2128" s="10" t="s">
        <v>130</v>
      </c>
      <c r="Z2128" s="10" t="s">
        <v>99</v>
      </c>
      <c r="AA2128" s="10" t="s">
        <v>131</v>
      </c>
      <c r="AB2128" s="10" t="s">
        <v>273</v>
      </c>
      <c r="AC2128" s="10" t="s">
        <v>274</v>
      </c>
      <c r="AD2128" s="10" t="s">
        <v>992</v>
      </c>
      <c r="AE2128" s="10" t="s">
        <v>16235</v>
      </c>
      <c r="AF2128" s="15"/>
      <c r="AG2128" s="10"/>
      <c r="AH2128" s="10"/>
      <c r="AI2128" s="10"/>
      <c r="AJ2128" s="10"/>
      <c r="AK2128" s="10" t="s">
        <v>102</v>
      </c>
      <c r="AL2128" s="10" t="s">
        <v>184</v>
      </c>
      <c r="AM2128" s="10"/>
      <c r="AN2128" s="10"/>
      <c r="AO2128" s="13" t="b">
        <v>0</v>
      </c>
      <c r="AP2128" s="22" t="s">
        <v>104</v>
      </c>
      <c r="AQ2128" s="10">
        <f ca="1">IFERROR(__xludf.DUMMYFUNCTION("""COMPUTED_VALUE"""),4626717)</f>
        <v>4626717</v>
      </c>
      <c r="AR2128" s="17">
        <v>34126</v>
      </c>
      <c r="AS2128" s="17">
        <v>29611</v>
      </c>
      <c r="AT2128" s="17">
        <v>229102.5</v>
      </c>
      <c r="AU2128" s="17">
        <v>112.05</v>
      </c>
      <c r="AV2128" s="17">
        <v>24.55</v>
      </c>
      <c r="AW2128" s="10" t="s">
        <v>105</v>
      </c>
      <c r="AX2128" s="17">
        <v>31461</v>
      </c>
      <c r="AY2128" s="18">
        <v>7.7370740603154236</v>
      </c>
      <c r="AZ2128" s="10" t="s">
        <v>148</v>
      </c>
      <c r="BA2128" s="20" t="b">
        <v>0</v>
      </c>
      <c r="BB2128" s="10"/>
      <c r="BC2128" s="17">
        <v>34126</v>
      </c>
      <c r="BD2128" s="17">
        <v>29611</v>
      </c>
      <c r="BE2128" s="17">
        <v>229102.5</v>
      </c>
      <c r="BF2128" s="17">
        <v>24.55</v>
      </c>
      <c r="BG2128" s="11">
        <f ca="1">IFERROR(__xludf.DUMMYFUNCTION("""COMPUTED_VALUE"""),45934.9791666666)</f>
        <v>45934.979166666599</v>
      </c>
      <c r="BH2128" s="17" t="s">
        <v>105</v>
      </c>
      <c r="BI2128" s="17"/>
      <c r="BJ2128" s="15"/>
      <c r="BK2128" s="15"/>
      <c r="BL2128" s="13" t="b">
        <v>0</v>
      </c>
      <c r="BM2128" s="10"/>
      <c r="BN2128" s="10" t="s">
        <v>118</v>
      </c>
      <c r="BO2128" s="11">
        <v>45926.68472222222</v>
      </c>
      <c r="BP2128" s="11">
        <v>45926.783043981479</v>
      </c>
      <c r="BQ2128" s="15">
        <v>45932.716874999998</v>
      </c>
      <c r="BR2128" s="15">
        <v>45932.756701388891</v>
      </c>
      <c r="BS2128" s="10" t="s">
        <v>118</v>
      </c>
      <c r="BT2128" s="10"/>
      <c r="BU2128" s="10"/>
      <c r="BV2128" s="10"/>
      <c r="BW2128" s="10"/>
      <c r="BX2128" s="10"/>
      <c r="BY2128" s="23"/>
      <c r="BZ2128" s="23"/>
      <c r="CA2128" s="19" t="s">
        <v>995</v>
      </c>
      <c r="CB2128" s="23"/>
      <c r="CC2128" s="23"/>
      <c r="CD2128" s="23"/>
      <c r="CE2128" s="23"/>
      <c r="CF2128" s="23"/>
      <c r="CG2128" s="23"/>
      <c r="CH2128" s="23"/>
      <c r="CI2128" s="23"/>
    </row>
    <row r="2129" spans="1:87" x14ac:dyDescent="0.3">
      <c r="A2129" s="9" t="s">
        <v>16236</v>
      </c>
      <c r="B2129" s="10" t="s">
        <v>16237</v>
      </c>
      <c r="C2129" s="11">
        <v>45949.9375</v>
      </c>
      <c r="D2129" s="12">
        <v>8.3333333333333329E-2</v>
      </c>
      <c r="E2129" s="11">
        <v>45950.020833333336</v>
      </c>
      <c r="F2129" s="10" t="s">
        <v>262</v>
      </c>
      <c r="G2129" s="13" t="b">
        <v>0</v>
      </c>
      <c r="H2129" s="22" t="s">
        <v>305</v>
      </c>
      <c r="I2129" s="10" t="s">
        <v>264</v>
      </c>
      <c r="J2129" s="13" t="b">
        <v>0</v>
      </c>
      <c r="K2129" s="13" t="b">
        <v>1</v>
      </c>
      <c r="L2129" s="10" t="s">
        <v>124</v>
      </c>
      <c r="M2129" s="10" t="s">
        <v>91</v>
      </c>
      <c r="N2129" s="10" t="s">
        <v>265</v>
      </c>
      <c r="O2129" s="19" t="s">
        <v>16238</v>
      </c>
      <c r="P2129" s="10"/>
      <c r="Q2129" s="10" t="s">
        <v>94</v>
      </c>
      <c r="R2129" s="10"/>
      <c r="S2129" s="19" t="s">
        <v>1095</v>
      </c>
      <c r="T2129" s="10"/>
      <c r="U2129" s="10" t="s">
        <v>270</v>
      </c>
      <c r="V2129" s="10" t="s">
        <v>361</v>
      </c>
      <c r="W2129" s="10" t="s">
        <v>272</v>
      </c>
      <c r="X2129" s="10" t="s">
        <v>130</v>
      </c>
      <c r="Y2129" s="10" t="s">
        <v>130</v>
      </c>
      <c r="Z2129" s="10" t="s">
        <v>99</v>
      </c>
      <c r="AA2129" s="10" t="s">
        <v>131</v>
      </c>
      <c r="AB2129" s="10" t="s">
        <v>273</v>
      </c>
      <c r="AC2129" s="10" t="s">
        <v>274</v>
      </c>
      <c r="AD2129" s="10" t="s">
        <v>1096</v>
      </c>
      <c r="AE2129" s="10" t="s">
        <v>16239</v>
      </c>
      <c r="AF2129" s="15"/>
      <c r="AG2129" s="10"/>
      <c r="AH2129" s="10"/>
      <c r="AI2129" s="10"/>
      <c r="AJ2129" s="10"/>
      <c r="AK2129" s="10" t="s">
        <v>102</v>
      </c>
      <c r="AL2129" s="10" t="s">
        <v>195</v>
      </c>
      <c r="AM2129" s="10"/>
      <c r="AN2129" s="10"/>
      <c r="AO2129" s="13" t="b">
        <v>0</v>
      </c>
      <c r="AP2129" s="22" t="s">
        <v>104</v>
      </c>
      <c r="AQ2129" s="10">
        <f ca="1">IFERROR(__xludf.DUMMYFUNCTION("""COMPUTED_VALUE"""),4653358)</f>
        <v>4653358</v>
      </c>
      <c r="AR2129" s="17">
        <v>14894</v>
      </c>
      <c r="AS2129" s="17">
        <v>13831</v>
      </c>
      <c r="AT2129" s="17">
        <v>70371.5</v>
      </c>
      <c r="AU2129" s="17">
        <v>71.150000000000006</v>
      </c>
      <c r="AV2129" s="17">
        <v>15.85</v>
      </c>
      <c r="AW2129" s="10" t="s">
        <v>105</v>
      </c>
      <c r="AX2129" s="17">
        <v>1809</v>
      </c>
      <c r="AY2129" s="18">
        <v>5.0879545947509222</v>
      </c>
      <c r="AZ2129" s="10" t="s">
        <v>148</v>
      </c>
      <c r="BA2129" s="20" t="b">
        <v>0</v>
      </c>
      <c r="BB2129" s="10"/>
      <c r="BC2129" s="17">
        <v>14894</v>
      </c>
      <c r="BD2129" s="17">
        <v>13831</v>
      </c>
      <c r="BE2129" s="17">
        <v>70371.5</v>
      </c>
      <c r="BF2129" s="17">
        <v>15.85</v>
      </c>
      <c r="BG2129" s="11">
        <f ca="1">IFERROR(__xludf.DUMMYFUNCTION("""COMPUTED_VALUE"""),45949.9375)</f>
        <v>45949.9375</v>
      </c>
      <c r="BH2129" s="17" t="s">
        <v>105</v>
      </c>
      <c r="BI2129" s="17"/>
      <c r="BJ2129" s="15"/>
      <c r="BK2129" s="15"/>
      <c r="BL2129" s="13" t="b">
        <v>0</v>
      </c>
      <c r="BM2129" s="10"/>
      <c r="BN2129" s="10" t="s">
        <v>1149</v>
      </c>
      <c r="BO2129" s="11">
        <v>45926.689583333333</v>
      </c>
      <c r="BP2129" s="11">
        <v>45943.586319444446</v>
      </c>
      <c r="BQ2129" s="15">
        <v>45945.756921296299</v>
      </c>
      <c r="BR2129" s="15">
        <v>45945.905856481484</v>
      </c>
      <c r="BS2129" s="10" t="s">
        <v>1149</v>
      </c>
      <c r="BT2129" s="10"/>
      <c r="BU2129" s="10"/>
      <c r="BV2129" s="10"/>
      <c r="BW2129" s="10"/>
      <c r="BX2129" s="10"/>
      <c r="BY2129" s="23"/>
      <c r="BZ2129" s="23"/>
      <c r="CA2129" s="19" t="s">
        <v>1099</v>
      </c>
      <c r="CB2129" s="23"/>
      <c r="CC2129" s="23"/>
      <c r="CD2129" s="23"/>
      <c r="CE2129" s="23"/>
      <c r="CF2129" s="23"/>
      <c r="CG2129" s="23"/>
      <c r="CH2129" s="23"/>
      <c r="CI2129" s="23"/>
    </row>
    <row r="2130" spans="1:87" x14ac:dyDescent="0.3">
      <c r="A2130" s="9" t="s">
        <v>16240</v>
      </c>
      <c r="B2130" s="10" t="s">
        <v>16241</v>
      </c>
      <c r="C2130" s="11">
        <v>45956.875</v>
      </c>
      <c r="D2130" s="12">
        <v>8.3333333333333329E-2</v>
      </c>
      <c r="E2130" s="11">
        <v>45956.958333333336</v>
      </c>
      <c r="F2130" s="10" t="s">
        <v>262</v>
      </c>
      <c r="G2130" s="13" t="b">
        <v>0</v>
      </c>
      <c r="H2130" s="22" t="s">
        <v>527</v>
      </c>
      <c r="I2130" s="10" t="s">
        <v>264</v>
      </c>
      <c r="J2130" s="13" t="b">
        <v>0</v>
      </c>
      <c r="K2130" s="13" t="b">
        <v>1</v>
      </c>
      <c r="L2130" s="10" t="s">
        <v>124</v>
      </c>
      <c r="M2130" s="10" t="s">
        <v>91</v>
      </c>
      <c r="N2130" s="10" t="s">
        <v>265</v>
      </c>
      <c r="O2130" s="19" t="s">
        <v>16242</v>
      </c>
      <c r="P2130" s="10"/>
      <c r="Q2130" s="10" t="s">
        <v>94</v>
      </c>
      <c r="R2130" s="10"/>
      <c r="S2130" s="19" t="s">
        <v>1166</v>
      </c>
      <c r="T2130" s="10"/>
      <c r="U2130" s="10" t="s">
        <v>362</v>
      </c>
      <c r="V2130" s="10" t="s">
        <v>347</v>
      </c>
      <c r="W2130" s="10" t="s">
        <v>272</v>
      </c>
      <c r="X2130" s="10" t="s">
        <v>130</v>
      </c>
      <c r="Y2130" s="10" t="s">
        <v>130</v>
      </c>
      <c r="Z2130" s="10" t="s">
        <v>99</v>
      </c>
      <c r="AA2130" s="10" t="s">
        <v>131</v>
      </c>
      <c r="AB2130" s="10" t="s">
        <v>273</v>
      </c>
      <c r="AC2130" s="10" t="s">
        <v>274</v>
      </c>
      <c r="AD2130" s="10" t="s">
        <v>1167</v>
      </c>
      <c r="AE2130" s="10" t="s">
        <v>16243</v>
      </c>
      <c r="AF2130" s="15"/>
      <c r="AG2130" s="10"/>
      <c r="AH2130" s="10"/>
      <c r="AI2130" s="10"/>
      <c r="AJ2130" s="10"/>
      <c r="AK2130" s="10" t="s">
        <v>102</v>
      </c>
      <c r="AL2130" s="10" t="s">
        <v>205</v>
      </c>
      <c r="AM2130" s="10"/>
      <c r="AN2130" s="10"/>
      <c r="AO2130" s="13" t="b">
        <v>0</v>
      </c>
      <c r="AP2130" s="22" t="s">
        <v>104</v>
      </c>
      <c r="AQ2130" s="10">
        <f ca="1">IFERROR(__xludf.DUMMYFUNCTION("""COMPUTED_VALUE"""),4668359)</f>
        <v>4668359</v>
      </c>
      <c r="AR2130" s="17">
        <v>28656</v>
      </c>
      <c r="AS2130" s="17">
        <v>23158</v>
      </c>
      <c r="AT2130" s="17">
        <v>81658.75</v>
      </c>
      <c r="AU2130" s="17">
        <v>64.099999999999994</v>
      </c>
      <c r="AV2130" s="17">
        <v>12.35</v>
      </c>
      <c r="AW2130" s="10" t="s">
        <v>105</v>
      </c>
      <c r="AX2130" s="17">
        <v>3536</v>
      </c>
      <c r="AY2130" s="18">
        <v>3.5261572674669659</v>
      </c>
      <c r="AZ2130" s="10" t="s">
        <v>148</v>
      </c>
      <c r="BA2130" s="20" t="b">
        <v>0</v>
      </c>
      <c r="BB2130" s="10"/>
      <c r="BC2130" s="17">
        <v>28656</v>
      </c>
      <c r="BD2130" s="17">
        <v>23158</v>
      </c>
      <c r="BE2130" s="17">
        <v>81658.75</v>
      </c>
      <c r="BF2130" s="17">
        <v>12.35</v>
      </c>
      <c r="BG2130" s="11">
        <f ca="1">IFERROR(__xludf.DUMMYFUNCTION("""COMPUTED_VALUE"""),45956.875)</f>
        <v>45956.875</v>
      </c>
      <c r="BH2130" s="17" t="s">
        <v>105</v>
      </c>
      <c r="BI2130" s="17"/>
      <c r="BJ2130" s="15"/>
      <c r="BK2130" s="15"/>
      <c r="BL2130" s="13" t="b">
        <v>0</v>
      </c>
      <c r="BM2130" s="10"/>
      <c r="BN2130" s="10" t="s">
        <v>137</v>
      </c>
      <c r="BO2130" s="11">
        <v>45926.692361111112</v>
      </c>
      <c r="BP2130" s="11">
        <v>45948.414074074077</v>
      </c>
      <c r="BQ2130" s="15">
        <v>45953.748784722222</v>
      </c>
      <c r="BR2130" s="15">
        <v>45953.831145833334</v>
      </c>
      <c r="BS2130" s="10" t="s">
        <v>137</v>
      </c>
      <c r="BT2130" s="10"/>
      <c r="BU2130" s="10"/>
      <c r="BV2130" s="10"/>
      <c r="BW2130" s="10"/>
      <c r="BX2130" s="10"/>
      <c r="BY2130" s="23"/>
      <c r="BZ2130" s="23"/>
      <c r="CA2130" s="19" t="s">
        <v>1170</v>
      </c>
      <c r="CB2130" s="23"/>
      <c r="CC2130" s="23"/>
      <c r="CD2130" s="23"/>
      <c r="CE2130" s="23"/>
      <c r="CF2130" s="23"/>
      <c r="CG2130" s="23"/>
      <c r="CH2130" s="23"/>
      <c r="CI2130" s="23"/>
    </row>
    <row r="2131" spans="1:87" x14ac:dyDescent="0.3">
      <c r="A2131" s="9" t="s">
        <v>16244</v>
      </c>
      <c r="B2131" s="10" t="s">
        <v>16245</v>
      </c>
      <c r="C2131" s="11">
        <v>45936.041666666664</v>
      </c>
      <c r="D2131" s="12">
        <v>8.3333333333333329E-2</v>
      </c>
      <c r="E2131" s="11">
        <v>45936.125</v>
      </c>
      <c r="F2131" s="10" t="s">
        <v>3687</v>
      </c>
      <c r="G2131" s="13" t="b">
        <v>0</v>
      </c>
      <c r="H2131" s="22" t="s">
        <v>3478</v>
      </c>
      <c r="I2131" s="10" t="s">
        <v>89</v>
      </c>
      <c r="J2131" s="13" t="b">
        <v>0</v>
      </c>
      <c r="K2131" s="13" t="b">
        <v>1</v>
      </c>
      <c r="L2131" s="10" t="s">
        <v>124</v>
      </c>
      <c r="M2131" s="10" t="s">
        <v>91</v>
      </c>
      <c r="N2131" s="10" t="s">
        <v>92</v>
      </c>
      <c r="O2131" s="19" t="s">
        <v>16246</v>
      </c>
      <c r="P2131" s="10"/>
      <c r="Q2131" s="10" t="s">
        <v>126</v>
      </c>
      <c r="R2131" s="10"/>
      <c r="S2131" s="19" t="s">
        <v>16247</v>
      </c>
      <c r="T2131" s="10"/>
      <c r="U2131" s="10" t="s">
        <v>4993</v>
      </c>
      <c r="V2131" s="10" t="s">
        <v>7720</v>
      </c>
      <c r="W2131" s="10" t="s">
        <v>3692</v>
      </c>
      <c r="X2131" s="10" t="s">
        <v>130</v>
      </c>
      <c r="Y2131" s="10" t="s">
        <v>130</v>
      </c>
      <c r="Z2131" s="10" t="s">
        <v>99</v>
      </c>
      <c r="AA2131" s="10" t="s">
        <v>131</v>
      </c>
      <c r="AB2131" s="10" t="s">
        <v>3693</v>
      </c>
      <c r="AC2131" s="10" t="s">
        <v>3694</v>
      </c>
      <c r="AD2131" s="10" t="s">
        <v>16248</v>
      </c>
      <c r="AE2131" s="10" t="s">
        <v>16249</v>
      </c>
      <c r="AF2131" s="15"/>
      <c r="AG2131" s="10"/>
      <c r="AH2131" s="10"/>
      <c r="AI2131" s="10"/>
      <c r="AJ2131" s="10"/>
      <c r="AK2131" s="10" t="s">
        <v>102</v>
      </c>
      <c r="AL2131" s="10" t="s">
        <v>195</v>
      </c>
      <c r="AM2131" s="10"/>
      <c r="AN2131" s="10"/>
      <c r="AO2131" s="13" t="b">
        <v>0</v>
      </c>
      <c r="AP2131" s="22" t="s">
        <v>104</v>
      </c>
      <c r="AQ2131" s="10">
        <f ca="1">IFERROR(__xludf.DUMMYFUNCTION("""COMPUTED_VALUE"""),4630479)</f>
        <v>4630479</v>
      </c>
      <c r="AR2131" s="17">
        <v>5036</v>
      </c>
      <c r="AS2131" s="17">
        <v>4014</v>
      </c>
      <c r="AT2131" s="17">
        <v>101576</v>
      </c>
      <c r="AU2131" s="17">
        <v>6.7</v>
      </c>
      <c r="AV2131" s="17">
        <v>0</v>
      </c>
      <c r="AW2131" s="10" t="s">
        <v>105</v>
      </c>
      <c r="AX2131" s="17">
        <v>1258</v>
      </c>
      <c r="AY2131" s="18">
        <v>25.305430991529647</v>
      </c>
      <c r="AZ2131" s="10" t="s">
        <v>3783</v>
      </c>
      <c r="BA2131" s="20" t="b">
        <v>0</v>
      </c>
      <c r="BB2131" s="10"/>
      <c r="BC2131" s="17">
        <v>5036</v>
      </c>
      <c r="BD2131" s="17">
        <v>4014</v>
      </c>
      <c r="BE2131" s="17">
        <v>101576</v>
      </c>
      <c r="BF2131" s="17">
        <v>0</v>
      </c>
      <c r="BG2131" s="11">
        <f ca="1">IFERROR(__xludf.DUMMYFUNCTION("""COMPUTED_VALUE"""),45936.0416666666)</f>
        <v>45936.041666666599</v>
      </c>
      <c r="BH2131" s="17" t="s">
        <v>105</v>
      </c>
      <c r="BI2131" s="17"/>
      <c r="BJ2131" s="15"/>
      <c r="BK2131" s="15"/>
      <c r="BL2131" s="13" t="b">
        <v>0</v>
      </c>
      <c r="BM2131" s="10"/>
      <c r="BN2131" s="10" t="s">
        <v>278</v>
      </c>
      <c r="BO2131" s="11">
        <v>45928.45208333333</v>
      </c>
      <c r="BP2131" s="11">
        <v>45932.022557870368</v>
      </c>
      <c r="BQ2131" s="15">
        <v>45931.555821759262</v>
      </c>
      <c r="BR2131" s="15">
        <v>45934.522361111114</v>
      </c>
      <c r="BS2131" s="10" t="s">
        <v>278</v>
      </c>
      <c r="BT2131" s="10" t="s">
        <v>279</v>
      </c>
      <c r="BU2131" s="10" t="s">
        <v>1253</v>
      </c>
      <c r="BV2131" s="10"/>
      <c r="BW2131" s="10"/>
      <c r="BX2131" s="10"/>
      <c r="BY2131" s="23"/>
      <c r="BZ2131" s="23"/>
      <c r="CA2131" s="19" t="s">
        <v>16250</v>
      </c>
      <c r="CB2131" s="23"/>
      <c r="CC2131" s="23"/>
      <c r="CD2131" s="19" t="s">
        <v>16251</v>
      </c>
      <c r="CE2131" s="23"/>
      <c r="CF2131" s="23"/>
      <c r="CG2131" s="23"/>
      <c r="CH2131" s="23"/>
      <c r="CI2131" s="23"/>
    </row>
    <row r="2132" spans="1:87" x14ac:dyDescent="0.3">
      <c r="A2132" s="9" t="s">
        <v>16252</v>
      </c>
      <c r="B2132" s="10" t="s">
        <v>16253</v>
      </c>
      <c r="C2132" s="11">
        <v>45955.895833333336</v>
      </c>
      <c r="D2132" s="12">
        <v>8.3333333333333329E-2</v>
      </c>
      <c r="E2132" s="11">
        <v>45955.979166666664</v>
      </c>
      <c r="F2132" s="10" t="s">
        <v>3687</v>
      </c>
      <c r="G2132" s="13" t="b">
        <v>0</v>
      </c>
      <c r="H2132" s="22" t="s">
        <v>3478</v>
      </c>
      <c r="I2132" s="10" t="s">
        <v>89</v>
      </c>
      <c r="J2132" s="13" t="b">
        <v>0</v>
      </c>
      <c r="K2132" s="13" t="b">
        <v>1</v>
      </c>
      <c r="L2132" s="10" t="s">
        <v>124</v>
      </c>
      <c r="M2132" s="10" t="s">
        <v>91</v>
      </c>
      <c r="N2132" s="10" t="s">
        <v>92</v>
      </c>
      <c r="O2132" s="19" t="s">
        <v>16254</v>
      </c>
      <c r="P2132" s="10"/>
      <c r="Q2132" s="10" t="s">
        <v>126</v>
      </c>
      <c r="R2132" s="10"/>
      <c r="S2132" s="19" t="s">
        <v>16255</v>
      </c>
      <c r="T2132" s="19" t="s">
        <v>16256</v>
      </c>
      <c r="U2132" s="10" t="s">
        <v>4992</v>
      </c>
      <c r="V2132" s="10" t="s">
        <v>3728</v>
      </c>
      <c r="W2132" s="10" t="s">
        <v>3692</v>
      </c>
      <c r="X2132" s="10" t="s">
        <v>130</v>
      </c>
      <c r="Y2132" s="10" t="s">
        <v>130</v>
      </c>
      <c r="Z2132" s="10" t="s">
        <v>99</v>
      </c>
      <c r="AA2132" s="10" t="s">
        <v>131</v>
      </c>
      <c r="AB2132" s="10" t="s">
        <v>3693</v>
      </c>
      <c r="AC2132" s="10" t="s">
        <v>3694</v>
      </c>
      <c r="AD2132" s="10" t="s">
        <v>16257</v>
      </c>
      <c r="AE2132" s="10" t="s">
        <v>16258</v>
      </c>
      <c r="AF2132" s="15"/>
      <c r="AG2132" s="10"/>
      <c r="AH2132" s="10"/>
      <c r="AI2132" s="10"/>
      <c r="AJ2132" s="10"/>
      <c r="AK2132" s="10" t="s">
        <v>102</v>
      </c>
      <c r="AL2132" s="10" t="s">
        <v>1252</v>
      </c>
      <c r="AM2132" s="10"/>
      <c r="AN2132" s="10"/>
      <c r="AO2132" s="13" t="b">
        <v>0</v>
      </c>
      <c r="AP2132" s="22" t="s">
        <v>104</v>
      </c>
      <c r="AQ2132" s="10">
        <f ca="1">IFERROR(__xludf.DUMMYFUNCTION("""COMPUTED_VALUE"""),4666458)</f>
        <v>4666458</v>
      </c>
      <c r="AR2132" s="17">
        <v>13989</v>
      </c>
      <c r="AS2132" s="17">
        <v>11224</v>
      </c>
      <c r="AT2132" s="17">
        <v>136517</v>
      </c>
      <c r="AU2132" s="17">
        <v>62.45</v>
      </c>
      <c r="AV2132" s="17">
        <v>7.7</v>
      </c>
      <c r="AW2132" s="10" t="s">
        <v>105</v>
      </c>
      <c r="AX2132" s="17">
        <v>1992</v>
      </c>
      <c r="AY2132" s="18">
        <v>12.162954383464006</v>
      </c>
      <c r="AZ2132" s="10" t="s">
        <v>3783</v>
      </c>
      <c r="BA2132" s="20" t="b">
        <v>0</v>
      </c>
      <c r="BB2132" s="10"/>
      <c r="BC2132" s="17">
        <v>13989</v>
      </c>
      <c r="BD2132" s="17">
        <v>11224</v>
      </c>
      <c r="BE2132" s="17">
        <v>136517</v>
      </c>
      <c r="BF2132" s="17">
        <v>7.7</v>
      </c>
      <c r="BG2132" s="11">
        <f ca="1">IFERROR(__xludf.DUMMYFUNCTION("""COMPUTED_VALUE"""),45955.8958333333)</f>
        <v>45955.895833333299</v>
      </c>
      <c r="BH2132" s="17" t="s">
        <v>105</v>
      </c>
      <c r="BI2132" s="17"/>
      <c r="BJ2132" s="15"/>
      <c r="BK2132" s="15"/>
      <c r="BL2132" s="13" t="b">
        <v>0</v>
      </c>
      <c r="BM2132" s="10"/>
      <c r="BN2132" s="10" t="s">
        <v>137</v>
      </c>
      <c r="BO2132" s="11">
        <v>45928.461805555555</v>
      </c>
      <c r="BP2132" s="11">
        <v>45948.62060185185</v>
      </c>
      <c r="BQ2132" s="15">
        <v>45953.405324074076</v>
      </c>
      <c r="BR2132" s="15">
        <v>45953.474189814813</v>
      </c>
      <c r="BS2132" s="10" t="s">
        <v>137</v>
      </c>
      <c r="BT2132" s="10" t="s">
        <v>279</v>
      </c>
      <c r="BU2132" s="10" t="s">
        <v>718</v>
      </c>
      <c r="BV2132" s="10"/>
      <c r="BW2132" s="10"/>
      <c r="BX2132" s="10"/>
      <c r="BY2132" s="23"/>
      <c r="BZ2132" s="23"/>
      <c r="CA2132" s="19" t="s">
        <v>16259</v>
      </c>
      <c r="CB2132" s="19" t="s">
        <v>16260</v>
      </c>
      <c r="CC2132" s="23"/>
      <c r="CD2132" s="19" t="s">
        <v>16261</v>
      </c>
      <c r="CE2132" s="23"/>
      <c r="CF2132" s="23"/>
      <c r="CG2132" s="23"/>
      <c r="CH2132" s="23"/>
      <c r="CI2132" s="23"/>
    </row>
    <row r="2133" spans="1:87" x14ac:dyDescent="0.3">
      <c r="A2133" s="9" t="s">
        <v>16262</v>
      </c>
      <c r="B2133" s="10" t="s">
        <v>16263</v>
      </c>
      <c r="C2133" s="11">
        <v>45933.302083333336</v>
      </c>
      <c r="D2133" s="12">
        <v>0.14583333333333334</v>
      </c>
      <c r="E2133" s="11">
        <v>45933.447916666664</v>
      </c>
      <c r="F2133" s="10" t="s">
        <v>15270</v>
      </c>
      <c r="G2133" s="13" t="b">
        <v>0</v>
      </c>
      <c r="H2133" s="22" t="s">
        <v>15271</v>
      </c>
      <c r="I2133" s="10" t="s">
        <v>3213</v>
      </c>
      <c r="J2133" s="13" t="b">
        <v>0</v>
      </c>
      <c r="K2133" s="13" t="b">
        <v>1</v>
      </c>
      <c r="L2133" s="10" t="s">
        <v>124</v>
      </c>
      <c r="M2133" s="10" t="s">
        <v>91</v>
      </c>
      <c r="N2133" s="10" t="s">
        <v>92</v>
      </c>
      <c r="O2133" s="19" t="s">
        <v>16264</v>
      </c>
      <c r="P2133" s="10" t="s">
        <v>3215</v>
      </c>
      <c r="Q2133" s="10" t="s">
        <v>126</v>
      </c>
      <c r="R2133" s="10"/>
      <c r="S2133" s="19" t="s">
        <v>16265</v>
      </c>
      <c r="T2133" s="10"/>
      <c r="U2133" s="10" t="s">
        <v>15519</v>
      </c>
      <c r="V2133" s="10" t="s">
        <v>15654</v>
      </c>
      <c r="W2133" s="10" t="s">
        <v>15276</v>
      </c>
      <c r="X2133" s="10" t="s">
        <v>15277</v>
      </c>
      <c r="Y2133" s="10" t="s">
        <v>15277</v>
      </c>
      <c r="Z2133" s="10" t="s">
        <v>99</v>
      </c>
      <c r="AA2133" s="10" t="s">
        <v>131</v>
      </c>
      <c r="AB2133" s="10" t="s">
        <v>15278</v>
      </c>
      <c r="AC2133" s="10" t="s">
        <v>15279</v>
      </c>
      <c r="AD2133" s="10" t="s">
        <v>165</v>
      </c>
      <c r="AE2133" s="10" t="s">
        <v>16266</v>
      </c>
      <c r="AF2133" s="15"/>
      <c r="AG2133" s="10"/>
      <c r="AH2133" s="10"/>
      <c r="AI2133" s="10"/>
      <c r="AJ2133" s="10"/>
      <c r="AK2133" s="10" t="s">
        <v>102</v>
      </c>
      <c r="AL2133" s="10" t="s">
        <v>167</v>
      </c>
      <c r="AM2133" s="10"/>
      <c r="AN2133" s="10"/>
      <c r="AO2133" s="13" t="b">
        <v>0</v>
      </c>
      <c r="AP2133" s="22" t="s">
        <v>104</v>
      </c>
      <c r="AQ2133" s="10">
        <f ca="1">IFERROR(__xludf.DUMMYFUNCTION("""COMPUTED_VALUE"""),4626326)</f>
        <v>4626326</v>
      </c>
      <c r="AR2133" s="17">
        <v>3951</v>
      </c>
      <c r="AS2133" s="17">
        <v>2884</v>
      </c>
      <c r="AT2133" s="17">
        <v>65229</v>
      </c>
      <c r="AU2133" s="17">
        <v>14.5</v>
      </c>
      <c r="AV2133" s="17">
        <v>6</v>
      </c>
      <c r="AW2133" s="10" t="s">
        <v>105</v>
      </c>
      <c r="AX2133" s="17">
        <v>515</v>
      </c>
      <c r="AY2133" s="18">
        <v>22.617545076282941</v>
      </c>
      <c r="AZ2133" s="10"/>
      <c r="BA2133" s="20" t="b">
        <v>0</v>
      </c>
      <c r="BB2133" s="10"/>
      <c r="BC2133" s="17">
        <v>3951</v>
      </c>
      <c r="BD2133" s="17">
        <v>2884</v>
      </c>
      <c r="BE2133" s="17">
        <v>65229</v>
      </c>
      <c r="BF2133" s="17">
        <v>6</v>
      </c>
      <c r="BG2133" s="11">
        <f ca="1">IFERROR(__xludf.DUMMYFUNCTION("""COMPUTED_VALUE"""),45933.3020833333)</f>
        <v>45933.302083333299</v>
      </c>
      <c r="BH2133" s="17" t="s">
        <v>105</v>
      </c>
      <c r="BI2133" s="17"/>
      <c r="BJ2133" s="15"/>
      <c r="BK2133" s="15"/>
      <c r="BL2133" s="13" t="b">
        <v>0</v>
      </c>
      <c r="BM2133" s="10"/>
      <c r="BN2133" s="10" t="s">
        <v>197</v>
      </c>
      <c r="BO2133" s="11">
        <v>45930.445138888892</v>
      </c>
      <c r="BP2133" s="11">
        <v>45930.445763888885</v>
      </c>
      <c r="BQ2133" s="15">
        <v>45932.550092592595</v>
      </c>
      <c r="BR2133" s="15">
        <v>45932.551828703705</v>
      </c>
      <c r="BS2133" s="10" t="s">
        <v>197</v>
      </c>
      <c r="BT2133" s="10" t="s">
        <v>99</v>
      </c>
      <c r="BU2133" s="10" t="s">
        <v>16267</v>
      </c>
      <c r="BV2133" s="10"/>
      <c r="BW2133" s="10"/>
      <c r="BX2133" s="10"/>
      <c r="BY2133" s="23"/>
      <c r="BZ2133" s="23"/>
      <c r="CA2133" s="19" t="s">
        <v>16268</v>
      </c>
      <c r="CB2133" s="23"/>
      <c r="CC2133" s="23"/>
      <c r="CD2133" s="19" t="s">
        <v>16269</v>
      </c>
      <c r="CE2133" s="23"/>
      <c r="CF2133" s="23"/>
      <c r="CG2133" s="23"/>
      <c r="CH2133" s="23"/>
      <c r="CI2133" s="23"/>
    </row>
    <row r="2134" spans="1:87" x14ac:dyDescent="0.3">
      <c r="A2134" s="9" t="s">
        <v>16270</v>
      </c>
      <c r="B2134" s="10" t="s">
        <v>16271</v>
      </c>
      <c r="C2134" s="11">
        <v>45936</v>
      </c>
      <c r="D2134" s="12">
        <v>0.1423611111111111</v>
      </c>
      <c r="E2134" s="11">
        <v>45936.142361111109</v>
      </c>
      <c r="F2134" s="10" t="s">
        <v>15270</v>
      </c>
      <c r="G2134" s="13" t="b">
        <v>0</v>
      </c>
      <c r="H2134" s="22" t="s">
        <v>15271</v>
      </c>
      <c r="I2134" s="10" t="s">
        <v>3213</v>
      </c>
      <c r="J2134" s="13" t="b">
        <v>0</v>
      </c>
      <c r="K2134" s="13" t="b">
        <v>1</v>
      </c>
      <c r="L2134" s="10" t="s">
        <v>124</v>
      </c>
      <c r="M2134" s="10" t="s">
        <v>91</v>
      </c>
      <c r="N2134" s="10" t="s">
        <v>92</v>
      </c>
      <c r="O2134" s="19" t="s">
        <v>16272</v>
      </c>
      <c r="P2134" s="10" t="s">
        <v>88</v>
      </c>
      <c r="Q2134" s="10" t="s">
        <v>126</v>
      </c>
      <c r="R2134" s="10"/>
      <c r="S2134" s="19" t="s">
        <v>16273</v>
      </c>
      <c r="T2134" s="10"/>
      <c r="U2134" s="10" t="s">
        <v>15299</v>
      </c>
      <c r="V2134" s="10" t="s">
        <v>15510</v>
      </c>
      <c r="W2134" s="10" t="s">
        <v>15276</v>
      </c>
      <c r="X2134" s="10" t="s">
        <v>15277</v>
      </c>
      <c r="Y2134" s="10" t="s">
        <v>15277</v>
      </c>
      <c r="Z2134" s="10" t="s">
        <v>99</v>
      </c>
      <c r="AA2134" s="10" t="s">
        <v>131</v>
      </c>
      <c r="AB2134" s="10" t="s">
        <v>15278</v>
      </c>
      <c r="AC2134" s="10" t="s">
        <v>15279</v>
      </c>
      <c r="AD2134" s="10" t="s">
        <v>165</v>
      </c>
      <c r="AE2134" s="10" t="s">
        <v>16274</v>
      </c>
      <c r="AF2134" s="15"/>
      <c r="AG2134" s="10"/>
      <c r="AH2134" s="10"/>
      <c r="AI2134" s="10"/>
      <c r="AJ2134" s="10"/>
      <c r="AK2134" s="10" t="s">
        <v>102</v>
      </c>
      <c r="AL2134" s="10" t="s">
        <v>167</v>
      </c>
      <c r="AM2134" s="10"/>
      <c r="AN2134" s="10"/>
      <c r="AO2134" s="13" t="b">
        <v>0</v>
      </c>
      <c r="AP2134" s="22" t="s">
        <v>104</v>
      </c>
      <c r="AQ2134" s="10">
        <f ca="1">IFERROR(__xludf.DUMMYFUNCTION("""COMPUTED_VALUE"""),4632527)</f>
        <v>4632527</v>
      </c>
      <c r="AR2134" s="17">
        <v>2303</v>
      </c>
      <c r="AS2134" s="17">
        <v>1893</v>
      </c>
      <c r="AT2134" s="17">
        <v>27314.5</v>
      </c>
      <c r="AU2134" s="17">
        <v>4.4000000000000004</v>
      </c>
      <c r="AV2134" s="17">
        <v>1.6</v>
      </c>
      <c r="AW2134" s="10" t="s">
        <v>105</v>
      </c>
      <c r="AX2134" s="17">
        <v>328</v>
      </c>
      <c r="AY2134" s="18">
        <v>14.429212889593238</v>
      </c>
      <c r="AZ2134" s="10"/>
      <c r="BA2134" s="20" t="b">
        <v>0</v>
      </c>
      <c r="BB2134" s="10"/>
      <c r="BC2134" s="17">
        <v>2303</v>
      </c>
      <c r="BD2134" s="17">
        <v>1893</v>
      </c>
      <c r="BE2134" s="17">
        <v>27314.5</v>
      </c>
      <c r="BF2134" s="17">
        <v>1.6</v>
      </c>
      <c r="BG2134" s="11">
        <f ca="1">IFERROR(__xludf.DUMMYFUNCTION("""COMPUTED_VALUE"""),45936)</f>
        <v>45936</v>
      </c>
      <c r="BH2134" s="17" t="s">
        <v>105</v>
      </c>
      <c r="BI2134" s="17"/>
      <c r="BJ2134" s="15"/>
      <c r="BK2134" s="15"/>
      <c r="BL2134" s="13" t="b">
        <v>0</v>
      </c>
      <c r="BM2134" s="10"/>
      <c r="BN2134" s="10" t="s">
        <v>278</v>
      </c>
      <c r="BO2134" s="11">
        <v>45930.447222222225</v>
      </c>
      <c r="BP2134" s="11">
        <v>45930.44730324074</v>
      </c>
      <c r="BQ2134" s="15">
        <v>45934.92759259259</v>
      </c>
      <c r="BR2134" s="15">
        <v>45935.62777777778</v>
      </c>
      <c r="BS2134" s="10" t="s">
        <v>278</v>
      </c>
      <c r="BT2134" s="10" t="s">
        <v>99</v>
      </c>
      <c r="BU2134" s="10" t="s">
        <v>1275</v>
      </c>
      <c r="BV2134" s="10"/>
      <c r="BW2134" s="10"/>
      <c r="BX2134" s="10"/>
      <c r="BY2134" s="23"/>
      <c r="BZ2134" s="23"/>
      <c r="CA2134" s="19" t="s">
        <v>16275</v>
      </c>
      <c r="CB2134" s="23"/>
      <c r="CC2134" s="23"/>
      <c r="CD2134" s="19" t="s">
        <v>16276</v>
      </c>
      <c r="CE2134" s="23"/>
      <c r="CF2134" s="23"/>
      <c r="CG2134" s="23"/>
      <c r="CH2134" s="23"/>
      <c r="CI2134" s="23"/>
    </row>
    <row r="2135" spans="1:87" x14ac:dyDescent="0.3">
      <c r="A2135" s="9" t="s">
        <v>16277</v>
      </c>
      <c r="B2135" s="10" t="s">
        <v>16278</v>
      </c>
      <c r="C2135" s="11">
        <v>45936.142361111109</v>
      </c>
      <c r="D2135" s="12">
        <v>0.14930555555555555</v>
      </c>
      <c r="E2135" s="11">
        <v>45936.291666666664</v>
      </c>
      <c r="F2135" s="10" t="s">
        <v>15270</v>
      </c>
      <c r="G2135" s="13" t="b">
        <v>0</v>
      </c>
      <c r="H2135" s="22" t="s">
        <v>15271</v>
      </c>
      <c r="I2135" s="10" t="s">
        <v>3213</v>
      </c>
      <c r="J2135" s="13" t="b">
        <v>0</v>
      </c>
      <c r="K2135" s="13" t="b">
        <v>1</v>
      </c>
      <c r="L2135" s="10" t="s">
        <v>124</v>
      </c>
      <c r="M2135" s="10" t="s">
        <v>91</v>
      </c>
      <c r="N2135" s="10" t="s">
        <v>92</v>
      </c>
      <c r="O2135" s="19" t="s">
        <v>16279</v>
      </c>
      <c r="P2135" s="10" t="s">
        <v>88</v>
      </c>
      <c r="Q2135" s="10" t="s">
        <v>126</v>
      </c>
      <c r="R2135" s="10"/>
      <c r="S2135" s="19" t="s">
        <v>16280</v>
      </c>
      <c r="T2135" s="10"/>
      <c r="U2135" s="10" t="s">
        <v>16017</v>
      </c>
      <c r="V2135" s="10" t="s">
        <v>15289</v>
      </c>
      <c r="W2135" s="10" t="s">
        <v>15276</v>
      </c>
      <c r="X2135" s="10" t="s">
        <v>15277</v>
      </c>
      <c r="Y2135" s="10" t="s">
        <v>15277</v>
      </c>
      <c r="Z2135" s="10" t="s">
        <v>99</v>
      </c>
      <c r="AA2135" s="10" t="s">
        <v>131</v>
      </c>
      <c r="AB2135" s="10" t="s">
        <v>15278</v>
      </c>
      <c r="AC2135" s="10" t="s">
        <v>15279</v>
      </c>
      <c r="AD2135" s="10" t="s">
        <v>165</v>
      </c>
      <c r="AE2135" s="10" t="s">
        <v>16281</v>
      </c>
      <c r="AF2135" s="15"/>
      <c r="AG2135" s="10"/>
      <c r="AH2135" s="10"/>
      <c r="AI2135" s="10"/>
      <c r="AJ2135" s="10"/>
      <c r="AK2135" s="10" t="s">
        <v>102</v>
      </c>
      <c r="AL2135" s="10" t="s">
        <v>167</v>
      </c>
      <c r="AM2135" s="10"/>
      <c r="AN2135" s="10"/>
      <c r="AO2135" s="13" t="b">
        <v>0</v>
      </c>
      <c r="AP2135" s="22" t="s">
        <v>104</v>
      </c>
      <c r="AQ2135" s="10">
        <f ca="1">IFERROR(__xludf.DUMMYFUNCTION("""COMPUTED_VALUE"""),4632528)</f>
        <v>4632528</v>
      </c>
      <c r="AR2135" s="17">
        <v>1942</v>
      </c>
      <c r="AS2135" s="17">
        <v>1714</v>
      </c>
      <c r="AT2135" s="17">
        <v>19818.25</v>
      </c>
      <c r="AU2135" s="17">
        <v>5.65</v>
      </c>
      <c r="AV2135" s="17">
        <v>4</v>
      </c>
      <c r="AW2135" s="10" t="s">
        <v>105</v>
      </c>
      <c r="AX2135" s="17">
        <v>291</v>
      </c>
      <c r="AY2135" s="18">
        <v>11.562572928821471</v>
      </c>
      <c r="AZ2135" s="10"/>
      <c r="BA2135" s="20" t="b">
        <v>0</v>
      </c>
      <c r="BB2135" s="10"/>
      <c r="BC2135" s="17">
        <v>1942</v>
      </c>
      <c r="BD2135" s="17">
        <v>1714</v>
      </c>
      <c r="BE2135" s="17">
        <v>19818.25</v>
      </c>
      <c r="BF2135" s="17">
        <v>4</v>
      </c>
      <c r="BG2135" s="11">
        <f ca="1">IFERROR(__xludf.DUMMYFUNCTION("""COMPUTED_VALUE"""),45936.1423611111)</f>
        <v>45936.142361111102</v>
      </c>
      <c r="BH2135" s="17" t="s">
        <v>105</v>
      </c>
      <c r="BI2135" s="17"/>
      <c r="BJ2135" s="15"/>
      <c r="BK2135" s="15"/>
      <c r="BL2135" s="13" t="b">
        <v>0</v>
      </c>
      <c r="BM2135" s="10"/>
      <c r="BN2135" s="10" t="s">
        <v>278</v>
      </c>
      <c r="BO2135" s="11">
        <v>45930.45</v>
      </c>
      <c r="BP2135" s="11">
        <v>45930.450266203705</v>
      </c>
      <c r="BQ2135" s="15">
        <v>45934.927534722221</v>
      </c>
      <c r="BR2135" s="15">
        <v>45935.628136574072</v>
      </c>
      <c r="BS2135" s="10" t="s">
        <v>278</v>
      </c>
      <c r="BT2135" s="10" t="s">
        <v>99</v>
      </c>
      <c r="BU2135" s="10" t="s">
        <v>9114</v>
      </c>
      <c r="BV2135" s="10"/>
      <c r="BW2135" s="10"/>
      <c r="BX2135" s="10"/>
      <c r="BY2135" s="23"/>
      <c r="BZ2135" s="23"/>
      <c r="CA2135" s="19" t="s">
        <v>16282</v>
      </c>
      <c r="CB2135" s="23"/>
      <c r="CC2135" s="23"/>
      <c r="CD2135" s="19" t="s">
        <v>16283</v>
      </c>
      <c r="CE2135" s="23"/>
      <c r="CF2135" s="23"/>
      <c r="CG2135" s="23"/>
      <c r="CH2135" s="23"/>
      <c r="CI2135" s="23"/>
    </row>
    <row r="2136" spans="1:87" x14ac:dyDescent="0.3">
      <c r="A2136" s="9" t="s">
        <v>16284</v>
      </c>
      <c r="B2136" s="10" t="s">
        <v>16285</v>
      </c>
      <c r="C2136" s="11">
        <v>45936.305555555555</v>
      </c>
      <c r="D2136" s="12">
        <v>0.1388888888888889</v>
      </c>
      <c r="E2136" s="11">
        <v>45936.444444444445</v>
      </c>
      <c r="F2136" s="10" t="s">
        <v>15270</v>
      </c>
      <c r="G2136" s="13" t="b">
        <v>0</v>
      </c>
      <c r="H2136" s="22" t="s">
        <v>15271</v>
      </c>
      <c r="I2136" s="10" t="s">
        <v>3213</v>
      </c>
      <c r="J2136" s="13" t="b">
        <v>0</v>
      </c>
      <c r="K2136" s="13" t="b">
        <v>1</v>
      </c>
      <c r="L2136" s="10" t="s">
        <v>124</v>
      </c>
      <c r="M2136" s="10" t="s">
        <v>91</v>
      </c>
      <c r="N2136" s="10" t="s">
        <v>92</v>
      </c>
      <c r="O2136" s="19" t="s">
        <v>16286</v>
      </c>
      <c r="P2136" s="10" t="s">
        <v>3215</v>
      </c>
      <c r="Q2136" s="10" t="s">
        <v>126</v>
      </c>
      <c r="R2136" s="10"/>
      <c r="S2136" s="19" t="s">
        <v>16287</v>
      </c>
      <c r="T2136" s="10"/>
      <c r="U2136" s="10" t="s">
        <v>15637</v>
      </c>
      <c r="V2136" s="10" t="s">
        <v>16288</v>
      </c>
      <c r="W2136" s="10" t="s">
        <v>15276</v>
      </c>
      <c r="X2136" s="10" t="s">
        <v>15277</v>
      </c>
      <c r="Y2136" s="10" t="s">
        <v>15277</v>
      </c>
      <c r="Z2136" s="10" t="s">
        <v>99</v>
      </c>
      <c r="AA2136" s="10" t="s">
        <v>131</v>
      </c>
      <c r="AB2136" s="10" t="s">
        <v>15278</v>
      </c>
      <c r="AC2136" s="10" t="s">
        <v>15279</v>
      </c>
      <c r="AD2136" s="10" t="s">
        <v>165</v>
      </c>
      <c r="AE2136" s="10" t="s">
        <v>16289</v>
      </c>
      <c r="AF2136" s="15"/>
      <c r="AG2136" s="10"/>
      <c r="AH2136" s="10"/>
      <c r="AI2136" s="10"/>
      <c r="AJ2136" s="10"/>
      <c r="AK2136" s="10" t="s">
        <v>102</v>
      </c>
      <c r="AL2136" s="10" t="s">
        <v>167</v>
      </c>
      <c r="AM2136" s="10"/>
      <c r="AN2136" s="10"/>
      <c r="AO2136" s="13" t="b">
        <v>0</v>
      </c>
      <c r="AP2136" s="22" t="s">
        <v>104</v>
      </c>
      <c r="AQ2136" s="10">
        <f ca="1">IFERROR(__xludf.DUMMYFUNCTION("""COMPUTED_VALUE"""),4632529)</f>
        <v>4632529</v>
      </c>
      <c r="AR2136" s="17">
        <v>4127</v>
      </c>
      <c r="AS2136" s="17">
        <v>3090</v>
      </c>
      <c r="AT2136" s="17">
        <v>61627.25</v>
      </c>
      <c r="AU2136" s="17">
        <v>9.9</v>
      </c>
      <c r="AV2136" s="17">
        <v>2.25</v>
      </c>
      <c r="AW2136" s="10" t="s">
        <v>105</v>
      </c>
      <c r="AX2136" s="17">
        <v>556</v>
      </c>
      <c r="AY2136" s="18">
        <v>19.944093851132685</v>
      </c>
      <c r="AZ2136" s="10"/>
      <c r="BA2136" s="20" t="b">
        <v>0</v>
      </c>
      <c r="BB2136" s="10"/>
      <c r="BC2136" s="17">
        <v>4127</v>
      </c>
      <c r="BD2136" s="17">
        <v>3090</v>
      </c>
      <c r="BE2136" s="17">
        <v>61627.25</v>
      </c>
      <c r="BF2136" s="17">
        <v>2.25</v>
      </c>
      <c r="BG2136" s="11">
        <f ca="1">IFERROR(__xludf.DUMMYFUNCTION("""COMPUTED_VALUE"""),45936.3055555555)</f>
        <v>45936.305555555497</v>
      </c>
      <c r="BH2136" s="17" t="s">
        <v>105</v>
      </c>
      <c r="BI2136" s="17"/>
      <c r="BJ2136" s="15"/>
      <c r="BK2136" s="15"/>
      <c r="BL2136" s="13" t="b">
        <v>0</v>
      </c>
      <c r="BM2136" s="10"/>
      <c r="BN2136" s="10" t="s">
        <v>278</v>
      </c>
      <c r="BO2136" s="11">
        <v>45930.450694444444</v>
      </c>
      <c r="BP2136" s="11">
        <v>45930.450983796298</v>
      </c>
      <c r="BQ2136" s="15">
        <v>45934.927488425928</v>
      </c>
      <c r="BR2136" s="15">
        <v>45935.628321759257</v>
      </c>
      <c r="BS2136" s="10" t="s">
        <v>278</v>
      </c>
      <c r="BT2136" s="10" t="s">
        <v>99</v>
      </c>
      <c r="BU2136" s="10" t="s">
        <v>6753</v>
      </c>
      <c r="BV2136" s="10"/>
      <c r="BW2136" s="10"/>
      <c r="BX2136" s="10"/>
      <c r="BY2136" s="23"/>
      <c r="BZ2136" s="23"/>
      <c r="CA2136" s="19" t="s">
        <v>16290</v>
      </c>
      <c r="CB2136" s="23"/>
      <c r="CC2136" s="23"/>
      <c r="CD2136" s="19" t="s">
        <v>16291</v>
      </c>
      <c r="CE2136" s="23"/>
      <c r="CF2136" s="23"/>
      <c r="CG2136" s="23"/>
      <c r="CH2136" s="23"/>
      <c r="CI2136" s="23"/>
    </row>
    <row r="2137" spans="1:87" x14ac:dyDescent="0.3">
      <c r="A2137" s="9" t="s">
        <v>16292</v>
      </c>
      <c r="B2137" s="10" t="s">
        <v>16293</v>
      </c>
      <c r="C2137" s="11">
        <v>45937.302083333336</v>
      </c>
      <c r="D2137" s="12">
        <v>0.1388888888888889</v>
      </c>
      <c r="E2137" s="11">
        <v>45937.440972222219</v>
      </c>
      <c r="F2137" s="10" t="s">
        <v>15270</v>
      </c>
      <c r="G2137" s="13" t="b">
        <v>0</v>
      </c>
      <c r="H2137" s="22" t="s">
        <v>15271</v>
      </c>
      <c r="I2137" s="10" t="s">
        <v>3213</v>
      </c>
      <c r="J2137" s="13" t="b">
        <v>0</v>
      </c>
      <c r="K2137" s="13" t="b">
        <v>1</v>
      </c>
      <c r="L2137" s="10" t="s">
        <v>124</v>
      </c>
      <c r="M2137" s="10" t="s">
        <v>91</v>
      </c>
      <c r="N2137" s="10" t="s">
        <v>92</v>
      </c>
      <c r="O2137" s="19" t="s">
        <v>16294</v>
      </c>
      <c r="P2137" s="10" t="s">
        <v>3215</v>
      </c>
      <c r="Q2137" s="10" t="s">
        <v>126</v>
      </c>
      <c r="R2137" s="10"/>
      <c r="S2137" s="19" t="s">
        <v>16295</v>
      </c>
      <c r="T2137" s="10"/>
      <c r="U2137" s="10" t="s">
        <v>15518</v>
      </c>
      <c r="V2137" s="10" t="s">
        <v>15298</v>
      </c>
      <c r="W2137" s="10" t="s">
        <v>15276</v>
      </c>
      <c r="X2137" s="10" t="s">
        <v>15277</v>
      </c>
      <c r="Y2137" s="10" t="s">
        <v>15277</v>
      </c>
      <c r="Z2137" s="10" t="s">
        <v>99</v>
      </c>
      <c r="AA2137" s="10" t="s">
        <v>131</v>
      </c>
      <c r="AB2137" s="10" t="s">
        <v>15278</v>
      </c>
      <c r="AC2137" s="10" t="s">
        <v>15279</v>
      </c>
      <c r="AD2137" s="10" t="s">
        <v>165</v>
      </c>
      <c r="AE2137" s="10" t="s">
        <v>16296</v>
      </c>
      <c r="AF2137" s="15"/>
      <c r="AG2137" s="10"/>
      <c r="AH2137" s="10"/>
      <c r="AI2137" s="10"/>
      <c r="AJ2137" s="10"/>
      <c r="AK2137" s="10" t="s">
        <v>102</v>
      </c>
      <c r="AL2137" s="10" t="s">
        <v>167</v>
      </c>
      <c r="AM2137" s="10"/>
      <c r="AN2137" s="10"/>
      <c r="AO2137" s="13" t="b">
        <v>0</v>
      </c>
      <c r="AP2137" s="22" t="s">
        <v>104</v>
      </c>
      <c r="AQ2137" s="10">
        <f ca="1">IFERROR(__xludf.DUMMYFUNCTION("""COMPUTED_VALUE"""),4632530)</f>
        <v>4632530</v>
      </c>
      <c r="AR2137" s="17">
        <v>4228</v>
      </c>
      <c r="AS2137" s="17">
        <v>3162</v>
      </c>
      <c r="AT2137" s="17">
        <v>66783.25</v>
      </c>
      <c r="AU2137" s="17">
        <v>16</v>
      </c>
      <c r="AV2137" s="17">
        <v>4</v>
      </c>
      <c r="AW2137" s="10" t="s">
        <v>105</v>
      </c>
      <c r="AX2137" s="17">
        <v>605</v>
      </c>
      <c r="AY2137" s="18">
        <v>21.120572422517395</v>
      </c>
      <c r="AZ2137" s="10"/>
      <c r="BA2137" s="20" t="b">
        <v>0</v>
      </c>
      <c r="BB2137" s="10"/>
      <c r="BC2137" s="17">
        <v>4228</v>
      </c>
      <c r="BD2137" s="17">
        <v>3162</v>
      </c>
      <c r="BE2137" s="17">
        <v>66783.25</v>
      </c>
      <c r="BF2137" s="17">
        <v>4</v>
      </c>
      <c r="BG2137" s="11">
        <f ca="1">IFERROR(__xludf.DUMMYFUNCTION("""COMPUTED_VALUE"""),45937.3020833333)</f>
        <v>45937.302083333299</v>
      </c>
      <c r="BH2137" s="17" t="s">
        <v>105</v>
      </c>
      <c r="BI2137" s="17"/>
      <c r="BJ2137" s="15"/>
      <c r="BK2137" s="15"/>
      <c r="BL2137" s="13" t="b">
        <v>0</v>
      </c>
      <c r="BM2137" s="10"/>
      <c r="BN2137" s="10" t="s">
        <v>278</v>
      </c>
      <c r="BO2137" s="11">
        <v>45930.451388888891</v>
      </c>
      <c r="BP2137" s="11">
        <v>45930.451550925929</v>
      </c>
      <c r="BQ2137" s="15">
        <v>45934.927777777775</v>
      </c>
      <c r="BR2137" s="15">
        <v>45935.628518518519</v>
      </c>
      <c r="BS2137" s="10" t="s">
        <v>278</v>
      </c>
      <c r="BT2137" s="10" t="s">
        <v>99</v>
      </c>
      <c r="BU2137" s="10" t="s">
        <v>5492</v>
      </c>
      <c r="BV2137" s="10"/>
      <c r="BW2137" s="10"/>
      <c r="BX2137" s="10"/>
      <c r="BY2137" s="23"/>
      <c r="BZ2137" s="23"/>
      <c r="CA2137" s="19" t="s">
        <v>16297</v>
      </c>
      <c r="CB2137" s="23"/>
      <c r="CC2137" s="23"/>
      <c r="CD2137" s="19" t="s">
        <v>16298</v>
      </c>
      <c r="CE2137" s="23"/>
      <c r="CF2137" s="23"/>
      <c r="CG2137" s="23"/>
      <c r="CH2137" s="23"/>
      <c r="CI2137" s="23"/>
    </row>
    <row r="2138" spans="1:87" x14ac:dyDescent="0.3">
      <c r="A2138" s="9" t="s">
        <v>16299</v>
      </c>
      <c r="B2138" s="10" t="s">
        <v>16300</v>
      </c>
      <c r="C2138" s="11">
        <v>45941.791666666664</v>
      </c>
      <c r="D2138" s="12">
        <v>0.14583333333333334</v>
      </c>
      <c r="E2138" s="11">
        <v>45941.9375</v>
      </c>
      <c r="F2138" s="10" t="s">
        <v>8402</v>
      </c>
      <c r="G2138" s="13" t="b">
        <v>0</v>
      </c>
      <c r="H2138" s="22" t="s">
        <v>8403</v>
      </c>
      <c r="I2138" s="10" t="s">
        <v>212</v>
      </c>
      <c r="J2138" s="13" t="b">
        <v>1</v>
      </c>
      <c r="K2138" s="13" t="b">
        <v>0</v>
      </c>
      <c r="L2138" s="10" t="s">
        <v>124</v>
      </c>
      <c r="M2138" s="10" t="s">
        <v>91</v>
      </c>
      <c r="N2138" s="10" t="s">
        <v>92</v>
      </c>
      <c r="O2138" s="19" t="s">
        <v>16301</v>
      </c>
      <c r="P2138" s="10"/>
      <c r="Q2138" s="10" t="s">
        <v>126</v>
      </c>
      <c r="R2138" s="19" t="s">
        <v>16302</v>
      </c>
      <c r="S2138" s="19" t="s">
        <v>16303</v>
      </c>
      <c r="T2138" s="10"/>
      <c r="U2138" s="10"/>
      <c r="V2138" s="10"/>
      <c r="W2138" s="10" t="s">
        <v>8407</v>
      </c>
      <c r="X2138" s="10" t="s">
        <v>8408</v>
      </c>
      <c r="Y2138" s="10" t="s">
        <v>8409</v>
      </c>
      <c r="Z2138" s="10" t="s">
        <v>99</v>
      </c>
      <c r="AA2138" s="10" t="s">
        <v>100</v>
      </c>
      <c r="AB2138" s="10" t="s">
        <v>8410</v>
      </c>
      <c r="AC2138" s="10"/>
      <c r="AD2138" s="10" t="s">
        <v>165</v>
      </c>
      <c r="AE2138" s="10" t="s">
        <v>16304</v>
      </c>
      <c r="AF2138" s="15"/>
      <c r="AG2138" s="10"/>
      <c r="AH2138" s="10"/>
      <c r="AI2138" s="10"/>
      <c r="AJ2138" s="10"/>
      <c r="AK2138" s="10" t="s">
        <v>102</v>
      </c>
      <c r="AL2138" s="10"/>
      <c r="AM2138" s="10"/>
      <c r="AN2138" s="10"/>
      <c r="AO2138" s="13" t="b">
        <v>0</v>
      </c>
      <c r="AP2138" s="22"/>
      <c r="AQ2138" s="10">
        <f ca="1">IFERROR(__xludf.DUMMYFUNCTION("""COMPUTED_VALUE"""),4637747)</f>
        <v>4637747</v>
      </c>
      <c r="AR2138" s="17">
        <v>8631</v>
      </c>
      <c r="AS2138" s="17">
        <v>6735</v>
      </c>
      <c r="AT2138" s="17">
        <v>75499.5</v>
      </c>
      <c r="AU2138" s="17">
        <v>20.350000000000001</v>
      </c>
      <c r="AV2138" s="17">
        <v>5.95</v>
      </c>
      <c r="AW2138" s="10" t="s">
        <v>105</v>
      </c>
      <c r="AX2138" s="17">
        <v>1185</v>
      </c>
      <c r="AY2138" s="18">
        <v>11.210022271714923</v>
      </c>
      <c r="AZ2138" s="10" t="s">
        <v>3783</v>
      </c>
      <c r="BA2138" s="20" t="b">
        <v>0</v>
      </c>
      <c r="BB2138" s="10"/>
      <c r="BC2138" s="17">
        <v>8631</v>
      </c>
      <c r="BD2138" s="17">
        <v>6735</v>
      </c>
      <c r="BE2138" s="17">
        <v>75499.5</v>
      </c>
      <c r="BF2138" s="17">
        <v>5.95</v>
      </c>
      <c r="BG2138" s="11">
        <f ca="1">IFERROR(__xludf.DUMMYFUNCTION("""COMPUTED_VALUE"""),45941.7916666666)</f>
        <v>45941.791666666599</v>
      </c>
      <c r="BH2138" s="17" t="s">
        <v>105</v>
      </c>
      <c r="BI2138" s="17"/>
      <c r="BJ2138" s="15"/>
      <c r="BK2138" s="15"/>
      <c r="BL2138" s="13" t="b">
        <v>0</v>
      </c>
      <c r="BM2138" s="10" t="s">
        <v>240</v>
      </c>
      <c r="BN2138" s="10" t="s">
        <v>3527</v>
      </c>
      <c r="BO2138" s="11">
        <v>45930.570138888892</v>
      </c>
      <c r="BP2138" s="11">
        <v>45940.682835648149</v>
      </c>
      <c r="BQ2138" s="15">
        <v>45937.484293981484</v>
      </c>
      <c r="BR2138" s="15">
        <v>45938.413043981483</v>
      </c>
      <c r="BS2138" s="10"/>
      <c r="BT2138" s="10"/>
      <c r="BU2138" s="10"/>
      <c r="BV2138" s="10" t="s">
        <v>4315</v>
      </c>
      <c r="BW2138" s="10" t="s">
        <v>16305</v>
      </c>
      <c r="BX2138" s="19" t="s">
        <v>16306</v>
      </c>
      <c r="BY2138" s="23"/>
      <c r="BZ2138" s="23"/>
      <c r="CA2138" s="19" t="s">
        <v>16307</v>
      </c>
      <c r="CB2138" s="23"/>
      <c r="CC2138" s="23"/>
      <c r="CD2138" s="19" t="s">
        <v>16308</v>
      </c>
      <c r="CE2138" s="23"/>
      <c r="CF2138" s="23"/>
      <c r="CG2138" s="23"/>
      <c r="CH2138" s="23"/>
      <c r="CI2138" s="23"/>
    </row>
    <row r="2139" spans="1:87" x14ac:dyDescent="0.3">
      <c r="A2139" s="9" t="s">
        <v>16309</v>
      </c>
      <c r="B2139" s="10" t="s">
        <v>16310</v>
      </c>
      <c r="C2139" s="11">
        <v>45938.708333333336</v>
      </c>
      <c r="D2139" s="12">
        <v>8.3333333333333329E-2</v>
      </c>
      <c r="E2139" s="11">
        <v>45938.791666666664</v>
      </c>
      <c r="F2139" s="10" t="s">
        <v>16311</v>
      </c>
      <c r="G2139" s="13" t="b">
        <v>0</v>
      </c>
      <c r="H2139" s="22" t="s">
        <v>16312</v>
      </c>
      <c r="I2139" s="10" t="s">
        <v>212</v>
      </c>
      <c r="J2139" s="13" t="b">
        <v>1</v>
      </c>
      <c r="K2139" s="13" t="b">
        <v>0</v>
      </c>
      <c r="L2139" s="10" t="s">
        <v>124</v>
      </c>
      <c r="M2139" s="10" t="s">
        <v>91</v>
      </c>
      <c r="N2139" s="10" t="s">
        <v>92</v>
      </c>
      <c r="O2139" s="19" t="s">
        <v>16313</v>
      </c>
      <c r="P2139" s="10"/>
      <c r="Q2139" s="10" t="s">
        <v>126</v>
      </c>
      <c r="R2139" s="10"/>
      <c r="S2139" s="19" t="s">
        <v>16314</v>
      </c>
      <c r="T2139" s="10"/>
      <c r="U2139" s="10" t="s">
        <v>16315</v>
      </c>
      <c r="V2139" s="10" t="s">
        <v>16316</v>
      </c>
      <c r="W2139" s="10" t="s">
        <v>16317</v>
      </c>
      <c r="X2139" s="10" t="s">
        <v>16318</v>
      </c>
      <c r="Y2139" s="10" t="s">
        <v>16318</v>
      </c>
      <c r="Z2139" s="10" t="s">
        <v>99</v>
      </c>
      <c r="AA2139" s="10" t="s">
        <v>131</v>
      </c>
      <c r="AB2139" s="10" t="s">
        <v>16319</v>
      </c>
      <c r="AC2139" s="10"/>
      <c r="AD2139" s="10" t="s">
        <v>16320</v>
      </c>
      <c r="AE2139" s="10" t="s">
        <v>16321</v>
      </c>
      <c r="AF2139" s="15"/>
      <c r="AG2139" s="10"/>
      <c r="AH2139" s="10"/>
      <c r="AI2139" s="10"/>
      <c r="AJ2139" s="10"/>
      <c r="AK2139" s="10" t="s">
        <v>102</v>
      </c>
      <c r="AL2139" s="10" t="s">
        <v>103</v>
      </c>
      <c r="AM2139" s="10"/>
      <c r="AN2139" s="10"/>
      <c r="AO2139" s="13" t="b">
        <v>0</v>
      </c>
      <c r="AP2139" s="22" t="s">
        <v>104</v>
      </c>
      <c r="AQ2139" s="10">
        <f ca="1">IFERROR(__xludf.DUMMYFUNCTION("""COMPUTED_VALUE"""),4635905)</f>
        <v>4635905</v>
      </c>
      <c r="AR2139" s="17">
        <v>3971</v>
      </c>
      <c r="AS2139" s="17">
        <v>3386</v>
      </c>
      <c r="AT2139" s="17">
        <v>12844.25</v>
      </c>
      <c r="AU2139" s="17">
        <v>2.75</v>
      </c>
      <c r="AV2139" s="17">
        <v>0.1</v>
      </c>
      <c r="AW2139" s="10" t="s">
        <v>105</v>
      </c>
      <c r="AX2139" s="17">
        <v>239</v>
      </c>
      <c r="AY2139" s="18">
        <v>3.7933402244536327</v>
      </c>
      <c r="AZ2139" s="10" t="s">
        <v>117</v>
      </c>
      <c r="BA2139" s="20" t="b">
        <v>0</v>
      </c>
      <c r="BB2139" s="10"/>
      <c r="BC2139" s="17">
        <v>3971</v>
      </c>
      <c r="BD2139" s="17">
        <v>3386</v>
      </c>
      <c r="BE2139" s="17">
        <v>12844.25</v>
      </c>
      <c r="BF2139" s="17">
        <v>0.1</v>
      </c>
      <c r="BG2139" s="11">
        <f ca="1">IFERROR(__xludf.DUMMYFUNCTION("""COMPUTED_VALUE"""),45938.7083333333)</f>
        <v>45938.708333333299</v>
      </c>
      <c r="BH2139" s="17" t="s">
        <v>105</v>
      </c>
      <c r="BI2139" s="17"/>
      <c r="BJ2139" s="15"/>
      <c r="BK2139" s="15"/>
      <c r="BL2139" s="13" t="b">
        <v>0</v>
      </c>
      <c r="BM2139" s="10"/>
      <c r="BN2139" s="10" t="s">
        <v>4030</v>
      </c>
      <c r="BO2139" s="11">
        <v>45930.722222222219</v>
      </c>
      <c r="BP2139" s="11">
        <v>45930.722905092596</v>
      </c>
      <c r="BQ2139" s="15">
        <v>45936.660729166666</v>
      </c>
      <c r="BR2139" s="15">
        <v>45936.802256944444</v>
      </c>
      <c r="BS2139" s="10" t="s">
        <v>4030</v>
      </c>
      <c r="BT2139" s="10"/>
      <c r="BU2139" s="10"/>
      <c r="BV2139" s="10"/>
      <c r="BW2139" s="10"/>
      <c r="BX2139" s="10"/>
      <c r="BY2139" s="23"/>
      <c r="BZ2139" s="23"/>
      <c r="CA2139" s="19" t="s">
        <v>16322</v>
      </c>
      <c r="CB2139" s="23"/>
      <c r="CC2139" s="23"/>
      <c r="CD2139" s="19" t="s">
        <v>16323</v>
      </c>
      <c r="CE2139" s="23"/>
      <c r="CF2139" s="23"/>
      <c r="CG2139" s="23"/>
      <c r="CH2139" s="23"/>
      <c r="CI2139" s="23"/>
    </row>
    <row r="2140" spans="1:87" x14ac:dyDescent="0.3">
      <c r="A2140" s="9" t="s">
        <v>16324</v>
      </c>
      <c r="B2140" s="10" t="s">
        <v>16325</v>
      </c>
      <c r="C2140" s="11">
        <v>45938.729166666664</v>
      </c>
      <c r="D2140" s="12">
        <v>8.3333333333333329E-2</v>
      </c>
      <c r="E2140" s="11">
        <v>45938.8125</v>
      </c>
      <c r="F2140" s="10" t="s">
        <v>16311</v>
      </c>
      <c r="G2140" s="13" t="b">
        <v>0</v>
      </c>
      <c r="H2140" s="22" t="s">
        <v>16312</v>
      </c>
      <c r="I2140" s="10" t="s">
        <v>212</v>
      </c>
      <c r="J2140" s="13" t="b">
        <v>1</v>
      </c>
      <c r="K2140" s="13" t="b">
        <v>0</v>
      </c>
      <c r="L2140" s="10" t="s">
        <v>124</v>
      </c>
      <c r="M2140" s="10" t="s">
        <v>91</v>
      </c>
      <c r="N2140" s="10" t="s">
        <v>92</v>
      </c>
      <c r="O2140" s="19" t="s">
        <v>16326</v>
      </c>
      <c r="P2140" s="10"/>
      <c r="Q2140" s="10" t="s">
        <v>126</v>
      </c>
      <c r="R2140" s="10"/>
      <c r="S2140" s="19" t="s">
        <v>16327</v>
      </c>
      <c r="T2140" s="10"/>
      <c r="U2140" s="10" t="s">
        <v>16328</v>
      </c>
      <c r="V2140" s="10" t="s">
        <v>16329</v>
      </c>
      <c r="W2140" s="10" t="s">
        <v>16317</v>
      </c>
      <c r="X2140" s="10" t="s">
        <v>16318</v>
      </c>
      <c r="Y2140" s="10" t="s">
        <v>16318</v>
      </c>
      <c r="Z2140" s="10" t="s">
        <v>99</v>
      </c>
      <c r="AA2140" s="10" t="s">
        <v>131</v>
      </c>
      <c r="AB2140" s="10" t="s">
        <v>16319</v>
      </c>
      <c r="AC2140" s="10"/>
      <c r="AD2140" s="10" t="s">
        <v>16330</v>
      </c>
      <c r="AE2140" s="10" t="s">
        <v>16331</v>
      </c>
      <c r="AF2140" s="15"/>
      <c r="AG2140" s="10"/>
      <c r="AH2140" s="10"/>
      <c r="AI2140" s="10"/>
      <c r="AJ2140" s="10"/>
      <c r="AK2140" s="10" t="s">
        <v>102</v>
      </c>
      <c r="AL2140" s="10" t="s">
        <v>103</v>
      </c>
      <c r="AM2140" s="10"/>
      <c r="AN2140" s="10"/>
      <c r="AO2140" s="13" t="b">
        <v>0</v>
      </c>
      <c r="AP2140" s="22" t="s">
        <v>104</v>
      </c>
      <c r="AQ2140" s="10">
        <f ca="1">IFERROR(__xludf.DUMMYFUNCTION("""COMPUTED_VALUE"""),4635907)</f>
        <v>4635907</v>
      </c>
      <c r="AR2140" s="17">
        <v>3729</v>
      </c>
      <c r="AS2140" s="17">
        <v>2883</v>
      </c>
      <c r="AT2140" s="17">
        <v>13112.5</v>
      </c>
      <c r="AU2140" s="17">
        <v>2.25</v>
      </c>
      <c r="AV2140" s="17">
        <v>0</v>
      </c>
      <c r="AW2140" s="10" t="s">
        <v>105</v>
      </c>
      <c r="AX2140" s="17">
        <v>371</v>
      </c>
      <c r="AY2140" s="18">
        <v>4.5482136663198061</v>
      </c>
      <c r="AZ2140" s="10" t="s">
        <v>117</v>
      </c>
      <c r="BA2140" s="20" t="b">
        <v>0</v>
      </c>
      <c r="BB2140" s="10"/>
      <c r="BC2140" s="17">
        <v>3729</v>
      </c>
      <c r="BD2140" s="17">
        <v>2883</v>
      </c>
      <c r="BE2140" s="17">
        <v>13112.5</v>
      </c>
      <c r="BF2140" s="17">
        <v>0</v>
      </c>
      <c r="BG2140" s="11">
        <f ca="1">IFERROR(__xludf.DUMMYFUNCTION("""COMPUTED_VALUE"""),45938.7291666666)</f>
        <v>45938.729166666599</v>
      </c>
      <c r="BH2140" s="17" t="s">
        <v>105</v>
      </c>
      <c r="BI2140" s="17"/>
      <c r="BJ2140" s="15"/>
      <c r="BK2140" s="15"/>
      <c r="BL2140" s="13" t="b">
        <v>0</v>
      </c>
      <c r="BM2140" s="10"/>
      <c r="BN2140" s="10" t="s">
        <v>137</v>
      </c>
      <c r="BO2140" s="11">
        <v>45930.724305555559</v>
      </c>
      <c r="BP2140" s="11">
        <v>45930.724583333336</v>
      </c>
      <c r="BQ2140" s="15">
        <v>45936.660856481481</v>
      </c>
      <c r="BR2140" s="15">
        <v>45936.844722222224</v>
      </c>
      <c r="BS2140" s="10" t="s">
        <v>137</v>
      </c>
      <c r="BT2140" s="10"/>
      <c r="BU2140" s="10"/>
      <c r="BV2140" s="10"/>
      <c r="BW2140" s="10"/>
      <c r="BX2140" s="10"/>
      <c r="BY2140" s="23"/>
      <c r="BZ2140" s="23"/>
      <c r="CA2140" s="19" t="s">
        <v>16332</v>
      </c>
      <c r="CB2140" s="23"/>
      <c r="CC2140" s="23"/>
      <c r="CD2140" s="19" t="s">
        <v>16333</v>
      </c>
      <c r="CE2140" s="23"/>
      <c r="CF2140" s="23"/>
      <c r="CG2140" s="23"/>
      <c r="CH2140" s="23"/>
      <c r="CI2140" s="23"/>
    </row>
    <row r="2141" spans="1:87" x14ac:dyDescent="0.3">
      <c r="A2141" s="9" t="s">
        <v>16334</v>
      </c>
      <c r="B2141" s="10" t="s">
        <v>16335</v>
      </c>
      <c r="C2141" s="11">
        <v>45938.8125</v>
      </c>
      <c r="D2141" s="12">
        <v>8.3333333333333329E-2</v>
      </c>
      <c r="E2141" s="11">
        <v>45938.895833333336</v>
      </c>
      <c r="F2141" s="10" t="s">
        <v>16311</v>
      </c>
      <c r="G2141" s="13" t="b">
        <v>0</v>
      </c>
      <c r="H2141" s="22" t="s">
        <v>16312</v>
      </c>
      <c r="I2141" s="10" t="s">
        <v>212</v>
      </c>
      <c r="J2141" s="13" t="b">
        <v>1</v>
      </c>
      <c r="K2141" s="13" t="b">
        <v>0</v>
      </c>
      <c r="L2141" s="10" t="s">
        <v>124</v>
      </c>
      <c r="M2141" s="10" t="s">
        <v>91</v>
      </c>
      <c r="N2141" s="10" t="s">
        <v>92</v>
      </c>
      <c r="O2141" s="19" t="s">
        <v>16336</v>
      </c>
      <c r="P2141" s="10"/>
      <c r="Q2141" s="10" t="s">
        <v>126</v>
      </c>
      <c r="R2141" s="10"/>
      <c r="S2141" s="19" t="s">
        <v>16337</v>
      </c>
      <c r="T2141" s="10"/>
      <c r="U2141" s="10" t="s">
        <v>16338</v>
      </c>
      <c r="V2141" s="10" t="s">
        <v>16339</v>
      </c>
      <c r="W2141" s="10" t="s">
        <v>16317</v>
      </c>
      <c r="X2141" s="10" t="s">
        <v>16318</v>
      </c>
      <c r="Y2141" s="10" t="s">
        <v>16318</v>
      </c>
      <c r="Z2141" s="10" t="s">
        <v>99</v>
      </c>
      <c r="AA2141" s="10" t="s">
        <v>131</v>
      </c>
      <c r="AB2141" s="10" t="s">
        <v>16319</v>
      </c>
      <c r="AC2141" s="10"/>
      <c r="AD2141" s="10" t="s">
        <v>16340</v>
      </c>
      <c r="AE2141" s="10" t="s">
        <v>16341</v>
      </c>
      <c r="AF2141" s="15"/>
      <c r="AG2141" s="10"/>
      <c r="AH2141" s="10"/>
      <c r="AI2141" s="10"/>
      <c r="AJ2141" s="10"/>
      <c r="AK2141" s="10" t="s">
        <v>102</v>
      </c>
      <c r="AL2141" s="10" t="s">
        <v>103</v>
      </c>
      <c r="AM2141" s="10"/>
      <c r="AN2141" s="10"/>
      <c r="AO2141" s="13" t="b">
        <v>0</v>
      </c>
      <c r="AP2141" s="22" t="s">
        <v>104</v>
      </c>
      <c r="AQ2141" s="10">
        <f ca="1">IFERROR(__xludf.DUMMYFUNCTION("""COMPUTED_VALUE"""),4635908)</f>
        <v>4635908</v>
      </c>
      <c r="AR2141" s="17">
        <v>2975</v>
      </c>
      <c r="AS2141" s="17">
        <v>2598</v>
      </c>
      <c r="AT2141" s="17">
        <v>9593.75</v>
      </c>
      <c r="AU2141" s="17">
        <v>3.3</v>
      </c>
      <c r="AV2141" s="17">
        <v>1.25</v>
      </c>
      <c r="AW2141" s="10" t="s">
        <v>105</v>
      </c>
      <c r="AX2141" s="17">
        <v>244</v>
      </c>
      <c r="AY2141" s="18">
        <v>3.6927444187836795</v>
      </c>
      <c r="AZ2141" s="10" t="s">
        <v>117</v>
      </c>
      <c r="BA2141" s="20" t="b">
        <v>0</v>
      </c>
      <c r="BB2141" s="10"/>
      <c r="BC2141" s="17">
        <v>2975</v>
      </c>
      <c r="BD2141" s="17">
        <v>2598</v>
      </c>
      <c r="BE2141" s="17">
        <v>9593.75</v>
      </c>
      <c r="BF2141" s="17">
        <v>1.25</v>
      </c>
      <c r="BG2141" s="11">
        <f ca="1">IFERROR(__xludf.DUMMYFUNCTION("""COMPUTED_VALUE"""),45938.8125)</f>
        <v>45938.8125</v>
      </c>
      <c r="BH2141" s="17" t="s">
        <v>105</v>
      </c>
      <c r="BI2141" s="17"/>
      <c r="BJ2141" s="15"/>
      <c r="BK2141" s="15"/>
      <c r="BL2141" s="13" t="b">
        <v>0</v>
      </c>
      <c r="BM2141" s="10"/>
      <c r="BN2141" s="10" t="s">
        <v>137</v>
      </c>
      <c r="BO2141" s="11">
        <v>45930.724999999999</v>
      </c>
      <c r="BP2141" s="11">
        <v>45930.725405092591</v>
      </c>
      <c r="BQ2141" s="15">
        <v>45936.66097222222</v>
      </c>
      <c r="BR2141" s="15">
        <v>45936.871134259258</v>
      </c>
      <c r="BS2141" s="10" t="s">
        <v>137</v>
      </c>
      <c r="BT2141" s="10"/>
      <c r="BU2141" s="10"/>
      <c r="BV2141" s="10"/>
      <c r="BW2141" s="10"/>
      <c r="BX2141" s="10"/>
      <c r="BY2141" s="23"/>
      <c r="BZ2141" s="23"/>
      <c r="CA2141" s="19" t="s">
        <v>16342</v>
      </c>
      <c r="CB2141" s="23"/>
      <c r="CC2141" s="23"/>
      <c r="CD2141" s="19" t="s">
        <v>16343</v>
      </c>
      <c r="CE2141" s="23"/>
      <c r="CF2141" s="23"/>
      <c r="CG2141" s="23"/>
      <c r="CH2141" s="23"/>
      <c r="CI2141" s="23"/>
    </row>
    <row r="2142" spans="1:87" x14ac:dyDescent="0.3">
      <c r="A2142" s="9" t="s">
        <v>16344</v>
      </c>
      <c r="B2142" s="10" t="s">
        <v>16345</v>
      </c>
      <c r="C2142" s="11">
        <v>45954.645833333336</v>
      </c>
      <c r="D2142" s="12">
        <v>8.3333333333333329E-2</v>
      </c>
      <c r="E2142" s="11">
        <v>45954.729166666664</v>
      </c>
      <c r="F2142" s="10" t="s">
        <v>14786</v>
      </c>
      <c r="G2142" s="13" t="b">
        <v>0</v>
      </c>
      <c r="H2142" s="22" t="s">
        <v>14787</v>
      </c>
      <c r="I2142" s="10" t="s">
        <v>212</v>
      </c>
      <c r="J2142" s="13" t="b">
        <v>1</v>
      </c>
      <c r="K2142" s="13" t="b">
        <v>0</v>
      </c>
      <c r="L2142" s="10" t="s">
        <v>124</v>
      </c>
      <c r="M2142" s="10" t="s">
        <v>91</v>
      </c>
      <c r="N2142" s="10" t="s">
        <v>3513</v>
      </c>
      <c r="O2142" s="19" t="s">
        <v>16346</v>
      </c>
      <c r="P2142" s="10"/>
      <c r="Q2142" s="10" t="s">
        <v>126</v>
      </c>
      <c r="R2142" s="10"/>
      <c r="S2142" s="19" t="s">
        <v>16347</v>
      </c>
      <c r="T2142" s="19" t="s">
        <v>16348</v>
      </c>
      <c r="U2142" s="10" t="s">
        <v>14805</v>
      </c>
      <c r="V2142" s="10" t="s">
        <v>14792</v>
      </c>
      <c r="W2142" s="10" t="s">
        <v>14793</v>
      </c>
      <c r="X2142" s="10" t="s">
        <v>130</v>
      </c>
      <c r="Y2142" s="10" t="s">
        <v>130</v>
      </c>
      <c r="Z2142" s="10" t="s">
        <v>99</v>
      </c>
      <c r="AA2142" s="10" t="s">
        <v>131</v>
      </c>
      <c r="AB2142" s="10" t="s">
        <v>14794</v>
      </c>
      <c r="AC2142" s="10" t="s">
        <v>3521</v>
      </c>
      <c r="AD2142" s="10" t="s">
        <v>16349</v>
      </c>
      <c r="AE2142" s="10" t="s">
        <v>16350</v>
      </c>
      <c r="AF2142" s="15"/>
      <c r="AG2142" s="10"/>
      <c r="AH2142" s="10"/>
      <c r="AI2142" s="10"/>
      <c r="AJ2142" s="10"/>
      <c r="AK2142" s="10" t="s">
        <v>102</v>
      </c>
      <c r="AL2142" s="10" t="s">
        <v>184</v>
      </c>
      <c r="AM2142" s="10"/>
      <c r="AN2142" s="10"/>
      <c r="AO2142" s="13" t="b">
        <v>0</v>
      </c>
      <c r="AP2142" s="22" t="s">
        <v>104</v>
      </c>
      <c r="AQ2142" s="10">
        <f ca="1">IFERROR(__xludf.DUMMYFUNCTION("""COMPUTED_VALUE"""),4665891)</f>
        <v>4665891</v>
      </c>
      <c r="AR2142" s="17">
        <v>39807</v>
      </c>
      <c r="AS2142" s="17">
        <v>20681</v>
      </c>
      <c r="AT2142" s="17">
        <v>583933</v>
      </c>
      <c r="AU2142" s="17">
        <v>84.75</v>
      </c>
      <c r="AV2142" s="17">
        <v>15.3</v>
      </c>
      <c r="AW2142" s="10" t="s">
        <v>105</v>
      </c>
      <c r="AX2142" s="17">
        <v>9195</v>
      </c>
      <c r="AY2142" s="18">
        <v>28.235240075431555</v>
      </c>
      <c r="AZ2142" s="10" t="s">
        <v>106</v>
      </c>
      <c r="BA2142" s="20" t="b">
        <v>0</v>
      </c>
      <c r="BB2142" s="10"/>
      <c r="BC2142" s="17">
        <v>39807</v>
      </c>
      <c r="BD2142" s="17">
        <v>20681</v>
      </c>
      <c r="BE2142" s="17">
        <v>583933</v>
      </c>
      <c r="BF2142" s="17">
        <v>15.3</v>
      </c>
      <c r="BG2142" s="11">
        <f ca="1">IFERROR(__xludf.DUMMYFUNCTION("""COMPUTED_VALUE"""),45954.6458333333)</f>
        <v>45954.645833333299</v>
      </c>
      <c r="BH2142" s="17" t="s">
        <v>105</v>
      </c>
      <c r="BI2142" s="17"/>
      <c r="BJ2142" s="15"/>
      <c r="BK2142" s="15"/>
      <c r="BL2142" s="13" t="b">
        <v>0</v>
      </c>
      <c r="BM2142" s="10"/>
      <c r="BN2142" s="10" t="s">
        <v>149</v>
      </c>
      <c r="BO2142" s="11">
        <v>45931.615972222222</v>
      </c>
      <c r="BP2142" s="11">
        <v>45938.657523148147</v>
      </c>
      <c r="BQ2142" s="15">
        <v>45952.465810185182</v>
      </c>
      <c r="BR2142" s="15">
        <v>45952.587083333332</v>
      </c>
      <c r="BS2142" s="10" t="s">
        <v>149</v>
      </c>
      <c r="BT2142" s="10" t="s">
        <v>99</v>
      </c>
      <c r="BU2142" s="10" t="s">
        <v>280</v>
      </c>
      <c r="BV2142" s="10"/>
      <c r="BW2142" s="10"/>
      <c r="BX2142" s="10"/>
      <c r="BY2142" s="23"/>
      <c r="BZ2142" s="23"/>
      <c r="CA2142" s="19" t="s">
        <v>16351</v>
      </c>
      <c r="CB2142" s="19" t="s">
        <v>16352</v>
      </c>
      <c r="CC2142" s="23"/>
      <c r="CD2142" s="19" t="s">
        <v>16353</v>
      </c>
      <c r="CE2142" s="23"/>
      <c r="CF2142" s="23"/>
      <c r="CG2142" s="23"/>
      <c r="CH2142" s="23"/>
      <c r="CI2142" s="23"/>
    </row>
    <row r="2143" spans="1:87" x14ac:dyDescent="0.3">
      <c r="A2143" s="9" t="s">
        <v>16354</v>
      </c>
      <c r="B2143" s="10" t="s">
        <v>16355</v>
      </c>
      <c r="C2143" s="11">
        <v>45954.791666666664</v>
      </c>
      <c r="D2143" s="12">
        <v>8.3333333333333329E-2</v>
      </c>
      <c r="E2143" s="11">
        <v>45954.875</v>
      </c>
      <c r="F2143" s="10" t="s">
        <v>14786</v>
      </c>
      <c r="G2143" s="13" t="b">
        <v>0</v>
      </c>
      <c r="H2143" s="22" t="s">
        <v>14787</v>
      </c>
      <c r="I2143" s="10" t="s">
        <v>212</v>
      </c>
      <c r="J2143" s="13" t="b">
        <v>1</v>
      </c>
      <c r="K2143" s="13" t="b">
        <v>0</v>
      </c>
      <c r="L2143" s="10" t="s">
        <v>124</v>
      </c>
      <c r="M2143" s="10" t="s">
        <v>91</v>
      </c>
      <c r="N2143" s="10" t="s">
        <v>3513</v>
      </c>
      <c r="O2143" s="19" t="s">
        <v>16356</v>
      </c>
      <c r="P2143" s="10"/>
      <c r="Q2143" s="10" t="s">
        <v>126</v>
      </c>
      <c r="R2143" s="10"/>
      <c r="S2143" s="19" t="s">
        <v>16357</v>
      </c>
      <c r="T2143" s="19" t="s">
        <v>16348</v>
      </c>
      <c r="U2143" s="10" t="s">
        <v>14882</v>
      </c>
      <c r="V2143" s="10" t="s">
        <v>14893</v>
      </c>
      <c r="W2143" s="10" t="s">
        <v>14793</v>
      </c>
      <c r="X2143" s="10" t="s">
        <v>130</v>
      </c>
      <c r="Y2143" s="10" t="s">
        <v>130</v>
      </c>
      <c r="Z2143" s="10" t="s">
        <v>99</v>
      </c>
      <c r="AA2143" s="10" t="s">
        <v>131</v>
      </c>
      <c r="AB2143" s="10" t="s">
        <v>14794</v>
      </c>
      <c r="AC2143" s="10" t="s">
        <v>3521</v>
      </c>
      <c r="AD2143" s="10" t="s">
        <v>16358</v>
      </c>
      <c r="AE2143" s="10" t="s">
        <v>16359</v>
      </c>
      <c r="AF2143" s="15"/>
      <c r="AG2143" s="10"/>
      <c r="AH2143" s="10"/>
      <c r="AI2143" s="10"/>
      <c r="AJ2143" s="10"/>
      <c r="AK2143" s="10" t="s">
        <v>102</v>
      </c>
      <c r="AL2143" s="10" t="s">
        <v>184</v>
      </c>
      <c r="AM2143" s="10"/>
      <c r="AN2143" s="10"/>
      <c r="AO2143" s="13" t="b">
        <v>0</v>
      </c>
      <c r="AP2143" s="22" t="s">
        <v>104</v>
      </c>
      <c r="AQ2143" s="10">
        <f ca="1">IFERROR(__xludf.DUMMYFUNCTION("""COMPUTED_VALUE"""),4665892)</f>
        <v>4665892</v>
      </c>
      <c r="AR2143" s="17">
        <v>32621</v>
      </c>
      <c r="AS2143" s="17">
        <v>20727</v>
      </c>
      <c r="AT2143" s="17">
        <v>338432.5</v>
      </c>
      <c r="AU2143" s="17">
        <v>74.45</v>
      </c>
      <c r="AV2143" s="17">
        <v>9.5</v>
      </c>
      <c r="AW2143" s="10" t="s">
        <v>105</v>
      </c>
      <c r="AX2143" s="17">
        <v>7945</v>
      </c>
      <c r="AY2143" s="18">
        <v>16.328098615332657</v>
      </c>
      <c r="AZ2143" s="10" t="s">
        <v>106</v>
      </c>
      <c r="BA2143" s="20" t="b">
        <v>0</v>
      </c>
      <c r="BB2143" s="10"/>
      <c r="BC2143" s="17">
        <v>32621</v>
      </c>
      <c r="BD2143" s="17">
        <v>20727</v>
      </c>
      <c r="BE2143" s="17">
        <v>338432.5</v>
      </c>
      <c r="BF2143" s="17">
        <v>9.5</v>
      </c>
      <c r="BG2143" s="11">
        <f ca="1">IFERROR(__xludf.DUMMYFUNCTION("""COMPUTED_VALUE"""),45954.7916666666)</f>
        <v>45954.791666666599</v>
      </c>
      <c r="BH2143" s="17" t="s">
        <v>105</v>
      </c>
      <c r="BI2143" s="17"/>
      <c r="BJ2143" s="15"/>
      <c r="BK2143" s="15"/>
      <c r="BL2143" s="13" t="b">
        <v>0</v>
      </c>
      <c r="BM2143" s="10"/>
      <c r="BN2143" s="10" t="s">
        <v>149</v>
      </c>
      <c r="BO2143" s="11">
        <v>45931.616666666669</v>
      </c>
      <c r="BP2143" s="11">
        <v>45938.657696759263</v>
      </c>
      <c r="BQ2143" s="15">
        <v>45952.46601851852</v>
      </c>
      <c r="BR2143" s="15">
        <v>45952.587199074071</v>
      </c>
      <c r="BS2143" s="10" t="s">
        <v>149</v>
      </c>
      <c r="BT2143" s="10" t="s">
        <v>99</v>
      </c>
      <c r="BU2143" s="10" t="s">
        <v>280</v>
      </c>
      <c r="BV2143" s="10"/>
      <c r="BW2143" s="10"/>
      <c r="BX2143" s="10"/>
      <c r="BY2143" s="23"/>
      <c r="BZ2143" s="23"/>
      <c r="CA2143" s="19" t="s">
        <v>16360</v>
      </c>
      <c r="CB2143" s="19" t="s">
        <v>16361</v>
      </c>
      <c r="CC2143" s="23"/>
      <c r="CD2143" s="19" t="s">
        <v>16362</v>
      </c>
      <c r="CE2143" s="23"/>
      <c r="CF2143" s="23"/>
      <c r="CG2143" s="23"/>
      <c r="CH2143" s="23"/>
      <c r="CI2143" s="23"/>
    </row>
    <row r="2144" spans="1:87" x14ac:dyDescent="0.3">
      <c r="A2144" s="9" t="s">
        <v>16363</v>
      </c>
      <c r="B2144" s="10" t="s">
        <v>16364</v>
      </c>
      <c r="C2144" s="11">
        <v>45955.5625</v>
      </c>
      <c r="D2144" s="12">
        <v>8.3333333333333329E-2</v>
      </c>
      <c r="E2144" s="11">
        <v>45955.645833333336</v>
      </c>
      <c r="F2144" s="10" t="s">
        <v>14786</v>
      </c>
      <c r="G2144" s="13" t="b">
        <v>0</v>
      </c>
      <c r="H2144" s="22" t="s">
        <v>14787</v>
      </c>
      <c r="I2144" s="10" t="s">
        <v>3548</v>
      </c>
      <c r="J2144" s="13" t="b">
        <v>0</v>
      </c>
      <c r="K2144" s="13" t="b">
        <v>1</v>
      </c>
      <c r="L2144" s="10" t="s">
        <v>124</v>
      </c>
      <c r="M2144" s="10" t="s">
        <v>91</v>
      </c>
      <c r="N2144" s="10" t="s">
        <v>3513</v>
      </c>
      <c r="O2144" s="19" t="s">
        <v>16365</v>
      </c>
      <c r="P2144" s="10"/>
      <c r="Q2144" s="10" t="s">
        <v>126</v>
      </c>
      <c r="R2144" s="10"/>
      <c r="S2144" s="19" t="s">
        <v>16366</v>
      </c>
      <c r="T2144" s="19" t="s">
        <v>16348</v>
      </c>
      <c r="U2144" s="10" t="s">
        <v>14871</v>
      </c>
      <c r="V2144" s="10" t="s">
        <v>14859</v>
      </c>
      <c r="W2144" s="10" t="s">
        <v>14793</v>
      </c>
      <c r="X2144" s="10" t="s">
        <v>130</v>
      </c>
      <c r="Y2144" s="10" t="s">
        <v>130</v>
      </c>
      <c r="Z2144" s="10" t="s">
        <v>99</v>
      </c>
      <c r="AA2144" s="10" t="s">
        <v>131</v>
      </c>
      <c r="AB2144" s="10" t="s">
        <v>14794</v>
      </c>
      <c r="AC2144" s="10" t="s">
        <v>3521</v>
      </c>
      <c r="AD2144" s="10" t="s">
        <v>16367</v>
      </c>
      <c r="AE2144" s="10" t="s">
        <v>16368</v>
      </c>
      <c r="AF2144" s="15"/>
      <c r="AG2144" s="10"/>
      <c r="AH2144" s="10"/>
      <c r="AI2144" s="10"/>
      <c r="AJ2144" s="10"/>
      <c r="AK2144" s="10" t="s">
        <v>102</v>
      </c>
      <c r="AL2144" s="10" t="s">
        <v>184</v>
      </c>
      <c r="AM2144" s="10"/>
      <c r="AN2144" s="10"/>
      <c r="AO2144" s="13" t="b">
        <v>1</v>
      </c>
      <c r="AP2144" s="22" t="s">
        <v>104</v>
      </c>
      <c r="AQ2144" s="10">
        <f ca="1">IFERROR(__xludf.DUMMYFUNCTION("""COMPUTED_VALUE"""),4665895)</f>
        <v>4665895</v>
      </c>
      <c r="AR2144" s="17">
        <v>50255</v>
      </c>
      <c r="AS2144" s="17">
        <v>31462</v>
      </c>
      <c r="AT2144" s="17">
        <v>967452.5</v>
      </c>
      <c r="AU2144" s="17">
        <v>689.05</v>
      </c>
      <c r="AV2144" s="17">
        <v>191.55</v>
      </c>
      <c r="AW2144" s="10" t="s">
        <v>105</v>
      </c>
      <c r="AX2144" s="17">
        <v>14464</v>
      </c>
      <c r="AY2144" s="18">
        <v>30.749872862500794</v>
      </c>
      <c r="AZ2144" s="10" t="s">
        <v>106</v>
      </c>
      <c r="BA2144" s="20" t="b">
        <v>0</v>
      </c>
      <c r="BB2144" s="10"/>
      <c r="BC2144" s="17">
        <v>50255</v>
      </c>
      <c r="BD2144" s="17">
        <v>31462</v>
      </c>
      <c r="BE2144" s="17">
        <v>967452.5</v>
      </c>
      <c r="BF2144" s="17">
        <v>191.55</v>
      </c>
      <c r="BG2144" s="11">
        <f ca="1">IFERROR(__xludf.DUMMYFUNCTION("""COMPUTED_VALUE"""),45955.5625)</f>
        <v>45955.5625</v>
      </c>
      <c r="BH2144" s="17" t="s">
        <v>105</v>
      </c>
      <c r="BI2144" s="17"/>
      <c r="BJ2144" s="15"/>
      <c r="BK2144" s="15"/>
      <c r="BL2144" s="13" t="b">
        <v>0</v>
      </c>
      <c r="BM2144" s="10"/>
      <c r="BN2144" s="10" t="s">
        <v>137</v>
      </c>
      <c r="BO2144" s="11">
        <v>45931.617361111108</v>
      </c>
      <c r="BP2144" s="11">
        <v>45938.578506944446</v>
      </c>
      <c r="BQ2144" s="15">
        <v>45952.466365740744</v>
      </c>
      <c r="BR2144" s="15">
        <v>45952.587453703702</v>
      </c>
      <c r="BS2144" s="10" t="s">
        <v>137</v>
      </c>
      <c r="BT2144" s="10"/>
      <c r="BU2144" s="10"/>
      <c r="BV2144" s="10"/>
      <c r="BW2144" s="10"/>
      <c r="BX2144" s="10"/>
      <c r="BY2144" s="23"/>
      <c r="BZ2144" s="23"/>
      <c r="CA2144" s="19" t="s">
        <v>16369</v>
      </c>
      <c r="CB2144" s="19" t="s">
        <v>16370</v>
      </c>
      <c r="CC2144" s="23"/>
      <c r="CD2144" s="19" t="s">
        <v>16371</v>
      </c>
      <c r="CE2144" s="23"/>
      <c r="CF2144" s="23"/>
      <c r="CG2144" s="23"/>
      <c r="CH2144" s="23"/>
      <c r="CI2144" s="23"/>
    </row>
    <row r="2145" spans="1:87" x14ac:dyDescent="0.3">
      <c r="A2145" s="9" t="s">
        <v>16372</v>
      </c>
      <c r="B2145" s="10" t="s">
        <v>16373</v>
      </c>
      <c r="C2145" s="11">
        <v>45955.645833333336</v>
      </c>
      <c r="D2145" s="12">
        <v>8.3333333333333329E-2</v>
      </c>
      <c r="E2145" s="11">
        <v>45955.729166666664</v>
      </c>
      <c r="F2145" s="10" t="s">
        <v>14786</v>
      </c>
      <c r="G2145" s="13" t="b">
        <v>0</v>
      </c>
      <c r="H2145" s="22" t="s">
        <v>14787</v>
      </c>
      <c r="I2145" s="10" t="s">
        <v>3548</v>
      </c>
      <c r="J2145" s="13" t="b">
        <v>0</v>
      </c>
      <c r="K2145" s="13" t="b">
        <v>1</v>
      </c>
      <c r="L2145" s="10" t="s">
        <v>124</v>
      </c>
      <c r="M2145" s="10" t="s">
        <v>91</v>
      </c>
      <c r="N2145" s="10" t="s">
        <v>3513</v>
      </c>
      <c r="O2145" s="19" t="s">
        <v>16374</v>
      </c>
      <c r="P2145" s="10"/>
      <c r="Q2145" s="10" t="s">
        <v>126</v>
      </c>
      <c r="R2145" s="10"/>
      <c r="S2145" s="19" t="s">
        <v>16375</v>
      </c>
      <c r="T2145" s="19" t="s">
        <v>16348</v>
      </c>
      <c r="U2145" s="10" t="s">
        <v>14837</v>
      </c>
      <c r="V2145" s="10" t="s">
        <v>14848</v>
      </c>
      <c r="W2145" s="10" t="s">
        <v>14793</v>
      </c>
      <c r="X2145" s="10" t="s">
        <v>130</v>
      </c>
      <c r="Y2145" s="10" t="s">
        <v>130</v>
      </c>
      <c r="Z2145" s="10" t="s">
        <v>99</v>
      </c>
      <c r="AA2145" s="10" t="s">
        <v>131</v>
      </c>
      <c r="AB2145" s="10" t="s">
        <v>14794</v>
      </c>
      <c r="AC2145" s="10" t="s">
        <v>3521</v>
      </c>
      <c r="AD2145" s="10" t="s">
        <v>16376</v>
      </c>
      <c r="AE2145" s="10" t="s">
        <v>16377</v>
      </c>
      <c r="AF2145" s="15"/>
      <c r="AG2145" s="10"/>
      <c r="AH2145" s="10"/>
      <c r="AI2145" s="10"/>
      <c r="AJ2145" s="10"/>
      <c r="AK2145" s="10" t="s">
        <v>102</v>
      </c>
      <c r="AL2145" s="10" t="s">
        <v>184</v>
      </c>
      <c r="AM2145" s="10"/>
      <c r="AN2145" s="10"/>
      <c r="AO2145" s="13" t="b">
        <v>1</v>
      </c>
      <c r="AP2145" s="22" t="s">
        <v>104</v>
      </c>
      <c r="AQ2145" s="10">
        <f ca="1">IFERROR(__xludf.DUMMYFUNCTION("""COMPUTED_VALUE"""),4665898)</f>
        <v>4665898</v>
      </c>
      <c r="AR2145" s="17">
        <v>68961</v>
      </c>
      <c r="AS2145" s="17">
        <v>38458</v>
      </c>
      <c r="AT2145" s="17">
        <v>989393</v>
      </c>
      <c r="AU2145" s="17">
        <v>722.9</v>
      </c>
      <c r="AV2145" s="17">
        <v>185.8</v>
      </c>
      <c r="AW2145" s="10" t="s">
        <v>105</v>
      </c>
      <c r="AX2145" s="17">
        <v>13106</v>
      </c>
      <c r="AY2145" s="18">
        <v>25.726584845805814</v>
      </c>
      <c r="AZ2145" s="10" t="s">
        <v>106</v>
      </c>
      <c r="BA2145" s="20" t="b">
        <v>0</v>
      </c>
      <c r="BB2145" s="10"/>
      <c r="BC2145" s="17">
        <v>68961</v>
      </c>
      <c r="BD2145" s="17">
        <v>38458</v>
      </c>
      <c r="BE2145" s="17">
        <v>989393</v>
      </c>
      <c r="BF2145" s="17">
        <v>185.8</v>
      </c>
      <c r="BG2145" s="11">
        <f ca="1">IFERROR(__xludf.DUMMYFUNCTION("""COMPUTED_VALUE"""),45955.6458333333)</f>
        <v>45955.645833333299</v>
      </c>
      <c r="BH2145" s="17" t="s">
        <v>105</v>
      </c>
      <c r="BI2145" s="17"/>
      <c r="BJ2145" s="15"/>
      <c r="BK2145" s="15"/>
      <c r="BL2145" s="13" t="b">
        <v>0</v>
      </c>
      <c r="BM2145" s="10"/>
      <c r="BN2145" s="10" t="s">
        <v>1057</v>
      </c>
      <c r="BO2145" s="11">
        <v>45931.617361111108</v>
      </c>
      <c r="BP2145" s="11">
        <v>45938.57880787037</v>
      </c>
      <c r="BQ2145" s="15">
        <v>45952.466620370367</v>
      </c>
      <c r="BR2145" s="15">
        <v>45952.587800925925</v>
      </c>
      <c r="BS2145" s="10"/>
      <c r="BT2145" s="10" t="s">
        <v>279</v>
      </c>
      <c r="BU2145" s="10" t="s">
        <v>421</v>
      </c>
      <c r="BV2145" s="10"/>
      <c r="BW2145" s="10"/>
      <c r="BX2145" s="10"/>
      <c r="BY2145" s="23"/>
      <c r="BZ2145" s="23"/>
      <c r="CA2145" s="19" t="s">
        <v>16378</v>
      </c>
      <c r="CB2145" s="19" t="s">
        <v>16379</v>
      </c>
      <c r="CC2145" s="23"/>
      <c r="CD2145" s="19" t="s">
        <v>16380</v>
      </c>
      <c r="CE2145" s="23"/>
      <c r="CF2145" s="23"/>
      <c r="CG2145" s="23"/>
      <c r="CH2145" s="23"/>
      <c r="CI2145" s="23"/>
    </row>
    <row r="2146" spans="1:87" x14ac:dyDescent="0.3">
      <c r="A2146" s="9" t="s">
        <v>16381</v>
      </c>
      <c r="B2146" s="10" t="s">
        <v>16382</v>
      </c>
      <c r="C2146" s="11">
        <v>45955.604166666664</v>
      </c>
      <c r="D2146" s="12">
        <v>8.3333333333333329E-2</v>
      </c>
      <c r="E2146" s="11">
        <v>45955.6875</v>
      </c>
      <c r="F2146" s="10" t="s">
        <v>14786</v>
      </c>
      <c r="G2146" s="13" t="b">
        <v>0</v>
      </c>
      <c r="H2146" s="22" t="s">
        <v>14787</v>
      </c>
      <c r="I2146" s="10" t="s">
        <v>212</v>
      </c>
      <c r="J2146" s="13" t="b">
        <v>1</v>
      </c>
      <c r="K2146" s="13" t="b">
        <v>0</v>
      </c>
      <c r="L2146" s="10" t="s">
        <v>124</v>
      </c>
      <c r="M2146" s="10" t="s">
        <v>91</v>
      </c>
      <c r="N2146" s="10" t="s">
        <v>3513</v>
      </c>
      <c r="O2146" s="19" t="s">
        <v>16383</v>
      </c>
      <c r="P2146" s="10"/>
      <c r="Q2146" s="10" t="s">
        <v>126</v>
      </c>
      <c r="R2146" s="10"/>
      <c r="S2146" s="19" t="s">
        <v>16384</v>
      </c>
      <c r="T2146" s="19" t="s">
        <v>16348</v>
      </c>
      <c r="U2146" s="10" t="s">
        <v>14870</v>
      </c>
      <c r="V2146" s="10" t="s">
        <v>14860</v>
      </c>
      <c r="W2146" s="10" t="s">
        <v>14793</v>
      </c>
      <c r="X2146" s="10" t="s">
        <v>130</v>
      </c>
      <c r="Y2146" s="10" t="s">
        <v>130</v>
      </c>
      <c r="Z2146" s="10" t="s">
        <v>99</v>
      </c>
      <c r="AA2146" s="10" t="s">
        <v>131</v>
      </c>
      <c r="AB2146" s="10" t="s">
        <v>14794</v>
      </c>
      <c r="AC2146" s="10" t="s">
        <v>3521</v>
      </c>
      <c r="AD2146" s="10" t="s">
        <v>16385</v>
      </c>
      <c r="AE2146" s="10" t="s">
        <v>16386</v>
      </c>
      <c r="AF2146" s="15"/>
      <c r="AG2146" s="10"/>
      <c r="AH2146" s="10"/>
      <c r="AI2146" s="10"/>
      <c r="AJ2146" s="10"/>
      <c r="AK2146" s="10" t="s">
        <v>102</v>
      </c>
      <c r="AL2146" s="10" t="s">
        <v>184</v>
      </c>
      <c r="AM2146" s="10"/>
      <c r="AN2146" s="10"/>
      <c r="AO2146" s="13" t="b">
        <v>0</v>
      </c>
      <c r="AP2146" s="22" t="s">
        <v>104</v>
      </c>
      <c r="AQ2146" s="10">
        <f ca="1">IFERROR(__xludf.DUMMYFUNCTION("""COMPUTED_VALUE"""),4665893)</f>
        <v>4665893</v>
      </c>
      <c r="AR2146" s="17">
        <v>15396</v>
      </c>
      <c r="AS2146" s="17">
        <v>9869</v>
      </c>
      <c r="AT2146" s="17">
        <v>106446</v>
      </c>
      <c r="AU2146" s="17">
        <v>26.45</v>
      </c>
      <c r="AV2146" s="17">
        <v>4.9000000000000004</v>
      </c>
      <c r="AW2146" s="10" t="s">
        <v>105</v>
      </c>
      <c r="AX2146" s="17">
        <v>2296</v>
      </c>
      <c r="AY2146" s="18">
        <v>10.785895227479989</v>
      </c>
      <c r="AZ2146" s="10" t="s">
        <v>106</v>
      </c>
      <c r="BA2146" s="20" t="b">
        <v>0</v>
      </c>
      <c r="BB2146" s="10"/>
      <c r="BC2146" s="17">
        <v>15396</v>
      </c>
      <c r="BD2146" s="17">
        <v>9869</v>
      </c>
      <c r="BE2146" s="17">
        <v>106446</v>
      </c>
      <c r="BF2146" s="17">
        <v>4.9000000000000004</v>
      </c>
      <c r="BG2146" s="11">
        <f ca="1">IFERROR(__xludf.DUMMYFUNCTION("""COMPUTED_VALUE"""),45955.6041666666)</f>
        <v>45955.604166666599</v>
      </c>
      <c r="BH2146" s="17" t="s">
        <v>105</v>
      </c>
      <c r="BI2146" s="17"/>
      <c r="BJ2146" s="15"/>
      <c r="BK2146" s="15"/>
      <c r="BL2146" s="13" t="b">
        <v>0</v>
      </c>
      <c r="BM2146" s="10"/>
      <c r="BN2146" s="10" t="s">
        <v>137</v>
      </c>
      <c r="BO2146" s="11">
        <v>45931.651388888888</v>
      </c>
      <c r="BP2146" s="11">
        <v>45940.484201388892</v>
      </c>
      <c r="BQ2146" s="15">
        <v>45952.466504629629</v>
      </c>
      <c r="BR2146" s="15">
        <v>45952.587696759256</v>
      </c>
      <c r="BS2146" s="10" t="s">
        <v>137</v>
      </c>
      <c r="BT2146" s="10" t="s">
        <v>99</v>
      </c>
      <c r="BU2146" s="10" t="s">
        <v>280</v>
      </c>
      <c r="BV2146" s="10"/>
      <c r="BW2146" s="10"/>
      <c r="BX2146" s="10"/>
      <c r="BY2146" s="23"/>
      <c r="BZ2146" s="23"/>
      <c r="CA2146" s="19" t="s">
        <v>16387</v>
      </c>
      <c r="CB2146" s="19" t="s">
        <v>16388</v>
      </c>
      <c r="CC2146" s="23"/>
      <c r="CD2146" s="19" t="s">
        <v>16389</v>
      </c>
      <c r="CE2146" s="23"/>
      <c r="CF2146" s="23"/>
      <c r="CG2146" s="23"/>
      <c r="CH2146" s="23"/>
      <c r="CI2146" s="23"/>
    </row>
    <row r="2147" spans="1:87" x14ac:dyDescent="0.3">
      <c r="A2147" s="9" t="s">
        <v>16390</v>
      </c>
      <c r="B2147" s="10" t="s">
        <v>16391</v>
      </c>
      <c r="C2147" s="11">
        <v>45955.791666666664</v>
      </c>
      <c r="D2147" s="12">
        <v>8.3333333333333329E-2</v>
      </c>
      <c r="E2147" s="11">
        <v>45955.875</v>
      </c>
      <c r="F2147" s="10" t="s">
        <v>14786</v>
      </c>
      <c r="G2147" s="13" t="b">
        <v>0</v>
      </c>
      <c r="H2147" s="22" t="s">
        <v>14787</v>
      </c>
      <c r="I2147" s="10" t="s">
        <v>3548</v>
      </c>
      <c r="J2147" s="13" t="b">
        <v>0</v>
      </c>
      <c r="K2147" s="13" t="b">
        <v>1</v>
      </c>
      <c r="L2147" s="10" t="s">
        <v>124</v>
      </c>
      <c r="M2147" s="10" t="s">
        <v>91</v>
      </c>
      <c r="N2147" s="10" t="s">
        <v>3513</v>
      </c>
      <c r="O2147" s="19" t="s">
        <v>16392</v>
      </c>
      <c r="P2147" s="10"/>
      <c r="Q2147" s="10" t="s">
        <v>126</v>
      </c>
      <c r="R2147" s="10"/>
      <c r="S2147" s="19" t="s">
        <v>16393</v>
      </c>
      <c r="T2147" s="19" t="s">
        <v>16348</v>
      </c>
      <c r="U2147" s="10" t="s">
        <v>14804</v>
      </c>
      <c r="V2147" s="10" t="s">
        <v>14892</v>
      </c>
      <c r="W2147" s="10" t="s">
        <v>14793</v>
      </c>
      <c r="X2147" s="10" t="s">
        <v>130</v>
      </c>
      <c r="Y2147" s="10" t="s">
        <v>130</v>
      </c>
      <c r="Z2147" s="10" t="s">
        <v>99</v>
      </c>
      <c r="AA2147" s="10" t="s">
        <v>131</v>
      </c>
      <c r="AB2147" s="10" t="s">
        <v>14794</v>
      </c>
      <c r="AC2147" s="10" t="s">
        <v>3521</v>
      </c>
      <c r="AD2147" s="10" t="s">
        <v>16394</v>
      </c>
      <c r="AE2147" s="10" t="s">
        <v>16395</v>
      </c>
      <c r="AF2147" s="15"/>
      <c r="AG2147" s="10"/>
      <c r="AH2147" s="10"/>
      <c r="AI2147" s="10"/>
      <c r="AJ2147" s="10"/>
      <c r="AK2147" s="10" t="s">
        <v>102</v>
      </c>
      <c r="AL2147" s="10" t="s">
        <v>184</v>
      </c>
      <c r="AM2147" s="10"/>
      <c r="AN2147" s="10"/>
      <c r="AO2147" s="13" t="b">
        <v>0</v>
      </c>
      <c r="AP2147" s="22" t="s">
        <v>104</v>
      </c>
      <c r="AQ2147" s="10">
        <f ca="1">IFERROR(__xludf.DUMMYFUNCTION("""COMPUTED_VALUE"""),4665897)</f>
        <v>4665897</v>
      </c>
      <c r="AR2147" s="17">
        <v>60139</v>
      </c>
      <c r="AS2147" s="17">
        <v>36924</v>
      </c>
      <c r="AT2147" s="17">
        <v>918435</v>
      </c>
      <c r="AU2147" s="17">
        <v>1273</v>
      </c>
      <c r="AV2147" s="17">
        <v>549.85</v>
      </c>
      <c r="AW2147" s="10" t="s">
        <v>105</v>
      </c>
      <c r="AX2147" s="17">
        <v>14410</v>
      </c>
      <c r="AY2147" s="18">
        <v>24.873659408514786</v>
      </c>
      <c r="AZ2147" s="10" t="s">
        <v>106</v>
      </c>
      <c r="BA2147" s="20" t="b">
        <v>0</v>
      </c>
      <c r="BB2147" s="10"/>
      <c r="BC2147" s="17">
        <v>60139</v>
      </c>
      <c r="BD2147" s="17">
        <v>36924</v>
      </c>
      <c r="BE2147" s="17">
        <v>918435</v>
      </c>
      <c r="BF2147" s="17">
        <v>549.85</v>
      </c>
      <c r="BG2147" s="11">
        <f ca="1">IFERROR(__xludf.DUMMYFUNCTION("""COMPUTED_VALUE"""),45955.7916666666)</f>
        <v>45955.791666666599</v>
      </c>
      <c r="BH2147" s="17" t="s">
        <v>105</v>
      </c>
      <c r="BI2147" s="17"/>
      <c r="BJ2147" s="15"/>
      <c r="BK2147" s="15"/>
      <c r="BL2147" s="13" t="b">
        <v>0</v>
      </c>
      <c r="BM2147" s="10"/>
      <c r="BN2147" s="10" t="s">
        <v>137</v>
      </c>
      <c r="BO2147" s="11">
        <v>45931.652083333334</v>
      </c>
      <c r="BP2147" s="11">
        <v>45938.58</v>
      </c>
      <c r="BQ2147" s="15">
        <v>45952.466770833336</v>
      </c>
      <c r="BR2147" s="15">
        <v>45952.587951388887</v>
      </c>
      <c r="BS2147" s="10" t="s">
        <v>137</v>
      </c>
      <c r="BT2147" s="10" t="s">
        <v>279</v>
      </c>
      <c r="BU2147" s="10" t="s">
        <v>521</v>
      </c>
      <c r="BV2147" s="10"/>
      <c r="BW2147" s="10"/>
      <c r="BX2147" s="10"/>
      <c r="BY2147" s="23"/>
      <c r="BZ2147" s="23"/>
      <c r="CA2147" s="19" t="s">
        <v>16396</v>
      </c>
      <c r="CB2147" s="19" t="s">
        <v>16397</v>
      </c>
      <c r="CC2147" s="23"/>
      <c r="CD2147" s="19" t="s">
        <v>16398</v>
      </c>
      <c r="CE2147" s="23"/>
      <c r="CF2147" s="23"/>
      <c r="CG2147" s="23"/>
      <c r="CH2147" s="23"/>
      <c r="CI2147" s="23"/>
    </row>
    <row r="2148" spans="1:87" x14ac:dyDescent="0.3">
      <c r="A2148" s="9" t="s">
        <v>16399</v>
      </c>
      <c r="B2148" s="10" t="s">
        <v>16400</v>
      </c>
      <c r="C2148" s="11">
        <v>45956.645833333336</v>
      </c>
      <c r="D2148" s="12">
        <v>8.3333333333333329E-2</v>
      </c>
      <c r="E2148" s="11">
        <v>45956.729166666664</v>
      </c>
      <c r="F2148" s="10" t="s">
        <v>14786</v>
      </c>
      <c r="G2148" s="13" t="b">
        <v>0</v>
      </c>
      <c r="H2148" s="22" t="s">
        <v>14787</v>
      </c>
      <c r="I2148" s="10" t="s">
        <v>3548</v>
      </c>
      <c r="J2148" s="13" t="b">
        <v>0</v>
      </c>
      <c r="K2148" s="13" t="b">
        <v>1</v>
      </c>
      <c r="L2148" s="10" t="s">
        <v>124</v>
      </c>
      <c r="M2148" s="10" t="s">
        <v>91</v>
      </c>
      <c r="N2148" s="10" t="s">
        <v>3513</v>
      </c>
      <c r="O2148" s="19" t="s">
        <v>16401</v>
      </c>
      <c r="P2148" s="10"/>
      <c r="Q2148" s="10" t="s">
        <v>126</v>
      </c>
      <c r="R2148" s="10"/>
      <c r="S2148" s="19" t="s">
        <v>16402</v>
      </c>
      <c r="T2148" s="19" t="s">
        <v>16348</v>
      </c>
      <c r="U2148" s="10" t="s">
        <v>14838</v>
      </c>
      <c r="V2148" s="10" t="s">
        <v>14826</v>
      </c>
      <c r="W2148" s="10" t="s">
        <v>14793</v>
      </c>
      <c r="X2148" s="10" t="s">
        <v>130</v>
      </c>
      <c r="Y2148" s="10" t="s">
        <v>130</v>
      </c>
      <c r="Z2148" s="10" t="s">
        <v>99</v>
      </c>
      <c r="AA2148" s="10" t="s">
        <v>131</v>
      </c>
      <c r="AB2148" s="10" t="s">
        <v>14794</v>
      </c>
      <c r="AC2148" s="10" t="s">
        <v>3521</v>
      </c>
      <c r="AD2148" s="10" t="s">
        <v>16403</v>
      </c>
      <c r="AE2148" s="10" t="s">
        <v>16404</v>
      </c>
      <c r="AF2148" s="15"/>
      <c r="AG2148" s="10"/>
      <c r="AH2148" s="10"/>
      <c r="AI2148" s="10"/>
      <c r="AJ2148" s="10"/>
      <c r="AK2148" s="10" t="s">
        <v>102</v>
      </c>
      <c r="AL2148" s="10" t="s">
        <v>184</v>
      </c>
      <c r="AM2148" s="10"/>
      <c r="AN2148" s="10"/>
      <c r="AO2148" s="13" t="b">
        <v>0</v>
      </c>
      <c r="AP2148" s="22" t="s">
        <v>104</v>
      </c>
      <c r="AQ2148" s="10">
        <f ca="1">IFERROR(__xludf.DUMMYFUNCTION("""COMPUTED_VALUE"""),4665899)</f>
        <v>4665899</v>
      </c>
      <c r="AR2148" s="17">
        <v>25801</v>
      </c>
      <c r="AS2148" s="17">
        <v>17245</v>
      </c>
      <c r="AT2148" s="17">
        <v>171619.75</v>
      </c>
      <c r="AU2148" s="17">
        <v>153.85</v>
      </c>
      <c r="AV2148" s="17">
        <v>40.700000000000003</v>
      </c>
      <c r="AW2148" s="10" t="s">
        <v>105</v>
      </c>
      <c r="AX2148" s="17">
        <v>3744</v>
      </c>
      <c r="AY2148" s="18">
        <v>9.9518556103218323</v>
      </c>
      <c r="AZ2148" s="10" t="s">
        <v>106</v>
      </c>
      <c r="BA2148" s="20" t="b">
        <v>0</v>
      </c>
      <c r="BB2148" s="10"/>
      <c r="BC2148" s="17">
        <v>25801</v>
      </c>
      <c r="BD2148" s="17">
        <v>17245</v>
      </c>
      <c r="BE2148" s="17">
        <v>171619.75</v>
      </c>
      <c r="BF2148" s="17">
        <v>40.700000000000003</v>
      </c>
      <c r="BG2148" s="11">
        <f ca="1">IFERROR(__xludf.DUMMYFUNCTION("""COMPUTED_VALUE"""),45956.6458333333)</f>
        <v>45956.645833333299</v>
      </c>
      <c r="BH2148" s="17" t="s">
        <v>105</v>
      </c>
      <c r="BI2148" s="17"/>
      <c r="BJ2148" s="15"/>
      <c r="BK2148" s="15"/>
      <c r="BL2148" s="13" t="b">
        <v>0</v>
      </c>
      <c r="BM2148" s="10"/>
      <c r="BN2148" s="10" t="s">
        <v>1160</v>
      </c>
      <c r="BO2148" s="11">
        <v>45931.652083333334</v>
      </c>
      <c r="BP2148" s="11">
        <v>45938.58121527778</v>
      </c>
      <c r="BQ2148" s="15">
        <v>45952.466956018521</v>
      </c>
      <c r="BR2148" s="15">
        <v>45952.591006944444</v>
      </c>
      <c r="BS2148" s="10" t="s">
        <v>1160</v>
      </c>
      <c r="BT2148" s="10" t="s">
        <v>279</v>
      </c>
      <c r="BU2148" s="10" t="s">
        <v>816</v>
      </c>
      <c r="BV2148" s="10"/>
      <c r="BW2148" s="10"/>
      <c r="BX2148" s="10"/>
      <c r="BY2148" s="23"/>
      <c r="BZ2148" s="23"/>
      <c r="CA2148" s="19" t="s">
        <v>16405</v>
      </c>
      <c r="CB2148" s="19" t="s">
        <v>16406</v>
      </c>
      <c r="CC2148" s="23"/>
      <c r="CD2148" s="19" t="s">
        <v>16407</v>
      </c>
      <c r="CE2148" s="23"/>
      <c r="CF2148" s="23"/>
      <c r="CG2148" s="23"/>
      <c r="CH2148" s="23"/>
      <c r="CI2148" s="23"/>
    </row>
    <row r="2149" spans="1:87" x14ac:dyDescent="0.3">
      <c r="A2149" s="9" t="s">
        <v>16408</v>
      </c>
      <c r="B2149" s="10" t="s">
        <v>16409</v>
      </c>
      <c r="C2149" s="11">
        <v>45956.645833333336</v>
      </c>
      <c r="D2149" s="12">
        <v>8.3333333333333329E-2</v>
      </c>
      <c r="E2149" s="11">
        <v>45956.729166666664</v>
      </c>
      <c r="F2149" s="10" t="s">
        <v>14786</v>
      </c>
      <c r="G2149" s="13" t="b">
        <v>0</v>
      </c>
      <c r="H2149" s="22" t="s">
        <v>14787</v>
      </c>
      <c r="I2149" s="10" t="s">
        <v>212</v>
      </c>
      <c r="J2149" s="13" t="b">
        <v>1</v>
      </c>
      <c r="K2149" s="13" t="b">
        <v>0</v>
      </c>
      <c r="L2149" s="10" t="s">
        <v>124</v>
      </c>
      <c r="M2149" s="10" t="s">
        <v>91</v>
      </c>
      <c r="N2149" s="10" t="s">
        <v>3513</v>
      </c>
      <c r="O2149" s="19" t="s">
        <v>16410</v>
      </c>
      <c r="P2149" s="10"/>
      <c r="Q2149" s="10" t="s">
        <v>126</v>
      </c>
      <c r="R2149" s="10"/>
      <c r="S2149" s="19" t="s">
        <v>16411</v>
      </c>
      <c r="T2149" s="19" t="s">
        <v>16348</v>
      </c>
      <c r="U2149" s="10" t="s">
        <v>14816</v>
      </c>
      <c r="V2149" s="10" t="s">
        <v>14881</v>
      </c>
      <c r="W2149" s="10" t="s">
        <v>14793</v>
      </c>
      <c r="X2149" s="10" t="s">
        <v>130</v>
      </c>
      <c r="Y2149" s="10" t="s">
        <v>130</v>
      </c>
      <c r="Z2149" s="10" t="s">
        <v>99</v>
      </c>
      <c r="AA2149" s="10" t="s">
        <v>131</v>
      </c>
      <c r="AB2149" s="10" t="s">
        <v>14794</v>
      </c>
      <c r="AC2149" s="10" t="s">
        <v>3521</v>
      </c>
      <c r="AD2149" s="10" t="s">
        <v>16412</v>
      </c>
      <c r="AE2149" s="10" t="s">
        <v>16413</v>
      </c>
      <c r="AF2149" s="15"/>
      <c r="AG2149" s="10"/>
      <c r="AH2149" s="10"/>
      <c r="AI2149" s="10"/>
      <c r="AJ2149" s="10"/>
      <c r="AK2149" s="10" t="s">
        <v>102</v>
      </c>
      <c r="AL2149" s="10" t="s">
        <v>184</v>
      </c>
      <c r="AM2149" s="10"/>
      <c r="AN2149" s="10"/>
      <c r="AO2149" s="13" t="b">
        <v>0</v>
      </c>
      <c r="AP2149" s="22" t="s">
        <v>104</v>
      </c>
      <c r="AQ2149" s="10">
        <f ca="1">IFERROR(__xludf.DUMMYFUNCTION("""COMPUTED_VALUE"""),4665894)</f>
        <v>4665894</v>
      </c>
      <c r="AR2149" s="17">
        <v>22204</v>
      </c>
      <c r="AS2149" s="17">
        <v>13916</v>
      </c>
      <c r="AT2149" s="17">
        <v>112375</v>
      </c>
      <c r="AU2149" s="17">
        <v>24.1</v>
      </c>
      <c r="AV2149" s="17">
        <v>4.25</v>
      </c>
      <c r="AW2149" s="10" t="s">
        <v>105</v>
      </c>
      <c r="AX2149" s="17">
        <v>3219</v>
      </c>
      <c r="AY2149" s="18">
        <v>8.0752371371083651</v>
      </c>
      <c r="AZ2149" s="10" t="s">
        <v>106</v>
      </c>
      <c r="BA2149" s="20" t="b">
        <v>0</v>
      </c>
      <c r="BB2149" s="10"/>
      <c r="BC2149" s="17">
        <v>22204</v>
      </c>
      <c r="BD2149" s="17">
        <v>13916</v>
      </c>
      <c r="BE2149" s="17">
        <v>112375</v>
      </c>
      <c r="BF2149" s="17">
        <v>4.25</v>
      </c>
      <c r="BG2149" s="11">
        <f ca="1">IFERROR(__xludf.DUMMYFUNCTION("""COMPUTED_VALUE"""),45956.6458333333)</f>
        <v>45956.645833333299</v>
      </c>
      <c r="BH2149" s="17" t="s">
        <v>105</v>
      </c>
      <c r="BI2149" s="17"/>
      <c r="BJ2149" s="15"/>
      <c r="BK2149" s="15"/>
      <c r="BL2149" s="13" t="b">
        <v>0</v>
      </c>
      <c r="BM2149" s="10"/>
      <c r="BN2149" s="10" t="s">
        <v>1160</v>
      </c>
      <c r="BO2149" s="11">
        <v>45931.652777777781</v>
      </c>
      <c r="BP2149" s="11">
        <v>45938.658622685187</v>
      </c>
      <c r="BQ2149" s="15">
        <v>45952.46707175926</v>
      </c>
      <c r="BR2149" s="15">
        <v>45952.588148148148</v>
      </c>
      <c r="BS2149" s="10" t="s">
        <v>1160</v>
      </c>
      <c r="BT2149" s="10" t="s">
        <v>279</v>
      </c>
      <c r="BU2149" s="10" t="s">
        <v>655</v>
      </c>
      <c r="BV2149" s="10"/>
      <c r="BW2149" s="10"/>
      <c r="BX2149" s="10"/>
      <c r="BY2149" s="23"/>
      <c r="BZ2149" s="23"/>
      <c r="CA2149" s="19" t="s">
        <v>16414</v>
      </c>
      <c r="CB2149" s="19" t="s">
        <v>16415</v>
      </c>
      <c r="CC2149" s="23"/>
      <c r="CD2149" s="19" t="s">
        <v>16416</v>
      </c>
      <c r="CE2149" s="23"/>
      <c r="CF2149" s="23"/>
      <c r="CG2149" s="23"/>
      <c r="CH2149" s="23"/>
      <c r="CI2149" s="23"/>
    </row>
    <row r="2150" spans="1:87" x14ac:dyDescent="0.3">
      <c r="A2150" s="9" t="s">
        <v>16417</v>
      </c>
      <c r="B2150" s="10" t="s">
        <v>16418</v>
      </c>
      <c r="C2150" s="11">
        <v>45956.645833333336</v>
      </c>
      <c r="D2150" s="12">
        <v>8.3333333333333329E-2</v>
      </c>
      <c r="E2150" s="11">
        <v>45956.729166666664</v>
      </c>
      <c r="F2150" s="10" t="s">
        <v>14786</v>
      </c>
      <c r="G2150" s="13" t="b">
        <v>0</v>
      </c>
      <c r="H2150" s="22" t="s">
        <v>14787</v>
      </c>
      <c r="I2150" s="10" t="s">
        <v>212</v>
      </c>
      <c r="J2150" s="13" t="b">
        <v>1</v>
      </c>
      <c r="K2150" s="13" t="b">
        <v>0</v>
      </c>
      <c r="L2150" s="10" t="s">
        <v>124</v>
      </c>
      <c r="M2150" s="10" t="s">
        <v>91</v>
      </c>
      <c r="N2150" s="10" t="s">
        <v>3513</v>
      </c>
      <c r="O2150" s="19" t="s">
        <v>16419</v>
      </c>
      <c r="P2150" s="10"/>
      <c r="Q2150" s="10" t="s">
        <v>126</v>
      </c>
      <c r="R2150" s="10"/>
      <c r="S2150" s="19" t="s">
        <v>16420</v>
      </c>
      <c r="T2150" s="19" t="s">
        <v>16348</v>
      </c>
      <c r="U2150" s="10" t="s">
        <v>14815</v>
      </c>
      <c r="V2150" s="10" t="s">
        <v>14791</v>
      </c>
      <c r="W2150" s="10" t="s">
        <v>14793</v>
      </c>
      <c r="X2150" s="10" t="s">
        <v>130</v>
      </c>
      <c r="Y2150" s="10" t="s">
        <v>130</v>
      </c>
      <c r="Z2150" s="10" t="s">
        <v>99</v>
      </c>
      <c r="AA2150" s="10" t="s">
        <v>131</v>
      </c>
      <c r="AB2150" s="10" t="s">
        <v>14794</v>
      </c>
      <c r="AC2150" s="10" t="s">
        <v>3521</v>
      </c>
      <c r="AD2150" s="10" t="s">
        <v>16421</v>
      </c>
      <c r="AE2150" s="10" t="s">
        <v>16422</v>
      </c>
      <c r="AF2150" s="15"/>
      <c r="AG2150" s="10"/>
      <c r="AH2150" s="10"/>
      <c r="AI2150" s="10"/>
      <c r="AJ2150" s="10"/>
      <c r="AK2150" s="10" t="s">
        <v>102</v>
      </c>
      <c r="AL2150" s="10" t="s">
        <v>184</v>
      </c>
      <c r="AM2150" s="10"/>
      <c r="AN2150" s="10"/>
      <c r="AO2150" s="13" t="b">
        <v>0</v>
      </c>
      <c r="AP2150" s="22" t="s">
        <v>104</v>
      </c>
      <c r="AQ2150" s="10">
        <f ca="1">IFERROR(__xludf.DUMMYFUNCTION("""COMPUTED_VALUE"""),4665900)</f>
        <v>4665900</v>
      </c>
      <c r="AR2150" s="17">
        <v>35417</v>
      </c>
      <c r="AS2150" s="17">
        <v>19465</v>
      </c>
      <c r="AT2150" s="17">
        <v>318390.5</v>
      </c>
      <c r="AU2150" s="17">
        <v>59.8</v>
      </c>
      <c r="AV2150" s="17">
        <v>17.149999999999999</v>
      </c>
      <c r="AW2150" s="10" t="s">
        <v>105</v>
      </c>
      <c r="AX2150" s="17">
        <v>4788</v>
      </c>
      <c r="AY2150" s="18">
        <v>16.357076804520936</v>
      </c>
      <c r="AZ2150" s="10" t="s">
        <v>106</v>
      </c>
      <c r="BA2150" s="20" t="b">
        <v>0</v>
      </c>
      <c r="BB2150" s="10"/>
      <c r="BC2150" s="17">
        <v>35417</v>
      </c>
      <c r="BD2150" s="17">
        <v>19465</v>
      </c>
      <c r="BE2150" s="17">
        <v>318390.5</v>
      </c>
      <c r="BF2150" s="17">
        <v>17.149999999999999</v>
      </c>
      <c r="BG2150" s="11">
        <f ca="1">IFERROR(__xludf.DUMMYFUNCTION("""COMPUTED_VALUE"""),45956.6458333333)</f>
        <v>45956.645833333299</v>
      </c>
      <c r="BH2150" s="17" t="s">
        <v>105</v>
      </c>
      <c r="BI2150" s="17"/>
      <c r="BJ2150" s="15"/>
      <c r="BK2150" s="15"/>
      <c r="BL2150" s="13" t="b">
        <v>0</v>
      </c>
      <c r="BM2150" s="10"/>
      <c r="BN2150" s="10" t="s">
        <v>1160</v>
      </c>
      <c r="BO2150" s="11">
        <v>45931.652777777781</v>
      </c>
      <c r="BP2150" s="11">
        <v>45938.658842592595</v>
      </c>
      <c r="BQ2150" s="15">
        <v>45952.467199074075</v>
      </c>
      <c r="BR2150" s="15">
        <v>45952.590601851851</v>
      </c>
      <c r="BS2150" s="10" t="s">
        <v>1160</v>
      </c>
      <c r="BT2150" s="10" t="s">
        <v>279</v>
      </c>
      <c r="BU2150" s="10" t="s">
        <v>521</v>
      </c>
      <c r="BV2150" s="10"/>
      <c r="BW2150" s="10"/>
      <c r="BX2150" s="10"/>
      <c r="BY2150" s="23"/>
      <c r="BZ2150" s="23"/>
      <c r="CA2150" s="19" t="s">
        <v>16423</v>
      </c>
      <c r="CB2150" s="19" t="s">
        <v>16424</v>
      </c>
      <c r="CC2150" s="23"/>
      <c r="CD2150" s="19" t="s">
        <v>16425</v>
      </c>
      <c r="CE2150" s="23"/>
      <c r="CF2150" s="23"/>
      <c r="CG2150" s="23"/>
      <c r="CH2150" s="23"/>
      <c r="CI2150" s="23"/>
    </row>
    <row r="2151" spans="1:87" x14ac:dyDescent="0.3">
      <c r="A2151" s="9" t="s">
        <v>16426</v>
      </c>
      <c r="B2151" s="10" t="s">
        <v>16427</v>
      </c>
      <c r="C2151" s="11">
        <v>45956.791666666664</v>
      </c>
      <c r="D2151" s="12">
        <v>8.3333333333333329E-2</v>
      </c>
      <c r="E2151" s="11">
        <v>45956.875</v>
      </c>
      <c r="F2151" s="10" t="s">
        <v>14786</v>
      </c>
      <c r="G2151" s="13" t="b">
        <v>0</v>
      </c>
      <c r="H2151" s="22" t="s">
        <v>14787</v>
      </c>
      <c r="I2151" s="10" t="s">
        <v>212</v>
      </c>
      <c r="J2151" s="13" t="b">
        <v>1</v>
      </c>
      <c r="K2151" s="13" t="b">
        <v>0</v>
      </c>
      <c r="L2151" s="10" t="s">
        <v>124</v>
      </c>
      <c r="M2151" s="10" t="s">
        <v>91</v>
      </c>
      <c r="N2151" s="10" t="s">
        <v>3513</v>
      </c>
      <c r="O2151" s="19" t="s">
        <v>16428</v>
      </c>
      <c r="P2151" s="10"/>
      <c r="Q2151" s="10" t="s">
        <v>126</v>
      </c>
      <c r="R2151" s="10"/>
      <c r="S2151" s="19" t="s">
        <v>16429</v>
      </c>
      <c r="T2151" s="19" t="s">
        <v>16348</v>
      </c>
      <c r="U2151" s="10" t="s">
        <v>14849</v>
      </c>
      <c r="V2151" s="10" t="s">
        <v>14827</v>
      </c>
      <c r="W2151" s="10" t="s">
        <v>14793</v>
      </c>
      <c r="X2151" s="10" t="s">
        <v>130</v>
      </c>
      <c r="Y2151" s="10" t="s">
        <v>130</v>
      </c>
      <c r="Z2151" s="10" t="s">
        <v>99</v>
      </c>
      <c r="AA2151" s="10" t="s">
        <v>131</v>
      </c>
      <c r="AB2151" s="10" t="s">
        <v>14794</v>
      </c>
      <c r="AC2151" s="10" t="s">
        <v>3521</v>
      </c>
      <c r="AD2151" s="10" t="s">
        <v>16430</v>
      </c>
      <c r="AE2151" s="10" t="s">
        <v>16431</v>
      </c>
      <c r="AF2151" s="15"/>
      <c r="AG2151" s="10"/>
      <c r="AH2151" s="10"/>
      <c r="AI2151" s="10"/>
      <c r="AJ2151" s="10"/>
      <c r="AK2151" s="10" t="s">
        <v>102</v>
      </c>
      <c r="AL2151" s="10" t="s">
        <v>184</v>
      </c>
      <c r="AM2151" s="10"/>
      <c r="AN2151" s="10"/>
      <c r="AO2151" s="13" t="b">
        <v>0</v>
      </c>
      <c r="AP2151" s="22" t="s">
        <v>104</v>
      </c>
      <c r="AQ2151" s="10">
        <f ca="1">IFERROR(__xludf.DUMMYFUNCTION("""COMPUTED_VALUE"""),4665896)</f>
        <v>4665896</v>
      </c>
      <c r="AR2151" s="17">
        <v>41953</v>
      </c>
      <c r="AS2151" s="17">
        <v>25397</v>
      </c>
      <c r="AT2151" s="17">
        <v>498388.25</v>
      </c>
      <c r="AU2151" s="17">
        <v>159.9</v>
      </c>
      <c r="AV2151" s="17">
        <v>47.75</v>
      </c>
      <c r="AW2151" s="10" t="s">
        <v>105</v>
      </c>
      <c r="AX2151" s="17">
        <v>7259</v>
      </c>
      <c r="AY2151" s="18">
        <v>19.623902429420799</v>
      </c>
      <c r="AZ2151" s="10" t="s">
        <v>106</v>
      </c>
      <c r="BA2151" s="20" t="b">
        <v>0</v>
      </c>
      <c r="BB2151" s="10"/>
      <c r="BC2151" s="17">
        <v>41953</v>
      </c>
      <c r="BD2151" s="17">
        <v>25397</v>
      </c>
      <c r="BE2151" s="17">
        <v>498388.25</v>
      </c>
      <c r="BF2151" s="17">
        <v>47.75</v>
      </c>
      <c r="BG2151" s="11">
        <f ca="1">IFERROR(__xludf.DUMMYFUNCTION("""COMPUTED_VALUE"""),45956.7916666666)</f>
        <v>45956.791666666599</v>
      </c>
      <c r="BH2151" s="17" t="s">
        <v>105</v>
      </c>
      <c r="BI2151" s="17"/>
      <c r="BJ2151" s="15"/>
      <c r="BK2151" s="15"/>
      <c r="BL2151" s="13" t="b">
        <v>0</v>
      </c>
      <c r="BM2151" s="10"/>
      <c r="BN2151" s="10" t="s">
        <v>1057</v>
      </c>
      <c r="BO2151" s="11">
        <v>45931.65347222222</v>
      </c>
      <c r="BP2151" s="11">
        <v>45938.658993055556</v>
      </c>
      <c r="BQ2151" s="15">
        <v>45952.467326388891</v>
      </c>
      <c r="BR2151" s="15">
        <v>45952.588275462964</v>
      </c>
      <c r="BS2151" s="10"/>
      <c r="BT2151" s="10" t="s">
        <v>279</v>
      </c>
      <c r="BU2151" s="10"/>
      <c r="BV2151" s="10"/>
      <c r="BW2151" s="10"/>
      <c r="BX2151" s="10"/>
      <c r="BY2151" s="23"/>
      <c r="BZ2151" s="23"/>
      <c r="CA2151" s="19" t="s">
        <v>16432</v>
      </c>
      <c r="CB2151" s="19" t="s">
        <v>16433</v>
      </c>
      <c r="CC2151" s="23"/>
      <c r="CD2151" s="19" t="s">
        <v>16434</v>
      </c>
      <c r="CE2151" s="23"/>
      <c r="CF2151" s="23"/>
      <c r="CG2151" s="23"/>
      <c r="CH2151" s="23"/>
      <c r="CI2151" s="23"/>
    </row>
    <row r="2152" spans="1:87" x14ac:dyDescent="0.3">
      <c r="A2152" s="9" t="s">
        <v>16435</v>
      </c>
      <c r="B2152" s="10" t="s">
        <v>16436</v>
      </c>
      <c r="C2152" s="11">
        <v>45959.114583333336</v>
      </c>
      <c r="D2152" s="12">
        <v>8.3333333333333329E-2</v>
      </c>
      <c r="E2152" s="11">
        <v>45959.197916666664</v>
      </c>
      <c r="F2152" s="10" t="s">
        <v>7877</v>
      </c>
      <c r="G2152" s="13" t="b">
        <v>0</v>
      </c>
      <c r="H2152" s="22" t="s">
        <v>7878</v>
      </c>
      <c r="I2152" s="10" t="s">
        <v>89</v>
      </c>
      <c r="J2152" s="13" t="b">
        <v>0</v>
      </c>
      <c r="K2152" s="13" t="b">
        <v>1</v>
      </c>
      <c r="L2152" s="10" t="s">
        <v>124</v>
      </c>
      <c r="M2152" s="10" t="s">
        <v>91</v>
      </c>
      <c r="N2152" s="10" t="s">
        <v>92</v>
      </c>
      <c r="O2152" s="19" t="s">
        <v>16437</v>
      </c>
      <c r="P2152" s="10"/>
      <c r="Q2152" s="10" t="s">
        <v>126</v>
      </c>
      <c r="R2152" s="10"/>
      <c r="S2152" s="19" t="s">
        <v>16438</v>
      </c>
      <c r="T2152" s="19" t="s">
        <v>16439</v>
      </c>
      <c r="U2152" s="10" t="s">
        <v>8987</v>
      </c>
      <c r="V2152" s="10" t="s">
        <v>321</v>
      </c>
      <c r="W2152" s="10" t="s">
        <v>7883</v>
      </c>
      <c r="X2152" s="10" t="s">
        <v>130</v>
      </c>
      <c r="Y2152" s="10" t="s">
        <v>130</v>
      </c>
      <c r="Z2152" s="10" t="s">
        <v>99</v>
      </c>
      <c r="AA2152" s="10" t="s">
        <v>131</v>
      </c>
      <c r="AB2152" s="10" t="s">
        <v>7884</v>
      </c>
      <c r="AC2152" s="10" t="s">
        <v>7885</v>
      </c>
      <c r="AD2152" s="10" t="s">
        <v>16440</v>
      </c>
      <c r="AE2152" s="10" t="s">
        <v>16441</v>
      </c>
      <c r="AF2152" s="15"/>
      <c r="AG2152" s="10"/>
      <c r="AH2152" s="10"/>
      <c r="AI2152" s="10"/>
      <c r="AJ2152" s="10"/>
      <c r="AK2152" s="10" t="s">
        <v>102</v>
      </c>
      <c r="AL2152" s="10" t="s">
        <v>7897</v>
      </c>
      <c r="AM2152" s="10"/>
      <c r="AN2152" s="10"/>
      <c r="AO2152" s="13" t="b">
        <v>0</v>
      </c>
      <c r="AP2152" s="22" t="s">
        <v>104</v>
      </c>
      <c r="AQ2152" s="10">
        <f ca="1">IFERROR(__xludf.DUMMYFUNCTION("""COMPUTED_VALUE"""),4676376)</f>
        <v>4676376</v>
      </c>
      <c r="AR2152" s="17">
        <v>2091</v>
      </c>
      <c r="AS2152" s="17">
        <v>1642</v>
      </c>
      <c r="AT2152" s="17">
        <v>16692.5</v>
      </c>
      <c r="AU2152" s="17">
        <v>1.25</v>
      </c>
      <c r="AV2152" s="17">
        <v>0</v>
      </c>
      <c r="AW2152" s="10" t="s">
        <v>105</v>
      </c>
      <c r="AX2152" s="17">
        <v>322</v>
      </c>
      <c r="AY2152" s="18">
        <v>10.165956151035322</v>
      </c>
      <c r="AZ2152" s="10" t="s">
        <v>3998</v>
      </c>
      <c r="BA2152" s="20" t="b">
        <v>0</v>
      </c>
      <c r="BB2152" s="10"/>
      <c r="BC2152" s="17">
        <v>2091</v>
      </c>
      <c r="BD2152" s="17">
        <v>1642</v>
      </c>
      <c r="BE2152" s="17">
        <v>16692.5</v>
      </c>
      <c r="BF2152" s="17">
        <v>0</v>
      </c>
      <c r="BG2152" s="11">
        <f ca="1">IFERROR(__xludf.DUMMYFUNCTION("""COMPUTED_VALUE"""),45959.1145833333)</f>
        <v>45959.114583333299</v>
      </c>
      <c r="BH2152" s="17" t="s">
        <v>105</v>
      </c>
      <c r="BI2152" s="17"/>
      <c r="BJ2152" s="15"/>
      <c r="BK2152" s="15"/>
      <c r="BL2152" s="13" t="b">
        <v>0</v>
      </c>
      <c r="BM2152" s="10"/>
      <c r="BN2152" s="10" t="s">
        <v>1057</v>
      </c>
      <c r="BO2152" s="11">
        <v>45931.702777777777</v>
      </c>
      <c r="BP2152" s="11">
        <v>45931.707488425927</v>
      </c>
      <c r="BQ2152" s="15">
        <v>45958.698831018519</v>
      </c>
      <c r="BR2152" s="15">
        <v>45958.979039351849</v>
      </c>
      <c r="BS2152" s="10"/>
      <c r="BT2152" s="10" t="s">
        <v>279</v>
      </c>
      <c r="BU2152" s="10" t="s">
        <v>498</v>
      </c>
      <c r="BV2152" s="10"/>
      <c r="BW2152" s="10"/>
      <c r="BX2152" s="10"/>
      <c r="BY2152" s="23"/>
      <c r="BZ2152" s="23"/>
      <c r="CA2152" s="19" t="s">
        <v>16442</v>
      </c>
      <c r="CB2152" s="19" t="s">
        <v>16439</v>
      </c>
      <c r="CC2152" s="23"/>
      <c r="CD2152" s="19" t="s">
        <v>16443</v>
      </c>
      <c r="CE2152" s="23"/>
      <c r="CF2152" s="23"/>
      <c r="CG2152" s="23"/>
      <c r="CH2152" s="23"/>
      <c r="CI2152" s="23"/>
    </row>
    <row r="2153" spans="1:87" x14ac:dyDescent="0.3">
      <c r="A2153" s="9" t="s">
        <v>16444</v>
      </c>
      <c r="B2153" s="10" t="s">
        <v>16445</v>
      </c>
      <c r="C2153" s="11">
        <v>45959.114583333336</v>
      </c>
      <c r="D2153" s="12">
        <v>8.3333333333333329E-2</v>
      </c>
      <c r="E2153" s="11">
        <v>45959.197916666664</v>
      </c>
      <c r="F2153" s="10" t="s">
        <v>7877</v>
      </c>
      <c r="G2153" s="13" t="b">
        <v>0</v>
      </c>
      <c r="H2153" s="22" t="s">
        <v>3478</v>
      </c>
      <c r="I2153" s="10" t="s">
        <v>89</v>
      </c>
      <c r="J2153" s="13" t="b">
        <v>0</v>
      </c>
      <c r="K2153" s="13" t="b">
        <v>1</v>
      </c>
      <c r="L2153" s="10" t="s">
        <v>124</v>
      </c>
      <c r="M2153" s="10" t="s">
        <v>91</v>
      </c>
      <c r="N2153" s="10" t="s">
        <v>92</v>
      </c>
      <c r="O2153" s="19" t="s">
        <v>16446</v>
      </c>
      <c r="P2153" s="10"/>
      <c r="Q2153" s="10" t="s">
        <v>126</v>
      </c>
      <c r="R2153" s="10"/>
      <c r="S2153" s="19" t="s">
        <v>16447</v>
      </c>
      <c r="T2153" s="19" t="s">
        <v>16448</v>
      </c>
      <c r="U2153" s="10" t="s">
        <v>16449</v>
      </c>
      <c r="V2153" s="10" t="s">
        <v>309</v>
      </c>
      <c r="W2153" s="10" t="s">
        <v>7883</v>
      </c>
      <c r="X2153" s="10" t="s">
        <v>130</v>
      </c>
      <c r="Y2153" s="10" t="s">
        <v>130</v>
      </c>
      <c r="Z2153" s="10" t="s">
        <v>99</v>
      </c>
      <c r="AA2153" s="10" t="s">
        <v>131</v>
      </c>
      <c r="AB2153" s="10" t="s">
        <v>7884</v>
      </c>
      <c r="AC2153" s="10" t="s">
        <v>7885</v>
      </c>
      <c r="AD2153" s="10" t="s">
        <v>16450</v>
      </c>
      <c r="AE2153" s="10" t="s">
        <v>16451</v>
      </c>
      <c r="AF2153" s="15"/>
      <c r="AG2153" s="10"/>
      <c r="AH2153" s="10"/>
      <c r="AI2153" s="10"/>
      <c r="AJ2153" s="10"/>
      <c r="AK2153" s="10" t="s">
        <v>102</v>
      </c>
      <c r="AL2153" s="10" t="s">
        <v>7897</v>
      </c>
      <c r="AM2153" s="10"/>
      <c r="AN2153" s="10"/>
      <c r="AO2153" s="13" t="b">
        <v>0</v>
      </c>
      <c r="AP2153" s="22" t="s">
        <v>104</v>
      </c>
      <c r="AQ2153" s="10">
        <f ca="1">IFERROR(__xludf.DUMMYFUNCTION("""COMPUTED_VALUE"""),4675257)</f>
        <v>4675257</v>
      </c>
      <c r="AR2153" s="17">
        <v>3103</v>
      </c>
      <c r="AS2153" s="17">
        <v>2250</v>
      </c>
      <c r="AT2153" s="17">
        <v>43750.75</v>
      </c>
      <c r="AU2153" s="17">
        <v>4.45</v>
      </c>
      <c r="AV2153" s="17">
        <v>0.1</v>
      </c>
      <c r="AW2153" s="10" t="s">
        <v>105</v>
      </c>
      <c r="AX2153" s="17">
        <v>962</v>
      </c>
      <c r="AY2153" s="18">
        <v>19.444777777777777</v>
      </c>
      <c r="AZ2153" s="10" t="s">
        <v>3998</v>
      </c>
      <c r="BA2153" s="20" t="b">
        <v>0</v>
      </c>
      <c r="BB2153" s="10"/>
      <c r="BC2153" s="17">
        <v>3103</v>
      </c>
      <c r="BD2153" s="17">
        <v>2250</v>
      </c>
      <c r="BE2153" s="17">
        <v>43750.75</v>
      </c>
      <c r="BF2153" s="17">
        <v>0.1</v>
      </c>
      <c r="BG2153" s="11">
        <f ca="1">IFERROR(__xludf.DUMMYFUNCTION("""COMPUTED_VALUE"""),45959.1145833333)</f>
        <v>45959.114583333299</v>
      </c>
      <c r="BH2153" s="17" t="s">
        <v>105</v>
      </c>
      <c r="BI2153" s="17"/>
      <c r="BJ2153" s="15"/>
      <c r="BK2153" s="15"/>
      <c r="BL2153" s="13" t="b">
        <v>0</v>
      </c>
      <c r="BM2153" s="10"/>
      <c r="BN2153" s="10" t="s">
        <v>1057</v>
      </c>
      <c r="BO2153" s="11">
        <v>45931.70416666667</v>
      </c>
      <c r="BP2153" s="11">
        <v>45958.699641203704</v>
      </c>
      <c r="BQ2153" s="15">
        <v>45958.701273148145</v>
      </c>
      <c r="BR2153" s="15">
        <v>45958.749814814815</v>
      </c>
      <c r="BS2153" s="10"/>
      <c r="BT2153" s="10" t="s">
        <v>279</v>
      </c>
      <c r="BU2153" s="10" t="s">
        <v>816</v>
      </c>
      <c r="BV2153" s="10"/>
      <c r="BW2153" s="10"/>
      <c r="BX2153" s="10"/>
      <c r="BY2153" s="23"/>
      <c r="BZ2153" s="23"/>
      <c r="CA2153" s="19" t="s">
        <v>16452</v>
      </c>
      <c r="CB2153" s="19" t="s">
        <v>16448</v>
      </c>
      <c r="CC2153" s="23"/>
      <c r="CD2153" s="19" t="s">
        <v>16453</v>
      </c>
      <c r="CE2153" s="23"/>
      <c r="CF2153" s="23"/>
      <c r="CG2153" s="23"/>
      <c r="CH2153" s="23"/>
      <c r="CI2153" s="23"/>
    </row>
    <row r="2154" spans="1:87" x14ac:dyDescent="0.3">
      <c r="A2154" s="9" t="s">
        <v>16454</v>
      </c>
      <c r="B2154" s="10" t="s">
        <v>16455</v>
      </c>
      <c r="C2154" s="11">
        <v>45959.125</v>
      </c>
      <c r="D2154" s="12">
        <v>8.3333333333333329E-2</v>
      </c>
      <c r="E2154" s="11">
        <v>45959.208333333336</v>
      </c>
      <c r="F2154" s="10" t="s">
        <v>7877</v>
      </c>
      <c r="G2154" s="13" t="b">
        <v>0</v>
      </c>
      <c r="H2154" s="22" t="s">
        <v>7878</v>
      </c>
      <c r="I2154" s="10" t="s">
        <v>89</v>
      </c>
      <c r="J2154" s="13" t="b">
        <v>0</v>
      </c>
      <c r="K2154" s="13" t="b">
        <v>1</v>
      </c>
      <c r="L2154" s="10" t="s">
        <v>124</v>
      </c>
      <c r="M2154" s="10" t="s">
        <v>91</v>
      </c>
      <c r="N2154" s="10" t="s">
        <v>92</v>
      </c>
      <c r="O2154" s="19" t="s">
        <v>16456</v>
      </c>
      <c r="P2154" s="10"/>
      <c r="Q2154" s="10" t="s">
        <v>94</v>
      </c>
      <c r="R2154" s="10"/>
      <c r="S2154" s="19" t="s">
        <v>16457</v>
      </c>
      <c r="T2154" s="19" t="s">
        <v>16458</v>
      </c>
      <c r="U2154" s="10" t="s">
        <v>7633</v>
      </c>
      <c r="V2154" s="10" t="s">
        <v>13616</v>
      </c>
      <c r="W2154" s="10" t="s">
        <v>7883</v>
      </c>
      <c r="X2154" s="10" t="s">
        <v>130</v>
      </c>
      <c r="Y2154" s="10" t="s">
        <v>130</v>
      </c>
      <c r="Z2154" s="10" t="s">
        <v>99</v>
      </c>
      <c r="AA2154" s="10" t="s">
        <v>131</v>
      </c>
      <c r="AB2154" s="10" t="s">
        <v>7884</v>
      </c>
      <c r="AC2154" s="10" t="s">
        <v>7885</v>
      </c>
      <c r="AD2154" s="10" t="s">
        <v>16459</v>
      </c>
      <c r="AE2154" s="10" t="s">
        <v>16460</v>
      </c>
      <c r="AF2154" s="15"/>
      <c r="AG2154" s="10"/>
      <c r="AH2154" s="10"/>
      <c r="AI2154" s="10"/>
      <c r="AJ2154" s="10"/>
      <c r="AK2154" s="10" t="s">
        <v>102</v>
      </c>
      <c r="AL2154" s="10" t="s">
        <v>7897</v>
      </c>
      <c r="AM2154" s="10"/>
      <c r="AN2154" s="10"/>
      <c r="AO2154" s="13" t="b">
        <v>0</v>
      </c>
      <c r="AP2154" s="22" t="s">
        <v>104</v>
      </c>
      <c r="AQ2154" s="10">
        <f ca="1">IFERROR(__xludf.DUMMYFUNCTION("""COMPUTED_VALUE"""),4675256)</f>
        <v>4675256</v>
      </c>
      <c r="AR2154" s="17">
        <v>1355</v>
      </c>
      <c r="AS2154" s="17">
        <v>1059</v>
      </c>
      <c r="AT2154" s="17">
        <v>7581.75</v>
      </c>
      <c r="AU2154" s="17">
        <v>2.15</v>
      </c>
      <c r="AV2154" s="17">
        <v>0.75</v>
      </c>
      <c r="AW2154" s="10" t="s">
        <v>105</v>
      </c>
      <c r="AX2154" s="17">
        <v>393</v>
      </c>
      <c r="AY2154" s="18">
        <v>7.1593484419263458</v>
      </c>
      <c r="AZ2154" s="10" t="s">
        <v>3998</v>
      </c>
      <c r="BA2154" s="20" t="b">
        <v>0</v>
      </c>
      <c r="BB2154" s="10"/>
      <c r="BC2154" s="17">
        <v>1355</v>
      </c>
      <c r="BD2154" s="17">
        <v>1059</v>
      </c>
      <c r="BE2154" s="17">
        <v>7581.75</v>
      </c>
      <c r="BF2154" s="17">
        <v>0.75</v>
      </c>
      <c r="BG2154" s="11">
        <f ca="1">IFERROR(__xludf.DUMMYFUNCTION("""COMPUTED_VALUE"""),45959.125)</f>
        <v>45959.125</v>
      </c>
      <c r="BH2154" s="17" t="s">
        <v>105</v>
      </c>
      <c r="BI2154" s="17"/>
      <c r="BJ2154" s="15"/>
      <c r="BK2154" s="15"/>
      <c r="BL2154" s="13" t="b">
        <v>0</v>
      </c>
      <c r="BM2154" s="10"/>
      <c r="BN2154" s="10" t="s">
        <v>1057</v>
      </c>
      <c r="BO2154" s="11">
        <v>45931.70416666667</v>
      </c>
      <c r="BP2154" s="11">
        <v>45937.548449074071</v>
      </c>
      <c r="BQ2154" s="15">
        <v>45958.699108796296</v>
      </c>
      <c r="BR2154" s="15">
        <v>45958.752500000002</v>
      </c>
      <c r="BS2154" s="10"/>
      <c r="BT2154" s="10" t="s">
        <v>279</v>
      </c>
      <c r="BU2154" s="10" t="s">
        <v>655</v>
      </c>
      <c r="BV2154" s="10"/>
      <c r="BW2154" s="10"/>
      <c r="BX2154" s="10"/>
      <c r="BY2154" s="23"/>
      <c r="BZ2154" s="23"/>
      <c r="CA2154" s="19" t="s">
        <v>16461</v>
      </c>
      <c r="CB2154" s="19" t="s">
        <v>16458</v>
      </c>
      <c r="CC2154" s="23"/>
      <c r="CD2154" s="23"/>
      <c r="CE2154" s="23"/>
      <c r="CF2154" s="23"/>
      <c r="CG2154" s="23"/>
      <c r="CH2154" s="23"/>
      <c r="CI2154" s="23"/>
    </row>
    <row r="2155" spans="1:87" x14ac:dyDescent="0.3">
      <c r="A2155" s="9" t="s">
        <v>16462</v>
      </c>
      <c r="B2155" s="10" t="s">
        <v>16463</v>
      </c>
      <c r="C2155" s="11">
        <v>45960.114583333336</v>
      </c>
      <c r="D2155" s="12">
        <v>8.3333333333333329E-2</v>
      </c>
      <c r="E2155" s="11">
        <v>45960.197916666664</v>
      </c>
      <c r="F2155" s="10" t="s">
        <v>7877</v>
      </c>
      <c r="G2155" s="13" t="b">
        <v>0</v>
      </c>
      <c r="H2155" s="22" t="s">
        <v>7878</v>
      </c>
      <c r="I2155" s="10" t="s">
        <v>89</v>
      </c>
      <c r="J2155" s="13" t="b">
        <v>0</v>
      </c>
      <c r="K2155" s="13" t="b">
        <v>1</v>
      </c>
      <c r="L2155" s="10" t="s">
        <v>124</v>
      </c>
      <c r="M2155" s="10" t="s">
        <v>91</v>
      </c>
      <c r="N2155" s="10" t="s">
        <v>92</v>
      </c>
      <c r="O2155" s="19" t="s">
        <v>16464</v>
      </c>
      <c r="P2155" s="10"/>
      <c r="Q2155" s="10" t="s">
        <v>126</v>
      </c>
      <c r="R2155" s="10"/>
      <c r="S2155" s="19" t="s">
        <v>16465</v>
      </c>
      <c r="T2155" s="19" t="s">
        <v>16466</v>
      </c>
      <c r="U2155" s="10" t="s">
        <v>362</v>
      </c>
      <c r="V2155" s="10" t="s">
        <v>308</v>
      </c>
      <c r="W2155" s="10" t="s">
        <v>7883</v>
      </c>
      <c r="X2155" s="10" t="s">
        <v>130</v>
      </c>
      <c r="Y2155" s="10" t="s">
        <v>130</v>
      </c>
      <c r="Z2155" s="10" t="s">
        <v>99</v>
      </c>
      <c r="AA2155" s="10" t="s">
        <v>131</v>
      </c>
      <c r="AB2155" s="10" t="s">
        <v>7884</v>
      </c>
      <c r="AC2155" s="10" t="s">
        <v>7885</v>
      </c>
      <c r="AD2155" s="10" t="s">
        <v>2095</v>
      </c>
      <c r="AE2155" s="10" t="s">
        <v>16467</v>
      </c>
      <c r="AF2155" s="15"/>
      <c r="AG2155" s="10"/>
      <c r="AH2155" s="10"/>
      <c r="AI2155" s="10"/>
      <c r="AJ2155" s="10"/>
      <c r="AK2155" s="10" t="s">
        <v>102</v>
      </c>
      <c r="AL2155" s="10" t="s">
        <v>7897</v>
      </c>
      <c r="AM2155" s="10"/>
      <c r="AN2155" s="10"/>
      <c r="AO2155" s="13" t="b">
        <v>1</v>
      </c>
      <c r="AP2155" s="22" t="s">
        <v>104</v>
      </c>
      <c r="AQ2155" s="10">
        <f ca="1">IFERROR(__xludf.DUMMYFUNCTION("""COMPUTED_VALUE"""),4673898)</f>
        <v>4673898</v>
      </c>
      <c r="AR2155" s="17">
        <v>35704</v>
      </c>
      <c r="AS2155" s="17">
        <v>22191</v>
      </c>
      <c r="AT2155" s="17">
        <v>775098.5</v>
      </c>
      <c r="AU2155" s="17">
        <v>125.1</v>
      </c>
      <c r="AV2155" s="17">
        <v>21.45</v>
      </c>
      <c r="AW2155" s="10" t="s">
        <v>105</v>
      </c>
      <c r="AX2155" s="17">
        <v>9472</v>
      </c>
      <c r="AY2155" s="18">
        <v>34.928507052408634</v>
      </c>
      <c r="AZ2155" s="10" t="s">
        <v>3783</v>
      </c>
      <c r="BA2155" s="20" t="b">
        <v>0</v>
      </c>
      <c r="BB2155" s="10"/>
      <c r="BC2155" s="17">
        <v>35704</v>
      </c>
      <c r="BD2155" s="17">
        <v>22191</v>
      </c>
      <c r="BE2155" s="17">
        <v>775098.5</v>
      </c>
      <c r="BF2155" s="17">
        <v>21.45</v>
      </c>
      <c r="BG2155" s="11">
        <f ca="1">IFERROR(__xludf.DUMMYFUNCTION("""COMPUTED_VALUE"""),45960.1145833333)</f>
        <v>45960.114583333299</v>
      </c>
      <c r="BH2155" s="17" t="s">
        <v>105</v>
      </c>
      <c r="BI2155" s="17"/>
      <c r="BJ2155" s="15"/>
      <c r="BK2155" s="15"/>
      <c r="BL2155" s="13" t="b">
        <v>0</v>
      </c>
      <c r="BM2155" s="10"/>
      <c r="BN2155" s="10" t="s">
        <v>667</v>
      </c>
      <c r="BO2155" s="11">
        <v>45931.704861111109</v>
      </c>
      <c r="BP2155" s="11">
        <v>45931.707685185182</v>
      </c>
      <c r="BQ2155" s="15">
        <v>45957.459560185183</v>
      </c>
      <c r="BR2155" s="15">
        <v>45957.650648148148</v>
      </c>
      <c r="BS2155" s="10" t="s">
        <v>667</v>
      </c>
      <c r="BT2155" s="10" t="s">
        <v>99</v>
      </c>
      <c r="BU2155" s="10" t="s">
        <v>730</v>
      </c>
      <c r="BV2155" s="10"/>
      <c r="BW2155" s="10"/>
      <c r="BX2155" s="10"/>
      <c r="BY2155" s="23"/>
      <c r="BZ2155" s="23"/>
      <c r="CA2155" s="19" t="s">
        <v>16468</v>
      </c>
      <c r="CB2155" s="19" t="s">
        <v>16469</v>
      </c>
      <c r="CC2155" s="23"/>
      <c r="CD2155" s="19" t="s">
        <v>16470</v>
      </c>
      <c r="CE2155" s="23"/>
      <c r="CF2155" s="23"/>
      <c r="CG2155" s="23"/>
      <c r="CH2155" s="23"/>
      <c r="CI2155" s="23"/>
    </row>
    <row r="2156" spans="1:87" x14ac:dyDescent="0.3">
      <c r="A2156" s="9" t="s">
        <v>16471</v>
      </c>
      <c r="B2156" s="10" t="s">
        <v>16472</v>
      </c>
      <c r="C2156" s="11">
        <v>45960.114583333336</v>
      </c>
      <c r="D2156" s="12">
        <v>8.3333333333333329E-2</v>
      </c>
      <c r="E2156" s="11">
        <v>45960.197916666664</v>
      </c>
      <c r="F2156" s="10" t="s">
        <v>7877</v>
      </c>
      <c r="G2156" s="13" t="b">
        <v>0</v>
      </c>
      <c r="H2156" s="22" t="s">
        <v>7878</v>
      </c>
      <c r="I2156" s="10" t="s">
        <v>89</v>
      </c>
      <c r="J2156" s="13" t="b">
        <v>0</v>
      </c>
      <c r="K2156" s="13" t="b">
        <v>1</v>
      </c>
      <c r="L2156" s="10" t="s">
        <v>124</v>
      </c>
      <c r="M2156" s="10" t="s">
        <v>91</v>
      </c>
      <c r="N2156" s="10" t="s">
        <v>92</v>
      </c>
      <c r="O2156" s="19" t="s">
        <v>16473</v>
      </c>
      <c r="P2156" s="10"/>
      <c r="Q2156" s="10" t="s">
        <v>126</v>
      </c>
      <c r="R2156" s="10"/>
      <c r="S2156" s="19" t="s">
        <v>16474</v>
      </c>
      <c r="T2156" s="19" t="s">
        <v>16475</v>
      </c>
      <c r="U2156" s="10" t="s">
        <v>270</v>
      </c>
      <c r="V2156" s="10" t="s">
        <v>347</v>
      </c>
      <c r="W2156" s="10" t="s">
        <v>7883</v>
      </c>
      <c r="X2156" s="10" t="s">
        <v>130</v>
      </c>
      <c r="Y2156" s="10" t="s">
        <v>130</v>
      </c>
      <c r="Z2156" s="10" t="s">
        <v>99</v>
      </c>
      <c r="AA2156" s="10" t="s">
        <v>131</v>
      </c>
      <c r="AB2156" s="10" t="s">
        <v>7884</v>
      </c>
      <c r="AC2156" s="10" t="s">
        <v>7885</v>
      </c>
      <c r="AD2156" s="10" t="s">
        <v>3027</v>
      </c>
      <c r="AE2156" s="10" t="s">
        <v>16476</v>
      </c>
      <c r="AF2156" s="15"/>
      <c r="AG2156" s="10"/>
      <c r="AH2156" s="10"/>
      <c r="AI2156" s="10"/>
      <c r="AJ2156" s="10"/>
      <c r="AK2156" s="10" t="s">
        <v>102</v>
      </c>
      <c r="AL2156" s="10" t="s">
        <v>7897</v>
      </c>
      <c r="AM2156" s="10"/>
      <c r="AN2156" s="10"/>
      <c r="AO2156" s="13" t="b">
        <v>1</v>
      </c>
      <c r="AP2156" s="22" t="s">
        <v>104</v>
      </c>
      <c r="AQ2156" s="10">
        <f ca="1">IFERROR(__xludf.DUMMYFUNCTION("""COMPUTED_VALUE"""),4673900)</f>
        <v>4673900</v>
      </c>
      <c r="AR2156" s="17">
        <v>50290</v>
      </c>
      <c r="AS2156" s="17">
        <v>31075</v>
      </c>
      <c r="AT2156" s="17">
        <v>930646</v>
      </c>
      <c r="AU2156" s="17">
        <v>166.2</v>
      </c>
      <c r="AV2156" s="17">
        <v>16.8</v>
      </c>
      <c r="AW2156" s="10" t="s">
        <v>105</v>
      </c>
      <c r="AX2156" s="17">
        <v>11235</v>
      </c>
      <c r="AY2156" s="18">
        <v>29.94838294448914</v>
      </c>
      <c r="AZ2156" s="10" t="s">
        <v>3783</v>
      </c>
      <c r="BA2156" s="20" t="b">
        <v>0</v>
      </c>
      <c r="BB2156" s="10"/>
      <c r="BC2156" s="17">
        <v>50290</v>
      </c>
      <c r="BD2156" s="17">
        <v>31075</v>
      </c>
      <c r="BE2156" s="17">
        <v>930646</v>
      </c>
      <c r="BF2156" s="17">
        <v>16.8</v>
      </c>
      <c r="BG2156" s="11">
        <f ca="1">IFERROR(__xludf.DUMMYFUNCTION("""COMPUTED_VALUE"""),45960.1145833333)</f>
        <v>45960.114583333299</v>
      </c>
      <c r="BH2156" s="17" t="s">
        <v>105</v>
      </c>
      <c r="BI2156" s="17"/>
      <c r="BJ2156" s="15"/>
      <c r="BK2156" s="15"/>
      <c r="BL2156" s="13" t="b">
        <v>0</v>
      </c>
      <c r="BM2156" s="10"/>
      <c r="BN2156" s="10" t="s">
        <v>667</v>
      </c>
      <c r="BO2156" s="11">
        <v>45931.704861111109</v>
      </c>
      <c r="BP2156" s="11">
        <v>45931.707777777781</v>
      </c>
      <c r="BQ2156" s="15">
        <v>45957.459675925929</v>
      </c>
      <c r="BR2156" s="15">
        <v>45957.650833333333</v>
      </c>
      <c r="BS2156" s="10" t="s">
        <v>667</v>
      </c>
      <c r="BT2156" s="10" t="s">
        <v>99</v>
      </c>
      <c r="BU2156" s="10" t="s">
        <v>16027</v>
      </c>
      <c r="BV2156" s="10" t="s">
        <v>124</v>
      </c>
      <c r="BW2156" s="10"/>
      <c r="BX2156" s="10"/>
      <c r="BY2156" s="23"/>
      <c r="BZ2156" s="23"/>
      <c r="CA2156" s="19" t="s">
        <v>16477</v>
      </c>
      <c r="CB2156" s="19" t="s">
        <v>16478</v>
      </c>
      <c r="CC2156" s="23"/>
      <c r="CD2156" s="19" t="s">
        <v>16479</v>
      </c>
      <c r="CE2156" s="23"/>
      <c r="CF2156" s="23"/>
      <c r="CG2156" s="23"/>
      <c r="CH2156" s="23"/>
      <c r="CI2156" s="23"/>
    </row>
    <row r="2157" spans="1:87" x14ac:dyDescent="0.3">
      <c r="A2157" s="9" t="s">
        <v>16480</v>
      </c>
      <c r="B2157" s="10" t="s">
        <v>16481</v>
      </c>
      <c r="C2157" s="11">
        <v>45960.114583333336</v>
      </c>
      <c r="D2157" s="12">
        <v>8.3333333333333329E-2</v>
      </c>
      <c r="E2157" s="11">
        <v>45960.197916666664</v>
      </c>
      <c r="F2157" s="10" t="s">
        <v>7877</v>
      </c>
      <c r="G2157" s="13" t="b">
        <v>0</v>
      </c>
      <c r="H2157" s="22" t="s">
        <v>3478</v>
      </c>
      <c r="I2157" s="10" t="s">
        <v>89</v>
      </c>
      <c r="J2157" s="13" t="b">
        <v>0</v>
      </c>
      <c r="K2157" s="13" t="b">
        <v>1</v>
      </c>
      <c r="L2157" s="10" t="s">
        <v>124</v>
      </c>
      <c r="M2157" s="10" t="s">
        <v>91</v>
      </c>
      <c r="N2157" s="10" t="s">
        <v>92</v>
      </c>
      <c r="O2157" s="19" t="s">
        <v>16482</v>
      </c>
      <c r="P2157" s="10"/>
      <c r="Q2157" s="10" t="s">
        <v>126</v>
      </c>
      <c r="R2157" s="10"/>
      <c r="S2157" s="19" t="s">
        <v>16483</v>
      </c>
      <c r="T2157" s="19" t="s">
        <v>16484</v>
      </c>
      <c r="U2157" s="10" t="s">
        <v>8845</v>
      </c>
      <c r="V2157" s="10" t="s">
        <v>334</v>
      </c>
      <c r="W2157" s="10" t="s">
        <v>7883</v>
      </c>
      <c r="X2157" s="10" t="s">
        <v>130</v>
      </c>
      <c r="Y2157" s="10" t="s">
        <v>130</v>
      </c>
      <c r="Z2157" s="10" t="s">
        <v>99</v>
      </c>
      <c r="AA2157" s="10" t="s">
        <v>131</v>
      </c>
      <c r="AB2157" s="10" t="s">
        <v>7884</v>
      </c>
      <c r="AC2157" s="10" t="s">
        <v>7885</v>
      </c>
      <c r="AD2157" s="10" t="s">
        <v>16485</v>
      </c>
      <c r="AE2157" s="10" t="s">
        <v>16486</v>
      </c>
      <c r="AF2157" s="15"/>
      <c r="AG2157" s="10"/>
      <c r="AH2157" s="10"/>
      <c r="AI2157" s="10"/>
      <c r="AJ2157" s="10"/>
      <c r="AK2157" s="10" t="s">
        <v>102</v>
      </c>
      <c r="AL2157" s="10" t="s">
        <v>7897</v>
      </c>
      <c r="AM2157" s="10"/>
      <c r="AN2157" s="10"/>
      <c r="AO2157" s="13" t="b">
        <v>1</v>
      </c>
      <c r="AP2157" s="22" t="s">
        <v>104</v>
      </c>
      <c r="AQ2157" s="10">
        <f ca="1">IFERROR(__xludf.DUMMYFUNCTION("""COMPUTED_VALUE"""),4675196)</f>
        <v>4675196</v>
      </c>
      <c r="AR2157" s="17">
        <v>12713</v>
      </c>
      <c r="AS2157" s="17">
        <v>7902</v>
      </c>
      <c r="AT2157" s="17">
        <v>201049.25</v>
      </c>
      <c r="AU2157" s="17">
        <v>38.15</v>
      </c>
      <c r="AV2157" s="17">
        <v>7.7</v>
      </c>
      <c r="AW2157" s="10" t="s">
        <v>105</v>
      </c>
      <c r="AX2157" s="17">
        <v>3197</v>
      </c>
      <c r="AY2157" s="18">
        <v>25.442830928878767</v>
      </c>
      <c r="AZ2157" s="10" t="s">
        <v>3783</v>
      </c>
      <c r="BA2157" s="20" t="b">
        <v>0</v>
      </c>
      <c r="BB2157" s="10"/>
      <c r="BC2157" s="17">
        <v>12713</v>
      </c>
      <c r="BD2157" s="17">
        <v>7902</v>
      </c>
      <c r="BE2157" s="17">
        <v>201049.25</v>
      </c>
      <c r="BF2157" s="17">
        <v>7.7</v>
      </c>
      <c r="BG2157" s="11">
        <f ca="1">IFERROR(__xludf.DUMMYFUNCTION("""COMPUTED_VALUE"""),45960.1145833333)</f>
        <v>45960.114583333299</v>
      </c>
      <c r="BH2157" s="17" t="s">
        <v>105</v>
      </c>
      <c r="BI2157" s="17"/>
      <c r="BJ2157" s="15"/>
      <c r="BK2157" s="15"/>
      <c r="BL2157" s="13" t="b">
        <v>0</v>
      </c>
      <c r="BM2157" s="10"/>
      <c r="BN2157" s="10" t="s">
        <v>667</v>
      </c>
      <c r="BO2157" s="11">
        <v>45931.705555555556</v>
      </c>
      <c r="BP2157" s="11">
        <v>45958.70003472222</v>
      </c>
      <c r="BQ2157" s="15">
        <v>45957.602175925924</v>
      </c>
      <c r="BR2157" s="15">
        <v>45958.712094907409</v>
      </c>
      <c r="BS2157" s="10" t="s">
        <v>667</v>
      </c>
      <c r="BT2157" s="10" t="s">
        <v>99</v>
      </c>
      <c r="BU2157" s="10" t="s">
        <v>16487</v>
      </c>
      <c r="BV2157" s="10"/>
      <c r="BW2157" s="10"/>
      <c r="BX2157" s="10"/>
      <c r="BY2157" s="23"/>
      <c r="BZ2157" s="23"/>
      <c r="CA2157" s="19" t="s">
        <v>16488</v>
      </c>
      <c r="CB2157" s="19" t="s">
        <v>16489</v>
      </c>
      <c r="CC2157" s="23"/>
      <c r="CD2157" s="19" t="s">
        <v>16490</v>
      </c>
      <c r="CE2157" s="23"/>
      <c r="CF2157" s="23"/>
      <c r="CG2157" s="23"/>
      <c r="CH2157" s="23"/>
      <c r="CI2157" s="23"/>
    </row>
    <row r="2158" spans="1:87" x14ac:dyDescent="0.3">
      <c r="A2158" s="9" t="s">
        <v>16491</v>
      </c>
      <c r="B2158" s="10" t="s">
        <v>16492</v>
      </c>
      <c r="C2158" s="11">
        <v>45960.114583333336</v>
      </c>
      <c r="D2158" s="12">
        <v>8.3333333333333329E-2</v>
      </c>
      <c r="E2158" s="11">
        <v>45960.197916666664</v>
      </c>
      <c r="F2158" s="10" t="s">
        <v>7877</v>
      </c>
      <c r="G2158" s="13" t="b">
        <v>0</v>
      </c>
      <c r="H2158" s="22" t="s">
        <v>7878</v>
      </c>
      <c r="I2158" s="10" t="s">
        <v>89</v>
      </c>
      <c r="J2158" s="13" t="b">
        <v>0</v>
      </c>
      <c r="K2158" s="13" t="b">
        <v>1</v>
      </c>
      <c r="L2158" s="10" t="s">
        <v>124</v>
      </c>
      <c r="M2158" s="10" t="s">
        <v>91</v>
      </c>
      <c r="N2158" s="10" t="s">
        <v>92</v>
      </c>
      <c r="O2158" s="19" t="s">
        <v>16493</v>
      </c>
      <c r="P2158" s="10"/>
      <c r="Q2158" s="10" t="s">
        <v>126</v>
      </c>
      <c r="R2158" s="10"/>
      <c r="S2158" s="19" t="s">
        <v>16494</v>
      </c>
      <c r="T2158" s="19" t="s">
        <v>16495</v>
      </c>
      <c r="U2158" s="10" t="s">
        <v>333</v>
      </c>
      <c r="V2158" s="10" t="s">
        <v>346</v>
      </c>
      <c r="W2158" s="10" t="s">
        <v>7883</v>
      </c>
      <c r="X2158" s="10" t="s">
        <v>130</v>
      </c>
      <c r="Y2158" s="10" t="s">
        <v>130</v>
      </c>
      <c r="Z2158" s="10" t="s">
        <v>99</v>
      </c>
      <c r="AA2158" s="10" t="s">
        <v>131</v>
      </c>
      <c r="AB2158" s="10" t="s">
        <v>7884</v>
      </c>
      <c r="AC2158" s="10" t="s">
        <v>7885</v>
      </c>
      <c r="AD2158" s="10" t="s">
        <v>2673</v>
      </c>
      <c r="AE2158" s="10" t="s">
        <v>16496</v>
      </c>
      <c r="AF2158" s="15"/>
      <c r="AG2158" s="10"/>
      <c r="AH2158" s="10"/>
      <c r="AI2158" s="10"/>
      <c r="AJ2158" s="10"/>
      <c r="AK2158" s="10" t="s">
        <v>102</v>
      </c>
      <c r="AL2158" s="10" t="s">
        <v>7897</v>
      </c>
      <c r="AM2158" s="10"/>
      <c r="AN2158" s="10"/>
      <c r="AO2158" s="13" t="b">
        <v>1</v>
      </c>
      <c r="AP2158" s="22" t="s">
        <v>104</v>
      </c>
      <c r="AQ2158" s="10">
        <f ca="1">IFERROR(__xludf.DUMMYFUNCTION("""COMPUTED_VALUE"""),4673904)</f>
        <v>4673904</v>
      </c>
      <c r="AR2158" s="17">
        <v>19963</v>
      </c>
      <c r="AS2158" s="17">
        <v>12628</v>
      </c>
      <c r="AT2158" s="17">
        <v>437641.5</v>
      </c>
      <c r="AU2158" s="17">
        <v>76.5</v>
      </c>
      <c r="AV2158" s="17">
        <v>11.85</v>
      </c>
      <c r="AW2158" s="10" t="s">
        <v>105</v>
      </c>
      <c r="AX2158" s="17">
        <v>6643</v>
      </c>
      <c r="AY2158" s="18">
        <v>34.656438074120999</v>
      </c>
      <c r="AZ2158" s="10" t="s">
        <v>3783</v>
      </c>
      <c r="BA2158" s="20" t="b">
        <v>0</v>
      </c>
      <c r="BB2158" s="10"/>
      <c r="BC2158" s="17">
        <v>19963</v>
      </c>
      <c r="BD2158" s="17">
        <v>12628</v>
      </c>
      <c r="BE2158" s="17">
        <v>437641.5</v>
      </c>
      <c r="BF2158" s="17">
        <v>11.85</v>
      </c>
      <c r="BG2158" s="11">
        <f ca="1">IFERROR(__xludf.DUMMYFUNCTION("""COMPUTED_VALUE"""),45960.1145833333)</f>
        <v>45960.114583333299</v>
      </c>
      <c r="BH2158" s="17" t="s">
        <v>105</v>
      </c>
      <c r="BI2158" s="17"/>
      <c r="BJ2158" s="15"/>
      <c r="BK2158" s="15"/>
      <c r="BL2158" s="13" t="b">
        <v>0</v>
      </c>
      <c r="BM2158" s="10"/>
      <c r="BN2158" s="10" t="s">
        <v>667</v>
      </c>
      <c r="BO2158" s="11">
        <v>45931.705555555556</v>
      </c>
      <c r="BP2158" s="11">
        <v>45931.708009259259</v>
      </c>
      <c r="BQ2158" s="15">
        <v>45957.459791666668</v>
      </c>
      <c r="BR2158" s="15">
        <v>45957.653043981481</v>
      </c>
      <c r="BS2158" s="10" t="s">
        <v>667</v>
      </c>
      <c r="BT2158" s="10" t="s">
        <v>99</v>
      </c>
      <c r="BU2158" s="10" t="s">
        <v>16497</v>
      </c>
      <c r="BV2158" s="10"/>
      <c r="BW2158" s="10"/>
      <c r="BX2158" s="10"/>
      <c r="BY2158" s="23"/>
      <c r="BZ2158" s="23"/>
      <c r="CA2158" s="19" t="s">
        <v>16498</v>
      </c>
      <c r="CB2158" s="19" t="s">
        <v>16499</v>
      </c>
      <c r="CC2158" s="23"/>
      <c r="CD2158" s="19" t="s">
        <v>16500</v>
      </c>
      <c r="CE2158" s="23"/>
      <c r="CF2158" s="23"/>
      <c r="CG2158" s="23"/>
      <c r="CH2158" s="23"/>
      <c r="CI2158" s="23"/>
    </row>
    <row r="2159" spans="1:87" x14ac:dyDescent="0.3">
      <c r="A2159" s="9" t="s">
        <v>16501</v>
      </c>
      <c r="B2159" s="10" t="s">
        <v>16502</v>
      </c>
      <c r="C2159" s="11">
        <v>45960.125</v>
      </c>
      <c r="D2159" s="12">
        <v>8.3333333333333329E-2</v>
      </c>
      <c r="E2159" s="11">
        <v>45960.208333333336</v>
      </c>
      <c r="F2159" s="10" t="s">
        <v>7877</v>
      </c>
      <c r="G2159" s="13" t="b">
        <v>0</v>
      </c>
      <c r="H2159" s="22" t="s">
        <v>7878</v>
      </c>
      <c r="I2159" s="10" t="s">
        <v>89</v>
      </c>
      <c r="J2159" s="13" t="b">
        <v>0</v>
      </c>
      <c r="K2159" s="13" t="b">
        <v>1</v>
      </c>
      <c r="L2159" s="10" t="s">
        <v>124</v>
      </c>
      <c r="M2159" s="10" t="s">
        <v>91</v>
      </c>
      <c r="N2159" s="10" t="s">
        <v>92</v>
      </c>
      <c r="O2159" s="19" t="s">
        <v>16503</v>
      </c>
      <c r="P2159" s="10"/>
      <c r="Q2159" s="10" t="s">
        <v>126</v>
      </c>
      <c r="R2159" s="10"/>
      <c r="S2159" s="19" t="s">
        <v>16504</v>
      </c>
      <c r="T2159" s="19" t="s">
        <v>16505</v>
      </c>
      <c r="U2159" s="10" t="s">
        <v>293</v>
      </c>
      <c r="V2159" s="10" t="s">
        <v>429</v>
      </c>
      <c r="W2159" s="10" t="s">
        <v>7883</v>
      </c>
      <c r="X2159" s="10" t="s">
        <v>130</v>
      </c>
      <c r="Y2159" s="10" t="s">
        <v>130</v>
      </c>
      <c r="Z2159" s="10" t="s">
        <v>99</v>
      </c>
      <c r="AA2159" s="10" t="s">
        <v>131</v>
      </c>
      <c r="AB2159" s="10" t="s">
        <v>7884</v>
      </c>
      <c r="AC2159" s="10" t="s">
        <v>7885</v>
      </c>
      <c r="AD2159" s="10" t="s">
        <v>1749</v>
      </c>
      <c r="AE2159" s="10" t="s">
        <v>16506</v>
      </c>
      <c r="AF2159" s="15"/>
      <c r="AG2159" s="10"/>
      <c r="AH2159" s="10"/>
      <c r="AI2159" s="10"/>
      <c r="AJ2159" s="10"/>
      <c r="AK2159" s="10" t="s">
        <v>102</v>
      </c>
      <c r="AL2159" s="10" t="s">
        <v>7897</v>
      </c>
      <c r="AM2159" s="10"/>
      <c r="AN2159" s="10"/>
      <c r="AO2159" s="13" t="b">
        <v>1</v>
      </c>
      <c r="AP2159" s="22" t="s">
        <v>104</v>
      </c>
      <c r="AQ2159" s="10">
        <f ca="1">IFERROR(__xludf.DUMMYFUNCTION("""COMPUTED_VALUE"""),4673906)</f>
        <v>4673906</v>
      </c>
      <c r="AR2159" s="17">
        <v>13666</v>
      </c>
      <c r="AS2159" s="17">
        <v>9268</v>
      </c>
      <c r="AT2159" s="17">
        <v>131666.75</v>
      </c>
      <c r="AU2159" s="17">
        <v>15.95</v>
      </c>
      <c r="AV2159" s="17">
        <v>2.4</v>
      </c>
      <c r="AW2159" s="10" t="s">
        <v>105</v>
      </c>
      <c r="AX2159" s="17">
        <v>3226</v>
      </c>
      <c r="AY2159" s="18">
        <v>14.20659797151489</v>
      </c>
      <c r="AZ2159" s="10" t="s">
        <v>3783</v>
      </c>
      <c r="BA2159" s="20" t="b">
        <v>0</v>
      </c>
      <c r="BB2159" s="10"/>
      <c r="BC2159" s="17">
        <v>13666</v>
      </c>
      <c r="BD2159" s="17">
        <v>9268</v>
      </c>
      <c r="BE2159" s="17">
        <v>131666.75</v>
      </c>
      <c r="BF2159" s="17">
        <v>2.4</v>
      </c>
      <c r="BG2159" s="11">
        <f ca="1">IFERROR(__xludf.DUMMYFUNCTION("""COMPUTED_VALUE"""),45960.125)</f>
        <v>45960.125</v>
      </c>
      <c r="BH2159" s="17" t="s">
        <v>105</v>
      </c>
      <c r="BI2159" s="17"/>
      <c r="BJ2159" s="15"/>
      <c r="BK2159" s="15"/>
      <c r="BL2159" s="13" t="b">
        <v>0</v>
      </c>
      <c r="BM2159" s="10"/>
      <c r="BN2159" s="10" t="s">
        <v>667</v>
      </c>
      <c r="BO2159" s="11">
        <v>45931.706250000003</v>
      </c>
      <c r="BP2159" s="11">
        <v>45931.708090277774</v>
      </c>
      <c r="BQ2159" s="15">
        <v>45957.45989583333</v>
      </c>
      <c r="BR2159" s="15">
        <v>45957.655381944445</v>
      </c>
      <c r="BS2159" s="10" t="s">
        <v>667</v>
      </c>
      <c r="BT2159" s="10" t="s">
        <v>99</v>
      </c>
      <c r="BU2159" s="10" t="s">
        <v>16507</v>
      </c>
      <c r="BV2159" s="10"/>
      <c r="BW2159" s="10"/>
      <c r="BX2159" s="10"/>
      <c r="BY2159" s="23"/>
      <c r="BZ2159" s="23"/>
      <c r="CA2159" s="19" t="s">
        <v>16508</v>
      </c>
      <c r="CB2159" s="19" t="s">
        <v>16509</v>
      </c>
      <c r="CC2159" s="23"/>
      <c r="CD2159" s="19" t="s">
        <v>16510</v>
      </c>
      <c r="CE2159" s="23"/>
      <c r="CF2159" s="23"/>
      <c r="CG2159" s="23"/>
      <c r="CH2159" s="23"/>
      <c r="CI2159" s="23"/>
    </row>
    <row r="2160" spans="1:87" x14ac:dyDescent="0.3">
      <c r="A2160" s="9" t="s">
        <v>16511</v>
      </c>
      <c r="B2160" s="10" t="s">
        <v>16512</v>
      </c>
      <c r="C2160" s="11">
        <v>45951.791666666664</v>
      </c>
      <c r="D2160" s="12">
        <v>8.3333333333333329E-2</v>
      </c>
      <c r="E2160" s="11">
        <v>45951.875</v>
      </c>
      <c r="F2160" s="10" t="s">
        <v>14910</v>
      </c>
      <c r="G2160" s="13" t="b">
        <v>0</v>
      </c>
      <c r="H2160" s="22" t="s">
        <v>3578</v>
      </c>
      <c r="I2160" s="10" t="s">
        <v>89</v>
      </c>
      <c r="J2160" s="13" t="b">
        <v>0</v>
      </c>
      <c r="K2160" s="13" t="b">
        <v>1</v>
      </c>
      <c r="L2160" s="10" t="s">
        <v>124</v>
      </c>
      <c r="M2160" s="10" t="s">
        <v>91</v>
      </c>
      <c r="N2160" s="10" t="s">
        <v>92</v>
      </c>
      <c r="O2160" s="19" t="s">
        <v>16513</v>
      </c>
      <c r="P2160" s="10"/>
      <c r="Q2160" s="10" t="s">
        <v>94</v>
      </c>
      <c r="R2160" s="10"/>
      <c r="S2160" s="19" t="s">
        <v>16514</v>
      </c>
      <c r="T2160" s="19" t="s">
        <v>16034</v>
      </c>
      <c r="U2160" s="10" t="s">
        <v>362</v>
      </c>
      <c r="V2160" s="10" t="s">
        <v>5090</v>
      </c>
      <c r="W2160" s="10" t="s">
        <v>14914</v>
      </c>
      <c r="X2160" s="10" t="s">
        <v>130</v>
      </c>
      <c r="Y2160" s="10" t="s">
        <v>130</v>
      </c>
      <c r="Z2160" s="10" t="s">
        <v>99</v>
      </c>
      <c r="AA2160" s="10" t="s">
        <v>131</v>
      </c>
      <c r="AB2160" s="10" t="s">
        <v>14915</v>
      </c>
      <c r="AC2160" s="10" t="s">
        <v>3571</v>
      </c>
      <c r="AD2160" s="10" t="s">
        <v>11783</v>
      </c>
      <c r="AE2160" s="10" t="s">
        <v>16515</v>
      </c>
      <c r="AF2160" s="15"/>
      <c r="AG2160" s="10"/>
      <c r="AH2160" s="10"/>
      <c r="AI2160" s="10"/>
      <c r="AJ2160" s="10"/>
      <c r="AK2160" s="10" t="s">
        <v>102</v>
      </c>
      <c r="AL2160" s="10" t="s">
        <v>7897</v>
      </c>
      <c r="AM2160" s="10"/>
      <c r="AN2160" s="10"/>
      <c r="AO2160" s="13" t="b">
        <v>0</v>
      </c>
      <c r="AP2160" s="22" t="s">
        <v>104</v>
      </c>
      <c r="AQ2160" s="10">
        <f ca="1">IFERROR(__xludf.DUMMYFUNCTION("""COMPUTED_VALUE"""),4660172)</f>
        <v>4660172</v>
      </c>
      <c r="AR2160" s="17">
        <v>15571</v>
      </c>
      <c r="AS2160" s="17">
        <v>12764</v>
      </c>
      <c r="AT2160" s="17">
        <v>165714.5</v>
      </c>
      <c r="AU2160" s="17">
        <v>54.25</v>
      </c>
      <c r="AV2160" s="17">
        <v>7.8</v>
      </c>
      <c r="AW2160" s="10" t="s">
        <v>105</v>
      </c>
      <c r="AX2160" s="17">
        <v>2080</v>
      </c>
      <c r="AY2160" s="18">
        <v>12.982959887182702</v>
      </c>
      <c r="AZ2160" s="10" t="s">
        <v>148</v>
      </c>
      <c r="BA2160" s="20" t="b">
        <v>0</v>
      </c>
      <c r="BB2160" s="10"/>
      <c r="BC2160" s="17">
        <v>15571</v>
      </c>
      <c r="BD2160" s="17">
        <v>12764</v>
      </c>
      <c r="BE2160" s="17">
        <v>165714.5</v>
      </c>
      <c r="BF2160" s="17">
        <v>7.8</v>
      </c>
      <c r="BG2160" s="11">
        <f ca="1">IFERROR(__xludf.DUMMYFUNCTION("""COMPUTED_VALUE"""),45951.7916666666)</f>
        <v>45951.791666666599</v>
      </c>
      <c r="BH2160" s="17" t="s">
        <v>105</v>
      </c>
      <c r="BI2160" s="17"/>
      <c r="BJ2160" s="15"/>
      <c r="BK2160" s="15"/>
      <c r="BL2160" s="13" t="b">
        <v>0</v>
      </c>
      <c r="BM2160" s="10"/>
      <c r="BN2160" s="10" t="s">
        <v>197</v>
      </c>
      <c r="BO2160" s="11">
        <v>45931.8</v>
      </c>
      <c r="BP2160" s="11">
        <v>45931.800474537034</v>
      </c>
      <c r="BQ2160" s="15">
        <v>45947.746770833335</v>
      </c>
      <c r="BR2160" s="15"/>
      <c r="BS2160" s="10" t="s">
        <v>197</v>
      </c>
      <c r="BT2160" s="10" t="s">
        <v>99</v>
      </c>
      <c r="BU2160" s="10" t="s">
        <v>6409</v>
      </c>
      <c r="BV2160" s="10"/>
      <c r="BW2160" s="10"/>
      <c r="BX2160" s="10"/>
      <c r="BY2160" s="23"/>
      <c r="BZ2160" s="23"/>
      <c r="CA2160" s="19" t="s">
        <v>16516</v>
      </c>
      <c r="CB2160" s="19" t="s">
        <v>16517</v>
      </c>
      <c r="CC2160" s="23"/>
      <c r="CD2160" s="23"/>
      <c r="CE2160" s="23"/>
      <c r="CF2160" s="23"/>
      <c r="CG2160" s="23"/>
      <c r="CH2160" s="23"/>
      <c r="CI2160" s="23"/>
    </row>
    <row r="2161" spans="1:87" x14ac:dyDescent="0.3">
      <c r="A2161" s="9" t="s">
        <v>16518</v>
      </c>
      <c r="B2161" s="10" t="s">
        <v>16519</v>
      </c>
      <c r="C2161" s="11">
        <v>45951.8125</v>
      </c>
      <c r="D2161" s="12">
        <v>8.3333333333333329E-2</v>
      </c>
      <c r="E2161" s="11">
        <v>45951.895833333336</v>
      </c>
      <c r="F2161" s="10" t="s">
        <v>14910</v>
      </c>
      <c r="G2161" s="13" t="b">
        <v>0</v>
      </c>
      <c r="H2161" s="22" t="s">
        <v>3564</v>
      </c>
      <c r="I2161" s="10" t="s">
        <v>89</v>
      </c>
      <c r="J2161" s="13" t="b">
        <v>0</v>
      </c>
      <c r="K2161" s="13" t="b">
        <v>1</v>
      </c>
      <c r="L2161" s="10" t="s">
        <v>124</v>
      </c>
      <c r="M2161" s="10" t="s">
        <v>91</v>
      </c>
      <c r="N2161" s="10" t="s">
        <v>92</v>
      </c>
      <c r="O2161" s="19" t="s">
        <v>16520</v>
      </c>
      <c r="P2161" s="10"/>
      <c r="Q2161" s="10" t="s">
        <v>94</v>
      </c>
      <c r="R2161" s="10"/>
      <c r="S2161" s="19" t="s">
        <v>16521</v>
      </c>
      <c r="T2161" s="19" t="s">
        <v>16522</v>
      </c>
      <c r="U2161" s="10" t="s">
        <v>11393</v>
      </c>
      <c r="V2161" s="10" t="s">
        <v>3278</v>
      </c>
      <c r="W2161" s="10" t="s">
        <v>14914</v>
      </c>
      <c r="X2161" s="10" t="s">
        <v>130</v>
      </c>
      <c r="Y2161" s="10" t="s">
        <v>130</v>
      </c>
      <c r="Z2161" s="10" t="s">
        <v>99</v>
      </c>
      <c r="AA2161" s="10" t="s">
        <v>131</v>
      </c>
      <c r="AB2161" s="10" t="s">
        <v>14915</v>
      </c>
      <c r="AC2161" s="10" t="s">
        <v>3571</v>
      </c>
      <c r="AD2161" s="10" t="s">
        <v>11756</v>
      </c>
      <c r="AE2161" s="10" t="s">
        <v>16523</v>
      </c>
      <c r="AF2161" s="15"/>
      <c r="AG2161" s="10"/>
      <c r="AH2161" s="10"/>
      <c r="AI2161" s="10"/>
      <c r="AJ2161" s="10"/>
      <c r="AK2161" s="10" t="s">
        <v>102</v>
      </c>
      <c r="AL2161" s="10" t="s">
        <v>7897</v>
      </c>
      <c r="AM2161" s="10"/>
      <c r="AN2161" s="10"/>
      <c r="AO2161" s="13" t="b">
        <v>0</v>
      </c>
      <c r="AP2161" s="22" t="s">
        <v>104</v>
      </c>
      <c r="AQ2161" s="10">
        <f ca="1">IFERROR(__xludf.DUMMYFUNCTION("""COMPUTED_VALUE"""),4663944)</f>
        <v>4663944</v>
      </c>
      <c r="AR2161" s="17">
        <v>6313</v>
      </c>
      <c r="AS2161" s="17">
        <v>5161</v>
      </c>
      <c r="AT2161" s="17">
        <v>57351</v>
      </c>
      <c r="AU2161" s="17">
        <v>19.95</v>
      </c>
      <c r="AV2161" s="17">
        <v>0.35</v>
      </c>
      <c r="AW2161" s="10" t="s">
        <v>105</v>
      </c>
      <c r="AX2161" s="17">
        <v>1042</v>
      </c>
      <c r="AY2161" s="18">
        <v>11.112381321449332</v>
      </c>
      <c r="AZ2161" s="10" t="s">
        <v>148</v>
      </c>
      <c r="BA2161" s="20" t="b">
        <v>0</v>
      </c>
      <c r="BB2161" s="10"/>
      <c r="BC2161" s="17">
        <v>6313</v>
      </c>
      <c r="BD2161" s="17">
        <v>5161</v>
      </c>
      <c r="BE2161" s="17">
        <v>57351</v>
      </c>
      <c r="BF2161" s="17">
        <v>0.35</v>
      </c>
      <c r="BG2161" s="11">
        <f ca="1">IFERROR(__xludf.DUMMYFUNCTION("""COMPUTED_VALUE"""),45951.8125)</f>
        <v>45951.8125</v>
      </c>
      <c r="BH2161" s="17" t="s">
        <v>105</v>
      </c>
      <c r="BI2161" s="17"/>
      <c r="BJ2161" s="15"/>
      <c r="BK2161" s="15"/>
      <c r="BL2161" s="13" t="b">
        <v>0</v>
      </c>
      <c r="BM2161" s="10"/>
      <c r="BN2161" s="10" t="s">
        <v>197</v>
      </c>
      <c r="BO2161" s="11">
        <v>45931.800694444442</v>
      </c>
      <c r="BP2161" s="11">
        <v>45950.689351851855</v>
      </c>
      <c r="BQ2161" s="15">
        <v>45948.366006944445</v>
      </c>
      <c r="BR2161" s="15">
        <v>45950.809351851851</v>
      </c>
      <c r="BS2161" s="10" t="s">
        <v>197</v>
      </c>
      <c r="BT2161" s="10" t="s">
        <v>99</v>
      </c>
      <c r="BU2161" s="10" t="s">
        <v>6409</v>
      </c>
      <c r="BV2161" s="10"/>
      <c r="BW2161" s="10"/>
      <c r="BX2161" s="10"/>
      <c r="BY2161" s="23"/>
      <c r="BZ2161" s="23"/>
      <c r="CA2161" s="19" t="s">
        <v>16524</v>
      </c>
      <c r="CB2161" s="19" t="s">
        <v>16525</v>
      </c>
      <c r="CC2161" s="23"/>
      <c r="CD2161" s="23"/>
      <c r="CE2161" s="23"/>
      <c r="CF2161" s="23"/>
      <c r="CG2161" s="23"/>
      <c r="CH2161" s="23"/>
      <c r="CI2161" s="23"/>
    </row>
    <row r="2162" spans="1:87" x14ac:dyDescent="0.3">
      <c r="A2162" s="9" t="s">
        <v>16526</v>
      </c>
      <c r="B2162" s="10" t="s">
        <v>16527</v>
      </c>
      <c r="C2162" s="11">
        <v>45952.791666666664</v>
      </c>
      <c r="D2162" s="12">
        <v>8.3333333333333329E-2</v>
      </c>
      <c r="E2162" s="11">
        <v>45952.875</v>
      </c>
      <c r="F2162" s="10" t="s">
        <v>14910</v>
      </c>
      <c r="G2162" s="13" t="b">
        <v>0</v>
      </c>
      <c r="H2162" s="22" t="s">
        <v>3578</v>
      </c>
      <c r="I2162" s="10" t="s">
        <v>89</v>
      </c>
      <c r="J2162" s="13" t="b">
        <v>0</v>
      </c>
      <c r="K2162" s="13" t="b">
        <v>1</v>
      </c>
      <c r="L2162" s="10" t="s">
        <v>124</v>
      </c>
      <c r="M2162" s="10" t="s">
        <v>91</v>
      </c>
      <c r="N2162" s="10" t="s">
        <v>92</v>
      </c>
      <c r="O2162" s="19" t="s">
        <v>16528</v>
      </c>
      <c r="P2162" s="10"/>
      <c r="Q2162" s="10" t="s">
        <v>94</v>
      </c>
      <c r="R2162" s="10"/>
      <c r="S2162" s="19" t="s">
        <v>16529</v>
      </c>
      <c r="T2162" s="19" t="s">
        <v>16034</v>
      </c>
      <c r="U2162" s="10" t="s">
        <v>11509</v>
      </c>
      <c r="V2162" s="10" t="s">
        <v>429</v>
      </c>
      <c r="W2162" s="10" t="s">
        <v>14914</v>
      </c>
      <c r="X2162" s="10" t="s">
        <v>130</v>
      </c>
      <c r="Y2162" s="10" t="s">
        <v>130</v>
      </c>
      <c r="Z2162" s="10" t="s">
        <v>99</v>
      </c>
      <c r="AA2162" s="10" t="s">
        <v>131</v>
      </c>
      <c r="AB2162" s="10" t="s">
        <v>14915</v>
      </c>
      <c r="AC2162" s="10" t="s">
        <v>3571</v>
      </c>
      <c r="AD2162" s="10" t="s">
        <v>11838</v>
      </c>
      <c r="AE2162" s="10" t="s">
        <v>16530</v>
      </c>
      <c r="AF2162" s="15"/>
      <c r="AG2162" s="10"/>
      <c r="AH2162" s="10"/>
      <c r="AI2162" s="10"/>
      <c r="AJ2162" s="10"/>
      <c r="AK2162" s="10" t="s">
        <v>102</v>
      </c>
      <c r="AL2162" s="10" t="s">
        <v>7897</v>
      </c>
      <c r="AM2162" s="10"/>
      <c r="AN2162" s="10"/>
      <c r="AO2162" s="13" t="b">
        <v>0</v>
      </c>
      <c r="AP2162" s="22" t="s">
        <v>104</v>
      </c>
      <c r="AQ2162" s="10">
        <f ca="1">IFERROR(__xludf.DUMMYFUNCTION("""COMPUTED_VALUE"""),4660170)</f>
        <v>4660170</v>
      </c>
      <c r="AR2162" s="17">
        <v>14390</v>
      </c>
      <c r="AS2162" s="17">
        <v>12622</v>
      </c>
      <c r="AT2162" s="17">
        <v>114141</v>
      </c>
      <c r="AU2162" s="17">
        <v>25.9</v>
      </c>
      <c r="AV2162" s="17">
        <v>7.3</v>
      </c>
      <c r="AW2162" s="10" t="s">
        <v>105</v>
      </c>
      <c r="AX2162" s="17">
        <v>1522</v>
      </c>
      <c r="AY2162" s="18">
        <v>9.0430201235937258</v>
      </c>
      <c r="AZ2162" s="10" t="s">
        <v>148</v>
      </c>
      <c r="BA2162" s="20" t="b">
        <v>0</v>
      </c>
      <c r="BB2162" s="10"/>
      <c r="BC2162" s="17">
        <v>14390</v>
      </c>
      <c r="BD2162" s="17">
        <v>12622</v>
      </c>
      <c r="BE2162" s="17">
        <v>114141</v>
      </c>
      <c r="BF2162" s="17">
        <v>7.3</v>
      </c>
      <c r="BG2162" s="11">
        <f ca="1">IFERROR(__xludf.DUMMYFUNCTION("""COMPUTED_VALUE"""),45952.7916666666)</f>
        <v>45952.791666666599</v>
      </c>
      <c r="BH2162" s="17" t="s">
        <v>105</v>
      </c>
      <c r="BI2162" s="17"/>
      <c r="BJ2162" s="15"/>
      <c r="BK2162" s="15"/>
      <c r="BL2162" s="13" t="b">
        <v>0</v>
      </c>
      <c r="BM2162" s="10"/>
      <c r="BN2162" s="10" t="s">
        <v>148</v>
      </c>
      <c r="BO2162" s="11">
        <v>45931.801388888889</v>
      </c>
      <c r="BP2162" s="11">
        <v>45931.801446759258</v>
      </c>
      <c r="BQ2162" s="15">
        <v>45947.747083333335</v>
      </c>
      <c r="BR2162" s="15"/>
      <c r="BS2162" s="10"/>
      <c r="BT2162" s="10" t="s">
        <v>99</v>
      </c>
      <c r="BU2162" s="10"/>
      <c r="BV2162" s="10"/>
      <c r="BW2162" s="10"/>
      <c r="BX2162" s="10"/>
      <c r="BY2162" s="23"/>
      <c r="BZ2162" s="23"/>
      <c r="CA2162" s="19" t="s">
        <v>16531</v>
      </c>
      <c r="CB2162" s="19" t="s">
        <v>16532</v>
      </c>
      <c r="CC2162" s="23"/>
      <c r="CD2162" s="23"/>
      <c r="CE2162" s="23"/>
      <c r="CF2162" s="23"/>
      <c r="CG2162" s="23"/>
      <c r="CH2162" s="23"/>
      <c r="CI2162" s="23"/>
    </row>
    <row r="2163" spans="1:87" x14ac:dyDescent="0.3">
      <c r="A2163" s="9" t="s">
        <v>16533</v>
      </c>
      <c r="B2163" s="10" t="s">
        <v>16534</v>
      </c>
      <c r="C2163" s="11">
        <v>45952.875</v>
      </c>
      <c r="D2163" s="12">
        <v>8.3333333333333329E-2</v>
      </c>
      <c r="E2163" s="11">
        <v>45952.958333333336</v>
      </c>
      <c r="F2163" s="10" t="s">
        <v>14910</v>
      </c>
      <c r="G2163" s="13" t="b">
        <v>0</v>
      </c>
      <c r="H2163" s="22" t="s">
        <v>3578</v>
      </c>
      <c r="I2163" s="10" t="s">
        <v>89</v>
      </c>
      <c r="J2163" s="13" t="b">
        <v>0</v>
      </c>
      <c r="K2163" s="13" t="b">
        <v>1</v>
      </c>
      <c r="L2163" s="10" t="s">
        <v>124</v>
      </c>
      <c r="M2163" s="10" t="s">
        <v>91</v>
      </c>
      <c r="N2163" s="10" t="s">
        <v>92</v>
      </c>
      <c r="O2163" s="19" t="s">
        <v>16535</v>
      </c>
      <c r="P2163" s="10"/>
      <c r="Q2163" s="10" t="s">
        <v>94</v>
      </c>
      <c r="R2163" s="10"/>
      <c r="S2163" s="19" t="s">
        <v>16536</v>
      </c>
      <c r="T2163" s="19" t="s">
        <v>16034</v>
      </c>
      <c r="U2163" s="10" t="s">
        <v>11463</v>
      </c>
      <c r="V2163" s="10" t="s">
        <v>3568</v>
      </c>
      <c r="W2163" s="10" t="s">
        <v>14914</v>
      </c>
      <c r="X2163" s="10" t="s">
        <v>130</v>
      </c>
      <c r="Y2163" s="10" t="s">
        <v>130</v>
      </c>
      <c r="Z2163" s="10" t="s">
        <v>99</v>
      </c>
      <c r="AA2163" s="10" t="s">
        <v>131</v>
      </c>
      <c r="AB2163" s="10" t="s">
        <v>14915</v>
      </c>
      <c r="AC2163" s="10" t="s">
        <v>3571</v>
      </c>
      <c r="AD2163" s="10" t="s">
        <v>11864</v>
      </c>
      <c r="AE2163" s="10" t="s">
        <v>16537</v>
      </c>
      <c r="AF2163" s="15"/>
      <c r="AG2163" s="10"/>
      <c r="AH2163" s="10"/>
      <c r="AI2163" s="10"/>
      <c r="AJ2163" s="10"/>
      <c r="AK2163" s="10" t="s">
        <v>102</v>
      </c>
      <c r="AL2163" s="10" t="s">
        <v>7897</v>
      </c>
      <c r="AM2163" s="10"/>
      <c r="AN2163" s="10"/>
      <c r="AO2163" s="13" t="b">
        <v>0</v>
      </c>
      <c r="AP2163" s="22" t="s">
        <v>104</v>
      </c>
      <c r="AQ2163" s="10">
        <f ca="1">IFERROR(__xludf.DUMMYFUNCTION("""COMPUTED_VALUE"""),4660171)</f>
        <v>4660171</v>
      </c>
      <c r="AR2163" s="17">
        <v>12098</v>
      </c>
      <c r="AS2163" s="17">
        <v>10489</v>
      </c>
      <c r="AT2163" s="17">
        <v>93821.75</v>
      </c>
      <c r="AU2163" s="17">
        <v>40.6</v>
      </c>
      <c r="AV2163" s="17">
        <v>12.65</v>
      </c>
      <c r="AW2163" s="10" t="s">
        <v>105</v>
      </c>
      <c r="AX2163" s="17">
        <v>1562</v>
      </c>
      <c r="AY2163" s="18">
        <v>8.9447754790733143</v>
      </c>
      <c r="AZ2163" s="10" t="s">
        <v>148</v>
      </c>
      <c r="BA2163" s="20" t="b">
        <v>0</v>
      </c>
      <c r="BB2163" s="10"/>
      <c r="BC2163" s="17">
        <v>12098</v>
      </c>
      <c r="BD2163" s="17">
        <v>10489</v>
      </c>
      <c r="BE2163" s="17">
        <v>93821.75</v>
      </c>
      <c r="BF2163" s="17">
        <v>12.65</v>
      </c>
      <c r="BG2163" s="11">
        <f ca="1">IFERROR(__xludf.DUMMYFUNCTION("""COMPUTED_VALUE"""),45952.875)</f>
        <v>45952.875</v>
      </c>
      <c r="BH2163" s="17" t="s">
        <v>105</v>
      </c>
      <c r="BI2163" s="17"/>
      <c r="BJ2163" s="15"/>
      <c r="BK2163" s="15"/>
      <c r="BL2163" s="13" t="b">
        <v>0</v>
      </c>
      <c r="BM2163" s="10"/>
      <c r="BN2163" s="10" t="s">
        <v>148</v>
      </c>
      <c r="BO2163" s="11">
        <v>45931.801388888889</v>
      </c>
      <c r="BP2163" s="11">
        <v>45931.801759259259</v>
      </c>
      <c r="BQ2163" s="15">
        <v>45947.747199074074</v>
      </c>
      <c r="BR2163" s="15"/>
      <c r="BS2163" s="10"/>
      <c r="BT2163" s="10" t="s">
        <v>99</v>
      </c>
      <c r="BU2163" s="10"/>
      <c r="BV2163" s="10"/>
      <c r="BW2163" s="10"/>
      <c r="BX2163" s="10"/>
      <c r="BY2163" s="23"/>
      <c r="BZ2163" s="23"/>
      <c r="CA2163" s="19" t="s">
        <v>16538</v>
      </c>
      <c r="CB2163" s="19" t="s">
        <v>16539</v>
      </c>
      <c r="CC2163" s="23"/>
      <c r="CD2163" s="23"/>
      <c r="CE2163" s="23"/>
      <c r="CF2163" s="23"/>
      <c r="CG2163" s="23"/>
      <c r="CH2163" s="23"/>
      <c r="CI2163" s="23"/>
    </row>
    <row r="2164" spans="1:87" x14ac:dyDescent="0.3">
      <c r="A2164" s="9" t="s">
        <v>16540</v>
      </c>
      <c r="B2164" s="10" t="s">
        <v>16541</v>
      </c>
      <c r="C2164" s="11">
        <v>45937.708333333336</v>
      </c>
      <c r="D2164" s="12">
        <v>8.3333333333333329E-2</v>
      </c>
      <c r="E2164" s="11">
        <v>45937.791666666664</v>
      </c>
      <c r="F2164" s="10" t="s">
        <v>16542</v>
      </c>
      <c r="G2164" s="13" t="b">
        <v>0</v>
      </c>
      <c r="H2164" s="22" t="s">
        <v>16543</v>
      </c>
      <c r="I2164" s="10" t="s">
        <v>212</v>
      </c>
      <c r="J2164" s="13" t="b">
        <v>1</v>
      </c>
      <c r="K2164" s="13" t="b">
        <v>0</v>
      </c>
      <c r="L2164" s="10" t="s">
        <v>124</v>
      </c>
      <c r="M2164" s="10" t="s">
        <v>91</v>
      </c>
      <c r="N2164" s="10" t="s">
        <v>92</v>
      </c>
      <c r="O2164" s="19" t="s">
        <v>16544</v>
      </c>
      <c r="P2164" s="10"/>
      <c r="Q2164" s="10" t="s">
        <v>126</v>
      </c>
      <c r="R2164" s="10"/>
      <c r="S2164" s="19" t="s">
        <v>16545</v>
      </c>
      <c r="T2164" s="10"/>
      <c r="U2164" s="10" t="s">
        <v>16546</v>
      </c>
      <c r="V2164" s="10" t="s">
        <v>16547</v>
      </c>
      <c r="W2164" s="10" t="s">
        <v>16548</v>
      </c>
      <c r="X2164" s="10" t="s">
        <v>16549</v>
      </c>
      <c r="Y2164" s="10" t="s">
        <v>16549</v>
      </c>
      <c r="Z2164" s="10" t="s">
        <v>99</v>
      </c>
      <c r="AA2164" s="10" t="s">
        <v>131</v>
      </c>
      <c r="AB2164" s="10" t="s">
        <v>16550</v>
      </c>
      <c r="AC2164" s="10" t="s">
        <v>16551</v>
      </c>
      <c r="AD2164" s="10" t="s">
        <v>16552</v>
      </c>
      <c r="AE2164" s="10" t="s">
        <v>16553</v>
      </c>
      <c r="AF2164" s="15"/>
      <c r="AG2164" s="10"/>
      <c r="AH2164" s="10"/>
      <c r="AI2164" s="10"/>
      <c r="AJ2164" s="10"/>
      <c r="AK2164" s="10" t="s">
        <v>102</v>
      </c>
      <c r="AL2164" s="10" t="s">
        <v>7897</v>
      </c>
      <c r="AM2164" s="10"/>
      <c r="AN2164" s="10"/>
      <c r="AO2164" s="13" t="b">
        <v>0</v>
      </c>
      <c r="AP2164" s="22" t="s">
        <v>135</v>
      </c>
      <c r="AQ2164" s="10">
        <f ca="1">IFERROR(__xludf.DUMMYFUNCTION("""COMPUTED_VALUE"""),4636454)</f>
        <v>4636454</v>
      </c>
      <c r="AR2164" s="17">
        <v>13000</v>
      </c>
      <c r="AS2164" s="17">
        <v>8055</v>
      </c>
      <c r="AT2164" s="17">
        <v>155039.75</v>
      </c>
      <c r="AU2164" s="17">
        <v>35.549999999999997</v>
      </c>
      <c r="AV2164" s="17">
        <v>4.2</v>
      </c>
      <c r="AW2164" s="10" t="s">
        <v>105</v>
      </c>
      <c r="AX2164" s="17">
        <v>1391</v>
      </c>
      <c r="AY2164" s="18">
        <v>19.247641216635628</v>
      </c>
      <c r="AZ2164" s="10" t="s">
        <v>106</v>
      </c>
      <c r="BA2164" s="20" t="b">
        <v>0</v>
      </c>
      <c r="BB2164" s="10"/>
      <c r="BC2164" s="17">
        <v>13000</v>
      </c>
      <c r="BD2164" s="17">
        <v>8055</v>
      </c>
      <c r="BE2164" s="17">
        <v>155039.75</v>
      </c>
      <c r="BF2164" s="17">
        <v>4.2</v>
      </c>
      <c r="BG2164" s="11">
        <f ca="1">IFERROR(__xludf.DUMMYFUNCTION("""COMPUTED_VALUE"""),45937.7083333333)</f>
        <v>45937.708333333299</v>
      </c>
      <c r="BH2164" s="17" t="s">
        <v>105</v>
      </c>
      <c r="BI2164" s="17"/>
      <c r="BJ2164" s="15"/>
      <c r="BK2164" s="15"/>
      <c r="BL2164" s="13" t="b">
        <v>0</v>
      </c>
      <c r="BM2164" s="10"/>
      <c r="BN2164" s="10" t="s">
        <v>278</v>
      </c>
      <c r="BO2164" s="11">
        <v>45932.65625</v>
      </c>
      <c r="BP2164" s="11">
        <v>45932.657777777778</v>
      </c>
      <c r="BQ2164" s="15">
        <v>45936.988680555558</v>
      </c>
      <c r="BR2164" s="15">
        <v>45937.024189814816</v>
      </c>
      <c r="BS2164" s="10" t="s">
        <v>278</v>
      </c>
      <c r="BT2164" s="10"/>
      <c r="BU2164" s="10"/>
      <c r="BV2164" s="10"/>
      <c r="BW2164" s="10"/>
      <c r="BX2164" s="10"/>
      <c r="BY2164" s="23"/>
      <c r="BZ2164" s="23"/>
      <c r="CA2164" s="19" t="s">
        <v>16554</v>
      </c>
      <c r="CB2164" s="23"/>
      <c r="CC2164" s="23"/>
      <c r="CD2164" s="19" t="s">
        <v>16555</v>
      </c>
      <c r="CE2164" s="23"/>
      <c r="CF2164" s="23"/>
      <c r="CG2164" s="23"/>
      <c r="CH2164" s="23"/>
      <c r="CI2164" s="23"/>
    </row>
    <row r="2165" spans="1:87" x14ac:dyDescent="0.3">
      <c r="A2165" s="9" t="s">
        <v>16556</v>
      </c>
      <c r="B2165" s="10" t="s">
        <v>16557</v>
      </c>
      <c r="C2165" s="11">
        <v>45937.8125</v>
      </c>
      <c r="D2165" s="12">
        <v>8.3333333333333329E-2</v>
      </c>
      <c r="E2165" s="11">
        <v>45937.895833333336</v>
      </c>
      <c r="F2165" s="10" t="s">
        <v>16542</v>
      </c>
      <c r="G2165" s="13" t="b">
        <v>0</v>
      </c>
      <c r="H2165" s="22" t="s">
        <v>16543</v>
      </c>
      <c r="I2165" s="10" t="s">
        <v>212</v>
      </c>
      <c r="J2165" s="13" t="b">
        <v>1</v>
      </c>
      <c r="K2165" s="13" t="b">
        <v>0</v>
      </c>
      <c r="L2165" s="10" t="s">
        <v>124</v>
      </c>
      <c r="M2165" s="10" t="s">
        <v>91</v>
      </c>
      <c r="N2165" s="10" t="s">
        <v>92</v>
      </c>
      <c r="O2165" s="19" t="s">
        <v>16558</v>
      </c>
      <c r="P2165" s="10"/>
      <c r="Q2165" s="10" t="s">
        <v>94</v>
      </c>
      <c r="R2165" s="10"/>
      <c r="S2165" s="19" t="s">
        <v>16559</v>
      </c>
      <c r="T2165" s="10"/>
      <c r="U2165" s="10" t="s">
        <v>16560</v>
      </c>
      <c r="V2165" s="10" t="s">
        <v>16561</v>
      </c>
      <c r="W2165" s="10" t="s">
        <v>16548</v>
      </c>
      <c r="X2165" s="10" t="s">
        <v>16549</v>
      </c>
      <c r="Y2165" s="10" t="s">
        <v>16549</v>
      </c>
      <c r="Z2165" s="10" t="s">
        <v>99</v>
      </c>
      <c r="AA2165" s="10" t="s">
        <v>131</v>
      </c>
      <c r="AB2165" s="10" t="s">
        <v>16550</v>
      </c>
      <c r="AC2165" s="10" t="s">
        <v>16551</v>
      </c>
      <c r="AD2165" s="10" t="s">
        <v>16562</v>
      </c>
      <c r="AE2165" s="10" t="s">
        <v>16563</v>
      </c>
      <c r="AF2165" s="15"/>
      <c r="AG2165" s="10"/>
      <c r="AH2165" s="10"/>
      <c r="AI2165" s="10"/>
      <c r="AJ2165" s="10"/>
      <c r="AK2165" s="10" t="s">
        <v>102</v>
      </c>
      <c r="AL2165" s="10" t="s">
        <v>7897</v>
      </c>
      <c r="AM2165" s="10"/>
      <c r="AN2165" s="10"/>
      <c r="AO2165" s="13" t="b">
        <v>0</v>
      </c>
      <c r="AP2165" s="22" t="s">
        <v>135</v>
      </c>
      <c r="AQ2165" s="10">
        <f ca="1">IFERROR(__xludf.DUMMYFUNCTION("""COMPUTED_VALUE"""),4636644)</f>
        <v>4636644</v>
      </c>
      <c r="AR2165" s="17">
        <v>4933</v>
      </c>
      <c r="AS2165" s="17">
        <v>3682</v>
      </c>
      <c r="AT2165" s="17">
        <v>67927.5</v>
      </c>
      <c r="AU2165" s="17">
        <v>12.45</v>
      </c>
      <c r="AV2165" s="17">
        <v>2.25</v>
      </c>
      <c r="AW2165" s="10" t="s">
        <v>105</v>
      </c>
      <c r="AX2165" s="17">
        <v>932</v>
      </c>
      <c r="AY2165" s="18">
        <v>18.44853340575774</v>
      </c>
      <c r="AZ2165" s="10" t="s">
        <v>106</v>
      </c>
      <c r="BA2165" s="20" t="b">
        <v>0</v>
      </c>
      <c r="BB2165" s="10"/>
      <c r="BC2165" s="17">
        <v>4933</v>
      </c>
      <c r="BD2165" s="17">
        <v>3682</v>
      </c>
      <c r="BE2165" s="17">
        <v>67927.5</v>
      </c>
      <c r="BF2165" s="17">
        <v>2.25</v>
      </c>
      <c r="BG2165" s="11">
        <f ca="1">IFERROR(__xludf.DUMMYFUNCTION("""COMPUTED_VALUE"""),45937.8125)</f>
        <v>45937.8125</v>
      </c>
      <c r="BH2165" s="17" t="s">
        <v>105</v>
      </c>
      <c r="BI2165" s="17"/>
      <c r="BJ2165" s="15"/>
      <c r="BK2165" s="15"/>
      <c r="BL2165" s="13" t="b">
        <v>0</v>
      </c>
      <c r="BM2165" s="10"/>
      <c r="BN2165" s="10" t="s">
        <v>118</v>
      </c>
      <c r="BO2165" s="11">
        <v>45932.658333333333</v>
      </c>
      <c r="BP2165" s="11">
        <v>45932.658518518518</v>
      </c>
      <c r="BQ2165" s="15">
        <v>45936.988958333335</v>
      </c>
      <c r="BR2165" s="15">
        <v>45937.808240740742</v>
      </c>
      <c r="BS2165" s="10" t="s">
        <v>118</v>
      </c>
      <c r="BT2165" s="10"/>
      <c r="BU2165" s="10"/>
      <c r="BV2165" s="10"/>
      <c r="BW2165" s="10"/>
      <c r="BX2165" s="10"/>
      <c r="BY2165" s="23"/>
      <c r="BZ2165" s="23"/>
      <c r="CA2165" s="19" t="s">
        <v>16564</v>
      </c>
      <c r="CB2165" s="23"/>
      <c r="CC2165" s="23"/>
      <c r="CD2165" s="23"/>
      <c r="CE2165" s="23"/>
      <c r="CF2165" s="23"/>
      <c r="CG2165" s="23"/>
      <c r="CH2165" s="23"/>
      <c r="CI2165" s="23"/>
    </row>
    <row r="2166" spans="1:87" x14ac:dyDescent="0.3">
      <c r="A2166" s="9" t="s">
        <v>16565</v>
      </c>
      <c r="B2166" s="10" t="s">
        <v>16566</v>
      </c>
      <c r="C2166" s="11">
        <v>45937.895833333336</v>
      </c>
      <c r="D2166" s="12">
        <v>8.3333333333333329E-2</v>
      </c>
      <c r="E2166" s="11">
        <v>45937.979166666664</v>
      </c>
      <c r="F2166" s="10" t="s">
        <v>16542</v>
      </c>
      <c r="G2166" s="13" t="b">
        <v>0</v>
      </c>
      <c r="H2166" s="22" t="s">
        <v>16543</v>
      </c>
      <c r="I2166" s="10" t="s">
        <v>212</v>
      </c>
      <c r="J2166" s="13" t="b">
        <v>1</v>
      </c>
      <c r="K2166" s="13" t="b">
        <v>0</v>
      </c>
      <c r="L2166" s="10" t="s">
        <v>124</v>
      </c>
      <c r="M2166" s="10" t="s">
        <v>91</v>
      </c>
      <c r="N2166" s="10" t="s">
        <v>92</v>
      </c>
      <c r="O2166" s="19" t="s">
        <v>16567</v>
      </c>
      <c r="P2166" s="10"/>
      <c r="Q2166" s="10" t="s">
        <v>94</v>
      </c>
      <c r="R2166" s="10"/>
      <c r="S2166" s="19" t="s">
        <v>16568</v>
      </c>
      <c r="T2166" s="10"/>
      <c r="U2166" s="10" t="s">
        <v>16569</v>
      </c>
      <c r="V2166" s="10" t="s">
        <v>16570</v>
      </c>
      <c r="W2166" s="10" t="s">
        <v>16548</v>
      </c>
      <c r="X2166" s="10" t="s">
        <v>16549</v>
      </c>
      <c r="Y2166" s="10" t="s">
        <v>16549</v>
      </c>
      <c r="Z2166" s="10" t="s">
        <v>99</v>
      </c>
      <c r="AA2166" s="10" t="s">
        <v>131</v>
      </c>
      <c r="AB2166" s="10" t="s">
        <v>16550</v>
      </c>
      <c r="AC2166" s="10" t="s">
        <v>16551</v>
      </c>
      <c r="AD2166" s="10" t="s">
        <v>16571</v>
      </c>
      <c r="AE2166" s="10" t="s">
        <v>16572</v>
      </c>
      <c r="AF2166" s="15"/>
      <c r="AG2166" s="10"/>
      <c r="AH2166" s="10"/>
      <c r="AI2166" s="10"/>
      <c r="AJ2166" s="10"/>
      <c r="AK2166" s="10" t="s">
        <v>102</v>
      </c>
      <c r="AL2166" s="10" t="s">
        <v>7897</v>
      </c>
      <c r="AM2166" s="10"/>
      <c r="AN2166" s="10"/>
      <c r="AO2166" s="13" t="b">
        <v>0</v>
      </c>
      <c r="AP2166" s="22" t="s">
        <v>135</v>
      </c>
      <c r="AQ2166" s="10">
        <f ca="1">IFERROR(__xludf.DUMMYFUNCTION("""COMPUTED_VALUE"""),4636456)</f>
        <v>4636456</v>
      </c>
      <c r="AR2166" s="17">
        <v>4763</v>
      </c>
      <c r="AS2166" s="17">
        <v>3092</v>
      </c>
      <c r="AT2166" s="17">
        <v>54469.5</v>
      </c>
      <c r="AU2166" s="17">
        <v>7.35</v>
      </c>
      <c r="AV2166" s="17">
        <v>2.1</v>
      </c>
      <c r="AW2166" s="10" t="s">
        <v>105</v>
      </c>
      <c r="AX2166" s="17">
        <v>697</v>
      </c>
      <c r="AY2166" s="18">
        <v>17.616267787839586</v>
      </c>
      <c r="AZ2166" s="10" t="s">
        <v>106</v>
      </c>
      <c r="BA2166" s="20" t="b">
        <v>0</v>
      </c>
      <c r="BB2166" s="10"/>
      <c r="BC2166" s="17">
        <v>4763</v>
      </c>
      <c r="BD2166" s="17">
        <v>3092</v>
      </c>
      <c r="BE2166" s="17">
        <v>54469.5</v>
      </c>
      <c r="BF2166" s="17">
        <v>2.1</v>
      </c>
      <c r="BG2166" s="11">
        <f ca="1">IFERROR(__xludf.DUMMYFUNCTION("""COMPUTED_VALUE"""),45937.8958333333)</f>
        <v>45937.895833333299</v>
      </c>
      <c r="BH2166" s="17" t="s">
        <v>105</v>
      </c>
      <c r="BI2166" s="17"/>
      <c r="BJ2166" s="15"/>
      <c r="BK2166" s="15"/>
      <c r="BL2166" s="13" t="b">
        <v>0</v>
      </c>
      <c r="BM2166" s="10"/>
      <c r="BN2166" s="10" t="s">
        <v>278</v>
      </c>
      <c r="BO2166" s="11">
        <v>45932.658333333333</v>
      </c>
      <c r="BP2166" s="11">
        <v>45932.658912037034</v>
      </c>
      <c r="BQ2166" s="15">
        <v>45936.989166666666</v>
      </c>
      <c r="BR2166" s="15">
        <v>45937.025173611109</v>
      </c>
      <c r="BS2166" s="10" t="s">
        <v>278</v>
      </c>
      <c r="BT2166" s="10"/>
      <c r="BU2166" s="10"/>
      <c r="BV2166" s="10"/>
      <c r="BW2166" s="10"/>
      <c r="BX2166" s="10"/>
      <c r="BY2166" s="23"/>
      <c r="BZ2166" s="23"/>
      <c r="CA2166" s="19" t="s">
        <v>16573</v>
      </c>
      <c r="CB2166" s="23"/>
      <c r="CC2166" s="23"/>
      <c r="CD2166" s="23"/>
      <c r="CE2166" s="23"/>
      <c r="CF2166" s="23"/>
      <c r="CG2166" s="23"/>
      <c r="CH2166" s="23"/>
      <c r="CI2166" s="23"/>
    </row>
    <row r="2167" spans="1:87" x14ac:dyDescent="0.3">
      <c r="A2167" s="9" t="s">
        <v>16574</v>
      </c>
      <c r="B2167" s="10" t="s">
        <v>16575</v>
      </c>
      <c r="C2167" s="11">
        <v>45938.708333333336</v>
      </c>
      <c r="D2167" s="12">
        <v>8.3333333333333329E-2</v>
      </c>
      <c r="E2167" s="11">
        <v>45938.791666666664</v>
      </c>
      <c r="F2167" s="10" t="s">
        <v>16542</v>
      </c>
      <c r="G2167" s="13" t="b">
        <v>0</v>
      </c>
      <c r="H2167" s="22" t="s">
        <v>16543</v>
      </c>
      <c r="I2167" s="10" t="s">
        <v>212</v>
      </c>
      <c r="J2167" s="13" t="b">
        <v>1</v>
      </c>
      <c r="K2167" s="13" t="b">
        <v>0</v>
      </c>
      <c r="L2167" s="10" t="s">
        <v>124</v>
      </c>
      <c r="M2167" s="10" t="s">
        <v>91</v>
      </c>
      <c r="N2167" s="10" t="s">
        <v>92</v>
      </c>
      <c r="O2167" s="19" t="s">
        <v>16576</v>
      </c>
      <c r="P2167" s="10"/>
      <c r="Q2167" s="10" t="s">
        <v>94</v>
      </c>
      <c r="R2167" s="10"/>
      <c r="S2167" s="19" t="s">
        <v>16577</v>
      </c>
      <c r="T2167" s="10"/>
      <c r="U2167" s="10" t="s">
        <v>16578</v>
      </c>
      <c r="V2167" s="10" t="s">
        <v>16569</v>
      </c>
      <c r="W2167" s="10" t="s">
        <v>16548</v>
      </c>
      <c r="X2167" s="10" t="s">
        <v>16549</v>
      </c>
      <c r="Y2167" s="10" t="s">
        <v>16549</v>
      </c>
      <c r="Z2167" s="10" t="s">
        <v>99</v>
      </c>
      <c r="AA2167" s="10" t="s">
        <v>131</v>
      </c>
      <c r="AB2167" s="10" t="s">
        <v>16550</v>
      </c>
      <c r="AC2167" s="10" t="s">
        <v>16551</v>
      </c>
      <c r="AD2167" s="10" t="s">
        <v>16579</v>
      </c>
      <c r="AE2167" s="10" t="s">
        <v>16580</v>
      </c>
      <c r="AF2167" s="15"/>
      <c r="AG2167" s="10"/>
      <c r="AH2167" s="10"/>
      <c r="AI2167" s="10"/>
      <c r="AJ2167" s="10"/>
      <c r="AK2167" s="10" t="s">
        <v>102</v>
      </c>
      <c r="AL2167" s="10" t="s">
        <v>7897</v>
      </c>
      <c r="AM2167" s="10"/>
      <c r="AN2167" s="10"/>
      <c r="AO2167" s="13" t="b">
        <v>0</v>
      </c>
      <c r="AP2167" s="22" t="s">
        <v>135</v>
      </c>
      <c r="AQ2167" s="10">
        <f ca="1">IFERROR(__xludf.DUMMYFUNCTION("""COMPUTED_VALUE"""),4636676)</f>
        <v>4636676</v>
      </c>
      <c r="AR2167" s="17">
        <v>6452</v>
      </c>
      <c r="AS2167" s="17">
        <v>4524</v>
      </c>
      <c r="AT2167" s="17">
        <v>121892</v>
      </c>
      <c r="AU2167" s="17">
        <v>27</v>
      </c>
      <c r="AV2167" s="17">
        <v>4.8499999999999996</v>
      </c>
      <c r="AW2167" s="10" t="s">
        <v>105</v>
      </c>
      <c r="AX2167" s="17">
        <v>1239</v>
      </c>
      <c r="AY2167" s="18">
        <v>26.943412908930149</v>
      </c>
      <c r="AZ2167" s="10" t="s">
        <v>136</v>
      </c>
      <c r="BA2167" s="20" t="b">
        <v>0</v>
      </c>
      <c r="BB2167" s="10"/>
      <c r="BC2167" s="17">
        <v>6452</v>
      </c>
      <c r="BD2167" s="17">
        <v>4524</v>
      </c>
      <c r="BE2167" s="17">
        <v>121892</v>
      </c>
      <c r="BF2167" s="17">
        <v>4.8499999999999996</v>
      </c>
      <c r="BG2167" s="11">
        <f ca="1">IFERROR(__xludf.DUMMYFUNCTION("""COMPUTED_VALUE"""),45938.7083333333)</f>
        <v>45938.708333333299</v>
      </c>
      <c r="BH2167" s="17" t="s">
        <v>105</v>
      </c>
      <c r="BI2167" s="17"/>
      <c r="BJ2167" s="15"/>
      <c r="BK2167" s="15"/>
      <c r="BL2167" s="13" t="b">
        <v>0</v>
      </c>
      <c r="BM2167" s="10"/>
      <c r="BN2167" s="10" t="s">
        <v>1149</v>
      </c>
      <c r="BO2167" s="11">
        <v>45932.65902777778</v>
      </c>
      <c r="BP2167" s="11">
        <v>45932.659224537034</v>
      </c>
      <c r="BQ2167" s="15">
        <v>45937.731666666667</v>
      </c>
      <c r="BR2167" s="15">
        <v>45937.913657407407</v>
      </c>
      <c r="BS2167" s="10" t="s">
        <v>1149</v>
      </c>
      <c r="BT2167" s="10"/>
      <c r="BU2167" s="10"/>
      <c r="BV2167" s="10"/>
      <c r="BW2167" s="10"/>
      <c r="BX2167" s="10"/>
      <c r="BY2167" s="23"/>
      <c r="BZ2167" s="23"/>
      <c r="CA2167" s="19" t="s">
        <v>16581</v>
      </c>
      <c r="CB2167" s="23"/>
      <c r="CC2167" s="23"/>
      <c r="CD2167" s="23"/>
      <c r="CE2167" s="23"/>
      <c r="CF2167" s="23"/>
      <c r="CG2167" s="23"/>
      <c r="CH2167" s="23"/>
      <c r="CI2167" s="23"/>
    </row>
    <row r="2168" spans="1:87" x14ac:dyDescent="0.3">
      <c r="A2168" s="9" t="s">
        <v>16582</v>
      </c>
      <c r="B2168" s="10" t="s">
        <v>16583</v>
      </c>
      <c r="C2168" s="11">
        <v>45938.8125</v>
      </c>
      <c r="D2168" s="12">
        <v>8.3333333333333329E-2</v>
      </c>
      <c r="E2168" s="11">
        <v>45938.895833333336</v>
      </c>
      <c r="F2168" s="10" t="s">
        <v>16542</v>
      </c>
      <c r="G2168" s="13" t="b">
        <v>0</v>
      </c>
      <c r="H2168" s="22" t="s">
        <v>16543</v>
      </c>
      <c r="I2168" s="10" t="s">
        <v>212</v>
      </c>
      <c r="J2168" s="13" t="b">
        <v>1</v>
      </c>
      <c r="K2168" s="13" t="b">
        <v>0</v>
      </c>
      <c r="L2168" s="10" t="s">
        <v>124</v>
      </c>
      <c r="M2168" s="10" t="s">
        <v>91</v>
      </c>
      <c r="N2168" s="10" t="s">
        <v>92</v>
      </c>
      <c r="O2168" s="19" t="s">
        <v>16584</v>
      </c>
      <c r="P2168" s="10"/>
      <c r="Q2168" s="10" t="s">
        <v>94</v>
      </c>
      <c r="R2168" s="10"/>
      <c r="S2168" s="19" t="s">
        <v>16585</v>
      </c>
      <c r="T2168" s="10"/>
      <c r="U2168" s="10" t="s">
        <v>16586</v>
      </c>
      <c r="V2168" s="10" t="s">
        <v>16560</v>
      </c>
      <c r="W2168" s="10" t="s">
        <v>16548</v>
      </c>
      <c r="X2168" s="10" t="s">
        <v>16549</v>
      </c>
      <c r="Y2168" s="10" t="s">
        <v>16549</v>
      </c>
      <c r="Z2168" s="10" t="s">
        <v>99</v>
      </c>
      <c r="AA2168" s="10" t="s">
        <v>131</v>
      </c>
      <c r="AB2168" s="10" t="s">
        <v>16550</v>
      </c>
      <c r="AC2168" s="10" t="s">
        <v>16551</v>
      </c>
      <c r="AD2168" s="10" t="s">
        <v>16587</v>
      </c>
      <c r="AE2168" s="10" t="s">
        <v>16588</v>
      </c>
      <c r="AF2168" s="15"/>
      <c r="AG2168" s="10"/>
      <c r="AH2168" s="10"/>
      <c r="AI2168" s="10"/>
      <c r="AJ2168" s="10"/>
      <c r="AK2168" s="10" t="s">
        <v>102</v>
      </c>
      <c r="AL2168" s="10" t="s">
        <v>7897</v>
      </c>
      <c r="AM2168" s="10"/>
      <c r="AN2168" s="10"/>
      <c r="AO2168" s="13" t="b">
        <v>0</v>
      </c>
      <c r="AP2168" s="22" t="s">
        <v>135</v>
      </c>
      <c r="AQ2168" s="10">
        <f ca="1">IFERROR(__xludf.DUMMYFUNCTION("""COMPUTED_VALUE"""),4636711)</f>
        <v>4636711</v>
      </c>
      <c r="AR2168" s="17">
        <v>8644</v>
      </c>
      <c r="AS2168" s="17">
        <v>5938</v>
      </c>
      <c r="AT2168" s="17">
        <v>115579.75</v>
      </c>
      <c r="AU2168" s="17">
        <v>34.75</v>
      </c>
      <c r="AV2168" s="17">
        <v>10.8</v>
      </c>
      <c r="AW2168" s="10" t="s">
        <v>105</v>
      </c>
      <c r="AX2168" s="17">
        <v>1018</v>
      </c>
      <c r="AY2168" s="18">
        <v>19.464424048501179</v>
      </c>
      <c r="AZ2168" s="10" t="s">
        <v>136</v>
      </c>
      <c r="BA2168" s="20" t="b">
        <v>0</v>
      </c>
      <c r="BB2168" s="10"/>
      <c r="BC2168" s="17">
        <v>8644</v>
      </c>
      <c r="BD2168" s="17">
        <v>5938</v>
      </c>
      <c r="BE2168" s="17">
        <v>115579.75</v>
      </c>
      <c r="BF2168" s="17">
        <v>10.8</v>
      </c>
      <c r="BG2168" s="11">
        <f ca="1">IFERROR(__xludf.DUMMYFUNCTION("""COMPUTED_VALUE"""),45938.8125)</f>
        <v>45938.8125</v>
      </c>
      <c r="BH2168" s="17" t="s">
        <v>105</v>
      </c>
      <c r="BI2168" s="17"/>
      <c r="BJ2168" s="15"/>
      <c r="BK2168" s="15"/>
      <c r="BL2168" s="13" t="b">
        <v>0</v>
      </c>
      <c r="BM2168" s="10"/>
      <c r="BN2168" s="10" t="s">
        <v>197</v>
      </c>
      <c r="BO2168" s="11">
        <v>45932.65902777778</v>
      </c>
      <c r="BP2168" s="11">
        <v>45932.659618055557</v>
      </c>
      <c r="BQ2168" s="15">
        <v>45937.73196759259</v>
      </c>
      <c r="BR2168" s="15">
        <v>45937.925844907404</v>
      </c>
      <c r="BS2168" s="10" t="s">
        <v>197</v>
      </c>
      <c r="BT2168" s="10"/>
      <c r="BU2168" s="10"/>
      <c r="BV2168" s="10"/>
      <c r="BW2168" s="10"/>
      <c r="BX2168" s="10"/>
      <c r="BY2168" s="23"/>
      <c r="BZ2168" s="23"/>
      <c r="CA2168" s="19" t="s">
        <v>16589</v>
      </c>
      <c r="CB2168" s="23"/>
      <c r="CC2168" s="23"/>
      <c r="CD2168" s="23"/>
      <c r="CE2168" s="23"/>
      <c r="CF2168" s="23"/>
      <c r="CG2168" s="23"/>
      <c r="CH2168" s="23"/>
      <c r="CI2168" s="23"/>
    </row>
    <row r="2169" spans="1:87" x14ac:dyDescent="0.3">
      <c r="A2169" s="9" t="s">
        <v>16590</v>
      </c>
      <c r="B2169" s="10" t="s">
        <v>16591</v>
      </c>
      <c r="C2169" s="11">
        <v>45938.895833333336</v>
      </c>
      <c r="D2169" s="12">
        <v>8.3333333333333329E-2</v>
      </c>
      <c r="E2169" s="11">
        <v>45938.979166666664</v>
      </c>
      <c r="F2169" s="10" t="s">
        <v>16542</v>
      </c>
      <c r="G2169" s="13" t="b">
        <v>0</v>
      </c>
      <c r="H2169" s="22" t="s">
        <v>16543</v>
      </c>
      <c r="I2169" s="10" t="s">
        <v>212</v>
      </c>
      <c r="J2169" s="13" t="b">
        <v>1</v>
      </c>
      <c r="K2169" s="13" t="b">
        <v>0</v>
      </c>
      <c r="L2169" s="10" t="s">
        <v>124</v>
      </c>
      <c r="M2169" s="10" t="s">
        <v>91</v>
      </c>
      <c r="N2169" s="10" t="s">
        <v>92</v>
      </c>
      <c r="O2169" s="19" t="s">
        <v>16592</v>
      </c>
      <c r="P2169" s="10"/>
      <c r="Q2169" s="10" t="s">
        <v>126</v>
      </c>
      <c r="R2169" s="10"/>
      <c r="S2169" s="19" t="s">
        <v>16593</v>
      </c>
      <c r="T2169" s="10"/>
      <c r="U2169" s="10" t="s">
        <v>16594</v>
      </c>
      <c r="V2169" s="10" t="s">
        <v>16546</v>
      </c>
      <c r="W2169" s="10" t="s">
        <v>16548</v>
      </c>
      <c r="X2169" s="10" t="s">
        <v>16549</v>
      </c>
      <c r="Y2169" s="10" t="s">
        <v>16549</v>
      </c>
      <c r="Z2169" s="10" t="s">
        <v>99</v>
      </c>
      <c r="AA2169" s="10" t="s">
        <v>131</v>
      </c>
      <c r="AB2169" s="10" t="s">
        <v>16550</v>
      </c>
      <c r="AC2169" s="10" t="s">
        <v>16551</v>
      </c>
      <c r="AD2169" s="10" t="s">
        <v>16595</v>
      </c>
      <c r="AE2169" s="10" t="s">
        <v>16596</v>
      </c>
      <c r="AF2169" s="15"/>
      <c r="AG2169" s="10"/>
      <c r="AH2169" s="10"/>
      <c r="AI2169" s="10"/>
      <c r="AJ2169" s="10"/>
      <c r="AK2169" s="10" t="s">
        <v>102</v>
      </c>
      <c r="AL2169" s="10" t="s">
        <v>7897</v>
      </c>
      <c r="AM2169" s="10"/>
      <c r="AN2169" s="10"/>
      <c r="AO2169" s="13" t="b">
        <v>0</v>
      </c>
      <c r="AP2169" s="22" t="s">
        <v>135</v>
      </c>
      <c r="AQ2169" s="10">
        <f ca="1">IFERROR(__xludf.DUMMYFUNCTION("""COMPUTED_VALUE"""),4636677)</f>
        <v>4636677</v>
      </c>
      <c r="AR2169" s="17">
        <v>4737</v>
      </c>
      <c r="AS2169" s="17">
        <v>3776</v>
      </c>
      <c r="AT2169" s="17">
        <v>36909.75</v>
      </c>
      <c r="AU2169" s="17">
        <v>33.450000000000003</v>
      </c>
      <c r="AV2169" s="17">
        <v>7.65</v>
      </c>
      <c r="AW2169" s="10" t="s">
        <v>105</v>
      </c>
      <c r="AX2169" s="17">
        <v>864</v>
      </c>
      <c r="AY2169" s="18">
        <v>9.7748278601694913</v>
      </c>
      <c r="AZ2169" s="10" t="s">
        <v>136</v>
      </c>
      <c r="BA2169" s="20" t="b">
        <v>0</v>
      </c>
      <c r="BB2169" s="10"/>
      <c r="BC2169" s="17">
        <v>4737</v>
      </c>
      <c r="BD2169" s="17">
        <v>3776</v>
      </c>
      <c r="BE2169" s="17">
        <v>36909.75</v>
      </c>
      <c r="BF2169" s="17">
        <v>7.65</v>
      </c>
      <c r="BG2169" s="11">
        <f ca="1">IFERROR(__xludf.DUMMYFUNCTION("""COMPUTED_VALUE"""),45938.8958333333)</f>
        <v>45938.895833333299</v>
      </c>
      <c r="BH2169" s="17" t="s">
        <v>105</v>
      </c>
      <c r="BI2169" s="17"/>
      <c r="BJ2169" s="15"/>
      <c r="BK2169" s="15"/>
      <c r="BL2169" s="13" t="b">
        <v>0</v>
      </c>
      <c r="BM2169" s="10"/>
      <c r="BN2169" s="10" t="s">
        <v>1149</v>
      </c>
      <c r="BO2169" s="11">
        <v>45932.659722222219</v>
      </c>
      <c r="BP2169" s="11">
        <v>45932.65997685185</v>
      </c>
      <c r="BQ2169" s="15">
        <v>45937.732152777775</v>
      </c>
      <c r="BR2169" s="15">
        <v>45937.913854166669</v>
      </c>
      <c r="BS2169" s="10" t="s">
        <v>1149</v>
      </c>
      <c r="BT2169" s="10"/>
      <c r="BU2169" s="10"/>
      <c r="BV2169" s="10"/>
      <c r="BW2169" s="10"/>
      <c r="BX2169" s="10"/>
      <c r="BY2169" s="23"/>
      <c r="BZ2169" s="23"/>
      <c r="CA2169" s="19" t="s">
        <v>16597</v>
      </c>
      <c r="CB2169" s="23"/>
      <c r="CC2169" s="23"/>
      <c r="CD2169" s="19" t="s">
        <v>16598</v>
      </c>
      <c r="CE2169" s="23"/>
      <c r="CF2169" s="23"/>
      <c r="CG2169" s="23"/>
      <c r="CH2169" s="23"/>
      <c r="CI2169" s="23"/>
    </row>
    <row r="2170" spans="1:87" x14ac:dyDescent="0.3">
      <c r="A2170" s="9" t="s">
        <v>16599</v>
      </c>
      <c r="B2170" s="10" t="s">
        <v>16600</v>
      </c>
      <c r="C2170" s="11">
        <v>45939.708333333336</v>
      </c>
      <c r="D2170" s="12">
        <v>8.3333333333333329E-2</v>
      </c>
      <c r="E2170" s="11">
        <v>45939.791666666664</v>
      </c>
      <c r="F2170" s="10" t="s">
        <v>16542</v>
      </c>
      <c r="G2170" s="13" t="b">
        <v>0</v>
      </c>
      <c r="H2170" s="22" t="s">
        <v>16543</v>
      </c>
      <c r="I2170" s="10" t="s">
        <v>212</v>
      </c>
      <c r="J2170" s="13" t="b">
        <v>1</v>
      </c>
      <c r="K2170" s="13" t="b">
        <v>0</v>
      </c>
      <c r="L2170" s="10" t="s">
        <v>124</v>
      </c>
      <c r="M2170" s="10" t="s">
        <v>91</v>
      </c>
      <c r="N2170" s="10" t="s">
        <v>92</v>
      </c>
      <c r="O2170" s="19" t="s">
        <v>16601</v>
      </c>
      <c r="P2170" s="10"/>
      <c r="Q2170" s="10" t="s">
        <v>126</v>
      </c>
      <c r="R2170" s="10"/>
      <c r="S2170" s="19" t="s">
        <v>16602</v>
      </c>
      <c r="T2170" s="10"/>
      <c r="U2170" s="10" t="s">
        <v>16547</v>
      </c>
      <c r="V2170" s="10" t="s">
        <v>16594</v>
      </c>
      <c r="W2170" s="10" t="s">
        <v>16548</v>
      </c>
      <c r="X2170" s="10" t="s">
        <v>16549</v>
      </c>
      <c r="Y2170" s="10" t="s">
        <v>16549</v>
      </c>
      <c r="Z2170" s="10" t="s">
        <v>99</v>
      </c>
      <c r="AA2170" s="10" t="s">
        <v>131</v>
      </c>
      <c r="AB2170" s="10" t="s">
        <v>16550</v>
      </c>
      <c r="AC2170" s="10" t="s">
        <v>16551</v>
      </c>
      <c r="AD2170" s="10" t="s">
        <v>16603</v>
      </c>
      <c r="AE2170" s="10" t="s">
        <v>16604</v>
      </c>
      <c r="AF2170" s="15"/>
      <c r="AG2170" s="10"/>
      <c r="AH2170" s="10"/>
      <c r="AI2170" s="10"/>
      <c r="AJ2170" s="10"/>
      <c r="AK2170" s="10" t="s">
        <v>102</v>
      </c>
      <c r="AL2170" s="10" t="s">
        <v>7897</v>
      </c>
      <c r="AM2170" s="10"/>
      <c r="AN2170" s="10"/>
      <c r="AO2170" s="13" t="b">
        <v>0</v>
      </c>
      <c r="AP2170" s="22" t="s">
        <v>135</v>
      </c>
      <c r="AQ2170" s="10">
        <f ca="1">IFERROR(__xludf.DUMMYFUNCTION("""COMPUTED_VALUE"""),4637934)</f>
        <v>4637934</v>
      </c>
      <c r="AR2170" s="17">
        <v>5996</v>
      </c>
      <c r="AS2170" s="17">
        <v>4319</v>
      </c>
      <c r="AT2170" s="17">
        <v>109786</v>
      </c>
      <c r="AU2170" s="17">
        <v>16.149999999999999</v>
      </c>
      <c r="AV2170" s="17">
        <v>1.85</v>
      </c>
      <c r="AW2170" s="10" t="s">
        <v>105</v>
      </c>
      <c r="AX2170" s="17">
        <v>1429</v>
      </c>
      <c r="AY2170" s="18">
        <v>25.41931002546886</v>
      </c>
      <c r="AZ2170" s="10" t="s">
        <v>3998</v>
      </c>
      <c r="BA2170" s="20" t="b">
        <v>0</v>
      </c>
      <c r="BB2170" s="10"/>
      <c r="BC2170" s="17">
        <v>5996</v>
      </c>
      <c r="BD2170" s="17">
        <v>4319</v>
      </c>
      <c r="BE2170" s="17">
        <v>109786</v>
      </c>
      <c r="BF2170" s="17">
        <v>1.85</v>
      </c>
      <c r="BG2170" s="11">
        <f ca="1">IFERROR(__xludf.DUMMYFUNCTION("""COMPUTED_VALUE"""),45939.7083333333)</f>
        <v>45939.708333333299</v>
      </c>
      <c r="BH2170" s="17" t="s">
        <v>105</v>
      </c>
      <c r="BI2170" s="17"/>
      <c r="BJ2170" s="15"/>
      <c r="BK2170" s="15"/>
      <c r="BL2170" s="13" t="b">
        <v>0</v>
      </c>
      <c r="BM2170" s="10"/>
      <c r="BN2170" s="10" t="s">
        <v>3998</v>
      </c>
      <c r="BO2170" s="11">
        <v>45932.660416666666</v>
      </c>
      <c r="BP2170" s="11">
        <v>45932.660474537035</v>
      </c>
      <c r="BQ2170" s="15">
        <v>45939.410844907405</v>
      </c>
      <c r="BR2170" s="15"/>
      <c r="BS2170" s="10"/>
      <c r="BT2170" s="10"/>
      <c r="BU2170" s="10"/>
      <c r="BV2170" s="10"/>
      <c r="BW2170" s="10"/>
      <c r="BX2170" s="10"/>
      <c r="BY2170" s="23"/>
      <c r="BZ2170" s="23"/>
      <c r="CA2170" s="19" t="s">
        <v>16605</v>
      </c>
      <c r="CB2170" s="23"/>
      <c r="CC2170" s="23"/>
      <c r="CD2170" s="19" t="s">
        <v>16606</v>
      </c>
      <c r="CE2170" s="23"/>
      <c r="CF2170" s="23"/>
      <c r="CG2170" s="23"/>
      <c r="CH2170" s="23"/>
      <c r="CI2170" s="23"/>
    </row>
    <row r="2171" spans="1:87" x14ac:dyDescent="0.3">
      <c r="A2171" s="9" t="s">
        <v>16607</v>
      </c>
      <c r="B2171" s="10" t="s">
        <v>16608</v>
      </c>
      <c r="C2171" s="11">
        <v>45939.8125</v>
      </c>
      <c r="D2171" s="12">
        <v>8.3333333333333329E-2</v>
      </c>
      <c r="E2171" s="11">
        <v>45939.895833333336</v>
      </c>
      <c r="F2171" s="10" t="s">
        <v>16542</v>
      </c>
      <c r="G2171" s="13" t="b">
        <v>0</v>
      </c>
      <c r="H2171" s="22" t="s">
        <v>16543</v>
      </c>
      <c r="I2171" s="10" t="s">
        <v>212</v>
      </c>
      <c r="J2171" s="13" t="b">
        <v>1</v>
      </c>
      <c r="K2171" s="13" t="b">
        <v>0</v>
      </c>
      <c r="L2171" s="10" t="s">
        <v>124</v>
      </c>
      <c r="M2171" s="10" t="s">
        <v>91</v>
      </c>
      <c r="N2171" s="10" t="s">
        <v>92</v>
      </c>
      <c r="O2171" s="19" t="s">
        <v>16609</v>
      </c>
      <c r="P2171" s="10"/>
      <c r="Q2171" s="10" t="s">
        <v>94</v>
      </c>
      <c r="R2171" s="10"/>
      <c r="S2171" s="19" t="s">
        <v>16610</v>
      </c>
      <c r="T2171" s="10"/>
      <c r="U2171" s="10" t="s">
        <v>16561</v>
      </c>
      <c r="V2171" s="10" t="s">
        <v>16586</v>
      </c>
      <c r="W2171" s="10" t="s">
        <v>16548</v>
      </c>
      <c r="X2171" s="10" t="s">
        <v>16549</v>
      </c>
      <c r="Y2171" s="10" t="s">
        <v>16549</v>
      </c>
      <c r="Z2171" s="10" t="s">
        <v>99</v>
      </c>
      <c r="AA2171" s="10" t="s">
        <v>131</v>
      </c>
      <c r="AB2171" s="10" t="s">
        <v>16550</v>
      </c>
      <c r="AC2171" s="10" t="s">
        <v>16551</v>
      </c>
      <c r="AD2171" s="10" t="s">
        <v>16611</v>
      </c>
      <c r="AE2171" s="10" t="s">
        <v>16612</v>
      </c>
      <c r="AF2171" s="15"/>
      <c r="AG2171" s="10"/>
      <c r="AH2171" s="10"/>
      <c r="AI2171" s="10"/>
      <c r="AJ2171" s="10"/>
      <c r="AK2171" s="10" t="s">
        <v>102</v>
      </c>
      <c r="AL2171" s="10" t="s">
        <v>7897</v>
      </c>
      <c r="AM2171" s="10"/>
      <c r="AN2171" s="10"/>
      <c r="AO2171" s="13" t="b">
        <v>0</v>
      </c>
      <c r="AP2171" s="22" t="s">
        <v>135</v>
      </c>
      <c r="AQ2171" s="10">
        <f ca="1">IFERROR(__xludf.DUMMYFUNCTION("""COMPUTED_VALUE"""),4637935)</f>
        <v>4637935</v>
      </c>
      <c r="AR2171" s="17">
        <v>6370</v>
      </c>
      <c r="AS2171" s="17">
        <v>4712</v>
      </c>
      <c r="AT2171" s="17">
        <v>116868.5</v>
      </c>
      <c r="AU2171" s="17">
        <v>16.8</v>
      </c>
      <c r="AV2171" s="17">
        <v>1.1499999999999999</v>
      </c>
      <c r="AW2171" s="10" t="s">
        <v>105</v>
      </c>
      <c r="AX2171" s="17">
        <v>1174</v>
      </c>
      <c r="AY2171" s="18">
        <v>24.802313242784379</v>
      </c>
      <c r="AZ2171" s="10" t="s">
        <v>3998</v>
      </c>
      <c r="BA2171" s="20" t="b">
        <v>0</v>
      </c>
      <c r="BB2171" s="10"/>
      <c r="BC2171" s="17">
        <v>6370</v>
      </c>
      <c r="BD2171" s="17">
        <v>4712</v>
      </c>
      <c r="BE2171" s="17">
        <v>116868.5</v>
      </c>
      <c r="BF2171" s="17">
        <v>1.1499999999999999</v>
      </c>
      <c r="BG2171" s="11">
        <f ca="1">IFERROR(__xludf.DUMMYFUNCTION("""COMPUTED_VALUE"""),45939.8125)</f>
        <v>45939.8125</v>
      </c>
      <c r="BH2171" s="17" t="s">
        <v>105</v>
      </c>
      <c r="BI2171" s="17"/>
      <c r="BJ2171" s="15"/>
      <c r="BK2171" s="15"/>
      <c r="BL2171" s="13" t="b">
        <v>0</v>
      </c>
      <c r="BM2171" s="10"/>
      <c r="BN2171" s="10" t="s">
        <v>3998</v>
      </c>
      <c r="BO2171" s="11">
        <v>45932.660416666666</v>
      </c>
      <c r="BP2171" s="11">
        <v>45932.660844907405</v>
      </c>
      <c r="BQ2171" s="15">
        <v>45939.410995370374</v>
      </c>
      <c r="BR2171" s="15"/>
      <c r="BS2171" s="10"/>
      <c r="BT2171" s="10"/>
      <c r="BU2171" s="10"/>
      <c r="BV2171" s="10"/>
      <c r="BW2171" s="10"/>
      <c r="BX2171" s="10"/>
      <c r="BY2171" s="23"/>
      <c r="BZ2171" s="23"/>
      <c r="CA2171" s="19" t="s">
        <v>16613</v>
      </c>
      <c r="CB2171" s="23"/>
      <c r="CC2171" s="23"/>
      <c r="CD2171" s="23"/>
      <c r="CE2171" s="23"/>
      <c r="CF2171" s="23"/>
      <c r="CG2171" s="23"/>
      <c r="CH2171" s="23"/>
      <c r="CI2171" s="23"/>
    </row>
    <row r="2172" spans="1:87" x14ac:dyDescent="0.3">
      <c r="A2172" s="9" t="s">
        <v>16614</v>
      </c>
      <c r="B2172" s="10" t="s">
        <v>16615</v>
      </c>
      <c r="C2172" s="11">
        <v>45939.895833333336</v>
      </c>
      <c r="D2172" s="12">
        <v>8.3333333333333329E-2</v>
      </c>
      <c r="E2172" s="11">
        <v>45939.979166666664</v>
      </c>
      <c r="F2172" s="10" t="s">
        <v>16542</v>
      </c>
      <c r="G2172" s="13" t="b">
        <v>0</v>
      </c>
      <c r="H2172" s="22" t="s">
        <v>16543</v>
      </c>
      <c r="I2172" s="10" t="s">
        <v>212</v>
      </c>
      <c r="J2172" s="13" t="b">
        <v>1</v>
      </c>
      <c r="K2172" s="13" t="b">
        <v>0</v>
      </c>
      <c r="L2172" s="10" t="s">
        <v>124</v>
      </c>
      <c r="M2172" s="10" t="s">
        <v>91</v>
      </c>
      <c r="N2172" s="10" t="s">
        <v>92</v>
      </c>
      <c r="O2172" s="19" t="s">
        <v>16616</v>
      </c>
      <c r="P2172" s="10"/>
      <c r="Q2172" s="10" t="s">
        <v>94</v>
      </c>
      <c r="R2172" s="10"/>
      <c r="S2172" s="19" t="s">
        <v>16617</v>
      </c>
      <c r="T2172" s="10"/>
      <c r="U2172" s="10" t="s">
        <v>16570</v>
      </c>
      <c r="V2172" s="10" t="s">
        <v>16578</v>
      </c>
      <c r="W2172" s="10" t="s">
        <v>16548</v>
      </c>
      <c r="X2172" s="10" t="s">
        <v>16549</v>
      </c>
      <c r="Y2172" s="10" t="s">
        <v>16549</v>
      </c>
      <c r="Z2172" s="10" t="s">
        <v>99</v>
      </c>
      <c r="AA2172" s="10" t="s">
        <v>131</v>
      </c>
      <c r="AB2172" s="10" t="s">
        <v>16550</v>
      </c>
      <c r="AC2172" s="10" t="s">
        <v>16551</v>
      </c>
      <c r="AD2172" s="10" t="s">
        <v>16618</v>
      </c>
      <c r="AE2172" s="10" t="s">
        <v>16619</v>
      </c>
      <c r="AF2172" s="15"/>
      <c r="AG2172" s="10"/>
      <c r="AH2172" s="10"/>
      <c r="AI2172" s="10"/>
      <c r="AJ2172" s="10"/>
      <c r="AK2172" s="10" t="s">
        <v>102</v>
      </c>
      <c r="AL2172" s="10" t="s">
        <v>7897</v>
      </c>
      <c r="AM2172" s="10"/>
      <c r="AN2172" s="10"/>
      <c r="AO2172" s="13" t="b">
        <v>0</v>
      </c>
      <c r="AP2172" s="22" t="s">
        <v>135</v>
      </c>
      <c r="AQ2172" s="10">
        <f ca="1">IFERROR(__xludf.DUMMYFUNCTION("""COMPUTED_VALUE"""),4637936)</f>
        <v>4637936</v>
      </c>
      <c r="AR2172" s="17">
        <v>3426</v>
      </c>
      <c r="AS2172" s="17">
        <v>2407</v>
      </c>
      <c r="AT2172" s="17">
        <v>41716.75</v>
      </c>
      <c r="AU2172" s="17">
        <v>7.4</v>
      </c>
      <c r="AV2172" s="17">
        <v>0.4</v>
      </c>
      <c r="AW2172" s="10" t="s">
        <v>105</v>
      </c>
      <c r="AX2172" s="17">
        <v>693</v>
      </c>
      <c r="AY2172" s="18">
        <v>17.331429164935603</v>
      </c>
      <c r="AZ2172" s="10" t="s">
        <v>3998</v>
      </c>
      <c r="BA2172" s="20" t="b">
        <v>0</v>
      </c>
      <c r="BB2172" s="10"/>
      <c r="BC2172" s="17">
        <v>3426</v>
      </c>
      <c r="BD2172" s="17">
        <v>2407</v>
      </c>
      <c r="BE2172" s="17">
        <v>41716.75</v>
      </c>
      <c r="BF2172" s="17">
        <v>0.4</v>
      </c>
      <c r="BG2172" s="11">
        <f ca="1">IFERROR(__xludf.DUMMYFUNCTION("""COMPUTED_VALUE"""),45939.8958333333)</f>
        <v>45939.895833333299</v>
      </c>
      <c r="BH2172" s="17" t="s">
        <v>105</v>
      </c>
      <c r="BI2172" s="17"/>
      <c r="BJ2172" s="15"/>
      <c r="BK2172" s="15"/>
      <c r="BL2172" s="13" t="b">
        <v>0</v>
      </c>
      <c r="BM2172" s="10"/>
      <c r="BN2172" s="10" t="s">
        <v>3998</v>
      </c>
      <c r="BO2172" s="11">
        <v>45932.661111111112</v>
      </c>
      <c r="BP2172" s="11">
        <v>45932.661145833335</v>
      </c>
      <c r="BQ2172" s="15">
        <v>45939.411168981482</v>
      </c>
      <c r="BR2172" s="15"/>
      <c r="BS2172" s="10"/>
      <c r="BT2172" s="10"/>
      <c r="BU2172" s="10"/>
      <c r="BV2172" s="10"/>
      <c r="BW2172" s="10"/>
      <c r="BX2172" s="10"/>
      <c r="BY2172" s="23"/>
      <c r="BZ2172" s="23"/>
      <c r="CA2172" s="19" t="s">
        <v>16620</v>
      </c>
      <c r="CB2172" s="23"/>
      <c r="CC2172" s="23"/>
      <c r="CD2172" s="23"/>
      <c r="CE2172" s="23"/>
      <c r="CF2172" s="23"/>
      <c r="CG2172" s="23"/>
      <c r="CH2172" s="23"/>
      <c r="CI2172" s="23"/>
    </row>
    <row r="2173" spans="1:87" x14ac:dyDescent="0.3">
      <c r="A2173" s="9" t="s">
        <v>16621</v>
      </c>
      <c r="B2173" s="10" t="s">
        <v>16622</v>
      </c>
      <c r="C2173" s="11">
        <v>45947.770833333336</v>
      </c>
      <c r="D2173" s="12">
        <v>2.0833333333333332E-2</v>
      </c>
      <c r="E2173" s="11">
        <v>45947.791666666664</v>
      </c>
      <c r="F2173" s="10" t="s">
        <v>3511</v>
      </c>
      <c r="G2173" s="13" t="b">
        <v>0</v>
      </c>
      <c r="H2173" s="22" t="s">
        <v>3512</v>
      </c>
      <c r="I2173" s="10" t="s">
        <v>212</v>
      </c>
      <c r="J2173" s="13" t="b">
        <v>1</v>
      </c>
      <c r="K2173" s="13" t="b">
        <v>0</v>
      </c>
      <c r="L2173" s="10" t="s">
        <v>124</v>
      </c>
      <c r="M2173" s="10" t="s">
        <v>91</v>
      </c>
      <c r="N2173" s="10" t="s">
        <v>92</v>
      </c>
      <c r="O2173" s="19" t="s">
        <v>16623</v>
      </c>
      <c r="P2173" s="10"/>
      <c r="Q2173" s="10" t="s">
        <v>94</v>
      </c>
      <c r="R2173" s="10"/>
      <c r="S2173" s="19" t="s">
        <v>16624</v>
      </c>
      <c r="T2173" s="10"/>
      <c r="U2173" s="10" t="s">
        <v>3677</v>
      </c>
      <c r="V2173" s="10" t="s">
        <v>3609</v>
      </c>
      <c r="W2173" s="10" t="s">
        <v>3519</v>
      </c>
      <c r="X2173" s="10" t="s">
        <v>130</v>
      </c>
      <c r="Y2173" s="10" t="s">
        <v>130</v>
      </c>
      <c r="Z2173" s="10" t="s">
        <v>99</v>
      </c>
      <c r="AA2173" s="10" t="s">
        <v>131</v>
      </c>
      <c r="AB2173" s="10" t="s">
        <v>3520</v>
      </c>
      <c r="AC2173" s="10" t="s">
        <v>3521</v>
      </c>
      <c r="AD2173" s="10" t="s">
        <v>4353</v>
      </c>
      <c r="AE2173" s="10" t="s">
        <v>16625</v>
      </c>
      <c r="AF2173" s="15"/>
      <c r="AG2173" s="10"/>
      <c r="AH2173" s="10"/>
      <c r="AI2173" s="10"/>
      <c r="AJ2173" s="10"/>
      <c r="AK2173" s="10" t="s">
        <v>102</v>
      </c>
      <c r="AL2173" s="10"/>
      <c r="AM2173" s="10"/>
      <c r="AN2173" s="10"/>
      <c r="AO2173" s="13" t="b">
        <v>0</v>
      </c>
      <c r="AP2173" s="22" t="s">
        <v>104</v>
      </c>
      <c r="AQ2173" s="10">
        <f ca="1">IFERROR(__xludf.DUMMYFUNCTION("""COMPUTED_VALUE"""),4651621)</f>
        <v>4651621</v>
      </c>
      <c r="AR2173" s="17">
        <v>5202</v>
      </c>
      <c r="AS2173" s="17">
        <v>4093</v>
      </c>
      <c r="AT2173" s="17">
        <v>31024</v>
      </c>
      <c r="AU2173" s="17">
        <v>42.85</v>
      </c>
      <c r="AV2173" s="17">
        <v>14.1</v>
      </c>
      <c r="AW2173" s="10" t="s">
        <v>105</v>
      </c>
      <c r="AX2173" s="17">
        <v>1884</v>
      </c>
      <c r="AY2173" s="18">
        <v>7.5797703396042024</v>
      </c>
      <c r="AZ2173" s="10"/>
      <c r="BA2173" s="20" t="b">
        <v>0</v>
      </c>
      <c r="BB2173" s="10"/>
      <c r="BC2173" s="17">
        <v>5202</v>
      </c>
      <c r="BD2173" s="17">
        <v>4093</v>
      </c>
      <c r="BE2173" s="17">
        <v>31024</v>
      </c>
      <c r="BF2173" s="17">
        <v>14.1</v>
      </c>
      <c r="BG2173" s="11">
        <f ca="1">IFERROR(__xludf.DUMMYFUNCTION("""COMPUTED_VALUE"""),45947.7708333333)</f>
        <v>45947.770833333299</v>
      </c>
      <c r="BH2173" s="17" t="s">
        <v>105</v>
      </c>
      <c r="BI2173" s="17"/>
      <c r="BJ2173" s="15"/>
      <c r="BK2173" s="15"/>
      <c r="BL2173" s="13" t="b">
        <v>0</v>
      </c>
      <c r="BM2173" s="10"/>
      <c r="BN2173" s="10" t="s">
        <v>118</v>
      </c>
      <c r="BO2173" s="11">
        <v>45933.675694444442</v>
      </c>
      <c r="BP2173" s="11">
        <v>45933.676203703704</v>
      </c>
      <c r="BQ2173" s="15">
        <v>45943.631030092591</v>
      </c>
      <c r="BR2173" s="15">
        <v>45944.526724537034</v>
      </c>
      <c r="BS2173" s="10" t="s">
        <v>118</v>
      </c>
      <c r="BT2173" s="10"/>
      <c r="BU2173" s="10"/>
      <c r="BV2173" s="10"/>
      <c r="BW2173" s="10"/>
      <c r="BX2173" s="10"/>
      <c r="BY2173" s="23"/>
      <c r="BZ2173" s="23"/>
      <c r="CA2173" s="19" t="s">
        <v>16626</v>
      </c>
      <c r="CB2173" s="23"/>
      <c r="CC2173" s="23"/>
      <c r="CD2173" s="23"/>
      <c r="CE2173" s="23"/>
      <c r="CF2173" s="23"/>
      <c r="CG2173" s="23"/>
      <c r="CH2173" s="23"/>
      <c r="CI2173" s="23"/>
    </row>
    <row r="2174" spans="1:87" x14ac:dyDescent="0.3">
      <c r="A2174" s="9" t="s">
        <v>16627</v>
      </c>
      <c r="B2174" s="10" t="s">
        <v>16628</v>
      </c>
      <c r="C2174" s="11">
        <v>45948.770833333336</v>
      </c>
      <c r="D2174" s="12">
        <v>2.0833333333333332E-2</v>
      </c>
      <c r="E2174" s="11">
        <v>45948.791666666664</v>
      </c>
      <c r="F2174" s="10" t="s">
        <v>3511</v>
      </c>
      <c r="G2174" s="13" t="b">
        <v>0</v>
      </c>
      <c r="H2174" s="22" t="s">
        <v>3512</v>
      </c>
      <c r="I2174" s="10" t="s">
        <v>212</v>
      </c>
      <c r="J2174" s="13" t="b">
        <v>1</v>
      </c>
      <c r="K2174" s="13" t="b">
        <v>0</v>
      </c>
      <c r="L2174" s="10" t="s">
        <v>90</v>
      </c>
      <c r="M2174" s="10" t="s">
        <v>91</v>
      </c>
      <c r="N2174" s="10" t="s">
        <v>92</v>
      </c>
      <c r="O2174" s="19" t="s">
        <v>16629</v>
      </c>
      <c r="P2174" s="10"/>
      <c r="Q2174" s="10" t="s">
        <v>94</v>
      </c>
      <c r="R2174" s="10"/>
      <c r="S2174" s="19" t="s">
        <v>16624</v>
      </c>
      <c r="T2174" s="10"/>
      <c r="U2174" s="10" t="s">
        <v>3551</v>
      </c>
      <c r="V2174" s="10" t="s">
        <v>3535</v>
      </c>
      <c r="W2174" s="10" t="s">
        <v>3519</v>
      </c>
      <c r="X2174" s="10" t="s">
        <v>130</v>
      </c>
      <c r="Y2174" s="10" t="s">
        <v>130</v>
      </c>
      <c r="Z2174" s="10" t="s">
        <v>99</v>
      </c>
      <c r="AA2174" s="10" t="s">
        <v>131</v>
      </c>
      <c r="AB2174" s="10" t="s">
        <v>3520</v>
      </c>
      <c r="AC2174" s="10" t="s">
        <v>3521</v>
      </c>
      <c r="AD2174" s="10" t="s">
        <v>16630</v>
      </c>
      <c r="AE2174" s="10" t="s">
        <v>16631</v>
      </c>
      <c r="AF2174" s="15"/>
      <c r="AG2174" s="10"/>
      <c r="AH2174" s="10"/>
      <c r="AI2174" s="10"/>
      <c r="AJ2174" s="10"/>
      <c r="AK2174" s="10" t="s">
        <v>102</v>
      </c>
      <c r="AL2174" s="10"/>
      <c r="AM2174" s="10"/>
      <c r="AN2174" s="10"/>
      <c r="AO2174" s="13" t="b">
        <v>0</v>
      </c>
      <c r="AP2174" s="22" t="s">
        <v>104</v>
      </c>
      <c r="AQ2174" s="10">
        <f ca="1">IFERROR(__xludf.DUMMYFUNCTION("""COMPUTED_VALUE"""),4652410)</f>
        <v>4652410</v>
      </c>
      <c r="AR2174" s="21">
        <v>11578</v>
      </c>
      <c r="AS2174" s="21">
        <v>9597</v>
      </c>
      <c r="AT2174" s="21">
        <v>69467.25</v>
      </c>
      <c r="AU2174" s="21">
        <v>77.8</v>
      </c>
      <c r="AV2174" s="21">
        <v>8.75</v>
      </c>
      <c r="AW2174" s="22" t="s">
        <v>105</v>
      </c>
      <c r="AX2174" s="21">
        <v>5180</v>
      </c>
      <c r="AY2174" s="18">
        <v>7.2384338855892469</v>
      </c>
      <c r="AZ2174" s="10"/>
      <c r="BA2174" s="20" t="b">
        <v>0</v>
      </c>
      <c r="BB2174" s="10"/>
      <c r="BC2174" s="17">
        <v>11578</v>
      </c>
      <c r="BD2174" s="17">
        <v>9597</v>
      </c>
      <c r="BE2174" s="17">
        <v>69467.25</v>
      </c>
      <c r="BF2174" s="17">
        <v>8.75</v>
      </c>
      <c r="BG2174" s="11">
        <f ca="1">IFERROR(__xludf.DUMMYFUNCTION("""COMPUTED_VALUE"""),45948.7708333333)</f>
        <v>45948.770833333299</v>
      </c>
      <c r="BH2174" s="17" t="s">
        <v>105</v>
      </c>
      <c r="BI2174" s="17"/>
      <c r="BJ2174" s="15"/>
      <c r="BK2174" s="15"/>
      <c r="BL2174" s="13" t="b">
        <v>0</v>
      </c>
      <c r="BM2174" s="10"/>
      <c r="BN2174" s="10" t="s">
        <v>118</v>
      </c>
      <c r="BO2174" s="11">
        <v>45933.677777777775</v>
      </c>
      <c r="BP2174" s="11">
        <v>45933.678171296298</v>
      </c>
      <c r="BQ2174" s="15">
        <v>45943.631168981483</v>
      </c>
      <c r="BR2174" s="15">
        <v>45945.400613425925</v>
      </c>
      <c r="BS2174" s="10" t="s">
        <v>118</v>
      </c>
      <c r="BT2174" s="10"/>
      <c r="BU2174" s="10"/>
      <c r="BV2174" s="10"/>
      <c r="BW2174" s="10"/>
      <c r="BX2174" s="10"/>
      <c r="BY2174" s="23"/>
      <c r="BZ2174" s="23"/>
      <c r="CA2174" s="19" t="s">
        <v>16632</v>
      </c>
      <c r="CB2174" s="23"/>
      <c r="CC2174" s="23"/>
      <c r="CD2174" s="23"/>
      <c r="CE2174" s="23"/>
      <c r="CF2174" s="23"/>
      <c r="CG2174" s="23"/>
      <c r="CH2174" s="23"/>
      <c r="CI2174" s="23"/>
    </row>
    <row r="2175" spans="1:87" x14ac:dyDescent="0.3">
      <c r="A2175" s="9" t="s">
        <v>16633</v>
      </c>
      <c r="B2175" s="10" t="s">
        <v>16634</v>
      </c>
      <c r="C2175" s="11">
        <v>45949.625</v>
      </c>
      <c r="D2175" s="12">
        <v>2.0833333333333332E-2</v>
      </c>
      <c r="E2175" s="11">
        <v>45949.645833333336</v>
      </c>
      <c r="F2175" s="10" t="s">
        <v>3511</v>
      </c>
      <c r="G2175" s="13" t="b">
        <v>0</v>
      </c>
      <c r="H2175" s="22" t="s">
        <v>3512</v>
      </c>
      <c r="I2175" s="10" t="s">
        <v>212</v>
      </c>
      <c r="J2175" s="13" t="b">
        <v>1</v>
      </c>
      <c r="K2175" s="13" t="b">
        <v>0</v>
      </c>
      <c r="L2175" s="10" t="s">
        <v>90</v>
      </c>
      <c r="M2175" s="10" t="s">
        <v>91</v>
      </c>
      <c r="N2175" s="10" t="s">
        <v>92</v>
      </c>
      <c r="O2175" s="19" t="s">
        <v>16635</v>
      </c>
      <c r="P2175" s="10"/>
      <c r="Q2175" s="10" t="s">
        <v>94</v>
      </c>
      <c r="R2175" s="10"/>
      <c r="S2175" s="19" t="s">
        <v>4382</v>
      </c>
      <c r="T2175" s="10"/>
      <c r="U2175" s="10" t="s">
        <v>3535</v>
      </c>
      <c r="V2175" s="10" t="s">
        <v>3676</v>
      </c>
      <c r="W2175" s="10" t="s">
        <v>3519</v>
      </c>
      <c r="X2175" s="10" t="s">
        <v>130</v>
      </c>
      <c r="Y2175" s="10" t="s">
        <v>130</v>
      </c>
      <c r="Z2175" s="10" t="s">
        <v>99</v>
      </c>
      <c r="AA2175" s="10" t="s">
        <v>131</v>
      </c>
      <c r="AB2175" s="10" t="s">
        <v>3520</v>
      </c>
      <c r="AC2175" s="10" t="s">
        <v>3521</v>
      </c>
      <c r="AD2175" s="10" t="s">
        <v>4383</v>
      </c>
      <c r="AE2175" s="10" t="s">
        <v>16636</v>
      </c>
      <c r="AF2175" s="15"/>
      <c r="AG2175" s="10"/>
      <c r="AH2175" s="10"/>
      <c r="AI2175" s="10"/>
      <c r="AJ2175" s="10"/>
      <c r="AK2175" s="10" t="s">
        <v>102</v>
      </c>
      <c r="AL2175" s="10"/>
      <c r="AM2175" s="10"/>
      <c r="AN2175" s="10"/>
      <c r="AO2175" s="13" t="b">
        <v>0</v>
      </c>
      <c r="AP2175" s="22" t="s">
        <v>104</v>
      </c>
      <c r="AQ2175" s="10">
        <f ca="1">IFERROR(__xludf.DUMMYFUNCTION("""COMPUTED_VALUE"""),4653437)</f>
        <v>4653437</v>
      </c>
      <c r="AR2175" s="17">
        <v>991</v>
      </c>
      <c r="AS2175" s="17">
        <v>807</v>
      </c>
      <c r="AT2175" s="17">
        <v>3443.5</v>
      </c>
      <c r="AU2175" s="17">
        <v>3.75</v>
      </c>
      <c r="AV2175" s="17">
        <v>1</v>
      </c>
      <c r="AW2175" s="10" t="s">
        <v>105</v>
      </c>
      <c r="AX2175" s="17">
        <v>383</v>
      </c>
      <c r="AY2175" s="18">
        <v>4.2670384138785629</v>
      </c>
      <c r="AZ2175" s="10" t="s">
        <v>185</v>
      </c>
      <c r="BA2175" s="20" t="b">
        <v>0</v>
      </c>
      <c r="BB2175" s="10"/>
      <c r="BC2175" s="17">
        <v>991</v>
      </c>
      <c r="BD2175" s="17">
        <v>807</v>
      </c>
      <c r="BE2175" s="17">
        <v>3443.5</v>
      </c>
      <c r="BF2175" s="17">
        <v>1</v>
      </c>
      <c r="BG2175" s="11">
        <f ca="1">IFERROR(__xludf.DUMMYFUNCTION("""COMPUTED_VALUE"""),45949.625)</f>
        <v>45949.625</v>
      </c>
      <c r="BH2175" s="17" t="s">
        <v>105</v>
      </c>
      <c r="BI2175" s="17"/>
      <c r="BJ2175" s="15"/>
      <c r="BK2175" s="15"/>
      <c r="BL2175" s="13" t="b">
        <v>0</v>
      </c>
      <c r="BM2175" s="10"/>
      <c r="BN2175" s="10" t="s">
        <v>136</v>
      </c>
      <c r="BO2175" s="11">
        <v>45933.679166666669</v>
      </c>
      <c r="BP2175" s="11">
        <v>45933.679224537038</v>
      </c>
      <c r="BQ2175" s="15">
        <v>45948.686956018515</v>
      </c>
      <c r="BR2175" s="15">
        <v>45946.434641203705</v>
      </c>
      <c r="BS2175" s="10"/>
      <c r="BT2175" s="10"/>
      <c r="BU2175" s="10"/>
      <c r="BV2175" s="10"/>
      <c r="BW2175" s="10"/>
      <c r="BX2175" s="10"/>
      <c r="BY2175" s="23"/>
      <c r="BZ2175" s="23"/>
      <c r="CA2175" s="19" t="s">
        <v>4386</v>
      </c>
      <c r="CB2175" s="23"/>
      <c r="CC2175" s="23"/>
      <c r="CD2175" s="23"/>
      <c r="CE2175" s="23"/>
      <c r="CF2175" s="23"/>
      <c r="CG2175" s="23"/>
      <c r="CH2175" s="23"/>
      <c r="CI2175" s="23"/>
    </row>
    <row r="2176" spans="1:87" x14ac:dyDescent="0.3">
      <c r="A2176" s="9" t="s">
        <v>16637</v>
      </c>
      <c r="B2176" s="10" t="s">
        <v>16638</v>
      </c>
      <c r="C2176" s="11">
        <v>45941.958333333336</v>
      </c>
      <c r="D2176" s="12">
        <v>8.3333333333333329E-2</v>
      </c>
      <c r="E2176" s="11">
        <v>45942.041666666664</v>
      </c>
      <c r="F2176" s="10" t="s">
        <v>16639</v>
      </c>
      <c r="G2176" s="13" t="b">
        <v>0</v>
      </c>
      <c r="H2176" s="22" t="s">
        <v>16543</v>
      </c>
      <c r="I2176" s="10" t="s">
        <v>212</v>
      </c>
      <c r="J2176" s="13" t="b">
        <v>1</v>
      </c>
      <c r="K2176" s="13" t="b">
        <v>0</v>
      </c>
      <c r="L2176" s="10" t="s">
        <v>124</v>
      </c>
      <c r="M2176" s="10" t="s">
        <v>91</v>
      </c>
      <c r="N2176" s="10" t="s">
        <v>92</v>
      </c>
      <c r="O2176" s="19" t="s">
        <v>16640</v>
      </c>
      <c r="P2176" s="10"/>
      <c r="Q2176" s="10" t="s">
        <v>126</v>
      </c>
      <c r="R2176" s="10"/>
      <c r="S2176" s="19" t="s">
        <v>16641</v>
      </c>
      <c r="T2176" s="10"/>
      <c r="U2176" s="10" t="s">
        <v>16642</v>
      </c>
      <c r="V2176" s="10" t="s">
        <v>16643</v>
      </c>
      <c r="W2176" s="10" t="s">
        <v>16644</v>
      </c>
      <c r="X2176" s="10" t="s">
        <v>16549</v>
      </c>
      <c r="Y2176" s="10" t="s">
        <v>16549</v>
      </c>
      <c r="Z2176" s="10" t="s">
        <v>99</v>
      </c>
      <c r="AA2176" s="10" t="s">
        <v>131</v>
      </c>
      <c r="AB2176" s="10" t="s">
        <v>16645</v>
      </c>
      <c r="AC2176" s="10" t="s">
        <v>16551</v>
      </c>
      <c r="AD2176" s="10" t="s">
        <v>16646</v>
      </c>
      <c r="AE2176" s="10" t="s">
        <v>16647</v>
      </c>
      <c r="AF2176" s="15"/>
      <c r="AG2176" s="10"/>
      <c r="AH2176" s="10"/>
      <c r="AI2176" s="10"/>
      <c r="AJ2176" s="10"/>
      <c r="AK2176" s="10" t="s">
        <v>102</v>
      </c>
      <c r="AL2176" s="10" t="s">
        <v>103</v>
      </c>
      <c r="AM2176" s="10"/>
      <c r="AN2176" s="10"/>
      <c r="AO2176" s="13" t="b">
        <v>0</v>
      </c>
      <c r="AP2176" s="22" t="s">
        <v>135</v>
      </c>
      <c r="AQ2176" s="10">
        <f ca="1">IFERROR(__xludf.DUMMYFUNCTION("""COMPUTED_VALUE"""),4642281)</f>
        <v>4642281</v>
      </c>
      <c r="AR2176" s="17">
        <v>9528</v>
      </c>
      <c r="AS2176" s="17">
        <v>7731</v>
      </c>
      <c r="AT2176" s="17">
        <v>120043.75</v>
      </c>
      <c r="AU2176" s="17">
        <v>42</v>
      </c>
      <c r="AV2176" s="17">
        <v>13.15</v>
      </c>
      <c r="AW2176" s="10" t="s">
        <v>105</v>
      </c>
      <c r="AX2176" s="17">
        <v>1862</v>
      </c>
      <c r="AY2176" s="18">
        <v>15.527583753718794</v>
      </c>
      <c r="AZ2176" s="10" t="s">
        <v>3998</v>
      </c>
      <c r="BA2176" s="20" t="b">
        <v>0</v>
      </c>
      <c r="BB2176" s="10"/>
      <c r="BC2176" s="17">
        <v>9528</v>
      </c>
      <c r="BD2176" s="17">
        <v>7731</v>
      </c>
      <c r="BE2176" s="17">
        <v>120043.75</v>
      </c>
      <c r="BF2176" s="17">
        <v>13.15</v>
      </c>
      <c r="BG2176" s="11">
        <f ca="1">IFERROR(__xludf.DUMMYFUNCTION("""COMPUTED_VALUE"""),45941.9583333333)</f>
        <v>45941.958333333299</v>
      </c>
      <c r="BH2176" s="17" t="s">
        <v>105</v>
      </c>
      <c r="BI2176" s="17"/>
      <c r="BJ2176" s="15"/>
      <c r="BK2176" s="15"/>
      <c r="BL2176" s="13" t="b">
        <v>0</v>
      </c>
      <c r="BM2176" s="10"/>
      <c r="BN2176" s="10" t="s">
        <v>920</v>
      </c>
      <c r="BO2176" s="11">
        <v>45935.512499999997</v>
      </c>
      <c r="BP2176" s="11">
        <v>45935.513194444444</v>
      </c>
      <c r="BQ2176" s="15">
        <v>45940.760358796295</v>
      </c>
      <c r="BR2176" s="15">
        <v>45940.803796296299</v>
      </c>
      <c r="BS2176" s="10" t="s">
        <v>920</v>
      </c>
      <c r="BT2176" s="10"/>
      <c r="BU2176" s="10"/>
      <c r="BV2176" s="10"/>
      <c r="BW2176" s="10"/>
      <c r="BX2176" s="10"/>
      <c r="BY2176" s="23"/>
      <c r="BZ2176" s="23"/>
      <c r="CA2176" s="19" t="s">
        <v>16648</v>
      </c>
      <c r="CB2176" s="23"/>
      <c r="CC2176" s="23"/>
      <c r="CD2176" s="19" t="s">
        <v>16649</v>
      </c>
      <c r="CE2176" s="23"/>
      <c r="CF2176" s="23"/>
      <c r="CG2176" s="23"/>
      <c r="CH2176" s="23"/>
      <c r="CI2176" s="23"/>
    </row>
    <row r="2177" spans="1:87" x14ac:dyDescent="0.3">
      <c r="A2177" s="9" t="s">
        <v>16650</v>
      </c>
      <c r="B2177" s="10" t="s">
        <v>16651</v>
      </c>
      <c r="C2177" s="11">
        <v>45942.9375</v>
      </c>
      <c r="D2177" s="12">
        <v>8.3333333333333329E-2</v>
      </c>
      <c r="E2177" s="11">
        <v>45943.020833333336</v>
      </c>
      <c r="F2177" s="10" t="s">
        <v>16639</v>
      </c>
      <c r="G2177" s="13" t="b">
        <v>0</v>
      </c>
      <c r="H2177" s="22" t="s">
        <v>16543</v>
      </c>
      <c r="I2177" s="10" t="s">
        <v>212</v>
      </c>
      <c r="J2177" s="13" t="b">
        <v>1</v>
      </c>
      <c r="K2177" s="13" t="b">
        <v>0</v>
      </c>
      <c r="L2177" s="10" t="s">
        <v>124</v>
      </c>
      <c r="M2177" s="10" t="s">
        <v>91</v>
      </c>
      <c r="N2177" s="10" t="s">
        <v>92</v>
      </c>
      <c r="O2177" s="19" t="s">
        <v>16652</v>
      </c>
      <c r="P2177" s="10"/>
      <c r="Q2177" s="10" t="s">
        <v>126</v>
      </c>
      <c r="R2177" s="10"/>
      <c r="S2177" s="19" t="s">
        <v>16653</v>
      </c>
      <c r="T2177" s="10"/>
      <c r="U2177" s="10" t="s">
        <v>16654</v>
      </c>
      <c r="V2177" s="10" t="s">
        <v>16560</v>
      </c>
      <c r="W2177" s="10" t="s">
        <v>16644</v>
      </c>
      <c r="X2177" s="10" t="s">
        <v>16549</v>
      </c>
      <c r="Y2177" s="10" t="s">
        <v>16549</v>
      </c>
      <c r="Z2177" s="10" t="s">
        <v>99</v>
      </c>
      <c r="AA2177" s="10" t="s">
        <v>131</v>
      </c>
      <c r="AB2177" s="10" t="s">
        <v>16645</v>
      </c>
      <c r="AC2177" s="10" t="s">
        <v>16551</v>
      </c>
      <c r="AD2177" s="10" t="s">
        <v>16655</v>
      </c>
      <c r="AE2177" s="10" t="s">
        <v>16656</v>
      </c>
      <c r="AF2177" s="15"/>
      <c r="AG2177" s="10"/>
      <c r="AH2177" s="10"/>
      <c r="AI2177" s="10"/>
      <c r="AJ2177" s="10"/>
      <c r="AK2177" s="10" t="s">
        <v>102</v>
      </c>
      <c r="AL2177" s="10" t="s">
        <v>103</v>
      </c>
      <c r="AM2177" s="10"/>
      <c r="AN2177" s="10"/>
      <c r="AO2177" s="13" t="b">
        <v>0</v>
      </c>
      <c r="AP2177" s="22" t="s">
        <v>135</v>
      </c>
      <c r="AQ2177" s="10">
        <f ca="1">IFERROR(__xludf.DUMMYFUNCTION("""COMPUTED_VALUE"""),4644407)</f>
        <v>4644407</v>
      </c>
      <c r="AR2177" s="17">
        <v>4456</v>
      </c>
      <c r="AS2177" s="17">
        <v>3619</v>
      </c>
      <c r="AT2177" s="17">
        <v>68369</v>
      </c>
      <c r="AU2177" s="17">
        <v>9.85</v>
      </c>
      <c r="AV2177" s="17">
        <v>3.15</v>
      </c>
      <c r="AW2177" s="10" t="s">
        <v>105</v>
      </c>
      <c r="AX2177" s="17">
        <v>1016</v>
      </c>
      <c r="AY2177" s="18">
        <v>18.891682785299807</v>
      </c>
      <c r="AZ2177" s="10" t="s">
        <v>136</v>
      </c>
      <c r="BA2177" s="20" t="b">
        <v>0</v>
      </c>
      <c r="BB2177" s="10"/>
      <c r="BC2177" s="17">
        <v>4456</v>
      </c>
      <c r="BD2177" s="17">
        <v>3619</v>
      </c>
      <c r="BE2177" s="17">
        <v>68369</v>
      </c>
      <c r="BF2177" s="17">
        <v>3.15</v>
      </c>
      <c r="BG2177" s="11">
        <f ca="1">IFERROR(__xludf.DUMMYFUNCTION("""COMPUTED_VALUE"""),45942.9375)</f>
        <v>45942.9375</v>
      </c>
      <c r="BH2177" s="17" t="s">
        <v>105</v>
      </c>
      <c r="BI2177" s="17"/>
      <c r="BJ2177" s="15"/>
      <c r="BK2177" s="15"/>
      <c r="BL2177" s="13" t="b">
        <v>0</v>
      </c>
      <c r="BM2177" s="10"/>
      <c r="BN2177" s="10" t="s">
        <v>137</v>
      </c>
      <c r="BO2177" s="11">
        <v>45935.51458333333</v>
      </c>
      <c r="BP2177" s="11">
        <v>45935.51462962963</v>
      </c>
      <c r="BQ2177" s="15">
        <v>45941.757465277777</v>
      </c>
      <c r="BR2177" s="15">
        <v>45941.775625000002</v>
      </c>
      <c r="BS2177" s="10" t="s">
        <v>137</v>
      </c>
      <c r="BT2177" s="10"/>
      <c r="BU2177" s="10"/>
      <c r="BV2177" s="10"/>
      <c r="BW2177" s="10"/>
      <c r="BX2177" s="10"/>
      <c r="BY2177" s="23"/>
      <c r="BZ2177" s="23"/>
      <c r="CA2177" s="19" t="s">
        <v>16657</v>
      </c>
      <c r="CB2177" s="23"/>
      <c r="CC2177" s="23"/>
      <c r="CD2177" s="19" t="s">
        <v>16658</v>
      </c>
      <c r="CE2177" s="23"/>
      <c r="CF2177" s="23"/>
      <c r="CG2177" s="23"/>
      <c r="CH2177" s="23"/>
      <c r="CI2177" s="23"/>
    </row>
    <row r="2178" spans="1:87" x14ac:dyDescent="0.3">
      <c r="A2178" s="9" t="s">
        <v>16659</v>
      </c>
      <c r="B2178" s="10" t="s">
        <v>16660</v>
      </c>
      <c r="C2178" s="11">
        <v>45943.020833333336</v>
      </c>
      <c r="D2178" s="12">
        <v>8.3333333333333329E-2</v>
      </c>
      <c r="E2178" s="11">
        <v>45943.104166666664</v>
      </c>
      <c r="F2178" s="10" t="s">
        <v>16639</v>
      </c>
      <c r="G2178" s="13" t="b">
        <v>0</v>
      </c>
      <c r="H2178" s="22" t="s">
        <v>16543</v>
      </c>
      <c r="I2178" s="10" t="s">
        <v>212</v>
      </c>
      <c r="J2178" s="13" t="b">
        <v>1</v>
      </c>
      <c r="K2178" s="13" t="b">
        <v>0</v>
      </c>
      <c r="L2178" s="10" t="s">
        <v>124</v>
      </c>
      <c r="M2178" s="10" t="s">
        <v>91</v>
      </c>
      <c r="N2178" s="10" t="s">
        <v>92</v>
      </c>
      <c r="O2178" s="19" t="s">
        <v>16661</v>
      </c>
      <c r="P2178" s="10"/>
      <c r="Q2178" s="10" t="s">
        <v>126</v>
      </c>
      <c r="R2178" s="10"/>
      <c r="S2178" s="19" t="s">
        <v>16662</v>
      </c>
      <c r="T2178" s="10"/>
      <c r="U2178" s="10" t="s">
        <v>16546</v>
      </c>
      <c r="V2178" s="10" t="s">
        <v>16561</v>
      </c>
      <c r="W2178" s="10" t="s">
        <v>16644</v>
      </c>
      <c r="X2178" s="10" t="s">
        <v>16549</v>
      </c>
      <c r="Y2178" s="10" t="s">
        <v>16549</v>
      </c>
      <c r="Z2178" s="10" t="s">
        <v>99</v>
      </c>
      <c r="AA2178" s="10" t="s">
        <v>131</v>
      </c>
      <c r="AB2178" s="10" t="s">
        <v>16645</v>
      </c>
      <c r="AC2178" s="10" t="s">
        <v>16551</v>
      </c>
      <c r="AD2178" s="10" t="s">
        <v>16663</v>
      </c>
      <c r="AE2178" s="10" t="s">
        <v>16664</v>
      </c>
      <c r="AF2178" s="15"/>
      <c r="AG2178" s="10"/>
      <c r="AH2178" s="10"/>
      <c r="AI2178" s="10"/>
      <c r="AJ2178" s="10"/>
      <c r="AK2178" s="10" t="s">
        <v>102</v>
      </c>
      <c r="AL2178" s="10" t="s">
        <v>103</v>
      </c>
      <c r="AM2178" s="10"/>
      <c r="AN2178" s="10"/>
      <c r="AO2178" s="13" t="b">
        <v>0</v>
      </c>
      <c r="AP2178" s="22" t="s">
        <v>135</v>
      </c>
      <c r="AQ2178" s="10">
        <f ca="1">IFERROR(__xludf.DUMMYFUNCTION("""COMPUTED_VALUE"""),4644775)</f>
        <v>4644775</v>
      </c>
      <c r="AR2178" s="17">
        <v>1984</v>
      </c>
      <c r="AS2178" s="17">
        <v>1500</v>
      </c>
      <c r="AT2178" s="17">
        <v>36184.25</v>
      </c>
      <c r="AU2178" s="17">
        <v>1.5</v>
      </c>
      <c r="AV2178" s="17">
        <v>0</v>
      </c>
      <c r="AW2178" s="10" t="s">
        <v>105</v>
      </c>
      <c r="AX2178" s="17">
        <v>303</v>
      </c>
      <c r="AY2178" s="18">
        <v>24.122833333333332</v>
      </c>
      <c r="AZ2178" s="10" t="s">
        <v>136</v>
      </c>
      <c r="BA2178" s="20" t="b">
        <v>0</v>
      </c>
      <c r="BB2178" s="10"/>
      <c r="BC2178" s="17">
        <v>1984</v>
      </c>
      <c r="BD2178" s="17">
        <v>1500</v>
      </c>
      <c r="BE2178" s="17">
        <v>36184.25</v>
      </c>
      <c r="BF2178" s="17">
        <v>0</v>
      </c>
      <c r="BG2178" s="11">
        <f ca="1">IFERROR(__xludf.DUMMYFUNCTION("""COMPUTED_VALUE"""),45943.0208333333)</f>
        <v>45943.020833333299</v>
      </c>
      <c r="BH2178" s="17" t="s">
        <v>105</v>
      </c>
      <c r="BI2178" s="17"/>
      <c r="BJ2178" s="15"/>
      <c r="BK2178" s="15"/>
      <c r="BL2178" s="13" t="b">
        <v>0</v>
      </c>
      <c r="BM2178" s="10"/>
      <c r="BN2178" s="10" t="s">
        <v>278</v>
      </c>
      <c r="BO2178" s="11">
        <v>45935.51666666667</v>
      </c>
      <c r="BP2178" s="11">
        <v>45935.516956018517</v>
      </c>
      <c r="BQ2178" s="15">
        <v>45941.78497685185</v>
      </c>
      <c r="BR2178" s="15">
        <v>45942.354143518518</v>
      </c>
      <c r="BS2178" s="10" t="s">
        <v>278</v>
      </c>
      <c r="BT2178" s="10"/>
      <c r="BU2178" s="10"/>
      <c r="BV2178" s="10"/>
      <c r="BW2178" s="10"/>
      <c r="BX2178" s="10"/>
      <c r="BY2178" s="23"/>
      <c r="BZ2178" s="23"/>
      <c r="CA2178" s="19" t="s">
        <v>16665</v>
      </c>
      <c r="CB2178" s="23"/>
      <c r="CC2178" s="23"/>
      <c r="CD2178" s="19" t="s">
        <v>16666</v>
      </c>
      <c r="CE2178" s="23"/>
      <c r="CF2178" s="23"/>
      <c r="CG2178" s="23"/>
      <c r="CH2178" s="23"/>
      <c r="CI2178" s="23"/>
    </row>
    <row r="2179" spans="1:87" x14ac:dyDescent="0.3">
      <c r="A2179" s="9" t="s">
        <v>16667</v>
      </c>
      <c r="B2179" s="10" t="s">
        <v>16668</v>
      </c>
      <c r="C2179" s="11">
        <v>45949.708333333336</v>
      </c>
      <c r="D2179" s="12">
        <v>8.3333333333333329E-2</v>
      </c>
      <c r="E2179" s="11">
        <v>45949.791666666664</v>
      </c>
      <c r="F2179" s="10" t="s">
        <v>16639</v>
      </c>
      <c r="G2179" s="13" t="b">
        <v>0</v>
      </c>
      <c r="H2179" s="22" t="s">
        <v>16543</v>
      </c>
      <c r="I2179" s="10" t="s">
        <v>212</v>
      </c>
      <c r="J2179" s="13" t="b">
        <v>1</v>
      </c>
      <c r="K2179" s="13" t="b">
        <v>0</v>
      </c>
      <c r="L2179" s="10" t="s">
        <v>124</v>
      </c>
      <c r="M2179" s="10" t="s">
        <v>91</v>
      </c>
      <c r="N2179" s="10" t="s">
        <v>92</v>
      </c>
      <c r="O2179" s="19" t="s">
        <v>16669</v>
      </c>
      <c r="P2179" s="10"/>
      <c r="Q2179" s="10" t="s">
        <v>126</v>
      </c>
      <c r="R2179" s="10"/>
      <c r="S2179" s="19" t="s">
        <v>16670</v>
      </c>
      <c r="T2179" s="10"/>
      <c r="U2179" s="10" t="s">
        <v>16671</v>
      </c>
      <c r="V2179" s="10" t="s">
        <v>16546</v>
      </c>
      <c r="W2179" s="10" t="s">
        <v>16644</v>
      </c>
      <c r="X2179" s="10" t="s">
        <v>16549</v>
      </c>
      <c r="Y2179" s="10" t="s">
        <v>16549</v>
      </c>
      <c r="Z2179" s="10" t="s">
        <v>99</v>
      </c>
      <c r="AA2179" s="10" t="s">
        <v>131</v>
      </c>
      <c r="AB2179" s="10" t="s">
        <v>16645</v>
      </c>
      <c r="AC2179" s="10" t="s">
        <v>16551</v>
      </c>
      <c r="AD2179" s="10" t="s">
        <v>16672</v>
      </c>
      <c r="AE2179" s="10" t="s">
        <v>16673</v>
      </c>
      <c r="AF2179" s="15"/>
      <c r="AG2179" s="10"/>
      <c r="AH2179" s="10"/>
      <c r="AI2179" s="10"/>
      <c r="AJ2179" s="10"/>
      <c r="AK2179" s="10" t="s">
        <v>102</v>
      </c>
      <c r="AL2179" s="10" t="s">
        <v>116</v>
      </c>
      <c r="AM2179" s="10"/>
      <c r="AN2179" s="10"/>
      <c r="AO2179" s="13" t="b">
        <v>0</v>
      </c>
      <c r="AP2179" s="22" t="s">
        <v>135</v>
      </c>
      <c r="AQ2179" s="10">
        <f ca="1">IFERROR(__xludf.DUMMYFUNCTION("""COMPUTED_VALUE"""),4652550)</f>
        <v>4652550</v>
      </c>
      <c r="AR2179" s="17">
        <v>8025</v>
      </c>
      <c r="AS2179" s="17">
        <v>5474</v>
      </c>
      <c r="AT2179" s="17">
        <v>81401.5</v>
      </c>
      <c r="AU2179" s="17">
        <v>8.35</v>
      </c>
      <c r="AV2179" s="17">
        <v>1.35</v>
      </c>
      <c r="AW2179" s="10" t="s">
        <v>105</v>
      </c>
      <c r="AX2179" s="17">
        <v>1751</v>
      </c>
      <c r="AY2179" s="18">
        <v>14.870569967117282</v>
      </c>
      <c r="AZ2179" s="10" t="s">
        <v>136</v>
      </c>
      <c r="BA2179" s="20" t="b">
        <v>0</v>
      </c>
      <c r="BB2179" s="10"/>
      <c r="BC2179" s="17">
        <v>8025</v>
      </c>
      <c r="BD2179" s="17">
        <v>5474</v>
      </c>
      <c r="BE2179" s="17">
        <v>81401.5</v>
      </c>
      <c r="BF2179" s="17">
        <v>1.35</v>
      </c>
      <c r="BG2179" s="11">
        <f ca="1">IFERROR(__xludf.DUMMYFUNCTION("""COMPUTED_VALUE"""),45949.7083333333)</f>
        <v>45949.708333333299</v>
      </c>
      <c r="BH2179" s="17" t="s">
        <v>105</v>
      </c>
      <c r="BI2179" s="17"/>
      <c r="BJ2179" s="15"/>
      <c r="BK2179" s="15"/>
      <c r="BL2179" s="13" t="b">
        <v>0</v>
      </c>
      <c r="BM2179" s="10"/>
      <c r="BN2179" s="10" t="s">
        <v>197</v>
      </c>
      <c r="BO2179" s="11">
        <v>45935.517361111109</v>
      </c>
      <c r="BP2179" s="11">
        <v>45935.517476851855</v>
      </c>
      <c r="BQ2179" s="15">
        <v>45941.832870370374</v>
      </c>
      <c r="BR2179" s="15">
        <v>45945.513668981483</v>
      </c>
      <c r="BS2179" s="10" t="s">
        <v>197</v>
      </c>
      <c r="BT2179" s="10" t="s">
        <v>99</v>
      </c>
      <c r="BU2179" s="10" t="s">
        <v>3394</v>
      </c>
      <c r="BV2179" s="10"/>
      <c r="BW2179" s="10"/>
      <c r="BX2179" s="10"/>
      <c r="BY2179" s="23"/>
      <c r="BZ2179" s="23"/>
      <c r="CA2179" s="19" t="s">
        <v>16674</v>
      </c>
      <c r="CB2179" s="23"/>
      <c r="CC2179" s="23"/>
      <c r="CD2179" s="19" t="s">
        <v>16675</v>
      </c>
      <c r="CE2179" s="23"/>
      <c r="CF2179" s="23"/>
      <c r="CG2179" s="23"/>
      <c r="CH2179" s="23"/>
      <c r="CI2179" s="23"/>
    </row>
    <row r="2180" spans="1:87" x14ac:dyDescent="0.3">
      <c r="A2180" s="25" t="s">
        <v>16676</v>
      </c>
      <c r="B2180" s="10" t="s">
        <v>16677</v>
      </c>
      <c r="C2180" s="11">
        <v>45948.791666666664</v>
      </c>
      <c r="D2180" s="12">
        <v>8.3333333333333329E-2</v>
      </c>
      <c r="E2180" s="11">
        <v>45948.875</v>
      </c>
      <c r="F2180" s="10" t="s">
        <v>16639</v>
      </c>
      <c r="G2180" s="13" t="b">
        <v>0</v>
      </c>
      <c r="H2180" s="22" t="s">
        <v>16543</v>
      </c>
      <c r="I2180" s="10" t="s">
        <v>212</v>
      </c>
      <c r="J2180" s="13" t="b">
        <v>1</v>
      </c>
      <c r="K2180" s="13" t="b">
        <v>0</v>
      </c>
      <c r="L2180" s="10" t="s">
        <v>124</v>
      </c>
      <c r="M2180" s="10" t="s">
        <v>91</v>
      </c>
      <c r="N2180" s="10" t="s">
        <v>92</v>
      </c>
      <c r="O2180" s="19" t="s">
        <v>16678</v>
      </c>
      <c r="P2180" s="10"/>
      <c r="Q2180" s="10" t="s">
        <v>126</v>
      </c>
      <c r="R2180" s="10"/>
      <c r="S2180" s="19" t="s">
        <v>16679</v>
      </c>
      <c r="T2180" s="10"/>
      <c r="U2180" s="10" t="s">
        <v>16578</v>
      </c>
      <c r="V2180" s="10" t="s">
        <v>16680</v>
      </c>
      <c r="W2180" s="10" t="s">
        <v>16644</v>
      </c>
      <c r="X2180" s="10" t="s">
        <v>16549</v>
      </c>
      <c r="Y2180" s="10" t="s">
        <v>16549</v>
      </c>
      <c r="Z2180" s="10" t="s">
        <v>99</v>
      </c>
      <c r="AA2180" s="10" t="s">
        <v>131</v>
      </c>
      <c r="AB2180" s="10" t="s">
        <v>16645</v>
      </c>
      <c r="AC2180" s="10" t="s">
        <v>16551</v>
      </c>
      <c r="AD2180" s="10" t="s">
        <v>16681</v>
      </c>
      <c r="AE2180" s="10" t="s">
        <v>16682</v>
      </c>
      <c r="AF2180" s="15"/>
      <c r="AG2180" s="10"/>
      <c r="AH2180" s="10"/>
      <c r="AI2180" s="10"/>
      <c r="AJ2180" s="10"/>
      <c r="AK2180" s="10" t="s">
        <v>102</v>
      </c>
      <c r="AL2180" s="10" t="s">
        <v>116</v>
      </c>
      <c r="AM2180" s="10"/>
      <c r="AN2180" s="10"/>
      <c r="AO2180" s="13" t="b">
        <v>0</v>
      </c>
      <c r="AP2180" s="22" t="s">
        <v>135</v>
      </c>
      <c r="AQ2180" s="10">
        <f ca="1">IFERROR(__xludf.DUMMYFUNCTION("""COMPUTED_VALUE"""),4652549)</f>
        <v>4652549</v>
      </c>
      <c r="AR2180" s="17">
        <v>4487</v>
      </c>
      <c r="AS2180" s="17">
        <v>3075</v>
      </c>
      <c r="AT2180" s="17">
        <v>49208.25</v>
      </c>
      <c r="AU2180" s="17">
        <v>14.45</v>
      </c>
      <c r="AV2180" s="17">
        <v>3.75</v>
      </c>
      <c r="AW2180" s="10" t="s">
        <v>105</v>
      </c>
      <c r="AX2180" s="17">
        <v>1008</v>
      </c>
      <c r="AY2180" s="18">
        <v>16.002682926829269</v>
      </c>
      <c r="AZ2180" s="10" t="s">
        <v>136</v>
      </c>
      <c r="BA2180" s="20" t="b">
        <v>0</v>
      </c>
      <c r="BB2180" s="10"/>
      <c r="BC2180" s="17">
        <v>4487</v>
      </c>
      <c r="BD2180" s="17">
        <v>3075</v>
      </c>
      <c r="BE2180" s="17">
        <v>49208.25</v>
      </c>
      <c r="BF2180" s="17">
        <v>3.75</v>
      </c>
      <c r="BG2180" s="11">
        <f ca="1">IFERROR(__xludf.DUMMYFUNCTION("""COMPUTED_VALUE"""),45948.7916666666)</f>
        <v>45948.791666666599</v>
      </c>
      <c r="BH2180" s="17" t="s">
        <v>105</v>
      </c>
      <c r="BI2180" s="17"/>
      <c r="BJ2180" s="15"/>
      <c r="BK2180" s="15"/>
      <c r="BL2180" s="13" t="b">
        <v>0</v>
      </c>
      <c r="BM2180" s="10"/>
      <c r="BN2180" s="10" t="s">
        <v>197</v>
      </c>
      <c r="BO2180" s="11">
        <v>45935.517361111109</v>
      </c>
      <c r="BP2180" s="11">
        <v>45937.975092592591</v>
      </c>
      <c r="BQ2180" s="15">
        <v>45941.832743055558</v>
      </c>
      <c r="BR2180" s="15">
        <v>45945.513425925928</v>
      </c>
      <c r="BS2180" s="10" t="s">
        <v>197</v>
      </c>
      <c r="BT2180" s="10"/>
      <c r="BU2180" s="10"/>
      <c r="BV2180" s="10"/>
      <c r="BW2180" s="10"/>
      <c r="BX2180" s="10"/>
      <c r="BY2180" s="23"/>
      <c r="BZ2180" s="23"/>
      <c r="CA2180" s="19" t="s">
        <v>16683</v>
      </c>
      <c r="CB2180" s="23"/>
      <c r="CC2180" s="23"/>
      <c r="CD2180" s="19" t="s">
        <v>16684</v>
      </c>
      <c r="CE2180" s="23"/>
      <c r="CF2180" s="23"/>
      <c r="CG2180" s="23"/>
      <c r="CH2180" s="23"/>
      <c r="CI2180" s="23"/>
    </row>
    <row r="2181" spans="1:87" x14ac:dyDescent="0.3">
      <c r="A2181" s="9" t="s">
        <v>16685</v>
      </c>
      <c r="B2181" s="10" t="s">
        <v>16686</v>
      </c>
      <c r="C2181" s="11">
        <v>45948.875</v>
      </c>
      <c r="D2181" s="12">
        <v>8.3333333333333329E-2</v>
      </c>
      <c r="E2181" s="11">
        <v>45948.958333333336</v>
      </c>
      <c r="F2181" s="10" t="s">
        <v>16639</v>
      </c>
      <c r="G2181" s="13" t="b">
        <v>0</v>
      </c>
      <c r="H2181" s="22" t="s">
        <v>16543</v>
      </c>
      <c r="I2181" s="10" t="s">
        <v>212</v>
      </c>
      <c r="J2181" s="13" t="b">
        <v>1</v>
      </c>
      <c r="K2181" s="13" t="b">
        <v>0</v>
      </c>
      <c r="L2181" s="10" t="s">
        <v>124</v>
      </c>
      <c r="M2181" s="10" t="s">
        <v>91</v>
      </c>
      <c r="N2181" s="10" t="s">
        <v>92</v>
      </c>
      <c r="O2181" s="19" t="s">
        <v>16687</v>
      </c>
      <c r="P2181" s="10"/>
      <c r="Q2181" s="10" t="s">
        <v>126</v>
      </c>
      <c r="R2181" s="10"/>
      <c r="S2181" s="19" t="s">
        <v>16688</v>
      </c>
      <c r="T2181" s="10"/>
      <c r="U2181" s="10" t="s">
        <v>16643</v>
      </c>
      <c r="V2181" s="10" t="s">
        <v>16570</v>
      </c>
      <c r="W2181" s="10" t="s">
        <v>16644</v>
      </c>
      <c r="X2181" s="10" t="s">
        <v>16549</v>
      </c>
      <c r="Y2181" s="10" t="s">
        <v>16549</v>
      </c>
      <c r="Z2181" s="10" t="s">
        <v>99</v>
      </c>
      <c r="AA2181" s="10" t="s">
        <v>131</v>
      </c>
      <c r="AB2181" s="10" t="s">
        <v>16645</v>
      </c>
      <c r="AC2181" s="10" t="s">
        <v>16551</v>
      </c>
      <c r="AD2181" s="10" t="s">
        <v>16689</v>
      </c>
      <c r="AE2181" s="10" t="s">
        <v>16690</v>
      </c>
      <c r="AF2181" s="15"/>
      <c r="AG2181" s="10"/>
      <c r="AH2181" s="10"/>
      <c r="AI2181" s="10"/>
      <c r="AJ2181" s="10"/>
      <c r="AK2181" s="10" t="s">
        <v>102</v>
      </c>
      <c r="AL2181" s="10" t="s">
        <v>116</v>
      </c>
      <c r="AM2181" s="10"/>
      <c r="AN2181" s="10"/>
      <c r="AO2181" s="13" t="b">
        <v>0</v>
      </c>
      <c r="AP2181" s="22" t="s">
        <v>135</v>
      </c>
      <c r="AQ2181" s="10">
        <f ca="1">IFERROR(__xludf.DUMMYFUNCTION("""COMPUTED_VALUE"""),4654976)</f>
        <v>4654976</v>
      </c>
      <c r="AR2181" s="17">
        <v>6582</v>
      </c>
      <c r="AS2181" s="17">
        <v>4595</v>
      </c>
      <c r="AT2181" s="17">
        <v>92358.5</v>
      </c>
      <c r="AU2181" s="17">
        <v>18.7</v>
      </c>
      <c r="AV2181" s="17">
        <v>3.45</v>
      </c>
      <c r="AW2181" s="10" t="s">
        <v>105</v>
      </c>
      <c r="AX2181" s="17">
        <v>1439</v>
      </c>
      <c r="AY2181" s="18">
        <v>20.099782372143633</v>
      </c>
      <c r="AZ2181" s="10" t="s">
        <v>3998</v>
      </c>
      <c r="BA2181" s="20" t="b">
        <v>0</v>
      </c>
      <c r="BB2181" s="10"/>
      <c r="BC2181" s="17">
        <v>6582</v>
      </c>
      <c r="BD2181" s="17">
        <v>4595</v>
      </c>
      <c r="BE2181" s="17">
        <v>92358.5</v>
      </c>
      <c r="BF2181" s="17">
        <v>3.45</v>
      </c>
      <c r="BG2181" s="11">
        <f ca="1">IFERROR(__xludf.DUMMYFUNCTION("""COMPUTED_VALUE"""),45948.875)</f>
        <v>45948.875</v>
      </c>
      <c r="BH2181" s="17" t="s">
        <v>105</v>
      </c>
      <c r="BI2181" s="17"/>
      <c r="BJ2181" s="15"/>
      <c r="BK2181" s="15"/>
      <c r="BL2181" s="13" t="b">
        <v>0</v>
      </c>
      <c r="BM2181" s="10"/>
      <c r="BN2181" s="10" t="s">
        <v>278</v>
      </c>
      <c r="BO2181" s="11">
        <v>45935.518750000003</v>
      </c>
      <c r="BP2181" s="11">
        <v>45945.645092592589</v>
      </c>
      <c r="BQ2181" s="15">
        <v>45946.46292824074</v>
      </c>
      <c r="BR2181" s="15">
        <v>45946.61347222222</v>
      </c>
      <c r="BS2181" s="10" t="s">
        <v>278</v>
      </c>
      <c r="BT2181" s="10" t="s">
        <v>99</v>
      </c>
      <c r="BU2181" s="10" t="s">
        <v>1275</v>
      </c>
      <c r="BV2181" s="10"/>
      <c r="BW2181" s="10"/>
      <c r="BX2181" s="10"/>
      <c r="BY2181" s="23"/>
      <c r="BZ2181" s="23"/>
      <c r="CA2181" s="19" t="s">
        <v>16691</v>
      </c>
      <c r="CB2181" s="23"/>
      <c r="CC2181" s="23"/>
      <c r="CD2181" s="19" t="s">
        <v>16692</v>
      </c>
      <c r="CE2181" s="23"/>
      <c r="CF2181" s="23"/>
      <c r="CG2181" s="23"/>
      <c r="CH2181" s="23"/>
      <c r="CI2181" s="23"/>
    </row>
    <row r="2182" spans="1:87" x14ac:dyDescent="0.3">
      <c r="A2182" s="9" t="s">
        <v>16693</v>
      </c>
      <c r="B2182" s="10" t="s">
        <v>16694</v>
      </c>
      <c r="C2182" s="11">
        <v>45952.979166666664</v>
      </c>
      <c r="D2182" s="12">
        <v>8.3333333333333329E-2</v>
      </c>
      <c r="E2182" s="11">
        <v>45953.0625</v>
      </c>
      <c r="F2182" s="10" t="s">
        <v>16639</v>
      </c>
      <c r="G2182" s="13" t="b">
        <v>0</v>
      </c>
      <c r="H2182" s="22" t="s">
        <v>16543</v>
      </c>
      <c r="I2182" s="10" t="s">
        <v>212</v>
      </c>
      <c r="J2182" s="13" t="b">
        <v>1</v>
      </c>
      <c r="K2182" s="13" t="b">
        <v>0</v>
      </c>
      <c r="L2182" s="10" t="s">
        <v>124</v>
      </c>
      <c r="M2182" s="10" t="s">
        <v>91</v>
      </c>
      <c r="N2182" s="10" t="s">
        <v>92</v>
      </c>
      <c r="O2182" s="19" t="s">
        <v>16695</v>
      </c>
      <c r="P2182" s="10"/>
      <c r="Q2182" s="10" t="s">
        <v>126</v>
      </c>
      <c r="R2182" s="10"/>
      <c r="S2182" s="19" t="s">
        <v>16696</v>
      </c>
      <c r="T2182" s="10"/>
      <c r="U2182" s="10" t="s">
        <v>16680</v>
      </c>
      <c r="V2182" s="10" t="s">
        <v>16643</v>
      </c>
      <c r="W2182" s="10" t="s">
        <v>16644</v>
      </c>
      <c r="X2182" s="10" t="s">
        <v>16549</v>
      </c>
      <c r="Y2182" s="10" t="s">
        <v>16549</v>
      </c>
      <c r="Z2182" s="10" t="s">
        <v>99</v>
      </c>
      <c r="AA2182" s="10" t="s">
        <v>131</v>
      </c>
      <c r="AB2182" s="10" t="s">
        <v>16645</v>
      </c>
      <c r="AC2182" s="10" t="s">
        <v>16551</v>
      </c>
      <c r="AD2182" s="10" t="s">
        <v>16697</v>
      </c>
      <c r="AE2182" s="10" t="s">
        <v>16698</v>
      </c>
      <c r="AF2182" s="15"/>
      <c r="AG2182" s="10"/>
      <c r="AH2182" s="10"/>
      <c r="AI2182" s="10"/>
      <c r="AJ2182" s="10"/>
      <c r="AK2182" s="10" t="s">
        <v>102</v>
      </c>
      <c r="AL2182" s="10" t="s">
        <v>147</v>
      </c>
      <c r="AM2182" s="10"/>
      <c r="AN2182" s="10"/>
      <c r="AO2182" s="13" t="b">
        <v>0</v>
      </c>
      <c r="AP2182" s="22" t="s">
        <v>135</v>
      </c>
      <c r="AQ2182" s="10">
        <f ca="1">IFERROR(__xludf.DUMMYFUNCTION("""COMPUTED_VALUE"""),4660169)</f>
        <v>4660169</v>
      </c>
      <c r="AR2182" s="17">
        <v>6789</v>
      </c>
      <c r="AS2182" s="17">
        <v>4829</v>
      </c>
      <c r="AT2182" s="17">
        <v>105515.25</v>
      </c>
      <c r="AU2182" s="17">
        <v>15.2</v>
      </c>
      <c r="AV2182" s="17">
        <v>1.45</v>
      </c>
      <c r="AW2182" s="10" t="s">
        <v>105</v>
      </c>
      <c r="AX2182" s="17">
        <v>1484</v>
      </c>
      <c r="AY2182" s="18">
        <v>21.850331331538619</v>
      </c>
      <c r="AZ2182" s="10" t="s">
        <v>3998</v>
      </c>
      <c r="BA2182" s="20" t="b">
        <v>0</v>
      </c>
      <c r="BB2182" s="10"/>
      <c r="BC2182" s="17">
        <v>6789</v>
      </c>
      <c r="BD2182" s="17">
        <v>4829</v>
      </c>
      <c r="BE2182" s="17">
        <v>105515.25</v>
      </c>
      <c r="BF2182" s="17">
        <v>1.45</v>
      </c>
      <c r="BG2182" s="11">
        <f ca="1">IFERROR(__xludf.DUMMYFUNCTION("""COMPUTED_VALUE"""),45952.9791666666)</f>
        <v>45952.979166666599</v>
      </c>
      <c r="BH2182" s="17" t="s">
        <v>105</v>
      </c>
      <c r="BI2182" s="17"/>
      <c r="BJ2182" s="15"/>
      <c r="BK2182" s="15"/>
      <c r="BL2182" s="13" t="b">
        <v>0</v>
      </c>
      <c r="BM2182" s="10"/>
      <c r="BN2182" s="10" t="s">
        <v>118</v>
      </c>
      <c r="BO2182" s="11">
        <v>45935.519444444442</v>
      </c>
      <c r="BP2182" s="11">
        <v>45935.519895833335</v>
      </c>
      <c r="BQ2182" s="15">
        <v>45946.675393518519</v>
      </c>
      <c r="BR2182" s="15">
        <v>45949.42832175926</v>
      </c>
      <c r="BS2182" s="10" t="s">
        <v>118</v>
      </c>
      <c r="BT2182" s="10" t="s">
        <v>99</v>
      </c>
      <c r="BU2182" s="10"/>
      <c r="BV2182" s="10"/>
      <c r="BW2182" s="10"/>
      <c r="BX2182" s="10"/>
      <c r="BY2182" s="23"/>
      <c r="BZ2182" s="23"/>
      <c r="CA2182" s="19" t="s">
        <v>16699</v>
      </c>
      <c r="CB2182" s="23"/>
      <c r="CC2182" s="23"/>
      <c r="CD2182" s="19" t="s">
        <v>16700</v>
      </c>
      <c r="CE2182" s="23"/>
      <c r="CF2182" s="23"/>
      <c r="CG2182" s="23"/>
      <c r="CH2182" s="23"/>
      <c r="CI2182" s="23"/>
    </row>
    <row r="2183" spans="1:87" x14ac:dyDescent="0.3">
      <c r="A2183" s="9" t="s">
        <v>16701</v>
      </c>
      <c r="B2183" s="10" t="s">
        <v>16702</v>
      </c>
      <c r="C2183" s="11">
        <v>45956.916666666664</v>
      </c>
      <c r="D2183" s="12">
        <v>8.3333333333333329E-2</v>
      </c>
      <c r="E2183" s="11">
        <v>45957</v>
      </c>
      <c r="F2183" s="10" t="s">
        <v>16639</v>
      </c>
      <c r="G2183" s="13" t="b">
        <v>0</v>
      </c>
      <c r="H2183" s="22" t="s">
        <v>16543</v>
      </c>
      <c r="I2183" s="10" t="s">
        <v>212</v>
      </c>
      <c r="J2183" s="13" t="b">
        <v>1</v>
      </c>
      <c r="K2183" s="13" t="b">
        <v>0</v>
      </c>
      <c r="L2183" s="10" t="s">
        <v>124</v>
      </c>
      <c r="M2183" s="10" t="s">
        <v>91</v>
      </c>
      <c r="N2183" s="10" t="s">
        <v>92</v>
      </c>
      <c r="O2183" s="19" t="s">
        <v>16703</v>
      </c>
      <c r="P2183" s="10"/>
      <c r="Q2183" s="10" t="s">
        <v>126</v>
      </c>
      <c r="R2183" s="10"/>
      <c r="S2183" s="19" t="s">
        <v>16704</v>
      </c>
      <c r="T2183" s="10"/>
      <c r="U2183" s="10" t="s">
        <v>16643</v>
      </c>
      <c r="V2183" s="10" t="s">
        <v>16654</v>
      </c>
      <c r="W2183" s="10" t="s">
        <v>16644</v>
      </c>
      <c r="X2183" s="10" t="s">
        <v>16549</v>
      </c>
      <c r="Y2183" s="10" t="s">
        <v>16549</v>
      </c>
      <c r="Z2183" s="10" t="s">
        <v>99</v>
      </c>
      <c r="AA2183" s="10" t="s">
        <v>131</v>
      </c>
      <c r="AB2183" s="10" t="s">
        <v>16645</v>
      </c>
      <c r="AC2183" s="10" t="s">
        <v>16551</v>
      </c>
      <c r="AD2183" s="10" t="s">
        <v>16705</v>
      </c>
      <c r="AE2183" s="10" t="s">
        <v>16706</v>
      </c>
      <c r="AF2183" s="15"/>
      <c r="AG2183" s="10"/>
      <c r="AH2183" s="10"/>
      <c r="AI2183" s="10"/>
      <c r="AJ2183" s="10"/>
      <c r="AK2183" s="10" t="s">
        <v>102</v>
      </c>
      <c r="AL2183" s="10" t="s">
        <v>147</v>
      </c>
      <c r="AM2183" s="10"/>
      <c r="AN2183" s="10"/>
      <c r="AO2183" s="13" t="b">
        <v>0</v>
      </c>
      <c r="AP2183" s="22" t="s">
        <v>135</v>
      </c>
      <c r="AQ2183" s="10">
        <f ca="1">IFERROR(__xludf.DUMMYFUNCTION("""COMPUTED_VALUE"""),4667516)</f>
        <v>4667516</v>
      </c>
      <c r="AR2183" s="17">
        <v>10024</v>
      </c>
      <c r="AS2183" s="17">
        <v>6769</v>
      </c>
      <c r="AT2183" s="17">
        <v>137526.5</v>
      </c>
      <c r="AU2183" s="17">
        <v>21.35</v>
      </c>
      <c r="AV2183" s="17">
        <v>3.45</v>
      </c>
      <c r="AW2183" s="10" t="s">
        <v>105</v>
      </c>
      <c r="AX2183" s="17">
        <v>2735</v>
      </c>
      <c r="AY2183" s="18">
        <v>20.317107401388682</v>
      </c>
      <c r="AZ2183" s="10" t="s">
        <v>3998</v>
      </c>
      <c r="BA2183" s="20" t="b">
        <v>0</v>
      </c>
      <c r="BB2183" s="10"/>
      <c r="BC2183" s="17">
        <v>10024</v>
      </c>
      <c r="BD2183" s="17">
        <v>6769</v>
      </c>
      <c r="BE2183" s="17">
        <v>137526.5</v>
      </c>
      <c r="BF2183" s="17">
        <v>3.45</v>
      </c>
      <c r="BG2183" s="11">
        <f ca="1">IFERROR(__xludf.DUMMYFUNCTION("""COMPUTED_VALUE"""),45956.9166666666)</f>
        <v>45956.916666666599</v>
      </c>
      <c r="BH2183" s="17" t="s">
        <v>105</v>
      </c>
      <c r="BI2183" s="17"/>
      <c r="BJ2183" s="15"/>
      <c r="BK2183" s="15"/>
      <c r="BL2183" s="13" t="b">
        <v>0</v>
      </c>
      <c r="BM2183" s="10"/>
      <c r="BN2183" s="10" t="s">
        <v>455</v>
      </c>
      <c r="BO2183" s="11">
        <v>45935.520138888889</v>
      </c>
      <c r="BP2183" s="11">
        <v>45935.520624999997</v>
      </c>
      <c r="BQ2183" s="15">
        <v>45947.738738425927</v>
      </c>
      <c r="BR2183" s="15">
        <v>45953.679085648146</v>
      </c>
      <c r="BS2183" s="10" t="s">
        <v>455</v>
      </c>
      <c r="BT2183" s="10" t="s">
        <v>99</v>
      </c>
      <c r="BU2183" s="10" t="s">
        <v>456</v>
      </c>
      <c r="BV2183" s="10"/>
      <c r="BW2183" s="10"/>
      <c r="BX2183" s="10"/>
      <c r="BY2183" s="23"/>
      <c r="BZ2183" s="23"/>
      <c r="CA2183" s="19" t="s">
        <v>16707</v>
      </c>
      <c r="CB2183" s="23"/>
      <c r="CC2183" s="23"/>
      <c r="CD2183" s="19" t="s">
        <v>16708</v>
      </c>
      <c r="CE2183" s="23"/>
      <c r="CF2183" s="23"/>
      <c r="CG2183" s="23"/>
      <c r="CH2183" s="23"/>
      <c r="CI2183" s="23"/>
    </row>
    <row r="2184" spans="1:87" x14ac:dyDescent="0.3">
      <c r="A2184" s="9" t="s">
        <v>16709</v>
      </c>
      <c r="B2184" s="10" t="s">
        <v>16710</v>
      </c>
      <c r="C2184" s="11">
        <v>45957</v>
      </c>
      <c r="D2184" s="12">
        <v>8.3333333333333329E-2</v>
      </c>
      <c r="E2184" s="11">
        <v>45957.083333333336</v>
      </c>
      <c r="F2184" s="10" t="s">
        <v>16639</v>
      </c>
      <c r="G2184" s="13" t="b">
        <v>0</v>
      </c>
      <c r="H2184" s="22" t="s">
        <v>16543</v>
      </c>
      <c r="I2184" s="10" t="s">
        <v>212</v>
      </c>
      <c r="J2184" s="13" t="b">
        <v>1</v>
      </c>
      <c r="K2184" s="13" t="b">
        <v>0</v>
      </c>
      <c r="L2184" s="10" t="s">
        <v>124</v>
      </c>
      <c r="M2184" s="10" t="s">
        <v>91</v>
      </c>
      <c r="N2184" s="10" t="s">
        <v>92</v>
      </c>
      <c r="O2184" s="19" t="s">
        <v>16711</v>
      </c>
      <c r="P2184" s="10"/>
      <c r="Q2184" s="10" t="s">
        <v>126</v>
      </c>
      <c r="R2184" s="10"/>
      <c r="S2184" s="19" t="s">
        <v>16712</v>
      </c>
      <c r="T2184" s="10"/>
      <c r="U2184" s="10" t="s">
        <v>16671</v>
      </c>
      <c r="V2184" s="10" t="s">
        <v>16570</v>
      </c>
      <c r="W2184" s="10" t="s">
        <v>16644</v>
      </c>
      <c r="X2184" s="10" t="s">
        <v>16549</v>
      </c>
      <c r="Y2184" s="10" t="s">
        <v>16549</v>
      </c>
      <c r="Z2184" s="10" t="s">
        <v>99</v>
      </c>
      <c r="AA2184" s="10" t="s">
        <v>131</v>
      </c>
      <c r="AB2184" s="10" t="s">
        <v>16645</v>
      </c>
      <c r="AC2184" s="10" t="s">
        <v>16551</v>
      </c>
      <c r="AD2184" s="10" t="s">
        <v>16713</v>
      </c>
      <c r="AE2184" s="10" t="s">
        <v>16714</v>
      </c>
      <c r="AF2184" s="15"/>
      <c r="AG2184" s="10"/>
      <c r="AH2184" s="10"/>
      <c r="AI2184" s="10"/>
      <c r="AJ2184" s="10"/>
      <c r="AK2184" s="10" t="s">
        <v>102</v>
      </c>
      <c r="AL2184" s="10" t="s">
        <v>147</v>
      </c>
      <c r="AM2184" s="10"/>
      <c r="AN2184" s="10"/>
      <c r="AO2184" s="13" t="b">
        <v>0</v>
      </c>
      <c r="AP2184" s="22" t="s">
        <v>135</v>
      </c>
      <c r="AQ2184" s="10">
        <f ca="1">IFERROR(__xludf.DUMMYFUNCTION("""COMPUTED_VALUE"""),4671768)</f>
        <v>4671768</v>
      </c>
      <c r="AR2184" s="17">
        <v>3805</v>
      </c>
      <c r="AS2184" s="17">
        <v>3174</v>
      </c>
      <c r="AT2184" s="17">
        <v>39041.5</v>
      </c>
      <c r="AU2184" s="17">
        <v>8.6</v>
      </c>
      <c r="AV2184" s="17">
        <v>4.75</v>
      </c>
      <c r="AW2184" s="10" t="s">
        <v>105</v>
      </c>
      <c r="AX2184" s="17">
        <v>1244</v>
      </c>
      <c r="AY2184" s="18">
        <v>12.300409577819785</v>
      </c>
      <c r="AZ2184" s="10" t="s">
        <v>3998</v>
      </c>
      <c r="BA2184" s="20" t="b">
        <v>0</v>
      </c>
      <c r="BB2184" s="10"/>
      <c r="BC2184" s="17">
        <v>3805</v>
      </c>
      <c r="BD2184" s="17">
        <v>3174</v>
      </c>
      <c r="BE2184" s="17">
        <v>39041.5</v>
      </c>
      <c r="BF2184" s="17">
        <v>4.75</v>
      </c>
      <c r="BG2184" s="11">
        <f ca="1">IFERROR(__xludf.DUMMYFUNCTION("""COMPUTED_VALUE"""),45957)</f>
        <v>45957</v>
      </c>
      <c r="BH2184" s="17" t="s">
        <v>105</v>
      </c>
      <c r="BI2184" s="17"/>
      <c r="BJ2184" s="15"/>
      <c r="BK2184" s="15"/>
      <c r="BL2184" s="13" t="b">
        <v>0</v>
      </c>
      <c r="BM2184" s="10"/>
      <c r="BN2184" s="10" t="s">
        <v>197</v>
      </c>
      <c r="BO2184" s="11">
        <v>45935.521527777775</v>
      </c>
      <c r="BP2184" s="11">
        <v>45935.521898148145</v>
      </c>
      <c r="BQ2184" s="15">
        <v>45953.669768518521</v>
      </c>
      <c r="BR2184" s="15">
        <v>45956.400092592594</v>
      </c>
      <c r="BS2184" s="10" t="s">
        <v>197</v>
      </c>
      <c r="BT2184" s="10" t="s">
        <v>99</v>
      </c>
      <c r="BU2184" s="10" t="s">
        <v>456</v>
      </c>
      <c r="BV2184" s="10"/>
      <c r="BW2184" s="10"/>
      <c r="BX2184" s="10"/>
      <c r="BY2184" s="23"/>
      <c r="BZ2184" s="23"/>
      <c r="CA2184" s="19" t="s">
        <v>16715</v>
      </c>
      <c r="CB2184" s="23"/>
      <c r="CC2184" s="23"/>
      <c r="CD2184" s="19" t="s">
        <v>16716</v>
      </c>
      <c r="CE2184" s="23"/>
      <c r="CF2184" s="23"/>
      <c r="CG2184" s="23"/>
      <c r="CH2184" s="23"/>
      <c r="CI2184" s="23"/>
    </row>
    <row r="2185" spans="1:87" x14ac:dyDescent="0.3">
      <c r="A2185" s="9" t="s">
        <v>16717</v>
      </c>
      <c r="B2185" s="10" t="s">
        <v>16718</v>
      </c>
      <c r="C2185" s="11">
        <v>45955.791666666664</v>
      </c>
      <c r="D2185" s="12">
        <v>8.3333333333333329E-2</v>
      </c>
      <c r="E2185" s="11">
        <v>45955.875</v>
      </c>
      <c r="F2185" s="10" t="s">
        <v>16719</v>
      </c>
      <c r="G2185" s="13" t="b">
        <v>0</v>
      </c>
      <c r="H2185" s="22" t="s">
        <v>16543</v>
      </c>
      <c r="I2185" s="10" t="s">
        <v>212</v>
      </c>
      <c r="J2185" s="13" t="b">
        <v>1</v>
      </c>
      <c r="K2185" s="13" t="b">
        <v>0</v>
      </c>
      <c r="L2185" s="10" t="s">
        <v>124</v>
      </c>
      <c r="M2185" s="10" t="s">
        <v>91</v>
      </c>
      <c r="N2185" s="10" t="s">
        <v>92</v>
      </c>
      <c r="O2185" s="19" t="s">
        <v>16720</v>
      </c>
      <c r="P2185" s="10"/>
      <c r="Q2185" s="10" t="s">
        <v>126</v>
      </c>
      <c r="R2185" s="10"/>
      <c r="S2185" s="19" t="s">
        <v>16721</v>
      </c>
      <c r="T2185" s="10"/>
      <c r="U2185" s="10" t="s">
        <v>16722</v>
      </c>
      <c r="V2185" s="10" t="s">
        <v>16723</v>
      </c>
      <c r="W2185" s="10" t="s">
        <v>16644</v>
      </c>
      <c r="X2185" s="10" t="s">
        <v>16549</v>
      </c>
      <c r="Y2185" s="10" t="s">
        <v>16549</v>
      </c>
      <c r="Z2185" s="10" t="s">
        <v>99</v>
      </c>
      <c r="AA2185" s="10" t="s">
        <v>131</v>
      </c>
      <c r="AB2185" s="10" t="s">
        <v>16645</v>
      </c>
      <c r="AC2185" s="10" t="s">
        <v>16551</v>
      </c>
      <c r="AD2185" s="10" t="s">
        <v>16724</v>
      </c>
      <c r="AE2185" s="10" t="s">
        <v>16725</v>
      </c>
      <c r="AF2185" s="15"/>
      <c r="AG2185" s="10"/>
      <c r="AH2185" s="10"/>
      <c r="AI2185" s="10"/>
      <c r="AJ2185" s="10"/>
      <c r="AK2185" s="10" t="s">
        <v>102</v>
      </c>
      <c r="AL2185" s="10" t="s">
        <v>103</v>
      </c>
      <c r="AM2185" s="10"/>
      <c r="AN2185" s="10"/>
      <c r="AO2185" s="13" t="b">
        <v>0</v>
      </c>
      <c r="AP2185" s="22" t="s">
        <v>104</v>
      </c>
      <c r="AQ2185" s="10">
        <f ca="1">IFERROR(__xludf.DUMMYFUNCTION("""COMPUTED_VALUE"""),4667512)</f>
        <v>4667512</v>
      </c>
      <c r="AR2185" s="17">
        <v>8613</v>
      </c>
      <c r="AS2185" s="17">
        <v>6738</v>
      </c>
      <c r="AT2185" s="17">
        <v>90924</v>
      </c>
      <c r="AU2185" s="17">
        <v>21.15</v>
      </c>
      <c r="AV2185" s="17">
        <v>1.1000000000000001</v>
      </c>
      <c r="AW2185" s="10" t="s">
        <v>105</v>
      </c>
      <c r="AX2185" s="17">
        <v>1237</v>
      </c>
      <c r="AY2185" s="18">
        <v>13.494211932324133</v>
      </c>
      <c r="AZ2185" s="10" t="s">
        <v>3998</v>
      </c>
      <c r="BA2185" s="20" t="b">
        <v>0</v>
      </c>
      <c r="BB2185" s="10"/>
      <c r="BC2185" s="17">
        <v>8613</v>
      </c>
      <c r="BD2185" s="17">
        <v>6738</v>
      </c>
      <c r="BE2185" s="17">
        <v>90924</v>
      </c>
      <c r="BF2185" s="17">
        <v>1.1000000000000001</v>
      </c>
      <c r="BG2185" s="11">
        <f ca="1">IFERROR(__xludf.DUMMYFUNCTION("""COMPUTED_VALUE"""),45955.7916666666)</f>
        <v>45955.791666666599</v>
      </c>
      <c r="BH2185" s="17" t="s">
        <v>105</v>
      </c>
      <c r="BI2185" s="17"/>
      <c r="BJ2185" s="15"/>
      <c r="BK2185" s="15"/>
      <c r="BL2185" s="13" t="b">
        <v>0</v>
      </c>
      <c r="BM2185" s="10"/>
      <c r="BN2185" s="10" t="s">
        <v>137</v>
      </c>
      <c r="BO2185" s="11">
        <v>45935.52847222222</v>
      </c>
      <c r="BP2185" s="11">
        <v>45935.528773148151</v>
      </c>
      <c r="BQ2185" s="15">
        <v>45953.584224537037</v>
      </c>
      <c r="BR2185" s="15">
        <v>45953.679432870369</v>
      </c>
      <c r="BS2185" s="10" t="s">
        <v>137</v>
      </c>
      <c r="BT2185" s="10" t="s">
        <v>99</v>
      </c>
      <c r="BU2185" s="10" t="s">
        <v>655</v>
      </c>
      <c r="BV2185" s="10"/>
      <c r="BW2185" s="10"/>
      <c r="BX2185" s="10"/>
      <c r="BY2185" s="23"/>
      <c r="BZ2185" s="23"/>
      <c r="CA2185" s="19" t="s">
        <v>16726</v>
      </c>
      <c r="CB2185" s="23"/>
      <c r="CC2185" s="23"/>
      <c r="CD2185" s="19" t="s">
        <v>16727</v>
      </c>
      <c r="CE2185" s="23"/>
      <c r="CF2185" s="23"/>
      <c r="CG2185" s="23"/>
      <c r="CH2185" s="23"/>
      <c r="CI2185" s="23"/>
    </row>
    <row r="2186" spans="1:87" x14ac:dyDescent="0.3">
      <c r="A2186" s="9" t="s">
        <v>16728</v>
      </c>
      <c r="B2186" s="10" t="s">
        <v>16729</v>
      </c>
      <c r="C2186" s="11">
        <v>45955.979166666664</v>
      </c>
      <c r="D2186" s="12">
        <v>8.3333333333333329E-2</v>
      </c>
      <c r="E2186" s="11">
        <v>45956.0625</v>
      </c>
      <c r="F2186" s="10" t="s">
        <v>16719</v>
      </c>
      <c r="G2186" s="13" t="b">
        <v>0</v>
      </c>
      <c r="H2186" s="22" t="s">
        <v>16543</v>
      </c>
      <c r="I2186" s="10" t="s">
        <v>212</v>
      </c>
      <c r="J2186" s="13" t="b">
        <v>1</v>
      </c>
      <c r="K2186" s="13" t="b">
        <v>0</v>
      </c>
      <c r="L2186" s="10" t="s">
        <v>124</v>
      </c>
      <c r="M2186" s="10" t="s">
        <v>91</v>
      </c>
      <c r="N2186" s="10" t="s">
        <v>92</v>
      </c>
      <c r="O2186" s="19" t="s">
        <v>16730</v>
      </c>
      <c r="P2186" s="10"/>
      <c r="Q2186" s="10" t="s">
        <v>126</v>
      </c>
      <c r="R2186" s="10"/>
      <c r="S2186" s="19" t="s">
        <v>16731</v>
      </c>
      <c r="T2186" s="10"/>
      <c r="U2186" s="10" t="s">
        <v>16732</v>
      </c>
      <c r="V2186" s="10" t="s">
        <v>16733</v>
      </c>
      <c r="W2186" s="10" t="s">
        <v>16644</v>
      </c>
      <c r="X2186" s="10" t="s">
        <v>16549</v>
      </c>
      <c r="Y2186" s="10" t="s">
        <v>16549</v>
      </c>
      <c r="Z2186" s="10" t="s">
        <v>99</v>
      </c>
      <c r="AA2186" s="10" t="s">
        <v>131</v>
      </c>
      <c r="AB2186" s="10" t="s">
        <v>16645</v>
      </c>
      <c r="AC2186" s="10" t="s">
        <v>16551</v>
      </c>
      <c r="AD2186" s="10" t="s">
        <v>16734</v>
      </c>
      <c r="AE2186" s="10" t="s">
        <v>16735</v>
      </c>
      <c r="AF2186" s="15"/>
      <c r="AG2186" s="10"/>
      <c r="AH2186" s="10"/>
      <c r="AI2186" s="10"/>
      <c r="AJ2186" s="10"/>
      <c r="AK2186" s="10" t="s">
        <v>102</v>
      </c>
      <c r="AL2186" s="10" t="s">
        <v>103</v>
      </c>
      <c r="AM2186" s="10"/>
      <c r="AN2186" s="10"/>
      <c r="AO2186" s="13" t="b">
        <v>0</v>
      </c>
      <c r="AP2186" s="22" t="s">
        <v>104</v>
      </c>
      <c r="AQ2186" s="10">
        <f ca="1">IFERROR(__xludf.DUMMYFUNCTION("""COMPUTED_VALUE"""),4667511)</f>
        <v>4667511</v>
      </c>
      <c r="AR2186" s="17">
        <v>3203</v>
      </c>
      <c r="AS2186" s="17">
        <v>2707</v>
      </c>
      <c r="AT2186" s="17">
        <v>23446</v>
      </c>
      <c r="AU2186" s="17">
        <v>3.15</v>
      </c>
      <c r="AV2186" s="17">
        <v>0.5</v>
      </c>
      <c r="AW2186" s="10" t="s">
        <v>105</v>
      </c>
      <c r="AX2186" s="17">
        <v>519</v>
      </c>
      <c r="AY2186" s="18">
        <v>8.6612486147026235</v>
      </c>
      <c r="AZ2186" s="10" t="s">
        <v>3998</v>
      </c>
      <c r="BA2186" s="20" t="b">
        <v>0</v>
      </c>
      <c r="BB2186" s="10"/>
      <c r="BC2186" s="17">
        <v>3203</v>
      </c>
      <c r="BD2186" s="17">
        <v>2707</v>
      </c>
      <c r="BE2186" s="17">
        <v>23446</v>
      </c>
      <c r="BF2186" s="17">
        <v>0.5</v>
      </c>
      <c r="BG2186" s="11">
        <f ca="1">IFERROR(__xludf.DUMMYFUNCTION("""COMPUTED_VALUE"""),45955.9791666666)</f>
        <v>45955.979166666599</v>
      </c>
      <c r="BH2186" s="17" t="s">
        <v>105</v>
      </c>
      <c r="BI2186" s="17"/>
      <c r="BJ2186" s="15"/>
      <c r="BK2186" s="15"/>
      <c r="BL2186" s="13" t="b">
        <v>0</v>
      </c>
      <c r="BM2186" s="10"/>
      <c r="BN2186" s="10" t="s">
        <v>197</v>
      </c>
      <c r="BO2186" s="11">
        <v>45935.52847222222</v>
      </c>
      <c r="BP2186" s="11">
        <v>45935.529733796298</v>
      </c>
      <c r="BQ2186" s="15">
        <v>45953.584456018521</v>
      </c>
      <c r="BR2186" s="15">
        <v>45953.679282407407</v>
      </c>
      <c r="BS2186" s="10" t="s">
        <v>197</v>
      </c>
      <c r="BT2186" s="10" t="s">
        <v>99</v>
      </c>
      <c r="BU2186" s="10" t="s">
        <v>655</v>
      </c>
      <c r="BV2186" s="10"/>
      <c r="BW2186" s="10"/>
      <c r="BX2186" s="10"/>
      <c r="BY2186" s="23"/>
      <c r="BZ2186" s="23"/>
      <c r="CA2186" s="19" t="s">
        <v>16736</v>
      </c>
      <c r="CB2186" s="23"/>
      <c r="CC2186" s="23"/>
      <c r="CD2186" s="19" t="s">
        <v>16737</v>
      </c>
      <c r="CE2186" s="23"/>
      <c r="CF2186" s="23"/>
      <c r="CG2186" s="23"/>
      <c r="CH2186" s="23"/>
      <c r="CI2186" s="23"/>
    </row>
    <row r="2187" spans="1:87" x14ac:dyDescent="0.3">
      <c r="A2187" s="9" t="s">
        <v>16738</v>
      </c>
      <c r="B2187" s="10" t="s">
        <v>16739</v>
      </c>
      <c r="C2187" s="11">
        <v>45958.895833333336</v>
      </c>
      <c r="D2187" s="12">
        <v>8.3333333333333329E-2</v>
      </c>
      <c r="E2187" s="11">
        <v>45958.979166666664</v>
      </c>
      <c r="F2187" s="10" t="s">
        <v>16719</v>
      </c>
      <c r="G2187" s="13" t="b">
        <v>0</v>
      </c>
      <c r="H2187" s="22" t="s">
        <v>16543</v>
      </c>
      <c r="I2187" s="10" t="s">
        <v>212</v>
      </c>
      <c r="J2187" s="13" t="b">
        <v>1</v>
      </c>
      <c r="K2187" s="13" t="b">
        <v>0</v>
      </c>
      <c r="L2187" s="10" t="s">
        <v>124</v>
      </c>
      <c r="M2187" s="10" t="s">
        <v>91</v>
      </c>
      <c r="N2187" s="10" t="s">
        <v>92</v>
      </c>
      <c r="O2187" s="19" t="s">
        <v>16740</v>
      </c>
      <c r="P2187" s="10"/>
      <c r="Q2187" s="10" t="s">
        <v>126</v>
      </c>
      <c r="R2187" s="10"/>
      <c r="S2187" s="19" t="s">
        <v>16741</v>
      </c>
      <c r="T2187" s="10"/>
      <c r="U2187" s="10" t="s">
        <v>16742</v>
      </c>
      <c r="V2187" s="10" t="s">
        <v>16722</v>
      </c>
      <c r="W2187" s="10" t="s">
        <v>16644</v>
      </c>
      <c r="X2187" s="10" t="s">
        <v>16549</v>
      </c>
      <c r="Y2187" s="10" t="s">
        <v>16549</v>
      </c>
      <c r="Z2187" s="10" t="s">
        <v>99</v>
      </c>
      <c r="AA2187" s="10" t="s">
        <v>131</v>
      </c>
      <c r="AB2187" s="10" t="s">
        <v>16645</v>
      </c>
      <c r="AC2187" s="10" t="s">
        <v>16551</v>
      </c>
      <c r="AD2187" s="10" t="s">
        <v>16743</v>
      </c>
      <c r="AE2187" s="10" t="s">
        <v>16744</v>
      </c>
      <c r="AF2187" s="15"/>
      <c r="AG2187" s="10"/>
      <c r="AH2187" s="10"/>
      <c r="AI2187" s="10"/>
      <c r="AJ2187" s="10"/>
      <c r="AK2187" s="10" t="s">
        <v>102</v>
      </c>
      <c r="AL2187" s="10" t="s">
        <v>116</v>
      </c>
      <c r="AM2187" s="10"/>
      <c r="AN2187" s="10"/>
      <c r="AO2187" s="13" t="b">
        <v>0</v>
      </c>
      <c r="AP2187" s="22" t="s">
        <v>104</v>
      </c>
      <c r="AQ2187" s="10">
        <f ca="1">IFERROR(__xludf.DUMMYFUNCTION("""COMPUTED_VALUE"""),4671776)</f>
        <v>4671776</v>
      </c>
      <c r="AR2187" s="17">
        <v>5029</v>
      </c>
      <c r="AS2187" s="17">
        <v>3571</v>
      </c>
      <c r="AT2187" s="17">
        <v>61644.75</v>
      </c>
      <c r="AU2187" s="17">
        <v>6.9</v>
      </c>
      <c r="AV2187" s="17">
        <v>0.35</v>
      </c>
      <c r="AW2187" s="10" t="s">
        <v>105</v>
      </c>
      <c r="AX2187" s="17">
        <v>819</v>
      </c>
      <c r="AY2187" s="18">
        <v>17.262601512181462</v>
      </c>
      <c r="AZ2187" s="10" t="s">
        <v>3998</v>
      </c>
      <c r="BA2187" s="20" t="b">
        <v>0</v>
      </c>
      <c r="BB2187" s="10"/>
      <c r="BC2187" s="17">
        <v>5029</v>
      </c>
      <c r="BD2187" s="17">
        <v>3571</v>
      </c>
      <c r="BE2187" s="17">
        <v>61644.75</v>
      </c>
      <c r="BF2187" s="17">
        <v>0.35</v>
      </c>
      <c r="BG2187" s="11">
        <f ca="1">IFERROR(__xludf.DUMMYFUNCTION("""COMPUTED_VALUE"""),45958.8958333333)</f>
        <v>45958.895833333299</v>
      </c>
      <c r="BH2187" s="17" t="s">
        <v>105</v>
      </c>
      <c r="BI2187" s="17"/>
      <c r="BJ2187" s="15"/>
      <c r="BK2187" s="15"/>
      <c r="BL2187" s="13" t="b">
        <v>0</v>
      </c>
      <c r="BM2187" s="10"/>
      <c r="BN2187" s="10" t="s">
        <v>157</v>
      </c>
      <c r="BO2187" s="11">
        <v>45935.529861111114</v>
      </c>
      <c r="BP2187" s="11">
        <v>45935.53056712963</v>
      </c>
      <c r="BQ2187" s="15">
        <v>45954.449062500003</v>
      </c>
      <c r="BR2187" s="15">
        <v>45956.838321759256</v>
      </c>
      <c r="BS2187" s="10" t="s">
        <v>157</v>
      </c>
      <c r="BT2187" s="10" t="s">
        <v>99</v>
      </c>
      <c r="BU2187" s="10" t="s">
        <v>280</v>
      </c>
      <c r="BV2187" s="10"/>
      <c r="BW2187" s="10"/>
      <c r="BX2187" s="10"/>
      <c r="BY2187" s="23"/>
      <c r="BZ2187" s="23"/>
      <c r="CA2187" s="19" t="s">
        <v>16745</v>
      </c>
      <c r="CB2187" s="23"/>
      <c r="CC2187" s="23"/>
      <c r="CD2187" s="19" t="s">
        <v>16746</v>
      </c>
      <c r="CE2187" s="23"/>
      <c r="CF2187" s="23"/>
      <c r="CG2187" s="23"/>
      <c r="CH2187" s="23"/>
      <c r="CI2187" s="23"/>
    </row>
    <row r="2188" spans="1:87" x14ac:dyDescent="0.3">
      <c r="A2188" s="9" t="s">
        <v>16747</v>
      </c>
      <c r="B2188" s="10" t="s">
        <v>16748</v>
      </c>
      <c r="C2188" s="11">
        <v>45959.791666666664</v>
      </c>
      <c r="D2188" s="12">
        <v>8.3333333333333329E-2</v>
      </c>
      <c r="E2188" s="11">
        <v>45959.875</v>
      </c>
      <c r="F2188" s="10" t="s">
        <v>16719</v>
      </c>
      <c r="G2188" s="13" t="b">
        <v>0</v>
      </c>
      <c r="H2188" s="22" t="s">
        <v>16543</v>
      </c>
      <c r="I2188" s="10" t="s">
        <v>212</v>
      </c>
      <c r="J2188" s="13" t="b">
        <v>1</v>
      </c>
      <c r="K2188" s="13" t="b">
        <v>0</v>
      </c>
      <c r="L2188" s="10" t="s">
        <v>124</v>
      </c>
      <c r="M2188" s="10" t="s">
        <v>91</v>
      </c>
      <c r="N2188" s="10" t="s">
        <v>92</v>
      </c>
      <c r="O2188" s="19" t="s">
        <v>16749</v>
      </c>
      <c r="P2188" s="10"/>
      <c r="Q2188" s="10" t="s">
        <v>126</v>
      </c>
      <c r="R2188" s="10"/>
      <c r="S2188" s="19" t="s">
        <v>16750</v>
      </c>
      <c r="T2188" s="10"/>
      <c r="U2188" s="10" t="s">
        <v>16733</v>
      </c>
      <c r="V2188" s="10" t="s">
        <v>16751</v>
      </c>
      <c r="W2188" s="10" t="s">
        <v>16644</v>
      </c>
      <c r="X2188" s="10" t="s">
        <v>16549</v>
      </c>
      <c r="Y2188" s="10" t="s">
        <v>16549</v>
      </c>
      <c r="Z2188" s="10" t="s">
        <v>99</v>
      </c>
      <c r="AA2188" s="10" t="s">
        <v>131</v>
      </c>
      <c r="AB2188" s="10" t="s">
        <v>16645</v>
      </c>
      <c r="AC2188" s="10" t="s">
        <v>16551</v>
      </c>
      <c r="AD2188" s="10" t="s">
        <v>16752</v>
      </c>
      <c r="AE2188" s="10" t="s">
        <v>16753</v>
      </c>
      <c r="AF2188" s="15"/>
      <c r="AG2188" s="10"/>
      <c r="AH2188" s="10"/>
      <c r="AI2188" s="10"/>
      <c r="AJ2188" s="10"/>
      <c r="AK2188" s="10" t="s">
        <v>102</v>
      </c>
      <c r="AL2188" s="10" t="s">
        <v>116</v>
      </c>
      <c r="AM2188" s="10"/>
      <c r="AN2188" s="10"/>
      <c r="AO2188" s="13" t="b">
        <v>0</v>
      </c>
      <c r="AP2188" s="22" t="s">
        <v>104</v>
      </c>
      <c r="AQ2188" s="10">
        <f ca="1">IFERROR(__xludf.DUMMYFUNCTION("""COMPUTED_VALUE"""),4675182)</f>
        <v>4675182</v>
      </c>
      <c r="AR2188" s="17">
        <v>6344</v>
      </c>
      <c r="AS2188" s="17">
        <v>5181</v>
      </c>
      <c r="AT2188" s="17">
        <v>86366</v>
      </c>
      <c r="AU2188" s="17">
        <v>15.75</v>
      </c>
      <c r="AV2188" s="17">
        <v>0</v>
      </c>
      <c r="AW2188" s="10" t="s">
        <v>105</v>
      </c>
      <c r="AX2188" s="17"/>
      <c r="AY2188" s="18">
        <v>16.66975487357653</v>
      </c>
      <c r="AZ2188" s="10" t="s">
        <v>3998</v>
      </c>
      <c r="BA2188" s="20" t="b">
        <v>0</v>
      </c>
      <c r="BB2188" s="10"/>
      <c r="BC2188" s="17">
        <v>6344</v>
      </c>
      <c r="BD2188" s="17">
        <v>5181</v>
      </c>
      <c r="BE2188" s="17">
        <v>86366</v>
      </c>
      <c r="BF2188" s="17">
        <v>0</v>
      </c>
      <c r="BG2188" s="11">
        <f ca="1">IFERROR(__xludf.DUMMYFUNCTION("""COMPUTED_VALUE"""),45959.7916666666)</f>
        <v>45959.791666666599</v>
      </c>
      <c r="BH2188" s="17" t="s">
        <v>105</v>
      </c>
      <c r="BI2188" s="17"/>
      <c r="BJ2188" s="15"/>
      <c r="BK2188" s="15"/>
      <c r="BL2188" s="13" t="b">
        <v>0</v>
      </c>
      <c r="BM2188" s="10"/>
      <c r="BN2188" s="10" t="s">
        <v>157</v>
      </c>
      <c r="BO2188" s="11">
        <v>45935.530555555553</v>
      </c>
      <c r="BP2188" s="11">
        <v>45935.5309837963</v>
      </c>
      <c r="BQ2188" s="15">
        <v>45958.625034722223</v>
      </c>
      <c r="BR2188" s="15">
        <v>45958.652314814812</v>
      </c>
      <c r="BS2188" s="10" t="s">
        <v>157</v>
      </c>
      <c r="BT2188" s="10" t="s">
        <v>99</v>
      </c>
      <c r="BU2188" s="10"/>
      <c r="BV2188" s="10"/>
      <c r="BW2188" s="10"/>
      <c r="BX2188" s="10"/>
      <c r="BY2188" s="23"/>
      <c r="BZ2188" s="23"/>
      <c r="CA2188" s="19" t="s">
        <v>16754</v>
      </c>
      <c r="CB2188" s="23"/>
      <c r="CC2188" s="23"/>
      <c r="CD2188" s="19" t="s">
        <v>16755</v>
      </c>
      <c r="CE2188" s="23"/>
      <c r="CF2188" s="23"/>
      <c r="CG2188" s="23"/>
      <c r="CH2188" s="23"/>
      <c r="CI2188" s="23"/>
    </row>
    <row r="2189" spans="1:87" x14ac:dyDescent="0.3">
      <c r="A2189" s="9" t="s">
        <v>16756</v>
      </c>
      <c r="B2189" s="10" t="s">
        <v>16757</v>
      </c>
      <c r="C2189" s="11">
        <v>45951.708333333336</v>
      </c>
      <c r="D2189" s="12">
        <v>8.3333333333333329E-2</v>
      </c>
      <c r="E2189" s="11">
        <v>45951.791666666664</v>
      </c>
      <c r="F2189" s="10" t="s">
        <v>16758</v>
      </c>
      <c r="G2189" s="13" t="b">
        <v>0</v>
      </c>
      <c r="H2189" s="22" t="s">
        <v>16543</v>
      </c>
      <c r="I2189" s="10" t="s">
        <v>212</v>
      </c>
      <c r="J2189" s="13" t="b">
        <v>1</v>
      </c>
      <c r="K2189" s="13" t="b">
        <v>0</v>
      </c>
      <c r="L2189" s="10" t="s">
        <v>124</v>
      </c>
      <c r="M2189" s="10" t="s">
        <v>91</v>
      </c>
      <c r="N2189" s="10" t="s">
        <v>92</v>
      </c>
      <c r="O2189" s="19" t="s">
        <v>16759</v>
      </c>
      <c r="P2189" s="10"/>
      <c r="Q2189" s="10" t="s">
        <v>94</v>
      </c>
      <c r="R2189" s="10"/>
      <c r="S2189" s="19" t="s">
        <v>16760</v>
      </c>
      <c r="T2189" s="10"/>
      <c r="U2189" s="10" t="s">
        <v>16761</v>
      </c>
      <c r="V2189" s="10" t="s">
        <v>16751</v>
      </c>
      <c r="W2189" s="10" t="s">
        <v>16548</v>
      </c>
      <c r="X2189" s="10" t="s">
        <v>16549</v>
      </c>
      <c r="Y2189" s="10" t="s">
        <v>16549</v>
      </c>
      <c r="Z2189" s="10" t="s">
        <v>99</v>
      </c>
      <c r="AA2189" s="10" t="s">
        <v>131</v>
      </c>
      <c r="AB2189" s="10" t="s">
        <v>16550</v>
      </c>
      <c r="AC2189" s="10" t="s">
        <v>16551</v>
      </c>
      <c r="AD2189" s="10" t="s">
        <v>16762</v>
      </c>
      <c r="AE2189" s="10" t="s">
        <v>16763</v>
      </c>
      <c r="AF2189" s="15"/>
      <c r="AG2189" s="10"/>
      <c r="AH2189" s="10"/>
      <c r="AI2189" s="10"/>
      <c r="AJ2189" s="10"/>
      <c r="AK2189" s="10" t="s">
        <v>256</v>
      </c>
      <c r="AL2189" s="10" t="s">
        <v>7897</v>
      </c>
      <c r="AM2189" s="10"/>
      <c r="AN2189" s="10"/>
      <c r="AO2189" s="13" t="b">
        <v>0</v>
      </c>
      <c r="AP2189" s="22" t="s">
        <v>104</v>
      </c>
      <c r="AQ2189" s="10">
        <f ca="1">IFERROR(__xludf.DUMMYFUNCTION("""COMPUTED_VALUE"""),4660157)</f>
        <v>4660157</v>
      </c>
      <c r="AR2189" s="17"/>
      <c r="AS2189" s="17"/>
      <c r="AT2189" s="17"/>
      <c r="AU2189" s="17"/>
      <c r="AV2189" s="17"/>
      <c r="AW2189" s="10"/>
      <c r="AX2189" s="17"/>
      <c r="AY2189" s="18" t="s">
        <v>257</v>
      </c>
      <c r="AZ2189" s="10" t="s">
        <v>3783</v>
      </c>
      <c r="BA2189" s="20" t="b">
        <v>0</v>
      </c>
      <c r="BB2189" s="10"/>
      <c r="BC2189" s="17" t="s">
        <v>257</v>
      </c>
      <c r="BD2189" s="17" t="s">
        <v>257</v>
      </c>
      <c r="BE2189" s="17" t="s">
        <v>257</v>
      </c>
      <c r="BF2189" s="17" t="s">
        <v>257</v>
      </c>
      <c r="BG2189" s="11">
        <f ca="1">IFERROR(__xludf.DUMMYFUNCTION("""COMPUTED_VALUE"""),45951.7083333333)</f>
        <v>45951.708333333299</v>
      </c>
      <c r="BH2189" s="17"/>
      <c r="BI2189" s="17"/>
      <c r="BJ2189" s="15"/>
      <c r="BK2189" s="15"/>
      <c r="BL2189" s="13" t="b">
        <v>0</v>
      </c>
      <c r="BM2189" s="10"/>
      <c r="BN2189" s="10" t="s">
        <v>8437</v>
      </c>
      <c r="BO2189" s="11">
        <v>45935.53402777778</v>
      </c>
      <c r="BP2189" s="11">
        <v>45943.49181712963</v>
      </c>
      <c r="BQ2189" s="15">
        <v>45947.394988425927</v>
      </c>
      <c r="BR2189" s="15">
        <v>45949.425439814811</v>
      </c>
      <c r="BS2189" s="10"/>
      <c r="BT2189" s="10"/>
      <c r="BU2189" s="10"/>
      <c r="BV2189" s="10"/>
      <c r="BW2189" s="10"/>
      <c r="BX2189" s="10"/>
      <c r="BY2189" s="23"/>
      <c r="BZ2189" s="23"/>
      <c r="CA2189" s="19" t="s">
        <v>16764</v>
      </c>
      <c r="CB2189" s="23"/>
      <c r="CC2189" s="23"/>
      <c r="CD2189" s="23"/>
      <c r="CE2189" s="23"/>
      <c r="CF2189" s="23"/>
      <c r="CG2189" s="23"/>
      <c r="CH2189" s="23"/>
      <c r="CI2189" s="23"/>
    </row>
    <row r="2190" spans="1:87" x14ac:dyDescent="0.3">
      <c r="A2190" s="9" t="s">
        <v>16765</v>
      </c>
      <c r="B2190" s="10" t="s">
        <v>16766</v>
      </c>
      <c r="C2190" s="11">
        <v>45951.8125</v>
      </c>
      <c r="D2190" s="12">
        <v>8.3333333333333329E-2</v>
      </c>
      <c r="E2190" s="11">
        <v>45951.895833333336</v>
      </c>
      <c r="F2190" s="10" t="s">
        <v>16758</v>
      </c>
      <c r="G2190" s="13" t="b">
        <v>0</v>
      </c>
      <c r="H2190" s="22" t="s">
        <v>16543</v>
      </c>
      <c r="I2190" s="10" t="s">
        <v>212</v>
      </c>
      <c r="J2190" s="13" t="b">
        <v>1</v>
      </c>
      <c r="K2190" s="13" t="b">
        <v>0</v>
      </c>
      <c r="L2190" s="10" t="s">
        <v>124</v>
      </c>
      <c r="M2190" s="10" t="s">
        <v>91</v>
      </c>
      <c r="N2190" s="10" t="s">
        <v>92</v>
      </c>
      <c r="O2190" s="19" t="s">
        <v>16767</v>
      </c>
      <c r="P2190" s="10"/>
      <c r="Q2190" s="10" t="s">
        <v>94</v>
      </c>
      <c r="R2190" s="10"/>
      <c r="S2190" s="19" t="s">
        <v>16768</v>
      </c>
      <c r="T2190" s="10"/>
      <c r="U2190" s="10" t="s">
        <v>16769</v>
      </c>
      <c r="V2190" s="10" t="s">
        <v>16770</v>
      </c>
      <c r="W2190" s="10" t="s">
        <v>16548</v>
      </c>
      <c r="X2190" s="10" t="s">
        <v>16549</v>
      </c>
      <c r="Y2190" s="10" t="s">
        <v>16549</v>
      </c>
      <c r="Z2190" s="10" t="s">
        <v>99</v>
      </c>
      <c r="AA2190" s="10" t="s">
        <v>131</v>
      </c>
      <c r="AB2190" s="10" t="s">
        <v>16550</v>
      </c>
      <c r="AC2190" s="10" t="s">
        <v>16551</v>
      </c>
      <c r="AD2190" s="10" t="s">
        <v>16771</v>
      </c>
      <c r="AE2190" s="10" t="s">
        <v>16772</v>
      </c>
      <c r="AF2190" s="15"/>
      <c r="AG2190" s="10"/>
      <c r="AH2190" s="10"/>
      <c r="AI2190" s="10"/>
      <c r="AJ2190" s="10"/>
      <c r="AK2190" s="10" t="s">
        <v>102</v>
      </c>
      <c r="AL2190" s="10" t="s">
        <v>7897</v>
      </c>
      <c r="AM2190" s="10"/>
      <c r="AN2190" s="10"/>
      <c r="AO2190" s="13" t="b">
        <v>0</v>
      </c>
      <c r="AP2190" s="22" t="s">
        <v>104</v>
      </c>
      <c r="AQ2190" s="10">
        <f ca="1">IFERROR(__xludf.DUMMYFUNCTION("""COMPUTED_VALUE"""),4660159)</f>
        <v>4660159</v>
      </c>
      <c r="AR2190" s="17">
        <v>4376</v>
      </c>
      <c r="AS2190" s="17">
        <v>3361</v>
      </c>
      <c r="AT2190" s="17">
        <v>52786.5</v>
      </c>
      <c r="AU2190" s="17">
        <v>7.6</v>
      </c>
      <c r="AV2190" s="17">
        <v>0</v>
      </c>
      <c r="AW2190" s="10" t="s">
        <v>105</v>
      </c>
      <c r="AX2190" s="17">
        <v>876</v>
      </c>
      <c r="AY2190" s="18">
        <v>15.705593573341268</v>
      </c>
      <c r="AZ2190" s="10" t="s">
        <v>3783</v>
      </c>
      <c r="BA2190" s="20" t="b">
        <v>0</v>
      </c>
      <c r="BB2190" s="10"/>
      <c r="BC2190" s="17">
        <v>4376</v>
      </c>
      <c r="BD2190" s="17">
        <v>3361</v>
      </c>
      <c r="BE2190" s="17">
        <v>52786.5</v>
      </c>
      <c r="BF2190" s="17">
        <v>0</v>
      </c>
      <c r="BG2190" s="11">
        <f ca="1">IFERROR(__xludf.DUMMYFUNCTION("""COMPUTED_VALUE"""),45951.8125)</f>
        <v>45951.8125</v>
      </c>
      <c r="BH2190" s="17" t="s">
        <v>105</v>
      </c>
      <c r="BI2190" s="17"/>
      <c r="BJ2190" s="15"/>
      <c r="BK2190" s="15"/>
      <c r="BL2190" s="13" t="b">
        <v>0</v>
      </c>
      <c r="BM2190" s="10"/>
      <c r="BN2190" s="10" t="s">
        <v>118</v>
      </c>
      <c r="BO2190" s="11">
        <v>45935.537499999999</v>
      </c>
      <c r="BP2190" s="11">
        <v>45943.491909722223</v>
      </c>
      <c r="BQ2190" s="15">
        <v>45947.39508101852</v>
      </c>
      <c r="BR2190" s="15">
        <v>45949.425694444442</v>
      </c>
      <c r="BS2190" s="10" t="s">
        <v>118</v>
      </c>
      <c r="BT2190" s="10"/>
      <c r="BU2190" s="10"/>
      <c r="BV2190" s="10"/>
      <c r="BW2190" s="10"/>
      <c r="BX2190" s="10"/>
      <c r="BY2190" s="23"/>
      <c r="BZ2190" s="23"/>
      <c r="CA2190" s="19" t="s">
        <v>16773</v>
      </c>
      <c r="CB2190" s="23"/>
      <c r="CC2190" s="23"/>
      <c r="CD2190" s="23"/>
      <c r="CE2190" s="23"/>
      <c r="CF2190" s="23"/>
      <c r="CG2190" s="23"/>
      <c r="CH2190" s="23"/>
      <c r="CI2190" s="23"/>
    </row>
    <row r="2191" spans="1:87" x14ac:dyDescent="0.3">
      <c r="A2191" s="25" t="s">
        <v>16774</v>
      </c>
      <c r="B2191" s="10" t="s">
        <v>16775</v>
      </c>
      <c r="C2191" s="11">
        <v>45952.791666666664</v>
      </c>
      <c r="D2191" s="12">
        <v>8.3333333333333329E-2</v>
      </c>
      <c r="E2191" s="11">
        <v>45952.875</v>
      </c>
      <c r="F2191" s="10" t="s">
        <v>16758</v>
      </c>
      <c r="G2191" s="13" t="b">
        <v>0</v>
      </c>
      <c r="H2191" s="22" t="s">
        <v>16543</v>
      </c>
      <c r="I2191" s="10" t="s">
        <v>212</v>
      </c>
      <c r="J2191" s="13" t="b">
        <v>1</v>
      </c>
      <c r="K2191" s="13" t="b">
        <v>0</v>
      </c>
      <c r="L2191" s="10" t="s">
        <v>124</v>
      </c>
      <c r="M2191" s="10" t="s">
        <v>91</v>
      </c>
      <c r="N2191" s="10" t="s">
        <v>92</v>
      </c>
      <c r="O2191" s="19" t="s">
        <v>16776</v>
      </c>
      <c r="P2191" s="10"/>
      <c r="Q2191" s="10" t="s">
        <v>94</v>
      </c>
      <c r="R2191" s="10"/>
      <c r="S2191" s="19" t="s">
        <v>16777</v>
      </c>
      <c r="T2191" s="10"/>
      <c r="U2191" s="10" t="s">
        <v>16778</v>
      </c>
      <c r="V2191" s="10" t="s">
        <v>16761</v>
      </c>
      <c r="W2191" s="10" t="s">
        <v>16548</v>
      </c>
      <c r="X2191" s="10" t="s">
        <v>16549</v>
      </c>
      <c r="Y2191" s="10" t="s">
        <v>16549</v>
      </c>
      <c r="Z2191" s="10" t="s">
        <v>99</v>
      </c>
      <c r="AA2191" s="10" t="s">
        <v>131</v>
      </c>
      <c r="AB2191" s="10" t="s">
        <v>16550</v>
      </c>
      <c r="AC2191" s="10" t="s">
        <v>16551</v>
      </c>
      <c r="AD2191" s="10" t="s">
        <v>16779</v>
      </c>
      <c r="AE2191" s="10" t="s">
        <v>16780</v>
      </c>
      <c r="AF2191" s="15"/>
      <c r="AG2191" s="10"/>
      <c r="AH2191" s="10"/>
      <c r="AI2191" s="10"/>
      <c r="AJ2191" s="10"/>
      <c r="AK2191" s="10" t="s">
        <v>256</v>
      </c>
      <c r="AL2191" s="10" t="s">
        <v>7897</v>
      </c>
      <c r="AM2191" s="10"/>
      <c r="AN2191" s="10"/>
      <c r="AO2191" s="13" t="b">
        <v>0</v>
      </c>
      <c r="AP2191" s="22" t="s">
        <v>104</v>
      </c>
      <c r="AQ2191" s="10">
        <f ca="1">IFERROR(__xludf.DUMMYFUNCTION("""COMPUTED_VALUE"""),4660167)</f>
        <v>4660167</v>
      </c>
      <c r="AR2191" s="17"/>
      <c r="AS2191" s="17"/>
      <c r="AT2191" s="17"/>
      <c r="AU2191" s="17"/>
      <c r="AV2191" s="17"/>
      <c r="AW2191" s="10"/>
      <c r="AX2191" s="17"/>
      <c r="AY2191" s="18" t="s">
        <v>257</v>
      </c>
      <c r="AZ2191" s="10" t="s">
        <v>3783</v>
      </c>
      <c r="BA2191" s="20" t="b">
        <v>0</v>
      </c>
      <c r="BB2191" s="10"/>
      <c r="BC2191" s="17" t="s">
        <v>257</v>
      </c>
      <c r="BD2191" s="17" t="s">
        <v>257</v>
      </c>
      <c r="BE2191" s="17" t="s">
        <v>257</v>
      </c>
      <c r="BF2191" s="17" t="s">
        <v>257</v>
      </c>
      <c r="BG2191" s="11">
        <f ca="1">IFERROR(__xludf.DUMMYFUNCTION("""COMPUTED_VALUE"""),45952.7916666666)</f>
        <v>45952.791666666599</v>
      </c>
      <c r="BH2191" s="17"/>
      <c r="BI2191" s="17"/>
      <c r="BJ2191" s="15"/>
      <c r="BK2191" s="15"/>
      <c r="BL2191" s="13" t="b">
        <v>0</v>
      </c>
      <c r="BM2191" s="10"/>
      <c r="BN2191" s="10" t="s">
        <v>8437</v>
      </c>
      <c r="BO2191" s="11">
        <v>45935.537499999999</v>
      </c>
      <c r="BP2191" s="11">
        <v>45943.492037037038</v>
      </c>
      <c r="BQ2191" s="15">
        <v>45947.395254629628</v>
      </c>
      <c r="BR2191" s="15">
        <v>45949.427731481483</v>
      </c>
      <c r="BS2191" s="10"/>
      <c r="BT2191" s="10"/>
      <c r="BU2191" s="10"/>
      <c r="BV2191" s="10"/>
      <c r="BW2191" s="10"/>
      <c r="BX2191" s="10"/>
      <c r="BY2191" s="23"/>
      <c r="BZ2191" s="23"/>
      <c r="CA2191" s="19" t="s">
        <v>16781</v>
      </c>
      <c r="CB2191" s="23"/>
      <c r="CC2191" s="23"/>
      <c r="CD2191" s="23"/>
      <c r="CE2191" s="23"/>
      <c r="CF2191" s="23"/>
      <c r="CG2191" s="23"/>
      <c r="CH2191" s="23"/>
      <c r="CI2191" s="23"/>
    </row>
    <row r="2192" spans="1:87" x14ac:dyDescent="0.3">
      <c r="A2192" s="9" t="s">
        <v>16782</v>
      </c>
      <c r="B2192" s="10" t="s">
        <v>16783</v>
      </c>
      <c r="C2192" s="11">
        <v>45952.791666666664</v>
      </c>
      <c r="D2192" s="12">
        <v>8.3333333333333329E-2</v>
      </c>
      <c r="E2192" s="11">
        <v>45952.875</v>
      </c>
      <c r="F2192" s="10" t="s">
        <v>16758</v>
      </c>
      <c r="G2192" s="13" t="b">
        <v>0</v>
      </c>
      <c r="H2192" s="22" t="s">
        <v>16543</v>
      </c>
      <c r="I2192" s="10" t="s">
        <v>212</v>
      </c>
      <c r="J2192" s="13" t="b">
        <v>1</v>
      </c>
      <c r="K2192" s="13" t="b">
        <v>0</v>
      </c>
      <c r="L2192" s="10" t="s">
        <v>124</v>
      </c>
      <c r="M2192" s="10" t="s">
        <v>91</v>
      </c>
      <c r="N2192" s="10" t="s">
        <v>92</v>
      </c>
      <c r="O2192" s="19" t="s">
        <v>16784</v>
      </c>
      <c r="P2192" s="10"/>
      <c r="Q2192" s="10" t="s">
        <v>94</v>
      </c>
      <c r="R2192" s="10"/>
      <c r="S2192" s="19" t="s">
        <v>16785</v>
      </c>
      <c r="T2192" s="10"/>
      <c r="U2192" s="10" t="s">
        <v>16786</v>
      </c>
      <c r="V2192" s="10" t="s">
        <v>16769</v>
      </c>
      <c r="W2192" s="10" t="s">
        <v>16548</v>
      </c>
      <c r="X2192" s="10" t="s">
        <v>16549</v>
      </c>
      <c r="Y2192" s="10" t="s">
        <v>16549</v>
      </c>
      <c r="Z2192" s="10" t="s">
        <v>99</v>
      </c>
      <c r="AA2192" s="10" t="s">
        <v>131</v>
      </c>
      <c r="AB2192" s="10" t="s">
        <v>16550</v>
      </c>
      <c r="AC2192" s="10" t="s">
        <v>16551</v>
      </c>
      <c r="AD2192" s="10" t="s">
        <v>16787</v>
      </c>
      <c r="AE2192" s="10" t="s">
        <v>16788</v>
      </c>
      <c r="AF2192" s="15"/>
      <c r="AG2192" s="10"/>
      <c r="AH2192" s="10"/>
      <c r="AI2192" s="10"/>
      <c r="AJ2192" s="10"/>
      <c r="AK2192" s="10" t="s">
        <v>102</v>
      </c>
      <c r="AL2192" s="10" t="s">
        <v>7897</v>
      </c>
      <c r="AM2192" s="10"/>
      <c r="AN2192" s="10"/>
      <c r="AO2192" s="13" t="b">
        <v>0</v>
      </c>
      <c r="AP2192" s="22" t="s">
        <v>104</v>
      </c>
      <c r="AQ2192" s="10">
        <f ca="1">IFERROR(__xludf.DUMMYFUNCTION("""COMPUTED_VALUE"""),4660168)</f>
        <v>4660168</v>
      </c>
      <c r="AR2192" s="17">
        <v>6362</v>
      </c>
      <c r="AS2192" s="17">
        <v>5131</v>
      </c>
      <c r="AT2192" s="17">
        <v>81540.75</v>
      </c>
      <c r="AU2192" s="17">
        <v>11.85</v>
      </c>
      <c r="AV2192" s="17">
        <v>3.4</v>
      </c>
      <c r="AW2192" s="10" t="s">
        <v>105</v>
      </c>
      <c r="AX2192" s="17">
        <v>1077</v>
      </c>
      <c r="AY2192" s="18">
        <v>15.891785227051257</v>
      </c>
      <c r="AZ2192" s="10" t="s">
        <v>3783</v>
      </c>
      <c r="BA2192" s="20" t="b">
        <v>0</v>
      </c>
      <c r="BB2192" s="10"/>
      <c r="BC2192" s="17">
        <v>6362</v>
      </c>
      <c r="BD2192" s="17">
        <v>5131</v>
      </c>
      <c r="BE2192" s="17">
        <v>81540.75</v>
      </c>
      <c r="BF2192" s="17">
        <v>3.4</v>
      </c>
      <c r="BG2192" s="11">
        <f ca="1">IFERROR(__xludf.DUMMYFUNCTION("""COMPUTED_VALUE"""),45952.7916666666)</f>
        <v>45952.791666666599</v>
      </c>
      <c r="BH2192" s="17" t="s">
        <v>105</v>
      </c>
      <c r="BI2192" s="17"/>
      <c r="BJ2192" s="15"/>
      <c r="BK2192" s="15"/>
      <c r="BL2192" s="13" t="b">
        <v>0</v>
      </c>
      <c r="BM2192" s="10"/>
      <c r="BN2192" s="10" t="s">
        <v>118</v>
      </c>
      <c r="BO2192" s="11">
        <v>45935.538194444445</v>
      </c>
      <c r="BP2192" s="11">
        <v>45943.4921412037</v>
      </c>
      <c r="BQ2192" s="15">
        <v>45947.395335648151</v>
      </c>
      <c r="BR2192" s="15">
        <v>45949.427881944444</v>
      </c>
      <c r="BS2192" s="10" t="s">
        <v>118</v>
      </c>
      <c r="BT2192" s="10"/>
      <c r="BU2192" s="10"/>
      <c r="BV2192" s="10"/>
      <c r="BW2192" s="10"/>
      <c r="BX2192" s="10"/>
      <c r="BY2192" s="23"/>
      <c r="BZ2192" s="23"/>
      <c r="CA2192" s="19" t="s">
        <v>16789</v>
      </c>
      <c r="CB2192" s="23"/>
      <c r="CC2192" s="23"/>
      <c r="CD2192" s="23"/>
      <c r="CE2192" s="23"/>
      <c r="CF2192" s="23"/>
      <c r="CG2192" s="23"/>
      <c r="CH2192" s="23"/>
      <c r="CI2192" s="23"/>
    </row>
    <row r="2193" spans="1:87" x14ac:dyDescent="0.3">
      <c r="A2193" s="9" t="s">
        <v>16790</v>
      </c>
      <c r="B2193" s="10" t="s">
        <v>16791</v>
      </c>
      <c r="C2193" s="11">
        <v>45940.302083333336</v>
      </c>
      <c r="D2193" s="12">
        <v>0.14583333333333334</v>
      </c>
      <c r="E2193" s="11">
        <v>45940.447916666664</v>
      </c>
      <c r="F2193" s="10" t="s">
        <v>15270</v>
      </c>
      <c r="G2193" s="13" t="b">
        <v>0</v>
      </c>
      <c r="H2193" s="22" t="s">
        <v>15271</v>
      </c>
      <c r="I2193" s="10" t="s">
        <v>3213</v>
      </c>
      <c r="J2193" s="13" t="b">
        <v>0</v>
      </c>
      <c r="K2193" s="13" t="b">
        <v>1</v>
      </c>
      <c r="L2193" s="10" t="s">
        <v>124</v>
      </c>
      <c r="M2193" s="10" t="s">
        <v>91</v>
      </c>
      <c r="N2193" s="10" t="s">
        <v>92</v>
      </c>
      <c r="O2193" s="19" t="s">
        <v>16792</v>
      </c>
      <c r="P2193" s="10" t="s">
        <v>3215</v>
      </c>
      <c r="Q2193" s="10" t="s">
        <v>126</v>
      </c>
      <c r="R2193" s="10"/>
      <c r="S2193" s="19" t="s">
        <v>16793</v>
      </c>
      <c r="T2193" s="10"/>
      <c r="U2193" s="10" t="s">
        <v>15664</v>
      </c>
      <c r="V2193" s="10" t="s">
        <v>15299</v>
      </c>
      <c r="W2193" s="10" t="s">
        <v>15276</v>
      </c>
      <c r="X2193" s="10" t="s">
        <v>15277</v>
      </c>
      <c r="Y2193" s="10" t="s">
        <v>15277</v>
      </c>
      <c r="Z2193" s="10" t="s">
        <v>99</v>
      </c>
      <c r="AA2193" s="10" t="s">
        <v>131</v>
      </c>
      <c r="AB2193" s="10" t="s">
        <v>15278</v>
      </c>
      <c r="AC2193" s="10" t="s">
        <v>15279</v>
      </c>
      <c r="AD2193" s="10" t="s">
        <v>165</v>
      </c>
      <c r="AE2193" s="10" t="s">
        <v>16794</v>
      </c>
      <c r="AF2193" s="15"/>
      <c r="AG2193" s="10"/>
      <c r="AH2193" s="10"/>
      <c r="AI2193" s="10"/>
      <c r="AJ2193" s="10"/>
      <c r="AK2193" s="10" t="s">
        <v>102</v>
      </c>
      <c r="AL2193" s="10" t="s">
        <v>176</v>
      </c>
      <c r="AM2193" s="10"/>
      <c r="AN2193" s="10"/>
      <c r="AO2193" s="13" t="b">
        <v>0</v>
      </c>
      <c r="AP2193" s="22" t="s">
        <v>104</v>
      </c>
      <c r="AQ2193" s="10">
        <f ca="1">IFERROR(__xludf.DUMMYFUNCTION("""COMPUTED_VALUE"""),4640076)</f>
        <v>4640076</v>
      </c>
      <c r="AR2193" s="17">
        <v>3567</v>
      </c>
      <c r="AS2193" s="17">
        <v>2634</v>
      </c>
      <c r="AT2193" s="17">
        <v>54084.75</v>
      </c>
      <c r="AU2193" s="17">
        <v>10.4</v>
      </c>
      <c r="AV2193" s="17">
        <v>2</v>
      </c>
      <c r="AW2193" s="10" t="s">
        <v>105</v>
      </c>
      <c r="AX2193" s="17">
        <v>499</v>
      </c>
      <c r="AY2193" s="18">
        <v>20.533314350797266</v>
      </c>
      <c r="AZ2193" s="10"/>
      <c r="BA2193" s="20" t="b">
        <v>0</v>
      </c>
      <c r="BB2193" s="10"/>
      <c r="BC2193" s="17">
        <v>3567</v>
      </c>
      <c r="BD2193" s="17">
        <v>2634</v>
      </c>
      <c r="BE2193" s="17">
        <v>54084.75</v>
      </c>
      <c r="BF2193" s="17">
        <v>2</v>
      </c>
      <c r="BG2193" s="11">
        <f ca="1">IFERROR(__xludf.DUMMYFUNCTION("""COMPUTED_VALUE"""),45940.3020833333)</f>
        <v>45940.302083333299</v>
      </c>
      <c r="BH2193" s="17" t="s">
        <v>105</v>
      </c>
      <c r="BI2193" s="17"/>
      <c r="BJ2193" s="15"/>
      <c r="BK2193" s="15"/>
      <c r="BL2193" s="13" t="b">
        <v>0</v>
      </c>
      <c r="BM2193" s="10"/>
      <c r="BN2193" s="10" t="s">
        <v>118</v>
      </c>
      <c r="BO2193" s="11">
        <v>45936.660416666666</v>
      </c>
      <c r="BP2193" s="11">
        <v>45939.672453703701</v>
      </c>
      <c r="BQ2193" s="15">
        <v>45939.600324074076</v>
      </c>
      <c r="BR2193" s="15">
        <v>45939.687476851854</v>
      </c>
      <c r="BS2193" s="10" t="s">
        <v>118</v>
      </c>
      <c r="BT2193" s="10"/>
      <c r="BU2193" s="10"/>
      <c r="BV2193" s="10"/>
      <c r="BW2193" s="10"/>
      <c r="BX2193" s="10"/>
      <c r="BY2193" s="23"/>
      <c r="BZ2193" s="23"/>
      <c r="CA2193" s="19" t="s">
        <v>16795</v>
      </c>
      <c r="CB2193" s="23"/>
      <c r="CC2193" s="23"/>
      <c r="CD2193" s="19" t="s">
        <v>16796</v>
      </c>
      <c r="CE2193" s="23"/>
      <c r="CF2193" s="23"/>
      <c r="CG2193" s="23"/>
      <c r="CH2193" s="23"/>
      <c r="CI2193" s="23"/>
    </row>
    <row r="2194" spans="1:87" x14ac:dyDescent="0.3">
      <c r="A2194" s="9" t="s">
        <v>16797</v>
      </c>
      <c r="B2194" s="10" t="s">
        <v>16798</v>
      </c>
      <c r="C2194" s="11">
        <v>45943</v>
      </c>
      <c r="D2194" s="12">
        <v>0.1423611111111111</v>
      </c>
      <c r="E2194" s="11">
        <v>45943.142361111109</v>
      </c>
      <c r="F2194" s="10" t="s">
        <v>15270</v>
      </c>
      <c r="G2194" s="13" t="b">
        <v>0</v>
      </c>
      <c r="H2194" s="22" t="s">
        <v>15271</v>
      </c>
      <c r="I2194" s="10" t="s">
        <v>3213</v>
      </c>
      <c r="J2194" s="13" t="b">
        <v>0</v>
      </c>
      <c r="K2194" s="13" t="b">
        <v>1</v>
      </c>
      <c r="L2194" s="10" t="s">
        <v>124</v>
      </c>
      <c r="M2194" s="10" t="s">
        <v>91</v>
      </c>
      <c r="N2194" s="10" t="s">
        <v>92</v>
      </c>
      <c r="O2194" s="19" t="s">
        <v>16799</v>
      </c>
      <c r="P2194" s="10" t="s">
        <v>3215</v>
      </c>
      <c r="Q2194" s="10" t="s">
        <v>126</v>
      </c>
      <c r="R2194" s="10"/>
      <c r="S2194" s="19" t="s">
        <v>16800</v>
      </c>
      <c r="T2194" s="10"/>
      <c r="U2194" s="10" t="s">
        <v>15518</v>
      </c>
      <c r="V2194" s="10" t="s">
        <v>15987</v>
      </c>
      <c r="W2194" s="10" t="s">
        <v>15276</v>
      </c>
      <c r="X2194" s="10" t="s">
        <v>15277</v>
      </c>
      <c r="Y2194" s="10" t="s">
        <v>15277</v>
      </c>
      <c r="Z2194" s="10" t="s">
        <v>99</v>
      </c>
      <c r="AA2194" s="10" t="s">
        <v>131</v>
      </c>
      <c r="AB2194" s="10" t="s">
        <v>15278</v>
      </c>
      <c r="AC2194" s="10" t="s">
        <v>15279</v>
      </c>
      <c r="AD2194" s="10" t="s">
        <v>165</v>
      </c>
      <c r="AE2194" s="10" t="s">
        <v>16801</v>
      </c>
      <c r="AF2194" s="15"/>
      <c r="AG2194" s="10"/>
      <c r="AH2194" s="10"/>
      <c r="AI2194" s="10"/>
      <c r="AJ2194" s="10"/>
      <c r="AK2194" s="10" t="s">
        <v>102</v>
      </c>
      <c r="AL2194" s="10" t="s">
        <v>176</v>
      </c>
      <c r="AM2194" s="10"/>
      <c r="AN2194" s="10"/>
      <c r="AO2194" s="13" t="b">
        <v>0</v>
      </c>
      <c r="AP2194" s="22" t="s">
        <v>104</v>
      </c>
      <c r="AQ2194" s="10">
        <f ca="1">IFERROR(__xludf.DUMMYFUNCTION("""COMPUTED_VALUE"""),4645310)</f>
        <v>4645310</v>
      </c>
      <c r="AR2194" s="17">
        <v>1775</v>
      </c>
      <c r="AS2194" s="17">
        <v>1484</v>
      </c>
      <c r="AT2194" s="17">
        <v>36277</v>
      </c>
      <c r="AU2194" s="17">
        <v>3.65</v>
      </c>
      <c r="AV2194" s="17">
        <v>1.85</v>
      </c>
      <c r="AW2194" s="10" t="s">
        <v>105</v>
      </c>
      <c r="AX2194" s="17">
        <v>316</v>
      </c>
      <c r="AY2194" s="18">
        <v>24.445417789757414</v>
      </c>
      <c r="AZ2194" s="10"/>
      <c r="BA2194" s="20" t="b">
        <v>0</v>
      </c>
      <c r="BB2194" s="10"/>
      <c r="BC2194" s="17">
        <v>1775</v>
      </c>
      <c r="BD2194" s="17">
        <v>1484</v>
      </c>
      <c r="BE2194" s="17">
        <v>36277</v>
      </c>
      <c r="BF2194" s="17">
        <v>1.85</v>
      </c>
      <c r="BG2194" s="11">
        <f ca="1">IFERROR(__xludf.DUMMYFUNCTION("""COMPUTED_VALUE"""),45943)</f>
        <v>45943</v>
      </c>
      <c r="BH2194" s="17" t="s">
        <v>105</v>
      </c>
      <c r="BI2194" s="17"/>
      <c r="BJ2194" s="15"/>
      <c r="BK2194" s="15"/>
      <c r="BL2194" s="13" t="b">
        <v>0</v>
      </c>
      <c r="BM2194" s="10"/>
      <c r="BN2194" s="10" t="s">
        <v>920</v>
      </c>
      <c r="BO2194" s="11">
        <v>45936.661111111112</v>
      </c>
      <c r="BP2194" s="11">
        <v>45936.661134259259</v>
      </c>
      <c r="BQ2194" s="15">
        <v>45942.44290509259</v>
      </c>
      <c r="BR2194" s="15">
        <v>45942.446793981479</v>
      </c>
      <c r="BS2194" s="10" t="s">
        <v>920</v>
      </c>
      <c r="BT2194" s="10"/>
      <c r="BU2194" s="10"/>
      <c r="BV2194" s="10"/>
      <c r="BW2194" s="10"/>
      <c r="BX2194" s="10"/>
      <c r="BY2194" s="23"/>
      <c r="BZ2194" s="23"/>
      <c r="CA2194" s="19" t="s">
        <v>16802</v>
      </c>
      <c r="CB2194" s="23"/>
      <c r="CC2194" s="23"/>
      <c r="CD2194" s="19" t="s">
        <v>16803</v>
      </c>
      <c r="CE2194" s="23"/>
      <c r="CF2194" s="23"/>
      <c r="CG2194" s="23"/>
      <c r="CH2194" s="23"/>
      <c r="CI2194" s="23"/>
    </row>
    <row r="2195" spans="1:87" x14ac:dyDescent="0.3">
      <c r="A2195" s="9" t="s">
        <v>16804</v>
      </c>
      <c r="B2195" s="10" t="s">
        <v>16805</v>
      </c>
      <c r="C2195" s="11">
        <v>45943.142361111109</v>
      </c>
      <c r="D2195" s="12">
        <v>0.1423611111111111</v>
      </c>
      <c r="E2195" s="11">
        <v>45943.284722222219</v>
      </c>
      <c r="F2195" s="10" t="s">
        <v>15270</v>
      </c>
      <c r="G2195" s="13" t="b">
        <v>0</v>
      </c>
      <c r="H2195" s="22" t="s">
        <v>15271</v>
      </c>
      <c r="I2195" s="10" t="s">
        <v>3213</v>
      </c>
      <c r="J2195" s="13" t="b">
        <v>0</v>
      </c>
      <c r="K2195" s="13" t="b">
        <v>1</v>
      </c>
      <c r="L2195" s="10" t="s">
        <v>124</v>
      </c>
      <c r="M2195" s="10" t="s">
        <v>91</v>
      </c>
      <c r="N2195" s="10" t="s">
        <v>92</v>
      </c>
      <c r="O2195" s="19" t="s">
        <v>16806</v>
      </c>
      <c r="P2195" s="10" t="s">
        <v>3215</v>
      </c>
      <c r="Q2195" s="10" t="s">
        <v>126</v>
      </c>
      <c r="R2195" s="10"/>
      <c r="S2195" s="19" t="s">
        <v>16807</v>
      </c>
      <c r="T2195" s="10"/>
      <c r="U2195" s="10" t="s">
        <v>15317</v>
      </c>
      <c r="V2195" s="10" t="s">
        <v>15654</v>
      </c>
      <c r="W2195" s="10" t="s">
        <v>15276</v>
      </c>
      <c r="X2195" s="10" t="s">
        <v>15277</v>
      </c>
      <c r="Y2195" s="10" t="s">
        <v>15277</v>
      </c>
      <c r="Z2195" s="10" t="s">
        <v>99</v>
      </c>
      <c r="AA2195" s="10" t="s">
        <v>131</v>
      </c>
      <c r="AB2195" s="10" t="s">
        <v>15278</v>
      </c>
      <c r="AC2195" s="10" t="s">
        <v>15279</v>
      </c>
      <c r="AD2195" s="10" t="s">
        <v>165</v>
      </c>
      <c r="AE2195" s="10" t="s">
        <v>16808</v>
      </c>
      <c r="AF2195" s="15"/>
      <c r="AG2195" s="10"/>
      <c r="AH2195" s="10"/>
      <c r="AI2195" s="10"/>
      <c r="AJ2195" s="10"/>
      <c r="AK2195" s="10" t="s">
        <v>102</v>
      </c>
      <c r="AL2195" s="10" t="s">
        <v>176</v>
      </c>
      <c r="AM2195" s="10"/>
      <c r="AN2195" s="10"/>
      <c r="AO2195" s="13" t="b">
        <v>0</v>
      </c>
      <c r="AP2195" s="22" t="s">
        <v>104</v>
      </c>
      <c r="AQ2195" s="10">
        <f ca="1">IFERROR(__xludf.DUMMYFUNCTION("""COMPUTED_VALUE"""),4645351)</f>
        <v>4645351</v>
      </c>
      <c r="AR2195" s="17">
        <v>1662</v>
      </c>
      <c r="AS2195" s="17">
        <v>1372</v>
      </c>
      <c r="AT2195" s="17">
        <v>28043.5</v>
      </c>
      <c r="AU2195" s="17">
        <v>1</v>
      </c>
      <c r="AV2195" s="17">
        <v>0</v>
      </c>
      <c r="AW2195" s="10" t="s">
        <v>105</v>
      </c>
      <c r="AX2195" s="17">
        <v>339</v>
      </c>
      <c r="AY2195" s="18">
        <v>20.439868804664723</v>
      </c>
      <c r="AZ2195" s="10"/>
      <c r="BA2195" s="20" t="b">
        <v>0</v>
      </c>
      <c r="BB2195" s="10"/>
      <c r="BC2195" s="17">
        <v>1662</v>
      </c>
      <c r="BD2195" s="17">
        <v>1372</v>
      </c>
      <c r="BE2195" s="17">
        <v>28043.5</v>
      </c>
      <c r="BF2195" s="17">
        <v>0</v>
      </c>
      <c r="BG2195" s="11">
        <f ca="1">IFERROR(__xludf.DUMMYFUNCTION("""COMPUTED_VALUE"""),45943.1423611111)</f>
        <v>45943.142361111102</v>
      </c>
      <c r="BH2195" s="17" t="s">
        <v>105</v>
      </c>
      <c r="BI2195" s="17"/>
      <c r="BJ2195" s="15"/>
      <c r="BK2195" s="15"/>
      <c r="BL2195" s="13" t="b">
        <v>0</v>
      </c>
      <c r="BM2195" s="10"/>
      <c r="BN2195" s="10" t="s">
        <v>157</v>
      </c>
      <c r="BO2195" s="11">
        <v>45936.661805555559</v>
      </c>
      <c r="BP2195" s="11">
        <v>45936.662395833337</v>
      </c>
      <c r="BQ2195" s="15">
        <v>45942.581805555557</v>
      </c>
      <c r="BR2195" s="15">
        <v>45942.635694444441</v>
      </c>
      <c r="BS2195" s="10" t="s">
        <v>157</v>
      </c>
      <c r="BT2195" s="10"/>
      <c r="BU2195" s="10"/>
      <c r="BV2195" s="10"/>
      <c r="BW2195" s="10"/>
      <c r="BX2195" s="10"/>
      <c r="BY2195" s="23"/>
      <c r="BZ2195" s="23"/>
      <c r="CA2195" s="19" t="s">
        <v>16809</v>
      </c>
      <c r="CB2195" s="23"/>
      <c r="CC2195" s="23"/>
      <c r="CD2195" s="19" t="s">
        <v>16810</v>
      </c>
      <c r="CE2195" s="23"/>
      <c r="CF2195" s="23"/>
      <c r="CG2195" s="23"/>
      <c r="CH2195" s="23"/>
      <c r="CI2195" s="23"/>
    </row>
    <row r="2196" spans="1:87" x14ac:dyDescent="0.3">
      <c r="A2196" s="9" t="s">
        <v>16811</v>
      </c>
      <c r="B2196" s="10" t="s">
        <v>16812</v>
      </c>
      <c r="C2196" s="11">
        <v>45943.305555555555</v>
      </c>
      <c r="D2196" s="12">
        <v>0.14583333333333334</v>
      </c>
      <c r="E2196" s="11">
        <v>45943.451388888891</v>
      </c>
      <c r="F2196" s="10" t="s">
        <v>15270</v>
      </c>
      <c r="G2196" s="13" t="b">
        <v>0</v>
      </c>
      <c r="H2196" s="22" t="s">
        <v>15271</v>
      </c>
      <c r="I2196" s="10" t="s">
        <v>3213</v>
      </c>
      <c r="J2196" s="13" t="b">
        <v>0</v>
      </c>
      <c r="K2196" s="13" t="b">
        <v>1</v>
      </c>
      <c r="L2196" s="10" t="s">
        <v>124</v>
      </c>
      <c r="M2196" s="10" t="s">
        <v>91</v>
      </c>
      <c r="N2196" s="10" t="s">
        <v>92</v>
      </c>
      <c r="O2196" s="19" t="s">
        <v>16813</v>
      </c>
      <c r="P2196" s="10" t="s">
        <v>3215</v>
      </c>
      <c r="Q2196" s="10" t="s">
        <v>126</v>
      </c>
      <c r="R2196" s="10"/>
      <c r="S2196" s="19" t="s">
        <v>16814</v>
      </c>
      <c r="T2196" s="10"/>
      <c r="U2196" s="10" t="s">
        <v>15298</v>
      </c>
      <c r="V2196" s="10" t="s">
        <v>15289</v>
      </c>
      <c r="W2196" s="10" t="s">
        <v>15276</v>
      </c>
      <c r="X2196" s="10" t="s">
        <v>15277</v>
      </c>
      <c r="Y2196" s="10" t="s">
        <v>15277</v>
      </c>
      <c r="Z2196" s="10" t="s">
        <v>99</v>
      </c>
      <c r="AA2196" s="10" t="s">
        <v>131</v>
      </c>
      <c r="AB2196" s="10" t="s">
        <v>15278</v>
      </c>
      <c r="AC2196" s="10" t="s">
        <v>15279</v>
      </c>
      <c r="AD2196" s="10" t="s">
        <v>165</v>
      </c>
      <c r="AE2196" s="10" t="s">
        <v>16815</v>
      </c>
      <c r="AF2196" s="15"/>
      <c r="AG2196" s="10"/>
      <c r="AH2196" s="10"/>
      <c r="AI2196" s="10"/>
      <c r="AJ2196" s="10"/>
      <c r="AK2196" s="10" t="s">
        <v>102</v>
      </c>
      <c r="AL2196" s="10" t="s">
        <v>176</v>
      </c>
      <c r="AM2196" s="10"/>
      <c r="AN2196" s="10"/>
      <c r="AO2196" s="13" t="b">
        <v>0</v>
      </c>
      <c r="AP2196" s="22" t="s">
        <v>104</v>
      </c>
      <c r="AQ2196" s="10">
        <f ca="1">IFERROR(__xludf.DUMMYFUNCTION("""COMPUTED_VALUE"""),4645352)</f>
        <v>4645352</v>
      </c>
      <c r="AR2196" s="17">
        <v>3272</v>
      </c>
      <c r="AS2196" s="17">
        <v>2223</v>
      </c>
      <c r="AT2196" s="17">
        <v>59918.75</v>
      </c>
      <c r="AU2196" s="17">
        <v>10.65</v>
      </c>
      <c r="AV2196" s="17">
        <v>2</v>
      </c>
      <c r="AW2196" s="10" t="s">
        <v>105</v>
      </c>
      <c r="AX2196" s="17">
        <v>573</v>
      </c>
      <c r="AY2196" s="18">
        <v>26.954003598740442</v>
      </c>
      <c r="AZ2196" s="10"/>
      <c r="BA2196" s="20" t="b">
        <v>0</v>
      </c>
      <c r="BB2196" s="10"/>
      <c r="BC2196" s="17">
        <v>3272</v>
      </c>
      <c r="BD2196" s="17">
        <v>2223</v>
      </c>
      <c r="BE2196" s="17">
        <v>59918.75</v>
      </c>
      <c r="BF2196" s="17">
        <v>2</v>
      </c>
      <c r="BG2196" s="11">
        <f ca="1">IFERROR(__xludf.DUMMYFUNCTION("""COMPUTED_VALUE"""),45943.3055555555)</f>
        <v>45943.305555555497</v>
      </c>
      <c r="BH2196" s="17" t="s">
        <v>105</v>
      </c>
      <c r="BI2196" s="17"/>
      <c r="BJ2196" s="15"/>
      <c r="BK2196" s="15"/>
      <c r="BL2196" s="13" t="b">
        <v>0</v>
      </c>
      <c r="BM2196" s="10"/>
      <c r="BN2196" s="10" t="s">
        <v>157</v>
      </c>
      <c r="BO2196" s="11">
        <v>45936.662499999999</v>
      </c>
      <c r="BP2196" s="11">
        <v>45936.663506944446</v>
      </c>
      <c r="BQ2196" s="15">
        <v>45942.582418981481</v>
      </c>
      <c r="BR2196" s="15">
        <v>45942.636400462965</v>
      </c>
      <c r="BS2196" s="10" t="s">
        <v>157</v>
      </c>
      <c r="BT2196" s="10"/>
      <c r="BU2196" s="10"/>
      <c r="BV2196" s="10"/>
      <c r="BW2196" s="10"/>
      <c r="BX2196" s="10"/>
      <c r="BY2196" s="23"/>
      <c r="BZ2196" s="23"/>
      <c r="CA2196" s="19" t="s">
        <v>16816</v>
      </c>
      <c r="CB2196" s="23"/>
      <c r="CC2196" s="23"/>
      <c r="CD2196" s="19" t="s">
        <v>16817</v>
      </c>
      <c r="CE2196" s="23"/>
      <c r="CF2196" s="23"/>
      <c r="CG2196" s="23"/>
      <c r="CH2196" s="23"/>
      <c r="CI2196" s="23"/>
    </row>
    <row r="2197" spans="1:87" x14ac:dyDescent="0.3">
      <c r="A2197" s="9" t="s">
        <v>16818</v>
      </c>
      <c r="B2197" s="10" t="s">
        <v>16819</v>
      </c>
      <c r="C2197" s="11">
        <v>45944.260416666664</v>
      </c>
      <c r="D2197" s="12">
        <v>0.14583333333333334</v>
      </c>
      <c r="E2197" s="11">
        <v>45944.40625</v>
      </c>
      <c r="F2197" s="10" t="s">
        <v>15270</v>
      </c>
      <c r="G2197" s="13" t="b">
        <v>0</v>
      </c>
      <c r="H2197" s="22" t="s">
        <v>15271</v>
      </c>
      <c r="I2197" s="10" t="s">
        <v>3213</v>
      </c>
      <c r="J2197" s="13" t="b">
        <v>0</v>
      </c>
      <c r="K2197" s="13" t="b">
        <v>1</v>
      </c>
      <c r="L2197" s="10" t="s">
        <v>124</v>
      </c>
      <c r="M2197" s="10" t="s">
        <v>91</v>
      </c>
      <c r="N2197" s="10" t="s">
        <v>92</v>
      </c>
      <c r="O2197" s="19" t="s">
        <v>16820</v>
      </c>
      <c r="P2197" s="10" t="s">
        <v>88</v>
      </c>
      <c r="Q2197" s="10" t="s">
        <v>126</v>
      </c>
      <c r="R2197" s="10"/>
      <c r="S2197" s="19" t="s">
        <v>16821</v>
      </c>
      <c r="T2197" s="10"/>
      <c r="U2197" s="10" t="s">
        <v>15308</v>
      </c>
      <c r="V2197" s="10" t="s">
        <v>15637</v>
      </c>
      <c r="W2197" s="10" t="s">
        <v>15276</v>
      </c>
      <c r="X2197" s="10" t="s">
        <v>15277</v>
      </c>
      <c r="Y2197" s="10" t="s">
        <v>15277</v>
      </c>
      <c r="Z2197" s="10" t="s">
        <v>99</v>
      </c>
      <c r="AA2197" s="10" t="s">
        <v>131</v>
      </c>
      <c r="AB2197" s="10" t="s">
        <v>15278</v>
      </c>
      <c r="AC2197" s="10" t="s">
        <v>15279</v>
      </c>
      <c r="AD2197" s="10" t="s">
        <v>165</v>
      </c>
      <c r="AE2197" s="10" t="s">
        <v>16822</v>
      </c>
      <c r="AF2197" s="15"/>
      <c r="AG2197" s="10"/>
      <c r="AH2197" s="10"/>
      <c r="AI2197" s="10"/>
      <c r="AJ2197" s="10"/>
      <c r="AK2197" s="10" t="s">
        <v>102</v>
      </c>
      <c r="AL2197" s="10" t="s">
        <v>176</v>
      </c>
      <c r="AM2197" s="10"/>
      <c r="AN2197" s="10"/>
      <c r="AO2197" s="13" t="b">
        <v>0</v>
      </c>
      <c r="AP2197" s="22" t="s">
        <v>104</v>
      </c>
      <c r="AQ2197" s="10">
        <f ca="1">IFERROR(__xludf.DUMMYFUNCTION("""COMPUTED_VALUE"""),4650060)</f>
        <v>4650060</v>
      </c>
      <c r="AR2197" s="17">
        <v>2949</v>
      </c>
      <c r="AS2197" s="17">
        <v>2054</v>
      </c>
      <c r="AT2197" s="17">
        <v>38761.5</v>
      </c>
      <c r="AU2197" s="17">
        <v>4.5999999999999996</v>
      </c>
      <c r="AV2197" s="17">
        <v>1.4</v>
      </c>
      <c r="AW2197" s="10" t="s">
        <v>105</v>
      </c>
      <c r="AX2197" s="17">
        <v>353</v>
      </c>
      <c r="AY2197" s="18">
        <v>18.871226874391432</v>
      </c>
      <c r="AZ2197" s="10"/>
      <c r="BA2197" s="20" t="b">
        <v>0</v>
      </c>
      <c r="BB2197" s="10"/>
      <c r="BC2197" s="17">
        <v>2949</v>
      </c>
      <c r="BD2197" s="17">
        <v>2054</v>
      </c>
      <c r="BE2197" s="17">
        <v>38761.5</v>
      </c>
      <c r="BF2197" s="17">
        <v>1.4</v>
      </c>
      <c r="BG2197" s="11">
        <f ca="1">IFERROR(__xludf.DUMMYFUNCTION("""COMPUTED_VALUE"""),45944.2604166666)</f>
        <v>45944.260416666599</v>
      </c>
      <c r="BH2197" s="17" t="s">
        <v>105</v>
      </c>
      <c r="BI2197" s="17"/>
      <c r="BJ2197" s="15"/>
      <c r="BK2197" s="15"/>
      <c r="BL2197" s="13" t="b">
        <v>0</v>
      </c>
      <c r="BM2197" s="10"/>
      <c r="BN2197" s="10" t="s">
        <v>118</v>
      </c>
      <c r="BO2197" s="11">
        <v>45936.663194444445</v>
      </c>
      <c r="BP2197" s="11">
        <v>45936.663576388892</v>
      </c>
      <c r="BQ2197" s="15">
        <v>45942.58326388889</v>
      </c>
      <c r="BR2197" s="15">
        <v>45943.757002314815</v>
      </c>
      <c r="BS2197" s="10" t="s">
        <v>118</v>
      </c>
      <c r="BT2197" s="10"/>
      <c r="BU2197" s="10"/>
      <c r="BV2197" s="10"/>
      <c r="BW2197" s="10"/>
      <c r="BX2197" s="10"/>
      <c r="BY2197" s="23"/>
      <c r="BZ2197" s="23"/>
      <c r="CA2197" s="19" t="s">
        <v>16823</v>
      </c>
      <c r="CB2197" s="23"/>
      <c r="CC2197" s="23"/>
      <c r="CD2197" s="19" t="s">
        <v>16824</v>
      </c>
      <c r="CE2197" s="23"/>
      <c r="CF2197" s="23"/>
      <c r="CG2197" s="23"/>
      <c r="CH2197" s="23"/>
      <c r="CI2197" s="23"/>
    </row>
    <row r="2198" spans="1:87" x14ac:dyDescent="0.3">
      <c r="A2198" s="9" t="s">
        <v>16825</v>
      </c>
      <c r="B2198" s="10" t="s">
        <v>16826</v>
      </c>
      <c r="C2198" s="11">
        <v>45944.302083333336</v>
      </c>
      <c r="D2198" s="12">
        <v>0.14583333333333334</v>
      </c>
      <c r="E2198" s="11">
        <v>45944.447916666664</v>
      </c>
      <c r="F2198" s="10" t="s">
        <v>15270</v>
      </c>
      <c r="G2198" s="13" t="b">
        <v>0</v>
      </c>
      <c r="H2198" s="22" t="s">
        <v>15271</v>
      </c>
      <c r="I2198" s="10" t="s">
        <v>3213</v>
      </c>
      <c r="J2198" s="13" t="b">
        <v>0</v>
      </c>
      <c r="K2198" s="13" t="b">
        <v>1</v>
      </c>
      <c r="L2198" s="10" t="s">
        <v>124</v>
      </c>
      <c r="M2198" s="10" t="s">
        <v>91</v>
      </c>
      <c r="N2198" s="10" t="s">
        <v>92</v>
      </c>
      <c r="O2198" s="19" t="s">
        <v>16827</v>
      </c>
      <c r="P2198" s="10" t="s">
        <v>3215</v>
      </c>
      <c r="Q2198" s="10" t="s">
        <v>126</v>
      </c>
      <c r="R2198" s="10"/>
      <c r="S2198" s="19" t="s">
        <v>16828</v>
      </c>
      <c r="T2198" s="10"/>
      <c r="U2198" s="10" t="s">
        <v>15275</v>
      </c>
      <c r="V2198" s="10" t="s">
        <v>15290</v>
      </c>
      <c r="W2198" s="10" t="s">
        <v>15276</v>
      </c>
      <c r="X2198" s="10" t="s">
        <v>15277</v>
      </c>
      <c r="Y2198" s="10" t="s">
        <v>15277</v>
      </c>
      <c r="Z2198" s="10" t="s">
        <v>99</v>
      </c>
      <c r="AA2198" s="10" t="s">
        <v>131</v>
      </c>
      <c r="AB2198" s="10" t="s">
        <v>15278</v>
      </c>
      <c r="AC2198" s="10" t="s">
        <v>15279</v>
      </c>
      <c r="AD2198" s="10" t="s">
        <v>165</v>
      </c>
      <c r="AE2198" s="10" t="s">
        <v>16829</v>
      </c>
      <c r="AF2198" s="15"/>
      <c r="AG2198" s="10"/>
      <c r="AH2198" s="10"/>
      <c r="AI2198" s="10"/>
      <c r="AJ2198" s="10"/>
      <c r="AK2198" s="10" t="s">
        <v>102</v>
      </c>
      <c r="AL2198" s="10" t="s">
        <v>176</v>
      </c>
      <c r="AM2198" s="10"/>
      <c r="AN2198" s="10"/>
      <c r="AO2198" s="13" t="b">
        <v>0</v>
      </c>
      <c r="AP2198" s="22" t="s">
        <v>104</v>
      </c>
      <c r="AQ2198" s="10">
        <f ca="1">IFERROR(__xludf.DUMMYFUNCTION("""COMPUTED_VALUE"""),4650059)</f>
        <v>4650059</v>
      </c>
      <c r="AR2198" s="17">
        <v>2277</v>
      </c>
      <c r="AS2198" s="17">
        <v>1545</v>
      </c>
      <c r="AT2198" s="17">
        <v>26844.25</v>
      </c>
      <c r="AU2198" s="17">
        <v>4.05</v>
      </c>
      <c r="AV2198" s="17">
        <v>0.35</v>
      </c>
      <c r="AW2198" s="10" t="s">
        <v>105</v>
      </c>
      <c r="AX2198" s="17">
        <v>381</v>
      </c>
      <c r="AY2198" s="18">
        <v>17.374919093851133</v>
      </c>
      <c r="AZ2198" s="10"/>
      <c r="BA2198" s="20" t="b">
        <v>0</v>
      </c>
      <c r="BB2198" s="10"/>
      <c r="BC2198" s="17">
        <v>2277</v>
      </c>
      <c r="BD2198" s="17">
        <v>1545</v>
      </c>
      <c r="BE2198" s="17">
        <v>26844.25</v>
      </c>
      <c r="BF2198" s="17">
        <v>0.35</v>
      </c>
      <c r="BG2198" s="11">
        <f ca="1">IFERROR(__xludf.DUMMYFUNCTION("""COMPUTED_VALUE"""),45944.3020833333)</f>
        <v>45944.302083333299</v>
      </c>
      <c r="BH2198" s="17" t="s">
        <v>105</v>
      </c>
      <c r="BI2198" s="17"/>
      <c r="BJ2198" s="15"/>
      <c r="BK2198" s="15"/>
      <c r="BL2198" s="13" t="b">
        <v>0</v>
      </c>
      <c r="BM2198" s="10"/>
      <c r="BN2198" s="10" t="s">
        <v>118</v>
      </c>
      <c r="BO2198" s="11">
        <v>45936.663888888892</v>
      </c>
      <c r="BP2198" s="11">
        <v>45942.645150462966</v>
      </c>
      <c r="BQ2198" s="15">
        <v>45942.583414351851</v>
      </c>
      <c r="BR2198" s="15">
        <v>45943.75681712963</v>
      </c>
      <c r="BS2198" s="10" t="s">
        <v>118</v>
      </c>
      <c r="BT2198" s="10"/>
      <c r="BU2198" s="10"/>
      <c r="BV2198" s="10"/>
      <c r="BW2198" s="10"/>
      <c r="BX2198" s="10"/>
      <c r="BY2198" s="23"/>
      <c r="BZ2198" s="23"/>
      <c r="CA2198" s="19" t="s">
        <v>16830</v>
      </c>
      <c r="CB2198" s="23"/>
      <c r="CC2198" s="23"/>
      <c r="CD2198" s="19" t="s">
        <v>16831</v>
      </c>
      <c r="CE2198" s="23"/>
      <c r="CF2198" s="23"/>
      <c r="CG2198" s="23"/>
      <c r="CH2198" s="23"/>
      <c r="CI2198" s="23"/>
    </row>
    <row r="2199" spans="1:87" x14ac:dyDescent="0.3">
      <c r="A2199" s="9" t="s">
        <v>16832</v>
      </c>
      <c r="B2199" s="10" t="s">
        <v>16833</v>
      </c>
      <c r="C2199" s="11">
        <v>45945.989583333336</v>
      </c>
      <c r="D2199" s="12">
        <v>8.3333333333333329E-2</v>
      </c>
      <c r="E2199" s="11">
        <v>45946.072916666664</v>
      </c>
      <c r="F2199" s="10" t="s">
        <v>16149</v>
      </c>
      <c r="G2199" s="13" t="b">
        <v>0</v>
      </c>
      <c r="H2199" s="22" t="s">
        <v>3564</v>
      </c>
      <c r="I2199" s="10" t="s">
        <v>89</v>
      </c>
      <c r="J2199" s="13" t="b">
        <v>0</v>
      </c>
      <c r="K2199" s="13" t="b">
        <v>1</v>
      </c>
      <c r="L2199" s="10" t="s">
        <v>124</v>
      </c>
      <c r="M2199" s="10" t="s">
        <v>91</v>
      </c>
      <c r="N2199" s="10" t="s">
        <v>92</v>
      </c>
      <c r="O2199" s="19" t="s">
        <v>16834</v>
      </c>
      <c r="P2199" s="10"/>
      <c r="Q2199" s="10" t="s">
        <v>94</v>
      </c>
      <c r="R2199" s="10"/>
      <c r="S2199" s="19" t="s">
        <v>16835</v>
      </c>
      <c r="T2199" s="10"/>
      <c r="U2199" s="10" t="s">
        <v>16210</v>
      </c>
      <c r="V2199" s="10" t="s">
        <v>16227</v>
      </c>
      <c r="W2199" s="10" t="s">
        <v>16154</v>
      </c>
      <c r="X2199" s="10" t="s">
        <v>130</v>
      </c>
      <c r="Y2199" s="10" t="s">
        <v>130</v>
      </c>
      <c r="Z2199" s="10" t="s">
        <v>99</v>
      </c>
      <c r="AA2199" s="10" t="s">
        <v>131</v>
      </c>
      <c r="AB2199" s="10" t="s">
        <v>16155</v>
      </c>
      <c r="AC2199" s="10" t="s">
        <v>3571</v>
      </c>
      <c r="AD2199" s="10" t="s">
        <v>16836</v>
      </c>
      <c r="AE2199" s="10" t="s">
        <v>16837</v>
      </c>
      <c r="AF2199" s="15"/>
      <c r="AG2199" s="10"/>
      <c r="AH2199" s="10"/>
      <c r="AI2199" s="10"/>
      <c r="AJ2199" s="10"/>
      <c r="AK2199" s="10" t="s">
        <v>102</v>
      </c>
      <c r="AL2199" s="10" t="s">
        <v>7897</v>
      </c>
      <c r="AM2199" s="10"/>
      <c r="AN2199" s="10"/>
      <c r="AO2199" s="13" t="b">
        <v>0</v>
      </c>
      <c r="AP2199" s="22" t="s">
        <v>135</v>
      </c>
      <c r="AQ2199" s="10">
        <f ca="1">IFERROR(__xludf.DUMMYFUNCTION("""COMPUTED_VALUE"""),4652733)</f>
        <v>4652733</v>
      </c>
      <c r="AR2199" s="17">
        <v>1675</v>
      </c>
      <c r="AS2199" s="17">
        <v>1304</v>
      </c>
      <c r="AT2199" s="17">
        <v>18646.5</v>
      </c>
      <c r="AU2199" s="17">
        <v>5</v>
      </c>
      <c r="AV2199" s="17">
        <v>1.5</v>
      </c>
      <c r="AW2199" s="10" t="s">
        <v>105</v>
      </c>
      <c r="AX2199" s="17">
        <v>294</v>
      </c>
      <c r="AY2199" s="18">
        <v>14.299463190184049</v>
      </c>
      <c r="AZ2199" s="10" t="s">
        <v>106</v>
      </c>
      <c r="BA2199" s="20" t="b">
        <v>0</v>
      </c>
      <c r="BB2199" s="10"/>
      <c r="BC2199" s="17">
        <v>1675</v>
      </c>
      <c r="BD2199" s="17">
        <v>1304</v>
      </c>
      <c r="BE2199" s="17">
        <v>18646.5</v>
      </c>
      <c r="BF2199" s="17">
        <v>1.5</v>
      </c>
      <c r="BG2199" s="11">
        <f ca="1">IFERROR(__xludf.DUMMYFUNCTION("""COMPUTED_VALUE"""),45945.9895833333)</f>
        <v>45945.989583333299</v>
      </c>
      <c r="BH2199" s="17" t="s">
        <v>105</v>
      </c>
      <c r="BI2199" s="17"/>
      <c r="BJ2199" s="15"/>
      <c r="BK2199" s="15"/>
      <c r="BL2199" s="13" t="b">
        <v>0</v>
      </c>
      <c r="BM2199" s="10"/>
      <c r="BN2199" s="10" t="s">
        <v>1149</v>
      </c>
      <c r="BO2199" s="11">
        <v>45937.675000000003</v>
      </c>
      <c r="BP2199" s="11">
        <v>45939.662048611113</v>
      </c>
      <c r="BQ2199" s="15">
        <v>45945.606388888889</v>
      </c>
      <c r="BR2199" s="15">
        <v>45945.643726851849</v>
      </c>
      <c r="BS2199" s="10" t="s">
        <v>1149</v>
      </c>
      <c r="BT2199" s="10" t="s">
        <v>99</v>
      </c>
      <c r="BU2199" s="10" t="s">
        <v>5492</v>
      </c>
      <c r="BV2199" s="10"/>
      <c r="BW2199" s="10"/>
      <c r="BX2199" s="10"/>
      <c r="BY2199" s="23"/>
      <c r="BZ2199" s="23"/>
      <c r="CA2199" s="19" t="s">
        <v>16838</v>
      </c>
      <c r="CB2199" s="23"/>
      <c r="CC2199" s="23"/>
      <c r="CD2199" s="23"/>
      <c r="CE2199" s="23"/>
      <c r="CF2199" s="23"/>
      <c r="CG2199" s="23"/>
      <c r="CH2199" s="23"/>
      <c r="CI2199" s="23"/>
    </row>
    <row r="2200" spans="1:87" x14ac:dyDescent="0.3">
      <c r="A2200" s="9" t="s">
        <v>16839</v>
      </c>
      <c r="B2200" s="10" t="s">
        <v>16840</v>
      </c>
      <c r="C2200" s="11">
        <v>45945.989583333336</v>
      </c>
      <c r="D2200" s="12">
        <v>8.3333333333333329E-2</v>
      </c>
      <c r="E2200" s="11">
        <v>45946.072916666664</v>
      </c>
      <c r="F2200" s="10" t="s">
        <v>16149</v>
      </c>
      <c r="G2200" s="13" t="b">
        <v>0</v>
      </c>
      <c r="H2200" s="22" t="s">
        <v>3578</v>
      </c>
      <c r="I2200" s="10" t="s">
        <v>89</v>
      </c>
      <c r="J2200" s="13" t="b">
        <v>0</v>
      </c>
      <c r="K2200" s="13" t="b">
        <v>1</v>
      </c>
      <c r="L2200" s="10" t="s">
        <v>124</v>
      </c>
      <c r="M2200" s="10" t="s">
        <v>91</v>
      </c>
      <c r="N2200" s="10" t="s">
        <v>92</v>
      </c>
      <c r="O2200" s="19" t="s">
        <v>16841</v>
      </c>
      <c r="P2200" s="10"/>
      <c r="Q2200" s="10" t="s">
        <v>94</v>
      </c>
      <c r="R2200" s="10"/>
      <c r="S2200" s="19" t="s">
        <v>16842</v>
      </c>
      <c r="T2200" s="10"/>
      <c r="U2200" s="10" t="s">
        <v>16172</v>
      </c>
      <c r="V2200" s="10" t="s">
        <v>16218</v>
      </c>
      <c r="W2200" s="10" t="s">
        <v>16154</v>
      </c>
      <c r="X2200" s="10" t="s">
        <v>130</v>
      </c>
      <c r="Y2200" s="10" t="s">
        <v>130</v>
      </c>
      <c r="Z2200" s="10" t="s">
        <v>99</v>
      </c>
      <c r="AA2200" s="10" t="s">
        <v>131</v>
      </c>
      <c r="AB2200" s="10" t="s">
        <v>16155</v>
      </c>
      <c r="AC2200" s="10" t="s">
        <v>3571</v>
      </c>
      <c r="AD2200" s="10" t="s">
        <v>16843</v>
      </c>
      <c r="AE2200" s="10" t="s">
        <v>16844</v>
      </c>
      <c r="AF2200" s="15"/>
      <c r="AG2200" s="10"/>
      <c r="AH2200" s="10"/>
      <c r="AI2200" s="10"/>
      <c r="AJ2200" s="10"/>
      <c r="AK2200" s="10" t="s">
        <v>102</v>
      </c>
      <c r="AL2200" s="10" t="s">
        <v>7897</v>
      </c>
      <c r="AM2200" s="10"/>
      <c r="AN2200" s="10"/>
      <c r="AO2200" s="13" t="b">
        <v>0</v>
      </c>
      <c r="AP2200" s="22" t="s">
        <v>135</v>
      </c>
      <c r="AQ2200" s="10">
        <f ca="1">IFERROR(__xludf.DUMMYFUNCTION("""COMPUTED_VALUE"""),4652732)</f>
        <v>4652732</v>
      </c>
      <c r="AR2200" s="17">
        <v>2229</v>
      </c>
      <c r="AS2200" s="17">
        <v>1803</v>
      </c>
      <c r="AT2200" s="17">
        <v>28315.5</v>
      </c>
      <c r="AU2200" s="17">
        <v>8.75</v>
      </c>
      <c r="AV2200" s="17">
        <v>1</v>
      </c>
      <c r="AW2200" s="10" t="s">
        <v>105</v>
      </c>
      <c r="AX2200" s="17">
        <v>369</v>
      </c>
      <c r="AY2200" s="18">
        <v>15.704658901830284</v>
      </c>
      <c r="AZ2200" s="10" t="s">
        <v>106</v>
      </c>
      <c r="BA2200" s="20" t="b">
        <v>0</v>
      </c>
      <c r="BB2200" s="10"/>
      <c r="BC2200" s="17">
        <v>2229</v>
      </c>
      <c r="BD2200" s="17">
        <v>1803</v>
      </c>
      <c r="BE2200" s="17">
        <v>28315.5</v>
      </c>
      <c r="BF2200" s="17">
        <v>1</v>
      </c>
      <c r="BG2200" s="11">
        <f ca="1">IFERROR(__xludf.DUMMYFUNCTION("""COMPUTED_VALUE"""),45945.9895833333)</f>
        <v>45945.989583333299</v>
      </c>
      <c r="BH2200" s="17" t="s">
        <v>105</v>
      </c>
      <c r="BI2200" s="17"/>
      <c r="BJ2200" s="15"/>
      <c r="BK2200" s="15"/>
      <c r="BL2200" s="13" t="b">
        <v>0</v>
      </c>
      <c r="BM2200" s="10"/>
      <c r="BN2200" s="10" t="s">
        <v>1149</v>
      </c>
      <c r="BO2200" s="11">
        <v>45937.682638888888</v>
      </c>
      <c r="BP2200" s="11">
        <v>45939.661030092589</v>
      </c>
      <c r="BQ2200" s="15">
        <v>45945.606099537035</v>
      </c>
      <c r="BR2200" s="15">
        <v>45945.643576388888</v>
      </c>
      <c r="BS2200" s="10" t="s">
        <v>1149</v>
      </c>
      <c r="BT2200" s="10" t="s">
        <v>99</v>
      </c>
      <c r="BU2200" s="10" t="s">
        <v>8013</v>
      </c>
      <c r="BV2200" s="10"/>
      <c r="BW2200" s="10"/>
      <c r="BX2200" s="10"/>
      <c r="BY2200" s="23"/>
      <c r="BZ2200" s="23"/>
      <c r="CA2200" s="19" t="s">
        <v>16845</v>
      </c>
      <c r="CB2200" s="23"/>
      <c r="CC2200" s="23"/>
      <c r="CD2200" s="23"/>
      <c r="CE2200" s="23"/>
      <c r="CF2200" s="23"/>
      <c r="CG2200" s="23"/>
      <c r="CH2200" s="23"/>
      <c r="CI2200" s="23"/>
    </row>
    <row r="2201" spans="1:87" x14ac:dyDescent="0.3">
      <c r="A2201" s="9" t="s">
        <v>16846</v>
      </c>
      <c r="B2201" s="10" t="s">
        <v>16847</v>
      </c>
      <c r="C2201" s="11">
        <v>45946.083333333336</v>
      </c>
      <c r="D2201" s="12">
        <v>8.3333333333333329E-2</v>
      </c>
      <c r="E2201" s="11">
        <v>45946.166666666664</v>
      </c>
      <c r="F2201" s="10" t="s">
        <v>16149</v>
      </c>
      <c r="G2201" s="13" t="b">
        <v>0</v>
      </c>
      <c r="H2201" s="22" t="s">
        <v>3578</v>
      </c>
      <c r="I2201" s="10" t="s">
        <v>89</v>
      </c>
      <c r="J2201" s="13" t="b">
        <v>0</v>
      </c>
      <c r="K2201" s="13" t="b">
        <v>1</v>
      </c>
      <c r="L2201" s="10" t="s">
        <v>124</v>
      </c>
      <c r="M2201" s="10" t="s">
        <v>91</v>
      </c>
      <c r="N2201" s="10" t="s">
        <v>92</v>
      </c>
      <c r="O2201" s="19" t="s">
        <v>16848</v>
      </c>
      <c r="P2201" s="10"/>
      <c r="Q2201" s="10" t="s">
        <v>126</v>
      </c>
      <c r="R2201" s="10"/>
      <c r="S2201" s="19" t="s">
        <v>16849</v>
      </c>
      <c r="T2201" s="10"/>
      <c r="U2201" s="10" t="s">
        <v>16192</v>
      </c>
      <c r="V2201" s="10" t="s">
        <v>16181</v>
      </c>
      <c r="W2201" s="10" t="s">
        <v>16154</v>
      </c>
      <c r="X2201" s="10" t="s">
        <v>130</v>
      </c>
      <c r="Y2201" s="10" t="s">
        <v>130</v>
      </c>
      <c r="Z2201" s="10" t="s">
        <v>99</v>
      </c>
      <c r="AA2201" s="10" t="s">
        <v>131</v>
      </c>
      <c r="AB2201" s="10" t="s">
        <v>16155</v>
      </c>
      <c r="AC2201" s="10" t="s">
        <v>3571</v>
      </c>
      <c r="AD2201" s="10" t="s">
        <v>16850</v>
      </c>
      <c r="AE2201" s="10" t="s">
        <v>16851</v>
      </c>
      <c r="AF2201" s="15"/>
      <c r="AG2201" s="10"/>
      <c r="AH2201" s="10"/>
      <c r="AI2201" s="10"/>
      <c r="AJ2201" s="10"/>
      <c r="AK2201" s="10" t="s">
        <v>102</v>
      </c>
      <c r="AL2201" s="10" t="s">
        <v>7897</v>
      </c>
      <c r="AM2201" s="10"/>
      <c r="AN2201" s="10"/>
      <c r="AO2201" s="13" t="b">
        <v>0</v>
      </c>
      <c r="AP2201" s="22" t="s">
        <v>135</v>
      </c>
      <c r="AQ2201" s="10">
        <f ca="1">IFERROR(__xludf.DUMMYFUNCTION("""COMPUTED_VALUE"""),4653338)</f>
        <v>4653338</v>
      </c>
      <c r="AR2201" s="17">
        <v>2794</v>
      </c>
      <c r="AS2201" s="17">
        <v>2138</v>
      </c>
      <c r="AT2201" s="17">
        <v>42551.25</v>
      </c>
      <c r="AU2201" s="17">
        <v>6.1</v>
      </c>
      <c r="AV2201" s="17">
        <v>1.2</v>
      </c>
      <c r="AW2201" s="10" t="s">
        <v>105</v>
      </c>
      <c r="AX2201" s="17">
        <v>523</v>
      </c>
      <c r="AY2201" s="18">
        <v>19.902362020579982</v>
      </c>
      <c r="AZ2201" s="10" t="s">
        <v>239</v>
      </c>
      <c r="BA2201" s="20" t="b">
        <v>0</v>
      </c>
      <c r="BB2201" s="10"/>
      <c r="BC2201" s="17">
        <v>2794</v>
      </c>
      <c r="BD2201" s="17">
        <v>2138</v>
      </c>
      <c r="BE2201" s="17">
        <v>42551.25</v>
      </c>
      <c r="BF2201" s="17">
        <v>1.2</v>
      </c>
      <c r="BG2201" s="11">
        <f ca="1">IFERROR(__xludf.DUMMYFUNCTION("""COMPUTED_VALUE"""),45946.0833333333)</f>
        <v>45946.083333333299</v>
      </c>
      <c r="BH2201" s="17" t="s">
        <v>105</v>
      </c>
      <c r="BI2201" s="17"/>
      <c r="BJ2201" s="15"/>
      <c r="BK2201" s="15"/>
      <c r="BL2201" s="13" t="b">
        <v>0</v>
      </c>
      <c r="BM2201" s="10"/>
      <c r="BN2201" s="10" t="s">
        <v>1149</v>
      </c>
      <c r="BO2201" s="11">
        <v>45937.68472222222</v>
      </c>
      <c r="BP2201" s="11">
        <v>45939.661180555559</v>
      </c>
      <c r="BQ2201" s="15">
        <v>45945.665381944447</v>
      </c>
      <c r="BR2201" s="15">
        <v>45945.673634259256</v>
      </c>
      <c r="BS2201" s="10" t="s">
        <v>1149</v>
      </c>
      <c r="BT2201" s="10" t="s">
        <v>99</v>
      </c>
      <c r="BU2201" s="10" t="s">
        <v>942</v>
      </c>
      <c r="BV2201" s="10"/>
      <c r="BW2201" s="10"/>
      <c r="BX2201" s="10"/>
      <c r="BY2201" s="23"/>
      <c r="BZ2201" s="23"/>
      <c r="CA2201" s="19" t="s">
        <v>16852</v>
      </c>
      <c r="CB2201" s="23"/>
      <c r="CC2201" s="23"/>
      <c r="CD2201" s="19" t="s">
        <v>16853</v>
      </c>
      <c r="CE2201" s="23"/>
      <c r="CF2201" s="23"/>
      <c r="CG2201" s="23"/>
      <c r="CH2201" s="23"/>
      <c r="CI2201" s="23"/>
    </row>
    <row r="2202" spans="1:87" x14ac:dyDescent="0.3">
      <c r="A2202" s="9" t="s">
        <v>16854</v>
      </c>
      <c r="B2202" s="10" t="s">
        <v>16855</v>
      </c>
      <c r="C2202" s="11">
        <v>45946.083333333336</v>
      </c>
      <c r="D2202" s="12">
        <v>8.3333333333333329E-2</v>
      </c>
      <c r="E2202" s="11">
        <v>45946.166666666664</v>
      </c>
      <c r="F2202" s="10" t="s">
        <v>16149</v>
      </c>
      <c r="G2202" s="13" t="b">
        <v>0</v>
      </c>
      <c r="H2202" s="22"/>
      <c r="I2202" s="10" t="s">
        <v>89</v>
      </c>
      <c r="J2202" s="13" t="b">
        <v>0</v>
      </c>
      <c r="K2202" s="13" t="b">
        <v>1</v>
      </c>
      <c r="L2202" s="10" t="s">
        <v>124</v>
      </c>
      <c r="M2202" s="10" t="s">
        <v>91</v>
      </c>
      <c r="N2202" s="10" t="s">
        <v>92</v>
      </c>
      <c r="O2202" s="10"/>
      <c r="P2202" s="10"/>
      <c r="Q2202" s="10" t="s">
        <v>94</v>
      </c>
      <c r="R2202" s="10"/>
      <c r="S2202" s="10"/>
      <c r="T2202" s="10"/>
      <c r="U2202" s="10" t="s">
        <v>16165</v>
      </c>
      <c r="V2202" s="10" t="s">
        <v>16201</v>
      </c>
      <c r="W2202" s="10" t="s">
        <v>16154</v>
      </c>
      <c r="X2202" s="10" t="s">
        <v>130</v>
      </c>
      <c r="Y2202" s="10" t="s">
        <v>130</v>
      </c>
      <c r="Z2202" s="10" t="s">
        <v>99</v>
      </c>
      <c r="AA2202" s="10" t="s">
        <v>131</v>
      </c>
      <c r="AB2202" s="10" t="s">
        <v>16155</v>
      </c>
      <c r="AC2202" s="10" t="s">
        <v>3571</v>
      </c>
      <c r="AD2202" s="10" t="s">
        <v>16856</v>
      </c>
      <c r="AE2202" s="10" t="s">
        <v>16857</v>
      </c>
      <c r="AF2202" s="15"/>
      <c r="AG2202" s="10"/>
      <c r="AH2202" s="10"/>
      <c r="AI2202" s="10"/>
      <c r="AJ2202" s="10"/>
      <c r="AK2202" s="10" t="s">
        <v>256</v>
      </c>
      <c r="AL2202" s="10" t="s">
        <v>7897</v>
      </c>
      <c r="AM2202" s="10"/>
      <c r="AN2202" s="10"/>
      <c r="AO2202" s="13" t="b">
        <v>0</v>
      </c>
      <c r="AP2202" s="22" t="s">
        <v>135</v>
      </c>
      <c r="AQ2202" s="10"/>
      <c r="AR2202" s="17"/>
      <c r="AS2202" s="17"/>
      <c r="AT2202" s="17"/>
      <c r="AU2202" s="17"/>
      <c r="AV2202" s="17"/>
      <c r="AW2202" s="10"/>
      <c r="AX2202" s="17"/>
      <c r="AY2202" s="18" t="s">
        <v>257</v>
      </c>
      <c r="AZ2202" s="10"/>
      <c r="BA2202" s="20" t="b">
        <v>0</v>
      </c>
      <c r="BB2202" s="10"/>
      <c r="BC2202" s="17" t="s">
        <v>257</v>
      </c>
      <c r="BD2202" s="17" t="s">
        <v>257</v>
      </c>
      <c r="BE2202" s="17" t="s">
        <v>257</v>
      </c>
      <c r="BF2202" s="17" t="s">
        <v>257</v>
      </c>
      <c r="BG2202" s="11">
        <f ca="1">IFERROR(__xludf.DUMMYFUNCTION("""COMPUTED_VALUE"""),45946.0833333333)</f>
        <v>45946.083333333299</v>
      </c>
      <c r="BH2202" s="17"/>
      <c r="BI2202" s="17"/>
      <c r="BJ2202" s="15"/>
      <c r="BK2202" s="15"/>
      <c r="BL2202" s="13" t="b">
        <v>0</v>
      </c>
      <c r="BM2202" s="10"/>
      <c r="BN2202" s="10" t="s">
        <v>241</v>
      </c>
      <c r="BO2202" s="11">
        <v>45937.685416666667</v>
      </c>
      <c r="BP2202" s="11">
        <v>45937.685717592591</v>
      </c>
      <c r="BQ2202" s="15"/>
      <c r="BR2202" s="15"/>
      <c r="BS2202" s="10"/>
      <c r="BT2202" s="10" t="s">
        <v>99</v>
      </c>
      <c r="BU2202" s="10"/>
      <c r="BV2202" s="10"/>
      <c r="BW2202" s="10"/>
      <c r="BX2202" s="10"/>
      <c r="BY2202" s="23"/>
      <c r="BZ2202" s="23"/>
      <c r="CA2202" s="23"/>
      <c r="CB2202" s="23"/>
      <c r="CC2202" s="23"/>
      <c r="CD2202" s="23"/>
      <c r="CE2202" s="23"/>
      <c r="CF2202" s="23"/>
      <c r="CG2202" s="23"/>
      <c r="CH2202" s="23"/>
      <c r="CI2202" s="23"/>
    </row>
    <row r="2203" spans="1:87" x14ac:dyDescent="0.3">
      <c r="A2203" s="9" t="s">
        <v>16858</v>
      </c>
      <c r="B2203" s="10" t="s">
        <v>16859</v>
      </c>
      <c r="C2203" s="11">
        <v>45946.083333333336</v>
      </c>
      <c r="D2203" s="12">
        <v>8.3333333333333329E-2</v>
      </c>
      <c r="E2203" s="11">
        <v>45946.166666666664</v>
      </c>
      <c r="F2203" s="10" t="s">
        <v>16149</v>
      </c>
      <c r="G2203" s="13" t="b">
        <v>0</v>
      </c>
      <c r="H2203" s="22" t="s">
        <v>3564</v>
      </c>
      <c r="I2203" s="10" t="s">
        <v>89</v>
      </c>
      <c r="J2203" s="13" t="b">
        <v>0</v>
      </c>
      <c r="K2203" s="13" t="b">
        <v>1</v>
      </c>
      <c r="L2203" s="10" t="s">
        <v>124</v>
      </c>
      <c r="M2203" s="10" t="s">
        <v>91</v>
      </c>
      <c r="N2203" s="10" t="s">
        <v>92</v>
      </c>
      <c r="O2203" s="19" t="s">
        <v>16860</v>
      </c>
      <c r="P2203" s="10"/>
      <c r="Q2203" s="10" t="s">
        <v>126</v>
      </c>
      <c r="R2203" s="10"/>
      <c r="S2203" s="19" t="s">
        <v>16861</v>
      </c>
      <c r="T2203" s="10"/>
      <c r="U2203" s="10" t="s">
        <v>15684</v>
      </c>
      <c r="V2203" s="10" t="s">
        <v>16164</v>
      </c>
      <c r="W2203" s="10" t="s">
        <v>16154</v>
      </c>
      <c r="X2203" s="10" t="s">
        <v>130</v>
      </c>
      <c r="Y2203" s="10" t="s">
        <v>130</v>
      </c>
      <c r="Z2203" s="10" t="s">
        <v>99</v>
      </c>
      <c r="AA2203" s="10" t="s">
        <v>131</v>
      </c>
      <c r="AB2203" s="10" t="s">
        <v>16155</v>
      </c>
      <c r="AC2203" s="10" t="s">
        <v>3571</v>
      </c>
      <c r="AD2203" s="10" t="s">
        <v>16862</v>
      </c>
      <c r="AE2203" s="10" t="s">
        <v>16863</v>
      </c>
      <c r="AF2203" s="15"/>
      <c r="AG2203" s="10"/>
      <c r="AH2203" s="10"/>
      <c r="AI2203" s="10"/>
      <c r="AJ2203" s="10"/>
      <c r="AK2203" s="10" t="s">
        <v>102</v>
      </c>
      <c r="AL2203" s="10" t="s">
        <v>7897</v>
      </c>
      <c r="AM2203" s="10"/>
      <c r="AN2203" s="10"/>
      <c r="AO2203" s="13" t="b">
        <v>0</v>
      </c>
      <c r="AP2203" s="22" t="s">
        <v>135</v>
      </c>
      <c r="AQ2203" s="10">
        <f ca="1">IFERROR(__xludf.DUMMYFUNCTION("""COMPUTED_VALUE"""),4653337)</f>
        <v>4653337</v>
      </c>
      <c r="AR2203" s="17">
        <v>2017</v>
      </c>
      <c r="AS2203" s="17">
        <v>1520</v>
      </c>
      <c r="AT2203" s="17">
        <v>26235.25</v>
      </c>
      <c r="AU2203" s="17">
        <v>3.45</v>
      </c>
      <c r="AV2203" s="17">
        <v>0.75</v>
      </c>
      <c r="AW2203" s="10" t="s">
        <v>105</v>
      </c>
      <c r="AX2203" s="17">
        <v>353</v>
      </c>
      <c r="AY2203" s="18">
        <v>17.260032894736842</v>
      </c>
      <c r="AZ2203" s="10" t="s">
        <v>239</v>
      </c>
      <c r="BA2203" s="20" t="b">
        <v>0</v>
      </c>
      <c r="BB2203" s="10"/>
      <c r="BC2203" s="17">
        <v>2017</v>
      </c>
      <c r="BD2203" s="17">
        <v>1520</v>
      </c>
      <c r="BE2203" s="17">
        <v>26235.25</v>
      </c>
      <c r="BF2203" s="17">
        <v>0.75</v>
      </c>
      <c r="BG2203" s="11">
        <f ca="1">IFERROR(__xludf.DUMMYFUNCTION("""COMPUTED_VALUE"""),45946.0833333333)</f>
        <v>45946.083333333299</v>
      </c>
      <c r="BH2203" s="17" t="s">
        <v>105</v>
      </c>
      <c r="BI2203" s="17"/>
      <c r="BJ2203" s="15"/>
      <c r="BK2203" s="15"/>
      <c r="BL2203" s="13" t="b">
        <v>0</v>
      </c>
      <c r="BM2203" s="10"/>
      <c r="BN2203" s="10" t="s">
        <v>1149</v>
      </c>
      <c r="BO2203" s="11">
        <v>45937.686111111114</v>
      </c>
      <c r="BP2203" s="11">
        <v>45939.662256944444</v>
      </c>
      <c r="BQ2203" s="15">
        <v>45945.664918981478</v>
      </c>
      <c r="BR2203" s="15">
        <v>45945.673796296294</v>
      </c>
      <c r="BS2203" s="10" t="s">
        <v>1149</v>
      </c>
      <c r="BT2203" s="10" t="s">
        <v>99</v>
      </c>
      <c r="BU2203" s="10" t="s">
        <v>8038</v>
      </c>
      <c r="BV2203" s="10"/>
      <c r="BW2203" s="10"/>
      <c r="BX2203" s="10"/>
      <c r="BY2203" s="23"/>
      <c r="BZ2203" s="23"/>
      <c r="CA2203" s="19" t="s">
        <v>16864</v>
      </c>
      <c r="CB2203" s="23"/>
      <c r="CC2203" s="23"/>
      <c r="CD2203" s="19" t="s">
        <v>16865</v>
      </c>
      <c r="CE2203" s="23"/>
      <c r="CF2203" s="23"/>
      <c r="CG2203" s="23"/>
      <c r="CH2203" s="23"/>
      <c r="CI2203" s="23"/>
    </row>
    <row r="2204" spans="1:87" x14ac:dyDescent="0.3">
      <c r="A2204" s="9" t="s">
        <v>16866</v>
      </c>
      <c r="B2204" s="10" t="s">
        <v>16867</v>
      </c>
      <c r="C2204" s="11">
        <v>45946.989583333336</v>
      </c>
      <c r="D2204" s="12">
        <v>8.3333333333333329E-2</v>
      </c>
      <c r="E2204" s="11">
        <v>45947.072916666664</v>
      </c>
      <c r="F2204" s="10" t="s">
        <v>16149</v>
      </c>
      <c r="G2204" s="13" t="b">
        <v>0</v>
      </c>
      <c r="H2204" s="22" t="s">
        <v>3564</v>
      </c>
      <c r="I2204" s="10" t="s">
        <v>89</v>
      </c>
      <c r="J2204" s="13" t="b">
        <v>0</v>
      </c>
      <c r="K2204" s="13" t="b">
        <v>1</v>
      </c>
      <c r="L2204" s="10" t="s">
        <v>124</v>
      </c>
      <c r="M2204" s="10" t="s">
        <v>91</v>
      </c>
      <c r="N2204" s="10" t="s">
        <v>92</v>
      </c>
      <c r="O2204" s="19" t="s">
        <v>16868</v>
      </c>
      <c r="P2204" s="10"/>
      <c r="Q2204" s="10" t="s">
        <v>126</v>
      </c>
      <c r="R2204" s="10"/>
      <c r="S2204" s="19" t="s">
        <v>16869</v>
      </c>
      <c r="T2204" s="10"/>
      <c r="U2204" s="10" t="s">
        <v>16219</v>
      </c>
      <c r="V2204" s="10" t="s">
        <v>15258</v>
      </c>
      <c r="W2204" s="10" t="s">
        <v>16154</v>
      </c>
      <c r="X2204" s="10" t="s">
        <v>130</v>
      </c>
      <c r="Y2204" s="10" t="s">
        <v>130</v>
      </c>
      <c r="Z2204" s="10" t="s">
        <v>99</v>
      </c>
      <c r="AA2204" s="10" t="s">
        <v>131</v>
      </c>
      <c r="AB2204" s="10" t="s">
        <v>16155</v>
      </c>
      <c r="AC2204" s="10" t="s">
        <v>3571</v>
      </c>
      <c r="AD2204" s="10" t="s">
        <v>16870</v>
      </c>
      <c r="AE2204" s="10" t="s">
        <v>16871</v>
      </c>
      <c r="AF2204" s="15"/>
      <c r="AG2204" s="10"/>
      <c r="AH2204" s="10"/>
      <c r="AI2204" s="10"/>
      <c r="AJ2204" s="10"/>
      <c r="AK2204" s="10" t="s">
        <v>102</v>
      </c>
      <c r="AL2204" s="10" t="s">
        <v>7897</v>
      </c>
      <c r="AM2204" s="10"/>
      <c r="AN2204" s="10"/>
      <c r="AO2204" s="13" t="b">
        <v>0</v>
      </c>
      <c r="AP2204" s="22" t="s">
        <v>135</v>
      </c>
      <c r="AQ2204" s="10">
        <f ca="1">IFERROR(__xludf.DUMMYFUNCTION("""COMPUTED_VALUE"""),4653340)</f>
        <v>4653340</v>
      </c>
      <c r="AR2204" s="17">
        <v>2100</v>
      </c>
      <c r="AS2204" s="17">
        <v>1509</v>
      </c>
      <c r="AT2204" s="17">
        <v>5024</v>
      </c>
      <c r="AU2204" s="17">
        <v>22.35</v>
      </c>
      <c r="AV2204" s="17">
        <v>2.2999999999999998</v>
      </c>
      <c r="AW2204" s="10" t="s">
        <v>105</v>
      </c>
      <c r="AX2204" s="17">
        <v>851</v>
      </c>
      <c r="AY2204" s="18">
        <v>3.3293571901921801</v>
      </c>
      <c r="AZ2204" s="10"/>
      <c r="BA2204" s="20" t="b">
        <v>0</v>
      </c>
      <c r="BB2204" s="10"/>
      <c r="BC2204" s="17">
        <v>2100</v>
      </c>
      <c r="BD2204" s="17">
        <v>1509</v>
      </c>
      <c r="BE2204" s="17">
        <v>5024</v>
      </c>
      <c r="BF2204" s="17">
        <v>2.2999999999999998</v>
      </c>
      <c r="BG2204" s="11">
        <f ca="1">IFERROR(__xludf.DUMMYFUNCTION("""COMPUTED_VALUE"""),45946.9895833333)</f>
        <v>45946.989583333299</v>
      </c>
      <c r="BH2204" s="17" t="s">
        <v>105</v>
      </c>
      <c r="BI2204" s="17"/>
      <c r="BJ2204" s="15"/>
      <c r="BK2204" s="15"/>
      <c r="BL2204" s="13" t="b">
        <v>0</v>
      </c>
      <c r="BM2204" s="10"/>
      <c r="BN2204" s="10" t="s">
        <v>118</v>
      </c>
      <c r="BO2204" s="11">
        <v>45937.686805555553</v>
      </c>
      <c r="BP2204" s="11">
        <v>45939.662511574075</v>
      </c>
      <c r="BQ2204" s="15">
        <v>45945.665752314817</v>
      </c>
      <c r="BR2204" s="15">
        <v>45945.673958333333</v>
      </c>
      <c r="BS2204" s="10" t="s">
        <v>118</v>
      </c>
      <c r="BT2204" s="10" t="s">
        <v>99</v>
      </c>
      <c r="BU2204" s="10"/>
      <c r="BV2204" s="10"/>
      <c r="BW2204" s="10"/>
      <c r="BX2204" s="10"/>
      <c r="BY2204" s="23"/>
      <c r="BZ2204" s="23"/>
      <c r="CA2204" s="19" t="s">
        <v>16872</v>
      </c>
      <c r="CB2204" s="23"/>
      <c r="CC2204" s="23"/>
      <c r="CD2204" s="19" t="s">
        <v>16873</v>
      </c>
      <c r="CE2204" s="23"/>
      <c r="CF2204" s="23"/>
      <c r="CG2204" s="23"/>
      <c r="CH2204" s="23"/>
      <c r="CI2204" s="23"/>
    </row>
    <row r="2205" spans="1:87" x14ac:dyDescent="0.3">
      <c r="A2205" s="9" t="s">
        <v>16874</v>
      </c>
      <c r="B2205" s="10" t="s">
        <v>16875</v>
      </c>
      <c r="C2205" s="11">
        <v>45947.083333333336</v>
      </c>
      <c r="D2205" s="12">
        <v>8.3333333333333329E-2</v>
      </c>
      <c r="E2205" s="11">
        <v>45947.166666666664</v>
      </c>
      <c r="F2205" s="10" t="s">
        <v>16149</v>
      </c>
      <c r="G2205" s="13" t="b">
        <v>0</v>
      </c>
      <c r="H2205" s="22" t="s">
        <v>3578</v>
      </c>
      <c r="I2205" s="10" t="s">
        <v>89</v>
      </c>
      <c r="J2205" s="13" t="b">
        <v>0</v>
      </c>
      <c r="K2205" s="13" t="b">
        <v>1</v>
      </c>
      <c r="L2205" s="10" t="s">
        <v>124</v>
      </c>
      <c r="M2205" s="10" t="s">
        <v>91</v>
      </c>
      <c r="N2205" s="10" t="s">
        <v>92</v>
      </c>
      <c r="O2205" s="19" t="s">
        <v>16876</v>
      </c>
      <c r="P2205" s="10"/>
      <c r="Q2205" s="10" t="s">
        <v>126</v>
      </c>
      <c r="R2205" s="10"/>
      <c r="S2205" s="19" t="s">
        <v>16877</v>
      </c>
      <c r="T2205" s="10"/>
      <c r="U2205" s="10" t="s">
        <v>16153</v>
      </c>
      <c r="V2205" s="10" t="s">
        <v>15259</v>
      </c>
      <c r="W2205" s="10" t="s">
        <v>16154</v>
      </c>
      <c r="X2205" s="10" t="s">
        <v>130</v>
      </c>
      <c r="Y2205" s="10" t="s">
        <v>130</v>
      </c>
      <c r="Z2205" s="10" t="s">
        <v>99</v>
      </c>
      <c r="AA2205" s="10" t="s">
        <v>131</v>
      </c>
      <c r="AB2205" s="10" t="s">
        <v>16155</v>
      </c>
      <c r="AC2205" s="10" t="s">
        <v>3571</v>
      </c>
      <c r="AD2205" s="10" t="s">
        <v>16878</v>
      </c>
      <c r="AE2205" s="10" t="s">
        <v>16879</v>
      </c>
      <c r="AF2205" s="15"/>
      <c r="AG2205" s="10"/>
      <c r="AH2205" s="10"/>
      <c r="AI2205" s="10"/>
      <c r="AJ2205" s="10"/>
      <c r="AK2205" s="10" t="s">
        <v>102</v>
      </c>
      <c r="AL2205" s="10" t="s">
        <v>7897</v>
      </c>
      <c r="AM2205" s="10"/>
      <c r="AN2205" s="10"/>
      <c r="AO2205" s="13" t="b">
        <v>0</v>
      </c>
      <c r="AP2205" s="22" t="s">
        <v>135</v>
      </c>
      <c r="AQ2205" s="10">
        <f ca="1">IFERROR(__xludf.DUMMYFUNCTION("""COMPUTED_VALUE"""),4655149)</f>
        <v>4655149</v>
      </c>
      <c r="AR2205" s="17">
        <v>2171</v>
      </c>
      <c r="AS2205" s="17">
        <v>1625</v>
      </c>
      <c r="AT2205" s="17">
        <v>34168</v>
      </c>
      <c r="AU2205" s="17">
        <v>4.5999999999999996</v>
      </c>
      <c r="AV2205" s="17">
        <v>0</v>
      </c>
      <c r="AW2205" s="10" t="s">
        <v>105</v>
      </c>
      <c r="AX2205" s="17">
        <v>357</v>
      </c>
      <c r="AY2205" s="18">
        <v>21.02646153846154</v>
      </c>
      <c r="AZ2205" s="10" t="s">
        <v>239</v>
      </c>
      <c r="BA2205" s="20" t="b">
        <v>0</v>
      </c>
      <c r="BB2205" s="10"/>
      <c r="BC2205" s="17">
        <v>2171</v>
      </c>
      <c r="BD2205" s="17">
        <v>1625</v>
      </c>
      <c r="BE2205" s="17">
        <v>34168</v>
      </c>
      <c r="BF2205" s="17">
        <v>0</v>
      </c>
      <c r="BG2205" s="11">
        <f ca="1">IFERROR(__xludf.DUMMYFUNCTION("""COMPUTED_VALUE"""),45947.0833333333)</f>
        <v>45947.083333333299</v>
      </c>
      <c r="BH2205" s="17" t="s">
        <v>105</v>
      </c>
      <c r="BI2205" s="17"/>
      <c r="BJ2205" s="15"/>
      <c r="BK2205" s="15"/>
      <c r="BL2205" s="13" t="b">
        <v>0</v>
      </c>
      <c r="BM2205" s="10"/>
      <c r="BN2205" s="10" t="s">
        <v>667</v>
      </c>
      <c r="BO2205" s="11">
        <v>45937.704861111109</v>
      </c>
      <c r="BP2205" s="11">
        <v>45939.661469907405</v>
      </c>
      <c r="BQ2205" s="15">
        <v>45946.592106481483</v>
      </c>
      <c r="BR2205" s="15">
        <v>45946.622465277775</v>
      </c>
      <c r="BS2205" s="10" t="s">
        <v>667</v>
      </c>
      <c r="BT2205" s="10" t="s">
        <v>99</v>
      </c>
      <c r="BU2205" s="10" t="s">
        <v>5081</v>
      </c>
      <c r="BV2205" s="10"/>
      <c r="BW2205" s="10"/>
      <c r="BX2205" s="10"/>
      <c r="BY2205" s="23"/>
      <c r="BZ2205" s="23"/>
      <c r="CA2205" s="19" t="s">
        <v>16880</v>
      </c>
      <c r="CB2205" s="23"/>
      <c r="CC2205" s="23"/>
      <c r="CD2205" s="19" t="s">
        <v>16881</v>
      </c>
      <c r="CE2205" s="23"/>
      <c r="CF2205" s="23"/>
      <c r="CG2205" s="23"/>
      <c r="CH2205" s="23"/>
      <c r="CI2205" s="23"/>
    </row>
    <row r="2206" spans="1:87" x14ac:dyDescent="0.3">
      <c r="A2206" s="25" t="s">
        <v>16882</v>
      </c>
      <c r="B2206" s="10" t="s">
        <v>16883</v>
      </c>
      <c r="C2206" s="11">
        <v>45947.083333333336</v>
      </c>
      <c r="D2206" s="12">
        <v>8.3333333333333329E-2</v>
      </c>
      <c r="E2206" s="11">
        <v>45947.166666666664</v>
      </c>
      <c r="F2206" s="10" t="s">
        <v>16149</v>
      </c>
      <c r="G2206" s="13" t="b">
        <v>0</v>
      </c>
      <c r="H2206" s="22"/>
      <c r="I2206" s="10" t="s">
        <v>89</v>
      </c>
      <c r="J2206" s="13" t="b">
        <v>0</v>
      </c>
      <c r="K2206" s="13" t="b">
        <v>1</v>
      </c>
      <c r="L2206" s="10" t="s">
        <v>124</v>
      </c>
      <c r="M2206" s="10" t="s">
        <v>91</v>
      </c>
      <c r="N2206" s="10" t="s">
        <v>92</v>
      </c>
      <c r="O2206" s="10"/>
      <c r="P2206" s="10"/>
      <c r="Q2206" s="10" t="s">
        <v>126</v>
      </c>
      <c r="R2206" s="10"/>
      <c r="S2206" s="10"/>
      <c r="T2206" s="10"/>
      <c r="U2206" s="10" t="s">
        <v>16182</v>
      </c>
      <c r="V2206" s="10" t="s">
        <v>16152</v>
      </c>
      <c r="W2206" s="10" t="s">
        <v>16154</v>
      </c>
      <c r="X2206" s="10" t="s">
        <v>130</v>
      </c>
      <c r="Y2206" s="10" t="s">
        <v>130</v>
      </c>
      <c r="Z2206" s="10" t="s">
        <v>99</v>
      </c>
      <c r="AA2206" s="10" t="s">
        <v>131</v>
      </c>
      <c r="AB2206" s="10" t="s">
        <v>16155</v>
      </c>
      <c r="AC2206" s="10" t="s">
        <v>3571</v>
      </c>
      <c r="AD2206" s="10" t="s">
        <v>16884</v>
      </c>
      <c r="AE2206" s="10" t="s">
        <v>16885</v>
      </c>
      <c r="AF2206" s="15"/>
      <c r="AG2206" s="10"/>
      <c r="AH2206" s="10"/>
      <c r="AI2206" s="10"/>
      <c r="AJ2206" s="10"/>
      <c r="AK2206" s="10" t="s">
        <v>256</v>
      </c>
      <c r="AL2206" s="10" t="s">
        <v>7897</v>
      </c>
      <c r="AM2206" s="10"/>
      <c r="AN2206" s="10"/>
      <c r="AO2206" s="13" t="b">
        <v>0</v>
      </c>
      <c r="AP2206" s="22" t="s">
        <v>135</v>
      </c>
      <c r="AQ2206" s="10"/>
      <c r="AR2206" s="17"/>
      <c r="AS2206" s="17"/>
      <c r="AT2206" s="17"/>
      <c r="AU2206" s="17"/>
      <c r="AV2206" s="17"/>
      <c r="AW2206" s="10"/>
      <c r="AX2206" s="17"/>
      <c r="AY2206" s="18" t="s">
        <v>257</v>
      </c>
      <c r="AZ2206" s="10"/>
      <c r="BA2206" s="20" t="b">
        <v>0</v>
      </c>
      <c r="BB2206" s="10"/>
      <c r="BC2206" s="17" t="s">
        <v>257</v>
      </c>
      <c r="BD2206" s="17" t="s">
        <v>257</v>
      </c>
      <c r="BE2206" s="17" t="s">
        <v>257</v>
      </c>
      <c r="BF2206" s="17" t="s">
        <v>257</v>
      </c>
      <c r="BG2206" s="11">
        <f ca="1">IFERROR(__xludf.DUMMYFUNCTION("""COMPUTED_VALUE"""),45947.0833333333)</f>
        <v>45947.083333333299</v>
      </c>
      <c r="BH2206" s="17"/>
      <c r="BI2206" s="17"/>
      <c r="BJ2206" s="15"/>
      <c r="BK2206" s="15"/>
      <c r="BL2206" s="13" t="b">
        <v>0</v>
      </c>
      <c r="BM2206" s="10"/>
      <c r="BN2206" s="10" t="s">
        <v>241</v>
      </c>
      <c r="BO2206" s="11">
        <v>45937.706944444442</v>
      </c>
      <c r="BP2206" s="11">
        <v>45937.707233796296</v>
      </c>
      <c r="BQ2206" s="15"/>
      <c r="BR2206" s="15"/>
      <c r="BS2206" s="10"/>
      <c r="BT2206" s="10" t="s">
        <v>99</v>
      </c>
      <c r="BU2206" s="10"/>
      <c r="BV2206" s="10"/>
      <c r="BW2206" s="10"/>
      <c r="BX2206" s="10"/>
      <c r="BY2206" s="23"/>
      <c r="BZ2206" s="23"/>
      <c r="CA2206" s="23"/>
      <c r="CB2206" s="23"/>
      <c r="CC2206" s="23"/>
      <c r="CD2206" s="23"/>
      <c r="CE2206" s="23"/>
      <c r="CF2206" s="23"/>
      <c r="CG2206" s="23"/>
      <c r="CH2206" s="23"/>
      <c r="CI2206" s="23"/>
    </row>
    <row r="2207" spans="1:87" x14ac:dyDescent="0.3">
      <c r="A2207" s="9" t="s">
        <v>16886</v>
      </c>
      <c r="B2207" s="10" t="s">
        <v>16887</v>
      </c>
      <c r="C2207" s="11">
        <v>45947.083333333336</v>
      </c>
      <c r="D2207" s="12">
        <v>8.3333333333333329E-2</v>
      </c>
      <c r="E2207" s="11">
        <v>45947.166666666664</v>
      </c>
      <c r="F2207" s="10" t="s">
        <v>16149</v>
      </c>
      <c r="G2207" s="13" t="b">
        <v>0</v>
      </c>
      <c r="H2207" s="22" t="s">
        <v>3564</v>
      </c>
      <c r="I2207" s="10" t="s">
        <v>89</v>
      </c>
      <c r="J2207" s="13" t="b">
        <v>0</v>
      </c>
      <c r="K2207" s="13" t="b">
        <v>1</v>
      </c>
      <c r="L2207" s="10" t="s">
        <v>124</v>
      </c>
      <c r="M2207" s="10" t="s">
        <v>91</v>
      </c>
      <c r="N2207" s="10" t="s">
        <v>92</v>
      </c>
      <c r="O2207" s="19" t="s">
        <v>16888</v>
      </c>
      <c r="P2207" s="10"/>
      <c r="Q2207" s="10" t="s">
        <v>126</v>
      </c>
      <c r="R2207" s="10"/>
      <c r="S2207" s="19" t="s">
        <v>16889</v>
      </c>
      <c r="T2207" s="10"/>
      <c r="U2207" s="10" t="s">
        <v>16228</v>
      </c>
      <c r="V2207" s="10" t="s">
        <v>16191</v>
      </c>
      <c r="W2207" s="10" t="s">
        <v>16154</v>
      </c>
      <c r="X2207" s="10" t="s">
        <v>130</v>
      </c>
      <c r="Y2207" s="10" t="s">
        <v>130</v>
      </c>
      <c r="Z2207" s="10" t="s">
        <v>99</v>
      </c>
      <c r="AA2207" s="10" t="s">
        <v>131</v>
      </c>
      <c r="AB2207" s="10" t="s">
        <v>16155</v>
      </c>
      <c r="AC2207" s="10" t="s">
        <v>3571</v>
      </c>
      <c r="AD2207" s="10" t="s">
        <v>16890</v>
      </c>
      <c r="AE2207" s="10" t="s">
        <v>16891</v>
      </c>
      <c r="AF2207" s="15"/>
      <c r="AG2207" s="10"/>
      <c r="AH2207" s="10"/>
      <c r="AI2207" s="10"/>
      <c r="AJ2207" s="10"/>
      <c r="AK2207" s="10" t="s">
        <v>102</v>
      </c>
      <c r="AL2207" s="10" t="s">
        <v>7897</v>
      </c>
      <c r="AM2207" s="10"/>
      <c r="AN2207" s="10"/>
      <c r="AO2207" s="13" t="b">
        <v>0</v>
      </c>
      <c r="AP2207" s="22" t="s">
        <v>135</v>
      </c>
      <c r="AQ2207" s="10">
        <f ca="1">IFERROR(__xludf.DUMMYFUNCTION("""COMPUTED_VALUE"""),4653339)</f>
        <v>4653339</v>
      </c>
      <c r="AR2207" s="17">
        <v>4127</v>
      </c>
      <c r="AS2207" s="17">
        <v>3435</v>
      </c>
      <c r="AT2207" s="17">
        <v>57238.5</v>
      </c>
      <c r="AU2207" s="17">
        <v>6.6</v>
      </c>
      <c r="AV2207" s="17">
        <v>0</v>
      </c>
      <c r="AW2207" s="10" t="s">
        <v>105</v>
      </c>
      <c r="AX2207" s="17">
        <v>804</v>
      </c>
      <c r="AY2207" s="18">
        <v>16.663318777292577</v>
      </c>
      <c r="AZ2207" s="10" t="s">
        <v>239</v>
      </c>
      <c r="BA2207" s="20" t="b">
        <v>0</v>
      </c>
      <c r="BB2207" s="10"/>
      <c r="BC2207" s="17">
        <v>4127</v>
      </c>
      <c r="BD2207" s="17">
        <v>3435</v>
      </c>
      <c r="BE2207" s="17">
        <v>57238.5</v>
      </c>
      <c r="BF2207" s="17">
        <v>0</v>
      </c>
      <c r="BG2207" s="11">
        <f ca="1">IFERROR(__xludf.DUMMYFUNCTION("""COMPUTED_VALUE"""),45947.0833333333)</f>
        <v>45947.083333333299</v>
      </c>
      <c r="BH2207" s="17" t="s">
        <v>105</v>
      </c>
      <c r="BI2207" s="17"/>
      <c r="BJ2207" s="15"/>
      <c r="BK2207" s="15"/>
      <c r="BL2207" s="13" t="b">
        <v>0</v>
      </c>
      <c r="BM2207" s="10"/>
      <c r="BN2207" s="10" t="s">
        <v>667</v>
      </c>
      <c r="BO2207" s="11">
        <v>45937.707638888889</v>
      </c>
      <c r="BP2207" s="11">
        <v>45939.66265046296</v>
      </c>
      <c r="BQ2207" s="15">
        <v>45945.666087962964</v>
      </c>
      <c r="BR2207" s="15">
        <v>45945.674131944441</v>
      </c>
      <c r="BS2207" s="10" t="s">
        <v>667</v>
      </c>
      <c r="BT2207" s="10" t="s">
        <v>99</v>
      </c>
      <c r="BU2207" s="10" t="s">
        <v>5675</v>
      </c>
      <c r="BV2207" s="10"/>
      <c r="BW2207" s="10"/>
      <c r="BX2207" s="10"/>
      <c r="BY2207" s="23"/>
      <c r="BZ2207" s="23"/>
      <c r="CA2207" s="19" t="s">
        <v>16892</v>
      </c>
      <c r="CB2207" s="23"/>
      <c r="CC2207" s="23"/>
      <c r="CD2207" s="19" t="s">
        <v>16893</v>
      </c>
      <c r="CE2207" s="23"/>
      <c r="CF2207" s="23"/>
      <c r="CG2207" s="23"/>
      <c r="CH2207" s="23"/>
      <c r="CI2207" s="23"/>
    </row>
    <row r="2208" spans="1:87" x14ac:dyDescent="0.3">
      <c r="A2208" s="9" t="s">
        <v>16894</v>
      </c>
      <c r="B2208" s="10" t="s">
        <v>16895</v>
      </c>
      <c r="C2208" s="11">
        <v>45973.03125</v>
      </c>
      <c r="D2208" s="12">
        <v>8.3333333333333329E-2</v>
      </c>
      <c r="E2208" s="11">
        <v>45973.114583333336</v>
      </c>
      <c r="F2208" s="10" t="s">
        <v>16149</v>
      </c>
      <c r="G2208" s="13" t="b">
        <v>0</v>
      </c>
      <c r="H2208" s="22" t="s">
        <v>3564</v>
      </c>
      <c r="I2208" s="10" t="s">
        <v>89</v>
      </c>
      <c r="J2208" s="13" t="b">
        <v>0</v>
      </c>
      <c r="K2208" s="13" t="b">
        <v>1</v>
      </c>
      <c r="L2208" s="10" t="s">
        <v>124</v>
      </c>
      <c r="M2208" s="10" t="s">
        <v>91</v>
      </c>
      <c r="N2208" s="10" t="s">
        <v>92</v>
      </c>
      <c r="O2208" s="19" t="s">
        <v>16896</v>
      </c>
      <c r="P2208" s="10"/>
      <c r="Q2208" s="10" t="s">
        <v>94</v>
      </c>
      <c r="R2208" s="10"/>
      <c r="S2208" s="19" t="s">
        <v>16897</v>
      </c>
      <c r="T2208" s="10"/>
      <c r="U2208" s="10" t="s">
        <v>16192</v>
      </c>
      <c r="V2208" s="10" t="s">
        <v>16210</v>
      </c>
      <c r="W2208" s="10" t="s">
        <v>16154</v>
      </c>
      <c r="X2208" s="10" t="s">
        <v>130</v>
      </c>
      <c r="Y2208" s="10" t="s">
        <v>130</v>
      </c>
      <c r="Z2208" s="10" t="s">
        <v>99</v>
      </c>
      <c r="AA2208" s="10" t="s">
        <v>131</v>
      </c>
      <c r="AB2208" s="10" t="s">
        <v>16155</v>
      </c>
      <c r="AC2208" s="10" t="s">
        <v>3571</v>
      </c>
      <c r="AD2208" s="10" t="s">
        <v>16850</v>
      </c>
      <c r="AE2208" s="10" t="s">
        <v>16898</v>
      </c>
      <c r="AF2208" s="15"/>
      <c r="AG2208" s="10"/>
      <c r="AH2208" s="10"/>
      <c r="AI2208" s="10"/>
      <c r="AJ2208" s="10"/>
      <c r="AK2208" s="10" t="s">
        <v>102</v>
      </c>
      <c r="AL2208" s="10" t="s">
        <v>7897</v>
      </c>
      <c r="AM2208" s="10"/>
      <c r="AN2208" s="10"/>
      <c r="AO2208" s="13" t="b">
        <v>0</v>
      </c>
      <c r="AP2208" s="22" t="s">
        <v>135</v>
      </c>
      <c r="AQ2208" s="10">
        <f ca="1">IFERROR(__xludf.DUMMYFUNCTION("""COMPUTED_VALUE"""),4713693)</f>
        <v>4713693</v>
      </c>
      <c r="AR2208" s="17">
        <v>4163</v>
      </c>
      <c r="AS2208" s="17">
        <v>3513</v>
      </c>
      <c r="AT2208" s="17">
        <v>82343</v>
      </c>
      <c r="AU2208" s="17">
        <v>8.0500000000000007</v>
      </c>
      <c r="AV2208" s="17">
        <v>4</v>
      </c>
      <c r="AW2208" s="10" t="s">
        <v>105</v>
      </c>
      <c r="AX2208" s="17">
        <v>728</v>
      </c>
      <c r="AY2208" s="18">
        <v>23.439510389980075</v>
      </c>
      <c r="AZ2208" s="10" t="s">
        <v>239</v>
      </c>
      <c r="BA2208" s="20" t="b">
        <v>0</v>
      </c>
      <c r="BB2208" s="10"/>
      <c r="BC2208" s="17">
        <v>4163</v>
      </c>
      <c r="BD2208" s="17">
        <v>3513</v>
      </c>
      <c r="BE2208" s="17">
        <v>82343</v>
      </c>
      <c r="BF2208" s="17">
        <v>4</v>
      </c>
      <c r="BG2208" s="11">
        <f ca="1">IFERROR(__xludf.DUMMYFUNCTION("""COMPUTED_VALUE"""),45973.03125)</f>
        <v>45973.03125</v>
      </c>
      <c r="BH2208" s="17" t="s">
        <v>105</v>
      </c>
      <c r="BI2208" s="17"/>
      <c r="BJ2208" s="15"/>
      <c r="BK2208" s="15"/>
      <c r="BL2208" s="13" t="b">
        <v>0</v>
      </c>
      <c r="BM2208" s="10"/>
      <c r="BN2208" s="10" t="s">
        <v>667</v>
      </c>
      <c r="BO2208" s="11">
        <v>45937.719444444447</v>
      </c>
      <c r="BP2208" s="11">
        <v>45971.381192129629</v>
      </c>
      <c r="BQ2208" s="15">
        <v>45971.865659722222</v>
      </c>
      <c r="BR2208" s="15">
        <v>45971.869479166664</v>
      </c>
      <c r="BS2208" s="10" t="s">
        <v>667</v>
      </c>
      <c r="BT2208" s="10" t="s">
        <v>99</v>
      </c>
      <c r="BU2208" s="10" t="s">
        <v>9114</v>
      </c>
      <c r="BV2208" s="10"/>
      <c r="BW2208" s="10"/>
      <c r="BX2208" s="10"/>
      <c r="BY2208" s="23"/>
      <c r="BZ2208" s="23"/>
      <c r="CA2208" s="19" t="s">
        <v>16899</v>
      </c>
      <c r="CB2208" s="23"/>
      <c r="CC2208" s="23"/>
      <c r="CD2208" s="23"/>
      <c r="CE2208" s="23"/>
      <c r="CF2208" s="23"/>
      <c r="CG2208" s="23"/>
      <c r="CH2208" s="23"/>
      <c r="CI2208" s="23"/>
    </row>
    <row r="2209" spans="1:87" x14ac:dyDescent="0.3">
      <c r="A2209" s="9" t="s">
        <v>16900</v>
      </c>
      <c r="B2209" s="10" t="s">
        <v>16901</v>
      </c>
      <c r="C2209" s="11">
        <v>45937.727083333331</v>
      </c>
      <c r="D2209" s="12">
        <v>8.3333333333333329E-2</v>
      </c>
      <c r="E2209" s="11">
        <v>45937.810416666667</v>
      </c>
      <c r="F2209" s="10" t="s">
        <v>16149</v>
      </c>
      <c r="G2209" s="13" t="b">
        <v>0</v>
      </c>
      <c r="H2209" s="22"/>
      <c r="I2209" s="10" t="s">
        <v>89</v>
      </c>
      <c r="J2209" s="13" t="b">
        <v>0</v>
      </c>
      <c r="K2209" s="13" t="b">
        <v>1</v>
      </c>
      <c r="L2209" s="10" t="s">
        <v>124</v>
      </c>
      <c r="M2209" s="10" t="s">
        <v>91</v>
      </c>
      <c r="N2209" s="10" t="s">
        <v>92</v>
      </c>
      <c r="O2209" s="10"/>
      <c r="P2209" s="10"/>
      <c r="Q2209" s="10" t="s">
        <v>94</v>
      </c>
      <c r="R2209" s="10"/>
      <c r="S2209" s="10"/>
      <c r="T2209" s="10"/>
      <c r="U2209" s="10" t="s">
        <v>16191</v>
      </c>
      <c r="V2209" s="10"/>
      <c r="W2209" s="10" t="s">
        <v>16154</v>
      </c>
      <c r="X2209" s="10" t="s">
        <v>130</v>
      </c>
      <c r="Y2209" s="10" t="s">
        <v>130</v>
      </c>
      <c r="Z2209" s="10" t="s">
        <v>99</v>
      </c>
      <c r="AA2209" s="10" t="s">
        <v>131</v>
      </c>
      <c r="AB2209" s="10" t="s">
        <v>16155</v>
      </c>
      <c r="AC2209" s="10" t="s">
        <v>3571</v>
      </c>
      <c r="AD2209" s="10" t="s">
        <v>16902</v>
      </c>
      <c r="AE2209" s="10" t="s">
        <v>16903</v>
      </c>
      <c r="AF2209" s="15"/>
      <c r="AG2209" s="10"/>
      <c r="AH2209" s="10"/>
      <c r="AI2209" s="10"/>
      <c r="AJ2209" s="10"/>
      <c r="AK2209" s="10" t="s">
        <v>256</v>
      </c>
      <c r="AL2209" s="10" t="s">
        <v>7897</v>
      </c>
      <c r="AM2209" s="10"/>
      <c r="AN2209" s="10"/>
      <c r="AO2209" s="13" t="b">
        <v>0</v>
      </c>
      <c r="AP2209" s="22" t="s">
        <v>135</v>
      </c>
      <c r="AQ2209" s="10"/>
      <c r="AR2209" s="17"/>
      <c r="AS2209" s="17"/>
      <c r="AT2209" s="17"/>
      <c r="AU2209" s="17"/>
      <c r="AV2209" s="17"/>
      <c r="AW2209" s="10"/>
      <c r="AX2209" s="17"/>
      <c r="AY2209" s="18" t="s">
        <v>257</v>
      </c>
      <c r="AZ2209" s="10"/>
      <c r="BA2209" s="20" t="b">
        <v>0</v>
      </c>
      <c r="BB2209" s="10"/>
      <c r="BC2209" s="17" t="s">
        <v>257</v>
      </c>
      <c r="BD2209" s="17" t="s">
        <v>257</v>
      </c>
      <c r="BE2209" s="17" t="s">
        <v>257</v>
      </c>
      <c r="BF2209" s="17" t="s">
        <v>257</v>
      </c>
      <c r="BG2209" s="11">
        <f ca="1">IFERROR(__xludf.DUMMYFUNCTION("""COMPUTED_VALUE"""),45937.7270833333)</f>
        <v>45937.727083333302</v>
      </c>
      <c r="BH2209" s="17"/>
      <c r="BI2209" s="17"/>
      <c r="BJ2209" s="15"/>
      <c r="BK2209" s="15"/>
      <c r="BL2209" s="13" t="b">
        <v>0</v>
      </c>
      <c r="BM2209" s="10"/>
      <c r="BN2209" s="10" t="s">
        <v>241</v>
      </c>
      <c r="BO2209" s="11">
        <v>45937.727083333331</v>
      </c>
      <c r="BP2209" s="11">
        <v>45937.740983796299</v>
      </c>
      <c r="BQ2209" s="15"/>
      <c r="BR2209" s="15"/>
      <c r="BS2209" s="10"/>
      <c r="BT2209" s="10"/>
      <c r="BU2209" s="10"/>
      <c r="BV2209" s="10"/>
      <c r="BW2209" s="10"/>
      <c r="BX2209" s="10"/>
      <c r="BY2209" s="23"/>
      <c r="BZ2209" s="23"/>
      <c r="CA2209" s="23"/>
      <c r="CB2209" s="23"/>
      <c r="CC2209" s="23"/>
      <c r="CD2209" s="23"/>
      <c r="CE2209" s="23"/>
      <c r="CF2209" s="23"/>
      <c r="CG2209" s="23"/>
      <c r="CH2209" s="23"/>
      <c r="CI2209" s="23"/>
    </row>
    <row r="2210" spans="1:87" x14ac:dyDescent="0.3">
      <c r="A2210" s="9" t="s">
        <v>16904</v>
      </c>
      <c r="B2210" s="10" t="s">
        <v>16905</v>
      </c>
      <c r="C2210" s="11">
        <v>45973.125</v>
      </c>
      <c r="D2210" s="12">
        <v>8.3333333333333329E-2</v>
      </c>
      <c r="E2210" s="11">
        <v>45973.208333333336</v>
      </c>
      <c r="F2210" s="10" t="s">
        <v>16149</v>
      </c>
      <c r="G2210" s="13" t="b">
        <v>0</v>
      </c>
      <c r="H2210" s="22"/>
      <c r="I2210" s="10" t="s">
        <v>89</v>
      </c>
      <c r="J2210" s="13" t="b">
        <v>0</v>
      </c>
      <c r="K2210" s="13" t="b">
        <v>1</v>
      </c>
      <c r="L2210" s="10" t="s">
        <v>124</v>
      </c>
      <c r="M2210" s="10" t="s">
        <v>91</v>
      </c>
      <c r="N2210" s="10" t="s">
        <v>92</v>
      </c>
      <c r="O2210" s="10"/>
      <c r="P2210" s="10"/>
      <c r="Q2210" s="10" t="s">
        <v>126</v>
      </c>
      <c r="R2210" s="10"/>
      <c r="S2210" s="10"/>
      <c r="T2210" s="10"/>
      <c r="U2210" s="10" t="s">
        <v>16191</v>
      </c>
      <c r="V2210" s="10" t="s">
        <v>16164</v>
      </c>
      <c r="W2210" s="10" t="s">
        <v>16154</v>
      </c>
      <c r="X2210" s="10" t="s">
        <v>130</v>
      </c>
      <c r="Y2210" s="10" t="s">
        <v>130</v>
      </c>
      <c r="Z2210" s="10" t="s">
        <v>99</v>
      </c>
      <c r="AA2210" s="10" t="s">
        <v>131</v>
      </c>
      <c r="AB2210" s="10" t="s">
        <v>16155</v>
      </c>
      <c r="AC2210" s="10" t="s">
        <v>3571</v>
      </c>
      <c r="AD2210" s="10" t="s">
        <v>16906</v>
      </c>
      <c r="AE2210" s="10" t="s">
        <v>16907</v>
      </c>
      <c r="AF2210" s="15"/>
      <c r="AG2210" s="10"/>
      <c r="AH2210" s="10"/>
      <c r="AI2210" s="10"/>
      <c r="AJ2210" s="10"/>
      <c r="AK2210" s="10" t="s">
        <v>256</v>
      </c>
      <c r="AL2210" s="10" t="s">
        <v>7897</v>
      </c>
      <c r="AM2210" s="10"/>
      <c r="AN2210" s="10"/>
      <c r="AO2210" s="13" t="b">
        <v>0</v>
      </c>
      <c r="AP2210" s="22" t="s">
        <v>135</v>
      </c>
      <c r="AQ2210" s="10"/>
      <c r="AR2210" s="17"/>
      <c r="AS2210" s="17"/>
      <c r="AT2210" s="17"/>
      <c r="AU2210" s="17"/>
      <c r="AV2210" s="17"/>
      <c r="AW2210" s="10"/>
      <c r="AX2210" s="17"/>
      <c r="AY2210" s="18" t="s">
        <v>257</v>
      </c>
      <c r="AZ2210" s="10"/>
      <c r="BA2210" s="20" t="b">
        <v>0</v>
      </c>
      <c r="BB2210" s="10"/>
      <c r="BC2210" s="17" t="s">
        <v>257</v>
      </c>
      <c r="BD2210" s="17" t="s">
        <v>257</v>
      </c>
      <c r="BE2210" s="17" t="s">
        <v>257</v>
      </c>
      <c r="BF2210" s="17" t="s">
        <v>257</v>
      </c>
      <c r="BG2210" s="11">
        <f ca="1">IFERROR(__xludf.DUMMYFUNCTION("""COMPUTED_VALUE"""),45973.125)</f>
        <v>45973.125</v>
      </c>
      <c r="BH2210" s="17"/>
      <c r="BI2210" s="17"/>
      <c r="BJ2210" s="15"/>
      <c r="BK2210" s="15"/>
      <c r="BL2210" s="13" t="b">
        <v>0</v>
      </c>
      <c r="BM2210" s="10"/>
      <c r="BN2210" s="10" t="s">
        <v>241</v>
      </c>
      <c r="BO2210" s="11">
        <v>45937.727777777778</v>
      </c>
      <c r="BP2210" s="11">
        <v>45937.728634259256</v>
      </c>
      <c r="BQ2210" s="15"/>
      <c r="BR2210" s="15"/>
      <c r="BS2210" s="10"/>
      <c r="BT2210" s="10" t="s">
        <v>99</v>
      </c>
      <c r="BU2210" s="10"/>
      <c r="BV2210" s="10"/>
      <c r="BW2210" s="10"/>
      <c r="BX2210" s="10"/>
      <c r="BY2210" s="23"/>
      <c r="BZ2210" s="23"/>
      <c r="CA2210" s="23"/>
      <c r="CB2210" s="23"/>
      <c r="CC2210" s="23"/>
      <c r="CD2210" s="23"/>
      <c r="CE2210" s="23"/>
      <c r="CF2210" s="23"/>
      <c r="CG2210" s="23"/>
      <c r="CH2210" s="23"/>
      <c r="CI2210" s="23"/>
    </row>
    <row r="2211" spans="1:87" x14ac:dyDescent="0.3">
      <c r="A2211" s="9" t="s">
        <v>16908</v>
      </c>
      <c r="B2211" s="10" t="s">
        <v>16909</v>
      </c>
      <c r="C2211" s="11">
        <v>45973.125</v>
      </c>
      <c r="D2211" s="12">
        <v>8.3333333333333329E-2</v>
      </c>
      <c r="E2211" s="11">
        <v>45973.208333333336</v>
      </c>
      <c r="F2211" s="10" t="s">
        <v>16149</v>
      </c>
      <c r="G2211" s="13" t="b">
        <v>0</v>
      </c>
      <c r="H2211" s="22" t="s">
        <v>3564</v>
      </c>
      <c r="I2211" s="10" t="s">
        <v>89</v>
      </c>
      <c r="J2211" s="13" t="b">
        <v>0</v>
      </c>
      <c r="K2211" s="13" t="b">
        <v>1</v>
      </c>
      <c r="L2211" s="10" t="s">
        <v>124</v>
      </c>
      <c r="M2211" s="10" t="s">
        <v>91</v>
      </c>
      <c r="N2211" s="10" t="s">
        <v>92</v>
      </c>
      <c r="O2211" s="19" t="s">
        <v>16910</v>
      </c>
      <c r="P2211" s="10"/>
      <c r="Q2211" s="10" t="s">
        <v>126</v>
      </c>
      <c r="R2211" s="10"/>
      <c r="S2211" s="19" t="s">
        <v>16911</v>
      </c>
      <c r="T2211" s="10"/>
      <c r="U2211" s="10" t="s">
        <v>16218</v>
      </c>
      <c r="V2211" s="10" t="s">
        <v>15684</v>
      </c>
      <c r="W2211" s="10" t="s">
        <v>16154</v>
      </c>
      <c r="X2211" s="10" t="s">
        <v>130</v>
      </c>
      <c r="Y2211" s="10" t="s">
        <v>130</v>
      </c>
      <c r="Z2211" s="10" t="s">
        <v>99</v>
      </c>
      <c r="AA2211" s="10" t="s">
        <v>131</v>
      </c>
      <c r="AB2211" s="10" t="s">
        <v>16155</v>
      </c>
      <c r="AC2211" s="10" t="s">
        <v>3571</v>
      </c>
      <c r="AD2211" s="10" t="s">
        <v>16862</v>
      </c>
      <c r="AE2211" s="10" t="s">
        <v>16912</v>
      </c>
      <c r="AF2211" s="15"/>
      <c r="AG2211" s="10"/>
      <c r="AH2211" s="10"/>
      <c r="AI2211" s="10"/>
      <c r="AJ2211" s="10"/>
      <c r="AK2211" s="10" t="s">
        <v>102</v>
      </c>
      <c r="AL2211" s="10" t="s">
        <v>7897</v>
      </c>
      <c r="AM2211" s="10"/>
      <c r="AN2211" s="10"/>
      <c r="AO2211" s="13" t="b">
        <v>0</v>
      </c>
      <c r="AP2211" s="22" t="s">
        <v>135</v>
      </c>
      <c r="AQ2211" s="10">
        <f ca="1">IFERROR(__xludf.DUMMYFUNCTION("""COMPUTED_VALUE"""),4713683)</f>
        <v>4713683</v>
      </c>
      <c r="AR2211" s="17">
        <v>3200</v>
      </c>
      <c r="AS2211" s="17">
        <v>2676</v>
      </c>
      <c r="AT2211" s="17">
        <v>45359</v>
      </c>
      <c r="AU2211" s="17">
        <v>3.15</v>
      </c>
      <c r="AV2211" s="17">
        <v>0</v>
      </c>
      <c r="AW2211" s="10" t="s">
        <v>105</v>
      </c>
      <c r="AX2211" s="17">
        <v>685</v>
      </c>
      <c r="AY2211" s="18">
        <v>16.950298953662184</v>
      </c>
      <c r="AZ2211" s="10" t="s">
        <v>239</v>
      </c>
      <c r="BA2211" s="20" t="b">
        <v>0</v>
      </c>
      <c r="BB2211" s="10"/>
      <c r="BC2211" s="17">
        <v>3200</v>
      </c>
      <c r="BD2211" s="17">
        <v>2676</v>
      </c>
      <c r="BE2211" s="17">
        <v>45359</v>
      </c>
      <c r="BF2211" s="17">
        <v>0</v>
      </c>
      <c r="BG2211" s="11">
        <f ca="1">IFERROR(__xludf.DUMMYFUNCTION("""COMPUTED_VALUE"""),45973.125)</f>
        <v>45973.125</v>
      </c>
      <c r="BH2211" s="17" t="s">
        <v>105</v>
      </c>
      <c r="BI2211" s="17"/>
      <c r="BJ2211" s="15"/>
      <c r="BK2211" s="15"/>
      <c r="BL2211" s="13" t="b">
        <v>0</v>
      </c>
      <c r="BM2211" s="10"/>
      <c r="BN2211" s="10" t="s">
        <v>667</v>
      </c>
      <c r="BO2211" s="11">
        <v>45937.729166666664</v>
      </c>
      <c r="BP2211" s="11">
        <v>45971.381377314814</v>
      </c>
      <c r="BQ2211" s="15">
        <v>45971.71565972222</v>
      </c>
      <c r="BR2211" s="15">
        <v>45971.856759259259</v>
      </c>
      <c r="BS2211" s="10" t="s">
        <v>667</v>
      </c>
      <c r="BT2211" s="10" t="s">
        <v>99</v>
      </c>
      <c r="BU2211" s="10" t="s">
        <v>9114</v>
      </c>
      <c r="BV2211" s="10"/>
      <c r="BW2211" s="10"/>
      <c r="BX2211" s="10"/>
      <c r="BY2211" s="23"/>
      <c r="BZ2211" s="23"/>
      <c r="CA2211" s="19" t="s">
        <v>16913</v>
      </c>
      <c r="CB2211" s="23"/>
      <c r="CC2211" s="23"/>
      <c r="CD2211" s="19" t="s">
        <v>16914</v>
      </c>
      <c r="CE2211" s="23"/>
      <c r="CF2211" s="23"/>
      <c r="CG2211" s="23"/>
      <c r="CH2211" s="23"/>
      <c r="CI2211" s="23"/>
    </row>
    <row r="2212" spans="1:87" x14ac:dyDescent="0.3">
      <c r="A2212" s="9" t="s">
        <v>16915</v>
      </c>
      <c r="B2212" s="10" t="s">
        <v>16916</v>
      </c>
      <c r="C2212" s="11">
        <v>45973.125</v>
      </c>
      <c r="D2212" s="12">
        <v>8.3333333333333329E-2</v>
      </c>
      <c r="E2212" s="11">
        <v>45973.208333333336</v>
      </c>
      <c r="F2212" s="10" t="s">
        <v>16149</v>
      </c>
      <c r="G2212" s="13" t="b">
        <v>0</v>
      </c>
      <c r="H2212" s="22" t="s">
        <v>3578</v>
      </c>
      <c r="I2212" s="10" t="s">
        <v>89</v>
      </c>
      <c r="J2212" s="13" t="b">
        <v>0</v>
      </c>
      <c r="K2212" s="13" t="b">
        <v>1</v>
      </c>
      <c r="L2212" s="10" t="s">
        <v>124</v>
      </c>
      <c r="M2212" s="10" t="s">
        <v>91</v>
      </c>
      <c r="N2212" s="10" t="s">
        <v>92</v>
      </c>
      <c r="O2212" s="19" t="s">
        <v>16917</v>
      </c>
      <c r="P2212" s="10"/>
      <c r="Q2212" s="10" t="s">
        <v>126</v>
      </c>
      <c r="R2212" s="10"/>
      <c r="S2212" s="19" t="s">
        <v>16918</v>
      </c>
      <c r="T2212" s="10"/>
      <c r="U2212" s="10" t="s">
        <v>16172</v>
      </c>
      <c r="V2212" s="10" t="s">
        <v>16227</v>
      </c>
      <c r="W2212" s="10" t="s">
        <v>16154</v>
      </c>
      <c r="X2212" s="10" t="s">
        <v>130</v>
      </c>
      <c r="Y2212" s="10" t="s">
        <v>130</v>
      </c>
      <c r="Z2212" s="10" t="s">
        <v>99</v>
      </c>
      <c r="AA2212" s="10" t="s">
        <v>131</v>
      </c>
      <c r="AB2212" s="10" t="s">
        <v>16155</v>
      </c>
      <c r="AC2212" s="10" t="s">
        <v>3571</v>
      </c>
      <c r="AD2212" s="10" t="s">
        <v>16919</v>
      </c>
      <c r="AE2212" s="10" t="s">
        <v>16920</v>
      </c>
      <c r="AF2212" s="15"/>
      <c r="AG2212" s="10"/>
      <c r="AH2212" s="10"/>
      <c r="AI2212" s="10"/>
      <c r="AJ2212" s="10"/>
      <c r="AK2212" s="10" t="s">
        <v>102</v>
      </c>
      <c r="AL2212" s="10" t="s">
        <v>7897</v>
      </c>
      <c r="AM2212" s="10"/>
      <c r="AN2212" s="10"/>
      <c r="AO2212" s="13" t="b">
        <v>0</v>
      </c>
      <c r="AP2212" s="22" t="s">
        <v>135</v>
      </c>
      <c r="AQ2212" s="10">
        <f ca="1">IFERROR(__xludf.DUMMYFUNCTION("""COMPUTED_VALUE"""),4713686)</f>
        <v>4713686</v>
      </c>
      <c r="AR2212" s="17">
        <v>1399</v>
      </c>
      <c r="AS2212" s="17">
        <v>1099</v>
      </c>
      <c r="AT2212" s="17">
        <v>14300.25</v>
      </c>
      <c r="AU2212" s="17">
        <v>1</v>
      </c>
      <c r="AV2212" s="17">
        <v>0.25</v>
      </c>
      <c r="AW2212" s="10" t="s">
        <v>105</v>
      </c>
      <c r="AX2212" s="17">
        <v>226</v>
      </c>
      <c r="AY2212" s="18">
        <v>13.012056414922657</v>
      </c>
      <c r="AZ2212" s="10" t="s">
        <v>239</v>
      </c>
      <c r="BA2212" s="20" t="b">
        <v>0</v>
      </c>
      <c r="BB2212" s="10"/>
      <c r="BC2212" s="17">
        <v>1399</v>
      </c>
      <c r="BD2212" s="17">
        <v>1099</v>
      </c>
      <c r="BE2212" s="17">
        <v>14300.25</v>
      </c>
      <c r="BF2212" s="17">
        <v>0.25</v>
      </c>
      <c r="BG2212" s="11">
        <f ca="1">IFERROR(__xludf.DUMMYFUNCTION("""COMPUTED_VALUE"""),45973.125)</f>
        <v>45973.125</v>
      </c>
      <c r="BH2212" s="17" t="s">
        <v>105</v>
      </c>
      <c r="BI2212" s="17"/>
      <c r="BJ2212" s="15"/>
      <c r="BK2212" s="15"/>
      <c r="BL2212" s="13" t="b">
        <v>0</v>
      </c>
      <c r="BM2212" s="10"/>
      <c r="BN2212" s="10" t="s">
        <v>667</v>
      </c>
      <c r="BO2212" s="11">
        <v>45937.734027777777</v>
      </c>
      <c r="BP2212" s="11">
        <v>45971.37903935185</v>
      </c>
      <c r="BQ2212" s="15">
        <v>45971.71534722222</v>
      </c>
      <c r="BR2212" s="15">
        <v>45971.856678240743</v>
      </c>
      <c r="BS2212" s="10" t="s">
        <v>667</v>
      </c>
      <c r="BT2212" s="10" t="s">
        <v>99</v>
      </c>
      <c r="BU2212" s="10" t="s">
        <v>6753</v>
      </c>
      <c r="BV2212" s="10"/>
      <c r="BW2212" s="10"/>
      <c r="BX2212" s="10"/>
      <c r="BY2212" s="23"/>
      <c r="BZ2212" s="23"/>
      <c r="CA2212" s="19" t="s">
        <v>16921</v>
      </c>
      <c r="CB2212" s="23"/>
      <c r="CC2212" s="23"/>
      <c r="CD2212" s="19" t="s">
        <v>16922</v>
      </c>
      <c r="CE2212" s="23"/>
      <c r="CF2212" s="23"/>
      <c r="CG2212" s="23"/>
      <c r="CH2212" s="23"/>
      <c r="CI2212" s="23"/>
    </row>
    <row r="2213" spans="1:87" x14ac:dyDescent="0.3">
      <c r="A2213" s="9" t="s">
        <v>16923</v>
      </c>
      <c r="B2213" s="10" t="s">
        <v>16924</v>
      </c>
      <c r="C2213" s="11">
        <v>45974.03125</v>
      </c>
      <c r="D2213" s="12">
        <v>8.3333333333333329E-2</v>
      </c>
      <c r="E2213" s="11">
        <v>45974.114583333336</v>
      </c>
      <c r="F2213" s="10" t="s">
        <v>16149</v>
      </c>
      <c r="G2213" s="13" t="b">
        <v>0</v>
      </c>
      <c r="H2213" s="22" t="s">
        <v>3564</v>
      </c>
      <c r="I2213" s="10" t="s">
        <v>89</v>
      </c>
      <c r="J2213" s="13" t="b">
        <v>0</v>
      </c>
      <c r="K2213" s="13" t="b">
        <v>1</v>
      </c>
      <c r="L2213" s="10" t="s">
        <v>124</v>
      </c>
      <c r="M2213" s="10" t="s">
        <v>91</v>
      </c>
      <c r="N2213" s="10" t="s">
        <v>92</v>
      </c>
      <c r="O2213" s="19" t="s">
        <v>16925</v>
      </c>
      <c r="P2213" s="10"/>
      <c r="Q2213" s="10" t="s">
        <v>126</v>
      </c>
      <c r="R2213" s="10"/>
      <c r="S2213" s="19" t="s">
        <v>16926</v>
      </c>
      <c r="T2213" s="10"/>
      <c r="U2213" s="10" t="s">
        <v>16181</v>
      </c>
      <c r="V2213" s="10" t="s">
        <v>16165</v>
      </c>
      <c r="W2213" s="10" t="s">
        <v>16154</v>
      </c>
      <c r="X2213" s="10" t="s">
        <v>130</v>
      </c>
      <c r="Y2213" s="10" t="s">
        <v>130</v>
      </c>
      <c r="Z2213" s="10" t="s">
        <v>99</v>
      </c>
      <c r="AA2213" s="10" t="s">
        <v>131</v>
      </c>
      <c r="AB2213" s="10" t="s">
        <v>16155</v>
      </c>
      <c r="AC2213" s="10" t="s">
        <v>3571</v>
      </c>
      <c r="AD2213" s="10" t="s">
        <v>165</v>
      </c>
      <c r="AE2213" s="10" t="s">
        <v>16927</v>
      </c>
      <c r="AF2213" s="15"/>
      <c r="AG2213" s="10"/>
      <c r="AH2213" s="10"/>
      <c r="AI2213" s="10"/>
      <c r="AJ2213" s="10"/>
      <c r="AK2213" s="10" t="s">
        <v>102</v>
      </c>
      <c r="AL2213" s="10" t="s">
        <v>7897</v>
      </c>
      <c r="AM2213" s="10"/>
      <c r="AN2213" s="10"/>
      <c r="AO2213" s="13" t="b">
        <v>0</v>
      </c>
      <c r="AP2213" s="22" t="s">
        <v>135</v>
      </c>
      <c r="AQ2213" s="10">
        <f ca="1">IFERROR(__xludf.DUMMYFUNCTION("""COMPUTED_VALUE"""),4713684)</f>
        <v>4713684</v>
      </c>
      <c r="AR2213" s="17">
        <v>5337</v>
      </c>
      <c r="AS2213" s="17">
        <v>4193</v>
      </c>
      <c r="AT2213" s="17">
        <v>76418.25</v>
      </c>
      <c r="AU2213" s="17">
        <v>3.1</v>
      </c>
      <c r="AV2213" s="17">
        <v>2.1</v>
      </c>
      <c r="AW2213" s="10" t="s">
        <v>105</v>
      </c>
      <c r="AX2213" s="17">
        <v>901</v>
      </c>
      <c r="AY2213" s="18">
        <v>18.225196756498928</v>
      </c>
      <c r="AZ2213" s="10" t="s">
        <v>239</v>
      </c>
      <c r="BA2213" s="20" t="b">
        <v>0</v>
      </c>
      <c r="BB2213" s="10"/>
      <c r="BC2213" s="17">
        <v>5337</v>
      </c>
      <c r="BD2213" s="17">
        <v>4193</v>
      </c>
      <c r="BE2213" s="17">
        <v>76418.25</v>
      </c>
      <c r="BF2213" s="17">
        <v>2.1</v>
      </c>
      <c r="BG2213" s="11">
        <f ca="1">IFERROR(__xludf.DUMMYFUNCTION("""COMPUTED_VALUE"""),45974.03125)</f>
        <v>45974.03125</v>
      </c>
      <c r="BH2213" s="17" t="s">
        <v>105</v>
      </c>
      <c r="BI2213" s="17"/>
      <c r="BJ2213" s="15"/>
      <c r="BK2213" s="15"/>
      <c r="BL2213" s="13" t="b">
        <v>0</v>
      </c>
      <c r="BM2213" s="10"/>
      <c r="BN2213" s="10" t="s">
        <v>1149</v>
      </c>
      <c r="BO2213" s="11">
        <v>45937.736111111109</v>
      </c>
      <c r="BP2213" s="11">
        <v>45971.381689814814</v>
      </c>
      <c r="BQ2213" s="15">
        <v>45971.715844907405</v>
      </c>
      <c r="BR2213" s="15">
        <v>45971.856886574074</v>
      </c>
      <c r="BS2213" s="10" t="s">
        <v>1149</v>
      </c>
      <c r="BT2213" s="10" t="s">
        <v>99</v>
      </c>
      <c r="BU2213" s="10" t="s">
        <v>8013</v>
      </c>
      <c r="BV2213" s="10"/>
      <c r="BW2213" s="10"/>
      <c r="BX2213" s="10"/>
      <c r="BY2213" s="23"/>
      <c r="BZ2213" s="23"/>
      <c r="CA2213" s="19" t="s">
        <v>16928</v>
      </c>
      <c r="CB2213" s="23"/>
      <c r="CC2213" s="23"/>
      <c r="CD2213" s="19" t="s">
        <v>16929</v>
      </c>
      <c r="CE2213" s="23"/>
      <c r="CF2213" s="23"/>
      <c r="CG2213" s="23"/>
      <c r="CH2213" s="23"/>
      <c r="CI2213" s="23"/>
    </row>
    <row r="2214" spans="1:87" x14ac:dyDescent="0.3">
      <c r="A2214" s="9" t="s">
        <v>16930</v>
      </c>
      <c r="B2214" s="10" t="s">
        <v>16931</v>
      </c>
      <c r="C2214" s="11">
        <v>45974.03125</v>
      </c>
      <c r="D2214" s="12">
        <v>8.3333333333333329E-2</v>
      </c>
      <c r="E2214" s="11">
        <v>45974.114583333336</v>
      </c>
      <c r="F2214" s="10" t="s">
        <v>16149</v>
      </c>
      <c r="G2214" s="13" t="b">
        <v>0</v>
      </c>
      <c r="H2214" s="22" t="s">
        <v>3578</v>
      </c>
      <c r="I2214" s="10" t="s">
        <v>89</v>
      </c>
      <c r="J2214" s="13" t="b">
        <v>0</v>
      </c>
      <c r="K2214" s="13" t="b">
        <v>1</v>
      </c>
      <c r="L2214" s="10" t="s">
        <v>124</v>
      </c>
      <c r="M2214" s="10" t="s">
        <v>91</v>
      </c>
      <c r="N2214" s="10" t="s">
        <v>92</v>
      </c>
      <c r="O2214" s="19" t="s">
        <v>16932</v>
      </c>
      <c r="P2214" s="10"/>
      <c r="Q2214" s="10" t="s">
        <v>126</v>
      </c>
      <c r="R2214" s="10"/>
      <c r="S2214" s="19" t="s">
        <v>16933</v>
      </c>
      <c r="T2214" s="10"/>
      <c r="U2214" s="10" t="s">
        <v>16182</v>
      </c>
      <c r="V2214" s="10" t="s">
        <v>15259</v>
      </c>
      <c r="W2214" s="10" t="s">
        <v>16154</v>
      </c>
      <c r="X2214" s="10" t="s">
        <v>130</v>
      </c>
      <c r="Y2214" s="10" t="s">
        <v>130</v>
      </c>
      <c r="Z2214" s="10" t="s">
        <v>99</v>
      </c>
      <c r="AA2214" s="10" t="s">
        <v>131</v>
      </c>
      <c r="AB2214" s="10" t="s">
        <v>16155</v>
      </c>
      <c r="AC2214" s="10" t="s">
        <v>3571</v>
      </c>
      <c r="AD2214" s="10" t="s">
        <v>16934</v>
      </c>
      <c r="AE2214" s="10" t="s">
        <v>16935</v>
      </c>
      <c r="AF2214" s="15"/>
      <c r="AG2214" s="10"/>
      <c r="AH2214" s="10"/>
      <c r="AI2214" s="10"/>
      <c r="AJ2214" s="10"/>
      <c r="AK2214" s="10" t="s">
        <v>102</v>
      </c>
      <c r="AL2214" s="10" t="s">
        <v>7897</v>
      </c>
      <c r="AM2214" s="10"/>
      <c r="AN2214" s="10"/>
      <c r="AO2214" s="13" t="b">
        <v>0</v>
      </c>
      <c r="AP2214" s="22" t="s">
        <v>135</v>
      </c>
      <c r="AQ2214" s="10">
        <f ca="1">IFERROR(__xludf.DUMMYFUNCTION("""COMPUTED_VALUE"""),4713687)</f>
        <v>4713687</v>
      </c>
      <c r="AR2214" s="17">
        <v>6768</v>
      </c>
      <c r="AS2214" s="17">
        <v>5329</v>
      </c>
      <c r="AT2214" s="17">
        <v>101888.5</v>
      </c>
      <c r="AU2214" s="17">
        <v>6.3</v>
      </c>
      <c r="AV2214" s="17">
        <v>1.5</v>
      </c>
      <c r="AW2214" s="10" t="s">
        <v>105</v>
      </c>
      <c r="AX2214" s="17">
        <v>897</v>
      </c>
      <c r="AY2214" s="18">
        <v>19.119628448114092</v>
      </c>
      <c r="AZ2214" s="10" t="s">
        <v>239</v>
      </c>
      <c r="BA2214" s="20" t="b">
        <v>0</v>
      </c>
      <c r="BB2214" s="10"/>
      <c r="BC2214" s="17">
        <v>6768</v>
      </c>
      <c r="BD2214" s="17">
        <v>5329</v>
      </c>
      <c r="BE2214" s="17">
        <v>101888.5</v>
      </c>
      <c r="BF2214" s="17">
        <v>1.5</v>
      </c>
      <c r="BG2214" s="11">
        <f ca="1">IFERROR(__xludf.DUMMYFUNCTION("""COMPUTED_VALUE"""),45974.03125)</f>
        <v>45974.03125</v>
      </c>
      <c r="BH2214" s="17" t="s">
        <v>105</v>
      </c>
      <c r="BI2214" s="17"/>
      <c r="BJ2214" s="15"/>
      <c r="BK2214" s="15"/>
      <c r="BL2214" s="13" t="b">
        <v>0</v>
      </c>
      <c r="BM2214" s="10"/>
      <c r="BN2214" s="10" t="s">
        <v>1149</v>
      </c>
      <c r="BO2214" s="11">
        <v>45937.740277777775</v>
      </c>
      <c r="BP2214" s="11">
        <v>45971.37945601852</v>
      </c>
      <c r="BQ2214" s="15">
        <v>45971.787546296298</v>
      </c>
      <c r="BR2214" s="15">
        <v>45971.857199074075</v>
      </c>
      <c r="BS2214" s="10" t="s">
        <v>1149</v>
      </c>
      <c r="BT2214" s="10" t="s">
        <v>99</v>
      </c>
      <c r="BU2214" s="10" t="s">
        <v>5492</v>
      </c>
      <c r="BV2214" s="10"/>
      <c r="BW2214" s="10"/>
      <c r="BX2214" s="10"/>
      <c r="BY2214" s="23"/>
      <c r="BZ2214" s="23"/>
      <c r="CA2214" s="19" t="s">
        <v>16936</v>
      </c>
      <c r="CB2214" s="23"/>
      <c r="CC2214" s="23"/>
      <c r="CD2214" s="19" t="s">
        <v>16937</v>
      </c>
      <c r="CE2214" s="23"/>
      <c r="CF2214" s="23"/>
      <c r="CG2214" s="23"/>
      <c r="CH2214" s="23"/>
      <c r="CI2214" s="23"/>
    </row>
    <row r="2215" spans="1:87" x14ac:dyDescent="0.3">
      <c r="A2215" s="9" t="s">
        <v>16938</v>
      </c>
      <c r="B2215" s="10" t="s">
        <v>16939</v>
      </c>
      <c r="C2215" s="11">
        <v>45974.125</v>
      </c>
      <c r="D2215" s="12">
        <v>8.3333333333333329E-2</v>
      </c>
      <c r="E2215" s="11">
        <v>45974.208333333336</v>
      </c>
      <c r="F2215" s="10" t="s">
        <v>16149</v>
      </c>
      <c r="G2215" s="13" t="b">
        <v>0</v>
      </c>
      <c r="H2215" s="22"/>
      <c r="I2215" s="10" t="s">
        <v>89</v>
      </c>
      <c r="J2215" s="13" t="b">
        <v>0</v>
      </c>
      <c r="K2215" s="13" t="b">
        <v>1</v>
      </c>
      <c r="L2215" s="10" t="s">
        <v>124</v>
      </c>
      <c r="M2215" s="10" t="s">
        <v>91</v>
      </c>
      <c r="N2215" s="10" t="s">
        <v>92</v>
      </c>
      <c r="O2215" s="10"/>
      <c r="P2215" s="10"/>
      <c r="Q2215" s="10" t="s">
        <v>94</v>
      </c>
      <c r="R2215" s="10"/>
      <c r="S2215" s="10"/>
      <c r="T2215" s="10"/>
      <c r="U2215" s="10" t="s">
        <v>16153</v>
      </c>
      <c r="V2215" s="10" t="s">
        <v>16201</v>
      </c>
      <c r="W2215" s="10" t="s">
        <v>16154</v>
      </c>
      <c r="X2215" s="10" t="s">
        <v>130</v>
      </c>
      <c r="Y2215" s="10" t="s">
        <v>130</v>
      </c>
      <c r="Z2215" s="10" t="s">
        <v>99</v>
      </c>
      <c r="AA2215" s="10" t="s">
        <v>131</v>
      </c>
      <c r="AB2215" s="10" t="s">
        <v>16155</v>
      </c>
      <c r="AC2215" s="10" t="s">
        <v>3571</v>
      </c>
      <c r="AD2215" s="10" t="s">
        <v>16940</v>
      </c>
      <c r="AE2215" s="10" t="s">
        <v>16941</v>
      </c>
      <c r="AF2215" s="15"/>
      <c r="AG2215" s="10"/>
      <c r="AH2215" s="10"/>
      <c r="AI2215" s="10"/>
      <c r="AJ2215" s="10"/>
      <c r="AK2215" s="10" t="s">
        <v>256</v>
      </c>
      <c r="AL2215" s="10" t="s">
        <v>7897</v>
      </c>
      <c r="AM2215" s="10"/>
      <c r="AN2215" s="10"/>
      <c r="AO2215" s="13" t="b">
        <v>0</v>
      </c>
      <c r="AP2215" s="22" t="s">
        <v>135</v>
      </c>
      <c r="AQ2215" s="10"/>
      <c r="AR2215" s="17"/>
      <c r="AS2215" s="17"/>
      <c r="AT2215" s="17"/>
      <c r="AU2215" s="17"/>
      <c r="AV2215" s="17"/>
      <c r="AW2215" s="10"/>
      <c r="AX2215" s="17"/>
      <c r="AY2215" s="18" t="s">
        <v>257</v>
      </c>
      <c r="AZ2215" s="10"/>
      <c r="BA2215" s="20" t="b">
        <v>0</v>
      </c>
      <c r="BB2215" s="10"/>
      <c r="BC2215" s="17" t="s">
        <v>257</v>
      </c>
      <c r="BD2215" s="17" t="s">
        <v>257</v>
      </c>
      <c r="BE2215" s="17" t="s">
        <v>257</v>
      </c>
      <c r="BF2215" s="17" t="s">
        <v>257</v>
      </c>
      <c r="BG2215" s="11">
        <f ca="1">IFERROR(__xludf.DUMMYFUNCTION("""COMPUTED_VALUE"""),45974.125)</f>
        <v>45974.125</v>
      </c>
      <c r="BH2215" s="17"/>
      <c r="BI2215" s="17"/>
      <c r="BJ2215" s="15"/>
      <c r="BK2215" s="15"/>
      <c r="BL2215" s="13" t="b">
        <v>0</v>
      </c>
      <c r="BM2215" s="10"/>
      <c r="BN2215" s="10" t="s">
        <v>241</v>
      </c>
      <c r="BO2215" s="11">
        <v>45937.741666666669</v>
      </c>
      <c r="BP2215" s="11">
        <v>45944.560173611113</v>
      </c>
      <c r="BQ2215" s="15"/>
      <c r="BR2215" s="15"/>
      <c r="BS2215" s="10"/>
      <c r="BT2215" s="10" t="s">
        <v>99</v>
      </c>
      <c r="BU2215" s="10"/>
      <c r="BV2215" s="10"/>
      <c r="BW2215" s="10"/>
      <c r="BX2215" s="10"/>
      <c r="BY2215" s="23"/>
      <c r="BZ2215" s="23"/>
      <c r="CA2215" s="23"/>
      <c r="CB2215" s="23"/>
      <c r="CC2215" s="23"/>
      <c r="CD2215" s="23"/>
      <c r="CE2215" s="23"/>
      <c r="CF2215" s="23"/>
      <c r="CG2215" s="23"/>
      <c r="CH2215" s="23"/>
      <c r="CI2215" s="23"/>
    </row>
    <row r="2216" spans="1:87" x14ac:dyDescent="0.3">
      <c r="A2216" s="9" t="s">
        <v>16942</v>
      </c>
      <c r="B2216" s="10" t="s">
        <v>16943</v>
      </c>
      <c r="C2216" s="11">
        <v>45974.125</v>
      </c>
      <c r="D2216" s="12">
        <v>8.3333333333333329E-2</v>
      </c>
      <c r="E2216" s="11">
        <v>45974.208333333336</v>
      </c>
      <c r="F2216" s="10" t="s">
        <v>16149</v>
      </c>
      <c r="G2216" s="13" t="b">
        <v>0</v>
      </c>
      <c r="H2216" s="22" t="s">
        <v>3564</v>
      </c>
      <c r="I2216" s="10" t="s">
        <v>89</v>
      </c>
      <c r="J2216" s="13" t="b">
        <v>0</v>
      </c>
      <c r="K2216" s="13" t="b">
        <v>1</v>
      </c>
      <c r="L2216" s="10" t="s">
        <v>124</v>
      </c>
      <c r="M2216" s="10" t="s">
        <v>91</v>
      </c>
      <c r="N2216" s="10" t="s">
        <v>92</v>
      </c>
      <c r="O2216" s="19" t="s">
        <v>16944</v>
      </c>
      <c r="P2216" s="10"/>
      <c r="Q2216" s="10" t="s">
        <v>126</v>
      </c>
      <c r="R2216" s="10"/>
      <c r="S2216" s="19" t="s">
        <v>16945</v>
      </c>
      <c r="T2216" s="10"/>
      <c r="U2216" s="10" t="s">
        <v>16219</v>
      </c>
      <c r="V2216" s="10" t="s">
        <v>16152</v>
      </c>
      <c r="W2216" s="10" t="s">
        <v>16154</v>
      </c>
      <c r="X2216" s="10" t="s">
        <v>130</v>
      </c>
      <c r="Y2216" s="10" t="s">
        <v>130</v>
      </c>
      <c r="Z2216" s="10" t="s">
        <v>99</v>
      </c>
      <c r="AA2216" s="10" t="s">
        <v>131</v>
      </c>
      <c r="AB2216" s="10" t="s">
        <v>16155</v>
      </c>
      <c r="AC2216" s="10" t="s">
        <v>3571</v>
      </c>
      <c r="AD2216" s="10" t="s">
        <v>16946</v>
      </c>
      <c r="AE2216" s="10" t="s">
        <v>16947</v>
      </c>
      <c r="AF2216" s="15"/>
      <c r="AG2216" s="10"/>
      <c r="AH2216" s="10"/>
      <c r="AI2216" s="10"/>
      <c r="AJ2216" s="10"/>
      <c r="AK2216" s="10" t="s">
        <v>102</v>
      </c>
      <c r="AL2216" s="10" t="s">
        <v>7897</v>
      </c>
      <c r="AM2216" s="10"/>
      <c r="AN2216" s="10"/>
      <c r="AO2216" s="13" t="b">
        <v>0</v>
      </c>
      <c r="AP2216" s="22" t="s">
        <v>135</v>
      </c>
      <c r="AQ2216" s="10">
        <f ca="1">IFERROR(__xludf.DUMMYFUNCTION("""COMPUTED_VALUE"""),4713685)</f>
        <v>4713685</v>
      </c>
      <c r="AR2216" s="17">
        <v>3227</v>
      </c>
      <c r="AS2216" s="17">
        <v>2493</v>
      </c>
      <c r="AT2216" s="17">
        <v>31180</v>
      </c>
      <c r="AU2216" s="17">
        <v>2.25</v>
      </c>
      <c r="AV2216" s="17">
        <v>1.6</v>
      </c>
      <c r="AW2216" s="10" t="s">
        <v>105</v>
      </c>
      <c r="AX2216" s="17">
        <v>509</v>
      </c>
      <c r="AY2216" s="18">
        <v>12.507019655034096</v>
      </c>
      <c r="AZ2216" s="10" t="s">
        <v>239</v>
      </c>
      <c r="BA2216" s="20" t="b">
        <v>0</v>
      </c>
      <c r="BB2216" s="10"/>
      <c r="BC2216" s="17">
        <v>3227</v>
      </c>
      <c r="BD2216" s="17">
        <v>2493</v>
      </c>
      <c r="BE2216" s="17">
        <v>31180</v>
      </c>
      <c r="BF2216" s="17">
        <v>1.6</v>
      </c>
      <c r="BG2216" s="11">
        <f ca="1">IFERROR(__xludf.DUMMYFUNCTION("""COMPUTED_VALUE"""),45974.125)</f>
        <v>45974.125</v>
      </c>
      <c r="BH2216" s="17" t="s">
        <v>105</v>
      </c>
      <c r="BI2216" s="17"/>
      <c r="BJ2216" s="15"/>
      <c r="BK2216" s="15"/>
      <c r="BL2216" s="13" t="b">
        <v>0</v>
      </c>
      <c r="BM2216" s="10"/>
      <c r="BN2216" s="10" t="s">
        <v>1149</v>
      </c>
      <c r="BO2216" s="11">
        <v>45937.743055555555</v>
      </c>
      <c r="BP2216" s="11">
        <v>45971.381863425922</v>
      </c>
      <c r="BQ2216" s="15">
        <v>45971.716203703705</v>
      </c>
      <c r="BR2216" s="15">
        <v>45971.857361111113</v>
      </c>
      <c r="BS2216" s="10" t="s">
        <v>1149</v>
      </c>
      <c r="BT2216" s="10" t="s">
        <v>99</v>
      </c>
      <c r="BU2216" s="10" t="s">
        <v>942</v>
      </c>
      <c r="BV2216" s="10"/>
      <c r="BW2216" s="10"/>
      <c r="BX2216" s="10"/>
      <c r="BY2216" s="23"/>
      <c r="BZ2216" s="23"/>
      <c r="CA2216" s="19" t="s">
        <v>16948</v>
      </c>
      <c r="CB2216" s="23"/>
      <c r="CC2216" s="23"/>
      <c r="CD2216" s="19" t="s">
        <v>16949</v>
      </c>
      <c r="CE2216" s="23"/>
      <c r="CF2216" s="23"/>
      <c r="CG2216" s="23"/>
      <c r="CH2216" s="23"/>
      <c r="CI2216" s="23"/>
    </row>
    <row r="2217" spans="1:87" x14ac:dyDescent="0.3">
      <c r="A2217" s="9" t="s">
        <v>16950</v>
      </c>
      <c r="B2217" s="10" t="s">
        <v>16951</v>
      </c>
      <c r="C2217" s="11">
        <v>45974.125</v>
      </c>
      <c r="D2217" s="12">
        <v>8.3333333333333329E-2</v>
      </c>
      <c r="E2217" s="11">
        <v>45974.208333333336</v>
      </c>
      <c r="F2217" s="10" t="s">
        <v>16149</v>
      </c>
      <c r="G2217" s="13" t="b">
        <v>0</v>
      </c>
      <c r="H2217" s="22" t="s">
        <v>3578</v>
      </c>
      <c r="I2217" s="10" t="s">
        <v>89</v>
      </c>
      <c r="J2217" s="13" t="b">
        <v>0</v>
      </c>
      <c r="K2217" s="13" t="b">
        <v>1</v>
      </c>
      <c r="L2217" s="10" t="s">
        <v>124</v>
      </c>
      <c r="M2217" s="10" t="s">
        <v>91</v>
      </c>
      <c r="N2217" s="10" t="s">
        <v>92</v>
      </c>
      <c r="O2217" s="19" t="s">
        <v>16952</v>
      </c>
      <c r="P2217" s="10"/>
      <c r="Q2217" s="10" t="s">
        <v>126</v>
      </c>
      <c r="R2217" s="10"/>
      <c r="S2217" s="19" t="s">
        <v>16953</v>
      </c>
      <c r="T2217" s="10"/>
      <c r="U2217" s="10" t="s">
        <v>15258</v>
      </c>
      <c r="V2217" s="10" t="s">
        <v>16228</v>
      </c>
      <c r="W2217" s="10" t="s">
        <v>16154</v>
      </c>
      <c r="X2217" s="10" t="s">
        <v>130</v>
      </c>
      <c r="Y2217" s="10" t="s">
        <v>130</v>
      </c>
      <c r="Z2217" s="10" t="s">
        <v>99</v>
      </c>
      <c r="AA2217" s="10" t="s">
        <v>131</v>
      </c>
      <c r="AB2217" s="10" t="s">
        <v>16155</v>
      </c>
      <c r="AC2217" s="10" t="s">
        <v>3571</v>
      </c>
      <c r="AD2217" s="10" t="s">
        <v>16954</v>
      </c>
      <c r="AE2217" s="10" t="s">
        <v>16955</v>
      </c>
      <c r="AF2217" s="15"/>
      <c r="AG2217" s="10"/>
      <c r="AH2217" s="10"/>
      <c r="AI2217" s="10"/>
      <c r="AJ2217" s="10"/>
      <c r="AK2217" s="10" t="s">
        <v>102</v>
      </c>
      <c r="AL2217" s="10" t="s">
        <v>7897</v>
      </c>
      <c r="AM2217" s="10"/>
      <c r="AN2217" s="10"/>
      <c r="AO2217" s="13" t="b">
        <v>0</v>
      </c>
      <c r="AP2217" s="22" t="s">
        <v>135</v>
      </c>
      <c r="AQ2217" s="10">
        <f ca="1">IFERROR(__xludf.DUMMYFUNCTION("""COMPUTED_VALUE"""),4713688)</f>
        <v>4713688</v>
      </c>
      <c r="AR2217" s="17">
        <v>5534</v>
      </c>
      <c r="AS2217" s="17">
        <v>4355</v>
      </c>
      <c r="AT2217" s="17">
        <v>89762.5</v>
      </c>
      <c r="AU2217" s="17">
        <v>3.6</v>
      </c>
      <c r="AV2217" s="17">
        <v>1.1499999999999999</v>
      </c>
      <c r="AW2217" s="10" t="s">
        <v>105</v>
      </c>
      <c r="AX2217" s="17">
        <v>1130</v>
      </c>
      <c r="AY2217" s="18">
        <v>20.611366245694605</v>
      </c>
      <c r="AZ2217" s="10" t="s">
        <v>239</v>
      </c>
      <c r="BA2217" s="20" t="b">
        <v>0</v>
      </c>
      <c r="BB2217" s="10"/>
      <c r="BC2217" s="17">
        <v>5534</v>
      </c>
      <c r="BD2217" s="17">
        <v>4355</v>
      </c>
      <c r="BE2217" s="17">
        <v>89762.5</v>
      </c>
      <c r="BF2217" s="17">
        <v>1.1499999999999999</v>
      </c>
      <c r="BG2217" s="11">
        <f ca="1">IFERROR(__xludf.DUMMYFUNCTION("""COMPUTED_VALUE"""),45974.125)</f>
        <v>45974.125</v>
      </c>
      <c r="BH2217" s="17" t="s">
        <v>105</v>
      </c>
      <c r="BI2217" s="17"/>
      <c r="BJ2217" s="15"/>
      <c r="BK2217" s="15"/>
      <c r="BL2217" s="13" t="b">
        <v>0</v>
      </c>
      <c r="BM2217" s="10"/>
      <c r="BN2217" s="10" t="s">
        <v>1149</v>
      </c>
      <c r="BO2217" s="11">
        <v>45937.744444444441</v>
      </c>
      <c r="BP2217" s="11">
        <v>45971.379687499997</v>
      </c>
      <c r="BQ2217" s="15">
        <v>45971.716377314813</v>
      </c>
      <c r="BR2217" s="15">
        <v>45971.857581018521</v>
      </c>
      <c r="BS2217" s="10" t="s">
        <v>1149</v>
      </c>
      <c r="BT2217" s="10" t="s">
        <v>99</v>
      </c>
      <c r="BU2217" s="10" t="s">
        <v>8038</v>
      </c>
      <c r="BV2217" s="10"/>
      <c r="BW2217" s="10"/>
      <c r="BX2217" s="10"/>
      <c r="BY2217" s="23"/>
      <c r="BZ2217" s="23"/>
      <c r="CA2217" s="19" t="s">
        <v>16956</v>
      </c>
      <c r="CB2217" s="23"/>
      <c r="CC2217" s="23"/>
      <c r="CD2217" s="19" t="s">
        <v>16957</v>
      </c>
      <c r="CE2217" s="23"/>
      <c r="CF2217" s="23"/>
      <c r="CG2217" s="23"/>
      <c r="CH2217" s="23"/>
      <c r="CI2217" s="23"/>
    </row>
    <row r="2218" spans="1:87" x14ac:dyDescent="0.3">
      <c r="A2218" s="9" t="s">
        <v>16958</v>
      </c>
      <c r="B2218" s="10" t="s">
        <v>16959</v>
      </c>
      <c r="C2218" s="11">
        <v>45961.645833333336</v>
      </c>
      <c r="D2218" s="12">
        <v>8.3333333333333329E-2</v>
      </c>
      <c r="E2218" s="11">
        <v>45961.729166666664</v>
      </c>
      <c r="F2218" s="10" t="s">
        <v>14786</v>
      </c>
      <c r="G2218" s="13" t="b">
        <v>0</v>
      </c>
      <c r="H2218" s="22" t="s">
        <v>14787</v>
      </c>
      <c r="I2218" s="10" t="s">
        <v>3548</v>
      </c>
      <c r="J2218" s="13" t="b">
        <v>0</v>
      </c>
      <c r="K2218" s="13" t="b">
        <v>1</v>
      </c>
      <c r="L2218" s="10" t="s">
        <v>124</v>
      </c>
      <c r="M2218" s="10" t="s">
        <v>91</v>
      </c>
      <c r="N2218" s="10" t="s">
        <v>3513</v>
      </c>
      <c r="O2218" s="19" t="s">
        <v>16960</v>
      </c>
      <c r="P2218" s="10"/>
      <c r="Q2218" s="10" t="s">
        <v>126</v>
      </c>
      <c r="R2218" s="10"/>
      <c r="S2218" s="19" t="s">
        <v>16961</v>
      </c>
      <c r="T2218" s="19" t="s">
        <v>16962</v>
      </c>
      <c r="U2218" s="10" t="s">
        <v>14837</v>
      </c>
      <c r="V2218" s="10" t="s">
        <v>14826</v>
      </c>
      <c r="W2218" s="10" t="s">
        <v>14793</v>
      </c>
      <c r="X2218" s="10" t="s">
        <v>130</v>
      </c>
      <c r="Y2218" s="10" t="s">
        <v>130</v>
      </c>
      <c r="Z2218" s="10" t="s">
        <v>99</v>
      </c>
      <c r="AA2218" s="10" t="s">
        <v>131</v>
      </c>
      <c r="AB2218" s="10" t="s">
        <v>14794</v>
      </c>
      <c r="AC2218" s="10" t="s">
        <v>3521</v>
      </c>
      <c r="AD2218" s="10" t="s">
        <v>16963</v>
      </c>
      <c r="AE2218" s="10" t="s">
        <v>16964</v>
      </c>
      <c r="AF2218" s="15"/>
      <c r="AG2218" s="10"/>
      <c r="AH2218" s="10"/>
      <c r="AI2218" s="10"/>
      <c r="AJ2218" s="10"/>
      <c r="AK2218" s="10" t="s">
        <v>102</v>
      </c>
      <c r="AL2218" s="10" t="s">
        <v>195</v>
      </c>
      <c r="AM2218" s="10"/>
      <c r="AN2218" s="10"/>
      <c r="AO2218" s="13" t="b">
        <v>1</v>
      </c>
      <c r="AP2218" s="22" t="s">
        <v>104</v>
      </c>
      <c r="AQ2218" s="10">
        <f ca="1">IFERROR(__xludf.DUMMYFUNCTION("""COMPUTED_VALUE"""),4676979)</f>
        <v>4676979</v>
      </c>
      <c r="AR2218" s="17">
        <v>43979</v>
      </c>
      <c r="AS2218" s="17">
        <v>27166</v>
      </c>
      <c r="AT2218" s="17">
        <v>458875.75</v>
      </c>
      <c r="AU2218" s="17">
        <v>215.55</v>
      </c>
      <c r="AV2218" s="17">
        <v>49.2</v>
      </c>
      <c r="AW2218" s="10" t="s">
        <v>105</v>
      </c>
      <c r="AX2218" s="17">
        <v>9666</v>
      </c>
      <c r="AY2218" s="18">
        <v>16.891546418317013</v>
      </c>
      <c r="AZ2218" s="10" t="s">
        <v>106</v>
      </c>
      <c r="BA2218" s="20" t="b">
        <v>0</v>
      </c>
      <c r="BB2218" s="10"/>
      <c r="BC2218" s="17">
        <v>43979</v>
      </c>
      <c r="BD2218" s="17">
        <v>27166</v>
      </c>
      <c r="BE2218" s="17">
        <v>458875.75</v>
      </c>
      <c r="BF2218" s="17">
        <v>49.2</v>
      </c>
      <c r="BG2218" s="11">
        <f ca="1">IFERROR(__xludf.DUMMYFUNCTION("""COMPUTED_VALUE"""),45961.6458333333)</f>
        <v>45961.645833333299</v>
      </c>
      <c r="BH2218" s="17" t="s">
        <v>105</v>
      </c>
      <c r="BI2218" s="17"/>
      <c r="BJ2218" s="15"/>
      <c r="BK2218" s="15"/>
      <c r="BL2218" s="13" t="b">
        <v>0</v>
      </c>
      <c r="BM2218" s="10"/>
      <c r="BN2218" s="10" t="s">
        <v>1057</v>
      </c>
      <c r="BO2218" s="11">
        <v>45938.411111111112</v>
      </c>
      <c r="BP2218" s="11">
        <v>45957.629050925927</v>
      </c>
      <c r="BQ2218" s="15">
        <v>45959.662546296298</v>
      </c>
      <c r="BR2218" s="15">
        <v>45959.694780092592</v>
      </c>
      <c r="BS2218" s="10"/>
      <c r="BT2218" s="10" t="s">
        <v>279</v>
      </c>
      <c r="BU2218" s="10" t="s">
        <v>456</v>
      </c>
      <c r="BV2218" s="10"/>
      <c r="BW2218" s="10"/>
      <c r="BX2218" s="10"/>
      <c r="BY2218" s="23"/>
      <c r="BZ2218" s="23"/>
      <c r="CA2218" s="19" t="s">
        <v>16965</v>
      </c>
      <c r="CB2218" s="19" t="s">
        <v>16966</v>
      </c>
      <c r="CC2218" s="23"/>
      <c r="CD2218" s="19" t="s">
        <v>16967</v>
      </c>
      <c r="CE2218" s="23"/>
      <c r="CF2218" s="23"/>
      <c r="CG2218" s="23"/>
      <c r="CH2218" s="23"/>
      <c r="CI2218" s="23"/>
    </row>
    <row r="2219" spans="1:87" x14ac:dyDescent="0.3">
      <c r="A2219" s="9" t="s">
        <v>16968</v>
      </c>
      <c r="B2219" s="10" t="s">
        <v>16969</v>
      </c>
      <c r="C2219" s="11">
        <v>45961.791666666664</v>
      </c>
      <c r="D2219" s="12">
        <v>8.3333333333333329E-2</v>
      </c>
      <c r="E2219" s="11">
        <v>45961.875</v>
      </c>
      <c r="F2219" s="10" t="s">
        <v>14786</v>
      </c>
      <c r="G2219" s="13" t="b">
        <v>0</v>
      </c>
      <c r="H2219" s="22" t="s">
        <v>14787</v>
      </c>
      <c r="I2219" s="10" t="s">
        <v>212</v>
      </c>
      <c r="J2219" s="13" t="b">
        <v>1</v>
      </c>
      <c r="K2219" s="13" t="b">
        <v>0</v>
      </c>
      <c r="L2219" s="10" t="s">
        <v>124</v>
      </c>
      <c r="M2219" s="10" t="s">
        <v>91</v>
      </c>
      <c r="N2219" s="10" t="s">
        <v>3513</v>
      </c>
      <c r="O2219" s="19" t="s">
        <v>16970</v>
      </c>
      <c r="P2219" s="10"/>
      <c r="Q2219" s="10" t="s">
        <v>126</v>
      </c>
      <c r="R2219" s="10"/>
      <c r="S2219" s="19" t="s">
        <v>16971</v>
      </c>
      <c r="T2219" s="19" t="s">
        <v>16962</v>
      </c>
      <c r="U2219" s="10" t="s">
        <v>14804</v>
      </c>
      <c r="V2219" s="10" t="s">
        <v>14816</v>
      </c>
      <c r="W2219" s="10" t="s">
        <v>14793</v>
      </c>
      <c r="X2219" s="10" t="s">
        <v>130</v>
      </c>
      <c r="Y2219" s="10" t="s">
        <v>130</v>
      </c>
      <c r="Z2219" s="10" t="s">
        <v>99</v>
      </c>
      <c r="AA2219" s="10" t="s">
        <v>131</v>
      </c>
      <c r="AB2219" s="10" t="s">
        <v>14794</v>
      </c>
      <c r="AC2219" s="10" t="s">
        <v>3521</v>
      </c>
      <c r="AD2219" s="10" t="s">
        <v>16972</v>
      </c>
      <c r="AE2219" s="10" t="s">
        <v>16973</v>
      </c>
      <c r="AF2219" s="15"/>
      <c r="AG2219" s="10"/>
      <c r="AH2219" s="10"/>
      <c r="AI2219" s="10"/>
      <c r="AJ2219" s="10"/>
      <c r="AK2219" s="10" t="s">
        <v>102</v>
      </c>
      <c r="AL2219" s="10" t="s">
        <v>195</v>
      </c>
      <c r="AM2219" s="10"/>
      <c r="AN2219" s="10"/>
      <c r="AO2219" s="13" t="b">
        <v>0</v>
      </c>
      <c r="AP2219" s="22" t="s">
        <v>104</v>
      </c>
      <c r="AQ2219" s="10">
        <f ca="1">IFERROR(__xludf.DUMMYFUNCTION("""COMPUTED_VALUE"""),4676984)</f>
        <v>4676984</v>
      </c>
      <c r="AR2219" s="17">
        <v>54163</v>
      </c>
      <c r="AS2219" s="17">
        <v>28484</v>
      </c>
      <c r="AT2219" s="17">
        <v>805040</v>
      </c>
      <c r="AU2219" s="17">
        <v>203.55</v>
      </c>
      <c r="AV2219" s="17">
        <v>53.9</v>
      </c>
      <c r="AW2219" s="10" t="s">
        <v>105</v>
      </c>
      <c r="AX2219" s="17">
        <v>11174</v>
      </c>
      <c r="AY2219" s="18">
        <v>28.262884426344616</v>
      </c>
      <c r="AZ2219" s="10" t="s">
        <v>106</v>
      </c>
      <c r="BA2219" s="20" t="b">
        <v>0</v>
      </c>
      <c r="BB2219" s="10"/>
      <c r="BC2219" s="17">
        <v>54163</v>
      </c>
      <c r="BD2219" s="17">
        <v>28484</v>
      </c>
      <c r="BE2219" s="17">
        <v>805040</v>
      </c>
      <c r="BF2219" s="17">
        <v>53.9</v>
      </c>
      <c r="BG2219" s="11">
        <f ca="1">IFERROR(__xludf.DUMMYFUNCTION("""COMPUTED_VALUE"""),45961.7916666666)</f>
        <v>45961.791666666599</v>
      </c>
      <c r="BH2219" s="17" t="s">
        <v>105</v>
      </c>
      <c r="BI2219" s="17"/>
      <c r="BJ2219" s="15"/>
      <c r="BK2219" s="15"/>
      <c r="BL2219" s="13" t="b">
        <v>0</v>
      </c>
      <c r="BM2219" s="10"/>
      <c r="BN2219" s="10" t="s">
        <v>1057</v>
      </c>
      <c r="BO2219" s="11">
        <v>45938.411805555559</v>
      </c>
      <c r="BP2219" s="11">
        <v>45938.659560185188</v>
      </c>
      <c r="BQ2219" s="15">
        <v>45959.662719907406</v>
      </c>
      <c r="BR2219" s="15">
        <v>45959.703587962962</v>
      </c>
      <c r="BS2219" s="10"/>
      <c r="BT2219" s="10" t="s">
        <v>279</v>
      </c>
      <c r="BU2219" s="10" t="s">
        <v>456</v>
      </c>
      <c r="BV2219" s="10"/>
      <c r="BW2219" s="10"/>
      <c r="BX2219" s="10"/>
      <c r="BY2219" s="23"/>
      <c r="BZ2219" s="23"/>
      <c r="CA2219" s="19" t="s">
        <v>16974</v>
      </c>
      <c r="CB2219" s="19" t="s">
        <v>16975</v>
      </c>
      <c r="CC2219" s="23"/>
      <c r="CD2219" s="19" t="s">
        <v>16976</v>
      </c>
      <c r="CE2219" s="23"/>
      <c r="CF2219" s="23"/>
      <c r="CG2219" s="23"/>
      <c r="CH2219" s="23"/>
      <c r="CI2219" s="23"/>
    </row>
    <row r="2220" spans="1:87" x14ac:dyDescent="0.3">
      <c r="A2220" s="9" t="s">
        <v>16977</v>
      </c>
      <c r="B2220" s="10" t="s">
        <v>16978</v>
      </c>
      <c r="C2220" s="11">
        <v>45962.645833333336</v>
      </c>
      <c r="D2220" s="12">
        <v>8.3333333333333329E-2</v>
      </c>
      <c r="E2220" s="11">
        <v>45962.729166666664</v>
      </c>
      <c r="F2220" s="10" t="s">
        <v>14786</v>
      </c>
      <c r="G2220" s="13" t="b">
        <v>0</v>
      </c>
      <c r="H2220" s="22" t="s">
        <v>14787</v>
      </c>
      <c r="I2220" s="10" t="s">
        <v>212</v>
      </c>
      <c r="J2220" s="13" t="b">
        <v>1</v>
      </c>
      <c r="K2220" s="13" t="b">
        <v>0</v>
      </c>
      <c r="L2220" s="10" t="s">
        <v>124</v>
      </c>
      <c r="M2220" s="10" t="s">
        <v>91</v>
      </c>
      <c r="N2220" s="10" t="s">
        <v>3513</v>
      </c>
      <c r="O2220" s="19" t="s">
        <v>16979</v>
      </c>
      <c r="P2220" s="10"/>
      <c r="Q2220" s="10" t="s">
        <v>126</v>
      </c>
      <c r="R2220" s="10"/>
      <c r="S2220" s="19" t="s">
        <v>16980</v>
      </c>
      <c r="T2220" s="19" t="s">
        <v>16962</v>
      </c>
      <c r="U2220" s="10" t="s">
        <v>14827</v>
      </c>
      <c r="V2220" s="10" t="s">
        <v>14860</v>
      </c>
      <c r="W2220" s="10" t="s">
        <v>14793</v>
      </c>
      <c r="X2220" s="10" t="s">
        <v>130</v>
      </c>
      <c r="Y2220" s="10" t="s">
        <v>130</v>
      </c>
      <c r="Z2220" s="10" t="s">
        <v>99</v>
      </c>
      <c r="AA2220" s="10" t="s">
        <v>131</v>
      </c>
      <c r="AB2220" s="10" t="s">
        <v>14794</v>
      </c>
      <c r="AC2220" s="10" t="s">
        <v>3521</v>
      </c>
      <c r="AD2220" s="10" t="s">
        <v>16981</v>
      </c>
      <c r="AE2220" s="10" t="s">
        <v>16982</v>
      </c>
      <c r="AF2220" s="15"/>
      <c r="AG2220" s="10"/>
      <c r="AH2220" s="10"/>
      <c r="AI2220" s="10"/>
      <c r="AJ2220" s="10"/>
      <c r="AK2220" s="10" t="s">
        <v>102</v>
      </c>
      <c r="AL2220" s="10" t="s">
        <v>195</v>
      </c>
      <c r="AM2220" s="10"/>
      <c r="AN2220" s="10"/>
      <c r="AO2220" s="13" t="b">
        <v>0</v>
      </c>
      <c r="AP2220" s="22" t="s">
        <v>104</v>
      </c>
      <c r="AQ2220" s="10">
        <f ca="1">IFERROR(__xludf.DUMMYFUNCTION("""COMPUTED_VALUE"""),4676990)</f>
        <v>4676990</v>
      </c>
      <c r="AR2220" s="17">
        <v>21029</v>
      </c>
      <c r="AS2220" s="17">
        <v>13095</v>
      </c>
      <c r="AT2220" s="17">
        <v>177508.75</v>
      </c>
      <c r="AU2220" s="17">
        <v>27.45</v>
      </c>
      <c r="AV2220" s="17">
        <v>4.05</v>
      </c>
      <c r="AW2220" s="10" t="s">
        <v>105</v>
      </c>
      <c r="AX2220" s="17">
        <v>3275</v>
      </c>
      <c r="AY2220" s="18">
        <v>13.555460099274532</v>
      </c>
      <c r="AZ2220" s="10" t="s">
        <v>106</v>
      </c>
      <c r="BA2220" s="20" t="b">
        <v>0</v>
      </c>
      <c r="BB2220" s="10"/>
      <c r="BC2220" s="17">
        <v>21029</v>
      </c>
      <c r="BD2220" s="17">
        <v>13095</v>
      </c>
      <c r="BE2220" s="17">
        <v>177508.75</v>
      </c>
      <c r="BF2220" s="17">
        <v>4.05</v>
      </c>
      <c r="BG2220" s="11">
        <f ca="1">IFERROR(__xludf.DUMMYFUNCTION("""COMPUTED_VALUE"""),45962.6458333333)</f>
        <v>45962.645833333299</v>
      </c>
      <c r="BH2220" s="17" t="s">
        <v>105</v>
      </c>
      <c r="BI2220" s="17"/>
      <c r="BJ2220" s="15"/>
      <c r="BK2220" s="15"/>
      <c r="BL2220" s="13" t="b">
        <v>0</v>
      </c>
      <c r="BM2220" s="10"/>
      <c r="BN2220" s="10" t="s">
        <v>1149</v>
      </c>
      <c r="BO2220" s="11">
        <v>45938.412499999999</v>
      </c>
      <c r="BP2220" s="11">
        <v>45938.659861111111</v>
      </c>
      <c r="BQ2220" s="15">
        <v>45959.665243055555</v>
      </c>
      <c r="BR2220" s="15">
        <v>45959.712627314817</v>
      </c>
      <c r="BS2220" s="10" t="s">
        <v>1149</v>
      </c>
      <c r="BT2220" s="10" t="s">
        <v>279</v>
      </c>
      <c r="BU2220" s="10" t="s">
        <v>280</v>
      </c>
      <c r="BV2220" s="10"/>
      <c r="BW2220" s="10"/>
      <c r="BX2220" s="10"/>
      <c r="BY2220" s="23"/>
      <c r="BZ2220" s="23"/>
      <c r="CA2220" s="19" t="s">
        <v>16983</v>
      </c>
      <c r="CB2220" s="19" t="s">
        <v>16984</v>
      </c>
      <c r="CC2220" s="23"/>
      <c r="CD2220" s="19" t="s">
        <v>16985</v>
      </c>
      <c r="CE2220" s="23"/>
      <c r="CF2220" s="23"/>
      <c r="CG2220" s="23"/>
      <c r="CH2220" s="23"/>
      <c r="CI2220" s="23"/>
    </row>
    <row r="2221" spans="1:87" x14ac:dyDescent="0.3">
      <c r="A2221" s="9" t="s">
        <v>16986</v>
      </c>
      <c r="B2221" s="10" t="s">
        <v>16987</v>
      </c>
      <c r="C2221" s="11">
        <v>45962.604166666664</v>
      </c>
      <c r="D2221" s="12">
        <v>8.3333333333333329E-2</v>
      </c>
      <c r="E2221" s="11">
        <v>45962.6875</v>
      </c>
      <c r="F2221" s="10" t="s">
        <v>14786</v>
      </c>
      <c r="G2221" s="13" t="b">
        <v>0</v>
      </c>
      <c r="H2221" s="22" t="s">
        <v>14787</v>
      </c>
      <c r="I2221" s="10" t="s">
        <v>212</v>
      </c>
      <c r="J2221" s="13" t="b">
        <v>1</v>
      </c>
      <c r="K2221" s="13" t="b">
        <v>0</v>
      </c>
      <c r="L2221" s="10" t="s">
        <v>124</v>
      </c>
      <c r="M2221" s="10" t="s">
        <v>91</v>
      </c>
      <c r="N2221" s="10" t="s">
        <v>3513</v>
      </c>
      <c r="O2221" s="19" t="s">
        <v>16988</v>
      </c>
      <c r="P2221" s="10"/>
      <c r="Q2221" s="10" t="s">
        <v>126</v>
      </c>
      <c r="R2221" s="10"/>
      <c r="S2221" s="19" t="s">
        <v>16989</v>
      </c>
      <c r="T2221" s="19" t="s">
        <v>16962</v>
      </c>
      <c r="U2221" s="10" t="s">
        <v>14870</v>
      </c>
      <c r="V2221" s="10" t="s">
        <v>14838</v>
      </c>
      <c r="W2221" s="10" t="s">
        <v>14793</v>
      </c>
      <c r="X2221" s="10" t="s">
        <v>130</v>
      </c>
      <c r="Y2221" s="10" t="s">
        <v>130</v>
      </c>
      <c r="Z2221" s="10" t="s">
        <v>99</v>
      </c>
      <c r="AA2221" s="10" t="s">
        <v>131</v>
      </c>
      <c r="AB2221" s="10" t="s">
        <v>14794</v>
      </c>
      <c r="AC2221" s="10" t="s">
        <v>3521</v>
      </c>
      <c r="AD2221" s="10" t="s">
        <v>16990</v>
      </c>
      <c r="AE2221" s="10" t="s">
        <v>16991</v>
      </c>
      <c r="AF2221" s="15"/>
      <c r="AG2221" s="10"/>
      <c r="AH2221" s="10"/>
      <c r="AI2221" s="10"/>
      <c r="AJ2221" s="10"/>
      <c r="AK2221" s="10" t="s">
        <v>102</v>
      </c>
      <c r="AL2221" s="10" t="s">
        <v>195</v>
      </c>
      <c r="AM2221" s="10"/>
      <c r="AN2221" s="10"/>
      <c r="AO2221" s="13" t="b">
        <v>0</v>
      </c>
      <c r="AP2221" s="22" t="s">
        <v>104</v>
      </c>
      <c r="AQ2221" s="10">
        <f ca="1">IFERROR(__xludf.DUMMYFUNCTION("""COMPUTED_VALUE"""),4676985)</f>
        <v>4676985</v>
      </c>
      <c r="AR2221" s="17">
        <v>28133</v>
      </c>
      <c r="AS2221" s="17">
        <v>17499</v>
      </c>
      <c r="AT2221" s="17">
        <v>355128.5</v>
      </c>
      <c r="AU2221" s="17">
        <v>63.5</v>
      </c>
      <c r="AV2221" s="17">
        <v>18.7</v>
      </c>
      <c r="AW2221" s="10" t="s">
        <v>105</v>
      </c>
      <c r="AX2221" s="17">
        <v>6066</v>
      </c>
      <c r="AY2221" s="18">
        <v>20.29421681238928</v>
      </c>
      <c r="AZ2221" s="10" t="s">
        <v>106</v>
      </c>
      <c r="BA2221" s="20" t="b">
        <v>0</v>
      </c>
      <c r="BB2221" s="10"/>
      <c r="BC2221" s="17">
        <v>28133</v>
      </c>
      <c r="BD2221" s="17">
        <v>17499</v>
      </c>
      <c r="BE2221" s="17">
        <v>355128.5</v>
      </c>
      <c r="BF2221" s="17">
        <v>18.7</v>
      </c>
      <c r="BG2221" s="11">
        <f ca="1">IFERROR(__xludf.DUMMYFUNCTION("""COMPUTED_VALUE"""),45962.6041666666)</f>
        <v>45962.604166666599</v>
      </c>
      <c r="BH2221" s="17" t="s">
        <v>105</v>
      </c>
      <c r="BI2221" s="17"/>
      <c r="BJ2221" s="15"/>
      <c r="BK2221" s="15"/>
      <c r="BL2221" s="13" t="b">
        <v>0</v>
      </c>
      <c r="BM2221" s="10"/>
      <c r="BN2221" s="10" t="s">
        <v>1149</v>
      </c>
      <c r="BO2221" s="11">
        <v>45938.413194444445</v>
      </c>
      <c r="BP2221" s="11">
        <v>45940.665358796294</v>
      </c>
      <c r="BQ2221" s="15">
        <v>45959.663217592592</v>
      </c>
      <c r="BR2221" s="15">
        <v>45959.705254629633</v>
      </c>
      <c r="BS2221" s="10" t="s">
        <v>1149</v>
      </c>
      <c r="BT2221" s="10" t="s">
        <v>279</v>
      </c>
      <c r="BU2221" s="10" t="s">
        <v>298</v>
      </c>
      <c r="BV2221" s="10"/>
      <c r="BW2221" s="10"/>
      <c r="BX2221" s="10"/>
      <c r="BY2221" s="23"/>
      <c r="BZ2221" s="23"/>
      <c r="CA2221" s="19" t="s">
        <v>16992</v>
      </c>
      <c r="CB2221" s="19" t="s">
        <v>16993</v>
      </c>
      <c r="CC2221" s="23"/>
      <c r="CD2221" s="19" t="s">
        <v>16994</v>
      </c>
      <c r="CE2221" s="23"/>
      <c r="CF2221" s="23"/>
      <c r="CG2221" s="23"/>
      <c r="CH2221" s="23"/>
      <c r="CI2221" s="23"/>
    </row>
    <row r="2222" spans="1:87" x14ac:dyDescent="0.3">
      <c r="A2222" s="9" t="s">
        <v>16995</v>
      </c>
      <c r="B2222" s="10" t="s">
        <v>16996</v>
      </c>
      <c r="C2222" s="11">
        <v>45962.645833333336</v>
      </c>
      <c r="D2222" s="12">
        <v>8.3333333333333329E-2</v>
      </c>
      <c r="E2222" s="11">
        <v>45962.729166666664</v>
      </c>
      <c r="F2222" s="10" t="s">
        <v>14786</v>
      </c>
      <c r="G2222" s="13" t="b">
        <v>0</v>
      </c>
      <c r="H2222" s="22" t="s">
        <v>14787</v>
      </c>
      <c r="I2222" s="10" t="s">
        <v>212</v>
      </c>
      <c r="J2222" s="13" t="b">
        <v>1</v>
      </c>
      <c r="K2222" s="13" t="b">
        <v>0</v>
      </c>
      <c r="L2222" s="10" t="s">
        <v>124</v>
      </c>
      <c r="M2222" s="10" t="s">
        <v>91</v>
      </c>
      <c r="N2222" s="10" t="s">
        <v>3513</v>
      </c>
      <c r="O2222" s="19" t="s">
        <v>16997</v>
      </c>
      <c r="P2222" s="10"/>
      <c r="Q2222" s="10" t="s">
        <v>126</v>
      </c>
      <c r="R2222" s="10"/>
      <c r="S2222" s="19" t="s">
        <v>16998</v>
      </c>
      <c r="T2222" s="19" t="s">
        <v>16962</v>
      </c>
      <c r="U2222" s="10" t="s">
        <v>14893</v>
      </c>
      <c r="V2222" s="10" t="s">
        <v>14792</v>
      </c>
      <c r="W2222" s="10" t="s">
        <v>14793</v>
      </c>
      <c r="X2222" s="10" t="s">
        <v>130</v>
      </c>
      <c r="Y2222" s="10" t="s">
        <v>130</v>
      </c>
      <c r="Z2222" s="10" t="s">
        <v>99</v>
      </c>
      <c r="AA2222" s="10" t="s">
        <v>131</v>
      </c>
      <c r="AB2222" s="10" t="s">
        <v>14794</v>
      </c>
      <c r="AC2222" s="10" t="s">
        <v>3521</v>
      </c>
      <c r="AD2222" s="10" t="s">
        <v>16999</v>
      </c>
      <c r="AE2222" s="10" t="s">
        <v>17000</v>
      </c>
      <c r="AF2222" s="15"/>
      <c r="AG2222" s="10"/>
      <c r="AH2222" s="10"/>
      <c r="AI2222" s="10"/>
      <c r="AJ2222" s="10"/>
      <c r="AK2222" s="10" t="s">
        <v>102</v>
      </c>
      <c r="AL2222" s="10" t="s">
        <v>195</v>
      </c>
      <c r="AM2222" s="10"/>
      <c r="AN2222" s="10"/>
      <c r="AO2222" s="13" t="b">
        <v>0</v>
      </c>
      <c r="AP2222" s="22" t="s">
        <v>104</v>
      </c>
      <c r="AQ2222" s="10">
        <f ca="1">IFERROR(__xludf.DUMMYFUNCTION("""COMPUTED_VALUE"""),4676988)</f>
        <v>4676988</v>
      </c>
      <c r="AR2222" s="17">
        <v>33542</v>
      </c>
      <c r="AS2222" s="17">
        <v>19595</v>
      </c>
      <c r="AT2222" s="17">
        <v>351814.75</v>
      </c>
      <c r="AU2222" s="17">
        <v>74.25</v>
      </c>
      <c r="AV2222" s="17">
        <v>19.649999999999999</v>
      </c>
      <c r="AW2222" s="10" t="s">
        <v>105</v>
      </c>
      <c r="AX2222" s="17">
        <v>4625</v>
      </c>
      <c r="AY2222" s="18">
        <v>17.954312324572594</v>
      </c>
      <c r="AZ2222" s="10" t="s">
        <v>106</v>
      </c>
      <c r="BA2222" s="20" t="b">
        <v>0</v>
      </c>
      <c r="BB2222" s="10"/>
      <c r="BC2222" s="17">
        <v>33542</v>
      </c>
      <c r="BD2222" s="17">
        <v>19595</v>
      </c>
      <c r="BE2222" s="17">
        <v>351814.75</v>
      </c>
      <c r="BF2222" s="17">
        <v>19.649999999999999</v>
      </c>
      <c r="BG2222" s="11">
        <f ca="1">IFERROR(__xludf.DUMMYFUNCTION("""COMPUTED_VALUE"""),45962.6458333333)</f>
        <v>45962.645833333299</v>
      </c>
      <c r="BH2222" s="17" t="s">
        <v>105</v>
      </c>
      <c r="BI2222" s="17"/>
      <c r="BJ2222" s="15"/>
      <c r="BK2222" s="15"/>
      <c r="BL2222" s="13" t="b">
        <v>0</v>
      </c>
      <c r="BM2222" s="10"/>
      <c r="BN2222" s="10" t="s">
        <v>1149</v>
      </c>
      <c r="BO2222" s="11">
        <v>45938.413194444445</v>
      </c>
      <c r="BP2222" s="11">
        <v>45938.659710648149</v>
      </c>
      <c r="BQ2222" s="15">
        <v>45959.665081018517</v>
      </c>
      <c r="BR2222" s="15">
        <v>45959.708171296297</v>
      </c>
      <c r="BS2222" s="10" t="s">
        <v>1149</v>
      </c>
      <c r="BT2222" s="10" t="s">
        <v>279</v>
      </c>
      <c r="BU2222" s="10" t="s">
        <v>421</v>
      </c>
      <c r="BV2222" s="10"/>
      <c r="BW2222" s="10"/>
      <c r="BX2222" s="10"/>
      <c r="BY2222" s="23"/>
      <c r="BZ2222" s="23"/>
      <c r="CA2222" s="19" t="s">
        <v>17001</v>
      </c>
      <c r="CB2222" s="19" t="s">
        <v>17002</v>
      </c>
      <c r="CC2222" s="23"/>
      <c r="CD2222" s="19" t="s">
        <v>17003</v>
      </c>
      <c r="CE2222" s="23"/>
      <c r="CF2222" s="23"/>
      <c r="CG2222" s="23"/>
      <c r="CH2222" s="23"/>
      <c r="CI2222" s="23"/>
    </row>
    <row r="2223" spans="1:87" x14ac:dyDescent="0.3">
      <c r="A2223" s="9" t="s">
        <v>17004</v>
      </c>
      <c r="B2223" s="10" t="s">
        <v>17005</v>
      </c>
      <c r="C2223" s="11">
        <v>45962.791666666664</v>
      </c>
      <c r="D2223" s="12">
        <v>8.3333333333333329E-2</v>
      </c>
      <c r="E2223" s="11">
        <v>45962.875</v>
      </c>
      <c r="F2223" s="10" t="s">
        <v>14786</v>
      </c>
      <c r="G2223" s="13" t="b">
        <v>0</v>
      </c>
      <c r="H2223" s="22" t="s">
        <v>14787</v>
      </c>
      <c r="I2223" s="10" t="s">
        <v>3548</v>
      </c>
      <c r="J2223" s="13" t="b">
        <v>0</v>
      </c>
      <c r="K2223" s="13" t="b">
        <v>1</v>
      </c>
      <c r="L2223" s="10" t="s">
        <v>124</v>
      </c>
      <c r="M2223" s="10" t="s">
        <v>91</v>
      </c>
      <c r="N2223" s="10" t="s">
        <v>3513</v>
      </c>
      <c r="O2223" s="19" t="s">
        <v>17006</v>
      </c>
      <c r="P2223" s="10"/>
      <c r="Q2223" s="10" t="s">
        <v>126</v>
      </c>
      <c r="R2223" s="10"/>
      <c r="S2223" s="19" t="s">
        <v>17007</v>
      </c>
      <c r="T2223" s="19" t="s">
        <v>16962</v>
      </c>
      <c r="U2223" s="10" t="s">
        <v>14848</v>
      </c>
      <c r="V2223" s="10" t="s">
        <v>14871</v>
      </c>
      <c r="W2223" s="10" t="s">
        <v>14793</v>
      </c>
      <c r="X2223" s="10" t="s">
        <v>130</v>
      </c>
      <c r="Y2223" s="10" t="s">
        <v>130</v>
      </c>
      <c r="Z2223" s="10" t="s">
        <v>99</v>
      </c>
      <c r="AA2223" s="10" t="s">
        <v>131</v>
      </c>
      <c r="AB2223" s="10" t="s">
        <v>14794</v>
      </c>
      <c r="AC2223" s="10" t="s">
        <v>3521</v>
      </c>
      <c r="AD2223" s="10" t="s">
        <v>17008</v>
      </c>
      <c r="AE2223" s="10" t="s">
        <v>17009</v>
      </c>
      <c r="AF2223" s="15"/>
      <c r="AG2223" s="10"/>
      <c r="AH2223" s="10"/>
      <c r="AI2223" s="10"/>
      <c r="AJ2223" s="10"/>
      <c r="AK2223" s="10" t="s">
        <v>102</v>
      </c>
      <c r="AL2223" s="10" t="s">
        <v>195</v>
      </c>
      <c r="AM2223" s="10"/>
      <c r="AN2223" s="10"/>
      <c r="AO2223" s="13" t="b">
        <v>1</v>
      </c>
      <c r="AP2223" s="22" t="s">
        <v>104</v>
      </c>
      <c r="AQ2223" s="10">
        <f ca="1">IFERROR(__xludf.DUMMYFUNCTION("""COMPUTED_VALUE"""),4676980)</f>
        <v>4676980</v>
      </c>
      <c r="AR2223" s="17">
        <v>80303</v>
      </c>
      <c r="AS2223" s="17">
        <v>47107</v>
      </c>
      <c r="AT2223" s="17">
        <v>1150848</v>
      </c>
      <c r="AU2223" s="17">
        <v>1212.0999999999999</v>
      </c>
      <c r="AV2223" s="17">
        <v>565.85</v>
      </c>
      <c r="AW2223" s="10" t="s">
        <v>105</v>
      </c>
      <c r="AX2223" s="17">
        <v>18951</v>
      </c>
      <c r="AY2223" s="18">
        <v>24.430509266138792</v>
      </c>
      <c r="AZ2223" s="10" t="s">
        <v>106</v>
      </c>
      <c r="BA2223" s="20" t="b">
        <v>0</v>
      </c>
      <c r="BB2223" s="10"/>
      <c r="BC2223" s="17">
        <v>80303</v>
      </c>
      <c r="BD2223" s="17">
        <v>47107</v>
      </c>
      <c r="BE2223" s="17">
        <v>1150848</v>
      </c>
      <c r="BF2223" s="17">
        <v>565.85</v>
      </c>
      <c r="BG2223" s="11">
        <f ca="1">IFERROR(__xludf.DUMMYFUNCTION("""COMPUTED_VALUE"""),45962.7916666666)</f>
        <v>45962.791666666599</v>
      </c>
      <c r="BH2223" s="17" t="s">
        <v>105</v>
      </c>
      <c r="BI2223" s="17"/>
      <c r="BJ2223" s="15"/>
      <c r="BK2223" s="15"/>
      <c r="BL2223" s="13" t="b">
        <v>0</v>
      </c>
      <c r="BM2223" s="10"/>
      <c r="BN2223" s="10" t="s">
        <v>1149</v>
      </c>
      <c r="BO2223" s="11">
        <v>45938.413888888892</v>
      </c>
      <c r="BP2223" s="11">
        <v>45938.590057870373</v>
      </c>
      <c r="BQ2223" s="15">
        <v>45959.665439814817</v>
      </c>
      <c r="BR2223" s="15">
        <v>45959.698333333334</v>
      </c>
      <c r="BS2223" s="10" t="s">
        <v>1149</v>
      </c>
      <c r="BT2223" s="10" t="s">
        <v>279</v>
      </c>
      <c r="BU2223" s="10" t="s">
        <v>280</v>
      </c>
      <c r="BV2223" s="10" t="s">
        <v>124</v>
      </c>
      <c r="BW2223" s="10"/>
      <c r="BX2223" s="10"/>
      <c r="BY2223" s="23"/>
      <c r="BZ2223" s="23"/>
      <c r="CA2223" s="19" t="s">
        <v>17010</v>
      </c>
      <c r="CB2223" s="19" t="s">
        <v>17011</v>
      </c>
      <c r="CC2223" s="23"/>
      <c r="CD2223" s="19" t="s">
        <v>17012</v>
      </c>
      <c r="CE2223" s="23"/>
      <c r="CF2223" s="23"/>
      <c r="CG2223" s="23"/>
      <c r="CH2223" s="23"/>
      <c r="CI2223" s="23"/>
    </row>
    <row r="2224" spans="1:87" x14ac:dyDescent="0.3">
      <c r="A2224" s="9" t="s">
        <v>17013</v>
      </c>
      <c r="B2224" s="10" t="s">
        <v>17014</v>
      </c>
      <c r="C2224" s="11">
        <v>45963.645833333336</v>
      </c>
      <c r="D2224" s="12">
        <v>8.3333333333333329E-2</v>
      </c>
      <c r="E2224" s="11">
        <v>45963.729166666664</v>
      </c>
      <c r="F2224" s="10" t="s">
        <v>14786</v>
      </c>
      <c r="G2224" s="13" t="b">
        <v>0</v>
      </c>
      <c r="H2224" s="22" t="s">
        <v>14787</v>
      </c>
      <c r="I2224" s="10" t="s">
        <v>212</v>
      </c>
      <c r="J2224" s="13" t="b">
        <v>1</v>
      </c>
      <c r="K2224" s="13" t="b">
        <v>0</v>
      </c>
      <c r="L2224" s="10" t="s">
        <v>124</v>
      </c>
      <c r="M2224" s="10" t="s">
        <v>91</v>
      </c>
      <c r="N2224" s="10" t="s">
        <v>3513</v>
      </c>
      <c r="O2224" s="19" t="s">
        <v>17015</v>
      </c>
      <c r="P2224" s="10"/>
      <c r="Q2224" s="10" t="s">
        <v>126</v>
      </c>
      <c r="R2224" s="10"/>
      <c r="S2224" s="19" t="s">
        <v>17016</v>
      </c>
      <c r="T2224" s="19" t="s">
        <v>16962</v>
      </c>
      <c r="U2224" s="10" t="s">
        <v>14791</v>
      </c>
      <c r="V2224" s="10" t="s">
        <v>14881</v>
      </c>
      <c r="W2224" s="10" t="s">
        <v>14793</v>
      </c>
      <c r="X2224" s="10" t="s">
        <v>130</v>
      </c>
      <c r="Y2224" s="10" t="s">
        <v>130</v>
      </c>
      <c r="Z2224" s="10" t="s">
        <v>99</v>
      </c>
      <c r="AA2224" s="10" t="s">
        <v>131</v>
      </c>
      <c r="AB2224" s="10" t="s">
        <v>14794</v>
      </c>
      <c r="AC2224" s="10" t="s">
        <v>3521</v>
      </c>
      <c r="AD2224" s="10" t="s">
        <v>17017</v>
      </c>
      <c r="AE2224" s="10" t="s">
        <v>17018</v>
      </c>
      <c r="AF2224" s="15"/>
      <c r="AG2224" s="10"/>
      <c r="AH2224" s="10"/>
      <c r="AI2224" s="10"/>
      <c r="AJ2224" s="10"/>
      <c r="AK2224" s="10" t="s">
        <v>102</v>
      </c>
      <c r="AL2224" s="10" t="s">
        <v>195</v>
      </c>
      <c r="AM2224" s="10"/>
      <c r="AN2224" s="10"/>
      <c r="AO2224" s="13" t="b">
        <v>0</v>
      </c>
      <c r="AP2224" s="22" t="s">
        <v>104</v>
      </c>
      <c r="AQ2224" s="10">
        <f ca="1">IFERROR(__xludf.DUMMYFUNCTION("""COMPUTED_VALUE"""),4676986)</f>
        <v>4676986</v>
      </c>
      <c r="AR2224" s="17">
        <v>29527</v>
      </c>
      <c r="AS2224" s="17">
        <v>18246</v>
      </c>
      <c r="AT2224" s="17">
        <v>227720.5</v>
      </c>
      <c r="AU2224" s="17">
        <v>31.55</v>
      </c>
      <c r="AV2224" s="17">
        <v>7.05</v>
      </c>
      <c r="AW2224" s="10" t="s">
        <v>105</v>
      </c>
      <c r="AX2224" s="17">
        <v>6365</v>
      </c>
      <c r="AY2224" s="18">
        <v>12.480571084073221</v>
      </c>
      <c r="AZ2224" s="10" t="s">
        <v>106</v>
      </c>
      <c r="BA2224" s="20" t="b">
        <v>0</v>
      </c>
      <c r="BB2224" s="10"/>
      <c r="BC2224" s="17">
        <v>29527</v>
      </c>
      <c r="BD2224" s="17">
        <v>18246</v>
      </c>
      <c r="BE2224" s="17">
        <v>227720.5</v>
      </c>
      <c r="BF2224" s="17">
        <v>7.05</v>
      </c>
      <c r="BG2224" s="11">
        <f ca="1">IFERROR(__xludf.DUMMYFUNCTION("""COMPUTED_VALUE"""),45963.6458333333)</f>
        <v>45963.645833333299</v>
      </c>
      <c r="BH2224" s="17" t="s">
        <v>105</v>
      </c>
      <c r="BI2224" s="17"/>
      <c r="BJ2224" s="15"/>
      <c r="BK2224" s="15"/>
      <c r="BL2224" s="13" t="b">
        <v>0</v>
      </c>
      <c r="BM2224" s="10"/>
      <c r="BN2224" s="10" t="s">
        <v>1149</v>
      </c>
      <c r="BO2224" s="11">
        <v>45938.414583333331</v>
      </c>
      <c r="BP2224" s="11">
        <v>45938.660254629627</v>
      </c>
      <c r="BQ2224" s="15">
        <v>45959.665682870371</v>
      </c>
      <c r="BR2224" s="15">
        <v>45959.70652777778</v>
      </c>
      <c r="BS2224" s="10" t="s">
        <v>1149</v>
      </c>
      <c r="BT2224" s="10" t="s">
        <v>279</v>
      </c>
      <c r="BU2224" s="10" t="s">
        <v>421</v>
      </c>
      <c r="BV2224" s="10"/>
      <c r="BW2224" s="10"/>
      <c r="BX2224" s="10"/>
      <c r="BY2224" s="23"/>
      <c r="BZ2224" s="23"/>
      <c r="CA2224" s="19" t="s">
        <v>17019</v>
      </c>
      <c r="CB2224" s="19" t="s">
        <v>17020</v>
      </c>
      <c r="CC2224" s="23"/>
      <c r="CD2224" s="19" t="s">
        <v>17021</v>
      </c>
      <c r="CE2224" s="23"/>
      <c r="CF2224" s="23"/>
      <c r="CG2224" s="23"/>
      <c r="CH2224" s="23"/>
      <c r="CI2224" s="23"/>
    </row>
    <row r="2225" spans="1:87" x14ac:dyDescent="0.3">
      <c r="A2225" s="9" t="s">
        <v>17022</v>
      </c>
      <c r="B2225" s="10" t="s">
        <v>17023</v>
      </c>
      <c r="C2225" s="11">
        <v>45963.645833333336</v>
      </c>
      <c r="D2225" s="12">
        <v>8.3333333333333329E-2</v>
      </c>
      <c r="E2225" s="11">
        <v>45963.729166666664</v>
      </c>
      <c r="F2225" s="10" t="s">
        <v>14786</v>
      </c>
      <c r="G2225" s="13" t="b">
        <v>0</v>
      </c>
      <c r="H2225" s="22" t="s">
        <v>14787</v>
      </c>
      <c r="I2225" s="10" t="s">
        <v>212</v>
      </c>
      <c r="J2225" s="13" t="b">
        <v>1</v>
      </c>
      <c r="K2225" s="13" t="b">
        <v>0</v>
      </c>
      <c r="L2225" s="10" t="s">
        <v>124</v>
      </c>
      <c r="M2225" s="10" t="s">
        <v>91</v>
      </c>
      <c r="N2225" s="10" t="s">
        <v>3513</v>
      </c>
      <c r="O2225" s="19" t="s">
        <v>17024</v>
      </c>
      <c r="P2225" s="10"/>
      <c r="Q2225" s="10" t="s">
        <v>126</v>
      </c>
      <c r="R2225" s="10"/>
      <c r="S2225" s="19" t="s">
        <v>17025</v>
      </c>
      <c r="T2225" s="19" t="s">
        <v>16962</v>
      </c>
      <c r="U2225" s="10" t="s">
        <v>14882</v>
      </c>
      <c r="V2225" s="10" t="s">
        <v>14815</v>
      </c>
      <c r="W2225" s="10" t="s">
        <v>14793</v>
      </c>
      <c r="X2225" s="10" t="s">
        <v>130</v>
      </c>
      <c r="Y2225" s="10" t="s">
        <v>130</v>
      </c>
      <c r="Z2225" s="10" t="s">
        <v>99</v>
      </c>
      <c r="AA2225" s="10" t="s">
        <v>131</v>
      </c>
      <c r="AB2225" s="10" t="s">
        <v>14794</v>
      </c>
      <c r="AC2225" s="10" t="s">
        <v>3521</v>
      </c>
      <c r="AD2225" s="10" t="s">
        <v>17026</v>
      </c>
      <c r="AE2225" s="10" t="s">
        <v>17027</v>
      </c>
      <c r="AF2225" s="15"/>
      <c r="AG2225" s="10"/>
      <c r="AH2225" s="10"/>
      <c r="AI2225" s="10"/>
      <c r="AJ2225" s="10"/>
      <c r="AK2225" s="10" t="s">
        <v>102</v>
      </c>
      <c r="AL2225" s="10" t="s">
        <v>195</v>
      </c>
      <c r="AM2225" s="10"/>
      <c r="AN2225" s="10"/>
      <c r="AO2225" s="13" t="b">
        <v>0</v>
      </c>
      <c r="AP2225" s="22" t="s">
        <v>104</v>
      </c>
      <c r="AQ2225" s="10">
        <f ca="1">IFERROR(__xludf.DUMMYFUNCTION("""COMPUTED_VALUE"""),4676991)</f>
        <v>4676991</v>
      </c>
      <c r="AR2225" s="17">
        <v>39036</v>
      </c>
      <c r="AS2225" s="17">
        <v>20782</v>
      </c>
      <c r="AT2225" s="17">
        <v>478647.5</v>
      </c>
      <c r="AU2225" s="17">
        <v>69.599999999999994</v>
      </c>
      <c r="AV2225" s="17">
        <v>18.350000000000001</v>
      </c>
      <c r="AW2225" s="10" t="s">
        <v>105</v>
      </c>
      <c r="AX2225" s="17">
        <v>7162</v>
      </c>
      <c r="AY2225" s="18">
        <v>23.031830430179962</v>
      </c>
      <c r="AZ2225" s="10" t="s">
        <v>106</v>
      </c>
      <c r="BA2225" s="20" t="b">
        <v>0</v>
      </c>
      <c r="BB2225" s="10"/>
      <c r="BC2225" s="17">
        <v>39036</v>
      </c>
      <c r="BD2225" s="17">
        <v>20782</v>
      </c>
      <c r="BE2225" s="17">
        <v>478647.5</v>
      </c>
      <c r="BF2225" s="17">
        <v>18.350000000000001</v>
      </c>
      <c r="BG2225" s="11">
        <f ca="1">IFERROR(__xludf.DUMMYFUNCTION("""COMPUTED_VALUE"""),45963.6458333333)</f>
        <v>45963.645833333299</v>
      </c>
      <c r="BH2225" s="17" t="s">
        <v>105</v>
      </c>
      <c r="BI2225" s="17"/>
      <c r="BJ2225" s="15"/>
      <c r="BK2225" s="15"/>
      <c r="BL2225" s="13" t="b">
        <v>0</v>
      </c>
      <c r="BM2225" s="10"/>
      <c r="BN2225" s="10" t="s">
        <v>1149</v>
      </c>
      <c r="BO2225" s="11">
        <v>45938.415277777778</v>
      </c>
      <c r="BP2225" s="11">
        <v>45938.660405092596</v>
      </c>
      <c r="BQ2225" s="15">
        <v>45959.665949074071</v>
      </c>
      <c r="BR2225" s="15">
        <v>45959.716053240743</v>
      </c>
      <c r="BS2225" s="10" t="s">
        <v>1149</v>
      </c>
      <c r="BT2225" s="10" t="s">
        <v>279</v>
      </c>
      <c r="BU2225" s="10" t="s">
        <v>793</v>
      </c>
      <c r="BV2225" s="10"/>
      <c r="BW2225" s="10"/>
      <c r="BX2225" s="10"/>
      <c r="BY2225" s="23"/>
      <c r="BZ2225" s="23"/>
      <c r="CA2225" s="19" t="s">
        <v>17028</v>
      </c>
      <c r="CB2225" s="19" t="s">
        <v>17029</v>
      </c>
      <c r="CC2225" s="23"/>
      <c r="CD2225" s="19" t="s">
        <v>17030</v>
      </c>
      <c r="CE2225" s="23"/>
      <c r="CF2225" s="23"/>
      <c r="CG2225" s="23"/>
      <c r="CH2225" s="23"/>
      <c r="CI2225" s="23"/>
    </row>
    <row r="2226" spans="1:87" x14ac:dyDescent="0.3">
      <c r="A2226" s="9" t="s">
        <v>17031</v>
      </c>
      <c r="B2226" s="10" t="s">
        <v>17032</v>
      </c>
      <c r="C2226" s="11">
        <v>45963.791666666664</v>
      </c>
      <c r="D2226" s="12">
        <v>8.3333333333333329E-2</v>
      </c>
      <c r="E2226" s="11">
        <v>45963.875</v>
      </c>
      <c r="F2226" s="10" t="s">
        <v>14786</v>
      </c>
      <c r="G2226" s="13" t="b">
        <v>0</v>
      </c>
      <c r="H2226" s="22" t="s">
        <v>14787</v>
      </c>
      <c r="I2226" s="10" t="s">
        <v>3548</v>
      </c>
      <c r="J2226" s="13" t="b">
        <v>0</v>
      </c>
      <c r="K2226" s="13" t="b">
        <v>1</v>
      </c>
      <c r="L2226" s="10" t="s">
        <v>124</v>
      </c>
      <c r="M2226" s="10" t="s">
        <v>91</v>
      </c>
      <c r="N2226" s="10" t="s">
        <v>3513</v>
      </c>
      <c r="O2226" s="19" t="s">
        <v>17033</v>
      </c>
      <c r="P2226" s="10"/>
      <c r="Q2226" s="10" t="s">
        <v>126</v>
      </c>
      <c r="R2226" s="10"/>
      <c r="S2226" s="19" t="s">
        <v>17034</v>
      </c>
      <c r="T2226" s="19" t="s">
        <v>16962</v>
      </c>
      <c r="U2226" s="10" t="s">
        <v>14859</v>
      </c>
      <c r="V2226" s="10" t="s">
        <v>14849</v>
      </c>
      <c r="W2226" s="10" t="s">
        <v>14793</v>
      </c>
      <c r="X2226" s="10" t="s">
        <v>130</v>
      </c>
      <c r="Y2226" s="10" t="s">
        <v>130</v>
      </c>
      <c r="Z2226" s="10" t="s">
        <v>99</v>
      </c>
      <c r="AA2226" s="10" t="s">
        <v>131</v>
      </c>
      <c r="AB2226" s="10" t="s">
        <v>14794</v>
      </c>
      <c r="AC2226" s="10" t="s">
        <v>3521</v>
      </c>
      <c r="AD2226" s="10" t="s">
        <v>17035</v>
      </c>
      <c r="AE2226" s="10" t="s">
        <v>17036</v>
      </c>
      <c r="AF2226" s="15"/>
      <c r="AG2226" s="10"/>
      <c r="AH2226" s="10"/>
      <c r="AI2226" s="10"/>
      <c r="AJ2226" s="10"/>
      <c r="AK2226" s="10" t="s">
        <v>102</v>
      </c>
      <c r="AL2226" s="10" t="s">
        <v>195</v>
      </c>
      <c r="AM2226" s="10"/>
      <c r="AN2226" s="10"/>
      <c r="AO2226" s="13" t="b">
        <v>0</v>
      </c>
      <c r="AP2226" s="22" t="s">
        <v>104</v>
      </c>
      <c r="AQ2226" s="10">
        <f ca="1">IFERROR(__xludf.DUMMYFUNCTION("""COMPUTED_VALUE"""),4676981)</f>
        <v>4676981</v>
      </c>
      <c r="AR2226" s="17">
        <v>41616</v>
      </c>
      <c r="AS2226" s="17">
        <v>26155</v>
      </c>
      <c r="AT2226" s="17">
        <v>497319.5</v>
      </c>
      <c r="AU2226" s="17">
        <v>348.2</v>
      </c>
      <c r="AV2226" s="17">
        <v>95.15</v>
      </c>
      <c r="AW2226" s="10" t="s">
        <v>105</v>
      </c>
      <c r="AX2226" s="17">
        <v>8272</v>
      </c>
      <c r="AY2226" s="18">
        <v>19.014318485949151</v>
      </c>
      <c r="AZ2226" s="10" t="s">
        <v>106</v>
      </c>
      <c r="BA2226" s="20" t="b">
        <v>0</v>
      </c>
      <c r="BB2226" s="10"/>
      <c r="BC2226" s="17">
        <v>41616</v>
      </c>
      <c r="BD2226" s="17">
        <v>26155</v>
      </c>
      <c r="BE2226" s="17">
        <v>497319.5</v>
      </c>
      <c r="BF2226" s="17">
        <v>95.15</v>
      </c>
      <c r="BG2226" s="11">
        <f ca="1">IFERROR(__xludf.DUMMYFUNCTION("""COMPUTED_VALUE"""),45963.7916666666)</f>
        <v>45963.791666666599</v>
      </c>
      <c r="BH2226" s="17" t="s">
        <v>105</v>
      </c>
      <c r="BI2226" s="17"/>
      <c r="BJ2226" s="15"/>
      <c r="BK2226" s="15"/>
      <c r="BL2226" s="13" t="b">
        <v>0</v>
      </c>
      <c r="BM2226" s="10"/>
      <c r="BN2226" s="10" t="s">
        <v>1149</v>
      </c>
      <c r="BO2226" s="11">
        <v>45938.415972222225</v>
      </c>
      <c r="BP2226" s="11">
        <v>45938.590775462966</v>
      </c>
      <c r="BQ2226" s="15">
        <v>45959.666203703702</v>
      </c>
      <c r="BR2226" s="15">
        <v>45959.699467592596</v>
      </c>
      <c r="BS2226" s="10" t="s">
        <v>1149</v>
      </c>
      <c r="BT2226" s="10" t="s">
        <v>279</v>
      </c>
      <c r="BU2226" s="10" t="s">
        <v>421</v>
      </c>
      <c r="BV2226" s="10"/>
      <c r="BW2226" s="10"/>
      <c r="BX2226" s="10"/>
      <c r="BY2226" s="23"/>
      <c r="BZ2226" s="23"/>
      <c r="CA2226" s="19" t="s">
        <v>17037</v>
      </c>
      <c r="CB2226" s="19" t="s">
        <v>17038</v>
      </c>
      <c r="CC2226" s="23"/>
      <c r="CD2226" s="19" t="s">
        <v>17039</v>
      </c>
      <c r="CE2226" s="23"/>
      <c r="CF2226" s="23"/>
      <c r="CG2226" s="23"/>
      <c r="CH2226" s="23"/>
      <c r="CI2226" s="23"/>
    </row>
    <row r="2227" spans="1:87" x14ac:dyDescent="0.3">
      <c r="A2227" s="9" t="s">
        <v>17040</v>
      </c>
      <c r="B2227" s="10" t="s">
        <v>17041</v>
      </c>
      <c r="C2227" s="11">
        <v>45963.854166666664</v>
      </c>
      <c r="D2227" s="12">
        <v>8.3333333333333329E-2</v>
      </c>
      <c r="E2227" s="11">
        <v>45963.9375</v>
      </c>
      <c r="F2227" s="10" t="s">
        <v>14786</v>
      </c>
      <c r="G2227" s="13" t="b">
        <v>0</v>
      </c>
      <c r="H2227" s="22" t="s">
        <v>14787</v>
      </c>
      <c r="I2227" s="10" t="s">
        <v>3548</v>
      </c>
      <c r="J2227" s="13" t="b">
        <v>0</v>
      </c>
      <c r="K2227" s="13" t="b">
        <v>1</v>
      </c>
      <c r="L2227" s="10" t="s">
        <v>124</v>
      </c>
      <c r="M2227" s="10" t="s">
        <v>91</v>
      </c>
      <c r="N2227" s="10" t="s">
        <v>3513</v>
      </c>
      <c r="O2227" s="19" t="s">
        <v>17042</v>
      </c>
      <c r="P2227" s="10"/>
      <c r="Q2227" s="10" t="s">
        <v>126</v>
      </c>
      <c r="R2227" s="10"/>
      <c r="S2227" s="19" t="s">
        <v>17043</v>
      </c>
      <c r="T2227" s="19" t="s">
        <v>16962</v>
      </c>
      <c r="U2227" s="10" t="s">
        <v>14892</v>
      </c>
      <c r="V2227" s="10" t="s">
        <v>14805</v>
      </c>
      <c r="W2227" s="10" t="s">
        <v>14793</v>
      </c>
      <c r="X2227" s="10" t="s">
        <v>130</v>
      </c>
      <c r="Y2227" s="10" t="s">
        <v>130</v>
      </c>
      <c r="Z2227" s="10" t="s">
        <v>99</v>
      </c>
      <c r="AA2227" s="10" t="s">
        <v>131</v>
      </c>
      <c r="AB2227" s="10" t="s">
        <v>14794</v>
      </c>
      <c r="AC2227" s="10" t="s">
        <v>3521</v>
      </c>
      <c r="AD2227" s="10" t="s">
        <v>17044</v>
      </c>
      <c r="AE2227" s="10" t="s">
        <v>17045</v>
      </c>
      <c r="AF2227" s="15"/>
      <c r="AG2227" s="10"/>
      <c r="AH2227" s="10"/>
      <c r="AI2227" s="10"/>
      <c r="AJ2227" s="10"/>
      <c r="AK2227" s="10" t="s">
        <v>102</v>
      </c>
      <c r="AL2227" s="10" t="s">
        <v>195</v>
      </c>
      <c r="AM2227" s="10"/>
      <c r="AN2227" s="10"/>
      <c r="AO2227" s="13" t="b">
        <v>0</v>
      </c>
      <c r="AP2227" s="22" t="s">
        <v>104</v>
      </c>
      <c r="AQ2227" s="10">
        <f ca="1">IFERROR(__xludf.DUMMYFUNCTION("""COMPUTED_VALUE"""),4676983)</f>
        <v>4676983</v>
      </c>
      <c r="AR2227" s="17">
        <v>35729</v>
      </c>
      <c r="AS2227" s="17">
        <v>23726</v>
      </c>
      <c r="AT2227" s="17">
        <v>584605</v>
      </c>
      <c r="AU2227" s="17">
        <v>288.95</v>
      </c>
      <c r="AV2227" s="17">
        <v>142.4</v>
      </c>
      <c r="AW2227" s="10" t="s">
        <v>105</v>
      </c>
      <c r="AX2227" s="17">
        <v>7195</v>
      </c>
      <c r="AY2227" s="18">
        <v>24.639846581808985</v>
      </c>
      <c r="AZ2227" s="10" t="s">
        <v>106</v>
      </c>
      <c r="BA2227" s="20" t="b">
        <v>0</v>
      </c>
      <c r="BB2227" s="10"/>
      <c r="BC2227" s="17">
        <v>35729</v>
      </c>
      <c r="BD2227" s="17">
        <v>23726</v>
      </c>
      <c r="BE2227" s="17">
        <v>584605</v>
      </c>
      <c r="BF2227" s="17">
        <v>142.4</v>
      </c>
      <c r="BG2227" s="11">
        <f ca="1">IFERROR(__xludf.DUMMYFUNCTION("""COMPUTED_VALUE"""),45963.8541666666)</f>
        <v>45963.854166666599</v>
      </c>
      <c r="BH2227" s="17" t="s">
        <v>105</v>
      </c>
      <c r="BI2227" s="17"/>
      <c r="BJ2227" s="15"/>
      <c r="BK2227" s="15"/>
      <c r="BL2227" s="13" t="b">
        <v>0</v>
      </c>
      <c r="BM2227" s="10"/>
      <c r="BN2227" s="10" t="s">
        <v>455</v>
      </c>
      <c r="BO2227" s="11">
        <v>45938.416666666664</v>
      </c>
      <c r="BP2227" s="11">
        <v>45938.59097222222</v>
      </c>
      <c r="BQ2227" s="15">
        <v>45959.666504629633</v>
      </c>
      <c r="BR2227" s="15">
        <v>45959.701666666668</v>
      </c>
      <c r="BS2227" s="10" t="s">
        <v>455</v>
      </c>
      <c r="BT2227" s="10" t="s">
        <v>279</v>
      </c>
      <c r="BU2227" s="10" t="s">
        <v>8038</v>
      </c>
      <c r="BV2227" s="10"/>
      <c r="BW2227" s="10"/>
      <c r="BX2227" s="10"/>
      <c r="BY2227" s="23"/>
      <c r="BZ2227" s="23"/>
      <c r="CA2227" s="19" t="s">
        <v>17046</v>
      </c>
      <c r="CB2227" s="19" t="s">
        <v>17047</v>
      </c>
      <c r="CC2227" s="23"/>
      <c r="CD2227" s="19" t="s">
        <v>17048</v>
      </c>
      <c r="CE2227" s="23"/>
      <c r="CF2227" s="23"/>
      <c r="CG2227" s="23"/>
      <c r="CH2227" s="23"/>
      <c r="CI2227" s="23"/>
    </row>
    <row r="2228" spans="1:87" x14ac:dyDescent="0.3">
      <c r="A2228" s="9" t="s">
        <v>17049</v>
      </c>
      <c r="B2228" s="10" t="s">
        <v>17050</v>
      </c>
      <c r="C2228" s="11">
        <v>45968.645833333336</v>
      </c>
      <c r="D2228" s="12">
        <v>8.3333333333333329E-2</v>
      </c>
      <c r="E2228" s="11">
        <v>45968.729166666664</v>
      </c>
      <c r="F2228" s="10" t="s">
        <v>14786</v>
      </c>
      <c r="G2228" s="13" t="b">
        <v>0</v>
      </c>
      <c r="H2228" s="22" t="s">
        <v>14787</v>
      </c>
      <c r="I2228" s="10" t="s">
        <v>3548</v>
      </c>
      <c r="J2228" s="13" t="b">
        <v>0</v>
      </c>
      <c r="K2228" s="13" t="b">
        <v>1</v>
      </c>
      <c r="L2228" s="10" t="s">
        <v>124</v>
      </c>
      <c r="M2228" s="10" t="s">
        <v>91</v>
      </c>
      <c r="N2228" s="10" t="s">
        <v>3513</v>
      </c>
      <c r="O2228" s="19" t="s">
        <v>17051</v>
      </c>
      <c r="P2228" s="10"/>
      <c r="Q2228" s="10" t="s">
        <v>126</v>
      </c>
      <c r="R2228" s="10"/>
      <c r="S2228" s="19" t="s">
        <v>17052</v>
      </c>
      <c r="T2228" s="19" t="s">
        <v>17053</v>
      </c>
      <c r="U2228" s="10" t="s">
        <v>14837</v>
      </c>
      <c r="V2228" s="10" t="s">
        <v>14870</v>
      </c>
      <c r="W2228" s="10" t="s">
        <v>14793</v>
      </c>
      <c r="X2228" s="10" t="s">
        <v>130</v>
      </c>
      <c r="Y2228" s="10" t="s">
        <v>130</v>
      </c>
      <c r="Z2228" s="10" t="s">
        <v>99</v>
      </c>
      <c r="AA2228" s="10" t="s">
        <v>131</v>
      </c>
      <c r="AB2228" s="10" t="s">
        <v>14794</v>
      </c>
      <c r="AC2228" s="10" t="s">
        <v>3521</v>
      </c>
      <c r="AD2228" s="10" t="s">
        <v>17054</v>
      </c>
      <c r="AE2228" s="10" t="s">
        <v>17055</v>
      </c>
      <c r="AF2228" s="15"/>
      <c r="AG2228" s="10"/>
      <c r="AH2228" s="10"/>
      <c r="AI2228" s="10"/>
      <c r="AJ2228" s="10"/>
      <c r="AK2228" s="10" t="s">
        <v>102</v>
      </c>
      <c r="AL2228" s="10" t="s">
        <v>205</v>
      </c>
      <c r="AM2228" s="10"/>
      <c r="AN2228" s="10"/>
      <c r="AO2228" s="13" t="b">
        <v>0</v>
      </c>
      <c r="AP2228" s="22" t="s">
        <v>104</v>
      </c>
      <c r="AQ2228" s="10">
        <f ca="1">IFERROR(__xludf.DUMMYFUNCTION("""COMPUTED_VALUE"""),4704440)</f>
        <v>4704440</v>
      </c>
      <c r="AR2228" s="17">
        <v>19166</v>
      </c>
      <c r="AS2228" s="17">
        <v>11495</v>
      </c>
      <c r="AT2228" s="17">
        <v>219248.75</v>
      </c>
      <c r="AU2228" s="17">
        <v>190</v>
      </c>
      <c r="AV2228" s="17">
        <v>68.8</v>
      </c>
      <c r="AW2228" s="10" t="s">
        <v>105</v>
      </c>
      <c r="AX2228" s="17">
        <v>3030</v>
      </c>
      <c r="AY2228" s="18">
        <v>19.073401478903872</v>
      </c>
      <c r="AZ2228" s="10" t="s">
        <v>106</v>
      </c>
      <c r="BA2228" s="20" t="b">
        <v>0</v>
      </c>
      <c r="BB2228" s="10"/>
      <c r="BC2228" s="17">
        <v>19166</v>
      </c>
      <c r="BD2228" s="17">
        <v>11495</v>
      </c>
      <c r="BE2228" s="17">
        <v>219248.75</v>
      </c>
      <c r="BF2228" s="17">
        <v>68.8</v>
      </c>
      <c r="BG2228" s="11">
        <f ca="1">IFERROR(__xludf.DUMMYFUNCTION("""COMPUTED_VALUE"""),45968.6458333333)</f>
        <v>45968.645833333299</v>
      </c>
      <c r="BH2228" s="17" t="s">
        <v>105</v>
      </c>
      <c r="BI2228" s="17"/>
      <c r="BJ2228" s="15"/>
      <c r="BK2228" s="15"/>
      <c r="BL2228" s="13" t="b">
        <v>0</v>
      </c>
      <c r="BM2228" s="10"/>
      <c r="BN2228" s="10" t="s">
        <v>149</v>
      </c>
      <c r="BO2228" s="11">
        <v>45938.417361111111</v>
      </c>
      <c r="BP2228" s="11">
        <v>45938.628310185188</v>
      </c>
      <c r="BQ2228" s="15">
        <v>45966.443391203706</v>
      </c>
      <c r="BR2228" s="15">
        <v>45966.472488425927</v>
      </c>
      <c r="BS2228" s="10" t="s">
        <v>149</v>
      </c>
      <c r="BT2228" s="10" t="s">
        <v>99</v>
      </c>
      <c r="BU2228" s="10" t="s">
        <v>2406</v>
      </c>
      <c r="BV2228" s="10"/>
      <c r="BW2228" s="10"/>
      <c r="BX2228" s="10"/>
      <c r="BY2228" s="23"/>
      <c r="BZ2228" s="23"/>
      <c r="CA2228" s="19" t="s">
        <v>17056</v>
      </c>
      <c r="CB2228" s="19" t="s">
        <v>17057</v>
      </c>
      <c r="CC2228" s="23"/>
      <c r="CD2228" s="19" t="s">
        <v>17058</v>
      </c>
      <c r="CE2228" s="23"/>
      <c r="CF2228" s="23"/>
      <c r="CG2228" s="23"/>
      <c r="CH2228" s="23"/>
      <c r="CI2228" s="23"/>
    </row>
    <row r="2229" spans="1:87" x14ac:dyDescent="0.3">
      <c r="A2229" s="9" t="s">
        <v>17059</v>
      </c>
      <c r="B2229" s="10" t="s">
        <v>17060</v>
      </c>
      <c r="C2229" s="11">
        <v>45968.645833333336</v>
      </c>
      <c r="D2229" s="12">
        <v>8.3333333333333329E-2</v>
      </c>
      <c r="E2229" s="11">
        <v>45968.729166666664</v>
      </c>
      <c r="F2229" s="10" t="s">
        <v>14786</v>
      </c>
      <c r="G2229" s="13" t="b">
        <v>0</v>
      </c>
      <c r="H2229" s="22" t="s">
        <v>14787</v>
      </c>
      <c r="I2229" s="10" t="s">
        <v>212</v>
      </c>
      <c r="J2229" s="13" t="b">
        <v>1</v>
      </c>
      <c r="K2229" s="13" t="b">
        <v>0</v>
      </c>
      <c r="L2229" s="10" t="s">
        <v>124</v>
      </c>
      <c r="M2229" s="10" t="s">
        <v>91</v>
      </c>
      <c r="N2229" s="10" t="s">
        <v>3513</v>
      </c>
      <c r="O2229" s="19" t="s">
        <v>17061</v>
      </c>
      <c r="P2229" s="10"/>
      <c r="Q2229" s="10" t="s">
        <v>126</v>
      </c>
      <c r="R2229" s="10"/>
      <c r="S2229" s="19" t="s">
        <v>17062</v>
      </c>
      <c r="T2229" s="19" t="s">
        <v>17053</v>
      </c>
      <c r="U2229" s="10" t="s">
        <v>14838</v>
      </c>
      <c r="V2229" s="10" t="s">
        <v>14849</v>
      </c>
      <c r="W2229" s="10" t="s">
        <v>14793</v>
      </c>
      <c r="X2229" s="10" t="s">
        <v>130</v>
      </c>
      <c r="Y2229" s="10" t="s">
        <v>130</v>
      </c>
      <c r="Z2229" s="10" t="s">
        <v>99</v>
      </c>
      <c r="AA2229" s="10" t="s">
        <v>131</v>
      </c>
      <c r="AB2229" s="10" t="s">
        <v>14794</v>
      </c>
      <c r="AC2229" s="10" t="s">
        <v>3521</v>
      </c>
      <c r="AD2229" s="10" t="s">
        <v>17063</v>
      </c>
      <c r="AE2229" s="10" t="s">
        <v>17064</v>
      </c>
      <c r="AF2229" s="15"/>
      <c r="AG2229" s="10"/>
      <c r="AH2229" s="10"/>
      <c r="AI2229" s="10"/>
      <c r="AJ2229" s="10"/>
      <c r="AK2229" s="10" t="s">
        <v>102</v>
      </c>
      <c r="AL2229" s="10" t="s">
        <v>205</v>
      </c>
      <c r="AM2229" s="10"/>
      <c r="AN2229" s="10"/>
      <c r="AO2229" s="13" t="b">
        <v>0</v>
      </c>
      <c r="AP2229" s="22" t="s">
        <v>104</v>
      </c>
      <c r="AQ2229" s="10">
        <f ca="1">IFERROR(__xludf.DUMMYFUNCTION("""COMPUTED_VALUE"""),4704437)</f>
        <v>4704437</v>
      </c>
      <c r="AR2229" s="17">
        <v>30879</v>
      </c>
      <c r="AS2229" s="17">
        <v>16145</v>
      </c>
      <c r="AT2229" s="17">
        <v>372048.25</v>
      </c>
      <c r="AU2229" s="17">
        <v>79.349999999999994</v>
      </c>
      <c r="AV2229" s="17">
        <v>16.75</v>
      </c>
      <c r="AW2229" s="10" t="s">
        <v>105</v>
      </c>
      <c r="AX2229" s="17">
        <v>6095</v>
      </c>
      <c r="AY2229" s="18">
        <v>23.044177764013625</v>
      </c>
      <c r="AZ2229" s="10" t="s">
        <v>106</v>
      </c>
      <c r="BA2229" s="20" t="b">
        <v>0</v>
      </c>
      <c r="BB2229" s="10"/>
      <c r="BC2229" s="17">
        <v>30879</v>
      </c>
      <c r="BD2229" s="17">
        <v>16145</v>
      </c>
      <c r="BE2229" s="17">
        <v>372048.25</v>
      </c>
      <c r="BF2229" s="17">
        <v>16.75</v>
      </c>
      <c r="BG2229" s="11">
        <f ca="1">IFERROR(__xludf.DUMMYFUNCTION("""COMPUTED_VALUE"""),45968.6458333333)</f>
        <v>45968.645833333299</v>
      </c>
      <c r="BH2229" s="17" t="s">
        <v>105</v>
      </c>
      <c r="BI2229" s="17"/>
      <c r="BJ2229" s="15"/>
      <c r="BK2229" s="15"/>
      <c r="BL2229" s="13" t="b">
        <v>0</v>
      </c>
      <c r="BM2229" s="10"/>
      <c r="BN2229" s="10" t="s">
        <v>149</v>
      </c>
      <c r="BO2229" s="11">
        <v>45938.418055555558</v>
      </c>
      <c r="BP2229" s="11">
        <v>45940.692488425928</v>
      </c>
      <c r="BQ2229" s="15">
        <v>45966.442986111113</v>
      </c>
      <c r="BR2229" s="15">
        <v>45966.469664351855</v>
      </c>
      <c r="BS2229" s="10" t="s">
        <v>149</v>
      </c>
      <c r="BT2229" s="10" t="s">
        <v>99</v>
      </c>
      <c r="BU2229" s="10" t="s">
        <v>2427</v>
      </c>
      <c r="BV2229" s="10"/>
      <c r="BW2229" s="10"/>
      <c r="BX2229" s="10"/>
      <c r="BY2229" s="23"/>
      <c r="BZ2229" s="23"/>
      <c r="CA2229" s="19" t="s">
        <v>17065</v>
      </c>
      <c r="CB2229" s="19" t="s">
        <v>17066</v>
      </c>
      <c r="CC2229" s="23"/>
      <c r="CD2229" s="19" t="s">
        <v>17067</v>
      </c>
      <c r="CE2229" s="23"/>
      <c r="CF2229" s="23"/>
      <c r="CG2229" s="23"/>
      <c r="CH2229" s="23"/>
      <c r="CI2229" s="23"/>
    </row>
    <row r="2230" spans="1:87" x14ac:dyDescent="0.3">
      <c r="A2230" s="9" t="s">
        <v>17068</v>
      </c>
      <c r="B2230" s="10" t="s">
        <v>17069</v>
      </c>
      <c r="C2230" s="11">
        <v>45968.645833333336</v>
      </c>
      <c r="D2230" s="12">
        <v>8.3333333333333329E-2</v>
      </c>
      <c r="E2230" s="11">
        <v>45968.729166666664</v>
      </c>
      <c r="F2230" s="10" t="s">
        <v>14786</v>
      </c>
      <c r="G2230" s="13" t="b">
        <v>0</v>
      </c>
      <c r="H2230" s="22" t="s">
        <v>14787</v>
      </c>
      <c r="I2230" s="10" t="s">
        <v>212</v>
      </c>
      <c r="J2230" s="13" t="b">
        <v>1</v>
      </c>
      <c r="K2230" s="13" t="b">
        <v>0</v>
      </c>
      <c r="L2230" s="10" t="s">
        <v>124</v>
      </c>
      <c r="M2230" s="10" t="s">
        <v>91</v>
      </c>
      <c r="N2230" s="10" t="s">
        <v>3513</v>
      </c>
      <c r="O2230" s="19" t="s">
        <v>17070</v>
      </c>
      <c r="P2230" s="10"/>
      <c r="Q2230" s="10" t="s">
        <v>126</v>
      </c>
      <c r="R2230" s="10"/>
      <c r="S2230" s="19" t="s">
        <v>17071</v>
      </c>
      <c r="T2230" s="19" t="s">
        <v>17053</v>
      </c>
      <c r="U2230" s="10" t="s">
        <v>14815</v>
      </c>
      <c r="V2230" s="10" t="s">
        <v>14893</v>
      </c>
      <c r="W2230" s="10" t="s">
        <v>14793</v>
      </c>
      <c r="X2230" s="10" t="s">
        <v>130</v>
      </c>
      <c r="Y2230" s="10" t="s">
        <v>130</v>
      </c>
      <c r="Z2230" s="10" t="s">
        <v>99</v>
      </c>
      <c r="AA2230" s="10" t="s">
        <v>131</v>
      </c>
      <c r="AB2230" s="10" t="s">
        <v>14794</v>
      </c>
      <c r="AC2230" s="10" t="s">
        <v>3521</v>
      </c>
      <c r="AD2230" s="10" t="s">
        <v>17072</v>
      </c>
      <c r="AE2230" s="10" t="s">
        <v>17073</v>
      </c>
      <c r="AF2230" s="15"/>
      <c r="AG2230" s="10"/>
      <c r="AH2230" s="10"/>
      <c r="AI2230" s="10"/>
      <c r="AJ2230" s="10"/>
      <c r="AK2230" s="10" t="s">
        <v>102</v>
      </c>
      <c r="AL2230" s="10" t="s">
        <v>205</v>
      </c>
      <c r="AM2230" s="10"/>
      <c r="AN2230" s="10"/>
      <c r="AO2230" s="13" t="b">
        <v>0</v>
      </c>
      <c r="AP2230" s="22" t="s">
        <v>104</v>
      </c>
      <c r="AQ2230" s="10">
        <f ca="1">IFERROR(__xludf.DUMMYFUNCTION("""COMPUTED_VALUE"""),4704439)</f>
        <v>4704439</v>
      </c>
      <c r="AR2230" s="17">
        <v>24584</v>
      </c>
      <c r="AS2230" s="17">
        <v>12580</v>
      </c>
      <c r="AT2230" s="17">
        <v>202619.25</v>
      </c>
      <c r="AU2230" s="17">
        <v>18.05</v>
      </c>
      <c r="AV2230" s="17">
        <v>1.85</v>
      </c>
      <c r="AW2230" s="10" t="s">
        <v>105</v>
      </c>
      <c r="AX2230" s="17">
        <v>3398</v>
      </c>
      <c r="AY2230" s="18">
        <v>16.106458664546899</v>
      </c>
      <c r="AZ2230" s="10" t="s">
        <v>106</v>
      </c>
      <c r="BA2230" s="20" t="b">
        <v>0</v>
      </c>
      <c r="BB2230" s="10"/>
      <c r="BC2230" s="17">
        <v>24584</v>
      </c>
      <c r="BD2230" s="17">
        <v>12580</v>
      </c>
      <c r="BE2230" s="17">
        <v>202619.25</v>
      </c>
      <c r="BF2230" s="17">
        <v>1.85</v>
      </c>
      <c r="BG2230" s="11">
        <f ca="1">IFERROR(__xludf.DUMMYFUNCTION("""COMPUTED_VALUE"""),45968.6458333333)</f>
        <v>45968.645833333299</v>
      </c>
      <c r="BH2230" s="17" t="s">
        <v>105</v>
      </c>
      <c r="BI2230" s="17"/>
      <c r="BJ2230" s="15"/>
      <c r="BK2230" s="15"/>
      <c r="BL2230" s="13" t="b">
        <v>0</v>
      </c>
      <c r="BM2230" s="10"/>
      <c r="BN2230" s="10" t="s">
        <v>149</v>
      </c>
      <c r="BO2230" s="11">
        <v>45938.418749999997</v>
      </c>
      <c r="BP2230" s="11">
        <v>45940.692789351851</v>
      </c>
      <c r="BQ2230" s="15">
        <v>45966.443611111114</v>
      </c>
      <c r="BR2230" s="15">
        <v>45966.472743055558</v>
      </c>
      <c r="BS2230" s="10" t="s">
        <v>149</v>
      </c>
      <c r="BT2230" s="10" t="s">
        <v>99</v>
      </c>
      <c r="BU2230" s="10" t="s">
        <v>2448</v>
      </c>
      <c r="BV2230" s="10"/>
      <c r="BW2230" s="10"/>
      <c r="BX2230" s="10"/>
      <c r="BY2230" s="23"/>
      <c r="BZ2230" s="23"/>
      <c r="CA2230" s="19" t="s">
        <v>17074</v>
      </c>
      <c r="CB2230" s="19" t="s">
        <v>17075</v>
      </c>
      <c r="CC2230" s="23"/>
      <c r="CD2230" s="19" t="s">
        <v>17076</v>
      </c>
      <c r="CE2230" s="23"/>
      <c r="CF2230" s="23"/>
      <c r="CG2230" s="23"/>
      <c r="CH2230" s="23"/>
      <c r="CI2230" s="23"/>
    </row>
    <row r="2231" spans="1:87" x14ac:dyDescent="0.3">
      <c r="A2231" s="9" t="s">
        <v>17077</v>
      </c>
      <c r="B2231" s="10" t="s">
        <v>17078</v>
      </c>
      <c r="C2231" s="11">
        <v>45968.645833333336</v>
      </c>
      <c r="D2231" s="12">
        <v>8.3333333333333329E-2</v>
      </c>
      <c r="E2231" s="11">
        <v>45968.729166666664</v>
      </c>
      <c r="F2231" s="10" t="s">
        <v>14786</v>
      </c>
      <c r="G2231" s="13" t="b">
        <v>0</v>
      </c>
      <c r="H2231" s="22" t="s">
        <v>14787</v>
      </c>
      <c r="I2231" s="10" t="s">
        <v>212</v>
      </c>
      <c r="J2231" s="13" t="b">
        <v>1</v>
      </c>
      <c r="K2231" s="13" t="b">
        <v>0</v>
      </c>
      <c r="L2231" s="10" t="s">
        <v>124</v>
      </c>
      <c r="M2231" s="10" t="s">
        <v>91</v>
      </c>
      <c r="N2231" s="10" t="s">
        <v>3513</v>
      </c>
      <c r="O2231" s="19" t="s">
        <v>17079</v>
      </c>
      <c r="P2231" s="10"/>
      <c r="Q2231" s="10" t="s">
        <v>126</v>
      </c>
      <c r="R2231" s="10"/>
      <c r="S2231" s="19" t="s">
        <v>17080</v>
      </c>
      <c r="T2231" s="19" t="s">
        <v>17053</v>
      </c>
      <c r="U2231" s="10" t="s">
        <v>14816</v>
      </c>
      <c r="V2231" s="10" t="s">
        <v>14882</v>
      </c>
      <c r="W2231" s="10" t="s">
        <v>14793</v>
      </c>
      <c r="X2231" s="10" t="s">
        <v>130</v>
      </c>
      <c r="Y2231" s="10" t="s">
        <v>130</v>
      </c>
      <c r="Z2231" s="10" t="s">
        <v>99</v>
      </c>
      <c r="AA2231" s="10" t="s">
        <v>131</v>
      </c>
      <c r="AB2231" s="10" t="s">
        <v>14794</v>
      </c>
      <c r="AC2231" s="10" t="s">
        <v>3521</v>
      </c>
      <c r="AD2231" s="10" t="s">
        <v>17081</v>
      </c>
      <c r="AE2231" s="10" t="s">
        <v>17082</v>
      </c>
      <c r="AF2231" s="15"/>
      <c r="AG2231" s="10"/>
      <c r="AH2231" s="10"/>
      <c r="AI2231" s="10"/>
      <c r="AJ2231" s="10"/>
      <c r="AK2231" s="10" t="s">
        <v>102</v>
      </c>
      <c r="AL2231" s="10" t="s">
        <v>205</v>
      </c>
      <c r="AM2231" s="10"/>
      <c r="AN2231" s="10"/>
      <c r="AO2231" s="13" t="b">
        <v>0</v>
      </c>
      <c r="AP2231" s="22" t="s">
        <v>104</v>
      </c>
      <c r="AQ2231" s="10">
        <f ca="1">IFERROR(__xludf.DUMMYFUNCTION("""COMPUTED_VALUE"""),4704438)</f>
        <v>4704438</v>
      </c>
      <c r="AR2231" s="17">
        <v>23486</v>
      </c>
      <c r="AS2231" s="17">
        <v>11896</v>
      </c>
      <c r="AT2231" s="17">
        <v>189092.25</v>
      </c>
      <c r="AU2231" s="17">
        <v>22.7</v>
      </c>
      <c r="AV2231" s="17">
        <v>5.05</v>
      </c>
      <c r="AW2231" s="10" t="s">
        <v>105</v>
      </c>
      <c r="AX2231" s="17">
        <v>4027</v>
      </c>
      <c r="AY2231" s="18">
        <v>15.895448049764626</v>
      </c>
      <c r="AZ2231" s="10" t="s">
        <v>106</v>
      </c>
      <c r="BA2231" s="20" t="b">
        <v>0</v>
      </c>
      <c r="BB2231" s="10"/>
      <c r="BC2231" s="17">
        <v>23486</v>
      </c>
      <c r="BD2231" s="17">
        <v>11896</v>
      </c>
      <c r="BE2231" s="17">
        <v>189092.25</v>
      </c>
      <c r="BF2231" s="17">
        <v>5.05</v>
      </c>
      <c r="BG2231" s="11">
        <f ca="1">IFERROR(__xludf.DUMMYFUNCTION("""COMPUTED_VALUE"""),45968.6458333333)</f>
        <v>45968.645833333299</v>
      </c>
      <c r="BH2231" s="17" t="s">
        <v>105</v>
      </c>
      <c r="BI2231" s="17"/>
      <c r="BJ2231" s="15"/>
      <c r="BK2231" s="15"/>
      <c r="BL2231" s="13" t="b">
        <v>0</v>
      </c>
      <c r="BM2231" s="10"/>
      <c r="BN2231" s="10" t="s">
        <v>149</v>
      </c>
      <c r="BO2231" s="11">
        <v>45938.419444444444</v>
      </c>
      <c r="BP2231" s="11">
        <v>45940.692615740743</v>
      </c>
      <c r="BQ2231" s="15">
        <v>45966.443182870367</v>
      </c>
      <c r="BR2231" s="15">
        <v>45966.469988425924</v>
      </c>
      <c r="BS2231" s="10" t="s">
        <v>149</v>
      </c>
      <c r="BT2231" s="10" t="s">
        <v>99</v>
      </c>
      <c r="BU2231" s="10" t="s">
        <v>2459</v>
      </c>
      <c r="BV2231" s="10"/>
      <c r="BW2231" s="10"/>
      <c r="BX2231" s="10"/>
      <c r="BY2231" s="23"/>
      <c r="BZ2231" s="23"/>
      <c r="CA2231" s="19" t="s">
        <v>17083</v>
      </c>
      <c r="CB2231" s="19" t="s">
        <v>17084</v>
      </c>
      <c r="CC2231" s="23"/>
      <c r="CD2231" s="19" t="s">
        <v>17085</v>
      </c>
      <c r="CE2231" s="23"/>
      <c r="CF2231" s="23"/>
      <c r="CG2231" s="23"/>
      <c r="CH2231" s="23"/>
      <c r="CI2231" s="23"/>
    </row>
    <row r="2232" spans="1:87" x14ac:dyDescent="0.3">
      <c r="A2232" s="9" t="s">
        <v>17086</v>
      </c>
      <c r="B2232" s="10" t="s">
        <v>17087</v>
      </c>
      <c r="C2232" s="11">
        <v>45968.708333333336</v>
      </c>
      <c r="D2232" s="12">
        <v>8.3333333333333329E-2</v>
      </c>
      <c r="E2232" s="11">
        <v>45968.791666666664</v>
      </c>
      <c r="F2232" s="10" t="s">
        <v>14786</v>
      </c>
      <c r="G2232" s="13" t="b">
        <v>0</v>
      </c>
      <c r="H2232" s="22" t="s">
        <v>14787</v>
      </c>
      <c r="I2232" s="10" t="s">
        <v>3548</v>
      </c>
      <c r="J2232" s="13" t="b">
        <v>0</v>
      </c>
      <c r="K2232" s="13" t="b">
        <v>1</v>
      </c>
      <c r="L2232" s="10" t="s">
        <v>124</v>
      </c>
      <c r="M2232" s="10" t="s">
        <v>91</v>
      </c>
      <c r="N2232" s="10" t="s">
        <v>3513</v>
      </c>
      <c r="O2232" s="19" t="s">
        <v>17088</v>
      </c>
      <c r="P2232" s="10"/>
      <c r="Q2232" s="10" t="s">
        <v>126</v>
      </c>
      <c r="R2232" s="10"/>
      <c r="S2232" s="19" t="s">
        <v>17089</v>
      </c>
      <c r="T2232" s="19" t="s">
        <v>17053</v>
      </c>
      <c r="U2232" s="10" t="s">
        <v>14871</v>
      </c>
      <c r="V2232" s="10" t="s">
        <v>14827</v>
      </c>
      <c r="W2232" s="10" t="s">
        <v>14793</v>
      </c>
      <c r="X2232" s="10" t="s">
        <v>130</v>
      </c>
      <c r="Y2232" s="10" t="s">
        <v>130</v>
      </c>
      <c r="Z2232" s="10" t="s">
        <v>99</v>
      </c>
      <c r="AA2232" s="10" t="s">
        <v>131</v>
      </c>
      <c r="AB2232" s="10" t="s">
        <v>14794</v>
      </c>
      <c r="AC2232" s="10" t="s">
        <v>3521</v>
      </c>
      <c r="AD2232" s="10" t="s">
        <v>17090</v>
      </c>
      <c r="AE2232" s="10" t="s">
        <v>17091</v>
      </c>
      <c r="AF2232" s="15"/>
      <c r="AG2232" s="10"/>
      <c r="AH2232" s="10"/>
      <c r="AI2232" s="10"/>
      <c r="AJ2232" s="10"/>
      <c r="AK2232" s="10" t="s">
        <v>102</v>
      </c>
      <c r="AL2232" s="10" t="s">
        <v>205</v>
      </c>
      <c r="AM2232" s="10"/>
      <c r="AN2232" s="10"/>
      <c r="AO2232" s="13" t="b">
        <v>0</v>
      </c>
      <c r="AP2232" s="22" t="s">
        <v>104</v>
      </c>
      <c r="AQ2232" s="10">
        <f ca="1">IFERROR(__xludf.DUMMYFUNCTION("""COMPUTED_VALUE"""),4704442)</f>
        <v>4704442</v>
      </c>
      <c r="AR2232" s="17">
        <v>43599</v>
      </c>
      <c r="AS2232" s="17">
        <v>28681</v>
      </c>
      <c r="AT2232" s="17">
        <v>731858</v>
      </c>
      <c r="AU2232" s="17">
        <v>629.65</v>
      </c>
      <c r="AV2232" s="17">
        <v>229.7</v>
      </c>
      <c r="AW2232" s="10" t="s">
        <v>105</v>
      </c>
      <c r="AX2232" s="17">
        <v>10701</v>
      </c>
      <c r="AY2232" s="18">
        <v>25.517171646734774</v>
      </c>
      <c r="AZ2232" s="10" t="s">
        <v>106</v>
      </c>
      <c r="BA2232" s="20" t="b">
        <v>0</v>
      </c>
      <c r="BB2232" s="10"/>
      <c r="BC2232" s="17">
        <v>43599</v>
      </c>
      <c r="BD2232" s="17">
        <v>28681</v>
      </c>
      <c r="BE2232" s="17">
        <v>731858</v>
      </c>
      <c r="BF2232" s="17">
        <v>229.7</v>
      </c>
      <c r="BG2232" s="11">
        <f ca="1">IFERROR(__xludf.DUMMYFUNCTION("""COMPUTED_VALUE"""),45968.7083333333)</f>
        <v>45968.708333333299</v>
      </c>
      <c r="BH2232" s="17" t="s">
        <v>105</v>
      </c>
      <c r="BI2232" s="17"/>
      <c r="BJ2232" s="15"/>
      <c r="BK2232" s="15"/>
      <c r="BL2232" s="13" t="b">
        <v>0</v>
      </c>
      <c r="BM2232" s="10"/>
      <c r="BN2232" s="10" t="s">
        <v>149</v>
      </c>
      <c r="BO2232" s="11">
        <v>45938.419444444444</v>
      </c>
      <c r="BP2232" s="11">
        <v>45938.630127314813</v>
      </c>
      <c r="BQ2232" s="15">
        <v>45966.443784722222</v>
      </c>
      <c r="BR2232" s="15">
        <v>45966.563773148147</v>
      </c>
      <c r="BS2232" s="10" t="s">
        <v>149</v>
      </c>
      <c r="BT2232" s="10" t="s">
        <v>99</v>
      </c>
      <c r="BU2232" s="10" t="s">
        <v>1444</v>
      </c>
      <c r="BV2232" s="10"/>
      <c r="BW2232" s="10"/>
      <c r="BX2232" s="10"/>
      <c r="BY2232" s="23"/>
      <c r="BZ2232" s="23"/>
      <c r="CA2232" s="19" t="s">
        <v>17092</v>
      </c>
      <c r="CB2232" s="19" t="s">
        <v>17093</v>
      </c>
      <c r="CC2232" s="23"/>
      <c r="CD2232" s="19" t="s">
        <v>17094</v>
      </c>
      <c r="CE2232" s="23"/>
      <c r="CF2232" s="23"/>
      <c r="CG2232" s="23"/>
      <c r="CH2232" s="23"/>
      <c r="CI2232" s="23"/>
    </row>
    <row r="2233" spans="1:87" x14ac:dyDescent="0.3">
      <c r="A2233" s="9" t="s">
        <v>17095</v>
      </c>
      <c r="B2233" s="10" t="s">
        <v>17096</v>
      </c>
      <c r="C2233" s="11">
        <v>45968.791666666664</v>
      </c>
      <c r="D2233" s="12">
        <v>8.3333333333333329E-2</v>
      </c>
      <c r="E2233" s="11">
        <v>45968.875</v>
      </c>
      <c r="F2233" s="10" t="s">
        <v>14786</v>
      </c>
      <c r="G2233" s="13" t="b">
        <v>0</v>
      </c>
      <c r="H2233" s="22" t="s">
        <v>14787</v>
      </c>
      <c r="I2233" s="10" t="s">
        <v>3548</v>
      </c>
      <c r="J2233" s="13" t="b">
        <v>0</v>
      </c>
      <c r="K2233" s="13" t="b">
        <v>1</v>
      </c>
      <c r="L2233" s="10" t="s">
        <v>124</v>
      </c>
      <c r="M2233" s="10" t="s">
        <v>91</v>
      </c>
      <c r="N2233" s="10" t="s">
        <v>3513</v>
      </c>
      <c r="O2233" s="19" t="s">
        <v>17097</v>
      </c>
      <c r="P2233" s="10"/>
      <c r="Q2233" s="10" t="s">
        <v>126</v>
      </c>
      <c r="R2233" s="10"/>
      <c r="S2233" s="19" t="s">
        <v>17098</v>
      </c>
      <c r="T2233" s="19" t="s">
        <v>17053</v>
      </c>
      <c r="U2233" s="10" t="s">
        <v>14860</v>
      </c>
      <c r="V2233" s="10" t="s">
        <v>14826</v>
      </c>
      <c r="W2233" s="10" t="s">
        <v>14793</v>
      </c>
      <c r="X2233" s="10" t="s">
        <v>130</v>
      </c>
      <c r="Y2233" s="10" t="s">
        <v>130</v>
      </c>
      <c r="Z2233" s="10" t="s">
        <v>99</v>
      </c>
      <c r="AA2233" s="10" t="s">
        <v>131</v>
      </c>
      <c r="AB2233" s="10" t="s">
        <v>14794</v>
      </c>
      <c r="AC2233" s="10" t="s">
        <v>3521</v>
      </c>
      <c r="AD2233" s="10" t="s">
        <v>17099</v>
      </c>
      <c r="AE2233" s="10" t="s">
        <v>17100</v>
      </c>
      <c r="AF2233" s="15"/>
      <c r="AG2233" s="10"/>
      <c r="AH2233" s="10"/>
      <c r="AI2233" s="10"/>
      <c r="AJ2233" s="10"/>
      <c r="AK2233" s="10" t="s">
        <v>102</v>
      </c>
      <c r="AL2233" s="10" t="s">
        <v>205</v>
      </c>
      <c r="AM2233" s="10"/>
      <c r="AN2233" s="10"/>
      <c r="AO2233" s="13" t="b">
        <v>0</v>
      </c>
      <c r="AP2233" s="22" t="s">
        <v>104</v>
      </c>
      <c r="AQ2233" s="10">
        <f ca="1">IFERROR(__xludf.DUMMYFUNCTION("""COMPUTED_VALUE"""),4704443)</f>
        <v>4704443</v>
      </c>
      <c r="AR2233" s="17">
        <v>26145</v>
      </c>
      <c r="AS2233" s="17">
        <v>18609</v>
      </c>
      <c r="AT2233" s="17">
        <v>193688.75</v>
      </c>
      <c r="AU2233" s="17">
        <v>140.85</v>
      </c>
      <c r="AV2233" s="17">
        <v>45.55</v>
      </c>
      <c r="AW2233" s="10" t="s">
        <v>105</v>
      </c>
      <c r="AX2233" s="17">
        <v>4942</v>
      </c>
      <c r="AY2233" s="18">
        <v>10.408337363641248</v>
      </c>
      <c r="AZ2233" s="10" t="s">
        <v>106</v>
      </c>
      <c r="BA2233" s="20" t="b">
        <v>0</v>
      </c>
      <c r="BB2233" s="10"/>
      <c r="BC2233" s="17">
        <v>26145</v>
      </c>
      <c r="BD2233" s="17">
        <v>18609</v>
      </c>
      <c r="BE2233" s="17">
        <v>193688.75</v>
      </c>
      <c r="BF2233" s="17">
        <v>45.55</v>
      </c>
      <c r="BG2233" s="11">
        <f ca="1">IFERROR(__xludf.DUMMYFUNCTION("""COMPUTED_VALUE"""),45968.7916666666)</f>
        <v>45968.791666666599</v>
      </c>
      <c r="BH2233" s="17" t="s">
        <v>105</v>
      </c>
      <c r="BI2233" s="17"/>
      <c r="BJ2233" s="15"/>
      <c r="BK2233" s="15"/>
      <c r="BL2233" s="13" t="b">
        <v>0</v>
      </c>
      <c r="BM2233" s="10"/>
      <c r="BN2233" s="10" t="s">
        <v>149</v>
      </c>
      <c r="BO2233" s="11">
        <v>45938.420138888891</v>
      </c>
      <c r="BP2233" s="11">
        <v>45938.631354166668</v>
      </c>
      <c r="BQ2233" s="15">
        <v>45966.443969907406</v>
      </c>
      <c r="BR2233" s="15">
        <v>45966.564050925925</v>
      </c>
      <c r="BS2233" s="10" t="s">
        <v>149</v>
      </c>
      <c r="BT2233" s="10" t="s">
        <v>99</v>
      </c>
      <c r="BU2233" s="10" t="s">
        <v>2406</v>
      </c>
      <c r="BV2233" s="10"/>
      <c r="BW2233" s="10"/>
      <c r="BX2233" s="10"/>
      <c r="BY2233" s="23"/>
      <c r="BZ2233" s="23"/>
      <c r="CA2233" s="19" t="s">
        <v>17101</v>
      </c>
      <c r="CB2233" s="19" t="s">
        <v>17102</v>
      </c>
      <c r="CC2233" s="23"/>
      <c r="CD2233" s="19" t="s">
        <v>17103</v>
      </c>
      <c r="CE2233" s="23"/>
      <c r="CF2233" s="23"/>
      <c r="CG2233" s="23"/>
      <c r="CH2233" s="23"/>
      <c r="CI2233" s="23"/>
    </row>
    <row r="2234" spans="1:87" x14ac:dyDescent="0.3">
      <c r="A2234" s="9" t="s">
        <v>17104</v>
      </c>
      <c r="B2234" s="10" t="s">
        <v>17105</v>
      </c>
      <c r="C2234" s="11">
        <v>45969.645833333336</v>
      </c>
      <c r="D2234" s="12">
        <v>8.3333333333333329E-2</v>
      </c>
      <c r="E2234" s="11">
        <v>45969.729166666664</v>
      </c>
      <c r="F2234" s="10" t="s">
        <v>14786</v>
      </c>
      <c r="G2234" s="13" t="b">
        <v>0</v>
      </c>
      <c r="H2234" s="22" t="s">
        <v>14787</v>
      </c>
      <c r="I2234" s="10" t="s">
        <v>3548</v>
      </c>
      <c r="J2234" s="13" t="b">
        <v>0</v>
      </c>
      <c r="K2234" s="13" t="b">
        <v>1</v>
      </c>
      <c r="L2234" s="10" t="s">
        <v>124</v>
      </c>
      <c r="M2234" s="10" t="s">
        <v>91</v>
      </c>
      <c r="N2234" s="10" t="s">
        <v>3513</v>
      </c>
      <c r="O2234" s="19" t="s">
        <v>17106</v>
      </c>
      <c r="P2234" s="10"/>
      <c r="Q2234" s="10" t="s">
        <v>126</v>
      </c>
      <c r="R2234" s="10"/>
      <c r="S2234" s="19" t="s">
        <v>17107</v>
      </c>
      <c r="T2234" s="19" t="s">
        <v>17053</v>
      </c>
      <c r="U2234" s="10" t="s">
        <v>14792</v>
      </c>
      <c r="V2234" s="10" t="s">
        <v>14892</v>
      </c>
      <c r="W2234" s="10" t="s">
        <v>14793</v>
      </c>
      <c r="X2234" s="10" t="s">
        <v>130</v>
      </c>
      <c r="Y2234" s="10" t="s">
        <v>130</v>
      </c>
      <c r="Z2234" s="10" t="s">
        <v>99</v>
      </c>
      <c r="AA2234" s="10" t="s">
        <v>131</v>
      </c>
      <c r="AB2234" s="10" t="s">
        <v>14794</v>
      </c>
      <c r="AC2234" s="10" t="s">
        <v>3521</v>
      </c>
      <c r="AD2234" s="10" t="s">
        <v>17108</v>
      </c>
      <c r="AE2234" s="10" t="s">
        <v>17109</v>
      </c>
      <c r="AF2234" s="15"/>
      <c r="AG2234" s="10"/>
      <c r="AH2234" s="10"/>
      <c r="AI2234" s="10"/>
      <c r="AJ2234" s="10"/>
      <c r="AK2234" s="10" t="s">
        <v>102</v>
      </c>
      <c r="AL2234" s="10" t="s">
        <v>205</v>
      </c>
      <c r="AM2234" s="10"/>
      <c r="AN2234" s="10"/>
      <c r="AO2234" s="13" t="b">
        <v>0</v>
      </c>
      <c r="AP2234" s="22" t="s">
        <v>104</v>
      </c>
      <c r="AQ2234" s="10">
        <f ca="1">IFERROR(__xludf.DUMMYFUNCTION("""COMPUTED_VALUE"""),4706380)</f>
        <v>4706380</v>
      </c>
      <c r="AR2234" s="17">
        <v>38068</v>
      </c>
      <c r="AS2234" s="17">
        <v>20688</v>
      </c>
      <c r="AT2234" s="17">
        <v>414614.25</v>
      </c>
      <c r="AU2234" s="17">
        <v>378.15</v>
      </c>
      <c r="AV2234" s="17">
        <v>166.05</v>
      </c>
      <c r="AW2234" s="10" t="s">
        <v>105</v>
      </c>
      <c r="AX2234" s="17">
        <v>5410</v>
      </c>
      <c r="AY2234" s="18">
        <v>20.04129205336427</v>
      </c>
      <c r="AZ2234" s="10" t="s">
        <v>106</v>
      </c>
      <c r="BA2234" s="20" t="b">
        <v>0</v>
      </c>
      <c r="BB2234" s="10"/>
      <c r="BC2234" s="17">
        <v>38068</v>
      </c>
      <c r="BD2234" s="17">
        <v>20688</v>
      </c>
      <c r="BE2234" s="17">
        <v>414614.25</v>
      </c>
      <c r="BF2234" s="17">
        <v>166.05</v>
      </c>
      <c r="BG2234" s="11">
        <f ca="1">IFERROR(__xludf.DUMMYFUNCTION("""COMPUTED_VALUE"""),45969.6458333333)</f>
        <v>45969.645833333299</v>
      </c>
      <c r="BH2234" s="17" t="s">
        <v>105</v>
      </c>
      <c r="BI2234" s="17"/>
      <c r="BJ2234" s="15"/>
      <c r="BK2234" s="15"/>
      <c r="BL2234" s="13" t="b">
        <v>0</v>
      </c>
      <c r="BM2234" s="10"/>
      <c r="BN2234" s="10" t="s">
        <v>455</v>
      </c>
      <c r="BO2234" s="11">
        <v>45938.42083333333</v>
      </c>
      <c r="BP2234" s="11">
        <v>45938.637523148151</v>
      </c>
      <c r="BQ2234" s="15">
        <v>45966.444675925923</v>
      </c>
      <c r="BR2234" s="15">
        <v>45967.539340277777</v>
      </c>
      <c r="BS2234" s="10" t="s">
        <v>455</v>
      </c>
      <c r="BT2234" s="10" t="s">
        <v>99</v>
      </c>
      <c r="BU2234" s="10" t="s">
        <v>2427</v>
      </c>
      <c r="BV2234" s="10"/>
      <c r="BW2234" s="10"/>
      <c r="BX2234" s="10"/>
      <c r="BY2234" s="23"/>
      <c r="BZ2234" s="23"/>
      <c r="CA2234" s="19" t="s">
        <v>17110</v>
      </c>
      <c r="CB2234" s="19" t="s">
        <v>17111</v>
      </c>
      <c r="CC2234" s="23"/>
      <c r="CD2234" s="19" t="s">
        <v>17112</v>
      </c>
      <c r="CE2234" s="23"/>
      <c r="CF2234" s="23"/>
      <c r="CG2234" s="23"/>
      <c r="CH2234" s="23"/>
      <c r="CI2234" s="23"/>
    </row>
    <row r="2235" spans="1:87" x14ac:dyDescent="0.3">
      <c r="A2235" s="9" t="s">
        <v>17113</v>
      </c>
      <c r="B2235" s="10" t="s">
        <v>17114</v>
      </c>
      <c r="C2235" s="11">
        <v>45970.645833333336</v>
      </c>
      <c r="D2235" s="12">
        <v>8.3333333333333329E-2</v>
      </c>
      <c r="E2235" s="11">
        <v>45970.729166666664</v>
      </c>
      <c r="F2235" s="10" t="s">
        <v>14786</v>
      </c>
      <c r="G2235" s="13" t="b">
        <v>0</v>
      </c>
      <c r="H2235" s="22" t="s">
        <v>14787</v>
      </c>
      <c r="I2235" s="10" t="s">
        <v>212</v>
      </c>
      <c r="J2235" s="13" t="b">
        <v>1</v>
      </c>
      <c r="K2235" s="13" t="b">
        <v>0</v>
      </c>
      <c r="L2235" s="10" t="s">
        <v>124</v>
      </c>
      <c r="M2235" s="10" t="s">
        <v>91</v>
      </c>
      <c r="N2235" s="10" t="s">
        <v>3513</v>
      </c>
      <c r="O2235" s="19" t="s">
        <v>17115</v>
      </c>
      <c r="P2235" s="10"/>
      <c r="Q2235" s="10" t="s">
        <v>126</v>
      </c>
      <c r="R2235" s="10"/>
      <c r="S2235" s="19" t="s">
        <v>17116</v>
      </c>
      <c r="T2235" s="19" t="s">
        <v>17053</v>
      </c>
      <c r="U2235" s="10" t="s">
        <v>14881</v>
      </c>
      <c r="V2235" s="10" t="s">
        <v>14805</v>
      </c>
      <c r="W2235" s="10" t="s">
        <v>14793</v>
      </c>
      <c r="X2235" s="10" t="s">
        <v>130</v>
      </c>
      <c r="Y2235" s="10" t="s">
        <v>130</v>
      </c>
      <c r="Z2235" s="10" t="s">
        <v>99</v>
      </c>
      <c r="AA2235" s="10" t="s">
        <v>131</v>
      </c>
      <c r="AB2235" s="10" t="s">
        <v>14794</v>
      </c>
      <c r="AC2235" s="10" t="s">
        <v>3521</v>
      </c>
      <c r="AD2235" s="10" t="s">
        <v>17117</v>
      </c>
      <c r="AE2235" s="10" t="s">
        <v>17118</v>
      </c>
      <c r="AF2235" s="15"/>
      <c r="AG2235" s="10"/>
      <c r="AH2235" s="10"/>
      <c r="AI2235" s="10"/>
      <c r="AJ2235" s="10"/>
      <c r="AK2235" s="10" t="s">
        <v>102</v>
      </c>
      <c r="AL2235" s="10" t="s">
        <v>205</v>
      </c>
      <c r="AM2235" s="10"/>
      <c r="AN2235" s="10"/>
      <c r="AO2235" s="13" t="b">
        <v>0</v>
      </c>
      <c r="AP2235" s="22" t="s">
        <v>104</v>
      </c>
      <c r="AQ2235" s="10">
        <f ca="1">IFERROR(__xludf.DUMMYFUNCTION("""COMPUTED_VALUE"""),4708843)</f>
        <v>4708843</v>
      </c>
      <c r="AR2235" s="17">
        <v>20719</v>
      </c>
      <c r="AS2235" s="17">
        <v>13943</v>
      </c>
      <c r="AT2235" s="17">
        <v>197197</v>
      </c>
      <c r="AU2235" s="17">
        <v>19.399999999999999</v>
      </c>
      <c r="AV2235" s="17">
        <v>1.9</v>
      </c>
      <c r="AW2235" s="10" t="s">
        <v>105</v>
      </c>
      <c r="AX2235" s="17">
        <v>4190</v>
      </c>
      <c r="AY2235" s="18">
        <v>14.143082550383705</v>
      </c>
      <c r="AZ2235" s="10" t="s">
        <v>106</v>
      </c>
      <c r="BA2235" s="20" t="b">
        <v>0</v>
      </c>
      <c r="BB2235" s="10"/>
      <c r="BC2235" s="17">
        <v>20719</v>
      </c>
      <c r="BD2235" s="17">
        <v>13943</v>
      </c>
      <c r="BE2235" s="17">
        <v>197197</v>
      </c>
      <c r="BF2235" s="17">
        <v>1.9</v>
      </c>
      <c r="BG2235" s="11">
        <f ca="1">IFERROR(__xludf.DUMMYFUNCTION("""COMPUTED_VALUE"""),45970.6458333333)</f>
        <v>45970.645833333299</v>
      </c>
      <c r="BH2235" s="17" t="s">
        <v>105</v>
      </c>
      <c r="BI2235" s="17"/>
      <c r="BJ2235" s="15"/>
      <c r="BK2235" s="15"/>
      <c r="BL2235" s="13" t="b">
        <v>0</v>
      </c>
      <c r="BM2235" s="10"/>
      <c r="BN2235" s="10" t="s">
        <v>4030</v>
      </c>
      <c r="BO2235" s="11">
        <v>45938.421527777777</v>
      </c>
      <c r="BP2235" s="11">
        <v>45966.49322916667</v>
      </c>
      <c r="BQ2235" s="15">
        <v>45967.503067129626</v>
      </c>
      <c r="BR2235" s="15">
        <v>45969.607812499999</v>
      </c>
      <c r="BS2235" s="10" t="s">
        <v>4030</v>
      </c>
      <c r="BT2235" s="10"/>
      <c r="BU2235" s="10"/>
      <c r="BV2235" s="10"/>
      <c r="BW2235" s="10"/>
      <c r="BX2235" s="10"/>
      <c r="BY2235" s="23"/>
      <c r="BZ2235" s="23"/>
      <c r="CA2235" s="19" t="s">
        <v>17119</v>
      </c>
      <c r="CB2235" s="19" t="s">
        <v>17120</v>
      </c>
      <c r="CC2235" s="23"/>
      <c r="CD2235" s="19" t="s">
        <v>17121</v>
      </c>
      <c r="CE2235" s="23"/>
      <c r="CF2235" s="23"/>
      <c r="CG2235" s="23"/>
      <c r="CH2235" s="23"/>
      <c r="CI2235" s="23"/>
    </row>
    <row r="2236" spans="1:87" x14ac:dyDescent="0.3">
      <c r="A2236" s="9" t="s">
        <v>17122</v>
      </c>
      <c r="B2236" s="10" t="s">
        <v>17123</v>
      </c>
      <c r="C2236" s="11">
        <v>45969.645833333336</v>
      </c>
      <c r="D2236" s="12">
        <v>8.3333333333333329E-2</v>
      </c>
      <c r="E2236" s="11">
        <v>45969.729166666664</v>
      </c>
      <c r="F2236" s="10" t="s">
        <v>14786</v>
      </c>
      <c r="G2236" s="13" t="b">
        <v>0</v>
      </c>
      <c r="H2236" s="22" t="s">
        <v>14787</v>
      </c>
      <c r="I2236" s="10" t="s">
        <v>3548</v>
      </c>
      <c r="J2236" s="13" t="b">
        <v>0</v>
      </c>
      <c r="K2236" s="13" t="b">
        <v>1</v>
      </c>
      <c r="L2236" s="10" t="s">
        <v>124</v>
      </c>
      <c r="M2236" s="10" t="s">
        <v>91</v>
      </c>
      <c r="N2236" s="10" t="s">
        <v>3513</v>
      </c>
      <c r="O2236" s="19" t="s">
        <v>17124</v>
      </c>
      <c r="P2236" s="10"/>
      <c r="Q2236" s="10" t="s">
        <v>126</v>
      </c>
      <c r="R2236" s="10"/>
      <c r="S2236" s="19" t="s">
        <v>17125</v>
      </c>
      <c r="T2236" s="19" t="s">
        <v>17053</v>
      </c>
      <c r="U2236" s="10" t="s">
        <v>14859</v>
      </c>
      <c r="V2236" s="10" t="s">
        <v>14848</v>
      </c>
      <c r="W2236" s="10" t="s">
        <v>14793</v>
      </c>
      <c r="X2236" s="10" t="s">
        <v>130</v>
      </c>
      <c r="Y2236" s="10" t="s">
        <v>130</v>
      </c>
      <c r="Z2236" s="10" t="s">
        <v>99</v>
      </c>
      <c r="AA2236" s="10" t="s">
        <v>131</v>
      </c>
      <c r="AB2236" s="10" t="s">
        <v>14794</v>
      </c>
      <c r="AC2236" s="10" t="s">
        <v>3521</v>
      </c>
      <c r="AD2236" s="10" t="s">
        <v>17126</v>
      </c>
      <c r="AE2236" s="10" t="s">
        <v>17127</v>
      </c>
      <c r="AF2236" s="15"/>
      <c r="AG2236" s="10"/>
      <c r="AH2236" s="10"/>
      <c r="AI2236" s="10"/>
      <c r="AJ2236" s="10"/>
      <c r="AK2236" s="10" t="s">
        <v>102</v>
      </c>
      <c r="AL2236" s="10" t="s">
        <v>205</v>
      </c>
      <c r="AM2236" s="10"/>
      <c r="AN2236" s="10"/>
      <c r="AO2236" s="13" t="b">
        <v>1</v>
      </c>
      <c r="AP2236" s="22" t="s">
        <v>104</v>
      </c>
      <c r="AQ2236" s="10">
        <f ca="1">IFERROR(__xludf.DUMMYFUNCTION("""COMPUTED_VALUE"""),4706379)</f>
        <v>4706379</v>
      </c>
      <c r="AR2236" s="17">
        <v>66757</v>
      </c>
      <c r="AS2236" s="17">
        <v>30899</v>
      </c>
      <c r="AT2236" s="17">
        <v>859497.25</v>
      </c>
      <c r="AU2236" s="17">
        <v>476.7</v>
      </c>
      <c r="AV2236" s="17">
        <v>127.7</v>
      </c>
      <c r="AW2236" s="10" t="s">
        <v>105</v>
      </c>
      <c r="AX2236" s="17">
        <v>10667</v>
      </c>
      <c r="AY2236" s="18">
        <v>27.816345189164696</v>
      </c>
      <c r="AZ2236" s="10" t="s">
        <v>106</v>
      </c>
      <c r="BA2236" s="20" t="b">
        <v>0</v>
      </c>
      <c r="BB2236" s="10"/>
      <c r="BC2236" s="17">
        <v>66757</v>
      </c>
      <c r="BD2236" s="17">
        <v>30899</v>
      </c>
      <c r="BE2236" s="17">
        <v>859497.25</v>
      </c>
      <c r="BF2236" s="17">
        <v>127.7</v>
      </c>
      <c r="BG2236" s="11">
        <f ca="1">IFERROR(__xludf.DUMMYFUNCTION("""COMPUTED_VALUE"""),45969.6458333333)</f>
        <v>45969.645833333299</v>
      </c>
      <c r="BH2236" s="17" t="s">
        <v>105</v>
      </c>
      <c r="BI2236" s="17"/>
      <c r="BJ2236" s="15"/>
      <c r="BK2236" s="15"/>
      <c r="BL2236" s="13" t="b">
        <v>0</v>
      </c>
      <c r="BM2236" s="10"/>
      <c r="BN2236" s="10" t="s">
        <v>455</v>
      </c>
      <c r="BO2236" s="11">
        <v>45938.422222222223</v>
      </c>
      <c r="BP2236" s="11">
        <v>45964.579456018517</v>
      </c>
      <c r="BQ2236" s="15">
        <v>45966.444456018522</v>
      </c>
      <c r="BR2236" s="15">
        <v>45967.539212962962</v>
      </c>
      <c r="BS2236" s="10" t="s">
        <v>455</v>
      </c>
      <c r="BT2236" s="10" t="s">
        <v>99</v>
      </c>
      <c r="BU2236" s="10" t="s">
        <v>2448</v>
      </c>
      <c r="BV2236" s="10"/>
      <c r="BW2236" s="10"/>
      <c r="BX2236" s="10"/>
      <c r="BY2236" s="23"/>
      <c r="BZ2236" s="23"/>
      <c r="CA2236" s="19" t="s">
        <v>17128</v>
      </c>
      <c r="CB2236" s="19" t="s">
        <v>17129</v>
      </c>
      <c r="CC2236" s="23"/>
      <c r="CD2236" s="19" t="s">
        <v>17130</v>
      </c>
      <c r="CE2236" s="23"/>
      <c r="CF2236" s="23"/>
      <c r="CG2236" s="23"/>
      <c r="CH2236" s="23"/>
      <c r="CI2236" s="23"/>
    </row>
    <row r="2237" spans="1:87" x14ac:dyDescent="0.3">
      <c r="A2237" s="9" t="s">
        <v>17131</v>
      </c>
      <c r="B2237" s="10" t="s">
        <v>17132</v>
      </c>
      <c r="C2237" s="11">
        <v>45970.791666666664</v>
      </c>
      <c r="D2237" s="12">
        <v>8.3333333333333329E-2</v>
      </c>
      <c r="E2237" s="11">
        <v>45970.875</v>
      </c>
      <c r="F2237" s="10" t="s">
        <v>14786</v>
      </c>
      <c r="G2237" s="13" t="b">
        <v>0</v>
      </c>
      <c r="H2237" s="22" t="s">
        <v>14787</v>
      </c>
      <c r="I2237" s="10" t="s">
        <v>212</v>
      </c>
      <c r="J2237" s="13" t="b">
        <v>1</v>
      </c>
      <c r="K2237" s="13" t="b">
        <v>0</v>
      </c>
      <c r="L2237" s="10" t="s">
        <v>124</v>
      </c>
      <c r="M2237" s="10" t="s">
        <v>91</v>
      </c>
      <c r="N2237" s="10" t="s">
        <v>3513</v>
      </c>
      <c r="O2237" s="19" t="s">
        <v>17133</v>
      </c>
      <c r="P2237" s="10"/>
      <c r="Q2237" s="10" t="s">
        <v>126</v>
      </c>
      <c r="R2237" s="10"/>
      <c r="S2237" s="19" t="s">
        <v>17134</v>
      </c>
      <c r="T2237" s="19" t="s">
        <v>17053</v>
      </c>
      <c r="U2237" s="10" t="s">
        <v>14791</v>
      </c>
      <c r="V2237" s="10" t="s">
        <v>14804</v>
      </c>
      <c r="W2237" s="10" t="s">
        <v>14793</v>
      </c>
      <c r="X2237" s="10" t="s">
        <v>130</v>
      </c>
      <c r="Y2237" s="10" t="s">
        <v>130</v>
      </c>
      <c r="Z2237" s="10" t="s">
        <v>99</v>
      </c>
      <c r="AA2237" s="10" t="s">
        <v>131</v>
      </c>
      <c r="AB2237" s="10" t="s">
        <v>14794</v>
      </c>
      <c r="AC2237" s="10" t="s">
        <v>3521</v>
      </c>
      <c r="AD2237" s="10" t="s">
        <v>17135</v>
      </c>
      <c r="AE2237" s="10" t="s">
        <v>17136</v>
      </c>
      <c r="AF2237" s="15"/>
      <c r="AG2237" s="10"/>
      <c r="AH2237" s="10"/>
      <c r="AI2237" s="10"/>
      <c r="AJ2237" s="10"/>
      <c r="AK2237" s="10" t="s">
        <v>102</v>
      </c>
      <c r="AL2237" s="10" t="s">
        <v>205</v>
      </c>
      <c r="AM2237" s="10"/>
      <c r="AN2237" s="10"/>
      <c r="AO2237" s="13" t="b">
        <v>0</v>
      </c>
      <c r="AP2237" s="22" t="s">
        <v>104</v>
      </c>
      <c r="AQ2237" s="10">
        <f ca="1">IFERROR(__xludf.DUMMYFUNCTION("""COMPUTED_VALUE"""),4708842)</f>
        <v>4708842</v>
      </c>
      <c r="AR2237" s="17">
        <v>45198</v>
      </c>
      <c r="AS2237" s="17">
        <v>24152</v>
      </c>
      <c r="AT2237" s="17">
        <v>609762.75</v>
      </c>
      <c r="AU2237" s="17">
        <v>85.25</v>
      </c>
      <c r="AV2237" s="17">
        <v>19.899999999999999</v>
      </c>
      <c r="AW2237" s="10" t="s">
        <v>105</v>
      </c>
      <c r="AX2237" s="17">
        <v>8505</v>
      </c>
      <c r="AY2237" s="18">
        <v>25.246884315998674</v>
      </c>
      <c r="AZ2237" s="10" t="s">
        <v>106</v>
      </c>
      <c r="BA2237" s="20" t="b">
        <v>0</v>
      </c>
      <c r="BB2237" s="10"/>
      <c r="BC2237" s="17">
        <v>45198</v>
      </c>
      <c r="BD2237" s="17">
        <v>24152</v>
      </c>
      <c r="BE2237" s="17">
        <v>609762.75</v>
      </c>
      <c r="BF2237" s="17">
        <v>19.899999999999999</v>
      </c>
      <c r="BG2237" s="11">
        <f ca="1">IFERROR(__xludf.DUMMYFUNCTION("""COMPUTED_VALUE"""),45970.7916666666)</f>
        <v>45970.791666666599</v>
      </c>
      <c r="BH2237" s="17" t="s">
        <v>105</v>
      </c>
      <c r="BI2237" s="17"/>
      <c r="BJ2237" s="15"/>
      <c r="BK2237" s="15"/>
      <c r="BL2237" s="13" t="b">
        <v>0</v>
      </c>
      <c r="BM2237" s="10"/>
      <c r="BN2237" s="10" t="s">
        <v>149</v>
      </c>
      <c r="BO2237" s="11">
        <v>45938.42291666667</v>
      </c>
      <c r="BP2237" s="11">
        <v>45966.493379629632</v>
      </c>
      <c r="BQ2237" s="15">
        <v>45967.503240740742</v>
      </c>
      <c r="BR2237" s="15">
        <v>45969.608055555553</v>
      </c>
      <c r="BS2237" s="10" t="s">
        <v>149</v>
      </c>
      <c r="BT2237" s="10" t="s">
        <v>99</v>
      </c>
      <c r="BU2237" s="10" t="s">
        <v>498</v>
      </c>
      <c r="BV2237" s="10"/>
      <c r="BW2237" s="10"/>
      <c r="BX2237" s="10"/>
      <c r="BY2237" s="23"/>
      <c r="BZ2237" s="23"/>
      <c r="CA2237" s="19" t="s">
        <v>17137</v>
      </c>
      <c r="CB2237" s="19" t="s">
        <v>17138</v>
      </c>
      <c r="CC2237" s="23"/>
      <c r="CD2237" s="19" t="s">
        <v>17139</v>
      </c>
      <c r="CE2237" s="23"/>
      <c r="CF2237" s="23"/>
      <c r="CG2237" s="23"/>
      <c r="CH2237" s="23"/>
      <c r="CI2237" s="23"/>
    </row>
    <row r="2238" spans="1:87" x14ac:dyDescent="0.3">
      <c r="A2238" s="9" t="s">
        <v>17140</v>
      </c>
      <c r="B2238" s="10" t="s">
        <v>17141</v>
      </c>
      <c r="C2238" s="11">
        <v>45972.645833333336</v>
      </c>
      <c r="D2238" s="12">
        <v>8.3333333333333329E-2</v>
      </c>
      <c r="E2238" s="11">
        <v>45972.729166666664</v>
      </c>
      <c r="F2238" s="10" t="s">
        <v>14786</v>
      </c>
      <c r="G2238" s="13" t="b">
        <v>0</v>
      </c>
      <c r="H2238" s="22" t="s">
        <v>14787</v>
      </c>
      <c r="I2238" s="10" t="s">
        <v>3548</v>
      </c>
      <c r="J2238" s="13" t="b">
        <v>0</v>
      </c>
      <c r="K2238" s="13" t="b">
        <v>1</v>
      </c>
      <c r="L2238" s="10" t="s">
        <v>124</v>
      </c>
      <c r="M2238" s="10" t="s">
        <v>91</v>
      </c>
      <c r="N2238" s="10" t="s">
        <v>3513</v>
      </c>
      <c r="O2238" s="19" t="s">
        <v>17142</v>
      </c>
      <c r="P2238" s="10"/>
      <c r="Q2238" s="10" t="s">
        <v>126</v>
      </c>
      <c r="R2238" s="10"/>
      <c r="S2238" s="19" t="s">
        <v>17143</v>
      </c>
      <c r="T2238" s="19" t="s">
        <v>17144</v>
      </c>
      <c r="U2238" s="10" t="s">
        <v>14827</v>
      </c>
      <c r="V2238" s="10" t="s">
        <v>14826</v>
      </c>
      <c r="W2238" s="10" t="s">
        <v>14793</v>
      </c>
      <c r="X2238" s="10" t="s">
        <v>130</v>
      </c>
      <c r="Y2238" s="10" t="s">
        <v>130</v>
      </c>
      <c r="Z2238" s="10" t="s">
        <v>99</v>
      </c>
      <c r="AA2238" s="10" t="s">
        <v>131</v>
      </c>
      <c r="AB2238" s="10" t="s">
        <v>14794</v>
      </c>
      <c r="AC2238" s="10" t="s">
        <v>3521</v>
      </c>
      <c r="AD2238" s="10" t="s">
        <v>17145</v>
      </c>
      <c r="AE2238" s="10" t="s">
        <v>17146</v>
      </c>
      <c r="AF2238" s="15"/>
      <c r="AG2238" s="10"/>
      <c r="AH2238" s="10"/>
      <c r="AI2238" s="10"/>
      <c r="AJ2238" s="10"/>
      <c r="AK2238" s="10" t="s">
        <v>102</v>
      </c>
      <c r="AL2238" s="10" t="s">
        <v>1252</v>
      </c>
      <c r="AM2238" s="10"/>
      <c r="AN2238" s="10"/>
      <c r="AO2238" s="13" t="b">
        <v>0</v>
      </c>
      <c r="AP2238" s="22" t="s">
        <v>104</v>
      </c>
      <c r="AQ2238" s="10">
        <f ca="1">IFERROR(__xludf.DUMMYFUNCTION("""COMPUTED_VALUE"""),4709316)</f>
        <v>4709316</v>
      </c>
      <c r="AR2238" s="17">
        <v>35847</v>
      </c>
      <c r="AS2238" s="17">
        <v>24689</v>
      </c>
      <c r="AT2238" s="17">
        <v>575940.5</v>
      </c>
      <c r="AU2238" s="17">
        <v>263.14999999999998</v>
      </c>
      <c r="AV2238" s="17">
        <v>73.849999999999994</v>
      </c>
      <c r="AW2238" s="10" t="s">
        <v>105</v>
      </c>
      <c r="AX2238" s="17">
        <v>7212</v>
      </c>
      <c r="AY2238" s="18">
        <v>23.327818056624409</v>
      </c>
      <c r="AZ2238" s="10" t="s">
        <v>168</v>
      </c>
      <c r="BA2238" s="20" t="b">
        <v>0</v>
      </c>
      <c r="BB2238" s="10"/>
      <c r="BC2238" s="17">
        <v>35847</v>
      </c>
      <c r="BD2238" s="17">
        <v>24689</v>
      </c>
      <c r="BE2238" s="17">
        <v>575940.5</v>
      </c>
      <c r="BF2238" s="17">
        <v>73.849999999999994</v>
      </c>
      <c r="BG2238" s="11">
        <f ca="1">IFERROR(__xludf.DUMMYFUNCTION("""COMPUTED_VALUE"""),45972.6458333333)</f>
        <v>45972.645833333299</v>
      </c>
      <c r="BH2238" s="17" t="s">
        <v>105</v>
      </c>
      <c r="BI2238" s="17"/>
      <c r="BJ2238" s="15"/>
      <c r="BK2238" s="15"/>
      <c r="BL2238" s="13" t="b">
        <v>0</v>
      </c>
      <c r="BM2238" s="10"/>
      <c r="BN2238" s="10" t="s">
        <v>137</v>
      </c>
      <c r="BO2238" s="11">
        <v>45938.433333333334</v>
      </c>
      <c r="BP2238" s="11">
        <v>45938.639282407406</v>
      </c>
      <c r="BQ2238" s="15">
        <v>45967.636041666665</v>
      </c>
      <c r="BR2238" s="15">
        <v>45969.834652777776</v>
      </c>
      <c r="BS2238" s="10" t="s">
        <v>137</v>
      </c>
      <c r="BT2238" s="10" t="s">
        <v>99</v>
      </c>
      <c r="BU2238" s="10" t="s">
        <v>17147</v>
      </c>
      <c r="BV2238" s="10"/>
      <c r="BW2238" s="10"/>
      <c r="BX2238" s="10"/>
      <c r="BY2238" s="23"/>
      <c r="BZ2238" s="23"/>
      <c r="CA2238" s="19" t="s">
        <v>17148</v>
      </c>
      <c r="CB2238" s="19" t="s">
        <v>17149</v>
      </c>
      <c r="CC2238" s="23"/>
      <c r="CD2238" s="19" t="s">
        <v>17150</v>
      </c>
      <c r="CE2238" s="23"/>
      <c r="CF2238" s="23"/>
      <c r="CG2238" s="23"/>
      <c r="CH2238" s="23"/>
      <c r="CI2238" s="23"/>
    </row>
    <row r="2239" spans="1:87" x14ac:dyDescent="0.3">
      <c r="A2239" s="9" t="s">
        <v>17151</v>
      </c>
      <c r="B2239" s="10" t="s">
        <v>17152</v>
      </c>
      <c r="C2239" s="11">
        <v>45972.791666666664</v>
      </c>
      <c r="D2239" s="12">
        <v>8.3333333333333329E-2</v>
      </c>
      <c r="E2239" s="11">
        <v>45972.875</v>
      </c>
      <c r="F2239" s="10" t="s">
        <v>14786</v>
      </c>
      <c r="G2239" s="13" t="b">
        <v>0</v>
      </c>
      <c r="H2239" s="22" t="s">
        <v>14787</v>
      </c>
      <c r="I2239" s="10" t="s">
        <v>3548</v>
      </c>
      <c r="J2239" s="13" t="b">
        <v>0</v>
      </c>
      <c r="K2239" s="13" t="b">
        <v>1</v>
      </c>
      <c r="L2239" s="10" t="s">
        <v>124</v>
      </c>
      <c r="M2239" s="10" t="s">
        <v>91</v>
      </c>
      <c r="N2239" s="10" t="s">
        <v>3513</v>
      </c>
      <c r="O2239" s="19" t="s">
        <v>17153</v>
      </c>
      <c r="P2239" s="10"/>
      <c r="Q2239" s="10" t="s">
        <v>126</v>
      </c>
      <c r="R2239" s="10"/>
      <c r="S2239" s="19" t="s">
        <v>17154</v>
      </c>
      <c r="T2239" s="19" t="s">
        <v>17144</v>
      </c>
      <c r="U2239" s="10" t="s">
        <v>14838</v>
      </c>
      <c r="V2239" s="10" t="s">
        <v>14837</v>
      </c>
      <c r="W2239" s="10" t="s">
        <v>14793</v>
      </c>
      <c r="X2239" s="10" t="s">
        <v>130</v>
      </c>
      <c r="Y2239" s="10" t="s">
        <v>130</v>
      </c>
      <c r="Z2239" s="10" t="s">
        <v>99</v>
      </c>
      <c r="AA2239" s="10" t="s">
        <v>131</v>
      </c>
      <c r="AB2239" s="10" t="s">
        <v>14794</v>
      </c>
      <c r="AC2239" s="10" t="s">
        <v>3521</v>
      </c>
      <c r="AD2239" s="10" t="s">
        <v>17155</v>
      </c>
      <c r="AE2239" s="10" t="s">
        <v>17156</v>
      </c>
      <c r="AF2239" s="15"/>
      <c r="AG2239" s="10"/>
      <c r="AH2239" s="10"/>
      <c r="AI2239" s="10"/>
      <c r="AJ2239" s="10"/>
      <c r="AK2239" s="10" t="s">
        <v>102</v>
      </c>
      <c r="AL2239" s="10" t="s">
        <v>1252</v>
      </c>
      <c r="AM2239" s="10"/>
      <c r="AN2239" s="10"/>
      <c r="AO2239" s="13" t="b">
        <v>0</v>
      </c>
      <c r="AP2239" s="22" t="s">
        <v>104</v>
      </c>
      <c r="AQ2239" s="10">
        <f ca="1">IFERROR(__xludf.DUMMYFUNCTION("""COMPUTED_VALUE"""),4709321)</f>
        <v>4709321</v>
      </c>
      <c r="AR2239" s="17">
        <v>53606</v>
      </c>
      <c r="AS2239" s="17">
        <v>32746</v>
      </c>
      <c r="AT2239" s="17">
        <v>1042437.5</v>
      </c>
      <c r="AU2239" s="17">
        <v>412.25</v>
      </c>
      <c r="AV2239" s="17">
        <v>131.35</v>
      </c>
      <c r="AW2239" s="10" t="s">
        <v>105</v>
      </c>
      <c r="AX2239" s="17">
        <v>11848</v>
      </c>
      <c r="AY2239" s="18">
        <v>31.834040798876199</v>
      </c>
      <c r="AZ2239" s="10" t="s">
        <v>168</v>
      </c>
      <c r="BA2239" s="20" t="b">
        <v>0</v>
      </c>
      <c r="BB2239" s="10"/>
      <c r="BC2239" s="17">
        <v>53606</v>
      </c>
      <c r="BD2239" s="17">
        <v>32746</v>
      </c>
      <c r="BE2239" s="17">
        <v>1042437.5</v>
      </c>
      <c r="BF2239" s="17">
        <v>131.35</v>
      </c>
      <c r="BG2239" s="11">
        <f ca="1">IFERROR(__xludf.DUMMYFUNCTION("""COMPUTED_VALUE"""),45972.7916666666)</f>
        <v>45972.791666666599</v>
      </c>
      <c r="BH2239" s="17" t="s">
        <v>105</v>
      </c>
      <c r="BI2239" s="17"/>
      <c r="BJ2239" s="15"/>
      <c r="BK2239" s="15"/>
      <c r="BL2239" s="13" t="b">
        <v>0</v>
      </c>
      <c r="BM2239" s="10"/>
      <c r="BN2239" s="10" t="s">
        <v>137</v>
      </c>
      <c r="BO2239" s="11">
        <v>45938.434027777781</v>
      </c>
      <c r="BP2239" s="11">
        <v>45938.639791666668</v>
      </c>
      <c r="BQ2239" s="15">
        <v>45967.636203703703</v>
      </c>
      <c r="BR2239" s="15">
        <v>45969.834780092591</v>
      </c>
      <c r="BS2239" s="10" t="s">
        <v>137</v>
      </c>
      <c r="BT2239" s="10" t="s">
        <v>99</v>
      </c>
      <c r="BU2239" s="10" t="s">
        <v>17147</v>
      </c>
      <c r="BV2239" s="10"/>
      <c r="BW2239" s="10"/>
      <c r="BX2239" s="10"/>
      <c r="BY2239" s="23"/>
      <c r="BZ2239" s="23"/>
      <c r="CA2239" s="19" t="s">
        <v>17157</v>
      </c>
      <c r="CB2239" s="19" t="s">
        <v>17158</v>
      </c>
      <c r="CC2239" s="23"/>
      <c r="CD2239" s="19" t="s">
        <v>17159</v>
      </c>
      <c r="CE2239" s="23"/>
      <c r="CF2239" s="23"/>
      <c r="CG2239" s="23"/>
      <c r="CH2239" s="23"/>
      <c r="CI2239" s="23"/>
    </row>
    <row r="2240" spans="1:87" x14ac:dyDescent="0.3">
      <c r="A2240" s="9" t="s">
        <v>17160</v>
      </c>
      <c r="B2240" s="10" t="s">
        <v>17161</v>
      </c>
      <c r="C2240" s="11">
        <v>45972.791666666664</v>
      </c>
      <c r="D2240" s="12">
        <v>8.3333333333333329E-2</v>
      </c>
      <c r="E2240" s="11">
        <v>45972.875</v>
      </c>
      <c r="F2240" s="10" t="s">
        <v>14786</v>
      </c>
      <c r="G2240" s="13" t="b">
        <v>0</v>
      </c>
      <c r="H2240" s="22" t="s">
        <v>14787</v>
      </c>
      <c r="I2240" s="10" t="s">
        <v>212</v>
      </c>
      <c r="J2240" s="13" t="b">
        <v>1</v>
      </c>
      <c r="K2240" s="13" t="b">
        <v>0</v>
      </c>
      <c r="L2240" s="10" t="s">
        <v>124</v>
      </c>
      <c r="M2240" s="10" t="s">
        <v>91</v>
      </c>
      <c r="N2240" s="10" t="s">
        <v>3513</v>
      </c>
      <c r="O2240" s="19" t="s">
        <v>17162</v>
      </c>
      <c r="P2240" s="10"/>
      <c r="Q2240" s="10" t="s">
        <v>126</v>
      </c>
      <c r="R2240" s="10"/>
      <c r="S2240" s="19" t="s">
        <v>17163</v>
      </c>
      <c r="T2240" s="19" t="s">
        <v>17144</v>
      </c>
      <c r="U2240" s="10" t="s">
        <v>14816</v>
      </c>
      <c r="V2240" s="10" t="s">
        <v>14815</v>
      </c>
      <c r="W2240" s="10" t="s">
        <v>14793</v>
      </c>
      <c r="X2240" s="10" t="s">
        <v>130</v>
      </c>
      <c r="Y2240" s="10" t="s">
        <v>130</v>
      </c>
      <c r="Z2240" s="10" t="s">
        <v>99</v>
      </c>
      <c r="AA2240" s="10" t="s">
        <v>131</v>
      </c>
      <c r="AB2240" s="10" t="s">
        <v>14794</v>
      </c>
      <c r="AC2240" s="10" t="s">
        <v>3521</v>
      </c>
      <c r="AD2240" s="10" t="s">
        <v>17164</v>
      </c>
      <c r="AE2240" s="10" t="s">
        <v>17165</v>
      </c>
      <c r="AF2240" s="15"/>
      <c r="AG2240" s="10"/>
      <c r="AH2240" s="10"/>
      <c r="AI2240" s="10"/>
      <c r="AJ2240" s="10"/>
      <c r="AK2240" s="10" t="s">
        <v>102</v>
      </c>
      <c r="AL2240" s="10" t="s">
        <v>1252</v>
      </c>
      <c r="AM2240" s="10"/>
      <c r="AN2240" s="10"/>
      <c r="AO2240" s="13" t="b">
        <v>0</v>
      </c>
      <c r="AP2240" s="22" t="s">
        <v>104</v>
      </c>
      <c r="AQ2240" s="10">
        <f ca="1">IFERROR(__xludf.DUMMYFUNCTION("""COMPUTED_VALUE"""),4709331)</f>
        <v>4709331</v>
      </c>
      <c r="AR2240" s="17">
        <v>43492</v>
      </c>
      <c r="AS2240" s="17">
        <v>26375</v>
      </c>
      <c r="AT2240" s="17">
        <v>630584.75</v>
      </c>
      <c r="AU2240" s="17">
        <v>128.15</v>
      </c>
      <c r="AV2240" s="17">
        <v>31.5</v>
      </c>
      <c r="AW2240" s="10" t="s">
        <v>105</v>
      </c>
      <c r="AX2240" s="17">
        <v>7426</v>
      </c>
      <c r="AY2240" s="18">
        <v>23.90842654028436</v>
      </c>
      <c r="AZ2240" s="10" t="s">
        <v>168</v>
      </c>
      <c r="BA2240" s="20" t="b">
        <v>0</v>
      </c>
      <c r="BB2240" s="10"/>
      <c r="BC2240" s="17">
        <v>43492</v>
      </c>
      <c r="BD2240" s="17">
        <v>26375</v>
      </c>
      <c r="BE2240" s="17">
        <v>630584.75</v>
      </c>
      <c r="BF2240" s="17">
        <v>31.5</v>
      </c>
      <c r="BG2240" s="11">
        <f ca="1">IFERROR(__xludf.DUMMYFUNCTION("""COMPUTED_VALUE"""),45972.7916666666)</f>
        <v>45972.791666666599</v>
      </c>
      <c r="BH2240" s="17" t="s">
        <v>105</v>
      </c>
      <c r="BI2240" s="17"/>
      <c r="BJ2240" s="15"/>
      <c r="BK2240" s="15"/>
      <c r="BL2240" s="13" t="b">
        <v>0</v>
      </c>
      <c r="BM2240" s="10"/>
      <c r="BN2240" s="10" t="s">
        <v>137</v>
      </c>
      <c r="BO2240" s="11">
        <v>45938.43472222222</v>
      </c>
      <c r="BP2240" s="11">
        <v>45940.696574074071</v>
      </c>
      <c r="BQ2240" s="15">
        <v>45967.636377314811</v>
      </c>
      <c r="BR2240" s="15">
        <v>45969.834930555553</v>
      </c>
      <c r="BS2240" s="10" t="s">
        <v>137</v>
      </c>
      <c r="BT2240" s="10" t="s">
        <v>99</v>
      </c>
      <c r="BU2240" s="10" t="s">
        <v>17166</v>
      </c>
      <c r="BV2240" s="10"/>
      <c r="BW2240" s="10"/>
      <c r="BX2240" s="10"/>
      <c r="BY2240" s="23"/>
      <c r="BZ2240" s="23"/>
      <c r="CA2240" s="19" t="s">
        <v>17167</v>
      </c>
      <c r="CB2240" s="19" t="s">
        <v>17168</v>
      </c>
      <c r="CC2240" s="23"/>
      <c r="CD2240" s="19" t="s">
        <v>17169</v>
      </c>
      <c r="CE2240" s="23"/>
      <c r="CF2240" s="23"/>
      <c r="CG2240" s="23"/>
      <c r="CH2240" s="23"/>
      <c r="CI2240" s="23"/>
    </row>
    <row r="2241" spans="1:87" x14ac:dyDescent="0.3">
      <c r="A2241" s="9" t="s">
        <v>17170</v>
      </c>
      <c r="B2241" s="10" t="s">
        <v>17171</v>
      </c>
      <c r="C2241" s="11">
        <v>45973.645833333336</v>
      </c>
      <c r="D2241" s="12">
        <v>8.3333333333333329E-2</v>
      </c>
      <c r="E2241" s="11">
        <v>45973.729166666664</v>
      </c>
      <c r="F2241" s="10" t="s">
        <v>14786</v>
      </c>
      <c r="G2241" s="13" t="b">
        <v>0</v>
      </c>
      <c r="H2241" s="22" t="s">
        <v>14787</v>
      </c>
      <c r="I2241" s="10" t="s">
        <v>3548</v>
      </c>
      <c r="J2241" s="13" t="b">
        <v>0</v>
      </c>
      <c r="K2241" s="13" t="b">
        <v>1</v>
      </c>
      <c r="L2241" s="10" t="s">
        <v>124</v>
      </c>
      <c r="M2241" s="10" t="s">
        <v>91</v>
      </c>
      <c r="N2241" s="10" t="s">
        <v>3513</v>
      </c>
      <c r="O2241" s="19" t="s">
        <v>17172</v>
      </c>
      <c r="P2241" s="10"/>
      <c r="Q2241" s="10" t="s">
        <v>126</v>
      </c>
      <c r="R2241" s="10"/>
      <c r="S2241" s="19" t="s">
        <v>17173</v>
      </c>
      <c r="T2241" s="19" t="s">
        <v>17144</v>
      </c>
      <c r="U2241" s="10" t="s">
        <v>14893</v>
      </c>
      <c r="V2241" s="10" t="s">
        <v>14892</v>
      </c>
      <c r="W2241" s="10" t="s">
        <v>14793</v>
      </c>
      <c r="X2241" s="10" t="s">
        <v>130</v>
      </c>
      <c r="Y2241" s="10" t="s">
        <v>130</v>
      </c>
      <c r="Z2241" s="10" t="s">
        <v>99</v>
      </c>
      <c r="AA2241" s="10" t="s">
        <v>131</v>
      </c>
      <c r="AB2241" s="10" t="s">
        <v>14794</v>
      </c>
      <c r="AC2241" s="10" t="s">
        <v>3521</v>
      </c>
      <c r="AD2241" s="10" t="s">
        <v>17174</v>
      </c>
      <c r="AE2241" s="10" t="s">
        <v>17175</v>
      </c>
      <c r="AF2241" s="15"/>
      <c r="AG2241" s="10"/>
      <c r="AH2241" s="10"/>
      <c r="AI2241" s="10"/>
      <c r="AJ2241" s="10"/>
      <c r="AK2241" s="10" t="s">
        <v>102</v>
      </c>
      <c r="AL2241" s="10" t="s">
        <v>1252</v>
      </c>
      <c r="AM2241" s="10"/>
      <c r="AN2241" s="10"/>
      <c r="AO2241" s="13" t="b">
        <v>0</v>
      </c>
      <c r="AP2241" s="22" t="s">
        <v>104</v>
      </c>
      <c r="AQ2241" s="10">
        <f ca="1">IFERROR(__xludf.DUMMYFUNCTION("""COMPUTED_VALUE"""),4709789)</f>
        <v>4709789</v>
      </c>
      <c r="AR2241" s="17">
        <v>36102</v>
      </c>
      <c r="AS2241" s="17">
        <v>21222</v>
      </c>
      <c r="AT2241" s="17">
        <v>587481.5</v>
      </c>
      <c r="AU2241" s="17">
        <v>250.55</v>
      </c>
      <c r="AV2241" s="17">
        <v>66.349999999999994</v>
      </c>
      <c r="AW2241" s="10" t="s">
        <v>105</v>
      </c>
      <c r="AX2241" s="17">
        <v>8101</v>
      </c>
      <c r="AY2241" s="18">
        <v>27.68266421637923</v>
      </c>
      <c r="AZ2241" s="10" t="s">
        <v>168</v>
      </c>
      <c r="BA2241" s="20" t="b">
        <v>0</v>
      </c>
      <c r="BB2241" s="10"/>
      <c r="BC2241" s="17">
        <v>36102</v>
      </c>
      <c r="BD2241" s="17">
        <v>21222</v>
      </c>
      <c r="BE2241" s="17">
        <v>587481.5</v>
      </c>
      <c r="BF2241" s="17">
        <v>66.349999999999994</v>
      </c>
      <c r="BG2241" s="11">
        <f ca="1">IFERROR(__xludf.DUMMYFUNCTION("""COMPUTED_VALUE"""),45973.6458333333)</f>
        <v>45973.645833333299</v>
      </c>
      <c r="BH2241" s="17" t="s">
        <v>105</v>
      </c>
      <c r="BI2241" s="17"/>
      <c r="BJ2241" s="15"/>
      <c r="BK2241" s="15"/>
      <c r="BL2241" s="13" t="b">
        <v>0</v>
      </c>
      <c r="BM2241" s="10"/>
      <c r="BN2241" s="10" t="s">
        <v>197</v>
      </c>
      <c r="BO2241" s="11">
        <v>45938.43472222222</v>
      </c>
      <c r="BP2241" s="11">
        <v>45938.640694444446</v>
      </c>
      <c r="BQ2241" s="15">
        <v>45967.636631944442</v>
      </c>
      <c r="BR2241" s="15">
        <v>45970.43545138889</v>
      </c>
      <c r="BS2241" s="10" t="s">
        <v>197</v>
      </c>
      <c r="BT2241" s="10" t="s">
        <v>99</v>
      </c>
      <c r="BU2241" s="10" t="s">
        <v>456</v>
      </c>
      <c r="BV2241" s="10"/>
      <c r="BW2241" s="10"/>
      <c r="BX2241" s="10"/>
      <c r="BY2241" s="23"/>
      <c r="BZ2241" s="23"/>
      <c r="CA2241" s="19" t="s">
        <v>17176</v>
      </c>
      <c r="CB2241" s="19" t="s">
        <v>17177</v>
      </c>
      <c r="CC2241" s="23"/>
      <c r="CD2241" s="19" t="s">
        <v>17178</v>
      </c>
      <c r="CE2241" s="23"/>
      <c r="CF2241" s="23"/>
      <c r="CG2241" s="23"/>
      <c r="CH2241" s="23"/>
      <c r="CI2241" s="23"/>
    </row>
    <row r="2242" spans="1:87" x14ac:dyDescent="0.3">
      <c r="A2242" s="9" t="s">
        <v>17179</v>
      </c>
      <c r="B2242" s="10" t="s">
        <v>17180</v>
      </c>
      <c r="C2242" s="11">
        <v>45973.708333333336</v>
      </c>
      <c r="D2242" s="12">
        <v>8.3333333333333329E-2</v>
      </c>
      <c r="E2242" s="11">
        <v>45973.791666666664</v>
      </c>
      <c r="F2242" s="10" t="s">
        <v>14786</v>
      </c>
      <c r="G2242" s="13" t="b">
        <v>0</v>
      </c>
      <c r="H2242" s="22" t="s">
        <v>14787</v>
      </c>
      <c r="I2242" s="10" t="s">
        <v>3548</v>
      </c>
      <c r="J2242" s="13" t="b">
        <v>0</v>
      </c>
      <c r="K2242" s="13" t="b">
        <v>1</v>
      </c>
      <c r="L2242" s="10" t="s">
        <v>124</v>
      </c>
      <c r="M2242" s="10" t="s">
        <v>91</v>
      </c>
      <c r="N2242" s="10" t="s">
        <v>3513</v>
      </c>
      <c r="O2242" s="19" t="s">
        <v>17181</v>
      </c>
      <c r="P2242" s="10"/>
      <c r="Q2242" s="10" t="s">
        <v>126</v>
      </c>
      <c r="R2242" s="10"/>
      <c r="S2242" s="19" t="s">
        <v>17182</v>
      </c>
      <c r="T2242" s="19" t="s">
        <v>17144</v>
      </c>
      <c r="U2242" s="10" t="s">
        <v>14871</v>
      </c>
      <c r="V2242" s="10" t="s">
        <v>14870</v>
      </c>
      <c r="W2242" s="10" t="s">
        <v>14793</v>
      </c>
      <c r="X2242" s="10" t="s">
        <v>130</v>
      </c>
      <c r="Y2242" s="10" t="s">
        <v>130</v>
      </c>
      <c r="Z2242" s="10" t="s">
        <v>99</v>
      </c>
      <c r="AA2242" s="10" t="s">
        <v>131</v>
      </c>
      <c r="AB2242" s="10" t="s">
        <v>14794</v>
      </c>
      <c r="AC2242" s="10" t="s">
        <v>3521</v>
      </c>
      <c r="AD2242" s="10" t="s">
        <v>17183</v>
      </c>
      <c r="AE2242" s="10" t="s">
        <v>17184</v>
      </c>
      <c r="AF2242" s="15"/>
      <c r="AG2242" s="10"/>
      <c r="AH2242" s="10"/>
      <c r="AI2242" s="10"/>
      <c r="AJ2242" s="10"/>
      <c r="AK2242" s="10" t="s">
        <v>102</v>
      </c>
      <c r="AL2242" s="10" t="s">
        <v>1252</v>
      </c>
      <c r="AM2242" s="10"/>
      <c r="AN2242" s="10"/>
      <c r="AO2242" s="13" t="b">
        <v>0</v>
      </c>
      <c r="AP2242" s="22" t="s">
        <v>104</v>
      </c>
      <c r="AQ2242" s="10">
        <f ca="1">IFERROR(__xludf.DUMMYFUNCTION("""COMPUTED_VALUE"""),4709793)</f>
        <v>4709793</v>
      </c>
      <c r="AR2242" s="17">
        <v>51773</v>
      </c>
      <c r="AS2242" s="17">
        <v>30095</v>
      </c>
      <c r="AT2242" s="17">
        <v>933672.25</v>
      </c>
      <c r="AU2242" s="17">
        <v>234.3</v>
      </c>
      <c r="AV2242" s="17">
        <v>61.1</v>
      </c>
      <c r="AW2242" s="10" t="s">
        <v>105</v>
      </c>
      <c r="AX2242" s="17">
        <v>13420</v>
      </c>
      <c r="AY2242" s="18">
        <v>31.024165143711581</v>
      </c>
      <c r="AZ2242" s="10" t="s">
        <v>168</v>
      </c>
      <c r="BA2242" s="20" t="b">
        <v>0</v>
      </c>
      <c r="BB2242" s="10"/>
      <c r="BC2242" s="17">
        <v>51773</v>
      </c>
      <c r="BD2242" s="17">
        <v>30095</v>
      </c>
      <c r="BE2242" s="17">
        <v>933672.25</v>
      </c>
      <c r="BF2242" s="17">
        <v>61.1</v>
      </c>
      <c r="BG2242" s="11">
        <f ca="1">IFERROR(__xludf.DUMMYFUNCTION("""COMPUTED_VALUE"""),45973.7083333333)</f>
        <v>45973.708333333299</v>
      </c>
      <c r="BH2242" s="17" t="s">
        <v>105</v>
      </c>
      <c r="BI2242" s="17"/>
      <c r="BJ2242" s="15"/>
      <c r="BK2242" s="15"/>
      <c r="BL2242" s="13" t="b">
        <v>0</v>
      </c>
      <c r="BM2242" s="10"/>
      <c r="BN2242" s="10" t="s">
        <v>197</v>
      </c>
      <c r="BO2242" s="11">
        <v>45938.436111111114</v>
      </c>
      <c r="BP2242" s="11">
        <v>45938.641770833332</v>
      </c>
      <c r="BQ2242" s="15">
        <v>45967.636956018519</v>
      </c>
      <c r="BR2242" s="15">
        <v>45970.435740740744</v>
      </c>
      <c r="BS2242" s="10" t="s">
        <v>197</v>
      </c>
      <c r="BT2242" s="10" t="s">
        <v>99</v>
      </c>
      <c r="BU2242" s="10" t="s">
        <v>534</v>
      </c>
      <c r="BV2242" s="10"/>
      <c r="BW2242" s="10"/>
      <c r="BX2242" s="10"/>
      <c r="BY2242" s="23"/>
      <c r="BZ2242" s="23"/>
      <c r="CA2242" s="19" t="s">
        <v>17185</v>
      </c>
      <c r="CB2242" s="19" t="s">
        <v>17186</v>
      </c>
      <c r="CC2242" s="23"/>
      <c r="CD2242" s="19" t="s">
        <v>17187</v>
      </c>
      <c r="CE2242" s="23"/>
      <c r="CF2242" s="23"/>
      <c r="CG2242" s="23"/>
      <c r="CH2242" s="23"/>
      <c r="CI2242" s="23"/>
    </row>
    <row r="2243" spans="1:87" x14ac:dyDescent="0.3">
      <c r="A2243" s="9" t="s">
        <v>17188</v>
      </c>
      <c r="B2243" s="10" t="s">
        <v>17189</v>
      </c>
      <c r="C2243" s="11">
        <v>45973.791666666664</v>
      </c>
      <c r="D2243" s="12">
        <v>8.3333333333333329E-2</v>
      </c>
      <c r="E2243" s="11">
        <v>45973.875</v>
      </c>
      <c r="F2243" s="10" t="s">
        <v>14786</v>
      </c>
      <c r="G2243" s="13" t="b">
        <v>0</v>
      </c>
      <c r="H2243" s="22" t="s">
        <v>14787</v>
      </c>
      <c r="I2243" s="10" t="s">
        <v>3548</v>
      </c>
      <c r="J2243" s="13" t="b">
        <v>0</v>
      </c>
      <c r="K2243" s="13" t="b">
        <v>1</v>
      </c>
      <c r="L2243" s="10" t="s">
        <v>124</v>
      </c>
      <c r="M2243" s="10" t="s">
        <v>91</v>
      </c>
      <c r="N2243" s="10" t="s">
        <v>3513</v>
      </c>
      <c r="O2243" s="19" t="s">
        <v>17190</v>
      </c>
      <c r="P2243" s="10"/>
      <c r="Q2243" s="10" t="s">
        <v>126</v>
      </c>
      <c r="R2243" s="10"/>
      <c r="S2243" s="19" t="s">
        <v>17191</v>
      </c>
      <c r="T2243" s="19" t="s">
        <v>17144</v>
      </c>
      <c r="U2243" s="10" t="s">
        <v>14849</v>
      </c>
      <c r="V2243" s="10" t="s">
        <v>14848</v>
      </c>
      <c r="W2243" s="10" t="s">
        <v>14793</v>
      </c>
      <c r="X2243" s="10" t="s">
        <v>130</v>
      </c>
      <c r="Y2243" s="10" t="s">
        <v>130</v>
      </c>
      <c r="Z2243" s="10" t="s">
        <v>99</v>
      </c>
      <c r="AA2243" s="10" t="s">
        <v>131</v>
      </c>
      <c r="AB2243" s="10" t="s">
        <v>14794</v>
      </c>
      <c r="AC2243" s="10" t="s">
        <v>3521</v>
      </c>
      <c r="AD2243" s="10" t="s">
        <v>17192</v>
      </c>
      <c r="AE2243" s="10" t="s">
        <v>17193</v>
      </c>
      <c r="AF2243" s="15"/>
      <c r="AG2243" s="10"/>
      <c r="AH2243" s="10"/>
      <c r="AI2243" s="10"/>
      <c r="AJ2243" s="10"/>
      <c r="AK2243" s="10" t="s">
        <v>102</v>
      </c>
      <c r="AL2243" s="10" t="s">
        <v>1252</v>
      </c>
      <c r="AM2243" s="10"/>
      <c r="AN2243" s="10"/>
      <c r="AO2243" s="13" t="b">
        <v>0</v>
      </c>
      <c r="AP2243" s="22" t="s">
        <v>104</v>
      </c>
      <c r="AQ2243" s="10">
        <f ca="1">IFERROR(__xludf.DUMMYFUNCTION("""COMPUTED_VALUE"""),4709790)</f>
        <v>4709790</v>
      </c>
      <c r="AR2243" s="17">
        <v>72941</v>
      </c>
      <c r="AS2243" s="17">
        <v>45875</v>
      </c>
      <c r="AT2243" s="17">
        <v>1684683.25</v>
      </c>
      <c r="AU2243" s="17">
        <v>837.1</v>
      </c>
      <c r="AV2243" s="17">
        <v>168.8</v>
      </c>
      <c r="AW2243" s="10" t="s">
        <v>105</v>
      </c>
      <c r="AX2243" s="17">
        <v>18549</v>
      </c>
      <c r="AY2243" s="18">
        <v>36.723340599455042</v>
      </c>
      <c r="AZ2243" s="10" t="s">
        <v>168</v>
      </c>
      <c r="BA2243" s="20" t="b">
        <v>0</v>
      </c>
      <c r="BB2243" s="10"/>
      <c r="BC2243" s="17">
        <v>72941</v>
      </c>
      <c r="BD2243" s="17">
        <v>45875</v>
      </c>
      <c r="BE2243" s="17">
        <v>1684683.25</v>
      </c>
      <c r="BF2243" s="17">
        <v>168.8</v>
      </c>
      <c r="BG2243" s="11">
        <f ca="1">IFERROR(__xludf.DUMMYFUNCTION("""COMPUTED_VALUE"""),45973.7916666666)</f>
        <v>45973.791666666599</v>
      </c>
      <c r="BH2243" s="17" t="s">
        <v>105</v>
      </c>
      <c r="BI2243" s="17"/>
      <c r="BJ2243" s="15"/>
      <c r="BK2243" s="15"/>
      <c r="BL2243" s="13" t="b">
        <v>0</v>
      </c>
      <c r="BM2243" s="10"/>
      <c r="BN2243" s="10" t="s">
        <v>197</v>
      </c>
      <c r="BO2243" s="11">
        <v>45938.436805555553</v>
      </c>
      <c r="BP2243" s="11">
        <v>45938.642465277779</v>
      </c>
      <c r="BQ2243" s="15">
        <v>45967.637094907404</v>
      </c>
      <c r="BR2243" s="15">
        <v>45970.435879629629</v>
      </c>
      <c r="BS2243" s="10" t="s">
        <v>197</v>
      </c>
      <c r="BT2243" s="10" t="s">
        <v>99</v>
      </c>
      <c r="BU2243" s="10" t="s">
        <v>456</v>
      </c>
      <c r="BV2243" s="10"/>
      <c r="BW2243" s="10"/>
      <c r="BX2243" s="10"/>
      <c r="BY2243" s="23"/>
      <c r="BZ2243" s="23"/>
      <c r="CA2243" s="19" t="s">
        <v>17194</v>
      </c>
      <c r="CB2243" s="19" t="s">
        <v>17195</v>
      </c>
      <c r="CC2243" s="23"/>
      <c r="CD2243" s="19" t="s">
        <v>17196</v>
      </c>
      <c r="CE2243" s="23"/>
      <c r="CF2243" s="23"/>
      <c r="CG2243" s="23"/>
      <c r="CH2243" s="23"/>
      <c r="CI2243" s="23"/>
    </row>
    <row r="2244" spans="1:87" x14ac:dyDescent="0.3">
      <c r="A2244" s="9" t="s">
        <v>17197</v>
      </c>
      <c r="B2244" s="10" t="s">
        <v>17198</v>
      </c>
      <c r="C2244" s="11">
        <v>45973.645833333336</v>
      </c>
      <c r="D2244" s="12">
        <v>8.3333333333333329E-2</v>
      </c>
      <c r="E2244" s="11">
        <v>45973.729166666664</v>
      </c>
      <c r="F2244" s="10" t="s">
        <v>14786</v>
      </c>
      <c r="G2244" s="13" t="b">
        <v>0</v>
      </c>
      <c r="H2244" s="22" t="s">
        <v>14787</v>
      </c>
      <c r="I2244" s="10" t="s">
        <v>3548</v>
      </c>
      <c r="J2244" s="13" t="b">
        <v>0</v>
      </c>
      <c r="K2244" s="13" t="b">
        <v>1</v>
      </c>
      <c r="L2244" s="10" t="s">
        <v>124</v>
      </c>
      <c r="M2244" s="10" t="s">
        <v>91</v>
      </c>
      <c r="N2244" s="10" t="s">
        <v>3513</v>
      </c>
      <c r="O2244" s="19" t="s">
        <v>17199</v>
      </c>
      <c r="P2244" s="10"/>
      <c r="Q2244" s="10" t="s">
        <v>126</v>
      </c>
      <c r="R2244" s="10"/>
      <c r="S2244" s="19" t="s">
        <v>17200</v>
      </c>
      <c r="T2244" s="19" t="s">
        <v>17144</v>
      </c>
      <c r="U2244" s="10" t="s">
        <v>14860</v>
      </c>
      <c r="V2244" s="10" t="s">
        <v>14859</v>
      </c>
      <c r="W2244" s="10" t="s">
        <v>14793</v>
      </c>
      <c r="X2244" s="10" t="s">
        <v>130</v>
      </c>
      <c r="Y2244" s="10" t="s">
        <v>130</v>
      </c>
      <c r="Z2244" s="10" t="s">
        <v>99</v>
      </c>
      <c r="AA2244" s="10" t="s">
        <v>131</v>
      </c>
      <c r="AB2244" s="10" t="s">
        <v>14794</v>
      </c>
      <c r="AC2244" s="10" t="s">
        <v>3521</v>
      </c>
      <c r="AD2244" s="10" t="s">
        <v>17201</v>
      </c>
      <c r="AE2244" s="10" t="s">
        <v>17202</v>
      </c>
      <c r="AF2244" s="15"/>
      <c r="AG2244" s="10"/>
      <c r="AH2244" s="10"/>
      <c r="AI2244" s="10"/>
      <c r="AJ2244" s="10"/>
      <c r="AK2244" s="10" t="s">
        <v>102</v>
      </c>
      <c r="AL2244" s="10" t="s">
        <v>1252</v>
      </c>
      <c r="AM2244" s="10"/>
      <c r="AN2244" s="10"/>
      <c r="AO2244" s="13" t="b">
        <v>0</v>
      </c>
      <c r="AP2244" s="22" t="s">
        <v>104</v>
      </c>
      <c r="AQ2244" s="10">
        <f ca="1">IFERROR(__xludf.DUMMYFUNCTION("""COMPUTED_VALUE"""),4709791)</f>
        <v>4709791</v>
      </c>
      <c r="AR2244" s="17">
        <v>33895</v>
      </c>
      <c r="AS2244" s="17">
        <v>19660</v>
      </c>
      <c r="AT2244" s="17">
        <v>491429.25</v>
      </c>
      <c r="AU2244" s="17">
        <v>237.55</v>
      </c>
      <c r="AV2244" s="17">
        <v>44.45</v>
      </c>
      <c r="AW2244" s="10" t="s">
        <v>105</v>
      </c>
      <c r="AX2244" s="17">
        <v>6524</v>
      </c>
      <c r="AY2244" s="18">
        <v>24.996401322482196</v>
      </c>
      <c r="AZ2244" s="10" t="s">
        <v>168</v>
      </c>
      <c r="BA2244" s="20" t="b">
        <v>0</v>
      </c>
      <c r="BB2244" s="10"/>
      <c r="BC2244" s="17">
        <v>33895</v>
      </c>
      <c r="BD2244" s="17">
        <v>19660</v>
      </c>
      <c r="BE2244" s="17">
        <v>491429.25</v>
      </c>
      <c r="BF2244" s="17">
        <v>44.45</v>
      </c>
      <c r="BG2244" s="11">
        <f ca="1">IFERROR(__xludf.DUMMYFUNCTION("""COMPUTED_VALUE"""),45973.6458333333)</f>
        <v>45973.645833333299</v>
      </c>
      <c r="BH2244" s="17" t="s">
        <v>105</v>
      </c>
      <c r="BI2244" s="17"/>
      <c r="BJ2244" s="15"/>
      <c r="BK2244" s="15"/>
      <c r="BL2244" s="13" t="b">
        <v>0</v>
      </c>
      <c r="BM2244" s="10"/>
      <c r="BN2244" s="10" t="s">
        <v>197</v>
      </c>
      <c r="BO2244" s="11">
        <v>45938.4375</v>
      </c>
      <c r="BP2244" s="11">
        <v>45938.641226851854</v>
      </c>
      <c r="BQ2244" s="15">
        <v>45967.636793981481</v>
      </c>
      <c r="BR2244" s="15">
        <v>45970.435613425929</v>
      </c>
      <c r="BS2244" s="10" t="s">
        <v>197</v>
      </c>
      <c r="BT2244" s="10" t="s">
        <v>99</v>
      </c>
      <c r="BU2244" s="10" t="s">
        <v>718</v>
      </c>
      <c r="BV2244" s="10"/>
      <c r="BW2244" s="10"/>
      <c r="BX2244" s="10"/>
      <c r="BY2244" s="23"/>
      <c r="BZ2244" s="23"/>
      <c r="CA2244" s="19" t="s">
        <v>17203</v>
      </c>
      <c r="CB2244" s="19" t="s">
        <v>17204</v>
      </c>
      <c r="CC2244" s="23"/>
      <c r="CD2244" s="19" t="s">
        <v>17205</v>
      </c>
      <c r="CE2244" s="23"/>
      <c r="CF2244" s="23"/>
      <c r="CG2244" s="23"/>
      <c r="CH2244" s="23"/>
      <c r="CI2244" s="23"/>
    </row>
    <row r="2245" spans="1:87" x14ac:dyDescent="0.3">
      <c r="A2245" s="9" t="s">
        <v>17206</v>
      </c>
      <c r="B2245" s="10" t="s">
        <v>17207</v>
      </c>
      <c r="C2245" s="11">
        <v>45974.645833333336</v>
      </c>
      <c r="D2245" s="12">
        <v>8.3333333333333329E-2</v>
      </c>
      <c r="E2245" s="11">
        <v>45974.729166666664</v>
      </c>
      <c r="F2245" s="10" t="s">
        <v>14786</v>
      </c>
      <c r="G2245" s="13" t="b">
        <v>0</v>
      </c>
      <c r="H2245" s="22" t="s">
        <v>14787</v>
      </c>
      <c r="I2245" s="10" t="s">
        <v>212</v>
      </c>
      <c r="J2245" s="13" t="b">
        <v>1</v>
      </c>
      <c r="K2245" s="13" t="b">
        <v>0</v>
      </c>
      <c r="L2245" s="10" t="s">
        <v>124</v>
      </c>
      <c r="M2245" s="10" t="s">
        <v>91</v>
      </c>
      <c r="N2245" s="10" t="s">
        <v>3513</v>
      </c>
      <c r="O2245" s="19" t="s">
        <v>17208</v>
      </c>
      <c r="P2245" s="10"/>
      <c r="Q2245" s="10" t="s">
        <v>126</v>
      </c>
      <c r="R2245" s="10"/>
      <c r="S2245" s="19" t="s">
        <v>17209</v>
      </c>
      <c r="T2245" s="19" t="s">
        <v>17144</v>
      </c>
      <c r="U2245" s="10" t="s">
        <v>14805</v>
      </c>
      <c r="V2245" s="10" t="s">
        <v>14804</v>
      </c>
      <c r="W2245" s="10" t="s">
        <v>14793</v>
      </c>
      <c r="X2245" s="10" t="s">
        <v>130</v>
      </c>
      <c r="Y2245" s="10" t="s">
        <v>130</v>
      </c>
      <c r="Z2245" s="10" t="s">
        <v>99</v>
      </c>
      <c r="AA2245" s="10" t="s">
        <v>131</v>
      </c>
      <c r="AB2245" s="10" t="s">
        <v>14794</v>
      </c>
      <c r="AC2245" s="10" t="s">
        <v>3521</v>
      </c>
      <c r="AD2245" s="10" t="s">
        <v>17210</v>
      </c>
      <c r="AE2245" s="10" t="s">
        <v>17211</v>
      </c>
      <c r="AF2245" s="15"/>
      <c r="AG2245" s="10"/>
      <c r="AH2245" s="10"/>
      <c r="AI2245" s="10"/>
      <c r="AJ2245" s="10"/>
      <c r="AK2245" s="10" t="s">
        <v>102</v>
      </c>
      <c r="AL2245" s="10" t="s">
        <v>1252</v>
      </c>
      <c r="AM2245" s="10"/>
      <c r="AN2245" s="10"/>
      <c r="AO2245" s="13" t="b">
        <v>0</v>
      </c>
      <c r="AP2245" s="22" t="s">
        <v>104</v>
      </c>
      <c r="AQ2245" s="10">
        <f ca="1">IFERROR(__xludf.DUMMYFUNCTION("""COMPUTED_VALUE"""),4713689)</f>
        <v>4713689</v>
      </c>
      <c r="AR2245" s="17">
        <v>55259</v>
      </c>
      <c r="AS2245" s="17">
        <v>28162</v>
      </c>
      <c r="AT2245" s="17">
        <v>867352.5</v>
      </c>
      <c r="AU2245" s="17">
        <v>124.8</v>
      </c>
      <c r="AV2245" s="17">
        <v>16.25</v>
      </c>
      <c r="AW2245" s="10" t="s">
        <v>105</v>
      </c>
      <c r="AX2245" s="17">
        <v>12506</v>
      </c>
      <c r="AY2245" s="18">
        <v>30.798682621972873</v>
      </c>
      <c r="AZ2245" s="10" t="s">
        <v>168</v>
      </c>
      <c r="BA2245" s="20" t="b">
        <v>0</v>
      </c>
      <c r="BB2245" s="10"/>
      <c r="BC2245" s="17">
        <v>55259</v>
      </c>
      <c r="BD2245" s="17">
        <v>28162</v>
      </c>
      <c r="BE2245" s="17">
        <v>867352.5</v>
      </c>
      <c r="BF2245" s="17">
        <v>16.25</v>
      </c>
      <c r="BG2245" s="11">
        <f ca="1">IFERROR(__xludf.DUMMYFUNCTION("""COMPUTED_VALUE"""),45974.6458333333)</f>
        <v>45974.645833333299</v>
      </c>
      <c r="BH2245" s="17" t="s">
        <v>105</v>
      </c>
      <c r="BI2245" s="17"/>
      <c r="BJ2245" s="15"/>
      <c r="BK2245" s="15"/>
      <c r="BL2245" s="13" t="b">
        <v>0</v>
      </c>
      <c r="BM2245" s="10"/>
      <c r="BN2245" s="10" t="s">
        <v>197</v>
      </c>
      <c r="BO2245" s="11">
        <v>45938.438194444447</v>
      </c>
      <c r="BP2245" s="11">
        <v>45940.697858796295</v>
      </c>
      <c r="BQ2245" s="15">
        <v>45971.842662037037</v>
      </c>
      <c r="BR2245" s="15"/>
      <c r="BS2245" s="10" t="s">
        <v>197</v>
      </c>
      <c r="BT2245" s="10" t="s">
        <v>99</v>
      </c>
      <c r="BU2245" s="10" t="s">
        <v>456</v>
      </c>
      <c r="BV2245" s="10"/>
      <c r="BW2245" s="10"/>
      <c r="BX2245" s="10"/>
      <c r="BY2245" s="23"/>
      <c r="BZ2245" s="23"/>
      <c r="CA2245" s="19" t="s">
        <v>17212</v>
      </c>
      <c r="CB2245" s="19" t="s">
        <v>17213</v>
      </c>
      <c r="CC2245" s="23"/>
      <c r="CD2245" s="19" t="s">
        <v>17214</v>
      </c>
      <c r="CE2245" s="23"/>
      <c r="CF2245" s="23"/>
      <c r="CG2245" s="23"/>
      <c r="CH2245" s="23"/>
      <c r="CI2245" s="23"/>
    </row>
    <row r="2246" spans="1:87" x14ac:dyDescent="0.3">
      <c r="A2246" s="9" t="s">
        <v>17215</v>
      </c>
      <c r="B2246" s="10" t="s">
        <v>17216</v>
      </c>
      <c r="C2246" s="11">
        <v>45974.645833333336</v>
      </c>
      <c r="D2246" s="12">
        <v>8.3333333333333329E-2</v>
      </c>
      <c r="E2246" s="11">
        <v>45974.729166666664</v>
      </c>
      <c r="F2246" s="10" t="s">
        <v>14786</v>
      </c>
      <c r="G2246" s="13" t="b">
        <v>0</v>
      </c>
      <c r="H2246" s="22" t="s">
        <v>14787</v>
      </c>
      <c r="I2246" s="10" t="s">
        <v>212</v>
      </c>
      <c r="J2246" s="13" t="b">
        <v>1</v>
      </c>
      <c r="K2246" s="13" t="b">
        <v>0</v>
      </c>
      <c r="L2246" s="10" t="s">
        <v>124</v>
      </c>
      <c r="M2246" s="10" t="s">
        <v>91</v>
      </c>
      <c r="N2246" s="10" t="s">
        <v>3513</v>
      </c>
      <c r="O2246" s="19" t="s">
        <v>17217</v>
      </c>
      <c r="P2246" s="10"/>
      <c r="Q2246" s="10" t="s">
        <v>126</v>
      </c>
      <c r="R2246" s="10"/>
      <c r="S2246" s="19" t="s">
        <v>17218</v>
      </c>
      <c r="T2246" s="19" t="s">
        <v>17219</v>
      </c>
      <c r="U2246" s="10" t="s">
        <v>14792</v>
      </c>
      <c r="V2246" s="10" t="s">
        <v>14791</v>
      </c>
      <c r="W2246" s="10" t="s">
        <v>14793</v>
      </c>
      <c r="X2246" s="10" t="s">
        <v>130</v>
      </c>
      <c r="Y2246" s="10" t="s">
        <v>130</v>
      </c>
      <c r="Z2246" s="10" t="s">
        <v>99</v>
      </c>
      <c r="AA2246" s="10" t="s">
        <v>131</v>
      </c>
      <c r="AB2246" s="10" t="s">
        <v>14794</v>
      </c>
      <c r="AC2246" s="10" t="s">
        <v>3521</v>
      </c>
      <c r="AD2246" s="10" t="s">
        <v>17220</v>
      </c>
      <c r="AE2246" s="10" t="s">
        <v>17221</v>
      </c>
      <c r="AF2246" s="15"/>
      <c r="AG2246" s="10"/>
      <c r="AH2246" s="10"/>
      <c r="AI2246" s="10"/>
      <c r="AJ2246" s="10"/>
      <c r="AK2246" s="10" t="s">
        <v>102</v>
      </c>
      <c r="AL2246" s="10" t="s">
        <v>1252</v>
      </c>
      <c r="AM2246" s="10"/>
      <c r="AN2246" s="10"/>
      <c r="AO2246" s="13" t="b">
        <v>0</v>
      </c>
      <c r="AP2246" s="22" t="s">
        <v>104</v>
      </c>
      <c r="AQ2246" s="10">
        <f ca="1">IFERROR(__xludf.DUMMYFUNCTION("""COMPUTED_VALUE"""),4713691)</f>
        <v>4713691</v>
      </c>
      <c r="AR2246" s="17">
        <v>37575</v>
      </c>
      <c r="AS2246" s="17">
        <v>19418</v>
      </c>
      <c r="AT2246" s="17">
        <v>449093.25</v>
      </c>
      <c r="AU2246" s="17">
        <v>67.349999999999994</v>
      </c>
      <c r="AV2246" s="17">
        <v>15.25</v>
      </c>
      <c r="AW2246" s="10" t="s">
        <v>105</v>
      </c>
      <c r="AX2246" s="17">
        <v>7239</v>
      </c>
      <c r="AY2246" s="18">
        <v>23.127677927695952</v>
      </c>
      <c r="AZ2246" s="10" t="s">
        <v>168</v>
      </c>
      <c r="BA2246" s="20" t="b">
        <v>0</v>
      </c>
      <c r="BB2246" s="10"/>
      <c r="BC2246" s="17">
        <v>37575</v>
      </c>
      <c r="BD2246" s="17">
        <v>19418</v>
      </c>
      <c r="BE2246" s="17">
        <v>449093.25</v>
      </c>
      <c r="BF2246" s="17">
        <v>15.25</v>
      </c>
      <c r="BG2246" s="11">
        <f ca="1">IFERROR(__xludf.DUMMYFUNCTION("""COMPUTED_VALUE"""),45974.6458333333)</f>
        <v>45974.645833333299</v>
      </c>
      <c r="BH2246" s="17" t="s">
        <v>105</v>
      </c>
      <c r="BI2246" s="17"/>
      <c r="BJ2246" s="15"/>
      <c r="BK2246" s="15"/>
      <c r="BL2246" s="13" t="b">
        <v>0</v>
      </c>
      <c r="BM2246" s="10"/>
      <c r="BN2246" s="10" t="s">
        <v>197</v>
      </c>
      <c r="BO2246" s="11">
        <v>45938.438888888886</v>
      </c>
      <c r="BP2246" s="11">
        <v>45940.697962962964</v>
      </c>
      <c r="BQ2246" s="15">
        <v>45971.842962962961</v>
      </c>
      <c r="BR2246" s="15"/>
      <c r="BS2246" s="10" t="s">
        <v>197</v>
      </c>
      <c r="BT2246" s="10" t="s">
        <v>99</v>
      </c>
      <c r="BU2246" s="10" t="s">
        <v>718</v>
      </c>
      <c r="BV2246" s="10"/>
      <c r="BW2246" s="10"/>
      <c r="BX2246" s="10"/>
      <c r="BY2246" s="23"/>
      <c r="BZ2246" s="23"/>
      <c r="CA2246" s="19" t="s">
        <v>17222</v>
      </c>
      <c r="CB2246" s="19" t="s">
        <v>17223</v>
      </c>
      <c r="CC2246" s="23"/>
      <c r="CD2246" s="19" t="s">
        <v>17224</v>
      </c>
      <c r="CE2246" s="23"/>
      <c r="CF2246" s="23"/>
      <c r="CG2246" s="23"/>
      <c r="CH2246" s="23"/>
      <c r="CI2246" s="23"/>
    </row>
    <row r="2247" spans="1:87" x14ac:dyDescent="0.3">
      <c r="A2247" s="9" t="s">
        <v>17225</v>
      </c>
      <c r="B2247" s="10" t="s">
        <v>17226</v>
      </c>
      <c r="C2247" s="11">
        <v>45974.791666666664</v>
      </c>
      <c r="D2247" s="12">
        <v>8.3333333333333329E-2</v>
      </c>
      <c r="E2247" s="11">
        <v>45974.875</v>
      </c>
      <c r="F2247" s="10" t="s">
        <v>14786</v>
      </c>
      <c r="G2247" s="13" t="b">
        <v>0</v>
      </c>
      <c r="H2247" s="22" t="s">
        <v>14787</v>
      </c>
      <c r="I2247" s="10" t="s">
        <v>212</v>
      </c>
      <c r="J2247" s="13" t="b">
        <v>1</v>
      </c>
      <c r="K2247" s="13" t="b">
        <v>0</v>
      </c>
      <c r="L2247" s="10" t="s">
        <v>124</v>
      </c>
      <c r="M2247" s="10" t="s">
        <v>91</v>
      </c>
      <c r="N2247" s="10" t="s">
        <v>3513</v>
      </c>
      <c r="O2247" s="19" t="s">
        <v>17227</v>
      </c>
      <c r="P2247" s="10"/>
      <c r="Q2247" s="10" t="s">
        <v>126</v>
      </c>
      <c r="R2247" s="10"/>
      <c r="S2247" s="19" t="s">
        <v>17228</v>
      </c>
      <c r="T2247" s="19" t="s">
        <v>17144</v>
      </c>
      <c r="U2247" s="10" t="s">
        <v>14882</v>
      </c>
      <c r="V2247" s="10" t="s">
        <v>14881</v>
      </c>
      <c r="W2247" s="10" t="s">
        <v>14793</v>
      </c>
      <c r="X2247" s="10" t="s">
        <v>130</v>
      </c>
      <c r="Y2247" s="10" t="s">
        <v>130</v>
      </c>
      <c r="Z2247" s="10" t="s">
        <v>99</v>
      </c>
      <c r="AA2247" s="10" t="s">
        <v>131</v>
      </c>
      <c r="AB2247" s="10" t="s">
        <v>14794</v>
      </c>
      <c r="AC2247" s="10" t="s">
        <v>3521</v>
      </c>
      <c r="AD2247" s="10" t="s">
        <v>17229</v>
      </c>
      <c r="AE2247" s="10" t="s">
        <v>17230</v>
      </c>
      <c r="AF2247" s="15"/>
      <c r="AG2247" s="10"/>
      <c r="AH2247" s="10"/>
      <c r="AI2247" s="10"/>
      <c r="AJ2247" s="10"/>
      <c r="AK2247" s="10" t="s">
        <v>102</v>
      </c>
      <c r="AL2247" s="10" t="s">
        <v>1252</v>
      </c>
      <c r="AM2247" s="10"/>
      <c r="AN2247" s="10"/>
      <c r="AO2247" s="13" t="b">
        <v>0</v>
      </c>
      <c r="AP2247" s="22" t="s">
        <v>104</v>
      </c>
      <c r="AQ2247" s="10">
        <f ca="1">IFERROR(__xludf.DUMMYFUNCTION("""COMPUTED_VALUE"""),4713690)</f>
        <v>4713690</v>
      </c>
      <c r="AR2247" s="17">
        <v>49495</v>
      </c>
      <c r="AS2247" s="17">
        <v>29290</v>
      </c>
      <c r="AT2247" s="17">
        <v>886426.75</v>
      </c>
      <c r="AU2247" s="17">
        <v>120.5</v>
      </c>
      <c r="AV2247" s="17">
        <v>22.3</v>
      </c>
      <c r="AW2247" s="10" t="s">
        <v>105</v>
      </c>
      <c r="AX2247" s="17">
        <v>9346</v>
      </c>
      <c r="AY2247" s="18">
        <v>30.263801638784567</v>
      </c>
      <c r="AZ2247" s="10" t="s">
        <v>168</v>
      </c>
      <c r="BA2247" s="20" t="b">
        <v>0</v>
      </c>
      <c r="BB2247" s="10"/>
      <c r="BC2247" s="17">
        <v>49495</v>
      </c>
      <c r="BD2247" s="17">
        <v>29290</v>
      </c>
      <c r="BE2247" s="17">
        <v>886426.75</v>
      </c>
      <c r="BF2247" s="17">
        <v>22.3</v>
      </c>
      <c r="BG2247" s="11">
        <f ca="1">IFERROR(__xludf.DUMMYFUNCTION("""COMPUTED_VALUE"""),45974.7916666666)</f>
        <v>45974.791666666599</v>
      </c>
      <c r="BH2247" s="17" t="s">
        <v>105</v>
      </c>
      <c r="BI2247" s="17"/>
      <c r="BJ2247" s="15"/>
      <c r="BK2247" s="15"/>
      <c r="BL2247" s="13" t="b">
        <v>0</v>
      </c>
      <c r="BM2247" s="10"/>
      <c r="BN2247" s="10" t="s">
        <v>197</v>
      </c>
      <c r="BO2247" s="11">
        <v>45938.439583333333</v>
      </c>
      <c r="BP2247" s="11">
        <v>45940.698067129626</v>
      </c>
      <c r="BQ2247" s="15">
        <v>45971.843356481484</v>
      </c>
      <c r="BR2247" s="15"/>
      <c r="BS2247" s="10" t="s">
        <v>197</v>
      </c>
      <c r="BT2247" s="10" t="s">
        <v>99</v>
      </c>
      <c r="BU2247" s="10" t="s">
        <v>456</v>
      </c>
      <c r="BV2247" s="10"/>
      <c r="BW2247" s="10"/>
      <c r="BX2247" s="10"/>
      <c r="BY2247" s="23"/>
      <c r="BZ2247" s="23"/>
      <c r="CA2247" s="19" t="s">
        <v>17231</v>
      </c>
      <c r="CB2247" s="19" t="s">
        <v>17232</v>
      </c>
      <c r="CC2247" s="23"/>
      <c r="CD2247" s="19" t="s">
        <v>17233</v>
      </c>
      <c r="CE2247" s="23"/>
      <c r="CF2247" s="23"/>
      <c r="CG2247" s="23"/>
      <c r="CH2247" s="23"/>
      <c r="CI2247" s="23"/>
    </row>
    <row r="2248" spans="1:87" x14ac:dyDescent="0.3">
      <c r="A2248" s="9" t="s">
        <v>17234</v>
      </c>
      <c r="B2248" s="10" t="s">
        <v>17235</v>
      </c>
      <c r="C2248" s="11">
        <v>45948.90625</v>
      </c>
      <c r="D2248" s="12">
        <v>8.3333333333333329E-2</v>
      </c>
      <c r="E2248" s="11">
        <v>45948.989583333336</v>
      </c>
      <c r="F2248" s="10" t="s">
        <v>9129</v>
      </c>
      <c r="G2248" s="13" t="b">
        <v>0</v>
      </c>
      <c r="H2248" s="22" t="s">
        <v>9146</v>
      </c>
      <c r="I2248" s="10" t="s">
        <v>9131</v>
      </c>
      <c r="J2248" s="13" t="b">
        <v>0</v>
      </c>
      <c r="K2248" s="13" t="b">
        <v>1</v>
      </c>
      <c r="L2248" s="10" t="s">
        <v>124</v>
      </c>
      <c r="M2248" s="10" t="s">
        <v>91</v>
      </c>
      <c r="N2248" s="10" t="s">
        <v>265</v>
      </c>
      <c r="O2248" s="19" t="s">
        <v>17236</v>
      </c>
      <c r="P2248" s="10"/>
      <c r="Q2248" s="10" t="s">
        <v>126</v>
      </c>
      <c r="R2248" s="10"/>
      <c r="S2248" s="19" t="s">
        <v>17237</v>
      </c>
      <c r="T2248" s="10"/>
      <c r="U2248" s="10" t="s">
        <v>17238</v>
      </c>
      <c r="V2248" s="10" t="s">
        <v>9149</v>
      </c>
      <c r="W2248" s="10" t="s">
        <v>9136</v>
      </c>
      <c r="X2248" s="10" t="s">
        <v>130</v>
      </c>
      <c r="Y2248" s="10" t="s">
        <v>130</v>
      </c>
      <c r="Z2248" s="10" t="s">
        <v>99</v>
      </c>
      <c r="AA2248" s="10" t="s">
        <v>131</v>
      </c>
      <c r="AB2248" s="10" t="s">
        <v>9137</v>
      </c>
      <c r="AC2248" s="10" t="s">
        <v>9138</v>
      </c>
      <c r="AD2248" s="10" t="s">
        <v>17239</v>
      </c>
      <c r="AE2248" s="10" t="s">
        <v>17240</v>
      </c>
      <c r="AF2248" s="15"/>
      <c r="AG2248" s="10"/>
      <c r="AH2248" s="10"/>
      <c r="AI2248" s="10"/>
      <c r="AJ2248" s="10" t="s">
        <v>17241</v>
      </c>
      <c r="AK2248" s="10" t="s">
        <v>102</v>
      </c>
      <c r="AL2248" s="10" t="s">
        <v>167</v>
      </c>
      <c r="AM2248" s="10"/>
      <c r="AN2248" s="10"/>
      <c r="AO2248" s="13" t="b">
        <v>0</v>
      </c>
      <c r="AP2248" s="22" t="s">
        <v>104</v>
      </c>
      <c r="AQ2248" s="10">
        <f ca="1">IFERROR(__xludf.DUMMYFUNCTION("""COMPUTED_VALUE"""),4655167)</f>
        <v>4655167</v>
      </c>
      <c r="AR2248" s="17">
        <v>9792</v>
      </c>
      <c r="AS2248" s="17">
        <v>8880</v>
      </c>
      <c r="AT2248" s="17">
        <v>29576</v>
      </c>
      <c r="AU2248" s="17">
        <v>20.399999999999999</v>
      </c>
      <c r="AV2248" s="17">
        <v>3.15</v>
      </c>
      <c r="AW2248" s="10" t="s">
        <v>105</v>
      </c>
      <c r="AX2248" s="17">
        <v>1820</v>
      </c>
      <c r="AY2248" s="18">
        <v>3.3306306306306306</v>
      </c>
      <c r="AZ2248" s="10"/>
      <c r="BA2248" s="20" t="b">
        <v>0</v>
      </c>
      <c r="BB2248" s="10"/>
      <c r="BC2248" s="17">
        <v>9792</v>
      </c>
      <c r="BD2248" s="17">
        <v>8880</v>
      </c>
      <c r="BE2248" s="17">
        <v>29576</v>
      </c>
      <c r="BF2248" s="17">
        <v>3.15</v>
      </c>
      <c r="BG2248" s="11">
        <f ca="1">IFERROR(__xludf.DUMMYFUNCTION("""COMPUTED_VALUE"""),45948.90625)</f>
        <v>45948.90625</v>
      </c>
      <c r="BH2248" s="17" t="s">
        <v>105</v>
      </c>
      <c r="BI2248" s="17"/>
      <c r="BJ2248" s="15"/>
      <c r="BK2248" s="15"/>
      <c r="BL2248" s="13" t="b">
        <v>0</v>
      </c>
      <c r="BM2248" s="10"/>
      <c r="BN2248" s="10" t="s">
        <v>149</v>
      </c>
      <c r="BO2248" s="11">
        <v>45938.577777777777</v>
      </c>
      <c r="BP2248" s="11">
        <v>45945.518414351849</v>
      </c>
      <c r="BQ2248" s="15">
        <v>45946.652222222219</v>
      </c>
      <c r="BR2248" s="15">
        <v>45946.759548611109</v>
      </c>
      <c r="BS2248" s="10" t="s">
        <v>149</v>
      </c>
      <c r="BT2248" s="10" t="s">
        <v>99</v>
      </c>
      <c r="BU2248" s="10" t="s">
        <v>5046</v>
      </c>
      <c r="BV2248" s="10"/>
      <c r="BW2248" s="10"/>
      <c r="BX2248" s="10"/>
      <c r="BY2248" s="23"/>
      <c r="BZ2248" s="23"/>
      <c r="CA2248" s="19" t="s">
        <v>17242</v>
      </c>
      <c r="CB2248" s="23"/>
      <c r="CC2248" s="23"/>
      <c r="CD2248" s="19" t="s">
        <v>17243</v>
      </c>
      <c r="CE2248" s="23"/>
      <c r="CF2248" s="23"/>
      <c r="CG2248" s="23"/>
      <c r="CH2248" s="23"/>
      <c r="CI2248" s="23"/>
    </row>
    <row r="2249" spans="1:87" x14ac:dyDescent="0.3">
      <c r="A2249" s="9" t="s">
        <v>17244</v>
      </c>
      <c r="B2249" s="10" t="s">
        <v>17245</v>
      </c>
      <c r="C2249" s="11">
        <v>45950.041666666664</v>
      </c>
      <c r="D2249" s="12">
        <v>8.3333333333333329E-2</v>
      </c>
      <c r="E2249" s="11">
        <v>45950.125</v>
      </c>
      <c r="F2249" s="10" t="s">
        <v>9129</v>
      </c>
      <c r="G2249" s="13" t="b">
        <v>0</v>
      </c>
      <c r="H2249" s="22" t="s">
        <v>9130</v>
      </c>
      <c r="I2249" s="10" t="s">
        <v>9131</v>
      </c>
      <c r="J2249" s="13" t="b">
        <v>0</v>
      </c>
      <c r="K2249" s="13" t="b">
        <v>1</v>
      </c>
      <c r="L2249" s="10" t="s">
        <v>124</v>
      </c>
      <c r="M2249" s="10" t="s">
        <v>91</v>
      </c>
      <c r="N2249" s="10" t="s">
        <v>265</v>
      </c>
      <c r="O2249" s="19" t="s">
        <v>17246</v>
      </c>
      <c r="P2249" s="10"/>
      <c r="Q2249" s="10" t="s">
        <v>94</v>
      </c>
      <c r="R2249" s="10"/>
      <c r="S2249" s="19" t="s">
        <v>17247</v>
      </c>
      <c r="T2249" s="10"/>
      <c r="U2249" s="10" t="s">
        <v>14963</v>
      </c>
      <c r="V2249" s="10" t="s">
        <v>9150</v>
      </c>
      <c r="W2249" s="10" t="s">
        <v>9136</v>
      </c>
      <c r="X2249" s="10" t="s">
        <v>130</v>
      </c>
      <c r="Y2249" s="10" t="s">
        <v>130</v>
      </c>
      <c r="Z2249" s="10" t="s">
        <v>99</v>
      </c>
      <c r="AA2249" s="10" t="s">
        <v>131</v>
      </c>
      <c r="AB2249" s="10" t="s">
        <v>9137</v>
      </c>
      <c r="AC2249" s="10" t="s">
        <v>9138</v>
      </c>
      <c r="AD2249" s="10" t="s">
        <v>17248</v>
      </c>
      <c r="AE2249" s="10" t="s">
        <v>17249</v>
      </c>
      <c r="AF2249" s="15"/>
      <c r="AG2249" s="10"/>
      <c r="AH2249" s="10"/>
      <c r="AI2249" s="10"/>
      <c r="AJ2249" s="10"/>
      <c r="AK2249" s="10" t="s">
        <v>102</v>
      </c>
      <c r="AL2249" s="10" t="s">
        <v>167</v>
      </c>
      <c r="AM2249" s="10"/>
      <c r="AN2249" s="10"/>
      <c r="AO2249" s="13" t="b">
        <v>0</v>
      </c>
      <c r="AP2249" s="22" t="s">
        <v>104</v>
      </c>
      <c r="AQ2249" s="10">
        <f ca="1">IFERROR(__xludf.DUMMYFUNCTION("""COMPUTED_VALUE"""),4655725)</f>
        <v>4655725</v>
      </c>
      <c r="AR2249" s="17">
        <v>1643</v>
      </c>
      <c r="AS2249" s="17">
        <v>1451</v>
      </c>
      <c r="AT2249" s="17">
        <v>14436</v>
      </c>
      <c r="AU2249" s="17">
        <v>4.8</v>
      </c>
      <c r="AV2249" s="17">
        <v>0</v>
      </c>
      <c r="AW2249" s="10" t="s">
        <v>105</v>
      </c>
      <c r="AX2249" s="17">
        <v>280</v>
      </c>
      <c r="AY2249" s="18">
        <v>9.9490006891798757</v>
      </c>
      <c r="AZ2249" s="10"/>
      <c r="BA2249" s="20" t="b">
        <v>0</v>
      </c>
      <c r="BB2249" s="10"/>
      <c r="BC2249" s="17">
        <v>1643</v>
      </c>
      <c r="BD2249" s="17">
        <v>1451</v>
      </c>
      <c r="BE2249" s="17">
        <v>14436</v>
      </c>
      <c r="BF2249" s="17">
        <v>0</v>
      </c>
      <c r="BG2249" s="11">
        <f ca="1">IFERROR(__xludf.DUMMYFUNCTION("""COMPUTED_VALUE"""),45950.0416666666)</f>
        <v>45950.041666666599</v>
      </c>
      <c r="BH2249" s="17" t="s">
        <v>105</v>
      </c>
      <c r="BI2249" s="17"/>
      <c r="BJ2249" s="15"/>
      <c r="BK2249" s="15"/>
      <c r="BL2249" s="13" t="b">
        <v>0</v>
      </c>
      <c r="BM2249" s="10"/>
      <c r="BN2249" s="10" t="s">
        <v>1149</v>
      </c>
      <c r="BO2249" s="11">
        <v>45938.579861111109</v>
      </c>
      <c r="BP2249" s="11">
        <v>45938.579918981479</v>
      </c>
      <c r="BQ2249" s="15">
        <v>45946.652291666665</v>
      </c>
      <c r="BR2249" s="15">
        <v>45947.409687500003</v>
      </c>
      <c r="BS2249" s="10" t="s">
        <v>1149</v>
      </c>
      <c r="BT2249" s="10" t="s">
        <v>99</v>
      </c>
      <c r="BU2249" s="10" t="s">
        <v>6753</v>
      </c>
      <c r="BV2249" s="10"/>
      <c r="BW2249" s="10"/>
      <c r="BX2249" s="10"/>
      <c r="BY2249" s="23"/>
      <c r="BZ2249" s="23"/>
      <c r="CA2249" s="19" t="s">
        <v>17250</v>
      </c>
      <c r="CB2249" s="23"/>
      <c r="CC2249" s="23"/>
      <c r="CD2249" s="23"/>
      <c r="CE2249" s="23"/>
      <c r="CF2249" s="23"/>
      <c r="CG2249" s="23"/>
      <c r="CH2249" s="23"/>
      <c r="CI2249" s="23"/>
    </row>
    <row r="2250" spans="1:87" x14ac:dyDescent="0.3">
      <c r="A2250" s="9" t="s">
        <v>17251</v>
      </c>
      <c r="B2250" s="10" t="s">
        <v>17252</v>
      </c>
      <c r="C2250" s="11">
        <v>45948.791666666664</v>
      </c>
      <c r="D2250" s="12">
        <v>0.14583333333333334</v>
      </c>
      <c r="E2250" s="11">
        <v>45948.9375</v>
      </c>
      <c r="F2250" s="10" t="s">
        <v>8402</v>
      </c>
      <c r="G2250" s="13" t="b">
        <v>0</v>
      </c>
      <c r="H2250" s="22" t="s">
        <v>8403</v>
      </c>
      <c r="I2250" s="10" t="s">
        <v>212</v>
      </c>
      <c r="J2250" s="13" t="b">
        <v>1</v>
      </c>
      <c r="K2250" s="13" t="b">
        <v>0</v>
      </c>
      <c r="L2250" s="10" t="s">
        <v>124</v>
      </c>
      <c r="M2250" s="10" t="s">
        <v>91</v>
      </c>
      <c r="N2250" s="10" t="s">
        <v>92</v>
      </c>
      <c r="O2250" s="19" t="s">
        <v>17253</v>
      </c>
      <c r="P2250" s="10"/>
      <c r="Q2250" s="10" t="s">
        <v>126</v>
      </c>
      <c r="R2250" s="19" t="s">
        <v>17254</v>
      </c>
      <c r="S2250" s="19" t="s">
        <v>17255</v>
      </c>
      <c r="T2250" s="10"/>
      <c r="U2250" s="10"/>
      <c r="V2250" s="10"/>
      <c r="W2250" s="10" t="s">
        <v>8407</v>
      </c>
      <c r="X2250" s="10" t="s">
        <v>8408</v>
      </c>
      <c r="Y2250" s="10" t="s">
        <v>8409</v>
      </c>
      <c r="Z2250" s="10" t="s">
        <v>99</v>
      </c>
      <c r="AA2250" s="10" t="s">
        <v>100</v>
      </c>
      <c r="AB2250" s="10" t="s">
        <v>8410</v>
      </c>
      <c r="AC2250" s="10"/>
      <c r="AD2250" s="10" t="s">
        <v>165</v>
      </c>
      <c r="AE2250" s="10" t="s">
        <v>17256</v>
      </c>
      <c r="AF2250" s="15"/>
      <c r="AG2250" s="10"/>
      <c r="AH2250" s="10"/>
      <c r="AI2250" s="10"/>
      <c r="AJ2250" s="10"/>
      <c r="AK2250" s="10" t="s">
        <v>102</v>
      </c>
      <c r="AL2250" s="10"/>
      <c r="AM2250" s="10"/>
      <c r="AN2250" s="10"/>
      <c r="AO2250" s="13" t="b">
        <v>0</v>
      </c>
      <c r="AP2250" s="22"/>
      <c r="AQ2250" s="10">
        <f ca="1">IFERROR(__xludf.DUMMYFUNCTION("""COMPUTED_VALUE"""),4653334)</f>
        <v>4653334</v>
      </c>
      <c r="AR2250" s="17">
        <v>4558</v>
      </c>
      <c r="AS2250" s="17">
        <v>3122</v>
      </c>
      <c r="AT2250" s="17">
        <v>40144.75</v>
      </c>
      <c r="AU2250" s="17">
        <v>7.5</v>
      </c>
      <c r="AV2250" s="17">
        <v>0.5</v>
      </c>
      <c r="AW2250" s="10" t="s">
        <v>105</v>
      </c>
      <c r="AX2250" s="17">
        <v>546</v>
      </c>
      <c r="AY2250" s="18">
        <v>12.858664317745035</v>
      </c>
      <c r="AZ2250" s="10" t="s">
        <v>3783</v>
      </c>
      <c r="BA2250" s="20" t="b">
        <v>0</v>
      </c>
      <c r="BB2250" s="10"/>
      <c r="BC2250" s="17">
        <v>4558</v>
      </c>
      <c r="BD2250" s="17">
        <v>3122</v>
      </c>
      <c r="BE2250" s="17">
        <v>40144.75</v>
      </c>
      <c r="BF2250" s="17">
        <v>0.5</v>
      </c>
      <c r="BG2250" s="11">
        <f ca="1">IFERROR(__xludf.DUMMYFUNCTION("""COMPUTED_VALUE"""),45948.7916666666)</f>
        <v>45948.791666666599</v>
      </c>
      <c r="BH2250" s="17" t="s">
        <v>105</v>
      </c>
      <c r="BI2250" s="17"/>
      <c r="BJ2250" s="15"/>
      <c r="BK2250" s="15"/>
      <c r="BL2250" s="13" t="b">
        <v>0</v>
      </c>
      <c r="BM2250" s="10"/>
      <c r="BN2250" s="10" t="s">
        <v>118</v>
      </c>
      <c r="BO2250" s="11">
        <v>45938.699305555558</v>
      </c>
      <c r="BP2250" s="11">
        <v>45944.506956018522</v>
      </c>
      <c r="BQ2250" s="15">
        <v>45945.601018518515</v>
      </c>
      <c r="BR2250" s="15">
        <v>45945.654953703706</v>
      </c>
      <c r="BS2250" s="10" t="s">
        <v>118</v>
      </c>
      <c r="BT2250" s="10"/>
      <c r="BU2250" s="10"/>
      <c r="BV2250" s="10" t="s">
        <v>4315</v>
      </c>
      <c r="BW2250" s="10" t="s">
        <v>17257</v>
      </c>
      <c r="BX2250" s="19" t="s">
        <v>17258</v>
      </c>
      <c r="BY2250" s="23"/>
      <c r="BZ2250" s="23"/>
      <c r="CA2250" s="19" t="s">
        <v>17259</v>
      </c>
      <c r="CB2250" s="23"/>
      <c r="CC2250" s="23"/>
      <c r="CD2250" s="19" t="s">
        <v>17260</v>
      </c>
      <c r="CE2250" s="23"/>
      <c r="CF2250" s="23"/>
      <c r="CG2250" s="23"/>
      <c r="CH2250" s="23"/>
      <c r="CI2250" s="23"/>
    </row>
    <row r="2251" spans="1:87" x14ac:dyDescent="0.3">
      <c r="A2251" s="9" t="s">
        <v>17261</v>
      </c>
      <c r="B2251" s="10" t="s">
        <v>17262</v>
      </c>
      <c r="C2251" s="11">
        <v>45952.708333333336</v>
      </c>
      <c r="D2251" s="12">
        <v>8.3333333333333329E-2</v>
      </c>
      <c r="E2251" s="11">
        <v>45952.791666666664</v>
      </c>
      <c r="F2251" s="10" t="s">
        <v>16311</v>
      </c>
      <c r="G2251" s="13" t="b">
        <v>0</v>
      </c>
      <c r="H2251" s="22" t="s">
        <v>16312</v>
      </c>
      <c r="I2251" s="10" t="s">
        <v>212</v>
      </c>
      <c r="J2251" s="13" t="b">
        <v>1</v>
      </c>
      <c r="K2251" s="13" t="b">
        <v>0</v>
      </c>
      <c r="L2251" s="10" t="s">
        <v>124</v>
      </c>
      <c r="M2251" s="10" t="s">
        <v>91</v>
      </c>
      <c r="N2251" s="10" t="s">
        <v>92</v>
      </c>
      <c r="O2251" s="19" t="s">
        <v>17263</v>
      </c>
      <c r="P2251" s="10"/>
      <c r="Q2251" s="10" t="s">
        <v>126</v>
      </c>
      <c r="R2251" s="10"/>
      <c r="S2251" s="19" t="s">
        <v>17264</v>
      </c>
      <c r="T2251" s="10"/>
      <c r="U2251" s="10" t="s">
        <v>16329</v>
      </c>
      <c r="V2251" s="10" t="s">
        <v>17265</v>
      </c>
      <c r="W2251" s="10" t="s">
        <v>16317</v>
      </c>
      <c r="X2251" s="10" t="s">
        <v>16318</v>
      </c>
      <c r="Y2251" s="10" t="s">
        <v>16318</v>
      </c>
      <c r="Z2251" s="10" t="s">
        <v>99</v>
      </c>
      <c r="AA2251" s="10" t="s">
        <v>131</v>
      </c>
      <c r="AB2251" s="10" t="s">
        <v>16319</v>
      </c>
      <c r="AC2251" s="10"/>
      <c r="AD2251" s="10" t="s">
        <v>17266</v>
      </c>
      <c r="AE2251" s="10" t="s">
        <v>17267</v>
      </c>
      <c r="AF2251" s="15"/>
      <c r="AG2251" s="10"/>
      <c r="AH2251" s="10"/>
      <c r="AI2251" s="10"/>
      <c r="AJ2251" s="10"/>
      <c r="AK2251" s="10" t="s">
        <v>102</v>
      </c>
      <c r="AL2251" s="10" t="s">
        <v>116</v>
      </c>
      <c r="AM2251" s="10"/>
      <c r="AN2251" s="10"/>
      <c r="AO2251" s="13" t="b">
        <v>0</v>
      </c>
      <c r="AP2251" s="22" t="s">
        <v>104</v>
      </c>
      <c r="AQ2251" s="10">
        <f ca="1">IFERROR(__xludf.DUMMYFUNCTION("""COMPUTED_VALUE"""),4660164)</f>
        <v>4660164</v>
      </c>
      <c r="AR2251" s="17">
        <v>3021</v>
      </c>
      <c r="AS2251" s="17">
        <v>2603</v>
      </c>
      <c r="AT2251" s="17">
        <v>7506.75</v>
      </c>
      <c r="AU2251" s="17">
        <v>0.6</v>
      </c>
      <c r="AV2251" s="17">
        <v>0</v>
      </c>
      <c r="AW2251" s="10" t="s">
        <v>105</v>
      </c>
      <c r="AX2251" s="17">
        <v>221</v>
      </c>
      <c r="AY2251" s="18">
        <v>2.8838839800230502</v>
      </c>
      <c r="AZ2251" s="10" t="s">
        <v>117</v>
      </c>
      <c r="BA2251" s="20" t="b">
        <v>0</v>
      </c>
      <c r="BB2251" s="10"/>
      <c r="BC2251" s="17">
        <v>3021</v>
      </c>
      <c r="BD2251" s="17">
        <v>2603</v>
      </c>
      <c r="BE2251" s="17">
        <v>7506.75</v>
      </c>
      <c r="BF2251" s="17">
        <v>0</v>
      </c>
      <c r="BG2251" s="11">
        <f ca="1">IFERROR(__xludf.DUMMYFUNCTION("""COMPUTED_VALUE"""),45952.7083333333)</f>
        <v>45952.708333333299</v>
      </c>
      <c r="BH2251" s="17" t="s">
        <v>105</v>
      </c>
      <c r="BI2251" s="17"/>
      <c r="BJ2251" s="15"/>
      <c r="BK2251" s="15"/>
      <c r="BL2251" s="13" t="b">
        <v>0</v>
      </c>
      <c r="BM2251" s="10"/>
      <c r="BN2251" s="10" t="s">
        <v>118</v>
      </c>
      <c r="BO2251" s="11">
        <v>45938.707638888889</v>
      </c>
      <c r="BP2251" s="11">
        <v>45938.708229166667</v>
      </c>
      <c r="BQ2251" s="15">
        <v>45948.372337962966</v>
      </c>
      <c r="BR2251" s="15">
        <v>45949.427152777775</v>
      </c>
      <c r="BS2251" s="10" t="s">
        <v>118</v>
      </c>
      <c r="BT2251" s="10"/>
      <c r="BU2251" s="10"/>
      <c r="BV2251" s="10"/>
      <c r="BW2251" s="10"/>
      <c r="BX2251" s="10"/>
      <c r="BY2251" s="23"/>
      <c r="BZ2251" s="23"/>
      <c r="CA2251" s="19" t="s">
        <v>17268</v>
      </c>
      <c r="CB2251" s="23"/>
      <c r="CC2251" s="23"/>
      <c r="CD2251" s="19" t="s">
        <v>17269</v>
      </c>
      <c r="CE2251" s="23"/>
      <c r="CF2251" s="23"/>
      <c r="CG2251" s="23"/>
      <c r="CH2251" s="23"/>
      <c r="CI2251" s="23"/>
    </row>
    <row r="2252" spans="1:87" x14ac:dyDescent="0.3">
      <c r="A2252" s="9" t="s">
        <v>17270</v>
      </c>
      <c r="B2252" s="10" t="s">
        <v>17271</v>
      </c>
      <c r="C2252" s="11">
        <v>45952.704861111109</v>
      </c>
      <c r="D2252" s="12">
        <v>8.3333333333333329E-2</v>
      </c>
      <c r="E2252" s="11">
        <v>45952.788194444445</v>
      </c>
      <c r="F2252" s="10" t="s">
        <v>16311</v>
      </c>
      <c r="G2252" s="13" t="b">
        <v>0</v>
      </c>
      <c r="H2252" s="22" t="s">
        <v>16312</v>
      </c>
      <c r="I2252" s="10" t="s">
        <v>212</v>
      </c>
      <c r="J2252" s="13" t="b">
        <v>1</v>
      </c>
      <c r="K2252" s="13" t="b">
        <v>0</v>
      </c>
      <c r="L2252" s="10" t="s">
        <v>124</v>
      </c>
      <c r="M2252" s="10" t="s">
        <v>91</v>
      </c>
      <c r="N2252" s="10" t="s">
        <v>92</v>
      </c>
      <c r="O2252" s="19" t="s">
        <v>17272</v>
      </c>
      <c r="P2252" s="10"/>
      <c r="Q2252" s="10" t="s">
        <v>126</v>
      </c>
      <c r="R2252" s="10"/>
      <c r="S2252" s="19" t="s">
        <v>17273</v>
      </c>
      <c r="T2252" s="10"/>
      <c r="U2252" s="10" t="s">
        <v>16339</v>
      </c>
      <c r="V2252" s="10" t="s">
        <v>17274</v>
      </c>
      <c r="W2252" s="10" t="s">
        <v>16317</v>
      </c>
      <c r="X2252" s="10" t="s">
        <v>16318</v>
      </c>
      <c r="Y2252" s="10" t="s">
        <v>16318</v>
      </c>
      <c r="Z2252" s="10" t="s">
        <v>99</v>
      </c>
      <c r="AA2252" s="10" t="s">
        <v>131</v>
      </c>
      <c r="AB2252" s="10" t="s">
        <v>16319</v>
      </c>
      <c r="AC2252" s="10"/>
      <c r="AD2252" s="10" t="s">
        <v>17275</v>
      </c>
      <c r="AE2252" s="10" t="s">
        <v>17276</v>
      </c>
      <c r="AF2252" s="15"/>
      <c r="AG2252" s="10"/>
      <c r="AH2252" s="10"/>
      <c r="AI2252" s="10"/>
      <c r="AJ2252" s="10"/>
      <c r="AK2252" s="10" t="s">
        <v>102</v>
      </c>
      <c r="AL2252" s="10" t="s">
        <v>116</v>
      </c>
      <c r="AM2252" s="10"/>
      <c r="AN2252" s="10"/>
      <c r="AO2252" s="13" t="b">
        <v>0</v>
      </c>
      <c r="AP2252" s="22" t="s">
        <v>104</v>
      </c>
      <c r="AQ2252" s="10">
        <f ca="1">IFERROR(__xludf.DUMMYFUNCTION("""COMPUTED_VALUE"""),4660162)</f>
        <v>4660162</v>
      </c>
      <c r="AR2252" s="17">
        <v>4071</v>
      </c>
      <c r="AS2252" s="17">
        <v>3531</v>
      </c>
      <c r="AT2252" s="17">
        <v>12938.75</v>
      </c>
      <c r="AU2252" s="17">
        <v>2.1</v>
      </c>
      <c r="AV2252" s="17">
        <v>0</v>
      </c>
      <c r="AW2252" s="10" t="s">
        <v>105</v>
      </c>
      <c r="AX2252" s="17">
        <v>359</v>
      </c>
      <c r="AY2252" s="18">
        <v>3.6643302180685358</v>
      </c>
      <c r="AZ2252" s="10" t="s">
        <v>117</v>
      </c>
      <c r="BA2252" s="20" t="b">
        <v>0</v>
      </c>
      <c r="BB2252" s="10"/>
      <c r="BC2252" s="17">
        <v>4071</v>
      </c>
      <c r="BD2252" s="17">
        <v>3531</v>
      </c>
      <c r="BE2252" s="17">
        <v>12938.75</v>
      </c>
      <c r="BF2252" s="17">
        <v>0</v>
      </c>
      <c r="BG2252" s="11">
        <f ca="1">IFERROR(__xludf.DUMMYFUNCTION("""COMPUTED_VALUE"""),45952.7048611111)</f>
        <v>45952.704861111102</v>
      </c>
      <c r="BH2252" s="17" t="s">
        <v>105</v>
      </c>
      <c r="BI2252" s="17"/>
      <c r="BJ2252" s="15"/>
      <c r="BK2252" s="15"/>
      <c r="BL2252" s="13" t="b">
        <v>0</v>
      </c>
      <c r="BM2252" s="10" t="s">
        <v>107</v>
      </c>
      <c r="BN2252" s="10" t="s">
        <v>8437</v>
      </c>
      <c r="BO2252" s="11">
        <v>45938.711111111108</v>
      </c>
      <c r="BP2252" s="11">
        <v>45951.558900462966</v>
      </c>
      <c r="BQ2252" s="15">
        <v>45948.372002314813</v>
      </c>
      <c r="BR2252" s="15">
        <v>45949.427025462966</v>
      </c>
      <c r="BS2252" s="10"/>
      <c r="BT2252" s="10"/>
      <c r="BU2252" s="10"/>
      <c r="BV2252" s="10"/>
      <c r="BW2252" s="10"/>
      <c r="BX2252" s="10"/>
      <c r="BY2252" s="23"/>
      <c r="BZ2252" s="23"/>
      <c r="CA2252" s="19" t="s">
        <v>17277</v>
      </c>
      <c r="CB2252" s="23"/>
      <c r="CC2252" s="23"/>
      <c r="CD2252" s="19" t="s">
        <v>17278</v>
      </c>
      <c r="CE2252" s="23"/>
      <c r="CF2252" s="23"/>
      <c r="CG2252" s="23"/>
      <c r="CH2252" s="23"/>
      <c r="CI2252" s="23"/>
    </row>
    <row r="2253" spans="1:87" x14ac:dyDescent="0.3">
      <c r="A2253" s="9" t="s">
        <v>17279</v>
      </c>
      <c r="B2253" s="10" t="s">
        <v>17280</v>
      </c>
      <c r="C2253" s="11">
        <v>45952.75</v>
      </c>
      <c r="D2253" s="12">
        <v>8.3333333333333329E-2</v>
      </c>
      <c r="E2253" s="11">
        <v>45952.833333333336</v>
      </c>
      <c r="F2253" s="10" t="s">
        <v>16311</v>
      </c>
      <c r="G2253" s="13" t="b">
        <v>0</v>
      </c>
      <c r="H2253" s="22" t="s">
        <v>16312</v>
      </c>
      <c r="I2253" s="10" t="s">
        <v>212</v>
      </c>
      <c r="J2253" s="13" t="b">
        <v>1</v>
      </c>
      <c r="K2253" s="13" t="b">
        <v>0</v>
      </c>
      <c r="L2253" s="10" t="s">
        <v>124</v>
      </c>
      <c r="M2253" s="10" t="s">
        <v>91</v>
      </c>
      <c r="N2253" s="10" t="s">
        <v>92</v>
      </c>
      <c r="O2253" s="19" t="s">
        <v>17281</v>
      </c>
      <c r="P2253" s="10"/>
      <c r="Q2253" s="10" t="s">
        <v>126</v>
      </c>
      <c r="R2253" s="10"/>
      <c r="S2253" s="19" t="s">
        <v>17282</v>
      </c>
      <c r="T2253" s="10"/>
      <c r="U2253" s="10" t="s">
        <v>17283</v>
      </c>
      <c r="V2253" s="10" t="s">
        <v>16315</v>
      </c>
      <c r="W2253" s="10" t="s">
        <v>16317</v>
      </c>
      <c r="X2253" s="10" t="s">
        <v>16318</v>
      </c>
      <c r="Y2253" s="10" t="s">
        <v>16318</v>
      </c>
      <c r="Z2253" s="10" t="s">
        <v>99</v>
      </c>
      <c r="AA2253" s="10" t="s">
        <v>131</v>
      </c>
      <c r="AB2253" s="10" t="s">
        <v>16319</v>
      </c>
      <c r="AC2253" s="10"/>
      <c r="AD2253" s="10" t="s">
        <v>17284</v>
      </c>
      <c r="AE2253" s="10" t="s">
        <v>17285</v>
      </c>
      <c r="AF2253" s="15"/>
      <c r="AG2253" s="10"/>
      <c r="AH2253" s="10"/>
      <c r="AI2253" s="10"/>
      <c r="AJ2253" s="10"/>
      <c r="AK2253" s="10" t="s">
        <v>102</v>
      </c>
      <c r="AL2253" s="10" t="s">
        <v>116</v>
      </c>
      <c r="AM2253" s="10"/>
      <c r="AN2253" s="10"/>
      <c r="AO2253" s="13" t="b">
        <v>0</v>
      </c>
      <c r="AP2253" s="22" t="s">
        <v>104</v>
      </c>
      <c r="AQ2253" s="10">
        <f ca="1">IFERROR(__xludf.DUMMYFUNCTION("""COMPUTED_VALUE"""),4660166)</f>
        <v>4660166</v>
      </c>
      <c r="AR2253" s="17">
        <v>2400</v>
      </c>
      <c r="AS2253" s="17">
        <v>2105</v>
      </c>
      <c r="AT2253" s="17">
        <v>7336.5</v>
      </c>
      <c r="AU2253" s="17">
        <v>3.05</v>
      </c>
      <c r="AV2253" s="17">
        <v>0.85</v>
      </c>
      <c r="AW2253" s="10" t="s">
        <v>105</v>
      </c>
      <c r="AX2253" s="17">
        <v>203</v>
      </c>
      <c r="AY2253" s="18">
        <v>3.4852731591448931</v>
      </c>
      <c r="AZ2253" s="10" t="s">
        <v>117</v>
      </c>
      <c r="BA2253" s="20" t="b">
        <v>0</v>
      </c>
      <c r="BB2253" s="10"/>
      <c r="BC2253" s="17">
        <v>2400</v>
      </c>
      <c r="BD2253" s="17">
        <v>2105</v>
      </c>
      <c r="BE2253" s="17">
        <v>7336.5</v>
      </c>
      <c r="BF2253" s="17">
        <v>0.85</v>
      </c>
      <c r="BG2253" s="11">
        <f ca="1">IFERROR(__xludf.DUMMYFUNCTION("""COMPUTED_VALUE"""),45952.75)</f>
        <v>45952.75</v>
      </c>
      <c r="BH2253" s="17" t="s">
        <v>105</v>
      </c>
      <c r="BI2253" s="17"/>
      <c r="BJ2253" s="15"/>
      <c r="BK2253" s="15"/>
      <c r="BL2253" s="13" t="b">
        <v>0</v>
      </c>
      <c r="BM2253" s="10"/>
      <c r="BN2253" s="10" t="s">
        <v>118</v>
      </c>
      <c r="BO2253" s="11">
        <v>45938.711111111108</v>
      </c>
      <c r="BP2253" s="11">
        <v>45938.711736111109</v>
      </c>
      <c r="BQ2253" s="15">
        <v>45948.372523148151</v>
      </c>
      <c r="BR2253" s="15">
        <v>45949.427303240744</v>
      </c>
      <c r="BS2253" s="10" t="s">
        <v>118</v>
      </c>
      <c r="BT2253" s="10"/>
      <c r="BU2253" s="10"/>
      <c r="BV2253" s="10"/>
      <c r="BW2253" s="10"/>
      <c r="BX2253" s="10"/>
      <c r="BY2253" s="23"/>
      <c r="BZ2253" s="23"/>
      <c r="CA2253" s="19" t="s">
        <v>17286</v>
      </c>
      <c r="CB2253" s="23"/>
      <c r="CC2253" s="23"/>
      <c r="CD2253" s="19" t="s">
        <v>17287</v>
      </c>
      <c r="CE2253" s="23"/>
      <c r="CF2253" s="23"/>
      <c r="CG2253" s="23"/>
      <c r="CH2253" s="23"/>
      <c r="CI2253" s="23"/>
    </row>
    <row r="2254" spans="1:87" x14ac:dyDescent="0.3">
      <c r="A2254" s="9" t="s">
        <v>17288</v>
      </c>
      <c r="B2254" s="10" t="s">
        <v>17289</v>
      </c>
      <c r="C2254" s="11">
        <v>45947.302083333336</v>
      </c>
      <c r="D2254" s="12">
        <v>0.14583333333333334</v>
      </c>
      <c r="E2254" s="11">
        <v>45947.447916666664</v>
      </c>
      <c r="F2254" s="10" t="s">
        <v>15270</v>
      </c>
      <c r="G2254" s="13" t="b">
        <v>0</v>
      </c>
      <c r="H2254" s="22" t="s">
        <v>15271</v>
      </c>
      <c r="I2254" s="10" t="s">
        <v>3213</v>
      </c>
      <c r="J2254" s="13" t="b">
        <v>0</v>
      </c>
      <c r="K2254" s="13" t="b">
        <v>1</v>
      </c>
      <c r="L2254" s="10" t="s">
        <v>124</v>
      </c>
      <c r="M2254" s="10" t="s">
        <v>91</v>
      </c>
      <c r="N2254" s="10" t="s">
        <v>92</v>
      </c>
      <c r="O2254" s="19" t="s">
        <v>17290</v>
      </c>
      <c r="P2254" s="10" t="s">
        <v>3215</v>
      </c>
      <c r="Q2254" s="10" t="s">
        <v>126</v>
      </c>
      <c r="R2254" s="10"/>
      <c r="S2254" s="19" t="s">
        <v>17291</v>
      </c>
      <c r="T2254" s="10"/>
      <c r="U2254" s="10" t="s">
        <v>16017</v>
      </c>
      <c r="V2254" s="10" t="s">
        <v>15490</v>
      </c>
      <c r="W2254" s="10" t="s">
        <v>15276</v>
      </c>
      <c r="X2254" s="10" t="s">
        <v>15277</v>
      </c>
      <c r="Y2254" s="10" t="s">
        <v>15277</v>
      </c>
      <c r="Z2254" s="10" t="s">
        <v>99</v>
      </c>
      <c r="AA2254" s="10" t="s">
        <v>131</v>
      </c>
      <c r="AB2254" s="10" t="s">
        <v>15278</v>
      </c>
      <c r="AC2254" s="10" t="s">
        <v>15279</v>
      </c>
      <c r="AD2254" s="10" t="s">
        <v>165</v>
      </c>
      <c r="AE2254" s="10" t="s">
        <v>17292</v>
      </c>
      <c r="AF2254" s="15"/>
      <c r="AG2254" s="10"/>
      <c r="AH2254" s="10"/>
      <c r="AI2254" s="10"/>
      <c r="AJ2254" s="10"/>
      <c r="AK2254" s="10" t="s">
        <v>102</v>
      </c>
      <c r="AL2254" s="10" t="s">
        <v>184</v>
      </c>
      <c r="AM2254" s="10"/>
      <c r="AN2254" s="10"/>
      <c r="AO2254" s="13" t="b">
        <v>0</v>
      </c>
      <c r="AP2254" s="22" t="s">
        <v>104</v>
      </c>
      <c r="AQ2254" s="10">
        <f ca="1">IFERROR(__xludf.DUMMYFUNCTION("""COMPUTED_VALUE"""),4651618)</f>
        <v>4651618</v>
      </c>
      <c r="AR2254" s="17">
        <v>3012</v>
      </c>
      <c r="AS2254" s="17">
        <v>2148</v>
      </c>
      <c r="AT2254" s="17">
        <v>54429.75</v>
      </c>
      <c r="AU2254" s="17">
        <v>10.5</v>
      </c>
      <c r="AV2254" s="17">
        <v>1.65</v>
      </c>
      <c r="AW2254" s="10" t="s">
        <v>105</v>
      </c>
      <c r="AX2254" s="17">
        <v>463</v>
      </c>
      <c r="AY2254" s="18">
        <v>25.339734636871508</v>
      </c>
      <c r="AZ2254" s="10"/>
      <c r="BA2254" s="20" t="b">
        <v>0</v>
      </c>
      <c r="BB2254" s="10"/>
      <c r="BC2254" s="17">
        <v>3012</v>
      </c>
      <c r="BD2254" s="17">
        <v>2148</v>
      </c>
      <c r="BE2254" s="17">
        <v>54429.75</v>
      </c>
      <c r="BF2254" s="17">
        <v>1.65</v>
      </c>
      <c r="BG2254" s="11">
        <f ca="1">IFERROR(__xludf.DUMMYFUNCTION("""COMPUTED_VALUE"""),45947.3020833333)</f>
        <v>45947.302083333299</v>
      </c>
      <c r="BH2254" s="17" t="s">
        <v>105</v>
      </c>
      <c r="BI2254" s="17"/>
      <c r="BJ2254" s="15"/>
      <c r="BK2254" s="15"/>
      <c r="BL2254" s="13" t="b">
        <v>0</v>
      </c>
      <c r="BM2254" s="10"/>
      <c r="BN2254" s="10" t="s">
        <v>118</v>
      </c>
      <c r="BO2254" s="11">
        <v>45939.683333333334</v>
      </c>
      <c r="BP2254" s="11">
        <v>45939.68378472222</v>
      </c>
      <c r="BQ2254" s="15">
        <v>45943.530613425923</v>
      </c>
      <c r="BR2254" s="15">
        <v>45944.526076388887</v>
      </c>
      <c r="BS2254" s="10" t="s">
        <v>118</v>
      </c>
      <c r="BT2254" s="10"/>
      <c r="BU2254" s="10"/>
      <c r="BV2254" s="10"/>
      <c r="BW2254" s="10"/>
      <c r="BX2254" s="10"/>
      <c r="BY2254" s="23"/>
      <c r="BZ2254" s="23"/>
      <c r="CA2254" s="19" t="s">
        <v>17293</v>
      </c>
      <c r="CB2254" s="23"/>
      <c r="CC2254" s="23"/>
      <c r="CD2254" s="19" t="s">
        <v>17294</v>
      </c>
      <c r="CE2254" s="23"/>
      <c r="CF2254" s="23"/>
      <c r="CG2254" s="23"/>
      <c r="CH2254" s="23"/>
      <c r="CI2254" s="23"/>
    </row>
    <row r="2255" spans="1:87" x14ac:dyDescent="0.3">
      <c r="A2255" s="9" t="s">
        <v>17295</v>
      </c>
      <c r="B2255" s="10" t="s">
        <v>17296</v>
      </c>
      <c r="C2255" s="11">
        <v>45950</v>
      </c>
      <c r="D2255" s="12">
        <v>0.1423611111111111</v>
      </c>
      <c r="E2255" s="11">
        <v>45950.142361111109</v>
      </c>
      <c r="F2255" s="10" t="s">
        <v>15270</v>
      </c>
      <c r="G2255" s="13" t="b">
        <v>0</v>
      </c>
      <c r="H2255" s="22" t="s">
        <v>15271</v>
      </c>
      <c r="I2255" s="10" t="s">
        <v>3213</v>
      </c>
      <c r="J2255" s="13" t="b">
        <v>0</v>
      </c>
      <c r="K2255" s="13" t="b">
        <v>1</v>
      </c>
      <c r="L2255" s="10" t="s">
        <v>124</v>
      </c>
      <c r="M2255" s="10" t="s">
        <v>91</v>
      </c>
      <c r="N2255" s="10" t="s">
        <v>92</v>
      </c>
      <c r="O2255" s="19" t="s">
        <v>17297</v>
      </c>
      <c r="P2255" s="10" t="s">
        <v>88</v>
      </c>
      <c r="Q2255" s="10" t="s">
        <v>126</v>
      </c>
      <c r="R2255" s="10"/>
      <c r="S2255" s="19" t="s">
        <v>17298</v>
      </c>
      <c r="T2255" s="10"/>
      <c r="U2255" s="10" t="s">
        <v>15307</v>
      </c>
      <c r="V2255" s="10" t="s">
        <v>15299</v>
      </c>
      <c r="W2255" s="10" t="s">
        <v>15276</v>
      </c>
      <c r="X2255" s="10" t="s">
        <v>15277</v>
      </c>
      <c r="Y2255" s="10" t="s">
        <v>15277</v>
      </c>
      <c r="Z2255" s="10" t="s">
        <v>99</v>
      </c>
      <c r="AA2255" s="10" t="s">
        <v>131</v>
      </c>
      <c r="AB2255" s="10" t="s">
        <v>15278</v>
      </c>
      <c r="AC2255" s="10" t="s">
        <v>15279</v>
      </c>
      <c r="AD2255" s="10" t="s">
        <v>165</v>
      </c>
      <c r="AE2255" s="10" t="s">
        <v>17299</v>
      </c>
      <c r="AF2255" s="15"/>
      <c r="AG2255" s="10"/>
      <c r="AH2255" s="10"/>
      <c r="AI2255" s="10"/>
      <c r="AJ2255" s="10"/>
      <c r="AK2255" s="10" t="s">
        <v>102</v>
      </c>
      <c r="AL2255" s="10" t="s">
        <v>184</v>
      </c>
      <c r="AM2255" s="10"/>
      <c r="AN2255" s="10"/>
      <c r="AO2255" s="13" t="b">
        <v>0</v>
      </c>
      <c r="AP2255" s="22" t="s">
        <v>104</v>
      </c>
      <c r="AQ2255" s="10">
        <f ca="1">IFERROR(__xludf.DUMMYFUNCTION("""COMPUTED_VALUE"""),4659899)</f>
        <v>4659899</v>
      </c>
      <c r="AR2255" s="17">
        <v>3043</v>
      </c>
      <c r="AS2255" s="17">
        <v>2520</v>
      </c>
      <c r="AT2255" s="17">
        <v>43348</v>
      </c>
      <c r="AU2255" s="17">
        <v>1.35</v>
      </c>
      <c r="AV2255" s="17">
        <v>0</v>
      </c>
      <c r="AW2255" s="10" t="s">
        <v>105</v>
      </c>
      <c r="AX2255" s="17">
        <v>469</v>
      </c>
      <c r="AY2255" s="18">
        <v>17.201587301587303</v>
      </c>
      <c r="AZ2255" s="10" t="s">
        <v>185</v>
      </c>
      <c r="BA2255" s="20" t="b">
        <v>0</v>
      </c>
      <c r="BB2255" s="10"/>
      <c r="BC2255" s="17">
        <v>3043</v>
      </c>
      <c r="BD2255" s="17">
        <v>2520</v>
      </c>
      <c r="BE2255" s="17">
        <v>43348</v>
      </c>
      <c r="BF2255" s="17">
        <v>0</v>
      </c>
      <c r="BG2255" s="11">
        <f ca="1">IFERROR(__xludf.DUMMYFUNCTION("""COMPUTED_VALUE"""),45950)</f>
        <v>45950</v>
      </c>
      <c r="BH2255" s="17" t="s">
        <v>105</v>
      </c>
      <c r="BI2255" s="17"/>
      <c r="BJ2255" s="15"/>
      <c r="BK2255" s="15"/>
      <c r="BL2255" s="13" t="b">
        <v>0</v>
      </c>
      <c r="BM2255" s="10"/>
      <c r="BN2255" s="10" t="s">
        <v>4030</v>
      </c>
      <c r="BO2255" s="11">
        <v>45939.684027777781</v>
      </c>
      <c r="BP2255" s="11">
        <v>45939.684282407405</v>
      </c>
      <c r="BQ2255" s="15">
        <v>45948.574016203704</v>
      </c>
      <c r="BR2255" s="15">
        <v>45949.100763888891</v>
      </c>
      <c r="BS2255" s="10" t="s">
        <v>4030</v>
      </c>
      <c r="BT2255" s="10"/>
      <c r="BU2255" s="10"/>
      <c r="BV2255" s="10"/>
      <c r="BW2255" s="10"/>
      <c r="BX2255" s="10"/>
      <c r="BY2255" s="23"/>
      <c r="BZ2255" s="23"/>
      <c r="CA2255" s="19" t="s">
        <v>17300</v>
      </c>
      <c r="CB2255" s="23"/>
      <c r="CC2255" s="23"/>
      <c r="CD2255" s="19" t="s">
        <v>17301</v>
      </c>
      <c r="CE2255" s="23"/>
      <c r="CF2255" s="23"/>
      <c r="CG2255" s="23"/>
      <c r="CH2255" s="23"/>
      <c r="CI2255" s="23"/>
    </row>
    <row r="2256" spans="1:87" x14ac:dyDescent="0.3">
      <c r="A2256" s="9" t="s">
        <v>17302</v>
      </c>
      <c r="B2256" s="10" t="s">
        <v>17303</v>
      </c>
      <c r="C2256" s="11">
        <v>45950.142361111109</v>
      </c>
      <c r="D2256" s="12">
        <v>0.14930555555555555</v>
      </c>
      <c r="E2256" s="11">
        <v>45950.291666666664</v>
      </c>
      <c r="F2256" s="10" t="s">
        <v>15270</v>
      </c>
      <c r="G2256" s="13" t="b">
        <v>0</v>
      </c>
      <c r="H2256" s="22" t="s">
        <v>15271</v>
      </c>
      <c r="I2256" s="10" t="s">
        <v>3213</v>
      </c>
      <c r="J2256" s="13" t="b">
        <v>0</v>
      </c>
      <c r="K2256" s="13" t="b">
        <v>1</v>
      </c>
      <c r="L2256" s="10" t="s">
        <v>124</v>
      </c>
      <c r="M2256" s="10" t="s">
        <v>91</v>
      </c>
      <c r="N2256" s="10" t="s">
        <v>92</v>
      </c>
      <c r="O2256" s="19" t="s">
        <v>17304</v>
      </c>
      <c r="P2256" s="10" t="s">
        <v>88</v>
      </c>
      <c r="Q2256" s="10" t="s">
        <v>126</v>
      </c>
      <c r="R2256" s="10"/>
      <c r="S2256" s="19" t="s">
        <v>17305</v>
      </c>
      <c r="T2256" s="10"/>
      <c r="U2256" s="10" t="s">
        <v>16009</v>
      </c>
      <c r="V2256" s="10" t="s">
        <v>15275</v>
      </c>
      <c r="W2256" s="10" t="s">
        <v>15276</v>
      </c>
      <c r="X2256" s="10" t="s">
        <v>15277</v>
      </c>
      <c r="Y2256" s="10" t="s">
        <v>15277</v>
      </c>
      <c r="Z2256" s="10" t="s">
        <v>99</v>
      </c>
      <c r="AA2256" s="10" t="s">
        <v>131</v>
      </c>
      <c r="AB2256" s="10" t="s">
        <v>15278</v>
      </c>
      <c r="AC2256" s="10" t="s">
        <v>15279</v>
      </c>
      <c r="AD2256" s="10" t="s">
        <v>165</v>
      </c>
      <c r="AE2256" s="10" t="s">
        <v>17306</v>
      </c>
      <c r="AF2256" s="15"/>
      <c r="AG2256" s="10"/>
      <c r="AH2256" s="10"/>
      <c r="AI2256" s="10"/>
      <c r="AJ2256" s="10"/>
      <c r="AK2256" s="10" t="s">
        <v>102</v>
      </c>
      <c r="AL2256" s="10" t="s">
        <v>184</v>
      </c>
      <c r="AM2256" s="10"/>
      <c r="AN2256" s="10"/>
      <c r="AO2256" s="13" t="b">
        <v>0</v>
      </c>
      <c r="AP2256" s="22" t="s">
        <v>104</v>
      </c>
      <c r="AQ2256" s="10">
        <f ca="1">IFERROR(__xludf.DUMMYFUNCTION("""COMPUTED_VALUE"""),4659900)</f>
        <v>4659900</v>
      </c>
      <c r="AR2256" s="17">
        <v>2384</v>
      </c>
      <c r="AS2256" s="17">
        <v>2056</v>
      </c>
      <c r="AT2256" s="17">
        <v>24510.75</v>
      </c>
      <c r="AU2256" s="17">
        <v>4.75</v>
      </c>
      <c r="AV2256" s="17">
        <v>1</v>
      </c>
      <c r="AW2256" s="10" t="s">
        <v>105</v>
      </c>
      <c r="AX2256" s="17">
        <v>279</v>
      </c>
      <c r="AY2256" s="18">
        <v>11.921571011673151</v>
      </c>
      <c r="AZ2256" s="10" t="s">
        <v>185</v>
      </c>
      <c r="BA2256" s="20" t="b">
        <v>0</v>
      </c>
      <c r="BB2256" s="10"/>
      <c r="BC2256" s="17">
        <v>2384</v>
      </c>
      <c r="BD2256" s="17">
        <v>2056</v>
      </c>
      <c r="BE2256" s="17">
        <v>24510.75</v>
      </c>
      <c r="BF2256" s="17">
        <v>1</v>
      </c>
      <c r="BG2256" s="11">
        <f ca="1">IFERROR(__xludf.DUMMYFUNCTION("""COMPUTED_VALUE"""),45950.1423611111)</f>
        <v>45950.142361111102</v>
      </c>
      <c r="BH2256" s="17" t="s">
        <v>105</v>
      </c>
      <c r="BI2256" s="17"/>
      <c r="BJ2256" s="15"/>
      <c r="BK2256" s="15"/>
      <c r="BL2256" s="13" t="b">
        <v>0</v>
      </c>
      <c r="BM2256" s="10"/>
      <c r="BN2256" s="10" t="s">
        <v>4030</v>
      </c>
      <c r="BO2256" s="11">
        <v>45939.68472222222</v>
      </c>
      <c r="BP2256" s="11">
        <v>45939.68482638889</v>
      </c>
      <c r="BQ2256" s="15">
        <v>45948.574074074073</v>
      </c>
      <c r="BR2256" s="15">
        <v>45949.101018518515</v>
      </c>
      <c r="BS2256" s="10" t="s">
        <v>4030</v>
      </c>
      <c r="BT2256" s="10"/>
      <c r="BU2256" s="10"/>
      <c r="BV2256" s="10"/>
      <c r="BW2256" s="10"/>
      <c r="BX2256" s="10"/>
      <c r="BY2256" s="23"/>
      <c r="BZ2256" s="23"/>
      <c r="CA2256" s="19" t="s">
        <v>17307</v>
      </c>
      <c r="CB2256" s="23"/>
      <c r="CC2256" s="23"/>
      <c r="CD2256" s="19" t="s">
        <v>17308</v>
      </c>
      <c r="CE2256" s="23"/>
      <c r="CF2256" s="23"/>
      <c r="CG2256" s="23"/>
      <c r="CH2256" s="23"/>
      <c r="CI2256" s="23"/>
    </row>
    <row r="2257" spans="1:87" x14ac:dyDescent="0.3">
      <c r="A2257" s="9" t="s">
        <v>17309</v>
      </c>
      <c r="B2257" s="10" t="s">
        <v>17310</v>
      </c>
      <c r="C2257" s="11">
        <v>45950.305555555555</v>
      </c>
      <c r="D2257" s="12">
        <v>0.14583333333333334</v>
      </c>
      <c r="E2257" s="11">
        <v>45950.451388888891</v>
      </c>
      <c r="F2257" s="10" t="s">
        <v>15270</v>
      </c>
      <c r="G2257" s="13" t="b">
        <v>0</v>
      </c>
      <c r="H2257" s="22" t="s">
        <v>15271</v>
      </c>
      <c r="I2257" s="10" t="s">
        <v>3213</v>
      </c>
      <c r="J2257" s="13" t="b">
        <v>0</v>
      </c>
      <c r="K2257" s="13" t="b">
        <v>1</v>
      </c>
      <c r="L2257" s="10" t="s">
        <v>124</v>
      </c>
      <c r="M2257" s="10" t="s">
        <v>91</v>
      </c>
      <c r="N2257" s="10" t="s">
        <v>92</v>
      </c>
      <c r="O2257" s="19" t="s">
        <v>17311</v>
      </c>
      <c r="P2257" s="10" t="s">
        <v>3215</v>
      </c>
      <c r="Q2257" s="10" t="s">
        <v>126</v>
      </c>
      <c r="R2257" s="10"/>
      <c r="S2257" s="19" t="s">
        <v>17312</v>
      </c>
      <c r="T2257" s="10"/>
      <c r="U2257" s="10" t="s">
        <v>15654</v>
      </c>
      <c r="V2257" s="10" t="s">
        <v>15308</v>
      </c>
      <c r="W2257" s="10" t="s">
        <v>15276</v>
      </c>
      <c r="X2257" s="10" t="s">
        <v>15277</v>
      </c>
      <c r="Y2257" s="10" t="s">
        <v>15277</v>
      </c>
      <c r="Z2257" s="10" t="s">
        <v>99</v>
      </c>
      <c r="AA2257" s="10" t="s">
        <v>131</v>
      </c>
      <c r="AB2257" s="10" t="s">
        <v>15278</v>
      </c>
      <c r="AC2257" s="10" t="s">
        <v>15279</v>
      </c>
      <c r="AD2257" s="10" t="s">
        <v>165</v>
      </c>
      <c r="AE2257" s="10" t="s">
        <v>17313</v>
      </c>
      <c r="AF2257" s="15"/>
      <c r="AG2257" s="10"/>
      <c r="AH2257" s="10"/>
      <c r="AI2257" s="10"/>
      <c r="AJ2257" s="10"/>
      <c r="AK2257" s="10" t="s">
        <v>102</v>
      </c>
      <c r="AL2257" s="10" t="s">
        <v>184</v>
      </c>
      <c r="AM2257" s="10"/>
      <c r="AN2257" s="10"/>
      <c r="AO2257" s="13" t="b">
        <v>0</v>
      </c>
      <c r="AP2257" s="22" t="s">
        <v>104</v>
      </c>
      <c r="AQ2257" s="10">
        <f ca="1">IFERROR(__xludf.DUMMYFUNCTION("""COMPUTED_VALUE"""),4660120)</f>
        <v>4660120</v>
      </c>
      <c r="AR2257" s="17">
        <v>3196</v>
      </c>
      <c r="AS2257" s="17">
        <v>2467</v>
      </c>
      <c r="AT2257" s="17">
        <v>53386.25</v>
      </c>
      <c r="AU2257" s="17">
        <v>10.45</v>
      </c>
      <c r="AV2257" s="17">
        <v>1.75</v>
      </c>
      <c r="AW2257" s="10" t="s">
        <v>105</v>
      </c>
      <c r="AX2257" s="17">
        <v>450</v>
      </c>
      <c r="AY2257" s="18">
        <v>21.64014997973247</v>
      </c>
      <c r="AZ2257" s="10" t="s">
        <v>185</v>
      </c>
      <c r="BA2257" s="20" t="b">
        <v>0</v>
      </c>
      <c r="BB2257" s="10"/>
      <c r="BC2257" s="17">
        <v>3196</v>
      </c>
      <c r="BD2257" s="17">
        <v>2467</v>
      </c>
      <c r="BE2257" s="17">
        <v>53386.25</v>
      </c>
      <c r="BF2257" s="17">
        <v>1.75</v>
      </c>
      <c r="BG2257" s="11">
        <f ca="1">IFERROR(__xludf.DUMMYFUNCTION("""COMPUTED_VALUE"""),45950.3055555555)</f>
        <v>45950.305555555497</v>
      </c>
      <c r="BH2257" s="17" t="s">
        <v>105</v>
      </c>
      <c r="BI2257" s="17"/>
      <c r="BJ2257" s="15"/>
      <c r="BK2257" s="15"/>
      <c r="BL2257" s="13" t="b">
        <v>0</v>
      </c>
      <c r="BM2257" s="10"/>
      <c r="BN2257" s="10" t="s">
        <v>157</v>
      </c>
      <c r="BO2257" s="11">
        <v>45939.685416666667</v>
      </c>
      <c r="BP2257" s="11">
        <v>45939.685567129629</v>
      </c>
      <c r="BQ2257" s="15">
        <v>45948.574131944442</v>
      </c>
      <c r="BR2257" s="15">
        <v>45949.329525462963</v>
      </c>
      <c r="BS2257" s="10" t="s">
        <v>157</v>
      </c>
      <c r="BT2257" s="10"/>
      <c r="BU2257" s="10"/>
      <c r="BV2257" s="10"/>
      <c r="BW2257" s="10"/>
      <c r="BX2257" s="10"/>
      <c r="BY2257" s="23"/>
      <c r="BZ2257" s="23"/>
      <c r="CA2257" s="19" t="s">
        <v>17314</v>
      </c>
      <c r="CB2257" s="23"/>
      <c r="CC2257" s="23"/>
      <c r="CD2257" s="19" t="s">
        <v>17315</v>
      </c>
      <c r="CE2257" s="23"/>
      <c r="CF2257" s="23"/>
      <c r="CG2257" s="23"/>
      <c r="CH2257" s="23"/>
      <c r="CI2257" s="23"/>
    </row>
    <row r="2258" spans="1:87" x14ac:dyDescent="0.3">
      <c r="A2258" s="9" t="s">
        <v>17316</v>
      </c>
      <c r="B2258" s="10" t="s">
        <v>17317</v>
      </c>
      <c r="C2258" s="11">
        <v>45951.25</v>
      </c>
      <c r="D2258" s="12">
        <v>0.14583333333333334</v>
      </c>
      <c r="E2258" s="11">
        <v>45951.395833333336</v>
      </c>
      <c r="F2258" s="10" t="s">
        <v>15270</v>
      </c>
      <c r="G2258" s="13" t="b">
        <v>0</v>
      </c>
      <c r="H2258" s="22" t="s">
        <v>15271</v>
      </c>
      <c r="I2258" s="10" t="s">
        <v>3213</v>
      </c>
      <c r="J2258" s="13" t="b">
        <v>0</v>
      </c>
      <c r="K2258" s="13" t="b">
        <v>1</v>
      </c>
      <c r="L2258" s="10" t="s">
        <v>124</v>
      </c>
      <c r="M2258" s="10" t="s">
        <v>91</v>
      </c>
      <c r="N2258" s="10" t="s">
        <v>92</v>
      </c>
      <c r="O2258" s="19" t="s">
        <v>17318</v>
      </c>
      <c r="P2258" s="10" t="s">
        <v>3215</v>
      </c>
      <c r="Q2258" s="10" t="s">
        <v>126</v>
      </c>
      <c r="R2258" s="10"/>
      <c r="S2258" s="19" t="s">
        <v>17319</v>
      </c>
      <c r="T2258" s="10"/>
      <c r="U2258" s="10" t="s">
        <v>15289</v>
      </c>
      <c r="V2258" s="10" t="s">
        <v>15317</v>
      </c>
      <c r="W2258" s="10" t="s">
        <v>15276</v>
      </c>
      <c r="X2258" s="10" t="s">
        <v>15277</v>
      </c>
      <c r="Y2258" s="10" t="s">
        <v>15277</v>
      </c>
      <c r="Z2258" s="10" t="s">
        <v>99</v>
      </c>
      <c r="AA2258" s="10" t="s">
        <v>131</v>
      </c>
      <c r="AB2258" s="10" t="s">
        <v>15278</v>
      </c>
      <c r="AC2258" s="10" t="s">
        <v>15279</v>
      </c>
      <c r="AD2258" s="10" t="s">
        <v>165</v>
      </c>
      <c r="AE2258" s="10" t="s">
        <v>17320</v>
      </c>
      <c r="AF2258" s="15"/>
      <c r="AG2258" s="10"/>
      <c r="AH2258" s="10"/>
      <c r="AI2258" s="10"/>
      <c r="AJ2258" s="10"/>
      <c r="AK2258" s="10" t="s">
        <v>102</v>
      </c>
      <c r="AL2258" s="10" t="s">
        <v>184</v>
      </c>
      <c r="AM2258" s="10"/>
      <c r="AN2258" s="10"/>
      <c r="AO2258" s="13" t="b">
        <v>0</v>
      </c>
      <c r="AP2258" s="22" t="s">
        <v>104</v>
      </c>
      <c r="AQ2258" s="10">
        <f ca="1">IFERROR(__xludf.DUMMYFUNCTION("""COMPUTED_VALUE"""),4660123)</f>
        <v>4660123</v>
      </c>
      <c r="AR2258" s="17">
        <v>3130</v>
      </c>
      <c r="AS2258" s="17">
        <v>2209</v>
      </c>
      <c r="AT2258" s="17">
        <v>66037.25</v>
      </c>
      <c r="AU2258" s="17">
        <v>6.6</v>
      </c>
      <c r="AV2258" s="17">
        <v>3.1</v>
      </c>
      <c r="AW2258" s="10" t="s">
        <v>105</v>
      </c>
      <c r="AX2258" s="17">
        <v>469</v>
      </c>
      <c r="AY2258" s="18">
        <v>29.894635581711182</v>
      </c>
      <c r="AZ2258" s="10" t="s">
        <v>185</v>
      </c>
      <c r="BA2258" s="20" t="b">
        <v>0</v>
      </c>
      <c r="BB2258" s="10"/>
      <c r="BC2258" s="17">
        <v>3130</v>
      </c>
      <c r="BD2258" s="17">
        <v>2209</v>
      </c>
      <c r="BE2258" s="17">
        <v>66037.25</v>
      </c>
      <c r="BF2258" s="17">
        <v>3.1</v>
      </c>
      <c r="BG2258" s="11">
        <f ca="1">IFERROR(__xludf.DUMMYFUNCTION("""COMPUTED_VALUE"""),45951.25)</f>
        <v>45951.25</v>
      </c>
      <c r="BH2258" s="17" t="s">
        <v>105</v>
      </c>
      <c r="BI2258" s="17"/>
      <c r="BJ2258" s="15"/>
      <c r="BK2258" s="15"/>
      <c r="BL2258" s="13" t="b">
        <v>0</v>
      </c>
      <c r="BM2258" s="10"/>
      <c r="BN2258" s="10" t="s">
        <v>157</v>
      </c>
      <c r="BO2258" s="11">
        <v>45939.685416666667</v>
      </c>
      <c r="BP2258" s="11">
        <v>45939.6875</v>
      </c>
      <c r="BQ2258" s="15">
        <v>45948.574317129627</v>
      </c>
      <c r="BR2258" s="15">
        <v>45949.333078703705</v>
      </c>
      <c r="BS2258" s="10" t="s">
        <v>157</v>
      </c>
      <c r="BT2258" s="10"/>
      <c r="BU2258" s="10"/>
      <c r="BV2258" s="10"/>
      <c r="BW2258" s="10"/>
      <c r="BX2258" s="10"/>
      <c r="BY2258" s="23"/>
      <c r="BZ2258" s="23"/>
      <c r="CA2258" s="19" t="s">
        <v>17321</v>
      </c>
      <c r="CB2258" s="23"/>
      <c r="CC2258" s="23"/>
      <c r="CD2258" s="19" t="s">
        <v>17322</v>
      </c>
      <c r="CE2258" s="23"/>
      <c r="CF2258" s="23"/>
      <c r="CG2258" s="23"/>
      <c r="CH2258" s="23"/>
      <c r="CI2258" s="23"/>
    </row>
    <row r="2259" spans="1:87" x14ac:dyDescent="0.3">
      <c r="A2259" s="9" t="s">
        <v>17323</v>
      </c>
      <c r="B2259" s="10" t="s">
        <v>17324</v>
      </c>
      <c r="C2259" s="11">
        <v>45951.375</v>
      </c>
      <c r="D2259" s="12">
        <v>0.14583333333333334</v>
      </c>
      <c r="E2259" s="11">
        <v>45951.520833333336</v>
      </c>
      <c r="F2259" s="10" t="s">
        <v>15270</v>
      </c>
      <c r="G2259" s="13" t="b">
        <v>0</v>
      </c>
      <c r="H2259" s="22" t="s">
        <v>15271</v>
      </c>
      <c r="I2259" s="10" t="s">
        <v>3213</v>
      </c>
      <c r="J2259" s="13" t="b">
        <v>0</v>
      </c>
      <c r="K2259" s="13" t="b">
        <v>1</v>
      </c>
      <c r="L2259" s="10" t="s">
        <v>124</v>
      </c>
      <c r="M2259" s="10" t="s">
        <v>91</v>
      </c>
      <c r="N2259" s="10" t="s">
        <v>92</v>
      </c>
      <c r="O2259" s="19" t="s">
        <v>17325</v>
      </c>
      <c r="P2259" s="10" t="s">
        <v>3215</v>
      </c>
      <c r="Q2259" s="10" t="s">
        <v>126</v>
      </c>
      <c r="R2259" s="10"/>
      <c r="S2259" s="19" t="s">
        <v>17326</v>
      </c>
      <c r="T2259" s="10"/>
      <c r="U2259" s="10" t="s">
        <v>15987</v>
      </c>
      <c r="V2259" s="10" t="s">
        <v>15316</v>
      </c>
      <c r="W2259" s="10" t="s">
        <v>15276</v>
      </c>
      <c r="X2259" s="10" t="s">
        <v>15277</v>
      </c>
      <c r="Y2259" s="10" t="s">
        <v>15277</v>
      </c>
      <c r="Z2259" s="10" t="s">
        <v>99</v>
      </c>
      <c r="AA2259" s="10" t="s">
        <v>131</v>
      </c>
      <c r="AB2259" s="10" t="s">
        <v>15278</v>
      </c>
      <c r="AC2259" s="10" t="s">
        <v>15279</v>
      </c>
      <c r="AD2259" s="10" t="s">
        <v>165</v>
      </c>
      <c r="AE2259" s="10" t="s">
        <v>17327</v>
      </c>
      <c r="AF2259" s="15"/>
      <c r="AG2259" s="10"/>
      <c r="AH2259" s="10"/>
      <c r="AI2259" s="10"/>
      <c r="AJ2259" s="10"/>
      <c r="AK2259" s="10" t="s">
        <v>102</v>
      </c>
      <c r="AL2259" s="10" t="s">
        <v>184</v>
      </c>
      <c r="AM2259" s="10"/>
      <c r="AN2259" s="10"/>
      <c r="AO2259" s="13" t="b">
        <v>0</v>
      </c>
      <c r="AP2259" s="22" t="s">
        <v>104</v>
      </c>
      <c r="AQ2259" s="10">
        <f ca="1">IFERROR(__xludf.DUMMYFUNCTION("""COMPUTED_VALUE"""),4660124)</f>
        <v>4660124</v>
      </c>
      <c r="AR2259" s="17">
        <v>2194</v>
      </c>
      <c r="AS2259" s="17">
        <v>1419</v>
      </c>
      <c r="AT2259" s="17">
        <v>38392</v>
      </c>
      <c r="AU2259" s="17">
        <v>7.3</v>
      </c>
      <c r="AV2259" s="17">
        <v>2.4</v>
      </c>
      <c r="AW2259" s="10" t="s">
        <v>105</v>
      </c>
      <c r="AX2259" s="17">
        <v>470</v>
      </c>
      <c r="AY2259" s="18">
        <v>27.055673009161382</v>
      </c>
      <c r="AZ2259" s="10"/>
      <c r="BA2259" s="20" t="b">
        <v>0</v>
      </c>
      <c r="BB2259" s="10"/>
      <c r="BC2259" s="17">
        <v>2194</v>
      </c>
      <c r="BD2259" s="17">
        <v>1419</v>
      </c>
      <c r="BE2259" s="17">
        <v>38392</v>
      </c>
      <c r="BF2259" s="17">
        <v>2.4</v>
      </c>
      <c r="BG2259" s="11">
        <f ca="1">IFERROR(__xludf.DUMMYFUNCTION("""COMPUTED_VALUE"""),45951.375)</f>
        <v>45951.375</v>
      </c>
      <c r="BH2259" s="17" t="s">
        <v>105</v>
      </c>
      <c r="BI2259" s="17"/>
      <c r="BJ2259" s="15"/>
      <c r="BK2259" s="15"/>
      <c r="BL2259" s="13" t="b">
        <v>0</v>
      </c>
      <c r="BM2259" s="10"/>
      <c r="BN2259" s="10" t="s">
        <v>157</v>
      </c>
      <c r="BO2259" s="11">
        <v>45939.6875</v>
      </c>
      <c r="BP2259" s="11">
        <v>45939.687685185185</v>
      </c>
      <c r="BQ2259" s="15">
        <v>45948.574374999997</v>
      </c>
      <c r="BR2259" s="15">
        <v>45949.334085648145</v>
      </c>
      <c r="BS2259" s="10" t="s">
        <v>157</v>
      </c>
      <c r="BT2259" s="10"/>
      <c r="BU2259" s="10"/>
      <c r="BV2259" s="10"/>
      <c r="BW2259" s="10"/>
      <c r="BX2259" s="10"/>
      <c r="BY2259" s="23"/>
      <c r="BZ2259" s="23"/>
      <c r="CA2259" s="19" t="s">
        <v>17328</v>
      </c>
      <c r="CB2259" s="23"/>
      <c r="CC2259" s="23"/>
      <c r="CD2259" s="19" t="s">
        <v>17329</v>
      </c>
      <c r="CE2259" s="23"/>
      <c r="CF2259" s="23"/>
      <c r="CG2259" s="23"/>
      <c r="CH2259" s="23"/>
      <c r="CI2259" s="23"/>
    </row>
    <row r="2260" spans="1:87" x14ac:dyDescent="0.3">
      <c r="A2260" s="9" t="s">
        <v>17330</v>
      </c>
      <c r="B2260" s="10" t="s">
        <v>17331</v>
      </c>
      <c r="C2260" s="11">
        <v>45963.020833333336</v>
      </c>
      <c r="D2260" s="12">
        <v>8.3333333333333329E-2</v>
      </c>
      <c r="E2260" s="11">
        <v>45963.104166666664</v>
      </c>
      <c r="F2260" s="10" t="s">
        <v>262</v>
      </c>
      <c r="G2260" s="13" t="b">
        <v>0</v>
      </c>
      <c r="H2260" s="22" t="s">
        <v>527</v>
      </c>
      <c r="I2260" s="10" t="s">
        <v>264</v>
      </c>
      <c r="J2260" s="13" t="b">
        <v>0</v>
      </c>
      <c r="K2260" s="13" t="b">
        <v>1</v>
      </c>
      <c r="L2260" s="10" t="s">
        <v>124</v>
      </c>
      <c r="M2260" s="10" t="s">
        <v>91</v>
      </c>
      <c r="N2260" s="10" t="s">
        <v>265</v>
      </c>
      <c r="O2260" s="19" t="s">
        <v>17332</v>
      </c>
      <c r="P2260" s="10"/>
      <c r="Q2260" s="10" t="s">
        <v>94</v>
      </c>
      <c r="R2260" s="10"/>
      <c r="S2260" s="19" t="s">
        <v>17333</v>
      </c>
      <c r="T2260" s="10"/>
      <c r="U2260" s="10" t="s">
        <v>429</v>
      </c>
      <c r="V2260" s="10" t="s">
        <v>346</v>
      </c>
      <c r="W2260" s="10" t="s">
        <v>272</v>
      </c>
      <c r="X2260" s="10" t="s">
        <v>130</v>
      </c>
      <c r="Y2260" s="10" t="s">
        <v>130</v>
      </c>
      <c r="Z2260" s="10" t="s">
        <v>99</v>
      </c>
      <c r="AA2260" s="10" t="s">
        <v>131</v>
      </c>
      <c r="AB2260" s="10" t="s">
        <v>273</v>
      </c>
      <c r="AC2260" s="10" t="s">
        <v>274</v>
      </c>
      <c r="AD2260" s="10" t="s">
        <v>1335</v>
      </c>
      <c r="AE2260" s="10" t="s">
        <v>17334</v>
      </c>
      <c r="AF2260" s="15"/>
      <c r="AG2260" s="10"/>
      <c r="AH2260" s="10"/>
      <c r="AI2260" s="10"/>
      <c r="AJ2260" s="10"/>
      <c r="AK2260" s="10" t="s">
        <v>102</v>
      </c>
      <c r="AL2260" s="10" t="s">
        <v>1252</v>
      </c>
      <c r="AM2260" s="10"/>
      <c r="AN2260" s="10"/>
      <c r="AO2260" s="13" t="b">
        <v>0</v>
      </c>
      <c r="AP2260" s="22" t="s">
        <v>104</v>
      </c>
      <c r="AQ2260" s="10">
        <f ca="1">IFERROR(__xludf.DUMMYFUNCTION("""COMPUTED_VALUE"""),4683228)</f>
        <v>4683228</v>
      </c>
      <c r="AR2260" s="17">
        <v>10445</v>
      </c>
      <c r="AS2260" s="17">
        <v>8882</v>
      </c>
      <c r="AT2260" s="17">
        <v>75397.75</v>
      </c>
      <c r="AU2260" s="17">
        <v>14.45</v>
      </c>
      <c r="AV2260" s="17">
        <v>2.25</v>
      </c>
      <c r="AW2260" s="10" t="s">
        <v>105</v>
      </c>
      <c r="AX2260" s="17">
        <v>1188</v>
      </c>
      <c r="AY2260" s="18">
        <v>8.4888257149290709</v>
      </c>
      <c r="AZ2260" s="10" t="s">
        <v>148</v>
      </c>
      <c r="BA2260" s="20" t="b">
        <v>0</v>
      </c>
      <c r="BB2260" s="10"/>
      <c r="BC2260" s="17">
        <v>10445</v>
      </c>
      <c r="BD2260" s="17">
        <v>8882</v>
      </c>
      <c r="BE2260" s="17">
        <v>75397.75</v>
      </c>
      <c r="BF2260" s="17">
        <v>2.25</v>
      </c>
      <c r="BG2260" s="11">
        <f ca="1">IFERROR(__xludf.DUMMYFUNCTION("""COMPUTED_VALUE"""),45963.0208333333)</f>
        <v>45963.020833333299</v>
      </c>
      <c r="BH2260" s="17" t="s">
        <v>105</v>
      </c>
      <c r="BI2260" s="17"/>
      <c r="BJ2260" s="15"/>
      <c r="BK2260" s="15"/>
      <c r="BL2260" s="13" t="b">
        <v>0</v>
      </c>
      <c r="BM2260" s="10"/>
      <c r="BN2260" s="10" t="s">
        <v>1149</v>
      </c>
      <c r="BO2260" s="11">
        <v>45940.354166666664</v>
      </c>
      <c r="BP2260" s="11">
        <v>45957.625717592593</v>
      </c>
      <c r="BQ2260" s="15">
        <v>45961.58871527778</v>
      </c>
      <c r="BR2260" s="15">
        <v>45961.596307870372</v>
      </c>
      <c r="BS2260" s="10" t="s">
        <v>1149</v>
      </c>
      <c r="BT2260" s="10"/>
      <c r="BU2260" s="10"/>
      <c r="BV2260" s="10"/>
      <c r="BW2260" s="10"/>
      <c r="BX2260" s="10"/>
      <c r="BY2260" s="23"/>
      <c r="BZ2260" s="23"/>
      <c r="CA2260" s="19" t="s">
        <v>1339</v>
      </c>
      <c r="CB2260" s="23"/>
      <c r="CC2260" s="23"/>
      <c r="CD2260" s="23"/>
      <c r="CE2260" s="23"/>
      <c r="CF2260" s="23"/>
      <c r="CG2260" s="23"/>
      <c r="CH2260" s="23"/>
      <c r="CI2260" s="23"/>
    </row>
    <row r="2261" spans="1:87" x14ac:dyDescent="0.3">
      <c r="A2261" s="9" t="s">
        <v>17335</v>
      </c>
      <c r="B2261" s="10" t="s">
        <v>17336</v>
      </c>
      <c r="C2261" s="11">
        <v>45942.291666666664</v>
      </c>
      <c r="D2261" s="12">
        <v>0.375</v>
      </c>
      <c r="E2261" s="11">
        <v>45942.666666666664</v>
      </c>
      <c r="F2261" s="10" t="s">
        <v>9016</v>
      </c>
      <c r="G2261" s="13" t="b">
        <v>0</v>
      </c>
      <c r="H2261" s="22" t="s">
        <v>9017</v>
      </c>
      <c r="I2261" s="10" t="s">
        <v>212</v>
      </c>
      <c r="J2261" s="13" t="b">
        <v>1</v>
      </c>
      <c r="K2261" s="13" t="b">
        <v>0</v>
      </c>
      <c r="L2261" s="10" t="s">
        <v>124</v>
      </c>
      <c r="M2261" s="10" t="s">
        <v>91</v>
      </c>
      <c r="N2261" s="10" t="s">
        <v>92</v>
      </c>
      <c r="O2261" s="19" t="s">
        <v>17337</v>
      </c>
      <c r="P2261" s="10"/>
      <c r="Q2261" s="10" t="s">
        <v>94</v>
      </c>
      <c r="R2261" s="10"/>
      <c r="S2261" s="19" t="s">
        <v>9019</v>
      </c>
      <c r="T2261" s="10"/>
      <c r="U2261" s="10"/>
      <c r="V2261" s="10"/>
      <c r="W2261" s="10" t="s">
        <v>9020</v>
      </c>
      <c r="X2261" s="10" t="s">
        <v>130</v>
      </c>
      <c r="Y2261" s="10" t="s">
        <v>130</v>
      </c>
      <c r="Z2261" s="10" t="s">
        <v>99</v>
      </c>
      <c r="AA2261" s="10" t="s">
        <v>131</v>
      </c>
      <c r="AB2261" s="10" t="s">
        <v>9021</v>
      </c>
      <c r="AC2261" s="10" t="s">
        <v>9022</v>
      </c>
      <c r="AD2261" s="10" t="s">
        <v>165</v>
      </c>
      <c r="AE2261" s="10" t="s">
        <v>17338</v>
      </c>
      <c r="AF2261" s="15"/>
      <c r="AG2261" s="10"/>
      <c r="AH2261" s="10"/>
      <c r="AI2261" s="10"/>
      <c r="AJ2261" s="10"/>
      <c r="AK2261" s="10" t="s">
        <v>102</v>
      </c>
      <c r="AL2261" s="10" t="s">
        <v>176</v>
      </c>
      <c r="AM2261" s="10"/>
      <c r="AN2261" s="10"/>
      <c r="AO2261" s="13" t="b">
        <v>0</v>
      </c>
      <c r="AP2261" s="22" t="s">
        <v>104</v>
      </c>
      <c r="AQ2261" s="10">
        <f ca="1">IFERROR(__xludf.DUMMYFUNCTION("""COMPUTED_VALUE"""),19692)</f>
        <v>19692</v>
      </c>
      <c r="AR2261" s="21">
        <v>135</v>
      </c>
      <c r="AS2261" s="21">
        <v>113</v>
      </c>
      <c r="AT2261" s="21">
        <v>1408.25</v>
      </c>
      <c r="AU2261" s="21">
        <v>0</v>
      </c>
      <c r="AV2261" s="21">
        <v>0</v>
      </c>
      <c r="AW2261" s="22" t="s">
        <v>105</v>
      </c>
      <c r="AX2261" s="17"/>
      <c r="AY2261" s="18">
        <v>9.7185204616998959</v>
      </c>
      <c r="AZ2261" s="10"/>
      <c r="BA2261" s="20" t="b">
        <v>1</v>
      </c>
      <c r="BB2261" s="10"/>
      <c r="BC2261" s="17">
        <v>2414</v>
      </c>
      <c r="BD2261" s="17">
        <v>1906</v>
      </c>
      <c r="BE2261" s="17">
        <v>18523.5</v>
      </c>
      <c r="BF2261" s="17">
        <v>0.75</v>
      </c>
      <c r="BG2261" s="11">
        <f ca="1">IFERROR(__xludf.DUMMYFUNCTION("""COMPUTED_VALUE"""),45942.2916666666)</f>
        <v>45942.291666666599</v>
      </c>
      <c r="BH2261" s="17" t="s">
        <v>105</v>
      </c>
      <c r="BI2261" s="17"/>
      <c r="BJ2261" s="15"/>
      <c r="BK2261" s="15"/>
      <c r="BL2261" s="13" t="b">
        <v>0</v>
      </c>
      <c r="BM2261" s="10"/>
      <c r="BN2261" s="10" t="s">
        <v>278</v>
      </c>
      <c r="BO2261" s="11">
        <v>45941.835416666669</v>
      </c>
      <c r="BP2261" s="11">
        <v>45941.836446759262</v>
      </c>
      <c r="BQ2261" s="15">
        <v>45941.842175925929</v>
      </c>
      <c r="BR2261" s="15">
        <v>45941.95449074074</v>
      </c>
      <c r="BS2261" s="10" t="s">
        <v>278</v>
      </c>
      <c r="BT2261" s="10"/>
      <c r="BU2261" s="10"/>
      <c r="BV2261" s="10"/>
      <c r="BW2261" s="10"/>
      <c r="BX2261" s="10"/>
      <c r="BY2261" s="23"/>
      <c r="BZ2261" s="23"/>
      <c r="CA2261" s="19" t="s">
        <v>9024</v>
      </c>
      <c r="CB2261" s="23"/>
      <c r="CC2261" s="23"/>
      <c r="CD2261" s="23"/>
      <c r="CE2261" s="23"/>
      <c r="CF2261" s="23"/>
      <c r="CG2261" s="23"/>
      <c r="CH2261" s="23"/>
      <c r="CI2261" s="23"/>
    </row>
    <row r="2262" spans="1:87" x14ac:dyDescent="0.3">
      <c r="A2262" s="9" t="s">
        <v>17339</v>
      </c>
      <c r="B2262" s="10" t="s">
        <v>17340</v>
      </c>
      <c r="C2262" s="11">
        <v>45942.291666666664</v>
      </c>
      <c r="D2262" s="12">
        <v>2.0833333333333332E-2</v>
      </c>
      <c r="E2262" s="11">
        <v>45942.3125</v>
      </c>
      <c r="F2262" s="10" t="s">
        <v>9016</v>
      </c>
      <c r="G2262" s="13" t="b">
        <v>0</v>
      </c>
      <c r="H2262" s="22" t="s">
        <v>9017</v>
      </c>
      <c r="I2262" s="10" t="s">
        <v>212</v>
      </c>
      <c r="J2262" s="13" t="b">
        <v>1</v>
      </c>
      <c r="K2262" s="13" t="b">
        <v>0</v>
      </c>
      <c r="L2262" s="10" t="s">
        <v>124</v>
      </c>
      <c r="M2262" s="10" t="s">
        <v>91</v>
      </c>
      <c r="N2262" s="10" t="s">
        <v>92</v>
      </c>
      <c r="O2262" s="19" t="s">
        <v>17341</v>
      </c>
      <c r="P2262" s="10"/>
      <c r="Q2262" s="10" t="s">
        <v>94</v>
      </c>
      <c r="R2262" s="10"/>
      <c r="S2262" s="19" t="s">
        <v>9019</v>
      </c>
      <c r="T2262" s="10"/>
      <c r="U2262" s="10"/>
      <c r="V2262" s="10"/>
      <c r="W2262" s="10" t="s">
        <v>9020</v>
      </c>
      <c r="X2262" s="10" t="s">
        <v>130</v>
      </c>
      <c r="Y2262" s="10" t="s">
        <v>130</v>
      </c>
      <c r="Z2262" s="10" t="s">
        <v>99</v>
      </c>
      <c r="AA2262" s="10" t="s">
        <v>131</v>
      </c>
      <c r="AB2262" s="10" t="s">
        <v>9021</v>
      </c>
      <c r="AC2262" s="10" t="s">
        <v>9022</v>
      </c>
      <c r="AD2262" s="10" t="s">
        <v>165</v>
      </c>
      <c r="AE2262" s="10" t="s">
        <v>17342</v>
      </c>
      <c r="AF2262" s="15"/>
      <c r="AG2262" s="10"/>
      <c r="AH2262" s="10"/>
      <c r="AI2262" s="10"/>
      <c r="AJ2262" s="10"/>
      <c r="AK2262" s="10" t="s">
        <v>102</v>
      </c>
      <c r="AL2262" s="10"/>
      <c r="AM2262" s="10"/>
      <c r="AN2262" s="10"/>
      <c r="AO2262" s="13" t="b">
        <v>0</v>
      </c>
      <c r="AP2262" s="22" t="s">
        <v>104</v>
      </c>
      <c r="AQ2262" s="10">
        <f ca="1">IFERROR(__xludf.DUMMYFUNCTION("""COMPUTED_VALUE"""),4644418)</f>
        <v>4644418</v>
      </c>
      <c r="AR2262" s="17">
        <v>89</v>
      </c>
      <c r="AS2262" s="17">
        <v>67</v>
      </c>
      <c r="AT2262" s="17">
        <v>728</v>
      </c>
      <c r="AU2262" s="17">
        <v>0</v>
      </c>
      <c r="AV2262" s="17">
        <v>0</v>
      </c>
      <c r="AW2262" s="10" t="s">
        <v>105</v>
      </c>
      <c r="AX2262" s="17">
        <v>34</v>
      </c>
      <c r="AY2262" s="18">
        <v>10.865671641791044</v>
      </c>
      <c r="AZ2262" s="10"/>
      <c r="BA2262" s="20" t="b">
        <v>0</v>
      </c>
      <c r="BB2262" s="10" t="s">
        <v>17335</v>
      </c>
      <c r="BC2262" s="17">
        <v>89</v>
      </c>
      <c r="BD2262" s="17">
        <v>67</v>
      </c>
      <c r="BE2262" s="17">
        <v>728</v>
      </c>
      <c r="BF2262" s="17">
        <v>0</v>
      </c>
      <c r="BG2262" s="11">
        <f ca="1">IFERROR(__xludf.DUMMYFUNCTION("""COMPUTED_VALUE"""),45942.2916666666)</f>
        <v>45942.291666666599</v>
      </c>
      <c r="BH2262" s="17" t="s">
        <v>105</v>
      </c>
      <c r="BI2262" s="17"/>
      <c r="BJ2262" s="15"/>
      <c r="BK2262" s="15"/>
      <c r="BL2262" s="13" t="b">
        <v>0</v>
      </c>
      <c r="BM2262" s="10"/>
      <c r="BN2262" s="10" t="s">
        <v>278</v>
      </c>
      <c r="BO2262" s="11">
        <v>45941.845833333333</v>
      </c>
      <c r="BP2262" s="11">
        <v>45941.846273148149</v>
      </c>
      <c r="BQ2262" s="15"/>
      <c r="BR2262" s="15">
        <v>45941.948020833333</v>
      </c>
      <c r="BS2262" s="10" t="s">
        <v>278</v>
      </c>
      <c r="BT2262" s="10"/>
      <c r="BU2262" s="10"/>
      <c r="BV2262" s="10"/>
      <c r="BW2262" s="10"/>
      <c r="BX2262" s="10"/>
      <c r="BY2262" s="23"/>
      <c r="BZ2262" s="23"/>
      <c r="CA2262" s="19" t="s">
        <v>9024</v>
      </c>
      <c r="CB2262" s="23"/>
      <c r="CC2262" s="23"/>
      <c r="CD2262" s="23"/>
      <c r="CE2262" s="23"/>
      <c r="CF2262" s="23"/>
      <c r="CG2262" s="23"/>
      <c r="CH2262" s="23"/>
      <c r="CI2262" s="23"/>
    </row>
    <row r="2263" spans="1:87" x14ac:dyDescent="0.3">
      <c r="A2263" s="9" t="s">
        <v>17343</v>
      </c>
      <c r="B2263" s="10" t="s">
        <v>17344</v>
      </c>
      <c r="C2263" s="11">
        <v>45942.3125</v>
      </c>
      <c r="D2263" s="12">
        <v>2.0833333333333332E-2</v>
      </c>
      <c r="E2263" s="11">
        <v>45942.333333333336</v>
      </c>
      <c r="F2263" s="10" t="s">
        <v>9016</v>
      </c>
      <c r="G2263" s="13" t="b">
        <v>0</v>
      </c>
      <c r="H2263" s="22" t="s">
        <v>9017</v>
      </c>
      <c r="I2263" s="10" t="s">
        <v>212</v>
      </c>
      <c r="J2263" s="13" t="b">
        <v>1</v>
      </c>
      <c r="K2263" s="13" t="b">
        <v>0</v>
      </c>
      <c r="L2263" s="10" t="s">
        <v>124</v>
      </c>
      <c r="M2263" s="10" t="s">
        <v>91</v>
      </c>
      <c r="N2263" s="10" t="s">
        <v>92</v>
      </c>
      <c r="O2263" s="19" t="s">
        <v>17345</v>
      </c>
      <c r="P2263" s="10"/>
      <c r="Q2263" s="10" t="s">
        <v>94</v>
      </c>
      <c r="R2263" s="10"/>
      <c r="S2263" s="19" t="s">
        <v>9019</v>
      </c>
      <c r="T2263" s="10"/>
      <c r="U2263" s="10"/>
      <c r="V2263" s="10"/>
      <c r="W2263" s="10" t="s">
        <v>9020</v>
      </c>
      <c r="X2263" s="10" t="s">
        <v>130</v>
      </c>
      <c r="Y2263" s="10" t="s">
        <v>130</v>
      </c>
      <c r="Z2263" s="10" t="s">
        <v>99</v>
      </c>
      <c r="AA2263" s="10" t="s">
        <v>131</v>
      </c>
      <c r="AB2263" s="10" t="s">
        <v>9021</v>
      </c>
      <c r="AC2263" s="10" t="s">
        <v>9022</v>
      </c>
      <c r="AD2263" s="10" t="s">
        <v>165</v>
      </c>
      <c r="AE2263" s="10" t="s">
        <v>17346</v>
      </c>
      <c r="AF2263" s="15"/>
      <c r="AG2263" s="10"/>
      <c r="AH2263" s="10"/>
      <c r="AI2263" s="10"/>
      <c r="AJ2263" s="10"/>
      <c r="AK2263" s="10" t="s">
        <v>102</v>
      </c>
      <c r="AL2263" s="10"/>
      <c r="AM2263" s="10"/>
      <c r="AN2263" s="10"/>
      <c r="AO2263" s="13" t="b">
        <v>0</v>
      </c>
      <c r="AP2263" s="22" t="s">
        <v>104</v>
      </c>
      <c r="AQ2263" s="10">
        <f ca="1">IFERROR(__xludf.DUMMYFUNCTION("""COMPUTED_VALUE"""),4644419)</f>
        <v>4644419</v>
      </c>
      <c r="AR2263" s="17">
        <v>147</v>
      </c>
      <c r="AS2263" s="17">
        <v>118</v>
      </c>
      <c r="AT2263" s="17">
        <v>1784.25</v>
      </c>
      <c r="AU2263" s="17">
        <v>0</v>
      </c>
      <c r="AV2263" s="17">
        <v>0</v>
      </c>
      <c r="AW2263" s="10" t="s">
        <v>105</v>
      </c>
      <c r="AX2263" s="17">
        <v>49</v>
      </c>
      <c r="AY2263" s="18">
        <v>15.120762711864407</v>
      </c>
      <c r="AZ2263" s="10"/>
      <c r="BA2263" s="20" t="b">
        <v>0</v>
      </c>
      <c r="BB2263" s="10" t="s">
        <v>17335</v>
      </c>
      <c r="BC2263" s="17">
        <v>147</v>
      </c>
      <c r="BD2263" s="17">
        <v>118</v>
      </c>
      <c r="BE2263" s="17">
        <v>1784.25</v>
      </c>
      <c r="BF2263" s="17">
        <v>0</v>
      </c>
      <c r="BG2263" s="11">
        <f ca="1">IFERROR(__xludf.DUMMYFUNCTION("""COMPUTED_VALUE"""),45942.3125)</f>
        <v>45942.3125</v>
      </c>
      <c r="BH2263" s="17" t="s">
        <v>105</v>
      </c>
      <c r="BI2263" s="17"/>
      <c r="BJ2263" s="15"/>
      <c r="BK2263" s="15"/>
      <c r="BL2263" s="13" t="b">
        <v>0</v>
      </c>
      <c r="BM2263" s="10"/>
      <c r="BN2263" s="10" t="s">
        <v>278</v>
      </c>
      <c r="BO2263" s="11">
        <v>45941.84652777778</v>
      </c>
      <c r="BP2263" s="11">
        <v>45941.846666666665</v>
      </c>
      <c r="BQ2263" s="15"/>
      <c r="BR2263" s="15">
        <v>45941.948321759257</v>
      </c>
      <c r="BS2263" s="10" t="s">
        <v>278</v>
      </c>
      <c r="BT2263" s="10"/>
      <c r="BU2263" s="10"/>
      <c r="BV2263" s="10"/>
      <c r="BW2263" s="10"/>
      <c r="BX2263" s="10"/>
      <c r="BY2263" s="23"/>
      <c r="BZ2263" s="23"/>
      <c r="CA2263" s="19" t="s">
        <v>9024</v>
      </c>
      <c r="CB2263" s="23"/>
      <c r="CC2263" s="23"/>
      <c r="CD2263" s="23"/>
      <c r="CE2263" s="23"/>
      <c r="CF2263" s="23"/>
      <c r="CG2263" s="23"/>
      <c r="CH2263" s="23"/>
      <c r="CI2263" s="23"/>
    </row>
    <row r="2264" spans="1:87" x14ac:dyDescent="0.3">
      <c r="A2264" s="9" t="s">
        <v>17347</v>
      </c>
      <c r="B2264" s="10" t="s">
        <v>17348</v>
      </c>
      <c r="C2264" s="11">
        <v>45942.333333333336</v>
      </c>
      <c r="D2264" s="12">
        <v>2.0833333333333332E-2</v>
      </c>
      <c r="E2264" s="11">
        <v>45942.354166666664</v>
      </c>
      <c r="F2264" s="10" t="s">
        <v>9016</v>
      </c>
      <c r="G2264" s="13" t="b">
        <v>0</v>
      </c>
      <c r="H2264" s="22" t="s">
        <v>9017</v>
      </c>
      <c r="I2264" s="10" t="s">
        <v>212</v>
      </c>
      <c r="J2264" s="13" t="b">
        <v>1</v>
      </c>
      <c r="K2264" s="13" t="b">
        <v>0</v>
      </c>
      <c r="L2264" s="10" t="s">
        <v>124</v>
      </c>
      <c r="M2264" s="10" t="s">
        <v>91</v>
      </c>
      <c r="N2264" s="10" t="s">
        <v>92</v>
      </c>
      <c r="O2264" s="19" t="s">
        <v>17349</v>
      </c>
      <c r="P2264" s="10"/>
      <c r="Q2264" s="10" t="s">
        <v>94</v>
      </c>
      <c r="R2264" s="10"/>
      <c r="S2264" s="19" t="s">
        <v>9019</v>
      </c>
      <c r="T2264" s="10"/>
      <c r="U2264" s="10"/>
      <c r="V2264" s="10"/>
      <c r="W2264" s="10" t="s">
        <v>9020</v>
      </c>
      <c r="X2264" s="10" t="s">
        <v>130</v>
      </c>
      <c r="Y2264" s="10" t="s">
        <v>130</v>
      </c>
      <c r="Z2264" s="10" t="s">
        <v>99</v>
      </c>
      <c r="AA2264" s="10" t="s">
        <v>131</v>
      </c>
      <c r="AB2264" s="10" t="s">
        <v>9021</v>
      </c>
      <c r="AC2264" s="10" t="s">
        <v>9022</v>
      </c>
      <c r="AD2264" s="10" t="s">
        <v>165</v>
      </c>
      <c r="AE2264" s="10" t="s">
        <v>17350</v>
      </c>
      <c r="AF2264" s="15"/>
      <c r="AG2264" s="10"/>
      <c r="AH2264" s="10"/>
      <c r="AI2264" s="10"/>
      <c r="AJ2264" s="10"/>
      <c r="AK2264" s="10" t="s">
        <v>102</v>
      </c>
      <c r="AL2264" s="10"/>
      <c r="AM2264" s="10"/>
      <c r="AN2264" s="10"/>
      <c r="AO2264" s="13" t="b">
        <v>0</v>
      </c>
      <c r="AP2264" s="22" t="s">
        <v>104</v>
      </c>
      <c r="AQ2264" s="10">
        <f ca="1">IFERROR(__xludf.DUMMYFUNCTION("""COMPUTED_VALUE"""),4644420)</f>
        <v>4644420</v>
      </c>
      <c r="AR2264" s="17">
        <v>136</v>
      </c>
      <c r="AS2264" s="17">
        <v>110</v>
      </c>
      <c r="AT2264" s="17">
        <v>645.5</v>
      </c>
      <c r="AU2264" s="17">
        <v>0</v>
      </c>
      <c r="AV2264" s="17">
        <v>0</v>
      </c>
      <c r="AW2264" s="10" t="s">
        <v>105</v>
      </c>
      <c r="AX2264" s="17">
        <v>52</v>
      </c>
      <c r="AY2264" s="18">
        <v>5.8681818181818182</v>
      </c>
      <c r="AZ2264" s="10"/>
      <c r="BA2264" s="20" t="b">
        <v>0</v>
      </c>
      <c r="BB2264" s="10" t="s">
        <v>17335</v>
      </c>
      <c r="BC2264" s="17">
        <v>136</v>
      </c>
      <c r="BD2264" s="17">
        <v>110</v>
      </c>
      <c r="BE2264" s="17">
        <v>645.5</v>
      </c>
      <c r="BF2264" s="17">
        <v>0</v>
      </c>
      <c r="BG2264" s="11">
        <f ca="1">IFERROR(__xludf.DUMMYFUNCTION("""COMPUTED_VALUE"""),45942.3333333333)</f>
        <v>45942.333333333299</v>
      </c>
      <c r="BH2264" s="17" t="s">
        <v>105</v>
      </c>
      <c r="BI2264" s="17"/>
      <c r="BJ2264" s="15"/>
      <c r="BK2264" s="15"/>
      <c r="BL2264" s="13" t="b">
        <v>0</v>
      </c>
      <c r="BM2264" s="10"/>
      <c r="BN2264" s="10" t="s">
        <v>278</v>
      </c>
      <c r="BO2264" s="11">
        <v>45941.84652777778</v>
      </c>
      <c r="BP2264" s="11">
        <v>45941.846932870372</v>
      </c>
      <c r="BQ2264" s="15"/>
      <c r="BR2264" s="15">
        <v>45941.948900462965</v>
      </c>
      <c r="BS2264" s="10" t="s">
        <v>278</v>
      </c>
      <c r="BT2264" s="10"/>
      <c r="BU2264" s="10"/>
      <c r="BV2264" s="10"/>
      <c r="BW2264" s="10"/>
      <c r="BX2264" s="10"/>
      <c r="BY2264" s="23"/>
      <c r="BZ2264" s="23"/>
      <c r="CA2264" s="19" t="s">
        <v>9024</v>
      </c>
      <c r="CB2264" s="23"/>
      <c r="CC2264" s="23"/>
      <c r="CD2264" s="23"/>
      <c r="CE2264" s="23"/>
      <c r="CF2264" s="23"/>
      <c r="CG2264" s="23"/>
      <c r="CH2264" s="23"/>
      <c r="CI2264" s="23"/>
    </row>
    <row r="2265" spans="1:87" x14ac:dyDescent="0.3">
      <c r="A2265" s="9" t="s">
        <v>17351</v>
      </c>
      <c r="B2265" s="10" t="s">
        <v>17352</v>
      </c>
      <c r="C2265" s="11">
        <v>45942.354166666664</v>
      </c>
      <c r="D2265" s="12">
        <v>2.0833333333333332E-2</v>
      </c>
      <c r="E2265" s="11">
        <v>45942.375</v>
      </c>
      <c r="F2265" s="10" t="s">
        <v>9016</v>
      </c>
      <c r="G2265" s="13" t="b">
        <v>0</v>
      </c>
      <c r="H2265" s="22" t="s">
        <v>9017</v>
      </c>
      <c r="I2265" s="10" t="s">
        <v>212</v>
      </c>
      <c r="J2265" s="13" t="b">
        <v>1</v>
      </c>
      <c r="K2265" s="13" t="b">
        <v>0</v>
      </c>
      <c r="L2265" s="10" t="s">
        <v>124</v>
      </c>
      <c r="M2265" s="10" t="s">
        <v>91</v>
      </c>
      <c r="N2265" s="10" t="s">
        <v>92</v>
      </c>
      <c r="O2265" s="19" t="s">
        <v>17353</v>
      </c>
      <c r="P2265" s="10"/>
      <c r="Q2265" s="10" t="s">
        <v>94</v>
      </c>
      <c r="R2265" s="10"/>
      <c r="S2265" s="19" t="s">
        <v>9019</v>
      </c>
      <c r="T2265" s="10"/>
      <c r="U2265" s="10"/>
      <c r="V2265" s="10"/>
      <c r="W2265" s="10" t="s">
        <v>9020</v>
      </c>
      <c r="X2265" s="10" t="s">
        <v>130</v>
      </c>
      <c r="Y2265" s="10" t="s">
        <v>130</v>
      </c>
      <c r="Z2265" s="10" t="s">
        <v>99</v>
      </c>
      <c r="AA2265" s="10" t="s">
        <v>131</v>
      </c>
      <c r="AB2265" s="10" t="s">
        <v>9021</v>
      </c>
      <c r="AC2265" s="10" t="s">
        <v>9022</v>
      </c>
      <c r="AD2265" s="10" t="s">
        <v>165</v>
      </c>
      <c r="AE2265" s="10" t="s">
        <v>17354</v>
      </c>
      <c r="AF2265" s="15"/>
      <c r="AG2265" s="10"/>
      <c r="AH2265" s="10"/>
      <c r="AI2265" s="10"/>
      <c r="AJ2265" s="10"/>
      <c r="AK2265" s="10" t="s">
        <v>102</v>
      </c>
      <c r="AL2265" s="10"/>
      <c r="AM2265" s="10"/>
      <c r="AN2265" s="10"/>
      <c r="AO2265" s="13" t="b">
        <v>0</v>
      </c>
      <c r="AP2265" s="22" t="s">
        <v>104</v>
      </c>
      <c r="AQ2265" s="10">
        <f ca="1">IFERROR(__xludf.DUMMYFUNCTION("""COMPUTED_VALUE"""),4644421)</f>
        <v>4644421</v>
      </c>
      <c r="AR2265" s="17">
        <v>160</v>
      </c>
      <c r="AS2265" s="17">
        <v>122</v>
      </c>
      <c r="AT2265" s="17">
        <v>882.25</v>
      </c>
      <c r="AU2265" s="17">
        <v>0</v>
      </c>
      <c r="AV2265" s="17">
        <v>0</v>
      </c>
      <c r="AW2265" s="10" t="s">
        <v>105</v>
      </c>
      <c r="AX2265" s="17">
        <v>68</v>
      </c>
      <c r="AY2265" s="18">
        <v>7.2315573770491799</v>
      </c>
      <c r="AZ2265" s="10"/>
      <c r="BA2265" s="20" t="b">
        <v>0</v>
      </c>
      <c r="BB2265" s="10" t="s">
        <v>17335</v>
      </c>
      <c r="BC2265" s="17">
        <v>160</v>
      </c>
      <c r="BD2265" s="17">
        <v>122</v>
      </c>
      <c r="BE2265" s="17">
        <v>882.25</v>
      </c>
      <c r="BF2265" s="17">
        <v>0</v>
      </c>
      <c r="BG2265" s="11">
        <f ca="1">IFERROR(__xludf.DUMMYFUNCTION("""COMPUTED_VALUE"""),45942.3541666666)</f>
        <v>45942.354166666599</v>
      </c>
      <c r="BH2265" s="17" t="s">
        <v>105</v>
      </c>
      <c r="BI2265" s="17"/>
      <c r="BJ2265" s="15"/>
      <c r="BK2265" s="15"/>
      <c r="BL2265" s="13" t="b">
        <v>0</v>
      </c>
      <c r="BM2265" s="10"/>
      <c r="BN2265" s="10" t="s">
        <v>278</v>
      </c>
      <c r="BO2265" s="11">
        <v>45941.84652777778</v>
      </c>
      <c r="BP2265" s="11">
        <v>45941.847187500003</v>
      </c>
      <c r="BQ2265" s="15"/>
      <c r="BR2265" s="15">
        <v>45941.949282407404</v>
      </c>
      <c r="BS2265" s="10" t="s">
        <v>278</v>
      </c>
      <c r="BT2265" s="10"/>
      <c r="BU2265" s="10"/>
      <c r="BV2265" s="10"/>
      <c r="BW2265" s="10"/>
      <c r="BX2265" s="10"/>
      <c r="BY2265" s="23"/>
      <c r="BZ2265" s="23"/>
      <c r="CA2265" s="19" t="s">
        <v>9024</v>
      </c>
      <c r="CB2265" s="23"/>
      <c r="CC2265" s="23"/>
      <c r="CD2265" s="23"/>
      <c r="CE2265" s="23"/>
      <c r="CF2265" s="23"/>
      <c r="CG2265" s="23"/>
      <c r="CH2265" s="23"/>
      <c r="CI2265" s="23"/>
    </row>
    <row r="2266" spans="1:87" x14ac:dyDescent="0.3">
      <c r="A2266" s="9" t="s">
        <v>17355</v>
      </c>
      <c r="B2266" s="10" t="s">
        <v>17356</v>
      </c>
      <c r="C2266" s="11">
        <v>45942.375</v>
      </c>
      <c r="D2266" s="12">
        <v>2.0833333333333332E-2</v>
      </c>
      <c r="E2266" s="11">
        <v>45942.395833333336</v>
      </c>
      <c r="F2266" s="10" t="s">
        <v>9016</v>
      </c>
      <c r="G2266" s="13" t="b">
        <v>0</v>
      </c>
      <c r="H2266" s="22" t="s">
        <v>9017</v>
      </c>
      <c r="I2266" s="10" t="s">
        <v>212</v>
      </c>
      <c r="J2266" s="13" t="b">
        <v>1</v>
      </c>
      <c r="K2266" s="13" t="b">
        <v>0</v>
      </c>
      <c r="L2266" s="10" t="s">
        <v>124</v>
      </c>
      <c r="M2266" s="10" t="s">
        <v>91</v>
      </c>
      <c r="N2266" s="10" t="s">
        <v>92</v>
      </c>
      <c r="O2266" s="19" t="s">
        <v>17357</v>
      </c>
      <c r="P2266" s="10"/>
      <c r="Q2266" s="10" t="s">
        <v>94</v>
      </c>
      <c r="R2266" s="10"/>
      <c r="S2266" s="19" t="s">
        <v>9019</v>
      </c>
      <c r="T2266" s="10"/>
      <c r="U2266" s="10"/>
      <c r="V2266" s="10"/>
      <c r="W2266" s="10" t="s">
        <v>9020</v>
      </c>
      <c r="X2266" s="10" t="s">
        <v>130</v>
      </c>
      <c r="Y2266" s="10" t="s">
        <v>130</v>
      </c>
      <c r="Z2266" s="10" t="s">
        <v>99</v>
      </c>
      <c r="AA2266" s="10" t="s">
        <v>131</v>
      </c>
      <c r="AB2266" s="10" t="s">
        <v>9021</v>
      </c>
      <c r="AC2266" s="10" t="s">
        <v>9022</v>
      </c>
      <c r="AD2266" s="10" t="s">
        <v>165</v>
      </c>
      <c r="AE2266" s="10" t="s">
        <v>17358</v>
      </c>
      <c r="AF2266" s="15"/>
      <c r="AG2266" s="10"/>
      <c r="AH2266" s="10"/>
      <c r="AI2266" s="10"/>
      <c r="AJ2266" s="10"/>
      <c r="AK2266" s="10" t="s">
        <v>102</v>
      </c>
      <c r="AL2266" s="10"/>
      <c r="AM2266" s="10"/>
      <c r="AN2266" s="10"/>
      <c r="AO2266" s="13" t="b">
        <v>0</v>
      </c>
      <c r="AP2266" s="22" t="s">
        <v>104</v>
      </c>
      <c r="AQ2266" s="10">
        <f ca="1">IFERROR(__xludf.DUMMYFUNCTION("""COMPUTED_VALUE"""),4644422)</f>
        <v>4644422</v>
      </c>
      <c r="AR2266" s="17">
        <v>162</v>
      </c>
      <c r="AS2266" s="17">
        <v>127</v>
      </c>
      <c r="AT2266" s="17">
        <v>797.5</v>
      </c>
      <c r="AU2266" s="17">
        <v>0</v>
      </c>
      <c r="AV2266" s="17">
        <v>0</v>
      </c>
      <c r="AW2266" s="10" t="s">
        <v>105</v>
      </c>
      <c r="AX2266" s="17">
        <v>64</v>
      </c>
      <c r="AY2266" s="18">
        <v>6.2795275590551185</v>
      </c>
      <c r="AZ2266" s="10"/>
      <c r="BA2266" s="20" t="b">
        <v>0</v>
      </c>
      <c r="BB2266" s="10" t="s">
        <v>17335</v>
      </c>
      <c r="BC2266" s="17">
        <v>162</v>
      </c>
      <c r="BD2266" s="17">
        <v>127</v>
      </c>
      <c r="BE2266" s="17">
        <v>797.5</v>
      </c>
      <c r="BF2266" s="17">
        <v>0</v>
      </c>
      <c r="BG2266" s="11">
        <f ca="1">IFERROR(__xludf.DUMMYFUNCTION("""COMPUTED_VALUE"""),45942.375)</f>
        <v>45942.375</v>
      </c>
      <c r="BH2266" s="17" t="s">
        <v>105</v>
      </c>
      <c r="BI2266" s="17"/>
      <c r="BJ2266" s="15"/>
      <c r="BK2266" s="15"/>
      <c r="BL2266" s="13" t="b">
        <v>0</v>
      </c>
      <c r="BM2266" s="10"/>
      <c r="BN2266" s="10" t="s">
        <v>278</v>
      </c>
      <c r="BO2266" s="11">
        <v>45941.848611111112</v>
      </c>
      <c r="BP2266" s="11">
        <v>45941.84878472222</v>
      </c>
      <c r="BQ2266" s="15"/>
      <c r="BR2266" s="15">
        <v>45941.949560185189</v>
      </c>
      <c r="BS2266" s="10" t="s">
        <v>278</v>
      </c>
      <c r="BT2266" s="10"/>
      <c r="BU2266" s="10"/>
      <c r="BV2266" s="10"/>
      <c r="BW2266" s="10"/>
      <c r="BX2266" s="10"/>
      <c r="BY2266" s="23"/>
      <c r="BZ2266" s="23"/>
      <c r="CA2266" s="19" t="s">
        <v>9024</v>
      </c>
      <c r="CB2266" s="23"/>
      <c r="CC2266" s="23"/>
      <c r="CD2266" s="23"/>
      <c r="CE2266" s="23"/>
      <c r="CF2266" s="23"/>
      <c r="CG2266" s="23"/>
      <c r="CH2266" s="23"/>
      <c r="CI2266" s="23"/>
    </row>
    <row r="2267" spans="1:87" x14ac:dyDescent="0.3">
      <c r="A2267" s="9" t="s">
        <v>17359</v>
      </c>
      <c r="B2267" s="10" t="s">
        <v>17360</v>
      </c>
      <c r="C2267" s="11">
        <v>45942.395833333336</v>
      </c>
      <c r="D2267" s="12">
        <v>2.0833333333333332E-2</v>
      </c>
      <c r="E2267" s="11">
        <v>45942.416666666664</v>
      </c>
      <c r="F2267" s="10" t="s">
        <v>9016</v>
      </c>
      <c r="G2267" s="13" t="b">
        <v>0</v>
      </c>
      <c r="H2267" s="22" t="s">
        <v>9017</v>
      </c>
      <c r="I2267" s="10" t="s">
        <v>212</v>
      </c>
      <c r="J2267" s="13" t="b">
        <v>1</v>
      </c>
      <c r="K2267" s="13" t="b">
        <v>0</v>
      </c>
      <c r="L2267" s="10" t="s">
        <v>124</v>
      </c>
      <c r="M2267" s="10" t="s">
        <v>91</v>
      </c>
      <c r="N2267" s="10" t="s">
        <v>92</v>
      </c>
      <c r="O2267" s="19" t="s">
        <v>17361</v>
      </c>
      <c r="P2267" s="10"/>
      <c r="Q2267" s="10" t="s">
        <v>94</v>
      </c>
      <c r="R2267" s="10"/>
      <c r="S2267" s="19" t="s">
        <v>9019</v>
      </c>
      <c r="T2267" s="10"/>
      <c r="U2267" s="10"/>
      <c r="V2267" s="10"/>
      <c r="W2267" s="10" t="s">
        <v>9020</v>
      </c>
      <c r="X2267" s="10" t="s">
        <v>130</v>
      </c>
      <c r="Y2267" s="10" t="s">
        <v>130</v>
      </c>
      <c r="Z2267" s="10" t="s">
        <v>99</v>
      </c>
      <c r="AA2267" s="10" t="s">
        <v>131</v>
      </c>
      <c r="AB2267" s="10" t="s">
        <v>9021</v>
      </c>
      <c r="AC2267" s="10" t="s">
        <v>9022</v>
      </c>
      <c r="AD2267" s="10" t="s">
        <v>165</v>
      </c>
      <c r="AE2267" s="10" t="s">
        <v>17362</v>
      </c>
      <c r="AF2267" s="15"/>
      <c r="AG2267" s="10"/>
      <c r="AH2267" s="10"/>
      <c r="AI2267" s="10"/>
      <c r="AJ2267" s="10"/>
      <c r="AK2267" s="10" t="s">
        <v>102</v>
      </c>
      <c r="AL2267" s="10"/>
      <c r="AM2267" s="10"/>
      <c r="AN2267" s="10"/>
      <c r="AO2267" s="13" t="b">
        <v>0</v>
      </c>
      <c r="AP2267" s="22" t="s">
        <v>104</v>
      </c>
      <c r="AQ2267" s="10">
        <f ca="1">IFERROR(__xludf.DUMMYFUNCTION("""COMPUTED_VALUE"""),4644423)</f>
        <v>4644423</v>
      </c>
      <c r="AR2267" s="17">
        <v>151</v>
      </c>
      <c r="AS2267" s="17">
        <v>124</v>
      </c>
      <c r="AT2267" s="17">
        <v>1240.75</v>
      </c>
      <c r="AU2267" s="17">
        <v>0</v>
      </c>
      <c r="AV2267" s="17">
        <v>0</v>
      </c>
      <c r="AW2267" s="10" t="s">
        <v>105</v>
      </c>
      <c r="AX2267" s="17">
        <v>63</v>
      </c>
      <c r="AY2267" s="18">
        <v>10.006048387096774</v>
      </c>
      <c r="AZ2267" s="10"/>
      <c r="BA2267" s="20" t="b">
        <v>0</v>
      </c>
      <c r="BB2267" s="10" t="s">
        <v>17335</v>
      </c>
      <c r="BC2267" s="17">
        <v>151</v>
      </c>
      <c r="BD2267" s="17">
        <v>124</v>
      </c>
      <c r="BE2267" s="17">
        <v>1240.75</v>
      </c>
      <c r="BF2267" s="17">
        <v>0</v>
      </c>
      <c r="BG2267" s="11">
        <f ca="1">IFERROR(__xludf.DUMMYFUNCTION("""COMPUTED_VALUE"""),45942.3958333333)</f>
        <v>45942.395833333299</v>
      </c>
      <c r="BH2267" s="17" t="s">
        <v>105</v>
      </c>
      <c r="BI2267" s="17"/>
      <c r="BJ2267" s="15"/>
      <c r="BK2267" s="15"/>
      <c r="BL2267" s="13" t="b">
        <v>0</v>
      </c>
      <c r="BM2267" s="10"/>
      <c r="BN2267" s="10" t="s">
        <v>278</v>
      </c>
      <c r="BO2267" s="11">
        <v>45941.848611111112</v>
      </c>
      <c r="BP2267" s="11">
        <v>45941.848981481482</v>
      </c>
      <c r="BQ2267" s="15"/>
      <c r="BR2267" s="15">
        <v>45941.949895833335</v>
      </c>
      <c r="BS2267" s="10" t="s">
        <v>278</v>
      </c>
      <c r="BT2267" s="10"/>
      <c r="BU2267" s="10"/>
      <c r="BV2267" s="10"/>
      <c r="BW2267" s="10"/>
      <c r="BX2267" s="10"/>
      <c r="BY2267" s="23"/>
      <c r="BZ2267" s="23"/>
      <c r="CA2267" s="19" t="s">
        <v>9024</v>
      </c>
      <c r="CB2267" s="23"/>
      <c r="CC2267" s="23"/>
      <c r="CD2267" s="23"/>
      <c r="CE2267" s="23"/>
      <c r="CF2267" s="23"/>
      <c r="CG2267" s="23"/>
      <c r="CH2267" s="23"/>
      <c r="CI2267" s="23"/>
    </row>
    <row r="2268" spans="1:87" x14ac:dyDescent="0.3">
      <c r="A2268" s="9" t="s">
        <v>17363</v>
      </c>
      <c r="B2268" s="10" t="s">
        <v>17364</v>
      </c>
      <c r="C2268" s="11">
        <v>45942.416666666664</v>
      </c>
      <c r="D2268" s="12">
        <v>2.0833333333333332E-2</v>
      </c>
      <c r="E2268" s="11">
        <v>45942.4375</v>
      </c>
      <c r="F2268" s="10" t="s">
        <v>9016</v>
      </c>
      <c r="G2268" s="13" t="b">
        <v>0</v>
      </c>
      <c r="H2268" s="22" t="s">
        <v>9017</v>
      </c>
      <c r="I2268" s="10" t="s">
        <v>212</v>
      </c>
      <c r="J2268" s="13" t="b">
        <v>1</v>
      </c>
      <c r="K2268" s="13" t="b">
        <v>0</v>
      </c>
      <c r="L2268" s="10" t="s">
        <v>124</v>
      </c>
      <c r="M2268" s="10" t="s">
        <v>91</v>
      </c>
      <c r="N2268" s="10" t="s">
        <v>92</v>
      </c>
      <c r="O2268" s="19" t="s">
        <v>17365</v>
      </c>
      <c r="P2268" s="10"/>
      <c r="Q2268" s="10" t="s">
        <v>94</v>
      </c>
      <c r="R2268" s="10"/>
      <c r="S2268" s="19" t="s">
        <v>9019</v>
      </c>
      <c r="T2268" s="10"/>
      <c r="U2268" s="10"/>
      <c r="V2268" s="10"/>
      <c r="W2268" s="10" t="s">
        <v>9020</v>
      </c>
      <c r="X2268" s="10" t="s">
        <v>130</v>
      </c>
      <c r="Y2268" s="10" t="s">
        <v>130</v>
      </c>
      <c r="Z2268" s="10" t="s">
        <v>99</v>
      </c>
      <c r="AA2268" s="10" t="s">
        <v>131</v>
      </c>
      <c r="AB2268" s="10" t="s">
        <v>9021</v>
      </c>
      <c r="AC2268" s="10" t="s">
        <v>9022</v>
      </c>
      <c r="AD2268" s="10" t="s">
        <v>165</v>
      </c>
      <c r="AE2268" s="10" t="s">
        <v>17366</v>
      </c>
      <c r="AF2268" s="15"/>
      <c r="AG2268" s="10"/>
      <c r="AH2268" s="10"/>
      <c r="AI2268" s="10"/>
      <c r="AJ2268" s="10"/>
      <c r="AK2268" s="10" t="s">
        <v>102</v>
      </c>
      <c r="AL2268" s="10"/>
      <c r="AM2268" s="10"/>
      <c r="AN2268" s="10"/>
      <c r="AO2268" s="13" t="b">
        <v>0</v>
      </c>
      <c r="AP2268" s="22" t="s">
        <v>104</v>
      </c>
      <c r="AQ2268" s="10">
        <f ca="1">IFERROR(__xludf.DUMMYFUNCTION("""COMPUTED_VALUE"""),4644424)</f>
        <v>4644424</v>
      </c>
      <c r="AR2268" s="17">
        <v>128</v>
      </c>
      <c r="AS2268" s="17">
        <v>95</v>
      </c>
      <c r="AT2268" s="17">
        <v>583.25</v>
      </c>
      <c r="AU2268" s="17">
        <v>0</v>
      </c>
      <c r="AV2268" s="17">
        <v>0</v>
      </c>
      <c r="AW2268" s="10" t="s">
        <v>105</v>
      </c>
      <c r="AX2268" s="17">
        <v>63</v>
      </c>
      <c r="AY2268" s="18">
        <v>6.1394736842105262</v>
      </c>
      <c r="AZ2268" s="10"/>
      <c r="BA2268" s="20" t="b">
        <v>0</v>
      </c>
      <c r="BB2268" s="10" t="s">
        <v>17335</v>
      </c>
      <c r="BC2268" s="17">
        <v>128</v>
      </c>
      <c r="BD2268" s="17">
        <v>95</v>
      </c>
      <c r="BE2268" s="17">
        <v>583.25</v>
      </c>
      <c r="BF2268" s="17">
        <v>0</v>
      </c>
      <c r="BG2268" s="11">
        <f ca="1">IFERROR(__xludf.DUMMYFUNCTION("""COMPUTED_VALUE"""),45942.4166666666)</f>
        <v>45942.416666666599</v>
      </c>
      <c r="BH2268" s="17" t="s">
        <v>105</v>
      </c>
      <c r="BI2268" s="17"/>
      <c r="BJ2268" s="15"/>
      <c r="BK2268" s="15"/>
      <c r="BL2268" s="13" t="b">
        <v>0</v>
      </c>
      <c r="BM2268" s="10"/>
      <c r="BN2268" s="10" t="s">
        <v>278</v>
      </c>
      <c r="BO2268" s="11">
        <v>45941.848611111112</v>
      </c>
      <c r="BP2268" s="11">
        <v>45941.849212962959</v>
      </c>
      <c r="BQ2268" s="15"/>
      <c r="BR2268" s="15">
        <v>45941.950243055559</v>
      </c>
      <c r="BS2268" s="10" t="s">
        <v>278</v>
      </c>
      <c r="BT2268" s="10"/>
      <c r="BU2268" s="10"/>
      <c r="BV2268" s="10"/>
      <c r="BW2268" s="10"/>
      <c r="BX2268" s="10"/>
      <c r="BY2268" s="23"/>
      <c r="BZ2268" s="23"/>
      <c r="CA2268" s="19" t="s">
        <v>9024</v>
      </c>
      <c r="CB2268" s="23"/>
      <c r="CC2268" s="23"/>
      <c r="CD2268" s="23"/>
      <c r="CE2268" s="23"/>
      <c r="CF2268" s="23"/>
      <c r="CG2268" s="23"/>
      <c r="CH2268" s="23"/>
      <c r="CI2268" s="23"/>
    </row>
    <row r="2269" spans="1:87" x14ac:dyDescent="0.3">
      <c r="A2269" s="9" t="s">
        <v>17367</v>
      </c>
      <c r="B2269" s="10" t="s">
        <v>17368</v>
      </c>
      <c r="C2269" s="11">
        <v>45942.4375</v>
      </c>
      <c r="D2269" s="12">
        <v>2.0833333333333332E-2</v>
      </c>
      <c r="E2269" s="11">
        <v>45942.458333333336</v>
      </c>
      <c r="F2269" s="10" t="s">
        <v>9016</v>
      </c>
      <c r="G2269" s="13" t="b">
        <v>0</v>
      </c>
      <c r="H2269" s="22" t="s">
        <v>9017</v>
      </c>
      <c r="I2269" s="10" t="s">
        <v>212</v>
      </c>
      <c r="J2269" s="13" t="b">
        <v>1</v>
      </c>
      <c r="K2269" s="13" t="b">
        <v>0</v>
      </c>
      <c r="L2269" s="10" t="s">
        <v>124</v>
      </c>
      <c r="M2269" s="10" t="s">
        <v>91</v>
      </c>
      <c r="N2269" s="10" t="s">
        <v>92</v>
      </c>
      <c r="O2269" s="19" t="s">
        <v>17369</v>
      </c>
      <c r="P2269" s="10"/>
      <c r="Q2269" s="10" t="s">
        <v>94</v>
      </c>
      <c r="R2269" s="10"/>
      <c r="S2269" s="19" t="s">
        <v>9019</v>
      </c>
      <c r="T2269" s="10"/>
      <c r="U2269" s="10"/>
      <c r="V2269" s="10"/>
      <c r="W2269" s="10" t="s">
        <v>9020</v>
      </c>
      <c r="X2269" s="10" t="s">
        <v>130</v>
      </c>
      <c r="Y2269" s="10" t="s">
        <v>130</v>
      </c>
      <c r="Z2269" s="10" t="s">
        <v>99</v>
      </c>
      <c r="AA2269" s="10" t="s">
        <v>131</v>
      </c>
      <c r="AB2269" s="10" t="s">
        <v>9021</v>
      </c>
      <c r="AC2269" s="10" t="s">
        <v>9022</v>
      </c>
      <c r="AD2269" s="10" t="s">
        <v>165</v>
      </c>
      <c r="AE2269" s="10" t="s">
        <v>17370</v>
      </c>
      <c r="AF2269" s="15"/>
      <c r="AG2269" s="10"/>
      <c r="AH2269" s="10"/>
      <c r="AI2269" s="10"/>
      <c r="AJ2269" s="10"/>
      <c r="AK2269" s="10" t="s">
        <v>102</v>
      </c>
      <c r="AL2269" s="10"/>
      <c r="AM2269" s="10"/>
      <c r="AN2269" s="10"/>
      <c r="AO2269" s="13" t="b">
        <v>0</v>
      </c>
      <c r="AP2269" s="22" t="s">
        <v>104</v>
      </c>
      <c r="AQ2269" s="10">
        <f ca="1">IFERROR(__xludf.DUMMYFUNCTION("""COMPUTED_VALUE"""),4644425)</f>
        <v>4644425</v>
      </c>
      <c r="AR2269" s="17">
        <v>154</v>
      </c>
      <c r="AS2269" s="17">
        <v>126</v>
      </c>
      <c r="AT2269" s="17">
        <v>1529.5</v>
      </c>
      <c r="AU2269" s="17">
        <v>0</v>
      </c>
      <c r="AV2269" s="17">
        <v>0</v>
      </c>
      <c r="AW2269" s="10" t="s">
        <v>105</v>
      </c>
      <c r="AX2269" s="17">
        <v>59</v>
      </c>
      <c r="AY2269" s="18">
        <v>12.138888888888889</v>
      </c>
      <c r="AZ2269" s="10"/>
      <c r="BA2269" s="20" t="b">
        <v>0</v>
      </c>
      <c r="BB2269" s="10" t="s">
        <v>17335</v>
      </c>
      <c r="BC2269" s="17">
        <v>154</v>
      </c>
      <c r="BD2269" s="17">
        <v>126</v>
      </c>
      <c r="BE2269" s="17">
        <v>1529.5</v>
      </c>
      <c r="BF2269" s="17">
        <v>0</v>
      </c>
      <c r="BG2269" s="11">
        <f ca="1">IFERROR(__xludf.DUMMYFUNCTION("""COMPUTED_VALUE"""),45942.4375)</f>
        <v>45942.4375</v>
      </c>
      <c r="BH2269" s="17" t="s">
        <v>105</v>
      </c>
      <c r="BI2269" s="17"/>
      <c r="BJ2269" s="15"/>
      <c r="BK2269" s="15"/>
      <c r="BL2269" s="13" t="b">
        <v>0</v>
      </c>
      <c r="BM2269" s="10"/>
      <c r="BN2269" s="10" t="s">
        <v>278</v>
      </c>
      <c r="BO2269" s="11">
        <v>45941.849305555559</v>
      </c>
      <c r="BP2269" s="11">
        <v>45941.84946759259</v>
      </c>
      <c r="BQ2269" s="15"/>
      <c r="BR2269" s="15">
        <v>45941.950543981482</v>
      </c>
      <c r="BS2269" s="10" t="s">
        <v>278</v>
      </c>
      <c r="BT2269" s="10"/>
      <c r="BU2269" s="10"/>
      <c r="BV2269" s="10"/>
      <c r="BW2269" s="10"/>
      <c r="BX2269" s="10"/>
      <c r="BY2269" s="23"/>
      <c r="BZ2269" s="23"/>
      <c r="CA2269" s="19" t="s">
        <v>9024</v>
      </c>
      <c r="CB2269" s="23"/>
      <c r="CC2269" s="23"/>
      <c r="CD2269" s="23"/>
      <c r="CE2269" s="23"/>
      <c r="CF2269" s="23"/>
      <c r="CG2269" s="23"/>
      <c r="CH2269" s="23"/>
      <c r="CI2269" s="23"/>
    </row>
    <row r="2270" spans="1:87" x14ac:dyDescent="0.3">
      <c r="A2270" s="9" t="s">
        <v>17371</v>
      </c>
      <c r="B2270" s="10" t="s">
        <v>17372</v>
      </c>
      <c r="C2270" s="11">
        <v>45942.458333333336</v>
      </c>
      <c r="D2270" s="12">
        <v>2.0833333333333332E-2</v>
      </c>
      <c r="E2270" s="11">
        <v>45942.479166666664</v>
      </c>
      <c r="F2270" s="10" t="s">
        <v>9016</v>
      </c>
      <c r="G2270" s="13" t="b">
        <v>0</v>
      </c>
      <c r="H2270" s="22" t="s">
        <v>9017</v>
      </c>
      <c r="I2270" s="10" t="s">
        <v>212</v>
      </c>
      <c r="J2270" s="13" t="b">
        <v>1</v>
      </c>
      <c r="K2270" s="13" t="b">
        <v>0</v>
      </c>
      <c r="L2270" s="10" t="s">
        <v>124</v>
      </c>
      <c r="M2270" s="10" t="s">
        <v>91</v>
      </c>
      <c r="N2270" s="10" t="s">
        <v>92</v>
      </c>
      <c r="O2270" s="19" t="s">
        <v>17373</v>
      </c>
      <c r="P2270" s="10"/>
      <c r="Q2270" s="10" t="s">
        <v>94</v>
      </c>
      <c r="R2270" s="10"/>
      <c r="S2270" s="19" t="s">
        <v>9019</v>
      </c>
      <c r="T2270" s="10"/>
      <c r="U2270" s="10"/>
      <c r="V2270" s="10"/>
      <c r="W2270" s="10" t="s">
        <v>9020</v>
      </c>
      <c r="X2270" s="10" t="s">
        <v>130</v>
      </c>
      <c r="Y2270" s="10" t="s">
        <v>130</v>
      </c>
      <c r="Z2270" s="10" t="s">
        <v>99</v>
      </c>
      <c r="AA2270" s="10" t="s">
        <v>131</v>
      </c>
      <c r="AB2270" s="10" t="s">
        <v>9021</v>
      </c>
      <c r="AC2270" s="10" t="s">
        <v>9022</v>
      </c>
      <c r="AD2270" s="10" t="s">
        <v>165</v>
      </c>
      <c r="AE2270" s="10" t="s">
        <v>17374</v>
      </c>
      <c r="AF2270" s="15"/>
      <c r="AG2270" s="10"/>
      <c r="AH2270" s="10"/>
      <c r="AI2270" s="10"/>
      <c r="AJ2270" s="10"/>
      <c r="AK2270" s="10" t="s">
        <v>102</v>
      </c>
      <c r="AL2270" s="10"/>
      <c r="AM2270" s="10"/>
      <c r="AN2270" s="10"/>
      <c r="AO2270" s="13" t="b">
        <v>0</v>
      </c>
      <c r="AP2270" s="22" t="s">
        <v>104</v>
      </c>
      <c r="AQ2270" s="10">
        <f ca="1">IFERROR(__xludf.DUMMYFUNCTION("""COMPUTED_VALUE"""),4644426)</f>
        <v>4644426</v>
      </c>
      <c r="AR2270" s="17">
        <v>114</v>
      </c>
      <c r="AS2270" s="17">
        <v>88</v>
      </c>
      <c r="AT2270" s="17">
        <v>1238.25</v>
      </c>
      <c r="AU2270" s="17">
        <v>0</v>
      </c>
      <c r="AV2270" s="17">
        <v>0</v>
      </c>
      <c r="AW2270" s="10" t="s">
        <v>105</v>
      </c>
      <c r="AX2270" s="17">
        <v>48</v>
      </c>
      <c r="AY2270" s="18">
        <v>14.071022727272727</v>
      </c>
      <c r="AZ2270" s="10"/>
      <c r="BA2270" s="20" t="b">
        <v>0</v>
      </c>
      <c r="BB2270" s="10" t="s">
        <v>17335</v>
      </c>
      <c r="BC2270" s="17">
        <v>114</v>
      </c>
      <c r="BD2270" s="17">
        <v>88</v>
      </c>
      <c r="BE2270" s="17">
        <v>1238.25</v>
      </c>
      <c r="BF2270" s="17">
        <v>0</v>
      </c>
      <c r="BG2270" s="11">
        <f ca="1">IFERROR(__xludf.DUMMYFUNCTION("""COMPUTED_VALUE"""),45942.4583333333)</f>
        <v>45942.458333333299</v>
      </c>
      <c r="BH2270" s="17" t="s">
        <v>105</v>
      </c>
      <c r="BI2270" s="17"/>
      <c r="BJ2270" s="15"/>
      <c r="BK2270" s="15"/>
      <c r="BL2270" s="13" t="b">
        <v>0</v>
      </c>
      <c r="BM2270" s="10"/>
      <c r="BN2270" s="10" t="s">
        <v>278</v>
      </c>
      <c r="BO2270" s="11">
        <v>45941.849305555559</v>
      </c>
      <c r="BP2270" s="11">
        <v>45941.849652777775</v>
      </c>
      <c r="BQ2270" s="15"/>
      <c r="BR2270" s="15">
        <v>45941.950821759259</v>
      </c>
      <c r="BS2270" s="10" t="s">
        <v>278</v>
      </c>
      <c r="BT2270" s="10"/>
      <c r="BU2270" s="10"/>
      <c r="BV2270" s="10"/>
      <c r="BW2270" s="10"/>
      <c r="BX2270" s="10"/>
      <c r="BY2270" s="23"/>
      <c r="BZ2270" s="23"/>
      <c r="CA2270" s="19" t="s">
        <v>9024</v>
      </c>
      <c r="CB2270" s="23"/>
      <c r="CC2270" s="23"/>
      <c r="CD2270" s="23"/>
      <c r="CE2270" s="23"/>
      <c r="CF2270" s="23"/>
      <c r="CG2270" s="23"/>
      <c r="CH2270" s="23"/>
      <c r="CI2270" s="23"/>
    </row>
    <row r="2271" spans="1:87" x14ac:dyDescent="0.3">
      <c r="A2271" s="9" t="s">
        <v>17375</v>
      </c>
      <c r="B2271" s="10" t="s">
        <v>17376</v>
      </c>
      <c r="C2271" s="11">
        <v>45942.479166666664</v>
      </c>
      <c r="D2271" s="12">
        <v>2.0833333333333332E-2</v>
      </c>
      <c r="E2271" s="11">
        <v>45942.5</v>
      </c>
      <c r="F2271" s="10" t="s">
        <v>9016</v>
      </c>
      <c r="G2271" s="13" t="b">
        <v>0</v>
      </c>
      <c r="H2271" s="22" t="s">
        <v>9017</v>
      </c>
      <c r="I2271" s="10" t="s">
        <v>212</v>
      </c>
      <c r="J2271" s="13" t="b">
        <v>1</v>
      </c>
      <c r="K2271" s="13" t="b">
        <v>0</v>
      </c>
      <c r="L2271" s="10" t="s">
        <v>124</v>
      </c>
      <c r="M2271" s="10" t="s">
        <v>91</v>
      </c>
      <c r="N2271" s="10" t="s">
        <v>92</v>
      </c>
      <c r="O2271" s="19" t="s">
        <v>17377</v>
      </c>
      <c r="P2271" s="10"/>
      <c r="Q2271" s="10" t="s">
        <v>94</v>
      </c>
      <c r="R2271" s="10"/>
      <c r="S2271" s="19" t="s">
        <v>9019</v>
      </c>
      <c r="T2271" s="10"/>
      <c r="U2271" s="10"/>
      <c r="V2271" s="10"/>
      <c r="W2271" s="10" t="s">
        <v>9020</v>
      </c>
      <c r="X2271" s="10" t="s">
        <v>130</v>
      </c>
      <c r="Y2271" s="10" t="s">
        <v>130</v>
      </c>
      <c r="Z2271" s="10" t="s">
        <v>99</v>
      </c>
      <c r="AA2271" s="10" t="s">
        <v>131</v>
      </c>
      <c r="AB2271" s="10" t="s">
        <v>9021</v>
      </c>
      <c r="AC2271" s="10" t="s">
        <v>9022</v>
      </c>
      <c r="AD2271" s="10" t="s">
        <v>165</v>
      </c>
      <c r="AE2271" s="10" t="s">
        <v>17378</v>
      </c>
      <c r="AF2271" s="15"/>
      <c r="AG2271" s="10"/>
      <c r="AH2271" s="10"/>
      <c r="AI2271" s="10"/>
      <c r="AJ2271" s="10"/>
      <c r="AK2271" s="10" t="s">
        <v>102</v>
      </c>
      <c r="AL2271" s="10"/>
      <c r="AM2271" s="10"/>
      <c r="AN2271" s="10"/>
      <c r="AO2271" s="13" t="b">
        <v>0</v>
      </c>
      <c r="AP2271" s="22" t="s">
        <v>104</v>
      </c>
      <c r="AQ2271" s="10">
        <f ca="1">IFERROR(__xludf.DUMMYFUNCTION("""COMPUTED_VALUE"""),4644427)</f>
        <v>4644427</v>
      </c>
      <c r="AR2271" s="17">
        <v>108</v>
      </c>
      <c r="AS2271" s="17">
        <v>92</v>
      </c>
      <c r="AT2271" s="17">
        <v>336.5</v>
      </c>
      <c r="AU2271" s="17">
        <v>0.75</v>
      </c>
      <c r="AV2271" s="17">
        <v>0.75</v>
      </c>
      <c r="AW2271" s="10" t="s">
        <v>105</v>
      </c>
      <c r="AX2271" s="17">
        <v>52</v>
      </c>
      <c r="AY2271" s="18">
        <v>3.6576086956521738</v>
      </c>
      <c r="AZ2271" s="10"/>
      <c r="BA2271" s="20" t="b">
        <v>0</v>
      </c>
      <c r="BB2271" s="10" t="s">
        <v>17335</v>
      </c>
      <c r="BC2271" s="17">
        <v>108</v>
      </c>
      <c r="BD2271" s="17">
        <v>92</v>
      </c>
      <c r="BE2271" s="17">
        <v>336.5</v>
      </c>
      <c r="BF2271" s="17">
        <v>0.75</v>
      </c>
      <c r="BG2271" s="11">
        <f ca="1">IFERROR(__xludf.DUMMYFUNCTION("""COMPUTED_VALUE"""),45942.4791666666)</f>
        <v>45942.479166666599</v>
      </c>
      <c r="BH2271" s="17" t="s">
        <v>105</v>
      </c>
      <c r="BI2271" s="17"/>
      <c r="BJ2271" s="15"/>
      <c r="BK2271" s="15"/>
      <c r="BL2271" s="13" t="b">
        <v>0</v>
      </c>
      <c r="BM2271" s="10"/>
      <c r="BN2271" s="10" t="s">
        <v>278</v>
      </c>
      <c r="BO2271" s="11">
        <v>45941.85</v>
      </c>
      <c r="BP2271" s="11">
        <v>45941.850497685184</v>
      </c>
      <c r="BQ2271" s="15"/>
      <c r="BR2271" s="15">
        <v>45941.951412037037</v>
      </c>
      <c r="BS2271" s="10" t="s">
        <v>278</v>
      </c>
      <c r="BT2271" s="10"/>
      <c r="BU2271" s="10"/>
      <c r="BV2271" s="10"/>
      <c r="BW2271" s="10"/>
      <c r="BX2271" s="10"/>
      <c r="BY2271" s="23"/>
      <c r="BZ2271" s="23"/>
      <c r="CA2271" s="19" t="s">
        <v>9024</v>
      </c>
      <c r="CB2271" s="23"/>
      <c r="CC2271" s="23"/>
      <c r="CD2271" s="23"/>
      <c r="CE2271" s="23"/>
      <c r="CF2271" s="23"/>
      <c r="CG2271" s="23"/>
      <c r="CH2271" s="23"/>
      <c r="CI2271" s="23"/>
    </row>
    <row r="2272" spans="1:87" x14ac:dyDescent="0.3">
      <c r="A2272" s="9" t="s">
        <v>17379</v>
      </c>
      <c r="B2272" s="10" t="s">
        <v>17380</v>
      </c>
      <c r="C2272" s="11">
        <v>45942.517361111109</v>
      </c>
      <c r="D2272" s="12">
        <v>2.7777777777777776E-2</v>
      </c>
      <c r="E2272" s="11">
        <v>45942.545138888891</v>
      </c>
      <c r="F2272" s="10" t="s">
        <v>9016</v>
      </c>
      <c r="G2272" s="13" t="b">
        <v>0</v>
      </c>
      <c r="H2272" s="22" t="s">
        <v>9017</v>
      </c>
      <c r="I2272" s="10" t="s">
        <v>212</v>
      </c>
      <c r="J2272" s="13" t="b">
        <v>1</v>
      </c>
      <c r="K2272" s="13" t="b">
        <v>0</v>
      </c>
      <c r="L2272" s="10" t="s">
        <v>124</v>
      </c>
      <c r="M2272" s="10" t="s">
        <v>91</v>
      </c>
      <c r="N2272" s="10" t="s">
        <v>92</v>
      </c>
      <c r="O2272" s="19" t="s">
        <v>17381</v>
      </c>
      <c r="P2272" s="10"/>
      <c r="Q2272" s="10" t="s">
        <v>94</v>
      </c>
      <c r="R2272" s="10"/>
      <c r="S2272" s="19" t="s">
        <v>9019</v>
      </c>
      <c r="T2272" s="10"/>
      <c r="U2272" s="10"/>
      <c r="V2272" s="10"/>
      <c r="W2272" s="10" t="s">
        <v>9020</v>
      </c>
      <c r="X2272" s="10" t="s">
        <v>130</v>
      </c>
      <c r="Y2272" s="10" t="s">
        <v>130</v>
      </c>
      <c r="Z2272" s="10" t="s">
        <v>99</v>
      </c>
      <c r="AA2272" s="10" t="s">
        <v>131</v>
      </c>
      <c r="AB2272" s="10" t="s">
        <v>9021</v>
      </c>
      <c r="AC2272" s="10" t="s">
        <v>9022</v>
      </c>
      <c r="AD2272" s="10" t="s">
        <v>165</v>
      </c>
      <c r="AE2272" s="10" t="s">
        <v>17382</v>
      </c>
      <c r="AF2272" s="15"/>
      <c r="AG2272" s="10"/>
      <c r="AH2272" s="10"/>
      <c r="AI2272" s="10"/>
      <c r="AJ2272" s="10"/>
      <c r="AK2272" s="10" t="s">
        <v>102</v>
      </c>
      <c r="AL2272" s="10"/>
      <c r="AM2272" s="10"/>
      <c r="AN2272" s="10"/>
      <c r="AO2272" s="13" t="b">
        <v>0</v>
      </c>
      <c r="AP2272" s="22" t="s">
        <v>104</v>
      </c>
      <c r="AQ2272" s="10">
        <f ca="1">IFERROR(__xludf.DUMMYFUNCTION("""COMPUTED_VALUE"""),4644428)</f>
        <v>4644428</v>
      </c>
      <c r="AR2272" s="17">
        <v>195</v>
      </c>
      <c r="AS2272" s="17">
        <v>153</v>
      </c>
      <c r="AT2272" s="17">
        <v>1108</v>
      </c>
      <c r="AU2272" s="17">
        <v>0</v>
      </c>
      <c r="AV2272" s="17">
        <v>0</v>
      </c>
      <c r="AW2272" s="10" t="s">
        <v>105</v>
      </c>
      <c r="AX2272" s="17">
        <v>65</v>
      </c>
      <c r="AY2272" s="18">
        <v>7.2418300653594772</v>
      </c>
      <c r="AZ2272" s="10"/>
      <c r="BA2272" s="20" t="b">
        <v>0</v>
      </c>
      <c r="BB2272" s="10" t="s">
        <v>17335</v>
      </c>
      <c r="BC2272" s="17">
        <v>195</v>
      </c>
      <c r="BD2272" s="17">
        <v>153</v>
      </c>
      <c r="BE2272" s="17">
        <v>1108</v>
      </c>
      <c r="BF2272" s="17">
        <v>0</v>
      </c>
      <c r="BG2272" s="11">
        <f ca="1">IFERROR(__xludf.DUMMYFUNCTION("""COMPUTED_VALUE"""),45942.5173611111)</f>
        <v>45942.517361111102</v>
      </c>
      <c r="BH2272" s="17" t="s">
        <v>105</v>
      </c>
      <c r="BI2272" s="17"/>
      <c r="BJ2272" s="15"/>
      <c r="BK2272" s="15"/>
      <c r="BL2272" s="13" t="b">
        <v>0</v>
      </c>
      <c r="BM2272" s="10"/>
      <c r="BN2272" s="10" t="s">
        <v>278</v>
      </c>
      <c r="BO2272" s="11">
        <v>45941.851388888892</v>
      </c>
      <c r="BP2272" s="11">
        <v>45941.851620370369</v>
      </c>
      <c r="BQ2272" s="15"/>
      <c r="BR2272" s="15">
        <v>45941.95171296296</v>
      </c>
      <c r="BS2272" s="10" t="s">
        <v>278</v>
      </c>
      <c r="BT2272" s="10"/>
      <c r="BU2272" s="10"/>
      <c r="BV2272" s="10"/>
      <c r="BW2272" s="10"/>
      <c r="BX2272" s="10"/>
      <c r="BY2272" s="23"/>
      <c r="BZ2272" s="23"/>
      <c r="CA2272" s="19" t="s">
        <v>9024</v>
      </c>
      <c r="CB2272" s="23"/>
      <c r="CC2272" s="23"/>
      <c r="CD2272" s="23"/>
      <c r="CE2272" s="23"/>
      <c r="CF2272" s="23"/>
      <c r="CG2272" s="23"/>
      <c r="CH2272" s="23"/>
      <c r="CI2272" s="23"/>
    </row>
    <row r="2273" spans="1:87" x14ac:dyDescent="0.3">
      <c r="A2273" s="9" t="s">
        <v>17383</v>
      </c>
      <c r="B2273" s="10" t="s">
        <v>17384</v>
      </c>
      <c r="C2273" s="11">
        <v>45942.545138888891</v>
      </c>
      <c r="D2273" s="12">
        <v>2.7777777777777776E-2</v>
      </c>
      <c r="E2273" s="11">
        <v>45942.572916666664</v>
      </c>
      <c r="F2273" s="10" t="s">
        <v>9016</v>
      </c>
      <c r="G2273" s="13" t="b">
        <v>0</v>
      </c>
      <c r="H2273" s="22" t="s">
        <v>9017</v>
      </c>
      <c r="I2273" s="10" t="s">
        <v>212</v>
      </c>
      <c r="J2273" s="13" t="b">
        <v>1</v>
      </c>
      <c r="K2273" s="13" t="b">
        <v>0</v>
      </c>
      <c r="L2273" s="10" t="s">
        <v>124</v>
      </c>
      <c r="M2273" s="10" t="s">
        <v>91</v>
      </c>
      <c r="N2273" s="10" t="s">
        <v>92</v>
      </c>
      <c r="O2273" s="19" t="s">
        <v>17385</v>
      </c>
      <c r="P2273" s="10"/>
      <c r="Q2273" s="10" t="s">
        <v>94</v>
      </c>
      <c r="R2273" s="10"/>
      <c r="S2273" s="19" t="s">
        <v>9019</v>
      </c>
      <c r="T2273" s="10"/>
      <c r="U2273" s="10"/>
      <c r="V2273" s="10"/>
      <c r="W2273" s="10" t="s">
        <v>9020</v>
      </c>
      <c r="X2273" s="10" t="s">
        <v>130</v>
      </c>
      <c r="Y2273" s="10" t="s">
        <v>130</v>
      </c>
      <c r="Z2273" s="10" t="s">
        <v>99</v>
      </c>
      <c r="AA2273" s="10" t="s">
        <v>131</v>
      </c>
      <c r="AB2273" s="10" t="s">
        <v>9021</v>
      </c>
      <c r="AC2273" s="10" t="s">
        <v>9022</v>
      </c>
      <c r="AD2273" s="10" t="s">
        <v>165</v>
      </c>
      <c r="AE2273" s="10" t="s">
        <v>17386</v>
      </c>
      <c r="AF2273" s="15"/>
      <c r="AG2273" s="10"/>
      <c r="AH2273" s="10"/>
      <c r="AI2273" s="10"/>
      <c r="AJ2273" s="10"/>
      <c r="AK2273" s="10" t="s">
        <v>102</v>
      </c>
      <c r="AL2273" s="10"/>
      <c r="AM2273" s="10"/>
      <c r="AN2273" s="10"/>
      <c r="AO2273" s="13" t="b">
        <v>0</v>
      </c>
      <c r="AP2273" s="22" t="s">
        <v>104</v>
      </c>
      <c r="AQ2273" s="10">
        <f ca="1">IFERROR(__xludf.DUMMYFUNCTION("""COMPUTED_VALUE"""),4644429)</f>
        <v>4644429</v>
      </c>
      <c r="AR2273" s="17">
        <v>261</v>
      </c>
      <c r="AS2273" s="17">
        <v>195</v>
      </c>
      <c r="AT2273" s="17">
        <v>3130</v>
      </c>
      <c r="AU2273" s="17">
        <v>0</v>
      </c>
      <c r="AV2273" s="17">
        <v>0</v>
      </c>
      <c r="AW2273" s="10" t="s">
        <v>105</v>
      </c>
      <c r="AX2273" s="17">
        <v>104</v>
      </c>
      <c r="AY2273" s="18">
        <v>16.051282051282051</v>
      </c>
      <c r="AZ2273" s="10"/>
      <c r="BA2273" s="20" t="b">
        <v>0</v>
      </c>
      <c r="BB2273" s="10" t="s">
        <v>17335</v>
      </c>
      <c r="BC2273" s="17">
        <v>261</v>
      </c>
      <c r="BD2273" s="17">
        <v>195</v>
      </c>
      <c r="BE2273" s="17">
        <v>3130</v>
      </c>
      <c r="BF2273" s="17">
        <v>0</v>
      </c>
      <c r="BG2273" s="11">
        <f ca="1">IFERROR(__xludf.DUMMYFUNCTION("""COMPUTED_VALUE"""),45942.5451388888)</f>
        <v>45942.545138888803</v>
      </c>
      <c r="BH2273" s="17" t="s">
        <v>105</v>
      </c>
      <c r="BI2273" s="17"/>
      <c r="BJ2273" s="15"/>
      <c r="BK2273" s="15"/>
      <c r="BL2273" s="13" t="b">
        <v>0</v>
      </c>
      <c r="BM2273" s="10"/>
      <c r="BN2273" s="10" t="s">
        <v>278</v>
      </c>
      <c r="BO2273" s="11">
        <v>45941.852083333331</v>
      </c>
      <c r="BP2273" s="11">
        <v>45941.85224537037</v>
      </c>
      <c r="BQ2273" s="15"/>
      <c r="BR2273" s="15">
        <v>45941.952418981484</v>
      </c>
      <c r="BS2273" s="10" t="s">
        <v>278</v>
      </c>
      <c r="BT2273" s="10"/>
      <c r="BU2273" s="10"/>
      <c r="BV2273" s="10"/>
      <c r="BW2273" s="10"/>
      <c r="BX2273" s="10"/>
      <c r="BY2273" s="23"/>
      <c r="BZ2273" s="23"/>
      <c r="CA2273" s="19" t="s">
        <v>9024</v>
      </c>
      <c r="CB2273" s="23"/>
      <c r="CC2273" s="23"/>
      <c r="CD2273" s="23"/>
      <c r="CE2273" s="23"/>
      <c r="CF2273" s="23"/>
      <c r="CG2273" s="23"/>
      <c r="CH2273" s="23"/>
      <c r="CI2273" s="23"/>
    </row>
    <row r="2274" spans="1:87" x14ac:dyDescent="0.3">
      <c r="A2274" s="9" t="s">
        <v>17387</v>
      </c>
      <c r="B2274" s="10" t="s">
        <v>17388</v>
      </c>
      <c r="C2274" s="11">
        <v>45942.572916666664</v>
      </c>
      <c r="D2274" s="12">
        <v>2.7777777777777776E-2</v>
      </c>
      <c r="E2274" s="11">
        <v>45942.600694444445</v>
      </c>
      <c r="F2274" s="10" t="s">
        <v>9016</v>
      </c>
      <c r="G2274" s="13" t="b">
        <v>0</v>
      </c>
      <c r="H2274" s="22" t="s">
        <v>9017</v>
      </c>
      <c r="I2274" s="10" t="s">
        <v>212</v>
      </c>
      <c r="J2274" s="13" t="b">
        <v>1</v>
      </c>
      <c r="K2274" s="13" t="b">
        <v>0</v>
      </c>
      <c r="L2274" s="10" t="s">
        <v>124</v>
      </c>
      <c r="M2274" s="10" t="s">
        <v>91</v>
      </c>
      <c r="N2274" s="10" t="s">
        <v>92</v>
      </c>
      <c r="O2274" s="19" t="s">
        <v>17389</v>
      </c>
      <c r="P2274" s="10"/>
      <c r="Q2274" s="10" t="s">
        <v>94</v>
      </c>
      <c r="R2274" s="10"/>
      <c r="S2274" s="19" t="s">
        <v>9019</v>
      </c>
      <c r="T2274" s="10"/>
      <c r="U2274" s="10"/>
      <c r="V2274" s="10"/>
      <c r="W2274" s="10" t="s">
        <v>9020</v>
      </c>
      <c r="X2274" s="10" t="s">
        <v>130</v>
      </c>
      <c r="Y2274" s="10" t="s">
        <v>130</v>
      </c>
      <c r="Z2274" s="10" t="s">
        <v>99</v>
      </c>
      <c r="AA2274" s="10" t="s">
        <v>131</v>
      </c>
      <c r="AB2274" s="10" t="s">
        <v>9021</v>
      </c>
      <c r="AC2274" s="10" t="s">
        <v>9022</v>
      </c>
      <c r="AD2274" s="10" t="s">
        <v>165</v>
      </c>
      <c r="AE2274" s="10" t="s">
        <v>17390</v>
      </c>
      <c r="AF2274" s="15"/>
      <c r="AG2274" s="10"/>
      <c r="AH2274" s="10"/>
      <c r="AI2274" s="10"/>
      <c r="AJ2274" s="10"/>
      <c r="AK2274" s="10" t="s">
        <v>102</v>
      </c>
      <c r="AL2274" s="10"/>
      <c r="AM2274" s="10"/>
      <c r="AN2274" s="10"/>
      <c r="AO2274" s="13" t="b">
        <v>0</v>
      </c>
      <c r="AP2274" s="22" t="s">
        <v>104</v>
      </c>
      <c r="AQ2274" s="10">
        <f ca="1">IFERROR(__xludf.DUMMYFUNCTION("""COMPUTED_VALUE"""),4644430)</f>
        <v>4644430</v>
      </c>
      <c r="AR2274" s="17">
        <v>180</v>
      </c>
      <c r="AS2274" s="17">
        <v>138</v>
      </c>
      <c r="AT2274" s="17">
        <v>1058.75</v>
      </c>
      <c r="AU2274" s="17">
        <v>0</v>
      </c>
      <c r="AV2274" s="17">
        <v>0</v>
      </c>
      <c r="AW2274" s="10" t="s">
        <v>105</v>
      </c>
      <c r="AX2274" s="17">
        <v>105</v>
      </c>
      <c r="AY2274" s="18">
        <v>7.6721014492753623</v>
      </c>
      <c r="AZ2274" s="10"/>
      <c r="BA2274" s="20" t="b">
        <v>0</v>
      </c>
      <c r="BB2274" s="10" t="s">
        <v>17335</v>
      </c>
      <c r="BC2274" s="17">
        <v>180</v>
      </c>
      <c r="BD2274" s="17">
        <v>138</v>
      </c>
      <c r="BE2274" s="17">
        <v>1058.75</v>
      </c>
      <c r="BF2274" s="17">
        <v>0</v>
      </c>
      <c r="BG2274" s="11">
        <f ca="1">IFERROR(__xludf.DUMMYFUNCTION("""COMPUTED_VALUE"""),45942.5729166666)</f>
        <v>45942.572916666599</v>
      </c>
      <c r="BH2274" s="17" t="s">
        <v>105</v>
      </c>
      <c r="BI2274" s="17"/>
      <c r="BJ2274" s="15"/>
      <c r="BK2274" s="15"/>
      <c r="BL2274" s="13" t="b">
        <v>0</v>
      </c>
      <c r="BM2274" s="10"/>
      <c r="BN2274" s="10" t="s">
        <v>278</v>
      </c>
      <c r="BO2274" s="11">
        <v>45941.852083333331</v>
      </c>
      <c r="BP2274" s="11">
        <v>45941.852349537039</v>
      </c>
      <c r="BQ2274" s="15"/>
      <c r="BR2274" s="15">
        <v>45941.952847222223</v>
      </c>
      <c r="BS2274" s="10" t="s">
        <v>278</v>
      </c>
      <c r="BT2274" s="10"/>
      <c r="BU2274" s="10"/>
      <c r="BV2274" s="10"/>
      <c r="BW2274" s="10"/>
      <c r="BX2274" s="10"/>
      <c r="BY2274" s="23"/>
      <c r="BZ2274" s="23"/>
      <c r="CA2274" s="19" t="s">
        <v>9024</v>
      </c>
      <c r="CB2274" s="23"/>
      <c r="CC2274" s="23"/>
      <c r="CD2274" s="23"/>
      <c r="CE2274" s="23"/>
      <c r="CF2274" s="23"/>
      <c r="CG2274" s="23"/>
      <c r="CH2274" s="23"/>
      <c r="CI2274" s="23"/>
    </row>
    <row r="2275" spans="1:87" x14ac:dyDescent="0.3">
      <c r="A2275" s="9" t="s">
        <v>17391</v>
      </c>
      <c r="B2275" s="10" t="s">
        <v>17392</v>
      </c>
      <c r="C2275" s="11">
        <v>45942.600694444445</v>
      </c>
      <c r="D2275" s="12">
        <v>2.7777777777777776E-2</v>
      </c>
      <c r="E2275" s="11">
        <v>45942.628472222219</v>
      </c>
      <c r="F2275" s="10" t="s">
        <v>9016</v>
      </c>
      <c r="G2275" s="13" t="b">
        <v>0</v>
      </c>
      <c r="H2275" s="22" t="s">
        <v>9017</v>
      </c>
      <c r="I2275" s="10" t="s">
        <v>212</v>
      </c>
      <c r="J2275" s="13" t="b">
        <v>1</v>
      </c>
      <c r="K2275" s="13" t="b">
        <v>0</v>
      </c>
      <c r="L2275" s="10" t="s">
        <v>124</v>
      </c>
      <c r="M2275" s="10" t="s">
        <v>91</v>
      </c>
      <c r="N2275" s="10" t="s">
        <v>92</v>
      </c>
      <c r="O2275" s="19" t="s">
        <v>17393</v>
      </c>
      <c r="P2275" s="10"/>
      <c r="Q2275" s="10" t="s">
        <v>94</v>
      </c>
      <c r="R2275" s="10"/>
      <c r="S2275" s="19" t="s">
        <v>9019</v>
      </c>
      <c r="T2275" s="10"/>
      <c r="U2275" s="10"/>
      <c r="V2275" s="10"/>
      <c r="W2275" s="10" t="s">
        <v>9020</v>
      </c>
      <c r="X2275" s="10" t="s">
        <v>130</v>
      </c>
      <c r="Y2275" s="10" t="s">
        <v>130</v>
      </c>
      <c r="Z2275" s="10" t="s">
        <v>99</v>
      </c>
      <c r="AA2275" s="10" t="s">
        <v>131</v>
      </c>
      <c r="AB2275" s="10" t="s">
        <v>9021</v>
      </c>
      <c r="AC2275" s="10" t="s">
        <v>9022</v>
      </c>
      <c r="AD2275" s="10" t="s">
        <v>165</v>
      </c>
      <c r="AE2275" s="10" t="s">
        <v>17394</v>
      </c>
      <c r="AF2275" s="15"/>
      <c r="AG2275" s="10"/>
      <c r="AH2275" s="10"/>
      <c r="AI2275" s="10"/>
      <c r="AJ2275" s="10"/>
      <c r="AK2275" s="10" t="s">
        <v>102</v>
      </c>
      <c r="AL2275" s="10"/>
      <c r="AM2275" s="10"/>
      <c r="AN2275" s="10"/>
      <c r="AO2275" s="13" t="b">
        <v>0</v>
      </c>
      <c r="AP2275" s="22" t="s">
        <v>104</v>
      </c>
      <c r="AQ2275" s="10">
        <f ca="1">IFERROR(__xludf.DUMMYFUNCTION("""COMPUTED_VALUE"""),4644431)</f>
        <v>4644431</v>
      </c>
      <c r="AR2275" s="17">
        <v>138</v>
      </c>
      <c r="AS2275" s="17">
        <v>117</v>
      </c>
      <c r="AT2275" s="17">
        <v>1204.5</v>
      </c>
      <c r="AU2275" s="17">
        <v>0</v>
      </c>
      <c r="AV2275" s="17">
        <v>0</v>
      </c>
      <c r="AW2275" s="10" t="s">
        <v>105</v>
      </c>
      <c r="AX2275" s="17">
        <v>56</v>
      </c>
      <c r="AY2275" s="18">
        <v>10.294871794871796</v>
      </c>
      <c r="AZ2275" s="10"/>
      <c r="BA2275" s="20" t="b">
        <v>0</v>
      </c>
      <c r="BB2275" s="10" t="s">
        <v>17335</v>
      </c>
      <c r="BC2275" s="17">
        <v>138</v>
      </c>
      <c r="BD2275" s="17">
        <v>117</v>
      </c>
      <c r="BE2275" s="17">
        <v>1204.5</v>
      </c>
      <c r="BF2275" s="17">
        <v>0</v>
      </c>
      <c r="BG2275" s="11">
        <f ca="1">IFERROR(__xludf.DUMMYFUNCTION("""COMPUTED_VALUE"""),45942.6006944444)</f>
        <v>45942.600694444402</v>
      </c>
      <c r="BH2275" s="17" t="s">
        <v>105</v>
      </c>
      <c r="BI2275" s="17"/>
      <c r="BJ2275" s="15"/>
      <c r="BK2275" s="15"/>
      <c r="BL2275" s="13" t="b">
        <v>0</v>
      </c>
      <c r="BM2275" s="10"/>
      <c r="BN2275" s="10" t="s">
        <v>278</v>
      </c>
      <c r="BO2275" s="11">
        <v>45941.852083333331</v>
      </c>
      <c r="BP2275" s="11">
        <v>45941.852627314816</v>
      </c>
      <c r="BQ2275" s="15"/>
      <c r="BR2275" s="15">
        <v>45941.953159722223</v>
      </c>
      <c r="BS2275" s="10" t="s">
        <v>278</v>
      </c>
      <c r="BT2275" s="10"/>
      <c r="BU2275" s="10"/>
      <c r="BV2275" s="10"/>
      <c r="BW2275" s="10"/>
      <c r="BX2275" s="10"/>
      <c r="BY2275" s="23"/>
      <c r="BZ2275" s="23"/>
      <c r="CA2275" s="19" t="s">
        <v>9024</v>
      </c>
      <c r="CB2275" s="23"/>
      <c r="CC2275" s="23"/>
      <c r="CD2275" s="23"/>
      <c r="CE2275" s="23"/>
      <c r="CF2275" s="23"/>
      <c r="CG2275" s="23"/>
      <c r="CH2275" s="23"/>
      <c r="CI2275" s="23"/>
    </row>
    <row r="2276" spans="1:87" x14ac:dyDescent="0.3">
      <c r="A2276" s="9" t="s">
        <v>17395</v>
      </c>
      <c r="B2276" s="10" t="s">
        <v>17396</v>
      </c>
      <c r="C2276" s="11">
        <v>45942.628472222219</v>
      </c>
      <c r="D2276" s="12">
        <v>3.8194444444444448E-2</v>
      </c>
      <c r="E2276" s="11">
        <v>45942.666666666664</v>
      </c>
      <c r="F2276" s="10" t="s">
        <v>9016</v>
      </c>
      <c r="G2276" s="13" t="b">
        <v>0</v>
      </c>
      <c r="H2276" s="22" t="s">
        <v>9017</v>
      </c>
      <c r="I2276" s="10" t="s">
        <v>212</v>
      </c>
      <c r="J2276" s="13" t="b">
        <v>1</v>
      </c>
      <c r="K2276" s="13" t="b">
        <v>0</v>
      </c>
      <c r="L2276" s="10" t="s">
        <v>124</v>
      </c>
      <c r="M2276" s="10" t="s">
        <v>91</v>
      </c>
      <c r="N2276" s="10" t="s">
        <v>92</v>
      </c>
      <c r="O2276" s="19" t="s">
        <v>17397</v>
      </c>
      <c r="P2276" s="10"/>
      <c r="Q2276" s="10" t="s">
        <v>94</v>
      </c>
      <c r="R2276" s="10"/>
      <c r="S2276" s="19" t="s">
        <v>9019</v>
      </c>
      <c r="T2276" s="10"/>
      <c r="U2276" s="10"/>
      <c r="V2276" s="10"/>
      <c r="W2276" s="10" t="s">
        <v>9020</v>
      </c>
      <c r="X2276" s="10" t="s">
        <v>130</v>
      </c>
      <c r="Y2276" s="10" t="s">
        <v>130</v>
      </c>
      <c r="Z2276" s="10" t="s">
        <v>99</v>
      </c>
      <c r="AA2276" s="10" t="s">
        <v>131</v>
      </c>
      <c r="AB2276" s="10" t="s">
        <v>9021</v>
      </c>
      <c r="AC2276" s="10" t="s">
        <v>9022</v>
      </c>
      <c r="AD2276" s="10" t="s">
        <v>165</v>
      </c>
      <c r="AE2276" s="10" t="s">
        <v>17398</v>
      </c>
      <c r="AF2276" s="15"/>
      <c r="AG2276" s="10"/>
      <c r="AH2276" s="10"/>
      <c r="AI2276" s="10"/>
      <c r="AJ2276" s="10"/>
      <c r="AK2276" s="10" t="s">
        <v>102</v>
      </c>
      <c r="AL2276" s="10"/>
      <c r="AM2276" s="10"/>
      <c r="AN2276" s="10"/>
      <c r="AO2276" s="13" t="b">
        <v>0</v>
      </c>
      <c r="AP2276" s="22" t="s">
        <v>104</v>
      </c>
      <c r="AQ2276" s="10">
        <f ca="1">IFERROR(__xludf.DUMMYFUNCTION("""COMPUTED_VALUE"""),4644432)</f>
        <v>4644432</v>
      </c>
      <c r="AR2276" s="17">
        <v>156</v>
      </c>
      <c r="AS2276" s="17">
        <v>121</v>
      </c>
      <c r="AT2276" s="17">
        <v>848.25</v>
      </c>
      <c r="AU2276" s="17">
        <v>0</v>
      </c>
      <c r="AV2276" s="17">
        <v>0</v>
      </c>
      <c r="AW2276" s="10" t="s">
        <v>105</v>
      </c>
      <c r="AX2276" s="17">
        <v>62</v>
      </c>
      <c r="AY2276" s="18">
        <v>7.0103305785123968</v>
      </c>
      <c r="AZ2276" s="10"/>
      <c r="BA2276" s="20" t="b">
        <v>0</v>
      </c>
      <c r="BB2276" s="10" t="s">
        <v>17335</v>
      </c>
      <c r="BC2276" s="17">
        <v>156</v>
      </c>
      <c r="BD2276" s="17">
        <v>121</v>
      </c>
      <c r="BE2276" s="17">
        <v>848.25</v>
      </c>
      <c r="BF2276" s="17">
        <v>0</v>
      </c>
      <c r="BG2276" s="11">
        <f ca="1">IFERROR(__xludf.DUMMYFUNCTION("""COMPUTED_VALUE"""),45942.6284722222)</f>
        <v>45942.628472222197</v>
      </c>
      <c r="BH2276" s="17" t="s">
        <v>105</v>
      </c>
      <c r="BI2276" s="17"/>
      <c r="BJ2276" s="15"/>
      <c r="BK2276" s="15"/>
      <c r="BL2276" s="13" t="b">
        <v>0</v>
      </c>
      <c r="BM2276" s="10"/>
      <c r="BN2276" s="10" t="s">
        <v>278</v>
      </c>
      <c r="BO2276" s="11">
        <v>45941.852777777778</v>
      </c>
      <c r="BP2276" s="11">
        <v>45941.853009259263</v>
      </c>
      <c r="BQ2276" s="15"/>
      <c r="BR2276" s="15">
        <v>45941.953553240739</v>
      </c>
      <c r="BS2276" s="10" t="s">
        <v>278</v>
      </c>
      <c r="BT2276" s="10"/>
      <c r="BU2276" s="10"/>
      <c r="BV2276" s="10"/>
      <c r="BW2276" s="10"/>
      <c r="BX2276" s="10"/>
      <c r="BY2276" s="23"/>
      <c r="BZ2276" s="23"/>
      <c r="CA2276" s="19" t="s">
        <v>9024</v>
      </c>
      <c r="CB2276" s="23"/>
      <c r="CC2276" s="23"/>
      <c r="CD2276" s="23"/>
      <c r="CE2276" s="23"/>
      <c r="CF2276" s="23"/>
      <c r="CG2276" s="23"/>
      <c r="CH2276" s="23"/>
      <c r="CI2276" s="23"/>
    </row>
    <row r="2277" spans="1:87" x14ac:dyDescent="0.3">
      <c r="A2277" s="9" t="s">
        <v>17399</v>
      </c>
      <c r="B2277" s="10" t="s">
        <v>17400</v>
      </c>
      <c r="C2277" s="11">
        <v>46009.125</v>
      </c>
      <c r="D2277" s="12">
        <v>8.3333333333333329E-2</v>
      </c>
      <c r="E2277" s="11">
        <v>46009.208333333336</v>
      </c>
      <c r="F2277" s="10" t="s">
        <v>16149</v>
      </c>
      <c r="G2277" s="13" t="b">
        <v>0</v>
      </c>
      <c r="H2277" s="22" t="s">
        <v>3578</v>
      </c>
      <c r="I2277" s="10" t="s">
        <v>89</v>
      </c>
      <c r="J2277" s="13" t="b">
        <v>0</v>
      </c>
      <c r="K2277" s="13" t="b">
        <v>1</v>
      </c>
      <c r="L2277" s="10" t="s">
        <v>124</v>
      </c>
      <c r="M2277" s="10" t="s">
        <v>91</v>
      </c>
      <c r="N2277" s="10" t="s">
        <v>92</v>
      </c>
      <c r="O2277" s="19" t="s">
        <v>17401</v>
      </c>
      <c r="P2277" s="10"/>
      <c r="Q2277" s="10" t="s">
        <v>126</v>
      </c>
      <c r="R2277" s="10"/>
      <c r="S2277" s="19" t="s">
        <v>17402</v>
      </c>
      <c r="T2277" s="10"/>
      <c r="U2277" s="10" t="s">
        <v>16227</v>
      </c>
      <c r="V2277" s="10" t="s">
        <v>15684</v>
      </c>
      <c r="W2277" s="10" t="s">
        <v>16154</v>
      </c>
      <c r="X2277" s="10" t="s">
        <v>130</v>
      </c>
      <c r="Y2277" s="10" t="s">
        <v>130</v>
      </c>
      <c r="Z2277" s="10" t="s">
        <v>99</v>
      </c>
      <c r="AA2277" s="10" t="s">
        <v>131</v>
      </c>
      <c r="AB2277" s="10" t="s">
        <v>16155</v>
      </c>
      <c r="AC2277" s="10" t="s">
        <v>3571</v>
      </c>
      <c r="AD2277" s="10" t="s">
        <v>17403</v>
      </c>
      <c r="AE2277" s="10" t="s">
        <v>17404</v>
      </c>
      <c r="AF2277" s="15"/>
      <c r="AG2277" s="10"/>
      <c r="AH2277" s="10"/>
      <c r="AI2277" s="10"/>
      <c r="AJ2277" s="10"/>
      <c r="AK2277" s="10" t="s">
        <v>102</v>
      </c>
      <c r="AL2277" s="10" t="s">
        <v>7897</v>
      </c>
      <c r="AM2277" s="10"/>
      <c r="AN2277" s="10"/>
      <c r="AO2277" s="13" t="b">
        <v>0</v>
      </c>
      <c r="AP2277" s="22" t="s">
        <v>135</v>
      </c>
      <c r="AQ2277" s="10">
        <f ca="1">IFERROR(__xludf.DUMMYFUNCTION("""COMPUTED_VALUE"""),4783086)</f>
        <v>4783086</v>
      </c>
      <c r="AR2277" s="17">
        <v>3908</v>
      </c>
      <c r="AS2277" s="17">
        <v>3356</v>
      </c>
      <c r="AT2277" s="17">
        <v>20003.5</v>
      </c>
      <c r="AU2277" s="17">
        <v>0.25</v>
      </c>
      <c r="AV2277" s="17">
        <v>0.25</v>
      </c>
      <c r="AW2277" s="10" t="s">
        <v>105</v>
      </c>
      <c r="AX2277" s="17">
        <v>3768</v>
      </c>
      <c r="AY2277" s="18">
        <v>5.960518474374255</v>
      </c>
      <c r="AZ2277" s="10" t="s">
        <v>239</v>
      </c>
      <c r="BA2277" s="20" t="b">
        <v>0</v>
      </c>
      <c r="BB2277" s="10"/>
      <c r="BC2277" s="17">
        <v>3908</v>
      </c>
      <c r="BD2277" s="17">
        <v>3356</v>
      </c>
      <c r="BE2277" s="17">
        <v>20003.5</v>
      </c>
      <c r="BF2277" s="17">
        <v>0.25</v>
      </c>
      <c r="BG2277" s="11">
        <f ca="1">IFERROR(__xludf.DUMMYFUNCTION("""COMPUTED_VALUE"""),46009.125)</f>
        <v>46009.125</v>
      </c>
      <c r="BH2277" s="17" t="s">
        <v>105</v>
      </c>
      <c r="BI2277" s="17"/>
      <c r="BJ2277" s="15"/>
      <c r="BK2277" s="15"/>
      <c r="BL2277" s="13" t="b">
        <v>0</v>
      </c>
      <c r="BM2277" s="10"/>
      <c r="BN2277" s="10" t="s">
        <v>667</v>
      </c>
      <c r="BO2277" s="11">
        <v>45944.605555555558</v>
      </c>
      <c r="BP2277" s="11">
        <v>46005.767777777779</v>
      </c>
      <c r="BQ2277" s="15">
        <v>46007.793645833335</v>
      </c>
      <c r="BR2277" s="15">
        <v>46006.729629629626</v>
      </c>
      <c r="BS2277" s="10" t="s">
        <v>667</v>
      </c>
      <c r="BT2277" s="10" t="s">
        <v>279</v>
      </c>
      <c r="BU2277" s="10" t="s">
        <v>5046</v>
      </c>
      <c r="BV2277" s="10"/>
      <c r="BW2277" s="10"/>
      <c r="BX2277" s="10"/>
      <c r="BY2277" s="23"/>
      <c r="BZ2277" s="23"/>
      <c r="CA2277" s="19" t="s">
        <v>17405</v>
      </c>
      <c r="CB2277" s="19" t="s">
        <v>17406</v>
      </c>
      <c r="CC2277" s="23"/>
      <c r="CD2277" s="19" t="s">
        <v>17407</v>
      </c>
      <c r="CE2277" s="23"/>
      <c r="CF2277" s="23"/>
      <c r="CG2277" s="23"/>
      <c r="CH2277" s="23"/>
      <c r="CI2277" s="23"/>
    </row>
    <row r="2278" spans="1:87" x14ac:dyDescent="0.3">
      <c r="A2278" s="9" t="s">
        <v>17408</v>
      </c>
      <c r="B2278" s="10" t="s">
        <v>17409</v>
      </c>
      <c r="C2278" s="11">
        <v>46009.125</v>
      </c>
      <c r="D2278" s="12">
        <v>8.3333333333333329E-2</v>
      </c>
      <c r="E2278" s="11">
        <v>46009.208333333336</v>
      </c>
      <c r="F2278" s="10" t="s">
        <v>16149</v>
      </c>
      <c r="G2278" s="13" t="b">
        <v>0</v>
      </c>
      <c r="H2278" s="22"/>
      <c r="I2278" s="10" t="s">
        <v>89</v>
      </c>
      <c r="J2278" s="13" t="b">
        <v>0</v>
      </c>
      <c r="K2278" s="13" t="b">
        <v>1</v>
      </c>
      <c r="L2278" s="10" t="s">
        <v>124</v>
      </c>
      <c r="M2278" s="10" t="s">
        <v>91</v>
      </c>
      <c r="N2278" s="10" t="s">
        <v>92</v>
      </c>
      <c r="O2278" s="10"/>
      <c r="P2278" s="10"/>
      <c r="Q2278" s="10" t="s">
        <v>94</v>
      </c>
      <c r="R2278" s="10"/>
      <c r="S2278" s="10"/>
      <c r="T2278" s="10"/>
      <c r="U2278" s="10" t="s">
        <v>16192</v>
      </c>
      <c r="V2278" s="10" t="s">
        <v>16218</v>
      </c>
      <c r="W2278" s="10" t="s">
        <v>16154</v>
      </c>
      <c r="X2278" s="10" t="s">
        <v>130</v>
      </c>
      <c r="Y2278" s="10" t="s">
        <v>130</v>
      </c>
      <c r="Z2278" s="10" t="s">
        <v>99</v>
      </c>
      <c r="AA2278" s="10" t="s">
        <v>131</v>
      </c>
      <c r="AB2278" s="10" t="s">
        <v>16155</v>
      </c>
      <c r="AC2278" s="10" t="s">
        <v>3571</v>
      </c>
      <c r="AD2278" s="10" t="s">
        <v>17410</v>
      </c>
      <c r="AE2278" s="10" t="s">
        <v>17411</v>
      </c>
      <c r="AF2278" s="15"/>
      <c r="AG2278" s="10"/>
      <c r="AH2278" s="10"/>
      <c r="AI2278" s="10"/>
      <c r="AJ2278" s="10"/>
      <c r="AK2278" s="10" t="s">
        <v>256</v>
      </c>
      <c r="AL2278" s="10" t="s">
        <v>7897</v>
      </c>
      <c r="AM2278" s="10"/>
      <c r="AN2278" s="10"/>
      <c r="AO2278" s="13" t="b">
        <v>0</v>
      </c>
      <c r="AP2278" s="22" t="s">
        <v>135</v>
      </c>
      <c r="AQ2278" s="10"/>
      <c r="AR2278" s="17"/>
      <c r="AS2278" s="17"/>
      <c r="AT2278" s="17"/>
      <c r="AU2278" s="17"/>
      <c r="AV2278" s="17"/>
      <c r="AW2278" s="10"/>
      <c r="AX2278" s="17"/>
      <c r="AY2278" s="18" t="s">
        <v>257</v>
      </c>
      <c r="AZ2278" s="10"/>
      <c r="BA2278" s="20" t="b">
        <v>0</v>
      </c>
      <c r="BB2278" s="10"/>
      <c r="BC2278" s="17" t="s">
        <v>257</v>
      </c>
      <c r="BD2278" s="17" t="s">
        <v>257</v>
      </c>
      <c r="BE2278" s="17" t="s">
        <v>257</v>
      </c>
      <c r="BF2278" s="17" t="s">
        <v>257</v>
      </c>
      <c r="BG2278" s="11">
        <f ca="1">IFERROR(__xludf.DUMMYFUNCTION("""COMPUTED_VALUE"""),46009.125)</f>
        <v>46009.125</v>
      </c>
      <c r="BH2278" s="17"/>
      <c r="BI2278" s="17"/>
      <c r="BJ2278" s="15"/>
      <c r="BK2278" s="15"/>
      <c r="BL2278" s="13" t="b">
        <v>0</v>
      </c>
      <c r="BM2278" s="10"/>
      <c r="BN2278" s="10" t="s">
        <v>241</v>
      </c>
      <c r="BO2278" s="11">
        <v>45944.606944444444</v>
      </c>
      <c r="BP2278" s="11">
        <v>45944.607638888891</v>
      </c>
      <c r="BQ2278" s="15"/>
      <c r="BR2278" s="15"/>
      <c r="BS2278" s="10"/>
      <c r="BT2278" s="10" t="s">
        <v>99</v>
      </c>
      <c r="BU2278" s="10"/>
      <c r="BV2278" s="10"/>
      <c r="BW2278" s="10"/>
      <c r="BX2278" s="10"/>
      <c r="BY2278" s="23"/>
      <c r="BZ2278" s="23"/>
      <c r="CA2278" s="23"/>
      <c r="CB2278" s="23"/>
      <c r="CC2278" s="23"/>
      <c r="CD2278" s="23"/>
      <c r="CE2278" s="23"/>
      <c r="CF2278" s="23"/>
      <c r="CG2278" s="23"/>
      <c r="CH2278" s="23"/>
      <c r="CI2278" s="23"/>
    </row>
    <row r="2279" spans="1:87" x14ac:dyDescent="0.3">
      <c r="A2279" s="9" t="s">
        <v>17412</v>
      </c>
      <c r="B2279" s="10" t="s">
        <v>17413</v>
      </c>
      <c r="C2279" s="11">
        <v>46009.125</v>
      </c>
      <c r="D2279" s="12">
        <v>8.3333333333333329E-2</v>
      </c>
      <c r="E2279" s="11">
        <v>46009.208333333336</v>
      </c>
      <c r="F2279" s="10" t="s">
        <v>16149</v>
      </c>
      <c r="G2279" s="13" t="b">
        <v>0</v>
      </c>
      <c r="H2279" s="22"/>
      <c r="I2279" s="10" t="s">
        <v>89</v>
      </c>
      <c r="J2279" s="13" t="b">
        <v>0</v>
      </c>
      <c r="K2279" s="13" t="b">
        <v>1</v>
      </c>
      <c r="L2279" s="10" t="s">
        <v>124</v>
      </c>
      <c r="M2279" s="10" t="s">
        <v>91</v>
      </c>
      <c r="N2279" s="10" t="s">
        <v>92</v>
      </c>
      <c r="O2279" s="10"/>
      <c r="P2279" s="10"/>
      <c r="Q2279" s="10" t="s">
        <v>94</v>
      </c>
      <c r="R2279" s="10"/>
      <c r="S2279" s="10"/>
      <c r="T2279" s="10"/>
      <c r="U2279" s="10" t="s">
        <v>16153</v>
      </c>
      <c r="V2279" s="10" t="s">
        <v>16228</v>
      </c>
      <c r="W2279" s="10" t="s">
        <v>16154</v>
      </c>
      <c r="X2279" s="10" t="s">
        <v>130</v>
      </c>
      <c r="Y2279" s="10" t="s">
        <v>130</v>
      </c>
      <c r="Z2279" s="10" t="s">
        <v>99</v>
      </c>
      <c r="AA2279" s="10" t="s">
        <v>131</v>
      </c>
      <c r="AB2279" s="10" t="s">
        <v>16155</v>
      </c>
      <c r="AC2279" s="10" t="s">
        <v>3571</v>
      </c>
      <c r="AD2279" s="10" t="s">
        <v>17414</v>
      </c>
      <c r="AE2279" s="10" t="s">
        <v>17415</v>
      </c>
      <c r="AF2279" s="15"/>
      <c r="AG2279" s="10"/>
      <c r="AH2279" s="10"/>
      <c r="AI2279" s="10"/>
      <c r="AJ2279" s="10"/>
      <c r="AK2279" s="10" t="s">
        <v>256</v>
      </c>
      <c r="AL2279" s="10" t="s">
        <v>7897</v>
      </c>
      <c r="AM2279" s="10"/>
      <c r="AN2279" s="10"/>
      <c r="AO2279" s="13" t="b">
        <v>0</v>
      </c>
      <c r="AP2279" s="22" t="s">
        <v>135</v>
      </c>
      <c r="AQ2279" s="10"/>
      <c r="AR2279" s="17"/>
      <c r="AS2279" s="17"/>
      <c r="AT2279" s="17"/>
      <c r="AU2279" s="17"/>
      <c r="AV2279" s="17"/>
      <c r="AW2279" s="10"/>
      <c r="AX2279" s="17"/>
      <c r="AY2279" s="18" t="s">
        <v>257</v>
      </c>
      <c r="AZ2279" s="10"/>
      <c r="BA2279" s="20" t="b">
        <v>0</v>
      </c>
      <c r="BB2279" s="10"/>
      <c r="BC2279" s="17" t="s">
        <v>257</v>
      </c>
      <c r="BD2279" s="17" t="s">
        <v>257</v>
      </c>
      <c r="BE2279" s="17" t="s">
        <v>257</v>
      </c>
      <c r="BF2279" s="17" t="s">
        <v>257</v>
      </c>
      <c r="BG2279" s="11">
        <f ca="1">IFERROR(__xludf.DUMMYFUNCTION("""COMPUTED_VALUE"""),46009.125)</f>
        <v>46009.125</v>
      </c>
      <c r="BH2279" s="17"/>
      <c r="BI2279" s="17"/>
      <c r="BJ2279" s="15"/>
      <c r="BK2279" s="15"/>
      <c r="BL2279" s="13" t="b">
        <v>0</v>
      </c>
      <c r="BM2279" s="10"/>
      <c r="BN2279" s="10" t="s">
        <v>241</v>
      </c>
      <c r="BO2279" s="11">
        <v>45944.609027777777</v>
      </c>
      <c r="BP2279" s="11">
        <v>45944.6096875</v>
      </c>
      <c r="BQ2279" s="15"/>
      <c r="BR2279" s="15"/>
      <c r="BS2279" s="10"/>
      <c r="BT2279" s="10" t="s">
        <v>99</v>
      </c>
      <c r="BU2279" s="10"/>
      <c r="BV2279" s="10"/>
      <c r="BW2279" s="10"/>
      <c r="BX2279" s="10"/>
      <c r="BY2279" s="23"/>
      <c r="BZ2279" s="23"/>
      <c r="CA2279" s="23"/>
      <c r="CB2279" s="23"/>
      <c r="CC2279" s="23"/>
      <c r="CD2279" s="23"/>
      <c r="CE2279" s="23"/>
      <c r="CF2279" s="23"/>
      <c r="CG2279" s="23"/>
      <c r="CH2279" s="23"/>
      <c r="CI2279" s="23"/>
    </row>
    <row r="2280" spans="1:87" x14ac:dyDescent="0.3">
      <c r="A2280" s="9" t="s">
        <v>17416</v>
      </c>
      <c r="B2280" s="10" t="s">
        <v>17417</v>
      </c>
      <c r="C2280" s="11">
        <v>46009.125</v>
      </c>
      <c r="D2280" s="12">
        <v>8.3333333333333329E-2</v>
      </c>
      <c r="E2280" s="11">
        <v>46009.208333333336</v>
      </c>
      <c r="F2280" s="10" t="s">
        <v>16149</v>
      </c>
      <c r="G2280" s="13" t="b">
        <v>0</v>
      </c>
      <c r="H2280" s="22"/>
      <c r="I2280" s="10" t="s">
        <v>89</v>
      </c>
      <c r="J2280" s="13" t="b">
        <v>0</v>
      </c>
      <c r="K2280" s="13" t="b">
        <v>1</v>
      </c>
      <c r="L2280" s="10" t="s">
        <v>124</v>
      </c>
      <c r="M2280" s="10" t="s">
        <v>91</v>
      </c>
      <c r="N2280" s="10" t="s">
        <v>92</v>
      </c>
      <c r="O2280" s="10"/>
      <c r="P2280" s="10"/>
      <c r="Q2280" s="10" t="s">
        <v>126</v>
      </c>
      <c r="R2280" s="10"/>
      <c r="S2280" s="10"/>
      <c r="T2280" s="10"/>
      <c r="U2280" s="10" t="s">
        <v>16164</v>
      </c>
      <c r="V2280" s="10" t="s">
        <v>16181</v>
      </c>
      <c r="W2280" s="10" t="s">
        <v>16154</v>
      </c>
      <c r="X2280" s="10" t="s">
        <v>130</v>
      </c>
      <c r="Y2280" s="10" t="s">
        <v>130</v>
      </c>
      <c r="Z2280" s="10" t="s">
        <v>99</v>
      </c>
      <c r="AA2280" s="10" t="s">
        <v>131</v>
      </c>
      <c r="AB2280" s="10" t="s">
        <v>16155</v>
      </c>
      <c r="AC2280" s="10" t="s">
        <v>3571</v>
      </c>
      <c r="AD2280" s="10" t="s">
        <v>17418</v>
      </c>
      <c r="AE2280" s="10" t="s">
        <v>17419</v>
      </c>
      <c r="AF2280" s="15"/>
      <c r="AG2280" s="10"/>
      <c r="AH2280" s="10"/>
      <c r="AI2280" s="10"/>
      <c r="AJ2280" s="10"/>
      <c r="AK2280" s="10" t="s">
        <v>256</v>
      </c>
      <c r="AL2280" s="10" t="s">
        <v>7897</v>
      </c>
      <c r="AM2280" s="10"/>
      <c r="AN2280" s="10"/>
      <c r="AO2280" s="13" t="b">
        <v>0</v>
      </c>
      <c r="AP2280" s="22" t="s">
        <v>135</v>
      </c>
      <c r="AQ2280" s="10"/>
      <c r="AR2280" s="17"/>
      <c r="AS2280" s="17"/>
      <c r="AT2280" s="17"/>
      <c r="AU2280" s="17"/>
      <c r="AV2280" s="17"/>
      <c r="AW2280" s="10"/>
      <c r="AX2280" s="17"/>
      <c r="AY2280" s="18" t="s">
        <v>257</v>
      </c>
      <c r="AZ2280" s="10"/>
      <c r="BA2280" s="20" t="b">
        <v>0</v>
      </c>
      <c r="BB2280" s="10"/>
      <c r="BC2280" s="17" t="s">
        <v>257</v>
      </c>
      <c r="BD2280" s="17" t="s">
        <v>257</v>
      </c>
      <c r="BE2280" s="17" t="s">
        <v>257</v>
      </c>
      <c r="BF2280" s="17" t="s">
        <v>257</v>
      </c>
      <c r="BG2280" s="11">
        <f ca="1">IFERROR(__xludf.DUMMYFUNCTION("""COMPUTED_VALUE"""),46009.125)</f>
        <v>46009.125</v>
      </c>
      <c r="BH2280" s="17"/>
      <c r="BI2280" s="17"/>
      <c r="BJ2280" s="15"/>
      <c r="BK2280" s="15"/>
      <c r="BL2280" s="13" t="b">
        <v>0</v>
      </c>
      <c r="BM2280" s="10"/>
      <c r="BN2280" s="10" t="s">
        <v>241</v>
      </c>
      <c r="BO2280" s="11">
        <v>45944.611805555556</v>
      </c>
      <c r="BP2280" s="11">
        <v>45944.612291666665</v>
      </c>
      <c r="BQ2280" s="15"/>
      <c r="BR2280" s="15"/>
      <c r="BS2280" s="10"/>
      <c r="BT2280" s="10" t="s">
        <v>99</v>
      </c>
      <c r="BU2280" s="10"/>
      <c r="BV2280" s="10"/>
      <c r="BW2280" s="10"/>
      <c r="BX2280" s="10"/>
      <c r="BY2280" s="23"/>
      <c r="BZ2280" s="23"/>
      <c r="CA2280" s="23"/>
      <c r="CB2280" s="23"/>
      <c r="CC2280" s="23"/>
      <c r="CD2280" s="23"/>
      <c r="CE2280" s="23"/>
      <c r="CF2280" s="23"/>
      <c r="CG2280" s="23"/>
      <c r="CH2280" s="23"/>
      <c r="CI2280" s="23"/>
    </row>
    <row r="2281" spans="1:87" x14ac:dyDescent="0.3">
      <c r="A2281" s="9" t="s">
        <v>17420</v>
      </c>
      <c r="B2281" s="10" t="s">
        <v>17421</v>
      </c>
      <c r="C2281" s="11">
        <v>46009.125</v>
      </c>
      <c r="D2281" s="12">
        <v>8.3333333333333329E-2</v>
      </c>
      <c r="E2281" s="11">
        <v>46009.208333333336</v>
      </c>
      <c r="F2281" s="10" t="s">
        <v>16149</v>
      </c>
      <c r="G2281" s="13" t="b">
        <v>0</v>
      </c>
      <c r="H2281" s="22"/>
      <c r="I2281" s="10" t="s">
        <v>89</v>
      </c>
      <c r="J2281" s="13" t="b">
        <v>0</v>
      </c>
      <c r="K2281" s="13" t="b">
        <v>1</v>
      </c>
      <c r="L2281" s="10" t="s">
        <v>124</v>
      </c>
      <c r="M2281" s="10" t="s">
        <v>91</v>
      </c>
      <c r="N2281" s="10" t="s">
        <v>92</v>
      </c>
      <c r="O2281" s="10"/>
      <c r="P2281" s="10"/>
      <c r="Q2281" s="10" t="s">
        <v>126</v>
      </c>
      <c r="R2281" s="10"/>
      <c r="S2281" s="19" t="s">
        <v>17422</v>
      </c>
      <c r="T2281" s="10"/>
      <c r="U2281" s="10" t="s">
        <v>16165</v>
      </c>
      <c r="V2281" s="10" t="s">
        <v>15259</v>
      </c>
      <c r="W2281" s="10" t="s">
        <v>16154</v>
      </c>
      <c r="X2281" s="10" t="s">
        <v>130</v>
      </c>
      <c r="Y2281" s="10" t="s">
        <v>130</v>
      </c>
      <c r="Z2281" s="10" t="s">
        <v>99</v>
      </c>
      <c r="AA2281" s="10" t="s">
        <v>131</v>
      </c>
      <c r="AB2281" s="10" t="s">
        <v>16155</v>
      </c>
      <c r="AC2281" s="10" t="s">
        <v>3571</v>
      </c>
      <c r="AD2281" s="10" t="s">
        <v>17423</v>
      </c>
      <c r="AE2281" s="10" t="s">
        <v>17424</v>
      </c>
      <c r="AF2281" s="15"/>
      <c r="AG2281" s="10"/>
      <c r="AH2281" s="10"/>
      <c r="AI2281" s="10"/>
      <c r="AJ2281" s="10"/>
      <c r="AK2281" s="10" t="s">
        <v>256</v>
      </c>
      <c r="AL2281" s="10" t="s">
        <v>7897</v>
      </c>
      <c r="AM2281" s="10"/>
      <c r="AN2281" s="10"/>
      <c r="AO2281" s="13" t="b">
        <v>0</v>
      </c>
      <c r="AP2281" s="22" t="s">
        <v>135</v>
      </c>
      <c r="AQ2281" s="10"/>
      <c r="AR2281" s="17"/>
      <c r="AS2281" s="17"/>
      <c r="AT2281" s="17"/>
      <c r="AU2281" s="17"/>
      <c r="AV2281" s="17"/>
      <c r="AW2281" s="10"/>
      <c r="AX2281" s="17"/>
      <c r="AY2281" s="18" t="s">
        <v>257</v>
      </c>
      <c r="AZ2281" s="10" t="s">
        <v>239</v>
      </c>
      <c r="BA2281" s="20" t="b">
        <v>0</v>
      </c>
      <c r="BB2281" s="10"/>
      <c r="BC2281" s="17" t="s">
        <v>257</v>
      </c>
      <c r="BD2281" s="17" t="s">
        <v>257</v>
      </c>
      <c r="BE2281" s="17" t="s">
        <v>257</v>
      </c>
      <c r="BF2281" s="17" t="s">
        <v>257</v>
      </c>
      <c r="BG2281" s="11">
        <f ca="1">IFERROR(__xludf.DUMMYFUNCTION("""COMPUTED_VALUE"""),46009.125)</f>
        <v>46009.125</v>
      </c>
      <c r="BH2281" s="17"/>
      <c r="BI2281" s="17"/>
      <c r="BJ2281" s="15"/>
      <c r="BK2281" s="15"/>
      <c r="BL2281" s="13" t="b">
        <v>0</v>
      </c>
      <c r="BM2281" s="10"/>
      <c r="BN2281" s="10" t="s">
        <v>108</v>
      </c>
      <c r="BO2281" s="11">
        <v>45944.612500000003</v>
      </c>
      <c r="BP2281" s="11">
        <v>46005.770266203705</v>
      </c>
      <c r="BQ2281" s="15">
        <v>46008.488703703704</v>
      </c>
      <c r="BR2281" s="15"/>
      <c r="BS2281" s="10"/>
      <c r="BT2281" s="10" t="s">
        <v>279</v>
      </c>
      <c r="BU2281" s="10"/>
      <c r="BV2281" s="10"/>
      <c r="BW2281" s="10"/>
      <c r="BX2281" s="10"/>
      <c r="BY2281" s="23"/>
      <c r="BZ2281" s="23"/>
      <c r="CA2281" s="19" t="s">
        <v>17425</v>
      </c>
      <c r="CB2281" s="19" t="s">
        <v>17426</v>
      </c>
      <c r="CC2281" s="23"/>
      <c r="CD2281" s="19" t="s">
        <v>17427</v>
      </c>
      <c r="CE2281" s="23"/>
      <c r="CF2281" s="23"/>
      <c r="CG2281" s="23"/>
      <c r="CH2281" s="23"/>
      <c r="CI2281" s="23"/>
    </row>
    <row r="2282" spans="1:87" x14ac:dyDescent="0.3">
      <c r="A2282" s="9" t="s">
        <v>17428</v>
      </c>
      <c r="B2282" s="10" t="s">
        <v>17429</v>
      </c>
      <c r="C2282" s="11">
        <v>45981.03125</v>
      </c>
      <c r="D2282" s="12">
        <v>8.3333333333333329E-2</v>
      </c>
      <c r="E2282" s="11">
        <v>45981.114583333336</v>
      </c>
      <c r="F2282" s="10" t="s">
        <v>16149</v>
      </c>
      <c r="G2282" s="13" t="b">
        <v>0</v>
      </c>
      <c r="H2282" s="22" t="s">
        <v>3578</v>
      </c>
      <c r="I2282" s="10" t="s">
        <v>89</v>
      </c>
      <c r="J2282" s="13" t="b">
        <v>0</v>
      </c>
      <c r="K2282" s="13" t="b">
        <v>1</v>
      </c>
      <c r="L2282" s="10"/>
      <c r="M2282" s="10" t="s">
        <v>91</v>
      </c>
      <c r="N2282" s="10" t="s">
        <v>92</v>
      </c>
      <c r="O2282" s="19" t="s">
        <v>17430</v>
      </c>
      <c r="P2282" s="10"/>
      <c r="Q2282" s="10" t="s">
        <v>126</v>
      </c>
      <c r="R2282" s="10"/>
      <c r="S2282" s="19" t="s">
        <v>17431</v>
      </c>
      <c r="T2282" s="10"/>
      <c r="U2282" s="10" t="s">
        <v>16227</v>
      </c>
      <c r="V2282" s="10" t="s">
        <v>15258</v>
      </c>
      <c r="W2282" s="10" t="s">
        <v>16154</v>
      </c>
      <c r="X2282" s="10" t="s">
        <v>130</v>
      </c>
      <c r="Y2282" s="10" t="s">
        <v>130</v>
      </c>
      <c r="Z2282" s="10" t="s">
        <v>99</v>
      </c>
      <c r="AA2282" s="10" t="s">
        <v>131</v>
      </c>
      <c r="AB2282" s="10" t="s">
        <v>16155</v>
      </c>
      <c r="AC2282" s="10" t="s">
        <v>3571</v>
      </c>
      <c r="AD2282" s="10" t="s">
        <v>17432</v>
      </c>
      <c r="AE2282" s="10" t="s">
        <v>17433</v>
      </c>
      <c r="AF2282" s="15"/>
      <c r="AG2282" s="10"/>
      <c r="AH2282" s="10"/>
      <c r="AI2282" s="10"/>
      <c r="AJ2282" s="10"/>
      <c r="AK2282" s="10" t="s">
        <v>102</v>
      </c>
      <c r="AL2282" s="10" t="s">
        <v>7897</v>
      </c>
      <c r="AM2282" s="10"/>
      <c r="AN2282" s="10"/>
      <c r="AO2282" s="13" t="b">
        <v>0</v>
      </c>
      <c r="AP2282" s="22" t="s">
        <v>135</v>
      </c>
      <c r="AQ2282" s="10">
        <f ca="1">IFERROR(__xludf.DUMMYFUNCTION("""COMPUTED_VALUE"""),4724822)</f>
        <v>4724822</v>
      </c>
      <c r="AR2282" s="17">
        <v>5361</v>
      </c>
      <c r="AS2282" s="17">
        <v>4230</v>
      </c>
      <c r="AT2282" s="17">
        <v>80273.75</v>
      </c>
      <c r="AU2282" s="17">
        <v>11.75</v>
      </c>
      <c r="AV2282" s="17">
        <v>1.5</v>
      </c>
      <c r="AW2282" s="10" t="s">
        <v>105</v>
      </c>
      <c r="AX2282" s="17">
        <v>707</v>
      </c>
      <c r="AY2282" s="18">
        <v>18.97724586288416</v>
      </c>
      <c r="AZ2282" s="10" t="s">
        <v>239</v>
      </c>
      <c r="BA2282" s="20" t="b">
        <v>0</v>
      </c>
      <c r="BB2282" s="10"/>
      <c r="BC2282" s="17">
        <v>5361</v>
      </c>
      <c r="BD2282" s="17">
        <v>4230</v>
      </c>
      <c r="BE2282" s="17">
        <v>80273.75</v>
      </c>
      <c r="BF2282" s="17">
        <v>1.5</v>
      </c>
      <c r="BG2282" s="11">
        <f ca="1">IFERROR(__xludf.DUMMYFUNCTION("""COMPUTED_VALUE"""),45981.03125)</f>
        <v>45981.03125</v>
      </c>
      <c r="BH2282" s="17" t="s">
        <v>105</v>
      </c>
      <c r="BI2282" s="17"/>
      <c r="BJ2282" s="15"/>
      <c r="BK2282" s="15"/>
      <c r="BL2282" s="13" t="b">
        <v>0</v>
      </c>
      <c r="BM2282" s="10"/>
      <c r="BN2282" s="10" t="s">
        <v>455</v>
      </c>
      <c r="BO2282" s="11">
        <v>45944.601388888892</v>
      </c>
      <c r="BP2282" s="11">
        <v>45978.571689814817</v>
      </c>
      <c r="BQ2282" s="15">
        <v>45980.433125000003</v>
      </c>
      <c r="BR2282" s="15">
        <v>45980.443379629629</v>
      </c>
      <c r="BS2282" s="10" t="s">
        <v>455</v>
      </c>
      <c r="BT2282" s="10" t="s">
        <v>99</v>
      </c>
      <c r="BU2282" s="10" t="s">
        <v>8013</v>
      </c>
      <c r="BV2282" s="10"/>
      <c r="BW2282" s="10"/>
      <c r="BX2282" s="10"/>
      <c r="BY2282" s="23"/>
      <c r="BZ2282" s="23"/>
      <c r="CA2282" s="19" t="s">
        <v>17434</v>
      </c>
      <c r="CB2282" s="23"/>
      <c r="CC2282" s="23"/>
      <c r="CD2282" s="19" t="s">
        <v>17435</v>
      </c>
      <c r="CE2282" s="23"/>
      <c r="CF2282" s="23"/>
      <c r="CG2282" s="23"/>
      <c r="CH2282" s="23"/>
      <c r="CI2282" s="23"/>
    </row>
    <row r="2283" spans="1:87" x14ac:dyDescent="0.3">
      <c r="A2283" s="9" t="s">
        <v>17436</v>
      </c>
      <c r="B2283" s="10" t="s">
        <v>17437</v>
      </c>
      <c r="C2283" s="11">
        <v>45981.03125</v>
      </c>
      <c r="D2283" s="12">
        <v>8.3333333333333329E-2</v>
      </c>
      <c r="E2283" s="11">
        <v>45981.114583333336</v>
      </c>
      <c r="F2283" s="10" t="s">
        <v>16149</v>
      </c>
      <c r="G2283" s="13" t="b">
        <v>0</v>
      </c>
      <c r="H2283" s="22" t="s">
        <v>3564</v>
      </c>
      <c r="I2283" s="10" t="s">
        <v>89</v>
      </c>
      <c r="J2283" s="13" t="b">
        <v>0</v>
      </c>
      <c r="K2283" s="13" t="b">
        <v>1</v>
      </c>
      <c r="L2283" s="10"/>
      <c r="M2283" s="10" t="s">
        <v>91</v>
      </c>
      <c r="N2283" s="10" t="s">
        <v>92</v>
      </c>
      <c r="O2283" s="19" t="s">
        <v>17438</v>
      </c>
      <c r="P2283" s="10"/>
      <c r="Q2283" s="10" t="s">
        <v>126</v>
      </c>
      <c r="R2283" s="10"/>
      <c r="S2283" s="19" t="s">
        <v>17439</v>
      </c>
      <c r="T2283" s="10"/>
      <c r="U2283" s="10" t="s">
        <v>16152</v>
      </c>
      <c r="V2283" s="10" t="s">
        <v>16172</v>
      </c>
      <c r="W2283" s="10" t="s">
        <v>16154</v>
      </c>
      <c r="X2283" s="10" t="s">
        <v>130</v>
      </c>
      <c r="Y2283" s="10" t="s">
        <v>130</v>
      </c>
      <c r="Z2283" s="10" t="s">
        <v>99</v>
      </c>
      <c r="AA2283" s="10" t="s">
        <v>131</v>
      </c>
      <c r="AB2283" s="10" t="s">
        <v>16155</v>
      </c>
      <c r="AC2283" s="10" t="s">
        <v>3571</v>
      </c>
      <c r="AD2283" s="10" t="s">
        <v>17440</v>
      </c>
      <c r="AE2283" s="10" t="s">
        <v>17441</v>
      </c>
      <c r="AF2283" s="15"/>
      <c r="AG2283" s="10"/>
      <c r="AH2283" s="10"/>
      <c r="AI2283" s="10"/>
      <c r="AJ2283" s="10"/>
      <c r="AK2283" s="10" t="s">
        <v>102</v>
      </c>
      <c r="AL2283" s="10" t="s">
        <v>7897</v>
      </c>
      <c r="AM2283" s="10"/>
      <c r="AN2283" s="10"/>
      <c r="AO2283" s="13" t="b">
        <v>0</v>
      </c>
      <c r="AP2283" s="22" t="s">
        <v>135</v>
      </c>
      <c r="AQ2283" s="10">
        <f ca="1">IFERROR(__xludf.DUMMYFUNCTION("""COMPUTED_VALUE"""),4724818)</f>
        <v>4724818</v>
      </c>
      <c r="AR2283" s="17">
        <v>3824</v>
      </c>
      <c r="AS2283" s="17">
        <v>3087</v>
      </c>
      <c r="AT2283" s="17">
        <v>51682.5</v>
      </c>
      <c r="AU2283" s="17">
        <v>6.5</v>
      </c>
      <c r="AV2283" s="17">
        <v>0</v>
      </c>
      <c r="AW2283" s="10" t="s">
        <v>105</v>
      </c>
      <c r="AX2283" s="17">
        <v>547</v>
      </c>
      <c r="AY2283" s="18">
        <v>16.741982507288629</v>
      </c>
      <c r="AZ2283" s="10" t="s">
        <v>239</v>
      </c>
      <c r="BA2283" s="20" t="b">
        <v>0</v>
      </c>
      <c r="BB2283" s="10"/>
      <c r="BC2283" s="17">
        <v>3824</v>
      </c>
      <c r="BD2283" s="17">
        <v>3087</v>
      </c>
      <c r="BE2283" s="17">
        <v>51682.5</v>
      </c>
      <c r="BF2283" s="17">
        <v>0</v>
      </c>
      <c r="BG2283" s="11">
        <f ca="1">IFERROR(__xludf.DUMMYFUNCTION("""COMPUTED_VALUE"""),45981.03125)</f>
        <v>45981.03125</v>
      </c>
      <c r="BH2283" s="17" t="s">
        <v>105</v>
      </c>
      <c r="BI2283" s="17"/>
      <c r="BJ2283" s="15"/>
      <c r="BK2283" s="15"/>
      <c r="BL2283" s="13" t="b">
        <v>0</v>
      </c>
      <c r="BM2283" s="10"/>
      <c r="BN2283" s="10" t="s">
        <v>455</v>
      </c>
      <c r="BO2283" s="11">
        <v>45944.602777777778</v>
      </c>
      <c r="BP2283" s="11">
        <v>45978.573611111111</v>
      </c>
      <c r="BQ2283" s="15">
        <v>45980.313391203701</v>
      </c>
      <c r="BR2283" s="15">
        <v>45980.442916666667</v>
      </c>
      <c r="BS2283" s="10" t="s">
        <v>455</v>
      </c>
      <c r="BT2283" s="10" t="s">
        <v>99</v>
      </c>
      <c r="BU2283" s="10" t="s">
        <v>5492</v>
      </c>
      <c r="BV2283" s="10"/>
      <c r="BW2283" s="10"/>
      <c r="BX2283" s="10"/>
      <c r="BY2283" s="23"/>
      <c r="BZ2283" s="23"/>
      <c r="CA2283" s="19" t="s">
        <v>17442</v>
      </c>
      <c r="CB2283" s="23"/>
      <c r="CC2283" s="23"/>
      <c r="CD2283" s="19" t="s">
        <v>17443</v>
      </c>
      <c r="CE2283" s="23"/>
      <c r="CF2283" s="23"/>
      <c r="CG2283" s="23"/>
      <c r="CH2283" s="23"/>
      <c r="CI2283" s="23"/>
    </row>
    <row r="2284" spans="1:87" x14ac:dyDescent="0.3">
      <c r="A2284" s="9" t="s">
        <v>17444</v>
      </c>
      <c r="B2284" s="10" t="s">
        <v>17445</v>
      </c>
      <c r="C2284" s="11">
        <v>46009.125</v>
      </c>
      <c r="D2284" s="12">
        <v>8.3333333333333329E-2</v>
      </c>
      <c r="E2284" s="11">
        <v>46009.208333333336</v>
      </c>
      <c r="F2284" s="10" t="s">
        <v>16149</v>
      </c>
      <c r="G2284" s="13" t="b">
        <v>0</v>
      </c>
      <c r="H2284" s="22"/>
      <c r="I2284" s="10" t="s">
        <v>89</v>
      </c>
      <c r="J2284" s="13" t="b">
        <v>0</v>
      </c>
      <c r="K2284" s="13" t="b">
        <v>1</v>
      </c>
      <c r="L2284" s="10" t="s">
        <v>124</v>
      </c>
      <c r="M2284" s="10" t="s">
        <v>91</v>
      </c>
      <c r="N2284" s="10" t="s">
        <v>92</v>
      </c>
      <c r="O2284" s="10"/>
      <c r="P2284" s="10"/>
      <c r="Q2284" s="10" t="s">
        <v>126</v>
      </c>
      <c r="R2284" s="10"/>
      <c r="S2284" s="10"/>
      <c r="T2284" s="10"/>
      <c r="U2284" s="10" t="s">
        <v>16182</v>
      </c>
      <c r="V2284" s="10" t="s">
        <v>16210</v>
      </c>
      <c r="W2284" s="10" t="s">
        <v>16154</v>
      </c>
      <c r="X2284" s="10" t="s">
        <v>130</v>
      </c>
      <c r="Y2284" s="10" t="s">
        <v>130</v>
      </c>
      <c r="Z2284" s="10" t="s">
        <v>99</v>
      </c>
      <c r="AA2284" s="10" t="s">
        <v>131</v>
      </c>
      <c r="AB2284" s="10" t="s">
        <v>16155</v>
      </c>
      <c r="AC2284" s="10" t="s">
        <v>3571</v>
      </c>
      <c r="AD2284" s="10" t="s">
        <v>17446</v>
      </c>
      <c r="AE2284" s="10" t="s">
        <v>17447</v>
      </c>
      <c r="AF2284" s="15"/>
      <c r="AG2284" s="10"/>
      <c r="AH2284" s="10"/>
      <c r="AI2284" s="10"/>
      <c r="AJ2284" s="10"/>
      <c r="AK2284" s="10" t="s">
        <v>256</v>
      </c>
      <c r="AL2284" s="10" t="s">
        <v>7897</v>
      </c>
      <c r="AM2284" s="10"/>
      <c r="AN2284" s="10"/>
      <c r="AO2284" s="13" t="b">
        <v>0</v>
      </c>
      <c r="AP2284" s="22" t="s">
        <v>135</v>
      </c>
      <c r="AQ2284" s="10"/>
      <c r="AR2284" s="17"/>
      <c r="AS2284" s="17"/>
      <c r="AT2284" s="17"/>
      <c r="AU2284" s="17"/>
      <c r="AV2284" s="17"/>
      <c r="AW2284" s="10"/>
      <c r="AX2284" s="17"/>
      <c r="AY2284" s="18" t="s">
        <v>257</v>
      </c>
      <c r="AZ2284" s="10"/>
      <c r="BA2284" s="20" t="b">
        <v>0</v>
      </c>
      <c r="BB2284" s="10"/>
      <c r="BC2284" s="17" t="s">
        <v>257</v>
      </c>
      <c r="BD2284" s="17" t="s">
        <v>257</v>
      </c>
      <c r="BE2284" s="17" t="s">
        <v>257</v>
      </c>
      <c r="BF2284" s="17" t="s">
        <v>257</v>
      </c>
      <c r="BG2284" s="11">
        <f ca="1">IFERROR(__xludf.DUMMYFUNCTION("""COMPUTED_VALUE"""),46009.125)</f>
        <v>46009.125</v>
      </c>
      <c r="BH2284" s="17"/>
      <c r="BI2284" s="17"/>
      <c r="BJ2284" s="15"/>
      <c r="BK2284" s="15"/>
      <c r="BL2284" s="13" t="b">
        <v>0</v>
      </c>
      <c r="BM2284" s="10"/>
      <c r="BN2284" s="10" t="s">
        <v>241</v>
      </c>
      <c r="BO2284" s="11">
        <v>45944.613194444442</v>
      </c>
      <c r="BP2284" s="11">
        <v>45944.613611111112</v>
      </c>
      <c r="BQ2284" s="15"/>
      <c r="BR2284" s="15"/>
      <c r="BS2284" s="10"/>
      <c r="BT2284" s="10" t="s">
        <v>99</v>
      </c>
      <c r="BU2284" s="10"/>
      <c r="BV2284" s="10"/>
      <c r="BW2284" s="10"/>
      <c r="BX2284" s="10"/>
      <c r="BY2284" s="23"/>
      <c r="BZ2284" s="23"/>
      <c r="CA2284" s="23"/>
      <c r="CB2284" s="23"/>
      <c r="CC2284" s="23"/>
      <c r="CD2284" s="23"/>
      <c r="CE2284" s="23"/>
      <c r="CF2284" s="23"/>
      <c r="CG2284" s="23"/>
      <c r="CH2284" s="23"/>
      <c r="CI2284" s="23"/>
    </row>
    <row r="2285" spans="1:87" x14ac:dyDescent="0.3">
      <c r="A2285" s="9" t="s">
        <v>17448</v>
      </c>
      <c r="B2285" s="10" t="s">
        <v>17449</v>
      </c>
      <c r="C2285" s="11">
        <v>45981.125</v>
      </c>
      <c r="D2285" s="12">
        <v>8.3333333333333329E-2</v>
      </c>
      <c r="E2285" s="11">
        <v>45981.208333333336</v>
      </c>
      <c r="F2285" s="10" t="s">
        <v>16149</v>
      </c>
      <c r="G2285" s="13" t="b">
        <v>0</v>
      </c>
      <c r="H2285" s="22" t="s">
        <v>3578</v>
      </c>
      <c r="I2285" s="10" t="s">
        <v>89</v>
      </c>
      <c r="J2285" s="13" t="b">
        <v>0</v>
      </c>
      <c r="K2285" s="13" t="b">
        <v>1</v>
      </c>
      <c r="L2285" s="10"/>
      <c r="M2285" s="10" t="s">
        <v>91</v>
      </c>
      <c r="N2285" s="10" t="s">
        <v>92</v>
      </c>
      <c r="O2285" s="19" t="s">
        <v>17450</v>
      </c>
      <c r="P2285" s="10"/>
      <c r="Q2285" s="10" t="s">
        <v>126</v>
      </c>
      <c r="R2285" s="10"/>
      <c r="S2285" s="19" t="s">
        <v>17451</v>
      </c>
      <c r="T2285" s="10"/>
      <c r="U2285" s="10" t="s">
        <v>15259</v>
      </c>
      <c r="V2285" s="10" t="s">
        <v>16191</v>
      </c>
      <c r="W2285" s="10" t="s">
        <v>16154</v>
      </c>
      <c r="X2285" s="10" t="s">
        <v>130</v>
      </c>
      <c r="Y2285" s="10" t="s">
        <v>130</v>
      </c>
      <c r="Z2285" s="10" t="s">
        <v>99</v>
      </c>
      <c r="AA2285" s="10" t="s">
        <v>131</v>
      </c>
      <c r="AB2285" s="10" t="s">
        <v>16155</v>
      </c>
      <c r="AC2285" s="10" t="s">
        <v>3571</v>
      </c>
      <c r="AD2285" s="10" t="s">
        <v>17452</v>
      </c>
      <c r="AE2285" s="10" t="s">
        <v>17453</v>
      </c>
      <c r="AF2285" s="15"/>
      <c r="AG2285" s="10"/>
      <c r="AH2285" s="10"/>
      <c r="AI2285" s="10"/>
      <c r="AJ2285" s="10"/>
      <c r="AK2285" s="10" t="s">
        <v>102</v>
      </c>
      <c r="AL2285" s="10" t="s">
        <v>7897</v>
      </c>
      <c r="AM2285" s="10"/>
      <c r="AN2285" s="10"/>
      <c r="AO2285" s="13" t="b">
        <v>0</v>
      </c>
      <c r="AP2285" s="22" t="s">
        <v>135</v>
      </c>
      <c r="AQ2285" s="10">
        <f ca="1">IFERROR(__xludf.DUMMYFUNCTION("""COMPUTED_VALUE"""),4724823)</f>
        <v>4724823</v>
      </c>
      <c r="AR2285" s="17">
        <v>5707</v>
      </c>
      <c r="AS2285" s="17">
        <v>4591</v>
      </c>
      <c r="AT2285" s="17">
        <v>81809.75</v>
      </c>
      <c r="AU2285" s="17">
        <v>13.4</v>
      </c>
      <c r="AV2285" s="17">
        <v>0</v>
      </c>
      <c r="AW2285" s="10" t="s">
        <v>105</v>
      </c>
      <c r="AX2285" s="17">
        <v>1059</v>
      </c>
      <c r="AY2285" s="18">
        <v>17.819592681333042</v>
      </c>
      <c r="AZ2285" s="10" t="s">
        <v>239</v>
      </c>
      <c r="BA2285" s="20" t="b">
        <v>0</v>
      </c>
      <c r="BB2285" s="10"/>
      <c r="BC2285" s="17">
        <v>5707</v>
      </c>
      <c r="BD2285" s="17">
        <v>4591</v>
      </c>
      <c r="BE2285" s="17">
        <v>81809.75</v>
      </c>
      <c r="BF2285" s="17">
        <v>0</v>
      </c>
      <c r="BG2285" s="11">
        <f ca="1">IFERROR(__xludf.DUMMYFUNCTION("""COMPUTED_VALUE"""),45981.125)</f>
        <v>45981.125</v>
      </c>
      <c r="BH2285" s="17" t="s">
        <v>105</v>
      </c>
      <c r="BI2285" s="17"/>
      <c r="BJ2285" s="15"/>
      <c r="BK2285" s="15"/>
      <c r="BL2285" s="13" t="b">
        <v>0</v>
      </c>
      <c r="BM2285" s="10"/>
      <c r="BN2285" s="10" t="s">
        <v>455</v>
      </c>
      <c r="BO2285" s="11">
        <v>45944.604166666664</v>
      </c>
      <c r="BP2285" s="11">
        <v>45978.571898148148</v>
      </c>
      <c r="BQ2285" s="15">
        <v>45980.433310185188</v>
      </c>
      <c r="BR2285" s="15">
        <v>45980.447916666664</v>
      </c>
      <c r="BS2285" s="10" t="s">
        <v>455</v>
      </c>
      <c r="BT2285" s="10" t="s">
        <v>99</v>
      </c>
      <c r="BU2285" s="10" t="s">
        <v>8013</v>
      </c>
      <c r="BV2285" s="10"/>
      <c r="BW2285" s="10"/>
      <c r="BX2285" s="10"/>
      <c r="BY2285" s="23"/>
      <c r="BZ2285" s="23"/>
      <c r="CA2285" s="19" t="s">
        <v>17454</v>
      </c>
      <c r="CB2285" s="23"/>
      <c r="CC2285" s="23"/>
      <c r="CD2285" s="19" t="s">
        <v>17455</v>
      </c>
      <c r="CE2285" s="23"/>
      <c r="CF2285" s="23"/>
      <c r="CG2285" s="23"/>
      <c r="CH2285" s="23"/>
      <c r="CI2285" s="23"/>
    </row>
    <row r="2286" spans="1:87" x14ac:dyDescent="0.3">
      <c r="A2286" s="9" t="s">
        <v>17456</v>
      </c>
      <c r="B2286" s="10" t="s">
        <v>17457</v>
      </c>
      <c r="C2286" s="11">
        <v>46009.125</v>
      </c>
      <c r="D2286" s="12">
        <v>8.3333333333333329E-2</v>
      </c>
      <c r="E2286" s="11">
        <v>46009.208333333336</v>
      </c>
      <c r="F2286" s="10" t="s">
        <v>16149</v>
      </c>
      <c r="G2286" s="13" t="b">
        <v>0</v>
      </c>
      <c r="H2286" s="22"/>
      <c r="I2286" s="10" t="s">
        <v>89</v>
      </c>
      <c r="J2286" s="13" t="b">
        <v>0</v>
      </c>
      <c r="K2286" s="13" t="b">
        <v>1</v>
      </c>
      <c r="L2286" s="10" t="s">
        <v>124</v>
      </c>
      <c r="M2286" s="10" t="s">
        <v>91</v>
      </c>
      <c r="N2286" s="10" t="s">
        <v>92</v>
      </c>
      <c r="O2286" s="10"/>
      <c r="P2286" s="10"/>
      <c r="Q2286" s="10" t="s">
        <v>126</v>
      </c>
      <c r="R2286" s="10"/>
      <c r="S2286" s="10"/>
      <c r="T2286" s="10"/>
      <c r="U2286" s="10" t="s">
        <v>16152</v>
      </c>
      <c r="V2286" s="10" t="s">
        <v>15258</v>
      </c>
      <c r="W2286" s="10" t="s">
        <v>16154</v>
      </c>
      <c r="X2286" s="10" t="s">
        <v>130</v>
      </c>
      <c r="Y2286" s="10" t="s">
        <v>130</v>
      </c>
      <c r="Z2286" s="10" t="s">
        <v>99</v>
      </c>
      <c r="AA2286" s="10" t="s">
        <v>131</v>
      </c>
      <c r="AB2286" s="10" t="s">
        <v>16155</v>
      </c>
      <c r="AC2286" s="10" t="s">
        <v>3571</v>
      </c>
      <c r="AD2286" s="10" t="s">
        <v>17458</v>
      </c>
      <c r="AE2286" s="10" t="s">
        <v>17459</v>
      </c>
      <c r="AF2286" s="15"/>
      <c r="AG2286" s="10"/>
      <c r="AH2286" s="10"/>
      <c r="AI2286" s="10"/>
      <c r="AJ2286" s="10"/>
      <c r="AK2286" s="10" t="s">
        <v>256</v>
      </c>
      <c r="AL2286" s="10" t="s">
        <v>7897</v>
      </c>
      <c r="AM2286" s="10"/>
      <c r="AN2286" s="10"/>
      <c r="AO2286" s="13" t="b">
        <v>0</v>
      </c>
      <c r="AP2286" s="22" t="s">
        <v>135</v>
      </c>
      <c r="AQ2286" s="10"/>
      <c r="AR2286" s="17"/>
      <c r="AS2286" s="17"/>
      <c r="AT2286" s="17"/>
      <c r="AU2286" s="17"/>
      <c r="AV2286" s="17"/>
      <c r="AW2286" s="10"/>
      <c r="AX2286" s="17"/>
      <c r="AY2286" s="18" t="s">
        <v>257</v>
      </c>
      <c r="AZ2286" s="10"/>
      <c r="BA2286" s="20" t="b">
        <v>0</v>
      </c>
      <c r="BB2286" s="10"/>
      <c r="BC2286" s="17" t="s">
        <v>257</v>
      </c>
      <c r="BD2286" s="17" t="s">
        <v>257</v>
      </c>
      <c r="BE2286" s="17" t="s">
        <v>257</v>
      </c>
      <c r="BF2286" s="17" t="s">
        <v>257</v>
      </c>
      <c r="BG2286" s="11">
        <f ca="1">IFERROR(__xludf.DUMMYFUNCTION("""COMPUTED_VALUE"""),46009.125)</f>
        <v>46009.125</v>
      </c>
      <c r="BH2286" s="17"/>
      <c r="BI2286" s="17"/>
      <c r="BJ2286" s="15"/>
      <c r="BK2286" s="15"/>
      <c r="BL2286" s="13" t="b">
        <v>0</v>
      </c>
      <c r="BM2286" s="10"/>
      <c r="BN2286" s="10" t="s">
        <v>241</v>
      </c>
      <c r="BO2286" s="11">
        <v>45944.614583333336</v>
      </c>
      <c r="BP2286" s="11">
        <v>45944.614710648151</v>
      </c>
      <c r="BQ2286" s="15"/>
      <c r="BR2286" s="15"/>
      <c r="BS2286" s="10"/>
      <c r="BT2286" s="10" t="s">
        <v>99</v>
      </c>
      <c r="BU2286" s="10"/>
      <c r="BV2286" s="10"/>
      <c r="BW2286" s="10"/>
      <c r="BX2286" s="10"/>
      <c r="BY2286" s="23"/>
      <c r="BZ2286" s="23"/>
      <c r="CA2286" s="23"/>
      <c r="CB2286" s="23"/>
      <c r="CC2286" s="23"/>
      <c r="CD2286" s="23"/>
      <c r="CE2286" s="23"/>
      <c r="CF2286" s="23"/>
      <c r="CG2286" s="23"/>
      <c r="CH2286" s="23"/>
      <c r="CI2286" s="23"/>
    </row>
    <row r="2287" spans="1:87" x14ac:dyDescent="0.3">
      <c r="A2287" s="9" t="s">
        <v>17460</v>
      </c>
      <c r="B2287" s="10" t="s">
        <v>17461</v>
      </c>
      <c r="C2287" s="11">
        <v>45981.125</v>
      </c>
      <c r="D2287" s="12">
        <v>8.3333333333333329E-2</v>
      </c>
      <c r="E2287" s="11">
        <v>45981.208333333336</v>
      </c>
      <c r="F2287" s="10" t="s">
        <v>16149</v>
      </c>
      <c r="G2287" s="13" t="b">
        <v>0</v>
      </c>
      <c r="H2287" s="22" t="s">
        <v>3564</v>
      </c>
      <c r="I2287" s="10" t="s">
        <v>89</v>
      </c>
      <c r="J2287" s="13" t="b">
        <v>0</v>
      </c>
      <c r="K2287" s="13" t="b">
        <v>1</v>
      </c>
      <c r="L2287" s="10"/>
      <c r="M2287" s="10" t="s">
        <v>91</v>
      </c>
      <c r="N2287" s="10" t="s">
        <v>92</v>
      </c>
      <c r="O2287" s="19" t="s">
        <v>17462</v>
      </c>
      <c r="P2287" s="10"/>
      <c r="Q2287" s="10" t="s">
        <v>94</v>
      </c>
      <c r="R2287" s="10"/>
      <c r="S2287" s="19" t="s">
        <v>17463</v>
      </c>
      <c r="T2287" s="10"/>
      <c r="U2287" s="10" t="s">
        <v>16164</v>
      </c>
      <c r="V2287" s="10" t="s">
        <v>16153</v>
      </c>
      <c r="W2287" s="10" t="s">
        <v>16154</v>
      </c>
      <c r="X2287" s="10" t="s">
        <v>130</v>
      </c>
      <c r="Y2287" s="10" t="s">
        <v>130</v>
      </c>
      <c r="Z2287" s="10" t="s">
        <v>99</v>
      </c>
      <c r="AA2287" s="10" t="s">
        <v>131</v>
      </c>
      <c r="AB2287" s="10" t="s">
        <v>16155</v>
      </c>
      <c r="AC2287" s="10" t="s">
        <v>3571</v>
      </c>
      <c r="AD2287" s="10" t="s">
        <v>17464</v>
      </c>
      <c r="AE2287" s="10" t="s">
        <v>17465</v>
      </c>
      <c r="AF2287" s="15"/>
      <c r="AG2287" s="10"/>
      <c r="AH2287" s="10"/>
      <c r="AI2287" s="10"/>
      <c r="AJ2287" s="10"/>
      <c r="AK2287" s="10" t="s">
        <v>102</v>
      </c>
      <c r="AL2287" s="10" t="s">
        <v>7897</v>
      </c>
      <c r="AM2287" s="10"/>
      <c r="AN2287" s="10"/>
      <c r="AO2287" s="13" t="b">
        <v>0</v>
      </c>
      <c r="AP2287" s="22" t="s">
        <v>135</v>
      </c>
      <c r="AQ2287" s="10">
        <f ca="1">IFERROR(__xludf.DUMMYFUNCTION("""COMPUTED_VALUE"""),4724819)</f>
        <v>4724819</v>
      </c>
      <c r="AR2287" s="17">
        <v>1728</v>
      </c>
      <c r="AS2287" s="17">
        <v>1300</v>
      </c>
      <c r="AT2287" s="17">
        <v>13225</v>
      </c>
      <c r="AU2287" s="17">
        <v>0.85</v>
      </c>
      <c r="AV2287" s="17">
        <v>0</v>
      </c>
      <c r="AW2287" s="10" t="s">
        <v>105</v>
      </c>
      <c r="AX2287" s="17">
        <v>329</v>
      </c>
      <c r="AY2287" s="18">
        <v>10.173076923076923</v>
      </c>
      <c r="AZ2287" s="10" t="s">
        <v>239</v>
      </c>
      <c r="BA2287" s="20" t="b">
        <v>0</v>
      </c>
      <c r="BB2287" s="10"/>
      <c r="BC2287" s="17">
        <v>1728</v>
      </c>
      <c r="BD2287" s="17">
        <v>1300</v>
      </c>
      <c r="BE2287" s="17">
        <v>13225</v>
      </c>
      <c r="BF2287" s="17">
        <v>0</v>
      </c>
      <c r="BG2287" s="11">
        <f ca="1">IFERROR(__xludf.DUMMYFUNCTION("""COMPUTED_VALUE"""),45981.125)</f>
        <v>45981.125</v>
      </c>
      <c r="BH2287" s="17" t="s">
        <v>105</v>
      </c>
      <c r="BI2287" s="17"/>
      <c r="BJ2287" s="15"/>
      <c r="BK2287" s="15"/>
      <c r="BL2287" s="13" t="b">
        <v>0</v>
      </c>
      <c r="BM2287" s="10"/>
      <c r="BN2287" s="10" t="s">
        <v>455</v>
      </c>
      <c r="BO2287" s="11">
        <v>45944.604861111111</v>
      </c>
      <c r="BP2287" s="11">
        <v>45978.573842592596</v>
      </c>
      <c r="BQ2287" s="15">
        <v>45980.433541666665</v>
      </c>
      <c r="BR2287" s="15">
        <v>45980.444826388892</v>
      </c>
      <c r="BS2287" s="10" t="s">
        <v>455</v>
      </c>
      <c r="BT2287" s="10" t="s">
        <v>99</v>
      </c>
      <c r="BU2287" s="10" t="s">
        <v>5492</v>
      </c>
      <c r="BV2287" s="10"/>
      <c r="BW2287" s="10"/>
      <c r="BX2287" s="10"/>
      <c r="BY2287" s="23"/>
      <c r="BZ2287" s="23"/>
      <c r="CA2287" s="19" t="s">
        <v>17466</v>
      </c>
      <c r="CB2287" s="23"/>
      <c r="CC2287" s="23"/>
      <c r="CD2287" s="23"/>
      <c r="CE2287" s="23"/>
      <c r="CF2287" s="23"/>
      <c r="CG2287" s="23"/>
      <c r="CH2287" s="23"/>
      <c r="CI2287" s="23"/>
    </row>
    <row r="2288" spans="1:87" x14ac:dyDescent="0.3">
      <c r="A2288" s="9" t="s">
        <v>17467</v>
      </c>
      <c r="B2288" s="10" t="s">
        <v>17468</v>
      </c>
      <c r="C2288" s="11">
        <v>46009.125</v>
      </c>
      <c r="D2288" s="12">
        <v>8.3333333333333329E-2</v>
      </c>
      <c r="E2288" s="11">
        <v>46009.208333333336</v>
      </c>
      <c r="F2288" s="10" t="s">
        <v>16149</v>
      </c>
      <c r="G2288" s="13" t="b">
        <v>0</v>
      </c>
      <c r="H2288" s="22" t="s">
        <v>3564</v>
      </c>
      <c r="I2288" s="10" t="s">
        <v>89</v>
      </c>
      <c r="J2288" s="13" t="b">
        <v>0</v>
      </c>
      <c r="K2288" s="13" t="b">
        <v>1</v>
      </c>
      <c r="L2288" s="10" t="s">
        <v>124</v>
      </c>
      <c r="M2288" s="10" t="s">
        <v>91</v>
      </c>
      <c r="N2288" s="10" t="s">
        <v>92</v>
      </c>
      <c r="O2288" s="19" t="s">
        <v>17469</v>
      </c>
      <c r="P2288" s="10"/>
      <c r="Q2288" s="10" t="s">
        <v>126</v>
      </c>
      <c r="R2288" s="10"/>
      <c r="S2288" s="19" t="s">
        <v>17470</v>
      </c>
      <c r="T2288" s="10"/>
      <c r="U2288" s="10" t="s">
        <v>16172</v>
      </c>
      <c r="V2288" s="10" t="s">
        <v>16219</v>
      </c>
      <c r="W2288" s="10" t="s">
        <v>16154</v>
      </c>
      <c r="X2288" s="10" t="s">
        <v>130</v>
      </c>
      <c r="Y2288" s="10" t="s">
        <v>130</v>
      </c>
      <c r="Z2288" s="10" t="s">
        <v>99</v>
      </c>
      <c r="AA2288" s="10" t="s">
        <v>131</v>
      </c>
      <c r="AB2288" s="10" t="s">
        <v>16155</v>
      </c>
      <c r="AC2288" s="10" t="s">
        <v>3571</v>
      </c>
      <c r="AD2288" s="10" t="s">
        <v>17471</v>
      </c>
      <c r="AE2288" s="10" t="s">
        <v>17472</v>
      </c>
      <c r="AF2288" s="15"/>
      <c r="AG2288" s="10"/>
      <c r="AH2288" s="10"/>
      <c r="AI2288" s="10"/>
      <c r="AJ2288" s="10"/>
      <c r="AK2288" s="10" t="s">
        <v>102</v>
      </c>
      <c r="AL2288" s="10" t="s">
        <v>7897</v>
      </c>
      <c r="AM2288" s="10"/>
      <c r="AN2288" s="10"/>
      <c r="AO2288" s="13" t="b">
        <v>0</v>
      </c>
      <c r="AP2288" s="22" t="s">
        <v>135</v>
      </c>
      <c r="AQ2288" s="10">
        <f ca="1">IFERROR(__xludf.DUMMYFUNCTION("""COMPUTED_VALUE"""),4783084)</f>
        <v>4783084</v>
      </c>
      <c r="AR2288" s="17">
        <v>4832</v>
      </c>
      <c r="AS2288" s="17">
        <v>4253</v>
      </c>
      <c r="AT2288" s="17">
        <v>21329.75</v>
      </c>
      <c r="AU2288" s="17">
        <v>2.2000000000000002</v>
      </c>
      <c r="AV2288" s="17">
        <v>1.1000000000000001</v>
      </c>
      <c r="AW2288" s="10" t="s">
        <v>105</v>
      </c>
      <c r="AX2288" s="17">
        <v>504</v>
      </c>
      <c r="AY2288" s="18">
        <v>5.0152245473783212</v>
      </c>
      <c r="AZ2288" s="10" t="s">
        <v>239</v>
      </c>
      <c r="BA2288" s="20" t="b">
        <v>0</v>
      </c>
      <c r="BB2288" s="10"/>
      <c r="BC2288" s="17">
        <v>4832</v>
      </c>
      <c r="BD2288" s="17">
        <v>4253</v>
      </c>
      <c r="BE2288" s="17">
        <v>21329.75</v>
      </c>
      <c r="BF2288" s="17">
        <v>1.1000000000000001</v>
      </c>
      <c r="BG2288" s="11">
        <f ca="1">IFERROR(__xludf.DUMMYFUNCTION("""COMPUTED_VALUE"""),46009.125)</f>
        <v>46009.125</v>
      </c>
      <c r="BH2288" s="17" t="s">
        <v>105</v>
      </c>
      <c r="BI2288" s="17"/>
      <c r="BJ2288" s="15"/>
      <c r="BK2288" s="15"/>
      <c r="BL2288" s="13" t="b">
        <v>0</v>
      </c>
      <c r="BM2288" s="10"/>
      <c r="BN2288" s="10" t="s">
        <v>667</v>
      </c>
      <c r="BO2288" s="11">
        <v>45944.614583333336</v>
      </c>
      <c r="BP2288" s="11">
        <v>46005.768391203703</v>
      </c>
      <c r="BQ2288" s="15">
        <v>46007.792523148149</v>
      </c>
      <c r="BR2288" s="15">
        <v>46006.716319444444</v>
      </c>
      <c r="BS2288" s="10" t="s">
        <v>667</v>
      </c>
      <c r="BT2288" s="10" t="s">
        <v>279</v>
      </c>
      <c r="BU2288" s="10" t="s">
        <v>6518</v>
      </c>
      <c r="BV2288" s="10"/>
      <c r="BW2288" s="10"/>
      <c r="BX2288" s="10"/>
      <c r="BY2288" s="23"/>
      <c r="BZ2288" s="23"/>
      <c r="CA2288" s="19" t="s">
        <v>17473</v>
      </c>
      <c r="CB2288" s="19" t="s">
        <v>17474</v>
      </c>
      <c r="CC2288" s="23"/>
      <c r="CD2288" s="19" t="s">
        <v>17475</v>
      </c>
      <c r="CE2288" s="23"/>
      <c r="CF2288" s="23"/>
      <c r="CG2288" s="23"/>
      <c r="CH2288" s="23"/>
      <c r="CI2288" s="23"/>
    </row>
    <row r="2289" spans="1:87" x14ac:dyDescent="0.3">
      <c r="A2289" s="9" t="s">
        <v>17476</v>
      </c>
      <c r="B2289" s="10" t="s">
        <v>17477</v>
      </c>
      <c r="C2289" s="11">
        <v>45981.125</v>
      </c>
      <c r="D2289" s="12">
        <v>8.3333333333333329E-2</v>
      </c>
      <c r="E2289" s="11">
        <v>45981.208333333336</v>
      </c>
      <c r="F2289" s="10" t="s">
        <v>16149</v>
      </c>
      <c r="G2289" s="13" t="b">
        <v>0</v>
      </c>
      <c r="H2289" s="22" t="s">
        <v>6271</v>
      </c>
      <c r="I2289" s="10" t="s">
        <v>89</v>
      </c>
      <c r="J2289" s="13" t="b">
        <v>0</v>
      </c>
      <c r="K2289" s="13" t="b">
        <v>1</v>
      </c>
      <c r="L2289" s="10"/>
      <c r="M2289" s="10" t="s">
        <v>91</v>
      </c>
      <c r="N2289" s="10" t="s">
        <v>92</v>
      </c>
      <c r="O2289" s="19" t="s">
        <v>17478</v>
      </c>
      <c r="P2289" s="10"/>
      <c r="Q2289" s="10" t="s">
        <v>94</v>
      </c>
      <c r="R2289" s="10"/>
      <c r="S2289" s="19" t="s">
        <v>17479</v>
      </c>
      <c r="T2289" s="10"/>
      <c r="U2289" s="10" t="s">
        <v>16210</v>
      </c>
      <c r="V2289" s="10" t="s">
        <v>16218</v>
      </c>
      <c r="W2289" s="10" t="s">
        <v>16154</v>
      </c>
      <c r="X2289" s="10" t="s">
        <v>130</v>
      </c>
      <c r="Y2289" s="10" t="s">
        <v>130</v>
      </c>
      <c r="Z2289" s="10" t="s">
        <v>99</v>
      </c>
      <c r="AA2289" s="10" t="s">
        <v>131</v>
      </c>
      <c r="AB2289" s="10" t="s">
        <v>16155</v>
      </c>
      <c r="AC2289" s="10" t="s">
        <v>3571</v>
      </c>
      <c r="AD2289" s="10" t="s">
        <v>17480</v>
      </c>
      <c r="AE2289" s="10" t="s">
        <v>17481</v>
      </c>
      <c r="AF2289" s="15"/>
      <c r="AG2289" s="10"/>
      <c r="AH2289" s="10"/>
      <c r="AI2289" s="10"/>
      <c r="AJ2289" s="10"/>
      <c r="AK2289" s="10" t="s">
        <v>102</v>
      </c>
      <c r="AL2289" s="10" t="s">
        <v>7897</v>
      </c>
      <c r="AM2289" s="10"/>
      <c r="AN2289" s="10"/>
      <c r="AO2289" s="13" t="b">
        <v>0</v>
      </c>
      <c r="AP2289" s="22" t="s">
        <v>135</v>
      </c>
      <c r="AQ2289" s="10">
        <f ca="1">IFERROR(__xludf.DUMMYFUNCTION("""COMPUTED_VALUE"""),4724826)</f>
        <v>4724826</v>
      </c>
      <c r="AR2289" s="17">
        <v>728</v>
      </c>
      <c r="AS2289" s="17">
        <v>503</v>
      </c>
      <c r="AT2289" s="17">
        <v>4394.5</v>
      </c>
      <c r="AU2289" s="17">
        <v>0.5</v>
      </c>
      <c r="AV2289" s="17">
        <v>0.5</v>
      </c>
      <c r="AW2289" s="10" t="s">
        <v>105</v>
      </c>
      <c r="AX2289" s="17">
        <v>126</v>
      </c>
      <c r="AY2289" s="18">
        <v>8.7365805168986075</v>
      </c>
      <c r="AZ2289" s="10" t="s">
        <v>239</v>
      </c>
      <c r="BA2289" s="20" t="b">
        <v>0</v>
      </c>
      <c r="BB2289" s="10"/>
      <c r="BC2289" s="17">
        <v>728</v>
      </c>
      <c r="BD2289" s="17">
        <v>503</v>
      </c>
      <c r="BE2289" s="17">
        <v>4394.5</v>
      </c>
      <c r="BF2289" s="17">
        <v>0.5</v>
      </c>
      <c r="BG2289" s="11">
        <f ca="1">IFERROR(__xludf.DUMMYFUNCTION("""COMPUTED_VALUE"""),45981.125)</f>
        <v>45981.125</v>
      </c>
      <c r="BH2289" s="17" t="s">
        <v>105</v>
      </c>
      <c r="BI2289" s="17"/>
      <c r="BJ2289" s="15"/>
      <c r="BK2289" s="15"/>
      <c r="BL2289" s="13" t="b">
        <v>0</v>
      </c>
      <c r="BM2289" s="10"/>
      <c r="BN2289" s="10" t="s">
        <v>455</v>
      </c>
      <c r="BO2289" s="11">
        <v>45944.604861111111</v>
      </c>
      <c r="BP2289" s="11">
        <v>45978.572534722225</v>
      </c>
      <c r="BQ2289" s="15">
        <v>45980.43377314815</v>
      </c>
      <c r="BR2289" s="15">
        <v>45980.44809027778</v>
      </c>
      <c r="BS2289" s="10" t="s">
        <v>455</v>
      </c>
      <c r="BT2289" s="10" t="s">
        <v>99</v>
      </c>
      <c r="BU2289" s="10" t="s">
        <v>942</v>
      </c>
      <c r="BV2289" s="10"/>
      <c r="BW2289" s="10"/>
      <c r="BX2289" s="10"/>
      <c r="BY2289" s="23"/>
      <c r="BZ2289" s="23"/>
      <c r="CA2289" s="19" t="s">
        <v>17482</v>
      </c>
      <c r="CB2289" s="23"/>
      <c r="CC2289" s="23"/>
      <c r="CD2289" s="23"/>
      <c r="CE2289" s="23"/>
      <c r="CF2289" s="23"/>
      <c r="CG2289" s="23"/>
      <c r="CH2289" s="23"/>
      <c r="CI2289" s="23"/>
    </row>
    <row r="2290" spans="1:87" x14ac:dyDescent="0.3">
      <c r="A2290" s="25" t="s">
        <v>17483</v>
      </c>
      <c r="B2290" s="10" t="s">
        <v>17484</v>
      </c>
      <c r="C2290" s="11">
        <v>46009.125</v>
      </c>
      <c r="D2290" s="12">
        <v>8.3333333333333329E-2</v>
      </c>
      <c r="E2290" s="11">
        <v>46009.208333333336</v>
      </c>
      <c r="F2290" s="10" t="s">
        <v>16149</v>
      </c>
      <c r="G2290" s="13" t="b">
        <v>0</v>
      </c>
      <c r="H2290" s="22"/>
      <c r="I2290" s="10" t="s">
        <v>89</v>
      </c>
      <c r="J2290" s="13" t="b">
        <v>0</v>
      </c>
      <c r="K2290" s="13" t="b">
        <v>1</v>
      </c>
      <c r="L2290" s="10" t="s">
        <v>124</v>
      </c>
      <c r="M2290" s="10" t="s">
        <v>91</v>
      </c>
      <c r="N2290" s="10" t="s">
        <v>92</v>
      </c>
      <c r="O2290" s="10"/>
      <c r="P2290" s="10"/>
      <c r="Q2290" s="10" t="s">
        <v>126</v>
      </c>
      <c r="R2290" s="10"/>
      <c r="S2290" s="10"/>
      <c r="T2290" s="10"/>
      <c r="U2290" s="10" t="s">
        <v>16201</v>
      </c>
      <c r="V2290" s="10" t="s">
        <v>16191</v>
      </c>
      <c r="W2290" s="10" t="s">
        <v>16154</v>
      </c>
      <c r="X2290" s="10" t="s">
        <v>130</v>
      </c>
      <c r="Y2290" s="10" t="s">
        <v>130</v>
      </c>
      <c r="Z2290" s="10" t="s">
        <v>99</v>
      </c>
      <c r="AA2290" s="10" t="s">
        <v>131</v>
      </c>
      <c r="AB2290" s="10" t="s">
        <v>16155</v>
      </c>
      <c r="AC2290" s="10" t="s">
        <v>3571</v>
      </c>
      <c r="AD2290" s="10" t="s">
        <v>17485</v>
      </c>
      <c r="AE2290" s="10" t="s">
        <v>17486</v>
      </c>
      <c r="AF2290" s="15"/>
      <c r="AG2290" s="10"/>
      <c r="AH2290" s="10"/>
      <c r="AI2290" s="10"/>
      <c r="AJ2290" s="10"/>
      <c r="AK2290" s="10" t="s">
        <v>256</v>
      </c>
      <c r="AL2290" s="10" t="s">
        <v>7897</v>
      </c>
      <c r="AM2290" s="10"/>
      <c r="AN2290" s="10"/>
      <c r="AO2290" s="13" t="b">
        <v>0</v>
      </c>
      <c r="AP2290" s="22" t="s">
        <v>135</v>
      </c>
      <c r="AQ2290" s="10"/>
      <c r="AR2290" s="17"/>
      <c r="AS2290" s="17"/>
      <c r="AT2290" s="17"/>
      <c r="AU2290" s="17"/>
      <c r="AV2290" s="17"/>
      <c r="AW2290" s="10"/>
      <c r="AX2290" s="17"/>
      <c r="AY2290" s="18" t="s">
        <v>257</v>
      </c>
      <c r="AZ2290" s="10"/>
      <c r="BA2290" s="20" t="b">
        <v>0</v>
      </c>
      <c r="BB2290" s="10"/>
      <c r="BC2290" s="17" t="s">
        <v>257</v>
      </c>
      <c r="BD2290" s="17" t="s">
        <v>257</v>
      </c>
      <c r="BE2290" s="17" t="s">
        <v>257</v>
      </c>
      <c r="BF2290" s="17" t="s">
        <v>257</v>
      </c>
      <c r="BG2290" s="11">
        <f ca="1">IFERROR(__xludf.DUMMYFUNCTION("""COMPUTED_VALUE"""),46009.125)</f>
        <v>46009.125</v>
      </c>
      <c r="BH2290" s="17"/>
      <c r="BI2290" s="17"/>
      <c r="BJ2290" s="15"/>
      <c r="BK2290" s="15"/>
      <c r="BL2290" s="13" t="b">
        <v>0</v>
      </c>
      <c r="BM2290" s="10"/>
      <c r="BN2290" s="10" t="s">
        <v>241</v>
      </c>
      <c r="BO2290" s="11">
        <v>45944.615277777775</v>
      </c>
      <c r="BP2290" s="11">
        <v>45944.615578703706</v>
      </c>
      <c r="BQ2290" s="15"/>
      <c r="BR2290" s="15"/>
      <c r="BS2290" s="10"/>
      <c r="BT2290" s="10" t="s">
        <v>99</v>
      </c>
      <c r="BU2290" s="10"/>
      <c r="BV2290" s="10"/>
      <c r="BW2290" s="10"/>
      <c r="BX2290" s="10"/>
      <c r="BY2290" s="23"/>
      <c r="BZ2290" s="23"/>
      <c r="CA2290" s="23"/>
      <c r="CB2290" s="23"/>
      <c r="CC2290" s="23"/>
      <c r="CD2290" s="23"/>
      <c r="CE2290" s="23"/>
      <c r="CF2290" s="23"/>
      <c r="CG2290" s="23"/>
      <c r="CH2290" s="23"/>
      <c r="CI2290" s="23"/>
    </row>
    <row r="2291" spans="1:87" x14ac:dyDescent="0.3">
      <c r="A2291" s="9" t="s">
        <v>17487</v>
      </c>
      <c r="B2291" s="10" t="s">
        <v>17488</v>
      </c>
      <c r="C2291" s="11">
        <v>45982.03125</v>
      </c>
      <c r="D2291" s="12">
        <v>8.3333333333333329E-2</v>
      </c>
      <c r="E2291" s="11">
        <v>45982.114583333336</v>
      </c>
      <c r="F2291" s="10" t="s">
        <v>16149</v>
      </c>
      <c r="G2291" s="13" t="b">
        <v>0</v>
      </c>
      <c r="H2291" s="22" t="s">
        <v>3564</v>
      </c>
      <c r="I2291" s="10" t="s">
        <v>89</v>
      </c>
      <c r="J2291" s="13" t="b">
        <v>0</v>
      </c>
      <c r="K2291" s="13" t="b">
        <v>1</v>
      </c>
      <c r="L2291" s="10"/>
      <c r="M2291" s="10" t="s">
        <v>91</v>
      </c>
      <c r="N2291" s="10" t="s">
        <v>92</v>
      </c>
      <c r="O2291" s="19" t="s">
        <v>17489</v>
      </c>
      <c r="P2291" s="10"/>
      <c r="Q2291" s="10" t="s">
        <v>94</v>
      </c>
      <c r="R2291" s="10"/>
      <c r="S2291" s="19" t="s">
        <v>17490</v>
      </c>
      <c r="T2291" s="10"/>
      <c r="U2291" s="10" t="s">
        <v>16201</v>
      </c>
      <c r="V2291" s="10" t="s">
        <v>16219</v>
      </c>
      <c r="W2291" s="10" t="s">
        <v>16154</v>
      </c>
      <c r="X2291" s="10" t="s">
        <v>130</v>
      </c>
      <c r="Y2291" s="10" t="s">
        <v>130</v>
      </c>
      <c r="Z2291" s="10" t="s">
        <v>99</v>
      </c>
      <c r="AA2291" s="10" t="s">
        <v>131</v>
      </c>
      <c r="AB2291" s="10" t="s">
        <v>16155</v>
      </c>
      <c r="AC2291" s="10" t="s">
        <v>3571</v>
      </c>
      <c r="AD2291" s="10" t="s">
        <v>17491</v>
      </c>
      <c r="AE2291" s="10" t="s">
        <v>17492</v>
      </c>
      <c r="AF2291" s="15"/>
      <c r="AG2291" s="10"/>
      <c r="AH2291" s="10"/>
      <c r="AI2291" s="10"/>
      <c r="AJ2291" s="10"/>
      <c r="AK2291" s="10" t="s">
        <v>102</v>
      </c>
      <c r="AL2291" s="10" t="s">
        <v>7897</v>
      </c>
      <c r="AM2291" s="10"/>
      <c r="AN2291" s="10"/>
      <c r="AO2291" s="13" t="b">
        <v>0</v>
      </c>
      <c r="AP2291" s="22" t="s">
        <v>135</v>
      </c>
      <c r="AQ2291" s="10">
        <f ca="1">IFERROR(__xludf.DUMMYFUNCTION("""COMPUTED_VALUE"""),4724820)</f>
        <v>4724820</v>
      </c>
      <c r="AR2291" s="17">
        <v>3916</v>
      </c>
      <c r="AS2291" s="17">
        <v>3261</v>
      </c>
      <c r="AT2291" s="17">
        <v>66225.5</v>
      </c>
      <c r="AU2291" s="17">
        <v>7.9</v>
      </c>
      <c r="AV2291" s="17">
        <v>2.25</v>
      </c>
      <c r="AW2291" s="10" t="s">
        <v>105</v>
      </c>
      <c r="AX2291" s="17">
        <v>609</v>
      </c>
      <c r="AY2291" s="18">
        <v>20.308340999693346</v>
      </c>
      <c r="AZ2291" s="10" t="s">
        <v>239</v>
      </c>
      <c r="BA2291" s="20" t="b">
        <v>0</v>
      </c>
      <c r="BB2291" s="10"/>
      <c r="BC2291" s="17">
        <v>3916</v>
      </c>
      <c r="BD2291" s="17">
        <v>3261</v>
      </c>
      <c r="BE2291" s="17">
        <v>66225.5</v>
      </c>
      <c r="BF2291" s="17">
        <v>2.25</v>
      </c>
      <c r="BG2291" s="11">
        <f ca="1">IFERROR(__xludf.DUMMYFUNCTION("""COMPUTED_VALUE"""),45982.03125)</f>
        <v>45982.03125</v>
      </c>
      <c r="BH2291" s="17" t="s">
        <v>105</v>
      </c>
      <c r="BI2291" s="17"/>
      <c r="BJ2291" s="15"/>
      <c r="BK2291" s="15"/>
      <c r="BL2291" s="13" t="b">
        <v>0</v>
      </c>
      <c r="BM2291" s="10"/>
      <c r="BN2291" s="10" t="s">
        <v>634</v>
      </c>
      <c r="BO2291" s="11">
        <v>45944.605555555558</v>
      </c>
      <c r="BP2291" s="11">
        <v>45978.574120370373</v>
      </c>
      <c r="BQ2291" s="15">
        <v>45980.434108796297</v>
      </c>
      <c r="BR2291" s="15">
        <v>45980.445069444446</v>
      </c>
      <c r="BS2291" s="10" t="s">
        <v>634</v>
      </c>
      <c r="BT2291" s="10" t="s">
        <v>99</v>
      </c>
      <c r="BU2291" s="10" t="s">
        <v>5492</v>
      </c>
      <c r="BV2291" s="10"/>
      <c r="BW2291" s="10"/>
      <c r="BX2291" s="10"/>
      <c r="BY2291" s="23"/>
      <c r="BZ2291" s="23"/>
      <c r="CA2291" s="19" t="s">
        <v>17493</v>
      </c>
      <c r="CB2291" s="23"/>
      <c r="CC2291" s="23"/>
      <c r="CD2291" s="23"/>
      <c r="CE2291" s="23"/>
      <c r="CF2291" s="23"/>
      <c r="CG2291" s="23"/>
      <c r="CH2291" s="23"/>
      <c r="CI2291" s="23"/>
    </row>
    <row r="2292" spans="1:87" x14ac:dyDescent="0.3">
      <c r="A2292" s="9" t="s">
        <v>17494</v>
      </c>
      <c r="B2292" s="10" t="s">
        <v>17495</v>
      </c>
      <c r="C2292" s="11">
        <v>45982.125</v>
      </c>
      <c r="D2292" s="12">
        <v>8.3333333333333329E-2</v>
      </c>
      <c r="E2292" s="11">
        <v>45982.208333333336</v>
      </c>
      <c r="F2292" s="10" t="s">
        <v>16149</v>
      </c>
      <c r="G2292" s="13" t="b">
        <v>0</v>
      </c>
      <c r="H2292" s="22" t="s">
        <v>3564</v>
      </c>
      <c r="I2292" s="10" t="s">
        <v>89</v>
      </c>
      <c r="J2292" s="13" t="b">
        <v>0</v>
      </c>
      <c r="K2292" s="13" t="b">
        <v>1</v>
      </c>
      <c r="L2292" s="10"/>
      <c r="M2292" s="10" t="s">
        <v>91</v>
      </c>
      <c r="N2292" s="10" t="s">
        <v>92</v>
      </c>
      <c r="O2292" s="19" t="s">
        <v>17496</v>
      </c>
      <c r="P2292" s="10"/>
      <c r="Q2292" s="10" t="s">
        <v>126</v>
      </c>
      <c r="R2292" s="10"/>
      <c r="S2292" s="19" t="s">
        <v>17497</v>
      </c>
      <c r="T2292" s="10"/>
      <c r="U2292" s="10" t="s">
        <v>16228</v>
      </c>
      <c r="V2292" s="10" t="s">
        <v>16182</v>
      </c>
      <c r="W2292" s="10" t="s">
        <v>16154</v>
      </c>
      <c r="X2292" s="10" t="s">
        <v>130</v>
      </c>
      <c r="Y2292" s="10" t="s">
        <v>130</v>
      </c>
      <c r="Z2292" s="10" t="s">
        <v>99</v>
      </c>
      <c r="AA2292" s="10" t="s">
        <v>131</v>
      </c>
      <c r="AB2292" s="10" t="s">
        <v>16155</v>
      </c>
      <c r="AC2292" s="10" t="s">
        <v>3571</v>
      </c>
      <c r="AD2292" s="10" t="s">
        <v>17498</v>
      </c>
      <c r="AE2292" s="10" t="s">
        <v>17499</v>
      </c>
      <c r="AF2292" s="15"/>
      <c r="AG2292" s="10"/>
      <c r="AH2292" s="10"/>
      <c r="AI2292" s="10"/>
      <c r="AJ2292" s="10"/>
      <c r="AK2292" s="10" t="s">
        <v>102</v>
      </c>
      <c r="AL2292" s="10" t="s">
        <v>7897</v>
      </c>
      <c r="AM2292" s="10"/>
      <c r="AN2292" s="10"/>
      <c r="AO2292" s="13" t="b">
        <v>0</v>
      </c>
      <c r="AP2292" s="22" t="s">
        <v>135</v>
      </c>
      <c r="AQ2292" s="10">
        <f ca="1">IFERROR(__xludf.DUMMYFUNCTION("""COMPUTED_VALUE"""),4724821)</f>
        <v>4724821</v>
      </c>
      <c r="AR2292" s="17">
        <v>4000</v>
      </c>
      <c r="AS2292" s="17">
        <v>2968</v>
      </c>
      <c r="AT2292" s="17">
        <v>40818.75</v>
      </c>
      <c r="AU2292" s="17">
        <v>8.4</v>
      </c>
      <c r="AV2292" s="17">
        <v>1.65</v>
      </c>
      <c r="AW2292" s="10" t="s">
        <v>105</v>
      </c>
      <c r="AX2292" s="17">
        <v>694</v>
      </c>
      <c r="AY2292" s="18">
        <v>13.752948113207546</v>
      </c>
      <c r="AZ2292" s="10" t="s">
        <v>239</v>
      </c>
      <c r="BA2292" s="20" t="b">
        <v>0</v>
      </c>
      <c r="BB2292" s="10"/>
      <c r="BC2292" s="17">
        <v>4000</v>
      </c>
      <c r="BD2292" s="17">
        <v>2968</v>
      </c>
      <c r="BE2292" s="17">
        <v>40818.75</v>
      </c>
      <c r="BF2292" s="17">
        <v>1.65</v>
      </c>
      <c r="BG2292" s="11">
        <f ca="1">IFERROR(__xludf.DUMMYFUNCTION("""COMPUTED_VALUE"""),45982.125)</f>
        <v>45982.125</v>
      </c>
      <c r="BH2292" s="17" t="s">
        <v>105</v>
      </c>
      <c r="BI2292" s="17"/>
      <c r="BJ2292" s="15"/>
      <c r="BK2292" s="15"/>
      <c r="BL2292" s="13" t="b">
        <v>0</v>
      </c>
      <c r="BM2292" s="10"/>
      <c r="BN2292" s="10" t="s">
        <v>634</v>
      </c>
      <c r="BO2292" s="11">
        <v>45944.605555555558</v>
      </c>
      <c r="BP2292" s="11">
        <v>45978.574270833335</v>
      </c>
      <c r="BQ2292" s="15">
        <v>45980.435011574074</v>
      </c>
      <c r="BR2292" s="15">
        <v>45980.448912037034</v>
      </c>
      <c r="BS2292" s="10" t="s">
        <v>634</v>
      </c>
      <c r="BT2292" s="10" t="s">
        <v>279</v>
      </c>
      <c r="BU2292" s="10" t="s">
        <v>5492</v>
      </c>
      <c r="BV2292" s="10"/>
      <c r="BW2292" s="10"/>
      <c r="BX2292" s="10"/>
      <c r="BY2292" s="23"/>
      <c r="BZ2292" s="23"/>
      <c r="CA2292" s="19" t="s">
        <v>17500</v>
      </c>
      <c r="CB2292" s="23"/>
      <c r="CC2292" s="23"/>
      <c r="CD2292" s="19" t="s">
        <v>17501</v>
      </c>
      <c r="CE2292" s="23"/>
      <c r="CF2292" s="23"/>
      <c r="CG2292" s="23"/>
      <c r="CH2292" s="23"/>
      <c r="CI2292" s="23"/>
    </row>
    <row r="2293" spans="1:87" x14ac:dyDescent="0.3">
      <c r="A2293" s="9" t="s">
        <v>17502</v>
      </c>
      <c r="B2293" s="10" t="s">
        <v>17503</v>
      </c>
      <c r="C2293" s="11">
        <v>45982.125</v>
      </c>
      <c r="D2293" s="12">
        <v>8.3333333333333329E-2</v>
      </c>
      <c r="E2293" s="11">
        <v>45982.208333333336</v>
      </c>
      <c r="F2293" s="10" t="s">
        <v>16149</v>
      </c>
      <c r="G2293" s="13" t="b">
        <v>0</v>
      </c>
      <c r="H2293" s="22" t="s">
        <v>6271</v>
      </c>
      <c r="I2293" s="10" t="s">
        <v>89</v>
      </c>
      <c r="J2293" s="13" t="b">
        <v>0</v>
      </c>
      <c r="K2293" s="13" t="b">
        <v>1</v>
      </c>
      <c r="L2293" s="10"/>
      <c r="M2293" s="10" t="s">
        <v>91</v>
      </c>
      <c r="N2293" s="10" t="s">
        <v>92</v>
      </c>
      <c r="O2293" s="19" t="s">
        <v>17504</v>
      </c>
      <c r="P2293" s="10"/>
      <c r="Q2293" s="10" t="s">
        <v>94</v>
      </c>
      <c r="R2293" s="10"/>
      <c r="S2293" s="19" t="s">
        <v>17505</v>
      </c>
      <c r="T2293" s="10"/>
      <c r="U2293" s="10" t="s">
        <v>16165</v>
      </c>
      <c r="V2293" s="10" t="s">
        <v>16192</v>
      </c>
      <c r="W2293" s="10" t="s">
        <v>16154</v>
      </c>
      <c r="X2293" s="10" t="s">
        <v>130</v>
      </c>
      <c r="Y2293" s="10" t="s">
        <v>130</v>
      </c>
      <c r="Z2293" s="10" t="s">
        <v>99</v>
      </c>
      <c r="AA2293" s="10" t="s">
        <v>131</v>
      </c>
      <c r="AB2293" s="10" t="s">
        <v>16155</v>
      </c>
      <c r="AC2293" s="10" t="s">
        <v>3571</v>
      </c>
      <c r="AD2293" s="10" t="s">
        <v>17506</v>
      </c>
      <c r="AE2293" s="10" t="s">
        <v>17507</v>
      </c>
      <c r="AF2293" s="15"/>
      <c r="AG2293" s="10"/>
      <c r="AH2293" s="10"/>
      <c r="AI2293" s="10"/>
      <c r="AJ2293" s="10"/>
      <c r="AK2293" s="10" t="s">
        <v>102</v>
      </c>
      <c r="AL2293" s="10" t="s">
        <v>7897</v>
      </c>
      <c r="AM2293" s="10"/>
      <c r="AN2293" s="10"/>
      <c r="AO2293" s="13" t="b">
        <v>0</v>
      </c>
      <c r="AP2293" s="22" t="s">
        <v>135</v>
      </c>
      <c r="AQ2293" s="10">
        <f ca="1">IFERROR(__xludf.DUMMYFUNCTION("""COMPUTED_VALUE"""),4724827)</f>
        <v>4724827</v>
      </c>
      <c r="AR2293" s="17">
        <v>1130</v>
      </c>
      <c r="AS2293" s="17">
        <v>747</v>
      </c>
      <c r="AT2293" s="17">
        <v>7566.75</v>
      </c>
      <c r="AU2293" s="17">
        <v>1.1000000000000001</v>
      </c>
      <c r="AV2293" s="17">
        <v>1</v>
      </c>
      <c r="AW2293" s="10" t="s">
        <v>105</v>
      </c>
      <c r="AX2293" s="17">
        <v>169</v>
      </c>
      <c r="AY2293" s="18">
        <v>10.129518072289157</v>
      </c>
      <c r="AZ2293" s="10" t="s">
        <v>239</v>
      </c>
      <c r="BA2293" s="20" t="b">
        <v>0</v>
      </c>
      <c r="BB2293" s="10"/>
      <c r="BC2293" s="17">
        <v>1130</v>
      </c>
      <c r="BD2293" s="17">
        <v>747</v>
      </c>
      <c r="BE2293" s="17">
        <v>7566.75</v>
      </c>
      <c r="BF2293" s="17">
        <v>1</v>
      </c>
      <c r="BG2293" s="11">
        <f ca="1">IFERROR(__xludf.DUMMYFUNCTION("""COMPUTED_VALUE"""),45982.125)</f>
        <v>45982.125</v>
      </c>
      <c r="BH2293" s="17" t="s">
        <v>105</v>
      </c>
      <c r="BI2293" s="17"/>
      <c r="BJ2293" s="15"/>
      <c r="BK2293" s="15"/>
      <c r="BL2293" s="13" t="b">
        <v>0</v>
      </c>
      <c r="BM2293" s="10"/>
      <c r="BN2293" s="10" t="s">
        <v>634</v>
      </c>
      <c r="BO2293" s="11">
        <v>45944.606249999997</v>
      </c>
      <c r="BP2293" s="11">
        <v>45978.573182870372</v>
      </c>
      <c r="BQ2293" s="15">
        <v>45980.434791666667</v>
      </c>
      <c r="BR2293" s="15">
        <v>45980.448738425926</v>
      </c>
      <c r="BS2293" s="10" t="s">
        <v>634</v>
      </c>
      <c r="BT2293" s="10" t="s">
        <v>279</v>
      </c>
      <c r="BU2293" s="10" t="s">
        <v>942</v>
      </c>
      <c r="BV2293" s="10"/>
      <c r="BW2293" s="10"/>
      <c r="BX2293" s="10"/>
      <c r="BY2293" s="23"/>
      <c r="BZ2293" s="23"/>
      <c r="CA2293" s="19" t="s">
        <v>17508</v>
      </c>
      <c r="CB2293" s="23"/>
      <c r="CC2293" s="23"/>
      <c r="CD2293" s="23"/>
      <c r="CE2293" s="23"/>
      <c r="CF2293" s="23"/>
      <c r="CG2293" s="23"/>
      <c r="CH2293" s="23"/>
      <c r="CI2293" s="23"/>
    </row>
    <row r="2294" spans="1:87" x14ac:dyDescent="0.3">
      <c r="A2294" s="9" t="s">
        <v>17509</v>
      </c>
      <c r="B2294" s="10" t="s">
        <v>17510</v>
      </c>
      <c r="C2294" s="11">
        <v>45982.125</v>
      </c>
      <c r="D2294" s="12">
        <v>8.3333333333333329E-2</v>
      </c>
      <c r="E2294" s="11">
        <v>45982.208333333336</v>
      </c>
      <c r="F2294" s="10" t="s">
        <v>16149</v>
      </c>
      <c r="G2294" s="13" t="b">
        <v>0</v>
      </c>
      <c r="H2294" s="22" t="s">
        <v>3578</v>
      </c>
      <c r="I2294" s="10" t="s">
        <v>89</v>
      </c>
      <c r="J2294" s="13" t="b">
        <v>0</v>
      </c>
      <c r="K2294" s="13" t="b">
        <v>1</v>
      </c>
      <c r="L2294" s="10"/>
      <c r="M2294" s="10" t="s">
        <v>91</v>
      </c>
      <c r="N2294" s="10" t="s">
        <v>92</v>
      </c>
      <c r="O2294" s="19" t="s">
        <v>17511</v>
      </c>
      <c r="P2294" s="10"/>
      <c r="Q2294" s="10" t="s">
        <v>126</v>
      </c>
      <c r="R2294" s="10"/>
      <c r="S2294" s="19" t="s">
        <v>17512</v>
      </c>
      <c r="T2294" s="10"/>
      <c r="U2294" s="10" t="s">
        <v>15684</v>
      </c>
      <c r="V2294" s="10" t="s">
        <v>16181</v>
      </c>
      <c r="W2294" s="10" t="s">
        <v>16154</v>
      </c>
      <c r="X2294" s="10" t="s">
        <v>130</v>
      </c>
      <c r="Y2294" s="10" t="s">
        <v>130</v>
      </c>
      <c r="Z2294" s="10" t="s">
        <v>99</v>
      </c>
      <c r="AA2294" s="10" t="s">
        <v>131</v>
      </c>
      <c r="AB2294" s="10" t="s">
        <v>16155</v>
      </c>
      <c r="AC2294" s="10" t="s">
        <v>3571</v>
      </c>
      <c r="AD2294" s="10" t="s">
        <v>17513</v>
      </c>
      <c r="AE2294" s="10" t="s">
        <v>17514</v>
      </c>
      <c r="AF2294" s="15"/>
      <c r="AG2294" s="10"/>
      <c r="AH2294" s="10"/>
      <c r="AI2294" s="10"/>
      <c r="AJ2294" s="10"/>
      <c r="AK2294" s="10" t="s">
        <v>102</v>
      </c>
      <c r="AL2294" s="10" t="s">
        <v>7897</v>
      </c>
      <c r="AM2294" s="10"/>
      <c r="AN2294" s="10"/>
      <c r="AO2294" s="13" t="b">
        <v>0</v>
      </c>
      <c r="AP2294" s="22" t="s">
        <v>135</v>
      </c>
      <c r="AQ2294" s="10">
        <f ca="1">IFERROR(__xludf.DUMMYFUNCTION("""COMPUTED_VALUE"""),4724824)</f>
        <v>4724824</v>
      </c>
      <c r="AR2294" s="17">
        <v>5696</v>
      </c>
      <c r="AS2294" s="17">
        <v>3650</v>
      </c>
      <c r="AT2294" s="17">
        <v>79561</v>
      </c>
      <c r="AU2294" s="17">
        <v>18.05</v>
      </c>
      <c r="AV2294" s="17">
        <v>5</v>
      </c>
      <c r="AW2294" s="10" t="s">
        <v>105</v>
      </c>
      <c r="AX2294" s="17">
        <v>1079</v>
      </c>
      <c r="AY2294" s="18">
        <v>21.797534246575342</v>
      </c>
      <c r="AZ2294" s="10" t="s">
        <v>239</v>
      </c>
      <c r="BA2294" s="20" t="b">
        <v>0</v>
      </c>
      <c r="BB2294" s="10"/>
      <c r="BC2294" s="17">
        <v>5696</v>
      </c>
      <c r="BD2294" s="17">
        <v>3650</v>
      </c>
      <c r="BE2294" s="17">
        <v>79561</v>
      </c>
      <c r="BF2294" s="17">
        <v>5</v>
      </c>
      <c r="BG2294" s="11">
        <f ca="1">IFERROR(__xludf.DUMMYFUNCTION("""COMPUTED_VALUE"""),45982.125)</f>
        <v>45982.125</v>
      </c>
      <c r="BH2294" s="17" t="s">
        <v>105</v>
      </c>
      <c r="BI2294" s="17"/>
      <c r="BJ2294" s="15"/>
      <c r="BK2294" s="15"/>
      <c r="BL2294" s="13" t="b">
        <v>0</v>
      </c>
      <c r="BM2294" s="10"/>
      <c r="BN2294" s="10" t="s">
        <v>634</v>
      </c>
      <c r="BO2294" s="11">
        <v>45944.606944444444</v>
      </c>
      <c r="BP2294" s="11">
        <v>45978.572025462963</v>
      </c>
      <c r="BQ2294" s="15">
        <v>45980.434432870374</v>
      </c>
      <c r="BR2294" s="15">
        <v>45980.448564814818</v>
      </c>
      <c r="BS2294" s="10" t="s">
        <v>634</v>
      </c>
      <c r="BT2294" s="10" t="s">
        <v>279</v>
      </c>
      <c r="BU2294" s="10" t="s">
        <v>8013</v>
      </c>
      <c r="BV2294" s="10"/>
      <c r="BW2294" s="10"/>
      <c r="BX2294" s="10"/>
      <c r="BY2294" s="23"/>
      <c r="BZ2294" s="23"/>
      <c r="CA2294" s="19" t="s">
        <v>17515</v>
      </c>
      <c r="CB2294" s="23"/>
      <c r="CC2294" s="23"/>
      <c r="CD2294" s="19" t="s">
        <v>17516</v>
      </c>
      <c r="CE2294" s="23"/>
      <c r="CF2294" s="23"/>
      <c r="CG2294" s="23"/>
      <c r="CH2294" s="23"/>
      <c r="CI2294" s="23"/>
    </row>
    <row r="2295" spans="1:87" x14ac:dyDescent="0.3">
      <c r="A2295" s="9" t="s">
        <v>17517</v>
      </c>
      <c r="B2295" s="10" t="s">
        <v>17518</v>
      </c>
      <c r="C2295" s="11">
        <v>46001.03125</v>
      </c>
      <c r="D2295" s="12">
        <v>8.3333333333333329E-2</v>
      </c>
      <c r="E2295" s="11">
        <v>46001.114583333336</v>
      </c>
      <c r="F2295" s="10" t="s">
        <v>16149</v>
      </c>
      <c r="G2295" s="13" t="b">
        <v>0</v>
      </c>
      <c r="H2295" s="22" t="s">
        <v>3564</v>
      </c>
      <c r="I2295" s="10" t="s">
        <v>89</v>
      </c>
      <c r="J2295" s="13" t="b">
        <v>0</v>
      </c>
      <c r="K2295" s="13" t="b">
        <v>1</v>
      </c>
      <c r="L2295" s="10" t="s">
        <v>124</v>
      </c>
      <c r="M2295" s="10" t="s">
        <v>91</v>
      </c>
      <c r="N2295" s="10" t="s">
        <v>92</v>
      </c>
      <c r="O2295" s="19" t="s">
        <v>17519</v>
      </c>
      <c r="P2295" s="10"/>
      <c r="Q2295" s="10" t="s">
        <v>94</v>
      </c>
      <c r="R2295" s="10"/>
      <c r="S2295" s="19" t="s">
        <v>17520</v>
      </c>
      <c r="T2295" s="10"/>
      <c r="U2295" s="10" t="s">
        <v>16218</v>
      </c>
      <c r="V2295" s="10" t="s">
        <v>16152</v>
      </c>
      <c r="W2295" s="10" t="s">
        <v>16154</v>
      </c>
      <c r="X2295" s="10" t="s">
        <v>130</v>
      </c>
      <c r="Y2295" s="10" t="s">
        <v>130</v>
      </c>
      <c r="Z2295" s="10" t="s">
        <v>99</v>
      </c>
      <c r="AA2295" s="10" t="s">
        <v>131</v>
      </c>
      <c r="AB2295" s="10" t="s">
        <v>16155</v>
      </c>
      <c r="AC2295" s="10" t="s">
        <v>3571</v>
      </c>
      <c r="AD2295" s="10" t="s">
        <v>17521</v>
      </c>
      <c r="AE2295" s="10" t="s">
        <v>17522</v>
      </c>
      <c r="AF2295" s="15"/>
      <c r="AG2295" s="10"/>
      <c r="AH2295" s="10"/>
      <c r="AI2295" s="10"/>
      <c r="AJ2295" s="10"/>
      <c r="AK2295" s="10" t="s">
        <v>102</v>
      </c>
      <c r="AL2295" s="10" t="s">
        <v>7897</v>
      </c>
      <c r="AM2295" s="10"/>
      <c r="AN2295" s="10"/>
      <c r="AO2295" s="13" t="b">
        <v>0</v>
      </c>
      <c r="AP2295" s="22" t="s">
        <v>135</v>
      </c>
      <c r="AQ2295" s="10">
        <f ca="1">IFERROR(__xludf.DUMMYFUNCTION("""COMPUTED_VALUE"""),4773121)</f>
        <v>4773121</v>
      </c>
      <c r="AR2295" s="17">
        <v>5362</v>
      </c>
      <c r="AS2295" s="17">
        <v>4740</v>
      </c>
      <c r="AT2295" s="17">
        <v>18349.75</v>
      </c>
      <c r="AU2295" s="17">
        <v>3.35</v>
      </c>
      <c r="AV2295" s="17">
        <v>0</v>
      </c>
      <c r="AW2295" s="10" t="s">
        <v>105</v>
      </c>
      <c r="AX2295" s="17">
        <v>2216</v>
      </c>
      <c r="AY2295" s="18">
        <v>3.8712552742616033</v>
      </c>
      <c r="AZ2295" s="10" t="s">
        <v>239</v>
      </c>
      <c r="BA2295" s="20" t="b">
        <v>0</v>
      </c>
      <c r="BB2295" s="10"/>
      <c r="BC2295" s="17">
        <v>5362</v>
      </c>
      <c r="BD2295" s="17">
        <v>4740</v>
      </c>
      <c r="BE2295" s="17">
        <v>18349.75</v>
      </c>
      <c r="BF2295" s="17">
        <v>0</v>
      </c>
      <c r="BG2295" s="11">
        <f ca="1">IFERROR(__xludf.DUMMYFUNCTION("""COMPUTED_VALUE"""),46001.03125)</f>
        <v>46001.03125</v>
      </c>
      <c r="BH2295" s="17" t="s">
        <v>105</v>
      </c>
      <c r="BI2295" s="17"/>
      <c r="BJ2295" s="15"/>
      <c r="BK2295" s="15"/>
      <c r="BL2295" s="13" t="b">
        <v>0</v>
      </c>
      <c r="BM2295" s="10"/>
      <c r="BN2295" s="10" t="s">
        <v>667</v>
      </c>
      <c r="BO2295" s="11">
        <v>45944.613888888889</v>
      </c>
      <c r="BP2295" s="11">
        <v>45988.641909722224</v>
      </c>
      <c r="BQ2295" s="15">
        <v>45999.611724537041</v>
      </c>
      <c r="BR2295" s="15">
        <v>45999.720486111109</v>
      </c>
      <c r="BS2295" s="10" t="s">
        <v>667</v>
      </c>
      <c r="BT2295" s="10" t="s">
        <v>99</v>
      </c>
      <c r="BU2295" s="10" t="s">
        <v>8057</v>
      </c>
      <c r="BV2295" s="10"/>
      <c r="BW2295" s="10"/>
      <c r="BX2295" s="10"/>
      <c r="BY2295" s="23"/>
      <c r="BZ2295" s="23"/>
      <c r="CA2295" s="19" t="s">
        <v>17523</v>
      </c>
      <c r="CB2295" s="23"/>
      <c r="CC2295" s="23"/>
      <c r="CD2295" s="23"/>
      <c r="CE2295" s="23"/>
      <c r="CF2295" s="23"/>
      <c r="CG2295" s="23"/>
      <c r="CH2295" s="23"/>
      <c r="CI2295" s="23"/>
    </row>
    <row r="2296" spans="1:87" x14ac:dyDescent="0.3">
      <c r="A2296" s="9" t="s">
        <v>17524</v>
      </c>
      <c r="B2296" s="10" t="s">
        <v>17525</v>
      </c>
      <c r="C2296" s="11">
        <v>46001.125</v>
      </c>
      <c r="D2296" s="12">
        <v>8.3333333333333329E-2</v>
      </c>
      <c r="E2296" s="11">
        <v>46001.208333333336</v>
      </c>
      <c r="F2296" s="10" t="s">
        <v>16149</v>
      </c>
      <c r="G2296" s="13" t="b">
        <v>0</v>
      </c>
      <c r="H2296" s="22"/>
      <c r="I2296" s="10" t="s">
        <v>89</v>
      </c>
      <c r="J2296" s="13" t="b">
        <v>0</v>
      </c>
      <c r="K2296" s="13" t="b">
        <v>1</v>
      </c>
      <c r="L2296" s="10" t="s">
        <v>124</v>
      </c>
      <c r="M2296" s="10" t="s">
        <v>91</v>
      </c>
      <c r="N2296" s="10" t="s">
        <v>92</v>
      </c>
      <c r="O2296" s="10"/>
      <c r="P2296" s="10"/>
      <c r="Q2296" s="10" t="s">
        <v>94</v>
      </c>
      <c r="R2296" s="10"/>
      <c r="S2296" s="10"/>
      <c r="T2296" s="10"/>
      <c r="U2296" s="10" t="s">
        <v>16228</v>
      </c>
      <c r="V2296" s="10" t="s">
        <v>16165</v>
      </c>
      <c r="W2296" s="10" t="s">
        <v>16154</v>
      </c>
      <c r="X2296" s="10" t="s">
        <v>130</v>
      </c>
      <c r="Y2296" s="10" t="s">
        <v>130</v>
      </c>
      <c r="Z2296" s="10" t="s">
        <v>99</v>
      </c>
      <c r="AA2296" s="10" t="s">
        <v>131</v>
      </c>
      <c r="AB2296" s="10" t="s">
        <v>16155</v>
      </c>
      <c r="AC2296" s="10" t="s">
        <v>3571</v>
      </c>
      <c r="AD2296" s="10" t="s">
        <v>17526</v>
      </c>
      <c r="AE2296" s="10" t="s">
        <v>17527</v>
      </c>
      <c r="AF2296" s="15"/>
      <c r="AG2296" s="10"/>
      <c r="AH2296" s="10"/>
      <c r="AI2296" s="10"/>
      <c r="AJ2296" s="10"/>
      <c r="AK2296" s="10" t="s">
        <v>256</v>
      </c>
      <c r="AL2296" s="10" t="s">
        <v>7897</v>
      </c>
      <c r="AM2296" s="10"/>
      <c r="AN2296" s="10"/>
      <c r="AO2296" s="13" t="b">
        <v>0</v>
      </c>
      <c r="AP2296" s="22" t="s">
        <v>135</v>
      </c>
      <c r="AQ2296" s="10"/>
      <c r="AR2296" s="17"/>
      <c r="AS2296" s="17"/>
      <c r="AT2296" s="17"/>
      <c r="AU2296" s="17"/>
      <c r="AV2296" s="17"/>
      <c r="AW2296" s="10"/>
      <c r="AX2296" s="17"/>
      <c r="AY2296" s="18" t="s">
        <v>257</v>
      </c>
      <c r="AZ2296" s="10"/>
      <c r="BA2296" s="20" t="b">
        <v>0</v>
      </c>
      <c r="BB2296" s="10"/>
      <c r="BC2296" s="17" t="s">
        <v>257</v>
      </c>
      <c r="BD2296" s="17" t="s">
        <v>257</v>
      </c>
      <c r="BE2296" s="17" t="s">
        <v>257</v>
      </c>
      <c r="BF2296" s="17" t="s">
        <v>257</v>
      </c>
      <c r="BG2296" s="11">
        <f ca="1">IFERROR(__xludf.DUMMYFUNCTION("""COMPUTED_VALUE"""),46001.125)</f>
        <v>46001.125</v>
      </c>
      <c r="BH2296" s="17"/>
      <c r="BI2296" s="17"/>
      <c r="BJ2296" s="15"/>
      <c r="BK2296" s="15"/>
      <c r="BL2296" s="13" t="b">
        <v>0</v>
      </c>
      <c r="BM2296" s="10" t="s">
        <v>240</v>
      </c>
      <c r="BN2296" s="10" t="s">
        <v>241</v>
      </c>
      <c r="BO2296" s="11">
        <v>45944.614583333336</v>
      </c>
      <c r="BP2296" s="11">
        <v>45992.663483796299</v>
      </c>
      <c r="BQ2296" s="15"/>
      <c r="BR2296" s="15"/>
      <c r="BS2296" s="10"/>
      <c r="BT2296" s="10" t="s">
        <v>99</v>
      </c>
      <c r="BU2296" s="10"/>
      <c r="BV2296" s="10"/>
      <c r="BW2296" s="10"/>
      <c r="BX2296" s="10"/>
      <c r="BY2296" s="23"/>
      <c r="BZ2296" s="23"/>
      <c r="CA2296" s="23"/>
      <c r="CB2296" s="23"/>
      <c r="CC2296" s="23"/>
      <c r="CD2296" s="23"/>
      <c r="CE2296" s="23"/>
      <c r="CF2296" s="23"/>
      <c r="CG2296" s="23"/>
      <c r="CH2296" s="23"/>
      <c r="CI2296" s="23"/>
    </row>
    <row r="2297" spans="1:87" x14ac:dyDescent="0.3">
      <c r="A2297" s="9" t="s">
        <v>17528</v>
      </c>
      <c r="B2297" s="10" t="s">
        <v>17529</v>
      </c>
      <c r="C2297" s="11">
        <v>46001.125</v>
      </c>
      <c r="D2297" s="12">
        <v>8.3333333333333329E-2</v>
      </c>
      <c r="E2297" s="11">
        <v>46001.208333333336</v>
      </c>
      <c r="F2297" s="10" t="s">
        <v>16149</v>
      </c>
      <c r="G2297" s="13" t="b">
        <v>0</v>
      </c>
      <c r="H2297" s="22"/>
      <c r="I2297" s="10" t="s">
        <v>89</v>
      </c>
      <c r="J2297" s="13" t="b">
        <v>0</v>
      </c>
      <c r="K2297" s="13" t="b">
        <v>1</v>
      </c>
      <c r="L2297" s="10" t="s">
        <v>124</v>
      </c>
      <c r="M2297" s="10" t="s">
        <v>91</v>
      </c>
      <c r="N2297" s="10" t="s">
        <v>92</v>
      </c>
      <c r="O2297" s="10"/>
      <c r="P2297" s="10"/>
      <c r="Q2297" s="10" t="s">
        <v>126</v>
      </c>
      <c r="R2297" s="10"/>
      <c r="S2297" s="10"/>
      <c r="T2297" s="10"/>
      <c r="U2297" s="10" t="s">
        <v>15259</v>
      </c>
      <c r="V2297" s="10" t="s">
        <v>16201</v>
      </c>
      <c r="W2297" s="10" t="s">
        <v>16154</v>
      </c>
      <c r="X2297" s="10" t="s">
        <v>130</v>
      </c>
      <c r="Y2297" s="10" t="s">
        <v>130</v>
      </c>
      <c r="Z2297" s="10" t="s">
        <v>99</v>
      </c>
      <c r="AA2297" s="10" t="s">
        <v>131</v>
      </c>
      <c r="AB2297" s="10" t="s">
        <v>16155</v>
      </c>
      <c r="AC2297" s="10" t="s">
        <v>3571</v>
      </c>
      <c r="AD2297" s="10" t="s">
        <v>17530</v>
      </c>
      <c r="AE2297" s="10" t="s">
        <v>17531</v>
      </c>
      <c r="AF2297" s="15"/>
      <c r="AG2297" s="10"/>
      <c r="AH2297" s="10"/>
      <c r="AI2297" s="10"/>
      <c r="AJ2297" s="10"/>
      <c r="AK2297" s="10" t="s">
        <v>256</v>
      </c>
      <c r="AL2297" s="10" t="s">
        <v>7897</v>
      </c>
      <c r="AM2297" s="10"/>
      <c r="AN2297" s="10"/>
      <c r="AO2297" s="13" t="b">
        <v>0</v>
      </c>
      <c r="AP2297" s="22" t="s">
        <v>135</v>
      </c>
      <c r="AQ2297" s="10"/>
      <c r="AR2297" s="17"/>
      <c r="AS2297" s="17"/>
      <c r="AT2297" s="17"/>
      <c r="AU2297" s="17"/>
      <c r="AV2297" s="17"/>
      <c r="AW2297" s="10"/>
      <c r="AX2297" s="17"/>
      <c r="AY2297" s="18" t="s">
        <v>257</v>
      </c>
      <c r="AZ2297" s="10"/>
      <c r="BA2297" s="20" t="b">
        <v>0</v>
      </c>
      <c r="BB2297" s="10"/>
      <c r="BC2297" s="17" t="s">
        <v>257</v>
      </c>
      <c r="BD2297" s="17" t="s">
        <v>257</v>
      </c>
      <c r="BE2297" s="17" t="s">
        <v>257</v>
      </c>
      <c r="BF2297" s="17" t="s">
        <v>257</v>
      </c>
      <c r="BG2297" s="11">
        <f ca="1">IFERROR(__xludf.DUMMYFUNCTION("""COMPUTED_VALUE"""),46001.125)</f>
        <v>46001.125</v>
      </c>
      <c r="BH2297" s="17"/>
      <c r="BI2297" s="17"/>
      <c r="BJ2297" s="15"/>
      <c r="BK2297" s="15"/>
      <c r="BL2297" s="13" t="b">
        <v>0</v>
      </c>
      <c r="BM2297" s="10"/>
      <c r="BN2297" s="10" t="s">
        <v>241</v>
      </c>
      <c r="BO2297" s="11">
        <v>45944.615277777775</v>
      </c>
      <c r="BP2297" s="11">
        <v>45944.615451388891</v>
      </c>
      <c r="BQ2297" s="15"/>
      <c r="BR2297" s="15"/>
      <c r="BS2297" s="10"/>
      <c r="BT2297" s="10" t="s">
        <v>99</v>
      </c>
      <c r="BU2297" s="10"/>
      <c r="BV2297" s="10"/>
      <c r="BW2297" s="10"/>
      <c r="BX2297" s="10"/>
      <c r="BY2297" s="23"/>
      <c r="BZ2297" s="23"/>
      <c r="CA2297" s="23"/>
      <c r="CB2297" s="23"/>
      <c r="CC2297" s="23"/>
      <c r="CD2297" s="23"/>
      <c r="CE2297" s="23"/>
      <c r="CF2297" s="23"/>
      <c r="CG2297" s="23"/>
      <c r="CH2297" s="23"/>
      <c r="CI2297" s="23"/>
    </row>
    <row r="2298" spans="1:87" x14ac:dyDescent="0.3">
      <c r="A2298" s="9" t="s">
        <v>17532</v>
      </c>
      <c r="B2298" s="10" t="s">
        <v>17533</v>
      </c>
      <c r="C2298" s="11">
        <v>46001.125</v>
      </c>
      <c r="D2298" s="12">
        <v>8.3333333333333329E-2</v>
      </c>
      <c r="E2298" s="11">
        <v>46001.208333333336</v>
      </c>
      <c r="F2298" s="10" t="s">
        <v>16149</v>
      </c>
      <c r="G2298" s="13" t="b">
        <v>0</v>
      </c>
      <c r="H2298" s="22"/>
      <c r="I2298" s="10" t="s">
        <v>89</v>
      </c>
      <c r="J2298" s="13" t="b">
        <v>0</v>
      </c>
      <c r="K2298" s="13" t="b">
        <v>1</v>
      </c>
      <c r="L2298" s="10" t="s">
        <v>124</v>
      </c>
      <c r="M2298" s="10" t="s">
        <v>91</v>
      </c>
      <c r="N2298" s="10" t="s">
        <v>92</v>
      </c>
      <c r="O2298" s="10"/>
      <c r="P2298" s="10"/>
      <c r="Q2298" s="10" t="s">
        <v>126</v>
      </c>
      <c r="R2298" s="10"/>
      <c r="S2298" s="10"/>
      <c r="T2298" s="10"/>
      <c r="U2298" s="10" t="s">
        <v>16191</v>
      </c>
      <c r="V2298" s="10" t="s">
        <v>16227</v>
      </c>
      <c r="W2298" s="10" t="s">
        <v>16154</v>
      </c>
      <c r="X2298" s="10" t="s">
        <v>130</v>
      </c>
      <c r="Y2298" s="10" t="s">
        <v>130</v>
      </c>
      <c r="Z2298" s="10" t="s">
        <v>99</v>
      </c>
      <c r="AA2298" s="10" t="s">
        <v>131</v>
      </c>
      <c r="AB2298" s="10" t="s">
        <v>16155</v>
      </c>
      <c r="AC2298" s="10" t="s">
        <v>3571</v>
      </c>
      <c r="AD2298" s="10" t="s">
        <v>17534</v>
      </c>
      <c r="AE2298" s="10" t="s">
        <v>17535</v>
      </c>
      <c r="AF2298" s="15"/>
      <c r="AG2298" s="10"/>
      <c r="AH2298" s="10"/>
      <c r="AI2298" s="10"/>
      <c r="AJ2298" s="10"/>
      <c r="AK2298" s="10" t="s">
        <v>256</v>
      </c>
      <c r="AL2298" s="10" t="s">
        <v>7897</v>
      </c>
      <c r="AM2298" s="10"/>
      <c r="AN2298" s="10"/>
      <c r="AO2298" s="13" t="b">
        <v>0</v>
      </c>
      <c r="AP2298" s="22" t="s">
        <v>135</v>
      </c>
      <c r="AQ2298" s="10"/>
      <c r="AR2298" s="17"/>
      <c r="AS2298" s="17"/>
      <c r="AT2298" s="17"/>
      <c r="AU2298" s="17"/>
      <c r="AV2298" s="17"/>
      <c r="AW2298" s="10"/>
      <c r="AX2298" s="17"/>
      <c r="AY2298" s="18" t="s">
        <v>257</v>
      </c>
      <c r="AZ2298" s="10"/>
      <c r="BA2298" s="20" t="b">
        <v>0</v>
      </c>
      <c r="BB2298" s="10"/>
      <c r="BC2298" s="17" t="s">
        <v>257</v>
      </c>
      <c r="BD2298" s="17" t="s">
        <v>257</v>
      </c>
      <c r="BE2298" s="17" t="s">
        <v>257</v>
      </c>
      <c r="BF2298" s="17" t="s">
        <v>257</v>
      </c>
      <c r="BG2298" s="11">
        <f ca="1">IFERROR(__xludf.DUMMYFUNCTION("""COMPUTED_VALUE"""),46001.125)</f>
        <v>46001.125</v>
      </c>
      <c r="BH2298" s="17"/>
      <c r="BI2298" s="17"/>
      <c r="BJ2298" s="15"/>
      <c r="BK2298" s="15"/>
      <c r="BL2298" s="13" t="b">
        <v>0</v>
      </c>
      <c r="BM2298" s="10"/>
      <c r="BN2298" s="10" t="s">
        <v>241</v>
      </c>
      <c r="BO2298" s="11">
        <v>45944.615277777775</v>
      </c>
      <c r="BP2298" s="11">
        <v>45944.61577546296</v>
      </c>
      <c r="BQ2298" s="15"/>
      <c r="BR2298" s="15"/>
      <c r="BS2298" s="10"/>
      <c r="BT2298" s="10" t="s">
        <v>99</v>
      </c>
      <c r="BU2298" s="10"/>
      <c r="BV2298" s="10"/>
      <c r="BW2298" s="10"/>
      <c r="BX2298" s="10"/>
      <c r="BY2298" s="23"/>
      <c r="BZ2298" s="23"/>
      <c r="CA2298" s="23"/>
      <c r="CB2298" s="23"/>
      <c r="CC2298" s="23"/>
      <c r="CD2298" s="23"/>
      <c r="CE2298" s="23"/>
      <c r="CF2298" s="23"/>
      <c r="CG2298" s="23"/>
      <c r="CH2298" s="23"/>
      <c r="CI2298" s="23"/>
    </row>
    <row r="2299" spans="1:87" x14ac:dyDescent="0.3">
      <c r="A2299" s="9" t="s">
        <v>17536</v>
      </c>
      <c r="B2299" s="10" t="s">
        <v>17537</v>
      </c>
      <c r="C2299" s="11">
        <v>46002.03125</v>
      </c>
      <c r="D2299" s="12">
        <v>8.3333333333333329E-2</v>
      </c>
      <c r="E2299" s="11">
        <v>46002.114583333336</v>
      </c>
      <c r="F2299" s="10" t="s">
        <v>16149</v>
      </c>
      <c r="G2299" s="13" t="b">
        <v>0</v>
      </c>
      <c r="H2299" s="22"/>
      <c r="I2299" s="10" t="s">
        <v>89</v>
      </c>
      <c r="J2299" s="13" t="b">
        <v>0</v>
      </c>
      <c r="K2299" s="13" t="b">
        <v>1</v>
      </c>
      <c r="L2299" s="10" t="s">
        <v>124</v>
      </c>
      <c r="M2299" s="10" t="s">
        <v>91</v>
      </c>
      <c r="N2299" s="10" t="s">
        <v>92</v>
      </c>
      <c r="O2299" s="10"/>
      <c r="P2299" s="10"/>
      <c r="Q2299" s="10" t="s">
        <v>94</v>
      </c>
      <c r="R2299" s="10"/>
      <c r="S2299" s="10"/>
      <c r="T2299" s="10"/>
      <c r="U2299" s="10" t="s">
        <v>16210</v>
      </c>
      <c r="V2299" s="10" t="s">
        <v>16164</v>
      </c>
      <c r="W2299" s="10" t="s">
        <v>16154</v>
      </c>
      <c r="X2299" s="10" t="s">
        <v>130</v>
      </c>
      <c r="Y2299" s="10" t="s">
        <v>130</v>
      </c>
      <c r="Z2299" s="10" t="s">
        <v>99</v>
      </c>
      <c r="AA2299" s="10" t="s">
        <v>131</v>
      </c>
      <c r="AB2299" s="10" t="s">
        <v>16155</v>
      </c>
      <c r="AC2299" s="10" t="s">
        <v>3571</v>
      </c>
      <c r="AD2299" s="10" t="s">
        <v>17538</v>
      </c>
      <c r="AE2299" s="10" t="s">
        <v>17539</v>
      </c>
      <c r="AF2299" s="15"/>
      <c r="AG2299" s="10"/>
      <c r="AH2299" s="10"/>
      <c r="AI2299" s="10"/>
      <c r="AJ2299" s="10"/>
      <c r="AK2299" s="10" t="s">
        <v>256</v>
      </c>
      <c r="AL2299" s="10" t="s">
        <v>7897</v>
      </c>
      <c r="AM2299" s="10"/>
      <c r="AN2299" s="10"/>
      <c r="AO2299" s="13" t="b">
        <v>0</v>
      </c>
      <c r="AP2299" s="22" t="s">
        <v>135</v>
      </c>
      <c r="AQ2299" s="10"/>
      <c r="AR2299" s="17"/>
      <c r="AS2299" s="17"/>
      <c r="AT2299" s="17"/>
      <c r="AU2299" s="17"/>
      <c r="AV2299" s="17"/>
      <c r="AW2299" s="10"/>
      <c r="AX2299" s="17"/>
      <c r="AY2299" s="18" t="s">
        <v>257</v>
      </c>
      <c r="AZ2299" s="10"/>
      <c r="BA2299" s="20" t="b">
        <v>0</v>
      </c>
      <c r="BB2299" s="10"/>
      <c r="BC2299" s="17" t="s">
        <v>257</v>
      </c>
      <c r="BD2299" s="17" t="s">
        <v>257</v>
      </c>
      <c r="BE2299" s="17" t="s">
        <v>257</v>
      </c>
      <c r="BF2299" s="17" t="s">
        <v>257</v>
      </c>
      <c r="BG2299" s="11">
        <f ca="1">IFERROR(__xludf.DUMMYFUNCTION("""COMPUTED_VALUE"""),46002.03125)</f>
        <v>46002.03125</v>
      </c>
      <c r="BH2299" s="17"/>
      <c r="BI2299" s="17"/>
      <c r="BJ2299" s="15"/>
      <c r="BK2299" s="15"/>
      <c r="BL2299" s="13" t="b">
        <v>0</v>
      </c>
      <c r="BM2299" s="10"/>
      <c r="BN2299" s="10" t="s">
        <v>241</v>
      </c>
      <c r="BO2299" s="11">
        <v>45944.615972222222</v>
      </c>
      <c r="BP2299" s="11">
        <v>45950.709513888891</v>
      </c>
      <c r="BQ2299" s="15"/>
      <c r="BR2299" s="15"/>
      <c r="BS2299" s="10"/>
      <c r="BT2299" s="10" t="s">
        <v>99</v>
      </c>
      <c r="BU2299" s="10"/>
      <c r="BV2299" s="10"/>
      <c r="BW2299" s="10"/>
      <c r="BX2299" s="10"/>
      <c r="BY2299" s="23"/>
      <c r="BZ2299" s="23"/>
      <c r="CA2299" s="23"/>
      <c r="CB2299" s="23"/>
      <c r="CC2299" s="23"/>
      <c r="CD2299" s="23"/>
      <c r="CE2299" s="23"/>
      <c r="CF2299" s="23"/>
      <c r="CG2299" s="23"/>
      <c r="CH2299" s="23"/>
      <c r="CI2299" s="23"/>
    </row>
    <row r="2300" spans="1:87" x14ac:dyDescent="0.3">
      <c r="A2300" s="9" t="s">
        <v>17540</v>
      </c>
      <c r="B2300" s="10" t="s">
        <v>17541</v>
      </c>
      <c r="C2300" s="11">
        <v>46002.03125</v>
      </c>
      <c r="D2300" s="12">
        <v>8.3333333333333329E-2</v>
      </c>
      <c r="E2300" s="11">
        <v>46002.114583333336</v>
      </c>
      <c r="F2300" s="10" t="s">
        <v>16149</v>
      </c>
      <c r="G2300" s="13" t="b">
        <v>0</v>
      </c>
      <c r="H2300" s="22" t="s">
        <v>6271</v>
      </c>
      <c r="I2300" s="10" t="s">
        <v>89</v>
      </c>
      <c r="J2300" s="13" t="b">
        <v>0</v>
      </c>
      <c r="K2300" s="13" t="b">
        <v>1</v>
      </c>
      <c r="L2300" s="10" t="s">
        <v>124</v>
      </c>
      <c r="M2300" s="10" t="s">
        <v>91</v>
      </c>
      <c r="N2300" s="10" t="s">
        <v>92</v>
      </c>
      <c r="O2300" s="19" t="s">
        <v>17542</v>
      </c>
      <c r="P2300" s="10"/>
      <c r="Q2300" s="10" t="s">
        <v>126</v>
      </c>
      <c r="R2300" s="10"/>
      <c r="S2300" s="19" t="s">
        <v>17543</v>
      </c>
      <c r="T2300" s="10"/>
      <c r="U2300" s="10" t="s">
        <v>16181</v>
      </c>
      <c r="V2300" s="10" t="s">
        <v>16153</v>
      </c>
      <c r="W2300" s="10" t="s">
        <v>16154</v>
      </c>
      <c r="X2300" s="10" t="s">
        <v>130</v>
      </c>
      <c r="Y2300" s="10" t="s">
        <v>130</v>
      </c>
      <c r="Z2300" s="10" t="s">
        <v>99</v>
      </c>
      <c r="AA2300" s="10" t="s">
        <v>131</v>
      </c>
      <c r="AB2300" s="10" t="s">
        <v>16155</v>
      </c>
      <c r="AC2300" s="10" t="s">
        <v>3571</v>
      </c>
      <c r="AD2300" s="10" t="s">
        <v>17544</v>
      </c>
      <c r="AE2300" s="10" t="s">
        <v>17545</v>
      </c>
      <c r="AF2300" s="15"/>
      <c r="AG2300" s="10"/>
      <c r="AH2300" s="10"/>
      <c r="AI2300" s="10"/>
      <c r="AJ2300" s="10"/>
      <c r="AK2300" s="10" t="s">
        <v>102</v>
      </c>
      <c r="AL2300" s="10" t="s">
        <v>7897</v>
      </c>
      <c r="AM2300" s="10"/>
      <c r="AN2300" s="10"/>
      <c r="AO2300" s="13" t="b">
        <v>0</v>
      </c>
      <c r="AP2300" s="22" t="s">
        <v>135</v>
      </c>
      <c r="AQ2300" s="10">
        <f ca="1">IFERROR(__xludf.DUMMYFUNCTION("""COMPUTED_VALUE"""),4773289)</f>
        <v>4773289</v>
      </c>
      <c r="AR2300" s="17">
        <v>11072</v>
      </c>
      <c r="AS2300" s="17">
        <v>9691</v>
      </c>
      <c r="AT2300" s="17">
        <v>80945</v>
      </c>
      <c r="AU2300" s="17">
        <v>10.95</v>
      </c>
      <c r="AV2300" s="17">
        <v>4</v>
      </c>
      <c r="AW2300" s="10" t="s">
        <v>105</v>
      </c>
      <c r="AX2300" s="17">
        <v>1461</v>
      </c>
      <c r="AY2300" s="18">
        <v>8.3525951914147143</v>
      </c>
      <c r="AZ2300" s="10" t="s">
        <v>239</v>
      </c>
      <c r="BA2300" s="20" t="b">
        <v>0</v>
      </c>
      <c r="BB2300" s="10"/>
      <c r="BC2300" s="17">
        <v>11072</v>
      </c>
      <c r="BD2300" s="17">
        <v>9691</v>
      </c>
      <c r="BE2300" s="17">
        <v>80945</v>
      </c>
      <c r="BF2300" s="17">
        <v>4</v>
      </c>
      <c r="BG2300" s="11">
        <f ca="1">IFERROR(__xludf.DUMMYFUNCTION("""COMPUTED_VALUE"""),46002.03125)</f>
        <v>46002.03125</v>
      </c>
      <c r="BH2300" s="17" t="s">
        <v>105</v>
      </c>
      <c r="BI2300" s="17"/>
      <c r="BJ2300" s="15"/>
      <c r="BK2300" s="15"/>
      <c r="BL2300" s="13" t="b">
        <v>0</v>
      </c>
      <c r="BM2300" s="10"/>
      <c r="BN2300" s="10" t="s">
        <v>157</v>
      </c>
      <c r="BO2300" s="11">
        <v>45944.615972222222</v>
      </c>
      <c r="BP2300" s="11">
        <v>45988.699918981481</v>
      </c>
      <c r="BQ2300" s="15">
        <v>45999.610405092593</v>
      </c>
      <c r="BR2300" s="15">
        <v>46000.446643518517</v>
      </c>
      <c r="BS2300" s="10" t="s">
        <v>157</v>
      </c>
      <c r="BT2300" s="10" t="s">
        <v>279</v>
      </c>
      <c r="BU2300" s="10" t="s">
        <v>5762</v>
      </c>
      <c r="BV2300" s="10"/>
      <c r="BW2300" s="10"/>
      <c r="BX2300" s="10"/>
      <c r="BY2300" s="23"/>
      <c r="BZ2300" s="23"/>
      <c r="CA2300" s="19" t="s">
        <v>17546</v>
      </c>
      <c r="CB2300" s="23"/>
      <c r="CC2300" s="23"/>
      <c r="CD2300" s="19" t="s">
        <v>17547</v>
      </c>
      <c r="CE2300" s="23"/>
      <c r="CF2300" s="23"/>
      <c r="CG2300" s="23"/>
      <c r="CH2300" s="23"/>
      <c r="CI2300" s="23"/>
    </row>
    <row r="2301" spans="1:87" x14ac:dyDescent="0.3">
      <c r="A2301" s="9" t="s">
        <v>17548</v>
      </c>
      <c r="B2301" s="10" t="s">
        <v>17549</v>
      </c>
      <c r="C2301" s="11">
        <v>46002.125</v>
      </c>
      <c r="D2301" s="12">
        <v>8.3333333333333329E-2</v>
      </c>
      <c r="E2301" s="11">
        <v>46002.208333333336</v>
      </c>
      <c r="F2301" s="10" t="s">
        <v>16149</v>
      </c>
      <c r="G2301" s="13" t="b">
        <v>0</v>
      </c>
      <c r="H2301" s="22"/>
      <c r="I2301" s="10" t="s">
        <v>89</v>
      </c>
      <c r="J2301" s="13" t="b">
        <v>0</v>
      </c>
      <c r="K2301" s="13" t="b">
        <v>1</v>
      </c>
      <c r="L2301" s="10" t="s">
        <v>124</v>
      </c>
      <c r="M2301" s="10" t="s">
        <v>91</v>
      </c>
      <c r="N2301" s="10" t="s">
        <v>92</v>
      </c>
      <c r="O2301" s="10"/>
      <c r="P2301" s="10"/>
      <c r="Q2301" s="10" t="s">
        <v>126</v>
      </c>
      <c r="R2301" s="10"/>
      <c r="S2301" s="10"/>
      <c r="T2301" s="10"/>
      <c r="U2301" s="10" t="s">
        <v>15258</v>
      </c>
      <c r="V2301" s="10" t="s">
        <v>16172</v>
      </c>
      <c r="W2301" s="10" t="s">
        <v>16154</v>
      </c>
      <c r="X2301" s="10" t="s">
        <v>130</v>
      </c>
      <c r="Y2301" s="10" t="s">
        <v>130</v>
      </c>
      <c r="Z2301" s="10" t="s">
        <v>99</v>
      </c>
      <c r="AA2301" s="10" t="s">
        <v>131</v>
      </c>
      <c r="AB2301" s="10" t="s">
        <v>16155</v>
      </c>
      <c r="AC2301" s="10" t="s">
        <v>3571</v>
      </c>
      <c r="AD2301" s="10" t="s">
        <v>17550</v>
      </c>
      <c r="AE2301" s="10" t="s">
        <v>17551</v>
      </c>
      <c r="AF2301" s="15"/>
      <c r="AG2301" s="10"/>
      <c r="AH2301" s="10"/>
      <c r="AI2301" s="10"/>
      <c r="AJ2301" s="10"/>
      <c r="AK2301" s="10" t="s">
        <v>256</v>
      </c>
      <c r="AL2301" s="10" t="s">
        <v>7897</v>
      </c>
      <c r="AM2301" s="10"/>
      <c r="AN2301" s="10"/>
      <c r="AO2301" s="13" t="b">
        <v>0</v>
      </c>
      <c r="AP2301" s="22" t="s">
        <v>135</v>
      </c>
      <c r="AQ2301" s="10"/>
      <c r="AR2301" s="17"/>
      <c r="AS2301" s="17"/>
      <c r="AT2301" s="17"/>
      <c r="AU2301" s="17"/>
      <c r="AV2301" s="17"/>
      <c r="AW2301" s="10"/>
      <c r="AX2301" s="17"/>
      <c r="AY2301" s="18" t="s">
        <v>257</v>
      </c>
      <c r="AZ2301" s="10"/>
      <c r="BA2301" s="20" t="b">
        <v>0</v>
      </c>
      <c r="BB2301" s="10"/>
      <c r="BC2301" s="17" t="s">
        <v>257</v>
      </c>
      <c r="BD2301" s="17" t="s">
        <v>257</v>
      </c>
      <c r="BE2301" s="17" t="s">
        <v>257</v>
      </c>
      <c r="BF2301" s="17" t="s">
        <v>257</v>
      </c>
      <c r="BG2301" s="11">
        <f ca="1">IFERROR(__xludf.DUMMYFUNCTION("""COMPUTED_VALUE"""),46002.125)</f>
        <v>46002.125</v>
      </c>
      <c r="BH2301" s="17"/>
      <c r="BI2301" s="17"/>
      <c r="BJ2301" s="15"/>
      <c r="BK2301" s="15"/>
      <c r="BL2301" s="13" t="b">
        <v>0</v>
      </c>
      <c r="BM2301" s="10"/>
      <c r="BN2301" s="10" t="s">
        <v>241</v>
      </c>
      <c r="BO2301" s="11">
        <v>45944.616666666669</v>
      </c>
      <c r="BP2301" s="11">
        <v>45944.616886574076</v>
      </c>
      <c r="BQ2301" s="15"/>
      <c r="BR2301" s="15"/>
      <c r="BS2301" s="10"/>
      <c r="BT2301" s="10" t="s">
        <v>99</v>
      </c>
      <c r="BU2301" s="10"/>
      <c r="BV2301" s="10"/>
      <c r="BW2301" s="10"/>
      <c r="BX2301" s="10"/>
      <c r="BY2301" s="23"/>
      <c r="BZ2301" s="23"/>
      <c r="CA2301" s="23"/>
      <c r="CB2301" s="23"/>
      <c r="CC2301" s="23"/>
      <c r="CD2301" s="23"/>
      <c r="CE2301" s="23"/>
      <c r="CF2301" s="23"/>
      <c r="CG2301" s="23"/>
      <c r="CH2301" s="23"/>
      <c r="CI2301" s="23"/>
    </row>
    <row r="2302" spans="1:87" x14ac:dyDescent="0.3">
      <c r="A2302" s="9" t="s">
        <v>17552</v>
      </c>
      <c r="B2302" s="10" t="s">
        <v>17553</v>
      </c>
      <c r="C2302" s="11">
        <v>46002.125</v>
      </c>
      <c r="D2302" s="12">
        <v>8.3333333333333329E-2</v>
      </c>
      <c r="E2302" s="11">
        <v>46002.208333333336</v>
      </c>
      <c r="F2302" s="10" t="s">
        <v>16149</v>
      </c>
      <c r="G2302" s="13" t="b">
        <v>0</v>
      </c>
      <c r="H2302" s="22"/>
      <c r="I2302" s="10" t="s">
        <v>89</v>
      </c>
      <c r="J2302" s="13" t="b">
        <v>0</v>
      </c>
      <c r="K2302" s="13" t="b">
        <v>1</v>
      </c>
      <c r="L2302" s="10" t="s">
        <v>124</v>
      </c>
      <c r="M2302" s="10" t="s">
        <v>91</v>
      </c>
      <c r="N2302" s="10" t="s">
        <v>92</v>
      </c>
      <c r="O2302" s="10"/>
      <c r="P2302" s="10"/>
      <c r="Q2302" s="10" t="s">
        <v>126</v>
      </c>
      <c r="R2302" s="10"/>
      <c r="S2302" s="10"/>
      <c r="T2302" s="10"/>
      <c r="U2302" s="10" t="s">
        <v>16219</v>
      </c>
      <c r="V2302" s="10" t="s">
        <v>16182</v>
      </c>
      <c r="W2302" s="10" t="s">
        <v>16154</v>
      </c>
      <c r="X2302" s="10" t="s">
        <v>130</v>
      </c>
      <c r="Y2302" s="10" t="s">
        <v>130</v>
      </c>
      <c r="Z2302" s="10" t="s">
        <v>99</v>
      </c>
      <c r="AA2302" s="10" t="s">
        <v>131</v>
      </c>
      <c r="AB2302" s="10" t="s">
        <v>16155</v>
      </c>
      <c r="AC2302" s="10" t="s">
        <v>3571</v>
      </c>
      <c r="AD2302" s="10" t="s">
        <v>17554</v>
      </c>
      <c r="AE2302" s="10" t="s">
        <v>17555</v>
      </c>
      <c r="AF2302" s="15"/>
      <c r="AG2302" s="10"/>
      <c r="AH2302" s="10"/>
      <c r="AI2302" s="10"/>
      <c r="AJ2302" s="10"/>
      <c r="AK2302" s="10" t="s">
        <v>256</v>
      </c>
      <c r="AL2302" s="10" t="s">
        <v>7897</v>
      </c>
      <c r="AM2302" s="10"/>
      <c r="AN2302" s="10"/>
      <c r="AO2302" s="13" t="b">
        <v>0</v>
      </c>
      <c r="AP2302" s="22" t="s">
        <v>135</v>
      </c>
      <c r="AQ2302" s="10"/>
      <c r="AR2302" s="17"/>
      <c r="AS2302" s="17"/>
      <c r="AT2302" s="17"/>
      <c r="AU2302" s="17"/>
      <c r="AV2302" s="17"/>
      <c r="AW2302" s="10"/>
      <c r="AX2302" s="17"/>
      <c r="AY2302" s="18" t="s">
        <v>257</v>
      </c>
      <c r="AZ2302" s="10"/>
      <c r="BA2302" s="20" t="b">
        <v>0</v>
      </c>
      <c r="BB2302" s="10"/>
      <c r="BC2302" s="17" t="s">
        <v>257</v>
      </c>
      <c r="BD2302" s="17" t="s">
        <v>257</v>
      </c>
      <c r="BE2302" s="17" t="s">
        <v>257</v>
      </c>
      <c r="BF2302" s="17" t="s">
        <v>257</v>
      </c>
      <c r="BG2302" s="11">
        <f ca="1">IFERROR(__xludf.DUMMYFUNCTION("""COMPUTED_VALUE"""),46002.125)</f>
        <v>46002.125</v>
      </c>
      <c r="BH2302" s="17"/>
      <c r="BI2302" s="17"/>
      <c r="BJ2302" s="15"/>
      <c r="BK2302" s="15"/>
      <c r="BL2302" s="13" t="b">
        <v>0</v>
      </c>
      <c r="BM2302" s="10"/>
      <c r="BN2302" s="10" t="s">
        <v>241</v>
      </c>
      <c r="BO2302" s="11">
        <v>45944.616666666669</v>
      </c>
      <c r="BP2302" s="11">
        <v>45944.617291666669</v>
      </c>
      <c r="BQ2302" s="15"/>
      <c r="BR2302" s="15"/>
      <c r="BS2302" s="10"/>
      <c r="BT2302" s="10" t="s">
        <v>99</v>
      </c>
      <c r="BU2302" s="10"/>
      <c r="BV2302" s="10"/>
      <c r="BW2302" s="10"/>
      <c r="BX2302" s="10"/>
      <c r="BY2302" s="23"/>
      <c r="BZ2302" s="23"/>
      <c r="CA2302" s="23"/>
      <c r="CB2302" s="23"/>
      <c r="CC2302" s="23"/>
      <c r="CD2302" s="23"/>
      <c r="CE2302" s="23"/>
      <c r="CF2302" s="23"/>
      <c r="CG2302" s="23"/>
      <c r="CH2302" s="23"/>
      <c r="CI2302" s="23"/>
    </row>
    <row r="2303" spans="1:87" x14ac:dyDescent="0.3">
      <c r="A2303" s="9" t="s">
        <v>17556</v>
      </c>
      <c r="B2303" s="10" t="s">
        <v>17557</v>
      </c>
      <c r="C2303" s="11">
        <v>46002.125</v>
      </c>
      <c r="D2303" s="12">
        <v>8.3333333333333329E-2</v>
      </c>
      <c r="E2303" s="11">
        <v>46002.208333333336</v>
      </c>
      <c r="F2303" s="10" t="s">
        <v>16149</v>
      </c>
      <c r="G2303" s="13" t="b">
        <v>0</v>
      </c>
      <c r="H2303" s="22"/>
      <c r="I2303" s="10" t="s">
        <v>89</v>
      </c>
      <c r="J2303" s="13" t="b">
        <v>0</v>
      </c>
      <c r="K2303" s="13" t="b">
        <v>1</v>
      </c>
      <c r="L2303" s="10" t="s">
        <v>124</v>
      </c>
      <c r="M2303" s="10" t="s">
        <v>91</v>
      </c>
      <c r="N2303" s="10" t="s">
        <v>92</v>
      </c>
      <c r="O2303" s="10"/>
      <c r="P2303" s="10"/>
      <c r="Q2303" s="10" t="s">
        <v>126</v>
      </c>
      <c r="R2303" s="10"/>
      <c r="S2303" s="10"/>
      <c r="T2303" s="10"/>
      <c r="U2303" s="10" t="s">
        <v>15684</v>
      </c>
      <c r="V2303" s="10" t="s">
        <v>16192</v>
      </c>
      <c r="W2303" s="10" t="s">
        <v>16154</v>
      </c>
      <c r="X2303" s="10" t="s">
        <v>130</v>
      </c>
      <c r="Y2303" s="10" t="s">
        <v>130</v>
      </c>
      <c r="Z2303" s="10" t="s">
        <v>99</v>
      </c>
      <c r="AA2303" s="10" t="s">
        <v>131</v>
      </c>
      <c r="AB2303" s="10" t="s">
        <v>16155</v>
      </c>
      <c r="AC2303" s="10" t="s">
        <v>3571</v>
      </c>
      <c r="AD2303" s="10" t="s">
        <v>17558</v>
      </c>
      <c r="AE2303" s="10" t="s">
        <v>17559</v>
      </c>
      <c r="AF2303" s="15"/>
      <c r="AG2303" s="10"/>
      <c r="AH2303" s="10"/>
      <c r="AI2303" s="10"/>
      <c r="AJ2303" s="10"/>
      <c r="AK2303" s="10" t="s">
        <v>256</v>
      </c>
      <c r="AL2303" s="10" t="s">
        <v>7897</v>
      </c>
      <c r="AM2303" s="10"/>
      <c r="AN2303" s="10"/>
      <c r="AO2303" s="13" t="b">
        <v>0</v>
      </c>
      <c r="AP2303" s="22" t="s">
        <v>135</v>
      </c>
      <c r="AQ2303" s="10"/>
      <c r="AR2303" s="17"/>
      <c r="AS2303" s="17"/>
      <c r="AT2303" s="17"/>
      <c r="AU2303" s="17"/>
      <c r="AV2303" s="17"/>
      <c r="AW2303" s="10"/>
      <c r="AX2303" s="17"/>
      <c r="AY2303" s="18" t="s">
        <v>257</v>
      </c>
      <c r="AZ2303" s="10"/>
      <c r="BA2303" s="20" t="b">
        <v>0</v>
      </c>
      <c r="BB2303" s="10"/>
      <c r="BC2303" s="17" t="s">
        <v>257</v>
      </c>
      <c r="BD2303" s="17" t="s">
        <v>257</v>
      </c>
      <c r="BE2303" s="17" t="s">
        <v>257</v>
      </c>
      <c r="BF2303" s="17" t="s">
        <v>257</v>
      </c>
      <c r="BG2303" s="11">
        <f ca="1">IFERROR(__xludf.DUMMYFUNCTION("""COMPUTED_VALUE"""),46002.125)</f>
        <v>46002.125</v>
      </c>
      <c r="BH2303" s="17"/>
      <c r="BI2303" s="17"/>
      <c r="BJ2303" s="15"/>
      <c r="BK2303" s="15"/>
      <c r="BL2303" s="13" t="b">
        <v>0</v>
      </c>
      <c r="BM2303" s="10"/>
      <c r="BN2303" s="10" t="s">
        <v>241</v>
      </c>
      <c r="BO2303" s="11">
        <v>45944.617361111108</v>
      </c>
      <c r="BP2303" s="11">
        <v>45944.617766203701</v>
      </c>
      <c r="BQ2303" s="15"/>
      <c r="BR2303" s="15"/>
      <c r="BS2303" s="10"/>
      <c r="BT2303" s="10" t="s">
        <v>99</v>
      </c>
      <c r="BU2303" s="10"/>
      <c r="BV2303" s="10"/>
      <c r="BW2303" s="10"/>
      <c r="BX2303" s="10"/>
      <c r="BY2303" s="23"/>
      <c r="BZ2303" s="23"/>
      <c r="CA2303" s="23"/>
      <c r="CB2303" s="23"/>
      <c r="CC2303" s="23"/>
      <c r="CD2303" s="23"/>
      <c r="CE2303" s="23"/>
      <c r="CF2303" s="23"/>
      <c r="CG2303" s="23"/>
      <c r="CH2303" s="23"/>
      <c r="CI2303" s="23"/>
    </row>
    <row r="2304" spans="1:87" x14ac:dyDescent="0.3">
      <c r="A2304" s="9" t="s">
        <v>17560</v>
      </c>
      <c r="B2304" s="10" t="s">
        <v>17561</v>
      </c>
      <c r="C2304" s="11">
        <v>45954.041666666664</v>
      </c>
      <c r="D2304" s="12">
        <v>8.3333333333333329E-2</v>
      </c>
      <c r="E2304" s="11">
        <v>45954.125</v>
      </c>
      <c r="F2304" s="10" t="s">
        <v>9129</v>
      </c>
      <c r="G2304" s="13" t="b">
        <v>0</v>
      </c>
      <c r="H2304" s="22" t="s">
        <v>9146</v>
      </c>
      <c r="I2304" s="10" t="s">
        <v>9131</v>
      </c>
      <c r="J2304" s="13" t="b">
        <v>0</v>
      </c>
      <c r="K2304" s="13" t="b">
        <v>1</v>
      </c>
      <c r="L2304" s="10" t="s">
        <v>124</v>
      </c>
      <c r="M2304" s="10" t="s">
        <v>91</v>
      </c>
      <c r="N2304" s="10" t="s">
        <v>265</v>
      </c>
      <c r="O2304" s="19" t="s">
        <v>17562</v>
      </c>
      <c r="P2304" s="10"/>
      <c r="Q2304" s="10" t="s">
        <v>126</v>
      </c>
      <c r="R2304" s="10"/>
      <c r="S2304" s="19" t="s">
        <v>17563</v>
      </c>
      <c r="T2304" s="10"/>
      <c r="U2304" s="10" t="s">
        <v>17564</v>
      </c>
      <c r="V2304" s="10" t="s">
        <v>14944</v>
      </c>
      <c r="W2304" s="10" t="s">
        <v>9136</v>
      </c>
      <c r="X2304" s="10" t="s">
        <v>130</v>
      </c>
      <c r="Y2304" s="10" t="s">
        <v>130</v>
      </c>
      <c r="Z2304" s="10" t="s">
        <v>99</v>
      </c>
      <c r="AA2304" s="10" t="s">
        <v>131</v>
      </c>
      <c r="AB2304" s="10" t="s">
        <v>9137</v>
      </c>
      <c r="AC2304" s="10" t="s">
        <v>9138</v>
      </c>
      <c r="AD2304" s="10" t="s">
        <v>17565</v>
      </c>
      <c r="AE2304" s="10" t="s">
        <v>17566</v>
      </c>
      <c r="AF2304" s="15"/>
      <c r="AG2304" s="10"/>
      <c r="AH2304" s="10"/>
      <c r="AI2304" s="10"/>
      <c r="AJ2304" s="10" t="s">
        <v>17567</v>
      </c>
      <c r="AK2304" s="10" t="s">
        <v>102</v>
      </c>
      <c r="AL2304" s="10" t="s">
        <v>176</v>
      </c>
      <c r="AM2304" s="10"/>
      <c r="AN2304" s="10"/>
      <c r="AO2304" s="13" t="b">
        <v>0</v>
      </c>
      <c r="AP2304" s="22" t="s">
        <v>104</v>
      </c>
      <c r="AQ2304" s="10">
        <f ca="1">IFERROR(__xludf.DUMMYFUNCTION("""COMPUTED_VALUE"""),4667496)</f>
        <v>4667496</v>
      </c>
      <c r="AR2304" s="17">
        <v>771</v>
      </c>
      <c r="AS2304" s="17">
        <v>708</v>
      </c>
      <c r="AT2304" s="17">
        <v>5790</v>
      </c>
      <c r="AU2304" s="17">
        <v>0.5</v>
      </c>
      <c r="AV2304" s="17">
        <v>0</v>
      </c>
      <c r="AW2304" s="10" t="s">
        <v>105</v>
      </c>
      <c r="AX2304" s="17">
        <v>189</v>
      </c>
      <c r="AY2304" s="18">
        <v>8.1779661016949152</v>
      </c>
      <c r="AZ2304" s="10"/>
      <c r="BA2304" s="20" t="b">
        <v>0</v>
      </c>
      <c r="BB2304" s="10"/>
      <c r="BC2304" s="17">
        <v>771</v>
      </c>
      <c r="BD2304" s="17">
        <v>708</v>
      </c>
      <c r="BE2304" s="17">
        <v>5790</v>
      </c>
      <c r="BF2304" s="17">
        <v>0</v>
      </c>
      <c r="BG2304" s="11">
        <f ca="1">IFERROR(__xludf.DUMMYFUNCTION("""COMPUTED_VALUE"""),45954.0416666666)</f>
        <v>45954.041666666599</v>
      </c>
      <c r="BH2304" s="17" t="s">
        <v>105</v>
      </c>
      <c r="BI2304" s="17"/>
      <c r="BJ2304" s="15"/>
      <c r="BK2304" s="15"/>
      <c r="BL2304" s="13" t="b">
        <v>0</v>
      </c>
      <c r="BM2304" s="10"/>
      <c r="BN2304" s="10" t="s">
        <v>157</v>
      </c>
      <c r="BO2304" s="11">
        <v>45945.519444444442</v>
      </c>
      <c r="BP2304" s="11">
        <v>45945.519513888888</v>
      </c>
      <c r="BQ2304" s="15">
        <v>45953.636284722219</v>
      </c>
      <c r="BR2304" s="15">
        <v>45953.652870370373</v>
      </c>
      <c r="BS2304" s="10" t="s">
        <v>157</v>
      </c>
      <c r="BT2304" s="10" t="s">
        <v>99</v>
      </c>
      <c r="BU2304" s="10" t="s">
        <v>1264</v>
      </c>
      <c r="BV2304" s="10"/>
      <c r="BW2304" s="10"/>
      <c r="BX2304" s="10"/>
      <c r="BY2304" s="23"/>
      <c r="BZ2304" s="23"/>
      <c r="CA2304" s="19" t="s">
        <v>17568</v>
      </c>
      <c r="CB2304" s="23"/>
      <c r="CC2304" s="23"/>
      <c r="CD2304" s="19" t="s">
        <v>17569</v>
      </c>
      <c r="CE2304" s="23"/>
      <c r="CF2304" s="23"/>
      <c r="CG2304" s="23"/>
      <c r="CH2304" s="23"/>
      <c r="CI2304" s="23"/>
    </row>
    <row r="2305" spans="1:87" x14ac:dyDescent="0.3">
      <c r="A2305" s="9" t="s">
        <v>17570</v>
      </c>
      <c r="B2305" s="10" t="s">
        <v>17571</v>
      </c>
      <c r="C2305" s="11">
        <v>45955.041666666664</v>
      </c>
      <c r="D2305" s="12">
        <v>8.3333333333333329E-2</v>
      </c>
      <c r="E2305" s="11">
        <v>45955.125</v>
      </c>
      <c r="F2305" s="10" t="s">
        <v>9129</v>
      </c>
      <c r="G2305" s="13" t="b">
        <v>0</v>
      </c>
      <c r="H2305" s="22" t="s">
        <v>9146</v>
      </c>
      <c r="I2305" s="10" t="s">
        <v>9131</v>
      </c>
      <c r="J2305" s="13" t="b">
        <v>0</v>
      </c>
      <c r="K2305" s="13" t="b">
        <v>1</v>
      </c>
      <c r="L2305" s="10" t="s">
        <v>124</v>
      </c>
      <c r="M2305" s="10" t="s">
        <v>91</v>
      </c>
      <c r="N2305" s="10" t="s">
        <v>265</v>
      </c>
      <c r="O2305" s="19" t="s">
        <v>17572</v>
      </c>
      <c r="P2305" s="10"/>
      <c r="Q2305" s="10" t="s">
        <v>126</v>
      </c>
      <c r="R2305" s="10"/>
      <c r="S2305" s="19" t="s">
        <v>17573</v>
      </c>
      <c r="T2305" s="10"/>
      <c r="U2305" s="10" t="s">
        <v>9134</v>
      </c>
      <c r="V2305" s="10" t="s">
        <v>9149</v>
      </c>
      <c r="W2305" s="10" t="s">
        <v>9136</v>
      </c>
      <c r="X2305" s="10" t="s">
        <v>130</v>
      </c>
      <c r="Y2305" s="10" t="s">
        <v>130</v>
      </c>
      <c r="Z2305" s="10" t="s">
        <v>99</v>
      </c>
      <c r="AA2305" s="10" t="s">
        <v>131</v>
      </c>
      <c r="AB2305" s="10" t="s">
        <v>9137</v>
      </c>
      <c r="AC2305" s="10" t="s">
        <v>9138</v>
      </c>
      <c r="AD2305" s="10" t="s">
        <v>17574</v>
      </c>
      <c r="AE2305" s="10" t="s">
        <v>17575</v>
      </c>
      <c r="AF2305" s="15"/>
      <c r="AG2305" s="10"/>
      <c r="AH2305" s="10"/>
      <c r="AI2305" s="10"/>
      <c r="AJ2305" s="10" t="s">
        <v>17576</v>
      </c>
      <c r="AK2305" s="10" t="s">
        <v>102</v>
      </c>
      <c r="AL2305" s="10" t="s">
        <v>176</v>
      </c>
      <c r="AM2305" s="10"/>
      <c r="AN2305" s="10"/>
      <c r="AO2305" s="13" t="b">
        <v>0</v>
      </c>
      <c r="AP2305" s="22" t="s">
        <v>104</v>
      </c>
      <c r="AQ2305" s="10">
        <f ca="1">IFERROR(__xludf.DUMMYFUNCTION("""COMPUTED_VALUE"""),4670234)</f>
        <v>4670234</v>
      </c>
      <c r="AR2305" s="17">
        <v>8431</v>
      </c>
      <c r="AS2305" s="17">
        <v>6783</v>
      </c>
      <c r="AT2305" s="17">
        <v>137097</v>
      </c>
      <c r="AU2305" s="17">
        <v>24.25</v>
      </c>
      <c r="AV2305" s="17">
        <v>3.95</v>
      </c>
      <c r="AW2305" s="10" t="s">
        <v>105</v>
      </c>
      <c r="AX2305" s="17">
        <v>1668</v>
      </c>
      <c r="AY2305" s="18">
        <v>20.21185316231756</v>
      </c>
      <c r="AZ2305" s="10"/>
      <c r="BA2305" s="20" t="b">
        <v>0</v>
      </c>
      <c r="BB2305" s="10"/>
      <c r="BC2305" s="17">
        <v>8431</v>
      </c>
      <c r="BD2305" s="17">
        <v>6783</v>
      </c>
      <c r="BE2305" s="17">
        <v>137097</v>
      </c>
      <c r="BF2305" s="17">
        <v>3.95</v>
      </c>
      <c r="BG2305" s="11">
        <f ca="1">IFERROR(__xludf.DUMMYFUNCTION("""COMPUTED_VALUE"""),45955.0416666666)</f>
        <v>45955.041666666599</v>
      </c>
      <c r="BH2305" s="17" t="s">
        <v>105</v>
      </c>
      <c r="BI2305" s="17"/>
      <c r="BJ2305" s="15"/>
      <c r="BK2305" s="15"/>
      <c r="BL2305" s="13" t="b">
        <v>0</v>
      </c>
      <c r="BM2305" s="10"/>
      <c r="BN2305" s="10" t="s">
        <v>157</v>
      </c>
      <c r="BO2305" s="11">
        <v>45945.526388888888</v>
      </c>
      <c r="BP2305" s="11">
        <v>45945.526550925926</v>
      </c>
      <c r="BQ2305" s="15">
        <v>45954.574583333335</v>
      </c>
      <c r="BR2305" s="15">
        <v>45954.644629629627</v>
      </c>
      <c r="BS2305" s="10" t="s">
        <v>157</v>
      </c>
      <c r="BT2305" s="10" t="s">
        <v>99</v>
      </c>
      <c r="BU2305" s="10" t="s">
        <v>6409</v>
      </c>
      <c r="BV2305" s="10"/>
      <c r="BW2305" s="10"/>
      <c r="BX2305" s="10"/>
      <c r="BY2305" s="23"/>
      <c r="BZ2305" s="23"/>
      <c r="CA2305" s="19" t="s">
        <v>17577</v>
      </c>
      <c r="CB2305" s="23"/>
      <c r="CC2305" s="23"/>
      <c r="CD2305" s="19" t="s">
        <v>17578</v>
      </c>
      <c r="CE2305" s="23"/>
      <c r="CF2305" s="23"/>
      <c r="CG2305" s="23"/>
      <c r="CH2305" s="23"/>
      <c r="CI2305" s="23"/>
    </row>
    <row r="2306" spans="1:87" x14ac:dyDescent="0.3">
      <c r="A2306" s="9" t="s">
        <v>17579</v>
      </c>
      <c r="B2306" s="10" t="s">
        <v>17580</v>
      </c>
      <c r="C2306" s="11">
        <v>45955.791666666664</v>
      </c>
      <c r="D2306" s="12">
        <v>0.14583333333333334</v>
      </c>
      <c r="E2306" s="11">
        <v>45955.9375</v>
      </c>
      <c r="F2306" s="10" t="s">
        <v>8402</v>
      </c>
      <c r="G2306" s="13" t="b">
        <v>0</v>
      </c>
      <c r="H2306" s="22" t="s">
        <v>8403</v>
      </c>
      <c r="I2306" s="10" t="s">
        <v>212</v>
      </c>
      <c r="J2306" s="13" t="b">
        <v>1</v>
      </c>
      <c r="K2306" s="13" t="b">
        <v>0</v>
      </c>
      <c r="L2306" s="10" t="s">
        <v>124</v>
      </c>
      <c r="M2306" s="10" t="s">
        <v>91</v>
      </c>
      <c r="N2306" s="10" t="s">
        <v>92</v>
      </c>
      <c r="O2306" s="19" t="s">
        <v>17581</v>
      </c>
      <c r="P2306" s="10"/>
      <c r="Q2306" s="10" t="s">
        <v>126</v>
      </c>
      <c r="R2306" s="19" t="s">
        <v>17582</v>
      </c>
      <c r="S2306" s="19" t="s">
        <v>17583</v>
      </c>
      <c r="T2306" s="10"/>
      <c r="U2306" s="10"/>
      <c r="V2306" s="10"/>
      <c r="W2306" s="10" t="s">
        <v>8407</v>
      </c>
      <c r="X2306" s="10" t="s">
        <v>8408</v>
      </c>
      <c r="Y2306" s="10" t="s">
        <v>8409</v>
      </c>
      <c r="Z2306" s="10" t="s">
        <v>99</v>
      </c>
      <c r="AA2306" s="10" t="s">
        <v>100</v>
      </c>
      <c r="AB2306" s="10" t="s">
        <v>8410</v>
      </c>
      <c r="AC2306" s="10"/>
      <c r="AD2306" s="10" t="s">
        <v>165</v>
      </c>
      <c r="AE2306" s="10" t="s">
        <v>17584</v>
      </c>
      <c r="AF2306" s="15"/>
      <c r="AG2306" s="10"/>
      <c r="AH2306" s="10"/>
      <c r="AI2306" s="10"/>
      <c r="AJ2306" s="10"/>
      <c r="AK2306" s="10" t="s">
        <v>102</v>
      </c>
      <c r="AL2306" s="10"/>
      <c r="AM2306" s="10"/>
      <c r="AN2306" s="10"/>
      <c r="AO2306" s="13" t="b">
        <v>0</v>
      </c>
      <c r="AP2306" s="22"/>
      <c r="AQ2306" s="10">
        <f ca="1">IFERROR(__xludf.DUMMYFUNCTION("""COMPUTED_VALUE"""),4665901)</f>
        <v>4665901</v>
      </c>
      <c r="AR2306" s="17">
        <v>8734</v>
      </c>
      <c r="AS2306" s="17">
        <v>6135</v>
      </c>
      <c r="AT2306" s="17">
        <v>81223</v>
      </c>
      <c r="AU2306" s="17">
        <v>18</v>
      </c>
      <c r="AV2306" s="17">
        <v>2.2000000000000002</v>
      </c>
      <c r="AW2306" s="10" t="s">
        <v>105</v>
      </c>
      <c r="AX2306" s="17">
        <v>1036</v>
      </c>
      <c r="AY2306" s="18">
        <v>13.239282803585983</v>
      </c>
      <c r="AZ2306" s="10" t="s">
        <v>3783</v>
      </c>
      <c r="BA2306" s="20" t="b">
        <v>0</v>
      </c>
      <c r="BB2306" s="10"/>
      <c r="BC2306" s="17">
        <v>8734</v>
      </c>
      <c r="BD2306" s="17">
        <v>6135</v>
      </c>
      <c r="BE2306" s="17">
        <v>81223</v>
      </c>
      <c r="BF2306" s="17">
        <v>2.2000000000000002</v>
      </c>
      <c r="BG2306" s="11">
        <f ca="1">IFERROR(__xludf.DUMMYFUNCTION("""COMPUTED_VALUE"""),45955.7916666666)</f>
        <v>45955.791666666599</v>
      </c>
      <c r="BH2306" s="17" t="s">
        <v>105</v>
      </c>
      <c r="BI2306" s="17"/>
      <c r="BJ2306" s="15"/>
      <c r="BK2306" s="15"/>
      <c r="BL2306" s="13" t="b">
        <v>0</v>
      </c>
      <c r="BM2306" s="10"/>
      <c r="BN2306" s="10" t="s">
        <v>149</v>
      </c>
      <c r="BO2306" s="11">
        <v>45945.582638888889</v>
      </c>
      <c r="BP2306" s="11">
        <v>45945.583136574074</v>
      </c>
      <c r="BQ2306" s="15">
        <v>45951.708703703705</v>
      </c>
      <c r="BR2306" s="15">
        <v>45952.607939814814</v>
      </c>
      <c r="BS2306" s="10" t="s">
        <v>149</v>
      </c>
      <c r="BT2306" s="10"/>
      <c r="BU2306" s="10"/>
      <c r="BV2306" s="10"/>
      <c r="BW2306" s="10"/>
      <c r="BX2306" s="10"/>
      <c r="BY2306" s="23"/>
      <c r="BZ2306" s="23"/>
      <c r="CA2306" s="19" t="s">
        <v>17585</v>
      </c>
      <c r="CB2306" s="23"/>
      <c r="CC2306" s="23"/>
      <c r="CD2306" s="19" t="s">
        <v>17586</v>
      </c>
      <c r="CE2306" s="23"/>
      <c r="CF2306" s="23"/>
      <c r="CG2306" s="23"/>
      <c r="CH2306" s="23"/>
      <c r="CI2306" s="23"/>
    </row>
    <row r="2307" spans="1:87" x14ac:dyDescent="0.3">
      <c r="A2307" s="9" t="s">
        <v>17587</v>
      </c>
      <c r="B2307" s="10" t="s">
        <v>17588</v>
      </c>
      <c r="C2307" s="11">
        <v>45950.75</v>
      </c>
      <c r="D2307" s="12">
        <v>8.3333333333333329E-2</v>
      </c>
      <c r="E2307" s="11">
        <v>45950.833333333336</v>
      </c>
      <c r="F2307" s="10" t="s">
        <v>16758</v>
      </c>
      <c r="G2307" s="13" t="b">
        <v>0</v>
      </c>
      <c r="H2307" s="22" t="s">
        <v>16543</v>
      </c>
      <c r="I2307" s="10" t="s">
        <v>212</v>
      </c>
      <c r="J2307" s="13" t="b">
        <v>1</v>
      </c>
      <c r="K2307" s="13" t="b">
        <v>0</v>
      </c>
      <c r="L2307" s="10" t="s">
        <v>124</v>
      </c>
      <c r="M2307" s="10" t="s">
        <v>91</v>
      </c>
      <c r="N2307" s="10" t="s">
        <v>92</v>
      </c>
      <c r="O2307" s="19" t="s">
        <v>17589</v>
      </c>
      <c r="P2307" s="10"/>
      <c r="Q2307" s="10" t="s">
        <v>94</v>
      </c>
      <c r="R2307" s="10"/>
      <c r="S2307" s="19" t="s">
        <v>17590</v>
      </c>
      <c r="T2307" s="10"/>
      <c r="U2307" s="10" t="s">
        <v>16770</v>
      </c>
      <c r="V2307" s="10" t="s">
        <v>16786</v>
      </c>
      <c r="W2307" s="10" t="s">
        <v>16548</v>
      </c>
      <c r="X2307" s="10" t="s">
        <v>16549</v>
      </c>
      <c r="Y2307" s="10" t="s">
        <v>16549</v>
      </c>
      <c r="Z2307" s="10" t="s">
        <v>99</v>
      </c>
      <c r="AA2307" s="10" t="s">
        <v>131</v>
      </c>
      <c r="AB2307" s="10" t="s">
        <v>16550</v>
      </c>
      <c r="AC2307" s="10" t="s">
        <v>16551</v>
      </c>
      <c r="AD2307" s="10" t="s">
        <v>17591</v>
      </c>
      <c r="AE2307" s="10" t="s">
        <v>17592</v>
      </c>
      <c r="AF2307" s="15"/>
      <c r="AG2307" s="10"/>
      <c r="AH2307" s="10"/>
      <c r="AI2307" s="10"/>
      <c r="AJ2307" s="10"/>
      <c r="AK2307" s="10" t="s">
        <v>102</v>
      </c>
      <c r="AL2307" s="10"/>
      <c r="AM2307" s="10"/>
      <c r="AN2307" s="10"/>
      <c r="AO2307" s="13" t="b">
        <v>0</v>
      </c>
      <c r="AP2307" s="22" t="s">
        <v>104</v>
      </c>
      <c r="AQ2307" s="10">
        <f ca="1">IFERROR(__xludf.DUMMYFUNCTION("""COMPUTED_VALUE"""),4655728)</f>
        <v>4655728</v>
      </c>
      <c r="AR2307" s="17">
        <v>10586</v>
      </c>
      <c r="AS2307" s="17">
        <v>8474</v>
      </c>
      <c r="AT2307" s="17">
        <v>116639.75</v>
      </c>
      <c r="AU2307" s="17">
        <v>24.05</v>
      </c>
      <c r="AV2307" s="17">
        <v>0.7</v>
      </c>
      <c r="AW2307" s="10" t="s">
        <v>105</v>
      </c>
      <c r="AX2307" s="17">
        <v>1909</v>
      </c>
      <c r="AY2307" s="18">
        <v>13.764426481000708</v>
      </c>
      <c r="AZ2307" s="10" t="s">
        <v>3783</v>
      </c>
      <c r="BA2307" s="20" t="b">
        <v>0</v>
      </c>
      <c r="BB2307" s="10"/>
      <c r="BC2307" s="17">
        <v>10586</v>
      </c>
      <c r="BD2307" s="17">
        <v>8474</v>
      </c>
      <c r="BE2307" s="17">
        <v>116639.75</v>
      </c>
      <c r="BF2307" s="17">
        <v>0.7</v>
      </c>
      <c r="BG2307" s="11">
        <f ca="1">IFERROR(__xludf.DUMMYFUNCTION("""COMPUTED_VALUE"""),45950.75)</f>
        <v>45950.75</v>
      </c>
      <c r="BH2307" s="17" t="s">
        <v>105</v>
      </c>
      <c r="BI2307" s="17"/>
      <c r="BJ2307" s="15"/>
      <c r="BK2307" s="15"/>
      <c r="BL2307" s="13" t="b">
        <v>0</v>
      </c>
      <c r="BM2307" s="10"/>
      <c r="BN2307" s="10" t="s">
        <v>137</v>
      </c>
      <c r="BO2307" s="11">
        <v>45945.694444444445</v>
      </c>
      <c r="BP2307" s="11">
        <v>45945.694803240738</v>
      </c>
      <c r="BQ2307" s="15">
        <v>45947.394652777781</v>
      </c>
      <c r="BR2307" s="15">
        <v>45947.410439814812</v>
      </c>
      <c r="BS2307" s="10" t="s">
        <v>137</v>
      </c>
      <c r="BT2307" s="10"/>
      <c r="BU2307" s="10"/>
      <c r="BV2307" s="10"/>
      <c r="BW2307" s="10"/>
      <c r="BX2307" s="10"/>
      <c r="BY2307" s="23"/>
      <c r="BZ2307" s="23"/>
      <c r="CA2307" s="19" t="s">
        <v>17593</v>
      </c>
      <c r="CB2307" s="23"/>
      <c r="CC2307" s="23"/>
      <c r="CD2307" s="23"/>
      <c r="CE2307" s="23"/>
      <c r="CF2307" s="23"/>
      <c r="CG2307" s="23"/>
      <c r="CH2307" s="23"/>
      <c r="CI2307" s="23"/>
    </row>
    <row r="2308" spans="1:87" x14ac:dyDescent="0.3">
      <c r="A2308" s="9" t="s">
        <v>17594</v>
      </c>
      <c r="B2308" s="10" t="s">
        <v>17595</v>
      </c>
      <c r="C2308" s="11">
        <v>45950.854166666664</v>
      </c>
      <c r="D2308" s="12">
        <v>8.3333333333333329E-2</v>
      </c>
      <c r="E2308" s="11">
        <v>45950.9375</v>
      </c>
      <c r="F2308" s="10" t="s">
        <v>16758</v>
      </c>
      <c r="G2308" s="13" t="b">
        <v>0</v>
      </c>
      <c r="H2308" s="22" t="s">
        <v>16543</v>
      </c>
      <c r="I2308" s="10" t="s">
        <v>212</v>
      </c>
      <c r="J2308" s="13" t="b">
        <v>1</v>
      </c>
      <c r="K2308" s="13" t="b">
        <v>0</v>
      </c>
      <c r="L2308" s="10" t="s">
        <v>124</v>
      </c>
      <c r="M2308" s="10" t="s">
        <v>91</v>
      </c>
      <c r="N2308" s="10" t="s">
        <v>92</v>
      </c>
      <c r="O2308" s="19" t="s">
        <v>17596</v>
      </c>
      <c r="P2308" s="10"/>
      <c r="Q2308" s="10" t="s">
        <v>94</v>
      </c>
      <c r="R2308" s="10"/>
      <c r="S2308" s="19" t="s">
        <v>17597</v>
      </c>
      <c r="T2308" s="10"/>
      <c r="U2308" s="10" t="s">
        <v>16751</v>
      </c>
      <c r="V2308" s="10" t="s">
        <v>16778</v>
      </c>
      <c r="W2308" s="10" t="s">
        <v>16548</v>
      </c>
      <c r="X2308" s="10" t="s">
        <v>16549</v>
      </c>
      <c r="Y2308" s="10" t="s">
        <v>16549</v>
      </c>
      <c r="Z2308" s="10" t="s">
        <v>99</v>
      </c>
      <c r="AA2308" s="10" t="s">
        <v>131</v>
      </c>
      <c r="AB2308" s="10" t="s">
        <v>16550</v>
      </c>
      <c r="AC2308" s="10" t="s">
        <v>16551</v>
      </c>
      <c r="AD2308" s="10" t="s">
        <v>17598</v>
      </c>
      <c r="AE2308" s="10" t="s">
        <v>17599</v>
      </c>
      <c r="AF2308" s="15"/>
      <c r="AG2308" s="10"/>
      <c r="AH2308" s="10"/>
      <c r="AI2308" s="10"/>
      <c r="AJ2308" s="10"/>
      <c r="AK2308" s="10" t="s">
        <v>102</v>
      </c>
      <c r="AL2308" s="10"/>
      <c r="AM2308" s="10"/>
      <c r="AN2308" s="10"/>
      <c r="AO2308" s="13" t="b">
        <v>0</v>
      </c>
      <c r="AP2308" s="22" t="s">
        <v>104</v>
      </c>
      <c r="AQ2308" s="10">
        <f ca="1">IFERROR(__xludf.DUMMYFUNCTION("""COMPUTED_VALUE"""),4662857)</f>
        <v>4662857</v>
      </c>
      <c r="AR2308" s="17">
        <v>5440</v>
      </c>
      <c r="AS2308" s="17">
        <v>4582</v>
      </c>
      <c r="AT2308" s="17">
        <v>73088.75</v>
      </c>
      <c r="AU2308" s="17">
        <v>13.65</v>
      </c>
      <c r="AV2308" s="17">
        <v>1.35</v>
      </c>
      <c r="AW2308" s="10" t="s">
        <v>105</v>
      </c>
      <c r="AX2308" s="17">
        <v>1324</v>
      </c>
      <c r="AY2308" s="18">
        <v>15.951276735050197</v>
      </c>
      <c r="AZ2308" s="10" t="s">
        <v>3783</v>
      </c>
      <c r="BA2308" s="20" t="b">
        <v>0</v>
      </c>
      <c r="BB2308" s="10"/>
      <c r="BC2308" s="17">
        <v>5440</v>
      </c>
      <c r="BD2308" s="17">
        <v>4582</v>
      </c>
      <c r="BE2308" s="17">
        <v>73088.75</v>
      </c>
      <c r="BF2308" s="17">
        <v>1.35</v>
      </c>
      <c r="BG2308" s="11">
        <f ca="1">IFERROR(__xludf.DUMMYFUNCTION("""COMPUTED_VALUE"""),45950.8541666666)</f>
        <v>45950.854166666599</v>
      </c>
      <c r="BH2308" s="17" t="s">
        <v>105</v>
      </c>
      <c r="BI2308" s="17"/>
      <c r="BJ2308" s="15"/>
      <c r="BK2308" s="15"/>
      <c r="BL2308" s="13" t="b">
        <v>0</v>
      </c>
      <c r="BM2308" s="10"/>
      <c r="BN2308" s="10" t="s">
        <v>118</v>
      </c>
      <c r="BO2308" s="11">
        <v>45945.695138888892</v>
      </c>
      <c r="BP2308" s="11">
        <v>45945.695694444446</v>
      </c>
      <c r="BQ2308" s="15">
        <v>45947.394756944443</v>
      </c>
      <c r="BR2308" s="15">
        <v>45950.552291666667</v>
      </c>
      <c r="BS2308" s="10" t="s">
        <v>118</v>
      </c>
      <c r="BT2308" s="10"/>
      <c r="BU2308" s="10"/>
      <c r="BV2308" s="10"/>
      <c r="BW2308" s="10"/>
      <c r="BX2308" s="10"/>
      <c r="BY2308" s="23"/>
      <c r="BZ2308" s="23"/>
      <c r="CA2308" s="19" t="s">
        <v>17600</v>
      </c>
      <c r="CB2308" s="23"/>
      <c r="CC2308" s="23"/>
      <c r="CD2308" s="23"/>
      <c r="CE2308" s="23"/>
      <c r="CF2308" s="23"/>
      <c r="CG2308" s="23"/>
      <c r="CH2308" s="23"/>
      <c r="CI2308" s="23"/>
    </row>
    <row r="2309" spans="1:87" x14ac:dyDescent="0.3">
      <c r="A2309" s="9" t="s">
        <v>17601</v>
      </c>
      <c r="B2309" s="10" t="s">
        <v>17602</v>
      </c>
      <c r="C2309" s="11">
        <v>45950.958333333336</v>
      </c>
      <c r="D2309" s="12">
        <v>8.3333333333333329E-2</v>
      </c>
      <c r="E2309" s="11">
        <v>45951.041666666664</v>
      </c>
      <c r="F2309" s="10" t="s">
        <v>16758</v>
      </c>
      <c r="G2309" s="13" t="b">
        <v>0</v>
      </c>
      <c r="H2309" s="22" t="s">
        <v>16543</v>
      </c>
      <c r="I2309" s="10" t="s">
        <v>212</v>
      </c>
      <c r="J2309" s="13" t="b">
        <v>1</v>
      </c>
      <c r="K2309" s="13" t="b">
        <v>0</v>
      </c>
      <c r="L2309" s="10" t="s">
        <v>124</v>
      </c>
      <c r="M2309" s="10" t="s">
        <v>91</v>
      </c>
      <c r="N2309" s="10" t="s">
        <v>92</v>
      </c>
      <c r="O2309" s="19" t="s">
        <v>17603</v>
      </c>
      <c r="P2309" s="10"/>
      <c r="Q2309" s="10" t="s">
        <v>94</v>
      </c>
      <c r="R2309" s="10"/>
      <c r="S2309" s="19" t="s">
        <v>17604</v>
      </c>
      <c r="T2309" s="10"/>
      <c r="U2309" s="10" t="s">
        <v>16742</v>
      </c>
      <c r="V2309" s="10" t="s">
        <v>17605</v>
      </c>
      <c r="W2309" s="10" t="s">
        <v>16548</v>
      </c>
      <c r="X2309" s="10" t="s">
        <v>16549</v>
      </c>
      <c r="Y2309" s="10" t="s">
        <v>16549</v>
      </c>
      <c r="Z2309" s="10" t="s">
        <v>99</v>
      </c>
      <c r="AA2309" s="10" t="s">
        <v>131</v>
      </c>
      <c r="AB2309" s="10" t="s">
        <v>16550</v>
      </c>
      <c r="AC2309" s="10" t="s">
        <v>16551</v>
      </c>
      <c r="AD2309" s="10" t="s">
        <v>17606</v>
      </c>
      <c r="AE2309" s="10" t="s">
        <v>17607</v>
      </c>
      <c r="AF2309" s="15"/>
      <c r="AG2309" s="10"/>
      <c r="AH2309" s="10"/>
      <c r="AI2309" s="10"/>
      <c r="AJ2309" s="10"/>
      <c r="AK2309" s="10" t="s">
        <v>256</v>
      </c>
      <c r="AL2309" s="10"/>
      <c r="AM2309" s="10"/>
      <c r="AN2309" s="10"/>
      <c r="AO2309" s="13" t="b">
        <v>0</v>
      </c>
      <c r="AP2309" s="22" t="s">
        <v>104</v>
      </c>
      <c r="AQ2309" s="10">
        <f ca="1">IFERROR(__xludf.DUMMYFUNCTION("""COMPUTED_VALUE"""),4655730)</f>
        <v>4655730</v>
      </c>
      <c r="AR2309" s="17"/>
      <c r="AS2309" s="17"/>
      <c r="AT2309" s="17"/>
      <c r="AU2309" s="17"/>
      <c r="AV2309" s="17"/>
      <c r="AW2309" s="10"/>
      <c r="AX2309" s="17"/>
      <c r="AY2309" s="18" t="s">
        <v>257</v>
      </c>
      <c r="AZ2309" s="10" t="s">
        <v>3783</v>
      </c>
      <c r="BA2309" s="20" t="b">
        <v>0</v>
      </c>
      <c r="BB2309" s="10"/>
      <c r="BC2309" s="17" t="s">
        <v>257</v>
      </c>
      <c r="BD2309" s="17" t="s">
        <v>257</v>
      </c>
      <c r="BE2309" s="17" t="s">
        <v>257</v>
      </c>
      <c r="BF2309" s="17" t="s">
        <v>257</v>
      </c>
      <c r="BG2309" s="11">
        <f ca="1">IFERROR(__xludf.DUMMYFUNCTION("""COMPUTED_VALUE"""),45950.9583333333)</f>
        <v>45950.958333333299</v>
      </c>
      <c r="BH2309" s="17"/>
      <c r="BI2309" s="17"/>
      <c r="BJ2309" s="15"/>
      <c r="BK2309" s="15"/>
      <c r="BL2309" s="13" t="b">
        <v>0</v>
      </c>
      <c r="BM2309" s="10"/>
      <c r="BN2309" s="10" t="s">
        <v>8529</v>
      </c>
      <c r="BO2309" s="11">
        <v>45945.695833333331</v>
      </c>
      <c r="BP2309" s="11">
        <v>45945.696215277778</v>
      </c>
      <c r="BQ2309" s="15">
        <v>45947.394849537035</v>
      </c>
      <c r="BR2309" s="15">
        <v>45947.410844907405</v>
      </c>
      <c r="BS2309" s="10"/>
      <c r="BT2309" s="10"/>
      <c r="BU2309" s="10"/>
      <c r="BV2309" s="10"/>
      <c r="BW2309" s="10"/>
      <c r="BX2309" s="10"/>
      <c r="BY2309" s="23"/>
      <c r="BZ2309" s="23"/>
      <c r="CA2309" s="19" t="s">
        <v>17608</v>
      </c>
      <c r="CB2309" s="23"/>
      <c r="CC2309" s="23"/>
      <c r="CD2309" s="23"/>
      <c r="CE2309" s="23"/>
      <c r="CF2309" s="23"/>
      <c r="CG2309" s="23"/>
      <c r="CH2309" s="23"/>
      <c r="CI2309" s="23"/>
    </row>
    <row r="2310" spans="1:87" x14ac:dyDescent="0.3">
      <c r="A2310" s="9" t="s">
        <v>17609</v>
      </c>
      <c r="B2310" s="10" t="s">
        <v>17610</v>
      </c>
      <c r="C2310" s="11">
        <v>45969.083333333336</v>
      </c>
      <c r="D2310" s="12">
        <v>8.3333333333333329E-2</v>
      </c>
      <c r="E2310" s="11">
        <v>45969.166666666664</v>
      </c>
      <c r="F2310" s="10" t="s">
        <v>3687</v>
      </c>
      <c r="G2310" s="13" t="b">
        <v>0</v>
      </c>
      <c r="H2310" s="22" t="s">
        <v>88</v>
      </c>
      <c r="I2310" s="10" t="s">
        <v>89</v>
      </c>
      <c r="J2310" s="13" t="b">
        <v>0</v>
      </c>
      <c r="K2310" s="13" t="b">
        <v>1</v>
      </c>
      <c r="L2310" s="10" t="s">
        <v>124</v>
      </c>
      <c r="M2310" s="10" t="s">
        <v>91</v>
      </c>
      <c r="N2310" s="10" t="s">
        <v>92</v>
      </c>
      <c r="O2310" s="19" t="s">
        <v>17611</v>
      </c>
      <c r="P2310" s="10"/>
      <c r="Q2310" s="10" t="s">
        <v>126</v>
      </c>
      <c r="R2310" s="10"/>
      <c r="S2310" s="19" t="s">
        <v>17612</v>
      </c>
      <c r="T2310" s="19" t="s">
        <v>17613</v>
      </c>
      <c r="U2310" s="10" t="s">
        <v>7741</v>
      </c>
      <c r="V2310" s="10" t="s">
        <v>3716</v>
      </c>
      <c r="W2310" s="10" t="s">
        <v>3692</v>
      </c>
      <c r="X2310" s="10" t="s">
        <v>130</v>
      </c>
      <c r="Y2310" s="10" t="s">
        <v>130</v>
      </c>
      <c r="Z2310" s="10" t="s">
        <v>99</v>
      </c>
      <c r="AA2310" s="10" t="s">
        <v>131</v>
      </c>
      <c r="AB2310" s="10" t="s">
        <v>3693</v>
      </c>
      <c r="AC2310" s="10" t="s">
        <v>3694</v>
      </c>
      <c r="AD2310" s="10" t="s">
        <v>17614</v>
      </c>
      <c r="AE2310" s="10" t="s">
        <v>17615</v>
      </c>
      <c r="AF2310" s="15"/>
      <c r="AG2310" s="10"/>
      <c r="AH2310" s="10"/>
      <c r="AI2310" s="10"/>
      <c r="AJ2310" s="10" t="s">
        <v>17616</v>
      </c>
      <c r="AK2310" s="10" t="s">
        <v>102</v>
      </c>
      <c r="AL2310" s="10" t="s">
        <v>1467</v>
      </c>
      <c r="AM2310" s="10"/>
      <c r="AN2310" s="10"/>
      <c r="AO2310" s="13" t="b">
        <v>0</v>
      </c>
      <c r="AP2310" s="22" t="s">
        <v>104</v>
      </c>
      <c r="AQ2310" s="10">
        <f ca="1">IFERROR(__xludf.DUMMYFUNCTION("""COMPUTED_VALUE"""),4706724)</f>
        <v>4706724</v>
      </c>
      <c r="AR2310" s="17">
        <v>3072</v>
      </c>
      <c r="AS2310" s="17">
        <v>2283</v>
      </c>
      <c r="AT2310" s="17">
        <v>65869.25</v>
      </c>
      <c r="AU2310" s="17">
        <v>4.0999999999999996</v>
      </c>
      <c r="AV2310" s="17">
        <v>0.75</v>
      </c>
      <c r="AW2310" s="10" t="s">
        <v>105</v>
      </c>
      <c r="AX2310" s="17">
        <v>775</v>
      </c>
      <c r="AY2310" s="18">
        <v>28.852058694699956</v>
      </c>
      <c r="AZ2310" s="10" t="s">
        <v>3783</v>
      </c>
      <c r="BA2310" s="20" t="b">
        <v>0</v>
      </c>
      <c r="BB2310" s="10"/>
      <c r="BC2310" s="17">
        <v>3072</v>
      </c>
      <c r="BD2310" s="17">
        <v>2283</v>
      </c>
      <c r="BE2310" s="17">
        <v>65869.25</v>
      </c>
      <c r="BF2310" s="17">
        <v>0.75</v>
      </c>
      <c r="BG2310" s="11">
        <f ca="1">IFERROR(__xludf.DUMMYFUNCTION("""COMPUTED_VALUE"""),45969.0833333333)</f>
        <v>45969.083333333299</v>
      </c>
      <c r="BH2310" s="17" t="s">
        <v>105</v>
      </c>
      <c r="BI2310" s="17"/>
      <c r="BJ2310" s="15"/>
      <c r="BK2310" s="15"/>
      <c r="BL2310" s="13" t="b">
        <v>0</v>
      </c>
      <c r="BM2310" s="10"/>
      <c r="BN2310" s="10" t="s">
        <v>118</v>
      </c>
      <c r="BO2310" s="11">
        <v>45946.640277777777</v>
      </c>
      <c r="BP2310" s="11">
        <v>45964.581759259258</v>
      </c>
      <c r="BQ2310" s="15">
        <v>45967.551238425927</v>
      </c>
      <c r="BR2310" s="15">
        <v>45967.660601851851</v>
      </c>
      <c r="BS2310" s="10" t="s">
        <v>118</v>
      </c>
      <c r="BT2310" s="10" t="s">
        <v>99</v>
      </c>
      <c r="BU2310" s="10"/>
      <c r="BV2310" s="10"/>
      <c r="BW2310" s="10"/>
      <c r="BX2310" s="10"/>
      <c r="BY2310" s="23"/>
      <c r="BZ2310" s="23"/>
      <c r="CA2310" s="19" t="s">
        <v>17617</v>
      </c>
      <c r="CB2310" s="19" t="s">
        <v>17618</v>
      </c>
      <c r="CC2310" s="23"/>
      <c r="CD2310" s="19" t="s">
        <v>17619</v>
      </c>
      <c r="CE2310" s="23"/>
      <c r="CF2310" s="23"/>
      <c r="CG2310" s="23"/>
      <c r="CH2310" s="23"/>
      <c r="CI2310" s="23"/>
    </row>
    <row r="2311" spans="1:87" x14ac:dyDescent="0.3">
      <c r="A2311" s="9" t="s">
        <v>17620</v>
      </c>
      <c r="B2311" s="10" t="s">
        <v>17621</v>
      </c>
      <c r="C2311" s="11">
        <v>45970.760416666664</v>
      </c>
      <c r="D2311" s="12">
        <v>8.3333333333333329E-2</v>
      </c>
      <c r="E2311" s="11">
        <v>45970.84375</v>
      </c>
      <c r="F2311" s="10" t="s">
        <v>3687</v>
      </c>
      <c r="G2311" s="13" t="b">
        <v>0</v>
      </c>
      <c r="H2311" s="22" t="s">
        <v>88</v>
      </c>
      <c r="I2311" s="10" t="s">
        <v>89</v>
      </c>
      <c r="J2311" s="13" t="b">
        <v>0</v>
      </c>
      <c r="K2311" s="13" t="b">
        <v>1</v>
      </c>
      <c r="L2311" s="10" t="s">
        <v>124</v>
      </c>
      <c r="M2311" s="10" t="s">
        <v>91</v>
      </c>
      <c r="N2311" s="10" t="s">
        <v>92</v>
      </c>
      <c r="O2311" s="19" t="s">
        <v>17622</v>
      </c>
      <c r="P2311" s="10"/>
      <c r="Q2311" s="10" t="s">
        <v>126</v>
      </c>
      <c r="R2311" s="10"/>
      <c r="S2311" s="19" t="s">
        <v>17623</v>
      </c>
      <c r="T2311" s="19" t="s">
        <v>17624</v>
      </c>
      <c r="U2311" s="10" t="s">
        <v>8476</v>
      </c>
      <c r="V2311" s="10" t="s">
        <v>3715</v>
      </c>
      <c r="W2311" s="10" t="s">
        <v>3692</v>
      </c>
      <c r="X2311" s="10" t="s">
        <v>130</v>
      </c>
      <c r="Y2311" s="10" t="s">
        <v>130</v>
      </c>
      <c r="Z2311" s="10" t="s">
        <v>99</v>
      </c>
      <c r="AA2311" s="10" t="s">
        <v>131</v>
      </c>
      <c r="AB2311" s="10" t="s">
        <v>3693</v>
      </c>
      <c r="AC2311" s="10" t="s">
        <v>3694</v>
      </c>
      <c r="AD2311" s="10" t="s">
        <v>17625</v>
      </c>
      <c r="AE2311" s="10" t="s">
        <v>17626</v>
      </c>
      <c r="AF2311" s="15"/>
      <c r="AG2311" s="10"/>
      <c r="AH2311" s="10"/>
      <c r="AI2311" s="10"/>
      <c r="AJ2311" s="10"/>
      <c r="AK2311" s="10" t="s">
        <v>102</v>
      </c>
      <c r="AL2311" s="10" t="s">
        <v>1467</v>
      </c>
      <c r="AM2311" s="10"/>
      <c r="AN2311" s="10"/>
      <c r="AO2311" s="13" t="b">
        <v>0</v>
      </c>
      <c r="AP2311" s="22" t="s">
        <v>104</v>
      </c>
      <c r="AQ2311" s="10">
        <f ca="1">IFERROR(__xludf.DUMMYFUNCTION("""COMPUTED_VALUE"""),4707402)</f>
        <v>4707402</v>
      </c>
      <c r="AR2311" s="17">
        <v>20997</v>
      </c>
      <c r="AS2311" s="17">
        <v>15983</v>
      </c>
      <c r="AT2311" s="17">
        <v>200720</v>
      </c>
      <c r="AU2311" s="17">
        <v>45.45</v>
      </c>
      <c r="AV2311" s="17">
        <v>9.65</v>
      </c>
      <c r="AW2311" s="10" t="s">
        <v>105</v>
      </c>
      <c r="AX2311" s="17">
        <v>3618</v>
      </c>
      <c r="AY2311" s="18">
        <v>12.558343239692173</v>
      </c>
      <c r="AZ2311" s="10" t="s">
        <v>3783</v>
      </c>
      <c r="BA2311" s="20" t="b">
        <v>0</v>
      </c>
      <c r="BB2311" s="10"/>
      <c r="BC2311" s="17">
        <v>20997</v>
      </c>
      <c r="BD2311" s="17">
        <v>15983</v>
      </c>
      <c r="BE2311" s="17">
        <v>200720</v>
      </c>
      <c r="BF2311" s="17">
        <v>9.65</v>
      </c>
      <c r="BG2311" s="11">
        <f ca="1">IFERROR(__xludf.DUMMYFUNCTION("""COMPUTED_VALUE"""),45970.7604166666)</f>
        <v>45970.760416666599</v>
      </c>
      <c r="BH2311" s="17" t="s">
        <v>105</v>
      </c>
      <c r="BI2311" s="17"/>
      <c r="BJ2311" s="15"/>
      <c r="BK2311" s="15"/>
      <c r="BL2311" s="13" t="b">
        <v>0</v>
      </c>
      <c r="BM2311" s="10"/>
      <c r="BN2311" s="10" t="s">
        <v>149</v>
      </c>
      <c r="BO2311" s="11">
        <v>45946.640972222223</v>
      </c>
      <c r="BP2311" s="11">
        <v>45964.58184027778</v>
      </c>
      <c r="BQ2311" s="15">
        <v>45967.551377314812</v>
      </c>
      <c r="BR2311" s="15">
        <v>45968.46197916667</v>
      </c>
      <c r="BS2311" s="10" t="s">
        <v>149</v>
      </c>
      <c r="BT2311" s="10" t="s">
        <v>99</v>
      </c>
      <c r="BU2311" s="10" t="s">
        <v>6753</v>
      </c>
      <c r="BV2311" s="10"/>
      <c r="BW2311" s="10"/>
      <c r="BX2311" s="10"/>
      <c r="BY2311" s="23"/>
      <c r="BZ2311" s="23"/>
      <c r="CA2311" s="19" t="s">
        <v>17627</v>
      </c>
      <c r="CB2311" s="19" t="s">
        <v>17628</v>
      </c>
      <c r="CC2311" s="23"/>
      <c r="CD2311" s="19" t="s">
        <v>17629</v>
      </c>
      <c r="CE2311" s="23"/>
      <c r="CF2311" s="23"/>
      <c r="CG2311" s="23"/>
      <c r="CH2311" s="23"/>
      <c r="CI2311" s="23"/>
    </row>
    <row r="2312" spans="1:87" x14ac:dyDescent="0.3">
      <c r="A2312" s="9" t="s">
        <v>17630</v>
      </c>
      <c r="B2312" s="10" t="s">
        <v>17631</v>
      </c>
      <c r="C2312" s="11">
        <v>45970.947916666664</v>
      </c>
      <c r="D2312" s="12">
        <v>8.3333333333333329E-2</v>
      </c>
      <c r="E2312" s="11">
        <v>45971.03125</v>
      </c>
      <c r="F2312" s="10" t="s">
        <v>3687</v>
      </c>
      <c r="G2312" s="13" t="b">
        <v>0</v>
      </c>
      <c r="H2312" s="22" t="s">
        <v>8464</v>
      </c>
      <c r="I2312" s="10" t="s">
        <v>89</v>
      </c>
      <c r="J2312" s="13" t="b">
        <v>0</v>
      </c>
      <c r="K2312" s="13" t="b">
        <v>1</v>
      </c>
      <c r="L2312" s="10" t="s">
        <v>124</v>
      </c>
      <c r="M2312" s="10" t="s">
        <v>91</v>
      </c>
      <c r="N2312" s="10" t="s">
        <v>92</v>
      </c>
      <c r="O2312" s="19" t="s">
        <v>17632</v>
      </c>
      <c r="P2312" s="10"/>
      <c r="Q2312" s="10" t="s">
        <v>126</v>
      </c>
      <c r="R2312" s="10"/>
      <c r="S2312" s="19" t="s">
        <v>17633</v>
      </c>
      <c r="T2312" s="19" t="s">
        <v>17634</v>
      </c>
      <c r="U2312" s="10" t="s">
        <v>3727</v>
      </c>
      <c r="V2312" s="10" t="s">
        <v>3704</v>
      </c>
      <c r="W2312" s="10" t="s">
        <v>3692</v>
      </c>
      <c r="X2312" s="10" t="s">
        <v>130</v>
      </c>
      <c r="Y2312" s="10" t="s">
        <v>130</v>
      </c>
      <c r="Z2312" s="10" t="s">
        <v>99</v>
      </c>
      <c r="AA2312" s="10" t="s">
        <v>131</v>
      </c>
      <c r="AB2312" s="10" t="s">
        <v>3693</v>
      </c>
      <c r="AC2312" s="10" t="s">
        <v>3694</v>
      </c>
      <c r="AD2312" s="10" t="s">
        <v>17635</v>
      </c>
      <c r="AE2312" s="10" t="s">
        <v>17636</v>
      </c>
      <c r="AF2312" s="15"/>
      <c r="AG2312" s="10"/>
      <c r="AH2312" s="10"/>
      <c r="AI2312" s="10"/>
      <c r="AJ2312" s="10"/>
      <c r="AK2312" s="10" t="s">
        <v>102</v>
      </c>
      <c r="AL2312" s="10" t="s">
        <v>1467</v>
      </c>
      <c r="AM2312" s="10"/>
      <c r="AN2312" s="10"/>
      <c r="AO2312" s="13" t="b">
        <v>0</v>
      </c>
      <c r="AP2312" s="22" t="s">
        <v>104</v>
      </c>
      <c r="AQ2312" s="10">
        <f ca="1">IFERROR(__xludf.DUMMYFUNCTION("""COMPUTED_VALUE"""),4708919)</f>
        <v>4708919</v>
      </c>
      <c r="AR2312" s="17">
        <v>6555</v>
      </c>
      <c r="AS2312" s="17">
        <v>5762</v>
      </c>
      <c r="AT2312" s="17">
        <v>49722.5</v>
      </c>
      <c r="AU2312" s="17">
        <v>9.0500000000000007</v>
      </c>
      <c r="AV2312" s="17">
        <v>2.8</v>
      </c>
      <c r="AW2312" s="10" t="s">
        <v>105</v>
      </c>
      <c r="AX2312" s="17">
        <v>1879</v>
      </c>
      <c r="AY2312" s="18">
        <v>8.6293821589725788</v>
      </c>
      <c r="AZ2312" s="10" t="s">
        <v>3783</v>
      </c>
      <c r="BA2312" s="20" t="b">
        <v>0</v>
      </c>
      <c r="BB2312" s="10"/>
      <c r="BC2312" s="17">
        <v>6555</v>
      </c>
      <c r="BD2312" s="17">
        <v>5762</v>
      </c>
      <c r="BE2312" s="17">
        <v>49722.5</v>
      </c>
      <c r="BF2312" s="17">
        <v>2.8</v>
      </c>
      <c r="BG2312" s="11">
        <f ca="1">IFERROR(__xludf.DUMMYFUNCTION("""COMPUTED_VALUE"""),45970.9479166666)</f>
        <v>45970.947916666599</v>
      </c>
      <c r="BH2312" s="17" t="s">
        <v>105</v>
      </c>
      <c r="BI2312" s="17"/>
      <c r="BJ2312" s="15"/>
      <c r="BK2312" s="15"/>
      <c r="BL2312" s="13" t="b">
        <v>0</v>
      </c>
      <c r="BM2312" s="10"/>
      <c r="BN2312" s="10" t="s">
        <v>118</v>
      </c>
      <c r="BO2312" s="11">
        <v>45946.64166666667</v>
      </c>
      <c r="BP2312" s="11">
        <v>45964.58252314815</v>
      </c>
      <c r="BQ2312" s="15">
        <v>45967.551469907405</v>
      </c>
      <c r="BR2312" s="15">
        <v>45969.699467592596</v>
      </c>
      <c r="BS2312" s="10" t="s">
        <v>118</v>
      </c>
      <c r="BT2312" s="10" t="s">
        <v>99</v>
      </c>
      <c r="BU2312" s="10"/>
      <c r="BV2312" s="10"/>
      <c r="BW2312" s="10"/>
      <c r="BX2312" s="10"/>
      <c r="BY2312" s="23"/>
      <c r="BZ2312" s="23"/>
      <c r="CA2312" s="19" t="s">
        <v>17637</v>
      </c>
      <c r="CB2312" s="19" t="s">
        <v>17638</v>
      </c>
      <c r="CC2312" s="23"/>
      <c r="CD2312" s="19" t="s">
        <v>17639</v>
      </c>
      <c r="CE2312" s="23"/>
      <c r="CF2312" s="23"/>
      <c r="CG2312" s="23"/>
      <c r="CH2312" s="23"/>
      <c r="CI2312" s="23"/>
    </row>
    <row r="2313" spans="1:87" x14ac:dyDescent="0.3">
      <c r="A2313" s="9" t="s">
        <v>17640</v>
      </c>
      <c r="B2313" s="10" t="s">
        <v>17641</v>
      </c>
      <c r="C2313" s="11">
        <v>45971.083333333336</v>
      </c>
      <c r="D2313" s="12">
        <v>8.3333333333333329E-2</v>
      </c>
      <c r="E2313" s="11">
        <v>45971.166666666664</v>
      </c>
      <c r="F2313" s="10" t="s">
        <v>3687</v>
      </c>
      <c r="G2313" s="13" t="b">
        <v>0</v>
      </c>
      <c r="H2313" s="22" t="s">
        <v>8464</v>
      </c>
      <c r="I2313" s="10" t="s">
        <v>89</v>
      </c>
      <c r="J2313" s="13" t="b">
        <v>0</v>
      </c>
      <c r="K2313" s="13" t="b">
        <v>1</v>
      </c>
      <c r="L2313" s="10" t="s">
        <v>124</v>
      </c>
      <c r="M2313" s="10" t="s">
        <v>91</v>
      </c>
      <c r="N2313" s="10" t="s">
        <v>92</v>
      </c>
      <c r="O2313" s="19" t="s">
        <v>17642</v>
      </c>
      <c r="P2313" s="10"/>
      <c r="Q2313" s="10" t="s">
        <v>126</v>
      </c>
      <c r="R2313" s="10"/>
      <c r="S2313" s="19" t="s">
        <v>17643</v>
      </c>
      <c r="T2313" s="19" t="s">
        <v>17644</v>
      </c>
      <c r="U2313" s="10" t="s">
        <v>4993</v>
      </c>
      <c r="V2313" s="10" t="s">
        <v>3690</v>
      </c>
      <c r="W2313" s="10" t="s">
        <v>3692</v>
      </c>
      <c r="X2313" s="10" t="s">
        <v>130</v>
      </c>
      <c r="Y2313" s="10" t="s">
        <v>130</v>
      </c>
      <c r="Z2313" s="10" t="s">
        <v>99</v>
      </c>
      <c r="AA2313" s="10" t="s">
        <v>131</v>
      </c>
      <c r="AB2313" s="10" t="s">
        <v>3693</v>
      </c>
      <c r="AC2313" s="10" t="s">
        <v>3694</v>
      </c>
      <c r="AD2313" s="10" t="s">
        <v>17645</v>
      </c>
      <c r="AE2313" s="10" t="s">
        <v>17646</v>
      </c>
      <c r="AF2313" s="15"/>
      <c r="AG2313" s="10"/>
      <c r="AH2313" s="10"/>
      <c r="AI2313" s="10"/>
      <c r="AJ2313" s="10"/>
      <c r="AK2313" s="10" t="s">
        <v>102</v>
      </c>
      <c r="AL2313" s="10" t="s">
        <v>1467</v>
      </c>
      <c r="AM2313" s="10"/>
      <c r="AN2313" s="10"/>
      <c r="AO2313" s="13" t="b">
        <v>0</v>
      </c>
      <c r="AP2313" s="22" t="s">
        <v>104</v>
      </c>
      <c r="AQ2313" s="10">
        <f ca="1">IFERROR(__xludf.DUMMYFUNCTION("""COMPUTED_VALUE"""),4708923)</f>
        <v>4708923</v>
      </c>
      <c r="AR2313" s="17">
        <v>4482</v>
      </c>
      <c r="AS2313" s="17">
        <v>3593</v>
      </c>
      <c r="AT2313" s="17">
        <v>60192.75</v>
      </c>
      <c r="AU2313" s="17">
        <v>4.2</v>
      </c>
      <c r="AV2313" s="17">
        <v>0.6</v>
      </c>
      <c r="AW2313" s="10" t="s">
        <v>105</v>
      </c>
      <c r="AX2313" s="17">
        <v>1101</v>
      </c>
      <c r="AY2313" s="18">
        <v>16.752783189535208</v>
      </c>
      <c r="AZ2313" s="10" t="s">
        <v>3783</v>
      </c>
      <c r="BA2313" s="20" t="b">
        <v>0</v>
      </c>
      <c r="BB2313" s="10"/>
      <c r="BC2313" s="17">
        <v>4482</v>
      </c>
      <c r="BD2313" s="17">
        <v>3593</v>
      </c>
      <c r="BE2313" s="17">
        <v>60192.75</v>
      </c>
      <c r="BF2313" s="17">
        <v>0.6</v>
      </c>
      <c r="BG2313" s="11">
        <f ca="1">IFERROR(__xludf.DUMMYFUNCTION("""COMPUTED_VALUE"""),45971.0833333333)</f>
        <v>45971.083333333299</v>
      </c>
      <c r="BH2313" s="17" t="s">
        <v>105</v>
      </c>
      <c r="BI2313" s="17"/>
      <c r="BJ2313" s="15"/>
      <c r="BK2313" s="15"/>
      <c r="BL2313" s="13" t="b">
        <v>0</v>
      </c>
      <c r="BM2313" s="10"/>
      <c r="BN2313" s="10" t="s">
        <v>118</v>
      </c>
      <c r="BO2313" s="11">
        <v>45946.642361111109</v>
      </c>
      <c r="BP2313" s="11">
        <v>45964.582592592589</v>
      </c>
      <c r="BQ2313" s="15">
        <v>45967.55159722222</v>
      </c>
      <c r="BR2313" s="15">
        <v>45969.705891203703</v>
      </c>
      <c r="BS2313" s="10" t="s">
        <v>118</v>
      </c>
      <c r="BT2313" s="10"/>
      <c r="BU2313" s="10"/>
      <c r="BV2313" s="10"/>
      <c r="BW2313" s="10"/>
      <c r="BX2313" s="10"/>
      <c r="BY2313" s="23"/>
      <c r="BZ2313" s="23"/>
      <c r="CA2313" s="19" t="s">
        <v>17647</v>
      </c>
      <c r="CB2313" s="19" t="s">
        <v>17648</v>
      </c>
      <c r="CC2313" s="23"/>
      <c r="CD2313" s="19" t="s">
        <v>17649</v>
      </c>
      <c r="CE2313" s="23"/>
      <c r="CF2313" s="23"/>
      <c r="CG2313" s="23"/>
      <c r="CH2313" s="23"/>
      <c r="CI2313" s="23"/>
    </row>
    <row r="2314" spans="1:87" x14ac:dyDescent="0.3">
      <c r="A2314" s="9" t="s">
        <v>17650</v>
      </c>
      <c r="B2314" s="10" t="s">
        <v>17651</v>
      </c>
      <c r="C2314" s="11">
        <v>45983.9375</v>
      </c>
      <c r="D2314" s="12">
        <v>8.3333333333333329E-2</v>
      </c>
      <c r="E2314" s="11">
        <v>45984.020833333336</v>
      </c>
      <c r="F2314" s="10" t="s">
        <v>3687</v>
      </c>
      <c r="G2314" s="13" t="b">
        <v>0</v>
      </c>
      <c r="H2314" s="22" t="s">
        <v>88</v>
      </c>
      <c r="I2314" s="10" t="s">
        <v>89</v>
      </c>
      <c r="J2314" s="13" t="b">
        <v>0</v>
      </c>
      <c r="K2314" s="13" t="b">
        <v>1</v>
      </c>
      <c r="L2314" s="10" t="s">
        <v>124</v>
      </c>
      <c r="M2314" s="10" t="s">
        <v>91</v>
      </c>
      <c r="N2314" s="10" t="s">
        <v>92</v>
      </c>
      <c r="O2314" s="19" t="s">
        <v>17652</v>
      </c>
      <c r="P2314" s="10"/>
      <c r="Q2314" s="10" t="s">
        <v>126</v>
      </c>
      <c r="R2314" s="10"/>
      <c r="S2314" s="19" t="s">
        <v>17653</v>
      </c>
      <c r="T2314" s="19" t="s">
        <v>17654</v>
      </c>
      <c r="U2314" s="10" t="s">
        <v>3691</v>
      </c>
      <c r="V2314" s="10" t="s">
        <v>3704</v>
      </c>
      <c r="W2314" s="10" t="s">
        <v>3692</v>
      </c>
      <c r="X2314" s="10" t="s">
        <v>130</v>
      </c>
      <c r="Y2314" s="10" t="s">
        <v>130</v>
      </c>
      <c r="Z2314" s="10" t="s">
        <v>99</v>
      </c>
      <c r="AA2314" s="10" t="s">
        <v>131</v>
      </c>
      <c r="AB2314" s="10" t="s">
        <v>3693</v>
      </c>
      <c r="AC2314" s="10" t="s">
        <v>3694</v>
      </c>
      <c r="AD2314" s="10" t="s">
        <v>17655</v>
      </c>
      <c r="AE2314" s="10" t="s">
        <v>17656</v>
      </c>
      <c r="AF2314" s="15"/>
      <c r="AG2314" s="10"/>
      <c r="AH2314" s="10"/>
      <c r="AI2314" s="10"/>
      <c r="AJ2314" s="10"/>
      <c r="AK2314" s="10" t="s">
        <v>102</v>
      </c>
      <c r="AL2314" s="10" t="s">
        <v>1569</v>
      </c>
      <c r="AM2314" s="10"/>
      <c r="AN2314" s="10"/>
      <c r="AO2314" s="13" t="b">
        <v>0</v>
      </c>
      <c r="AP2314" s="22" t="s">
        <v>104</v>
      </c>
      <c r="AQ2314" s="10">
        <f ca="1">IFERROR(__xludf.DUMMYFUNCTION("""COMPUTED_VALUE"""),4724482)</f>
        <v>4724482</v>
      </c>
      <c r="AR2314" s="17">
        <v>3907</v>
      </c>
      <c r="AS2314" s="17">
        <v>3321</v>
      </c>
      <c r="AT2314" s="17">
        <v>23245.25</v>
      </c>
      <c r="AU2314" s="17">
        <v>4.6500000000000004</v>
      </c>
      <c r="AV2314" s="17">
        <v>0.5</v>
      </c>
      <c r="AW2314" s="10" t="s">
        <v>105</v>
      </c>
      <c r="AX2314" s="17">
        <v>921</v>
      </c>
      <c r="AY2314" s="18">
        <v>6.999473050286058</v>
      </c>
      <c r="AZ2314" s="10" t="s">
        <v>136</v>
      </c>
      <c r="BA2314" s="20" t="b">
        <v>0</v>
      </c>
      <c r="BB2314" s="10"/>
      <c r="BC2314" s="17">
        <v>3907</v>
      </c>
      <c r="BD2314" s="17">
        <v>3321</v>
      </c>
      <c r="BE2314" s="17">
        <v>23245.25</v>
      </c>
      <c r="BF2314" s="17">
        <v>0.5</v>
      </c>
      <c r="BG2314" s="11">
        <f ca="1">IFERROR(__xludf.DUMMYFUNCTION("""COMPUTED_VALUE"""),45983.9375)</f>
        <v>45983.9375</v>
      </c>
      <c r="BH2314" s="17" t="s">
        <v>105</v>
      </c>
      <c r="BI2314" s="17"/>
      <c r="BJ2314" s="15"/>
      <c r="BK2314" s="15"/>
      <c r="BL2314" s="13" t="b">
        <v>0</v>
      </c>
      <c r="BM2314" s="10"/>
      <c r="BN2314" s="10" t="s">
        <v>149</v>
      </c>
      <c r="BO2314" s="11">
        <v>45946.643055555556</v>
      </c>
      <c r="BP2314" s="11">
        <v>45976.684537037036</v>
      </c>
      <c r="BQ2314" s="15">
        <v>45978.54179398148</v>
      </c>
      <c r="BR2314" s="15">
        <v>45979.991122685184</v>
      </c>
      <c r="BS2314" s="10" t="s">
        <v>149</v>
      </c>
      <c r="BT2314" s="10" t="s">
        <v>99</v>
      </c>
      <c r="BU2314" s="10" t="s">
        <v>298</v>
      </c>
      <c r="BV2314" s="10"/>
      <c r="BW2314" s="10"/>
      <c r="BX2314" s="10"/>
      <c r="BY2314" s="23"/>
      <c r="BZ2314" s="23"/>
      <c r="CA2314" s="19" t="s">
        <v>17657</v>
      </c>
      <c r="CB2314" s="19" t="s">
        <v>17658</v>
      </c>
      <c r="CC2314" s="23"/>
      <c r="CD2314" s="19" t="s">
        <v>17659</v>
      </c>
      <c r="CE2314" s="23"/>
      <c r="CF2314" s="23"/>
      <c r="CG2314" s="23"/>
      <c r="CH2314" s="23"/>
      <c r="CI2314" s="23"/>
    </row>
    <row r="2315" spans="1:87" x14ac:dyDescent="0.3">
      <c r="A2315" s="9" t="s">
        <v>17660</v>
      </c>
      <c r="B2315" s="10" t="s">
        <v>17661</v>
      </c>
      <c r="C2315" s="11">
        <v>45984.03125</v>
      </c>
      <c r="D2315" s="12">
        <v>8.3333333333333329E-2</v>
      </c>
      <c r="E2315" s="11">
        <v>45984.114583333336</v>
      </c>
      <c r="F2315" s="10" t="s">
        <v>3687</v>
      </c>
      <c r="G2315" s="13" t="b">
        <v>0</v>
      </c>
      <c r="H2315" s="22" t="s">
        <v>88</v>
      </c>
      <c r="I2315" s="10" t="s">
        <v>89</v>
      </c>
      <c r="J2315" s="13" t="b">
        <v>0</v>
      </c>
      <c r="K2315" s="13" t="b">
        <v>1</v>
      </c>
      <c r="L2315" s="10" t="s">
        <v>124</v>
      </c>
      <c r="M2315" s="10" t="s">
        <v>91</v>
      </c>
      <c r="N2315" s="10" t="s">
        <v>92</v>
      </c>
      <c r="O2315" s="19" t="s">
        <v>17662</v>
      </c>
      <c r="P2315" s="10"/>
      <c r="Q2315" s="10" t="s">
        <v>126</v>
      </c>
      <c r="R2315" s="10"/>
      <c r="S2315" s="19" t="s">
        <v>17663</v>
      </c>
      <c r="T2315" s="19" t="s">
        <v>17654</v>
      </c>
      <c r="U2315" s="10" t="s">
        <v>3715</v>
      </c>
      <c r="V2315" s="10" t="s">
        <v>7708</v>
      </c>
      <c r="W2315" s="10" t="s">
        <v>3692</v>
      </c>
      <c r="X2315" s="10" t="s">
        <v>130</v>
      </c>
      <c r="Y2315" s="10" t="s">
        <v>130</v>
      </c>
      <c r="Z2315" s="10" t="s">
        <v>99</v>
      </c>
      <c r="AA2315" s="10" t="s">
        <v>131</v>
      </c>
      <c r="AB2315" s="10" t="s">
        <v>3693</v>
      </c>
      <c r="AC2315" s="10" t="s">
        <v>3694</v>
      </c>
      <c r="AD2315" s="10" t="s">
        <v>17664</v>
      </c>
      <c r="AE2315" s="10" t="s">
        <v>17665</v>
      </c>
      <c r="AF2315" s="15"/>
      <c r="AG2315" s="10"/>
      <c r="AH2315" s="10"/>
      <c r="AI2315" s="10"/>
      <c r="AJ2315" s="10"/>
      <c r="AK2315" s="10" t="s">
        <v>102</v>
      </c>
      <c r="AL2315" s="10" t="s">
        <v>1569</v>
      </c>
      <c r="AM2315" s="10"/>
      <c r="AN2315" s="10"/>
      <c r="AO2315" s="13" t="b">
        <v>0</v>
      </c>
      <c r="AP2315" s="22" t="s">
        <v>104</v>
      </c>
      <c r="AQ2315" s="10">
        <f ca="1">IFERROR(__xludf.DUMMYFUNCTION("""COMPUTED_VALUE"""),4726073)</f>
        <v>4726073</v>
      </c>
      <c r="AR2315" s="17">
        <v>3437</v>
      </c>
      <c r="AS2315" s="17">
        <v>2703</v>
      </c>
      <c r="AT2315" s="17">
        <v>56915.25</v>
      </c>
      <c r="AU2315" s="17">
        <v>7.75</v>
      </c>
      <c r="AV2315" s="17">
        <v>1.75</v>
      </c>
      <c r="AW2315" s="10" t="s">
        <v>105</v>
      </c>
      <c r="AX2315" s="17">
        <v>997</v>
      </c>
      <c r="AY2315" s="18">
        <v>21.056326304106548</v>
      </c>
      <c r="AZ2315" s="10" t="s">
        <v>136</v>
      </c>
      <c r="BA2315" s="20" t="b">
        <v>0</v>
      </c>
      <c r="BB2315" s="10"/>
      <c r="BC2315" s="17">
        <v>3437</v>
      </c>
      <c r="BD2315" s="17">
        <v>2703</v>
      </c>
      <c r="BE2315" s="17">
        <v>56915.25</v>
      </c>
      <c r="BF2315" s="17">
        <v>1.75</v>
      </c>
      <c r="BG2315" s="11">
        <f ca="1">IFERROR(__xludf.DUMMYFUNCTION("""COMPUTED_VALUE"""),45984.03125)</f>
        <v>45984.03125</v>
      </c>
      <c r="BH2315" s="17" t="s">
        <v>105</v>
      </c>
      <c r="BI2315" s="17"/>
      <c r="BJ2315" s="15"/>
      <c r="BK2315" s="15"/>
      <c r="BL2315" s="13" t="b">
        <v>0</v>
      </c>
      <c r="BM2315" s="10"/>
      <c r="BN2315" s="10" t="s">
        <v>278</v>
      </c>
      <c r="BO2315" s="11">
        <v>45946.643750000003</v>
      </c>
      <c r="BP2315" s="11">
        <v>45976.684814814813</v>
      </c>
      <c r="BQ2315" s="15">
        <v>45981.514953703707</v>
      </c>
      <c r="BR2315" s="15">
        <v>45981.640416666669</v>
      </c>
      <c r="BS2315" s="10" t="s">
        <v>278</v>
      </c>
      <c r="BT2315" s="10" t="s">
        <v>99</v>
      </c>
      <c r="BU2315" s="10" t="s">
        <v>456</v>
      </c>
      <c r="BV2315" s="10"/>
      <c r="BW2315" s="10"/>
      <c r="BX2315" s="10"/>
      <c r="BY2315" s="23"/>
      <c r="BZ2315" s="23"/>
      <c r="CA2315" s="19" t="s">
        <v>17666</v>
      </c>
      <c r="CB2315" s="19" t="s">
        <v>17667</v>
      </c>
      <c r="CC2315" s="23"/>
      <c r="CD2315" s="19" t="s">
        <v>17668</v>
      </c>
      <c r="CE2315" s="23"/>
      <c r="CF2315" s="23"/>
      <c r="CG2315" s="23"/>
      <c r="CH2315" s="23"/>
      <c r="CI2315" s="23"/>
    </row>
    <row r="2316" spans="1:87" x14ac:dyDescent="0.3">
      <c r="A2316" s="9" t="s">
        <v>17669</v>
      </c>
      <c r="B2316" s="10" t="s">
        <v>17670</v>
      </c>
      <c r="C2316" s="11">
        <v>46012.083333333336</v>
      </c>
      <c r="D2316" s="12">
        <v>8.3333333333333329E-2</v>
      </c>
      <c r="E2316" s="11">
        <v>46012.166666666664</v>
      </c>
      <c r="F2316" s="10" t="s">
        <v>3687</v>
      </c>
      <c r="G2316" s="13" t="b">
        <v>0</v>
      </c>
      <c r="H2316" s="22" t="s">
        <v>88</v>
      </c>
      <c r="I2316" s="10" t="s">
        <v>89</v>
      </c>
      <c r="J2316" s="13" t="b">
        <v>0</v>
      </c>
      <c r="K2316" s="13" t="b">
        <v>1</v>
      </c>
      <c r="L2316" s="10" t="s">
        <v>124</v>
      </c>
      <c r="M2316" s="10" t="s">
        <v>91</v>
      </c>
      <c r="N2316" s="10" t="s">
        <v>92</v>
      </c>
      <c r="O2316" s="19" t="s">
        <v>17671</v>
      </c>
      <c r="P2316" s="10"/>
      <c r="Q2316" s="10" t="s">
        <v>126</v>
      </c>
      <c r="R2316" s="10"/>
      <c r="S2316" s="19" t="s">
        <v>17672</v>
      </c>
      <c r="T2316" s="10"/>
      <c r="U2316" s="10" t="s">
        <v>7720</v>
      </c>
      <c r="V2316" s="10" t="s">
        <v>3715</v>
      </c>
      <c r="W2316" s="10" t="s">
        <v>3692</v>
      </c>
      <c r="X2316" s="10" t="s">
        <v>130</v>
      </c>
      <c r="Y2316" s="10" t="s">
        <v>130</v>
      </c>
      <c r="Z2316" s="10" t="s">
        <v>99</v>
      </c>
      <c r="AA2316" s="10" t="s">
        <v>131</v>
      </c>
      <c r="AB2316" s="10" t="s">
        <v>3693</v>
      </c>
      <c r="AC2316" s="10" t="s">
        <v>3694</v>
      </c>
      <c r="AD2316" s="10" t="s">
        <v>17673</v>
      </c>
      <c r="AE2316" s="10" t="s">
        <v>17674</v>
      </c>
      <c r="AF2316" s="15"/>
      <c r="AG2316" s="10"/>
      <c r="AH2316" s="10"/>
      <c r="AI2316" s="10"/>
      <c r="AJ2316" s="10"/>
      <c r="AK2316" s="10" t="s">
        <v>102</v>
      </c>
      <c r="AL2316" s="10" t="s">
        <v>1988</v>
      </c>
      <c r="AM2316" s="10"/>
      <c r="AN2316" s="10"/>
      <c r="AO2316" s="13" t="b">
        <v>0</v>
      </c>
      <c r="AP2316" s="22" t="s">
        <v>104</v>
      </c>
      <c r="AQ2316" s="10">
        <f ca="1">IFERROR(__xludf.DUMMYFUNCTION("""COMPUTED_VALUE"""),4783754)</f>
        <v>4783754</v>
      </c>
      <c r="AR2316" s="17">
        <v>4388</v>
      </c>
      <c r="AS2316" s="17">
        <v>3594</v>
      </c>
      <c r="AT2316" s="17">
        <v>56739.25</v>
      </c>
      <c r="AU2316" s="17">
        <v>2.9</v>
      </c>
      <c r="AV2316" s="17">
        <v>1.1000000000000001</v>
      </c>
      <c r="AW2316" s="10" t="s">
        <v>105</v>
      </c>
      <c r="AX2316" s="17">
        <v>1242</v>
      </c>
      <c r="AY2316" s="18">
        <v>15.787214802448526</v>
      </c>
      <c r="AZ2316" s="10" t="s">
        <v>3783</v>
      </c>
      <c r="BA2316" s="20" t="b">
        <v>0</v>
      </c>
      <c r="BB2316" s="10"/>
      <c r="BC2316" s="17">
        <v>4388</v>
      </c>
      <c r="BD2316" s="17">
        <v>3594</v>
      </c>
      <c r="BE2316" s="17">
        <v>56739.25</v>
      </c>
      <c r="BF2316" s="17">
        <v>1.1000000000000001</v>
      </c>
      <c r="BG2316" s="11">
        <f ca="1">IFERROR(__xludf.DUMMYFUNCTION("""COMPUTED_VALUE"""),46012.0833333333)</f>
        <v>46012.083333333299</v>
      </c>
      <c r="BH2316" s="17" t="s">
        <v>105</v>
      </c>
      <c r="BI2316" s="17"/>
      <c r="BJ2316" s="15"/>
      <c r="BK2316" s="15"/>
      <c r="BL2316" s="13" t="b">
        <v>0</v>
      </c>
      <c r="BM2316" s="10"/>
      <c r="BN2316" s="10" t="s">
        <v>634</v>
      </c>
      <c r="BO2316" s="11">
        <v>45946.643055555556</v>
      </c>
      <c r="BP2316" s="11">
        <v>46005.559814814813</v>
      </c>
      <c r="BQ2316" s="15">
        <v>46006.683645833335</v>
      </c>
      <c r="BR2316" s="15">
        <v>46009.395624999997</v>
      </c>
      <c r="BS2316" s="10" t="s">
        <v>634</v>
      </c>
      <c r="BT2316" s="10" t="s">
        <v>99</v>
      </c>
      <c r="BU2316" s="10" t="s">
        <v>421</v>
      </c>
      <c r="BV2316" s="10"/>
      <c r="BW2316" s="10"/>
      <c r="BX2316" s="10"/>
      <c r="BY2316" s="23"/>
      <c r="BZ2316" s="23"/>
      <c r="CA2316" s="19" t="s">
        <v>17675</v>
      </c>
      <c r="CB2316" s="19" t="s">
        <v>17676</v>
      </c>
      <c r="CC2316" s="23"/>
      <c r="CD2316" s="19" t="s">
        <v>17677</v>
      </c>
      <c r="CE2316" s="23"/>
      <c r="CF2316" s="23"/>
      <c r="CG2316" s="23"/>
      <c r="CH2316" s="23"/>
      <c r="CI2316" s="23"/>
    </row>
    <row r="2317" spans="1:87" x14ac:dyDescent="0.3">
      <c r="A2317" s="9" t="s">
        <v>17678</v>
      </c>
      <c r="B2317" s="10" t="s">
        <v>17679</v>
      </c>
      <c r="C2317" s="11">
        <v>45984.760416666664</v>
      </c>
      <c r="D2317" s="12">
        <v>8.3333333333333329E-2</v>
      </c>
      <c r="E2317" s="11">
        <v>45984.84375</v>
      </c>
      <c r="F2317" s="10" t="s">
        <v>3687</v>
      </c>
      <c r="G2317" s="13" t="b">
        <v>0</v>
      </c>
      <c r="H2317" s="22" t="s">
        <v>88</v>
      </c>
      <c r="I2317" s="10" t="s">
        <v>89</v>
      </c>
      <c r="J2317" s="13" t="b">
        <v>0</v>
      </c>
      <c r="K2317" s="13" t="b">
        <v>1</v>
      </c>
      <c r="L2317" s="10" t="s">
        <v>124</v>
      </c>
      <c r="M2317" s="10" t="s">
        <v>91</v>
      </c>
      <c r="N2317" s="10" t="s">
        <v>92</v>
      </c>
      <c r="O2317" s="19" t="s">
        <v>17680</v>
      </c>
      <c r="P2317" s="10"/>
      <c r="Q2317" s="10" t="s">
        <v>126</v>
      </c>
      <c r="R2317" s="10"/>
      <c r="S2317" s="19" t="s">
        <v>17681</v>
      </c>
      <c r="T2317" s="19" t="s">
        <v>17654</v>
      </c>
      <c r="U2317" s="10" t="s">
        <v>8689</v>
      </c>
      <c r="V2317" s="10" t="s">
        <v>3727</v>
      </c>
      <c r="W2317" s="10" t="s">
        <v>3692</v>
      </c>
      <c r="X2317" s="10" t="s">
        <v>130</v>
      </c>
      <c r="Y2317" s="10" t="s">
        <v>130</v>
      </c>
      <c r="Z2317" s="10" t="s">
        <v>99</v>
      </c>
      <c r="AA2317" s="10" t="s">
        <v>131</v>
      </c>
      <c r="AB2317" s="10" t="s">
        <v>3693</v>
      </c>
      <c r="AC2317" s="10" t="s">
        <v>3694</v>
      </c>
      <c r="AD2317" s="10" t="s">
        <v>17682</v>
      </c>
      <c r="AE2317" s="10" t="s">
        <v>17683</v>
      </c>
      <c r="AF2317" s="15"/>
      <c r="AG2317" s="10"/>
      <c r="AH2317" s="10"/>
      <c r="AI2317" s="10"/>
      <c r="AJ2317" s="10"/>
      <c r="AK2317" s="10" t="s">
        <v>102</v>
      </c>
      <c r="AL2317" s="10" t="s">
        <v>1569</v>
      </c>
      <c r="AM2317" s="10"/>
      <c r="AN2317" s="10"/>
      <c r="AO2317" s="13" t="b">
        <v>0</v>
      </c>
      <c r="AP2317" s="22" t="s">
        <v>104</v>
      </c>
      <c r="AQ2317" s="10">
        <f ca="1">IFERROR(__xludf.DUMMYFUNCTION("""COMPUTED_VALUE"""),4726075)</f>
        <v>4726075</v>
      </c>
      <c r="AR2317" s="17">
        <v>12644</v>
      </c>
      <c r="AS2317" s="17">
        <v>9973</v>
      </c>
      <c r="AT2317" s="17">
        <v>146725.75</v>
      </c>
      <c r="AU2317" s="17">
        <v>23.8</v>
      </c>
      <c r="AV2317" s="17">
        <v>5.15</v>
      </c>
      <c r="AW2317" s="10" t="s">
        <v>105</v>
      </c>
      <c r="AX2317" s="17">
        <v>2576</v>
      </c>
      <c r="AY2317" s="18">
        <v>14.712298205153916</v>
      </c>
      <c r="AZ2317" s="10" t="s">
        <v>136</v>
      </c>
      <c r="BA2317" s="20" t="b">
        <v>0</v>
      </c>
      <c r="BB2317" s="10"/>
      <c r="BC2317" s="17">
        <v>12644</v>
      </c>
      <c r="BD2317" s="17">
        <v>9973</v>
      </c>
      <c r="BE2317" s="17">
        <v>146725.75</v>
      </c>
      <c r="BF2317" s="17">
        <v>5.15</v>
      </c>
      <c r="BG2317" s="11">
        <f ca="1">IFERROR(__xludf.DUMMYFUNCTION("""COMPUTED_VALUE"""),45984.7604166666)</f>
        <v>45984.760416666599</v>
      </c>
      <c r="BH2317" s="17" t="s">
        <v>105</v>
      </c>
      <c r="BI2317" s="17"/>
      <c r="BJ2317" s="15"/>
      <c r="BK2317" s="15"/>
      <c r="BL2317" s="13" t="b">
        <v>0</v>
      </c>
      <c r="BM2317" s="10"/>
      <c r="BN2317" s="10" t="s">
        <v>149</v>
      </c>
      <c r="BO2317" s="11">
        <v>45946.644444444442</v>
      </c>
      <c r="BP2317" s="11">
        <v>45976.68509259259</v>
      </c>
      <c r="BQ2317" s="15">
        <v>45981.522233796299</v>
      </c>
      <c r="BR2317" s="15">
        <v>45981.640601851854</v>
      </c>
      <c r="BS2317" s="10" t="s">
        <v>149</v>
      </c>
      <c r="BT2317" s="10" t="s">
        <v>99</v>
      </c>
      <c r="BU2317" s="10" t="s">
        <v>534</v>
      </c>
      <c r="BV2317" s="10"/>
      <c r="BW2317" s="10"/>
      <c r="BX2317" s="10"/>
      <c r="BY2317" s="23"/>
      <c r="BZ2317" s="23"/>
      <c r="CA2317" s="19" t="s">
        <v>17684</v>
      </c>
      <c r="CB2317" s="19" t="s">
        <v>17685</v>
      </c>
      <c r="CC2317" s="23"/>
      <c r="CD2317" s="19" t="s">
        <v>17686</v>
      </c>
      <c r="CE2317" s="23"/>
      <c r="CF2317" s="23"/>
      <c r="CG2317" s="23"/>
      <c r="CH2317" s="23"/>
      <c r="CI2317" s="23"/>
    </row>
    <row r="2318" spans="1:87" x14ac:dyDescent="0.3">
      <c r="A2318" s="9" t="s">
        <v>17687</v>
      </c>
      <c r="B2318" s="10" t="s">
        <v>17688</v>
      </c>
      <c r="C2318" s="11">
        <v>46012.760416666664</v>
      </c>
      <c r="D2318" s="12">
        <v>8.3333333333333329E-2</v>
      </c>
      <c r="E2318" s="11">
        <v>46012.84375</v>
      </c>
      <c r="F2318" s="10" t="s">
        <v>3687</v>
      </c>
      <c r="G2318" s="13" t="b">
        <v>0</v>
      </c>
      <c r="H2318" s="22" t="s">
        <v>88</v>
      </c>
      <c r="I2318" s="10" t="s">
        <v>89</v>
      </c>
      <c r="J2318" s="13" t="b">
        <v>0</v>
      </c>
      <c r="K2318" s="13" t="b">
        <v>1</v>
      </c>
      <c r="L2318" s="10" t="s">
        <v>124</v>
      </c>
      <c r="M2318" s="10" t="s">
        <v>91</v>
      </c>
      <c r="N2318" s="10" t="s">
        <v>92</v>
      </c>
      <c r="O2318" s="19" t="s">
        <v>17689</v>
      </c>
      <c r="P2318" s="10"/>
      <c r="Q2318" s="10" t="s">
        <v>126</v>
      </c>
      <c r="R2318" s="10"/>
      <c r="S2318" s="19" t="s">
        <v>17690</v>
      </c>
      <c r="T2318" s="10"/>
      <c r="U2318" s="10" t="s">
        <v>8476</v>
      </c>
      <c r="V2318" s="10" t="s">
        <v>3704</v>
      </c>
      <c r="W2318" s="10" t="s">
        <v>3692</v>
      </c>
      <c r="X2318" s="10" t="s">
        <v>130</v>
      </c>
      <c r="Y2318" s="10" t="s">
        <v>130</v>
      </c>
      <c r="Z2318" s="10" t="s">
        <v>99</v>
      </c>
      <c r="AA2318" s="10" t="s">
        <v>131</v>
      </c>
      <c r="AB2318" s="10" t="s">
        <v>3693</v>
      </c>
      <c r="AC2318" s="10" t="s">
        <v>3694</v>
      </c>
      <c r="AD2318" s="10" t="s">
        <v>17691</v>
      </c>
      <c r="AE2318" s="10" t="s">
        <v>17692</v>
      </c>
      <c r="AF2318" s="15"/>
      <c r="AG2318" s="10"/>
      <c r="AH2318" s="10"/>
      <c r="AI2318" s="10"/>
      <c r="AJ2318" s="10"/>
      <c r="AK2318" s="10" t="s">
        <v>102</v>
      </c>
      <c r="AL2318" s="10" t="s">
        <v>1988</v>
      </c>
      <c r="AM2318" s="10"/>
      <c r="AN2318" s="10"/>
      <c r="AO2318" s="13" t="b">
        <v>0</v>
      </c>
      <c r="AP2318" s="22" t="s">
        <v>104</v>
      </c>
      <c r="AQ2318" s="10">
        <f ca="1">IFERROR(__xludf.DUMMYFUNCTION("""COMPUTED_VALUE"""),4783762)</f>
        <v>4783762</v>
      </c>
      <c r="AR2318" s="17">
        <v>24180</v>
      </c>
      <c r="AS2318" s="17">
        <v>17939</v>
      </c>
      <c r="AT2318" s="17">
        <v>279208.75</v>
      </c>
      <c r="AU2318" s="17">
        <v>88.9</v>
      </c>
      <c r="AV2318" s="17">
        <v>18.2</v>
      </c>
      <c r="AW2318" s="10" t="s">
        <v>105</v>
      </c>
      <c r="AX2318" s="17">
        <v>5881</v>
      </c>
      <c r="AY2318" s="18">
        <v>15.564343051452143</v>
      </c>
      <c r="AZ2318" s="10" t="s">
        <v>3783</v>
      </c>
      <c r="BA2318" s="20" t="b">
        <v>0</v>
      </c>
      <c r="BB2318" s="10"/>
      <c r="BC2318" s="17">
        <v>24180</v>
      </c>
      <c r="BD2318" s="17">
        <v>17939</v>
      </c>
      <c r="BE2318" s="17">
        <v>279208.75</v>
      </c>
      <c r="BF2318" s="17">
        <v>18.2</v>
      </c>
      <c r="BG2318" s="11">
        <f ca="1">IFERROR(__xludf.DUMMYFUNCTION("""COMPUTED_VALUE"""),46012.7604166666)</f>
        <v>46012.760416666599</v>
      </c>
      <c r="BH2318" s="17" t="s">
        <v>105</v>
      </c>
      <c r="BI2318" s="17"/>
      <c r="BJ2318" s="15"/>
      <c r="BK2318" s="15"/>
      <c r="BL2318" s="13" t="b">
        <v>0</v>
      </c>
      <c r="BM2318" s="10"/>
      <c r="BN2318" s="10" t="s">
        <v>149</v>
      </c>
      <c r="BO2318" s="11">
        <v>45946.645138888889</v>
      </c>
      <c r="BP2318" s="11">
        <v>46005.559988425928</v>
      </c>
      <c r="BQ2318" s="15">
        <v>46006.68372685185</v>
      </c>
      <c r="BR2318" s="15">
        <v>46009.396956018521</v>
      </c>
      <c r="BS2318" s="10" t="s">
        <v>149</v>
      </c>
      <c r="BT2318" s="10" t="s">
        <v>99</v>
      </c>
      <c r="BU2318" s="10" t="s">
        <v>655</v>
      </c>
      <c r="BV2318" s="10"/>
      <c r="BW2318" s="10"/>
      <c r="BX2318" s="10"/>
      <c r="BY2318" s="23"/>
      <c r="BZ2318" s="23"/>
      <c r="CA2318" s="19" t="s">
        <v>17693</v>
      </c>
      <c r="CB2318" s="19" t="s">
        <v>17694</v>
      </c>
      <c r="CC2318" s="23"/>
      <c r="CD2318" s="19" t="s">
        <v>17695</v>
      </c>
      <c r="CE2318" s="23"/>
      <c r="CF2318" s="23"/>
      <c r="CG2318" s="23"/>
      <c r="CH2318" s="23"/>
      <c r="CI2318" s="23"/>
    </row>
    <row r="2319" spans="1:87" x14ac:dyDescent="0.3">
      <c r="A2319" s="9" t="s">
        <v>17696</v>
      </c>
      <c r="B2319" s="10" t="s">
        <v>17697</v>
      </c>
      <c r="C2319" s="11">
        <v>45984.854166666664</v>
      </c>
      <c r="D2319" s="12">
        <v>8.3333333333333329E-2</v>
      </c>
      <c r="E2319" s="11">
        <v>45984.9375</v>
      </c>
      <c r="F2319" s="10" t="s">
        <v>3687</v>
      </c>
      <c r="G2319" s="13" t="b">
        <v>0</v>
      </c>
      <c r="H2319" s="22" t="s">
        <v>3478</v>
      </c>
      <c r="I2319" s="10" t="s">
        <v>89</v>
      </c>
      <c r="J2319" s="13" t="b">
        <v>0</v>
      </c>
      <c r="K2319" s="13" t="b">
        <v>1</v>
      </c>
      <c r="L2319" s="10" t="s">
        <v>124</v>
      </c>
      <c r="M2319" s="10" t="s">
        <v>91</v>
      </c>
      <c r="N2319" s="10" t="s">
        <v>92</v>
      </c>
      <c r="O2319" s="19" t="s">
        <v>17698</v>
      </c>
      <c r="P2319" s="10"/>
      <c r="Q2319" s="10" t="s">
        <v>126</v>
      </c>
      <c r="R2319" s="10"/>
      <c r="S2319" s="19" t="s">
        <v>17699</v>
      </c>
      <c r="T2319" s="19" t="s">
        <v>17654</v>
      </c>
      <c r="U2319" s="10" t="s">
        <v>3690</v>
      </c>
      <c r="V2319" s="10" t="s">
        <v>7720</v>
      </c>
      <c r="W2319" s="10" t="s">
        <v>3692</v>
      </c>
      <c r="X2319" s="10" t="s">
        <v>130</v>
      </c>
      <c r="Y2319" s="10" t="s">
        <v>130</v>
      </c>
      <c r="Z2319" s="10" t="s">
        <v>99</v>
      </c>
      <c r="AA2319" s="10" t="s">
        <v>131</v>
      </c>
      <c r="AB2319" s="10" t="s">
        <v>3693</v>
      </c>
      <c r="AC2319" s="10" t="s">
        <v>3694</v>
      </c>
      <c r="AD2319" s="10" t="s">
        <v>17700</v>
      </c>
      <c r="AE2319" s="10" t="s">
        <v>17701</v>
      </c>
      <c r="AF2319" s="15"/>
      <c r="AG2319" s="10"/>
      <c r="AH2319" s="10"/>
      <c r="AI2319" s="10"/>
      <c r="AJ2319" s="10"/>
      <c r="AK2319" s="10" t="s">
        <v>102</v>
      </c>
      <c r="AL2319" s="10" t="s">
        <v>1569</v>
      </c>
      <c r="AM2319" s="10"/>
      <c r="AN2319" s="10"/>
      <c r="AO2319" s="13" t="b">
        <v>0</v>
      </c>
      <c r="AP2319" s="22" t="s">
        <v>104</v>
      </c>
      <c r="AQ2319" s="10">
        <f ca="1">IFERROR(__xludf.DUMMYFUNCTION("""COMPUTED_VALUE"""),4726077)</f>
        <v>4726077</v>
      </c>
      <c r="AR2319" s="17">
        <v>10929</v>
      </c>
      <c r="AS2319" s="17">
        <v>8451</v>
      </c>
      <c r="AT2319" s="17">
        <v>147661</v>
      </c>
      <c r="AU2319" s="17">
        <v>28.4</v>
      </c>
      <c r="AV2319" s="17">
        <v>5.6</v>
      </c>
      <c r="AW2319" s="10" t="s">
        <v>105</v>
      </c>
      <c r="AX2319" s="17">
        <v>2392</v>
      </c>
      <c r="AY2319" s="18">
        <v>17.472606792095611</v>
      </c>
      <c r="AZ2319" s="10" t="s">
        <v>136</v>
      </c>
      <c r="BA2319" s="20" t="b">
        <v>0</v>
      </c>
      <c r="BB2319" s="10"/>
      <c r="BC2319" s="17">
        <v>10929</v>
      </c>
      <c r="BD2319" s="17">
        <v>8451</v>
      </c>
      <c r="BE2319" s="17">
        <v>147661</v>
      </c>
      <c r="BF2319" s="17">
        <v>5.6</v>
      </c>
      <c r="BG2319" s="11">
        <f ca="1">IFERROR(__xludf.DUMMYFUNCTION("""COMPUTED_VALUE"""),45984.8541666666)</f>
        <v>45984.854166666599</v>
      </c>
      <c r="BH2319" s="17" t="s">
        <v>105</v>
      </c>
      <c r="BI2319" s="17"/>
      <c r="BJ2319" s="15"/>
      <c r="BK2319" s="15"/>
      <c r="BL2319" s="13" t="b">
        <v>0</v>
      </c>
      <c r="BM2319" s="10"/>
      <c r="BN2319" s="10" t="s">
        <v>149</v>
      </c>
      <c r="BO2319" s="11">
        <v>45946.645138888889</v>
      </c>
      <c r="BP2319" s="11">
        <v>45976.685613425929</v>
      </c>
      <c r="BQ2319" s="15">
        <v>45981.530810185184</v>
      </c>
      <c r="BR2319" s="15">
        <v>45981.640752314815</v>
      </c>
      <c r="BS2319" s="10" t="s">
        <v>149</v>
      </c>
      <c r="BT2319" s="10" t="s">
        <v>99</v>
      </c>
      <c r="BU2319" s="10" t="s">
        <v>421</v>
      </c>
      <c r="BV2319" s="10"/>
      <c r="BW2319" s="10"/>
      <c r="BX2319" s="10"/>
      <c r="BY2319" s="23"/>
      <c r="BZ2319" s="23"/>
      <c r="CA2319" s="19" t="s">
        <v>17702</v>
      </c>
      <c r="CB2319" s="19" t="s">
        <v>17703</v>
      </c>
      <c r="CC2319" s="23"/>
      <c r="CD2319" s="19" t="s">
        <v>17704</v>
      </c>
      <c r="CE2319" s="23"/>
      <c r="CF2319" s="23"/>
      <c r="CG2319" s="23"/>
      <c r="CH2319" s="23"/>
      <c r="CI2319" s="23"/>
    </row>
    <row r="2320" spans="1:87" x14ac:dyDescent="0.3">
      <c r="A2320" s="9" t="s">
        <v>17705</v>
      </c>
      <c r="B2320" s="10" t="s">
        <v>17706</v>
      </c>
      <c r="C2320" s="11">
        <v>46012.854166666664</v>
      </c>
      <c r="D2320" s="12">
        <v>8.3333333333333329E-2</v>
      </c>
      <c r="E2320" s="11">
        <v>46012.9375</v>
      </c>
      <c r="F2320" s="10" t="s">
        <v>3687</v>
      </c>
      <c r="G2320" s="13" t="b">
        <v>0</v>
      </c>
      <c r="H2320" s="22" t="s">
        <v>88</v>
      </c>
      <c r="I2320" s="10" t="s">
        <v>89</v>
      </c>
      <c r="J2320" s="13" t="b">
        <v>0</v>
      </c>
      <c r="K2320" s="13" t="b">
        <v>1</v>
      </c>
      <c r="L2320" s="10" t="s">
        <v>124</v>
      </c>
      <c r="M2320" s="10" t="s">
        <v>91</v>
      </c>
      <c r="N2320" s="10" t="s">
        <v>92</v>
      </c>
      <c r="O2320" s="19" t="s">
        <v>17707</v>
      </c>
      <c r="P2320" s="10"/>
      <c r="Q2320" s="10" t="s">
        <v>126</v>
      </c>
      <c r="R2320" s="10"/>
      <c r="S2320" s="19" t="s">
        <v>17708</v>
      </c>
      <c r="T2320" s="10"/>
      <c r="U2320" s="10" t="s">
        <v>3690</v>
      </c>
      <c r="V2320" s="10" t="s">
        <v>7741</v>
      </c>
      <c r="W2320" s="10" t="s">
        <v>3692</v>
      </c>
      <c r="X2320" s="10" t="s">
        <v>130</v>
      </c>
      <c r="Y2320" s="10" t="s">
        <v>130</v>
      </c>
      <c r="Z2320" s="10" t="s">
        <v>99</v>
      </c>
      <c r="AA2320" s="10" t="s">
        <v>131</v>
      </c>
      <c r="AB2320" s="10" t="s">
        <v>3693</v>
      </c>
      <c r="AC2320" s="10" t="s">
        <v>3694</v>
      </c>
      <c r="AD2320" s="10" t="s">
        <v>17709</v>
      </c>
      <c r="AE2320" s="10" t="s">
        <v>17710</v>
      </c>
      <c r="AF2320" s="15"/>
      <c r="AG2320" s="10"/>
      <c r="AH2320" s="10"/>
      <c r="AI2320" s="10"/>
      <c r="AJ2320" s="10"/>
      <c r="AK2320" s="10" t="s">
        <v>102</v>
      </c>
      <c r="AL2320" s="10" t="s">
        <v>1988</v>
      </c>
      <c r="AM2320" s="10"/>
      <c r="AN2320" s="10"/>
      <c r="AO2320" s="13" t="b">
        <v>0</v>
      </c>
      <c r="AP2320" s="22" t="s">
        <v>104</v>
      </c>
      <c r="AQ2320" s="10">
        <f ca="1">IFERROR(__xludf.DUMMYFUNCTION("""COMPUTED_VALUE"""),4783765)</f>
        <v>4783765</v>
      </c>
      <c r="AR2320" s="17">
        <v>17761</v>
      </c>
      <c r="AS2320" s="17">
        <v>13115</v>
      </c>
      <c r="AT2320" s="17">
        <v>216073.75</v>
      </c>
      <c r="AU2320" s="17">
        <v>59.55</v>
      </c>
      <c r="AV2320" s="17">
        <v>11.8</v>
      </c>
      <c r="AW2320" s="10" t="s">
        <v>105</v>
      </c>
      <c r="AX2320" s="17">
        <v>4195</v>
      </c>
      <c r="AY2320" s="18">
        <v>16.475314525352651</v>
      </c>
      <c r="AZ2320" s="10" t="s">
        <v>3783</v>
      </c>
      <c r="BA2320" s="20" t="b">
        <v>0</v>
      </c>
      <c r="BB2320" s="10"/>
      <c r="BC2320" s="17">
        <v>17761</v>
      </c>
      <c r="BD2320" s="17">
        <v>13115</v>
      </c>
      <c r="BE2320" s="17">
        <v>216073.75</v>
      </c>
      <c r="BF2320" s="17">
        <v>11.8</v>
      </c>
      <c r="BG2320" s="11">
        <f ca="1">IFERROR(__xludf.DUMMYFUNCTION("""COMPUTED_VALUE"""),46012.8541666666)</f>
        <v>46012.854166666599</v>
      </c>
      <c r="BH2320" s="17" t="s">
        <v>105</v>
      </c>
      <c r="BI2320" s="17"/>
      <c r="BJ2320" s="15"/>
      <c r="BK2320" s="15"/>
      <c r="BL2320" s="13" t="b">
        <v>0</v>
      </c>
      <c r="BM2320" s="10"/>
      <c r="BN2320" s="10" t="s">
        <v>667</v>
      </c>
      <c r="BO2320" s="11">
        <v>45946.645833333336</v>
      </c>
      <c r="BP2320" s="11">
        <v>46005.560057870367</v>
      </c>
      <c r="BQ2320" s="15">
        <v>46006.683807870373</v>
      </c>
      <c r="BR2320" s="15">
        <v>46009.403020833335</v>
      </c>
      <c r="BS2320" s="10" t="s">
        <v>667</v>
      </c>
      <c r="BT2320" s="10" t="s">
        <v>99</v>
      </c>
      <c r="BU2320" s="10" t="s">
        <v>655</v>
      </c>
      <c r="BV2320" s="10"/>
      <c r="BW2320" s="10"/>
      <c r="BX2320" s="10"/>
      <c r="BY2320" s="23"/>
      <c r="BZ2320" s="23"/>
      <c r="CA2320" s="19" t="s">
        <v>17711</v>
      </c>
      <c r="CB2320" s="19" t="s">
        <v>17712</v>
      </c>
      <c r="CC2320" s="23"/>
      <c r="CD2320" s="19" t="s">
        <v>17713</v>
      </c>
      <c r="CE2320" s="23"/>
      <c r="CF2320" s="23"/>
      <c r="CG2320" s="23"/>
      <c r="CH2320" s="23"/>
      <c r="CI2320" s="23"/>
    </row>
    <row r="2321" spans="1:87" x14ac:dyDescent="0.3">
      <c r="A2321" s="9" t="s">
        <v>17714</v>
      </c>
      <c r="B2321" s="10" t="s">
        <v>17715</v>
      </c>
      <c r="C2321" s="11">
        <v>46012.947916666664</v>
      </c>
      <c r="D2321" s="12">
        <v>8.3333333333333329E-2</v>
      </c>
      <c r="E2321" s="11">
        <v>46013.03125</v>
      </c>
      <c r="F2321" s="10" t="s">
        <v>3687</v>
      </c>
      <c r="G2321" s="13" t="b">
        <v>0</v>
      </c>
      <c r="H2321" s="22" t="s">
        <v>88</v>
      </c>
      <c r="I2321" s="10" t="s">
        <v>89</v>
      </c>
      <c r="J2321" s="13" t="b">
        <v>0</v>
      </c>
      <c r="K2321" s="13" t="b">
        <v>1</v>
      </c>
      <c r="L2321" s="10" t="s">
        <v>124</v>
      </c>
      <c r="M2321" s="10" t="s">
        <v>91</v>
      </c>
      <c r="N2321" s="10" t="s">
        <v>92</v>
      </c>
      <c r="O2321" s="19" t="s">
        <v>17716</v>
      </c>
      <c r="P2321" s="10"/>
      <c r="Q2321" s="10" t="s">
        <v>126</v>
      </c>
      <c r="R2321" s="10"/>
      <c r="S2321" s="19" t="s">
        <v>17717</v>
      </c>
      <c r="T2321" s="10"/>
      <c r="U2321" s="10" t="s">
        <v>4992</v>
      </c>
      <c r="V2321" s="10" t="s">
        <v>3727</v>
      </c>
      <c r="W2321" s="10" t="s">
        <v>3692</v>
      </c>
      <c r="X2321" s="10" t="s">
        <v>130</v>
      </c>
      <c r="Y2321" s="10" t="s">
        <v>130</v>
      </c>
      <c r="Z2321" s="10" t="s">
        <v>99</v>
      </c>
      <c r="AA2321" s="10" t="s">
        <v>131</v>
      </c>
      <c r="AB2321" s="10" t="s">
        <v>3693</v>
      </c>
      <c r="AC2321" s="10" t="s">
        <v>3694</v>
      </c>
      <c r="AD2321" s="10" t="s">
        <v>17718</v>
      </c>
      <c r="AE2321" s="10" t="s">
        <v>17719</v>
      </c>
      <c r="AF2321" s="15"/>
      <c r="AG2321" s="10"/>
      <c r="AH2321" s="10"/>
      <c r="AI2321" s="10"/>
      <c r="AJ2321" s="10"/>
      <c r="AK2321" s="10" t="s">
        <v>102</v>
      </c>
      <c r="AL2321" s="10" t="s">
        <v>1988</v>
      </c>
      <c r="AM2321" s="10"/>
      <c r="AN2321" s="10"/>
      <c r="AO2321" s="13" t="b">
        <v>0</v>
      </c>
      <c r="AP2321" s="22" t="s">
        <v>104</v>
      </c>
      <c r="AQ2321" s="10">
        <f ca="1">IFERROR(__xludf.DUMMYFUNCTION("""COMPUTED_VALUE"""),4790623)</f>
        <v>4790623</v>
      </c>
      <c r="AR2321" s="17">
        <v>9337</v>
      </c>
      <c r="AS2321" s="17">
        <v>8082</v>
      </c>
      <c r="AT2321" s="17">
        <v>57063.25</v>
      </c>
      <c r="AU2321" s="17">
        <v>15.65</v>
      </c>
      <c r="AV2321" s="17">
        <v>1</v>
      </c>
      <c r="AW2321" s="10" t="s">
        <v>105</v>
      </c>
      <c r="AX2321" s="17">
        <v>2159</v>
      </c>
      <c r="AY2321" s="18">
        <v>7.0605357584756252</v>
      </c>
      <c r="AZ2321" s="10" t="s">
        <v>3783</v>
      </c>
      <c r="BA2321" s="20" t="b">
        <v>0</v>
      </c>
      <c r="BB2321" s="10"/>
      <c r="BC2321" s="17">
        <v>9337</v>
      </c>
      <c r="BD2321" s="17">
        <v>8082</v>
      </c>
      <c r="BE2321" s="17">
        <v>57063.25</v>
      </c>
      <c r="BF2321" s="17">
        <v>1</v>
      </c>
      <c r="BG2321" s="11">
        <f ca="1">IFERROR(__xludf.DUMMYFUNCTION("""COMPUTED_VALUE"""),46012.9479166666)</f>
        <v>46012.947916666599</v>
      </c>
      <c r="BH2321" s="17" t="s">
        <v>105</v>
      </c>
      <c r="BI2321" s="17"/>
      <c r="BJ2321" s="15"/>
      <c r="BK2321" s="15"/>
      <c r="BL2321" s="13" t="b">
        <v>0</v>
      </c>
      <c r="BM2321" s="10"/>
      <c r="BN2321" s="10" t="s">
        <v>667</v>
      </c>
      <c r="BO2321" s="11">
        <v>45946.645833333336</v>
      </c>
      <c r="BP2321" s="11">
        <v>46005.560127314813</v>
      </c>
      <c r="BQ2321" s="15">
        <v>46006.683900462966</v>
      </c>
      <c r="BR2321" s="15">
        <v>46012.845092592594</v>
      </c>
      <c r="BS2321" s="10" t="s">
        <v>667</v>
      </c>
      <c r="BT2321" s="10" t="s">
        <v>99</v>
      </c>
      <c r="BU2321" s="10" t="s">
        <v>816</v>
      </c>
      <c r="BV2321" s="10"/>
      <c r="BW2321" s="10"/>
      <c r="BX2321" s="10"/>
      <c r="BY2321" s="23"/>
      <c r="BZ2321" s="23"/>
      <c r="CA2321" s="19" t="s">
        <v>17720</v>
      </c>
      <c r="CB2321" s="19" t="s">
        <v>17721</v>
      </c>
      <c r="CC2321" s="23"/>
      <c r="CD2321" s="19" t="s">
        <v>17722</v>
      </c>
      <c r="CE2321" s="23"/>
      <c r="CF2321" s="23"/>
      <c r="CG2321" s="23"/>
      <c r="CH2321" s="23"/>
      <c r="CI2321" s="23"/>
    </row>
    <row r="2322" spans="1:87" x14ac:dyDescent="0.3">
      <c r="A2322" s="9" t="s">
        <v>17723</v>
      </c>
      <c r="B2322" s="10" t="s">
        <v>17724</v>
      </c>
      <c r="C2322" s="11">
        <v>45997.9375</v>
      </c>
      <c r="D2322" s="12">
        <v>8.3333333333333329E-2</v>
      </c>
      <c r="E2322" s="11">
        <v>45998.020833333336</v>
      </c>
      <c r="F2322" s="10" t="s">
        <v>3687</v>
      </c>
      <c r="G2322" s="13" t="b">
        <v>0</v>
      </c>
      <c r="H2322" s="22" t="s">
        <v>88</v>
      </c>
      <c r="I2322" s="10" t="s">
        <v>89</v>
      </c>
      <c r="J2322" s="13" t="b">
        <v>0</v>
      </c>
      <c r="K2322" s="13" t="b">
        <v>1</v>
      </c>
      <c r="L2322" s="10" t="s">
        <v>124</v>
      </c>
      <c r="M2322" s="10" t="s">
        <v>91</v>
      </c>
      <c r="N2322" s="10" t="s">
        <v>92</v>
      </c>
      <c r="O2322" s="19" t="s">
        <v>17725</v>
      </c>
      <c r="P2322" s="10"/>
      <c r="Q2322" s="10" t="s">
        <v>126</v>
      </c>
      <c r="R2322" s="10"/>
      <c r="S2322" s="19" t="s">
        <v>17726</v>
      </c>
      <c r="T2322" s="19" t="s">
        <v>17727</v>
      </c>
      <c r="U2322" s="10" t="s">
        <v>8689</v>
      </c>
      <c r="V2322" s="10" t="s">
        <v>3704</v>
      </c>
      <c r="W2322" s="10" t="s">
        <v>3692</v>
      </c>
      <c r="X2322" s="10" t="s">
        <v>130</v>
      </c>
      <c r="Y2322" s="10" t="s">
        <v>130</v>
      </c>
      <c r="Z2322" s="10" t="s">
        <v>99</v>
      </c>
      <c r="AA2322" s="10" t="s">
        <v>131</v>
      </c>
      <c r="AB2322" s="10" t="s">
        <v>3693</v>
      </c>
      <c r="AC2322" s="10" t="s">
        <v>3694</v>
      </c>
      <c r="AD2322" s="10" t="s">
        <v>17728</v>
      </c>
      <c r="AE2322" s="10" t="s">
        <v>17729</v>
      </c>
      <c r="AF2322" s="15"/>
      <c r="AG2322" s="10"/>
      <c r="AH2322" s="10"/>
      <c r="AI2322" s="10"/>
      <c r="AJ2322" s="10"/>
      <c r="AK2322" s="10" t="s">
        <v>102</v>
      </c>
      <c r="AL2322" s="10" t="s">
        <v>1773</v>
      </c>
      <c r="AM2322" s="10"/>
      <c r="AN2322" s="10"/>
      <c r="AO2322" s="13" t="b">
        <v>0</v>
      </c>
      <c r="AP2322" s="22" t="s">
        <v>104</v>
      </c>
      <c r="AQ2322" s="10">
        <f ca="1">IFERROR(__xludf.DUMMYFUNCTION("""COMPUTED_VALUE"""),4760843)</f>
        <v>4760843</v>
      </c>
      <c r="AR2322" s="17">
        <v>5957</v>
      </c>
      <c r="AS2322" s="17">
        <v>5127</v>
      </c>
      <c r="AT2322" s="17">
        <v>42967.5</v>
      </c>
      <c r="AU2322" s="17">
        <v>4.3</v>
      </c>
      <c r="AV2322" s="17">
        <v>1.8</v>
      </c>
      <c r="AW2322" s="10" t="s">
        <v>105</v>
      </c>
      <c r="AX2322" s="17">
        <v>921</v>
      </c>
      <c r="AY2322" s="18">
        <v>8.3806319485078991</v>
      </c>
      <c r="AZ2322" s="10" t="s">
        <v>3783</v>
      </c>
      <c r="BA2322" s="20" t="b">
        <v>0</v>
      </c>
      <c r="BB2322" s="10"/>
      <c r="BC2322" s="17">
        <v>5957</v>
      </c>
      <c r="BD2322" s="17">
        <v>5127</v>
      </c>
      <c r="BE2322" s="17">
        <v>42967.5</v>
      </c>
      <c r="BF2322" s="17">
        <v>1.8</v>
      </c>
      <c r="BG2322" s="11">
        <f ca="1">IFERROR(__xludf.DUMMYFUNCTION("""COMPUTED_VALUE"""),45997.9375)</f>
        <v>45997.9375</v>
      </c>
      <c r="BH2322" s="17" t="s">
        <v>105</v>
      </c>
      <c r="BI2322" s="17"/>
      <c r="BJ2322" s="15"/>
      <c r="BK2322" s="15"/>
      <c r="BL2322" s="13" t="b">
        <v>0</v>
      </c>
      <c r="BM2322" s="10"/>
      <c r="BN2322" s="10" t="s">
        <v>634</v>
      </c>
      <c r="BO2322" s="11">
        <v>45946.647222222222</v>
      </c>
      <c r="BP2322" s="11">
        <v>45994.584803240738</v>
      </c>
      <c r="BQ2322" s="15">
        <v>45993.712094907409</v>
      </c>
      <c r="BR2322" s="15">
        <v>45994.601284722223</v>
      </c>
      <c r="BS2322" s="10" t="s">
        <v>634</v>
      </c>
      <c r="BT2322" s="10" t="s">
        <v>99</v>
      </c>
      <c r="BU2322" s="10" t="s">
        <v>8057</v>
      </c>
      <c r="BV2322" s="10"/>
      <c r="BW2322" s="10"/>
      <c r="BX2322" s="10"/>
      <c r="BY2322" s="23"/>
      <c r="BZ2322" s="23"/>
      <c r="CA2322" s="19" t="s">
        <v>17730</v>
      </c>
      <c r="CB2322" s="19" t="s">
        <v>17731</v>
      </c>
      <c r="CC2322" s="23"/>
      <c r="CD2322" s="19" t="s">
        <v>17732</v>
      </c>
      <c r="CE2322" s="23"/>
      <c r="CF2322" s="23"/>
      <c r="CG2322" s="23"/>
      <c r="CH2322" s="23"/>
      <c r="CI2322" s="23"/>
    </row>
    <row r="2323" spans="1:87" x14ac:dyDescent="0.3">
      <c r="A2323" s="9" t="s">
        <v>17733</v>
      </c>
      <c r="B2323" s="10" t="s">
        <v>17734</v>
      </c>
      <c r="C2323" s="11">
        <v>45991.760416666664</v>
      </c>
      <c r="D2323" s="12">
        <v>8.3333333333333329E-2</v>
      </c>
      <c r="E2323" s="11">
        <v>45991.84375</v>
      </c>
      <c r="F2323" s="10" t="s">
        <v>3687</v>
      </c>
      <c r="G2323" s="13" t="b">
        <v>0</v>
      </c>
      <c r="H2323" s="22" t="s">
        <v>88</v>
      </c>
      <c r="I2323" s="10" t="s">
        <v>89</v>
      </c>
      <c r="J2323" s="13" t="b">
        <v>0</v>
      </c>
      <c r="K2323" s="13" t="b">
        <v>1</v>
      </c>
      <c r="L2323" s="10" t="s">
        <v>124</v>
      </c>
      <c r="M2323" s="10" t="s">
        <v>91</v>
      </c>
      <c r="N2323" s="10" t="s">
        <v>92</v>
      </c>
      <c r="O2323" s="19" t="s">
        <v>17735</v>
      </c>
      <c r="P2323" s="10"/>
      <c r="Q2323" s="10" t="s">
        <v>126</v>
      </c>
      <c r="R2323" s="10"/>
      <c r="S2323" s="19" t="s">
        <v>17736</v>
      </c>
      <c r="T2323" s="19" t="s">
        <v>17737</v>
      </c>
      <c r="U2323" s="10" t="s">
        <v>3704</v>
      </c>
      <c r="V2323" s="10" t="s">
        <v>7752</v>
      </c>
      <c r="W2323" s="10" t="s">
        <v>3692</v>
      </c>
      <c r="X2323" s="10" t="s">
        <v>130</v>
      </c>
      <c r="Y2323" s="10" t="s">
        <v>130</v>
      </c>
      <c r="Z2323" s="10" t="s">
        <v>99</v>
      </c>
      <c r="AA2323" s="10" t="s">
        <v>131</v>
      </c>
      <c r="AB2323" s="10" t="s">
        <v>3693</v>
      </c>
      <c r="AC2323" s="10" t="s">
        <v>3694</v>
      </c>
      <c r="AD2323" s="10" t="s">
        <v>17738</v>
      </c>
      <c r="AE2323" s="10" t="s">
        <v>17739</v>
      </c>
      <c r="AF2323" s="15"/>
      <c r="AG2323" s="10"/>
      <c r="AH2323" s="10"/>
      <c r="AI2323" s="10"/>
      <c r="AJ2323" s="10"/>
      <c r="AK2323" s="10" t="s">
        <v>102</v>
      </c>
      <c r="AL2323" s="10" t="s">
        <v>1671</v>
      </c>
      <c r="AM2323" s="10"/>
      <c r="AN2323" s="10"/>
      <c r="AO2323" s="13" t="b">
        <v>0</v>
      </c>
      <c r="AP2323" s="22" t="s">
        <v>104</v>
      </c>
      <c r="AQ2323" s="10">
        <f ca="1">IFERROR(__xludf.DUMMYFUNCTION("""COMPUTED_VALUE"""),4734872)</f>
        <v>4734872</v>
      </c>
      <c r="AR2323" s="17">
        <v>15659</v>
      </c>
      <c r="AS2323" s="17">
        <v>12655</v>
      </c>
      <c r="AT2323" s="17">
        <v>121182.5</v>
      </c>
      <c r="AU2323" s="17">
        <v>56.55</v>
      </c>
      <c r="AV2323" s="17">
        <v>18.8</v>
      </c>
      <c r="AW2323" s="10" t="s">
        <v>105</v>
      </c>
      <c r="AX2323" s="17">
        <v>3504</v>
      </c>
      <c r="AY2323" s="18">
        <v>9.5758593441327537</v>
      </c>
      <c r="AZ2323" s="10" t="s">
        <v>136</v>
      </c>
      <c r="BA2323" s="20" t="b">
        <v>0</v>
      </c>
      <c r="BB2323" s="10"/>
      <c r="BC2323" s="17">
        <v>15659</v>
      </c>
      <c r="BD2323" s="17">
        <v>12655</v>
      </c>
      <c r="BE2323" s="17">
        <v>121182.5</v>
      </c>
      <c r="BF2323" s="17">
        <v>18.8</v>
      </c>
      <c r="BG2323" s="11">
        <f ca="1">IFERROR(__xludf.DUMMYFUNCTION("""COMPUTED_VALUE"""),45991.7604166666)</f>
        <v>45991.760416666599</v>
      </c>
      <c r="BH2323" s="17" t="s">
        <v>105</v>
      </c>
      <c r="BI2323" s="17"/>
      <c r="BJ2323" s="15"/>
      <c r="BK2323" s="15"/>
      <c r="BL2323" s="13" t="b">
        <v>0</v>
      </c>
      <c r="BM2323" s="10"/>
      <c r="BN2323" s="10" t="s">
        <v>197</v>
      </c>
      <c r="BO2323" s="11">
        <v>45946.647222222222</v>
      </c>
      <c r="BP2323" s="11">
        <v>45984.370682870373</v>
      </c>
      <c r="BQ2323" s="15">
        <v>45985.954629629632</v>
      </c>
      <c r="BR2323" s="15">
        <v>45986.397523148145</v>
      </c>
      <c r="BS2323" s="10" t="s">
        <v>197</v>
      </c>
      <c r="BT2323" s="10" t="s">
        <v>99</v>
      </c>
      <c r="BU2323" s="10" t="s">
        <v>3394</v>
      </c>
      <c r="BV2323" s="10"/>
      <c r="BW2323" s="10"/>
      <c r="BX2323" s="10"/>
      <c r="BY2323" s="23"/>
      <c r="BZ2323" s="23"/>
      <c r="CA2323" s="19" t="s">
        <v>17740</v>
      </c>
      <c r="CB2323" s="19" t="s">
        <v>17737</v>
      </c>
      <c r="CC2323" s="23"/>
      <c r="CD2323" s="19" t="s">
        <v>17741</v>
      </c>
      <c r="CE2323" s="23"/>
      <c r="CF2323" s="23"/>
      <c r="CG2323" s="23"/>
      <c r="CH2323" s="23"/>
      <c r="CI2323" s="23"/>
    </row>
    <row r="2324" spans="1:87" x14ac:dyDescent="0.3">
      <c r="A2324" s="9" t="s">
        <v>17742</v>
      </c>
      <c r="B2324" s="10" t="s">
        <v>17743</v>
      </c>
      <c r="C2324" s="11">
        <v>45998.03125</v>
      </c>
      <c r="D2324" s="12">
        <v>8.3333333333333329E-2</v>
      </c>
      <c r="E2324" s="11">
        <v>45998.114583333336</v>
      </c>
      <c r="F2324" s="10" t="s">
        <v>3687</v>
      </c>
      <c r="G2324" s="13" t="b">
        <v>0</v>
      </c>
      <c r="H2324" s="22" t="s">
        <v>88</v>
      </c>
      <c r="I2324" s="10" t="s">
        <v>89</v>
      </c>
      <c r="J2324" s="13" t="b">
        <v>0</v>
      </c>
      <c r="K2324" s="13" t="b">
        <v>1</v>
      </c>
      <c r="L2324" s="10" t="s">
        <v>124</v>
      </c>
      <c r="M2324" s="10" t="s">
        <v>91</v>
      </c>
      <c r="N2324" s="10" t="s">
        <v>92</v>
      </c>
      <c r="O2324" s="19" t="s">
        <v>17744</v>
      </c>
      <c r="P2324" s="10"/>
      <c r="Q2324" s="10" t="s">
        <v>126</v>
      </c>
      <c r="R2324" s="10"/>
      <c r="S2324" s="19" t="s">
        <v>17745</v>
      </c>
      <c r="T2324" s="19" t="s">
        <v>17746</v>
      </c>
      <c r="U2324" s="10" t="s">
        <v>4992</v>
      </c>
      <c r="V2324" s="10" t="s">
        <v>3715</v>
      </c>
      <c r="W2324" s="10" t="s">
        <v>3692</v>
      </c>
      <c r="X2324" s="10" t="s">
        <v>130</v>
      </c>
      <c r="Y2324" s="10" t="s">
        <v>130</v>
      </c>
      <c r="Z2324" s="10" t="s">
        <v>99</v>
      </c>
      <c r="AA2324" s="10" t="s">
        <v>131</v>
      </c>
      <c r="AB2324" s="10" t="s">
        <v>3693</v>
      </c>
      <c r="AC2324" s="10" t="s">
        <v>3694</v>
      </c>
      <c r="AD2324" s="10" t="s">
        <v>17747</v>
      </c>
      <c r="AE2324" s="10" t="s">
        <v>17748</v>
      </c>
      <c r="AF2324" s="15"/>
      <c r="AG2324" s="10"/>
      <c r="AH2324" s="10"/>
      <c r="AI2324" s="10"/>
      <c r="AJ2324" s="10"/>
      <c r="AK2324" s="10" t="s">
        <v>102</v>
      </c>
      <c r="AL2324" s="10" t="s">
        <v>1773</v>
      </c>
      <c r="AM2324" s="10"/>
      <c r="AN2324" s="10"/>
      <c r="AO2324" s="13" t="b">
        <v>0</v>
      </c>
      <c r="AP2324" s="22" t="s">
        <v>104</v>
      </c>
      <c r="AQ2324" s="10">
        <f ca="1">IFERROR(__xludf.DUMMYFUNCTION("""COMPUTED_VALUE"""),4760844)</f>
        <v>4760844</v>
      </c>
      <c r="AR2324" s="17">
        <v>5326</v>
      </c>
      <c r="AS2324" s="17">
        <v>4367</v>
      </c>
      <c r="AT2324" s="17">
        <v>56542</v>
      </c>
      <c r="AU2324" s="17">
        <v>2.8</v>
      </c>
      <c r="AV2324" s="17">
        <v>0.7</v>
      </c>
      <c r="AW2324" s="10" t="s">
        <v>105</v>
      </c>
      <c r="AX2324" s="17">
        <v>1109</v>
      </c>
      <c r="AY2324" s="18">
        <v>12.947561254866041</v>
      </c>
      <c r="AZ2324" s="10" t="s">
        <v>3783</v>
      </c>
      <c r="BA2324" s="20" t="b">
        <v>0</v>
      </c>
      <c r="BB2324" s="10"/>
      <c r="BC2324" s="17">
        <v>5326</v>
      </c>
      <c r="BD2324" s="17">
        <v>4367</v>
      </c>
      <c r="BE2324" s="17">
        <v>56542</v>
      </c>
      <c r="BF2324" s="17">
        <v>0.7</v>
      </c>
      <c r="BG2324" s="11">
        <f ca="1">IFERROR(__xludf.DUMMYFUNCTION("""COMPUTED_VALUE"""),45998.03125)</f>
        <v>45998.03125</v>
      </c>
      <c r="BH2324" s="17" t="s">
        <v>105</v>
      </c>
      <c r="BI2324" s="17"/>
      <c r="BJ2324" s="15"/>
      <c r="BK2324" s="15"/>
      <c r="BL2324" s="13" t="b">
        <v>0</v>
      </c>
      <c r="BM2324" s="10"/>
      <c r="BN2324" s="10" t="s">
        <v>1149</v>
      </c>
      <c r="BO2324" s="11">
        <v>45946.647916666669</v>
      </c>
      <c r="BP2324" s="11">
        <v>45994.584861111114</v>
      </c>
      <c r="BQ2324" s="15">
        <v>45993.712210648147</v>
      </c>
      <c r="BR2324" s="15">
        <v>45994.601631944446</v>
      </c>
      <c r="BS2324" s="10" t="s">
        <v>1149</v>
      </c>
      <c r="BT2324" s="10" t="s">
        <v>99</v>
      </c>
      <c r="BU2324" s="10" t="s">
        <v>6518</v>
      </c>
      <c r="BV2324" s="10"/>
      <c r="BW2324" s="10"/>
      <c r="BX2324" s="10"/>
      <c r="BY2324" s="23"/>
      <c r="BZ2324" s="23"/>
      <c r="CA2324" s="19" t="s">
        <v>17749</v>
      </c>
      <c r="CB2324" s="19" t="s">
        <v>17750</v>
      </c>
      <c r="CC2324" s="23"/>
      <c r="CD2324" s="19" t="s">
        <v>17751</v>
      </c>
      <c r="CE2324" s="23"/>
      <c r="CF2324" s="23"/>
      <c r="CG2324" s="23"/>
      <c r="CH2324" s="23"/>
      <c r="CI2324" s="23"/>
    </row>
    <row r="2325" spans="1:87" x14ac:dyDescent="0.3">
      <c r="A2325" s="9" t="s">
        <v>17752</v>
      </c>
      <c r="B2325" s="10" t="s">
        <v>17753</v>
      </c>
      <c r="C2325" s="11">
        <v>45991.854166666664</v>
      </c>
      <c r="D2325" s="12">
        <v>8.3333333333333329E-2</v>
      </c>
      <c r="E2325" s="11">
        <v>45991.9375</v>
      </c>
      <c r="F2325" s="10" t="s">
        <v>3687</v>
      </c>
      <c r="G2325" s="13" t="b">
        <v>0</v>
      </c>
      <c r="H2325" s="22" t="s">
        <v>88</v>
      </c>
      <c r="I2325" s="10" t="s">
        <v>89</v>
      </c>
      <c r="J2325" s="13" t="b">
        <v>0</v>
      </c>
      <c r="K2325" s="13" t="b">
        <v>1</v>
      </c>
      <c r="L2325" s="10" t="s">
        <v>124</v>
      </c>
      <c r="M2325" s="10" t="s">
        <v>91</v>
      </c>
      <c r="N2325" s="10" t="s">
        <v>92</v>
      </c>
      <c r="O2325" s="19" t="s">
        <v>17754</v>
      </c>
      <c r="P2325" s="10"/>
      <c r="Q2325" s="10" t="s">
        <v>126</v>
      </c>
      <c r="R2325" s="10"/>
      <c r="S2325" s="19" t="s">
        <v>17755</v>
      </c>
      <c r="T2325" s="19" t="s">
        <v>17756</v>
      </c>
      <c r="U2325" s="10" t="s">
        <v>3716</v>
      </c>
      <c r="V2325" s="10" t="s">
        <v>3690</v>
      </c>
      <c r="W2325" s="10" t="s">
        <v>3692</v>
      </c>
      <c r="X2325" s="10" t="s">
        <v>130</v>
      </c>
      <c r="Y2325" s="10" t="s">
        <v>130</v>
      </c>
      <c r="Z2325" s="10" t="s">
        <v>99</v>
      </c>
      <c r="AA2325" s="10" t="s">
        <v>131</v>
      </c>
      <c r="AB2325" s="10" t="s">
        <v>3693</v>
      </c>
      <c r="AC2325" s="10" t="s">
        <v>3694</v>
      </c>
      <c r="AD2325" s="10" t="s">
        <v>17757</v>
      </c>
      <c r="AE2325" s="10" t="s">
        <v>17758</v>
      </c>
      <c r="AF2325" s="15"/>
      <c r="AG2325" s="10"/>
      <c r="AH2325" s="10"/>
      <c r="AI2325" s="10"/>
      <c r="AJ2325" s="10"/>
      <c r="AK2325" s="10" t="s">
        <v>102</v>
      </c>
      <c r="AL2325" s="10" t="s">
        <v>1671</v>
      </c>
      <c r="AM2325" s="10"/>
      <c r="AN2325" s="10"/>
      <c r="AO2325" s="13" t="b">
        <v>0</v>
      </c>
      <c r="AP2325" s="22" t="s">
        <v>104</v>
      </c>
      <c r="AQ2325" s="10">
        <f ca="1">IFERROR(__xludf.DUMMYFUNCTION("""COMPUTED_VALUE"""),4734873)</f>
        <v>4734873</v>
      </c>
      <c r="AR2325" s="17">
        <v>6641</v>
      </c>
      <c r="AS2325" s="17">
        <v>5387</v>
      </c>
      <c r="AT2325" s="17">
        <v>54007.5</v>
      </c>
      <c r="AU2325" s="17">
        <v>13.1</v>
      </c>
      <c r="AV2325" s="17">
        <v>3.75</v>
      </c>
      <c r="AW2325" s="10" t="s">
        <v>105</v>
      </c>
      <c r="AX2325" s="17">
        <v>1368</v>
      </c>
      <c r="AY2325" s="18">
        <v>10.025524410618155</v>
      </c>
      <c r="AZ2325" s="10" t="s">
        <v>136</v>
      </c>
      <c r="BA2325" s="20" t="b">
        <v>0</v>
      </c>
      <c r="BB2325" s="10"/>
      <c r="BC2325" s="17">
        <v>6641</v>
      </c>
      <c r="BD2325" s="17">
        <v>5387</v>
      </c>
      <c r="BE2325" s="17">
        <v>54007.5</v>
      </c>
      <c r="BF2325" s="17">
        <v>3.75</v>
      </c>
      <c r="BG2325" s="11">
        <f ca="1">IFERROR(__xludf.DUMMYFUNCTION("""COMPUTED_VALUE"""),45991.8541666666)</f>
        <v>45991.854166666599</v>
      </c>
      <c r="BH2325" s="17" t="s">
        <v>105</v>
      </c>
      <c r="BI2325" s="17"/>
      <c r="BJ2325" s="15"/>
      <c r="BK2325" s="15"/>
      <c r="BL2325" s="13" t="b">
        <v>0</v>
      </c>
      <c r="BM2325" s="10"/>
      <c r="BN2325" s="10" t="s">
        <v>197</v>
      </c>
      <c r="BO2325" s="11">
        <v>45946.647916666669</v>
      </c>
      <c r="BP2325" s="11">
        <v>45984.370787037034</v>
      </c>
      <c r="BQ2325" s="15">
        <v>45985.955092592594</v>
      </c>
      <c r="BR2325" s="15">
        <v>45986.397627314815</v>
      </c>
      <c r="BS2325" s="10" t="s">
        <v>197</v>
      </c>
      <c r="BT2325" s="10" t="s">
        <v>99</v>
      </c>
      <c r="BU2325" s="10" t="s">
        <v>3394</v>
      </c>
      <c r="BV2325" s="10"/>
      <c r="BW2325" s="10"/>
      <c r="BX2325" s="10"/>
      <c r="BY2325" s="23"/>
      <c r="BZ2325" s="23"/>
      <c r="CA2325" s="19" t="s">
        <v>17759</v>
      </c>
      <c r="CB2325" s="19" t="s">
        <v>17756</v>
      </c>
      <c r="CC2325" s="23"/>
      <c r="CD2325" s="19" t="s">
        <v>17760</v>
      </c>
      <c r="CE2325" s="23"/>
      <c r="CF2325" s="23"/>
      <c r="CG2325" s="23"/>
      <c r="CH2325" s="23"/>
      <c r="CI2325" s="23"/>
    </row>
    <row r="2326" spans="1:87" x14ac:dyDescent="0.3">
      <c r="A2326" s="9" t="s">
        <v>17761</v>
      </c>
      <c r="B2326" s="10" t="s">
        <v>17762</v>
      </c>
      <c r="C2326" s="11">
        <v>45998.125</v>
      </c>
      <c r="D2326" s="12">
        <v>8.3333333333333329E-2</v>
      </c>
      <c r="E2326" s="11">
        <v>45998.208333333336</v>
      </c>
      <c r="F2326" s="10" t="s">
        <v>3687</v>
      </c>
      <c r="G2326" s="13" t="b">
        <v>0</v>
      </c>
      <c r="H2326" s="22" t="s">
        <v>88</v>
      </c>
      <c r="I2326" s="10" t="s">
        <v>89</v>
      </c>
      <c r="J2326" s="13" t="b">
        <v>0</v>
      </c>
      <c r="K2326" s="13" t="b">
        <v>1</v>
      </c>
      <c r="L2326" s="10" t="s">
        <v>124</v>
      </c>
      <c r="M2326" s="10" t="s">
        <v>91</v>
      </c>
      <c r="N2326" s="10" t="s">
        <v>92</v>
      </c>
      <c r="O2326" s="19" t="s">
        <v>17763</v>
      </c>
      <c r="P2326" s="10"/>
      <c r="Q2326" s="10" t="s">
        <v>126</v>
      </c>
      <c r="R2326" s="10"/>
      <c r="S2326" s="19" t="s">
        <v>17764</v>
      </c>
      <c r="T2326" s="19" t="s">
        <v>17765</v>
      </c>
      <c r="U2326" s="10" t="s">
        <v>3690</v>
      </c>
      <c r="V2326" s="10" t="s">
        <v>8468</v>
      </c>
      <c r="W2326" s="10" t="s">
        <v>3692</v>
      </c>
      <c r="X2326" s="10" t="s">
        <v>130</v>
      </c>
      <c r="Y2326" s="10" t="s">
        <v>130</v>
      </c>
      <c r="Z2326" s="10" t="s">
        <v>99</v>
      </c>
      <c r="AA2326" s="10" t="s">
        <v>131</v>
      </c>
      <c r="AB2326" s="10" t="s">
        <v>3693</v>
      </c>
      <c r="AC2326" s="10" t="s">
        <v>3694</v>
      </c>
      <c r="AD2326" s="10" t="s">
        <v>17766</v>
      </c>
      <c r="AE2326" s="10" t="s">
        <v>17767</v>
      </c>
      <c r="AF2326" s="15"/>
      <c r="AG2326" s="10"/>
      <c r="AH2326" s="10"/>
      <c r="AI2326" s="10"/>
      <c r="AJ2326" s="10"/>
      <c r="AK2326" s="10" t="s">
        <v>102</v>
      </c>
      <c r="AL2326" s="10" t="s">
        <v>1773</v>
      </c>
      <c r="AM2326" s="10"/>
      <c r="AN2326" s="10"/>
      <c r="AO2326" s="13" t="b">
        <v>0</v>
      </c>
      <c r="AP2326" s="22" t="s">
        <v>104</v>
      </c>
      <c r="AQ2326" s="10">
        <f ca="1">IFERROR(__xludf.DUMMYFUNCTION("""COMPUTED_VALUE"""),4760845)</f>
        <v>4760845</v>
      </c>
      <c r="AR2326" s="17">
        <v>1886</v>
      </c>
      <c r="AS2326" s="17">
        <v>1532</v>
      </c>
      <c r="AT2326" s="17">
        <v>18652</v>
      </c>
      <c r="AU2326" s="17">
        <v>1</v>
      </c>
      <c r="AV2326" s="17">
        <v>0.25</v>
      </c>
      <c r="AW2326" s="10" t="s">
        <v>105</v>
      </c>
      <c r="AX2326" s="17">
        <v>940</v>
      </c>
      <c r="AY2326" s="18">
        <v>12.174934725848564</v>
      </c>
      <c r="AZ2326" s="10" t="s">
        <v>3783</v>
      </c>
      <c r="BA2326" s="20" t="b">
        <v>0</v>
      </c>
      <c r="BB2326" s="10"/>
      <c r="BC2326" s="17">
        <v>1886</v>
      </c>
      <c r="BD2326" s="17">
        <v>1532</v>
      </c>
      <c r="BE2326" s="17">
        <v>18652</v>
      </c>
      <c r="BF2326" s="17">
        <v>0.25</v>
      </c>
      <c r="BG2326" s="11">
        <f ca="1">IFERROR(__xludf.DUMMYFUNCTION("""COMPUTED_VALUE"""),45998.125)</f>
        <v>45998.125</v>
      </c>
      <c r="BH2326" s="17" t="s">
        <v>105</v>
      </c>
      <c r="BI2326" s="17"/>
      <c r="BJ2326" s="15"/>
      <c r="BK2326" s="15"/>
      <c r="BL2326" s="13" t="b">
        <v>0</v>
      </c>
      <c r="BM2326" s="10"/>
      <c r="BN2326" s="10" t="s">
        <v>197</v>
      </c>
      <c r="BO2326" s="11">
        <v>45946.648611111108</v>
      </c>
      <c r="BP2326" s="11">
        <v>45994.58494212963</v>
      </c>
      <c r="BQ2326" s="15">
        <v>45993.712280092594</v>
      </c>
      <c r="BR2326" s="15">
        <v>45994.601782407408</v>
      </c>
      <c r="BS2326" s="10" t="s">
        <v>197</v>
      </c>
      <c r="BT2326" s="10" t="s">
        <v>99</v>
      </c>
      <c r="BU2326" s="10" t="s">
        <v>8057</v>
      </c>
      <c r="BV2326" s="10"/>
      <c r="BW2326" s="10"/>
      <c r="BX2326" s="10"/>
      <c r="BY2326" s="23"/>
      <c r="BZ2326" s="23"/>
      <c r="CA2326" s="19" t="s">
        <v>17768</v>
      </c>
      <c r="CB2326" s="19" t="s">
        <v>17769</v>
      </c>
      <c r="CC2326" s="23"/>
      <c r="CD2326" s="19" t="s">
        <v>17770</v>
      </c>
      <c r="CE2326" s="23"/>
      <c r="CF2326" s="23"/>
      <c r="CG2326" s="23"/>
      <c r="CH2326" s="23"/>
      <c r="CI2326" s="23"/>
    </row>
    <row r="2327" spans="1:87" x14ac:dyDescent="0.3">
      <c r="A2327" s="9" t="s">
        <v>17771</v>
      </c>
      <c r="B2327" s="10" t="s">
        <v>17772</v>
      </c>
      <c r="C2327" s="11">
        <v>45991.947916666664</v>
      </c>
      <c r="D2327" s="12">
        <v>8.3333333333333329E-2</v>
      </c>
      <c r="E2327" s="11">
        <v>45992.03125</v>
      </c>
      <c r="F2327" s="10" t="s">
        <v>3687</v>
      </c>
      <c r="G2327" s="13" t="b">
        <v>0</v>
      </c>
      <c r="H2327" s="22" t="s">
        <v>88</v>
      </c>
      <c r="I2327" s="10" t="s">
        <v>89</v>
      </c>
      <c r="J2327" s="13" t="b">
        <v>0</v>
      </c>
      <c r="K2327" s="13" t="b">
        <v>1</v>
      </c>
      <c r="L2327" s="10" t="s">
        <v>124</v>
      </c>
      <c r="M2327" s="10" t="s">
        <v>91</v>
      </c>
      <c r="N2327" s="10" t="s">
        <v>92</v>
      </c>
      <c r="O2327" s="19" t="s">
        <v>17773</v>
      </c>
      <c r="P2327" s="10"/>
      <c r="Q2327" s="10" t="s">
        <v>126</v>
      </c>
      <c r="R2327" s="10"/>
      <c r="S2327" s="19" t="s">
        <v>17774</v>
      </c>
      <c r="T2327" s="19" t="s">
        <v>17775</v>
      </c>
      <c r="U2327" s="10" t="s">
        <v>7741</v>
      </c>
      <c r="V2327" s="10" t="s">
        <v>3727</v>
      </c>
      <c r="W2327" s="10" t="s">
        <v>3692</v>
      </c>
      <c r="X2327" s="10" t="s">
        <v>130</v>
      </c>
      <c r="Y2327" s="10" t="s">
        <v>130</v>
      </c>
      <c r="Z2327" s="10" t="s">
        <v>99</v>
      </c>
      <c r="AA2327" s="10" t="s">
        <v>131</v>
      </c>
      <c r="AB2327" s="10" t="s">
        <v>3693</v>
      </c>
      <c r="AC2327" s="10" t="s">
        <v>3694</v>
      </c>
      <c r="AD2327" s="10" t="s">
        <v>17776</v>
      </c>
      <c r="AE2327" s="10" t="s">
        <v>17777</v>
      </c>
      <c r="AF2327" s="15"/>
      <c r="AG2327" s="10"/>
      <c r="AH2327" s="10"/>
      <c r="AI2327" s="10"/>
      <c r="AJ2327" s="10"/>
      <c r="AK2327" s="10" t="s">
        <v>102</v>
      </c>
      <c r="AL2327" s="10" t="s">
        <v>1671</v>
      </c>
      <c r="AM2327" s="10"/>
      <c r="AN2327" s="10"/>
      <c r="AO2327" s="13" t="b">
        <v>0</v>
      </c>
      <c r="AP2327" s="22" t="s">
        <v>104</v>
      </c>
      <c r="AQ2327" s="10">
        <f ca="1">IFERROR(__xludf.DUMMYFUNCTION("""COMPUTED_VALUE"""),4734874)</f>
        <v>4734874</v>
      </c>
      <c r="AR2327" s="17">
        <v>4841</v>
      </c>
      <c r="AS2327" s="17">
        <v>4233</v>
      </c>
      <c r="AT2327" s="17">
        <v>30982.75</v>
      </c>
      <c r="AU2327" s="17">
        <v>9</v>
      </c>
      <c r="AV2327" s="17">
        <v>2.85</v>
      </c>
      <c r="AW2327" s="10" t="s">
        <v>105</v>
      </c>
      <c r="AX2327" s="17">
        <v>937</v>
      </c>
      <c r="AY2327" s="18">
        <v>7.3193361682022209</v>
      </c>
      <c r="AZ2327" s="10" t="s">
        <v>136</v>
      </c>
      <c r="BA2327" s="20" t="b">
        <v>0</v>
      </c>
      <c r="BB2327" s="10"/>
      <c r="BC2327" s="17">
        <v>4841</v>
      </c>
      <c r="BD2327" s="17">
        <v>4233</v>
      </c>
      <c r="BE2327" s="17">
        <v>30982.75</v>
      </c>
      <c r="BF2327" s="17">
        <v>2.85</v>
      </c>
      <c r="BG2327" s="11">
        <f ca="1">IFERROR(__xludf.DUMMYFUNCTION("""COMPUTED_VALUE"""),45991.9479166666)</f>
        <v>45991.947916666599</v>
      </c>
      <c r="BH2327" s="17" t="s">
        <v>105</v>
      </c>
      <c r="BI2327" s="17"/>
      <c r="BJ2327" s="15"/>
      <c r="BK2327" s="15"/>
      <c r="BL2327" s="13" t="b">
        <v>0</v>
      </c>
      <c r="BM2327" s="10"/>
      <c r="BN2327" s="10" t="s">
        <v>667</v>
      </c>
      <c r="BO2327" s="11">
        <v>45946.649305555555</v>
      </c>
      <c r="BP2327" s="11">
        <v>45984.370891203704</v>
      </c>
      <c r="BQ2327" s="15">
        <v>45985.955416666664</v>
      </c>
      <c r="BR2327" s="15">
        <v>45986.397719907407</v>
      </c>
      <c r="BS2327" s="10" t="s">
        <v>667</v>
      </c>
      <c r="BT2327" s="10" t="s">
        <v>99</v>
      </c>
      <c r="BU2327" s="10" t="s">
        <v>5492</v>
      </c>
      <c r="BV2327" s="10"/>
      <c r="BW2327" s="10"/>
      <c r="BX2327" s="10"/>
      <c r="BY2327" s="23"/>
      <c r="BZ2327" s="23"/>
      <c r="CA2327" s="19" t="s">
        <v>17778</v>
      </c>
      <c r="CB2327" s="19" t="s">
        <v>17775</v>
      </c>
      <c r="CC2327" s="23"/>
      <c r="CD2327" s="19" t="s">
        <v>17779</v>
      </c>
      <c r="CE2327" s="23"/>
      <c r="CF2327" s="23"/>
      <c r="CG2327" s="23"/>
      <c r="CH2327" s="23"/>
      <c r="CI2327" s="23"/>
    </row>
    <row r="2328" spans="1:87" x14ac:dyDescent="0.3">
      <c r="A2328" s="9" t="s">
        <v>17780</v>
      </c>
      <c r="B2328" s="10" t="s">
        <v>17781</v>
      </c>
      <c r="C2328" s="11">
        <v>45998.854166666664</v>
      </c>
      <c r="D2328" s="12">
        <v>8.3333333333333329E-2</v>
      </c>
      <c r="E2328" s="11">
        <v>45998.9375</v>
      </c>
      <c r="F2328" s="10" t="s">
        <v>3687</v>
      </c>
      <c r="G2328" s="13" t="b">
        <v>0</v>
      </c>
      <c r="H2328" s="22" t="s">
        <v>88</v>
      </c>
      <c r="I2328" s="10" t="s">
        <v>89</v>
      </c>
      <c r="J2328" s="13" t="b">
        <v>0</v>
      </c>
      <c r="K2328" s="13" t="b">
        <v>1</v>
      </c>
      <c r="L2328" s="10" t="s">
        <v>124</v>
      </c>
      <c r="M2328" s="10" t="s">
        <v>91</v>
      </c>
      <c r="N2328" s="10" t="s">
        <v>92</v>
      </c>
      <c r="O2328" s="19" t="s">
        <v>17782</v>
      </c>
      <c r="P2328" s="10"/>
      <c r="Q2328" s="10" t="s">
        <v>126</v>
      </c>
      <c r="R2328" s="10"/>
      <c r="S2328" s="19" t="s">
        <v>17783</v>
      </c>
      <c r="T2328" s="19" t="s">
        <v>17784</v>
      </c>
      <c r="U2328" s="10" t="s">
        <v>3727</v>
      </c>
      <c r="V2328" s="10" t="s">
        <v>4993</v>
      </c>
      <c r="W2328" s="10" t="s">
        <v>3692</v>
      </c>
      <c r="X2328" s="10" t="s">
        <v>130</v>
      </c>
      <c r="Y2328" s="10" t="s">
        <v>130</v>
      </c>
      <c r="Z2328" s="10" t="s">
        <v>99</v>
      </c>
      <c r="AA2328" s="10" t="s">
        <v>131</v>
      </c>
      <c r="AB2328" s="10" t="s">
        <v>3693</v>
      </c>
      <c r="AC2328" s="10" t="s">
        <v>3694</v>
      </c>
      <c r="AD2328" s="10" t="s">
        <v>17785</v>
      </c>
      <c r="AE2328" s="10" t="s">
        <v>17786</v>
      </c>
      <c r="AF2328" s="15"/>
      <c r="AG2328" s="10"/>
      <c r="AH2328" s="10"/>
      <c r="AI2328" s="10"/>
      <c r="AJ2328" s="10"/>
      <c r="AK2328" s="10" t="s">
        <v>102</v>
      </c>
      <c r="AL2328" s="10" t="s">
        <v>1773</v>
      </c>
      <c r="AM2328" s="10"/>
      <c r="AN2328" s="10"/>
      <c r="AO2328" s="13" t="b">
        <v>0</v>
      </c>
      <c r="AP2328" s="22" t="s">
        <v>104</v>
      </c>
      <c r="AQ2328" s="10">
        <f ca="1">IFERROR(__xludf.DUMMYFUNCTION("""COMPUTED_VALUE"""),4760847)</f>
        <v>4760847</v>
      </c>
      <c r="AR2328" s="17">
        <v>12253</v>
      </c>
      <c r="AS2328" s="17">
        <v>9257</v>
      </c>
      <c r="AT2328" s="17">
        <v>164451</v>
      </c>
      <c r="AU2328" s="17">
        <v>41.8</v>
      </c>
      <c r="AV2328" s="17">
        <v>7.7</v>
      </c>
      <c r="AW2328" s="10" t="s">
        <v>105</v>
      </c>
      <c r="AX2328" s="17">
        <v>2134</v>
      </c>
      <c r="AY2328" s="18">
        <v>17.765042670411582</v>
      </c>
      <c r="AZ2328" s="10" t="s">
        <v>3783</v>
      </c>
      <c r="BA2328" s="20" t="b">
        <v>0</v>
      </c>
      <c r="BB2328" s="10"/>
      <c r="BC2328" s="17">
        <v>12253</v>
      </c>
      <c r="BD2328" s="17">
        <v>9257</v>
      </c>
      <c r="BE2328" s="17">
        <v>164451</v>
      </c>
      <c r="BF2328" s="17">
        <v>7.7</v>
      </c>
      <c r="BG2328" s="11">
        <f ca="1">IFERROR(__xludf.DUMMYFUNCTION("""COMPUTED_VALUE"""),45998.8541666666)</f>
        <v>45998.854166666599</v>
      </c>
      <c r="BH2328" s="17" t="s">
        <v>105</v>
      </c>
      <c r="BI2328" s="17"/>
      <c r="BJ2328" s="15"/>
      <c r="BK2328" s="15"/>
      <c r="BL2328" s="13" t="b">
        <v>0</v>
      </c>
      <c r="BM2328" s="10"/>
      <c r="BN2328" s="10" t="s">
        <v>634</v>
      </c>
      <c r="BO2328" s="11">
        <v>45946.648611111108</v>
      </c>
      <c r="BP2328" s="11">
        <v>45994.585011574076</v>
      </c>
      <c r="BQ2328" s="15">
        <v>45993.71234953704</v>
      </c>
      <c r="BR2328" s="15">
        <v>45994.605439814812</v>
      </c>
      <c r="BS2328" s="10" t="s">
        <v>634</v>
      </c>
      <c r="BT2328" s="10" t="s">
        <v>99</v>
      </c>
      <c r="BU2328" s="10" t="s">
        <v>816</v>
      </c>
      <c r="BV2328" s="10"/>
      <c r="BW2328" s="10"/>
      <c r="BX2328" s="10"/>
      <c r="BY2328" s="23"/>
      <c r="BZ2328" s="23"/>
      <c r="CA2328" s="19" t="s">
        <v>17787</v>
      </c>
      <c r="CB2328" s="19" t="s">
        <v>17788</v>
      </c>
      <c r="CC2328" s="23"/>
      <c r="CD2328" s="19" t="s">
        <v>17789</v>
      </c>
      <c r="CE2328" s="23"/>
      <c r="CF2328" s="23"/>
      <c r="CG2328" s="23"/>
      <c r="CH2328" s="23"/>
      <c r="CI2328" s="23"/>
    </row>
    <row r="2329" spans="1:87" x14ac:dyDescent="0.3">
      <c r="A2329" s="9" t="s">
        <v>17790</v>
      </c>
      <c r="B2329" s="10" t="s">
        <v>17791</v>
      </c>
      <c r="C2329" s="11">
        <v>45993.854166666664</v>
      </c>
      <c r="D2329" s="12">
        <v>8.3333333333333329E-2</v>
      </c>
      <c r="E2329" s="11">
        <v>45993.9375</v>
      </c>
      <c r="F2329" s="10" t="s">
        <v>3687</v>
      </c>
      <c r="G2329" s="13" t="b">
        <v>0</v>
      </c>
      <c r="H2329" s="22" t="s">
        <v>88</v>
      </c>
      <c r="I2329" s="10" t="s">
        <v>89</v>
      </c>
      <c r="J2329" s="13" t="b">
        <v>0</v>
      </c>
      <c r="K2329" s="13" t="b">
        <v>1</v>
      </c>
      <c r="L2329" s="10" t="s">
        <v>124</v>
      </c>
      <c r="M2329" s="10" t="s">
        <v>91</v>
      </c>
      <c r="N2329" s="10" t="s">
        <v>92</v>
      </c>
      <c r="O2329" s="19" t="s">
        <v>17792</v>
      </c>
      <c r="P2329" s="10"/>
      <c r="Q2329" s="10" t="s">
        <v>126</v>
      </c>
      <c r="R2329" s="10"/>
      <c r="S2329" s="19" t="s">
        <v>17793</v>
      </c>
      <c r="T2329" s="19" t="s">
        <v>17794</v>
      </c>
      <c r="U2329" s="10" t="s">
        <v>3715</v>
      </c>
      <c r="V2329" s="10" t="s">
        <v>3728</v>
      </c>
      <c r="W2329" s="10" t="s">
        <v>3692</v>
      </c>
      <c r="X2329" s="10" t="s">
        <v>130</v>
      </c>
      <c r="Y2329" s="10" t="s">
        <v>130</v>
      </c>
      <c r="Z2329" s="10" t="s">
        <v>99</v>
      </c>
      <c r="AA2329" s="10" t="s">
        <v>131</v>
      </c>
      <c r="AB2329" s="10" t="s">
        <v>3693</v>
      </c>
      <c r="AC2329" s="10" t="s">
        <v>3694</v>
      </c>
      <c r="AD2329" s="10" t="s">
        <v>17795</v>
      </c>
      <c r="AE2329" s="10" t="s">
        <v>17796</v>
      </c>
      <c r="AF2329" s="15"/>
      <c r="AG2329" s="10"/>
      <c r="AH2329" s="10"/>
      <c r="AI2329" s="10"/>
      <c r="AJ2329" s="10"/>
      <c r="AK2329" s="10" t="s">
        <v>102</v>
      </c>
      <c r="AL2329" s="10" t="s">
        <v>1671</v>
      </c>
      <c r="AM2329" s="10"/>
      <c r="AN2329" s="10"/>
      <c r="AO2329" s="13" t="b">
        <v>0</v>
      </c>
      <c r="AP2329" s="22" t="s">
        <v>104</v>
      </c>
      <c r="AQ2329" s="10">
        <f ca="1">IFERROR(__xludf.DUMMYFUNCTION("""COMPUTED_VALUE"""),4758797)</f>
        <v>4758797</v>
      </c>
      <c r="AR2329" s="21">
        <v>15928</v>
      </c>
      <c r="AS2329" s="21">
        <v>12977</v>
      </c>
      <c r="AT2329" s="21">
        <v>218022.25</v>
      </c>
      <c r="AU2329" s="21">
        <v>54.6</v>
      </c>
      <c r="AV2329" s="21">
        <v>13.1</v>
      </c>
      <c r="AW2329" s="22" t="s">
        <v>105</v>
      </c>
      <c r="AX2329" s="21">
        <v>2705</v>
      </c>
      <c r="AY2329" s="18">
        <v>16.800666563920782</v>
      </c>
      <c r="AZ2329" s="10" t="s">
        <v>136</v>
      </c>
      <c r="BA2329" s="20" t="b">
        <v>0</v>
      </c>
      <c r="BB2329" s="10"/>
      <c r="BC2329" s="17">
        <v>15928</v>
      </c>
      <c r="BD2329" s="17">
        <v>12977</v>
      </c>
      <c r="BE2329" s="17">
        <v>218022.25</v>
      </c>
      <c r="BF2329" s="17">
        <v>13.1</v>
      </c>
      <c r="BG2329" s="11">
        <f ca="1">IFERROR(__xludf.DUMMYFUNCTION("""COMPUTED_VALUE"""),45993.8541666666)</f>
        <v>45993.854166666599</v>
      </c>
      <c r="BH2329" s="17" t="s">
        <v>105</v>
      </c>
      <c r="BI2329" s="17"/>
      <c r="BJ2329" s="15"/>
      <c r="BK2329" s="15"/>
      <c r="BL2329" s="13" t="b">
        <v>0</v>
      </c>
      <c r="BM2329" s="10"/>
      <c r="BN2329" s="10" t="s">
        <v>1149</v>
      </c>
      <c r="BO2329" s="11">
        <v>45946.649305555555</v>
      </c>
      <c r="BP2329" s="11">
        <v>45992.770949074074</v>
      </c>
      <c r="BQ2329" s="15">
        <v>45985.955983796295</v>
      </c>
      <c r="BR2329" s="15">
        <v>45992.753055555557</v>
      </c>
      <c r="BS2329" s="10" t="s">
        <v>1149</v>
      </c>
      <c r="BT2329" s="10" t="s">
        <v>99</v>
      </c>
      <c r="BU2329" s="10" t="s">
        <v>655</v>
      </c>
      <c r="BV2329" s="10"/>
      <c r="BW2329" s="10"/>
      <c r="BX2329" s="10"/>
      <c r="BY2329" s="23"/>
      <c r="BZ2329" s="23"/>
      <c r="CA2329" s="19" t="s">
        <v>17797</v>
      </c>
      <c r="CB2329" s="19" t="s">
        <v>17794</v>
      </c>
      <c r="CC2329" s="23"/>
      <c r="CD2329" s="19" t="s">
        <v>17798</v>
      </c>
      <c r="CE2329" s="23"/>
      <c r="CF2329" s="23"/>
      <c r="CG2329" s="23"/>
      <c r="CH2329" s="23"/>
      <c r="CI2329" s="23"/>
    </row>
    <row r="2330" spans="1:87" x14ac:dyDescent="0.3">
      <c r="A2330" s="9" t="s">
        <v>17799</v>
      </c>
      <c r="B2330" s="10" t="s">
        <v>17772</v>
      </c>
      <c r="C2330" s="11">
        <v>45991.947916666664</v>
      </c>
      <c r="D2330" s="12">
        <v>8.3333333333333329E-2</v>
      </c>
      <c r="E2330" s="11">
        <v>45992.03125</v>
      </c>
      <c r="F2330" s="10" t="s">
        <v>3687</v>
      </c>
      <c r="G2330" s="13" t="b">
        <v>0</v>
      </c>
      <c r="H2330" s="22"/>
      <c r="I2330" s="10" t="s">
        <v>89</v>
      </c>
      <c r="J2330" s="13" t="b">
        <v>0</v>
      </c>
      <c r="K2330" s="13" t="b">
        <v>1</v>
      </c>
      <c r="L2330" s="10" t="s">
        <v>124</v>
      </c>
      <c r="M2330" s="10" t="s">
        <v>91</v>
      </c>
      <c r="N2330" s="10" t="s">
        <v>92</v>
      </c>
      <c r="O2330" s="10"/>
      <c r="P2330" s="10"/>
      <c r="Q2330" s="10" t="s">
        <v>126</v>
      </c>
      <c r="R2330" s="10"/>
      <c r="S2330" s="10"/>
      <c r="T2330" s="10"/>
      <c r="U2330" s="10" t="s">
        <v>7741</v>
      </c>
      <c r="V2330" s="10" t="s">
        <v>3727</v>
      </c>
      <c r="W2330" s="10" t="s">
        <v>3692</v>
      </c>
      <c r="X2330" s="10" t="s">
        <v>130</v>
      </c>
      <c r="Y2330" s="10" t="s">
        <v>130</v>
      </c>
      <c r="Z2330" s="10" t="s">
        <v>99</v>
      </c>
      <c r="AA2330" s="10" t="s">
        <v>131</v>
      </c>
      <c r="AB2330" s="10" t="s">
        <v>3693</v>
      </c>
      <c r="AC2330" s="10" t="s">
        <v>3694</v>
      </c>
      <c r="AD2330" s="10" t="s">
        <v>17776</v>
      </c>
      <c r="AE2330" s="10" t="s">
        <v>17777</v>
      </c>
      <c r="AF2330" s="15"/>
      <c r="AG2330" s="10"/>
      <c r="AH2330" s="10"/>
      <c r="AI2330" s="10"/>
      <c r="AJ2330" s="10"/>
      <c r="AK2330" s="10" t="s">
        <v>256</v>
      </c>
      <c r="AL2330" s="10" t="s">
        <v>1671</v>
      </c>
      <c r="AM2330" s="10"/>
      <c r="AN2330" s="10"/>
      <c r="AO2330" s="13" t="b">
        <v>0</v>
      </c>
      <c r="AP2330" s="22" t="s">
        <v>104</v>
      </c>
      <c r="AQ2330" s="10"/>
      <c r="AR2330" s="17"/>
      <c r="AS2330" s="17"/>
      <c r="AT2330" s="17"/>
      <c r="AU2330" s="17"/>
      <c r="AV2330" s="17"/>
      <c r="AW2330" s="10"/>
      <c r="AX2330" s="17"/>
      <c r="AY2330" s="18" t="s">
        <v>257</v>
      </c>
      <c r="AZ2330" s="10"/>
      <c r="BA2330" s="20" t="b">
        <v>0</v>
      </c>
      <c r="BB2330" s="10"/>
      <c r="BC2330" s="17" t="s">
        <v>257</v>
      </c>
      <c r="BD2330" s="17" t="s">
        <v>257</v>
      </c>
      <c r="BE2330" s="17" t="s">
        <v>257</v>
      </c>
      <c r="BF2330" s="17" t="s">
        <v>257</v>
      </c>
      <c r="BG2330" s="11">
        <f ca="1">IFERROR(__xludf.DUMMYFUNCTION("""COMPUTED_VALUE"""),45991.9479166666)</f>
        <v>45991.947916666599</v>
      </c>
      <c r="BH2330" s="17"/>
      <c r="BI2330" s="17"/>
      <c r="BJ2330" s="15"/>
      <c r="BK2330" s="15"/>
      <c r="BL2330" s="13" t="b">
        <v>0</v>
      </c>
      <c r="BM2330" s="10"/>
      <c r="BN2330" s="10" t="s">
        <v>108</v>
      </c>
      <c r="BO2330" s="11">
        <v>45946.650694444441</v>
      </c>
      <c r="BP2330" s="11">
        <v>45946.651238425926</v>
      </c>
      <c r="BQ2330" s="15"/>
      <c r="BR2330" s="15"/>
      <c r="BS2330" s="10"/>
      <c r="BT2330" s="10"/>
      <c r="BU2330" s="10"/>
      <c r="BV2330" s="10"/>
      <c r="BW2330" s="10"/>
      <c r="BX2330" s="10"/>
      <c r="BY2330" s="23"/>
      <c r="BZ2330" s="23"/>
      <c r="CA2330" s="23"/>
      <c r="CB2330" s="23"/>
      <c r="CC2330" s="23"/>
      <c r="CD2330" s="23"/>
      <c r="CE2330" s="23"/>
      <c r="CF2330" s="23"/>
      <c r="CG2330" s="23"/>
      <c r="CH2330" s="23"/>
      <c r="CI2330" s="23"/>
    </row>
    <row r="2331" spans="1:87" x14ac:dyDescent="0.3">
      <c r="A2331" s="9" t="s">
        <v>17800</v>
      </c>
      <c r="B2331" s="10" t="s">
        <v>17791</v>
      </c>
      <c r="C2331" s="11">
        <v>45992.083333333336</v>
      </c>
      <c r="D2331" s="12">
        <v>8.3333333333333329E-2</v>
      </c>
      <c r="E2331" s="11">
        <v>45992.166666666664</v>
      </c>
      <c r="F2331" s="10" t="s">
        <v>3687</v>
      </c>
      <c r="G2331" s="13" t="b">
        <v>0</v>
      </c>
      <c r="H2331" s="22"/>
      <c r="I2331" s="10" t="s">
        <v>89</v>
      </c>
      <c r="J2331" s="13" t="b">
        <v>0</v>
      </c>
      <c r="K2331" s="13" t="b">
        <v>1</v>
      </c>
      <c r="L2331" s="10" t="s">
        <v>124</v>
      </c>
      <c r="M2331" s="10" t="s">
        <v>91</v>
      </c>
      <c r="N2331" s="10" t="s">
        <v>92</v>
      </c>
      <c r="O2331" s="10"/>
      <c r="P2331" s="10"/>
      <c r="Q2331" s="10" t="s">
        <v>126</v>
      </c>
      <c r="R2331" s="10"/>
      <c r="S2331" s="10"/>
      <c r="T2331" s="10"/>
      <c r="U2331" s="10" t="s">
        <v>3715</v>
      </c>
      <c r="V2331" s="10" t="s">
        <v>3728</v>
      </c>
      <c r="W2331" s="10" t="s">
        <v>3692</v>
      </c>
      <c r="X2331" s="10" t="s">
        <v>130</v>
      </c>
      <c r="Y2331" s="10" t="s">
        <v>130</v>
      </c>
      <c r="Z2331" s="10" t="s">
        <v>99</v>
      </c>
      <c r="AA2331" s="10" t="s">
        <v>131</v>
      </c>
      <c r="AB2331" s="10" t="s">
        <v>3693</v>
      </c>
      <c r="AC2331" s="10" t="s">
        <v>3694</v>
      </c>
      <c r="AD2331" s="10" t="s">
        <v>17795</v>
      </c>
      <c r="AE2331" s="10" t="s">
        <v>17796</v>
      </c>
      <c r="AF2331" s="15"/>
      <c r="AG2331" s="10"/>
      <c r="AH2331" s="10"/>
      <c r="AI2331" s="10"/>
      <c r="AJ2331" s="10"/>
      <c r="AK2331" s="10" t="s">
        <v>256</v>
      </c>
      <c r="AL2331" s="10" t="s">
        <v>1671</v>
      </c>
      <c r="AM2331" s="10"/>
      <c r="AN2331" s="10"/>
      <c r="AO2331" s="13" t="b">
        <v>0</v>
      </c>
      <c r="AP2331" s="22" t="s">
        <v>104</v>
      </c>
      <c r="AQ2331" s="10"/>
      <c r="AR2331" s="17"/>
      <c r="AS2331" s="17"/>
      <c r="AT2331" s="17"/>
      <c r="AU2331" s="17"/>
      <c r="AV2331" s="17"/>
      <c r="AW2331" s="10"/>
      <c r="AX2331" s="17"/>
      <c r="AY2331" s="18" t="s">
        <v>257</v>
      </c>
      <c r="AZ2331" s="10"/>
      <c r="BA2331" s="20" t="b">
        <v>0</v>
      </c>
      <c r="BB2331" s="10"/>
      <c r="BC2331" s="17" t="s">
        <v>257</v>
      </c>
      <c r="BD2331" s="17" t="s">
        <v>257</v>
      </c>
      <c r="BE2331" s="17" t="s">
        <v>257</v>
      </c>
      <c r="BF2331" s="17" t="s">
        <v>257</v>
      </c>
      <c r="BG2331" s="11">
        <f ca="1">IFERROR(__xludf.DUMMYFUNCTION("""COMPUTED_VALUE"""),45992.0833333333)</f>
        <v>45992.083333333299</v>
      </c>
      <c r="BH2331" s="17"/>
      <c r="BI2331" s="17"/>
      <c r="BJ2331" s="15"/>
      <c r="BK2331" s="15"/>
      <c r="BL2331" s="13" t="b">
        <v>0</v>
      </c>
      <c r="BM2331" s="10"/>
      <c r="BN2331" s="10" t="s">
        <v>108</v>
      </c>
      <c r="BO2331" s="11">
        <v>45946.651388888888</v>
      </c>
      <c r="BP2331" s="11">
        <v>45946.652037037034</v>
      </c>
      <c r="BQ2331" s="15"/>
      <c r="BR2331" s="15"/>
      <c r="BS2331" s="10"/>
      <c r="BT2331" s="10"/>
      <c r="BU2331" s="10"/>
      <c r="BV2331" s="10"/>
      <c r="BW2331" s="10"/>
      <c r="BX2331" s="10"/>
      <c r="BY2331" s="23"/>
      <c r="BZ2331" s="23"/>
      <c r="CA2331" s="23"/>
      <c r="CB2331" s="23"/>
      <c r="CC2331" s="23"/>
      <c r="CD2331" s="23"/>
      <c r="CE2331" s="23"/>
      <c r="CF2331" s="23"/>
      <c r="CG2331" s="23"/>
      <c r="CH2331" s="23"/>
      <c r="CI2331" s="23"/>
    </row>
    <row r="2332" spans="1:87" x14ac:dyDescent="0.3">
      <c r="A2332" s="9" t="s">
        <v>17801</v>
      </c>
      <c r="B2332" s="10" t="s">
        <v>17802</v>
      </c>
      <c r="C2332" s="11">
        <v>46005.083333333336</v>
      </c>
      <c r="D2332" s="12">
        <v>8.3333333333333329E-2</v>
      </c>
      <c r="E2332" s="11">
        <v>46005.166666666664</v>
      </c>
      <c r="F2332" s="10" t="s">
        <v>3687</v>
      </c>
      <c r="G2332" s="13" t="b">
        <v>0</v>
      </c>
      <c r="H2332" s="22" t="s">
        <v>88</v>
      </c>
      <c r="I2332" s="10" t="s">
        <v>89</v>
      </c>
      <c r="J2332" s="13" t="b">
        <v>0</v>
      </c>
      <c r="K2332" s="13" t="b">
        <v>1</v>
      </c>
      <c r="L2332" s="10" t="s">
        <v>124</v>
      </c>
      <c r="M2332" s="10" t="s">
        <v>91</v>
      </c>
      <c r="N2332" s="10" t="s">
        <v>92</v>
      </c>
      <c r="O2332" s="19" t="s">
        <v>17803</v>
      </c>
      <c r="P2332" s="10"/>
      <c r="Q2332" s="10" t="s">
        <v>126</v>
      </c>
      <c r="R2332" s="10"/>
      <c r="S2332" s="19" t="s">
        <v>17804</v>
      </c>
      <c r="T2332" s="10"/>
      <c r="U2332" s="10" t="s">
        <v>3704</v>
      </c>
      <c r="V2332" s="10" t="s">
        <v>7719</v>
      </c>
      <c r="W2332" s="10" t="s">
        <v>3692</v>
      </c>
      <c r="X2332" s="10" t="s">
        <v>130</v>
      </c>
      <c r="Y2332" s="10" t="s">
        <v>130</v>
      </c>
      <c r="Z2332" s="10" t="s">
        <v>99</v>
      </c>
      <c r="AA2332" s="10" t="s">
        <v>131</v>
      </c>
      <c r="AB2332" s="10" t="s">
        <v>3693</v>
      </c>
      <c r="AC2332" s="10" t="s">
        <v>3694</v>
      </c>
      <c r="AD2332" s="10" t="s">
        <v>17805</v>
      </c>
      <c r="AE2332" s="10" t="s">
        <v>17806</v>
      </c>
      <c r="AF2332" s="15"/>
      <c r="AG2332" s="10"/>
      <c r="AH2332" s="10"/>
      <c r="AI2332" s="10"/>
      <c r="AJ2332" s="10"/>
      <c r="AK2332" s="10" t="s">
        <v>102</v>
      </c>
      <c r="AL2332" s="10" t="s">
        <v>1876</v>
      </c>
      <c r="AM2332" s="10"/>
      <c r="AN2332" s="10"/>
      <c r="AO2332" s="13" t="b">
        <v>0</v>
      </c>
      <c r="AP2332" s="22" t="s">
        <v>104</v>
      </c>
      <c r="AQ2332" s="10">
        <f ca="1">IFERROR(__xludf.DUMMYFUNCTION("""COMPUTED_VALUE"""),4773367)</f>
        <v>4773367</v>
      </c>
      <c r="AR2332" s="17">
        <v>4825</v>
      </c>
      <c r="AS2332" s="17">
        <v>3645</v>
      </c>
      <c r="AT2332" s="17">
        <v>79428.75</v>
      </c>
      <c r="AU2332" s="17">
        <v>5.5</v>
      </c>
      <c r="AV2332" s="17">
        <v>2.5499999999999998</v>
      </c>
      <c r="AW2332" s="10" t="s">
        <v>105</v>
      </c>
      <c r="AX2332" s="17">
        <v>1273</v>
      </c>
      <c r="AY2332" s="18">
        <v>21.791152263374485</v>
      </c>
      <c r="AZ2332" s="10" t="s">
        <v>136</v>
      </c>
      <c r="BA2332" s="20" t="b">
        <v>0</v>
      </c>
      <c r="BB2332" s="10"/>
      <c r="BC2332" s="17">
        <v>4825</v>
      </c>
      <c r="BD2332" s="17">
        <v>3645</v>
      </c>
      <c r="BE2332" s="17">
        <v>79428.75</v>
      </c>
      <c r="BF2332" s="17">
        <v>2.5499999999999998</v>
      </c>
      <c r="BG2332" s="11">
        <f ca="1">IFERROR(__xludf.DUMMYFUNCTION("""COMPUTED_VALUE"""),46005.0833333333)</f>
        <v>46005.083333333299</v>
      </c>
      <c r="BH2332" s="17" t="s">
        <v>105</v>
      </c>
      <c r="BI2332" s="17"/>
      <c r="BJ2332" s="15"/>
      <c r="BK2332" s="15"/>
      <c r="BL2332" s="13" t="b">
        <v>0</v>
      </c>
      <c r="BM2332" s="10"/>
      <c r="BN2332" s="10" t="s">
        <v>1149</v>
      </c>
      <c r="BO2332" s="11">
        <v>45946.652083333334</v>
      </c>
      <c r="BP2332" s="11">
        <v>45999.551539351851</v>
      </c>
      <c r="BQ2332" s="15">
        <v>46003.469305555554</v>
      </c>
      <c r="BR2332" s="15">
        <v>46000.665648148148</v>
      </c>
      <c r="BS2332" s="10" t="s">
        <v>1149</v>
      </c>
      <c r="BT2332" s="10" t="s">
        <v>99</v>
      </c>
      <c r="BU2332" s="10" t="s">
        <v>3394</v>
      </c>
      <c r="BV2332" s="10"/>
      <c r="BW2332" s="10"/>
      <c r="BX2332" s="10"/>
      <c r="BY2332" s="23"/>
      <c r="BZ2332" s="23"/>
      <c r="CA2332" s="19" t="s">
        <v>17807</v>
      </c>
      <c r="CB2332" s="19" t="s">
        <v>17808</v>
      </c>
      <c r="CC2332" s="23"/>
      <c r="CD2332" s="19" t="s">
        <v>17809</v>
      </c>
      <c r="CE2332" s="23"/>
      <c r="CF2332" s="23"/>
      <c r="CG2332" s="23"/>
      <c r="CH2332" s="23"/>
      <c r="CI2332" s="23"/>
    </row>
    <row r="2333" spans="1:87" x14ac:dyDescent="0.3">
      <c r="A2333" s="9" t="s">
        <v>17810</v>
      </c>
      <c r="B2333" s="10" t="s">
        <v>17724</v>
      </c>
      <c r="C2333" s="11">
        <v>45997.9375</v>
      </c>
      <c r="D2333" s="12">
        <v>8.3333333333333329E-2</v>
      </c>
      <c r="E2333" s="11">
        <v>45998.020833333336</v>
      </c>
      <c r="F2333" s="10" t="s">
        <v>3687</v>
      </c>
      <c r="G2333" s="13" t="b">
        <v>0</v>
      </c>
      <c r="H2333" s="22"/>
      <c r="I2333" s="10" t="s">
        <v>89</v>
      </c>
      <c r="J2333" s="13" t="b">
        <v>0</v>
      </c>
      <c r="K2333" s="13" t="b">
        <v>1</v>
      </c>
      <c r="L2333" s="10" t="s">
        <v>124</v>
      </c>
      <c r="M2333" s="10" t="s">
        <v>91</v>
      </c>
      <c r="N2333" s="10" t="s">
        <v>92</v>
      </c>
      <c r="O2333" s="10"/>
      <c r="P2333" s="10"/>
      <c r="Q2333" s="10" t="s">
        <v>126</v>
      </c>
      <c r="R2333" s="10"/>
      <c r="S2333" s="10"/>
      <c r="T2333" s="10"/>
      <c r="U2333" s="10" t="s">
        <v>8689</v>
      </c>
      <c r="V2333" s="10" t="s">
        <v>3704</v>
      </c>
      <c r="W2333" s="10" t="s">
        <v>3692</v>
      </c>
      <c r="X2333" s="10" t="s">
        <v>130</v>
      </c>
      <c r="Y2333" s="10" t="s">
        <v>130</v>
      </c>
      <c r="Z2333" s="10" t="s">
        <v>99</v>
      </c>
      <c r="AA2333" s="10" t="s">
        <v>131</v>
      </c>
      <c r="AB2333" s="10" t="s">
        <v>3693</v>
      </c>
      <c r="AC2333" s="10" t="s">
        <v>3694</v>
      </c>
      <c r="AD2333" s="10" t="s">
        <v>17728</v>
      </c>
      <c r="AE2333" s="10" t="s">
        <v>17729</v>
      </c>
      <c r="AF2333" s="15"/>
      <c r="AG2333" s="10"/>
      <c r="AH2333" s="10"/>
      <c r="AI2333" s="10"/>
      <c r="AJ2333" s="10"/>
      <c r="AK2333" s="10" t="s">
        <v>256</v>
      </c>
      <c r="AL2333" s="10" t="s">
        <v>1773</v>
      </c>
      <c r="AM2333" s="10"/>
      <c r="AN2333" s="10"/>
      <c r="AO2333" s="13" t="b">
        <v>0</v>
      </c>
      <c r="AP2333" s="22" t="s">
        <v>104</v>
      </c>
      <c r="AQ2333" s="10"/>
      <c r="AR2333" s="17"/>
      <c r="AS2333" s="17"/>
      <c r="AT2333" s="17"/>
      <c r="AU2333" s="17"/>
      <c r="AV2333" s="17"/>
      <c r="AW2333" s="10"/>
      <c r="AX2333" s="17"/>
      <c r="AY2333" s="18" t="s">
        <v>257</v>
      </c>
      <c r="AZ2333" s="10"/>
      <c r="BA2333" s="20" t="b">
        <v>0</v>
      </c>
      <c r="BB2333" s="10"/>
      <c r="BC2333" s="17" t="s">
        <v>257</v>
      </c>
      <c r="BD2333" s="17" t="s">
        <v>257</v>
      </c>
      <c r="BE2333" s="17" t="s">
        <v>257</v>
      </c>
      <c r="BF2333" s="17" t="s">
        <v>257</v>
      </c>
      <c r="BG2333" s="11">
        <f ca="1">IFERROR(__xludf.DUMMYFUNCTION("""COMPUTED_VALUE"""),45997.9375)</f>
        <v>45997.9375</v>
      </c>
      <c r="BH2333" s="17"/>
      <c r="BI2333" s="17"/>
      <c r="BJ2333" s="15"/>
      <c r="BK2333" s="15"/>
      <c r="BL2333" s="13" t="b">
        <v>0</v>
      </c>
      <c r="BM2333" s="10"/>
      <c r="BN2333" s="10" t="s">
        <v>108</v>
      </c>
      <c r="BO2333" s="11">
        <v>45946.652083333334</v>
      </c>
      <c r="BP2333" s="11">
        <v>45946.652754629627</v>
      </c>
      <c r="BQ2333" s="15"/>
      <c r="BR2333" s="15"/>
      <c r="BS2333" s="10"/>
      <c r="BT2333" s="10"/>
      <c r="BU2333" s="10"/>
      <c r="BV2333" s="10"/>
      <c r="BW2333" s="10"/>
      <c r="BX2333" s="10"/>
      <c r="BY2333" s="23"/>
      <c r="BZ2333" s="23"/>
      <c r="CA2333" s="23"/>
      <c r="CB2333" s="23"/>
      <c r="CC2333" s="23"/>
      <c r="CD2333" s="23"/>
      <c r="CE2333" s="23"/>
      <c r="CF2333" s="23"/>
      <c r="CG2333" s="23"/>
      <c r="CH2333" s="23"/>
      <c r="CI2333" s="23"/>
    </row>
    <row r="2334" spans="1:87" x14ac:dyDescent="0.3">
      <c r="A2334" s="9" t="s">
        <v>17811</v>
      </c>
      <c r="B2334" s="10" t="s">
        <v>17812</v>
      </c>
      <c r="C2334" s="11">
        <v>46005.854166666664</v>
      </c>
      <c r="D2334" s="12">
        <v>8.3333333333333329E-2</v>
      </c>
      <c r="E2334" s="11">
        <v>46005.9375</v>
      </c>
      <c r="F2334" s="10" t="s">
        <v>3687</v>
      </c>
      <c r="G2334" s="13" t="b">
        <v>0</v>
      </c>
      <c r="H2334" s="22" t="s">
        <v>88</v>
      </c>
      <c r="I2334" s="10" t="s">
        <v>89</v>
      </c>
      <c r="J2334" s="13" t="b">
        <v>0</v>
      </c>
      <c r="K2334" s="13" t="b">
        <v>1</v>
      </c>
      <c r="L2334" s="10" t="s">
        <v>124</v>
      </c>
      <c r="M2334" s="10" t="s">
        <v>91</v>
      </c>
      <c r="N2334" s="10" t="s">
        <v>92</v>
      </c>
      <c r="O2334" s="19" t="s">
        <v>17813</v>
      </c>
      <c r="P2334" s="10"/>
      <c r="Q2334" s="10" t="s">
        <v>126</v>
      </c>
      <c r="R2334" s="10"/>
      <c r="S2334" s="19" t="s">
        <v>17814</v>
      </c>
      <c r="T2334" s="10"/>
      <c r="U2334" s="10" t="s">
        <v>3715</v>
      </c>
      <c r="V2334" s="10" t="s">
        <v>3690</v>
      </c>
      <c r="W2334" s="10" t="s">
        <v>3692</v>
      </c>
      <c r="X2334" s="10" t="s">
        <v>130</v>
      </c>
      <c r="Y2334" s="10" t="s">
        <v>130</v>
      </c>
      <c r="Z2334" s="10" t="s">
        <v>99</v>
      </c>
      <c r="AA2334" s="10" t="s">
        <v>131</v>
      </c>
      <c r="AB2334" s="10" t="s">
        <v>3693</v>
      </c>
      <c r="AC2334" s="10" t="s">
        <v>3694</v>
      </c>
      <c r="AD2334" s="10" t="s">
        <v>17815</v>
      </c>
      <c r="AE2334" s="10" t="s">
        <v>17816</v>
      </c>
      <c r="AF2334" s="15"/>
      <c r="AG2334" s="10"/>
      <c r="AH2334" s="10"/>
      <c r="AI2334" s="10"/>
      <c r="AJ2334" s="10"/>
      <c r="AK2334" s="10" t="s">
        <v>102</v>
      </c>
      <c r="AL2334" s="10" t="s">
        <v>1876</v>
      </c>
      <c r="AM2334" s="10"/>
      <c r="AN2334" s="10"/>
      <c r="AO2334" s="13" t="b">
        <v>0</v>
      </c>
      <c r="AP2334" s="22" t="s">
        <v>104</v>
      </c>
      <c r="AQ2334" s="10">
        <f ca="1">IFERROR(__xludf.DUMMYFUNCTION("""COMPUTED_VALUE"""),4773368)</f>
        <v>4773368</v>
      </c>
      <c r="AR2334" s="17">
        <v>17454</v>
      </c>
      <c r="AS2334" s="17">
        <v>12642</v>
      </c>
      <c r="AT2334" s="17">
        <v>274576</v>
      </c>
      <c r="AU2334" s="17">
        <v>78.75</v>
      </c>
      <c r="AV2334" s="17">
        <v>19.149999999999999</v>
      </c>
      <c r="AW2334" s="10" t="s">
        <v>105</v>
      </c>
      <c r="AX2334" s="17">
        <v>3729</v>
      </c>
      <c r="AY2334" s="18">
        <v>21.719348204398038</v>
      </c>
      <c r="AZ2334" s="10" t="s">
        <v>136</v>
      </c>
      <c r="BA2334" s="20" t="b">
        <v>0</v>
      </c>
      <c r="BB2334" s="10"/>
      <c r="BC2334" s="17">
        <v>17454</v>
      </c>
      <c r="BD2334" s="17">
        <v>12642</v>
      </c>
      <c r="BE2334" s="17">
        <v>274576</v>
      </c>
      <c r="BF2334" s="17">
        <v>19.149999999999999</v>
      </c>
      <c r="BG2334" s="11">
        <f ca="1">IFERROR(__xludf.DUMMYFUNCTION("""COMPUTED_VALUE"""),46005.8541666666)</f>
        <v>46005.854166666599</v>
      </c>
      <c r="BH2334" s="17" t="s">
        <v>105</v>
      </c>
      <c r="BI2334" s="17"/>
      <c r="BJ2334" s="15"/>
      <c r="BK2334" s="15"/>
      <c r="BL2334" s="13" t="b">
        <v>0</v>
      </c>
      <c r="BM2334" s="10"/>
      <c r="BN2334" s="10" t="s">
        <v>197</v>
      </c>
      <c r="BO2334" s="11">
        <v>45946.652777777781</v>
      </c>
      <c r="BP2334" s="11">
        <v>45999.551712962966</v>
      </c>
      <c r="BQ2334" s="15">
        <v>46003.463958333334</v>
      </c>
      <c r="BR2334" s="15">
        <v>46000.665856481479</v>
      </c>
      <c r="BS2334" s="10" t="s">
        <v>197</v>
      </c>
      <c r="BT2334" s="10" t="s">
        <v>279</v>
      </c>
      <c r="BU2334" s="10" t="s">
        <v>3752</v>
      </c>
      <c r="BV2334" s="10"/>
      <c r="BW2334" s="10"/>
      <c r="BX2334" s="10"/>
      <c r="BY2334" s="23"/>
      <c r="BZ2334" s="23"/>
      <c r="CA2334" s="19" t="s">
        <v>17817</v>
      </c>
      <c r="CB2334" s="19" t="s">
        <v>17818</v>
      </c>
      <c r="CC2334" s="23"/>
      <c r="CD2334" s="19" t="s">
        <v>17819</v>
      </c>
      <c r="CE2334" s="23"/>
      <c r="CF2334" s="23"/>
      <c r="CG2334" s="23"/>
      <c r="CH2334" s="23"/>
      <c r="CI2334" s="23"/>
    </row>
    <row r="2335" spans="1:87" x14ac:dyDescent="0.3">
      <c r="A2335" s="9" t="s">
        <v>17820</v>
      </c>
      <c r="B2335" s="10" t="s">
        <v>17743</v>
      </c>
      <c r="C2335" s="11">
        <v>45998.03125</v>
      </c>
      <c r="D2335" s="12">
        <v>8.3333333333333329E-2</v>
      </c>
      <c r="E2335" s="11">
        <v>45998.114583333336</v>
      </c>
      <c r="F2335" s="10" t="s">
        <v>3687</v>
      </c>
      <c r="G2335" s="13" t="b">
        <v>0</v>
      </c>
      <c r="H2335" s="22"/>
      <c r="I2335" s="10" t="s">
        <v>89</v>
      </c>
      <c r="J2335" s="13" t="b">
        <v>0</v>
      </c>
      <c r="K2335" s="13" t="b">
        <v>1</v>
      </c>
      <c r="L2335" s="10" t="s">
        <v>124</v>
      </c>
      <c r="M2335" s="10" t="s">
        <v>91</v>
      </c>
      <c r="N2335" s="10" t="s">
        <v>92</v>
      </c>
      <c r="O2335" s="10"/>
      <c r="P2335" s="10"/>
      <c r="Q2335" s="10" t="s">
        <v>126</v>
      </c>
      <c r="R2335" s="10"/>
      <c r="S2335" s="10"/>
      <c r="T2335" s="10"/>
      <c r="U2335" s="10" t="s">
        <v>4992</v>
      </c>
      <c r="V2335" s="10" t="s">
        <v>3715</v>
      </c>
      <c r="W2335" s="10" t="s">
        <v>3692</v>
      </c>
      <c r="X2335" s="10" t="s">
        <v>130</v>
      </c>
      <c r="Y2335" s="10" t="s">
        <v>130</v>
      </c>
      <c r="Z2335" s="10" t="s">
        <v>99</v>
      </c>
      <c r="AA2335" s="10" t="s">
        <v>131</v>
      </c>
      <c r="AB2335" s="10" t="s">
        <v>3693</v>
      </c>
      <c r="AC2335" s="10" t="s">
        <v>3694</v>
      </c>
      <c r="AD2335" s="10" t="s">
        <v>17747</v>
      </c>
      <c r="AE2335" s="10" t="s">
        <v>17748</v>
      </c>
      <c r="AF2335" s="15"/>
      <c r="AG2335" s="10"/>
      <c r="AH2335" s="10"/>
      <c r="AI2335" s="10"/>
      <c r="AJ2335" s="10"/>
      <c r="AK2335" s="10" t="s">
        <v>256</v>
      </c>
      <c r="AL2335" s="10" t="s">
        <v>1773</v>
      </c>
      <c r="AM2335" s="10"/>
      <c r="AN2335" s="10"/>
      <c r="AO2335" s="13" t="b">
        <v>0</v>
      </c>
      <c r="AP2335" s="22" t="s">
        <v>104</v>
      </c>
      <c r="AQ2335" s="10"/>
      <c r="AR2335" s="17"/>
      <c r="AS2335" s="17"/>
      <c r="AT2335" s="17"/>
      <c r="AU2335" s="17"/>
      <c r="AV2335" s="17"/>
      <c r="AW2335" s="10"/>
      <c r="AX2335" s="17"/>
      <c r="AY2335" s="18" t="s">
        <v>257</v>
      </c>
      <c r="AZ2335" s="10"/>
      <c r="BA2335" s="20" t="b">
        <v>0</v>
      </c>
      <c r="BB2335" s="10"/>
      <c r="BC2335" s="17" t="s">
        <v>257</v>
      </c>
      <c r="BD2335" s="17" t="s">
        <v>257</v>
      </c>
      <c r="BE2335" s="17" t="s">
        <v>257</v>
      </c>
      <c r="BF2335" s="17" t="s">
        <v>257</v>
      </c>
      <c r="BG2335" s="11">
        <f ca="1">IFERROR(__xludf.DUMMYFUNCTION("""COMPUTED_VALUE"""),45998.03125)</f>
        <v>45998.03125</v>
      </c>
      <c r="BH2335" s="17"/>
      <c r="BI2335" s="17"/>
      <c r="BJ2335" s="15"/>
      <c r="BK2335" s="15"/>
      <c r="BL2335" s="13" t="b">
        <v>0</v>
      </c>
      <c r="BM2335" s="10"/>
      <c r="BN2335" s="10" t="s">
        <v>108</v>
      </c>
      <c r="BO2335" s="11">
        <v>45946.652777777781</v>
      </c>
      <c r="BP2335" s="11">
        <v>45946.65357638889</v>
      </c>
      <c r="BQ2335" s="15"/>
      <c r="BR2335" s="15"/>
      <c r="BS2335" s="10"/>
      <c r="BT2335" s="10"/>
      <c r="BU2335" s="10"/>
      <c r="BV2335" s="10"/>
      <c r="BW2335" s="10"/>
      <c r="BX2335" s="10"/>
      <c r="BY2335" s="23"/>
      <c r="BZ2335" s="23"/>
      <c r="CA2335" s="23"/>
      <c r="CB2335" s="23"/>
      <c r="CC2335" s="23"/>
      <c r="CD2335" s="23"/>
      <c r="CE2335" s="23"/>
      <c r="CF2335" s="23"/>
      <c r="CG2335" s="23"/>
      <c r="CH2335" s="23"/>
      <c r="CI2335" s="23"/>
    </row>
    <row r="2336" spans="1:87" x14ac:dyDescent="0.3">
      <c r="A2336" s="9" t="s">
        <v>17821</v>
      </c>
      <c r="B2336" s="10" t="s">
        <v>17822</v>
      </c>
      <c r="C2336" s="11">
        <v>46005.989583333336</v>
      </c>
      <c r="D2336" s="12">
        <v>8.3333333333333329E-2</v>
      </c>
      <c r="E2336" s="11">
        <v>46006.072916666664</v>
      </c>
      <c r="F2336" s="10" t="s">
        <v>3687</v>
      </c>
      <c r="G2336" s="13" t="b">
        <v>0</v>
      </c>
      <c r="H2336" s="22"/>
      <c r="I2336" s="10" t="s">
        <v>89</v>
      </c>
      <c r="J2336" s="13" t="b">
        <v>0</v>
      </c>
      <c r="K2336" s="13" t="b">
        <v>1</v>
      </c>
      <c r="L2336" s="10" t="s">
        <v>124</v>
      </c>
      <c r="M2336" s="10" t="s">
        <v>91</v>
      </c>
      <c r="N2336" s="10" t="s">
        <v>92</v>
      </c>
      <c r="O2336" s="10"/>
      <c r="P2336" s="10"/>
      <c r="Q2336" s="10" t="s">
        <v>126</v>
      </c>
      <c r="R2336" s="10"/>
      <c r="S2336" s="10"/>
      <c r="T2336" s="10"/>
      <c r="U2336" s="10" t="s">
        <v>3727</v>
      </c>
      <c r="V2336" s="10" t="s">
        <v>7708</v>
      </c>
      <c r="W2336" s="10" t="s">
        <v>3692</v>
      </c>
      <c r="X2336" s="10" t="s">
        <v>130</v>
      </c>
      <c r="Y2336" s="10" t="s">
        <v>130</v>
      </c>
      <c r="Z2336" s="10" t="s">
        <v>99</v>
      </c>
      <c r="AA2336" s="10" t="s">
        <v>131</v>
      </c>
      <c r="AB2336" s="10" t="s">
        <v>3693</v>
      </c>
      <c r="AC2336" s="10" t="s">
        <v>3694</v>
      </c>
      <c r="AD2336" s="10" t="s">
        <v>17823</v>
      </c>
      <c r="AE2336" s="10" t="s">
        <v>17824</v>
      </c>
      <c r="AF2336" s="15"/>
      <c r="AG2336" s="10"/>
      <c r="AH2336" s="10"/>
      <c r="AI2336" s="10"/>
      <c r="AJ2336" s="10"/>
      <c r="AK2336" s="10" t="s">
        <v>256</v>
      </c>
      <c r="AL2336" s="10" t="s">
        <v>1876</v>
      </c>
      <c r="AM2336" s="10"/>
      <c r="AN2336" s="10"/>
      <c r="AO2336" s="13" t="b">
        <v>0</v>
      </c>
      <c r="AP2336" s="22" t="s">
        <v>104</v>
      </c>
      <c r="AQ2336" s="10"/>
      <c r="AR2336" s="17"/>
      <c r="AS2336" s="17"/>
      <c r="AT2336" s="17"/>
      <c r="AU2336" s="17"/>
      <c r="AV2336" s="17"/>
      <c r="AW2336" s="10"/>
      <c r="AX2336" s="17"/>
      <c r="AY2336" s="18" t="s">
        <v>257</v>
      </c>
      <c r="AZ2336" s="10"/>
      <c r="BA2336" s="20" t="b">
        <v>0</v>
      </c>
      <c r="BB2336" s="10"/>
      <c r="BC2336" s="17" t="s">
        <v>257</v>
      </c>
      <c r="BD2336" s="17" t="s">
        <v>257</v>
      </c>
      <c r="BE2336" s="17" t="s">
        <v>257</v>
      </c>
      <c r="BF2336" s="17" t="s">
        <v>257</v>
      </c>
      <c r="BG2336" s="11">
        <f ca="1">IFERROR(__xludf.DUMMYFUNCTION("""COMPUTED_VALUE"""),46005.9895833333)</f>
        <v>46005.989583333299</v>
      </c>
      <c r="BH2336" s="17"/>
      <c r="BI2336" s="17"/>
      <c r="BJ2336" s="15"/>
      <c r="BK2336" s="15"/>
      <c r="BL2336" s="13" t="b">
        <v>0</v>
      </c>
      <c r="BM2336" s="10"/>
      <c r="BN2336" s="10" t="s">
        <v>108</v>
      </c>
      <c r="BO2336" s="11">
        <v>45946.65347222222</v>
      </c>
      <c r="BP2336" s="11">
        <v>45946.653796296298</v>
      </c>
      <c r="BQ2336" s="15"/>
      <c r="BR2336" s="15"/>
      <c r="BS2336" s="10"/>
      <c r="BT2336" s="10"/>
      <c r="BU2336" s="10"/>
      <c r="BV2336" s="10"/>
      <c r="BW2336" s="10"/>
      <c r="BX2336" s="10"/>
      <c r="BY2336" s="23"/>
      <c r="BZ2336" s="23"/>
      <c r="CA2336" s="23"/>
      <c r="CB2336" s="23"/>
      <c r="CC2336" s="23"/>
      <c r="CD2336" s="23"/>
      <c r="CE2336" s="23"/>
      <c r="CF2336" s="23"/>
      <c r="CG2336" s="23"/>
      <c r="CH2336" s="23"/>
      <c r="CI2336" s="23"/>
    </row>
    <row r="2337" spans="1:87" x14ac:dyDescent="0.3">
      <c r="A2337" s="25" t="s">
        <v>17825</v>
      </c>
      <c r="B2337" s="10" t="s">
        <v>17762</v>
      </c>
      <c r="C2337" s="11">
        <v>45998.125</v>
      </c>
      <c r="D2337" s="12">
        <v>8.3333333333333329E-2</v>
      </c>
      <c r="E2337" s="11">
        <v>45998.208333333336</v>
      </c>
      <c r="F2337" s="10" t="s">
        <v>3687</v>
      </c>
      <c r="G2337" s="13" t="b">
        <v>0</v>
      </c>
      <c r="H2337" s="22"/>
      <c r="I2337" s="10" t="s">
        <v>89</v>
      </c>
      <c r="J2337" s="13" t="b">
        <v>0</v>
      </c>
      <c r="K2337" s="13" t="b">
        <v>1</v>
      </c>
      <c r="L2337" s="10" t="s">
        <v>124</v>
      </c>
      <c r="M2337" s="10" t="s">
        <v>91</v>
      </c>
      <c r="N2337" s="10" t="s">
        <v>92</v>
      </c>
      <c r="O2337" s="10"/>
      <c r="P2337" s="10"/>
      <c r="Q2337" s="10" t="s">
        <v>126</v>
      </c>
      <c r="R2337" s="10"/>
      <c r="S2337" s="10"/>
      <c r="T2337" s="10"/>
      <c r="U2337" s="10" t="s">
        <v>3690</v>
      </c>
      <c r="V2337" s="10" t="s">
        <v>8468</v>
      </c>
      <c r="W2337" s="10" t="s">
        <v>3692</v>
      </c>
      <c r="X2337" s="10" t="s">
        <v>130</v>
      </c>
      <c r="Y2337" s="10" t="s">
        <v>130</v>
      </c>
      <c r="Z2337" s="10" t="s">
        <v>99</v>
      </c>
      <c r="AA2337" s="10" t="s">
        <v>131</v>
      </c>
      <c r="AB2337" s="10" t="s">
        <v>3693</v>
      </c>
      <c r="AC2337" s="10" t="s">
        <v>3694</v>
      </c>
      <c r="AD2337" s="10" t="s">
        <v>17766</v>
      </c>
      <c r="AE2337" s="10" t="s">
        <v>17767</v>
      </c>
      <c r="AF2337" s="15"/>
      <c r="AG2337" s="10"/>
      <c r="AH2337" s="10"/>
      <c r="AI2337" s="10"/>
      <c r="AJ2337" s="10"/>
      <c r="AK2337" s="10" t="s">
        <v>256</v>
      </c>
      <c r="AL2337" s="10" t="s">
        <v>1773</v>
      </c>
      <c r="AM2337" s="10"/>
      <c r="AN2337" s="10"/>
      <c r="AO2337" s="13" t="b">
        <v>0</v>
      </c>
      <c r="AP2337" s="22" t="s">
        <v>104</v>
      </c>
      <c r="AQ2337" s="10"/>
      <c r="AR2337" s="17"/>
      <c r="AS2337" s="17"/>
      <c r="AT2337" s="17"/>
      <c r="AU2337" s="17"/>
      <c r="AV2337" s="17"/>
      <c r="AW2337" s="10"/>
      <c r="AX2337" s="17"/>
      <c r="AY2337" s="18" t="s">
        <v>257</v>
      </c>
      <c r="AZ2337" s="10"/>
      <c r="BA2337" s="20" t="b">
        <v>0</v>
      </c>
      <c r="BB2337" s="10"/>
      <c r="BC2337" s="17" t="s">
        <v>257</v>
      </c>
      <c r="BD2337" s="17" t="s">
        <v>257</v>
      </c>
      <c r="BE2337" s="17" t="s">
        <v>257</v>
      </c>
      <c r="BF2337" s="17" t="s">
        <v>257</v>
      </c>
      <c r="BG2337" s="11">
        <f ca="1">IFERROR(__xludf.DUMMYFUNCTION("""COMPUTED_VALUE"""),45998.125)</f>
        <v>45998.125</v>
      </c>
      <c r="BH2337" s="17"/>
      <c r="BI2337" s="17"/>
      <c r="BJ2337" s="15"/>
      <c r="BK2337" s="15"/>
      <c r="BL2337" s="13" t="b">
        <v>0</v>
      </c>
      <c r="BM2337" s="10"/>
      <c r="BN2337" s="10" t="s">
        <v>108</v>
      </c>
      <c r="BO2337" s="11">
        <v>45946.654166666667</v>
      </c>
      <c r="BP2337" s="11">
        <v>45946.65425925926</v>
      </c>
      <c r="BQ2337" s="15"/>
      <c r="BR2337" s="15"/>
      <c r="BS2337" s="10"/>
      <c r="BT2337" s="10"/>
      <c r="BU2337" s="10"/>
      <c r="BV2337" s="10"/>
      <c r="BW2337" s="10"/>
      <c r="BX2337" s="10"/>
      <c r="BY2337" s="23"/>
      <c r="BZ2337" s="23"/>
      <c r="CA2337" s="23"/>
      <c r="CB2337" s="23"/>
      <c r="CC2337" s="23"/>
      <c r="CD2337" s="23"/>
      <c r="CE2337" s="23"/>
      <c r="CF2337" s="23"/>
      <c r="CG2337" s="23"/>
      <c r="CH2337" s="23"/>
      <c r="CI2337" s="23"/>
    </row>
    <row r="2338" spans="1:87" x14ac:dyDescent="0.3">
      <c r="A2338" s="25" t="s">
        <v>17826</v>
      </c>
      <c r="B2338" s="10" t="s">
        <v>17781</v>
      </c>
      <c r="C2338" s="11">
        <v>45998.854166666664</v>
      </c>
      <c r="D2338" s="12">
        <v>8.3333333333333329E-2</v>
      </c>
      <c r="E2338" s="11">
        <v>45998.9375</v>
      </c>
      <c r="F2338" s="10" t="s">
        <v>3687</v>
      </c>
      <c r="G2338" s="13" t="b">
        <v>0</v>
      </c>
      <c r="H2338" s="22"/>
      <c r="I2338" s="10" t="s">
        <v>89</v>
      </c>
      <c r="J2338" s="13" t="b">
        <v>0</v>
      </c>
      <c r="K2338" s="13" t="b">
        <v>1</v>
      </c>
      <c r="L2338" s="10" t="s">
        <v>124</v>
      </c>
      <c r="M2338" s="10" t="s">
        <v>91</v>
      </c>
      <c r="N2338" s="10" t="s">
        <v>92</v>
      </c>
      <c r="O2338" s="10"/>
      <c r="P2338" s="10"/>
      <c r="Q2338" s="10" t="s">
        <v>126</v>
      </c>
      <c r="R2338" s="10"/>
      <c r="S2338" s="10"/>
      <c r="T2338" s="10"/>
      <c r="U2338" s="10" t="s">
        <v>3727</v>
      </c>
      <c r="V2338" s="10" t="s">
        <v>4993</v>
      </c>
      <c r="W2338" s="10" t="s">
        <v>3692</v>
      </c>
      <c r="X2338" s="10" t="s">
        <v>130</v>
      </c>
      <c r="Y2338" s="10" t="s">
        <v>130</v>
      </c>
      <c r="Z2338" s="10" t="s">
        <v>99</v>
      </c>
      <c r="AA2338" s="10" t="s">
        <v>131</v>
      </c>
      <c r="AB2338" s="10" t="s">
        <v>3693</v>
      </c>
      <c r="AC2338" s="10" t="s">
        <v>3694</v>
      </c>
      <c r="AD2338" s="10" t="s">
        <v>17785</v>
      </c>
      <c r="AE2338" s="10" t="s">
        <v>17786</v>
      </c>
      <c r="AF2338" s="15"/>
      <c r="AG2338" s="10"/>
      <c r="AH2338" s="10"/>
      <c r="AI2338" s="10"/>
      <c r="AJ2338" s="10"/>
      <c r="AK2338" s="10" t="s">
        <v>256</v>
      </c>
      <c r="AL2338" s="10" t="s">
        <v>1773</v>
      </c>
      <c r="AM2338" s="10"/>
      <c r="AN2338" s="10"/>
      <c r="AO2338" s="13" t="b">
        <v>0</v>
      </c>
      <c r="AP2338" s="22" t="s">
        <v>104</v>
      </c>
      <c r="AQ2338" s="10"/>
      <c r="AR2338" s="17"/>
      <c r="AS2338" s="17"/>
      <c r="AT2338" s="17"/>
      <c r="AU2338" s="17"/>
      <c r="AV2338" s="17"/>
      <c r="AW2338" s="10"/>
      <c r="AX2338" s="17"/>
      <c r="AY2338" s="18" t="s">
        <v>257</v>
      </c>
      <c r="AZ2338" s="10"/>
      <c r="BA2338" s="20" t="b">
        <v>0</v>
      </c>
      <c r="BB2338" s="10"/>
      <c r="BC2338" s="17" t="s">
        <v>257</v>
      </c>
      <c r="BD2338" s="17" t="s">
        <v>257</v>
      </c>
      <c r="BE2338" s="17" t="s">
        <v>257</v>
      </c>
      <c r="BF2338" s="17" t="s">
        <v>257</v>
      </c>
      <c r="BG2338" s="11">
        <f ca="1">IFERROR(__xludf.DUMMYFUNCTION("""COMPUTED_VALUE"""),45998.8541666666)</f>
        <v>45998.854166666599</v>
      </c>
      <c r="BH2338" s="17"/>
      <c r="BI2338" s="17"/>
      <c r="BJ2338" s="15"/>
      <c r="BK2338" s="15"/>
      <c r="BL2338" s="13" t="b">
        <v>0</v>
      </c>
      <c r="BM2338" s="10"/>
      <c r="BN2338" s="10" t="s">
        <v>108</v>
      </c>
      <c r="BO2338" s="11">
        <v>45946.654166666667</v>
      </c>
      <c r="BP2338" s="11">
        <v>45946.654803240737</v>
      </c>
      <c r="BQ2338" s="15"/>
      <c r="BR2338" s="15"/>
      <c r="BS2338" s="10"/>
      <c r="BT2338" s="10"/>
      <c r="BU2338" s="10"/>
      <c r="BV2338" s="10"/>
      <c r="BW2338" s="10"/>
      <c r="BX2338" s="10"/>
      <c r="BY2338" s="23"/>
      <c r="BZ2338" s="23"/>
      <c r="CA2338" s="23"/>
      <c r="CB2338" s="23"/>
      <c r="CC2338" s="23"/>
      <c r="CD2338" s="23"/>
      <c r="CE2338" s="23"/>
      <c r="CF2338" s="23"/>
      <c r="CG2338" s="23"/>
      <c r="CH2338" s="23"/>
      <c r="CI2338" s="23"/>
    </row>
    <row r="2339" spans="1:87" x14ac:dyDescent="0.3">
      <c r="A2339" s="9" t="s">
        <v>17827</v>
      </c>
      <c r="B2339" s="10" t="s">
        <v>17802</v>
      </c>
      <c r="C2339" s="11">
        <v>46005.083333333336</v>
      </c>
      <c r="D2339" s="12">
        <v>8.3333333333333329E-2</v>
      </c>
      <c r="E2339" s="11">
        <v>46005.166666666664</v>
      </c>
      <c r="F2339" s="10" t="s">
        <v>3687</v>
      </c>
      <c r="G2339" s="13" t="b">
        <v>0</v>
      </c>
      <c r="H2339" s="22"/>
      <c r="I2339" s="10" t="s">
        <v>89</v>
      </c>
      <c r="J2339" s="13" t="b">
        <v>0</v>
      </c>
      <c r="K2339" s="13" t="b">
        <v>1</v>
      </c>
      <c r="L2339" s="10" t="s">
        <v>124</v>
      </c>
      <c r="M2339" s="10" t="s">
        <v>91</v>
      </c>
      <c r="N2339" s="10" t="s">
        <v>92</v>
      </c>
      <c r="O2339" s="10"/>
      <c r="P2339" s="10"/>
      <c r="Q2339" s="10" t="s">
        <v>126</v>
      </c>
      <c r="R2339" s="10"/>
      <c r="S2339" s="10"/>
      <c r="T2339" s="10"/>
      <c r="U2339" s="10" t="s">
        <v>3704</v>
      </c>
      <c r="V2339" s="10" t="s">
        <v>7719</v>
      </c>
      <c r="W2339" s="10" t="s">
        <v>3692</v>
      </c>
      <c r="X2339" s="10" t="s">
        <v>130</v>
      </c>
      <c r="Y2339" s="10" t="s">
        <v>130</v>
      </c>
      <c r="Z2339" s="10" t="s">
        <v>99</v>
      </c>
      <c r="AA2339" s="10" t="s">
        <v>131</v>
      </c>
      <c r="AB2339" s="10" t="s">
        <v>3693</v>
      </c>
      <c r="AC2339" s="10" t="s">
        <v>3694</v>
      </c>
      <c r="AD2339" s="10" t="s">
        <v>17805</v>
      </c>
      <c r="AE2339" s="10" t="s">
        <v>17806</v>
      </c>
      <c r="AF2339" s="15"/>
      <c r="AG2339" s="10"/>
      <c r="AH2339" s="10"/>
      <c r="AI2339" s="10"/>
      <c r="AJ2339" s="10"/>
      <c r="AK2339" s="10" t="s">
        <v>256</v>
      </c>
      <c r="AL2339" s="10" t="s">
        <v>1876</v>
      </c>
      <c r="AM2339" s="10"/>
      <c r="AN2339" s="10"/>
      <c r="AO2339" s="13" t="b">
        <v>0</v>
      </c>
      <c r="AP2339" s="22" t="s">
        <v>104</v>
      </c>
      <c r="AQ2339" s="10"/>
      <c r="AR2339" s="17"/>
      <c r="AS2339" s="17"/>
      <c r="AT2339" s="17"/>
      <c r="AU2339" s="17"/>
      <c r="AV2339" s="17"/>
      <c r="AW2339" s="10"/>
      <c r="AX2339" s="17"/>
      <c r="AY2339" s="18" t="s">
        <v>257</v>
      </c>
      <c r="AZ2339" s="10"/>
      <c r="BA2339" s="20" t="b">
        <v>0</v>
      </c>
      <c r="BB2339" s="10"/>
      <c r="BC2339" s="17" t="s">
        <v>257</v>
      </c>
      <c r="BD2339" s="17" t="s">
        <v>257</v>
      </c>
      <c r="BE2339" s="17" t="s">
        <v>257</v>
      </c>
      <c r="BF2339" s="17" t="s">
        <v>257</v>
      </c>
      <c r="BG2339" s="11">
        <f ca="1">IFERROR(__xludf.DUMMYFUNCTION("""COMPUTED_VALUE"""),46005.0833333333)</f>
        <v>46005.083333333299</v>
      </c>
      <c r="BH2339" s="17"/>
      <c r="BI2339" s="17"/>
      <c r="BJ2339" s="15"/>
      <c r="BK2339" s="15"/>
      <c r="BL2339" s="13" t="b">
        <v>0</v>
      </c>
      <c r="BM2339" s="10"/>
      <c r="BN2339" s="10" t="s">
        <v>108</v>
      </c>
      <c r="BO2339" s="11">
        <v>45946.655555555553</v>
      </c>
      <c r="BP2339" s="11">
        <v>45946.655833333331</v>
      </c>
      <c r="BQ2339" s="15"/>
      <c r="BR2339" s="15"/>
      <c r="BS2339" s="10"/>
      <c r="BT2339" s="10"/>
      <c r="BU2339" s="10"/>
      <c r="BV2339" s="10"/>
      <c r="BW2339" s="10"/>
      <c r="BX2339" s="10"/>
      <c r="BY2339" s="23"/>
      <c r="BZ2339" s="23"/>
      <c r="CA2339" s="23"/>
      <c r="CB2339" s="23"/>
      <c r="CC2339" s="23"/>
      <c r="CD2339" s="23"/>
      <c r="CE2339" s="23"/>
      <c r="CF2339" s="23"/>
      <c r="CG2339" s="23"/>
      <c r="CH2339" s="23"/>
      <c r="CI2339" s="23"/>
    </row>
    <row r="2340" spans="1:87" x14ac:dyDescent="0.3">
      <c r="A2340" s="9" t="s">
        <v>17828</v>
      </c>
      <c r="B2340" s="10" t="s">
        <v>17812</v>
      </c>
      <c r="C2340" s="11">
        <v>46005.854166666664</v>
      </c>
      <c r="D2340" s="12">
        <v>8.3333333333333329E-2</v>
      </c>
      <c r="E2340" s="11">
        <v>46005.9375</v>
      </c>
      <c r="F2340" s="10" t="s">
        <v>3687</v>
      </c>
      <c r="G2340" s="13" t="b">
        <v>0</v>
      </c>
      <c r="H2340" s="22"/>
      <c r="I2340" s="10" t="s">
        <v>89</v>
      </c>
      <c r="J2340" s="13" t="b">
        <v>0</v>
      </c>
      <c r="K2340" s="13" t="b">
        <v>1</v>
      </c>
      <c r="L2340" s="10" t="s">
        <v>124</v>
      </c>
      <c r="M2340" s="10" t="s">
        <v>91</v>
      </c>
      <c r="N2340" s="10" t="s">
        <v>92</v>
      </c>
      <c r="O2340" s="10"/>
      <c r="P2340" s="10"/>
      <c r="Q2340" s="10" t="s">
        <v>126</v>
      </c>
      <c r="R2340" s="10"/>
      <c r="S2340" s="10"/>
      <c r="T2340" s="10"/>
      <c r="U2340" s="10" t="s">
        <v>3715</v>
      </c>
      <c r="V2340" s="10" t="s">
        <v>3690</v>
      </c>
      <c r="W2340" s="10" t="s">
        <v>3692</v>
      </c>
      <c r="X2340" s="10" t="s">
        <v>130</v>
      </c>
      <c r="Y2340" s="10" t="s">
        <v>130</v>
      </c>
      <c r="Z2340" s="10" t="s">
        <v>99</v>
      </c>
      <c r="AA2340" s="10" t="s">
        <v>131</v>
      </c>
      <c r="AB2340" s="10" t="s">
        <v>3693</v>
      </c>
      <c r="AC2340" s="10" t="s">
        <v>3694</v>
      </c>
      <c r="AD2340" s="10" t="s">
        <v>17815</v>
      </c>
      <c r="AE2340" s="10" t="s">
        <v>17816</v>
      </c>
      <c r="AF2340" s="15"/>
      <c r="AG2340" s="10"/>
      <c r="AH2340" s="10"/>
      <c r="AI2340" s="10"/>
      <c r="AJ2340" s="10"/>
      <c r="AK2340" s="10" t="s">
        <v>256</v>
      </c>
      <c r="AL2340" s="10" t="s">
        <v>1876</v>
      </c>
      <c r="AM2340" s="10"/>
      <c r="AN2340" s="10"/>
      <c r="AO2340" s="13" t="b">
        <v>0</v>
      </c>
      <c r="AP2340" s="22" t="s">
        <v>104</v>
      </c>
      <c r="AQ2340" s="10"/>
      <c r="AR2340" s="17"/>
      <c r="AS2340" s="17"/>
      <c r="AT2340" s="17"/>
      <c r="AU2340" s="17"/>
      <c r="AV2340" s="17"/>
      <c r="AW2340" s="10"/>
      <c r="AX2340" s="17"/>
      <c r="AY2340" s="18" t="s">
        <v>257</v>
      </c>
      <c r="AZ2340" s="10"/>
      <c r="BA2340" s="20" t="b">
        <v>0</v>
      </c>
      <c r="BB2340" s="10"/>
      <c r="BC2340" s="17" t="s">
        <v>257</v>
      </c>
      <c r="BD2340" s="17" t="s">
        <v>257</v>
      </c>
      <c r="BE2340" s="17" t="s">
        <v>257</v>
      </c>
      <c r="BF2340" s="17" t="s">
        <v>257</v>
      </c>
      <c r="BG2340" s="11">
        <f ca="1">IFERROR(__xludf.DUMMYFUNCTION("""COMPUTED_VALUE"""),46005.8541666666)</f>
        <v>46005.854166666599</v>
      </c>
      <c r="BH2340" s="17"/>
      <c r="BI2340" s="17"/>
      <c r="BJ2340" s="15"/>
      <c r="BK2340" s="15"/>
      <c r="BL2340" s="13" t="b">
        <v>0</v>
      </c>
      <c r="BM2340" s="10"/>
      <c r="BN2340" s="10" t="s">
        <v>108</v>
      </c>
      <c r="BO2340" s="11">
        <v>45946.65625</v>
      </c>
      <c r="BP2340" s="11">
        <v>45946.656412037039</v>
      </c>
      <c r="BQ2340" s="15"/>
      <c r="BR2340" s="15"/>
      <c r="BS2340" s="10"/>
      <c r="BT2340" s="10"/>
      <c r="BU2340" s="10"/>
      <c r="BV2340" s="10"/>
      <c r="BW2340" s="10"/>
      <c r="BX2340" s="10"/>
      <c r="BY2340" s="23"/>
      <c r="BZ2340" s="23"/>
      <c r="CA2340" s="23"/>
      <c r="CB2340" s="23"/>
      <c r="CC2340" s="23"/>
      <c r="CD2340" s="23"/>
      <c r="CE2340" s="23"/>
      <c r="CF2340" s="23"/>
      <c r="CG2340" s="23"/>
      <c r="CH2340" s="23"/>
      <c r="CI2340" s="23"/>
    </row>
    <row r="2341" spans="1:87" x14ac:dyDescent="0.3">
      <c r="A2341" s="9" t="s">
        <v>17829</v>
      </c>
      <c r="B2341" s="10" t="s">
        <v>17822</v>
      </c>
      <c r="C2341" s="11">
        <v>46005.947916666664</v>
      </c>
      <c r="D2341" s="12">
        <v>8.3333333333333329E-2</v>
      </c>
      <c r="E2341" s="11">
        <v>46006.03125</v>
      </c>
      <c r="F2341" s="10" t="s">
        <v>3687</v>
      </c>
      <c r="G2341" s="13" t="b">
        <v>0</v>
      </c>
      <c r="H2341" s="22" t="s">
        <v>88</v>
      </c>
      <c r="I2341" s="10" t="s">
        <v>89</v>
      </c>
      <c r="J2341" s="13" t="b">
        <v>0</v>
      </c>
      <c r="K2341" s="13" t="b">
        <v>1</v>
      </c>
      <c r="L2341" s="10" t="s">
        <v>124</v>
      </c>
      <c r="M2341" s="10" t="s">
        <v>91</v>
      </c>
      <c r="N2341" s="10" t="s">
        <v>92</v>
      </c>
      <c r="O2341" s="19" t="s">
        <v>17830</v>
      </c>
      <c r="P2341" s="10"/>
      <c r="Q2341" s="10" t="s">
        <v>126</v>
      </c>
      <c r="R2341" s="10"/>
      <c r="S2341" s="19" t="s">
        <v>17831</v>
      </c>
      <c r="T2341" s="10"/>
      <c r="U2341" s="10" t="s">
        <v>3727</v>
      </c>
      <c r="V2341" s="10" t="s">
        <v>7708</v>
      </c>
      <c r="W2341" s="10" t="s">
        <v>3692</v>
      </c>
      <c r="X2341" s="10" t="s">
        <v>130</v>
      </c>
      <c r="Y2341" s="10" t="s">
        <v>130</v>
      </c>
      <c r="Z2341" s="10" t="s">
        <v>99</v>
      </c>
      <c r="AA2341" s="10" t="s">
        <v>131</v>
      </c>
      <c r="AB2341" s="10" t="s">
        <v>3693</v>
      </c>
      <c r="AC2341" s="10" t="s">
        <v>3694</v>
      </c>
      <c r="AD2341" s="10" t="s">
        <v>17823</v>
      </c>
      <c r="AE2341" s="10" t="s">
        <v>17824</v>
      </c>
      <c r="AF2341" s="15"/>
      <c r="AG2341" s="10"/>
      <c r="AH2341" s="10"/>
      <c r="AI2341" s="10"/>
      <c r="AJ2341" s="10"/>
      <c r="AK2341" s="10" t="s">
        <v>256</v>
      </c>
      <c r="AL2341" s="10" t="s">
        <v>1876</v>
      </c>
      <c r="AM2341" s="10"/>
      <c r="AN2341" s="10"/>
      <c r="AO2341" s="13" t="b">
        <v>0</v>
      </c>
      <c r="AP2341" s="22" t="s">
        <v>104</v>
      </c>
      <c r="AQ2341" s="10">
        <f ca="1">IFERROR(__xludf.DUMMYFUNCTION("""COMPUTED_VALUE"""),4773369)</f>
        <v>4773369</v>
      </c>
      <c r="AR2341" s="17"/>
      <c r="AS2341" s="17"/>
      <c r="AT2341" s="17"/>
      <c r="AU2341" s="17"/>
      <c r="AV2341" s="17"/>
      <c r="AW2341" s="10"/>
      <c r="AX2341" s="17"/>
      <c r="AY2341" s="18" t="s">
        <v>257</v>
      </c>
      <c r="AZ2341" s="10" t="s">
        <v>136</v>
      </c>
      <c r="BA2341" s="20" t="b">
        <v>0</v>
      </c>
      <c r="BB2341" s="10"/>
      <c r="BC2341" s="17" t="s">
        <v>257</v>
      </c>
      <c r="BD2341" s="17" t="s">
        <v>257</v>
      </c>
      <c r="BE2341" s="17" t="s">
        <v>257</v>
      </c>
      <c r="BF2341" s="17" t="s">
        <v>257</v>
      </c>
      <c r="BG2341" s="11">
        <f ca="1">IFERROR(__xludf.DUMMYFUNCTION("""COMPUTED_VALUE"""),46005.9479166666)</f>
        <v>46005.947916666599</v>
      </c>
      <c r="BH2341" s="17"/>
      <c r="BI2341" s="17"/>
      <c r="BJ2341" s="15"/>
      <c r="BK2341" s="15"/>
      <c r="BL2341" s="13" t="b">
        <v>0</v>
      </c>
      <c r="BM2341" s="10"/>
      <c r="BN2341" s="10" t="s">
        <v>8437</v>
      </c>
      <c r="BO2341" s="11">
        <v>45946.656944444447</v>
      </c>
      <c r="BP2341" s="11">
        <v>45999.551828703705</v>
      </c>
      <c r="BQ2341" s="15">
        <v>46003.464236111111</v>
      </c>
      <c r="BR2341" s="15">
        <v>46000.66609953704</v>
      </c>
      <c r="BS2341" s="10"/>
      <c r="BT2341" s="10" t="s">
        <v>279</v>
      </c>
      <c r="BU2341" s="10"/>
      <c r="BV2341" s="10"/>
      <c r="BW2341" s="10"/>
      <c r="BX2341" s="10"/>
      <c r="BY2341" s="23"/>
      <c r="BZ2341" s="23"/>
      <c r="CA2341" s="19" t="s">
        <v>17832</v>
      </c>
      <c r="CB2341" s="19" t="s">
        <v>17833</v>
      </c>
      <c r="CC2341" s="23"/>
      <c r="CD2341" s="19" t="s">
        <v>17834</v>
      </c>
      <c r="CE2341" s="23"/>
      <c r="CF2341" s="23"/>
      <c r="CG2341" s="23"/>
      <c r="CH2341" s="23"/>
      <c r="CI2341" s="23"/>
    </row>
    <row r="2342" spans="1:87" x14ac:dyDescent="0.3">
      <c r="A2342" s="9" t="s">
        <v>17835</v>
      </c>
      <c r="B2342" s="10" t="s">
        <v>17670</v>
      </c>
      <c r="C2342" s="11">
        <v>46012.083333333336</v>
      </c>
      <c r="D2342" s="12">
        <v>8.3333333333333329E-2</v>
      </c>
      <c r="E2342" s="11">
        <v>46012.166666666664</v>
      </c>
      <c r="F2342" s="10" t="s">
        <v>3687</v>
      </c>
      <c r="G2342" s="13" t="b">
        <v>0</v>
      </c>
      <c r="H2342" s="22"/>
      <c r="I2342" s="10" t="s">
        <v>89</v>
      </c>
      <c r="J2342" s="13" t="b">
        <v>0</v>
      </c>
      <c r="K2342" s="13" t="b">
        <v>1</v>
      </c>
      <c r="L2342" s="10" t="s">
        <v>124</v>
      </c>
      <c r="M2342" s="10" t="s">
        <v>91</v>
      </c>
      <c r="N2342" s="10" t="s">
        <v>92</v>
      </c>
      <c r="O2342" s="10"/>
      <c r="P2342" s="10"/>
      <c r="Q2342" s="10" t="s">
        <v>126</v>
      </c>
      <c r="R2342" s="10"/>
      <c r="S2342" s="10"/>
      <c r="T2342" s="10"/>
      <c r="U2342" s="10" t="s">
        <v>7720</v>
      </c>
      <c r="V2342" s="10" t="s">
        <v>3715</v>
      </c>
      <c r="W2342" s="10" t="s">
        <v>3692</v>
      </c>
      <c r="X2342" s="10" t="s">
        <v>130</v>
      </c>
      <c r="Y2342" s="10" t="s">
        <v>130</v>
      </c>
      <c r="Z2342" s="10" t="s">
        <v>99</v>
      </c>
      <c r="AA2342" s="10" t="s">
        <v>131</v>
      </c>
      <c r="AB2342" s="10" t="s">
        <v>3693</v>
      </c>
      <c r="AC2342" s="10" t="s">
        <v>3694</v>
      </c>
      <c r="AD2342" s="10" t="s">
        <v>17673</v>
      </c>
      <c r="AE2342" s="10" t="s">
        <v>17674</v>
      </c>
      <c r="AF2342" s="15"/>
      <c r="AG2342" s="10"/>
      <c r="AH2342" s="10"/>
      <c r="AI2342" s="10"/>
      <c r="AJ2342" s="10"/>
      <c r="AK2342" s="10" t="s">
        <v>256</v>
      </c>
      <c r="AL2342" s="10" t="s">
        <v>1988</v>
      </c>
      <c r="AM2342" s="10"/>
      <c r="AN2342" s="10"/>
      <c r="AO2342" s="13" t="b">
        <v>0</v>
      </c>
      <c r="AP2342" s="22" t="s">
        <v>104</v>
      </c>
      <c r="AQ2342" s="10"/>
      <c r="AR2342" s="17"/>
      <c r="AS2342" s="17"/>
      <c r="AT2342" s="17"/>
      <c r="AU2342" s="17"/>
      <c r="AV2342" s="17"/>
      <c r="AW2342" s="10"/>
      <c r="AX2342" s="17"/>
      <c r="AY2342" s="18" t="s">
        <v>257</v>
      </c>
      <c r="AZ2342" s="10"/>
      <c r="BA2342" s="20" t="b">
        <v>0</v>
      </c>
      <c r="BB2342" s="10"/>
      <c r="BC2342" s="17" t="s">
        <v>257</v>
      </c>
      <c r="BD2342" s="17" t="s">
        <v>257</v>
      </c>
      <c r="BE2342" s="17" t="s">
        <v>257</v>
      </c>
      <c r="BF2342" s="17" t="s">
        <v>257</v>
      </c>
      <c r="BG2342" s="11">
        <f ca="1">IFERROR(__xludf.DUMMYFUNCTION("""COMPUTED_VALUE"""),46012.0833333333)</f>
        <v>46012.083333333299</v>
      </c>
      <c r="BH2342" s="17"/>
      <c r="BI2342" s="17"/>
      <c r="BJ2342" s="15"/>
      <c r="BK2342" s="15"/>
      <c r="BL2342" s="13" t="b">
        <v>0</v>
      </c>
      <c r="BM2342" s="10"/>
      <c r="BN2342" s="10" t="s">
        <v>108</v>
      </c>
      <c r="BO2342" s="11">
        <v>45946.657638888886</v>
      </c>
      <c r="BP2342" s="11">
        <v>45946.657870370371</v>
      </c>
      <c r="BQ2342" s="15"/>
      <c r="BR2342" s="15"/>
      <c r="BS2342" s="10"/>
      <c r="BT2342" s="10"/>
      <c r="BU2342" s="10"/>
      <c r="BV2342" s="10"/>
      <c r="BW2342" s="10"/>
      <c r="BX2342" s="10"/>
      <c r="BY2342" s="23"/>
      <c r="BZ2342" s="23"/>
      <c r="CA2342" s="23"/>
      <c r="CB2342" s="23"/>
      <c r="CC2342" s="23"/>
      <c r="CD2342" s="23"/>
      <c r="CE2342" s="23"/>
      <c r="CF2342" s="23"/>
      <c r="CG2342" s="23"/>
      <c r="CH2342" s="23"/>
      <c r="CI2342" s="23"/>
    </row>
    <row r="2343" spans="1:87" x14ac:dyDescent="0.3">
      <c r="A2343" s="9" t="s">
        <v>17836</v>
      </c>
      <c r="B2343" s="10" t="s">
        <v>17688</v>
      </c>
      <c r="C2343" s="11">
        <v>46012.760416666664</v>
      </c>
      <c r="D2343" s="12">
        <v>8.3333333333333329E-2</v>
      </c>
      <c r="E2343" s="11">
        <v>46012.84375</v>
      </c>
      <c r="F2343" s="10" t="s">
        <v>3687</v>
      </c>
      <c r="G2343" s="13" t="b">
        <v>0</v>
      </c>
      <c r="H2343" s="22"/>
      <c r="I2343" s="10" t="s">
        <v>89</v>
      </c>
      <c r="J2343" s="13" t="b">
        <v>0</v>
      </c>
      <c r="K2343" s="13" t="b">
        <v>1</v>
      </c>
      <c r="L2343" s="10" t="s">
        <v>124</v>
      </c>
      <c r="M2343" s="10" t="s">
        <v>91</v>
      </c>
      <c r="N2343" s="10" t="s">
        <v>92</v>
      </c>
      <c r="O2343" s="10"/>
      <c r="P2343" s="10"/>
      <c r="Q2343" s="10" t="s">
        <v>126</v>
      </c>
      <c r="R2343" s="10"/>
      <c r="S2343" s="10"/>
      <c r="T2343" s="10"/>
      <c r="U2343" s="10" t="s">
        <v>8476</v>
      </c>
      <c r="V2343" s="10" t="s">
        <v>3704</v>
      </c>
      <c r="W2343" s="10" t="s">
        <v>3692</v>
      </c>
      <c r="X2343" s="10" t="s">
        <v>130</v>
      </c>
      <c r="Y2343" s="10" t="s">
        <v>130</v>
      </c>
      <c r="Z2343" s="10" t="s">
        <v>99</v>
      </c>
      <c r="AA2343" s="10" t="s">
        <v>131</v>
      </c>
      <c r="AB2343" s="10" t="s">
        <v>3693</v>
      </c>
      <c r="AC2343" s="10" t="s">
        <v>3694</v>
      </c>
      <c r="AD2343" s="10" t="s">
        <v>17691</v>
      </c>
      <c r="AE2343" s="10" t="s">
        <v>17692</v>
      </c>
      <c r="AF2343" s="15"/>
      <c r="AG2343" s="10"/>
      <c r="AH2343" s="10"/>
      <c r="AI2343" s="10"/>
      <c r="AJ2343" s="10"/>
      <c r="AK2343" s="10" t="s">
        <v>256</v>
      </c>
      <c r="AL2343" s="10" t="s">
        <v>1988</v>
      </c>
      <c r="AM2343" s="10"/>
      <c r="AN2343" s="10"/>
      <c r="AO2343" s="13" t="b">
        <v>0</v>
      </c>
      <c r="AP2343" s="22" t="s">
        <v>104</v>
      </c>
      <c r="AQ2343" s="10"/>
      <c r="AR2343" s="17"/>
      <c r="AS2343" s="17"/>
      <c r="AT2343" s="17"/>
      <c r="AU2343" s="17"/>
      <c r="AV2343" s="17"/>
      <c r="AW2343" s="10"/>
      <c r="AX2343" s="17"/>
      <c r="AY2343" s="18" t="s">
        <v>257</v>
      </c>
      <c r="AZ2343" s="10"/>
      <c r="BA2343" s="20" t="b">
        <v>0</v>
      </c>
      <c r="BB2343" s="10"/>
      <c r="BC2343" s="17" t="s">
        <v>257</v>
      </c>
      <c r="BD2343" s="17" t="s">
        <v>257</v>
      </c>
      <c r="BE2343" s="17" t="s">
        <v>257</v>
      </c>
      <c r="BF2343" s="17" t="s">
        <v>257</v>
      </c>
      <c r="BG2343" s="11">
        <f ca="1">IFERROR(__xludf.DUMMYFUNCTION("""COMPUTED_VALUE"""),46012.7604166666)</f>
        <v>46012.760416666599</v>
      </c>
      <c r="BH2343" s="17"/>
      <c r="BI2343" s="17"/>
      <c r="BJ2343" s="15"/>
      <c r="BK2343" s="15"/>
      <c r="BL2343" s="13" t="b">
        <v>0</v>
      </c>
      <c r="BM2343" s="10"/>
      <c r="BN2343" s="10" t="s">
        <v>108</v>
      </c>
      <c r="BO2343" s="11">
        <v>45946.65902777778</v>
      </c>
      <c r="BP2343" s="11">
        <v>45946.659143518518</v>
      </c>
      <c r="BQ2343" s="15"/>
      <c r="BR2343" s="15"/>
      <c r="BS2343" s="10"/>
      <c r="BT2343" s="10"/>
      <c r="BU2343" s="10"/>
      <c r="BV2343" s="10"/>
      <c r="BW2343" s="10"/>
      <c r="BX2343" s="10"/>
      <c r="BY2343" s="23"/>
      <c r="BZ2343" s="23"/>
      <c r="CA2343" s="23"/>
      <c r="CB2343" s="23"/>
      <c r="CC2343" s="23"/>
      <c r="CD2343" s="23"/>
      <c r="CE2343" s="23"/>
      <c r="CF2343" s="23"/>
      <c r="CG2343" s="23"/>
      <c r="CH2343" s="23"/>
      <c r="CI2343" s="23"/>
    </row>
    <row r="2344" spans="1:87" x14ac:dyDescent="0.3">
      <c r="A2344" s="9" t="s">
        <v>17837</v>
      </c>
      <c r="B2344" s="10" t="s">
        <v>17706</v>
      </c>
      <c r="C2344" s="11">
        <v>46012.854166666664</v>
      </c>
      <c r="D2344" s="12">
        <v>8.3333333333333329E-2</v>
      </c>
      <c r="E2344" s="11">
        <v>46012.9375</v>
      </c>
      <c r="F2344" s="10" t="s">
        <v>3687</v>
      </c>
      <c r="G2344" s="13" t="b">
        <v>0</v>
      </c>
      <c r="H2344" s="22"/>
      <c r="I2344" s="10" t="s">
        <v>89</v>
      </c>
      <c r="J2344" s="13" t="b">
        <v>0</v>
      </c>
      <c r="K2344" s="13" t="b">
        <v>1</v>
      </c>
      <c r="L2344" s="10" t="s">
        <v>124</v>
      </c>
      <c r="M2344" s="10" t="s">
        <v>91</v>
      </c>
      <c r="N2344" s="10" t="s">
        <v>92</v>
      </c>
      <c r="O2344" s="10"/>
      <c r="P2344" s="10"/>
      <c r="Q2344" s="10" t="s">
        <v>126</v>
      </c>
      <c r="R2344" s="10"/>
      <c r="S2344" s="10"/>
      <c r="T2344" s="10"/>
      <c r="U2344" s="10" t="s">
        <v>3690</v>
      </c>
      <c r="V2344" s="10" t="s">
        <v>7741</v>
      </c>
      <c r="W2344" s="10" t="s">
        <v>3692</v>
      </c>
      <c r="X2344" s="10" t="s">
        <v>130</v>
      </c>
      <c r="Y2344" s="10" t="s">
        <v>130</v>
      </c>
      <c r="Z2344" s="10" t="s">
        <v>99</v>
      </c>
      <c r="AA2344" s="10" t="s">
        <v>131</v>
      </c>
      <c r="AB2344" s="10" t="s">
        <v>3693</v>
      </c>
      <c r="AC2344" s="10" t="s">
        <v>3694</v>
      </c>
      <c r="AD2344" s="10" t="s">
        <v>17709</v>
      </c>
      <c r="AE2344" s="10" t="s">
        <v>17710</v>
      </c>
      <c r="AF2344" s="15"/>
      <c r="AG2344" s="10"/>
      <c r="AH2344" s="10"/>
      <c r="AI2344" s="10"/>
      <c r="AJ2344" s="10"/>
      <c r="AK2344" s="10" t="s">
        <v>256</v>
      </c>
      <c r="AL2344" s="10" t="s">
        <v>1988</v>
      </c>
      <c r="AM2344" s="10"/>
      <c r="AN2344" s="10"/>
      <c r="AO2344" s="13" t="b">
        <v>0</v>
      </c>
      <c r="AP2344" s="22" t="s">
        <v>104</v>
      </c>
      <c r="AQ2344" s="10"/>
      <c r="AR2344" s="17"/>
      <c r="AS2344" s="17"/>
      <c r="AT2344" s="17"/>
      <c r="AU2344" s="17"/>
      <c r="AV2344" s="17"/>
      <c r="AW2344" s="10"/>
      <c r="AX2344" s="17"/>
      <c r="AY2344" s="18" t="s">
        <v>257</v>
      </c>
      <c r="AZ2344" s="10"/>
      <c r="BA2344" s="20" t="b">
        <v>0</v>
      </c>
      <c r="BB2344" s="10"/>
      <c r="BC2344" s="17" t="s">
        <v>257</v>
      </c>
      <c r="BD2344" s="17" t="s">
        <v>257</v>
      </c>
      <c r="BE2344" s="17" t="s">
        <v>257</v>
      </c>
      <c r="BF2344" s="17" t="s">
        <v>257</v>
      </c>
      <c r="BG2344" s="11">
        <f ca="1">IFERROR(__xludf.DUMMYFUNCTION("""COMPUTED_VALUE"""),46012.8541666666)</f>
        <v>46012.854166666599</v>
      </c>
      <c r="BH2344" s="17"/>
      <c r="BI2344" s="17"/>
      <c r="BJ2344" s="15"/>
      <c r="BK2344" s="15"/>
      <c r="BL2344" s="13" t="b">
        <v>0</v>
      </c>
      <c r="BM2344" s="10"/>
      <c r="BN2344" s="10" t="s">
        <v>108</v>
      </c>
      <c r="BO2344" s="11">
        <v>45946.65902777778</v>
      </c>
      <c r="BP2344" s="11">
        <v>45946.659687500003</v>
      </c>
      <c r="BQ2344" s="15"/>
      <c r="BR2344" s="15"/>
      <c r="BS2344" s="10"/>
      <c r="BT2344" s="10"/>
      <c r="BU2344" s="10"/>
      <c r="BV2344" s="10"/>
      <c r="BW2344" s="10"/>
      <c r="BX2344" s="10"/>
      <c r="BY2344" s="23"/>
      <c r="BZ2344" s="23"/>
      <c r="CA2344" s="23"/>
      <c r="CB2344" s="23"/>
      <c r="CC2344" s="23"/>
      <c r="CD2344" s="23"/>
      <c r="CE2344" s="23"/>
      <c r="CF2344" s="23"/>
      <c r="CG2344" s="23"/>
      <c r="CH2344" s="23"/>
      <c r="CI2344" s="23"/>
    </row>
    <row r="2345" spans="1:87" x14ac:dyDescent="0.3">
      <c r="A2345" s="9" t="s">
        <v>17838</v>
      </c>
      <c r="B2345" s="10" t="s">
        <v>17715</v>
      </c>
      <c r="C2345" s="11">
        <v>46012.947916666664</v>
      </c>
      <c r="D2345" s="12">
        <v>8.3333333333333329E-2</v>
      </c>
      <c r="E2345" s="11">
        <v>46013.03125</v>
      </c>
      <c r="F2345" s="10" t="s">
        <v>3687</v>
      </c>
      <c r="G2345" s="13" t="b">
        <v>0</v>
      </c>
      <c r="H2345" s="22"/>
      <c r="I2345" s="10" t="s">
        <v>89</v>
      </c>
      <c r="J2345" s="13" t="b">
        <v>0</v>
      </c>
      <c r="K2345" s="13" t="b">
        <v>1</v>
      </c>
      <c r="L2345" s="10" t="s">
        <v>124</v>
      </c>
      <c r="M2345" s="10" t="s">
        <v>91</v>
      </c>
      <c r="N2345" s="10" t="s">
        <v>92</v>
      </c>
      <c r="O2345" s="10"/>
      <c r="P2345" s="10"/>
      <c r="Q2345" s="10" t="s">
        <v>126</v>
      </c>
      <c r="R2345" s="10"/>
      <c r="S2345" s="10"/>
      <c r="T2345" s="10"/>
      <c r="U2345" s="10" t="s">
        <v>4992</v>
      </c>
      <c r="V2345" s="10" t="s">
        <v>3727</v>
      </c>
      <c r="W2345" s="10" t="s">
        <v>3692</v>
      </c>
      <c r="X2345" s="10" t="s">
        <v>130</v>
      </c>
      <c r="Y2345" s="10" t="s">
        <v>130</v>
      </c>
      <c r="Z2345" s="10" t="s">
        <v>99</v>
      </c>
      <c r="AA2345" s="10" t="s">
        <v>131</v>
      </c>
      <c r="AB2345" s="10" t="s">
        <v>3693</v>
      </c>
      <c r="AC2345" s="10" t="s">
        <v>3694</v>
      </c>
      <c r="AD2345" s="10" t="s">
        <v>17718</v>
      </c>
      <c r="AE2345" s="10" t="s">
        <v>17719</v>
      </c>
      <c r="AF2345" s="15"/>
      <c r="AG2345" s="10"/>
      <c r="AH2345" s="10"/>
      <c r="AI2345" s="10"/>
      <c r="AJ2345" s="10"/>
      <c r="AK2345" s="10" t="s">
        <v>256</v>
      </c>
      <c r="AL2345" s="10" t="s">
        <v>1988</v>
      </c>
      <c r="AM2345" s="10"/>
      <c r="AN2345" s="10"/>
      <c r="AO2345" s="13" t="b">
        <v>0</v>
      </c>
      <c r="AP2345" s="22" t="s">
        <v>104</v>
      </c>
      <c r="AQ2345" s="10"/>
      <c r="AR2345" s="17"/>
      <c r="AS2345" s="17"/>
      <c r="AT2345" s="17"/>
      <c r="AU2345" s="17"/>
      <c r="AV2345" s="17"/>
      <c r="AW2345" s="10"/>
      <c r="AX2345" s="17"/>
      <c r="AY2345" s="18" t="s">
        <v>257</v>
      </c>
      <c r="AZ2345" s="10"/>
      <c r="BA2345" s="20" t="b">
        <v>0</v>
      </c>
      <c r="BB2345" s="10"/>
      <c r="BC2345" s="17" t="s">
        <v>257</v>
      </c>
      <c r="BD2345" s="17" t="s">
        <v>257</v>
      </c>
      <c r="BE2345" s="17" t="s">
        <v>257</v>
      </c>
      <c r="BF2345" s="17" t="s">
        <v>257</v>
      </c>
      <c r="BG2345" s="11">
        <f ca="1">IFERROR(__xludf.DUMMYFUNCTION("""COMPUTED_VALUE"""),46012.9479166666)</f>
        <v>46012.947916666599</v>
      </c>
      <c r="BH2345" s="17"/>
      <c r="BI2345" s="17"/>
      <c r="BJ2345" s="15"/>
      <c r="BK2345" s="15"/>
      <c r="BL2345" s="13" t="b">
        <v>0</v>
      </c>
      <c r="BM2345" s="10"/>
      <c r="BN2345" s="10" t="s">
        <v>108</v>
      </c>
      <c r="BO2345" s="11">
        <v>45946.663194444445</v>
      </c>
      <c r="BP2345" s="11">
        <v>45946.663483796299</v>
      </c>
      <c r="BQ2345" s="15"/>
      <c r="BR2345" s="15"/>
      <c r="BS2345" s="10"/>
      <c r="BT2345" s="10"/>
      <c r="BU2345" s="10"/>
      <c r="BV2345" s="10"/>
      <c r="BW2345" s="10"/>
      <c r="BX2345" s="10"/>
      <c r="BY2345" s="23"/>
      <c r="BZ2345" s="23"/>
      <c r="CA2345" s="23"/>
      <c r="CB2345" s="23"/>
      <c r="CC2345" s="23"/>
      <c r="CD2345" s="23"/>
      <c r="CE2345" s="23"/>
      <c r="CF2345" s="23"/>
      <c r="CG2345" s="23"/>
      <c r="CH2345" s="23"/>
      <c r="CI2345" s="23"/>
    </row>
    <row r="2346" spans="1:87" x14ac:dyDescent="0.3">
      <c r="A2346" s="9" t="s">
        <v>17839</v>
      </c>
      <c r="B2346" s="10" t="s">
        <v>17840</v>
      </c>
      <c r="C2346" s="11">
        <v>45970.979166666664</v>
      </c>
      <c r="D2346" s="12">
        <v>8.3333333333333329E-2</v>
      </c>
      <c r="E2346" s="11">
        <v>45971.0625</v>
      </c>
      <c r="F2346" s="10" t="s">
        <v>262</v>
      </c>
      <c r="G2346" s="13" t="b">
        <v>0</v>
      </c>
      <c r="H2346" s="22" t="s">
        <v>305</v>
      </c>
      <c r="I2346" s="10" t="s">
        <v>264</v>
      </c>
      <c r="J2346" s="13" t="b">
        <v>0</v>
      </c>
      <c r="K2346" s="13" t="b">
        <v>1</v>
      </c>
      <c r="L2346" s="10" t="s">
        <v>124</v>
      </c>
      <c r="M2346" s="10" t="s">
        <v>91</v>
      </c>
      <c r="N2346" s="10" t="s">
        <v>265</v>
      </c>
      <c r="O2346" s="19" t="s">
        <v>17841</v>
      </c>
      <c r="P2346" s="10"/>
      <c r="Q2346" s="10" t="s">
        <v>94</v>
      </c>
      <c r="R2346" s="10"/>
      <c r="S2346" s="19" t="s">
        <v>1409</v>
      </c>
      <c r="T2346" s="10"/>
      <c r="U2346" s="10" t="s">
        <v>334</v>
      </c>
      <c r="V2346" s="10" t="s">
        <v>270</v>
      </c>
      <c r="W2346" s="10" t="s">
        <v>272</v>
      </c>
      <c r="X2346" s="10" t="s">
        <v>130</v>
      </c>
      <c r="Y2346" s="10" t="s">
        <v>130</v>
      </c>
      <c r="Z2346" s="10" t="s">
        <v>99</v>
      </c>
      <c r="AA2346" s="10" t="s">
        <v>131</v>
      </c>
      <c r="AB2346" s="10" t="s">
        <v>273</v>
      </c>
      <c r="AC2346" s="10" t="s">
        <v>274</v>
      </c>
      <c r="AD2346" s="10" t="s">
        <v>1410</v>
      </c>
      <c r="AE2346" s="10" t="s">
        <v>17842</v>
      </c>
      <c r="AF2346" s="15"/>
      <c r="AG2346" s="10"/>
      <c r="AH2346" s="10"/>
      <c r="AI2346" s="10"/>
      <c r="AJ2346" s="10"/>
      <c r="AK2346" s="10" t="s">
        <v>102</v>
      </c>
      <c r="AL2346" s="10" t="s">
        <v>1360</v>
      </c>
      <c r="AM2346" s="10"/>
      <c r="AN2346" s="10"/>
      <c r="AO2346" s="13" t="b">
        <v>0</v>
      </c>
      <c r="AP2346" s="22" t="s">
        <v>104</v>
      </c>
      <c r="AQ2346" s="10">
        <f ca="1">IFERROR(__xludf.DUMMYFUNCTION("""COMPUTED_VALUE"""),4707267)</f>
        <v>4707267</v>
      </c>
      <c r="AR2346" s="17">
        <v>14610</v>
      </c>
      <c r="AS2346" s="17">
        <v>13434</v>
      </c>
      <c r="AT2346" s="17">
        <v>84010.5</v>
      </c>
      <c r="AU2346" s="17">
        <v>38.700000000000003</v>
      </c>
      <c r="AV2346" s="17">
        <v>7.75</v>
      </c>
      <c r="AW2346" s="10" t="s">
        <v>105</v>
      </c>
      <c r="AX2346" s="17">
        <v>3138</v>
      </c>
      <c r="AY2346" s="18">
        <v>6.2535730236712821</v>
      </c>
      <c r="AZ2346" s="10" t="s">
        <v>148</v>
      </c>
      <c r="BA2346" s="20" t="b">
        <v>0</v>
      </c>
      <c r="BB2346" s="10"/>
      <c r="BC2346" s="17">
        <v>14610</v>
      </c>
      <c r="BD2346" s="17">
        <v>13434</v>
      </c>
      <c r="BE2346" s="17">
        <v>84010.5</v>
      </c>
      <c r="BF2346" s="17">
        <v>7.75</v>
      </c>
      <c r="BG2346" s="11">
        <f ca="1">IFERROR(__xludf.DUMMYFUNCTION("""COMPUTED_VALUE"""),45970.9791666666)</f>
        <v>45970.979166666599</v>
      </c>
      <c r="BH2346" s="17" t="s">
        <v>105</v>
      </c>
      <c r="BI2346" s="17"/>
      <c r="BJ2346" s="15"/>
      <c r="BK2346" s="15"/>
      <c r="BL2346" s="13" t="b">
        <v>0</v>
      </c>
      <c r="BM2346" s="10"/>
      <c r="BN2346" s="10" t="s">
        <v>4030</v>
      </c>
      <c r="BO2346" s="11">
        <v>45947.572222222225</v>
      </c>
      <c r="BP2346" s="11">
        <v>45947.572789351849</v>
      </c>
      <c r="BQ2346" s="15">
        <v>45967.922650462962</v>
      </c>
      <c r="BR2346" s="15">
        <v>45968.433692129627</v>
      </c>
      <c r="BS2346" s="10" t="s">
        <v>4030</v>
      </c>
      <c r="BT2346" s="10"/>
      <c r="BU2346" s="10"/>
      <c r="BV2346" s="10"/>
      <c r="BW2346" s="10"/>
      <c r="BX2346" s="10"/>
      <c r="BY2346" s="23"/>
      <c r="BZ2346" s="23"/>
      <c r="CA2346" s="19" t="s">
        <v>1413</v>
      </c>
      <c r="CB2346" s="23"/>
      <c r="CC2346" s="23"/>
      <c r="CD2346" s="23"/>
      <c r="CE2346" s="23"/>
      <c r="CF2346" s="23"/>
      <c r="CG2346" s="23"/>
      <c r="CH2346" s="23"/>
      <c r="CI2346" s="23"/>
    </row>
    <row r="2347" spans="1:87" x14ac:dyDescent="0.3">
      <c r="A2347" s="9" t="s">
        <v>17843</v>
      </c>
      <c r="B2347" s="10" t="s">
        <v>17844</v>
      </c>
      <c r="C2347" s="11">
        <v>45955.083333333336</v>
      </c>
      <c r="D2347" s="12">
        <v>8.3333333333333329E-2</v>
      </c>
      <c r="E2347" s="11">
        <v>45955.166666666664</v>
      </c>
      <c r="F2347" s="10" t="s">
        <v>7613</v>
      </c>
      <c r="G2347" s="13" t="b">
        <v>0</v>
      </c>
      <c r="H2347" s="22" t="s">
        <v>88</v>
      </c>
      <c r="I2347" s="10" t="s">
        <v>89</v>
      </c>
      <c r="J2347" s="13" t="b">
        <v>0</v>
      </c>
      <c r="K2347" s="13" t="b">
        <v>1</v>
      </c>
      <c r="L2347" s="10" t="s">
        <v>124</v>
      </c>
      <c r="M2347" s="10" t="s">
        <v>91</v>
      </c>
      <c r="N2347" s="10" t="s">
        <v>265</v>
      </c>
      <c r="O2347" s="19" t="s">
        <v>17845</v>
      </c>
      <c r="P2347" s="10"/>
      <c r="Q2347" s="10" t="s">
        <v>94</v>
      </c>
      <c r="R2347" s="10"/>
      <c r="S2347" s="19" t="s">
        <v>17846</v>
      </c>
      <c r="T2347" s="19" t="s">
        <v>17847</v>
      </c>
      <c r="U2347" s="10" t="s">
        <v>8878</v>
      </c>
      <c r="V2347" s="10" t="s">
        <v>7903</v>
      </c>
      <c r="W2347" s="10" t="s">
        <v>7620</v>
      </c>
      <c r="X2347" s="10" t="s">
        <v>130</v>
      </c>
      <c r="Y2347" s="10" t="s">
        <v>130</v>
      </c>
      <c r="Z2347" s="10" t="s">
        <v>99</v>
      </c>
      <c r="AA2347" s="10" t="s">
        <v>131</v>
      </c>
      <c r="AB2347" s="10" t="s">
        <v>7621</v>
      </c>
      <c r="AC2347" s="10" t="s">
        <v>274</v>
      </c>
      <c r="AD2347" s="10" t="s">
        <v>17848</v>
      </c>
      <c r="AE2347" s="10" t="s">
        <v>17849</v>
      </c>
      <c r="AF2347" s="15"/>
      <c r="AG2347" s="10"/>
      <c r="AH2347" s="10"/>
      <c r="AI2347" s="10"/>
      <c r="AJ2347" s="10"/>
      <c r="AK2347" s="10" t="s">
        <v>102</v>
      </c>
      <c r="AL2347" s="10" t="s">
        <v>1467</v>
      </c>
      <c r="AM2347" s="10"/>
      <c r="AN2347" s="10"/>
      <c r="AO2347" s="13" t="b">
        <v>0</v>
      </c>
      <c r="AP2347" s="22" t="s">
        <v>104</v>
      </c>
      <c r="AQ2347" s="10">
        <f ca="1">IFERROR(__xludf.DUMMYFUNCTION("""COMPUTED_VALUE"""),4667505)</f>
        <v>4667505</v>
      </c>
      <c r="AR2347" s="17">
        <v>743</v>
      </c>
      <c r="AS2347" s="17">
        <v>594</v>
      </c>
      <c r="AT2347" s="17">
        <v>4430</v>
      </c>
      <c r="AU2347" s="17">
        <v>0.25</v>
      </c>
      <c r="AV2347" s="17">
        <v>0</v>
      </c>
      <c r="AW2347" s="10" t="s">
        <v>105</v>
      </c>
      <c r="AX2347" s="17">
        <v>95</v>
      </c>
      <c r="AY2347" s="18">
        <v>7.4579124579124576</v>
      </c>
      <c r="AZ2347" s="10" t="s">
        <v>3998</v>
      </c>
      <c r="BA2347" s="20" t="b">
        <v>0</v>
      </c>
      <c r="BB2347" s="10"/>
      <c r="BC2347" s="17">
        <v>743</v>
      </c>
      <c r="BD2347" s="17">
        <v>594</v>
      </c>
      <c r="BE2347" s="17">
        <v>4430</v>
      </c>
      <c r="BF2347" s="17">
        <v>0</v>
      </c>
      <c r="BG2347" s="11">
        <f ca="1">IFERROR(__xludf.DUMMYFUNCTION("""COMPUTED_VALUE"""),45955.0833333333)</f>
        <v>45955.083333333299</v>
      </c>
      <c r="BH2347" s="17" t="s">
        <v>105</v>
      </c>
      <c r="BI2347" s="17"/>
      <c r="BJ2347" s="15"/>
      <c r="BK2347" s="15"/>
      <c r="BL2347" s="13" t="b">
        <v>0</v>
      </c>
      <c r="BM2347" s="10"/>
      <c r="BN2347" s="10" t="s">
        <v>149</v>
      </c>
      <c r="BO2347" s="11">
        <v>45948.411111111112</v>
      </c>
      <c r="BP2347" s="11">
        <v>45948.411631944444</v>
      </c>
      <c r="BQ2347" s="15">
        <v>45953.574965277781</v>
      </c>
      <c r="BR2347" s="15">
        <v>45953.672858796293</v>
      </c>
      <c r="BS2347" s="10" t="s">
        <v>149</v>
      </c>
      <c r="BT2347" s="10"/>
      <c r="BU2347" s="10"/>
      <c r="BV2347" s="10"/>
      <c r="BW2347" s="10"/>
      <c r="BX2347" s="10"/>
      <c r="BY2347" s="23"/>
      <c r="BZ2347" s="23"/>
      <c r="CA2347" s="19" t="s">
        <v>17850</v>
      </c>
      <c r="CB2347" s="19" t="s">
        <v>17851</v>
      </c>
      <c r="CC2347" s="23"/>
      <c r="CD2347" s="23"/>
      <c r="CE2347" s="23"/>
      <c r="CF2347" s="23"/>
      <c r="CG2347" s="23"/>
      <c r="CH2347" s="23"/>
      <c r="CI2347" s="23"/>
    </row>
    <row r="2348" spans="1:87" x14ac:dyDescent="0.3">
      <c r="A2348" s="9" t="s">
        <v>17852</v>
      </c>
      <c r="B2348" s="10" t="s">
        <v>209</v>
      </c>
      <c r="C2348" s="11">
        <v>45997.416666666664</v>
      </c>
      <c r="D2348" s="12">
        <v>0.20833333333333334</v>
      </c>
      <c r="E2348" s="11">
        <v>45997.625</v>
      </c>
      <c r="F2348" s="10" t="s">
        <v>210</v>
      </c>
      <c r="G2348" s="13" t="b">
        <v>0</v>
      </c>
      <c r="H2348" s="22" t="s">
        <v>211</v>
      </c>
      <c r="I2348" s="10" t="s">
        <v>212</v>
      </c>
      <c r="J2348" s="13" t="b">
        <v>1</v>
      </c>
      <c r="K2348" s="13" t="b">
        <v>0</v>
      </c>
      <c r="L2348" s="10" t="s">
        <v>124</v>
      </c>
      <c r="M2348" s="10" t="s">
        <v>91</v>
      </c>
      <c r="N2348" s="10" t="s">
        <v>92</v>
      </c>
      <c r="O2348" s="10"/>
      <c r="P2348" s="10"/>
      <c r="Q2348" s="10" t="s">
        <v>126</v>
      </c>
      <c r="R2348" s="10"/>
      <c r="S2348" s="10"/>
      <c r="T2348" s="10"/>
      <c r="U2348" s="10"/>
      <c r="V2348" s="10"/>
      <c r="W2348" s="10" t="s">
        <v>215</v>
      </c>
      <c r="X2348" s="10" t="s">
        <v>216</v>
      </c>
      <c r="Y2348" s="10" t="s">
        <v>216</v>
      </c>
      <c r="Z2348" s="10" t="s">
        <v>99</v>
      </c>
      <c r="AA2348" s="10" t="s">
        <v>131</v>
      </c>
      <c r="AB2348" s="10" t="s">
        <v>217</v>
      </c>
      <c r="AC2348" s="10" t="s">
        <v>218</v>
      </c>
      <c r="AD2348" s="10" t="s">
        <v>165</v>
      </c>
      <c r="AE2348" s="10" t="s">
        <v>219</v>
      </c>
      <c r="AF2348" s="15"/>
      <c r="AG2348" s="10"/>
      <c r="AH2348" s="10"/>
      <c r="AI2348" s="10"/>
      <c r="AJ2348" s="10"/>
      <c r="AK2348" s="10" t="s">
        <v>256</v>
      </c>
      <c r="AL2348" s="10" t="s">
        <v>220</v>
      </c>
      <c r="AM2348" s="10"/>
      <c r="AN2348" s="10"/>
      <c r="AO2348" s="13" t="b">
        <v>0</v>
      </c>
      <c r="AP2348" s="22" t="s">
        <v>221</v>
      </c>
      <c r="AQ2348" s="10"/>
      <c r="AR2348" s="17"/>
      <c r="AS2348" s="17"/>
      <c r="AT2348" s="17"/>
      <c r="AU2348" s="17"/>
      <c r="AV2348" s="17"/>
      <c r="AW2348" s="10"/>
      <c r="AX2348" s="17"/>
      <c r="AY2348" s="18" t="s">
        <v>257</v>
      </c>
      <c r="AZ2348" s="10"/>
      <c r="BA2348" s="20" t="b">
        <v>0</v>
      </c>
      <c r="BB2348" s="10"/>
      <c r="BC2348" s="17" t="s">
        <v>257</v>
      </c>
      <c r="BD2348" s="17" t="s">
        <v>257</v>
      </c>
      <c r="BE2348" s="17" t="s">
        <v>257</v>
      </c>
      <c r="BF2348" s="17" t="s">
        <v>257</v>
      </c>
      <c r="BG2348" s="11">
        <f ca="1">IFERROR(__xludf.DUMMYFUNCTION("""COMPUTED_VALUE"""),45997.4166666666)</f>
        <v>45997.416666666599</v>
      </c>
      <c r="BH2348" s="17"/>
      <c r="BI2348" s="17"/>
      <c r="BJ2348" s="15"/>
      <c r="BK2348" s="15"/>
      <c r="BL2348" s="13" t="b">
        <v>0</v>
      </c>
      <c r="BM2348" s="10"/>
      <c r="BN2348" s="10" t="s">
        <v>241</v>
      </c>
      <c r="BO2348" s="11">
        <v>45950.69027777778</v>
      </c>
      <c r="BP2348" s="11">
        <v>45950.690752314818</v>
      </c>
      <c r="BQ2348" s="15"/>
      <c r="BR2348" s="15"/>
      <c r="BS2348" s="10"/>
      <c r="BT2348" s="10"/>
      <c r="BU2348" s="10"/>
      <c r="BV2348" s="10"/>
      <c r="BW2348" s="10"/>
      <c r="BX2348" s="10"/>
      <c r="BY2348" s="23"/>
      <c r="BZ2348" s="23"/>
      <c r="CA2348" s="23"/>
      <c r="CB2348" s="23"/>
      <c r="CC2348" s="23"/>
      <c r="CD2348" s="23"/>
      <c r="CE2348" s="23"/>
      <c r="CF2348" s="23"/>
      <c r="CG2348" s="23"/>
      <c r="CH2348" s="23"/>
      <c r="CI2348" s="23"/>
    </row>
    <row r="2349" spans="1:87" x14ac:dyDescent="0.3">
      <c r="A2349" s="9" t="s">
        <v>17853</v>
      </c>
      <c r="B2349" s="10" t="s">
        <v>17854</v>
      </c>
      <c r="C2349" s="11">
        <v>45954.625</v>
      </c>
      <c r="D2349" s="12">
        <v>2.0833333333333332E-2</v>
      </c>
      <c r="E2349" s="11">
        <v>45954.645833333336</v>
      </c>
      <c r="F2349" s="10" t="s">
        <v>3511</v>
      </c>
      <c r="G2349" s="13" t="b">
        <v>0</v>
      </c>
      <c r="H2349" s="22" t="s">
        <v>3512</v>
      </c>
      <c r="I2349" s="10" t="s">
        <v>212</v>
      </c>
      <c r="J2349" s="13" t="b">
        <v>1</v>
      </c>
      <c r="K2349" s="13" t="b">
        <v>0</v>
      </c>
      <c r="L2349" s="10" t="s">
        <v>124</v>
      </c>
      <c r="M2349" s="10" t="s">
        <v>91</v>
      </c>
      <c r="N2349" s="10" t="s">
        <v>92</v>
      </c>
      <c r="O2349" s="19" t="s">
        <v>17855</v>
      </c>
      <c r="P2349" s="10"/>
      <c r="Q2349" s="10" t="s">
        <v>94</v>
      </c>
      <c r="R2349" s="10"/>
      <c r="S2349" s="19" t="s">
        <v>4431</v>
      </c>
      <c r="T2349" s="10"/>
      <c r="U2349" s="10"/>
      <c r="V2349" s="10"/>
      <c r="W2349" s="10" t="s">
        <v>3519</v>
      </c>
      <c r="X2349" s="10" t="s">
        <v>130</v>
      </c>
      <c r="Y2349" s="10" t="s">
        <v>130</v>
      </c>
      <c r="Z2349" s="10" t="s">
        <v>99</v>
      </c>
      <c r="AA2349" s="10" t="s">
        <v>131</v>
      </c>
      <c r="AB2349" s="10" t="s">
        <v>3520</v>
      </c>
      <c r="AC2349" s="10" t="s">
        <v>3521</v>
      </c>
      <c r="AD2349" s="10" t="s">
        <v>165</v>
      </c>
      <c r="AE2349" s="10" t="s">
        <v>17856</v>
      </c>
      <c r="AF2349" s="15"/>
      <c r="AG2349" s="10"/>
      <c r="AH2349" s="10"/>
      <c r="AI2349" s="10"/>
      <c r="AJ2349" s="10"/>
      <c r="AK2349" s="10" t="s">
        <v>102</v>
      </c>
      <c r="AL2349" s="10"/>
      <c r="AM2349" s="10"/>
      <c r="AN2349" s="10"/>
      <c r="AO2349" s="13" t="b">
        <v>0</v>
      </c>
      <c r="AP2349" s="22" t="s">
        <v>104</v>
      </c>
      <c r="AQ2349" s="10">
        <f ca="1">IFERROR(__xludf.DUMMYFUNCTION("""COMPUTED_VALUE"""),4667497)</f>
        <v>4667497</v>
      </c>
      <c r="AR2349" s="17">
        <v>2387</v>
      </c>
      <c r="AS2349" s="17">
        <v>1937</v>
      </c>
      <c r="AT2349" s="17">
        <v>7662</v>
      </c>
      <c r="AU2349" s="17">
        <v>8.85</v>
      </c>
      <c r="AV2349" s="17">
        <v>1.35</v>
      </c>
      <c r="AW2349" s="10" t="s">
        <v>105</v>
      </c>
      <c r="AX2349" s="17">
        <v>993</v>
      </c>
      <c r="AY2349" s="18">
        <v>3.9556014455343314</v>
      </c>
      <c r="AZ2349" s="10"/>
      <c r="BA2349" s="20" t="b">
        <v>0</v>
      </c>
      <c r="BB2349" s="10"/>
      <c r="BC2349" s="17">
        <v>2387</v>
      </c>
      <c r="BD2349" s="17">
        <v>1937</v>
      </c>
      <c r="BE2349" s="17">
        <v>7662</v>
      </c>
      <c r="BF2349" s="17">
        <v>1.35</v>
      </c>
      <c r="BG2349" s="11">
        <f ca="1">IFERROR(__xludf.DUMMYFUNCTION("""COMPUTED_VALUE"""),45954.625)</f>
        <v>45954.625</v>
      </c>
      <c r="BH2349" s="17" t="s">
        <v>105</v>
      </c>
      <c r="BI2349" s="17"/>
      <c r="BJ2349" s="15"/>
      <c r="BK2349" s="15"/>
      <c r="BL2349" s="13" t="b">
        <v>0</v>
      </c>
      <c r="BM2349" s="10"/>
      <c r="BN2349" s="10" t="s">
        <v>137</v>
      </c>
      <c r="BO2349" s="11">
        <v>45950.712500000001</v>
      </c>
      <c r="BP2349" s="11">
        <v>45950.712777777779</v>
      </c>
      <c r="BQ2349" s="15">
        <v>45953.63417824074</v>
      </c>
      <c r="BR2349" s="15">
        <v>45953.661736111113</v>
      </c>
      <c r="BS2349" s="10" t="s">
        <v>137</v>
      </c>
      <c r="BT2349" s="10"/>
      <c r="BU2349" s="10"/>
      <c r="BV2349" s="10"/>
      <c r="BW2349" s="10"/>
      <c r="BX2349" s="10"/>
      <c r="BY2349" s="23"/>
      <c r="BZ2349" s="23"/>
      <c r="CA2349" s="19" t="s">
        <v>17857</v>
      </c>
      <c r="CB2349" s="23"/>
      <c r="CC2349" s="23"/>
      <c r="CD2349" s="23"/>
      <c r="CE2349" s="23"/>
      <c r="CF2349" s="23"/>
      <c r="CG2349" s="23"/>
      <c r="CH2349" s="23"/>
      <c r="CI2349" s="23"/>
    </row>
    <row r="2350" spans="1:87" x14ac:dyDescent="0.3">
      <c r="A2350" s="9" t="s">
        <v>17858</v>
      </c>
      <c r="B2350" s="10" t="s">
        <v>17859</v>
      </c>
      <c r="C2350" s="11">
        <v>45954.770833333336</v>
      </c>
      <c r="D2350" s="12">
        <v>2.0833333333333332E-2</v>
      </c>
      <c r="E2350" s="11">
        <v>45954.791666666664</v>
      </c>
      <c r="F2350" s="10" t="s">
        <v>3511</v>
      </c>
      <c r="G2350" s="13" t="b">
        <v>0</v>
      </c>
      <c r="H2350" s="22" t="s">
        <v>3512</v>
      </c>
      <c r="I2350" s="10" t="s">
        <v>212</v>
      </c>
      <c r="J2350" s="13" t="b">
        <v>1</v>
      </c>
      <c r="K2350" s="13" t="b">
        <v>0</v>
      </c>
      <c r="L2350" s="10" t="s">
        <v>124</v>
      </c>
      <c r="M2350" s="10" t="s">
        <v>91</v>
      </c>
      <c r="N2350" s="10" t="s">
        <v>92</v>
      </c>
      <c r="O2350" s="19" t="s">
        <v>17860</v>
      </c>
      <c r="P2350" s="10"/>
      <c r="Q2350" s="10" t="s">
        <v>94</v>
      </c>
      <c r="R2350" s="10"/>
      <c r="S2350" s="19" t="s">
        <v>4462</v>
      </c>
      <c r="T2350" s="10"/>
      <c r="U2350" s="10"/>
      <c r="V2350" s="10"/>
      <c r="W2350" s="10" t="s">
        <v>3519</v>
      </c>
      <c r="X2350" s="10" t="s">
        <v>130</v>
      </c>
      <c r="Y2350" s="10" t="s">
        <v>130</v>
      </c>
      <c r="Z2350" s="10" t="s">
        <v>99</v>
      </c>
      <c r="AA2350" s="10" t="s">
        <v>131</v>
      </c>
      <c r="AB2350" s="10" t="s">
        <v>3520</v>
      </c>
      <c r="AC2350" s="10" t="s">
        <v>3521</v>
      </c>
      <c r="AD2350" s="10" t="s">
        <v>165</v>
      </c>
      <c r="AE2350" s="10" t="s">
        <v>17861</v>
      </c>
      <c r="AF2350" s="15"/>
      <c r="AG2350" s="10"/>
      <c r="AH2350" s="10"/>
      <c r="AI2350" s="10"/>
      <c r="AJ2350" s="10"/>
      <c r="AK2350" s="10" t="s">
        <v>102</v>
      </c>
      <c r="AL2350" s="10"/>
      <c r="AM2350" s="10"/>
      <c r="AN2350" s="10"/>
      <c r="AO2350" s="13" t="b">
        <v>0</v>
      </c>
      <c r="AP2350" s="22" t="s">
        <v>104</v>
      </c>
      <c r="AQ2350" s="10">
        <f ca="1">IFERROR(__xludf.DUMMYFUNCTION("""COMPUTED_VALUE"""),4667498)</f>
        <v>4667498</v>
      </c>
      <c r="AR2350" s="17">
        <v>11349</v>
      </c>
      <c r="AS2350" s="17">
        <v>9283</v>
      </c>
      <c r="AT2350" s="17">
        <v>45285.5</v>
      </c>
      <c r="AU2350" s="17">
        <v>31.7</v>
      </c>
      <c r="AV2350" s="17">
        <v>3.7</v>
      </c>
      <c r="AW2350" s="10" t="s">
        <v>105</v>
      </c>
      <c r="AX2350" s="17">
        <v>4670</v>
      </c>
      <c r="AY2350" s="18">
        <v>4.8783259722072607</v>
      </c>
      <c r="AZ2350" s="10"/>
      <c r="BA2350" s="20" t="b">
        <v>0</v>
      </c>
      <c r="BB2350" s="10"/>
      <c r="BC2350" s="17">
        <v>11349</v>
      </c>
      <c r="BD2350" s="17">
        <v>9283</v>
      </c>
      <c r="BE2350" s="17">
        <v>45285.5</v>
      </c>
      <c r="BF2350" s="17">
        <v>3.7</v>
      </c>
      <c r="BG2350" s="11">
        <f ca="1">IFERROR(__xludf.DUMMYFUNCTION("""COMPUTED_VALUE"""),45954.7708333333)</f>
        <v>45954.770833333299</v>
      </c>
      <c r="BH2350" s="17" t="s">
        <v>105</v>
      </c>
      <c r="BI2350" s="17"/>
      <c r="BJ2350" s="15"/>
      <c r="BK2350" s="15"/>
      <c r="BL2350" s="13" t="b">
        <v>0</v>
      </c>
      <c r="BM2350" s="10"/>
      <c r="BN2350" s="10" t="s">
        <v>137</v>
      </c>
      <c r="BO2350" s="11">
        <v>45950.713194444441</v>
      </c>
      <c r="BP2350" s="11">
        <v>45950.713530092595</v>
      </c>
      <c r="BQ2350" s="15">
        <v>45953.634236111109</v>
      </c>
      <c r="BR2350" s="15">
        <v>45953.662037037036</v>
      </c>
      <c r="BS2350" s="10" t="s">
        <v>137</v>
      </c>
      <c r="BT2350" s="10"/>
      <c r="BU2350" s="10"/>
      <c r="BV2350" s="10"/>
      <c r="BW2350" s="10"/>
      <c r="BX2350" s="10"/>
      <c r="BY2350" s="23"/>
      <c r="BZ2350" s="23"/>
      <c r="CA2350" s="19" t="s">
        <v>17862</v>
      </c>
      <c r="CB2350" s="23"/>
      <c r="CC2350" s="23"/>
      <c r="CD2350" s="23"/>
      <c r="CE2350" s="23"/>
      <c r="CF2350" s="23"/>
      <c r="CG2350" s="23"/>
      <c r="CH2350" s="23"/>
      <c r="CI2350" s="23"/>
    </row>
    <row r="2351" spans="1:87" x14ac:dyDescent="0.3">
      <c r="A2351" s="9" t="s">
        <v>17863</v>
      </c>
      <c r="B2351" s="10" t="s">
        <v>17864</v>
      </c>
      <c r="C2351" s="11">
        <v>45957.770833333336</v>
      </c>
      <c r="D2351" s="12">
        <v>2.0833333333333332E-2</v>
      </c>
      <c r="E2351" s="11">
        <v>45957.791666666664</v>
      </c>
      <c r="F2351" s="10" t="s">
        <v>3511</v>
      </c>
      <c r="G2351" s="13" t="b">
        <v>0</v>
      </c>
      <c r="H2351" s="22" t="s">
        <v>3512</v>
      </c>
      <c r="I2351" s="10" t="s">
        <v>212</v>
      </c>
      <c r="J2351" s="13" t="b">
        <v>1</v>
      </c>
      <c r="K2351" s="13" t="b">
        <v>0</v>
      </c>
      <c r="L2351" s="10" t="s">
        <v>124</v>
      </c>
      <c r="M2351" s="10" t="s">
        <v>91</v>
      </c>
      <c r="N2351" s="10" t="s">
        <v>92</v>
      </c>
      <c r="O2351" s="19" t="s">
        <v>17865</v>
      </c>
      <c r="P2351" s="10"/>
      <c r="Q2351" s="10" t="s">
        <v>94</v>
      </c>
      <c r="R2351" s="10"/>
      <c r="S2351" s="19" t="s">
        <v>4462</v>
      </c>
      <c r="T2351" s="10"/>
      <c r="U2351" s="10"/>
      <c r="V2351" s="10"/>
      <c r="W2351" s="10" t="s">
        <v>3519</v>
      </c>
      <c r="X2351" s="10" t="s">
        <v>130</v>
      </c>
      <c r="Y2351" s="10" t="s">
        <v>130</v>
      </c>
      <c r="Z2351" s="10" t="s">
        <v>99</v>
      </c>
      <c r="AA2351" s="10" t="s">
        <v>131</v>
      </c>
      <c r="AB2351" s="10" t="s">
        <v>3520</v>
      </c>
      <c r="AC2351" s="10" t="s">
        <v>3521</v>
      </c>
      <c r="AD2351" s="10" t="s">
        <v>165</v>
      </c>
      <c r="AE2351" s="10" t="s">
        <v>17866</v>
      </c>
      <c r="AF2351" s="15"/>
      <c r="AG2351" s="10"/>
      <c r="AH2351" s="10"/>
      <c r="AI2351" s="10"/>
      <c r="AJ2351" s="10"/>
      <c r="AK2351" s="10" t="s">
        <v>102</v>
      </c>
      <c r="AL2351" s="10"/>
      <c r="AM2351" s="10"/>
      <c r="AN2351" s="10"/>
      <c r="AO2351" s="13" t="b">
        <v>0</v>
      </c>
      <c r="AP2351" s="22" t="s">
        <v>104</v>
      </c>
      <c r="AQ2351" s="10">
        <f ca="1">IFERROR(__xludf.DUMMYFUNCTION("""COMPUTED_VALUE"""),4670654)</f>
        <v>4670654</v>
      </c>
      <c r="AR2351" s="17">
        <v>19063</v>
      </c>
      <c r="AS2351" s="17">
        <v>14505</v>
      </c>
      <c r="AT2351" s="17">
        <v>115225</v>
      </c>
      <c r="AU2351" s="17">
        <v>137.75</v>
      </c>
      <c r="AV2351" s="17">
        <v>35.200000000000003</v>
      </c>
      <c r="AW2351" s="10" t="s">
        <v>105</v>
      </c>
      <c r="AX2351" s="17">
        <v>9741</v>
      </c>
      <c r="AY2351" s="18">
        <v>7.9438124784557047</v>
      </c>
      <c r="AZ2351" s="10"/>
      <c r="BA2351" s="20" t="b">
        <v>0</v>
      </c>
      <c r="BB2351" s="10"/>
      <c r="BC2351" s="17">
        <v>19063</v>
      </c>
      <c r="BD2351" s="17">
        <v>14505</v>
      </c>
      <c r="BE2351" s="17">
        <v>115225</v>
      </c>
      <c r="BF2351" s="17">
        <v>35.200000000000003</v>
      </c>
      <c r="BG2351" s="11">
        <f ca="1">IFERROR(__xludf.DUMMYFUNCTION("""COMPUTED_VALUE"""),45957.7708333333)</f>
        <v>45957.770833333299</v>
      </c>
      <c r="BH2351" s="17" t="s">
        <v>105</v>
      </c>
      <c r="BI2351" s="17"/>
      <c r="BJ2351" s="15"/>
      <c r="BK2351" s="15"/>
      <c r="BL2351" s="13" t="b">
        <v>0</v>
      </c>
      <c r="BM2351" s="10"/>
      <c r="BN2351" s="10" t="s">
        <v>137</v>
      </c>
      <c r="BO2351" s="11">
        <v>45950.713888888888</v>
      </c>
      <c r="BP2351" s="11">
        <v>45950.714328703703</v>
      </c>
      <c r="BQ2351" s="15">
        <v>45953.634293981479</v>
      </c>
      <c r="BR2351" s="15">
        <v>45954.757719907408</v>
      </c>
      <c r="BS2351" s="10" t="s">
        <v>137</v>
      </c>
      <c r="BT2351" s="10"/>
      <c r="BU2351" s="10"/>
      <c r="BV2351" s="10"/>
      <c r="BW2351" s="10"/>
      <c r="BX2351" s="10"/>
      <c r="BY2351" s="23"/>
      <c r="BZ2351" s="23"/>
      <c r="CA2351" s="19" t="s">
        <v>17867</v>
      </c>
      <c r="CB2351" s="23"/>
      <c r="CC2351" s="23"/>
      <c r="CD2351" s="23"/>
      <c r="CE2351" s="23"/>
      <c r="CF2351" s="23"/>
      <c r="CG2351" s="23"/>
      <c r="CH2351" s="23"/>
      <c r="CI2351" s="23"/>
    </row>
    <row r="2352" spans="1:87" x14ac:dyDescent="0.3">
      <c r="A2352" s="9" t="s">
        <v>17868</v>
      </c>
      <c r="B2352" s="10" t="s">
        <v>17869</v>
      </c>
      <c r="C2352" s="11">
        <v>45962.104166666664</v>
      </c>
      <c r="D2352" s="12">
        <v>8.3333333333333329E-2</v>
      </c>
      <c r="E2352" s="11">
        <v>45962.1875</v>
      </c>
      <c r="F2352" s="10" t="s">
        <v>17870</v>
      </c>
      <c r="G2352" s="13" t="b">
        <v>0</v>
      </c>
      <c r="H2352" s="22" t="s">
        <v>17871</v>
      </c>
      <c r="I2352" s="10" t="s">
        <v>3213</v>
      </c>
      <c r="J2352" s="13" t="b">
        <v>0</v>
      </c>
      <c r="K2352" s="13" t="b">
        <v>1</v>
      </c>
      <c r="L2352" s="10" t="s">
        <v>124</v>
      </c>
      <c r="M2352" s="10" t="s">
        <v>91</v>
      </c>
      <c r="N2352" s="10" t="s">
        <v>265</v>
      </c>
      <c r="O2352" s="19" t="s">
        <v>17872</v>
      </c>
      <c r="P2352" s="10"/>
      <c r="Q2352" s="10" t="s">
        <v>94</v>
      </c>
      <c r="R2352" s="10"/>
      <c r="S2352" s="19" t="s">
        <v>17873</v>
      </c>
      <c r="T2352" s="10"/>
      <c r="U2352" s="10" t="s">
        <v>17874</v>
      </c>
      <c r="V2352" s="10" t="s">
        <v>17875</v>
      </c>
      <c r="W2352" s="10" t="s">
        <v>17876</v>
      </c>
      <c r="X2352" s="10" t="s">
        <v>130</v>
      </c>
      <c r="Y2352" s="10" t="s">
        <v>130</v>
      </c>
      <c r="Z2352" s="10" t="s">
        <v>99</v>
      </c>
      <c r="AA2352" s="10" t="s">
        <v>131</v>
      </c>
      <c r="AB2352" s="10" t="s">
        <v>17877</v>
      </c>
      <c r="AC2352" s="10" t="s">
        <v>7885</v>
      </c>
      <c r="AD2352" s="10" t="s">
        <v>17878</v>
      </c>
      <c r="AE2352" s="10" t="s">
        <v>17879</v>
      </c>
      <c r="AF2352" s="15"/>
      <c r="AG2352" s="10"/>
      <c r="AH2352" s="10"/>
      <c r="AI2352" s="10"/>
      <c r="AJ2352" s="10"/>
      <c r="AK2352" s="10" t="s">
        <v>102</v>
      </c>
      <c r="AL2352" s="10"/>
      <c r="AM2352" s="10"/>
      <c r="AN2352" s="10"/>
      <c r="AO2352" s="13" t="b">
        <v>0</v>
      </c>
      <c r="AP2352" s="22" t="s">
        <v>104</v>
      </c>
      <c r="AQ2352" s="10">
        <f ca="1">IFERROR(__xludf.DUMMYFUNCTION("""COMPUTED_VALUE"""),4678554)</f>
        <v>4678554</v>
      </c>
      <c r="AR2352" s="17">
        <v>1267</v>
      </c>
      <c r="AS2352" s="17">
        <v>1126</v>
      </c>
      <c r="AT2352" s="17">
        <v>9160.5</v>
      </c>
      <c r="AU2352" s="17">
        <v>1.75</v>
      </c>
      <c r="AV2352" s="17">
        <v>0</v>
      </c>
      <c r="AW2352" s="10" t="s">
        <v>105</v>
      </c>
      <c r="AX2352" s="17">
        <v>222</v>
      </c>
      <c r="AY2352" s="18">
        <v>8.1354351687388995</v>
      </c>
      <c r="AZ2352" s="10" t="s">
        <v>168</v>
      </c>
      <c r="BA2352" s="20" t="b">
        <v>0</v>
      </c>
      <c r="BB2352" s="10"/>
      <c r="BC2352" s="17">
        <v>1267</v>
      </c>
      <c r="BD2352" s="17">
        <v>1126</v>
      </c>
      <c r="BE2352" s="17">
        <v>9160.5</v>
      </c>
      <c r="BF2352" s="17">
        <v>0</v>
      </c>
      <c r="BG2352" s="11">
        <f ca="1">IFERROR(__xludf.DUMMYFUNCTION("""COMPUTED_VALUE"""),45962.1041666666)</f>
        <v>45962.104166666599</v>
      </c>
      <c r="BH2352" s="17" t="s">
        <v>105</v>
      </c>
      <c r="BI2352" s="17"/>
      <c r="BJ2352" s="15"/>
      <c r="BK2352" s="15"/>
      <c r="BL2352" s="13" t="b">
        <v>0</v>
      </c>
      <c r="BM2352" s="10"/>
      <c r="BN2352" s="10" t="s">
        <v>157</v>
      </c>
      <c r="BO2352" s="11">
        <v>45950.767361111109</v>
      </c>
      <c r="BP2352" s="11">
        <v>45950.768368055556</v>
      </c>
      <c r="BQ2352" s="15">
        <v>45960.693171296298</v>
      </c>
      <c r="BR2352" s="15">
        <v>45960.760833333334</v>
      </c>
      <c r="BS2352" s="10" t="s">
        <v>157</v>
      </c>
      <c r="BT2352" s="10"/>
      <c r="BU2352" s="10"/>
      <c r="BV2352" s="10"/>
      <c r="BW2352" s="10"/>
      <c r="BX2352" s="10"/>
      <c r="BY2352" s="23"/>
      <c r="BZ2352" s="23"/>
      <c r="CA2352" s="19" t="s">
        <v>17880</v>
      </c>
      <c r="CB2352" s="23"/>
      <c r="CC2352" s="23"/>
      <c r="CD2352" s="23"/>
      <c r="CE2352" s="23"/>
      <c r="CF2352" s="23"/>
      <c r="CG2352" s="23"/>
      <c r="CH2352" s="23"/>
      <c r="CI2352" s="23"/>
    </row>
    <row r="2353" spans="1:87" x14ac:dyDescent="0.3">
      <c r="A2353" s="9" t="s">
        <v>17881</v>
      </c>
      <c r="B2353" s="10" t="s">
        <v>17882</v>
      </c>
      <c r="C2353" s="11">
        <v>45962.791666666664</v>
      </c>
      <c r="D2353" s="12">
        <v>8.3333333333333329E-2</v>
      </c>
      <c r="E2353" s="11">
        <v>45962.875</v>
      </c>
      <c r="F2353" s="10" t="s">
        <v>17870</v>
      </c>
      <c r="G2353" s="13" t="b">
        <v>0</v>
      </c>
      <c r="H2353" s="22" t="s">
        <v>17871</v>
      </c>
      <c r="I2353" s="10" t="s">
        <v>3213</v>
      </c>
      <c r="J2353" s="13" t="b">
        <v>0</v>
      </c>
      <c r="K2353" s="13" t="b">
        <v>1</v>
      </c>
      <c r="L2353" s="10" t="s">
        <v>124</v>
      </c>
      <c r="M2353" s="10" t="s">
        <v>91</v>
      </c>
      <c r="N2353" s="10" t="s">
        <v>265</v>
      </c>
      <c r="O2353" s="19" t="s">
        <v>17883</v>
      </c>
      <c r="P2353" s="10"/>
      <c r="Q2353" s="10" t="s">
        <v>94</v>
      </c>
      <c r="R2353" s="10"/>
      <c r="S2353" s="19" t="s">
        <v>17884</v>
      </c>
      <c r="T2353" s="10"/>
      <c r="U2353" s="10" t="s">
        <v>17885</v>
      </c>
      <c r="V2353" s="10" t="s">
        <v>17886</v>
      </c>
      <c r="W2353" s="10" t="s">
        <v>17876</v>
      </c>
      <c r="X2353" s="10" t="s">
        <v>130</v>
      </c>
      <c r="Y2353" s="10" t="s">
        <v>130</v>
      </c>
      <c r="Z2353" s="10" t="s">
        <v>99</v>
      </c>
      <c r="AA2353" s="10" t="s">
        <v>131</v>
      </c>
      <c r="AB2353" s="10" t="s">
        <v>17877</v>
      </c>
      <c r="AC2353" s="10" t="s">
        <v>7885</v>
      </c>
      <c r="AD2353" s="10" t="s">
        <v>17887</v>
      </c>
      <c r="AE2353" s="10" t="s">
        <v>17888</v>
      </c>
      <c r="AF2353" s="15"/>
      <c r="AG2353" s="10"/>
      <c r="AH2353" s="10"/>
      <c r="AI2353" s="10"/>
      <c r="AJ2353" s="10"/>
      <c r="AK2353" s="10" t="s">
        <v>102</v>
      </c>
      <c r="AL2353" s="10"/>
      <c r="AM2353" s="10"/>
      <c r="AN2353" s="10"/>
      <c r="AO2353" s="13" t="b">
        <v>0</v>
      </c>
      <c r="AP2353" s="22" t="s">
        <v>104</v>
      </c>
      <c r="AQ2353" s="10">
        <f ca="1">IFERROR(__xludf.DUMMYFUNCTION("""COMPUTED_VALUE"""),4678555)</f>
        <v>4678555</v>
      </c>
      <c r="AR2353" s="17">
        <v>7283</v>
      </c>
      <c r="AS2353" s="17">
        <v>6638</v>
      </c>
      <c r="AT2353" s="17">
        <v>16434.75</v>
      </c>
      <c r="AU2353" s="17">
        <v>11.55</v>
      </c>
      <c r="AV2353" s="17">
        <v>1.25</v>
      </c>
      <c r="AW2353" s="10" t="s">
        <v>105</v>
      </c>
      <c r="AX2353" s="17">
        <v>1362</v>
      </c>
      <c r="AY2353" s="18">
        <v>2.4758586923772219</v>
      </c>
      <c r="AZ2353" s="10" t="s">
        <v>168</v>
      </c>
      <c r="BA2353" s="20" t="b">
        <v>0</v>
      </c>
      <c r="BB2353" s="10"/>
      <c r="BC2353" s="17">
        <v>7283</v>
      </c>
      <c r="BD2353" s="17">
        <v>6638</v>
      </c>
      <c r="BE2353" s="17">
        <v>16434.75</v>
      </c>
      <c r="BF2353" s="17">
        <v>1.25</v>
      </c>
      <c r="BG2353" s="11">
        <f ca="1">IFERROR(__xludf.DUMMYFUNCTION("""COMPUTED_VALUE"""),45962.7916666666)</f>
        <v>45962.791666666599</v>
      </c>
      <c r="BH2353" s="17" t="s">
        <v>105</v>
      </c>
      <c r="BI2353" s="17"/>
      <c r="BJ2353" s="15"/>
      <c r="BK2353" s="15"/>
      <c r="BL2353" s="13" t="b">
        <v>0</v>
      </c>
      <c r="BM2353" s="10"/>
      <c r="BN2353" s="10" t="s">
        <v>157</v>
      </c>
      <c r="BO2353" s="11">
        <v>45950.768055555556</v>
      </c>
      <c r="BP2353" s="11">
        <v>45950.768587962964</v>
      </c>
      <c r="BQ2353" s="15">
        <v>45960.693333333336</v>
      </c>
      <c r="BR2353" s="15">
        <v>45960.762523148151</v>
      </c>
      <c r="BS2353" s="10" t="s">
        <v>157</v>
      </c>
      <c r="BT2353" s="10"/>
      <c r="BU2353" s="10"/>
      <c r="BV2353" s="10"/>
      <c r="BW2353" s="10"/>
      <c r="BX2353" s="10"/>
      <c r="BY2353" s="23"/>
      <c r="BZ2353" s="23"/>
      <c r="CA2353" s="19" t="s">
        <v>17889</v>
      </c>
      <c r="CB2353" s="23"/>
      <c r="CC2353" s="23"/>
      <c r="CD2353" s="23"/>
      <c r="CE2353" s="23"/>
      <c r="CF2353" s="23"/>
      <c r="CG2353" s="23"/>
      <c r="CH2353" s="23"/>
      <c r="CI2353" s="23"/>
    </row>
    <row r="2354" spans="1:87" x14ac:dyDescent="0.3">
      <c r="A2354" s="9" t="s">
        <v>17890</v>
      </c>
      <c r="B2354" s="10" t="s">
        <v>17891</v>
      </c>
      <c r="C2354" s="11">
        <v>45963.020833333336</v>
      </c>
      <c r="D2354" s="12">
        <v>8.3333333333333329E-2</v>
      </c>
      <c r="E2354" s="11">
        <v>45963.104166666664</v>
      </c>
      <c r="F2354" s="10" t="s">
        <v>17870</v>
      </c>
      <c r="G2354" s="13" t="b">
        <v>0</v>
      </c>
      <c r="H2354" s="22" t="s">
        <v>17871</v>
      </c>
      <c r="I2354" s="10" t="s">
        <v>3213</v>
      </c>
      <c r="J2354" s="13" t="b">
        <v>0</v>
      </c>
      <c r="K2354" s="13" t="b">
        <v>1</v>
      </c>
      <c r="L2354" s="10" t="s">
        <v>124</v>
      </c>
      <c r="M2354" s="10" t="s">
        <v>91</v>
      </c>
      <c r="N2354" s="10" t="s">
        <v>265</v>
      </c>
      <c r="O2354" s="19" t="s">
        <v>17892</v>
      </c>
      <c r="P2354" s="10"/>
      <c r="Q2354" s="10" t="s">
        <v>94</v>
      </c>
      <c r="R2354" s="10"/>
      <c r="S2354" s="19" t="s">
        <v>17893</v>
      </c>
      <c r="T2354" s="10"/>
      <c r="U2354" s="10" t="s">
        <v>17894</v>
      </c>
      <c r="V2354" s="10" t="s">
        <v>17895</v>
      </c>
      <c r="W2354" s="10" t="s">
        <v>17876</v>
      </c>
      <c r="X2354" s="10" t="s">
        <v>130</v>
      </c>
      <c r="Y2354" s="10" t="s">
        <v>130</v>
      </c>
      <c r="Z2354" s="10" t="s">
        <v>99</v>
      </c>
      <c r="AA2354" s="10" t="s">
        <v>131</v>
      </c>
      <c r="AB2354" s="10" t="s">
        <v>17877</v>
      </c>
      <c r="AC2354" s="10" t="s">
        <v>7885</v>
      </c>
      <c r="AD2354" s="10" t="s">
        <v>17896</v>
      </c>
      <c r="AE2354" s="10" t="s">
        <v>17897</v>
      </c>
      <c r="AF2354" s="15"/>
      <c r="AG2354" s="10"/>
      <c r="AH2354" s="10"/>
      <c r="AI2354" s="10"/>
      <c r="AJ2354" s="10"/>
      <c r="AK2354" s="10" t="s">
        <v>102</v>
      </c>
      <c r="AL2354" s="10"/>
      <c r="AM2354" s="10"/>
      <c r="AN2354" s="10"/>
      <c r="AO2354" s="13" t="b">
        <v>0</v>
      </c>
      <c r="AP2354" s="22" t="s">
        <v>104</v>
      </c>
      <c r="AQ2354" s="10">
        <f ca="1">IFERROR(__xludf.DUMMYFUNCTION("""COMPUTED_VALUE"""),4678558)</f>
        <v>4678558</v>
      </c>
      <c r="AR2354" s="17">
        <v>1069</v>
      </c>
      <c r="AS2354" s="17">
        <v>976</v>
      </c>
      <c r="AT2354" s="17">
        <v>3301.25</v>
      </c>
      <c r="AU2354" s="17">
        <v>0</v>
      </c>
      <c r="AV2354" s="17">
        <v>0</v>
      </c>
      <c r="AW2354" s="10" t="s">
        <v>105</v>
      </c>
      <c r="AX2354" s="17">
        <v>93</v>
      </c>
      <c r="AY2354" s="18">
        <v>3.3824282786885247</v>
      </c>
      <c r="AZ2354" s="10" t="s">
        <v>168</v>
      </c>
      <c r="BA2354" s="20" t="b">
        <v>0</v>
      </c>
      <c r="BB2354" s="10"/>
      <c r="BC2354" s="17">
        <v>1069</v>
      </c>
      <c r="BD2354" s="17">
        <v>976</v>
      </c>
      <c r="BE2354" s="17">
        <v>3301.25</v>
      </c>
      <c r="BF2354" s="17">
        <v>0</v>
      </c>
      <c r="BG2354" s="11">
        <f ca="1">IFERROR(__xludf.DUMMYFUNCTION("""COMPUTED_VALUE"""),45963.0208333333)</f>
        <v>45963.020833333299</v>
      </c>
      <c r="BH2354" s="17" t="s">
        <v>105</v>
      </c>
      <c r="BI2354" s="17"/>
      <c r="BJ2354" s="15"/>
      <c r="BK2354" s="15"/>
      <c r="BL2354" s="13" t="b">
        <v>0</v>
      </c>
      <c r="BM2354" s="10"/>
      <c r="BN2354" s="10" t="s">
        <v>157</v>
      </c>
      <c r="BO2354" s="11">
        <v>45950.768750000003</v>
      </c>
      <c r="BP2354" s="11">
        <v>45950.769849537035</v>
      </c>
      <c r="BQ2354" s="15">
        <v>45960.693518518521</v>
      </c>
      <c r="BR2354" s="15">
        <v>45960.763819444444</v>
      </c>
      <c r="BS2354" s="10" t="s">
        <v>157</v>
      </c>
      <c r="BT2354" s="10"/>
      <c r="BU2354" s="10"/>
      <c r="BV2354" s="10"/>
      <c r="BW2354" s="10"/>
      <c r="BX2354" s="10"/>
      <c r="BY2354" s="23"/>
      <c r="BZ2354" s="23"/>
      <c r="CA2354" s="19" t="s">
        <v>17898</v>
      </c>
      <c r="CB2354" s="23"/>
      <c r="CC2354" s="23"/>
      <c r="CD2354" s="23"/>
      <c r="CE2354" s="23"/>
      <c r="CF2354" s="23"/>
      <c r="CG2354" s="23"/>
      <c r="CH2354" s="23"/>
      <c r="CI2354" s="23"/>
    </row>
    <row r="2355" spans="1:87" x14ac:dyDescent="0.3">
      <c r="A2355" s="9" t="s">
        <v>17899</v>
      </c>
      <c r="B2355" s="10" t="s">
        <v>17900</v>
      </c>
      <c r="C2355" s="11">
        <v>45963.791666666664</v>
      </c>
      <c r="D2355" s="12">
        <v>8.3333333333333329E-2</v>
      </c>
      <c r="E2355" s="11">
        <v>45963.875</v>
      </c>
      <c r="F2355" s="10" t="s">
        <v>17870</v>
      </c>
      <c r="G2355" s="13" t="b">
        <v>0</v>
      </c>
      <c r="H2355" s="22" t="s">
        <v>17871</v>
      </c>
      <c r="I2355" s="10" t="s">
        <v>3213</v>
      </c>
      <c r="J2355" s="13" t="b">
        <v>0</v>
      </c>
      <c r="K2355" s="13" t="b">
        <v>1</v>
      </c>
      <c r="L2355" s="10" t="s">
        <v>124</v>
      </c>
      <c r="M2355" s="10" t="s">
        <v>91</v>
      </c>
      <c r="N2355" s="10" t="s">
        <v>265</v>
      </c>
      <c r="O2355" s="19" t="s">
        <v>17901</v>
      </c>
      <c r="P2355" s="10"/>
      <c r="Q2355" s="10" t="s">
        <v>94</v>
      </c>
      <c r="R2355" s="10"/>
      <c r="S2355" s="19" t="s">
        <v>17902</v>
      </c>
      <c r="T2355" s="10"/>
      <c r="U2355" s="10" t="s">
        <v>17903</v>
      </c>
      <c r="V2355" s="10" t="s">
        <v>17904</v>
      </c>
      <c r="W2355" s="10" t="s">
        <v>17876</v>
      </c>
      <c r="X2355" s="10" t="s">
        <v>130</v>
      </c>
      <c r="Y2355" s="10" t="s">
        <v>130</v>
      </c>
      <c r="Z2355" s="10" t="s">
        <v>99</v>
      </c>
      <c r="AA2355" s="10" t="s">
        <v>131</v>
      </c>
      <c r="AB2355" s="10" t="s">
        <v>17877</v>
      </c>
      <c r="AC2355" s="10" t="s">
        <v>7885</v>
      </c>
      <c r="AD2355" s="10" t="s">
        <v>17905</v>
      </c>
      <c r="AE2355" s="10" t="s">
        <v>17906</v>
      </c>
      <c r="AF2355" s="15"/>
      <c r="AG2355" s="10"/>
      <c r="AH2355" s="10"/>
      <c r="AI2355" s="10"/>
      <c r="AJ2355" s="10"/>
      <c r="AK2355" s="10" t="s">
        <v>102</v>
      </c>
      <c r="AL2355" s="10"/>
      <c r="AM2355" s="10"/>
      <c r="AN2355" s="10"/>
      <c r="AO2355" s="13" t="b">
        <v>0</v>
      </c>
      <c r="AP2355" s="22" t="s">
        <v>104</v>
      </c>
      <c r="AQ2355" s="10">
        <f ca="1">IFERROR(__xludf.DUMMYFUNCTION("""COMPUTED_VALUE"""),4678559)</f>
        <v>4678559</v>
      </c>
      <c r="AR2355" s="17">
        <v>3730</v>
      </c>
      <c r="AS2355" s="17">
        <v>3492</v>
      </c>
      <c r="AT2355" s="17">
        <v>8082.5</v>
      </c>
      <c r="AU2355" s="17">
        <v>1.1000000000000001</v>
      </c>
      <c r="AV2355" s="17">
        <v>0</v>
      </c>
      <c r="AW2355" s="10" t="s">
        <v>105</v>
      </c>
      <c r="AX2355" s="17">
        <v>504</v>
      </c>
      <c r="AY2355" s="18">
        <v>2.3145761741122568</v>
      </c>
      <c r="AZ2355" s="10" t="s">
        <v>168</v>
      </c>
      <c r="BA2355" s="20" t="b">
        <v>0</v>
      </c>
      <c r="BB2355" s="10"/>
      <c r="BC2355" s="17">
        <v>3730</v>
      </c>
      <c r="BD2355" s="17">
        <v>3492</v>
      </c>
      <c r="BE2355" s="17">
        <v>8082.5</v>
      </c>
      <c r="BF2355" s="17">
        <v>0</v>
      </c>
      <c r="BG2355" s="11">
        <f ca="1">IFERROR(__xludf.DUMMYFUNCTION("""COMPUTED_VALUE"""),45963.7916666666)</f>
        <v>45963.791666666599</v>
      </c>
      <c r="BH2355" s="17" t="s">
        <v>105</v>
      </c>
      <c r="BI2355" s="17"/>
      <c r="BJ2355" s="15"/>
      <c r="BK2355" s="15"/>
      <c r="BL2355" s="13" t="b">
        <v>0</v>
      </c>
      <c r="BM2355" s="10"/>
      <c r="BN2355" s="10" t="s">
        <v>137</v>
      </c>
      <c r="BO2355" s="11">
        <v>45950.771527777775</v>
      </c>
      <c r="BP2355" s="11">
        <v>45950.772199074076</v>
      </c>
      <c r="BQ2355" s="15">
        <v>45960.693692129629</v>
      </c>
      <c r="BR2355" s="15">
        <v>45960.765625</v>
      </c>
      <c r="BS2355" s="10" t="s">
        <v>137</v>
      </c>
      <c r="BT2355" s="10"/>
      <c r="BU2355" s="10"/>
      <c r="BV2355" s="10"/>
      <c r="BW2355" s="10"/>
      <c r="BX2355" s="10"/>
      <c r="BY2355" s="23"/>
      <c r="BZ2355" s="23"/>
      <c r="CA2355" s="19" t="s">
        <v>17907</v>
      </c>
      <c r="CB2355" s="23"/>
      <c r="CC2355" s="23"/>
      <c r="CD2355" s="23"/>
      <c r="CE2355" s="23"/>
      <c r="CF2355" s="23"/>
      <c r="CG2355" s="23"/>
      <c r="CH2355" s="23"/>
      <c r="CI2355" s="23"/>
    </row>
    <row r="2356" spans="1:87" x14ac:dyDescent="0.3">
      <c r="A2356" s="9" t="s">
        <v>17908</v>
      </c>
      <c r="B2356" s="10" t="s">
        <v>17909</v>
      </c>
      <c r="C2356" s="11">
        <v>45963.885416666664</v>
      </c>
      <c r="D2356" s="12">
        <v>8.3333333333333329E-2</v>
      </c>
      <c r="E2356" s="11">
        <v>45963.96875</v>
      </c>
      <c r="F2356" s="10" t="s">
        <v>17870</v>
      </c>
      <c r="G2356" s="13" t="b">
        <v>0</v>
      </c>
      <c r="H2356" s="22" t="s">
        <v>17871</v>
      </c>
      <c r="I2356" s="10" t="s">
        <v>3213</v>
      </c>
      <c r="J2356" s="13" t="b">
        <v>0</v>
      </c>
      <c r="K2356" s="13" t="b">
        <v>1</v>
      </c>
      <c r="L2356" s="10" t="s">
        <v>124</v>
      </c>
      <c r="M2356" s="10" t="s">
        <v>91</v>
      </c>
      <c r="N2356" s="10" t="s">
        <v>265</v>
      </c>
      <c r="O2356" s="19" t="s">
        <v>17910</v>
      </c>
      <c r="P2356" s="10"/>
      <c r="Q2356" s="10" t="s">
        <v>94</v>
      </c>
      <c r="R2356" s="10"/>
      <c r="S2356" s="19" t="s">
        <v>17911</v>
      </c>
      <c r="T2356" s="10"/>
      <c r="U2356" s="10" t="s">
        <v>17912</v>
      </c>
      <c r="V2356" s="10" t="s">
        <v>17913</v>
      </c>
      <c r="W2356" s="10" t="s">
        <v>17876</v>
      </c>
      <c r="X2356" s="10" t="s">
        <v>130</v>
      </c>
      <c r="Y2356" s="10" t="s">
        <v>130</v>
      </c>
      <c r="Z2356" s="10" t="s">
        <v>99</v>
      </c>
      <c r="AA2356" s="10" t="s">
        <v>131</v>
      </c>
      <c r="AB2356" s="10" t="s">
        <v>17877</v>
      </c>
      <c r="AC2356" s="10" t="s">
        <v>7885</v>
      </c>
      <c r="AD2356" s="10" t="s">
        <v>17914</v>
      </c>
      <c r="AE2356" s="10" t="s">
        <v>17915</v>
      </c>
      <c r="AF2356" s="15"/>
      <c r="AG2356" s="10"/>
      <c r="AH2356" s="10"/>
      <c r="AI2356" s="10"/>
      <c r="AJ2356" s="10"/>
      <c r="AK2356" s="10" t="s">
        <v>102</v>
      </c>
      <c r="AL2356" s="10"/>
      <c r="AM2356" s="10"/>
      <c r="AN2356" s="10"/>
      <c r="AO2356" s="13" t="b">
        <v>0</v>
      </c>
      <c r="AP2356" s="22" t="s">
        <v>104</v>
      </c>
      <c r="AQ2356" s="10">
        <f ca="1">IFERROR(__xludf.DUMMYFUNCTION("""COMPUTED_VALUE"""),4678557)</f>
        <v>4678557</v>
      </c>
      <c r="AR2356" s="17">
        <v>1601</v>
      </c>
      <c r="AS2356" s="17">
        <v>1470</v>
      </c>
      <c r="AT2356" s="17">
        <v>3281.25</v>
      </c>
      <c r="AU2356" s="17">
        <v>0.35</v>
      </c>
      <c r="AV2356" s="17">
        <v>0</v>
      </c>
      <c r="AW2356" s="10" t="s">
        <v>105</v>
      </c>
      <c r="AX2356" s="17">
        <v>171</v>
      </c>
      <c r="AY2356" s="18">
        <v>2.2321428571428572</v>
      </c>
      <c r="AZ2356" s="10" t="s">
        <v>168</v>
      </c>
      <c r="BA2356" s="20" t="b">
        <v>0</v>
      </c>
      <c r="BB2356" s="10"/>
      <c r="BC2356" s="17">
        <v>1601</v>
      </c>
      <c r="BD2356" s="17">
        <v>1470</v>
      </c>
      <c r="BE2356" s="17">
        <v>3281.25</v>
      </c>
      <c r="BF2356" s="17">
        <v>0</v>
      </c>
      <c r="BG2356" s="11">
        <f ca="1">IFERROR(__xludf.DUMMYFUNCTION("""COMPUTED_VALUE"""),45963.8854166666)</f>
        <v>45963.885416666599</v>
      </c>
      <c r="BH2356" s="17" t="s">
        <v>105</v>
      </c>
      <c r="BI2356" s="17"/>
      <c r="BJ2356" s="15"/>
      <c r="BK2356" s="15"/>
      <c r="BL2356" s="13" t="b">
        <v>0</v>
      </c>
      <c r="BM2356" s="10"/>
      <c r="BN2356" s="10" t="s">
        <v>137</v>
      </c>
      <c r="BO2356" s="11">
        <v>45950.772916666669</v>
      </c>
      <c r="BP2356" s="11">
        <v>45950.773148148146</v>
      </c>
      <c r="BQ2356" s="15">
        <v>45960.693842592591</v>
      </c>
      <c r="BR2356" s="15">
        <v>45960.765520833331</v>
      </c>
      <c r="BS2356" s="10" t="s">
        <v>137</v>
      </c>
      <c r="BT2356" s="10"/>
      <c r="BU2356" s="10"/>
      <c r="BV2356" s="10"/>
      <c r="BW2356" s="10"/>
      <c r="BX2356" s="10"/>
      <c r="BY2356" s="23"/>
      <c r="BZ2356" s="23"/>
      <c r="CA2356" s="19" t="s">
        <v>17916</v>
      </c>
      <c r="CB2356" s="23"/>
      <c r="CC2356" s="23"/>
      <c r="CD2356" s="23"/>
      <c r="CE2356" s="23"/>
      <c r="CF2356" s="23"/>
      <c r="CG2356" s="23"/>
      <c r="CH2356" s="23"/>
      <c r="CI2356" s="23"/>
    </row>
    <row r="2357" spans="1:87" x14ac:dyDescent="0.3">
      <c r="A2357" s="9" t="s">
        <v>17917</v>
      </c>
      <c r="B2357" s="10" t="s">
        <v>17918</v>
      </c>
      <c r="C2357" s="11">
        <v>45963.916666666664</v>
      </c>
      <c r="D2357" s="12">
        <v>8.3333333333333329E-2</v>
      </c>
      <c r="E2357" s="11">
        <v>45964</v>
      </c>
      <c r="F2357" s="10" t="s">
        <v>17870</v>
      </c>
      <c r="G2357" s="13" t="b">
        <v>0</v>
      </c>
      <c r="H2357" s="22" t="s">
        <v>17871</v>
      </c>
      <c r="I2357" s="10" t="s">
        <v>3213</v>
      </c>
      <c r="J2357" s="13" t="b">
        <v>0</v>
      </c>
      <c r="K2357" s="13" t="b">
        <v>1</v>
      </c>
      <c r="L2357" s="10" t="s">
        <v>124</v>
      </c>
      <c r="M2357" s="10" t="s">
        <v>91</v>
      </c>
      <c r="N2357" s="10" t="s">
        <v>265</v>
      </c>
      <c r="O2357" s="19" t="s">
        <v>17919</v>
      </c>
      <c r="P2357" s="10"/>
      <c r="Q2357" s="10" t="s">
        <v>94</v>
      </c>
      <c r="R2357" s="10"/>
      <c r="S2357" s="19" t="s">
        <v>17920</v>
      </c>
      <c r="T2357" s="10"/>
      <c r="U2357" s="10" t="s">
        <v>14645</v>
      </c>
      <c r="V2357" s="10" t="s">
        <v>17921</v>
      </c>
      <c r="W2357" s="10" t="s">
        <v>17876</v>
      </c>
      <c r="X2357" s="10" t="s">
        <v>130</v>
      </c>
      <c r="Y2357" s="10" t="s">
        <v>130</v>
      </c>
      <c r="Z2357" s="10" t="s">
        <v>99</v>
      </c>
      <c r="AA2357" s="10" t="s">
        <v>131</v>
      </c>
      <c r="AB2357" s="10" t="s">
        <v>17877</v>
      </c>
      <c r="AC2357" s="10" t="s">
        <v>7885</v>
      </c>
      <c r="AD2357" s="10" t="s">
        <v>17922</v>
      </c>
      <c r="AE2357" s="10" t="s">
        <v>17923</v>
      </c>
      <c r="AF2357" s="15"/>
      <c r="AG2357" s="10"/>
      <c r="AH2357" s="10"/>
      <c r="AI2357" s="10"/>
      <c r="AJ2357" s="10"/>
      <c r="AK2357" s="10" t="s">
        <v>102</v>
      </c>
      <c r="AL2357" s="10"/>
      <c r="AM2357" s="10"/>
      <c r="AN2357" s="10"/>
      <c r="AO2357" s="13" t="b">
        <v>0</v>
      </c>
      <c r="AP2357" s="22" t="s">
        <v>104</v>
      </c>
      <c r="AQ2357" s="10">
        <f ca="1">IFERROR(__xludf.DUMMYFUNCTION("""COMPUTED_VALUE"""),4678560)</f>
        <v>4678560</v>
      </c>
      <c r="AR2357" s="17">
        <v>1514</v>
      </c>
      <c r="AS2357" s="17">
        <v>1338</v>
      </c>
      <c r="AT2357" s="17">
        <v>3897.75</v>
      </c>
      <c r="AU2357" s="17">
        <v>0.3</v>
      </c>
      <c r="AV2357" s="17">
        <v>0</v>
      </c>
      <c r="AW2357" s="10" t="s">
        <v>105</v>
      </c>
      <c r="AX2357" s="17">
        <v>172</v>
      </c>
      <c r="AY2357" s="18">
        <v>2.9131165919282513</v>
      </c>
      <c r="AZ2357" s="10" t="s">
        <v>168</v>
      </c>
      <c r="BA2357" s="20" t="b">
        <v>0</v>
      </c>
      <c r="BB2357" s="10"/>
      <c r="BC2357" s="17">
        <v>1514</v>
      </c>
      <c r="BD2357" s="17">
        <v>1338</v>
      </c>
      <c r="BE2357" s="17">
        <v>3897.75</v>
      </c>
      <c r="BF2357" s="17">
        <v>0</v>
      </c>
      <c r="BG2357" s="11">
        <f ca="1">IFERROR(__xludf.DUMMYFUNCTION("""COMPUTED_VALUE"""),45963.9166666666)</f>
        <v>45963.916666666599</v>
      </c>
      <c r="BH2357" s="17" t="s">
        <v>105</v>
      </c>
      <c r="BI2357" s="17"/>
      <c r="BJ2357" s="15"/>
      <c r="BK2357" s="15"/>
      <c r="BL2357" s="13" t="b">
        <v>0</v>
      </c>
      <c r="BM2357" s="10"/>
      <c r="BN2357" s="10" t="s">
        <v>157</v>
      </c>
      <c r="BO2357" s="11">
        <v>45950.773611111108</v>
      </c>
      <c r="BP2357" s="11">
        <v>45950.773854166669</v>
      </c>
      <c r="BQ2357" s="15">
        <v>45960.694016203706</v>
      </c>
      <c r="BR2357" s="15">
        <v>45960.767083333332</v>
      </c>
      <c r="BS2357" s="10" t="s">
        <v>157</v>
      </c>
      <c r="BT2357" s="10"/>
      <c r="BU2357" s="10"/>
      <c r="BV2357" s="10"/>
      <c r="BW2357" s="10"/>
      <c r="BX2357" s="10"/>
      <c r="BY2357" s="23"/>
      <c r="BZ2357" s="23"/>
      <c r="CA2357" s="19" t="s">
        <v>17924</v>
      </c>
      <c r="CB2357" s="23"/>
      <c r="CC2357" s="23"/>
      <c r="CD2357" s="23"/>
      <c r="CE2357" s="23"/>
      <c r="CF2357" s="23"/>
      <c r="CG2357" s="23"/>
      <c r="CH2357" s="23"/>
      <c r="CI2357" s="23"/>
    </row>
    <row r="2358" spans="1:87" x14ac:dyDescent="0.3">
      <c r="A2358" s="9" t="s">
        <v>17925</v>
      </c>
      <c r="B2358" s="10" t="s">
        <v>17926</v>
      </c>
      <c r="C2358" s="11">
        <v>45964.010416666664</v>
      </c>
      <c r="D2358" s="12">
        <v>8.3333333333333329E-2</v>
      </c>
      <c r="E2358" s="11">
        <v>45964.09375</v>
      </c>
      <c r="F2358" s="10" t="s">
        <v>17870</v>
      </c>
      <c r="G2358" s="13" t="b">
        <v>0</v>
      </c>
      <c r="H2358" s="22" t="s">
        <v>17871</v>
      </c>
      <c r="I2358" s="10" t="s">
        <v>3213</v>
      </c>
      <c r="J2358" s="13" t="b">
        <v>0</v>
      </c>
      <c r="K2358" s="13" t="b">
        <v>1</v>
      </c>
      <c r="L2358" s="10" t="s">
        <v>124</v>
      </c>
      <c r="M2358" s="10" t="s">
        <v>91</v>
      </c>
      <c r="N2358" s="10" t="s">
        <v>265</v>
      </c>
      <c r="O2358" s="19" t="s">
        <v>17927</v>
      </c>
      <c r="P2358" s="10"/>
      <c r="Q2358" s="10" t="s">
        <v>94</v>
      </c>
      <c r="R2358" s="10"/>
      <c r="S2358" s="19" t="s">
        <v>17928</v>
      </c>
      <c r="T2358" s="10"/>
      <c r="U2358" s="10" t="s">
        <v>17929</v>
      </c>
      <c r="V2358" s="10" t="s">
        <v>17930</v>
      </c>
      <c r="W2358" s="10" t="s">
        <v>17876</v>
      </c>
      <c r="X2358" s="10" t="s">
        <v>130</v>
      </c>
      <c r="Y2358" s="10" t="s">
        <v>130</v>
      </c>
      <c r="Z2358" s="10" t="s">
        <v>99</v>
      </c>
      <c r="AA2358" s="10" t="s">
        <v>131</v>
      </c>
      <c r="AB2358" s="10" t="s">
        <v>17877</v>
      </c>
      <c r="AC2358" s="10" t="s">
        <v>7885</v>
      </c>
      <c r="AD2358" s="10" t="s">
        <v>17931</v>
      </c>
      <c r="AE2358" s="10" t="s">
        <v>17932</v>
      </c>
      <c r="AF2358" s="15"/>
      <c r="AG2358" s="10"/>
      <c r="AH2358" s="10"/>
      <c r="AI2358" s="10"/>
      <c r="AJ2358" s="10"/>
      <c r="AK2358" s="10" t="s">
        <v>102</v>
      </c>
      <c r="AL2358" s="10"/>
      <c r="AM2358" s="10"/>
      <c r="AN2358" s="10"/>
      <c r="AO2358" s="13" t="b">
        <v>0</v>
      </c>
      <c r="AP2358" s="22" t="s">
        <v>104</v>
      </c>
      <c r="AQ2358" s="10">
        <f ca="1">IFERROR(__xludf.DUMMYFUNCTION("""COMPUTED_VALUE"""),4678561)</f>
        <v>4678561</v>
      </c>
      <c r="AR2358" s="17">
        <v>1039</v>
      </c>
      <c r="AS2358" s="17">
        <v>964</v>
      </c>
      <c r="AT2358" s="17">
        <v>3379.75</v>
      </c>
      <c r="AU2358" s="17">
        <v>0.5</v>
      </c>
      <c r="AV2358" s="17">
        <v>0</v>
      </c>
      <c r="AW2358" s="10" t="s">
        <v>105</v>
      </c>
      <c r="AX2358" s="17">
        <v>129</v>
      </c>
      <c r="AY2358" s="18">
        <v>3.5059647302904566</v>
      </c>
      <c r="AZ2358" s="10" t="s">
        <v>168</v>
      </c>
      <c r="BA2358" s="20" t="b">
        <v>0</v>
      </c>
      <c r="BB2358" s="10"/>
      <c r="BC2358" s="17">
        <v>1039</v>
      </c>
      <c r="BD2358" s="17">
        <v>964</v>
      </c>
      <c r="BE2358" s="17">
        <v>3379.75</v>
      </c>
      <c r="BF2358" s="17">
        <v>0</v>
      </c>
      <c r="BG2358" s="11">
        <f ca="1">IFERROR(__xludf.DUMMYFUNCTION("""COMPUTED_VALUE"""),45964.0104166666)</f>
        <v>45964.010416666599</v>
      </c>
      <c r="BH2358" s="17" t="s">
        <v>105</v>
      </c>
      <c r="BI2358" s="17"/>
      <c r="BJ2358" s="15"/>
      <c r="BK2358" s="15"/>
      <c r="BL2358" s="13" t="b">
        <v>0</v>
      </c>
      <c r="BM2358" s="10"/>
      <c r="BN2358" s="10" t="s">
        <v>137</v>
      </c>
      <c r="BO2358" s="11">
        <v>45950.775000000001</v>
      </c>
      <c r="BP2358" s="11">
        <v>45950.775300925925</v>
      </c>
      <c r="BQ2358" s="15">
        <v>45960.694340277776</v>
      </c>
      <c r="BR2358" s="15">
        <v>45960.769791666666</v>
      </c>
      <c r="BS2358" s="10" t="s">
        <v>137</v>
      </c>
      <c r="BT2358" s="10"/>
      <c r="BU2358" s="10"/>
      <c r="BV2358" s="10"/>
      <c r="BW2358" s="10"/>
      <c r="BX2358" s="10"/>
      <c r="BY2358" s="23"/>
      <c r="BZ2358" s="23"/>
      <c r="CA2358" s="19" t="s">
        <v>17933</v>
      </c>
      <c r="CB2358" s="23"/>
      <c r="CC2358" s="23"/>
      <c r="CD2358" s="23"/>
      <c r="CE2358" s="23"/>
      <c r="CF2358" s="23"/>
      <c r="CG2358" s="23"/>
      <c r="CH2358" s="23"/>
      <c r="CI2358" s="23"/>
    </row>
    <row r="2359" spans="1:87" x14ac:dyDescent="0.3">
      <c r="A2359" s="9" t="s">
        <v>17934</v>
      </c>
      <c r="B2359" s="10" t="s">
        <v>17935</v>
      </c>
      <c r="C2359" s="11">
        <v>45965.104166666664</v>
      </c>
      <c r="D2359" s="12">
        <v>8.3333333333333329E-2</v>
      </c>
      <c r="E2359" s="11">
        <v>45965.1875</v>
      </c>
      <c r="F2359" s="10" t="s">
        <v>17870</v>
      </c>
      <c r="G2359" s="13" t="b">
        <v>0</v>
      </c>
      <c r="H2359" s="22" t="s">
        <v>17871</v>
      </c>
      <c r="I2359" s="10" t="s">
        <v>3213</v>
      </c>
      <c r="J2359" s="13" t="b">
        <v>0</v>
      </c>
      <c r="K2359" s="13" t="b">
        <v>1</v>
      </c>
      <c r="L2359" s="10" t="s">
        <v>124</v>
      </c>
      <c r="M2359" s="10" t="s">
        <v>91</v>
      </c>
      <c r="N2359" s="10" t="s">
        <v>265</v>
      </c>
      <c r="O2359" s="19" t="s">
        <v>17936</v>
      </c>
      <c r="P2359" s="10"/>
      <c r="Q2359" s="10" t="s">
        <v>94</v>
      </c>
      <c r="R2359" s="10"/>
      <c r="S2359" s="19" t="s">
        <v>17937</v>
      </c>
      <c r="T2359" s="10"/>
      <c r="U2359" s="10" t="s">
        <v>17938</v>
      </c>
      <c r="V2359" s="10" t="s">
        <v>17939</v>
      </c>
      <c r="W2359" s="10" t="s">
        <v>17876</v>
      </c>
      <c r="X2359" s="10" t="s">
        <v>130</v>
      </c>
      <c r="Y2359" s="10" t="s">
        <v>130</v>
      </c>
      <c r="Z2359" s="10" t="s">
        <v>99</v>
      </c>
      <c r="AA2359" s="10" t="s">
        <v>131</v>
      </c>
      <c r="AB2359" s="10" t="s">
        <v>17877</v>
      </c>
      <c r="AC2359" s="10" t="s">
        <v>7885</v>
      </c>
      <c r="AD2359" s="10" t="s">
        <v>17940</v>
      </c>
      <c r="AE2359" s="10" t="s">
        <v>17941</v>
      </c>
      <c r="AF2359" s="15"/>
      <c r="AG2359" s="10"/>
      <c r="AH2359" s="10"/>
      <c r="AI2359" s="10"/>
      <c r="AJ2359" s="10"/>
      <c r="AK2359" s="10" t="s">
        <v>102</v>
      </c>
      <c r="AL2359" s="10"/>
      <c r="AM2359" s="10"/>
      <c r="AN2359" s="10"/>
      <c r="AO2359" s="13" t="b">
        <v>0</v>
      </c>
      <c r="AP2359" s="22" t="s">
        <v>104</v>
      </c>
      <c r="AQ2359" s="10">
        <f ca="1">IFERROR(__xludf.DUMMYFUNCTION("""COMPUTED_VALUE"""),4678562)</f>
        <v>4678562</v>
      </c>
      <c r="AR2359" s="17">
        <v>826</v>
      </c>
      <c r="AS2359" s="17">
        <v>767</v>
      </c>
      <c r="AT2359" s="17">
        <v>3841</v>
      </c>
      <c r="AU2359" s="17">
        <v>2</v>
      </c>
      <c r="AV2359" s="17">
        <v>0</v>
      </c>
      <c r="AW2359" s="10" t="s">
        <v>105</v>
      </c>
      <c r="AX2359" s="17">
        <v>136</v>
      </c>
      <c r="AY2359" s="18">
        <v>5.0078226857887875</v>
      </c>
      <c r="AZ2359" s="10" t="s">
        <v>168</v>
      </c>
      <c r="BA2359" s="20" t="b">
        <v>0</v>
      </c>
      <c r="BB2359" s="10"/>
      <c r="BC2359" s="17">
        <v>826</v>
      </c>
      <c r="BD2359" s="17">
        <v>767</v>
      </c>
      <c r="BE2359" s="17">
        <v>3841</v>
      </c>
      <c r="BF2359" s="17">
        <v>0</v>
      </c>
      <c r="BG2359" s="11">
        <f ca="1">IFERROR(__xludf.DUMMYFUNCTION("""COMPUTED_VALUE"""),45965.1041666666)</f>
        <v>45965.104166666599</v>
      </c>
      <c r="BH2359" s="17" t="s">
        <v>105</v>
      </c>
      <c r="BI2359" s="17"/>
      <c r="BJ2359" s="15"/>
      <c r="BK2359" s="15"/>
      <c r="BL2359" s="13" t="b">
        <v>0</v>
      </c>
      <c r="BM2359" s="10"/>
      <c r="BN2359" s="10" t="s">
        <v>157</v>
      </c>
      <c r="BO2359" s="11">
        <v>45950.776388888888</v>
      </c>
      <c r="BP2359" s="11">
        <v>45950.776782407411</v>
      </c>
      <c r="BQ2359" s="15">
        <v>45960.694502314815</v>
      </c>
      <c r="BR2359" s="15">
        <v>45960.770590277774</v>
      </c>
      <c r="BS2359" s="10" t="s">
        <v>157</v>
      </c>
      <c r="BT2359" s="10"/>
      <c r="BU2359" s="10"/>
      <c r="BV2359" s="10"/>
      <c r="BW2359" s="10"/>
      <c r="BX2359" s="10"/>
      <c r="BY2359" s="23"/>
      <c r="BZ2359" s="23"/>
      <c r="CA2359" s="19" t="s">
        <v>17942</v>
      </c>
      <c r="CB2359" s="23"/>
      <c r="CC2359" s="23"/>
      <c r="CD2359" s="23"/>
      <c r="CE2359" s="23"/>
      <c r="CF2359" s="23"/>
      <c r="CG2359" s="23"/>
      <c r="CH2359" s="23"/>
      <c r="CI2359" s="23"/>
    </row>
    <row r="2360" spans="1:87" x14ac:dyDescent="0.3">
      <c r="A2360" s="9" t="s">
        <v>17943</v>
      </c>
      <c r="B2360" s="10" t="s">
        <v>17944</v>
      </c>
      <c r="C2360" s="11">
        <v>45954.302083333336</v>
      </c>
      <c r="D2360" s="12">
        <v>0.1423611111111111</v>
      </c>
      <c r="E2360" s="11">
        <v>45954.444444444445</v>
      </c>
      <c r="F2360" s="10" t="s">
        <v>15270</v>
      </c>
      <c r="G2360" s="13" t="b">
        <v>0</v>
      </c>
      <c r="H2360" s="22" t="s">
        <v>15271</v>
      </c>
      <c r="I2360" s="10" t="s">
        <v>3213</v>
      </c>
      <c r="J2360" s="13" t="b">
        <v>0</v>
      </c>
      <c r="K2360" s="13" t="b">
        <v>1</v>
      </c>
      <c r="L2360" s="10" t="s">
        <v>124</v>
      </c>
      <c r="M2360" s="10" t="s">
        <v>91</v>
      </c>
      <c r="N2360" s="10" t="s">
        <v>92</v>
      </c>
      <c r="O2360" s="19" t="s">
        <v>17945</v>
      </c>
      <c r="P2360" s="10" t="s">
        <v>3215</v>
      </c>
      <c r="Q2360" s="10" t="s">
        <v>126</v>
      </c>
      <c r="R2360" s="10"/>
      <c r="S2360" s="19" t="s">
        <v>17946</v>
      </c>
      <c r="T2360" s="10"/>
      <c r="U2360" s="10" t="s">
        <v>15326</v>
      </c>
      <c r="V2360" s="10" t="s">
        <v>15307</v>
      </c>
      <c r="W2360" s="10" t="s">
        <v>15276</v>
      </c>
      <c r="X2360" s="10" t="s">
        <v>15277</v>
      </c>
      <c r="Y2360" s="10" t="s">
        <v>15277</v>
      </c>
      <c r="Z2360" s="10" t="s">
        <v>99</v>
      </c>
      <c r="AA2360" s="10" t="s">
        <v>131</v>
      </c>
      <c r="AB2360" s="10" t="s">
        <v>15278</v>
      </c>
      <c r="AC2360" s="10" t="s">
        <v>15279</v>
      </c>
      <c r="AD2360" s="10" t="s">
        <v>165</v>
      </c>
      <c r="AE2360" s="10" t="s">
        <v>17947</v>
      </c>
      <c r="AF2360" s="15"/>
      <c r="AG2360" s="10"/>
      <c r="AH2360" s="10"/>
      <c r="AI2360" s="10"/>
      <c r="AJ2360" s="10"/>
      <c r="AK2360" s="10" t="s">
        <v>102</v>
      </c>
      <c r="AL2360" s="10" t="s">
        <v>195</v>
      </c>
      <c r="AM2360" s="10"/>
      <c r="AN2360" s="10"/>
      <c r="AO2360" s="13" t="b">
        <v>0</v>
      </c>
      <c r="AP2360" s="22" t="s">
        <v>104</v>
      </c>
      <c r="AQ2360" s="10">
        <f ca="1">IFERROR(__xludf.DUMMYFUNCTION("""COMPUTED_VALUE"""),4667495)</f>
        <v>4667495</v>
      </c>
      <c r="AR2360" s="17">
        <v>2913</v>
      </c>
      <c r="AS2360" s="17">
        <v>2255</v>
      </c>
      <c r="AT2360" s="17">
        <v>41072</v>
      </c>
      <c r="AU2360" s="17">
        <v>8.1999999999999993</v>
      </c>
      <c r="AV2360" s="17">
        <v>4.25</v>
      </c>
      <c r="AW2360" s="10" t="s">
        <v>105</v>
      </c>
      <c r="AX2360" s="17">
        <v>336</v>
      </c>
      <c r="AY2360" s="18">
        <v>18.213747228381376</v>
      </c>
      <c r="AZ2360" s="10"/>
      <c r="BA2360" s="20" t="b">
        <v>0</v>
      </c>
      <c r="BB2360" s="10"/>
      <c r="BC2360" s="17">
        <v>2913</v>
      </c>
      <c r="BD2360" s="17">
        <v>2255</v>
      </c>
      <c r="BE2360" s="17">
        <v>41072</v>
      </c>
      <c r="BF2360" s="17">
        <v>4.25</v>
      </c>
      <c r="BG2360" s="11">
        <f ca="1">IFERROR(__xludf.DUMMYFUNCTION("""COMPUTED_VALUE"""),45954.3020833333)</f>
        <v>45954.302083333299</v>
      </c>
      <c r="BH2360" s="17" t="s">
        <v>105</v>
      </c>
      <c r="BI2360" s="17"/>
      <c r="BJ2360" s="15"/>
      <c r="BK2360" s="15"/>
      <c r="BL2360" s="13" t="b">
        <v>0</v>
      </c>
      <c r="BM2360" s="10"/>
      <c r="BN2360" s="10" t="s">
        <v>137</v>
      </c>
      <c r="BO2360" s="11">
        <v>45951.5625</v>
      </c>
      <c r="BP2360" s="11">
        <v>45951.571006944447</v>
      </c>
      <c r="BQ2360" s="15">
        <v>45953.579085648147</v>
      </c>
      <c r="BR2360" s="15">
        <v>45953.679699074077</v>
      </c>
      <c r="BS2360" s="10" t="s">
        <v>137</v>
      </c>
      <c r="BT2360" s="10"/>
      <c r="BU2360" s="10"/>
      <c r="BV2360" s="10"/>
      <c r="BW2360" s="10"/>
      <c r="BX2360" s="10"/>
      <c r="BY2360" s="23"/>
      <c r="BZ2360" s="23"/>
      <c r="CA2360" s="19" t="s">
        <v>17948</v>
      </c>
      <c r="CB2360" s="23"/>
      <c r="CC2360" s="23"/>
      <c r="CD2360" s="19" t="s">
        <v>17949</v>
      </c>
      <c r="CE2360" s="23"/>
      <c r="CF2360" s="23"/>
      <c r="CG2360" s="23"/>
      <c r="CH2360" s="23"/>
      <c r="CI2360" s="23"/>
    </row>
    <row r="2361" spans="1:87" x14ac:dyDescent="0.3">
      <c r="A2361" s="9" t="s">
        <v>17950</v>
      </c>
      <c r="B2361" s="10" t="s">
        <v>17951</v>
      </c>
      <c r="C2361" s="11">
        <v>45957</v>
      </c>
      <c r="D2361" s="12">
        <v>0.1423611111111111</v>
      </c>
      <c r="E2361" s="11">
        <v>45957.142361111109</v>
      </c>
      <c r="F2361" s="10" t="s">
        <v>15270</v>
      </c>
      <c r="G2361" s="13" t="b">
        <v>0</v>
      </c>
      <c r="H2361" s="22" t="s">
        <v>15271</v>
      </c>
      <c r="I2361" s="10" t="s">
        <v>3213</v>
      </c>
      <c r="J2361" s="13" t="b">
        <v>0</v>
      </c>
      <c r="K2361" s="13" t="b">
        <v>1</v>
      </c>
      <c r="L2361" s="10" t="s">
        <v>124</v>
      </c>
      <c r="M2361" s="10" t="s">
        <v>91</v>
      </c>
      <c r="N2361" s="10" t="s">
        <v>92</v>
      </c>
      <c r="O2361" s="19" t="s">
        <v>17952</v>
      </c>
      <c r="P2361" s="10" t="s">
        <v>3478</v>
      </c>
      <c r="Q2361" s="10" t="s">
        <v>126</v>
      </c>
      <c r="R2361" s="10"/>
      <c r="S2361" s="19" t="s">
        <v>17953</v>
      </c>
      <c r="T2361" s="10"/>
      <c r="U2361" s="10" t="s">
        <v>15299</v>
      </c>
      <c r="V2361" s="10" t="s">
        <v>15664</v>
      </c>
      <c r="W2361" s="10" t="s">
        <v>15276</v>
      </c>
      <c r="X2361" s="10" t="s">
        <v>15277</v>
      </c>
      <c r="Y2361" s="10" t="s">
        <v>15277</v>
      </c>
      <c r="Z2361" s="10" t="s">
        <v>99</v>
      </c>
      <c r="AA2361" s="10" t="s">
        <v>131</v>
      </c>
      <c r="AB2361" s="10" t="s">
        <v>15278</v>
      </c>
      <c r="AC2361" s="10" t="s">
        <v>15279</v>
      </c>
      <c r="AD2361" s="10" t="s">
        <v>165</v>
      </c>
      <c r="AE2361" s="10" t="s">
        <v>17954</v>
      </c>
      <c r="AF2361" s="15"/>
      <c r="AG2361" s="10"/>
      <c r="AH2361" s="10"/>
      <c r="AI2361" s="10"/>
      <c r="AJ2361" s="10"/>
      <c r="AK2361" s="10" t="s">
        <v>102</v>
      </c>
      <c r="AL2361" s="10" t="s">
        <v>195</v>
      </c>
      <c r="AM2361" s="10"/>
      <c r="AN2361" s="10"/>
      <c r="AO2361" s="13" t="b">
        <v>0</v>
      </c>
      <c r="AP2361" s="22" t="s">
        <v>104</v>
      </c>
      <c r="AQ2361" s="10">
        <f ca="1">IFERROR(__xludf.DUMMYFUNCTION("""COMPUTED_VALUE"""),4672152)</f>
        <v>4672152</v>
      </c>
      <c r="AR2361" s="17">
        <v>2786</v>
      </c>
      <c r="AS2361" s="17">
        <v>2303</v>
      </c>
      <c r="AT2361" s="17">
        <v>38392.25</v>
      </c>
      <c r="AU2361" s="17">
        <v>7.5</v>
      </c>
      <c r="AV2361" s="17">
        <v>3</v>
      </c>
      <c r="AW2361" s="10" t="s">
        <v>105</v>
      </c>
      <c r="AX2361" s="17">
        <v>571</v>
      </c>
      <c r="AY2361" s="18">
        <v>16.670538428137213</v>
      </c>
      <c r="AZ2361" s="10" t="s">
        <v>185</v>
      </c>
      <c r="BA2361" s="20" t="b">
        <v>0</v>
      </c>
      <c r="BB2361" s="10"/>
      <c r="BC2361" s="17">
        <v>2786</v>
      </c>
      <c r="BD2361" s="17">
        <v>2303</v>
      </c>
      <c r="BE2361" s="17">
        <v>38392.25</v>
      </c>
      <c r="BF2361" s="17">
        <v>3</v>
      </c>
      <c r="BG2361" s="11">
        <f ca="1">IFERROR(__xludf.DUMMYFUNCTION("""COMPUTED_VALUE"""),45957)</f>
        <v>45957</v>
      </c>
      <c r="BH2361" s="17" t="s">
        <v>105</v>
      </c>
      <c r="BI2361" s="17"/>
      <c r="BJ2361" s="15"/>
      <c r="BK2361" s="15"/>
      <c r="BL2361" s="13" t="b">
        <v>0</v>
      </c>
      <c r="BM2361" s="10"/>
      <c r="BN2361" s="10" t="s">
        <v>118</v>
      </c>
      <c r="BO2361" s="11">
        <v>45951.564583333333</v>
      </c>
      <c r="BP2361" s="11">
        <v>45951.568657407406</v>
      </c>
      <c r="BQ2361" s="15">
        <v>45956.519224537034</v>
      </c>
      <c r="BR2361" s="15">
        <v>45956.77988425926</v>
      </c>
      <c r="BS2361" s="10" t="s">
        <v>118</v>
      </c>
      <c r="BT2361" s="10"/>
      <c r="BU2361" s="10"/>
      <c r="BV2361" s="10"/>
      <c r="BW2361" s="10"/>
      <c r="BX2361" s="10"/>
      <c r="BY2361" s="23"/>
      <c r="BZ2361" s="23"/>
      <c r="CA2361" s="19" t="s">
        <v>17955</v>
      </c>
      <c r="CB2361" s="23"/>
      <c r="CC2361" s="23"/>
      <c r="CD2361" s="19" t="s">
        <v>17956</v>
      </c>
      <c r="CE2361" s="23"/>
      <c r="CF2361" s="23"/>
      <c r="CG2361" s="23"/>
      <c r="CH2361" s="23"/>
      <c r="CI2361" s="23"/>
    </row>
    <row r="2362" spans="1:87" x14ac:dyDescent="0.3">
      <c r="A2362" s="9" t="s">
        <v>17957</v>
      </c>
      <c r="B2362" s="10" t="s">
        <v>17958</v>
      </c>
      <c r="C2362" s="11">
        <v>45957.142361111109</v>
      </c>
      <c r="D2362" s="12">
        <v>0.13194444444444445</v>
      </c>
      <c r="E2362" s="11">
        <v>45957.274305555555</v>
      </c>
      <c r="F2362" s="10" t="s">
        <v>15270</v>
      </c>
      <c r="G2362" s="13" t="b">
        <v>0</v>
      </c>
      <c r="H2362" s="22" t="s">
        <v>15271</v>
      </c>
      <c r="I2362" s="10" t="s">
        <v>3213</v>
      </c>
      <c r="J2362" s="13" t="b">
        <v>0</v>
      </c>
      <c r="K2362" s="13" t="b">
        <v>1</v>
      </c>
      <c r="L2362" s="10" t="s">
        <v>124</v>
      </c>
      <c r="M2362" s="10" t="s">
        <v>91</v>
      </c>
      <c r="N2362" s="10" t="s">
        <v>92</v>
      </c>
      <c r="O2362" s="19" t="s">
        <v>17959</v>
      </c>
      <c r="P2362" s="10" t="s">
        <v>3478</v>
      </c>
      <c r="Q2362" s="10" t="s">
        <v>126</v>
      </c>
      <c r="R2362" s="10"/>
      <c r="S2362" s="19" t="s">
        <v>17960</v>
      </c>
      <c r="T2362" s="10"/>
      <c r="U2362" s="10" t="s">
        <v>15510</v>
      </c>
      <c r="V2362" s="10" t="s">
        <v>16009</v>
      </c>
      <c r="W2362" s="10" t="s">
        <v>15276</v>
      </c>
      <c r="X2362" s="10" t="s">
        <v>15277</v>
      </c>
      <c r="Y2362" s="10" t="s">
        <v>15277</v>
      </c>
      <c r="Z2362" s="10" t="s">
        <v>99</v>
      </c>
      <c r="AA2362" s="10" t="s">
        <v>131</v>
      </c>
      <c r="AB2362" s="10" t="s">
        <v>15278</v>
      </c>
      <c r="AC2362" s="10" t="s">
        <v>15279</v>
      </c>
      <c r="AD2362" s="10" t="s">
        <v>165</v>
      </c>
      <c r="AE2362" s="10" t="s">
        <v>17961</v>
      </c>
      <c r="AF2362" s="15"/>
      <c r="AG2362" s="10"/>
      <c r="AH2362" s="10"/>
      <c r="AI2362" s="10"/>
      <c r="AJ2362" s="10"/>
      <c r="AK2362" s="10" t="s">
        <v>102</v>
      </c>
      <c r="AL2362" s="10" t="s">
        <v>195</v>
      </c>
      <c r="AM2362" s="10"/>
      <c r="AN2362" s="10"/>
      <c r="AO2362" s="13" t="b">
        <v>0</v>
      </c>
      <c r="AP2362" s="22" t="s">
        <v>104</v>
      </c>
      <c r="AQ2362" s="10">
        <f ca="1">IFERROR(__xludf.DUMMYFUNCTION("""COMPUTED_VALUE"""),4672700)</f>
        <v>4672700</v>
      </c>
      <c r="AR2362" s="17">
        <v>1897</v>
      </c>
      <c r="AS2362" s="17">
        <v>1544</v>
      </c>
      <c r="AT2362" s="17">
        <v>24357.75</v>
      </c>
      <c r="AU2362" s="17">
        <v>1.8</v>
      </c>
      <c r="AV2362" s="17">
        <v>0.15</v>
      </c>
      <c r="AW2362" s="10" t="s">
        <v>105</v>
      </c>
      <c r="AX2362" s="17">
        <v>272</v>
      </c>
      <c r="AY2362" s="18">
        <v>15.77574481865285</v>
      </c>
      <c r="AZ2362" s="10" t="s">
        <v>185</v>
      </c>
      <c r="BA2362" s="20" t="b">
        <v>0</v>
      </c>
      <c r="BB2362" s="10"/>
      <c r="BC2362" s="17">
        <v>1897</v>
      </c>
      <c r="BD2362" s="17">
        <v>1544</v>
      </c>
      <c r="BE2362" s="17">
        <v>24357.75</v>
      </c>
      <c r="BF2362" s="17">
        <v>0.15</v>
      </c>
      <c r="BG2362" s="11">
        <f ca="1">IFERROR(__xludf.DUMMYFUNCTION("""COMPUTED_VALUE"""),45957.1423611111)</f>
        <v>45957.142361111102</v>
      </c>
      <c r="BH2362" s="17" t="s">
        <v>105</v>
      </c>
      <c r="BI2362" s="17"/>
      <c r="BJ2362" s="15"/>
      <c r="BK2362" s="15"/>
      <c r="BL2362" s="13" t="b">
        <v>0</v>
      </c>
      <c r="BM2362" s="10"/>
      <c r="BN2362" s="10" t="s">
        <v>118</v>
      </c>
      <c r="BO2362" s="11">
        <v>45951.56527777778</v>
      </c>
      <c r="BP2362" s="11">
        <v>45951.569004629629</v>
      </c>
      <c r="BQ2362" s="15">
        <v>45956.519120370373</v>
      </c>
      <c r="BR2362" s="15">
        <v>45956.781342592592</v>
      </c>
      <c r="BS2362" s="10" t="s">
        <v>118</v>
      </c>
      <c r="BT2362" s="10"/>
      <c r="BU2362" s="10"/>
      <c r="BV2362" s="10"/>
      <c r="BW2362" s="10"/>
      <c r="BX2362" s="10"/>
      <c r="BY2362" s="23"/>
      <c r="BZ2362" s="23"/>
      <c r="CA2362" s="19" t="s">
        <v>17962</v>
      </c>
      <c r="CB2362" s="23"/>
      <c r="CC2362" s="23"/>
      <c r="CD2362" s="19" t="s">
        <v>17963</v>
      </c>
      <c r="CE2362" s="23"/>
      <c r="CF2362" s="23"/>
      <c r="CG2362" s="23"/>
      <c r="CH2362" s="23"/>
      <c r="CI2362" s="23"/>
    </row>
    <row r="2363" spans="1:87" x14ac:dyDescent="0.3">
      <c r="A2363" s="9" t="s">
        <v>17964</v>
      </c>
      <c r="B2363" s="10" t="s">
        <v>17965</v>
      </c>
      <c r="C2363" s="11">
        <v>45977.645833333336</v>
      </c>
      <c r="D2363" s="12">
        <v>8.3333333333333329E-2</v>
      </c>
      <c r="E2363" s="11">
        <v>45977.729166666664</v>
      </c>
      <c r="F2363" s="10" t="s">
        <v>14786</v>
      </c>
      <c r="G2363" s="13" t="b">
        <v>0</v>
      </c>
      <c r="H2363" s="22" t="s">
        <v>14787</v>
      </c>
      <c r="I2363" s="10" t="s">
        <v>3548</v>
      </c>
      <c r="J2363" s="13" t="b">
        <v>0</v>
      </c>
      <c r="K2363" s="13" t="b">
        <v>1</v>
      </c>
      <c r="L2363" s="10" t="s">
        <v>124</v>
      </c>
      <c r="M2363" s="10" t="s">
        <v>91</v>
      </c>
      <c r="N2363" s="10" t="s">
        <v>92</v>
      </c>
      <c r="O2363" s="19" t="s">
        <v>17966</v>
      </c>
      <c r="P2363" s="10"/>
      <c r="Q2363" s="10" t="s">
        <v>126</v>
      </c>
      <c r="R2363" s="10"/>
      <c r="S2363" s="19" t="s">
        <v>17967</v>
      </c>
      <c r="T2363" s="19" t="s">
        <v>17968</v>
      </c>
      <c r="U2363" s="10" t="s">
        <v>14859</v>
      </c>
      <c r="V2363" s="10" t="s">
        <v>14838</v>
      </c>
      <c r="W2363" s="10" t="s">
        <v>14793</v>
      </c>
      <c r="X2363" s="10" t="s">
        <v>130</v>
      </c>
      <c r="Y2363" s="10" t="s">
        <v>130</v>
      </c>
      <c r="Z2363" s="10" t="s">
        <v>99</v>
      </c>
      <c r="AA2363" s="10" t="s">
        <v>131</v>
      </c>
      <c r="AB2363" s="10" t="s">
        <v>14794</v>
      </c>
      <c r="AC2363" s="10" t="s">
        <v>3521</v>
      </c>
      <c r="AD2363" s="10" t="s">
        <v>17969</v>
      </c>
      <c r="AE2363" s="10" t="s">
        <v>17970</v>
      </c>
      <c r="AF2363" s="15"/>
      <c r="AG2363" s="10"/>
      <c r="AH2363" s="10"/>
      <c r="AI2363" s="10"/>
      <c r="AJ2363" s="10"/>
      <c r="AK2363" s="10" t="s">
        <v>102</v>
      </c>
      <c r="AL2363" s="10" t="s">
        <v>1360</v>
      </c>
      <c r="AM2363" s="10"/>
      <c r="AN2363" s="10"/>
      <c r="AO2363" s="13" t="b">
        <v>0</v>
      </c>
      <c r="AP2363" s="22" t="s">
        <v>104</v>
      </c>
      <c r="AQ2363" s="10">
        <f ca="1">IFERROR(__xludf.DUMMYFUNCTION("""COMPUTED_VALUE"""),4717735)</f>
        <v>4717735</v>
      </c>
      <c r="AR2363" s="17">
        <v>58134</v>
      </c>
      <c r="AS2363" s="17">
        <v>38688</v>
      </c>
      <c r="AT2363" s="17">
        <v>1217221.25</v>
      </c>
      <c r="AU2363" s="17">
        <v>371.8</v>
      </c>
      <c r="AV2363" s="17">
        <v>90.25</v>
      </c>
      <c r="AW2363" s="10" t="s">
        <v>105</v>
      </c>
      <c r="AX2363" s="17">
        <v>14962</v>
      </c>
      <c r="AY2363" s="18">
        <v>31.462501292390407</v>
      </c>
      <c r="AZ2363" s="10" t="s">
        <v>168</v>
      </c>
      <c r="BA2363" s="20" t="b">
        <v>0</v>
      </c>
      <c r="BB2363" s="10"/>
      <c r="BC2363" s="17">
        <v>58134</v>
      </c>
      <c r="BD2363" s="17">
        <v>38688</v>
      </c>
      <c r="BE2363" s="17">
        <v>1217221.25</v>
      </c>
      <c r="BF2363" s="17">
        <v>90.25</v>
      </c>
      <c r="BG2363" s="11">
        <f ca="1">IFERROR(__xludf.DUMMYFUNCTION("""COMPUTED_VALUE"""),45977.6458333333)</f>
        <v>45977.645833333299</v>
      </c>
      <c r="BH2363" s="17" t="s">
        <v>105</v>
      </c>
      <c r="BI2363" s="17"/>
      <c r="BJ2363" s="15"/>
      <c r="BK2363" s="15"/>
      <c r="BL2363" s="13" t="b">
        <v>0</v>
      </c>
      <c r="BM2363" s="10"/>
      <c r="BN2363" s="10" t="s">
        <v>667</v>
      </c>
      <c r="BO2363" s="11">
        <v>45951.56527777778</v>
      </c>
      <c r="BP2363" s="11">
        <v>45952.749768518515</v>
      </c>
      <c r="BQ2363" s="15">
        <v>45974.544293981482</v>
      </c>
      <c r="BR2363" s="15">
        <v>45975.366898148146</v>
      </c>
      <c r="BS2363" s="10" t="s">
        <v>667</v>
      </c>
      <c r="BT2363" s="10" t="s">
        <v>279</v>
      </c>
      <c r="BU2363" s="10" t="s">
        <v>421</v>
      </c>
      <c r="BV2363" s="10"/>
      <c r="BW2363" s="10"/>
      <c r="BX2363" s="10"/>
      <c r="BY2363" s="23"/>
      <c r="BZ2363" s="23"/>
      <c r="CA2363" s="19" t="s">
        <v>17971</v>
      </c>
      <c r="CB2363" s="19" t="s">
        <v>17972</v>
      </c>
      <c r="CC2363" s="23"/>
      <c r="CD2363" s="19" t="s">
        <v>17973</v>
      </c>
      <c r="CE2363" s="23"/>
      <c r="CF2363" s="23"/>
      <c r="CG2363" s="23"/>
      <c r="CH2363" s="23"/>
      <c r="CI2363" s="23"/>
    </row>
    <row r="2364" spans="1:87" x14ac:dyDescent="0.3">
      <c r="A2364" s="9" t="s">
        <v>17974</v>
      </c>
      <c r="B2364" s="10" t="s">
        <v>17975</v>
      </c>
      <c r="C2364" s="11">
        <v>45957.305555555555</v>
      </c>
      <c r="D2364" s="12">
        <v>0.14583333333333334</v>
      </c>
      <c r="E2364" s="11">
        <v>45957.451388888891</v>
      </c>
      <c r="F2364" s="10" t="s">
        <v>15270</v>
      </c>
      <c r="G2364" s="13" t="b">
        <v>0</v>
      </c>
      <c r="H2364" s="22" t="s">
        <v>15271</v>
      </c>
      <c r="I2364" s="10" t="s">
        <v>3213</v>
      </c>
      <c r="J2364" s="13" t="b">
        <v>0</v>
      </c>
      <c r="K2364" s="13" t="b">
        <v>1</v>
      </c>
      <c r="L2364" s="10" t="s">
        <v>124</v>
      </c>
      <c r="M2364" s="10" t="s">
        <v>91</v>
      </c>
      <c r="N2364" s="10" t="s">
        <v>92</v>
      </c>
      <c r="O2364" s="19" t="s">
        <v>17976</v>
      </c>
      <c r="P2364" s="10" t="s">
        <v>3215</v>
      </c>
      <c r="Q2364" s="10" t="s">
        <v>126</v>
      </c>
      <c r="R2364" s="10"/>
      <c r="S2364" s="19" t="s">
        <v>17977</v>
      </c>
      <c r="T2364" s="10"/>
      <c r="U2364" s="10" t="s">
        <v>15490</v>
      </c>
      <c r="V2364" s="10" t="s">
        <v>15274</v>
      </c>
      <c r="W2364" s="10" t="s">
        <v>15276</v>
      </c>
      <c r="X2364" s="10" t="s">
        <v>15277</v>
      </c>
      <c r="Y2364" s="10" t="s">
        <v>15277</v>
      </c>
      <c r="Z2364" s="10" t="s">
        <v>99</v>
      </c>
      <c r="AA2364" s="10" t="s">
        <v>131</v>
      </c>
      <c r="AB2364" s="10" t="s">
        <v>15278</v>
      </c>
      <c r="AC2364" s="10" t="s">
        <v>15279</v>
      </c>
      <c r="AD2364" s="10" t="s">
        <v>165</v>
      </c>
      <c r="AE2364" s="10" t="s">
        <v>17978</v>
      </c>
      <c r="AF2364" s="15"/>
      <c r="AG2364" s="10"/>
      <c r="AH2364" s="10"/>
      <c r="AI2364" s="10"/>
      <c r="AJ2364" s="10"/>
      <c r="AK2364" s="10" t="s">
        <v>102</v>
      </c>
      <c r="AL2364" s="10" t="s">
        <v>195</v>
      </c>
      <c r="AM2364" s="10"/>
      <c r="AN2364" s="10"/>
      <c r="AO2364" s="13" t="b">
        <v>0</v>
      </c>
      <c r="AP2364" s="22" t="s">
        <v>104</v>
      </c>
      <c r="AQ2364" s="10">
        <f ca="1">IFERROR(__xludf.DUMMYFUNCTION("""COMPUTED_VALUE"""),4672701)</f>
        <v>4672701</v>
      </c>
      <c r="AR2364" s="17">
        <v>3483</v>
      </c>
      <c r="AS2364" s="17">
        <v>2633</v>
      </c>
      <c r="AT2364" s="17">
        <v>53693.75</v>
      </c>
      <c r="AU2364" s="17">
        <v>6.35</v>
      </c>
      <c r="AV2364" s="17">
        <v>1.85</v>
      </c>
      <c r="AW2364" s="10" t="s">
        <v>105</v>
      </c>
      <c r="AX2364" s="17"/>
      <c r="AY2364" s="18">
        <v>20.392612988985949</v>
      </c>
      <c r="AZ2364" s="10"/>
      <c r="BA2364" s="20" t="b">
        <v>0</v>
      </c>
      <c r="BB2364" s="10"/>
      <c r="BC2364" s="17">
        <v>3483</v>
      </c>
      <c r="BD2364" s="17">
        <v>2633</v>
      </c>
      <c r="BE2364" s="17">
        <v>53693.75</v>
      </c>
      <c r="BF2364" s="17">
        <v>1.85</v>
      </c>
      <c r="BG2364" s="11">
        <f ca="1">IFERROR(__xludf.DUMMYFUNCTION("""COMPUTED_VALUE"""),45957.3055555555)</f>
        <v>45957.305555555497</v>
      </c>
      <c r="BH2364" s="17" t="s">
        <v>105</v>
      </c>
      <c r="BI2364" s="17"/>
      <c r="BJ2364" s="15"/>
      <c r="BK2364" s="15"/>
      <c r="BL2364" s="13" t="b">
        <v>0</v>
      </c>
      <c r="BM2364" s="10"/>
      <c r="BN2364" s="10" t="s">
        <v>185</v>
      </c>
      <c r="BO2364" s="11">
        <v>45951.566666666666</v>
      </c>
      <c r="BP2364" s="11">
        <v>45951.566840277781</v>
      </c>
      <c r="BQ2364" s="15">
        <v>45956.51935185185</v>
      </c>
      <c r="BR2364" s="15"/>
      <c r="BS2364" s="10"/>
      <c r="BT2364" s="10"/>
      <c r="BU2364" s="10"/>
      <c r="BV2364" s="10"/>
      <c r="BW2364" s="10"/>
      <c r="BX2364" s="10"/>
      <c r="BY2364" s="23"/>
      <c r="BZ2364" s="23"/>
      <c r="CA2364" s="19" t="s">
        <v>17979</v>
      </c>
      <c r="CB2364" s="23"/>
      <c r="CC2364" s="23"/>
      <c r="CD2364" s="19" t="s">
        <v>17980</v>
      </c>
      <c r="CE2364" s="23"/>
      <c r="CF2364" s="23"/>
      <c r="CG2364" s="23"/>
      <c r="CH2364" s="23"/>
      <c r="CI2364" s="23"/>
    </row>
    <row r="2365" spans="1:87" x14ac:dyDescent="0.3">
      <c r="A2365" s="9" t="s">
        <v>17981</v>
      </c>
      <c r="B2365" s="10" t="s">
        <v>17982</v>
      </c>
      <c r="C2365" s="11">
        <v>45977.791666666664</v>
      </c>
      <c r="D2365" s="12">
        <v>8.3333333333333329E-2</v>
      </c>
      <c r="E2365" s="11">
        <v>45977.875</v>
      </c>
      <c r="F2365" s="10" t="s">
        <v>14786</v>
      </c>
      <c r="G2365" s="13" t="b">
        <v>0</v>
      </c>
      <c r="H2365" s="22" t="s">
        <v>14787</v>
      </c>
      <c r="I2365" s="10" t="s">
        <v>3548</v>
      </c>
      <c r="J2365" s="13" t="b">
        <v>0</v>
      </c>
      <c r="K2365" s="13" t="b">
        <v>1</v>
      </c>
      <c r="L2365" s="10" t="s">
        <v>124</v>
      </c>
      <c r="M2365" s="10" t="s">
        <v>91</v>
      </c>
      <c r="N2365" s="10" t="s">
        <v>92</v>
      </c>
      <c r="O2365" s="19" t="s">
        <v>17983</v>
      </c>
      <c r="P2365" s="10"/>
      <c r="Q2365" s="10" t="s">
        <v>126</v>
      </c>
      <c r="R2365" s="10"/>
      <c r="S2365" s="19" t="s">
        <v>17984</v>
      </c>
      <c r="T2365" s="19" t="s">
        <v>17968</v>
      </c>
      <c r="U2365" s="10" t="s">
        <v>14837</v>
      </c>
      <c r="V2365" s="10" t="s">
        <v>14860</v>
      </c>
      <c r="W2365" s="10" t="s">
        <v>14793</v>
      </c>
      <c r="X2365" s="10" t="s">
        <v>130</v>
      </c>
      <c r="Y2365" s="10" t="s">
        <v>130</v>
      </c>
      <c r="Z2365" s="10" t="s">
        <v>99</v>
      </c>
      <c r="AA2365" s="10" t="s">
        <v>131</v>
      </c>
      <c r="AB2365" s="10" t="s">
        <v>14794</v>
      </c>
      <c r="AC2365" s="10" t="s">
        <v>3521</v>
      </c>
      <c r="AD2365" s="10" t="s">
        <v>17985</v>
      </c>
      <c r="AE2365" s="10" t="s">
        <v>17986</v>
      </c>
      <c r="AF2365" s="15"/>
      <c r="AG2365" s="10"/>
      <c r="AH2365" s="10"/>
      <c r="AI2365" s="10"/>
      <c r="AJ2365" s="10"/>
      <c r="AK2365" s="10" t="s">
        <v>102</v>
      </c>
      <c r="AL2365" s="10" t="s">
        <v>1360</v>
      </c>
      <c r="AM2365" s="10"/>
      <c r="AN2365" s="10"/>
      <c r="AO2365" s="13" t="b">
        <v>0</v>
      </c>
      <c r="AP2365" s="22" t="s">
        <v>104</v>
      </c>
      <c r="AQ2365" s="10">
        <f ca="1">IFERROR(__xludf.DUMMYFUNCTION("""COMPUTED_VALUE"""),4717736)</f>
        <v>4717736</v>
      </c>
      <c r="AR2365" s="17">
        <v>55788</v>
      </c>
      <c r="AS2365" s="17">
        <v>36925</v>
      </c>
      <c r="AT2365" s="17">
        <v>1082313.5</v>
      </c>
      <c r="AU2365" s="17">
        <v>403.6</v>
      </c>
      <c r="AV2365" s="17">
        <v>105.1</v>
      </c>
      <c r="AW2365" s="10" t="s">
        <v>105</v>
      </c>
      <c r="AX2365" s="17">
        <v>13095</v>
      </c>
      <c r="AY2365" s="18">
        <v>29.311130670277588</v>
      </c>
      <c r="AZ2365" s="10" t="s">
        <v>168</v>
      </c>
      <c r="BA2365" s="20" t="b">
        <v>0</v>
      </c>
      <c r="BB2365" s="10"/>
      <c r="BC2365" s="17">
        <v>55788</v>
      </c>
      <c r="BD2365" s="17">
        <v>36925</v>
      </c>
      <c r="BE2365" s="17">
        <v>1082313.5</v>
      </c>
      <c r="BF2365" s="17">
        <v>105.1</v>
      </c>
      <c r="BG2365" s="11">
        <f ca="1">IFERROR(__xludf.DUMMYFUNCTION("""COMPUTED_VALUE"""),45977.7916666666)</f>
        <v>45977.791666666599</v>
      </c>
      <c r="BH2365" s="17" t="s">
        <v>105</v>
      </c>
      <c r="BI2365" s="17"/>
      <c r="BJ2365" s="15"/>
      <c r="BK2365" s="15"/>
      <c r="BL2365" s="13" t="b">
        <v>0</v>
      </c>
      <c r="BM2365" s="10"/>
      <c r="BN2365" s="10" t="s">
        <v>667</v>
      </c>
      <c r="BO2365" s="11">
        <v>45951.567361111112</v>
      </c>
      <c r="BP2365" s="11">
        <v>45952.749884259261</v>
      </c>
      <c r="BQ2365" s="15">
        <v>45974.544479166667</v>
      </c>
      <c r="BR2365" s="15">
        <v>45975.367094907408</v>
      </c>
      <c r="BS2365" s="10" t="s">
        <v>667</v>
      </c>
      <c r="BT2365" s="10" t="s">
        <v>279</v>
      </c>
      <c r="BU2365" s="10" t="s">
        <v>421</v>
      </c>
      <c r="BV2365" s="10"/>
      <c r="BW2365" s="10"/>
      <c r="BX2365" s="10"/>
      <c r="BY2365" s="23"/>
      <c r="BZ2365" s="23"/>
      <c r="CA2365" s="19" t="s">
        <v>17987</v>
      </c>
      <c r="CB2365" s="19" t="s">
        <v>17988</v>
      </c>
      <c r="CC2365" s="23"/>
      <c r="CD2365" s="19" t="s">
        <v>17989</v>
      </c>
      <c r="CE2365" s="23"/>
      <c r="CF2365" s="23"/>
      <c r="CG2365" s="23"/>
      <c r="CH2365" s="23"/>
      <c r="CI2365" s="23"/>
    </row>
    <row r="2366" spans="1:87" x14ac:dyDescent="0.3">
      <c r="A2366" s="9" t="s">
        <v>17990</v>
      </c>
      <c r="B2366" s="10" t="s">
        <v>17991</v>
      </c>
      <c r="C2366" s="11">
        <v>45978.604166666664</v>
      </c>
      <c r="D2366" s="12">
        <v>8.3333333333333329E-2</v>
      </c>
      <c r="E2366" s="11">
        <v>45978.6875</v>
      </c>
      <c r="F2366" s="10" t="s">
        <v>14786</v>
      </c>
      <c r="G2366" s="13" t="b">
        <v>0</v>
      </c>
      <c r="H2366" s="22" t="s">
        <v>14787</v>
      </c>
      <c r="I2366" s="10" t="s">
        <v>212</v>
      </c>
      <c r="J2366" s="13" t="b">
        <v>1</v>
      </c>
      <c r="K2366" s="13" t="b">
        <v>0</v>
      </c>
      <c r="L2366" s="10" t="s">
        <v>124</v>
      </c>
      <c r="M2366" s="10" t="s">
        <v>91</v>
      </c>
      <c r="N2366" s="10" t="s">
        <v>92</v>
      </c>
      <c r="O2366" s="19" t="s">
        <v>17992</v>
      </c>
      <c r="P2366" s="10"/>
      <c r="Q2366" s="10" t="s">
        <v>126</v>
      </c>
      <c r="R2366" s="10"/>
      <c r="S2366" s="19" t="s">
        <v>17993</v>
      </c>
      <c r="T2366" s="19" t="s">
        <v>17968</v>
      </c>
      <c r="U2366" s="10" t="s">
        <v>14870</v>
      </c>
      <c r="V2366" s="10" t="s">
        <v>14849</v>
      </c>
      <c r="W2366" s="10" t="s">
        <v>14793</v>
      </c>
      <c r="X2366" s="10" t="s">
        <v>130</v>
      </c>
      <c r="Y2366" s="10" t="s">
        <v>130</v>
      </c>
      <c r="Z2366" s="10" t="s">
        <v>99</v>
      </c>
      <c r="AA2366" s="10" t="s">
        <v>131</v>
      </c>
      <c r="AB2366" s="10" t="s">
        <v>14794</v>
      </c>
      <c r="AC2366" s="10" t="s">
        <v>3521</v>
      </c>
      <c r="AD2366" s="10" t="s">
        <v>17994</v>
      </c>
      <c r="AE2366" s="10" t="s">
        <v>17995</v>
      </c>
      <c r="AF2366" s="15"/>
      <c r="AG2366" s="10"/>
      <c r="AH2366" s="10"/>
      <c r="AI2366" s="10"/>
      <c r="AJ2366" s="10"/>
      <c r="AK2366" s="10" t="s">
        <v>102</v>
      </c>
      <c r="AL2366" s="10" t="s">
        <v>1360</v>
      </c>
      <c r="AM2366" s="10"/>
      <c r="AN2366" s="10"/>
      <c r="AO2366" s="13" t="b">
        <v>0</v>
      </c>
      <c r="AP2366" s="22" t="s">
        <v>104</v>
      </c>
      <c r="AQ2366" s="10">
        <f ca="1">IFERROR(__xludf.DUMMYFUNCTION("""COMPUTED_VALUE"""),4719238)</f>
        <v>4719238</v>
      </c>
      <c r="AR2366" s="17">
        <v>29670</v>
      </c>
      <c r="AS2366" s="17">
        <v>19336</v>
      </c>
      <c r="AT2366" s="17">
        <v>521300</v>
      </c>
      <c r="AU2366" s="17">
        <v>99.75</v>
      </c>
      <c r="AV2366" s="17">
        <v>10.3</v>
      </c>
      <c r="AW2366" s="10" t="s">
        <v>105</v>
      </c>
      <c r="AX2366" s="17">
        <v>9044</v>
      </c>
      <c r="AY2366" s="18">
        <v>26.960074472486554</v>
      </c>
      <c r="AZ2366" s="10" t="s">
        <v>168</v>
      </c>
      <c r="BA2366" s="20" t="b">
        <v>0</v>
      </c>
      <c r="BB2366" s="10"/>
      <c r="BC2366" s="17">
        <v>29670</v>
      </c>
      <c r="BD2366" s="17">
        <v>19336</v>
      </c>
      <c r="BE2366" s="17">
        <v>521300</v>
      </c>
      <c r="BF2366" s="17">
        <v>10.3</v>
      </c>
      <c r="BG2366" s="11">
        <f ca="1">IFERROR(__xludf.DUMMYFUNCTION("""COMPUTED_VALUE"""),45978.6041666666)</f>
        <v>45978.604166666599</v>
      </c>
      <c r="BH2366" s="17" t="s">
        <v>105</v>
      </c>
      <c r="BI2366" s="17"/>
      <c r="BJ2366" s="15"/>
      <c r="BK2366" s="15"/>
      <c r="BL2366" s="13" t="b">
        <v>0</v>
      </c>
      <c r="BM2366" s="10"/>
      <c r="BN2366" s="10" t="s">
        <v>667</v>
      </c>
      <c r="BO2366" s="11">
        <v>45951.568055555559</v>
      </c>
      <c r="BP2366" s="11">
        <v>45973.701331018521</v>
      </c>
      <c r="BQ2366" s="15">
        <v>45975.591585648152</v>
      </c>
      <c r="BR2366" s="15">
        <v>45976.45957175926</v>
      </c>
      <c r="BS2366" s="10" t="s">
        <v>667</v>
      </c>
      <c r="BT2366" s="10" t="s">
        <v>279</v>
      </c>
      <c r="BU2366" s="10" t="s">
        <v>298</v>
      </c>
      <c r="BV2366" s="10"/>
      <c r="BW2366" s="10"/>
      <c r="BX2366" s="10"/>
      <c r="BY2366" s="23"/>
      <c r="BZ2366" s="23"/>
      <c r="CA2366" s="19" t="s">
        <v>17996</v>
      </c>
      <c r="CB2366" s="19" t="s">
        <v>17997</v>
      </c>
      <c r="CC2366" s="23"/>
      <c r="CD2366" s="19" t="s">
        <v>17998</v>
      </c>
      <c r="CE2366" s="23"/>
      <c r="CF2366" s="23"/>
      <c r="CG2366" s="23"/>
      <c r="CH2366" s="23"/>
      <c r="CI2366" s="23"/>
    </row>
    <row r="2367" spans="1:87" x14ac:dyDescent="0.3">
      <c r="A2367" s="9" t="s">
        <v>17999</v>
      </c>
      <c r="B2367" s="10" t="s">
        <v>18000</v>
      </c>
      <c r="C2367" s="11">
        <v>45978.791666666664</v>
      </c>
      <c r="D2367" s="12">
        <v>8.3333333333333329E-2</v>
      </c>
      <c r="E2367" s="11">
        <v>45978.875</v>
      </c>
      <c r="F2367" s="10" t="s">
        <v>14786</v>
      </c>
      <c r="G2367" s="13" t="b">
        <v>0</v>
      </c>
      <c r="H2367" s="22" t="s">
        <v>14787</v>
      </c>
      <c r="I2367" s="10" t="s">
        <v>3548</v>
      </c>
      <c r="J2367" s="13" t="b">
        <v>0</v>
      </c>
      <c r="K2367" s="13" t="b">
        <v>1</v>
      </c>
      <c r="L2367" s="10" t="s">
        <v>124</v>
      </c>
      <c r="M2367" s="10" t="s">
        <v>91</v>
      </c>
      <c r="N2367" s="10" t="s">
        <v>92</v>
      </c>
      <c r="O2367" s="19" t="s">
        <v>18001</v>
      </c>
      <c r="P2367" s="10"/>
      <c r="Q2367" s="10" t="s">
        <v>126</v>
      </c>
      <c r="R2367" s="10"/>
      <c r="S2367" s="19" t="s">
        <v>18002</v>
      </c>
      <c r="T2367" s="19" t="s">
        <v>17968</v>
      </c>
      <c r="U2367" s="10" t="s">
        <v>14848</v>
      </c>
      <c r="V2367" s="10" t="s">
        <v>14827</v>
      </c>
      <c r="W2367" s="10" t="s">
        <v>14793</v>
      </c>
      <c r="X2367" s="10" t="s">
        <v>130</v>
      </c>
      <c r="Y2367" s="10" t="s">
        <v>130</v>
      </c>
      <c r="Z2367" s="10" t="s">
        <v>99</v>
      </c>
      <c r="AA2367" s="10" t="s">
        <v>131</v>
      </c>
      <c r="AB2367" s="10" t="s">
        <v>14794</v>
      </c>
      <c r="AC2367" s="10" t="s">
        <v>3521</v>
      </c>
      <c r="AD2367" s="10" t="s">
        <v>18003</v>
      </c>
      <c r="AE2367" s="10" t="s">
        <v>18004</v>
      </c>
      <c r="AF2367" s="15"/>
      <c r="AG2367" s="10"/>
      <c r="AH2367" s="10"/>
      <c r="AI2367" s="10"/>
      <c r="AJ2367" s="10"/>
      <c r="AK2367" s="10" t="s">
        <v>102</v>
      </c>
      <c r="AL2367" s="10" t="s">
        <v>1360</v>
      </c>
      <c r="AM2367" s="10"/>
      <c r="AN2367" s="10"/>
      <c r="AO2367" s="13" t="b">
        <v>0</v>
      </c>
      <c r="AP2367" s="22" t="s">
        <v>104</v>
      </c>
      <c r="AQ2367" s="10">
        <f ca="1">IFERROR(__xludf.DUMMYFUNCTION("""COMPUTED_VALUE"""),4719239)</f>
        <v>4719239</v>
      </c>
      <c r="AR2367" s="17">
        <v>87092</v>
      </c>
      <c r="AS2367" s="17">
        <v>54865</v>
      </c>
      <c r="AT2367" s="17">
        <v>2110569.25</v>
      </c>
      <c r="AU2367" s="17">
        <v>856.2</v>
      </c>
      <c r="AV2367" s="17">
        <v>174.6</v>
      </c>
      <c r="AW2367" s="10" t="s">
        <v>105</v>
      </c>
      <c r="AX2367" s="17">
        <v>24187</v>
      </c>
      <c r="AY2367" s="18">
        <v>38.468408821653149</v>
      </c>
      <c r="AZ2367" s="10" t="s">
        <v>168</v>
      </c>
      <c r="BA2367" s="20" t="b">
        <v>0</v>
      </c>
      <c r="BB2367" s="10"/>
      <c r="BC2367" s="17">
        <v>87092</v>
      </c>
      <c r="BD2367" s="17">
        <v>54865</v>
      </c>
      <c r="BE2367" s="17">
        <v>2110569.25</v>
      </c>
      <c r="BF2367" s="17">
        <v>174.6</v>
      </c>
      <c r="BG2367" s="11">
        <f ca="1">IFERROR(__xludf.DUMMYFUNCTION("""COMPUTED_VALUE"""),45978.7916666666)</f>
        <v>45978.791666666599</v>
      </c>
      <c r="BH2367" s="17" t="s">
        <v>105</v>
      </c>
      <c r="BI2367" s="17"/>
      <c r="BJ2367" s="15"/>
      <c r="BK2367" s="15"/>
      <c r="BL2367" s="13" t="b">
        <v>0</v>
      </c>
      <c r="BM2367" s="10"/>
      <c r="BN2367" s="10" t="s">
        <v>667</v>
      </c>
      <c r="BO2367" s="11">
        <v>45951.568749999999</v>
      </c>
      <c r="BP2367" s="11">
        <v>45952.750196759262</v>
      </c>
      <c r="BQ2367" s="15">
        <v>45975.591840277775</v>
      </c>
      <c r="BR2367" s="15">
        <v>45976.459687499999</v>
      </c>
      <c r="BS2367" s="10" t="s">
        <v>667</v>
      </c>
      <c r="BT2367" s="10" t="s">
        <v>279</v>
      </c>
      <c r="BU2367" s="10" t="s">
        <v>298</v>
      </c>
      <c r="BV2367" s="10"/>
      <c r="BW2367" s="10"/>
      <c r="BX2367" s="10"/>
      <c r="BY2367" s="23"/>
      <c r="BZ2367" s="23"/>
      <c r="CA2367" s="19" t="s">
        <v>18005</v>
      </c>
      <c r="CB2367" s="19" t="s">
        <v>18006</v>
      </c>
      <c r="CC2367" s="23"/>
      <c r="CD2367" s="19" t="s">
        <v>18007</v>
      </c>
      <c r="CE2367" s="23"/>
      <c r="CF2367" s="23"/>
      <c r="CG2367" s="23"/>
      <c r="CH2367" s="23"/>
      <c r="CI2367" s="23"/>
    </row>
    <row r="2368" spans="1:87" x14ac:dyDescent="0.3">
      <c r="A2368" s="9" t="s">
        <v>18008</v>
      </c>
      <c r="B2368" s="10" t="s">
        <v>18009</v>
      </c>
      <c r="C2368" s="11">
        <v>45979.645833333336</v>
      </c>
      <c r="D2368" s="12">
        <v>8.3333333333333329E-2</v>
      </c>
      <c r="E2368" s="11">
        <v>45979.729166666664</v>
      </c>
      <c r="F2368" s="10" t="s">
        <v>14786</v>
      </c>
      <c r="G2368" s="13" t="b">
        <v>0</v>
      </c>
      <c r="H2368" s="22" t="s">
        <v>14787</v>
      </c>
      <c r="I2368" s="10" t="s">
        <v>212</v>
      </c>
      <c r="J2368" s="13" t="b">
        <v>1</v>
      </c>
      <c r="K2368" s="13" t="b">
        <v>0</v>
      </c>
      <c r="L2368" s="10" t="s">
        <v>124</v>
      </c>
      <c r="M2368" s="10" t="s">
        <v>91</v>
      </c>
      <c r="N2368" s="10" t="s">
        <v>92</v>
      </c>
      <c r="O2368" s="19" t="s">
        <v>18010</v>
      </c>
      <c r="P2368" s="10"/>
      <c r="Q2368" s="10" t="s">
        <v>126</v>
      </c>
      <c r="R2368" s="10"/>
      <c r="S2368" s="19" t="s">
        <v>18011</v>
      </c>
      <c r="T2368" s="19" t="s">
        <v>17968</v>
      </c>
      <c r="U2368" s="10" t="s">
        <v>14791</v>
      </c>
      <c r="V2368" s="10" t="s">
        <v>14893</v>
      </c>
      <c r="W2368" s="10" t="s">
        <v>14793</v>
      </c>
      <c r="X2368" s="10" t="s">
        <v>130</v>
      </c>
      <c r="Y2368" s="10" t="s">
        <v>130</v>
      </c>
      <c r="Z2368" s="10" t="s">
        <v>99</v>
      </c>
      <c r="AA2368" s="10" t="s">
        <v>131</v>
      </c>
      <c r="AB2368" s="10" t="s">
        <v>14794</v>
      </c>
      <c r="AC2368" s="10" t="s">
        <v>3521</v>
      </c>
      <c r="AD2368" s="10" t="s">
        <v>18012</v>
      </c>
      <c r="AE2368" s="10" t="s">
        <v>18013</v>
      </c>
      <c r="AF2368" s="15"/>
      <c r="AG2368" s="10"/>
      <c r="AH2368" s="10"/>
      <c r="AI2368" s="10"/>
      <c r="AJ2368" s="10"/>
      <c r="AK2368" s="10" t="s">
        <v>102</v>
      </c>
      <c r="AL2368" s="10" t="s">
        <v>1360</v>
      </c>
      <c r="AM2368" s="10"/>
      <c r="AN2368" s="10"/>
      <c r="AO2368" s="13" t="b">
        <v>0</v>
      </c>
      <c r="AP2368" s="22" t="s">
        <v>104</v>
      </c>
      <c r="AQ2368" s="10">
        <f ca="1">IFERROR(__xludf.DUMMYFUNCTION("""COMPUTED_VALUE"""),4719240)</f>
        <v>4719240</v>
      </c>
      <c r="AR2368" s="17">
        <v>37108</v>
      </c>
      <c r="AS2368" s="17">
        <v>24410</v>
      </c>
      <c r="AT2368" s="17">
        <v>757139.75</v>
      </c>
      <c r="AU2368" s="17">
        <v>138.4</v>
      </c>
      <c r="AV2368" s="17">
        <v>14.25</v>
      </c>
      <c r="AW2368" s="10" t="s">
        <v>105</v>
      </c>
      <c r="AX2368" s="17">
        <v>10966</v>
      </c>
      <c r="AY2368" s="18">
        <v>31.017605489553461</v>
      </c>
      <c r="AZ2368" s="10" t="s">
        <v>168</v>
      </c>
      <c r="BA2368" s="20" t="b">
        <v>0</v>
      </c>
      <c r="BB2368" s="10"/>
      <c r="BC2368" s="17">
        <v>37108</v>
      </c>
      <c r="BD2368" s="17">
        <v>24410</v>
      </c>
      <c r="BE2368" s="17">
        <v>757139.75</v>
      </c>
      <c r="BF2368" s="17">
        <v>14.25</v>
      </c>
      <c r="BG2368" s="11">
        <f ca="1">IFERROR(__xludf.DUMMYFUNCTION("""COMPUTED_VALUE"""),45979.6458333333)</f>
        <v>45979.645833333299</v>
      </c>
      <c r="BH2368" s="17" t="s">
        <v>105</v>
      </c>
      <c r="BI2368" s="17"/>
      <c r="BJ2368" s="15"/>
      <c r="BK2368" s="15"/>
      <c r="BL2368" s="13" t="b">
        <v>0</v>
      </c>
      <c r="BM2368" s="10"/>
      <c r="BN2368" s="10" t="s">
        <v>197</v>
      </c>
      <c r="BO2368" s="11">
        <v>45951.568749999999</v>
      </c>
      <c r="BP2368" s="11">
        <v>45952.750324074077</v>
      </c>
      <c r="BQ2368" s="15">
        <v>45975.593553240738</v>
      </c>
      <c r="BR2368" s="15">
        <v>45976.47792824074</v>
      </c>
      <c r="BS2368" s="10" t="s">
        <v>197</v>
      </c>
      <c r="BT2368" s="10" t="s">
        <v>279</v>
      </c>
      <c r="BU2368" s="10" t="s">
        <v>498</v>
      </c>
      <c r="BV2368" s="10"/>
      <c r="BW2368" s="10"/>
      <c r="BX2368" s="10"/>
      <c r="BY2368" s="23"/>
      <c r="BZ2368" s="23"/>
      <c r="CA2368" s="19" t="s">
        <v>18014</v>
      </c>
      <c r="CB2368" s="19" t="s">
        <v>18015</v>
      </c>
      <c r="CC2368" s="23"/>
      <c r="CD2368" s="19" t="s">
        <v>18016</v>
      </c>
      <c r="CE2368" s="23"/>
      <c r="CF2368" s="23"/>
      <c r="CG2368" s="23"/>
      <c r="CH2368" s="23"/>
      <c r="CI2368" s="23"/>
    </row>
    <row r="2369" spans="1:87" x14ac:dyDescent="0.3">
      <c r="A2369" s="9" t="s">
        <v>18017</v>
      </c>
      <c r="B2369" s="10" t="s">
        <v>18018</v>
      </c>
      <c r="C2369" s="11">
        <v>45958.302083333336</v>
      </c>
      <c r="D2369" s="12">
        <v>0.13541666666666666</v>
      </c>
      <c r="E2369" s="11">
        <v>45958.4375</v>
      </c>
      <c r="F2369" s="10" t="s">
        <v>15270</v>
      </c>
      <c r="G2369" s="13" t="b">
        <v>0</v>
      </c>
      <c r="H2369" s="22" t="s">
        <v>15271</v>
      </c>
      <c r="I2369" s="10" t="s">
        <v>3213</v>
      </c>
      <c r="J2369" s="13" t="b">
        <v>0</v>
      </c>
      <c r="K2369" s="13" t="b">
        <v>1</v>
      </c>
      <c r="L2369" s="10" t="s">
        <v>124</v>
      </c>
      <c r="M2369" s="10" t="s">
        <v>91</v>
      </c>
      <c r="N2369" s="10" t="s">
        <v>92</v>
      </c>
      <c r="O2369" s="19" t="s">
        <v>18019</v>
      </c>
      <c r="P2369" s="10" t="s">
        <v>3215</v>
      </c>
      <c r="Q2369" s="10" t="s">
        <v>126</v>
      </c>
      <c r="R2369" s="10"/>
      <c r="S2369" s="19" t="s">
        <v>18020</v>
      </c>
      <c r="T2369" s="10"/>
      <c r="U2369" s="10" t="s">
        <v>15298</v>
      </c>
      <c r="V2369" s="10" t="s">
        <v>15275</v>
      </c>
      <c r="W2369" s="10" t="s">
        <v>15276</v>
      </c>
      <c r="X2369" s="10" t="s">
        <v>15277</v>
      </c>
      <c r="Y2369" s="10" t="s">
        <v>15277</v>
      </c>
      <c r="Z2369" s="10" t="s">
        <v>99</v>
      </c>
      <c r="AA2369" s="10" t="s">
        <v>131</v>
      </c>
      <c r="AB2369" s="10" t="s">
        <v>15278</v>
      </c>
      <c r="AC2369" s="10" t="s">
        <v>15279</v>
      </c>
      <c r="AD2369" s="10" t="s">
        <v>165</v>
      </c>
      <c r="AE2369" s="10" t="s">
        <v>18021</v>
      </c>
      <c r="AF2369" s="15"/>
      <c r="AG2369" s="10"/>
      <c r="AH2369" s="10"/>
      <c r="AI2369" s="10"/>
      <c r="AJ2369" s="10"/>
      <c r="AK2369" s="10" t="s">
        <v>102</v>
      </c>
      <c r="AL2369" s="10" t="s">
        <v>195</v>
      </c>
      <c r="AM2369" s="10"/>
      <c r="AN2369" s="10"/>
      <c r="AO2369" s="13" t="b">
        <v>0</v>
      </c>
      <c r="AP2369" s="22" t="s">
        <v>104</v>
      </c>
      <c r="AQ2369" s="10">
        <f ca="1">IFERROR(__xludf.DUMMYFUNCTION("""COMPUTED_VALUE"""),4673099)</f>
        <v>4673099</v>
      </c>
      <c r="AR2369" s="17">
        <v>3315</v>
      </c>
      <c r="AS2369" s="17">
        <v>2568</v>
      </c>
      <c r="AT2369" s="17">
        <v>50027.5</v>
      </c>
      <c r="AU2369" s="17">
        <v>12.2</v>
      </c>
      <c r="AV2369" s="17">
        <v>3</v>
      </c>
      <c r="AW2369" s="10" t="s">
        <v>105</v>
      </c>
      <c r="AX2369" s="17">
        <v>458</v>
      </c>
      <c r="AY2369" s="18">
        <v>19.481113707165107</v>
      </c>
      <c r="AZ2369" s="10" t="s">
        <v>117</v>
      </c>
      <c r="BA2369" s="20" t="b">
        <v>0</v>
      </c>
      <c r="BB2369" s="10"/>
      <c r="BC2369" s="17">
        <v>3315</v>
      </c>
      <c r="BD2369" s="17">
        <v>2568</v>
      </c>
      <c r="BE2369" s="17">
        <v>50027.5</v>
      </c>
      <c r="BF2369" s="17">
        <v>3</v>
      </c>
      <c r="BG2369" s="11">
        <f ca="1">IFERROR(__xludf.DUMMYFUNCTION("""COMPUTED_VALUE"""),45958.3020833333)</f>
        <v>45958.302083333299</v>
      </c>
      <c r="BH2369" s="17" t="s">
        <v>105</v>
      </c>
      <c r="BI2369" s="17"/>
      <c r="BJ2369" s="15"/>
      <c r="BK2369" s="15"/>
      <c r="BL2369" s="13" t="b">
        <v>0</v>
      </c>
      <c r="BM2369" s="10"/>
      <c r="BN2369" s="10" t="s">
        <v>4030</v>
      </c>
      <c r="BO2369" s="11">
        <v>45951.569444444445</v>
      </c>
      <c r="BP2369" s="11">
        <v>45951.569641203707</v>
      </c>
      <c r="BQ2369" s="15">
        <v>45956.521782407406</v>
      </c>
      <c r="BR2369" s="15">
        <v>45957.070960648147</v>
      </c>
      <c r="BS2369" s="10" t="s">
        <v>4030</v>
      </c>
      <c r="BT2369" s="10"/>
      <c r="BU2369" s="10"/>
      <c r="BV2369" s="10"/>
      <c r="BW2369" s="10"/>
      <c r="BX2369" s="10"/>
      <c r="BY2369" s="23"/>
      <c r="BZ2369" s="23"/>
      <c r="CA2369" s="19" t="s">
        <v>18022</v>
      </c>
      <c r="CB2369" s="23"/>
      <c r="CC2369" s="23"/>
      <c r="CD2369" s="19" t="s">
        <v>18023</v>
      </c>
      <c r="CE2369" s="23"/>
      <c r="CF2369" s="23"/>
      <c r="CG2369" s="23"/>
      <c r="CH2369" s="23"/>
      <c r="CI2369" s="23"/>
    </row>
    <row r="2370" spans="1:87" x14ac:dyDescent="0.3">
      <c r="A2370" s="25" t="s">
        <v>18024</v>
      </c>
      <c r="B2370" s="10" t="s">
        <v>18025</v>
      </c>
      <c r="C2370" s="11">
        <v>45979.791666666664</v>
      </c>
      <c r="D2370" s="12">
        <v>8.3333333333333329E-2</v>
      </c>
      <c r="E2370" s="11">
        <v>45979.875</v>
      </c>
      <c r="F2370" s="10" t="s">
        <v>14786</v>
      </c>
      <c r="G2370" s="13" t="b">
        <v>0</v>
      </c>
      <c r="H2370" s="22" t="s">
        <v>14787</v>
      </c>
      <c r="I2370" s="10" t="s">
        <v>3548</v>
      </c>
      <c r="J2370" s="13" t="b">
        <v>0</v>
      </c>
      <c r="K2370" s="13" t="b">
        <v>1</v>
      </c>
      <c r="L2370" s="10" t="s">
        <v>124</v>
      </c>
      <c r="M2370" s="10" t="s">
        <v>91</v>
      </c>
      <c r="N2370" s="10" t="s">
        <v>92</v>
      </c>
      <c r="O2370" s="19" t="s">
        <v>18026</v>
      </c>
      <c r="P2370" s="10"/>
      <c r="Q2370" s="10" t="s">
        <v>126</v>
      </c>
      <c r="R2370" s="10"/>
      <c r="S2370" s="19" t="s">
        <v>18027</v>
      </c>
      <c r="T2370" s="19" t="s">
        <v>17968</v>
      </c>
      <c r="U2370" s="10" t="s">
        <v>14826</v>
      </c>
      <c r="V2370" s="10" t="s">
        <v>14871</v>
      </c>
      <c r="W2370" s="10" t="s">
        <v>14793</v>
      </c>
      <c r="X2370" s="10" t="s">
        <v>130</v>
      </c>
      <c r="Y2370" s="10" t="s">
        <v>130</v>
      </c>
      <c r="Z2370" s="10" t="s">
        <v>99</v>
      </c>
      <c r="AA2370" s="10" t="s">
        <v>131</v>
      </c>
      <c r="AB2370" s="10" t="s">
        <v>14794</v>
      </c>
      <c r="AC2370" s="10" t="s">
        <v>3521</v>
      </c>
      <c r="AD2370" s="10" t="s">
        <v>18028</v>
      </c>
      <c r="AE2370" s="10" t="s">
        <v>18029</v>
      </c>
      <c r="AF2370" s="15"/>
      <c r="AG2370" s="10"/>
      <c r="AH2370" s="10"/>
      <c r="AI2370" s="10"/>
      <c r="AJ2370" s="10"/>
      <c r="AK2370" s="10" t="s">
        <v>102</v>
      </c>
      <c r="AL2370" s="10" t="s">
        <v>1360</v>
      </c>
      <c r="AM2370" s="10"/>
      <c r="AN2370" s="10"/>
      <c r="AO2370" s="13" t="b">
        <v>1</v>
      </c>
      <c r="AP2370" s="22" t="s">
        <v>104</v>
      </c>
      <c r="AQ2370" s="10">
        <f ca="1">IFERROR(__xludf.DUMMYFUNCTION("""COMPUTED_VALUE"""),4719243)</f>
        <v>4719243</v>
      </c>
      <c r="AR2370" s="17">
        <v>90275</v>
      </c>
      <c r="AS2370" s="17">
        <v>59889</v>
      </c>
      <c r="AT2370" s="17">
        <v>1148209.5</v>
      </c>
      <c r="AU2370" s="17">
        <v>1238.0999999999999</v>
      </c>
      <c r="AV2370" s="17">
        <v>467.5</v>
      </c>
      <c r="AW2370" s="10" t="s">
        <v>105</v>
      </c>
      <c r="AX2370" s="17">
        <v>17616</v>
      </c>
      <c r="AY2370" s="18">
        <v>19.172293743425335</v>
      </c>
      <c r="AZ2370" s="10" t="s">
        <v>168</v>
      </c>
      <c r="BA2370" s="20" t="b">
        <v>0</v>
      </c>
      <c r="BB2370" s="10"/>
      <c r="BC2370" s="17">
        <v>90275</v>
      </c>
      <c r="BD2370" s="17">
        <v>59889</v>
      </c>
      <c r="BE2370" s="17">
        <v>1148209.5</v>
      </c>
      <c r="BF2370" s="17">
        <v>467.5</v>
      </c>
      <c r="BG2370" s="11">
        <f ca="1">IFERROR(__xludf.DUMMYFUNCTION("""COMPUTED_VALUE"""),45979.7916666666)</f>
        <v>45979.791666666599</v>
      </c>
      <c r="BH2370" s="17" t="s">
        <v>105</v>
      </c>
      <c r="BI2370" s="17"/>
      <c r="BJ2370" s="15"/>
      <c r="BK2370" s="15"/>
      <c r="BL2370" s="13" t="b">
        <v>0</v>
      </c>
      <c r="BM2370" s="10"/>
      <c r="BN2370" s="10" t="s">
        <v>197</v>
      </c>
      <c r="BO2370" s="11">
        <v>45951.569444444445</v>
      </c>
      <c r="BP2370" s="11">
        <v>45952.750520833331</v>
      </c>
      <c r="BQ2370" s="15">
        <v>45975.593726851854</v>
      </c>
      <c r="BR2370" s="15">
        <v>45976.47824074074</v>
      </c>
      <c r="BS2370" s="10" t="s">
        <v>197</v>
      </c>
      <c r="BT2370" s="10" t="s">
        <v>279</v>
      </c>
      <c r="BU2370" s="10" t="s">
        <v>816</v>
      </c>
      <c r="BV2370" s="10"/>
      <c r="BW2370" s="10"/>
      <c r="BX2370" s="10"/>
      <c r="BY2370" s="23"/>
      <c r="BZ2370" s="23"/>
      <c r="CA2370" s="19" t="s">
        <v>18030</v>
      </c>
      <c r="CB2370" s="19" t="s">
        <v>18031</v>
      </c>
      <c r="CC2370" s="23"/>
      <c r="CD2370" s="19" t="s">
        <v>18032</v>
      </c>
      <c r="CE2370" s="23"/>
      <c r="CF2370" s="23"/>
      <c r="CG2370" s="23"/>
      <c r="CH2370" s="23"/>
      <c r="CI2370" s="23"/>
    </row>
    <row r="2371" spans="1:87" x14ac:dyDescent="0.3">
      <c r="A2371" s="9" t="s">
        <v>18033</v>
      </c>
      <c r="B2371" s="10" t="s">
        <v>18034</v>
      </c>
      <c r="C2371" s="11">
        <v>45979.854166666664</v>
      </c>
      <c r="D2371" s="12">
        <v>8.3333333333333329E-2</v>
      </c>
      <c r="E2371" s="11">
        <v>45979.9375</v>
      </c>
      <c r="F2371" s="10" t="s">
        <v>14786</v>
      </c>
      <c r="G2371" s="13" t="b">
        <v>0</v>
      </c>
      <c r="H2371" s="22" t="s">
        <v>14787</v>
      </c>
      <c r="I2371" s="10" t="s">
        <v>3548</v>
      </c>
      <c r="J2371" s="13" t="b">
        <v>0</v>
      </c>
      <c r="K2371" s="13" t="b">
        <v>1</v>
      </c>
      <c r="L2371" s="10" t="s">
        <v>124</v>
      </c>
      <c r="M2371" s="10" t="s">
        <v>91</v>
      </c>
      <c r="N2371" s="10" t="s">
        <v>92</v>
      </c>
      <c r="O2371" s="19" t="s">
        <v>18035</v>
      </c>
      <c r="P2371" s="10"/>
      <c r="Q2371" s="10" t="s">
        <v>126</v>
      </c>
      <c r="R2371" s="10"/>
      <c r="S2371" s="19" t="s">
        <v>18036</v>
      </c>
      <c r="T2371" s="19" t="s">
        <v>17968</v>
      </c>
      <c r="U2371" s="10" t="s">
        <v>14892</v>
      </c>
      <c r="V2371" s="10" t="s">
        <v>14882</v>
      </c>
      <c r="W2371" s="10" t="s">
        <v>14793</v>
      </c>
      <c r="X2371" s="10" t="s">
        <v>130</v>
      </c>
      <c r="Y2371" s="10" t="s">
        <v>130</v>
      </c>
      <c r="Z2371" s="10" t="s">
        <v>99</v>
      </c>
      <c r="AA2371" s="10" t="s">
        <v>131</v>
      </c>
      <c r="AB2371" s="10" t="s">
        <v>14794</v>
      </c>
      <c r="AC2371" s="10" t="s">
        <v>3521</v>
      </c>
      <c r="AD2371" s="10" t="s">
        <v>18037</v>
      </c>
      <c r="AE2371" s="10" t="s">
        <v>18038</v>
      </c>
      <c r="AF2371" s="15"/>
      <c r="AG2371" s="10"/>
      <c r="AH2371" s="10"/>
      <c r="AI2371" s="10"/>
      <c r="AJ2371" s="10"/>
      <c r="AK2371" s="10" t="s">
        <v>102</v>
      </c>
      <c r="AL2371" s="10" t="s">
        <v>1360</v>
      </c>
      <c r="AM2371" s="10"/>
      <c r="AN2371" s="10"/>
      <c r="AO2371" s="13" t="b">
        <v>0</v>
      </c>
      <c r="AP2371" s="22" t="s">
        <v>104</v>
      </c>
      <c r="AQ2371" s="10">
        <f ca="1">IFERROR(__xludf.DUMMYFUNCTION("""COMPUTED_VALUE"""),4719245)</f>
        <v>4719245</v>
      </c>
      <c r="AR2371" s="17">
        <v>49184</v>
      </c>
      <c r="AS2371" s="17">
        <v>32837</v>
      </c>
      <c r="AT2371" s="17">
        <v>626927.5</v>
      </c>
      <c r="AU2371" s="17">
        <v>623.15</v>
      </c>
      <c r="AV2371" s="17">
        <v>225.45</v>
      </c>
      <c r="AW2371" s="10" t="s">
        <v>105</v>
      </c>
      <c r="AX2371" s="17">
        <v>10435</v>
      </c>
      <c r="AY2371" s="18">
        <v>19.09210646526784</v>
      </c>
      <c r="AZ2371" s="10" t="s">
        <v>168</v>
      </c>
      <c r="BA2371" s="20" t="b">
        <v>0</v>
      </c>
      <c r="BB2371" s="10"/>
      <c r="BC2371" s="17">
        <v>49184</v>
      </c>
      <c r="BD2371" s="17">
        <v>32837</v>
      </c>
      <c r="BE2371" s="17">
        <v>626927.5</v>
      </c>
      <c r="BF2371" s="17">
        <v>225.45</v>
      </c>
      <c r="BG2371" s="11">
        <f ca="1">IFERROR(__xludf.DUMMYFUNCTION("""COMPUTED_VALUE"""),45979.8541666666)</f>
        <v>45979.854166666599</v>
      </c>
      <c r="BH2371" s="17" t="s">
        <v>105</v>
      </c>
      <c r="BI2371" s="17"/>
      <c r="BJ2371" s="15"/>
      <c r="BK2371" s="15"/>
      <c r="BL2371" s="13" t="b">
        <v>0</v>
      </c>
      <c r="BM2371" s="10"/>
      <c r="BN2371" s="10" t="s">
        <v>197</v>
      </c>
      <c r="BO2371" s="11">
        <v>45951.570138888892</v>
      </c>
      <c r="BP2371" s="11">
        <v>45952.750636574077</v>
      </c>
      <c r="BQ2371" s="15">
        <v>45975.593946759262</v>
      </c>
      <c r="BR2371" s="15">
        <v>45976.506793981483</v>
      </c>
      <c r="BS2371" s="10" t="s">
        <v>197</v>
      </c>
      <c r="BT2371" s="10" t="s">
        <v>279</v>
      </c>
      <c r="BU2371" s="10" t="s">
        <v>655</v>
      </c>
      <c r="BV2371" s="10"/>
      <c r="BW2371" s="10"/>
      <c r="BX2371" s="10"/>
      <c r="BY2371" s="23"/>
      <c r="BZ2371" s="23"/>
      <c r="CA2371" s="19" t="s">
        <v>18039</v>
      </c>
      <c r="CB2371" s="19" t="s">
        <v>18040</v>
      </c>
      <c r="CC2371" s="23"/>
      <c r="CD2371" s="19" t="s">
        <v>18041</v>
      </c>
      <c r="CE2371" s="23"/>
      <c r="CF2371" s="23"/>
      <c r="CG2371" s="23"/>
      <c r="CH2371" s="23"/>
      <c r="CI2371" s="23"/>
    </row>
    <row r="2372" spans="1:87" x14ac:dyDescent="0.3">
      <c r="A2372" s="25" t="s">
        <v>18042</v>
      </c>
      <c r="B2372" s="10" t="s">
        <v>18043</v>
      </c>
      <c r="C2372" s="11">
        <v>45980.645833333336</v>
      </c>
      <c r="D2372" s="12">
        <v>8.3333333333333329E-2</v>
      </c>
      <c r="E2372" s="11">
        <v>45980.729166666664</v>
      </c>
      <c r="F2372" s="10" t="s">
        <v>14786</v>
      </c>
      <c r="G2372" s="13" t="b">
        <v>0</v>
      </c>
      <c r="H2372" s="22" t="s">
        <v>14787</v>
      </c>
      <c r="I2372" s="10" t="s">
        <v>212</v>
      </c>
      <c r="J2372" s="13" t="b">
        <v>1</v>
      </c>
      <c r="K2372" s="13" t="b">
        <v>0</v>
      </c>
      <c r="L2372" s="10" t="s">
        <v>124</v>
      </c>
      <c r="M2372" s="10" t="s">
        <v>91</v>
      </c>
      <c r="N2372" s="10" t="s">
        <v>92</v>
      </c>
      <c r="O2372" s="19" t="s">
        <v>18044</v>
      </c>
      <c r="P2372" s="10"/>
      <c r="Q2372" s="10" t="s">
        <v>126</v>
      </c>
      <c r="R2372" s="10"/>
      <c r="S2372" s="19" t="s">
        <v>18045</v>
      </c>
      <c r="T2372" s="19" t="s">
        <v>17968</v>
      </c>
      <c r="U2372" s="10" t="s">
        <v>14805</v>
      </c>
      <c r="V2372" s="10" t="s">
        <v>14816</v>
      </c>
      <c r="W2372" s="10" t="s">
        <v>14793</v>
      </c>
      <c r="X2372" s="10" t="s">
        <v>130</v>
      </c>
      <c r="Y2372" s="10" t="s">
        <v>130</v>
      </c>
      <c r="Z2372" s="10" t="s">
        <v>99</v>
      </c>
      <c r="AA2372" s="10" t="s">
        <v>131</v>
      </c>
      <c r="AB2372" s="10" t="s">
        <v>14794</v>
      </c>
      <c r="AC2372" s="10" t="s">
        <v>3521</v>
      </c>
      <c r="AD2372" s="10" t="s">
        <v>18046</v>
      </c>
      <c r="AE2372" s="10" t="s">
        <v>18047</v>
      </c>
      <c r="AF2372" s="15"/>
      <c r="AG2372" s="10"/>
      <c r="AH2372" s="10"/>
      <c r="AI2372" s="10"/>
      <c r="AJ2372" s="10"/>
      <c r="AK2372" s="10" t="s">
        <v>102</v>
      </c>
      <c r="AL2372" s="10" t="s">
        <v>1360</v>
      </c>
      <c r="AM2372" s="10"/>
      <c r="AN2372" s="10"/>
      <c r="AO2372" s="13" t="b">
        <v>0</v>
      </c>
      <c r="AP2372" s="22" t="s">
        <v>104</v>
      </c>
      <c r="AQ2372" s="10">
        <f ca="1">IFERROR(__xludf.DUMMYFUNCTION("""COMPUTED_VALUE"""),4720758)</f>
        <v>4720758</v>
      </c>
      <c r="AR2372" s="17">
        <v>41055</v>
      </c>
      <c r="AS2372" s="17">
        <v>23463</v>
      </c>
      <c r="AT2372" s="17">
        <v>615570</v>
      </c>
      <c r="AU2372" s="17">
        <v>112.75</v>
      </c>
      <c r="AV2372" s="17">
        <v>13.7</v>
      </c>
      <c r="AW2372" s="10" t="s">
        <v>105</v>
      </c>
      <c r="AX2372" s="17">
        <v>9898</v>
      </c>
      <c r="AY2372" s="18">
        <v>26.235775476281805</v>
      </c>
      <c r="AZ2372" s="10" t="s">
        <v>168</v>
      </c>
      <c r="BA2372" s="20" t="b">
        <v>0</v>
      </c>
      <c r="BB2372" s="10"/>
      <c r="BC2372" s="17">
        <v>41055</v>
      </c>
      <c r="BD2372" s="17">
        <v>23463</v>
      </c>
      <c r="BE2372" s="17">
        <v>615570</v>
      </c>
      <c r="BF2372" s="17">
        <v>13.7</v>
      </c>
      <c r="BG2372" s="11">
        <f ca="1">IFERROR(__xludf.DUMMYFUNCTION("""COMPUTED_VALUE"""),45980.6458333333)</f>
        <v>45980.645833333299</v>
      </c>
      <c r="BH2372" s="17" t="s">
        <v>105</v>
      </c>
      <c r="BI2372" s="17"/>
      <c r="BJ2372" s="15"/>
      <c r="BK2372" s="15"/>
      <c r="BL2372" s="13" t="b">
        <v>0</v>
      </c>
      <c r="BM2372" s="10"/>
      <c r="BN2372" s="10" t="s">
        <v>197</v>
      </c>
      <c r="BO2372" s="11">
        <v>45951.570833333331</v>
      </c>
      <c r="BP2372" s="11">
        <v>45952.750752314816</v>
      </c>
      <c r="BQ2372" s="15">
        <v>45975.596331018518</v>
      </c>
      <c r="BR2372" s="15">
        <v>45977.451064814813</v>
      </c>
      <c r="BS2372" s="10" t="s">
        <v>197</v>
      </c>
      <c r="BT2372" s="10" t="s">
        <v>279</v>
      </c>
      <c r="BU2372" s="10" t="s">
        <v>498</v>
      </c>
      <c r="BV2372" s="10"/>
      <c r="BW2372" s="10"/>
      <c r="BX2372" s="10"/>
      <c r="BY2372" s="23"/>
      <c r="BZ2372" s="23"/>
      <c r="CA2372" s="19" t="s">
        <v>18048</v>
      </c>
      <c r="CB2372" s="19" t="s">
        <v>18049</v>
      </c>
      <c r="CC2372" s="23"/>
      <c r="CD2372" s="19" t="s">
        <v>18050</v>
      </c>
      <c r="CE2372" s="23"/>
      <c r="CF2372" s="23"/>
      <c r="CG2372" s="23"/>
      <c r="CH2372" s="23"/>
      <c r="CI2372" s="23"/>
    </row>
    <row r="2373" spans="1:87" x14ac:dyDescent="0.3">
      <c r="A2373" s="9" t="s">
        <v>18051</v>
      </c>
      <c r="B2373" s="10" t="s">
        <v>18052</v>
      </c>
      <c r="C2373" s="11">
        <v>45980.645833333336</v>
      </c>
      <c r="D2373" s="12">
        <v>8.3333333333333329E-2</v>
      </c>
      <c r="E2373" s="11">
        <v>45980.729166666664</v>
      </c>
      <c r="F2373" s="10" t="s">
        <v>14786</v>
      </c>
      <c r="G2373" s="13" t="b">
        <v>0</v>
      </c>
      <c r="H2373" s="22" t="s">
        <v>14787</v>
      </c>
      <c r="I2373" s="10" t="s">
        <v>212</v>
      </c>
      <c r="J2373" s="13" t="b">
        <v>1</v>
      </c>
      <c r="K2373" s="13" t="b">
        <v>0</v>
      </c>
      <c r="L2373" s="10" t="s">
        <v>124</v>
      </c>
      <c r="M2373" s="10" t="s">
        <v>91</v>
      </c>
      <c r="N2373" s="10" t="s">
        <v>92</v>
      </c>
      <c r="O2373" s="19" t="s">
        <v>18053</v>
      </c>
      <c r="P2373" s="10"/>
      <c r="Q2373" s="10" t="s">
        <v>126</v>
      </c>
      <c r="R2373" s="10"/>
      <c r="S2373" s="19" t="s">
        <v>18054</v>
      </c>
      <c r="T2373" s="19" t="s">
        <v>17968</v>
      </c>
      <c r="U2373" s="10" t="s">
        <v>14815</v>
      </c>
      <c r="V2373" s="10" t="s">
        <v>14881</v>
      </c>
      <c r="W2373" s="10" t="s">
        <v>14793</v>
      </c>
      <c r="X2373" s="10" t="s">
        <v>130</v>
      </c>
      <c r="Y2373" s="10" t="s">
        <v>130</v>
      </c>
      <c r="Z2373" s="10" t="s">
        <v>99</v>
      </c>
      <c r="AA2373" s="10" t="s">
        <v>131</v>
      </c>
      <c r="AB2373" s="10" t="s">
        <v>14794</v>
      </c>
      <c r="AC2373" s="10" t="s">
        <v>3521</v>
      </c>
      <c r="AD2373" s="10" t="s">
        <v>18055</v>
      </c>
      <c r="AE2373" s="10" t="s">
        <v>18056</v>
      </c>
      <c r="AF2373" s="15"/>
      <c r="AG2373" s="10"/>
      <c r="AH2373" s="10"/>
      <c r="AI2373" s="10"/>
      <c r="AJ2373" s="10"/>
      <c r="AK2373" s="10" t="s">
        <v>102</v>
      </c>
      <c r="AL2373" s="10" t="s">
        <v>1360</v>
      </c>
      <c r="AM2373" s="10"/>
      <c r="AN2373" s="10"/>
      <c r="AO2373" s="13" t="b">
        <v>0</v>
      </c>
      <c r="AP2373" s="22" t="s">
        <v>104</v>
      </c>
      <c r="AQ2373" s="10">
        <f ca="1">IFERROR(__xludf.DUMMYFUNCTION("""COMPUTED_VALUE"""),4720759)</f>
        <v>4720759</v>
      </c>
      <c r="AR2373" s="17">
        <v>33707</v>
      </c>
      <c r="AS2373" s="17">
        <v>20308</v>
      </c>
      <c r="AT2373" s="17">
        <v>398562.5</v>
      </c>
      <c r="AU2373" s="17">
        <v>78.95</v>
      </c>
      <c r="AV2373" s="17">
        <v>4.3</v>
      </c>
      <c r="AW2373" s="10" t="s">
        <v>105</v>
      </c>
      <c r="AX2373" s="17">
        <v>5313</v>
      </c>
      <c r="AY2373" s="18">
        <v>19.625886350206816</v>
      </c>
      <c r="AZ2373" s="10" t="s">
        <v>168</v>
      </c>
      <c r="BA2373" s="20" t="b">
        <v>0</v>
      </c>
      <c r="BB2373" s="10"/>
      <c r="BC2373" s="17">
        <v>33707</v>
      </c>
      <c r="BD2373" s="17">
        <v>20308</v>
      </c>
      <c r="BE2373" s="17">
        <v>398562.5</v>
      </c>
      <c r="BF2373" s="17">
        <v>4.3</v>
      </c>
      <c r="BG2373" s="11">
        <f ca="1">IFERROR(__xludf.DUMMYFUNCTION("""COMPUTED_VALUE"""),45980.6458333333)</f>
        <v>45980.645833333299</v>
      </c>
      <c r="BH2373" s="17" t="s">
        <v>105</v>
      </c>
      <c r="BI2373" s="17"/>
      <c r="BJ2373" s="15"/>
      <c r="BK2373" s="15"/>
      <c r="BL2373" s="13" t="b">
        <v>0</v>
      </c>
      <c r="BM2373" s="10"/>
      <c r="BN2373" s="10" t="s">
        <v>197</v>
      </c>
      <c r="BO2373" s="11">
        <v>45951.572222222225</v>
      </c>
      <c r="BP2373" s="11">
        <v>45952.750844907408</v>
      </c>
      <c r="BQ2373" s="15">
        <v>45975.596516203703</v>
      </c>
      <c r="BR2373" s="15">
        <v>45977.451273148145</v>
      </c>
      <c r="BS2373" s="10" t="s">
        <v>197</v>
      </c>
      <c r="BT2373" s="10" t="s">
        <v>279</v>
      </c>
      <c r="BU2373" s="10" t="s">
        <v>816</v>
      </c>
      <c r="BV2373" s="10"/>
      <c r="BW2373" s="10"/>
      <c r="BX2373" s="10"/>
      <c r="BY2373" s="23"/>
      <c r="BZ2373" s="23"/>
      <c r="CA2373" s="19" t="s">
        <v>18057</v>
      </c>
      <c r="CB2373" s="19" t="s">
        <v>18058</v>
      </c>
      <c r="CC2373" s="23"/>
      <c r="CD2373" s="19" t="s">
        <v>18059</v>
      </c>
      <c r="CE2373" s="23"/>
      <c r="CF2373" s="23"/>
      <c r="CG2373" s="23"/>
      <c r="CH2373" s="23"/>
      <c r="CI2373" s="23"/>
    </row>
    <row r="2374" spans="1:87" x14ac:dyDescent="0.3">
      <c r="A2374" s="9" t="s">
        <v>18060</v>
      </c>
      <c r="B2374" s="10" t="s">
        <v>18061</v>
      </c>
      <c r="C2374" s="11">
        <v>45980.791666666664</v>
      </c>
      <c r="D2374" s="12">
        <v>8.3333333333333329E-2</v>
      </c>
      <c r="E2374" s="11">
        <v>45980.875</v>
      </c>
      <c r="F2374" s="10" t="s">
        <v>14786</v>
      </c>
      <c r="G2374" s="13" t="b">
        <v>0</v>
      </c>
      <c r="H2374" s="22" t="s">
        <v>14787</v>
      </c>
      <c r="I2374" s="10" t="s">
        <v>212</v>
      </c>
      <c r="J2374" s="13" t="b">
        <v>1</v>
      </c>
      <c r="K2374" s="13" t="b">
        <v>0</v>
      </c>
      <c r="L2374" s="10" t="s">
        <v>124</v>
      </c>
      <c r="M2374" s="10" t="s">
        <v>91</v>
      </c>
      <c r="N2374" s="10" t="s">
        <v>92</v>
      </c>
      <c r="O2374" s="19" t="s">
        <v>18062</v>
      </c>
      <c r="P2374" s="10"/>
      <c r="Q2374" s="10" t="s">
        <v>126</v>
      </c>
      <c r="R2374" s="10"/>
      <c r="S2374" s="19" t="s">
        <v>18063</v>
      </c>
      <c r="T2374" s="19" t="s">
        <v>17968</v>
      </c>
      <c r="U2374" s="10" t="s">
        <v>14804</v>
      </c>
      <c r="V2374" s="10" t="s">
        <v>14792</v>
      </c>
      <c r="W2374" s="10" t="s">
        <v>14793</v>
      </c>
      <c r="X2374" s="10" t="s">
        <v>130</v>
      </c>
      <c r="Y2374" s="10" t="s">
        <v>130</v>
      </c>
      <c r="Z2374" s="10" t="s">
        <v>99</v>
      </c>
      <c r="AA2374" s="10" t="s">
        <v>131</v>
      </c>
      <c r="AB2374" s="10" t="s">
        <v>14794</v>
      </c>
      <c r="AC2374" s="10" t="s">
        <v>3521</v>
      </c>
      <c r="AD2374" s="10" t="s">
        <v>18064</v>
      </c>
      <c r="AE2374" s="10" t="s">
        <v>18065</v>
      </c>
      <c r="AF2374" s="15"/>
      <c r="AG2374" s="10"/>
      <c r="AH2374" s="10"/>
      <c r="AI2374" s="10"/>
      <c r="AJ2374" s="10"/>
      <c r="AK2374" s="10" t="s">
        <v>102</v>
      </c>
      <c r="AL2374" s="10" t="s">
        <v>1360</v>
      </c>
      <c r="AM2374" s="10"/>
      <c r="AN2374" s="10"/>
      <c r="AO2374" s="13" t="b">
        <v>0</v>
      </c>
      <c r="AP2374" s="22" t="s">
        <v>104</v>
      </c>
      <c r="AQ2374" s="10">
        <f ca="1">IFERROR(__xludf.DUMMYFUNCTION("""COMPUTED_VALUE"""),4720760)</f>
        <v>4720760</v>
      </c>
      <c r="AR2374" s="17">
        <v>87906</v>
      </c>
      <c r="AS2374" s="17">
        <v>50582</v>
      </c>
      <c r="AT2374" s="17">
        <v>1846347.5</v>
      </c>
      <c r="AU2374" s="17">
        <v>393.35</v>
      </c>
      <c r="AV2374" s="17">
        <v>47.2</v>
      </c>
      <c r="AW2374" s="10" t="s">
        <v>105</v>
      </c>
      <c r="AX2374" s="17">
        <v>22867</v>
      </c>
      <c r="AY2374" s="18">
        <v>36.50206595231505</v>
      </c>
      <c r="AZ2374" s="10" t="s">
        <v>168</v>
      </c>
      <c r="BA2374" s="20" t="b">
        <v>0</v>
      </c>
      <c r="BB2374" s="10"/>
      <c r="BC2374" s="17">
        <v>87906</v>
      </c>
      <c r="BD2374" s="17">
        <v>50582</v>
      </c>
      <c r="BE2374" s="17">
        <v>1846347.5</v>
      </c>
      <c r="BF2374" s="17">
        <v>47.2</v>
      </c>
      <c r="BG2374" s="11">
        <f ca="1">IFERROR(__xludf.DUMMYFUNCTION("""COMPUTED_VALUE"""),45980.7916666666)</f>
        <v>45980.791666666599</v>
      </c>
      <c r="BH2374" s="17" t="s">
        <v>105</v>
      </c>
      <c r="BI2374" s="17"/>
      <c r="BJ2374" s="15"/>
      <c r="BK2374" s="15"/>
      <c r="BL2374" s="13" t="b">
        <v>0</v>
      </c>
      <c r="BM2374" s="10"/>
      <c r="BN2374" s="10" t="s">
        <v>197</v>
      </c>
      <c r="BO2374" s="11">
        <v>45951.572222222225</v>
      </c>
      <c r="BP2374" s="11">
        <v>45952.750960648147</v>
      </c>
      <c r="BQ2374" s="15">
        <v>45975.59679398148</v>
      </c>
      <c r="BR2374" s="15">
        <v>45977.451458333337</v>
      </c>
      <c r="BS2374" s="10" t="s">
        <v>197</v>
      </c>
      <c r="BT2374" s="10" t="s">
        <v>279</v>
      </c>
      <c r="BU2374" s="10" t="s">
        <v>816</v>
      </c>
      <c r="BV2374" s="10"/>
      <c r="BW2374" s="10"/>
      <c r="BX2374" s="10"/>
      <c r="BY2374" s="23"/>
      <c r="BZ2374" s="23"/>
      <c r="CA2374" s="19" t="s">
        <v>18066</v>
      </c>
      <c r="CB2374" s="19" t="s">
        <v>18067</v>
      </c>
      <c r="CC2374" s="23"/>
      <c r="CD2374" s="19" t="s">
        <v>18068</v>
      </c>
      <c r="CE2374" s="23"/>
      <c r="CF2374" s="23"/>
      <c r="CG2374" s="23"/>
      <c r="CH2374" s="23"/>
      <c r="CI2374" s="23"/>
    </row>
    <row r="2375" spans="1:87" x14ac:dyDescent="0.3">
      <c r="A2375" s="9" t="s">
        <v>18069</v>
      </c>
      <c r="B2375" s="10" t="s">
        <v>18070</v>
      </c>
      <c r="C2375" s="11">
        <v>45983.645833333336</v>
      </c>
      <c r="D2375" s="12">
        <v>8.3333333333333329E-2</v>
      </c>
      <c r="E2375" s="11">
        <v>45983.729166666664</v>
      </c>
      <c r="F2375" s="10" t="s">
        <v>14786</v>
      </c>
      <c r="G2375" s="13" t="b">
        <v>0</v>
      </c>
      <c r="H2375" s="22" t="s">
        <v>14787</v>
      </c>
      <c r="I2375" s="10" t="s">
        <v>3548</v>
      </c>
      <c r="J2375" s="13" t="b">
        <v>0</v>
      </c>
      <c r="K2375" s="13" t="b">
        <v>1</v>
      </c>
      <c r="L2375" s="10" t="s">
        <v>124</v>
      </c>
      <c r="M2375" s="10" t="s">
        <v>91</v>
      </c>
      <c r="N2375" s="10" t="s">
        <v>92</v>
      </c>
      <c r="O2375" s="19" t="s">
        <v>18071</v>
      </c>
      <c r="P2375" s="10"/>
      <c r="Q2375" s="10" t="s">
        <v>126</v>
      </c>
      <c r="R2375" s="10"/>
      <c r="S2375" s="19" t="s">
        <v>18072</v>
      </c>
      <c r="T2375" s="19" t="s">
        <v>18073</v>
      </c>
      <c r="U2375" s="10" t="s">
        <v>14860</v>
      </c>
      <c r="V2375" s="10" t="s">
        <v>14871</v>
      </c>
      <c r="W2375" s="10" t="s">
        <v>14793</v>
      </c>
      <c r="X2375" s="10" t="s">
        <v>130</v>
      </c>
      <c r="Y2375" s="10" t="s">
        <v>130</v>
      </c>
      <c r="Z2375" s="10" t="s">
        <v>99</v>
      </c>
      <c r="AA2375" s="10" t="s">
        <v>131</v>
      </c>
      <c r="AB2375" s="10" t="s">
        <v>14794</v>
      </c>
      <c r="AC2375" s="10" t="s">
        <v>3521</v>
      </c>
      <c r="AD2375" s="10" t="s">
        <v>18074</v>
      </c>
      <c r="AE2375" s="10" t="s">
        <v>18075</v>
      </c>
      <c r="AF2375" s="15"/>
      <c r="AG2375" s="10"/>
      <c r="AH2375" s="10"/>
      <c r="AI2375" s="10"/>
      <c r="AJ2375" s="10"/>
      <c r="AK2375" s="10" t="s">
        <v>102</v>
      </c>
      <c r="AL2375" s="10" t="s">
        <v>1467</v>
      </c>
      <c r="AM2375" s="10"/>
      <c r="AN2375" s="10"/>
      <c r="AO2375" s="13" t="b">
        <v>0</v>
      </c>
      <c r="AP2375" s="22" t="s">
        <v>104</v>
      </c>
      <c r="AQ2375" s="10">
        <f ca="1">IFERROR(__xludf.DUMMYFUNCTION("""COMPUTED_VALUE"""),4725602)</f>
        <v>4725602</v>
      </c>
      <c r="AR2375" s="17">
        <v>35228</v>
      </c>
      <c r="AS2375" s="17">
        <v>20000</v>
      </c>
      <c r="AT2375" s="17">
        <v>513105.25</v>
      </c>
      <c r="AU2375" s="17">
        <v>551.15</v>
      </c>
      <c r="AV2375" s="17">
        <v>214.3</v>
      </c>
      <c r="AW2375" s="10" t="s">
        <v>105</v>
      </c>
      <c r="AX2375" s="17">
        <v>7383</v>
      </c>
      <c r="AY2375" s="18">
        <v>25.655262499999999</v>
      </c>
      <c r="AZ2375" s="10" t="s">
        <v>106</v>
      </c>
      <c r="BA2375" s="20" t="b">
        <v>0</v>
      </c>
      <c r="BB2375" s="10"/>
      <c r="BC2375" s="17">
        <v>35228</v>
      </c>
      <c r="BD2375" s="17">
        <v>20000</v>
      </c>
      <c r="BE2375" s="17">
        <v>513105.25</v>
      </c>
      <c r="BF2375" s="17">
        <v>214.3</v>
      </c>
      <c r="BG2375" s="11">
        <f ca="1">IFERROR(__xludf.DUMMYFUNCTION("""COMPUTED_VALUE"""),45983.6458333333)</f>
        <v>45983.645833333299</v>
      </c>
      <c r="BH2375" s="17" t="s">
        <v>105</v>
      </c>
      <c r="BI2375" s="17"/>
      <c r="BJ2375" s="15"/>
      <c r="BK2375" s="15"/>
      <c r="BL2375" s="13" t="b">
        <v>0</v>
      </c>
      <c r="BM2375" s="10"/>
      <c r="BN2375" s="10" t="s">
        <v>149</v>
      </c>
      <c r="BO2375" s="11">
        <v>45951.574305555558</v>
      </c>
      <c r="BP2375" s="11">
        <v>45958.619722222225</v>
      </c>
      <c r="BQ2375" s="15">
        <v>45980.63585648148</v>
      </c>
      <c r="BR2375" s="15">
        <v>45981.316446759258</v>
      </c>
      <c r="BS2375" s="10" t="s">
        <v>149</v>
      </c>
      <c r="BT2375" s="10" t="s">
        <v>279</v>
      </c>
      <c r="BU2375" s="10" t="s">
        <v>421</v>
      </c>
      <c r="BV2375" s="10"/>
      <c r="BW2375" s="10"/>
      <c r="BX2375" s="10"/>
      <c r="BY2375" s="23"/>
      <c r="BZ2375" s="23"/>
      <c r="CA2375" s="19" t="s">
        <v>18076</v>
      </c>
      <c r="CB2375" s="19" t="s">
        <v>18077</v>
      </c>
      <c r="CC2375" s="23"/>
      <c r="CD2375" s="19" t="s">
        <v>18078</v>
      </c>
      <c r="CE2375" s="23"/>
      <c r="CF2375" s="23"/>
      <c r="CG2375" s="23"/>
      <c r="CH2375" s="23"/>
      <c r="CI2375" s="23"/>
    </row>
    <row r="2376" spans="1:87" x14ac:dyDescent="0.3">
      <c r="A2376" s="9" t="s">
        <v>18079</v>
      </c>
      <c r="B2376" s="10" t="s">
        <v>18080</v>
      </c>
      <c r="C2376" s="11">
        <v>45983.604166666664</v>
      </c>
      <c r="D2376" s="12">
        <v>8.3333333333333329E-2</v>
      </c>
      <c r="E2376" s="11">
        <v>45983.6875</v>
      </c>
      <c r="F2376" s="10" t="s">
        <v>14786</v>
      </c>
      <c r="G2376" s="13" t="b">
        <v>0</v>
      </c>
      <c r="H2376" s="22" t="s">
        <v>14787</v>
      </c>
      <c r="I2376" s="10" t="s">
        <v>3548</v>
      </c>
      <c r="J2376" s="13" t="b">
        <v>0</v>
      </c>
      <c r="K2376" s="13" t="b">
        <v>1</v>
      </c>
      <c r="L2376" s="10" t="s">
        <v>124</v>
      </c>
      <c r="M2376" s="10" t="s">
        <v>91</v>
      </c>
      <c r="N2376" s="10" t="s">
        <v>92</v>
      </c>
      <c r="O2376" s="19" t="s">
        <v>18081</v>
      </c>
      <c r="P2376" s="10"/>
      <c r="Q2376" s="10" t="s">
        <v>126</v>
      </c>
      <c r="R2376" s="10"/>
      <c r="S2376" s="19" t="s">
        <v>18082</v>
      </c>
      <c r="T2376" s="19" t="s">
        <v>18073</v>
      </c>
      <c r="U2376" s="10" t="s">
        <v>14870</v>
      </c>
      <c r="V2376" s="10" t="s">
        <v>14859</v>
      </c>
      <c r="W2376" s="10" t="s">
        <v>14793</v>
      </c>
      <c r="X2376" s="10" t="s">
        <v>130</v>
      </c>
      <c r="Y2376" s="10" t="s">
        <v>130</v>
      </c>
      <c r="Z2376" s="10" t="s">
        <v>99</v>
      </c>
      <c r="AA2376" s="10" t="s">
        <v>131</v>
      </c>
      <c r="AB2376" s="10" t="s">
        <v>14794</v>
      </c>
      <c r="AC2376" s="10" t="s">
        <v>3521</v>
      </c>
      <c r="AD2376" s="10" t="s">
        <v>18083</v>
      </c>
      <c r="AE2376" s="10" t="s">
        <v>18084</v>
      </c>
      <c r="AF2376" s="15"/>
      <c r="AG2376" s="10"/>
      <c r="AH2376" s="10"/>
      <c r="AI2376" s="10"/>
      <c r="AJ2376" s="10"/>
      <c r="AK2376" s="10" t="s">
        <v>102</v>
      </c>
      <c r="AL2376" s="10" t="s">
        <v>1467</v>
      </c>
      <c r="AM2376" s="10"/>
      <c r="AN2376" s="10"/>
      <c r="AO2376" s="13" t="b">
        <v>0</v>
      </c>
      <c r="AP2376" s="22" t="s">
        <v>104</v>
      </c>
      <c r="AQ2376" s="10">
        <f ca="1">IFERROR(__xludf.DUMMYFUNCTION("""COMPUTED_VALUE"""),4725604)</f>
        <v>4725604</v>
      </c>
      <c r="AR2376" s="17">
        <v>34350</v>
      </c>
      <c r="AS2376" s="17">
        <v>21703</v>
      </c>
      <c r="AT2376" s="17">
        <v>377179.5</v>
      </c>
      <c r="AU2376" s="17">
        <v>297.3</v>
      </c>
      <c r="AV2376" s="17">
        <v>56.3</v>
      </c>
      <c r="AW2376" s="10" t="s">
        <v>105</v>
      </c>
      <c r="AX2376" s="17">
        <v>5768</v>
      </c>
      <c r="AY2376" s="18">
        <v>17.379141132562317</v>
      </c>
      <c r="AZ2376" s="10" t="s">
        <v>106</v>
      </c>
      <c r="BA2376" s="20" t="b">
        <v>0</v>
      </c>
      <c r="BB2376" s="10"/>
      <c r="BC2376" s="17">
        <v>34350</v>
      </c>
      <c r="BD2376" s="17">
        <v>21703</v>
      </c>
      <c r="BE2376" s="17">
        <v>377179.5</v>
      </c>
      <c r="BF2376" s="17">
        <v>56.3</v>
      </c>
      <c r="BG2376" s="11">
        <f ca="1">IFERROR(__xludf.DUMMYFUNCTION("""COMPUTED_VALUE"""),45983.6041666666)</f>
        <v>45983.604166666599</v>
      </c>
      <c r="BH2376" s="17" t="s">
        <v>105</v>
      </c>
      <c r="BI2376" s="17"/>
      <c r="BJ2376" s="15"/>
      <c r="BK2376" s="15"/>
      <c r="BL2376" s="13" t="b">
        <v>0</v>
      </c>
      <c r="BM2376" s="10"/>
      <c r="BN2376" s="10" t="s">
        <v>149</v>
      </c>
      <c r="BO2376" s="11">
        <v>45951.574999999997</v>
      </c>
      <c r="BP2376" s="11">
        <v>45980.46502314815</v>
      </c>
      <c r="BQ2376" s="15">
        <v>45980.635625000003</v>
      </c>
      <c r="BR2376" s="15">
        <v>45981.316724537035</v>
      </c>
      <c r="BS2376" s="10" t="s">
        <v>149</v>
      </c>
      <c r="BT2376" s="10" t="s">
        <v>279</v>
      </c>
      <c r="BU2376" s="10" t="s">
        <v>280</v>
      </c>
      <c r="BV2376" s="10"/>
      <c r="BW2376" s="10"/>
      <c r="BX2376" s="10"/>
      <c r="BY2376" s="23"/>
      <c r="BZ2376" s="23"/>
      <c r="CA2376" s="19" t="s">
        <v>18085</v>
      </c>
      <c r="CB2376" s="19" t="s">
        <v>18086</v>
      </c>
      <c r="CC2376" s="23"/>
      <c r="CD2376" s="19" t="s">
        <v>18087</v>
      </c>
      <c r="CE2376" s="23"/>
      <c r="CF2376" s="23"/>
      <c r="CG2376" s="23"/>
      <c r="CH2376" s="23"/>
      <c r="CI2376" s="23"/>
    </row>
    <row r="2377" spans="1:87" x14ac:dyDescent="0.3">
      <c r="A2377" s="9" t="s">
        <v>18088</v>
      </c>
      <c r="B2377" s="10" t="s">
        <v>18089</v>
      </c>
      <c r="C2377" s="11">
        <v>45951.575694444444</v>
      </c>
      <c r="D2377" s="12">
        <v>8.3333333333333329E-2</v>
      </c>
      <c r="E2377" s="11">
        <v>45951.65902777778</v>
      </c>
      <c r="F2377" s="10" t="s">
        <v>14786</v>
      </c>
      <c r="G2377" s="13" t="b">
        <v>0</v>
      </c>
      <c r="H2377" s="22"/>
      <c r="I2377" s="10"/>
      <c r="J2377" s="13" t="b">
        <v>0</v>
      </c>
      <c r="K2377" s="13" t="b">
        <v>1</v>
      </c>
      <c r="L2377" s="10" t="s">
        <v>124</v>
      </c>
      <c r="M2377" s="10" t="s">
        <v>91</v>
      </c>
      <c r="N2377" s="10" t="s">
        <v>92</v>
      </c>
      <c r="O2377" s="10"/>
      <c r="P2377" s="10"/>
      <c r="Q2377" s="10" t="s">
        <v>126</v>
      </c>
      <c r="R2377" s="10"/>
      <c r="S2377" s="10"/>
      <c r="T2377" s="10"/>
      <c r="U2377" s="10" t="s">
        <v>14838</v>
      </c>
      <c r="V2377" s="10" t="s">
        <v>14848</v>
      </c>
      <c r="W2377" s="10" t="s">
        <v>14793</v>
      </c>
      <c r="X2377" s="10" t="s">
        <v>130</v>
      </c>
      <c r="Y2377" s="10" t="s">
        <v>130</v>
      </c>
      <c r="Z2377" s="10" t="s">
        <v>99</v>
      </c>
      <c r="AA2377" s="10" t="s">
        <v>131</v>
      </c>
      <c r="AB2377" s="10" t="s">
        <v>14794</v>
      </c>
      <c r="AC2377" s="10" t="s">
        <v>3521</v>
      </c>
      <c r="AD2377" s="10" t="s">
        <v>18090</v>
      </c>
      <c r="AE2377" s="10" t="s">
        <v>18091</v>
      </c>
      <c r="AF2377" s="15"/>
      <c r="AG2377" s="10"/>
      <c r="AH2377" s="10"/>
      <c r="AI2377" s="10"/>
      <c r="AJ2377" s="10"/>
      <c r="AK2377" s="10" t="s">
        <v>256</v>
      </c>
      <c r="AL2377" s="10" t="s">
        <v>1467</v>
      </c>
      <c r="AM2377" s="10"/>
      <c r="AN2377" s="10"/>
      <c r="AO2377" s="13" t="b">
        <v>0</v>
      </c>
      <c r="AP2377" s="22" t="s">
        <v>104</v>
      </c>
      <c r="AQ2377" s="10"/>
      <c r="AR2377" s="17"/>
      <c r="AS2377" s="17"/>
      <c r="AT2377" s="17"/>
      <c r="AU2377" s="17"/>
      <c r="AV2377" s="17"/>
      <c r="AW2377" s="10"/>
      <c r="AX2377" s="17"/>
      <c r="AY2377" s="18" t="s">
        <v>257</v>
      </c>
      <c r="AZ2377" s="10"/>
      <c r="BA2377" s="20" t="b">
        <v>0</v>
      </c>
      <c r="BB2377" s="10"/>
      <c r="BC2377" s="17" t="s">
        <v>257</v>
      </c>
      <c r="BD2377" s="17" t="s">
        <v>257</v>
      </c>
      <c r="BE2377" s="17" t="s">
        <v>257</v>
      </c>
      <c r="BF2377" s="17" t="s">
        <v>257</v>
      </c>
      <c r="BG2377" s="11">
        <f ca="1">IFERROR(__xludf.DUMMYFUNCTION("""COMPUTED_VALUE"""),45951.5756944444)</f>
        <v>45951.5756944444</v>
      </c>
      <c r="BH2377" s="17"/>
      <c r="BI2377" s="17"/>
      <c r="BJ2377" s="15"/>
      <c r="BK2377" s="15"/>
      <c r="BL2377" s="13" t="b">
        <v>0</v>
      </c>
      <c r="BM2377" s="10"/>
      <c r="BN2377" s="10" t="s">
        <v>241</v>
      </c>
      <c r="BO2377" s="11">
        <v>45951.574999999997</v>
      </c>
      <c r="BP2377" s="11">
        <v>45951.575694444444</v>
      </c>
      <c r="BQ2377" s="15"/>
      <c r="BR2377" s="15"/>
      <c r="BS2377" s="10"/>
      <c r="BT2377" s="10"/>
      <c r="BU2377" s="10"/>
      <c r="BV2377" s="10"/>
      <c r="BW2377" s="10"/>
      <c r="BX2377" s="10"/>
      <c r="BY2377" s="23"/>
      <c r="BZ2377" s="23"/>
      <c r="CA2377" s="23"/>
      <c r="CB2377" s="23"/>
      <c r="CC2377" s="23"/>
      <c r="CD2377" s="23"/>
      <c r="CE2377" s="23"/>
      <c r="CF2377" s="23"/>
      <c r="CG2377" s="23"/>
      <c r="CH2377" s="23"/>
      <c r="CI2377" s="23"/>
    </row>
    <row r="2378" spans="1:87" x14ac:dyDescent="0.3">
      <c r="A2378" s="9" t="s">
        <v>18092</v>
      </c>
      <c r="B2378" s="10" t="s">
        <v>18093</v>
      </c>
      <c r="C2378" s="11">
        <v>45951.575694444444</v>
      </c>
      <c r="D2378" s="12">
        <v>8.3333333333333329E-2</v>
      </c>
      <c r="E2378" s="11">
        <v>45951.65902777778</v>
      </c>
      <c r="F2378" s="10" t="s">
        <v>14786</v>
      </c>
      <c r="G2378" s="13" t="b">
        <v>0</v>
      </c>
      <c r="H2378" s="22"/>
      <c r="I2378" s="10"/>
      <c r="J2378" s="13" t="b">
        <v>0</v>
      </c>
      <c r="K2378" s="13" t="b">
        <v>1</v>
      </c>
      <c r="L2378" s="10" t="s">
        <v>124</v>
      </c>
      <c r="M2378" s="10" t="s">
        <v>91</v>
      </c>
      <c r="N2378" s="10" t="s">
        <v>92</v>
      </c>
      <c r="O2378" s="10"/>
      <c r="P2378" s="10"/>
      <c r="Q2378" s="10" t="s">
        <v>126</v>
      </c>
      <c r="R2378" s="10"/>
      <c r="S2378" s="10"/>
      <c r="T2378" s="10"/>
      <c r="U2378" s="10" t="s">
        <v>14827</v>
      </c>
      <c r="V2378" s="10" t="s">
        <v>14837</v>
      </c>
      <c r="W2378" s="10" t="s">
        <v>14793</v>
      </c>
      <c r="X2378" s="10" t="s">
        <v>130</v>
      </c>
      <c r="Y2378" s="10" t="s">
        <v>130</v>
      </c>
      <c r="Z2378" s="10" t="s">
        <v>99</v>
      </c>
      <c r="AA2378" s="10" t="s">
        <v>131</v>
      </c>
      <c r="AB2378" s="10" t="s">
        <v>14794</v>
      </c>
      <c r="AC2378" s="10" t="s">
        <v>3521</v>
      </c>
      <c r="AD2378" s="10" t="s">
        <v>18094</v>
      </c>
      <c r="AE2378" s="10" t="s">
        <v>18095</v>
      </c>
      <c r="AF2378" s="15"/>
      <c r="AG2378" s="10"/>
      <c r="AH2378" s="10"/>
      <c r="AI2378" s="10"/>
      <c r="AJ2378" s="10"/>
      <c r="AK2378" s="10" t="s">
        <v>256</v>
      </c>
      <c r="AL2378" s="10" t="s">
        <v>1467</v>
      </c>
      <c r="AM2378" s="10"/>
      <c r="AN2378" s="10"/>
      <c r="AO2378" s="13" t="b">
        <v>0</v>
      </c>
      <c r="AP2378" s="22" t="s">
        <v>104</v>
      </c>
      <c r="AQ2378" s="10"/>
      <c r="AR2378" s="17"/>
      <c r="AS2378" s="17"/>
      <c r="AT2378" s="17"/>
      <c r="AU2378" s="17"/>
      <c r="AV2378" s="17"/>
      <c r="AW2378" s="10"/>
      <c r="AX2378" s="17"/>
      <c r="AY2378" s="18" t="s">
        <v>257</v>
      </c>
      <c r="AZ2378" s="10"/>
      <c r="BA2378" s="20" t="b">
        <v>0</v>
      </c>
      <c r="BB2378" s="10"/>
      <c r="BC2378" s="17" t="s">
        <v>257</v>
      </c>
      <c r="BD2378" s="17" t="s">
        <v>257</v>
      </c>
      <c r="BE2378" s="17" t="s">
        <v>257</v>
      </c>
      <c r="BF2378" s="17" t="s">
        <v>257</v>
      </c>
      <c r="BG2378" s="11">
        <f ca="1">IFERROR(__xludf.DUMMYFUNCTION("""COMPUTED_VALUE"""),45951.5756944444)</f>
        <v>45951.5756944444</v>
      </c>
      <c r="BH2378" s="17"/>
      <c r="BI2378" s="17"/>
      <c r="BJ2378" s="15"/>
      <c r="BK2378" s="15"/>
      <c r="BL2378" s="13" t="b">
        <v>0</v>
      </c>
      <c r="BM2378" s="10"/>
      <c r="BN2378" s="10" t="s">
        <v>10672</v>
      </c>
      <c r="BO2378" s="11">
        <v>45951.575694444444</v>
      </c>
      <c r="BP2378" s="11">
        <v>45951.576053240744</v>
      </c>
      <c r="BQ2378" s="15"/>
      <c r="BR2378" s="15"/>
      <c r="BS2378" s="10"/>
      <c r="BT2378" s="10"/>
      <c r="BU2378" s="10"/>
      <c r="BV2378" s="10"/>
      <c r="BW2378" s="10"/>
      <c r="BX2378" s="10"/>
      <c r="BY2378" s="23"/>
      <c r="BZ2378" s="23"/>
      <c r="CA2378" s="23"/>
      <c r="CB2378" s="23"/>
      <c r="CC2378" s="23"/>
      <c r="CD2378" s="23"/>
      <c r="CE2378" s="23"/>
      <c r="CF2378" s="23"/>
      <c r="CG2378" s="23"/>
      <c r="CH2378" s="23"/>
      <c r="CI2378" s="23"/>
    </row>
    <row r="2379" spans="1:87" x14ac:dyDescent="0.3">
      <c r="A2379" s="9" t="s">
        <v>18096</v>
      </c>
      <c r="B2379" s="10" t="s">
        <v>18093</v>
      </c>
      <c r="C2379" s="11">
        <v>45984.645833333336</v>
      </c>
      <c r="D2379" s="12">
        <v>8.3333333333333329E-2</v>
      </c>
      <c r="E2379" s="11">
        <v>45984.729166666664</v>
      </c>
      <c r="F2379" s="10" t="s">
        <v>14786</v>
      </c>
      <c r="G2379" s="13" t="b">
        <v>0</v>
      </c>
      <c r="H2379" s="22" t="s">
        <v>14787</v>
      </c>
      <c r="I2379" s="10" t="s">
        <v>3548</v>
      </c>
      <c r="J2379" s="13" t="b">
        <v>0</v>
      </c>
      <c r="K2379" s="13" t="b">
        <v>1</v>
      </c>
      <c r="L2379" s="10" t="s">
        <v>124</v>
      </c>
      <c r="M2379" s="10" t="s">
        <v>91</v>
      </c>
      <c r="N2379" s="10" t="s">
        <v>92</v>
      </c>
      <c r="O2379" s="19" t="s">
        <v>18097</v>
      </c>
      <c r="P2379" s="10"/>
      <c r="Q2379" s="10" t="s">
        <v>126</v>
      </c>
      <c r="R2379" s="10"/>
      <c r="S2379" s="19" t="s">
        <v>18098</v>
      </c>
      <c r="T2379" s="19" t="s">
        <v>18073</v>
      </c>
      <c r="U2379" s="10" t="s">
        <v>14827</v>
      </c>
      <c r="V2379" s="10" t="s">
        <v>14837</v>
      </c>
      <c r="W2379" s="10" t="s">
        <v>14793</v>
      </c>
      <c r="X2379" s="10" t="s">
        <v>130</v>
      </c>
      <c r="Y2379" s="10" t="s">
        <v>130</v>
      </c>
      <c r="Z2379" s="10" t="s">
        <v>99</v>
      </c>
      <c r="AA2379" s="10" t="s">
        <v>131</v>
      </c>
      <c r="AB2379" s="10" t="s">
        <v>14794</v>
      </c>
      <c r="AC2379" s="10" t="s">
        <v>3521</v>
      </c>
      <c r="AD2379" s="10" t="s">
        <v>18094</v>
      </c>
      <c r="AE2379" s="10" t="s">
        <v>18095</v>
      </c>
      <c r="AF2379" s="15"/>
      <c r="AG2379" s="10"/>
      <c r="AH2379" s="10"/>
      <c r="AI2379" s="10"/>
      <c r="AJ2379" s="10"/>
      <c r="AK2379" s="10" t="s">
        <v>102</v>
      </c>
      <c r="AL2379" s="10" t="s">
        <v>1467</v>
      </c>
      <c r="AM2379" s="10"/>
      <c r="AN2379" s="10"/>
      <c r="AO2379" s="13" t="b">
        <v>0</v>
      </c>
      <c r="AP2379" s="22" t="s">
        <v>104</v>
      </c>
      <c r="AQ2379" s="10">
        <f ca="1">IFERROR(__xludf.DUMMYFUNCTION("""COMPUTED_VALUE"""),4725620)</f>
        <v>4725620</v>
      </c>
      <c r="AR2379" s="17">
        <v>39713</v>
      </c>
      <c r="AS2379" s="17">
        <v>25793</v>
      </c>
      <c r="AT2379" s="17">
        <v>456772.5</v>
      </c>
      <c r="AU2379" s="17">
        <v>194.75</v>
      </c>
      <c r="AV2379" s="17">
        <v>29.75</v>
      </c>
      <c r="AW2379" s="10" t="s">
        <v>105</v>
      </c>
      <c r="AX2379" s="17">
        <v>10004</v>
      </c>
      <c r="AY2379" s="18">
        <v>17.709165277400846</v>
      </c>
      <c r="AZ2379" s="10" t="s">
        <v>106</v>
      </c>
      <c r="BA2379" s="20" t="b">
        <v>0</v>
      </c>
      <c r="BB2379" s="10"/>
      <c r="BC2379" s="17">
        <v>39713</v>
      </c>
      <c r="BD2379" s="17">
        <v>25793</v>
      </c>
      <c r="BE2379" s="17">
        <v>456772.5</v>
      </c>
      <c r="BF2379" s="17">
        <v>29.75</v>
      </c>
      <c r="BG2379" s="11">
        <f ca="1">IFERROR(__xludf.DUMMYFUNCTION("""COMPUTED_VALUE"""),45984.6458333333)</f>
        <v>45984.645833333299</v>
      </c>
      <c r="BH2379" s="17" t="s">
        <v>105</v>
      </c>
      <c r="BI2379" s="17"/>
      <c r="BJ2379" s="15"/>
      <c r="BK2379" s="15"/>
      <c r="BL2379" s="13" t="b">
        <v>0</v>
      </c>
      <c r="BM2379" s="10"/>
      <c r="BN2379" s="10" t="s">
        <v>149</v>
      </c>
      <c r="BO2379" s="11">
        <v>45951.57916666667</v>
      </c>
      <c r="BP2379" s="11">
        <v>45958.620150462964</v>
      </c>
      <c r="BQ2379" s="15">
        <v>45980.636365740742</v>
      </c>
      <c r="BR2379" s="15">
        <v>45981.453738425924</v>
      </c>
      <c r="BS2379" s="10" t="s">
        <v>149</v>
      </c>
      <c r="BT2379" s="10" t="s">
        <v>99</v>
      </c>
      <c r="BU2379" s="10" t="s">
        <v>816</v>
      </c>
      <c r="BV2379" s="10"/>
      <c r="BW2379" s="10"/>
      <c r="BX2379" s="10"/>
      <c r="BY2379" s="23"/>
      <c r="BZ2379" s="23"/>
      <c r="CA2379" s="19" t="s">
        <v>18099</v>
      </c>
      <c r="CB2379" s="19" t="s">
        <v>18100</v>
      </c>
      <c r="CC2379" s="23"/>
      <c r="CD2379" s="19" t="s">
        <v>18101</v>
      </c>
      <c r="CE2379" s="23"/>
      <c r="CF2379" s="23"/>
      <c r="CG2379" s="23"/>
      <c r="CH2379" s="23"/>
      <c r="CI2379" s="23"/>
    </row>
    <row r="2380" spans="1:87" x14ac:dyDescent="0.3">
      <c r="A2380" s="9" t="s">
        <v>18102</v>
      </c>
      <c r="B2380" s="10" t="s">
        <v>18103</v>
      </c>
      <c r="C2380" s="11">
        <v>45984.791666666664</v>
      </c>
      <c r="D2380" s="12">
        <v>8.3333333333333329E-2</v>
      </c>
      <c r="E2380" s="11">
        <v>45984.875</v>
      </c>
      <c r="F2380" s="10" t="s">
        <v>14786</v>
      </c>
      <c r="G2380" s="13" t="b">
        <v>0</v>
      </c>
      <c r="H2380" s="22" t="s">
        <v>14787</v>
      </c>
      <c r="I2380" s="10" t="s">
        <v>3548</v>
      </c>
      <c r="J2380" s="13" t="b">
        <v>0</v>
      </c>
      <c r="K2380" s="13" t="b">
        <v>1</v>
      </c>
      <c r="L2380" s="10" t="s">
        <v>124</v>
      </c>
      <c r="M2380" s="10" t="s">
        <v>91</v>
      </c>
      <c r="N2380" s="10" t="s">
        <v>92</v>
      </c>
      <c r="O2380" s="19" t="s">
        <v>18104</v>
      </c>
      <c r="P2380" s="10"/>
      <c r="Q2380" s="10" t="s">
        <v>126</v>
      </c>
      <c r="R2380" s="10"/>
      <c r="S2380" s="19" t="s">
        <v>18105</v>
      </c>
      <c r="T2380" s="19" t="s">
        <v>18073</v>
      </c>
      <c r="U2380" s="10" t="s">
        <v>14849</v>
      </c>
      <c r="V2380" s="10" t="s">
        <v>14826</v>
      </c>
      <c r="W2380" s="10" t="s">
        <v>14793</v>
      </c>
      <c r="X2380" s="10" t="s">
        <v>130</v>
      </c>
      <c r="Y2380" s="10" t="s">
        <v>130</v>
      </c>
      <c r="Z2380" s="10" t="s">
        <v>99</v>
      </c>
      <c r="AA2380" s="10" t="s">
        <v>131</v>
      </c>
      <c r="AB2380" s="10" t="s">
        <v>14794</v>
      </c>
      <c r="AC2380" s="10" t="s">
        <v>3521</v>
      </c>
      <c r="AD2380" s="10" t="s">
        <v>18106</v>
      </c>
      <c r="AE2380" s="10" t="s">
        <v>18107</v>
      </c>
      <c r="AF2380" s="15"/>
      <c r="AG2380" s="10"/>
      <c r="AH2380" s="10"/>
      <c r="AI2380" s="10"/>
      <c r="AJ2380" s="10"/>
      <c r="AK2380" s="10" t="s">
        <v>102</v>
      </c>
      <c r="AL2380" s="10" t="s">
        <v>1467</v>
      </c>
      <c r="AM2380" s="10"/>
      <c r="AN2380" s="10"/>
      <c r="AO2380" s="13" t="b">
        <v>0</v>
      </c>
      <c r="AP2380" s="22" t="s">
        <v>104</v>
      </c>
      <c r="AQ2380" s="10">
        <f ca="1">IFERROR(__xludf.DUMMYFUNCTION("""COMPUTED_VALUE"""),4725621)</f>
        <v>4725621</v>
      </c>
      <c r="AR2380" s="17">
        <v>45472</v>
      </c>
      <c r="AS2380" s="17">
        <v>30177</v>
      </c>
      <c r="AT2380" s="17">
        <v>426805.25</v>
      </c>
      <c r="AU2380" s="17">
        <v>202.5</v>
      </c>
      <c r="AV2380" s="17">
        <v>46.75</v>
      </c>
      <c r="AW2380" s="10" t="s">
        <v>105</v>
      </c>
      <c r="AX2380" s="17">
        <v>9611</v>
      </c>
      <c r="AY2380" s="18">
        <v>14.143395632435299</v>
      </c>
      <c r="AZ2380" s="10" t="s">
        <v>106</v>
      </c>
      <c r="BA2380" s="20" t="b">
        <v>0</v>
      </c>
      <c r="BB2380" s="10"/>
      <c r="BC2380" s="17">
        <v>45472</v>
      </c>
      <c r="BD2380" s="17">
        <v>30177</v>
      </c>
      <c r="BE2380" s="17">
        <v>426805.25</v>
      </c>
      <c r="BF2380" s="17">
        <v>46.75</v>
      </c>
      <c r="BG2380" s="11">
        <f ca="1">IFERROR(__xludf.DUMMYFUNCTION("""COMPUTED_VALUE"""),45984.7916666666)</f>
        <v>45984.791666666599</v>
      </c>
      <c r="BH2380" s="17" t="s">
        <v>105</v>
      </c>
      <c r="BI2380" s="17"/>
      <c r="BJ2380" s="15"/>
      <c r="BK2380" s="15"/>
      <c r="BL2380" s="13" t="b">
        <v>0</v>
      </c>
      <c r="BM2380" s="10"/>
      <c r="BN2380" s="10" t="s">
        <v>149</v>
      </c>
      <c r="BO2380" s="11">
        <v>45951.579861111109</v>
      </c>
      <c r="BP2380" s="11">
        <v>45958.620335648149</v>
      </c>
      <c r="BQ2380" s="15">
        <v>45980.636562500003</v>
      </c>
      <c r="BR2380" s="15">
        <v>45981.453935185185</v>
      </c>
      <c r="BS2380" s="10" t="s">
        <v>149</v>
      </c>
      <c r="BT2380" s="10" t="s">
        <v>99</v>
      </c>
      <c r="BU2380" s="10" t="s">
        <v>816</v>
      </c>
      <c r="BV2380" s="10"/>
      <c r="BW2380" s="10"/>
      <c r="BX2380" s="10"/>
      <c r="BY2380" s="23"/>
      <c r="BZ2380" s="23"/>
      <c r="CA2380" s="19" t="s">
        <v>18108</v>
      </c>
      <c r="CB2380" s="19" t="s">
        <v>18109</v>
      </c>
      <c r="CC2380" s="23"/>
      <c r="CD2380" s="19" t="s">
        <v>18110</v>
      </c>
      <c r="CE2380" s="23"/>
      <c r="CF2380" s="23"/>
      <c r="CG2380" s="23"/>
      <c r="CH2380" s="23"/>
      <c r="CI2380" s="23"/>
    </row>
    <row r="2381" spans="1:87" x14ac:dyDescent="0.3">
      <c r="A2381" s="9" t="s">
        <v>18111</v>
      </c>
      <c r="B2381" s="10" t="s">
        <v>18112</v>
      </c>
      <c r="C2381" s="11">
        <v>45985.645833333336</v>
      </c>
      <c r="D2381" s="12">
        <v>8.3333333333333329E-2</v>
      </c>
      <c r="E2381" s="11">
        <v>45985.729166666664</v>
      </c>
      <c r="F2381" s="10" t="s">
        <v>14786</v>
      </c>
      <c r="G2381" s="13" t="b">
        <v>0</v>
      </c>
      <c r="H2381" s="22" t="s">
        <v>14787</v>
      </c>
      <c r="I2381" s="10" t="s">
        <v>212</v>
      </c>
      <c r="J2381" s="13" t="b">
        <v>1</v>
      </c>
      <c r="K2381" s="13" t="b">
        <v>0</v>
      </c>
      <c r="L2381" s="10" t="s">
        <v>124</v>
      </c>
      <c r="M2381" s="10" t="s">
        <v>91</v>
      </c>
      <c r="N2381" s="10" t="s">
        <v>92</v>
      </c>
      <c r="O2381" s="19" t="s">
        <v>18113</v>
      </c>
      <c r="P2381" s="10"/>
      <c r="Q2381" s="10" t="s">
        <v>126</v>
      </c>
      <c r="R2381" s="10"/>
      <c r="S2381" s="19" t="s">
        <v>18114</v>
      </c>
      <c r="T2381" s="19" t="s">
        <v>18073</v>
      </c>
      <c r="U2381" s="10" t="s">
        <v>14792</v>
      </c>
      <c r="V2381" s="10" t="s">
        <v>14816</v>
      </c>
      <c r="W2381" s="10" t="s">
        <v>14793</v>
      </c>
      <c r="X2381" s="10" t="s">
        <v>130</v>
      </c>
      <c r="Y2381" s="10" t="s">
        <v>130</v>
      </c>
      <c r="Z2381" s="10" t="s">
        <v>99</v>
      </c>
      <c r="AA2381" s="10" t="s">
        <v>131</v>
      </c>
      <c r="AB2381" s="10" t="s">
        <v>14794</v>
      </c>
      <c r="AC2381" s="10" t="s">
        <v>3521</v>
      </c>
      <c r="AD2381" s="10" t="s">
        <v>18115</v>
      </c>
      <c r="AE2381" s="10" t="s">
        <v>18116</v>
      </c>
      <c r="AF2381" s="15"/>
      <c r="AG2381" s="10"/>
      <c r="AH2381" s="10"/>
      <c r="AI2381" s="10"/>
      <c r="AJ2381" s="10"/>
      <c r="AK2381" s="10" t="s">
        <v>102</v>
      </c>
      <c r="AL2381" s="10" t="s">
        <v>1467</v>
      </c>
      <c r="AM2381" s="10"/>
      <c r="AN2381" s="10"/>
      <c r="AO2381" s="13" t="b">
        <v>0</v>
      </c>
      <c r="AP2381" s="22" t="s">
        <v>104</v>
      </c>
      <c r="AQ2381" s="10">
        <f ca="1">IFERROR(__xludf.DUMMYFUNCTION("""COMPUTED_VALUE"""),4727624)</f>
        <v>4727624</v>
      </c>
      <c r="AR2381" s="17">
        <v>42442</v>
      </c>
      <c r="AS2381" s="17">
        <v>22798</v>
      </c>
      <c r="AT2381" s="17">
        <v>586604.25</v>
      </c>
      <c r="AU2381" s="17">
        <v>58.7</v>
      </c>
      <c r="AV2381" s="17">
        <v>8.0500000000000007</v>
      </c>
      <c r="AW2381" s="10" t="s">
        <v>105</v>
      </c>
      <c r="AX2381" s="17">
        <v>9276</v>
      </c>
      <c r="AY2381" s="18">
        <v>25.730513641547503</v>
      </c>
      <c r="AZ2381" s="10" t="s">
        <v>106</v>
      </c>
      <c r="BA2381" s="20" t="b">
        <v>0</v>
      </c>
      <c r="BB2381" s="10"/>
      <c r="BC2381" s="17">
        <v>42442</v>
      </c>
      <c r="BD2381" s="17">
        <v>22798</v>
      </c>
      <c r="BE2381" s="17">
        <v>586604.25</v>
      </c>
      <c r="BF2381" s="17">
        <v>8.0500000000000007</v>
      </c>
      <c r="BG2381" s="11">
        <f ca="1">IFERROR(__xludf.DUMMYFUNCTION("""COMPUTED_VALUE"""),45985.6458333333)</f>
        <v>45985.645833333299</v>
      </c>
      <c r="BH2381" s="17" t="s">
        <v>105</v>
      </c>
      <c r="BI2381" s="17"/>
      <c r="BJ2381" s="15"/>
      <c r="BK2381" s="15"/>
      <c r="BL2381" s="13" t="b">
        <v>0</v>
      </c>
      <c r="BM2381" s="10"/>
      <c r="BN2381" s="10" t="s">
        <v>1057</v>
      </c>
      <c r="BO2381" s="11">
        <v>45951.579861111109</v>
      </c>
      <c r="BP2381" s="11">
        <v>45958.62090277778</v>
      </c>
      <c r="BQ2381" s="15">
        <v>45980.637523148151</v>
      </c>
      <c r="BR2381" s="15">
        <v>45982.629120370373</v>
      </c>
      <c r="BS2381" s="10"/>
      <c r="BT2381" s="10" t="s">
        <v>279</v>
      </c>
      <c r="BU2381" s="10" t="s">
        <v>298</v>
      </c>
      <c r="BV2381" s="10"/>
      <c r="BW2381" s="10"/>
      <c r="BX2381" s="10"/>
      <c r="BY2381" s="23"/>
      <c r="BZ2381" s="23"/>
      <c r="CA2381" s="19" t="s">
        <v>18117</v>
      </c>
      <c r="CB2381" s="19" t="s">
        <v>18118</v>
      </c>
      <c r="CC2381" s="23"/>
      <c r="CD2381" s="19" t="s">
        <v>18119</v>
      </c>
      <c r="CE2381" s="23"/>
      <c r="CF2381" s="23"/>
      <c r="CG2381" s="23"/>
      <c r="CH2381" s="23"/>
      <c r="CI2381" s="23"/>
    </row>
    <row r="2382" spans="1:87" x14ac:dyDescent="0.3">
      <c r="A2382" s="9" t="s">
        <v>18120</v>
      </c>
      <c r="B2382" s="10" t="s">
        <v>18121</v>
      </c>
      <c r="C2382" s="11">
        <v>45985.645833333336</v>
      </c>
      <c r="D2382" s="12">
        <v>8.3333333333333329E-2</v>
      </c>
      <c r="E2382" s="11">
        <v>45985.729166666664</v>
      </c>
      <c r="F2382" s="10" t="s">
        <v>14786</v>
      </c>
      <c r="G2382" s="13" t="b">
        <v>0</v>
      </c>
      <c r="H2382" s="22" t="s">
        <v>14787</v>
      </c>
      <c r="I2382" s="10" t="s">
        <v>212</v>
      </c>
      <c r="J2382" s="13" t="b">
        <v>1</v>
      </c>
      <c r="K2382" s="13" t="b">
        <v>0</v>
      </c>
      <c r="L2382" s="10" t="s">
        <v>124</v>
      </c>
      <c r="M2382" s="10" t="s">
        <v>91</v>
      </c>
      <c r="N2382" s="10" t="s">
        <v>92</v>
      </c>
      <c r="O2382" s="19" t="s">
        <v>18122</v>
      </c>
      <c r="P2382" s="10"/>
      <c r="Q2382" s="10" t="s">
        <v>126</v>
      </c>
      <c r="R2382" s="10"/>
      <c r="S2382" s="19" t="s">
        <v>18123</v>
      </c>
      <c r="T2382" s="19" t="s">
        <v>18073</v>
      </c>
      <c r="U2382" s="10" t="s">
        <v>14881</v>
      </c>
      <c r="V2382" s="10" t="s">
        <v>14893</v>
      </c>
      <c r="W2382" s="10" t="s">
        <v>14793</v>
      </c>
      <c r="X2382" s="10" t="s">
        <v>130</v>
      </c>
      <c r="Y2382" s="10" t="s">
        <v>130</v>
      </c>
      <c r="Z2382" s="10" t="s">
        <v>99</v>
      </c>
      <c r="AA2382" s="10" t="s">
        <v>131</v>
      </c>
      <c r="AB2382" s="10" t="s">
        <v>14794</v>
      </c>
      <c r="AC2382" s="10" t="s">
        <v>3521</v>
      </c>
      <c r="AD2382" s="10" t="s">
        <v>18124</v>
      </c>
      <c r="AE2382" s="10" t="s">
        <v>18125</v>
      </c>
      <c r="AF2382" s="15"/>
      <c r="AG2382" s="10"/>
      <c r="AH2382" s="10"/>
      <c r="AI2382" s="10"/>
      <c r="AJ2382" s="10"/>
      <c r="AK2382" s="10" t="s">
        <v>102</v>
      </c>
      <c r="AL2382" s="10" t="s">
        <v>1467</v>
      </c>
      <c r="AM2382" s="10"/>
      <c r="AN2382" s="10"/>
      <c r="AO2382" s="13" t="b">
        <v>0</v>
      </c>
      <c r="AP2382" s="22" t="s">
        <v>104</v>
      </c>
      <c r="AQ2382" s="10">
        <f ca="1">IFERROR(__xludf.DUMMYFUNCTION("""COMPUTED_VALUE"""),4727622)</f>
        <v>4727622</v>
      </c>
      <c r="AR2382" s="17">
        <v>20792</v>
      </c>
      <c r="AS2382" s="17">
        <v>12831</v>
      </c>
      <c r="AT2382" s="17">
        <v>177277.5</v>
      </c>
      <c r="AU2382" s="17">
        <v>18</v>
      </c>
      <c r="AV2382" s="17">
        <v>0.4</v>
      </c>
      <c r="AW2382" s="10" t="s">
        <v>105</v>
      </c>
      <c r="AX2382" s="17">
        <v>3077</v>
      </c>
      <c r="AY2382" s="18">
        <v>13.816343231236848</v>
      </c>
      <c r="AZ2382" s="10" t="s">
        <v>106</v>
      </c>
      <c r="BA2382" s="20" t="b">
        <v>0</v>
      </c>
      <c r="BB2382" s="10"/>
      <c r="BC2382" s="17">
        <v>20792</v>
      </c>
      <c r="BD2382" s="17">
        <v>12831</v>
      </c>
      <c r="BE2382" s="17">
        <v>177277.5</v>
      </c>
      <c r="BF2382" s="17">
        <v>0.4</v>
      </c>
      <c r="BG2382" s="11">
        <f ca="1">IFERROR(__xludf.DUMMYFUNCTION("""COMPUTED_VALUE"""),45985.6458333333)</f>
        <v>45985.645833333299</v>
      </c>
      <c r="BH2382" s="17" t="s">
        <v>105</v>
      </c>
      <c r="BI2382" s="17"/>
      <c r="BJ2382" s="15"/>
      <c r="BK2382" s="15"/>
      <c r="BL2382" s="13" t="b">
        <v>0</v>
      </c>
      <c r="BM2382" s="10"/>
      <c r="BN2382" s="10" t="s">
        <v>1057</v>
      </c>
      <c r="BO2382" s="11">
        <v>45951.580555555556</v>
      </c>
      <c r="BP2382" s="11">
        <v>45958.620821759258</v>
      </c>
      <c r="BQ2382" s="15">
        <v>45980.637337962966</v>
      </c>
      <c r="BR2382" s="15">
        <v>45982.625196759262</v>
      </c>
      <c r="BS2382" s="10"/>
      <c r="BT2382" s="10" t="s">
        <v>279</v>
      </c>
      <c r="BU2382" s="10" t="s">
        <v>280</v>
      </c>
      <c r="BV2382" s="10"/>
      <c r="BW2382" s="10"/>
      <c r="BX2382" s="10"/>
      <c r="BY2382" s="23"/>
      <c r="BZ2382" s="23"/>
      <c r="CA2382" s="19" t="s">
        <v>18126</v>
      </c>
      <c r="CB2382" s="19" t="s">
        <v>18127</v>
      </c>
      <c r="CC2382" s="23"/>
      <c r="CD2382" s="19" t="s">
        <v>18128</v>
      </c>
      <c r="CE2382" s="23"/>
      <c r="CF2382" s="23"/>
      <c r="CG2382" s="23"/>
      <c r="CH2382" s="23"/>
      <c r="CI2382" s="23"/>
    </row>
    <row r="2383" spans="1:87" x14ac:dyDescent="0.3">
      <c r="A2383" s="9" t="s">
        <v>18129</v>
      </c>
      <c r="B2383" s="10" t="s">
        <v>18130</v>
      </c>
      <c r="C2383" s="11">
        <v>45985.645833333336</v>
      </c>
      <c r="D2383" s="12">
        <v>8.3333333333333329E-2</v>
      </c>
      <c r="E2383" s="11">
        <v>45985.729166666664</v>
      </c>
      <c r="F2383" s="10" t="s">
        <v>14786</v>
      </c>
      <c r="G2383" s="13" t="b">
        <v>0</v>
      </c>
      <c r="H2383" s="22" t="s">
        <v>14787</v>
      </c>
      <c r="I2383" s="10" t="s">
        <v>212</v>
      </c>
      <c r="J2383" s="13" t="b">
        <v>1</v>
      </c>
      <c r="K2383" s="13" t="b">
        <v>0</v>
      </c>
      <c r="L2383" s="10" t="s">
        <v>124</v>
      </c>
      <c r="M2383" s="10" t="s">
        <v>91</v>
      </c>
      <c r="N2383" s="10" t="s">
        <v>92</v>
      </c>
      <c r="O2383" s="19" t="s">
        <v>18131</v>
      </c>
      <c r="P2383" s="10"/>
      <c r="Q2383" s="10" t="s">
        <v>126</v>
      </c>
      <c r="R2383" s="10"/>
      <c r="S2383" s="19" t="s">
        <v>18132</v>
      </c>
      <c r="T2383" s="19" t="s">
        <v>18073</v>
      </c>
      <c r="U2383" s="10" t="s">
        <v>14882</v>
      </c>
      <c r="V2383" s="10" t="s">
        <v>14804</v>
      </c>
      <c r="W2383" s="10" t="s">
        <v>14793</v>
      </c>
      <c r="X2383" s="10" t="s">
        <v>130</v>
      </c>
      <c r="Y2383" s="10" t="s">
        <v>130</v>
      </c>
      <c r="Z2383" s="10" t="s">
        <v>99</v>
      </c>
      <c r="AA2383" s="10" t="s">
        <v>131</v>
      </c>
      <c r="AB2383" s="10" t="s">
        <v>14794</v>
      </c>
      <c r="AC2383" s="10" t="s">
        <v>3521</v>
      </c>
      <c r="AD2383" s="10" t="s">
        <v>18133</v>
      </c>
      <c r="AE2383" s="10" t="s">
        <v>18134</v>
      </c>
      <c r="AF2383" s="15"/>
      <c r="AG2383" s="10"/>
      <c r="AH2383" s="10"/>
      <c r="AI2383" s="10"/>
      <c r="AJ2383" s="10"/>
      <c r="AK2383" s="10" t="s">
        <v>102</v>
      </c>
      <c r="AL2383" s="10" t="s">
        <v>1467</v>
      </c>
      <c r="AM2383" s="10"/>
      <c r="AN2383" s="10"/>
      <c r="AO2383" s="13" t="b">
        <v>0</v>
      </c>
      <c r="AP2383" s="22" t="s">
        <v>104</v>
      </c>
      <c r="AQ2383" s="10">
        <f ca="1">IFERROR(__xludf.DUMMYFUNCTION("""COMPUTED_VALUE"""),4727757)</f>
        <v>4727757</v>
      </c>
      <c r="AR2383" s="17">
        <v>45184</v>
      </c>
      <c r="AS2383" s="17">
        <v>24368</v>
      </c>
      <c r="AT2383" s="17">
        <v>636340.25</v>
      </c>
      <c r="AU2383" s="17">
        <v>84.85</v>
      </c>
      <c r="AV2383" s="17">
        <v>11.3</v>
      </c>
      <c r="AW2383" s="10" t="s">
        <v>105</v>
      </c>
      <c r="AX2383" s="17">
        <v>8643</v>
      </c>
      <c r="AY2383" s="18">
        <v>26.11376600459619</v>
      </c>
      <c r="AZ2383" s="10" t="s">
        <v>106</v>
      </c>
      <c r="BA2383" s="20" t="b">
        <v>0</v>
      </c>
      <c r="BB2383" s="10"/>
      <c r="BC2383" s="17">
        <v>45184</v>
      </c>
      <c r="BD2383" s="17">
        <v>24368</v>
      </c>
      <c r="BE2383" s="17">
        <v>636340.25</v>
      </c>
      <c r="BF2383" s="17">
        <v>11.3</v>
      </c>
      <c r="BG2383" s="11">
        <f ca="1">IFERROR(__xludf.DUMMYFUNCTION("""COMPUTED_VALUE"""),45985.6458333333)</f>
        <v>45985.645833333299</v>
      </c>
      <c r="BH2383" s="17" t="s">
        <v>105</v>
      </c>
      <c r="BI2383" s="17"/>
      <c r="BJ2383" s="15"/>
      <c r="BK2383" s="15"/>
      <c r="BL2383" s="13" t="b">
        <v>0</v>
      </c>
      <c r="BM2383" s="10"/>
      <c r="BN2383" s="10" t="s">
        <v>241</v>
      </c>
      <c r="BO2383" s="11">
        <v>45951.581250000003</v>
      </c>
      <c r="BP2383" s="11">
        <v>45958.620671296296</v>
      </c>
      <c r="BQ2383" s="15">
        <v>45980.637708333335</v>
      </c>
      <c r="BR2383" s="15">
        <v>45982.652349537035</v>
      </c>
      <c r="BS2383" s="10"/>
      <c r="BT2383" s="10" t="s">
        <v>99</v>
      </c>
      <c r="BU2383" s="10" t="s">
        <v>421</v>
      </c>
      <c r="BV2383" s="10"/>
      <c r="BW2383" s="10"/>
      <c r="BX2383" s="10"/>
      <c r="BY2383" s="23"/>
      <c r="BZ2383" s="23"/>
      <c r="CA2383" s="19" t="s">
        <v>18135</v>
      </c>
      <c r="CB2383" s="19" t="s">
        <v>18136</v>
      </c>
      <c r="CC2383" s="23"/>
      <c r="CD2383" s="19" t="s">
        <v>18137</v>
      </c>
      <c r="CE2383" s="23"/>
      <c r="CF2383" s="23"/>
      <c r="CG2383" s="23"/>
      <c r="CH2383" s="23"/>
      <c r="CI2383" s="23"/>
    </row>
    <row r="2384" spans="1:87" x14ac:dyDescent="0.3">
      <c r="A2384" s="9" t="s">
        <v>18138</v>
      </c>
      <c r="B2384" s="10" t="s">
        <v>18139</v>
      </c>
      <c r="C2384" s="11">
        <v>45985.791666666664</v>
      </c>
      <c r="D2384" s="12">
        <v>8.3333333333333329E-2</v>
      </c>
      <c r="E2384" s="11">
        <v>45985.875</v>
      </c>
      <c r="F2384" s="10" t="s">
        <v>14786</v>
      </c>
      <c r="G2384" s="13" t="b">
        <v>0</v>
      </c>
      <c r="H2384" s="22" t="s">
        <v>14787</v>
      </c>
      <c r="I2384" s="10" t="s">
        <v>212</v>
      </c>
      <c r="J2384" s="13" t="b">
        <v>1</v>
      </c>
      <c r="K2384" s="13" t="b">
        <v>0</v>
      </c>
      <c r="L2384" s="10" t="s">
        <v>124</v>
      </c>
      <c r="M2384" s="10" t="s">
        <v>91</v>
      </c>
      <c r="N2384" s="10" t="s">
        <v>92</v>
      </c>
      <c r="O2384" s="19" t="s">
        <v>18140</v>
      </c>
      <c r="P2384" s="10"/>
      <c r="Q2384" s="10" t="s">
        <v>126</v>
      </c>
      <c r="R2384" s="10"/>
      <c r="S2384" s="19" t="s">
        <v>18141</v>
      </c>
      <c r="T2384" s="19" t="s">
        <v>18073</v>
      </c>
      <c r="U2384" s="10" t="s">
        <v>14791</v>
      </c>
      <c r="V2384" s="10" t="s">
        <v>14805</v>
      </c>
      <c r="W2384" s="10" t="s">
        <v>14793</v>
      </c>
      <c r="X2384" s="10" t="s">
        <v>130</v>
      </c>
      <c r="Y2384" s="10" t="s">
        <v>130</v>
      </c>
      <c r="Z2384" s="10" t="s">
        <v>99</v>
      </c>
      <c r="AA2384" s="10" t="s">
        <v>131</v>
      </c>
      <c r="AB2384" s="10" t="s">
        <v>14794</v>
      </c>
      <c r="AC2384" s="10" t="s">
        <v>3521</v>
      </c>
      <c r="AD2384" s="10" t="s">
        <v>18142</v>
      </c>
      <c r="AE2384" s="10" t="s">
        <v>18143</v>
      </c>
      <c r="AF2384" s="15"/>
      <c r="AG2384" s="10"/>
      <c r="AH2384" s="10"/>
      <c r="AI2384" s="10"/>
      <c r="AJ2384" s="10"/>
      <c r="AK2384" s="10" t="s">
        <v>102</v>
      </c>
      <c r="AL2384" s="10" t="s">
        <v>1467</v>
      </c>
      <c r="AM2384" s="10"/>
      <c r="AN2384" s="10"/>
      <c r="AO2384" s="13" t="b">
        <v>0</v>
      </c>
      <c r="AP2384" s="22" t="s">
        <v>104</v>
      </c>
      <c r="AQ2384" s="10">
        <f ca="1">IFERROR(__xludf.DUMMYFUNCTION("""COMPUTED_VALUE"""),4727623)</f>
        <v>4727623</v>
      </c>
      <c r="AR2384" s="17">
        <v>61680</v>
      </c>
      <c r="AS2384" s="17">
        <v>39598</v>
      </c>
      <c r="AT2384" s="17">
        <v>1106320.75</v>
      </c>
      <c r="AU2384" s="17">
        <v>146.55000000000001</v>
      </c>
      <c r="AV2384" s="17">
        <v>22.45</v>
      </c>
      <c r="AW2384" s="10" t="s">
        <v>105</v>
      </c>
      <c r="AX2384" s="17">
        <v>13910</v>
      </c>
      <c r="AY2384" s="18">
        <v>27.938803727460982</v>
      </c>
      <c r="AZ2384" s="10" t="s">
        <v>106</v>
      </c>
      <c r="BA2384" s="20" t="b">
        <v>0</v>
      </c>
      <c r="BB2384" s="10"/>
      <c r="BC2384" s="17">
        <v>61680</v>
      </c>
      <c r="BD2384" s="17">
        <v>39598</v>
      </c>
      <c r="BE2384" s="17">
        <v>1106320.75</v>
      </c>
      <c r="BF2384" s="17">
        <v>22.45</v>
      </c>
      <c r="BG2384" s="11">
        <f ca="1">IFERROR(__xludf.DUMMYFUNCTION("""COMPUTED_VALUE"""),45985.7916666666)</f>
        <v>45985.791666666599</v>
      </c>
      <c r="BH2384" s="17" t="s">
        <v>105</v>
      </c>
      <c r="BI2384" s="17"/>
      <c r="BJ2384" s="15"/>
      <c r="BK2384" s="15"/>
      <c r="BL2384" s="13" t="b">
        <v>0</v>
      </c>
      <c r="BM2384" s="10"/>
      <c r="BN2384" s="10" t="s">
        <v>1057</v>
      </c>
      <c r="BO2384" s="11">
        <v>45951.581944444442</v>
      </c>
      <c r="BP2384" s="11">
        <v>45958.621030092596</v>
      </c>
      <c r="BQ2384" s="15">
        <v>45980.637928240743</v>
      </c>
      <c r="BR2384" s="15">
        <v>45982.625405092593</v>
      </c>
      <c r="BS2384" s="10"/>
      <c r="BT2384" s="10" t="s">
        <v>279</v>
      </c>
      <c r="BU2384" s="10" t="s">
        <v>280</v>
      </c>
      <c r="BV2384" s="10"/>
      <c r="BW2384" s="10"/>
      <c r="BX2384" s="10"/>
      <c r="BY2384" s="23"/>
      <c r="BZ2384" s="23"/>
      <c r="CA2384" s="19" t="s">
        <v>18144</v>
      </c>
      <c r="CB2384" s="19" t="s">
        <v>18145</v>
      </c>
      <c r="CC2384" s="23"/>
      <c r="CD2384" s="19" t="s">
        <v>18146</v>
      </c>
      <c r="CE2384" s="23"/>
      <c r="CF2384" s="23"/>
      <c r="CG2384" s="23"/>
      <c r="CH2384" s="23"/>
      <c r="CI2384" s="23"/>
    </row>
    <row r="2385" spans="1:87" x14ac:dyDescent="0.3">
      <c r="A2385" s="9" t="s">
        <v>18147</v>
      </c>
      <c r="B2385" s="10" t="s">
        <v>18148</v>
      </c>
      <c r="C2385" s="11">
        <v>45985.854166666664</v>
      </c>
      <c r="D2385" s="12">
        <v>8.3333333333333329E-2</v>
      </c>
      <c r="E2385" s="11">
        <v>45985.9375</v>
      </c>
      <c r="F2385" s="10" t="s">
        <v>14786</v>
      </c>
      <c r="G2385" s="13" t="b">
        <v>0</v>
      </c>
      <c r="H2385" s="22" t="s">
        <v>14787</v>
      </c>
      <c r="I2385" s="10" t="s">
        <v>3548</v>
      </c>
      <c r="J2385" s="13" t="b">
        <v>0</v>
      </c>
      <c r="K2385" s="13" t="b">
        <v>1</v>
      </c>
      <c r="L2385" s="10" t="s">
        <v>124</v>
      </c>
      <c r="M2385" s="10" t="s">
        <v>91</v>
      </c>
      <c r="N2385" s="10" t="s">
        <v>92</v>
      </c>
      <c r="O2385" s="19" t="s">
        <v>18149</v>
      </c>
      <c r="P2385" s="10"/>
      <c r="Q2385" s="10" t="s">
        <v>126</v>
      </c>
      <c r="R2385" s="10"/>
      <c r="S2385" s="19" t="s">
        <v>18150</v>
      </c>
      <c r="T2385" s="19" t="s">
        <v>18073</v>
      </c>
      <c r="U2385" s="10" t="s">
        <v>14892</v>
      </c>
      <c r="V2385" s="10" t="s">
        <v>14815</v>
      </c>
      <c r="W2385" s="10" t="s">
        <v>14793</v>
      </c>
      <c r="X2385" s="10" t="s">
        <v>130</v>
      </c>
      <c r="Y2385" s="10" t="s">
        <v>130</v>
      </c>
      <c r="Z2385" s="10" t="s">
        <v>99</v>
      </c>
      <c r="AA2385" s="10" t="s">
        <v>131</v>
      </c>
      <c r="AB2385" s="10" t="s">
        <v>14794</v>
      </c>
      <c r="AC2385" s="10" t="s">
        <v>3521</v>
      </c>
      <c r="AD2385" s="10" t="s">
        <v>18151</v>
      </c>
      <c r="AE2385" s="10" t="s">
        <v>18152</v>
      </c>
      <c r="AF2385" s="15"/>
      <c r="AG2385" s="10"/>
      <c r="AH2385" s="10"/>
      <c r="AI2385" s="10"/>
      <c r="AJ2385" s="10"/>
      <c r="AK2385" s="10" t="s">
        <v>102</v>
      </c>
      <c r="AL2385" s="10" t="s">
        <v>1467</v>
      </c>
      <c r="AM2385" s="10"/>
      <c r="AN2385" s="10"/>
      <c r="AO2385" s="13" t="b">
        <v>0</v>
      </c>
      <c r="AP2385" s="22" t="s">
        <v>104</v>
      </c>
      <c r="AQ2385" s="10">
        <f ca="1">IFERROR(__xludf.DUMMYFUNCTION("""COMPUTED_VALUE"""),4727755)</f>
        <v>4727755</v>
      </c>
      <c r="AR2385" s="17">
        <v>46870</v>
      </c>
      <c r="AS2385" s="17">
        <v>30396</v>
      </c>
      <c r="AT2385" s="17">
        <v>787506.75</v>
      </c>
      <c r="AU2385" s="17">
        <v>335.25</v>
      </c>
      <c r="AV2385" s="17">
        <v>77.150000000000006</v>
      </c>
      <c r="AW2385" s="10" t="s">
        <v>105</v>
      </c>
      <c r="AX2385" s="17">
        <v>10382</v>
      </c>
      <c r="AY2385" s="18">
        <v>25.908236281089618</v>
      </c>
      <c r="AZ2385" s="10" t="s">
        <v>106</v>
      </c>
      <c r="BA2385" s="20" t="b">
        <v>0</v>
      </c>
      <c r="BB2385" s="10"/>
      <c r="BC2385" s="17">
        <v>46870</v>
      </c>
      <c r="BD2385" s="17">
        <v>30396</v>
      </c>
      <c r="BE2385" s="17">
        <v>787506.75</v>
      </c>
      <c r="BF2385" s="17">
        <v>77.150000000000006</v>
      </c>
      <c r="BG2385" s="11">
        <f ca="1">IFERROR(__xludf.DUMMYFUNCTION("""COMPUTED_VALUE"""),45985.8541666666)</f>
        <v>45985.854166666599</v>
      </c>
      <c r="BH2385" s="17" t="s">
        <v>105</v>
      </c>
      <c r="BI2385" s="17"/>
      <c r="BJ2385" s="15"/>
      <c r="BK2385" s="15"/>
      <c r="BL2385" s="13" t="b">
        <v>0</v>
      </c>
      <c r="BM2385" s="10"/>
      <c r="BN2385" s="10" t="s">
        <v>1149</v>
      </c>
      <c r="BO2385" s="11">
        <v>45951.582638888889</v>
      </c>
      <c r="BP2385" s="11">
        <v>45958.621296296296</v>
      </c>
      <c r="BQ2385" s="15">
        <v>45980.638113425928</v>
      </c>
      <c r="BR2385" s="15">
        <v>45982.652499999997</v>
      </c>
      <c r="BS2385" s="10" t="s">
        <v>1149</v>
      </c>
      <c r="BT2385" s="10" t="s">
        <v>279</v>
      </c>
      <c r="BU2385" s="10" t="s">
        <v>421</v>
      </c>
      <c r="BV2385" s="10"/>
      <c r="BW2385" s="10"/>
      <c r="BX2385" s="10"/>
      <c r="BY2385" s="23"/>
      <c r="BZ2385" s="23"/>
      <c r="CA2385" s="19" t="s">
        <v>18153</v>
      </c>
      <c r="CB2385" s="19" t="s">
        <v>18154</v>
      </c>
      <c r="CC2385" s="23"/>
      <c r="CD2385" s="19" t="s">
        <v>18155</v>
      </c>
      <c r="CE2385" s="23"/>
      <c r="CF2385" s="23"/>
      <c r="CG2385" s="23"/>
      <c r="CH2385" s="23"/>
      <c r="CI2385" s="23"/>
    </row>
    <row r="2386" spans="1:87" x14ac:dyDescent="0.3">
      <c r="A2386" s="9" t="s">
        <v>18156</v>
      </c>
      <c r="B2386" s="10" t="s">
        <v>18089</v>
      </c>
      <c r="C2386" s="11">
        <v>45983.791666666664</v>
      </c>
      <c r="D2386" s="12">
        <v>8.3333333333333329E-2</v>
      </c>
      <c r="E2386" s="11">
        <v>45983.875</v>
      </c>
      <c r="F2386" s="10" t="s">
        <v>14786</v>
      </c>
      <c r="G2386" s="13" t="b">
        <v>0</v>
      </c>
      <c r="H2386" s="22" t="s">
        <v>14787</v>
      </c>
      <c r="I2386" s="10" t="s">
        <v>3548</v>
      </c>
      <c r="J2386" s="13" t="b">
        <v>0</v>
      </c>
      <c r="K2386" s="13" t="b">
        <v>1</v>
      </c>
      <c r="L2386" s="10" t="s">
        <v>124</v>
      </c>
      <c r="M2386" s="10" t="s">
        <v>91</v>
      </c>
      <c r="N2386" s="10" t="s">
        <v>92</v>
      </c>
      <c r="O2386" s="19" t="s">
        <v>18157</v>
      </c>
      <c r="P2386" s="10"/>
      <c r="Q2386" s="10" t="s">
        <v>126</v>
      </c>
      <c r="R2386" s="10"/>
      <c r="S2386" s="19" t="s">
        <v>18158</v>
      </c>
      <c r="T2386" s="19" t="s">
        <v>18073</v>
      </c>
      <c r="U2386" s="10" t="s">
        <v>14838</v>
      </c>
      <c r="V2386" s="10" t="s">
        <v>14848</v>
      </c>
      <c r="W2386" s="10" t="s">
        <v>14793</v>
      </c>
      <c r="X2386" s="10" t="s">
        <v>130</v>
      </c>
      <c r="Y2386" s="10" t="s">
        <v>130</v>
      </c>
      <c r="Z2386" s="10" t="s">
        <v>99</v>
      </c>
      <c r="AA2386" s="10" t="s">
        <v>131</v>
      </c>
      <c r="AB2386" s="10" t="s">
        <v>14794</v>
      </c>
      <c r="AC2386" s="10" t="s">
        <v>3521</v>
      </c>
      <c r="AD2386" s="10" t="s">
        <v>18090</v>
      </c>
      <c r="AE2386" s="10" t="s">
        <v>18091</v>
      </c>
      <c r="AF2386" s="15"/>
      <c r="AG2386" s="10"/>
      <c r="AH2386" s="10"/>
      <c r="AI2386" s="10"/>
      <c r="AJ2386" s="10"/>
      <c r="AK2386" s="10" t="s">
        <v>102</v>
      </c>
      <c r="AL2386" s="10" t="s">
        <v>1467</v>
      </c>
      <c r="AM2386" s="10"/>
      <c r="AN2386" s="10"/>
      <c r="AO2386" s="13" t="b">
        <v>0</v>
      </c>
      <c r="AP2386" s="22" t="s">
        <v>104</v>
      </c>
      <c r="AQ2386" s="10">
        <f ca="1">IFERROR(__xludf.DUMMYFUNCTION("""COMPUTED_VALUE"""),4725605)</f>
        <v>4725605</v>
      </c>
      <c r="AR2386" s="17">
        <v>74210</v>
      </c>
      <c r="AS2386" s="17">
        <v>41431</v>
      </c>
      <c r="AT2386" s="17">
        <v>1136672.5</v>
      </c>
      <c r="AU2386" s="17">
        <v>843.2</v>
      </c>
      <c r="AV2386" s="17">
        <v>209.4</v>
      </c>
      <c r="AW2386" s="10" t="s">
        <v>105</v>
      </c>
      <c r="AX2386" s="17">
        <v>14521</v>
      </c>
      <c r="AY2386" s="18">
        <v>27.435314136757501</v>
      </c>
      <c r="AZ2386" s="10" t="s">
        <v>106</v>
      </c>
      <c r="BA2386" s="20" t="b">
        <v>0</v>
      </c>
      <c r="BB2386" s="10"/>
      <c r="BC2386" s="17">
        <v>74210</v>
      </c>
      <c r="BD2386" s="17">
        <v>41431</v>
      </c>
      <c r="BE2386" s="17">
        <v>1136672.5</v>
      </c>
      <c r="BF2386" s="17">
        <v>209.4</v>
      </c>
      <c r="BG2386" s="11">
        <f ca="1">IFERROR(__xludf.DUMMYFUNCTION("""COMPUTED_VALUE"""),45983.7916666666)</f>
        <v>45983.791666666599</v>
      </c>
      <c r="BH2386" s="17" t="s">
        <v>105</v>
      </c>
      <c r="BI2386" s="17"/>
      <c r="BJ2386" s="15"/>
      <c r="BK2386" s="15"/>
      <c r="BL2386" s="13" t="b">
        <v>0</v>
      </c>
      <c r="BM2386" s="10"/>
      <c r="BN2386" s="10" t="s">
        <v>149</v>
      </c>
      <c r="BO2386" s="11">
        <v>45951.586805555555</v>
      </c>
      <c r="BP2386" s="11">
        <v>45958.620034722226</v>
      </c>
      <c r="BQ2386" s="15">
        <v>45980.636099537034</v>
      </c>
      <c r="BR2386" s="15">
        <v>45981.317048611112</v>
      </c>
      <c r="BS2386" s="10" t="s">
        <v>149</v>
      </c>
      <c r="BT2386" s="10" t="s">
        <v>279</v>
      </c>
      <c r="BU2386" s="10" t="s">
        <v>421</v>
      </c>
      <c r="BV2386" s="10"/>
      <c r="BW2386" s="10"/>
      <c r="BX2386" s="10"/>
      <c r="BY2386" s="23"/>
      <c r="BZ2386" s="23"/>
      <c r="CA2386" s="19" t="s">
        <v>18159</v>
      </c>
      <c r="CB2386" s="19" t="s">
        <v>18160</v>
      </c>
      <c r="CC2386" s="23"/>
      <c r="CD2386" s="19" t="s">
        <v>18161</v>
      </c>
      <c r="CE2386" s="23"/>
      <c r="CF2386" s="23"/>
      <c r="CG2386" s="23"/>
      <c r="CH2386" s="23"/>
      <c r="CI2386" s="23"/>
    </row>
    <row r="2387" spans="1:87" x14ac:dyDescent="0.3">
      <c r="A2387" s="9" t="s">
        <v>18162</v>
      </c>
      <c r="B2387" s="10" t="s">
        <v>18163</v>
      </c>
      <c r="C2387" s="11">
        <v>45961.909722222219</v>
      </c>
      <c r="D2387" s="12">
        <v>8.3333333333333329E-2</v>
      </c>
      <c r="E2387" s="11">
        <v>45961.993055555555</v>
      </c>
      <c r="F2387" s="10" t="s">
        <v>9129</v>
      </c>
      <c r="G2387" s="13" t="b">
        <v>0</v>
      </c>
      <c r="H2387" s="22" t="s">
        <v>9146</v>
      </c>
      <c r="I2387" s="10" t="s">
        <v>9131</v>
      </c>
      <c r="J2387" s="13" t="b">
        <v>0</v>
      </c>
      <c r="K2387" s="13" t="b">
        <v>1</v>
      </c>
      <c r="L2387" s="10" t="s">
        <v>124</v>
      </c>
      <c r="M2387" s="10" t="s">
        <v>91</v>
      </c>
      <c r="N2387" s="10" t="s">
        <v>265</v>
      </c>
      <c r="O2387" s="19" t="s">
        <v>18164</v>
      </c>
      <c r="P2387" s="10"/>
      <c r="Q2387" s="10" t="s">
        <v>126</v>
      </c>
      <c r="R2387" s="10"/>
      <c r="S2387" s="19" t="s">
        <v>18165</v>
      </c>
      <c r="T2387" s="10"/>
      <c r="U2387" s="10" t="s">
        <v>9149</v>
      </c>
      <c r="V2387" s="10" t="s">
        <v>18166</v>
      </c>
      <c r="W2387" s="10" t="s">
        <v>9136</v>
      </c>
      <c r="X2387" s="10" t="s">
        <v>130</v>
      </c>
      <c r="Y2387" s="10" t="s">
        <v>130</v>
      </c>
      <c r="Z2387" s="10" t="s">
        <v>99</v>
      </c>
      <c r="AA2387" s="10" t="s">
        <v>131</v>
      </c>
      <c r="AB2387" s="10" t="s">
        <v>9137</v>
      </c>
      <c r="AC2387" s="10" t="s">
        <v>9138</v>
      </c>
      <c r="AD2387" s="10" t="s">
        <v>18167</v>
      </c>
      <c r="AE2387" s="10" t="s">
        <v>18168</v>
      </c>
      <c r="AF2387" s="15"/>
      <c r="AG2387" s="10"/>
      <c r="AH2387" s="10"/>
      <c r="AI2387" s="10"/>
      <c r="AJ2387" s="10"/>
      <c r="AK2387" s="10" t="s">
        <v>102</v>
      </c>
      <c r="AL2387" s="10" t="s">
        <v>184</v>
      </c>
      <c r="AM2387" s="10"/>
      <c r="AN2387" s="10"/>
      <c r="AO2387" s="13" t="b">
        <v>0</v>
      </c>
      <c r="AP2387" s="22" t="s">
        <v>104</v>
      </c>
      <c r="AQ2387" s="10">
        <f ca="1">IFERROR(__xludf.DUMMYFUNCTION("""COMPUTED_VALUE"""),4674576)</f>
        <v>4674576</v>
      </c>
      <c r="AR2387" s="17">
        <v>11979</v>
      </c>
      <c r="AS2387" s="17">
        <v>10109</v>
      </c>
      <c r="AT2387" s="17">
        <v>125918.75</v>
      </c>
      <c r="AU2387" s="17">
        <v>62.4</v>
      </c>
      <c r="AV2387" s="17">
        <v>5.65</v>
      </c>
      <c r="AW2387" s="10" t="s">
        <v>105</v>
      </c>
      <c r="AX2387" s="17">
        <v>1721</v>
      </c>
      <c r="AY2387" s="18">
        <v>12.456103472153526</v>
      </c>
      <c r="AZ2387" s="10"/>
      <c r="BA2387" s="20" t="b">
        <v>0</v>
      </c>
      <c r="BB2387" s="10"/>
      <c r="BC2387" s="17">
        <v>11979</v>
      </c>
      <c r="BD2387" s="17">
        <v>10109</v>
      </c>
      <c r="BE2387" s="17">
        <v>125918.75</v>
      </c>
      <c r="BF2387" s="17">
        <v>5.65</v>
      </c>
      <c r="BG2387" s="11">
        <f ca="1">IFERROR(__xludf.DUMMYFUNCTION("""COMPUTED_VALUE"""),45961.9097222222)</f>
        <v>45961.909722222197</v>
      </c>
      <c r="BH2387" s="17" t="s">
        <v>105</v>
      </c>
      <c r="BI2387" s="17"/>
      <c r="BJ2387" s="15"/>
      <c r="BK2387" s="15"/>
      <c r="BL2387" s="13" t="b">
        <v>0</v>
      </c>
      <c r="BM2387" s="10"/>
      <c r="BN2387" s="10" t="s">
        <v>197</v>
      </c>
      <c r="BO2387" s="11">
        <v>45952.56527777778</v>
      </c>
      <c r="BP2387" s="11">
        <v>45952.565300925926</v>
      </c>
      <c r="BQ2387" s="15">
        <v>45954.574803240743</v>
      </c>
      <c r="BR2387" s="15">
        <v>45958.51871527778</v>
      </c>
      <c r="BS2387" s="10" t="s">
        <v>197</v>
      </c>
      <c r="BT2387" s="10" t="s">
        <v>279</v>
      </c>
      <c r="BU2387" s="10" t="s">
        <v>6753</v>
      </c>
      <c r="BV2387" s="10"/>
      <c r="BW2387" s="10"/>
      <c r="BX2387" s="10"/>
      <c r="BY2387" s="23"/>
      <c r="BZ2387" s="23"/>
      <c r="CA2387" s="19" t="s">
        <v>18169</v>
      </c>
      <c r="CB2387" s="23"/>
      <c r="CC2387" s="23"/>
      <c r="CD2387" s="19" t="s">
        <v>18170</v>
      </c>
      <c r="CE2387" s="23"/>
      <c r="CF2387" s="23"/>
      <c r="CG2387" s="23"/>
      <c r="CH2387" s="23"/>
      <c r="CI2387" s="23"/>
    </row>
    <row r="2388" spans="1:87" x14ac:dyDescent="0.3">
      <c r="A2388" s="9" t="s">
        <v>18171</v>
      </c>
      <c r="B2388" s="10" t="s">
        <v>18172</v>
      </c>
      <c r="C2388" s="11">
        <v>45961.020833333336</v>
      </c>
      <c r="D2388" s="12">
        <v>8.3333333333333329E-2</v>
      </c>
      <c r="E2388" s="11">
        <v>45961.104166666664</v>
      </c>
      <c r="F2388" s="10" t="s">
        <v>9129</v>
      </c>
      <c r="G2388" s="13" t="b">
        <v>0</v>
      </c>
      <c r="H2388" s="22" t="s">
        <v>9146</v>
      </c>
      <c r="I2388" s="10" t="s">
        <v>9131</v>
      </c>
      <c r="J2388" s="13" t="b">
        <v>0</v>
      </c>
      <c r="K2388" s="13" t="b">
        <v>1</v>
      </c>
      <c r="L2388" s="10" t="s">
        <v>124</v>
      </c>
      <c r="M2388" s="10" t="s">
        <v>91</v>
      </c>
      <c r="N2388" s="10" t="s">
        <v>265</v>
      </c>
      <c r="O2388" s="19" t="s">
        <v>18173</v>
      </c>
      <c r="P2388" s="10"/>
      <c r="Q2388" s="10" t="s">
        <v>94</v>
      </c>
      <c r="R2388" s="10"/>
      <c r="S2388" s="19" t="s">
        <v>18174</v>
      </c>
      <c r="T2388" s="10"/>
      <c r="U2388" s="10" t="s">
        <v>14944</v>
      </c>
      <c r="V2388" s="10" t="s">
        <v>14954</v>
      </c>
      <c r="W2388" s="10" t="s">
        <v>9136</v>
      </c>
      <c r="X2388" s="10" t="s">
        <v>130</v>
      </c>
      <c r="Y2388" s="10" t="s">
        <v>130</v>
      </c>
      <c r="Z2388" s="10" t="s">
        <v>99</v>
      </c>
      <c r="AA2388" s="10" t="s">
        <v>131</v>
      </c>
      <c r="AB2388" s="10" t="s">
        <v>9137</v>
      </c>
      <c r="AC2388" s="10" t="s">
        <v>9138</v>
      </c>
      <c r="AD2388" s="10" t="s">
        <v>18175</v>
      </c>
      <c r="AE2388" s="10" t="s">
        <v>18176</v>
      </c>
      <c r="AF2388" s="15"/>
      <c r="AG2388" s="10"/>
      <c r="AH2388" s="10"/>
      <c r="AI2388" s="10"/>
      <c r="AJ2388" s="10"/>
      <c r="AK2388" s="10" t="s">
        <v>102</v>
      </c>
      <c r="AL2388" s="10" t="s">
        <v>184</v>
      </c>
      <c r="AM2388" s="10"/>
      <c r="AN2388" s="10"/>
      <c r="AO2388" s="13" t="b">
        <v>0</v>
      </c>
      <c r="AP2388" s="22" t="s">
        <v>104</v>
      </c>
      <c r="AQ2388" s="10">
        <f ca="1">IFERROR(__xludf.DUMMYFUNCTION("""COMPUTED_VALUE"""),4673224)</f>
        <v>4673224</v>
      </c>
      <c r="AR2388" s="17">
        <v>2787</v>
      </c>
      <c r="AS2388" s="17">
        <v>2332</v>
      </c>
      <c r="AT2388" s="17">
        <v>28546.5</v>
      </c>
      <c r="AU2388" s="17">
        <v>6.2</v>
      </c>
      <c r="AV2388" s="17">
        <v>0</v>
      </c>
      <c r="AW2388" s="10" t="s">
        <v>105</v>
      </c>
      <c r="AX2388" s="17">
        <v>430</v>
      </c>
      <c r="AY2388" s="18">
        <v>12.241209262435678</v>
      </c>
      <c r="AZ2388" s="10"/>
      <c r="BA2388" s="20" t="b">
        <v>0</v>
      </c>
      <c r="BB2388" s="10"/>
      <c r="BC2388" s="17">
        <v>2787</v>
      </c>
      <c r="BD2388" s="17">
        <v>2332</v>
      </c>
      <c r="BE2388" s="17">
        <v>28546.5</v>
      </c>
      <c r="BF2388" s="17">
        <v>0</v>
      </c>
      <c r="BG2388" s="11">
        <f ca="1">IFERROR(__xludf.DUMMYFUNCTION("""COMPUTED_VALUE"""),45961.0208333333)</f>
        <v>45961.020833333299</v>
      </c>
      <c r="BH2388" s="17" t="s">
        <v>105</v>
      </c>
      <c r="BI2388" s="17"/>
      <c r="BJ2388" s="15"/>
      <c r="BK2388" s="15"/>
      <c r="BL2388" s="13" t="b">
        <v>0</v>
      </c>
      <c r="BM2388" s="10"/>
      <c r="BN2388" s="10" t="s">
        <v>278</v>
      </c>
      <c r="BO2388" s="11">
        <v>45952.568055555559</v>
      </c>
      <c r="BP2388" s="11">
        <v>45952.568194444444</v>
      </c>
      <c r="BQ2388" s="15">
        <v>45954.574849537035</v>
      </c>
      <c r="BR2388" s="15">
        <v>45957.390266203707</v>
      </c>
      <c r="BS2388" s="10" t="s">
        <v>278</v>
      </c>
      <c r="BT2388" s="10" t="s">
        <v>279</v>
      </c>
      <c r="BU2388" s="10" t="s">
        <v>942</v>
      </c>
      <c r="BV2388" s="10"/>
      <c r="BW2388" s="10"/>
      <c r="BX2388" s="10"/>
      <c r="BY2388" s="23"/>
      <c r="BZ2388" s="23"/>
      <c r="CA2388" s="19" t="s">
        <v>18177</v>
      </c>
      <c r="CB2388" s="23"/>
      <c r="CC2388" s="23"/>
      <c r="CD2388" s="23"/>
      <c r="CE2388" s="23"/>
      <c r="CF2388" s="23"/>
      <c r="CG2388" s="23"/>
      <c r="CH2388" s="23"/>
      <c r="CI2388" s="23"/>
    </row>
    <row r="2389" spans="1:87" x14ac:dyDescent="0.3">
      <c r="A2389" s="9" t="s">
        <v>18178</v>
      </c>
      <c r="B2389" s="10" t="s">
        <v>18179</v>
      </c>
      <c r="C2389" s="11">
        <v>45981.833333333336</v>
      </c>
      <c r="D2389" s="12">
        <v>8.3333333333333329E-2</v>
      </c>
      <c r="E2389" s="11">
        <v>45981.916666666664</v>
      </c>
      <c r="F2389" s="10" t="s">
        <v>122</v>
      </c>
      <c r="G2389" s="13" t="b">
        <v>0</v>
      </c>
      <c r="H2389" s="22"/>
      <c r="I2389" s="10" t="s">
        <v>89</v>
      </c>
      <c r="J2389" s="13" t="b">
        <v>0</v>
      </c>
      <c r="K2389" s="13" t="b">
        <v>1</v>
      </c>
      <c r="L2389" s="10" t="s">
        <v>124</v>
      </c>
      <c r="M2389" s="10" t="s">
        <v>91</v>
      </c>
      <c r="N2389" s="10" t="s">
        <v>92</v>
      </c>
      <c r="O2389" s="10"/>
      <c r="P2389" s="10"/>
      <c r="Q2389" s="10" t="s">
        <v>126</v>
      </c>
      <c r="R2389" s="10"/>
      <c r="S2389" s="10"/>
      <c r="T2389" s="10"/>
      <c r="U2389" s="10"/>
      <c r="V2389" s="10"/>
      <c r="W2389" s="10" t="s">
        <v>129</v>
      </c>
      <c r="X2389" s="10" t="s">
        <v>130</v>
      </c>
      <c r="Y2389" s="10" t="s">
        <v>130</v>
      </c>
      <c r="Z2389" s="10" t="s">
        <v>99</v>
      </c>
      <c r="AA2389" s="10" t="s">
        <v>131</v>
      </c>
      <c r="AB2389" s="10" t="s">
        <v>132</v>
      </c>
      <c r="AC2389" s="10" t="s">
        <v>133</v>
      </c>
      <c r="AD2389" s="10" t="s">
        <v>165</v>
      </c>
      <c r="AE2389" s="10" t="s">
        <v>18180</v>
      </c>
      <c r="AF2389" s="15"/>
      <c r="AG2389" s="10"/>
      <c r="AH2389" s="10"/>
      <c r="AI2389" s="10"/>
      <c r="AJ2389" s="10"/>
      <c r="AK2389" s="10" t="s">
        <v>256</v>
      </c>
      <c r="AL2389" s="10"/>
      <c r="AM2389" s="10"/>
      <c r="AN2389" s="10"/>
      <c r="AO2389" s="13" t="b">
        <v>1</v>
      </c>
      <c r="AP2389" s="22" t="s">
        <v>135</v>
      </c>
      <c r="AQ2389" s="10"/>
      <c r="AR2389" s="17"/>
      <c r="AS2389" s="17"/>
      <c r="AT2389" s="17"/>
      <c r="AU2389" s="17"/>
      <c r="AV2389" s="17"/>
      <c r="AW2389" s="10"/>
      <c r="AX2389" s="17"/>
      <c r="AY2389" s="18" t="s">
        <v>257</v>
      </c>
      <c r="AZ2389" s="10"/>
      <c r="BA2389" s="20" t="b">
        <v>0</v>
      </c>
      <c r="BB2389" s="10"/>
      <c r="BC2389" s="17" t="s">
        <v>257</v>
      </c>
      <c r="BD2389" s="17" t="s">
        <v>257</v>
      </c>
      <c r="BE2389" s="17" t="s">
        <v>257</v>
      </c>
      <c r="BF2389" s="17" t="s">
        <v>257</v>
      </c>
      <c r="BG2389" s="11">
        <f ca="1">IFERROR(__xludf.DUMMYFUNCTION("""COMPUTED_VALUE"""),45981.8333333333)</f>
        <v>45981.833333333299</v>
      </c>
      <c r="BH2389" s="17"/>
      <c r="BI2389" s="17"/>
      <c r="BJ2389" s="15"/>
      <c r="BK2389" s="15"/>
      <c r="BL2389" s="13" t="b">
        <v>0</v>
      </c>
      <c r="BM2389" s="10" t="s">
        <v>240</v>
      </c>
      <c r="BN2389" s="10" t="s">
        <v>351</v>
      </c>
      <c r="BO2389" s="11">
        <v>45952.570833333331</v>
      </c>
      <c r="BP2389" s="11">
        <v>45964.633032407408</v>
      </c>
      <c r="BQ2389" s="15"/>
      <c r="BR2389" s="15"/>
      <c r="BS2389" s="10"/>
      <c r="BT2389" s="10"/>
      <c r="BU2389" s="10"/>
      <c r="BV2389" s="10"/>
      <c r="BW2389" s="10"/>
      <c r="BX2389" s="10"/>
      <c r="BY2389" s="23"/>
      <c r="BZ2389" s="23"/>
      <c r="CA2389" s="23"/>
      <c r="CB2389" s="23"/>
      <c r="CC2389" s="23"/>
      <c r="CD2389" s="23"/>
      <c r="CE2389" s="23"/>
      <c r="CF2389" s="23"/>
      <c r="CG2389" s="23"/>
      <c r="CH2389" s="23"/>
      <c r="CI2389" s="23"/>
    </row>
    <row r="2390" spans="1:87" x14ac:dyDescent="0.3">
      <c r="A2390" s="9" t="s">
        <v>18181</v>
      </c>
      <c r="B2390" s="10" t="s">
        <v>18182</v>
      </c>
      <c r="C2390" s="11">
        <v>45961.302083333336</v>
      </c>
      <c r="D2390" s="12">
        <v>0.14583333333333334</v>
      </c>
      <c r="E2390" s="11">
        <v>45961.447916666664</v>
      </c>
      <c r="F2390" s="10" t="s">
        <v>15270</v>
      </c>
      <c r="G2390" s="13" t="b">
        <v>0</v>
      </c>
      <c r="H2390" s="22" t="s">
        <v>15271</v>
      </c>
      <c r="I2390" s="10" t="s">
        <v>3213</v>
      </c>
      <c r="J2390" s="13" t="b">
        <v>0</v>
      </c>
      <c r="K2390" s="13" t="b">
        <v>1</v>
      </c>
      <c r="L2390" s="10" t="s">
        <v>124</v>
      </c>
      <c r="M2390" s="10" t="s">
        <v>91</v>
      </c>
      <c r="N2390" s="10" t="s">
        <v>92</v>
      </c>
      <c r="O2390" s="19" t="s">
        <v>18183</v>
      </c>
      <c r="P2390" s="10"/>
      <c r="Q2390" s="10" t="s">
        <v>126</v>
      </c>
      <c r="R2390" s="10"/>
      <c r="S2390" s="19" t="s">
        <v>18184</v>
      </c>
      <c r="T2390" s="10"/>
      <c r="U2390" s="10" t="s">
        <v>15537</v>
      </c>
      <c r="V2390" s="10" t="s">
        <v>15673</v>
      </c>
      <c r="W2390" s="10" t="s">
        <v>15276</v>
      </c>
      <c r="X2390" s="10" t="s">
        <v>15277</v>
      </c>
      <c r="Y2390" s="10" t="s">
        <v>15277</v>
      </c>
      <c r="Z2390" s="10" t="s">
        <v>99</v>
      </c>
      <c r="AA2390" s="10" t="s">
        <v>131</v>
      </c>
      <c r="AB2390" s="10" t="s">
        <v>15278</v>
      </c>
      <c r="AC2390" s="10" t="s">
        <v>15279</v>
      </c>
      <c r="AD2390" s="10" t="s">
        <v>165</v>
      </c>
      <c r="AE2390" s="10" t="s">
        <v>18185</v>
      </c>
      <c r="AF2390" s="15"/>
      <c r="AG2390" s="10"/>
      <c r="AH2390" s="10"/>
      <c r="AI2390" s="10"/>
      <c r="AJ2390" s="10"/>
      <c r="AK2390" s="10" t="s">
        <v>102</v>
      </c>
      <c r="AL2390" s="10" t="s">
        <v>205</v>
      </c>
      <c r="AM2390" s="10"/>
      <c r="AN2390" s="10"/>
      <c r="AO2390" s="13" t="b">
        <v>0</v>
      </c>
      <c r="AP2390" s="22" t="s">
        <v>104</v>
      </c>
      <c r="AQ2390" s="10">
        <f ca="1">IFERROR(__xludf.DUMMYFUNCTION("""COMPUTED_VALUE"""),4675118)</f>
        <v>4675118</v>
      </c>
      <c r="AR2390" s="17">
        <v>2158</v>
      </c>
      <c r="AS2390" s="17">
        <v>1645</v>
      </c>
      <c r="AT2390" s="17">
        <v>34847.25</v>
      </c>
      <c r="AU2390" s="17">
        <v>6.6</v>
      </c>
      <c r="AV2390" s="17">
        <v>1</v>
      </c>
      <c r="AW2390" s="10" t="s">
        <v>105</v>
      </c>
      <c r="AX2390" s="17">
        <v>293</v>
      </c>
      <c r="AY2390" s="18">
        <v>21.183738601823709</v>
      </c>
      <c r="AZ2390" s="10" t="s">
        <v>117</v>
      </c>
      <c r="BA2390" s="20" t="b">
        <v>0</v>
      </c>
      <c r="BB2390" s="10"/>
      <c r="BC2390" s="17">
        <v>2158</v>
      </c>
      <c r="BD2390" s="17">
        <v>1645</v>
      </c>
      <c r="BE2390" s="17">
        <v>34847.25</v>
      </c>
      <c r="BF2390" s="17">
        <v>1</v>
      </c>
      <c r="BG2390" s="11">
        <f ca="1">IFERROR(__xludf.DUMMYFUNCTION("""COMPUTED_VALUE"""),45961.3020833333)</f>
        <v>45961.302083333299</v>
      </c>
      <c r="BH2390" s="17" t="s">
        <v>105</v>
      </c>
      <c r="BI2390" s="17"/>
      <c r="BJ2390" s="15"/>
      <c r="BK2390" s="15"/>
      <c r="BL2390" s="13"/>
      <c r="BM2390" s="10"/>
      <c r="BN2390" s="10" t="s">
        <v>157</v>
      </c>
      <c r="BO2390" s="11">
        <v>45953.538888888892</v>
      </c>
      <c r="BP2390" s="11">
        <v>45953.553946759261</v>
      </c>
      <c r="BQ2390" s="15">
        <v>45956.522048611114</v>
      </c>
      <c r="BR2390" s="15">
        <v>45958.590868055559</v>
      </c>
      <c r="BS2390" s="10" t="s">
        <v>157</v>
      </c>
      <c r="BT2390" s="10"/>
      <c r="BU2390" s="10"/>
      <c r="BV2390" s="10"/>
      <c r="BW2390" s="10"/>
      <c r="BX2390" s="10"/>
      <c r="BY2390" s="23"/>
      <c r="BZ2390" s="23"/>
      <c r="CA2390" s="19" t="s">
        <v>18186</v>
      </c>
      <c r="CB2390" s="23"/>
      <c r="CC2390" s="23"/>
      <c r="CD2390" s="19" t="s">
        <v>18187</v>
      </c>
      <c r="CE2390" s="23"/>
      <c r="CF2390" s="23"/>
      <c r="CG2390" s="23"/>
      <c r="CH2390" s="23"/>
      <c r="CI2390" s="23"/>
    </row>
    <row r="2391" spans="1:87" x14ac:dyDescent="0.3">
      <c r="A2391" s="9" t="s">
        <v>18188</v>
      </c>
      <c r="B2391" s="10" t="s">
        <v>18189</v>
      </c>
      <c r="C2391" s="11">
        <v>45964.041666666664</v>
      </c>
      <c r="D2391" s="12">
        <v>0.14583333333333334</v>
      </c>
      <c r="E2391" s="11">
        <v>45964.1875</v>
      </c>
      <c r="F2391" s="10" t="s">
        <v>15270</v>
      </c>
      <c r="G2391" s="13" t="b">
        <v>0</v>
      </c>
      <c r="H2391" s="22" t="s">
        <v>15271</v>
      </c>
      <c r="I2391" s="10" t="s">
        <v>3213</v>
      </c>
      <c r="J2391" s="13" t="b">
        <v>0</v>
      </c>
      <c r="K2391" s="13" t="b">
        <v>1</v>
      </c>
      <c r="L2391" s="10" t="s">
        <v>124</v>
      </c>
      <c r="M2391" s="10" t="s">
        <v>91</v>
      </c>
      <c r="N2391" s="10" t="s">
        <v>92</v>
      </c>
      <c r="O2391" s="19" t="s">
        <v>18190</v>
      </c>
      <c r="P2391" s="10" t="s">
        <v>88</v>
      </c>
      <c r="Q2391" s="10" t="s">
        <v>126</v>
      </c>
      <c r="R2391" s="10"/>
      <c r="S2391" s="19" t="s">
        <v>18191</v>
      </c>
      <c r="T2391" s="10"/>
      <c r="U2391" s="10" t="s">
        <v>15490</v>
      </c>
      <c r="V2391" s="10" t="s">
        <v>15528</v>
      </c>
      <c r="W2391" s="10" t="s">
        <v>15276</v>
      </c>
      <c r="X2391" s="10" t="s">
        <v>15277</v>
      </c>
      <c r="Y2391" s="10" t="s">
        <v>15277</v>
      </c>
      <c r="Z2391" s="10" t="s">
        <v>99</v>
      </c>
      <c r="AA2391" s="10" t="s">
        <v>131</v>
      </c>
      <c r="AB2391" s="10" t="s">
        <v>15278</v>
      </c>
      <c r="AC2391" s="10" t="s">
        <v>15279</v>
      </c>
      <c r="AD2391" s="10" t="s">
        <v>165</v>
      </c>
      <c r="AE2391" s="10" t="s">
        <v>18192</v>
      </c>
      <c r="AF2391" s="15"/>
      <c r="AG2391" s="10"/>
      <c r="AH2391" s="10"/>
      <c r="AI2391" s="10"/>
      <c r="AJ2391" s="10"/>
      <c r="AK2391" s="10" t="s">
        <v>102</v>
      </c>
      <c r="AL2391" s="10" t="s">
        <v>205</v>
      </c>
      <c r="AM2391" s="10"/>
      <c r="AN2391" s="10"/>
      <c r="AO2391" s="13" t="b">
        <v>0</v>
      </c>
      <c r="AP2391" s="22" t="s">
        <v>104</v>
      </c>
      <c r="AQ2391" s="10">
        <f ca="1">IFERROR(__xludf.DUMMYFUNCTION("""COMPUTED_VALUE"""),4690714)</f>
        <v>4690714</v>
      </c>
      <c r="AR2391" s="17">
        <v>1776</v>
      </c>
      <c r="AS2391" s="17">
        <v>1510</v>
      </c>
      <c r="AT2391" s="17">
        <v>44034.5</v>
      </c>
      <c r="AU2391" s="17">
        <v>1.35</v>
      </c>
      <c r="AV2391" s="17">
        <v>0.85</v>
      </c>
      <c r="AW2391" s="10" t="s">
        <v>105</v>
      </c>
      <c r="AX2391" s="17">
        <v>272</v>
      </c>
      <c r="AY2391" s="18">
        <v>29.161920529801325</v>
      </c>
      <c r="AZ2391" s="10" t="s">
        <v>148</v>
      </c>
      <c r="BA2391" s="20" t="b">
        <v>0</v>
      </c>
      <c r="BB2391" s="10"/>
      <c r="BC2391" s="17">
        <v>1776</v>
      </c>
      <c r="BD2391" s="17">
        <v>1510</v>
      </c>
      <c r="BE2391" s="17">
        <v>44034.5</v>
      </c>
      <c r="BF2391" s="17">
        <v>0.85</v>
      </c>
      <c r="BG2391" s="11">
        <f ca="1">IFERROR(__xludf.DUMMYFUNCTION("""COMPUTED_VALUE"""),45964.0416666666)</f>
        <v>45964.041666666599</v>
      </c>
      <c r="BH2391" s="17" t="s">
        <v>105</v>
      </c>
      <c r="BI2391" s="17"/>
      <c r="BJ2391" s="15"/>
      <c r="BK2391" s="15"/>
      <c r="BL2391" s="13" t="b">
        <v>0</v>
      </c>
      <c r="BM2391" s="10"/>
      <c r="BN2391" s="10" t="s">
        <v>118</v>
      </c>
      <c r="BO2391" s="11">
        <v>45953.545138888891</v>
      </c>
      <c r="BP2391" s="11">
        <v>45953.551747685182</v>
      </c>
      <c r="BQ2391" s="15">
        <v>45963.012453703705</v>
      </c>
      <c r="BR2391" s="15">
        <v>45963.408414351848</v>
      </c>
      <c r="BS2391" s="10" t="s">
        <v>118</v>
      </c>
      <c r="BT2391" s="10"/>
      <c r="BU2391" s="10"/>
      <c r="BV2391" s="10"/>
      <c r="BW2391" s="10"/>
      <c r="BX2391" s="10"/>
      <c r="BY2391" s="23"/>
      <c r="BZ2391" s="23"/>
      <c r="CA2391" s="19" t="s">
        <v>18193</v>
      </c>
      <c r="CB2391" s="23"/>
      <c r="CC2391" s="23"/>
      <c r="CD2391" s="19" t="s">
        <v>18194</v>
      </c>
      <c r="CE2391" s="23"/>
      <c r="CF2391" s="23"/>
      <c r="CG2391" s="23"/>
      <c r="CH2391" s="23"/>
      <c r="CI2391" s="23"/>
    </row>
    <row r="2392" spans="1:87" x14ac:dyDescent="0.3">
      <c r="A2392" s="9" t="s">
        <v>18195</v>
      </c>
      <c r="B2392" s="10" t="s">
        <v>18196</v>
      </c>
      <c r="C2392" s="11">
        <v>45965.34375</v>
      </c>
      <c r="D2392" s="12">
        <v>0.14583333333333334</v>
      </c>
      <c r="E2392" s="11">
        <v>45965.489583333336</v>
      </c>
      <c r="F2392" s="10" t="s">
        <v>15270</v>
      </c>
      <c r="G2392" s="13" t="b">
        <v>0</v>
      </c>
      <c r="H2392" s="22" t="s">
        <v>15271</v>
      </c>
      <c r="I2392" s="10" t="s">
        <v>3213</v>
      </c>
      <c r="J2392" s="13" t="b">
        <v>0</v>
      </c>
      <c r="K2392" s="13" t="b">
        <v>1</v>
      </c>
      <c r="L2392" s="10" t="s">
        <v>124</v>
      </c>
      <c r="M2392" s="10" t="s">
        <v>91</v>
      </c>
      <c r="N2392" s="10" t="s">
        <v>92</v>
      </c>
      <c r="O2392" s="19" t="s">
        <v>18197</v>
      </c>
      <c r="P2392" s="10" t="s">
        <v>3215</v>
      </c>
      <c r="Q2392" s="10" t="s">
        <v>126</v>
      </c>
      <c r="R2392" s="10"/>
      <c r="S2392" s="19" t="s">
        <v>18198</v>
      </c>
      <c r="T2392" s="10"/>
      <c r="U2392" s="10" t="s">
        <v>16009</v>
      </c>
      <c r="V2392" s="10" t="s">
        <v>15655</v>
      </c>
      <c r="W2392" s="10" t="s">
        <v>15276</v>
      </c>
      <c r="X2392" s="10" t="s">
        <v>15277</v>
      </c>
      <c r="Y2392" s="10" t="s">
        <v>15277</v>
      </c>
      <c r="Z2392" s="10" t="s">
        <v>99</v>
      </c>
      <c r="AA2392" s="10" t="s">
        <v>131</v>
      </c>
      <c r="AB2392" s="10" t="s">
        <v>15278</v>
      </c>
      <c r="AC2392" s="10" t="s">
        <v>15279</v>
      </c>
      <c r="AD2392" s="10" t="s">
        <v>165</v>
      </c>
      <c r="AE2392" s="10" t="s">
        <v>18199</v>
      </c>
      <c r="AF2392" s="15"/>
      <c r="AG2392" s="10"/>
      <c r="AH2392" s="10"/>
      <c r="AI2392" s="10"/>
      <c r="AJ2392" s="10"/>
      <c r="AK2392" s="10" t="s">
        <v>102</v>
      </c>
      <c r="AL2392" s="10" t="s">
        <v>205</v>
      </c>
      <c r="AM2392" s="10"/>
      <c r="AN2392" s="10"/>
      <c r="AO2392" s="13" t="b">
        <v>0</v>
      </c>
      <c r="AP2392" s="22" t="s">
        <v>104</v>
      </c>
      <c r="AQ2392" s="10">
        <f ca="1">IFERROR(__xludf.DUMMYFUNCTION("""COMPUTED_VALUE"""),4699977)</f>
        <v>4699977</v>
      </c>
      <c r="AR2392" s="17">
        <v>2354</v>
      </c>
      <c r="AS2392" s="17">
        <v>1778</v>
      </c>
      <c r="AT2392" s="17">
        <v>40105.5</v>
      </c>
      <c r="AU2392" s="17">
        <v>6.2</v>
      </c>
      <c r="AV2392" s="17">
        <v>1.75</v>
      </c>
      <c r="AW2392" s="10" t="s">
        <v>105</v>
      </c>
      <c r="AX2392" s="17">
        <v>327</v>
      </c>
      <c r="AY2392" s="18">
        <v>22.556524184476942</v>
      </c>
      <c r="AZ2392" s="10"/>
      <c r="BA2392" s="20" t="b">
        <v>0</v>
      </c>
      <c r="BB2392" s="10"/>
      <c r="BC2392" s="17">
        <v>2354</v>
      </c>
      <c r="BD2392" s="17">
        <v>1778</v>
      </c>
      <c r="BE2392" s="17">
        <v>40105.5</v>
      </c>
      <c r="BF2392" s="17">
        <v>1.75</v>
      </c>
      <c r="BG2392" s="11">
        <f ca="1">IFERROR(__xludf.DUMMYFUNCTION("""COMPUTED_VALUE"""),45965.34375)</f>
        <v>45965.34375</v>
      </c>
      <c r="BH2392" s="17" t="s">
        <v>105</v>
      </c>
      <c r="BI2392" s="17"/>
      <c r="BJ2392" s="15"/>
      <c r="BK2392" s="15"/>
      <c r="BL2392" s="13" t="b">
        <v>0</v>
      </c>
      <c r="BM2392" s="10"/>
      <c r="BN2392" s="10" t="s">
        <v>137</v>
      </c>
      <c r="BO2392" s="11">
        <v>45953.543055555558</v>
      </c>
      <c r="BP2392" s="11">
        <v>45953.543993055559</v>
      </c>
      <c r="BQ2392" s="15">
        <v>45964.700254629628</v>
      </c>
      <c r="BR2392" s="15">
        <v>45964.704953703702</v>
      </c>
      <c r="BS2392" s="10" t="s">
        <v>137</v>
      </c>
      <c r="BT2392" s="10"/>
      <c r="BU2392" s="10"/>
      <c r="BV2392" s="10"/>
      <c r="BW2392" s="10"/>
      <c r="BX2392" s="10"/>
      <c r="BY2392" s="23"/>
      <c r="BZ2392" s="23"/>
      <c r="CA2392" s="19" t="s">
        <v>18200</v>
      </c>
      <c r="CB2392" s="23"/>
      <c r="CC2392" s="23"/>
      <c r="CD2392" s="19" t="s">
        <v>18201</v>
      </c>
      <c r="CE2392" s="23"/>
      <c r="CF2392" s="23"/>
      <c r="CG2392" s="23"/>
      <c r="CH2392" s="23"/>
      <c r="CI2392" s="23"/>
    </row>
    <row r="2393" spans="1:87" x14ac:dyDescent="0.3">
      <c r="A2393" s="9" t="s">
        <v>18202</v>
      </c>
      <c r="B2393" s="10" t="s">
        <v>18203</v>
      </c>
      <c r="C2393" s="11">
        <v>45964.184027777781</v>
      </c>
      <c r="D2393" s="12">
        <v>0.14583333333333334</v>
      </c>
      <c r="E2393" s="11">
        <v>45964.329861111109</v>
      </c>
      <c r="F2393" s="10" t="s">
        <v>15270</v>
      </c>
      <c r="G2393" s="13" t="b">
        <v>0</v>
      </c>
      <c r="H2393" s="22" t="s">
        <v>15271</v>
      </c>
      <c r="I2393" s="10" t="s">
        <v>3213</v>
      </c>
      <c r="J2393" s="13" t="b">
        <v>0</v>
      </c>
      <c r="K2393" s="13" t="b">
        <v>1</v>
      </c>
      <c r="L2393" s="10" t="s">
        <v>124</v>
      </c>
      <c r="M2393" s="10" t="s">
        <v>91</v>
      </c>
      <c r="N2393" s="10" t="s">
        <v>92</v>
      </c>
      <c r="O2393" s="19" t="s">
        <v>18204</v>
      </c>
      <c r="P2393" s="10" t="s">
        <v>88</v>
      </c>
      <c r="Q2393" s="10" t="s">
        <v>18205</v>
      </c>
      <c r="R2393" s="10"/>
      <c r="S2393" s="19" t="s">
        <v>18206</v>
      </c>
      <c r="T2393" s="10"/>
      <c r="U2393" s="10" t="s">
        <v>15637</v>
      </c>
      <c r="V2393" s="10" t="s">
        <v>15298</v>
      </c>
      <c r="W2393" s="10" t="s">
        <v>15276</v>
      </c>
      <c r="X2393" s="10" t="s">
        <v>15277</v>
      </c>
      <c r="Y2393" s="10" t="s">
        <v>15277</v>
      </c>
      <c r="Z2393" s="10" t="s">
        <v>99</v>
      </c>
      <c r="AA2393" s="10" t="s">
        <v>131</v>
      </c>
      <c r="AB2393" s="10" t="s">
        <v>15278</v>
      </c>
      <c r="AC2393" s="10" t="s">
        <v>15279</v>
      </c>
      <c r="AD2393" s="10" t="s">
        <v>165</v>
      </c>
      <c r="AE2393" s="10" t="s">
        <v>18207</v>
      </c>
      <c r="AF2393" s="15"/>
      <c r="AG2393" s="10"/>
      <c r="AH2393" s="10"/>
      <c r="AI2393" s="10"/>
      <c r="AJ2393" s="10"/>
      <c r="AK2393" s="10" t="s">
        <v>102</v>
      </c>
      <c r="AL2393" s="10" t="s">
        <v>205</v>
      </c>
      <c r="AM2393" s="10"/>
      <c r="AN2393" s="10"/>
      <c r="AO2393" s="13" t="b">
        <v>0</v>
      </c>
      <c r="AP2393" s="22" t="s">
        <v>104</v>
      </c>
      <c r="AQ2393" s="10">
        <f ca="1">IFERROR(__xludf.DUMMYFUNCTION("""COMPUTED_VALUE"""),4690715)</f>
        <v>4690715</v>
      </c>
      <c r="AR2393" s="17">
        <v>3555</v>
      </c>
      <c r="AS2393" s="17">
        <v>2762</v>
      </c>
      <c r="AT2393" s="17">
        <v>48666.5</v>
      </c>
      <c r="AU2393" s="17">
        <v>3.75</v>
      </c>
      <c r="AV2393" s="17">
        <v>0.75</v>
      </c>
      <c r="AW2393" s="10" t="s">
        <v>105</v>
      </c>
      <c r="AX2393" s="17">
        <v>520</v>
      </c>
      <c r="AY2393" s="18">
        <v>17.620021723388849</v>
      </c>
      <c r="AZ2393" s="10" t="s">
        <v>148</v>
      </c>
      <c r="BA2393" s="20" t="b">
        <v>0</v>
      </c>
      <c r="BB2393" s="10"/>
      <c r="BC2393" s="17">
        <v>3555</v>
      </c>
      <c r="BD2393" s="17">
        <v>2762</v>
      </c>
      <c r="BE2393" s="17">
        <v>48666.5</v>
      </c>
      <c r="BF2393" s="17">
        <v>0.75</v>
      </c>
      <c r="BG2393" s="11">
        <f ca="1">IFERROR(__xludf.DUMMYFUNCTION("""COMPUTED_VALUE"""),45964.1840277777)</f>
        <v>45964.184027777701</v>
      </c>
      <c r="BH2393" s="17" t="s">
        <v>105</v>
      </c>
      <c r="BI2393" s="17"/>
      <c r="BJ2393" s="15"/>
      <c r="BK2393" s="15"/>
      <c r="BL2393" s="13"/>
      <c r="BM2393" s="10"/>
      <c r="BN2393" s="10" t="s">
        <v>118</v>
      </c>
      <c r="BO2393" s="11">
        <v>45953.548611111109</v>
      </c>
      <c r="BP2393" s="11">
        <v>45953.553182870368</v>
      </c>
      <c r="BQ2393" s="15">
        <v>45963.012731481482</v>
      </c>
      <c r="BR2393" s="15">
        <v>45963.408622685187</v>
      </c>
      <c r="BS2393" s="10" t="s">
        <v>118</v>
      </c>
      <c r="BT2393" s="10"/>
      <c r="BU2393" s="10"/>
      <c r="BV2393" s="10" t="s">
        <v>4315</v>
      </c>
      <c r="BW2393" s="10" t="s">
        <v>18208</v>
      </c>
      <c r="BX2393" s="19" t="s">
        <v>18209</v>
      </c>
      <c r="BY2393" s="23"/>
      <c r="BZ2393" s="23"/>
      <c r="CA2393" s="19" t="s">
        <v>18210</v>
      </c>
      <c r="CB2393" s="23"/>
      <c r="CC2393" s="23"/>
      <c r="CD2393" s="19" t="s">
        <v>18211</v>
      </c>
      <c r="CE2393" s="23"/>
      <c r="CF2393" s="23"/>
      <c r="CG2393" s="23"/>
      <c r="CH2393" s="23"/>
      <c r="CI2393" s="23"/>
    </row>
    <row r="2394" spans="1:87" x14ac:dyDescent="0.3">
      <c r="A2394" s="9" t="s">
        <v>18212</v>
      </c>
      <c r="B2394" s="10" t="s">
        <v>18213</v>
      </c>
      <c r="C2394" s="11">
        <v>45964.347222222219</v>
      </c>
      <c r="D2394" s="12">
        <v>0.14583333333333334</v>
      </c>
      <c r="E2394" s="11">
        <v>45964.493055555555</v>
      </c>
      <c r="F2394" s="10" t="s">
        <v>15270</v>
      </c>
      <c r="G2394" s="13" t="b">
        <v>0</v>
      </c>
      <c r="H2394" s="22" t="s">
        <v>15271</v>
      </c>
      <c r="I2394" s="10" t="s">
        <v>3213</v>
      </c>
      <c r="J2394" s="13" t="b">
        <v>0</v>
      </c>
      <c r="K2394" s="13" t="b">
        <v>1</v>
      </c>
      <c r="L2394" s="10" t="s">
        <v>124</v>
      </c>
      <c r="M2394" s="10" t="s">
        <v>91</v>
      </c>
      <c r="N2394" s="10" t="s">
        <v>92</v>
      </c>
      <c r="O2394" s="19" t="s">
        <v>18214</v>
      </c>
      <c r="P2394" s="10" t="s">
        <v>3215</v>
      </c>
      <c r="Q2394" s="10" t="s">
        <v>126</v>
      </c>
      <c r="R2394" s="10"/>
      <c r="S2394" s="19" t="s">
        <v>18215</v>
      </c>
      <c r="T2394" s="10"/>
      <c r="U2394" s="10" t="s">
        <v>15275</v>
      </c>
      <c r="V2394" s="10" t="s">
        <v>15987</v>
      </c>
      <c r="W2394" s="10" t="s">
        <v>15276</v>
      </c>
      <c r="X2394" s="10" t="s">
        <v>15277</v>
      </c>
      <c r="Y2394" s="10" t="s">
        <v>15277</v>
      </c>
      <c r="Z2394" s="10" t="s">
        <v>99</v>
      </c>
      <c r="AA2394" s="10" t="s">
        <v>131</v>
      </c>
      <c r="AB2394" s="10" t="s">
        <v>15278</v>
      </c>
      <c r="AC2394" s="10" t="s">
        <v>15279</v>
      </c>
      <c r="AD2394" s="10" t="s">
        <v>165</v>
      </c>
      <c r="AE2394" s="10" t="s">
        <v>18216</v>
      </c>
      <c r="AF2394" s="15"/>
      <c r="AG2394" s="10"/>
      <c r="AH2394" s="10"/>
      <c r="AI2394" s="10"/>
      <c r="AJ2394" s="10"/>
      <c r="AK2394" s="10" t="s">
        <v>102</v>
      </c>
      <c r="AL2394" s="10" t="s">
        <v>205</v>
      </c>
      <c r="AM2394" s="10"/>
      <c r="AN2394" s="10"/>
      <c r="AO2394" s="13" t="b">
        <v>0</v>
      </c>
      <c r="AP2394" s="22" t="s">
        <v>104</v>
      </c>
      <c r="AQ2394" s="10">
        <f ca="1">IFERROR(__xludf.DUMMYFUNCTION("""COMPUTED_VALUE"""),4690713)</f>
        <v>4690713</v>
      </c>
      <c r="AR2394" s="17">
        <v>2879</v>
      </c>
      <c r="AS2394" s="17">
        <v>2373</v>
      </c>
      <c r="AT2394" s="17">
        <v>41038.25</v>
      </c>
      <c r="AU2394" s="17">
        <v>5.3</v>
      </c>
      <c r="AV2394" s="17">
        <v>1</v>
      </c>
      <c r="AW2394" s="10" t="s">
        <v>105</v>
      </c>
      <c r="AX2394" s="17">
        <v>334</v>
      </c>
      <c r="AY2394" s="18">
        <v>17.293826380109564</v>
      </c>
      <c r="AZ2394" s="10" t="s">
        <v>148</v>
      </c>
      <c r="BA2394" s="20" t="b">
        <v>0</v>
      </c>
      <c r="BB2394" s="10"/>
      <c r="BC2394" s="17">
        <v>2879</v>
      </c>
      <c r="BD2394" s="17">
        <v>2373</v>
      </c>
      <c r="BE2394" s="17">
        <v>41038.25</v>
      </c>
      <c r="BF2394" s="17">
        <v>1</v>
      </c>
      <c r="BG2394" s="11">
        <f ca="1">IFERROR(__xludf.DUMMYFUNCTION("""COMPUTED_VALUE"""),45964.3472222222)</f>
        <v>45964.347222222197</v>
      </c>
      <c r="BH2394" s="17" t="s">
        <v>105</v>
      </c>
      <c r="BI2394" s="17"/>
      <c r="BJ2394" s="15"/>
      <c r="BK2394" s="15"/>
      <c r="BL2394" s="13"/>
      <c r="BM2394" s="10"/>
      <c r="BN2394" s="10" t="s">
        <v>118</v>
      </c>
      <c r="BO2394" s="11">
        <v>45953.550694444442</v>
      </c>
      <c r="BP2394" s="11">
        <v>45953.551261574074</v>
      </c>
      <c r="BQ2394" s="15">
        <v>45963.012858796297</v>
      </c>
      <c r="BR2394" s="15">
        <v>45963.408773148149</v>
      </c>
      <c r="BS2394" s="10" t="s">
        <v>118</v>
      </c>
      <c r="BT2394" s="10"/>
      <c r="BU2394" s="10"/>
      <c r="BV2394" s="10"/>
      <c r="BW2394" s="10"/>
      <c r="BX2394" s="10"/>
      <c r="BY2394" s="23"/>
      <c r="BZ2394" s="23"/>
      <c r="CA2394" s="19" t="s">
        <v>18217</v>
      </c>
      <c r="CB2394" s="23"/>
      <c r="CC2394" s="23"/>
      <c r="CD2394" s="19" t="s">
        <v>18218</v>
      </c>
      <c r="CE2394" s="23"/>
      <c r="CF2394" s="23"/>
      <c r="CG2394" s="23"/>
      <c r="CH2394" s="23"/>
      <c r="CI2394" s="23"/>
    </row>
    <row r="2395" spans="1:87" x14ac:dyDescent="0.3">
      <c r="A2395" s="9" t="s">
        <v>18219</v>
      </c>
      <c r="B2395" s="10" t="s">
        <v>13850</v>
      </c>
      <c r="C2395" s="11">
        <v>45954.875</v>
      </c>
      <c r="D2395" s="12">
        <v>8.6805555555555552E-2</v>
      </c>
      <c r="E2395" s="11">
        <v>45954.961805555555</v>
      </c>
      <c r="F2395" s="10" t="s">
        <v>8609</v>
      </c>
      <c r="G2395" s="13" t="b">
        <v>0</v>
      </c>
      <c r="H2395" s="22" t="s">
        <v>3564</v>
      </c>
      <c r="I2395" s="10" t="s">
        <v>89</v>
      </c>
      <c r="J2395" s="13" t="b">
        <v>0</v>
      </c>
      <c r="K2395" s="13" t="b">
        <v>1</v>
      </c>
      <c r="L2395" s="10" t="s">
        <v>124</v>
      </c>
      <c r="M2395" s="10" t="s">
        <v>91</v>
      </c>
      <c r="N2395" s="10" t="s">
        <v>92</v>
      </c>
      <c r="O2395" s="19" t="s">
        <v>18220</v>
      </c>
      <c r="P2395" s="10"/>
      <c r="Q2395" s="10" t="s">
        <v>94</v>
      </c>
      <c r="R2395" s="10"/>
      <c r="S2395" s="19" t="s">
        <v>13852</v>
      </c>
      <c r="T2395" s="10"/>
      <c r="U2395" s="10" t="s">
        <v>13697</v>
      </c>
      <c r="V2395" s="10" t="s">
        <v>13726</v>
      </c>
      <c r="W2395" s="10" t="s">
        <v>8613</v>
      </c>
      <c r="X2395" s="10" t="s">
        <v>130</v>
      </c>
      <c r="Y2395" s="10" t="s">
        <v>130</v>
      </c>
      <c r="Z2395" s="10" t="s">
        <v>99</v>
      </c>
      <c r="AA2395" s="10" t="s">
        <v>131</v>
      </c>
      <c r="AB2395" s="10" t="s">
        <v>8614</v>
      </c>
      <c r="AC2395" s="10" t="s">
        <v>3571</v>
      </c>
      <c r="AD2395" s="10" t="s">
        <v>13853</v>
      </c>
      <c r="AE2395" s="10" t="s">
        <v>13854</v>
      </c>
      <c r="AF2395" s="15"/>
      <c r="AG2395" s="10"/>
      <c r="AH2395" s="10"/>
      <c r="AI2395" s="10"/>
      <c r="AJ2395" s="10"/>
      <c r="AK2395" s="10" t="s">
        <v>102</v>
      </c>
      <c r="AL2395" s="10" t="s">
        <v>7897</v>
      </c>
      <c r="AM2395" s="10"/>
      <c r="AN2395" s="10"/>
      <c r="AO2395" s="13" t="b">
        <v>0</v>
      </c>
      <c r="AP2395" s="22" t="s">
        <v>104</v>
      </c>
      <c r="AQ2395" s="10">
        <f ca="1">IFERROR(__xludf.DUMMYFUNCTION("""COMPUTED_VALUE"""),4669421)</f>
        <v>4669421</v>
      </c>
      <c r="AR2395" s="17">
        <v>5640</v>
      </c>
      <c r="AS2395" s="17">
        <v>4765</v>
      </c>
      <c r="AT2395" s="17">
        <v>68085</v>
      </c>
      <c r="AU2395" s="17">
        <v>11.8</v>
      </c>
      <c r="AV2395" s="17">
        <v>1.8</v>
      </c>
      <c r="AW2395" s="10" t="s">
        <v>105</v>
      </c>
      <c r="AX2395" s="17">
        <v>1551</v>
      </c>
      <c r="AY2395" s="18">
        <v>14.288562434417628</v>
      </c>
      <c r="AZ2395" s="10" t="s">
        <v>185</v>
      </c>
      <c r="BA2395" s="20" t="b">
        <v>0</v>
      </c>
      <c r="BB2395" s="10"/>
      <c r="BC2395" s="17">
        <v>5640</v>
      </c>
      <c r="BD2395" s="17">
        <v>4765</v>
      </c>
      <c r="BE2395" s="17">
        <v>68085</v>
      </c>
      <c r="BF2395" s="17">
        <v>1.8</v>
      </c>
      <c r="BG2395" s="11">
        <f ca="1">IFERROR(__xludf.DUMMYFUNCTION("""COMPUTED_VALUE"""),45954.875)</f>
        <v>45954.875</v>
      </c>
      <c r="BH2395" s="17" t="s">
        <v>105</v>
      </c>
      <c r="BI2395" s="17"/>
      <c r="BJ2395" s="15"/>
      <c r="BK2395" s="15"/>
      <c r="BL2395" s="13" t="b">
        <v>0</v>
      </c>
      <c r="BM2395" s="10"/>
      <c r="BN2395" s="10" t="s">
        <v>137</v>
      </c>
      <c r="BO2395" s="11">
        <v>45954.434027777781</v>
      </c>
      <c r="BP2395" s="11">
        <v>45954.568136574075</v>
      </c>
      <c r="BQ2395" s="15">
        <v>45954.463437500002</v>
      </c>
      <c r="BR2395" s="15">
        <v>45954.585613425923</v>
      </c>
      <c r="BS2395" s="10" t="s">
        <v>137</v>
      </c>
      <c r="BT2395" s="10"/>
      <c r="BU2395" s="10"/>
      <c r="BV2395" s="10"/>
      <c r="BW2395" s="10"/>
      <c r="BX2395" s="10"/>
      <c r="BY2395" s="23"/>
      <c r="BZ2395" s="23"/>
      <c r="CA2395" s="19" t="s">
        <v>13855</v>
      </c>
      <c r="CB2395" s="23"/>
      <c r="CC2395" s="23"/>
      <c r="CD2395" s="23"/>
      <c r="CE2395" s="23"/>
      <c r="CF2395" s="23"/>
      <c r="CG2395" s="23"/>
      <c r="CH2395" s="23"/>
      <c r="CI2395" s="23"/>
    </row>
    <row r="2396" spans="1:87" x14ac:dyDescent="0.3">
      <c r="A2396" s="9" t="s">
        <v>18221</v>
      </c>
      <c r="B2396" s="10" t="s">
        <v>18222</v>
      </c>
      <c r="C2396" s="11">
        <v>45961.770833333336</v>
      </c>
      <c r="D2396" s="12">
        <v>2.0833333333333332E-2</v>
      </c>
      <c r="E2396" s="11">
        <v>45961.791666666664</v>
      </c>
      <c r="F2396" s="10" t="s">
        <v>3511</v>
      </c>
      <c r="G2396" s="13" t="b">
        <v>0</v>
      </c>
      <c r="H2396" s="22" t="s">
        <v>3512</v>
      </c>
      <c r="I2396" s="10" t="s">
        <v>212</v>
      </c>
      <c r="J2396" s="13" t="b">
        <v>1</v>
      </c>
      <c r="K2396" s="13" t="b">
        <v>0</v>
      </c>
      <c r="L2396" s="10" t="s">
        <v>124</v>
      </c>
      <c r="M2396" s="10" t="s">
        <v>91</v>
      </c>
      <c r="N2396" s="10" t="s">
        <v>92</v>
      </c>
      <c r="O2396" s="19" t="s">
        <v>18223</v>
      </c>
      <c r="P2396" s="10"/>
      <c r="Q2396" s="10" t="s">
        <v>94</v>
      </c>
      <c r="R2396" s="10"/>
      <c r="S2396" s="19" t="s">
        <v>4520</v>
      </c>
      <c r="T2396" s="10"/>
      <c r="U2396" s="10"/>
      <c r="V2396" s="10"/>
      <c r="W2396" s="10" t="s">
        <v>3519</v>
      </c>
      <c r="X2396" s="10" t="s">
        <v>130</v>
      </c>
      <c r="Y2396" s="10" t="s">
        <v>130</v>
      </c>
      <c r="Z2396" s="10" t="s">
        <v>99</v>
      </c>
      <c r="AA2396" s="10" t="s">
        <v>131</v>
      </c>
      <c r="AB2396" s="10" t="s">
        <v>3520</v>
      </c>
      <c r="AC2396" s="10" t="s">
        <v>3521</v>
      </c>
      <c r="AD2396" s="10" t="s">
        <v>165</v>
      </c>
      <c r="AE2396" s="10" t="s">
        <v>18224</v>
      </c>
      <c r="AF2396" s="15"/>
      <c r="AG2396" s="10"/>
      <c r="AH2396" s="10"/>
      <c r="AI2396" s="10"/>
      <c r="AJ2396" s="10"/>
      <c r="AK2396" s="10" t="s">
        <v>102</v>
      </c>
      <c r="AL2396" s="10"/>
      <c r="AM2396" s="10"/>
      <c r="AN2396" s="10"/>
      <c r="AO2396" s="13" t="b">
        <v>0</v>
      </c>
      <c r="AP2396" s="22" t="s">
        <v>104</v>
      </c>
      <c r="AQ2396" s="10">
        <f ca="1">IFERROR(__xludf.DUMMYFUNCTION("""COMPUTED_VALUE"""),4674547)</f>
        <v>4674547</v>
      </c>
      <c r="AR2396" s="17">
        <v>6796</v>
      </c>
      <c r="AS2396" s="17">
        <v>5782</v>
      </c>
      <c r="AT2396" s="17">
        <v>31446.25</v>
      </c>
      <c r="AU2396" s="17">
        <v>23.25</v>
      </c>
      <c r="AV2396" s="17">
        <v>1.5</v>
      </c>
      <c r="AW2396" s="10" t="s">
        <v>105</v>
      </c>
      <c r="AX2396" s="17">
        <v>2522</v>
      </c>
      <c r="AY2396" s="18">
        <v>5.4386457973019713</v>
      </c>
      <c r="AZ2396" s="10"/>
      <c r="BA2396" s="20" t="b">
        <v>0</v>
      </c>
      <c r="BB2396" s="10"/>
      <c r="BC2396" s="17">
        <v>6796</v>
      </c>
      <c r="BD2396" s="17">
        <v>5782</v>
      </c>
      <c r="BE2396" s="17">
        <v>31446.25</v>
      </c>
      <c r="BF2396" s="17">
        <v>1.5</v>
      </c>
      <c r="BG2396" s="11">
        <f ca="1">IFERROR(__xludf.DUMMYFUNCTION("""COMPUTED_VALUE"""),45961.7708333333)</f>
        <v>45961.770833333299</v>
      </c>
      <c r="BH2396" s="17" t="s">
        <v>105</v>
      </c>
      <c r="BI2396" s="17"/>
      <c r="BJ2396" s="15"/>
      <c r="BK2396" s="15"/>
      <c r="BL2396" s="13" t="b">
        <v>0</v>
      </c>
      <c r="BM2396" s="10"/>
      <c r="BN2396" s="10" t="s">
        <v>136</v>
      </c>
      <c r="BO2396" s="11">
        <v>45954.448611111111</v>
      </c>
      <c r="BP2396" s="11">
        <v>45954.448680555557</v>
      </c>
      <c r="BQ2396" s="15">
        <v>45995.65284722222</v>
      </c>
      <c r="BR2396" s="15">
        <v>45958.515208333331</v>
      </c>
      <c r="BS2396" s="10"/>
      <c r="BT2396" s="10"/>
      <c r="BU2396" s="10"/>
      <c r="BV2396" s="10"/>
      <c r="BW2396" s="10"/>
      <c r="BX2396" s="10"/>
      <c r="BY2396" s="23"/>
      <c r="BZ2396" s="23"/>
      <c r="CA2396" s="19" t="s">
        <v>18225</v>
      </c>
      <c r="CB2396" s="23"/>
      <c r="CC2396" s="23"/>
      <c r="CD2396" s="23"/>
      <c r="CE2396" s="23"/>
      <c r="CF2396" s="23"/>
      <c r="CG2396" s="23"/>
      <c r="CH2396" s="23"/>
      <c r="CI2396" s="23"/>
    </row>
    <row r="2397" spans="1:87" x14ac:dyDescent="0.3">
      <c r="A2397" s="9" t="s">
        <v>18226</v>
      </c>
      <c r="B2397" s="10" t="s">
        <v>18227</v>
      </c>
      <c r="C2397" s="11">
        <v>45962.770833333336</v>
      </c>
      <c r="D2397" s="12">
        <v>2.0833333333333332E-2</v>
      </c>
      <c r="E2397" s="11">
        <v>45962.791666666664</v>
      </c>
      <c r="F2397" s="10" t="s">
        <v>3511</v>
      </c>
      <c r="G2397" s="13" t="b">
        <v>0</v>
      </c>
      <c r="H2397" s="22" t="s">
        <v>3512</v>
      </c>
      <c r="I2397" s="10" t="s">
        <v>212</v>
      </c>
      <c r="J2397" s="13" t="b">
        <v>1</v>
      </c>
      <c r="K2397" s="13" t="b">
        <v>0</v>
      </c>
      <c r="L2397" s="10" t="s">
        <v>124</v>
      </c>
      <c r="M2397" s="10" t="s">
        <v>91</v>
      </c>
      <c r="N2397" s="10" t="s">
        <v>92</v>
      </c>
      <c r="O2397" s="19" t="s">
        <v>18228</v>
      </c>
      <c r="P2397" s="10"/>
      <c r="Q2397" s="10" t="s">
        <v>94</v>
      </c>
      <c r="R2397" s="10"/>
      <c r="S2397" s="19" t="s">
        <v>18229</v>
      </c>
      <c r="T2397" s="10"/>
      <c r="U2397" s="10"/>
      <c r="V2397" s="10"/>
      <c r="W2397" s="10" t="s">
        <v>3519</v>
      </c>
      <c r="X2397" s="10" t="s">
        <v>130</v>
      </c>
      <c r="Y2397" s="10" t="s">
        <v>130</v>
      </c>
      <c r="Z2397" s="10" t="s">
        <v>99</v>
      </c>
      <c r="AA2397" s="10" t="s">
        <v>131</v>
      </c>
      <c r="AB2397" s="10" t="s">
        <v>3520</v>
      </c>
      <c r="AC2397" s="10" t="s">
        <v>3521</v>
      </c>
      <c r="AD2397" s="10" t="s">
        <v>165</v>
      </c>
      <c r="AE2397" s="10" t="s">
        <v>18230</v>
      </c>
      <c r="AF2397" s="15"/>
      <c r="AG2397" s="10"/>
      <c r="AH2397" s="10"/>
      <c r="AI2397" s="10"/>
      <c r="AJ2397" s="10"/>
      <c r="AK2397" s="10" t="s">
        <v>102</v>
      </c>
      <c r="AL2397" s="10"/>
      <c r="AM2397" s="10"/>
      <c r="AN2397" s="10"/>
      <c r="AO2397" s="13" t="b">
        <v>0</v>
      </c>
      <c r="AP2397" s="22" t="s">
        <v>104</v>
      </c>
      <c r="AQ2397" s="10">
        <f ca="1">IFERROR(__xludf.DUMMYFUNCTION("""COMPUTED_VALUE"""),4674556)</f>
        <v>4674556</v>
      </c>
      <c r="AR2397" s="17">
        <v>13783</v>
      </c>
      <c r="AS2397" s="17">
        <v>11442</v>
      </c>
      <c r="AT2397" s="17">
        <v>75420.75</v>
      </c>
      <c r="AU2397" s="17">
        <v>137.55000000000001</v>
      </c>
      <c r="AV2397" s="17">
        <v>73.349999999999994</v>
      </c>
      <c r="AW2397" s="10" t="s">
        <v>105</v>
      </c>
      <c r="AX2397" s="17">
        <v>6952</v>
      </c>
      <c r="AY2397" s="18">
        <v>6.5915705296276874</v>
      </c>
      <c r="AZ2397" s="10"/>
      <c r="BA2397" s="20" t="b">
        <v>0</v>
      </c>
      <c r="BB2397" s="10"/>
      <c r="BC2397" s="17">
        <v>13783</v>
      </c>
      <c r="BD2397" s="17">
        <v>11442</v>
      </c>
      <c r="BE2397" s="17">
        <v>75420.75</v>
      </c>
      <c r="BF2397" s="17">
        <v>73.349999999999994</v>
      </c>
      <c r="BG2397" s="11">
        <f ca="1">IFERROR(__xludf.DUMMYFUNCTION("""COMPUTED_VALUE"""),45962.7708333333)</f>
        <v>45962.770833333299</v>
      </c>
      <c r="BH2397" s="17" t="s">
        <v>105</v>
      </c>
      <c r="BI2397" s="17"/>
      <c r="BJ2397" s="15"/>
      <c r="BK2397" s="15"/>
      <c r="BL2397" s="13" t="b">
        <v>0</v>
      </c>
      <c r="BM2397" s="10"/>
      <c r="BN2397" s="10" t="s">
        <v>149</v>
      </c>
      <c r="BO2397" s="11">
        <v>45954.449305555558</v>
      </c>
      <c r="BP2397" s="11">
        <v>45954.449803240743</v>
      </c>
      <c r="BQ2397" s="15">
        <v>45957.718888888892</v>
      </c>
      <c r="BR2397" s="15">
        <v>45958.500451388885</v>
      </c>
      <c r="BS2397" s="10" t="s">
        <v>149</v>
      </c>
      <c r="BT2397" s="10"/>
      <c r="BU2397" s="10"/>
      <c r="BV2397" s="10"/>
      <c r="BW2397" s="10"/>
      <c r="BX2397" s="10"/>
      <c r="BY2397" s="23"/>
      <c r="BZ2397" s="23"/>
      <c r="CA2397" s="19" t="s">
        <v>18231</v>
      </c>
      <c r="CB2397" s="23"/>
      <c r="CC2397" s="23"/>
      <c r="CD2397" s="23"/>
      <c r="CE2397" s="23"/>
      <c r="CF2397" s="23"/>
      <c r="CG2397" s="23"/>
      <c r="CH2397" s="23"/>
      <c r="CI2397" s="23"/>
    </row>
    <row r="2398" spans="1:87" x14ac:dyDescent="0.3">
      <c r="A2398" s="9" t="s">
        <v>18232</v>
      </c>
      <c r="B2398" s="10" t="s">
        <v>18233</v>
      </c>
      <c r="C2398" s="11">
        <v>45963.770833333336</v>
      </c>
      <c r="D2398" s="12">
        <v>2.0833333333333332E-2</v>
      </c>
      <c r="E2398" s="11">
        <v>45963.791666666664</v>
      </c>
      <c r="F2398" s="10" t="s">
        <v>3511</v>
      </c>
      <c r="G2398" s="13" t="b">
        <v>0</v>
      </c>
      <c r="H2398" s="22" t="s">
        <v>3512</v>
      </c>
      <c r="I2398" s="10" t="s">
        <v>212</v>
      </c>
      <c r="J2398" s="13" t="b">
        <v>1</v>
      </c>
      <c r="K2398" s="13" t="b">
        <v>0</v>
      </c>
      <c r="L2398" s="10" t="s">
        <v>90</v>
      </c>
      <c r="M2398" s="10" t="s">
        <v>91</v>
      </c>
      <c r="N2398" s="10" t="s">
        <v>92</v>
      </c>
      <c r="O2398" s="19" t="s">
        <v>18234</v>
      </c>
      <c r="P2398" s="10"/>
      <c r="Q2398" s="10" t="s">
        <v>94</v>
      </c>
      <c r="R2398" s="10"/>
      <c r="S2398" s="19" t="s">
        <v>18229</v>
      </c>
      <c r="T2398" s="10"/>
      <c r="U2398" s="10"/>
      <c r="V2398" s="10"/>
      <c r="W2398" s="10" t="s">
        <v>3519</v>
      </c>
      <c r="X2398" s="10" t="s">
        <v>130</v>
      </c>
      <c r="Y2398" s="10" t="s">
        <v>130</v>
      </c>
      <c r="Z2398" s="10" t="s">
        <v>99</v>
      </c>
      <c r="AA2398" s="10" t="s">
        <v>131</v>
      </c>
      <c r="AB2398" s="10" t="s">
        <v>3520</v>
      </c>
      <c r="AC2398" s="10" t="s">
        <v>3521</v>
      </c>
      <c r="AD2398" s="10" t="s">
        <v>165</v>
      </c>
      <c r="AE2398" s="10" t="s">
        <v>18235</v>
      </c>
      <c r="AF2398" s="15"/>
      <c r="AG2398" s="10"/>
      <c r="AH2398" s="10"/>
      <c r="AI2398" s="10"/>
      <c r="AJ2398" s="10"/>
      <c r="AK2398" s="10" t="s">
        <v>102</v>
      </c>
      <c r="AL2398" s="10"/>
      <c r="AM2398" s="10"/>
      <c r="AN2398" s="10"/>
      <c r="AO2398" s="13" t="b">
        <v>0</v>
      </c>
      <c r="AP2398" s="22" t="s">
        <v>104</v>
      </c>
      <c r="AQ2398" s="10">
        <f ca="1">IFERROR(__xludf.DUMMYFUNCTION("""COMPUTED_VALUE"""),4674557)</f>
        <v>4674557</v>
      </c>
      <c r="AR2398" s="17">
        <v>5476</v>
      </c>
      <c r="AS2398" s="17">
        <v>4730</v>
      </c>
      <c r="AT2398" s="17">
        <v>20886.5</v>
      </c>
      <c r="AU2398" s="17">
        <v>19.8</v>
      </c>
      <c r="AV2398" s="17">
        <v>9.25</v>
      </c>
      <c r="AW2398" s="10" t="s">
        <v>105</v>
      </c>
      <c r="AX2398" s="17">
        <v>2549</v>
      </c>
      <c r="AY2398" s="18">
        <v>4.415750528541226</v>
      </c>
      <c r="AZ2398" s="10"/>
      <c r="BA2398" s="20" t="b">
        <v>0</v>
      </c>
      <c r="BB2398" s="10"/>
      <c r="BC2398" s="17">
        <v>5476</v>
      </c>
      <c r="BD2398" s="17">
        <v>4730</v>
      </c>
      <c r="BE2398" s="17">
        <v>20886.5</v>
      </c>
      <c r="BF2398" s="17">
        <v>9.25</v>
      </c>
      <c r="BG2398" s="11">
        <f ca="1">IFERROR(__xludf.DUMMYFUNCTION("""COMPUTED_VALUE"""),45963.7708333333)</f>
        <v>45963.770833333299</v>
      </c>
      <c r="BH2398" s="17" t="s">
        <v>105</v>
      </c>
      <c r="BI2398" s="17"/>
      <c r="BJ2398" s="15"/>
      <c r="BK2398" s="15"/>
      <c r="BL2398" s="13" t="b">
        <v>0</v>
      </c>
      <c r="BM2398" s="10"/>
      <c r="BN2398" s="10" t="s">
        <v>137</v>
      </c>
      <c r="BO2398" s="11">
        <v>45954.450694444444</v>
      </c>
      <c r="BP2398" s="11">
        <v>45954.450868055559</v>
      </c>
      <c r="BQ2398" s="15">
        <v>45957.718935185185</v>
      </c>
      <c r="BR2398" s="15">
        <v>45958.51290509259</v>
      </c>
      <c r="BS2398" s="10" t="s">
        <v>137</v>
      </c>
      <c r="BT2398" s="10"/>
      <c r="BU2398" s="10"/>
      <c r="BV2398" s="10"/>
      <c r="BW2398" s="10"/>
      <c r="BX2398" s="10"/>
      <c r="BY2398" s="23"/>
      <c r="BZ2398" s="23"/>
      <c r="CA2398" s="19" t="s">
        <v>18236</v>
      </c>
      <c r="CB2398" s="23"/>
      <c r="CC2398" s="23"/>
      <c r="CD2398" s="23"/>
      <c r="CE2398" s="23"/>
      <c r="CF2398" s="23"/>
      <c r="CG2398" s="23"/>
      <c r="CH2398" s="23"/>
      <c r="CI2398" s="23"/>
    </row>
    <row r="2399" spans="1:87" x14ac:dyDescent="0.3">
      <c r="A2399" s="9" t="s">
        <v>18237</v>
      </c>
      <c r="B2399" s="10" t="s">
        <v>18238</v>
      </c>
      <c r="C2399" s="11">
        <v>45984.979166666664</v>
      </c>
      <c r="D2399" s="12">
        <v>8.3333333333333329E-2</v>
      </c>
      <c r="E2399" s="11">
        <v>45985.0625</v>
      </c>
      <c r="F2399" s="10" t="s">
        <v>262</v>
      </c>
      <c r="G2399" s="13" t="b">
        <v>0</v>
      </c>
      <c r="H2399" s="22" t="s">
        <v>305</v>
      </c>
      <c r="I2399" s="10" t="s">
        <v>264</v>
      </c>
      <c r="J2399" s="13" t="b">
        <v>0</v>
      </c>
      <c r="K2399" s="13" t="b">
        <v>1</v>
      </c>
      <c r="L2399" s="10" t="s">
        <v>124</v>
      </c>
      <c r="M2399" s="10" t="s">
        <v>91</v>
      </c>
      <c r="N2399" s="10" t="s">
        <v>265</v>
      </c>
      <c r="O2399" s="19" t="s">
        <v>18239</v>
      </c>
      <c r="P2399" s="10"/>
      <c r="Q2399" s="10" t="s">
        <v>94</v>
      </c>
      <c r="R2399" s="10"/>
      <c r="S2399" s="19" t="s">
        <v>1474</v>
      </c>
      <c r="T2399" s="10"/>
      <c r="U2399" s="10" t="s">
        <v>362</v>
      </c>
      <c r="V2399" s="10" t="s">
        <v>429</v>
      </c>
      <c r="W2399" s="10" t="s">
        <v>272</v>
      </c>
      <c r="X2399" s="10" t="s">
        <v>130</v>
      </c>
      <c r="Y2399" s="10" t="s">
        <v>130</v>
      </c>
      <c r="Z2399" s="10" t="s">
        <v>99</v>
      </c>
      <c r="AA2399" s="10" t="s">
        <v>131</v>
      </c>
      <c r="AB2399" s="10" t="s">
        <v>273</v>
      </c>
      <c r="AC2399" s="10" t="s">
        <v>274</v>
      </c>
      <c r="AD2399" s="10" t="s">
        <v>1475</v>
      </c>
      <c r="AE2399" s="10" t="s">
        <v>18240</v>
      </c>
      <c r="AF2399" s="15"/>
      <c r="AG2399" s="10"/>
      <c r="AH2399" s="10"/>
      <c r="AI2399" s="10"/>
      <c r="AJ2399" s="10"/>
      <c r="AK2399" s="10" t="s">
        <v>102</v>
      </c>
      <c r="AL2399" s="10" t="s">
        <v>1467</v>
      </c>
      <c r="AM2399" s="10"/>
      <c r="AN2399" s="10"/>
      <c r="AO2399" s="13" t="b">
        <v>0</v>
      </c>
      <c r="AP2399" s="22" t="s">
        <v>104</v>
      </c>
      <c r="AQ2399" s="10">
        <f ca="1">IFERROR(__xludf.DUMMYFUNCTION("""COMPUTED_VALUE"""),4726072)</f>
        <v>4726072</v>
      </c>
      <c r="AR2399" s="17">
        <v>3758</v>
      </c>
      <c r="AS2399" s="17">
        <v>3525</v>
      </c>
      <c r="AT2399" s="17">
        <v>19692.25</v>
      </c>
      <c r="AU2399" s="17">
        <v>9.25</v>
      </c>
      <c r="AV2399" s="17">
        <v>3.85</v>
      </c>
      <c r="AW2399" s="10" t="s">
        <v>105</v>
      </c>
      <c r="AX2399" s="17">
        <v>441</v>
      </c>
      <c r="AY2399" s="18">
        <v>5.5864539007092198</v>
      </c>
      <c r="AZ2399" s="10" t="s">
        <v>148</v>
      </c>
      <c r="BA2399" s="20" t="b">
        <v>0</v>
      </c>
      <c r="BB2399" s="10"/>
      <c r="BC2399" s="17">
        <v>3758</v>
      </c>
      <c r="BD2399" s="17">
        <v>3525</v>
      </c>
      <c r="BE2399" s="17">
        <v>19692.25</v>
      </c>
      <c r="BF2399" s="17">
        <v>3.85</v>
      </c>
      <c r="BG2399" s="11">
        <f ca="1">IFERROR(__xludf.DUMMYFUNCTION("""COMPUTED_VALUE"""),45984.9791666666)</f>
        <v>45984.979166666599</v>
      </c>
      <c r="BH2399" s="17" t="s">
        <v>105</v>
      </c>
      <c r="BI2399" s="17"/>
      <c r="BJ2399" s="15"/>
      <c r="BK2399" s="15"/>
      <c r="BL2399" s="13" t="b">
        <v>0</v>
      </c>
      <c r="BM2399" s="10"/>
      <c r="BN2399" s="10" t="s">
        <v>1149</v>
      </c>
      <c r="BO2399" s="11">
        <v>45954.620833333334</v>
      </c>
      <c r="BP2399" s="11">
        <v>45971.833865740744</v>
      </c>
      <c r="BQ2399" s="15">
        <v>45981.494872685187</v>
      </c>
      <c r="BR2399" s="15">
        <v>45981.633668981478</v>
      </c>
      <c r="BS2399" s="10" t="s">
        <v>1149</v>
      </c>
      <c r="BT2399" s="10"/>
      <c r="BU2399" s="10"/>
      <c r="BV2399" s="10"/>
      <c r="BW2399" s="10"/>
      <c r="BX2399" s="10"/>
      <c r="BY2399" s="23"/>
      <c r="BZ2399" s="23"/>
      <c r="CA2399" s="19" t="s">
        <v>1478</v>
      </c>
      <c r="CB2399" s="23"/>
      <c r="CC2399" s="23"/>
      <c r="CD2399" s="23"/>
      <c r="CE2399" s="23"/>
      <c r="CF2399" s="23"/>
      <c r="CG2399" s="23"/>
      <c r="CH2399" s="23"/>
      <c r="CI2399" s="23"/>
    </row>
    <row r="2400" spans="1:87" x14ac:dyDescent="0.3">
      <c r="A2400" s="9" t="s">
        <v>18241</v>
      </c>
      <c r="B2400" s="10" t="s">
        <v>18242</v>
      </c>
      <c r="C2400" s="11">
        <v>45955.291666666664</v>
      </c>
      <c r="D2400" s="12">
        <v>0.29166666666666669</v>
      </c>
      <c r="E2400" s="11">
        <v>45955.583333333336</v>
      </c>
      <c r="F2400" s="10" t="s">
        <v>9016</v>
      </c>
      <c r="G2400" s="13" t="b">
        <v>0</v>
      </c>
      <c r="H2400" s="22" t="s">
        <v>9017</v>
      </c>
      <c r="I2400" s="10" t="s">
        <v>212</v>
      </c>
      <c r="J2400" s="13" t="b">
        <v>1</v>
      </c>
      <c r="K2400" s="13" t="b">
        <v>0</v>
      </c>
      <c r="L2400" s="10" t="s">
        <v>124</v>
      </c>
      <c r="M2400" s="10" t="s">
        <v>91</v>
      </c>
      <c r="N2400" s="10" t="s">
        <v>92</v>
      </c>
      <c r="O2400" s="19" t="s">
        <v>18243</v>
      </c>
      <c r="P2400" s="10"/>
      <c r="Q2400" s="10" t="s">
        <v>94</v>
      </c>
      <c r="R2400" s="10"/>
      <c r="S2400" s="19" t="s">
        <v>9019</v>
      </c>
      <c r="T2400" s="10"/>
      <c r="U2400" s="10"/>
      <c r="V2400" s="10"/>
      <c r="W2400" s="10" t="s">
        <v>9020</v>
      </c>
      <c r="X2400" s="10" t="s">
        <v>130</v>
      </c>
      <c r="Y2400" s="10" t="s">
        <v>130</v>
      </c>
      <c r="Z2400" s="10" t="s">
        <v>99</v>
      </c>
      <c r="AA2400" s="10" t="s">
        <v>131</v>
      </c>
      <c r="AB2400" s="10" t="s">
        <v>9021</v>
      </c>
      <c r="AC2400" s="10" t="s">
        <v>9022</v>
      </c>
      <c r="AD2400" s="10" t="s">
        <v>165</v>
      </c>
      <c r="AE2400" s="10" t="s">
        <v>18244</v>
      </c>
      <c r="AF2400" s="15"/>
      <c r="AG2400" s="10"/>
      <c r="AH2400" s="10"/>
      <c r="AI2400" s="10"/>
      <c r="AJ2400" s="10"/>
      <c r="AK2400" s="10" t="s">
        <v>102</v>
      </c>
      <c r="AL2400" s="10" t="s">
        <v>195</v>
      </c>
      <c r="AM2400" s="10"/>
      <c r="AN2400" s="10"/>
      <c r="AO2400" s="13" t="b">
        <v>0</v>
      </c>
      <c r="AP2400" s="22" t="s">
        <v>104</v>
      </c>
      <c r="AQ2400" s="10">
        <f ca="1">IFERROR(__xludf.DUMMYFUNCTION("""COMPUTED_VALUE"""),19745)</f>
        <v>19745</v>
      </c>
      <c r="AR2400" s="21">
        <v>331</v>
      </c>
      <c r="AS2400" s="21">
        <v>284</v>
      </c>
      <c r="AT2400" s="21">
        <v>3113</v>
      </c>
      <c r="AU2400" s="21">
        <v>0</v>
      </c>
      <c r="AV2400" s="21">
        <v>0</v>
      </c>
      <c r="AW2400" s="22" t="s">
        <v>105</v>
      </c>
      <c r="AX2400" s="17"/>
      <c r="AY2400" s="18">
        <v>8.2625324916450058</v>
      </c>
      <c r="AZ2400" s="10"/>
      <c r="BA2400" s="20" t="b">
        <v>1</v>
      </c>
      <c r="BB2400" s="10"/>
      <c r="BC2400" s="17">
        <v>3119</v>
      </c>
      <c r="BD2400" s="17">
        <v>2693</v>
      </c>
      <c r="BE2400" s="17">
        <v>22251</v>
      </c>
      <c r="BF2400" s="17">
        <v>0.9</v>
      </c>
      <c r="BG2400" s="11">
        <f ca="1">IFERROR(__xludf.DUMMYFUNCTION("""COMPUTED_VALUE"""),45955.2916666666)</f>
        <v>45955.291666666599</v>
      </c>
      <c r="BH2400" s="17" t="s">
        <v>105</v>
      </c>
      <c r="BI2400" s="17"/>
      <c r="BJ2400" s="15"/>
      <c r="BK2400" s="15"/>
      <c r="BL2400" s="13" t="b">
        <v>0</v>
      </c>
      <c r="BM2400" s="10"/>
      <c r="BN2400" s="10" t="s">
        <v>157</v>
      </c>
      <c r="BO2400" s="11">
        <v>45954.634722222225</v>
      </c>
      <c r="BP2400" s="11">
        <v>45954.724224537036</v>
      </c>
      <c r="BQ2400" s="15">
        <v>45955.257384259261</v>
      </c>
      <c r="BR2400" s="15">
        <v>45955.355833333335</v>
      </c>
      <c r="BS2400" s="10" t="s">
        <v>157</v>
      </c>
      <c r="BT2400" s="10"/>
      <c r="BU2400" s="10"/>
      <c r="BV2400" s="10"/>
      <c r="BW2400" s="10"/>
      <c r="BX2400" s="10"/>
      <c r="BY2400" s="23"/>
      <c r="BZ2400" s="23"/>
      <c r="CA2400" s="19" t="s">
        <v>9024</v>
      </c>
      <c r="CB2400" s="23"/>
      <c r="CC2400" s="23"/>
      <c r="CD2400" s="23"/>
      <c r="CE2400" s="23"/>
      <c r="CF2400" s="23"/>
      <c r="CG2400" s="23"/>
      <c r="CH2400" s="23"/>
      <c r="CI2400" s="23"/>
    </row>
    <row r="2401" spans="1:87" x14ac:dyDescent="0.3">
      <c r="A2401" s="9" t="s">
        <v>18245</v>
      </c>
      <c r="B2401" s="10" t="s">
        <v>18246</v>
      </c>
      <c r="C2401" s="11">
        <v>45955.291666666664</v>
      </c>
      <c r="D2401" s="12">
        <v>1.7361111111111112E-2</v>
      </c>
      <c r="E2401" s="11">
        <v>45955.309027777781</v>
      </c>
      <c r="F2401" s="10" t="s">
        <v>9016</v>
      </c>
      <c r="G2401" s="13" t="b">
        <v>0</v>
      </c>
      <c r="H2401" s="22" t="s">
        <v>9017</v>
      </c>
      <c r="I2401" s="10" t="s">
        <v>212</v>
      </c>
      <c r="J2401" s="13" t="b">
        <v>1</v>
      </c>
      <c r="K2401" s="13" t="b">
        <v>0</v>
      </c>
      <c r="L2401" s="10" t="s">
        <v>124</v>
      </c>
      <c r="M2401" s="10" t="s">
        <v>91</v>
      </c>
      <c r="N2401" s="10" t="s">
        <v>92</v>
      </c>
      <c r="O2401" s="19" t="s">
        <v>18247</v>
      </c>
      <c r="P2401" s="10"/>
      <c r="Q2401" s="10" t="s">
        <v>94</v>
      </c>
      <c r="R2401" s="10"/>
      <c r="S2401" s="19" t="s">
        <v>9019</v>
      </c>
      <c r="T2401" s="10"/>
      <c r="U2401" s="10"/>
      <c r="V2401" s="10"/>
      <c r="W2401" s="10" t="s">
        <v>9020</v>
      </c>
      <c r="X2401" s="10" t="s">
        <v>130</v>
      </c>
      <c r="Y2401" s="10" t="s">
        <v>130</v>
      </c>
      <c r="Z2401" s="10" t="s">
        <v>99</v>
      </c>
      <c r="AA2401" s="10" t="s">
        <v>131</v>
      </c>
      <c r="AB2401" s="10" t="s">
        <v>9021</v>
      </c>
      <c r="AC2401" s="10" t="s">
        <v>9022</v>
      </c>
      <c r="AD2401" s="10" t="s">
        <v>165</v>
      </c>
      <c r="AE2401" s="10" t="s">
        <v>18248</v>
      </c>
      <c r="AF2401" s="15"/>
      <c r="AG2401" s="10"/>
      <c r="AH2401" s="10"/>
      <c r="AI2401" s="10"/>
      <c r="AJ2401" s="10"/>
      <c r="AK2401" s="10" t="s">
        <v>102</v>
      </c>
      <c r="AL2401" s="10"/>
      <c r="AM2401" s="10"/>
      <c r="AN2401" s="10"/>
      <c r="AO2401" s="13" t="b">
        <v>0</v>
      </c>
      <c r="AP2401" s="22" t="s">
        <v>104</v>
      </c>
      <c r="AQ2401" s="10">
        <f ca="1">IFERROR(__xludf.DUMMYFUNCTION("""COMPUTED_VALUE"""),4670864)</f>
        <v>4670864</v>
      </c>
      <c r="AR2401" s="17">
        <v>412</v>
      </c>
      <c r="AS2401" s="17">
        <v>350</v>
      </c>
      <c r="AT2401" s="17">
        <v>2396.5</v>
      </c>
      <c r="AU2401" s="17">
        <v>1.1000000000000001</v>
      </c>
      <c r="AV2401" s="17">
        <v>0</v>
      </c>
      <c r="AW2401" s="10" t="s">
        <v>105</v>
      </c>
      <c r="AX2401" s="17">
        <v>99</v>
      </c>
      <c r="AY2401" s="18">
        <v>6.847142857142857</v>
      </c>
      <c r="AZ2401" s="10"/>
      <c r="BA2401" s="20" t="b">
        <v>0</v>
      </c>
      <c r="BB2401" s="10" t="s">
        <v>18241</v>
      </c>
      <c r="BC2401" s="17">
        <v>412</v>
      </c>
      <c r="BD2401" s="17">
        <v>350</v>
      </c>
      <c r="BE2401" s="17">
        <v>2396.5</v>
      </c>
      <c r="BF2401" s="17">
        <v>0</v>
      </c>
      <c r="BG2401" s="11">
        <f ca="1">IFERROR(__xludf.DUMMYFUNCTION("""COMPUTED_VALUE"""),45955.2916666666)</f>
        <v>45955.291666666599</v>
      </c>
      <c r="BH2401" s="17" t="s">
        <v>105</v>
      </c>
      <c r="BI2401" s="17"/>
      <c r="BJ2401" s="15"/>
      <c r="BK2401" s="15"/>
      <c r="BL2401" s="13" t="b">
        <v>0</v>
      </c>
      <c r="BM2401" s="10"/>
      <c r="BN2401" s="10" t="s">
        <v>157</v>
      </c>
      <c r="BO2401" s="11">
        <v>45954.636805555558</v>
      </c>
      <c r="BP2401" s="11">
        <v>45954.637824074074</v>
      </c>
      <c r="BQ2401" s="15"/>
      <c r="BR2401" s="15">
        <v>45955.356076388889</v>
      </c>
      <c r="BS2401" s="10" t="s">
        <v>157</v>
      </c>
      <c r="BT2401" s="10"/>
      <c r="BU2401" s="10"/>
      <c r="BV2401" s="10"/>
      <c r="BW2401" s="10"/>
      <c r="BX2401" s="10"/>
      <c r="BY2401" s="23"/>
      <c r="BZ2401" s="23"/>
      <c r="CA2401" s="19" t="s">
        <v>9024</v>
      </c>
      <c r="CB2401" s="23"/>
      <c r="CC2401" s="23"/>
      <c r="CD2401" s="23"/>
      <c r="CE2401" s="23"/>
      <c r="CF2401" s="23"/>
      <c r="CG2401" s="23"/>
      <c r="CH2401" s="23"/>
      <c r="CI2401" s="23"/>
    </row>
    <row r="2402" spans="1:87" x14ac:dyDescent="0.3">
      <c r="A2402" s="9" t="s">
        <v>18249</v>
      </c>
      <c r="B2402" s="10" t="s">
        <v>18250</v>
      </c>
      <c r="C2402" s="11">
        <v>45955.354166666664</v>
      </c>
      <c r="D2402" s="12">
        <v>1.7361111111111112E-2</v>
      </c>
      <c r="E2402" s="11">
        <v>45955.371527777781</v>
      </c>
      <c r="F2402" s="10" t="s">
        <v>9016</v>
      </c>
      <c r="G2402" s="13" t="b">
        <v>0</v>
      </c>
      <c r="H2402" s="22" t="s">
        <v>9017</v>
      </c>
      <c r="I2402" s="10" t="s">
        <v>212</v>
      </c>
      <c r="J2402" s="13" t="b">
        <v>1</v>
      </c>
      <c r="K2402" s="13" t="b">
        <v>0</v>
      </c>
      <c r="L2402" s="10" t="s">
        <v>124</v>
      </c>
      <c r="M2402" s="10" t="s">
        <v>91</v>
      </c>
      <c r="N2402" s="10" t="s">
        <v>92</v>
      </c>
      <c r="O2402" s="19" t="s">
        <v>18251</v>
      </c>
      <c r="P2402" s="10"/>
      <c r="Q2402" s="10" t="s">
        <v>94</v>
      </c>
      <c r="R2402" s="10"/>
      <c r="S2402" s="19" t="s">
        <v>9019</v>
      </c>
      <c r="T2402" s="10"/>
      <c r="U2402" s="10"/>
      <c r="V2402" s="10"/>
      <c r="W2402" s="10" t="s">
        <v>9020</v>
      </c>
      <c r="X2402" s="10" t="s">
        <v>130</v>
      </c>
      <c r="Y2402" s="10" t="s">
        <v>130</v>
      </c>
      <c r="Z2402" s="10" t="s">
        <v>99</v>
      </c>
      <c r="AA2402" s="10" t="s">
        <v>131</v>
      </c>
      <c r="AB2402" s="10" t="s">
        <v>9021</v>
      </c>
      <c r="AC2402" s="10" t="s">
        <v>9022</v>
      </c>
      <c r="AD2402" s="10" t="s">
        <v>165</v>
      </c>
      <c r="AE2402" s="10" t="s">
        <v>18252</v>
      </c>
      <c r="AF2402" s="15"/>
      <c r="AG2402" s="10"/>
      <c r="AH2402" s="10"/>
      <c r="AI2402" s="10"/>
      <c r="AJ2402" s="10"/>
      <c r="AK2402" s="10" t="s">
        <v>102</v>
      </c>
      <c r="AL2402" s="10"/>
      <c r="AM2402" s="10"/>
      <c r="AN2402" s="10"/>
      <c r="AO2402" s="13" t="b">
        <v>0</v>
      </c>
      <c r="AP2402" s="22" t="s">
        <v>104</v>
      </c>
      <c r="AQ2402" s="10">
        <f ca="1">IFERROR(__xludf.DUMMYFUNCTION("""COMPUTED_VALUE"""),4670867)</f>
        <v>4670867</v>
      </c>
      <c r="AR2402" s="17">
        <v>163</v>
      </c>
      <c r="AS2402" s="17">
        <v>146</v>
      </c>
      <c r="AT2402" s="17">
        <v>1115</v>
      </c>
      <c r="AU2402" s="17">
        <v>0</v>
      </c>
      <c r="AV2402" s="17">
        <v>0</v>
      </c>
      <c r="AW2402" s="10" t="s">
        <v>105</v>
      </c>
      <c r="AX2402" s="17">
        <v>107</v>
      </c>
      <c r="AY2402" s="18">
        <v>7.6369863013698627</v>
      </c>
      <c r="AZ2402" s="10"/>
      <c r="BA2402" s="20" t="b">
        <v>0</v>
      </c>
      <c r="BB2402" s="10" t="s">
        <v>18241</v>
      </c>
      <c r="BC2402" s="17">
        <v>163</v>
      </c>
      <c r="BD2402" s="17">
        <v>146</v>
      </c>
      <c r="BE2402" s="17">
        <v>1115</v>
      </c>
      <c r="BF2402" s="17">
        <v>0</v>
      </c>
      <c r="BG2402" s="11">
        <f ca="1">IFERROR(__xludf.DUMMYFUNCTION("""COMPUTED_VALUE"""),45955.3541666666)</f>
        <v>45955.354166666599</v>
      </c>
      <c r="BH2402" s="17" t="s">
        <v>105</v>
      </c>
      <c r="BI2402" s="17"/>
      <c r="BJ2402" s="15"/>
      <c r="BK2402" s="15"/>
      <c r="BL2402" s="13" t="b">
        <v>0</v>
      </c>
      <c r="BM2402" s="10"/>
      <c r="BN2402" s="10" t="s">
        <v>157</v>
      </c>
      <c r="BO2402" s="11">
        <v>45954.637499999997</v>
      </c>
      <c r="BP2402" s="11">
        <v>45954.641331018516</v>
      </c>
      <c r="BQ2402" s="15"/>
      <c r="BR2402" s="15">
        <v>45955.356886574074</v>
      </c>
      <c r="BS2402" s="10" t="s">
        <v>157</v>
      </c>
      <c r="BT2402" s="10"/>
      <c r="BU2402" s="10"/>
      <c r="BV2402" s="10"/>
      <c r="BW2402" s="10"/>
      <c r="BX2402" s="10"/>
      <c r="BY2402" s="23"/>
      <c r="BZ2402" s="23"/>
      <c r="CA2402" s="19" t="s">
        <v>9024</v>
      </c>
      <c r="CB2402" s="23"/>
      <c r="CC2402" s="23"/>
      <c r="CD2402" s="23"/>
      <c r="CE2402" s="23"/>
      <c r="CF2402" s="23"/>
      <c r="CG2402" s="23"/>
      <c r="CH2402" s="23"/>
      <c r="CI2402" s="23"/>
    </row>
    <row r="2403" spans="1:87" x14ac:dyDescent="0.3">
      <c r="A2403" s="9" t="s">
        <v>18253</v>
      </c>
      <c r="B2403" s="10" t="s">
        <v>18254</v>
      </c>
      <c r="C2403" s="11">
        <v>45955.489583333336</v>
      </c>
      <c r="D2403" s="12">
        <v>2.4305555555555556E-2</v>
      </c>
      <c r="E2403" s="11">
        <v>45955.513888888891</v>
      </c>
      <c r="F2403" s="10" t="s">
        <v>9016</v>
      </c>
      <c r="G2403" s="13" t="b">
        <v>0</v>
      </c>
      <c r="H2403" s="22" t="s">
        <v>9017</v>
      </c>
      <c r="I2403" s="10" t="s">
        <v>212</v>
      </c>
      <c r="J2403" s="13" t="b">
        <v>1</v>
      </c>
      <c r="K2403" s="13" t="b">
        <v>0</v>
      </c>
      <c r="L2403" s="10" t="s">
        <v>124</v>
      </c>
      <c r="M2403" s="10" t="s">
        <v>91</v>
      </c>
      <c r="N2403" s="10" t="s">
        <v>92</v>
      </c>
      <c r="O2403" s="19" t="s">
        <v>18255</v>
      </c>
      <c r="P2403" s="10"/>
      <c r="Q2403" s="10" t="s">
        <v>94</v>
      </c>
      <c r="R2403" s="10"/>
      <c r="S2403" s="19" t="s">
        <v>9019</v>
      </c>
      <c r="T2403" s="10"/>
      <c r="U2403" s="10"/>
      <c r="V2403" s="10"/>
      <c r="W2403" s="10" t="s">
        <v>9020</v>
      </c>
      <c r="X2403" s="10" t="s">
        <v>130</v>
      </c>
      <c r="Y2403" s="10" t="s">
        <v>130</v>
      </c>
      <c r="Z2403" s="10" t="s">
        <v>99</v>
      </c>
      <c r="AA2403" s="10" t="s">
        <v>131</v>
      </c>
      <c r="AB2403" s="10" t="s">
        <v>9021</v>
      </c>
      <c r="AC2403" s="10" t="s">
        <v>9022</v>
      </c>
      <c r="AD2403" s="10" t="s">
        <v>165</v>
      </c>
      <c r="AE2403" s="10" t="s">
        <v>18256</v>
      </c>
      <c r="AF2403" s="15"/>
      <c r="AG2403" s="10"/>
      <c r="AH2403" s="10"/>
      <c r="AI2403" s="10"/>
      <c r="AJ2403" s="10"/>
      <c r="AK2403" s="10" t="s">
        <v>102</v>
      </c>
      <c r="AL2403" s="10"/>
      <c r="AM2403" s="10"/>
      <c r="AN2403" s="10"/>
      <c r="AO2403" s="13" t="b">
        <v>0</v>
      </c>
      <c r="AP2403" s="22" t="s">
        <v>104</v>
      </c>
      <c r="AQ2403" s="10">
        <f ca="1">IFERROR(__xludf.DUMMYFUNCTION("""COMPUTED_VALUE"""),4670873)</f>
        <v>4670873</v>
      </c>
      <c r="AR2403" s="17">
        <v>279</v>
      </c>
      <c r="AS2403" s="17">
        <v>248</v>
      </c>
      <c r="AT2403" s="17">
        <v>2514</v>
      </c>
      <c r="AU2403" s="17">
        <v>0.75</v>
      </c>
      <c r="AV2403" s="17">
        <v>0.75</v>
      </c>
      <c r="AW2403" s="10" t="s">
        <v>105</v>
      </c>
      <c r="AX2403" s="17">
        <v>102</v>
      </c>
      <c r="AY2403" s="18">
        <v>10.137096774193548</v>
      </c>
      <c r="AZ2403" s="10"/>
      <c r="BA2403" s="20" t="b">
        <v>0</v>
      </c>
      <c r="BB2403" s="10" t="s">
        <v>18241</v>
      </c>
      <c r="BC2403" s="17">
        <v>279</v>
      </c>
      <c r="BD2403" s="17">
        <v>248</v>
      </c>
      <c r="BE2403" s="17">
        <v>2514</v>
      </c>
      <c r="BF2403" s="17">
        <v>0.75</v>
      </c>
      <c r="BG2403" s="11">
        <f ca="1">IFERROR(__xludf.DUMMYFUNCTION("""COMPUTED_VALUE"""),45955.4895833333)</f>
        <v>45955.489583333299</v>
      </c>
      <c r="BH2403" s="17" t="s">
        <v>105</v>
      </c>
      <c r="BI2403" s="17"/>
      <c r="BJ2403" s="15"/>
      <c r="BK2403" s="15"/>
      <c r="BL2403" s="13" t="b">
        <v>0</v>
      </c>
      <c r="BM2403" s="10"/>
      <c r="BN2403" s="10" t="s">
        <v>157</v>
      </c>
      <c r="BO2403" s="11">
        <v>45954.638888888891</v>
      </c>
      <c r="BP2403" s="11">
        <v>45954.638993055552</v>
      </c>
      <c r="BQ2403" s="15"/>
      <c r="BR2403" s="15">
        <v>45955.358078703706</v>
      </c>
      <c r="BS2403" s="10" t="s">
        <v>157</v>
      </c>
      <c r="BT2403" s="10"/>
      <c r="BU2403" s="10"/>
      <c r="BV2403" s="10"/>
      <c r="BW2403" s="10"/>
      <c r="BX2403" s="10"/>
      <c r="BY2403" s="23"/>
      <c r="BZ2403" s="23"/>
      <c r="CA2403" s="19" t="s">
        <v>9024</v>
      </c>
      <c r="CB2403" s="23"/>
      <c r="CC2403" s="23"/>
      <c r="CD2403" s="23"/>
      <c r="CE2403" s="23"/>
      <c r="CF2403" s="23"/>
      <c r="CG2403" s="23"/>
      <c r="CH2403" s="23"/>
      <c r="CI2403" s="23"/>
    </row>
    <row r="2404" spans="1:87" x14ac:dyDescent="0.3">
      <c r="A2404" s="9" t="s">
        <v>18257</v>
      </c>
      <c r="B2404" s="10" t="s">
        <v>18258</v>
      </c>
      <c r="C2404" s="11">
        <v>45955.416666666664</v>
      </c>
      <c r="D2404" s="12">
        <v>1.7361111111111112E-2</v>
      </c>
      <c r="E2404" s="11">
        <v>45955.434027777781</v>
      </c>
      <c r="F2404" s="10" t="s">
        <v>9016</v>
      </c>
      <c r="G2404" s="13" t="b">
        <v>0</v>
      </c>
      <c r="H2404" s="22" t="s">
        <v>9017</v>
      </c>
      <c r="I2404" s="10" t="s">
        <v>212</v>
      </c>
      <c r="J2404" s="13" t="b">
        <v>1</v>
      </c>
      <c r="K2404" s="13" t="b">
        <v>0</v>
      </c>
      <c r="L2404" s="10" t="s">
        <v>124</v>
      </c>
      <c r="M2404" s="10" t="s">
        <v>91</v>
      </c>
      <c r="N2404" s="10" t="s">
        <v>92</v>
      </c>
      <c r="O2404" s="19" t="s">
        <v>18259</v>
      </c>
      <c r="P2404" s="10"/>
      <c r="Q2404" s="10" t="s">
        <v>94</v>
      </c>
      <c r="R2404" s="10"/>
      <c r="S2404" s="19" t="s">
        <v>9019</v>
      </c>
      <c r="T2404" s="10"/>
      <c r="U2404" s="10"/>
      <c r="V2404" s="10"/>
      <c r="W2404" s="10" t="s">
        <v>9020</v>
      </c>
      <c r="X2404" s="10" t="s">
        <v>130</v>
      </c>
      <c r="Y2404" s="10" t="s">
        <v>130</v>
      </c>
      <c r="Z2404" s="10" t="s">
        <v>99</v>
      </c>
      <c r="AA2404" s="10" t="s">
        <v>131</v>
      </c>
      <c r="AB2404" s="10" t="s">
        <v>9021</v>
      </c>
      <c r="AC2404" s="10" t="s">
        <v>9022</v>
      </c>
      <c r="AD2404" s="10" t="s">
        <v>165</v>
      </c>
      <c r="AE2404" s="10" t="s">
        <v>18260</v>
      </c>
      <c r="AF2404" s="15"/>
      <c r="AG2404" s="10"/>
      <c r="AH2404" s="10"/>
      <c r="AI2404" s="10"/>
      <c r="AJ2404" s="10"/>
      <c r="AK2404" s="10" t="s">
        <v>102</v>
      </c>
      <c r="AL2404" s="10"/>
      <c r="AM2404" s="10"/>
      <c r="AN2404" s="10"/>
      <c r="AO2404" s="13" t="b">
        <v>0</v>
      </c>
      <c r="AP2404" s="22" t="s">
        <v>104</v>
      </c>
      <c r="AQ2404" s="10">
        <f ca="1">IFERROR(__xludf.DUMMYFUNCTION("""COMPUTED_VALUE"""),4670870)</f>
        <v>4670870</v>
      </c>
      <c r="AR2404" s="17">
        <v>208</v>
      </c>
      <c r="AS2404" s="17">
        <v>181</v>
      </c>
      <c r="AT2404" s="17">
        <v>1422.75</v>
      </c>
      <c r="AU2404" s="17">
        <v>0</v>
      </c>
      <c r="AV2404" s="17">
        <v>0</v>
      </c>
      <c r="AW2404" s="10" t="s">
        <v>105</v>
      </c>
      <c r="AX2404" s="17">
        <v>97</v>
      </c>
      <c r="AY2404" s="18">
        <v>7.8604972375690609</v>
      </c>
      <c r="AZ2404" s="10"/>
      <c r="BA2404" s="20" t="b">
        <v>0</v>
      </c>
      <c r="BB2404" s="10" t="s">
        <v>18241</v>
      </c>
      <c r="BC2404" s="17">
        <v>208</v>
      </c>
      <c r="BD2404" s="17">
        <v>181</v>
      </c>
      <c r="BE2404" s="17">
        <v>1422.75</v>
      </c>
      <c r="BF2404" s="17">
        <v>0</v>
      </c>
      <c r="BG2404" s="11">
        <f ca="1">IFERROR(__xludf.DUMMYFUNCTION("""COMPUTED_VALUE"""),45955.4166666666)</f>
        <v>45955.416666666599</v>
      </c>
      <c r="BH2404" s="17" t="s">
        <v>105</v>
      </c>
      <c r="BI2404" s="17"/>
      <c r="BJ2404" s="15"/>
      <c r="BK2404" s="15"/>
      <c r="BL2404" s="13" t="b">
        <v>0</v>
      </c>
      <c r="BM2404" s="10"/>
      <c r="BN2404" s="10" t="s">
        <v>157</v>
      </c>
      <c r="BO2404" s="11">
        <v>45954.638888888891</v>
      </c>
      <c r="BP2404" s="11">
        <v>45954.645162037035</v>
      </c>
      <c r="BQ2404" s="15"/>
      <c r="BR2404" s="15">
        <v>45955.357638888891</v>
      </c>
      <c r="BS2404" s="10" t="s">
        <v>157</v>
      </c>
      <c r="BT2404" s="10"/>
      <c r="BU2404" s="10"/>
      <c r="BV2404" s="10"/>
      <c r="BW2404" s="10"/>
      <c r="BX2404" s="10"/>
      <c r="BY2404" s="23"/>
      <c r="BZ2404" s="23"/>
      <c r="CA2404" s="19" t="s">
        <v>9024</v>
      </c>
      <c r="CB2404" s="23"/>
      <c r="CC2404" s="23"/>
      <c r="CD2404" s="23"/>
      <c r="CE2404" s="23"/>
      <c r="CF2404" s="23"/>
      <c r="CG2404" s="23"/>
      <c r="CH2404" s="23"/>
      <c r="CI2404" s="23"/>
    </row>
    <row r="2405" spans="1:87" x14ac:dyDescent="0.3">
      <c r="A2405" s="9" t="s">
        <v>18261</v>
      </c>
      <c r="B2405" s="10" t="s">
        <v>18262</v>
      </c>
      <c r="C2405" s="11">
        <v>45955.3125</v>
      </c>
      <c r="D2405" s="12">
        <v>1.7361111111111112E-2</v>
      </c>
      <c r="E2405" s="11">
        <v>45955.329861111109</v>
      </c>
      <c r="F2405" s="10" t="s">
        <v>9016</v>
      </c>
      <c r="G2405" s="13" t="b">
        <v>0</v>
      </c>
      <c r="H2405" s="22" t="s">
        <v>9017</v>
      </c>
      <c r="I2405" s="10" t="s">
        <v>212</v>
      </c>
      <c r="J2405" s="13" t="b">
        <v>1</v>
      </c>
      <c r="K2405" s="13" t="b">
        <v>0</v>
      </c>
      <c r="L2405" s="10" t="s">
        <v>124</v>
      </c>
      <c r="M2405" s="10" t="s">
        <v>91</v>
      </c>
      <c r="N2405" s="10" t="s">
        <v>92</v>
      </c>
      <c r="O2405" s="19" t="s">
        <v>18263</v>
      </c>
      <c r="P2405" s="10"/>
      <c r="Q2405" s="10" t="s">
        <v>94</v>
      </c>
      <c r="R2405" s="10"/>
      <c r="S2405" s="19" t="s">
        <v>9019</v>
      </c>
      <c r="T2405" s="10"/>
      <c r="U2405" s="10"/>
      <c r="V2405" s="10"/>
      <c r="W2405" s="10" t="s">
        <v>9020</v>
      </c>
      <c r="X2405" s="10" t="s">
        <v>130</v>
      </c>
      <c r="Y2405" s="10" t="s">
        <v>130</v>
      </c>
      <c r="Z2405" s="10" t="s">
        <v>99</v>
      </c>
      <c r="AA2405" s="10" t="s">
        <v>131</v>
      </c>
      <c r="AB2405" s="10" t="s">
        <v>9021</v>
      </c>
      <c r="AC2405" s="10" t="s">
        <v>9022</v>
      </c>
      <c r="AD2405" s="10" t="s">
        <v>165</v>
      </c>
      <c r="AE2405" s="10" t="s">
        <v>18264</v>
      </c>
      <c r="AF2405" s="15"/>
      <c r="AG2405" s="10"/>
      <c r="AH2405" s="10"/>
      <c r="AI2405" s="10"/>
      <c r="AJ2405" s="10"/>
      <c r="AK2405" s="10" t="s">
        <v>102</v>
      </c>
      <c r="AL2405" s="10"/>
      <c r="AM2405" s="10"/>
      <c r="AN2405" s="10"/>
      <c r="AO2405" s="13" t="b">
        <v>0</v>
      </c>
      <c r="AP2405" s="22" t="s">
        <v>104</v>
      </c>
      <c r="AQ2405" s="10">
        <f ca="1">IFERROR(__xludf.DUMMYFUNCTION("""COMPUTED_VALUE"""),4670902)</f>
        <v>4670902</v>
      </c>
      <c r="AR2405" s="17">
        <v>128</v>
      </c>
      <c r="AS2405" s="17">
        <v>103</v>
      </c>
      <c r="AT2405" s="17">
        <v>1835</v>
      </c>
      <c r="AU2405" s="17">
        <v>0</v>
      </c>
      <c r="AV2405" s="17">
        <v>0</v>
      </c>
      <c r="AW2405" s="10" t="s">
        <v>105</v>
      </c>
      <c r="AX2405" s="17">
        <v>79</v>
      </c>
      <c r="AY2405" s="18">
        <v>17.815533980582526</v>
      </c>
      <c r="AZ2405" s="10"/>
      <c r="BA2405" s="20" t="b">
        <v>0</v>
      </c>
      <c r="BB2405" s="10" t="s">
        <v>18241</v>
      </c>
      <c r="BC2405" s="17">
        <v>128</v>
      </c>
      <c r="BD2405" s="17">
        <v>103</v>
      </c>
      <c r="BE2405" s="17">
        <v>1835</v>
      </c>
      <c r="BF2405" s="17">
        <v>0</v>
      </c>
      <c r="BG2405" s="11">
        <f ca="1">IFERROR(__xludf.DUMMYFUNCTION("""COMPUTED_VALUE"""),45955.3125)</f>
        <v>45955.3125</v>
      </c>
      <c r="BH2405" s="17" t="s">
        <v>105</v>
      </c>
      <c r="BI2405" s="17"/>
      <c r="BJ2405" s="15"/>
      <c r="BK2405" s="15"/>
      <c r="BL2405" s="13" t="b">
        <v>0</v>
      </c>
      <c r="BM2405" s="10"/>
      <c r="BN2405" s="10" t="s">
        <v>157</v>
      </c>
      <c r="BO2405" s="11">
        <v>45954.638888888891</v>
      </c>
      <c r="BP2405" s="11">
        <v>45955.313460648147</v>
      </c>
      <c r="BQ2405" s="15"/>
      <c r="BR2405" s="15">
        <v>45955.356388888889</v>
      </c>
      <c r="BS2405" s="10" t="s">
        <v>157</v>
      </c>
      <c r="BT2405" s="10"/>
      <c r="BU2405" s="10"/>
      <c r="BV2405" s="10"/>
      <c r="BW2405" s="10"/>
      <c r="BX2405" s="10"/>
      <c r="BY2405" s="23"/>
      <c r="BZ2405" s="23"/>
      <c r="CA2405" s="19" t="s">
        <v>9024</v>
      </c>
      <c r="CB2405" s="23"/>
      <c r="CC2405" s="23"/>
      <c r="CD2405" s="23"/>
      <c r="CE2405" s="23"/>
      <c r="CF2405" s="23"/>
      <c r="CG2405" s="23"/>
      <c r="CH2405" s="23"/>
      <c r="CI2405" s="23"/>
    </row>
    <row r="2406" spans="1:87" x14ac:dyDescent="0.3">
      <c r="A2406" s="9" t="s">
        <v>18265</v>
      </c>
      <c r="B2406" s="10" t="s">
        <v>18266</v>
      </c>
      <c r="C2406" s="11">
        <v>45955.375</v>
      </c>
      <c r="D2406" s="12">
        <v>1.7361111111111112E-2</v>
      </c>
      <c r="E2406" s="11">
        <v>45955.392361111109</v>
      </c>
      <c r="F2406" s="10" t="s">
        <v>9016</v>
      </c>
      <c r="G2406" s="13" t="b">
        <v>0</v>
      </c>
      <c r="H2406" s="22" t="s">
        <v>9017</v>
      </c>
      <c r="I2406" s="10" t="s">
        <v>212</v>
      </c>
      <c r="J2406" s="13" t="b">
        <v>1</v>
      </c>
      <c r="K2406" s="13" t="b">
        <v>0</v>
      </c>
      <c r="L2406" s="10" t="s">
        <v>124</v>
      </c>
      <c r="M2406" s="10" t="s">
        <v>91</v>
      </c>
      <c r="N2406" s="10" t="s">
        <v>92</v>
      </c>
      <c r="O2406" s="19" t="s">
        <v>18267</v>
      </c>
      <c r="P2406" s="10"/>
      <c r="Q2406" s="10" t="s">
        <v>94</v>
      </c>
      <c r="R2406" s="10"/>
      <c r="S2406" s="19" t="s">
        <v>9019</v>
      </c>
      <c r="T2406" s="10"/>
      <c r="U2406" s="10"/>
      <c r="V2406" s="10"/>
      <c r="W2406" s="10" t="s">
        <v>9020</v>
      </c>
      <c r="X2406" s="10" t="s">
        <v>130</v>
      </c>
      <c r="Y2406" s="10" t="s">
        <v>130</v>
      </c>
      <c r="Z2406" s="10" t="s">
        <v>99</v>
      </c>
      <c r="AA2406" s="10" t="s">
        <v>131</v>
      </c>
      <c r="AB2406" s="10" t="s">
        <v>9021</v>
      </c>
      <c r="AC2406" s="10" t="s">
        <v>9022</v>
      </c>
      <c r="AD2406" s="10" t="s">
        <v>165</v>
      </c>
      <c r="AE2406" s="10" t="s">
        <v>18268</v>
      </c>
      <c r="AF2406" s="15"/>
      <c r="AG2406" s="10"/>
      <c r="AH2406" s="10"/>
      <c r="AI2406" s="10"/>
      <c r="AJ2406" s="10"/>
      <c r="AK2406" s="10" t="s">
        <v>102</v>
      </c>
      <c r="AL2406" s="10"/>
      <c r="AM2406" s="10"/>
      <c r="AN2406" s="10"/>
      <c r="AO2406" s="13" t="b">
        <v>0</v>
      </c>
      <c r="AP2406" s="22" t="s">
        <v>104</v>
      </c>
      <c r="AQ2406" s="10">
        <f ca="1">IFERROR(__xludf.DUMMYFUNCTION("""COMPUTED_VALUE"""),4670868)</f>
        <v>4670868</v>
      </c>
      <c r="AR2406" s="17">
        <v>138</v>
      </c>
      <c r="AS2406" s="17">
        <v>126</v>
      </c>
      <c r="AT2406" s="17">
        <v>722.75</v>
      </c>
      <c r="AU2406" s="17">
        <v>0</v>
      </c>
      <c r="AV2406" s="17">
        <v>0</v>
      </c>
      <c r="AW2406" s="10" t="s">
        <v>105</v>
      </c>
      <c r="AX2406" s="17">
        <v>95</v>
      </c>
      <c r="AY2406" s="18">
        <v>5.7361111111111107</v>
      </c>
      <c r="AZ2406" s="10"/>
      <c r="BA2406" s="20" t="b">
        <v>0</v>
      </c>
      <c r="BB2406" s="10" t="s">
        <v>18241</v>
      </c>
      <c r="BC2406" s="17">
        <v>138</v>
      </c>
      <c r="BD2406" s="17">
        <v>126</v>
      </c>
      <c r="BE2406" s="17">
        <v>722.75</v>
      </c>
      <c r="BF2406" s="17">
        <v>0</v>
      </c>
      <c r="BG2406" s="11">
        <f ca="1">IFERROR(__xludf.DUMMYFUNCTION("""COMPUTED_VALUE"""),45955.375)</f>
        <v>45955.375</v>
      </c>
      <c r="BH2406" s="17" t="s">
        <v>105</v>
      </c>
      <c r="BI2406" s="17"/>
      <c r="BJ2406" s="15"/>
      <c r="BK2406" s="15"/>
      <c r="BL2406" s="13" t="b">
        <v>0</v>
      </c>
      <c r="BM2406" s="10"/>
      <c r="BN2406" s="10" t="s">
        <v>157</v>
      </c>
      <c r="BO2406" s="11">
        <v>45954.63958333333</v>
      </c>
      <c r="BP2406" s="11">
        <v>45954.649270833332</v>
      </c>
      <c r="BQ2406" s="15"/>
      <c r="BR2406" s="15">
        <v>45955.357291666667</v>
      </c>
      <c r="BS2406" s="10" t="s">
        <v>157</v>
      </c>
      <c r="BT2406" s="10"/>
      <c r="BU2406" s="10"/>
      <c r="BV2406" s="10"/>
      <c r="BW2406" s="10"/>
      <c r="BX2406" s="10"/>
      <c r="BY2406" s="23"/>
      <c r="BZ2406" s="23"/>
      <c r="CA2406" s="19" t="s">
        <v>9024</v>
      </c>
      <c r="CB2406" s="23"/>
      <c r="CC2406" s="23"/>
      <c r="CD2406" s="23"/>
      <c r="CE2406" s="23"/>
      <c r="CF2406" s="23"/>
      <c r="CG2406" s="23"/>
      <c r="CH2406" s="23"/>
      <c r="CI2406" s="23"/>
    </row>
    <row r="2407" spans="1:87" x14ac:dyDescent="0.3">
      <c r="A2407" s="9" t="s">
        <v>18269</v>
      </c>
      <c r="B2407" s="10" t="s">
        <v>18270</v>
      </c>
      <c r="C2407" s="11">
        <v>45955.4375</v>
      </c>
      <c r="D2407" s="12">
        <v>1.7361111111111112E-2</v>
      </c>
      <c r="E2407" s="11">
        <v>45955.454861111109</v>
      </c>
      <c r="F2407" s="10" t="s">
        <v>9016</v>
      </c>
      <c r="G2407" s="13" t="b">
        <v>0</v>
      </c>
      <c r="H2407" s="22" t="s">
        <v>9017</v>
      </c>
      <c r="I2407" s="10" t="s">
        <v>212</v>
      </c>
      <c r="J2407" s="13" t="b">
        <v>1</v>
      </c>
      <c r="K2407" s="13" t="b">
        <v>0</v>
      </c>
      <c r="L2407" s="10" t="s">
        <v>124</v>
      </c>
      <c r="M2407" s="10" t="s">
        <v>91</v>
      </c>
      <c r="N2407" s="10" t="s">
        <v>92</v>
      </c>
      <c r="O2407" s="19" t="s">
        <v>18271</v>
      </c>
      <c r="P2407" s="10"/>
      <c r="Q2407" s="10" t="s">
        <v>94</v>
      </c>
      <c r="R2407" s="10"/>
      <c r="S2407" s="19" t="s">
        <v>9019</v>
      </c>
      <c r="T2407" s="10"/>
      <c r="U2407" s="10"/>
      <c r="V2407" s="10"/>
      <c r="W2407" s="10" t="s">
        <v>9020</v>
      </c>
      <c r="X2407" s="10" t="s">
        <v>130</v>
      </c>
      <c r="Y2407" s="10" t="s">
        <v>130</v>
      </c>
      <c r="Z2407" s="10" t="s">
        <v>99</v>
      </c>
      <c r="AA2407" s="10" t="s">
        <v>131</v>
      </c>
      <c r="AB2407" s="10" t="s">
        <v>9021</v>
      </c>
      <c r="AC2407" s="10" t="s">
        <v>9022</v>
      </c>
      <c r="AD2407" s="10" t="s">
        <v>165</v>
      </c>
      <c r="AE2407" s="10" t="s">
        <v>18272</v>
      </c>
      <c r="AF2407" s="15"/>
      <c r="AG2407" s="10"/>
      <c r="AH2407" s="10"/>
      <c r="AI2407" s="10"/>
      <c r="AJ2407" s="10"/>
      <c r="AK2407" s="10" t="s">
        <v>102</v>
      </c>
      <c r="AL2407" s="10"/>
      <c r="AM2407" s="10"/>
      <c r="AN2407" s="10"/>
      <c r="AO2407" s="13" t="b">
        <v>0</v>
      </c>
      <c r="AP2407" s="22" t="s">
        <v>104</v>
      </c>
      <c r="AQ2407" s="10">
        <f ca="1">IFERROR(__xludf.DUMMYFUNCTION("""COMPUTED_VALUE"""),4670871)</f>
        <v>4670871</v>
      </c>
      <c r="AR2407" s="17">
        <v>209</v>
      </c>
      <c r="AS2407" s="17">
        <v>189</v>
      </c>
      <c r="AT2407" s="17">
        <v>1559.5</v>
      </c>
      <c r="AU2407" s="17">
        <v>0.75</v>
      </c>
      <c r="AV2407" s="17">
        <v>0</v>
      </c>
      <c r="AW2407" s="10" t="s">
        <v>105</v>
      </c>
      <c r="AX2407" s="17">
        <v>112</v>
      </c>
      <c r="AY2407" s="18">
        <v>8.2513227513227516</v>
      </c>
      <c r="AZ2407" s="10"/>
      <c r="BA2407" s="20" t="b">
        <v>0</v>
      </c>
      <c r="BB2407" s="10" t="s">
        <v>18241</v>
      </c>
      <c r="BC2407" s="17">
        <v>209</v>
      </c>
      <c r="BD2407" s="17">
        <v>189</v>
      </c>
      <c r="BE2407" s="17">
        <v>1559.5</v>
      </c>
      <c r="BF2407" s="17">
        <v>0</v>
      </c>
      <c r="BG2407" s="11">
        <f ca="1">IFERROR(__xludf.DUMMYFUNCTION("""COMPUTED_VALUE"""),45955.4375)</f>
        <v>45955.4375</v>
      </c>
      <c r="BH2407" s="17" t="s">
        <v>105</v>
      </c>
      <c r="BI2407" s="17"/>
      <c r="BJ2407" s="15"/>
      <c r="BK2407" s="15"/>
      <c r="BL2407" s="13" t="b">
        <v>0</v>
      </c>
      <c r="BM2407" s="10"/>
      <c r="BN2407" s="10" t="s">
        <v>157</v>
      </c>
      <c r="BO2407" s="11">
        <v>45954.640277777777</v>
      </c>
      <c r="BP2407" s="11">
        <v>45954.653506944444</v>
      </c>
      <c r="BQ2407" s="15"/>
      <c r="BR2407" s="15">
        <v>45955.357812499999</v>
      </c>
      <c r="BS2407" s="10" t="s">
        <v>157</v>
      </c>
      <c r="BT2407" s="10"/>
      <c r="BU2407" s="10"/>
      <c r="BV2407" s="10"/>
      <c r="BW2407" s="10"/>
      <c r="BX2407" s="10"/>
      <c r="BY2407" s="23"/>
      <c r="BZ2407" s="23"/>
      <c r="CA2407" s="19" t="s">
        <v>9024</v>
      </c>
      <c r="CB2407" s="23"/>
      <c r="CC2407" s="23"/>
      <c r="CD2407" s="23"/>
      <c r="CE2407" s="23"/>
      <c r="CF2407" s="23"/>
      <c r="CG2407" s="23"/>
      <c r="CH2407" s="23"/>
      <c r="CI2407" s="23"/>
    </row>
    <row r="2408" spans="1:87" x14ac:dyDescent="0.3">
      <c r="A2408" s="9" t="s">
        <v>18273</v>
      </c>
      <c r="B2408" s="10" t="s">
        <v>18274</v>
      </c>
      <c r="C2408" s="11">
        <v>45955.333333333336</v>
      </c>
      <c r="D2408" s="12">
        <v>1.7361111111111112E-2</v>
      </c>
      <c r="E2408" s="11">
        <v>45955.350694444445</v>
      </c>
      <c r="F2408" s="10" t="s">
        <v>9016</v>
      </c>
      <c r="G2408" s="13" t="b">
        <v>0</v>
      </c>
      <c r="H2408" s="22" t="s">
        <v>9017</v>
      </c>
      <c r="I2408" s="10" t="s">
        <v>212</v>
      </c>
      <c r="J2408" s="13" t="b">
        <v>1</v>
      </c>
      <c r="K2408" s="13" t="b">
        <v>0</v>
      </c>
      <c r="L2408" s="10" t="s">
        <v>124</v>
      </c>
      <c r="M2408" s="10" t="s">
        <v>91</v>
      </c>
      <c r="N2408" s="10" t="s">
        <v>92</v>
      </c>
      <c r="O2408" s="19" t="s">
        <v>18275</v>
      </c>
      <c r="P2408" s="10"/>
      <c r="Q2408" s="10" t="s">
        <v>94</v>
      </c>
      <c r="R2408" s="10"/>
      <c r="S2408" s="19" t="s">
        <v>9019</v>
      </c>
      <c r="T2408" s="10"/>
      <c r="U2408" s="10"/>
      <c r="V2408" s="10"/>
      <c r="W2408" s="10" t="s">
        <v>9020</v>
      </c>
      <c r="X2408" s="10" t="s">
        <v>130</v>
      </c>
      <c r="Y2408" s="10" t="s">
        <v>130</v>
      </c>
      <c r="Z2408" s="10" t="s">
        <v>99</v>
      </c>
      <c r="AA2408" s="10" t="s">
        <v>131</v>
      </c>
      <c r="AB2408" s="10" t="s">
        <v>9021</v>
      </c>
      <c r="AC2408" s="10" t="s">
        <v>9022</v>
      </c>
      <c r="AD2408" s="10" t="s">
        <v>165</v>
      </c>
      <c r="AE2408" s="10" t="s">
        <v>18276</v>
      </c>
      <c r="AF2408" s="15"/>
      <c r="AG2408" s="10"/>
      <c r="AH2408" s="10"/>
      <c r="AI2408" s="10"/>
      <c r="AJ2408" s="10"/>
      <c r="AK2408" s="10" t="s">
        <v>102</v>
      </c>
      <c r="AL2408" s="10"/>
      <c r="AM2408" s="10"/>
      <c r="AN2408" s="10"/>
      <c r="AO2408" s="13" t="b">
        <v>0</v>
      </c>
      <c r="AP2408" s="22" t="s">
        <v>104</v>
      </c>
      <c r="AQ2408" s="10">
        <f ca="1">IFERROR(__xludf.DUMMYFUNCTION("""COMPUTED_VALUE"""),4670866)</f>
        <v>4670866</v>
      </c>
      <c r="AR2408" s="17">
        <v>212</v>
      </c>
      <c r="AS2408" s="17">
        <v>190</v>
      </c>
      <c r="AT2408" s="17">
        <v>2186</v>
      </c>
      <c r="AU2408" s="17">
        <v>0</v>
      </c>
      <c r="AV2408" s="17">
        <v>0</v>
      </c>
      <c r="AW2408" s="10" t="s">
        <v>105</v>
      </c>
      <c r="AX2408" s="17">
        <v>111</v>
      </c>
      <c r="AY2408" s="18">
        <v>11.505263157894737</v>
      </c>
      <c r="AZ2408" s="10"/>
      <c r="BA2408" s="20" t="b">
        <v>0</v>
      </c>
      <c r="BB2408" s="10" t="s">
        <v>18241</v>
      </c>
      <c r="BC2408" s="17">
        <v>212</v>
      </c>
      <c r="BD2408" s="17">
        <v>190</v>
      </c>
      <c r="BE2408" s="17">
        <v>2186</v>
      </c>
      <c r="BF2408" s="17">
        <v>0</v>
      </c>
      <c r="BG2408" s="11">
        <f ca="1">IFERROR(__xludf.DUMMYFUNCTION("""COMPUTED_VALUE"""),45955.3333333333)</f>
        <v>45955.333333333299</v>
      </c>
      <c r="BH2408" s="17" t="s">
        <v>105</v>
      </c>
      <c r="BI2408" s="17"/>
      <c r="BJ2408" s="15"/>
      <c r="BK2408" s="15"/>
      <c r="BL2408" s="13" t="b">
        <v>0</v>
      </c>
      <c r="BM2408" s="10"/>
      <c r="BN2408" s="10" t="s">
        <v>157</v>
      </c>
      <c r="BO2408" s="11">
        <v>45954.63958333333</v>
      </c>
      <c r="BP2408" s="11">
        <v>45954.640081018515</v>
      </c>
      <c r="BQ2408" s="15"/>
      <c r="BR2408" s="15">
        <v>45955.35665509259</v>
      </c>
      <c r="BS2408" s="10" t="s">
        <v>157</v>
      </c>
      <c r="BT2408" s="10"/>
      <c r="BU2408" s="10"/>
      <c r="BV2408" s="10"/>
      <c r="BW2408" s="10"/>
      <c r="BX2408" s="10"/>
      <c r="BY2408" s="23"/>
      <c r="BZ2408" s="23"/>
      <c r="CA2408" s="19" t="s">
        <v>9024</v>
      </c>
      <c r="CB2408" s="23"/>
      <c r="CC2408" s="23"/>
      <c r="CD2408" s="23"/>
      <c r="CE2408" s="23"/>
      <c r="CF2408" s="23"/>
      <c r="CG2408" s="23"/>
      <c r="CH2408" s="23"/>
      <c r="CI2408" s="23"/>
    </row>
    <row r="2409" spans="1:87" x14ac:dyDescent="0.3">
      <c r="A2409" s="9" t="s">
        <v>18277</v>
      </c>
      <c r="B2409" s="10" t="s">
        <v>9074</v>
      </c>
      <c r="C2409" s="11">
        <v>45955.517361111109</v>
      </c>
      <c r="D2409" s="12">
        <v>2.4305555555555556E-2</v>
      </c>
      <c r="E2409" s="11">
        <v>45955.541666666664</v>
      </c>
      <c r="F2409" s="10" t="s">
        <v>9016</v>
      </c>
      <c r="G2409" s="13" t="b">
        <v>0</v>
      </c>
      <c r="H2409" s="22" t="s">
        <v>9017</v>
      </c>
      <c r="I2409" s="10" t="s">
        <v>212</v>
      </c>
      <c r="J2409" s="13" t="b">
        <v>1</v>
      </c>
      <c r="K2409" s="13" t="b">
        <v>0</v>
      </c>
      <c r="L2409" s="10" t="s">
        <v>124</v>
      </c>
      <c r="M2409" s="10" t="s">
        <v>91</v>
      </c>
      <c r="N2409" s="10" t="s">
        <v>92</v>
      </c>
      <c r="O2409" s="19" t="s">
        <v>18278</v>
      </c>
      <c r="P2409" s="10"/>
      <c r="Q2409" s="10" t="s">
        <v>94</v>
      </c>
      <c r="R2409" s="10"/>
      <c r="S2409" s="19" t="s">
        <v>9019</v>
      </c>
      <c r="T2409" s="10"/>
      <c r="U2409" s="10"/>
      <c r="V2409" s="10"/>
      <c r="W2409" s="10" t="s">
        <v>9020</v>
      </c>
      <c r="X2409" s="10" t="s">
        <v>130</v>
      </c>
      <c r="Y2409" s="10" t="s">
        <v>130</v>
      </c>
      <c r="Z2409" s="10" t="s">
        <v>99</v>
      </c>
      <c r="AA2409" s="10" t="s">
        <v>131</v>
      </c>
      <c r="AB2409" s="10" t="s">
        <v>9021</v>
      </c>
      <c r="AC2409" s="10" t="s">
        <v>9022</v>
      </c>
      <c r="AD2409" s="10" t="s">
        <v>165</v>
      </c>
      <c r="AE2409" s="10" t="s">
        <v>9076</v>
      </c>
      <c r="AF2409" s="15"/>
      <c r="AG2409" s="10"/>
      <c r="AH2409" s="10"/>
      <c r="AI2409" s="10"/>
      <c r="AJ2409" s="10"/>
      <c r="AK2409" s="10" t="s">
        <v>102</v>
      </c>
      <c r="AL2409" s="10"/>
      <c r="AM2409" s="10"/>
      <c r="AN2409" s="10"/>
      <c r="AO2409" s="13" t="b">
        <v>0</v>
      </c>
      <c r="AP2409" s="22" t="s">
        <v>104</v>
      </c>
      <c r="AQ2409" s="10">
        <f ca="1">IFERROR(__xludf.DUMMYFUNCTION("""COMPUTED_VALUE"""),4670874)</f>
        <v>4670874</v>
      </c>
      <c r="AR2409" s="17">
        <v>321</v>
      </c>
      <c r="AS2409" s="17">
        <v>265</v>
      </c>
      <c r="AT2409" s="17">
        <v>1767</v>
      </c>
      <c r="AU2409" s="17">
        <v>0.4</v>
      </c>
      <c r="AV2409" s="17">
        <v>0.15</v>
      </c>
      <c r="AW2409" s="10" t="s">
        <v>105</v>
      </c>
      <c r="AX2409" s="17">
        <v>110</v>
      </c>
      <c r="AY2409" s="18">
        <v>6.6679245283018869</v>
      </c>
      <c r="AZ2409" s="10"/>
      <c r="BA2409" s="20" t="b">
        <v>0</v>
      </c>
      <c r="BB2409" s="10" t="s">
        <v>18241</v>
      </c>
      <c r="BC2409" s="17">
        <v>321</v>
      </c>
      <c r="BD2409" s="17">
        <v>265</v>
      </c>
      <c r="BE2409" s="17">
        <v>1767</v>
      </c>
      <c r="BF2409" s="17">
        <v>0.15</v>
      </c>
      <c r="BG2409" s="11">
        <f ca="1">IFERROR(__xludf.DUMMYFUNCTION("""COMPUTED_VALUE"""),45955.5173611111)</f>
        <v>45955.517361111102</v>
      </c>
      <c r="BH2409" s="17" t="s">
        <v>105</v>
      </c>
      <c r="BI2409" s="17"/>
      <c r="BJ2409" s="15"/>
      <c r="BK2409" s="15"/>
      <c r="BL2409" s="13" t="b">
        <v>0</v>
      </c>
      <c r="BM2409" s="10"/>
      <c r="BN2409" s="10" t="s">
        <v>157</v>
      </c>
      <c r="BO2409" s="11">
        <v>45954.643750000003</v>
      </c>
      <c r="BP2409" s="11">
        <v>45954.650104166663</v>
      </c>
      <c r="BQ2409" s="15"/>
      <c r="BR2409" s="15">
        <v>45955.358159722222</v>
      </c>
      <c r="BS2409" s="10" t="s">
        <v>157</v>
      </c>
      <c r="BT2409" s="10"/>
      <c r="BU2409" s="10"/>
      <c r="BV2409" s="10"/>
      <c r="BW2409" s="10"/>
      <c r="BX2409" s="10"/>
      <c r="BY2409" s="23"/>
      <c r="BZ2409" s="23"/>
      <c r="CA2409" s="19" t="s">
        <v>9024</v>
      </c>
      <c r="CB2409" s="23"/>
      <c r="CC2409" s="23"/>
      <c r="CD2409" s="23"/>
      <c r="CE2409" s="23"/>
      <c r="CF2409" s="23"/>
      <c r="CG2409" s="23"/>
      <c r="CH2409" s="23"/>
      <c r="CI2409" s="23"/>
    </row>
    <row r="2410" spans="1:87" x14ac:dyDescent="0.3">
      <c r="A2410" s="9" t="s">
        <v>18279</v>
      </c>
      <c r="B2410" s="10" t="s">
        <v>18280</v>
      </c>
      <c r="C2410" s="11">
        <v>45955.395833333336</v>
      </c>
      <c r="D2410" s="12">
        <v>1.7361111111111112E-2</v>
      </c>
      <c r="E2410" s="11">
        <v>45955.413194444445</v>
      </c>
      <c r="F2410" s="10" t="s">
        <v>9016</v>
      </c>
      <c r="G2410" s="13" t="b">
        <v>0</v>
      </c>
      <c r="H2410" s="22" t="s">
        <v>9017</v>
      </c>
      <c r="I2410" s="10" t="s">
        <v>212</v>
      </c>
      <c r="J2410" s="13" t="b">
        <v>1</v>
      </c>
      <c r="K2410" s="13" t="b">
        <v>0</v>
      </c>
      <c r="L2410" s="10" t="s">
        <v>124</v>
      </c>
      <c r="M2410" s="10" t="s">
        <v>91</v>
      </c>
      <c r="N2410" s="10" t="s">
        <v>92</v>
      </c>
      <c r="O2410" s="19" t="s">
        <v>18281</v>
      </c>
      <c r="P2410" s="10"/>
      <c r="Q2410" s="10" t="s">
        <v>94</v>
      </c>
      <c r="R2410" s="10"/>
      <c r="S2410" s="19" t="s">
        <v>9019</v>
      </c>
      <c r="T2410" s="10"/>
      <c r="U2410" s="10"/>
      <c r="V2410" s="10"/>
      <c r="W2410" s="10" t="s">
        <v>9020</v>
      </c>
      <c r="X2410" s="10" t="s">
        <v>130</v>
      </c>
      <c r="Y2410" s="10" t="s">
        <v>130</v>
      </c>
      <c r="Z2410" s="10" t="s">
        <v>99</v>
      </c>
      <c r="AA2410" s="10" t="s">
        <v>131</v>
      </c>
      <c r="AB2410" s="10" t="s">
        <v>9021</v>
      </c>
      <c r="AC2410" s="10" t="s">
        <v>9022</v>
      </c>
      <c r="AD2410" s="10" t="s">
        <v>165</v>
      </c>
      <c r="AE2410" s="10" t="s">
        <v>18282</v>
      </c>
      <c r="AF2410" s="15"/>
      <c r="AG2410" s="10"/>
      <c r="AH2410" s="10"/>
      <c r="AI2410" s="10"/>
      <c r="AJ2410" s="10"/>
      <c r="AK2410" s="10" t="s">
        <v>102</v>
      </c>
      <c r="AL2410" s="10"/>
      <c r="AM2410" s="10"/>
      <c r="AN2410" s="10"/>
      <c r="AO2410" s="13" t="b">
        <v>0</v>
      </c>
      <c r="AP2410" s="22" t="s">
        <v>104</v>
      </c>
      <c r="AQ2410" s="10">
        <f ca="1">IFERROR(__xludf.DUMMYFUNCTION("""COMPUTED_VALUE"""),4670869)</f>
        <v>4670869</v>
      </c>
      <c r="AR2410" s="17">
        <v>187</v>
      </c>
      <c r="AS2410" s="17">
        <v>161</v>
      </c>
      <c r="AT2410" s="17">
        <v>761.25</v>
      </c>
      <c r="AU2410" s="17">
        <v>0</v>
      </c>
      <c r="AV2410" s="17">
        <v>0</v>
      </c>
      <c r="AW2410" s="10" t="s">
        <v>105</v>
      </c>
      <c r="AX2410" s="17">
        <v>93</v>
      </c>
      <c r="AY2410" s="18">
        <v>4.7282608695652177</v>
      </c>
      <c r="AZ2410" s="10"/>
      <c r="BA2410" s="20" t="b">
        <v>0</v>
      </c>
      <c r="BB2410" s="10" t="s">
        <v>18241</v>
      </c>
      <c r="BC2410" s="17">
        <v>187</v>
      </c>
      <c r="BD2410" s="17">
        <v>161</v>
      </c>
      <c r="BE2410" s="17">
        <v>761.25</v>
      </c>
      <c r="BF2410" s="17">
        <v>0</v>
      </c>
      <c r="BG2410" s="11">
        <f ca="1">IFERROR(__xludf.DUMMYFUNCTION("""COMPUTED_VALUE"""),45955.3958333333)</f>
        <v>45955.395833333299</v>
      </c>
      <c r="BH2410" s="17" t="s">
        <v>105</v>
      </c>
      <c r="BI2410" s="17"/>
      <c r="BJ2410" s="15"/>
      <c r="BK2410" s="15"/>
      <c r="BL2410" s="13" t="b">
        <v>0</v>
      </c>
      <c r="BM2410" s="10"/>
      <c r="BN2410" s="10" t="s">
        <v>157</v>
      </c>
      <c r="BO2410" s="11">
        <v>45954.640277777777</v>
      </c>
      <c r="BP2410" s="11">
        <v>45954.640925925924</v>
      </c>
      <c r="BQ2410" s="15"/>
      <c r="BR2410" s="15">
        <v>45955.357534722221</v>
      </c>
      <c r="BS2410" s="10" t="s">
        <v>157</v>
      </c>
      <c r="BT2410" s="10"/>
      <c r="BU2410" s="10"/>
      <c r="BV2410" s="10"/>
      <c r="BW2410" s="10"/>
      <c r="BX2410" s="10"/>
      <c r="BY2410" s="23"/>
      <c r="BZ2410" s="23"/>
      <c r="CA2410" s="19" t="s">
        <v>9024</v>
      </c>
      <c r="CB2410" s="23"/>
      <c r="CC2410" s="23"/>
      <c r="CD2410" s="23"/>
      <c r="CE2410" s="23"/>
      <c r="CF2410" s="23"/>
      <c r="CG2410" s="23"/>
      <c r="CH2410" s="23"/>
      <c r="CI2410" s="23"/>
    </row>
    <row r="2411" spans="1:87" x14ac:dyDescent="0.3">
      <c r="A2411" s="9" t="s">
        <v>18283</v>
      </c>
      <c r="B2411" s="10" t="s">
        <v>18284</v>
      </c>
      <c r="C2411" s="11">
        <v>45955.458333333336</v>
      </c>
      <c r="D2411" s="12">
        <v>1.7361111111111112E-2</v>
      </c>
      <c r="E2411" s="11">
        <v>45955.475694444445</v>
      </c>
      <c r="F2411" s="10" t="s">
        <v>9016</v>
      </c>
      <c r="G2411" s="13" t="b">
        <v>0</v>
      </c>
      <c r="H2411" s="22" t="s">
        <v>9017</v>
      </c>
      <c r="I2411" s="10" t="s">
        <v>212</v>
      </c>
      <c r="J2411" s="13" t="b">
        <v>1</v>
      </c>
      <c r="K2411" s="13" t="b">
        <v>0</v>
      </c>
      <c r="L2411" s="10" t="s">
        <v>124</v>
      </c>
      <c r="M2411" s="10" t="s">
        <v>91</v>
      </c>
      <c r="N2411" s="10" t="s">
        <v>92</v>
      </c>
      <c r="O2411" s="19" t="s">
        <v>18285</v>
      </c>
      <c r="P2411" s="10"/>
      <c r="Q2411" s="10" t="s">
        <v>94</v>
      </c>
      <c r="R2411" s="10"/>
      <c r="S2411" s="19" t="s">
        <v>9019</v>
      </c>
      <c r="T2411" s="10"/>
      <c r="U2411" s="10"/>
      <c r="V2411" s="10"/>
      <c r="W2411" s="10" t="s">
        <v>9020</v>
      </c>
      <c r="X2411" s="10" t="s">
        <v>130</v>
      </c>
      <c r="Y2411" s="10" t="s">
        <v>130</v>
      </c>
      <c r="Z2411" s="10" t="s">
        <v>99</v>
      </c>
      <c r="AA2411" s="10" t="s">
        <v>131</v>
      </c>
      <c r="AB2411" s="10" t="s">
        <v>9021</v>
      </c>
      <c r="AC2411" s="10" t="s">
        <v>9022</v>
      </c>
      <c r="AD2411" s="10" t="s">
        <v>165</v>
      </c>
      <c r="AE2411" s="10" t="s">
        <v>18286</v>
      </c>
      <c r="AF2411" s="15"/>
      <c r="AG2411" s="10"/>
      <c r="AH2411" s="10"/>
      <c r="AI2411" s="10"/>
      <c r="AJ2411" s="10"/>
      <c r="AK2411" s="10" t="s">
        <v>102</v>
      </c>
      <c r="AL2411" s="10"/>
      <c r="AM2411" s="10"/>
      <c r="AN2411" s="10"/>
      <c r="AO2411" s="13" t="b">
        <v>0</v>
      </c>
      <c r="AP2411" s="22" t="s">
        <v>104</v>
      </c>
      <c r="AQ2411" s="10">
        <f ca="1">IFERROR(__xludf.DUMMYFUNCTION("""COMPUTED_VALUE"""),4670872)</f>
        <v>4670872</v>
      </c>
      <c r="AR2411" s="17">
        <v>188</v>
      </c>
      <c r="AS2411" s="17">
        <v>168</v>
      </c>
      <c r="AT2411" s="17">
        <v>772.5</v>
      </c>
      <c r="AU2411" s="17">
        <v>0</v>
      </c>
      <c r="AV2411" s="17">
        <v>0</v>
      </c>
      <c r="AW2411" s="10" t="s">
        <v>105</v>
      </c>
      <c r="AX2411" s="17">
        <v>116</v>
      </c>
      <c r="AY2411" s="18">
        <v>4.5982142857142856</v>
      </c>
      <c r="AZ2411" s="10"/>
      <c r="BA2411" s="20" t="b">
        <v>0</v>
      </c>
      <c r="BB2411" s="10" t="s">
        <v>18241</v>
      </c>
      <c r="BC2411" s="17">
        <v>188</v>
      </c>
      <c r="BD2411" s="17">
        <v>168</v>
      </c>
      <c r="BE2411" s="17">
        <v>772.5</v>
      </c>
      <c r="BF2411" s="17">
        <v>0</v>
      </c>
      <c r="BG2411" s="11">
        <f ca="1">IFERROR(__xludf.DUMMYFUNCTION("""COMPUTED_VALUE"""),45955.4583333333)</f>
        <v>45955.458333333299</v>
      </c>
      <c r="BH2411" s="17" t="s">
        <v>105</v>
      </c>
      <c r="BI2411" s="17"/>
      <c r="BJ2411" s="15"/>
      <c r="BK2411" s="15"/>
      <c r="BL2411" s="13" t="b">
        <v>0</v>
      </c>
      <c r="BM2411" s="10"/>
      <c r="BN2411" s="10" t="s">
        <v>157</v>
      </c>
      <c r="BO2411" s="11">
        <v>45954.64166666667</v>
      </c>
      <c r="BP2411" s="11">
        <v>45954.651967592596</v>
      </c>
      <c r="BQ2411" s="15"/>
      <c r="BR2411" s="15">
        <v>45955.357974537037</v>
      </c>
      <c r="BS2411" s="10" t="s">
        <v>157</v>
      </c>
      <c r="BT2411" s="10"/>
      <c r="BU2411" s="10"/>
      <c r="BV2411" s="10"/>
      <c r="BW2411" s="10"/>
      <c r="BX2411" s="10"/>
      <c r="BY2411" s="23"/>
      <c r="BZ2411" s="23"/>
      <c r="CA2411" s="19" t="s">
        <v>9024</v>
      </c>
      <c r="CB2411" s="23"/>
      <c r="CC2411" s="23"/>
      <c r="CD2411" s="23"/>
      <c r="CE2411" s="23"/>
      <c r="CF2411" s="23"/>
      <c r="CG2411" s="23"/>
      <c r="CH2411" s="23"/>
      <c r="CI2411" s="23"/>
    </row>
    <row r="2412" spans="1:87" x14ac:dyDescent="0.3">
      <c r="A2412" s="9" t="s">
        <v>18287</v>
      </c>
      <c r="B2412" s="10" t="s">
        <v>18288</v>
      </c>
      <c r="C2412" s="11">
        <v>45955.545138888891</v>
      </c>
      <c r="D2412" s="12">
        <v>2.4305555555555556E-2</v>
      </c>
      <c r="E2412" s="11">
        <v>45955.569444444445</v>
      </c>
      <c r="F2412" s="10" t="s">
        <v>9016</v>
      </c>
      <c r="G2412" s="13" t="b">
        <v>0</v>
      </c>
      <c r="H2412" s="22" t="s">
        <v>9017</v>
      </c>
      <c r="I2412" s="10" t="s">
        <v>212</v>
      </c>
      <c r="J2412" s="13" t="b">
        <v>1</v>
      </c>
      <c r="K2412" s="13" t="b">
        <v>0</v>
      </c>
      <c r="L2412" s="10" t="s">
        <v>124</v>
      </c>
      <c r="M2412" s="10" t="s">
        <v>91</v>
      </c>
      <c r="N2412" s="10" t="s">
        <v>92</v>
      </c>
      <c r="O2412" s="19" t="s">
        <v>18289</v>
      </c>
      <c r="P2412" s="10"/>
      <c r="Q2412" s="10" t="s">
        <v>94</v>
      </c>
      <c r="R2412" s="10"/>
      <c r="S2412" s="19" t="s">
        <v>9019</v>
      </c>
      <c r="T2412" s="10"/>
      <c r="U2412" s="10"/>
      <c r="V2412" s="10"/>
      <c r="W2412" s="10" t="s">
        <v>9020</v>
      </c>
      <c r="X2412" s="10" t="s">
        <v>130</v>
      </c>
      <c r="Y2412" s="10" t="s">
        <v>130</v>
      </c>
      <c r="Z2412" s="10" t="s">
        <v>99</v>
      </c>
      <c r="AA2412" s="10" t="s">
        <v>131</v>
      </c>
      <c r="AB2412" s="10" t="s">
        <v>9021</v>
      </c>
      <c r="AC2412" s="10" t="s">
        <v>9022</v>
      </c>
      <c r="AD2412" s="10" t="s">
        <v>165</v>
      </c>
      <c r="AE2412" s="10" t="s">
        <v>18290</v>
      </c>
      <c r="AF2412" s="15"/>
      <c r="AG2412" s="10"/>
      <c r="AH2412" s="10"/>
      <c r="AI2412" s="10"/>
      <c r="AJ2412" s="10"/>
      <c r="AK2412" s="10" t="s">
        <v>102</v>
      </c>
      <c r="AL2412" s="10"/>
      <c r="AM2412" s="10"/>
      <c r="AN2412" s="10"/>
      <c r="AO2412" s="13" t="b">
        <v>0</v>
      </c>
      <c r="AP2412" s="22" t="s">
        <v>104</v>
      </c>
      <c r="AQ2412" s="10">
        <f ca="1">IFERROR(__xludf.DUMMYFUNCTION("""COMPUTED_VALUE"""),4670875)</f>
        <v>4670875</v>
      </c>
      <c r="AR2412" s="17">
        <v>343</v>
      </c>
      <c r="AS2412" s="17">
        <v>282</v>
      </c>
      <c r="AT2412" s="17">
        <v>2085.75</v>
      </c>
      <c r="AU2412" s="17">
        <v>0.1</v>
      </c>
      <c r="AV2412" s="17">
        <v>0</v>
      </c>
      <c r="AW2412" s="10" t="s">
        <v>105</v>
      </c>
      <c r="AX2412" s="17">
        <v>135</v>
      </c>
      <c r="AY2412" s="18">
        <v>7.3962765957446805</v>
      </c>
      <c r="AZ2412" s="10"/>
      <c r="BA2412" s="20" t="b">
        <v>0</v>
      </c>
      <c r="BB2412" s="10" t="s">
        <v>18241</v>
      </c>
      <c r="BC2412" s="17">
        <v>343</v>
      </c>
      <c r="BD2412" s="17">
        <v>282</v>
      </c>
      <c r="BE2412" s="17">
        <v>2085.75</v>
      </c>
      <c r="BF2412" s="17">
        <v>0</v>
      </c>
      <c r="BG2412" s="11">
        <f ca="1">IFERROR(__xludf.DUMMYFUNCTION("""COMPUTED_VALUE"""),45955.5451388888)</f>
        <v>45955.545138888803</v>
      </c>
      <c r="BH2412" s="17" t="s">
        <v>105</v>
      </c>
      <c r="BI2412" s="17"/>
      <c r="BJ2412" s="15"/>
      <c r="BK2412" s="15"/>
      <c r="BL2412" s="13" t="b">
        <v>0</v>
      </c>
      <c r="BM2412" s="10"/>
      <c r="BN2412" s="10" t="s">
        <v>157</v>
      </c>
      <c r="BO2412" s="11">
        <v>45954.65</v>
      </c>
      <c r="BP2412" s="11">
        <v>45954.650277777779</v>
      </c>
      <c r="BQ2412" s="15"/>
      <c r="BR2412" s="15">
        <v>45955.358240740738</v>
      </c>
      <c r="BS2412" s="10" t="s">
        <v>157</v>
      </c>
      <c r="BT2412" s="10"/>
      <c r="BU2412" s="10"/>
      <c r="BV2412" s="10"/>
      <c r="BW2412" s="10"/>
      <c r="BX2412" s="10"/>
      <c r="BY2412" s="23"/>
      <c r="BZ2412" s="23"/>
      <c r="CA2412" s="19" t="s">
        <v>9024</v>
      </c>
      <c r="CB2412" s="23"/>
      <c r="CC2412" s="23"/>
      <c r="CD2412" s="23"/>
      <c r="CE2412" s="23"/>
      <c r="CF2412" s="23"/>
      <c r="CG2412" s="23"/>
      <c r="CH2412" s="23"/>
      <c r="CI2412" s="23"/>
    </row>
    <row r="2413" spans="1:87" x14ac:dyDescent="0.3">
      <c r="A2413" s="9" t="s">
        <v>18291</v>
      </c>
      <c r="B2413" s="10" t="s">
        <v>18292</v>
      </c>
      <c r="C2413" s="11">
        <v>45963.916666666664</v>
      </c>
      <c r="D2413" s="12">
        <v>8.3333333333333329E-2</v>
      </c>
      <c r="E2413" s="11">
        <v>45964</v>
      </c>
      <c r="F2413" s="10" t="s">
        <v>16719</v>
      </c>
      <c r="G2413" s="13" t="b">
        <v>0</v>
      </c>
      <c r="H2413" s="22" t="s">
        <v>16543</v>
      </c>
      <c r="I2413" s="10" t="s">
        <v>212</v>
      </c>
      <c r="J2413" s="13" t="b">
        <v>1</v>
      </c>
      <c r="K2413" s="13" t="b">
        <v>0</v>
      </c>
      <c r="L2413" s="10" t="s">
        <v>124</v>
      </c>
      <c r="M2413" s="10" t="s">
        <v>91</v>
      </c>
      <c r="N2413" s="10" t="s">
        <v>92</v>
      </c>
      <c r="O2413" s="19" t="s">
        <v>18293</v>
      </c>
      <c r="P2413" s="10"/>
      <c r="Q2413" s="10" t="s">
        <v>94</v>
      </c>
      <c r="R2413" s="10"/>
      <c r="S2413" s="19" t="s">
        <v>18294</v>
      </c>
      <c r="T2413" s="10"/>
      <c r="U2413" s="10" t="s">
        <v>16751</v>
      </c>
      <c r="V2413" s="10" t="s">
        <v>16778</v>
      </c>
      <c r="W2413" s="10" t="s">
        <v>16644</v>
      </c>
      <c r="X2413" s="10" t="s">
        <v>16549</v>
      </c>
      <c r="Y2413" s="10" t="s">
        <v>16549</v>
      </c>
      <c r="Z2413" s="10" t="s">
        <v>99</v>
      </c>
      <c r="AA2413" s="10" t="s">
        <v>131</v>
      </c>
      <c r="AB2413" s="10" t="s">
        <v>16645</v>
      </c>
      <c r="AC2413" s="10" t="s">
        <v>16551</v>
      </c>
      <c r="AD2413" s="10" t="s">
        <v>17598</v>
      </c>
      <c r="AE2413" s="10" t="s">
        <v>18295</v>
      </c>
      <c r="AF2413" s="15"/>
      <c r="AG2413" s="10"/>
      <c r="AH2413" s="10"/>
      <c r="AI2413" s="10"/>
      <c r="AJ2413" s="10"/>
      <c r="AK2413" s="10" t="s">
        <v>102</v>
      </c>
      <c r="AL2413" s="10" t="s">
        <v>116</v>
      </c>
      <c r="AM2413" s="10"/>
      <c r="AN2413" s="10"/>
      <c r="AO2413" s="13" t="b">
        <v>0</v>
      </c>
      <c r="AP2413" s="22" t="s">
        <v>104</v>
      </c>
      <c r="AQ2413" s="10">
        <f ca="1">IFERROR(__xludf.DUMMYFUNCTION("""COMPUTED_VALUE"""),4675261)</f>
        <v>4675261</v>
      </c>
      <c r="AR2413" s="17">
        <v>1485</v>
      </c>
      <c r="AS2413" s="17">
        <v>1194</v>
      </c>
      <c r="AT2413" s="17">
        <v>17242.25</v>
      </c>
      <c r="AU2413" s="17">
        <v>1.5</v>
      </c>
      <c r="AV2413" s="17">
        <v>0</v>
      </c>
      <c r="AW2413" s="10" t="s">
        <v>105</v>
      </c>
      <c r="AX2413" s="17">
        <v>292</v>
      </c>
      <c r="AY2413" s="18">
        <v>14.44074539363484</v>
      </c>
      <c r="AZ2413" s="10" t="s">
        <v>3998</v>
      </c>
      <c r="BA2413" s="20" t="b">
        <v>0</v>
      </c>
      <c r="BB2413" s="10"/>
      <c r="BC2413" s="17">
        <v>1485</v>
      </c>
      <c r="BD2413" s="17">
        <v>1194</v>
      </c>
      <c r="BE2413" s="17">
        <v>17242.25</v>
      </c>
      <c r="BF2413" s="17">
        <v>0</v>
      </c>
      <c r="BG2413" s="11">
        <f ca="1">IFERROR(__xludf.DUMMYFUNCTION("""COMPUTED_VALUE"""),45963.9166666666)</f>
        <v>45963.916666666599</v>
      </c>
      <c r="BH2413" s="17" t="s">
        <v>105</v>
      </c>
      <c r="BI2413" s="17"/>
      <c r="BJ2413" s="15"/>
      <c r="BK2413" s="15"/>
      <c r="BL2413" s="13" t="b">
        <v>0</v>
      </c>
      <c r="BM2413" s="10"/>
      <c r="BN2413" s="10" t="s">
        <v>634</v>
      </c>
      <c r="BO2413" s="11">
        <v>45956.602083333331</v>
      </c>
      <c r="BP2413" s="11">
        <v>45956.609895833331</v>
      </c>
      <c r="BQ2413" s="15">
        <v>45958.705543981479</v>
      </c>
      <c r="BR2413" s="15">
        <v>45958.75640046296</v>
      </c>
      <c r="BS2413" s="10" t="s">
        <v>634</v>
      </c>
      <c r="BT2413" s="10" t="s">
        <v>99</v>
      </c>
      <c r="BU2413" s="10" t="s">
        <v>521</v>
      </c>
      <c r="BV2413" s="10"/>
      <c r="BW2413" s="10"/>
      <c r="BX2413" s="10"/>
      <c r="BY2413" s="23"/>
      <c r="BZ2413" s="23"/>
      <c r="CA2413" s="19" t="s">
        <v>18296</v>
      </c>
      <c r="CB2413" s="23"/>
      <c r="CC2413" s="23"/>
      <c r="CD2413" s="23"/>
      <c r="CE2413" s="23"/>
      <c r="CF2413" s="23"/>
      <c r="CG2413" s="23"/>
      <c r="CH2413" s="23"/>
      <c r="CI2413" s="23"/>
    </row>
    <row r="2414" spans="1:87" x14ac:dyDescent="0.3">
      <c r="A2414" s="9" t="s">
        <v>18297</v>
      </c>
      <c r="B2414" s="10" t="s">
        <v>18298</v>
      </c>
      <c r="C2414" s="11">
        <v>45962.791666666664</v>
      </c>
      <c r="D2414" s="12">
        <v>0.14583333333333334</v>
      </c>
      <c r="E2414" s="11">
        <v>45962.9375</v>
      </c>
      <c r="F2414" s="10" t="s">
        <v>8402</v>
      </c>
      <c r="G2414" s="13" t="b">
        <v>0</v>
      </c>
      <c r="H2414" s="22" t="s">
        <v>8403</v>
      </c>
      <c r="I2414" s="10" t="s">
        <v>212</v>
      </c>
      <c r="J2414" s="13" t="b">
        <v>1</v>
      </c>
      <c r="K2414" s="13" t="b">
        <v>0</v>
      </c>
      <c r="L2414" s="10" t="s">
        <v>124</v>
      </c>
      <c r="M2414" s="10" t="s">
        <v>91</v>
      </c>
      <c r="N2414" s="10" t="s">
        <v>92</v>
      </c>
      <c r="O2414" s="19" t="s">
        <v>18299</v>
      </c>
      <c r="P2414" s="10"/>
      <c r="Q2414" s="10" t="s">
        <v>126</v>
      </c>
      <c r="R2414" s="19" t="s">
        <v>18300</v>
      </c>
      <c r="S2414" s="19" t="s">
        <v>18301</v>
      </c>
      <c r="T2414" s="10"/>
      <c r="U2414" s="10"/>
      <c r="V2414" s="10"/>
      <c r="W2414" s="10" t="s">
        <v>8407</v>
      </c>
      <c r="X2414" s="10" t="s">
        <v>8408</v>
      </c>
      <c r="Y2414" s="10" t="s">
        <v>8409</v>
      </c>
      <c r="Z2414" s="10" t="s">
        <v>99</v>
      </c>
      <c r="AA2414" s="10" t="s">
        <v>100</v>
      </c>
      <c r="AB2414" s="10" t="s">
        <v>8410</v>
      </c>
      <c r="AC2414" s="10"/>
      <c r="AD2414" s="10" t="s">
        <v>165</v>
      </c>
      <c r="AE2414" s="10" t="s">
        <v>18302</v>
      </c>
      <c r="AF2414" s="15"/>
      <c r="AG2414" s="10"/>
      <c r="AH2414" s="10"/>
      <c r="AI2414" s="10"/>
      <c r="AJ2414" s="10"/>
      <c r="AK2414" s="10" t="s">
        <v>102</v>
      </c>
      <c r="AL2414" s="10"/>
      <c r="AM2414" s="10"/>
      <c r="AN2414" s="10"/>
      <c r="AO2414" s="13" t="b">
        <v>0</v>
      </c>
      <c r="AP2414" s="22"/>
      <c r="AQ2414" s="10">
        <f ca="1">IFERROR(__xludf.DUMMYFUNCTION("""COMPUTED_VALUE"""),4675141)</f>
        <v>4675141</v>
      </c>
      <c r="AR2414" s="17">
        <v>8638</v>
      </c>
      <c r="AS2414" s="17">
        <v>6341</v>
      </c>
      <c r="AT2414" s="17">
        <v>74779</v>
      </c>
      <c r="AU2414" s="17">
        <v>17.5</v>
      </c>
      <c r="AV2414" s="17">
        <v>9.6999999999999993</v>
      </c>
      <c r="AW2414" s="10" t="s">
        <v>105</v>
      </c>
      <c r="AX2414" s="17">
        <v>1123</v>
      </c>
      <c r="AY2414" s="18">
        <v>11.7929348683173</v>
      </c>
      <c r="AZ2414" s="10" t="s">
        <v>3783</v>
      </c>
      <c r="BA2414" s="20" t="b">
        <v>0</v>
      </c>
      <c r="BB2414" s="10"/>
      <c r="BC2414" s="17">
        <v>8638</v>
      </c>
      <c r="BD2414" s="17">
        <v>6341</v>
      </c>
      <c r="BE2414" s="17">
        <v>74779</v>
      </c>
      <c r="BF2414" s="17">
        <v>9.6999999999999993</v>
      </c>
      <c r="BG2414" s="11">
        <f ca="1">IFERROR(__xludf.DUMMYFUNCTION("""COMPUTED_VALUE"""),45962.7916666666)</f>
        <v>45962.791666666599</v>
      </c>
      <c r="BH2414" s="17" t="s">
        <v>105</v>
      </c>
      <c r="BI2414" s="17"/>
      <c r="BJ2414" s="15"/>
      <c r="BK2414" s="15"/>
      <c r="BL2414" s="13" t="b">
        <v>0</v>
      </c>
      <c r="BM2414" s="10"/>
      <c r="BN2414" s="10" t="s">
        <v>149</v>
      </c>
      <c r="BO2414" s="11">
        <v>45956.61041666667</v>
      </c>
      <c r="BP2414" s="11">
        <v>45956.610925925925</v>
      </c>
      <c r="BQ2414" s="15">
        <v>45958.597511574073</v>
      </c>
      <c r="BR2414" s="15">
        <v>45958.619386574072</v>
      </c>
      <c r="BS2414" s="10" t="s">
        <v>149</v>
      </c>
      <c r="BT2414" s="10"/>
      <c r="BU2414" s="10"/>
      <c r="BV2414" s="10"/>
      <c r="BW2414" s="10"/>
      <c r="BX2414" s="10"/>
      <c r="BY2414" s="23"/>
      <c r="BZ2414" s="23"/>
      <c r="CA2414" s="19" t="s">
        <v>18303</v>
      </c>
      <c r="CB2414" s="23"/>
      <c r="CC2414" s="23"/>
      <c r="CD2414" s="19" t="s">
        <v>18304</v>
      </c>
      <c r="CE2414" s="23"/>
      <c r="CF2414" s="23"/>
      <c r="CG2414" s="23"/>
      <c r="CH2414" s="23"/>
      <c r="CI2414" s="23"/>
    </row>
    <row r="2415" spans="1:87" x14ac:dyDescent="0.3">
      <c r="A2415" s="9" t="s">
        <v>18305</v>
      </c>
      <c r="B2415" s="10" t="s">
        <v>18306</v>
      </c>
      <c r="C2415" s="11">
        <v>45961.291666666664</v>
      </c>
      <c r="D2415" s="12">
        <v>0.14583333333333334</v>
      </c>
      <c r="E2415" s="11">
        <v>45961.4375</v>
      </c>
      <c r="F2415" s="10" t="s">
        <v>87</v>
      </c>
      <c r="G2415" s="13" t="b">
        <v>0</v>
      </c>
      <c r="H2415" s="22" t="s">
        <v>88</v>
      </c>
      <c r="I2415" s="10" t="s">
        <v>89</v>
      </c>
      <c r="J2415" s="13" t="b">
        <v>0</v>
      </c>
      <c r="K2415" s="13" t="b">
        <v>1</v>
      </c>
      <c r="L2415" s="10" t="s">
        <v>124</v>
      </c>
      <c r="M2415" s="10" t="s">
        <v>91</v>
      </c>
      <c r="N2415" s="10" t="s">
        <v>265</v>
      </c>
      <c r="O2415" s="19" t="s">
        <v>18307</v>
      </c>
      <c r="P2415" s="10"/>
      <c r="Q2415" s="10" t="s">
        <v>126</v>
      </c>
      <c r="R2415" s="10"/>
      <c r="S2415" s="19" t="s">
        <v>18308</v>
      </c>
      <c r="T2415" s="10"/>
      <c r="U2415" s="10"/>
      <c r="V2415" s="10"/>
      <c r="W2415" s="10" t="s">
        <v>97</v>
      </c>
      <c r="X2415" s="10" t="s">
        <v>98</v>
      </c>
      <c r="Y2415" s="10" t="s">
        <v>98</v>
      </c>
      <c r="Z2415" s="10" t="s">
        <v>99</v>
      </c>
      <c r="AA2415" s="10" t="s">
        <v>100</v>
      </c>
      <c r="AB2415" s="10" t="s">
        <v>87</v>
      </c>
      <c r="AC2415" s="10"/>
      <c r="AD2415" s="10" t="s">
        <v>165</v>
      </c>
      <c r="AE2415" s="10" t="s">
        <v>18309</v>
      </c>
      <c r="AF2415" s="15"/>
      <c r="AG2415" s="10"/>
      <c r="AH2415" s="10"/>
      <c r="AI2415" s="10"/>
      <c r="AJ2415" s="10"/>
      <c r="AK2415" s="10" t="s">
        <v>102</v>
      </c>
      <c r="AL2415" s="10"/>
      <c r="AM2415" s="10"/>
      <c r="AN2415" s="10"/>
      <c r="AO2415" s="13" t="b">
        <v>0</v>
      </c>
      <c r="AP2415" s="22" t="s">
        <v>104</v>
      </c>
      <c r="AQ2415" s="10">
        <f ca="1">IFERROR(__xludf.DUMMYFUNCTION("""COMPUTED_VALUE"""),4678460)</f>
        <v>4678460</v>
      </c>
      <c r="AR2415" s="17">
        <v>3503</v>
      </c>
      <c r="AS2415" s="17">
        <v>2675</v>
      </c>
      <c r="AT2415" s="17">
        <v>42122.5</v>
      </c>
      <c r="AU2415" s="17">
        <v>6.65</v>
      </c>
      <c r="AV2415" s="17">
        <v>1.5</v>
      </c>
      <c r="AW2415" s="10" t="s">
        <v>105</v>
      </c>
      <c r="AX2415" s="17">
        <v>307</v>
      </c>
      <c r="AY2415" s="18">
        <v>15.746728971962616</v>
      </c>
      <c r="AZ2415" s="10" t="s">
        <v>3783</v>
      </c>
      <c r="BA2415" s="20" t="b">
        <v>0</v>
      </c>
      <c r="BB2415" s="10"/>
      <c r="BC2415" s="17">
        <v>3503</v>
      </c>
      <c r="BD2415" s="17">
        <v>2675</v>
      </c>
      <c r="BE2415" s="17">
        <v>42122.5</v>
      </c>
      <c r="BF2415" s="17">
        <v>1.5</v>
      </c>
      <c r="BG2415" s="11">
        <f ca="1">IFERROR(__xludf.DUMMYFUNCTION("""COMPUTED_VALUE"""),45961.2916666666)</f>
        <v>45961.291666666599</v>
      </c>
      <c r="BH2415" s="17" t="s">
        <v>105</v>
      </c>
      <c r="BI2415" s="17"/>
      <c r="BJ2415" s="15"/>
      <c r="BK2415" s="15"/>
      <c r="BL2415" s="13" t="b">
        <v>0</v>
      </c>
      <c r="BM2415" s="10"/>
      <c r="BN2415" s="10" t="s">
        <v>278</v>
      </c>
      <c r="BO2415" s="11">
        <v>45956.624305555553</v>
      </c>
      <c r="BP2415" s="11">
        <v>45956.627303240741</v>
      </c>
      <c r="BQ2415" s="15">
        <v>45960.568703703706</v>
      </c>
      <c r="BR2415" s="15">
        <v>45960.706701388888</v>
      </c>
      <c r="BS2415" s="10" t="s">
        <v>278</v>
      </c>
      <c r="BT2415" s="10" t="s">
        <v>99</v>
      </c>
      <c r="BU2415" s="10" t="s">
        <v>498</v>
      </c>
      <c r="BV2415" s="10"/>
      <c r="BW2415" s="10"/>
      <c r="BX2415" s="10"/>
      <c r="BY2415" s="23"/>
      <c r="BZ2415" s="23"/>
      <c r="CA2415" s="19" t="s">
        <v>18310</v>
      </c>
      <c r="CB2415" s="23"/>
      <c r="CC2415" s="23"/>
      <c r="CD2415" s="19" t="s">
        <v>18311</v>
      </c>
      <c r="CE2415" s="23"/>
      <c r="CF2415" s="23"/>
      <c r="CG2415" s="23"/>
      <c r="CH2415" s="23"/>
      <c r="CI2415" s="23"/>
    </row>
    <row r="2416" spans="1:87" x14ac:dyDescent="0.3">
      <c r="A2416" s="9" t="s">
        <v>18312</v>
      </c>
      <c r="B2416" s="10" t="s">
        <v>18313</v>
      </c>
      <c r="C2416" s="11">
        <v>45960.708333333336</v>
      </c>
      <c r="D2416" s="12">
        <v>8.3333333333333329E-2</v>
      </c>
      <c r="E2416" s="11">
        <v>45960.791666666664</v>
      </c>
      <c r="F2416" s="10" t="s">
        <v>16311</v>
      </c>
      <c r="G2416" s="13" t="b">
        <v>0</v>
      </c>
      <c r="H2416" s="22" t="s">
        <v>16312</v>
      </c>
      <c r="I2416" s="10" t="s">
        <v>212</v>
      </c>
      <c r="J2416" s="13" t="b">
        <v>1</v>
      </c>
      <c r="K2416" s="13" t="b">
        <v>0</v>
      </c>
      <c r="L2416" s="10" t="s">
        <v>124</v>
      </c>
      <c r="M2416" s="10" t="s">
        <v>91</v>
      </c>
      <c r="N2416" s="10" t="s">
        <v>92</v>
      </c>
      <c r="O2416" s="19" t="s">
        <v>18314</v>
      </c>
      <c r="P2416" s="10"/>
      <c r="Q2416" s="10" t="s">
        <v>126</v>
      </c>
      <c r="R2416" s="10"/>
      <c r="S2416" s="19" t="s">
        <v>18315</v>
      </c>
      <c r="T2416" s="10"/>
      <c r="U2416" s="10" t="s">
        <v>18316</v>
      </c>
      <c r="V2416" s="10" t="s">
        <v>17283</v>
      </c>
      <c r="W2416" s="10" t="s">
        <v>16317</v>
      </c>
      <c r="X2416" s="10" t="s">
        <v>16318</v>
      </c>
      <c r="Y2416" s="10" t="s">
        <v>16318</v>
      </c>
      <c r="Z2416" s="10" t="s">
        <v>99</v>
      </c>
      <c r="AA2416" s="10" t="s">
        <v>131</v>
      </c>
      <c r="AB2416" s="10" t="s">
        <v>16319</v>
      </c>
      <c r="AC2416" s="10"/>
      <c r="AD2416" s="10" t="s">
        <v>18317</v>
      </c>
      <c r="AE2416" s="10" t="s">
        <v>18318</v>
      </c>
      <c r="AF2416" s="15"/>
      <c r="AG2416" s="10"/>
      <c r="AH2416" s="10"/>
      <c r="AI2416" s="10"/>
      <c r="AJ2416" s="10"/>
      <c r="AK2416" s="10" t="s">
        <v>102</v>
      </c>
      <c r="AL2416" s="10" t="s">
        <v>147</v>
      </c>
      <c r="AM2416" s="10"/>
      <c r="AN2416" s="10"/>
      <c r="AO2416" s="13" t="b">
        <v>0</v>
      </c>
      <c r="AP2416" s="22" t="s">
        <v>104</v>
      </c>
      <c r="AQ2416" s="10">
        <f ca="1">IFERROR(__xludf.DUMMYFUNCTION("""COMPUTED_VALUE"""),4677384)</f>
        <v>4677384</v>
      </c>
      <c r="AR2416" s="17">
        <v>1614</v>
      </c>
      <c r="AS2416" s="17">
        <v>1339</v>
      </c>
      <c r="AT2416" s="17">
        <v>7890</v>
      </c>
      <c r="AU2416" s="17">
        <v>1.4</v>
      </c>
      <c r="AV2416" s="17">
        <v>1</v>
      </c>
      <c r="AW2416" s="10" t="s">
        <v>105</v>
      </c>
      <c r="AX2416" s="17">
        <v>156</v>
      </c>
      <c r="AY2416" s="18">
        <v>5.8924570575056014</v>
      </c>
      <c r="AZ2416" s="10" t="s">
        <v>117</v>
      </c>
      <c r="BA2416" s="20" t="b">
        <v>0</v>
      </c>
      <c r="BB2416" s="10"/>
      <c r="BC2416" s="17">
        <v>1614</v>
      </c>
      <c r="BD2416" s="17">
        <v>1339</v>
      </c>
      <c r="BE2416" s="17">
        <v>7890</v>
      </c>
      <c r="BF2416" s="17">
        <v>1</v>
      </c>
      <c r="BG2416" s="11">
        <f ca="1">IFERROR(__xludf.DUMMYFUNCTION("""COMPUTED_VALUE"""),45960.7083333333)</f>
        <v>45960.708333333299</v>
      </c>
      <c r="BH2416" s="17" t="s">
        <v>105</v>
      </c>
      <c r="BI2416" s="17"/>
      <c r="BJ2416" s="15"/>
      <c r="BK2416" s="15"/>
      <c r="BL2416" s="13" t="b">
        <v>0</v>
      </c>
      <c r="BM2416" s="10"/>
      <c r="BN2416" s="10" t="s">
        <v>278</v>
      </c>
      <c r="BO2416" s="11">
        <v>45957.404861111114</v>
      </c>
      <c r="BP2416" s="11">
        <v>45957.405324074076</v>
      </c>
      <c r="BQ2416" s="15">
        <v>45959.990949074076</v>
      </c>
      <c r="BR2416" s="15">
        <v>45960.078819444447</v>
      </c>
      <c r="BS2416" s="10" t="s">
        <v>278</v>
      </c>
      <c r="BT2416" s="10"/>
      <c r="BU2416" s="10"/>
      <c r="BV2416" s="10"/>
      <c r="BW2416" s="10"/>
      <c r="BX2416" s="10"/>
      <c r="BY2416" s="23"/>
      <c r="BZ2416" s="23"/>
      <c r="CA2416" s="19" t="s">
        <v>18319</v>
      </c>
      <c r="CB2416" s="23"/>
      <c r="CC2416" s="23"/>
      <c r="CD2416" s="19" t="s">
        <v>18320</v>
      </c>
      <c r="CE2416" s="23"/>
      <c r="CF2416" s="23"/>
      <c r="CG2416" s="23"/>
      <c r="CH2416" s="23"/>
      <c r="CI2416" s="23"/>
    </row>
    <row r="2417" spans="1:87" x14ac:dyDescent="0.3">
      <c r="A2417" s="9" t="s">
        <v>18321</v>
      </c>
      <c r="B2417" s="10" t="s">
        <v>18322</v>
      </c>
      <c r="C2417" s="11">
        <v>45962.666666666664</v>
      </c>
      <c r="D2417" s="12">
        <v>8.3333333333333329E-2</v>
      </c>
      <c r="E2417" s="11">
        <v>45962.75</v>
      </c>
      <c r="F2417" s="10" t="s">
        <v>16311</v>
      </c>
      <c r="G2417" s="13" t="b">
        <v>0</v>
      </c>
      <c r="H2417" s="22" t="s">
        <v>16312</v>
      </c>
      <c r="I2417" s="10" t="s">
        <v>212</v>
      </c>
      <c r="J2417" s="13" t="b">
        <v>1</v>
      </c>
      <c r="K2417" s="13" t="b">
        <v>0</v>
      </c>
      <c r="L2417" s="10" t="s">
        <v>124</v>
      </c>
      <c r="M2417" s="10" t="s">
        <v>91</v>
      </c>
      <c r="N2417" s="10" t="s">
        <v>92</v>
      </c>
      <c r="O2417" s="19" t="s">
        <v>18323</v>
      </c>
      <c r="P2417" s="10"/>
      <c r="Q2417" s="10" t="s">
        <v>126</v>
      </c>
      <c r="R2417" s="10"/>
      <c r="S2417" s="19" t="s">
        <v>18324</v>
      </c>
      <c r="T2417" s="10"/>
      <c r="U2417" s="10" t="s">
        <v>16316</v>
      </c>
      <c r="V2417" s="10" t="s">
        <v>17283</v>
      </c>
      <c r="W2417" s="10" t="s">
        <v>16317</v>
      </c>
      <c r="X2417" s="10" t="s">
        <v>16318</v>
      </c>
      <c r="Y2417" s="10" t="s">
        <v>16318</v>
      </c>
      <c r="Z2417" s="10" t="s">
        <v>99</v>
      </c>
      <c r="AA2417" s="10" t="s">
        <v>131</v>
      </c>
      <c r="AB2417" s="10" t="s">
        <v>16319</v>
      </c>
      <c r="AC2417" s="10"/>
      <c r="AD2417" s="10" t="s">
        <v>18325</v>
      </c>
      <c r="AE2417" s="10" t="s">
        <v>18326</v>
      </c>
      <c r="AF2417" s="15"/>
      <c r="AG2417" s="10"/>
      <c r="AH2417" s="10"/>
      <c r="AI2417" s="10"/>
      <c r="AJ2417" s="10"/>
      <c r="AK2417" s="10" t="s">
        <v>102</v>
      </c>
      <c r="AL2417" s="10" t="s">
        <v>147</v>
      </c>
      <c r="AM2417" s="10"/>
      <c r="AN2417" s="10"/>
      <c r="AO2417" s="13" t="b">
        <v>0</v>
      </c>
      <c r="AP2417" s="22" t="s">
        <v>104</v>
      </c>
      <c r="AQ2417" s="10">
        <f ca="1">IFERROR(__xludf.DUMMYFUNCTION("""COMPUTED_VALUE"""),4677638)</f>
        <v>4677638</v>
      </c>
      <c r="AR2417" s="17">
        <v>4050</v>
      </c>
      <c r="AS2417" s="17">
        <v>3636</v>
      </c>
      <c r="AT2417" s="17">
        <v>10357</v>
      </c>
      <c r="AU2417" s="17">
        <v>4.95</v>
      </c>
      <c r="AV2417" s="17">
        <v>1.25</v>
      </c>
      <c r="AW2417" s="10" t="s">
        <v>105</v>
      </c>
      <c r="AX2417" s="17">
        <v>515</v>
      </c>
      <c r="AY2417" s="18">
        <v>2.8484598459845984</v>
      </c>
      <c r="AZ2417" s="10" t="s">
        <v>117</v>
      </c>
      <c r="BA2417" s="20" t="b">
        <v>0</v>
      </c>
      <c r="BB2417" s="10"/>
      <c r="BC2417" s="17">
        <v>4050</v>
      </c>
      <c r="BD2417" s="17">
        <v>3636</v>
      </c>
      <c r="BE2417" s="17">
        <v>10357</v>
      </c>
      <c r="BF2417" s="17">
        <v>1.25</v>
      </c>
      <c r="BG2417" s="11">
        <f ca="1">IFERROR(__xludf.DUMMYFUNCTION("""COMPUTED_VALUE"""),45962.6666666666)</f>
        <v>45962.666666666599</v>
      </c>
      <c r="BH2417" s="17" t="s">
        <v>105</v>
      </c>
      <c r="BI2417" s="17"/>
      <c r="BJ2417" s="15"/>
      <c r="BK2417" s="15"/>
      <c r="BL2417" s="13" t="b">
        <v>0</v>
      </c>
      <c r="BM2417" s="10"/>
      <c r="BN2417" s="10" t="s">
        <v>137</v>
      </c>
      <c r="BO2417" s="11">
        <v>45957.406944444447</v>
      </c>
      <c r="BP2417" s="11">
        <v>45957.407164351855</v>
      </c>
      <c r="BQ2417" s="15">
        <v>45959.991180555553</v>
      </c>
      <c r="BR2417" s="15">
        <v>45960.471493055556</v>
      </c>
      <c r="BS2417" s="10" t="s">
        <v>137</v>
      </c>
      <c r="BT2417" s="10"/>
      <c r="BU2417" s="10"/>
      <c r="BV2417" s="10"/>
      <c r="BW2417" s="10"/>
      <c r="BX2417" s="10"/>
      <c r="BY2417" s="23"/>
      <c r="BZ2417" s="23"/>
      <c r="CA2417" s="19" t="s">
        <v>18327</v>
      </c>
      <c r="CB2417" s="23"/>
      <c r="CC2417" s="23"/>
      <c r="CD2417" s="19" t="s">
        <v>18328</v>
      </c>
      <c r="CE2417" s="23"/>
      <c r="CF2417" s="23"/>
      <c r="CG2417" s="23"/>
      <c r="CH2417" s="23"/>
      <c r="CI2417" s="23"/>
    </row>
    <row r="2418" spans="1:87" x14ac:dyDescent="0.3">
      <c r="A2418" s="9" t="s">
        <v>18329</v>
      </c>
      <c r="B2418" s="10" t="s">
        <v>18330</v>
      </c>
      <c r="C2418" s="11">
        <v>45963.666666666664</v>
      </c>
      <c r="D2418" s="12">
        <v>8.3333333333333329E-2</v>
      </c>
      <c r="E2418" s="11">
        <v>45963.75</v>
      </c>
      <c r="F2418" s="10" t="s">
        <v>16311</v>
      </c>
      <c r="G2418" s="13" t="b">
        <v>0</v>
      </c>
      <c r="H2418" s="22" t="s">
        <v>16312</v>
      </c>
      <c r="I2418" s="10" t="s">
        <v>212</v>
      </c>
      <c r="J2418" s="13" t="b">
        <v>1</v>
      </c>
      <c r="K2418" s="13" t="b">
        <v>0</v>
      </c>
      <c r="L2418" s="10" t="s">
        <v>124</v>
      </c>
      <c r="M2418" s="10" t="s">
        <v>91</v>
      </c>
      <c r="N2418" s="10" t="s">
        <v>92</v>
      </c>
      <c r="O2418" s="19" t="s">
        <v>18331</v>
      </c>
      <c r="P2418" s="10"/>
      <c r="Q2418" s="10" t="s">
        <v>126</v>
      </c>
      <c r="R2418" s="10"/>
      <c r="S2418" s="19" t="s">
        <v>18332</v>
      </c>
      <c r="T2418" s="10"/>
      <c r="U2418" s="10" t="s">
        <v>16338</v>
      </c>
      <c r="V2418" s="10" t="s">
        <v>17274</v>
      </c>
      <c r="W2418" s="10" t="s">
        <v>16317</v>
      </c>
      <c r="X2418" s="10" t="s">
        <v>16318</v>
      </c>
      <c r="Y2418" s="10" t="s">
        <v>16318</v>
      </c>
      <c r="Z2418" s="10" t="s">
        <v>99</v>
      </c>
      <c r="AA2418" s="10" t="s">
        <v>131</v>
      </c>
      <c r="AB2418" s="10" t="s">
        <v>16319</v>
      </c>
      <c r="AC2418" s="10"/>
      <c r="AD2418" s="10" t="s">
        <v>18333</v>
      </c>
      <c r="AE2418" s="10" t="s">
        <v>18334</v>
      </c>
      <c r="AF2418" s="15"/>
      <c r="AG2418" s="10"/>
      <c r="AH2418" s="10"/>
      <c r="AI2418" s="10"/>
      <c r="AJ2418" s="10"/>
      <c r="AK2418" s="10" t="s">
        <v>102</v>
      </c>
      <c r="AL2418" s="10" t="s">
        <v>147</v>
      </c>
      <c r="AM2418" s="10"/>
      <c r="AN2418" s="10"/>
      <c r="AO2418" s="13" t="b">
        <v>0</v>
      </c>
      <c r="AP2418" s="22" t="s">
        <v>104</v>
      </c>
      <c r="AQ2418" s="10">
        <f ca="1">IFERROR(__xludf.DUMMYFUNCTION("""COMPUTED_VALUE"""),4677639)</f>
        <v>4677639</v>
      </c>
      <c r="AR2418" s="17">
        <v>3479</v>
      </c>
      <c r="AS2418" s="17">
        <v>3099</v>
      </c>
      <c r="AT2418" s="17">
        <v>15070.75</v>
      </c>
      <c r="AU2418" s="17">
        <v>2.8</v>
      </c>
      <c r="AV2418" s="17">
        <v>0.5</v>
      </c>
      <c r="AW2418" s="10" t="s">
        <v>105</v>
      </c>
      <c r="AX2418" s="17">
        <v>502</v>
      </c>
      <c r="AY2418" s="18">
        <v>4.8631010003226844</v>
      </c>
      <c r="AZ2418" s="10" t="s">
        <v>117</v>
      </c>
      <c r="BA2418" s="20" t="b">
        <v>0</v>
      </c>
      <c r="BB2418" s="10"/>
      <c r="BC2418" s="17">
        <v>3479</v>
      </c>
      <c r="BD2418" s="17">
        <v>3099</v>
      </c>
      <c r="BE2418" s="17">
        <v>15070.75</v>
      </c>
      <c r="BF2418" s="17">
        <v>0.5</v>
      </c>
      <c r="BG2418" s="11">
        <f ca="1">IFERROR(__xludf.DUMMYFUNCTION("""COMPUTED_VALUE"""),45963.6666666666)</f>
        <v>45963.666666666599</v>
      </c>
      <c r="BH2418" s="17" t="s">
        <v>105</v>
      </c>
      <c r="BI2418" s="17"/>
      <c r="BJ2418" s="15"/>
      <c r="BK2418" s="15"/>
      <c r="BL2418" s="13" t="b">
        <v>0</v>
      </c>
      <c r="BM2418" s="10"/>
      <c r="BN2418" s="10" t="s">
        <v>137</v>
      </c>
      <c r="BO2418" s="11">
        <v>45957.407638888886</v>
      </c>
      <c r="BP2418" s="11">
        <v>45957.407835648148</v>
      </c>
      <c r="BQ2418" s="15">
        <v>45959.991342592592</v>
      </c>
      <c r="BR2418" s="15">
        <v>45960.471643518518</v>
      </c>
      <c r="BS2418" s="10" t="s">
        <v>137</v>
      </c>
      <c r="BT2418" s="10"/>
      <c r="BU2418" s="10"/>
      <c r="BV2418" s="10"/>
      <c r="BW2418" s="10"/>
      <c r="BX2418" s="10"/>
      <c r="BY2418" s="23"/>
      <c r="BZ2418" s="23"/>
      <c r="CA2418" s="19" t="s">
        <v>18335</v>
      </c>
      <c r="CB2418" s="23"/>
      <c r="CC2418" s="23"/>
      <c r="CD2418" s="19" t="s">
        <v>18336</v>
      </c>
      <c r="CE2418" s="23"/>
      <c r="CF2418" s="23"/>
      <c r="CG2418" s="23"/>
      <c r="CH2418" s="23"/>
      <c r="CI2418" s="23"/>
    </row>
    <row r="2419" spans="1:87" x14ac:dyDescent="0.3">
      <c r="A2419" s="9" t="s">
        <v>18337</v>
      </c>
      <c r="B2419" s="10" t="s">
        <v>18338</v>
      </c>
      <c r="C2419" s="11">
        <v>45966.75</v>
      </c>
      <c r="D2419" s="12">
        <v>8.3333333333333329E-2</v>
      </c>
      <c r="E2419" s="11">
        <v>45966.833333333336</v>
      </c>
      <c r="F2419" s="10" t="s">
        <v>16311</v>
      </c>
      <c r="G2419" s="13" t="b">
        <v>0</v>
      </c>
      <c r="H2419" s="22" t="s">
        <v>16312</v>
      </c>
      <c r="I2419" s="10" t="s">
        <v>212</v>
      </c>
      <c r="J2419" s="13" t="b">
        <v>1</v>
      </c>
      <c r="K2419" s="13" t="b">
        <v>0</v>
      </c>
      <c r="L2419" s="10" t="s">
        <v>124</v>
      </c>
      <c r="M2419" s="10" t="s">
        <v>91</v>
      </c>
      <c r="N2419" s="10" t="s">
        <v>92</v>
      </c>
      <c r="O2419" s="19" t="s">
        <v>18339</v>
      </c>
      <c r="P2419" s="10"/>
      <c r="Q2419" s="10" t="s">
        <v>126</v>
      </c>
      <c r="R2419" s="10"/>
      <c r="S2419" s="19" t="s">
        <v>18340</v>
      </c>
      <c r="T2419" s="10"/>
      <c r="U2419" s="10" t="s">
        <v>16316</v>
      </c>
      <c r="V2419" s="10" t="s">
        <v>18316</v>
      </c>
      <c r="W2419" s="10" t="s">
        <v>16317</v>
      </c>
      <c r="X2419" s="10" t="s">
        <v>16318</v>
      </c>
      <c r="Y2419" s="10" t="s">
        <v>16318</v>
      </c>
      <c r="Z2419" s="10" t="s">
        <v>99</v>
      </c>
      <c r="AA2419" s="10" t="s">
        <v>131</v>
      </c>
      <c r="AB2419" s="10" t="s">
        <v>16319</v>
      </c>
      <c r="AC2419" s="10"/>
      <c r="AD2419" s="10" t="s">
        <v>18341</v>
      </c>
      <c r="AE2419" s="10" t="s">
        <v>18342</v>
      </c>
      <c r="AF2419" s="15"/>
      <c r="AG2419" s="10"/>
      <c r="AH2419" s="10"/>
      <c r="AI2419" s="10"/>
      <c r="AJ2419" s="10"/>
      <c r="AK2419" s="10" t="s">
        <v>102</v>
      </c>
      <c r="AL2419" s="10" t="s">
        <v>156</v>
      </c>
      <c r="AM2419" s="10"/>
      <c r="AN2419" s="10"/>
      <c r="AO2419" s="13" t="b">
        <v>0</v>
      </c>
      <c r="AP2419" s="22" t="s">
        <v>104</v>
      </c>
      <c r="AQ2419" s="10">
        <f ca="1">IFERROR(__xludf.DUMMYFUNCTION("""COMPUTED_VALUE"""),4684715)</f>
        <v>4684715</v>
      </c>
      <c r="AR2419" s="17">
        <v>5879</v>
      </c>
      <c r="AS2419" s="17">
        <v>5220</v>
      </c>
      <c r="AT2419" s="17">
        <v>18278.5</v>
      </c>
      <c r="AU2419" s="17">
        <v>1</v>
      </c>
      <c r="AV2419" s="17">
        <v>0</v>
      </c>
      <c r="AW2419" s="10" t="s">
        <v>105</v>
      </c>
      <c r="AX2419" s="17">
        <v>807</v>
      </c>
      <c r="AY2419" s="18">
        <v>3.5016283524904215</v>
      </c>
      <c r="AZ2419" s="10" t="s">
        <v>117</v>
      </c>
      <c r="BA2419" s="20" t="b">
        <v>0</v>
      </c>
      <c r="BB2419" s="10"/>
      <c r="BC2419" s="17">
        <v>5879</v>
      </c>
      <c r="BD2419" s="17">
        <v>5220</v>
      </c>
      <c r="BE2419" s="17">
        <v>18278.5</v>
      </c>
      <c r="BF2419" s="17">
        <v>0</v>
      </c>
      <c r="BG2419" s="11">
        <f ca="1">IFERROR(__xludf.DUMMYFUNCTION("""COMPUTED_VALUE"""),45966.75)</f>
        <v>45966.75</v>
      </c>
      <c r="BH2419" s="17" t="s">
        <v>105</v>
      </c>
      <c r="BI2419" s="17"/>
      <c r="BJ2419" s="15"/>
      <c r="BK2419" s="15"/>
      <c r="BL2419" s="13" t="b">
        <v>0</v>
      </c>
      <c r="BM2419" s="10"/>
      <c r="BN2419" s="10" t="s">
        <v>920</v>
      </c>
      <c r="BO2419" s="11">
        <v>45957.424305555556</v>
      </c>
      <c r="BP2419" s="11">
        <v>45957.424583333333</v>
      </c>
      <c r="BQ2419" s="15">
        <v>45960.678865740738</v>
      </c>
      <c r="BR2419" s="15">
        <v>45962.405844907407</v>
      </c>
      <c r="BS2419" s="10" t="s">
        <v>920</v>
      </c>
      <c r="BT2419" s="10"/>
      <c r="BU2419" s="10"/>
      <c r="BV2419" s="10"/>
      <c r="BW2419" s="10"/>
      <c r="BX2419" s="10"/>
      <c r="BY2419" s="23"/>
      <c r="BZ2419" s="23"/>
      <c r="CA2419" s="19" t="s">
        <v>18343</v>
      </c>
      <c r="CB2419" s="23"/>
      <c r="CC2419" s="23"/>
      <c r="CD2419" s="19" t="s">
        <v>18344</v>
      </c>
      <c r="CE2419" s="23"/>
      <c r="CF2419" s="23"/>
      <c r="CG2419" s="23"/>
      <c r="CH2419" s="23"/>
      <c r="CI2419" s="23"/>
    </row>
    <row r="2420" spans="1:87" x14ac:dyDescent="0.3">
      <c r="A2420" s="9" t="s">
        <v>18345</v>
      </c>
      <c r="B2420" s="10" t="s">
        <v>18346</v>
      </c>
      <c r="C2420" s="11">
        <v>45969.708333333336</v>
      </c>
      <c r="D2420" s="12">
        <v>8.3333333333333329E-2</v>
      </c>
      <c r="E2420" s="11">
        <v>45969.791666666664</v>
      </c>
      <c r="F2420" s="10" t="s">
        <v>16311</v>
      </c>
      <c r="G2420" s="13" t="b">
        <v>0</v>
      </c>
      <c r="H2420" s="22" t="s">
        <v>16312</v>
      </c>
      <c r="I2420" s="10" t="s">
        <v>212</v>
      </c>
      <c r="J2420" s="13" t="b">
        <v>1</v>
      </c>
      <c r="K2420" s="13" t="b">
        <v>0</v>
      </c>
      <c r="L2420" s="10" t="s">
        <v>124</v>
      </c>
      <c r="M2420" s="10" t="s">
        <v>91</v>
      </c>
      <c r="N2420" s="10" t="s">
        <v>92</v>
      </c>
      <c r="O2420" s="19" t="s">
        <v>18347</v>
      </c>
      <c r="P2420" s="10"/>
      <c r="Q2420" s="10" t="s">
        <v>126</v>
      </c>
      <c r="R2420" s="10"/>
      <c r="S2420" s="19" t="s">
        <v>18348</v>
      </c>
      <c r="T2420" s="10"/>
      <c r="U2420" s="10" t="s">
        <v>17274</v>
      </c>
      <c r="V2420" s="10" t="s">
        <v>16338</v>
      </c>
      <c r="W2420" s="10" t="s">
        <v>16317</v>
      </c>
      <c r="X2420" s="10" t="s">
        <v>16318</v>
      </c>
      <c r="Y2420" s="10" t="s">
        <v>16318</v>
      </c>
      <c r="Z2420" s="10" t="s">
        <v>99</v>
      </c>
      <c r="AA2420" s="10" t="s">
        <v>131</v>
      </c>
      <c r="AB2420" s="10" t="s">
        <v>16319</v>
      </c>
      <c r="AC2420" s="10"/>
      <c r="AD2420" s="10" t="s">
        <v>18349</v>
      </c>
      <c r="AE2420" s="10" t="s">
        <v>18350</v>
      </c>
      <c r="AF2420" s="15"/>
      <c r="AG2420" s="10"/>
      <c r="AH2420" s="10"/>
      <c r="AI2420" s="10"/>
      <c r="AJ2420" s="10"/>
      <c r="AK2420" s="10" t="s">
        <v>102</v>
      </c>
      <c r="AL2420" s="10" t="s">
        <v>156</v>
      </c>
      <c r="AM2420" s="10"/>
      <c r="AN2420" s="10"/>
      <c r="AO2420" s="13" t="b">
        <v>0</v>
      </c>
      <c r="AP2420" s="22" t="s">
        <v>104</v>
      </c>
      <c r="AQ2420" s="10">
        <f ca="1">IFERROR(__xludf.DUMMYFUNCTION("""COMPUTED_VALUE"""),4701948)</f>
        <v>4701948</v>
      </c>
      <c r="AR2420" s="17">
        <v>4128</v>
      </c>
      <c r="AS2420" s="17">
        <v>3702</v>
      </c>
      <c r="AT2420" s="17">
        <v>12414.5</v>
      </c>
      <c r="AU2420" s="17">
        <v>4.3499999999999996</v>
      </c>
      <c r="AV2420" s="17">
        <v>2.4</v>
      </c>
      <c r="AW2420" s="10" t="s">
        <v>105</v>
      </c>
      <c r="AX2420" s="17">
        <v>502</v>
      </c>
      <c r="AY2420" s="18">
        <v>3.353457590491626</v>
      </c>
      <c r="AZ2420" s="10" t="s">
        <v>117</v>
      </c>
      <c r="BA2420" s="20" t="b">
        <v>0</v>
      </c>
      <c r="BB2420" s="10"/>
      <c r="BC2420" s="17">
        <v>4128</v>
      </c>
      <c r="BD2420" s="17">
        <v>3702</v>
      </c>
      <c r="BE2420" s="17">
        <v>12414.5</v>
      </c>
      <c r="BF2420" s="17">
        <v>2.4</v>
      </c>
      <c r="BG2420" s="11">
        <f ca="1">IFERROR(__xludf.DUMMYFUNCTION("""COMPUTED_VALUE"""),45969.7083333333)</f>
        <v>45969.708333333299</v>
      </c>
      <c r="BH2420" s="17" t="s">
        <v>105</v>
      </c>
      <c r="BI2420" s="17"/>
      <c r="BJ2420" s="15"/>
      <c r="BK2420" s="15"/>
      <c r="BL2420" s="13" t="b">
        <v>0</v>
      </c>
      <c r="BM2420" s="10"/>
      <c r="BN2420" s="10" t="s">
        <v>157</v>
      </c>
      <c r="BO2420" s="11">
        <v>45957.425000000003</v>
      </c>
      <c r="BP2420" s="11">
        <v>45957.425428240742</v>
      </c>
      <c r="BQ2420" s="15">
        <v>45960.679027777776</v>
      </c>
      <c r="BR2420" s="15">
        <v>45965.377430555556</v>
      </c>
      <c r="BS2420" s="10" t="s">
        <v>157</v>
      </c>
      <c r="BT2420" s="10"/>
      <c r="BU2420" s="10"/>
      <c r="BV2420" s="10"/>
      <c r="BW2420" s="10"/>
      <c r="BX2420" s="10"/>
      <c r="BY2420" s="23"/>
      <c r="BZ2420" s="23"/>
      <c r="CA2420" s="19" t="s">
        <v>18351</v>
      </c>
      <c r="CB2420" s="23"/>
      <c r="CC2420" s="23"/>
      <c r="CD2420" s="19" t="s">
        <v>18352</v>
      </c>
      <c r="CE2420" s="23"/>
      <c r="CF2420" s="23"/>
      <c r="CG2420" s="23"/>
      <c r="CH2420" s="23"/>
      <c r="CI2420" s="23"/>
    </row>
    <row r="2421" spans="1:87" x14ac:dyDescent="0.3">
      <c r="A2421" s="9" t="s">
        <v>18353</v>
      </c>
      <c r="B2421" s="10" t="s">
        <v>18354</v>
      </c>
      <c r="C2421" s="11">
        <v>45973.708333333336</v>
      </c>
      <c r="D2421" s="12">
        <v>8.3333333333333329E-2</v>
      </c>
      <c r="E2421" s="11">
        <v>45973.791666666664</v>
      </c>
      <c r="F2421" s="10" t="s">
        <v>16311</v>
      </c>
      <c r="G2421" s="13" t="b">
        <v>0</v>
      </c>
      <c r="H2421" s="22" t="s">
        <v>16312</v>
      </c>
      <c r="I2421" s="10" t="s">
        <v>212</v>
      </c>
      <c r="J2421" s="13" t="b">
        <v>1</v>
      </c>
      <c r="K2421" s="13" t="b">
        <v>0</v>
      </c>
      <c r="L2421" s="10" t="s">
        <v>124</v>
      </c>
      <c r="M2421" s="10" t="s">
        <v>91</v>
      </c>
      <c r="N2421" s="10" t="s">
        <v>92</v>
      </c>
      <c r="O2421" s="19" t="s">
        <v>18355</v>
      </c>
      <c r="P2421" s="10"/>
      <c r="Q2421" s="10" t="s">
        <v>126</v>
      </c>
      <c r="R2421" s="10"/>
      <c r="S2421" s="19" t="s">
        <v>18356</v>
      </c>
      <c r="T2421" s="10"/>
      <c r="U2421" s="10" t="s">
        <v>17265</v>
      </c>
      <c r="V2421" s="10" t="s">
        <v>18357</v>
      </c>
      <c r="W2421" s="10" t="s">
        <v>16317</v>
      </c>
      <c r="X2421" s="10" t="s">
        <v>16318</v>
      </c>
      <c r="Y2421" s="10" t="s">
        <v>16318</v>
      </c>
      <c r="Z2421" s="10" t="s">
        <v>99</v>
      </c>
      <c r="AA2421" s="10" t="s">
        <v>131</v>
      </c>
      <c r="AB2421" s="10" t="s">
        <v>16319</v>
      </c>
      <c r="AC2421" s="10"/>
      <c r="AD2421" s="10" t="s">
        <v>18358</v>
      </c>
      <c r="AE2421" s="10" t="s">
        <v>18359</v>
      </c>
      <c r="AF2421" s="15"/>
      <c r="AG2421" s="10"/>
      <c r="AH2421" s="10"/>
      <c r="AI2421" s="10"/>
      <c r="AJ2421" s="10"/>
      <c r="AK2421" s="10" t="s">
        <v>102</v>
      </c>
      <c r="AL2421" s="10" t="s">
        <v>167</v>
      </c>
      <c r="AM2421" s="10"/>
      <c r="AN2421" s="10"/>
      <c r="AO2421" s="13" t="b">
        <v>0</v>
      </c>
      <c r="AP2421" s="22" t="s">
        <v>104</v>
      </c>
      <c r="AQ2421" s="10">
        <f ca="1">IFERROR(__xludf.DUMMYFUNCTION("""COMPUTED_VALUE"""),4713705)</f>
        <v>4713705</v>
      </c>
      <c r="AR2421" s="17">
        <v>1729</v>
      </c>
      <c r="AS2421" s="17">
        <v>1514</v>
      </c>
      <c r="AT2421" s="17">
        <v>6139.75</v>
      </c>
      <c r="AU2421" s="17">
        <v>0.1</v>
      </c>
      <c r="AV2421" s="17">
        <v>0</v>
      </c>
      <c r="AW2421" s="10" t="s">
        <v>105</v>
      </c>
      <c r="AX2421" s="17">
        <v>183</v>
      </c>
      <c r="AY2421" s="18">
        <v>4.055317040951123</v>
      </c>
      <c r="AZ2421" s="10" t="s">
        <v>117</v>
      </c>
      <c r="BA2421" s="20" t="b">
        <v>0</v>
      </c>
      <c r="BB2421" s="10"/>
      <c r="BC2421" s="17">
        <v>1729</v>
      </c>
      <c r="BD2421" s="17">
        <v>1514</v>
      </c>
      <c r="BE2421" s="17">
        <v>6139.75</v>
      </c>
      <c r="BF2421" s="17">
        <v>0</v>
      </c>
      <c r="BG2421" s="11">
        <f ca="1">IFERROR(__xludf.DUMMYFUNCTION("""COMPUTED_VALUE"""),45973.7083333333)</f>
        <v>45973.708333333299</v>
      </c>
      <c r="BH2421" s="17" t="s">
        <v>105</v>
      </c>
      <c r="BI2421" s="17"/>
      <c r="BJ2421" s="15"/>
      <c r="BK2421" s="15"/>
      <c r="BL2421" s="13" t="b">
        <v>0</v>
      </c>
      <c r="BM2421" s="10"/>
      <c r="BN2421" s="10" t="s">
        <v>137</v>
      </c>
      <c r="BO2421" s="11">
        <v>45957.425694444442</v>
      </c>
      <c r="BP2421" s="11">
        <v>45957.426481481481</v>
      </c>
      <c r="BQ2421" s="15">
        <v>45972.494004629632</v>
      </c>
      <c r="BR2421" s="15">
        <v>45972.563738425924</v>
      </c>
      <c r="BS2421" s="10" t="s">
        <v>137</v>
      </c>
      <c r="BT2421" s="10"/>
      <c r="BU2421" s="10"/>
      <c r="BV2421" s="10"/>
      <c r="BW2421" s="10"/>
      <c r="BX2421" s="10"/>
      <c r="BY2421" s="23"/>
      <c r="BZ2421" s="23"/>
      <c r="CA2421" s="19" t="s">
        <v>18360</v>
      </c>
      <c r="CB2421" s="23"/>
      <c r="CC2421" s="23"/>
      <c r="CD2421" s="19" t="s">
        <v>18361</v>
      </c>
      <c r="CE2421" s="23"/>
      <c r="CF2421" s="23"/>
      <c r="CG2421" s="23"/>
      <c r="CH2421" s="23"/>
      <c r="CI2421" s="23"/>
    </row>
    <row r="2422" spans="1:87" x14ac:dyDescent="0.3">
      <c r="A2422" s="9" t="s">
        <v>18362</v>
      </c>
      <c r="B2422" s="10" t="s">
        <v>18363</v>
      </c>
      <c r="C2422" s="11">
        <v>45976.708333333336</v>
      </c>
      <c r="D2422" s="12">
        <v>8.3333333333333329E-2</v>
      </c>
      <c r="E2422" s="11">
        <v>45976.791666666664</v>
      </c>
      <c r="F2422" s="10" t="s">
        <v>16311</v>
      </c>
      <c r="G2422" s="13" t="b">
        <v>0</v>
      </c>
      <c r="H2422" s="22" t="s">
        <v>16312</v>
      </c>
      <c r="I2422" s="10" t="s">
        <v>212</v>
      </c>
      <c r="J2422" s="13" t="b">
        <v>1</v>
      </c>
      <c r="K2422" s="13" t="b">
        <v>0</v>
      </c>
      <c r="L2422" s="10" t="s">
        <v>124</v>
      </c>
      <c r="M2422" s="10" t="s">
        <v>91</v>
      </c>
      <c r="N2422" s="10" t="s">
        <v>92</v>
      </c>
      <c r="O2422" s="19" t="s">
        <v>18364</v>
      </c>
      <c r="P2422" s="10"/>
      <c r="Q2422" s="10" t="s">
        <v>126</v>
      </c>
      <c r="R2422" s="10"/>
      <c r="S2422" s="19" t="s">
        <v>18365</v>
      </c>
      <c r="T2422" s="10"/>
      <c r="U2422" s="10" t="s">
        <v>17274</v>
      </c>
      <c r="V2422" s="10" t="s">
        <v>18366</v>
      </c>
      <c r="W2422" s="10" t="s">
        <v>16317</v>
      </c>
      <c r="X2422" s="10" t="s">
        <v>16318</v>
      </c>
      <c r="Y2422" s="10" t="s">
        <v>16318</v>
      </c>
      <c r="Z2422" s="10" t="s">
        <v>99</v>
      </c>
      <c r="AA2422" s="10" t="s">
        <v>131</v>
      </c>
      <c r="AB2422" s="10" t="s">
        <v>16319</v>
      </c>
      <c r="AC2422" s="10"/>
      <c r="AD2422" s="10" t="s">
        <v>18367</v>
      </c>
      <c r="AE2422" s="10" t="s">
        <v>18368</v>
      </c>
      <c r="AF2422" s="15"/>
      <c r="AG2422" s="10"/>
      <c r="AH2422" s="10"/>
      <c r="AI2422" s="10"/>
      <c r="AJ2422" s="10"/>
      <c r="AK2422" s="10" t="s">
        <v>102</v>
      </c>
      <c r="AL2422" s="10" t="s">
        <v>167</v>
      </c>
      <c r="AM2422" s="10"/>
      <c r="AN2422" s="10"/>
      <c r="AO2422" s="13" t="b">
        <v>0</v>
      </c>
      <c r="AP2422" s="22" t="s">
        <v>104</v>
      </c>
      <c r="AQ2422" s="10">
        <f ca="1">IFERROR(__xludf.DUMMYFUNCTION("""COMPUTED_VALUE"""),4714276)</f>
        <v>4714276</v>
      </c>
      <c r="AR2422" s="17">
        <v>2308</v>
      </c>
      <c r="AS2422" s="17">
        <v>2076</v>
      </c>
      <c r="AT2422" s="17">
        <v>10847.25</v>
      </c>
      <c r="AU2422" s="17">
        <v>0.75</v>
      </c>
      <c r="AV2422" s="17">
        <v>0.25</v>
      </c>
      <c r="AW2422" s="10" t="s">
        <v>105</v>
      </c>
      <c r="AX2422" s="17">
        <v>283</v>
      </c>
      <c r="AY2422" s="18">
        <v>5.2250722543352603</v>
      </c>
      <c r="AZ2422" s="10" t="s">
        <v>117</v>
      </c>
      <c r="BA2422" s="20" t="b">
        <v>0</v>
      </c>
      <c r="BB2422" s="10"/>
      <c r="BC2422" s="17">
        <v>2308</v>
      </c>
      <c r="BD2422" s="17">
        <v>2076</v>
      </c>
      <c r="BE2422" s="17">
        <v>10847.25</v>
      </c>
      <c r="BF2422" s="17">
        <v>0.25</v>
      </c>
      <c r="BG2422" s="11">
        <f ca="1">IFERROR(__xludf.DUMMYFUNCTION("""COMPUTED_VALUE"""),45976.7083333333)</f>
        <v>45976.708333333299</v>
      </c>
      <c r="BH2422" s="17" t="s">
        <v>105</v>
      </c>
      <c r="BI2422" s="17"/>
      <c r="BJ2422" s="15"/>
      <c r="BK2422" s="15"/>
      <c r="BL2422" s="13" t="b">
        <v>0</v>
      </c>
      <c r="BM2422" s="10"/>
      <c r="BN2422" s="10" t="s">
        <v>118</v>
      </c>
      <c r="BO2422" s="11">
        <v>45957.427083333336</v>
      </c>
      <c r="BP2422" s="11">
        <v>45957.427118055559</v>
      </c>
      <c r="BQ2422" s="15">
        <v>45972.49417824074</v>
      </c>
      <c r="BR2422" s="15">
        <v>45973.542523148149</v>
      </c>
      <c r="BS2422" s="10" t="s">
        <v>118</v>
      </c>
      <c r="BT2422" s="10"/>
      <c r="BU2422" s="10"/>
      <c r="BV2422" s="10"/>
      <c r="BW2422" s="10"/>
      <c r="BX2422" s="10"/>
      <c r="BY2422" s="23"/>
      <c r="BZ2422" s="23"/>
      <c r="CA2422" s="19" t="s">
        <v>18369</v>
      </c>
      <c r="CB2422" s="23"/>
      <c r="CC2422" s="23"/>
      <c r="CD2422" s="19" t="s">
        <v>18370</v>
      </c>
      <c r="CE2422" s="23"/>
      <c r="CF2422" s="23"/>
      <c r="CG2422" s="23"/>
      <c r="CH2422" s="23"/>
      <c r="CI2422" s="23"/>
    </row>
    <row r="2423" spans="1:87" x14ac:dyDescent="0.3">
      <c r="A2423" s="9" t="s">
        <v>18371</v>
      </c>
      <c r="B2423" s="10" t="s">
        <v>18372</v>
      </c>
      <c r="C2423" s="11">
        <v>45980.75</v>
      </c>
      <c r="D2423" s="12">
        <v>8.3333333333333329E-2</v>
      </c>
      <c r="E2423" s="11">
        <v>45980.833333333336</v>
      </c>
      <c r="F2423" s="10" t="s">
        <v>16311</v>
      </c>
      <c r="G2423" s="13" t="b">
        <v>0</v>
      </c>
      <c r="H2423" s="22" t="s">
        <v>16312</v>
      </c>
      <c r="I2423" s="10" t="s">
        <v>212</v>
      </c>
      <c r="J2423" s="13" t="b">
        <v>1</v>
      </c>
      <c r="K2423" s="13" t="b">
        <v>0</v>
      </c>
      <c r="L2423" s="10" t="s">
        <v>124</v>
      </c>
      <c r="M2423" s="10" t="s">
        <v>91</v>
      </c>
      <c r="N2423" s="10" t="s">
        <v>92</v>
      </c>
      <c r="O2423" s="19" t="s">
        <v>18373</v>
      </c>
      <c r="P2423" s="10"/>
      <c r="Q2423" s="10" t="s">
        <v>126</v>
      </c>
      <c r="R2423" s="10"/>
      <c r="S2423" s="19" t="s">
        <v>18374</v>
      </c>
      <c r="T2423" s="10"/>
      <c r="U2423" s="10" t="s">
        <v>17283</v>
      </c>
      <c r="V2423" s="10" t="s">
        <v>18316</v>
      </c>
      <c r="W2423" s="10" t="s">
        <v>16317</v>
      </c>
      <c r="X2423" s="10" t="s">
        <v>16318</v>
      </c>
      <c r="Y2423" s="10" t="s">
        <v>16318</v>
      </c>
      <c r="Z2423" s="10" t="s">
        <v>99</v>
      </c>
      <c r="AA2423" s="10" t="s">
        <v>131</v>
      </c>
      <c r="AB2423" s="10" t="s">
        <v>16319</v>
      </c>
      <c r="AC2423" s="10"/>
      <c r="AD2423" s="10" t="s">
        <v>18375</v>
      </c>
      <c r="AE2423" s="10" t="s">
        <v>18376</v>
      </c>
      <c r="AF2423" s="15"/>
      <c r="AG2423" s="10"/>
      <c r="AH2423" s="10"/>
      <c r="AI2423" s="10"/>
      <c r="AJ2423" s="10"/>
      <c r="AK2423" s="10" t="s">
        <v>102</v>
      </c>
      <c r="AL2423" s="10" t="s">
        <v>176</v>
      </c>
      <c r="AM2423" s="10"/>
      <c r="AN2423" s="10"/>
      <c r="AO2423" s="13" t="b">
        <v>0</v>
      </c>
      <c r="AP2423" s="22" t="s">
        <v>104</v>
      </c>
      <c r="AQ2423" s="10">
        <f ca="1">IFERROR(__xludf.DUMMYFUNCTION("""COMPUTED_VALUE"""),4720761)</f>
        <v>4720761</v>
      </c>
      <c r="AR2423" s="17">
        <v>5822</v>
      </c>
      <c r="AS2423" s="17">
        <v>5212</v>
      </c>
      <c r="AT2423" s="17">
        <v>23278.75</v>
      </c>
      <c r="AU2423" s="17">
        <v>3.15</v>
      </c>
      <c r="AV2423" s="17">
        <v>0.5</v>
      </c>
      <c r="AW2423" s="10" t="s">
        <v>105</v>
      </c>
      <c r="AX2423" s="17">
        <v>517</v>
      </c>
      <c r="AY2423" s="18">
        <v>4.4663756715272447</v>
      </c>
      <c r="AZ2423" s="10" t="s">
        <v>117</v>
      </c>
      <c r="BA2423" s="20" t="b">
        <v>0</v>
      </c>
      <c r="BB2423" s="10"/>
      <c r="BC2423" s="17">
        <v>5822</v>
      </c>
      <c r="BD2423" s="17">
        <v>5212</v>
      </c>
      <c r="BE2423" s="17">
        <v>23278.75</v>
      </c>
      <c r="BF2423" s="17">
        <v>0.5</v>
      </c>
      <c r="BG2423" s="11">
        <f ca="1">IFERROR(__xludf.DUMMYFUNCTION("""COMPUTED_VALUE"""),45980.75)</f>
        <v>45980.75</v>
      </c>
      <c r="BH2423" s="17" t="s">
        <v>105</v>
      </c>
      <c r="BI2423" s="17"/>
      <c r="BJ2423" s="15"/>
      <c r="BK2423" s="15"/>
      <c r="BL2423" s="13" t="b">
        <v>0</v>
      </c>
      <c r="BM2423" s="10"/>
      <c r="BN2423" s="10" t="s">
        <v>149</v>
      </c>
      <c r="BO2423" s="11">
        <v>45957.427777777775</v>
      </c>
      <c r="BP2423" s="11">
        <v>45957.427951388891</v>
      </c>
      <c r="BQ2423" s="15">
        <v>45972.494340277779</v>
      </c>
      <c r="BR2423" s="15">
        <v>45977.454733796294</v>
      </c>
      <c r="BS2423" s="10" t="s">
        <v>149</v>
      </c>
      <c r="BT2423" s="10"/>
      <c r="BU2423" s="10"/>
      <c r="BV2423" s="10"/>
      <c r="BW2423" s="10"/>
      <c r="BX2423" s="10"/>
      <c r="BY2423" s="23"/>
      <c r="BZ2423" s="23"/>
      <c r="CA2423" s="19" t="s">
        <v>18377</v>
      </c>
      <c r="CB2423" s="23"/>
      <c r="CC2423" s="23"/>
      <c r="CD2423" s="19" t="s">
        <v>18378</v>
      </c>
      <c r="CE2423" s="23"/>
      <c r="CF2423" s="23"/>
      <c r="CG2423" s="23"/>
      <c r="CH2423" s="23"/>
      <c r="CI2423" s="23"/>
    </row>
    <row r="2424" spans="1:87" x14ac:dyDescent="0.3">
      <c r="A2424" s="9" t="s">
        <v>18379</v>
      </c>
      <c r="B2424" s="10" t="s">
        <v>18380</v>
      </c>
      <c r="C2424" s="11">
        <v>45969.791666666664</v>
      </c>
      <c r="D2424" s="12">
        <v>8.3333333333333329E-2</v>
      </c>
      <c r="E2424" s="11">
        <v>45969.875</v>
      </c>
      <c r="F2424" s="10" t="s">
        <v>15254</v>
      </c>
      <c r="G2424" s="13" t="b">
        <v>0</v>
      </c>
      <c r="H2424" s="22" t="s">
        <v>6271</v>
      </c>
      <c r="I2424" s="10" t="s">
        <v>89</v>
      </c>
      <c r="J2424" s="13" t="b">
        <v>0</v>
      </c>
      <c r="K2424" s="13" t="b">
        <v>1</v>
      </c>
      <c r="L2424" s="10" t="s">
        <v>124</v>
      </c>
      <c r="M2424" s="10" t="s">
        <v>91</v>
      </c>
      <c r="N2424" s="10" t="s">
        <v>265</v>
      </c>
      <c r="O2424" s="19" t="s">
        <v>18381</v>
      </c>
      <c r="P2424" s="10"/>
      <c r="Q2424" s="10" t="s">
        <v>126</v>
      </c>
      <c r="R2424" s="10"/>
      <c r="S2424" s="19" t="s">
        <v>18382</v>
      </c>
      <c r="T2424" s="19" t="s">
        <v>18383</v>
      </c>
      <c r="U2424" s="10" t="s">
        <v>15259</v>
      </c>
      <c r="V2424" s="10" t="s">
        <v>15684</v>
      </c>
      <c r="W2424" s="10" t="s">
        <v>15260</v>
      </c>
      <c r="X2424" s="10" t="s">
        <v>130</v>
      </c>
      <c r="Y2424" s="10" t="s">
        <v>130</v>
      </c>
      <c r="Z2424" s="10" t="s">
        <v>99</v>
      </c>
      <c r="AA2424" s="10" t="s">
        <v>131</v>
      </c>
      <c r="AB2424" s="10" t="s">
        <v>15261</v>
      </c>
      <c r="AC2424" s="10" t="s">
        <v>274</v>
      </c>
      <c r="AD2424" s="10" t="s">
        <v>2764</v>
      </c>
      <c r="AE2424" s="10" t="s">
        <v>18384</v>
      </c>
      <c r="AF2424" s="15"/>
      <c r="AG2424" s="10"/>
      <c r="AH2424" s="10"/>
      <c r="AI2424" s="10"/>
      <c r="AJ2424" s="10" t="s">
        <v>18385</v>
      </c>
      <c r="AK2424" s="10" t="s">
        <v>102</v>
      </c>
      <c r="AL2424" s="10" t="s">
        <v>195</v>
      </c>
      <c r="AM2424" s="10"/>
      <c r="AN2424" s="10"/>
      <c r="AO2424" s="13" t="b">
        <v>0</v>
      </c>
      <c r="AP2424" s="22" t="s">
        <v>135</v>
      </c>
      <c r="AQ2424" s="10">
        <f ca="1">IFERROR(__xludf.DUMMYFUNCTION("""COMPUTED_VALUE"""),4707851)</f>
        <v>4707851</v>
      </c>
      <c r="AR2424" s="17">
        <v>37847</v>
      </c>
      <c r="AS2424" s="17">
        <v>31544</v>
      </c>
      <c r="AT2424" s="17">
        <v>152261.5</v>
      </c>
      <c r="AU2424" s="17">
        <v>64.099999999999994</v>
      </c>
      <c r="AV2424" s="17">
        <v>16.5</v>
      </c>
      <c r="AW2424" s="10" t="s">
        <v>105</v>
      </c>
      <c r="AX2424" s="17">
        <v>5093</v>
      </c>
      <c r="AY2424" s="18">
        <v>4.8269559979710879</v>
      </c>
      <c r="AZ2424" s="10" t="s">
        <v>148</v>
      </c>
      <c r="BA2424" s="20" t="b">
        <v>0</v>
      </c>
      <c r="BB2424" s="10"/>
      <c r="BC2424" s="17">
        <v>37847</v>
      </c>
      <c r="BD2424" s="17">
        <v>31544</v>
      </c>
      <c r="BE2424" s="17">
        <v>152261.5</v>
      </c>
      <c r="BF2424" s="17">
        <v>16.5</v>
      </c>
      <c r="BG2424" s="11">
        <f ca="1">IFERROR(__xludf.DUMMYFUNCTION("""COMPUTED_VALUE"""),45969.7916666666)</f>
        <v>45969.791666666599</v>
      </c>
      <c r="BH2424" s="17" t="s">
        <v>105</v>
      </c>
      <c r="BI2424" s="17"/>
      <c r="BJ2424" s="15"/>
      <c r="BK2424" s="15"/>
      <c r="BL2424" s="13" t="b">
        <v>0</v>
      </c>
      <c r="BM2424" s="10"/>
      <c r="BN2424" s="10" t="s">
        <v>455</v>
      </c>
      <c r="BO2424" s="11">
        <v>45957.69027777778</v>
      </c>
      <c r="BP2424" s="11">
        <v>45959.708912037036</v>
      </c>
      <c r="BQ2424" s="15">
        <v>45968.775138888886</v>
      </c>
      <c r="BR2424" s="15">
        <v>45968.817314814813</v>
      </c>
      <c r="BS2424" s="10" t="s">
        <v>455</v>
      </c>
      <c r="BT2424" s="10" t="s">
        <v>99</v>
      </c>
      <c r="BU2424" s="10" t="s">
        <v>5492</v>
      </c>
      <c r="BV2424" s="10"/>
      <c r="BW2424" s="10"/>
      <c r="BX2424" s="10"/>
      <c r="BY2424" s="23"/>
      <c r="BZ2424" s="23"/>
      <c r="CA2424" s="19" t="s">
        <v>18386</v>
      </c>
      <c r="CB2424" s="19" t="s">
        <v>18387</v>
      </c>
      <c r="CC2424" s="23"/>
      <c r="CD2424" s="19" t="s">
        <v>18388</v>
      </c>
      <c r="CE2424" s="23"/>
      <c r="CF2424" s="23"/>
      <c r="CG2424" s="23"/>
      <c r="CH2424" s="23"/>
      <c r="CI2424" s="23"/>
    </row>
    <row r="2425" spans="1:87" x14ac:dyDescent="0.3">
      <c r="A2425" s="9" t="s">
        <v>18389</v>
      </c>
      <c r="B2425" s="10" t="s">
        <v>18390</v>
      </c>
      <c r="C2425" s="11">
        <v>45962.791666666664</v>
      </c>
      <c r="D2425" s="12">
        <v>8.3333333333333329E-2</v>
      </c>
      <c r="E2425" s="11">
        <v>45962.875</v>
      </c>
      <c r="F2425" s="10" t="s">
        <v>15254</v>
      </c>
      <c r="G2425" s="13" t="b">
        <v>0</v>
      </c>
      <c r="H2425" s="22" t="s">
        <v>3564</v>
      </c>
      <c r="I2425" s="10" t="s">
        <v>89</v>
      </c>
      <c r="J2425" s="13" t="b">
        <v>0</v>
      </c>
      <c r="K2425" s="13" t="b">
        <v>1</v>
      </c>
      <c r="L2425" s="10" t="s">
        <v>124</v>
      </c>
      <c r="M2425" s="10" t="s">
        <v>91</v>
      </c>
      <c r="N2425" s="10" t="s">
        <v>265</v>
      </c>
      <c r="O2425" s="19" t="s">
        <v>18391</v>
      </c>
      <c r="P2425" s="10"/>
      <c r="Q2425" s="10" t="s">
        <v>126</v>
      </c>
      <c r="R2425" s="10"/>
      <c r="S2425" s="19" t="s">
        <v>18392</v>
      </c>
      <c r="T2425" s="10"/>
      <c r="U2425" s="10" t="s">
        <v>15684</v>
      </c>
      <c r="V2425" s="10" t="s">
        <v>18393</v>
      </c>
      <c r="W2425" s="10" t="s">
        <v>15260</v>
      </c>
      <c r="X2425" s="10" t="s">
        <v>130</v>
      </c>
      <c r="Y2425" s="10" t="s">
        <v>130</v>
      </c>
      <c r="Z2425" s="10" t="s">
        <v>99</v>
      </c>
      <c r="AA2425" s="10" t="s">
        <v>131</v>
      </c>
      <c r="AB2425" s="10" t="s">
        <v>15261</v>
      </c>
      <c r="AC2425" s="10" t="s">
        <v>274</v>
      </c>
      <c r="AD2425" s="10" t="s">
        <v>18394</v>
      </c>
      <c r="AE2425" s="10" t="s">
        <v>18395</v>
      </c>
      <c r="AF2425" s="15"/>
      <c r="AG2425" s="10"/>
      <c r="AH2425" s="10"/>
      <c r="AI2425" s="10"/>
      <c r="AJ2425" s="10" t="s">
        <v>18396</v>
      </c>
      <c r="AK2425" s="10" t="s">
        <v>102</v>
      </c>
      <c r="AL2425" s="10" t="s">
        <v>184</v>
      </c>
      <c r="AM2425" s="10"/>
      <c r="AN2425" s="10"/>
      <c r="AO2425" s="13" t="b">
        <v>0</v>
      </c>
      <c r="AP2425" s="22" t="s">
        <v>135</v>
      </c>
      <c r="AQ2425" s="10">
        <f ca="1">IFERROR(__xludf.DUMMYFUNCTION("""COMPUTED_VALUE"""),4684495)</f>
        <v>4684495</v>
      </c>
      <c r="AR2425" s="17">
        <v>14454</v>
      </c>
      <c r="AS2425" s="17">
        <v>12420</v>
      </c>
      <c r="AT2425" s="17">
        <v>50489.75</v>
      </c>
      <c r="AU2425" s="17">
        <v>20.85</v>
      </c>
      <c r="AV2425" s="17">
        <v>2.4</v>
      </c>
      <c r="AW2425" s="10" t="s">
        <v>105</v>
      </c>
      <c r="AX2425" s="17">
        <v>2957</v>
      </c>
      <c r="AY2425" s="18">
        <v>4.0651972624798711</v>
      </c>
      <c r="AZ2425" s="10" t="s">
        <v>148</v>
      </c>
      <c r="BA2425" s="20" t="b">
        <v>0</v>
      </c>
      <c r="BB2425" s="10"/>
      <c r="BC2425" s="17">
        <v>14454</v>
      </c>
      <c r="BD2425" s="17">
        <v>12420</v>
      </c>
      <c r="BE2425" s="17">
        <v>50489.75</v>
      </c>
      <c r="BF2425" s="17">
        <v>2.4</v>
      </c>
      <c r="BG2425" s="11">
        <f ca="1">IFERROR(__xludf.DUMMYFUNCTION("""COMPUTED_VALUE"""),45962.7916666666)</f>
        <v>45962.791666666599</v>
      </c>
      <c r="BH2425" s="17" t="s">
        <v>105</v>
      </c>
      <c r="BI2425" s="17"/>
      <c r="BJ2425" s="15"/>
      <c r="BK2425" s="15"/>
      <c r="BL2425" s="13" t="b">
        <v>0</v>
      </c>
      <c r="BM2425" s="10"/>
      <c r="BN2425" s="10" t="s">
        <v>1149</v>
      </c>
      <c r="BO2425" s="11">
        <v>45957.693749999999</v>
      </c>
      <c r="BP2425" s="11">
        <v>45959.702962962961</v>
      </c>
      <c r="BQ2425" s="15">
        <v>45961.832592592589</v>
      </c>
      <c r="BR2425" s="15">
        <v>45961.859050925923</v>
      </c>
      <c r="BS2425" s="10" t="s">
        <v>1149</v>
      </c>
      <c r="BT2425" s="10" t="s">
        <v>99</v>
      </c>
      <c r="BU2425" s="10" t="s">
        <v>6518</v>
      </c>
      <c r="BV2425" s="10"/>
      <c r="BW2425" s="10"/>
      <c r="BX2425" s="10"/>
      <c r="BY2425" s="23"/>
      <c r="BZ2425" s="23"/>
      <c r="CA2425" s="19" t="s">
        <v>18397</v>
      </c>
      <c r="CB2425" s="23"/>
      <c r="CC2425" s="23"/>
      <c r="CD2425" s="19" t="s">
        <v>18398</v>
      </c>
      <c r="CE2425" s="23"/>
      <c r="CF2425" s="23"/>
      <c r="CG2425" s="23"/>
      <c r="CH2425" s="23"/>
      <c r="CI2425" s="23"/>
    </row>
    <row r="2426" spans="1:87" x14ac:dyDescent="0.3">
      <c r="A2426" s="9" t="s">
        <v>18399</v>
      </c>
      <c r="B2426" s="10" t="s">
        <v>18400</v>
      </c>
      <c r="C2426" s="11">
        <v>45963.791666666664</v>
      </c>
      <c r="D2426" s="12">
        <v>8.3333333333333329E-2</v>
      </c>
      <c r="E2426" s="11">
        <v>45963.875</v>
      </c>
      <c r="F2426" s="10" t="s">
        <v>15254</v>
      </c>
      <c r="G2426" s="13" t="b">
        <v>0</v>
      </c>
      <c r="H2426" s="22" t="s">
        <v>3564</v>
      </c>
      <c r="I2426" s="10" t="s">
        <v>89</v>
      </c>
      <c r="J2426" s="13" t="b">
        <v>0</v>
      </c>
      <c r="K2426" s="13" t="b">
        <v>1</v>
      </c>
      <c r="L2426" s="10" t="s">
        <v>124</v>
      </c>
      <c r="M2426" s="10" t="s">
        <v>91</v>
      </c>
      <c r="N2426" s="10" t="s">
        <v>265</v>
      </c>
      <c r="O2426" s="19" t="s">
        <v>18401</v>
      </c>
      <c r="P2426" s="10"/>
      <c r="Q2426" s="10" t="s">
        <v>126</v>
      </c>
      <c r="R2426" s="10"/>
      <c r="S2426" s="19" t="s">
        <v>18402</v>
      </c>
      <c r="T2426" s="10"/>
      <c r="U2426" s="10" t="s">
        <v>18403</v>
      </c>
      <c r="V2426" s="10" t="s">
        <v>15259</v>
      </c>
      <c r="W2426" s="10" t="s">
        <v>15260</v>
      </c>
      <c r="X2426" s="10" t="s">
        <v>130</v>
      </c>
      <c r="Y2426" s="10" t="s">
        <v>130</v>
      </c>
      <c r="Z2426" s="10" t="s">
        <v>99</v>
      </c>
      <c r="AA2426" s="10" t="s">
        <v>131</v>
      </c>
      <c r="AB2426" s="10" t="s">
        <v>15261</v>
      </c>
      <c r="AC2426" s="10" t="s">
        <v>274</v>
      </c>
      <c r="AD2426" s="10" t="s">
        <v>18404</v>
      </c>
      <c r="AE2426" s="10" t="s">
        <v>18405</v>
      </c>
      <c r="AF2426" s="15"/>
      <c r="AG2426" s="10"/>
      <c r="AH2426" s="10"/>
      <c r="AI2426" s="10"/>
      <c r="AJ2426" s="10" t="s">
        <v>18406</v>
      </c>
      <c r="AK2426" s="10" t="s">
        <v>102</v>
      </c>
      <c r="AL2426" s="10" t="s">
        <v>184</v>
      </c>
      <c r="AM2426" s="10"/>
      <c r="AN2426" s="10"/>
      <c r="AO2426" s="13" t="b">
        <v>0</v>
      </c>
      <c r="AP2426" s="22" t="s">
        <v>135</v>
      </c>
      <c r="AQ2426" s="10">
        <f ca="1">IFERROR(__xludf.DUMMYFUNCTION("""COMPUTED_VALUE"""),4684496)</f>
        <v>4684496</v>
      </c>
      <c r="AR2426" s="17">
        <v>13807</v>
      </c>
      <c r="AS2426" s="17">
        <v>12183</v>
      </c>
      <c r="AT2426" s="17">
        <v>42555.5</v>
      </c>
      <c r="AU2426" s="17">
        <v>9.3000000000000007</v>
      </c>
      <c r="AV2426" s="17">
        <v>2.2000000000000002</v>
      </c>
      <c r="AW2426" s="10" t="s">
        <v>105</v>
      </c>
      <c r="AX2426" s="17">
        <v>1676</v>
      </c>
      <c r="AY2426" s="18">
        <v>3.493023064926537</v>
      </c>
      <c r="AZ2426" s="10" t="s">
        <v>148</v>
      </c>
      <c r="BA2426" s="20" t="b">
        <v>0</v>
      </c>
      <c r="BB2426" s="10"/>
      <c r="BC2426" s="17">
        <v>13807</v>
      </c>
      <c r="BD2426" s="17">
        <v>12183</v>
      </c>
      <c r="BE2426" s="17">
        <v>42555.5</v>
      </c>
      <c r="BF2426" s="17">
        <v>2.2000000000000002</v>
      </c>
      <c r="BG2426" s="11">
        <f ca="1">IFERROR(__xludf.DUMMYFUNCTION("""COMPUTED_VALUE"""),45963.7916666666)</f>
        <v>45963.791666666599</v>
      </c>
      <c r="BH2426" s="17" t="s">
        <v>105</v>
      </c>
      <c r="BI2426" s="17"/>
      <c r="BJ2426" s="15"/>
      <c r="BK2426" s="15"/>
      <c r="BL2426" s="13" t="b">
        <v>0</v>
      </c>
      <c r="BM2426" s="10"/>
      <c r="BN2426" s="10" t="s">
        <v>455</v>
      </c>
      <c r="BO2426" s="11">
        <v>45957.695833333331</v>
      </c>
      <c r="BP2426" s="11">
        <v>45959.707800925928</v>
      </c>
      <c r="BQ2426" s="15">
        <v>45961.832743055558</v>
      </c>
      <c r="BR2426" s="15">
        <v>45961.858784722222</v>
      </c>
      <c r="BS2426" s="10" t="s">
        <v>455</v>
      </c>
      <c r="BT2426" s="10" t="s">
        <v>99</v>
      </c>
      <c r="BU2426" s="10" t="s">
        <v>6518</v>
      </c>
      <c r="BV2426" s="10"/>
      <c r="BW2426" s="10"/>
      <c r="BX2426" s="10"/>
      <c r="BY2426" s="23"/>
      <c r="BZ2426" s="23"/>
      <c r="CA2426" s="19" t="s">
        <v>18407</v>
      </c>
      <c r="CB2426" s="23"/>
      <c r="CC2426" s="23"/>
      <c r="CD2426" s="19" t="s">
        <v>18408</v>
      </c>
      <c r="CE2426" s="23"/>
      <c r="CF2426" s="23"/>
      <c r="CG2426" s="23"/>
      <c r="CH2426" s="23"/>
      <c r="CI2426" s="23"/>
    </row>
    <row r="2427" spans="1:87" x14ac:dyDescent="0.3">
      <c r="A2427" s="9" t="s">
        <v>18409</v>
      </c>
      <c r="B2427" s="10" t="s">
        <v>18410</v>
      </c>
      <c r="C2427" s="11">
        <v>45970.791666666664</v>
      </c>
      <c r="D2427" s="12">
        <v>8.3333333333333329E-2</v>
      </c>
      <c r="E2427" s="11">
        <v>45970.875</v>
      </c>
      <c r="F2427" s="10" t="s">
        <v>15254</v>
      </c>
      <c r="G2427" s="13" t="b">
        <v>0</v>
      </c>
      <c r="H2427" s="22" t="s">
        <v>3564</v>
      </c>
      <c r="I2427" s="10" t="s">
        <v>89</v>
      </c>
      <c r="J2427" s="13" t="b">
        <v>0</v>
      </c>
      <c r="K2427" s="13" t="b">
        <v>1</v>
      </c>
      <c r="L2427" s="10" t="s">
        <v>124</v>
      </c>
      <c r="M2427" s="10" t="s">
        <v>91</v>
      </c>
      <c r="N2427" s="10" t="s">
        <v>265</v>
      </c>
      <c r="O2427" s="19" t="s">
        <v>18411</v>
      </c>
      <c r="P2427" s="10"/>
      <c r="Q2427" s="10" t="s">
        <v>126</v>
      </c>
      <c r="R2427" s="10"/>
      <c r="S2427" s="19" t="s">
        <v>18412</v>
      </c>
      <c r="T2427" s="19" t="s">
        <v>18383</v>
      </c>
      <c r="U2427" s="10" t="s">
        <v>15750</v>
      </c>
      <c r="V2427" s="10" t="s">
        <v>16131</v>
      </c>
      <c r="W2427" s="10" t="s">
        <v>15260</v>
      </c>
      <c r="X2427" s="10" t="s">
        <v>130</v>
      </c>
      <c r="Y2427" s="10" t="s">
        <v>130</v>
      </c>
      <c r="Z2427" s="10" t="s">
        <v>99</v>
      </c>
      <c r="AA2427" s="10" t="s">
        <v>131</v>
      </c>
      <c r="AB2427" s="10" t="s">
        <v>15261</v>
      </c>
      <c r="AC2427" s="10" t="s">
        <v>274</v>
      </c>
      <c r="AD2427" s="10" t="s">
        <v>1930</v>
      </c>
      <c r="AE2427" s="10" t="s">
        <v>18413</v>
      </c>
      <c r="AF2427" s="15"/>
      <c r="AG2427" s="10"/>
      <c r="AH2427" s="10"/>
      <c r="AI2427" s="10"/>
      <c r="AJ2427" s="10" t="s">
        <v>18414</v>
      </c>
      <c r="AK2427" s="10" t="s">
        <v>102</v>
      </c>
      <c r="AL2427" s="10" t="s">
        <v>195</v>
      </c>
      <c r="AM2427" s="10"/>
      <c r="AN2427" s="10"/>
      <c r="AO2427" s="13" t="b">
        <v>0</v>
      </c>
      <c r="AP2427" s="22" t="s">
        <v>135</v>
      </c>
      <c r="AQ2427" s="10">
        <f ca="1">IFERROR(__xludf.DUMMYFUNCTION("""COMPUTED_VALUE"""),4708914)</f>
        <v>4708914</v>
      </c>
      <c r="AR2427" s="17">
        <v>20127</v>
      </c>
      <c r="AS2427" s="17">
        <v>17802</v>
      </c>
      <c r="AT2427" s="17">
        <v>59279.75</v>
      </c>
      <c r="AU2427" s="17">
        <v>12.95</v>
      </c>
      <c r="AV2427" s="17">
        <v>2.1</v>
      </c>
      <c r="AW2427" s="10" t="s">
        <v>105</v>
      </c>
      <c r="AX2427" s="17">
        <v>2303</v>
      </c>
      <c r="AY2427" s="18">
        <v>3.3299488821480732</v>
      </c>
      <c r="AZ2427" s="10" t="s">
        <v>148</v>
      </c>
      <c r="BA2427" s="20" t="b">
        <v>0</v>
      </c>
      <c r="BB2427" s="10"/>
      <c r="BC2427" s="17">
        <v>20127</v>
      </c>
      <c r="BD2427" s="17">
        <v>17802</v>
      </c>
      <c r="BE2427" s="17">
        <v>59279.75</v>
      </c>
      <c r="BF2427" s="17">
        <v>2.1</v>
      </c>
      <c r="BG2427" s="11">
        <f ca="1">IFERROR(__xludf.DUMMYFUNCTION("""COMPUTED_VALUE"""),45970.7916666666)</f>
        <v>45970.791666666599</v>
      </c>
      <c r="BH2427" s="17" t="s">
        <v>105</v>
      </c>
      <c r="BI2427" s="17"/>
      <c r="BJ2427" s="15"/>
      <c r="BK2427" s="15"/>
      <c r="BL2427" s="13" t="b">
        <v>0</v>
      </c>
      <c r="BM2427" s="10"/>
      <c r="BN2427" s="10" t="s">
        <v>149</v>
      </c>
      <c r="BO2427" s="11">
        <v>45957.701388888891</v>
      </c>
      <c r="BP2427" s="11">
        <v>45959.72388888889</v>
      </c>
      <c r="BQ2427" s="15">
        <v>45968.775324074071</v>
      </c>
      <c r="BR2427" s="15">
        <v>45969.698368055557</v>
      </c>
      <c r="BS2427" s="10" t="s">
        <v>149</v>
      </c>
      <c r="BT2427" s="10" t="s">
        <v>99</v>
      </c>
      <c r="BU2427" s="10" t="s">
        <v>1275</v>
      </c>
      <c r="BV2427" s="10"/>
      <c r="BW2427" s="10"/>
      <c r="BX2427" s="10"/>
      <c r="BY2427" s="23"/>
      <c r="BZ2427" s="23"/>
      <c r="CA2427" s="19" t="s">
        <v>18415</v>
      </c>
      <c r="CB2427" s="19" t="s">
        <v>18416</v>
      </c>
      <c r="CC2427" s="23"/>
      <c r="CD2427" s="19" t="s">
        <v>18417</v>
      </c>
      <c r="CE2427" s="23"/>
      <c r="CF2427" s="23"/>
      <c r="CG2427" s="23"/>
      <c r="CH2427" s="23"/>
      <c r="CI2427" s="23"/>
    </row>
    <row r="2428" spans="1:87" x14ac:dyDescent="0.3">
      <c r="A2428" s="9" t="s">
        <v>18418</v>
      </c>
      <c r="B2428" s="10" t="s">
        <v>18419</v>
      </c>
      <c r="C2428" s="11">
        <v>45965.833333333336</v>
      </c>
      <c r="D2428" s="12">
        <v>8.3333333333333329E-2</v>
      </c>
      <c r="E2428" s="11">
        <v>45965.916666666664</v>
      </c>
      <c r="F2428" s="10" t="s">
        <v>14910</v>
      </c>
      <c r="G2428" s="13" t="b">
        <v>0</v>
      </c>
      <c r="H2428" s="22" t="s">
        <v>3578</v>
      </c>
      <c r="I2428" s="10" t="s">
        <v>89</v>
      </c>
      <c r="J2428" s="13" t="b">
        <v>0</v>
      </c>
      <c r="K2428" s="13" t="b">
        <v>1</v>
      </c>
      <c r="L2428" s="10" t="s">
        <v>124</v>
      </c>
      <c r="M2428" s="10" t="s">
        <v>91</v>
      </c>
      <c r="N2428" s="10" t="s">
        <v>92</v>
      </c>
      <c r="O2428" s="19" t="s">
        <v>18420</v>
      </c>
      <c r="P2428" s="10"/>
      <c r="Q2428" s="10" t="s">
        <v>94</v>
      </c>
      <c r="R2428" s="10"/>
      <c r="S2428" s="19" t="s">
        <v>18421</v>
      </c>
      <c r="T2428" s="19" t="s">
        <v>18422</v>
      </c>
      <c r="U2428" s="10" t="s">
        <v>11474</v>
      </c>
      <c r="V2428" s="10" t="s">
        <v>11463</v>
      </c>
      <c r="W2428" s="10" t="s">
        <v>14914</v>
      </c>
      <c r="X2428" s="10" t="s">
        <v>130</v>
      </c>
      <c r="Y2428" s="10" t="s">
        <v>130</v>
      </c>
      <c r="Z2428" s="10" t="s">
        <v>99</v>
      </c>
      <c r="AA2428" s="10" t="s">
        <v>131</v>
      </c>
      <c r="AB2428" s="10" t="s">
        <v>14915</v>
      </c>
      <c r="AC2428" s="10" t="s">
        <v>3571</v>
      </c>
      <c r="AD2428" s="10" t="s">
        <v>11937</v>
      </c>
      <c r="AE2428" s="10" t="s">
        <v>18423</v>
      </c>
      <c r="AF2428" s="15"/>
      <c r="AG2428" s="10"/>
      <c r="AH2428" s="10"/>
      <c r="AI2428" s="10"/>
      <c r="AJ2428" s="10"/>
      <c r="AK2428" s="10" t="s">
        <v>102</v>
      </c>
      <c r="AL2428" s="10" t="s">
        <v>7897</v>
      </c>
      <c r="AM2428" s="10"/>
      <c r="AN2428" s="10"/>
      <c r="AO2428" s="13" t="b">
        <v>0</v>
      </c>
      <c r="AP2428" s="22" t="s">
        <v>104</v>
      </c>
      <c r="AQ2428" s="10">
        <f ca="1">IFERROR(__xludf.DUMMYFUNCTION("""COMPUTED_VALUE"""),4700055)</f>
        <v>4700055</v>
      </c>
      <c r="AR2428" s="17">
        <v>17788</v>
      </c>
      <c r="AS2428" s="17">
        <v>14784</v>
      </c>
      <c r="AT2428" s="17">
        <v>199138</v>
      </c>
      <c r="AU2428" s="17">
        <v>89.7</v>
      </c>
      <c r="AV2428" s="17">
        <v>31.1</v>
      </c>
      <c r="AW2428" s="10" t="s">
        <v>105</v>
      </c>
      <c r="AX2428" s="17">
        <v>2293</v>
      </c>
      <c r="AY2428" s="18">
        <v>13.46983225108225</v>
      </c>
      <c r="AZ2428" s="10" t="s">
        <v>148</v>
      </c>
      <c r="BA2428" s="20" t="b">
        <v>0</v>
      </c>
      <c r="BB2428" s="10"/>
      <c r="BC2428" s="17">
        <v>17788</v>
      </c>
      <c r="BD2428" s="17">
        <v>14784</v>
      </c>
      <c r="BE2428" s="17">
        <v>199138</v>
      </c>
      <c r="BF2428" s="17">
        <v>31.1</v>
      </c>
      <c r="BG2428" s="11">
        <f ca="1">IFERROR(__xludf.DUMMYFUNCTION("""COMPUTED_VALUE"""),45965.8333333333)</f>
        <v>45965.833333333299</v>
      </c>
      <c r="BH2428" s="17" t="s">
        <v>105</v>
      </c>
      <c r="BI2428" s="17"/>
      <c r="BJ2428" s="15"/>
      <c r="BK2428" s="15"/>
      <c r="BL2428" s="13" t="b">
        <v>0</v>
      </c>
      <c r="BM2428" s="10"/>
      <c r="BN2428" s="10" t="s">
        <v>667</v>
      </c>
      <c r="BO2428" s="11">
        <v>45957.71597222222</v>
      </c>
      <c r="BP2428" s="11">
        <v>45957.716736111113</v>
      </c>
      <c r="BQ2428" s="15">
        <v>45964.975358796299</v>
      </c>
      <c r="BR2428" s="15"/>
      <c r="BS2428" s="10" t="s">
        <v>667</v>
      </c>
      <c r="BT2428" s="10" t="s">
        <v>99</v>
      </c>
      <c r="BU2428" s="10" t="s">
        <v>498</v>
      </c>
      <c r="BV2428" s="10"/>
      <c r="BW2428" s="10"/>
      <c r="BX2428" s="10"/>
      <c r="BY2428" s="23"/>
      <c r="BZ2428" s="23"/>
      <c r="CA2428" s="19" t="s">
        <v>18424</v>
      </c>
      <c r="CB2428" s="19" t="s">
        <v>18425</v>
      </c>
      <c r="CC2428" s="23"/>
      <c r="CD2428" s="23"/>
      <c r="CE2428" s="23"/>
      <c r="CF2428" s="23"/>
      <c r="CG2428" s="23"/>
      <c r="CH2428" s="23"/>
      <c r="CI2428" s="23"/>
    </row>
    <row r="2429" spans="1:87" x14ac:dyDescent="0.3">
      <c r="A2429" s="9" t="s">
        <v>18426</v>
      </c>
      <c r="B2429" s="10" t="s">
        <v>18427</v>
      </c>
      <c r="C2429" s="11">
        <v>45965.916666666664</v>
      </c>
      <c r="D2429" s="12">
        <v>8.3333333333333329E-2</v>
      </c>
      <c r="E2429" s="11">
        <v>45966</v>
      </c>
      <c r="F2429" s="10" t="s">
        <v>14910</v>
      </c>
      <c r="G2429" s="13" t="b">
        <v>0</v>
      </c>
      <c r="H2429" s="22" t="s">
        <v>3578</v>
      </c>
      <c r="I2429" s="10" t="s">
        <v>89</v>
      </c>
      <c r="J2429" s="13" t="b">
        <v>0</v>
      </c>
      <c r="K2429" s="13" t="b">
        <v>1</v>
      </c>
      <c r="L2429" s="10" t="s">
        <v>124</v>
      </c>
      <c r="M2429" s="10" t="s">
        <v>91</v>
      </c>
      <c r="N2429" s="10" t="s">
        <v>92</v>
      </c>
      <c r="O2429" s="19" t="s">
        <v>18428</v>
      </c>
      <c r="P2429" s="10"/>
      <c r="Q2429" s="10" t="s">
        <v>94</v>
      </c>
      <c r="R2429" s="10"/>
      <c r="S2429" s="19" t="s">
        <v>18429</v>
      </c>
      <c r="T2429" s="19" t="s">
        <v>18422</v>
      </c>
      <c r="U2429" s="10" t="s">
        <v>270</v>
      </c>
      <c r="V2429" s="10" t="s">
        <v>5113</v>
      </c>
      <c r="W2429" s="10" t="s">
        <v>14914</v>
      </c>
      <c r="X2429" s="10" t="s">
        <v>130</v>
      </c>
      <c r="Y2429" s="10" t="s">
        <v>130</v>
      </c>
      <c r="Z2429" s="10" t="s">
        <v>99</v>
      </c>
      <c r="AA2429" s="10" t="s">
        <v>131</v>
      </c>
      <c r="AB2429" s="10" t="s">
        <v>14915</v>
      </c>
      <c r="AC2429" s="10" t="s">
        <v>3571</v>
      </c>
      <c r="AD2429" s="10" t="s">
        <v>11901</v>
      </c>
      <c r="AE2429" s="10" t="s">
        <v>18430</v>
      </c>
      <c r="AF2429" s="15"/>
      <c r="AG2429" s="10"/>
      <c r="AH2429" s="10"/>
      <c r="AI2429" s="10"/>
      <c r="AJ2429" s="10"/>
      <c r="AK2429" s="10" t="s">
        <v>102</v>
      </c>
      <c r="AL2429" s="10" t="s">
        <v>7897</v>
      </c>
      <c r="AM2429" s="10"/>
      <c r="AN2429" s="10"/>
      <c r="AO2429" s="13" t="b">
        <v>0</v>
      </c>
      <c r="AP2429" s="22" t="s">
        <v>104</v>
      </c>
      <c r="AQ2429" s="10">
        <f ca="1">IFERROR(__xludf.DUMMYFUNCTION("""COMPUTED_VALUE"""),4700056)</f>
        <v>4700056</v>
      </c>
      <c r="AR2429" s="17">
        <v>21567</v>
      </c>
      <c r="AS2429" s="17">
        <v>18504</v>
      </c>
      <c r="AT2429" s="17">
        <v>108528</v>
      </c>
      <c r="AU2429" s="17">
        <v>95.6</v>
      </c>
      <c r="AV2429" s="17">
        <v>32</v>
      </c>
      <c r="AW2429" s="10" t="s">
        <v>105</v>
      </c>
      <c r="AX2429" s="17">
        <v>2600</v>
      </c>
      <c r="AY2429" s="18">
        <v>5.8651102464332032</v>
      </c>
      <c r="AZ2429" s="10" t="s">
        <v>148</v>
      </c>
      <c r="BA2429" s="20" t="b">
        <v>0</v>
      </c>
      <c r="BB2429" s="10"/>
      <c r="BC2429" s="17">
        <v>21567</v>
      </c>
      <c r="BD2429" s="17">
        <v>18504</v>
      </c>
      <c r="BE2429" s="17">
        <v>108528</v>
      </c>
      <c r="BF2429" s="17">
        <v>32</v>
      </c>
      <c r="BG2429" s="11">
        <f ca="1">IFERROR(__xludf.DUMMYFUNCTION("""COMPUTED_VALUE"""),45965.9166666666)</f>
        <v>45965.916666666599</v>
      </c>
      <c r="BH2429" s="17" t="s">
        <v>105</v>
      </c>
      <c r="BI2429" s="17"/>
      <c r="BJ2429" s="15"/>
      <c r="BK2429" s="15"/>
      <c r="BL2429" s="13" t="b">
        <v>0</v>
      </c>
      <c r="BM2429" s="10"/>
      <c r="BN2429" s="10" t="s">
        <v>667</v>
      </c>
      <c r="BO2429" s="11">
        <v>45957.717361111114</v>
      </c>
      <c r="BP2429" s="11">
        <v>45957.717997685184</v>
      </c>
      <c r="BQ2429" s="15">
        <v>45964.975497685184</v>
      </c>
      <c r="BR2429" s="15"/>
      <c r="BS2429" s="10" t="s">
        <v>667</v>
      </c>
      <c r="BT2429" s="10" t="s">
        <v>99</v>
      </c>
      <c r="BU2429" s="10" t="s">
        <v>498</v>
      </c>
      <c r="BV2429" s="10"/>
      <c r="BW2429" s="10"/>
      <c r="BX2429" s="10"/>
      <c r="BY2429" s="23"/>
      <c r="BZ2429" s="23"/>
      <c r="CA2429" s="19" t="s">
        <v>18431</v>
      </c>
      <c r="CB2429" s="19" t="s">
        <v>18432</v>
      </c>
      <c r="CC2429" s="23"/>
      <c r="CD2429" s="23"/>
      <c r="CE2429" s="23"/>
      <c r="CF2429" s="23"/>
      <c r="CG2429" s="23"/>
      <c r="CH2429" s="23"/>
      <c r="CI2429" s="23"/>
    </row>
    <row r="2430" spans="1:87" x14ac:dyDescent="0.3">
      <c r="A2430" s="9" t="s">
        <v>18433</v>
      </c>
      <c r="B2430" s="10" t="s">
        <v>18434</v>
      </c>
      <c r="C2430" s="11">
        <v>45966.833333333336</v>
      </c>
      <c r="D2430" s="12">
        <v>8.3333333333333329E-2</v>
      </c>
      <c r="E2430" s="11">
        <v>45966.916666666664</v>
      </c>
      <c r="F2430" s="10" t="s">
        <v>14910</v>
      </c>
      <c r="G2430" s="13" t="b">
        <v>0</v>
      </c>
      <c r="H2430" s="22" t="s">
        <v>3578</v>
      </c>
      <c r="I2430" s="10" t="s">
        <v>89</v>
      </c>
      <c r="J2430" s="13" t="b">
        <v>0</v>
      </c>
      <c r="K2430" s="13" t="b">
        <v>1</v>
      </c>
      <c r="L2430" s="10" t="s">
        <v>124</v>
      </c>
      <c r="M2430" s="10" t="s">
        <v>91</v>
      </c>
      <c r="N2430" s="10" t="s">
        <v>92</v>
      </c>
      <c r="O2430" s="19" t="s">
        <v>18435</v>
      </c>
      <c r="P2430" s="10"/>
      <c r="Q2430" s="10" t="s">
        <v>94</v>
      </c>
      <c r="R2430" s="10"/>
      <c r="S2430" s="19" t="s">
        <v>18436</v>
      </c>
      <c r="T2430" s="19" t="s">
        <v>18422</v>
      </c>
      <c r="U2430" s="10" t="s">
        <v>3715</v>
      </c>
      <c r="V2430" s="10" t="s">
        <v>11518</v>
      </c>
      <c r="W2430" s="10" t="s">
        <v>14914</v>
      </c>
      <c r="X2430" s="10" t="s">
        <v>130</v>
      </c>
      <c r="Y2430" s="10" t="s">
        <v>130</v>
      </c>
      <c r="Z2430" s="10" t="s">
        <v>99</v>
      </c>
      <c r="AA2430" s="10" t="s">
        <v>131</v>
      </c>
      <c r="AB2430" s="10" t="s">
        <v>14915</v>
      </c>
      <c r="AC2430" s="10" t="s">
        <v>3571</v>
      </c>
      <c r="AD2430" s="10" t="s">
        <v>11990</v>
      </c>
      <c r="AE2430" s="10" t="s">
        <v>18437</v>
      </c>
      <c r="AF2430" s="15"/>
      <c r="AG2430" s="10"/>
      <c r="AH2430" s="10"/>
      <c r="AI2430" s="10"/>
      <c r="AJ2430" s="10"/>
      <c r="AK2430" s="10" t="s">
        <v>102</v>
      </c>
      <c r="AL2430" s="10" t="s">
        <v>7897</v>
      </c>
      <c r="AM2430" s="10"/>
      <c r="AN2430" s="10"/>
      <c r="AO2430" s="13" t="b">
        <v>0</v>
      </c>
      <c r="AP2430" s="22" t="s">
        <v>104</v>
      </c>
      <c r="AQ2430" s="10">
        <f ca="1">IFERROR(__xludf.DUMMYFUNCTION("""COMPUTED_VALUE"""),4704667)</f>
        <v>4704667</v>
      </c>
      <c r="AR2430" s="17">
        <v>3544</v>
      </c>
      <c r="AS2430" s="17">
        <v>3184</v>
      </c>
      <c r="AT2430" s="17">
        <v>29887</v>
      </c>
      <c r="AU2430" s="17">
        <v>10.65</v>
      </c>
      <c r="AV2430" s="17">
        <v>3.9</v>
      </c>
      <c r="AW2430" s="10" t="s">
        <v>105</v>
      </c>
      <c r="AX2430" s="17">
        <v>787</v>
      </c>
      <c r="AY2430" s="18">
        <v>9.3866206030150749</v>
      </c>
      <c r="AZ2430" s="10" t="s">
        <v>148</v>
      </c>
      <c r="BA2430" s="20" t="b">
        <v>0</v>
      </c>
      <c r="BB2430" s="10"/>
      <c r="BC2430" s="17">
        <v>3544</v>
      </c>
      <c r="BD2430" s="17">
        <v>3184</v>
      </c>
      <c r="BE2430" s="17">
        <v>29887</v>
      </c>
      <c r="BF2430" s="17">
        <v>3.9</v>
      </c>
      <c r="BG2430" s="11">
        <f ca="1">IFERROR(__xludf.DUMMYFUNCTION("""COMPUTED_VALUE"""),45966.8333333333)</f>
        <v>45966.833333333299</v>
      </c>
      <c r="BH2430" s="17" t="s">
        <v>105</v>
      </c>
      <c r="BI2430" s="17"/>
      <c r="BJ2430" s="15"/>
      <c r="BK2430" s="15"/>
      <c r="BL2430" s="13" t="b">
        <v>0</v>
      </c>
      <c r="BM2430" s="10"/>
      <c r="BN2430" s="10" t="s">
        <v>278</v>
      </c>
      <c r="BO2430" s="11">
        <v>45957.718055555553</v>
      </c>
      <c r="BP2430" s="11">
        <v>45957.718402777777</v>
      </c>
      <c r="BQ2430" s="15">
        <v>45964.975729166668</v>
      </c>
      <c r="BR2430" s="15">
        <v>45966.888148148151</v>
      </c>
      <c r="BS2430" s="10" t="s">
        <v>278</v>
      </c>
      <c r="BT2430" s="10" t="s">
        <v>99</v>
      </c>
      <c r="BU2430" s="10" t="s">
        <v>9114</v>
      </c>
      <c r="BV2430" s="10"/>
      <c r="BW2430" s="10"/>
      <c r="BX2430" s="10"/>
      <c r="BY2430" s="23"/>
      <c r="BZ2430" s="23"/>
      <c r="CA2430" s="19" t="s">
        <v>18438</v>
      </c>
      <c r="CB2430" s="19" t="s">
        <v>18439</v>
      </c>
      <c r="CC2430" s="23"/>
      <c r="CD2430" s="23"/>
      <c r="CE2430" s="23"/>
      <c r="CF2430" s="23"/>
      <c r="CG2430" s="23"/>
      <c r="CH2430" s="23"/>
      <c r="CI2430" s="23"/>
    </row>
    <row r="2431" spans="1:87" x14ac:dyDescent="0.3">
      <c r="A2431" s="9" t="s">
        <v>18440</v>
      </c>
      <c r="B2431" s="10" t="s">
        <v>18441</v>
      </c>
      <c r="C2431" s="11">
        <v>45966.916666666664</v>
      </c>
      <c r="D2431" s="12">
        <v>8.3333333333333329E-2</v>
      </c>
      <c r="E2431" s="11">
        <v>45967</v>
      </c>
      <c r="F2431" s="10" t="s">
        <v>14910</v>
      </c>
      <c r="G2431" s="13" t="b">
        <v>0</v>
      </c>
      <c r="H2431" s="22" t="s">
        <v>3578</v>
      </c>
      <c r="I2431" s="10" t="s">
        <v>89</v>
      </c>
      <c r="J2431" s="13" t="b">
        <v>0</v>
      </c>
      <c r="K2431" s="13" t="b">
        <v>1</v>
      </c>
      <c r="L2431" s="10" t="s">
        <v>124</v>
      </c>
      <c r="M2431" s="10" t="s">
        <v>91</v>
      </c>
      <c r="N2431" s="10" t="s">
        <v>92</v>
      </c>
      <c r="O2431" s="19" t="s">
        <v>18442</v>
      </c>
      <c r="P2431" s="10"/>
      <c r="Q2431" s="10" t="s">
        <v>94</v>
      </c>
      <c r="R2431" s="10"/>
      <c r="S2431" s="19" t="s">
        <v>18443</v>
      </c>
      <c r="T2431" s="19" t="s">
        <v>18422</v>
      </c>
      <c r="U2431" s="10" t="s">
        <v>293</v>
      </c>
      <c r="V2431" s="10" t="s">
        <v>5076</v>
      </c>
      <c r="W2431" s="10" t="s">
        <v>14914</v>
      </c>
      <c r="X2431" s="10" t="s">
        <v>130</v>
      </c>
      <c r="Y2431" s="10" t="s">
        <v>130</v>
      </c>
      <c r="Z2431" s="10" t="s">
        <v>99</v>
      </c>
      <c r="AA2431" s="10" t="s">
        <v>131</v>
      </c>
      <c r="AB2431" s="10" t="s">
        <v>14915</v>
      </c>
      <c r="AC2431" s="10" t="s">
        <v>3571</v>
      </c>
      <c r="AD2431" s="10" t="s">
        <v>11981</v>
      </c>
      <c r="AE2431" s="10" t="s">
        <v>18444</v>
      </c>
      <c r="AF2431" s="15"/>
      <c r="AG2431" s="10"/>
      <c r="AH2431" s="10"/>
      <c r="AI2431" s="10"/>
      <c r="AJ2431" s="10"/>
      <c r="AK2431" s="10" t="s">
        <v>102</v>
      </c>
      <c r="AL2431" s="10" t="s">
        <v>7897</v>
      </c>
      <c r="AM2431" s="10"/>
      <c r="AN2431" s="10"/>
      <c r="AO2431" s="13" t="b">
        <v>0</v>
      </c>
      <c r="AP2431" s="22" t="s">
        <v>104</v>
      </c>
      <c r="AQ2431" s="10">
        <f ca="1">IFERROR(__xludf.DUMMYFUNCTION("""COMPUTED_VALUE"""),4704668)</f>
        <v>4704668</v>
      </c>
      <c r="AR2431" s="17">
        <v>7004</v>
      </c>
      <c r="AS2431" s="17">
        <v>5906</v>
      </c>
      <c r="AT2431" s="17">
        <v>55764.5</v>
      </c>
      <c r="AU2431" s="17">
        <v>12.95</v>
      </c>
      <c r="AV2431" s="17">
        <v>4.7</v>
      </c>
      <c r="AW2431" s="10" t="s">
        <v>105</v>
      </c>
      <c r="AX2431" s="17">
        <v>981</v>
      </c>
      <c r="AY2431" s="18">
        <v>9.4420081273281404</v>
      </c>
      <c r="AZ2431" s="10" t="s">
        <v>148</v>
      </c>
      <c r="BA2431" s="20" t="b">
        <v>0</v>
      </c>
      <c r="BB2431" s="10"/>
      <c r="BC2431" s="17">
        <v>7004</v>
      </c>
      <c r="BD2431" s="17">
        <v>5906</v>
      </c>
      <c r="BE2431" s="17">
        <v>55764.5</v>
      </c>
      <c r="BF2431" s="17">
        <v>4.7</v>
      </c>
      <c r="BG2431" s="11">
        <f ca="1">IFERROR(__xludf.DUMMYFUNCTION("""COMPUTED_VALUE"""),45966.9166666666)</f>
        <v>45966.916666666599</v>
      </c>
      <c r="BH2431" s="17" t="s">
        <v>105</v>
      </c>
      <c r="BI2431" s="17"/>
      <c r="BJ2431" s="15"/>
      <c r="BK2431" s="15"/>
      <c r="BL2431" s="13" t="b">
        <v>0</v>
      </c>
      <c r="BM2431" s="10"/>
      <c r="BN2431" s="10" t="s">
        <v>667</v>
      </c>
      <c r="BO2431" s="11">
        <v>45957.718055555553</v>
      </c>
      <c r="BP2431" s="11">
        <v>45957.7187037037</v>
      </c>
      <c r="BQ2431" s="15">
        <v>45964.975868055553</v>
      </c>
      <c r="BR2431" s="15"/>
      <c r="BS2431" s="10" t="s">
        <v>667</v>
      </c>
      <c r="BT2431" s="10" t="s">
        <v>99</v>
      </c>
      <c r="BU2431" s="10" t="s">
        <v>9114</v>
      </c>
      <c r="BV2431" s="10"/>
      <c r="BW2431" s="10"/>
      <c r="BX2431" s="10"/>
      <c r="BY2431" s="23"/>
      <c r="BZ2431" s="23"/>
      <c r="CA2431" s="19" t="s">
        <v>18445</v>
      </c>
      <c r="CB2431" s="19" t="s">
        <v>18446</v>
      </c>
      <c r="CC2431" s="23"/>
      <c r="CD2431" s="23"/>
      <c r="CE2431" s="23"/>
      <c r="CF2431" s="23"/>
      <c r="CG2431" s="23"/>
      <c r="CH2431" s="23"/>
      <c r="CI2431" s="23"/>
    </row>
    <row r="2432" spans="1:87" x14ac:dyDescent="0.3">
      <c r="A2432" s="9" t="s">
        <v>18447</v>
      </c>
      <c r="B2432" s="10" t="s">
        <v>18363</v>
      </c>
      <c r="C2432" s="11">
        <v>45997.708333333336</v>
      </c>
      <c r="D2432" s="12">
        <v>8.3333333333333329E-2</v>
      </c>
      <c r="E2432" s="11">
        <v>45997.791666666664</v>
      </c>
      <c r="F2432" s="10" t="s">
        <v>16311</v>
      </c>
      <c r="G2432" s="13" t="b">
        <v>0</v>
      </c>
      <c r="H2432" s="22" t="s">
        <v>16312</v>
      </c>
      <c r="I2432" s="10" t="s">
        <v>212</v>
      </c>
      <c r="J2432" s="13" t="b">
        <v>1</v>
      </c>
      <c r="K2432" s="13" t="b">
        <v>0</v>
      </c>
      <c r="L2432" s="10" t="s">
        <v>124</v>
      </c>
      <c r="M2432" s="10" t="s">
        <v>91</v>
      </c>
      <c r="N2432" s="10" t="s">
        <v>92</v>
      </c>
      <c r="O2432" s="19" t="s">
        <v>18448</v>
      </c>
      <c r="P2432" s="10"/>
      <c r="Q2432" s="10" t="s">
        <v>126</v>
      </c>
      <c r="R2432" s="10"/>
      <c r="S2432" s="19" t="s">
        <v>18449</v>
      </c>
      <c r="T2432" s="10"/>
      <c r="U2432" s="10" t="s">
        <v>17274</v>
      </c>
      <c r="V2432" s="10" t="s">
        <v>18366</v>
      </c>
      <c r="W2432" s="10" t="s">
        <v>16317</v>
      </c>
      <c r="X2432" s="10" t="s">
        <v>16318</v>
      </c>
      <c r="Y2432" s="10" t="s">
        <v>16318</v>
      </c>
      <c r="Z2432" s="10" t="s">
        <v>99</v>
      </c>
      <c r="AA2432" s="10" t="s">
        <v>131</v>
      </c>
      <c r="AB2432" s="10" t="s">
        <v>16319</v>
      </c>
      <c r="AC2432" s="10"/>
      <c r="AD2432" s="10" t="s">
        <v>18367</v>
      </c>
      <c r="AE2432" s="10" t="s">
        <v>18368</v>
      </c>
      <c r="AF2432" s="15"/>
      <c r="AG2432" s="10"/>
      <c r="AH2432" s="10"/>
      <c r="AI2432" s="10"/>
      <c r="AJ2432" s="10"/>
      <c r="AK2432" s="10" t="s">
        <v>102</v>
      </c>
      <c r="AL2432" s="10"/>
      <c r="AM2432" s="10"/>
      <c r="AN2432" s="10"/>
      <c r="AO2432" s="13" t="b">
        <v>0</v>
      </c>
      <c r="AP2432" s="22" t="s">
        <v>104</v>
      </c>
      <c r="AQ2432" s="10">
        <f ca="1">IFERROR(__xludf.DUMMYFUNCTION("""COMPUTED_VALUE"""),4759263)</f>
        <v>4759263</v>
      </c>
      <c r="AR2432" s="17">
        <v>2690</v>
      </c>
      <c r="AS2432" s="17">
        <v>2339</v>
      </c>
      <c r="AT2432" s="17">
        <v>12478</v>
      </c>
      <c r="AU2432" s="17">
        <v>2.5499999999999998</v>
      </c>
      <c r="AV2432" s="17">
        <v>0.1</v>
      </c>
      <c r="AW2432" s="10" t="s">
        <v>105</v>
      </c>
      <c r="AX2432" s="17">
        <v>292</v>
      </c>
      <c r="AY2432" s="18">
        <v>5.3347584437793927</v>
      </c>
      <c r="AZ2432" s="10" t="s">
        <v>117</v>
      </c>
      <c r="BA2432" s="20" t="b">
        <v>0</v>
      </c>
      <c r="BB2432" s="10"/>
      <c r="BC2432" s="17">
        <v>2690</v>
      </c>
      <c r="BD2432" s="17">
        <v>2339</v>
      </c>
      <c r="BE2432" s="17">
        <v>12478</v>
      </c>
      <c r="BF2432" s="17">
        <v>0.1</v>
      </c>
      <c r="BG2432" s="11">
        <f ca="1">IFERROR(__xludf.DUMMYFUNCTION("""COMPUTED_VALUE"""),45997.7083333333)</f>
        <v>45997.708333333299</v>
      </c>
      <c r="BH2432" s="17" t="s">
        <v>105</v>
      </c>
      <c r="BI2432" s="17"/>
      <c r="BJ2432" s="15"/>
      <c r="BK2432" s="15"/>
      <c r="BL2432" s="13" t="b">
        <v>0</v>
      </c>
      <c r="BM2432" s="10"/>
      <c r="BN2432" s="10" t="s">
        <v>4030</v>
      </c>
      <c r="BO2432" s="11">
        <v>45958.412499999999</v>
      </c>
      <c r="BP2432" s="11">
        <v>45958.413136574076</v>
      </c>
      <c r="BQ2432" s="15">
        <v>45993.6950462963</v>
      </c>
      <c r="BR2432" s="15">
        <v>45994.097233796296</v>
      </c>
      <c r="BS2432" s="10" t="s">
        <v>4030</v>
      </c>
      <c r="BT2432" s="10"/>
      <c r="BU2432" s="10"/>
      <c r="BV2432" s="10"/>
      <c r="BW2432" s="10"/>
      <c r="BX2432" s="10"/>
      <c r="BY2432" s="23"/>
      <c r="BZ2432" s="23"/>
      <c r="CA2432" s="19" t="s">
        <v>18450</v>
      </c>
      <c r="CB2432" s="23"/>
      <c r="CC2432" s="23"/>
      <c r="CD2432" s="19" t="s">
        <v>18451</v>
      </c>
      <c r="CE2432" s="23"/>
      <c r="CF2432" s="23"/>
      <c r="CG2432" s="23"/>
      <c r="CH2432" s="23"/>
      <c r="CI2432" s="23"/>
    </row>
    <row r="2433" spans="1:87" x14ac:dyDescent="0.3">
      <c r="A2433" s="9" t="s">
        <v>18452</v>
      </c>
      <c r="B2433" s="10" t="s">
        <v>18453</v>
      </c>
      <c r="C2433" s="11">
        <v>46064.75</v>
      </c>
      <c r="D2433" s="12">
        <v>8.3333333333333329E-2</v>
      </c>
      <c r="E2433" s="11">
        <v>46064.833333333336</v>
      </c>
      <c r="F2433" s="10" t="s">
        <v>16311</v>
      </c>
      <c r="G2433" s="13" t="b">
        <v>0</v>
      </c>
      <c r="H2433" s="22" t="s">
        <v>16312</v>
      </c>
      <c r="I2433" s="10" t="s">
        <v>212</v>
      </c>
      <c r="J2433" s="13" t="b">
        <v>1</v>
      </c>
      <c r="K2433" s="13" t="b">
        <v>0</v>
      </c>
      <c r="L2433" s="10" t="s">
        <v>124</v>
      </c>
      <c r="M2433" s="10" t="s">
        <v>91</v>
      </c>
      <c r="N2433" s="10" t="s">
        <v>92</v>
      </c>
      <c r="O2433" s="10"/>
      <c r="P2433" s="10"/>
      <c r="Q2433" s="10" t="s">
        <v>126</v>
      </c>
      <c r="R2433" s="10"/>
      <c r="S2433" s="10"/>
      <c r="T2433" s="10"/>
      <c r="U2433" s="10" t="s">
        <v>16316</v>
      </c>
      <c r="V2433" s="10" t="s">
        <v>16315</v>
      </c>
      <c r="W2433" s="10" t="s">
        <v>16317</v>
      </c>
      <c r="X2433" s="10" t="s">
        <v>16318</v>
      </c>
      <c r="Y2433" s="10" t="s">
        <v>16318</v>
      </c>
      <c r="Z2433" s="10" t="s">
        <v>99</v>
      </c>
      <c r="AA2433" s="10" t="s">
        <v>131</v>
      </c>
      <c r="AB2433" s="10" t="s">
        <v>16319</v>
      </c>
      <c r="AC2433" s="10"/>
      <c r="AD2433" s="10" t="s">
        <v>18454</v>
      </c>
      <c r="AE2433" s="10" t="s">
        <v>18455</v>
      </c>
      <c r="AF2433" s="15"/>
      <c r="AG2433" s="10"/>
      <c r="AH2433" s="10"/>
      <c r="AI2433" s="10"/>
      <c r="AJ2433" s="10"/>
      <c r="AK2433" s="10"/>
      <c r="AL2433" s="10"/>
      <c r="AM2433" s="10"/>
      <c r="AN2433" s="10"/>
      <c r="AO2433" s="13" t="b">
        <v>0</v>
      </c>
      <c r="AP2433" s="22" t="s">
        <v>104</v>
      </c>
      <c r="AQ2433" s="10"/>
      <c r="AR2433" s="17"/>
      <c r="AS2433" s="17"/>
      <c r="AT2433" s="17"/>
      <c r="AU2433" s="17"/>
      <c r="AV2433" s="17"/>
      <c r="AW2433" s="10"/>
      <c r="AX2433" s="17"/>
      <c r="AY2433" s="18" t="s">
        <v>257</v>
      </c>
      <c r="AZ2433" s="10"/>
      <c r="BA2433" s="20" t="b">
        <v>0</v>
      </c>
      <c r="BB2433" s="10"/>
      <c r="BC2433" s="17" t="s">
        <v>257</v>
      </c>
      <c r="BD2433" s="17" t="s">
        <v>257</v>
      </c>
      <c r="BE2433" s="17" t="s">
        <v>257</v>
      </c>
      <c r="BF2433" s="17" t="s">
        <v>257</v>
      </c>
      <c r="BG2433" s="11">
        <f ca="1">IFERROR(__xludf.DUMMYFUNCTION("""COMPUTED_VALUE"""),46064.75)</f>
        <v>46064.75</v>
      </c>
      <c r="BH2433" s="17"/>
      <c r="BI2433" s="17"/>
      <c r="BJ2433" s="15"/>
      <c r="BK2433" s="15"/>
      <c r="BL2433" s="13" t="b">
        <v>0</v>
      </c>
      <c r="BM2433" s="10"/>
      <c r="BN2433" s="10" t="s">
        <v>18456</v>
      </c>
      <c r="BO2433" s="11">
        <v>45958.415277777778</v>
      </c>
      <c r="BP2433" s="11">
        <v>45958.415613425925</v>
      </c>
      <c r="BQ2433" s="15"/>
      <c r="BR2433" s="15"/>
      <c r="BS2433" s="10"/>
      <c r="BT2433" s="10"/>
      <c r="BU2433" s="10"/>
      <c r="BV2433" s="10"/>
      <c r="BW2433" s="10"/>
      <c r="BX2433" s="10"/>
      <c r="BY2433" s="23"/>
      <c r="BZ2433" s="23"/>
      <c r="CA2433" s="23"/>
      <c r="CB2433" s="23"/>
      <c r="CC2433" s="23"/>
      <c r="CD2433" s="23"/>
      <c r="CE2433" s="23"/>
      <c r="CF2433" s="23"/>
      <c r="CG2433" s="23"/>
      <c r="CH2433" s="23"/>
      <c r="CI2433" s="23"/>
    </row>
    <row r="2434" spans="1:87" x14ac:dyDescent="0.3">
      <c r="A2434" s="9" t="s">
        <v>18457</v>
      </c>
      <c r="B2434" s="10" t="s">
        <v>18458</v>
      </c>
      <c r="C2434" s="11">
        <v>45997.666666666664</v>
      </c>
      <c r="D2434" s="12">
        <v>8.3333333333333329E-2</v>
      </c>
      <c r="E2434" s="11">
        <v>45997.75</v>
      </c>
      <c r="F2434" s="10" t="s">
        <v>16311</v>
      </c>
      <c r="G2434" s="13" t="b">
        <v>0</v>
      </c>
      <c r="H2434" s="22" t="s">
        <v>16312</v>
      </c>
      <c r="I2434" s="10" t="s">
        <v>212</v>
      </c>
      <c r="J2434" s="13" t="b">
        <v>1</v>
      </c>
      <c r="K2434" s="13" t="b">
        <v>0</v>
      </c>
      <c r="L2434" s="10" t="s">
        <v>124</v>
      </c>
      <c r="M2434" s="10" t="s">
        <v>91</v>
      </c>
      <c r="N2434" s="10" t="s">
        <v>92</v>
      </c>
      <c r="O2434" s="19" t="s">
        <v>18459</v>
      </c>
      <c r="P2434" s="10"/>
      <c r="Q2434" s="10" t="s">
        <v>126</v>
      </c>
      <c r="R2434" s="10"/>
      <c r="S2434" s="19" t="s">
        <v>18460</v>
      </c>
      <c r="T2434" s="10"/>
      <c r="U2434" s="10" t="s">
        <v>17283</v>
      </c>
      <c r="V2434" s="10" t="s">
        <v>16316</v>
      </c>
      <c r="W2434" s="10" t="s">
        <v>16317</v>
      </c>
      <c r="X2434" s="10" t="s">
        <v>16318</v>
      </c>
      <c r="Y2434" s="10" t="s">
        <v>16318</v>
      </c>
      <c r="Z2434" s="10" t="s">
        <v>99</v>
      </c>
      <c r="AA2434" s="10" t="s">
        <v>131</v>
      </c>
      <c r="AB2434" s="10" t="s">
        <v>16319</v>
      </c>
      <c r="AC2434" s="10"/>
      <c r="AD2434" s="10" t="s">
        <v>18461</v>
      </c>
      <c r="AE2434" s="10" t="s">
        <v>18462</v>
      </c>
      <c r="AF2434" s="15"/>
      <c r="AG2434" s="10"/>
      <c r="AH2434" s="10"/>
      <c r="AI2434" s="10"/>
      <c r="AJ2434" s="10"/>
      <c r="AK2434" s="10" t="s">
        <v>102</v>
      </c>
      <c r="AL2434" s="10"/>
      <c r="AM2434" s="10"/>
      <c r="AN2434" s="10"/>
      <c r="AO2434" s="13" t="b">
        <v>0</v>
      </c>
      <c r="AP2434" s="22" t="s">
        <v>104</v>
      </c>
      <c r="AQ2434" s="10">
        <f ca="1">IFERROR(__xludf.DUMMYFUNCTION("""COMPUTED_VALUE"""),4759261)</f>
        <v>4759261</v>
      </c>
      <c r="AR2434" s="17">
        <v>4292</v>
      </c>
      <c r="AS2434" s="17">
        <v>3815</v>
      </c>
      <c r="AT2434" s="17">
        <v>19240.5</v>
      </c>
      <c r="AU2434" s="17">
        <v>4.2</v>
      </c>
      <c r="AV2434" s="17">
        <v>1.65</v>
      </c>
      <c r="AW2434" s="10" t="s">
        <v>105</v>
      </c>
      <c r="AX2434" s="17">
        <v>342</v>
      </c>
      <c r="AY2434" s="18">
        <v>5.0433813892529491</v>
      </c>
      <c r="AZ2434" s="10" t="s">
        <v>117</v>
      </c>
      <c r="BA2434" s="20" t="b">
        <v>0</v>
      </c>
      <c r="BB2434" s="10"/>
      <c r="BC2434" s="17">
        <v>4292</v>
      </c>
      <c r="BD2434" s="17">
        <v>3815</v>
      </c>
      <c r="BE2434" s="17">
        <v>19240.5</v>
      </c>
      <c r="BF2434" s="17">
        <v>1.65</v>
      </c>
      <c r="BG2434" s="11">
        <f ca="1">IFERROR(__xludf.DUMMYFUNCTION("""COMPUTED_VALUE"""),45997.6666666666)</f>
        <v>45997.666666666599</v>
      </c>
      <c r="BH2434" s="17" t="s">
        <v>105</v>
      </c>
      <c r="BI2434" s="17"/>
      <c r="BJ2434" s="15"/>
      <c r="BK2434" s="15"/>
      <c r="BL2434" s="13" t="b">
        <v>0</v>
      </c>
      <c r="BM2434" s="10"/>
      <c r="BN2434" s="10" t="s">
        <v>4030</v>
      </c>
      <c r="BO2434" s="11">
        <v>45958.415972222225</v>
      </c>
      <c r="BP2434" s="11">
        <v>45958.417384259257</v>
      </c>
      <c r="BQ2434" s="15">
        <v>45993.694780092592</v>
      </c>
      <c r="BR2434" s="15">
        <v>45994.097071759257</v>
      </c>
      <c r="BS2434" s="10" t="s">
        <v>4030</v>
      </c>
      <c r="BT2434" s="10"/>
      <c r="BU2434" s="10"/>
      <c r="BV2434" s="10"/>
      <c r="BW2434" s="10"/>
      <c r="BX2434" s="10"/>
      <c r="BY2434" s="23"/>
      <c r="BZ2434" s="23"/>
      <c r="CA2434" s="19" t="s">
        <v>18463</v>
      </c>
      <c r="CB2434" s="23"/>
      <c r="CC2434" s="23"/>
      <c r="CD2434" s="19" t="s">
        <v>18464</v>
      </c>
      <c r="CE2434" s="23"/>
      <c r="CF2434" s="23"/>
      <c r="CG2434" s="23"/>
      <c r="CH2434" s="23"/>
      <c r="CI2434" s="23"/>
    </row>
    <row r="2435" spans="1:87" x14ac:dyDescent="0.3">
      <c r="A2435" s="9" t="s">
        <v>18465</v>
      </c>
      <c r="B2435" s="10" t="s">
        <v>18466</v>
      </c>
      <c r="C2435" s="11">
        <v>46064.770833333336</v>
      </c>
      <c r="D2435" s="12">
        <v>8.3333333333333329E-2</v>
      </c>
      <c r="E2435" s="11">
        <v>46064.854166666664</v>
      </c>
      <c r="F2435" s="10" t="s">
        <v>16311</v>
      </c>
      <c r="G2435" s="13" t="b">
        <v>0</v>
      </c>
      <c r="H2435" s="22" t="s">
        <v>16312</v>
      </c>
      <c r="I2435" s="10" t="s">
        <v>212</v>
      </c>
      <c r="J2435" s="13" t="b">
        <v>1</v>
      </c>
      <c r="K2435" s="13" t="b">
        <v>0</v>
      </c>
      <c r="L2435" s="10" t="s">
        <v>124</v>
      </c>
      <c r="M2435" s="10" t="s">
        <v>91</v>
      </c>
      <c r="N2435" s="10" t="s">
        <v>92</v>
      </c>
      <c r="O2435" s="10"/>
      <c r="P2435" s="10"/>
      <c r="Q2435" s="10" t="s">
        <v>126</v>
      </c>
      <c r="R2435" s="10"/>
      <c r="S2435" s="10"/>
      <c r="T2435" s="10"/>
      <c r="U2435" s="10" t="s">
        <v>17274</v>
      </c>
      <c r="V2435" s="10" t="s">
        <v>16339</v>
      </c>
      <c r="W2435" s="10" t="s">
        <v>16317</v>
      </c>
      <c r="X2435" s="10" t="s">
        <v>16318</v>
      </c>
      <c r="Y2435" s="10" t="s">
        <v>16318</v>
      </c>
      <c r="Z2435" s="10" t="s">
        <v>99</v>
      </c>
      <c r="AA2435" s="10" t="s">
        <v>131</v>
      </c>
      <c r="AB2435" s="10" t="s">
        <v>16319</v>
      </c>
      <c r="AC2435" s="10"/>
      <c r="AD2435" s="10" t="s">
        <v>18467</v>
      </c>
      <c r="AE2435" s="10" t="s">
        <v>18468</v>
      </c>
      <c r="AF2435" s="15"/>
      <c r="AG2435" s="10"/>
      <c r="AH2435" s="10"/>
      <c r="AI2435" s="10"/>
      <c r="AJ2435" s="10"/>
      <c r="AK2435" s="10"/>
      <c r="AL2435" s="10"/>
      <c r="AM2435" s="10"/>
      <c r="AN2435" s="10"/>
      <c r="AO2435" s="13" t="b">
        <v>0</v>
      </c>
      <c r="AP2435" s="22" t="s">
        <v>104</v>
      </c>
      <c r="AQ2435" s="10"/>
      <c r="AR2435" s="17"/>
      <c r="AS2435" s="17"/>
      <c r="AT2435" s="17"/>
      <c r="AU2435" s="17"/>
      <c r="AV2435" s="17"/>
      <c r="AW2435" s="10"/>
      <c r="AX2435" s="17"/>
      <c r="AY2435" s="18" t="s">
        <v>257</v>
      </c>
      <c r="AZ2435" s="10"/>
      <c r="BA2435" s="20" t="b">
        <v>0</v>
      </c>
      <c r="BB2435" s="10"/>
      <c r="BC2435" s="17" t="s">
        <v>257</v>
      </c>
      <c r="BD2435" s="17" t="s">
        <v>257</v>
      </c>
      <c r="BE2435" s="17" t="s">
        <v>257</v>
      </c>
      <c r="BF2435" s="17" t="s">
        <v>257</v>
      </c>
      <c r="BG2435" s="11">
        <f ca="1">IFERROR(__xludf.DUMMYFUNCTION("""COMPUTED_VALUE"""),46064.7708333333)</f>
        <v>46064.770833333299</v>
      </c>
      <c r="BH2435" s="17"/>
      <c r="BI2435" s="17"/>
      <c r="BJ2435" s="15"/>
      <c r="BK2435" s="15"/>
      <c r="BL2435" s="13" t="b">
        <v>0</v>
      </c>
      <c r="BM2435" s="10"/>
      <c r="BN2435" s="10" t="s">
        <v>223</v>
      </c>
      <c r="BO2435" s="11">
        <v>45958.416666666664</v>
      </c>
      <c r="BP2435" s="11">
        <v>45958.418171296296</v>
      </c>
      <c r="BQ2435" s="15"/>
      <c r="BR2435" s="15"/>
      <c r="BS2435" s="10"/>
      <c r="BT2435" s="10"/>
      <c r="BU2435" s="10"/>
      <c r="BV2435" s="10"/>
      <c r="BW2435" s="10"/>
      <c r="BX2435" s="10"/>
      <c r="BY2435" s="23"/>
      <c r="BZ2435" s="23"/>
      <c r="CA2435" s="10"/>
      <c r="CB2435" s="23"/>
      <c r="CC2435" s="23"/>
      <c r="CD2435" s="23"/>
      <c r="CE2435" s="23"/>
      <c r="CF2435" s="23"/>
      <c r="CG2435" s="23"/>
      <c r="CH2435" s="23"/>
      <c r="CI2435" s="23"/>
    </row>
    <row r="2436" spans="1:87" x14ac:dyDescent="0.3">
      <c r="A2436" s="9" t="s">
        <v>18469</v>
      </c>
      <c r="B2436" s="10" t="s">
        <v>18470</v>
      </c>
      <c r="C2436" s="11">
        <v>46000.708333333336</v>
      </c>
      <c r="D2436" s="12">
        <v>8.3333333333333329E-2</v>
      </c>
      <c r="E2436" s="11">
        <v>46000.791666666664</v>
      </c>
      <c r="F2436" s="10" t="s">
        <v>16311</v>
      </c>
      <c r="G2436" s="13" t="b">
        <v>0</v>
      </c>
      <c r="H2436" s="22" t="s">
        <v>16312</v>
      </c>
      <c r="I2436" s="10" t="s">
        <v>212</v>
      </c>
      <c r="J2436" s="13" t="b">
        <v>1</v>
      </c>
      <c r="K2436" s="13" t="b">
        <v>0</v>
      </c>
      <c r="L2436" s="10" t="s">
        <v>124</v>
      </c>
      <c r="M2436" s="10" t="s">
        <v>91</v>
      </c>
      <c r="N2436" s="10" t="s">
        <v>92</v>
      </c>
      <c r="O2436" s="19" t="s">
        <v>18471</v>
      </c>
      <c r="P2436" s="10"/>
      <c r="Q2436" s="10" t="s">
        <v>126</v>
      </c>
      <c r="R2436" s="10"/>
      <c r="S2436" s="19" t="s">
        <v>18472</v>
      </c>
      <c r="T2436" s="10"/>
      <c r="U2436" s="10" t="s">
        <v>18316</v>
      </c>
      <c r="V2436" s="10" t="s">
        <v>16316</v>
      </c>
      <c r="W2436" s="10" t="s">
        <v>16317</v>
      </c>
      <c r="X2436" s="10" t="s">
        <v>16318</v>
      </c>
      <c r="Y2436" s="10" t="s">
        <v>16318</v>
      </c>
      <c r="Z2436" s="10" t="s">
        <v>99</v>
      </c>
      <c r="AA2436" s="10" t="s">
        <v>131</v>
      </c>
      <c r="AB2436" s="10" t="s">
        <v>16319</v>
      </c>
      <c r="AC2436" s="10"/>
      <c r="AD2436" s="10" t="s">
        <v>18473</v>
      </c>
      <c r="AE2436" s="10" t="s">
        <v>18474</v>
      </c>
      <c r="AF2436" s="15"/>
      <c r="AG2436" s="10"/>
      <c r="AH2436" s="10"/>
      <c r="AI2436" s="10"/>
      <c r="AJ2436" s="10"/>
      <c r="AK2436" s="10" t="s">
        <v>102</v>
      </c>
      <c r="AL2436" s="10"/>
      <c r="AM2436" s="10"/>
      <c r="AN2436" s="10"/>
      <c r="AO2436" s="13" t="b">
        <v>0</v>
      </c>
      <c r="AP2436" s="22" t="s">
        <v>104</v>
      </c>
      <c r="AQ2436" s="10">
        <f ca="1">IFERROR(__xludf.DUMMYFUNCTION("""COMPUTED_VALUE"""),4769284)</f>
        <v>4769284</v>
      </c>
      <c r="AR2436" s="17">
        <v>7091</v>
      </c>
      <c r="AS2436" s="17">
        <v>6268</v>
      </c>
      <c r="AT2436" s="17">
        <v>38061</v>
      </c>
      <c r="AU2436" s="17">
        <v>9.5500000000000007</v>
      </c>
      <c r="AV2436" s="17">
        <v>0.6</v>
      </c>
      <c r="AW2436" s="10" t="s">
        <v>105</v>
      </c>
      <c r="AX2436" s="17">
        <v>647</v>
      </c>
      <c r="AY2436" s="18">
        <v>6.0722718570516907</v>
      </c>
      <c r="AZ2436" s="10" t="s">
        <v>117</v>
      </c>
      <c r="BA2436" s="20" t="b">
        <v>0</v>
      </c>
      <c r="BB2436" s="10"/>
      <c r="BC2436" s="17">
        <v>7091</v>
      </c>
      <c r="BD2436" s="17">
        <v>6268</v>
      </c>
      <c r="BE2436" s="17">
        <v>38061</v>
      </c>
      <c r="BF2436" s="17">
        <v>0.6</v>
      </c>
      <c r="BG2436" s="11">
        <f ca="1">IFERROR(__xludf.DUMMYFUNCTION("""COMPUTED_VALUE"""),46000.7083333333)</f>
        <v>46000.708333333299</v>
      </c>
      <c r="BH2436" s="17" t="s">
        <v>105</v>
      </c>
      <c r="BI2436" s="17"/>
      <c r="BJ2436" s="15"/>
      <c r="BK2436" s="15"/>
      <c r="BL2436" s="13" t="b">
        <v>0</v>
      </c>
      <c r="BM2436" s="10"/>
      <c r="BN2436" s="10" t="s">
        <v>118</v>
      </c>
      <c r="BO2436" s="11">
        <v>45958.417361111111</v>
      </c>
      <c r="BP2436" s="11">
        <v>45958.417592592596</v>
      </c>
      <c r="BQ2436" s="15">
        <v>45993.695196759261</v>
      </c>
      <c r="BR2436" s="15">
        <v>45998.389340277776</v>
      </c>
      <c r="BS2436" s="10" t="s">
        <v>118</v>
      </c>
      <c r="BT2436" s="10"/>
      <c r="BU2436" s="10"/>
      <c r="BV2436" s="10"/>
      <c r="BW2436" s="10"/>
      <c r="BX2436" s="10"/>
      <c r="BY2436" s="23"/>
      <c r="BZ2436" s="23"/>
      <c r="CA2436" s="19" t="s">
        <v>18475</v>
      </c>
      <c r="CB2436" s="23"/>
      <c r="CC2436" s="23"/>
      <c r="CD2436" s="19" t="s">
        <v>18476</v>
      </c>
      <c r="CE2436" s="23"/>
      <c r="CF2436" s="23"/>
      <c r="CG2436" s="23"/>
      <c r="CH2436" s="23"/>
      <c r="CI2436" s="23"/>
    </row>
    <row r="2437" spans="1:87" x14ac:dyDescent="0.3">
      <c r="A2437" s="9" t="s">
        <v>18477</v>
      </c>
      <c r="B2437" s="10" t="s">
        <v>18478</v>
      </c>
      <c r="C2437" s="11">
        <v>46004.666666666664</v>
      </c>
      <c r="D2437" s="12">
        <v>8.3333333333333329E-2</v>
      </c>
      <c r="E2437" s="11">
        <v>46004.75</v>
      </c>
      <c r="F2437" s="10" t="s">
        <v>16311</v>
      </c>
      <c r="G2437" s="13" t="b">
        <v>0</v>
      </c>
      <c r="H2437" s="22" t="s">
        <v>16312</v>
      </c>
      <c r="I2437" s="10" t="s">
        <v>212</v>
      </c>
      <c r="J2437" s="13" t="b">
        <v>1</v>
      </c>
      <c r="K2437" s="13" t="b">
        <v>0</v>
      </c>
      <c r="L2437" s="10" t="s">
        <v>124</v>
      </c>
      <c r="M2437" s="10" t="s">
        <v>91</v>
      </c>
      <c r="N2437" s="10" t="s">
        <v>92</v>
      </c>
      <c r="O2437" s="19" t="s">
        <v>18479</v>
      </c>
      <c r="P2437" s="10"/>
      <c r="Q2437" s="10" t="s">
        <v>126</v>
      </c>
      <c r="R2437" s="10"/>
      <c r="S2437" s="19" t="s">
        <v>18480</v>
      </c>
      <c r="T2437" s="10"/>
      <c r="U2437" s="10" t="s">
        <v>16328</v>
      </c>
      <c r="V2437" s="10" t="s">
        <v>18357</v>
      </c>
      <c r="W2437" s="10" t="s">
        <v>16317</v>
      </c>
      <c r="X2437" s="10" t="s">
        <v>16318</v>
      </c>
      <c r="Y2437" s="10" t="s">
        <v>16318</v>
      </c>
      <c r="Z2437" s="10" t="s">
        <v>99</v>
      </c>
      <c r="AA2437" s="10" t="s">
        <v>131</v>
      </c>
      <c r="AB2437" s="10" t="s">
        <v>16319</v>
      </c>
      <c r="AC2437" s="10"/>
      <c r="AD2437" s="10" t="s">
        <v>18481</v>
      </c>
      <c r="AE2437" s="10" t="s">
        <v>18482</v>
      </c>
      <c r="AF2437" s="15"/>
      <c r="AG2437" s="10"/>
      <c r="AH2437" s="10"/>
      <c r="AI2437" s="10"/>
      <c r="AJ2437" s="10"/>
      <c r="AK2437" s="10" t="s">
        <v>102</v>
      </c>
      <c r="AL2437" s="10"/>
      <c r="AM2437" s="10"/>
      <c r="AN2437" s="10"/>
      <c r="AO2437" s="13" t="b">
        <v>0</v>
      </c>
      <c r="AP2437" s="22" t="s">
        <v>104</v>
      </c>
      <c r="AQ2437" s="10">
        <f ca="1">IFERROR(__xludf.DUMMYFUNCTION("""COMPUTED_VALUE"""),4773714)</f>
        <v>4773714</v>
      </c>
      <c r="AR2437" s="17">
        <v>3269</v>
      </c>
      <c r="AS2437" s="17">
        <v>2906</v>
      </c>
      <c r="AT2437" s="17">
        <v>19452.75</v>
      </c>
      <c r="AU2437" s="17">
        <v>5.35</v>
      </c>
      <c r="AV2437" s="17">
        <v>0</v>
      </c>
      <c r="AW2437" s="10" t="s">
        <v>105</v>
      </c>
      <c r="AX2437" s="17">
        <v>307</v>
      </c>
      <c r="AY2437" s="18">
        <v>6.69399518238128</v>
      </c>
      <c r="AZ2437" s="10" t="s">
        <v>117</v>
      </c>
      <c r="BA2437" s="20" t="b">
        <v>0</v>
      </c>
      <c r="BB2437" s="10"/>
      <c r="BC2437" s="17">
        <v>3269</v>
      </c>
      <c r="BD2437" s="17">
        <v>2906</v>
      </c>
      <c r="BE2437" s="17">
        <v>19452.75</v>
      </c>
      <c r="BF2437" s="17">
        <v>0</v>
      </c>
      <c r="BG2437" s="11">
        <f ca="1">IFERROR(__xludf.DUMMYFUNCTION("""COMPUTED_VALUE"""),46004.6666666666)</f>
        <v>46004.666666666599</v>
      </c>
      <c r="BH2437" s="17" t="s">
        <v>105</v>
      </c>
      <c r="BI2437" s="17"/>
      <c r="BJ2437" s="15"/>
      <c r="BK2437" s="15"/>
      <c r="BL2437" s="13" t="b">
        <v>0</v>
      </c>
      <c r="BM2437" s="10"/>
      <c r="BN2437" s="10" t="s">
        <v>137</v>
      </c>
      <c r="BO2437" s="11">
        <v>45958.418055555558</v>
      </c>
      <c r="BP2437" s="11">
        <v>45958.418182870373</v>
      </c>
      <c r="BQ2437" s="15">
        <v>46000.854710648149</v>
      </c>
      <c r="BR2437" s="15">
        <v>46001.574583333335</v>
      </c>
      <c r="BS2437" s="10" t="s">
        <v>137</v>
      </c>
      <c r="BT2437" s="10"/>
      <c r="BU2437" s="10"/>
      <c r="BV2437" s="10"/>
      <c r="BW2437" s="10"/>
      <c r="BX2437" s="10"/>
      <c r="BY2437" s="23"/>
      <c r="BZ2437" s="23"/>
      <c r="CA2437" s="19" t="s">
        <v>18483</v>
      </c>
      <c r="CB2437" s="23"/>
      <c r="CC2437" s="23"/>
      <c r="CD2437" s="19" t="s">
        <v>18484</v>
      </c>
      <c r="CE2437" s="23"/>
      <c r="CF2437" s="23"/>
      <c r="CG2437" s="23"/>
      <c r="CH2437" s="23"/>
      <c r="CI2437" s="23"/>
    </row>
    <row r="2438" spans="1:87" x14ac:dyDescent="0.3">
      <c r="A2438" s="9" t="s">
        <v>18485</v>
      </c>
      <c r="B2438" s="10" t="s">
        <v>18486</v>
      </c>
      <c r="C2438" s="11">
        <v>46064.708333333336</v>
      </c>
      <c r="D2438" s="12">
        <v>8.3333333333333329E-2</v>
      </c>
      <c r="E2438" s="11">
        <v>46064.791666666664</v>
      </c>
      <c r="F2438" s="10" t="s">
        <v>16311</v>
      </c>
      <c r="G2438" s="13" t="b">
        <v>0</v>
      </c>
      <c r="H2438" s="22" t="s">
        <v>16312</v>
      </c>
      <c r="I2438" s="10" t="s">
        <v>212</v>
      </c>
      <c r="J2438" s="13" t="b">
        <v>1</v>
      </c>
      <c r="K2438" s="13" t="b">
        <v>0</v>
      </c>
      <c r="L2438" s="10" t="s">
        <v>124</v>
      </c>
      <c r="M2438" s="10" t="s">
        <v>91</v>
      </c>
      <c r="N2438" s="10" t="s">
        <v>92</v>
      </c>
      <c r="O2438" s="10"/>
      <c r="P2438" s="10"/>
      <c r="Q2438" s="10" t="s">
        <v>126</v>
      </c>
      <c r="R2438" s="10"/>
      <c r="S2438" s="10"/>
      <c r="T2438" s="10"/>
      <c r="U2438" s="10" t="s">
        <v>16329</v>
      </c>
      <c r="V2438" s="10" t="s">
        <v>16328</v>
      </c>
      <c r="W2438" s="10" t="s">
        <v>16317</v>
      </c>
      <c r="X2438" s="10" t="s">
        <v>16318</v>
      </c>
      <c r="Y2438" s="10" t="s">
        <v>16318</v>
      </c>
      <c r="Z2438" s="10" t="s">
        <v>99</v>
      </c>
      <c r="AA2438" s="10" t="s">
        <v>131</v>
      </c>
      <c r="AB2438" s="10" t="s">
        <v>16319</v>
      </c>
      <c r="AC2438" s="10"/>
      <c r="AD2438" s="10" t="s">
        <v>18487</v>
      </c>
      <c r="AE2438" s="10" t="s">
        <v>18488</v>
      </c>
      <c r="AF2438" s="15"/>
      <c r="AG2438" s="10"/>
      <c r="AH2438" s="10"/>
      <c r="AI2438" s="10"/>
      <c r="AJ2438" s="10"/>
      <c r="AK2438" s="10"/>
      <c r="AL2438" s="10"/>
      <c r="AM2438" s="10"/>
      <c r="AN2438" s="10"/>
      <c r="AO2438" s="13" t="b">
        <v>0</v>
      </c>
      <c r="AP2438" s="22" t="s">
        <v>104</v>
      </c>
      <c r="AQ2438" s="10"/>
      <c r="AR2438" s="17"/>
      <c r="AS2438" s="17"/>
      <c r="AT2438" s="17"/>
      <c r="AU2438" s="17"/>
      <c r="AV2438" s="17"/>
      <c r="AW2438" s="10"/>
      <c r="AX2438" s="17"/>
      <c r="AY2438" s="18" t="s">
        <v>257</v>
      </c>
      <c r="AZ2438" s="10"/>
      <c r="BA2438" s="20" t="b">
        <v>0</v>
      </c>
      <c r="BB2438" s="10"/>
      <c r="BC2438" s="17" t="s">
        <v>257</v>
      </c>
      <c r="BD2438" s="17" t="s">
        <v>257</v>
      </c>
      <c r="BE2438" s="17" t="s">
        <v>257</v>
      </c>
      <c r="BF2438" s="17" t="s">
        <v>257</v>
      </c>
      <c r="BG2438" s="11">
        <f ca="1">IFERROR(__xludf.DUMMYFUNCTION("""COMPUTED_VALUE"""),46064.7083333333)</f>
        <v>46064.708333333299</v>
      </c>
      <c r="BH2438" s="17"/>
      <c r="BI2438" s="17"/>
      <c r="BJ2438" s="15"/>
      <c r="BK2438" s="15"/>
      <c r="BL2438" s="13" t="b">
        <v>0</v>
      </c>
      <c r="BM2438" s="10"/>
      <c r="BN2438" s="10" t="s">
        <v>18456</v>
      </c>
      <c r="BO2438" s="11">
        <v>45958.418055555558</v>
      </c>
      <c r="BP2438" s="11">
        <v>45958.419166666667</v>
      </c>
      <c r="BQ2438" s="15"/>
      <c r="BR2438" s="15"/>
      <c r="BS2438" s="10"/>
      <c r="BT2438" s="10"/>
      <c r="BU2438" s="10"/>
      <c r="BV2438" s="10"/>
      <c r="BW2438" s="10"/>
      <c r="BX2438" s="10"/>
      <c r="BY2438" s="23"/>
      <c r="BZ2438" s="23"/>
      <c r="CA2438" s="23"/>
      <c r="CB2438" s="23"/>
      <c r="CC2438" s="23"/>
      <c r="CD2438" s="23"/>
      <c r="CE2438" s="23"/>
      <c r="CF2438" s="23"/>
      <c r="CG2438" s="23"/>
      <c r="CH2438" s="23"/>
      <c r="CI2438" s="23"/>
    </row>
    <row r="2439" spans="1:87" x14ac:dyDescent="0.3">
      <c r="A2439" s="9" t="s">
        <v>18489</v>
      </c>
      <c r="B2439" s="10" t="s">
        <v>18490</v>
      </c>
      <c r="C2439" s="11">
        <v>46005.666666666664</v>
      </c>
      <c r="D2439" s="12">
        <v>8.3333333333333329E-2</v>
      </c>
      <c r="E2439" s="11">
        <v>46005.75</v>
      </c>
      <c r="F2439" s="10" t="s">
        <v>16311</v>
      </c>
      <c r="G2439" s="13" t="b">
        <v>0</v>
      </c>
      <c r="H2439" s="22" t="s">
        <v>16312</v>
      </c>
      <c r="I2439" s="10" t="s">
        <v>212</v>
      </c>
      <c r="J2439" s="13" t="b">
        <v>1</v>
      </c>
      <c r="K2439" s="13" t="b">
        <v>0</v>
      </c>
      <c r="L2439" s="10" t="s">
        <v>124</v>
      </c>
      <c r="M2439" s="10" t="s">
        <v>91</v>
      </c>
      <c r="N2439" s="10" t="s">
        <v>92</v>
      </c>
      <c r="O2439" s="19" t="s">
        <v>18491</v>
      </c>
      <c r="P2439" s="10"/>
      <c r="Q2439" s="10" t="s">
        <v>126</v>
      </c>
      <c r="R2439" s="10"/>
      <c r="S2439" s="19" t="s">
        <v>18492</v>
      </c>
      <c r="T2439" s="10"/>
      <c r="U2439" s="10" t="s">
        <v>16338</v>
      </c>
      <c r="V2439" s="10" t="s">
        <v>18366</v>
      </c>
      <c r="W2439" s="10" t="s">
        <v>16317</v>
      </c>
      <c r="X2439" s="10" t="s">
        <v>16318</v>
      </c>
      <c r="Y2439" s="10" t="s">
        <v>16318</v>
      </c>
      <c r="Z2439" s="10" t="s">
        <v>99</v>
      </c>
      <c r="AA2439" s="10" t="s">
        <v>131</v>
      </c>
      <c r="AB2439" s="10" t="s">
        <v>16319</v>
      </c>
      <c r="AC2439" s="10"/>
      <c r="AD2439" s="10" t="s">
        <v>18493</v>
      </c>
      <c r="AE2439" s="10" t="s">
        <v>18494</v>
      </c>
      <c r="AF2439" s="15"/>
      <c r="AG2439" s="10"/>
      <c r="AH2439" s="10"/>
      <c r="AI2439" s="10"/>
      <c r="AJ2439" s="10"/>
      <c r="AK2439" s="10" t="s">
        <v>102</v>
      </c>
      <c r="AL2439" s="10"/>
      <c r="AM2439" s="10"/>
      <c r="AN2439" s="10"/>
      <c r="AO2439" s="13" t="b">
        <v>0</v>
      </c>
      <c r="AP2439" s="22" t="s">
        <v>104</v>
      </c>
      <c r="AQ2439" s="10">
        <f ca="1">IFERROR(__xludf.DUMMYFUNCTION("""COMPUTED_VALUE"""),4773715)</f>
        <v>4773715</v>
      </c>
      <c r="AR2439" s="17">
        <v>4072</v>
      </c>
      <c r="AS2439" s="17">
        <v>3650</v>
      </c>
      <c r="AT2439" s="17">
        <v>21429.25</v>
      </c>
      <c r="AU2439" s="17">
        <v>9.5</v>
      </c>
      <c r="AV2439" s="17">
        <v>3.95</v>
      </c>
      <c r="AW2439" s="10" t="s">
        <v>105</v>
      </c>
      <c r="AX2439" s="17">
        <v>345</v>
      </c>
      <c r="AY2439" s="18">
        <v>5.8710273972602742</v>
      </c>
      <c r="AZ2439" s="10" t="s">
        <v>117</v>
      </c>
      <c r="BA2439" s="20" t="b">
        <v>0</v>
      </c>
      <c r="BB2439" s="10"/>
      <c r="BC2439" s="17">
        <v>4072</v>
      </c>
      <c r="BD2439" s="17">
        <v>3650</v>
      </c>
      <c r="BE2439" s="17">
        <v>21429.25</v>
      </c>
      <c r="BF2439" s="17">
        <v>3.95</v>
      </c>
      <c r="BG2439" s="11">
        <f ca="1">IFERROR(__xludf.DUMMYFUNCTION("""COMPUTED_VALUE"""),46005.6666666666)</f>
        <v>46005.666666666599</v>
      </c>
      <c r="BH2439" s="17" t="s">
        <v>105</v>
      </c>
      <c r="BI2439" s="17"/>
      <c r="BJ2439" s="15"/>
      <c r="BK2439" s="15"/>
      <c r="BL2439" s="13" t="b">
        <v>0</v>
      </c>
      <c r="BM2439" s="10"/>
      <c r="BN2439" s="10" t="s">
        <v>137</v>
      </c>
      <c r="BO2439" s="11">
        <v>45958.418749999997</v>
      </c>
      <c r="BP2439" s="11">
        <v>45958.418912037036</v>
      </c>
      <c r="BQ2439" s="15">
        <v>46000.854884259257</v>
      </c>
      <c r="BR2439" s="15">
        <v>46001.575266203705</v>
      </c>
      <c r="BS2439" s="10" t="s">
        <v>137</v>
      </c>
      <c r="BT2439" s="10"/>
      <c r="BU2439" s="10"/>
      <c r="BV2439" s="10"/>
      <c r="BW2439" s="10"/>
      <c r="BX2439" s="10"/>
      <c r="BY2439" s="23"/>
      <c r="BZ2439" s="23"/>
      <c r="CA2439" s="19" t="s">
        <v>18495</v>
      </c>
      <c r="CB2439" s="23"/>
      <c r="CC2439" s="23"/>
      <c r="CD2439" s="19" t="s">
        <v>18496</v>
      </c>
      <c r="CE2439" s="23"/>
      <c r="CF2439" s="23"/>
      <c r="CG2439" s="23"/>
      <c r="CH2439" s="23"/>
      <c r="CI2439" s="23"/>
    </row>
    <row r="2440" spans="1:87" x14ac:dyDescent="0.3">
      <c r="A2440" s="9" t="s">
        <v>18497</v>
      </c>
      <c r="B2440" s="10" t="s">
        <v>18498</v>
      </c>
      <c r="C2440" s="11">
        <v>46008.708333333336</v>
      </c>
      <c r="D2440" s="12">
        <v>8.3333333333333329E-2</v>
      </c>
      <c r="E2440" s="11">
        <v>46008.791666666664</v>
      </c>
      <c r="F2440" s="10" t="s">
        <v>16311</v>
      </c>
      <c r="G2440" s="13" t="b">
        <v>0</v>
      </c>
      <c r="H2440" s="22" t="s">
        <v>16312</v>
      </c>
      <c r="I2440" s="10" t="s">
        <v>212</v>
      </c>
      <c r="J2440" s="13" t="b">
        <v>1</v>
      </c>
      <c r="K2440" s="13" t="b">
        <v>0</v>
      </c>
      <c r="L2440" s="10" t="s">
        <v>124</v>
      </c>
      <c r="M2440" s="10" t="s">
        <v>91</v>
      </c>
      <c r="N2440" s="10" t="s">
        <v>92</v>
      </c>
      <c r="O2440" s="19" t="s">
        <v>18499</v>
      </c>
      <c r="P2440" s="10"/>
      <c r="Q2440" s="10" t="s">
        <v>126</v>
      </c>
      <c r="R2440" s="10"/>
      <c r="S2440" s="19" t="s">
        <v>18500</v>
      </c>
      <c r="T2440" s="10"/>
      <c r="U2440" s="10" t="s">
        <v>17265</v>
      </c>
      <c r="V2440" s="10" t="s">
        <v>16329</v>
      </c>
      <c r="W2440" s="10" t="s">
        <v>16317</v>
      </c>
      <c r="X2440" s="10" t="s">
        <v>16318</v>
      </c>
      <c r="Y2440" s="10" t="s">
        <v>16318</v>
      </c>
      <c r="Z2440" s="10" t="s">
        <v>99</v>
      </c>
      <c r="AA2440" s="10" t="s">
        <v>131</v>
      </c>
      <c r="AB2440" s="10" t="s">
        <v>16319</v>
      </c>
      <c r="AC2440" s="10"/>
      <c r="AD2440" s="10" t="s">
        <v>18501</v>
      </c>
      <c r="AE2440" s="10" t="s">
        <v>18502</v>
      </c>
      <c r="AF2440" s="15"/>
      <c r="AG2440" s="10"/>
      <c r="AH2440" s="10"/>
      <c r="AI2440" s="10"/>
      <c r="AJ2440" s="10"/>
      <c r="AK2440" s="10" t="s">
        <v>102</v>
      </c>
      <c r="AL2440" s="10"/>
      <c r="AM2440" s="10"/>
      <c r="AN2440" s="10"/>
      <c r="AO2440" s="13" t="b">
        <v>0</v>
      </c>
      <c r="AP2440" s="22" t="s">
        <v>104</v>
      </c>
      <c r="AQ2440" s="10">
        <f ca="1">IFERROR(__xludf.DUMMYFUNCTION("""COMPUTED_VALUE"""),4779501)</f>
        <v>4779501</v>
      </c>
      <c r="AR2440" s="17">
        <v>1227</v>
      </c>
      <c r="AS2440" s="17">
        <v>1020</v>
      </c>
      <c r="AT2440" s="17">
        <v>3417.5</v>
      </c>
      <c r="AU2440" s="17">
        <v>1.1000000000000001</v>
      </c>
      <c r="AV2440" s="17">
        <v>0</v>
      </c>
      <c r="AW2440" s="10" t="s">
        <v>105</v>
      </c>
      <c r="AX2440" s="17">
        <v>105</v>
      </c>
      <c r="AY2440" s="18">
        <v>3.3504901960784315</v>
      </c>
      <c r="AZ2440" s="10" t="s">
        <v>117</v>
      </c>
      <c r="BA2440" s="20" t="b">
        <v>0</v>
      </c>
      <c r="BB2440" s="10"/>
      <c r="BC2440" s="17">
        <v>1227</v>
      </c>
      <c r="BD2440" s="17">
        <v>1020</v>
      </c>
      <c r="BE2440" s="17">
        <v>3417.5</v>
      </c>
      <c r="BF2440" s="17">
        <v>0</v>
      </c>
      <c r="BG2440" s="11">
        <f ca="1">IFERROR(__xludf.DUMMYFUNCTION("""COMPUTED_VALUE"""),46008.7083333333)</f>
        <v>46008.708333333299</v>
      </c>
      <c r="BH2440" s="17" t="s">
        <v>105</v>
      </c>
      <c r="BI2440" s="17"/>
      <c r="BJ2440" s="15"/>
      <c r="BK2440" s="15"/>
      <c r="BL2440" s="13" t="b">
        <v>0</v>
      </c>
      <c r="BM2440" s="10"/>
      <c r="BN2440" s="10" t="s">
        <v>117</v>
      </c>
      <c r="BO2440" s="11">
        <v>45958.419444444444</v>
      </c>
      <c r="BP2440" s="11">
        <v>45958.419618055559</v>
      </c>
      <c r="BQ2440" s="15">
        <v>46006.633483796293</v>
      </c>
      <c r="BR2440" s="15">
        <v>46005.420185185183</v>
      </c>
      <c r="BS2440" s="10"/>
      <c r="BT2440" s="10"/>
      <c r="BU2440" s="10"/>
      <c r="BV2440" s="10"/>
      <c r="BW2440" s="10"/>
      <c r="BX2440" s="10"/>
      <c r="BY2440" s="23"/>
      <c r="BZ2440" s="23"/>
      <c r="CA2440" s="19" t="s">
        <v>18503</v>
      </c>
      <c r="CB2440" s="23"/>
      <c r="CC2440" s="23"/>
      <c r="CD2440" s="19" t="s">
        <v>18504</v>
      </c>
      <c r="CE2440" s="23"/>
      <c r="CF2440" s="23"/>
      <c r="CG2440" s="23"/>
      <c r="CH2440" s="23"/>
      <c r="CI2440" s="23"/>
    </row>
    <row r="2441" spans="1:87" x14ac:dyDescent="0.3">
      <c r="A2441" s="25" t="s">
        <v>18505</v>
      </c>
      <c r="B2441" s="10" t="s">
        <v>18506</v>
      </c>
      <c r="C2441" s="11">
        <v>46057.708333333336</v>
      </c>
      <c r="D2441" s="12">
        <v>8.3333333333333329E-2</v>
      </c>
      <c r="E2441" s="11">
        <v>46057.791666666664</v>
      </c>
      <c r="F2441" s="10" t="s">
        <v>16311</v>
      </c>
      <c r="G2441" s="13" t="b">
        <v>0</v>
      </c>
      <c r="H2441" s="22" t="s">
        <v>16312</v>
      </c>
      <c r="I2441" s="10" t="s">
        <v>212</v>
      </c>
      <c r="J2441" s="13" t="b">
        <v>1</v>
      </c>
      <c r="K2441" s="13" t="b">
        <v>0</v>
      </c>
      <c r="L2441" s="10" t="s">
        <v>124</v>
      </c>
      <c r="M2441" s="10" t="s">
        <v>91</v>
      </c>
      <c r="N2441" s="10" t="s">
        <v>92</v>
      </c>
      <c r="O2441" s="10"/>
      <c r="P2441" s="10"/>
      <c r="Q2441" s="10" t="s">
        <v>126</v>
      </c>
      <c r="R2441" s="10"/>
      <c r="S2441" s="10"/>
      <c r="T2441" s="10"/>
      <c r="U2441" s="10" t="s">
        <v>16315</v>
      </c>
      <c r="V2441" s="10" t="s">
        <v>17283</v>
      </c>
      <c r="W2441" s="10" t="s">
        <v>16317</v>
      </c>
      <c r="X2441" s="10" t="s">
        <v>16318</v>
      </c>
      <c r="Y2441" s="10" t="s">
        <v>16318</v>
      </c>
      <c r="Z2441" s="10" t="s">
        <v>99</v>
      </c>
      <c r="AA2441" s="10" t="s">
        <v>131</v>
      </c>
      <c r="AB2441" s="10" t="s">
        <v>16319</v>
      </c>
      <c r="AC2441" s="10"/>
      <c r="AD2441" s="10" t="s">
        <v>18507</v>
      </c>
      <c r="AE2441" s="10" t="s">
        <v>18508</v>
      </c>
      <c r="AF2441" s="15"/>
      <c r="AG2441" s="10"/>
      <c r="AH2441" s="10"/>
      <c r="AI2441" s="10"/>
      <c r="AJ2441" s="10"/>
      <c r="AK2441" s="10"/>
      <c r="AL2441" s="10"/>
      <c r="AM2441" s="10"/>
      <c r="AN2441" s="10"/>
      <c r="AO2441" s="13" t="b">
        <v>0</v>
      </c>
      <c r="AP2441" s="22" t="s">
        <v>104</v>
      </c>
      <c r="AQ2441" s="10"/>
      <c r="AR2441" s="17"/>
      <c r="AS2441" s="17"/>
      <c r="AT2441" s="17"/>
      <c r="AU2441" s="17"/>
      <c r="AV2441" s="17"/>
      <c r="AW2441" s="10"/>
      <c r="AX2441" s="17"/>
      <c r="AY2441" s="18" t="s">
        <v>257</v>
      </c>
      <c r="AZ2441" s="10"/>
      <c r="BA2441" s="20" t="b">
        <v>0</v>
      </c>
      <c r="BB2441" s="10"/>
      <c r="BC2441" s="17" t="s">
        <v>257</v>
      </c>
      <c r="BD2441" s="17" t="s">
        <v>257</v>
      </c>
      <c r="BE2441" s="17" t="s">
        <v>257</v>
      </c>
      <c r="BF2441" s="17" t="s">
        <v>257</v>
      </c>
      <c r="BG2441" s="11">
        <f ca="1">IFERROR(__xludf.DUMMYFUNCTION("""COMPUTED_VALUE"""),46057.7083333333)</f>
        <v>46057.708333333299</v>
      </c>
      <c r="BH2441" s="17"/>
      <c r="BI2441" s="17"/>
      <c r="BJ2441" s="15"/>
      <c r="BK2441" s="15"/>
      <c r="BL2441" s="13" t="b">
        <v>0</v>
      </c>
      <c r="BM2441" s="10"/>
      <c r="BN2441" s="10" t="s">
        <v>18456</v>
      </c>
      <c r="BO2441" s="11">
        <v>45958.419444444444</v>
      </c>
      <c r="BP2441" s="11">
        <v>45958.420046296298</v>
      </c>
      <c r="BQ2441" s="15"/>
      <c r="BR2441" s="15"/>
      <c r="BS2441" s="10"/>
      <c r="BT2441" s="10"/>
      <c r="BU2441" s="10"/>
      <c r="BV2441" s="10"/>
      <c r="BW2441" s="10"/>
      <c r="BX2441" s="10"/>
      <c r="BY2441" s="23"/>
      <c r="BZ2441" s="23"/>
      <c r="CA2441" s="23"/>
      <c r="CB2441" s="23"/>
      <c r="CC2441" s="23"/>
      <c r="CD2441" s="23"/>
      <c r="CE2441" s="23"/>
      <c r="CF2441" s="23"/>
      <c r="CG2441" s="23"/>
      <c r="CH2441" s="23"/>
      <c r="CI2441" s="23"/>
    </row>
    <row r="2442" spans="1:87" x14ac:dyDescent="0.3">
      <c r="A2442" s="9" t="s">
        <v>18509</v>
      </c>
      <c r="B2442" s="10" t="s">
        <v>18510</v>
      </c>
      <c r="C2442" s="11">
        <v>46008.729166666664</v>
      </c>
      <c r="D2442" s="12">
        <v>8.3333333333333329E-2</v>
      </c>
      <c r="E2442" s="11">
        <v>46008.8125</v>
      </c>
      <c r="F2442" s="10" t="s">
        <v>16311</v>
      </c>
      <c r="G2442" s="13" t="b">
        <v>0</v>
      </c>
      <c r="H2442" s="22" t="s">
        <v>16312</v>
      </c>
      <c r="I2442" s="10" t="s">
        <v>212</v>
      </c>
      <c r="J2442" s="13" t="b">
        <v>1</v>
      </c>
      <c r="K2442" s="13" t="b">
        <v>0</v>
      </c>
      <c r="L2442" s="10" t="s">
        <v>124</v>
      </c>
      <c r="M2442" s="10" t="s">
        <v>91</v>
      </c>
      <c r="N2442" s="10" t="s">
        <v>92</v>
      </c>
      <c r="O2442" s="19" t="s">
        <v>18511</v>
      </c>
      <c r="P2442" s="10"/>
      <c r="Q2442" s="10" t="s">
        <v>126</v>
      </c>
      <c r="R2442" s="10"/>
      <c r="S2442" s="19" t="s">
        <v>18512</v>
      </c>
      <c r="T2442" s="10"/>
      <c r="U2442" s="10" t="s">
        <v>16339</v>
      </c>
      <c r="V2442" s="10" t="s">
        <v>18366</v>
      </c>
      <c r="W2442" s="10" t="s">
        <v>16317</v>
      </c>
      <c r="X2442" s="10" t="s">
        <v>16318</v>
      </c>
      <c r="Y2442" s="10" t="s">
        <v>16318</v>
      </c>
      <c r="Z2442" s="10" t="s">
        <v>99</v>
      </c>
      <c r="AA2442" s="10" t="s">
        <v>131</v>
      </c>
      <c r="AB2442" s="10" t="s">
        <v>16319</v>
      </c>
      <c r="AC2442" s="10"/>
      <c r="AD2442" s="10" t="s">
        <v>18513</v>
      </c>
      <c r="AE2442" s="10" t="s">
        <v>18514</v>
      </c>
      <c r="AF2442" s="15"/>
      <c r="AG2442" s="10"/>
      <c r="AH2442" s="10"/>
      <c r="AI2442" s="10"/>
      <c r="AJ2442" s="10"/>
      <c r="AK2442" s="10" t="s">
        <v>102</v>
      </c>
      <c r="AL2442" s="10"/>
      <c r="AM2442" s="10"/>
      <c r="AN2442" s="10"/>
      <c r="AO2442" s="13" t="b">
        <v>0</v>
      </c>
      <c r="AP2442" s="22" t="s">
        <v>104</v>
      </c>
      <c r="AQ2442" s="10">
        <f ca="1">IFERROR(__xludf.DUMMYFUNCTION("""COMPUTED_VALUE"""),4779503)</f>
        <v>4779503</v>
      </c>
      <c r="AR2442" s="17">
        <v>876</v>
      </c>
      <c r="AS2442" s="17">
        <v>748</v>
      </c>
      <c r="AT2442" s="17">
        <v>2613.5</v>
      </c>
      <c r="AU2442" s="17">
        <v>0</v>
      </c>
      <c r="AV2442" s="17">
        <v>0</v>
      </c>
      <c r="AW2442" s="10" t="s">
        <v>105</v>
      </c>
      <c r="AX2442" s="17">
        <v>105</v>
      </c>
      <c r="AY2442" s="18">
        <v>3.4939839572192515</v>
      </c>
      <c r="AZ2442" s="10" t="s">
        <v>117</v>
      </c>
      <c r="BA2442" s="20" t="b">
        <v>0</v>
      </c>
      <c r="BB2442" s="10"/>
      <c r="BC2442" s="17">
        <v>876</v>
      </c>
      <c r="BD2442" s="17">
        <v>748</v>
      </c>
      <c r="BE2442" s="17">
        <v>2613.5</v>
      </c>
      <c r="BF2442" s="17">
        <v>0</v>
      </c>
      <c r="BG2442" s="11">
        <f ca="1">IFERROR(__xludf.DUMMYFUNCTION("""COMPUTED_VALUE"""),46008.7291666666)</f>
        <v>46008.729166666599</v>
      </c>
      <c r="BH2442" s="17" t="s">
        <v>105</v>
      </c>
      <c r="BI2442" s="17"/>
      <c r="BJ2442" s="15"/>
      <c r="BK2442" s="15"/>
      <c r="BL2442" s="13" t="b">
        <v>0</v>
      </c>
      <c r="BM2442" s="10"/>
      <c r="BN2442" s="10" t="s">
        <v>117</v>
      </c>
      <c r="BO2442" s="11">
        <v>45958.420138888891</v>
      </c>
      <c r="BP2442" s="11">
        <v>45958.420312499999</v>
      </c>
      <c r="BQ2442" s="15">
        <v>46006.633379629631</v>
      </c>
      <c r="BR2442" s="15">
        <v>46005.420300925929</v>
      </c>
      <c r="BS2442" s="10"/>
      <c r="BT2442" s="10"/>
      <c r="BU2442" s="10"/>
      <c r="BV2442" s="10"/>
      <c r="BW2442" s="10"/>
      <c r="BX2442" s="10"/>
      <c r="BY2442" s="23"/>
      <c r="BZ2442" s="23"/>
      <c r="CA2442" s="19" t="s">
        <v>18515</v>
      </c>
      <c r="CB2442" s="23"/>
      <c r="CC2442" s="23"/>
      <c r="CD2442" s="19" t="s">
        <v>18516</v>
      </c>
      <c r="CE2442" s="23"/>
      <c r="CF2442" s="23"/>
      <c r="CG2442" s="23"/>
      <c r="CH2442" s="23"/>
      <c r="CI2442" s="23"/>
    </row>
    <row r="2443" spans="1:87" x14ac:dyDescent="0.3">
      <c r="A2443" s="9" t="s">
        <v>18517</v>
      </c>
      <c r="B2443" s="10" t="s">
        <v>18518</v>
      </c>
      <c r="C2443" s="11">
        <v>46057.729166666664</v>
      </c>
      <c r="D2443" s="12">
        <v>8.3333333333333329E-2</v>
      </c>
      <c r="E2443" s="11">
        <v>46057.8125</v>
      </c>
      <c r="F2443" s="10" t="s">
        <v>16311</v>
      </c>
      <c r="G2443" s="13" t="b">
        <v>0</v>
      </c>
      <c r="H2443" s="22" t="s">
        <v>16312</v>
      </c>
      <c r="I2443" s="10" t="s">
        <v>212</v>
      </c>
      <c r="J2443" s="13" t="b">
        <v>1</v>
      </c>
      <c r="K2443" s="13" t="b">
        <v>0</v>
      </c>
      <c r="L2443" s="10" t="s">
        <v>124</v>
      </c>
      <c r="M2443" s="10" t="s">
        <v>91</v>
      </c>
      <c r="N2443" s="10" t="s">
        <v>92</v>
      </c>
      <c r="O2443" s="10"/>
      <c r="P2443" s="10"/>
      <c r="Q2443" s="10" t="s">
        <v>126</v>
      </c>
      <c r="R2443" s="10"/>
      <c r="S2443" s="10"/>
      <c r="T2443" s="10"/>
      <c r="U2443" s="10" t="s">
        <v>16339</v>
      </c>
      <c r="V2443" s="10" t="s">
        <v>16338</v>
      </c>
      <c r="W2443" s="10" t="s">
        <v>16317</v>
      </c>
      <c r="X2443" s="10" t="s">
        <v>16318</v>
      </c>
      <c r="Y2443" s="10" t="s">
        <v>16318</v>
      </c>
      <c r="Z2443" s="10" t="s">
        <v>99</v>
      </c>
      <c r="AA2443" s="10" t="s">
        <v>131</v>
      </c>
      <c r="AB2443" s="10" t="s">
        <v>16319</v>
      </c>
      <c r="AC2443" s="10"/>
      <c r="AD2443" s="10" t="s">
        <v>18519</v>
      </c>
      <c r="AE2443" s="10" t="s">
        <v>18520</v>
      </c>
      <c r="AF2443" s="15"/>
      <c r="AG2443" s="10"/>
      <c r="AH2443" s="10"/>
      <c r="AI2443" s="10"/>
      <c r="AJ2443" s="10"/>
      <c r="AK2443" s="10"/>
      <c r="AL2443" s="10"/>
      <c r="AM2443" s="10"/>
      <c r="AN2443" s="10"/>
      <c r="AO2443" s="13" t="b">
        <v>0</v>
      </c>
      <c r="AP2443" s="22" t="s">
        <v>104</v>
      </c>
      <c r="AQ2443" s="10"/>
      <c r="AR2443" s="17"/>
      <c r="AS2443" s="17"/>
      <c r="AT2443" s="17"/>
      <c r="AU2443" s="17"/>
      <c r="AV2443" s="17"/>
      <c r="AW2443" s="10"/>
      <c r="AX2443" s="17"/>
      <c r="AY2443" s="18" t="s">
        <v>257</v>
      </c>
      <c r="AZ2443" s="10"/>
      <c r="BA2443" s="20" t="b">
        <v>0</v>
      </c>
      <c r="BB2443" s="10"/>
      <c r="BC2443" s="17" t="s">
        <v>257</v>
      </c>
      <c r="BD2443" s="17" t="s">
        <v>257</v>
      </c>
      <c r="BE2443" s="17" t="s">
        <v>257</v>
      </c>
      <c r="BF2443" s="17" t="s">
        <v>257</v>
      </c>
      <c r="BG2443" s="11">
        <f ca="1">IFERROR(__xludf.DUMMYFUNCTION("""COMPUTED_VALUE"""),46057.7291666666)</f>
        <v>46057.729166666599</v>
      </c>
      <c r="BH2443" s="17"/>
      <c r="BI2443" s="17"/>
      <c r="BJ2443" s="15"/>
      <c r="BK2443" s="15"/>
      <c r="BL2443" s="13" t="b">
        <v>0</v>
      </c>
      <c r="BM2443" s="10"/>
      <c r="BN2443" s="10" t="s">
        <v>18456</v>
      </c>
      <c r="BO2443" s="11">
        <v>45958.42083333333</v>
      </c>
      <c r="BP2443" s="11">
        <v>45958.42119212963</v>
      </c>
      <c r="BQ2443" s="15"/>
      <c r="BR2443" s="15"/>
      <c r="BS2443" s="10"/>
      <c r="BT2443" s="10"/>
      <c r="BU2443" s="10"/>
      <c r="BV2443" s="10"/>
      <c r="BW2443" s="10"/>
      <c r="BX2443" s="10"/>
      <c r="BY2443" s="23"/>
      <c r="BZ2443" s="23"/>
      <c r="CA2443" s="23"/>
      <c r="CB2443" s="23"/>
      <c r="CC2443" s="23"/>
      <c r="CD2443" s="23"/>
      <c r="CE2443" s="23"/>
      <c r="CF2443" s="23"/>
      <c r="CG2443" s="23"/>
      <c r="CH2443" s="23"/>
      <c r="CI2443" s="23"/>
    </row>
    <row r="2444" spans="1:87" x14ac:dyDescent="0.3">
      <c r="A2444" s="9" t="s">
        <v>18521</v>
      </c>
      <c r="B2444" s="10" t="s">
        <v>18522</v>
      </c>
      <c r="C2444" s="11">
        <v>46008.708333333336</v>
      </c>
      <c r="D2444" s="12">
        <v>8.3333333333333329E-2</v>
      </c>
      <c r="E2444" s="11">
        <v>46008.791666666664</v>
      </c>
      <c r="F2444" s="10" t="s">
        <v>16311</v>
      </c>
      <c r="G2444" s="13" t="b">
        <v>0</v>
      </c>
      <c r="H2444" s="22" t="s">
        <v>16312</v>
      </c>
      <c r="I2444" s="10" t="s">
        <v>212</v>
      </c>
      <c r="J2444" s="13" t="b">
        <v>1</v>
      </c>
      <c r="K2444" s="13" t="b">
        <v>0</v>
      </c>
      <c r="L2444" s="10" t="s">
        <v>124</v>
      </c>
      <c r="M2444" s="10" t="s">
        <v>91</v>
      </c>
      <c r="N2444" s="10" t="s">
        <v>92</v>
      </c>
      <c r="O2444" s="19" t="s">
        <v>18523</v>
      </c>
      <c r="P2444" s="10"/>
      <c r="Q2444" s="10" t="s">
        <v>126</v>
      </c>
      <c r="R2444" s="10"/>
      <c r="S2444" s="19" t="s">
        <v>18524</v>
      </c>
      <c r="T2444" s="10"/>
      <c r="U2444" s="10" t="s">
        <v>16315</v>
      </c>
      <c r="V2444" s="10" t="s">
        <v>18316</v>
      </c>
      <c r="W2444" s="10" t="s">
        <v>16317</v>
      </c>
      <c r="X2444" s="10" t="s">
        <v>16318</v>
      </c>
      <c r="Y2444" s="10" t="s">
        <v>16318</v>
      </c>
      <c r="Z2444" s="10" t="s">
        <v>99</v>
      </c>
      <c r="AA2444" s="10" t="s">
        <v>131</v>
      </c>
      <c r="AB2444" s="10" t="s">
        <v>16319</v>
      </c>
      <c r="AC2444" s="10"/>
      <c r="AD2444" s="10" t="s">
        <v>18525</v>
      </c>
      <c r="AE2444" s="10" t="s">
        <v>18526</v>
      </c>
      <c r="AF2444" s="15"/>
      <c r="AG2444" s="10"/>
      <c r="AH2444" s="10"/>
      <c r="AI2444" s="10"/>
      <c r="AJ2444" s="10"/>
      <c r="AK2444" s="10" t="s">
        <v>102</v>
      </c>
      <c r="AL2444" s="10"/>
      <c r="AM2444" s="10"/>
      <c r="AN2444" s="10"/>
      <c r="AO2444" s="13" t="b">
        <v>0</v>
      </c>
      <c r="AP2444" s="22" t="s">
        <v>104</v>
      </c>
      <c r="AQ2444" s="10">
        <f ca="1">IFERROR(__xludf.DUMMYFUNCTION("""COMPUTED_VALUE"""),4779500)</f>
        <v>4779500</v>
      </c>
      <c r="AR2444" s="17">
        <v>1266</v>
      </c>
      <c r="AS2444" s="17">
        <v>1090</v>
      </c>
      <c r="AT2444" s="17">
        <v>2840.75</v>
      </c>
      <c r="AU2444" s="17">
        <v>0.4</v>
      </c>
      <c r="AV2444" s="17">
        <v>0</v>
      </c>
      <c r="AW2444" s="10" t="s">
        <v>105</v>
      </c>
      <c r="AX2444" s="17">
        <v>108</v>
      </c>
      <c r="AY2444" s="18">
        <v>2.6061926605504588</v>
      </c>
      <c r="AZ2444" s="10" t="s">
        <v>117</v>
      </c>
      <c r="BA2444" s="20" t="b">
        <v>0</v>
      </c>
      <c r="BB2444" s="10"/>
      <c r="BC2444" s="17">
        <v>1266</v>
      </c>
      <c r="BD2444" s="17">
        <v>1090</v>
      </c>
      <c r="BE2444" s="17">
        <v>2840.75</v>
      </c>
      <c r="BF2444" s="17">
        <v>0</v>
      </c>
      <c r="BG2444" s="11">
        <f ca="1">IFERROR(__xludf.DUMMYFUNCTION("""COMPUTED_VALUE"""),46008.7083333333)</f>
        <v>46008.708333333299</v>
      </c>
      <c r="BH2444" s="17" t="s">
        <v>105</v>
      </c>
      <c r="BI2444" s="17"/>
      <c r="BJ2444" s="15"/>
      <c r="BK2444" s="15"/>
      <c r="BL2444" s="13" t="b">
        <v>0</v>
      </c>
      <c r="BM2444" s="10"/>
      <c r="BN2444" s="10" t="s">
        <v>117</v>
      </c>
      <c r="BO2444" s="11">
        <v>45958.42083333333</v>
      </c>
      <c r="BP2444" s="11">
        <v>45958.420868055553</v>
      </c>
      <c r="BQ2444" s="15">
        <v>46006.633159722223</v>
      </c>
      <c r="BR2444" s="15">
        <v>46005.420069444444</v>
      </c>
      <c r="BS2444" s="10"/>
      <c r="BT2444" s="10"/>
      <c r="BU2444" s="10"/>
      <c r="BV2444" s="10"/>
      <c r="BW2444" s="10"/>
      <c r="BX2444" s="10"/>
      <c r="BY2444" s="23"/>
      <c r="BZ2444" s="23"/>
      <c r="CA2444" s="19" t="s">
        <v>18527</v>
      </c>
      <c r="CB2444" s="23"/>
      <c r="CC2444" s="23"/>
      <c r="CD2444" s="19" t="s">
        <v>18528</v>
      </c>
      <c r="CE2444" s="23"/>
      <c r="CF2444" s="23"/>
      <c r="CG2444" s="23"/>
      <c r="CH2444" s="23"/>
      <c r="CI2444" s="23"/>
    </row>
    <row r="2445" spans="1:87" x14ac:dyDescent="0.3">
      <c r="A2445" s="9" t="s">
        <v>18529</v>
      </c>
      <c r="B2445" s="10" t="s">
        <v>18530</v>
      </c>
      <c r="C2445" s="11">
        <v>46057.791666666664</v>
      </c>
      <c r="D2445" s="12">
        <v>8.3333333333333329E-2</v>
      </c>
      <c r="E2445" s="11">
        <v>46057.875</v>
      </c>
      <c r="F2445" s="10" t="s">
        <v>16311</v>
      </c>
      <c r="G2445" s="13" t="b">
        <v>0</v>
      </c>
      <c r="H2445" s="22" t="s">
        <v>16312</v>
      </c>
      <c r="I2445" s="10" t="s">
        <v>212</v>
      </c>
      <c r="J2445" s="13" t="b">
        <v>1</v>
      </c>
      <c r="K2445" s="13" t="b">
        <v>0</v>
      </c>
      <c r="L2445" s="10" t="s">
        <v>124</v>
      </c>
      <c r="M2445" s="10" t="s">
        <v>91</v>
      </c>
      <c r="N2445" s="10" t="s">
        <v>92</v>
      </c>
      <c r="O2445" s="10"/>
      <c r="P2445" s="10"/>
      <c r="Q2445" s="10" t="s">
        <v>126</v>
      </c>
      <c r="R2445" s="10"/>
      <c r="S2445" s="10"/>
      <c r="T2445" s="10"/>
      <c r="U2445" s="10" t="s">
        <v>18357</v>
      </c>
      <c r="V2445" s="10" t="s">
        <v>16329</v>
      </c>
      <c r="W2445" s="10" t="s">
        <v>16317</v>
      </c>
      <c r="X2445" s="10" t="s">
        <v>16318</v>
      </c>
      <c r="Y2445" s="10" t="s">
        <v>16318</v>
      </c>
      <c r="Z2445" s="10" t="s">
        <v>99</v>
      </c>
      <c r="AA2445" s="10" t="s">
        <v>131</v>
      </c>
      <c r="AB2445" s="10" t="s">
        <v>16319</v>
      </c>
      <c r="AC2445" s="10"/>
      <c r="AD2445" s="10" t="s">
        <v>18531</v>
      </c>
      <c r="AE2445" s="10" t="s">
        <v>18532</v>
      </c>
      <c r="AF2445" s="15"/>
      <c r="AG2445" s="10"/>
      <c r="AH2445" s="10"/>
      <c r="AI2445" s="10"/>
      <c r="AJ2445" s="10"/>
      <c r="AK2445" s="10"/>
      <c r="AL2445" s="10"/>
      <c r="AM2445" s="10"/>
      <c r="AN2445" s="10"/>
      <c r="AO2445" s="13" t="b">
        <v>0</v>
      </c>
      <c r="AP2445" s="22" t="s">
        <v>104</v>
      </c>
      <c r="AQ2445" s="10"/>
      <c r="AR2445" s="17"/>
      <c r="AS2445" s="17"/>
      <c r="AT2445" s="17"/>
      <c r="AU2445" s="17"/>
      <c r="AV2445" s="17"/>
      <c r="AW2445" s="10"/>
      <c r="AX2445" s="17"/>
      <c r="AY2445" s="18" t="s">
        <v>257</v>
      </c>
      <c r="AZ2445" s="10"/>
      <c r="BA2445" s="20" t="b">
        <v>0</v>
      </c>
      <c r="BB2445" s="10"/>
      <c r="BC2445" s="17" t="s">
        <v>257</v>
      </c>
      <c r="BD2445" s="17" t="s">
        <v>257</v>
      </c>
      <c r="BE2445" s="17" t="s">
        <v>257</v>
      </c>
      <c r="BF2445" s="17" t="s">
        <v>257</v>
      </c>
      <c r="BG2445" s="11">
        <f ca="1">IFERROR(__xludf.DUMMYFUNCTION("""COMPUTED_VALUE"""),46057.7916666666)</f>
        <v>46057.791666666599</v>
      </c>
      <c r="BH2445" s="17"/>
      <c r="BI2445" s="17"/>
      <c r="BJ2445" s="15"/>
      <c r="BK2445" s="15"/>
      <c r="BL2445" s="13" t="b">
        <v>0</v>
      </c>
      <c r="BM2445" s="10"/>
      <c r="BN2445" s="10" t="s">
        <v>18456</v>
      </c>
      <c r="BO2445" s="11">
        <v>45958.42291666667</v>
      </c>
      <c r="BP2445" s="11">
        <v>45958.422974537039</v>
      </c>
      <c r="BQ2445" s="15"/>
      <c r="BR2445" s="15"/>
      <c r="BS2445" s="10"/>
      <c r="BT2445" s="10"/>
      <c r="BU2445" s="10"/>
      <c r="BV2445" s="10"/>
      <c r="BW2445" s="10"/>
      <c r="BX2445" s="10"/>
      <c r="BY2445" s="23"/>
      <c r="BZ2445" s="23"/>
      <c r="CA2445" s="23"/>
      <c r="CB2445" s="23"/>
      <c r="CC2445" s="23"/>
      <c r="CD2445" s="23"/>
      <c r="CE2445" s="23"/>
      <c r="CF2445" s="23"/>
      <c r="CG2445" s="23"/>
      <c r="CH2445" s="23"/>
      <c r="CI2445" s="23"/>
    </row>
    <row r="2446" spans="1:87" x14ac:dyDescent="0.3">
      <c r="A2446" s="9" t="s">
        <v>18533</v>
      </c>
      <c r="B2446" s="10" t="s">
        <v>18534</v>
      </c>
      <c r="C2446" s="11">
        <v>46015.770833333336</v>
      </c>
      <c r="D2446" s="12">
        <v>8.3333333333333329E-2</v>
      </c>
      <c r="E2446" s="11">
        <v>46015.854166666664</v>
      </c>
      <c r="F2446" s="10" t="s">
        <v>16311</v>
      </c>
      <c r="G2446" s="13" t="b">
        <v>0</v>
      </c>
      <c r="H2446" s="22" t="s">
        <v>16312</v>
      </c>
      <c r="I2446" s="10" t="s">
        <v>212</v>
      </c>
      <c r="J2446" s="13" t="b">
        <v>1</v>
      </c>
      <c r="K2446" s="13" t="b">
        <v>0</v>
      </c>
      <c r="L2446" s="10" t="s">
        <v>124</v>
      </c>
      <c r="M2446" s="10" t="s">
        <v>91</v>
      </c>
      <c r="N2446" s="10" t="s">
        <v>92</v>
      </c>
      <c r="O2446" s="19" t="s">
        <v>18535</v>
      </c>
      <c r="P2446" s="10"/>
      <c r="Q2446" s="10" t="s">
        <v>126</v>
      </c>
      <c r="R2446" s="10"/>
      <c r="S2446" s="19" t="s">
        <v>18536</v>
      </c>
      <c r="T2446" s="10"/>
      <c r="U2446" s="10" t="s">
        <v>16328</v>
      </c>
      <c r="V2446" s="10" t="s">
        <v>17265</v>
      </c>
      <c r="W2446" s="10" t="s">
        <v>16317</v>
      </c>
      <c r="X2446" s="10" t="s">
        <v>16318</v>
      </c>
      <c r="Y2446" s="10" t="s">
        <v>16318</v>
      </c>
      <c r="Z2446" s="10" t="s">
        <v>99</v>
      </c>
      <c r="AA2446" s="10" t="s">
        <v>131</v>
      </c>
      <c r="AB2446" s="10" t="s">
        <v>16319</v>
      </c>
      <c r="AC2446" s="10"/>
      <c r="AD2446" s="10" t="s">
        <v>18537</v>
      </c>
      <c r="AE2446" s="10" t="s">
        <v>18538</v>
      </c>
      <c r="AF2446" s="15"/>
      <c r="AG2446" s="10"/>
      <c r="AH2446" s="10"/>
      <c r="AI2446" s="10"/>
      <c r="AJ2446" s="10"/>
      <c r="AK2446" s="10" t="s">
        <v>102</v>
      </c>
      <c r="AL2446" s="10"/>
      <c r="AM2446" s="10"/>
      <c r="AN2446" s="10"/>
      <c r="AO2446" s="13" t="b">
        <v>0</v>
      </c>
      <c r="AP2446" s="22" t="s">
        <v>104</v>
      </c>
      <c r="AQ2446" s="10">
        <f ca="1">IFERROR(__xludf.DUMMYFUNCTION("""COMPUTED_VALUE"""),4790738)</f>
        <v>4790738</v>
      </c>
      <c r="AR2446" s="17">
        <v>6465</v>
      </c>
      <c r="AS2446" s="17">
        <v>5792</v>
      </c>
      <c r="AT2446" s="17">
        <v>29998.75</v>
      </c>
      <c r="AU2446" s="17">
        <v>6.3</v>
      </c>
      <c r="AV2446" s="17">
        <v>1.95</v>
      </c>
      <c r="AW2446" s="10" t="s">
        <v>105</v>
      </c>
      <c r="AX2446" s="17">
        <v>611</v>
      </c>
      <c r="AY2446" s="18">
        <v>5.1793421961325965</v>
      </c>
      <c r="AZ2446" s="10" t="s">
        <v>117</v>
      </c>
      <c r="BA2446" s="20" t="b">
        <v>0</v>
      </c>
      <c r="BB2446" s="10"/>
      <c r="BC2446" s="17">
        <v>6465</v>
      </c>
      <c r="BD2446" s="17">
        <v>5792</v>
      </c>
      <c r="BE2446" s="17">
        <v>29998.75</v>
      </c>
      <c r="BF2446" s="17">
        <v>1.95</v>
      </c>
      <c r="BG2446" s="11">
        <f ca="1">IFERROR(__xludf.DUMMYFUNCTION("""COMPUTED_VALUE"""),46015.7708333333)</f>
        <v>46015.770833333299</v>
      </c>
      <c r="BH2446" s="17" t="s">
        <v>105</v>
      </c>
      <c r="BI2446" s="17"/>
      <c r="BJ2446" s="15"/>
      <c r="BK2446" s="15"/>
      <c r="BL2446" s="13" t="b">
        <v>0</v>
      </c>
      <c r="BM2446" s="10"/>
      <c r="BN2446" s="10" t="s">
        <v>149</v>
      </c>
      <c r="BO2446" s="11">
        <v>45958.42083333333</v>
      </c>
      <c r="BP2446" s="11">
        <v>45958.422268518516</v>
      </c>
      <c r="BQ2446" s="15">
        <v>46006.660879629628</v>
      </c>
      <c r="BR2446" s="15">
        <v>46013.453877314816</v>
      </c>
      <c r="BS2446" s="10" t="s">
        <v>149</v>
      </c>
      <c r="BT2446" s="10"/>
      <c r="BU2446" s="10"/>
      <c r="BV2446" s="10"/>
      <c r="BW2446" s="10"/>
      <c r="BX2446" s="10"/>
      <c r="BY2446" s="23"/>
      <c r="BZ2446" s="23"/>
      <c r="CA2446" s="19" t="s">
        <v>18539</v>
      </c>
      <c r="CB2446" s="23"/>
      <c r="CC2446" s="23"/>
      <c r="CD2446" s="19" t="s">
        <v>18540</v>
      </c>
      <c r="CE2446" s="23"/>
      <c r="CF2446" s="23"/>
      <c r="CG2446" s="23"/>
      <c r="CH2446" s="23"/>
      <c r="CI2446" s="23"/>
    </row>
    <row r="2447" spans="1:87" x14ac:dyDescent="0.3">
      <c r="A2447" s="9" t="s">
        <v>18541</v>
      </c>
      <c r="B2447" s="10" t="s">
        <v>18542</v>
      </c>
      <c r="C2447" s="11">
        <v>46050.708333333336</v>
      </c>
      <c r="D2447" s="12">
        <v>8.3333333333333329E-2</v>
      </c>
      <c r="E2447" s="11">
        <v>46050.791666666664</v>
      </c>
      <c r="F2447" s="10" t="s">
        <v>16311</v>
      </c>
      <c r="G2447" s="13" t="b">
        <v>0</v>
      </c>
      <c r="H2447" s="22" t="s">
        <v>16312</v>
      </c>
      <c r="I2447" s="10" t="s">
        <v>212</v>
      </c>
      <c r="J2447" s="13" t="b">
        <v>1</v>
      </c>
      <c r="K2447" s="13" t="b">
        <v>0</v>
      </c>
      <c r="L2447" s="10" t="s">
        <v>124</v>
      </c>
      <c r="M2447" s="10" t="s">
        <v>91</v>
      </c>
      <c r="N2447" s="10" t="s">
        <v>92</v>
      </c>
      <c r="O2447" s="10"/>
      <c r="P2447" s="10"/>
      <c r="Q2447" s="10" t="s">
        <v>126</v>
      </c>
      <c r="R2447" s="10"/>
      <c r="S2447" s="10"/>
      <c r="T2447" s="10"/>
      <c r="U2447" s="10" t="s">
        <v>17265</v>
      </c>
      <c r="V2447" s="10" t="s">
        <v>16328</v>
      </c>
      <c r="W2447" s="10" t="s">
        <v>16317</v>
      </c>
      <c r="X2447" s="10" t="s">
        <v>16318</v>
      </c>
      <c r="Y2447" s="10" t="s">
        <v>16318</v>
      </c>
      <c r="Z2447" s="10" t="s">
        <v>99</v>
      </c>
      <c r="AA2447" s="10" t="s">
        <v>131</v>
      </c>
      <c r="AB2447" s="10" t="s">
        <v>16319</v>
      </c>
      <c r="AC2447" s="10"/>
      <c r="AD2447" s="10" t="s">
        <v>18543</v>
      </c>
      <c r="AE2447" s="10" t="s">
        <v>18544</v>
      </c>
      <c r="AF2447" s="15"/>
      <c r="AG2447" s="10"/>
      <c r="AH2447" s="10"/>
      <c r="AI2447" s="10"/>
      <c r="AJ2447" s="10"/>
      <c r="AK2447" s="10"/>
      <c r="AL2447" s="10"/>
      <c r="AM2447" s="10"/>
      <c r="AN2447" s="10"/>
      <c r="AO2447" s="13" t="b">
        <v>0</v>
      </c>
      <c r="AP2447" s="22" t="s">
        <v>104</v>
      </c>
      <c r="AQ2447" s="10"/>
      <c r="AR2447" s="17"/>
      <c r="AS2447" s="17"/>
      <c r="AT2447" s="17"/>
      <c r="AU2447" s="17"/>
      <c r="AV2447" s="17"/>
      <c r="AW2447" s="10"/>
      <c r="AX2447" s="17"/>
      <c r="AY2447" s="18" t="s">
        <v>257</v>
      </c>
      <c r="AZ2447" s="10"/>
      <c r="BA2447" s="20" t="b">
        <v>0</v>
      </c>
      <c r="BB2447" s="10"/>
      <c r="BC2447" s="17" t="s">
        <v>257</v>
      </c>
      <c r="BD2447" s="17" t="s">
        <v>257</v>
      </c>
      <c r="BE2447" s="17" t="s">
        <v>257</v>
      </c>
      <c r="BF2447" s="17" t="s">
        <v>257</v>
      </c>
      <c r="BG2447" s="11">
        <f ca="1">IFERROR(__xludf.DUMMYFUNCTION("""COMPUTED_VALUE"""),46050.7083333333)</f>
        <v>46050.708333333299</v>
      </c>
      <c r="BH2447" s="17"/>
      <c r="BI2447" s="17"/>
      <c r="BJ2447" s="15"/>
      <c r="BK2447" s="15"/>
      <c r="BL2447" s="13" t="b">
        <v>0</v>
      </c>
      <c r="BM2447" s="10"/>
      <c r="BN2447" s="10" t="s">
        <v>18456</v>
      </c>
      <c r="BO2447" s="11">
        <v>45958.423611111109</v>
      </c>
      <c r="BP2447" s="11">
        <v>45958.424293981479</v>
      </c>
      <c r="BQ2447" s="15"/>
      <c r="BR2447" s="15"/>
      <c r="BS2447" s="10"/>
      <c r="BT2447" s="10"/>
      <c r="BU2447" s="10"/>
      <c r="BV2447" s="10"/>
      <c r="BW2447" s="10"/>
      <c r="BX2447" s="10"/>
      <c r="BY2447" s="23"/>
      <c r="BZ2447" s="23"/>
      <c r="CA2447" s="23"/>
      <c r="CB2447" s="23"/>
      <c r="CC2447" s="23"/>
      <c r="CD2447" s="23"/>
      <c r="CE2447" s="23"/>
      <c r="CF2447" s="23"/>
      <c r="CG2447" s="23"/>
      <c r="CH2447" s="23"/>
      <c r="CI2447" s="23"/>
    </row>
    <row r="2448" spans="1:87" x14ac:dyDescent="0.3">
      <c r="A2448" s="9" t="s">
        <v>18545</v>
      </c>
      <c r="B2448" s="10" t="s">
        <v>18546</v>
      </c>
      <c r="C2448" s="11">
        <v>46043.708333333336</v>
      </c>
      <c r="D2448" s="12">
        <v>8.3333333333333329E-2</v>
      </c>
      <c r="E2448" s="11">
        <v>46043.791666666664</v>
      </c>
      <c r="F2448" s="10" t="s">
        <v>16311</v>
      </c>
      <c r="G2448" s="13" t="b">
        <v>0</v>
      </c>
      <c r="H2448" s="22" t="s">
        <v>16312</v>
      </c>
      <c r="I2448" s="10" t="s">
        <v>212</v>
      </c>
      <c r="J2448" s="13" t="b">
        <v>1</v>
      </c>
      <c r="K2448" s="13" t="b">
        <v>0</v>
      </c>
      <c r="L2448" s="10" t="s">
        <v>124</v>
      </c>
      <c r="M2448" s="10" t="s">
        <v>91</v>
      </c>
      <c r="N2448" s="10" t="s">
        <v>92</v>
      </c>
      <c r="O2448" s="10"/>
      <c r="P2448" s="10"/>
      <c r="Q2448" s="10" t="s">
        <v>126</v>
      </c>
      <c r="R2448" s="10"/>
      <c r="S2448" s="10"/>
      <c r="T2448" s="10"/>
      <c r="U2448" s="10" t="s">
        <v>18316</v>
      </c>
      <c r="V2448" s="10" t="s">
        <v>16315</v>
      </c>
      <c r="W2448" s="10" t="s">
        <v>16317</v>
      </c>
      <c r="X2448" s="10" t="s">
        <v>16318</v>
      </c>
      <c r="Y2448" s="10" t="s">
        <v>16318</v>
      </c>
      <c r="Z2448" s="10" t="s">
        <v>99</v>
      </c>
      <c r="AA2448" s="10" t="s">
        <v>131</v>
      </c>
      <c r="AB2448" s="10" t="s">
        <v>16319</v>
      </c>
      <c r="AC2448" s="10"/>
      <c r="AD2448" s="10" t="s">
        <v>18547</v>
      </c>
      <c r="AE2448" s="10" t="s">
        <v>18548</v>
      </c>
      <c r="AF2448" s="15"/>
      <c r="AG2448" s="10"/>
      <c r="AH2448" s="10"/>
      <c r="AI2448" s="10"/>
      <c r="AJ2448" s="10"/>
      <c r="AK2448" s="10"/>
      <c r="AL2448" s="10"/>
      <c r="AM2448" s="10"/>
      <c r="AN2448" s="10"/>
      <c r="AO2448" s="13" t="b">
        <v>0</v>
      </c>
      <c r="AP2448" s="22" t="s">
        <v>104</v>
      </c>
      <c r="AQ2448" s="10"/>
      <c r="AR2448" s="17"/>
      <c r="AS2448" s="17"/>
      <c r="AT2448" s="17"/>
      <c r="AU2448" s="17"/>
      <c r="AV2448" s="17"/>
      <c r="AW2448" s="10"/>
      <c r="AX2448" s="17"/>
      <c r="AY2448" s="18" t="s">
        <v>257</v>
      </c>
      <c r="AZ2448" s="10"/>
      <c r="BA2448" s="20" t="b">
        <v>0</v>
      </c>
      <c r="BB2448" s="10"/>
      <c r="BC2448" s="17" t="s">
        <v>257</v>
      </c>
      <c r="BD2448" s="17" t="s">
        <v>257</v>
      </c>
      <c r="BE2448" s="17" t="s">
        <v>257</v>
      </c>
      <c r="BF2448" s="17" t="s">
        <v>257</v>
      </c>
      <c r="BG2448" s="11">
        <f ca="1">IFERROR(__xludf.DUMMYFUNCTION("""COMPUTED_VALUE"""),46043.7083333333)</f>
        <v>46043.708333333299</v>
      </c>
      <c r="BH2448" s="17"/>
      <c r="BI2448" s="17"/>
      <c r="BJ2448" s="15"/>
      <c r="BK2448" s="15"/>
      <c r="BL2448" s="13" t="b">
        <v>0</v>
      </c>
      <c r="BM2448" s="10"/>
      <c r="BN2448" s="10" t="s">
        <v>8529</v>
      </c>
      <c r="BO2448" s="11">
        <v>45958.425000000003</v>
      </c>
      <c r="BP2448" s="11">
        <v>45958.427187499998</v>
      </c>
      <c r="BQ2448" s="15"/>
      <c r="BR2448" s="15"/>
      <c r="BS2448" s="10"/>
      <c r="BT2448" s="10"/>
      <c r="BU2448" s="10"/>
      <c r="BV2448" s="10"/>
      <c r="BW2448" s="10"/>
      <c r="BX2448" s="10"/>
      <c r="BY2448" s="23"/>
      <c r="BZ2448" s="23"/>
      <c r="CA2448" s="23"/>
      <c r="CB2448" s="23"/>
      <c r="CC2448" s="23"/>
      <c r="CD2448" s="23"/>
      <c r="CE2448" s="23"/>
      <c r="CF2448" s="23"/>
      <c r="CG2448" s="23"/>
      <c r="CH2448" s="23"/>
      <c r="CI2448" s="23"/>
    </row>
    <row r="2449" spans="1:87" x14ac:dyDescent="0.3">
      <c r="A2449" s="9" t="s">
        <v>18549</v>
      </c>
      <c r="B2449" s="10" t="s">
        <v>18550</v>
      </c>
      <c r="C2449" s="11">
        <v>46019.791666666664</v>
      </c>
      <c r="D2449" s="12">
        <v>8.3333333333333329E-2</v>
      </c>
      <c r="E2449" s="11">
        <v>46019.875</v>
      </c>
      <c r="F2449" s="10" t="s">
        <v>16311</v>
      </c>
      <c r="G2449" s="13" t="b">
        <v>0</v>
      </c>
      <c r="H2449" s="22" t="s">
        <v>16312</v>
      </c>
      <c r="I2449" s="10" t="s">
        <v>212</v>
      </c>
      <c r="J2449" s="13" t="b">
        <v>1</v>
      </c>
      <c r="K2449" s="13" t="b">
        <v>0</v>
      </c>
      <c r="L2449" s="10" t="s">
        <v>124</v>
      </c>
      <c r="M2449" s="10" t="s">
        <v>91</v>
      </c>
      <c r="N2449" s="10" t="s">
        <v>92</v>
      </c>
      <c r="O2449" s="19" t="s">
        <v>18551</v>
      </c>
      <c r="P2449" s="10"/>
      <c r="Q2449" s="10" t="s">
        <v>126</v>
      </c>
      <c r="R2449" s="10"/>
      <c r="S2449" s="19" t="s">
        <v>18552</v>
      </c>
      <c r="T2449" s="10"/>
      <c r="U2449" s="10" t="s">
        <v>18357</v>
      </c>
      <c r="V2449" s="10" t="s">
        <v>16328</v>
      </c>
      <c r="W2449" s="10" t="s">
        <v>16317</v>
      </c>
      <c r="X2449" s="10" t="s">
        <v>16318</v>
      </c>
      <c r="Y2449" s="10" t="s">
        <v>16318</v>
      </c>
      <c r="Z2449" s="10" t="s">
        <v>99</v>
      </c>
      <c r="AA2449" s="10" t="s">
        <v>131</v>
      </c>
      <c r="AB2449" s="10" t="s">
        <v>16319</v>
      </c>
      <c r="AC2449" s="10"/>
      <c r="AD2449" s="10" t="s">
        <v>18553</v>
      </c>
      <c r="AE2449" s="10" t="s">
        <v>18554</v>
      </c>
      <c r="AF2449" s="15"/>
      <c r="AG2449" s="10"/>
      <c r="AH2449" s="10"/>
      <c r="AI2449" s="10"/>
      <c r="AJ2449" s="10"/>
      <c r="AK2449" s="10" t="s">
        <v>102</v>
      </c>
      <c r="AL2449" s="10"/>
      <c r="AM2449" s="10"/>
      <c r="AN2449" s="10"/>
      <c r="AO2449" s="13" t="b">
        <v>0</v>
      </c>
      <c r="AP2449" s="22" t="s">
        <v>104</v>
      </c>
      <c r="AQ2449" s="10">
        <f ca="1">IFERROR(__xludf.DUMMYFUNCTION("""COMPUTED_VALUE"""),4797002)</f>
        <v>4797002</v>
      </c>
      <c r="AR2449" s="17">
        <v>3262</v>
      </c>
      <c r="AS2449" s="17">
        <v>3018</v>
      </c>
      <c r="AT2449" s="17">
        <v>7219.75</v>
      </c>
      <c r="AU2449" s="17">
        <v>0.35</v>
      </c>
      <c r="AV2449" s="17">
        <v>0</v>
      </c>
      <c r="AW2449" s="10" t="s">
        <v>105</v>
      </c>
      <c r="AX2449" s="17">
        <v>372</v>
      </c>
      <c r="AY2449" s="18">
        <v>2.3922299536116634</v>
      </c>
      <c r="AZ2449" s="10" t="s">
        <v>117</v>
      </c>
      <c r="BA2449" s="20" t="b">
        <v>0</v>
      </c>
      <c r="BB2449" s="10"/>
      <c r="BC2449" s="17">
        <v>3262</v>
      </c>
      <c r="BD2449" s="17">
        <v>3018</v>
      </c>
      <c r="BE2449" s="17">
        <v>7219.75</v>
      </c>
      <c r="BF2449" s="17">
        <v>0</v>
      </c>
      <c r="BG2449" s="11">
        <f ca="1">IFERROR(__xludf.DUMMYFUNCTION("""COMPUTED_VALUE"""),46019.7916666666)</f>
        <v>46019.791666666599</v>
      </c>
      <c r="BH2449" s="17" t="s">
        <v>105</v>
      </c>
      <c r="BI2449" s="17"/>
      <c r="BJ2449" s="15"/>
      <c r="BK2449" s="15"/>
      <c r="BL2449" s="13" t="b">
        <v>0</v>
      </c>
      <c r="BM2449" s="10"/>
      <c r="BN2449" s="10" t="s">
        <v>197</v>
      </c>
      <c r="BO2449" s="11">
        <v>45958.422222222223</v>
      </c>
      <c r="BP2449" s="11">
        <v>45958.422418981485</v>
      </c>
      <c r="BQ2449" s="15">
        <v>46006.661053240743</v>
      </c>
      <c r="BR2449" s="15">
        <v>46017.908865740741</v>
      </c>
      <c r="BS2449" s="10" t="s">
        <v>197</v>
      </c>
      <c r="BT2449" s="10"/>
      <c r="BU2449" s="10"/>
      <c r="BV2449" s="10"/>
      <c r="BW2449" s="10"/>
      <c r="BX2449" s="10"/>
      <c r="BY2449" s="23"/>
      <c r="BZ2449" s="23"/>
      <c r="CA2449" s="19" t="s">
        <v>18555</v>
      </c>
      <c r="CB2449" s="23"/>
      <c r="CC2449" s="23"/>
      <c r="CD2449" s="19" t="s">
        <v>18556</v>
      </c>
      <c r="CE2449" s="23"/>
      <c r="CF2449" s="23"/>
      <c r="CG2449" s="23"/>
      <c r="CH2449" s="23"/>
      <c r="CI2449" s="23"/>
    </row>
    <row r="2450" spans="1:87" x14ac:dyDescent="0.3">
      <c r="A2450" s="9" t="s">
        <v>18557</v>
      </c>
      <c r="B2450" s="10" t="s">
        <v>18558</v>
      </c>
      <c r="C2450" s="11">
        <v>46043.770833333336</v>
      </c>
      <c r="D2450" s="12">
        <v>8.3333333333333329E-2</v>
      </c>
      <c r="E2450" s="11">
        <v>46043.854166666664</v>
      </c>
      <c r="F2450" s="10" t="s">
        <v>16311</v>
      </c>
      <c r="G2450" s="13" t="b">
        <v>0</v>
      </c>
      <c r="H2450" s="22" t="s">
        <v>16312</v>
      </c>
      <c r="I2450" s="10" t="s">
        <v>212</v>
      </c>
      <c r="J2450" s="13" t="b">
        <v>1</v>
      </c>
      <c r="K2450" s="13" t="b">
        <v>0</v>
      </c>
      <c r="L2450" s="10" t="s">
        <v>124</v>
      </c>
      <c r="M2450" s="10" t="s">
        <v>91</v>
      </c>
      <c r="N2450" s="10" t="s">
        <v>92</v>
      </c>
      <c r="O2450" s="10"/>
      <c r="P2450" s="10"/>
      <c r="Q2450" s="10" t="s">
        <v>126</v>
      </c>
      <c r="R2450" s="10"/>
      <c r="S2450" s="10"/>
      <c r="T2450" s="10"/>
      <c r="U2450" s="10" t="s">
        <v>18366</v>
      </c>
      <c r="V2450" s="10" t="s">
        <v>16339</v>
      </c>
      <c r="W2450" s="10" t="s">
        <v>16317</v>
      </c>
      <c r="X2450" s="10" t="s">
        <v>16318</v>
      </c>
      <c r="Y2450" s="10" t="s">
        <v>16318</v>
      </c>
      <c r="Z2450" s="10" t="s">
        <v>99</v>
      </c>
      <c r="AA2450" s="10" t="s">
        <v>131</v>
      </c>
      <c r="AB2450" s="10" t="s">
        <v>16319</v>
      </c>
      <c r="AC2450" s="10"/>
      <c r="AD2450" s="10" t="s">
        <v>18559</v>
      </c>
      <c r="AE2450" s="10" t="s">
        <v>18560</v>
      </c>
      <c r="AF2450" s="15"/>
      <c r="AG2450" s="10"/>
      <c r="AH2450" s="10"/>
      <c r="AI2450" s="10"/>
      <c r="AJ2450" s="10"/>
      <c r="AK2450" s="10"/>
      <c r="AL2450" s="10"/>
      <c r="AM2450" s="10"/>
      <c r="AN2450" s="10"/>
      <c r="AO2450" s="13" t="b">
        <v>0</v>
      </c>
      <c r="AP2450" s="22" t="s">
        <v>104</v>
      </c>
      <c r="AQ2450" s="10"/>
      <c r="AR2450" s="17"/>
      <c r="AS2450" s="17"/>
      <c r="AT2450" s="17"/>
      <c r="AU2450" s="17"/>
      <c r="AV2450" s="17"/>
      <c r="AW2450" s="10"/>
      <c r="AX2450" s="17"/>
      <c r="AY2450" s="18" t="s">
        <v>257</v>
      </c>
      <c r="AZ2450" s="10"/>
      <c r="BA2450" s="20" t="b">
        <v>0</v>
      </c>
      <c r="BB2450" s="10"/>
      <c r="BC2450" s="17" t="s">
        <v>257</v>
      </c>
      <c r="BD2450" s="17" t="s">
        <v>257</v>
      </c>
      <c r="BE2450" s="17" t="s">
        <v>257</v>
      </c>
      <c r="BF2450" s="17" t="s">
        <v>257</v>
      </c>
      <c r="BG2450" s="11">
        <f ca="1">IFERROR(__xludf.DUMMYFUNCTION("""COMPUTED_VALUE"""),46043.7708333333)</f>
        <v>46043.770833333299</v>
      </c>
      <c r="BH2450" s="17"/>
      <c r="BI2450" s="17"/>
      <c r="BJ2450" s="15"/>
      <c r="BK2450" s="15"/>
      <c r="BL2450" s="13" t="b">
        <v>0</v>
      </c>
      <c r="BM2450" s="10"/>
      <c r="BN2450" s="10" t="s">
        <v>18456</v>
      </c>
      <c r="BO2450" s="11">
        <v>45958.427083333336</v>
      </c>
      <c r="BP2450" s="11">
        <v>45958.427557870367</v>
      </c>
      <c r="BQ2450" s="15"/>
      <c r="BR2450" s="15"/>
      <c r="BS2450" s="10"/>
      <c r="BT2450" s="10"/>
      <c r="BU2450" s="10"/>
      <c r="BV2450" s="10"/>
      <c r="BW2450" s="10"/>
      <c r="BX2450" s="10"/>
      <c r="BY2450" s="23"/>
      <c r="BZ2450" s="23"/>
      <c r="CA2450" s="23"/>
      <c r="CB2450" s="23"/>
      <c r="CC2450" s="23"/>
      <c r="CD2450" s="23"/>
      <c r="CE2450" s="23"/>
      <c r="CF2450" s="23"/>
      <c r="CG2450" s="23"/>
      <c r="CH2450" s="23"/>
      <c r="CI2450" s="23"/>
    </row>
    <row r="2451" spans="1:87" x14ac:dyDescent="0.3">
      <c r="A2451" s="9" t="s">
        <v>18561</v>
      </c>
      <c r="B2451" s="10" t="s">
        <v>18562</v>
      </c>
      <c r="C2451" s="11">
        <v>46026.583333333336</v>
      </c>
      <c r="D2451" s="12">
        <v>8.3333333333333329E-2</v>
      </c>
      <c r="E2451" s="11">
        <v>46026.666666666664</v>
      </c>
      <c r="F2451" s="10" t="s">
        <v>16311</v>
      </c>
      <c r="G2451" s="13" t="b">
        <v>0</v>
      </c>
      <c r="H2451" s="22" t="s">
        <v>16312</v>
      </c>
      <c r="I2451" s="10" t="s">
        <v>212</v>
      </c>
      <c r="J2451" s="13" t="b">
        <v>1</v>
      </c>
      <c r="K2451" s="13" t="b">
        <v>0</v>
      </c>
      <c r="L2451" s="10" t="s">
        <v>124</v>
      </c>
      <c r="M2451" s="10" t="s">
        <v>91</v>
      </c>
      <c r="N2451" s="10" t="s">
        <v>92</v>
      </c>
      <c r="O2451" s="19" t="s">
        <v>18563</v>
      </c>
      <c r="P2451" s="10"/>
      <c r="Q2451" s="10" t="s">
        <v>126</v>
      </c>
      <c r="R2451" s="10"/>
      <c r="S2451" s="19" t="s">
        <v>18564</v>
      </c>
      <c r="T2451" s="10"/>
      <c r="U2451" s="10" t="s">
        <v>18366</v>
      </c>
      <c r="V2451" s="10" t="s">
        <v>16338</v>
      </c>
      <c r="W2451" s="10" t="s">
        <v>16317</v>
      </c>
      <c r="X2451" s="10" t="s">
        <v>16318</v>
      </c>
      <c r="Y2451" s="10" t="s">
        <v>16318</v>
      </c>
      <c r="Z2451" s="10" t="s">
        <v>99</v>
      </c>
      <c r="AA2451" s="10" t="s">
        <v>131</v>
      </c>
      <c r="AB2451" s="10" t="s">
        <v>16319</v>
      </c>
      <c r="AC2451" s="10"/>
      <c r="AD2451" s="10" t="s">
        <v>18565</v>
      </c>
      <c r="AE2451" s="10" t="s">
        <v>18566</v>
      </c>
      <c r="AF2451" s="15"/>
      <c r="AG2451" s="10"/>
      <c r="AH2451" s="10"/>
      <c r="AI2451" s="10"/>
      <c r="AJ2451" s="10"/>
      <c r="AK2451" s="10" t="s">
        <v>102</v>
      </c>
      <c r="AL2451" s="10"/>
      <c r="AM2451" s="10"/>
      <c r="AN2451" s="10"/>
      <c r="AO2451" s="13" t="b">
        <v>0</v>
      </c>
      <c r="AP2451" s="22" t="s">
        <v>104</v>
      </c>
      <c r="AQ2451" s="10">
        <f ca="1">IFERROR(__xludf.DUMMYFUNCTION("""COMPUTED_VALUE"""),4823384)</f>
        <v>4823384</v>
      </c>
      <c r="AR2451" s="17">
        <v>1673</v>
      </c>
      <c r="AS2451" s="17">
        <v>1511</v>
      </c>
      <c r="AT2451" s="17">
        <v>4264.75</v>
      </c>
      <c r="AU2451" s="17">
        <v>1.6</v>
      </c>
      <c r="AV2451" s="17">
        <v>0</v>
      </c>
      <c r="AW2451" s="10" t="s">
        <v>105</v>
      </c>
      <c r="AX2451" s="17">
        <v>238</v>
      </c>
      <c r="AY2451" s="18">
        <v>2.82246856386499</v>
      </c>
      <c r="AZ2451" s="10" t="s">
        <v>117</v>
      </c>
      <c r="BA2451" s="20" t="b">
        <v>0</v>
      </c>
      <c r="BB2451" s="10"/>
      <c r="BC2451" s="17">
        <v>1673</v>
      </c>
      <c r="BD2451" s="17">
        <v>1511</v>
      </c>
      <c r="BE2451" s="17">
        <v>4264.75</v>
      </c>
      <c r="BF2451" s="17">
        <v>0</v>
      </c>
      <c r="BG2451" s="11">
        <f ca="1">IFERROR(__xludf.DUMMYFUNCTION("""COMPUTED_VALUE"""),46026.5833333333)</f>
        <v>46026.583333333299</v>
      </c>
      <c r="BH2451" s="17" t="s">
        <v>105</v>
      </c>
      <c r="BI2451" s="17"/>
      <c r="BJ2451" s="15"/>
      <c r="BK2451" s="15"/>
      <c r="BL2451" s="13" t="b">
        <v>0</v>
      </c>
      <c r="BM2451" s="10"/>
      <c r="BN2451" s="10" t="s">
        <v>4030</v>
      </c>
      <c r="BO2451" s="11">
        <v>45958.423611111109</v>
      </c>
      <c r="BP2451" s="11">
        <v>45958.424004629633</v>
      </c>
      <c r="BQ2451" s="15">
        <v>46013.893993055557</v>
      </c>
      <c r="BR2451" s="15">
        <v>46022.792222222219</v>
      </c>
      <c r="BS2451" s="10" t="s">
        <v>4030</v>
      </c>
      <c r="BT2451" s="10"/>
      <c r="BU2451" s="10"/>
      <c r="BV2451" s="10"/>
      <c r="BW2451" s="10"/>
      <c r="BX2451" s="10"/>
      <c r="BY2451" s="23"/>
      <c r="BZ2451" s="23"/>
      <c r="CA2451" s="19" t="s">
        <v>18567</v>
      </c>
      <c r="CB2451" s="23"/>
      <c r="CC2451" s="23"/>
      <c r="CD2451" s="19" t="s">
        <v>18568</v>
      </c>
      <c r="CE2451" s="23"/>
      <c r="CF2451" s="23"/>
      <c r="CG2451" s="23"/>
      <c r="CH2451" s="23"/>
      <c r="CI2451" s="23"/>
    </row>
    <row r="2452" spans="1:87" x14ac:dyDescent="0.3">
      <c r="A2452" s="9" t="s">
        <v>18569</v>
      </c>
      <c r="B2452" s="10" t="s">
        <v>18570</v>
      </c>
      <c r="C2452" s="11">
        <v>46043.708333333336</v>
      </c>
      <c r="D2452" s="12">
        <v>8.3333333333333329E-2</v>
      </c>
      <c r="E2452" s="11">
        <v>46043.791666666664</v>
      </c>
      <c r="F2452" s="10" t="s">
        <v>16311</v>
      </c>
      <c r="G2452" s="13" t="b">
        <v>0</v>
      </c>
      <c r="H2452" s="22" t="s">
        <v>16312</v>
      </c>
      <c r="I2452" s="10" t="s">
        <v>212</v>
      </c>
      <c r="J2452" s="13" t="b">
        <v>1</v>
      </c>
      <c r="K2452" s="13" t="b">
        <v>0</v>
      </c>
      <c r="L2452" s="10" t="s">
        <v>124</v>
      </c>
      <c r="M2452" s="10" t="s">
        <v>91</v>
      </c>
      <c r="N2452" s="10" t="s">
        <v>92</v>
      </c>
      <c r="O2452" s="10"/>
      <c r="P2452" s="10"/>
      <c r="Q2452" s="10" t="s">
        <v>126</v>
      </c>
      <c r="R2452" s="10"/>
      <c r="S2452" s="10"/>
      <c r="T2452" s="10"/>
      <c r="U2452" s="10" t="s">
        <v>16329</v>
      </c>
      <c r="V2452" s="10" t="s">
        <v>18357</v>
      </c>
      <c r="W2452" s="10" t="s">
        <v>16317</v>
      </c>
      <c r="X2452" s="10" t="s">
        <v>16318</v>
      </c>
      <c r="Y2452" s="10" t="s">
        <v>16318</v>
      </c>
      <c r="Z2452" s="10" t="s">
        <v>99</v>
      </c>
      <c r="AA2452" s="10" t="s">
        <v>131</v>
      </c>
      <c r="AB2452" s="10" t="s">
        <v>16319</v>
      </c>
      <c r="AC2452" s="10"/>
      <c r="AD2452" s="10" t="s">
        <v>18571</v>
      </c>
      <c r="AE2452" s="10" t="s">
        <v>18572</v>
      </c>
      <c r="AF2452" s="15"/>
      <c r="AG2452" s="10"/>
      <c r="AH2452" s="10"/>
      <c r="AI2452" s="10"/>
      <c r="AJ2452" s="10"/>
      <c r="AK2452" s="10"/>
      <c r="AL2452" s="10"/>
      <c r="AM2452" s="10"/>
      <c r="AN2452" s="10"/>
      <c r="AO2452" s="13" t="b">
        <v>0</v>
      </c>
      <c r="AP2452" s="22" t="s">
        <v>104</v>
      </c>
      <c r="AQ2452" s="10"/>
      <c r="AR2452" s="17"/>
      <c r="AS2452" s="17"/>
      <c r="AT2452" s="17"/>
      <c r="AU2452" s="17"/>
      <c r="AV2452" s="17"/>
      <c r="AW2452" s="10"/>
      <c r="AX2452" s="17"/>
      <c r="AY2452" s="18" t="s">
        <v>257</v>
      </c>
      <c r="AZ2452" s="10"/>
      <c r="BA2452" s="20" t="b">
        <v>0</v>
      </c>
      <c r="BB2452" s="10"/>
      <c r="BC2452" s="17" t="s">
        <v>257</v>
      </c>
      <c r="BD2452" s="17" t="s">
        <v>257</v>
      </c>
      <c r="BE2452" s="17" t="s">
        <v>257</v>
      </c>
      <c r="BF2452" s="17" t="s">
        <v>257</v>
      </c>
      <c r="BG2452" s="11">
        <f ca="1">IFERROR(__xludf.DUMMYFUNCTION("""COMPUTED_VALUE"""),46043.7083333333)</f>
        <v>46043.708333333299</v>
      </c>
      <c r="BH2452" s="17"/>
      <c r="BI2452" s="17"/>
      <c r="BJ2452" s="15"/>
      <c r="BK2452" s="15"/>
      <c r="BL2452" s="13" t="b">
        <v>0</v>
      </c>
      <c r="BM2452" s="10"/>
      <c r="BN2452" s="10" t="s">
        <v>18456</v>
      </c>
      <c r="BO2452" s="11">
        <v>45958.428472222222</v>
      </c>
      <c r="BP2452" s="11">
        <v>45958.428819444445</v>
      </c>
      <c r="BQ2452" s="15"/>
      <c r="BR2452" s="15"/>
      <c r="BS2452" s="10"/>
      <c r="BT2452" s="10"/>
      <c r="BU2452" s="10"/>
      <c r="BV2452" s="10"/>
      <c r="BW2452" s="10"/>
      <c r="BX2452" s="10"/>
      <c r="BY2452" s="23"/>
      <c r="BZ2452" s="23"/>
      <c r="CA2452" s="23"/>
      <c r="CB2452" s="23"/>
      <c r="CC2452" s="23"/>
      <c r="CD2452" s="23"/>
      <c r="CE2452" s="23"/>
      <c r="CF2452" s="23"/>
      <c r="CG2452" s="23"/>
      <c r="CH2452" s="23"/>
      <c r="CI2452" s="23"/>
    </row>
    <row r="2453" spans="1:87" x14ac:dyDescent="0.3">
      <c r="A2453" s="9" t="s">
        <v>18573</v>
      </c>
      <c r="B2453" s="10" t="s">
        <v>18574</v>
      </c>
      <c r="C2453" s="11">
        <v>46029.791666666664</v>
      </c>
      <c r="D2453" s="12">
        <v>8.3333333333333329E-2</v>
      </c>
      <c r="E2453" s="11">
        <v>46029.875</v>
      </c>
      <c r="F2453" s="10" t="s">
        <v>16311</v>
      </c>
      <c r="G2453" s="13" t="b">
        <v>0</v>
      </c>
      <c r="H2453" s="22" t="s">
        <v>16312</v>
      </c>
      <c r="I2453" s="10" t="s">
        <v>212</v>
      </c>
      <c r="J2453" s="13" t="b">
        <v>1</v>
      </c>
      <c r="K2453" s="13" t="b">
        <v>0</v>
      </c>
      <c r="L2453" s="10" t="s">
        <v>124</v>
      </c>
      <c r="M2453" s="10" t="s">
        <v>91</v>
      </c>
      <c r="N2453" s="10" t="s">
        <v>92</v>
      </c>
      <c r="O2453" s="10"/>
      <c r="P2453" s="10"/>
      <c r="Q2453" s="10" t="s">
        <v>18205</v>
      </c>
      <c r="R2453" s="10"/>
      <c r="S2453" s="10"/>
      <c r="T2453" s="10"/>
      <c r="U2453" s="10" t="s">
        <v>18357</v>
      </c>
      <c r="V2453" s="10" t="s">
        <v>17265</v>
      </c>
      <c r="W2453" s="10" t="s">
        <v>16317</v>
      </c>
      <c r="X2453" s="10" t="s">
        <v>16318</v>
      </c>
      <c r="Y2453" s="10" t="s">
        <v>16318</v>
      </c>
      <c r="Z2453" s="10" t="s">
        <v>99</v>
      </c>
      <c r="AA2453" s="10" t="s">
        <v>131</v>
      </c>
      <c r="AB2453" s="10" t="s">
        <v>16319</v>
      </c>
      <c r="AC2453" s="10"/>
      <c r="AD2453" s="10" t="s">
        <v>18575</v>
      </c>
      <c r="AE2453" s="10" t="s">
        <v>18576</v>
      </c>
      <c r="AF2453" s="15"/>
      <c r="AG2453" s="10"/>
      <c r="AH2453" s="10"/>
      <c r="AI2453" s="10"/>
      <c r="AJ2453" s="10"/>
      <c r="AK2453" s="10" t="s">
        <v>256</v>
      </c>
      <c r="AL2453" s="10"/>
      <c r="AM2453" s="10"/>
      <c r="AN2453" s="10"/>
      <c r="AO2453" s="13" t="b">
        <v>0</v>
      </c>
      <c r="AP2453" s="22" t="s">
        <v>104</v>
      </c>
      <c r="AQ2453" s="10"/>
      <c r="AR2453" s="17"/>
      <c r="AS2453" s="17"/>
      <c r="AT2453" s="17"/>
      <c r="AU2453" s="17"/>
      <c r="AV2453" s="17"/>
      <c r="AW2453" s="10"/>
      <c r="AX2453" s="17"/>
      <c r="AY2453" s="18" t="s">
        <v>257</v>
      </c>
      <c r="AZ2453" s="10"/>
      <c r="BA2453" s="20" t="b">
        <v>0</v>
      </c>
      <c r="BB2453" s="10"/>
      <c r="BC2453" s="17" t="s">
        <v>257</v>
      </c>
      <c r="BD2453" s="17" t="s">
        <v>257</v>
      </c>
      <c r="BE2453" s="17" t="s">
        <v>257</v>
      </c>
      <c r="BF2453" s="17" t="s">
        <v>257</v>
      </c>
      <c r="BG2453" s="11">
        <f ca="1">IFERROR(__xludf.DUMMYFUNCTION("""COMPUTED_VALUE"""),46029.7916666666)</f>
        <v>46029.791666666599</v>
      </c>
      <c r="BH2453" s="17"/>
      <c r="BI2453" s="17"/>
      <c r="BJ2453" s="15"/>
      <c r="BK2453" s="15"/>
      <c r="BL2453" s="13" t="b">
        <v>0</v>
      </c>
      <c r="BM2453" s="10"/>
      <c r="BN2453" s="10" t="s">
        <v>18577</v>
      </c>
      <c r="BO2453" s="11">
        <v>45958.424305555556</v>
      </c>
      <c r="BP2453" s="11">
        <v>45960.492280092592</v>
      </c>
      <c r="BQ2453" s="15"/>
      <c r="BR2453" s="15"/>
      <c r="BS2453" s="10"/>
      <c r="BT2453" s="10"/>
      <c r="BU2453" s="10"/>
      <c r="BV2453" s="10"/>
      <c r="BW2453" s="10"/>
      <c r="BX2453" s="10"/>
      <c r="BY2453" s="23"/>
      <c r="BZ2453" s="23"/>
      <c r="CA2453" s="23"/>
      <c r="CB2453" s="23"/>
      <c r="CC2453" s="23"/>
      <c r="CD2453" s="23"/>
      <c r="CE2453" s="23"/>
      <c r="CF2453" s="23"/>
      <c r="CG2453" s="23"/>
      <c r="CH2453" s="23"/>
      <c r="CI2453" s="23"/>
    </row>
    <row r="2454" spans="1:87" x14ac:dyDescent="0.3">
      <c r="A2454" s="9" t="s">
        <v>18578</v>
      </c>
      <c r="B2454" s="10" t="s">
        <v>18574</v>
      </c>
      <c r="C2454" s="11">
        <v>46029.791666666664</v>
      </c>
      <c r="D2454" s="12">
        <v>8.3333333333333329E-2</v>
      </c>
      <c r="E2454" s="11">
        <v>46029.875</v>
      </c>
      <c r="F2454" s="10" t="s">
        <v>16311</v>
      </c>
      <c r="G2454" s="13" t="b">
        <v>0</v>
      </c>
      <c r="H2454" s="22" t="s">
        <v>16312</v>
      </c>
      <c r="I2454" s="10" t="s">
        <v>212</v>
      </c>
      <c r="J2454" s="13" t="b">
        <v>1</v>
      </c>
      <c r="K2454" s="13" t="b">
        <v>0</v>
      </c>
      <c r="L2454" s="10" t="s">
        <v>124</v>
      </c>
      <c r="M2454" s="10" t="s">
        <v>91</v>
      </c>
      <c r="N2454" s="10" t="s">
        <v>92</v>
      </c>
      <c r="O2454" s="19" t="s">
        <v>18579</v>
      </c>
      <c r="P2454" s="10"/>
      <c r="Q2454" s="10" t="s">
        <v>126</v>
      </c>
      <c r="R2454" s="10"/>
      <c r="S2454" s="19" t="s">
        <v>18580</v>
      </c>
      <c r="T2454" s="10"/>
      <c r="U2454" s="10" t="s">
        <v>18357</v>
      </c>
      <c r="V2454" s="10" t="s">
        <v>17265</v>
      </c>
      <c r="W2454" s="10" t="s">
        <v>16317</v>
      </c>
      <c r="X2454" s="10" t="s">
        <v>16318</v>
      </c>
      <c r="Y2454" s="10" t="s">
        <v>16318</v>
      </c>
      <c r="Z2454" s="10" t="s">
        <v>99</v>
      </c>
      <c r="AA2454" s="10" t="s">
        <v>131</v>
      </c>
      <c r="AB2454" s="10" t="s">
        <v>16319</v>
      </c>
      <c r="AC2454" s="10"/>
      <c r="AD2454" s="10" t="s">
        <v>18575</v>
      </c>
      <c r="AE2454" s="10" t="s">
        <v>18576</v>
      </c>
      <c r="AF2454" s="15"/>
      <c r="AG2454" s="10"/>
      <c r="AH2454" s="10"/>
      <c r="AI2454" s="10"/>
      <c r="AJ2454" s="10"/>
      <c r="AK2454" s="10" t="s">
        <v>102</v>
      </c>
      <c r="AL2454" s="10"/>
      <c r="AM2454" s="10"/>
      <c r="AN2454" s="10"/>
      <c r="AO2454" s="13" t="b">
        <v>0</v>
      </c>
      <c r="AP2454" s="22" t="s">
        <v>104</v>
      </c>
      <c r="AQ2454" s="10">
        <f ca="1">IFERROR(__xludf.DUMMYFUNCTION("""COMPUTED_VALUE"""),4827850)</f>
        <v>4827850</v>
      </c>
      <c r="AR2454" s="17">
        <v>4798</v>
      </c>
      <c r="AS2454" s="17">
        <v>4223</v>
      </c>
      <c r="AT2454" s="17">
        <v>23056</v>
      </c>
      <c r="AU2454" s="17">
        <v>5.2</v>
      </c>
      <c r="AV2454" s="17">
        <v>0.25</v>
      </c>
      <c r="AW2454" s="10" t="s">
        <v>105</v>
      </c>
      <c r="AX2454" s="17">
        <v>455</v>
      </c>
      <c r="AY2454" s="18">
        <v>5.4596258583945065</v>
      </c>
      <c r="AZ2454" s="10" t="s">
        <v>117</v>
      </c>
      <c r="BA2454" s="20" t="b">
        <v>0</v>
      </c>
      <c r="BB2454" s="10"/>
      <c r="BC2454" s="17">
        <v>4798</v>
      </c>
      <c r="BD2454" s="17">
        <v>4223</v>
      </c>
      <c r="BE2454" s="17">
        <v>23056</v>
      </c>
      <c r="BF2454" s="17">
        <v>0.25</v>
      </c>
      <c r="BG2454" s="11">
        <f ca="1">IFERROR(__xludf.DUMMYFUNCTION("""COMPUTED_VALUE"""),46029.7916666666)</f>
        <v>46029.791666666599</v>
      </c>
      <c r="BH2454" s="17" t="s">
        <v>105</v>
      </c>
      <c r="BI2454" s="17"/>
      <c r="BJ2454" s="15"/>
      <c r="BK2454" s="15"/>
      <c r="BL2454" s="13" t="b">
        <v>0</v>
      </c>
      <c r="BM2454" s="10"/>
      <c r="BN2454" s="10" t="s">
        <v>149</v>
      </c>
      <c r="BO2454" s="11">
        <v>45958.431250000001</v>
      </c>
      <c r="BP2454" s="11">
        <v>45958.431817129633</v>
      </c>
      <c r="BQ2454" s="15">
        <v>46013.894131944442</v>
      </c>
      <c r="BR2454" s="15">
        <v>46026.604212962964</v>
      </c>
      <c r="BS2454" s="10" t="s">
        <v>149</v>
      </c>
      <c r="BT2454" s="10"/>
      <c r="BU2454" s="10"/>
      <c r="BV2454" s="10"/>
      <c r="BW2454" s="10"/>
      <c r="BX2454" s="10"/>
      <c r="BY2454" s="23"/>
      <c r="BZ2454" s="23"/>
      <c r="CA2454" s="19" t="s">
        <v>18581</v>
      </c>
      <c r="CB2454" s="23"/>
      <c r="CC2454" s="23"/>
      <c r="CD2454" s="19" t="s">
        <v>18582</v>
      </c>
      <c r="CE2454" s="23"/>
      <c r="CF2454" s="23"/>
      <c r="CG2454" s="23"/>
      <c r="CH2454" s="23"/>
      <c r="CI2454" s="23"/>
    </row>
    <row r="2455" spans="1:87" x14ac:dyDescent="0.3">
      <c r="A2455" s="9" t="s">
        <v>18583</v>
      </c>
      <c r="B2455" s="10" t="s">
        <v>18584</v>
      </c>
      <c r="C2455" s="11">
        <v>46018.5625</v>
      </c>
      <c r="D2455" s="12">
        <v>8.3333333333333329E-2</v>
      </c>
      <c r="E2455" s="11">
        <v>46018.645833333336</v>
      </c>
      <c r="F2455" s="10" t="s">
        <v>14786</v>
      </c>
      <c r="G2455" s="13" t="b">
        <v>0</v>
      </c>
      <c r="H2455" s="22" t="s">
        <v>14787</v>
      </c>
      <c r="I2455" s="10" t="s">
        <v>3548</v>
      </c>
      <c r="J2455" s="13" t="b">
        <v>0</v>
      </c>
      <c r="K2455" s="13" t="b">
        <v>1</v>
      </c>
      <c r="L2455" s="10" t="s">
        <v>124</v>
      </c>
      <c r="M2455" s="10" t="s">
        <v>91</v>
      </c>
      <c r="N2455" s="10" t="s">
        <v>92</v>
      </c>
      <c r="O2455" s="19" t="s">
        <v>18585</v>
      </c>
      <c r="P2455" s="10"/>
      <c r="Q2455" s="10" t="s">
        <v>126</v>
      </c>
      <c r="R2455" s="10"/>
      <c r="S2455" s="19" t="s">
        <v>18586</v>
      </c>
      <c r="T2455" s="10"/>
      <c r="U2455" s="10" t="s">
        <v>14871</v>
      </c>
      <c r="V2455" s="10" t="s">
        <v>14837</v>
      </c>
      <c r="W2455" s="10" t="s">
        <v>14793</v>
      </c>
      <c r="X2455" s="10" t="s">
        <v>130</v>
      </c>
      <c r="Y2455" s="10" t="s">
        <v>130</v>
      </c>
      <c r="Z2455" s="10" t="s">
        <v>99</v>
      </c>
      <c r="AA2455" s="10" t="s">
        <v>131</v>
      </c>
      <c r="AB2455" s="10" t="s">
        <v>14794</v>
      </c>
      <c r="AC2455" s="10" t="s">
        <v>3521</v>
      </c>
      <c r="AD2455" s="10" t="s">
        <v>18587</v>
      </c>
      <c r="AE2455" s="10" t="s">
        <v>18588</v>
      </c>
      <c r="AF2455" s="15"/>
      <c r="AG2455" s="10"/>
      <c r="AH2455" s="10"/>
      <c r="AI2455" s="10"/>
      <c r="AJ2455" s="10"/>
      <c r="AK2455" s="10" t="s">
        <v>102</v>
      </c>
      <c r="AL2455" s="10" t="s">
        <v>1569</v>
      </c>
      <c r="AM2455" s="10"/>
      <c r="AN2455" s="10"/>
      <c r="AO2455" s="13" t="b">
        <v>1</v>
      </c>
      <c r="AP2455" s="22" t="s">
        <v>104</v>
      </c>
      <c r="AQ2455" s="10">
        <f ca="1">IFERROR(__xludf.DUMMYFUNCTION("""COMPUTED_VALUE"""),4790742)</f>
        <v>4790742</v>
      </c>
      <c r="AR2455" s="17">
        <v>42604</v>
      </c>
      <c r="AS2455" s="17">
        <v>27963</v>
      </c>
      <c r="AT2455" s="17">
        <v>728618.75</v>
      </c>
      <c r="AU2455" s="17">
        <v>1130.3499999999999</v>
      </c>
      <c r="AV2455" s="17">
        <v>180.5</v>
      </c>
      <c r="AW2455" s="10" t="s">
        <v>105</v>
      </c>
      <c r="AX2455" s="17">
        <v>10648</v>
      </c>
      <c r="AY2455" s="18">
        <v>26.056530057576083</v>
      </c>
      <c r="AZ2455" s="10" t="s">
        <v>106</v>
      </c>
      <c r="BA2455" s="20" t="b">
        <v>0</v>
      </c>
      <c r="BB2455" s="10"/>
      <c r="BC2455" s="17">
        <v>42604</v>
      </c>
      <c r="BD2455" s="17">
        <v>27963</v>
      </c>
      <c r="BE2455" s="17">
        <v>728618.75</v>
      </c>
      <c r="BF2455" s="17">
        <v>180.5</v>
      </c>
      <c r="BG2455" s="11">
        <f ca="1">IFERROR(__xludf.DUMMYFUNCTION("""COMPUTED_VALUE"""),46018.5625)</f>
        <v>46018.5625</v>
      </c>
      <c r="BH2455" s="17" t="s">
        <v>105</v>
      </c>
      <c r="BI2455" s="17"/>
      <c r="BJ2455" s="15"/>
      <c r="BK2455" s="15"/>
      <c r="BL2455" s="13" t="b">
        <v>0</v>
      </c>
      <c r="BM2455" s="10"/>
      <c r="BN2455" s="10" t="s">
        <v>278</v>
      </c>
      <c r="BO2455" s="11">
        <v>45958.479861111111</v>
      </c>
      <c r="BP2455" s="11">
        <v>45964.613483796296</v>
      </c>
      <c r="BQ2455" s="15">
        <v>46016.872465277775</v>
      </c>
      <c r="BR2455" s="15">
        <v>46013.46603009259</v>
      </c>
      <c r="BS2455" s="10" t="s">
        <v>278</v>
      </c>
      <c r="BT2455" s="10" t="s">
        <v>279</v>
      </c>
      <c r="BU2455" s="10" t="s">
        <v>298</v>
      </c>
      <c r="BV2455" s="10"/>
      <c r="BW2455" s="10"/>
      <c r="BX2455" s="10"/>
      <c r="BY2455" s="23"/>
      <c r="BZ2455" s="23"/>
      <c r="CA2455" s="19" t="s">
        <v>18589</v>
      </c>
      <c r="CB2455" s="19" t="s">
        <v>18590</v>
      </c>
      <c r="CC2455" s="23"/>
      <c r="CD2455" s="19" t="s">
        <v>18591</v>
      </c>
      <c r="CE2455" s="23"/>
      <c r="CF2455" s="23"/>
      <c r="CG2455" s="23"/>
      <c r="CH2455" s="23"/>
      <c r="CI2455" s="23"/>
    </row>
    <row r="2456" spans="1:87" x14ac:dyDescent="0.3">
      <c r="A2456" s="9" t="s">
        <v>18592</v>
      </c>
      <c r="B2456" s="10" t="s">
        <v>18593</v>
      </c>
      <c r="C2456" s="11">
        <v>46018.645833333336</v>
      </c>
      <c r="D2456" s="12">
        <v>8.3333333333333329E-2</v>
      </c>
      <c r="E2456" s="11">
        <v>46018.729166666664</v>
      </c>
      <c r="F2456" s="10" t="s">
        <v>14786</v>
      </c>
      <c r="G2456" s="13" t="b">
        <v>0</v>
      </c>
      <c r="H2456" s="22" t="s">
        <v>14787</v>
      </c>
      <c r="I2456" s="10" t="s">
        <v>212</v>
      </c>
      <c r="J2456" s="13" t="b">
        <v>1</v>
      </c>
      <c r="K2456" s="13" t="b">
        <v>0</v>
      </c>
      <c r="L2456" s="10" t="s">
        <v>124</v>
      </c>
      <c r="M2456" s="10" t="s">
        <v>91</v>
      </c>
      <c r="N2456" s="10" t="s">
        <v>92</v>
      </c>
      <c r="O2456" s="19" t="s">
        <v>18594</v>
      </c>
      <c r="P2456" s="10"/>
      <c r="Q2456" s="10" t="s">
        <v>126</v>
      </c>
      <c r="R2456" s="10"/>
      <c r="S2456" s="19" t="s">
        <v>18595</v>
      </c>
      <c r="T2456" s="10"/>
      <c r="U2456" s="10" t="s">
        <v>14893</v>
      </c>
      <c r="V2456" s="10" t="s">
        <v>14805</v>
      </c>
      <c r="W2456" s="10" t="s">
        <v>14793</v>
      </c>
      <c r="X2456" s="10" t="s">
        <v>130</v>
      </c>
      <c r="Y2456" s="10" t="s">
        <v>130</v>
      </c>
      <c r="Z2456" s="10" t="s">
        <v>99</v>
      </c>
      <c r="AA2456" s="10" t="s">
        <v>131</v>
      </c>
      <c r="AB2456" s="10" t="s">
        <v>14794</v>
      </c>
      <c r="AC2456" s="10" t="s">
        <v>3521</v>
      </c>
      <c r="AD2456" s="10" t="s">
        <v>18596</v>
      </c>
      <c r="AE2456" s="10" t="s">
        <v>18597</v>
      </c>
      <c r="AF2456" s="15"/>
      <c r="AG2456" s="10"/>
      <c r="AH2456" s="10"/>
      <c r="AI2456" s="10"/>
      <c r="AJ2456" s="10"/>
      <c r="AK2456" s="10" t="s">
        <v>102</v>
      </c>
      <c r="AL2456" s="10" t="s">
        <v>1569</v>
      </c>
      <c r="AM2456" s="10"/>
      <c r="AN2456" s="10"/>
      <c r="AO2456" s="13" t="b">
        <v>0</v>
      </c>
      <c r="AP2456" s="22" t="s">
        <v>104</v>
      </c>
      <c r="AQ2456" s="10">
        <f ca="1">IFERROR(__xludf.DUMMYFUNCTION("""COMPUTED_VALUE"""),4790743)</f>
        <v>4790743</v>
      </c>
      <c r="AR2456" s="17">
        <v>25028</v>
      </c>
      <c r="AS2456" s="17">
        <v>15724</v>
      </c>
      <c r="AT2456" s="17">
        <v>209047.25</v>
      </c>
      <c r="AU2456" s="17">
        <v>54.5</v>
      </c>
      <c r="AV2456" s="17">
        <v>6.35</v>
      </c>
      <c r="AW2456" s="10" t="s">
        <v>105</v>
      </c>
      <c r="AX2456" s="17">
        <v>5114</v>
      </c>
      <c r="AY2456" s="18">
        <v>13.294788221826508</v>
      </c>
      <c r="AZ2456" s="10" t="s">
        <v>106</v>
      </c>
      <c r="BA2456" s="20" t="b">
        <v>0</v>
      </c>
      <c r="BB2456" s="10"/>
      <c r="BC2456" s="17">
        <v>25028</v>
      </c>
      <c r="BD2456" s="17">
        <v>15724</v>
      </c>
      <c r="BE2456" s="17">
        <v>209047.25</v>
      </c>
      <c r="BF2456" s="17">
        <v>6.35</v>
      </c>
      <c r="BG2456" s="11">
        <f ca="1">IFERROR(__xludf.DUMMYFUNCTION("""COMPUTED_VALUE"""),46018.6458333333)</f>
        <v>46018.645833333299</v>
      </c>
      <c r="BH2456" s="17" t="s">
        <v>105</v>
      </c>
      <c r="BI2456" s="17"/>
      <c r="BJ2456" s="15"/>
      <c r="BK2456" s="15"/>
      <c r="BL2456" s="13" t="b">
        <v>0</v>
      </c>
      <c r="BM2456" s="10"/>
      <c r="BN2456" s="10" t="s">
        <v>278</v>
      </c>
      <c r="BO2456" s="11">
        <v>45958.480555555558</v>
      </c>
      <c r="BP2456" s="11">
        <v>45964.613553240742</v>
      </c>
      <c r="BQ2456" s="15">
        <v>46016.872743055559</v>
      </c>
      <c r="BR2456" s="15">
        <v>46013.466203703705</v>
      </c>
      <c r="BS2456" s="10" t="s">
        <v>278</v>
      </c>
      <c r="BT2456" s="10" t="s">
        <v>279</v>
      </c>
      <c r="BU2456" s="10" t="s">
        <v>280</v>
      </c>
      <c r="BV2456" s="10"/>
      <c r="BW2456" s="10"/>
      <c r="BX2456" s="10"/>
      <c r="BY2456" s="23"/>
      <c r="BZ2456" s="23"/>
      <c r="CA2456" s="19" t="s">
        <v>18598</v>
      </c>
      <c r="CB2456" s="19" t="s">
        <v>18599</v>
      </c>
      <c r="CC2456" s="23"/>
      <c r="CD2456" s="19" t="s">
        <v>18600</v>
      </c>
      <c r="CE2456" s="23"/>
      <c r="CF2456" s="23"/>
      <c r="CG2456" s="23"/>
      <c r="CH2456" s="23"/>
      <c r="CI2456" s="23"/>
    </row>
    <row r="2457" spans="1:87" x14ac:dyDescent="0.3">
      <c r="A2457" s="9" t="s">
        <v>18601</v>
      </c>
      <c r="B2457" s="10" t="s">
        <v>18602</v>
      </c>
      <c r="C2457" s="11">
        <v>46018.645833333336</v>
      </c>
      <c r="D2457" s="12">
        <v>8.3333333333333329E-2</v>
      </c>
      <c r="E2457" s="11">
        <v>46018.729166666664</v>
      </c>
      <c r="F2457" s="10" t="s">
        <v>14786</v>
      </c>
      <c r="G2457" s="13" t="b">
        <v>0</v>
      </c>
      <c r="H2457" s="22" t="s">
        <v>14787</v>
      </c>
      <c r="I2457" s="10" t="s">
        <v>212</v>
      </c>
      <c r="J2457" s="13" t="b">
        <v>1</v>
      </c>
      <c r="K2457" s="13" t="b">
        <v>0</v>
      </c>
      <c r="L2457" s="10" t="s">
        <v>124</v>
      </c>
      <c r="M2457" s="10" t="s">
        <v>91</v>
      </c>
      <c r="N2457" s="10" t="s">
        <v>92</v>
      </c>
      <c r="O2457" s="19" t="s">
        <v>18603</v>
      </c>
      <c r="P2457" s="10"/>
      <c r="Q2457" s="10" t="s">
        <v>126</v>
      </c>
      <c r="R2457" s="10"/>
      <c r="S2457" s="19" t="s">
        <v>18604</v>
      </c>
      <c r="T2457" s="10"/>
      <c r="U2457" s="10" t="s">
        <v>14815</v>
      </c>
      <c r="V2457" s="10" t="s">
        <v>14804</v>
      </c>
      <c r="W2457" s="10" t="s">
        <v>14793</v>
      </c>
      <c r="X2457" s="10" t="s">
        <v>130</v>
      </c>
      <c r="Y2457" s="10" t="s">
        <v>130</v>
      </c>
      <c r="Z2457" s="10" t="s">
        <v>99</v>
      </c>
      <c r="AA2457" s="10" t="s">
        <v>131</v>
      </c>
      <c r="AB2457" s="10" t="s">
        <v>14794</v>
      </c>
      <c r="AC2457" s="10" t="s">
        <v>3521</v>
      </c>
      <c r="AD2457" s="10" t="s">
        <v>18605</v>
      </c>
      <c r="AE2457" s="10" t="s">
        <v>18606</v>
      </c>
      <c r="AF2457" s="15"/>
      <c r="AG2457" s="10"/>
      <c r="AH2457" s="10"/>
      <c r="AI2457" s="10"/>
      <c r="AJ2457" s="10"/>
      <c r="AK2457" s="10" t="s">
        <v>102</v>
      </c>
      <c r="AL2457" s="10" t="s">
        <v>1569</v>
      </c>
      <c r="AM2457" s="10"/>
      <c r="AN2457" s="10"/>
      <c r="AO2457" s="13" t="b">
        <v>0</v>
      </c>
      <c r="AP2457" s="22" t="s">
        <v>104</v>
      </c>
      <c r="AQ2457" s="10">
        <f ca="1">IFERROR(__xludf.DUMMYFUNCTION("""COMPUTED_VALUE"""),4795163)</f>
        <v>4795163</v>
      </c>
      <c r="AR2457" s="17">
        <v>45256</v>
      </c>
      <c r="AS2457" s="17">
        <v>25559</v>
      </c>
      <c r="AT2457" s="17">
        <v>533549.5</v>
      </c>
      <c r="AU2457" s="17">
        <v>185.4</v>
      </c>
      <c r="AV2457" s="17">
        <v>18.2</v>
      </c>
      <c r="AW2457" s="10" t="s">
        <v>105</v>
      </c>
      <c r="AX2457" s="17">
        <v>7555</v>
      </c>
      <c r="AY2457" s="18">
        <v>20.875210297742477</v>
      </c>
      <c r="AZ2457" s="10" t="s">
        <v>106</v>
      </c>
      <c r="BA2457" s="20" t="b">
        <v>0</v>
      </c>
      <c r="BB2457" s="10"/>
      <c r="BC2457" s="17">
        <v>45256</v>
      </c>
      <c r="BD2457" s="17">
        <v>25559</v>
      </c>
      <c r="BE2457" s="17">
        <v>533549.5</v>
      </c>
      <c r="BF2457" s="17">
        <v>18.2</v>
      </c>
      <c r="BG2457" s="11">
        <f ca="1">IFERROR(__xludf.DUMMYFUNCTION("""COMPUTED_VALUE"""),46018.6458333333)</f>
        <v>46018.645833333299</v>
      </c>
      <c r="BH2457" s="17" t="s">
        <v>105</v>
      </c>
      <c r="BI2457" s="17"/>
      <c r="BJ2457" s="15"/>
      <c r="BK2457" s="15"/>
      <c r="BL2457" s="13" t="b">
        <v>0</v>
      </c>
      <c r="BM2457" s="10"/>
      <c r="BN2457" s="10" t="s">
        <v>278</v>
      </c>
      <c r="BO2457" s="11">
        <v>45958.481249999997</v>
      </c>
      <c r="BP2457" s="11">
        <v>45964.613749999997</v>
      </c>
      <c r="BQ2457" s="15">
        <v>46016.872939814813</v>
      </c>
      <c r="BR2457" s="15">
        <v>46017.038969907408</v>
      </c>
      <c r="BS2457" s="10" t="s">
        <v>278</v>
      </c>
      <c r="BT2457" s="10" t="s">
        <v>279</v>
      </c>
      <c r="BU2457" s="10" t="s">
        <v>421</v>
      </c>
      <c r="BV2457" s="10"/>
      <c r="BW2457" s="10"/>
      <c r="BX2457" s="10"/>
      <c r="BY2457" s="23"/>
      <c r="BZ2457" s="23"/>
      <c r="CA2457" s="19" t="s">
        <v>18607</v>
      </c>
      <c r="CB2457" s="19" t="s">
        <v>18608</v>
      </c>
      <c r="CC2457" s="23"/>
      <c r="CD2457" s="19" t="s">
        <v>18609</v>
      </c>
      <c r="CE2457" s="23"/>
      <c r="CF2457" s="23"/>
      <c r="CG2457" s="23"/>
      <c r="CH2457" s="23"/>
      <c r="CI2457" s="23"/>
    </row>
    <row r="2458" spans="1:87" x14ac:dyDescent="0.3">
      <c r="A2458" s="9" t="s">
        <v>18610</v>
      </c>
      <c r="B2458" s="10" t="s">
        <v>18611</v>
      </c>
      <c r="C2458" s="11">
        <v>46018.791666666664</v>
      </c>
      <c r="D2458" s="12">
        <v>8.3333333333333329E-2</v>
      </c>
      <c r="E2458" s="11">
        <v>46018.875</v>
      </c>
      <c r="F2458" s="10" t="s">
        <v>14786</v>
      </c>
      <c r="G2458" s="13" t="b">
        <v>0</v>
      </c>
      <c r="H2458" s="22" t="s">
        <v>14787</v>
      </c>
      <c r="I2458" s="10" t="s">
        <v>212</v>
      </c>
      <c r="J2458" s="13" t="b">
        <v>1</v>
      </c>
      <c r="K2458" s="13" t="b">
        <v>0</v>
      </c>
      <c r="L2458" s="10" t="s">
        <v>124</v>
      </c>
      <c r="M2458" s="10" t="s">
        <v>91</v>
      </c>
      <c r="N2458" s="10" t="s">
        <v>92</v>
      </c>
      <c r="O2458" s="19" t="s">
        <v>18612</v>
      </c>
      <c r="P2458" s="10"/>
      <c r="Q2458" s="10" t="s">
        <v>126</v>
      </c>
      <c r="R2458" s="10"/>
      <c r="S2458" s="19" t="s">
        <v>18613</v>
      </c>
      <c r="T2458" s="10"/>
      <c r="U2458" s="10" t="s">
        <v>14792</v>
      </c>
      <c r="V2458" s="10" t="s">
        <v>14881</v>
      </c>
      <c r="W2458" s="10" t="s">
        <v>14793</v>
      </c>
      <c r="X2458" s="10" t="s">
        <v>130</v>
      </c>
      <c r="Y2458" s="10" t="s">
        <v>130</v>
      </c>
      <c r="Z2458" s="10" t="s">
        <v>99</v>
      </c>
      <c r="AA2458" s="10" t="s">
        <v>131</v>
      </c>
      <c r="AB2458" s="10" t="s">
        <v>14794</v>
      </c>
      <c r="AC2458" s="10" t="s">
        <v>3521</v>
      </c>
      <c r="AD2458" s="10" t="s">
        <v>18614</v>
      </c>
      <c r="AE2458" s="10" t="s">
        <v>18615</v>
      </c>
      <c r="AF2458" s="15"/>
      <c r="AG2458" s="10"/>
      <c r="AH2458" s="10"/>
      <c r="AI2458" s="10"/>
      <c r="AJ2458" s="10"/>
      <c r="AK2458" s="10" t="s">
        <v>102</v>
      </c>
      <c r="AL2458" s="10" t="s">
        <v>1569</v>
      </c>
      <c r="AM2458" s="10"/>
      <c r="AN2458" s="10"/>
      <c r="AO2458" s="13" t="b">
        <v>0</v>
      </c>
      <c r="AP2458" s="22" t="s">
        <v>104</v>
      </c>
      <c r="AQ2458" s="10">
        <f ca="1">IFERROR(__xludf.DUMMYFUNCTION("""COMPUTED_VALUE"""),4790744)</f>
        <v>4790744</v>
      </c>
      <c r="AR2458" s="17">
        <v>26164</v>
      </c>
      <c r="AS2458" s="17">
        <v>14298</v>
      </c>
      <c r="AT2458" s="17">
        <v>270398.75</v>
      </c>
      <c r="AU2458" s="17">
        <v>119.1</v>
      </c>
      <c r="AV2458" s="17">
        <v>13.55</v>
      </c>
      <c r="AW2458" s="10" t="s">
        <v>105</v>
      </c>
      <c r="AX2458" s="17">
        <v>4795</v>
      </c>
      <c r="AY2458" s="18">
        <v>18.911648482305218</v>
      </c>
      <c r="AZ2458" s="10" t="s">
        <v>106</v>
      </c>
      <c r="BA2458" s="20" t="b">
        <v>0</v>
      </c>
      <c r="BB2458" s="10"/>
      <c r="BC2458" s="17">
        <v>26164</v>
      </c>
      <c r="BD2458" s="17">
        <v>14298</v>
      </c>
      <c r="BE2458" s="17">
        <v>270398.75</v>
      </c>
      <c r="BF2458" s="17">
        <v>13.55</v>
      </c>
      <c r="BG2458" s="11">
        <f ca="1">IFERROR(__xludf.DUMMYFUNCTION("""COMPUTED_VALUE"""),46018.7916666666)</f>
        <v>46018.791666666599</v>
      </c>
      <c r="BH2458" s="17" t="s">
        <v>105</v>
      </c>
      <c r="BI2458" s="17"/>
      <c r="BJ2458" s="15"/>
      <c r="BK2458" s="15"/>
      <c r="BL2458" s="13" t="b">
        <v>0</v>
      </c>
      <c r="BM2458" s="10"/>
      <c r="BN2458" s="10" t="s">
        <v>137</v>
      </c>
      <c r="BO2458" s="11">
        <v>45958.481944444444</v>
      </c>
      <c r="BP2458" s="11">
        <v>46009.515462962961</v>
      </c>
      <c r="BQ2458" s="15">
        <v>46016.873506944445</v>
      </c>
      <c r="BR2458" s="15">
        <v>46013.46675925926</v>
      </c>
      <c r="BS2458" s="10" t="s">
        <v>137</v>
      </c>
      <c r="BT2458" s="10" t="s">
        <v>279</v>
      </c>
      <c r="BU2458" s="10" t="s">
        <v>421</v>
      </c>
      <c r="BV2458" s="10"/>
      <c r="BW2458" s="10"/>
      <c r="BX2458" s="10"/>
      <c r="BY2458" s="23"/>
      <c r="BZ2458" s="23"/>
      <c r="CA2458" s="19" t="s">
        <v>18616</v>
      </c>
      <c r="CB2458" s="19" t="s">
        <v>18617</v>
      </c>
      <c r="CC2458" s="23"/>
      <c r="CD2458" s="19" t="s">
        <v>18618</v>
      </c>
      <c r="CE2458" s="23"/>
      <c r="CF2458" s="23"/>
      <c r="CG2458" s="23"/>
      <c r="CH2458" s="23"/>
      <c r="CI2458" s="23"/>
    </row>
    <row r="2459" spans="1:87" x14ac:dyDescent="0.3">
      <c r="A2459" s="9" t="s">
        <v>18619</v>
      </c>
      <c r="B2459" s="10" t="s">
        <v>18620</v>
      </c>
      <c r="C2459" s="11">
        <v>46018.791666666664</v>
      </c>
      <c r="D2459" s="12">
        <v>8.3333333333333329E-2</v>
      </c>
      <c r="E2459" s="11">
        <v>46018.875</v>
      </c>
      <c r="F2459" s="10" t="s">
        <v>14786</v>
      </c>
      <c r="G2459" s="13" t="b">
        <v>0</v>
      </c>
      <c r="H2459" s="22" t="s">
        <v>14787</v>
      </c>
      <c r="I2459" s="10" t="s">
        <v>3548</v>
      </c>
      <c r="J2459" s="13" t="b">
        <v>0</v>
      </c>
      <c r="K2459" s="13" t="b">
        <v>1</v>
      </c>
      <c r="L2459" s="10" t="s">
        <v>124</v>
      </c>
      <c r="M2459" s="10" t="s">
        <v>91</v>
      </c>
      <c r="N2459" s="10" t="s">
        <v>92</v>
      </c>
      <c r="O2459" s="19" t="s">
        <v>18621</v>
      </c>
      <c r="P2459" s="10"/>
      <c r="Q2459" s="10" t="s">
        <v>126</v>
      </c>
      <c r="R2459" s="10"/>
      <c r="S2459" s="19" t="s">
        <v>18622</v>
      </c>
      <c r="T2459" s="10"/>
      <c r="U2459" s="10" t="s">
        <v>14859</v>
      </c>
      <c r="V2459" s="10" t="s">
        <v>14826</v>
      </c>
      <c r="W2459" s="10" t="s">
        <v>14793</v>
      </c>
      <c r="X2459" s="10" t="s">
        <v>130</v>
      </c>
      <c r="Y2459" s="10" t="s">
        <v>130</v>
      </c>
      <c r="Z2459" s="10" t="s">
        <v>99</v>
      </c>
      <c r="AA2459" s="10" t="s">
        <v>131</v>
      </c>
      <c r="AB2459" s="10" t="s">
        <v>14794</v>
      </c>
      <c r="AC2459" s="10" t="s">
        <v>3521</v>
      </c>
      <c r="AD2459" s="10" t="s">
        <v>18623</v>
      </c>
      <c r="AE2459" s="10" t="s">
        <v>18624</v>
      </c>
      <c r="AF2459" s="15"/>
      <c r="AG2459" s="10"/>
      <c r="AH2459" s="10"/>
      <c r="AI2459" s="10"/>
      <c r="AJ2459" s="10"/>
      <c r="AK2459" s="10" t="s">
        <v>102</v>
      </c>
      <c r="AL2459" s="10" t="s">
        <v>1569</v>
      </c>
      <c r="AM2459" s="10"/>
      <c r="AN2459" s="10"/>
      <c r="AO2459" s="13" t="b">
        <v>1</v>
      </c>
      <c r="AP2459" s="22" t="s">
        <v>104</v>
      </c>
      <c r="AQ2459" s="10">
        <f ca="1">IFERROR(__xludf.DUMMYFUNCTION("""COMPUTED_VALUE"""),4795161)</f>
        <v>4795161</v>
      </c>
      <c r="AR2459" s="17">
        <v>37318</v>
      </c>
      <c r="AS2459" s="17">
        <v>22854</v>
      </c>
      <c r="AT2459" s="17">
        <v>397567</v>
      </c>
      <c r="AU2459" s="17">
        <v>750</v>
      </c>
      <c r="AV2459" s="17">
        <v>150.75</v>
      </c>
      <c r="AW2459" s="10" t="s">
        <v>105</v>
      </c>
      <c r="AX2459" s="17">
        <v>6327</v>
      </c>
      <c r="AY2459" s="18">
        <v>17.395948192876521</v>
      </c>
      <c r="AZ2459" s="10" t="s">
        <v>106</v>
      </c>
      <c r="BA2459" s="20" t="b">
        <v>0</v>
      </c>
      <c r="BB2459" s="10"/>
      <c r="BC2459" s="17">
        <v>37318</v>
      </c>
      <c r="BD2459" s="17">
        <v>22854</v>
      </c>
      <c r="BE2459" s="17">
        <v>397567</v>
      </c>
      <c r="BF2459" s="17">
        <v>150.75</v>
      </c>
      <c r="BG2459" s="11">
        <f ca="1">IFERROR(__xludf.DUMMYFUNCTION("""COMPUTED_VALUE"""),46018.7916666666)</f>
        <v>46018.791666666599</v>
      </c>
      <c r="BH2459" s="17" t="s">
        <v>105</v>
      </c>
      <c r="BI2459" s="17"/>
      <c r="BJ2459" s="15"/>
      <c r="BK2459" s="15"/>
      <c r="BL2459" s="13" t="b">
        <v>0</v>
      </c>
      <c r="BM2459" s="10"/>
      <c r="BN2459" s="10" t="s">
        <v>137</v>
      </c>
      <c r="BO2459" s="11">
        <v>45958.482638888891</v>
      </c>
      <c r="BP2459" s="11">
        <v>45964.613877314812</v>
      </c>
      <c r="BQ2459" s="15">
        <v>46016.873287037037</v>
      </c>
      <c r="BR2459" s="15">
        <v>46017.039189814815</v>
      </c>
      <c r="BS2459" s="10" t="s">
        <v>137</v>
      </c>
      <c r="BT2459" s="10" t="s">
        <v>279</v>
      </c>
      <c r="BU2459" s="10" t="s">
        <v>298</v>
      </c>
      <c r="BV2459" s="10"/>
      <c r="BW2459" s="10"/>
      <c r="BX2459" s="10"/>
      <c r="BY2459" s="23"/>
      <c r="BZ2459" s="23"/>
      <c r="CA2459" s="19" t="s">
        <v>18625</v>
      </c>
      <c r="CB2459" s="19" t="s">
        <v>18626</v>
      </c>
      <c r="CC2459" s="23"/>
      <c r="CD2459" s="19" t="s">
        <v>18627</v>
      </c>
      <c r="CE2459" s="23"/>
      <c r="CF2459" s="23"/>
      <c r="CG2459" s="23"/>
      <c r="CH2459" s="23"/>
      <c r="CI2459" s="23"/>
    </row>
    <row r="2460" spans="1:87" x14ac:dyDescent="0.3">
      <c r="A2460" s="9" t="s">
        <v>18628</v>
      </c>
      <c r="B2460" s="10" t="s">
        <v>18629</v>
      </c>
      <c r="C2460" s="11">
        <v>46019.645833333336</v>
      </c>
      <c r="D2460" s="12">
        <v>8.3333333333333329E-2</v>
      </c>
      <c r="E2460" s="11">
        <v>46019.729166666664</v>
      </c>
      <c r="F2460" s="10" t="s">
        <v>14786</v>
      </c>
      <c r="G2460" s="13" t="b">
        <v>0</v>
      </c>
      <c r="H2460" s="22" t="s">
        <v>14787</v>
      </c>
      <c r="I2460" s="10" t="s">
        <v>212</v>
      </c>
      <c r="J2460" s="13" t="b">
        <v>1</v>
      </c>
      <c r="K2460" s="13" t="b">
        <v>0</v>
      </c>
      <c r="L2460" s="10" t="s">
        <v>124</v>
      </c>
      <c r="M2460" s="10" t="s">
        <v>91</v>
      </c>
      <c r="N2460" s="10" t="s">
        <v>92</v>
      </c>
      <c r="O2460" s="19" t="s">
        <v>18630</v>
      </c>
      <c r="P2460" s="10"/>
      <c r="Q2460" s="10" t="s">
        <v>126</v>
      </c>
      <c r="R2460" s="10"/>
      <c r="S2460" s="19" t="s">
        <v>18631</v>
      </c>
      <c r="T2460" s="10"/>
      <c r="U2460" s="10" t="s">
        <v>14827</v>
      </c>
      <c r="V2460" s="10" t="s">
        <v>14838</v>
      </c>
      <c r="W2460" s="10" t="s">
        <v>14793</v>
      </c>
      <c r="X2460" s="10" t="s">
        <v>130</v>
      </c>
      <c r="Y2460" s="10" t="s">
        <v>130</v>
      </c>
      <c r="Z2460" s="10" t="s">
        <v>99</v>
      </c>
      <c r="AA2460" s="10" t="s">
        <v>131</v>
      </c>
      <c r="AB2460" s="10" t="s">
        <v>14794</v>
      </c>
      <c r="AC2460" s="10" t="s">
        <v>3521</v>
      </c>
      <c r="AD2460" s="10" t="s">
        <v>18632</v>
      </c>
      <c r="AE2460" s="10" t="s">
        <v>18633</v>
      </c>
      <c r="AF2460" s="15"/>
      <c r="AG2460" s="10"/>
      <c r="AH2460" s="10"/>
      <c r="AI2460" s="10"/>
      <c r="AJ2460" s="10"/>
      <c r="AK2460" s="10" t="s">
        <v>102</v>
      </c>
      <c r="AL2460" s="10" t="s">
        <v>1569</v>
      </c>
      <c r="AM2460" s="10"/>
      <c r="AN2460" s="10"/>
      <c r="AO2460" s="13" t="b">
        <v>0</v>
      </c>
      <c r="AP2460" s="22" t="s">
        <v>104</v>
      </c>
      <c r="AQ2460" s="10">
        <f ca="1">IFERROR(__xludf.DUMMYFUNCTION("""COMPUTED_VALUE"""),4795167)</f>
        <v>4795167</v>
      </c>
      <c r="AR2460" s="17">
        <v>29403</v>
      </c>
      <c r="AS2460" s="17">
        <v>19098</v>
      </c>
      <c r="AT2460" s="17">
        <v>276233.75</v>
      </c>
      <c r="AU2460" s="17">
        <v>75.599999999999994</v>
      </c>
      <c r="AV2460" s="17">
        <v>10.75</v>
      </c>
      <c r="AW2460" s="10" t="s">
        <v>105</v>
      </c>
      <c r="AX2460" s="17">
        <v>6604</v>
      </c>
      <c r="AY2460" s="18">
        <v>14.464014556498062</v>
      </c>
      <c r="AZ2460" s="10" t="s">
        <v>106</v>
      </c>
      <c r="BA2460" s="20" t="b">
        <v>0</v>
      </c>
      <c r="BB2460" s="10"/>
      <c r="BC2460" s="17">
        <v>29403</v>
      </c>
      <c r="BD2460" s="17">
        <v>19098</v>
      </c>
      <c r="BE2460" s="17">
        <v>276233.75</v>
      </c>
      <c r="BF2460" s="17">
        <v>10.75</v>
      </c>
      <c r="BG2460" s="11">
        <f ca="1">IFERROR(__xludf.DUMMYFUNCTION("""COMPUTED_VALUE"""),46019.6458333333)</f>
        <v>46019.645833333299</v>
      </c>
      <c r="BH2460" s="17" t="s">
        <v>105</v>
      </c>
      <c r="BI2460" s="17"/>
      <c r="BJ2460" s="15"/>
      <c r="BK2460" s="15"/>
      <c r="BL2460" s="13" t="b">
        <v>0</v>
      </c>
      <c r="BM2460" s="10"/>
      <c r="BN2460" s="10" t="s">
        <v>137</v>
      </c>
      <c r="BO2460" s="11">
        <v>45958.48333333333</v>
      </c>
      <c r="BP2460" s="11">
        <v>45964.614386574074</v>
      </c>
      <c r="BQ2460" s="15">
        <v>46016.905034722222</v>
      </c>
      <c r="BR2460" s="15">
        <v>46017.082835648151</v>
      </c>
      <c r="BS2460" s="10" t="s">
        <v>137</v>
      </c>
      <c r="BT2460" s="10" t="s">
        <v>279</v>
      </c>
      <c r="BU2460" s="10" t="s">
        <v>421</v>
      </c>
      <c r="BV2460" s="10"/>
      <c r="BW2460" s="10"/>
      <c r="BX2460" s="10"/>
      <c r="BY2460" s="23"/>
      <c r="BZ2460" s="23"/>
      <c r="CA2460" s="19" t="s">
        <v>18634</v>
      </c>
      <c r="CB2460" s="19" t="s">
        <v>18635</v>
      </c>
      <c r="CC2460" s="23"/>
      <c r="CD2460" s="19" t="s">
        <v>18636</v>
      </c>
      <c r="CE2460" s="23"/>
      <c r="CF2460" s="23"/>
      <c r="CG2460" s="23"/>
      <c r="CH2460" s="23"/>
      <c r="CI2460" s="23"/>
    </row>
    <row r="2461" spans="1:87" x14ac:dyDescent="0.3">
      <c r="A2461" s="9" t="s">
        <v>18637</v>
      </c>
      <c r="B2461" s="10" t="s">
        <v>18638</v>
      </c>
      <c r="C2461" s="11">
        <v>46019.791666666664</v>
      </c>
      <c r="D2461" s="12">
        <v>8.3333333333333329E-2</v>
      </c>
      <c r="E2461" s="11">
        <v>46019.875</v>
      </c>
      <c r="F2461" s="10" t="s">
        <v>14786</v>
      </c>
      <c r="G2461" s="13" t="b">
        <v>0</v>
      </c>
      <c r="H2461" s="22" t="s">
        <v>14787</v>
      </c>
      <c r="I2461" s="10" t="s">
        <v>212</v>
      </c>
      <c r="J2461" s="13" t="b">
        <v>1</v>
      </c>
      <c r="K2461" s="13" t="b">
        <v>0</v>
      </c>
      <c r="L2461" s="10" t="s">
        <v>124</v>
      </c>
      <c r="M2461" s="10" t="s">
        <v>91</v>
      </c>
      <c r="N2461" s="10" t="s">
        <v>92</v>
      </c>
      <c r="O2461" s="19" t="s">
        <v>18639</v>
      </c>
      <c r="P2461" s="10"/>
      <c r="Q2461" s="10" t="s">
        <v>126</v>
      </c>
      <c r="R2461" s="10"/>
      <c r="S2461" s="19" t="s">
        <v>18640</v>
      </c>
      <c r="T2461" s="10"/>
      <c r="U2461" s="10" t="s">
        <v>14849</v>
      </c>
      <c r="V2461" s="10" t="s">
        <v>14860</v>
      </c>
      <c r="W2461" s="10" t="s">
        <v>14793</v>
      </c>
      <c r="X2461" s="10" t="s">
        <v>130</v>
      </c>
      <c r="Y2461" s="10" t="s">
        <v>130</v>
      </c>
      <c r="Z2461" s="10" t="s">
        <v>99</v>
      </c>
      <c r="AA2461" s="10" t="s">
        <v>131</v>
      </c>
      <c r="AB2461" s="10" t="s">
        <v>14794</v>
      </c>
      <c r="AC2461" s="10" t="s">
        <v>3521</v>
      </c>
      <c r="AD2461" s="10" t="s">
        <v>18641</v>
      </c>
      <c r="AE2461" s="10" t="s">
        <v>18642</v>
      </c>
      <c r="AF2461" s="15"/>
      <c r="AG2461" s="10"/>
      <c r="AH2461" s="10"/>
      <c r="AI2461" s="10"/>
      <c r="AJ2461" s="10"/>
      <c r="AK2461" s="10" t="s">
        <v>102</v>
      </c>
      <c r="AL2461" s="10" t="s">
        <v>1569</v>
      </c>
      <c r="AM2461" s="10"/>
      <c r="AN2461" s="10"/>
      <c r="AO2461" s="13" t="b">
        <v>0</v>
      </c>
      <c r="AP2461" s="22" t="s">
        <v>104</v>
      </c>
      <c r="AQ2461" s="10">
        <f ca="1">IFERROR(__xludf.DUMMYFUNCTION("""COMPUTED_VALUE"""),4795169)</f>
        <v>4795169</v>
      </c>
      <c r="AR2461" s="17">
        <v>28984</v>
      </c>
      <c r="AS2461" s="17">
        <v>17658</v>
      </c>
      <c r="AT2461" s="17">
        <v>298906.25</v>
      </c>
      <c r="AU2461" s="17">
        <v>120.2</v>
      </c>
      <c r="AV2461" s="17">
        <v>10.199999999999999</v>
      </c>
      <c r="AW2461" s="10" t="s">
        <v>105</v>
      </c>
      <c r="AX2461" s="17">
        <v>5259</v>
      </c>
      <c r="AY2461" s="18">
        <v>16.927525767357572</v>
      </c>
      <c r="AZ2461" s="10" t="s">
        <v>106</v>
      </c>
      <c r="BA2461" s="20" t="b">
        <v>0</v>
      </c>
      <c r="BB2461" s="10"/>
      <c r="BC2461" s="17">
        <v>28984</v>
      </c>
      <c r="BD2461" s="17">
        <v>17658</v>
      </c>
      <c r="BE2461" s="17">
        <v>298906.25</v>
      </c>
      <c r="BF2461" s="17">
        <v>10.199999999999999</v>
      </c>
      <c r="BG2461" s="11">
        <f ca="1">IFERROR(__xludf.DUMMYFUNCTION("""COMPUTED_VALUE"""),46019.7916666666)</f>
        <v>46019.791666666599</v>
      </c>
      <c r="BH2461" s="17" t="s">
        <v>105</v>
      </c>
      <c r="BI2461" s="17"/>
      <c r="BJ2461" s="15"/>
      <c r="BK2461" s="15"/>
      <c r="BL2461" s="13" t="b">
        <v>0</v>
      </c>
      <c r="BM2461" s="10"/>
      <c r="BN2461" s="10" t="s">
        <v>137</v>
      </c>
      <c r="BO2461" s="11">
        <v>45958.484027777777</v>
      </c>
      <c r="BP2461" s="11">
        <v>45964.614490740743</v>
      </c>
      <c r="BQ2461" s="15">
        <v>46016.905231481483</v>
      </c>
      <c r="BR2461" s="15">
        <v>46017.086423611108</v>
      </c>
      <c r="BS2461" s="10" t="s">
        <v>137</v>
      </c>
      <c r="BT2461" s="10" t="s">
        <v>279</v>
      </c>
      <c r="BU2461" s="10" t="s">
        <v>421</v>
      </c>
      <c r="BV2461" s="10"/>
      <c r="BW2461" s="10"/>
      <c r="BX2461" s="10"/>
      <c r="BY2461" s="23"/>
      <c r="BZ2461" s="23"/>
      <c r="CA2461" s="19" t="s">
        <v>18643</v>
      </c>
      <c r="CB2461" s="19" t="s">
        <v>18644</v>
      </c>
      <c r="CC2461" s="23"/>
      <c r="CD2461" s="19" t="s">
        <v>18645</v>
      </c>
      <c r="CE2461" s="23"/>
      <c r="CF2461" s="23"/>
      <c r="CG2461" s="23"/>
      <c r="CH2461" s="23"/>
      <c r="CI2461" s="23"/>
    </row>
    <row r="2462" spans="1:87" x14ac:dyDescent="0.3">
      <c r="A2462" s="9" t="s">
        <v>18646</v>
      </c>
      <c r="B2462" s="10" t="s">
        <v>18647</v>
      </c>
      <c r="C2462" s="11">
        <v>46019.791666666664</v>
      </c>
      <c r="D2462" s="12">
        <v>8.3333333333333329E-2</v>
      </c>
      <c r="E2462" s="11">
        <v>46019.875</v>
      </c>
      <c r="F2462" s="10" t="s">
        <v>14786</v>
      </c>
      <c r="G2462" s="13" t="b">
        <v>0</v>
      </c>
      <c r="H2462" s="22" t="s">
        <v>14787</v>
      </c>
      <c r="I2462" s="10" t="s">
        <v>3548</v>
      </c>
      <c r="J2462" s="13" t="b">
        <v>0</v>
      </c>
      <c r="K2462" s="13" t="b">
        <v>1</v>
      </c>
      <c r="L2462" s="10" t="s">
        <v>124</v>
      </c>
      <c r="M2462" s="10" t="s">
        <v>91</v>
      </c>
      <c r="N2462" s="10" t="s">
        <v>92</v>
      </c>
      <c r="O2462" s="19" t="s">
        <v>18648</v>
      </c>
      <c r="P2462" s="10"/>
      <c r="Q2462" s="10" t="s">
        <v>126</v>
      </c>
      <c r="R2462" s="10"/>
      <c r="S2462" s="19" t="s">
        <v>18649</v>
      </c>
      <c r="T2462" s="10"/>
      <c r="U2462" s="10" t="s">
        <v>14848</v>
      </c>
      <c r="V2462" s="10" t="s">
        <v>14870</v>
      </c>
      <c r="W2462" s="10" t="s">
        <v>14793</v>
      </c>
      <c r="X2462" s="10" t="s">
        <v>130</v>
      </c>
      <c r="Y2462" s="10" t="s">
        <v>130</v>
      </c>
      <c r="Z2462" s="10" t="s">
        <v>99</v>
      </c>
      <c r="AA2462" s="10" t="s">
        <v>131</v>
      </c>
      <c r="AB2462" s="10" t="s">
        <v>14794</v>
      </c>
      <c r="AC2462" s="10" t="s">
        <v>3521</v>
      </c>
      <c r="AD2462" s="10" t="s">
        <v>18650</v>
      </c>
      <c r="AE2462" s="10" t="s">
        <v>18651</v>
      </c>
      <c r="AF2462" s="15"/>
      <c r="AG2462" s="10"/>
      <c r="AH2462" s="10"/>
      <c r="AI2462" s="10"/>
      <c r="AJ2462" s="10"/>
      <c r="AK2462" s="10" t="s">
        <v>102</v>
      </c>
      <c r="AL2462" s="10" t="s">
        <v>1569</v>
      </c>
      <c r="AM2462" s="10"/>
      <c r="AN2462" s="10"/>
      <c r="AO2462" s="13" t="b">
        <v>0</v>
      </c>
      <c r="AP2462" s="22" t="s">
        <v>104</v>
      </c>
      <c r="AQ2462" s="10">
        <f ca="1">IFERROR(__xludf.DUMMYFUNCTION("""COMPUTED_VALUE"""),4795170)</f>
        <v>4795170</v>
      </c>
      <c r="AR2462" s="17">
        <v>48470</v>
      </c>
      <c r="AS2462" s="17">
        <v>30910</v>
      </c>
      <c r="AT2462" s="17">
        <v>665326.5</v>
      </c>
      <c r="AU2462" s="17">
        <v>1120.45</v>
      </c>
      <c r="AV2462" s="17">
        <v>214.1</v>
      </c>
      <c r="AW2462" s="10" t="s">
        <v>105</v>
      </c>
      <c r="AX2462" s="17">
        <v>9093</v>
      </c>
      <c r="AY2462" s="18">
        <v>21.524636040116466</v>
      </c>
      <c r="AZ2462" s="10" t="s">
        <v>106</v>
      </c>
      <c r="BA2462" s="20" t="b">
        <v>0</v>
      </c>
      <c r="BB2462" s="10"/>
      <c r="BC2462" s="17">
        <v>48470</v>
      </c>
      <c r="BD2462" s="17">
        <v>30910</v>
      </c>
      <c r="BE2462" s="17">
        <v>665326.5</v>
      </c>
      <c r="BF2462" s="17">
        <v>214.1</v>
      </c>
      <c r="BG2462" s="11">
        <f ca="1">IFERROR(__xludf.DUMMYFUNCTION("""COMPUTED_VALUE"""),46019.7916666666)</f>
        <v>46019.791666666599</v>
      </c>
      <c r="BH2462" s="17" t="s">
        <v>105</v>
      </c>
      <c r="BI2462" s="17"/>
      <c r="BJ2462" s="15"/>
      <c r="BK2462" s="15"/>
      <c r="BL2462" s="13" t="b">
        <v>0</v>
      </c>
      <c r="BM2462" s="10"/>
      <c r="BN2462" s="10" t="s">
        <v>137</v>
      </c>
      <c r="BO2462" s="11">
        <v>45958.484027777777</v>
      </c>
      <c r="BP2462" s="11">
        <v>45964.614583333336</v>
      </c>
      <c r="BQ2462" s="15">
        <v>46016.904803240737</v>
      </c>
      <c r="BR2462" s="15">
        <v>46017.09070601852</v>
      </c>
      <c r="BS2462" s="10" t="s">
        <v>137</v>
      </c>
      <c r="BT2462" s="10" t="s">
        <v>279</v>
      </c>
      <c r="BU2462" s="10" t="s">
        <v>793</v>
      </c>
      <c r="BV2462" s="10"/>
      <c r="BW2462" s="10"/>
      <c r="BX2462" s="10"/>
      <c r="BY2462" s="23"/>
      <c r="BZ2462" s="23"/>
      <c r="CA2462" s="19" t="s">
        <v>18652</v>
      </c>
      <c r="CB2462" s="19" t="s">
        <v>18653</v>
      </c>
      <c r="CC2462" s="23"/>
      <c r="CD2462" s="19" t="s">
        <v>18654</v>
      </c>
      <c r="CE2462" s="23"/>
      <c r="CF2462" s="23"/>
      <c r="CG2462" s="23"/>
      <c r="CH2462" s="23"/>
      <c r="CI2462" s="23"/>
    </row>
    <row r="2463" spans="1:87" x14ac:dyDescent="0.3">
      <c r="A2463" s="9" t="s">
        <v>18655</v>
      </c>
      <c r="B2463" s="10" t="s">
        <v>18656</v>
      </c>
      <c r="C2463" s="11">
        <v>46020.645833333336</v>
      </c>
      <c r="D2463" s="12">
        <v>8.3333333333333329E-2</v>
      </c>
      <c r="E2463" s="11">
        <v>46020.729166666664</v>
      </c>
      <c r="F2463" s="10" t="s">
        <v>14786</v>
      </c>
      <c r="G2463" s="13" t="b">
        <v>0</v>
      </c>
      <c r="H2463" s="22" t="s">
        <v>14787</v>
      </c>
      <c r="I2463" s="10" t="s">
        <v>3548</v>
      </c>
      <c r="J2463" s="13" t="b">
        <v>0</v>
      </c>
      <c r="K2463" s="13" t="b">
        <v>1</v>
      </c>
      <c r="L2463" s="10" t="s">
        <v>124</v>
      </c>
      <c r="M2463" s="10" t="s">
        <v>91</v>
      </c>
      <c r="N2463" s="10" t="s">
        <v>92</v>
      </c>
      <c r="O2463" s="19" t="s">
        <v>18657</v>
      </c>
      <c r="P2463" s="10"/>
      <c r="Q2463" s="10" t="s">
        <v>126</v>
      </c>
      <c r="R2463" s="10"/>
      <c r="S2463" s="19" t="s">
        <v>18658</v>
      </c>
      <c r="T2463" s="10"/>
      <c r="U2463" s="10" t="s">
        <v>14816</v>
      </c>
      <c r="V2463" s="10" t="s">
        <v>14892</v>
      </c>
      <c r="W2463" s="10" t="s">
        <v>14793</v>
      </c>
      <c r="X2463" s="10" t="s">
        <v>130</v>
      </c>
      <c r="Y2463" s="10" t="s">
        <v>130</v>
      </c>
      <c r="Z2463" s="10" t="s">
        <v>99</v>
      </c>
      <c r="AA2463" s="10" t="s">
        <v>131</v>
      </c>
      <c r="AB2463" s="10" t="s">
        <v>14794</v>
      </c>
      <c r="AC2463" s="10" t="s">
        <v>3521</v>
      </c>
      <c r="AD2463" s="10" t="s">
        <v>18659</v>
      </c>
      <c r="AE2463" s="10" t="s">
        <v>18660</v>
      </c>
      <c r="AF2463" s="15"/>
      <c r="AG2463" s="10"/>
      <c r="AH2463" s="10"/>
      <c r="AI2463" s="10"/>
      <c r="AJ2463" s="10"/>
      <c r="AK2463" s="10" t="s">
        <v>102</v>
      </c>
      <c r="AL2463" s="10" t="s">
        <v>1569</v>
      </c>
      <c r="AM2463" s="10"/>
      <c r="AN2463" s="10"/>
      <c r="AO2463" s="13" t="b">
        <v>0</v>
      </c>
      <c r="AP2463" s="22" t="s">
        <v>104</v>
      </c>
      <c r="AQ2463" s="10">
        <f ca="1">IFERROR(__xludf.DUMMYFUNCTION("""COMPUTED_VALUE"""),4797266)</f>
        <v>4797266</v>
      </c>
      <c r="AR2463" s="17">
        <v>25487</v>
      </c>
      <c r="AS2463" s="17">
        <v>15302</v>
      </c>
      <c r="AT2463" s="17">
        <v>302497.75</v>
      </c>
      <c r="AU2463" s="17">
        <v>440.35</v>
      </c>
      <c r="AV2463" s="17">
        <v>84.1</v>
      </c>
      <c r="AW2463" s="10" t="s">
        <v>105</v>
      </c>
      <c r="AX2463" s="17">
        <v>6401</v>
      </c>
      <c r="AY2463" s="18">
        <v>19.768510652202327</v>
      </c>
      <c r="AZ2463" s="10" t="s">
        <v>2099</v>
      </c>
      <c r="BA2463" s="20" t="b">
        <v>0</v>
      </c>
      <c r="BB2463" s="10"/>
      <c r="BC2463" s="17">
        <v>25487</v>
      </c>
      <c r="BD2463" s="17">
        <v>15302</v>
      </c>
      <c r="BE2463" s="17">
        <v>302497.75</v>
      </c>
      <c r="BF2463" s="17">
        <v>84.1</v>
      </c>
      <c r="BG2463" s="11">
        <f ca="1">IFERROR(__xludf.DUMMYFUNCTION("""COMPUTED_VALUE"""),46020.6458333333)</f>
        <v>46020.645833333299</v>
      </c>
      <c r="BH2463" s="17" t="s">
        <v>105</v>
      </c>
      <c r="BI2463" s="17"/>
      <c r="BJ2463" s="15"/>
      <c r="BK2463" s="15"/>
      <c r="BL2463" s="13" t="b">
        <v>0</v>
      </c>
      <c r="BM2463" s="10"/>
      <c r="BN2463" s="10" t="s">
        <v>278</v>
      </c>
      <c r="BO2463" s="11">
        <v>45958.484722222223</v>
      </c>
      <c r="BP2463" s="11">
        <v>46009.516435185185</v>
      </c>
      <c r="BQ2463" s="15">
        <v>46015.633645833332</v>
      </c>
      <c r="BR2463" s="15">
        <v>46018.651944444442</v>
      </c>
      <c r="BS2463" s="10" t="s">
        <v>278</v>
      </c>
      <c r="BT2463" s="10" t="s">
        <v>279</v>
      </c>
      <c r="BU2463" s="10" t="s">
        <v>456</v>
      </c>
      <c r="BV2463" s="10"/>
      <c r="BW2463" s="10"/>
      <c r="BX2463" s="10"/>
      <c r="BY2463" s="23"/>
      <c r="BZ2463" s="23"/>
      <c r="CA2463" s="19" t="s">
        <v>18661</v>
      </c>
      <c r="CB2463" s="19" t="s">
        <v>18662</v>
      </c>
      <c r="CC2463" s="23"/>
      <c r="CD2463" s="23"/>
      <c r="CE2463" s="23"/>
      <c r="CF2463" s="23"/>
      <c r="CG2463" s="23"/>
      <c r="CH2463" s="23"/>
      <c r="CI2463" s="23"/>
    </row>
    <row r="2464" spans="1:87" x14ac:dyDescent="0.3">
      <c r="A2464" s="9" t="s">
        <v>18663</v>
      </c>
      <c r="B2464" s="10" t="s">
        <v>18664</v>
      </c>
      <c r="C2464" s="11">
        <v>46020.645833333336</v>
      </c>
      <c r="D2464" s="12">
        <v>8.3333333333333329E-2</v>
      </c>
      <c r="E2464" s="11">
        <v>46020.729166666664</v>
      </c>
      <c r="F2464" s="10" t="s">
        <v>14786</v>
      </c>
      <c r="G2464" s="13" t="b">
        <v>0</v>
      </c>
      <c r="H2464" s="22" t="s">
        <v>14787</v>
      </c>
      <c r="I2464" s="10" t="s">
        <v>212</v>
      </c>
      <c r="J2464" s="13" t="b">
        <v>1</v>
      </c>
      <c r="K2464" s="13" t="b">
        <v>0</v>
      </c>
      <c r="L2464" s="10" t="s">
        <v>124</v>
      </c>
      <c r="M2464" s="10" t="s">
        <v>91</v>
      </c>
      <c r="N2464" s="10" t="s">
        <v>92</v>
      </c>
      <c r="O2464" s="19" t="s">
        <v>18665</v>
      </c>
      <c r="P2464" s="10"/>
      <c r="Q2464" s="10" t="s">
        <v>126</v>
      </c>
      <c r="R2464" s="10"/>
      <c r="S2464" s="19" t="s">
        <v>18666</v>
      </c>
      <c r="T2464" s="10"/>
      <c r="U2464" s="10" t="s">
        <v>14882</v>
      </c>
      <c r="V2464" s="10" t="s">
        <v>14791</v>
      </c>
      <c r="W2464" s="10" t="s">
        <v>14793</v>
      </c>
      <c r="X2464" s="10" t="s">
        <v>130</v>
      </c>
      <c r="Y2464" s="10" t="s">
        <v>130</v>
      </c>
      <c r="Z2464" s="10" t="s">
        <v>99</v>
      </c>
      <c r="AA2464" s="10" t="s">
        <v>131</v>
      </c>
      <c r="AB2464" s="10" t="s">
        <v>14794</v>
      </c>
      <c r="AC2464" s="10" t="s">
        <v>3521</v>
      </c>
      <c r="AD2464" s="10" t="s">
        <v>18667</v>
      </c>
      <c r="AE2464" s="10" t="s">
        <v>18668</v>
      </c>
      <c r="AF2464" s="15"/>
      <c r="AG2464" s="10"/>
      <c r="AH2464" s="10"/>
      <c r="AI2464" s="10"/>
      <c r="AJ2464" s="10"/>
      <c r="AK2464" s="10" t="s">
        <v>102</v>
      </c>
      <c r="AL2464" s="10" t="s">
        <v>1569</v>
      </c>
      <c r="AM2464" s="10"/>
      <c r="AN2464" s="10"/>
      <c r="AO2464" s="13" t="b">
        <v>0</v>
      </c>
      <c r="AP2464" s="22" t="s">
        <v>104</v>
      </c>
      <c r="AQ2464" s="10">
        <f ca="1">IFERROR(__xludf.DUMMYFUNCTION("""COMPUTED_VALUE"""),4797267)</f>
        <v>4797267</v>
      </c>
      <c r="AR2464" s="17">
        <v>18243</v>
      </c>
      <c r="AS2464" s="17">
        <v>10525</v>
      </c>
      <c r="AT2464" s="17">
        <v>129235.5</v>
      </c>
      <c r="AU2464" s="17">
        <v>55.65</v>
      </c>
      <c r="AV2464" s="17">
        <v>5.45</v>
      </c>
      <c r="AW2464" s="10" t="s">
        <v>105</v>
      </c>
      <c r="AX2464" s="17">
        <v>3052</v>
      </c>
      <c r="AY2464" s="18">
        <v>12.278907363420428</v>
      </c>
      <c r="AZ2464" s="10" t="s">
        <v>106</v>
      </c>
      <c r="BA2464" s="20" t="b">
        <v>0</v>
      </c>
      <c r="BB2464" s="10"/>
      <c r="BC2464" s="17">
        <v>18243</v>
      </c>
      <c r="BD2464" s="17">
        <v>10525</v>
      </c>
      <c r="BE2464" s="17">
        <v>129235.5</v>
      </c>
      <c r="BF2464" s="17">
        <v>5.45</v>
      </c>
      <c r="BG2464" s="11">
        <f ca="1">IFERROR(__xludf.DUMMYFUNCTION("""COMPUTED_VALUE"""),46020.6458333333)</f>
        <v>46020.645833333299</v>
      </c>
      <c r="BH2464" s="17" t="s">
        <v>105</v>
      </c>
      <c r="BI2464" s="17"/>
      <c r="BJ2464" s="15"/>
      <c r="BK2464" s="15"/>
      <c r="BL2464" s="13" t="b">
        <v>0</v>
      </c>
      <c r="BM2464" s="10"/>
      <c r="BN2464" s="10" t="s">
        <v>278</v>
      </c>
      <c r="BO2464" s="11">
        <v>45958.48541666667</v>
      </c>
      <c r="BP2464" s="11">
        <v>45964.614710648151</v>
      </c>
      <c r="BQ2464" s="15">
        <v>46016.873900462961</v>
      </c>
      <c r="BR2464" s="15">
        <v>46018.652233796296</v>
      </c>
      <c r="BS2464" s="10" t="s">
        <v>278</v>
      </c>
      <c r="BT2464" s="10" t="s">
        <v>279</v>
      </c>
      <c r="BU2464" s="10" t="s">
        <v>718</v>
      </c>
      <c r="BV2464" s="10"/>
      <c r="BW2464" s="10"/>
      <c r="BX2464" s="10"/>
      <c r="BY2464" s="23"/>
      <c r="BZ2464" s="23"/>
      <c r="CA2464" s="19" t="s">
        <v>18669</v>
      </c>
      <c r="CB2464" s="19" t="s">
        <v>18670</v>
      </c>
      <c r="CC2464" s="23"/>
      <c r="CD2464" s="19" t="s">
        <v>18671</v>
      </c>
      <c r="CE2464" s="23"/>
      <c r="CF2464" s="23"/>
      <c r="CG2464" s="23"/>
      <c r="CH2464" s="23"/>
      <c r="CI2464" s="23"/>
    </row>
    <row r="2465" spans="1:87" x14ac:dyDescent="0.3">
      <c r="A2465" s="9" t="s">
        <v>18672</v>
      </c>
      <c r="B2465" s="10" t="s">
        <v>18673</v>
      </c>
      <c r="C2465" s="11">
        <v>45963.947916666664</v>
      </c>
      <c r="D2465" s="12">
        <v>8.3333333333333329E-2</v>
      </c>
      <c r="E2465" s="11">
        <v>45964.03125</v>
      </c>
      <c r="F2465" s="10" t="s">
        <v>3687</v>
      </c>
      <c r="G2465" s="13" t="b">
        <v>0</v>
      </c>
      <c r="H2465" s="22" t="s">
        <v>88</v>
      </c>
      <c r="I2465" s="10" t="s">
        <v>89</v>
      </c>
      <c r="J2465" s="13" t="b">
        <v>0</v>
      </c>
      <c r="K2465" s="13" t="b">
        <v>1</v>
      </c>
      <c r="L2465" s="10" t="s">
        <v>124</v>
      </c>
      <c r="M2465" s="10" t="s">
        <v>91</v>
      </c>
      <c r="N2465" s="10" t="s">
        <v>92</v>
      </c>
      <c r="O2465" s="19" t="s">
        <v>18674</v>
      </c>
      <c r="P2465" s="10"/>
      <c r="Q2465" s="10" t="s">
        <v>126</v>
      </c>
      <c r="R2465" s="10"/>
      <c r="S2465" s="19" t="s">
        <v>18675</v>
      </c>
      <c r="T2465" s="19" t="s">
        <v>18676</v>
      </c>
      <c r="U2465" s="10" t="s">
        <v>8476</v>
      </c>
      <c r="V2465" s="10" t="s">
        <v>7720</v>
      </c>
      <c r="W2465" s="10" t="s">
        <v>3692</v>
      </c>
      <c r="X2465" s="10" t="s">
        <v>130</v>
      </c>
      <c r="Y2465" s="10" t="s">
        <v>130</v>
      </c>
      <c r="Z2465" s="10" t="s">
        <v>99</v>
      </c>
      <c r="AA2465" s="10" t="s">
        <v>131</v>
      </c>
      <c r="AB2465" s="10" t="s">
        <v>3693</v>
      </c>
      <c r="AC2465" s="10" t="s">
        <v>3694</v>
      </c>
      <c r="AD2465" s="10" t="s">
        <v>18677</v>
      </c>
      <c r="AE2465" s="10" t="s">
        <v>18678</v>
      </c>
      <c r="AF2465" s="15"/>
      <c r="AG2465" s="10"/>
      <c r="AH2465" s="10"/>
      <c r="AI2465" s="10"/>
      <c r="AJ2465" s="10" t="s">
        <v>18679</v>
      </c>
      <c r="AK2465" s="10" t="s">
        <v>102</v>
      </c>
      <c r="AL2465" s="10" t="s">
        <v>1360</v>
      </c>
      <c r="AM2465" s="10"/>
      <c r="AN2465" s="10"/>
      <c r="AO2465" s="13" t="b">
        <v>0</v>
      </c>
      <c r="AP2465" s="22" t="s">
        <v>104</v>
      </c>
      <c r="AQ2465" s="10">
        <f ca="1">IFERROR(__xludf.DUMMYFUNCTION("""COMPUTED_VALUE"""),4691062)</f>
        <v>4691062</v>
      </c>
      <c r="AR2465" s="17">
        <v>8280</v>
      </c>
      <c r="AS2465" s="17">
        <v>7134</v>
      </c>
      <c r="AT2465" s="17">
        <v>61547</v>
      </c>
      <c r="AU2465" s="17">
        <v>19.100000000000001</v>
      </c>
      <c r="AV2465" s="17">
        <v>3.25</v>
      </c>
      <c r="AW2465" s="10" t="s">
        <v>105</v>
      </c>
      <c r="AX2465" s="17">
        <v>1776</v>
      </c>
      <c r="AY2465" s="18">
        <v>8.6272778245023822</v>
      </c>
      <c r="AZ2465" s="10" t="s">
        <v>3783</v>
      </c>
      <c r="BA2465" s="20" t="b">
        <v>0</v>
      </c>
      <c r="BB2465" s="10"/>
      <c r="BC2465" s="17">
        <v>8280</v>
      </c>
      <c r="BD2465" s="17">
        <v>7134</v>
      </c>
      <c r="BE2465" s="17">
        <v>61547</v>
      </c>
      <c r="BF2465" s="17">
        <v>3.25</v>
      </c>
      <c r="BG2465" s="11">
        <f ca="1">IFERROR(__xludf.DUMMYFUNCTION("""COMPUTED_VALUE"""),45963.9479166666)</f>
        <v>45963.947916666599</v>
      </c>
      <c r="BH2465" s="17" t="s">
        <v>105</v>
      </c>
      <c r="BI2465" s="17"/>
      <c r="BJ2465" s="15"/>
      <c r="BK2465" s="15"/>
      <c r="BL2465" s="13" t="b">
        <v>0</v>
      </c>
      <c r="BM2465" s="10"/>
      <c r="BN2465" s="10" t="s">
        <v>197</v>
      </c>
      <c r="BO2465" s="11">
        <v>45958.700694444444</v>
      </c>
      <c r="BP2465" s="11">
        <v>45963.525046296294</v>
      </c>
      <c r="BQ2465" s="15">
        <v>45960.562800925924</v>
      </c>
      <c r="BR2465" s="15">
        <v>45963.534745370373</v>
      </c>
      <c r="BS2465" s="10" t="s">
        <v>197</v>
      </c>
      <c r="BT2465" s="10" t="s">
        <v>99</v>
      </c>
      <c r="BU2465" s="10" t="s">
        <v>6409</v>
      </c>
      <c r="BV2465" s="10"/>
      <c r="BW2465" s="10"/>
      <c r="BX2465" s="10"/>
      <c r="BY2465" s="23"/>
      <c r="BZ2465" s="23"/>
      <c r="CA2465" s="19" t="s">
        <v>18680</v>
      </c>
      <c r="CB2465" s="19" t="s">
        <v>18681</v>
      </c>
      <c r="CC2465" s="23"/>
      <c r="CD2465" s="19" t="s">
        <v>18682</v>
      </c>
      <c r="CE2465" s="23"/>
      <c r="CF2465" s="23"/>
      <c r="CG2465" s="23"/>
      <c r="CH2465" s="23"/>
      <c r="CI2465" s="23"/>
    </row>
    <row r="2466" spans="1:87" x14ac:dyDescent="0.3">
      <c r="A2466" s="9" t="s">
        <v>18683</v>
      </c>
      <c r="B2466" s="10" t="s">
        <v>18684</v>
      </c>
      <c r="C2466" s="11">
        <v>45984.125</v>
      </c>
      <c r="D2466" s="12">
        <v>8.3333333333333329E-2</v>
      </c>
      <c r="E2466" s="11">
        <v>45984.208333333336</v>
      </c>
      <c r="F2466" s="10" t="s">
        <v>3687</v>
      </c>
      <c r="G2466" s="13" t="b">
        <v>0</v>
      </c>
      <c r="H2466" s="22" t="s">
        <v>88</v>
      </c>
      <c r="I2466" s="10" t="s">
        <v>89</v>
      </c>
      <c r="J2466" s="13" t="b">
        <v>0</v>
      </c>
      <c r="K2466" s="13" t="b">
        <v>1</v>
      </c>
      <c r="L2466" s="10" t="s">
        <v>124</v>
      </c>
      <c r="M2466" s="10" t="s">
        <v>91</v>
      </c>
      <c r="N2466" s="10" t="s">
        <v>92</v>
      </c>
      <c r="O2466" s="19" t="s">
        <v>18685</v>
      </c>
      <c r="P2466" s="10"/>
      <c r="Q2466" s="10" t="s">
        <v>126</v>
      </c>
      <c r="R2466" s="10"/>
      <c r="S2466" s="19" t="s">
        <v>18686</v>
      </c>
      <c r="T2466" s="19" t="s">
        <v>17654</v>
      </c>
      <c r="U2466" s="10" t="s">
        <v>7719</v>
      </c>
      <c r="V2466" s="10" t="s">
        <v>4993</v>
      </c>
      <c r="W2466" s="10" t="s">
        <v>3692</v>
      </c>
      <c r="X2466" s="10" t="s">
        <v>130</v>
      </c>
      <c r="Y2466" s="10" t="s">
        <v>130</v>
      </c>
      <c r="Z2466" s="10" t="s">
        <v>99</v>
      </c>
      <c r="AA2466" s="10" t="s">
        <v>131</v>
      </c>
      <c r="AB2466" s="10" t="s">
        <v>3693</v>
      </c>
      <c r="AC2466" s="10" t="s">
        <v>3694</v>
      </c>
      <c r="AD2466" s="10" t="s">
        <v>18687</v>
      </c>
      <c r="AE2466" s="10" t="s">
        <v>18688</v>
      </c>
      <c r="AF2466" s="15"/>
      <c r="AG2466" s="10"/>
      <c r="AH2466" s="10"/>
      <c r="AI2466" s="10"/>
      <c r="AJ2466" s="10"/>
      <c r="AK2466" s="10" t="s">
        <v>102</v>
      </c>
      <c r="AL2466" s="10" t="s">
        <v>1569</v>
      </c>
      <c r="AM2466" s="10"/>
      <c r="AN2466" s="10"/>
      <c r="AO2466" s="13" t="b">
        <v>0</v>
      </c>
      <c r="AP2466" s="22" t="s">
        <v>104</v>
      </c>
      <c r="AQ2466" s="10">
        <f ca="1">IFERROR(__xludf.DUMMYFUNCTION("""COMPUTED_VALUE"""),4726074)</f>
        <v>4726074</v>
      </c>
      <c r="AR2466" s="17">
        <v>3083</v>
      </c>
      <c r="AS2466" s="17">
        <v>2644</v>
      </c>
      <c r="AT2466" s="17">
        <v>30768.75</v>
      </c>
      <c r="AU2466" s="17">
        <v>1.05</v>
      </c>
      <c r="AV2466" s="17">
        <v>0</v>
      </c>
      <c r="AW2466" s="10" t="s">
        <v>105</v>
      </c>
      <c r="AX2466" s="17">
        <v>620</v>
      </c>
      <c r="AY2466" s="18">
        <v>11.637197428139183</v>
      </c>
      <c r="AZ2466" s="10" t="s">
        <v>136</v>
      </c>
      <c r="BA2466" s="20" t="b">
        <v>0</v>
      </c>
      <c r="BB2466" s="10"/>
      <c r="BC2466" s="17">
        <v>3083</v>
      </c>
      <c r="BD2466" s="17">
        <v>2644</v>
      </c>
      <c r="BE2466" s="17">
        <v>30768.75</v>
      </c>
      <c r="BF2466" s="17">
        <v>0</v>
      </c>
      <c r="BG2466" s="11">
        <f ca="1">IFERROR(__xludf.DUMMYFUNCTION("""COMPUTED_VALUE"""),45984.125)</f>
        <v>45984.125</v>
      </c>
      <c r="BH2466" s="17" t="s">
        <v>105</v>
      </c>
      <c r="BI2466" s="17"/>
      <c r="BJ2466" s="15"/>
      <c r="BK2466" s="15"/>
      <c r="BL2466" s="13" t="b">
        <v>0</v>
      </c>
      <c r="BM2466" s="10"/>
      <c r="BN2466" s="10" t="s">
        <v>278</v>
      </c>
      <c r="BO2466" s="11">
        <v>45958.703472222223</v>
      </c>
      <c r="BP2466" s="11">
        <v>45976.684942129628</v>
      </c>
      <c r="BQ2466" s="15">
        <v>45981.515115740738</v>
      </c>
      <c r="BR2466" s="15">
        <v>45981.640497685185</v>
      </c>
      <c r="BS2466" s="10" t="s">
        <v>278</v>
      </c>
      <c r="BT2466" s="10" t="s">
        <v>99</v>
      </c>
      <c r="BU2466" s="10" t="s">
        <v>280</v>
      </c>
      <c r="BV2466" s="10"/>
      <c r="BW2466" s="10"/>
      <c r="BX2466" s="10"/>
      <c r="BY2466" s="23"/>
      <c r="BZ2466" s="23"/>
      <c r="CA2466" s="19" t="s">
        <v>18689</v>
      </c>
      <c r="CB2466" s="19" t="s">
        <v>18690</v>
      </c>
      <c r="CC2466" s="23"/>
      <c r="CD2466" s="19" t="s">
        <v>18691</v>
      </c>
      <c r="CE2466" s="23"/>
      <c r="CF2466" s="23"/>
      <c r="CG2466" s="23"/>
      <c r="CH2466" s="23"/>
      <c r="CI2466" s="23"/>
    </row>
    <row r="2467" spans="1:87" x14ac:dyDescent="0.3">
      <c r="A2467" s="9" t="s">
        <v>18692</v>
      </c>
      <c r="B2467" s="10" t="s">
        <v>18693</v>
      </c>
      <c r="C2467" s="11">
        <v>45991.03125</v>
      </c>
      <c r="D2467" s="12">
        <v>8.3333333333333329E-2</v>
      </c>
      <c r="E2467" s="11">
        <v>45991.114583333336</v>
      </c>
      <c r="F2467" s="10" t="s">
        <v>3687</v>
      </c>
      <c r="G2467" s="13" t="b">
        <v>0</v>
      </c>
      <c r="H2467" s="22" t="s">
        <v>88</v>
      </c>
      <c r="I2467" s="10" t="s">
        <v>89</v>
      </c>
      <c r="J2467" s="13" t="b">
        <v>0</v>
      </c>
      <c r="K2467" s="13" t="b">
        <v>1</v>
      </c>
      <c r="L2467" s="10" t="s">
        <v>124</v>
      </c>
      <c r="M2467" s="10" t="s">
        <v>91</v>
      </c>
      <c r="N2467" s="10" t="s">
        <v>92</v>
      </c>
      <c r="O2467" s="19" t="s">
        <v>18694</v>
      </c>
      <c r="P2467" s="10"/>
      <c r="Q2467" s="10" t="s">
        <v>126</v>
      </c>
      <c r="R2467" s="10"/>
      <c r="S2467" s="19" t="s">
        <v>18695</v>
      </c>
      <c r="T2467" s="19" t="s">
        <v>18696</v>
      </c>
      <c r="U2467" s="10" t="s">
        <v>4992</v>
      </c>
      <c r="V2467" s="10" t="s">
        <v>7719</v>
      </c>
      <c r="W2467" s="10" t="s">
        <v>3692</v>
      </c>
      <c r="X2467" s="10" t="s">
        <v>130</v>
      </c>
      <c r="Y2467" s="10" t="s">
        <v>130</v>
      </c>
      <c r="Z2467" s="10" t="s">
        <v>99</v>
      </c>
      <c r="AA2467" s="10" t="s">
        <v>131</v>
      </c>
      <c r="AB2467" s="10" t="s">
        <v>3693</v>
      </c>
      <c r="AC2467" s="10" t="s">
        <v>3694</v>
      </c>
      <c r="AD2467" s="10" t="s">
        <v>18697</v>
      </c>
      <c r="AE2467" s="10" t="s">
        <v>18698</v>
      </c>
      <c r="AF2467" s="15"/>
      <c r="AG2467" s="10"/>
      <c r="AH2467" s="10"/>
      <c r="AI2467" s="10"/>
      <c r="AJ2467" s="10"/>
      <c r="AK2467" s="10" t="s">
        <v>102</v>
      </c>
      <c r="AL2467" s="10" t="s">
        <v>1671</v>
      </c>
      <c r="AM2467" s="10"/>
      <c r="AN2467" s="10"/>
      <c r="AO2467" s="13" t="b">
        <v>0</v>
      </c>
      <c r="AP2467" s="22" t="s">
        <v>104</v>
      </c>
      <c r="AQ2467" s="10">
        <f ca="1">IFERROR(__xludf.DUMMYFUNCTION("""COMPUTED_VALUE"""),4734875)</f>
        <v>4734875</v>
      </c>
      <c r="AR2467" s="17">
        <v>4211</v>
      </c>
      <c r="AS2467" s="17">
        <v>3661</v>
      </c>
      <c r="AT2467" s="17">
        <v>76472.75</v>
      </c>
      <c r="AU2467" s="17">
        <v>4</v>
      </c>
      <c r="AV2467" s="17">
        <v>0</v>
      </c>
      <c r="AW2467" s="10" t="s">
        <v>105</v>
      </c>
      <c r="AX2467" s="17">
        <v>917</v>
      </c>
      <c r="AY2467" s="18">
        <v>20.888486752253481</v>
      </c>
      <c r="AZ2467" s="10" t="s">
        <v>136</v>
      </c>
      <c r="BA2467" s="20" t="b">
        <v>0</v>
      </c>
      <c r="BB2467" s="10"/>
      <c r="BC2467" s="17">
        <v>4211</v>
      </c>
      <c r="BD2467" s="17">
        <v>3661</v>
      </c>
      <c r="BE2467" s="17">
        <v>76472.75</v>
      </c>
      <c r="BF2467" s="17">
        <v>0</v>
      </c>
      <c r="BG2467" s="11">
        <f ca="1">IFERROR(__xludf.DUMMYFUNCTION("""COMPUTED_VALUE"""),45991.03125)</f>
        <v>45991.03125</v>
      </c>
      <c r="BH2467" s="17" t="s">
        <v>105</v>
      </c>
      <c r="BI2467" s="17"/>
      <c r="BJ2467" s="15"/>
      <c r="BK2467" s="15"/>
      <c r="BL2467" s="13" t="b">
        <v>0</v>
      </c>
      <c r="BM2467" s="10"/>
      <c r="BN2467" s="10" t="s">
        <v>6278</v>
      </c>
      <c r="BO2467" s="11">
        <v>45958.704861111109</v>
      </c>
      <c r="BP2467" s="11">
        <v>45984.370405092595</v>
      </c>
      <c r="BQ2467" s="15">
        <v>45985.954317129632</v>
      </c>
      <c r="BR2467" s="15">
        <v>45986.397812499999</v>
      </c>
      <c r="BS2467" s="10" t="s">
        <v>6278</v>
      </c>
      <c r="BT2467" s="10" t="s">
        <v>99</v>
      </c>
      <c r="BU2467" s="10" t="s">
        <v>498</v>
      </c>
      <c r="BV2467" s="10"/>
      <c r="BW2467" s="10"/>
      <c r="BX2467" s="10"/>
      <c r="BY2467" s="23"/>
      <c r="BZ2467" s="23"/>
      <c r="CA2467" s="19" t="s">
        <v>18699</v>
      </c>
      <c r="CB2467" s="19" t="s">
        <v>18696</v>
      </c>
      <c r="CC2467" s="23"/>
      <c r="CD2467" s="19" t="s">
        <v>18700</v>
      </c>
      <c r="CE2467" s="23"/>
      <c r="CF2467" s="23"/>
      <c r="CG2467" s="23"/>
      <c r="CH2467" s="23"/>
      <c r="CI2467" s="23"/>
    </row>
    <row r="2468" spans="1:87" x14ac:dyDescent="0.3">
      <c r="A2468" s="9" t="s">
        <v>18701</v>
      </c>
      <c r="B2468" s="10" t="s">
        <v>18702</v>
      </c>
      <c r="C2468" s="11">
        <v>45969.020833333336</v>
      </c>
      <c r="D2468" s="12">
        <v>8.3333333333333329E-2</v>
      </c>
      <c r="E2468" s="11">
        <v>45969.104166666664</v>
      </c>
      <c r="F2468" s="10" t="s">
        <v>9129</v>
      </c>
      <c r="G2468" s="13" t="b">
        <v>0</v>
      </c>
      <c r="H2468" s="22" t="s">
        <v>9130</v>
      </c>
      <c r="I2468" s="10" t="s">
        <v>9131</v>
      </c>
      <c r="J2468" s="13" t="b">
        <v>0</v>
      </c>
      <c r="K2468" s="13" t="b">
        <v>1</v>
      </c>
      <c r="L2468" s="10" t="s">
        <v>124</v>
      </c>
      <c r="M2468" s="10" t="s">
        <v>91</v>
      </c>
      <c r="N2468" s="10" t="s">
        <v>265</v>
      </c>
      <c r="O2468" s="19" t="s">
        <v>18703</v>
      </c>
      <c r="P2468" s="10"/>
      <c r="Q2468" s="10" t="s">
        <v>94</v>
      </c>
      <c r="R2468" s="10"/>
      <c r="S2468" s="19" t="s">
        <v>18704</v>
      </c>
      <c r="T2468" s="10"/>
      <c r="U2468" s="10" t="s">
        <v>17564</v>
      </c>
      <c r="V2468" s="10" t="s">
        <v>9149</v>
      </c>
      <c r="W2468" s="10" t="s">
        <v>9136</v>
      </c>
      <c r="X2468" s="10" t="s">
        <v>130</v>
      </c>
      <c r="Y2468" s="10" t="s">
        <v>130</v>
      </c>
      <c r="Z2468" s="10" t="s">
        <v>99</v>
      </c>
      <c r="AA2468" s="10" t="s">
        <v>131</v>
      </c>
      <c r="AB2468" s="10" t="s">
        <v>9137</v>
      </c>
      <c r="AC2468" s="10" t="s">
        <v>9138</v>
      </c>
      <c r="AD2468" s="10" t="s">
        <v>18705</v>
      </c>
      <c r="AE2468" s="10" t="s">
        <v>18706</v>
      </c>
      <c r="AF2468" s="15"/>
      <c r="AG2468" s="10"/>
      <c r="AH2468" s="10"/>
      <c r="AI2468" s="10"/>
      <c r="AJ2468" s="10"/>
      <c r="AK2468" s="10" t="s">
        <v>102</v>
      </c>
      <c r="AL2468" s="10" t="s">
        <v>195</v>
      </c>
      <c r="AM2468" s="10"/>
      <c r="AN2468" s="10"/>
      <c r="AO2468" s="13" t="b">
        <v>0</v>
      </c>
      <c r="AP2468" s="22" t="s">
        <v>104</v>
      </c>
      <c r="AQ2468" s="10">
        <f ca="1">IFERROR(__xludf.DUMMYFUNCTION("""COMPUTED_VALUE"""),4706720)</f>
        <v>4706720</v>
      </c>
      <c r="AR2468" s="17">
        <v>5028</v>
      </c>
      <c r="AS2468" s="17">
        <v>4321</v>
      </c>
      <c r="AT2468" s="17">
        <v>114861.25</v>
      </c>
      <c r="AU2468" s="17">
        <v>7</v>
      </c>
      <c r="AV2468" s="17">
        <v>1.25</v>
      </c>
      <c r="AW2468" s="10" t="s">
        <v>105</v>
      </c>
      <c r="AX2468" s="17">
        <v>859</v>
      </c>
      <c r="AY2468" s="18">
        <v>26.582099051145569</v>
      </c>
      <c r="AZ2468" s="10" t="s">
        <v>168</v>
      </c>
      <c r="BA2468" s="20" t="b">
        <v>0</v>
      </c>
      <c r="BB2468" s="10"/>
      <c r="BC2468" s="17">
        <v>5028</v>
      </c>
      <c r="BD2468" s="17">
        <v>4321</v>
      </c>
      <c r="BE2468" s="17">
        <v>114861.25</v>
      </c>
      <c r="BF2468" s="17">
        <v>1.25</v>
      </c>
      <c r="BG2468" s="11">
        <f ca="1">IFERROR(__xludf.DUMMYFUNCTION("""COMPUTED_VALUE"""),45969.0208333333)</f>
        <v>45969.020833333299</v>
      </c>
      <c r="BH2468" s="17" t="s">
        <v>105</v>
      </c>
      <c r="BI2468" s="17"/>
      <c r="BJ2468" s="15"/>
      <c r="BK2468" s="15"/>
      <c r="BL2468" s="13" t="b">
        <v>0</v>
      </c>
      <c r="BM2468" s="10"/>
      <c r="BN2468" s="10" t="s">
        <v>118</v>
      </c>
      <c r="BO2468" s="11">
        <v>45959.538888888892</v>
      </c>
      <c r="BP2468" s="11">
        <v>45959.539074074077</v>
      </c>
      <c r="BQ2468" s="15">
        <v>45967.495671296296</v>
      </c>
      <c r="BR2468" s="15">
        <v>45967.660428240742</v>
      </c>
      <c r="BS2468" s="10" t="s">
        <v>118</v>
      </c>
      <c r="BT2468" s="10" t="s">
        <v>99</v>
      </c>
      <c r="BU2468" s="10"/>
      <c r="BV2468" s="10"/>
      <c r="BW2468" s="10"/>
      <c r="BX2468" s="10"/>
      <c r="BY2468" s="23"/>
      <c r="BZ2468" s="23"/>
      <c r="CA2468" s="19" t="s">
        <v>18707</v>
      </c>
      <c r="CB2468" s="23"/>
      <c r="CC2468" s="23"/>
      <c r="CD2468" s="23"/>
      <c r="CE2468" s="23"/>
      <c r="CF2468" s="23"/>
      <c r="CG2468" s="23"/>
      <c r="CH2468" s="23"/>
      <c r="CI2468" s="23"/>
    </row>
    <row r="2469" spans="1:87" x14ac:dyDescent="0.3">
      <c r="A2469" s="9" t="s">
        <v>18708</v>
      </c>
      <c r="B2469" s="10" t="s">
        <v>18709</v>
      </c>
      <c r="C2469" s="11">
        <v>45970.020833333336</v>
      </c>
      <c r="D2469" s="12">
        <v>8.3333333333333329E-2</v>
      </c>
      <c r="E2469" s="11">
        <v>45970.104166666664</v>
      </c>
      <c r="F2469" s="10" t="s">
        <v>9129</v>
      </c>
      <c r="G2469" s="13" t="b">
        <v>0</v>
      </c>
      <c r="H2469" s="22" t="s">
        <v>9130</v>
      </c>
      <c r="I2469" s="10" t="s">
        <v>9131</v>
      </c>
      <c r="J2469" s="13" t="b">
        <v>0</v>
      </c>
      <c r="K2469" s="13" t="b">
        <v>1</v>
      </c>
      <c r="L2469" s="10" t="s">
        <v>124</v>
      </c>
      <c r="M2469" s="10" t="s">
        <v>91</v>
      </c>
      <c r="N2469" s="10" t="s">
        <v>265</v>
      </c>
      <c r="O2469" s="19" t="s">
        <v>18710</v>
      </c>
      <c r="P2469" s="10"/>
      <c r="Q2469" s="10" t="s">
        <v>126</v>
      </c>
      <c r="R2469" s="10"/>
      <c r="S2469" s="19" t="s">
        <v>18711</v>
      </c>
      <c r="T2469" s="10"/>
      <c r="U2469" s="10" t="s">
        <v>9134</v>
      </c>
      <c r="V2469" s="10" t="s">
        <v>14944</v>
      </c>
      <c r="W2469" s="10" t="s">
        <v>9136</v>
      </c>
      <c r="X2469" s="10" t="s">
        <v>130</v>
      </c>
      <c r="Y2469" s="10" t="s">
        <v>130</v>
      </c>
      <c r="Z2469" s="10" t="s">
        <v>99</v>
      </c>
      <c r="AA2469" s="10" t="s">
        <v>131</v>
      </c>
      <c r="AB2469" s="10" t="s">
        <v>9137</v>
      </c>
      <c r="AC2469" s="10" t="s">
        <v>9138</v>
      </c>
      <c r="AD2469" s="10" t="s">
        <v>18712</v>
      </c>
      <c r="AE2469" s="10" t="s">
        <v>18713</v>
      </c>
      <c r="AF2469" s="15"/>
      <c r="AG2469" s="10"/>
      <c r="AH2469" s="10"/>
      <c r="AI2469" s="10"/>
      <c r="AJ2469" s="10" t="s">
        <v>18714</v>
      </c>
      <c r="AK2469" s="10" t="s">
        <v>102</v>
      </c>
      <c r="AL2469" s="10" t="s">
        <v>195</v>
      </c>
      <c r="AM2469" s="10"/>
      <c r="AN2469" s="10"/>
      <c r="AO2469" s="13" t="b">
        <v>0</v>
      </c>
      <c r="AP2469" s="22" t="s">
        <v>104</v>
      </c>
      <c r="AQ2469" s="10">
        <f ca="1">IFERROR(__xludf.DUMMYFUNCTION("""COMPUTED_VALUE"""),4707260)</f>
        <v>4707260</v>
      </c>
      <c r="AR2469" s="17">
        <v>4807</v>
      </c>
      <c r="AS2469" s="17">
        <v>4171</v>
      </c>
      <c r="AT2469" s="17">
        <v>38643.75</v>
      </c>
      <c r="AU2469" s="17">
        <v>3.35</v>
      </c>
      <c r="AV2469" s="17">
        <v>1.6</v>
      </c>
      <c r="AW2469" s="10" t="s">
        <v>105</v>
      </c>
      <c r="AX2469" s="17">
        <v>494</v>
      </c>
      <c r="AY2469" s="18">
        <v>9.2648645408774879</v>
      </c>
      <c r="AZ2469" s="10" t="s">
        <v>168</v>
      </c>
      <c r="BA2469" s="20" t="b">
        <v>0</v>
      </c>
      <c r="BB2469" s="10"/>
      <c r="BC2469" s="17">
        <v>4807</v>
      </c>
      <c r="BD2469" s="17">
        <v>4171</v>
      </c>
      <c r="BE2469" s="17">
        <v>38643.75</v>
      </c>
      <c r="BF2469" s="17">
        <v>1.6</v>
      </c>
      <c r="BG2469" s="11">
        <f ca="1">IFERROR(__xludf.DUMMYFUNCTION("""COMPUTED_VALUE"""),45970.0208333333)</f>
        <v>45970.020833333299</v>
      </c>
      <c r="BH2469" s="17" t="s">
        <v>105</v>
      </c>
      <c r="BI2469" s="17"/>
      <c r="BJ2469" s="15"/>
      <c r="BK2469" s="15"/>
      <c r="BL2469" s="13" t="b">
        <v>0</v>
      </c>
      <c r="BM2469" s="10"/>
      <c r="BN2469" s="10" t="s">
        <v>197</v>
      </c>
      <c r="BO2469" s="11">
        <v>45959.538888888892</v>
      </c>
      <c r="BP2469" s="11">
        <v>45959.65865740741</v>
      </c>
      <c r="BQ2469" s="15">
        <v>45967.495787037034</v>
      </c>
      <c r="BR2469" s="15">
        <v>45968.423564814817</v>
      </c>
      <c r="BS2469" s="10" t="s">
        <v>197</v>
      </c>
      <c r="BT2469" s="10" t="s">
        <v>99</v>
      </c>
      <c r="BU2469" s="10" t="s">
        <v>11615</v>
      </c>
      <c r="BV2469" s="10"/>
      <c r="BW2469" s="10"/>
      <c r="BX2469" s="10"/>
      <c r="BY2469" s="23"/>
      <c r="BZ2469" s="23"/>
      <c r="CA2469" s="19" t="s">
        <v>18715</v>
      </c>
      <c r="CB2469" s="23"/>
      <c r="CC2469" s="23"/>
      <c r="CD2469" s="19" t="s">
        <v>18716</v>
      </c>
      <c r="CE2469" s="23"/>
      <c r="CF2469" s="23"/>
      <c r="CG2469" s="23"/>
      <c r="CH2469" s="23"/>
      <c r="CI2469" s="23"/>
    </row>
    <row r="2470" spans="1:87" x14ac:dyDescent="0.3">
      <c r="A2470" s="9" t="s">
        <v>18717</v>
      </c>
      <c r="B2470" s="10" t="s">
        <v>18718</v>
      </c>
      <c r="C2470" s="11">
        <v>45969.791666666664</v>
      </c>
      <c r="D2470" s="12">
        <v>0.14583333333333334</v>
      </c>
      <c r="E2470" s="11">
        <v>45969.9375</v>
      </c>
      <c r="F2470" s="10" t="s">
        <v>8402</v>
      </c>
      <c r="G2470" s="13" t="b">
        <v>0</v>
      </c>
      <c r="H2470" s="22" t="s">
        <v>8403</v>
      </c>
      <c r="I2470" s="10" t="s">
        <v>212</v>
      </c>
      <c r="J2470" s="13" t="b">
        <v>1</v>
      </c>
      <c r="K2470" s="13" t="b">
        <v>0</v>
      </c>
      <c r="L2470" s="10" t="s">
        <v>124</v>
      </c>
      <c r="M2470" s="10" t="s">
        <v>91</v>
      </c>
      <c r="N2470" s="10" t="s">
        <v>92</v>
      </c>
      <c r="O2470" s="19" t="s">
        <v>18719</v>
      </c>
      <c r="P2470" s="10"/>
      <c r="Q2470" s="10" t="s">
        <v>126</v>
      </c>
      <c r="R2470" s="19" t="s">
        <v>18720</v>
      </c>
      <c r="S2470" s="19" t="s">
        <v>18721</v>
      </c>
      <c r="T2470" s="10"/>
      <c r="U2470" s="10"/>
      <c r="V2470" s="10"/>
      <c r="W2470" s="10" t="s">
        <v>8407</v>
      </c>
      <c r="X2470" s="10" t="s">
        <v>8408</v>
      </c>
      <c r="Y2470" s="10" t="s">
        <v>8409</v>
      </c>
      <c r="Z2470" s="10" t="s">
        <v>99</v>
      </c>
      <c r="AA2470" s="10" t="s">
        <v>100</v>
      </c>
      <c r="AB2470" s="10" t="s">
        <v>8410</v>
      </c>
      <c r="AC2470" s="10"/>
      <c r="AD2470" s="10" t="s">
        <v>165</v>
      </c>
      <c r="AE2470" s="10" t="s">
        <v>18722</v>
      </c>
      <c r="AF2470" s="15"/>
      <c r="AG2470" s="10"/>
      <c r="AH2470" s="10"/>
      <c r="AI2470" s="10"/>
      <c r="AJ2470" s="10"/>
      <c r="AK2470" s="10" t="s">
        <v>102</v>
      </c>
      <c r="AL2470" s="10"/>
      <c r="AM2470" s="10"/>
      <c r="AN2470" s="10"/>
      <c r="AO2470" s="13" t="b">
        <v>0</v>
      </c>
      <c r="AP2470" s="22"/>
      <c r="AQ2470" s="10">
        <f ca="1">IFERROR(__xludf.DUMMYFUNCTION("""COMPUTED_VALUE"""),4707841)</f>
        <v>4707841</v>
      </c>
      <c r="AR2470" s="17">
        <v>12132</v>
      </c>
      <c r="AS2470" s="17">
        <v>9643</v>
      </c>
      <c r="AT2470" s="17">
        <v>94944.75</v>
      </c>
      <c r="AU2470" s="17">
        <v>23</v>
      </c>
      <c r="AV2470" s="17">
        <v>8</v>
      </c>
      <c r="AW2470" s="10" t="s">
        <v>105</v>
      </c>
      <c r="AX2470" s="17">
        <v>1450</v>
      </c>
      <c r="AY2470" s="18">
        <v>9.8459763559058384</v>
      </c>
      <c r="AZ2470" s="10" t="s">
        <v>3783</v>
      </c>
      <c r="BA2470" s="20" t="b">
        <v>0</v>
      </c>
      <c r="BB2470" s="10"/>
      <c r="BC2470" s="17">
        <v>12132</v>
      </c>
      <c r="BD2470" s="17">
        <v>9643</v>
      </c>
      <c r="BE2470" s="17">
        <v>94944.75</v>
      </c>
      <c r="BF2470" s="17">
        <v>8</v>
      </c>
      <c r="BG2470" s="11">
        <f ca="1">IFERROR(__xludf.DUMMYFUNCTION("""COMPUTED_VALUE"""),45969.7916666666)</f>
        <v>45969.791666666599</v>
      </c>
      <c r="BH2470" s="17" t="s">
        <v>105</v>
      </c>
      <c r="BI2470" s="17"/>
      <c r="BJ2470" s="15"/>
      <c r="BK2470" s="15"/>
      <c r="BL2470" s="13" t="b">
        <v>0</v>
      </c>
      <c r="BM2470" s="10"/>
      <c r="BN2470" s="10" t="s">
        <v>149</v>
      </c>
      <c r="BO2470" s="11">
        <v>45959.571527777778</v>
      </c>
      <c r="BP2470" s="11">
        <v>45961.603113425925</v>
      </c>
      <c r="BQ2470" s="15">
        <v>45968.572164351855</v>
      </c>
      <c r="BR2470" s="15">
        <v>45968.613518518519</v>
      </c>
      <c r="BS2470" s="10" t="s">
        <v>149</v>
      </c>
      <c r="BT2470" s="10"/>
      <c r="BU2470" s="10"/>
      <c r="BV2470" s="10"/>
      <c r="BW2470" s="10"/>
      <c r="BX2470" s="10"/>
      <c r="BY2470" s="23"/>
      <c r="BZ2470" s="23"/>
      <c r="CA2470" s="19" t="s">
        <v>18723</v>
      </c>
      <c r="CB2470" s="23"/>
      <c r="CC2470" s="23"/>
      <c r="CD2470" s="19" t="s">
        <v>18724</v>
      </c>
      <c r="CE2470" s="23"/>
      <c r="CF2470" s="23"/>
      <c r="CG2470" s="23"/>
      <c r="CH2470" s="23"/>
      <c r="CI2470" s="23"/>
    </row>
    <row r="2471" spans="1:87" x14ac:dyDescent="0.3">
      <c r="A2471" s="9" t="s">
        <v>18725</v>
      </c>
      <c r="B2471" s="10" t="s">
        <v>18726</v>
      </c>
      <c r="C2471" s="11">
        <v>45968.34375</v>
      </c>
      <c r="D2471" s="12">
        <v>0.14583333333333334</v>
      </c>
      <c r="E2471" s="11">
        <v>45968.489583333336</v>
      </c>
      <c r="F2471" s="10" t="s">
        <v>15270</v>
      </c>
      <c r="G2471" s="13" t="b">
        <v>0</v>
      </c>
      <c r="H2471" s="22" t="s">
        <v>15271</v>
      </c>
      <c r="I2471" s="10" t="s">
        <v>3213</v>
      </c>
      <c r="J2471" s="13" t="b">
        <v>0</v>
      </c>
      <c r="K2471" s="13" t="b">
        <v>1</v>
      </c>
      <c r="L2471" s="10" t="s">
        <v>124</v>
      </c>
      <c r="M2471" s="10" t="s">
        <v>91</v>
      </c>
      <c r="N2471" s="10" t="s">
        <v>92</v>
      </c>
      <c r="O2471" s="19" t="s">
        <v>18727</v>
      </c>
      <c r="P2471" s="10" t="s">
        <v>3215</v>
      </c>
      <c r="Q2471" s="10" t="s">
        <v>126</v>
      </c>
      <c r="R2471" s="10"/>
      <c r="S2471" s="19" t="s">
        <v>18728</v>
      </c>
      <c r="T2471" s="19" t="s">
        <v>15527</v>
      </c>
      <c r="U2471" s="10" t="s">
        <v>15510</v>
      </c>
      <c r="V2471" s="10" t="s">
        <v>15325</v>
      </c>
      <c r="W2471" s="10" t="s">
        <v>15276</v>
      </c>
      <c r="X2471" s="10" t="s">
        <v>15277</v>
      </c>
      <c r="Y2471" s="10" t="s">
        <v>15277</v>
      </c>
      <c r="Z2471" s="10" t="s">
        <v>99</v>
      </c>
      <c r="AA2471" s="10" t="s">
        <v>131</v>
      </c>
      <c r="AB2471" s="10" t="s">
        <v>15278</v>
      </c>
      <c r="AC2471" s="10" t="s">
        <v>15279</v>
      </c>
      <c r="AD2471" s="10" t="s">
        <v>165</v>
      </c>
      <c r="AE2471" s="10" t="s">
        <v>18729</v>
      </c>
      <c r="AF2471" s="15"/>
      <c r="AG2471" s="10"/>
      <c r="AH2471" s="10"/>
      <c r="AI2471" s="10"/>
      <c r="AJ2471" s="10"/>
      <c r="AK2471" s="10" t="s">
        <v>102</v>
      </c>
      <c r="AL2471" s="10" t="s">
        <v>1252</v>
      </c>
      <c r="AM2471" s="10"/>
      <c r="AN2471" s="10"/>
      <c r="AO2471" s="13" t="b">
        <v>0</v>
      </c>
      <c r="AP2471" s="22" t="s">
        <v>104</v>
      </c>
      <c r="AQ2471" s="10">
        <f ca="1">IFERROR(__xludf.DUMMYFUNCTION("""COMPUTED_VALUE"""),4706546)</f>
        <v>4706546</v>
      </c>
      <c r="AR2471" s="17">
        <v>2652</v>
      </c>
      <c r="AS2471" s="17">
        <v>2010</v>
      </c>
      <c r="AT2471" s="17">
        <v>45068.5</v>
      </c>
      <c r="AU2471" s="17">
        <v>4.8499999999999996</v>
      </c>
      <c r="AV2471" s="17">
        <v>1</v>
      </c>
      <c r="AW2471" s="10" t="s">
        <v>105</v>
      </c>
      <c r="AX2471" s="17">
        <v>352</v>
      </c>
      <c r="AY2471" s="18">
        <v>22.422139303482588</v>
      </c>
      <c r="AZ2471" s="10"/>
      <c r="BA2471" s="20" t="b">
        <v>0</v>
      </c>
      <c r="BB2471" s="10"/>
      <c r="BC2471" s="17">
        <v>2652</v>
      </c>
      <c r="BD2471" s="17">
        <v>2010</v>
      </c>
      <c r="BE2471" s="17">
        <v>45068.5</v>
      </c>
      <c r="BF2471" s="17">
        <v>1</v>
      </c>
      <c r="BG2471" s="11">
        <f ca="1">IFERROR(__xludf.DUMMYFUNCTION("""COMPUTED_VALUE"""),45968.34375)</f>
        <v>45968.34375</v>
      </c>
      <c r="BH2471" s="17" t="s">
        <v>105</v>
      </c>
      <c r="BI2471" s="17"/>
      <c r="BJ2471" s="15"/>
      <c r="BK2471" s="15"/>
      <c r="BL2471" s="13" t="b">
        <v>0</v>
      </c>
      <c r="BM2471" s="10"/>
      <c r="BN2471" s="10" t="s">
        <v>136</v>
      </c>
      <c r="BO2471" s="11">
        <v>45961.466666666667</v>
      </c>
      <c r="BP2471" s="11">
        <v>45961.470312500001</v>
      </c>
      <c r="BQ2471" s="15">
        <v>45967.527916666666</v>
      </c>
      <c r="BR2471" s="15">
        <v>45967.537523148145</v>
      </c>
      <c r="BS2471" s="10"/>
      <c r="BT2471" s="10"/>
      <c r="BU2471" s="10"/>
      <c r="BV2471" s="10"/>
      <c r="BW2471" s="10"/>
      <c r="BX2471" s="10"/>
      <c r="BY2471" s="23"/>
      <c r="BZ2471" s="23"/>
      <c r="CA2471" s="19" t="s">
        <v>18730</v>
      </c>
      <c r="CB2471" s="19" t="s">
        <v>18731</v>
      </c>
      <c r="CC2471" s="23"/>
      <c r="CD2471" s="19" t="s">
        <v>18732</v>
      </c>
      <c r="CE2471" s="23"/>
      <c r="CF2471" s="23"/>
      <c r="CG2471" s="23"/>
      <c r="CH2471" s="23"/>
      <c r="CI2471" s="23"/>
    </row>
    <row r="2472" spans="1:87" x14ac:dyDescent="0.3">
      <c r="A2472" s="9" t="s">
        <v>18733</v>
      </c>
      <c r="B2472" s="10" t="s">
        <v>18734</v>
      </c>
      <c r="C2472" s="11">
        <v>45971.041666666664</v>
      </c>
      <c r="D2472" s="12">
        <v>0.14583333333333334</v>
      </c>
      <c r="E2472" s="11">
        <v>45971.1875</v>
      </c>
      <c r="F2472" s="10" t="s">
        <v>15270</v>
      </c>
      <c r="G2472" s="13" t="b">
        <v>0</v>
      </c>
      <c r="H2472" s="22" t="s">
        <v>15271</v>
      </c>
      <c r="I2472" s="10" t="s">
        <v>3213</v>
      </c>
      <c r="J2472" s="13" t="b">
        <v>0</v>
      </c>
      <c r="K2472" s="13" t="b">
        <v>1</v>
      </c>
      <c r="L2472" s="10" t="s">
        <v>124</v>
      </c>
      <c r="M2472" s="10" t="s">
        <v>91</v>
      </c>
      <c r="N2472" s="10" t="s">
        <v>92</v>
      </c>
      <c r="O2472" s="19" t="s">
        <v>18735</v>
      </c>
      <c r="P2472" s="10" t="s">
        <v>88</v>
      </c>
      <c r="Q2472" s="10" t="s">
        <v>126</v>
      </c>
      <c r="R2472" s="10"/>
      <c r="S2472" s="19" t="s">
        <v>18736</v>
      </c>
      <c r="T2472" s="19" t="s">
        <v>15527</v>
      </c>
      <c r="U2472" s="10" t="s">
        <v>15317</v>
      </c>
      <c r="V2472" s="10" t="s">
        <v>16288</v>
      </c>
      <c r="W2472" s="10" t="s">
        <v>15276</v>
      </c>
      <c r="X2472" s="10" t="s">
        <v>15277</v>
      </c>
      <c r="Y2472" s="10" t="s">
        <v>15277</v>
      </c>
      <c r="Z2472" s="10" t="s">
        <v>99</v>
      </c>
      <c r="AA2472" s="10" t="s">
        <v>131</v>
      </c>
      <c r="AB2472" s="10" t="s">
        <v>15278</v>
      </c>
      <c r="AC2472" s="10" t="s">
        <v>15279</v>
      </c>
      <c r="AD2472" s="10" t="s">
        <v>165</v>
      </c>
      <c r="AE2472" s="10" t="s">
        <v>18737</v>
      </c>
      <c r="AF2472" s="15"/>
      <c r="AG2472" s="10"/>
      <c r="AH2472" s="10"/>
      <c r="AI2472" s="10"/>
      <c r="AJ2472" s="10"/>
      <c r="AK2472" s="10" t="s">
        <v>102</v>
      </c>
      <c r="AL2472" s="10" t="s">
        <v>1252</v>
      </c>
      <c r="AM2472" s="10"/>
      <c r="AN2472" s="10"/>
      <c r="AO2472" s="13" t="b">
        <v>0</v>
      </c>
      <c r="AP2472" s="22" t="s">
        <v>104</v>
      </c>
      <c r="AQ2472" s="10">
        <f ca="1">IFERROR(__xludf.DUMMYFUNCTION("""COMPUTED_VALUE"""),4708927)</f>
        <v>4708927</v>
      </c>
      <c r="AR2472" s="17">
        <v>1933</v>
      </c>
      <c r="AS2472" s="17">
        <v>1620</v>
      </c>
      <c r="AT2472" s="17">
        <v>31330.5</v>
      </c>
      <c r="AU2472" s="17">
        <v>2.1</v>
      </c>
      <c r="AV2472" s="17">
        <v>0</v>
      </c>
      <c r="AW2472" s="10" t="s">
        <v>105</v>
      </c>
      <c r="AX2472" s="17">
        <v>262</v>
      </c>
      <c r="AY2472" s="18">
        <v>19.339814814814815</v>
      </c>
      <c r="AZ2472" s="10"/>
      <c r="BA2472" s="20" t="b">
        <v>0</v>
      </c>
      <c r="BB2472" s="10"/>
      <c r="BC2472" s="17">
        <v>1933</v>
      </c>
      <c r="BD2472" s="17">
        <v>1620</v>
      </c>
      <c r="BE2472" s="17">
        <v>31330.5</v>
      </c>
      <c r="BF2472" s="17">
        <v>0</v>
      </c>
      <c r="BG2472" s="11">
        <f ca="1">IFERROR(__xludf.DUMMYFUNCTION("""COMPUTED_VALUE"""),45971.0416666666)</f>
        <v>45971.041666666599</v>
      </c>
      <c r="BH2472" s="17" t="s">
        <v>105</v>
      </c>
      <c r="BI2472" s="17"/>
      <c r="BJ2472" s="15"/>
      <c r="BK2472" s="15"/>
      <c r="BL2472" s="13" t="b">
        <v>0</v>
      </c>
      <c r="BM2472" s="10"/>
      <c r="BN2472" s="10" t="s">
        <v>118</v>
      </c>
      <c r="BO2472" s="11">
        <v>45961.470138888886</v>
      </c>
      <c r="BP2472" s="11">
        <v>45961.470694444448</v>
      </c>
      <c r="BQ2472" s="15">
        <v>45967.527337962965</v>
      </c>
      <c r="BR2472" s="15">
        <v>45969.7108912037</v>
      </c>
      <c r="BS2472" s="10" t="s">
        <v>118</v>
      </c>
      <c r="BT2472" s="10"/>
      <c r="BU2472" s="10"/>
      <c r="BV2472" s="10"/>
      <c r="BW2472" s="10"/>
      <c r="BX2472" s="10"/>
      <c r="BY2472" s="23"/>
      <c r="BZ2472" s="23"/>
      <c r="CA2472" s="19" t="s">
        <v>18738</v>
      </c>
      <c r="CB2472" s="19" t="s">
        <v>18739</v>
      </c>
      <c r="CC2472" s="23"/>
      <c r="CD2472" s="19" t="s">
        <v>18740</v>
      </c>
      <c r="CE2472" s="23"/>
      <c r="CF2472" s="23"/>
      <c r="CG2472" s="23"/>
      <c r="CH2472" s="23"/>
      <c r="CI2472" s="23"/>
    </row>
    <row r="2473" spans="1:87" x14ac:dyDescent="0.3">
      <c r="A2473" s="9" t="s">
        <v>18741</v>
      </c>
      <c r="B2473" s="10" t="s">
        <v>18742</v>
      </c>
      <c r="C2473" s="11">
        <v>45971.184027777781</v>
      </c>
      <c r="D2473" s="12">
        <v>0.14583333333333334</v>
      </c>
      <c r="E2473" s="11">
        <v>45971.329861111109</v>
      </c>
      <c r="F2473" s="10" t="s">
        <v>15270</v>
      </c>
      <c r="G2473" s="13" t="b">
        <v>0</v>
      </c>
      <c r="H2473" s="22" t="s">
        <v>15271</v>
      </c>
      <c r="I2473" s="10" t="s">
        <v>3213</v>
      </c>
      <c r="J2473" s="13" t="b">
        <v>0</v>
      </c>
      <c r="K2473" s="13" t="b">
        <v>1</v>
      </c>
      <c r="L2473" s="10" t="s">
        <v>124</v>
      </c>
      <c r="M2473" s="10" t="s">
        <v>91</v>
      </c>
      <c r="N2473" s="10" t="s">
        <v>92</v>
      </c>
      <c r="O2473" s="19" t="s">
        <v>18743</v>
      </c>
      <c r="P2473" s="10" t="s">
        <v>88</v>
      </c>
      <c r="Q2473" s="10" t="s">
        <v>126</v>
      </c>
      <c r="R2473" s="10"/>
      <c r="S2473" s="19" t="s">
        <v>18744</v>
      </c>
      <c r="T2473" s="19" t="s">
        <v>15527</v>
      </c>
      <c r="U2473" s="10" t="s">
        <v>15654</v>
      </c>
      <c r="V2473" s="10" t="s">
        <v>15519</v>
      </c>
      <c r="W2473" s="10" t="s">
        <v>15276</v>
      </c>
      <c r="X2473" s="10" t="s">
        <v>15277</v>
      </c>
      <c r="Y2473" s="10" t="s">
        <v>15277</v>
      </c>
      <c r="Z2473" s="10" t="s">
        <v>99</v>
      </c>
      <c r="AA2473" s="10" t="s">
        <v>131</v>
      </c>
      <c r="AB2473" s="10" t="s">
        <v>15278</v>
      </c>
      <c r="AC2473" s="10" t="s">
        <v>15279</v>
      </c>
      <c r="AD2473" s="10" t="s">
        <v>165</v>
      </c>
      <c r="AE2473" s="10" t="s">
        <v>18745</v>
      </c>
      <c r="AF2473" s="15"/>
      <c r="AG2473" s="10"/>
      <c r="AH2473" s="10"/>
      <c r="AI2473" s="10"/>
      <c r="AJ2473" s="10"/>
      <c r="AK2473" s="10" t="s">
        <v>102</v>
      </c>
      <c r="AL2473" s="10" t="s">
        <v>1252</v>
      </c>
      <c r="AM2473" s="10"/>
      <c r="AN2473" s="10"/>
      <c r="AO2473" s="13" t="b">
        <v>0</v>
      </c>
      <c r="AP2473" s="22" t="s">
        <v>104</v>
      </c>
      <c r="AQ2473" s="10">
        <f ca="1">IFERROR(__xludf.DUMMYFUNCTION("""COMPUTED_VALUE"""),4708926)</f>
        <v>4708926</v>
      </c>
      <c r="AR2473" s="17">
        <v>2166</v>
      </c>
      <c r="AS2473" s="17">
        <v>1819</v>
      </c>
      <c r="AT2473" s="17">
        <v>26694.25</v>
      </c>
      <c r="AU2473" s="17">
        <v>2</v>
      </c>
      <c r="AV2473" s="17">
        <v>0</v>
      </c>
      <c r="AW2473" s="10" t="s">
        <v>105</v>
      </c>
      <c r="AX2473" s="17">
        <v>316</v>
      </c>
      <c r="AY2473" s="18">
        <v>14.675233644859814</v>
      </c>
      <c r="AZ2473" s="10"/>
      <c r="BA2473" s="20" t="b">
        <v>0</v>
      </c>
      <c r="BB2473" s="10"/>
      <c r="BC2473" s="17">
        <v>2166</v>
      </c>
      <c r="BD2473" s="17">
        <v>1819</v>
      </c>
      <c r="BE2473" s="17">
        <v>26694.25</v>
      </c>
      <c r="BF2473" s="17">
        <v>0</v>
      </c>
      <c r="BG2473" s="11">
        <f ca="1">IFERROR(__xludf.DUMMYFUNCTION("""COMPUTED_VALUE"""),45971.1840277777)</f>
        <v>45971.184027777701</v>
      </c>
      <c r="BH2473" s="17" t="s">
        <v>105</v>
      </c>
      <c r="BI2473" s="17"/>
      <c r="BJ2473" s="15"/>
      <c r="BK2473" s="15"/>
      <c r="BL2473" s="13" t="b">
        <v>0</v>
      </c>
      <c r="BM2473" s="10"/>
      <c r="BN2473" s="10" t="s">
        <v>118</v>
      </c>
      <c r="BO2473" s="11">
        <v>45961.47152777778</v>
      </c>
      <c r="BP2473" s="11">
        <v>45961.471678240741</v>
      </c>
      <c r="BQ2473" s="15">
        <v>45967.527430555558</v>
      </c>
      <c r="BR2473" s="15">
        <v>45969.711122685185</v>
      </c>
      <c r="BS2473" s="10" t="s">
        <v>118</v>
      </c>
      <c r="BT2473" s="10"/>
      <c r="BU2473" s="10"/>
      <c r="BV2473" s="10"/>
      <c r="BW2473" s="10"/>
      <c r="BX2473" s="10"/>
      <c r="BY2473" s="23"/>
      <c r="BZ2473" s="23"/>
      <c r="CA2473" s="19" t="s">
        <v>18746</v>
      </c>
      <c r="CB2473" s="19" t="s">
        <v>18747</v>
      </c>
      <c r="CC2473" s="23"/>
      <c r="CD2473" s="19" t="s">
        <v>18748</v>
      </c>
      <c r="CE2473" s="23"/>
      <c r="CF2473" s="23"/>
      <c r="CG2473" s="23"/>
      <c r="CH2473" s="23"/>
      <c r="CI2473" s="23"/>
    </row>
    <row r="2474" spans="1:87" x14ac:dyDescent="0.3">
      <c r="A2474" s="9" t="s">
        <v>18749</v>
      </c>
      <c r="B2474" s="10" t="s">
        <v>18750</v>
      </c>
      <c r="C2474" s="11">
        <v>45971.347222222219</v>
      </c>
      <c r="D2474" s="12">
        <v>0.14583333333333334</v>
      </c>
      <c r="E2474" s="11">
        <v>45971.493055555555</v>
      </c>
      <c r="F2474" s="10" t="s">
        <v>15270</v>
      </c>
      <c r="G2474" s="13" t="b">
        <v>0</v>
      </c>
      <c r="H2474" s="22" t="s">
        <v>15271</v>
      </c>
      <c r="I2474" s="10" t="s">
        <v>3213</v>
      </c>
      <c r="J2474" s="13" t="b">
        <v>0</v>
      </c>
      <c r="K2474" s="13" t="b">
        <v>1</v>
      </c>
      <c r="L2474" s="10" t="s">
        <v>124</v>
      </c>
      <c r="M2474" s="10" t="s">
        <v>91</v>
      </c>
      <c r="N2474" s="10" t="s">
        <v>92</v>
      </c>
      <c r="O2474" s="19" t="s">
        <v>18751</v>
      </c>
      <c r="P2474" s="10" t="s">
        <v>3215</v>
      </c>
      <c r="Q2474" s="10" t="s">
        <v>126</v>
      </c>
      <c r="R2474" s="10"/>
      <c r="S2474" s="19" t="s">
        <v>18752</v>
      </c>
      <c r="T2474" s="19" t="s">
        <v>15527</v>
      </c>
      <c r="U2474" s="10" t="s">
        <v>15326</v>
      </c>
      <c r="V2474" s="10" t="s">
        <v>15490</v>
      </c>
      <c r="W2474" s="10" t="s">
        <v>15276</v>
      </c>
      <c r="X2474" s="10" t="s">
        <v>15277</v>
      </c>
      <c r="Y2474" s="10" t="s">
        <v>15277</v>
      </c>
      <c r="Z2474" s="10" t="s">
        <v>99</v>
      </c>
      <c r="AA2474" s="10" t="s">
        <v>131</v>
      </c>
      <c r="AB2474" s="10" t="s">
        <v>15278</v>
      </c>
      <c r="AC2474" s="10" t="s">
        <v>15279</v>
      </c>
      <c r="AD2474" s="10" t="s">
        <v>165</v>
      </c>
      <c r="AE2474" s="10" t="s">
        <v>18753</v>
      </c>
      <c r="AF2474" s="15"/>
      <c r="AG2474" s="10"/>
      <c r="AH2474" s="10"/>
      <c r="AI2474" s="10"/>
      <c r="AJ2474" s="10"/>
      <c r="AK2474" s="10" t="s">
        <v>102</v>
      </c>
      <c r="AL2474" s="10" t="s">
        <v>1252</v>
      </c>
      <c r="AM2474" s="10"/>
      <c r="AN2474" s="10"/>
      <c r="AO2474" s="13" t="b">
        <v>0</v>
      </c>
      <c r="AP2474" s="22" t="s">
        <v>104</v>
      </c>
      <c r="AQ2474" s="10">
        <f ca="1">IFERROR(__xludf.DUMMYFUNCTION("""COMPUTED_VALUE"""),4708929)</f>
        <v>4708929</v>
      </c>
      <c r="AR2474" s="17">
        <v>2716</v>
      </c>
      <c r="AS2474" s="17">
        <v>2175</v>
      </c>
      <c r="AT2474" s="17">
        <v>50200.25</v>
      </c>
      <c r="AU2474" s="17">
        <v>5.85</v>
      </c>
      <c r="AV2474" s="17">
        <v>0.8</v>
      </c>
      <c r="AW2474" s="10" t="s">
        <v>105</v>
      </c>
      <c r="AX2474" s="17">
        <v>366</v>
      </c>
      <c r="AY2474" s="18">
        <v>23.080574712643678</v>
      </c>
      <c r="AZ2474" s="10"/>
      <c r="BA2474" s="20" t="b">
        <v>0</v>
      </c>
      <c r="BB2474" s="10"/>
      <c r="BC2474" s="17">
        <v>2716</v>
      </c>
      <c r="BD2474" s="17">
        <v>2175</v>
      </c>
      <c r="BE2474" s="17">
        <v>50200.25</v>
      </c>
      <c r="BF2474" s="17">
        <v>0.8</v>
      </c>
      <c r="BG2474" s="11">
        <f ca="1">IFERROR(__xludf.DUMMYFUNCTION("""COMPUTED_VALUE"""),45971.3472222222)</f>
        <v>45971.347222222197</v>
      </c>
      <c r="BH2474" s="17" t="s">
        <v>105</v>
      </c>
      <c r="BI2474" s="17"/>
      <c r="BJ2474" s="15"/>
      <c r="BK2474" s="15"/>
      <c r="BL2474" s="13" t="b">
        <v>0</v>
      </c>
      <c r="BM2474" s="10"/>
      <c r="BN2474" s="10" t="s">
        <v>118</v>
      </c>
      <c r="BO2474" s="11">
        <v>45961.472222222219</v>
      </c>
      <c r="BP2474" s="11">
        <v>45961.472361111111</v>
      </c>
      <c r="BQ2474" s="15">
        <v>45967.527488425927</v>
      </c>
      <c r="BR2474" s="15">
        <v>45969.758298611108</v>
      </c>
      <c r="BS2474" s="10" t="s">
        <v>118</v>
      </c>
      <c r="BT2474" s="10"/>
      <c r="BU2474" s="10"/>
      <c r="BV2474" s="10"/>
      <c r="BW2474" s="10"/>
      <c r="BX2474" s="10"/>
      <c r="BY2474" s="23"/>
      <c r="BZ2474" s="23"/>
      <c r="CA2474" s="19" t="s">
        <v>18754</v>
      </c>
      <c r="CB2474" s="19" t="s">
        <v>18755</v>
      </c>
      <c r="CC2474" s="23"/>
      <c r="CD2474" s="19" t="s">
        <v>18756</v>
      </c>
      <c r="CE2474" s="23"/>
      <c r="CF2474" s="23"/>
      <c r="CG2474" s="23"/>
      <c r="CH2474" s="23"/>
      <c r="CI2474" s="23"/>
    </row>
    <row r="2475" spans="1:87" x14ac:dyDescent="0.3">
      <c r="A2475" s="9" t="s">
        <v>18757</v>
      </c>
      <c r="B2475" s="10" t="s">
        <v>18758</v>
      </c>
      <c r="C2475" s="11">
        <v>45972.34375</v>
      </c>
      <c r="D2475" s="12">
        <v>0.14583333333333334</v>
      </c>
      <c r="E2475" s="11">
        <v>45972.489583333336</v>
      </c>
      <c r="F2475" s="10" t="s">
        <v>15270</v>
      </c>
      <c r="G2475" s="13" t="b">
        <v>0</v>
      </c>
      <c r="H2475" s="22" t="s">
        <v>15271</v>
      </c>
      <c r="I2475" s="10" t="s">
        <v>3213</v>
      </c>
      <c r="J2475" s="13" t="b">
        <v>0</v>
      </c>
      <c r="K2475" s="13" t="b">
        <v>1</v>
      </c>
      <c r="L2475" s="10" t="s">
        <v>124</v>
      </c>
      <c r="M2475" s="10" t="s">
        <v>91</v>
      </c>
      <c r="N2475" s="10" t="s">
        <v>92</v>
      </c>
      <c r="O2475" s="19" t="s">
        <v>18759</v>
      </c>
      <c r="P2475" s="10" t="s">
        <v>3215</v>
      </c>
      <c r="Q2475" s="10" t="s">
        <v>126</v>
      </c>
      <c r="R2475" s="10"/>
      <c r="S2475" s="19" t="s">
        <v>18760</v>
      </c>
      <c r="T2475" s="19" t="s">
        <v>15527</v>
      </c>
      <c r="U2475" s="10" t="s">
        <v>15274</v>
      </c>
      <c r="V2475" s="10" t="s">
        <v>15299</v>
      </c>
      <c r="W2475" s="10" t="s">
        <v>15276</v>
      </c>
      <c r="X2475" s="10" t="s">
        <v>15277</v>
      </c>
      <c r="Y2475" s="10" t="s">
        <v>15277</v>
      </c>
      <c r="Z2475" s="10" t="s">
        <v>99</v>
      </c>
      <c r="AA2475" s="10" t="s">
        <v>131</v>
      </c>
      <c r="AB2475" s="10" t="s">
        <v>15278</v>
      </c>
      <c r="AC2475" s="10" t="s">
        <v>15279</v>
      </c>
      <c r="AD2475" s="10" t="s">
        <v>165</v>
      </c>
      <c r="AE2475" s="10" t="s">
        <v>18761</v>
      </c>
      <c r="AF2475" s="15"/>
      <c r="AG2475" s="10"/>
      <c r="AH2475" s="10"/>
      <c r="AI2475" s="10"/>
      <c r="AJ2475" s="10"/>
      <c r="AK2475" s="10" t="s">
        <v>102</v>
      </c>
      <c r="AL2475" s="10" t="s">
        <v>1252</v>
      </c>
      <c r="AM2475" s="10"/>
      <c r="AN2475" s="10"/>
      <c r="AO2475" s="13" t="b">
        <v>0</v>
      </c>
      <c r="AP2475" s="22" t="s">
        <v>104</v>
      </c>
      <c r="AQ2475" s="10">
        <f ca="1">IFERROR(__xludf.DUMMYFUNCTION("""COMPUTED_VALUE"""),4709311)</f>
        <v>4709311</v>
      </c>
      <c r="AR2475" s="17">
        <v>2520</v>
      </c>
      <c r="AS2475" s="17">
        <v>1374</v>
      </c>
      <c r="AT2475" s="17">
        <v>39377.5</v>
      </c>
      <c r="AU2475" s="17">
        <v>5.35</v>
      </c>
      <c r="AV2475" s="17">
        <v>2</v>
      </c>
      <c r="AW2475" s="10" t="s">
        <v>105</v>
      </c>
      <c r="AX2475" s="17">
        <v>353</v>
      </c>
      <c r="AY2475" s="18">
        <v>28.659024745269285</v>
      </c>
      <c r="AZ2475" s="10"/>
      <c r="BA2475" s="20" t="b">
        <v>0</v>
      </c>
      <c r="BB2475" s="10"/>
      <c r="BC2475" s="17">
        <v>2520</v>
      </c>
      <c r="BD2475" s="17">
        <v>1374</v>
      </c>
      <c r="BE2475" s="17">
        <v>39377.5</v>
      </c>
      <c r="BF2475" s="17">
        <v>2</v>
      </c>
      <c r="BG2475" s="11">
        <f ca="1">IFERROR(__xludf.DUMMYFUNCTION("""COMPUTED_VALUE"""),45972.34375)</f>
        <v>45972.34375</v>
      </c>
      <c r="BH2475" s="17" t="s">
        <v>105</v>
      </c>
      <c r="BI2475" s="17"/>
      <c r="BJ2475" s="15"/>
      <c r="BK2475" s="15"/>
      <c r="BL2475" s="13" t="b">
        <v>0</v>
      </c>
      <c r="BM2475" s="10"/>
      <c r="BN2475" s="10" t="s">
        <v>118</v>
      </c>
      <c r="BO2475" s="11">
        <v>45961.472916666666</v>
      </c>
      <c r="BP2475" s="11">
        <v>45961.473055555558</v>
      </c>
      <c r="BQ2475" s="15">
        <v>45967.527638888889</v>
      </c>
      <c r="BR2475" s="15">
        <v>45969.834537037037</v>
      </c>
      <c r="BS2475" s="10" t="s">
        <v>118</v>
      </c>
      <c r="BT2475" s="10"/>
      <c r="BU2475" s="10"/>
      <c r="BV2475" s="10"/>
      <c r="BW2475" s="10"/>
      <c r="BX2475" s="10"/>
      <c r="BY2475" s="23"/>
      <c r="BZ2475" s="23"/>
      <c r="CA2475" s="19" t="s">
        <v>18762</v>
      </c>
      <c r="CB2475" s="19" t="s">
        <v>18763</v>
      </c>
      <c r="CC2475" s="23"/>
      <c r="CD2475" s="19" t="s">
        <v>18764</v>
      </c>
      <c r="CE2475" s="23"/>
      <c r="CF2475" s="23"/>
      <c r="CG2475" s="23"/>
      <c r="CH2475" s="23"/>
      <c r="CI2475" s="23"/>
    </row>
    <row r="2476" spans="1:87" x14ac:dyDescent="0.3">
      <c r="A2476" s="9" t="s">
        <v>18765</v>
      </c>
      <c r="B2476" s="10" t="s">
        <v>18766</v>
      </c>
      <c r="C2476" s="11">
        <v>45976.854166666664</v>
      </c>
      <c r="D2476" s="12">
        <v>8.3333333333333329E-2</v>
      </c>
      <c r="E2476" s="11">
        <v>45976.9375</v>
      </c>
      <c r="F2476" s="10" t="s">
        <v>15254</v>
      </c>
      <c r="G2476" s="13" t="b">
        <v>0</v>
      </c>
      <c r="H2476" s="22" t="s">
        <v>3578</v>
      </c>
      <c r="I2476" s="10" t="s">
        <v>89</v>
      </c>
      <c r="J2476" s="13" t="b">
        <v>0</v>
      </c>
      <c r="K2476" s="13" t="b">
        <v>1</v>
      </c>
      <c r="L2476" s="10" t="s">
        <v>124</v>
      </c>
      <c r="M2476" s="10" t="s">
        <v>91</v>
      </c>
      <c r="N2476" s="10" t="s">
        <v>265</v>
      </c>
      <c r="O2476" s="19" t="s">
        <v>18767</v>
      </c>
      <c r="P2476" s="10"/>
      <c r="Q2476" s="10" t="s">
        <v>126</v>
      </c>
      <c r="R2476" s="10"/>
      <c r="S2476" s="19" t="s">
        <v>18768</v>
      </c>
      <c r="T2476" s="19" t="s">
        <v>18769</v>
      </c>
      <c r="U2476" s="10" t="s">
        <v>16141</v>
      </c>
      <c r="V2476" s="10" t="s">
        <v>15258</v>
      </c>
      <c r="W2476" s="10" t="s">
        <v>15260</v>
      </c>
      <c r="X2476" s="10" t="s">
        <v>130</v>
      </c>
      <c r="Y2476" s="10" t="s">
        <v>130</v>
      </c>
      <c r="Z2476" s="10" t="s">
        <v>99</v>
      </c>
      <c r="AA2476" s="10" t="s">
        <v>131</v>
      </c>
      <c r="AB2476" s="10" t="s">
        <v>15261</v>
      </c>
      <c r="AC2476" s="10" t="s">
        <v>274</v>
      </c>
      <c r="AD2476" s="10" t="s">
        <v>599</v>
      </c>
      <c r="AE2476" s="10" t="s">
        <v>18770</v>
      </c>
      <c r="AF2476" s="15"/>
      <c r="AG2476" s="10"/>
      <c r="AH2476" s="10"/>
      <c r="AI2476" s="10"/>
      <c r="AJ2476" s="10" t="s">
        <v>18771</v>
      </c>
      <c r="AK2476" s="10" t="s">
        <v>102</v>
      </c>
      <c r="AL2476" s="10" t="s">
        <v>205</v>
      </c>
      <c r="AM2476" s="10"/>
      <c r="AN2476" s="10"/>
      <c r="AO2476" s="13" t="b">
        <v>0</v>
      </c>
      <c r="AP2476" s="22" t="s">
        <v>135</v>
      </c>
      <c r="AQ2476" s="10">
        <f ca="1">IFERROR(__xludf.DUMMYFUNCTION("""COMPUTED_VALUE"""),4717655)</f>
        <v>4717655</v>
      </c>
      <c r="AR2476" s="17">
        <v>32800</v>
      </c>
      <c r="AS2476" s="17">
        <v>28333</v>
      </c>
      <c r="AT2476" s="17">
        <v>225703</v>
      </c>
      <c r="AU2476" s="17">
        <v>92.05</v>
      </c>
      <c r="AV2476" s="17">
        <v>21.95</v>
      </c>
      <c r="AW2476" s="10" t="s">
        <v>105</v>
      </c>
      <c r="AX2476" s="17">
        <v>5259</v>
      </c>
      <c r="AY2476" s="18">
        <v>7.9660819539053405</v>
      </c>
      <c r="AZ2476" s="10" t="s">
        <v>148</v>
      </c>
      <c r="BA2476" s="20" t="b">
        <v>0</v>
      </c>
      <c r="BB2476" s="10"/>
      <c r="BC2476" s="17">
        <v>32800</v>
      </c>
      <c r="BD2476" s="17">
        <v>28333</v>
      </c>
      <c r="BE2476" s="17">
        <v>225703</v>
      </c>
      <c r="BF2476" s="17">
        <v>21.95</v>
      </c>
      <c r="BG2476" s="11">
        <f ca="1">IFERROR(__xludf.DUMMYFUNCTION("""COMPUTED_VALUE"""),45976.8541666666)</f>
        <v>45976.854166666599</v>
      </c>
      <c r="BH2476" s="17" t="s">
        <v>105</v>
      </c>
      <c r="BI2476" s="17"/>
      <c r="BJ2476" s="15"/>
      <c r="BK2476" s="15"/>
      <c r="BL2476" s="13" t="b">
        <v>0</v>
      </c>
      <c r="BM2476" s="10"/>
      <c r="BN2476" s="10" t="s">
        <v>667</v>
      </c>
      <c r="BO2476" s="11">
        <v>45961.673611111109</v>
      </c>
      <c r="BP2476" s="11">
        <v>45967.929409722223</v>
      </c>
      <c r="BQ2476" s="15">
        <v>45974.567511574074</v>
      </c>
      <c r="BR2476" s="15">
        <v>45975.383506944447</v>
      </c>
      <c r="BS2476" s="10" t="s">
        <v>667</v>
      </c>
      <c r="BT2476" s="10" t="s">
        <v>99</v>
      </c>
      <c r="BU2476" s="10" t="s">
        <v>5492</v>
      </c>
      <c r="BV2476" s="10"/>
      <c r="BW2476" s="10"/>
      <c r="BX2476" s="10"/>
      <c r="BY2476" s="23"/>
      <c r="BZ2476" s="23"/>
      <c r="CA2476" s="19" t="s">
        <v>18772</v>
      </c>
      <c r="CB2476" s="19" t="s">
        <v>18773</v>
      </c>
      <c r="CC2476" s="23"/>
      <c r="CD2476" s="19" t="s">
        <v>18774</v>
      </c>
      <c r="CE2476" s="23"/>
      <c r="CF2476" s="23"/>
      <c r="CG2476" s="23"/>
      <c r="CH2476" s="23"/>
      <c r="CI2476" s="23"/>
    </row>
    <row r="2477" spans="1:87" x14ac:dyDescent="0.3">
      <c r="A2477" s="9" t="s">
        <v>18775</v>
      </c>
      <c r="B2477" s="10" t="s">
        <v>18776</v>
      </c>
      <c r="C2477" s="11">
        <v>45977.791666666664</v>
      </c>
      <c r="D2477" s="12">
        <v>8.3333333333333329E-2</v>
      </c>
      <c r="E2477" s="11">
        <v>45977.875</v>
      </c>
      <c r="F2477" s="10" t="s">
        <v>15254</v>
      </c>
      <c r="G2477" s="13" t="b">
        <v>0</v>
      </c>
      <c r="H2477" s="22" t="s">
        <v>3578</v>
      </c>
      <c r="I2477" s="10" t="s">
        <v>89</v>
      </c>
      <c r="J2477" s="13" t="b">
        <v>0</v>
      </c>
      <c r="K2477" s="13" t="b">
        <v>1</v>
      </c>
      <c r="L2477" s="10" t="s">
        <v>124</v>
      </c>
      <c r="M2477" s="10" t="s">
        <v>91</v>
      </c>
      <c r="N2477" s="10" t="s">
        <v>265</v>
      </c>
      <c r="O2477" s="19" t="s">
        <v>18777</v>
      </c>
      <c r="P2477" s="10"/>
      <c r="Q2477" s="10" t="s">
        <v>126</v>
      </c>
      <c r="R2477" s="10"/>
      <c r="S2477" s="19" t="s">
        <v>18778</v>
      </c>
      <c r="T2477" s="19" t="s">
        <v>18769</v>
      </c>
      <c r="U2477" s="10" t="s">
        <v>15750</v>
      </c>
      <c r="V2477" s="10" t="s">
        <v>15684</v>
      </c>
      <c r="W2477" s="10" t="s">
        <v>15260</v>
      </c>
      <c r="X2477" s="10" t="s">
        <v>130</v>
      </c>
      <c r="Y2477" s="10" t="s">
        <v>130</v>
      </c>
      <c r="Z2477" s="10" t="s">
        <v>99</v>
      </c>
      <c r="AA2477" s="10" t="s">
        <v>131</v>
      </c>
      <c r="AB2477" s="10" t="s">
        <v>15261</v>
      </c>
      <c r="AC2477" s="10" t="s">
        <v>274</v>
      </c>
      <c r="AD2477" s="10" t="s">
        <v>18779</v>
      </c>
      <c r="AE2477" s="10" t="s">
        <v>18780</v>
      </c>
      <c r="AF2477" s="15"/>
      <c r="AG2477" s="10"/>
      <c r="AH2477" s="10"/>
      <c r="AI2477" s="10"/>
      <c r="AJ2477" s="10" t="s">
        <v>18781</v>
      </c>
      <c r="AK2477" s="10" t="s">
        <v>102</v>
      </c>
      <c r="AL2477" s="10" t="s">
        <v>205</v>
      </c>
      <c r="AM2477" s="10"/>
      <c r="AN2477" s="10"/>
      <c r="AO2477" s="13" t="b">
        <v>0</v>
      </c>
      <c r="AP2477" s="22" t="s">
        <v>135</v>
      </c>
      <c r="AQ2477" s="10">
        <f ca="1">IFERROR(__xludf.DUMMYFUNCTION("""COMPUTED_VALUE"""),4717741)</f>
        <v>4717741</v>
      </c>
      <c r="AR2477" s="17">
        <v>23105</v>
      </c>
      <c r="AS2477" s="17">
        <v>18869</v>
      </c>
      <c r="AT2477" s="17">
        <v>189028</v>
      </c>
      <c r="AU2477" s="17">
        <v>44.3</v>
      </c>
      <c r="AV2477" s="17">
        <v>11</v>
      </c>
      <c r="AW2477" s="10" t="s">
        <v>105</v>
      </c>
      <c r="AX2477" s="17">
        <v>3238</v>
      </c>
      <c r="AY2477" s="18">
        <v>10.017912978960199</v>
      </c>
      <c r="AZ2477" s="10" t="s">
        <v>148</v>
      </c>
      <c r="BA2477" s="20" t="b">
        <v>0</v>
      </c>
      <c r="BB2477" s="10"/>
      <c r="BC2477" s="17">
        <v>23105</v>
      </c>
      <c r="BD2477" s="17">
        <v>18869</v>
      </c>
      <c r="BE2477" s="17">
        <v>189028</v>
      </c>
      <c r="BF2477" s="17">
        <v>11</v>
      </c>
      <c r="BG2477" s="11">
        <f ca="1">IFERROR(__xludf.DUMMYFUNCTION("""COMPUTED_VALUE"""),45977.7916666666)</f>
        <v>45977.791666666599</v>
      </c>
      <c r="BH2477" s="17" t="s">
        <v>105</v>
      </c>
      <c r="BI2477" s="17"/>
      <c r="BJ2477" s="15"/>
      <c r="BK2477" s="15"/>
      <c r="BL2477" s="13" t="b">
        <v>0</v>
      </c>
      <c r="BM2477" s="10"/>
      <c r="BN2477" s="10" t="s">
        <v>667</v>
      </c>
      <c r="BO2477" s="11">
        <v>45961.675000000003</v>
      </c>
      <c r="BP2477" s="11">
        <v>45964.680613425924</v>
      </c>
      <c r="BQ2477" s="15">
        <v>45974.567847222221</v>
      </c>
      <c r="BR2477" s="15">
        <v>45975.390775462962</v>
      </c>
      <c r="BS2477" s="10" t="s">
        <v>667</v>
      </c>
      <c r="BT2477" s="10" t="s">
        <v>99</v>
      </c>
      <c r="BU2477" s="10" t="s">
        <v>6409</v>
      </c>
      <c r="BV2477" s="10"/>
      <c r="BW2477" s="10"/>
      <c r="BX2477" s="10"/>
      <c r="BY2477" s="23"/>
      <c r="BZ2477" s="23"/>
      <c r="CA2477" s="19" t="s">
        <v>18782</v>
      </c>
      <c r="CB2477" s="19" t="s">
        <v>18783</v>
      </c>
      <c r="CC2477" s="23"/>
      <c r="CD2477" s="19" t="s">
        <v>18784</v>
      </c>
      <c r="CE2477" s="23"/>
      <c r="CF2477" s="23"/>
      <c r="CG2477" s="23"/>
      <c r="CH2477" s="23"/>
      <c r="CI2477" s="23"/>
    </row>
    <row r="2478" spans="1:87" x14ac:dyDescent="0.3">
      <c r="A2478" s="9" t="s">
        <v>18785</v>
      </c>
      <c r="B2478" s="10" t="s">
        <v>18786</v>
      </c>
      <c r="C2478" s="11">
        <v>45977.895833333336</v>
      </c>
      <c r="D2478" s="12">
        <v>8.3333333333333329E-2</v>
      </c>
      <c r="E2478" s="11">
        <v>45977.979166666664</v>
      </c>
      <c r="F2478" s="10" t="s">
        <v>15254</v>
      </c>
      <c r="G2478" s="13" t="b">
        <v>0</v>
      </c>
      <c r="H2478" s="22" t="s">
        <v>3564</v>
      </c>
      <c r="I2478" s="10" t="s">
        <v>89</v>
      </c>
      <c r="J2478" s="13" t="b">
        <v>0</v>
      </c>
      <c r="K2478" s="13" t="b">
        <v>1</v>
      </c>
      <c r="L2478" s="10" t="s">
        <v>124</v>
      </c>
      <c r="M2478" s="10" t="s">
        <v>91</v>
      </c>
      <c r="N2478" s="10" t="s">
        <v>265</v>
      </c>
      <c r="O2478" s="19" t="s">
        <v>18787</v>
      </c>
      <c r="P2478" s="10"/>
      <c r="Q2478" s="10" t="s">
        <v>126</v>
      </c>
      <c r="R2478" s="10"/>
      <c r="S2478" s="19" t="s">
        <v>18788</v>
      </c>
      <c r="T2478" s="19" t="s">
        <v>18769</v>
      </c>
      <c r="U2478" s="10" t="s">
        <v>16110</v>
      </c>
      <c r="V2478" s="10" t="s">
        <v>15259</v>
      </c>
      <c r="W2478" s="10" t="s">
        <v>15260</v>
      </c>
      <c r="X2478" s="10" t="s">
        <v>130</v>
      </c>
      <c r="Y2478" s="10" t="s">
        <v>130</v>
      </c>
      <c r="Z2478" s="10" t="s">
        <v>99</v>
      </c>
      <c r="AA2478" s="10" t="s">
        <v>131</v>
      </c>
      <c r="AB2478" s="10" t="s">
        <v>15261</v>
      </c>
      <c r="AC2478" s="10" t="s">
        <v>274</v>
      </c>
      <c r="AD2478" s="10" t="s">
        <v>18789</v>
      </c>
      <c r="AE2478" s="10" t="s">
        <v>18790</v>
      </c>
      <c r="AF2478" s="15"/>
      <c r="AG2478" s="10"/>
      <c r="AH2478" s="10"/>
      <c r="AI2478" s="10"/>
      <c r="AJ2478" s="10" t="s">
        <v>18791</v>
      </c>
      <c r="AK2478" s="10" t="s">
        <v>102</v>
      </c>
      <c r="AL2478" s="10" t="s">
        <v>205</v>
      </c>
      <c r="AM2478" s="10"/>
      <c r="AN2478" s="10"/>
      <c r="AO2478" s="13" t="b">
        <v>0</v>
      </c>
      <c r="AP2478" s="22" t="s">
        <v>135</v>
      </c>
      <c r="AQ2478" s="10">
        <f ca="1">IFERROR(__xludf.DUMMYFUNCTION("""COMPUTED_VALUE"""),4717746)</f>
        <v>4717746</v>
      </c>
      <c r="AR2478" s="17">
        <v>10644</v>
      </c>
      <c r="AS2478" s="17">
        <v>8962</v>
      </c>
      <c r="AT2478" s="17">
        <v>134452</v>
      </c>
      <c r="AU2478" s="17">
        <v>31.85</v>
      </c>
      <c r="AV2478" s="17">
        <v>4.5</v>
      </c>
      <c r="AW2478" s="10" t="s">
        <v>105</v>
      </c>
      <c r="AX2478" s="17">
        <v>1746</v>
      </c>
      <c r="AY2478" s="18">
        <v>15.002454809194376</v>
      </c>
      <c r="AZ2478" s="10" t="s">
        <v>148</v>
      </c>
      <c r="BA2478" s="20" t="b">
        <v>0</v>
      </c>
      <c r="BB2478" s="10"/>
      <c r="BC2478" s="17">
        <v>10644</v>
      </c>
      <c r="BD2478" s="17">
        <v>8962</v>
      </c>
      <c r="BE2478" s="17">
        <v>134452</v>
      </c>
      <c r="BF2478" s="17">
        <v>4.5</v>
      </c>
      <c r="BG2478" s="11">
        <f ca="1">IFERROR(__xludf.DUMMYFUNCTION("""COMPUTED_VALUE"""),45977.8958333333)</f>
        <v>45977.895833333299</v>
      </c>
      <c r="BH2478" s="17" t="s">
        <v>105</v>
      </c>
      <c r="BI2478" s="17"/>
      <c r="BJ2478" s="15"/>
      <c r="BK2478" s="15"/>
      <c r="BL2478" s="13" t="b">
        <v>0</v>
      </c>
      <c r="BM2478" s="10"/>
      <c r="BN2478" s="10" t="s">
        <v>278</v>
      </c>
      <c r="BO2478" s="11">
        <v>45961.684027777781</v>
      </c>
      <c r="BP2478" s="11">
        <v>45964.686261574076</v>
      </c>
      <c r="BQ2478" s="15">
        <v>45974.567974537036</v>
      </c>
      <c r="BR2478" s="15">
        <v>45975.395138888889</v>
      </c>
      <c r="BS2478" s="10" t="s">
        <v>278</v>
      </c>
      <c r="BT2478" s="10" t="s">
        <v>99</v>
      </c>
      <c r="BU2478" s="10" t="s">
        <v>6409</v>
      </c>
      <c r="BV2478" s="10"/>
      <c r="BW2478" s="10"/>
      <c r="BX2478" s="10"/>
      <c r="BY2478" s="23"/>
      <c r="BZ2478" s="23"/>
      <c r="CA2478" s="19" t="s">
        <v>18792</v>
      </c>
      <c r="CB2478" s="19" t="s">
        <v>18793</v>
      </c>
      <c r="CC2478" s="23"/>
      <c r="CD2478" s="19" t="s">
        <v>18794</v>
      </c>
      <c r="CE2478" s="23"/>
      <c r="CF2478" s="23"/>
      <c r="CG2478" s="23"/>
      <c r="CH2478" s="23"/>
      <c r="CI2478" s="23"/>
    </row>
    <row r="2479" spans="1:87" x14ac:dyDescent="0.3">
      <c r="A2479" s="9" t="s">
        <v>18795</v>
      </c>
      <c r="B2479" s="10" t="s">
        <v>18796</v>
      </c>
      <c r="C2479" s="11">
        <v>45968.770833333336</v>
      </c>
      <c r="D2479" s="12">
        <v>2.0833333333333332E-2</v>
      </c>
      <c r="E2479" s="11">
        <v>45968.791666666664</v>
      </c>
      <c r="F2479" s="10" t="s">
        <v>3511</v>
      </c>
      <c r="G2479" s="13" t="b">
        <v>0</v>
      </c>
      <c r="H2479" s="22" t="s">
        <v>3512</v>
      </c>
      <c r="I2479" s="10" t="s">
        <v>212</v>
      </c>
      <c r="J2479" s="13" t="b">
        <v>1</v>
      </c>
      <c r="K2479" s="13" t="b">
        <v>0</v>
      </c>
      <c r="L2479" s="10" t="s">
        <v>124</v>
      </c>
      <c r="M2479" s="10" t="s">
        <v>91</v>
      </c>
      <c r="N2479" s="10" t="s">
        <v>92</v>
      </c>
      <c r="O2479" s="19" t="s">
        <v>18797</v>
      </c>
      <c r="P2479" s="10"/>
      <c r="Q2479" s="10" t="s">
        <v>94</v>
      </c>
      <c r="R2479" s="10"/>
      <c r="S2479" s="19" t="s">
        <v>18798</v>
      </c>
      <c r="T2479" s="10"/>
      <c r="U2479" s="10" t="s">
        <v>3662</v>
      </c>
      <c r="V2479" s="10" t="s">
        <v>3551</v>
      </c>
      <c r="W2479" s="10" t="s">
        <v>3519</v>
      </c>
      <c r="X2479" s="10" t="s">
        <v>130</v>
      </c>
      <c r="Y2479" s="10" t="s">
        <v>130</v>
      </c>
      <c r="Z2479" s="10" t="s">
        <v>99</v>
      </c>
      <c r="AA2479" s="10" t="s">
        <v>131</v>
      </c>
      <c r="AB2479" s="10" t="s">
        <v>3520</v>
      </c>
      <c r="AC2479" s="10" t="s">
        <v>3521</v>
      </c>
      <c r="AD2479" s="10" t="s">
        <v>4624</v>
      </c>
      <c r="AE2479" s="10" t="s">
        <v>18799</v>
      </c>
      <c r="AF2479" s="15"/>
      <c r="AG2479" s="10"/>
      <c r="AH2479" s="10"/>
      <c r="AI2479" s="10"/>
      <c r="AJ2479" s="10"/>
      <c r="AK2479" s="10" t="s">
        <v>102</v>
      </c>
      <c r="AL2479" s="10"/>
      <c r="AM2479" s="10"/>
      <c r="AN2479" s="10"/>
      <c r="AO2479" s="13" t="b">
        <v>0</v>
      </c>
      <c r="AP2479" s="22" t="s">
        <v>104</v>
      </c>
      <c r="AQ2479" s="10">
        <f ca="1">IFERROR(__xludf.DUMMYFUNCTION("""COMPUTED_VALUE"""),4706175)</f>
        <v>4706175</v>
      </c>
      <c r="AR2479" s="17">
        <v>7205</v>
      </c>
      <c r="AS2479" s="17">
        <v>5879</v>
      </c>
      <c r="AT2479" s="17">
        <v>25647</v>
      </c>
      <c r="AU2479" s="17">
        <v>17.05</v>
      </c>
      <c r="AV2479" s="17">
        <v>3.85</v>
      </c>
      <c r="AW2479" s="10" t="s">
        <v>105</v>
      </c>
      <c r="AX2479" s="17">
        <v>2660</v>
      </c>
      <c r="AY2479" s="18">
        <v>4.3624766116686509</v>
      </c>
      <c r="AZ2479" s="10"/>
      <c r="BA2479" s="20" t="b">
        <v>0</v>
      </c>
      <c r="BB2479" s="10"/>
      <c r="BC2479" s="17">
        <v>7205</v>
      </c>
      <c r="BD2479" s="17">
        <v>5879</v>
      </c>
      <c r="BE2479" s="17">
        <v>25647</v>
      </c>
      <c r="BF2479" s="17">
        <v>3.85</v>
      </c>
      <c r="BG2479" s="11">
        <f ca="1">IFERROR(__xludf.DUMMYFUNCTION("""COMPUTED_VALUE"""),45968.7708333333)</f>
        <v>45968.770833333299</v>
      </c>
      <c r="BH2479" s="17" t="s">
        <v>105</v>
      </c>
      <c r="BI2479" s="17"/>
      <c r="BJ2479" s="15"/>
      <c r="BK2479" s="15"/>
      <c r="BL2479" s="13" t="b">
        <v>0</v>
      </c>
      <c r="BM2479" s="10"/>
      <c r="BN2479" s="10" t="s">
        <v>667</v>
      </c>
      <c r="BO2479" s="11">
        <v>45961.694444444445</v>
      </c>
      <c r="BP2479" s="11">
        <v>45961.698819444442</v>
      </c>
      <c r="BQ2479" s="15">
        <v>45966.794814814813</v>
      </c>
      <c r="BR2479" s="15">
        <v>45967.34574074074</v>
      </c>
      <c r="BS2479" s="10" t="s">
        <v>667</v>
      </c>
      <c r="BT2479" s="10"/>
      <c r="BU2479" s="10"/>
      <c r="BV2479" s="10"/>
      <c r="BW2479" s="10"/>
      <c r="BX2479" s="10"/>
      <c r="BY2479" s="23"/>
      <c r="BZ2479" s="23"/>
      <c r="CA2479" s="19" t="s">
        <v>18800</v>
      </c>
      <c r="CB2479" s="23"/>
      <c r="CC2479" s="23"/>
      <c r="CD2479" s="23"/>
      <c r="CE2479" s="23"/>
      <c r="CF2479" s="23"/>
      <c r="CG2479" s="23"/>
      <c r="CH2479" s="23"/>
      <c r="CI2479" s="23"/>
    </row>
    <row r="2480" spans="1:87" x14ac:dyDescent="0.3">
      <c r="A2480" s="9" t="s">
        <v>18801</v>
      </c>
      <c r="B2480" s="10" t="s">
        <v>18802</v>
      </c>
      <c r="C2480" s="11">
        <v>45969.625</v>
      </c>
      <c r="D2480" s="12">
        <v>2.0833333333333332E-2</v>
      </c>
      <c r="E2480" s="11">
        <v>45969.645833333336</v>
      </c>
      <c r="F2480" s="10" t="s">
        <v>3511</v>
      </c>
      <c r="G2480" s="13" t="b">
        <v>0</v>
      </c>
      <c r="H2480" s="22" t="s">
        <v>3512</v>
      </c>
      <c r="I2480" s="10" t="s">
        <v>212</v>
      </c>
      <c r="J2480" s="13" t="b">
        <v>1</v>
      </c>
      <c r="K2480" s="13" t="b">
        <v>0</v>
      </c>
      <c r="L2480" s="10" t="s">
        <v>90</v>
      </c>
      <c r="M2480" s="10" t="s">
        <v>91</v>
      </c>
      <c r="N2480" s="10" t="s">
        <v>92</v>
      </c>
      <c r="O2480" s="19" t="s">
        <v>18803</v>
      </c>
      <c r="P2480" s="10"/>
      <c r="Q2480" s="10" t="s">
        <v>94</v>
      </c>
      <c r="R2480" s="10"/>
      <c r="S2480" s="19" t="s">
        <v>18804</v>
      </c>
      <c r="T2480" s="10"/>
      <c r="U2480" s="10" t="s">
        <v>3676</v>
      </c>
      <c r="V2480" s="10" t="s">
        <v>3647</v>
      </c>
      <c r="W2480" s="10" t="s">
        <v>3519</v>
      </c>
      <c r="X2480" s="10" t="s">
        <v>130</v>
      </c>
      <c r="Y2480" s="10" t="s">
        <v>130</v>
      </c>
      <c r="Z2480" s="10" t="s">
        <v>99</v>
      </c>
      <c r="AA2480" s="10" t="s">
        <v>131</v>
      </c>
      <c r="AB2480" s="10" t="s">
        <v>3520</v>
      </c>
      <c r="AC2480" s="10" t="s">
        <v>3521</v>
      </c>
      <c r="AD2480" s="10" t="s">
        <v>4634</v>
      </c>
      <c r="AE2480" s="10" t="s">
        <v>18805</v>
      </c>
      <c r="AF2480" s="15"/>
      <c r="AG2480" s="10"/>
      <c r="AH2480" s="10"/>
      <c r="AI2480" s="10"/>
      <c r="AJ2480" s="10"/>
      <c r="AK2480" s="10" t="s">
        <v>102</v>
      </c>
      <c r="AL2480" s="10"/>
      <c r="AM2480" s="10"/>
      <c r="AN2480" s="10"/>
      <c r="AO2480" s="13" t="b">
        <v>0</v>
      </c>
      <c r="AP2480" s="22" t="s">
        <v>104</v>
      </c>
      <c r="AQ2480" s="10">
        <f ca="1">IFERROR(__xludf.DUMMYFUNCTION("""COMPUTED_VALUE"""),4706377)</f>
        <v>4706377</v>
      </c>
      <c r="AR2480" s="17">
        <v>10553</v>
      </c>
      <c r="AS2480" s="17">
        <v>8515</v>
      </c>
      <c r="AT2480" s="17">
        <v>44472.25</v>
      </c>
      <c r="AU2480" s="17">
        <v>36.9</v>
      </c>
      <c r="AV2480" s="17">
        <v>10.35</v>
      </c>
      <c r="AW2480" s="10" t="s">
        <v>105</v>
      </c>
      <c r="AX2480" s="17">
        <v>4407</v>
      </c>
      <c r="AY2480" s="18">
        <v>5.2228126834997068</v>
      </c>
      <c r="AZ2480" s="10"/>
      <c r="BA2480" s="20" t="b">
        <v>0</v>
      </c>
      <c r="BB2480" s="10"/>
      <c r="BC2480" s="17">
        <v>10553</v>
      </c>
      <c r="BD2480" s="17">
        <v>8515</v>
      </c>
      <c r="BE2480" s="17">
        <v>44472.25</v>
      </c>
      <c r="BF2480" s="17">
        <v>10.35</v>
      </c>
      <c r="BG2480" s="11">
        <f ca="1">IFERROR(__xludf.DUMMYFUNCTION("""COMPUTED_VALUE"""),45969.625)</f>
        <v>45969.625</v>
      </c>
      <c r="BH2480" s="17" t="s">
        <v>105</v>
      </c>
      <c r="BI2480" s="17"/>
      <c r="BJ2480" s="15"/>
      <c r="BK2480" s="15"/>
      <c r="BL2480" s="13" t="b">
        <v>0</v>
      </c>
      <c r="BM2480" s="10"/>
      <c r="BN2480" s="10" t="s">
        <v>118</v>
      </c>
      <c r="BO2480" s="11">
        <v>45961.696527777778</v>
      </c>
      <c r="BP2480" s="11">
        <v>45961.698495370372</v>
      </c>
      <c r="BQ2480" s="15">
        <v>45966.794363425928</v>
      </c>
      <c r="BR2480" s="15">
        <v>45967.538888888892</v>
      </c>
      <c r="BS2480" s="10" t="s">
        <v>118</v>
      </c>
      <c r="BT2480" s="10"/>
      <c r="BU2480" s="10"/>
      <c r="BV2480" s="10"/>
      <c r="BW2480" s="10"/>
      <c r="BX2480" s="10"/>
      <c r="BY2480" s="23"/>
      <c r="BZ2480" s="23"/>
      <c r="CA2480" s="19" t="s">
        <v>18806</v>
      </c>
      <c r="CB2480" s="23"/>
      <c r="CC2480" s="23"/>
      <c r="CD2480" s="23"/>
      <c r="CE2480" s="23"/>
      <c r="CF2480" s="23"/>
      <c r="CG2480" s="23"/>
      <c r="CH2480" s="23"/>
      <c r="CI2480" s="23"/>
    </row>
    <row r="2481" spans="1:87" x14ac:dyDescent="0.3">
      <c r="A2481" s="9" t="s">
        <v>18807</v>
      </c>
      <c r="B2481" s="10" t="s">
        <v>18808</v>
      </c>
      <c r="C2481" s="11">
        <v>46005.541666666664</v>
      </c>
      <c r="D2481" s="12">
        <v>2.0833333333333332E-2</v>
      </c>
      <c r="E2481" s="11">
        <v>46005.5625</v>
      </c>
      <c r="F2481" s="10" t="s">
        <v>3511</v>
      </c>
      <c r="G2481" s="13" t="b">
        <v>0</v>
      </c>
      <c r="H2481" s="22" t="s">
        <v>3512</v>
      </c>
      <c r="I2481" s="10" t="s">
        <v>212</v>
      </c>
      <c r="J2481" s="13" t="b">
        <v>1</v>
      </c>
      <c r="K2481" s="13" t="b">
        <v>0</v>
      </c>
      <c r="L2481" s="10" t="s">
        <v>124</v>
      </c>
      <c r="M2481" s="10" t="s">
        <v>91</v>
      </c>
      <c r="N2481" s="10" t="s">
        <v>92</v>
      </c>
      <c r="O2481" s="19" t="s">
        <v>18809</v>
      </c>
      <c r="P2481" s="10"/>
      <c r="Q2481" s="10" t="s">
        <v>94</v>
      </c>
      <c r="R2481" s="10"/>
      <c r="S2481" s="19" t="s">
        <v>18810</v>
      </c>
      <c r="T2481" s="10"/>
      <c r="U2481" s="10" t="s">
        <v>3623</v>
      </c>
      <c r="V2481" s="10" t="s">
        <v>3609</v>
      </c>
      <c r="W2481" s="10" t="s">
        <v>3519</v>
      </c>
      <c r="X2481" s="10" t="s">
        <v>130</v>
      </c>
      <c r="Y2481" s="10" t="s">
        <v>130</v>
      </c>
      <c r="Z2481" s="10" t="s">
        <v>99</v>
      </c>
      <c r="AA2481" s="10" t="s">
        <v>131</v>
      </c>
      <c r="AB2481" s="10" t="s">
        <v>3520</v>
      </c>
      <c r="AC2481" s="10" t="s">
        <v>3521</v>
      </c>
      <c r="AD2481" s="10" t="s">
        <v>4687</v>
      </c>
      <c r="AE2481" s="10" t="s">
        <v>18811</v>
      </c>
      <c r="AF2481" s="15"/>
      <c r="AG2481" s="10"/>
      <c r="AH2481" s="10"/>
      <c r="AI2481" s="10"/>
      <c r="AJ2481" s="10"/>
      <c r="AK2481" s="10" t="s">
        <v>102</v>
      </c>
      <c r="AL2481" s="10"/>
      <c r="AM2481" s="10"/>
      <c r="AN2481" s="10"/>
      <c r="AO2481" s="13" t="b">
        <v>0</v>
      </c>
      <c r="AP2481" s="22" t="s">
        <v>104</v>
      </c>
      <c r="AQ2481" s="10">
        <f ca="1">IFERROR(__xludf.DUMMYFUNCTION("""COMPUTED_VALUE"""),4772129)</f>
        <v>4772129</v>
      </c>
      <c r="AR2481" s="17">
        <v>16853</v>
      </c>
      <c r="AS2481" s="17">
        <v>12483</v>
      </c>
      <c r="AT2481" s="17">
        <v>55796.75</v>
      </c>
      <c r="AU2481" s="17">
        <v>57.6</v>
      </c>
      <c r="AV2481" s="17">
        <v>21.6</v>
      </c>
      <c r="AW2481" s="10" t="s">
        <v>105</v>
      </c>
      <c r="AX2481" s="17">
        <v>6279</v>
      </c>
      <c r="AY2481" s="18">
        <v>4.4698189537771373</v>
      </c>
      <c r="AZ2481" s="10"/>
      <c r="BA2481" s="20" t="b">
        <v>0</v>
      </c>
      <c r="BB2481" s="10"/>
      <c r="BC2481" s="17">
        <v>16853</v>
      </c>
      <c r="BD2481" s="17">
        <v>12483</v>
      </c>
      <c r="BE2481" s="17">
        <v>55796.75</v>
      </c>
      <c r="BF2481" s="17">
        <v>21.6</v>
      </c>
      <c r="BG2481" s="11">
        <f ca="1">IFERROR(__xludf.DUMMYFUNCTION("""COMPUTED_VALUE"""),46005.5416666666)</f>
        <v>46005.541666666599</v>
      </c>
      <c r="BH2481" s="17" t="s">
        <v>105</v>
      </c>
      <c r="BI2481" s="17"/>
      <c r="BJ2481" s="15"/>
      <c r="BK2481" s="15"/>
      <c r="BL2481" s="13" t="b">
        <v>0</v>
      </c>
      <c r="BM2481" s="10"/>
      <c r="BN2481" s="10" t="s">
        <v>118</v>
      </c>
      <c r="BO2481" s="11">
        <v>45961.698611111111</v>
      </c>
      <c r="BP2481" s="11">
        <v>45993.669282407405</v>
      </c>
      <c r="BQ2481" s="15">
        <v>45996.482893518521</v>
      </c>
      <c r="BR2481" s="15">
        <v>45999.426539351851</v>
      </c>
      <c r="BS2481" s="10" t="s">
        <v>118</v>
      </c>
      <c r="BT2481" s="10"/>
      <c r="BU2481" s="10"/>
      <c r="BV2481" s="10"/>
      <c r="BW2481" s="10"/>
      <c r="BX2481" s="10"/>
      <c r="BY2481" s="23"/>
      <c r="BZ2481" s="23"/>
      <c r="CA2481" s="19" t="s">
        <v>18812</v>
      </c>
      <c r="CB2481" s="23"/>
      <c r="CC2481" s="23"/>
      <c r="CD2481" s="23"/>
      <c r="CE2481" s="23"/>
      <c r="CF2481" s="23"/>
      <c r="CG2481" s="23"/>
      <c r="CH2481" s="23"/>
      <c r="CI2481" s="23"/>
    </row>
    <row r="2482" spans="1:87" x14ac:dyDescent="0.3">
      <c r="A2482" s="9" t="s">
        <v>18813</v>
      </c>
      <c r="B2482" s="10" t="s">
        <v>18814</v>
      </c>
      <c r="C2482" s="11">
        <v>45966.125</v>
      </c>
      <c r="D2482" s="12">
        <v>8.3333333333333329E-2</v>
      </c>
      <c r="E2482" s="11">
        <v>45966.208333333336</v>
      </c>
      <c r="F2482" s="10" t="s">
        <v>7613</v>
      </c>
      <c r="G2482" s="13" t="b">
        <v>0</v>
      </c>
      <c r="H2482" s="22" t="s">
        <v>88</v>
      </c>
      <c r="I2482" s="10" t="s">
        <v>89</v>
      </c>
      <c r="J2482" s="13" t="b">
        <v>0</v>
      </c>
      <c r="K2482" s="13" t="b">
        <v>1</v>
      </c>
      <c r="L2482" s="10" t="s">
        <v>124</v>
      </c>
      <c r="M2482" s="10" t="s">
        <v>91</v>
      </c>
      <c r="N2482" s="10" t="s">
        <v>265</v>
      </c>
      <c r="O2482" s="19" t="s">
        <v>18815</v>
      </c>
      <c r="P2482" s="10"/>
      <c r="Q2482" s="10" t="s">
        <v>94</v>
      </c>
      <c r="R2482" s="10"/>
      <c r="S2482" s="19" t="s">
        <v>18816</v>
      </c>
      <c r="T2482" s="19" t="s">
        <v>8810</v>
      </c>
      <c r="U2482" s="10" t="s">
        <v>8791</v>
      </c>
      <c r="V2482" s="10" t="s">
        <v>7903</v>
      </c>
      <c r="W2482" s="10" t="s">
        <v>7620</v>
      </c>
      <c r="X2482" s="10" t="s">
        <v>130</v>
      </c>
      <c r="Y2482" s="10" t="s">
        <v>130</v>
      </c>
      <c r="Z2482" s="10" t="s">
        <v>99</v>
      </c>
      <c r="AA2482" s="10" t="s">
        <v>131</v>
      </c>
      <c r="AB2482" s="10" t="s">
        <v>7621</v>
      </c>
      <c r="AC2482" s="10" t="s">
        <v>274</v>
      </c>
      <c r="AD2482" s="10" t="s">
        <v>18817</v>
      </c>
      <c r="AE2482" s="10" t="s">
        <v>18818</v>
      </c>
      <c r="AF2482" s="15"/>
      <c r="AG2482" s="10"/>
      <c r="AH2482" s="10"/>
      <c r="AI2482" s="10"/>
      <c r="AJ2482" s="10"/>
      <c r="AK2482" s="10" t="s">
        <v>102</v>
      </c>
      <c r="AL2482" s="10" t="s">
        <v>1671</v>
      </c>
      <c r="AM2482" s="10"/>
      <c r="AN2482" s="10"/>
      <c r="AO2482" s="13" t="b">
        <v>0</v>
      </c>
      <c r="AP2482" s="22" t="s">
        <v>104</v>
      </c>
      <c r="AQ2482" s="10">
        <f ca="1">IFERROR(__xludf.DUMMYFUNCTION("""COMPUTED_VALUE"""),4702056)</f>
        <v>4702056</v>
      </c>
      <c r="AR2482" s="17">
        <v>1543</v>
      </c>
      <c r="AS2482" s="17">
        <v>1364</v>
      </c>
      <c r="AT2482" s="17">
        <v>1707.75</v>
      </c>
      <c r="AU2482" s="17">
        <v>0</v>
      </c>
      <c r="AV2482" s="17">
        <v>0</v>
      </c>
      <c r="AW2482" s="10" t="s">
        <v>105</v>
      </c>
      <c r="AX2482" s="17">
        <v>134</v>
      </c>
      <c r="AY2482" s="18">
        <v>1.252016129032258</v>
      </c>
      <c r="AZ2482" s="10" t="s">
        <v>3998</v>
      </c>
      <c r="BA2482" s="20" t="b">
        <v>0</v>
      </c>
      <c r="BB2482" s="10"/>
      <c r="BC2482" s="17">
        <v>1543</v>
      </c>
      <c r="BD2482" s="17">
        <v>1364</v>
      </c>
      <c r="BE2482" s="17">
        <v>1707.75</v>
      </c>
      <c r="BF2482" s="17">
        <v>0</v>
      </c>
      <c r="BG2482" s="11">
        <f ca="1">IFERROR(__xludf.DUMMYFUNCTION("""COMPUTED_VALUE"""),45966.125)</f>
        <v>45966.125</v>
      </c>
      <c r="BH2482" s="17" t="s">
        <v>105</v>
      </c>
      <c r="BI2482" s="17"/>
      <c r="BJ2482" s="15"/>
      <c r="BK2482" s="15"/>
      <c r="BL2482" s="13" t="b">
        <v>0</v>
      </c>
      <c r="BM2482" s="10"/>
      <c r="BN2482" s="10" t="s">
        <v>149</v>
      </c>
      <c r="BO2482" s="11">
        <v>45961.81527777778</v>
      </c>
      <c r="BP2482" s="11">
        <v>45961.815451388888</v>
      </c>
      <c r="BQ2482" s="15">
        <v>45965.454467592594</v>
      </c>
      <c r="BR2482" s="15">
        <v>45965.462002314816</v>
      </c>
      <c r="BS2482" s="10" t="s">
        <v>149</v>
      </c>
      <c r="BT2482" s="10"/>
      <c r="BU2482" s="10"/>
      <c r="BV2482" s="10"/>
      <c r="BW2482" s="10"/>
      <c r="BX2482" s="10"/>
      <c r="BY2482" s="23"/>
      <c r="BZ2482" s="23"/>
      <c r="CA2482" s="19" t="s">
        <v>18819</v>
      </c>
      <c r="CB2482" s="19" t="s">
        <v>18820</v>
      </c>
      <c r="CC2482" s="23"/>
      <c r="CD2482" s="23"/>
      <c r="CE2482" s="23"/>
      <c r="CF2482" s="23"/>
      <c r="CG2482" s="23"/>
      <c r="CH2482" s="23"/>
      <c r="CI2482" s="23"/>
    </row>
    <row r="2483" spans="1:87" x14ac:dyDescent="0.3">
      <c r="A2483" s="9" t="s">
        <v>18821</v>
      </c>
      <c r="B2483" s="10" t="s">
        <v>18822</v>
      </c>
      <c r="C2483" s="11">
        <v>45987.8125</v>
      </c>
      <c r="D2483" s="12">
        <v>8.3333333333333329E-2</v>
      </c>
      <c r="E2483" s="11">
        <v>45987.895833333336</v>
      </c>
      <c r="F2483" s="10" t="s">
        <v>122</v>
      </c>
      <c r="G2483" s="13" t="b">
        <v>0</v>
      </c>
      <c r="H2483" s="22" t="s">
        <v>18823</v>
      </c>
      <c r="I2483" s="10" t="s">
        <v>89</v>
      </c>
      <c r="J2483" s="13" t="b">
        <v>0</v>
      </c>
      <c r="K2483" s="13" t="b">
        <v>1</v>
      </c>
      <c r="L2483" s="10" t="s">
        <v>124</v>
      </c>
      <c r="M2483" s="10" t="s">
        <v>91</v>
      </c>
      <c r="N2483" s="10" t="s">
        <v>92</v>
      </c>
      <c r="O2483" s="19" t="s">
        <v>18824</v>
      </c>
      <c r="P2483" s="10"/>
      <c r="Q2483" s="10" t="s">
        <v>126</v>
      </c>
      <c r="R2483" s="10"/>
      <c r="S2483" s="19" t="s">
        <v>18825</v>
      </c>
      <c r="T2483" s="10"/>
      <c r="U2483" s="10" t="s">
        <v>18826</v>
      </c>
      <c r="V2483" s="10" t="s">
        <v>18827</v>
      </c>
      <c r="W2483" s="10" t="s">
        <v>129</v>
      </c>
      <c r="X2483" s="10" t="s">
        <v>130</v>
      </c>
      <c r="Y2483" s="10" t="s">
        <v>130</v>
      </c>
      <c r="Z2483" s="10" t="s">
        <v>99</v>
      </c>
      <c r="AA2483" s="10" t="s">
        <v>131</v>
      </c>
      <c r="AB2483" s="10" t="s">
        <v>132</v>
      </c>
      <c r="AC2483" s="10" t="s">
        <v>133</v>
      </c>
      <c r="AD2483" s="10" t="s">
        <v>18828</v>
      </c>
      <c r="AE2483" s="10" t="s">
        <v>18829</v>
      </c>
      <c r="AF2483" s="15"/>
      <c r="AG2483" s="10"/>
      <c r="AH2483" s="10"/>
      <c r="AI2483" s="10"/>
      <c r="AJ2483" s="10"/>
      <c r="AK2483" s="10" t="s">
        <v>102</v>
      </c>
      <c r="AL2483" s="10"/>
      <c r="AM2483" s="10"/>
      <c r="AN2483" s="10"/>
      <c r="AO2483" s="13" t="b">
        <v>1</v>
      </c>
      <c r="AP2483" s="22" t="s">
        <v>135</v>
      </c>
      <c r="AQ2483" s="10">
        <f ca="1">IFERROR(__xludf.DUMMYFUNCTION("""COMPUTED_VALUE"""),4733547)</f>
        <v>4733547</v>
      </c>
      <c r="AR2483" s="17">
        <v>106380</v>
      </c>
      <c r="AS2483" s="17">
        <v>75570</v>
      </c>
      <c r="AT2483" s="17">
        <v>1549396.25</v>
      </c>
      <c r="AU2483" s="17">
        <v>897.15</v>
      </c>
      <c r="AV2483" s="17">
        <v>169.2</v>
      </c>
      <c r="AW2483" s="10" t="s">
        <v>105</v>
      </c>
      <c r="AX2483" s="17">
        <v>23732</v>
      </c>
      <c r="AY2483" s="18">
        <v>20.502795421463542</v>
      </c>
      <c r="AZ2483" s="10" t="s">
        <v>168</v>
      </c>
      <c r="BA2483" s="20" t="b">
        <v>0</v>
      </c>
      <c r="BB2483" s="10"/>
      <c r="BC2483" s="17">
        <v>106380</v>
      </c>
      <c r="BD2483" s="17">
        <v>75570</v>
      </c>
      <c r="BE2483" s="17">
        <v>1549396.25</v>
      </c>
      <c r="BF2483" s="17">
        <v>169.2</v>
      </c>
      <c r="BG2483" s="11">
        <f ca="1">IFERROR(__xludf.DUMMYFUNCTION("""COMPUTED_VALUE"""),45987.8125)</f>
        <v>45987.8125</v>
      </c>
      <c r="BH2483" s="17" t="s">
        <v>105</v>
      </c>
      <c r="BI2483" s="17"/>
      <c r="BJ2483" s="15"/>
      <c r="BK2483" s="15"/>
      <c r="BL2483" s="13" t="b">
        <v>0</v>
      </c>
      <c r="BM2483" s="10"/>
      <c r="BN2483" s="10" t="s">
        <v>1149</v>
      </c>
      <c r="BO2483" s="11">
        <v>45964.631249999999</v>
      </c>
      <c r="BP2483" s="11">
        <v>45968.986840277779</v>
      </c>
      <c r="BQ2483" s="15">
        <v>45982.846655092595</v>
      </c>
      <c r="BR2483" s="15">
        <v>45985.438067129631</v>
      </c>
      <c r="BS2483" s="10" t="s">
        <v>1149</v>
      </c>
      <c r="BT2483" s="10" t="s">
        <v>99</v>
      </c>
      <c r="BU2483" s="10" t="s">
        <v>280</v>
      </c>
      <c r="BV2483" s="10" t="s">
        <v>124</v>
      </c>
      <c r="BW2483" s="10" t="s">
        <v>18830</v>
      </c>
      <c r="BX2483" s="10"/>
      <c r="BY2483" s="23"/>
      <c r="BZ2483" s="23"/>
      <c r="CA2483" s="19" t="s">
        <v>18831</v>
      </c>
      <c r="CB2483" s="23"/>
      <c r="CC2483" s="23"/>
      <c r="CD2483" s="19" t="s">
        <v>18832</v>
      </c>
      <c r="CE2483" s="23"/>
      <c r="CF2483" s="23"/>
      <c r="CG2483" s="23"/>
      <c r="CH2483" s="23"/>
      <c r="CI2483" s="23"/>
    </row>
    <row r="2484" spans="1:87" x14ac:dyDescent="0.3">
      <c r="A2484" s="9" t="s">
        <v>18833</v>
      </c>
      <c r="B2484" s="10" t="s">
        <v>18834</v>
      </c>
      <c r="C2484" s="11">
        <v>45990.8125</v>
      </c>
      <c r="D2484" s="12">
        <v>8.3333333333333329E-2</v>
      </c>
      <c r="E2484" s="11">
        <v>45990.895833333336</v>
      </c>
      <c r="F2484" s="10" t="s">
        <v>122</v>
      </c>
      <c r="G2484" s="13" t="b">
        <v>0</v>
      </c>
      <c r="H2484" s="22" t="s">
        <v>18823</v>
      </c>
      <c r="I2484" s="10" t="s">
        <v>89</v>
      </c>
      <c r="J2484" s="13" t="b">
        <v>0</v>
      </c>
      <c r="K2484" s="13" t="b">
        <v>1</v>
      </c>
      <c r="L2484" s="10" t="s">
        <v>124</v>
      </c>
      <c r="M2484" s="10" t="s">
        <v>91</v>
      </c>
      <c r="N2484" s="10" t="s">
        <v>92</v>
      </c>
      <c r="O2484" s="19" t="s">
        <v>18835</v>
      </c>
      <c r="P2484" s="10"/>
      <c r="Q2484" s="10" t="s">
        <v>126</v>
      </c>
      <c r="R2484" s="10"/>
      <c r="S2484" s="19" t="s">
        <v>18836</v>
      </c>
      <c r="T2484" s="10"/>
      <c r="U2484" s="10" t="s">
        <v>18826</v>
      </c>
      <c r="V2484" s="10" t="s">
        <v>18837</v>
      </c>
      <c r="W2484" s="10" t="s">
        <v>129</v>
      </c>
      <c r="X2484" s="10" t="s">
        <v>130</v>
      </c>
      <c r="Y2484" s="10" t="s">
        <v>130</v>
      </c>
      <c r="Z2484" s="10" t="s">
        <v>99</v>
      </c>
      <c r="AA2484" s="10" t="s">
        <v>131</v>
      </c>
      <c r="AB2484" s="10" t="s">
        <v>132</v>
      </c>
      <c r="AC2484" s="10" t="s">
        <v>133</v>
      </c>
      <c r="AD2484" s="10" t="s">
        <v>18838</v>
      </c>
      <c r="AE2484" s="10" t="s">
        <v>18839</v>
      </c>
      <c r="AF2484" s="15"/>
      <c r="AG2484" s="10"/>
      <c r="AH2484" s="10"/>
      <c r="AI2484" s="10"/>
      <c r="AJ2484" s="10"/>
      <c r="AK2484" s="10" t="s">
        <v>102</v>
      </c>
      <c r="AL2484" s="10"/>
      <c r="AM2484" s="10"/>
      <c r="AN2484" s="10"/>
      <c r="AO2484" s="13" t="b">
        <v>1</v>
      </c>
      <c r="AP2484" s="22" t="s">
        <v>135</v>
      </c>
      <c r="AQ2484" s="10">
        <f ca="1">IFERROR(__xludf.DUMMYFUNCTION("""COMPUTED_VALUE"""),4739856)</f>
        <v>4739856</v>
      </c>
      <c r="AR2484" s="17">
        <v>151224</v>
      </c>
      <c r="AS2484" s="17">
        <v>101558</v>
      </c>
      <c r="AT2484" s="17">
        <v>2037790.5</v>
      </c>
      <c r="AU2484" s="17">
        <v>1119.9000000000001</v>
      </c>
      <c r="AV2484" s="17">
        <v>299.7</v>
      </c>
      <c r="AW2484" s="10" t="s">
        <v>105</v>
      </c>
      <c r="AX2484" s="17">
        <v>29903</v>
      </c>
      <c r="AY2484" s="18">
        <v>20.065287815829379</v>
      </c>
      <c r="AZ2484" s="10" t="s">
        <v>168</v>
      </c>
      <c r="BA2484" s="20" t="b">
        <v>0</v>
      </c>
      <c r="BB2484" s="10"/>
      <c r="BC2484" s="17">
        <v>151224</v>
      </c>
      <c r="BD2484" s="17">
        <v>101558</v>
      </c>
      <c r="BE2484" s="17">
        <v>2037790.5</v>
      </c>
      <c r="BF2484" s="17">
        <v>299.7</v>
      </c>
      <c r="BG2484" s="11">
        <f ca="1">IFERROR(__xludf.DUMMYFUNCTION("""COMPUTED_VALUE"""),45990.8125)</f>
        <v>45990.8125</v>
      </c>
      <c r="BH2484" s="17" t="s">
        <v>105</v>
      </c>
      <c r="BI2484" s="17"/>
      <c r="BJ2484" s="15"/>
      <c r="BK2484" s="15"/>
      <c r="BL2484" s="13" t="b">
        <v>0</v>
      </c>
      <c r="BM2484" s="10"/>
      <c r="BN2484" s="10" t="s">
        <v>149</v>
      </c>
      <c r="BO2484" s="11">
        <v>45964.631944444445</v>
      </c>
      <c r="BP2484" s="11">
        <v>45968.987025462964</v>
      </c>
      <c r="BQ2484" s="15">
        <v>45987.473993055559</v>
      </c>
      <c r="BR2484" s="15">
        <v>45988.638425925928</v>
      </c>
      <c r="BS2484" s="10" t="s">
        <v>149</v>
      </c>
      <c r="BT2484" s="10" t="s">
        <v>99</v>
      </c>
      <c r="BU2484" s="10" t="s">
        <v>816</v>
      </c>
      <c r="BV2484" s="10" t="s">
        <v>124</v>
      </c>
      <c r="BW2484" s="10" t="s">
        <v>18830</v>
      </c>
      <c r="BX2484" s="10"/>
      <c r="BY2484" s="23"/>
      <c r="BZ2484" s="23"/>
      <c r="CA2484" s="19" t="s">
        <v>18840</v>
      </c>
      <c r="CB2484" s="23"/>
      <c r="CC2484" s="23"/>
      <c r="CD2484" s="19" t="s">
        <v>18841</v>
      </c>
      <c r="CE2484" s="23"/>
      <c r="CF2484" s="23"/>
      <c r="CG2484" s="23"/>
      <c r="CH2484" s="23"/>
      <c r="CI2484" s="23"/>
    </row>
    <row r="2485" spans="1:87" x14ac:dyDescent="0.3">
      <c r="A2485" s="9" t="s">
        <v>18842</v>
      </c>
      <c r="B2485" s="10" t="s">
        <v>18843</v>
      </c>
      <c r="C2485" s="11">
        <v>45977.875</v>
      </c>
      <c r="D2485" s="12">
        <v>8.3333333333333329E-2</v>
      </c>
      <c r="E2485" s="11">
        <v>45977.958333333336</v>
      </c>
      <c r="F2485" s="10" t="s">
        <v>16639</v>
      </c>
      <c r="G2485" s="13" t="b">
        <v>0</v>
      </c>
      <c r="H2485" s="22" t="s">
        <v>16543</v>
      </c>
      <c r="I2485" s="10" t="s">
        <v>212</v>
      </c>
      <c r="J2485" s="13" t="b">
        <v>1</v>
      </c>
      <c r="K2485" s="13" t="b">
        <v>0</v>
      </c>
      <c r="L2485" s="10" t="s">
        <v>124</v>
      </c>
      <c r="M2485" s="10" t="s">
        <v>91</v>
      </c>
      <c r="N2485" s="10" t="s">
        <v>92</v>
      </c>
      <c r="O2485" s="19" t="s">
        <v>18844</v>
      </c>
      <c r="P2485" s="10"/>
      <c r="Q2485" s="10" t="s">
        <v>126</v>
      </c>
      <c r="R2485" s="10"/>
      <c r="S2485" s="19" t="s">
        <v>18845</v>
      </c>
      <c r="T2485" s="10"/>
      <c r="U2485" s="10" t="s">
        <v>16654</v>
      </c>
      <c r="V2485" s="10" t="s">
        <v>16561</v>
      </c>
      <c r="W2485" s="10" t="s">
        <v>16644</v>
      </c>
      <c r="X2485" s="10" t="s">
        <v>16549</v>
      </c>
      <c r="Y2485" s="10" t="s">
        <v>16549</v>
      </c>
      <c r="Z2485" s="10" t="s">
        <v>99</v>
      </c>
      <c r="AA2485" s="10" t="s">
        <v>131</v>
      </c>
      <c r="AB2485" s="10" t="s">
        <v>16645</v>
      </c>
      <c r="AC2485" s="10" t="s">
        <v>16551</v>
      </c>
      <c r="AD2485" s="10" t="s">
        <v>18846</v>
      </c>
      <c r="AE2485" s="10" t="s">
        <v>18847</v>
      </c>
      <c r="AF2485" s="15"/>
      <c r="AG2485" s="10"/>
      <c r="AH2485" s="10"/>
      <c r="AI2485" s="10"/>
      <c r="AJ2485" s="10"/>
      <c r="AK2485" s="10" t="s">
        <v>102</v>
      </c>
      <c r="AL2485" s="10"/>
      <c r="AM2485" s="10"/>
      <c r="AN2485" s="10"/>
      <c r="AO2485" s="13" t="b">
        <v>0</v>
      </c>
      <c r="AP2485" s="22" t="s">
        <v>135</v>
      </c>
      <c r="AQ2485" s="10">
        <f ca="1">IFERROR(__xludf.DUMMYFUNCTION("""COMPUTED_VALUE"""),4717744)</f>
        <v>4717744</v>
      </c>
      <c r="AR2485" s="17">
        <v>7144</v>
      </c>
      <c r="AS2485" s="17">
        <v>5791</v>
      </c>
      <c r="AT2485" s="17">
        <v>123167</v>
      </c>
      <c r="AU2485" s="17">
        <v>23.15</v>
      </c>
      <c r="AV2485" s="17">
        <v>1.9</v>
      </c>
      <c r="AW2485" s="10" t="s">
        <v>105</v>
      </c>
      <c r="AX2485" s="17">
        <v>1837</v>
      </c>
      <c r="AY2485" s="18">
        <v>21.268692799171127</v>
      </c>
      <c r="AZ2485" s="10" t="s">
        <v>3998</v>
      </c>
      <c r="BA2485" s="20" t="b">
        <v>0</v>
      </c>
      <c r="BB2485" s="10"/>
      <c r="BC2485" s="17">
        <v>7144</v>
      </c>
      <c r="BD2485" s="17">
        <v>5791</v>
      </c>
      <c r="BE2485" s="17">
        <v>123167</v>
      </c>
      <c r="BF2485" s="17">
        <v>1.9</v>
      </c>
      <c r="BG2485" s="11">
        <f ca="1">IFERROR(__xludf.DUMMYFUNCTION("""COMPUTED_VALUE"""),45977.875)</f>
        <v>45977.875</v>
      </c>
      <c r="BH2485" s="17" t="s">
        <v>105</v>
      </c>
      <c r="BI2485" s="17"/>
      <c r="BJ2485" s="15"/>
      <c r="BK2485" s="15"/>
      <c r="BL2485" s="13" t="b">
        <v>0</v>
      </c>
      <c r="BM2485" s="10"/>
      <c r="BN2485" s="10" t="s">
        <v>149</v>
      </c>
      <c r="BO2485" s="11">
        <v>45965.421527777777</v>
      </c>
      <c r="BP2485" s="11">
        <v>45965.4219212963</v>
      </c>
      <c r="BQ2485" s="15">
        <v>45974.447939814818</v>
      </c>
      <c r="BR2485" s="15">
        <v>45975.391030092593</v>
      </c>
      <c r="BS2485" s="10" t="s">
        <v>149</v>
      </c>
      <c r="BT2485" s="10" t="s">
        <v>99</v>
      </c>
      <c r="BU2485" s="10" t="s">
        <v>298</v>
      </c>
      <c r="BV2485" s="10"/>
      <c r="BW2485" s="10"/>
      <c r="BX2485" s="10"/>
      <c r="BY2485" s="23"/>
      <c r="BZ2485" s="23"/>
      <c r="CA2485" s="19" t="s">
        <v>18848</v>
      </c>
      <c r="CB2485" s="23"/>
      <c r="CC2485" s="23"/>
      <c r="CD2485" s="19" t="s">
        <v>18849</v>
      </c>
      <c r="CE2485" s="23"/>
      <c r="CF2485" s="23"/>
      <c r="CG2485" s="23"/>
      <c r="CH2485" s="23"/>
      <c r="CI2485" s="23"/>
    </row>
    <row r="2486" spans="1:87" x14ac:dyDescent="0.3">
      <c r="A2486" s="9" t="s">
        <v>18850</v>
      </c>
      <c r="B2486" s="10" t="s">
        <v>18851</v>
      </c>
      <c r="C2486" s="11">
        <v>45977.979166666664</v>
      </c>
      <c r="D2486" s="12">
        <v>8.3333333333333329E-2</v>
      </c>
      <c r="E2486" s="11">
        <v>45978.0625</v>
      </c>
      <c r="F2486" s="10" t="s">
        <v>16639</v>
      </c>
      <c r="G2486" s="13" t="b">
        <v>0</v>
      </c>
      <c r="H2486" s="22" t="s">
        <v>16543</v>
      </c>
      <c r="I2486" s="10" t="s">
        <v>212</v>
      </c>
      <c r="J2486" s="13" t="b">
        <v>1</v>
      </c>
      <c r="K2486" s="13" t="b">
        <v>0</v>
      </c>
      <c r="L2486" s="10" t="s">
        <v>124</v>
      </c>
      <c r="M2486" s="10" t="s">
        <v>91</v>
      </c>
      <c r="N2486" s="10" t="s">
        <v>92</v>
      </c>
      <c r="O2486" s="19" t="s">
        <v>18852</v>
      </c>
      <c r="P2486" s="10"/>
      <c r="Q2486" s="10" t="s">
        <v>126</v>
      </c>
      <c r="R2486" s="10"/>
      <c r="S2486" s="19" t="s">
        <v>18853</v>
      </c>
      <c r="T2486" s="10"/>
      <c r="U2486" s="10" t="s">
        <v>16680</v>
      </c>
      <c r="V2486" s="10" t="s">
        <v>16671</v>
      </c>
      <c r="W2486" s="10" t="s">
        <v>16644</v>
      </c>
      <c r="X2486" s="10" t="s">
        <v>16549</v>
      </c>
      <c r="Y2486" s="10" t="s">
        <v>16549</v>
      </c>
      <c r="Z2486" s="10" t="s">
        <v>99</v>
      </c>
      <c r="AA2486" s="10" t="s">
        <v>131</v>
      </c>
      <c r="AB2486" s="10" t="s">
        <v>16645</v>
      </c>
      <c r="AC2486" s="10" t="s">
        <v>16551</v>
      </c>
      <c r="AD2486" s="10" t="s">
        <v>18854</v>
      </c>
      <c r="AE2486" s="10" t="s">
        <v>18855</v>
      </c>
      <c r="AF2486" s="15"/>
      <c r="AG2486" s="10"/>
      <c r="AH2486" s="10"/>
      <c r="AI2486" s="10"/>
      <c r="AJ2486" s="10"/>
      <c r="AK2486" s="10" t="s">
        <v>102</v>
      </c>
      <c r="AL2486" s="10"/>
      <c r="AM2486" s="10"/>
      <c r="AN2486" s="10"/>
      <c r="AO2486" s="13" t="b">
        <v>0</v>
      </c>
      <c r="AP2486" s="22" t="s">
        <v>135</v>
      </c>
      <c r="AQ2486" s="10">
        <f ca="1">IFERROR(__xludf.DUMMYFUNCTION("""COMPUTED_VALUE"""),4717745)</f>
        <v>4717745</v>
      </c>
      <c r="AR2486" s="17">
        <v>3516</v>
      </c>
      <c r="AS2486" s="17">
        <v>2593</v>
      </c>
      <c r="AT2486" s="17">
        <v>58146.5</v>
      </c>
      <c r="AU2486" s="17">
        <v>12.9</v>
      </c>
      <c r="AV2486" s="17">
        <v>0.9</v>
      </c>
      <c r="AW2486" s="10" t="s">
        <v>105</v>
      </c>
      <c r="AX2486" s="17">
        <v>1025</v>
      </c>
      <c r="AY2486" s="18">
        <v>22.424411878133437</v>
      </c>
      <c r="AZ2486" s="10" t="s">
        <v>3998</v>
      </c>
      <c r="BA2486" s="20" t="b">
        <v>0</v>
      </c>
      <c r="BB2486" s="10"/>
      <c r="BC2486" s="17">
        <v>3516</v>
      </c>
      <c r="BD2486" s="17">
        <v>2593</v>
      </c>
      <c r="BE2486" s="17">
        <v>58146.5</v>
      </c>
      <c r="BF2486" s="17">
        <v>0.9</v>
      </c>
      <c r="BG2486" s="11">
        <f ca="1">IFERROR(__xludf.DUMMYFUNCTION("""COMPUTED_VALUE"""),45977.9791666666)</f>
        <v>45977.979166666599</v>
      </c>
      <c r="BH2486" s="17" t="s">
        <v>105</v>
      </c>
      <c r="BI2486" s="17"/>
      <c r="BJ2486" s="15"/>
      <c r="BK2486" s="15"/>
      <c r="BL2486" s="13" t="b">
        <v>0</v>
      </c>
      <c r="BM2486" s="10"/>
      <c r="BN2486" s="10" t="s">
        <v>278</v>
      </c>
      <c r="BO2486" s="11">
        <v>45965.42291666667</v>
      </c>
      <c r="BP2486" s="11">
        <v>45965.422974537039</v>
      </c>
      <c r="BQ2486" s="15">
        <v>45974.448136574072</v>
      </c>
      <c r="BR2486" s="15">
        <v>45975.391215277778</v>
      </c>
      <c r="BS2486" s="10" t="s">
        <v>278</v>
      </c>
      <c r="BT2486" s="10" t="s">
        <v>99</v>
      </c>
      <c r="BU2486" s="10" t="s">
        <v>298</v>
      </c>
      <c r="BV2486" s="10"/>
      <c r="BW2486" s="10"/>
      <c r="BX2486" s="10"/>
      <c r="BY2486" s="23"/>
      <c r="BZ2486" s="23"/>
      <c r="CA2486" s="19" t="s">
        <v>18856</v>
      </c>
      <c r="CB2486" s="23"/>
      <c r="CC2486" s="23"/>
      <c r="CD2486" s="19" t="s">
        <v>18857</v>
      </c>
      <c r="CE2486" s="23"/>
      <c r="CF2486" s="23"/>
      <c r="CG2486" s="23"/>
      <c r="CH2486" s="23"/>
      <c r="CI2486" s="23"/>
    </row>
    <row r="2487" spans="1:87" x14ac:dyDescent="0.3">
      <c r="A2487" s="9" t="s">
        <v>18858</v>
      </c>
      <c r="B2487" s="10" t="s">
        <v>18859</v>
      </c>
      <c r="C2487" s="11">
        <v>45981.791666666664</v>
      </c>
      <c r="D2487" s="12">
        <v>8.3333333333333329E-2</v>
      </c>
      <c r="E2487" s="11">
        <v>45981.875</v>
      </c>
      <c r="F2487" s="10" t="s">
        <v>16639</v>
      </c>
      <c r="G2487" s="13" t="b">
        <v>0</v>
      </c>
      <c r="H2487" s="22" t="s">
        <v>16543</v>
      </c>
      <c r="I2487" s="10" t="s">
        <v>212</v>
      </c>
      <c r="J2487" s="13" t="b">
        <v>1</v>
      </c>
      <c r="K2487" s="13" t="b">
        <v>0</v>
      </c>
      <c r="L2487" s="10" t="s">
        <v>124</v>
      </c>
      <c r="M2487" s="10" t="s">
        <v>91</v>
      </c>
      <c r="N2487" s="10" t="s">
        <v>92</v>
      </c>
      <c r="O2487" s="10"/>
      <c r="P2487" s="10"/>
      <c r="Q2487" s="10" t="s">
        <v>126</v>
      </c>
      <c r="R2487" s="10"/>
      <c r="S2487" s="10"/>
      <c r="T2487" s="10"/>
      <c r="U2487" s="10" t="s">
        <v>16547</v>
      </c>
      <c r="V2487" s="10" t="s">
        <v>16570</v>
      </c>
      <c r="W2487" s="10" t="s">
        <v>16644</v>
      </c>
      <c r="X2487" s="10" t="s">
        <v>16549</v>
      </c>
      <c r="Y2487" s="10" t="s">
        <v>16549</v>
      </c>
      <c r="Z2487" s="10" t="s">
        <v>99</v>
      </c>
      <c r="AA2487" s="10" t="s">
        <v>131</v>
      </c>
      <c r="AB2487" s="10" t="s">
        <v>16645</v>
      </c>
      <c r="AC2487" s="10" t="s">
        <v>16551</v>
      </c>
      <c r="AD2487" s="10" t="s">
        <v>18860</v>
      </c>
      <c r="AE2487" s="10" t="s">
        <v>18861</v>
      </c>
      <c r="AF2487" s="15"/>
      <c r="AG2487" s="10"/>
      <c r="AH2487" s="10"/>
      <c r="AI2487" s="10"/>
      <c r="AJ2487" s="10"/>
      <c r="AK2487" s="10" t="s">
        <v>256</v>
      </c>
      <c r="AL2487" s="10"/>
      <c r="AM2487" s="10"/>
      <c r="AN2487" s="10"/>
      <c r="AO2487" s="13" t="b">
        <v>0</v>
      </c>
      <c r="AP2487" s="22" t="s">
        <v>135</v>
      </c>
      <c r="AQ2487" s="10"/>
      <c r="AR2487" s="17"/>
      <c r="AS2487" s="17"/>
      <c r="AT2487" s="17"/>
      <c r="AU2487" s="17"/>
      <c r="AV2487" s="17"/>
      <c r="AW2487" s="10"/>
      <c r="AX2487" s="17"/>
      <c r="AY2487" s="18" t="s">
        <v>257</v>
      </c>
      <c r="AZ2487" s="10"/>
      <c r="BA2487" s="20" t="b">
        <v>0</v>
      </c>
      <c r="BB2487" s="10"/>
      <c r="BC2487" s="17" t="s">
        <v>257</v>
      </c>
      <c r="BD2487" s="17" t="s">
        <v>257</v>
      </c>
      <c r="BE2487" s="17" t="s">
        <v>257</v>
      </c>
      <c r="BF2487" s="17" t="s">
        <v>257</v>
      </c>
      <c r="BG2487" s="11">
        <f ca="1">IFERROR(__xludf.DUMMYFUNCTION("""COMPUTED_VALUE"""),45981.7916666666)</f>
        <v>45981.791666666599</v>
      </c>
      <c r="BH2487" s="17"/>
      <c r="BI2487" s="17"/>
      <c r="BJ2487" s="15"/>
      <c r="BK2487" s="15"/>
      <c r="BL2487" s="13" t="b">
        <v>0</v>
      </c>
      <c r="BM2487" s="10"/>
      <c r="BN2487" s="10" t="s">
        <v>8529</v>
      </c>
      <c r="BO2487" s="11">
        <v>45965.42291666667</v>
      </c>
      <c r="BP2487" s="11">
        <v>45965.423506944448</v>
      </c>
      <c r="BQ2487" s="15"/>
      <c r="BR2487" s="15"/>
      <c r="BS2487" s="10"/>
      <c r="BT2487" s="10" t="s">
        <v>99</v>
      </c>
      <c r="BU2487" s="10"/>
      <c r="BV2487" s="10"/>
      <c r="BW2487" s="10"/>
      <c r="BX2487" s="10"/>
      <c r="BY2487" s="23"/>
      <c r="BZ2487" s="23"/>
      <c r="CA2487" s="23"/>
      <c r="CB2487" s="23"/>
      <c r="CC2487" s="23"/>
      <c r="CD2487" s="23"/>
      <c r="CE2487" s="23"/>
      <c r="CF2487" s="23"/>
      <c r="CG2487" s="23"/>
      <c r="CH2487" s="23"/>
      <c r="CI2487" s="23"/>
    </row>
    <row r="2488" spans="1:87" x14ac:dyDescent="0.3">
      <c r="A2488" s="9" t="s">
        <v>18862</v>
      </c>
      <c r="B2488" s="10" t="s">
        <v>18863</v>
      </c>
      <c r="C2488" s="11">
        <v>45981.979166666664</v>
      </c>
      <c r="D2488" s="12">
        <v>8.3333333333333329E-2</v>
      </c>
      <c r="E2488" s="11">
        <v>45982.0625</v>
      </c>
      <c r="F2488" s="10" t="s">
        <v>16639</v>
      </c>
      <c r="G2488" s="13" t="b">
        <v>0</v>
      </c>
      <c r="H2488" s="22" t="s">
        <v>16543</v>
      </c>
      <c r="I2488" s="10" t="s">
        <v>212</v>
      </c>
      <c r="J2488" s="13" t="b">
        <v>1</v>
      </c>
      <c r="K2488" s="13" t="b">
        <v>0</v>
      </c>
      <c r="L2488" s="10" t="s">
        <v>124</v>
      </c>
      <c r="M2488" s="10" t="s">
        <v>91</v>
      </c>
      <c r="N2488" s="10" t="s">
        <v>92</v>
      </c>
      <c r="O2488" s="19" t="s">
        <v>18864</v>
      </c>
      <c r="P2488" s="10"/>
      <c r="Q2488" s="10" t="s">
        <v>126</v>
      </c>
      <c r="R2488" s="10"/>
      <c r="S2488" s="19" t="s">
        <v>18865</v>
      </c>
      <c r="T2488" s="10"/>
      <c r="U2488" s="10" t="s">
        <v>16671</v>
      </c>
      <c r="V2488" s="10" t="s">
        <v>16654</v>
      </c>
      <c r="W2488" s="10" t="s">
        <v>16644</v>
      </c>
      <c r="X2488" s="10" t="s">
        <v>16549</v>
      </c>
      <c r="Y2488" s="10" t="s">
        <v>16549</v>
      </c>
      <c r="Z2488" s="10" t="s">
        <v>99</v>
      </c>
      <c r="AA2488" s="10" t="s">
        <v>131</v>
      </c>
      <c r="AB2488" s="10" t="s">
        <v>16645</v>
      </c>
      <c r="AC2488" s="10" t="s">
        <v>16551</v>
      </c>
      <c r="AD2488" s="10" t="s">
        <v>18866</v>
      </c>
      <c r="AE2488" s="10" t="s">
        <v>18867</v>
      </c>
      <c r="AF2488" s="15"/>
      <c r="AG2488" s="10"/>
      <c r="AH2488" s="10"/>
      <c r="AI2488" s="10"/>
      <c r="AJ2488" s="10"/>
      <c r="AK2488" s="10" t="s">
        <v>102</v>
      </c>
      <c r="AL2488" s="10"/>
      <c r="AM2488" s="10"/>
      <c r="AN2488" s="10"/>
      <c r="AO2488" s="13" t="b">
        <v>0</v>
      </c>
      <c r="AP2488" s="22" t="s">
        <v>135</v>
      </c>
      <c r="AQ2488" s="10">
        <f ca="1">IFERROR(__xludf.DUMMYFUNCTION("""COMPUTED_VALUE"""),4725598)</f>
        <v>4725598</v>
      </c>
      <c r="AR2488" s="17">
        <v>5444</v>
      </c>
      <c r="AS2488" s="17">
        <v>4039</v>
      </c>
      <c r="AT2488" s="17">
        <v>91347.75</v>
      </c>
      <c r="AU2488" s="17">
        <v>9.5</v>
      </c>
      <c r="AV2488" s="17">
        <v>1.35</v>
      </c>
      <c r="AW2488" s="10" t="s">
        <v>105</v>
      </c>
      <c r="AX2488" s="17">
        <v>1728</v>
      </c>
      <c r="AY2488" s="18">
        <v>22.61642733349839</v>
      </c>
      <c r="AZ2488" s="10" t="s">
        <v>3783</v>
      </c>
      <c r="BA2488" s="20" t="b">
        <v>0</v>
      </c>
      <c r="BB2488" s="10"/>
      <c r="BC2488" s="17">
        <v>5444</v>
      </c>
      <c r="BD2488" s="17">
        <v>4039</v>
      </c>
      <c r="BE2488" s="17">
        <v>91347.75</v>
      </c>
      <c r="BF2488" s="17">
        <v>1.35</v>
      </c>
      <c r="BG2488" s="11">
        <f ca="1">IFERROR(__xludf.DUMMYFUNCTION("""COMPUTED_VALUE"""),45981.9791666666)</f>
        <v>45981.979166666599</v>
      </c>
      <c r="BH2488" s="17" t="s">
        <v>105</v>
      </c>
      <c r="BI2488" s="17"/>
      <c r="BJ2488" s="15"/>
      <c r="BK2488" s="15"/>
      <c r="BL2488" s="13" t="b">
        <v>0</v>
      </c>
      <c r="BM2488" s="10"/>
      <c r="BN2488" s="10" t="s">
        <v>1160</v>
      </c>
      <c r="BO2488" s="11">
        <v>45965.423611111109</v>
      </c>
      <c r="BP2488" s="11">
        <v>45965.424120370371</v>
      </c>
      <c r="BQ2488" s="15">
        <v>45980.68372685185</v>
      </c>
      <c r="BR2488" s="15">
        <v>45981.079513888886</v>
      </c>
      <c r="BS2488" s="10" t="s">
        <v>1160</v>
      </c>
      <c r="BT2488" s="10" t="s">
        <v>99</v>
      </c>
      <c r="BU2488" s="10" t="s">
        <v>1275</v>
      </c>
      <c r="BV2488" s="10"/>
      <c r="BW2488" s="10"/>
      <c r="BX2488" s="10"/>
      <c r="BY2488" s="23"/>
      <c r="BZ2488" s="23"/>
      <c r="CA2488" s="19" t="s">
        <v>18868</v>
      </c>
      <c r="CB2488" s="23"/>
      <c r="CC2488" s="23"/>
      <c r="CD2488" s="19" t="s">
        <v>18869</v>
      </c>
      <c r="CE2488" s="23"/>
      <c r="CF2488" s="23"/>
      <c r="CG2488" s="23"/>
      <c r="CH2488" s="23"/>
      <c r="CI2488" s="23"/>
    </row>
    <row r="2489" spans="1:87" x14ac:dyDescent="0.3">
      <c r="A2489" s="9" t="s">
        <v>18870</v>
      </c>
      <c r="B2489" s="10" t="s">
        <v>18871</v>
      </c>
      <c r="C2489" s="11">
        <v>45984.770833333336</v>
      </c>
      <c r="D2489" s="12">
        <v>8.3333333333333329E-2</v>
      </c>
      <c r="E2489" s="11">
        <v>45984.854166666664</v>
      </c>
      <c r="F2489" s="10" t="s">
        <v>16639</v>
      </c>
      <c r="G2489" s="13" t="b">
        <v>0</v>
      </c>
      <c r="H2489" s="22" t="s">
        <v>16543</v>
      </c>
      <c r="I2489" s="10" t="s">
        <v>212</v>
      </c>
      <c r="J2489" s="13" t="b">
        <v>1</v>
      </c>
      <c r="K2489" s="13" t="b">
        <v>0</v>
      </c>
      <c r="L2489" s="10" t="s">
        <v>124</v>
      </c>
      <c r="M2489" s="10" t="s">
        <v>91</v>
      </c>
      <c r="N2489" s="10" t="s">
        <v>92</v>
      </c>
      <c r="O2489" s="19" t="s">
        <v>18872</v>
      </c>
      <c r="P2489" s="10"/>
      <c r="Q2489" s="10" t="s">
        <v>126</v>
      </c>
      <c r="R2489" s="10"/>
      <c r="S2489" s="19" t="s">
        <v>18873</v>
      </c>
      <c r="T2489" s="10"/>
      <c r="U2489" s="10" t="s">
        <v>16586</v>
      </c>
      <c r="V2489" s="10" t="s">
        <v>16642</v>
      </c>
      <c r="W2489" s="10" t="s">
        <v>16644</v>
      </c>
      <c r="X2489" s="10" t="s">
        <v>16549</v>
      </c>
      <c r="Y2489" s="10" t="s">
        <v>16549</v>
      </c>
      <c r="Z2489" s="10" t="s">
        <v>99</v>
      </c>
      <c r="AA2489" s="10" t="s">
        <v>131</v>
      </c>
      <c r="AB2489" s="10" t="s">
        <v>16645</v>
      </c>
      <c r="AC2489" s="10" t="s">
        <v>16551</v>
      </c>
      <c r="AD2489" s="10" t="s">
        <v>18874</v>
      </c>
      <c r="AE2489" s="10" t="s">
        <v>18875</v>
      </c>
      <c r="AF2489" s="15"/>
      <c r="AG2489" s="10"/>
      <c r="AH2489" s="10"/>
      <c r="AI2489" s="10"/>
      <c r="AJ2489" s="10"/>
      <c r="AK2489" s="10" t="s">
        <v>102</v>
      </c>
      <c r="AL2489" s="10"/>
      <c r="AM2489" s="10"/>
      <c r="AN2489" s="10"/>
      <c r="AO2489" s="13" t="b">
        <v>0</v>
      </c>
      <c r="AP2489" s="22" t="s">
        <v>135</v>
      </c>
      <c r="AQ2489" s="10">
        <f ca="1">IFERROR(__xludf.DUMMYFUNCTION("""COMPUTED_VALUE"""),4726062)</f>
        <v>4726062</v>
      </c>
      <c r="AR2489" s="17">
        <v>5356</v>
      </c>
      <c r="AS2489" s="17">
        <v>4186</v>
      </c>
      <c r="AT2489" s="17">
        <v>76297.25</v>
      </c>
      <c r="AU2489" s="17">
        <v>7.65</v>
      </c>
      <c r="AV2489" s="17">
        <v>0.2</v>
      </c>
      <c r="AW2489" s="10" t="s">
        <v>105</v>
      </c>
      <c r="AX2489" s="17">
        <v>1336</v>
      </c>
      <c r="AY2489" s="18">
        <v>18.226767797419971</v>
      </c>
      <c r="AZ2489" s="10" t="s">
        <v>3783</v>
      </c>
      <c r="BA2489" s="20" t="b">
        <v>0</v>
      </c>
      <c r="BB2489" s="10"/>
      <c r="BC2489" s="17">
        <v>5356</v>
      </c>
      <c r="BD2489" s="17">
        <v>4186</v>
      </c>
      <c r="BE2489" s="17">
        <v>76297.25</v>
      </c>
      <c r="BF2489" s="17">
        <v>0.2</v>
      </c>
      <c r="BG2489" s="11">
        <f ca="1">IFERROR(__xludf.DUMMYFUNCTION("""COMPUTED_VALUE"""),45984.7708333333)</f>
        <v>45984.770833333299</v>
      </c>
      <c r="BH2489" s="17" t="s">
        <v>105</v>
      </c>
      <c r="BI2489" s="17"/>
      <c r="BJ2489" s="15"/>
      <c r="BK2489" s="15"/>
      <c r="BL2489" s="13" t="b">
        <v>0</v>
      </c>
      <c r="BM2489" s="10"/>
      <c r="BN2489" s="10" t="s">
        <v>149</v>
      </c>
      <c r="BO2489" s="11">
        <v>45965.424305555556</v>
      </c>
      <c r="BP2489" s="11">
        <v>45972.695324074077</v>
      </c>
      <c r="BQ2489" s="15">
        <v>45980.683888888889</v>
      </c>
      <c r="BR2489" s="15">
        <v>45981.583287037036</v>
      </c>
      <c r="BS2489" s="10" t="s">
        <v>149</v>
      </c>
      <c r="BT2489" s="10" t="s">
        <v>99</v>
      </c>
      <c r="BU2489" s="10" t="s">
        <v>456</v>
      </c>
      <c r="BV2489" s="10"/>
      <c r="BW2489" s="10"/>
      <c r="BX2489" s="10"/>
      <c r="BY2489" s="23"/>
      <c r="BZ2489" s="23"/>
      <c r="CA2489" s="19" t="s">
        <v>18876</v>
      </c>
      <c r="CB2489" s="23"/>
      <c r="CC2489" s="23"/>
      <c r="CD2489" s="19" t="s">
        <v>18877</v>
      </c>
      <c r="CE2489" s="23"/>
      <c r="CF2489" s="23"/>
      <c r="CG2489" s="23"/>
      <c r="CH2489" s="23"/>
      <c r="CI2489" s="23"/>
    </row>
    <row r="2490" spans="1:87" x14ac:dyDescent="0.3">
      <c r="A2490" s="9" t="s">
        <v>18878</v>
      </c>
      <c r="B2490" s="10" t="s">
        <v>18879</v>
      </c>
      <c r="C2490" s="11">
        <v>45977.729166666664</v>
      </c>
      <c r="D2490" s="12">
        <v>8.3333333333333329E-2</v>
      </c>
      <c r="E2490" s="11">
        <v>45977.8125</v>
      </c>
      <c r="F2490" s="10" t="s">
        <v>16719</v>
      </c>
      <c r="G2490" s="13" t="b">
        <v>0</v>
      </c>
      <c r="H2490" s="22" t="s">
        <v>16543</v>
      </c>
      <c r="I2490" s="10" t="s">
        <v>212</v>
      </c>
      <c r="J2490" s="13" t="b">
        <v>1</v>
      </c>
      <c r="K2490" s="13" t="b">
        <v>0</v>
      </c>
      <c r="L2490" s="10" t="s">
        <v>124</v>
      </c>
      <c r="M2490" s="10" t="s">
        <v>91</v>
      </c>
      <c r="N2490" s="10" t="s">
        <v>92</v>
      </c>
      <c r="O2490" s="19" t="s">
        <v>18880</v>
      </c>
      <c r="P2490" s="10"/>
      <c r="Q2490" s="10" t="s">
        <v>126</v>
      </c>
      <c r="R2490" s="10"/>
      <c r="S2490" s="19" t="s">
        <v>18881</v>
      </c>
      <c r="T2490" s="10"/>
      <c r="U2490" s="10" t="s">
        <v>17605</v>
      </c>
      <c r="V2490" s="10" t="s">
        <v>16733</v>
      </c>
      <c r="W2490" s="10" t="s">
        <v>16644</v>
      </c>
      <c r="X2490" s="10" t="s">
        <v>16549</v>
      </c>
      <c r="Y2490" s="10" t="s">
        <v>16549</v>
      </c>
      <c r="Z2490" s="10" t="s">
        <v>99</v>
      </c>
      <c r="AA2490" s="10" t="s">
        <v>131</v>
      </c>
      <c r="AB2490" s="10" t="s">
        <v>16645</v>
      </c>
      <c r="AC2490" s="10" t="s">
        <v>16551</v>
      </c>
      <c r="AD2490" s="10" t="s">
        <v>18882</v>
      </c>
      <c r="AE2490" s="10" t="s">
        <v>18883</v>
      </c>
      <c r="AF2490" s="15"/>
      <c r="AG2490" s="10"/>
      <c r="AH2490" s="10"/>
      <c r="AI2490" s="10"/>
      <c r="AJ2490" s="10"/>
      <c r="AK2490" s="10" t="s">
        <v>256</v>
      </c>
      <c r="AL2490" s="10" t="s">
        <v>147</v>
      </c>
      <c r="AM2490" s="10"/>
      <c r="AN2490" s="10"/>
      <c r="AO2490" s="13" t="b">
        <v>0</v>
      </c>
      <c r="AP2490" s="22" t="s">
        <v>104</v>
      </c>
      <c r="AQ2490" s="10">
        <f ca="1">IFERROR(__xludf.DUMMYFUNCTION("""COMPUTED_VALUE"""),4712773)</f>
        <v>4712773</v>
      </c>
      <c r="AR2490" s="17"/>
      <c r="AS2490" s="17"/>
      <c r="AT2490" s="17"/>
      <c r="AU2490" s="17"/>
      <c r="AV2490" s="17"/>
      <c r="AW2490" s="10"/>
      <c r="AX2490" s="17"/>
      <c r="AY2490" s="18" t="s">
        <v>257</v>
      </c>
      <c r="AZ2490" s="10" t="s">
        <v>3998</v>
      </c>
      <c r="BA2490" s="20" t="b">
        <v>0</v>
      </c>
      <c r="BB2490" s="10"/>
      <c r="BC2490" s="17" t="s">
        <v>257</v>
      </c>
      <c r="BD2490" s="17" t="s">
        <v>257</v>
      </c>
      <c r="BE2490" s="17" t="s">
        <v>257</v>
      </c>
      <c r="BF2490" s="17" t="s">
        <v>257</v>
      </c>
      <c r="BG2490" s="11">
        <f ca="1">IFERROR(__xludf.DUMMYFUNCTION("""COMPUTED_VALUE"""),45977.7291666666)</f>
        <v>45977.729166666599</v>
      </c>
      <c r="BH2490" s="17"/>
      <c r="BI2490" s="17"/>
      <c r="BJ2490" s="15"/>
      <c r="BK2490" s="15"/>
      <c r="BL2490" s="13" t="b">
        <v>0</v>
      </c>
      <c r="BM2490" s="10"/>
      <c r="BN2490" s="10" t="s">
        <v>18456</v>
      </c>
      <c r="BO2490" s="11">
        <v>45965.42083333333</v>
      </c>
      <c r="BP2490" s="11">
        <v>45965.421261574076</v>
      </c>
      <c r="BQ2490" s="15">
        <v>45967.548333333332</v>
      </c>
      <c r="BR2490" s="15">
        <v>45971.556273148148</v>
      </c>
      <c r="BS2490" s="10"/>
      <c r="BT2490" s="10" t="s">
        <v>99</v>
      </c>
      <c r="BU2490" s="10"/>
      <c r="BV2490" s="10"/>
      <c r="BW2490" s="10"/>
      <c r="BX2490" s="10"/>
      <c r="BY2490" s="23"/>
      <c r="BZ2490" s="23"/>
      <c r="CA2490" s="19" t="s">
        <v>18884</v>
      </c>
      <c r="CB2490" s="23"/>
      <c r="CC2490" s="23"/>
      <c r="CD2490" s="19" t="s">
        <v>18885</v>
      </c>
      <c r="CE2490" s="23"/>
      <c r="CF2490" s="23"/>
      <c r="CG2490" s="23"/>
      <c r="CH2490" s="23"/>
      <c r="CI2490" s="23"/>
    </row>
    <row r="2491" spans="1:87" x14ac:dyDescent="0.3">
      <c r="A2491" s="9" t="s">
        <v>18886</v>
      </c>
      <c r="B2491" s="10" t="s">
        <v>18887</v>
      </c>
      <c r="C2491" s="11">
        <v>45984.875</v>
      </c>
      <c r="D2491" s="12">
        <v>8.3333333333333329E-2</v>
      </c>
      <c r="E2491" s="11">
        <v>45984.958333333336</v>
      </c>
      <c r="F2491" s="10" t="s">
        <v>16639</v>
      </c>
      <c r="G2491" s="13" t="b">
        <v>0</v>
      </c>
      <c r="H2491" s="22" t="s">
        <v>16543</v>
      </c>
      <c r="I2491" s="10" t="s">
        <v>212</v>
      </c>
      <c r="J2491" s="13" t="b">
        <v>1</v>
      </c>
      <c r="K2491" s="13" t="b">
        <v>0</v>
      </c>
      <c r="L2491" s="10" t="s">
        <v>124</v>
      </c>
      <c r="M2491" s="10" t="s">
        <v>91</v>
      </c>
      <c r="N2491" s="10" t="s">
        <v>92</v>
      </c>
      <c r="O2491" s="19" t="s">
        <v>18888</v>
      </c>
      <c r="P2491" s="10"/>
      <c r="Q2491" s="10" t="s">
        <v>126</v>
      </c>
      <c r="R2491" s="10"/>
      <c r="S2491" s="19" t="s">
        <v>18889</v>
      </c>
      <c r="T2491" s="10"/>
      <c r="U2491" s="10" t="s">
        <v>16654</v>
      </c>
      <c r="V2491" s="10" t="s">
        <v>16594</v>
      </c>
      <c r="W2491" s="10" t="s">
        <v>16644</v>
      </c>
      <c r="X2491" s="10" t="s">
        <v>16549</v>
      </c>
      <c r="Y2491" s="10" t="s">
        <v>16549</v>
      </c>
      <c r="Z2491" s="10" t="s">
        <v>99</v>
      </c>
      <c r="AA2491" s="10" t="s">
        <v>131</v>
      </c>
      <c r="AB2491" s="10" t="s">
        <v>16645</v>
      </c>
      <c r="AC2491" s="10" t="s">
        <v>16551</v>
      </c>
      <c r="AD2491" s="10" t="s">
        <v>18890</v>
      </c>
      <c r="AE2491" s="10" t="s">
        <v>18891</v>
      </c>
      <c r="AF2491" s="15"/>
      <c r="AG2491" s="10"/>
      <c r="AH2491" s="10"/>
      <c r="AI2491" s="10"/>
      <c r="AJ2491" s="10"/>
      <c r="AK2491" s="10" t="s">
        <v>102</v>
      </c>
      <c r="AL2491" s="10"/>
      <c r="AM2491" s="10"/>
      <c r="AN2491" s="10"/>
      <c r="AO2491" s="13" t="b">
        <v>0</v>
      </c>
      <c r="AP2491" s="22" t="s">
        <v>135</v>
      </c>
      <c r="AQ2491" s="10">
        <f ca="1">IFERROR(__xludf.DUMMYFUNCTION("""COMPUTED_VALUE"""),4726063)</f>
        <v>4726063</v>
      </c>
      <c r="AR2491" s="17">
        <v>5220</v>
      </c>
      <c r="AS2491" s="17">
        <v>4158</v>
      </c>
      <c r="AT2491" s="17">
        <v>79446</v>
      </c>
      <c r="AU2491" s="17">
        <v>15.25</v>
      </c>
      <c r="AV2491" s="17">
        <v>0.45</v>
      </c>
      <c r="AW2491" s="10" t="s">
        <v>105</v>
      </c>
      <c r="AX2491" s="17">
        <v>1528</v>
      </c>
      <c r="AY2491" s="18">
        <v>19.106782106782106</v>
      </c>
      <c r="AZ2491" s="10" t="s">
        <v>3783</v>
      </c>
      <c r="BA2491" s="20" t="b">
        <v>0</v>
      </c>
      <c r="BB2491" s="10"/>
      <c r="BC2491" s="17">
        <v>5220</v>
      </c>
      <c r="BD2491" s="17">
        <v>4158</v>
      </c>
      <c r="BE2491" s="17">
        <v>79446</v>
      </c>
      <c r="BF2491" s="17">
        <v>0.45</v>
      </c>
      <c r="BG2491" s="11">
        <f ca="1">IFERROR(__xludf.DUMMYFUNCTION("""COMPUTED_VALUE"""),45984.875)</f>
        <v>45984.875</v>
      </c>
      <c r="BH2491" s="17" t="s">
        <v>105</v>
      </c>
      <c r="BI2491" s="17"/>
      <c r="BJ2491" s="15"/>
      <c r="BK2491" s="15"/>
      <c r="BL2491" s="13" t="b">
        <v>0</v>
      </c>
      <c r="BM2491" s="10"/>
      <c r="BN2491" s="10" t="s">
        <v>149</v>
      </c>
      <c r="BO2491" s="11">
        <v>45965.425000000003</v>
      </c>
      <c r="BP2491" s="11">
        <v>45965.42701388889</v>
      </c>
      <c r="BQ2491" s="15">
        <v>45980.684016203704</v>
      </c>
      <c r="BR2491" s="15">
        <v>45981.583564814813</v>
      </c>
      <c r="BS2491" s="10" t="s">
        <v>149</v>
      </c>
      <c r="BT2491" s="10" t="s">
        <v>99</v>
      </c>
      <c r="BU2491" s="10" t="s">
        <v>456</v>
      </c>
      <c r="BV2491" s="10"/>
      <c r="BW2491" s="10"/>
      <c r="BX2491" s="10"/>
      <c r="BY2491" s="23"/>
      <c r="BZ2491" s="23"/>
      <c r="CA2491" s="19" t="s">
        <v>18892</v>
      </c>
      <c r="CB2491" s="23"/>
      <c r="CC2491" s="23"/>
      <c r="CD2491" s="19" t="s">
        <v>18893</v>
      </c>
      <c r="CE2491" s="23"/>
      <c r="CF2491" s="23"/>
      <c r="CG2491" s="23"/>
      <c r="CH2491" s="23"/>
      <c r="CI2491" s="23"/>
    </row>
    <row r="2492" spans="1:87" x14ac:dyDescent="0.3">
      <c r="A2492" s="9" t="s">
        <v>18894</v>
      </c>
      <c r="B2492" s="10" t="s">
        <v>18895</v>
      </c>
      <c r="C2492" s="11">
        <v>45990.791666666664</v>
      </c>
      <c r="D2492" s="12">
        <v>8.3333333333333329E-2</v>
      </c>
      <c r="E2492" s="11">
        <v>45990.875</v>
      </c>
      <c r="F2492" s="10" t="s">
        <v>16639</v>
      </c>
      <c r="G2492" s="13" t="b">
        <v>0</v>
      </c>
      <c r="H2492" s="22" t="s">
        <v>16543</v>
      </c>
      <c r="I2492" s="10" t="s">
        <v>212</v>
      </c>
      <c r="J2492" s="13" t="b">
        <v>1</v>
      </c>
      <c r="K2492" s="13" t="b">
        <v>0</v>
      </c>
      <c r="L2492" s="10" t="s">
        <v>124</v>
      </c>
      <c r="M2492" s="10" t="s">
        <v>91</v>
      </c>
      <c r="N2492" s="10" t="s">
        <v>92</v>
      </c>
      <c r="O2492" s="19" t="s">
        <v>18896</v>
      </c>
      <c r="P2492" s="10"/>
      <c r="Q2492" s="10" t="s">
        <v>126</v>
      </c>
      <c r="R2492" s="10"/>
      <c r="S2492" s="19" t="s">
        <v>18897</v>
      </c>
      <c r="T2492" s="10"/>
      <c r="U2492" s="10" t="s">
        <v>16643</v>
      </c>
      <c r="V2492" s="10" t="s">
        <v>16586</v>
      </c>
      <c r="W2492" s="10" t="s">
        <v>16644</v>
      </c>
      <c r="X2492" s="10" t="s">
        <v>16549</v>
      </c>
      <c r="Y2492" s="10" t="s">
        <v>16549</v>
      </c>
      <c r="Z2492" s="10" t="s">
        <v>99</v>
      </c>
      <c r="AA2492" s="10" t="s">
        <v>131</v>
      </c>
      <c r="AB2492" s="10" t="s">
        <v>16645</v>
      </c>
      <c r="AC2492" s="10" t="s">
        <v>16551</v>
      </c>
      <c r="AD2492" s="10" t="s">
        <v>18898</v>
      </c>
      <c r="AE2492" s="10" t="s">
        <v>18899</v>
      </c>
      <c r="AF2492" s="15"/>
      <c r="AG2492" s="10"/>
      <c r="AH2492" s="10"/>
      <c r="AI2492" s="10"/>
      <c r="AJ2492" s="10"/>
      <c r="AK2492" s="10" t="s">
        <v>102</v>
      </c>
      <c r="AL2492" s="10"/>
      <c r="AM2492" s="10"/>
      <c r="AN2492" s="10"/>
      <c r="AO2492" s="13" t="b">
        <v>0</v>
      </c>
      <c r="AP2492" s="22" t="s">
        <v>135</v>
      </c>
      <c r="AQ2492" s="10">
        <f ca="1">IFERROR(__xludf.DUMMYFUNCTION("""COMPUTED_VALUE"""),4739851)</f>
        <v>4739851</v>
      </c>
      <c r="AR2492" s="17">
        <v>8463</v>
      </c>
      <c r="AS2492" s="17">
        <v>5856</v>
      </c>
      <c r="AT2492" s="17">
        <v>145675.5</v>
      </c>
      <c r="AU2492" s="17">
        <v>19.7</v>
      </c>
      <c r="AV2492" s="17">
        <v>1.1499999999999999</v>
      </c>
      <c r="AW2492" s="10" t="s">
        <v>105</v>
      </c>
      <c r="AX2492" s="17">
        <v>2069</v>
      </c>
      <c r="AY2492" s="18">
        <v>24.876280737704917</v>
      </c>
      <c r="AZ2492" s="10" t="s">
        <v>3998</v>
      </c>
      <c r="BA2492" s="20" t="b">
        <v>0</v>
      </c>
      <c r="BB2492" s="10"/>
      <c r="BC2492" s="17">
        <v>8463</v>
      </c>
      <c r="BD2492" s="17">
        <v>5856</v>
      </c>
      <c r="BE2492" s="17">
        <v>145675.5</v>
      </c>
      <c r="BF2492" s="17">
        <v>1.1499999999999999</v>
      </c>
      <c r="BG2492" s="11">
        <f ca="1">IFERROR(__xludf.DUMMYFUNCTION("""COMPUTED_VALUE"""),45990.7916666666)</f>
        <v>45990.791666666599</v>
      </c>
      <c r="BH2492" s="17" t="s">
        <v>105</v>
      </c>
      <c r="BI2492" s="17"/>
      <c r="BJ2492" s="15"/>
      <c r="BK2492" s="15"/>
      <c r="BL2492" s="13" t="b">
        <v>0</v>
      </c>
      <c r="BM2492" s="10"/>
      <c r="BN2492" s="10" t="s">
        <v>149</v>
      </c>
      <c r="BO2492" s="11">
        <v>45965.426388888889</v>
      </c>
      <c r="BP2492" s="11">
        <v>45978.584270833337</v>
      </c>
      <c r="BQ2492" s="15">
        <v>45985.937048611115</v>
      </c>
      <c r="BR2492" s="15">
        <v>45988.441261574073</v>
      </c>
      <c r="BS2492" s="10" t="s">
        <v>149</v>
      </c>
      <c r="BT2492" s="10" t="s">
        <v>99</v>
      </c>
      <c r="BU2492" s="10" t="s">
        <v>718</v>
      </c>
      <c r="BV2492" s="10"/>
      <c r="BW2492" s="10"/>
      <c r="BX2492" s="10"/>
      <c r="BY2492" s="23"/>
      <c r="BZ2492" s="23"/>
      <c r="CA2492" s="19" t="s">
        <v>18900</v>
      </c>
      <c r="CB2492" s="23"/>
      <c r="CC2492" s="23"/>
      <c r="CD2492" s="19" t="s">
        <v>18901</v>
      </c>
      <c r="CE2492" s="23"/>
      <c r="CF2492" s="23"/>
      <c r="CG2492" s="23"/>
      <c r="CH2492" s="23"/>
      <c r="CI2492" s="23"/>
    </row>
    <row r="2493" spans="1:87" x14ac:dyDescent="0.3">
      <c r="A2493" s="9" t="s">
        <v>18902</v>
      </c>
      <c r="B2493" s="10" t="s">
        <v>18903</v>
      </c>
      <c r="C2493" s="11">
        <v>45990.958333333336</v>
      </c>
      <c r="D2493" s="12">
        <v>8.3333333333333329E-2</v>
      </c>
      <c r="E2493" s="11">
        <v>45991.041666666664</v>
      </c>
      <c r="F2493" s="10" t="s">
        <v>16639</v>
      </c>
      <c r="G2493" s="13" t="b">
        <v>0</v>
      </c>
      <c r="H2493" s="22" t="s">
        <v>16543</v>
      </c>
      <c r="I2493" s="10" t="s">
        <v>212</v>
      </c>
      <c r="J2493" s="13" t="b">
        <v>1</v>
      </c>
      <c r="K2493" s="13" t="b">
        <v>0</v>
      </c>
      <c r="L2493" s="10" t="s">
        <v>124</v>
      </c>
      <c r="M2493" s="10" t="s">
        <v>91</v>
      </c>
      <c r="N2493" s="10" t="s">
        <v>92</v>
      </c>
      <c r="O2493" s="19" t="s">
        <v>18904</v>
      </c>
      <c r="P2493" s="10"/>
      <c r="Q2493" s="10" t="s">
        <v>126</v>
      </c>
      <c r="R2493" s="10"/>
      <c r="S2493" s="19" t="s">
        <v>18905</v>
      </c>
      <c r="T2493" s="10"/>
      <c r="U2493" s="10" t="s">
        <v>16671</v>
      </c>
      <c r="V2493" s="10" t="s">
        <v>16569</v>
      </c>
      <c r="W2493" s="10" t="s">
        <v>16644</v>
      </c>
      <c r="X2493" s="10" t="s">
        <v>16549</v>
      </c>
      <c r="Y2493" s="10" t="s">
        <v>16549</v>
      </c>
      <c r="Z2493" s="10" t="s">
        <v>99</v>
      </c>
      <c r="AA2493" s="10" t="s">
        <v>131</v>
      </c>
      <c r="AB2493" s="10" t="s">
        <v>16645</v>
      </c>
      <c r="AC2493" s="10" t="s">
        <v>16551</v>
      </c>
      <c r="AD2493" s="10" t="s">
        <v>18906</v>
      </c>
      <c r="AE2493" s="10" t="s">
        <v>18907</v>
      </c>
      <c r="AF2493" s="15"/>
      <c r="AG2493" s="10"/>
      <c r="AH2493" s="10"/>
      <c r="AI2493" s="10"/>
      <c r="AJ2493" s="10"/>
      <c r="AK2493" s="10" t="s">
        <v>256</v>
      </c>
      <c r="AL2493" s="10"/>
      <c r="AM2493" s="10"/>
      <c r="AN2493" s="10"/>
      <c r="AO2493" s="13" t="b">
        <v>0</v>
      </c>
      <c r="AP2493" s="22" t="s">
        <v>135</v>
      </c>
      <c r="AQ2493" s="10">
        <f ca="1">IFERROR(__xludf.DUMMYFUNCTION("""COMPUTED_VALUE"""),4739852)</f>
        <v>4739852</v>
      </c>
      <c r="AR2493" s="17"/>
      <c r="AS2493" s="17"/>
      <c r="AT2493" s="17"/>
      <c r="AU2493" s="17"/>
      <c r="AV2493" s="17"/>
      <c r="AW2493" s="10"/>
      <c r="AX2493" s="17"/>
      <c r="AY2493" s="18" t="s">
        <v>257</v>
      </c>
      <c r="AZ2493" s="10" t="s">
        <v>3998</v>
      </c>
      <c r="BA2493" s="20" t="b">
        <v>0</v>
      </c>
      <c r="BB2493" s="10"/>
      <c r="BC2493" s="17" t="s">
        <v>257</v>
      </c>
      <c r="BD2493" s="17" t="s">
        <v>257</v>
      </c>
      <c r="BE2493" s="17" t="s">
        <v>257</v>
      </c>
      <c r="BF2493" s="17" t="s">
        <v>257</v>
      </c>
      <c r="BG2493" s="11">
        <f ca="1">IFERROR(__xludf.DUMMYFUNCTION("""COMPUTED_VALUE"""),45990.9583333333)</f>
        <v>45990.958333333299</v>
      </c>
      <c r="BH2493" s="17"/>
      <c r="BI2493" s="17"/>
      <c r="BJ2493" s="15"/>
      <c r="BK2493" s="15"/>
      <c r="BL2493" s="13" t="b">
        <v>0</v>
      </c>
      <c r="BM2493" s="10"/>
      <c r="BN2493" s="10" t="s">
        <v>8437</v>
      </c>
      <c r="BO2493" s="11">
        <v>45965.427083333336</v>
      </c>
      <c r="BP2493" s="11">
        <v>45978.584583333337</v>
      </c>
      <c r="BQ2493" s="15">
        <v>45985.937175925923</v>
      </c>
      <c r="BR2493" s="15">
        <v>45988.441423611112</v>
      </c>
      <c r="BS2493" s="10"/>
      <c r="BT2493" s="10" t="s">
        <v>99</v>
      </c>
      <c r="BU2493" s="10"/>
      <c r="BV2493" s="10"/>
      <c r="BW2493" s="10"/>
      <c r="BX2493" s="10"/>
      <c r="BY2493" s="23"/>
      <c r="BZ2493" s="23"/>
      <c r="CA2493" s="19" t="s">
        <v>18908</v>
      </c>
      <c r="CB2493" s="23"/>
      <c r="CC2493" s="23"/>
      <c r="CD2493" s="19" t="s">
        <v>18909</v>
      </c>
      <c r="CE2493" s="23"/>
      <c r="CF2493" s="23"/>
      <c r="CG2493" s="23"/>
      <c r="CH2493" s="23"/>
      <c r="CI2493" s="23"/>
    </row>
    <row r="2494" spans="1:87" x14ac:dyDescent="0.3">
      <c r="A2494" s="9" t="s">
        <v>18910</v>
      </c>
      <c r="B2494" s="10" t="s">
        <v>18911</v>
      </c>
      <c r="C2494" s="11">
        <v>45991.958333333336</v>
      </c>
      <c r="D2494" s="12">
        <v>8.3333333333333329E-2</v>
      </c>
      <c r="E2494" s="11">
        <v>45992.041666666664</v>
      </c>
      <c r="F2494" s="10" t="s">
        <v>16639</v>
      </c>
      <c r="G2494" s="13" t="b">
        <v>0</v>
      </c>
      <c r="H2494" s="22" t="s">
        <v>16543</v>
      </c>
      <c r="I2494" s="10" t="s">
        <v>212</v>
      </c>
      <c r="J2494" s="13" t="b">
        <v>1</v>
      </c>
      <c r="K2494" s="13" t="b">
        <v>0</v>
      </c>
      <c r="L2494" s="10" t="s">
        <v>124</v>
      </c>
      <c r="M2494" s="10" t="s">
        <v>91</v>
      </c>
      <c r="N2494" s="10" t="s">
        <v>92</v>
      </c>
      <c r="O2494" s="19" t="s">
        <v>18912</v>
      </c>
      <c r="P2494" s="10"/>
      <c r="Q2494" s="10" t="s">
        <v>126</v>
      </c>
      <c r="R2494" s="10"/>
      <c r="S2494" s="19" t="s">
        <v>18913</v>
      </c>
      <c r="T2494" s="10"/>
      <c r="U2494" s="10" t="s">
        <v>16546</v>
      </c>
      <c r="V2494" s="10" t="s">
        <v>16680</v>
      </c>
      <c r="W2494" s="10" t="s">
        <v>16644</v>
      </c>
      <c r="X2494" s="10" t="s">
        <v>16549</v>
      </c>
      <c r="Y2494" s="10" t="s">
        <v>16549</v>
      </c>
      <c r="Z2494" s="10" t="s">
        <v>99</v>
      </c>
      <c r="AA2494" s="10" t="s">
        <v>131</v>
      </c>
      <c r="AB2494" s="10" t="s">
        <v>16645</v>
      </c>
      <c r="AC2494" s="10" t="s">
        <v>16551</v>
      </c>
      <c r="AD2494" s="10" t="s">
        <v>18914</v>
      </c>
      <c r="AE2494" s="10" t="s">
        <v>18915</v>
      </c>
      <c r="AF2494" s="15"/>
      <c r="AG2494" s="10"/>
      <c r="AH2494" s="10"/>
      <c r="AI2494" s="10"/>
      <c r="AJ2494" s="10"/>
      <c r="AK2494" s="10" t="s">
        <v>102</v>
      </c>
      <c r="AL2494" s="10"/>
      <c r="AM2494" s="10"/>
      <c r="AN2494" s="10"/>
      <c r="AO2494" s="13" t="b">
        <v>0</v>
      </c>
      <c r="AP2494" s="22" t="s">
        <v>135</v>
      </c>
      <c r="AQ2494" s="10">
        <f ca="1">IFERROR(__xludf.DUMMYFUNCTION("""COMPUTED_VALUE"""),4739854)</f>
        <v>4739854</v>
      </c>
      <c r="AR2494" s="17">
        <v>2167</v>
      </c>
      <c r="AS2494" s="17">
        <v>1871</v>
      </c>
      <c r="AT2494" s="17">
        <v>17569</v>
      </c>
      <c r="AU2494" s="17">
        <v>8.4</v>
      </c>
      <c r="AV2494" s="17">
        <v>0</v>
      </c>
      <c r="AW2494" s="10" t="s">
        <v>105</v>
      </c>
      <c r="AX2494" s="17">
        <v>838</v>
      </c>
      <c r="AY2494" s="18">
        <v>9.3901656867985039</v>
      </c>
      <c r="AZ2494" s="10" t="s">
        <v>3998</v>
      </c>
      <c r="BA2494" s="20" t="b">
        <v>0</v>
      </c>
      <c r="BB2494" s="10"/>
      <c r="BC2494" s="17">
        <v>2167</v>
      </c>
      <c r="BD2494" s="17">
        <v>1871</v>
      </c>
      <c r="BE2494" s="17">
        <v>17569</v>
      </c>
      <c r="BF2494" s="17">
        <v>0</v>
      </c>
      <c r="BG2494" s="11">
        <f ca="1">IFERROR(__xludf.DUMMYFUNCTION("""COMPUTED_VALUE"""),45991.9583333333)</f>
        <v>45991.958333333299</v>
      </c>
      <c r="BH2494" s="17" t="s">
        <v>105</v>
      </c>
      <c r="BI2494" s="17"/>
      <c r="BJ2494" s="15"/>
      <c r="BK2494" s="15"/>
      <c r="BL2494" s="13" t="b">
        <v>0</v>
      </c>
      <c r="BM2494" s="10"/>
      <c r="BN2494" s="10" t="s">
        <v>197</v>
      </c>
      <c r="BO2494" s="11">
        <v>45965.427083333336</v>
      </c>
      <c r="BP2494" s="11">
        <v>45965.427812499998</v>
      </c>
      <c r="BQ2494" s="15">
        <v>45985.936585648145</v>
      </c>
      <c r="BR2494" s="15">
        <v>45988.441724537035</v>
      </c>
      <c r="BS2494" s="10" t="s">
        <v>197</v>
      </c>
      <c r="BT2494" s="10" t="s">
        <v>99</v>
      </c>
      <c r="BU2494" s="10" t="s">
        <v>421</v>
      </c>
      <c r="BV2494" s="10"/>
      <c r="BW2494" s="10"/>
      <c r="BX2494" s="10"/>
      <c r="BY2494" s="23"/>
      <c r="BZ2494" s="23"/>
      <c r="CA2494" s="19" t="s">
        <v>18916</v>
      </c>
      <c r="CB2494" s="23"/>
      <c r="CC2494" s="23"/>
      <c r="CD2494" s="19" t="s">
        <v>18917</v>
      </c>
      <c r="CE2494" s="23"/>
      <c r="CF2494" s="23"/>
      <c r="CG2494" s="23"/>
      <c r="CH2494" s="23"/>
      <c r="CI2494" s="23"/>
    </row>
    <row r="2495" spans="1:87" x14ac:dyDescent="0.3">
      <c r="A2495" s="9" t="s">
        <v>18918</v>
      </c>
      <c r="B2495" s="10" t="s">
        <v>18919</v>
      </c>
      <c r="C2495" s="11">
        <v>45980.75</v>
      </c>
      <c r="D2495" s="12">
        <v>8.3333333333333329E-2</v>
      </c>
      <c r="E2495" s="11">
        <v>45980.833333333336</v>
      </c>
      <c r="F2495" s="10" t="s">
        <v>16719</v>
      </c>
      <c r="G2495" s="13" t="b">
        <v>0</v>
      </c>
      <c r="H2495" s="22" t="s">
        <v>16543</v>
      </c>
      <c r="I2495" s="10" t="s">
        <v>212</v>
      </c>
      <c r="J2495" s="13" t="b">
        <v>1</v>
      </c>
      <c r="K2495" s="13" t="b">
        <v>0</v>
      </c>
      <c r="L2495" s="10" t="s">
        <v>124</v>
      </c>
      <c r="M2495" s="10" t="s">
        <v>91</v>
      </c>
      <c r="N2495" s="10" t="s">
        <v>92</v>
      </c>
      <c r="O2495" s="19" t="s">
        <v>18920</v>
      </c>
      <c r="P2495" s="10"/>
      <c r="Q2495" s="10" t="s">
        <v>94</v>
      </c>
      <c r="R2495" s="10"/>
      <c r="S2495" s="19" t="s">
        <v>18921</v>
      </c>
      <c r="T2495" s="10"/>
      <c r="U2495" s="10" t="s">
        <v>16761</v>
      </c>
      <c r="V2495" s="10" t="s">
        <v>17605</v>
      </c>
      <c r="W2495" s="10" t="s">
        <v>16644</v>
      </c>
      <c r="X2495" s="10" t="s">
        <v>16549</v>
      </c>
      <c r="Y2495" s="10" t="s">
        <v>16549</v>
      </c>
      <c r="Z2495" s="10" t="s">
        <v>99</v>
      </c>
      <c r="AA2495" s="10" t="s">
        <v>131</v>
      </c>
      <c r="AB2495" s="10" t="s">
        <v>16645</v>
      </c>
      <c r="AC2495" s="10" t="s">
        <v>16551</v>
      </c>
      <c r="AD2495" s="10" t="s">
        <v>18922</v>
      </c>
      <c r="AE2495" s="10" t="s">
        <v>18923</v>
      </c>
      <c r="AF2495" s="15"/>
      <c r="AG2495" s="10"/>
      <c r="AH2495" s="10"/>
      <c r="AI2495" s="10"/>
      <c r="AJ2495" s="10"/>
      <c r="AK2495" s="10" t="s">
        <v>102</v>
      </c>
      <c r="AL2495" s="10" t="s">
        <v>156</v>
      </c>
      <c r="AM2495" s="10"/>
      <c r="AN2495" s="10"/>
      <c r="AO2495" s="13" t="b">
        <v>0</v>
      </c>
      <c r="AP2495" s="22" t="s">
        <v>104</v>
      </c>
      <c r="AQ2495" s="10">
        <f ca="1">IFERROR(__xludf.DUMMYFUNCTION("""COMPUTED_VALUE"""),4720875)</f>
        <v>4720875</v>
      </c>
      <c r="AR2495" s="17">
        <v>7903</v>
      </c>
      <c r="AS2495" s="17">
        <v>6206</v>
      </c>
      <c r="AT2495" s="17">
        <v>119562.5</v>
      </c>
      <c r="AU2495" s="17">
        <v>25.3</v>
      </c>
      <c r="AV2495" s="17">
        <v>1.55</v>
      </c>
      <c r="AW2495" s="10" t="s">
        <v>105</v>
      </c>
      <c r="AX2495" s="17">
        <v>1321</v>
      </c>
      <c r="AY2495" s="18">
        <v>19.265630035449565</v>
      </c>
      <c r="AZ2495" s="10" t="s">
        <v>3998</v>
      </c>
      <c r="BA2495" s="20" t="b">
        <v>0</v>
      </c>
      <c r="BB2495" s="10"/>
      <c r="BC2495" s="17">
        <v>7903</v>
      </c>
      <c r="BD2495" s="17">
        <v>6206</v>
      </c>
      <c r="BE2495" s="17">
        <v>119562.5</v>
      </c>
      <c r="BF2495" s="17">
        <v>1.55</v>
      </c>
      <c r="BG2495" s="11">
        <f ca="1">IFERROR(__xludf.DUMMYFUNCTION("""COMPUTED_VALUE"""),45980.75)</f>
        <v>45980.75</v>
      </c>
      <c r="BH2495" s="17" t="s">
        <v>105</v>
      </c>
      <c r="BI2495" s="17"/>
      <c r="BJ2495" s="15"/>
      <c r="BK2495" s="15"/>
      <c r="BL2495" s="13" t="b">
        <v>0</v>
      </c>
      <c r="BM2495" s="10"/>
      <c r="BN2495" s="10" t="s">
        <v>149</v>
      </c>
      <c r="BO2495" s="11">
        <v>45965.427777777775</v>
      </c>
      <c r="BP2495" s="11">
        <v>45965.428194444445</v>
      </c>
      <c r="BQ2495" s="15">
        <v>45967.548981481479</v>
      </c>
      <c r="BR2495" s="15">
        <v>45977.517893518518</v>
      </c>
      <c r="BS2495" s="10" t="s">
        <v>149</v>
      </c>
      <c r="BT2495" s="10"/>
      <c r="BU2495" s="10"/>
      <c r="BV2495" s="10"/>
      <c r="BW2495" s="10"/>
      <c r="BX2495" s="10"/>
      <c r="BY2495" s="23"/>
      <c r="BZ2495" s="23"/>
      <c r="CA2495" s="19" t="s">
        <v>18924</v>
      </c>
      <c r="CB2495" s="23"/>
      <c r="CC2495" s="23"/>
      <c r="CD2495" s="23"/>
      <c r="CE2495" s="23"/>
      <c r="CF2495" s="23"/>
      <c r="CG2495" s="23"/>
      <c r="CH2495" s="23"/>
      <c r="CI2495" s="23"/>
    </row>
    <row r="2496" spans="1:87" x14ac:dyDescent="0.3">
      <c r="A2496" s="9" t="s">
        <v>18925</v>
      </c>
      <c r="B2496" s="10" t="s">
        <v>18926</v>
      </c>
      <c r="C2496" s="11">
        <v>45980.875</v>
      </c>
      <c r="D2496" s="12">
        <v>8.3333333333333329E-2</v>
      </c>
      <c r="E2496" s="11">
        <v>45980.958333333336</v>
      </c>
      <c r="F2496" s="10" t="s">
        <v>16719</v>
      </c>
      <c r="G2496" s="13" t="b">
        <v>0</v>
      </c>
      <c r="H2496" s="22" t="s">
        <v>16543</v>
      </c>
      <c r="I2496" s="10" t="s">
        <v>212</v>
      </c>
      <c r="J2496" s="13" t="b">
        <v>1</v>
      </c>
      <c r="K2496" s="13" t="b">
        <v>0</v>
      </c>
      <c r="L2496" s="10" t="s">
        <v>124</v>
      </c>
      <c r="M2496" s="10" t="s">
        <v>91</v>
      </c>
      <c r="N2496" s="10" t="s">
        <v>92</v>
      </c>
      <c r="O2496" s="19" t="s">
        <v>18927</v>
      </c>
      <c r="P2496" s="10"/>
      <c r="Q2496" s="10" t="s">
        <v>126</v>
      </c>
      <c r="R2496" s="10"/>
      <c r="S2496" s="19" t="s">
        <v>18928</v>
      </c>
      <c r="T2496" s="10"/>
      <c r="U2496" s="10" t="s">
        <v>16732</v>
      </c>
      <c r="V2496" s="10" t="s">
        <v>16751</v>
      </c>
      <c r="W2496" s="10" t="s">
        <v>16644</v>
      </c>
      <c r="X2496" s="10" t="s">
        <v>16549</v>
      </c>
      <c r="Y2496" s="10" t="s">
        <v>16549</v>
      </c>
      <c r="Z2496" s="10" t="s">
        <v>99</v>
      </c>
      <c r="AA2496" s="10" t="s">
        <v>131</v>
      </c>
      <c r="AB2496" s="10" t="s">
        <v>16645</v>
      </c>
      <c r="AC2496" s="10" t="s">
        <v>16551</v>
      </c>
      <c r="AD2496" s="10" t="s">
        <v>18929</v>
      </c>
      <c r="AE2496" s="10" t="s">
        <v>18930</v>
      </c>
      <c r="AF2496" s="15"/>
      <c r="AG2496" s="10"/>
      <c r="AH2496" s="10"/>
      <c r="AI2496" s="10"/>
      <c r="AJ2496" s="10"/>
      <c r="AK2496" s="10" t="s">
        <v>102</v>
      </c>
      <c r="AL2496" s="10" t="s">
        <v>156</v>
      </c>
      <c r="AM2496" s="10"/>
      <c r="AN2496" s="10"/>
      <c r="AO2496" s="13" t="b">
        <v>0</v>
      </c>
      <c r="AP2496" s="22" t="s">
        <v>104</v>
      </c>
      <c r="AQ2496" s="10">
        <f ca="1">IFERROR(__xludf.DUMMYFUNCTION("""COMPUTED_VALUE"""),4721180)</f>
        <v>4721180</v>
      </c>
      <c r="AR2496" s="17">
        <v>6573</v>
      </c>
      <c r="AS2496" s="17">
        <v>5518</v>
      </c>
      <c r="AT2496" s="17">
        <v>126889.75</v>
      </c>
      <c r="AU2496" s="17">
        <v>24.85</v>
      </c>
      <c r="AV2496" s="17">
        <v>5.8</v>
      </c>
      <c r="AW2496" s="10" t="s">
        <v>105</v>
      </c>
      <c r="AX2496" s="17">
        <v>1752</v>
      </c>
      <c r="AY2496" s="18">
        <v>22.995605291772382</v>
      </c>
      <c r="AZ2496" s="10" t="s">
        <v>3998</v>
      </c>
      <c r="BA2496" s="20" t="b">
        <v>0</v>
      </c>
      <c r="BB2496" s="10"/>
      <c r="BC2496" s="17">
        <v>6573</v>
      </c>
      <c r="BD2496" s="17">
        <v>5518</v>
      </c>
      <c r="BE2496" s="17">
        <v>126889.75</v>
      </c>
      <c r="BF2496" s="17">
        <v>5.8</v>
      </c>
      <c r="BG2496" s="11">
        <f ca="1">IFERROR(__xludf.DUMMYFUNCTION("""COMPUTED_VALUE"""),45980.875)</f>
        <v>45980.875</v>
      </c>
      <c r="BH2496" s="17" t="s">
        <v>105</v>
      </c>
      <c r="BI2496" s="17"/>
      <c r="BJ2496" s="15"/>
      <c r="BK2496" s="15"/>
      <c r="BL2496" s="13"/>
      <c r="BM2496" s="10"/>
      <c r="BN2496" s="10" t="s">
        <v>667</v>
      </c>
      <c r="BO2496" s="11">
        <v>45965.428472222222</v>
      </c>
      <c r="BP2496" s="11">
        <v>45965.428611111114</v>
      </c>
      <c r="BQ2496" s="15">
        <v>45967.549120370371</v>
      </c>
      <c r="BR2496" s="15">
        <v>45978.426342592589</v>
      </c>
      <c r="BS2496" s="10" t="s">
        <v>667</v>
      </c>
      <c r="BT2496" s="10"/>
      <c r="BU2496" s="10"/>
      <c r="BV2496" s="10"/>
      <c r="BW2496" s="10"/>
      <c r="BX2496" s="10"/>
      <c r="BY2496" s="23"/>
      <c r="BZ2496" s="23"/>
      <c r="CA2496" s="19" t="s">
        <v>18931</v>
      </c>
      <c r="CB2496" s="23"/>
      <c r="CC2496" s="23"/>
      <c r="CD2496" s="19" t="s">
        <v>18932</v>
      </c>
      <c r="CE2496" s="23"/>
      <c r="CF2496" s="23"/>
      <c r="CG2496" s="23"/>
      <c r="CH2496" s="23"/>
      <c r="CI2496" s="23"/>
    </row>
    <row r="2497" spans="1:87" x14ac:dyDescent="0.3">
      <c r="A2497" s="9" t="s">
        <v>18933</v>
      </c>
      <c r="B2497" s="10" t="s">
        <v>18934</v>
      </c>
      <c r="C2497" s="11">
        <v>45983.75</v>
      </c>
      <c r="D2497" s="12">
        <v>8.3333333333333329E-2</v>
      </c>
      <c r="E2497" s="11">
        <v>45983.833333333336</v>
      </c>
      <c r="F2497" s="10" t="s">
        <v>16719</v>
      </c>
      <c r="G2497" s="13" t="b">
        <v>0</v>
      </c>
      <c r="H2497" s="22" t="s">
        <v>16543</v>
      </c>
      <c r="I2497" s="10" t="s">
        <v>212</v>
      </c>
      <c r="J2497" s="13" t="b">
        <v>1</v>
      </c>
      <c r="K2497" s="13" t="b">
        <v>0</v>
      </c>
      <c r="L2497" s="10" t="s">
        <v>124</v>
      </c>
      <c r="M2497" s="10" t="s">
        <v>91</v>
      </c>
      <c r="N2497" s="10" t="s">
        <v>92</v>
      </c>
      <c r="O2497" s="19" t="s">
        <v>18935</v>
      </c>
      <c r="P2497" s="10"/>
      <c r="Q2497" s="10" t="s">
        <v>126</v>
      </c>
      <c r="R2497" s="10"/>
      <c r="S2497" s="19" t="s">
        <v>18936</v>
      </c>
      <c r="T2497" s="10"/>
      <c r="U2497" s="10" t="s">
        <v>18937</v>
      </c>
      <c r="V2497" s="10" t="s">
        <v>16733</v>
      </c>
      <c r="W2497" s="10" t="s">
        <v>16644</v>
      </c>
      <c r="X2497" s="10" t="s">
        <v>16549</v>
      </c>
      <c r="Y2497" s="10" t="s">
        <v>16549</v>
      </c>
      <c r="Z2497" s="10" t="s">
        <v>99</v>
      </c>
      <c r="AA2497" s="10" t="s">
        <v>131</v>
      </c>
      <c r="AB2497" s="10" t="s">
        <v>16645</v>
      </c>
      <c r="AC2497" s="10" t="s">
        <v>16551</v>
      </c>
      <c r="AD2497" s="10" t="s">
        <v>18938</v>
      </c>
      <c r="AE2497" s="10" t="s">
        <v>18939</v>
      </c>
      <c r="AF2497" s="15"/>
      <c r="AG2497" s="10"/>
      <c r="AH2497" s="10"/>
      <c r="AI2497" s="10"/>
      <c r="AJ2497" s="10"/>
      <c r="AK2497" s="10" t="s">
        <v>102</v>
      </c>
      <c r="AL2497" s="10" t="s">
        <v>167</v>
      </c>
      <c r="AM2497" s="10"/>
      <c r="AN2497" s="10"/>
      <c r="AO2497" s="13" t="b">
        <v>0</v>
      </c>
      <c r="AP2497" s="22" t="s">
        <v>104</v>
      </c>
      <c r="AQ2497" s="10">
        <f ca="1">IFERROR(__xludf.DUMMYFUNCTION("""COMPUTED_VALUE"""),4726059)</f>
        <v>4726059</v>
      </c>
      <c r="AR2497" s="17">
        <v>6799</v>
      </c>
      <c r="AS2497" s="17">
        <v>5653</v>
      </c>
      <c r="AT2497" s="17">
        <v>77859.75</v>
      </c>
      <c r="AU2497" s="17">
        <v>25.15</v>
      </c>
      <c r="AV2497" s="17">
        <v>4.1500000000000004</v>
      </c>
      <c r="AW2497" s="10" t="s">
        <v>105</v>
      </c>
      <c r="AX2497" s="17">
        <v>1579</v>
      </c>
      <c r="AY2497" s="18">
        <v>13.773173536175483</v>
      </c>
      <c r="AZ2497" s="10" t="s">
        <v>3998</v>
      </c>
      <c r="BA2497" s="20" t="b">
        <v>0</v>
      </c>
      <c r="BB2497" s="10"/>
      <c r="BC2497" s="17">
        <v>6799</v>
      </c>
      <c r="BD2497" s="17">
        <v>5653</v>
      </c>
      <c r="BE2497" s="17">
        <v>77859.75</v>
      </c>
      <c r="BF2497" s="17">
        <v>4.1500000000000004</v>
      </c>
      <c r="BG2497" s="11">
        <f ca="1">IFERROR(__xludf.DUMMYFUNCTION("""COMPUTED_VALUE"""),45983.75)</f>
        <v>45983.75</v>
      </c>
      <c r="BH2497" s="17" t="s">
        <v>105</v>
      </c>
      <c r="BI2497" s="17"/>
      <c r="BJ2497" s="15"/>
      <c r="BK2497" s="15"/>
      <c r="BL2497" s="13" t="b">
        <v>0</v>
      </c>
      <c r="BM2497" s="10"/>
      <c r="BN2497" s="10" t="s">
        <v>197</v>
      </c>
      <c r="BO2497" s="11">
        <v>45965.429166666669</v>
      </c>
      <c r="BP2497" s="11">
        <v>45965.429768518516</v>
      </c>
      <c r="BQ2497" s="15">
        <v>45981.552152777775</v>
      </c>
      <c r="BR2497" s="15">
        <v>45981.579456018517</v>
      </c>
      <c r="BS2497" s="10" t="s">
        <v>197</v>
      </c>
      <c r="BT2497" s="10"/>
      <c r="BU2497" s="10"/>
      <c r="BV2497" s="10"/>
      <c r="BW2497" s="10"/>
      <c r="BX2497" s="10"/>
      <c r="BY2497" s="23"/>
      <c r="BZ2497" s="23"/>
      <c r="CA2497" s="19" t="s">
        <v>18940</v>
      </c>
      <c r="CB2497" s="23"/>
      <c r="CC2497" s="23"/>
      <c r="CD2497" s="19" t="s">
        <v>18941</v>
      </c>
      <c r="CE2497" s="23"/>
      <c r="CF2497" s="23"/>
      <c r="CG2497" s="23"/>
      <c r="CH2497" s="23"/>
      <c r="CI2497" s="23"/>
    </row>
    <row r="2498" spans="1:87" x14ac:dyDescent="0.3">
      <c r="A2498" s="9" t="s">
        <v>18942</v>
      </c>
      <c r="B2498" s="10" t="s">
        <v>18943</v>
      </c>
      <c r="C2498" s="11">
        <v>45983.958333333336</v>
      </c>
      <c r="D2498" s="12">
        <v>8.3333333333333329E-2</v>
      </c>
      <c r="E2498" s="11">
        <v>45984.041666666664</v>
      </c>
      <c r="F2498" s="10" t="s">
        <v>16719</v>
      </c>
      <c r="G2498" s="13" t="b">
        <v>0</v>
      </c>
      <c r="H2498" s="22" t="s">
        <v>16543</v>
      </c>
      <c r="I2498" s="10" t="s">
        <v>212</v>
      </c>
      <c r="J2498" s="13" t="b">
        <v>1</v>
      </c>
      <c r="K2498" s="13" t="b">
        <v>0</v>
      </c>
      <c r="L2498" s="10" t="s">
        <v>124</v>
      </c>
      <c r="M2498" s="10" t="s">
        <v>91</v>
      </c>
      <c r="N2498" s="10" t="s">
        <v>92</v>
      </c>
      <c r="O2498" s="19" t="s">
        <v>18944</v>
      </c>
      <c r="P2498" s="10"/>
      <c r="Q2498" s="10" t="s">
        <v>94</v>
      </c>
      <c r="R2498" s="10"/>
      <c r="S2498" s="19" t="s">
        <v>18945</v>
      </c>
      <c r="T2498" s="10"/>
      <c r="U2498" s="10" t="s">
        <v>16722</v>
      </c>
      <c r="V2498" s="10" t="s">
        <v>16778</v>
      </c>
      <c r="W2498" s="10" t="s">
        <v>16644</v>
      </c>
      <c r="X2498" s="10" t="s">
        <v>16549</v>
      </c>
      <c r="Y2498" s="10" t="s">
        <v>16549</v>
      </c>
      <c r="Z2498" s="10" t="s">
        <v>99</v>
      </c>
      <c r="AA2498" s="10" t="s">
        <v>131</v>
      </c>
      <c r="AB2498" s="10" t="s">
        <v>16645</v>
      </c>
      <c r="AC2498" s="10" t="s">
        <v>16551</v>
      </c>
      <c r="AD2498" s="10" t="s">
        <v>18946</v>
      </c>
      <c r="AE2498" s="10" t="s">
        <v>18947</v>
      </c>
      <c r="AF2498" s="15"/>
      <c r="AG2498" s="10"/>
      <c r="AH2498" s="10"/>
      <c r="AI2498" s="10"/>
      <c r="AJ2498" s="10"/>
      <c r="AK2498" s="10" t="s">
        <v>102</v>
      </c>
      <c r="AL2498" s="10" t="s">
        <v>167</v>
      </c>
      <c r="AM2498" s="10"/>
      <c r="AN2498" s="10"/>
      <c r="AO2498" s="13" t="b">
        <v>0</v>
      </c>
      <c r="AP2498" s="22" t="s">
        <v>104</v>
      </c>
      <c r="AQ2498" s="10">
        <f ca="1">IFERROR(__xludf.DUMMYFUNCTION("""COMPUTED_VALUE"""),4726061)</f>
        <v>4726061</v>
      </c>
      <c r="AR2498" s="17">
        <v>1733</v>
      </c>
      <c r="AS2498" s="17">
        <v>1566</v>
      </c>
      <c r="AT2498" s="17">
        <v>10525</v>
      </c>
      <c r="AU2498" s="17">
        <v>0.55000000000000004</v>
      </c>
      <c r="AV2498" s="17">
        <v>0</v>
      </c>
      <c r="AW2498" s="10" t="s">
        <v>105</v>
      </c>
      <c r="AX2498" s="17">
        <v>350</v>
      </c>
      <c r="AY2498" s="18">
        <v>6.7209450830140485</v>
      </c>
      <c r="AZ2498" s="10" t="s">
        <v>3998</v>
      </c>
      <c r="BA2498" s="20" t="b">
        <v>0</v>
      </c>
      <c r="BB2498" s="10"/>
      <c r="BC2498" s="17">
        <v>1733</v>
      </c>
      <c r="BD2498" s="17">
        <v>1566</v>
      </c>
      <c r="BE2498" s="17">
        <v>10525</v>
      </c>
      <c r="BF2498" s="17">
        <v>0</v>
      </c>
      <c r="BG2498" s="11">
        <f ca="1">IFERROR(__xludf.DUMMYFUNCTION("""COMPUTED_VALUE"""),45983.9583333333)</f>
        <v>45983.958333333299</v>
      </c>
      <c r="BH2498" s="17" t="s">
        <v>105</v>
      </c>
      <c r="BI2498" s="17"/>
      <c r="BJ2498" s="15"/>
      <c r="BK2498" s="15"/>
      <c r="BL2498" s="13" t="b">
        <v>0</v>
      </c>
      <c r="BM2498" s="10"/>
      <c r="BN2498" s="10" t="s">
        <v>197</v>
      </c>
      <c r="BO2498" s="11">
        <v>45965.429861111108</v>
      </c>
      <c r="BP2498" s="11">
        <v>45980.603171296294</v>
      </c>
      <c r="BQ2498" s="15">
        <v>45981.552291666667</v>
      </c>
      <c r="BR2498" s="15">
        <v>45981.579583333332</v>
      </c>
      <c r="BS2498" s="10" t="s">
        <v>197</v>
      </c>
      <c r="BT2498" s="10"/>
      <c r="BU2498" s="10"/>
      <c r="BV2498" s="10"/>
      <c r="BW2498" s="10"/>
      <c r="BX2498" s="10"/>
      <c r="BY2498" s="23"/>
      <c r="BZ2498" s="23"/>
      <c r="CA2498" s="19" t="s">
        <v>18948</v>
      </c>
      <c r="CB2498" s="23"/>
      <c r="CC2498" s="23"/>
      <c r="CD2498" s="23"/>
      <c r="CE2498" s="23"/>
      <c r="CF2498" s="23"/>
      <c r="CG2498" s="23"/>
      <c r="CH2498" s="23"/>
      <c r="CI2498" s="23"/>
    </row>
    <row r="2499" spans="1:87" x14ac:dyDescent="0.3">
      <c r="A2499" s="9" t="s">
        <v>18949</v>
      </c>
      <c r="B2499" s="10" t="s">
        <v>18950</v>
      </c>
      <c r="C2499" s="11">
        <v>45986.75</v>
      </c>
      <c r="D2499" s="12">
        <v>8.3333333333333329E-2</v>
      </c>
      <c r="E2499" s="11">
        <v>45986.833333333336</v>
      </c>
      <c r="F2499" s="10" t="s">
        <v>16719</v>
      </c>
      <c r="G2499" s="13" t="b">
        <v>0</v>
      </c>
      <c r="H2499" s="22" t="s">
        <v>16543</v>
      </c>
      <c r="I2499" s="10" t="s">
        <v>212</v>
      </c>
      <c r="J2499" s="13" t="b">
        <v>1</v>
      </c>
      <c r="K2499" s="13" t="b">
        <v>0</v>
      </c>
      <c r="L2499" s="10" t="s">
        <v>124</v>
      </c>
      <c r="M2499" s="10" t="s">
        <v>91</v>
      </c>
      <c r="N2499" s="10" t="s">
        <v>92</v>
      </c>
      <c r="O2499" s="19" t="s">
        <v>18951</v>
      </c>
      <c r="P2499" s="10"/>
      <c r="Q2499" s="10" t="s">
        <v>126</v>
      </c>
      <c r="R2499" s="10"/>
      <c r="S2499" s="19" t="s">
        <v>18952</v>
      </c>
      <c r="T2499" s="10"/>
      <c r="U2499" s="10" t="s">
        <v>16751</v>
      </c>
      <c r="V2499" s="10" t="s">
        <v>17605</v>
      </c>
      <c r="W2499" s="10" t="s">
        <v>16644</v>
      </c>
      <c r="X2499" s="10" t="s">
        <v>16549</v>
      </c>
      <c r="Y2499" s="10" t="s">
        <v>16549</v>
      </c>
      <c r="Z2499" s="10" t="s">
        <v>99</v>
      </c>
      <c r="AA2499" s="10" t="s">
        <v>131</v>
      </c>
      <c r="AB2499" s="10" t="s">
        <v>16645</v>
      </c>
      <c r="AC2499" s="10" t="s">
        <v>16551</v>
      </c>
      <c r="AD2499" s="10" t="s">
        <v>18953</v>
      </c>
      <c r="AE2499" s="10" t="s">
        <v>18954</v>
      </c>
      <c r="AF2499" s="15"/>
      <c r="AG2499" s="10"/>
      <c r="AH2499" s="10"/>
      <c r="AI2499" s="10"/>
      <c r="AJ2499" s="10"/>
      <c r="AK2499" s="10" t="s">
        <v>102</v>
      </c>
      <c r="AL2499" s="10" t="s">
        <v>176</v>
      </c>
      <c r="AM2499" s="10"/>
      <c r="AN2499" s="10"/>
      <c r="AO2499" s="13" t="b">
        <v>0</v>
      </c>
      <c r="AP2499" s="22" t="s">
        <v>104</v>
      </c>
      <c r="AQ2499" s="10">
        <f ca="1">IFERROR(__xludf.DUMMYFUNCTION("""COMPUTED_VALUE"""),4727761)</f>
        <v>4727761</v>
      </c>
      <c r="AR2499" s="17">
        <v>5350</v>
      </c>
      <c r="AS2499" s="17">
        <v>4243</v>
      </c>
      <c r="AT2499" s="17">
        <v>79669.5</v>
      </c>
      <c r="AU2499" s="17">
        <v>13.45</v>
      </c>
      <c r="AV2499" s="17">
        <v>1.75</v>
      </c>
      <c r="AW2499" s="10" t="s">
        <v>105</v>
      </c>
      <c r="AX2499" s="17">
        <v>1129</v>
      </c>
      <c r="AY2499" s="18">
        <v>18.776691020504359</v>
      </c>
      <c r="AZ2499" s="10" t="s">
        <v>3998</v>
      </c>
      <c r="BA2499" s="20" t="b">
        <v>0</v>
      </c>
      <c r="BB2499" s="10"/>
      <c r="BC2499" s="17">
        <v>5350</v>
      </c>
      <c r="BD2499" s="17">
        <v>4243</v>
      </c>
      <c r="BE2499" s="17">
        <v>79669.5</v>
      </c>
      <c r="BF2499" s="17">
        <v>1.75</v>
      </c>
      <c r="BG2499" s="11">
        <f ca="1">IFERROR(__xludf.DUMMYFUNCTION("""COMPUTED_VALUE"""),45986.75)</f>
        <v>45986.75</v>
      </c>
      <c r="BH2499" s="17" t="s">
        <v>105</v>
      </c>
      <c r="BI2499" s="17"/>
      <c r="BJ2499" s="15"/>
      <c r="BK2499" s="15"/>
      <c r="BL2499" s="13" t="b">
        <v>0</v>
      </c>
      <c r="BM2499" s="10"/>
      <c r="BN2499" s="10" t="s">
        <v>1149</v>
      </c>
      <c r="BO2499" s="11">
        <v>45965.430555555555</v>
      </c>
      <c r="BP2499" s="11">
        <v>45965.430659722224</v>
      </c>
      <c r="BQ2499" s="15">
        <v>45981.552442129629</v>
      </c>
      <c r="BR2499" s="15">
        <v>45982.656122685185</v>
      </c>
      <c r="BS2499" s="10" t="s">
        <v>1149</v>
      </c>
      <c r="BT2499" s="10" t="s">
        <v>99</v>
      </c>
      <c r="BU2499" s="10" t="s">
        <v>1784</v>
      </c>
      <c r="BV2499" s="10"/>
      <c r="BW2499" s="10"/>
      <c r="BX2499" s="10"/>
      <c r="BY2499" s="23"/>
      <c r="BZ2499" s="23"/>
      <c r="CA2499" s="19" t="s">
        <v>18955</v>
      </c>
      <c r="CB2499" s="23"/>
      <c r="CC2499" s="23"/>
      <c r="CD2499" s="19" t="s">
        <v>18956</v>
      </c>
      <c r="CE2499" s="23"/>
      <c r="CF2499" s="23"/>
      <c r="CG2499" s="23"/>
      <c r="CH2499" s="23"/>
      <c r="CI2499" s="23"/>
    </row>
    <row r="2500" spans="1:87" x14ac:dyDescent="0.3">
      <c r="A2500" s="9" t="s">
        <v>18957</v>
      </c>
      <c r="B2500" s="10" t="s">
        <v>18958</v>
      </c>
      <c r="C2500" s="11">
        <v>45986.854166666664</v>
      </c>
      <c r="D2500" s="12">
        <v>8.3333333333333329E-2</v>
      </c>
      <c r="E2500" s="11">
        <v>45986.9375</v>
      </c>
      <c r="F2500" s="10" t="s">
        <v>16719</v>
      </c>
      <c r="G2500" s="13" t="b">
        <v>0</v>
      </c>
      <c r="H2500" s="22" t="s">
        <v>16543</v>
      </c>
      <c r="I2500" s="10" t="s">
        <v>212</v>
      </c>
      <c r="J2500" s="13" t="b">
        <v>1</v>
      </c>
      <c r="K2500" s="13" t="b">
        <v>0</v>
      </c>
      <c r="L2500" s="10" t="s">
        <v>124</v>
      </c>
      <c r="M2500" s="10" t="s">
        <v>91</v>
      </c>
      <c r="N2500" s="10" t="s">
        <v>92</v>
      </c>
      <c r="O2500" s="19" t="s">
        <v>18959</v>
      </c>
      <c r="P2500" s="10"/>
      <c r="Q2500" s="10" t="s">
        <v>126</v>
      </c>
      <c r="R2500" s="10"/>
      <c r="S2500" s="19" t="s">
        <v>18960</v>
      </c>
      <c r="T2500" s="10"/>
      <c r="U2500" s="10" t="s">
        <v>16732</v>
      </c>
      <c r="V2500" s="10" t="s">
        <v>16770</v>
      </c>
      <c r="W2500" s="10" t="s">
        <v>16644</v>
      </c>
      <c r="X2500" s="10" t="s">
        <v>16549</v>
      </c>
      <c r="Y2500" s="10" t="s">
        <v>16549</v>
      </c>
      <c r="Z2500" s="10" t="s">
        <v>99</v>
      </c>
      <c r="AA2500" s="10" t="s">
        <v>131</v>
      </c>
      <c r="AB2500" s="10" t="s">
        <v>16645</v>
      </c>
      <c r="AC2500" s="10" t="s">
        <v>16551</v>
      </c>
      <c r="AD2500" s="10" t="s">
        <v>18961</v>
      </c>
      <c r="AE2500" s="10" t="s">
        <v>18962</v>
      </c>
      <c r="AF2500" s="15"/>
      <c r="AG2500" s="10"/>
      <c r="AH2500" s="10"/>
      <c r="AI2500" s="10"/>
      <c r="AJ2500" s="10"/>
      <c r="AK2500" s="10" t="s">
        <v>102</v>
      </c>
      <c r="AL2500" s="10" t="s">
        <v>176</v>
      </c>
      <c r="AM2500" s="10"/>
      <c r="AN2500" s="10"/>
      <c r="AO2500" s="13" t="b">
        <v>0</v>
      </c>
      <c r="AP2500" s="22" t="s">
        <v>104</v>
      </c>
      <c r="AQ2500" s="10">
        <f ca="1">IFERROR(__xludf.DUMMYFUNCTION("""COMPUTED_VALUE"""),4733519)</f>
        <v>4733519</v>
      </c>
      <c r="AR2500" s="17">
        <v>5853</v>
      </c>
      <c r="AS2500" s="17">
        <v>4081</v>
      </c>
      <c r="AT2500" s="17">
        <v>79369</v>
      </c>
      <c r="AU2500" s="17">
        <v>13.85</v>
      </c>
      <c r="AV2500" s="17">
        <v>0.4</v>
      </c>
      <c r="AW2500" s="10" t="s">
        <v>105</v>
      </c>
      <c r="AX2500" s="17">
        <v>1359</v>
      </c>
      <c r="AY2500" s="18">
        <v>19.448419505023278</v>
      </c>
      <c r="AZ2500" s="10" t="s">
        <v>3783</v>
      </c>
      <c r="BA2500" s="20" t="b">
        <v>0</v>
      </c>
      <c r="BB2500" s="10"/>
      <c r="BC2500" s="17">
        <v>5853</v>
      </c>
      <c r="BD2500" s="17">
        <v>4081</v>
      </c>
      <c r="BE2500" s="17">
        <v>79369</v>
      </c>
      <c r="BF2500" s="17">
        <v>0.4</v>
      </c>
      <c r="BG2500" s="11">
        <f ca="1">IFERROR(__xludf.DUMMYFUNCTION("""COMPUTED_VALUE"""),45986.8541666666)</f>
        <v>45986.854166666599</v>
      </c>
      <c r="BH2500" s="17" t="s">
        <v>105</v>
      </c>
      <c r="BI2500" s="17"/>
      <c r="BJ2500" s="15"/>
      <c r="BK2500" s="15"/>
      <c r="BL2500" s="13" t="b">
        <v>0</v>
      </c>
      <c r="BM2500" s="10"/>
      <c r="BN2500" s="10" t="s">
        <v>1149</v>
      </c>
      <c r="BO2500" s="11">
        <v>45965.430555555555</v>
      </c>
      <c r="BP2500" s="11">
        <v>45965.431157407409</v>
      </c>
      <c r="BQ2500" s="15">
        <v>45982.718460648146</v>
      </c>
      <c r="BR2500" s="15">
        <v>45985.420636574076</v>
      </c>
      <c r="BS2500" s="10" t="s">
        <v>1149</v>
      </c>
      <c r="BT2500" s="10" t="s">
        <v>99</v>
      </c>
      <c r="BU2500" s="10" t="s">
        <v>816</v>
      </c>
      <c r="BV2500" s="10"/>
      <c r="BW2500" s="10"/>
      <c r="BX2500" s="10"/>
      <c r="BY2500" s="23"/>
      <c r="BZ2500" s="23"/>
      <c r="CA2500" s="19" t="s">
        <v>18963</v>
      </c>
      <c r="CB2500" s="23"/>
      <c r="CC2500" s="23"/>
      <c r="CD2500" s="19" t="s">
        <v>18964</v>
      </c>
      <c r="CE2500" s="23"/>
      <c r="CF2500" s="23"/>
      <c r="CG2500" s="23"/>
      <c r="CH2500" s="23"/>
      <c r="CI2500" s="23"/>
    </row>
    <row r="2501" spans="1:87" x14ac:dyDescent="0.3">
      <c r="A2501" s="9" t="s">
        <v>18965</v>
      </c>
      <c r="B2501" s="10" t="s">
        <v>18966</v>
      </c>
      <c r="C2501" s="11">
        <v>45987.916666666664</v>
      </c>
      <c r="D2501" s="12">
        <v>8.3333333333333329E-2</v>
      </c>
      <c r="E2501" s="11">
        <v>45988</v>
      </c>
      <c r="F2501" s="10" t="s">
        <v>16719</v>
      </c>
      <c r="G2501" s="13" t="b">
        <v>0</v>
      </c>
      <c r="H2501" s="22" t="s">
        <v>16543</v>
      </c>
      <c r="I2501" s="10" t="s">
        <v>212</v>
      </c>
      <c r="J2501" s="13" t="b">
        <v>1</v>
      </c>
      <c r="K2501" s="13" t="b">
        <v>0</v>
      </c>
      <c r="L2501" s="10" t="s">
        <v>124</v>
      </c>
      <c r="M2501" s="10" t="s">
        <v>91</v>
      </c>
      <c r="N2501" s="10" t="s">
        <v>92</v>
      </c>
      <c r="O2501" s="19" t="s">
        <v>18967</v>
      </c>
      <c r="P2501" s="10"/>
      <c r="Q2501" s="10" t="s">
        <v>126</v>
      </c>
      <c r="R2501" s="10"/>
      <c r="S2501" s="19" t="s">
        <v>18968</v>
      </c>
      <c r="T2501" s="10"/>
      <c r="U2501" s="10" t="s">
        <v>16733</v>
      </c>
      <c r="V2501" s="10" t="s">
        <v>16722</v>
      </c>
      <c r="W2501" s="10" t="s">
        <v>16644</v>
      </c>
      <c r="X2501" s="10" t="s">
        <v>16549</v>
      </c>
      <c r="Y2501" s="10" t="s">
        <v>16549</v>
      </c>
      <c r="Z2501" s="10" t="s">
        <v>99</v>
      </c>
      <c r="AA2501" s="10" t="s">
        <v>131</v>
      </c>
      <c r="AB2501" s="10" t="s">
        <v>16645</v>
      </c>
      <c r="AC2501" s="10" t="s">
        <v>16551</v>
      </c>
      <c r="AD2501" s="10" t="s">
        <v>18969</v>
      </c>
      <c r="AE2501" s="10" t="s">
        <v>18970</v>
      </c>
      <c r="AF2501" s="15"/>
      <c r="AG2501" s="10"/>
      <c r="AH2501" s="10"/>
      <c r="AI2501" s="10"/>
      <c r="AJ2501" s="10"/>
      <c r="AK2501" s="10" t="s">
        <v>102</v>
      </c>
      <c r="AL2501" s="10" t="s">
        <v>176</v>
      </c>
      <c r="AM2501" s="10"/>
      <c r="AN2501" s="10"/>
      <c r="AO2501" s="13" t="b">
        <v>0</v>
      </c>
      <c r="AP2501" s="22" t="s">
        <v>104</v>
      </c>
      <c r="AQ2501" s="10">
        <f ca="1">IFERROR(__xludf.DUMMYFUNCTION("""COMPUTED_VALUE"""),4733544)</f>
        <v>4733544</v>
      </c>
      <c r="AR2501" s="17">
        <v>7076</v>
      </c>
      <c r="AS2501" s="17">
        <v>5962</v>
      </c>
      <c r="AT2501" s="17">
        <v>88975.75</v>
      </c>
      <c r="AU2501" s="17">
        <v>20.55</v>
      </c>
      <c r="AV2501" s="17">
        <v>2.85</v>
      </c>
      <c r="AW2501" s="10" t="s">
        <v>105</v>
      </c>
      <c r="AX2501" s="17">
        <v>1242</v>
      </c>
      <c r="AY2501" s="18">
        <v>14.923809124454881</v>
      </c>
      <c r="AZ2501" s="10" t="s">
        <v>3783</v>
      </c>
      <c r="BA2501" s="20" t="b">
        <v>0</v>
      </c>
      <c r="BB2501" s="10"/>
      <c r="BC2501" s="17">
        <v>7076</v>
      </c>
      <c r="BD2501" s="17">
        <v>5962</v>
      </c>
      <c r="BE2501" s="17">
        <v>88975.75</v>
      </c>
      <c r="BF2501" s="17">
        <v>2.85</v>
      </c>
      <c r="BG2501" s="11">
        <f ca="1">IFERROR(__xludf.DUMMYFUNCTION("""COMPUTED_VALUE"""),45987.9166666666)</f>
        <v>45987.916666666599</v>
      </c>
      <c r="BH2501" s="17" t="s">
        <v>105</v>
      </c>
      <c r="BI2501" s="17"/>
      <c r="BJ2501" s="15"/>
      <c r="BK2501" s="15"/>
      <c r="BL2501" s="13" t="b">
        <v>0</v>
      </c>
      <c r="BM2501" s="10"/>
      <c r="BN2501" s="10" t="s">
        <v>118</v>
      </c>
      <c r="BO2501" s="11">
        <v>45965.431250000001</v>
      </c>
      <c r="BP2501" s="11">
        <v>45965.431643518517</v>
      </c>
      <c r="BQ2501" s="15">
        <v>45982.718599537038</v>
      </c>
      <c r="BR2501" s="15">
        <v>45985.428171296298</v>
      </c>
      <c r="BS2501" s="10" t="s">
        <v>118</v>
      </c>
      <c r="BT2501" s="10" t="s">
        <v>99</v>
      </c>
      <c r="BU2501" s="10"/>
      <c r="BV2501" s="10"/>
      <c r="BW2501" s="10"/>
      <c r="BX2501" s="10"/>
      <c r="BY2501" s="23"/>
      <c r="BZ2501" s="23"/>
      <c r="CA2501" s="19" t="s">
        <v>18971</v>
      </c>
      <c r="CB2501" s="23"/>
      <c r="CC2501" s="23"/>
      <c r="CD2501" s="19" t="s">
        <v>18972</v>
      </c>
      <c r="CE2501" s="23"/>
      <c r="CF2501" s="23"/>
      <c r="CG2501" s="23"/>
      <c r="CH2501" s="23"/>
      <c r="CI2501" s="23"/>
    </row>
    <row r="2502" spans="1:87" x14ac:dyDescent="0.3">
      <c r="A2502" s="9" t="s">
        <v>18973</v>
      </c>
      <c r="B2502" s="10" t="s">
        <v>18974</v>
      </c>
      <c r="C2502" s="11">
        <v>45990.708333333336</v>
      </c>
      <c r="D2502" s="12">
        <v>8.3333333333333329E-2</v>
      </c>
      <c r="E2502" s="11">
        <v>45990.791666666664</v>
      </c>
      <c r="F2502" s="10" t="s">
        <v>16719</v>
      </c>
      <c r="G2502" s="13" t="b">
        <v>0</v>
      </c>
      <c r="H2502" s="22" t="s">
        <v>16543</v>
      </c>
      <c r="I2502" s="10" t="s">
        <v>212</v>
      </c>
      <c r="J2502" s="13" t="b">
        <v>1</v>
      </c>
      <c r="K2502" s="13" t="b">
        <v>0</v>
      </c>
      <c r="L2502" s="10" t="s">
        <v>124</v>
      </c>
      <c r="M2502" s="10" t="s">
        <v>91</v>
      </c>
      <c r="N2502" s="10" t="s">
        <v>92</v>
      </c>
      <c r="O2502" s="19" t="s">
        <v>18975</v>
      </c>
      <c r="P2502" s="10"/>
      <c r="Q2502" s="10" t="s">
        <v>126</v>
      </c>
      <c r="R2502" s="10"/>
      <c r="S2502" s="19" t="s">
        <v>18976</v>
      </c>
      <c r="T2502" s="10"/>
      <c r="U2502" s="10" t="s">
        <v>18937</v>
      </c>
      <c r="V2502" s="10" t="s">
        <v>16732</v>
      </c>
      <c r="W2502" s="10" t="s">
        <v>16644</v>
      </c>
      <c r="X2502" s="10" t="s">
        <v>16549</v>
      </c>
      <c r="Y2502" s="10" t="s">
        <v>16549</v>
      </c>
      <c r="Z2502" s="10" t="s">
        <v>99</v>
      </c>
      <c r="AA2502" s="10" t="s">
        <v>131</v>
      </c>
      <c r="AB2502" s="10" t="s">
        <v>16645</v>
      </c>
      <c r="AC2502" s="10" t="s">
        <v>16551</v>
      </c>
      <c r="AD2502" s="10" t="s">
        <v>18977</v>
      </c>
      <c r="AE2502" s="10" t="s">
        <v>18978</v>
      </c>
      <c r="AF2502" s="15"/>
      <c r="AG2502" s="10"/>
      <c r="AH2502" s="10"/>
      <c r="AI2502" s="10"/>
      <c r="AJ2502" s="10"/>
      <c r="AK2502" s="10" t="s">
        <v>102</v>
      </c>
      <c r="AL2502" s="10"/>
      <c r="AM2502" s="10"/>
      <c r="AN2502" s="10"/>
      <c r="AO2502" s="13" t="b">
        <v>0</v>
      </c>
      <c r="AP2502" s="22" t="s">
        <v>104</v>
      </c>
      <c r="AQ2502" s="10">
        <f ca="1">IFERROR(__xludf.DUMMYFUNCTION("""COMPUTED_VALUE"""),4739850)</f>
        <v>4739850</v>
      </c>
      <c r="AR2502" s="17">
        <v>4645</v>
      </c>
      <c r="AS2502" s="17">
        <v>3612</v>
      </c>
      <c r="AT2502" s="17">
        <v>55300</v>
      </c>
      <c r="AU2502" s="17">
        <v>7.05</v>
      </c>
      <c r="AV2502" s="17">
        <v>0.5</v>
      </c>
      <c r="AW2502" s="10" t="s">
        <v>105</v>
      </c>
      <c r="AX2502" s="17">
        <v>1331</v>
      </c>
      <c r="AY2502" s="18">
        <v>15.310077519379846</v>
      </c>
      <c r="AZ2502" s="10" t="s">
        <v>3783</v>
      </c>
      <c r="BA2502" s="20" t="b">
        <v>0</v>
      </c>
      <c r="BB2502" s="10"/>
      <c r="BC2502" s="17">
        <v>4645</v>
      </c>
      <c r="BD2502" s="17">
        <v>3612</v>
      </c>
      <c r="BE2502" s="17">
        <v>55300</v>
      </c>
      <c r="BF2502" s="17">
        <v>0.5</v>
      </c>
      <c r="BG2502" s="11">
        <f ca="1">IFERROR(__xludf.DUMMYFUNCTION("""COMPUTED_VALUE"""),45990.7083333333)</f>
        <v>45990.708333333299</v>
      </c>
      <c r="BH2502" s="17" t="s">
        <v>105</v>
      </c>
      <c r="BI2502" s="17"/>
      <c r="BJ2502" s="15"/>
      <c r="BK2502" s="15"/>
      <c r="BL2502" s="13" t="b">
        <v>0</v>
      </c>
      <c r="BM2502" s="10"/>
      <c r="BN2502" s="10" t="s">
        <v>149</v>
      </c>
      <c r="BO2502" s="11">
        <v>45965.431944444441</v>
      </c>
      <c r="BP2502" s="11">
        <v>45978.583275462966</v>
      </c>
      <c r="BQ2502" s="15">
        <v>45982.718738425923</v>
      </c>
      <c r="BR2502" s="15">
        <v>45988.441157407404</v>
      </c>
      <c r="BS2502" s="10" t="s">
        <v>149</v>
      </c>
      <c r="BT2502" s="10" t="s">
        <v>99</v>
      </c>
      <c r="BU2502" s="10" t="s">
        <v>456</v>
      </c>
      <c r="BV2502" s="10"/>
      <c r="BW2502" s="10"/>
      <c r="BX2502" s="10"/>
      <c r="BY2502" s="23"/>
      <c r="BZ2502" s="23"/>
      <c r="CA2502" s="19" t="s">
        <v>18979</v>
      </c>
      <c r="CB2502" s="23"/>
      <c r="CC2502" s="23"/>
      <c r="CD2502" s="19" t="s">
        <v>18980</v>
      </c>
      <c r="CE2502" s="23"/>
      <c r="CF2502" s="23"/>
      <c r="CG2502" s="23"/>
      <c r="CH2502" s="23"/>
      <c r="CI2502" s="23"/>
    </row>
    <row r="2503" spans="1:87" x14ac:dyDescent="0.3">
      <c r="A2503" s="9" t="s">
        <v>18981</v>
      </c>
      <c r="B2503" s="10" t="s">
        <v>18982</v>
      </c>
      <c r="C2503" s="11">
        <v>45990.958333333336</v>
      </c>
      <c r="D2503" s="12">
        <v>8.3333333333333329E-2</v>
      </c>
      <c r="E2503" s="11">
        <v>45991.041666666664</v>
      </c>
      <c r="F2503" s="10" t="s">
        <v>16719</v>
      </c>
      <c r="G2503" s="13" t="b">
        <v>0</v>
      </c>
      <c r="H2503" s="22" t="s">
        <v>16543</v>
      </c>
      <c r="I2503" s="10" t="s">
        <v>212</v>
      </c>
      <c r="J2503" s="13" t="b">
        <v>1</v>
      </c>
      <c r="K2503" s="13" t="b">
        <v>0</v>
      </c>
      <c r="L2503" s="10" t="s">
        <v>124</v>
      </c>
      <c r="M2503" s="10" t="s">
        <v>91</v>
      </c>
      <c r="N2503" s="10" t="s">
        <v>92</v>
      </c>
      <c r="O2503" s="10"/>
      <c r="P2503" s="10"/>
      <c r="Q2503" s="10" t="s">
        <v>126</v>
      </c>
      <c r="R2503" s="10"/>
      <c r="S2503" s="10"/>
      <c r="T2503" s="10"/>
      <c r="U2503" s="10" t="s">
        <v>16786</v>
      </c>
      <c r="V2503" s="10" t="s">
        <v>17605</v>
      </c>
      <c r="W2503" s="10" t="s">
        <v>16644</v>
      </c>
      <c r="X2503" s="10" t="s">
        <v>16549</v>
      </c>
      <c r="Y2503" s="10" t="s">
        <v>16549</v>
      </c>
      <c r="Z2503" s="10" t="s">
        <v>99</v>
      </c>
      <c r="AA2503" s="10" t="s">
        <v>131</v>
      </c>
      <c r="AB2503" s="10" t="s">
        <v>16645</v>
      </c>
      <c r="AC2503" s="10" t="s">
        <v>16551</v>
      </c>
      <c r="AD2503" s="10" t="s">
        <v>18983</v>
      </c>
      <c r="AE2503" s="10" t="s">
        <v>18984</v>
      </c>
      <c r="AF2503" s="15"/>
      <c r="AG2503" s="10"/>
      <c r="AH2503" s="10"/>
      <c r="AI2503" s="10"/>
      <c r="AJ2503" s="10"/>
      <c r="AK2503" s="10" t="s">
        <v>256</v>
      </c>
      <c r="AL2503" s="10"/>
      <c r="AM2503" s="10"/>
      <c r="AN2503" s="10"/>
      <c r="AO2503" s="13" t="b">
        <v>0</v>
      </c>
      <c r="AP2503" s="22" t="s">
        <v>104</v>
      </c>
      <c r="AQ2503" s="10"/>
      <c r="AR2503" s="17"/>
      <c r="AS2503" s="17"/>
      <c r="AT2503" s="17"/>
      <c r="AU2503" s="17"/>
      <c r="AV2503" s="17"/>
      <c r="AW2503" s="10"/>
      <c r="AX2503" s="17"/>
      <c r="AY2503" s="18" t="s">
        <v>257</v>
      </c>
      <c r="AZ2503" s="10"/>
      <c r="BA2503" s="20" t="b">
        <v>0</v>
      </c>
      <c r="BB2503" s="10"/>
      <c r="BC2503" s="17" t="s">
        <v>257</v>
      </c>
      <c r="BD2503" s="17" t="s">
        <v>257</v>
      </c>
      <c r="BE2503" s="17" t="s">
        <v>257</v>
      </c>
      <c r="BF2503" s="17" t="s">
        <v>257</v>
      </c>
      <c r="BG2503" s="11">
        <f ca="1">IFERROR(__xludf.DUMMYFUNCTION("""COMPUTED_VALUE"""),45990.9583333333)</f>
        <v>45990.958333333299</v>
      </c>
      <c r="BH2503" s="17"/>
      <c r="BI2503" s="17"/>
      <c r="BJ2503" s="15"/>
      <c r="BK2503" s="15"/>
      <c r="BL2503" s="13" t="b">
        <v>0</v>
      </c>
      <c r="BM2503" s="10"/>
      <c r="BN2503" s="10" t="s">
        <v>18456</v>
      </c>
      <c r="BO2503" s="11">
        <v>45965.431944444441</v>
      </c>
      <c r="BP2503" s="11">
        <v>45965.432372685187</v>
      </c>
      <c r="BQ2503" s="15"/>
      <c r="BR2503" s="15"/>
      <c r="BS2503" s="10"/>
      <c r="BT2503" s="10" t="s">
        <v>99</v>
      </c>
      <c r="BU2503" s="10"/>
      <c r="BV2503" s="10"/>
      <c r="BW2503" s="10"/>
      <c r="BX2503" s="10"/>
      <c r="BY2503" s="23"/>
      <c r="BZ2503" s="23"/>
      <c r="CA2503" s="23"/>
      <c r="CB2503" s="23"/>
      <c r="CC2503" s="23"/>
      <c r="CD2503" s="23"/>
      <c r="CE2503" s="23"/>
      <c r="CF2503" s="23"/>
      <c r="CG2503" s="23"/>
      <c r="CH2503" s="23"/>
      <c r="CI2503" s="23"/>
    </row>
    <row r="2504" spans="1:87" x14ac:dyDescent="0.3">
      <c r="A2504" s="9" t="s">
        <v>18985</v>
      </c>
      <c r="B2504" s="10" t="s">
        <v>18986</v>
      </c>
      <c r="C2504" s="11">
        <v>45989.815972222219</v>
      </c>
      <c r="D2504" s="12">
        <v>4.1666666666666664E-2</v>
      </c>
      <c r="E2504" s="11">
        <v>45989.857638888891</v>
      </c>
      <c r="F2504" s="10" t="s">
        <v>8381</v>
      </c>
      <c r="G2504" s="13" t="b">
        <v>0</v>
      </c>
      <c r="H2504" s="22" t="s">
        <v>8382</v>
      </c>
      <c r="I2504" s="10" t="s">
        <v>8383</v>
      </c>
      <c r="J2504" s="13" t="b">
        <v>0</v>
      </c>
      <c r="K2504" s="13" t="b">
        <v>1</v>
      </c>
      <c r="L2504" s="10" t="s">
        <v>358</v>
      </c>
      <c r="M2504" s="10" t="s">
        <v>91</v>
      </c>
      <c r="N2504" s="10" t="s">
        <v>92</v>
      </c>
      <c r="O2504" s="19" t="s">
        <v>18987</v>
      </c>
      <c r="P2504" s="10"/>
      <c r="Q2504" s="10" t="s">
        <v>126</v>
      </c>
      <c r="R2504" s="10"/>
      <c r="S2504" s="19" t="s">
        <v>18988</v>
      </c>
      <c r="T2504" s="10"/>
      <c r="U2504" s="10"/>
      <c r="V2504" s="10"/>
      <c r="W2504" s="10" t="s">
        <v>8386</v>
      </c>
      <c r="X2504" s="10" t="s">
        <v>8387</v>
      </c>
      <c r="Y2504" s="10" t="s">
        <v>8387</v>
      </c>
      <c r="Z2504" s="10" t="s">
        <v>99</v>
      </c>
      <c r="AA2504" s="10" t="s">
        <v>131</v>
      </c>
      <c r="AB2504" s="10" t="s">
        <v>8388</v>
      </c>
      <c r="AC2504" s="10" t="s">
        <v>8389</v>
      </c>
      <c r="AD2504" s="10" t="s">
        <v>165</v>
      </c>
      <c r="AE2504" s="10" t="s">
        <v>18989</v>
      </c>
      <c r="AF2504" s="15"/>
      <c r="AG2504" s="10"/>
      <c r="AH2504" s="10"/>
      <c r="AI2504" s="10"/>
      <c r="AJ2504" s="10"/>
      <c r="AK2504" s="10" t="s">
        <v>102</v>
      </c>
      <c r="AL2504" s="10"/>
      <c r="AM2504" s="10"/>
      <c r="AN2504" s="10"/>
      <c r="AO2504" s="13" t="b">
        <v>0</v>
      </c>
      <c r="AP2504" s="22"/>
      <c r="AQ2504" s="10">
        <f ca="1">IFERROR(__xludf.DUMMYFUNCTION("""COMPUTED_VALUE"""),4739623)</f>
        <v>4739623</v>
      </c>
      <c r="AR2504" s="21">
        <v>1793</v>
      </c>
      <c r="AS2504" s="21">
        <v>1675</v>
      </c>
      <c r="AT2504" s="21">
        <v>4710.75</v>
      </c>
      <c r="AU2504" s="21">
        <v>2.75</v>
      </c>
      <c r="AV2504" s="21">
        <v>0.5</v>
      </c>
      <c r="AW2504" s="22" t="s">
        <v>105</v>
      </c>
      <c r="AX2504" s="21">
        <v>463</v>
      </c>
      <c r="AY2504" s="18">
        <v>2.8123880597014925</v>
      </c>
      <c r="AZ2504" s="10" t="s">
        <v>3998</v>
      </c>
      <c r="BA2504" s="20" t="b">
        <v>0</v>
      </c>
      <c r="BB2504" s="10"/>
      <c r="BC2504" s="17">
        <v>1793</v>
      </c>
      <c r="BD2504" s="17">
        <v>1675</v>
      </c>
      <c r="BE2504" s="17">
        <v>4710.75</v>
      </c>
      <c r="BF2504" s="17">
        <v>0.5</v>
      </c>
      <c r="BG2504" s="11">
        <f ca="1">IFERROR(__xludf.DUMMYFUNCTION("""COMPUTED_VALUE"""),45989.8159722222)</f>
        <v>45989.815972222197</v>
      </c>
      <c r="BH2504" s="17" t="s">
        <v>105</v>
      </c>
      <c r="BI2504" s="17"/>
      <c r="BJ2504" s="15"/>
      <c r="BK2504" s="15"/>
      <c r="BL2504" s="13" t="b">
        <v>0</v>
      </c>
      <c r="BM2504" s="10"/>
      <c r="BN2504" s="10" t="s">
        <v>1149</v>
      </c>
      <c r="BO2504" s="11">
        <v>45965.647222222222</v>
      </c>
      <c r="BP2504" s="11">
        <v>45965.649895833332</v>
      </c>
      <c r="BQ2504" s="15">
        <v>45980.63244212963</v>
      </c>
      <c r="BR2504" s="15">
        <v>45987.668009259258</v>
      </c>
      <c r="BS2504" s="10" t="s">
        <v>1149</v>
      </c>
      <c r="BT2504" s="10"/>
      <c r="BU2504" s="10"/>
      <c r="BV2504" s="10"/>
      <c r="BW2504" s="10"/>
      <c r="BX2504" s="10"/>
      <c r="BY2504" s="23"/>
      <c r="BZ2504" s="23"/>
      <c r="CA2504" s="19" t="s">
        <v>18990</v>
      </c>
      <c r="CB2504" s="23"/>
      <c r="CC2504" s="23"/>
      <c r="CD2504" s="19" t="s">
        <v>18991</v>
      </c>
      <c r="CE2504" s="23"/>
      <c r="CF2504" s="23"/>
      <c r="CG2504" s="23"/>
      <c r="CH2504" s="23"/>
      <c r="CI2504" s="23"/>
    </row>
    <row r="2505" spans="1:87" x14ac:dyDescent="0.3">
      <c r="A2505" s="9" t="s">
        <v>18992</v>
      </c>
      <c r="B2505" s="10" t="s">
        <v>18993</v>
      </c>
      <c r="C2505" s="11">
        <v>45990.836805555555</v>
      </c>
      <c r="D2505" s="12">
        <v>4.1666666666666664E-2</v>
      </c>
      <c r="E2505" s="11">
        <v>45990.878472222219</v>
      </c>
      <c r="F2505" s="10" t="s">
        <v>8381</v>
      </c>
      <c r="G2505" s="13" t="b">
        <v>0</v>
      </c>
      <c r="H2505" s="22" t="s">
        <v>8382</v>
      </c>
      <c r="I2505" s="10" t="s">
        <v>8383</v>
      </c>
      <c r="J2505" s="13" t="b">
        <v>0</v>
      </c>
      <c r="K2505" s="13" t="b">
        <v>1</v>
      </c>
      <c r="L2505" s="10" t="s">
        <v>358</v>
      </c>
      <c r="M2505" s="10" t="s">
        <v>91</v>
      </c>
      <c r="N2505" s="10" t="s">
        <v>92</v>
      </c>
      <c r="O2505" s="19" t="s">
        <v>18987</v>
      </c>
      <c r="P2505" s="10"/>
      <c r="Q2505" s="10" t="s">
        <v>126</v>
      </c>
      <c r="R2505" s="10"/>
      <c r="S2505" s="19" t="s">
        <v>18994</v>
      </c>
      <c r="T2505" s="10"/>
      <c r="U2505" s="10"/>
      <c r="V2505" s="10"/>
      <c r="W2505" s="10" t="s">
        <v>8386</v>
      </c>
      <c r="X2505" s="10" t="s">
        <v>8387</v>
      </c>
      <c r="Y2505" s="10" t="s">
        <v>8387</v>
      </c>
      <c r="Z2505" s="10" t="s">
        <v>99</v>
      </c>
      <c r="AA2505" s="10" t="s">
        <v>131</v>
      </c>
      <c r="AB2505" s="10" t="s">
        <v>8388</v>
      </c>
      <c r="AC2505" s="10" t="s">
        <v>8389</v>
      </c>
      <c r="AD2505" s="10" t="s">
        <v>165</v>
      </c>
      <c r="AE2505" s="10" t="s">
        <v>18995</v>
      </c>
      <c r="AF2505" s="15"/>
      <c r="AG2505" s="10"/>
      <c r="AH2505" s="10"/>
      <c r="AI2505" s="10"/>
      <c r="AJ2505" s="10"/>
      <c r="AK2505" s="10" t="s">
        <v>102</v>
      </c>
      <c r="AL2505" s="10"/>
      <c r="AM2505" s="10"/>
      <c r="AN2505" s="10"/>
      <c r="AO2505" s="13" t="b">
        <v>0</v>
      </c>
      <c r="AP2505" s="22"/>
      <c r="AQ2505" s="10">
        <f ca="1">IFERROR(__xludf.DUMMYFUNCTION("""COMPUTED_VALUE"""),4739623)</f>
        <v>4739623</v>
      </c>
      <c r="AR2505" s="17">
        <v>1793</v>
      </c>
      <c r="AS2505" s="17">
        <v>1675</v>
      </c>
      <c r="AT2505" s="17">
        <v>4710.75</v>
      </c>
      <c r="AU2505" s="17">
        <v>3.45</v>
      </c>
      <c r="AV2505" s="17">
        <v>0.6</v>
      </c>
      <c r="AW2505" s="10" t="s">
        <v>105</v>
      </c>
      <c r="AX2505" s="17">
        <v>463</v>
      </c>
      <c r="AY2505" s="18">
        <v>2.8123880597014925</v>
      </c>
      <c r="AZ2505" s="10" t="s">
        <v>3998</v>
      </c>
      <c r="BA2505" s="20" t="b">
        <v>0</v>
      </c>
      <c r="BB2505" s="10"/>
      <c r="BC2505" s="17">
        <v>1793</v>
      </c>
      <c r="BD2505" s="17">
        <v>1675</v>
      </c>
      <c r="BE2505" s="17">
        <v>4710.75</v>
      </c>
      <c r="BF2505" s="17">
        <v>0.6</v>
      </c>
      <c r="BG2505" s="11">
        <f ca="1">IFERROR(__xludf.DUMMYFUNCTION("""COMPUTED_VALUE"""),45990.8368055555)</f>
        <v>45990.836805555497</v>
      </c>
      <c r="BH2505" s="17" t="s">
        <v>105</v>
      </c>
      <c r="BI2505" s="17"/>
      <c r="BJ2505" s="15"/>
      <c r="BK2505" s="15"/>
      <c r="BL2505" s="13" t="b">
        <v>0</v>
      </c>
      <c r="BM2505" s="10"/>
      <c r="BN2505" s="10" t="s">
        <v>1149</v>
      </c>
      <c r="BO2505" s="11">
        <v>45965.650694444441</v>
      </c>
      <c r="BP2505" s="11">
        <v>45965.650972222225</v>
      </c>
      <c r="BQ2505" s="15">
        <v>45980.632569444446</v>
      </c>
      <c r="BR2505" s="15">
        <v>45987.668067129627</v>
      </c>
      <c r="BS2505" s="10" t="s">
        <v>1149</v>
      </c>
      <c r="BT2505" s="10"/>
      <c r="BU2505" s="10"/>
      <c r="BV2505" s="10"/>
      <c r="BW2505" s="10"/>
      <c r="BX2505" s="10"/>
      <c r="BY2505" s="23"/>
      <c r="BZ2505" s="23"/>
      <c r="CA2505" s="19" t="s">
        <v>18996</v>
      </c>
      <c r="CB2505" s="23"/>
      <c r="CC2505" s="23"/>
      <c r="CD2505" s="19" t="s">
        <v>18997</v>
      </c>
      <c r="CE2505" s="23"/>
      <c r="CF2505" s="23"/>
      <c r="CG2505" s="23"/>
      <c r="CH2505" s="23"/>
      <c r="CI2505" s="23"/>
    </row>
    <row r="2506" spans="1:87" x14ac:dyDescent="0.3">
      <c r="A2506" s="9" t="s">
        <v>18998</v>
      </c>
      <c r="B2506" s="10" t="s">
        <v>18999</v>
      </c>
      <c r="C2506" s="11">
        <v>46009.104166666664</v>
      </c>
      <c r="D2506" s="12">
        <v>8.3333333333333329E-2</v>
      </c>
      <c r="E2506" s="11">
        <v>46009.1875</v>
      </c>
      <c r="F2506" s="10" t="s">
        <v>7877</v>
      </c>
      <c r="G2506" s="13" t="b">
        <v>0</v>
      </c>
      <c r="H2506" s="22" t="s">
        <v>7878</v>
      </c>
      <c r="I2506" s="10" t="s">
        <v>89</v>
      </c>
      <c r="J2506" s="13" t="b">
        <v>0</v>
      </c>
      <c r="K2506" s="13" t="b">
        <v>1</v>
      </c>
      <c r="L2506" s="10" t="s">
        <v>124</v>
      </c>
      <c r="M2506" s="10" t="s">
        <v>91</v>
      </c>
      <c r="N2506" s="10" t="s">
        <v>92</v>
      </c>
      <c r="O2506" s="19" t="s">
        <v>19000</v>
      </c>
      <c r="P2506" s="10"/>
      <c r="Q2506" s="10" t="s">
        <v>126</v>
      </c>
      <c r="R2506" s="10"/>
      <c r="S2506" s="19" t="s">
        <v>19001</v>
      </c>
      <c r="T2506" s="19" t="s">
        <v>19002</v>
      </c>
      <c r="U2506" s="10" t="s">
        <v>334</v>
      </c>
      <c r="V2506" s="10" t="s">
        <v>321</v>
      </c>
      <c r="W2506" s="10" t="s">
        <v>7883</v>
      </c>
      <c r="X2506" s="10" t="s">
        <v>130</v>
      </c>
      <c r="Y2506" s="10" t="s">
        <v>130</v>
      </c>
      <c r="Z2506" s="10" t="s">
        <v>99</v>
      </c>
      <c r="AA2506" s="10" t="s">
        <v>131</v>
      </c>
      <c r="AB2506" s="10" t="s">
        <v>7884</v>
      </c>
      <c r="AC2506" s="10" t="s">
        <v>7885</v>
      </c>
      <c r="AD2506" s="10" t="s">
        <v>3109</v>
      </c>
      <c r="AE2506" s="10" t="s">
        <v>19003</v>
      </c>
      <c r="AF2506" s="15"/>
      <c r="AG2506" s="10"/>
      <c r="AH2506" s="10"/>
      <c r="AI2506" s="10"/>
      <c r="AJ2506" s="10"/>
      <c r="AK2506" s="10" t="s">
        <v>102</v>
      </c>
      <c r="AL2506" s="10" t="s">
        <v>19004</v>
      </c>
      <c r="AM2506" s="10"/>
      <c r="AN2506" s="10"/>
      <c r="AO2506" s="13" t="b">
        <v>1</v>
      </c>
      <c r="AP2506" s="22" t="s">
        <v>104</v>
      </c>
      <c r="AQ2506" s="10">
        <f ca="1">IFERROR(__xludf.DUMMYFUNCTION("""COMPUTED_VALUE"""),4779495)</f>
        <v>4779495</v>
      </c>
      <c r="AR2506" s="17">
        <v>32480</v>
      </c>
      <c r="AS2506" s="17">
        <v>22509</v>
      </c>
      <c r="AT2506" s="17">
        <v>607792.5</v>
      </c>
      <c r="AU2506" s="17">
        <v>75.3</v>
      </c>
      <c r="AV2506" s="17">
        <v>14.8</v>
      </c>
      <c r="AW2506" s="10" t="s">
        <v>105</v>
      </c>
      <c r="AX2506" s="17">
        <v>7371</v>
      </c>
      <c r="AY2506" s="18">
        <v>27.002199120351861</v>
      </c>
      <c r="AZ2506" s="10"/>
      <c r="BA2506" s="20" t="b">
        <v>0</v>
      </c>
      <c r="BB2506" s="10"/>
      <c r="BC2506" s="17">
        <v>32480</v>
      </c>
      <c r="BD2506" s="17">
        <v>22509</v>
      </c>
      <c r="BE2506" s="17">
        <v>607792.5</v>
      </c>
      <c r="BF2506" s="17">
        <v>14.8</v>
      </c>
      <c r="BG2506" s="11">
        <f ca="1">IFERROR(__xludf.DUMMYFUNCTION("""COMPUTED_VALUE"""),46009.1041666666)</f>
        <v>46009.104166666599</v>
      </c>
      <c r="BH2506" s="17" t="s">
        <v>105</v>
      </c>
      <c r="BI2506" s="17"/>
      <c r="BJ2506" s="15"/>
      <c r="BK2506" s="15"/>
      <c r="BL2506" s="13" t="b">
        <v>0</v>
      </c>
      <c r="BM2506" s="10"/>
      <c r="BN2506" s="10" t="s">
        <v>278</v>
      </c>
      <c r="BO2506" s="11">
        <v>45965.65625</v>
      </c>
      <c r="BP2506" s="11">
        <v>45965.657141203701</v>
      </c>
      <c r="BQ2506" s="15">
        <v>46004.529247685183</v>
      </c>
      <c r="BR2506" s="15">
        <v>46005.420555555553</v>
      </c>
      <c r="BS2506" s="10" t="s">
        <v>278</v>
      </c>
      <c r="BT2506" s="10" t="s">
        <v>279</v>
      </c>
      <c r="BU2506" s="10" t="s">
        <v>298</v>
      </c>
      <c r="BV2506" s="10" t="s">
        <v>281</v>
      </c>
      <c r="BW2506" s="10" t="s">
        <v>19005</v>
      </c>
      <c r="BX2506" s="10"/>
      <c r="BY2506" s="23"/>
      <c r="BZ2506" s="23"/>
      <c r="CA2506" s="19" t="s">
        <v>19006</v>
      </c>
      <c r="CB2506" s="19" t="s">
        <v>19002</v>
      </c>
      <c r="CC2506" s="23"/>
      <c r="CD2506" s="19" t="s">
        <v>19007</v>
      </c>
      <c r="CE2506" s="23"/>
      <c r="CF2506" s="23"/>
      <c r="CG2506" s="23"/>
      <c r="CH2506" s="23"/>
      <c r="CI2506" s="23"/>
    </row>
    <row r="2507" spans="1:87" x14ac:dyDescent="0.3">
      <c r="A2507" s="9" t="s">
        <v>19008</v>
      </c>
      <c r="B2507" s="10" t="s">
        <v>19009</v>
      </c>
      <c r="C2507" s="11">
        <v>46008.125</v>
      </c>
      <c r="D2507" s="12">
        <v>8.3333333333333329E-2</v>
      </c>
      <c r="E2507" s="11">
        <v>46008.208333333336</v>
      </c>
      <c r="F2507" s="10" t="s">
        <v>7877</v>
      </c>
      <c r="G2507" s="13" t="b">
        <v>0</v>
      </c>
      <c r="H2507" s="22" t="s">
        <v>7878</v>
      </c>
      <c r="I2507" s="10" t="s">
        <v>89</v>
      </c>
      <c r="J2507" s="13" t="b">
        <v>0</v>
      </c>
      <c r="K2507" s="13" t="b">
        <v>1</v>
      </c>
      <c r="L2507" s="10" t="s">
        <v>124</v>
      </c>
      <c r="M2507" s="10" t="s">
        <v>91</v>
      </c>
      <c r="N2507" s="10" t="s">
        <v>92</v>
      </c>
      <c r="O2507" s="19" t="s">
        <v>19010</v>
      </c>
      <c r="P2507" s="10"/>
      <c r="Q2507" s="10" t="s">
        <v>126</v>
      </c>
      <c r="R2507" s="10"/>
      <c r="S2507" s="19" t="s">
        <v>19011</v>
      </c>
      <c r="T2507" s="19" t="s">
        <v>19012</v>
      </c>
      <c r="U2507" s="10" t="s">
        <v>13616</v>
      </c>
      <c r="V2507" s="10" t="s">
        <v>346</v>
      </c>
      <c r="W2507" s="10" t="s">
        <v>7883</v>
      </c>
      <c r="X2507" s="10" t="s">
        <v>130</v>
      </c>
      <c r="Y2507" s="10" t="s">
        <v>130</v>
      </c>
      <c r="Z2507" s="10" t="s">
        <v>99</v>
      </c>
      <c r="AA2507" s="10" t="s">
        <v>131</v>
      </c>
      <c r="AB2507" s="10" t="s">
        <v>7884</v>
      </c>
      <c r="AC2507" s="10" t="s">
        <v>7885</v>
      </c>
      <c r="AD2507" s="10" t="s">
        <v>19013</v>
      </c>
      <c r="AE2507" s="10" t="s">
        <v>19014</v>
      </c>
      <c r="AF2507" s="15"/>
      <c r="AG2507" s="10"/>
      <c r="AH2507" s="10"/>
      <c r="AI2507" s="10"/>
      <c r="AJ2507" s="10"/>
      <c r="AK2507" s="10" t="s">
        <v>102</v>
      </c>
      <c r="AL2507" s="10" t="s">
        <v>19004</v>
      </c>
      <c r="AM2507" s="10"/>
      <c r="AN2507" s="10"/>
      <c r="AO2507" s="13" t="b">
        <v>1</v>
      </c>
      <c r="AP2507" s="22" t="s">
        <v>104</v>
      </c>
      <c r="AQ2507" s="10">
        <f ca="1">IFERROR(__xludf.DUMMYFUNCTION("""COMPUTED_VALUE"""),4779494)</f>
        <v>4779494</v>
      </c>
      <c r="AR2507" s="17">
        <v>32158</v>
      </c>
      <c r="AS2507" s="17">
        <v>22789</v>
      </c>
      <c r="AT2507" s="17">
        <v>873716.75</v>
      </c>
      <c r="AU2507" s="17">
        <v>75.25</v>
      </c>
      <c r="AV2507" s="17">
        <v>13.4</v>
      </c>
      <c r="AW2507" s="10" t="s">
        <v>105</v>
      </c>
      <c r="AX2507" s="17">
        <v>10477</v>
      </c>
      <c r="AY2507" s="18">
        <v>38.339407170125938</v>
      </c>
      <c r="AZ2507" s="10"/>
      <c r="BA2507" s="20" t="b">
        <v>0</v>
      </c>
      <c r="BB2507" s="10"/>
      <c r="BC2507" s="17">
        <v>32158</v>
      </c>
      <c r="BD2507" s="17">
        <v>22789</v>
      </c>
      <c r="BE2507" s="17">
        <v>873716.75</v>
      </c>
      <c r="BF2507" s="17">
        <v>13.4</v>
      </c>
      <c r="BG2507" s="11">
        <f ca="1">IFERROR(__xludf.DUMMYFUNCTION("""COMPUTED_VALUE"""),46008.125)</f>
        <v>46008.125</v>
      </c>
      <c r="BH2507" s="17" t="s">
        <v>105</v>
      </c>
      <c r="BI2507" s="17"/>
      <c r="BJ2507" s="15"/>
      <c r="BK2507" s="15"/>
      <c r="BL2507" s="13" t="b">
        <v>0</v>
      </c>
      <c r="BM2507" s="10"/>
      <c r="BN2507" s="10" t="s">
        <v>278</v>
      </c>
      <c r="BO2507" s="11">
        <v>45965.657638888886</v>
      </c>
      <c r="BP2507" s="11">
        <v>45965.657835648148</v>
      </c>
      <c r="BQ2507" s="15">
        <v>46004.529409722221</v>
      </c>
      <c r="BR2507" s="15">
        <v>46005.419247685182</v>
      </c>
      <c r="BS2507" s="10" t="s">
        <v>278</v>
      </c>
      <c r="BT2507" s="10" t="s">
        <v>279</v>
      </c>
      <c r="BU2507" s="10" t="s">
        <v>298</v>
      </c>
      <c r="BV2507" s="10" t="s">
        <v>281</v>
      </c>
      <c r="BW2507" s="10" t="s">
        <v>19005</v>
      </c>
      <c r="BX2507" s="10"/>
      <c r="BY2507" s="23"/>
      <c r="BZ2507" s="23"/>
      <c r="CA2507" s="19" t="s">
        <v>19015</v>
      </c>
      <c r="CB2507" s="19" t="s">
        <v>19012</v>
      </c>
      <c r="CC2507" s="23"/>
      <c r="CD2507" s="19" t="s">
        <v>19016</v>
      </c>
      <c r="CE2507" s="23"/>
      <c r="CF2507" s="23"/>
      <c r="CG2507" s="23"/>
      <c r="CH2507" s="23"/>
      <c r="CI2507" s="23"/>
    </row>
    <row r="2508" spans="1:87" x14ac:dyDescent="0.3">
      <c r="A2508" s="9" t="s">
        <v>19017</v>
      </c>
      <c r="B2508" s="10" t="s">
        <v>19018</v>
      </c>
      <c r="C2508" s="11">
        <v>46009.135416666664</v>
      </c>
      <c r="D2508" s="12">
        <v>8.3333333333333329E-2</v>
      </c>
      <c r="E2508" s="11">
        <v>46009.21875</v>
      </c>
      <c r="F2508" s="10" t="s">
        <v>7877</v>
      </c>
      <c r="G2508" s="13" t="b">
        <v>0</v>
      </c>
      <c r="H2508" s="22" t="s">
        <v>7878</v>
      </c>
      <c r="I2508" s="10" t="s">
        <v>89</v>
      </c>
      <c r="J2508" s="13" t="b">
        <v>0</v>
      </c>
      <c r="K2508" s="13" t="b">
        <v>1</v>
      </c>
      <c r="L2508" s="10" t="s">
        <v>124</v>
      </c>
      <c r="M2508" s="10" t="s">
        <v>91</v>
      </c>
      <c r="N2508" s="10" t="s">
        <v>92</v>
      </c>
      <c r="O2508" s="19" t="s">
        <v>19019</v>
      </c>
      <c r="P2508" s="10"/>
      <c r="Q2508" s="10" t="s">
        <v>126</v>
      </c>
      <c r="R2508" s="10"/>
      <c r="S2508" s="19" t="s">
        <v>19020</v>
      </c>
      <c r="T2508" s="19" t="s">
        <v>19021</v>
      </c>
      <c r="U2508" s="10" t="s">
        <v>293</v>
      </c>
      <c r="V2508" s="10" t="s">
        <v>309</v>
      </c>
      <c r="W2508" s="10" t="s">
        <v>7883</v>
      </c>
      <c r="X2508" s="10" t="s">
        <v>130</v>
      </c>
      <c r="Y2508" s="10" t="s">
        <v>130</v>
      </c>
      <c r="Z2508" s="10" t="s">
        <v>99</v>
      </c>
      <c r="AA2508" s="10" t="s">
        <v>131</v>
      </c>
      <c r="AB2508" s="10" t="s">
        <v>7884</v>
      </c>
      <c r="AC2508" s="10" t="s">
        <v>7885</v>
      </c>
      <c r="AD2508" s="10" t="s">
        <v>1230</v>
      </c>
      <c r="AE2508" s="10" t="s">
        <v>19022</v>
      </c>
      <c r="AF2508" s="15"/>
      <c r="AG2508" s="10"/>
      <c r="AH2508" s="10"/>
      <c r="AI2508" s="10"/>
      <c r="AJ2508" s="10"/>
      <c r="AK2508" s="10" t="s">
        <v>102</v>
      </c>
      <c r="AL2508" s="10" t="s">
        <v>19004</v>
      </c>
      <c r="AM2508" s="10"/>
      <c r="AN2508" s="10"/>
      <c r="AO2508" s="13" t="b">
        <v>1</v>
      </c>
      <c r="AP2508" s="22" t="s">
        <v>104</v>
      </c>
      <c r="AQ2508" s="10">
        <f ca="1">IFERROR(__xludf.DUMMYFUNCTION("""COMPUTED_VALUE"""),4779497)</f>
        <v>4779497</v>
      </c>
      <c r="AR2508" s="17">
        <v>13242</v>
      </c>
      <c r="AS2508" s="17">
        <v>9248</v>
      </c>
      <c r="AT2508" s="17">
        <v>221222.25</v>
      </c>
      <c r="AU2508" s="17">
        <v>18.5</v>
      </c>
      <c r="AV2508" s="17">
        <v>3.65</v>
      </c>
      <c r="AW2508" s="10" t="s">
        <v>105</v>
      </c>
      <c r="AX2508" s="17">
        <v>4024</v>
      </c>
      <c r="AY2508" s="18">
        <v>23.921091046712803</v>
      </c>
      <c r="AZ2508" s="10"/>
      <c r="BA2508" s="20" t="b">
        <v>0</v>
      </c>
      <c r="BB2508" s="10"/>
      <c r="BC2508" s="17">
        <v>13242</v>
      </c>
      <c r="BD2508" s="17">
        <v>9248</v>
      </c>
      <c r="BE2508" s="17">
        <v>221222.25</v>
      </c>
      <c r="BF2508" s="17">
        <v>3.65</v>
      </c>
      <c r="BG2508" s="11">
        <f ca="1">IFERROR(__xludf.DUMMYFUNCTION("""COMPUTED_VALUE"""),46009.1354166666)</f>
        <v>46009.135416666599</v>
      </c>
      <c r="BH2508" s="17" t="s">
        <v>105</v>
      </c>
      <c r="BI2508" s="17"/>
      <c r="BJ2508" s="15"/>
      <c r="BK2508" s="15"/>
      <c r="BL2508" s="13" t="b">
        <v>0</v>
      </c>
      <c r="BM2508" s="10"/>
      <c r="BN2508" s="10" t="s">
        <v>278</v>
      </c>
      <c r="BO2508" s="11">
        <v>45965.657638888886</v>
      </c>
      <c r="BP2508" s="11">
        <v>45965.658252314817</v>
      </c>
      <c r="BQ2508" s="15">
        <v>46004.529062499998</v>
      </c>
      <c r="BR2508" s="15">
        <v>46005.420659722222</v>
      </c>
      <c r="BS2508" s="10" t="s">
        <v>278</v>
      </c>
      <c r="BT2508" s="10" t="s">
        <v>279</v>
      </c>
      <c r="BU2508" s="10" t="s">
        <v>280</v>
      </c>
      <c r="BV2508" s="10" t="s">
        <v>4315</v>
      </c>
      <c r="BW2508" s="10"/>
      <c r="BX2508" s="10"/>
      <c r="BY2508" s="23"/>
      <c r="BZ2508" s="23"/>
      <c r="CA2508" s="19" t="s">
        <v>19023</v>
      </c>
      <c r="CB2508" s="19" t="s">
        <v>19021</v>
      </c>
      <c r="CC2508" s="23"/>
      <c r="CD2508" s="19" t="s">
        <v>19024</v>
      </c>
      <c r="CE2508" s="23"/>
      <c r="CF2508" s="23"/>
      <c r="CG2508" s="23"/>
      <c r="CH2508" s="23"/>
      <c r="CI2508" s="23"/>
    </row>
    <row r="2509" spans="1:87" x14ac:dyDescent="0.3">
      <c r="A2509" s="9" t="s">
        <v>19025</v>
      </c>
      <c r="B2509" s="10" t="s">
        <v>19026</v>
      </c>
      <c r="C2509" s="11">
        <v>46015.125</v>
      </c>
      <c r="D2509" s="12">
        <v>8.3333333333333329E-2</v>
      </c>
      <c r="E2509" s="11">
        <v>46015.208333333336</v>
      </c>
      <c r="F2509" s="10" t="s">
        <v>7877</v>
      </c>
      <c r="G2509" s="13" t="b">
        <v>0</v>
      </c>
      <c r="H2509" s="22" t="s">
        <v>88</v>
      </c>
      <c r="I2509" s="10" t="s">
        <v>89</v>
      </c>
      <c r="J2509" s="13" t="b">
        <v>0</v>
      </c>
      <c r="K2509" s="13" t="b">
        <v>1</v>
      </c>
      <c r="L2509" s="10" t="s">
        <v>124</v>
      </c>
      <c r="M2509" s="10" t="s">
        <v>91</v>
      </c>
      <c r="N2509" s="10" t="s">
        <v>92</v>
      </c>
      <c r="O2509" s="19" t="s">
        <v>19027</v>
      </c>
      <c r="P2509" s="10"/>
      <c r="Q2509" s="10" t="s">
        <v>126</v>
      </c>
      <c r="R2509" s="10"/>
      <c r="S2509" s="19" t="s">
        <v>19028</v>
      </c>
      <c r="T2509" s="19" t="s">
        <v>19029</v>
      </c>
      <c r="U2509" s="10" t="s">
        <v>362</v>
      </c>
      <c r="V2509" s="10" t="s">
        <v>347</v>
      </c>
      <c r="W2509" s="10" t="s">
        <v>7883</v>
      </c>
      <c r="X2509" s="10" t="s">
        <v>130</v>
      </c>
      <c r="Y2509" s="10" t="s">
        <v>130</v>
      </c>
      <c r="Z2509" s="10" t="s">
        <v>99</v>
      </c>
      <c r="AA2509" s="10" t="s">
        <v>131</v>
      </c>
      <c r="AB2509" s="10" t="s">
        <v>7884</v>
      </c>
      <c r="AC2509" s="10" t="s">
        <v>7885</v>
      </c>
      <c r="AD2509" s="10" t="s">
        <v>1167</v>
      </c>
      <c r="AE2509" s="10" t="s">
        <v>19030</v>
      </c>
      <c r="AF2509" s="15"/>
      <c r="AG2509" s="10"/>
      <c r="AH2509" s="10"/>
      <c r="AI2509" s="10"/>
      <c r="AJ2509" s="10"/>
      <c r="AK2509" s="10" t="s">
        <v>102</v>
      </c>
      <c r="AL2509" s="10" t="s">
        <v>19004</v>
      </c>
      <c r="AM2509" s="10"/>
      <c r="AN2509" s="10"/>
      <c r="AO2509" s="13" t="b">
        <v>1</v>
      </c>
      <c r="AP2509" s="22" t="s">
        <v>104</v>
      </c>
      <c r="AQ2509" s="10">
        <f ca="1">IFERROR(__xludf.DUMMYFUNCTION("""COMPUTED_VALUE"""),4792866)</f>
        <v>4792866</v>
      </c>
      <c r="AR2509" s="17">
        <v>60997</v>
      </c>
      <c r="AS2509" s="17">
        <v>32153</v>
      </c>
      <c r="AT2509" s="17">
        <v>1838195.75</v>
      </c>
      <c r="AU2509" s="17">
        <v>600.04999999999995</v>
      </c>
      <c r="AV2509" s="17">
        <v>28.15</v>
      </c>
      <c r="AW2509" s="10" t="s">
        <v>105</v>
      </c>
      <c r="AX2509" s="17">
        <v>19906</v>
      </c>
      <c r="AY2509" s="18">
        <v>57.170271825335114</v>
      </c>
      <c r="AZ2509" s="10"/>
      <c r="BA2509" s="20" t="b">
        <v>0</v>
      </c>
      <c r="BB2509" s="10"/>
      <c r="BC2509" s="17">
        <v>60997</v>
      </c>
      <c r="BD2509" s="17">
        <v>32153</v>
      </c>
      <c r="BE2509" s="17">
        <v>1838195.75</v>
      </c>
      <c r="BF2509" s="17">
        <v>28.15</v>
      </c>
      <c r="BG2509" s="11">
        <f ca="1">IFERROR(__xludf.DUMMYFUNCTION("""COMPUTED_VALUE"""),46015.125)</f>
        <v>46015.125</v>
      </c>
      <c r="BH2509" s="17" t="s">
        <v>105</v>
      </c>
      <c r="BI2509" s="17"/>
      <c r="BJ2509" s="15"/>
      <c r="BK2509" s="15"/>
      <c r="BL2509" s="13" t="b">
        <v>0</v>
      </c>
      <c r="BM2509" s="10"/>
      <c r="BN2509" s="10" t="s">
        <v>278</v>
      </c>
      <c r="BO2509" s="11">
        <v>45965.70416666667</v>
      </c>
      <c r="BP2509" s="11">
        <v>46014.504652777781</v>
      </c>
      <c r="BQ2509" s="15">
        <v>46004.528784722221</v>
      </c>
      <c r="BR2509" s="15">
        <v>46014.5702662037</v>
      </c>
      <c r="BS2509" s="10" t="s">
        <v>278</v>
      </c>
      <c r="BT2509" s="10" t="s">
        <v>279</v>
      </c>
      <c r="BU2509" s="10" t="s">
        <v>298</v>
      </c>
      <c r="BV2509" s="10" t="s">
        <v>281</v>
      </c>
      <c r="BW2509" s="10" t="s">
        <v>282</v>
      </c>
      <c r="BX2509" s="10"/>
      <c r="BY2509" s="23"/>
      <c r="BZ2509" s="23"/>
      <c r="CA2509" s="19" t="s">
        <v>19031</v>
      </c>
      <c r="CB2509" s="19" t="s">
        <v>19002</v>
      </c>
      <c r="CC2509" s="23"/>
      <c r="CD2509" s="19" t="s">
        <v>19032</v>
      </c>
      <c r="CE2509" s="23"/>
      <c r="CF2509" s="23"/>
      <c r="CG2509" s="23"/>
      <c r="CH2509" s="23"/>
      <c r="CI2509" s="23"/>
    </row>
    <row r="2510" spans="1:87" x14ac:dyDescent="0.3">
      <c r="A2510" s="9" t="s">
        <v>19033</v>
      </c>
      <c r="B2510" s="10" t="s">
        <v>19034</v>
      </c>
      <c r="C2510" s="11">
        <v>45976.791666666664</v>
      </c>
      <c r="D2510" s="12">
        <v>8.3333333333333329E-2</v>
      </c>
      <c r="E2510" s="11">
        <v>45976.875</v>
      </c>
      <c r="F2510" s="10" t="s">
        <v>8402</v>
      </c>
      <c r="G2510" s="13" t="b">
        <v>0</v>
      </c>
      <c r="H2510" s="22" t="s">
        <v>8403</v>
      </c>
      <c r="I2510" s="10" t="s">
        <v>212</v>
      </c>
      <c r="J2510" s="13" t="b">
        <v>1</v>
      </c>
      <c r="K2510" s="13" t="b">
        <v>0</v>
      </c>
      <c r="L2510" s="10" t="s">
        <v>124</v>
      </c>
      <c r="M2510" s="10" t="s">
        <v>91</v>
      </c>
      <c r="N2510" s="10" t="s">
        <v>92</v>
      </c>
      <c r="O2510" s="19" t="s">
        <v>19035</v>
      </c>
      <c r="P2510" s="10"/>
      <c r="Q2510" s="10" t="s">
        <v>126</v>
      </c>
      <c r="R2510" s="19" t="s">
        <v>19036</v>
      </c>
      <c r="S2510" s="19" t="s">
        <v>19037</v>
      </c>
      <c r="T2510" s="10"/>
      <c r="U2510" s="10"/>
      <c r="V2510" s="10"/>
      <c r="W2510" s="10" t="s">
        <v>8407</v>
      </c>
      <c r="X2510" s="10" t="s">
        <v>8408</v>
      </c>
      <c r="Y2510" s="10" t="s">
        <v>8409</v>
      </c>
      <c r="Z2510" s="10" t="s">
        <v>99</v>
      </c>
      <c r="AA2510" s="10" t="s">
        <v>100</v>
      </c>
      <c r="AB2510" s="10" t="s">
        <v>8410</v>
      </c>
      <c r="AC2510" s="10"/>
      <c r="AD2510" s="10" t="s">
        <v>165</v>
      </c>
      <c r="AE2510" s="10" t="s">
        <v>19038</v>
      </c>
      <c r="AF2510" s="15"/>
      <c r="AG2510" s="10"/>
      <c r="AH2510" s="10"/>
      <c r="AI2510" s="10"/>
      <c r="AJ2510" s="10"/>
      <c r="AK2510" s="10" t="s">
        <v>102</v>
      </c>
      <c r="AL2510" s="10"/>
      <c r="AM2510" s="10"/>
      <c r="AN2510" s="10"/>
      <c r="AO2510" s="13" t="b">
        <v>0</v>
      </c>
      <c r="AP2510" s="22"/>
      <c r="AQ2510" s="10">
        <f ca="1">IFERROR(__xludf.DUMMYFUNCTION("""COMPUTED_VALUE"""),4713734)</f>
        <v>4713734</v>
      </c>
      <c r="AR2510" s="17">
        <v>7081</v>
      </c>
      <c r="AS2510" s="17">
        <v>5349</v>
      </c>
      <c r="AT2510" s="17">
        <v>51781.25</v>
      </c>
      <c r="AU2510" s="17">
        <v>24.05</v>
      </c>
      <c r="AV2510" s="17">
        <v>5.9</v>
      </c>
      <c r="AW2510" s="10" t="s">
        <v>105</v>
      </c>
      <c r="AX2510" s="17">
        <v>918</v>
      </c>
      <c r="AY2510" s="18">
        <v>9.6805477659375576</v>
      </c>
      <c r="AZ2510" s="10" t="s">
        <v>3783</v>
      </c>
      <c r="BA2510" s="20" t="b">
        <v>0</v>
      </c>
      <c r="BB2510" s="10"/>
      <c r="BC2510" s="17">
        <v>7081</v>
      </c>
      <c r="BD2510" s="17">
        <v>5349</v>
      </c>
      <c r="BE2510" s="17">
        <v>51781.25</v>
      </c>
      <c r="BF2510" s="17">
        <v>5.9</v>
      </c>
      <c r="BG2510" s="11">
        <f ca="1">IFERROR(__xludf.DUMMYFUNCTION("""COMPUTED_VALUE"""),45976.7916666666)</f>
        <v>45976.791666666599</v>
      </c>
      <c r="BH2510" s="17" t="s">
        <v>105</v>
      </c>
      <c r="BI2510" s="17"/>
      <c r="BJ2510" s="15"/>
      <c r="BK2510" s="15"/>
      <c r="BL2510" s="13" t="b">
        <v>0</v>
      </c>
      <c r="BM2510" s="10"/>
      <c r="BN2510" s="10" t="s">
        <v>118</v>
      </c>
      <c r="BO2510" s="11">
        <v>45965.706944444442</v>
      </c>
      <c r="BP2510" s="11">
        <v>45965.707499999997</v>
      </c>
      <c r="BQ2510" s="15">
        <v>45971.611921296295</v>
      </c>
      <c r="BR2510" s="15">
        <v>45973.441712962966</v>
      </c>
      <c r="BS2510" s="10" t="s">
        <v>118</v>
      </c>
      <c r="BT2510" s="10"/>
      <c r="BU2510" s="10"/>
      <c r="BV2510" s="10"/>
      <c r="BW2510" s="10"/>
      <c r="BX2510" s="10"/>
      <c r="BY2510" s="23"/>
      <c r="BZ2510" s="23"/>
      <c r="CA2510" s="19" t="s">
        <v>19039</v>
      </c>
      <c r="CB2510" s="23"/>
      <c r="CC2510" s="23"/>
      <c r="CD2510" s="19" t="s">
        <v>19040</v>
      </c>
      <c r="CE2510" s="23"/>
      <c r="CF2510" s="23"/>
      <c r="CG2510" s="23"/>
      <c r="CH2510" s="23"/>
      <c r="CI2510" s="23"/>
    </row>
    <row r="2511" spans="1:87" x14ac:dyDescent="0.3">
      <c r="A2511" s="9" t="s">
        <v>19041</v>
      </c>
      <c r="B2511" s="10" t="s">
        <v>19042</v>
      </c>
      <c r="C2511" s="11">
        <v>45978.041666666664</v>
      </c>
      <c r="D2511" s="12">
        <v>0.14583333333333334</v>
      </c>
      <c r="E2511" s="11">
        <v>45978.1875</v>
      </c>
      <c r="F2511" s="10" t="s">
        <v>15270</v>
      </c>
      <c r="G2511" s="13" t="b">
        <v>0</v>
      </c>
      <c r="H2511" s="22" t="s">
        <v>15271</v>
      </c>
      <c r="I2511" s="10" t="s">
        <v>3213</v>
      </c>
      <c r="J2511" s="13" t="b">
        <v>0</v>
      </c>
      <c r="K2511" s="13" t="b">
        <v>1</v>
      </c>
      <c r="L2511" s="10" t="s">
        <v>124</v>
      </c>
      <c r="M2511" s="10" t="s">
        <v>91</v>
      </c>
      <c r="N2511" s="10" t="s">
        <v>92</v>
      </c>
      <c r="O2511" s="19" t="s">
        <v>19043</v>
      </c>
      <c r="P2511" s="10" t="s">
        <v>3215</v>
      </c>
      <c r="Q2511" s="10" t="s">
        <v>126</v>
      </c>
      <c r="R2511" s="10"/>
      <c r="S2511" s="19" t="s">
        <v>19044</v>
      </c>
      <c r="T2511" s="10"/>
      <c r="U2511" s="10" t="s">
        <v>15307</v>
      </c>
      <c r="V2511" s="10" t="s">
        <v>15290</v>
      </c>
      <c r="W2511" s="10" t="s">
        <v>15276</v>
      </c>
      <c r="X2511" s="10" t="s">
        <v>15277</v>
      </c>
      <c r="Y2511" s="10" t="s">
        <v>15277</v>
      </c>
      <c r="Z2511" s="10" t="s">
        <v>99</v>
      </c>
      <c r="AA2511" s="10" t="s">
        <v>131</v>
      </c>
      <c r="AB2511" s="10" t="s">
        <v>15278</v>
      </c>
      <c r="AC2511" s="10" t="s">
        <v>15279</v>
      </c>
      <c r="AD2511" s="10" t="s">
        <v>165</v>
      </c>
      <c r="AE2511" s="10" t="s">
        <v>19045</v>
      </c>
      <c r="AF2511" s="15"/>
      <c r="AG2511" s="10"/>
      <c r="AH2511" s="10"/>
      <c r="AI2511" s="10"/>
      <c r="AJ2511" s="10"/>
      <c r="AK2511" s="10" t="s">
        <v>102</v>
      </c>
      <c r="AL2511" s="10" t="s">
        <v>1360</v>
      </c>
      <c r="AM2511" s="10"/>
      <c r="AN2511" s="10"/>
      <c r="AO2511" s="13" t="b">
        <v>0</v>
      </c>
      <c r="AP2511" s="22" t="s">
        <v>104</v>
      </c>
      <c r="AQ2511" s="10">
        <f ca="1">IFERROR(__xludf.DUMMYFUNCTION("""COMPUTED_VALUE"""),4717975)</f>
        <v>4717975</v>
      </c>
      <c r="AR2511" s="17">
        <v>1486</v>
      </c>
      <c r="AS2511" s="17">
        <v>1216</v>
      </c>
      <c r="AT2511" s="17">
        <v>28364.75</v>
      </c>
      <c r="AU2511" s="17">
        <v>1.5</v>
      </c>
      <c r="AV2511" s="17">
        <v>0</v>
      </c>
      <c r="AW2511" s="10" t="s">
        <v>105</v>
      </c>
      <c r="AX2511" s="17">
        <v>226</v>
      </c>
      <c r="AY2511" s="18">
        <v>23.32627467105263</v>
      </c>
      <c r="AZ2511" s="10"/>
      <c r="BA2511" s="20" t="b">
        <v>0</v>
      </c>
      <c r="BB2511" s="10"/>
      <c r="BC2511" s="17">
        <v>1486</v>
      </c>
      <c r="BD2511" s="17">
        <v>1216</v>
      </c>
      <c r="BE2511" s="17">
        <v>28364.75</v>
      </c>
      <c r="BF2511" s="17">
        <v>0</v>
      </c>
      <c r="BG2511" s="11">
        <f ca="1">IFERROR(__xludf.DUMMYFUNCTION("""COMPUTED_VALUE"""),45978.0416666666)</f>
        <v>45978.041666666599</v>
      </c>
      <c r="BH2511" s="17" t="s">
        <v>105</v>
      </c>
      <c r="BI2511" s="17"/>
      <c r="BJ2511" s="15"/>
      <c r="BK2511" s="15"/>
      <c r="BL2511" s="13" t="b">
        <v>0</v>
      </c>
      <c r="BM2511" s="10"/>
      <c r="BN2511" s="10" t="s">
        <v>4030</v>
      </c>
      <c r="BO2511" s="11">
        <v>45966.553472222222</v>
      </c>
      <c r="BP2511" s="11">
        <v>45966.554097222222</v>
      </c>
      <c r="BQ2511" s="15">
        <v>45972.630474537036</v>
      </c>
      <c r="BR2511" s="15">
        <v>45975.526747685188</v>
      </c>
      <c r="BS2511" s="10" t="s">
        <v>4030</v>
      </c>
      <c r="BT2511" s="10"/>
      <c r="BU2511" s="10"/>
      <c r="BV2511" s="10"/>
      <c r="BW2511" s="10"/>
      <c r="BX2511" s="10"/>
      <c r="BY2511" s="23"/>
      <c r="BZ2511" s="23"/>
      <c r="CA2511" s="19" t="s">
        <v>19046</v>
      </c>
      <c r="CB2511" s="23"/>
      <c r="CC2511" s="23"/>
      <c r="CD2511" s="19" t="s">
        <v>19047</v>
      </c>
      <c r="CE2511" s="23"/>
      <c r="CF2511" s="23"/>
      <c r="CG2511" s="23"/>
      <c r="CH2511" s="23"/>
      <c r="CI2511" s="23"/>
    </row>
    <row r="2512" spans="1:87" x14ac:dyDescent="0.3">
      <c r="A2512" s="9" t="s">
        <v>19048</v>
      </c>
      <c r="B2512" s="10" t="s">
        <v>19049</v>
      </c>
      <c r="C2512" s="11">
        <v>45975.34375</v>
      </c>
      <c r="D2512" s="12">
        <v>0.14583333333333334</v>
      </c>
      <c r="E2512" s="11">
        <v>45975.489583333336</v>
      </c>
      <c r="F2512" s="10" t="s">
        <v>15270</v>
      </c>
      <c r="G2512" s="13" t="b">
        <v>0</v>
      </c>
      <c r="H2512" s="22" t="s">
        <v>15271</v>
      </c>
      <c r="I2512" s="10" t="s">
        <v>3213</v>
      </c>
      <c r="J2512" s="13" t="b">
        <v>0</v>
      </c>
      <c r="K2512" s="13" t="b">
        <v>1</v>
      </c>
      <c r="L2512" s="10" t="s">
        <v>124</v>
      </c>
      <c r="M2512" s="10" t="s">
        <v>91</v>
      </c>
      <c r="N2512" s="10" t="s">
        <v>92</v>
      </c>
      <c r="O2512" s="19" t="s">
        <v>19050</v>
      </c>
      <c r="P2512" s="10" t="s">
        <v>3215</v>
      </c>
      <c r="Q2512" s="10" t="s">
        <v>126</v>
      </c>
      <c r="R2512" s="10"/>
      <c r="S2512" s="19" t="s">
        <v>19051</v>
      </c>
      <c r="T2512" s="10"/>
      <c r="U2512" s="10" t="s">
        <v>16288</v>
      </c>
      <c r="V2512" s="10" t="s">
        <v>15509</v>
      </c>
      <c r="W2512" s="10" t="s">
        <v>15276</v>
      </c>
      <c r="X2512" s="10" t="s">
        <v>15277</v>
      </c>
      <c r="Y2512" s="10" t="s">
        <v>15277</v>
      </c>
      <c r="Z2512" s="10" t="s">
        <v>99</v>
      </c>
      <c r="AA2512" s="10" t="s">
        <v>131</v>
      </c>
      <c r="AB2512" s="10" t="s">
        <v>15278</v>
      </c>
      <c r="AC2512" s="10" t="s">
        <v>15279</v>
      </c>
      <c r="AD2512" s="10" t="s">
        <v>165</v>
      </c>
      <c r="AE2512" s="10" t="s">
        <v>19052</v>
      </c>
      <c r="AF2512" s="15"/>
      <c r="AG2512" s="10"/>
      <c r="AH2512" s="10"/>
      <c r="AI2512" s="10"/>
      <c r="AJ2512" s="10"/>
      <c r="AK2512" s="10" t="s">
        <v>102</v>
      </c>
      <c r="AL2512" s="10" t="s">
        <v>1360</v>
      </c>
      <c r="AM2512" s="10"/>
      <c r="AN2512" s="10"/>
      <c r="AO2512" s="13" t="b">
        <v>0</v>
      </c>
      <c r="AP2512" s="22" t="s">
        <v>104</v>
      </c>
      <c r="AQ2512" s="10">
        <f ca="1">IFERROR(__xludf.DUMMYFUNCTION("""COMPUTED_VALUE"""),4716792)</f>
        <v>4716792</v>
      </c>
      <c r="AR2512" s="17">
        <v>1880</v>
      </c>
      <c r="AS2512" s="17">
        <v>1138</v>
      </c>
      <c r="AT2512" s="17">
        <v>37515.5</v>
      </c>
      <c r="AU2512" s="17">
        <v>6.35</v>
      </c>
      <c r="AV2512" s="17">
        <v>2</v>
      </c>
      <c r="AW2512" s="10" t="s">
        <v>105</v>
      </c>
      <c r="AX2512" s="17">
        <v>292</v>
      </c>
      <c r="AY2512" s="18">
        <v>32.966168717047452</v>
      </c>
      <c r="AZ2512" s="10"/>
      <c r="BA2512" s="20" t="b">
        <v>0</v>
      </c>
      <c r="BB2512" s="10"/>
      <c r="BC2512" s="17">
        <v>1880</v>
      </c>
      <c r="BD2512" s="17">
        <v>1138</v>
      </c>
      <c r="BE2512" s="17">
        <v>37515.5</v>
      </c>
      <c r="BF2512" s="17">
        <v>2</v>
      </c>
      <c r="BG2512" s="11">
        <f ca="1">IFERROR(__xludf.DUMMYFUNCTION("""COMPUTED_VALUE"""),45975.34375)</f>
        <v>45975.34375</v>
      </c>
      <c r="BH2512" s="17" t="s">
        <v>105</v>
      </c>
      <c r="BI2512" s="17"/>
      <c r="BJ2512" s="15"/>
      <c r="BK2512" s="15"/>
      <c r="BL2512" s="13" t="b">
        <v>0</v>
      </c>
      <c r="BM2512" s="10"/>
      <c r="BN2512" s="10" t="s">
        <v>8529</v>
      </c>
      <c r="BO2512" s="11">
        <v>45966.556944444441</v>
      </c>
      <c r="BP2512" s="11">
        <v>45966.557152777779</v>
      </c>
      <c r="BQ2512" s="15">
        <v>45972.630243055559</v>
      </c>
      <c r="BR2512" s="15">
        <v>45974.634641203702</v>
      </c>
      <c r="BS2512" s="10"/>
      <c r="BT2512" s="10"/>
      <c r="BU2512" s="10"/>
      <c r="BV2512" s="10"/>
      <c r="BW2512" s="10"/>
      <c r="BX2512" s="10"/>
      <c r="BY2512" s="23"/>
      <c r="BZ2512" s="23"/>
      <c r="CA2512" s="19" t="s">
        <v>19053</v>
      </c>
      <c r="CB2512" s="23"/>
      <c r="CC2512" s="23"/>
      <c r="CD2512" s="19" t="s">
        <v>19054</v>
      </c>
      <c r="CE2512" s="23"/>
      <c r="CF2512" s="23"/>
      <c r="CG2512" s="23"/>
      <c r="CH2512" s="23"/>
      <c r="CI2512" s="23"/>
    </row>
    <row r="2513" spans="1:87" x14ac:dyDescent="0.3">
      <c r="A2513" s="9" t="s">
        <v>19055</v>
      </c>
      <c r="B2513" s="10" t="s">
        <v>19056</v>
      </c>
      <c r="C2513" s="11">
        <v>45978.184027777781</v>
      </c>
      <c r="D2513" s="12">
        <v>0.14583333333333334</v>
      </c>
      <c r="E2513" s="11">
        <v>45978.329861111109</v>
      </c>
      <c r="F2513" s="10" t="s">
        <v>15270</v>
      </c>
      <c r="G2513" s="13" t="b">
        <v>0</v>
      </c>
      <c r="H2513" s="22" t="s">
        <v>15271</v>
      </c>
      <c r="I2513" s="10" t="s">
        <v>3213</v>
      </c>
      <c r="J2513" s="13" t="b">
        <v>0</v>
      </c>
      <c r="K2513" s="13" t="b">
        <v>1</v>
      </c>
      <c r="L2513" s="10" t="s">
        <v>124</v>
      </c>
      <c r="M2513" s="10" t="s">
        <v>91</v>
      </c>
      <c r="N2513" s="10" t="s">
        <v>92</v>
      </c>
      <c r="O2513" s="19" t="s">
        <v>19057</v>
      </c>
      <c r="P2513" s="10" t="s">
        <v>3215</v>
      </c>
      <c r="Q2513" s="10" t="s">
        <v>126</v>
      </c>
      <c r="R2513" s="10"/>
      <c r="S2513" s="19" t="s">
        <v>19058</v>
      </c>
      <c r="T2513" s="10"/>
      <c r="U2513" s="10" t="s">
        <v>15510</v>
      </c>
      <c r="V2513" s="10" t="s">
        <v>15298</v>
      </c>
      <c r="W2513" s="10" t="s">
        <v>15276</v>
      </c>
      <c r="X2513" s="10" t="s">
        <v>15277</v>
      </c>
      <c r="Y2513" s="10" t="s">
        <v>15277</v>
      </c>
      <c r="Z2513" s="10" t="s">
        <v>99</v>
      </c>
      <c r="AA2513" s="10" t="s">
        <v>131</v>
      </c>
      <c r="AB2513" s="10" t="s">
        <v>15278</v>
      </c>
      <c r="AC2513" s="10" t="s">
        <v>15279</v>
      </c>
      <c r="AD2513" s="10" t="s">
        <v>165</v>
      </c>
      <c r="AE2513" s="10" t="s">
        <v>19059</v>
      </c>
      <c r="AF2513" s="15"/>
      <c r="AG2513" s="10"/>
      <c r="AH2513" s="10"/>
      <c r="AI2513" s="10"/>
      <c r="AJ2513" s="10"/>
      <c r="AK2513" s="10" t="s">
        <v>102</v>
      </c>
      <c r="AL2513" s="10" t="s">
        <v>1360</v>
      </c>
      <c r="AM2513" s="10"/>
      <c r="AN2513" s="10"/>
      <c r="AO2513" s="13" t="b">
        <v>0</v>
      </c>
      <c r="AP2513" s="22" t="s">
        <v>104</v>
      </c>
      <c r="AQ2513" s="10">
        <f ca="1">IFERROR(__xludf.DUMMYFUNCTION("""COMPUTED_VALUE"""),4717977)</f>
        <v>4717977</v>
      </c>
      <c r="AR2513" s="17">
        <v>2678</v>
      </c>
      <c r="AS2513" s="17">
        <v>2052</v>
      </c>
      <c r="AT2513" s="17">
        <v>42890</v>
      </c>
      <c r="AU2513" s="17">
        <v>5.55</v>
      </c>
      <c r="AV2513" s="17">
        <v>0.5</v>
      </c>
      <c r="AW2513" s="10" t="s">
        <v>105</v>
      </c>
      <c r="AX2513" s="17">
        <v>451</v>
      </c>
      <c r="AY2513" s="18">
        <v>20.901559454191034</v>
      </c>
      <c r="AZ2513" s="10"/>
      <c r="BA2513" s="20" t="b">
        <v>0</v>
      </c>
      <c r="BB2513" s="10"/>
      <c r="BC2513" s="17">
        <v>2678</v>
      </c>
      <c r="BD2513" s="17">
        <v>2052</v>
      </c>
      <c r="BE2513" s="17">
        <v>42890</v>
      </c>
      <c r="BF2513" s="17">
        <v>0.5</v>
      </c>
      <c r="BG2513" s="11">
        <f ca="1">IFERROR(__xludf.DUMMYFUNCTION("""COMPUTED_VALUE"""),45978.1840277777)</f>
        <v>45978.184027777701</v>
      </c>
      <c r="BH2513" s="17" t="s">
        <v>105</v>
      </c>
      <c r="BI2513" s="17"/>
      <c r="BJ2513" s="15"/>
      <c r="BK2513" s="15"/>
      <c r="BL2513" s="13" t="b">
        <v>0</v>
      </c>
      <c r="BM2513" s="10"/>
      <c r="BN2513" s="10" t="s">
        <v>118</v>
      </c>
      <c r="BO2513" s="11">
        <v>45966.558333333334</v>
      </c>
      <c r="BP2513" s="11">
        <v>45966.558749999997</v>
      </c>
      <c r="BQ2513" s="15">
        <v>45972.630520833336</v>
      </c>
      <c r="BR2513" s="15">
        <v>45975.532361111109</v>
      </c>
      <c r="BS2513" s="10" t="s">
        <v>118</v>
      </c>
      <c r="BT2513" s="10"/>
      <c r="BU2513" s="10"/>
      <c r="BV2513" s="10"/>
      <c r="BW2513" s="10"/>
      <c r="BX2513" s="10"/>
      <c r="BY2513" s="23"/>
      <c r="BZ2513" s="23"/>
      <c r="CA2513" s="19" t="s">
        <v>19060</v>
      </c>
      <c r="CB2513" s="23"/>
      <c r="CC2513" s="23"/>
      <c r="CD2513" s="19" t="s">
        <v>19061</v>
      </c>
      <c r="CE2513" s="23"/>
      <c r="CF2513" s="23"/>
      <c r="CG2513" s="23"/>
      <c r="CH2513" s="23"/>
      <c r="CI2513" s="23"/>
    </row>
    <row r="2514" spans="1:87" x14ac:dyDescent="0.3">
      <c r="A2514" s="9" t="s">
        <v>19062</v>
      </c>
      <c r="B2514" s="10" t="s">
        <v>19063</v>
      </c>
      <c r="C2514" s="11">
        <v>45978.347222222219</v>
      </c>
      <c r="D2514" s="12">
        <v>0.14583333333333334</v>
      </c>
      <c r="E2514" s="11">
        <v>45978.493055555555</v>
      </c>
      <c r="F2514" s="10" t="s">
        <v>15270</v>
      </c>
      <c r="G2514" s="13" t="b">
        <v>0</v>
      </c>
      <c r="H2514" s="22" t="s">
        <v>15271</v>
      </c>
      <c r="I2514" s="10" t="s">
        <v>3213</v>
      </c>
      <c r="J2514" s="13" t="b">
        <v>0</v>
      </c>
      <c r="K2514" s="13" t="b">
        <v>1</v>
      </c>
      <c r="L2514" s="10" t="s">
        <v>124</v>
      </c>
      <c r="M2514" s="10" t="s">
        <v>91</v>
      </c>
      <c r="N2514" s="10" t="s">
        <v>92</v>
      </c>
      <c r="O2514" s="19" t="s">
        <v>19064</v>
      </c>
      <c r="P2514" s="10" t="s">
        <v>3215</v>
      </c>
      <c r="Q2514" s="10" t="s">
        <v>126</v>
      </c>
      <c r="R2514" s="10"/>
      <c r="S2514" s="19" t="s">
        <v>19065</v>
      </c>
      <c r="T2514" s="10"/>
      <c r="U2514" s="10" t="s">
        <v>15299</v>
      </c>
      <c r="V2514" s="10" t="s">
        <v>15289</v>
      </c>
      <c r="W2514" s="10" t="s">
        <v>15276</v>
      </c>
      <c r="X2514" s="10" t="s">
        <v>15277</v>
      </c>
      <c r="Y2514" s="10" t="s">
        <v>15277</v>
      </c>
      <c r="Z2514" s="10" t="s">
        <v>99</v>
      </c>
      <c r="AA2514" s="10" t="s">
        <v>131</v>
      </c>
      <c r="AB2514" s="10" t="s">
        <v>15278</v>
      </c>
      <c r="AC2514" s="10" t="s">
        <v>15279</v>
      </c>
      <c r="AD2514" s="10" t="s">
        <v>165</v>
      </c>
      <c r="AE2514" s="10" t="s">
        <v>19066</v>
      </c>
      <c r="AF2514" s="15"/>
      <c r="AG2514" s="10"/>
      <c r="AH2514" s="10"/>
      <c r="AI2514" s="10"/>
      <c r="AJ2514" s="10"/>
      <c r="AK2514" s="10" t="s">
        <v>102</v>
      </c>
      <c r="AL2514" s="10" t="s">
        <v>1360</v>
      </c>
      <c r="AM2514" s="10"/>
      <c r="AN2514" s="10"/>
      <c r="AO2514" s="13" t="b">
        <v>0</v>
      </c>
      <c r="AP2514" s="22" t="s">
        <v>104</v>
      </c>
      <c r="AQ2514" s="10">
        <f ca="1">IFERROR(__xludf.DUMMYFUNCTION("""COMPUTED_VALUE"""),4717978)</f>
        <v>4717978</v>
      </c>
      <c r="AR2514" s="17">
        <v>3000</v>
      </c>
      <c r="AS2514" s="17">
        <v>2102</v>
      </c>
      <c r="AT2514" s="17">
        <v>54795</v>
      </c>
      <c r="AU2514" s="17">
        <v>9.35</v>
      </c>
      <c r="AV2514" s="17">
        <v>1.5</v>
      </c>
      <c r="AW2514" s="10" t="s">
        <v>105</v>
      </c>
      <c r="AX2514" s="17">
        <v>428</v>
      </c>
      <c r="AY2514" s="18">
        <v>26.068030447193149</v>
      </c>
      <c r="AZ2514" s="10"/>
      <c r="BA2514" s="20" t="b">
        <v>0</v>
      </c>
      <c r="BB2514" s="10"/>
      <c r="BC2514" s="17">
        <v>3000</v>
      </c>
      <c r="BD2514" s="17">
        <v>2102</v>
      </c>
      <c r="BE2514" s="17">
        <v>54795</v>
      </c>
      <c r="BF2514" s="17">
        <v>1.5</v>
      </c>
      <c r="BG2514" s="11">
        <f ca="1">IFERROR(__xludf.DUMMYFUNCTION("""COMPUTED_VALUE"""),45978.3472222222)</f>
        <v>45978.347222222197</v>
      </c>
      <c r="BH2514" s="17" t="s">
        <v>105</v>
      </c>
      <c r="BI2514" s="17"/>
      <c r="BJ2514" s="15"/>
      <c r="BK2514" s="15"/>
      <c r="BL2514" s="13" t="b">
        <v>0</v>
      </c>
      <c r="BM2514" s="10"/>
      <c r="BN2514" s="10" t="s">
        <v>118</v>
      </c>
      <c r="BO2514" s="11">
        <v>45966.559027777781</v>
      </c>
      <c r="BP2514" s="11">
        <v>45966.559664351851</v>
      </c>
      <c r="BQ2514" s="15">
        <v>45972.630567129629</v>
      </c>
      <c r="BR2514" s="15">
        <v>45975.532465277778</v>
      </c>
      <c r="BS2514" s="10" t="s">
        <v>118</v>
      </c>
      <c r="BT2514" s="10"/>
      <c r="BU2514" s="10"/>
      <c r="BV2514" s="10"/>
      <c r="BW2514" s="10"/>
      <c r="BX2514" s="10"/>
      <c r="BY2514" s="23"/>
      <c r="BZ2514" s="23"/>
      <c r="CA2514" s="19" t="s">
        <v>19067</v>
      </c>
      <c r="CB2514" s="23"/>
      <c r="CC2514" s="23"/>
      <c r="CD2514" s="19" t="s">
        <v>19068</v>
      </c>
      <c r="CE2514" s="23"/>
      <c r="CF2514" s="23"/>
      <c r="CG2514" s="23"/>
      <c r="CH2514" s="23"/>
      <c r="CI2514" s="23"/>
    </row>
    <row r="2515" spans="1:87" x14ac:dyDescent="0.3">
      <c r="A2515" s="9" t="s">
        <v>19069</v>
      </c>
      <c r="B2515" s="10" t="s">
        <v>19070</v>
      </c>
      <c r="C2515" s="11">
        <v>45979.34375</v>
      </c>
      <c r="D2515" s="12">
        <v>0.14583333333333334</v>
      </c>
      <c r="E2515" s="11">
        <v>45979.489583333336</v>
      </c>
      <c r="F2515" s="10" t="s">
        <v>15270</v>
      </c>
      <c r="G2515" s="13" t="b">
        <v>0</v>
      </c>
      <c r="H2515" s="22" t="s">
        <v>15271</v>
      </c>
      <c r="I2515" s="10" t="s">
        <v>3213</v>
      </c>
      <c r="J2515" s="13" t="b">
        <v>0</v>
      </c>
      <c r="K2515" s="13" t="b">
        <v>1</v>
      </c>
      <c r="L2515" s="10" t="s">
        <v>124</v>
      </c>
      <c r="M2515" s="10" t="s">
        <v>91</v>
      </c>
      <c r="N2515" s="10" t="s">
        <v>92</v>
      </c>
      <c r="O2515" s="19" t="s">
        <v>19071</v>
      </c>
      <c r="P2515" s="10" t="s">
        <v>3215</v>
      </c>
      <c r="Q2515" s="10" t="s">
        <v>126</v>
      </c>
      <c r="R2515" s="10"/>
      <c r="S2515" s="19" t="s">
        <v>19072</v>
      </c>
      <c r="T2515" s="10"/>
      <c r="U2515" s="10" t="s">
        <v>15325</v>
      </c>
      <c r="V2515" s="10" t="s">
        <v>16009</v>
      </c>
      <c r="W2515" s="10" t="s">
        <v>15276</v>
      </c>
      <c r="X2515" s="10" t="s">
        <v>15277</v>
      </c>
      <c r="Y2515" s="10" t="s">
        <v>15277</v>
      </c>
      <c r="Z2515" s="10" t="s">
        <v>99</v>
      </c>
      <c r="AA2515" s="10" t="s">
        <v>131</v>
      </c>
      <c r="AB2515" s="10" t="s">
        <v>15278</v>
      </c>
      <c r="AC2515" s="10" t="s">
        <v>15279</v>
      </c>
      <c r="AD2515" s="10" t="s">
        <v>165</v>
      </c>
      <c r="AE2515" s="10" t="s">
        <v>19073</v>
      </c>
      <c r="AF2515" s="15"/>
      <c r="AG2515" s="10"/>
      <c r="AH2515" s="10"/>
      <c r="AI2515" s="10"/>
      <c r="AJ2515" s="10"/>
      <c r="AK2515" s="10" t="s">
        <v>102</v>
      </c>
      <c r="AL2515" s="10" t="s">
        <v>1360</v>
      </c>
      <c r="AM2515" s="10"/>
      <c r="AN2515" s="10"/>
      <c r="AO2515" s="13" t="b">
        <v>0</v>
      </c>
      <c r="AP2515" s="22" t="s">
        <v>104</v>
      </c>
      <c r="AQ2515" s="10">
        <f ca="1">IFERROR(__xludf.DUMMYFUNCTION("""COMPUTED_VALUE"""),4717991)</f>
        <v>4717991</v>
      </c>
      <c r="AR2515" s="17">
        <v>2740</v>
      </c>
      <c r="AS2515" s="17">
        <v>2258</v>
      </c>
      <c r="AT2515" s="17">
        <v>38090.5</v>
      </c>
      <c r="AU2515" s="17">
        <v>7.15</v>
      </c>
      <c r="AV2515" s="17">
        <v>1.25</v>
      </c>
      <c r="AW2515" s="10" t="s">
        <v>105</v>
      </c>
      <c r="AX2515" s="17">
        <v>313</v>
      </c>
      <c r="AY2515" s="18">
        <v>16.869131975199291</v>
      </c>
      <c r="AZ2515" s="10"/>
      <c r="BA2515" s="20" t="b">
        <v>0</v>
      </c>
      <c r="BB2515" s="10"/>
      <c r="BC2515" s="17">
        <v>2740</v>
      </c>
      <c r="BD2515" s="17">
        <v>2258</v>
      </c>
      <c r="BE2515" s="17">
        <v>38090.5</v>
      </c>
      <c r="BF2515" s="17">
        <v>1.25</v>
      </c>
      <c r="BG2515" s="11">
        <f ca="1">IFERROR(__xludf.DUMMYFUNCTION("""COMPUTED_VALUE"""),45979.34375)</f>
        <v>45979.34375</v>
      </c>
      <c r="BH2515" s="17" t="s">
        <v>105</v>
      </c>
      <c r="BI2515" s="17"/>
      <c r="BJ2515" s="15"/>
      <c r="BK2515" s="15"/>
      <c r="BL2515" s="13" t="b">
        <v>0</v>
      </c>
      <c r="BM2515" s="10"/>
      <c r="BN2515" s="10" t="s">
        <v>4030</v>
      </c>
      <c r="BO2515" s="11">
        <v>45966.560416666667</v>
      </c>
      <c r="BP2515" s="11">
        <v>45966.560555555552</v>
      </c>
      <c r="BQ2515" s="15">
        <v>45972.635370370372</v>
      </c>
      <c r="BR2515" s="15">
        <v>45975.62699074074</v>
      </c>
      <c r="BS2515" s="10" t="s">
        <v>4030</v>
      </c>
      <c r="BT2515" s="10"/>
      <c r="BU2515" s="10"/>
      <c r="BV2515" s="10"/>
      <c r="BW2515" s="10"/>
      <c r="BX2515" s="10"/>
      <c r="BY2515" s="23"/>
      <c r="BZ2515" s="23"/>
      <c r="CA2515" s="19" t="s">
        <v>19074</v>
      </c>
      <c r="CB2515" s="23"/>
      <c r="CC2515" s="23"/>
      <c r="CD2515" s="19" t="s">
        <v>19075</v>
      </c>
      <c r="CE2515" s="23"/>
      <c r="CF2515" s="23"/>
      <c r="CG2515" s="23"/>
      <c r="CH2515" s="23"/>
      <c r="CI2515" s="23"/>
    </row>
    <row r="2516" spans="1:87" x14ac:dyDescent="0.3">
      <c r="A2516" s="25" t="s">
        <v>19076</v>
      </c>
      <c r="B2516" s="10" t="s">
        <v>19077</v>
      </c>
      <c r="C2516" s="11">
        <v>45970.291666666664</v>
      </c>
      <c r="D2516" s="12">
        <v>0.375</v>
      </c>
      <c r="E2516" s="11">
        <v>45970.666666666664</v>
      </c>
      <c r="F2516" s="10" t="s">
        <v>9016</v>
      </c>
      <c r="G2516" s="13" t="b">
        <v>0</v>
      </c>
      <c r="H2516" s="22" t="s">
        <v>9017</v>
      </c>
      <c r="I2516" s="10" t="s">
        <v>212</v>
      </c>
      <c r="J2516" s="13" t="b">
        <v>1</v>
      </c>
      <c r="K2516" s="13" t="b">
        <v>0</v>
      </c>
      <c r="L2516" s="10" t="s">
        <v>124</v>
      </c>
      <c r="M2516" s="10" t="s">
        <v>91</v>
      </c>
      <c r="N2516" s="10" t="s">
        <v>92</v>
      </c>
      <c r="O2516" s="19" t="s">
        <v>19078</v>
      </c>
      <c r="P2516" s="10"/>
      <c r="Q2516" s="10" t="s">
        <v>94</v>
      </c>
      <c r="R2516" s="10"/>
      <c r="S2516" s="19" t="s">
        <v>9019</v>
      </c>
      <c r="T2516" s="10"/>
      <c r="U2516" s="10"/>
      <c r="V2516" s="10"/>
      <c r="W2516" s="10" t="s">
        <v>9020</v>
      </c>
      <c r="X2516" s="10" t="s">
        <v>130</v>
      </c>
      <c r="Y2516" s="10" t="s">
        <v>130</v>
      </c>
      <c r="Z2516" s="10" t="s">
        <v>99</v>
      </c>
      <c r="AA2516" s="10" t="s">
        <v>131</v>
      </c>
      <c r="AB2516" s="10" t="s">
        <v>9021</v>
      </c>
      <c r="AC2516" s="10" t="s">
        <v>9022</v>
      </c>
      <c r="AD2516" s="10" t="s">
        <v>165</v>
      </c>
      <c r="AE2516" s="10" t="s">
        <v>19079</v>
      </c>
      <c r="AF2516" s="15"/>
      <c r="AG2516" s="10"/>
      <c r="AH2516" s="10"/>
      <c r="AI2516" s="10"/>
      <c r="AJ2516" s="10"/>
      <c r="AK2516" s="10" t="s">
        <v>102</v>
      </c>
      <c r="AL2516" s="10" t="s">
        <v>1252</v>
      </c>
      <c r="AM2516" s="10"/>
      <c r="AN2516" s="10"/>
      <c r="AO2516" s="13" t="b">
        <v>0</v>
      </c>
      <c r="AP2516" s="22" t="s">
        <v>104</v>
      </c>
      <c r="AQ2516" s="10">
        <f ca="1">IFERROR(__xludf.DUMMYFUNCTION("""COMPUTED_VALUE"""),19802)</f>
        <v>19802</v>
      </c>
      <c r="AR2516" s="21">
        <v>13</v>
      </c>
      <c r="AS2516" s="21">
        <v>13</v>
      </c>
      <c r="AT2516" s="21">
        <v>3.5</v>
      </c>
      <c r="AU2516" s="21">
        <v>0</v>
      </c>
      <c r="AV2516" s="21">
        <v>0</v>
      </c>
      <c r="AW2516" s="22" t="s">
        <v>105</v>
      </c>
      <c r="AX2516" s="17"/>
      <c r="AY2516" s="18">
        <v>6.5408079142621602</v>
      </c>
      <c r="AZ2516" s="10"/>
      <c r="BA2516" s="20" t="b">
        <v>1</v>
      </c>
      <c r="BB2516" s="10"/>
      <c r="BC2516" s="17">
        <v>1680</v>
      </c>
      <c r="BD2516" s="17">
        <v>1213</v>
      </c>
      <c r="BE2516" s="17">
        <v>7934</v>
      </c>
      <c r="BF2516" s="17">
        <v>0</v>
      </c>
      <c r="BG2516" s="11">
        <f ca="1">IFERROR(__xludf.DUMMYFUNCTION("""COMPUTED_VALUE"""),45970.2916666666)</f>
        <v>45970.291666666599</v>
      </c>
      <c r="BH2516" s="17" t="s">
        <v>105</v>
      </c>
      <c r="BI2516" s="17"/>
      <c r="BJ2516" s="15"/>
      <c r="BK2516" s="15"/>
      <c r="BL2516" s="13" t="b">
        <v>0</v>
      </c>
      <c r="BM2516" s="10"/>
      <c r="BN2516" s="10" t="s">
        <v>157</v>
      </c>
      <c r="BO2516" s="11">
        <v>45968.555555555555</v>
      </c>
      <c r="BP2516" s="11">
        <v>45968.556215277778</v>
      </c>
      <c r="BQ2516" s="15">
        <v>45968.558310185188</v>
      </c>
      <c r="BR2516" s="15">
        <v>45969.832326388889</v>
      </c>
      <c r="BS2516" s="10" t="s">
        <v>157</v>
      </c>
      <c r="BT2516" s="10"/>
      <c r="BU2516" s="10"/>
      <c r="BV2516" s="10"/>
      <c r="BW2516" s="10"/>
      <c r="BX2516" s="10"/>
      <c r="BY2516" s="23"/>
      <c r="BZ2516" s="23"/>
      <c r="CA2516" s="19" t="s">
        <v>9024</v>
      </c>
      <c r="CB2516" s="23"/>
      <c r="CC2516" s="23"/>
      <c r="CD2516" s="23"/>
      <c r="CE2516" s="23"/>
      <c r="CF2516" s="23"/>
      <c r="CG2516" s="23"/>
      <c r="CH2516" s="23"/>
      <c r="CI2516" s="23"/>
    </row>
    <row r="2517" spans="1:87" x14ac:dyDescent="0.3">
      <c r="A2517" s="9" t="s">
        <v>19080</v>
      </c>
      <c r="B2517" s="10" t="s">
        <v>19081</v>
      </c>
      <c r="C2517" s="11">
        <v>45970.291666666664</v>
      </c>
      <c r="D2517" s="12">
        <v>2.0833333333333332E-2</v>
      </c>
      <c r="E2517" s="11">
        <v>45970.3125</v>
      </c>
      <c r="F2517" s="10" t="s">
        <v>9016</v>
      </c>
      <c r="G2517" s="13" t="b">
        <v>0</v>
      </c>
      <c r="H2517" s="22" t="s">
        <v>9017</v>
      </c>
      <c r="I2517" s="10" t="s">
        <v>212</v>
      </c>
      <c r="J2517" s="13" t="b">
        <v>1</v>
      </c>
      <c r="K2517" s="13" t="b">
        <v>0</v>
      </c>
      <c r="L2517" s="10" t="s">
        <v>124</v>
      </c>
      <c r="M2517" s="10" t="s">
        <v>91</v>
      </c>
      <c r="N2517" s="10" t="s">
        <v>92</v>
      </c>
      <c r="O2517" s="19" t="s">
        <v>19082</v>
      </c>
      <c r="P2517" s="10"/>
      <c r="Q2517" s="10" t="s">
        <v>94</v>
      </c>
      <c r="R2517" s="10"/>
      <c r="S2517" s="19" t="s">
        <v>9019</v>
      </c>
      <c r="T2517" s="10"/>
      <c r="U2517" s="10"/>
      <c r="V2517" s="10"/>
      <c r="W2517" s="10" t="s">
        <v>9020</v>
      </c>
      <c r="X2517" s="10" t="s">
        <v>130</v>
      </c>
      <c r="Y2517" s="10" t="s">
        <v>130</v>
      </c>
      <c r="Z2517" s="10" t="s">
        <v>99</v>
      </c>
      <c r="AA2517" s="10" t="s">
        <v>131</v>
      </c>
      <c r="AB2517" s="10" t="s">
        <v>9021</v>
      </c>
      <c r="AC2517" s="10" t="s">
        <v>9022</v>
      </c>
      <c r="AD2517" s="10" t="s">
        <v>165</v>
      </c>
      <c r="AE2517" s="10" t="s">
        <v>19083</v>
      </c>
      <c r="AF2517" s="15"/>
      <c r="AG2517" s="10"/>
      <c r="AH2517" s="10"/>
      <c r="AI2517" s="10"/>
      <c r="AJ2517" s="10"/>
      <c r="AK2517" s="10" t="s">
        <v>102</v>
      </c>
      <c r="AL2517" s="10"/>
      <c r="AM2517" s="10"/>
      <c r="AN2517" s="10"/>
      <c r="AO2517" s="13" t="b">
        <v>0</v>
      </c>
      <c r="AP2517" s="22" t="s">
        <v>104</v>
      </c>
      <c r="AQ2517" s="10">
        <f ca="1">IFERROR(__xludf.DUMMYFUNCTION("""COMPUTED_VALUE"""),4709312)</f>
        <v>4709312</v>
      </c>
      <c r="AR2517" s="17">
        <v>96</v>
      </c>
      <c r="AS2517" s="17">
        <v>65</v>
      </c>
      <c r="AT2517" s="17">
        <v>214.75</v>
      </c>
      <c r="AU2517" s="17">
        <v>0</v>
      </c>
      <c r="AV2517" s="17">
        <v>0</v>
      </c>
      <c r="AW2517" s="10" t="s">
        <v>105</v>
      </c>
      <c r="AX2517" s="17">
        <v>23</v>
      </c>
      <c r="AY2517" s="18">
        <v>3.3038461538461537</v>
      </c>
      <c r="AZ2517" s="10"/>
      <c r="BA2517" s="20" t="b">
        <v>0</v>
      </c>
      <c r="BB2517" s="29" t="s">
        <v>19076</v>
      </c>
      <c r="BC2517" s="17">
        <v>96</v>
      </c>
      <c r="BD2517" s="17">
        <v>65</v>
      </c>
      <c r="BE2517" s="17">
        <v>214.75</v>
      </c>
      <c r="BF2517" s="17">
        <v>0</v>
      </c>
      <c r="BG2517" s="11">
        <f ca="1">IFERROR(__xludf.DUMMYFUNCTION("""COMPUTED_VALUE"""),45970.2916666666)</f>
        <v>45970.291666666599</v>
      </c>
      <c r="BH2517" s="17" t="s">
        <v>105</v>
      </c>
      <c r="BI2517" s="17"/>
      <c r="BJ2517" s="15"/>
      <c r="BK2517" s="15"/>
      <c r="BL2517" s="13" t="b">
        <v>0</v>
      </c>
      <c r="BM2517" s="10"/>
      <c r="BN2517" s="10" t="s">
        <v>157</v>
      </c>
      <c r="BO2517" s="11">
        <v>45968.561805555553</v>
      </c>
      <c r="BP2517" s="11">
        <v>45968.562534722223</v>
      </c>
      <c r="BQ2517" s="15"/>
      <c r="BR2517" s="15">
        <v>45969.837187500001</v>
      </c>
      <c r="BS2517" s="10" t="s">
        <v>157</v>
      </c>
      <c r="BT2517" s="10"/>
      <c r="BU2517" s="10"/>
      <c r="BV2517" s="10"/>
      <c r="BW2517" s="10"/>
      <c r="BX2517" s="10"/>
      <c r="BY2517" s="23"/>
      <c r="BZ2517" s="23"/>
      <c r="CA2517" s="19" t="s">
        <v>9024</v>
      </c>
      <c r="CB2517" s="23"/>
      <c r="CC2517" s="23"/>
      <c r="CD2517" s="23"/>
      <c r="CE2517" s="23"/>
      <c r="CF2517" s="23"/>
      <c r="CG2517" s="23"/>
      <c r="CH2517" s="23"/>
      <c r="CI2517" s="23"/>
    </row>
    <row r="2518" spans="1:87" x14ac:dyDescent="0.3">
      <c r="A2518" s="9" t="s">
        <v>19084</v>
      </c>
      <c r="B2518" s="10" t="s">
        <v>19085</v>
      </c>
      <c r="C2518" s="11">
        <v>45970.3125</v>
      </c>
      <c r="D2518" s="12">
        <v>2.0833333333333332E-2</v>
      </c>
      <c r="E2518" s="11">
        <v>45970.333333333336</v>
      </c>
      <c r="F2518" s="10" t="s">
        <v>9016</v>
      </c>
      <c r="G2518" s="13" t="b">
        <v>0</v>
      </c>
      <c r="H2518" s="22" t="s">
        <v>9017</v>
      </c>
      <c r="I2518" s="10" t="s">
        <v>212</v>
      </c>
      <c r="J2518" s="13" t="b">
        <v>1</v>
      </c>
      <c r="K2518" s="13" t="b">
        <v>0</v>
      </c>
      <c r="L2518" s="10" t="s">
        <v>124</v>
      </c>
      <c r="M2518" s="10" t="s">
        <v>91</v>
      </c>
      <c r="N2518" s="10" t="s">
        <v>92</v>
      </c>
      <c r="O2518" s="19" t="s">
        <v>19086</v>
      </c>
      <c r="P2518" s="10"/>
      <c r="Q2518" s="10" t="s">
        <v>94</v>
      </c>
      <c r="R2518" s="10"/>
      <c r="S2518" s="19" t="s">
        <v>9019</v>
      </c>
      <c r="T2518" s="10"/>
      <c r="U2518" s="10"/>
      <c r="V2518" s="10"/>
      <c r="W2518" s="10" t="s">
        <v>9020</v>
      </c>
      <c r="X2518" s="10" t="s">
        <v>130</v>
      </c>
      <c r="Y2518" s="10" t="s">
        <v>130</v>
      </c>
      <c r="Z2518" s="10" t="s">
        <v>99</v>
      </c>
      <c r="AA2518" s="10" t="s">
        <v>131</v>
      </c>
      <c r="AB2518" s="10" t="s">
        <v>9021</v>
      </c>
      <c r="AC2518" s="10" t="s">
        <v>9022</v>
      </c>
      <c r="AD2518" s="10" t="s">
        <v>165</v>
      </c>
      <c r="AE2518" s="10" t="s">
        <v>19087</v>
      </c>
      <c r="AF2518" s="15"/>
      <c r="AG2518" s="10"/>
      <c r="AH2518" s="10"/>
      <c r="AI2518" s="10"/>
      <c r="AJ2518" s="10"/>
      <c r="AK2518" s="10" t="s">
        <v>102</v>
      </c>
      <c r="AL2518" s="10"/>
      <c r="AM2518" s="10"/>
      <c r="AN2518" s="10"/>
      <c r="AO2518" s="13" t="b">
        <v>0</v>
      </c>
      <c r="AP2518" s="22" t="s">
        <v>104</v>
      </c>
      <c r="AQ2518" s="10">
        <f ca="1">IFERROR(__xludf.DUMMYFUNCTION("""COMPUTED_VALUE"""),4709313)</f>
        <v>4709313</v>
      </c>
      <c r="AR2518" s="17">
        <v>87</v>
      </c>
      <c r="AS2518" s="17">
        <v>59</v>
      </c>
      <c r="AT2518" s="17">
        <v>273</v>
      </c>
      <c r="AU2518" s="17">
        <v>0</v>
      </c>
      <c r="AV2518" s="17">
        <v>0</v>
      </c>
      <c r="AW2518" s="10" t="s">
        <v>105</v>
      </c>
      <c r="AX2518" s="17">
        <v>26</v>
      </c>
      <c r="AY2518" s="18">
        <v>4.6271186440677967</v>
      </c>
      <c r="AZ2518" s="10"/>
      <c r="BA2518" s="20" t="b">
        <v>0</v>
      </c>
      <c r="BB2518" s="29" t="s">
        <v>19076</v>
      </c>
      <c r="BC2518" s="17">
        <v>87</v>
      </c>
      <c r="BD2518" s="17">
        <v>59</v>
      </c>
      <c r="BE2518" s="17">
        <v>273</v>
      </c>
      <c r="BF2518" s="17">
        <v>0</v>
      </c>
      <c r="BG2518" s="11">
        <f ca="1">IFERROR(__xludf.DUMMYFUNCTION("""COMPUTED_VALUE"""),45970.3125)</f>
        <v>45970.3125</v>
      </c>
      <c r="BH2518" s="17" t="s">
        <v>105</v>
      </c>
      <c r="BI2518" s="17"/>
      <c r="BJ2518" s="15"/>
      <c r="BK2518" s="15"/>
      <c r="BL2518" s="13" t="b">
        <v>0</v>
      </c>
      <c r="BM2518" s="10"/>
      <c r="BN2518" s="10" t="s">
        <v>157</v>
      </c>
      <c r="BO2518" s="11">
        <v>45968.5625</v>
      </c>
      <c r="BP2518" s="11">
        <v>45968.562719907408</v>
      </c>
      <c r="BQ2518" s="15"/>
      <c r="BR2518" s="15">
        <v>45969.837314814817</v>
      </c>
      <c r="BS2518" s="10" t="s">
        <v>157</v>
      </c>
      <c r="BT2518" s="10"/>
      <c r="BU2518" s="10"/>
      <c r="BV2518" s="10"/>
      <c r="BW2518" s="10"/>
      <c r="BX2518" s="10"/>
      <c r="BY2518" s="23"/>
      <c r="BZ2518" s="23"/>
      <c r="CA2518" s="19" t="s">
        <v>9024</v>
      </c>
      <c r="CB2518" s="23"/>
      <c r="CC2518" s="23"/>
      <c r="CD2518" s="23"/>
      <c r="CE2518" s="23"/>
      <c r="CF2518" s="23"/>
      <c r="CG2518" s="23"/>
      <c r="CH2518" s="23"/>
      <c r="CI2518" s="23"/>
    </row>
    <row r="2519" spans="1:87" x14ac:dyDescent="0.3">
      <c r="A2519" s="9" t="s">
        <v>19088</v>
      </c>
      <c r="B2519" s="10" t="s">
        <v>19089</v>
      </c>
      <c r="C2519" s="11">
        <v>45970.333333333336</v>
      </c>
      <c r="D2519" s="12">
        <v>2.0833333333333332E-2</v>
      </c>
      <c r="E2519" s="11">
        <v>45970.354166666664</v>
      </c>
      <c r="F2519" s="10" t="s">
        <v>9016</v>
      </c>
      <c r="G2519" s="13" t="b">
        <v>0</v>
      </c>
      <c r="H2519" s="22" t="s">
        <v>9017</v>
      </c>
      <c r="I2519" s="10" t="s">
        <v>212</v>
      </c>
      <c r="J2519" s="13" t="b">
        <v>1</v>
      </c>
      <c r="K2519" s="13" t="b">
        <v>0</v>
      </c>
      <c r="L2519" s="10" t="s">
        <v>124</v>
      </c>
      <c r="M2519" s="10" t="s">
        <v>91</v>
      </c>
      <c r="N2519" s="10" t="s">
        <v>92</v>
      </c>
      <c r="O2519" s="19" t="s">
        <v>19090</v>
      </c>
      <c r="P2519" s="10"/>
      <c r="Q2519" s="10" t="s">
        <v>94</v>
      </c>
      <c r="R2519" s="10"/>
      <c r="S2519" s="19" t="s">
        <v>9019</v>
      </c>
      <c r="T2519" s="10"/>
      <c r="U2519" s="10"/>
      <c r="V2519" s="10"/>
      <c r="W2519" s="10" t="s">
        <v>9020</v>
      </c>
      <c r="X2519" s="10" t="s">
        <v>130</v>
      </c>
      <c r="Y2519" s="10" t="s">
        <v>130</v>
      </c>
      <c r="Z2519" s="10" t="s">
        <v>99</v>
      </c>
      <c r="AA2519" s="10" t="s">
        <v>131</v>
      </c>
      <c r="AB2519" s="10" t="s">
        <v>9021</v>
      </c>
      <c r="AC2519" s="10" t="s">
        <v>9022</v>
      </c>
      <c r="AD2519" s="10" t="s">
        <v>165</v>
      </c>
      <c r="AE2519" s="10" t="s">
        <v>19091</v>
      </c>
      <c r="AF2519" s="15"/>
      <c r="AG2519" s="10"/>
      <c r="AH2519" s="10"/>
      <c r="AI2519" s="10"/>
      <c r="AJ2519" s="10"/>
      <c r="AK2519" s="10" t="s">
        <v>102</v>
      </c>
      <c r="AL2519" s="10"/>
      <c r="AM2519" s="10"/>
      <c r="AN2519" s="10"/>
      <c r="AO2519" s="13" t="b">
        <v>0</v>
      </c>
      <c r="AP2519" s="22" t="s">
        <v>104</v>
      </c>
      <c r="AQ2519" s="10">
        <f ca="1">IFERROR(__xludf.DUMMYFUNCTION("""COMPUTED_VALUE"""),4709315)</f>
        <v>4709315</v>
      </c>
      <c r="AR2519" s="17">
        <v>114</v>
      </c>
      <c r="AS2519" s="17">
        <v>69</v>
      </c>
      <c r="AT2519" s="17">
        <v>462.5</v>
      </c>
      <c r="AU2519" s="17">
        <v>0</v>
      </c>
      <c r="AV2519" s="17">
        <v>0</v>
      </c>
      <c r="AW2519" s="10" t="s">
        <v>105</v>
      </c>
      <c r="AX2519" s="17">
        <v>30</v>
      </c>
      <c r="AY2519" s="18">
        <v>6.7028985507246377</v>
      </c>
      <c r="AZ2519" s="10"/>
      <c r="BA2519" s="20" t="b">
        <v>0</v>
      </c>
      <c r="BB2519" s="29" t="s">
        <v>19076</v>
      </c>
      <c r="BC2519" s="17">
        <v>114</v>
      </c>
      <c r="BD2519" s="17">
        <v>69</v>
      </c>
      <c r="BE2519" s="17">
        <v>462.5</v>
      </c>
      <c r="BF2519" s="17">
        <v>0</v>
      </c>
      <c r="BG2519" s="11">
        <f ca="1">IFERROR(__xludf.DUMMYFUNCTION("""COMPUTED_VALUE"""),45970.3333333333)</f>
        <v>45970.333333333299</v>
      </c>
      <c r="BH2519" s="17" t="s">
        <v>105</v>
      </c>
      <c r="BI2519" s="17"/>
      <c r="BJ2519" s="15"/>
      <c r="BK2519" s="15"/>
      <c r="BL2519" s="13" t="b">
        <v>0</v>
      </c>
      <c r="BM2519" s="10"/>
      <c r="BN2519" s="10" t="s">
        <v>157</v>
      </c>
      <c r="BO2519" s="11">
        <v>45968.5625</v>
      </c>
      <c r="BP2519" s="11">
        <v>45968.562847222223</v>
      </c>
      <c r="BQ2519" s="15"/>
      <c r="BR2519" s="15">
        <v>45969.837523148148</v>
      </c>
      <c r="BS2519" s="10" t="s">
        <v>157</v>
      </c>
      <c r="BT2519" s="10"/>
      <c r="BU2519" s="10"/>
      <c r="BV2519" s="10"/>
      <c r="BW2519" s="10"/>
      <c r="BX2519" s="10"/>
      <c r="BY2519" s="23"/>
      <c r="BZ2519" s="23"/>
      <c r="CA2519" s="19" t="s">
        <v>9024</v>
      </c>
      <c r="CB2519" s="23"/>
      <c r="CC2519" s="23"/>
      <c r="CD2519" s="23"/>
      <c r="CE2519" s="23"/>
      <c r="CF2519" s="23"/>
      <c r="CG2519" s="23"/>
      <c r="CH2519" s="23"/>
      <c r="CI2519" s="23"/>
    </row>
    <row r="2520" spans="1:87" x14ac:dyDescent="0.3">
      <c r="A2520" s="9" t="s">
        <v>19092</v>
      </c>
      <c r="B2520" s="10" t="s">
        <v>19093</v>
      </c>
      <c r="C2520" s="11">
        <v>45970.354166666664</v>
      </c>
      <c r="D2520" s="12">
        <v>2.0833333333333332E-2</v>
      </c>
      <c r="E2520" s="11">
        <v>45970.375</v>
      </c>
      <c r="F2520" s="10" t="s">
        <v>9016</v>
      </c>
      <c r="G2520" s="13" t="b">
        <v>0</v>
      </c>
      <c r="H2520" s="22" t="s">
        <v>9017</v>
      </c>
      <c r="I2520" s="10" t="s">
        <v>212</v>
      </c>
      <c r="J2520" s="13" t="b">
        <v>1</v>
      </c>
      <c r="K2520" s="13" t="b">
        <v>0</v>
      </c>
      <c r="L2520" s="10" t="s">
        <v>124</v>
      </c>
      <c r="M2520" s="10" t="s">
        <v>91</v>
      </c>
      <c r="N2520" s="10" t="s">
        <v>92</v>
      </c>
      <c r="O2520" s="19" t="s">
        <v>19094</v>
      </c>
      <c r="P2520" s="10"/>
      <c r="Q2520" s="10" t="s">
        <v>94</v>
      </c>
      <c r="R2520" s="10"/>
      <c r="S2520" s="19" t="s">
        <v>9019</v>
      </c>
      <c r="T2520" s="10"/>
      <c r="U2520" s="10"/>
      <c r="V2520" s="10"/>
      <c r="W2520" s="10" t="s">
        <v>9020</v>
      </c>
      <c r="X2520" s="10" t="s">
        <v>130</v>
      </c>
      <c r="Y2520" s="10" t="s">
        <v>130</v>
      </c>
      <c r="Z2520" s="10" t="s">
        <v>99</v>
      </c>
      <c r="AA2520" s="10" t="s">
        <v>131</v>
      </c>
      <c r="AB2520" s="10" t="s">
        <v>9021</v>
      </c>
      <c r="AC2520" s="10" t="s">
        <v>9022</v>
      </c>
      <c r="AD2520" s="10" t="s">
        <v>165</v>
      </c>
      <c r="AE2520" s="10" t="s">
        <v>19095</v>
      </c>
      <c r="AF2520" s="15"/>
      <c r="AG2520" s="10"/>
      <c r="AH2520" s="10"/>
      <c r="AI2520" s="10"/>
      <c r="AJ2520" s="10"/>
      <c r="AK2520" s="10" t="s">
        <v>102</v>
      </c>
      <c r="AL2520" s="10"/>
      <c r="AM2520" s="10"/>
      <c r="AN2520" s="10"/>
      <c r="AO2520" s="13" t="b">
        <v>0</v>
      </c>
      <c r="AP2520" s="22" t="s">
        <v>104</v>
      </c>
      <c r="AQ2520" s="10">
        <f ca="1">IFERROR(__xludf.DUMMYFUNCTION("""COMPUTED_VALUE"""),4709317)</f>
        <v>4709317</v>
      </c>
      <c r="AR2520" s="17">
        <v>88</v>
      </c>
      <c r="AS2520" s="17">
        <v>67</v>
      </c>
      <c r="AT2520" s="17">
        <v>351.5</v>
      </c>
      <c r="AU2520" s="17">
        <v>0</v>
      </c>
      <c r="AV2520" s="17">
        <v>0</v>
      </c>
      <c r="AW2520" s="10" t="s">
        <v>105</v>
      </c>
      <c r="AX2520" s="17">
        <v>37</v>
      </c>
      <c r="AY2520" s="18">
        <v>5.2462686567164178</v>
      </c>
      <c r="AZ2520" s="10"/>
      <c r="BA2520" s="20" t="b">
        <v>0</v>
      </c>
      <c r="BB2520" s="29" t="s">
        <v>19076</v>
      </c>
      <c r="BC2520" s="17">
        <v>88</v>
      </c>
      <c r="BD2520" s="17">
        <v>67</v>
      </c>
      <c r="BE2520" s="17">
        <v>351.5</v>
      </c>
      <c r="BF2520" s="17">
        <v>0</v>
      </c>
      <c r="BG2520" s="11">
        <f ca="1">IFERROR(__xludf.DUMMYFUNCTION("""COMPUTED_VALUE"""),45970.3541666666)</f>
        <v>45970.354166666599</v>
      </c>
      <c r="BH2520" s="17" t="s">
        <v>105</v>
      </c>
      <c r="BI2520" s="17"/>
      <c r="BJ2520" s="15"/>
      <c r="BK2520" s="15"/>
      <c r="BL2520" s="13" t="b">
        <v>0</v>
      </c>
      <c r="BM2520" s="10"/>
      <c r="BN2520" s="10" t="s">
        <v>157</v>
      </c>
      <c r="BO2520" s="11">
        <v>45968.5625</v>
      </c>
      <c r="BP2520" s="11">
        <v>45968.562939814816</v>
      </c>
      <c r="BQ2520" s="15"/>
      <c r="BR2520" s="15">
        <v>45969.837673611109</v>
      </c>
      <c r="BS2520" s="10" t="s">
        <v>157</v>
      </c>
      <c r="BT2520" s="10"/>
      <c r="BU2520" s="10"/>
      <c r="BV2520" s="10"/>
      <c r="BW2520" s="10"/>
      <c r="BX2520" s="10"/>
      <c r="BY2520" s="23"/>
      <c r="BZ2520" s="23"/>
      <c r="CA2520" s="19" t="s">
        <v>9024</v>
      </c>
      <c r="CB2520" s="23"/>
      <c r="CC2520" s="23"/>
      <c r="CD2520" s="23"/>
      <c r="CE2520" s="23"/>
      <c r="CF2520" s="23"/>
      <c r="CG2520" s="23"/>
      <c r="CH2520" s="23"/>
      <c r="CI2520" s="23"/>
    </row>
    <row r="2521" spans="1:87" x14ac:dyDescent="0.3">
      <c r="A2521" s="9" t="s">
        <v>19096</v>
      </c>
      <c r="B2521" s="10" t="s">
        <v>19097</v>
      </c>
      <c r="C2521" s="11">
        <v>45970.375</v>
      </c>
      <c r="D2521" s="12">
        <v>2.0833333333333332E-2</v>
      </c>
      <c r="E2521" s="11">
        <v>45970.395833333336</v>
      </c>
      <c r="F2521" s="10" t="s">
        <v>9016</v>
      </c>
      <c r="G2521" s="13" t="b">
        <v>0</v>
      </c>
      <c r="H2521" s="22" t="s">
        <v>9017</v>
      </c>
      <c r="I2521" s="10" t="s">
        <v>212</v>
      </c>
      <c r="J2521" s="13" t="b">
        <v>1</v>
      </c>
      <c r="K2521" s="13" t="b">
        <v>0</v>
      </c>
      <c r="L2521" s="10" t="s">
        <v>124</v>
      </c>
      <c r="M2521" s="10" t="s">
        <v>91</v>
      </c>
      <c r="N2521" s="10" t="s">
        <v>92</v>
      </c>
      <c r="O2521" s="19" t="s">
        <v>19098</v>
      </c>
      <c r="P2521" s="10"/>
      <c r="Q2521" s="10" t="s">
        <v>94</v>
      </c>
      <c r="R2521" s="10"/>
      <c r="S2521" s="19" t="s">
        <v>9019</v>
      </c>
      <c r="T2521" s="10"/>
      <c r="U2521" s="10"/>
      <c r="V2521" s="10"/>
      <c r="W2521" s="10" t="s">
        <v>9020</v>
      </c>
      <c r="X2521" s="10" t="s">
        <v>130</v>
      </c>
      <c r="Y2521" s="10" t="s">
        <v>130</v>
      </c>
      <c r="Z2521" s="10" t="s">
        <v>99</v>
      </c>
      <c r="AA2521" s="10" t="s">
        <v>131</v>
      </c>
      <c r="AB2521" s="10" t="s">
        <v>9021</v>
      </c>
      <c r="AC2521" s="10" t="s">
        <v>9022</v>
      </c>
      <c r="AD2521" s="10" t="s">
        <v>165</v>
      </c>
      <c r="AE2521" s="10" t="s">
        <v>19099</v>
      </c>
      <c r="AF2521" s="15"/>
      <c r="AG2521" s="10"/>
      <c r="AH2521" s="10"/>
      <c r="AI2521" s="10"/>
      <c r="AJ2521" s="10"/>
      <c r="AK2521" s="10" t="s">
        <v>102</v>
      </c>
      <c r="AL2521" s="10"/>
      <c r="AM2521" s="10"/>
      <c r="AN2521" s="10"/>
      <c r="AO2521" s="13" t="b">
        <v>0</v>
      </c>
      <c r="AP2521" s="22" t="s">
        <v>104</v>
      </c>
      <c r="AQ2521" s="10">
        <f ca="1">IFERROR(__xludf.DUMMYFUNCTION("""COMPUTED_VALUE"""),4709318)</f>
        <v>4709318</v>
      </c>
      <c r="AR2521" s="17">
        <v>75</v>
      </c>
      <c r="AS2521" s="17">
        <v>58</v>
      </c>
      <c r="AT2521" s="17">
        <v>471.25</v>
      </c>
      <c r="AU2521" s="17">
        <v>0</v>
      </c>
      <c r="AV2521" s="17">
        <v>0</v>
      </c>
      <c r="AW2521" s="10" t="s">
        <v>105</v>
      </c>
      <c r="AX2521" s="17">
        <v>32</v>
      </c>
      <c r="AY2521" s="18">
        <v>8.125</v>
      </c>
      <c r="AZ2521" s="10"/>
      <c r="BA2521" s="20" t="b">
        <v>0</v>
      </c>
      <c r="BB2521" s="29" t="s">
        <v>19076</v>
      </c>
      <c r="BC2521" s="17">
        <v>75</v>
      </c>
      <c r="BD2521" s="17">
        <v>58</v>
      </c>
      <c r="BE2521" s="17">
        <v>471.25</v>
      </c>
      <c r="BF2521" s="17">
        <v>0</v>
      </c>
      <c r="BG2521" s="11">
        <f ca="1">IFERROR(__xludf.DUMMYFUNCTION("""COMPUTED_VALUE"""),45970.375)</f>
        <v>45970.375</v>
      </c>
      <c r="BH2521" s="17" t="s">
        <v>105</v>
      </c>
      <c r="BI2521" s="17"/>
      <c r="BJ2521" s="15"/>
      <c r="BK2521" s="15"/>
      <c r="BL2521" s="13" t="b">
        <v>0</v>
      </c>
      <c r="BM2521" s="10"/>
      <c r="BN2521" s="10" t="s">
        <v>157</v>
      </c>
      <c r="BO2521" s="11">
        <v>45968.5625</v>
      </c>
      <c r="BP2521" s="11">
        <v>45968.563055555554</v>
      </c>
      <c r="BQ2521" s="15"/>
      <c r="BR2521" s="15">
        <v>45969.837858796294</v>
      </c>
      <c r="BS2521" s="10" t="s">
        <v>157</v>
      </c>
      <c r="BT2521" s="10"/>
      <c r="BU2521" s="10"/>
      <c r="BV2521" s="10"/>
      <c r="BW2521" s="10"/>
      <c r="BX2521" s="10"/>
      <c r="BY2521" s="23"/>
      <c r="BZ2521" s="23"/>
      <c r="CA2521" s="19" t="s">
        <v>9024</v>
      </c>
      <c r="CB2521" s="23"/>
      <c r="CC2521" s="23"/>
      <c r="CD2521" s="23"/>
      <c r="CE2521" s="23"/>
      <c r="CF2521" s="23"/>
      <c r="CG2521" s="23"/>
      <c r="CH2521" s="23"/>
      <c r="CI2521" s="23"/>
    </row>
    <row r="2522" spans="1:87" x14ac:dyDescent="0.3">
      <c r="A2522" s="9" t="s">
        <v>19100</v>
      </c>
      <c r="B2522" s="10" t="s">
        <v>19101</v>
      </c>
      <c r="C2522" s="11">
        <v>45970.395833333336</v>
      </c>
      <c r="D2522" s="12">
        <v>2.0833333333333332E-2</v>
      </c>
      <c r="E2522" s="11">
        <v>45970.416666666664</v>
      </c>
      <c r="F2522" s="10" t="s">
        <v>9016</v>
      </c>
      <c r="G2522" s="13" t="b">
        <v>0</v>
      </c>
      <c r="H2522" s="22" t="s">
        <v>9017</v>
      </c>
      <c r="I2522" s="10" t="s">
        <v>212</v>
      </c>
      <c r="J2522" s="13" t="b">
        <v>1</v>
      </c>
      <c r="K2522" s="13" t="b">
        <v>0</v>
      </c>
      <c r="L2522" s="10" t="s">
        <v>124</v>
      </c>
      <c r="M2522" s="10" t="s">
        <v>91</v>
      </c>
      <c r="N2522" s="10" t="s">
        <v>92</v>
      </c>
      <c r="O2522" s="19" t="s">
        <v>19102</v>
      </c>
      <c r="P2522" s="10"/>
      <c r="Q2522" s="10" t="s">
        <v>94</v>
      </c>
      <c r="R2522" s="10"/>
      <c r="S2522" s="19" t="s">
        <v>9019</v>
      </c>
      <c r="T2522" s="10"/>
      <c r="U2522" s="10"/>
      <c r="V2522" s="10"/>
      <c r="W2522" s="10" t="s">
        <v>9020</v>
      </c>
      <c r="X2522" s="10" t="s">
        <v>130</v>
      </c>
      <c r="Y2522" s="10" t="s">
        <v>130</v>
      </c>
      <c r="Z2522" s="10" t="s">
        <v>99</v>
      </c>
      <c r="AA2522" s="10" t="s">
        <v>131</v>
      </c>
      <c r="AB2522" s="10" t="s">
        <v>9021</v>
      </c>
      <c r="AC2522" s="10" t="s">
        <v>9022</v>
      </c>
      <c r="AD2522" s="10" t="s">
        <v>165</v>
      </c>
      <c r="AE2522" s="10" t="s">
        <v>19103</v>
      </c>
      <c r="AF2522" s="15"/>
      <c r="AG2522" s="10"/>
      <c r="AH2522" s="10"/>
      <c r="AI2522" s="10"/>
      <c r="AJ2522" s="10"/>
      <c r="AK2522" s="10" t="s">
        <v>102</v>
      </c>
      <c r="AL2522" s="10"/>
      <c r="AM2522" s="10"/>
      <c r="AN2522" s="10"/>
      <c r="AO2522" s="13" t="b">
        <v>0</v>
      </c>
      <c r="AP2522" s="22" t="s">
        <v>104</v>
      </c>
      <c r="AQ2522" s="10">
        <f ca="1">IFERROR(__xludf.DUMMYFUNCTION("""COMPUTED_VALUE"""),4709319)</f>
        <v>4709319</v>
      </c>
      <c r="AR2522" s="17">
        <v>109</v>
      </c>
      <c r="AS2522" s="17">
        <v>82</v>
      </c>
      <c r="AT2522" s="17">
        <v>513.25</v>
      </c>
      <c r="AU2522" s="17">
        <v>0</v>
      </c>
      <c r="AV2522" s="17">
        <v>0</v>
      </c>
      <c r="AW2522" s="10" t="s">
        <v>105</v>
      </c>
      <c r="AX2522" s="17">
        <v>42</v>
      </c>
      <c r="AY2522" s="18">
        <v>6.2591463414634143</v>
      </c>
      <c r="AZ2522" s="10"/>
      <c r="BA2522" s="20" t="b">
        <v>0</v>
      </c>
      <c r="BB2522" s="29" t="s">
        <v>19076</v>
      </c>
      <c r="BC2522" s="17">
        <v>109</v>
      </c>
      <c r="BD2522" s="17">
        <v>82</v>
      </c>
      <c r="BE2522" s="17">
        <v>513.25</v>
      </c>
      <c r="BF2522" s="17">
        <v>0</v>
      </c>
      <c r="BG2522" s="11">
        <f ca="1">IFERROR(__xludf.DUMMYFUNCTION("""COMPUTED_VALUE"""),45970.3958333333)</f>
        <v>45970.395833333299</v>
      </c>
      <c r="BH2522" s="17" t="s">
        <v>105</v>
      </c>
      <c r="BI2522" s="17"/>
      <c r="BJ2522" s="15"/>
      <c r="BK2522" s="15"/>
      <c r="BL2522" s="13" t="b">
        <v>0</v>
      </c>
      <c r="BM2522" s="10"/>
      <c r="BN2522" s="10" t="s">
        <v>157</v>
      </c>
      <c r="BO2522" s="11">
        <v>45968.5625</v>
      </c>
      <c r="BP2522" s="11">
        <v>45968.563136574077</v>
      </c>
      <c r="BQ2522" s="15"/>
      <c r="BR2522" s="15">
        <v>45969.838009259256</v>
      </c>
      <c r="BS2522" s="10" t="s">
        <v>157</v>
      </c>
      <c r="BT2522" s="10"/>
      <c r="BU2522" s="10"/>
      <c r="BV2522" s="10"/>
      <c r="BW2522" s="10"/>
      <c r="BX2522" s="10"/>
      <c r="BY2522" s="23"/>
      <c r="BZ2522" s="23"/>
      <c r="CA2522" s="19" t="s">
        <v>9024</v>
      </c>
      <c r="CB2522" s="23"/>
      <c r="CC2522" s="23"/>
      <c r="CD2522" s="23"/>
      <c r="CE2522" s="23"/>
      <c r="CF2522" s="23"/>
      <c r="CG2522" s="23"/>
      <c r="CH2522" s="23"/>
      <c r="CI2522" s="23"/>
    </row>
    <row r="2523" spans="1:87" x14ac:dyDescent="0.3">
      <c r="A2523" s="9" t="s">
        <v>19104</v>
      </c>
      <c r="B2523" s="10" t="s">
        <v>19105</v>
      </c>
      <c r="C2523" s="11">
        <v>45970.416666666664</v>
      </c>
      <c r="D2523" s="12">
        <v>2.0833333333333332E-2</v>
      </c>
      <c r="E2523" s="11">
        <v>45970.4375</v>
      </c>
      <c r="F2523" s="10" t="s">
        <v>9016</v>
      </c>
      <c r="G2523" s="13" t="b">
        <v>0</v>
      </c>
      <c r="H2523" s="22" t="s">
        <v>9017</v>
      </c>
      <c r="I2523" s="10" t="s">
        <v>212</v>
      </c>
      <c r="J2523" s="13" t="b">
        <v>1</v>
      </c>
      <c r="K2523" s="13" t="b">
        <v>0</v>
      </c>
      <c r="L2523" s="10" t="s">
        <v>124</v>
      </c>
      <c r="M2523" s="10" t="s">
        <v>91</v>
      </c>
      <c r="N2523" s="10" t="s">
        <v>92</v>
      </c>
      <c r="O2523" s="19" t="s">
        <v>19106</v>
      </c>
      <c r="P2523" s="10"/>
      <c r="Q2523" s="10" t="s">
        <v>94</v>
      </c>
      <c r="R2523" s="10"/>
      <c r="S2523" s="19" t="s">
        <v>9019</v>
      </c>
      <c r="T2523" s="10"/>
      <c r="U2523" s="10"/>
      <c r="V2523" s="10"/>
      <c r="W2523" s="10" t="s">
        <v>9020</v>
      </c>
      <c r="X2523" s="10" t="s">
        <v>130</v>
      </c>
      <c r="Y2523" s="10" t="s">
        <v>130</v>
      </c>
      <c r="Z2523" s="10" t="s">
        <v>99</v>
      </c>
      <c r="AA2523" s="10" t="s">
        <v>131</v>
      </c>
      <c r="AB2523" s="10" t="s">
        <v>9021</v>
      </c>
      <c r="AC2523" s="10" t="s">
        <v>9022</v>
      </c>
      <c r="AD2523" s="10" t="s">
        <v>165</v>
      </c>
      <c r="AE2523" s="10" t="s">
        <v>19107</v>
      </c>
      <c r="AF2523" s="15"/>
      <c r="AG2523" s="10"/>
      <c r="AH2523" s="10"/>
      <c r="AI2523" s="10"/>
      <c r="AJ2523" s="10"/>
      <c r="AK2523" s="10" t="s">
        <v>102</v>
      </c>
      <c r="AL2523" s="10"/>
      <c r="AM2523" s="10"/>
      <c r="AN2523" s="10"/>
      <c r="AO2523" s="13" t="b">
        <v>0</v>
      </c>
      <c r="AP2523" s="22" t="s">
        <v>104</v>
      </c>
      <c r="AQ2523" s="10">
        <f ca="1">IFERROR(__xludf.DUMMYFUNCTION("""COMPUTED_VALUE"""),4709320)</f>
        <v>4709320</v>
      </c>
      <c r="AR2523" s="17">
        <v>135</v>
      </c>
      <c r="AS2523" s="17">
        <v>97</v>
      </c>
      <c r="AT2523" s="17">
        <v>444.75</v>
      </c>
      <c r="AU2523" s="17">
        <v>0</v>
      </c>
      <c r="AV2523" s="17">
        <v>0</v>
      </c>
      <c r="AW2523" s="10" t="s">
        <v>105</v>
      </c>
      <c r="AX2523" s="17">
        <v>48</v>
      </c>
      <c r="AY2523" s="18">
        <v>4.5850515463917523</v>
      </c>
      <c r="AZ2523" s="10"/>
      <c r="BA2523" s="20" t="b">
        <v>0</v>
      </c>
      <c r="BB2523" s="29" t="s">
        <v>19076</v>
      </c>
      <c r="BC2523" s="17">
        <v>135</v>
      </c>
      <c r="BD2523" s="17">
        <v>97</v>
      </c>
      <c r="BE2523" s="17">
        <v>444.75</v>
      </c>
      <c r="BF2523" s="17">
        <v>0</v>
      </c>
      <c r="BG2523" s="11">
        <f ca="1">IFERROR(__xludf.DUMMYFUNCTION("""COMPUTED_VALUE"""),45970.4166666666)</f>
        <v>45970.416666666599</v>
      </c>
      <c r="BH2523" s="17" t="s">
        <v>105</v>
      </c>
      <c r="BI2523" s="17"/>
      <c r="BJ2523" s="15"/>
      <c r="BK2523" s="15"/>
      <c r="BL2523" s="13" t="b">
        <v>0</v>
      </c>
      <c r="BM2523" s="10"/>
      <c r="BN2523" s="10" t="s">
        <v>157</v>
      </c>
      <c r="BO2523" s="11">
        <v>45968.563194444447</v>
      </c>
      <c r="BP2523" s="11">
        <v>45968.563240740739</v>
      </c>
      <c r="BQ2523" s="15"/>
      <c r="BR2523" s="15">
        <v>45969.838252314818</v>
      </c>
      <c r="BS2523" s="10" t="s">
        <v>157</v>
      </c>
      <c r="BT2523" s="10"/>
      <c r="BU2523" s="10"/>
      <c r="BV2523" s="10"/>
      <c r="BW2523" s="10"/>
      <c r="BX2523" s="10"/>
      <c r="BY2523" s="23"/>
      <c r="BZ2523" s="23"/>
      <c r="CA2523" s="19" t="s">
        <v>9024</v>
      </c>
      <c r="CB2523" s="23"/>
      <c r="CC2523" s="23"/>
      <c r="CD2523" s="23"/>
      <c r="CE2523" s="23"/>
      <c r="CF2523" s="23"/>
      <c r="CG2523" s="23"/>
      <c r="CH2523" s="23"/>
      <c r="CI2523" s="23"/>
    </row>
    <row r="2524" spans="1:87" x14ac:dyDescent="0.3">
      <c r="A2524" s="9" t="s">
        <v>19108</v>
      </c>
      <c r="B2524" s="10" t="s">
        <v>19109</v>
      </c>
      <c r="C2524" s="11">
        <v>45970.4375</v>
      </c>
      <c r="D2524" s="12">
        <v>2.0833333333333332E-2</v>
      </c>
      <c r="E2524" s="11">
        <v>45970.458333333336</v>
      </c>
      <c r="F2524" s="10" t="s">
        <v>9016</v>
      </c>
      <c r="G2524" s="13" t="b">
        <v>0</v>
      </c>
      <c r="H2524" s="22" t="s">
        <v>9017</v>
      </c>
      <c r="I2524" s="10" t="s">
        <v>212</v>
      </c>
      <c r="J2524" s="13" t="b">
        <v>1</v>
      </c>
      <c r="K2524" s="13" t="b">
        <v>0</v>
      </c>
      <c r="L2524" s="10" t="s">
        <v>124</v>
      </c>
      <c r="M2524" s="10" t="s">
        <v>91</v>
      </c>
      <c r="N2524" s="10" t="s">
        <v>92</v>
      </c>
      <c r="O2524" s="19" t="s">
        <v>19110</v>
      </c>
      <c r="P2524" s="10"/>
      <c r="Q2524" s="10" t="s">
        <v>94</v>
      </c>
      <c r="R2524" s="10"/>
      <c r="S2524" s="19" t="s">
        <v>9019</v>
      </c>
      <c r="T2524" s="10"/>
      <c r="U2524" s="10"/>
      <c r="V2524" s="10"/>
      <c r="W2524" s="10" t="s">
        <v>9020</v>
      </c>
      <c r="X2524" s="10" t="s">
        <v>130</v>
      </c>
      <c r="Y2524" s="10" t="s">
        <v>130</v>
      </c>
      <c r="Z2524" s="10" t="s">
        <v>99</v>
      </c>
      <c r="AA2524" s="10" t="s">
        <v>131</v>
      </c>
      <c r="AB2524" s="10" t="s">
        <v>9021</v>
      </c>
      <c r="AC2524" s="10" t="s">
        <v>9022</v>
      </c>
      <c r="AD2524" s="10" t="s">
        <v>165</v>
      </c>
      <c r="AE2524" s="10" t="s">
        <v>19111</v>
      </c>
      <c r="AF2524" s="15"/>
      <c r="AG2524" s="10"/>
      <c r="AH2524" s="10"/>
      <c r="AI2524" s="10"/>
      <c r="AJ2524" s="10"/>
      <c r="AK2524" s="10" t="s">
        <v>102</v>
      </c>
      <c r="AL2524" s="10"/>
      <c r="AM2524" s="10"/>
      <c r="AN2524" s="10"/>
      <c r="AO2524" s="13" t="b">
        <v>0</v>
      </c>
      <c r="AP2524" s="22" t="s">
        <v>104</v>
      </c>
      <c r="AQ2524" s="10">
        <f ca="1">IFERROR(__xludf.DUMMYFUNCTION("""COMPUTED_VALUE"""),4709322)</f>
        <v>4709322</v>
      </c>
      <c r="AR2524" s="17">
        <v>107</v>
      </c>
      <c r="AS2524" s="17">
        <v>78</v>
      </c>
      <c r="AT2524" s="17">
        <v>574.5</v>
      </c>
      <c r="AU2524" s="17">
        <v>0</v>
      </c>
      <c r="AV2524" s="17">
        <v>0</v>
      </c>
      <c r="AW2524" s="10" t="s">
        <v>105</v>
      </c>
      <c r="AX2524" s="17">
        <v>38</v>
      </c>
      <c r="AY2524" s="18">
        <v>7.365384615384615</v>
      </c>
      <c r="AZ2524" s="10"/>
      <c r="BA2524" s="20" t="b">
        <v>0</v>
      </c>
      <c r="BB2524" s="29" t="s">
        <v>19076</v>
      </c>
      <c r="BC2524" s="17">
        <v>107</v>
      </c>
      <c r="BD2524" s="17">
        <v>78</v>
      </c>
      <c r="BE2524" s="17">
        <v>574.5</v>
      </c>
      <c r="BF2524" s="17">
        <v>0</v>
      </c>
      <c r="BG2524" s="11">
        <f ca="1">IFERROR(__xludf.DUMMYFUNCTION("""COMPUTED_VALUE"""),45970.4375)</f>
        <v>45970.4375</v>
      </c>
      <c r="BH2524" s="17" t="s">
        <v>105</v>
      </c>
      <c r="BI2524" s="17"/>
      <c r="BJ2524" s="15"/>
      <c r="BK2524" s="15"/>
      <c r="BL2524" s="13" t="b">
        <v>0</v>
      </c>
      <c r="BM2524" s="10"/>
      <c r="BN2524" s="10" t="s">
        <v>157</v>
      </c>
      <c r="BO2524" s="11">
        <v>45968.563194444447</v>
      </c>
      <c r="BP2524" s="11">
        <v>45968.563344907408</v>
      </c>
      <c r="BQ2524" s="15"/>
      <c r="BR2524" s="15">
        <v>45969.838553240741</v>
      </c>
      <c r="BS2524" s="10" t="s">
        <v>157</v>
      </c>
      <c r="BT2524" s="10"/>
      <c r="BU2524" s="10"/>
      <c r="BV2524" s="10"/>
      <c r="BW2524" s="10"/>
      <c r="BX2524" s="10"/>
      <c r="BY2524" s="23"/>
      <c r="BZ2524" s="23"/>
      <c r="CA2524" s="19" t="s">
        <v>9024</v>
      </c>
      <c r="CB2524" s="23"/>
      <c r="CC2524" s="23"/>
      <c r="CD2524" s="23"/>
      <c r="CE2524" s="23"/>
      <c r="CF2524" s="23"/>
      <c r="CG2524" s="23"/>
      <c r="CH2524" s="23"/>
      <c r="CI2524" s="23"/>
    </row>
    <row r="2525" spans="1:87" x14ac:dyDescent="0.3">
      <c r="A2525" s="9" t="s">
        <v>19112</v>
      </c>
      <c r="B2525" s="10" t="s">
        <v>19113</v>
      </c>
      <c r="C2525" s="11">
        <v>45970.458333333336</v>
      </c>
      <c r="D2525" s="12">
        <v>2.0833333333333332E-2</v>
      </c>
      <c r="E2525" s="11">
        <v>45970.479166666664</v>
      </c>
      <c r="F2525" s="10" t="s">
        <v>9016</v>
      </c>
      <c r="G2525" s="13" t="b">
        <v>0</v>
      </c>
      <c r="H2525" s="22" t="s">
        <v>9017</v>
      </c>
      <c r="I2525" s="10" t="s">
        <v>212</v>
      </c>
      <c r="J2525" s="13" t="b">
        <v>1</v>
      </c>
      <c r="K2525" s="13" t="b">
        <v>0</v>
      </c>
      <c r="L2525" s="10" t="s">
        <v>124</v>
      </c>
      <c r="M2525" s="10" t="s">
        <v>91</v>
      </c>
      <c r="N2525" s="10" t="s">
        <v>92</v>
      </c>
      <c r="O2525" s="19" t="s">
        <v>19114</v>
      </c>
      <c r="P2525" s="10"/>
      <c r="Q2525" s="10" t="s">
        <v>94</v>
      </c>
      <c r="R2525" s="10"/>
      <c r="S2525" s="19" t="s">
        <v>9019</v>
      </c>
      <c r="T2525" s="10"/>
      <c r="U2525" s="10"/>
      <c r="V2525" s="10"/>
      <c r="W2525" s="10" t="s">
        <v>9020</v>
      </c>
      <c r="X2525" s="10" t="s">
        <v>130</v>
      </c>
      <c r="Y2525" s="10" t="s">
        <v>130</v>
      </c>
      <c r="Z2525" s="10" t="s">
        <v>99</v>
      </c>
      <c r="AA2525" s="10" t="s">
        <v>131</v>
      </c>
      <c r="AB2525" s="10" t="s">
        <v>9021</v>
      </c>
      <c r="AC2525" s="10" t="s">
        <v>9022</v>
      </c>
      <c r="AD2525" s="10" t="s">
        <v>165</v>
      </c>
      <c r="AE2525" s="10" t="s">
        <v>19115</v>
      </c>
      <c r="AF2525" s="15"/>
      <c r="AG2525" s="10"/>
      <c r="AH2525" s="10"/>
      <c r="AI2525" s="10"/>
      <c r="AJ2525" s="10"/>
      <c r="AK2525" s="10" t="s">
        <v>102</v>
      </c>
      <c r="AL2525" s="10"/>
      <c r="AM2525" s="10"/>
      <c r="AN2525" s="10"/>
      <c r="AO2525" s="13" t="b">
        <v>0</v>
      </c>
      <c r="AP2525" s="22" t="s">
        <v>104</v>
      </c>
      <c r="AQ2525" s="10">
        <f ca="1">IFERROR(__xludf.DUMMYFUNCTION("""COMPUTED_VALUE"""),4709323)</f>
        <v>4709323</v>
      </c>
      <c r="AR2525" s="17">
        <v>81</v>
      </c>
      <c r="AS2525" s="17">
        <v>61</v>
      </c>
      <c r="AT2525" s="17">
        <v>182.25</v>
      </c>
      <c r="AU2525" s="17">
        <v>0</v>
      </c>
      <c r="AV2525" s="17">
        <v>0</v>
      </c>
      <c r="AW2525" s="10" t="s">
        <v>105</v>
      </c>
      <c r="AX2525" s="17">
        <v>38</v>
      </c>
      <c r="AY2525" s="18">
        <v>2.987704918032787</v>
      </c>
      <c r="AZ2525" s="10"/>
      <c r="BA2525" s="20" t="b">
        <v>0</v>
      </c>
      <c r="BB2525" s="29" t="s">
        <v>19076</v>
      </c>
      <c r="BC2525" s="17">
        <v>81</v>
      </c>
      <c r="BD2525" s="17">
        <v>61</v>
      </c>
      <c r="BE2525" s="17">
        <v>182.25</v>
      </c>
      <c r="BF2525" s="17">
        <v>0</v>
      </c>
      <c r="BG2525" s="11">
        <f ca="1">IFERROR(__xludf.DUMMYFUNCTION("""COMPUTED_VALUE"""),45970.4583333333)</f>
        <v>45970.458333333299</v>
      </c>
      <c r="BH2525" s="17" t="s">
        <v>105</v>
      </c>
      <c r="BI2525" s="17"/>
      <c r="BJ2525" s="15"/>
      <c r="BK2525" s="15"/>
      <c r="BL2525" s="13" t="b">
        <v>0</v>
      </c>
      <c r="BM2525" s="10"/>
      <c r="BN2525" s="10" t="s">
        <v>157</v>
      </c>
      <c r="BO2525" s="11">
        <v>45968.563194444447</v>
      </c>
      <c r="BP2525" s="11">
        <v>45968.563576388886</v>
      </c>
      <c r="BQ2525" s="15"/>
      <c r="BR2525" s="15">
        <v>45969.838726851849</v>
      </c>
      <c r="BS2525" s="10" t="s">
        <v>157</v>
      </c>
      <c r="BT2525" s="10"/>
      <c r="BU2525" s="10"/>
      <c r="BV2525" s="10"/>
      <c r="BW2525" s="10"/>
      <c r="BX2525" s="10"/>
      <c r="BY2525" s="23"/>
      <c r="BZ2525" s="23"/>
      <c r="CA2525" s="19" t="s">
        <v>9024</v>
      </c>
      <c r="CB2525" s="23"/>
      <c r="CC2525" s="23"/>
      <c r="CD2525" s="23"/>
      <c r="CE2525" s="23"/>
      <c r="CF2525" s="23"/>
      <c r="CG2525" s="23"/>
      <c r="CH2525" s="23"/>
      <c r="CI2525" s="23"/>
    </row>
    <row r="2526" spans="1:87" x14ac:dyDescent="0.3">
      <c r="A2526" s="9" t="s">
        <v>19116</v>
      </c>
      <c r="B2526" s="10" t="s">
        <v>19117</v>
      </c>
      <c r="C2526" s="11">
        <v>45970.479166666664</v>
      </c>
      <c r="D2526" s="12">
        <v>2.0833333333333332E-2</v>
      </c>
      <c r="E2526" s="11">
        <v>45970.5</v>
      </c>
      <c r="F2526" s="10" t="s">
        <v>9016</v>
      </c>
      <c r="G2526" s="13" t="b">
        <v>0</v>
      </c>
      <c r="H2526" s="22" t="s">
        <v>9017</v>
      </c>
      <c r="I2526" s="10" t="s">
        <v>212</v>
      </c>
      <c r="J2526" s="13" t="b">
        <v>1</v>
      </c>
      <c r="K2526" s="13" t="b">
        <v>0</v>
      </c>
      <c r="L2526" s="10" t="s">
        <v>124</v>
      </c>
      <c r="M2526" s="10" t="s">
        <v>91</v>
      </c>
      <c r="N2526" s="10" t="s">
        <v>92</v>
      </c>
      <c r="O2526" s="19" t="s">
        <v>19118</v>
      </c>
      <c r="P2526" s="10"/>
      <c r="Q2526" s="10" t="s">
        <v>94</v>
      </c>
      <c r="R2526" s="10"/>
      <c r="S2526" s="19" t="s">
        <v>9019</v>
      </c>
      <c r="T2526" s="10"/>
      <c r="U2526" s="10"/>
      <c r="V2526" s="10"/>
      <c r="W2526" s="10" t="s">
        <v>9020</v>
      </c>
      <c r="X2526" s="10" t="s">
        <v>130</v>
      </c>
      <c r="Y2526" s="10" t="s">
        <v>130</v>
      </c>
      <c r="Z2526" s="10" t="s">
        <v>99</v>
      </c>
      <c r="AA2526" s="10" t="s">
        <v>131</v>
      </c>
      <c r="AB2526" s="10" t="s">
        <v>9021</v>
      </c>
      <c r="AC2526" s="10" t="s">
        <v>9022</v>
      </c>
      <c r="AD2526" s="10" t="s">
        <v>165</v>
      </c>
      <c r="AE2526" s="10" t="s">
        <v>19119</v>
      </c>
      <c r="AF2526" s="15"/>
      <c r="AG2526" s="10"/>
      <c r="AH2526" s="10"/>
      <c r="AI2526" s="10"/>
      <c r="AJ2526" s="10"/>
      <c r="AK2526" s="10" t="s">
        <v>102</v>
      </c>
      <c r="AL2526" s="10"/>
      <c r="AM2526" s="10"/>
      <c r="AN2526" s="10"/>
      <c r="AO2526" s="13" t="b">
        <v>0</v>
      </c>
      <c r="AP2526" s="22" t="s">
        <v>104</v>
      </c>
      <c r="AQ2526" s="10">
        <f ca="1">IFERROR(__xludf.DUMMYFUNCTION("""COMPUTED_VALUE"""),4709324)</f>
        <v>4709324</v>
      </c>
      <c r="AR2526" s="17">
        <v>75</v>
      </c>
      <c r="AS2526" s="17">
        <v>55</v>
      </c>
      <c r="AT2526" s="17">
        <v>253.25</v>
      </c>
      <c r="AU2526" s="17">
        <v>0</v>
      </c>
      <c r="AV2526" s="17">
        <v>0</v>
      </c>
      <c r="AW2526" s="10" t="s">
        <v>105</v>
      </c>
      <c r="AX2526" s="17">
        <v>23</v>
      </c>
      <c r="AY2526" s="18">
        <v>4.6045454545454545</v>
      </c>
      <c r="AZ2526" s="10"/>
      <c r="BA2526" s="20" t="b">
        <v>0</v>
      </c>
      <c r="BB2526" s="29" t="s">
        <v>19076</v>
      </c>
      <c r="BC2526" s="17">
        <v>75</v>
      </c>
      <c r="BD2526" s="17">
        <v>55</v>
      </c>
      <c r="BE2526" s="17">
        <v>253.25</v>
      </c>
      <c r="BF2526" s="17">
        <v>0</v>
      </c>
      <c r="BG2526" s="11">
        <f ca="1">IFERROR(__xludf.DUMMYFUNCTION("""COMPUTED_VALUE"""),45970.4791666666)</f>
        <v>45970.479166666599</v>
      </c>
      <c r="BH2526" s="17" t="s">
        <v>105</v>
      </c>
      <c r="BI2526" s="17"/>
      <c r="BJ2526" s="15"/>
      <c r="BK2526" s="15"/>
      <c r="BL2526" s="13" t="b">
        <v>0</v>
      </c>
      <c r="BM2526" s="10"/>
      <c r="BN2526" s="10" t="s">
        <v>157</v>
      </c>
      <c r="BO2526" s="11">
        <v>45968.563194444447</v>
      </c>
      <c r="BP2526" s="11">
        <v>45968.563854166663</v>
      </c>
      <c r="BQ2526" s="15"/>
      <c r="BR2526" s="15">
        <v>45969.838900462964</v>
      </c>
      <c r="BS2526" s="10" t="s">
        <v>157</v>
      </c>
      <c r="BT2526" s="10"/>
      <c r="BU2526" s="10"/>
      <c r="BV2526" s="10"/>
      <c r="BW2526" s="10"/>
      <c r="BX2526" s="10"/>
      <c r="BY2526" s="23"/>
      <c r="BZ2526" s="23"/>
      <c r="CA2526" s="19" t="s">
        <v>9024</v>
      </c>
      <c r="CB2526" s="23"/>
      <c r="CC2526" s="23"/>
      <c r="CD2526" s="23"/>
      <c r="CE2526" s="23"/>
      <c r="CF2526" s="23"/>
      <c r="CG2526" s="23"/>
      <c r="CH2526" s="23"/>
      <c r="CI2526" s="23"/>
    </row>
    <row r="2527" spans="1:87" x14ac:dyDescent="0.3">
      <c r="A2527" s="9" t="s">
        <v>19120</v>
      </c>
      <c r="B2527" s="10" t="s">
        <v>19121</v>
      </c>
      <c r="C2527" s="11">
        <v>45970.517361111109</v>
      </c>
      <c r="D2527" s="12">
        <v>2.7777777777777776E-2</v>
      </c>
      <c r="E2527" s="11">
        <v>45970.545138888891</v>
      </c>
      <c r="F2527" s="10" t="s">
        <v>9016</v>
      </c>
      <c r="G2527" s="13" t="b">
        <v>0</v>
      </c>
      <c r="H2527" s="22" t="s">
        <v>9017</v>
      </c>
      <c r="I2527" s="10" t="s">
        <v>212</v>
      </c>
      <c r="J2527" s="13" t="b">
        <v>1</v>
      </c>
      <c r="K2527" s="13" t="b">
        <v>0</v>
      </c>
      <c r="L2527" s="10" t="s">
        <v>124</v>
      </c>
      <c r="M2527" s="10" t="s">
        <v>91</v>
      </c>
      <c r="N2527" s="10" t="s">
        <v>92</v>
      </c>
      <c r="O2527" s="19" t="s">
        <v>19122</v>
      </c>
      <c r="P2527" s="10"/>
      <c r="Q2527" s="10" t="s">
        <v>94</v>
      </c>
      <c r="R2527" s="10"/>
      <c r="S2527" s="19" t="s">
        <v>9019</v>
      </c>
      <c r="T2527" s="10"/>
      <c r="U2527" s="10"/>
      <c r="V2527" s="10"/>
      <c r="W2527" s="10" t="s">
        <v>9020</v>
      </c>
      <c r="X2527" s="10" t="s">
        <v>130</v>
      </c>
      <c r="Y2527" s="10" t="s">
        <v>130</v>
      </c>
      <c r="Z2527" s="10" t="s">
        <v>99</v>
      </c>
      <c r="AA2527" s="10" t="s">
        <v>131</v>
      </c>
      <c r="AB2527" s="10" t="s">
        <v>9021</v>
      </c>
      <c r="AC2527" s="10" t="s">
        <v>9022</v>
      </c>
      <c r="AD2527" s="10" t="s">
        <v>165</v>
      </c>
      <c r="AE2527" s="10" t="s">
        <v>19123</v>
      </c>
      <c r="AF2527" s="15"/>
      <c r="AG2527" s="10"/>
      <c r="AH2527" s="10"/>
      <c r="AI2527" s="10"/>
      <c r="AJ2527" s="10"/>
      <c r="AK2527" s="10" t="s">
        <v>102</v>
      </c>
      <c r="AL2527" s="10"/>
      <c r="AM2527" s="10"/>
      <c r="AN2527" s="10"/>
      <c r="AO2527" s="13" t="b">
        <v>0</v>
      </c>
      <c r="AP2527" s="22" t="s">
        <v>104</v>
      </c>
      <c r="AQ2527" s="10">
        <f ca="1">IFERROR(__xludf.DUMMYFUNCTION("""COMPUTED_VALUE"""),4709325)</f>
        <v>4709325</v>
      </c>
      <c r="AR2527" s="17">
        <v>124</v>
      </c>
      <c r="AS2527" s="17">
        <v>85</v>
      </c>
      <c r="AT2527" s="17">
        <v>759</v>
      </c>
      <c r="AU2527" s="17">
        <v>0</v>
      </c>
      <c r="AV2527" s="17">
        <v>0</v>
      </c>
      <c r="AW2527" s="10" t="s">
        <v>105</v>
      </c>
      <c r="AX2527" s="17">
        <v>39</v>
      </c>
      <c r="AY2527" s="18">
        <v>8.9294117647058826</v>
      </c>
      <c r="AZ2527" s="10"/>
      <c r="BA2527" s="20" t="b">
        <v>0</v>
      </c>
      <c r="BB2527" s="29" t="s">
        <v>19076</v>
      </c>
      <c r="BC2527" s="17">
        <v>124</v>
      </c>
      <c r="BD2527" s="17">
        <v>85</v>
      </c>
      <c r="BE2527" s="17">
        <v>759</v>
      </c>
      <c r="BF2527" s="17">
        <v>0</v>
      </c>
      <c r="BG2527" s="11">
        <f ca="1">IFERROR(__xludf.DUMMYFUNCTION("""COMPUTED_VALUE"""),45970.5173611111)</f>
        <v>45970.517361111102</v>
      </c>
      <c r="BH2527" s="17" t="s">
        <v>105</v>
      </c>
      <c r="BI2527" s="17"/>
      <c r="BJ2527" s="15"/>
      <c r="BK2527" s="15"/>
      <c r="BL2527" s="13" t="b">
        <v>0</v>
      </c>
      <c r="BM2527" s="10"/>
      <c r="BN2527" s="10" t="s">
        <v>157</v>
      </c>
      <c r="BO2527" s="11">
        <v>45968.563888888886</v>
      </c>
      <c r="BP2527" s="11">
        <v>45968.564131944448</v>
      </c>
      <c r="BQ2527" s="15"/>
      <c r="BR2527" s="15">
        <v>45969.839062500003</v>
      </c>
      <c r="BS2527" s="10" t="s">
        <v>157</v>
      </c>
      <c r="BT2527" s="10"/>
      <c r="BU2527" s="10"/>
      <c r="BV2527" s="10"/>
      <c r="BW2527" s="10"/>
      <c r="BX2527" s="10"/>
      <c r="BY2527" s="23"/>
      <c r="BZ2527" s="23"/>
      <c r="CA2527" s="19" t="s">
        <v>9024</v>
      </c>
      <c r="CB2527" s="23"/>
      <c r="CC2527" s="23"/>
      <c r="CD2527" s="23"/>
      <c r="CE2527" s="23"/>
      <c r="CF2527" s="23"/>
      <c r="CG2527" s="23"/>
      <c r="CH2527" s="23"/>
      <c r="CI2527" s="23"/>
    </row>
    <row r="2528" spans="1:87" x14ac:dyDescent="0.3">
      <c r="A2528" s="9" t="s">
        <v>19124</v>
      </c>
      <c r="B2528" s="10" t="s">
        <v>19125</v>
      </c>
      <c r="C2528" s="11">
        <v>45970.545138888891</v>
      </c>
      <c r="D2528" s="12">
        <v>2.7777777777777776E-2</v>
      </c>
      <c r="E2528" s="11">
        <v>45970.572916666664</v>
      </c>
      <c r="F2528" s="10" t="s">
        <v>9016</v>
      </c>
      <c r="G2528" s="13" t="b">
        <v>0</v>
      </c>
      <c r="H2528" s="22" t="s">
        <v>9017</v>
      </c>
      <c r="I2528" s="10" t="s">
        <v>212</v>
      </c>
      <c r="J2528" s="13" t="b">
        <v>1</v>
      </c>
      <c r="K2528" s="13" t="b">
        <v>0</v>
      </c>
      <c r="L2528" s="10" t="s">
        <v>124</v>
      </c>
      <c r="M2528" s="10" t="s">
        <v>91</v>
      </c>
      <c r="N2528" s="10" t="s">
        <v>92</v>
      </c>
      <c r="O2528" s="19" t="s">
        <v>19126</v>
      </c>
      <c r="P2528" s="10"/>
      <c r="Q2528" s="10" t="s">
        <v>94</v>
      </c>
      <c r="R2528" s="10"/>
      <c r="S2528" s="19" t="s">
        <v>9019</v>
      </c>
      <c r="T2528" s="10"/>
      <c r="U2528" s="10"/>
      <c r="V2528" s="10"/>
      <c r="W2528" s="10" t="s">
        <v>9020</v>
      </c>
      <c r="X2528" s="10" t="s">
        <v>130</v>
      </c>
      <c r="Y2528" s="10" t="s">
        <v>130</v>
      </c>
      <c r="Z2528" s="10" t="s">
        <v>99</v>
      </c>
      <c r="AA2528" s="10" t="s">
        <v>131</v>
      </c>
      <c r="AB2528" s="10" t="s">
        <v>9021</v>
      </c>
      <c r="AC2528" s="10" t="s">
        <v>9022</v>
      </c>
      <c r="AD2528" s="10" t="s">
        <v>165</v>
      </c>
      <c r="AE2528" s="10" t="s">
        <v>19127</v>
      </c>
      <c r="AF2528" s="15"/>
      <c r="AG2528" s="10"/>
      <c r="AH2528" s="10"/>
      <c r="AI2528" s="10"/>
      <c r="AJ2528" s="10"/>
      <c r="AK2528" s="10" t="s">
        <v>102</v>
      </c>
      <c r="AL2528" s="10"/>
      <c r="AM2528" s="10"/>
      <c r="AN2528" s="10"/>
      <c r="AO2528" s="13" t="b">
        <v>0</v>
      </c>
      <c r="AP2528" s="22" t="s">
        <v>104</v>
      </c>
      <c r="AQ2528" s="10">
        <f ca="1">IFERROR(__xludf.DUMMYFUNCTION("""COMPUTED_VALUE"""),4709326)</f>
        <v>4709326</v>
      </c>
      <c r="AR2528" s="17">
        <v>139</v>
      </c>
      <c r="AS2528" s="17">
        <v>103</v>
      </c>
      <c r="AT2528" s="17">
        <v>758.5</v>
      </c>
      <c r="AU2528" s="17">
        <v>1</v>
      </c>
      <c r="AV2528" s="17">
        <v>0</v>
      </c>
      <c r="AW2528" s="10" t="s">
        <v>105</v>
      </c>
      <c r="AX2528" s="17">
        <v>37</v>
      </c>
      <c r="AY2528" s="18">
        <v>7.3640776699029127</v>
      </c>
      <c r="AZ2528" s="10"/>
      <c r="BA2528" s="20" t="b">
        <v>0</v>
      </c>
      <c r="BB2528" s="29" t="s">
        <v>19076</v>
      </c>
      <c r="BC2528" s="17">
        <v>139</v>
      </c>
      <c r="BD2528" s="17">
        <v>103</v>
      </c>
      <c r="BE2528" s="17">
        <v>758.5</v>
      </c>
      <c r="BF2528" s="17">
        <v>0</v>
      </c>
      <c r="BG2528" s="11">
        <f ca="1">IFERROR(__xludf.DUMMYFUNCTION("""COMPUTED_VALUE"""),45970.5451388888)</f>
        <v>45970.545138888803</v>
      </c>
      <c r="BH2528" s="17" t="s">
        <v>105</v>
      </c>
      <c r="BI2528" s="17"/>
      <c r="BJ2528" s="15"/>
      <c r="BK2528" s="15"/>
      <c r="BL2528" s="13" t="b">
        <v>0</v>
      </c>
      <c r="BM2528" s="10"/>
      <c r="BN2528" s="10" t="s">
        <v>157</v>
      </c>
      <c r="BO2528" s="11">
        <v>45968.563888888886</v>
      </c>
      <c r="BP2528" s="11">
        <v>45968.564803240741</v>
      </c>
      <c r="BQ2528" s="15"/>
      <c r="BR2528" s="15">
        <v>45969.839201388888</v>
      </c>
      <c r="BS2528" s="10" t="s">
        <v>157</v>
      </c>
      <c r="BT2528" s="10"/>
      <c r="BU2528" s="10"/>
      <c r="BV2528" s="10"/>
      <c r="BW2528" s="10"/>
      <c r="BX2528" s="10"/>
      <c r="BY2528" s="23"/>
      <c r="BZ2528" s="23"/>
      <c r="CA2528" s="19" t="s">
        <v>9024</v>
      </c>
      <c r="CB2528" s="23"/>
      <c r="CC2528" s="23"/>
      <c r="CD2528" s="23"/>
      <c r="CE2528" s="23"/>
      <c r="CF2528" s="23"/>
      <c r="CG2528" s="23"/>
      <c r="CH2528" s="23"/>
      <c r="CI2528" s="23"/>
    </row>
    <row r="2529" spans="1:87" x14ac:dyDescent="0.3">
      <c r="A2529" s="9" t="s">
        <v>19128</v>
      </c>
      <c r="B2529" s="10" t="s">
        <v>15949</v>
      </c>
      <c r="C2529" s="11">
        <v>45970.572916666664</v>
      </c>
      <c r="D2529" s="12">
        <v>2.7777777777777776E-2</v>
      </c>
      <c r="E2529" s="11">
        <v>45970.600694444445</v>
      </c>
      <c r="F2529" s="10" t="s">
        <v>9016</v>
      </c>
      <c r="G2529" s="13" t="b">
        <v>0</v>
      </c>
      <c r="H2529" s="22" t="s">
        <v>9017</v>
      </c>
      <c r="I2529" s="10" t="s">
        <v>212</v>
      </c>
      <c r="J2529" s="13" t="b">
        <v>1</v>
      </c>
      <c r="K2529" s="13" t="b">
        <v>0</v>
      </c>
      <c r="L2529" s="10" t="s">
        <v>124</v>
      </c>
      <c r="M2529" s="10" t="s">
        <v>91</v>
      </c>
      <c r="N2529" s="10" t="s">
        <v>92</v>
      </c>
      <c r="O2529" s="19" t="s">
        <v>19129</v>
      </c>
      <c r="P2529" s="10"/>
      <c r="Q2529" s="10" t="s">
        <v>94</v>
      </c>
      <c r="R2529" s="10"/>
      <c r="S2529" s="19" t="s">
        <v>9019</v>
      </c>
      <c r="T2529" s="10"/>
      <c r="U2529" s="10"/>
      <c r="V2529" s="10"/>
      <c r="W2529" s="10" t="s">
        <v>9020</v>
      </c>
      <c r="X2529" s="10" t="s">
        <v>130</v>
      </c>
      <c r="Y2529" s="10" t="s">
        <v>130</v>
      </c>
      <c r="Z2529" s="10" t="s">
        <v>99</v>
      </c>
      <c r="AA2529" s="10" t="s">
        <v>131</v>
      </c>
      <c r="AB2529" s="10" t="s">
        <v>9021</v>
      </c>
      <c r="AC2529" s="10" t="s">
        <v>9022</v>
      </c>
      <c r="AD2529" s="10" t="s">
        <v>165</v>
      </c>
      <c r="AE2529" s="10" t="s">
        <v>15951</v>
      </c>
      <c r="AF2529" s="15"/>
      <c r="AG2529" s="10"/>
      <c r="AH2529" s="10"/>
      <c r="AI2529" s="10"/>
      <c r="AJ2529" s="10"/>
      <c r="AK2529" s="10" t="s">
        <v>102</v>
      </c>
      <c r="AL2529" s="10"/>
      <c r="AM2529" s="10"/>
      <c r="AN2529" s="10"/>
      <c r="AO2529" s="13" t="b">
        <v>0</v>
      </c>
      <c r="AP2529" s="22" t="s">
        <v>104</v>
      </c>
      <c r="AQ2529" s="10">
        <f ca="1">IFERROR(__xludf.DUMMYFUNCTION("""COMPUTED_VALUE"""),4709327)</f>
        <v>4709327</v>
      </c>
      <c r="AR2529" s="17">
        <v>142</v>
      </c>
      <c r="AS2529" s="17">
        <v>109</v>
      </c>
      <c r="AT2529" s="17">
        <v>1276</v>
      </c>
      <c r="AU2529" s="17">
        <v>0</v>
      </c>
      <c r="AV2529" s="17">
        <v>0</v>
      </c>
      <c r="AW2529" s="10" t="s">
        <v>105</v>
      </c>
      <c r="AX2529" s="17">
        <v>57</v>
      </c>
      <c r="AY2529" s="18">
        <v>11.706422018348624</v>
      </c>
      <c r="AZ2529" s="10"/>
      <c r="BA2529" s="20" t="b">
        <v>0</v>
      </c>
      <c r="BB2529" s="29" t="s">
        <v>19076</v>
      </c>
      <c r="BC2529" s="17">
        <v>142</v>
      </c>
      <c r="BD2529" s="17">
        <v>109</v>
      </c>
      <c r="BE2529" s="17">
        <v>1276</v>
      </c>
      <c r="BF2529" s="17">
        <v>0</v>
      </c>
      <c r="BG2529" s="11">
        <f ca="1">IFERROR(__xludf.DUMMYFUNCTION("""COMPUTED_VALUE"""),45970.5729166666)</f>
        <v>45970.572916666599</v>
      </c>
      <c r="BH2529" s="17" t="s">
        <v>105</v>
      </c>
      <c r="BI2529" s="17"/>
      <c r="BJ2529" s="15"/>
      <c r="BK2529" s="15"/>
      <c r="BL2529" s="13" t="b">
        <v>0</v>
      </c>
      <c r="BM2529" s="10"/>
      <c r="BN2529" s="10" t="s">
        <v>157</v>
      </c>
      <c r="BO2529" s="11">
        <v>45968.564583333333</v>
      </c>
      <c r="BP2529" s="11">
        <v>45968.56490740741</v>
      </c>
      <c r="BQ2529" s="15"/>
      <c r="BR2529" s="15">
        <v>45969.83935185185</v>
      </c>
      <c r="BS2529" s="10" t="s">
        <v>157</v>
      </c>
      <c r="BT2529" s="10"/>
      <c r="BU2529" s="10"/>
      <c r="BV2529" s="10"/>
      <c r="BW2529" s="10"/>
      <c r="BX2529" s="10"/>
      <c r="BY2529" s="23"/>
      <c r="BZ2529" s="23"/>
      <c r="CA2529" s="19" t="s">
        <v>9024</v>
      </c>
      <c r="CB2529" s="23"/>
      <c r="CC2529" s="23"/>
      <c r="CD2529" s="23"/>
      <c r="CE2529" s="23"/>
      <c r="CF2529" s="23"/>
      <c r="CG2529" s="23"/>
      <c r="CH2529" s="23"/>
      <c r="CI2529" s="23"/>
    </row>
    <row r="2530" spans="1:87" x14ac:dyDescent="0.3">
      <c r="A2530" s="9" t="s">
        <v>19130</v>
      </c>
      <c r="B2530" s="10" t="s">
        <v>15953</v>
      </c>
      <c r="C2530" s="11">
        <v>45970.600694444445</v>
      </c>
      <c r="D2530" s="12">
        <v>2.7777777777777776E-2</v>
      </c>
      <c r="E2530" s="11">
        <v>45970.628472222219</v>
      </c>
      <c r="F2530" s="10" t="s">
        <v>9016</v>
      </c>
      <c r="G2530" s="13" t="b">
        <v>0</v>
      </c>
      <c r="H2530" s="22" t="s">
        <v>9017</v>
      </c>
      <c r="I2530" s="10" t="s">
        <v>212</v>
      </c>
      <c r="J2530" s="13" t="b">
        <v>1</v>
      </c>
      <c r="K2530" s="13" t="b">
        <v>0</v>
      </c>
      <c r="L2530" s="10" t="s">
        <v>124</v>
      </c>
      <c r="M2530" s="10" t="s">
        <v>91</v>
      </c>
      <c r="N2530" s="10" t="s">
        <v>92</v>
      </c>
      <c r="O2530" s="19" t="s">
        <v>19131</v>
      </c>
      <c r="P2530" s="10"/>
      <c r="Q2530" s="10" t="s">
        <v>94</v>
      </c>
      <c r="R2530" s="10"/>
      <c r="S2530" s="19" t="s">
        <v>9019</v>
      </c>
      <c r="T2530" s="10"/>
      <c r="U2530" s="10"/>
      <c r="V2530" s="10"/>
      <c r="W2530" s="10" t="s">
        <v>9020</v>
      </c>
      <c r="X2530" s="10" t="s">
        <v>130</v>
      </c>
      <c r="Y2530" s="10" t="s">
        <v>130</v>
      </c>
      <c r="Z2530" s="10" t="s">
        <v>99</v>
      </c>
      <c r="AA2530" s="10" t="s">
        <v>131</v>
      </c>
      <c r="AB2530" s="10" t="s">
        <v>9021</v>
      </c>
      <c r="AC2530" s="10" t="s">
        <v>9022</v>
      </c>
      <c r="AD2530" s="10" t="s">
        <v>165</v>
      </c>
      <c r="AE2530" s="10" t="s">
        <v>15955</v>
      </c>
      <c r="AF2530" s="15"/>
      <c r="AG2530" s="10"/>
      <c r="AH2530" s="10"/>
      <c r="AI2530" s="10"/>
      <c r="AJ2530" s="10"/>
      <c r="AK2530" s="10" t="s">
        <v>102</v>
      </c>
      <c r="AL2530" s="10"/>
      <c r="AM2530" s="10"/>
      <c r="AN2530" s="10"/>
      <c r="AO2530" s="13" t="b">
        <v>0</v>
      </c>
      <c r="AP2530" s="22" t="s">
        <v>104</v>
      </c>
      <c r="AQ2530" s="10">
        <f ca="1">IFERROR(__xludf.DUMMYFUNCTION("""COMPUTED_VALUE"""),4709328)</f>
        <v>4709328</v>
      </c>
      <c r="AR2530" s="17">
        <v>142</v>
      </c>
      <c r="AS2530" s="17">
        <v>98</v>
      </c>
      <c r="AT2530" s="17">
        <v>698.25</v>
      </c>
      <c r="AU2530" s="17">
        <v>0</v>
      </c>
      <c r="AV2530" s="17">
        <v>0</v>
      </c>
      <c r="AW2530" s="10" t="s">
        <v>105</v>
      </c>
      <c r="AX2530" s="17">
        <v>52</v>
      </c>
      <c r="AY2530" s="18">
        <v>7.125</v>
      </c>
      <c r="AZ2530" s="10"/>
      <c r="BA2530" s="20" t="b">
        <v>0</v>
      </c>
      <c r="BB2530" s="29" t="s">
        <v>19076</v>
      </c>
      <c r="BC2530" s="17">
        <v>142</v>
      </c>
      <c r="BD2530" s="17">
        <v>98</v>
      </c>
      <c r="BE2530" s="17">
        <v>698.25</v>
      </c>
      <c r="BF2530" s="17">
        <v>0</v>
      </c>
      <c r="BG2530" s="11">
        <f ca="1">IFERROR(__xludf.DUMMYFUNCTION("""COMPUTED_VALUE"""),45970.6006944444)</f>
        <v>45970.600694444402</v>
      </c>
      <c r="BH2530" s="17" t="s">
        <v>105</v>
      </c>
      <c r="BI2530" s="17"/>
      <c r="BJ2530" s="15"/>
      <c r="BK2530" s="15"/>
      <c r="BL2530" s="13" t="b">
        <v>0</v>
      </c>
      <c r="BM2530" s="10"/>
      <c r="BN2530" s="10" t="s">
        <v>157</v>
      </c>
      <c r="BO2530" s="11">
        <v>45968.564583333333</v>
      </c>
      <c r="BP2530" s="11">
        <v>45968.565115740741</v>
      </c>
      <c r="BQ2530" s="15"/>
      <c r="BR2530" s="15">
        <v>45969.839502314811</v>
      </c>
      <c r="BS2530" s="10" t="s">
        <v>157</v>
      </c>
      <c r="BT2530" s="10"/>
      <c r="BU2530" s="10"/>
      <c r="BV2530" s="10"/>
      <c r="BW2530" s="10"/>
      <c r="BX2530" s="10"/>
      <c r="BY2530" s="23"/>
      <c r="BZ2530" s="23"/>
      <c r="CA2530" s="19" t="s">
        <v>9024</v>
      </c>
      <c r="CB2530" s="23"/>
      <c r="CC2530" s="23"/>
      <c r="CD2530" s="23"/>
      <c r="CE2530" s="23"/>
      <c r="CF2530" s="23"/>
      <c r="CG2530" s="23"/>
      <c r="CH2530" s="23"/>
      <c r="CI2530" s="23"/>
    </row>
    <row r="2531" spans="1:87" x14ac:dyDescent="0.3">
      <c r="A2531" s="9" t="s">
        <v>19132</v>
      </c>
      <c r="B2531" s="10" t="s">
        <v>15945</v>
      </c>
      <c r="C2531" s="11">
        <v>45970.628472222219</v>
      </c>
      <c r="D2531" s="12">
        <v>3.8194444444444448E-2</v>
      </c>
      <c r="E2531" s="11">
        <v>45970.666666666664</v>
      </c>
      <c r="F2531" s="10" t="s">
        <v>9016</v>
      </c>
      <c r="G2531" s="13" t="b">
        <v>0</v>
      </c>
      <c r="H2531" s="22" t="s">
        <v>9017</v>
      </c>
      <c r="I2531" s="10" t="s">
        <v>212</v>
      </c>
      <c r="J2531" s="13" t="b">
        <v>1</v>
      </c>
      <c r="K2531" s="13" t="b">
        <v>0</v>
      </c>
      <c r="L2531" s="10" t="s">
        <v>124</v>
      </c>
      <c r="M2531" s="10" t="s">
        <v>91</v>
      </c>
      <c r="N2531" s="10" t="s">
        <v>92</v>
      </c>
      <c r="O2531" s="19" t="s">
        <v>19133</v>
      </c>
      <c r="P2531" s="10"/>
      <c r="Q2531" s="10" t="s">
        <v>94</v>
      </c>
      <c r="R2531" s="10"/>
      <c r="S2531" s="19" t="s">
        <v>9019</v>
      </c>
      <c r="T2531" s="10"/>
      <c r="U2531" s="10"/>
      <c r="V2531" s="10"/>
      <c r="W2531" s="10" t="s">
        <v>9020</v>
      </c>
      <c r="X2531" s="10" t="s">
        <v>130</v>
      </c>
      <c r="Y2531" s="10" t="s">
        <v>130</v>
      </c>
      <c r="Z2531" s="10" t="s">
        <v>99</v>
      </c>
      <c r="AA2531" s="10" t="s">
        <v>131</v>
      </c>
      <c r="AB2531" s="10" t="s">
        <v>9021</v>
      </c>
      <c r="AC2531" s="10" t="s">
        <v>9022</v>
      </c>
      <c r="AD2531" s="10" t="s">
        <v>165</v>
      </c>
      <c r="AE2531" s="10" t="s">
        <v>15947</v>
      </c>
      <c r="AF2531" s="15"/>
      <c r="AG2531" s="10"/>
      <c r="AH2531" s="10"/>
      <c r="AI2531" s="10"/>
      <c r="AJ2531" s="10"/>
      <c r="AK2531" s="10" t="s">
        <v>102</v>
      </c>
      <c r="AL2531" s="10"/>
      <c r="AM2531" s="10"/>
      <c r="AN2531" s="10"/>
      <c r="AO2531" s="13" t="b">
        <v>0</v>
      </c>
      <c r="AP2531" s="22" t="s">
        <v>104</v>
      </c>
      <c r="AQ2531" s="10">
        <f ca="1">IFERROR(__xludf.DUMMYFUNCTION("""COMPUTED_VALUE"""),4709329)</f>
        <v>4709329</v>
      </c>
      <c r="AR2531" s="17">
        <v>153</v>
      </c>
      <c r="AS2531" s="17">
        <v>114</v>
      </c>
      <c r="AT2531" s="17">
        <v>697.75</v>
      </c>
      <c r="AU2531" s="17">
        <v>0</v>
      </c>
      <c r="AV2531" s="17">
        <v>0</v>
      </c>
      <c r="AW2531" s="10" t="s">
        <v>105</v>
      </c>
      <c r="AX2531" s="17">
        <v>51</v>
      </c>
      <c r="AY2531" s="18">
        <v>6.1206140350877192</v>
      </c>
      <c r="AZ2531" s="10"/>
      <c r="BA2531" s="20" t="b">
        <v>0</v>
      </c>
      <c r="BB2531" s="29" t="s">
        <v>19076</v>
      </c>
      <c r="BC2531" s="17">
        <v>153</v>
      </c>
      <c r="BD2531" s="17">
        <v>114</v>
      </c>
      <c r="BE2531" s="17">
        <v>697.75</v>
      </c>
      <c r="BF2531" s="17">
        <v>0</v>
      </c>
      <c r="BG2531" s="11">
        <f ca="1">IFERROR(__xludf.DUMMYFUNCTION("""COMPUTED_VALUE"""),45970.6284722222)</f>
        <v>45970.628472222197</v>
      </c>
      <c r="BH2531" s="17" t="s">
        <v>105</v>
      </c>
      <c r="BI2531" s="17"/>
      <c r="BJ2531" s="15"/>
      <c r="BK2531" s="15"/>
      <c r="BL2531" s="13" t="b">
        <v>0</v>
      </c>
      <c r="BM2531" s="10"/>
      <c r="BN2531" s="10" t="s">
        <v>157</v>
      </c>
      <c r="BO2531" s="11">
        <v>45968.564583333333</v>
      </c>
      <c r="BP2531" s="11">
        <v>45968.565347222226</v>
      </c>
      <c r="BQ2531" s="15"/>
      <c r="BR2531" s="15">
        <v>45969.83965277778</v>
      </c>
      <c r="BS2531" s="10" t="s">
        <v>157</v>
      </c>
      <c r="BT2531" s="10"/>
      <c r="BU2531" s="10"/>
      <c r="BV2531" s="10"/>
      <c r="BW2531" s="10"/>
      <c r="BX2531" s="10"/>
      <c r="BY2531" s="23"/>
      <c r="BZ2531" s="23"/>
      <c r="CA2531" s="19" t="s">
        <v>9024</v>
      </c>
      <c r="CB2531" s="23"/>
      <c r="CC2531" s="23"/>
      <c r="CD2531" s="23"/>
      <c r="CE2531" s="23"/>
      <c r="CF2531" s="23"/>
      <c r="CG2531" s="23"/>
      <c r="CH2531" s="23"/>
      <c r="CI2531" s="23"/>
    </row>
    <row r="2532" spans="1:87" x14ac:dyDescent="0.3">
      <c r="A2532" s="9" t="s">
        <v>19134</v>
      </c>
      <c r="B2532" s="10" t="s">
        <v>19135</v>
      </c>
      <c r="C2532" s="11">
        <v>45969.291666666664</v>
      </c>
      <c r="D2532" s="12">
        <v>0.29166666666666669</v>
      </c>
      <c r="E2532" s="11">
        <v>45969.583333333336</v>
      </c>
      <c r="F2532" s="10" t="s">
        <v>19136</v>
      </c>
      <c r="G2532" s="13" t="b">
        <v>0</v>
      </c>
      <c r="H2532" s="22" t="s">
        <v>9017</v>
      </c>
      <c r="I2532" s="10" t="s">
        <v>212</v>
      </c>
      <c r="J2532" s="13" t="b">
        <v>1</v>
      </c>
      <c r="K2532" s="13" t="b">
        <v>0</v>
      </c>
      <c r="L2532" s="10" t="s">
        <v>124</v>
      </c>
      <c r="M2532" s="10" t="s">
        <v>91</v>
      </c>
      <c r="N2532" s="10" t="s">
        <v>92</v>
      </c>
      <c r="O2532" s="19" t="s">
        <v>19137</v>
      </c>
      <c r="P2532" s="10"/>
      <c r="Q2532" s="10" t="s">
        <v>94</v>
      </c>
      <c r="R2532" s="10"/>
      <c r="S2532" s="19" t="s">
        <v>19138</v>
      </c>
      <c r="T2532" s="10"/>
      <c r="U2532" s="10"/>
      <c r="V2532" s="10"/>
      <c r="W2532" s="10" t="s">
        <v>19139</v>
      </c>
      <c r="X2532" s="10" t="s">
        <v>130</v>
      </c>
      <c r="Y2532" s="10" t="s">
        <v>130</v>
      </c>
      <c r="Z2532" s="10" t="s">
        <v>99</v>
      </c>
      <c r="AA2532" s="10" t="s">
        <v>131</v>
      </c>
      <c r="AB2532" s="10" t="s">
        <v>19140</v>
      </c>
      <c r="AC2532" s="10" t="s">
        <v>9022</v>
      </c>
      <c r="AD2532" s="10" t="s">
        <v>165</v>
      </c>
      <c r="AE2532" s="10" t="s">
        <v>19141</v>
      </c>
      <c r="AF2532" s="15"/>
      <c r="AG2532" s="10"/>
      <c r="AH2532" s="10"/>
      <c r="AI2532" s="10"/>
      <c r="AJ2532" s="10"/>
      <c r="AK2532" s="10" t="s">
        <v>102</v>
      </c>
      <c r="AL2532" s="10"/>
      <c r="AM2532" s="10"/>
      <c r="AN2532" s="10"/>
      <c r="AO2532" s="13" t="b">
        <v>0</v>
      </c>
      <c r="AP2532" s="22" t="s">
        <v>104</v>
      </c>
      <c r="AQ2532" s="10">
        <f ca="1">IFERROR(__xludf.DUMMYFUNCTION("""COMPUTED_VALUE"""),19810)</f>
        <v>19810</v>
      </c>
      <c r="AR2532" s="21">
        <v>71</v>
      </c>
      <c r="AS2532" s="21">
        <v>67</v>
      </c>
      <c r="AT2532" s="21">
        <v>128.25</v>
      </c>
      <c r="AU2532" s="21">
        <v>0</v>
      </c>
      <c r="AV2532" s="21">
        <v>0</v>
      </c>
      <c r="AW2532" s="22" t="s">
        <v>105</v>
      </c>
      <c r="AX2532" s="17"/>
      <c r="AY2532" s="18">
        <v>5.3896046201688135</v>
      </c>
      <c r="AZ2532" s="10"/>
      <c r="BA2532" s="20" t="b">
        <v>1</v>
      </c>
      <c r="BB2532" s="10"/>
      <c r="BC2532" s="17">
        <v>2670</v>
      </c>
      <c r="BD2532" s="17">
        <v>2251</v>
      </c>
      <c r="BE2532" s="17">
        <v>12132</v>
      </c>
      <c r="BF2532" s="17">
        <v>0.65</v>
      </c>
      <c r="BG2532" s="11">
        <f ca="1">IFERROR(__xludf.DUMMYFUNCTION("""COMPUTED_VALUE"""),45969.2916666666)</f>
        <v>45969.291666666599</v>
      </c>
      <c r="BH2532" s="17" t="s">
        <v>105</v>
      </c>
      <c r="BI2532" s="17"/>
      <c r="BJ2532" s="15"/>
      <c r="BK2532" s="15"/>
      <c r="BL2532" s="13" t="b">
        <v>0</v>
      </c>
      <c r="BM2532" s="10"/>
      <c r="BN2532" s="10" t="s">
        <v>197</v>
      </c>
      <c r="BO2532" s="11">
        <v>45968.581944444442</v>
      </c>
      <c r="BP2532" s="11">
        <v>45968.586886574078</v>
      </c>
      <c r="BQ2532" s="15">
        <v>45968.591203703705</v>
      </c>
      <c r="BR2532" s="15">
        <v>45968.964780092596</v>
      </c>
      <c r="BS2532" s="10" t="s">
        <v>197</v>
      </c>
      <c r="BT2532" s="10"/>
      <c r="BU2532" s="10"/>
      <c r="BV2532" s="10"/>
      <c r="BW2532" s="10"/>
      <c r="BX2532" s="10"/>
      <c r="BY2532" s="23"/>
      <c r="BZ2532" s="23"/>
      <c r="CA2532" s="19" t="s">
        <v>19142</v>
      </c>
      <c r="CB2532" s="23"/>
      <c r="CC2532" s="23"/>
      <c r="CD2532" s="23"/>
      <c r="CE2532" s="23"/>
      <c r="CF2532" s="23"/>
      <c r="CG2532" s="23"/>
      <c r="CH2532" s="23"/>
      <c r="CI2532" s="23"/>
    </row>
    <row r="2533" spans="1:87" x14ac:dyDescent="0.3">
      <c r="A2533" s="9" t="s">
        <v>19143</v>
      </c>
      <c r="B2533" s="10" t="s">
        <v>19144</v>
      </c>
      <c r="C2533" s="11">
        <v>45969.291666666664</v>
      </c>
      <c r="D2533" s="12">
        <v>0.29166666666666669</v>
      </c>
      <c r="E2533" s="11">
        <v>45969.583333333336</v>
      </c>
      <c r="F2533" s="10" t="s">
        <v>19136</v>
      </c>
      <c r="G2533" s="13" t="b">
        <v>0</v>
      </c>
      <c r="H2533" s="22" t="s">
        <v>9017</v>
      </c>
      <c r="I2533" s="10" t="s">
        <v>212</v>
      </c>
      <c r="J2533" s="13" t="b">
        <v>1</v>
      </c>
      <c r="K2533" s="13" t="b">
        <v>0</v>
      </c>
      <c r="L2533" s="10" t="s">
        <v>124</v>
      </c>
      <c r="M2533" s="10" t="s">
        <v>91</v>
      </c>
      <c r="N2533" s="10" t="s">
        <v>92</v>
      </c>
      <c r="O2533" s="19" t="s">
        <v>19145</v>
      </c>
      <c r="P2533" s="10"/>
      <c r="Q2533" s="10" t="s">
        <v>94</v>
      </c>
      <c r="R2533" s="10"/>
      <c r="S2533" s="19" t="s">
        <v>19138</v>
      </c>
      <c r="T2533" s="10"/>
      <c r="U2533" s="10"/>
      <c r="V2533" s="10"/>
      <c r="W2533" s="10" t="s">
        <v>19139</v>
      </c>
      <c r="X2533" s="10" t="s">
        <v>130</v>
      </c>
      <c r="Y2533" s="10" t="s">
        <v>130</v>
      </c>
      <c r="Z2533" s="10" t="s">
        <v>99</v>
      </c>
      <c r="AA2533" s="10" t="s">
        <v>131</v>
      </c>
      <c r="AB2533" s="10" t="s">
        <v>19140</v>
      </c>
      <c r="AC2533" s="10" t="s">
        <v>9022</v>
      </c>
      <c r="AD2533" s="10" t="s">
        <v>165</v>
      </c>
      <c r="AE2533" s="10" t="s">
        <v>19146</v>
      </c>
      <c r="AF2533" s="15"/>
      <c r="AG2533" s="10"/>
      <c r="AH2533" s="10"/>
      <c r="AI2533" s="10"/>
      <c r="AJ2533" s="10"/>
      <c r="AK2533" s="10" t="s">
        <v>102</v>
      </c>
      <c r="AL2533" s="10"/>
      <c r="AM2533" s="10"/>
      <c r="AN2533" s="10"/>
      <c r="AO2533" s="13" t="b">
        <v>0</v>
      </c>
      <c r="AP2533" s="22" t="s">
        <v>104</v>
      </c>
      <c r="AQ2533" s="10">
        <f ca="1">IFERROR(__xludf.DUMMYFUNCTION("""COMPUTED_VALUE"""),19811)</f>
        <v>19811</v>
      </c>
      <c r="AR2533" s="21">
        <v>673</v>
      </c>
      <c r="AS2533" s="21">
        <v>558</v>
      </c>
      <c r="AT2533" s="21">
        <v>4317.5</v>
      </c>
      <c r="AU2533" s="21">
        <v>0</v>
      </c>
      <c r="AV2533" s="21">
        <v>0</v>
      </c>
      <c r="AW2533" s="22" t="s">
        <v>105</v>
      </c>
      <c r="AX2533" s="17"/>
      <c r="AY2533" s="18">
        <v>6.8502100840336135</v>
      </c>
      <c r="AZ2533" s="10"/>
      <c r="BA2533" s="20" t="b">
        <v>1</v>
      </c>
      <c r="BB2533" s="10"/>
      <c r="BC2533" s="17">
        <v>2888</v>
      </c>
      <c r="BD2533" s="17">
        <v>2380</v>
      </c>
      <c r="BE2533" s="17">
        <v>16303.5</v>
      </c>
      <c r="BF2533" s="17">
        <v>0</v>
      </c>
      <c r="BG2533" s="11">
        <f ca="1">IFERROR(__xludf.DUMMYFUNCTION("""COMPUTED_VALUE"""),45969.2916666666)</f>
        <v>45969.291666666599</v>
      </c>
      <c r="BH2533" s="17" t="s">
        <v>105</v>
      </c>
      <c r="BI2533" s="17"/>
      <c r="BJ2533" s="15"/>
      <c r="BK2533" s="15"/>
      <c r="BL2533" s="13" t="b">
        <v>0</v>
      </c>
      <c r="BM2533" s="10"/>
      <c r="BN2533" s="10" t="s">
        <v>197</v>
      </c>
      <c r="BO2533" s="11">
        <v>45968.586805555555</v>
      </c>
      <c r="BP2533" s="11">
        <v>45968.587291666663</v>
      </c>
      <c r="BQ2533" s="15">
        <v>45968.591238425928</v>
      </c>
      <c r="BR2533" s="15">
        <v>45968.96534722222</v>
      </c>
      <c r="BS2533" s="10" t="s">
        <v>197</v>
      </c>
      <c r="BT2533" s="10"/>
      <c r="BU2533" s="10"/>
      <c r="BV2533" s="10"/>
      <c r="BW2533" s="10"/>
      <c r="BX2533" s="10"/>
      <c r="BY2533" s="23"/>
      <c r="BZ2533" s="23"/>
      <c r="CA2533" s="19" t="s">
        <v>19142</v>
      </c>
      <c r="CB2533" s="23"/>
      <c r="CC2533" s="23"/>
      <c r="CD2533" s="23"/>
      <c r="CE2533" s="23"/>
      <c r="CF2533" s="23"/>
      <c r="CG2533" s="23"/>
      <c r="CH2533" s="23"/>
      <c r="CI2533" s="23"/>
    </row>
    <row r="2534" spans="1:87" x14ac:dyDescent="0.3">
      <c r="A2534" s="9" t="s">
        <v>19147</v>
      </c>
      <c r="B2534" s="10" t="s">
        <v>19135</v>
      </c>
      <c r="C2534" s="11">
        <v>45970.291666666664</v>
      </c>
      <c r="D2534" s="12">
        <v>0.35416666666666669</v>
      </c>
      <c r="E2534" s="11">
        <v>45970.645833333336</v>
      </c>
      <c r="F2534" s="10" t="s">
        <v>19136</v>
      </c>
      <c r="G2534" s="13" t="b">
        <v>0</v>
      </c>
      <c r="H2534" s="22" t="s">
        <v>9017</v>
      </c>
      <c r="I2534" s="10" t="s">
        <v>212</v>
      </c>
      <c r="J2534" s="13" t="b">
        <v>1</v>
      </c>
      <c r="K2534" s="13" t="b">
        <v>0</v>
      </c>
      <c r="L2534" s="10" t="s">
        <v>124</v>
      </c>
      <c r="M2534" s="10" t="s">
        <v>91</v>
      </c>
      <c r="N2534" s="10" t="s">
        <v>92</v>
      </c>
      <c r="O2534" s="19" t="s">
        <v>19148</v>
      </c>
      <c r="P2534" s="10"/>
      <c r="Q2534" s="10" t="s">
        <v>94</v>
      </c>
      <c r="R2534" s="10"/>
      <c r="S2534" s="19" t="s">
        <v>19138</v>
      </c>
      <c r="T2534" s="10"/>
      <c r="U2534" s="10"/>
      <c r="V2534" s="10"/>
      <c r="W2534" s="10" t="s">
        <v>19139</v>
      </c>
      <c r="X2534" s="10" t="s">
        <v>130</v>
      </c>
      <c r="Y2534" s="10" t="s">
        <v>130</v>
      </c>
      <c r="Z2534" s="10" t="s">
        <v>99</v>
      </c>
      <c r="AA2534" s="10" t="s">
        <v>131</v>
      </c>
      <c r="AB2534" s="10" t="s">
        <v>19140</v>
      </c>
      <c r="AC2534" s="10" t="s">
        <v>9022</v>
      </c>
      <c r="AD2534" s="10" t="s">
        <v>165</v>
      </c>
      <c r="AE2534" s="10" t="s">
        <v>19141</v>
      </c>
      <c r="AF2534" s="15"/>
      <c r="AG2534" s="10"/>
      <c r="AH2534" s="10"/>
      <c r="AI2534" s="10"/>
      <c r="AJ2534" s="10"/>
      <c r="AK2534" s="10" t="s">
        <v>102</v>
      </c>
      <c r="AL2534" s="10"/>
      <c r="AM2534" s="10"/>
      <c r="AN2534" s="10"/>
      <c r="AO2534" s="13" t="b">
        <v>0</v>
      </c>
      <c r="AP2534" s="22" t="s">
        <v>104</v>
      </c>
      <c r="AQ2534" s="10">
        <f ca="1">IFERROR(__xludf.DUMMYFUNCTION("""COMPUTED_VALUE"""),19812)</f>
        <v>19812</v>
      </c>
      <c r="AR2534" s="21">
        <v>29</v>
      </c>
      <c r="AS2534" s="21">
        <v>28</v>
      </c>
      <c r="AT2534" s="21">
        <v>61</v>
      </c>
      <c r="AU2534" s="21">
        <v>0</v>
      </c>
      <c r="AV2534" s="21">
        <v>0</v>
      </c>
      <c r="AW2534" s="22" t="s">
        <v>105</v>
      </c>
      <c r="AX2534" s="17"/>
      <c r="AY2534" s="18">
        <v>5.9845876145515131</v>
      </c>
      <c r="AZ2534" s="10"/>
      <c r="BA2534" s="20" t="b">
        <v>1</v>
      </c>
      <c r="BB2534" s="10"/>
      <c r="BC2534" s="17">
        <v>4186</v>
      </c>
      <c r="BD2534" s="17">
        <v>3601</v>
      </c>
      <c r="BE2534" s="17">
        <v>21550.5</v>
      </c>
      <c r="BF2534" s="17">
        <v>0</v>
      </c>
      <c r="BG2534" s="11">
        <f ca="1">IFERROR(__xludf.DUMMYFUNCTION("""COMPUTED_VALUE"""),45970.2916666666)</f>
        <v>45970.291666666599</v>
      </c>
      <c r="BH2534" s="17" t="s">
        <v>105</v>
      </c>
      <c r="BI2534" s="17"/>
      <c r="BJ2534" s="15"/>
      <c r="BK2534" s="15"/>
      <c r="BL2534" s="13" t="b">
        <v>0</v>
      </c>
      <c r="BM2534" s="10"/>
      <c r="BN2534" s="10" t="s">
        <v>634</v>
      </c>
      <c r="BO2534" s="11">
        <v>45968.587500000001</v>
      </c>
      <c r="BP2534" s="11">
        <v>45968.588171296295</v>
      </c>
      <c r="BQ2534" s="15">
        <v>45968.591273148151</v>
      </c>
      <c r="BR2534" s="15">
        <v>45969.818043981482</v>
      </c>
      <c r="BS2534" s="10" t="s">
        <v>634</v>
      </c>
      <c r="BT2534" s="10"/>
      <c r="BU2534" s="10"/>
      <c r="BV2534" s="10"/>
      <c r="BW2534" s="10"/>
      <c r="BX2534" s="10"/>
      <c r="BY2534" s="23"/>
      <c r="BZ2534" s="23"/>
      <c r="CA2534" s="19" t="s">
        <v>19142</v>
      </c>
      <c r="CB2534" s="23"/>
      <c r="CC2534" s="23"/>
      <c r="CD2534" s="23"/>
      <c r="CE2534" s="23"/>
      <c r="CF2534" s="23"/>
      <c r="CG2534" s="23"/>
      <c r="CH2534" s="23"/>
      <c r="CI2534" s="23"/>
    </row>
    <row r="2535" spans="1:87" x14ac:dyDescent="0.3">
      <c r="A2535" s="25" t="s">
        <v>19149</v>
      </c>
      <c r="B2535" s="10" t="s">
        <v>19150</v>
      </c>
      <c r="C2535" s="11">
        <v>45970.291666666664</v>
      </c>
      <c r="D2535" s="12">
        <v>0.29166666666666669</v>
      </c>
      <c r="E2535" s="11">
        <v>45970.583333333336</v>
      </c>
      <c r="F2535" s="10" t="s">
        <v>19136</v>
      </c>
      <c r="G2535" s="13" t="b">
        <v>0</v>
      </c>
      <c r="H2535" s="22" t="s">
        <v>9017</v>
      </c>
      <c r="I2535" s="10" t="s">
        <v>212</v>
      </c>
      <c r="J2535" s="13" t="b">
        <v>1</v>
      </c>
      <c r="K2535" s="13" t="b">
        <v>0</v>
      </c>
      <c r="L2535" s="10" t="s">
        <v>124</v>
      </c>
      <c r="M2535" s="10" t="s">
        <v>91</v>
      </c>
      <c r="N2535" s="10" t="s">
        <v>92</v>
      </c>
      <c r="O2535" s="19" t="s">
        <v>19151</v>
      </c>
      <c r="P2535" s="10"/>
      <c r="Q2535" s="10" t="s">
        <v>94</v>
      </c>
      <c r="R2535" s="10"/>
      <c r="S2535" s="19" t="s">
        <v>19138</v>
      </c>
      <c r="T2535" s="10"/>
      <c r="U2535" s="10"/>
      <c r="V2535" s="10"/>
      <c r="W2535" s="10" t="s">
        <v>19139</v>
      </c>
      <c r="X2535" s="10" t="s">
        <v>130</v>
      </c>
      <c r="Y2535" s="10" t="s">
        <v>130</v>
      </c>
      <c r="Z2535" s="10" t="s">
        <v>99</v>
      </c>
      <c r="AA2535" s="10" t="s">
        <v>131</v>
      </c>
      <c r="AB2535" s="10" t="s">
        <v>19140</v>
      </c>
      <c r="AC2535" s="10" t="s">
        <v>9022</v>
      </c>
      <c r="AD2535" s="10" t="s">
        <v>165</v>
      </c>
      <c r="AE2535" s="10" t="s">
        <v>19152</v>
      </c>
      <c r="AF2535" s="15"/>
      <c r="AG2535" s="10"/>
      <c r="AH2535" s="10"/>
      <c r="AI2535" s="10"/>
      <c r="AJ2535" s="10"/>
      <c r="AK2535" s="10" t="s">
        <v>102</v>
      </c>
      <c r="AL2535" s="10" t="s">
        <v>7897</v>
      </c>
      <c r="AM2535" s="10"/>
      <c r="AN2535" s="10"/>
      <c r="AO2535" s="13" t="b">
        <v>0</v>
      </c>
      <c r="AP2535" s="22" t="s">
        <v>104</v>
      </c>
      <c r="AQ2535" s="10">
        <f ca="1">IFERROR(__xludf.DUMMYFUNCTION("""COMPUTED_VALUE"""),19813)</f>
        <v>19813</v>
      </c>
      <c r="AR2535" s="21">
        <v>29</v>
      </c>
      <c r="AS2535" s="21">
        <v>27</v>
      </c>
      <c r="AT2535" s="21">
        <v>54</v>
      </c>
      <c r="AU2535" s="21">
        <v>0</v>
      </c>
      <c r="AV2535" s="21">
        <v>0</v>
      </c>
      <c r="AW2535" s="22" t="s">
        <v>105</v>
      </c>
      <c r="AX2535" s="17"/>
      <c r="AY2535" s="18">
        <v>7.9312470916705449</v>
      </c>
      <c r="AZ2535" s="10"/>
      <c r="BA2535" s="20" t="b">
        <v>1</v>
      </c>
      <c r="BB2535" s="10"/>
      <c r="BC2535" s="17">
        <v>2576</v>
      </c>
      <c r="BD2535" s="17">
        <v>2149</v>
      </c>
      <c r="BE2535" s="17">
        <v>17044.25</v>
      </c>
      <c r="BF2535" s="17">
        <v>0</v>
      </c>
      <c r="BG2535" s="11">
        <f ca="1">IFERROR(__xludf.DUMMYFUNCTION("""COMPUTED_VALUE"""),45970.2916666666)</f>
        <v>45970.291666666599</v>
      </c>
      <c r="BH2535" s="17" t="s">
        <v>105</v>
      </c>
      <c r="BI2535" s="17"/>
      <c r="BJ2535" s="15"/>
      <c r="BK2535" s="15"/>
      <c r="BL2535" s="13" t="b">
        <v>0</v>
      </c>
      <c r="BM2535" s="10"/>
      <c r="BN2535" s="10" t="s">
        <v>197</v>
      </c>
      <c r="BO2535" s="11">
        <v>45968.590277777781</v>
      </c>
      <c r="BP2535" s="11">
        <v>45968.590578703705</v>
      </c>
      <c r="BQ2535" s="15">
        <v>45968.591307870367</v>
      </c>
      <c r="BR2535" s="15">
        <v>45969.906481481485</v>
      </c>
      <c r="BS2535" s="10" t="s">
        <v>197</v>
      </c>
      <c r="BT2535" s="10"/>
      <c r="BU2535" s="10"/>
      <c r="BV2535" s="10"/>
      <c r="BW2535" s="10"/>
      <c r="BX2535" s="10"/>
      <c r="BY2535" s="23"/>
      <c r="BZ2535" s="23"/>
      <c r="CA2535" s="19" t="s">
        <v>19142</v>
      </c>
      <c r="CB2535" s="23"/>
      <c r="CC2535" s="23"/>
      <c r="CD2535" s="23"/>
      <c r="CE2535" s="23"/>
      <c r="CF2535" s="23"/>
      <c r="CG2535" s="23"/>
      <c r="CH2535" s="23"/>
      <c r="CI2535" s="23"/>
    </row>
    <row r="2536" spans="1:87" x14ac:dyDescent="0.3">
      <c r="A2536" s="9" t="s">
        <v>19153</v>
      </c>
      <c r="B2536" s="10" t="s">
        <v>19154</v>
      </c>
      <c r="C2536" s="11">
        <v>45969.291666666664</v>
      </c>
      <c r="D2536" s="12">
        <v>4.8611111111111112E-2</v>
      </c>
      <c r="E2536" s="11">
        <v>45969.340277777781</v>
      </c>
      <c r="F2536" s="10" t="s">
        <v>19136</v>
      </c>
      <c r="G2536" s="13" t="b">
        <v>0</v>
      </c>
      <c r="H2536" s="22" t="s">
        <v>9017</v>
      </c>
      <c r="I2536" s="10" t="s">
        <v>212</v>
      </c>
      <c r="J2536" s="13" t="b">
        <v>1</v>
      </c>
      <c r="K2536" s="13" t="b">
        <v>0</v>
      </c>
      <c r="L2536" s="10" t="s">
        <v>124</v>
      </c>
      <c r="M2536" s="10" t="s">
        <v>91</v>
      </c>
      <c r="N2536" s="10" t="s">
        <v>92</v>
      </c>
      <c r="O2536" s="19" t="s">
        <v>19155</v>
      </c>
      <c r="P2536" s="10"/>
      <c r="Q2536" s="10" t="s">
        <v>94</v>
      </c>
      <c r="R2536" s="10"/>
      <c r="S2536" s="19" t="s">
        <v>19138</v>
      </c>
      <c r="T2536" s="10"/>
      <c r="U2536" s="10"/>
      <c r="V2536" s="10"/>
      <c r="W2536" s="10" t="s">
        <v>19139</v>
      </c>
      <c r="X2536" s="10" t="s">
        <v>130</v>
      </c>
      <c r="Y2536" s="10" t="s">
        <v>130</v>
      </c>
      <c r="Z2536" s="10" t="s">
        <v>99</v>
      </c>
      <c r="AA2536" s="10" t="s">
        <v>131</v>
      </c>
      <c r="AB2536" s="10" t="s">
        <v>19140</v>
      </c>
      <c r="AC2536" s="10" t="s">
        <v>9022</v>
      </c>
      <c r="AD2536" s="10" t="s">
        <v>165</v>
      </c>
      <c r="AE2536" s="10" t="s">
        <v>19156</v>
      </c>
      <c r="AF2536" s="15"/>
      <c r="AG2536" s="10"/>
      <c r="AH2536" s="10"/>
      <c r="AI2536" s="10"/>
      <c r="AJ2536" s="10"/>
      <c r="AK2536" s="10" t="s">
        <v>102</v>
      </c>
      <c r="AL2536" s="10" t="s">
        <v>7897</v>
      </c>
      <c r="AM2536" s="10"/>
      <c r="AN2536" s="10"/>
      <c r="AO2536" s="13" t="b">
        <v>0</v>
      </c>
      <c r="AP2536" s="22" t="s">
        <v>104</v>
      </c>
      <c r="AQ2536" s="10">
        <f ca="1">IFERROR(__xludf.DUMMYFUNCTION("""COMPUTED_VALUE"""),4708362)</f>
        <v>4708362</v>
      </c>
      <c r="AR2536" s="17">
        <v>417</v>
      </c>
      <c r="AS2536" s="17">
        <v>339</v>
      </c>
      <c r="AT2536" s="17">
        <v>1537.25</v>
      </c>
      <c r="AU2536" s="17">
        <v>0</v>
      </c>
      <c r="AV2536" s="17">
        <v>0</v>
      </c>
      <c r="AW2536" s="10" t="s">
        <v>105</v>
      </c>
      <c r="AX2536" s="17">
        <v>61</v>
      </c>
      <c r="AY2536" s="18">
        <v>4.5346607669616521</v>
      </c>
      <c r="AZ2536" s="10"/>
      <c r="BA2536" s="20" t="b">
        <v>0</v>
      </c>
      <c r="BB2536" s="10" t="s">
        <v>19134</v>
      </c>
      <c r="BC2536" s="17">
        <v>417</v>
      </c>
      <c r="BD2536" s="17">
        <v>339</v>
      </c>
      <c r="BE2536" s="17">
        <v>1537.25</v>
      </c>
      <c r="BF2536" s="17">
        <v>0</v>
      </c>
      <c r="BG2536" s="11">
        <f ca="1">IFERROR(__xludf.DUMMYFUNCTION("""COMPUTED_VALUE"""),45969.2916666666)</f>
        <v>45969.291666666599</v>
      </c>
      <c r="BH2536" s="17" t="s">
        <v>105</v>
      </c>
      <c r="BI2536" s="17"/>
      <c r="BJ2536" s="15"/>
      <c r="BK2536" s="15"/>
      <c r="BL2536" s="13" t="b">
        <v>0</v>
      </c>
      <c r="BM2536" s="10"/>
      <c r="BN2536" s="10" t="s">
        <v>1160</v>
      </c>
      <c r="BO2536" s="11">
        <v>45968.592361111114</v>
      </c>
      <c r="BP2536" s="11">
        <v>45968.592974537038</v>
      </c>
      <c r="BQ2536" s="15"/>
      <c r="BR2536" s="15">
        <v>45968.9296875</v>
      </c>
      <c r="BS2536" s="10" t="s">
        <v>1160</v>
      </c>
      <c r="BT2536" s="10"/>
      <c r="BU2536" s="10"/>
      <c r="BV2536" s="10"/>
      <c r="BW2536" s="10"/>
      <c r="BX2536" s="10"/>
      <c r="BY2536" s="23"/>
      <c r="BZ2536" s="23"/>
      <c r="CA2536" s="19" t="s">
        <v>19142</v>
      </c>
      <c r="CB2536" s="23"/>
      <c r="CC2536" s="23"/>
      <c r="CD2536" s="23"/>
      <c r="CE2536" s="23"/>
      <c r="CF2536" s="23"/>
      <c r="CG2536" s="23"/>
      <c r="CH2536" s="23"/>
      <c r="CI2536" s="23"/>
    </row>
    <row r="2537" spans="1:87" x14ac:dyDescent="0.3">
      <c r="A2537" s="9" t="s">
        <v>19157</v>
      </c>
      <c r="B2537" s="10" t="s">
        <v>19158</v>
      </c>
      <c r="C2537" s="11">
        <v>45969.340277777781</v>
      </c>
      <c r="D2537" s="12">
        <v>4.8611111111111112E-2</v>
      </c>
      <c r="E2537" s="11">
        <v>45969.388888888891</v>
      </c>
      <c r="F2537" s="10" t="s">
        <v>19136</v>
      </c>
      <c r="G2537" s="13" t="b">
        <v>0</v>
      </c>
      <c r="H2537" s="22" t="s">
        <v>9017</v>
      </c>
      <c r="I2537" s="10" t="s">
        <v>212</v>
      </c>
      <c r="J2537" s="13" t="b">
        <v>1</v>
      </c>
      <c r="K2537" s="13" t="b">
        <v>0</v>
      </c>
      <c r="L2537" s="10" t="s">
        <v>124</v>
      </c>
      <c r="M2537" s="10" t="s">
        <v>91</v>
      </c>
      <c r="N2537" s="10" t="s">
        <v>92</v>
      </c>
      <c r="O2537" s="19" t="s">
        <v>19159</v>
      </c>
      <c r="P2537" s="10"/>
      <c r="Q2537" s="10" t="s">
        <v>94</v>
      </c>
      <c r="R2537" s="10"/>
      <c r="S2537" s="19" t="s">
        <v>19138</v>
      </c>
      <c r="T2537" s="10"/>
      <c r="U2537" s="10"/>
      <c r="V2537" s="10"/>
      <c r="W2537" s="10" t="s">
        <v>19139</v>
      </c>
      <c r="X2537" s="10" t="s">
        <v>130</v>
      </c>
      <c r="Y2537" s="10" t="s">
        <v>130</v>
      </c>
      <c r="Z2537" s="10" t="s">
        <v>99</v>
      </c>
      <c r="AA2537" s="10" t="s">
        <v>131</v>
      </c>
      <c r="AB2537" s="10" t="s">
        <v>19140</v>
      </c>
      <c r="AC2537" s="10" t="s">
        <v>9022</v>
      </c>
      <c r="AD2537" s="10" t="s">
        <v>165</v>
      </c>
      <c r="AE2537" s="10" t="s">
        <v>19160</v>
      </c>
      <c r="AF2537" s="15"/>
      <c r="AG2537" s="10"/>
      <c r="AH2537" s="10"/>
      <c r="AI2537" s="10"/>
      <c r="AJ2537" s="10"/>
      <c r="AK2537" s="10" t="s">
        <v>102</v>
      </c>
      <c r="AL2537" s="10" t="s">
        <v>7897</v>
      </c>
      <c r="AM2537" s="10"/>
      <c r="AN2537" s="10"/>
      <c r="AO2537" s="13" t="b">
        <v>0</v>
      </c>
      <c r="AP2537" s="22" t="s">
        <v>104</v>
      </c>
      <c r="AQ2537" s="10">
        <f ca="1">IFERROR(__xludf.DUMMYFUNCTION("""COMPUTED_VALUE"""),4708367)</f>
        <v>4708367</v>
      </c>
      <c r="AR2537" s="17">
        <v>370</v>
      </c>
      <c r="AS2537" s="17">
        <v>314</v>
      </c>
      <c r="AT2537" s="17">
        <v>1617.5</v>
      </c>
      <c r="AU2537" s="17">
        <v>0.65</v>
      </c>
      <c r="AV2537" s="17">
        <v>0.65</v>
      </c>
      <c r="AW2537" s="10" t="s">
        <v>105</v>
      </c>
      <c r="AX2537" s="17">
        <v>65</v>
      </c>
      <c r="AY2537" s="18">
        <v>5.1512738853503182</v>
      </c>
      <c r="AZ2537" s="10"/>
      <c r="BA2537" s="20" t="b">
        <v>0</v>
      </c>
      <c r="BB2537" s="10" t="s">
        <v>19134</v>
      </c>
      <c r="BC2537" s="17">
        <v>370</v>
      </c>
      <c r="BD2537" s="17">
        <v>314</v>
      </c>
      <c r="BE2537" s="17">
        <v>1617.5</v>
      </c>
      <c r="BF2537" s="17">
        <v>0.65</v>
      </c>
      <c r="BG2537" s="11">
        <f ca="1">IFERROR(__xludf.DUMMYFUNCTION("""COMPUTED_VALUE"""),45969.3402777777)</f>
        <v>45969.340277777701</v>
      </c>
      <c r="BH2537" s="17" t="s">
        <v>105</v>
      </c>
      <c r="BI2537" s="17"/>
      <c r="BJ2537" s="15"/>
      <c r="BK2537" s="15"/>
      <c r="BL2537" s="13" t="b">
        <v>0</v>
      </c>
      <c r="BM2537" s="10"/>
      <c r="BN2537" s="10" t="s">
        <v>1160</v>
      </c>
      <c r="BO2537" s="11">
        <v>45968.592361111114</v>
      </c>
      <c r="BP2537" s="11">
        <v>45968.593101851853</v>
      </c>
      <c r="BQ2537" s="15"/>
      <c r="BR2537" s="15">
        <v>45968.929861111108</v>
      </c>
      <c r="BS2537" s="10" t="s">
        <v>1160</v>
      </c>
      <c r="BT2537" s="10"/>
      <c r="BU2537" s="10"/>
      <c r="BV2537" s="10"/>
      <c r="BW2537" s="10"/>
      <c r="BX2537" s="10"/>
      <c r="BY2537" s="23"/>
      <c r="BZ2537" s="23"/>
      <c r="CA2537" s="19" t="s">
        <v>19142</v>
      </c>
      <c r="CB2537" s="23"/>
      <c r="CC2537" s="23"/>
      <c r="CD2537" s="23"/>
      <c r="CE2537" s="23"/>
      <c r="CF2537" s="23"/>
      <c r="CG2537" s="23"/>
      <c r="CH2537" s="23"/>
      <c r="CI2537" s="23"/>
    </row>
    <row r="2538" spans="1:87" x14ac:dyDescent="0.3">
      <c r="A2538" s="9" t="s">
        <v>19161</v>
      </c>
      <c r="B2538" s="10" t="s">
        <v>19162</v>
      </c>
      <c r="C2538" s="11">
        <v>45969.388888888891</v>
      </c>
      <c r="D2538" s="12">
        <v>4.8611111111111112E-2</v>
      </c>
      <c r="E2538" s="11">
        <v>45969.4375</v>
      </c>
      <c r="F2538" s="10" t="s">
        <v>19136</v>
      </c>
      <c r="G2538" s="13" t="b">
        <v>0</v>
      </c>
      <c r="H2538" s="22" t="s">
        <v>9017</v>
      </c>
      <c r="I2538" s="10" t="s">
        <v>212</v>
      </c>
      <c r="J2538" s="13" t="b">
        <v>1</v>
      </c>
      <c r="K2538" s="13" t="b">
        <v>0</v>
      </c>
      <c r="L2538" s="10" t="s">
        <v>124</v>
      </c>
      <c r="M2538" s="10" t="s">
        <v>91</v>
      </c>
      <c r="N2538" s="10" t="s">
        <v>92</v>
      </c>
      <c r="O2538" s="19" t="s">
        <v>19163</v>
      </c>
      <c r="P2538" s="10"/>
      <c r="Q2538" s="10" t="s">
        <v>94</v>
      </c>
      <c r="R2538" s="10"/>
      <c r="S2538" s="19" t="s">
        <v>19138</v>
      </c>
      <c r="T2538" s="10"/>
      <c r="U2538" s="10"/>
      <c r="V2538" s="10"/>
      <c r="W2538" s="10" t="s">
        <v>19139</v>
      </c>
      <c r="X2538" s="10" t="s">
        <v>130</v>
      </c>
      <c r="Y2538" s="10" t="s">
        <v>130</v>
      </c>
      <c r="Z2538" s="10" t="s">
        <v>99</v>
      </c>
      <c r="AA2538" s="10" t="s">
        <v>131</v>
      </c>
      <c r="AB2538" s="10" t="s">
        <v>19140</v>
      </c>
      <c r="AC2538" s="10" t="s">
        <v>9022</v>
      </c>
      <c r="AD2538" s="10" t="s">
        <v>165</v>
      </c>
      <c r="AE2538" s="10" t="s">
        <v>19164</v>
      </c>
      <c r="AF2538" s="15"/>
      <c r="AG2538" s="10"/>
      <c r="AH2538" s="10"/>
      <c r="AI2538" s="10"/>
      <c r="AJ2538" s="10"/>
      <c r="AK2538" s="10" t="s">
        <v>102</v>
      </c>
      <c r="AL2538" s="10" t="s">
        <v>7897</v>
      </c>
      <c r="AM2538" s="10"/>
      <c r="AN2538" s="10"/>
      <c r="AO2538" s="13" t="b">
        <v>0</v>
      </c>
      <c r="AP2538" s="22" t="s">
        <v>104</v>
      </c>
      <c r="AQ2538" s="10">
        <f ca="1">IFERROR(__xludf.DUMMYFUNCTION("""COMPUTED_VALUE"""),4708363)</f>
        <v>4708363</v>
      </c>
      <c r="AR2538" s="17">
        <v>374</v>
      </c>
      <c r="AS2538" s="17">
        <v>298</v>
      </c>
      <c r="AT2538" s="17">
        <v>1744.75</v>
      </c>
      <c r="AU2538" s="17">
        <v>0</v>
      </c>
      <c r="AV2538" s="17">
        <v>0</v>
      </c>
      <c r="AW2538" s="10" t="s">
        <v>105</v>
      </c>
      <c r="AX2538" s="17">
        <v>82</v>
      </c>
      <c r="AY2538" s="18">
        <v>5.8548657718120802</v>
      </c>
      <c r="AZ2538" s="10"/>
      <c r="BA2538" s="20" t="b">
        <v>0</v>
      </c>
      <c r="BB2538" s="10" t="s">
        <v>19134</v>
      </c>
      <c r="BC2538" s="17">
        <v>374</v>
      </c>
      <c r="BD2538" s="17">
        <v>298</v>
      </c>
      <c r="BE2538" s="17">
        <v>1744.75</v>
      </c>
      <c r="BF2538" s="17">
        <v>0</v>
      </c>
      <c r="BG2538" s="11">
        <f ca="1">IFERROR(__xludf.DUMMYFUNCTION("""COMPUTED_VALUE"""),45969.3888888888)</f>
        <v>45969.388888888803</v>
      </c>
      <c r="BH2538" s="17" t="s">
        <v>105</v>
      </c>
      <c r="BI2538" s="17"/>
      <c r="BJ2538" s="15"/>
      <c r="BK2538" s="15"/>
      <c r="BL2538" s="13" t="b">
        <v>0</v>
      </c>
      <c r="BM2538" s="10"/>
      <c r="BN2538" s="10" t="s">
        <v>1160</v>
      </c>
      <c r="BO2538" s="11">
        <v>45968.593055555553</v>
      </c>
      <c r="BP2538" s="11">
        <v>45968.593182870369</v>
      </c>
      <c r="BQ2538" s="15"/>
      <c r="BR2538" s="15">
        <v>45968.9299537037</v>
      </c>
      <c r="BS2538" s="10" t="s">
        <v>1160</v>
      </c>
      <c r="BT2538" s="10"/>
      <c r="BU2538" s="10"/>
      <c r="BV2538" s="10"/>
      <c r="BW2538" s="10"/>
      <c r="BX2538" s="10"/>
      <c r="BY2538" s="23"/>
      <c r="BZ2538" s="23"/>
      <c r="CA2538" s="19" t="s">
        <v>19142</v>
      </c>
      <c r="CB2538" s="23"/>
      <c r="CC2538" s="23"/>
      <c r="CD2538" s="23"/>
      <c r="CE2538" s="23"/>
      <c r="CF2538" s="23"/>
      <c r="CG2538" s="23"/>
      <c r="CH2538" s="23"/>
      <c r="CI2538" s="23"/>
    </row>
    <row r="2539" spans="1:87" x14ac:dyDescent="0.3">
      <c r="A2539" s="9" t="s">
        <v>19165</v>
      </c>
      <c r="B2539" s="10" t="s">
        <v>19166</v>
      </c>
      <c r="C2539" s="11">
        <v>45969.4375</v>
      </c>
      <c r="D2539" s="12">
        <v>4.8611111111111112E-2</v>
      </c>
      <c r="E2539" s="11">
        <v>45969.486111111109</v>
      </c>
      <c r="F2539" s="10" t="s">
        <v>19136</v>
      </c>
      <c r="G2539" s="13" t="b">
        <v>0</v>
      </c>
      <c r="H2539" s="22" t="s">
        <v>9017</v>
      </c>
      <c r="I2539" s="10" t="s">
        <v>212</v>
      </c>
      <c r="J2539" s="13" t="b">
        <v>1</v>
      </c>
      <c r="K2539" s="13" t="b">
        <v>0</v>
      </c>
      <c r="L2539" s="10" t="s">
        <v>124</v>
      </c>
      <c r="M2539" s="10" t="s">
        <v>91</v>
      </c>
      <c r="N2539" s="10" t="s">
        <v>92</v>
      </c>
      <c r="O2539" s="19" t="s">
        <v>19167</v>
      </c>
      <c r="P2539" s="10"/>
      <c r="Q2539" s="10" t="s">
        <v>94</v>
      </c>
      <c r="R2539" s="10"/>
      <c r="S2539" s="19" t="s">
        <v>19138</v>
      </c>
      <c r="T2539" s="10"/>
      <c r="U2539" s="10"/>
      <c r="V2539" s="10"/>
      <c r="W2539" s="10" t="s">
        <v>19139</v>
      </c>
      <c r="X2539" s="10" t="s">
        <v>130</v>
      </c>
      <c r="Y2539" s="10" t="s">
        <v>130</v>
      </c>
      <c r="Z2539" s="10" t="s">
        <v>99</v>
      </c>
      <c r="AA2539" s="10" t="s">
        <v>131</v>
      </c>
      <c r="AB2539" s="10" t="s">
        <v>19140</v>
      </c>
      <c r="AC2539" s="10" t="s">
        <v>9022</v>
      </c>
      <c r="AD2539" s="10" t="s">
        <v>165</v>
      </c>
      <c r="AE2539" s="10" t="s">
        <v>19168</v>
      </c>
      <c r="AF2539" s="15"/>
      <c r="AG2539" s="10"/>
      <c r="AH2539" s="10"/>
      <c r="AI2539" s="10"/>
      <c r="AJ2539" s="10"/>
      <c r="AK2539" s="10" t="s">
        <v>102</v>
      </c>
      <c r="AL2539" s="10" t="s">
        <v>7897</v>
      </c>
      <c r="AM2539" s="10"/>
      <c r="AN2539" s="10"/>
      <c r="AO2539" s="13" t="b">
        <v>0</v>
      </c>
      <c r="AP2539" s="22" t="s">
        <v>104</v>
      </c>
      <c r="AQ2539" s="10">
        <f ca="1">IFERROR(__xludf.DUMMYFUNCTION("""COMPUTED_VALUE"""),4708364)</f>
        <v>4708364</v>
      </c>
      <c r="AR2539" s="17">
        <v>500</v>
      </c>
      <c r="AS2539" s="17">
        <v>401</v>
      </c>
      <c r="AT2539" s="17">
        <v>2904</v>
      </c>
      <c r="AU2539" s="17">
        <v>0</v>
      </c>
      <c r="AV2539" s="17">
        <v>0</v>
      </c>
      <c r="AW2539" s="10" t="s">
        <v>105</v>
      </c>
      <c r="AX2539" s="17">
        <v>74</v>
      </c>
      <c r="AY2539" s="18">
        <v>7.2418952618453867</v>
      </c>
      <c r="AZ2539" s="10"/>
      <c r="BA2539" s="20" t="b">
        <v>0</v>
      </c>
      <c r="BB2539" s="10" t="s">
        <v>19134</v>
      </c>
      <c r="BC2539" s="17">
        <v>500</v>
      </c>
      <c r="BD2539" s="17">
        <v>401</v>
      </c>
      <c r="BE2539" s="17">
        <v>2904</v>
      </c>
      <c r="BF2539" s="17">
        <v>0</v>
      </c>
      <c r="BG2539" s="11">
        <f ca="1">IFERROR(__xludf.DUMMYFUNCTION("""COMPUTED_VALUE"""),45969.4375)</f>
        <v>45969.4375</v>
      </c>
      <c r="BH2539" s="17" t="s">
        <v>105</v>
      </c>
      <c r="BI2539" s="17"/>
      <c r="BJ2539" s="15"/>
      <c r="BK2539" s="15"/>
      <c r="BL2539" s="13" t="b">
        <v>0</v>
      </c>
      <c r="BM2539" s="10"/>
      <c r="BN2539" s="10" t="s">
        <v>1160</v>
      </c>
      <c r="BO2539" s="11">
        <v>45968.593055555553</v>
      </c>
      <c r="BP2539" s="11">
        <v>45968.593275462961</v>
      </c>
      <c r="BQ2539" s="15"/>
      <c r="BR2539" s="15">
        <v>45968.930034722223</v>
      </c>
      <c r="BS2539" s="10" t="s">
        <v>1160</v>
      </c>
      <c r="BT2539" s="10"/>
      <c r="BU2539" s="10"/>
      <c r="BV2539" s="10"/>
      <c r="BW2539" s="10"/>
      <c r="BX2539" s="10"/>
      <c r="BY2539" s="23"/>
      <c r="BZ2539" s="23"/>
      <c r="CA2539" s="19" t="s">
        <v>19142</v>
      </c>
      <c r="CB2539" s="23"/>
      <c r="CC2539" s="23"/>
      <c r="CD2539" s="23"/>
      <c r="CE2539" s="23"/>
      <c r="CF2539" s="23"/>
      <c r="CG2539" s="23"/>
      <c r="CH2539" s="23"/>
      <c r="CI2539" s="23"/>
    </row>
    <row r="2540" spans="1:87" x14ac:dyDescent="0.3">
      <c r="A2540" s="9" t="s">
        <v>19169</v>
      </c>
      <c r="B2540" s="10" t="s">
        <v>19170</v>
      </c>
      <c r="C2540" s="11">
        <v>45969.486111111109</v>
      </c>
      <c r="D2540" s="12">
        <v>4.8611111111111112E-2</v>
      </c>
      <c r="E2540" s="11">
        <v>45969.534722222219</v>
      </c>
      <c r="F2540" s="10" t="s">
        <v>19136</v>
      </c>
      <c r="G2540" s="13" t="b">
        <v>0</v>
      </c>
      <c r="H2540" s="22" t="s">
        <v>9017</v>
      </c>
      <c r="I2540" s="10" t="s">
        <v>212</v>
      </c>
      <c r="J2540" s="13" t="b">
        <v>1</v>
      </c>
      <c r="K2540" s="13" t="b">
        <v>0</v>
      </c>
      <c r="L2540" s="10" t="s">
        <v>124</v>
      </c>
      <c r="M2540" s="10" t="s">
        <v>91</v>
      </c>
      <c r="N2540" s="10" t="s">
        <v>92</v>
      </c>
      <c r="O2540" s="19" t="s">
        <v>19171</v>
      </c>
      <c r="P2540" s="10"/>
      <c r="Q2540" s="10" t="s">
        <v>94</v>
      </c>
      <c r="R2540" s="10"/>
      <c r="S2540" s="19" t="s">
        <v>19138</v>
      </c>
      <c r="T2540" s="10"/>
      <c r="U2540" s="10"/>
      <c r="V2540" s="10"/>
      <c r="W2540" s="10" t="s">
        <v>19139</v>
      </c>
      <c r="X2540" s="10" t="s">
        <v>130</v>
      </c>
      <c r="Y2540" s="10" t="s">
        <v>130</v>
      </c>
      <c r="Z2540" s="10" t="s">
        <v>99</v>
      </c>
      <c r="AA2540" s="10" t="s">
        <v>131</v>
      </c>
      <c r="AB2540" s="10" t="s">
        <v>19140</v>
      </c>
      <c r="AC2540" s="10" t="s">
        <v>9022</v>
      </c>
      <c r="AD2540" s="10" t="s">
        <v>165</v>
      </c>
      <c r="AE2540" s="10" t="s">
        <v>19172</v>
      </c>
      <c r="AF2540" s="15"/>
      <c r="AG2540" s="10"/>
      <c r="AH2540" s="10"/>
      <c r="AI2540" s="10"/>
      <c r="AJ2540" s="10"/>
      <c r="AK2540" s="10" t="s">
        <v>102</v>
      </c>
      <c r="AL2540" s="10" t="s">
        <v>7897</v>
      </c>
      <c r="AM2540" s="10"/>
      <c r="AN2540" s="10"/>
      <c r="AO2540" s="13" t="b">
        <v>0</v>
      </c>
      <c r="AP2540" s="22" t="s">
        <v>104</v>
      </c>
      <c r="AQ2540" s="10">
        <f ca="1">IFERROR(__xludf.DUMMYFUNCTION("""COMPUTED_VALUE"""),4708365)</f>
        <v>4708365</v>
      </c>
      <c r="AR2540" s="17">
        <v>466</v>
      </c>
      <c r="AS2540" s="17">
        <v>395</v>
      </c>
      <c r="AT2540" s="17">
        <v>1897</v>
      </c>
      <c r="AU2540" s="17">
        <v>0</v>
      </c>
      <c r="AV2540" s="17">
        <v>0</v>
      </c>
      <c r="AW2540" s="10" t="s">
        <v>105</v>
      </c>
      <c r="AX2540" s="17">
        <v>88</v>
      </c>
      <c r="AY2540" s="18">
        <v>4.8025316455696201</v>
      </c>
      <c r="AZ2540" s="10"/>
      <c r="BA2540" s="20" t="b">
        <v>0</v>
      </c>
      <c r="BB2540" s="10" t="s">
        <v>19134</v>
      </c>
      <c r="BC2540" s="17">
        <v>466</v>
      </c>
      <c r="BD2540" s="17">
        <v>395</v>
      </c>
      <c r="BE2540" s="17">
        <v>1897</v>
      </c>
      <c r="BF2540" s="17">
        <v>0</v>
      </c>
      <c r="BG2540" s="11">
        <f ca="1">IFERROR(__xludf.DUMMYFUNCTION("""COMPUTED_VALUE"""),45969.4861111111)</f>
        <v>45969.486111111102</v>
      </c>
      <c r="BH2540" s="17" t="s">
        <v>105</v>
      </c>
      <c r="BI2540" s="17"/>
      <c r="BJ2540" s="15"/>
      <c r="BK2540" s="15"/>
      <c r="BL2540" s="13" t="b">
        <v>0</v>
      </c>
      <c r="BM2540" s="10"/>
      <c r="BN2540" s="10" t="s">
        <v>1160</v>
      </c>
      <c r="BO2540" s="11">
        <v>45968.593055555553</v>
      </c>
      <c r="BP2540" s="11">
        <v>45968.593449074076</v>
      </c>
      <c r="BQ2540" s="15"/>
      <c r="BR2540" s="15">
        <v>45968.930138888885</v>
      </c>
      <c r="BS2540" s="10" t="s">
        <v>1160</v>
      </c>
      <c r="BT2540" s="10"/>
      <c r="BU2540" s="10"/>
      <c r="BV2540" s="10"/>
      <c r="BW2540" s="10"/>
      <c r="BX2540" s="10"/>
      <c r="BY2540" s="23"/>
      <c r="BZ2540" s="23"/>
      <c r="CA2540" s="19" t="s">
        <v>19142</v>
      </c>
      <c r="CB2540" s="23"/>
      <c r="CC2540" s="23"/>
      <c r="CD2540" s="23"/>
      <c r="CE2540" s="23"/>
      <c r="CF2540" s="23"/>
      <c r="CG2540" s="23"/>
      <c r="CH2540" s="23"/>
      <c r="CI2540" s="23"/>
    </row>
    <row r="2541" spans="1:87" x14ac:dyDescent="0.3">
      <c r="A2541" s="9" t="s">
        <v>19173</v>
      </c>
      <c r="B2541" s="10" t="s">
        <v>19174</v>
      </c>
      <c r="C2541" s="11">
        <v>45969.534722222219</v>
      </c>
      <c r="D2541" s="12">
        <v>4.8611111111111112E-2</v>
      </c>
      <c r="E2541" s="11">
        <v>45969.583333333336</v>
      </c>
      <c r="F2541" s="10" t="s">
        <v>19136</v>
      </c>
      <c r="G2541" s="13" t="b">
        <v>0</v>
      </c>
      <c r="H2541" s="22" t="s">
        <v>9017</v>
      </c>
      <c r="I2541" s="10" t="s">
        <v>212</v>
      </c>
      <c r="J2541" s="13" t="b">
        <v>1</v>
      </c>
      <c r="K2541" s="13" t="b">
        <v>0</v>
      </c>
      <c r="L2541" s="10" t="s">
        <v>124</v>
      </c>
      <c r="M2541" s="10" t="s">
        <v>91</v>
      </c>
      <c r="N2541" s="10" t="s">
        <v>92</v>
      </c>
      <c r="O2541" s="19" t="s">
        <v>19175</v>
      </c>
      <c r="P2541" s="10"/>
      <c r="Q2541" s="10" t="s">
        <v>94</v>
      </c>
      <c r="R2541" s="10"/>
      <c r="S2541" s="19" t="s">
        <v>19138</v>
      </c>
      <c r="T2541" s="10"/>
      <c r="U2541" s="10"/>
      <c r="V2541" s="10"/>
      <c r="W2541" s="10" t="s">
        <v>19139</v>
      </c>
      <c r="X2541" s="10" t="s">
        <v>130</v>
      </c>
      <c r="Y2541" s="10" t="s">
        <v>130</v>
      </c>
      <c r="Z2541" s="10" t="s">
        <v>99</v>
      </c>
      <c r="AA2541" s="10" t="s">
        <v>131</v>
      </c>
      <c r="AB2541" s="10" t="s">
        <v>19140</v>
      </c>
      <c r="AC2541" s="10" t="s">
        <v>9022</v>
      </c>
      <c r="AD2541" s="10" t="s">
        <v>165</v>
      </c>
      <c r="AE2541" s="10" t="s">
        <v>19176</v>
      </c>
      <c r="AF2541" s="15"/>
      <c r="AG2541" s="10"/>
      <c r="AH2541" s="10"/>
      <c r="AI2541" s="10"/>
      <c r="AJ2541" s="10"/>
      <c r="AK2541" s="10" t="s">
        <v>102</v>
      </c>
      <c r="AL2541" s="10" t="s">
        <v>7897</v>
      </c>
      <c r="AM2541" s="10"/>
      <c r="AN2541" s="10"/>
      <c r="AO2541" s="13" t="b">
        <v>0</v>
      </c>
      <c r="AP2541" s="22" t="s">
        <v>104</v>
      </c>
      <c r="AQ2541" s="10">
        <f ca="1">IFERROR(__xludf.DUMMYFUNCTION("""COMPUTED_VALUE"""),4708366)</f>
        <v>4708366</v>
      </c>
      <c r="AR2541" s="17">
        <v>472</v>
      </c>
      <c r="AS2541" s="17">
        <v>437</v>
      </c>
      <c r="AT2541" s="17">
        <v>2303.25</v>
      </c>
      <c r="AU2541" s="17">
        <v>0</v>
      </c>
      <c r="AV2541" s="17">
        <v>0</v>
      </c>
      <c r="AW2541" s="10" t="s">
        <v>105</v>
      </c>
      <c r="AX2541" s="17">
        <v>86</v>
      </c>
      <c r="AY2541" s="18">
        <v>5.2705949656750573</v>
      </c>
      <c r="AZ2541" s="10"/>
      <c r="BA2541" s="20" t="b">
        <v>0</v>
      </c>
      <c r="BB2541" s="10" t="s">
        <v>19134</v>
      </c>
      <c r="BC2541" s="17">
        <v>472</v>
      </c>
      <c r="BD2541" s="17">
        <v>437</v>
      </c>
      <c r="BE2541" s="17">
        <v>2303.25</v>
      </c>
      <c r="BF2541" s="17">
        <v>0</v>
      </c>
      <c r="BG2541" s="11">
        <f ca="1">IFERROR(__xludf.DUMMYFUNCTION("""COMPUTED_VALUE"""),45969.5347222222)</f>
        <v>45969.534722222197</v>
      </c>
      <c r="BH2541" s="17" t="s">
        <v>105</v>
      </c>
      <c r="BI2541" s="17"/>
      <c r="BJ2541" s="15"/>
      <c r="BK2541" s="15"/>
      <c r="BL2541" s="13" t="b">
        <v>0</v>
      </c>
      <c r="BM2541" s="10"/>
      <c r="BN2541" s="10" t="s">
        <v>1160</v>
      </c>
      <c r="BO2541" s="11">
        <v>45968.593055555553</v>
      </c>
      <c r="BP2541" s="11">
        <v>45968.593506944446</v>
      </c>
      <c r="BQ2541" s="15"/>
      <c r="BR2541" s="15">
        <v>45968.930254629631</v>
      </c>
      <c r="BS2541" s="10" t="s">
        <v>1160</v>
      </c>
      <c r="BT2541" s="10"/>
      <c r="BU2541" s="10"/>
      <c r="BV2541" s="10"/>
      <c r="BW2541" s="10"/>
      <c r="BX2541" s="10"/>
      <c r="BY2541" s="23"/>
      <c r="BZ2541" s="23"/>
      <c r="CA2541" s="19" t="s">
        <v>19142</v>
      </c>
      <c r="CB2541" s="23"/>
      <c r="CC2541" s="23"/>
      <c r="CD2541" s="23"/>
      <c r="CE2541" s="23"/>
      <c r="CF2541" s="23"/>
      <c r="CG2541" s="23"/>
      <c r="CH2541" s="23"/>
      <c r="CI2541" s="23"/>
    </row>
    <row r="2542" spans="1:87" x14ac:dyDescent="0.3">
      <c r="A2542" s="9" t="s">
        <v>19177</v>
      </c>
      <c r="B2542" s="10" t="s">
        <v>19178</v>
      </c>
      <c r="C2542" s="11">
        <v>45969.291666666664</v>
      </c>
      <c r="D2542" s="12">
        <v>4.8611111111111112E-2</v>
      </c>
      <c r="E2542" s="11">
        <v>45969.340277777781</v>
      </c>
      <c r="F2542" s="10" t="s">
        <v>19136</v>
      </c>
      <c r="G2542" s="13" t="b">
        <v>0</v>
      </c>
      <c r="H2542" s="22" t="s">
        <v>9017</v>
      </c>
      <c r="I2542" s="10" t="s">
        <v>212</v>
      </c>
      <c r="J2542" s="13" t="b">
        <v>1</v>
      </c>
      <c r="K2542" s="13" t="b">
        <v>0</v>
      </c>
      <c r="L2542" s="10" t="s">
        <v>124</v>
      </c>
      <c r="M2542" s="10" t="s">
        <v>91</v>
      </c>
      <c r="N2542" s="10" t="s">
        <v>92</v>
      </c>
      <c r="O2542" s="19" t="s">
        <v>19179</v>
      </c>
      <c r="P2542" s="10"/>
      <c r="Q2542" s="10" t="s">
        <v>94</v>
      </c>
      <c r="R2542" s="10"/>
      <c r="S2542" s="19" t="s">
        <v>19138</v>
      </c>
      <c r="T2542" s="10"/>
      <c r="U2542" s="10"/>
      <c r="V2542" s="10"/>
      <c r="W2542" s="10" t="s">
        <v>19139</v>
      </c>
      <c r="X2542" s="10" t="s">
        <v>130</v>
      </c>
      <c r="Y2542" s="10" t="s">
        <v>130</v>
      </c>
      <c r="Z2542" s="10" t="s">
        <v>99</v>
      </c>
      <c r="AA2542" s="10" t="s">
        <v>131</v>
      </c>
      <c r="AB2542" s="10" t="s">
        <v>19140</v>
      </c>
      <c r="AC2542" s="10" t="s">
        <v>9022</v>
      </c>
      <c r="AD2542" s="10" t="s">
        <v>165</v>
      </c>
      <c r="AE2542" s="10" t="s">
        <v>19180</v>
      </c>
      <c r="AF2542" s="15"/>
      <c r="AG2542" s="10"/>
      <c r="AH2542" s="10"/>
      <c r="AI2542" s="10"/>
      <c r="AJ2542" s="10"/>
      <c r="AK2542" s="10" t="s">
        <v>102</v>
      </c>
      <c r="AL2542" s="10" t="s">
        <v>7897</v>
      </c>
      <c r="AM2542" s="10"/>
      <c r="AN2542" s="10"/>
      <c r="AO2542" s="13" t="b">
        <v>0</v>
      </c>
      <c r="AP2542" s="22" t="s">
        <v>104</v>
      </c>
      <c r="AQ2542" s="10">
        <f ca="1">IFERROR(__xludf.DUMMYFUNCTION("""COMPUTED_VALUE"""),4708224)</f>
        <v>4708224</v>
      </c>
      <c r="AR2542" s="17">
        <v>585</v>
      </c>
      <c r="AS2542" s="17">
        <v>454</v>
      </c>
      <c r="AT2542" s="17">
        <v>5108.75</v>
      </c>
      <c r="AU2542" s="17">
        <v>0.75</v>
      </c>
      <c r="AV2542" s="17">
        <v>0</v>
      </c>
      <c r="AW2542" s="10" t="s">
        <v>105</v>
      </c>
      <c r="AX2542" s="17">
        <v>131</v>
      </c>
      <c r="AY2542" s="18">
        <v>11.252753303964758</v>
      </c>
      <c r="AZ2542" s="10"/>
      <c r="BA2542" s="20" t="b">
        <v>0</v>
      </c>
      <c r="BB2542" s="10" t="s">
        <v>19143</v>
      </c>
      <c r="BC2542" s="17">
        <v>585</v>
      </c>
      <c r="BD2542" s="17">
        <v>454</v>
      </c>
      <c r="BE2542" s="17">
        <v>5108.75</v>
      </c>
      <c r="BF2542" s="17">
        <v>0</v>
      </c>
      <c r="BG2542" s="11">
        <f ca="1">IFERROR(__xludf.DUMMYFUNCTION("""COMPUTED_VALUE"""),45969.2916666666)</f>
        <v>45969.291666666599</v>
      </c>
      <c r="BH2542" s="17" t="s">
        <v>105</v>
      </c>
      <c r="BI2542" s="17"/>
      <c r="BJ2542" s="15"/>
      <c r="BK2542" s="15"/>
      <c r="BL2542" s="13" t="b">
        <v>0</v>
      </c>
      <c r="BM2542" s="10"/>
      <c r="BN2542" s="10" t="s">
        <v>1160</v>
      </c>
      <c r="BO2542" s="11">
        <v>45968.59375</v>
      </c>
      <c r="BP2542" s="11">
        <v>45968.594131944446</v>
      </c>
      <c r="BQ2542" s="15"/>
      <c r="BR2542" s="15">
        <v>45968.930949074071</v>
      </c>
      <c r="BS2542" s="10" t="s">
        <v>1160</v>
      </c>
      <c r="BT2542" s="10"/>
      <c r="BU2542" s="10"/>
      <c r="BV2542" s="10"/>
      <c r="BW2542" s="10"/>
      <c r="BX2542" s="10"/>
      <c r="BY2542" s="23"/>
      <c r="BZ2542" s="23"/>
      <c r="CA2542" s="19" t="s">
        <v>19142</v>
      </c>
      <c r="CB2542" s="23"/>
      <c r="CC2542" s="23"/>
      <c r="CD2542" s="23"/>
      <c r="CE2542" s="23"/>
      <c r="CF2542" s="23"/>
      <c r="CG2542" s="23"/>
      <c r="CH2542" s="23"/>
      <c r="CI2542" s="23"/>
    </row>
    <row r="2543" spans="1:87" x14ac:dyDescent="0.3">
      <c r="A2543" s="9" t="s">
        <v>19181</v>
      </c>
      <c r="B2543" s="10" t="s">
        <v>19182</v>
      </c>
      <c r="C2543" s="11">
        <v>45969.340277777781</v>
      </c>
      <c r="D2543" s="12">
        <v>4.8611111111111112E-2</v>
      </c>
      <c r="E2543" s="11">
        <v>45969.388888888891</v>
      </c>
      <c r="F2543" s="10" t="s">
        <v>19136</v>
      </c>
      <c r="G2543" s="13" t="b">
        <v>0</v>
      </c>
      <c r="H2543" s="22" t="s">
        <v>9017</v>
      </c>
      <c r="I2543" s="10" t="s">
        <v>212</v>
      </c>
      <c r="J2543" s="13" t="b">
        <v>1</v>
      </c>
      <c r="K2543" s="13" t="b">
        <v>0</v>
      </c>
      <c r="L2543" s="10" t="s">
        <v>124</v>
      </c>
      <c r="M2543" s="10" t="s">
        <v>91</v>
      </c>
      <c r="N2543" s="10" t="s">
        <v>92</v>
      </c>
      <c r="O2543" s="19" t="s">
        <v>19183</v>
      </c>
      <c r="P2543" s="10"/>
      <c r="Q2543" s="10" t="s">
        <v>94</v>
      </c>
      <c r="R2543" s="10"/>
      <c r="S2543" s="19" t="s">
        <v>19138</v>
      </c>
      <c r="T2543" s="10"/>
      <c r="U2543" s="10"/>
      <c r="V2543" s="10"/>
      <c r="W2543" s="10" t="s">
        <v>19139</v>
      </c>
      <c r="X2543" s="10" t="s">
        <v>130</v>
      </c>
      <c r="Y2543" s="10" t="s">
        <v>130</v>
      </c>
      <c r="Z2543" s="10" t="s">
        <v>99</v>
      </c>
      <c r="AA2543" s="10" t="s">
        <v>131</v>
      </c>
      <c r="AB2543" s="10" t="s">
        <v>19140</v>
      </c>
      <c r="AC2543" s="10" t="s">
        <v>9022</v>
      </c>
      <c r="AD2543" s="10" t="s">
        <v>165</v>
      </c>
      <c r="AE2543" s="10" t="s">
        <v>19184</v>
      </c>
      <c r="AF2543" s="15"/>
      <c r="AG2543" s="10"/>
      <c r="AH2543" s="10"/>
      <c r="AI2543" s="10"/>
      <c r="AJ2543" s="10"/>
      <c r="AK2543" s="10" t="s">
        <v>102</v>
      </c>
      <c r="AL2543" s="10" t="s">
        <v>7897</v>
      </c>
      <c r="AM2543" s="10"/>
      <c r="AN2543" s="10"/>
      <c r="AO2543" s="13" t="b">
        <v>0</v>
      </c>
      <c r="AP2543" s="22" t="s">
        <v>104</v>
      </c>
      <c r="AQ2543" s="10">
        <f ca="1">IFERROR(__xludf.DUMMYFUNCTION("""COMPUTED_VALUE"""),4708225)</f>
        <v>4708225</v>
      </c>
      <c r="AR2543" s="17">
        <v>94</v>
      </c>
      <c r="AS2543" s="17">
        <v>86</v>
      </c>
      <c r="AT2543" s="17">
        <v>588.5</v>
      </c>
      <c r="AU2543" s="17">
        <v>0.5</v>
      </c>
      <c r="AV2543" s="17">
        <v>0</v>
      </c>
      <c r="AW2543" s="10" t="s">
        <v>105</v>
      </c>
      <c r="AX2543" s="17">
        <v>144</v>
      </c>
      <c r="AY2543" s="18">
        <v>6.8430232558139537</v>
      </c>
      <c r="AZ2543" s="10"/>
      <c r="BA2543" s="20" t="b">
        <v>0</v>
      </c>
      <c r="BB2543" s="10" t="s">
        <v>19143</v>
      </c>
      <c r="BC2543" s="17">
        <v>94</v>
      </c>
      <c r="BD2543" s="17">
        <v>86</v>
      </c>
      <c r="BE2543" s="17">
        <v>588.5</v>
      </c>
      <c r="BF2543" s="17">
        <v>0</v>
      </c>
      <c r="BG2543" s="11">
        <f ca="1">IFERROR(__xludf.DUMMYFUNCTION("""COMPUTED_VALUE"""),45969.3402777777)</f>
        <v>45969.340277777701</v>
      </c>
      <c r="BH2543" s="17" t="s">
        <v>105</v>
      </c>
      <c r="BI2543" s="17"/>
      <c r="BJ2543" s="15"/>
      <c r="BK2543" s="15"/>
      <c r="BL2543" s="13" t="b">
        <v>0</v>
      </c>
      <c r="BM2543" s="10"/>
      <c r="BN2543" s="10" t="s">
        <v>1160</v>
      </c>
      <c r="BO2543" s="11">
        <v>45968.59375</v>
      </c>
      <c r="BP2543" s="11">
        <v>45968.594201388885</v>
      </c>
      <c r="BQ2543" s="15"/>
      <c r="BR2543" s="15">
        <v>45968.931064814817</v>
      </c>
      <c r="BS2543" s="10" t="s">
        <v>1160</v>
      </c>
      <c r="BT2543" s="10"/>
      <c r="BU2543" s="10"/>
      <c r="BV2543" s="10"/>
      <c r="BW2543" s="10"/>
      <c r="BX2543" s="10"/>
      <c r="BY2543" s="23"/>
      <c r="BZ2543" s="23"/>
      <c r="CA2543" s="19" t="s">
        <v>19142</v>
      </c>
      <c r="CB2543" s="23"/>
      <c r="CC2543" s="23"/>
      <c r="CD2543" s="23"/>
      <c r="CE2543" s="23"/>
      <c r="CF2543" s="23"/>
      <c r="CG2543" s="23"/>
      <c r="CH2543" s="23"/>
      <c r="CI2543" s="23"/>
    </row>
    <row r="2544" spans="1:87" x14ac:dyDescent="0.3">
      <c r="A2544" s="9" t="s">
        <v>19185</v>
      </c>
      <c r="B2544" s="10" t="s">
        <v>19186</v>
      </c>
      <c r="C2544" s="11">
        <v>45969.388888888891</v>
      </c>
      <c r="D2544" s="12">
        <v>4.8611111111111112E-2</v>
      </c>
      <c r="E2544" s="11">
        <v>45969.4375</v>
      </c>
      <c r="F2544" s="10" t="s">
        <v>19136</v>
      </c>
      <c r="G2544" s="13" t="b">
        <v>0</v>
      </c>
      <c r="H2544" s="22" t="s">
        <v>9017</v>
      </c>
      <c r="I2544" s="10" t="s">
        <v>212</v>
      </c>
      <c r="J2544" s="13" t="b">
        <v>1</v>
      </c>
      <c r="K2544" s="13" t="b">
        <v>0</v>
      </c>
      <c r="L2544" s="10" t="s">
        <v>124</v>
      </c>
      <c r="M2544" s="10" t="s">
        <v>91</v>
      </c>
      <c r="N2544" s="10" t="s">
        <v>92</v>
      </c>
      <c r="O2544" s="19" t="s">
        <v>19187</v>
      </c>
      <c r="P2544" s="10"/>
      <c r="Q2544" s="10" t="s">
        <v>94</v>
      </c>
      <c r="R2544" s="10"/>
      <c r="S2544" s="19" t="s">
        <v>19138</v>
      </c>
      <c r="T2544" s="10"/>
      <c r="U2544" s="10"/>
      <c r="V2544" s="10"/>
      <c r="W2544" s="10" t="s">
        <v>19139</v>
      </c>
      <c r="X2544" s="10" t="s">
        <v>130</v>
      </c>
      <c r="Y2544" s="10" t="s">
        <v>130</v>
      </c>
      <c r="Z2544" s="10" t="s">
        <v>99</v>
      </c>
      <c r="AA2544" s="10" t="s">
        <v>131</v>
      </c>
      <c r="AB2544" s="10" t="s">
        <v>19140</v>
      </c>
      <c r="AC2544" s="10" t="s">
        <v>9022</v>
      </c>
      <c r="AD2544" s="10" t="s">
        <v>165</v>
      </c>
      <c r="AE2544" s="10" t="s">
        <v>19188</v>
      </c>
      <c r="AF2544" s="15"/>
      <c r="AG2544" s="10"/>
      <c r="AH2544" s="10"/>
      <c r="AI2544" s="10"/>
      <c r="AJ2544" s="10"/>
      <c r="AK2544" s="10" t="s">
        <v>102</v>
      </c>
      <c r="AL2544" s="10" t="s">
        <v>7897</v>
      </c>
      <c r="AM2544" s="10"/>
      <c r="AN2544" s="10"/>
      <c r="AO2544" s="13" t="b">
        <v>0</v>
      </c>
      <c r="AP2544" s="22" t="s">
        <v>104</v>
      </c>
      <c r="AQ2544" s="10">
        <f ca="1">IFERROR(__xludf.DUMMYFUNCTION("""COMPUTED_VALUE"""),4708229)</f>
        <v>4708229</v>
      </c>
      <c r="AR2544" s="17">
        <v>505</v>
      </c>
      <c r="AS2544" s="17">
        <v>389</v>
      </c>
      <c r="AT2544" s="17">
        <v>2745.5</v>
      </c>
      <c r="AU2544" s="17">
        <v>0</v>
      </c>
      <c r="AV2544" s="17">
        <v>0</v>
      </c>
      <c r="AW2544" s="10" t="s">
        <v>105</v>
      </c>
      <c r="AX2544" s="17">
        <v>85</v>
      </c>
      <c r="AY2544" s="18">
        <v>7.0578406169665806</v>
      </c>
      <c r="AZ2544" s="10"/>
      <c r="BA2544" s="20" t="b">
        <v>0</v>
      </c>
      <c r="BB2544" s="10" t="s">
        <v>19143</v>
      </c>
      <c r="BC2544" s="17">
        <v>505</v>
      </c>
      <c r="BD2544" s="17">
        <v>389</v>
      </c>
      <c r="BE2544" s="17">
        <v>2745.5</v>
      </c>
      <c r="BF2544" s="17">
        <v>0</v>
      </c>
      <c r="BG2544" s="11">
        <f ca="1">IFERROR(__xludf.DUMMYFUNCTION("""COMPUTED_VALUE"""),45969.3888888888)</f>
        <v>45969.388888888803</v>
      </c>
      <c r="BH2544" s="17" t="s">
        <v>105</v>
      </c>
      <c r="BI2544" s="17"/>
      <c r="BJ2544" s="15"/>
      <c r="BK2544" s="15"/>
      <c r="BL2544" s="13" t="b">
        <v>0</v>
      </c>
      <c r="BM2544" s="10"/>
      <c r="BN2544" s="10" t="s">
        <v>1160</v>
      </c>
      <c r="BO2544" s="11">
        <v>45968.59375</v>
      </c>
      <c r="BP2544" s="11">
        <v>45968.594259259262</v>
      </c>
      <c r="BQ2544" s="15"/>
      <c r="BR2544" s="15">
        <v>45968.931157407409</v>
      </c>
      <c r="BS2544" s="10" t="s">
        <v>1160</v>
      </c>
      <c r="BT2544" s="10"/>
      <c r="BU2544" s="10"/>
      <c r="BV2544" s="10"/>
      <c r="BW2544" s="10"/>
      <c r="BX2544" s="10"/>
      <c r="BY2544" s="23"/>
      <c r="BZ2544" s="23"/>
      <c r="CA2544" s="19" t="s">
        <v>19142</v>
      </c>
      <c r="CB2544" s="23"/>
      <c r="CC2544" s="23"/>
      <c r="CD2544" s="23"/>
      <c r="CE2544" s="23"/>
      <c r="CF2544" s="23"/>
      <c r="CG2544" s="23"/>
      <c r="CH2544" s="23"/>
      <c r="CI2544" s="23"/>
    </row>
    <row r="2545" spans="1:87" x14ac:dyDescent="0.3">
      <c r="A2545" s="9" t="s">
        <v>19189</v>
      </c>
      <c r="B2545" s="10" t="s">
        <v>19190</v>
      </c>
      <c r="C2545" s="11">
        <v>45969.4375</v>
      </c>
      <c r="D2545" s="12">
        <v>4.8611111111111112E-2</v>
      </c>
      <c r="E2545" s="11">
        <v>45969.486111111109</v>
      </c>
      <c r="F2545" s="10" t="s">
        <v>19136</v>
      </c>
      <c r="G2545" s="13" t="b">
        <v>0</v>
      </c>
      <c r="H2545" s="22" t="s">
        <v>9017</v>
      </c>
      <c r="I2545" s="10" t="s">
        <v>212</v>
      </c>
      <c r="J2545" s="13" t="b">
        <v>1</v>
      </c>
      <c r="K2545" s="13" t="b">
        <v>0</v>
      </c>
      <c r="L2545" s="10" t="s">
        <v>124</v>
      </c>
      <c r="M2545" s="10" t="s">
        <v>91</v>
      </c>
      <c r="N2545" s="10" t="s">
        <v>92</v>
      </c>
      <c r="O2545" s="19" t="s">
        <v>19191</v>
      </c>
      <c r="P2545" s="10"/>
      <c r="Q2545" s="10" t="s">
        <v>94</v>
      </c>
      <c r="R2545" s="10"/>
      <c r="S2545" s="19" t="s">
        <v>19138</v>
      </c>
      <c r="T2545" s="10"/>
      <c r="U2545" s="10"/>
      <c r="V2545" s="10"/>
      <c r="W2545" s="10" t="s">
        <v>19139</v>
      </c>
      <c r="X2545" s="10" t="s">
        <v>130</v>
      </c>
      <c r="Y2545" s="10" t="s">
        <v>130</v>
      </c>
      <c r="Z2545" s="10" t="s">
        <v>99</v>
      </c>
      <c r="AA2545" s="10" t="s">
        <v>131</v>
      </c>
      <c r="AB2545" s="10" t="s">
        <v>19140</v>
      </c>
      <c r="AC2545" s="10" t="s">
        <v>9022</v>
      </c>
      <c r="AD2545" s="10" t="s">
        <v>165</v>
      </c>
      <c r="AE2545" s="10" t="s">
        <v>19192</v>
      </c>
      <c r="AF2545" s="15"/>
      <c r="AG2545" s="10"/>
      <c r="AH2545" s="10"/>
      <c r="AI2545" s="10"/>
      <c r="AJ2545" s="10"/>
      <c r="AK2545" s="10" t="s">
        <v>102</v>
      </c>
      <c r="AL2545" s="10" t="s">
        <v>7897</v>
      </c>
      <c r="AM2545" s="10"/>
      <c r="AN2545" s="10"/>
      <c r="AO2545" s="13" t="b">
        <v>0</v>
      </c>
      <c r="AP2545" s="22" t="s">
        <v>104</v>
      </c>
      <c r="AQ2545" s="10">
        <f ca="1">IFERROR(__xludf.DUMMYFUNCTION("""COMPUTED_VALUE"""),4708226)</f>
        <v>4708226</v>
      </c>
      <c r="AR2545" s="17">
        <v>484</v>
      </c>
      <c r="AS2545" s="17">
        <v>400</v>
      </c>
      <c r="AT2545" s="17">
        <v>1877.5</v>
      </c>
      <c r="AU2545" s="17">
        <v>0</v>
      </c>
      <c r="AV2545" s="17">
        <v>0</v>
      </c>
      <c r="AW2545" s="10" t="s">
        <v>105</v>
      </c>
      <c r="AX2545" s="17">
        <v>84</v>
      </c>
      <c r="AY2545" s="18">
        <v>4.6937499999999996</v>
      </c>
      <c r="AZ2545" s="10"/>
      <c r="BA2545" s="20" t="b">
        <v>0</v>
      </c>
      <c r="BB2545" s="10" t="s">
        <v>19143</v>
      </c>
      <c r="BC2545" s="17">
        <v>484</v>
      </c>
      <c r="BD2545" s="17">
        <v>400</v>
      </c>
      <c r="BE2545" s="17">
        <v>1877.5</v>
      </c>
      <c r="BF2545" s="17">
        <v>0</v>
      </c>
      <c r="BG2545" s="11">
        <f ca="1">IFERROR(__xludf.DUMMYFUNCTION("""COMPUTED_VALUE"""),45969.4375)</f>
        <v>45969.4375</v>
      </c>
      <c r="BH2545" s="17" t="s">
        <v>105</v>
      </c>
      <c r="BI2545" s="17"/>
      <c r="BJ2545" s="15"/>
      <c r="BK2545" s="15"/>
      <c r="BL2545" s="13" t="b">
        <v>0</v>
      </c>
      <c r="BM2545" s="10"/>
      <c r="BN2545" s="10" t="s">
        <v>1160</v>
      </c>
      <c r="BO2545" s="11">
        <v>45968.59375</v>
      </c>
      <c r="BP2545" s="11">
        <v>45968.594305555554</v>
      </c>
      <c r="BQ2545" s="15"/>
      <c r="BR2545" s="15">
        <v>45968.931261574071</v>
      </c>
      <c r="BS2545" s="10" t="s">
        <v>1160</v>
      </c>
      <c r="BT2545" s="10"/>
      <c r="BU2545" s="10"/>
      <c r="BV2545" s="10"/>
      <c r="BW2545" s="10"/>
      <c r="BX2545" s="10"/>
      <c r="BY2545" s="23"/>
      <c r="BZ2545" s="23"/>
      <c r="CA2545" s="19" t="s">
        <v>19142</v>
      </c>
      <c r="CB2545" s="23"/>
      <c r="CC2545" s="23"/>
      <c r="CD2545" s="23"/>
      <c r="CE2545" s="23"/>
      <c r="CF2545" s="23"/>
      <c r="CG2545" s="23"/>
      <c r="CH2545" s="23"/>
      <c r="CI2545" s="23"/>
    </row>
    <row r="2546" spans="1:87" x14ac:dyDescent="0.3">
      <c r="A2546" s="9" t="s">
        <v>19193</v>
      </c>
      <c r="B2546" s="10" t="s">
        <v>19194</v>
      </c>
      <c r="C2546" s="11">
        <v>45969.486111111109</v>
      </c>
      <c r="D2546" s="12">
        <v>4.8611111111111112E-2</v>
      </c>
      <c r="E2546" s="11">
        <v>45969.534722222219</v>
      </c>
      <c r="F2546" s="10" t="s">
        <v>19136</v>
      </c>
      <c r="G2546" s="13" t="b">
        <v>0</v>
      </c>
      <c r="H2546" s="22" t="s">
        <v>9017</v>
      </c>
      <c r="I2546" s="10" t="s">
        <v>212</v>
      </c>
      <c r="J2546" s="13" t="b">
        <v>1</v>
      </c>
      <c r="K2546" s="13" t="b">
        <v>0</v>
      </c>
      <c r="L2546" s="10" t="s">
        <v>124</v>
      </c>
      <c r="M2546" s="10" t="s">
        <v>91</v>
      </c>
      <c r="N2546" s="10" t="s">
        <v>92</v>
      </c>
      <c r="O2546" s="19" t="s">
        <v>19195</v>
      </c>
      <c r="P2546" s="10"/>
      <c r="Q2546" s="10" t="s">
        <v>94</v>
      </c>
      <c r="R2546" s="10"/>
      <c r="S2546" s="19" t="s">
        <v>19138</v>
      </c>
      <c r="T2546" s="10"/>
      <c r="U2546" s="10"/>
      <c r="V2546" s="10"/>
      <c r="W2546" s="10" t="s">
        <v>19139</v>
      </c>
      <c r="X2546" s="10" t="s">
        <v>130</v>
      </c>
      <c r="Y2546" s="10" t="s">
        <v>130</v>
      </c>
      <c r="Z2546" s="10" t="s">
        <v>99</v>
      </c>
      <c r="AA2546" s="10" t="s">
        <v>131</v>
      </c>
      <c r="AB2546" s="10" t="s">
        <v>19140</v>
      </c>
      <c r="AC2546" s="10" t="s">
        <v>9022</v>
      </c>
      <c r="AD2546" s="10" t="s">
        <v>165</v>
      </c>
      <c r="AE2546" s="10" t="s">
        <v>19196</v>
      </c>
      <c r="AF2546" s="15"/>
      <c r="AG2546" s="10"/>
      <c r="AH2546" s="10"/>
      <c r="AI2546" s="10"/>
      <c r="AJ2546" s="10"/>
      <c r="AK2546" s="10" t="s">
        <v>102</v>
      </c>
      <c r="AL2546" s="10" t="s">
        <v>7897</v>
      </c>
      <c r="AM2546" s="10"/>
      <c r="AN2546" s="10"/>
      <c r="AO2546" s="13" t="b">
        <v>0</v>
      </c>
      <c r="AP2546" s="22" t="s">
        <v>104</v>
      </c>
      <c r="AQ2546" s="10">
        <f ca="1">IFERROR(__xludf.DUMMYFUNCTION("""COMPUTED_VALUE"""),4708227)</f>
        <v>4708227</v>
      </c>
      <c r="AR2546" s="17">
        <v>3</v>
      </c>
      <c r="AS2546" s="17">
        <v>3</v>
      </c>
      <c r="AT2546" s="17">
        <v>2.5</v>
      </c>
      <c r="AU2546" s="17">
        <v>0</v>
      </c>
      <c r="AV2546" s="17">
        <v>0</v>
      </c>
      <c r="AW2546" s="10" t="s">
        <v>105</v>
      </c>
      <c r="AX2546" s="17">
        <v>78</v>
      </c>
      <c r="AY2546" s="18">
        <v>0.83333333333333337</v>
      </c>
      <c r="AZ2546" s="10"/>
      <c r="BA2546" s="20" t="b">
        <v>0</v>
      </c>
      <c r="BB2546" s="10" t="s">
        <v>19143</v>
      </c>
      <c r="BC2546" s="17">
        <v>3</v>
      </c>
      <c r="BD2546" s="17">
        <v>3</v>
      </c>
      <c r="BE2546" s="17">
        <v>2.5</v>
      </c>
      <c r="BF2546" s="17">
        <v>0</v>
      </c>
      <c r="BG2546" s="11">
        <f ca="1">IFERROR(__xludf.DUMMYFUNCTION("""COMPUTED_VALUE"""),45969.4861111111)</f>
        <v>45969.486111111102</v>
      </c>
      <c r="BH2546" s="17" t="s">
        <v>105</v>
      </c>
      <c r="BI2546" s="17"/>
      <c r="BJ2546" s="15"/>
      <c r="BK2546" s="15"/>
      <c r="BL2546" s="13" t="b">
        <v>0</v>
      </c>
      <c r="BM2546" s="10"/>
      <c r="BN2546" s="10" t="s">
        <v>1160</v>
      </c>
      <c r="BO2546" s="11">
        <v>45968.59375</v>
      </c>
      <c r="BP2546" s="11">
        <v>45968.594375000001</v>
      </c>
      <c r="BQ2546" s="15"/>
      <c r="BR2546" s="15">
        <v>45968.931354166663</v>
      </c>
      <c r="BS2546" s="10" t="s">
        <v>1160</v>
      </c>
      <c r="BT2546" s="10"/>
      <c r="BU2546" s="10"/>
      <c r="BV2546" s="10"/>
      <c r="BW2546" s="10"/>
      <c r="BX2546" s="10"/>
      <c r="BY2546" s="23"/>
      <c r="BZ2546" s="23"/>
      <c r="CA2546" s="19" t="s">
        <v>19142</v>
      </c>
      <c r="CB2546" s="23"/>
      <c r="CC2546" s="23"/>
      <c r="CD2546" s="23"/>
      <c r="CE2546" s="23"/>
      <c r="CF2546" s="23"/>
      <c r="CG2546" s="23"/>
      <c r="CH2546" s="23"/>
      <c r="CI2546" s="23"/>
    </row>
    <row r="2547" spans="1:87" x14ac:dyDescent="0.3">
      <c r="A2547" s="9" t="s">
        <v>19197</v>
      </c>
      <c r="B2547" s="10" t="s">
        <v>19198</v>
      </c>
      <c r="C2547" s="11">
        <v>45969.534722222219</v>
      </c>
      <c r="D2547" s="12">
        <v>4.8611111111111112E-2</v>
      </c>
      <c r="E2547" s="11">
        <v>45969.583333333336</v>
      </c>
      <c r="F2547" s="10" t="s">
        <v>19136</v>
      </c>
      <c r="G2547" s="13" t="b">
        <v>0</v>
      </c>
      <c r="H2547" s="22" t="s">
        <v>9017</v>
      </c>
      <c r="I2547" s="10" t="s">
        <v>212</v>
      </c>
      <c r="J2547" s="13" t="b">
        <v>1</v>
      </c>
      <c r="K2547" s="13" t="b">
        <v>0</v>
      </c>
      <c r="L2547" s="10" t="s">
        <v>124</v>
      </c>
      <c r="M2547" s="10" t="s">
        <v>91</v>
      </c>
      <c r="N2547" s="10" t="s">
        <v>92</v>
      </c>
      <c r="O2547" s="19" t="s">
        <v>19199</v>
      </c>
      <c r="P2547" s="10"/>
      <c r="Q2547" s="10" t="s">
        <v>94</v>
      </c>
      <c r="R2547" s="10"/>
      <c r="S2547" s="19" t="s">
        <v>19138</v>
      </c>
      <c r="T2547" s="10"/>
      <c r="U2547" s="10"/>
      <c r="V2547" s="10"/>
      <c r="W2547" s="10" t="s">
        <v>19139</v>
      </c>
      <c r="X2547" s="10" t="s">
        <v>130</v>
      </c>
      <c r="Y2547" s="10" t="s">
        <v>130</v>
      </c>
      <c r="Z2547" s="10" t="s">
        <v>99</v>
      </c>
      <c r="AA2547" s="10" t="s">
        <v>131</v>
      </c>
      <c r="AB2547" s="10" t="s">
        <v>19140</v>
      </c>
      <c r="AC2547" s="10" t="s">
        <v>9022</v>
      </c>
      <c r="AD2547" s="10" t="s">
        <v>165</v>
      </c>
      <c r="AE2547" s="10" t="s">
        <v>19200</v>
      </c>
      <c r="AF2547" s="15"/>
      <c r="AG2547" s="10"/>
      <c r="AH2547" s="10"/>
      <c r="AI2547" s="10"/>
      <c r="AJ2547" s="10"/>
      <c r="AK2547" s="10" t="s">
        <v>102</v>
      </c>
      <c r="AL2547" s="10" t="s">
        <v>7897</v>
      </c>
      <c r="AM2547" s="10"/>
      <c r="AN2547" s="10"/>
      <c r="AO2547" s="13" t="b">
        <v>0</v>
      </c>
      <c r="AP2547" s="22" t="s">
        <v>104</v>
      </c>
      <c r="AQ2547" s="10">
        <f ca="1">IFERROR(__xludf.DUMMYFUNCTION("""COMPUTED_VALUE"""),4708228)</f>
        <v>4708228</v>
      </c>
      <c r="AR2547" s="17">
        <v>544</v>
      </c>
      <c r="AS2547" s="17">
        <v>490</v>
      </c>
      <c r="AT2547" s="17">
        <v>1663.25</v>
      </c>
      <c r="AU2547" s="17">
        <v>0.5</v>
      </c>
      <c r="AV2547" s="17">
        <v>0</v>
      </c>
      <c r="AW2547" s="10" t="s">
        <v>105</v>
      </c>
      <c r="AX2547" s="17">
        <v>94</v>
      </c>
      <c r="AY2547" s="18">
        <v>3.3943877551020409</v>
      </c>
      <c r="AZ2547" s="10"/>
      <c r="BA2547" s="20" t="b">
        <v>0</v>
      </c>
      <c r="BB2547" s="10" t="s">
        <v>19143</v>
      </c>
      <c r="BC2547" s="17">
        <v>544</v>
      </c>
      <c r="BD2547" s="17">
        <v>490</v>
      </c>
      <c r="BE2547" s="17">
        <v>1663.25</v>
      </c>
      <c r="BF2547" s="17">
        <v>0</v>
      </c>
      <c r="BG2547" s="11">
        <f ca="1">IFERROR(__xludf.DUMMYFUNCTION("""COMPUTED_VALUE"""),45969.5347222222)</f>
        <v>45969.534722222197</v>
      </c>
      <c r="BH2547" s="17" t="s">
        <v>105</v>
      </c>
      <c r="BI2547" s="17"/>
      <c r="BJ2547" s="15"/>
      <c r="BK2547" s="15"/>
      <c r="BL2547" s="13" t="b">
        <v>0</v>
      </c>
      <c r="BM2547" s="10"/>
      <c r="BN2547" s="10" t="s">
        <v>1160</v>
      </c>
      <c r="BO2547" s="11">
        <v>45968.59375</v>
      </c>
      <c r="BP2547" s="11">
        <v>45968.59443287037</v>
      </c>
      <c r="BQ2547" s="15"/>
      <c r="BR2547" s="15">
        <v>45968.931435185186</v>
      </c>
      <c r="BS2547" s="10" t="s">
        <v>1160</v>
      </c>
      <c r="BT2547" s="10"/>
      <c r="BU2547" s="10"/>
      <c r="BV2547" s="10"/>
      <c r="BW2547" s="10"/>
      <c r="BX2547" s="10"/>
      <c r="BY2547" s="23"/>
      <c r="BZ2547" s="23"/>
      <c r="CA2547" s="19" t="s">
        <v>19142</v>
      </c>
      <c r="CB2547" s="23"/>
      <c r="CC2547" s="23"/>
      <c r="CD2547" s="23"/>
      <c r="CE2547" s="23"/>
      <c r="CF2547" s="23"/>
      <c r="CG2547" s="23"/>
      <c r="CH2547" s="23"/>
      <c r="CI2547" s="23"/>
    </row>
    <row r="2548" spans="1:87" x14ac:dyDescent="0.3">
      <c r="A2548" s="9" t="s">
        <v>19201</v>
      </c>
      <c r="B2548" s="10" t="s">
        <v>19202</v>
      </c>
      <c r="C2548" s="11">
        <v>45970.291666666664</v>
      </c>
      <c r="D2548" s="12">
        <v>4.8611111111111112E-2</v>
      </c>
      <c r="E2548" s="11">
        <v>45970.340277777781</v>
      </c>
      <c r="F2548" s="10" t="s">
        <v>19136</v>
      </c>
      <c r="G2548" s="13" t="b">
        <v>0</v>
      </c>
      <c r="H2548" s="22" t="s">
        <v>9017</v>
      </c>
      <c r="I2548" s="10" t="s">
        <v>212</v>
      </c>
      <c r="J2548" s="13" t="b">
        <v>1</v>
      </c>
      <c r="K2548" s="13" t="b">
        <v>0</v>
      </c>
      <c r="L2548" s="10" t="s">
        <v>124</v>
      </c>
      <c r="M2548" s="10" t="s">
        <v>91</v>
      </c>
      <c r="N2548" s="10" t="s">
        <v>92</v>
      </c>
      <c r="O2548" s="19" t="s">
        <v>19203</v>
      </c>
      <c r="P2548" s="10"/>
      <c r="Q2548" s="10" t="s">
        <v>94</v>
      </c>
      <c r="R2548" s="10"/>
      <c r="S2548" s="19" t="s">
        <v>19138</v>
      </c>
      <c r="T2548" s="10"/>
      <c r="U2548" s="10"/>
      <c r="V2548" s="10"/>
      <c r="W2548" s="10" t="s">
        <v>19139</v>
      </c>
      <c r="X2548" s="10" t="s">
        <v>130</v>
      </c>
      <c r="Y2548" s="10" t="s">
        <v>130</v>
      </c>
      <c r="Z2548" s="10" t="s">
        <v>99</v>
      </c>
      <c r="AA2548" s="10" t="s">
        <v>131</v>
      </c>
      <c r="AB2548" s="10" t="s">
        <v>19140</v>
      </c>
      <c r="AC2548" s="10" t="s">
        <v>9022</v>
      </c>
      <c r="AD2548" s="10" t="s">
        <v>165</v>
      </c>
      <c r="AE2548" s="10" t="s">
        <v>19204</v>
      </c>
      <c r="AF2548" s="15"/>
      <c r="AG2548" s="10"/>
      <c r="AH2548" s="10"/>
      <c r="AI2548" s="10"/>
      <c r="AJ2548" s="10"/>
      <c r="AK2548" s="10" t="s">
        <v>102</v>
      </c>
      <c r="AL2548" s="10" t="s">
        <v>7897</v>
      </c>
      <c r="AM2548" s="10"/>
      <c r="AN2548" s="10"/>
      <c r="AO2548" s="13" t="b">
        <v>0</v>
      </c>
      <c r="AP2548" s="22" t="s">
        <v>104</v>
      </c>
      <c r="AQ2548" s="10">
        <f ca="1">IFERROR(__xludf.DUMMYFUNCTION("""COMPUTED_VALUE"""),4708847)</f>
        <v>4708847</v>
      </c>
      <c r="AR2548" s="17">
        <v>416</v>
      </c>
      <c r="AS2548" s="17">
        <v>357</v>
      </c>
      <c r="AT2548" s="17">
        <v>3304.75</v>
      </c>
      <c r="AU2548" s="17">
        <v>0</v>
      </c>
      <c r="AV2548" s="17">
        <v>0</v>
      </c>
      <c r="AW2548" s="10" t="s">
        <v>105</v>
      </c>
      <c r="AX2548" s="17">
        <v>86</v>
      </c>
      <c r="AY2548" s="18">
        <v>9.2570028011204482</v>
      </c>
      <c r="AZ2548" s="10"/>
      <c r="BA2548" s="20" t="b">
        <v>0</v>
      </c>
      <c r="BB2548" s="10" t="s">
        <v>19147</v>
      </c>
      <c r="BC2548" s="17">
        <v>416</v>
      </c>
      <c r="BD2548" s="17">
        <v>357</v>
      </c>
      <c r="BE2548" s="17">
        <v>3304.75</v>
      </c>
      <c r="BF2548" s="17">
        <v>0</v>
      </c>
      <c r="BG2548" s="11">
        <f ca="1">IFERROR(__xludf.DUMMYFUNCTION("""COMPUTED_VALUE"""),45970.2916666666)</f>
        <v>45970.291666666599</v>
      </c>
      <c r="BH2548" s="17" t="s">
        <v>105</v>
      </c>
      <c r="BI2548" s="17"/>
      <c r="BJ2548" s="15"/>
      <c r="BK2548" s="15"/>
      <c r="BL2548" s="13" t="b">
        <v>0</v>
      </c>
      <c r="BM2548" s="10"/>
      <c r="BN2548" s="10" t="s">
        <v>634</v>
      </c>
      <c r="BO2548" s="11">
        <v>45968.594444444447</v>
      </c>
      <c r="BP2548" s="11">
        <v>45968.595057870371</v>
      </c>
      <c r="BQ2548" s="15"/>
      <c r="BR2548" s="15">
        <v>45969.818495370368</v>
      </c>
      <c r="BS2548" s="10" t="s">
        <v>634</v>
      </c>
      <c r="BT2548" s="10"/>
      <c r="BU2548" s="10"/>
      <c r="BV2548" s="10"/>
      <c r="BW2548" s="10"/>
      <c r="BX2548" s="10"/>
      <c r="BY2548" s="23"/>
      <c r="BZ2548" s="23"/>
      <c r="CA2548" s="19" t="s">
        <v>19142</v>
      </c>
      <c r="CB2548" s="23"/>
      <c r="CC2548" s="23"/>
      <c r="CD2548" s="23"/>
      <c r="CE2548" s="23"/>
      <c r="CF2548" s="23"/>
      <c r="CG2548" s="23"/>
      <c r="CH2548" s="23"/>
      <c r="CI2548" s="23"/>
    </row>
    <row r="2549" spans="1:87" x14ac:dyDescent="0.3">
      <c r="A2549" s="9" t="s">
        <v>19205</v>
      </c>
      <c r="B2549" s="10" t="s">
        <v>19206</v>
      </c>
      <c r="C2549" s="11">
        <v>45970.340277777781</v>
      </c>
      <c r="D2549" s="12">
        <v>4.8611111111111112E-2</v>
      </c>
      <c r="E2549" s="11">
        <v>45970.388888888891</v>
      </c>
      <c r="F2549" s="10" t="s">
        <v>19136</v>
      </c>
      <c r="G2549" s="13" t="b">
        <v>0</v>
      </c>
      <c r="H2549" s="22" t="s">
        <v>9017</v>
      </c>
      <c r="I2549" s="10" t="s">
        <v>212</v>
      </c>
      <c r="J2549" s="13" t="b">
        <v>1</v>
      </c>
      <c r="K2549" s="13" t="b">
        <v>0</v>
      </c>
      <c r="L2549" s="10" t="s">
        <v>124</v>
      </c>
      <c r="M2549" s="10" t="s">
        <v>91</v>
      </c>
      <c r="N2549" s="10" t="s">
        <v>92</v>
      </c>
      <c r="O2549" s="19" t="s">
        <v>19207</v>
      </c>
      <c r="P2549" s="10"/>
      <c r="Q2549" s="10" t="s">
        <v>94</v>
      </c>
      <c r="R2549" s="10"/>
      <c r="S2549" s="19" t="s">
        <v>19138</v>
      </c>
      <c r="T2549" s="10"/>
      <c r="U2549" s="10"/>
      <c r="V2549" s="10"/>
      <c r="W2549" s="10" t="s">
        <v>19139</v>
      </c>
      <c r="X2549" s="10" t="s">
        <v>130</v>
      </c>
      <c r="Y2549" s="10" t="s">
        <v>130</v>
      </c>
      <c r="Z2549" s="10" t="s">
        <v>99</v>
      </c>
      <c r="AA2549" s="10" t="s">
        <v>131</v>
      </c>
      <c r="AB2549" s="10" t="s">
        <v>19140</v>
      </c>
      <c r="AC2549" s="10" t="s">
        <v>9022</v>
      </c>
      <c r="AD2549" s="10" t="s">
        <v>165</v>
      </c>
      <c r="AE2549" s="10" t="s">
        <v>19208</v>
      </c>
      <c r="AF2549" s="15"/>
      <c r="AG2549" s="10"/>
      <c r="AH2549" s="10"/>
      <c r="AI2549" s="10"/>
      <c r="AJ2549" s="10"/>
      <c r="AK2549" s="10" t="s">
        <v>102</v>
      </c>
      <c r="AL2549" s="10" t="s">
        <v>7897</v>
      </c>
      <c r="AM2549" s="10"/>
      <c r="AN2549" s="10"/>
      <c r="AO2549" s="13" t="b">
        <v>0</v>
      </c>
      <c r="AP2549" s="22" t="s">
        <v>104</v>
      </c>
      <c r="AQ2549" s="10">
        <f ca="1">IFERROR(__xludf.DUMMYFUNCTION("""COMPUTED_VALUE"""),4708908)</f>
        <v>4708908</v>
      </c>
      <c r="AR2549" s="17">
        <v>455</v>
      </c>
      <c r="AS2549" s="17">
        <v>382</v>
      </c>
      <c r="AT2549" s="17">
        <v>2268</v>
      </c>
      <c r="AU2549" s="17">
        <v>0.1</v>
      </c>
      <c r="AV2549" s="17">
        <v>0</v>
      </c>
      <c r="AW2549" s="10" t="s">
        <v>105</v>
      </c>
      <c r="AX2549" s="17">
        <v>82</v>
      </c>
      <c r="AY2549" s="18">
        <v>5.9371727748691097</v>
      </c>
      <c r="AZ2549" s="10"/>
      <c r="BA2549" s="20" t="b">
        <v>0</v>
      </c>
      <c r="BB2549" s="10" t="s">
        <v>19147</v>
      </c>
      <c r="BC2549" s="17">
        <v>455</v>
      </c>
      <c r="BD2549" s="17">
        <v>382</v>
      </c>
      <c r="BE2549" s="17">
        <v>2268</v>
      </c>
      <c r="BF2549" s="17">
        <v>0</v>
      </c>
      <c r="BG2549" s="11">
        <f ca="1">IFERROR(__xludf.DUMMYFUNCTION("""COMPUTED_VALUE"""),45970.3402777777)</f>
        <v>45970.340277777701</v>
      </c>
      <c r="BH2549" s="17" t="s">
        <v>105</v>
      </c>
      <c r="BI2549" s="17"/>
      <c r="BJ2549" s="15"/>
      <c r="BK2549" s="15"/>
      <c r="BL2549" s="13" t="b">
        <v>0</v>
      </c>
      <c r="BM2549" s="10"/>
      <c r="BN2549" s="10" t="s">
        <v>634</v>
      </c>
      <c r="BO2549" s="11">
        <v>45968.595138888886</v>
      </c>
      <c r="BP2549" s="11">
        <v>45968.595185185186</v>
      </c>
      <c r="BQ2549" s="15"/>
      <c r="BR2549" s="15">
        <v>45969.818726851852</v>
      </c>
      <c r="BS2549" s="10" t="s">
        <v>634</v>
      </c>
      <c r="BT2549" s="10"/>
      <c r="BU2549" s="10"/>
      <c r="BV2549" s="10"/>
      <c r="BW2549" s="10"/>
      <c r="BX2549" s="10"/>
      <c r="BY2549" s="23"/>
      <c r="BZ2549" s="23"/>
      <c r="CA2549" s="19" t="s">
        <v>19142</v>
      </c>
      <c r="CB2549" s="23"/>
      <c r="CC2549" s="23"/>
      <c r="CD2549" s="23"/>
      <c r="CE2549" s="23"/>
      <c r="CF2549" s="23"/>
      <c r="CG2549" s="23"/>
      <c r="CH2549" s="23"/>
      <c r="CI2549" s="23"/>
    </row>
    <row r="2550" spans="1:87" x14ac:dyDescent="0.3">
      <c r="A2550" s="9" t="s">
        <v>19209</v>
      </c>
      <c r="B2550" s="10" t="s">
        <v>19210</v>
      </c>
      <c r="C2550" s="11">
        <v>45970.388888888891</v>
      </c>
      <c r="D2550" s="12">
        <v>4.8611111111111112E-2</v>
      </c>
      <c r="E2550" s="11">
        <v>45970.4375</v>
      </c>
      <c r="F2550" s="10" t="s">
        <v>19136</v>
      </c>
      <c r="G2550" s="13" t="b">
        <v>0</v>
      </c>
      <c r="H2550" s="22" t="s">
        <v>9017</v>
      </c>
      <c r="I2550" s="10" t="s">
        <v>212</v>
      </c>
      <c r="J2550" s="13" t="b">
        <v>1</v>
      </c>
      <c r="K2550" s="13" t="b">
        <v>0</v>
      </c>
      <c r="L2550" s="10" t="s">
        <v>124</v>
      </c>
      <c r="M2550" s="10" t="s">
        <v>91</v>
      </c>
      <c r="N2550" s="10" t="s">
        <v>92</v>
      </c>
      <c r="O2550" s="19" t="s">
        <v>19211</v>
      </c>
      <c r="P2550" s="10"/>
      <c r="Q2550" s="10" t="s">
        <v>94</v>
      </c>
      <c r="R2550" s="10"/>
      <c r="S2550" s="19" t="s">
        <v>19138</v>
      </c>
      <c r="T2550" s="10"/>
      <c r="U2550" s="10"/>
      <c r="V2550" s="10"/>
      <c r="W2550" s="10" t="s">
        <v>19139</v>
      </c>
      <c r="X2550" s="10" t="s">
        <v>130</v>
      </c>
      <c r="Y2550" s="10" t="s">
        <v>130</v>
      </c>
      <c r="Z2550" s="10" t="s">
        <v>99</v>
      </c>
      <c r="AA2550" s="10" t="s">
        <v>131</v>
      </c>
      <c r="AB2550" s="10" t="s">
        <v>19140</v>
      </c>
      <c r="AC2550" s="10" t="s">
        <v>9022</v>
      </c>
      <c r="AD2550" s="10" t="s">
        <v>165</v>
      </c>
      <c r="AE2550" s="10" t="s">
        <v>19212</v>
      </c>
      <c r="AF2550" s="15"/>
      <c r="AG2550" s="10"/>
      <c r="AH2550" s="10"/>
      <c r="AI2550" s="10"/>
      <c r="AJ2550" s="10"/>
      <c r="AK2550" s="10" t="s">
        <v>102</v>
      </c>
      <c r="AL2550" s="10" t="s">
        <v>7897</v>
      </c>
      <c r="AM2550" s="10"/>
      <c r="AN2550" s="10"/>
      <c r="AO2550" s="13" t="b">
        <v>0</v>
      </c>
      <c r="AP2550" s="22" t="s">
        <v>104</v>
      </c>
      <c r="AQ2550" s="10">
        <f ca="1">IFERROR(__xludf.DUMMYFUNCTION("""COMPUTED_VALUE"""),4708909)</f>
        <v>4708909</v>
      </c>
      <c r="AR2550" s="17">
        <v>507</v>
      </c>
      <c r="AS2550" s="17">
        <v>439</v>
      </c>
      <c r="AT2550" s="17">
        <v>2712.25</v>
      </c>
      <c r="AU2550" s="17">
        <v>0</v>
      </c>
      <c r="AV2550" s="17">
        <v>0</v>
      </c>
      <c r="AW2550" s="10" t="s">
        <v>105</v>
      </c>
      <c r="AX2550" s="17">
        <v>86</v>
      </c>
      <c r="AY2550" s="18">
        <v>6.178246013667426</v>
      </c>
      <c r="AZ2550" s="10"/>
      <c r="BA2550" s="20" t="b">
        <v>0</v>
      </c>
      <c r="BB2550" s="10" t="s">
        <v>19147</v>
      </c>
      <c r="BC2550" s="17">
        <v>507</v>
      </c>
      <c r="BD2550" s="17">
        <v>439</v>
      </c>
      <c r="BE2550" s="17">
        <v>2712.25</v>
      </c>
      <c r="BF2550" s="17">
        <v>0</v>
      </c>
      <c r="BG2550" s="11">
        <f ca="1">IFERROR(__xludf.DUMMYFUNCTION("""COMPUTED_VALUE"""),45970.3888888888)</f>
        <v>45970.388888888803</v>
      </c>
      <c r="BH2550" s="17" t="s">
        <v>105</v>
      </c>
      <c r="BI2550" s="17"/>
      <c r="BJ2550" s="15"/>
      <c r="BK2550" s="15"/>
      <c r="BL2550" s="13" t="b">
        <v>0</v>
      </c>
      <c r="BM2550" s="10"/>
      <c r="BN2550" s="10" t="s">
        <v>634</v>
      </c>
      <c r="BO2550" s="11">
        <v>45968.595138888886</v>
      </c>
      <c r="BP2550" s="11">
        <v>45968.595243055555</v>
      </c>
      <c r="BQ2550" s="15"/>
      <c r="BR2550" s="15">
        <v>45969.819155092591</v>
      </c>
      <c r="BS2550" s="10" t="s">
        <v>634</v>
      </c>
      <c r="BT2550" s="10"/>
      <c r="BU2550" s="10"/>
      <c r="BV2550" s="10"/>
      <c r="BW2550" s="10"/>
      <c r="BX2550" s="10"/>
      <c r="BY2550" s="23"/>
      <c r="BZ2550" s="23"/>
      <c r="CA2550" s="19" t="s">
        <v>19142</v>
      </c>
      <c r="CB2550" s="23"/>
      <c r="CC2550" s="23"/>
      <c r="CD2550" s="23"/>
      <c r="CE2550" s="23"/>
      <c r="CF2550" s="23"/>
      <c r="CG2550" s="23"/>
      <c r="CH2550" s="23"/>
      <c r="CI2550" s="23"/>
    </row>
    <row r="2551" spans="1:87" x14ac:dyDescent="0.3">
      <c r="A2551" s="9" t="s">
        <v>19213</v>
      </c>
      <c r="B2551" s="10" t="s">
        <v>19214</v>
      </c>
      <c r="C2551" s="11">
        <v>45970.4375</v>
      </c>
      <c r="D2551" s="12">
        <v>4.8611111111111112E-2</v>
      </c>
      <c r="E2551" s="11">
        <v>45970.486111111109</v>
      </c>
      <c r="F2551" s="10" t="s">
        <v>19136</v>
      </c>
      <c r="G2551" s="13" t="b">
        <v>0</v>
      </c>
      <c r="H2551" s="22" t="s">
        <v>9017</v>
      </c>
      <c r="I2551" s="10" t="s">
        <v>212</v>
      </c>
      <c r="J2551" s="13" t="b">
        <v>1</v>
      </c>
      <c r="K2551" s="13" t="b">
        <v>0</v>
      </c>
      <c r="L2551" s="10" t="s">
        <v>124</v>
      </c>
      <c r="M2551" s="10" t="s">
        <v>91</v>
      </c>
      <c r="N2551" s="10" t="s">
        <v>92</v>
      </c>
      <c r="O2551" s="19" t="s">
        <v>19215</v>
      </c>
      <c r="P2551" s="10"/>
      <c r="Q2551" s="10" t="s">
        <v>94</v>
      </c>
      <c r="R2551" s="10"/>
      <c r="S2551" s="19" t="s">
        <v>19138</v>
      </c>
      <c r="T2551" s="10"/>
      <c r="U2551" s="10"/>
      <c r="V2551" s="10"/>
      <c r="W2551" s="10" t="s">
        <v>19139</v>
      </c>
      <c r="X2551" s="10" t="s">
        <v>130</v>
      </c>
      <c r="Y2551" s="10" t="s">
        <v>130</v>
      </c>
      <c r="Z2551" s="10" t="s">
        <v>99</v>
      </c>
      <c r="AA2551" s="10" t="s">
        <v>131</v>
      </c>
      <c r="AB2551" s="10" t="s">
        <v>19140</v>
      </c>
      <c r="AC2551" s="10" t="s">
        <v>9022</v>
      </c>
      <c r="AD2551" s="10" t="s">
        <v>165</v>
      </c>
      <c r="AE2551" s="10" t="s">
        <v>19216</v>
      </c>
      <c r="AF2551" s="15"/>
      <c r="AG2551" s="10"/>
      <c r="AH2551" s="10"/>
      <c r="AI2551" s="10"/>
      <c r="AJ2551" s="10"/>
      <c r="AK2551" s="10" t="s">
        <v>102</v>
      </c>
      <c r="AL2551" s="10" t="s">
        <v>7897</v>
      </c>
      <c r="AM2551" s="10"/>
      <c r="AN2551" s="10"/>
      <c r="AO2551" s="13" t="b">
        <v>0</v>
      </c>
      <c r="AP2551" s="22" t="s">
        <v>104</v>
      </c>
      <c r="AQ2551" s="10">
        <f ca="1">IFERROR(__xludf.DUMMYFUNCTION("""COMPUTED_VALUE"""),4708910)</f>
        <v>4708910</v>
      </c>
      <c r="AR2551" s="17">
        <v>547</v>
      </c>
      <c r="AS2551" s="17">
        <v>462</v>
      </c>
      <c r="AT2551" s="17">
        <v>3148</v>
      </c>
      <c r="AU2551" s="17">
        <v>0</v>
      </c>
      <c r="AV2551" s="17">
        <v>0</v>
      </c>
      <c r="AW2551" s="10" t="s">
        <v>105</v>
      </c>
      <c r="AX2551" s="17">
        <v>99</v>
      </c>
      <c r="AY2551" s="18">
        <v>6.8138528138528143</v>
      </c>
      <c r="AZ2551" s="10"/>
      <c r="BA2551" s="20" t="b">
        <v>0</v>
      </c>
      <c r="BB2551" s="10" t="s">
        <v>19147</v>
      </c>
      <c r="BC2551" s="17">
        <v>547</v>
      </c>
      <c r="BD2551" s="17">
        <v>462</v>
      </c>
      <c r="BE2551" s="17">
        <v>3148</v>
      </c>
      <c r="BF2551" s="17">
        <v>0</v>
      </c>
      <c r="BG2551" s="11">
        <f ca="1">IFERROR(__xludf.DUMMYFUNCTION("""COMPUTED_VALUE"""),45970.4375)</f>
        <v>45970.4375</v>
      </c>
      <c r="BH2551" s="17" t="s">
        <v>105</v>
      </c>
      <c r="BI2551" s="17"/>
      <c r="BJ2551" s="15"/>
      <c r="BK2551" s="15"/>
      <c r="BL2551" s="13" t="b">
        <v>0</v>
      </c>
      <c r="BM2551" s="10"/>
      <c r="BN2551" s="10" t="s">
        <v>634</v>
      </c>
      <c r="BO2551" s="11">
        <v>45968.595138888886</v>
      </c>
      <c r="BP2551" s="11">
        <v>45968.595289351855</v>
      </c>
      <c r="BQ2551" s="15"/>
      <c r="BR2551" s="15">
        <v>45969.819363425922</v>
      </c>
      <c r="BS2551" s="10" t="s">
        <v>634</v>
      </c>
      <c r="BT2551" s="10"/>
      <c r="BU2551" s="10"/>
      <c r="BV2551" s="10"/>
      <c r="BW2551" s="10"/>
      <c r="BX2551" s="10"/>
      <c r="BY2551" s="23"/>
      <c r="BZ2551" s="23"/>
      <c r="CA2551" s="19" t="s">
        <v>19142</v>
      </c>
      <c r="CB2551" s="23"/>
      <c r="CC2551" s="23"/>
      <c r="CD2551" s="23"/>
      <c r="CE2551" s="23"/>
      <c r="CF2551" s="23"/>
      <c r="CG2551" s="23"/>
      <c r="CH2551" s="23"/>
      <c r="CI2551" s="23"/>
    </row>
    <row r="2552" spans="1:87" x14ac:dyDescent="0.3">
      <c r="A2552" s="9" t="s">
        <v>19217</v>
      </c>
      <c r="B2552" s="10" t="s">
        <v>19218</v>
      </c>
      <c r="C2552" s="11">
        <v>45970.486111111109</v>
      </c>
      <c r="D2552" s="12">
        <v>4.8611111111111112E-2</v>
      </c>
      <c r="E2552" s="11">
        <v>45970.534722222219</v>
      </c>
      <c r="F2552" s="10" t="s">
        <v>19136</v>
      </c>
      <c r="G2552" s="13" t="b">
        <v>0</v>
      </c>
      <c r="H2552" s="22" t="s">
        <v>9017</v>
      </c>
      <c r="I2552" s="10" t="s">
        <v>212</v>
      </c>
      <c r="J2552" s="13" t="b">
        <v>1</v>
      </c>
      <c r="K2552" s="13" t="b">
        <v>0</v>
      </c>
      <c r="L2552" s="10" t="s">
        <v>124</v>
      </c>
      <c r="M2552" s="10" t="s">
        <v>91</v>
      </c>
      <c r="N2552" s="10" t="s">
        <v>92</v>
      </c>
      <c r="O2552" s="19" t="s">
        <v>19219</v>
      </c>
      <c r="P2552" s="10"/>
      <c r="Q2552" s="10" t="s">
        <v>94</v>
      </c>
      <c r="R2552" s="10"/>
      <c r="S2552" s="19" t="s">
        <v>19138</v>
      </c>
      <c r="T2552" s="10"/>
      <c r="U2552" s="10"/>
      <c r="V2552" s="10"/>
      <c r="W2552" s="10" t="s">
        <v>19139</v>
      </c>
      <c r="X2552" s="10" t="s">
        <v>130</v>
      </c>
      <c r="Y2552" s="10" t="s">
        <v>130</v>
      </c>
      <c r="Z2552" s="10" t="s">
        <v>99</v>
      </c>
      <c r="AA2552" s="10" t="s">
        <v>131</v>
      </c>
      <c r="AB2552" s="10" t="s">
        <v>19140</v>
      </c>
      <c r="AC2552" s="10" t="s">
        <v>9022</v>
      </c>
      <c r="AD2552" s="10" t="s">
        <v>165</v>
      </c>
      <c r="AE2552" s="10" t="s">
        <v>19220</v>
      </c>
      <c r="AF2552" s="15"/>
      <c r="AG2552" s="10"/>
      <c r="AH2552" s="10"/>
      <c r="AI2552" s="10"/>
      <c r="AJ2552" s="10"/>
      <c r="AK2552" s="10" t="s">
        <v>102</v>
      </c>
      <c r="AL2552" s="10" t="s">
        <v>7897</v>
      </c>
      <c r="AM2552" s="10"/>
      <c r="AN2552" s="10"/>
      <c r="AO2552" s="13" t="b">
        <v>0</v>
      </c>
      <c r="AP2552" s="22" t="s">
        <v>104</v>
      </c>
      <c r="AQ2552" s="10">
        <f ca="1">IFERROR(__xludf.DUMMYFUNCTION("""COMPUTED_VALUE"""),4708911)</f>
        <v>4708911</v>
      </c>
      <c r="AR2552" s="17">
        <v>563</v>
      </c>
      <c r="AS2552" s="17">
        <v>484</v>
      </c>
      <c r="AT2552" s="17">
        <v>2981.5</v>
      </c>
      <c r="AU2552" s="17">
        <v>0</v>
      </c>
      <c r="AV2552" s="17">
        <v>0</v>
      </c>
      <c r="AW2552" s="10" t="s">
        <v>105</v>
      </c>
      <c r="AX2552" s="17">
        <v>96</v>
      </c>
      <c r="AY2552" s="18">
        <v>6.160123966942149</v>
      </c>
      <c r="AZ2552" s="10"/>
      <c r="BA2552" s="20" t="b">
        <v>0</v>
      </c>
      <c r="BB2552" s="10" t="s">
        <v>19147</v>
      </c>
      <c r="BC2552" s="17">
        <v>563</v>
      </c>
      <c r="BD2552" s="17">
        <v>484</v>
      </c>
      <c r="BE2552" s="17">
        <v>2981.5</v>
      </c>
      <c r="BF2552" s="17">
        <v>0</v>
      </c>
      <c r="BG2552" s="11">
        <f ca="1">IFERROR(__xludf.DUMMYFUNCTION("""COMPUTED_VALUE"""),45970.4861111111)</f>
        <v>45970.486111111102</v>
      </c>
      <c r="BH2552" s="17" t="s">
        <v>105</v>
      </c>
      <c r="BI2552" s="17"/>
      <c r="BJ2552" s="15"/>
      <c r="BK2552" s="15"/>
      <c r="BL2552" s="13" t="b">
        <v>0</v>
      </c>
      <c r="BM2552" s="10"/>
      <c r="BN2552" s="10" t="s">
        <v>634</v>
      </c>
      <c r="BO2552" s="11">
        <v>45968.595138888886</v>
      </c>
      <c r="BP2552" s="11">
        <v>45968.595405092594</v>
      </c>
      <c r="BQ2552" s="15"/>
      <c r="BR2552" s="15">
        <v>45969.81962962963</v>
      </c>
      <c r="BS2552" s="10" t="s">
        <v>634</v>
      </c>
      <c r="BT2552" s="10"/>
      <c r="BU2552" s="10"/>
      <c r="BV2552" s="10"/>
      <c r="BW2552" s="10"/>
      <c r="BX2552" s="10"/>
      <c r="BY2552" s="23"/>
      <c r="BZ2552" s="23"/>
      <c r="CA2552" s="19" t="s">
        <v>19142</v>
      </c>
      <c r="CB2552" s="23"/>
      <c r="CC2552" s="23"/>
      <c r="CD2552" s="23"/>
      <c r="CE2552" s="23"/>
      <c r="CF2552" s="23"/>
      <c r="CG2552" s="23"/>
      <c r="CH2552" s="23"/>
      <c r="CI2552" s="23"/>
    </row>
    <row r="2553" spans="1:87" x14ac:dyDescent="0.3">
      <c r="A2553" s="9" t="s">
        <v>19221</v>
      </c>
      <c r="B2553" s="10" t="s">
        <v>19222</v>
      </c>
      <c r="C2553" s="11">
        <v>45970.534722222219</v>
      </c>
      <c r="D2553" s="12">
        <v>4.8611111111111112E-2</v>
      </c>
      <c r="E2553" s="11">
        <v>45970.583333333336</v>
      </c>
      <c r="F2553" s="10" t="s">
        <v>19136</v>
      </c>
      <c r="G2553" s="13" t="b">
        <v>0</v>
      </c>
      <c r="H2553" s="22" t="s">
        <v>9017</v>
      </c>
      <c r="I2553" s="10" t="s">
        <v>212</v>
      </c>
      <c r="J2553" s="13" t="b">
        <v>1</v>
      </c>
      <c r="K2553" s="13" t="b">
        <v>0</v>
      </c>
      <c r="L2553" s="10" t="s">
        <v>124</v>
      </c>
      <c r="M2553" s="10" t="s">
        <v>91</v>
      </c>
      <c r="N2553" s="10" t="s">
        <v>92</v>
      </c>
      <c r="O2553" s="19" t="s">
        <v>19223</v>
      </c>
      <c r="P2553" s="10"/>
      <c r="Q2553" s="10" t="s">
        <v>94</v>
      </c>
      <c r="R2553" s="10"/>
      <c r="S2553" s="19" t="s">
        <v>19138</v>
      </c>
      <c r="T2553" s="10"/>
      <c r="U2553" s="10"/>
      <c r="V2553" s="10"/>
      <c r="W2553" s="10" t="s">
        <v>19139</v>
      </c>
      <c r="X2553" s="10" t="s">
        <v>130</v>
      </c>
      <c r="Y2553" s="10" t="s">
        <v>130</v>
      </c>
      <c r="Z2553" s="10" t="s">
        <v>99</v>
      </c>
      <c r="AA2553" s="10" t="s">
        <v>131</v>
      </c>
      <c r="AB2553" s="10" t="s">
        <v>19140</v>
      </c>
      <c r="AC2553" s="10" t="s">
        <v>9022</v>
      </c>
      <c r="AD2553" s="10" t="s">
        <v>165</v>
      </c>
      <c r="AE2553" s="10" t="s">
        <v>19224</v>
      </c>
      <c r="AF2553" s="15"/>
      <c r="AG2553" s="10"/>
      <c r="AH2553" s="10"/>
      <c r="AI2553" s="10"/>
      <c r="AJ2553" s="10"/>
      <c r="AK2553" s="10" t="s">
        <v>102</v>
      </c>
      <c r="AL2553" s="10" t="s">
        <v>7897</v>
      </c>
      <c r="AM2553" s="10"/>
      <c r="AN2553" s="10"/>
      <c r="AO2553" s="13" t="b">
        <v>0</v>
      </c>
      <c r="AP2553" s="22" t="s">
        <v>104</v>
      </c>
      <c r="AQ2553" s="10">
        <f ca="1">IFERROR(__xludf.DUMMYFUNCTION("""COMPUTED_VALUE"""),4708912)</f>
        <v>4708912</v>
      </c>
      <c r="AR2553" s="17">
        <v>1107</v>
      </c>
      <c r="AS2553" s="17">
        <v>951</v>
      </c>
      <c r="AT2553" s="17">
        <v>5931.25</v>
      </c>
      <c r="AU2553" s="17">
        <v>0.5</v>
      </c>
      <c r="AV2553" s="17">
        <v>0</v>
      </c>
      <c r="AW2553" s="10" t="s">
        <v>105</v>
      </c>
      <c r="AX2553" s="17">
        <v>172</v>
      </c>
      <c r="AY2553" s="18">
        <v>6.2368559411146158</v>
      </c>
      <c r="AZ2553" s="10"/>
      <c r="BA2553" s="20" t="b">
        <v>0</v>
      </c>
      <c r="BB2553" s="10" t="s">
        <v>19147</v>
      </c>
      <c r="BC2553" s="17">
        <v>1107</v>
      </c>
      <c r="BD2553" s="17">
        <v>951</v>
      </c>
      <c r="BE2553" s="17">
        <v>5931.25</v>
      </c>
      <c r="BF2553" s="17">
        <v>0</v>
      </c>
      <c r="BG2553" s="11">
        <f ca="1">IFERROR(__xludf.DUMMYFUNCTION("""COMPUTED_VALUE"""),45970.5347222222)</f>
        <v>45970.534722222197</v>
      </c>
      <c r="BH2553" s="17" t="s">
        <v>105</v>
      </c>
      <c r="BI2553" s="17"/>
      <c r="BJ2553" s="15"/>
      <c r="BK2553" s="15"/>
      <c r="BL2553" s="13" t="b">
        <v>0</v>
      </c>
      <c r="BM2553" s="10"/>
      <c r="BN2553" s="10" t="s">
        <v>634</v>
      </c>
      <c r="BO2553" s="11">
        <v>45968.595138888886</v>
      </c>
      <c r="BP2553" s="11">
        <v>45968.595497685186</v>
      </c>
      <c r="BQ2553" s="15"/>
      <c r="BR2553" s="15">
        <v>45969.820034722223</v>
      </c>
      <c r="BS2553" s="10" t="s">
        <v>634</v>
      </c>
      <c r="BT2553" s="10"/>
      <c r="BU2553" s="10"/>
      <c r="BV2553" s="10"/>
      <c r="BW2553" s="10"/>
      <c r="BX2553" s="10"/>
      <c r="BY2553" s="23"/>
      <c r="BZ2553" s="23"/>
      <c r="CA2553" s="19" t="s">
        <v>19142</v>
      </c>
      <c r="CB2553" s="23"/>
      <c r="CC2553" s="23"/>
      <c r="CD2553" s="23"/>
      <c r="CE2553" s="23"/>
      <c r="CF2553" s="23"/>
      <c r="CG2553" s="23"/>
      <c r="CH2553" s="23"/>
      <c r="CI2553" s="23"/>
    </row>
    <row r="2554" spans="1:87" x14ac:dyDescent="0.3">
      <c r="A2554" s="9" t="s">
        <v>19225</v>
      </c>
      <c r="B2554" s="10" t="s">
        <v>19226</v>
      </c>
      <c r="C2554" s="11">
        <v>45970.583333333336</v>
      </c>
      <c r="D2554" s="12">
        <v>4.8611111111111112E-2</v>
      </c>
      <c r="E2554" s="11">
        <v>45970.631944444445</v>
      </c>
      <c r="F2554" s="10" t="s">
        <v>19136</v>
      </c>
      <c r="G2554" s="13" t="b">
        <v>0</v>
      </c>
      <c r="H2554" s="22" t="s">
        <v>9017</v>
      </c>
      <c r="I2554" s="10" t="s">
        <v>212</v>
      </c>
      <c r="J2554" s="13" t="b">
        <v>1</v>
      </c>
      <c r="K2554" s="13" t="b">
        <v>0</v>
      </c>
      <c r="L2554" s="10" t="s">
        <v>124</v>
      </c>
      <c r="M2554" s="10" t="s">
        <v>91</v>
      </c>
      <c r="N2554" s="10" t="s">
        <v>92</v>
      </c>
      <c r="O2554" s="19" t="s">
        <v>19227</v>
      </c>
      <c r="P2554" s="10"/>
      <c r="Q2554" s="10" t="s">
        <v>94</v>
      </c>
      <c r="R2554" s="10"/>
      <c r="S2554" s="19" t="s">
        <v>19138</v>
      </c>
      <c r="T2554" s="10"/>
      <c r="U2554" s="10"/>
      <c r="V2554" s="10"/>
      <c r="W2554" s="10" t="s">
        <v>19139</v>
      </c>
      <c r="X2554" s="10" t="s">
        <v>130</v>
      </c>
      <c r="Y2554" s="10" t="s">
        <v>130</v>
      </c>
      <c r="Z2554" s="10" t="s">
        <v>99</v>
      </c>
      <c r="AA2554" s="10" t="s">
        <v>131</v>
      </c>
      <c r="AB2554" s="10" t="s">
        <v>19140</v>
      </c>
      <c r="AC2554" s="10" t="s">
        <v>9022</v>
      </c>
      <c r="AD2554" s="10" t="s">
        <v>165</v>
      </c>
      <c r="AE2554" s="10" t="s">
        <v>19228</v>
      </c>
      <c r="AF2554" s="15"/>
      <c r="AG2554" s="10"/>
      <c r="AH2554" s="10"/>
      <c r="AI2554" s="10"/>
      <c r="AJ2554" s="10"/>
      <c r="AK2554" s="10" t="s">
        <v>102</v>
      </c>
      <c r="AL2554" s="10" t="s">
        <v>7897</v>
      </c>
      <c r="AM2554" s="10"/>
      <c r="AN2554" s="10"/>
      <c r="AO2554" s="13" t="b">
        <v>0</v>
      </c>
      <c r="AP2554" s="22" t="s">
        <v>104</v>
      </c>
      <c r="AQ2554" s="10">
        <f ca="1">IFERROR(__xludf.DUMMYFUNCTION("""COMPUTED_VALUE"""),4708913)</f>
        <v>4708913</v>
      </c>
      <c r="AR2554" s="17">
        <v>562</v>
      </c>
      <c r="AS2554" s="17">
        <v>498</v>
      </c>
      <c r="AT2554" s="17">
        <v>1143.75</v>
      </c>
      <c r="AU2554" s="17">
        <v>0.25</v>
      </c>
      <c r="AV2554" s="17">
        <v>0</v>
      </c>
      <c r="AW2554" s="10" t="s">
        <v>105</v>
      </c>
      <c r="AX2554" s="17">
        <v>184</v>
      </c>
      <c r="AY2554" s="18">
        <v>2.2966867469879517</v>
      </c>
      <c r="AZ2554" s="10"/>
      <c r="BA2554" s="20" t="b">
        <v>0</v>
      </c>
      <c r="BB2554" s="10" t="s">
        <v>19147</v>
      </c>
      <c r="BC2554" s="17">
        <v>562</v>
      </c>
      <c r="BD2554" s="17">
        <v>498</v>
      </c>
      <c r="BE2554" s="17">
        <v>1143.75</v>
      </c>
      <c r="BF2554" s="17">
        <v>0</v>
      </c>
      <c r="BG2554" s="11">
        <f ca="1">IFERROR(__xludf.DUMMYFUNCTION("""COMPUTED_VALUE"""),45970.5833333333)</f>
        <v>45970.583333333299</v>
      </c>
      <c r="BH2554" s="17" t="s">
        <v>105</v>
      </c>
      <c r="BI2554" s="17"/>
      <c r="BJ2554" s="15"/>
      <c r="BK2554" s="15"/>
      <c r="BL2554" s="13" t="b">
        <v>0</v>
      </c>
      <c r="BM2554" s="10"/>
      <c r="BN2554" s="10" t="s">
        <v>634</v>
      </c>
      <c r="BO2554" s="11">
        <v>45968.595833333333</v>
      </c>
      <c r="BP2554" s="11">
        <v>45968.595879629633</v>
      </c>
      <c r="BQ2554" s="15"/>
      <c r="BR2554" s="15">
        <v>45969.820254629631</v>
      </c>
      <c r="BS2554" s="10" t="s">
        <v>634</v>
      </c>
      <c r="BT2554" s="10"/>
      <c r="BU2554" s="10"/>
      <c r="BV2554" s="10"/>
      <c r="BW2554" s="10"/>
      <c r="BX2554" s="10"/>
      <c r="BY2554" s="23"/>
      <c r="BZ2554" s="23"/>
      <c r="CA2554" s="19" t="s">
        <v>19142</v>
      </c>
      <c r="CB2554" s="23"/>
      <c r="CC2554" s="23"/>
      <c r="CD2554" s="23"/>
      <c r="CE2554" s="23"/>
      <c r="CF2554" s="23"/>
      <c r="CG2554" s="23"/>
      <c r="CH2554" s="23"/>
      <c r="CI2554" s="23"/>
    </row>
    <row r="2555" spans="1:87" x14ac:dyDescent="0.3">
      <c r="A2555" s="9" t="s">
        <v>19229</v>
      </c>
      <c r="B2555" s="10" t="s">
        <v>19230</v>
      </c>
      <c r="C2555" s="11">
        <v>45970.291666666664</v>
      </c>
      <c r="D2555" s="12">
        <v>4.8611111111111112E-2</v>
      </c>
      <c r="E2555" s="11">
        <v>45970.340277777781</v>
      </c>
      <c r="F2555" s="10" t="s">
        <v>19136</v>
      </c>
      <c r="G2555" s="13" t="b">
        <v>0</v>
      </c>
      <c r="H2555" s="22" t="s">
        <v>9017</v>
      </c>
      <c r="I2555" s="10" t="s">
        <v>212</v>
      </c>
      <c r="J2555" s="13" t="b">
        <v>1</v>
      </c>
      <c r="K2555" s="13" t="b">
        <v>0</v>
      </c>
      <c r="L2555" s="10" t="s">
        <v>124</v>
      </c>
      <c r="M2555" s="10" t="s">
        <v>91</v>
      </c>
      <c r="N2555" s="10" t="s">
        <v>92</v>
      </c>
      <c r="O2555" s="19" t="s">
        <v>19231</v>
      </c>
      <c r="P2555" s="10"/>
      <c r="Q2555" s="10" t="s">
        <v>94</v>
      </c>
      <c r="R2555" s="10"/>
      <c r="S2555" s="19" t="s">
        <v>19138</v>
      </c>
      <c r="T2555" s="10"/>
      <c r="U2555" s="10"/>
      <c r="V2555" s="10"/>
      <c r="W2555" s="10" t="s">
        <v>19139</v>
      </c>
      <c r="X2555" s="10" t="s">
        <v>130</v>
      </c>
      <c r="Y2555" s="10" t="s">
        <v>130</v>
      </c>
      <c r="Z2555" s="10" t="s">
        <v>99</v>
      </c>
      <c r="AA2555" s="10" t="s">
        <v>131</v>
      </c>
      <c r="AB2555" s="10" t="s">
        <v>19140</v>
      </c>
      <c r="AC2555" s="10" t="s">
        <v>9022</v>
      </c>
      <c r="AD2555" s="10" t="s">
        <v>165</v>
      </c>
      <c r="AE2555" s="10" t="s">
        <v>19232</v>
      </c>
      <c r="AF2555" s="15"/>
      <c r="AG2555" s="10"/>
      <c r="AH2555" s="10"/>
      <c r="AI2555" s="10"/>
      <c r="AJ2555" s="10"/>
      <c r="AK2555" s="10" t="s">
        <v>102</v>
      </c>
      <c r="AL2555" s="10" t="s">
        <v>7897</v>
      </c>
      <c r="AM2555" s="10"/>
      <c r="AN2555" s="10"/>
      <c r="AO2555" s="13" t="b">
        <v>0</v>
      </c>
      <c r="AP2555" s="22" t="s">
        <v>104</v>
      </c>
      <c r="AQ2555" s="10">
        <f ca="1">IFERROR(__xludf.DUMMYFUNCTION("""COMPUTED_VALUE"""),4709124)</f>
        <v>4709124</v>
      </c>
      <c r="AR2555" s="17">
        <v>422</v>
      </c>
      <c r="AS2555" s="17">
        <v>358</v>
      </c>
      <c r="AT2555" s="17">
        <v>2871</v>
      </c>
      <c r="AU2555" s="17">
        <v>0</v>
      </c>
      <c r="AV2555" s="17">
        <v>0</v>
      </c>
      <c r="AW2555" s="10" t="s">
        <v>105</v>
      </c>
      <c r="AX2555" s="17">
        <v>80</v>
      </c>
      <c r="AY2555" s="18">
        <v>8.0195530726256976</v>
      </c>
      <c r="AZ2555" s="10"/>
      <c r="BA2555" s="20" t="b">
        <v>0</v>
      </c>
      <c r="BB2555" s="29" t="s">
        <v>19149</v>
      </c>
      <c r="BC2555" s="17">
        <v>422</v>
      </c>
      <c r="BD2555" s="17">
        <v>358</v>
      </c>
      <c r="BE2555" s="17">
        <v>2871</v>
      </c>
      <c r="BF2555" s="17">
        <v>0</v>
      </c>
      <c r="BG2555" s="11">
        <f ca="1">IFERROR(__xludf.DUMMYFUNCTION("""COMPUTED_VALUE"""),45970.2916666666)</f>
        <v>45970.291666666599</v>
      </c>
      <c r="BH2555" s="17" t="s">
        <v>105</v>
      </c>
      <c r="BI2555" s="17"/>
      <c r="BJ2555" s="15"/>
      <c r="BK2555" s="15"/>
      <c r="BL2555" s="13" t="b">
        <v>0</v>
      </c>
      <c r="BM2555" s="10"/>
      <c r="BN2555" s="10" t="s">
        <v>197</v>
      </c>
      <c r="BO2555" s="11">
        <v>45968.595833333333</v>
      </c>
      <c r="BP2555" s="11">
        <v>45968.596284722225</v>
      </c>
      <c r="BQ2555" s="15"/>
      <c r="BR2555" s="15">
        <v>45969.906840277778</v>
      </c>
      <c r="BS2555" s="10" t="s">
        <v>197</v>
      </c>
      <c r="BT2555" s="10"/>
      <c r="BU2555" s="10"/>
      <c r="BV2555" s="10"/>
      <c r="BW2555" s="10"/>
      <c r="BX2555" s="10"/>
      <c r="BY2555" s="23"/>
      <c r="BZ2555" s="23"/>
      <c r="CA2555" s="19" t="s">
        <v>19142</v>
      </c>
      <c r="CB2555" s="23"/>
      <c r="CC2555" s="23"/>
      <c r="CD2555" s="23"/>
      <c r="CE2555" s="23"/>
      <c r="CF2555" s="23"/>
      <c r="CG2555" s="23"/>
      <c r="CH2555" s="23"/>
      <c r="CI2555" s="23"/>
    </row>
    <row r="2556" spans="1:87" x14ac:dyDescent="0.3">
      <c r="A2556" s="9" t="s">
        <v>19233</v>
      </c>
      <c r="B2556" s="10" t="s">
        <v>19234</v>
      </c>
      <c r="C2556" s="11">
        <v>45970.340277777781</v>
      </c>
      <c r="D2556" s="12">
        <v>4.8611111111111112E-2</v>
      </c>
      <c r="E2556" s="11">
        <v>45970.388888888891</v>
      </c>
      <c r="F2556" s="10" t="s">
        <v>19136</v>
      </c>
      <c r="G2556" s="13" t="b">
        <v>0</v>
      </c>
      <c r="H2556" s="22" t="s">
        <v>9017</v>
      </c>
      <c r="I2556" s="10" t="s">
        <v>212</v>
      </c>
      <c r="J2556" s="13" t="b">
        <v>1</v>
      </c>
      <c r="K2556" s="13" t="b">
        <v>0</v>
      </c>
      <c r="L2556" s="10" t="s">
        <v>124</v>
      </c>
      <c r="M2556" s="10" t="s">
        <v>91</v>
      </c>
      <c r="N2556" s="10" t="s">
        <v>92</v>
      </c>
      <c r="O2556" s="19" t="s">
        <v>19235</v>
      </c>
      <c r="P2556" s="10"/>
      <c r="Q2556" s="10" t="s">
        <v>94</v>
      </c>
      <c r="R2556" s="10"/>
      <c r="S2556" s="19" t="s">
        <v>19138</v>
      </c>
      <c r="T2556" s="10"/>
      <c r="U2556" s="10"/>
      <c r="V2556" s="10"/>
      <c r="W2556" s="10" t="s">
        <v>19139</v>
      </c>
      <c r="X2556" s="10" t="s">
        <v>130</v>
      </c>
      <c r="Y2556" s="10" t="s">
        <v>130</v>
      </c>
      <c r="Z2556" s="10" t="s">
        <v>99</v>
      </c>
      <c r="AA2556" s="10" t="s">
        <v>131</v>
      </c>
      <c r="AB2556" s="10" t="s">
        <v>19140</v>
      </c>
      <c r="AC2556" s="10" t="s">
        <v>9022</v>
      </c>
      <c r="AD2556" s="10" t="s">
        <v>165</v>
      </c>
      <c r="AE2556" s="10" t="s">
        <v>19236</v>
      </c>
      <c r="AF2556" s="15"/>
      <c r="AG2556" s="10"/>
      <c r="AH2556" s="10"/>
      <c r="AI2556" s="10"/>
      <c r="AJ2556" s="10"/>
      <c r="AK2556" s="10" t="s">
        <v>102</v>
      </c>
      <c r="AL2556" s="10" t="s">
        <v>7897</v>
      </c>
      <c r="AM2556" s="10"/>
      <c r="AN2556" s="10"/>
      <c r="AO2556" s="13" t="b">
        <v>0</v>
      </c>
      <c r="AP2556" s="22" t="s">
        <v>104</v>
      </c>
      <c r="AQ2556" s="10">
        <f ca="1">IFERROR(__xludf.DUMMYFUNCTION("""COMPUTED_VALUE"""),4709125)</f>
        <v>4709125</v>
      </c>
      <c r="AR2556" s="17">
        <v>480</v>
      </c>
      <c r="AS2556" s="17">
        <v>417</v>
      </c>
      <c r="AT2556" s="17">
        <v>2929</v>
      </c>
      <c r="AU2556" s="17">
        <v>1.5</v>
      </c>
      <c r="AV2556" s="17">
        <v>0</v>
      </c>
      <c r="AW2556" s="10" t="s">
        <v>105</v>
      </c>
      <c r="AX2556" s="17">
        <v>89</v>
      </c>
      <c r="AY2556" s="18">
        <v>7.0239808153477217</v>
      </c>
      <c r="AZ2556" s="10"/>
      <c r="BA2556" s="20" t="b">
        <v>0</v>
      </c>
      <c r="BB2556" s="29" t="s">
        <v>19149</v>
      </c>
      <c r="BC2556" s="17">
        <v>480</v>
      </c>
      <c r="BD2556" s="17">
        <v>417</v>
      </c>
      <c r="BE2556" s="17">
        <v>2929</v>
      </c>
      <c r="BF2556" s="17">
        <v>0</v>
      </c>
      <c r="BG2556" s="11">
        <f ca="1">IFERROR(__xludf.DUMMYFUNCTION("""COMPUTED_VALUE"""),45970.3402777777)</f>
        <v>45970.340277777701</v>
      </c>
      <c r="BH2556" s="17" t="s">
        <v>105</v>
      </c>
      <c r="BI2556" s="17"/>
      <c r="BJ2556" s="15"/>
      <c r="BK2556" s="15"/>
      <c r="BL2556" s="13" t="b">
        <v>0</v>
      </c>
      <c r="BM2556" s="10"/>
      <c r="BN2556" s="10" t="s">
        <v>197</v>
      </c>
      <c r="BO2556" s="11">
        <v>45968.595833333333</v>
      </c>
      <c r="BP2556" s="11">
        <v>45968.596342592595</v>
      </c>
      <c r="BQ2556" s="15"/>
      <c r="BR2556" s="15">
        <v>45969.906956018516</v>
      </c>
      <c r="BS2556" s="10" t="s">
        <v>197</v>
      </c>
      <c r="BT2556" s="10"/>
      <c r="BU2556" s="10"/>
      <c r="BV2556" s="10"/>
      <c r="BW2556" s="10"/>
      <c r="BX2556" s="10"/>
      <c r="BY2556" s="23"/>
      <c r="BZ2556" s="23"/>
      <c r="CA2556" s="19" t="s">
        <v>19142</v>
      </c>
      <c r="CB2556" s="23"/>
      <c r="CC2556" s="23"/>
      <c r="CD2556" s="23"/>
      <c r="CE2556" s="23"/>
      <c r="CF2556" s="23"/>
      <c r="CG2556" s="23"/>
      <c r="CH2556" s="23"/>
      <c r="CI2556" s="23"/>
    </row>
    <row r="2557" spans="1:87" x14ac:dyDescent="0.3">
      <c r="A2557" s="9" t="s">
        <v>19237</v>
      </c>
      <c r="B2557" s="10" t="s">
        <v>19238</v>
      </c>
      <c r="C2557" s="11">
        <v>45970.388888888891</v>
      </c>
      <c r="D2557" s="12">
        <v>4.8611111111111112E-2</v>
      </c>
      <c r="E2557" s="11">
        <v>45970.4375</v>
      </c>
      <c r="F2557" s="10" t="s">
        <v>19136</v>
      </c>
      <c r="G2557" s="13" t="b">
        <v>0</v>
      </c>
      <c r="H2557" s="22" t="s">
        <v>9017</v>
      </c>
      <c r="I2557" s="10" t="s">
        <v>212</v>
      </c>
      <c r="J2557" s="13" t="b">
        <v>1</v>
      </c>
      <c r="K2557" s="13" t="b">
        <v>0</v>
      </c>
      <c r="L2557" s="10" t="s">
        <v>124</v>
      </c>
      <c r="M2557" s="10" t="s">
        <v>91</v>
      </c>
      <c r="N2557" s="10" t="s">
        <v>92</v>
      </c>
      <c r="O2557" s="19" t="s">
        <v>19239</v>
      </c>
      <c r="P2557" s="10"/>
      <c r="Q2557" s="10" t="s">
        <v>94</v>
      </c>
      <c r="R2557" s="10"/>
      <c r="S2557" s="19" t="s">
        <v>19138</v>
      </c>
      <c r="T2557" s="10"/>
      <c r="U2557" s="10"/>
      <c r="V2557" s="10"/>
      <c r="W2557" s="10" t="s">
        <v>19139</v>
      </c>
      <c r="X2557" s="10" t="s">
        <v>130</v>
      </c>
      <c r="Y2557" s="10" t="s">
        <v>130</v>
      </c>
      <c r="Z2557" s="10" t="s">
        <v>99</v>
      </c>
      <c r="AA2557" s="10" t="s">
        <v>131</v>
      </c>
      <c r="AB2557" s="10" t="s">
        <v>19140</v>
      </c>
      <c r="AC2557" s="10" t="s">
        <v>9022</v>
      </c>
      <c r="AD2557" s="10" t="s">
        <v>165</v>
      </c>
      <c r="AE2557" s="10" t="s">
        <v>19240</v>
      </c>
      <c r="AF2557" s="15"/>
      <c r="AG2557" s="10"/>
      <c r="AH2557" s="10"/>
      <c r="AI2557" s="10"/>
      <c r="AJ2557" s="10"/>
      <c r="AK2557" s="10" t="s">
        <v>102</v>
      </c>
      <c r="AL2557" s="10" t="s">
        <v>7897</v>
      </c>
      <c r="AM2557" s="10"/>
      <c r="AN2557" s="10"/>
      <c r="AO2557" s="13" t="b">
        <v>0</v>
      </c>
      <c r="AP2557" s="22" t="s">
        <v>104</v>
      </c>
      <c r="AQ2557" s="10">
        <f ca="1">IFERROR(__xludf.DUMMYFUNCTION("""COMPUTED_VALUE"""),4709126)</f>
        <v>4709126</v>
      </c>
      <c r="AR2557" s="17">
        <v>537</v>
      </c>
      <c r="AS2557" s="17">
        <v>442</v>
      </c>
      <c r="AT2557" s="17">
        <v>4833.5</v>
      </c>
      <c r="AU2557" s="17">
        <v>0</v>
      </c>
      <c r="AV2557" s="17">
        <v>0</v>
      </c>
      <c r="AW2557" s="10" t="s">
        <v>105</v>
      </c>
      <c r="AX2557" s="17">
        <v>97</v>
      </c>
      <c r="AY2557" s="18">
        <v>10.93552036199095</v>
      </c>
      <c r="AZ2557" s="10"/>
      <c r="BA2557" s="20" t="b">
        <v>0</v>
      </c>
      <c r="BB2557" s="29" t="s">
        <v>19149</v>
      </c>
      <c r="BC2557" s="17">
        <v>537</v>
      </c>
      <c r="BD2557" s="17">
        <v>442</v>
      </c>
      <c r="BE2557" s="17">
        <v>4833.5</v>
      </c>
      <c r="BF2557" s="17">
        <v>0</v>
      </c>
      <c r="BG2557" s="11">
        <f ca="1">IFERROR(__xludf.DUMMYFUNCTION("""COMPUTED_VALUE"""),45970.3888888888)</f>
        <v>45970.388888888803</v>
      </c>
      <c r="BH2557" s="17" t="s">
        <v>105</v>
      </c>
      <c r="BI2557" s="17"/>
      <c r="BJ2557" s="15"/>
      <c r="BK2557" s="15"/>
      <c r="BL2557" s="13" t="b">
        <v>0</v>
      </c>
      <c r="BM2557" s="10"/>
      <c r="BN2557" s="10" t="s">
        <v>197</v>
      </c>
      <c r="BO2557" s="11">
        <v>45968.595833333333</v>
      </c>
      <c r="BP2557" s="11">
        <v>45968.596388888887</v>
      </c>
      <c r="BQ2557" s="15"/>
      <c r="BR2557" s="15">
        <v>45969.907071759262</v>
      </c>
      <c r="BS2557" s="10" t="s">
        <v>197</v>
      </c>
      <c r="BT2557" s="10"/>
      <c r="BU2557" s="10"/>
      <c r="BV2557" s="10"/>
      <c r="BW2557" s="10"/>
      <c r="BX2557" s="10"/>
      <c r="BY2557" s="23"/>
      <c r="BZ2557" s="23"/>
      <c r="CA2557" s="19" t="s">
        <v>19142</v>
      </c>
      <c r="CB2557" s="23"/>
      <c r="CC2557" s="23"/>
      <c r="CD2557" s="23"/>
      <c r="CE2557" s="23"/>
      <c r="CF2557" s="23"/>
      <c r="CG2557" s="23"/>
      <c r="CH2557" s="23"/>
      <c r="CI2557" s="23"/>
    </row>
    <row r="2558" spans="1:87" x14ac:dyDescent="0.3">
      <c r="A2558" s="25" t="s">
        <v>19241</v>
      </c>
      <c r="B2558" s="10" t="s">
        <v>19242</v>
      </c>
      <c r="C2558" s="11">
        <v>45970.4375</v>
      </c>
      <c r="D2558" s="12">
        <v>4.8611111111111112E-2</v>
      </c>
      <c r="E2558" s="11">
        <v>45970.486111111109</v>
      </c>
      <c r="F2558" s="10" t="s">
        <v>19136</v>
      </c>
      <c r="G2558" s="13" t="b">
        <v>0</v>
      </c>
      <c r="H2558" s="22" t="s">
        <v>9017</v>
      </c>
      <c r="I2558" s="10" t="s">
        <v>212</v>
      </c>
      <c r="J2558" s="13" t="b">
        <v>1</v>
      </c>
      <c r="K2558" s="13" t="b">
        <v>0</v>
      </c>
      <c r="L2558" s="10" t="s">
        <v>124</v>
      </c>
      <c r="M2558" s="10" t="s">
        <v>91</v>
      </c>
      <c r="N2558" s="10" t="s">
        <v>92</v>
      </c>
      <c r="O2558" s="19" t="s">
        <v>19243</v>
      </c>
      <c r="P2558" s="10"/>
      <c r="Q2558" s="10" t="s">
        <v>94</v>
      </c>
      <c r="R2558" s="10"/>
      <c r="S2558" s="19" t="s">
        <v>19138</v>
      </c>
      <c r="T2558" s="10"/>
      <c r="U2558" s="10"/>
      <c r="V2558" s="10"/>
      <c r="W2558" s="10" t="s">
        <v>19139</v>
      </c>
      <c r="X2558" s="10" t="s">
        <v>130</v>
      </c>
      <c r="Y2558" s="10" t="s">
        <v>130</v>
      </c>
      <c r="Z2558" s="10" t="s">
        <v>99</v>
      </c>
      <c r="AA2558" s="10" t="s">
        <v>131</v>
      </c>
      <c r="AB2558" s="10" t="s">
        <v>19140</v>
      </c>
      <c r="AC2558" s="10" t="s">
        <v>9022</v>
      </c>
      <c r="AD2558" s="10" t="s">
        <v>165</v>
      </c>
      <c r="AE2558" s="10" t="s">
        <v>19244</v>
      </c>
      <c r="AF2558" s="15"/>
      <c r="AG2558" s="10"/>
      <c r="AH2558" s="10"/>
      <c r="AI2558" s="10"/>
      <c r="AJ2558" s="10"/>
      <c r="AK2558" s="10" t="s">
        <v>102</v>
      </c>
      <c r="AL2558" s="10" t="s">
        <v>7897</v>
      </c>
      <c r="AM2558" s="10"/>
      <c r="AN2558" s="10"/>
      <c r="AO2558" s="13" t="b">
        <v>0</v>
      </c>
      <c r="AP2558" s="22" t="s">
        <v>104</v>
      </c>
      <c r="AQ2558" s="10">
        <f ca="1">IFERROR(__xludf.DUMMYFUNCTION("""COMPUTED_VALUE"""),4709127)</f>
        <v>4709127</v>
      </c>
      <c r="AR2558" s="17">
        <v>585</v>
      </c>
      <c r="AS2558" s="17">
        <v>471</v>
      </c>
      <c r="AT2558" s="17">
        <v>4782.25</v>
      </c>
      <c r="AU2558" s="17">
        <v>0.5</v>
      </c>
      <c r="AV2558" s="17">
        <v>0</v>
      </c>
      <c r="AW2558" s="10" t="s">
        <v>105</v>
      </c>
      <c r="AX2558" s="17">
        <v>128</v>
      </c>
      <c r="AY2558" s="18">
        <v>10.15339702760085</v>
      </c>
      <c r="AZ2558" s="10"/>
      <c r="BA2558" s="20" t="b">
        <v>0</v>
      </c>
      <c r="BB2558" s="29" t="s">
        <v>19149</v>
      </c>
      <c r="BC2558" s="17">
        <v>585</v>
      </c>
      <c r="BD2558" s="17">
        <v>471</v>
      </c>
      <c r="BE2558" s="17">
        <v>4782.25</v>
      </c>
      <c r="BF2558" s="17">
        <v>0</v>
      </c>
      <c r="BG2558" s="11">
        <f ca="1">IFERROR(__xludf.DUMMYFUNCTION("""COMPUTED_VALUE"""),45970.4375)</f>
        <v>45970.4375</v>
      </c>
      <c r="BH2558" s="17" t="s">
        <v>105</v>
      </c>
      <c r="BI2558" s="17"/>
      <c r="BJ2558" s="15"/>
      <c r="BK2558" s="15"/>
      <c r="BL2558" s="13" t="b">
        <v>0</v>
      </c>
      <c r="BM2558" s="10"/>
      <c r="BN2558" s="10" t="s">
        <v>197</v>
      </c>
      <c r="BO2558" s="11">
        <v>45968.595833333333</v>
      </c>
      <c r="BP2558" s="11">
        <v>45968.596446759257</v>
      </c>
      <c r="BQ2558" s="15"/>
      <c r="BR2558" s="15">
        <v>45969.907187500001</v>
      </c>
      <c r="BS2558" s="10" t="s">
        <v>197</v>
      </c>
      <c r="BT2558" s="10"/>
      <c r="BU2558" s="10"/>
      <c r="BV2558" s="10"/>
      <c r="BW2558" s="10"/>
      <c r="BX2558" s="10"/>
      <c r="BY2558" s="23"/>
      <c r="BZ2558" s="23"/>
      <c r="CA2558" s="19" t="s">
        <v>19142</v>
      </c>
      <c r="CB2558" s="23"/>
      <c r="CC2558" s="23"/>
      <c r="CD2558" s="23"/>
      <c r="CE2558" s="23"/>
      <c r="CF2558" s="23"/>
      <c r="CG2558" s="23"/>
      <c r="CH2558" s="23"/>
      <c r="CI2558" s="23"/>
    </row>
    <row r="2559" spans="1:87" x14ac:dyDescent="0.3">
      <c r="A2559" s="9" t="s">
        <v>19245</v>
      </c>
      <c r="B2559" s="10" t="s">
        <v>19246</v>
      </c>
      <c r="C2559" s="11">
        <v>45970.486111111109</v>
      </c>
      <c r="D2559" s="12">
        <v>4.8611111111111112E-2</v>
      </c>
      <c r="E2559" s="11">
        <v>45970.534722222219</v>
      </c>
      <c r="F2559" s="10" t="s">
        <v>19136</v>
      </c>
      <c r="G2559" s="13" t="b">
        <v>0</v>
      </c>
      <c r="H2559" s="22" t="s">
        <v>9017</v>
      </c>
      <c r="I2559" s="10" t="s">
        <v>212</v>
      </c>
      <c r="J2559" s="13" t="b">
        <v>1</v>
      </c>
      <c r="K2559" s="13" t="b">
        <v>0</v>
      </c>
      <c r="L2559" s="10" t="s">
        <v>124</v>
      </c>
      <c r="M2559" s="10" t="s">
        <v>91</v>
      </c>
      <c r="N2559" s="10" t="s">
        <v>92</v>
      </c>
      <c r="O2559" s="19" t="s">
        <v>19247</v>
      </c>
      <c r="P2559" s="10"/>
      <c r="Q2559" s="10" t="s">
        <v>94</v>
      </c>
      <c r="R2559" s="10"/>
      <c r="S2559" s="19" t="s">
        <v>19138</v>
      </c>
      <c r="T2559" s="10"/>
      <c r="U2559" s="10"/>
      <c r="V2559" s="10"/>
      <c r="W2559" s="10" t="s">
        <v>19139</v>
      </c>
      <c r="X2559" s="10" t="s">
        <v>130</v>
      </c>
      <c r="Y2559" s="10" t="s">
        <v>130</v>
      </c>
      <c r="Z2559" s="10" t="s">
        <v>99</v>
      </c>
      <c r="AA2559" s="10" t="s">
        <v>131</v>
      </c>
      <c r="AB2559" s="10" t="s">
        <v>19140</v>
      </c>
      <c r="AC2559" s="10" t="s">
        <v>9022</v>
      </c>
      <c r="AD2559" s="10" t="s">
        <v>165</v>
      </c>
      <c r="AE2559" s="10" t="s">
        <v>19248</v>
      </c>
      <c r="AF2559" s="15"/>
      <c r="AG2559" s="10"/>
      <c r="AH2559" s="10"/>
      <c r="AI2559" s="10"/>
      <c r="AJ2559" s="10"/>
      <c r="AK2559" s="10" t="s">
        <v>102</v>
      </c>
      <c r="AL2559" s="10" t="s">
        <v>7897</v>
      </c>
      <c r="AM2559" s="10"/>
      <c r="AN2559" s="10"/>
      <c r="AO2559" s="13" t="b">
        <v>0</v>
      </c>
      <c r="AP2559" s="22" t="s">
        <v>104</v>
      </c>
      <c r="AQ2559" s="10">
        <f ca="1">IFERROR(__xludf.DUMMYFUNCTION("""COMPUTED_VALUE"""),4709128)</f>
        <v>4709128</v>
      </c>
      <c r="AR2559" s="17">
        <v>488</v>
      </c>
      <c r="AS2559" s="17">
        <v>401</v>
      </c>
      <c r="AT2559" s="17">
        <v>1561.75</v>
      </c>
      <c r="AU2559" s="17">
        <v>0</v>
      </c>
      <c r="AV2559" s="17">
        <v>0</v>
      </c>
      <c r="AW2559" s="10" t="s">
        <v>105</v>
      </c>
      <c r="AX2559" s="17">
        <v>123</v>
      </c>
      <c r="AY2559" s="18">
        <v>3.894638403990025</v>
      </c>
      <c r="AZ2559" s="10"/>
      <c r="BA2559" s="20" t="b">
        <v>0</v>
      </c>
      <c r="BB2559" s="29" t="s">
        <v>19149</v>
      </c>
      <c r="BC2559" s="17">
        <v>488</v>
      </c>
      <c r="BD2559" s="17">
        <v>401</v>
      </c>
      <c r="BE2559" s="17">
        <v>1561.75</v>
      </c>
      <c r="BF2559" s="17">
        <v>0</v>
      </c>
      <c r="BG2559" s="11">
        <f ca="1">IFERROR(__xludf.DUMMYFUNCTION("""COMPUTED_VALUE"""),45970.4861111111)</f>
        <v>45970.486111111102</v>
      </c>
      <c r="BH2559" s="17" t="s">
        <v>105</v>
      </c>
      <c r="BI2559" s="17"/>
      <c r="BJ2559" s="15"/>
      <c r="BK2559" s="15"/>
      <c r="BL2559" s="13" t="b">
        <v>0</v>
      </c>
      <c r="BM2559" s="10"/>
      <c r="BN2559" s="10" t="s">
        <v>197</v>
      </c>
      <c r="BO2559" s="11">
        <v>45968.595833333333</v>
      </c>
      <c r="BP2559" s="11">
        <v>45968.596504629626</v>
      </c>
      <c r="BQ2559" s="15"/>
      <c r="BR2559" s="15">
        <v>45969.90730324074</v>
      </c>
      <c r="BS2559" s="10" t="s">
        <v>197</v>
      </c>
      <c r="BT2559" s="10"/>
      <c r="BU2559" s="10"/>
      <c r="BV2559" s="10"/>
      <c r="BW2559" s="10"/>
      <c r="BX2559" s="10"/>
      <c r="BY2559" s="23"/>
      <c r="BZ2559" s="23"/>
      <c r="CA2559" s="19" t="s">
        <v>19142</v>
      </c>
      <c r="CB2559" s="23"/>
      <c r="CC2559" s="23"/>
      <c r="CD2559" s="23"/>
      <c r="CE2559" s="23"/>
      <c r="CF2559" s="23"/>
      <c r="CG2559" s="23"/>
      <c r="CH2559" s="23"/>
      <c r="CI2559" s="23"/>
    </row>
    <row r="2560" spans="1:87" x14ac:dyDescent="0.3">
      <c r="A2560" s="9" t="s">
        <v>19249</v>
      </c>
      <c r="B2560" s="10" t="s">
        <v>19250</v>
      </c>
      <c r="C2560" s="11">
        <v>45970.534722222219</v>
      </c>
      <c r="D2560" s="12">
        <v>4.8611111111111112E-2</v>
      </c>
      <c r="E2560" s="11">
        <v>45970.583333333336</v>
      </c>
      <c r="F2560" s="10" t="s">
        <v>19136</v>
      </c>
      <c r="G2560" s="13" t="b">
        <v>0</v>
      </c>
      <c r="H2560" s="22" t="s">
        <v>9017</v>
      </c>
      <c r="I2560" s="10" t="s">
        <v>212</v>
      </c>
      <c r="J2560" s="13" t="b">
        <v>1</v>
      </c>
      <c r="K2560" s="13" t="b">
        <v>0</v>
      </c>
      <c r="L2560" s="10" t="s">
        <v>124</v>
      </c>
      <c r="M2560" s="10" t="s">
        <v>91</v>
      </c>
      <c r="N2560" s="10" t="s">
        <v>92</v>
      </c>
      <c r="O2560" s="19" t="s">
        <v>19251</v>
      </c>
      <c r="P2560" s="10"/>
      <c r="Q2560" s="10" t="s">
        <v>94</v>
      </c>
      <c r="R2560" s="10"/>
      <c r="S2560" s="19" t="s">
        <v>19138</v>
      </c>
      <c r="T2560" s="10"/>
      <c r="U2560" s="10"/>
      <c r="V2560" s="10"/>
      <c r="W2560" s="10" t="s">
        <v>19139</v>
      </c>
      <c r="X2560" s="10" t="s">
        <v>130</v>
      </c>
      <c r="Y2560" s="10" t="s">
        <v>130</v>
      </c>
      <c r="Z2560" s="10" t="s">
        <v>99</v>
      </c>
      <c r="AA2560" s="10" t="s">
        <v>131</v>
      </c>
      <c r="AB2560" s="10" t="s">
        <v>19140</v>
      </c>
      <c r="AC2560" s="10" t="s">
        <v>9022</v>
      </c>
      <c r="AD2560" s="10" t="s">
        <v>165</v>
      </c>
      <c r="AE2560" s="10" t="s">
        <v>19252</v>
      </c>
      <c r="AF2560" s="15"/>
      <c r="AG2560" s="10"/>
      <c r="AH2560" s="10"/>
      <c r="AI2560" s="10"/>
      <c r="AJ2560" s="10"/>
      <c r="AK2560" s="10" t="s">
        <v>102</v>
      </c>
      <c r="AL2560" s="10" t="s">
        <v>7897</v>
      </c>
      <c r="AM2560" s="10"/>
      <c r="AN2560" s="10"/>
      <c r="AO2560" s="13" t="b">
        <v>0</v>
      </c>
      <c r="AP2560" s="22" t="s">
        <v>104</v>
      </c>
      <c r="AQ2560" s="10">
        <f ca="1">IFERROR(__xludf.DUMMYFUNCTION("""COMPUTED_VALUE"""),4709129)</f>
        <v>4709129</v>
      </c>
      <c r="AR2560" s="17">
        <v>35</v>
      </c>
      <c r="AS2560" s="17">
        <v>33</v>
      </c>
      <c r="AT2560" s="17">
        <v>12.75</v>
      </c>
      <c r="AU2560" s="17">
        <v>0</v>
      </c>
      <c r="AV2560" s="17">
        <v>0</v>
      </c>
      <c r="AW2560" s="10" t="s">
        <v>105</v>
      </c>
      <c r="AX2560" s="17">
        <v>56</v>
      </c>
      <c r="AY2560" s="18">
        <v>0.38636363636363635</v>
      </c>
      <c r="AZ2560" s="10"/>
      <c r="BA2560" s="20" t="b">
        <v>0</v>
      </c>
      <c r="BB2560" s="29" t="s">
        <v>19149</v>
      </c>
      <c r="BC2560" s="17">
        <v>35</v>
      </c>
      <c r="BD2560" s="17">
        <v>33</v>
      </c>
      <c r="BE2560" s="17">
        <v>12.75</v>
      </c>
      <c r="BF2560" s="17">
        <v>0</v>
      </c>
      <c r="BG2560" s="11">
        <f ca="1">IFERROR(__xludf.DUMMYFUNCTION("""COMPUTED_VALUE"""),45970.5347222222)</f>
        <v>45970.534722222197</v>
      </c>
      <c r="BH2560" s="17" t="s">
        <v>105</v>
      </c>
      <c r="BI2560" s="17"/>
      <c r="BJ2560" s="15"/>
      <c r="BK2560" s="15"/>
      <c r="BL2560" s="13" t="b">
        <v>0</v>
      </c>
      <c r="BM2560" s="10"/>
      <c r="BN2560" s="10" t="s">
        <v>197</v>
      </c>
      <c r="BO2560" s="11">
        <v>45968.59652777778</v>
      </c>
      <c r="BP2560" s="11">
        <v>45968.596597222226</v>
      </c>
      <c r="BQ2560" s="15"/>
      <c r="BR2560" s="15">
        <v>45969.907418981478</v>
      </c>
      <c r="BS2560" s="10" t="s">
        <v>197</v>
      </c>
      <c r="BT2560" s="10"/>
      <c r="BU2560" s="10"/>
      <c r="BV2560" s="10"/>
      <c r="BW2560" s="10"/>
      <c r="BX2560" s="10"/>
      <c r="BY2560" s="23"/>
      <c r="BZ2560" s="23"/>
      <c r="CA2560" s="19" t="s">
        <v>19142</v>
      </c>
      <c r="CB2560" s="23"/>
      <c r="CC2560" s="23"/>
      <c r="CD2560" s="23"/>
      <c r="CE2560" s="23"/>
      <c r="CF2560" s="23"/>
      <c r="CG2560" s="23"/>
      <c r="CH2560" s="23"/>
      <c r="CI2560" s="23"/>
    </row>
    <row r="2561" spans="1:87" x14ac:dyDescent="0.3">
      <c r="A2561" s="9" t="s">
        <v>19253</v>
      </c>
      <c r="B2561" s="10" t="s">
        <v>19254</v>
      </c>
      <c r="C2561" s="11">
        <v>45977.333333333336</v>
      </c>
      <c r="D2561" s="12">
        <v>0.14583333333333334</v>
      </c>
      <c r="E2561" s="11">
        <v>45977.479166666664</v>
      </c>
      <c r="F2561" s="10" t="s">
        <v>87</v>
      </c>
      <c r="G2561" s="13" t="b">
        <v>0</v>
      </c>
      <c r="H2561" s="22" t="s">
        <v>88</v>
      </c>
      <c r="I2561" s="10" t="s">
        <v>89</v>
      </c>
      <c r="J2561" s="13" t="b">
        <v>0</v>
      </c>
      <c r="K2561" s="13" t="b">
        <v>1</v>
      </c>
      <c r="L2561" s="10" t="s">
        <v>124</v>
      </c>
      <c r="M2561" s="10" t="s">
        <v>91</v>
      </c>
      <c r="N2561" s="10" t="s">
        <v>265</v>
      </c>
      <c r="O2561" s="19" t="s">
        <v>19255</v>
      </c>
      <c r="P2561" s="10"/>
      <c r="Q2561" s="10" t="s">
        <v>126</v>
      </c>
      <c r="R2561" s="19" t="s">
        <v>19256</v>
      </c>
      <c r="S2561" s="19" t="s">
        <v>19257</v>
      </c>
      <c r="T2561" s="10"/>
      <c r="U2561" s="10"/>
      <c r="V2561" s="10"/>
      <c r="W2561" s="10" t="s">
        <v>97</v>
      </c>
      <c r="X2561" s="10" t="s">
        <v>98</v>
      </c>
      <c r="Y2561" s="10" t="s">
        <v>98</v>
      </c>
      <c r="Z2561" s="10" t="s">
        <v>99</v>
      </c>
      <c r="AA2561" s="10" t="s">
        <v>100</v>
      </c>
      <c r="AB2561" s="10" t="s">
        <v>87</v>
      </c>
      <c r="AC2561" s="10"/>
      <c r="AD2561" s="10" t="s">
        <v>165</v>
      </c>
      <c r="AE2561" s="10" t="s">
        <v>19258</v>
      </c>
      <c r="AF2561" s="15"/>
      <c r="AG2561" s="10"/>
      <c r="AH2561" s="10"/>
      <c r="AI2561" s="10"/>
      <c r="AJ2561" s="10"/>
      <c r="AK2561" s="10" t="s">
        <v>102</v>
      </c>
      <c r="AL2561" s="10"/>
      <c r="AM2561" s="10"/>
      <c r="AN2561" s="10"/>
      <c r="AO2561" s="13" t="b">
        <v>0</v>
      </c>
      <c r="AP2561" s="22" t="s">
        <v>104</v>
      </c>
      <c r="AQ2561" s="10">
        <f ca="1">IFERROR(__xludf.DUMMYFUNCTION("""COMPUTED_VALUE"""),4719209)</f>
        <v>4719209</v>
      </c>
      <c r="AR2561" s="17">
        <v>9484</v>
      </c>
      <c r="AS2561" s="17">
        <v>6654</v>
      </c>
      <c r="AT2561" s="17">
        <v>144849.75</v>
      </c>
      <c r="AU2561" s="17">
        <v>17.149999999999999</v>
      </c>
      <c r="AV2561" s="17">
        <v>1.6</v>
      </c>
      <c r="AW2561" s="10" t="s">
        <v>105</v>
      </c>
      <c r="AX2561" s="17">
        <v>826</v>
      </c>
      <c r="AY2561" s="18">
        <v>21.768823264201984</v>
      </c>
      <c r="AZ2561" s="10" t="s">
        <v>3998</v>
      </c>
      <c r="BA2561" s="20" t="b">
        <v>0</v>
      </c>
      <c r="BB2561" s="10"/>
      <c r="BC2561" s="17">
        <v>9484</v>
      </c>
      <c r="BD2561" s="17">
        <v>6654</v>
      </c>
      <c r="BE2561" s="17">
        <v>144849.75</v>
      </c>
      <c r="BF2561" s="17">
        <v>1.6</v>
      </c>
      <c r="BG2561" s="11">
        <f ca="1">IFERROR(__xludf.DUMMYFUNCTION("""COMPUTED_VALUE"""),45977.3333333333)</f>
        <v>45977.333333333299</v>
      </c>
      <c r="BH2561" s="17" t="s">
        <v>105</v>
      </c>
      <c r="BI2561" s="17"/>
      <c r="BJ2561" s="15"/>
      <c r="BK2561" s="15"/>
      <c r="BL2561" s="13" t="b">
        <v>0</v>
      </c>
      <c r="BM2561" s="10"/>
      <c r="BN2561" s="10" t="s">
        <v>667</v>
      </c>
      <c r="BO2561" s="11">
        <v>45968.675694444442</v>
      </c>
      <c r="BP2561" s="11">
        <v>45975.816377314812</v>
      </c>
      <c r="BQ2561" s="15">
        <v>45974.480787037035</v>
      </c>
      <c r="BR2561" s="15">
        <v>45975.963055555556</v>
      </c>
      <c r="BS2561" s="10" t="s">
        <v>667</v>
      </c>
      <c r="BT2561" s="10" t="s">
        <v>99</v>
      </c>
      <c r="BU2561" s="10" t="s">
        <v>5081</v>
      </c>
      <c r="BV2561" s="10"/>
      <c r="BW2561" s="10"/>
      <c r="BX2561" s="10"/>
      <c r="BY2561" s="23"/>
      <c r="BZ2561" s="23"/>
      <c r="CA2561" s="19" t="s">
        <v>19259</v>
      </c>
      <c r="CB2561" s="23"/>
      <c r="CC2561" s="23"/>
      <c r="CD2561" s="19" t="s">
        <v>19260</v>
      </c>
      <c r="CE2561" s="23"/>
      <c r="CF2561" s="23"/>
      <c r="CG2561" s="23"/>
      <c r="CH2561" s="23"/>
      <c r="CI2561" s="23"/>
    </row>
    <row r="2562" spans="1:87" x14ac:dyDescent="0.3">
      <c r="A2562" s="9" t="s">
        <v>19261</v>
      </c>
      <c r="B2562" s="10" t="s">
        <v>19262</v>
      </c>
      <c r="C2562" s="11">
        <v>46007.833333333336</v>
      </c>
      <c r="D2562" s="12">
        <v>8.3333333333333329E-2</v>
      </c>
      <c r="E2562" s="11">
        <v>46007.916666666664</v>
      </c>
      <c r="F2562" s="10" t="s">
        <v>19263</v>
      </c>
      <c r="G2562" s="13" t="b">
        <v>0</v>
      </c>
      <c r="H2562" s="22" t="s">
        <v>19264</v>
      </c>
      <c r="I2562" s="10" t="s">
        <v>89</v>
      </c>
      <c r="J2562" s="13" t="b">
        <v>0</v>
      </c>
      <c r="K2562" s="13" t="b">
        <v>1</v>
      </c>
      <c r="L2562" s="10" t="s">
        <v>124</v>
      </c>
      <c r="M2562" s="10" t="s">
        <v>91</v>
      </c>
      <c r="N2562" s="10" t="s">
        <v>92</v>
      </c>
      <c r="O2562" s="19" t="s">
        <v>19265</v>
      </c>
      <c r="P2562" s="10" t="s">
        <v>19264</v>
      </c>
      <c r="Q2562" s="10" t="s">
        <v>126</v>
      </c>
      <c r="R2562" s="10"/>
      <c r="S2562" s="19" t="s">
        <v>19266</v>
      </c>
      <c r="T2562" s="10"/>
      <c r="U2562" s="10" t="s">
        <v>19267</v>
      </c>
      <c r="V2562" s="10" t="s">
        <v>19268</v>
      </c>
      <c r="W2562" s="10" t="s">
        <v>19269</v>
      </c>
      <c r="X2562" s="10" t="s">
        <v>16549</v>
      </c>
      <c r="Y2562" s="10" t="s">
        <v>16549</v>
      </c>
      <c r="Z2562" s="10" t="s">
        <v>99</v>
      </c>
      <c r="AA2562" s="10" t="s">
        <v>131</v>
      </c>
      <c r="AB2562" s="10" t="s">
        <v>19270</v>
      </c>
      <c r="AC2562" s="10" t="s">
        <v>19271</v>
      </c>
      <c r="AD2562" s="10" t="s">
        <v>19272</v>
      </c>
      <c r="AE2562" s="10" t="s">
        <v>19273</v>
      </c>
      <c r="AF2562" s="15"/>
      <c r="AG2562" s="10"/>
      <c r="AH2562" s="10"/>
      <c r="AI2562" s="10"/>
      <c r="AJ2562" s="10"/>
      <c r="AK2562" s="10" t="s">
        <v>102</v>
      </c>
      <c r="AL2562" s="10" t="s">
        <v>7897</v>
      </c>
      <c r="AM2562" s="10"/>
      <c r="AN2562" s="10"/>
      <c r="AO2562" s="13" t="b">
        <v>0</v>
      </c>
      <c r="AP2562" s="22" t="s">
        <v>104</v>
      </c>
      <c r="AQ2562" s="10">
        <f ca="1">IFERROR(__xludf.DUMMYFUNCTION("""COMPUTED_VALUE"""),4779489)</f>
        <v>4779489</v>
      </c>
      <c r="AR2562" s="17">
        <v>6696</v>
      </c>
      <c r="AS2562" s="17">
        <v>5361</v>
      </c>
      <c r="AT2562" s="17">
        <v>92532.25</v>
      </c>
      <c r="AU2562" s="17">
        <v>55.5</v>
      </c>
      <c r="AV2562" s="17">
        <v>13.9</v>
      </c>
      <c r="AW2562" s="10" t="s">
        <v>105</v>
      </c>
      <c r="AX2562" s="17">
        <v>1536</v>
      </c>
      <c r="AY2562" s="18">
        <v>17.260259279985078</v>
      </c>
      <c r="AZ2562" s="10" t="s">
        <v>3783</v>
      </c>
      <c r="BA2562" s="20" t="b">
        <v>0</v>
      </c>
      <c r="BB2562" s="10"/>
      <c r="BC2562" s="17">
        <v>6696</v>
      </c>
      <c r="BD2562" s="17">
        <v>5361</v>
      </c>
      <c r="BE2562" s="17">
        <v>92532.25</v>
      </c>
      <c r="BF2562" s="17">
        <v>13.9</v>
      </c>
      <c r="BG2562" s="11">
        <f ca="1">IFERROR(__xludf.DUMMYFUNCTION("""COMPUTED_VALUE"""),46007.8333333333)</f>
        <v>46007.833333333299</v>
      </c>
      <c r="BH2562" s="17" t="s">
        <v>105</v>
      </c>
      <c r="BI2562" s="17"/>
      <c r="BJ2562" s="15"/>
      <c r="BK2562" s="15"/>
      <c r="BL2562" s="13" t="b">
        <v>0</v>
      </c>
      <c r="BM2562" s="10"/>
      <c r="BN2562" s="10" t="s">
        <v>118</v>
      </c>
      <c r="BO2562" s="11">
        <v>45968.725694444445</v>
      </c>
      <c r="BP2562" s="11">
        <v>45968.726099537038</v>
      </c>
      <c r="BQ2562" s="15">
        <v>46003.390567129631</v>
      </c>
      <c r="BR2562" s="15">
        <v>46005.418749999997</v>
      </c>
      <c r="BS2562" s="10" t="s">
        <v>118</v>
      </c>
      <c r="BT2562" s="10"/>
      <c r="BU2562" s="10"/>
      <c r="BV2562" s="10"/>
      <c r="BW2562" s="10"/>
      <c r="BX2562" s="10"/>
      <c r="BY2562" s="23"/>
      <c r="BZ2562" s="23"/>
      <c r="CA2562" s="19" t="s">
        <v>19274</v>
      </c>
      <c r="CB2562" s="23"/>
      <c r="CC2562" s="23"/>
      <c r="CD2562" s="19" t="s">
        <v>19275</v>
      </c>
      <c r="CE2562" s="23"/>
      <c r="CF2562" s="23"/>
      <c r="CG2562" s="23"/>
      <c r="CH2562" s="23"/>
      <c r="CI2562" s="23"/>
    </row>
    <row r="2563" spans="1:87" x14ac:dyDescent="0.3">
      <c r="A2563" s="9" t="s">
        <v>19276</v>
      </c>
      <c r="B2563" s="10" t="s">
        <v>19277</v>
      </c>
      <c r="C2563" s="11">
        <v>46007.979166666664</v>
      </c>
      <c r="D2563" s="12">
        <v>8.3333333333333329E-2</v>
      </c>
      <c r="E2563" s="11">
        <v>46008.0625</v>
      </c>
      <c r="F2563" s="10" t="s">
        <v>19263</v>
      </c>
      <c r="G2563" s="13" t="b">
        <v>0</v>
      </c>
      <c r="H2563" s="22" t="s">
        <v>19264</v>
      </c>
      <c r="I2563" s="10" t="s">
        <v>89</v>
      </c>
      <c r="J2563" s="13" t="b">
        <v>0</v>
      </c>
      <c r="K2563" s="13" t="b">
        <v>1</v>
      </c>
      <c r="L2563" s="10" t="s">
        <v>90</v>
      </c>
      <c r="M2563" s="10" t="s">
        <v>91</v>
      </c>
      <c r="N2563" s="10" t="s">
        <v>92</v>
      </c>
      <c r="O2563" s="19" t="s">
        <v>19278</v>
      </c>
      <c r="P2563" s="10" t="s">
        <v>19264</v>
      </c>
      <c r="Q2563" s="10" t="s">
        <v>126</v>
      </c>
      <c r="R2563" s="10"/>
      <c r="S2563" s="19" t="s">
        <v>19279</v>
      </c>
      <c r="T2563" s="10"/>
      <c r="U2563" s="10" t="s">
        <v>19280</v>
      </c>
      <c r="V2563" s="10" t="s">
        <v>19281</v>
      </c>
      <c r="W2563" s="10" t="s">
        <v>19269</v>
      </c>
      <c r="X2563" s="10" t="s">
        <v>16549</v>
      </c>
      <c r="Y2563" s="10" t="s">
        <v>16549</v>
      </c>
      <c r="Z2563" s="10" t="s">
        <v>99</v>
      </c>
      <c r="AA2563" s="10" t="s">
        <v>131</v>
      </c>
      <c r="AB2563" s="10" t="s">
        <v>19270</v>
      </c>
      <c r="AC2563" s="10" t="s">
        <v>19271</v>
      </c>
      <c r="AD2563" s="10" t="s">
        <v>19282</v>
      </c>
      <c r="AE2563" s="10" t="s">
        <v>19283</v>
      </c>
      <c r="AF2563" s="15"/>
      <c r="AG2563" s="10"/>
      <c r="AH2563" s="10"/>
      <c r="AI2563" s="10"/>
      <c r="AJ2563" s="10"/>
      <c r="AK2563" s="10" t="s">
        <v>102</v>
      </c>
      <c r="AL2563" s="10" t="s">
        <v>7897</v>
      </c>
      <c r="AM2563" s="10"/>
      <c r="AN2563" s="10"/>
      <c r="AO2563" s="13" t="b">
        <v>0</v>
      </c>
      <c r="AP2563" s="22" t="s">
        <v>104</v>
      </c>
      <c r="AQ2563" s="10">
        <f ca="1">IFERROR(__xludf.DUMMYFUNCTION("""COMPUTED_VALUE"""),4779491)</f>
        <v>4779491</v>
      </c>
      <c r="AR2563" s="17">
        <v>1393</v>
      </c>
      <c r="AS2563" s="17">
        <v>1241</v>
      </c>
      <c r="AT2563" s="17">
        <v>8547.5</v>
      </c>
      <c r="AU2563" s="17">
        <v>3.55</v>
      </c>
      <c r="AV2563" s="17">
        <v>0.6</v>
      </c>
      <c r="AW2563" s="10" t="s">
        <v>105</v>
      </c>
      <c r="AX2563" s="17">
        <v>645</v>
      </c>
      <c r="AY2563" s="18">
        <v>6.8875906526994362</v>
      </c>
      <c r="AZ2563" s="10" t="s">
        <v>3783</v>
      </c>
      <c r="BA2563" s="20" t="b">
        <v>0</v>
      </c>
      <c r="BB2563" s="10"/>
      <c r="BC2563" s="17">
        <v>1393</v>
      </c>
      <c r="BD2563" s="17">
        <v>1241</v>
      </c>
      <c r="BE2563" s="17">
        <v>8547.5</v>
      </c>
      <c r="BF2563" s="17">
        <v>0.6</v>
      </c>
      <c r="BG2563" s="11">
        <f ca="1">IFERROR(__xludf.DUMMYFUNCTION("""COMPUTED_VALUE"""),46007.9791666666)</f>
        <v>46007.979166666599</v>
      </c>
      <c r="BH2563" s="17" t="s">
        <v>105</v>
      </c>
      <c r="BI2563" s="17"/>
      <c r="BJ2563" s="15"/>
      <c r="BK2563" s="15"/>
      <c r="BL2563" s="13" t="b">
        <v>0</v>
      </c>
      <c r="BM2563" s="10"/>
      <c r="BN2563" s="10" t="s">
        <v>118</v>
      </c>
      <c r="BO2563" s="11">
        <v>45968.726388888892</v>
      </c>
      <c r="BP2563" s="11">
        <v>45968.726875</v>
      </c>
      <c r="BQ2563" s="15">
        <v>46003.390682870369</v>
      </c>
      <c r="BR2563" s="15">
        <v>46005.419004629628</v>
      </c>
      <c r="BS2563" s="10" t="s">
        <v>118</v>
      </c>
      <c r="BT2563" s="10"/>
      <c r="BU2563" s="10"/>
      <c r="BV2563" s="10"/>
      <c r="BW2563" s="10"/>
      <c r="BX2563" s="10"/>
      <c r="BY2563" s="23"/>
      <c r="BZ2563" s="23"/>
      <c r="CA2563" s="19" t="s">
        <v>19284</v>
      </c>
      <c r="CB2563" s="23"/>
      <c r="CC2563" s="23"/>
      <c r="CD2563" s="19" t="s">
        <v>19285</v>
      </c>
      <c r="CE2563" s="23"/>
      <c r="CF2563" s="23"/>
      <c r="CG2563" s="23"/>
      <c r="CH2563" s="23"/>
      <c r="CI2563" s="23"/>
    </row>
    <row r="2564" spans="1:87" x14ac:dyDescent="0.3">
      <c r="A2564" s="9" t="s">
        <v>19286</v>
      </c>
      <c r="B2564" s="10" t="s">
        <v>19287</v>
      </c>
      <c r="C2564" s="11">
        <v>46008.125</v>
      </c>
      <c r="D2564" s="12">
        <v>8.3333333333333329E-2</v>
      </c>
      <c r="E2564" s="11">
        <v>46008.208333333336</v>
      </c>
      <c r="F2564" s="10" t="s">
        <v>19263</v>
      </c>
      <c r="G2564" s="13" t="b">
        <v>0</v>
      </c>
      <c r="H2564" s="22" t="s">
        <v>19264</v>
      </c>
      <c r="I2564" s="10" t="s">
        <v>89</v>
      </c>
      <c r="J2564" s="13" t="b">
        <v>0</v>
      </c>
      <c r="K2564" s="13" t="b">
        <v>1</v>
      </c>
      <c r="L2564" s="10" t="s">
        <v>90</v>
      </c>
      <c r="M2564" s="10" t="s">
        <v>91</v>
      </c>
      <c r="N2564" s="10" t="s">
        <v>92</v>
      </c>
      <c r="O2564" s="19" t="s">
        <v>19288</v>
      </c>
      <c r="P2564" s="10" t="s">
        <v>19264</v>
      </c>
      <c r="Q2564" s="10" t="s">
        <v>126</v>
      </c>
      <c r="R2564" s="10"/>
      <c r="S2564" s="19" t="s">
        <v>19289</v>
      </c>
      <c r="T2564" s="10"/>
      <c r="U2564" s="10" t="s">
        <v>19290</v>
      </c>
      <c r="V2564" s="10" t="s">
        <v>19291</v>
      </c>
      <c r="W2564" s="10" t="s">
        <v>19269</v>
      </c>
      <c r="X2564" s="10" t="s">
        <v>16549</v>
      </c>
      <c r="Y2564" s="10" t="s">
        <v>16549</v>
      </c>
      <c r="Z2564" s="10" t="s">
        <v>99</v>
      </c>
      <c r="AA2564" s="10" t="s">
        <v>131</v>
      </c>
      <c r="AB2564" s="10" t="s">
        <v>19270</v>
      </c>
      <c r="AC2564" s="10" t="s">
        <v>19271</v>
      </c>
      <c r="AD2564" s="10" t="s">
        <v>19292</v>
      </c>
      <c r="AE2564" s="10" t="s">
        <v>19293</v>
      </c>
      <c r="AF2564" s="15"/>
      <c r="AG2564" s="10"/>
      <c r="AH2564" s="10"/>
      <c r="AI2564" s="10"/>
      <c r="AJ2564" s="10"/>
      <c r="AK2564" s="10" t="s">
        <v>102</v>
      </c>
      <c r="AL2564" s="10" t="s">
        <v>7897</v>
      </c>
      <c r="AM2564" s="10"/>
      <c r="AN2564" s="10"/>
      <c r="AO2564" s="13" t="b">
        <v>0</v>
      </c>
      <c r="AP2564" s="22" t="s">
        <v>104</v>
      </c>
      <c r="AQ2564" s="10">
        <f ca="1">IFERROR(__xludf.DUMMYFUNCTION("""COMPUTED_VALUE"""),4779492)</f>
        <v>4779492</v>
      </c>
      <c r="AR2564" s="17">
        <v>1386</v>
      </c>
      <c r="AS2564" s="17">
        <v>1214</v>
      </c>
      <c r="AT2564" s="17">
        <v>10140.75</v>
      </c>
      <c r="AU2564" s="17">
        <v>2</v>
      </c>
      <c r="AV2564" s="17">
        <v>0</v>
      </c>
      <c r="AW2564" s="10" t="s">
        <v>105</v>
      </c>
      <c r="AX2564" s="17">
        <v>222</v>
      </c>
      <c r="AY2564" s="18">
        <v>8.3531713344316305</v>
      </c>
      <c r="AZ2564" s="10" t="s">
        <v>3783</v>
      </c>
      <c r="BA2564" s="20" t="b">
        <v>0</v>
      </c>
      <c r="BB2564" s="10"/>
      <c r="BC2564" s="17">
        <v>1386</v>
      </c>
      <c r="BD2564" s="17">
        <v>1214</v>
      </c>
      <c r="BE2564" s="17">
        <v>10140.75</v>
      </c>
      <c r="BF2564" s="17">
        <v>0</v>
      </c>
      <c r="BG2564" s="11">
        <f ca="1">IFERROR(__xludf.DUMMYFUNCTION("""COMPUTED_VALUE"""),46008.125)</f>
        <v>46008.125</v>
      </c>
      <c r="BH2564" s="17" t="s">
        <v>105</v>
      </c>
      <c r="BI2564" s="17"/>
      <c r="BJ2564" s="15"/>
      <c r="BK2564" s="15"/>
      <c r="BL2564" s="13" t="b">
        <v>0</v>
      </c>
      <c r="BM2564" s="10"/>
      <c r="BN2564" s="10" t="s">
        <v>118</v>
      </c>
      <c r="BO2564" s="11">
        <v>45968.727083333331</v>
      </c>
      <c r="BP2564" s="11">
        <v>45968.727395833332</v>
      </c>
      <c r="BQ2564" s="15">
        <v>46003.390787037039</v>
      </c>
      <c r="BR2564" s="15">
        <v>46005.419120370374</v>
      </c>
      <c r="BS2564" s="10" t="s">
        <v>118</v>
      </c>
      <c r="BT2564" s="10"/>
      <c r="BU2564" s="10"/>
      <c r="BV2564" s="10"/>
      <c r="BW2564" s="10"/>
      <c r="BX2564" s="10"/>
      <c r="BY2564" s="23"/>
      <c r="BZ2564" s="23"/>
      <c r="CA2564" s="19" t="s">
        <v>19294</v>
      </c>
      <c r="CB2564" s="23"/>
      <c r="CC2564" s="23"/>
      <c r="CD2564" s="19" t="s">
        <v>19295</v>
      </c>
      <c r="CE2564" s="23"/>
      <c r="CF2564" s="23"/>
      <c r="CG2564" s="23"/>
      <c r="CH2564" s="23"/>
      <c r="CI2564" s="23"/>
    </row>
    <row r="2565" spans="1:87" x14ac:dyDescent="0.3">
      <c r="A2565" s="9" t="s">
        <v>19296</v>
      </c>
      <c r="B2565" s="10" t="s">
        <v>19297</v>
      </c>
      <c r="C2565" s="11">
        <v>46008.270833333336</v>
      </c>
      <c r="D2565" s="12">
        <v>8.3333333333333329E-2</v>
      </c>
      <c r="E2565" s="11">
        <v>46008.354166666664</v>
      </c>
      <c r="F2565" s="10" t="s">
        <v>19263</v>
      </c>
      <c r="G2565" s="13" t="b">
        <v>0</v>
      </c>
      <c r="H2565" s="22" t="s">
        <v>19264</v>
      </c>
      <c r="I2565" s="10" t="s">
        <v>89</v>
      </c>
      <c r="J2565" s="13" t="b">
        <v>0</v>
      </c>
      <c r="K2565" s="13" t="b">
        <v>1</v>
      </c>
      <c r="L2565" s="10" t="s">
        <v>124</v>
      </c>
      <c r="M2565" s="10" t="s">
        <v>91</v>
      </c>
      <c r="N2565" s="10" t="s">
        <v>92</v>
      </c>
      <c r="O2565" s="19" t="s">
        <v>19298</v>
      </c>
      <c r="P2565" s="10" t="s">
        <v>19264</v>
      </c>
      <c r="Q2565" s="10" t="s">
        <v>126</v>
      </c>
      <c r="R2565" s="10"/>
      <c r="S2565" s="19" t="s">
        <v>19299</v>
      </c>
      <c r="T2565" s="10"/>
      <c r="U2565" s="10" t="s">
        <v>19300</v>
      </c>
      <c r="V2565" s="10" t="s">
        <v>19301</v>
      </c>
      <c r="W2565" s="10" t="s">
        <v>19269</v>
      </c>
      <c r="X2565" s="10" t="s">
        <v>16549</v>
      </c>
      <c r="Y2565" s="10" t="s">
        <v>16549</v>
      </c>
      <c r="Z2565" s="10" t="s">
        <v>99</v>
      </c>
      <c r="AA2565" s="10" t="s">
        <v>131</v>
      </c>
      <c r="AB2565" s="10" t="s">
        <v>19270</v>
      </c>
      <c r="AC2565" s="10" t="s">
        <v>19271</v>
      </c>
      <c r="AD2565" s="10" t="s">
        <v>19302</v>
      </c>
      <c r="AE2565" s="10" t="s">
        <v>19303</v>
      </c>
      <c r="AF2565" s="15"/>
      <c r="AG2565" s="10"/>
      <c r="AH2565" s="10"/>
      <c r="AI2565" s="10"/>
      <c r="AJ2565" s="10"/>
      <c r="AK2565" s="10" t="s">
        <v>102</v>
      </c>
      <c r="AL2565" s="10" t="s">
        <v>7897</v>
      </c>
      <c r="AM2565" s="10"/>
      <c r="AN2565" s="10"/>
      <c r="AO2565" s="13" t="b">
        <v>0</v>
      </c>
      <c r="AP2565" s="22" t="s">
        <v>104</v>
      </c>
      <c r="AQ2565" s="10">
        <f ca="1">IFERROR(__xludf.DUMMYFUNCTION("""COMPUTED_VALUE"""),4779498)</f>
        <v>4779498</v>
      </c>
      <c r="AR2565" s="17">
        <v>3598</v>
      </c>
      <c r="AS2565" s="17">
        <v>3028</v>
      </c>
      <c r="AT2565" s="17">
        <v>39043.5</v>
      </c>
      <c r="AU2565" s="17">
        <v>8.8000000000000007</v>
      </c>
      <c r="AV2565" s="17">
        <v>2.75</v>
      </c>
      <c r="AW2565" s="10" t="s">
        <v>105</v>
      </c>
      <c r="AX2565" s="17">
        <v>480</v>
      </c>
      <c r="AY2565" s="18">
        <v>12.894154557463672</v>
      </c>
      <c r="AZ2565" s="10" t="s">
        <v>3783</v>
      </c>
      <c r="BA2565" s="20" t="b">
        <v>0</v>
      </c>
      <c r="BB2565" s="10"/>
      <c r="BC2565" s="17">
        <v>3598</v>
      </c>
      <c r="BD2565" s="17">
        <v>3028</v>
      </c>
      <c r="BE2565" s="17">
        <v>39043.5</v>
      </c>
      <c r="BF2565" s="17">
        <v>2.75</v>
      </c>
      <c r="BG2565" s="11">
        <f ca="1">IFERROR(__xludf.DUMMYFUNCTION("""COMPUTED_VALUE"""),46008.2708333333)</f>
        <v>46008.270833333299</v>
      </c>
      <c r="BH2565" s="17" t="s">
        <v>105</v>
      </c>
      <c r="BI2565" s="17"/>
      <c r="BJ2565" s="15"/>
      <c r="BK2565" s="15"/>
      <c r="BL2565" s="13" t="b">
        <v>0</v>
      </c>
      <c r="BM2565" s="10"/>
      <c r="BN2565" s="10" t="s">
        <v>118</v>
      </c>
      <c r="BO2565" s="11">
        <v>45968.728472222225</v>
      </c>
      <c r="BP2565" s="11">
        <v>45968.728645833333</v>
      </c>
      <c r="BQ2565" s="15">
        <v>46003.390879629631</v>
      </c>
      <c r="BR2565" s="15">
        <v>46005.419363425928</v>
      </c>
      <c r="BS2565" s="10" t="s">
        <v>118</v>
      </c>
      <c r="BT2565" s="10"/>
      <c r="BU2565" s="10"/>
      <c r="BV2565" s="10"/>
      <c r="BW2565" s="10"/>
      <c r="BX2565" s="10"/>
      <c r="BY2565" s="23"/>
      <c r="BZ2565" s="23"/>
      <c r="CA2565" s="19" t="s">
        <v>19304</v>
      </c>
      <c r="CB2565" s="23"/>
      <c r="CC2565" s="23"/>
      <c r="CD2565" s="19" t="s">
        <v>19305</v>
      </c>
      <c r="CE2565" s="23"/>
      <c r="CF2565" s="23"/>
      <c r="CG2565" s="23"/>
      <c r="CH2565" s="23"/>
      <c r="CI2565" s="23"/>
    </row>
    <row r="2566" spans="1:87" x14ac:dyDescent="0.3">
      <c r="A2566" s="9" t="s">
        <v>19306</v>
      </c>
      <c r="B2566" s="10" t="s">
        <v>19307</v>
      </c>
      <c r="C2566" s="11">
        <v>46008.833333333336</v>
      </c>
      <c r="D2566" s="12">
        <v>8.3333333333333329E-2</v>
      </c>
      <c r="E2566" s="11">
        <v>46008.916666666664</v>
      </c>
      <c r="F2566" s="10" t="s">
        <v>19263</v>
      </c>
      <c r="G2566" s="13" t="b">
        <v>0</v>
      </c>
      <c r="H2566" s="22" t="s">
        <v>19264</v>
      </c>
      <c r="I2566" s="10" t="s">
        <v>89</v>
      </c>
      <c r="J2566" s="13" t="b">
        <v>0</v>
      </c>
      <c r="K2566" s="13" t="b">
        <v>1</v>
      </c>
      <c r="L2566" s="10" t="s">
        <v>90</v>
      </c>
      <c r="M2566" s="10" t="s">
        <v>91</v>
      </c>
      <c r="N2566" s="10" t="s">
        <v>92</v>
      </c>
      <c r="O2566" s="19" t="s">
        <v>19308</v>
      </c>
      <c r="P2566" s="10" t="s">
        <v>19264</v>
      </c>
      <c r="Q2566" s="10" t="s">
        <v>126</v>
      </c>
      <c r="R2566" s="10"/>
      <c r="S2566" s="19" t="s">
        <v>19309</v>
      </c>
      <c r="T2566" s="10"/>
      <c r="U2566" s="10" t="s">
        <v>19267</v>
      </c>
      <c r="V2566" s="10" t="s">
        <v>19281</v>
      </c>
      <c r="W2566" s="10" t="s">
        <v>19269</v>
      </c>
      <c r="X2566" s="10" t="s">
        <v>16549</v>
      </c>
      <c r="Y2566" s="10" t="s">
        <v>16549</v>
      </c>
      <c r="Z2566" s="10" t="s">
        <v>99</v>
      </c>
      <c r="AA2566" s="10" t="s">
        <v>131</v>
      </c>
      <c r="AB2566" s="10" t="s">
        <v>19270</v>
      </c>
      <c r="AC2566" s="10" t="s">
        <v>19271</v>
      </c>
      <c r="AD2566" s="10" t="s">
        <v>19310</v>
      </c>
      <c r="AE2566" s="10" t="s">
        <v>19311</v>
      </c>
      <c r="AF2566" s="15"/>
      <c r="AG2566" s="10"/>
      <c r="AH2566" s="10"/>
      <c r="AI2566" s="10"/>
      <c r="AJ2566" s="10"/>
      <c r="AK2566" s="10" t="s">
        <v>102</v>
      </c>
      <c r="AL2566" s="10" t="s">
        <v>7897</v>
      </c>
      <c r="AM2566" s="10"/>
      <c r="AN2566" s="10"/>
      <c r="AO2566" s="13" t="b">
        <v>0</v>
      </c>
      <c r="AP2566" s="22" t="s">
        <v>104</v>
      </c>
      <c r="AQ2566" s="10">
        <f ca="1">IFERROR(__xludf.DUMMYFUNCTION("""COMPUTED_VALUE"""),4779507)</f>
        <v>4779507</v>
      </c>
      <c r="AR2566" s="17">
        <v>6323</v>
      </c>
      <c r="AS2566" s="17">
        <v>5542</v>
      </c>
      <c r="AT2566" s="17">
        <v>40949.25</v>
      </c>
      <c r="AU2566" s="17">
        <v>9.9</v>
      </c>
      <c r="AV2566" s="17">
        <v>2.75</v>
      </c>
      <c r="AW2566" s="10" t="s">
        <v>105</v>
      </c>
      <c r="AX2566" s="17">
        <v>953</v>
      </c>
      <c r="AY2566" s="18">
        <v>7.3888939011187293</v>
      </c>
      <c r="AZ2566" s="10" t="s">
        <v>3783</v>
      </c>
      <c r="BA2566" s="20" t="b">
        <v>0</v>
      </c>
      <c r="BB2566" s="10"/>
      <c r="BC2566" s="17">
        <v>6323</v>
      </c>
      <c r="BD2566" s="17">
        <v>5542</v>
      </c>
      <c r="BE2566" s="17">
        <v>40949.25</v>
      </c>
      <c r="BF2566" s="17">
        <v>2.75</v>
      </c>
      <c r="BG2566" s="11">
        <f ca="1">IFERROR(__xludf.DUMMYFUNCTION("""COMPUTED_VALUE"""),46008.8333333333)</f>
        <v>46008.833333333299</v>
      </c>
      <c r="BH2566" s="17" t="s">
        <v>105</v>
      </c>
      <c r="BI2566" s="17"/>
      <c r="BJ2566" s="15"/>
      <c r="BK2566" s="15"/>
      <c r="BL2566" s="13" t="b">
        <v>0</v>
      </c>
      <c r="BM2566" s="10"/>
      <c r="BN2566" s="10" t="s">
        <v>118</v>
      </c>
      <c r="BO2566" s="11">
        <v>45968.728472222225</v>
      </c>
      <c r="BP2566" s="11">
        <v>45968.729722222219</v>
      </c>
      <c r="BQ2566" s="15">
        <v>46003.390972222223</v>
      </c>
      <c r="BR2566" s="15">
        <v>46005.422384259262</v>
      </c>
      <c r="BS2566" s="10" t="s">
        <v>118</v>
      </c>
      <c r="BT2566" s="10"/>
      <c r="BU2566" s="10"/>
      <c r="BV2566" s="10"/>
      <c r="BW2566" s="10"/>
      <c r="BX2566" s="10"/>
      <c r="BY2566" s="23"/>
      <c r="BZ2566" s="23"/>
      <c r="CA2566" s="19" t="s">
        <v>19312</v>
      </c>
      <c r="CB2566" s="23"/>
      <c r="CC2566" s="23"/>
      <c r="CD2566" s="19" t="s">
        <v>19313</v>
      </c>
      <c r="CE2566" s="23"/>
      <c r="CF2566" s="23"/>
      <c r="CG2566" s="23"/>
      <c r="CH2566" s="23"/>
      <c r="CI2566" s="23"/>
    </row>
    <row r="2567" spans="1:87" x14ac:dyDescent="0.3">
      <c r="A2567" s="9" t="s">
        <v>19314</v>
      </c>
      <c r="B2567" s="10" t="s">
        <v>19315</v>
      </c>
      <c r="C2567" s="11">
        <v>46008.979166666664</v>
      </c>
      <c r="D2567" s="12">
        <v>8.3333333333333329E-2</v>
      </c>
      <c r="E2567" s="11">
        <v>46009.0625</v>
      </c>
      <c r="F2567" s="10" t="s">
        <v>19263</v>
      </c>
      <c r="G2567" s="13" t="b">
        <v>0</v>
      </c>
      <c r="H2567" s="22" t="s">
        <v>19264</v>
      </c>
      <c r="I2567" s="10" t="s">
        <v>89</v>
      </c>
      <c r="J2567" s="13" t="b">
        <v>0</v>
      </c>
      <c r="K2567" s="13" t="b">
        <v>1</v>
      </c>
      <c r="L2567" s="10" t="s">
        <v>124</v>
      </c>
      <c r="M2567" s="10" t="s">
        <v>91</v>
      </c>
      <c r="N2567" s="10" t="s">
        <v>92</v>
      </c>
      <c r="O2567" s="19" t="s">
        <v>19316</v>
      </c>
      <c r="P2567" s="10" t="s">
        <v>19264</v>
      </c>
      <c r="Q2567" s="10" t="s">
        <v>126</v>
      </c>
      <c r="R2567" s="10"/>
      <c r="S2567" s="19" t="s">
        <v>19317</v>
      </c>
      <c r="T2567" s="10"/>
      <c r="U2567" s="10" t="s">
        <v>19280</v>
      </c>
      <c r="V2567" s="10" t="s">
        <v>19268</v>
      </c>
      <c r="W2567" s="10" t="s">
        <v>19269</v>
      </c>
      <c r="X2567" s="10" t="s">
        <v>16549</v>
      </c>
      <c r="Y2567" s="10" t="s">
        <v>16549</v>
      </c>
      <c r="Z2567" s="10" t="s">
        <v>99</v>
      </c>
      <c r="AA2567" s="10" t="s">
        <v>131</v>
      </c>
      <c r="AB2567" s="10" t="s">
        <v>19270</v>
      </c>
      <c r="AC2567" s="10" t="s">
        <v>19271</v>
      </c>
      <c r="AD2567" s="10" t="s">
        <v>19318</v>
      </c>
      <c r="AE2567" s="10" t="s">
        <v>19319</v>
      </c>
      <c r="AF2567" s="15"/>
      <c r="AG2567" s="10"/>
      <c r="AH2567" s="10"/>
      <c r="AI2567" s="10"/>
      <c r="AJ2567" s="10"/>
      <c r="AK2567" s="10" t="s">
        <v>102</v>
      </c>
      <c r="AL2567" s="10" t="s">
        <v>7897</v>
      </c>
      <c r="AM2567" s="10"/>
      <c r="AN2567" s="10"/>
      <c r="AO2567" s="13" t="b">
        <v>0</v>
      </c>
      <c r="AP2567" s="22" t="s">
        <v>104</v>
      </c>
      <c r="AQ2567" s="10">
        <f ca="1">IFERROR(__xludf.DUMMYFUNCTION("""COMPUTED_VALUE"""),4779508)</f>
        <v>4779508</v>
      </c>
      <c r="AR2567" s="17">
        <v>4558</v>
      </c>
      <c r="AS2567" s="17">
        <v>3709</v>
      </c>
      <c r="AT2567" s="17">
        <v>53086.5</v>
      </c>
      <c r="AU2567" s="17">
        <v>19</v>
      </c>
      <c r="AV2567" s="17">
        <v>9.75</v>
      </c>
      <c r="AW2567" s="10" t="s">
        <v>105</v>
      </c>
      <c r="AX2567" s="17">
        <v>731</v>
      </c>
      <c r="AY2567" s="18">
        <v>14.312887570773793</v>
      </c>
      <c r="AZ2567" s="10" t="s">
        <v>3783</v>
      </c>
      <c r="BA2567" s="20" t="b">
        <v>0</v>
      </c>
      <c r="BB2567" s="10"/>
      <c r="BC2567" s="17">
        <v>4558</v>
      </c>
      <c r="BD2567" s="17">
        <v>3709</v>
      </c>
      <c r="BE2567" s="17">
        <v>53086.5</v>
      </c>
      <c r="BF2567" s="17">
        <v>9.75</v>
      </c>
      <c r="BG2567" s="11">
        <f ca="1">IFERROR(__xludf.DUMMYFUNCTION("""COMPUTED_VALUE"""),46008.9791666666)</f>
        <v>46008.979166666599</v>
      </c>
      <c r="BH2567" s="17" t="s">
        <v>105</v>
      </c>
      <c r="BI2567" s="17"/>
      <c r="BJ2567" s="15"/>
      <c r="BK2567" s="15"/>
      <c r="BL2567" s="13" t="b">
        <v>0</v>
      </c>
      <c r="BM2567" s="10"/>
      <c r="BN2567" s="10" t="s">
        <v>118</v>
      </c>
      <c r="BO2567" s="11">
        <v>45968.729166666664</v>
      </c>
      <c r="BP2567" s="11">
        <v>45968.729872685188</v>
      </c>
      <c r="BQ2567" s="15">
        <v>46003.391053240739</v>
      </c>
      <c r="BR2567" s="15">
        <v>46005.422488425924</v>
      </c>
      <c r="BS2567" s="10" t="s">
        <v>118</v>
      </c>
      <c r="BT2567" s="10"/>
      <c r="BU2567" s="10"/>
      <c r="BV2567" s="10"/>
      <c r="BW2567" s="10"/>
      <c r="BX2567" s="10"/>
      <c r="BY2567" s="23"/>
      <c r="BZ2567" s="23"/>
      <c r="CA2567" s="19" t="s">
        <v>19320</v>
      </c>
      <c r="CB2567" s="23"/>
      <c r="CC2567" s="23"/>
      <c r="CD2567" s="19" t="s">
        <v>19321</v>
      </c>
      <c r="CE2567" s="23"/>
      <c r="CF2567" s="23"/>
      <c r="CG2567" s="23"/>
      <c r="CH2567" s="23"/>
      <c r="CI2567" s="23"/>
    </row>
    <row r="2568" spans="1:87" x14ac:dyDescent="0.3">
      <c r="A2568" s="9" t="s">
        <v>19322</v>
      </c>
      <c r="B2568" s="10" t="s">
        <v>19323</v>
      </c>
      <c r="C2568" s="11">
        <v>46009.125</v>
      </c>
      <c r="D2568" s="12">
        <v>8.3333333333333329E-2</v>
      </c>
      <c r="E2568" s="11">
        <v>46009.208333333336</v>
      </c>
      <c r="F2568" s="10" t="s">
        <v>19263</v>
      </c>
      <c r="G2568" s="13" t="b">
        <v>0</v>
      </c>
      <c r="H2568" s="22" t="s">
        <v>19264</v>
      </c>
      <c r="I2568" s="10" t="s">
        <v>89</v>
      </c>
      <c r="J2568" s="13" t="b">
        <v>0</v>
      </c>
      <c r="K2568" s="13" t="b">
        <v>1</v>
      </c>
      <c r="L2568" s="10" t="s">
        <v>90</v>
      </c>
      <c r="M2568" s="10" t="s">
        <v>91</v>
      </c>
      <c r="N2568" s="10" t="s">
        <v>92</v>
      </c>
      <c r="O2568" s="19" t="s">
        <v>19324</v>
      </c>
      <c r="P2568" s="10" t="s">
        <v>19264</v>
      </c>
      <c r="Q2568" s="10" t="s">
        <v>126</v>
      </c>
      <c r="R2568" s="10"/>
      <c r="S2568" s="19" t="s">
        <v>19325</v>
      </c>
      <c r="T2568" s="10"/>
      <c r="U2568" s="10" t="s">
        <v>19290</v>
      </c>
      <c r="V2568" s="10" t="s">
        <v>19301</v>
      </c>
      <c r="W2568" s="10" t="s">
        <v>19269</v>
      </c>
      <c r="X2568" s="10" t="s">
        <v>16549</v>
      </c>
      <c r="Y2568" s="10" t="s">
        <v>16549</v>
      </c>
      <c r="Z2568" s="10" t="s">
        <v>99</v>
      </c>
      <c r="AA2568" s="10" t="s">
        <v>131</v>
      </c>
      <c r="AB2568" s="10" t="s">
        <v>19270</v>
      </c>
      <c r="AC2568" s="10" t="s">
        <v>19271</v>
      </c>
      <c r="AD2568" s="10" t="s">
        <v>19326</v>
      </c>
      <c r="AE2568" s="10" t="s">
        <v>19327</v>
      </c>
      <c r="AF2568" s="15"/>
      <c r="AG2568" s="10"/>
      <c r="AH2568" s="10"/>
      <c r="AI2568" s="10"/>
      <c r="AJ2568" s="10"/>
      <c r="AK2568" s="10" t="s">
        <v>102</v>
      </c>
      <c r="AL2568" s="10" t="s">
        <v>7897</v>
      </c>
      <c r="AM2568" s="10"/>
      <c r="AN2568" s="10"/>
      <c r="AO2568" s="13" t="b">
        <v>0</v>
      </c>
      <c r="AP2568" s="22" t="s">
        <v>104</v>
      </c>
      <c r="AQ2568" s="10">
        <f ca="1">IFERROR(__xludf.DUMMYFUNCTION("""COMPUTED_VALUE"""),4783078)</f>
        <v>4783078</v>
      </c>
      <c r="AR2568" s="17">
        <v>1006</v>
      </c>
      <c r="AS2568" s="17">
        <v>912</v>
      </c>
      <c r="AT2568" s="17">
        <v>6990</v>
      </c>
      <c r="AU2568" s="17">
        <v>0.1</v>
      </c>
      <c r="AV2568" s="17">
        <v>0.1</v>
      </c>
      <c r="AW2568" s="10" t="s">
        <v>105</v>
      </c>
      <c r="AX2568" s="17">
        <v>190</v>
      </c>
      <c r="AY2568" s="18">
        <v>7.6644736842105265</v>
      </c>
      <c r="AZ2568" s="10" t="s">
        <v>3783</v>
      </c>
      <c r="BA2568" s="20" t="b">
        <v>0</v>
      </c>
      <c r="BB2568" s="10"/>
      <c r="BC2568" s="17">
        <v>1006</v>
      </c>
      <c r="BD2568" s="17">
        <v>912</v>
      </c>
      <c r="BE2568" s="17">
        <v>6990</v>
      </c>
      <c r="BF2568" s="17">
        <v>0.1</v>
      </c>
      <c r="BG2568" s="11">
        <f ca="1">IFERROR(__xludf.DUMMYFUNCTION("""COMPUTED_VALUE"""),46009.125)</f>
        <v>46009.125</v>
      </c>
      <c r="BH2568" s="17" t="s">
        <v>105</v>
      </c>
      <c r="BI2568" s="17"/>
      <c r="BJ2568" s="15"/>
      <c r="BK2568" s="15"/>
      <c r="BL2568" s="13" t="b">
        <v>0</v>
      </c>
      <c r="BM2568" s="10"/>
      <c r="BN2568" s="10" t="s">
        <v>157</v>
      </c>
      <c r="BO2568" s="11">
        <v>45968.729861111111</v>
      </c>
      <c r="BP2568" s="11">
        <v>45968.730821759258</v>
      </c>
      <c r="BQ2568" s="15">
        <v>46006.609143518515</v>
      </c>
      <c r="BR2568" s="15">
        <v>46006.697511574072</v>
      </c>
      <c r="BS2568" s="10" t="s">
        <v>157</v>
      </c>
      <c r="BT2568" s="10"/>
      <c r="BU2568" s="10"/>
      <c r="BV2568" s="10"/>
      <c r="BW2568" s="10"/>
      <c r="BX2568" s="10"/>
      <c r="BY2568" s="23"/>
      <c r="BZ2568" s="23"/>
      <c r="CA2568" s="19" t="s">
        <v>19328</v>
      </c>
      <c r="CB2568" s="23"/>
      <c r="CC2568" s="23"/>
      <c r="CD2568" s="19" t="s">
        <v>19329</v>
      </c>
      <c r="CE2568" s="23"/>
      <c r="CF2568" s="23"/>
      <c r="CG2568" s="23"/>
      <c r="CH2568" s="23"/>
      <c r="CI2568" s="23"/>
    </row>
    <row r="2569" spans="1:87" x14ac:dyDescent="0.3">
      <c r="A2569" s="9" t="s">
        <v>19330</v>
      </c>
      <c r="B2569" s="10" t="s">
        <v>19331</v>
      </c>
      <c r="C2569" s="11">
        <v>46009.270833333336</v>
      </c>
      <c r="D2569" s="12">
        <v>8.3333333333333329E-2</v>
      </c>
      <c r="E2569" s="11">
        <v>46009.354166666664</v>
      </c>
      <c r="F2569" s="10" t="s">
        <v>19263</v>
      </c>
      <c r="G2569" s="13" t="b">
        <v>0</v>
      </c>
      <c r="H2569" s="22" t="s">
        <v>19264</v>
      </c>
      <c r="I2569" s="10" t="s">
        <v>89</v>
      </c>
      <c r="J2569" s="13" t="b">
        <v>0</v>
      </c>
      <c r="K2569" s="13" t="b">
        <v>1</v>
      </c>
      <c r="L2569" s="10" t="s">
        <v>124</v>
      </c>
      <c r="M2569" s="10" t="s">
        <v>91</v>
      </c>
      <c r="N2569" s="10" t="s">
        <v>92</v>
      </c>
      <c r="O2569" s="19" t="s">
        <v>19332</v>
      </c>
      <c r="P2569" s="10" t="s">
        <v>19264</v>
      </c>
      <c r="Q2569" s="10" t="s">
        <v>126</v>
      </c>
      <c r="R2569" s="10"/>
      <c r="S2569" s="19" t="s">
        <v>19333</v>
      </c>
      <c r="T2569" s="10"/>
      <c r="U2569" s="10" t="s">
        <v>19300</v>
      </c>
      <c r="V2569" s="10" t="s">
        <v>19291</v>
      </c>
      <c r="W2569" s="10" t="s">
        <v>19269</v>
      </c>
      <c r="X2569" s="10" t="s">
        <v>16549</v>
      </c>
      <c r="Y2569" s="10" t="s">
        <v>16549</v>
      </c>
      <c r="Z2569" s="10" t="s">
        <v>99</v>
      </c>
      <c r="AA2569" s="10" t="s">
        <v>131</v>
      </c>
      <c r="AB2569" s="10" t="s">
        <v>19270</v>
      </c>
      <c r="AC2569" s="10" t="s">
        <v>19271</v>
      </c>
      <c r="AD2569" s="10" t="s">
        <v>19334</v>
      </c>
      <c r="AE2569" s="10" t="s">
        <v>19335</v>
      </c>
      <c r="AF2569" s="15"/>
      <c r="AG2569" s="10"/>
      <c r="AH2569" s="10"/>
      <c r="AI2569" s="10"/>
      <c r="AJ2569" s="10"/>
      <c r="AK2569" s="10" t="s">
        <v>102</v>
      </c>
      <c r="AL2569" s="10" t="s">
        <v>7897</v>
      </c>
      <c r="AM2569" s="10"/>
      <c r="AN2569" s="10"/>
      <c r="AO2569" s="13" t="b">
        <v>0</v>
      </c>
      <c r="AP2569" s="22" t="s">
        <v>104</v>
      </c>
      <c r="AQ2569" s="10">
        <f ca="1">IFERROR(__xludf.DUMMYFUNCTION("""COMPUTED_VALUE"""),4783079)</f>
        <v>4783079</v>
      </c>
      <c r="AR2569" s="17">
        <v>3289</v>
      </c>
      <c r="AS2569" s="17">
        <v>2861</v>
      </c>
      <c r="AT2569" s="17">
        <v>35780.75</v>
      </c>
      <c r="AU2569" s="17">
        <v>6.25</v>
      </c>
      <c r="AV2569" s="17">
        <v>0.25</v>
      </c>
      <c r="AW2569" s="10" t="s">
        <v>105</v>
      </c>
      <c r="AX2569" s="17">
        <v>438</v>
      </c>
      <c r="AY2569" s="18">
        <v>12.506378888500524</v>
      </c>
      <c r="AZ2569" s="10" t="s">
        <v>3783</v>
      </c>
      <c r="BA2569" s="20" t="b">
        <v>0</v>
      </c>
      <c r="BB2569" s="10"/>
      <c r="BC2569" s="17">
        <v>3289</v>
      </c>
      <c r="BD2569" s="17">
        <v>2861</v>
      </c>
      <c r="BE2569" s="17">
        <v>35780.75</v>
      </c>
      <c r="BF2569" s="17">
        <v>0.25</v>
      </c>
      <c r="BG2569" s="11">
        <f ca="1">IFERROR(__xludf.DUMMYFUNCTION("""COMPUTED_VALUE"""),46009.2708333333)</f>
        <v>46009.270833333299</v>
      </c>
      <c r="BH2569" s="17" t="s">
        <v>105</v>
      </c>
      <c r="BI2569" s="17"/>
      <c r="BJ2569" s="15"/>
      <c r="BK2569" s="15"/>
      <c r="BL2569" s="13" t="b">
        <v>0</v>
      </c>
      <c r="BM2569" s="10"/>
      <c r="BN2569" s="10" t="s">
        <v>157</v>
      </c>
      <c r="BO2569" s="11">
        <v>45968.730555555558</v>
      </c>
      <c r="BP2569" s="11">
        <v>45968.730937499997</v>
      </c>
      <c r="BQ2569" s="15">
        <v>46006.609224537038</v>
      </c>
      <c r="BR2569" s="15">
        <v>46006.698657407411</v>
      </c>
      <c r="BS2569" s="10" t="s">
        <v>157</v>
      </c>
      <c r="BT2569" s="10"/>
      <c r="BU2569" s="10"/>
      <c r="BV2569" s="10"/>
      <c r="BW2569" s="10"/>
      <c r="BX2569" s="10"/>
      <c r="BY2569" s="23"/>
      <c r="BZ2569" s="23"/>
      <c r="CA2569" s="19" t="s">
        <v>19336</v>
      </c>
      <c r="CB2569" s="23"/>
      <c r="CC2569" s="23"/>
      <c r="CD2569" s="19" t="s">
        <v>19337</v>
      </c>
      <c r="CE2569" s="23"/>
      <c r="CF2569" s="23"/>
      <c r="CG2569" s="23"/>
      <c r="CH2569" s="23"/>
      <c r="CI2569" s="23"/>
    </row>
    <row r="2570" spans="1:87" x14ac:dyDescent="0.3">
      <c r="A2570" s="9" t="s">
        <v>19338</v>
      </c>
      <c r="B2570" s="10" t="s">
        <v>19339</v>
      </c>
      <c r="C2570" s="11">
        <v>46009.833333333336</v>
      </c>
      <c r="D2570" s="12">
        <v>8.3333333333333329E-2</v>
      </c>
      <c r="E2570" s="11">
        <v>46009.916666666664</v>
      </c>
      <c r="F2570" s="10" t="s">
        <v>19263</v>
      </c>
      <c r="G2570" s="13" t="b">
        <v>0</v>
      </c>
      <c r="H2570" s="22" t="s">
        <v>19264</v>
      </c>
      <c r="I2570" s="10" t="s">
        <v>89</v>
      </c>
      <c r="J2570" s="13" t="b">
        <v>0</v>
      </c>
      <c r="K2570" s="13" t="b">
        <v>1</v>
      </c>
      <c r="L2570" s="10" t="s">
        <v>124</v>
      </c>
      <c r="M2570" s="10" t="s">
        <v>91</v>
      </c>
      <c r="N2570" s="10" t="s">
        <v>92</v>
      </c>
      <c r="O2570" s="19" t="s">
        <v>19340</v>
      </c>
      <c r="P2570" s="10" t="s">
        <v>19264</v>
      </c>
      <c r="Q2570" s="10" t="s">
        <v>126</v>
      </c>
      <c r="R2570" s="10"/>
      <c r="S2570" s="19" t="s">
        <v>19341</v>
      </c>
      <c r="T2570" s="10"/>
      <c r="U2570" s="10" t="s">
        <v>19267</v>
      </c>
      <c r="V2570" s="10" t="s">
        <v>19280</v>
      </c>
      <c r="W2570" s="10" t="s">
        <v>19269</v>
      </c>
      <c r="X2570" s="10" t="s">
        <v>16549</v>
      </c>
      <c r="Y2570" s="10" t="s">
        <v>16549</v>
      </c>
      <c r="Z2570" s="10" t="s">
        <v>99</v>
      </c>
      <c r="AA2570" s="10" t="s">
        <v>131</v>
      </c>
      <c r="AB2570" s="10" t="s">
        <v>19270</v>
      </c>
      <c r="AC2570" s="10" t="s">
        <v>19271</v>
      </c>
      <c r="AD2570" s="10" t="s">
        <v>19342</v>
      </c>
      <c r="AE2570" s="10" t="s">
        <v>19343</v>
      </c>
      <c r="AF2570" s="15"/>
      <c r="AG2570" s="10"/>
      <c r="AH2570" s="10"/>
      <c r="AI2570" s="10"/>
      <c r="AJ2570" s="10"/>
      <c r="AK2570" s="10" t="s">
        <v>102</v>
      </c>
      <c r="AL2570" s="10" t="s">
        <v>7897</v>
      </c>
      <c r="AM2570" s="10"/>
      <c r="AN2570" s="10"/>
      <c r="AO2570" s="13" t="b">
        <v>0</v>
      </c>
      <c r="AP2570" s="22" t="s">
        <v>104</v>
      </c>
      <c r="AQ2570" s="10">
        <f ca="1">IFERROR(__xludf.DUMMYFUNCTION("""COMPUTED_VALUE"""),4783080)</f>
        <v>4783080</v>
      </c>
      <c r="AR2570" s="17">
        <v>4565</v>
      </c>
      <c r="AS2570" s="17">
        <v>2886</v>
      </c>
      <c r="AT2570" s="17">
        <v>45473.75</v>
      </c>
      <c r="AU2570" s="17">
        <v>12.5</v>
      </c>
      <c r="AV2570" s="17">
        <v>2.6</v>
      </c>
      <c r="AW2570" s="10" t="s">
        <v>105</v>
      </c>
      <c r="AX2570" s="17">
        <v>748</v>
      </c>
      <c r="AY2570" s="18">
        <v>15.756670131670132</v>
      </c>
      <c r="AZ2570" s="10" t="s">
        <v>3783</v>
      </c>
      <c r="BA2570" s="20" t="b">
        <v>0</v>
      </c>
      <c r="BB2570" s="10"/>
      <c r="BC2570" s="17">
        <v>4565</v>
      </c>
      <c r="BD2570" s="17">
        <v>2886</v>
      </c>
      <c r="BE2570" s="17">
        <v>45473.75</v>
      </c>
      <c r="BF2570" s="17">
        <v>2.6</v>
      </c>
      <c r="BG2570" s="11">
        <f ca="1">IFERROR(__xludf.DUMMYFUNCTION("""COMPUTED_VALUE"""),46009.8333333333)</f>
        <v>46009.833333333299</v>
      </c>
      <c r="BH2570" s="17" t="s">
        <v>105</v>
      </c>
      <c r="BI2570" s="17"/>
      <c r="BJ2570" s="15"/>
      <c r="BK2570" s="15"/>
      <c r="BL2570" s="13" t="b">
        <v>0</v>
      </c>
      <c r="BM2570" s="10"/>
      <c r="BN2570" s="10" t="s">
        <v>157</v>
      </c>
      <c r="BO2570" s="11">
        <v>45968.730555555558</v>
      </c>
      <c r="BP2570" s="11">
        <v>45968.731249999997</v>
      </c>
      <c r="BQ2570" s="15">
        <v>46006.609317129631</v>
      </c>
      <c r="BR2570" s="15">
        <v>46006.701527777775</v>
      </c>
      <c r="BS2570" s="10" t="s">
        <v>157</v>
      </c>
      <c r="BT2570" s="10"/>
      <c r="BU2570" s="10"/>
      <c r="BV2570" s="10"/>
      <c r="BW2570" s="10"/>
      <c r="BX2570" s="10"/>
      <c r="BY2570" s="23"/>
      <c r="BZ2570" s="23"/>
      <c r="CA2570" s="19" t="s">
        <v>19344</v>
      </c>
      <c r="CB2570" s="23"/>
      <c r="CC2570" s="23"/>
      <c r="CD2570" s="19" t="s">
        <v>19345</v>
      </c>
      <c r="CE2570" s="23"/>
      <c r="CF2570" s="23"/>
      <c r="CG2570" s="23"/>
      <c r="CH2570" s="23"/>
      <c r="CI2570" s="23"/>
    </row>
    <row r="2571" spans="1:87" x14ac:dyDescent="0.3">
      <c r="A2571" s="9" t="s">
        <v>19346</v>
      </c>
      <c r="B2571" s="10" t="s">
        <v>19347</v>
      </c>
      <c r="C2571" s="11">
        <v>46009.979166666664</v>
      </c>
      <c r="D2571" s="12">
        <v>8.3333333333333329E-2</v>
      </c>
      <c r="E2571" s="11">
        <v>46010.0625</v>
      </c>
      <c r="F2571" s="10" t="s">
        <v>19263</v>
      </c>
      <c r="G2571" s="13" t="b">
        <v>0</v>
      </c>
      <c r="H2571" s="22" t="s">
        <v>19264</v>
      </c>
      <c r="I2571" s="10" t="s">
        <v>89</v>
      </c>
      <c r="J2571" s="13" t="b">
        <v>0</v>
      </c>
      <c r="K2571" s="13" t="b">
        <v>1</v>
      </c>
      <c r="L2571" s="10" t="s">
        <v>90</v>
      </c>
      <c r="M2571" s="10" t="s">
        <v>91</v>
      </c>
      <c r="N2571" s="10" t="s">
        <v>92</v>
      </c>
      <c r="O2571" s="19" t="s">
        <v>19348</v>
      </c>
      <c r="P2571" s="10" t="s">
        <v>19264</v>
      </c>
      <c r="Q2571" s="10" t="s">
        <v>126</v>
      </c>
      <c r="R2571" s="10"/>
      <c r="S2571" s="19" t="s">
        <v>19349</v>
      </c>
      <c r="T2571" s="10"/>
      <c r="U2571" s="10" t="s">
        <v>19281</v>
      </c>
      <c r="V2571" s="10" t="s">
        <v>19268</v>
      </c>
      <c r="W2571" s="10" t="s">
        <v>19269</v>
      </c>
      <c r="X2571" s="10" t="s">
        <v>16549</v>
      </c>
      <c r="Y2571" s="10" t="s">
        <v>16549</v>
      </c>
      <c r="Z2571" s="10" t="s">
        <v>99</v>
      </c>
      <c r="AA2571" s="10" t="s">
        <v>131</v>
      </c>
      <c r="AB2571" s="10" t="s">
        <v>19270</v>
      </c>
      <c r="AC2571" s="10" t="s">
        <v>19271</v>
      </c>
      <c r="AD2571" s="10" t="s">
        <v>19350</v>
      </c>
      <c r="AE2571" s="10" t="s">
        <v>19351</v>
      </c>
      <c r="AF2571" s="15"/>
      <c r="AG2571" s="10"/>
      <c r="AH2571" s="10"/>
      <c r="AI2571" s="10"/>
      <c r="AJ2571" s="10"/>
      <c r="AK2571" s="10" t="s">
        <v>102</v>
      </c>
      <c r="AL2571" s="10" t="s">
        <v>7897</v>
      </c>
      <c r="AM2571" s="10"/>
      <c r="AN2571" s="10"/>
      <c r="AO2571" s="13" t="b">
        <v>0</v>
      </c>
      <c r="AP2571" s="22" t="s">
        <v>104</v>
      </c>
      <c r="AQ2571" s="10">
        <f ca="1">IFERROR(__xludf.DUMMYFUNCTION("""COMPUTED_VALUE"""),4783081)</f>
        <v>4783081</v>
      </c>
      <c r="AR2571" s="17">
        <v>2823</v>
      </c>
      <c r="AS2571" s="17">
        <v>2547</v>
      </c>
      <c r="AT2571" s="17">
        <v>25012.75</v>
      </c>
      <c r="AU2571" s="17">
        <v>8.5500000000000007</v>
      </c>
      <c r="AV2571" s="17">
        <v>0.25</v>
      </c>
      <c r="AW2571" s="10" t="s">
        <v>105</v>
      </c>
      <c r="AX2571" s="17">
        <v>516</v>
      </c>
      <c r="AY2571" s="18">
        <v>9.8204750687082836</v>
      </c>
      <c r="AZ2571" s="10" t="s">
        <v>3783</v>
      </c>
      <c r="BA2571" s="20" t="b">
        <v>0</v>
      </c>
      <c r="BB2571" s="10"/>
      <c r="BC2571" s="17">
        <v>2823</v>
      </c>
      <c r="BD2571" s="17">
        <v>2547</v>
      </c>
      <c r="BE2571" s="17">
        <v>25012.75</v>
      </c>
      <c r="BF2571" s="17">
        <v>0.25</v>
      </c>
      <c r="BG2571" s="11">
        <f ca="1">IFERROR(__xludf.DUMMYFUNCTION("""COMPUTED_VALUE"""),46009.9791666666)</f>
        <v>46009.979166666599</v>
      </c>
      <c r="BH2571" s="17" t="s">
        <v>105</v>
      </c>
      <c r="BI2571" s="17"/>
      <c r="BJ2571" s="15"/>
      <c r="BK2571" s="15"/>
      <c r="BL2571" s="13" t="b">
        <v>0</v>
      </c>
      <c r="BM2571" s="10"/>
      <c r="BN2571" s="10" t="s">
        <v>157</v>
      </c>
      <c r="BO2571" s="11">
        <v>45968.731249999997</v>
      </c>
      <c r="BP2571" s="11">
        <v>45968.731631944444</v>
      </c>
      <c r="BQ2571" s="15">
        <v>46006.609409722223</v>
      </c>
      <c r="BR2571" s="15">
        <v>46006.702303240738</v>
      </c>
      <c r="BS2571" s="10" t="s">
        <v>157</v>
      </c>
      <c r="BT2571" s="10"/>
      <c r="BU2571" s="10"/>
      <c r="BV2571" s="10"/>
      <c r="BW2571" s="10"/>
      <c r="BX2571" s="10"/>
      <c r="BY2571" s="23"/>
      <c r="BZ2571" s="23"/>
      <c r="CA2571" s="19" t="s">
        <v>19352</v>
      </c>
      <c r="CB2571" s="23"/>
      <c r="CC2571" s="23"/>
      <c r="CD2571" s="19" t="s">
        <v>19353</v>
      </c>
      <c r="CE2571" s="23"/>
      <c r="CF2571" s="23"/>
      <c r="CG2571" s="23"/>
      <c r="CH2571" s="23"/>
      <c r="CI2571" s="23"/>
    </row>
    <row r="2572" spans="1:87" x14ac:dyDescent="0.3">
      <c r="A2572" s="9" t="s">
        <v>19354</v>
      </c>
      <c r="B2572" s="10" t="s">
        <v>19355</v>
      </c>
      <c r="C2572" s="11">
        <v>46010.125</v>
      </c>
      <c r="D2572" s="12">
        <v>8.3333333333333329E-2</v>
      </c>
      <c r="E2572" s="11">
        <v>46010.208333333336</v>
      </c>
      <c r="F2572" s="10" t="s">
        <v>19263</v>
      </c>
      <c r="G2572" s="13" t="b">
        <v>0</v>
      </c>
      <c r="H2572" s="22" t="s">
        <v>19264</v>
      </c>
      <c r="I2572" s="10" t="s">
        <v>89</v>
      </c>
      <c r="J2572" s="13" t="b">
        <v>0</v>
      </c>
      <c r="K2572" s="13" t="b">
        <v>1</v>
      </c>
      <c r="L2572" s="10" t="s">
        <v>124</v>
      </c>
      <c r="M2572" s="10" t="s">
        <v>91</v>
      </c>
      <c r="N2572" s="10" t="s">
        <v>92</v>
      </c>
      <c r="O2572" s="19" t="s">
        <v>19356</v>
      </c>
      <c r="P2572" s="10" t="s">
        <v>19264</v>
      </c>
      <c r="Q2572" s="10" t="s">
        <v>126</v>
      </c>
      <c r="R2572" s="10"/>
      <c r="S2572" s="19" t="s">
        <v>19357</v>
      </c>
      <c r="T2572" s="10"/>
      <c r="U2572" s="10" t="s">
        <v>19291</v>
      </c>
      <c r="V2572" s="10" t="s">
        <v>19301</v>
      </c>
      <c r="W2572" s="10" t="s">
        <v>19269</v>
      </c>
      <c r="X2572" s="10" t="s">
        <v>16549</v>
      </c>
      <c r="Y2572" s="10" t="s">
        <v>16549</v>
      </c>
      <c r="Z2572" s="10" t="s">
        <v>99</v>
      </c>
      <c r="AA2572" s="10" t="s">
        <v>131</v>
      </c>
      <c r="AB2572" s="10" t="s">
        <v>19270</v>
      </c>
      <c r="AC2572" s="10" t="s">
        <v>19271</v>
      </c>
      <c r="AD2572" s="10" t="s">
        <v>19358</v>
      </c>
      <c r="AE2572" s="10" t="s">
        <v>19359</v>
      </c>
      <c r="AF2572" s="15"/>
      <c r="AG2572" s="10"/>
      <c r="AH2572" s="10"/>
      <c r="AI2572" s="10"/>
      <c r="AJ2572" s="10"/>
      <c r="AK2572" s="10" t="s">
        <v>102</v>
      </c>
      <c r="AL2572" s="10" t="s">
        <v>7897</v>
      </c>
      <c r="AM2572" s="10"/>
      <c r="AN2572" s="10"/>
      <c r="AO2572" s="13" t="b">
        <v>0</v>
      </c>
      <c r="AP2572" s="22" t="s">
        <v>104</v>
      </c>
      <c r="AQ2572" s="10">
        <f ca="1">IFERROR(__xludf.DUMMYFUNCTION("""COMPUTED_VALUE"""),4783082)</f>
        <v>4783082</v>
      </c>
      <c r="AR2572" s="17">
        <v>508</v>
      </c>
      <c r="AS2572" s="17">
        <v>458</v>
      </c>
      <c r="AT2572" s="17">
        <v>5529.25</v>
      </c>
      <c r="AU2572" s="17">
        <v>0.35</v>
      </c>
      <c r="AV2572" s="17">
        <v>0</v>
      </c>
      <c r="AW2572" s="10" t="s">
        <v>105</v>
      </c>
      <c r="AX2572" s="17">
        <v>107</v>
      </c>
      <c r="AY2572" s="18">
        <v>12.072598253275109</v>
      </c>
      <c r="AZ2572" s="10" t="s">
        <v>3783</v>
      </c>
      <c r="BA2572" s="20" t="b">
        <v>0</v>
      </c>
      <c r="BB2572" s="10"/>
      <c r="BC2572" s="17">
        <v>508</v>
      </c>
      <c r="BD2572" s="17">
        <v>458</v>
      </c>
      <c r="BE2572" s="17">
        <v>5529.25</v>
      </c>
      <c r="BF2572" s="17">
        <v>0</v>
      </c>
      <c r="BG2572" s="11">
        <f ca="1">IFERROR(__xludf.DUMMYFUNCTION("""COMPUTED_VALUE"""),46010.125)</f>
        <v>46010.125</v>
      </c>
      <c r="BH2572" s="17" t="s">
        <v>105</v>
      </c>
      <c r="BI2572" s="17"/>
      <c r="BJ2572" s="15"/>
      <c r="BK2572" s="15"/>
      <c r="BL2572" s="13" t="b">
        <v>0</v>
      </c>
      <c r="BM2572" s="10"/>
      <c r="BN2572" s="10" t="s">
        <v>157</v>
      </c>
      <c r="BO2572" s="11">
        <v>45968.731944444444</v>
      </c>
      <c r="BP2572" s="11">
        <v>45968.732118055559</v>
      </c>
      <c r="BQ2572" s="15">
        <v>46006.609525462962</v>
      </c>
      <c r="BR2572" s="15">
        <v>46006.706365740742</v>
      </c>
      <c r="BS2572" s="10" t="s">
        <v>157</v>
      </c>
      <c r="BT2572" s="10"/>
      <c r="BU2572" s="10"/>
      <c r="BV2572" s="10"/>
      <c r="BW2572" s="10"/>
      <c r="BX2572" s="10"/>
      <c r="BY2572" s="23"/>
      <c r="BZ2572" s="23"/>
      <c r="CA2572" s="19" t="s">
        <v>19360</v>
      </c>
      <c r="CB2572" s="23"/>
      <c r="CC2572" s="23"/>
      <c r="CD2572" s="19" t="s">
        <v>19361</v>
      </c>
      <c r="CE2572" s="23"/>
      <c r="CF2572" s="23"/>
      <c r="CG2572" s="23"/>
      <c r="CH2572" s="23"/>
      <c r="CI2572" s="23"/>
    </row>
    <row r="2573" spans="1:87" x14ac:dyDescent="0.3">
      <c r="A2573" s="9" t="s">
        <v>19362</v>
      </c>
      <c r="B2573" s="10" t="s">
        <v>19363</v>
      </c>
      <c r="C2573" s="11">
        <v>46010.270833333336</v>
      </c>
      <c r="D2573" s="12">
        <v>8.3333333333333329E-2</v>
      </c>
      <c r="E2573" s="11">
        <v>46010.354166666664</v>
      </c>
      <c r="F2573" s="10" t="s">
        <v>19263</v>
      </c>
      <c r="G2573" s="13" t="b">
        <v>0</v>
      </c>
      <c r="H2573" s="22" t="s">
        <v>19264</v>
      </c>
      <c r="I2573" s="10" t="s">
        <v>89</v>
      </c>
      <c r="J2573" s="13" t="b">
        <v>0</v>
      </c>
      <c r="K2573" s="13" t="b">
        <v>1</v>
      </c>
      <c r="L2573" s="10" t="s">
        <v>90</v>
      </c>
      <c r="M2573" s="10" t="s">
        <v>91</v>
      </c>
      <c r="N2573" s="10" t="s">
        <v>92</v>
      </c>
      <c r="O2573" s="19" t="s">
        <v>19364</v>
      </c>
      <c r="P2573" s="10" t="s">
        <v>19264</v>
      </c>
      <c r="Q2573" s="10" t="s">
        <v>126</v>
      </c>
      <c r="R2573" s="10"/>
      <c r="S2573" s="19" t="s">
        <v>19365</v>
      </c>
      <c r="T2573" s="10"/>
      <c r="U2573" s="10" t="s">
        <v>19300</v>
      </c>
      <c r="V2573" s="10" t="s">
        <v>19290</v>
      </c>
      <c r="W2573" s="10" t="s">
        <v>19269</v>
      </c>
      <c r="X2573" s="10" t="s">
        <v>16549</v>
      </c>
      <c r="Y2573" s="10" t="s">
        <v>16549</v>
      </c>
      <c r="Z2573" s="10" t="s">
        <v>99</v>
      </c>
      <c r="AA2573" s="10" t="s">
        <v>131</v>
      </c>
      <c r="AB2573" s="10" t="s">
        <v>19270</v>
      </c>
      <c r="AC2573" s="10" t="s">
        <v>19271</v>
      </c>
      <c r="AD2573" s="10" t="s">
        <v>19366</v>
      </c>
      <c r="AE2573" s="10" t="s">
        <v>19367</v>
      </c>
      <c r="AF2573" s="15"/>
      <c r="AG2573" s="10"/>
      <c r="AH2573" s="10"/>
      <c r="AI2573" s="10"/>
      <c r="AJ2573" s="10"/>
      <c r="AK2573" s="10" t="s">
        <v>102</v>
      </c>
      <c r="AL2573" s="10" t="s">
        <v>7897</v>
      </c>
      <c r="AM2573" s="10"/>
      <c r="AN2573" s="10"/>
      <c r="AO2573" s="13" t="b">
        <v>0</v>
      </c>
      <c r="AP2573" s="22" t="s">
        <v>104</v>
      </c>
      <c r="AQ2573" s="10">
        <f ca="1">IFERROR(__xludf.DUMMYFUNCTION("""COMPUTED_VALUE"""),4783083)</f>
        <v>4783083</v>
      </c>
      <c r="AR2573" s="17">
        <v>2797</v>
      </c>
      <c r="AS2573" s="17">
        <v>2488</v>
      </c>
      <c r="AT2573" s="17">
        <v>27098.5</v>
      </c>
      <c r="AU2573" s="17">
        <v>3.4</v>
      </c>
      <c r="AV2573" s="17">
        <v>0</v>
      </c>
      <c r="AW2573" s="10" t="s">
        <v>105</v>
      </c>
      <c r="AX2573" s="17">
        <v>446</v>
      </c>
      <c r="AY2573" s="18">
        <v>10.891680064308682</v>
      </c>
      <c r="AZ2573" s="10" t="s">
        <v>3783</v>
      </c>
      <c r="BA2573" s="20" t="b">
        <v>0</v>
      </c>
      <c r="BB2573" s="10"/>
      <c r="BC2573" s="17">
        <v>2797</v>
      </c>
      <c r="BD2573" s="17">
        <v>2488</v>
      </c>
      <c r="BE2573" s="17">
        <v>27098.5</v>
      </c>
      <c r="BF2573" s="17">
        <v>0</v>
      </c>
      <c r="BG2573" s="11">
        <f ca="1">IFERROR(__xludf.DUMMYFUNCTION("""COMPUTED_VALUE"""),46010.2708333333)</f>
        <v>46010.270833333299</v>
      </c>
      <c r="BH2573" s="17" t="s">
        <v>105</v>
      </c>
      <c r="BI2573" s="17"/>
      <c r="BJ2573" s="15"/>
      <c r="BK2573" s="15"/>
      <c r="BL2573" s="13" t="b">
        <v>0</v>
      </c>
      <c r="BM2573" s="10"/>
      <c r="BN2573" s="10" t="s">
        <v>157</v>
      </c>
      <c r="BO2573" s="11">
        <v>45968.731944444444</v>
      </c>
      <c r="BP2573" s="11">
        <v>45968.732511574075</v>
      </c>
      <c r="BQ2573" s="15">
        <v>46006.609652777777</v>
      </c>
      <c r="BR2573" s="15">
        <v>46006.707372685189</v>
      </c>
      <c r="BS2573" s="10" t="s">
        <v>157</v>
      </c>
      <c r="BT2573" s="10"/>
      <c r="BU2573" s="10"/>
      <c r="BV2573" s="10"/>
      <c r="BW2573" s="10"/>
      <c r="BX2573" s="10"/>
      <c r="BY2573" s="23"/>
      <c r="BZ2573" s="23"/>
      <c r="CA2573" s="19" t="s">
        <v>19368</v>
      </c>
      <c r="CB2573" s="23"/>
      <c r="CC2573" s="23"/>
      <c r="CD2573" s="19" t="s">
        <v>19369</v>
      </c>
      <c r="CE2573" s="23"/>
      <c r="CF2573" s="23"/>
      <c r="CG2573" s="23"/>
      <c r="CH2573" s="23"/>
      <c r="CI2573" s="23"/>
    </row>
    <row r="2574" spans="1:87" x14ac:dyDescent="0.3">
      <c r="A2574" s="9" t="s">
        <v>19370</v>
      </c>
      <c r="B2574" s="10" t="s">
        <v>19371</v>
      </c>
      <c r="C2574" s="11">
        <v>45997.104166666664</v>
      </c>
      <c r="D2574" s="12">
        <v>8.3333333333333329E-2</v>
      </c>
      <c r="E2574" s="11">
        <v>45997.1875</v>
      </c>
      <c r="F2574" s="10" t="s">
        <v>17870</v>
      </c>
      <c r="G2574" s="13" t="b">
        <v>0</v>
      </c>
      <c r="H2574" s="22" t="s">
        <v>17871</v>
      </c>
      <c r="I2574" s="10" t="s">
        <v>3213</v>
      </c>
      <c r="J2574" s="13" t="b">
        <v>0</v>
      </c>
      <c r="K2574" s="13" t="b">
        <v>1</v>
      </c>
      <c r="L2574" s="10" t="s">
        <v>124</v>
      </c>
      <c r="M2574" s="10" t="s">
        <v>91</v>
      </c>
      <c r="N2574" s="10" t="s">
        <v>265</v>
      </c>
      <c r="O2574" s="19" t="s">
        <v>19372</v>
      </c>
      <c r="P2574" s="10"/>
      <c r="Q2574" s="10" t="s">
        <v>94</v>
      </c>
      <c r="R2574" s="10"/>
      <c r="S2574" s="19" t="s">
        <v>19373</v>
      </c>
      <c r="T2574" s="10"/>
      <c r="U2574" s="10" t="s">
        <v>19374</v>
      </c>
      <c r="V2574" s="10" t="s">
        <v>17939</v>
      </c>
      <c r="W2574" s="10" t="s">
        <v>17876</v>
      </c>
      <c r="X2574" s="10" t="s">
        <v>130</v>
      </c>
      <c r="Y2574" s="10" t="s">
        <v>130</v>
      </c>
      <c r="Z2574" s="10" t="s">
        <v>99</v>
      </c>
      <c r="AA2574" s="10" t="s">
        <v>131</v>
      </c>
      <c r="AB2574" s="10" t="s">
        <v>17877</v>
      </c>
      <c r="AC2574" s="10" t="s">
        <v>7885</v>
      </c>
      <c r="AD2574" s="10" t="s">
        <v>19375</v>
      </c>
      <c r="AE2574" s="10" t="s">
        <v>19376</v>
      </c>
      <c r="AF2574" s="15"/>
      <c r="AG2574" s="10"/>
      <c r="AH2574" s="10"/>
      <c r="AI2574" s="10"/>
      <c r="AJ2574" s="10"/>
      <c r="AK2574" s="10" t="s">
        <v>102</v>
      </c>
      <c r="AL2574" s="10"/>
      <c r="AM2574" s="10"/>
      <c r="AN2574" s="10"/>
      <c r="AO2574" s="13" t="b">
        <v>0</v>
      </c>
      <c r="AP2574" s="22" t="s">
        <v>104</v>
      </c>
      <c r="AQ2574" s="10">
        <f ca="1">IFERROR(__xludf.DUMMYFUNCTION("""COMPUTED_VALUE"""),4758893)</f>
        <v>4758893</v>
      </c>
      <c r="AR2574" s="17">
        <v>1167</v>
      </c>
      <c r="AS2574" s="17">
        <v>1053</v>
      </c>
      <c r="AT2574" s="17">
        <v>12819.5</v>
      </c>
      <c r="AU2574" s="17">
        <v>1.65</v>
      </c>
      <c r="AV2574" s="17">
        <v>0</v>
      </c>
      <c r="AW2574" s="10" t="s">
        <v>105</v>
      </c>
      <c r="AX2574" s="17">
        <v>176</v>
      </c>
      <c r="AY2574" s="18">
        <v>12.174264007597341</v>
      </c>
      <c r="AZ2574" s="10" t="s">
        <v>168</v>
      </c>
      <c r="BA2574" s="20" t="b">
        <v>0</v>
      </c>
      <c r="BB2574" s="10"/>
      <c r="BC2574" s="17">
        <v>1167</v>
      </c>
      <c r="BD2574" s="17">
        <v>1053</v>
      </c>
      <c r="BE2574" s="17">
        <v>12819.5</v>
      </c>
      <c r="BF2574" s="17">
        <v>0</v>
      </c>
      <c r="BG2574" s="11">
        <f ca="1">IFERROR(__xludf.DUMMYFUNCTION("""COMPUTED_VALUE"""),45997.1041666666)</f>
        <v>45997.104166666599</v>
      </c>
      <c r="BH2574" s="17" t="s">
        <v>105</v>
      </c>
      <c r="BI2574" s="17"/>
      <c r="BJ2574" s="15"/>
      <c r="BK2574" s="15"/>
      <c r="BL2574" s="13" t="b">
        <v>0</v>
      </c>
      <c r="BM2574" s="10"/>
      <c r="BN2574" s="10" t="s">
        <v>118</v>
      </c>
      <c r="BO2574" s="11">
        <v>45968.943055555559</v>
      </c>
      <c r="BP2574" s="11">
        <v>45968.943287037036</v>
      </c>
      <c r="BQ2574" s="15">
        <v>45993.452210648145</v>
      </c>
      <c r="BR2574" s="15">
        <v>45993.530925925923</v>
      </c>
      <c r="BS2574" s="10" t="s">
        <v>118</v>
      </c>
      <c r="BT2574" s="10"/>
      <c r="BU2574" s="10"/>
      <c r="BV2574" s="10"/>
      <c r="BW2574" s="10"/>
      <c r="BX2574" s="10"/>
      <c r="BY2574" s="23"/>
      <c r="BZ2574" s="23"/>
      <c r="CA2574" s="19" t="s">
        <v>19377</v>
      </c>
      <c r="CB2574" s="23"/>
      <c r="CC2574" s="23"/>
      <c r="CD2574" s="23"/>
      <c r="CE2574" s="23"/>
      <c r="CF2574" s="23"/>
      <c r="CG2574" s="23"/>
      <c r="CH2574" s="23"/>
      <c r="CI2574" s="23"/>
    </row>
    <row r="2575" spans="1:87" x14ac:dyDescent="0.3">
      <c r="A2575" s="9" t="s">
        <v>19378</v>
      </c>
      <c r="B2575" s="10" t="s">
        <v>19379</v>
      </c>
      <c r="C2575" s="11">
        <v>45998.010416666664</v>
      </c>
      <c r="D2575" s="12">
        <v>8.3333333333333329E-2</v>
      </c>
      <c r="E2575" s="11">
        <v>45998.09375</v>
      </c>
      <c r="F2575" s="10" t="s">
        <v>17870</v>
      </c>
      <c r="G2575" s="13" t="b">
        <v>0</v>
      </c>
      <c r="H2575" s="22" t="s">
        <v>17871</v>
      </c>
      <c r="I2575" s="10" t="s">
        <v>3213</v>
      </c>
      <c r="J2575" s="13" t="b">
        <v>0</v>
      </c>
      <c r="K2575" s="13" t="b">
        <v>1</v>
      </c>
      <c r="L2575" s="10" t="s">
        <v>124</v>
      </c>
      <c r="M2575" s="10" t="s">
        <v>91</v>
      </c>
      <c r="N2575" s="10" t="s">
        <v>265</v>
      </c>
      <c r="O2575" s="19" t="s">
        <v>19380</v>
      </c>
      <c r="P2575" s="10"/>
      <c r="Q2575" s="10" t="s">
        <v>94</v>
      </c>
      <c r="R2575" s="10"/>
      <c r="S2575" s="19" t="s">
        <v>19381</v>
      </c>
      <c r="T2575" s="10"/>
      <c r="U2575" s="10" t="s">
        <v>19382</v>
      </c>
      <c r="V2575" s="10" t="s">
        <v>17904</v>
      </c>
      <c r="W2575" s="10" t="s">
        <v>17876</v>
      </c>
      <c r="X2575" s="10" t="s">
        <v>130</v>
      </c>
      <c r="Y2575" s="10" t="s">
        <v>130</v>
      </c>
      <c r="Z2575" s="10" t="s">
        <v>99</v>
      </c>
      <c r="AA2575" s="10" t="s">
        <v>131</v>
      </c>
      <c r="AB2575" s="10" t="s">
        <v>17877</v>
      </c>
      <c r="AC2575" s="10" t="s">
        <v>7885</v>
      </c>
      <c r="AD2575" s="10" t="s">
        <v>19383</v>
      </c>
      <c r="AE2575" s="10" t="s">
        <v>19384</v>
      </c>
      <c r="AF2575" s="15"/>
      <c r="AG2575" s="10"/>
      <c r="AH2575" s="10"/>
      <c r="AI2575" s="10"/>
      <c r="AJ2575" s="10"/>
      <c r="AK2575" s="10" t="s">
        <v>102</v>
      </c>
      <c r="AL2575" s="10"/>
      <c r="AM2575" s="10"/>
      <c r="AN2575" s="10"/>
      <c r="AO2575" s="13" t="b">
        <v>0</v>
      </c>
      <c r="AP2575" s="22" t="s">
        <v>104</v>
      </c>
      <c r="AQ2575" s="10">
        <f ca="1">IFERROR(__xludf.DUMMYFUNCTION("""COMPUTED_VALUE"""),4759283)</f>
        <v>4759283</v>
      </c>
      <c r="AR2575" s="17">
        <v>1132</v>
      </c>
      <c r="AS2575" s="17">
        <v>1042</v>
      </c>
      <c r="AT2575" s="17">
        <v>3248.5</v>
      </c>
      <c r="AU2575" s="17">
        <v>0.25</v>
      </c>
      <c r="AV2575" s="17">
        <v>0.25</v>
      </c>
      <c r="AW2575" s="10" t="s">
        <v>105</v>
      </c>
      <c r="AX2575" s="17">
        <v>98</v>
      </c>
      <c r="AY2575" s="18">
        <v>3.1175623800383878</v>
      </c>
      <c r="AZ2575" s="10" t="s">
        <v>168</v>
      </c>
      <c r="BA2575" s="20" t="b">
        <v>0</v>
      </c>
      <c r="BB2575" s="10"/>
      <c r="BC2575" s="17">
        <v>1132</v>
      </c>
      <c r="BD2575" s="17">
        <v>1042</v>
      </c>
      <c r="BE2575" s="17">
        <v>3248.5</v>
      </c>
      <c r="BF2575" s="17">
        <v>0.25</v>
      </c>
      <c r="BG2575" s="11">
        <f ca="1">IFERROR(__xludf.DUMMYFUNCTION("""COMPUTED_VALUE"""),45998.0104166666)</f>
        <v>45998.010416666599</v>
      </c>
      <c r="BH2575" s="17" t="s">
        <v>105</v>
      </c>
      <c r="BI2575" s="17"/>
      <c r="BJ2575" s="15"/>
      <c r="BK2575" s="15"/>
      <c r="BL2575" s="13" t="b">
        <v>0</v>
      </c>
      <c r="BM2575" s="10"/>
      <c r="BN2575" s="10" t="s">
        <v>278</v>
      </c>
      <c r="BO2575" s="11">
        <v>45968.943749999999</v>
      </c>
      <c r="BP2575" s="11">
        <v>45968.944456018522</v>
      </c>
      <c r="BQ2575" s="15">
        <v>45993.452581018515</v>
      </c>
      <c r="BR2575" s="15">
        <v>45994.467210648145</v>
      </c>
      <c r="BS2575" s="10" t="s">
        <v>278</v>
      </c>
      <c r="BT2575" s="10"/>
      <c r="BU2575" s="10"/>
      <c r="BV2575" s="10"/>
      <c r="BW2575" s="10"/>
      <c r="BX2575" s="10"/>
      <c r="BY2575" s="23"/>
      <c r="BZ2575" s="23"/>
      <c r="CA2575" s="19" t="s">
        <v>19385</v>
      </c>
      <c r="CB2575" s="23"/>
      <c r="CC2575" s="23"/>
      <c r="CD2575" s="23"/>
      <c r="CE2575" s="23"/>
      <c r="CF2575" s="23"/>
      <c r="CG2575" s="23"/>
      <c r="CH2575" s="23"/>
      <c r="CI2575" s="23"/>
    </row>
    <row r="2576" spans="1:87" x14ac:dyDescent="0.3">
      <c r="A2576" s="9" t="s">
        <v>19386</v>
      </c>
      <c r="B2576" s="10" t="s">
        <v>19387</v>
      </c>
      <c r="C2576" s="11">
        <v>45998.104166666664</v>
      </c>
      <c r="D2576" s="12">
        <v>8.3333333333333329E-2</v>
      </c>
      <c r="E2576" s="11">
        <v>45998.1875</v>
      </c>
      <c r="F2576" s="10" t="s">
        <v>17870</v>
      </c>
      <c r="G2576" s="13" t="b">
        <v>0</v>
      </c>
      <c r="H2576" s="22" t="s">
        <v>17871</v>
      </c>
      <c r="I2576" s="10" t="s">
        <v>3213</v>
      </c>
      <c r="J2576" s="13" t="b">
        <v>0</v>
      </c>
      <c r="K2576" s="13" t="b">
        <v>1</v>
      </c>
      <c r="L2576" s="10" t="s">
        <v>124</v>
      </c>
      <c r="M2576" s="10" t="s">
        <v>91</v>
      </c>
      <c r="N2576" s="10" t="s">
        <v>265</v>
      </c>
      <c r="O2576" s="19" t="s">
        <v>19388</v>
      </c>
      <c r="P2576" s="10"/>
      <c r="Q2576" s="10" t="s">
        <v>94</v>
      </c>
      <c r="R2576" s="10"/>
      <c r="S2576" s="19" t="s">
        <v>19389</v>
      </c>
      <c r="T2576" s="10"/>
      <c r="U2576" s="10" t="s">
        <v>19390</v>
      </c>
      <c r="V2576" s="10" t="s">
        <v>14635</v>
      </c>
      <c r="W2576" s="10" t="s">
        <v>17876</v>
      </c>
      <c r="X2576" s="10" t="s">
        <v>130</v>
      </c>
      <c r="Y2576" s="10" t="s">
        <v>130</v>
      </c>
      <c r="Z2576" s="10" t="s">
        <v>99</v>
      </c>
      <c r="AA2576" s="10" t="s">
        <v>131</v>
      </c>
      <c r="AB2576" s="10" t="s">
        <v>17877</v>
      </c>
      <c r="AC2576" s="10" t="s">
        <v>7885</v>
      </c>
      <c r="AD2576" s="10" t="s">
        <v>19391</v>
      </c>
      <c r="AE2576" s="10" t="s">
        <v>19392</v>
      </c>
      <c r="AF2576" s="15"/>
      <c r="AG2576" s="10"/>
      <c r="AH2576" s="10"/>
      <c r="AI2576" s="10"/>
      <c r="AJ2576" s="10"/>
      <c r="AK2576" s="10" t="s">
        <v>102</v>
      </c>
      <c r="AL2576" s="10"/>
      <c r="AM2576" s="10"/>
      <c r="AN2576" s="10"/>
      <c r="AO2576" s="13" t="b">
        <v>0</v>
      </c>
      <c r="AP2576" s="22" t="s">
        <v>104</v>
      </c>
      <c r="AQ2576" s="10">
        <f ca="1">IFERROR(__xludf.DUMMYFUNCTION("""COMPUTED_VALUE"""),4759885)</f>
        <v>4759885</v>
      </c>
      <c r="AR2576" s="17">
        <v>590</v>
      </c>
      <c r="AS2576" s="17">
        <v>516</v>
      </c>
      <c r="AT2576" s="17">
        <v>1858</v>
      </c>
      <c r="AU2576" s="17">
        <v>0.6</v>
      </c>
      <c r="AV2576" s="17">
        <v>0.6</v>
      </c>
      <c r="AW2576" s="10" t="s">
        <v>105</v>
      </c>
      <c r="AX2576" s="17">
        <v>63</v>
      </c>
      <c r="AY2576" s="18">
        <v>3.6007751937984498</v>
      </c>
      <c r="AZ2576" s="10" t="s">
        <v>168</v>
      </c>
      <c r="BA2576" s="20" t="b">
        <v>0</v>
      </c>
      <c r="BB2576" s="10"/>
      <c r="BC2576" s="17">
        <v>590</v>
      </c>
      <c r="BD2576" s="17">
        <v>516</v>
      </c>
      <c r="BE2576" s="17">
        <v>1858</v>
      </c>
      <c r="BF2576" s="17">
        <v>0.6</v>
      </c>
      <c r="BG2576" s="11">
        <f ca="1">IFERROR(__xludf.DUMMYFUNCTION("""COMPUTED_VALUE"""),45998.1041666666)</f>
        <v>45998.104166666599</v>
      </c>
      <c r="BH2576" s="17" t="s">
        <v>105</v>
      </c>
      <c r="BI2576" s="17"/>
      <c r="BJ2576" s="15"/>
      <c r="BK2576" s="15"/>
      <c r="BL2576" s="13" t="b">
        <v>0</v>
      </c>
      <c r="BM2576" s="10"/>
      <c r="BN2576" s="10" t="s">
        <v>278</v>
      </c>
      <c r="BO2576" s="11">
        <v>45968.944444444445</v>
      </c>
      <c r="BP2576" s="11">
        <v>45968.944814814815</v>
      </c>
      <c r="BQ2576" s="15">
        <v>45993.453194444446</v>
      </c>
      <c r="BR2576" s="15">
        <v>45994.482731481483</v>
      </c>
      <c r="BS2576" s="10" t="s">
        <v>278</v>
      </c>
      <c r="BT2576" s="10"/>
      <c r="BU2576" s="10"/>
      <c r="BV2576" s="10"/>
      <c r="BW2576" s="10"/>
      <c r="BX2576" s="10"/>
      <c r="BY2576" s="23"/>
      <c r="BZ2576" s="23"/>
      <c r="CA2576" s="19" t="s">
        <v>19393</v>
      </c>
      <c r="CB2576" s="23"/>
      <c r="CC2576" s="23"/>
      <c r="CD2576" s="23"/>
      <c r="CE2576" s="23"/>
      <c r="CF2576" s="23"/>
      <c r="CG2576" s="23"/>
      <c r="CH2576" s="23"/>
      <c r="CI2576" s="23"/>
    </row>
    <row r="2577" spans="1:87" x14ac:dyDescent="0.3">
      <c r="A2577" s="9" t="s">
        <v>19394</v>
      </c>
      <c r="B2577" s="10" t="s">
        <v>19395</v>
      </c>
      <c r="C2577" s="11">
        <v>45998.8125</v>
      </c>
      <c r="D2577" s="12">
        <v>8.3333333333333329E-2</v>
      </c>
      <c r="E2577" s="11">
        <v>45998.895833333336</v>
      </c>
      <c r="F2577" s="10" t="s">
        <v>17870</v>
      </c>
      <c r="G2577" s="13" t="b">
        <v>0</v>
      </c>
      <c r="H2577" s="22" t="s">
        <v>17871</v>
      </c>
      <c r="I2577" s="10" t="s">
        <v>3213</v>
      </c>
      <c r="J2577" s="13" t="b">
        <v>0</v>
      </c>
      <c r="K2577" s="13" t="b">
        <v>1</v>
      </c>
      <c r="L2577" s="10" t="s">
        <v>124</v>
      </c>
      <c r="M2577" s="10" t="s">
        <v>91</v>
      </c>
      <c r="N2577" s="10" t="s">
        <v>265</v>
      </c>
      <c r="O2577" s="19" t="s">
        <v>19396</v>
      </c>
      <c r="P2577" s="10"/>
      <c r="Q2577" s="10" t="s">
        <v>94</v>
      </c>
      <c r="R2577" s="10"/>
      <c r="S2577" s="19" t="s">
        <v>19397</v>
      </c>
      <c r="T2577" s="10"/>
      <c r="U2577" s="10" t="s">
        <v>19398</v>
      </c>
      <c r="V2577" s="10" t="s">
        <v>19399</v>
      </c>
      <c r="W2577" s="10" t="s">
        <v>17876</v>
      </c>
      <c r="X2577" s="10" t="s">
        <v>130</v>
      </c>
      <c r="Y2577" s="10" t="s">
        <v>130</v>
      </c>
      <c r="Z2577" s="10" t="s">
        <v>99</v>
      </c>
      <c r="AA2577" s="10" t="s">
        <v>131</v>
      </c>
      <c r="AB2577" s="10" t="s">
        <v>17877</v>
      </c>
      <c r="AC2577" s="10" t="s">
        <v>7885</v>
      </c>
      <c r="AD2577" s="10" t="s">
        <v>19400</v>
      </c>
      <c r="AE2577" s="10" t="s">
        <v>19401</v>
      </c>
      <c r="AF2577" s="15"/>
      <c r="AG2577" s="10"/>
      <c r="AH2577" s="10"/>
      <c r="AI2577" s="10"/>
      <c r="AJ2577" s="10"/>
      <c r="AK2577" s="10" t="s">
        <v>102</v>
      </c>
      <c r="AL2577" s="10"/>
      <c r="AM2577" s="10"/>
      <c r="AN2577" s="10"/>
      <c r="AO2577" s="13" t="b">
        <v>0</v>
      </c>
      <c r="AP2577" s="22" t="s">
        <v>104</v>
      </c>
      <c r="AQ2577" s="10">
        <f ca="1">IFERROR(__xludf.DUMMYFUNCTION("""COMPUTED_VALUE"""),4759886)</f>
        <v>4759886</v>
      </c>
      <c r="AR2577" s="17">
        <v>5249</v>
      </c>
      <c r="AS2577" s="17">
        <v>4741</v>
      </c>
      <c r="AT2577" s="17">
        <v>22014.75</v>
      </c>
      <c r="AU2577" s="17">
        <v>3.75</v>
      </c>
      <c r="AV2577" s="17">
        <v>1.3</v>
      </c>
      <c r="AW2577" s="10" t="s">
        <v>105</v>
      </c>
      <c r="AX2577" s="17">
        <v>378</v>
      </c>
      <c r="AY2577" s="18">
        <v>4.6434823876819236</v>
      </c>
      <c r="AZ2577" s="10" t="s">
        <v>168</v>
      </c>
      <c r="BA2577" s="20" t="b">
        <v>0</v>
      </c>
      <c r="BB2577" s="10"/>
      <c r="BC2577" s="17">
        <v>5249</v>
      </c>
      <c r="BD2577" s="17">
        <v>4741</v>
      </c>
      <c r="BE2577" s="17">
        <v>22014.75</v>
      </c>
      <c r="BF2577" s="17">
        <v>1.3</v>
      </c>
      <c r="BG2577" s="11">
        <f ca="1">IFERROR(__xludf.DUMMYFUNCTION("""COMPUTED_VALUE"""),45998.8125)</f>
        <v>45998.8125</v>
      </c>
      <c r="BH2577" s="17" t="s">
        <v>105</v>
      </c>
      <c r="BI2577" s="17"/>
      <c r="BJ2577" s="15"/>
      <c r="BK2577" s="15"/>
      <c r="BL2577" s="13" t="b">
        <v>0</v>
      </c>
      <c r="BM2577" s="10"/>
      <c r="BN2577" s="10" t="s">
        <v>137</v>
      </c>
      <c r="BO2577" s="11">
        <v>45968.945138888892</v>
      </c>
      <c r="BP2577" s="11">
        <v>45968.945219907408</v>
      </c>
      <c r="BQ2577" s="15">
        <v>45993.453379629631</v>
      </c>
      <c r="BR2577" s="15">
        <v>45994.605439814812</v>
      </c>
      <c r="BS2577" s="10" t="s">
        <v>137</v>
      </c>
      <c r="BT2577" s="10"/>
      <c r="BU2577" s="10"/>
      <c r="BV2577" s="10"/>
      <c r="BW2577" s="10"/>
      <c r="BX2577" s="10"/>
      <c r="BY2577" s="23"/>
      <c r="BZ2577" s="23"/>
      <c r="CA2577" s="19" t="s">
        <v>19402</v>
      </c>
      <c r="CB2577" s="23"/>
      <c r="CC2577" s="23"/>
      <c r="CD2577" s="23"/>
      <c r="CE2577" s="23"/>
      <c r="CF2577" s="23"/>
      <c r="CG2577" s="23"/>
      <c r="CH2577" s="23"/>
      <c r="CI2577" s="23"/>
    </row>
    <row r="2578" spans="1:87" x14ac:dyDescent="0.3">
      <c r="A2578" s="9" t="s">
        <v>19403</v>
      </c>
      <c r="B2578" s="10" t="s">
        <v>19404</v>
      </c>
      <c r="C2578" s="11">
        <v>45998.895833333336</v>
      </c>
      <c r="D2578" s="12">
        <v>8.3333333333333329E-2</v>
      </c>
      <c r="E2578" s="11">
        <v>45998.979166666664</v>
      </c>
      <c r="F2578" s="10" t="s">
        <v>17870</v>
      </c>
      <c r="G2578" s="13" t="b">
        <v>0</v>
      </c>
      <c r="H2578" s="22" t="s">
        <v>17871</v>
      </c>
      <c r="I2578" s="10" t="s">
        <v>3213</v>
      </c>
      <c r="J2578" s="13" t="b">
        <v>0</v>
      </c>
      <c r="K2578" s="13" t="b">
        <v>1</v>
      </c>
      <c r="L2578" s="10" t="s">
        <v>124</v>
      </c>
      <c r="M2578" s="10" t="s">
        <v>91</v>
      </c>
      <c r="N2578" s="10" t="s">
        <v>265</v>
      </c>
      <c r="O2578" s="19" t="s">
        <v>19405</v>
      </c>
      <c r="P2578" s="10"/>
      <c r="Q2578" s="10" t="s">
        <v>94</v>
      </c>
      <c r="R2578" s="10"/>
      <c r="S2578" s="19" t="s">
        <v>19406</v>
      </c>
      <c r="T2578" s="10"/>
      <c r="U2578" s="10" t="s">
        <v>19407</v>
      </c>
      <c r="V2578" s="10" t="s">
        <v>19408</v>
      </c>
      <c r="W2578" s="10" t="s">
        <v>17876</v>
      </c>
      <c r="X2578" s="10" t="s">
        <v>130</v>
      </c>
      <c r="Y2578" s="10" t="s">
        <v>130</v>
      </c>
      <c r="Z2578" s="10" t="s">
        <v>99</v>
      </c>
      <c r="AA2578" s="10" t="s">
        <v>131</v>
      </c>
      <c r="AB2578" s="10" t="s">
        <v>17877</v>
      </c>
      <c r="AC2578" s="10" t="s">
        <v>7885</v>
      </c>
      <c r="AD2578" s="10" t="s">
        <v>19409</v>
      </c>
      <c r="AE2578" s="10" t="s">
        <v>19410</v>
      </c>
      <c r="AF2578" s="15"/>
      <c r="AG2578" s="10"/>
      <c r="AH2578" s="10"/>
      <c r="AI2578" s="10"/>
      <c r="AJ2578" s="10"/>
      <c r="AK2578" s="10" t="s">
        <v>102</v>
      </c>
      <c r="AL2578" s="10"/>
      <c r="AM2578" s="10"/>
      <c r="AN2578" s="10"/>
      <c r="AO2578" s="13" t="b">
        <v>0</v>
      </c>
      <c r="AP2578" s="22" t="s">
        <v>104</v>
      </c>
      <c r="AQ2578" s="10">
        <f ca="1">IFERROR(__xludf.DUMMYFUNCTION("""COMPUTED_VALUE"""),4760163)</f>
        <v>4760163</v>
      </c>
      <c r="AR2578" s="17">
        <v>1213</v>
      </c>
      <c r="AS2578" s="17">
        <v>1113</v>
      </c>
      <c r="AT2578" s="17">
        <v>3895.25</v>
      </c>
      <c r="AU2578" s="17">
        <v>0.75</v>
      </c>
      <c r="AV2578" s="17">
        <v>0</v>
      </c>
      <c r="AW2578" s="10" t="s">
        <v>105</v>
      </c>
      <c r="AX2578" s="17">
        <v>126</v>
      </c>
      <c r="AY2578" s="18">
        <v>3.4997753818508537</v>
      </c>
      <c r="AZ2578" s="10" t="s">
        <v>168</v>
      </c>
      <c r="BA2578" s="20" t="b">
        <v>0</v>
      </c>
      <c r="BB2578" s="10"/>
      <c r="BC2578" s="17">
        <v>1213</v>
      </c>
      <c r="BD2578" s="17">
        <v>1113</v>
      </c>
      <c r="BE2578" s="17">
        <v>3895.25</v>
      </c>
      <c r="BF2578" s="17">
        <v>0</v>
      </c>
      <c r="BG2578" s="11">
        <f ca="1">IFERROR(__xludf.DUMMYFUNCTION("""COMPUTED_VALUE"""),45998.8958333333)</f>
        <v>45998.895833333299</v>
      </c>
      <c r="BH2578" s="17" t="s">
        <v>105</v>
      </c>
      <c r="BI2578" s="17"/>
      <c r="BJ2578" s="15"/>
      <c r="BK2578" s="15"/>
      <c r="BL2578" s="13" t="b">
        <v>0</v>
      </c>
      <c r="BM2578" s="10"/>
      <c r="BN2578" s="10" t="s">
        <v>137</v>
      </c>
      <c r="BO2578" s="11">
        <v>45968.945138888892</v>
      </c>
      <c r="BP2578" s="11">
        <v>45968.945636574077</v>
      </c>
      <c r="BQ2578" s="15">
        <v>45993.453576388885</v>
      </c>
      <c r="BR2578" s="15">
        <v>45994.605196759258</v>
      </c>
      <c r="BS2578" s="10" t="s">
        <v>137</v>
      </c>
      <c r="BT2578" s="10"/>
      <c r="BU2578" s="10"/>
      <c r="BV2578" s="10"/>
      <c r="BW2578" s="10"/>
      <c r="BX2578" s="10"/>
      <c r="BY2578" s="23"/>
      <c r="BZ2578" s="23"/>
      <c r="CA2578" s="19" t="s">
        <v>19411</v>
      </c>
      <c r="CB2578" s="23"/>
      <c r="CC2578" s="23"/>
      <c r="CD2578" s="23"/>
      <c r="CE2578" s="23"/>
      <c r="CF2578" s="23"/>
      <c r="CG2578" s="23"/>
      <c r="CH2578" s="23"/>
      <c r="CI2578" s="23"/>
    </row>
    <row r="2579" spans="1:87" x14ac:dyDescent="0.3">
      <c r="A2579" s="9" t="s">
        <v>19412</v>
      </c>
      <c r="B2579" s="10" t="s">
        <v>19413</v>
      </c>
      <c r="C2579" s="11">
        <v>45998.9375</v>
      </c>
      <c r="D2579" s="12">
        <v>8.3333333333333329E-2</v>
      </c>
      <c r="E2579" s="11">
        <v>45999.020833333336</v>
      </c>
      <c r="F2579" s="10" t="s">
        <v>17870</v>
      </c>
      <c r="G2579" s="13" t="b">
        <v>0</v>
      </c>
      <c r="H2579" s="22" t="s">
        <v>17871</v>
      </c>
      <c r="I2579" s="10" t="s">
        <v>3213</v>
      </c>
      <c r="J2579" s="13" t="b">
        <v>0</v>
      </c>
      <c r="K2579" s="13" t="b">
        <v>1</v>
      </c>
      <c r="L2579" s="10" t="s">
        <v>124</v>
      </c>
      <c r="M2579" s="10" t="s">
        <v>91</v>
      </c>
      <c r="N2579" s="10" t="s">
        <v>265</v>
      </c>
      <c r="O2579" s="19" t="s">
        <v>19414</v>
      </c>
      <c r="P2579" s="10"/>
      <c r="Q2579" s="10" t="s">
        <v>94</v>
      </c>
      <c r="R2579" s="10"/>
      <c r="S2579" s="19" t="s">
        <v>19415</v>
      </c>
      <c r="T2579" s="10"/>
      <c r="U2579" s="10" t="s">
        <v>19416</v>
      </c>
      <c r="V2579" s="10" t="s">
        <v>17913</v>
      </c>
      <c r="W2579" s="10" t="s">
        <v>17876</v>
      </c>
      <c r="X2579" s="10" t="s">
        <v>130</v>
      </c>
      <c r="Y2579" s="10" t="s">
        <v>130</v>
      </c>
      <c r="Z2579" s="10" t="s">
        <v>99</v>
      </c>
      <c r="AA2579" s="10" t="s">
        <v>131</v>
      </c>
      <c r="AB2579" s="10" t="s">
        <v>17877</v>
      </c>
      <c r="AC2579" s="10" t="s">
        <v>7885</v>
      </c>
      <c r="AD2579" s="10" t="s">
        <v>19417</v>
      </c>
      <c r="AE2579" s="10" t="s">
        <v>19418</v>
      </c>
      <c r="AF2579" s="15"/>
      <c r="AG2579" s="10"/>
      <c r="AH2579" s="10"/>
      <c r="AI2579" s="10"/>
      <c r="AJ2579" s="10"/>
      <c r="AK2579" s="10" t="s">
        <v>102</v>
      </c>
      <c r="AL2579" s="10"/>
      <c r="AM2579" s="10"/>
      <c r="AN2579" s="10"/>
      <c r="AO2579" s="13" t="b">
        <v>0</v>
      </c>
      <c r="AP2579" s="22" t="s">
        <v>104</v>
      </c>
      <c r="AQ2579" s="10">
        <f ca="1">IFERROR(__xludf.DUMMYFUNCTION("""COMPUTED_VALUE"""),4760164)</f>
        <v>4760164</v>
      </c>
      <c r="AR2579" s="17">
        <v>1194</v>
      </c>
      <c r="AS2579" s="17">
        <v>1126</v>
      </c>
      <c r="AT2579" s="17">
        <v>2987.5</v>
      </c>
      <c r="AU2579" s="17">
        <v>0.1</v>
      </c>
      <c r="AV2579" s="17">
        <v>0</v>
      </c>
      <c r="AW2579" s="10" t="s">
        <v>105</v>
      </c>
      <c r="AX2579" s="17">
        <v>193</v>
      </c>
      <c r="AY2579" s="18">
        <v>2.6531971580817051</v>
      </c>
      <c r="AZ2579" s="10" t="s">
        <v>168</v>
      </c>
      <c r="BA2579" s="20" t="b">
        <v>0</v>
      </c>
      <c r="BB2579" s="10"/>
      <c r="BC2579" s="17">
        <v>1194</v>
      </c>
      <c r="BD2579" s="17">
        <v>1126</v>
      </c>
      <c r="BE2579" s="17">
        <v>2987.5</v>
      </c>
      <c r="BF2579" s="17">
        <v>0</v>
      </c>
      <c r="BG2579" s="11">
        <f ca="1">IFERROR(__xludf.DUMMYFUNCTION("""COMPUTED_VALUE"""),45998.9375)</f>
        <v>45998.9375</v>
      </c>
      <c r="BH2579" s="17" t="s">
        <v>105</v>
      </c>
      <c r="BI2579" s="17"/>
      <c r="BJ2579" s="15"/>
      <c r="BK2579" s="15"/>
      <c r="BL2579" s="13" t="b">
        <v>0</v>
      </c>
      <c r="BM2579" s="10"/>
      <c r="BN2579" s="10" t="s">
        <v>168</v>
      </c>
      <c r="BO2579" s="11">
        <v>45968.946527777778</v>
      </c>
      <c r="BP2579" s="11">
        <v>45968.94667824074</v>
      </c>
      <c r="BQ2579" s="15">
        <v>45993.454675925925</v>
      </c>
      <c r="BR2579" s="15">
        <v>45994.605081018519</v>
      </c>
      <c r="BS2579" s="10"/>
      <c r="BT2579" s="10"/>
      <c r="BU2579" s="10"/>
      <c r="BV2579" s="10"/>
      <c r="BW2579" s="10"/>
      <c r="BX2579" s="10"/>
      <c r="BY2579" s="23"/>
      <c r="BZ2579" s="23"/>
      <c r="CA2579" s="19" t="s">
        <v>19419</v>
      </c>
      <c r="CB2579" s="23"/>
      <c r="CC2579" s="23"/>
      <c r="CD2579" s="23"/>
      <c r="CE2579" s="23"/>
      <c r="CF2579" s="23"/>
      <c r="CG2579" s="23"/>
      <c r="CH2579" s="23"/>
      <c r="CI2579" s="23"/>
    </row>
    <row r="2580" spans="1:87" x14ac:dyDescent="0.3">
      <c r="A2580" s="9" t="s">
        <v>19420</v>
      </c>
      <c r="B2580" s="10" t="s">
        <v>19421</v>
      </c>
      <c r="C2580" s="11">
        <v>45999.020833333336</v>
      </c>
      <c r="D2580" s="12">
        <v>8.3333333333333329E-2</v>
      </c>
      <c r="E2580" s="11">
        <v>45999.104166666664</v>
      </c>
      <c r="F2580" s="10" t="s">
        <v>17870</v>
      </c>
      <c r="G2580" s="13" t="b">
        <v>0</v>
      </c>
      <c r="H2580" s="22" t="s">
        <v>17871</v>
      </c>
      <c r="I2580" s="10" t="s">
        <v>3213</v>
      </c>
      <c r="J2580" s="13" t="b">
        <v>0</v>
      </c>
      <c r="K2580" s="13" t="b">
        <v>1</v>
      </c>
      <c r="L2580" s="10" t="s">
        <v>124</v>
      </c>
      <c r="M2580" s="10" t="s">
        <v>91</v>
      </c>
      <c r="N2580" s="10" t="s">
        <v>265</v>
      </c>
      <c r="O2580" s="19" t="s">
        <v>19422</v>
      </c>
      <c r="P2580" s="10"/>
      <c r="Q2580" s="10" t="s">
        <v>94</v>
      </c>
      <c r="R2580" s="10"/>
      <c r="S2580" s="19" t="s">
        <v>19423</v>
      </c>
      <c r="T2580" s="10"/>
      <c r="U2580" s="10" t="s">
        <v>19424</v>
      </c>
      <c r="V2580" s="10" t="s">
        <v>19425</v>
      </c>
      <c r="W2580" s="10" t="s">
        <v>17876</v>
      </c>
      <c r="X2580" s="10" t="s">
        <v>130</v>
      </c>
      <c r="Y2580" s="10" t="s">
        <v>130</v>
      </c>
      <c r="Z2580" s="10" t="s">
        <v>99</v>
      </c>
      <c r="AA2580" s="10" t="s">
        <v>131</v>
      </c>
      <c r="AB2580" s="10" t="s">
        <v>17877</v>
      </c>
      <c r="AC2580" s="10" t="s">
        <v>7885</v>
      </c>
      <c r="AD2580" s="10" t="s">
        <v>19426</v>
      </c>
      <c r="AE2580" s="10" t="s">
        <v>19427</v>
      </c>
      <c r="AF2580" s="15"/>
      <c r="AG2580" s="10"/>
      <c r="AH2580" s="10"/>
      <c r="AI2580" s="10"/>
      <c r="AJ2580" s="10"/>
      <c r="AK2580" s="10" t="s">
        <v>102</v>
      </c>
      <c r="AL2580" s="10"/>
      <c r="AM2580" s="10"/>
      <c r="AN2580" s="10"/>
      <c r="AO2580" s="13" t="b">
        <v>0</v>
      </c>
      <c r="AP2580" s="22" t="s">
        <v>104</v>
      </c>
      <c r="AQ2580" s="10">
        <f ca="1">IFERROR(__xludf.DUMMYFUNCTION("""COMPUTED_VALUE"""),4768731)</f>
        <v>4768731</v>
      </c>
      <c r="AR2580" s="17">
        <v>1035</v>
      </c>
      <c r="AS2580" s="17">
        <v>970</v>
      </c>
      <c r="AT2580" s="17">
        <v>6383.5</v>
      </c>
      <c r="AU2580" s="17">
        <v>0.5</v>
      </c>
      <c r="AV2580" s="17">
        <v>0</v>
      </c>
      <c r="AW2580" s="10" t="s">
        <v>105</v>
      </c>
      <c r="AX2580" s="17">
        <v>149</v>
      </c>
      <c r="AY2580" s="18">
        <v>6.5809278350515461</v>
      </c>
      <c r="AZ2580" s="10" t="s">
        <v>168</v>
      </c>
      <c r="BA2580" s="20" t="b">
        <v>0</v>
      </c>
      <c r="BB2580" s="10"/>
      <c r="BC2580" s="17">
        <v>1035</v>
      </c>
      <c r="BD2580" s="17">
        <v>970</v>
      </c>
      <c r="BE2580" s="17">
        <v>6383.5</v>
      </c>
      <c r="BF2580" s="17">
        <v>0</v>
      </c>
      <c r="BG2580" s="11">
        <f ca="1">IFERROR(__xludf.DUMMYFUNCTION("""COMPUTED_VALUE"""),45999.0208333333)</f>
        <v>45999.020833333299</v>
      </c>
      <c r="BH2580" s="17" t="s">
        <v>105</v>
      </c>
      <c r="BI2580" s="17"/>
      <c r="BJ2580" s="15"/>
      <c r="BK2580" s="15"/>
      <c r="BL2580" s="13" t="b">
        <v>0</v>
      </c>
      <c r="BM2580" s="10"/>
      <c r="BN2580" s="10" t="s">
        <v>157</v>
      </c>
      <c r="BO2580" s="11">
        <v>45968.946527777778</v>
      </c>
      <c r="BP2580" s="11">
        <v>45968.947094907409</v>
      </c>
      <c r="BQ2580" s="15">
        <v>45996.728912037041</v>
      </c>
      <c r="BR2580" s="15">
        <v>45997.323287037034</v>
      </c>
      <c r="BS2580" s="10" t="s">
        <v>157</v>
      </c>
      <c r="BT2580" s="10"/>
      <c r="BU2580" s="10"/>
      <c r="BV2580" s="10"/>
      <c r="BW2580" s="10"/>
      <c r="BX2580" s="10"/>
      <c r="BY2580" s="23"/>
      <c r="BZ2580" s="23"/>
      <c r="CA2580" s="19" t="s">
        <v>19428</v>
      </c>
      <c r="CB2580" s="23"/>
      <c r="CC2580" s="23"/>
      <c r="CD2580" s="23"/>
      <c r="CE2580" s="23"/>
      <c r="CF2580" s="23"/>
      <c r="CG2580" s="23"/>
      <c r="CH2580" s="23"/>
      <c r="CI2580" s="23"/>
    </row>
    <row r="2581" spans="1:87" x14ac:dyDescent="0.3">
      <c r="A2581" s="9" t="s">
        <v>19429</v>
      </c>
      <c r="B2581" s="10" t="s">
        <v>19430</v>
      </c>
      <c r="C2581" s="11">
        <v>46000.104166666664</v>
      </c>
      <c r="D2581" s="12">
        <v>8.3333333333333329E-2</v>
      </c>
      <c r="E2581" s="11">
        <v>46000.1875</v>
      </c>
      <c r="F2581" s="10" t="s">
        <v>17870</v>
      </c>
      <c r="G2581" s="13" t="b">
        <v>0</v>
      </c>
      <c r="H2581" s="22" t="s">
        <v>17871</v>
      </c>
      <c r="I2581" s="10" t="s">
        <v>3213</v>
      </c>
      <c r="J2581" s="13" t="b">
        <v>0</v>
      </c>
      <c r="K2581" s="13" t="b">
        <v>1</v>
      </c>
      <c r="L2581" s="10" t="s">
        <v>124</v>
      </c>
      <c r="M2581" s="10" t="s">
        <v>91</v>
      </c>
      <c r="N2581" s="10" t="s">
        <v>265</v>
      </c>
      <c r="O2581" s="19" t="s">
        <v>19431</v>
      </c>
      <c r="P2581" s="10"/>
      <c r="Q2581" s="10" t="s">
        <v>94</v>
      </c>
      <c r="R2581" s="10"/>
      <c r="S2581" s="19" t="s">
        <v>19432</v>
      </c>
      <c r="T2581" s="10"/>
      <c r="U2581" s="10" t="s">
        <v>17894</v>
      </c>
      <c r="V2581" s="10" t="s">
        <v>19433</v>
      </c>
      <c r="W2581" s="10" t="s">
        <v>17876</v>
      </c>
      <c r="X2581" s="10" t="s">
        <v>130</v>
      </c>
      <c r="Y2581" s="10" t="s">
        <v>130</v>
      </c>
      <c r="Z2581" s="10" t="s">
        <v>99</v>
      </c>
      <c r="AA2581" s="10" t="s">
        <v>131</v>
      </c>
      <c r="AB2581" s="10" t="s">
        <v>17877</v>
      </c>
      <c r="AC2581" s="10" t="s">
        <v>7885</v>
      </c>
      <c r="AD2581" s="10" t="s">
        <v>19434</v>
      </c>
      <c r="AE2581" s="10" t="s">
        <v>19435</v>
      </c>
      <c r="AF2581" s="15"/>
      <c r="AG2581" s="10"/>
      <c r="AH2581" s="10"/>
      <c r="AI2581" s="10"/>
      <c r="AJ2581" s="10"/>
      <c r="AK2581" s="10" t="s">
        <v>102</v>
      </c>
      <c r="AL2581" s="10"/>
      <c r="AM2581" s="10"/>
      <c r="AN2581" s="10"/>
      <c r="AO2581" s="13" t="b">
        <v>0</v>
      </c>
      <c r="AP2581" s="22" t="s">
        <v>104</v>
      </c>
      <c r="AQ2581" s="10">
        <f ca="1">IFERROR(__xludf.DUMMYFUNCTION("""COMPUTED_VALUE"""),4768737)</f>
        <v>4768737</v>
      </c>
      <c r="AR2581" s="17">
        <v>1079</v>
      </c>
      <c r="AS2581" s="17">
        <v>980</v>
      </c>
      <c r="AT2581" s="17">
        <v>4359</v>
      </c>
      <c r="AU2581" s="17">
        <v>1.25</v>
      </c>
      <c r="AV2581" s="17">
        <v>1</v>
      </c>
      <c r="AW2581" s="10" t="s">
        <v>105</v>
      </c>
      <c r="AX2581" s="17">
        <v>154</v>
      </c>
      <c r="AY2581" s="18">
        <v>4.4479591836734693</v>
      </c>
      <c r="AZ2581" s="10" t="s">
        <v>168</v>
      </c>
      <c r="BA2581" s="20" t="b">
        <v>0</v>
      </c>
      <c r="BB2581" s="10"/>
      <c r="BC2581" s="17">
        <v>1079</v>
      </c>
      <c r="BD2581" s="17">
        <v>980</v>
      </c>
      <c r="BE2581" s="17">
        <v>4359</v>
      </c>
      <c r="BF2581" s="17">
        <v>1</v>
      </c>
      <c r="BG2581" s="11">
        <f ca="1">IFERROR(__xludf.DUMMYFUNCTION("""COMPUTED_VALUE"""),46000.1041666666)</f>
        <v>46000.104166666599</v>
      </c>
      <c r="BH2581" s="17" t="s">
        <v>105</v>
      </c>
      <c r="BI2581" s="17"/>
      <c r="BJ2581" s="15"/>
      <c r="BK2581" s="15"/>
      <c r="BL2581" s="13" t="b">
        <v>0</v>
      </c>
      <c r="BM2581" s="10"/>
      <c r="BN2581" s="10" t="s">
        <v>157</v>
      </c>
      <c r="BO2581" s="11">
        <v>45968.947222222225</v>
      </c>
      <c r="BP2581" s="11">
        <v>45968.947500000002</v>
      </c>
      <c r="BQ2581" s="15">
        <v>45993.455208333333</v>
      </c>
      <c r="BR2581" s="15">
        <v>45997.33556712963</v>
      </c>
      <c r="BS2581" s="10" t="s">
        <v>157</v>
      </c>
      <c r="BT2581" s="10"/>
      <c r="BU2581" s="10"/>
      <c r="BV2581" s="10"/>
      <c r="BW2581" s="10"/>
      <c r="BX2581" s="10"/>
      <c r="BY2581" s="23"/>
      <c r="BZ2581" s="23"/>
      <c r="CA2581" s="19" t="s">
        <v>19436</v>
      </c>
      <c r="CB2581" s="23"/>
      <c r="CC2581" s="23"/>
      <c r="CD2581" s="23"/>
      <c r="CE2581" s="23"/>
      <c r="CF2581" s="23"/>
      <c r="CG2581" s="23"/>
      <c r="CH2581" s="23"/>
      <c r="CI2581" s="23"/>
    </row>
    <row r="2582" spans="1:87" x14ac:dyDescent="0.3">
      <c r="A2582" s="9" t="s">
        <v>19437</v>
      </c>
      <c r="B2582" s="10" t="s">
        <v>19438</v>
      </c>
      <c r="C2582" s="11">
        <v>45983.791666666664</v>
      </c>
      <c r="D2582" s="12">
        <v>0.14583333333333334</v>
      </c>
      <c r="E2582" s="11">
        <v>45983.9375</v>
      </c>
      <c r="F2582" s="10" t="s">
        <v>8402</v>
      </c>
      <c r="G2582" s="13" t="b">
        <v>0</v>
      </c>
      <c r="H2582" s="22" t="s">
        <v>8403</v>
      </c>
      <c r="I2582" s="10" t="s">
        <v>212</v>
      </c>
      <c r="J2582" s="13" t="b">
        <v>1</v>
      </c>
      <c r="K2582" s="13" t="b">
        <v>0</v>
      </c>
      <c r="L2582" s="10" t="s">
        <v>124</v>
      </c>
      <c r="M2582" s="10" t="s">
        <v>91</v>
      </c>
      <c r="N2582" s="10" t="s">
        <v>92</v>
      </c>
      <c r="O2582" s="19" t="s">
        <v>19439</v>
      </c>
      <c r="P2582" s="10"/>
      <c r="Q2582" s="10" t="s">
        <v>126</v>
      </c>
      <c r="R2582" s="19" t="s">
        <v>19440</v>
      </c>
      <c r="S2582" s="19" t="s">
        <v>19441</v>
      </c>
      <c r="T2582" s="10"/>
      <c r="U2582" s="10"/>
      <c r="V2582" s="10"/>
      <c r="W2582" s="10" t="s">
        <v>8407</v>
      </c>
      <c r="X2582" s="10" t="s">
        <v>8408</v>
      </c>
      <c r="Y2582" s="10" t="s">
        <v>8409</v>
      </c>
      <c r="Z2582" s="10" t="s">
        <v>99</v>
      </c>
      <c r="AA2582" s="10" t="s">
        <v>100</v>
      </c>
      <c r="AB2582" s="10" t="s">
        <v>8410</v>
      </c>
      <c r="AC2582" s="10"/>
      <c r="AD2582" s="10" t="s">
        <v>165</v>
      </c>
      <c r="AE2582" s="10" t="s">
        <v>19442</v>
      </c>
      <c r="AF2582" s="15"/>
      <c r="AG2582" s="10"/>
      <c r="AH2582" s="10"/>
      <c r="AI2582" s="10"/>
      <c r="AJ2582" s="10"/>
      <c r="AK2582" s="10" t="s">
        <v>102</v>
      </c>
      <c r="AL2582" s="10"/>
      <c r="AM2582" s="10"/>
      <c r="AN2582" s="10"/>
      <c r="AO2582" s="13" t="b">
        <v>0</v>
      </c>
      <c r="AP2582" s="22"/>
      <c r="AQ2582" s="10">
        <f ca="1">IFERROR(__xludf.DUMMYFUNCTION("""COMPUTED_VALUE"""),4724852)</f>
        <v>4724852</v>
      </c>
      <c r="AR2582" s="17">
        <v>1109</v>
      </c>
      <c r="AS2582" s="17">
        <v>866</v>
      </c>
      <c r="AT2582" s="17">
        <v>1.75</v>
      </c>
      <c r="AU2582" s="17">
        <v>0</v>
      </c>
      <c r="AV2582" s="17">
        <v>0</v>
      </c>
      <c r="AW2582" s="10" t="s">
        <v>105</v>
      </c>
      <c r="AX2582" s="17">
        <v>81</v>
      </c>
      <c r="AY2582" s="18">
        <v>2.0207852193995382E-3</v>
      </c>
      <c r="AZ2582" s="10" t="s">
        <v>3783</v>
      </c>
      <c r="BA2582" s="20" t="b">
        <v>0</v>
      </c>
      <c r="BB2582" s="10"/>
      <c r="BC2582" s="17">
        <v>1109</v>
      </c>
      <c r="BD2582" s="17">
        <v>866</v>
      </c>
      <c r="BE2582" s="17">
        <v>1.75</v>
      </c>
      <c r="BF2582" s="17">
        <v>0</v>
      </c>
      <c r="BG2582" s="11">
        <f ca="1">IFERROR(__xludf.DUMMYFUNCTION("""COMPUTED_VALUE"""),45983.7916666666)</f>
        <v>45983.791666666599</v>
      </c>
      <c r="BH2582" s="17" t="s">
        <v>105</v>
      </c>
      <c r="BI2582" s="17"/>
      <c r="BJ2582" s="15"/>
      <c r="BK2582" s="15"/>
      <c r="BL2582" s="13" t="b">
        <v>0</v>
      </c>
      <c r="BM2582" s="10"/>
      <c r="BN2582" s="10" t="s">
        <v>4030</v>
      </c>
      <c r="BO2582" s="11">
        <v>45972.5625</v>
      </c>
      <c r="BP2582" s="11">
        <v>45977.516168981485</v>
      </c>
      <c r="BQ2582" s="15">
        <v>45980.603101851855</v>
      </c>
      <c r="BR2582" s="15">
        <v>45980.874918981484</v>
      </c>
      <c r="BS2582" s="10" t="s">
        <v>4030</v>
      </c>
      <c r="BT2582" s="10"/>
      <c r="BU2582" s="10"/>
      <c r="BV2582" s="10"/>
      <c r="BW2582" s="10"/>
      <c r="BX2582" s="10"/>
      <c r="BY2582" s="23"/>
      <c r="BZ2582" s="23"/>
      <c r="CA2582" s="19" t="s">
        <v>19443</v>
      </c>
      <c r="CB2582" s="23"/>
      <c r="CC2582" s="23"/>
      <c r="CD2582" s="19" t="s">
        <v>19444</v>
      </c>
      <c r="CE2582" s="23"/>
      <c r="CF2582" s="23"/>
      <c r="CG2582" s="23"/>
      <c r="CH2582" s="23"/>
      <c r="CI2582" s="23"/>
    </row>
    <row r="2583" spans="1:87" x14ac:dyDescent="0.3">
      <c r="A2583" s="9" t="s">
        <v>19445</v>
      </c>
      <c r="B2583" s="10" t="s">
        <v>19446</v>
      </c>
      <c r="C2583" s="11">
        <v>46038.645833333336</v>
      </c>
      <c r="D2583" s="12">
        <v>8.3333333333333329E-2</v>
      </c>
      <c r="E2583" s="11">
        <v>46038.729166666664</v>
      </c>
      <c r="F2583" s="10" t="s">
        <v>14786</v>
      </c>
      <c r="G2583" s="13" t="b">
        <v>0</v>
      </c>
      <c r="H2583" s="22" t="s">
        <v>14787</v>
      </c>
      <c r="I2583" s="10" t="s">
        <v>212</v>
      </c>
      <c r="J2583" s="13" t="b">
        <v>1</v>
      </c>
      <c r="K2583" s="13" t="b">
        <v>0</v>
      </c>
      <c r="L2583" s="10" t="s">
        <v>124</v>
      </c>
      <c r="M2583" s="10" t="s">
        <v>91</v>
      </c>
      <c r="N2583" s="10" t="s">
        <v>3513</v>
      </c>
      <c r="O2583" s="10"/>
      <c r="P2583" s="10"/>
      <c r="Q2583" s="10" t="s">
        <v>126</v>
      </c>
      <c r="R2583" s="10"/>
      <c r="S2583" s="10"/>
      <c r="T2583" s="10"/>
      <c r="U2583" s="10" t="s">
        <v>14792</v>
      </c>
      <c r="V2583" s="10" t="s">
        <v>14805</v>
      </c>
      <c r="W2583" s="10" t="s">
        <v>14793</v>
      </c>
      <c r="X2583" s="10" t="s">
        <v>130</v>
      </c>
      <c r="Y2583" s="10" t="s">
        <v>130</v>
      </c>
      <c r="Z2583" s="10" t="s">
        <v>99</v>
      </c>
      <c r="AA2583" s="10" t="s">
        <v>131</v>
      </c>
      <c r="AB2583" s="10" t="s">
        <v>14794</v>
      </c>
      <c r="AC2583" s="10" t="s">
        <v>3521</v>
      </c>
      <c r="AD2583" s="10" t="s">
        <v>19447</v>
      </c>
      <c r="AE2583" s="10" t="s">
        <v>19448</v>
      </c>
      <c r="AF2583" s="15"/>
      <c r="AG2583" s="10"/>
      <c r="AH2583" s="10"/>
      <c r="AI2583" s="10"/>
      <c r="AJ2583" s="10"/>
      <c r="AK2583" s="10"/>
      <c r="AL2583" s="10" t="s">
        <v>1876</v>
      </c>
      <c r="AM2583" s="10"/>
      <c r="AN2583" s="10"/>
      <c r="AO2583" s="13" t="b">
        <v>0</v>
      </c>
      <c r="AP2583" s="22" t="s">
        <v>104</v>
      </c>
      <c r="AQ2583" s="10"/>
      <c r="AR2583" s="17"/>
      <c r="AS2583" s="17"/>
      <c r="AT2583" s="17"/>
      <c r="AU2583" s="17"/>
      <c r="AV2583" s="17"/>
      <c r="AW2583" s="10"/>
      <c r="AX2583" s="17"/>
      <c r="AY2583" s="18" t="s">
        <v>257</v>
      </c>
      <c r="AZ2583" s="10"/>
      <c r="BA2583" s="20" t="b">
        <v>0</v>
      </c>
      <c r="BB2583" s="10"/>
      <c r="BC2583" s="17" t="s">
        <v>257</v>
      </c>
      <c r="BD2583" s="17" t="s">
        <v>257</v>
      </c>
      <c r="BE2583" s="17" t="s">
        <v>257</v>
      </c>
      <c r="BF2583" s="17" t="s">
        <v>257</v>
      </c>
      <c r="BG2583" s="11">
        <f ca="1">IFERROR(__xludf.DUMMYFUNCTION("""COMPUTED_VALUE"""),46038.6458333333)</f>
        <v>46038.645833333299</v>
      </c>
      <c r="BH2583" s="17"/>
      <c r="BI2583" s="17"/>
      <c r="BJ2583" s="15"/>
      <c r="BK2583" s="15"/>
      <c r="BL2583" s="13" t="b">
        <v>0</v>
      </c>
      <c r="BM2583" s="10"/>
      <c r="BN2583" s="10" t="s">
        <v>18577</v>
      </c>
      <c r="BO2583" s="11">
        <v>45972.620833333334</v>
      </c>
      <c r="BP2583" s="11">
        <v>45972.62122685185</v>
      </c>
      <c r="BQ2583" s="15"/>
      <c r="BR2583" s="15"/>
      <c r="BS2583" s="10"/>
      <c r="BT2583" s="10" t="s">
        <v>99</v>
      </c>
      <c r="BU2583" s="10"/>
      <c r="BV2583" s="10"/>
      <c r="BW2583" s="10"/>
      <c r="BX2583" s="10"/>
      <c r="BY2583" s="23"/>
      <c r="BZ2583" s="23"/>
      <c r="CA2583" s="23"/>
      <c r="CB2583" s="23"/>
      <c r="CC2583" s="23"/>
      <c r="CD2583" s="23"/>
      <c r="CE2583" s="23"/>
      <c r="CF2583" s="23"/>
      <c r="CG2583" s="23"/>
      <c r="CH2583" s="23"/>
      <c r="CI2583" s="23"/>
    </row>
    <row r="2584" spans="1:87" x14ac:dyDescent="0.3">
      <c r="A2584" s="9" t="s">
        <v>19449</v>
      </c>
      <c r="B2584" s="10" t="s">
        <v>19450</v>
      </c>
      <c r="C2584" s="11">
        <v>46025.645833333336</v>
      </c>
      <c r="D2584" s="12">
        <v>8.3333333333333329E-2</v>
      </c>
      <c r="E2584" s="11">
        <v>46025.729166666664</v>
      </c>
      <c r="F2584" s="10" t="s">
        <v>14786</v>
      </c>
      <c r="G2584" s="13" t="b">
        <v>0</v>
      </c>
      <c r="H2584" s="22" t="s">
        <v>14787</v>
      </c>
      <c r="I2584" s="10" t="s">
        <v>3548</v>
      </c>
      <c r="J2584" s="13" t="b">
        <v>0</v>
      </c>
      <c r="K2584" s="13" t="b">
        <v>1</v>
      </c>
      <c r="L2584" s="10" t="s">
        <v>124</v>
      </c>
      <c r="M2584" s="10" t="s">
        <v>91</v>
      </c>
      <c r="N2584" s="10" t="s">
        <v>92</v>
      </c>
      <c r="O2584" s="19" t="s">
        <v>19451</v>
      </c>
      <c r="P2584" s="10"/>
      <c r="Q2584" s="10" t="s">
        <v>126</v>
      </c>
      <c r="R2584" s="10"/>
      <c r="S2584" s="19" t="s">
        <v>19452</v>
      </c>
      <c r="T2584" s="10"/>
      <c r="U2584" s="10" t="s">
        <v>14791</v>
      </c>
      <c r="V2584" s="10" t="s">
        <v>14892</v>
      </c>
      <c r="W2584" s="10" t="s">
        <v>14793</v>
      </c>
      <c r="X2584" s="10" t="s">
        <v>130</v>
      </c>
      <c r="Y2584" s="10" t="s">
        <v>130</v>
      </c>
      <c r="Z2584" s="10" t="s">
        <v>99</v>
      </c>
      <c r="AA2584" s="10" t="s">
        <v>131</v>
      </c>
      <c r="AB2584" s="10" t="s">
        <v>14794</v>
      </c>
      <c r="AC2584" s="10" t="s">
        <v>3521</v>
      </c>
      <c r="AD2584" s="10" t="s">
        <v>19453</v>
      </c>
      <c r="AE2584" s="10" t="s">
        <v>19454</v>
      </c>
      <c r="AF2584" s="15"/>
      <c r="AG2584" s="10"/>
      <c r="AH2584" s="10"/>
      <c r="AI2584" s="10"/>
      <c r="AJ2584" s="10"/>
      <c r="AK2584" s="10" t="s">
        <v>102</v>
      </c>
      <c r="AL2584" s="10" t="s">
        <v>1671</v>
      </c>
      <c r="AM2584" s="10"/>
      <c r="AN2584" s="10"/>
      <c r="AO2584" s="13" t="b">
        <v>0</v>
      </c>
      <c r="AP2584" s="22" t="s">
        <v>104</v>
      </c>
      <c r="AQ2584" s="10">
        <f ca="1">IFERROR(__xludf.DUMMYFUNCTION("""COMPUTED_VALUE"""),4803416)</f>
        <v>4803416</v>
      </c>
      <c r="AR2584" s="17">
        <v>23857</v>
      </c>
      <c r="AS2584" s="17">
        <v>14356</v>
      </c>
      <c r="AT2584" s="17">
        <v>263271</v>
      </c>
      <c r="AU2584" s="17">
        <v>256.5</v>
      </c>
      <c r="AV2584" s="17">
        <v>109.85</v>
      </c>
      <c r="AW2584" s="10" t="s">
        <v>105</v>
      </c>
      <c r="AX2584" s="17">
        <v>3551</v>
      </c>
      <c r="AY2584" s="18">
        <v>18.338743382557816</v>
      </c>
      <c r="AZ2584" s="10" t="s">
        <v>2099</v>
      </c>
      <c r="BA2584" s="20" t="b">
        <v>0</v>
      </c>
      <c r="BB2584" s="10"/>
      <c r="BC2584" s="17">
        <v>23857</v>
      </c>
      <c r="BD2584" s="17">
        <v>14356</v>
      </c>
      <c r="BE2584" s="17">
        <v>263271</v>
      </c>
      <c r="BF2584" s="17">
        <v>109.85</v>
      </c>
      <c r="BG2584" s="11">
        <f ca="1">IFERROR(__xludf.DUMMYFUNCTION("""COMPUTED_VALUE"""),46025.6458333333)</f>
        <v>46025.645833333299</v>
      </c>
      <c r="BH2584" s="17" t="s">
        <v>105</v>
      </c>
      <c r="BI2584" s="17"/>
      <c r="BJ2584" s="15"/>
      <c r="BK2584" s="15"/>
      <c r="BL2584" s="13" t="b">
        <v>0</v>
      </c>
      <c r="BM2584" s="10"/>
      <c r="BN2584" s="10" t="s">
        <v>19455</v>
      </c>
      <c r="BO2584" s="11">
        <v>45972.620833333334</v>
      </c>
      <c r="BP2584" s="11">
        <v>45972.62090277778</v>
      </c>
      <c r="BQ2584" s="15">
        <v>46015.637824074074</v>
      </c>
      <c r="BR2584" s="15">
        <v>46021.444756944446</v>
      </c>
      <c r="BS2584" s="10" t="s">
        <v>19455</v>
      </c>
      <c r="BT2584" s="10" t="s">
        <v>99</v>
      </c>
      <c r="BU2584" s="10" t="s">
        <v>498</v>
      </c>
      <c r="BV2584" s="10"/>
      <c r="BW2584" s="10"/>
      <c r="BX2584" s="10"/>
      <c r="BY2584" s="23"/>
      <c r="BZ2584" s="23"/>
      <c r="CA2584" s="19" t="s">
        <v>19456</v>
      </c>
      <c r="CB2584" s="19" t="s">
        <v>19457</v>
      </c>
      <c r="CC2584" s="23"/>
      <c r="CD2584" s="19" t="s">
        <v>19458</v>
      </c>
      <c r="CE2584" s="23"/>
      <c r="CF2584" s="23"/>
      <c r="CG2584" s="23"/>
      <c r="CH2584" s="23"/>
      <c r="CI2584" s="23"/>
    </row>
    <row r="2585" spans="1:87" x14ac:dyDescent="0.3">
      <c r="A2585" s="9" t="s">
        <v>19459</v>
      </c>
      <c r="B2585" s="10" t="s">
        <v>19460</v>
      </c>
      <c r="C2585" s="11">
        <v>46025.645833333336</v>
      </c>
      <c r="D2585" s="12">
        <v>8.3333333333333329E-2</v>
      </c>
      <c r="E2585" s="11">
        <v>46025.729166666664</v>
      </c>
      <c r="F2585" s="10" t="s">
        <v>14786</v>
      </c>
      <c r="G2585" s="13" t="b">
        <v>0</v>
      </c>
      <c r="H2585" s="22" t="s">
        <v>14787</v>
      </c>
      <c r="I2585" s="10" t="s">
        <v>212</v>
      </c>
      <c r="J2585" s="13" t="b">
        <v>1</v>
      </c>
      <c r="K2585" s="13" t="b">
        <v>0</v>
      </c>
      <c r="L2585" s="10" t="s">
        <v>124</v>
      </c>
      <c r="M2585" s="10" t="s">
        <v>91</v>
      </c>
      <c r="N2585" s="10" t="s">
        <v>92</v>
      </c>
      <c r="O2585" s="19" t="s">
        <v>19461</v>
      </c>
      <c r="P2585" s="10"/>
      <c r="Q2585" s="10" t="s">
        <v>126</v>
      </c>
      <c r="R2585" s="10"/>
      <c r="S2585" s="19" t="s">
        <v>19462</v>
      </c>
      <c r="T2585" s="10"/>
      <c r="U2585" s="10" t="s">
        <v>14881</v>
      </c>
      <c r="V2585" s="10" t="s">
        <v>14804</v>
      </c>
      <c r="W2585" s="10" t="s">
        <v>14793</v>
      </c>
      <c r="X2585" s="10" t="s">
        <v>130</v>
      </c>
      <c r="Y2585" s="10" t="s">
        <v>130</v>
      </c>
      <c r="Z2585" s="10" t="s">
        <v>99</v>
      </c>
      <c r="AA2585" s="10" t="s">
        <v>131</v>
      </c>
      <c r="AB2585" s="10" t="s">
        <v>14794</v>
      </c>
      <c r="AC2585" s="10" t="s">
        <v>3521</v>
      </c>
      <c r="AD2585" s="10" t="s">
        <v>19463</v>
      </c>
      <c r="AE2585" s="10" t="s">
        <v>19464</v>
      </c>
      <c r="AF2585" s="15"/>
      <c r="AG2585" s="10"/>
      <c r="AH2585" s="10"/>
      <c r="AI2585" s="10"/>
      <c r="AJ2585" s="10"/>
      <c r="AK2585" s="10" t="s">
        <v>102</v>
      </c>
      <c r="AL2585" s="10" t="s">
        <v>1671</v>
      </c>
      <c r="AM2585" s="10"/>
      <c r="AN2585" s="10"/>
      <c r="AO2585" s="13" t="b">
        <v>0</v>
      </c>
      <c r="AP2585" s="22" t="s">
        <v>104</v>
      </c>
      <c r="AQ2585" s="10">
        <f ca="1">IFERROR(__xludf.DUMMYFUNCTION("""COMPUTED_VALUE"""),4803418)</f>
        <v>4803418</v>
      </c>
      <c r="AR2585" s="17">
        <v>27259</v>
      </c>
      <c r="AS2585" s="17">
        <v>13659</v>
      </c>
      <c r="AT2585" s="17">
        <v>328406.5</v>
      </c>
      <c r="AU2585" s="17">
        <v>62.35</v>
      </c>
      <c r="AV2585" s="17">
        <v>21.55</v>
      </c>
      <c r="AW2585" s="10" t="s">
        <v>105</v>
      </c>
      <c r="AX2585" s="17">
        <v>4636</v>
      </c>
      <c r="AY2585" s="18">
        <v>24.04323156892891</v>
      </c>
      <c r="AZ2585" s="10" t="s">
        <v>136</v>
      </c>
      <c r="BA2585" s="20" t="b">
        <v>0</v>
      </c>
      <c r="BB2585" s="10"/>
      <c r="BC2585" s="17">
        <v>27259</v>
      </c>
      <c r="BD2585" s="17">
        <v>13659</v>
      </c>
      <c r="BE2585" s="17">
        <v>328406.5</v>
      </c>
      <c r="BF2585" s="17">
        <v>21.55</v>
      </c>
      <c r="BG2585" s="11">
        <f ca="1">IFERROR(__xludf.DUMMYFUNCTION("""COMPUTED_VALUE"""),46025.6458333333)</f>
        <v>46025.645833333299</v>
      </c>
      <c r="BH2585" s="17" t="s">
        <v>105</v>
      </c>
      <c r="BI2585" s="17"/>
      <c r="BJ2585" s="15"/>
      <c r="BK2585" s="15"/>
      <c r="BL2585" s="13" t="b">
        <v>0</v>
      </c>
      <c r="BM2585" s="10"/>
      <c r="BN2585" s="10" t="s">
        <v>19455</v>
      </c>
      <c r="BO2585" s="11">
        <v>45972.62222222222</v>
      </c>
      <c r="BP2585" s="11">
        <v>45972.622361111113</v>
      </c>
      <c r="BQ2585" s="15">
        <v>46019.783321759256</v>
      </c>
      <c r="BR2585" s="15">
        <v>46021.444872685184</v>
      </c>
      <c r="BS2585" s="10" t="s">
        <v>19455</v>
      </c>
      <c r="BT2585" s="10" t="s">
        <v>99</v>
      </c>
      <c r="BU2585" s="10" t="s">
        <v>816</v>
      </c>
      <c r="BV2585" s="10"/>
      <c r="BW2585" s="10"/>
      <c r="BX2585" s="10"/>
      <c r="BY2585" s="23"/>
      <c r="BZ2585" s="23"/>
      <c r="CA2585" s="19" t="s">
        <v>19465</v>
      </c>
      <c r="CB2585" s="19" t="s">
        <v>19466</v>
      </c>
      <c r="CC2585" s="23"/>
      <c r="CD2585" s="19" t="s">
        <v>19467</v>
      </c>
      <c r="CE2585" s="23"/>
      <c r="CF2585" s="23"/>
      <c r="CG2585" s="23"/>
      <c r="CH2585" s="23"/>
      <c r="CI2585" s="23"/>
    </row>
    <row r="2586" spans="1:87" x14ac:dyDescent="0.3">
      <c r="A2586" s="9" t="s">
        <v>19468</v>
      </c>
      <c r="B2586" s="10" t="s">
        <v>19469</v>
      </c>
      <c r="C2586" s="11">
        <v>46038.791666666664</v>
      </c>
      <c r="D2586" s="12">
        <v>8.3333333333333329E-2</v>
      </c>
      <c r="E2586" s="11">
        <v>46038.875</v>
      </c>
      <c r="F2586" s="10" t="s">
        <v>14786</v>
      </c>
      <c r="G2586" s="13" t="b">
        <v>0</v>
      </c>
      <c r="H2586" s="22" t="s">
        <v>14787</v>
      </c>
      <c r="I2586" s="10" t="s">
        <v>212</v>
      </c>
      <c r="J2586" s="13" t="b">
        <v>1</v>
      </c>
      <c r="K2586" s="13" t="b">
        <v>0</v>
      </c>
      <c r="L2586" s="10" t="s">
        <v>124</v>
      </c>
      <c r="M2586" s="10" t="s">
        <v>91</v>
      </c>
      <c r="N2586" s="10" t="s">
        <v>3513</v>
      </c>
      <c r="O2586" s="10"/>
      <c r="P2586" s="10"/>
      <c r="Q2586" s="10" t="s">
        <v>126</v>
      </c>
      <c r="R2586" s="10"/>
      <c r="S2586" s="10"/>
      <c r="T2586" s="10"/>
      <c r="U2586" s="10" t="s">
        <v>14791</v>
      </c>
      <c r="V2586" s="10" t="s">
        <v>14815</v>
      </c>
      <c r="W2586" s="10" t="s">
        <v>14793</v>
      </c>
      <c r="X2586" s="10" t="s">
        <v>130</v>
      </c>
      <c r="Y2586" s="10" t="s">
        <v>130</v>
      </c>
      <c r="Z2586" s="10" t="s">
        <v>99</v>
      </c>
      <c r="AA2586" s="10" t="s">
        <v>131</v>
      </c>
      <c r="AB2586" s="10" t="s">
        <v>14794</v>
      </c>
      <c r="AC2586" s="10" t="s">
        <v>3521</v>
      </c>
      <c r="AD2586" s="10" t="s">
        <v>19470</v>
      </c>
      <c r="AE2586" s="10" t="s">
        <v>19471</v>
      </c>
      <c r="AF2586" s="15"/>
      <c r="AG2586" s="10"/>
      <c r="AH2586" s="10"/>
      <c r="AI2586" s="10"/>
      <c r="AJ2586" s="10"/>
      <c r="AK2586" s="10"/>
      <c r="AL2586" s="10" t="s">
        <v>1876</v>
      </c>
      <c r="AM2586" s="10"/>
      <c r="AN2586" s="10"/>
      <c r="AO2586" s="13" t="b">
        <v>0</v>
      </c>
      <c r="AP2586" s="22" t="s">
        <v>104</v>
      </c>
      <c r="AQ2586" s="10"/>
      <c r="AR2586" s="17"/>
      <c r="AS2586" s="17"/>
      <c r="AT2586" s="17"/>
      <c r="AU2586" s="17"/>
      <c r="AV2586" s="17"/>
      <c r="AW2586" s="10"/>
      <c r="AX2586" s="17"/>
      <c r="AY2586" s="18" t="s">
        <v>257</v>
      </c>
      <c r="AZ2586" s="10"/>
      <c r="BA2586" s="20" t="b">
        <v>0</v>
      </c>
      <c r="BB2586" s="10"/>
      <c r="BC2586" s="17" t="s">
        <v>257</v>
      </c>
      <c r="BD2586" s="17" t="s">
        <v>257</v>
      </c>
      <c r="BE2586" s="17" t="s">
        <v>257</v>
      </c>
      <c r="BF2586" s="17" t="s">
        <v>257</v>
      </c>
      <c r="BG2586" s="11">
        <f ca="1">IFERROR(__xludf.DUMMYFUNCTION("""COMPUTED_VALUE"""),46038.7916666666)</f>
        <v>46038.791666666599</v>
      </c>
      <c r="BH2586" s="17"/>
      <c r="BI2586" s="17"/>
      <c r="BJ2586" s="15"/>
      <c r="BK2586" s="15"/>
      <c r="BL2586" s="13" t="b">
        <v>0</v>
      </c>
      <c r="BM2586" s="10"/>
      <c r="BN2586" s="10" t="s">
        <v>18577</v>
      </c>
      <c r="BO2586" s="11">
        <v>45972.621527777781</v>
      </c>
      <c r="BP2586" s="11">
        <v>45972.62226851852</v>
      </c>
      <c r="BQ2586" s="15"/>
      <c r="BR2586" s="15"/>
      <c r="BS2586" s="10"/>
      <c r="BT2586" s="10" t="s">
        <v>99</v>
      </c>
      <c r="BU2586" s="10"/>
      <c r="BV2586" s="10"/>
      <c r="BW2586" s="10"/>
      <c r="BX2586" s="10"/>
      <c r="BY2586" s="23"/>
      <c r="BZ2586" s="23"/>
      <c r="CA2586" s="23"/>
      <c r="CB2586" s="23"/>
      <c r="CC2586" s="23"/>
      <c r="CD2586" s="23"/>
      <c r="CE2586" s="23"/>
      <c r="CF2586" s="23"/>
      <c r="CG2586" s="23"/>
      <c r="CH2586" s="23"/>
      <c r="CI2586" s="23"/>
    </row>
    <row r="2587" spans="1:87" x14ac:dyDescent="0.3">
      <c r="A2587" s="9" t="s">
        <v>19472</v>
      </c>
      <c r="B2587" s="10" t="s">
        <v>19473</v>
      </c>
      <c r="C2587" s="11">
        <v>46025.791666666664</v>
      </c>
      <c r="D2587" s="12">
        <v>8.3333333333333329E-2</v>
      </c>
      <c r="E2587" s="11">
        <v>46025.875</v>
      </c>
      <c r="F2587" s="10" t="s">
        <v>14786</v>
      </c>
      <c r="G2587" s="13" t="b">
        <v>0</v>
      </c>
      <c r="H2587" s="22" t="s">
        <v>14787</v>
      </c>
      <c r="I2587" s="10" t="s">
        <v>3548</v>
      </c>
      <c r="J2587" s="13" t="b">
        <v>0</v>
      </c>
      <c r="K2587" s="13" t="b">
        <v>1</v>
      </c>
      <c r="L2587" s="10" t="s">
        <v>124</v>
      </c>
      <c r="M2587" s="10" t="s">
        <v>91</v>
      </c>
      <c r="N2587" s="10" t="s">
        <v>92</v>
      </c>
      <c r="O2587" s="19" t="s">
        <v>19474</v>
      </c>
      <c r="P2587" s="10"/>
      <c r="Q2587" s="10" t="s">
        <v>126</v>
      </c>
      <c r="R2587" s="10"/>
      <c r="S2587" s="19" t="s">
        <v>19475</v>
      </c>
      <c r="T2587" s="10"/>
      <c r="U2587" s="10" t="s">
        <v>14826</v>
      </c>
      <c r="V2587" s="10" t="s">
        <v>14870</v>
      </c>
      <c r="W2587" s="10" t="s">
        <v>14793</v>
      </c>
      <c r="X2587" s="10" t="s">
        <v>130</v>
      </c>
      <c r="Y2587" s="10" t="s">
        <v>130</v>
      </c>
      <c r="Z2587" s="10" t="s">
        <v>99</v>
      </c>
      <c r="AA2587" s="10" t="s">
        <v>131</v>
      </c>
      <c r="AB2587" s="10" t="s">
        <v>14794</v>
      </c>
      <c r="AC2587" s="10" t="s">
        <v>3521</v>
      </c>
      <c r="AD2587" s="10" t="s">
        <v>19476</v>
      </c>
      <c r="AE2587" s="10" t="s">
        <v>19477</v>
      </c>
      <c r="AF2587" s="15"/>
      <c r="AG2587" s="10"/>
      <c r="AH2587" s="10"/>
      <c r="AI2587" s="10"/>
      <c r="AJ2587" s="10"/>
      <c r="AK2587" s="10" t="s">
        <v>102</v>
      </c>
      <c r="AL2587" s="10" t="s">
        <v>1671</v>
      </c>
      <c r="AM2587" s="10"/>
      <c r="AN2587" s="10"/>
      <c r="AO2587" s="13" t="b">
        <v>0</v>
      </c>
      <c r="AP2587" s="22" t="s">
        <v>104</v>
      </c>
      <c r="AQ2587" s="10">
        <f ca="1">IFERROR(__xludf.DUMMYFUNCTION("""COMPUTED_VALUE"""),4824948)</f>
        <v>4824948</v>
      </c>
      <c r="AR2587" s="17">
        <v>40318</v>
      </c>
      <c r="AS2587" s="17">
        <v>25883</v>
      </c>
      <c r="AT2587" s="17">
        <v>437414</v>
      </c>
      <c r="AU2587" s="17">
        <v>542.75</v>
      </c>
      <c r="AV2587" s="17">
        <v>297.89999999999998</v>
      </c>
      <c r="AW2587" s="10" t="s">
        <v>105</v>
      </c>
      <c r="AX2587" s="17">
        <v>7273</v>
      </c>
      <c r="AY2587" s="18">
        <v>16.899663872039561</v>
      </c>
      <c r="AZ2587" s="10" t="s">
        <v>136</v>
      </c>
      <c r="BA2587" s="20" t="b">
        <v>0</v>
      </c>
      <c r="BB2587" s="10"/>
      <c r="BC2587" s="17">
        <v>40318</v>
      </c>
      <c r="BD2587" s="17">
        <v>25883</v>
      </c>
      <c r="BE2587" s="17">
        <v>437414</v>
      </c>
      <c r="BF2587" s="17">
        <v>297.89999999999998</v>
      </c>
      <c r="BG2587" s="11">
        <f ca="1">IFERROR(__xludf.DUMMYFUNCTION("""COMPUTED_VALUE"""),46025.7916666666)</f>
        <v>46025.791666666599</v>
      </c>
      <c r="BH2587" s="17" t="s">
        <v>105</v>
      </c>
      <c r="BI2587" s="17"/>
      <c r="BJ2587" s="15"/>
      <c r="BK2587" s="15"/>
      <c r="BL2587" s="13" t="b">
        <v>0</v>
      </c>
      <c r="BM2587" s="10"/>
      <c r="BN2587" s="10" t="s">
        <v>1057</v>
      </c>
      <c r="BO2587" s="11">
        <v>45972.622916666667</v>
      </c>
      <c r="BP2587" s="11">
        <v>45972.623090277775</v>
      </c>
      <c r="BQ2587" s="15">
        <v>46019.783831018518</v>
      </c>
      <c r="BR2587" s="15">
        <v>46023.087858796294</v>
      </c>
      <c r="BS2587" s="10"/>
      <c r="BT2587" s="10" t="s">
        <v>279</v>
      </c>
      <c r="BU2587" s="10" t="s">
        <v>655</v>
      </c>
      <c r="BV2587" s="10"/>
      <c r="BW2587" s="10"/>
      <c r="BX2587" s="10"/>
      <c r="BY2587" s="23"/>
      <c r="BZ2587" s="23"/>
      <c r="CA2587" s="19" t="s">
        <v>19478</v>
      </c>
      <c r="CB2587" s="19" t="s">
        <v>19479</v>
      </c>
      <c r="CC2587" s="23"/>
      <c r="CD2587" s="19" t="s">
        <v>19480</v>
      </c>
      <c r="CE2587" s="23"/>
      <c r="CF2587" s="23"/>
      <c r="CG2587" s="23"/>
      <c r="CH2587" s="23"/>
      <c r="CI2587" s="23"/>
    </row>
    <row r="2588" spans="1:87" x14ac:dyDescent="0.3">
      <c r="A2588" s="9" t="s">
        <v>19481</v>
      </c>
      <c r="B2588" s="10" t="s">
        <v>19482</v>
      </c>
      <c r="C2588" s="11">
        <v>46025.645833333336</v>
      </c>
      <c r="D2588" s="12">
        <v>8.3333333333333329E-2</v>
      </c>
      <c r="E2588" s="11">
        <v>46025.729166666664</v>
      </c>
      <c r="F2588" s="10" t="s">
        <v>14786</v>
      </c>
      <c r="G2588" s="13" t="b">
        <v>0</v>
      </c>
      <c r="H2588" s="22" t="s">
        <v>14787</v>
      </c>
      <c r="I2588" s="10" t="s">
        <v>212</v>
      </c>
      <c r="J2588" s="13" t="b">
        <v>1</v>
      </c>
      <c r="K2588" s="13" t="b">
        <v>0</v>
      </c>
      <c r="L2588" s="10" t="s">
        <v>124</v>
      </c>
      <c r="M2588" s="10" t="s">
        <v>91</v>
      </c>
      <c r="N2588" s="10" t="s">
        <v>92</v>
      </c>
      <c r="O2588" s="19" t="s">
        <v>19483</v>
      </c>
      <c r="P2588" s="10"/>
      <c r="Q2588" s="10" t="s">
        <v>126</v>
      </c>
      <c r="R2588" s="10"/>
      <c r="S2588" s="19" t="s">
        <v>19484</v>
      </c>
      <c r="T2588" s="10"/>
      <c r="U2588" s="10" t="s">
        <v>14805</v>
      </c>
      <c r="V2588" s="10" t="s">
        <v>14882</v>
      </c>
      <c r="W2588" s="10" t="s">
        <v>14793</v>
      </c>
      <c r="X2588" s="10" t="s">
        <v>130</v>
      </c>
      <c r="Y2588" s="10" t="s">
        <v>130</v>
      </c>
      <c r="Z2588" s="10" t="s">
        <v>99</v>
      </c>
      <c r="AA2588" s="10" t="s">
        <v>131</v>
      </c>
      <c r="AB2588" s="10" t="s">
        <v>14794</v>
      </c>
      <c r="AC2588" s="10" t="s">
        <v>3521</v>
      </c>
      <c r="AD2588" s="10" t="s">
        <v>19485</v>
      </c>
      <c r="AE2588" s="10" t="s">
        <v>19486</v>
      </c>
      <c r="AF2588" s="15"/>
      <c r="AG2588" s="10"/>
      <c r="AH2588" s="10"/>
      <c r="AI2588" s="10"/>
      <c r="AJ2588" s="10"/>
      <c r="AK2588" s="10" t="s">
        <v>102</v>
      </c>
      <c r="AL2588" s="10" t="s">
        <v>1671</v>
      </c>
      <c r="AM2588" s="10"/>
      <c r="AN2588" s="10"/>
      <c r="AO2588" s="13" t="b">
        <v>0</v>
      </c>
      <c r="AP2588" s="22" t="s">
        <v>104</v>
      </c>
      <c r="AQ2588" s="10">
        <f ca="1">IFERROR(__xludf.DUMMYFUNCTION("""COMPUTED_VALUE"""),4803423)</f>
        <v>4803423</v>
      </c>
      <c r="AR2588" s="17">
        <v>20288</v>
      </c>
      <c r="AS2588" s="17">
        <v>10783</v>
      </c>
      <c r="AT2588" s="17">
        <v>212497.5</v>
      </c>
      <c r="AU2588" s="17">
        <v>31.8</v>
      </c>
      <c r="AV2588" s="17">
        <v>12.5</v>
      </c>
      <c r="AW2588" s="10" t="s">
        <v>105</v>
      </c>
      <c r="AX2588" s="17">
        <v>3385</v>
      </c>
      <c r="AY2588" s="18">
        <v>19.70671427246592</v>
      </c>
      <c r="AZ2588" s="10" t="s">
        <v>2099</v>
      </c>
      <c r="BA2588" s="20" t="b">
        <v>0</v>
      </c>
      <c r="BB2588" s="10"/>
      <c r="BC2588" s="17">
        <v>20288</v>
      </c>
      <c r="BD2588" s="17">
        <v>10783</v>
      </c>
      <c r="BE2588" s="17">
        <v>212497.5</v>
      </c>
      <c r="BF2588" s="17">
        <v>12.5</v>
      </c>
      <c r="BG2588" s="11">
        <f ca="1">IFERROR(__xludf.DUMMYFUNCTION("""COMPUTED_VALUE"""),46025.6458333333)</f>
        <v>46025.645833333299</v>
      </c>
      <c r="BH2588" s="17" t="s">
        <v>105</v>
      </c>
      <c r="BI2588" s="17"/>
      <c r="BJ2588" s="15"/>
      <c r="BK2588" s="15"/>
      <c r="BL2588" s="13" t="b">
        <v>0</v>
      </c>
      <c r="BM2588" s="10"/>
      <c r="BN2588" s="10" t="s">
        <v>19455</v>
      </c>
      <c r="BO2588" s="11">
        <v>45972.624305555553</v>
      </c>
      <c r="BP2588" s="11">
        <v>46021.488541666666</v>
      </c>
      <c r="BQ2588" s="15">
        <v>46015.637245370373</v>
      </c>
      <c r="BR2588" s="15">
        <v>46021.454826388886</v>
      </c>
      <c r="BS2588" s="10" t="s">
        <v>19455</v>
      </c>
      <c r="BT2588" s="10" t="s">
        <v>99</v>
      </c>
      <c r="BU2588" s="10" t="s">
        <v>655</v>
      </c>
      <c r="BV2588" s="10"/>
      <c r="BW2588" s="10"/>
      <c r="BX2588" s="10"/>
      <c r="BY2588" s="23"/>
      <c r="BZ2588" s="23"/>
      <c r="CA2588" s="19" t="s">
        <v>19487</v>
      </c>
      <c r="CB2588" s="19" t="s">
        <v>19488</v>
      </c>
      <c r="CC2588" s="23"/>
      <c r="CD2588" s="19" t="s">
        <v>19489</v>
      </c>
      <c r="CE2588" s="23"/>
      <c r="CF2588" s="23"/>
      <c r="CG2588" s="23"/>
      <c r="CH2588" s="23"/>
      <c r="CI2588" s="23"/>
    </row>
    <row r="2589" spans="1:87" x14ac:dyDescent="0.3">
      <c r="A2589" s="9" t="s">
        <v>19490</v>
      </c>
      <c r="B2589" s="10" t="s">
        <v>19491</v>
      </c>
      <c r="C2589" s="11">
        <v>46039.645833333336</v>
      </c>
      <c r="D2589" s="12">
        <v>8.3333333333333329E-2</v>
      </c>
      <c r="E2589" s="11">
        <v>46039.729166666664</v>
      </c>
      <c r="F2589" s="10" t="s">
        <v>14786</v>
      </c>
      <c r="G2589" s="13" t="b">
        <v>0</v>
      </c>
      <c r="H2589" s="22" t="s">
        <v>14787</v>
      </c>
      <c r="I2589" s="10" t="s">
        <v>3548</v>
      </c>
      <c r="J2589" s="13" t="b">
        <v>0</v>
      </c>
      <c r="K2589" s="13" t="b">
        <v>1</v>
      </c>
      <c r="L2589" s="10" t="s">
        <v>124</v>
      </c>
      <c r="M2589" s="10" t="s">
        <v>91</v>
      </c>
      <c r="N2589" s="10" t="s">
        <v>3513</v>
      </c>
      <c r="O2589" s="10"/>
      <c r="P2589" s="10"/>
      <c r="Q2589" s="10" t="s">
        <v>126</v>
      </c>
      <c r="R2589" s="10"/>
      <c r="S2589" s="10"/>
      <c r="T2589" s="10"/>
      <c r="U2589" s="10" t="s">
        <v>14859</v>
      </c>
      <c r="V2589" s="10" t="s">
        <v>14871</v>
      </c>
      <c r="W2589" s="10" t="s">
        <v>14793</v>
      </c>
      <c r="X2589" s="10" t="s">
        <v>130</v>
      </c>
      <c r="Y2589" s="10" t="s">
        <v>130</v>
      </c>
      <c r="Z2589" s="10" t="s">
        <v>99</v>
      </c>
      <c r="AA2589" s="10" t="s">
        <v>131</v>
      </c>
      <c r="AB2589" s="10" t="s">
        <v>14794</v>
      </c>
      <c r="AC2589" s="10" t="s">
        <v>3521</v>
      </c>
      <c r="AD2589" s="10" t="s">
        <v>19492</v>
      </c>
      <c r="AE2589" s="10" t="s">
        <v>19493</v>
      </c>
      <c r="AF2589" s="15"/>
      <c r="AG2589" s="10"/>
      <c r="AH2589" s="10"/>
      <c r="AI2589" s="10"/>
      <c r="AJ2589" s="10"/>
      <c r="AK2589" s="10"/>
      <c r="AL2589" s="10" t="s">
        <v>1876</v>
      </c>
      <c r="AM2589" s="10"/>
      <c r="AN2589" s="10"/>
      <c r="AO2589" s="13" t="b">
        <v>1</v>
      </c>
      <c r="AP2589" s="22" t="s">
        <v>104</v>
      </c>
      <c r="AQ2589" s="10"/>
      <c r="AR2589" s="17"/>
      <c r="AS2589" s="17"/>
      <c r="AT2589" s="17"/>
      <c r="AU2589" s="17"/>
      <c r="AV2589" s="17"/>
      <c r="AW2589" s="10"/>
      <c r="AX2589" s="17"/>
      <c r="AY2589" s="18" t="s">
        <v>257</v>
      </c>
      <c r="AZ2589" s="10"/>
      <c r="BA2589" s="20" t="b">
        <v>0</v>
      </c>
      <c r="BB2589" s="10"/>
      <c r="BC2589" s="17" t="s">
        <v>257</v>
      </c>
      <c r="BD2589" s="17" t="s">
        <v>257</v>
      </c>
      <c r="BE2589" s="17" t="s">
        <v>257</v>
      </c>
      <c r="BF2589" s="17" t="s">
        <v>257</v>
      </c>
      <c r="BG2589" s="11">
        <f ca="1">IFERROR(__xludf.DUMMYFUNCTION("""COMPUTED_VALUE"""),46039.6458333333)</f>
        <v>46039.645833333299</v>
      </c>
      <c r="BH2589" s="17"/>
      <c r="BI2589" s="17"/>
      <c r="BJ2589" s="15"/>
      <c r="BK2589" s="15"/>
      <c r="BL2589" s="13" t="b">
        <v>0</v>
      </c>
      <c r="BM2589" s="10"/>
      <c r="BN2589" s="10" t="s">
        <v>18577</v>
      </c>
      <c r="BO2589" s="11">
        <v>45972.623611111114</v>
      </c>
      <c r="BP2589" s="11">
        <v>45972.624247685184</v>
      </c>
      <c r="BQ2589" s="15"/>
      <c r="BR2589" s="15"/>
      <c r="BS2589" s="10"/>
      <c r="BT2589" s="10" t="s">
        <v>99</v>
      </c>
      <c r="BU2589" s="10"/>
      <c r="BV2589" s="10"/>
      <c r="BW2589" s="10"/>
      <c r="BX2589" s="10"/>
      <c r="BY2589" s="23"/>
      <c r="BZ2589" s="23"/>
      <c r="CA2589" s="23"/>
      <c r="CB2589" s="23"/>
      <c r="CC2589" s="23"/>
      <c r="CD2589" s="23"/>
      <c r="CE2589" s="23"/>
      <c r="CF2589" s="23"/>
      <c r="CG2589" s="23"/>
      <c r="CH2589" s="23"/>
      <c r="CI2589" s="23"/>
    </row>
    <row r="2590" spans="1:87" x14ac:dyDescent="0.3">
      <c r="A2590" s="9" t="s">
        <v>19494</v>
      </c>
      <c r="B2590" s="10" t="s">
        <v>19495</v>
      </c>
      <c r="C2590" s="11">
        <v>46032.645833333336</v>
      </c>
      <c r="D2590" s="12">
        <v>8.3333333333333329E-2</v>
      </c>
      <c r="E2590" s="11">
        <v>46032.729166666664</v>
      </c>
      <c r="F2590" s="10" t="s">
        <v>14786</v>
      </c>
      <c r="G2590" s="13" t="b">
        <v>0</v>
      </c>
      <c r="H2590" s="22" t="s">
        <v>14787</v>
      </c>
      <c r="I2590" s="10" t="s">
        <v>212</v>
      </c>
      <c r="J2590" s="13" t="b">
        <v>1</v>
      </c>
      <c r="K2590" s="13" t="b">
        <v>0</v>
      </c>
      <c r="L2590" s="10" t="s">
        <v>124</v>
      </c>
      <c r="M2590" s="10" t="s">
        <v>91</v>
      </c>
      <c r="N2590" s="10" t="s">
        <v>92</v>
      </c>
      <c r="O2590" s="19" t="s">
        <v>19496</v>
      </c>
      <c r="P2590" s="10"/>
      <c r="Q2590" s="10" t="s">
        <v>126</v>
      </c>
      <c r="R2590" s="10"/>
      <c r="S2590" s="19" t="s">
        <v>19497</v>
      </c>
      <c r="T2590" s="10"/>
      <c r="U2590" s="10" t="s">
        <v>14805</v>
      </c>
      <c r="V2590" s="10" t="s">
        <v>14815</v>
      </c>
      <c r="W2590" s="10" t="s">
        <v>14793</v>
      </c>
      <c r="X2590" s="10" t="s">
        <v>130</v>
      </c>
      <c r="Y2590" s="10" t="s">
        <v>130</v>
      </c>
      <c r="Z2590" s="10" t="s">
        <v>99</v>
      </c>
      <c r="AA2590" s="10" t="s">
        <v>131</v>
      </c>
      <c r="AB2590" s="10" t="s">
        <v>14794</v>
      </c>
      <c r="AC2590" s="10" t="s">
        <v>3521</v>
      </c>
      <c r="AD2590" s="10" t="s">
        <v>19498</v>
      </c>
      <c r="AE2590" s="10" t="s">
        <v>19499</v>
      </c>
      <c r="AF2590" s="15"/>
      <c r="AG2590" s="10"/>
      <c r="AH2590" s="10"/>
      <c r="AI2590" s="10"/>
      <c r="AJ2590" s="10"/>
      <c r="AK2590" s="10" t="s">
        <v>102</v>
      </c>
      <c r="AL2590" s="10" t="s">
        <v>1773</v>
      </c>
      <c r="AM2590" s="10"/>
      <c r="AN2590" s="10"/>
      <c r="AO2590" s="13" t="b">
        <v>0</v>
      </c>
      <c r="AP2590" s="22" t="s">
        <v>104</v>
      </c>
      <c r="AQ2590" s="10">
        <f ca="1">IFERROR(__xludf.DUMMYFUNCTION("""COMPUTED_VALUE"""),4832278)</f>
        <v>4832278</v>
      </c>
      <c r="AR2590" s="17"/>
      <c r="AS2590" s="17"/>
      <c r="AT2590" s="17"/>
      <c r="AU2590" s="17"/>
      <c r="AV2590" s="17"/>
      <c r="AW2590" s="10"/>
      <c r="AX2590" s="17"/>
      <c r="AY2590" s="18" t="s">
        <v>257</v>
      </c>
      <c r="AZ2590" s="10" t="s">
        <v>2099</v>
      </c>
      <c r="BA2590" s="20" t="b">
        <v>0</v>
      </c>
      <c r="BB2590" s="10"/>
      <c r="BC2590" s="17" t="s">
        <v>257</v>
      </c>
      <c r="BD2590" s="17" t="s">
        <v>257</v>
      </c>
      <c r="BE2590" s="17" t="s">
        <v>257</v>
      </c>
      <c r="BF2590" s="17" t="s">
        <v>257</v>
      </c>
      <c r="BG2590" s="11">
        <f ca="1">IFERROR(__xludf.DUMMYFUNCTION("""COMPUTED_VALUE"""),46032.6458333333)</f>
        <v>46032.645833333299</v>
      </c>
      <c r="BH2590" s="17"/>
      <c r="BI2590" s="17"/>
      <c r="BJ2590" s="15"/>
      <c r="BK2590" s="15"/>
      <c r="BL2590" s="13" t="b">
        <v>0</v>
      </c>
      <c r="BM2590" s="10"/>
      <c r="BN2590" s="10" t="s">
        <v>149</v>
      </c>
      <c r="BO2590" s="11">
        <v>45972.624305555553</v>
      </c>
      <c r="BP2590" s="11">
        <v>45972.624675925923</v>
      </c>
      <c r="BQ2590" s="15">
        <v>46030.620104166665</v>
      </c>
      <c r="BR2590" s="15">
        <v>46029.454236111109</v>
      </c>
      <c r="BS2590" s="10" t="s">
        <v>149</v>
      </c>
      <c r="BT2590" s="10" t="s">
        <v>279</v>
      </c>
      <c r="BU2590" s="10" t="s">
        <v>816</v>
      </c>
      <c r="BV2590" s="10"/>
      <c r="BW2590" s="10"/>
      <c r="BX2590" s="10"/>
      <c r="BY2590" s="23"/>
      <c r="BZ2590" s="23"/>
      <c r="CA2590" s="19" t="s">
        <v>19500</v>
      </c>
      <c r="CB2590" s="19" t="s">
        <v>19501</v>
      </c>
      <c r="CC2590" s="23"/>
      <c r="CD2590" s="19" t="s">
        <v>19502</v>
      </c>
      <c r="CE2590" s="23"/>
      <c r="CF2590" s="23"/>
      <c r="CG2590" s="23"/>
      <c r="CH2590" s="23"/>
      <c r="CI2590" s="23"/>
    </row>
    <row r="2591" spans="1:87" x14ac:dyDescent="0.3">
      <c r="A2591" s="9" t="s">
        <v>19503</v>
      </c>
      <c r="B2591" s="10" t="s">
        <v>19504</v>
      </c>
      <c r="C2591" s="11">
        <v>46026.5625</v>
      </c>
      <c r="D2591" s="12">
        <v>8.3333333333333329E-2</v>
      </c>
      <c r="E2591" s="11">
        <v>46026.645833333336</v>
      </c>
      <c r="F2591" s="10" t="s">
        <v>14786</v>
      </c>
      <c r="G2591" s="13" t="b">
        <v>0</v>
      </c>
      <c r="H2591" s="22" t="s">
        <v>14787</v>
      </c>
      <c r="I2591" s="10" t="s">
        <v>3548</v>
      </c>
      <c r="J2591" s="13" t="b">
        <v>0</v>
      </c>
      <c r="K2591" s="13" t="b">
        <v>1</v>
      </c>
      <c r="L2591" s="10" t="s">
        <v>124</v>
      </c>
      <c r="M2591" s="10" t="s">
        <v>91</v>
      </c>
      <c r="N2591" s="10" t="s">
        <v>92</v>
      </c>
      <c r="O2591" s="19" t="s">
        <v>19505</v>
      </c>
      <c r="P2591" s="10"/>
      <c r="Q2591" s="10" t="s">
        <v>126</v>
      </c>
      <c r="R2591" s="10"/>
      <c r="S2591" s="19" t="s">
        <v>19506</v>
      </c>
      <c r="T2591" s="10"/>
      <c r="U2591" s="10" t="s">
        <v>14871</v>
      </c>
      <c r="V2591" s="10" t="s">
        <v>14838</v>
      </c>
      <c r="W2591" s="10" t="s">
        <v>14793</v>
      </c>
      <c r="X2591" s="10" t="s">
        <v>130</v>
      </c>
      <c r="Y2591" s="10" t="s">
        <v>130</v>
      </c>
      <c r="Z2591" s="10" t="s">
        <v>99</v>
      </c>
      <c r="AA2591" s="10" t="s">
        <v>131</v>
      </c>
      <c r="AB2591" s="10" t="s">
        <v>14794</v>
      </c>
      <c r="AC2591" s="10" t="s">
        <v>3521</v>
      </c>
      <c r="AD2591" s="10" t="s">
        <v>19507</v>
      </c>
      <c r="AE2591" s="10" t="s">
        <v>19508</v>
      </c>
      <c r="AF2591" s="15"/>
      <c r="AG2591" s="10"/>
      <c r="AH2591" s="10"/>
      <c r="AI2591" s="10"/>
      <c r="AJ2591" s="10"/>
      <c r="AK2591" s="10" t="s">
        <v>102</v>
      </c>
      <c r="AL2591" s="10" t="s">
        <v>1671</v>
      </c>
      <c r="AM2591" s="10"/>
      <c r="AN2591" s="10"/>
      <c r="AO2591" s="13" t="b">
        <v>0</v>
      </c>
      <c r="AP2591" s="22" t="s">
        <v>104</v>
      </c>
      <c r="AQ2591" s="10">
        <f ca="1">IFERROR(__xludf.DUMMYFUNCTION("""COMPUTED_VALUE"""),4824482)</f>
        <v>4824482</v>
      </c>
      <c r="AR2591" s="17">
        <v>42205</v>
      </c>
      <c r="AS2591" s="17">
        <v>26039</v>
      </c>
      <c r="AT2591" s="17">
        <v>607960.25</v>
      </c>
      <c r="AU2591" s="17">
        <v>605.04999999999995</v>
      </c>
      <c r="AV2591" s="17">
        <v>214.15</v>
      </c>
      <c r="AW2591" s="10" t="s">
        <v>105</v>
      </c>
      <c r="AX2591" s="17">
        <v>9024</v>
      </c>
      <c r="AY2591" s="18">
        <v>23.34806444179884</v>
      </c>
      <c r="AZ2591" s="10" t="s">
        <v>136</v>
      </c>
      <c r="BA2591" s="20" t="b">
        <v>0</v>
      </c>
      <c r="BB2591" s="10"/>
      <c r="BC2591" s="17">
        <v>42205</v>
      </c>
      <c r="BD2591" s="17">
        <v>26039</v>
      </c>
      <c r="BE2591" s="17">
        <v>607960.25</v>
      </c>
      <c r="BF2591" s="17">
        <v>214.15</v>
      </c>
      <c r="BG2591" s="11">
        <f ca="1">IFERROR(__xludf.DUMMYFUNCTION("""COMPUTED_VALUE"""),46026.5625)</f>
        <v>46026.5625</v>
      </c>
      <c r="BH2591" s="17" t="s">
        <v>105</v>
      </c>
      <c r="BI2591" s="17"/>
      <c r="BJ2591" s="15"/>
      <c r="BK2591" s="15"/>
      <c r="BL2591" s="13" t="b">
        <v>0</v>
      </c>
      <c r="BM2591" s="10"/>
      <c r="BN2591" s="10" t="s">
        <v>667</v>
      </c>
      <c r="BO2591" s="11">
        <v>45972.625</v>
      </c>
      <c r="BP2591" s="11">
        <v>45972.625358796293</v>
      </c>
      <c r="BQ2591" s="15">
        <v>46019.815810185188</v>
      </c>
      <c r="BR2591" s="15">
        <v>46023.077824074076</v>
      </c>
      <c r="BS2591" s="10" t="s">
        <v>667</v>
      </c>
      <c r="BT2591" s="10" t="s">
        <v>279</v>
      </c>
      <c r="BU2591" s="10" t="s">
        <v>498</v>
      </c>
      <c r="BV2591" s="10"/>
      <c r="BW2591" s="10"/>
      <c r="BX2591" s="10"/>
      <c r="BY2591" s="23"/>
      <c r="BZ2591" s="23"/>
      <c r="CA2591" s="19" t="s">
        <v>19509</v>
      </c>
      <c r="CB2591" s="19" t="s">
        <v>19510</v>
      </c>
      <c r="CC2591" s="23"/>
      <c r="CD2591" s="19" t="s">
        <v>19511</v>
      </c>
      <c r="CE2591" s="23"/>
      <c r="CF2591" s="23"/>
      <c r="CG2591" s="23"/>
      <c r="CH2591" s="23"/>
      <c r="CI2591" s="23"/>
    </row>
    <row r="2592" spans="1:87" x14ac:dyDescent="0.3">
      <c r="A2592" s="25" t="s">
        <v>19512</v>
      </c>
      <c r="B2592" s="10" t="s">
        <v>19513</v>
      </c>
      <c r="C2592" s="11">
        <v>46039.645833333336</v>
      </c>
      <c r="D2592" s="12">
        <v>8.3333333333333329E-2</v>
      </c>
      <c r="E2592" s="11">
        <v>46039.729166666664</v>
      </c>
      <c r="F2592" s="10" t="s">
        <v>14786</v>
      </c>
      <c r="G2592" s="13" t="b">
        <v>0</v>
      </c>
      <c r="H2592" s="22" t="s">
        <v>14787</v>
      </c>
      <c r="I2592" s="10" t="s">
        <v>212</v>
      </c>
      <c r="J2592" s="13" t="b">
        <v>1</v>
      </c>
      <c r="K2592" s="13" t="b">
        <v>0</v>
      </c>
      <c r="L2592" s="10" t="s">
        <v>124</v>
      </c>
      <c r="M2592" s="10" t="s">
        <v>91</v>
      </c>
      <c r="N2592" s="10" t="s">
        <v>3513</v>
      </c>
      <c r="O2592" s="10"/>
      <c r="P2592" s="10"/>
      <c r="Q2592" s="10" t="s">
        <v>126</v>
      </c>
      <c r="R2592" s="10"/>
      <c r="S2592" s="10"/>
      <c r="T2592" s="10"/>
      <c r="U2592" s="10" t="s">
        <v>14881</v>
      </c>
      <c r="V2592" s="10" t="s">
        <v>14816</v>
      </c>
      <c r="W2592" s="10" t="s">
        <v>14793</v>
      </c>
      <c r="X2592" s="10" t="s">
        <v>130</v>
      </c>
      <c r="Y2592" s="10" t="s">
        <v>130</v>
      </c>
      <c r="Z2592" s="10" t="s">
        <v>99</v>
      </c>
      <c r="AA2592" s="10" t="s">
        <v>131</v>
      </c>
      <c r="AB2592" s="10" t="s">
        <v>14794</v>
      </c>
      <c r="AC2592" s="10" t="s">
        <v>3521</v>
      </c>
      <c r="AD2592" s="10" t="s">
        <v>19514</v>
      </c>
      <c r="AE2592" s="10" t="s">
        <v>19515</v>
      </c>
      <c r="AF2592" s="15"/>
      <c r="AG2592" s="10"/>
      <c r="AH2592" s="10"/>
      <c r="AI2592" s="10"/>
      <c r="AJ2592" s="10"/>
      <c r="AK2592" s="10"/>
      <c r="AL2592" s="10" t="s">
        <v>1876</v>
      </c>
      <c r="AM2592" s="10"/>
      <c r="AN2592" s="10"/>
      <c r="AO2592" s="13" t="b">
        <v>0</v>
      </c>
      <c r="AP2592" s="22" t="s">
        <v>104</v>
      </c>
      <c r="AQ2592" s="10"/>
      <c r="AR2592" s="17"/>
      <c r="AS2592" s="17"/>
      <c r="AT2592" s="17"/>
      <c r="AU2592" s="17"/>
      <c r="AV2592" s="17"/>
      <c r="AW2592" s="10"/>
      <c r="AX2592" s="17"/>
      <c r="AY2592" s="18" t="s">
        <v>257</v>
      </c>
      <c r="AZ2592" s="10"/>
      <c r="BA2592" s="20" t="b">
        <v>0</v>
      </c>
      <c r="BB2592" s="10"/>
      <c r="BC2592" s="17" t="s">
        <v>257</v>
      </c>
      <c r="BD2592" s="17" t="s">
        <v>257</v>
      </c>
      <c r="BE2592" s="17" t="s">
        <v>257</v>
      </c>
      <c r="BF2592" s="17" t="s">
        <v>257</v>
      </c>
      <c r="BG2592" s="11">
        <f ca="1">IFERROR(__xludf.DUMMYFUNCTION("""COMPUTED_VALUE"""),46039.6458333333)</f>
        <v>46039.645833333299</v>
      </c>
      <c r="BH2592" s="17"/>
      <c r="BI2592" s="17"/>
      <c r="BJ2592" s="15"/>
      <c r="BK2592" s="15"/>
      <c r="BL2592" s="13" t="b">
        <v>0</v>
      </c>
      <c r="BM2592" s="10"/>
      <c r="BN2592" s="10" t="s">
        <v>18577</v>
      </c>
      <c r="BO2592" s="11">
        <v>45972.625</v>
      </c>
      <c r="BP2592" s="11">
        <v>45972.625393518516</v>
      </c>
      <c r="BQ2592" s="15"/>
      <c r="BR2592" s="15"/>
      <c r="BS2592" s="10"/>
      <c r="BT2592" s="10" t="s">
        <v>99</v>
      </c>
      <c r="BU2592" s="10"/>
      <c r="BV2592" s="10"/>
      <c r="BW2592" s="10"/>
      <c r="BX2592" s="10"/>
      <c r="BY2592" s="23"/>
      <c r="BZ2592" s="23"/>
      <c r="CA2592" s="23"/>
      <c r="CB2592" s="23"/>
      <c r="CC2592" s="23"/>
      <c r="CD2592" s="23"/>
      <c r="CE2592" s="23"/>
      <c r="CF2592" s="23"/>
      <c r="CG2592" s="23"/>
      <c r="CH2592" s="23"/>
      <c r="CI2592" s="23"/>
    </row>
    <row r="2593" spans="1:87" x14ac:dyDescent="0.3">
      <c r="A2593" s="9" t="s">
        <v>19516</v>
      </c>
      <c r="B2593" s="10" t="s">
        <v>19517</v>
      </c>
      <c r="C2593" s="11">
        <v>46026.645833333336</v>
      </c>
      <c r="D2593" s="12">
        <v>8.3333333333333329E-2</v>
      </c>
      <c r="E2593" s="11">
        <v>46026.729166666664</v>
      </c>
      <c r="F2593" s="10" t="s">
        <v>14786</v>
      </c>
      <c r="G2593" s="13" t="b">
        <v>0</v>
      </c>
      <c r="H2593" s="22" t="s">
        <v>14787</v>
      </c>
      <c r="I2593" s="10" t="s">
        <v>212</v>
      </c>
      <c r="J2593" s="13" t="b">
        <v>1</v>
      </c>
      <c r="K2593" s="13" t="b">
        <v>0</v>
      </c>
      <c r="L2593" s="10" t="s">
        <v>124</v>
      </c>
      <c r="M2593" s="10" t="s">
        <v>91</v>
      </c>
      <c r="N2593" s="10" t="s">
        <v>92</v>
      </c>
      <c r="O2593" s="19" t="s">
        <v>19518</v>
      </c>
      <c r="P2593" s="10"/>
      <c r="Q2593" s="10" t="s">
        <v>126</v>
      </c>
      <c r="R2593" s="10"/>
      <c r="S2593" s="19" t="s">
        <v>19519</v>
      </c>
      <c r="T2593" s="10"/>
      <c r="U2593" s="10" t="s">
        <v>14893</v>
      </c>
      <c r="V2593" s="10" t="s">
        <v>14816</v>
      </c>
      <c r="W2593" s="10" t="s">
        <v>14793</v>
      </c>
      <c r="X2593" s="10" t="s">
        <v>130</v>
      </c>
      <c r="Y2593" s="10" t="s">
        <v>130</v>
      </c>
      <c r="Z2593" s="10" t="s">
        <v>99</v>
      </c>
      <c r="AA2593" s="10" t="s">
        <v>131</v>
      </c>
      <c r="AB2593" s="10" t="s">
        <v>14794</v>
      </c>
      <c r="AC2593" s="10" t="s">
        <v>3521</v>
      </c>
      <c r="AD2593" s="10" t="s">
        <v>19520</v>
      </c>
      <c r="AE2593" s="10" t="s">
        <v>19521</v>
      </c>
      <c r="AF2593" s="15"/>
      <c r="AG2593" s="10"/>
      <c r="AH2593" s="10"/>
      <c r="AI2593" s="10"/>
      <c r="AJ2593" s="10"/>
      <c r="AK2593" s="10" t="s">
        <v>102</v>
      </c>
      <c r="AL2593" s="10" t="s">
        <v>1671</v>
      </c>
      <c r="AM2593" s="10"/>
      <c r="AN2593" s="10"/>
      <c r="AO2593" s="13" t="b">
        <v>0</v>
      </c>
      <c r="AP2593" s="22" t="s">
        <v>104</v>
      </c>
      <c r="AQ2593" s="10">
        <f ca="1">IFERROR(__xludf.DUMMYFUNCTION("""COMPUTED_VALUE"""),4824484)</f>
        <v>4824484</v>
      </c>
      <c r="AR2593" s="17">
        <v>23628</v>
      </c>
      <c r="AS2593" s="17">
        <v>14739</v>
      </c>
      <c r="AT2593" s="17">
        <v>158815</v>
      </c>
      <c r="AU2593" s="17">
        <v>33.65</v>
      </c>
      <c r="AV2593" s="17">
        <v>6.2</v>
      </c>
      <c r="AW2593" s="10" t="s">
        <v>105</v>
      </c>
      <c r="AX2593" s="17">
        <v>4118</v>
      </c>
      <c r="AY2593" s="18">
        <v>10.775154352398399</v>
      </c>
      <c r="AZ2593" s="10" t="s">
        <v>2099</v>
      </c>
      <c r="BA2593" s="20" t="b">
        <v>0</v>
      </c>
      <c r="BB2593" s="10"/>
      <c r="BC2593" s="17">
        <v>23628</v>
      </c>
      <c r="BD2593" s="17">
        <v>14739</v>
      </c>
      <c r="BE2593" s="17">
        <v>158815</v>
      </c>
      <c r="BF2593" s="17">
        <v>6.2</v>
      </c>
      <c r="BG2593" s="11">
        <f ca="1">IFERROR(__xludf.DUMMYFUNCTION("""COMPUTED_VALUE"""),46026.6458333333)</f>
        <v>46026.645833333299</v>
      </c>
      <c r="BH2593" s="17" t="s">
        <v>105</v>
      </c>
      <c r="BI2593" s="17"/>
      <c r="BJ2593" s="15"/>
      <c r="BK2593" s="15"/>
      <c r="BL2593" s="13" t="b">
        <v>0</v>
      </c>
      <c r="BM2593" s="10"/>
      <c r="BN2593" s="10" t="s">
        <v>667</v>
      </c>
      <c r="BO2593" s="11">
        <v>45972.625694444447</v>
      </c>
      <c r="BP2593" s="11">
        <v>45972.625983796293</v>
      </c>
      <c r="BQ2593" s="15">
        <v>46015.639444444445</v>
      </c>
      <c r="BR2593" s="15">
        <v>46023.078148148146</v>
      </c>
      <c r="BS2593" s="10" t="s">
        <v>667</v>
      </c>
      <c r="BT2593" s="10" t="s">
        <v>279</v>
      </c>
      <c r="BU2593" s="10" t="s">
        <v>816</v>
      </c>
      <c r="BV2593" s="10"/>
      <c r="BW2593" s="10"/>
      <c r="BX2593" s="10"/>
      <c r="BY2593" s="23"/>
      <c r="BZ2593" s="23"/>
      <c r="CA2593" s="19" t="s">
        <v>19522</v>
      </c>
      <c r="CB2593" s="19" t="s">
        <v>19523</v>
      </c>
      <c r="CC2593" s="23"/>
      <c r="CD2593" s="19" t="s">
        <v>19524</v>
      </c>
      <c r="CE2593" s="23"/>
      <c r="CF2593" s="23"/>
      <c r="CG2593" s="23"/>
      <c r="CH2593" s="23"/>
      <c r="CI2593" s="23"/>
    </row>
    <row r="2594" spans="1:87" x14ac:dyDescent="0.3">
      <c r="A2594" s="9" t="s">
        <v>19525</v>
      </c>
      <c r="B2594" s="10" t="s">
        <v>19526</v>
      </c>
      <c r="C2594" s="11">
        <v>46039.645833333336</v>
      </c>
      <c r="D2594" s="12">
        <v>8.3333333333333329E-2</v>
      </c>
      <c r="E2594" s="11">
        <v>46039.729166666664</v>
      </c>
      <c r="F2594" s="10" t="s">
        <v>14786</v>
      </c>
      <c r="G2594" s="13" t="b">
        <v>0</v>
      </c>
      <c r="H2594" s="22" t="s">
        <v>14787</v>
      </c>
      <c r="I2594" s="10" t="s">
        <v>212</v>
      </c>
      <c r="J2594" s="13" t="b">
        <v>1</v>
      </c>
      <c r="K2594" s="13" t="b">
        <v>0</v>
      </c>
      <c r="L2594" s="10" t="s">
        <v>124</v>
      </c>
      <c r="M2594" s="10" t="s">
        <v>91</v>
      </c>
      <c r="N2594" s="10" t="s">
        <v>3513</v>
      </c>
      <c r="O2594" s="10"/>
      <c r="P2594" s="10"/>
      <c r="Q2594" s="10" t="s">
        <v>126</v>
      </c>
      <c r="R2594" s="10"/>
      <c r="S2594" s="10"/>
      <c r="T2594" s="10"/>
      <c r="U2594" s="10" t="s">
        <v>14893</v>
      </c>
      <c r="V2594" s="10" t="s">
        <v>14882</v>
      </c>
      <c r="W2594" s="10" t="s">
        <v>14793</v>
      </c>
      <c r="X2594" s="10" t="s">
        <v>130</v>
      </c>
      <c r="Y2594" s="10" t="s">
        <v>130</v>
      </c>
      <c r="Z2594" s="10" t="s">
        <v>99</v>
      </c>
      <c r="AA2594" s="10" t="s">
        <v>131</v>
      </c>
      <c r="AB2594" s="10" t="s">
        <v>14794</v>
      </c>
      <c r="AC2594" s="10" t="s">
        <v>3521</v>
      </c>
      <c r="AD2594" s="10" t="s">
        <v>19527</v>
      </c>
      <c r="AE2594" s="10" t="s">
        <v>19528</v>
      </c>
      <c r="AF2594" s="15"/>
      <c r="AG2594" s="10"/>
      <c r="AH2594" s="10"/>
      <c r="AI2594" s="10"/>
      <c r="AJ2594" s="10"/>
      <c r="AK2594" s="10"/>
      <c r="AL2594" s="10" t="s">
        <v>1876</v>
      </c>
      <c r="AM2594" s="10"/>
      <c r="AN2594" s="10"/>
      <c r="AO2594" s="13" t="b">
        <v>0</v>
      </c>
      <c r="AP2594" s="22" t="s">
        <v>104</v>
      </c>
      <c r="AQ2594" s="10"/>
      <c r="AR2594" s="17"/>
      <c r="AS2594" s="17"/>
      <c r="AT2594" s="17"/>
      <c r="AU2594" s="17"/>
      <c r="AV2594" s="17"/>
      <c r="AW2594" s="10"/>
      <c r="AX2594" s="17"/>
      <c r="AY2594" s="18" t="s">
        <v>257</v>
      </c>
      <c r="AZ2594" s="10"/>
      <c r="BA2594" s="20" t="b">
        <v>0</v>
      </c>
      <c r="BB2594" s="10"/>
      <c r="BC2594" s="17" t="s">
        <v>257</v>
      </c>
      <c r="BD2594" s="17" t="s">
        <v>257</v>
      </c>
      <c r="BE2594" s="17" t="s">
        <v>257</v>
      </c>
      <c r="BF2594" s="17" t="s">
        <v>257</v>
      </c>
      <c r="BG2594" s="11">
        <f ca="1">IFERROR(__xludf.DUMMYFUNCTION("""COMPUTED_VALUE"""),46039.6458333333)</f>
        <v>46039.645833333299</v>
      </c>
      <c r="BH2594" s="17"/>
      <c r="BI2594" s="17"/>
      <c r="BJ2594" s="15"/>
      <c r="BK2594" s="15"/>
      <c r="BL2594" s="13" t="b">
        <v>0</v>
      </c>
      <c r="BM2594" s="10"/>
      <c r="BN2594" s="10" t="s">
        <v>18577</v>
      </c>
      <c r="BO2594" s="11">
        <v>45972.625694444447</v>
      </c>
      <c r="BP2594" s="11">
        <v>45972.635509259257</v>
      </c>
      <c r="BQ2594" s="15"/>
      <c r="BR2594" s="15"/>
      <c r="BS2594" s="10"/>
      <c r="BT2594" s="10" t="s">
        <v>99</v>
      </c>
      <c r="BU2594" s="10"/>
      <c r="BV2594" s="10"/>
      <c r="BW2594" s="10"/>
      <c r="BX2594" s="10"/>
      <c r="BY2594" s="23"/>
      <c r="BZ2594" s="23"/>
      <c r="CA2594" s="23"/>
      <c r="CB2594" s="23"/>
      <c r="CC2594" s="23"/>
      <c r="CD2594" s="23"/>
      <c r="CE2594" s="23"/>
      <c r="CF2594" s="23"/>
      <c r="CG2594" s="23"/>
      <c r="CH2594" s="23"/>
      <c r="CI2594" s="23"/>
    </row>
    <row r="2595" spans="1:87" x14ac:dyDescent="0.3">
      <c r="A2595" s="9" t="s">
        <v>19529</v>
      </c>
      <c r="B2595" s="10" t="s">
        <v>19530</v>
      </c>
      <c r="C2595" s="11">
        <v>46032.645833333336</v>
      </c>
      <c r="D2595" s="12">
        <v>8.3333333333333329E-2</v>
      </c>
      <c r="E2595" s="11">
        <v>46032.729166666664</v>
      </c>
      <c r="F2595" s="10" t="s">
        <v>14786</v>
      </c>
      <c r="G2595" s="13" t="b">
        <v>0</v>
      </c>
      <c r="H2595" s="22" t="s">
        <v>14787</v>
      </c>
      <c r="I2595" s="10" t="s">
        <v>3548</v>
      </c>
      <c r="J2595" s="13" t="b">
        <v>0</v>
      </c>
      <c r="K2595" s="13" t="b">
        <v>1</v>
      </c>
      <c r="L2595" s="10" t="s">
        <v>124</v>
      </c>
      <c r="M2595" s="10" t="s">
        <v>91</v>
      </c>
      <c r="N2595" s="10" t="s">
        <v>92</v>
      </c>
      <c r="O2595" s="19" t="s">
        <v>19531</v>
      </c>
      <c r="P2595" s="10"/>
      <c r="Q2595" s="10" t="s">
        <v>126</v>
      </c>
      <c r="R2595" s="10"/>
      <c r="S2595" s="19" t="s">
        <v>19532</v>
      </c>
      <c r="T2595" s="10"/>
      <c r="U2595" s="10" t="s">
        <v>14848</v>
      </c>
      <c r="V2595" s="10" t="s">
        <v>14826</v>
      </c>
      <c r="W2595" s="10" t="s">
        <v>14793</v>
      </c>
      <c r="X2595" s="10" t="s">
        <v>130</v>
      </c>
      <c r="Y2595" s="10" t="s">
        <v>130</v>
      </c>
      <c r="Z2595" s="10" t="s">
        <v>99</v>
      </c>
      <c r="AA2595" s="10" t="s">
        <v>131</v>
      </c>
      <c r="AB2595" s="10" t="s">
        <v>14794</v>
      </c>
      <c r="AC2595" s="10" t="s">
        <v>3521</v>
      </c>
      <c r="AD2595" s="10" t="s">
        <v>19533</v>
      </c>
      <c r="AE2595" s="10" t="s">
        <v>19534</v>
      </c>
      <c r="AF2595" s="15"/>
      <c r="AG2595" s="10"/>
      <c r="AH2595" s="10"/>
      <c r="AI2595" s="10"/>
      <c r="AJ2595" s="10"/>
      <c r="AK2595" s="10" t="s">
        <v>102</v>
      </c>
      <c r="AL2595" s="10" t="s">
        <v>1773</v>
      </c>
      <c r="AM2595" s="10"/>
      <c r="AN2595" s="10"/>
      <c r="AO2595" s="13" t="b">
        <v>1</v>
      </c>
      <c r="AP2595" s="22" t="s">
        <v>104</v>
      </c>
      <c r="AQ2595" s="10">
        <f ca="1">IFERROR(__xludf.DUMMYFUNCTION("""COMPUTED_VALUE"""),4832282)</f>
        <v>4832282</v>
      </c>
      <c r="AR2595" s="17">
        <v>74232</v>
      </c>
      <c r="AS2595" s="17">
        <v>42240</v>
      </c>
      <c r="AT2595" s="17">
        <v>1136357</v>
      </c>
      <c r="AU2595" s="17">
        <v>1429.4</v>
      </c>
      <c r="AV2595" s="17">
        <v>858.85</v>
      </c>
      <c r="AW2595" s="10" t="s">
        <v>105</v>
      </c>
      <c r="AX2595" s="17">
        <v>14298</v>
      </c>
      <c r="AY2595" s="18">
        <v>26.902391098484848</v>
      </c>
      <c r="AZ2595" s="10" t="s">
        <v>2099</v>
      </c>
      <c r="BA2595" s="20" t="b">
        <v>0</v>
      </c>
      <c r="BB2595" s="10"/>
      <c r="BC2595" s="17">
        <v>74232</v>
      </c>
      <c r="BD2595" s="17">
        <v>42240</v>
      </c>
      <c r="BE2595" s="17">
        <v>1136357</v>
      </c>
      <c r="BF2595" s="17">
        <v>858.85</v>
      </c>
      <c r="BG2595" s="11">
        <f ca="1">IFERROR(__xludf.DUMMYFUNCTION("""COMPUTED_VALUE"""),46032.6458333333)</f>
        <v>46032.645833333299</v>
      </c>
      <c r="BH2595" s="17" t="s">
        <v>105</v>
      </c>
      <c r="BI2595" s="17"/>
      <c r="BJ2595" s="15"/>
      <c r="BK2595" s="15"/>
      <c r="BL2595" s="13" t="b">
        <v>0</v>
      </c>
      <c r="BM2595" s="10"/>
      <c r="BN2595" s="10" t="s">
        <v>149</v>
      </c>
      <c r="BO2595" s="11">
        <v>45972.625</v>
      </c>
      <c r="BP2595" s="11">
        <v>45972.62572916667</v>
      </c>
      <c r="BQ2595" s="15">
        <v>46030.65388888889</v>
      </c>
      <c r="BR2595" s="15">
        <v>46029.454363425924</v>
      </c>
      <c r="BS2595" s="10" t="s">
        <v>149</v>
      </c>
      <c r="BT2595" s="10" t="s">
        <v>279</v>
      </c>
      <c r="BU2595" s="10" t="s">
        <v>655</v>
      </c>
      <c r="BV2595" s="10"/>
      <c r="BW2595" s="10"/>
      <c r="BX2595" s="10"/>
      <c r="BY2595" s="23"/>
      <c r="BZ2595" s="23"/>
      <c r="CA2595" s="19" t="s">
        <v>19535</v>
      </c>
      <c r="CB2595" s="19" t="s">
        <v>19536</v>
      </c>
      <c r="CC2595" s="23"/>
      <c r="CD2595" s="19" t="s">
        <v>19537</v>
      </c>
      <c r="CE2595" s="23"/>
      <c r="CF2595" s="23"/>
      <c r="CG2595" s="23"/>
      <c r="CH2595" s="23"/>
      <c r="CI2595" s="23"/>
    </row>
    <row r="2596" spans="1:87" x14ac:dyDescent="0.3">
      <c r="A2596" s="9" t="s">
        <v>19538</v>
      </c>
      <c r="B2596" s="10" t="s">
        <v>19539</v>
      </c>
      <c r="C2596" s="11">
        <v>46026.645833333336</v>
      </c>
      <c r="D2596" s="12">
        <v>8.3333333333333329E-2</v>
      </c>
      <c r="E2596" s="11">
        <v>46026.729166666664</v>
      </c>
      <c r="F2596" s="10" t="s">
        <v>14786</v>
      </c>
      <c r="G2596" s="13" t="b">
        <v>0</v>
      </c>
      <c r="H2596" s="22" t="s">
        <v>14787</v>
      </c>
      <c r="I2596" s="10" t="s">
        <v>212</v>
      </c>
      <c r="J2596" s="13" t="b">
        <v>1</v>
      </c>
      <c r="K2596" s="13" t="b">
        <v>0</v>
      </c>
      <c r="L2596" s="10" t="s">
        <v>124</v>
      </c>
      <c r="M2596" s="10" t="s">
        <v>91</v>
      </c>
      <c r="N2596" s="10" t="s">
        <v>92</v>
      </c>
      <c r="O2596" s="19" t="s">
        <v>19540</v>
      </c>
      <c r="P2596" s="10"/>
      <c r="Q2596" s="10" t="s">
        <v>126</v>
      </c>
      <c r="R2596" s="10"/>
      <c r="S2596" s="19" t="s">
        <v>19541</v>
      </c>
      <c r="T2596" s="10"/>
      <c r="U2596" s="10" t="s">
        <v>14815</v>
      </c>
      <c r="V2596" s="10" t="s">
        <v>14792</v>
      </c>
      <c r="W2596" s="10" t="s">
        <v>14793</v>
      </c>
      <c r="X2596" s="10" t="s">
        <v>130</v>
      </c>
      <c r="Y2596" s="10" t="s">
        <v>130</v>
      </c>
      <c r="Z2596" s="10" t="s">
        <v>99</v>
      </c>
      <c r="AA2596" s="10" t="s">
        <v>131</v>
      </c>
      <c r="AB2596" s="10" t="s">
        <v>14794</v>
      </c>
      <c r="AC2596" s="10" t="s">
        <v>3521</v>
      </c>
      <c r="AD2596" s="10" t="s">
        <v>19542</v>
      </c>
      <c r="AE2596" s="10" t="s">
        <v>19543</v>
      </c>
      <c r="AF2596" s="15"/>
      <c r="AG2596" s="10"/>
      <c r="AH2596" s="10"/>
      <c r="AI2596" s="10"/>
      <c r="AJ2596" s="10"/>
      <c r="AK2596" s="10" t="s">
        <v>102</v>
      </c>
      <c r="AL2596" s="10" t="s">
        <v>1671</v>
      </c>
      <c r="AM2596" s="10"/>
      <c r="AN2596" s="10"/>
      <c r="AO2596" s="13" t="b">
        <v>0</v>
      </c>
      <c r="AP2596" s="22" t="s">
        <v>104</v>
      </c>
      <c r="AQ2596" s="10">
        <f ca="1">IFERROR(__xludf.DUMMYFUNCTION("""COMPUTED_VALUE"""),4824946)</f>
        <v>4824946</v>
      </c>
      <c r="AR2596" s="17">
        <v>31971</v>
      </c>
      <c r="AS2596" s="17">
        <v>17909</v>
      </c>
      <c r="AT2596" s="17">
        <v>391888</v>
      </c>
      <c r="AU2596" s="17">
        <v>68</v>
      </c>
      <c r="AV2596" s="17">
        <v>23.5</v>
      </c>
      <c r="AW2596" s="10" t="s">
        <v>105</v>
      </c>
      <c r="AX2596" s="17">
        <v>5237</v>
      </c>
      <c r="AY2596" s="18">
        <v>21.882182143056564</v>
      </c>
      <c r="AZ2596" s="10" t="s">
        <v>136</v>
      </c>
      <c r="BA2596" s="20" t="b">
        <v>0</v>
      </c>
      <c r="BB2596" s="10"/>
      <c r="BC2596" s="17">
        <v>31971</v>
      </c>
      <c r="BD2596" s="17">
        <v>17909</v>
      </c>
      <c r="BE2596" s="17">
        <v>391888</v>
      </c>
      <c r="BF2596" s="17">
        <v>23.5</v>
      </c>
      <c r="BG2596" s="11">
        <f ca="1">IFERROR(__xludf.DUMMYFUNCTION("""COMPUTED_VALUE"""),46026.6458333333)</f>
        <v>46026.645833333299</v>
      </c>
      <c r="BH2596" s="17" t="s">
        <v>105</v>
      </c>
      <c r="BI2596" s="17"/>
      <c r="BJ2596" s="15"/>
      <c r="BK2596" s="15"/>
      <c r="BL2596" s="13" t="b">
        <v>0</v>
      </c>
      <c r="BM2596" s="10"/>
      <c r="BN2596" s="10" t="s">
        <v>667</v>
      </c>
      <c r="BO2596" s="11">
        <v>45972.626388888886</v>
      </c>
      <c r="BP2596" s="11">
        <v>45972.626747685186</v>
      </c>
      <c r="BQ2596" s="15">
        <v>46019.815671296295</v>
      </c>
      <c r="BR2596" s="15">
        <v>46023.083275462966</v>
      </c>
      <c r="BS2596" s="10" t="s">
        <v>667</v>
      </c>
      <c r="BT2596" s="10" t="s">
        <v>279</v>
      </c>
      <c r="BU2596" s="10" t="s">
        <v>655</v>
      </c>
      <c r="BV2596" s="10"/>
      <c r="BW2596" s="10"/>
      <c r="BX2596" s="10"/>
      <c r="BY2596" s="23"/>
      <c r="BZ2596" s="23"/>
      <c r="CA2596" s="19" t="s">
        <v>19544</v>
      </c>
      <c r="CB2596" s="19" t="s">
        <v>19545</v>
      </c>
      <c r="CC2596" s="23"/>
      <c r="CD2596" s="19" t="s">
        <v>19546</v>
      </c>
      <c r="CE2596" s="23"/>
      <c r="CF2596" s="23"/>
      <c r="CG2596" s="23"/>
      <c r="CH2596" s="23"/>
      <c r="CI2596" s="23"/>
    </row>
    <row r="2597" spans="1:87" x14ac:dyDescent="0.3">
      <c r="A2597" s="9" t="s">
        <v>19547</v>
      </c>
      <c r="B2597" s="10" t="s">
        <v>19548</v>
      </c>
      <c r="C2597" s="11">
        <v>46032.645833333336</v>
      </c>
      <c r="D2597" s="12">
        <v>8.3333333333333329E-2</v>
      </c>
      <c r="E2597" s="11">
        <v>46032.729166666664</v>
      </c>
      <c r="F2597" s="10" t="s">
        <v>14786</v>
      </c>
      <c r="G2597" s="13" t="b">
        <v>0</v>
      </c>
      <c r="H2597" s="22" t="s">
        <v>14787</v>
      </c>
      <c r="I2597" s="10" t="s">
        <v>212</v>
      </c>
      <c r="J2597" s="13" t="b">
        <v>1</v>
      </c>
      <c r="K2597" s="13" t="b">
        <v>0</v>
      </c>
      <c r="L2597" s="10" t="s">
        <v>124</v>
      </c>
      <c r="M2597" s="10" t="s">
        <v>91</v>
      </c>
      <c r="N2597" s="10" t="s">
        <v>92</v>
      </c>
      <c r="O2597" s="19" t="s">
        <v>19549</v>
      </c>
      <c r="P2597" s="10"/>
      <c r="Q2597" s="10" t="s">
        <v>126</v>
      </c>
      <c r="R2597" s="10"/>
      <c r="S2597" s="19" t="s">
        <v>19550</v>
      </c>
      <c r="T2597" s="10"/>
      <c r="U2597" s="10" t="s">
        <v>14882</v>
      </c>
      <c r="V2597" s="10" t="s">
        <v>14792</v>
      </c>
      <c r="W2597" s="10" t="s">
        <v>14793</v>
      </c>
      <c r="X2597" s="10" t="s">
        <v>130</v>
      </c>
      <c r="Y2597" s="10" t="s">
        <v>130</v>
      </c>
      <c r="Z2597" s="10" t="s">
        <v>99</v>
      </c>
      <c r="AA2597" s="10" t="s">
        <v>131</v>
      </c>
      <c r="AB2597" s="10" t="s">
        <v>14794</v>
      </c>
      <c r="AC2597" s="10" t="s">
        <v>3521</v>
      </c>
      <c r="AD2597" s="10" t="s">
        <v>19551</v>
      </c>
      <c r="AE2597" s="10" t="s">
        <v>19552</v>
      </c>
      <c r="AF2597" s="15"/>
      <c r="AG2597" s="10"/>
      <c r="AH2597" s="10"/>
      <c r="AI2597" s="10"/>
      <c r="AJ2597" s="10"/>
      <c r="AK2597" s="10" t="s">
        <v>102</v>
      </c>
      <c r="AL2597" s="10" t="s">
        <v>1773</v>
      </c>
      <c r="AM2597" s="10"/>
      <c r="AN2597" s="10"/>
      <c r="AO2597" s="13" t="b">
        <v>0</v>
      </c>
      <c r="AP2597" s="22" t="s">
        <v>104</v>
      </c>
      <c r="AQ2597" s="10">
        <f ca="1">IFERROR(__xludf.DUMMYFUNCTION("""COMPUTED_VALUE"""),4832280)</f>
        <v>4832280</v>
      </c>
      <c r="AR2597" s="17">
        <v>34084</v>
      </c>
      <c r="AS2597" s="17">
        <v>16841</v>
      </c>
      <c r="AT2597" s="17">
        <v>433958.25</v>
      </c>
      <c r="AU2597" s="17">
        <v>54.55</v>
      </c>
      <c r="AV2597" s="17">
        <v>13.3</v>
      </c>
      <c r="AW2597" s="10" t="s">
        <v>105</v>
      </c>
      <c r="AX2597" s="17">
        <v>6007</v>
      </c>
      <c r="AY2597" s="18">
        <v>25.767962116263881</v>
      </c>
      <c r="AZ2597" s="10" t="s">
        <v>2099</v>
      </c>
      <c r="BA2597" s="20" t="b">
        <v>0</v>
      </c>
      <c r="BB2597" s="10"/>
      <c r="BC2597" s="17">
        <v>34084</v>
      </c>
      <c r="BD2597" s="17">
        <v>16841</v>
      </c>
      <c r="BE2597" s="17">
        <v>433958.25</v>
      </c>
      <c r="BF2597" s="17">
        <v>13.3</v>
      </c>
      <c r="BG2597" s="11">
        <f ca="1">IFERROR(__xludf.DUMMYFUNCTION("""COMPUTED_VALUE"""),46032.6458333333)</f>
        <v>46032.645833333299</v>
      </c>
      <c r="BH2597" s="17" t="s">
        <v>105</v>
      </c>
      <c r="BI2597" s="17"/>
      <c r="BJ2597" s="15"/>
      <c r="BK2597" s="15"/>
      <c r="BL2597" s="13" t="b">
        <v>0</v>
      </c>
      <c r="BM2597" s="10"/>
      <c r="BN2597" s="10" t="s">
        <v>149</v>
      </c>
      <c r="BO2597" s="11">
        <v>45972.626388888886</v>
      </c>
      <c r="BP2597" s="11">
        <v>45972.626736111109</v>
      </c>
      <c r="BQ2597" s="15">
        <v>46030.654166666667</v>
      </c>
      <c r="BR2597" s="15">
        <v>46029.454467592594</v>
      </c>
      <c r="BS2597" s="10" t="s">
        <v>149</v>
      </c>
      <c r="BT2597" s="10" t="s">
        <v>279</v>
      </c>
      <c r="BU2597" s="10" t="s">
        <v>521</v>
      </c>
      <c r="BV2597" s="10"/>
      <c r="BW2597" s="10"/>
      <c r="BX2597" s="10"/>
      <c r="BY2597" s="23"/>
      <c r="BZ2597" s="23"/>
      <c r="CA2597" s="19" t="s">
        <v>19553</v>
      </c>
      <c r="CB2597" s="19" t="s">
        <v>19554</v>
      </c>
      <c r="CC2597" s="23"/>
      <c r="CD2597" s="19" t="s">
        <v>19555</v>
      </c>
      <c r="CE2597" s="23"/>
      <c r="CF2597" s="23"/>
      <c r="CG2597" s="23"/>
      <c r="CH2597" s="23"/>
      <c r="CI2597" s="23"/>
    </row>
    <row r="2598" spans="1:87" x14ac:dyDescent="0.3">
      <c r="A2598" s="9" t="s">
        <v>19556</v>
      </c>
      <c r="B2598" s="10" t="s">
        <v>19557</v>
      </c>
      <c r="C2598" s="11">
        <v>46039.791666666664</v>
      </c>
      <c r="D2598" s="12">
        <v>8.3333333333333329E-2</v>
      </c>
      <c r="E2598" s="11">
        <v>46039.875</v>
      </c>
      <c r="F2598" s="10" t="s">
        <v>14786</v>
      </c>
      <c r="G2598" s="13" t="b">
        <v>0</v>
      </c>
      <c r="H2598" s="22" t="s">
        <v>14787</v>
      </c>
      <c r="I2598" s="10" t="s">
        <v>3548</v>
      </c>
      <c r="J2598" s="13" t="b">
        <v>0</v>
      </c>
      <c r="K2598" s="13" t="b">
        <v>1</v>
      </c>
      <c r="L2598" s="10" t="s">
        <v>124</v>
      </c>
      <c r="M2598" s="10" t="s">
        <v>91</v>
      </c>
      <c r="N2598" s="10" t="s">
        <v>3513</v>
      </c>
      <c r="O2598" s="10"/>
      <c r="P2598" s="10"/>
      <c r="Q2598" s="10" t="s">
        <v>126</v>
      </c>
      <c r="R2598" s="10"/>
      <c r="S2598" s="10"/>
      <c r="T2598" s="10"/>
      <c r="U2598" s="10" t="s">
        <v>14826</v>
      </c>
      <c r="V2598" s="10" t="s">
        <v>14838</v>
      </c>
      <c r="W2598" s="10" t="s">
        <v>14793</v>
      </c>
      <c r="X2598" s="10" t="s">
        <v>130</v>
      </c>
      <c r="Y2598" s="10" t="s">
        <v>130</v>
      </c>
      <c r="Z2598" s="10" t="s">
        <v>99</v>
      </c>
      <c r="AA2598" s="10" t="s">
        <v>131</v>
      </c>
      <c r="AB2598" s="10" t="s">
        <v>14794</v>
      </c>
      <c r="AC2598" s="10" t="s">
        <v>3521</v>
      </c>
      <c r="AD2598" s="10" t="s">
        <v>19558</v>
      </c>
      <c r="AE2598" s="10" t="s">
        <v>19559</v>
      </c>
      <c r="AF2598" s="15"/>
      <c r="AG2598" s="10"/>
      <c r="AH2598" s="10"/>
      <c r="AI2598" s="10"/>
      <c r="AJ2598" s="10"/>
      <c r="AK2598" s="10"/>
      <c r="AL2598" s="10" t="s">
        <v>1876</v>
      </c>
      <c r="AM2598" s="10"/>
      <c r="AN2598" s="10"/>
      <c r="AO2598" s="13" t="b">
        <v>0</v>
      </c>
      <c r="AP2598" s="22" t="s">
        <v>104</v>
      </c>
      <c r="AQ2598" s="10"/>
      <c r="AR2598" s="17"/>
      <c r="AS2598" s="17"/>
      <c r="AT2598" s="17"/>
      <c r="AU2598" s="17"/>
      <c r="AV2598" s="17"/>
      <c r="AW2598" s="10"/>
      <c r="AX2598" s="17"/>
      <c r="AY2598" s="18" t="s">
        <v>257</v>
      </c>
      <c r="AZ2598" s="10"/>
      <c r="BA2598" s="20" t="b">
        <v>0</v>
      </c>
      <c r="BB2598" s="10"/>
      <c r="BC2598" s="17" t="s">
        <v>257</v>
      </c>
      <c r="BD2598" s="17" t="s">
        <v>257</v>
      </c>
      <c r="BE2598" s="17" t="s">
        <v>257</v>
      </c>
      <c r="BF2598" s="17" t="s">
        <v>257</v>
      </c>
      <c r="BG2598" s="11">
        <f ca="1">IFERROR(__xludf.DUMMYFUNCTION("""COMPUTED_VALUE"""),46039.7916666666)</f>
        <v>46039.791666666599</v>
      </c>
      <c r="BH2598" s="17"/>
      <c r="BI2598" s="17"/>
      <c r="BJ2598" s="15"/>
      <c r="BK2598" s="15"/>
      <c r="BL2598" s="13" t="b">
        <v>0</v>
      </c>
      <c r="BM2598" s="10"/>
      <c r="BN2598" s="10" t="s">
        <v>18577</v>
      </c>
      <c r="BO2598" s="11">
        <v>45972.626388888886</v>
      </c>
      <c r="BP2598" s="11">
        <v>45972.627766203703</v>
      </c>
      <c r="BQ2598" s="15"/>
      <c r="BR2598" s="15"/>
      <c r="BS2598" s="10"/>
      <c r="BT2598" s="10" t="s">
        <v>99</v>
      </c>
      <c r="BU2598" s="10"/>
      <c r="BV2598" s="10"/>
      <c r="BW2598" s="10"/>
      <c r="BX2598" s="10"/>
      <c r="BY2598" s="23"/>
      <c r="BZ2598" s="23"/>
      <c r="CA2598" s="23"/>
      <c r="CB2598" s="23"/>
      <c r="CC2598" s="23"/>
      <c r="CD2598" s="23"/>
      <c r="CE2598" s="23"/>
      <c r="CF2598" s="23"/>
      <c r="CG2598" s="23"/>
      <c r="CH2598" s="23"/>
      <c r="CI2598" s="23"/>
    </row>
    <row r="2599" spans="1:87" x14ac:dyDescent="0.3">
      <c r="A2599" s="9" t="s">
        <v>19560</v>
      </c>
      <c r="B2599" s="10" t="s">
        <v>19561</v>
      </c>
      <c r="C2599" s="11">
        <v>46026.791666666664</v>
      </c>
      <c r="D2599" s="12">
        <v>8.3333333333333329E-2</v>
      </c>
      <c r="E2599" s="11">
        <v>46026.875</v>
      </c>
      <c r="F2599" s="10" t="s">
        <v>14786</v>
      </c>
      <c r="G2599" s="13" t="b">
        <v>0</v>
      </c>
      <c r="H2599" s="22" t="s">
        <v>14787</v>
      </c>
      <c r="I2599" s="10" t="s">
        <v>3548</v>
      </c>
      <c r="J2599" s="13" t="b">
        <v>0</v>
      </c>
      <c r="K2599" s="13" t="b">
        <v>1</v>
      </c>
      <c r="L2599" s="10" t="s">
        <v>124</v>
      </c>
      <c r="M2599" s="10" t="s">
        <v>91</v>
      </c>
      <c r="N2599" s="10" t="s">
        <v>92</v>
      </c>
      <c r="O2599" s="19" t="s">
        <v>19562</v>
      </c>
      <c r="P2599" s="10"/>
      <c r="Q2599" s="10" t="s">
        <v>126</v>
      </c>
      <c r="R2599" s="10"/>
      <c r="S2599" s="19" t="s">
        <v>19563</v>
      </c>
      <c r="T2599" s="10"/>
      <c r="U2599" s="10" t="s">
        <v>14837</v>
      </c>
      <c r="V2599" s="10" t="s">
        <v>14849</v>
      </c>
      <c r="W2599" s="10" t="s">
        <v>14793</v>
      </c>
      <c r="X2599" s="10" t="s">
        <v>130</v>
      </c>
      <c r="Y2599" s="10" t="s">
        <v>130</v>
      </c>
      <c r="Z2599" s="10" t="s">
        <v>99</v>
      </c>
      <c r="AA2599" s="10" t="s">
        <v>131</v>
      </c>
      <c r="AB2599" s="10" t="s">
        <v>14794</v>
      </c>
      <c r="AC2599" s="10" t="s">
        <v>3521</v>
      </c>
      <c r="AD2599" s="10" t="s">
        <v>19564</v>
      </c>
      <c r="AE2599" s="10" t="s">
        <v>19565</v>
      </c>
      <c r="AF2599" s="15"/>
      <c r="AG2599" s="10"/>
      <c r="AH2599" s="10"/>
      <c r="AI2599" s="10"/>
      <c r="AJ2599" s="10"/>
      <c r="AK2599" s="10" t="s">
        <v>102</v>
      </c>
      <c r="AL2599" s="10" t="s">
        <v>1671</v>
      </c>
      <c r="AM2599" s="10"/>
      <c r="AN2599" s="10"/>
      <c r="AO2599" s="13" t="b">
        <v>0</v>
      </c>
      <c r="AP2599" s="22" t="s">
        <v>104</v>
      </c>
      <c r="AQ2599" s="10">
        <f ca="1">IFERROR(__xludf.DUMMYFUNCTION("""COMPUTED_VALUE"""),4824483)</f>
        <v>4824483</v>
      </c>
      <c r="AR2599" s="17">
        <v>29451</v>
      </c>
      <c r="AS2599" s="17">
        <v>18679</v>
      </c>
      <c r="AT2599" s="17">
        <v>316664</v>
      </c>
      <c r="AU2599" s="17">
        <v>299.25</v>
      </c>
      <c r="AV2599" s="17">
        <v>111.9</v>
      </c>
      <c r="AW2599" s="10" t="s">
        <v>105</v>
      </c>
      <c r="AX2599" s="17">
        <v>5357</v>
      </c>
      <c r="AY2599" s="18">
        <v>16.952941806306548</v>
      </c>
      <c r="AZ2599" s="10" t="s">
        <v>136</v>
      </c>
      <c r="BA2599" s="20" t="b">
        <v>0</v>
      </c>
      <c r="BB2599" s="10"/>
      <c r="BC2599" s="17">
        <v>29451</v>
      </c>
      <c r="BD2599" s="17">
        <v>18679</v>
      </c>
      <c r="BE2599" s="17">
        <v>316664</v>
      </c>
      <c r="BF2599" s="17">
        <v>111.9</v>
      </c>
      <c r="BG2599" s="11">
        <f ca="1">IFERROR(__xludf.DUMMYFUNCTION("""COMPUTED_VALUE"""),46026.7916666666)</f>
        <v>46026.791666666599</v>
      </c>
      <c r="BH2599" s="17" t="s">
        <v>105</v>
      </c>
      <c r="BI2599" s="17"/>
      <c r="BJ2599" s="15"/>
      <c r="BK2599" s="15"/>
      <c r="BL2599" s="13" t="b">
        <v>0</v>
      </c>
      <c r="BM2599" s="10"/>
      <c r="BN2599" s="10" t="s">
        <v>667</v>
      </c>
      <c r="BO2599" s="11">
        <v>45972.627083333333</v>
      </c>
      <c r="BP2599" s="11">
        <v>45972.627384259256</v>
      </c>
      <c r="BQ2599" s="15">
        <v>46019.815520833334</v>
      </c>
      <c r="BR2599" s="15">
        <v>46023.077951388892</v>
      </c>
      <c r="BS2599" s="10" t="s">
        <v>667</v>
      </c>
      <c r="BT2599" s="10" t="s">
        <v>279</v>
      </c>
      <c r="BU2599" s="10" t="s">
        <v>498</v>
      </c>
      <c r="BV2599" s="10"/>
      <c r="BW2599" s="10"/>
      <c r="BX2599" s="10"/>
      <c r="BY2599" s="23"/>
      <c r="BZ2599" s="23"/>
      <c r="CA2599" s="19" t="s">
        <v>19566</v>
      </c>
      <c r="CB2599" s="19" t="s">
        <v>19567</v>
      </c>
      <c r="CC2599" s="23"/>
      <c r="CD2599" s="19" t="s">
        <v>19568</v>
      </c>
      <c r="CE2599" s="23"/>
      <c r="CF2599" s="23"/>
      <c r="CG2599" s="23"/>
      <c r="CH2599" s="23"/>
      <c r="CI2599" s="23"/>
    </row>
    <row r="2600" spans="1:87" x14ac:dyDescent="0.3">
      <c r="A2600" s="9" t="s">
        <v>19569</v>
      </c>
      <c r="B2600" s="10" t="s">
        <v>19570</v>
      </c>
      <c r="C2600" s="11">
        <v>46032.791666666664</v>
      </c>
      <c r="D2600" s="12">
        <v>8.3333333333333329E-2</v>
      </c>
      <c r="E2600" s="11">
        <v>46032.875</v>
      </c>
      <c r="F2600" s="10" t="s">
        <v>14786</v>
      </c>
      <c r="G2600" s="13" t="b">
        <v>0</v>
      </c>
      <c r="H2600" s="22" t="s">
        <v>14787</v>
      </c>
      <c r="I2600" s="10" t="s">
        <v>212</v>
      </c>
      <c r="J2600" s="13" t="b">
        <v>1</v>
      </c>
      <c r="K2600" s="13" t="b">
        <v>0</v>
      </c>
      <c r="L2600" s="10" t="s">
        <v>124</v>
      </c>
      <c r="M2600" s="10" t="s">
        <v>91</v>
      </c>
      <c r="N2600" s="10" t="s">
        <v>92</v>
      </c>
      <c r="O2600" s="19" t="s">
        <v>19571</v>
      </c>
      <c r="P2600" s="10"/>
      <c r="Q2600" s="10" t="s">
        <v>126</v>
      </c>
      <c r="R2600" s="10"/>
      <c r="S2600" s="19" t="s">
        <v>19572</v>
      </c>
      <c r="T2600" s="10"/>
      <c r="U2600" s="10" t="s">
        <v>14816</v>
      </c>
      <c r="V2600" s="10" t="s">
        <v>14791</v>
      </c>
      <c r="W2600" s="10" t="s">
        <v>14793</v>
      </c>
      <c r="X2600" s="10" t="s">
        <v>130</v>
      </c>
      <c r="Y2600" s="10" t="s">
        <v>130</v>
      </c>
      <c r="Z2600" s="10" t="s">
        <v>99</v>
      </c>
      <c r="AA2600" s="10" t="s">
        <v>131</v>
      </c>
      <c r="AB2600" s="10" t="s">
        <v>14794</v>
      </c>
      <c r="AC2600" s="10" t="s">
        <v>3521</v>
      </c>
      <c r="AD2600" s="10" t="s">
        <v>19573</v>
      </c>
      <c r="AE2600" s="10" t="s">
        <v>19574</v>
      </c>
      <c r="AF2600" s="15"/>
      <c r="AG2600" s="10"/>
      <c r="AH2600" s="10"/>
      <c r="AI2600" s="10"/>
      <c r="AJ2600" s="10"/>
      <c r="AK2600" s="10" t="s">
        <v>102</v>
      </c>
      <c r="AL2600" s="10" t="s">
        <v>1773</v>
      </c>
      <c r="AM2600" s="10"/>
      <c r="AN2600" s="10"/>
      <c r="AO2600" s="13" t="b">
        <v>0</v>
      </c>
      <c r="AP2600" s="22" t="s">
        <v>104</v>
      </c>
      <c r="AQ2600" s="10">
        <f ca="1">IFERROR(__xludf.DUMMYFUNCTION("""COMPUTED_VALUE"""),4832286)</f>
        <v>4832286</v>
      </c>
      <c r="AR2600" s="17">
        <v>36048</v>
      </c>
      <c r="AS2600" s="17">
        <v>24609</v>
      </c>
      <c r="AT2600" s="17">
        <v>296307</v>
      </c>
      <c r="AU2600" s="17">
        <v>73.849999999999994</v>
      </c>
      <c r="AV2600" s="17">
        <v>21.6</v>
      </c>
      <c r="AW2600" s="10" t="s">
        <v>105</v>
      </c>
      <c r="AX2600" s="17">
        <v>7835</v>
      </c>
      <c r="AY2600" s="18">
        <v>12.040594904303303</v>
      </c>
      <c r="AZ2600" s="10" t="s">
        <v>2099</v>
      </c>
      <c r="BA2600" s="20" t="b">
        <v>0</v>
      </c>
      <c r="BB2600" s="10"/>
      <c r="BC2600" s="17">
        <v>36048</v>
      </c>
      <c r="BD2600" s="17">
        <v>24609</v>
      </c>
      <c r="BE2600" s="17">
        <v>296307</v>
      </c>
      <c r="BF2600" s="17">
        <v>21.6</v>
      </c>
      <c r="BG2600" s="11">
        <f ca="1">IFERROR(__xludf.DUMMYFUNCTION("""COMPUTED_VALUE"""),46032.7916666666)</f>
        <v>46032.791666666599</v>
      </c>
      <c r="BH2600" s="17" t="s">
        <v>105</v>
      </c>
      <c r="BI2600" s="17"/>
      <c r="BJ2600" s="15"/>
      <c r="BK2600" s="15"/>
      <c r="BL2600" s="13" t="b">
        <v>0</v>
      </c>
      <c r="BM2600" s="10"/>
      <c r="BN2600" s="10" t="s">
        <v>149</v>
      </c>
      <c r="BO2600" s="11">
        <v>45972.627083333333</v>
      </c>
      <c r="BP2600" s="11">
        <v>45972.627337962964</v>
      </c>
      <c r="BQ2600" s="15">
        <v>46030.654386574075</v>
      </c>
      <c r="BR2600" s="15">
        <v>46029.454884259256</v>
      </c>
      <c r="BS2600" s="10" t="s">
        <v>149</v>
      </c>
      <c r="BT2600" s="10" t="s">
        <v>279</v>
      </c>
      <c r="BU2600" s="10" t="s">
        <v>816</v>
      </c>
      <c r="BV2600" s="10"/>
      <c r="BW2600" s="10"/>
      <c r="BX2600" s="10"/>
      <c r="BY2600" s="23"/>
      <c r="BZ2600" s="23"/>
      <c r="CA2600" s="19" t="s">
        <v>19575</v>
      </c>
      <c r="CB2600" s="19" t="s">
        <v>19576</v>
      </c>
      <c r="CC2600" s="23"/>
      <c r="CD2600" s="19" t="s">
        <v>19577</v>
      </c>
      <c r="CE2600" s="23"/>
      <c r="CF2600" s="23"/>
      <c r="CG2600" s="23"/>
      <c r="CH2600" s="23"/>
      <c r="CI2600" s="23"/>
    </row>
    <row r="2601" spans="1:87" x14ac:dyDescent="0.3">
      <c r="A2601" s="9" t="s">
        <v>19578</v>
      </c>
      <c r="B2601" s="10" t="s">
        <v>19579</v>
      </c>
      <c r="C2601" s="11">
        <v>46033.645833333336</v>
      </c>
      <c r="D2601" s="12">
        <v>8.3333333333333329E-2</v>
      </c>
      <c r="E2601" s="11">
        <v>46033.729166666664</v>
      </c>
      <c r="F2601" s="10" t="s">
        <v>14786</v>
      </c>
      <c r="G2601" s="13" t="b">
        <v>0</v>
      </c>
      <c r="H2601" s="22" t="s">
        <v>14787</v>
      </c>
      <c r="I2601" s="10" t="s">
        <v>3548</v>
      </c>
      <c r="J2601" s="13" t="b">
        <v>0</v>
      </c>
      <c r="K2601" s="13" t="b">
        <v>1</v>
      </c>
      <c r="L2601" s="10" t="s">
        <v>124</v>
      </c>
      <c r="M2601" s="10" t="s">
        <v>91</v>
      </c>
      <c r="N2601" s="10" t="s">
        <v>92</v>
      </c>
      <c r="O2601" s="19" t="s">
        <v>19580</v>
      </c>
      <c r="P2601" s="10"/>
      <c r="Q2601" s="10" t="s">
        <v>126</v>
      </c>
      <c r="R2601" s="10"/>
      <c r="S2601" s="19" t="s">
        <v>19581</v>
      </c>
      <c r="T2601" s="10"/>
      <c r="U2601" s="10" t="s">
        <v>14837</v>
      </c>
      <c r="V2601" s="10" t="s">
        <v>14859</v>
      </c>
      <c r="W2601" s="10" t="s">
        <v>14793</v>
      </c>
      <c r="X2601" s="10" t="s">
        <v>130</v>
      </c>
      <c r="Y2601" s="10" t="s">
        <v>130</v>
      </c>
      <c r="Z2601" s="10" t="s">
        <v>99</v>
      </c>
      <c r="AA2601" s="10" t="s">
        <v>131</v>
      </c>
      <c r="AB2601" s="10" t="s">
        <v>14794</v>
      </c>
      <c r="AC2601" s="10" t="s">
        <v>3521</v>
      </c>
      <c r="AD2601" s="10" t="s">
        <v>19582</v>
      </c>
      <c r="AE2601" s="10" t="s">
        <v>19583</v>
      </c>
      <c r="AF2601" s="15"/>
      <c r="AG2601" s="10"/>
      <c r="AH2601" s="10"/>
      <c r="AI2601" s="10"/>
      <c r="AJ2601" s="10"/>
      <c r="AK2601" s="10" t="s">
        <v>102</v>
      </c>
      <c r="AL2601" s="10" t="s">
        <v>1773</v>
      </c>
      <c r="AM2601" s="10"/>
      <c r="AN2601" s="10"/>
      <c r="AO2601" s="13" t="b">
        <v>1</v>
      </c>
      <c r="AP2601" s="22" t="s">
        <v>104</v>
      </c>
      <c r="AQ2601" s="10">
        <f ca="1">IFERROR(__xludf.DUMMYFUNCTION("""COMPUTED_VALUE"""),4832523)</f>
        <v>4832523</v>
      </c>
      <c r="AR2601" s="17"/>
      <c r="AS2601" s="17"/>
      <c r="AT2601" s="17"/>
      <c r="AU2601" s="17"/>
      <c r="AV2601" s="17"/>
      <c r="AW2601" s="10"/>
      <c r="AX2601" s="17"/>
      <c r="AY2601" s="18" t="s">
        <v>257</v>
      </c>
      <c r="AZ2601" s="10" t="s">
        <v>2099</v>
      </c>
      <c r="BA2601" s="20" t="b">
        <v>0</v>
      </c>
      <c r="BB2601" s="10"/>
      <c r="BC2601" s="17" t="s">
        <v>257</v>
      </c>
      <c r="BD2601" s="17" t="s">
        <v>257</v>
      </c>
      <c r="BE2601" s="17" t="s">
        <v>257</v>
      </c>
      <c r="BF2601" s="17" t="s">
        <v>257</v>
      </c>
      <c r="BG2601" s="11">
        <f ca="1">IFERROR(__xludf.DUMMYFUNCTION("""COMPUTED_VALUE"""),46033.6458333333)</f>
        <v>46033.645833333299</v>
      </c>
      <c r="BH2601" s="17"/>
      <c r="BI2601" s="17"/>
      <c r="BJ2601" s="15"/>
      <c r="BK2601" s="15"/>
      <c r="BL2601" s="13" t="b">
        <v>0</v>
      </c>
      <c r="BM2601" s="10"/>
      <c r="BN2601" s="10" t="s">
        <v>634</v>
      </c>
      <c r="BO2601" s="11">
        <v>45972.62777777778</v>
      </c>
      <c r="BP2601" s="11">
        <v>45972.627962962964</v>
      </c>
      <c r="BQ2601" s="15">
        <v>46030.654583333337</v>
      </c>
      <c r="BR2601" s="15">
        <v>46030.384340277778</v>
      </c>
      <c r="BS2601" s="10" t="s">
        <v>634</v>
      </c>
      <c r="BT2601" s="10" t="s">
        <v>279</v>
      </c>
      <c r="BU2601" s="10" t="s">
        <v>498</v>
      </c>
      <c r="BV2601" s="10"/>
      <c r="BW2601" s="10"/>
      <c r="BX2601" s="10"/>
      <c r="BY2601" s="23"/>
      <c r="BZ2601" s="23"/>
      <c r="CA2601" s="19" t="s">
        <v>19584</v>
      </c>
      <c r="CB2601" s="19" t="s">
        <v>19585</v>
      </c>
      <c r="CC2601" s="23"/>
      <c r="CD2601" s="19" t="s">
        <v>19586</v>
      </c>
      <c r="CE2601" s="23"/>
      <c r="CF2601" s="23"/>
      <c r="CG2601" s="23"/>
      <c r="CH2601" s="23"/>
      <c r="CI2601" s="23"/>
    </row>
    <row r="2602" spans="1:87" x14ac:dyDescent="0.3">
      <c r="A2602" s="9" t="s">
        <v>19587</v>
      </c>
      <c r="B2602" s="10" t="s">
        <v>19588</v>
      </c>
      <c r="C2602" s="11">
        <v>46027.645833333336</v>
      </c>
      <c r="D2602" s="12">
        <v>8.3333333333333329E-2</v>
      </c>
      <c r="E2602" s="11">
        <v>46027.729166666664</v>
      </c>
      <c r="F2602" s="10" t="s">
        <v>14786</v>
      </c>
      <c r="G2602" s="13" t="b">
        <v>0</v>
      </c>
      <c r="H2602" s="22" t="s">
        <v>14787</v>
      </c>
      <c r="I2602" s="10" t="s">
        <v>3548</v>
      </c>
      <c r="J2602" s="13" t="b">
        <v>0</v>
      </c>
      <c r="K2602" s="13" t="b">
        <v>1</v>
      </c>
      <c r="L2602" s="10" t="s">
        <v>124</v>
      </c>
      <c r="M2602" s="10" t="s">
        <v>91</v>
      </c>
      <c r="N2602" s="10" t="s">
        <v>92</v>
      </c>
      <c r="O2602" s="19" t="s">
        <v>19589</v>
      </c>
      <c r="P2602" s="10"/>
      <c r="Q2602" s="10" t="s">
        <v>126</v>
      </c>
      <c r="R2602" s="10"/>
      <c r="S2602" s="19" t="s">
        <v>19590</v>
      </c>
      <c r="T2602" s="10"/>
      <c r="U2602" s="10" t="s">
        <v>14859</v>
      </c>
      <c r="V2602" s="10" t="s">
        <v>14827</v>
      </c>
      <c r="W2602" s="10" t="s">
        <v>14793</v>
      </c>
      <c r="X2602" s="10" t="s">
        <v>130</v>
      </c>
      <c r="Y2602" s="10" t="s">
        <v>130</v>
      </c>
      <c r="Z2602" s="10" t="s">
        <v>99</v>
      </c>
      <c r="AA2602" s="10" t="s">
        <v>131</v>
      </c>
      <c r="AB2602" s="10" t="s">
        <v>14794</v>
      </c>
      <c r="AC2602" s="10" t="s">
        <v>3521</v>
      </c>
      <c r="AD2602" s="10" t="s">
        <v>19591</v>
      </c>
      <c r="AE2602" s="10" t="s">
        <v>19592</v>
      </c>
      <c r="AF2602" s="15"/>
      <c r="AG2602" s="10"/>
      <c r="AH2602" s="10"/>
      <c r="AI2602" s="10"/>
      <c r="AJ2602" s="10"/>
      <c r="AK2602" s="10" t="s">
        <v>102</v>
      </c>
      <c r="AL2602" s="10" t="s">
        <v>1671</v>
      </c>
      <c r="AM2602" s="10"/>
      <c r="AN2602" s="10"/>
      <c r="AO2602" s="13" t="b">
        <v>0</v>
      </c>
      <c r="AP2602" s="22" t="s">
        <v>104</v>
      </c>
      <c r="AQ2602" s="10">
        <f ca="1">IFERROR(__xludf.DUMMYFUNCTION("""COMPUTED_VALUE"""),4827314)</f>
        <v>4827314</v>
      </c>
      <c r="AR2602" s="17">
        <v>36137</v>
      </c>
      <c r="AS2602" s="17">
        <v>21570</v>
      </c>
      <c r="AT2602" s="17">
        <v>477246.75</v>
      </c>
      <c r="AU2602" s="17">
        <v>379</v>
      </c>
      <c r="AV2602" s="17">
        <v>141.55000000000001</v>
      </c>
      <c r="AW2602" s="10" t="s">
        <v>105</v>
      </c>
      <c r="AX2602" s="17">
        <v>8380</v>
      </c>
      <c r="AY2602" s="18">
        <v>22.125486787204451</v>
      </c>
      <c r="AZ2602" s="10" t="s">
        <v>136</v>
      </c>
      <c r="BA2602" s="20" t="b">
        <v>0</v>
      </c>
      <c r="BB2602" s="10"/>
      <c r="BC2602" s="17">
        <v>36137</v>
      </c>
      <c r="BD2602" s="17">
        <v>21570</v>
      </c>
      <c r="BE2602" s="17">
        <v>477246.75</v>
      </c>
      <c r="BF2602" s="17">
        <v>141.55000000000001</v>
      </c>
      <c r="BG2602" s="11">
        <f ca="1">IFERROR(__xludf.DUMMYFUNCTION("""COMPUTED_VALUE"""),46027.6458333333)</f>
        <v>46027.645833333299</v>
      </c>
      <c r="BH2602" s="17" t="s">
        <v>105</v>
      </c>
      <c r="BI2602" s="17"/>
      <c r="BJ2602" s="15"/>
      <c r="BK2602" s="15"/>
      <c r="BL2602" s="13" t="b">
        <v>0</v>
      </c>
      <c r="BM2602" s="10"/>
      <c r="BN2602" s="10" t="s">
        <v>455</v>
      </c>
      <c r="BO2602" s="11">
        <v>45972.62777777778</v>
      </c>
      <c r="BP2602" s="11">
        <v>45972.627974537034</v>
      </c>
      <c r="BQ2602" s="15">
        <v>46019.816030092596</v>
      </c>
      <c r="BR2602" s="15">
        <v>46025.589108796295</v>
      </c>
      <c r="BS2602" s="10" t="s">
        <v>455</v>
      </c>
      <c r="BT2602" s="10" t="s">
        <v>279</v>
      </c>
      <c r="BU2602" s="10" t="s">
        <v>280</v>
      </c>
      <c r="BV2602" s="10"/>
      <c r="BW2602" s="10"/>
      <c r="BX2602" s="10"/>
      <c r="BY2602" s="23"/>
      <c r="BZ2602" s="23"/>
      <c r="CA2602" s="19" t="s">
        <v>19593</v>
      </c>
      <c r="CB2602" s="19" t="s">
        <v>19594</v>
      </c>
      <c r="CC2602" s="23"/>
      <c r="CD2602" s="19" t="s">
        <v>19595</v>
      </c>
      <c r="CE2602" s="23"/>
      <c r="CF2602" s="23"/>
      <c r="CG2602" s="23"/>
      <c r="CH2602" s="23"/>
      <c r="CI2602" s="23"/>
    </row>
    <row r="2603" spans="1:87" x14ac:dyDescent="0.3">
      <c r="A2603" s="9" t="s">
        <v>19596</v>
      </c>
      <c r="B2603" s="10" t="s">
        <v>19597</v>
      </c>
      <c r="C2603" s="11">
        <v>46040.645833333336</v>
      </c>
      <c r="D2603" s="12">
        <v>8.3333333333333329E-2</v>
      </c>
      <c r="E2603" s="11">
        <v>46040.729166666664</v>
      </c>
      <c r="F2603" s="10" t="s">
        <v>14786</v>
      </c>
      <c r="G2603" s="13" t="b">
        <v>0</v>
      </c>
      <c r="H2603" s="22" t="s">
        <v>14787</v>
      </c>
      <c r="I2603" s="10" t="s">
        <v>212</v>
      </c>
      <c r="J2603" s="13" t="b">
        <v>1</v>
      </c>
      <c r="K2603" s="13" t="b">
        <v>0</v>
      </c>
      <c r="L2603" s="10" t="s">
        <v>124</v>
      </c>
      <c r="M2603" s="10" t="s">
        <v>91</v>
      </c>
      <c r="N2603" s="10" t="s">
        <v>3513</v>
      </c>
      <c r="O2603" s="10"/>
      <c r="P2603" s="10"/>
      <c r="Q2603" s="10" t="s">
        <v>126</v>
      </c>
      <c r="R2603" s="10"/>
      <c r="S2603" s="10"/>
      <c r="T2603" s="10"/>
      <c r="U2603" s="10" t="s">
        <v>14827</v>
      </c>
      <c r="V2603" s="10" t="s">
        <v>14849</v>
      </c>
      <c r="W2603" s="10" t="s">
        <v>14793</v>
      </c>
      <c r="X2603" s="10" t="s">
        <v>130</v>
      </c>
      <c r="Y2603" s="10" t="s">
        <v>130</v>
      </c>
      <c r="Z2603" s="10" t="s">
        <v>99</v>
      </c>
      <c r="AA2603" s="10" t="s">
        <v>131</v>
      </c>
      <c r="AB2603" s="10" t="s">
        <v>14794</v>
      </c>
      <c r="AC2603" s="10" t="s">
        <v>3521</v>
      </c>
      <c r="AD2603" s="10" t="s">
        <v>19598</v>
      </c>
      <c r="AE2603" s="10" t="s">
        <v>19599</v>
      </c>
      <c r="AF2603" s="15"/>
      <c r="AG2603" s="10"/>
      <c r="AH2603" s="10"/>
      <c r="AI2603" s="10"/>
      <c r="AJ2603" s="10"/>
      <c r="AK2603" s="10"/>
      <c r="AL2603" s="10" t="s">
        <v>1876</v>
      </c>
      <c r="AM2603" s="10"/>
      <c r="AN2603" s="10"/>
      <c r="AO2603" s="13" t="b">
        <v>0</v>
      </c>
      <c r="AP2603" s="22" t="s">
        <v>104</v>
      </c>
      <c r="AQ2603" s="10"/>
      <c r="AR2603" s="17"/>
      <c r="AS2603" s="17"/>
      <c r="AT2603" s="17"/>
      <c r="AU2603" s="17"/>
      <c r="AV2603" s="17"/>
      <c r="AW2603" s="10"/>
      <c r="AX2603" s="17"/>
      <c r="AY2603" s="18" t="s">
        <v>257</v>
      </c>
      <c r="AZ2603" s="10"/>
      <c r="BA2603" s="20" t="b">
        <v>0</v>
      </c>
      <c r="BB2603" s="10"/>
      <c r="BC2603" s="17" t="s">
        <v>257</v>
      </c>
      <c r="BD2603" s="17" t="s">
        <v>257</v>
      </c>
      <c r="BE2603" s="17" t="s">
        <v>257</v>
      </c>
      <c r="BF2603" s="17" t="s">
        <v>257</v>
      </c>
      <c r="BG2603" s="11">
        <f ca="1">IFERROR(__xludf.DUMMYFUNCTION("""COMPUTED_VALUE"""),46040.6458333333)</f>
        <v>46040.645833333299</v>
      </c>
      <c r="BH2603" s="17"/>
      <c r="BI2603" s="17"/>
      <c r="BJ2603" s="15"/>
      <c r="BK2603" s="15"/>
      <c r="BL2603" s="13" t="b">
        <v>0</v>
      </c>
      <c r="BM2603" s="10"/>
      <c r="BN2603" s="10" t="s">
        <v>18577</v>
      </c>
      <c r="BO2603" s="11">
        <v>45972.62777777778</v>
      </c>
      <c r="BP2603" s="11">
        <v>45972.628333333334</v>
      </c>
      <c r="BQ2603" s="15"/>
      <c r="BR2603" s="15"/>
      <c r="BS2603" s="10"/>
      <c r="BT2603" s="10" t="s">
        <v>99</v>
      </c>
      <c r="BU2603" s="10"/>
      <c r="BV2603" s="10"/>
      <c r="BW2603" s="10"/>
      <c r="BX2603" s="10"/>
      <c r="BY2603" s="23"/>
      <c r="BZ2603" s="23"/>
      <c r="CA2603" s="23"/>
      <c r="CB2603" s="23"/>
      <c r="CC2603" s="23"/>
      <c r="CD2603" s="23"/>
      <c r="CE2603" s="23"/>
      <c r="CF2603" s="23"/>
      <c r="CG2603" s="23"/>
      <c r="CH2603" s="23"/>
      <c r="CI2603" s="23"/>
    </row>
    <row r="2604" spans="1:87" x14ac:dyDescent="0.3">
      <c r="A2604" s="9" t="s">
        <v>19600</v>
      </c>
      <c r="B2604" s="10" t="s">
        <v>19601</v>
      </c>
      <c r="C2604" s="11">
        <v>46033.645833333336</v>
      </c>
      <c r="D2604" s="12">
        <v>8.3333333333333329E-2</v>
      </c>
      <c r="E2604" s="11">
        <v>46033.729166666664</v>
      </c>
      <c r="F2604" s="10" t="s">
        <v>14786</v>
      </c>
      <c r="G2604" s="13" t="b">
        <v>0</v>
      </c>
      <c r="H2604" s="22" t="s">
        <v>14787</v>
      </c>
      <c r="I2604" s="10" t="s">
        <v>212</v>
      </c>
      <c r="J2604" s="13" t="b">
        <v>1</v>
      </c>
      <c r="K2604" s="13" t="b">
        <v>0</v>
      </c>
      <c r="L2604" s="10" t="s">
        <v>124</v>
      </c>
      <c r="M2604" s="10" t="s">
        <v>91</v>
      </c>
      <c r="N2604" s="10" t="s">
        <v>92</v>
      </c>
      <c r="O2604" s="19" t="s">
        <v>19602</v>
      </c>
      <c r="P2604" s="10"/>
      <c r="Q2604" s="10" t="s">
        <v>126</v>
      </c>
      <c r="R2604" s="10"/>
      <c r="S2604" s="19" t="s">
        <v>19603</v>
      </c>
      <c r="T2604" s="10"/>
      <c r="U2604" s="10" t="s">
        <v>14804</v>
      </c>
      <c r="V2604" s="10" t="s">
        <v>14893</v>
      </c>
      <c r="W2604" s="10" t="s">
        <v>14793</v>
      </c>
      <c r="X2604" s="10" t="s">
        <v>130</v>
      </c>
      <c r="Y2604" s="10" t="s">
        <v>130</v>
      </c>
      <c r="Z2604" s="10" t="s">
        <v>99</v>
      </c>
      <c r="AA2604" s="10" t="s">
        <v>131</v>
      </c>
      <c r="AB2604" s="10" t="s">
        <v>14794</v>
      </c>
      <c r="AC2604" s="10" t="s">
        <v>3521</v>
      </c>
      <c r="AD2604" s="10" t="s">
        <v>19604</v>
      </c>
      <c r="AE2604" s="10" t="s">
        <v>19605</v>
      </c>
      <c r="AF2604" s="15"/>
      <c r="AG2604" s="10"/>
      <c r="AH2604" s="10"/>
      <c r="AI2604" s="10"/>
      <c r="AJ2604" s="10"/>
      <c r="AK2604" s="10" t="s">
        <v>102</v>
      </c>
      <c r="AL2604" s="10" t="s">
        <v>1773</v>
      </c>
      <c r="AM2604" s="10"/>
      <c r="AN2604" s="10"/>
      <c r="AO2604" s="13" t="b">
        <v>0</v>
      </c>
      <c r="AP2604" s="22" t="s">
        <v>104</v>
      </c>
      <c r="AQ2604" s="10">
        <f ca="1">IFERROR(__xludf.DUMMYFUNCTION("""COMPUTED_VALUE"""),4832539)</f>
        <v>4832539</v>
      </c>
      <c r="AR2604" s="17"/>
      <c r="AS2604" s="17"/>
      <c r="AT2604" s="17"/>
      <c r="AU2604" s="17"/>
      <c r="AV2604" s="17"/>
      <c r="AW2604" s="10"/>
      <c r="AX2604" s="17"/>
      <c r="AY2604" s="18" t="s">
        <v>257</v>
      </c>
      <c r="AZ2604" s="10" t="s">
        <v>2099</v>
      </c>
      <c r="BA2604" s="20" t="b">
        <v>0</v>
      </c>
      <c r="BB2604" s="10"/>
      <c r="BC2604" s="17" t="s">
        <v>257</v>
      </c>
      <c r="BD2604" s="17" t="s">
        <v>257</v>
      </c>
      <c r="BE2604" s="17" t="s">
        <v>257</v>
      </c>
      <c r="BF2604" s="17" t="s">
        <v>257</v>
      </c>
      <c r="BG2604" s="11">
        <f ca="1">IFERROR(__xludf.DUMMYFUNCTION("""COMPUTED_VALUE"""),46033.6458333333)</f>
        <v>46033.645833333299</v>
      </c>
      <c r="BH2604" s="17"/>
      <c r="BI2604" s="17"/>
      <c r="BJ2604" s="15"/>
      <c r="BK2604" s="15"/>
      <c r="BL2604" s="13" t="b">
        <v>0</v>
      </c>
      <c r="BM2604" s="10"/>
      <c r="BN2604" s="10" t="s">
        <v>634</v>
      </c>
      <c r="BO2604" s="11">
        <v>45972.628472222219</v>
      </c>
      <c r="BP2604" s="11">
        <v>45972.628587962965</v>
      </c>
      <c r="BQ2604" s="15">
        <v>46030.654872685183</v>
      </c>
      <c r="BR2604" s="15">
        <v>46030.437905092593</v>
      </c>
      <c r="BS2604" s="10" t="s">
        <v>634</v>
      </c>
      <c r="BT2604" s="10" t="s">
        <v>279</v>
      </c>
      <c r="BU2604" s="10" t="s">
        <v>816</v>
      </c>
      <c r="BV2604" s="10"/>
      <c r="BW2604" s="10"/>
      <c r="BX2604" s="10"/>
      <c r="BY2604" s="23"/>
      <c r="BZ2604" s="23"/>
      <c r="CA2604" s="19" t="s">
        <v>19606</v>
      </c>
      <c r="CB2604" s="19" t="s">
        <v>19607</v>
      </c>
      <c r="CC2604" s="23"/>
      <c r="CD2604" s="19" t="s">
        <v>19608</v>
      </c>
      <c r="CE2604" s="23"/>
      <c r="CF2604" s="23"/>
      <c r="CG2604" s="23"/>
      <c r="CH2604" s="23"/>
      <c r="CI2604" s="23"/>
    </row>
    <row r="2605" spans="1:87" x14ac:dyDescent="0.3">
      <c r="A2605" s="9" t="s">
        <v>19609</v>
      </c>
      <c r="B2605" s="10" t="s">
        <v>19610</v>
      </c>
      <c r="C2605" s="11">
        <v>46027.791666666664</v>
      </c>
      <c r="D2605" s="12">
        <v>8.3333333333333329E-2</v>
      </c>
      <c r="E2605" s="11">
        <v>46027.875</v>
      </c>
      <c r="F2605" s="10" t="s">
        <v>14786</v>
      </c>
      <c r="G2605" s="13" t="b">
        <v>0</v>
      </c>
      <c r="H2605" s="22" t="s">
        <v>14787</v>
      </c>
      <c r="I2605" s="10" t="s">
        <v>3548</v>
      </c>
      <c r="J2605" s="13" t="b">
        <v>0</v>
      </c>
      <c r="K2605" s="13" t="b">
        <v>1</v>
      </c>
      <c r="L2605" s="10" t="s">
        <v>124</v>
      </c>
      <c r="M2605" s="10" t="s">
        <v>91</v>
      </c>
      <c r="N2605" s="10" t="s">
        <v>92</v>
      </c>
      <c r="O2605" s="19" t="s">
        <v>19611</v>
      </c>
      <c r="P2605" s="10"/>
      <c r="Q2605" s="10" t="s">
        <v>126</v>
      </c>
      <c r="R2605" s="10"/>
      <c r="S2605" s="19" t="s">
        <v>19612</v>
      </c>
      <c r="T2605" s="10"/>
      <c r="U2605" s="10" t="s">
        <v>14860</v>
      </c>
      <c r="V2605" s="10" t="s">
        <v>14848</v>
      </c>
      <c r="W2605" s="10" t="s">
        <v>14793</v>
      </c>
      <c r="X2605" s="10" t="s">
        <v>130</v>
      </c>
      <c r="Y2605" s="10" t="s">
        <v>130</v>
      </c>
      <c r="Z2605" s="10" t="s">
        <v>99</v>
      </c>
      <c r="AA2605" s="10" t="s">
        <v>131</v>
      </c>
      <c r="AB2605" s="10" t="s">
        <v>14794</v>
      </c>
      <c r="AC2605" s="10" t="s">
        <v>3521</v>
      </c>
      <c r="AD2605" s="10" t="s">
        <v>19613</v>
      </c>
      <c r="AE2605" s="10" t="s">
        <v>19614</v>
      </c>
      <c r="AF2605" s="15"/>
      <c r="AG2605" s="10"/>
      <c r="AH2605" s="10"/>
      <c r="AI2605" s="10"/>
      <c r="AJ2605" s="10"/>
      <c r="AK2605" s="10" t="s">
        <v>102</v>
      </c>
      <c r="AL2605" s="10" t="s">
        <v>1671</v>
      </c>
      <c r="AM2605" s="10"/>
      <c r="AN2605" s="10"/>
      <c r="AO2605" s="13" t="b">
        <v>0</v>
      </c>
      <c r="AP2605" s="22" t="s">
        <v>104</v>
      </c>
      <c r="AQ2605" s="10">
        <f ca="1">IFERROR(__xludf.DUMMYFUNCTION("""COMPUTED_VALUE"""),4827315)</f>
        <v>4827315</v>
      </c>
      <c r="AR2605" s="17">
        <v>45097</v>
      </c>
      <c r="AS2605" s="17">
        <v>26015</v>
      </c>
      <c r="AT2605" s="17">
        <v>552360</v>
      </c>
      <c r="AU2605" s="17">
        <v>426.7</v>
      </c>
      <c r="AV2605" s="17">
        <v>117.2</v>
      </c>
      <c r="AW2605" s="10" t="s">
        <v>105</v>
      </c>
      <c r="AX2605" s="17">
        <v>9968</v>
      </c>
      <c r="AY2605" s="18">
        <v>21.232365942725352</v>
      </c>
      <c r="AZ2605" s="10" t="s">
        <v>2099</v>
      </c>
      <c r="BA2605" s="20" t="b">
        <v>0</v>
      </c>
      <c r="BB2605" s="10"/>
      <c r="BC2605" s="17">
        <v>45097</v>
      </c>
      <c r="BD2605" s="17">
        <v>26015</v>
      </c>
      <c r="BE2605" s="17">
        <v>552360</v>
      </c>
      <c r="BF2605" s="17">
        <v>117.2</v>
      </c>
      <c r="BG2605" s="11">
        <f ca="1">IFERROR(__xludf.DUMMYFUNCTION("""COMPUTED_VALUE"""),46027.7916666666)</f>
        <v>46027.791666666599</v>
      </c>
      <c r="BH2605" s="17" t="s">
        <v>105</v>
      </c>
      <c r="BI2605" s="17"/>
      <c r="BJ2605" s="15"/>
      <c r="BK2605" s="15"/>
      <c r="BL2605" s="13" t="b">
        <v>0</v>
      </c>
      <c r="BM2605" s="10"/>
      <c r="BN2605" s="10" t="s">
        <v>455</v>
      </c>
      <c r="BO2605" s="11">
        <v>45972.628472222219</v>
      </c>
      <c r="BP2605" s="11">
        <v>45972.628703703704</v>
      </c>
      <c r="BQ2605" s="15">
        <v>46015.640972222223</v>
      </c>
      <c r="BR2605" s="15">
        <v>46025.589814814812</v>
      </c>
      <c r="BS2605" s="10" t="s">
        <v>455</v>
      </c>
      <c r="BT2605" s="10" t="s">
        <v>279</v>
      </c>
      <c r="BU2605" s="10" t="s">
        <v>298</v>
      </c>
      <c r="BV2605" s="10"/>
      <c r="BW2605" s="10"/>
      <c r="BX2605" s="10"/>
      <c r="BY2605" s="23"/>
      <c r="BZ2605" s="23"/>
      <c r="CA2605" s="19" t="s">
        <v>19615</v>
      </c>
      <c r="CB2605" s="19" t="s">
        <v>19616</v>
      </c>
      <c r="CC2605" s="23"/>
      <c r="CD2605" s="19" t="s">
        <v>19617</v>
      </c>
      <c r="CE2605" s="23"/>
      <c r="CF2605" s="23"/>
      <c r="CG2605" s="23"/>
      <c r="CH2605" s="23"/>
      <c r="CI2605" s="23"/>
    </row>
    <row r="2606" spans="1:87" x14ac:dyDescent="0.3">
      <c r="A2606" s="9" t="s">
        <v>19618</v>
      </c>
      <c r="B2606" s="10" t="s">
        <v>19619</v>
      </c>
      <c r="C2606" s="11">
        <v>46040.645833333336</v>
      </c>
      <c r="D2606" s="12">
        <v>8.3333333333333329E-2</v>
      </c>
      <c r="E2606" s="11">
        <v>46040.729166666664</v>
      </c>
      <c r="F2606" s="10" t="s">
        <v>14786</v>
      </c>
      <c r="G2606" s="13" t="b">
        <v>0</v>
      </c>
      <c r="H2606" s="22" t="s">
        <v>14787</v>
      </c>
      <c r="I2606" s="10" t="s">
        <v>3548</v>
      </c>
      <c r="J2606" s="13" t="b">
        <v>0</v>
      </c>
      <c r="K2606" s="13" t="b">
        <v>1</v>
      </c>
      <c r="L2606" s="10" t="s">
        <v>124</v>
      </c>
      <c r="M2606" s="10" t="s">
        <v>91</v>
      </c>
      <c r="N2606" s="10" t="s">
        <v>3513</v>
      </c>
      <c r="O2606" s="10"/>
      <c r="P2606" s="10"/>
      <c r="Q2606" s="10" t="s">
        <v>126</v>
      </c>
      <c r="R2606" s="10"/>
      <c r="S2606" s="10"/>
      <c r="T2606" s="10"/>
      <c r="U2606" s="10" t="s">
        <v>14848</v>
      </c>
      <c r="V2606" s="10" t="s">
        <v>14837</v>
      </c>
      <c r="W2606" s="10" t="s">
        <v>14793</v>
      </c>
      <c r="X2606" s="10" t="s">
        <v>130</v>
      </c>
      <c r="Y2606" s="10" t="s">
        <v>130</v>
      </c>
      <c r="Z2606" s="10" t="s">
        <v>99</v>
      </c>
      <c r="AA2606" s="10" t="s">
        <v>131</v>
      </c>
      <c r="AB2606" s="10" t="s">
        <v>14794</v>
      </c>
      <c r="AC2606" s="10" t="s">
        <v>3521</v>
      </c>
      <c r="AD2606" s="10" t="s">
        <v>19620</v>
      </c>
      <c r="AE2606" s="10" t="s">
        <v>19621</v>
      </c>
      <c r="AF2606" s="15"/>
      <c r="AG2606" s="10"/>
      <c r="AH2606" s="10"/>
      <c r="AI2606" s="10"/>
      <c r="AJ2606" s="10"/>
      <c r="AK2606" s="10"/>
      <c r="AL2606" s="10" t="s">
        <v>1876</v>
      </c>
      <c r="AM2606" s="10"/>
      <c r="AN2606" s="10"/>
      <c r="AO2606" s="13" t="b">
        <v>1</v>
      </c>
      <c r="AP2606" s="22" t="s">
        <v>104</v>
      </c>
      <c r="AQ2606" s="10"/>
      <c r="AR2606" s="17"/>
      <c r="AS2606" s="17"/>
      <c r="AT2606" s="17"/>
      <c r="AU2606" s="17"/>
      <c r="AV2606" s="17"/>
      <c r="AW2606" s="10"/>
      <c r="AX2606" s="17"/>
      <c r="AY2606" s="18" t="s">
        <v>257</v>
      </c>
      <c r="AZ2606" s="10"/>
      <c r="BA2606" s="20" t="b">
        <v>0</v>
      </c>
      <c r="BB2606" s="10"/>
      <c r="BC2606" s="17" t="s">
        <v>257</v>
      </c>
      <c r="BD2606" s="17" t="s">
        <v>257</v>
      </c>
      <c r="BE2606" s="17" t="s">
        <v>257</v>
      </c>
      <c r="BF2606" s="17" t="s">
        <v>257</v>
      </c>
      <c r="BG2606" s="11">
        <f ca="1">IFERROR(__xludf.DUMMYFUNCTION("""COMPUTED_VALUE"""),46040.6458333333)</f>
        <v>46040.645833333299</v>
      </c>
      <c r="BH2606" s="17"/>
      <c r="BI2606" s="17"/>
      <c r="BJ2606" s="15"/>
      <c r="BK2606" s="15"/>
      <c r="BL2606" s="13" t="b">
        <v>0</v>
      </c>
      <c r="BM2606" s="10"/>
      <c r="BN2606" s="10" t="s">
        <v>18577</v>
      </c>
      <c r="BO2606" s="11">
        <v>45972.628472222219</v>
      </c>
      <c r="BP2606" s="11">
        <v>45972.631249999999</v>
      </c>
      <c r="BQ2606" s="15"/>
      <c r="BR2606" s="15"/>
      <c r="BS2606" s="10"/>
      <c r="BT2606" s="10" t="s">
        <v>99</v>
      </c>
      <c r="BU2606" s="10"/>
      <c r="BV2606" s="10"/>
      <c r="BW2606" s="10"/>
      <c r="BX2606" s="10"/>
      <c r="BY2606" s="23"/>
      <c r="BZ2606" s="23"/>
      <c r="CA2606" s="23"/>
      <c r="CB2606" s="23"/>
      <c r="CC2606" s="23"/>
      <c r="CD2606" s="23"/>
      <c r="CE2606" s="23"/>
      <c r="CF2606" s="23"/>
      <c r="CG2606" s="23"/>
      <c r="CH2606" s="23"/>
      <c r="CI2606" s="23"/>
    </row>
    <row r="2607" spans="1:87" x14ac:dyDescent="0.3">
      <c r="A2607" s="9" t="s">
        <v>19622</v>
      </c>
      <c r="B2607" s="10" t="s">
        <v>19623</v>
      </c>
      <c r="C2607" s="11">
        <v>46033.791666666664</v>
      </c>
      <c r="D2607" s="12">
        <v>8.3333333333333329E-2</v>
      </c>
      <c r="E2607" s="11">
        <v>46033.875</v>
      </c>
      <c r="F2607" s="10" t="s">
        <v>14786</v>
      </c>
      <c r="G2607" s="13" t="b">
        <v>0</v>
      </c>
      <c r="H2607" s="22" t="s">
        <v>14787</v>
      </c>
      <c r="I2607" s="10" t="s">
        <v>212</v>
      </c>
      <c r="J2607" s="13" t="b">
        <v>1</v>
      </c>
      <c r="K2607" s="13" t="b">
        <v>0</v>
      </c>
      <c r="L2607" s="10" t="s">
        <v>124</v>
      </c>
      <c r="M2607" s="10" t="s">
        <v>91</v>
      </c>
      <c r="N2607" s="10" t="s">
        <v>92</v>
      </c>
      <c r="O2607" s="19" t="s">
        <v>19624</v>
      </c>
      <c r="P2607" s="10"/>
      <c r="Q2607" s="10" t="s">
        <v>126</v>
      </c>
      <c r="R2607" s="10"/>
      <c r="S2607" s="19" t="s">
        <v>19625</v>
      </c>
      <c r="T2607" s="10"/>
      <c r="U2607" s="10" t="s">
        <v>14838</v>
      </c>
      <c r="V2607" s="10" t="s">
        <v>14860</v>
      </c>
      <c r="W2607" s="10" t="s">
        <v>14793</v>
      </c>
      <c r="X2607" s="10" t="s">
        <v>130</v>
      </c>
      <c r="Y2607" s="10" t="s">
        <v>130</v>
      </c>
      <c r="Z2607" s="10" t="s">
        <v>99</v>
      </c>
      <c r="AA2607" s="10" t="s">
        <v>131</v>
      </c>
      <c r="AB2607" s="10" t="s">
        <v>14794</v>
      </c>
      <c r="AC2607" s="10" t="s">
        <v>3521</v>
      </c>
      <c r="AD2607" s="10" t="s">
        <v>19626</v>
      </c>
      <c r="AE2607" s="10" t="s">
        <v>19627</v>
      </c>
      <c r="AF2607" s="15"/>
      <c r="AG2607" s="10"/>
      <c r="AH2607" s="10"/>
      <c r="AI2607" s="10"/>
      <c r="AJ2607" s="10"/>
      <c r="AK2607" s="10" t="s">
        <v>102</v>
      </c>
      <c r="AL2607" s="10" t="s">
        <v>1773</v>
      </c>
      <c r="AM2607" s="10"/>
      <c r="AN2607" s="10"/>
      <c r="AO2607" s="13" t="b">
        <v>0</v>
      </c>
      <c r="AP2607" s="22" t="s">
        <v>104</v>
      </c>
      <c r="AQ2607" s="10">
        <f ca="1">IFERROR(__xludf.DUMMYFUNCTION("""COMPUTED_VALUE"""),4832540)</f>
        <v>4832540</v>
      </c>
      <c r="AR2607" s="17"/>
      <c r="AS2607" s="17"/>
      <c r="AT2607" s="17"/>
      <c r="AU2607" s="17"/>
      <c r="AV2607" s="17"/>
      <c r="AW2607" s="10"/>
      <c r="AX2607" s="17"/>
      <c r="AY2607" s="18" t="s">
        <v>257</v>
      </c>
      <c r="AZ2607" s="10" t="s">
        <v>2099</v>
      </c>
      <c r="BA2607" s="20" t="b">
        <v>0</v>
      </c>
      <c r="BB2607" s="10"/>
      <c r="BC2607" s="17" t="s">
        <v>257</v>
      </c>
      <c r="BD2607" s="17" t="s">
        <v>257</v>
      </c>
      <c r="BE2607" s="17" t="s">
        <v>257</v>
      </c>
      <c r="BF2607" s="17" t="s">
        <v>257</v>
      </c>
      <c r="BG2607" s="11">
        <f ca="1">IFERROR(__xludf.DUMMYFUNCTION("""COMPUTED_VALUE"""),46033.7916666666)</f>
        <v>46033.791666666599</v>
      </c>
      <c r="BH2607" s="17"/>
      <c r="BI2607" s="17"/>
      <c r="BJ2607" s="15"/>
      <c r="BK2607" s="15"/>
      <c r="BL2607" s="13" t="b">
        <v>0</v>
      </c>
      <c r="BM2607" s="10"/>
      <c r="BN2607" s="10" t="s">
        <v>634</v>
      </c>
      <c r="BO2607" s="11">
        <v>45972.628472222219</v>
      </c>
      <c r="BP2607" s="11">
        <v>45972.629166666666</v>
      </c>
      <c r="BQ2607" s="15">
        <v>46030.65525462963</v>
      </c>
      <c r="BR2607" s="15">
        <v>46030.43822916667</v>
      </c>
      <c r="BS2607" s="10" t="s">
        <v>634</v>
      </c>
      <c r="BT2607" s="10" t="s">
        <v>279</v>
      </c>
      <c r="BU2607" s="10" t="s">
        <v>498</v>
      </c>
      <c r="BV2607" s="10"/>
      <c r="BW2607" s="10"/>
      <c r="BX2607" s="10"/>
      <c r="BY2607" s="23"/>
      <c r="BZ2607" s="23"/>
      <c r="CA2607" s="19" t="s">
        <v>19628</v>
      </c>
      <c r="CB2607" s="19" t="s">
        <v>19629</v>
      </c>
      <c r="CC2607" s="23"/>
      <c r="CD2607" s="19" t="s">
        <v>19630</v>
      </c>
      <c r="CE2607" s="23"/>
      <c r="CF2607" s="23"/>
      <c r="CG2607" s="23"/>
      <c r="CH2607" s="23"/>
      <c r="CI2607" s="23"/>
    </row>
    <row r="2608" spans="1:87" x14ac:dyDescent="0.3">
      <c r="A2608" s="9" t="s">
        <v>19631</v>
      </c>
      <c r="B2608" s="10" t="s">
        <v>19632</v>
      </c>
      <c r="C2608" s="11">
        <v>46040.854166666664</v>
      </c>
      <c r="D2608" s="12">
        <v>8.3333333333333329E-2</v>
      </c>
      <c r="E2608" s="11">
        <v>46040.9375</v>
      </c>
      <c r="F2608" s="10" t="s">
        <v>14786</v>
      </c>
      <c r="G2608" s="13" t="b">
        <v>0</v>
      </c>
      <c r="H2608" s="22" t="s">
        <v>14787</v>
      </c>
      <c r="I2608" s="10" t="s">
        <v>3548</v>
      </c>
      <c r="J2608" s="13" t="b">
        <v>0</v>
      </c>
      <c r="K2608" s="13" t="b">
        <v>1</v>
      </c>
      <c r="L2608" s="10" t="s">
        <v>124</v>
      </c>
      <c r="M2608" s="10" t="s">
        <v>91</v>
      </c>
      <c r="N2608" s="10" t="s">
        <v>3513</v>
      </c>
      <c r="O2608" s="10"/>
      <c r="P2608" s="10"/>
      <c r="Q2608" s="10" t="s">
        <v>126</v>
      </c>
      <c r="R2608" s="10"/>
      <c r="S2608" s="10"/>
      <c r="T2608" s="10"/>
      <c r="U2608" s="10" t="s">
        <v>14892</v>
      </c>
      <c r="V2608" s="10" t="s">
        <v>14804</v>
      </c>
      <c r="W2608" s="10" t="s">
        <v>14793</v>
      </c>
      <c r="X2608" s="10" t="s">
        <v>130</v>
      </c>
      <c r="Y2608" s="10" t="s">
        <v>130</v>
      </c>
      <c r="Z2608" s="10" t="s">
        <v>99</v>
      </c>
      <c r="AA2608" s="10" t="s">
        <v>131</v>
      </c>
      <c r="AB2608" s="10" t="s">
        <v>14794</v>
      </c>
      <c r="AC2608" s="10" t="s">
        <v>3521</v>
      </c>
      <c r="AD2608" s="10" t="s">
        <v>19633</v>
      </c>
      <c r="AE2608" s="10" t="s">
        <v>19634</v>
      </c>
      <c r="AF2608" s="15"/>
      <c r="AG2608" s="10"/>
      <c r="AH2608" s="10"/>
      <c r="AI2608" s="10"/>
      <c r="AJ2608" s="10"/>
      <c r="AK2608" s="10"/>
      <c r="AL2608" s="10" t="s">
        <v>1876</v>
      </c>
      <c r="AM2608" s="10"/>
      <c r="AN2608" s="10"/>
      <c r="AO2608" s="13" t="b">
        <v>0</v>
      </c>
      <c r="AP2608" s="22" t="s">
        <v>104</v>
      </c>
      <c r="AQ2608" s="10"/>
      <c r="AR2608" s="17"/>
      <c r="AS2608" s="17"/>
      <c r="AT2608" s="17"/>
      <c r="AU2608" s="17"/>
      <c r="AV2608" s="17"/>
      <c r="AW2608" s="10"/>
      <c r="AX2608" s="17"/>
      <c r="AY2608" s="18" t="s">
        <v>257</v>
      </c>
      <c r="AZ2608" s="10"/>
      <c r="BA2608" s="20" t="b">
        <v>0</v>
      </c>
      <c r="BB2608" s="10"/>
      <c r="BC2608" s="17" t="s">
        <v>257</v>
      </c>
      <c r="BD2608" s="17" t="s">
        <v>257</v>
      </c>
      <c r="BE2608" s="17" t="s">
        <v>257</v>
      </c>
      <c r="BF2608" s="17" t="s">
        <v>257</v>
      </c>
      <c r="BG2608" s="11">
        <f ca="1">IFERROR(__xludf.DUMMYFUNCTION("""COMPUTED_VALUE"""),46040.8541666666)</f>
        <v>46040.854166666599</v>
      </c>
      <c r="BH2608" s="17"/>
      <c r="BI2608" s="17"/>
      <c r="BJ2608" s="15"/>
      <c r="BK2608" s="15"/>
      <c r="BL2608" s="13" t="b">
        <v>0</v>
      </c>
      <c r="BM2608" s="10"/>
      <c r="BN2608" s="10" t="s">
        <v>18577</v>
      </c>
      <c r="BO2608" s="11">
        <v>45972.629166666666</v>
      </c>
      <c r="BP2608" s="11">
        <v>45972.629606481481</v>
      </c>
      <c r="BQ2608" s="15"/>
      <c r="BR2608" s="15"/>
      <c r="BS2608" s="10"/>
      <c r="BT2608" s="10" t="s">
        <v>99</v>
      </c>
      <c r="BU2608" s="10"/>
      <c r="BV2608" s="10"/>
      <c r="BW2608" s="10"/>
      <c r="BX2608" s="10"/>
      <c r="BY2608" s="23"/>
      <c r="BZ2608" s="23"/>
      <c r="CA2608" s="23"/>
      <c r="CB2608" s="23"/>
      <c r="CC2608" s="23"/>
      <c r="CD2608" s="23"/>
      <c r="CE2608" s="23"/>
      <c r="CF2608" s="23"/>
      <c r="CG2608" s="23"/>
      <c r="CH2608" s="23"/>
      <c r="CI2608" s="23"/>
    </row>
    <row r="2609" spans="1:87" x14ac:dyDescent="0.3">
      <c r="A2609" s="9" t="s">
        <v>19635</v>
      </c>
      <c r="B2609" s="10" t="s">
        <v>19636</v>
      </c>
      <c r="C2609" s="11">
        <v>46033.854166666664</v>
      </c>
      <c r="D2609" s="12">
        <v>8.3333333333333329E-2</v>
      </c>
      <c r="E2609" s="11">
        <v>46033.9375</v>
      </c>
      <c r="F2609" s="10" t="s">
        <v>14786</v>
      </c>
      <c r="G2609" s="13" t="b">
        <v>0</v>
      </c>
      <c r="H2609" s="22" t="s">
        <v>14787</v>
      </c>
      <c r="I2609" s="10" t="s">
        <v>3548</v>
      </c>
      <c r="J2609" s="13" t="b">
        <v>0</v>
      </c>
      <c r="K2609" s="13" t="b">
        <v>1</v>
      </c>
      <c r="L2609" s="10" t="s">
        <v>124</v>
      </c>
      <c r="M2609" s="10" t="s">
        <v>91</v>
      </c>
      <c r="N2609" s="10" t="s">
        <v>92</v>
      </c>
      <c r="O2609" s="19" t="s">
        <v>19637</v>
      </c>
      <c r="P2609" s="10"/>
      <c r="Q2609" s="10" t="s">
        <v>126</v>
      </c>
      <c r="R2609" s="10"/>
      <c r="S2609" s="19" t="s">
        <v>19638</v>
      </c>
      <c r="T2609" s="10"/>
      <c r="U2609" s="10" t="s">
        <v>14892</v>
      </c>
      <c r="V2609" s="10" t="s">
        <v>14881</v>
      </c>
      <c r="W2609" s="10" t="s">
        <v>14793</v>
      </c>
      <c r="X2609" s="10" t="s">
        <v>130</v>
      </c>
      <c r="Y2609" s="10" t="s">
        <v>130</v>
      </c>
      <c r="Z2609" s="10" t="s">
        <v>99</v>
      </c>
      <c r="AA2609" s="10" t="s">
        <v>131</v>
      </c>
      <c r="AB2609" s="10" t="s">
        <v>14794</v>
      </c>
      <c r="AC2609" s="10" t="s">
        <v>3521</v>
      </c>
      <c r="AD2609" s="10" t="s">
        <v>19639</v>
      </c>
      <c r="AE2609" s="10" t="s">
        <v>19640</v>
      </c>
      <c r="AF2609" s="15"/>
      <c r="AG2609" s="10"/>
      <c r="AH2609" s="10"/>
      <c r="AI2609" s="10"/>
      <c r="AJ2609" s="10"/>
      <c r="AK2609" s="10" t="s">
        <v>102</v>
      </c>
      <c r="AL2609" s="10" t="s">
        <v>1773</v>
      </c>
      <c r="AM2609" s="10"/>
      <c r="AN2609" s="10"/>
      <c r="AO2609" s="13" t="b">
        <v>0</v>
      </c>
      <c r="AP2609" s="22" t="s">
        <v>104</v>
      </c>
      <c r="AQ2609" s="10">
        <f ca="1">IFERROR(__xludf.DUMMYFUNCTION("""COMPUTED_VALUE"""),4832522)</f>
        <v>4832522</v>
      </c>
      <c r="AR2609" s="17"/>
      <c r="AS2609" s="17"/>
      <c r="AT2609" s="17"/>
      <c r="AU2609" s="17"/>
      <c r="AV2609" s="17"/>
      <c r="AW2609" s="10"/>
      <c r="AX2609" s="17"/>
      <c r="AY2609" s="18" t="s">
        <v>257</v>
      </c>
      <c r="AZ2609" s="10" t="s">
        <v>2099</v>
      </c>
      <c r="BA2609" s="20" t="b">
        <v>0</v>
      </c>
      <c r="BB2609" s="10"/>
      <c r="BC2609" s="17" t="s">
        <v>257</v>
      </c>
      <c r="BD2609" s="17" t="s">
        <v>257</v>
      </c>
      <c r="BE2609" s="17" t="s">
        <v>257</v>
      </c>
      <c r="BF2609" s="17" t="s">
        <v>257</v>
      </c>
      <c r="BG2609" s="11">
        <f ca="1">IFERROR(__xludf.DUMMYFUNCTION("""COMPUTED_VALUE"""),46033.8541666666)</f>
        <v>46033.854166666599</v>
      </c>
      <c r="BH2609" s="17"/>
      <c r="BI2609" s="17"/>
      <c r="BJ2609" s="15"/>
      <c r="BK2609" s="15"/>
      <c r="BL2609" s="13" t="b">
        <v>0</v>
      </c>
      <c r="BM2609" s="10"/>
      <c r="BN2609" s="10" t="s">
        <v>634</v>
      </c>
      <c r="BO2609" s="11">
        <v>45972.629861111112</v>
      </c>
      <c r="BP2609" s="11">
        <v>45972.629930555559</v>
      </c>
      <c r="BQ2609" s="15">
        <v>46030.655509259261</v>
      </c>
      <c r="BR2609" s="15">
        <v>46030.384722222225</v>
      </c>
      <c r="BS2609" s="10" t="s">
        <v>634</v>
      </c>
      <c r="BT2609" s="10" t="s">
        <v>279</v>
      </c>
      <c r="BU2609" s="10" t="s">
        <v>816</v>
      </c>
      <c r="BV2609" s="10"/>
      <c r="BW2609" s="10"/>
      <c r="BX2609" s="10"/>
      <c r="BY2609" s="23"/>
      <c r="BZ2609" s="23"/>
      <c r="CA2609" s="19" t="s">
        <v>19641</v>
      </c>
      <c r="CB2609" s="19" t="s">
        <v>19642</v>
      </c>
      <c r="CC2609" s="23"/>
      <c r="CD2609" s="19" t="s">
        <v>19643</v>
      </c>
      <c r="CE2609" s="23"/>
      <c r="CF2609" s="23"/>
      <c r="CG2609" s="23"/>
      <c r="CH2609" s="23"/>
      <c r="CI2609" s="23"/>
    </row>
    <row r="2610" spans="1:87" x14ac:dyDescent="0.3">
      <c r="A2610" s="9" t="s">
        <v>19644</v>
      </c>
      <c r="B2610" s="10" t="s">
        <v>19645</v>
      </c>
      <c r="C2610" s="11">
        <v>46041.791666666664</v>
      </c>
      <c r="D2610" s="12">
        <v>8.3333333333333329E-2</v>
      </c>
      <c r="E2610" s="11">
        <v>46041.875</v>
      </c>
      <c r="F2610" s="10" t="s">
        <v>14786</v>
      </c>
      <c r="G2610" s="13" t="b">
        <v>0</v>
      </c>
      <c r="H2610" s="22" t="s">
        <v>14787</v>
      </c>
      <c r="I2610" s="10" t="s">
        <v>212</v>
      </c>
      <c r="J2610" s="13" t="b">
        <v>1</v>
      </c>
      <c r="K2610" s="13" t="b">
        <v>0</v>
      </c>
      <c r="L2610" s="10" t="s">
        <v>124</v>
      </c>
      <c r="M2610" s="10" t="s">
        <v>91</v>
      </c>
      <c r="N2610" s="10" t="s">
        <v>3513</v>
      </c>
      <c r="O2610" s="10"/>
      <c r="P2610" s="10"/>
      <c r="Q2610" s="10" t="s">
        <v>126</v>
      </c>
      <c r="R2610" s="10"/>
      <c r="S2610" s="10"/>
      <c r="T2610" s="10"/>
      <c r="U2610" s="10" t="s">
        <v>14860</v>
      </c>
      <c r="V2610" s="10" t="s">
        <v>14827</v>
      </c>
      <c r="W2610" s="10" t="s">
        <v>14793</v>
      </c>
      <c r="X2610" s="10" t="s">
        <v>130</v>
      </c>
      <c r="Y2610" s="10" t="s">
        <v>130</v>
      </c>
      <c r="Z2610" s="10" t="s">
        <v>99</v>
      </c>
      <c r="AA2610" s="10" t="s">
        <v>131</v>
      </c>
      <c r="AB2610" s="10" t="s">
        <v>14794</v>
      </c>
      <c r="AC2610" s="10" t="s">
        <v>3521</v>
      </c>
      <c r="AD2610" s="10" t="s">
        <v>19646</v>
      </c>
      <c r="AE2610" s="10" t="s">
        <v>19647</v>
      </c>
      <c r="AF2610" s="15"/>
      <c r="AG2610" s="10"/>
      <c r="AH2610" s="10"/>
      <c r="AI2610" s="10"/>
      <c r="AJ2610" s="10"/>
      <c r="AK2610" s="10"/>
      <c r="AL2610" s="10" t="s">
        <v>1876</v>
      </c>
      <c r="AM2610" s="10"/>
      <c r="AN2610" s="10"/>
      <c r="AO2610" s="13" t="b">
        <v>0</v>
      </c>
      <c r="AP2610" s="22" t="s">
        <v>104</v>
      </c>
      <c r="AQ2610" s="10"/>
      <c r="AR2610" s="17"/>
      <c r="AS2610" s="17"/>
      <c r="AT2610" s="17"/>
      <c r="AU2610" s="17"/>
      <c r="AV2610" s="17"/>
      <c r="AW2610" s="10"/>
      <c r="AX2610" s="17"/>
      <c r="AY2610" s="18" t="s">
        <v>257</v>
      </c>
      <c r="AZ2610" s="10"/>
      <c r="BA2610" s="20" t="b">
        <v>0</v>
      </c>
      <c r="BB2610" s="10"/>
      <c r="BC2610" s="17" t="s">
        <v>257</v>
      </c>
      <c r="BD2610" s="17" t="s">
        <v>257</v>
      </c>
      <c r="BE2610" s="17" t="s">
        <v>257</v>
      </c>
      <c r="BF2610" s="17" t="s">
        <v>257</v>
      </c>
      <c r="BG2610" s="11">
        <f ca="1">IFERROR(__xludf.DUMMYFUNCTION("""COMPUTED_VALUE"""),46041.7916666666)</f>
        <v>46041.791666666599</v>
      </c>
      <c r="BH2610" s="17"/>
      <c r="BI2610" s="17"/>
      <c r="BJ2610" s="15"/>
      <c r="BK2610" s="15"/>
      <c r="BL2610" s="13" t="b">
        <v>0</v>
      </c>
      <c r="BM2610" s="10"/>
      <c r="BN2610" s="10" t="s">
        <v>18577</v>
      </c>
      <c r="BO2610" s="11">
        <v>45972.629861111112</v>
      </c>
      <c r="BP2610" s="11">
        <v>45972.630150462966</v>
      </c>
      <c r="BQ2610" s="15"/>
      <c r="BR2610" s="15"/>
      <c r="BS2610" s="10"/>
      <c r="BT2610" s="10" t="s">
        <v>99</v>
      </c>
      <c r="BU2610" s="10"/>
      <c r="BV2610" s="10"/>
      <c r="BW2610" s="10"/>
      <c r="BX2610" s="10"/>
      <c r="BY2610" s="23"/>
      <c r="BZ2610" s="23"/>
      <c r="CA2610" s="23"/>
      <c r="CB2610" s="23"/>
      <c r="CC2610" s="23"/>
      <c r="CD2610" s="23"/>
      <c r="CE2610" s="23"/>
      <c r="CF2610" s="23"/>
      <c r="CG2610" s="23"/>
      <c r="CH2610" s="23"/>
      <c r="CI2610" s="23"/>
    </row>
    <row r="2611" spans="1:87" x14ac:dyDescent="0.3">
      <c r="A2611" s="9" t="s">
        <v>19648</v>
      </c>
      <c r="B2611" s="10" t="s">
        <v>19649</v>
      </c>
      <c r="C2611" s="11">
        <v>46034.604166666664</v>
      </c>
      <c r="D2611" s="12">
        <v>8.3333333333333329E-2</v>
      </c>
      <c r="E2611" s="11">
        <v>46034.6875</v>
      </c>
      <c r="F2611" s="10" t="s">
        <v>14786</v>
      </c>
      <c r="G2611" s="13" t="b">
        <v>0</v>
      </c>
      <c r="H2611" s="22" t="s">
        <v>14787</v>
      </c>
      <c r="I2611" s="10" t="s">
        <v>212</v>
      </c>
      <c r="J2611" s="13" t="b">
        <v>1</v>
      </c>
      <c r="K2611" s="13" t="b">
        <v>0</v>
      </c>
      <c r="L2611" s="10" t="s">
        <v>124</v>
      </c>
      <c r="M2611" s="10" t="s">
        <v>91</v>
      </c>
      <c r="N2611" s="10" t="s">
        <v>3513</v>
      </c>
      <c r="O2611" s="19" t="s">
        <v>19650</v>
      </c>
      <c r="P2611" s="10"/>
      <c r="Q2611" s="10" t="s">
        <v>126</v>
      </c>
      <c r="R2611" s="10"/>
      <c r="S2611" s="19" t="s">
        <v>19651</v>
      </c>
      <c r="T2611" s="10"/>
      <c r="U2611" s="10" t="s">
        <v>14870</v>
      </c>
      <c r="V2611" s="10" t="s">
        <v>14827</v>
      </c>
      <c r="W2611" s="10" t="s">
        <v>14793</v>
      </c>
      <c r="X2611" s="10" t="s">
        <v>130</v>
      </c>
      <c r="Y2611" s="10" t="s">
        <v>130</v>
      </c>
      <c r="Z2611" s="10" t="s">
        <v>99</v>
      </c>
      <c r="AA2611" s="10" t="s">
        <v>131</v>
      </c>
      <c r="AB2611" s="10" t="s">
        <v>14794</v>
      </c>
      <c r="AC2611" s="10" t="s">
        <v>3521</v>
      </c>
      <c r="AD2611" s="10" t="s">
        <v>19652</v>
      </c>
      <c r="AE2611" s="10" t="s">
        <v>19653</v>
      </c>
      <c r="AF2611" s="15"/>
      <c r="AG2611" s="10"/>
      <c r="AH2611" s="10"/>
      <c r="AI2611" s="10"/>
      <c r="AJ2611" s="10"/>
      <c r="AK2611" s="10" t="s">
        <v>102</v>
      </c>
      <c r="AL2611" s="10" t="s">
        <v>1773</v>
      </c>
      <c r="AM2611" s="10"/>
      <c r="AN2611" s="10"/>
      <c r="AO2611" s="13" t="b">
        <v>0</v>
      </c>
      <c r="AP2611" s="22" t="s">
        <v>104</v>
      </c>
      <c r="AQ2611" s="10">
        <f ca="1">IFERROR(__xludf.DUMMYFUNCTION("""COMPUTED_VALUE"""),4834092)</f>
        <v>4834092</v>
      </c>
      <c r="AR2611" s="17"/>
      <c r="AS2611" s="17"/>
      <c r="AT2611" s="17"/>
      <c r="AU2611" s="17"/>
      <c r="AV2611" s="17"/>
      <c r="AW2611" s="10"/>
      <c r="AX2611" s="17"/>
      <c r="AY2611" s="18" t="s">
        <v>257</v>
      </c>
      <c r="AZ2611" s="10" t="s">
        <v>2099</v>
      </c>
      <c r="BA2611" s="20" t="b">
        <v>0</v>
      </c>
      <c r="BB2611" s="10"/>
      <c r="BC2611" s="17" t="s">
        <v>257</v>
      </c>
      <c r="BD2611" s="17" t="s">
        <v>257</v>
      </c>
      <c r="BE2611" s="17" t="s">
        <v>257</v>
      </c>
      <c r="BF2611" s="17" t="s">
        <v>257</v>
      </c>
      <c r="BG2611" s="11">
        <f ca="1">IFERROR(__xludf.DUMMYFUNCTION("""COMPUTED_VALUE"""),46034.6041666666)</f>
        <v>46034.604166666599</v>
      </c>
      <c r="BH2611" s="17"/>
      <c r="BI2611" s="17"/>
      <c r="BJ2611" s="15"/>
      <c r="BK2611" s="15"/>
      <c r="BL2611" s="13" t="b">
        <v>0</v>
      </c>
      <c r="BM2611" s="10"/>
      <c r="BN2611" s="10" t="s">
        <v>136</v>
      </c>
      <c r="BO2611" s="11">
        <v>45972.629861111112</v>
      </c>
      <c r="BP2611" s="11">
        <v>46025.750219907408</v>
      </c>
      <c r="BQ2611" s="15">
        <v>46031.90283564815</v>
      </c>
      <c r="BR2611" s="15">
        <v>46031.480775462966</v>
      </c>
      <c r="BS2611" s="10"/>
      <c r="BT2611" s="10" t="s">
        <v>99</v>
      </c>
      <c r="BU2611" s="10"/>
      <c r="BV2611" s="10"/>
      <c r="BW2611" s="10"/>
      <c r="BX2611" s="10"/>
      <c r="BY2611" s="23"/>
      <c r="BZ2611" s="23"/>
      <c r="CA2611" s="19" t="s">
        <v>19654</v>
      </c>
      <c r="CB2611" s="19" t="s">
        <v>19655</v>
      </c>
      <c r="CC2611" s="23"/>
      <c r="CD2611" s="19" t="s">
        <v>19656</v>
      </c>
      <c r="CE2611" s="23"/>
      <c r="CF2611" s="23"/>
      <c r="CG2611" s="23"/>
      <c r="CH2611" s="23"/>
      <c r="CI2611" s="23"/>
    </row>
    <row r="2612" spans="1:87" x14ac:dyDescent="0.3">
      <c r="A2612" s="9" t="s">
        <v>19657</v>
      </c>
      <c r="B2612" s="10" t="s">
        <v>19658</v>
      </c>
      <c r="C2612" s="11">
        <v>46034.791666666664</v>
      </c>
      <c r="D2612" s="12">
        <v>8.3333333333333329E-2</v>
      </c>
      <c r="E2612" s="11">
        <v>46034.875</v>
      </c>
      <c r="F2612" s="10" t="s">
        <v>14786</v>
      </c>
      <c r="G2612" s="13" t="b">
        <v>0</v>
      </c>
      <c r="H2612" s="22" t="s">
        <v>14787</v>
      </c>
      <c r="I2612" s="10" t="s">
        <v>3548</v>
      </c>
      <c r="J2612" s="13" t="b">
        <v>0</v>
      </c>
      <c r="K2612" s="13" t="b">
        <v>0</v>
      </c>
      <c r="L2612" s="10" t="s">
        <v>124</v>
      </c>
      <c r="M2612" s="10" t="s">
        <v>91</v>
      </c>
      <c r="N2612" s="10" t="s">
        <v>3513</v>
      </c>
      <c r="O2612" s="19" t="s">
        <v>19659</v>
      </c>
      <c r="P2612" s="10"/>
      <c r="Q2612" s="10" t="s">
        <v>126</v>
      </c>
      <c r="R2612" s="10"/>
      <c r="S2612" s="19" t="s">
        <v>19660</v>
      </c>
      <c r="T2612" s="10"/>
      <c r="U2612" s="10" t="s">
        <v>14849</v>
      </c>
      <c r="V2612" s="10" t="s">
        <v>14871</v>
      </c>
      <c r="W2612" s="10" t="s">
        <v>14793</v>
      </c>
      <c r="X2612" s="10" t="s">
        <v>130</v>
      </c>
      <c r="Y2612" s="10" t="s">
        <v>130</v>
      </c>
      <c r="Z2612" s="10" t="s">
        <v>99</v>
      </c>
      <c r="AA2612" s="10" t="s">
        <v>131</v>
      </c>
      <c r="AB2612" s="10" t="s">
        <v>14794</v>
      </c>
      <c r="AC2612" s="10" t="s">
        <v>3521</v>
      </c>
      <c r="AD2612" s="10" t="s">
        <v>19661</v>
      </c>
      <c r="AE2612" s="10" t="s">
        <v>19662</v>
      </c>
      <c r="AF2612" s="15"/>
      <c r="AG2612" s="10"/>
      <c r="AH2612" s="10"/>
      <c r="AI2612" s="10"/>
      <c r="AJ2612" s="10"/>
      <c r="AK2612" s="10" t="s">
        <v>102</v>
      </c>
      <c r="AL2612" s="10" t="s">
        <v>1773</v>
      </c>
      <c r="AM2612" s="10"/>
      <c r="AN2612" s="10"/>
      <c r="AO2612" s="13" t="b">
        <v>0</v>
      </c>
      <c r="AP2612" s="22" t="s">
        <v>104</v>
      </c>
      <c r="AQ2612" s="10">
        <f ca="1">IFERROR(__xludf.DUMMYFUNCTION("""COMPUTED_VALUE"""),4834095)</f>
        <v>4834095</v>
      </c>
      <c r="AR2612" s="17"/>
      <c r="AS2612" s="17"/>
      <c r="AT2612" s="17"/>
      <c r="AU2612" s="17"/>
      <c r="AV2612" s="17"/>
      <c r="AW2612" s="10"/>
      <c r="AX2612" s="17"/>
      <c r="AY2612" s="18" t="s">
        <v>257</v>
      </c>
      <c r="AZ2612" s="10" t="s">
        <v>2099</v>
      </c>
      <c r="BA2612" s="20" t="b">
        <v>0</v>
      </c>
      <c r="BB2612" s="10"/>
      <c r="BC2612" s="17" t="s">
        <v>257</v>
      </c>
      <c r="BD2612" s="17" t="s">
        <v>257</v>
      </c>
      <c r="BE2612" s="17" t="s">
        <v>257</v>
      </c>
      <c r="BF2612" s="17" t="s">
        <v>257</v>
      </c>
      <c r="BG2612" s="11">
        <f ca="1">IFERROR(__xludf.DUMMYFUNCTION("""COMPUTED_VALUE"""),46034.7916666666)</f>
        <v>46034.791666666599</v>
      </c>
      <c r="BH2612" s="17"/>
      <c r="BI2612" s="17"/>
      <c r="BJ2612" s="15"/>
      <c r="BK2612" s="15"/>
      <c r="BL2612" s="13" t="b">
        <v>0</v>
      </c>
      <c r="BM2612" s="10"/>
      <c r="BN2612" s="10" t="s">
        <v>136</v>
      </c>
      <c r="BO2612" s="11">
        <v>45972.630555555559</v>
      </c>
      <c r="BP2612" s="11">
        <v>45972.631157407406</v>
      </c>
      <c r="BQ2612" s="15">
        <v>46031.903599537036</v>
      </c>
      <c r="BR2612" s="15">
        <v>46031.481296296297</v>
      </c>
      <c r="BS2612" s="10"/>
      <c r="BT2612" s="10" t="s">
        <v>99</v>
      </c>
      <c r="BU2612" s="10"/>
      <c r="BV2612" s="10"/>
      <c r="BW2612" s="10"/>
      <c r="BX2612" s="10"/>
      <c r="BY2612" s="23"/>
      <c r="BZ2612" s="23"/>
      <c r="CA2612" s="19" t="s">
        <v>19663</v>
      </c>
      <c r="CB2612" s="19" t="s">
        <v>19664</v>
      </c>
      <c r="CC2612" s="23"/>
      <c r="CD2612" s="19" t="s">
        <v>19665</v>
      </c>
      <c r="CE2612" s="23"/>
      <c r="CF2612" s="23"/>
      <c r="CG2612" s="23"/>
      <c r="CH2612" s="23"/>
      <c r="CI2612" s="23"/>
    </row>
    <row r="2613" spans="1:87" x14ac:dyDescent="0.3">
      <c r="A2613" s="9" t="s">
        <v>19666</v>
      </c>
      <c r="B2613" s="10" t="s">
        <v>19667</v>
      </c>
      <c r="C2613" s="11">
        <v>46045.645833333336</v>
      </c>
      <c r="D2613" s="12">
        <v>8.3333333333333329E-2</v>
      </c>
      <c r="E2613" s="11">
        <v>46045.729166666664</v>
      </c>
      <c r="F2613" s="10" t="s">
        <v>14786</v>
      </c>
      <c r="G2613" s="13" t="b">
        <v>0</v>
      </c>
      <c r="H2613" s="22" t="s">
        <v>14787</v>
      </c>
      <c r="I2613" s="10" t="s">
        <v>212</v>
      </c>
      <c r="J2613" s="13" t="b">
        <v>1</v>
      </c>
      <c r="K2613" s="13" t="b">
        <v>0</v>
      </c>
      <c r="L2613" s="10" t="s">
        <v>124</v>
      </c>
      <c r="M2613" s="10" t="s">
        <v>91</v>
      </c>
      <c r="N2613" s="10" t="s">
        <v>92</v>
      </c>
      <c r="O2613" s="10"/>
      <c r="P2613" s="10"/>
      <c r="Q2613" s="10" t="s">
        <v>126</v>
      </c>
      <c r="R2613" s="10"/>
      <c r="S2613" s="10"/>
      <c r="T2613" s="10"/>
      <c r="U2613" s="10" t="s">
        <v>14792</v>
      </c>
      <c r="V2613" s="10" t="s">
        <v>14893</v>
      </c>
      <c r="W2613" s="10" t="s">
        <v>14793</v>
      </c>
      <c r="X2613" s="10" t="s">
        <v>130</v>
      </c>
      <c r="Y2613" s="10" t="s">
        <v>130</v>
      </c>
      <c r="Z2613" s="10" t="s">
        <v>99</v>
      </c>
      <c r="AA2613" s="10" t="s">
        <v>131</v>
      </c>
      <c r="AB2613" s="10" t="s">
        <v>14794</v>
      </c>
      <c r="AC2613" s="10" t="s">
        <v>3521</v>
      </c>
      <c r="AD2613" s="10" t="s">
        <v>19668</v>
      </c>
      <c r="AE2613" s="10" t="s">
        <v>19669</v>
      </c>
      <c r="AF2613" s="15"/>
      <c r="AG2613" s="10"/>
      <c r="AH2613" s="10"/>
      <c r="AI2613" s="10"/>
      <c r="AJ2613" s="10"/>
      <c r="AK2613" s="10"/>
      <c r="AL2613" s="10" t="s">
        <v>1988</v>
      </c>
      <c r="AM2613" s="10"/>
      <c r="AN2613" s="10"/>
      <c r="AO2613" s="13" t="b">
        <v>0</v>
      </c>
      <c r="AP2613" s="22" t="s">
        <v>104</v>
      </c>
      <c r="AQ2613" s="10"/>
      <c r="AR2613" s="17"/>
      <c r="AS2613" s="17"/>
      <c r="AT2613" s="17"/>
      <c r="AU2613" s="17"/>
      <c r="AV2613" s="17"/>
      <c r="AW2613" s="10"/>
      <c r="AX2613" s="17"/>
      <c r="AY2613" s="18" t="s">
        <v>257</v>
      </c>
      <c r="AZ2613" s="10"/>
      <c r="BA2613" s="20" t="b">
        <v>0</v>
      </c>
      <c r="BB2613" s="10"/>
      <c r="BC2613" s="17" t="s">
        <v>257</v>
      </c>
      <c r="BD2613" s="17" t="s">
        <v>257</v>
      </c>
      <c r="BE2613" s="17" t="s">
        <v>257</v>
      </c>
      <c r="BF2613" s="17" t="s">
        <v>257</v>
      </c>
      <c r="BG2613" s="11">
        <f ca="1">IFERROR(__xludf.DUMMYFUNCTION("""COMPUTED_VALUE"""),46045.6458333333)</f>
        <v>46045.645833333299</v>
      </c>
      <c r="BH2613" s="17"/>
      <c r="BI2613" s="17"/>
      <c r="BJ2613" s="15"/>
      <c r="BK2613" s="15"/>
      <c r="BL2613" s="13" t="b">
        <v>0</v>
      </c>
      <c r="BM2613" s="10"/>
      <c r="BN2613" s="10" t="s">
        <v>18577</v>
      </c>
      <c r="BO2613" s="11">
        <v>45972.640277777777</v>
      </c>
      <c r="BP2613" s="11">
        <v>45972.641412037039</v>
      </c>
      <c r="BQ2613" s="15"/>
      <c r="BR2613" s="15"/>
      <c r="BS2613" s="10"/>
      <c r="BT2613" s="10" t="s">
        <v>99</v>
      </c>
      <c r="BU2613" s="10"/>
      <c r="BV2613" s="10"/>
      <c r="BW2613" s="10"/>
      <c r="BX2613" s="10"/>
      <c r="BY2613" s="23"/>
      <c r="BZ2613" s="23"/>
      <c r="CA2613" s="23"/>
      <c r="CB2613" s="23"/>
      <c r="CC2613" s="23"/>
      <c r="CD2613" s="23"/>
      <c r="CE2613" s="23"/>
      <c r="CF2613" s="23"/>
      <c r="CG2613" s="23"/>
      <c r="CH2613" s="23"/>
      <c r="CI2613" s="23"/>
    </row>
    <row r="2614" spans="1:87" x14ac:dyDescent="0.3">
      <c r="A2614" s="9" t="s">
        <v>19670</v>
      </c>
      <c r="B2614" s="10" t="s">
        <v>19671</v>
      </c>
      <c r="C2614" s="11">
        <v>46045.791666666664</v>
      </c>
      <c r="D2614" s="12">
        <v>8.3333333333333329E-2</v>
      </c>
      <c r="E2614" s="11">
        <v>46045.875</v>
      </c>
      <c r="F2614" s="10" t="s">
        <v>14786</v>
      </c>
      <c r="G2614" s="13" t="b">
        <v>0</v>
      </c>
      <c r="H2614" s="22" t="s">
        <v>14787</v>
      </c>
      <c r="I2614" s="10" t="s">
        <v>212</v>
      </c>
      <c r="J2614" s="13" t="b">
        <v>1</v>
      </c>
      <c r="K2614" s="13" t="b">
        <v>0</v>
      </c>
      <c r="L2614" s="10" t="s">
        <v>124</v>
      </c>
      <c r="M2614" s="10" t="s">
        <v>91</v>
      </c>
      <c r="N2614" s="10" t="s">
        <v>92</v>
      </c>
      <c r="O2614" s="10"/>
      <c r="P2614" s="10"/>
      <c r="Q2614" s="10" t="s">
        <v>126</v>
      </c>
      <c r="R2614" s="10"/>
      <c r="S2614" s="10"/>
      <c r="T2614" s="10"/>
      <c r="U2614" s="10" t="s">
        <v>14881</v>
      </c>
      <c r="V2614" s="10" t="s">
        <v>14791</v>
      </c>
      <c r="W2614" s="10" t="s">
        <v>14793</v>
      </c>
      <c r="X2614" s="10" t="s">
        <v>130</v>
      </c>
      <c r="Y2614" s="10" t="s">
        <v>130</v>
      </c>
      <c r="Z2614" s="10" t="s">
        <v>99</v>
      </c>
      <c r="AA2614" s="10" t="s">
        <v>131</v>
      </c>
      <c r="AB2614" s="10" t="s">
        <v>14794</v>
      </c>
      <c r="AC2614" s="10" t="s">
        <v>3521</v>
      </c>
      <c r="AD2614" s="10" t="s">
        <v>19672</v>
      </c>
      <c r="AE2614" s="10" t="s">
        <v>19673</v>
      </c>
      <c r="AF2614" s="15"/>
      <c r="AG2614" s="10"/>
      <c r="AH2614" s="10"/>
      <c r="AI2614" s="10"/>
      <c r="AJ2614" s="10"/>
      <c r="AK2614" s="10"/>
      <c r="AL2614" s="10" t="s">
        <v>1988</v>
      </c>
      <c r="AM2614" s="10"/>
      <c r="AN2614" s="10"/>
      <c r="AO2614" s="13" t="b">
        <v>0</v>
      </c>
      <c r="AP2614" s="22" t="s">
        <v>104</v>
      </c>
      <c r="AQ2614" s="10"/>
      <c r="AR2614" s="17"/>
      <c r="AS2614" s="17"/>
      <c r="AT2614" s="17"/>
      <c r="AU2614" s="17"/>
      <c r="AV2614" s="17"/>
      <c r="AW2614" s="10"/>
      <c r="AX2614" s="17"/>
      <c r="AY2614" s="18" t="s">
        <v>257</v>
      </c>
      <c r="AZ2614" s="10"/>
      <c r="BA2614" s="20" t="b">
        <v>0</v>
      </c>
      <c r="BB2614" s="10"/>
      <c r="BC2614" s="17" t="s">
        <v>257</v>
      </c>
      <c r="BD2614" s="17" t="s">
        <v>257</v>
      </c>
      <c r="BE2614" s="17" t="s">
        <v>257</v>
      </c>
      <c r="BF2614" s="17" t="s">
        <v>257</v>
      </c>
      <c r="BG2614" s="11">
        <f ca="1">IFERROR(__xludf.DUMMYFUNCTION("""COMPUTED_VALUE"""),46045.7916666666)</f>
        <v>46045.791666666599</v>
      </c>
      <c r="BH2614" s="17"/>
      <c r="BI2614" s="17"/>
      <c r="BJ2614" s="15"/>
      <c r="BK2614" s="15"/>
      <c r="BL2614" s="13" t="b">
        <v>0</v>
      </c>
      <c r="BM2614" s="10"/>
      <c r="BN2614" s="10" t="s">
        <v>18577</v>
      </c>
      <c r="BO2614" s="11">
        <v>45972.644444444442</v>
      </c>
      <c r="BP2614" s="11">
        <v>45972.644999999997</v>
      </c>
      <c r="BQ2614" s="15"/>
      <c r="BR2614" s="15"/>
      <c r="BS2614" s="10"/>
      <c r="BT2614" s="10" t="s">
        <v>99</v>
      </c>
      <c r="BU2614" s="10"/>
      <c r="BV2614" s="10"/>
      <c r="BW2614" s="10"/>
      <c r="BX2614" s="10"/>
      <c r="BY2614" s="23"/>
      <c r="BZ2614" s="23"/>
      <c r="CA2614" s="23"/>
      <c r="CB2614" s="23"/>
      <c r="CC2614" s="23"/>
      <c r="CD2614" s="23"/>
      <c r="CE2614" s="23"/>
      <c r="CF2614" s="23"/>
      <c r="CG2614" s="23"/>
      <c r="CH2614" s="23"/>
      <c r="CI2614" s="23"/>
    </row>
    <row r="2615" spans="1:87" x14ac:dyDescent="0.3">
      <c r="A2615" s="9" t="s">
        <v>19674</v>
      </c>
      <c r="B2615" s="10" t="s">
        <v>19675</v>
      </c>
      <c r="C2615" s="11">
        <v>46046.5625</v>
      </c>
      <c r="D2615" s="12">
        <v>8.3333333333333329E-2</v>
      </c>
      <c r="E2615" s="11">
        <v>46046.645833333336</v>
      </c>
      <c r="F2615" s="10" t="s">
        <v>14786</v>
      </c>
      <c r="G2615" s="13" t="b">
        <v>0</v>
      </c>
      <c r="H2615" s="22" t="s">
        <v>14787</v>
      </c>
      <c r="I2615" s="10" t="s">
        <v>3548</v>
      </c>
      <c r="J2615" s="13" t="b">
        <v>0</v>
      </c>
      <c r="K2615" s="13" t="b">
        <v>1</v>
      </c>
      <c r="L2615" s="10" t="s">
        <v>124</v>
      </c>
      <c r="M2615" s="10" t="s">
        <v>91</v>
      </c>
      <c r="N2615" s="10" t="s">
        <v>92</v>
      </c>
      <c r="O2615" s="10"/>
      <c r="P2615" s="10"/>
      <c r="Q2615" s="10" t="s">
        <v>126</v>
      </c>
      <c r="R2615" s="10"/>
      <c r="S2615" s="10"/>
      <c r="T2615" s="10"/>
      <c r="U2615" s="10" t="s">
        <v>14871</v>
      </c>
      <c r="V2615" s="10" t="s">
        <v>14848</v>
      </c>
      <c r="W2615" s="10" t="s">
        <v>14793</v>
      </c>
      <c r="X2615" s="10" t="s">
        <v>130</v>
      </c>
      <c r="Y2615" s="10" t="s">
        <v>130</v>
      </c>
      <c r="Z2615" s="10" t="s">
        <v>99</v>
      </c>
      <c r="AA2615" s="10" t="s">
        <v>131</v>
      </c>
      <c r="AB2615" s="10" t="s">
        <v>14794</v>
      </c>
      <c r="AC2615" s="10" t="s">
        <v>3521</v>
      </c>
      <c r="AD2615" s="10" t="s">
        <v>19676</v>
      </c>
      <c r="AE2615" s="10" t="s">
        <v>19677</v>
      </c>
      <c r="AF2615" s="15"/>
      <c r="AG2615" s="10"/>
      <c r="AH2615" s="10"/>
      <c r="AI2615" s="10"/>
      <c r="AJ2615" s="10"/>
      <c r="AK2615" s="10"/>
      <c r="AL2615" s="10" t="s">
        <v>1988</v>
      </c>
      <c r="AM2615" s="10"/>
      <c r="AN2615" s="10"/>
      <c r="AO2615" s="13" t="b">
        <v>1</v>
      </c>
      <c r="AP2615" s="22" t="s">
        <v>104</v>
      </c>
      <c r="AQ2615" s="10"/>
      <c r="AR2615" s="17"/>
      <c r="AS2615" s="17"/>
      <c r="AT2615" s="17"/>
      <c r="AU2615" s="17"/>
      <c r="AV2615" s="17"/>
      <c r="AW2615" s="10"/>
      <c r="AX2615" s="17"/>
      <c r="AY2615" s="18" t="s">
        <v>257</v>
      </c>
      <c r="AZ2615" s="10"/>
      <c r="BA2615" s="20" t="b">
        <v>0</v>
      </c>
      <c r="BB2615" s="10"/>
      <c r="BC2615" s="17" t="s">
        <v>257</v>
      </c>
      <c r="BD2615" s="17" t="s">
        <v>257</v>
      </c>
      <c r="BE2615" s="17" t="s">
        <v>257</v>
      </c>
      <c r="BF2615" s="17" t="s">
        <v>257</v>
      </c>
      <c r="BG2615" s="11">
        <f ca="1">IFERROR(__xludf.DUMMYFUNCTION("""COMPUTED_VALUE"""),46046.5625)</f>
        <v>46046.5625</v>
      </c>
      <c r="BH2615" s="17"/>
      <c r="BI2615" s="17"/>
      <c r="BJ2615" s="15"/>
      <c r="BK2615" s="15"/>
      <c r="BL2615" s="13" t="b">
        <v>0</v>
      </c>
      <c r="BM2615" s="10"/>
      <c r="BN2615" s="10" t="s">
        <v>18577</v>
      </c>
      <c r="BO2615" s="11">
        <v>45972.645138888889</v>
      </c>
      <c r="BP2615" s="11">
        <v>45972.645856481482</v>
      </c>
      <c r="BQ2615" s="15"/>
      <c r="BR2615" s="15"/>
      <c r="BS2615" s="10"/>
      <c r="BT2615" s="10" t="s">
        <v>99</v>
      </c>
      <c r="BU2615" s="10"/>
      <c r="BV2615" s="10"/>
      <c r="BW2615" s="10"/>
      <c r="BX2615" s="10"/>
      <c r="BY2615" s="23"/>
      <c r="BZ2615" s="23"/>
      <c r="CA2615" s="23"/>
      <c r="CB2615" s="23"/>
      <c r="CC2615" s="23"/>
      <c r="CD2615" s="23"/>
      <c r="CE2615" s="23"/>
      <c r="CF2615" s="23"/>
      <c r="CG2615" s="23"/>
      <c r="CH2615" s="23"/>
      <c r="CI2615" s="23"/>
    </row>
    <row r="2616" spans="1:87" x14ac:dyDescent="0.3">
      <c r="A2616" s="9" t="s">
        <v>19678</v>
      </c>
      <c r="B2616" s="10" t="s">
        <v>19679</v>
      </c>
      <c r="C2616" s="11">
        <v>46046.645833333336</v>
      </c>
      <c r="D2616" s="12">
        <v>8.3333333333333329E-2</v>
      </c>
      <c r="E2616" s="11">
        <v>46046.729166666664</v>
      </c>
      <c r="F2616" s="10" t="s">
        <v>14786</v>
      </c>
      <c r="G2616" s="13" t="b">
        <v>0</v>
      </c>
      <c r="H2616" s="22" t="s">
        <v>14787</v>
      </c>
      <c r="I2616" s="10" t="s">
        <v>3548</v>
      </c>
      <c r="J2616" s="13" t="b">
        <v>0</v>
      </c>
      <c r="K2616" s="13" t="b">
        <v>1</v>
      </c>
      <c r="L2616" s="10" t="s">
        <v>124</v>
      </c>
      <c r="M2616" s="10" t="s">
        <v>91</v>
      </c>
      <c r="N2616" s="10" t="s">
        <v>92</v>
      </c>
      <c r="O2616" s="10"/>
      <c r="P2616" s="10"/>
      <c r="Q2616" s="10" t="s">
        <v>126</v>
      </c>
      <c r="R2616" s="10"/>
      <c r="S2616" s="10"/>
      <c r="T2616" s="10"/>
      <c r="U2616" s="10" t="s">
        <v>14805</v>
      </c>
      <c r="V2616" s="10" t="s">
        <v>14892</v>
      </c>
      <c r="W2616" s="10" t="s">
        <v>14793</v>
      </c>
      <c r="X2616" s="10" t="s">
        <v>130</v>
      </c>
      <c r="Y2616" s="10" t="s">
        <v>130</v>
      </c>
      <c r="Z2616" s="10" t="s">
        <v>99</v>
      </c>
      <c r="AA2616" s="10" t="s">
        <v>131</v>
      </c>
      <c r="AB2616" s="10" t="s">
        <v>14794</v>
      </c>
      <c r="AC2616" s="10" t="s">
        <v>3521</v>
      </c>
      <c r="AD2616" s="10" t="s">
        <v>19680</v>
      </c>
      <c r="AE2616" s="10" t="s">
        <v>19681</v>
      </c>
      <c r="AF2616" s="15"/>
      <c r="AG2616" s="10"/>
      <c r="AH2616" s="10"/>
      <c r="AI2616" s="10"/>
      <c r="AJ2616" s="10"/>
      <c r="AK2616" s="10"/>
      <c r="AL2616" s="10" t="s">
        <v>1988</v>
      </c>
      <c r="AM2616" s="10"/>
      <c r="AN2616" s="10"/>
      <c r="AO2616" s="13" t="b">
        <v>0</v>
      </c>
      <c r="AP2616" s="22" t="s">
        <v>104</v>
      </c>
      <c r="AQ2616" s="10"/>
      <c r="AR2616" s="17"/>
      <c r="AS2616" s="17"/>
      <c r="AT2616" s="17"/>
      <c r="AU2616" s="17"/>
      <c r="AV2616" s="17"/>
      <c r="AW2616" s="10"/>
      <c r="AX2616" s="17"/>
      <c r="AY2616" s="18" t="s">
        <v>257</v>
      </c>
      <c r="AZ2616" s="10"/>
      <c r="BA2616" s="20" t="b">
        <v>0</v>
      </c>
      <c r="BB2616" s="10"/>
      <c r="BC2616" s="17" t="s">
        <v>257</v>
      </c>
      <c r="BD2616" s="17" t="s">
        <v>257</v>
      </c>
      <c r="BE2616" s="17" t="s">
        <v>257</v>
      </c>
      <c r="BF2616" s="17" t="s">
        <v>257</v>
      </c>
      <c r="BG2616" s="11">
        <f ca="1">IFERROR(__xludf.DUMMYFUNCTION("""COMPUTED_VALUE"""),46046.6458333333)</f>
        <v>46046.645833333299</v>
      </c>
      <c r="BH2616" s="17"/>
      <c r="BI2616" s="17"/>
      <c r="BJ2616" s="15"/>
      <c r="BK2616" s="15"/>
      <c r="BL2616" s="13" t="b">
        <v>0</v>
      </c>
      <c r="BM2616" s="10"/>
      <c r="BN2616" s="10" t="s">
        <v>18577</v>
      </c>
      <c r="BO2616" s="11">
        <v>45972.686805555553</v>
      </c>
      <c r="BP2616" s="11">
        <v>45972.687060185184</v>
      </c>
      <c r="BQ2616" s="15"/>
      <c r="BR2616" s="15"/>
      <c r="BS2616" s="10"/>
      <c r="BT2616" s="10" t="s">
        <v>99</v>
      </c>
      <c r="BU2616" s="10"/>
      <c r="BV2616" s="10"/>
      <c r="BW2616" s="10"/>
      <c r="BX2616" s="10"/>
      <c r="BY2616" s="23"/>
      <c r="BZ2616" s="23"/>
      <c r="CA2616" s="23"/>
      <c r="CB2616" s="23"/>
      <c r="CC2616" s="23"/>
      <c r="CD2616" s="23"/>
      <c r="CE2616" s="23"/>
      <c r="CF2616" s="23"/>
      <c r="CG2616" s="23"/>
      <c r="CH2616" s="23"/>
      <c r="CI2616" s="23"/>
    </row>
    <row r="2617" spans="1:87" x14ac:dyDescent="0.3">
      <c r="A2617" s="9" t="s">
        <v>19682</v>
      </c>
      <c r="B2617" s="10" t="s">
        <v>19683</v>
      </c>
      <c r="C2617" s="11">
        <v>46046.645833333336</v>
      </c>
      <c r="D2617" s="12">
        <v>8.3333333333333329E-2</v>
      </c>
      <c r="E2617" s="11">
        <v>46046.729166666664</v>
      </c>
      <c r="F2617" s="10" t="s">
        <v>14786</v>
      </c>
      <c r="G2617" s="13" t="b">
        <v>0</v>
      </c>
      <c r="H2617" s="22" t="s">
        <v>14787</v>
      </c>
      <c r="I2617" s="10" t="s">
        <v>212</v>
      </c>
      <c r="J2617" s="13" t="b">
        <v>1</v>
      </c>
      <c r="K2617" s="13" t="b">
        <v>0</v>
      </c>
      <c r="L2617" s="10" t="s">
        <v>124</v>
      </c>
      <c r="M2617" s="10" t="s">
        <v>91</v>
      </c>
      <c r="N2617" s="10" t="s">
        <v>92</v>
      </c>
      <c r="O2617" s="10"/>
      <c r="P2617" s="10"/>
      <c r="Q2617" s="10" t="s">
        <v>126</v>
      </c>
      <c r="R2617" s="10"/>
      <c r="S2617" s="10"/>
      <c r="T2617" s="10"/>
      <c r="U2617" s="10" t="s">
        <v>14815</v>
      </c>
      <c r="V2617" s="10" t="s">
        <v>14882</v>
      </c>
      <c r="W2617" s="10" t="s">
        <v>14793</v>
      </c>
      <c r="X2617" s="10" t="s">
        <v>130</v>
      </c>
      <c r="Y2617" s="10" t="s">
        <v>130</v>
      </c>
      <c r="Z2617" s="10" t="s">
        <v>99</v>
      </c>
      <c r="AA2617" s="10" t="s">
        <v>131</v>
      </c>
      <c r="AB2617" s="10" t="s">
        <v>14794</v>
      </c>
      <c r="AC2617" s="10" t="s">
        <v>3521</v>
      </c>
      <c r="AD2617" s="10" t="s">
        <v>19684</v>
      </c>
      <c r="AE2617" s="10" t="s">
        <v>19685</v>
      </c>
      <c r="AF2617" s="15"/>
      <c r="AG2617" s="10"/>
      <c r="AH2617" s="10"/>
      <c r="AI2617" s="10"/>
      <c r="AJ2617" s="10"/>
      <c r="AK2617" s="10"/>
      <c r="AL2617" s="10" t="s">
        <v>1988</v>
      </c>
      <c r="AM2617" s="10"/>
      <c r="AN2617" s="10"/>
      <c r="AO2617" s="13" t="b">
        <v>0</v>
      </c>
      <c r="AP2617" s="22" t="s">
        <v>104</v>
      </c>
      <c r="AQ2617" s="10"/>
      <c r="AR2617" s="17"/>
      <c r="AS2617" s="17"/>
      <c r="AT2617" s="17"/>
      <c r="AU2617" s="17"/>
      <c r="AV2617" s="17"/>
      <c r="AW2617" s="10"/>
      <c r="AX2617" s="17"/>
      <c r="AY2617" s="18" t="s">
        <v>257</v>
      </c>
      <c r="AZ2617" s="10"/>
      <c r="BA2617" s="20" t="b">
        <v>0</v>
      </c>
      <c r="BB2617" s="10"/>
      <c r="BC2617" s="17" t="s">
        <v>257</v>
      </c>
      <c r="BD2617" s="17" t="s">
        <v>257</v>
      </c>
      <c r="BE2617" s="17" t="s">
        <v>257</v>
      </c>
      <c r="BF2617" s="17" t="s">
        <v>257</v>
      </c>
      <c r="BG2617" s="11">
        <f ca="1">IFERROR(__xludf.DUMMYFUNCTION("""COMPUTED_VALUE"""),46046.6458333333)</f>
        <v>46046.645833333299</v>
      </c>
      <c r="BH2617" s="17"/>
      <c r="BI2617" s="17"/>
      <c r="BJ2617" s="15"/>
      <c r="BK2617" s="15"/>
      <c r="BL2617" s="13" t="b">
        <v>0</v>
      </c>
      <c r="BM2617" s="10"/>
      <c r="BN2617" s="10" t="s">
        <v>18577</v>
      </c>
      <c r="BO2617" s="11">
        <v>45972.691666666666</v>
      </c>
      <c r="BP2617" s="11">
        <v>45972.691817129627</v>
      </c>
      <c r="BQ2617" s="15"/>
      <c r="BR2617" s="15"/>
      <c r="BS2617" s="10"/>
      <c r="BT2617" s="10" t="s">
        <v>99</v>
      </c>
      <c r="BU2617" s="10"/>
      <c r="BV2617" s="10"/>
      <c r="BW2617" s="10"/>
      <c r="BX2617" s="10"/>
      <c r="BY2617" s="23"/>
      <c r="BZ2617" s="23"/>
      <c r="CA2617" s="23"/>
      <c r="CB2617" s="23"/>
      <c r="CC2617" s="23"/>
      <c r="CD2617" s="23"/>
      <c r="CE2617" s="23"/>
      <c r="CF2617" s="23"/>
      <c r="CG2617" s="23"/>
      <c r="CH2617" s="23"/>
      <c r="CI2617" s="23"/>
    </row>
    <row r="2618" spans="1:87" x14ac:dyDescent="0.3">
      <c r="A2618" s="9" t="s">
        <v>19686</v>
      </c>
      <c r="B2618" s="10" t="s">
        <v>19687</v>
      </c>
      <c r="C2618" s="11">
        <v>46046.791666666664</v>
      </c>
      <c r="D2618" s="12">
        <v>8.3333333333333329E-2</v>
      </c>
      <c r="E2618" s="11">
        <v>46046.875</v>
      </c>
      <c r="F2618" s="10" t="s">
        <v>14786</v>
      </c>
      <c r="G2618" s="13" t="b">
        <v>0</v>
      </c>
      <c r="H2618" s="22" t="s">
        <v>14787</v>
      </c>
      <c r="I2618" s="10" t="s">
        <v>3548</v>
      </c>
      <c r="J2618" s="13" t="b">
        <v>0</v>
      </c>
      <c r="K2618" s="13" t="b">
        <v>1</v>
      </c>
      <c r="L2618" s="10" t="s">
        <v>124</v>
      </c>
      <c r="M2618" s="10" t="s">
        <v>91</v>
      </c>
      <c r="N2618" s="10" t="s">
        <v>92</v>
      </c>
      <c r="O2618" s="10"/>
      <c r="P2618" s="10"/>
      <c r="Q2618" s="10" t="s">
        <v>126</v>
      </c>
      <c r="R2618" s="10"/>
      <c r="S2618" s="10"/>
      <c r="T2618" s="10"/>
      <c r="U2618" s="10" t="s">
        <v>14849</v>
      </c>
      <c r="V2618" s="10" t="s">
        <v>14859</v>
      </c>
      <c r="W2618" s="10" t="s">
        <v>14793</v>
      </c>
      <c r="X2618" s="10" t="s">
        <v>130</v>
      </c>
      <c r="Y2618" s="10" t="s">
        <v>130</v>
      </c>
      <c r="Z2618" s="10" t="s">
        <v>99</v>
      </c>
      <c r="AA2618" s="10" t="s">
        <v>131</v>
      </c>
      <c r="AB2618" s="10" t="s">
        <v>14794</v>
      </c>
      <c r="AC2618" s="10" t="s">
        <v>3521</v>
      </c>
      <c r="AD2618" s="10" t="s">
        <v>19688</v>
      </c>
      <c r="AE2618" s="10" t="s">
        <v>19689</v>
      </c>
      <c r="AF2618" s="15"/>
      <c r="AG2618" s="10"/>
      <c r="AH2618" s="10"/>
      <c r="AI2618" s="10"/>
      <c r="AJ2618" s="10"/>
      <c r="AK2618" s="10"/>
      <c r="AL2618" s="10" t="s">
        <v>1988</v>
      </c>
      <c r="AM2618" s="10"/>
      <c r="AN2618" s="10"/>
      <c r="AO2618" s="13" t="b">
        <v>0</v>
      </c>
      <c r="AP2618" s="22" t="s">
        <v>104</v>
      </c>
      <c r="AQ2618" s="10"/>
      <c r="AR2618" s="17"/>
      <c r="AS2618" s="17"/>
      <c r="AT2618" s="17"/>
      <c r="AU2618" s="17"/>
      <c r="AV2618" s="17"/>
      <c r="AW2618" s="10"/>
      <c r="AX2618" s="17"/>
      <c r="AY2618" s="18" t="s">
        <v>257</v>
      </c>
      <c r="AZ2618" s="10"/>
      <c r="BA2618" s="20" t="b">
        <v>0</v>
      </c>
      <c r="BB2618" s="10"/>
      <c r="BC2618" s="17" t="s">
        <v>257</v>
      </c>
      <c r="BD2618" s="17" t="s">
        <v>257</v>
      </c>
      <c r="BE2618" s="17" t="s">
        <v>257</v>
      </c>
      <c r="BF2618" s="17" t="s">
        <v>257</v>
      </c>
      <c r="BG2618" s="11">
        <f ca="1">IFERROR(__xludf.DUMMYFUNCTION("""COMPUTED_VALUE"""),46046.7916666666)</f>
        <v>46046.791666666599</v>
      </c>
      <c r="BH2618" s="17"/>
      <c r="BI2618" s="17"/>
      <c r="BJ2618" s="15"/>
      <c r="BK2618" s="15"/>
      <c r="BL2618" s="13" t="b">
        <v>0</v>
      </c>
      <c r="BM2618" s="10"/>
      <c r="BN2618" s="10" t="s">
        <v>18577</v>
      </c>
      <c r="BO2618" s="11">
        <v>45972.693749999999</v>
      </c>
      <c r="BP2618" s="11">
        <v>45972.694039351853</v>
      </c>
      <c r="BQ2618" s="15"/>
      <c r="BR2618" s="15"/>
      <c r="BS2618" s="10"/>
      <c r="BT2618" s="10" t="s">
        <v>99</v>
      </c>
      <c r="BU2618" s="10"/>
      <c r="BV2618" s="10"/>
      <c r="BW2618" s="10"/>
      <c r="BX2618" s="10"/>
      <c r="BY2618" s="23"/>
      <c r="BZ2618" s="23"/>
      <c r="CA2618" s="23"/>
      <c r="CB2618" s="23"/>
      <c r="CC2618" s="23"/>
      <c r="CD2618" s="23"/>
      <c r="CE2618" s="23"/>
      <c r="CF2618" s="23"/>
      <c r="CG2618" s="23"/>
      <c r="CH2618" s="23"/>
      <c r="CI2618" s="23"/>
    </row>
    <row r="2619" spans="1:87" x14ac:dyDescent="0.3">
      <c r="A2619" s="9" t="s">
        <v>19690</v>
      </c>
      <c r="B2619" s="10" t="s">
        <v>19691</v>
      </c>
      <c r="C2619" s="11">
        <v>46047.645833333336</v>
      </c>
      <c r="D2619" s="12">
        <v>8.3333333333333329E-2</v>
      </c>
      <c r="E2619" s="11">
        <v>46047.729166666664</v>
      </c>
      <c r="F2619" s="10" t="s">
        <v>14786</v>
      </c>
      <c r="G2619" s="13" t="b">
        <v>0</v>
      </c>
      <c r="H2619" s="22" t="s">
        <v>14787</v>
      </c>
      <c r="I2619" s="10" t="s">
        <v>212</v>
      </c>
      <c r="J2619" s="13" t="b">
        <v>1</v>
      </c>
      <c r="K2619" s="13" t="b">
        <v>0</v>
      </c>
      <c r="L2619" s="10" t="s">
        <v>124</v>
      </c>
      <c r="M2619" s="10" t="s">
        <v>91</v>
      </c>
      <c r="N2619" s="10" t="s">
        <v>92</v>
      </c>
      <c r="O2619" s="10"/>
      <c r="P2619" s="10"/>
      <c r="Q2619" s="10" t="s">
        <v>126</v>
      </c>
      <c r="R2619" s="10"/>
      <c r="S2619" s="10"/>
      <c r="T2619" s="10"/>
      <c r="U2619" s="10" t="s">
        <v>14816</v>
      </c>
      <c r="V2619" s="10" t="s">
        <v>14804</v>
      </c>
      <c r="W2619" s="10" t="s">
        <v>14793</v>
      </c>
      <c r="X2619" s="10" t="s">
        <v>130</v>
      </c>
      <c r="Y2619" s="10" t="s">
        <v>130</v>
      </c>
      <c r="Z2619" s="10" t="s">
        <v>99</v>
      </c>
      <c r="AA2619" s="10" t="s">
        <v>131</v>
      </c>
      <c r="AB2619" s="10" t="s">
        <v>14794</v>
      </c>
      <c r="AC2619" s="10" t="s">
        <v>3521</v>
      </c>
      <c r="AD2619" s="10" t="s">
        <v>19692</v>
      </c>
      <c r="AE2619" s="10" t="s">
        <v>19693</v>
      </c>
      <c r="AF2619" s="15"/>
      <c r="AG2619" s="10"/>
      <c r="AH2619" s="10"/>
      <c r="AI2619" s="10"/>
      <c r="AJ2619" s="10"/>
      <c r="AK2619" s="10"/>
      <c r="AL2619" s="10" t="s">
        <v>1988</v>
      </c>
      <c r="AM2619" s="10"/>
      <c r="AN2619" s="10"/>
      <c r="AO2619" s="13" t="b">
        <v>0</v>
      </c>
      <c r="AP2619" s="22" t="s">
        <v>104</v>
      </c>
      <c r="AQ2619" s="10"/>
      <c r="AR2619" s="17"/>
      <c r="AS2619" s="17"/>
      <c r="AT2619" s="17"/>
      <c r="AU2619" s="17"/>
      <c r="AV2619" s="17"/>
      <c r="AW2619" s="10"/>
      <c r="AX2619" s="17"/>
      <c r="AY2619" s="18" t="s">
        <v>257</v>
      </c>
      <c r="AZ2619" s="10"/>
      <c r="BA2619" s="20" t="b">
        <v>0</v>
      </c>
      <c r="BB2619" s="10"/>
      <c r="BC2619" s="17" t="s">
        <v>257</v>
      </c>
      <c r="BD2619" s="17" t="s">
        <v>257</v>
      </c>
      <c r="BE2619" s="17" t="s">
        <v>257</v>
      </c>
      <c r="BF2619" s="17" t="s">
        <v>257</v>
      </c>
      <c r="BG2619" s="11">
        <f ca="1">IFERROR(__xludf.DUMMYFUNCTION("""COMPUTED_VALUE"""),46047.6458333333)</f>
        <v>46047.645833333299</v>
      </c>
      <c r="BH2619" s="17"/>
      <c r="BI2619" s="17"/>
      <c r="BJ2619" s="15"/>
      <c r="BK2619" s="15"/>
      <c r="BL2619" s="13" t="b">
        <v>0</v>
      </c>
      <c r="BM2619" s="10"/>
      <c r="BN2619" s="10" t="s">
        <v>18577</v>
      </c>
      <c r="BO2619" s="11">
        <v>45972.696527777778</v>
      </c>
      <c r="BP2619" s="11">
        <v>45972.699062500003</v>
      </c>
      <c r="BQ2619" s="15"/>
      <c r="BR2619" s="15"/>
      <c r="BS2619" s="10"/>
      <c r="BT2619" s="10" t="s">
        <v>99</v>
      </c>
      <c r="BU2619" s="10"/>
      <c r="BV2619" s="10"/>
      <c r="BW2619" s="10"/>
      <c r="BX2619" s="10"/>
      <c r="BY2619" s="23"/>
      <c r="BZ2619" s="23"/>
      <c r="CA2619" s="23"/>
      <c r="CB2619" s="23"/>
      <c r="CC2619" s="23"/>
      <c r="CD2619" s="23"/>
      <c r="CE2619" s="23"/>
      <c r="CF2619" s="23"/>
      <c r="CG2619" s="23"/>
      <c r="CH2619" s="23"/>
      <c r="CI2619" s="23"/>
    </row>
    <row r="2620" spans="1:87" x14ac:dyDescent="0.3">
      <c r="A2620" s="9" t="s">
        <v>19694</v>
      </c>
      <c r="B2620" s="10" t="s">
        <v>19695</v>
      </c>
      <c r="C2620" s="11">
        <v>46047.645833333336</v>
      </c>
      <c r="D2620" s="12">
        <v>8.3333333333333329E-2</v>
      </c>
      <c r="E2620" s="11">
        <v>46047.729166666664</v>
      </c>
      <c r="F2620" s="10" t="s">
        <v>14786</v>
      </c>
      <c r="G2620" s="13" t="b">
        <v>0</v>
      </c>
      <c r="H2620" s="22" t="s">
        <v>14787</v>
      </c>
      <c r="I2620" s="10" t="s">
        <v>212</v>
      </c>
      <c r="J2620" s="13" t="b">
        <v>1</v>
      </c>
      <c r="K2620" s="13" t="b">
        <v>0</v>
      </c>
      <c r="L2620" s="10" t="s">
        <v>124</v>
      </c>
      <c r="M2620" s="10" t="s">
        <v>91</v>
      </c>
      <c r="N2620" s="10" t="s">
        <v>92</v>
      </c>
      <c r="O2620" s="10"/>
      <c r="P2620" s="10"/>
      <c r="Q2620" s="10" t="s">
        <v>126</v>
      </c>
      <c r="R2620" s="10"/>
      <c r="S2620" s="10"/>
      <c r="T2620" s="10"/>
      <c r="U2620" s="10" t="s">
        <v>14838</v>
      </c>
      <c r="V2620" s="10" t="s">
        <v>14870</v>
      </c>
      <c r="W2620" s="10" t="s">
        <v>14793</v>
      </c>
      <c r="X2620" s="10" t="s">
        <v>130</v>
      </c>
      <c r="Y2620" s="10" t="s">
        <v>130</v>
      </c>
      <c r="Z2620" s="10" t="s">
        <v>99</v>
      </c>
      <c r="AA2620" s="10" t="s">
        <v>131</v>
      </c>
      <c r="AB2620" s="10" t="s">
        <v>14794</v>
      </c>
      <c r="AC2620" s="10" t="s">
        <v>3521</v>
      </c>
      <c r="AD2620" s="10" t="s">
        <v>19696</v>
      </c>
      <c r="AE2620" s="10" t="s">
        <v>19697</v>
      </c>
      <c r="AF2620" s="15"/>
      <c r="AG2620" s="10"/>
      <c r="AH2620" s="10"/>
      <c r="AI2620" s="10"/>
      <c r="AJ2620" s="10"/>
      <c r="AK2620" s="10"/>
      <c r="AL2620" s="10" t="s">
        <v>1988</v>
      </c>
      <c r="AM2620" s="10"/>
      <c r="AN2620" s="10"/>
      <c r="AO2620" s="13" t="b">
        <v>0</v>
      </c>
      <c r="AP2620" s="22" t="s">
        <v>104</v>
      </c>
      <c r="AQ2620" s="10"/>
      <c r="AR2620" s="17"/>
      <c r="AS2620" s="17"/>
      <c r="AT2620" s="17"/>
      <c r="AU2620" s="17"/>
      <c r="AV2620" s="17"/>
      <c r="AW2620" s="10"/>
      <c r="AX2620" s="17"/>
      <c r="AY2620" s="18" t="s">
        <v>257</v>
      </c>
      <c r="AZ2620" s="10"/>
      <c r="BA2620" s="20" t="b">
        <v>0</v>
      </c>
      <c r="BB2620" s="10"/>
      <c r="BC2620" s="17" t="s">
        <v>257</v>
      </c>
      <c r="BD2620" s="17" t="s">
        <v>257</v>
      </c>
      <c r="BE2620" s="17" t="s">
        <v>257</v>
      </c>
      <c r="BF2620" s="17" t="s">
        <v>257</v>
      </c>
      <c r="BG2620" s="11">
        <f ca="1">IFERROR(__xludf.DUMMYFUNCTION("""COMPUTED_VALUE"""),46047.6458333333)</f>
        <v>46047.645833333299</v>
      </c>
      <c r="BH2620" s="17"/>
      <c r="BI2620" s="17"/>
      <c r="BJ2620" s="15"/>
      <c r="BK2620" s="15"/>
      <c r="BL2620" s="13" t="b">
        <v>0</v>
      </c>
      <c r="BM2620" s="10"/>
      <c r="BN2620" s="10" t="s">
        <v>18577</v>
      </c>
      <c r="BO2620" s="11">
        <v>45972.697916666664</v>
      </c>
      <c r="BP2620" s="11">
        <v>45972.69804398148</v>
      </c>
      <c r="BQ2620" s="15"/>
      <c r="BR2620" s="15"/>
      <c r="BS2620" s="10"/>
      <c r="BT2620" s="10" t="s">
        <v>99</v>
      </c>
      <c r="BU2620" s="10"/>
      <c r="BV2620" s="10"/>
      <c r="BW2620" s="10"/>
      <c r="BX2620" s="10"/>
      <c r="BY2620" s="23"/>
      <c r="BZ2620" s="23"/>
      <c r="CA2620" s="23"/>
      <c r="CB2620" s="23"/>
      <c r="CC2620" s="23"/>
      <c r="CD2620" s="23"/>
      <c r="CE2620" s="23"/>
      <c r="CF2620" s="23"/>
      <c r="CG2620" s="23"/>
      <c r="CH2620" s="23"/>
      <c r="CI2620" s="23"/>
    </row>
    <row r="2621" spans="1:87" x14ac:dyDescent="0.3">
      <c r="A2621" s="9" t="s">
        <v>19698</v>
      </c>
      <c r="B2621" s="10" t="s">
        <v>16959</v>
      </c>
      <c r="C2621" s="11">
        <v>46047.791666666664</v>
      </c>
      <c r="D2621" s="12">
        <v>8.3333333333333329E-2</v>
      </c>
      <c r="E2621" s="11">
        <v>46047.875</v>
      </c>
      <c r="F2621" s="10" t="s">
        <v>14786</v>
      </c>
      <c r="G2621" s="13" t="b">
        <v>0</v>
      </c>
      <c r="H2621" s="22" t="s">
        <v>14787</v>
      </c>
      <c r="I2621" s="10" t="s">
        <v>3548</v>
      </c>
      <c r="J2621" s="13" t="b">
        <v>0</v>
      </c>
      <c r="K2621" s="13" t="b">
        <v>1</v>
      </c>
      <c r="L2621" s="10" t="s">
        <v>124</v>
      </c>
      <c r="M2621" s="10" t="s">
        <v>91</v>
      </c>
      <c r="N2621" s="10" t="s">
        <v>92</v>
      </c>
      <c r="O2621" s="10"/>
      <c r="P2621" s="10"/>
      <c r="Q2621" s="10" t="s">
        <v>126</v>
      </c>
      <c r="R2621" s="10"/>
      <c r="S2621" s="10"/>
      <c r="T2621" s="10"/>
      <c r="U2621" s="10" t="s">
        <v>14837</v>
      </c>
      <c r="V2621" s="10" t="s">
        <v>14826</v>
      </c>
      <c r="W2621" s="10" t="s">
        <v>14793</v>
      </c>
      <c r="X2621" s="10" t="s">
        <v>130</v>
      </c>
      <c r="Y2621" s="10" t="s">
        <v>130</v>
      </c>
      <c r="Z2621" s="10" t="s">
        <v>99</v>
      </c>
      <c r="AA2621" s="10" t="s">
        <v>131</v>
      </c>
      <c r="AB2621" s="10" t="s">
        <v>14794</v>
      </c>
      <c r="AC2621" s="10" t="s">
        <v>3521</v>
      </c>
      <c r="AD2621" s="10" t="s">
        <v>16963</v>
      </c>
      <c r="AE2621" s="10" t="s">
        <v>16964</v>
      </c>
      <c r="AF2621" s="15"/>
      <c r="AG2621" s="10"/>
      <c r="AH2621" s="10"/>
      <c r="AI2621" s="10"/>
      <c r="AJ2621" s="10"/>
      <c r="AK2621" s="10"/>
      <c r="AL2621" s="10" t="s">
        <v>1988</v>
      </c>
      <c r="AM2621" s="10"/>
      <c r="AN2621" s="10"/>
      <c r="AO2621" s="13" t="b">
        <v>1</v>
      </c>
      <c r="AP2621" s="22" t="s">
        <v>104</v>
      </c>
      <c r="AQ2621" s="10"/>
      <c r="AR2621" s="17"/>
      <c r="AS2621" s="17"/>
      <c r="AT2621" s="17"/>
      <c r="AU2621" s="17"/>
      <c r="AV2621" s="17"/>
      <c r="AW2621" s="10"/>
      <c r="AX2621" s="17"/>
      <c r="AY2621" s="18" t="s">
        <v>257</v>
      </c>
      <c r="AZ2621" s="10"/>
      <c r="BA2621" s="20" t="b">
        <v>0</v>
      </c>
      <c r="BB2621" s="10"/>
      <c r="BC2621" s="17" t="s">
        <v>257</v>
      </c>
      <c r="BD2621" s="17" t="s">
        <v>257</v>
      </c>
      <c r="BE2621" s="17" t="s">
        <v>257</v>
      </c>
      <c r="BF2621" s="17" t="s">
        <v>257</v>
      </c>
      <c r="BG2621" s="11">
        <f ca="1">IFERROR(__xludf.DUMMYFUNCTION("""COMPUTED_VALUE"""),46047.7916666666)</f>
        <v>46047.791666666599</v>
      </c>
      <c r="BH2621" s="17"/>
      <c r="BI2621" s="17"/>
      <c r="BJ2621" s="15"/>
      <c r="BK2621" s="15"/>
      <c r="BL2621" s="13" t="b">
        <v>0</v>
      </c>
      <c r="BM2621" s="10"/>
      <c r="BN2621" s="10" t="s">
        <v>18577</v>
      </c>
      <c r="BO2621" s="11">
        <v>45972.698611111111</v>
      </c>
      <c r="BP2621" s="11">
        <v>45972.699189814812</v>
      </c>
      <c r="BQ2621" s="15"/>
      <c r="BR2621" s="15"/>
      <c r="BS2621" s="10"/>
      <c r="BT2621" s="10" t="s">
        <v>99</v>
      </c>
      <c r="BU2621" s="10"/>
      <c r="BV2621" s="10"/>
      <c r="BW2621" s="10"/>
      <c r="BX2621" s="10"/>
      <c r="BY2621" s="23"/>
      <c r="BZ2621" s="23"/>
      <c r="CA2621" s="23"/>
      <c r="CB2621" s="23"/>
      <c r="CC2621" s="23"/>
      <c r="CD2621" s="23"/>
      <c r="CE2621" s="23"/>
      <c r="CF2621" s="23"/>
      <c r="CG2621" s="23"/>
      <c r="CH2621" s="23"/>
      <c r="CI2621" s="23"/>
    </row>
    <row r="2622" spans="1:87" x14ac:dyDescent="0.3">
      <c r="A2622" s="9" t="s">
        <v>19699</v>
      </c>
      <c r="B2622" s="10" t="s">
        <v>19645</v>
      </c>
      <c r="C2622" s="11">
        <v>46048.791666666664</v>
      </c>
      <c r="D2622" s="12">
        <v>8.3333333333333329E-2</v>
      </c>
      <c r="E2622" s="11">
        <v>46048.875</v>
      </c>
      <c r="F2622" s="10" t="s">
        <v>14786</v>
      </c>
      <c r="G2622" s="13" t="b">
        <v>0</v>
      </c>
      <c r="H2622" s="22" t="s">
        <v>14787</v>
      </c>
      <c r="I2622" s="10" t="s">
        <v>212</v>
      </c>
      <c r="J2622" s="13" t="b">
        <v>1</v>
      </c>
      <c r="K2622" s="13" t="b">
        <v>0</v>
      </c>
      <c r="L2622" s="10" t="s">
        <v>124</v>
      </c>
      <c r="M2622" s="10" t="s">
        <v>91</v>
      </c>
      <c r="N2622" s="10" t="s">
        <v>92</v>
      </c>
      <c r="O2622" s="10"/>
      <c r="P2622" s="10"/>
      <c r="Q2622" s="10" t="s">
        <v>126</v>
      </c>
      <c r="R2622" s="10"/>
      <c r="S2622" s="10"/>
      <c r="T2622" s="10"/>
      <c r="U2622" s="10" t="s">
        <v>14860</v>
      </c>
      <c r="V2622" s="10" t="s">
        <v>14827</v>
      </c>
      <c r="W2622" s="10" t="s">
        <v>14793</v>
      </c>
      <c r="X2622" s="10" t="s">
        <v>130</v>
      </c>
      <c r="Y2622" s="10" t="s">
        <v>130</v>
      </c>
      <c r="Z2622" s="10" t="s">
        <v>99</v>
      </c>
      <c r="AA2622" s="10" t="s">
        <v>131</v>
      </c>
      <c r="AB2622" s="10" t="s">
        <v>14794</v>
      </c>
      <c r="AC2622" s="10" t="s">
        <v>3521</v>
      </c>
      <c r="AD2622" s="10" t="s">
        <v>19646</v>
      </c>
      <c r="AE2622" s="10" t="s">
        <v>19647</v>
      </c>
      <c r="AF2622" s="15"/>
      <c r="AG2622" s="10"/>
      <c r="AH2622" s="10"/>
      <c r="AI2622" s="10"/>
      <c r="AJ2622" s="10"/>
      <c r="AK2622" s="10"/>
      <c r="AL2622" s="10" t="s">
        <v>1988</v>
      </c>
      <c r="AM2622" s="10"/>
      <c r="AN2622" s="10"/>
      <c r="AO2622" s="13" t="b">
        <v>0</v>
      </c>
      <c r="AP2622" s="22" t="s">
        <v>104</v>
      </c>
      <c r="AQ2622" s="10"/>
      <c r="AR2622" s="17"/>
      <c r="AS2622" s="17"/>
      <c r="AT2622" s="17"/>
      <c r="AU2622" s="17"/>
      <c r="AV2622" s="17"/>
      <c r="AW2622" s="10"/>
      <c r="AX2622" s="17"/>
      <c r="AY2622" s="18" t="s">
        <v>257</v>
      </c>
      <c r="AZ2622" s="10"/>
      <c r="BA2622" s="20" t="b">
        <v>0</v>
      </c>
      <c r="BB2622" s="10"/>
      <c r="BC2622" s="17" t="s">
        <v>257</v>
      </c>
      <c r="BD2622" s="17" t="s">
        <v>257</v>
      </c>
      <c r="BE2622" s="17" t="s">
        <v>257</v>
      </c>
      <c r="BF2622" s="17" t="s">
        <v>257</v>
      </c>
      <c r="BG2622" s="11">
        <f ca="1">IFERROR(__xludf.DUMMYFUNCTION("""COMPUTED_VALUE"""),46048.7916666666)</f>
        <v>46048.791666666599</v>
      </c>
      <c r="BH2622" s="17"/>
      <c r="BI2622" s="17"/>
      <c r="BJ2622" s="15"/>
      <c r="BK2622" s="15"/>
      <c r="BL2622" s="13" t="b">
        <v>0</v>
      </c>
      <c r="BM2622" s="10"/>
      <c r="BN2622" s="10" t="s">
        <v>18577</v>
      </c>
      <c r="BO2622" s="11">
        <v>45972.699305555558</v>
      </c>
      <c r="BP2622" s="11">
        <v>45972.701099537036</v>
      </c>
      <c r="BQ2622" s="15"/>
      <c r="BR2622" s="15"/>
      <c r="BS2622" s="10"/>
      <c r="BT2622" s="10" t="s">
        <v>99</v>
      </c>
      <c r="BU2622" s="10"/>
      <c r="BV2622" s="10"/>
      <c r="BW2622" s="10"/>
      <c r="BX2622" s="10"/>
      <c r="BY2622" s="23"/>
      <c r="BZ2622" s="23"/>
      <c r="CA2622" s="23"/>
      <c r="CB2622" s="23"/>
      <c r="CC2622" s="23"/>
      <c r="CD2622" s="23"/>
      <c r="CE2622" s="23"/>
      <c r="CF2622" s="23"/>
      <c r="CG2622" s="23"/>
      <c r="CH2622" s="23"/>
      <c r="CI2622" s="23"/>
    </row>
    <row r="2623" spans="1:87" x14ac:dyDescent="0.3">
      <c r="A2623" s="9" t="s">
        <v>19700</v>
      </c>
      <c r="B2623" s="10" t="s">
        <v>19701</v>
      </c>
      <c r="C2623" s="11">
        <v>46051.645833333336</v>
      </c>
      <c r="D2623" s="12">
        <v>8.3333333333333329E-2</v>
      </c>
      <c r="E2623" s="11">
        <v>46051.729166666664</v>
      </c>
      <c r="F2623" s="10" t="s">
        <v>14786</v>
      </c>
      <c r="G2623" s="13" t="b">
        <v>0</v>
      </c>
      <c r="H2623" s="22" t="s">
        <v>14787</v>
      </c>
      <c r="I2623" s="10" t="s">
        <v>212</v>
      </c>
      <c r="J2623" s="13" t="b">
        <v>1</v>
      </c>
      <c r="K2623" s="13" t="b">
        <v>0</v>
      </c>
      <c r="L2623" s="10" t="s">
        <v>124</v>
      </c>
      <c r="M2623" s="10" t="s">
        <v>91</v>
      </c>
      <c r="N2623" s="10" t="s">
        <v>92</v>
      </c>
      <c r="O2623" s="10"/>
      <c r="P2623" s="10"/>
      <c r="Q2623" s="10" t="s">
        <v>126</v>
      </c>
      <c r="R2623" s="10"/>
      <c r="S2623" s="10"/>
      <c r="T2623" s="10"/>
      <c r="U2623" s="10" t="s">
        <v>14805</v>
      </c>
      <c r="V2623" s="10" t="s">
        <v>14881</v>
      </c>
      <c r="W2623" s="10" t="s">
        <v>14793</v>
      </c>
      <c r="X2623" s="10" t="s">
        <v>130</v>
      </c>
      <c r="Y2623" s="10" t="s">
        <v>130</v>
      </c>
      <c r="Z2623" s="10" t="s">
        <v>99</v>
      </c>
      <c r="AA2623" s="10" t="s">
        <v>131</v>
      </c>
      <c r="AB2623" s="10" t="s">
        <v>14794</v>
      </c>
      <c r="AC2623" s="10" t="s">
        <v>3521</v>
      </c>
      <c r="AD2623" s="10" t="s">
        <v>19702</v>
      </c>
      <c r="AE2623" s="10" t="s">
        <v>19703</v>
      </c>
      <c r="AF2623" s="15"/>
      <c r="AG2623" s="10"/>
      <c r="AH2623" s="10"/>
      <c r="AI2623" s="10"/>
      <c r="AJ2623" s="10"/>
      <c r="AK2623" s="10"/>
      <c r="AL2623" s="10" t="s">
        <v>2098</v>
      </c>
      <c r="AM2623" s="10"/>
      <c r="AN2623" s="10"/>
      <c r="AO2623" s="13" t="b">
        <v>0</v>
      </c>
      <c r="AP2623" s="22" t="s">
        <v>104</v>
      </c>
      <c r="AQ2623" s="10"/>
      <c r="AR2623" s="17"/>
      <c r="AS2623" s="17"/>
      <c r="AT2623" s="17"/>
      <c r="AU2623" s="17"/>
      <c r="AV2623" s="17"/>
      <c r="AW2623" s="10"/>
      <c r="AX2623" s="17"/>
      <c r="AY2623" s="18" t="s">
        <v>257</v>
      </c>
      <c r="AZ2623" s="10"/>
      <c r="BA2623" s="20" t="b">
        <v>0</v>
      </c>
      <c r="BB2623" s="10"/>
      <c r="BC2623" s="17" t="s">
        <v>257</v>
      </c>
      <c r="BD2623" s="17" t="s">
        <v>257</v>
      </c>
      <c r="BE2623" s="17" t="s">
        <v>257</v>
      </c>
      <c r="BF2623" s="17" t="s">
        <v>257</v>
      </c>
      <c r="BG2623" s="11">
        <f ca="1">IFERROR(__xludf.DUMMYFUNCTION("""COMPUTED_VALUE"""),46051.6458333333)</f>
        <v>46051.645833333299</v>
      </c>
      <c r="BH2623" s="17"/>
      <c r="BI2623" s="17"/>
      <c r="BJ2623" s="15"/>
      <c r="BK2623" s="15"/>
      <c r="BL2623" s="13" t="b">
        <v>0</v>
      </c>
      <c r="BM2623" s="10"/>
      <c r="BN2623" s="10" t="s">
        <v>18577</v>
      </c>
      <c r="BO2623" s="11">
        <v>45972.701388888891</v>
      </c>
      <c r="BP2623" s="11">
        <v>45972.70207175926</v>
      </c>
      <c r="BQ2623" s="15"/>
      <c r="BR2623" s="15"/>
      <c r="BS2623" s="10"/>
      <c r="BT2623" s="10" t="s">
        <v>99</v>
      </c>
      <c r="BU2623" s="10"/>
      <c r="BV2623" s="10"/>
      <c r="BW2623" s="10"/>
      <c r="BX2623" s="10"/>
      <c r="BY2623" s="23"/>
      <c r="BZ2623" s="23"/>
      <c r="CA2623" s="23"/>
      <c r="CB2623" s="23"/>
      <c r="CC2623" s="23"/>
      <c r="CD2623" s="23"/>
      <c r="CE2623" s="23"/>
      <c r="CF2623" s="23"/>
      <c r="CG2623" s="23"/>
      <c r="CH2623" s="23"/>
      <c r="CI2623" s="23"/>
    </row>
    <row r="2624" spans="1:87" x14ac:dyDescent="0.3">
      <c r="A2624" s="9" t="s">
        <v>19704</v>
      </c>
      <c r="B2624" s="10" t="s">
        <v>19705</v>
      </c>
      <c r="C2624" s="11">
        <v>46051.791666666664</v>
      </c>
      <c r="D2624" s="12">
        <v>8.3333333333333329E-2</v>
      </c>
      <c r="E2624" s="11">
        <v>46051.875</v>
      </c>
      <c r="F2624" s="10" t="s">
        <v>14786</v>
      </c>
      <c r="G2624" s="13" t="b">
        <v>0</v>
      </c>
      <c r="H2624" s="22" t="s">
        <v>14787</v>
      </c>
      <c r="I2624" s="10" t="s">
        <v>212</v>
      </c>
      <c r="J2624" s="13" t="b">
        <v>1</v>
      </c>
      <c r="K2624" s="13" t="b">
        <v>0</v>
      </c>
      <c r="L2624" s="10" t="s">
        <v>124</v>
      </c>
      <c r="M2624" s="10" t="s">
        <v>91</v>
      </c>
      <c r="N2624" s="10" t="s">
        <v>92</v>
      </c>
      <c r="O2624" s="10"/>
      <c r="P2624" s="10"/>
      <c r="Q2624" s="10" t="s">
        <v>126</v>
      </c>
      <c r="R2624" s="10"/>
      <c r="S2624" s="10"/>
      <c r="T2624" s="10"/>
      <c r="U2624" s="10" t="s">
        <v>14893</v>
      </c>
      <c r="V2624" s="10" t="s">
        <v>14815</v>
      </c>
      <c r="W2624" s="10" t="s">
        <v>14793</v>
      </c>
      <c r="X2624" s="10" t="s">
        <v>130</v>
      </c>
      <c r="Y2624" s="10" t="s">
        <v>130</v>
      </c>
      <c r="Z2624" s="10" t="s">
        <v>99</v>
      </c>
      <c r="AA2624" s="10" t="s">
        <v>131</v>
      </c>
      <c r="AB2624" s="10" t="s">
        <v>14794</v>
      </c>
      <c r="AC2624" s="10" t="s">
        <v>3521</v>
      </c>
      <c r="AD2624" s="10" t="s">
        <v>19706</v>
      </c>
      <c r="AE2624" s="10" t="s">
        <v>19707</v>
      </c>
      <c r="AF2624" s="15"/>
      <c r="AG2624" s="10"/>
      <c r="AH2624" s="10"/>
      <c r="AI2624" s="10"/>
      <c r="AJ2624" s="10"/>
      <c r="AK2624" s="10"/>
      <c r="AL2624" s="10" t="s">
        <v>2098</v>
      </c>
      <c r="AM2624" s="10"/>
      <c r="AN2624" s="10"/>
      <c r="AO2624" s="13" t="b">
        <v>0</v>
      </c>
      <c r="AP2624" s="22" t="s">
        <v>104</v>
      </c>
      <c r="AQ2624" s="10"/>
      <c r="AR2624" s="17"/>
      <c r="AS2624" s="17"/>
      <c r="AT2624" s="17"/>
      <c r="AU2624" s="17"/>
      <c r="AV2624" s="17"/>
      <c r="AW2624" s="10"/>
      <c r="AX2624" s="17"/>
      <c r="AY2624" s="18" t="s">
        <v>257</v>
      </c>
      <c r="AZ2624" s="10"/>
      <c r="BA2624" s="20" t="b">
        <v>0</v>
      </c>
      <c r="BB2624" s="10"/>
      <c r="BC2624" s="17" t="s">
        <v>257</v>
      </c>
      <c r="BD2624" s="17" t="s">
        <v>257</v>
      </c>
      <c r="BE2624" s="17" t="s">
        <v>257</v>
      </c>
      <c r="BF2624" s="17" t="s">
        <v>257</v>
      </c>
      <c r="BG2624" s="11">
        <f ca="1">IFERROR(__xludf.DUMMYFUNCTION("""COMPUTED_VALUE"""),46051.7916666666)</f>
        <v>46051.791666666599</v>
      </c>
      <c r="BH2624" s="17"/>
      <c r="BI2624" s="17"/>
      <c r="BJ2624" s="15"/>
      <c r="BK2624" s="15"/>
      <c r="BL2624" s="13" t="b">
        <v>0</v>
      </c>
      <c r="BM2624" s="10"/>
      <c r="BN2624" s="10" t="s">
        <v>18577</v>
      </c>
      <c r="BO2624" s="11">
        <v>45972.70208333333</v>
      </c>
      <c r="BP2624" s="11">
        <v>45972.702499999999</v>
      </c>
      <c r="BQ2624" s="15"/>
      <c r="BR2624" s="15"/>
      <c r="BS2624" s="10"/>
      <c r="BT2624" s="10" t="s">
        <v>99</v>
      </c>
      <c r="BU2624" s="10"/>
      <c r="BV2624" s="10"/>
      <c r="BW2624" s="10"/>
      <c r="BX2624" s="10"/>
      <c r="BY2624" s="23"/>
      <c r="BZ2624" s="23"/>
      <c r="CA2624" s="23"/>
      <c r="CB2624" s="23"/>
      <c r="CC2624" s="23"/>
      <c r="CD2624" s="23"/>
      <c r="CE2624" s="23"/>
      <c r="CF2624" s="23"/>
      <c r="CG2624" s="23"/>
      <c r="CH2624" s="23"/>
      <c r="CI2624" s="23"/>
    </row>
    <row r="2625" spans="1:87" x14ac:dyDescent="0.3">
      <c r="A2625" s="9" t="s">
        <v>19708</v>
      </c>
      <c r="B2625" s="10" t="s">
        <v>19709</v>
      </c>
      <c r="C2625" s="11">
        <v>46052.645833333336</v>
      </c>
      <c r="D2625" s="12">
        <v>8.3333333333333329E-2</v>
      </c>
      <c r="E2625" s="11">
        <v>46052.729166666664</v>
      </c>
      <c r="F2625" s="10" t="s">
        <v>14786</v>
      </c>
      <c r="G2625" s="13" t="b">
        <v>0</v>
      </c>
      <c r="H2625" s="22" t="s">
        <v>14787</v>
      </c>
      <c r="I2625" s="10" t="s">
        <v>212</v>
      </c>
      <c r="J2625" s="13" t="b">
        <v>1</v>
      </c>
      <c r="K2625" s="13" t="b">
        <v>0</v>
      </c>
      <c r="L2625" s="10" t="s">
        <v>124</v>
      </c>
      <c r="M2625" s="10" t="s">
        <v>91</v>
      </c>
      <c r="N2625" s="10" t="s">
        <v>92</v>
      </c>
      <c r="O2625" s="10"/>
      <c r="P2625" s="10"/>
      <c r="Q2625" s="10" t="s">
        <v>126</v>
      </c>
      <c r="R2625" s="10"/>
      <c r="S2625" s="10"/>
      <c r="T2625" s="10"/>
      <c r="U2625" s="10" t="s">
        <v>14804</v>
      </c>
      <c r="V2625" s="10" t="s">
        <v>14791</v>
      </c>
      <c r="W2625" s="10" t="s">
        <v>14793</v>
      </c>
      <c r="X2625" s="10" t="s">
        <v>130</v>
      </c>
      <c r="Y2625" s="10" t="s">
        <v>130</v>
      </c>
      <c r="Z2625" s="10" t="s">
        <v>99</v>
      </c>
      <c r="AA2625" s="10" t="s">
        <v>131</v>
      </c>
      <c r="AB2625" s="10" t="s">
        <v>14794</v>
      </c>
      <c r="AC2625" s="10" t="s">
        <v>3521</v>
      </c>
      <c r="AD2625" s="10" t="s">
        <v>19710</v>
      </c>
      <c r="AE2625" s="10" t="s">
        <v>19711</v>
      </c>
      <c r="AF2625" s="15"/>
      <c r="AG2625" s="10"/>
      <c r="AH2625" s="10"/>
      <c r="AI2625" s="10"/>
      <c r="AJ2625" s="10"/>
      <c r="AK2625" s="10"/>
      <c r="AL2625" s="10" t="s">
        <v>2098</v>
      </c>
      <c r="AM2625" s="10"/>
      <c r="AN2625" s="10"/>
      <c r="AO2625" s="13" t="b">
        <v>0</v>
      </c>
      <c r="AP2625" s="22" t="s">
        <v>104</v>
      </c>
      <c r="AQ2625" s="10"/>
      <c r="AR2625" s="17"/>
      <c r="AS2625" s="17"/>
      <c r="AT2625" s="17"/>
      <c r="AU2625" s="17"/>
      <c r="AV2625" s="17"/>
      <c r="AW2625" s="10"/>
      <c r="AX2625" s="17"/>
      <c r="AY2625" s="18" t="s">
        <v>257</v>
      </c>
      <c r="AZ2625" s="10"/>
      <c r="BA2625" s="20" t="b">
        <v>0</v>
      </c>
      <c r="BB2625" s="10"/>
      <c r="BC2625" s="17" t="s">
        <v>257</v>
      </c>
      <c r="BD2625" s="17" t="s">
        <v>257</v>
      </c>
      <c r="BE2625" s="17" t="s">
        <v>257</v>
      </c>
      <c r="BF2625" s="17" t="s">
        <v>257</v>
      </c>
      <c r="BG2625" s="11">
        <f ca="1">IFERROR(__xludf.DUMMYFUNCTION("""COMPUTED_VALUE"""),46052.6458333333)</f>
        <v>46052.645833333299</v>
      </c>
      <c r="BH2625" s="17"/>
      <c r="BI2625" s="17"/>
      <c r="BJ2625" s="15"/>
      <c r="BK2625" s="15"/>
      <c r="BL2625" s="13" t="b">
        <v>0</v>
      </c>
      <c r="BM2625" s="10"/>
      <c r="BN2625" s="10" t="s">
        <v>18577</v>
      </c>
      <c r="BO2625" s="11">
        <v>45972.702777777777</v>
      </c>
      <c r="BP2625" s="11">
        <v>45972.703240740739</v>
      </c>
      <c r="BQ2625" s="15"/>
      <c r="BR2625" s="15"/>
      <c r="BS2625" s="10"/>
      <c r="BT2625" s="10" t="s">
        <v>99</v>
      </c>
      <c r="BU2625" s="10"/>
      <c r="BV2625" s="10"/>
      <c r="BW2625" s="10"/>
      <c r="BX2625" s="10"/>
      <c r="BY2625" s="23"/>
      <c r="BZ2625" s="23"/>
      <c r="CA2625" s="23"/>
      <c r="CB2625" s="23"/>
      <c r="CC2625" s="23"/>
      <c r="CD2625" s="23"/>
      <c r="CE2625" s="23"/>
      <c r="CF2625" s="23"/>
      <c r="CG2625" s="23"/>
      <c r="CH2625" s="23"/>
      <c r="CI2625" s="23"/>
    </row>
    <row r="2626" spans="1:87" x14ac:dyDescent="0.3">
      <c r="A2626" s="9" t="s">
        <v>19712</v>
      </c>
      <c r="B2626" s="10" t="s">
        <v>19713</v>
      </c>
      <c r="C2626" s="11">
        <v>46052.645833333336</v>
      </c>
      <c r="D2626" s="12">
        <v>8.3333333333333329E-2</v>
      </c>
      <c r="E2626" s="11">
        <v>46052.729166666664</v>
      </c>
      <c r="F2626" s="10" t="s">
        <v>14786</v>
      </c>
      <c r="G2626" s="13" t="b">
        <v>0</v>
      </c>
      <c r="H2626" s="22" t="s">
        <v>14787</v>
      </c>
      <c r="I2626" s="10" t="s">
        <v>3548</v>
      </c>
      <c r="J2626" s="13" t="b">
        <v>0</v>
      </c>
      <c r="K2626" s="13" t="b">
        <v>1</v>
      </c>
      <c r="L2626" s="10" t="s">
        <v>124</v>
      </c>
      <c r="M2626" s="10" t="s">
        <v>91</v>
      </c>
      <c r="N2626" s="10" t="s">
        <v>92</v>
      </c>
      <c r="O2626" s="10"/>
      <c r="P2626" s="10"/>
      <c r="Q2626" s="10" t="s">
        <v>126</v>
      </c>
      <c r="R2626" s="10"/>
      <c r="S2626" s="10"/>
      <c r="T2626" s="10"/>
      <c r="U2626" s="10" t="s">
        <v>14827</v>
      </c>
      <c r="V2626" s="10" t="s">
        <v>14871</v>
      </c>
      <c r="W2626" s="10" t="s">
        <v>14793</v>
      </c>
      <c r="X2626" s="10" t="s">
        <v>130</v>
      </c>
      <c r="Y2626" s="10" t="s">
        <v>130</v>
      </c>
      <c r="Z2626" s="10" t="s">
        <v>99</v>
      </c>
      <c r="AA2626" s="10" t="s">
        <v>131</v>
      </c>
      <c r="AB2626" s="10" t="s">
        <v>14794</v>
      </c>
      <c r="AC2626" s="10" t="s">
        <v>3521</v>
      </c>
      <c r="AD2626" s="10" t="s">
        <v>19714</v>
      </c>
      <c r="AE2626" s="10" t="s">
        <v>19715</v>
      </c>
      <c r="AF2626" s="15"/>
      <c r="AG2626" s="10"/>
      <c r="AH2626" s="10"/>
      <c r="AI2626" s="10"/>
      <c r="AJ2626" s="10"/>
      <c r="AK2626" s="10"/>
      <c r="AL2626" s="10" t="s">
        <v>2098</v>
      </c>
      <c r="AM2626" s="10"/>
      <c r="AN2626" s="10"/>
      <c r="AO2626" s="13" t="b">
        <v>0</v>
      </c>
      <c r="AP2626" s="22" t="s">
        <v>104</v>
      </c>
      <c r="AQ2626" s="10"/>
      <c r="AR2626" s="17"/>
      <c r="AS2626" s="17"/>
      <c r="AT2626" s="17"/>
      <c r="AU2626" s="17"/>
      <c r="AV2626" s="17"/>
      <c r="AW2626" s="10"/>
      <c r="AX2626" s="17"/>
      <c r="AY2626" s="18" t="s">
        <v>257</v>
      </c>
      <c r="AZ2626" s="10"/>
      <c r="BA2626" s="20" t="b">
        <v>0</v>
      </c>
      <c r="BB2626" s="10"/>
      <c r="BC2626" s="17" t="s">
        <v>257</v>
      </c>
      <c r="BD2626" s="17" t="s">
        <v>257</v>
      </c>
      <c r="BE2626" s="17" t="s">
        <v>257</v>
      </c>
      <c r="BF2626" s="17" t="s">
        <v>257</v>
      </c>
      <c r="BG2626" s="11">
        <f ca="1">IFERROR(__xludf.DUMMYFUNCTION("""COMPUTED_VALUE"""),46052.6458333333)</f>
        <v>46052.645833333299</v>
      </c>
      <c r="BH2626" s="17"/>
      <c r="BI2626" s="17"/>
      <c r="BJ2626" s="15"/>
      <c r="BK2626" s="15"/>
      <c r="BL2626" s="13" t="b">
        <v>0</v>
      </c>
      <c r="BM2626" s="10"/>
      <c r="BN2626" s="10" t="s">
        <v>18577</v>
      </c>
      <c r="BO2626" s="11">
        <v>45972.70416666667</v>
      </c>
      <c r="BP2626" s="11">
        <v>45972.704571759263</v>
      </c>
      <c r="BQ2626" s="15"/>
      <c r="BR2626" s="15"/>
      <c r="BS2626" s="10"/>
      <c r="BT2626" s="10" t="s">
        <v>99</v>
      </c>
      <c r="BU2626" s="10"/>
      <c r="BV2626" s="10"/>
      <c r="BW2626" s="10"/>
      <c r="BX2626" s="10"/>
      <c r="BY2626" s="23"/>
      <c r="BZ2626" s="23"/>
      <c r="CA2626" s="23"/>
      <c r="CB2626" s="23"/>
      <c r="CC2626" s="23"/>
      <c r="CD2626" s="23"/>
      <c r="CE2626" s="23"/>
      <c r="CF2626" s="23"/>
      <c r="CG2626" s="23"/>
      <c r="CH2626" s="23"/>
      <c r="CI2626" s="23"/>
    </row>
    <row r="2627" spans="1:87" x14ac:dyDescent="0.3">
      <c r="A2627" s="9" t="s">
        <v>19716</v>
      </c>
      <c r="B2627" s="10" t="s">
        <v>19717</v>
      </c>
      <c r="C2627" s="11">
        <v>46052.645833333336</v>
      </c>
      <c r="D2627" s="12">
        <v>8.3333333333333329E-2</v>
      </c>
      <c r="E2627" s="11">
        <v>46052.729166666664</v>
      </c>
      <c r="F2627" s="10" t="s">
        <v>14786</v>
      </c>
      <c r="G2627" s="13" t="b">
        <v>0</v>
      </c>
      <c r="H2627" s="22" t="s">
        <v>14787</v>
      </c>
      <c r="I2627" s="10" t="s">
        <v>3548</v>
      </c>
      <c r="J2627" s="13" t="b">
        <v>0</v>
      </c>
      <c r="K2627" s="13" t="b">
        <v>1</v>
      </c>
      <c r="L2627" s="10" t="s">
        <v>124</v>
      </c>
      <c r="M2627" s="10" t="s">
        <v>91</v>
      </c>
      <c r="N2627" s="10" t="s">
        <v>92</v>
      </c>
      <c r="O2627" s="10"/>
      <c r="P2627" s="10"/>
      <c r="Q2627" s="10" t="s">
        <v>126</v>
      </c>
      <c r="R2627" s="10"/>
      <c r="S2627" s="10"/>
      <c r="T2627" s="10"/>
      <c r="U2627" s="10" t="s">
        <v>14826</v>
      </c>
      <c r="V2627" s="10" t="s">
        <v>14860</v>
      </c>
      <c r="W2627" s="10" t="s">
        <v>14793</v>
      </c>
      <c r="X2627" s="10" t="s">
        <v>130</v>
      </c>
      <c r="Y2627" s="10" t="s">
        <v>130</v>
      </c>
      <c r="Z2627" s="10" t="s">
        <v>99</v>
      </c>
      <c r="AA2627" s="10" t="s">
        <v>131</v>
      </c>
      <c r="AB2627" s="10" t="s">
        <v>14794</v>
      </c>
      <c r="AC2627" s="10" t="s">
        <v>3521</v>
      </c>
      <c r="AD2627" s="10" t="s">
        <v>19718</v>
      </c>
      <c r="AE2627" s="10" t="s">
        <v>19719</v>
      </c>
      <c r="AF2627" s="15"/>
      <c r="AG2627" s="10"/>
      <c r="AH2627" s="10"/>
      <c r="AI2627" s="10"/>
      <c r="AJ2627" s="10"/>
      <c r="AK2627" s="10"/>
      <c r="AL2627" s="10" t="s">
        <v>2098</v>
      </c>
      <c r="AM2627" s="10"/>
      <c r="AN2627" s="10"/>
      <c r="AO2627" s="13" t="b">
        <v>0</v>
      </c>
      <c r="AP2627" s="22" t="s">
        <v>104</v>
      </c>
      <c r="AQ2627" s="10"/>
      <c r="AR2627" s="17"/>
      <c r="AS2627" s="17"/>
      <c r="AT2627" s="17"/>
      <c r="AU2627" s="17"/>
      <c r="AV2627" s="17"/>
      <c r="AW2627" s="10"/>
      <c r="AX2627" s="17"/>
      <c r="AY2627" s="18" t="s">
        <v>257</v>
      </c>
      <c r="AZ2627" s="10"/>
      <c r="BA2627" s="20" t="b">
        <v>0</v>
      </c>
      <c r="BB2627" s="10"/>
      <c r="BC2627" s="17" t="s">
        <v>257</v>
      </c>
      <c r="BD2627" s="17" t="s">
        <v>257</v>
      </c>
      <c r="BE2627" s="17" t="s">
        <v>257</v>
      </c>
      <c r="BF2627" s="17" t="s">
        <v>257</v>
      </c>
      <c r="BG2627" s="11">
        <f ca="1">IFERROR(__xludf.DUMMYFUNCTION("""COMPUTED_VALUE"""),46052.6458333333)</f>
        <v>46052.645833333299</v>
      </c>
      <c r="BH2627" s="17"/>
      <c r="BI2627" s="17"/>
      <c r="BJ2627" s="15"/>
      <c r="BK2627" s="15"/>
      <c r="BL2627" s="13" t="b">
        <v>0</v>
      </c>
      <c r="BM2627" s="10"/>
      <c r="BN2627" s="10" t="s">
        <v>18577</v>
      </c>
      <c r="BO2627" s="11">
        <v>45972.704861111109</v>
      </c>
      <c r="BP2627" s="11">
        <v>45972.705335648148</v>
      </c>
      <c r="BQ2627" s="15"/>
      <c r="BR2627" s="15"/>
      <c r="BS2627" s="10"/>
      <c r="BT2627" s="10" t="s">
        <v>99</v>
      </c>
      <c r="BU2627" s="10"/>
      <c r="BV2627" s="10"/>
      <c r="BW2627" s="10"/>
      <c r="BX2627" s="10"/>
      <c r="BY2627" s="23"/>
      <c r="BZ2627" s="23"/>
      <c r="CA2627" s="23"/>
      <c r="CB2627" s="23"/>
      <c r="CC2627" s="23"/>
      <c r="CD2627" s="23"/>
      <c r="CE2627" s="23"/>
      <c r="CF2627" s="23"/>
      <c r="CG2627" s="23"/>
      <c r="CH2627" s="23"/>
      <c r="CI2627" s="23"/>
    </row>
    <row r="2628" spans="1:87" x14ac:dyDescent="0.3">
      <c r="A2628" s="9" t="s">
        <v>19720</v>
      </c>
      <c r="B2628" s="10" t="s">
        <v>19721</v>
      </c>
      <c r="C2628" s="11">
        <v>46052.791666666664</v>
      </c>
      <c r="D2628" s="12">
        <v>8.3333333333333329E-2</v>
      </c>
      <c r="E2628" s="11">
        <v>46052.875</v>
      </c>
      <c r="F2628" s="10" t="s">
        <v>14786</v>
      </c>
      <c r="G2628" s="13" t="b">
        <v>0</v>
      </c>
      <c r="H2628" s="22" t="s">
        <v>14787</v>
      </c>
      <c r="I2628" s="10" t="s">
        <v>212</v>
      </c>
      <c r="J2628" s="13" t="b">
        <v>1</v>
      </c>
      <c r="K2628" s="13" t="b">
        <v>0</v>
      </c>
      <c r="L2628" s="10" t="s">
        <v>124</v>
      </c>
      <c r="M2628" s="10" t="s">
        <v>91</v>
      </c>
      <c r="N2628" s="10" t="s">
        <v>92</v>
      </c>
      <c r="O2628" s="10"/>
      <c r="P2628" s="10"/>
      <c r="Q2628" s="10" t="s">
        <v>126</v>
      </c>
      <c r="R2628" s="10"/>
      <c r="S2628" s="10"/>
      <c r="T2628" s="10"/>
      <c r="U2628" s="10" t="s">
        <v>14882</v>
      </c>
      <c r="V2628" s="10" t="s">
        <v>14816</v>
      </c>
      <c r="W2628" s="10" t="s">
        <v>14793</v>
      </c>
      <c r="X2628" s="10" t="s">
        <v>130</v>
      </c>
      <c r="Y2628" s="10" t="s">
        <v>130</v>
      </c>
      <c r="Z2628" s="10" t="s">
        <v>99</v>
      </c>
      <c r="AA2628" s="10" t="s">
        <v>131</v>
      </c>
      <c r="AB2628" s="10" t="s">
        <v>14794</v>
      </c>
      <c r="AC2628" s="10" t="s">
        <v>3521</v>
      </c>
      <c r="AD2628" s="10" t="s">
        <v>19722</v>
      </c>
      <c r="AE2628" s="10" t="s">
        <v>19723</v>
      </c>
      <c r="AF2628" s="15"/>
      <c r="AG2628" s="10"/>
      <c r="AH2628" s="10"/>
      <c r="AI2628" s="10"/>
      <c r="AJ2628" s="10"/>
      <c r="AK2628" s="10"/>
      <c r="AL2628" s="10" t="s">
        <v>2098</v>
      </c>
      <c r="AM2628" s="10"/>
      <c r="AN2628" s="10"/>
      <c r="AO2628" s="13" t="b">
        <v>0</v>
      </c>
      <c r="AP2628" s="22" t="s">
        <v>104</v>
      </c>
      <c r="AQ2628" s="10"/>
      <c r="AR2628" s="17"/>
      <c r="AS2628" s="17"/>
      <c r="AT2628" s="17"/>
      <c r="AU2628" s="17"/>
      <c r="AV2628" s="17"/>
      <c r="AW2628" s="10"/>
      <c r="AX2628" s="17"/>
      <c r="AY2628" s="18" t="s">
        <v>257</v>
      </c>
      <c r="AZ2628" s="10"/>
      <c r="BA2628" s="20" t="b">
        <v>0</v>
      </c>
      <c r="BB2628" s="10"/>
      <c r="BC2628" s="17" t="s">
        <v>257</v>
      </c>
      <c r="BD2628" s="17" t="s">
        <v>257</v>
      </c>
      <c r="BE2628" s="17" t="s">
        <v>257</v>
      </c>
      <c r="BF2628" s="17" t="s">
        <v>257</v>
      </c>
      <c r="BG2628" s="11">
        <f ca="1">IFERROR(__xludf.DUMMYFUNCTION("""COMPUTED_VALUE"""),46052.7916666666)</f>
        <v>46052.791666666599</v>
      </c>
      <c r="BH2628" s="17"/>
      <c r="BI2628" s="17"/>
      <c r="BJ2628" s="15"/>
      <c r="BK2628" s="15"/>
      <c r="BL2628" s="13" t="b">
        <v>0</v>
      </c>
      <c r="BM2628" s="10"/>
      <c r="BN2628" s="10" t="s">
        <v>18577</v>
      </c>
      <c r="BO2628" s="11">
        <v>45972.706250000003</v>
      </c>
      <c r="BP2628" s="11">
        <v>45972.706365740742</v>
      </c>
      <c r="BQ2628" s="15"/>
      <c r="BR2628" s="15"/>
      <c r="BS2628" s="10"/>
      <c r="BT2628" s="10" t="s">
        <v>99</v>
      </c>
      <c r="BU2628" s="10"/>
      <c r="BV2628" s="10"/>
      <c r="BW2628" s="10"/>
      <c r="BX2628" s="10"/>
      <c r="BY2628" s="23"/>
      <c r="BZ2628" s="23"/>
      <c r="CA2628" s="23"/>
      <c r="CB2628" s="23"/>
      <c r="CC2628" s="23"/>
      <c r="CD2628" s="23"/>
      <c r="CE2628" s="23"/>
      <c r="CF2628" s="23"/>
      <c r="CG2628" s="23"/>
      <c r="CH2628" s="23"/>
      <c r="CI2628" s="23"/>
    </row>
    <row r="2629" spans="1:87" x14ac:dyDescent="0.3">
      <c r="A2629" s="9" t="s">
        <v>19724</v>
      </c>
      <c r="B2629" s="10" t="s">
        <v>19725</v>
      </c>
      <c r="C2629" s="11">
        <v>46053.645833333336</v>
      </c>
      <c r="D2629" s="12">
        <v>8.3333333333333329E-2</v>
      </c>
      <c r="E2629" s="11">
        <v>46053.729166666664</v>
      </c>
      <c r="F2629" s="10" t="s">
        <v>14786</v>
      </c>
      <c r="G2629" s="13" t="b">
        <v>0</v>
      </c>
      <c r="H2629" s="22" t="s">
        <v>14787</v>
      </c>
      <c r="I2629" s="10" t="s">
        <v>3548</v>
      </c>
      <c r="J2629" s="13" t="b">
        <v>0</v>
      </c>
      <c r="K2629" s="13" t="b">
        <v>1</v>
      </c>
      <c r="L2629" s="10" t="s">
        <v>124</v>
      </c>
      <c r="M2629" s="10" t="s">
        <v>91</v>
      </c>
      <c r="N2629" s="10" t="s">
        <v>92</v>
      </c>
      <c r="O2629" s="10"/>
      <c r="P2629" s="10"/>
      <c r="Q2629" s="10" t="s">
        <v>126</v>
      </c>
      <c r="R2629" s="10"/>
      <c r="S2629" s="10"/>
      <c r="T2629" s="10"/>
      <c r="U2629" s="10" t="s">
        <v>14870</v>
      </c>
      <c r="V2629" s="10" t="s">
        <v>14837</v>
      </c>
      <c r="W2629" s="10" t="s">
        <v>14793</v>
      </c>
      <c r="X2629" s="10" t="s">
        <v>130</v>
      </c>
      <c r="Y2629" s="10" t="s">
        <v>130</v>
      </c>
      <c r="Z2629" s="10" t="s">
        <v>99</v>
      </c>
      <c r="AA2629" s="10" t="s">
        <v>131</v>
      </c>
      <c r="AB2629" s="10" t="s">
        <v>14794</v>
      </c>
      <c r="AC2629" s="10" t="s">
        <v>3521</v>
      </c>
      <c r="AD2629" s="10" t="s">
        <v>19726</v>
      </c>
      <c r="AE2629" s="10" t="s">
        <v>19727</v>
      </c>
      <c r="AF2629" s="15"/>
      <c r="AG2629" s="10"/>
      <c r="AH2629" s="10"/>
      <c r="AI2629" s="10"/>
      <c r="AJ2629" s="10"/>
      <c r="AK2629" s="10"/>
      <c r="AL2629" s="10" t="s">
        <v>2098</v>
      </c>
      <c r="AM2629" s="10"/>
      <c r="AN2629" s="10"/>
      <c r="AO2629" s="13" t="b">
        <v>0</v>
      </c>
      <c r="AP2629" s="22" t="s">
        <v>104</v>
      </c>
      <c r="AQ2629" s="10"/>
      <c r="AR2629" s="17"/>
      <c r="AS2629" s="17"/>
      <c r="AT2629" s="17"/>
      <c r="AU2629" s="17"/>
      <c r="AV2629" s="17"/>
      <c r="AW2629" s="10"/>
      <c r="AX2629" s="17"/>
      <c r="AY2629" s="18" t="s">
        <v>257</v>
      </c>
      <c r="AZ2629" s="10"/>
      <c r="BA2629" s="20" t="b">
        <v>0</v>
      </c>
      <c r="BB2629" s="10"/>
      <c r="BC2629" s="17" t="s">
        <v>257</v>
      </c>
      <c r="BD2629" s="17" t="s">
        <v>257</v>
      </c>
      <c r="BE2629" s="17" t="s">
        <v>257</v>
      </c>
      <c r="BF2629" s="17" t="s">
        <v>257</v>
      </c>
      <c r="BG2629" s="11">
        <f ca="1">IFERROR(__xludf.DUMMYFUNCTION("""COMPUTED_VALUE"""),46053.6458333333)</f>
        <v>46053.645833333299</v>
      </c>
      <c r="BH2629" s="17"/>
      <c r="BI2629" s="17"/>
      <c r="BJ2629" s="15"/>
      <c r="BK2629" s="15"/>
      <c r="BL2629" s="13" t="b">
        <v>0</v>
      </c>
      <c r="BM2629" s="10"/>
      <c r="BN2629" s="10" t="s">
        <v>18577</v>
      </c>
      <c r="BO2629" s="11">
        <v>45972.706250000003</v>
      </c>
      <c r="BP2629" s="11">
        <v>45972.706956018519</v>
      </c>
      <c r="BQ2629" s="15"/>
      <c r="BR2629" s="15"/>
      <c r="BS2629" s="10"/>
      <c r="BT2629" s="10" t="s">
        <v>99</v>
      </c>
      <c r="BU2629" s="10"/>
      <c r="BV2629" s="10"/>
      <c r="BW2629" s="10"/>
      <c r="BX2629" s="10"/>
      <c r="BY2629" s="23"/>
      <c r="BZ2629" s="23"/>
      <c r="CA2629" s="23"/>
      <c r="CB2629" s="23"/>
      <c r="CC2629" s="23"/>
      <c r="CD2629" s="23"/>
      <c r="CE2629" s="23"/>
      <c r="CF2629" s="23"/>
      <c r="CG2629" s="23"/>
      <c r="CH2629" s="23"/>
      <c r="CI2629" s="23"/>
    </row>
    <row r="2630" spans="1:87" x14ac:dyDescent="0.3">
      <c r="A2630" s="9" t="s">
        <v>19728</v>
      </c>
      <c r="B2630" s="10" t="s">
        <v>19729</v>
      </c>
      <c r="C2630" s="11">
        <v>46053.791666666664</v>
      </c>
      <c r="D2630" s="12">
        <v>8.3333333333333329E-2</v>
      </c>
      <c r="E2630" s="11">
        <v>46053.875</v>
      </c>
      <c r="F2630" s="10" t="s">
        <v>14786</v>
      </c>
      <c r="G2630" s="13" t="b">
        <v>0</v>
      </c>
      <c r="H2630" s="22" t="s">
        <v>14787</v>
      </c>
      <c r="I2630" s="10" t="s">
        <v>3548</v>
      </c>
      <c r="J2630" s="13" t="b">
        <v>0</v>
      </c>
      <c r="K2630" s="13" t="b">
        <v>1</v>
      </c>
      <c r="L2630" s="10" t="s">
        <v>124</v>
      </c>
      <c r="M2630" s="10" t="s">
        <v>91</v>
      </c>
      <c r="N2630" s="10" t="s">
        <v>92</v>
      </c>
      <c r="O2630" s="10"/>
      <c r="P2630" s="10"/>
      <c r="Q2630" s="10" t="s">
        <v>126</v>
      </c>
      <c r="R2630" s="10"/>
      <c r="S2630" s="10"/>
      <c r="T2630" s="10"/>
      <c r="U2630" s="10" t="s">
        <v>14848</v>
      </c>
      <c r="V2630" s="10" t="s">
        <v>14859</v>
      </c>
      <c r="W2630" s="10" t="s">
        <v>14793</v>
      </c>
      <c r="X2630" s="10" t="s">
        <v>130</v>
      </c>
      <c r="Y2630" s="10" t="s">
        <v>130</v>
      </c>
      <c r="Z2630" s="10" t="s">
        <v>99</v>
      </c>
      <c r="AA2630" s="10" t="s">
        <v>131</v>
      </c>
      <c r="AB2630" s="10" t="s">
        <v>14794</v>
      </c>
      <c r="AC2630" s="10" t="s">
        <v>3521</v>
      </c>
      <c r="AD2630" s="10" t="s">
        <v>19730</v>
      </c>
      <c r="AE2630" s="10" t="s">
        <v>19731</v>
      </c>
      <c r="AF2630" s="15"/>
      <c r="AG2630" s="10"/>
      <c r="AH2630" s="10"/>
      <c r="AI2630" s="10"/>
      <c r="AJ2630" s="10"/>
      <c r="AK2630" s="10"/>
      <c r="AL2630" s="10" t="s">
        <v>2098</v>
      </c>
      <c r="AM2630" s="10"/>
      <c r="AN2630" s="10"/>
      <c r="AO2630" s="13" t="b">
        <v>1</v>
      </c>
      <c r="AP2630" s="22" t="s">
        <v>104</v>
      </c>
      <c r="AQ2630" s="10"/>
      <c r="AR2630" s="17"/>
      <c r="AS2630" s="17"/>
      <c r="AT2630" s="17"/>
      <c r="AU2630" s="17"/>
      <c r="AV2630" s="17"/>
      <c r="AW2630" s="10"/>
      <c r="AX2630" s="17"/>
      <c r="AY2630" s="18" t="s">
        <v>257</v>
      </c>
      <c r="AZ2630" s="10"/>
      <c r="BA2630" s="20" t="b">
        <v>0</v>
      </c>
      <c r="BB2630" s="10"/>
      <c r="BC2630" s="17" t="s">
        <v>257</v>
      </c>
      <c r="BD2630" s="17" t="s">
        <v>257</v>
      </c>
      <c r="BE2630" s="17" t="s">
        <v>257</v>
      </c>
      <c r="BF2630" s="17" t="s">
        <v>257</v>
      </c>
      <c r="BG2630" s="11">
        <f ca="1">IFERROR(__xludf.DUMMYFUNCTION("""COMPUTED_VALUE"""),46053.7916666666)</f>
        <v>46053.791666666599</v>
      </c>
      <c r="BH2630" s="17"/>
      <c r="BI2630" s="17"/>
      <c r="BJ2630" s="15"/>
      <c r="BK2630" s="15"/>
      <c r="BL2630" s="13" t="b">
        <v>0</v>
      </c>
      <c r="BM2630" s="10"/>
      <c r="BN2630" s="10" t="s">
        <v>18577</v>
      </c>
      <c r="BO2630" s="11">
        <v>45972.707638888889</v>
      </c>
      <c r="BP2630" s="11">
        <v>45972.707719907405</v>
      </c>
      <c r="BQ2630" s="15"/>
      <c r="BR2630" s="15"/>
      <c r="BS2630" s="10"/>
      <c r="BT2630" s="10" t="s">
        <v>99</v>
      </c>
      <c r="BU2630" s="10"/>
      <c r="BV2630" s="10"/>
      <c r="BW2630" s="10"/>
      <c r="BX2630" s="10"/>
      <c r="BY2630" s="23"/>
      <c r="BZ2630" s="23"/>
      <c r="CA2630" s="23"/>
      <c r="CB2630" s="23"/>
      <c r="CC2630" s="23"/>
      <c r="CD2630" s="23"/>
      <c r="CE2630" s="23"/>
      <c r="CF2630" s="23"/>
      <c r="CG2630" s="23"/>
      <c r="CH2630" s="23"/>
      <c r="CI2630" s="23"/>
    </row>
    <row r="2631" spans="1:87" x14ac:dyDescent="0.3">
      <c r="A2631" s="9" t="s">
        <v>19732</v>
      </c>
      <c r="B2631" s="10" t="s">
        <v>19733</v>
      </c>
      <c r="C2631" s="11">
        <v>46053.791666666664</v>
      </c>
      <c r="D2631" s="12">
        <v>8.3333333333333329E-2</v>
      </c>
      <c r="E2631" s="11">
        <v>46053.875</v>
      </c>
      <c r="F2631" s="10" t="s">
        <v>14786</v>
      </c>
      <c r="G2631" s="13" t="b">
        <v>0</v>
      </c>
      <c r="H2631" s="22" t="s">
        <v>14787</v>
      </c>
      <c r="I2631" s="10" t="s">
        <v>212</v>
      </c>
      <c r="J2631" s="13" t="b">
        <v>1</v>
      </c>
      <c r="K2631" s="13" t="b">
        <v>0</v>
      </c>
      <c r="L2631" s="10" t="s">
        <v>124</v>
      </c>
      <c r="M2631" s="10" t="s">
        <v>91</v>
      </c>
      <c r="N2631" s="10" t="s">
        <v>92</v>
      </c>
      <c r="O2631" s="10"/>
      <c r="P2631" s="10"/>
      <c r="Q2631" s="10" t="s">
        <v>126</v>
      </c>
      <c r="R2631" s="10"/>
      <c r="S2631" s="10"/>
      <c r="T2631" s="10"/>
      <c r="U2631" s="10" t="s">
        <v>14849</v>
      </c>
      <c r="V2631" s="10" t="s">
        <v>14838</v>
      </c>
      <c r="W2631" s="10" t="s">
        <v>14793</v>
      </c>
      <c r="X2631" s="10" t="s">
        <v>130</v>
      </c>
      <c r="Y2631" s="10" t="s">
        <v>130</v>
      </c>
      <c r="Z2631" s="10" t="s">
        <v>99</v>
      </c>
      <c r="AA2631" s="10" t="s">
        <v>131</v>
      </c>
      <c r="AB2631" s="10" t="s">
        <v>14794</v>
      </c>
      <c r="AC2631" s="10" t="s">
        <v>3521</v>
      </c>
      <c r="AD2631" s="10" t="s">
        <v>19734</v>
      </c>
      <c r="AE2631" s="10" t="s">
        <v>19735</v>
      </c>
      <c r="AF2631" s="15"/>
      <c r="AG2631" s="10"/>
      <c r="AH2631" s="10"/>
      <c r="AI2631" s="10"/>
      <c r="AJ2631" s="10"/>
      <c r="AK2631" s="10"/>
      <c r="AL2631" s="10" t="s">
        <v>2098</v>
      </c>
      <c r="AM2631" s="10"/>
      <c r="AN2631" s="10"/>
      <c r="AO2631" s="13" t="b">
        <v>0</v>
      </c>
      <c r="AP2631" s="22" t="s">
        <v>104</v>
      </c>
      <c r="AQ2631" s="10"/>
      <c r="AR2631" s="17"/>
      <c r="AS2631" s="17"/>
      <c r="AT2631" s="17"/>
      <c r="AU2631" s="17"/>
      <c r="AV2631" s="17"/>
      <c r="AW2631" s="10"/>
      <c r="AX2631" s="17"/>
      <c r="AY2631" s="18" t="s">
        <v>257</v>
      </c>
      <c r="AZ2631" s="10"/>
      <c r="BA2631" s="20" t="b">
        <v>0</v>
      </c>
      <c r="BB2631" s="10"/>
      <c r="BC2631" s="17" t="s">
        <v>257</v>
      </c>
      <c r="BD2631" s="17" t="s">
        <v>257</v>
      </c>
      <c r="BE2631" s="17" t="s">
        <v>257</v>
      </c>
      <c r="BF2631" s="17" t="s">
        <v>257</v>
      </c>
      <c r="BG2631" s="11">
        <f ca="1">IFERROR(__xludf.DUMMYFUNCTION("""COMPUTED_VALUE"""),46053.7916666666)</f>
        <v>46053.791666666599</v>
      </c>
      <c r="BH2631" s="17"/>
      <c r="BI2631" s="17"/>
      <c r="BJ2631" s="15"/>
      <c r="BK2631" s="15"/>
      <c r="BL2631" s="13" t="b">
        <v>0</v>
      </c>
      <c r="BM2631" s="10"/>
      <c r="BN2631" s="10" t="s">
        <v>18577</v>
      </c>
      <c r="BO2631" s="11">
        <v>45972.707638888889</v>
      </c>
      <c r="BP2631" s="11">
        <v>45972.708298611113</v>
      </c>
      <c r="BQ2631" s="15"/>
      <c r="BR2631" s="15"/>
      <c r="BS2631" s="10"/>
      <c r="BT2631" s="10" t="s">
        <v>99</v>
      </c>
      <c r="BU2631" s="10"/>
      <c r="BV2631" s="10"/>
      <c r="BW2631" s="10"/>
      <c r="BX2631" s="10"/>
      <c r="BY2631" s="23"/>
      <c r="BZ2631" s="23"/>
      <c r="CA2631" s="23"/>
      <c r="CB2631" s="23"/>
      <c r="CC2631" s="23"/>
      <c r="CD2631" s="23"/>
      <c r="CE2631" s="23"/>
      <c r="CF2631" s="23"/>
      <c r="CG2631" s="23"/>
      <c r="CH2631" s="23"/>
      <c r="CI2631" s="23"/>
    </row>
    <row r="2632" spans="1:87" x14ac:dyDescent="0.3">
      <c r="A2632" s="9" t="s">
        <v>19736</v>
      </c>
      <c r="B2632" s="10" t="s">
        <v>19737</v>
      </c>
      <c r="C2632" s="11">
        <v>46053.854166666664</v>
      </c>
      <c r="D2632" s="12">
        <v>8.3333333333333329E-2</v>
      </c>
      <c r="E2632" s="11">
        <v>46053.9375</v>
      </c>
      <c r="F2632" s="10" t="s">
        <v>14786</v>
      </c>
      <c r="G2632" s="13" t="b">
        <v>0</v>
      </c>
      <c r="H2632" s="22" t="s">
        <v>14787</v>
      </c>
      <c r="I2632" s="10" t="s">
        <v>3548</v>
      </c>
      <c r="J2632" s="13" t="b">
        <v>0</v>
      </c>
      <c r="K2632" s="13" t="b">
        <v>1</v>
      </c>
      <c r="L2632" s="10" t="s">
        <v>124</v>
      </c>
      <c r="M2632" s="10" t="s">
        <v>91</v>
      </c>
      <c r="N2632" s="10" t="s">
        <v>92</v>
      </c>
      <c r="O2632" s="10"/>
      <c r="P2632" s="10"/>
      <c r="Q2632" s="10" t="s">
        <v>126</v>
      </c>
      <c r="R2632" s="10"/>
      <c r="S2632" s="10"/>
      <c r="T2632" s="10"/>
      <c r="U2632" s="10" t="s">
        <v>14892</v>
      </c>
      <c r="V2632" s="10" t="s">
        <v>14792</v>
      </c>
      <c r="W2632" s="10" t="s">
        <v>14793</v>
      </c>
      <c r="X2632" s="10" t="s">
        <v>130</v>
      </c>
      <c r="Y2632" s="10" t="s">
        <v>130</v>
      </c>
      <c r="Z2632" s="10" t="s">
        <v>99</v>
      </c>
      <c r="AA2632" s="10" t="s">
        <v>131</v>
      </c>
      <c r="AB2632" s="10" t="s">
        <v>14794</v>
      </c>
      <c r="AC2632" s="10" t="s">
        <v>3521</v>
      </c>
      <c r="AD2632" s="10" t="s">
        <v>19738</v>
      </c>
      <c r="AE2632" s="10" t="s">
        <v>19739</v>
      </c>
      <c r="AF2632" s="15"/>
      <c r="AG2632" s="10"/>
      <c r="AH2632" s="10"/>
      <c r="AI2632" s="10"/>
      <c r="AJ2632" s="10"/>
      <c r="AK2632" s="10"/>
      <c r="AL2632" s="10" t="s">
        <v>2098</v>
      </c>
      <c r="AM2632" s="10"/>
      <c r="AN2632" s="10"/>
      <c r="AO2632" s="13" t="b">
        <v>0</v>
      </c>
      <c r="AP2632" s="22" t="s">
        <v>104</v>
      </c>
      <c r="AQ2632" s="10"/>
      <c r="AR2632" s="17"/>
      <c r="AS2632" s="17"/>
      <c r="AT2632" s="17"/>
      <c r="AU2632" s="17"/>
      <c r="AV2632" s="17"/>
      <c r="AW2632" s="10"/>
      <c r="AX2632" s="17"/>
      <c r="AY2632" s="18" t="s">
        <v>257</v>
      </c>
      <c r="AZ2632" s="10"/>
      <c r="BA2632" s="20" t="b">
        <v>0</v>
      </c>
      <c r="BB2632" s="10"/>
      <c r="BC2632" s="17" t="s">
        <v>257</v>
      </c>
      <c r="BD2632" s="17" t="s">
        <v>257</v>
      </c>
      <c r="BE2632" s="17" t="s">
        <v>257</v>
      </c>
      <c r="BF2632" s="17" t="s">
        <v>257</v>
      </c>
      <c r="BG2632" s="11">
        <f ca="1">IFERROR(__xludf.DUMMYFUNCTION("""COMPUTED_VALUE"""),46053.8541666666)</f>
        <v>46053.854166666599</v>
      </c>
      <c r="BH2632" s="17"/>
      <c r="BI2632" s="17"/>
      <c r="BJ2632" s="15"/>
      <c r="BK2632" s="15"/>
      <c r="BL2632" s="13" t="b">
        <v>0</v>
      </c>
      <c r="BM2632" s="10"/>
      <c r="BN2632" s="10" t="s">
        <v>18577</v>
      </c>
      <c r="BO2632" s="11">
        <v>45972.708333333336</v>
      </c>
      <c r="BP2632" s="11">
        <v>45972.70894675926</v>
      </c>
      <c r="BQ2632" s="15"/>
      <c r="BR2632" s="15"/>
      <c r="BS2632" s="10"/>
      <c r="BT2632" s="10" t="s">
        <v>99</v>
      </c>
      <c r="BU2632" s="10"/>
      <c r="BV2632" s="10"/>
      <c r="BW2632" s="10"/>
      <c r="BX2632" s="10"/>
      <c r="BY2632" s="23"/>
      <c r="BZ2632" s="23"/>
      <c r="CA2632" s="23"/>
      <c r="CB2632" s="23"/>
      <c r="CC2632" s="23"/>
      <c r="CD2632" s="23"/>
      <c r="CE2632" s="23"/>
      <c r="CF2632" s="23"/>
      <c r="CG2632" s="23"/>
      <c r="CH2632" s="23"/>
      <c r="CI2632" s="23"/>
    </row>
    <row r="2633" spans="1:87" x14ac:dyDescent="0.3">
      <c r="A2633" s="9" t="s">
        <v>19740</v>
      </c>
      <c r="B2633" s="10" t="s">
        <v>19741</v>
      </c>
      <c r="C2633" s="11">
        <v>45983.020833333336</v>
      </c>
      <c r="D2633" s="12">
        <v>8.3333333333333329E-2</v>
      </c>
      <c r="E2633" s="11">
        <v>45983.104166666664</v>
      </c>
      <c r="F2633" s="10" t="s">
        <v>9129</v>
      </c>
      <c r="G2633" s="13" t="b">
        <v>0</v>
      </c>
      <c r="H2633" s="22" t="s">
        <v>9130</v>
      </c>
      <c r="I2633" s="10" t="s">
        <v>9131</v>
      </c>
      <c r="J2633" s="13" t="b">
        <v>0</v>
      </c>
      <c r="K2633" s="13" t="b">
        <v>1</v>
      </c>
      <c r="L2633" s="10" t="s">
        <v>124</v>
      </c>
      <c r="M2633" s="10" t="s">
        <v>91</v>
      </c>
      <c r="N2633" s="10" t="s">
        <v>265</v>
      </c>
      <c r="O2633" s="19" t="s">
        <v>19742</v>
      </c>
      <c r="P2633" s="10"/>
      <c r="Q2633" s="10" t="s">
        <v>126</v>
      </c>
      <c r="R2633" s="10"/>
      <c r="S2633" s="19" t="s">
        <v>19743</v>
      </c>
      <c r="T2633" s="10"/>
      <c r="U2633" s="10" t="s">
        <v>14944</v>
      </c>
      <c r="V2633" s="10" t="s">
        <v>9150</v>
      </c>
      <c r="W2633" s="10" t="s">
        <v>9136</v>
      </c>
      <c r="X2633" s="10" t="s">
        <v>130</v>
      </c>
      <c r="Y2633" s="10" t="s">
        <v>130</v>
      </c>
      <c r="Z2633" s="10" t="s">
        <v>99</v>
      </c>
      <c r="AA2633" s="10" t="s">
        <v>131</v>
      </c>
      <c r="AB2633" s="10" t="s">
        <v>9137</v>
      </c>
      <c r="AC2633" s="10" t="s">
        <v>9138</v>
      </c>
      <c r="AD2633" s="10" t="s">
        <v>19744</v>
      </c>
      <c r="AE2633" s="10" t="s">
        <v>19745</v>
      </c>
      <c r="AF2633" s="15"/>
      <c r="AG2633" s="10"/>
      <c r="AH2633" s="10"/>
      <c r="AI2633" s="10"/>
      <c r="AJ2633" s="10"/>
      <c r="AK2633" s="10" t="s">
        <v>102</v>
      </c>
      <c r="AL2633" s="10" t="s">
        <v>205</v>
      </c>
      <c r="AM2633" s="10"/>
      <c r="AN2633" s="10"/>
      <c r="AO2633" s="13" t="b">
        <v>0</v>
      </c>
      <c r="AP2633" s="22" t="s">
        <v>104</v>
      </c>
      <c r="AQ2633" s="10">
        <f ca="1">IFERROR(__xludf.DUMMYFUNCTION("""COMPUTED_VALUE"""),4726332)</f>
        <v>4726332</v>
      </c>
      <c r="AR2633" s="17">
        <v>3533</v>
      </c>
      <c r="AS2633" s="17">
        <v>3066</v>
      </c>
      <c r="AT2633" s="17">
        <v>79878.25</v>
      </c>
      <c r="AU2633" s="17">
        <v>9.5</v>
      </c>
      <c r="AV2633" s="17">
        <v>0.5</v>
      </c>
      <c r="AW2633" s="10" t="s">
        <v>105</v>
      </c>
      <c r="AX2633" s="17">
        <v>635</v>
      </c>
      <c r="AY2633" s="18">
        <v>26.052919112850621</v>
      </c>
      <c r="AZ2633" s="10"/>
      <c r="BA2633" s="20" t="b">
        <v>0</v>
      </c>
      <c r="BB2633" s="10"/>
      <c r="BC2633" s="17">
        <v>3533</v>
      </c>
      <c r="BD2633" s="17">
        <v>3066</v>
      </c>
      <c r="BE2633" s="17">
        <v>79878.25</v>
      </c>
      <c r="BF2633" s="17">
        <v>0.5</v>
      </c>
      <c r="BG2633" s="11">
        <f ca="1">IFERROR(__xludf.DUMMYFUNCTION("""COMPUTED_VALUE"""),45983.0208333333)</f>
        <v>45983.020833333299</v>
      </c>
      <c r="BH2633" s="17" t="s">
        <v>105</v>
      </c>
      <c r="BI2633" s="17"/>
      <c r="BJ2633" s="15"/>
      <c r="BK2633" s="15"/>
      <c r="BL2633" s="13" t="b">
        <v>0</v>
      </c>
      <c r="BM2633" s="10"/>
      <c r="BN2633" s="10" t="s">
        <v>667</v>
      </c>
      <c r="BO2633" s="11">
        <v>45973.480555555558</v>
      </c>
      <c r="BP2633" s="11">
        <v>45973.486539351848</v>
      </c>
      <c r="BQ2633" s="15">
        <v>45981.759247685186</v>
      </c>
      <c r="BR2633" s="15">
        <v>45981.963252314818</v>
      </c>
      <c r="BS2633" s="10" t="s">
        <v>667</v>
      </c>
      <c r="BT2633" s="10" t="s">
        <v>99</v>
      </c>
      <c r="BU2633" s="10" t="s">
        <v>9114</v>
      </c>
      <c r="BV2633" s="10"/>
      <c r="BW2633" s="10"/>
      <c r="BX2633" s="10"/>
      <c r="BY2633" s="23"/>
      <c r="BZ2633" s="23"/>
      <c r="CA2633" s="19" t="s">
        <v>19746</v>
      </c>
      <c r="CB2633" s="23"/>
      <c r="CC2633" s="23"/>
      <c r="CD2633" s="19" t="s">
        <v>19747</v>
      </c>
      <c r="CE2633" s="23"/>
      <c r="CF2633" s="23"/>
      <c r="CG2633" s="23"/>
      <c r="CH2633" s="23"/>
      <c r="CI2633" s="23"/>
    </row>
    <row r="2634" spans="1:87" x14ac:dyDescent="0.3">
      <c r="A2634" s="9" t="s">
        <v>19748</v>
      </c>
      <c r="B2634" s="10" t="s">
        <v>19749</v>
      </c>
      <c r="C2634" s="11">
        <v>45983.902777777781</v>
      </c>
      <c r="D2634" s="12">
        <v>8.3333333333333329E-2</v>
      </c>
      <c r="E2634" s="11">
        <v>45983.986111111109</v>
      </c>
      <c r="F2634" s="10" t="s">
        <v>9129</v>
      </c>
      <c r="G2634" s="13" t="b">
        <v>0</v>
      </c>
      <c r="H2634" s="22" t="s">
        <v>9130</v>
      </c>
      <c r="I2634" s="10" t="s">
        <v>9131</v>
      </c>
      <c r="J2634" s="13" t="b">
        <v>0</v>
      </c>
      <c r="K2634" s="13" t="b">
        <v>1</v>
      </c>
      <c r="L2634" s="10" t="s">
        <v>124</v>
      </c>
      <c r="M2634" s="10" t="s">
        <v>91</v>
      </c>
      <c r="N2634" s="10" t="s">
        <v>265</v>
      </c>
      <c r="O2634" s="19" t="s">
        <v>19750</v>
      </c>
      <c r="P2634" s="10"/>
      <c r="Q2634" s="10" t="s">
        <v>126</v>
      </c>
      <c r="R2634" s="10"/>
      <c r="S2634" s="19" t="s">
        <v>19751</v>
      </c>
      <c r="T2634" s="10"/>
      <c r="U2634" s="10" t="s">
        <v>9149</v>
      </c>
      <c r="V2634" s="10" t="s">
        <v>9135</v>
      </c>
      <c r="W2634" s="10" t="s">
        <v>9136</v>
      </c>
      <c r="X2634" s="10" t="s">
        <v>130</v>
      </c>
      <c r="Y2634" s="10" t="s">
        <v>130</v>
      </c>
      <c r="Z2634" s="10" t="s">
        <v>99</v>
      </c>
      <c r="AA2634" s="10" t="s">
        <v>131</v>
      </c>
      <c r="AB2634" s="10" t="s">
        <v>9137</v>
      </c>
      <c r="AC2634" s="10" t="s">
        <v>9138</v>
      </c>
      <c r="AD2634" s="10" t="s">
        <v>19752</v>
      </c>
      <c r="AE2634" s="10" t="s">
        <v>19753</v>
      </c>
      <c r="AF2634" s="15"/>
      <c r="AG2634" s="10"/>
      <c r="AH2634" s="10"/>
      <c r="AI2634" s="10"/>
      <c r="AJ2634" s="10"/>
      <c r="AK2634" s="10" t="s">
        <v>102</v>
      </c>
      <c r="AL2634" s="10" t="s">
        <v>205</v>
      </c>
      <c r="AM2634" s="10"/>
      <c r="AN2634" s="10"/>
      <c r="AO2634" s="13" t="b">
        <v>0</v>
      </c>
      <c r="AP2634" s="22" t="s">
        <v>104</v>
      </c>
      <c r="AQ2634" s="10">
        <f ca="1">IFERROR(__xludf.DUMMYFUNCTION("""COMPUTED_VALUE"""),4726333)</f>
        <v>4726333</v>
      </c>
      <c r="AR2634" s="17">
        <v>7966</v>
      </c>
      <c r="AS2634" s="17">
        <v>7115</v>
      </c>
      <c r="AT2634" s="17">
        <v>39624.5</v>
      </c>
      <c r="AU2634" s="17">
        <v>30.5</v>
      </c>
      <c r="AV2634" s="17">
        <v>5.8</v>
      </c>
      <c r="AW2634" s="10" t="s">
        <v>105</v>
      </c>
      <c r="AX2634" s="17">
        <v>1271</v>
      </c>
      <c r="AY2634" s="18">
        <v>5.5691496837666898</v>
      </c>
      <c r="AZ2634" s="10"/>
      <c r="BA2634" s="20" t="b">
        <v>0</v>
      </c>
      <c r="BB2634" s="10"/>
      <c r="BC2634" s="17">
        <v>7966</v>
      </c>
      <c r="BD2634" s="17">
        <v>7115</v>
      </c>
      <c r="BE2634" s="17">
        <v>39624.5</v>
      </c>
      <c r="BF2634" s="17">
        <v>5.8</v>
      </c>
      <c r="BG2634" s="11">
        <f ca="1">IFERROR(__xludf.DUMMYFUNCTION("""COMPUTED_VALUE"""),45983.9027777777)</f>
        <v>45983.902777777701</v>
      </c>
      <c r="BH2634" s="17" t="s">
        <v>105</v>
      </c>
      <c r="BI2634" s="17"/>
      <c r="BJ2634" s="15"/>
      <c r="BK2634" s="15"/>
      <c r="BL2634" s="13" t="b">
        <v>0</v>
      </c>
      <c r="BM2634" s="10"/>
      <c r="BN2634" s="10" t="s">
        <v>149</v>
      </c>
      <c r="BO2634" s="11">
        <v>45973.48333333333</v>
      </c>
      <c r="BP2634" s="11">
        <v>45979.50571759259</v>
      </c>
      <c r="BQ2634" s="15">
        <v>45981.759282407409</v>
      </c>
      <c r="BR2634" s="15">
        <v>45982.10292824074</v>
      </c>
      <c r="BS2634" s="10" t="s">
        <v>149</v>
      </c>
      <c r="BT2634" s="10" t="s">
        <v>99</v>
      </c>
      <c r="BU2634" s="10" t="s">
        <v>5675</v>
      </c>
      <c r="BV2634" s="10"/>
      <c r="BW2634" s="10"/>
      <c r="BX2634" s="10"/>
      <c r="BY2634" s="23"/>
      <c r="BZ2634" s="23"/>
      <c r="CA2634" s="19" t="s">
        <v>19754</v>
      </c>
      <c r="CB2634" s="23"/>
      <c r="CC2634" s="23"/>
      <c r="CD2634" s="19" t="s">
        <v>19755</v>
      </c>
      <c r="CE2634" s="23"/>
      <c r="CF2634" s="23"/>
      <c r="CG2634" s="23"/>
      <c r="CH2634" s="23"/>
      <c r="CI2634" s="23"/>
    </row>
    <row r="2635" spans="1:87" x14ac:dyDescent="0.3">
      <c r="A2635" s="9" t="s">
        <v>19756</v>
      </c>
      <c r="B2635" s="10" t="s">
        <v>19757</v>
      </c>
      <c r="C2635" s="11">
        <v>45977.729166666664</v>
      </c>
      <c r="D2635" s="12">
        <v>8.3333333333333329E-2</v>
      </c>
      <c r="E2635" s="11">
        <v>45977.8125</v>
      </c>
      <c r="F2635" s="10" t="s">
        <v>16719</v>
      </c>
      <c r="G2635" s="13" t="b">
        <v>0</v>
      </c>
      <c r="H2635" s="22" t="s">
        <v>16543</v>
      </c>
      <c r="I2635" s="10" t="s">
        <v>212</v>
      </c>
      <c r="J2635" s="13" t="b">
        <v>1</v>
      </c>
      <c r="K2635" s="13" t="b">
        <v>0</v>
      </c>
      <c r="L2635" s="10" t="s">
        <v>124</v>
      </c>
      <c r="M2635" s="10" t="s">
        <v>91</v>
      </c>
      <c r="N2635" s="10" t="s">
        <v>92</v>
      </c>
      <c r="O2635" s="19" t="s">
        <v>19758</v>
      </c>
      <c r="P2635" s="10"/>
      <c r="Q2635" s="10" t="s">
        <v>94</v>
      </c>
      <c r="R2635" s="10"/>
      <c r="S2635" s="19" t="s">
        <v>19759</v>
      </c>
      <c r="T2635" s="10"/>
      <c r="U2635" s="10" t="s">
        <v>16722</v>
      </c>
      <c r="V2635" s="10" t="s">
        <v>16769</v>
      </c>
      <c r="W2635" s="10" t="s">
        <v>16644</v>
      </c>
      <c r="X2635" s="10" t="s">
        <v>16549</v>
      </c>
      <c r="Y2635" s="10" t="s">
        <v>16549</v>
      </c>
      <c r="Z2635" s="10" t="s">
        <v>99</v>
      </c>
      <c r="AA2635" s="10" t="s">
        <v>131</v>
      </c>
      <c r="AB2635" s="10" t="s">
        <v>16645</v>
      </c>
      <c r="AC2635" s="10" t="s">
        <v>16551</v>
      </c>
      <c r="AD2635" s="10" t="s">
        <v>19760</v>
      </c>
      <c r="AE2635" s="10" t="s">
        <v>19761</v>
      </c>
      <c r="AF2635" s="15"/>
      <c r="AG2635" s="10"/>
      <c r="AH2635" s="10"/>
      <c r="AI2635" s="10"/>
      <c r="AJ2635" s="10"/>
      <c r="AK2635" s="10" t="s">
        <v>102</v>
      </c>
      <c r="AL2635" s="10"/>
      <c r="AM2635" s="10"/>
      <c r="AN2635" s="10"/>
      <c r="AO2635" s="13" t="b">
        <v>0</v>
      </c>
      <c r="AP2635" s="22" t="s">
        <v>104</v>
      </c>
      <c r="AQ2635" s="10">
        <f ca="1">IFERROR(__xludf.DUMMYFUNCTION("""COMPUTED_VALUE"""),4717740)</f>
        <v>4717740</v>
      </c>
      <c r="AR2635" s="17">
        <v>10178</v>
      </c>
      <c r="AS2635" s="17">
        <v>7991</v>
      </c>
      <c r="AT2635" s="17">
        <v>143102.25</v>
      </c>
      <c r="AU2635" s="17">
        <v>18.149999999999999</v>
      </c>
      <c r="AV2635" s="17">
        <v>1.35</v>
      </c>
      <c r="AW2635" s="10" t="s">
        <v>105</v>
      </c>
      <c r="AX2635" s="17">
        <v>1565</v>
      </c>
      <c r="AY2635" s="18">
        <v>17.907927668627206</v>
      </c>
      <c r="AZ2635" s="10" t="s">
        <v>3998</v>
      </c>
      <c r="BA2635" s="20" t="b">
        <v>0</v>
      </c>
      <c r="BB2635" s="10"/>
      <c r="BC2635" s="17">
        <v>10178</v>
      </c>
      <c r="BD2635" s="17">
        <v>7991</v>
      </c>
      <c r="BE2635" s="17">
        <v>143102.25</v>
      </c>
      <c r="BF2635" s="17">
        <v>1.35</v>
      </c>
      <c r="BG2635" s="11">
        <f ca="1">IFERROR(__xludf.DUMMYFUNCTION("""COMPUTED_VALUE"""),45977.7291666666)</f>
        <v>45977.729166666599</v>
      </c>
      <c r="BH2635" s="17" t="s">
        <v>105</v>
      </c>
      <c r="BI2635" s="17"/>
      <c r="BJ2635" s="15"/>
      <c r="BK2635" s="15"/>
      <c r="BL2635" s="13" t="b">
        <v>0</v>
      </c>
      <c r="BM2635" s="10"/>
      <c r="BN2635" s="10" t="s">
        <v>137</v>
      </c>
      <c r="BO2635" s="11">
        <v>45974.565972222219</v>
      </c>
      <c r="BP2635" s="11">
        <v>45974.595682870371</v>
      </c>
      <c r="BQ2635" s="15">
        <v>45974.691342592596</v>
      </c>
      <c r="BR2635" s="15">
        <v>45977.489479166667</v>
      </c>
      <c r="BS2635" s="10" t="s">
        <v>137</v>
      </c>
      <c r="BT2635" s="10" t="s">
        <v>99</v>
      </c>
      <c r="BU2635" s="10" t="s">
        <v>298</v>
      </c>
      <c r="BV2635" s="10"/>
      <c r="BW2635" s="10"/>
      <c r="BX2635" s="10"/>
      <c r="BY2635" s="23"/>
      <c r="BZ2635" s="23"/>
      <c r="CA2635" s="19" t="s">
        <v>19762</v>
      </c>
      <c r="CB2635" s="23"/>
      <c r="CC2635" s="23"/>
      <c r="CD2635" s="23"/>
      <c r="CE2635" s="23"/>
      <c r="CF2635" s="23"/>
      <c r="CG2635" s="23"/>
      <c r="CH2635" s="23"/>
      <c r="CI2635" s="23"/>
    </row>
    <row r="2636" spans="1:87" x14ac:dyDescent="0.3">
      <c r="A2636" s="9" t="s">
        <v>19763</v>
      </c>
      <c r="B2636" s="10" t="s">
        <v>19764</v>
      </c>
      <c r="C2636" s="11">
        <v>45997.791666666664</v>
      </c>
      <c r="D2636" s="12">
        <v>8.3333333333333329E-2</v>
      </c>
      <c r="E2636" s="11">
        <v>45997.875</v>
      </c>
      <c r="F2636" s="10" t="s">
        <v>15254</v>
      </c>
      <c r="G2636" s="13" t="b">
        <v>0</v>
      </c>
      <c r="H2636" s="22"/>
      <c r="I2636" s="10" t="s">
        <v>89</v>
      </c>
      <c r="J2636" s="13" t="b">
        <v>0</v>
      </c>
      <c r="K2636" s="13" t="b">
        <v>1</v>
      </c>
      <c r="L2636" s="10" t="s">
        <v>124</v>
      </c>
      <c r="M2636" s="10" t="s">
        <v>91</v>
      </c>
      <c r="N2636" s="10" t="s">
        <v>265</v>
      </c>
      <c r="O2636" s="10"/>
      <c r="P2636" s="10"/>
      <c r="Q2636" s="10" t="s">
        <v>126</v>
      </c>
      <c r="R2636" s="10"/>
      <c r="S2636" s="10"/>
      <c r="T2636" s="10"/>
      <c r="U2636" s="10" t="s">
        <v>15259</v>
      </c>
      <c r="V2636" s="10" t="s">
        <v>15750</v>
      </c>
      <c r="W2636" s="10" t="s">
        <v>15260</v>
      </c>
      <c r="X2636" s="10" t="s">
        <v>130</v>
      </c>
      <c r="Y2636" s="10" t="s">
        <v>130</v>
      </c>
      <c r="Z2636" s="10" t="s">
        <v>99</v>
      </c>
      <c r="AA2636" s="10" t="s">
        <v>131</v>
      </c>
      <c r="AB2636" s="10" t="s">
        <v>15261</v>
      </c>
      <c r="AC2636" s="10" t="s">
        <v>274</v>
      </c>
      <c r="AD2636" s="10" t="s">
        <v>19765</v>
      </c>
      <c r="AE2636" s="10" t="s">
        <v>19766</v>
      </c>
      <c r="AF2636" s="15"/>
      <c r="AG2636" s="10"/>
      <c r="AH2636" s="10"/>
      <c r="AI2636" s="10"/>
      <c r="AJ2636" s="10" t="s">
        <v>19767</v>
      </c>
      <c r="AK2636" s="10" t="s">
        <v>256</v>
      </c>
      <c r="AL2636" s="10" t="s">
        <v>1252</v>
      </c>
      <c r="AM2636" s="10"/>
      <c r="AN2636" s="10"/>
      <c r="AO2636" s="13" t="b">
        <v>0</v>
      </c>
      <c r="AP2636" s="22" t="s">
        <v>135</v>
      </c>
      <c r="AQ2636" s="10"/>
      <c r="AR2636" s="17"/>
      <c r="AS2636" s="17"/>
      <c r="AT2636" s="17"/>
      <c r="AU2636" s="17"/>
      <c r="AV2636" s="17"/>
      <c r="AW2636" s="10"/>
      <c r="AX2636" s="17"/>
      <c r="AY2636" s="18" t="s">
        <v>257</v>
      </c>
      <c r="AZ2636" s="10"/>
      <c r="BA2636" s="20" t="b">
        <v>0</v>
      </c>
      <c r="BB2636" s="10"/>
      <c r="BC2636" s="17" t="s">
        <v>257</v>
      </c>
      <c r="BD2636" s="17" t="s">
        <v>257</v>
      </c>
      <c r="BE2636" s="17" t="s">
        <v>257</v>
      </c>
      <c r="BF2636" s="17" t="s">
        <v>257</v>
      </c>
      <c r="BG2636" s="11">
        <f ca="1">IFERROR(__xludf.DUMMYFUNCTION("""COMPUTED_VALUE"""),45997.7916666666)</f>
        <v>45997.791666666599</v>
      </c>
      <c r="BH2636" s="17"/>
      <c r="BI2636" s="17"/>
      <c r="BJ2636" s="15"/>
      <c r="BK2636" s="15"/>
      <c r="BL2636" s="13" t="b">
        <v>0</v>
      </c>
      <c r="BM2636" s="10"/>
      <c r="BN2636" s="10" t="s">
        <v>2527</v>
      </c>
      <c r="BO2636" s="11">
        <v>45974.572222222225</v>
      </c>
      <c r="BP2636" s="11">
        <v>45992.662951388891</v>
      </c>
      <c r="BQ2636" s="15"/>
      <c r="BR2636" s="15"/>
      <c r="BS2636" s="10"/>
      <c r="BT2636" s="10" t="s">
        <v>99</v>
      </c>
      <c r="BU2636" s="10"/>
      <c r="BV2636" s="10"/>
      <c r="BW2636" s="10"/>
      <c r="BX2636" s="10"/>
      <c r="BY2636" s="23"/>
      <c r="BZ2636" s="23"/>
      <c r="CA2636" s="23"/>
      <c r="CB2636" s="23"/>
      <c r="CC2636" s="23"/>
      <c r="CD2636" s="23"/>
      <c r="CE2636" s="23"/>
      <c r="CF2636" s="23"/>
      <c r="CG2636" s="23"/>
      <c r="CH2636" s="23"/>
      <c r="CI2636" s="23"/>
    </row>
    <row r="2637" spans="1:87" x14ac:dyDescent="0.3">
      <c r="A2637" s="9" t="s">
        <v>19768</v>
      </c>
      <c r="B2637" s="10" t="s">
        <v>19769</v>
      </c>
      <c r="C2637" s="11">
        <v>45998.791666666664</v>
      </c>
      <c r="D2637" s="12">
        <v>8.3333333333333329E-2</v>
      </c>
      <c r="E2637" s="11">
        <v>45998.875</v>
      </c>
      <c r="F2637" s="10" t="s">
        <v>15254</v>
      </c>
      <c r="G2637" s="13" t="b">
        <v>0</v>
      </c>
      <c r="H2637" s="22" t="s">
        <v>3564</v>
      </c>
      <c r="I2637" s="10" t="s">
        <v>89</v>
      </c>
      <c r="J2637" s="13" t="b">
        <v>0</v>
      </c>
      <c r="K2637" s="13" t="b">
        <v>1</v>
      </c>
      <c r="L2637" s="10" t="s">
        <v>124</v>
      </c>
      <c r="M2637" s="10" t="s">
        <v>91</v>
      </c>
      <c r="N2637" s="10" t="s">
        <v>265</v>
      </c>
      <c r="O2637" s="19" t="s">
        <v>19770</v>
      </c>
      <c r="P2637" s="10"/>
      <c r="Q2637" s="10" t="s">
        <v>126</v>
      </c>
      <c r="R2637" s="10"/>
      <c r="S2637" s="19" t="s">
        <v>19771</v>
      </c>
      <c r="T2637" s="19" t="s">
        <v>19772</v>
      </c>
      <c r="U2637" s="10" t="s">
        <v>15258</v>
      </c>
      <c r="V2637" s="10" t="s">
        <v>15683</v>
      </c>
      <c r="W2637" s="10" t="s">
        <v>15260</v>
      </c>
      <c r="X2637" s="10" t="s">
        <v>130</v>
      </c>
      <c r="Y2637" s="10" t="s">
        <v>130</v>
      </c>
      <c r="Z2637" s="10" t="s">
        <v>99</v>
      </c>
      <c r="AA2637" s="10" t="s">
        <v>131</v>
      </c>
      <c r="AB2637" s="10" t="s">
        <v>15261</v>
      </c>
      <c r="AC2637" s="10" t="s">
        <v>274</v>
      </c>
      <c r="AD2637" s="10" t="s">
        <v>19773</v>
      </c>
      <c r="AE2637" s="10" t="s">
        <v>19774</v>
      </c>
      <c r="AF2637" s="15"/>
      <c r="AG2637" s="10"/>
      <c r="AH2637" s="10"/>
      <c r="AI2637" s="10"/>
      <c r="AJ2637" s="10" t="s">
        <v>19775</v>
      </c>
      <c r="AK2637" s="10" t="s">
        <v>102</v>
      </c>
      <c r="AL2637" s="10" t="s">
        <v>1252</v>
      </c>
      <c r="AM2637" s="10"/>
      <c r="AN2637" s="10"/>
      <c r="AO2637" s="13" t="b">
        <v>0</v>
      </c>
      <c r="AP2637" s="22" t="s">
        <v>135</v>
      </c>
      <c r="AQ2637" s="10">
        <f ca="1">IFERROR(__xludf.DUMMYFUNCTION("""COMPUTED_VALUE"""),4767992)</f>
        <v>4767992</v>
      </c>
      <c r="AR2637" s="17">
        <v>35080</v>
      </c>
      <c r="AS2637" s="17">
        <v>29284</v>
      </c>
      <c r="AT2637" s="17">
        <v>184751.25</v>
      </c>
      <c r="AU2637" s="17">
        <v>53.5</v>
      </c>
      <c r="AV2637" s="17">
        <v>8.8000000000000007</v>
      </c>
      <c r="AW2637" s="10" t="s">
        <v>105</v>
      </c>
      <c r="AX2637" s="17">
        <v>2765</v>
      </c>
      <c r="AY2637" s="18">
        <v>6.3089485725993715</v>
      </c>
      <c r="AZ2637" s="10" t="s">
        <v>148</v>
      </c>
      <c r="BA2637" s="20" t="b">
        <v>0</v>
      </c>
      <c r="BB2637" s="10"/>
      <c r="BC2637" s="17">
        <v>35080</v>
      </c>
      <c r="BD2637" s="17">
        <v>29284</v>
      </c>
      <c r="BE2637" s="17">
        <v>184751.25</v>
      </c>
      <c r="BF2637" s="17">
        <v>8.8000000000000007</v>
      </c>
      <c r="BG2637" s="11">
        <f ca="1">IFERROR(__xludf.DUMMYFUNCTION("""COMPUTED_VALUE"""),45998.7916666666)</f>
        <v>45998.791666666599</v>
      </c>
      <c r="BH2637" s="17" t="s">
        <v>105</v>
      </c>
      <c r="BI2637" s="17"/>
      <c r="BJ2637" s="15"/>
      <c r="BK2637" s="15"/>
      <c r="BL2637" s="13" t="b">
        <v>0</v>
      </c>
      <c r="BM2637" s="10"/>
      <c r="BN2637" s="10" t="s">
        <v>634</v>
      </c>
      <c r="BO2637" s="11">
        <v>45974.572916666664</v>
      </c>
      <c r="BP2637" s="11">
        <v>45988.703715277778</v>
      </c>
      <c r="BQ2637" s="15">
        <v>45996.733726851853</v>
      </c>
      <c r="BR2637" s="15">
        <v>45997.021053240744</v>
      </c>
      <c r="BS2637" s="10" t="s">
        <v>634</v>
      </c>
      <c r="BT2637" s="10" t="s">
        <v>99</v>
      </c>
      <c r="BU2637" s="10" t="s">
        <v>8497</v>
      </c>
      <c r="BV2637" s="10"/>
      <c r="BW2637" s="10"/>
      <c r="BX2637" s="10"/>
      <c r="BY2637" s="23"/>
      <c r="BZ2637" s="23"/>
      <c r="CA2637" s="19" t="s">
        <v>19776</v>
      </c>
      <c r="CB2637" s="19" t="s">
        <v>19777</v>
      </c>
      <c r="CC2637" s="23"/>
      <c r="CD2637" s="19" t="s">
        <v>19778</v>
      </c>
      <c r="CE2637" s="23"/>
      <c r="CF2637" s="23"/>
      <c r="CG2637" s="23"/>
      <c r="CH2637" s="23"/>
      <c r="CI2637" s="23"/>
    </row>
    <row r="2638" spans="1:87" x14ac:dyDescent="0.3">
      <c r="A2638" s="9" t="s">
        <v>19779</v>
      </c>
      <c r="B2638" s="10" t="s">
        <v>19780</v>
      </c>
      <c r="C2638" s="11">
        <v>45998.895833333336</v>
      </c>
      <c r="D2638" s="12">
        <v>8.3333333333333329E-2</v>
      </c>
      <c r="E2638" s="11">
        <v>45998.979166666664</v>
      </c>
      <c r="F2638" s="10" t="s">
        <v>15254</v>
      </c>
      <c r="G2638" s="13" t="b">
        <v>0</v>
      </c>
      <c r="H2638" s="22" t="s">
        <v>3564</v>
      </c>
      <c r="I2638" s="10" t="s">
        <v>89</v>
      </c>
      <c r="J2638" s="13" t="b">
        <v>0</v>
      </c>
      <c r="K2638" s="13" t="b">
        <v>1</v>
      </c>
      <c r="L2638" s="10" t="s">
        <v>124</v>
      </c>
      <c r="M2638" s="10" t="s">
        <v>91</v>
      </c>
      <c r="N2638" s="10" t="s">
        <v>265</v>
      </c>
      <c r="O2638" s="19" t="s">
        <v>19781</v>
      </c>
      <c r="P2638" s="10"/>
      <c r="Q2638" s="10" t="s">
        <v>126</v>
      </c>
      <c r="R2638" s="10"/>
      <c r="S2638" s="19" t="s">
        <v>19782</v>
      </c>
      <c r="T2638" s="19" t="s">
        <v>19783</v>
      </c>
      <c r="U2638" s="10" t="s">
        <v>15684</v>
      </c>
      <c r="V2638" s="10" t="s">
        <v>16120</v>
      </c>
      <c r="W2638" s="10" t="s">
        <v>15260</v>
      </c>
      <c r="X2638" s="10" t="s">
        <v>130</v>
      </c>
      <c r="Y2638" s="10" t="s">
        <v>130</v>
      </c>
      <c r="Z2638" s="10" t="s">
        <v>99</v>
      </c>
      <c r="AA2638" s="10" t="s">
        <v>131</v>
      </c>
      <c r="AB2638" s="10" t="s">
        <v>15261</v>
      </c>
      <c r="AC2638" s="10" t="s">
        <v>274</v>
      </c>
      <c r="AD2638" s="10" t="s">
        <v>19784</v>
      </c>
      <c r="AE2638" s="10" t="s">
        <v>19785</v>
      </c>
      <c r="AF2638" s="15"/>
      <c r="AG2638" s="10"/>
      <c r="AH2638" s="10"/>
      <c r="AI2638" s="10"/>
      <c r="AJ2638" s="10" t="s">
        <v>19786</v>
      </c>
      <c r="AK2638" s="10" t="s">
        <v>102</v>
      </c>
      <c r="AL2638" s="10" t="s">
        <v>1252</v>
      </c>
      <c r="AM2638" s="10"/>
      <c r="AN2638" s="10"/>
      <c r="AO2638" s="13" t="b">
        <v>0</v>
      </c>
      <c r="AP2638" s="22" t="s">
        <v>135</v>
      </c>
      <c r="AQ2638" s="10">
        <f ca="1">IFERROR(__xludf.DUMMYFUNCTION("""COMPUTED_VALUE"""),4768858)</f>
        <v>4768858</v>
      </c>
      <c r="AR2638" s="17">
        <v>13685</v>
      </c>
      <c r="AS2638" s="17">
        <v>12208</v>
      </c>
      <c r="AT2638" s="17">
        <v>63721.5</v>
      </c>
      <c r="AU2638" s="17">
        <v>13.2</v>
      </c>
      <c r="AV2638" s="17">
        <v>1.35</v>
      </c>
      <c r="AW2638" s="10" t="s">
        <v>105</v>
      </c>
      <c r="AX2638" s="17">
        <v>1447</v>
      </c>
      <c r="AY2638" s="18">
        <v>5.2196510484927918</v>
      </c>
      <c r="AZ2638" s="10" t="s">
        <v>148</v>
      </c>
      <c r="BA2638" s="20" t="b">
        <v>0</v>
      </c>
      <c r="BB2638" s="10"/>
      <c r="BC2638" s="17">
        <v>13685</v>
      </c>
      <c r="BD2638" s="17">
        <v>12208</v>
      </c>
      <c r="BE2638" s="17">
        <v>63721.5</v>
      </c>
      <c r="BF2638" s="17">
        <v>1.35</v>
      </c>
      <c r="BG2638" s="11">
        <f ca="1">IFERROR(__xludf.DUMMYFUNCTION("""COMPUTED_VALUE"""),45998.8958333333)</f>
        <v>45998.895833333299</v>
      </c>
      <c r="BH2638" s="17" t="s">
        <v>105</v>
      </c>
      <c r="BI2638" s="17"/>
      <c r="BJ2638" s="15"/>
      <c r="BK2638" s="15"/>
      <c r="BL2638" s="13" t="b">
        <v>0</v>
      </c>
      <c r="BM2638" s="10"/>
      <c r="BN2638" s="10" t="s">
        <v>634</v>
      </c>
      <c r="BO2638" s="11">
        <v>45974.574305555558</v>
      </c>
      <c r="BP2638" s="11">
        <v>45988.724340277775</v>
      </c>
      <c r="BQ2638" s="15">
        <v>45996.735509259262</v>
      </c>
      <c r="BR2638" s="15">
        <v>45997.353692129633</v>
      </c>
      <c r="BS2638" s="10" t="s">
        <v>634</v>
      </c>
      <c r="BT2638" s="10" t="s">
        <v>99</v>
      </c>
      <c r="BU2638" s="10" t="s">
        <v>3394</v>
      </c>
      <c r="BV2638" s="10"/>
      <c r="BW2638" s="10"/>
      <c r="BX2638" s="10"/>
      <c r="BY2638" s="23"/>
      <c r="BZ2638" s="23"/>
      <c r="CA2638" s="19" t="s">
        <v>19787</v>
      </c>
      <c r="CB2638" s="19" t="s">
        <v>19788</v>
      </c>
      <c r="CC2638" s="23"/>
      <c r="CD2638" s="19" t="s">
        <v>19789</v>
      </c>
      <c r="CE2638" s="23"/>
      <c r="CF2638" s="23"/>
      <c r="CG2638" s="23"/>
      <c r="CH2638" s="23"/>
      <c r="CI2638" s="23"/>
    </row>
    <row r="2639" spans="1:87" x14ac:dyDescent="0.3">
      <c r="A2639" s="9" t="s">
        <v>19790</v>
      </c>
      <c r="B2639" s="10" t="s">
        <v>19791</v>
      </c>
      <c r="C2639" s="11">
        <v>46004.791666666664</v>
      </c>
      <c r="D2639" s="12">
        <v>8.3333333333333329E-2</v>
      </c>
      <c r="E2639" s="11">
        <v>46004.875</v>
      </c>
      <c r="F2639" s="10" t="s">
        <v>15254</v>
      </c>
      <c r="G2639" s="13" t="b">
        <v>0</v>
      </c>
      <c r="H2639" s="22" t="s">
        <v>3564</v>
      </c>
      <c r="I2639" s="10" t="s">
        <v>89</v>
      </c>
      <c r="J2639" s="13" t="b">
        <v>0</v>
      </c>
      <c r="K2639" s="13" t="b">
        <v>1</v>
      </c>
      <c r="L2639" s="10" t="s">
        <v>124</v>
      </c>
      <c r="M2639" s="10" t="s">
        <v>91</v>
      </c>
      <c r="N2639" s="10" t="s">
        <v>265</v>
      </c>
      <c r="O2639" s="19" t="s">
        <v>19792</v>
      </c>
      <c r="P2639" s="10"/>
      <c r="Q2639" s="10" t="s">
        <v>126</v>
      </c>
      <c r="R2639" s="10"/>
      <c r="S2639" s="19" t="s">
        <v>19793</v>
      </c>
      <c r="T2639" s="19" t="s">
        <v>19794</v>
      </c>
      <c r="U2639" s="10" t="s">
        <v>16120</v>
      </c>
      <c r="V2639" s="10" t="s">
        <v>15259</v>
      </c>
      <c r="W2639" s="10" t="s">
        <v>15260</v>
      </c>
      <c r="X2639" s="10" t="s">
        <v>130</v>
      </c>
      <c r="Y2639" s="10" t="s">
        <v>130</v>
      </c>
      <c r="Z2639" s="10" t="s">
        <v>99</v>
      </c>
      <c r="AA2639" s="10" t="s">
        <v>131</v>
      </c>
      <c r="AB2639" s="10" t="s">
        <v>15261</v>
      </c>
      <c r="AC2639" s="10" t="s">
        <v>274</v>
      </c>
      <c r="AD2639" s="10" t="s">
        <v>19795</v>
      </c>
      <c r="AE2639" s="10" t="s">
        <v>19796</v>
      </c>
      <c r="AF2639" s="15"/>
      <c r="AG2639" s="10"/>
      <c r="AH2639" s="10"/>
      <c r="AI2639" s="10"/>
      <c r="AJ2639" s="10" t="s">
        <v>19797</v>
      </c>
      <c r="AK2639" s="10" t="s">
        <v>102</v>
      </c>
      <c r="AL2639" s="10" t="s">
        <v>1360</v>
      </c>
      <c r="AM2639" s="10"/>
      <c r="AN2639" s="10"/>
      <c r="AO2639" s="13" t="b">
        <v>0</v>
      </c>
      <c r="AP2639" s="22" t="s">
        <v>135</v>
      </c>
      <c r="AQ2639" s="10">
        <f ca="1">IFERROR(__xludf.DUMMYFUNCTION("""COMPUTED_VALUE"""),4777388)</f>
        <v>4777388</v>
      </c>
      <c r="AR2639" s="17">
        <v>19862</v>
      </c>
      <c r="AS2639" s="17">
        <v>17229</v>
      </c>
      <c r="AT2639" s="17">
        <v>140015</v>
      </c>
      <c r="AU2639" s="17">
        <v>49.55</v>
      </c>
      <c r="AV2639" s="17">
        <v>12.75</v>
      </c>
      <c r="AW2639" s="10" t="s">
        <v>105</v>
      </c>
      <c r="AX2639" s="17">
        <v>2311</v>
      </c>
      <c r="AY2639" s="18">
        <v>8.1267049741714548</v>
      </c>
      <c r="AZ2639" s="10" t="s">
        <v>148</v>
      </c>
      <c r="BA2639" s="20" t="b">
        <v>0</v>
      </c>
      <c r="BB2639" s="10"/>
      <c r="BC2639" s="17">
        <v>19862</v>
      </c>
      <c r="BD2639" s="17">
        <v>17229</v>
      </c>
      <c r="BE2639" s="17">
        <v>140015</v>
      </c>
      <c r="BF2639" s="17">
        <v>12.75</v>
      </c>
      <c r="BG2639" s="11">
        <f ca="1">IFERROR(__xludf.DUMMYFUNCTION("""COMPUTED_VALUE"""),46004.7916666666)</f>
        <v>46004.791666666599</v>
      </c>
      <c r="BH2639" s="17" t="s">
        <v>105</v>
      </c>
      <c r="BI2639" s="17"/>
      <c r="BJ2639" s="15"/>
      <c r="BK2639" s="15"/>
      <c r="BL2639" s="13" t="b">
        <v>0</v>
      </c>
      <c r="BM2639" s="10"/>
      <c r="BN2639" s="10" t="s">
        <v>197</v>
      </c>
      <c r="BO2639" s="11">
        <v>45974.575694444444</v>
      </c>
      <c r="BP2639" s="11">
        <v>45989.760393518518</v>
      </c>
      <c r="BQ2639" s="15">
        <v>46003.781180555554</v>
      </c>
      <c r="BR2639" s="15">
        <v>46003.810069444444</v>
      </c>
      <c r="BS2639" s="10" t="s">
        <v>197</v>
      </c>
      <c r="BT2639" s="10" t="s">
        <v>99</v>
      </c>
      <c r="BU2639" s="10" t="s">
        <v>942</v>
      </c>
      <c r="BV2639" s="10"/>
      <c r="BW2639" s="10"/>
      <c r="BX2639" s="10"/>
      <c r="BY2639" s="23"/>
      <c r="BZ2639" s="23"/>
      <c r="CA2639" s="19" t="s">
        <v>19798</v>
      </c>
      <c r="CB2639" s="19" t="s">
        <v>19799</v>
      </c>
      <c r="CC2639" s="23"/>
      <c r="CD2639" s="19" t="s">
        <v>19800</v>
      </c>
      <c r="CE2639" s="23"/>
      <c r="CF2639" s="23"/>
      <c r="CG2639" s="23"/>
      <c r="CH2639" s="23"/>
      <c r="CI2639" s="23"/>
    </row>
    <row r="2640" spans="1:87" x14ac:dyDescent="0.3">
      <c r="A2640" s="9" t="s">
        <v>19801</v>
      </c>
      <c r="B2640" s="10" t="s">
        <v>19802</v>
      </c>
      <c r="C2640" s="11">
        <v>46005.791666666664</v>
      </c>
      <c r="D2640" s="12">
        <v>8.3333333333333329E-2</v>
      </c>
      <c r="E2640" s="11">
        <v>46005.875</v>
      </c>
      <c r="F2640" s="10" t="s">
        <v>15254</v>
      </c>
      <c r="G2640" s="13" t="b">
        <v>0</v>
      </c>
      <c r="H2640" s="22" t="s">
        <v>3564</v>
      </c>
      <c r="I2640" s="10" t="s">
        <v>89</v>
      </c>
      <c r="J2640" s="13" t="b">
        <v>0</v>
      </c>
      <c r="K2640" s="13" t="b">
        <v>1</v>
      </c>
      <c r="L2640" s="10" t="s">
        <v>124</v>
      </c>
      <c r="M2640" s="10" t="s">
        <v>91</v>
      </c>
      <c r="N2640" s="10" t="s">
        <v>265</v>
      </c>
      <c r="O2640" s="19" t="s">
        <v>19803</v>
      </c>
      <c r="P2640" s="10"/>
      <c r="Q2640" s="10" t="s">
        <v>126</v>
      </c>
      <c r="R2640" s="10"/>
      <c r="S2640" s="19" t="s">
        <v>19804</v>
      </c>
      <c r="T2640" s="19" t="s">
        <v>19805</v>
      </c>
      <c r="U2640" s="10" t="s">
        <v>16131</v>
      </c>
      <c r="V2640" s="10" t="s">
        <v>15684</v>
      </c>
      <c r="W2640" s="10" t="s">
        <v>15260</v>
      </c>
      <c r="X2640" s="10" t="s">
        <v>130</v>
      </c>
      <c r="Y2640" s="10" t="s">
        <v>130</v>
      </c>
      <c r="Z2640" s="10" t="s">
        <v>99</v>
      </c>
      <c r="AA2640" s="10" t="s">
        <v>131</v>
      </c>
      <c r="AB2640" s="10" t="s">
        <v>15261</v>
      </c>
      <c r="AC2640" s="10" t="s">
        <v>274</v>
      </c>
      <c r="AD2640" s="10" t="s">
        <v>19806</v>
      </c>
      <c r="AE2640" s="10" t="s">
        <v>19807</v>
      </c>
      <c r="AF2640" s="15"/>
      <c r="AG2640" s="10"/>
      <c r="AH2640" s="10"/>
      <c r="AI2640" s="10"/>
      <c r="AJ2640" s="10" t="s">
        <v>19808</v>
      </c>
      <c r="AK2640" s="10" t="s">
        <v>102</v>
      </c>
      <c r="AL2640" s="10" t="s">
        <v>1360</v>
      </c>
      <c r="AM2640" s="10"/>
      <c r="AN2640" s="10"/>
      <c r="AO2640" s="13" t="b">
        <v>0</v>
      </c>
      <c r="AP2640" s="22" t="s">
        <v>135</v>
      </c>
      <c r="AQ2640" s="10">
        <f ca="1">IFERROR(__xludf.DUMMYFUNCTION("""COMPUTED_VALUE"""),4777389)</f>
        <v>4777389</v>
      </c>
      <c r="AR2640" s="17">
        <v>15050</v>
      </c>
      <c r="AS2640" s="17">
        <v>13218</v>
      </c>
      <c r="AT2640" s="17">
        <v>59657.5</v>
      </c>
      <c r="AU2640" s="17">
        <v>15.65</v>
      </c>
      <c r="AV2640" s="17">
        <v>1</v>
      </c>
      <c r="AW2640" s="10" t="s">
        <v>105</v>
      </c>
      <c r="AX2640" s="17">
        <v>2247</v>
      </c>
      <c r="AY2640" s="18">
        <v>4.5133530034801028</v>
      </c>
      <c r="AZ2640" s="10" t="s">
        <v>148</v>
      </c>
      <c r="BA2640" s="20" t="b">
        <v>0</v>
      </c>
      <c r="BB2640" s="10"/>
      <c r="BC2640" s="17">
        <v>15050</v>
      </c>
      <c r="BD2640" s="17">
        <v>13218</v>
      </c>
      <c r="BE2640" s="17">
        <v>59657.5</v>
      </c>
      <c r="BF2640" s="17">
        <v>1</v>
      </c>
      <c r="BG2640" s="11">
        <f ca="1">IFERROR(__xludf.DUMMYFUNCTION("""COMPUTED_VALUE"""),46005.7916666666)</f>
        <v>46005.791666666599</v>
      </c>
      <c r="BH2640" s="17" t="s">
        <v>105</v>
      </c>
      <c r="BI2640" s="17"/>
      <c r="BJ2640" s="15"/>
      <c r="BK2640" s="15"/>
      <c r="BL2640" s="13" t="b">
        <v>0</v>
      </c>
      <c r="BM2640" s="10"/>
      <c r="BN2640" s="10" t="s">
        <v>197</v>
      </c>
      <c r="BO2640" s="11">
        <v>45974.575694444444</v>
      </c>
      <c r="BP2640" s="11">
        <v>45989.761504629627</v>
      </c>
      <c r="BQ2640" s="15">
        <v>46003.781689814816</v>
      </c>
      <c r="BR2640" s="15">
        <v>46003.809895833336</v>
      </c>
      <c r="BS2640" s="10" t="s">
        <v>197</v>
      </c>
      <c r="BT2640" s="10" t="s">
        <v>99</v>
      </c>
      <c r="BU2640" s="10" t="s">
        <v>3394</v>
      </c>
      <c r="BV2640" s="10"/>
      <c r="BW2640" s="10"/>
      <c r="BX2640" s="10"/>
      <c r="BY2640" s="23"/>
      <c r="BZ2640" s="23"/>
      <c r="CA2640" s="19" t="s">
        <v>19809</v>
      </c>
      <c r="CB2640" s="19" t="s">
        <v>19810</v>
      </c>
      <c r="CC2640" s="23"/>
      <c r="CD2640" s="19" t="s">
        <v>19811</v>
      </c>
      <c r="CE2640" s="23"/>
      <c r="CF2640" s="23"/>
      <c r="CG2640" s="23"/>
      <c r="CH2640" s="23"/>
      <c r="CI2640" s="23"/>
    </row>
    <row r="2641" spans="1:87" x14ac:dyDescent="0.3">
      <c r="A2641" s="9" t="s">
        <v>19812</v>
      </c>
      <c r="B2641" s="10" t="s">
        <v>19813</v>
      </c>
      <c r="C2641" s="11">
        <v>46005.895833333336</v>
      </c>
      <c r="D2641" s="12">
        <v>8.3333333333333329E-2</v>
      </c>
      <c r="E2641" s="11">
        <v>46005.979166666664</v>
      </c>
      <c r="F2641" s="10" t="s">
        <v>15254</v>
      </c>
      <c r="G2641" s="13" t="b">
        <v>0</v>
      </c>
      <c r="H2641" s="22" t="s">
        <v>3564</v>
      </c>
      <c r="I2641" s="10" t="s">
        <v>89</v>
      </c>
      <c r="J2641" s="13" t="b">
        <v>0</v>
      </c>
      <c r="K2641" s="13" t="b">
        <v>1</v>
      </c>
      <c r="L2641" s="10" t="s">
        <v>124</v>
      </c>
      <c r="M2641" s="10" t="s">
        <v>91</v>
      </c>
      <c r="N2641" s="10" t="s">
        <v>265</v>
      </c>
      <c r="O2641" s="19" t="s">
        <v>19814</v>
      </c>
      <c r="P2641" s="10"/>
      <c r="Q2641" s="10" t="s">
        <v>126</v>
      </c>
      <c r="R2641" s="10"/>
      <c r="S2641" s="19" t="s">
        <v>19815</v>
      </c>
      <c r="T2641" s="19" t="s">
        <v>19816</v>
      </c>
      <c r="U2641" s="10" t="s">
        <v>15258</v>
      </c>
      <c r="V2641" s="10" t="s">
        <v>16110</v>
      </c>
      <c r="W2641" s="10" t="s">
        <v>15260</v>
      </c>
      <c r="X2641" s="10" t="s">
        <v>130</v>
      </c>
      <c r="Y2641" s="10" t="s">
        <v>130</v>
      </c>
      <c r="Z2641" s="10" t="s">
        <v>99</v>
      </c>
      <c r="AA2641" s="10" t="s">
        <v>131</v>
      </c>
      <c r="AB2641" s="10" t="s">
        <v>15261</v>
      </c>
      <c r="AC2641" s="10" t="s">
        <v>274</v>
      </c>
      <c r="AD2641" s="10" t="s">
        <v>19817</v>
      </c>
      <c r="AE2641" s="10" t="s">
        <v>19818</v>
      </c>
      <c r="AF2641" s="15"/>
      <c r="AG2641" s="10"/>
      <c r="AH2641" s="10"/>
      <c r="AI2641" s="10"/>
      <c r="AJ2641" s="10" t="s">
        <v>19819</v>
      </c>
      <c r="AK2641" s="10" t="s">
        <v>102</v>
      </c>
      <c r="AL2641" s="10" t="s">
        <v>1360</v>
      </c>
      <c r="AM2641" s="10"/>
      <c r="AN2641" s="10"/>
      <c r="AO2641" s="13" t="b">
        <v>0</v>
      </c>
      <c r="AP2641" s="22" t="s">
        <v>135</v>
      </c>
      <c r="AQ2641" s="10">
        <f ca="1">IFERROR(__xludf.DUMMYFUNCTION("""COMPUTED_VALUE"""),4777390)</f>
        <v>4777390</v>
      </c>
      <c r="AR2641" s="17">
        <v>12458</v>
      </c>
      <c r="AS2641" s="17">
        <v>11216</v>
      </c>
      <c r="AT2641" s="17">
        <v>43791.5</v>
      </c>
      <c r="AU2641" s="17">
        <v>8.35</v>
      </c>
      <c r="AV2641" s="17">
        <v>1.9</v>
      </c>
      <c r="AW2641" s="10" t="s">
        <v>105</v>
      </c>
      <c r="AX2641" s="17">
        <v>1514</v>
      </c>
      <c r="AY2641" s="18">
        <v>3.9043776747503567</v>
      </c>
      <c r="AZ2641" s="10" t="s">
        <v>148</v>
      </c>
      <c r="BA2641" s="20" t="b">
        <v>0</v>
      </c>
      <c r="BB2641" s="10"/>
      <c r="BC2641" s="17">
        <v>12458</v>
      </c>
      <c r="BD2641" s="17">
        <v>11216</v>
      </c>
      <c r="BE2641" s="17">
        <v>43791.5</v>
      </c>
      <c r="BF2641" s="17">
        <v>1.9</v>
      </c>
      <c r="BG2641" s="11">
        <f ca="1">IFERROR(__xludf.DUMMYFUNCTION("""COMPUTED_VALUE"""),46005.8958333333)</f>
        <v>46005.895833333299</v>
      </c>
      <c r="BH2641" s="17" t="s">
        <v>105</v>
      </c>
      <c r="BI2641" s="17"/>
      <c r="BJ2641" s="15"/>
      <c r="BK2641" s="15"/>
      <c r="BL2641" s="13" t="b">
        <v>0</v>
      </c>
      <c r="BM2641" s="10"/>
      <c r="BN2641" s="10" t="s">
        <v>197</v>
      </c>
      <c r="BO2641" s="11">
        <v>45974.57708333333</v>
      </c>
      <c r="BP2641" s="11">
        <v>45989.761921296296</v>
      </c>
      <c r="BQ2641" s="15">
        <v>46003.781793981485</v>
      </c>
      <c r="BR2641" s="15">
        <v>46003.810219907406</v>
      </c>
      <c r="BS2641" s="10" t="s">
        <v>197</v>
      </c>
      <c r="BT2641" s="10" t="s">
        <v>99</v>
      </c>
      <c r="BU2641" s="10" t="s">
        <v>3394</v>
      </c>
      <c r="BV2641" s="10"/>
      <c r="BW2641" s="10"/>
      <c r="BX2641" s="10"/>
      <c r="BY2641" s="23"/>
      <c r="BZ2641" s="23"/>
      <c r="CA2641" s="19" t="s">
        <v>19820</v>
      </c>
      <c r="CB2641" s="19" t="s">
        <v>19821</v>
      </c>
      <c r="CC2641" s="23"/>
      <c r="CD2641" s="19" t="s">
        <v>19822</v>
      </c>
      <c r="CE2641" s="23"/>
      <c r="CF2641" s="23"/>
      <c r="CG2641" s="23"/>
      <c r="CH2641" s="23"/>
      <c r="CI2641" s="23"/>
    </row>
    <row r="2642" spans="1:87" x14ac:dyDescent="0.3">
      <c r="A2642" s="9" t="s">
        <v>19823</v>
      </c>
      <c r="B2642" s="10" t="s">
        <v>19824</v>
      </c>
      <c r="C2642" s="11">
        <v>45982.34375</v>
      </c>
      <c r="D2642" s="12">
        <v>0.14583333333333334</v>
      </c>
      <c r="E2642" s="11">
        <v>45982.489583333336</v>
      </c>
      <c r="F2642" s="22" t="s">
        <v>15270</v>
      </c>
      <c r="G2642" s="13" t="b">
        <v>0</v>
      </c>
      <c r="H2642" s="22" t="s">
        <v>15271</v>
      </c>
      <c r="I2642" s="10" t="s">
        <v>3213</v>
      </c>
      <c r="J2642" s="13" t="b">
        <v>0</v>
      </c>
      <c r="K2642" s="13" t="b">
        <v>1</v>
      </c>
      <c r="L2642" s="10" t="s">
        <v>124</v>
      </c>
      <c r="M2642" s="10" t="s">
        <v>91</v>
      </c>
      <c r="N2642" s="10" t="s">
        <v>92</v>
      </c>
      <c r="O2642" s="19" t="s">
        <v>19825</v>
      </c>
      <c r="P2642" s="10"/>
      <c r="Q2642" s="10" t="s">
        <v>126</v>
      </c>
      <c r="R2642" s="10"/>
      <c r="S2642" s="19" t="s">
        <v>19826</v>
      </c>
      <c r="T2642" s="10"/>
      <c r="U2642" s="10" t="s">
        <v>15316</v>
      </c>
      <c r="V2642" s="10" t="s">
        <v>15637</v>
      </c>
      <c r="W2642" s="10" t="s">
        <v>15276</v>
      </c>
      <c r="X2642" s="10" t="s">
        <v>15277</v>
      </c>
      <c r="Y2642" s="10" t="s">
        <v>15277</v>
      </c>
      <c r="Z2642" s="10" t="s">
        <v>99</v>
      </c>
      <c r="AA2642" s="10" t="s">
        <v>131</v>
      </c>
      <c r="AB2642" s="10" t="s">
        <v>15278</v>
      </c>
      <c r="AC2642" s="10" t="s">
        <v>15279</v>
      </c>
      <c r="AD2642" s="10" t="s">
        <v>165</v>
      </c>
      <c r="AE2642" s="10" t="s">
        <v>19827</v>
      </c>
      <c r="AF2642" s="15"/>
      <c r="AG2642" s="10"/>
      <c r="AH2642" s="10"/>
      <c r="AI2642" s="10"/>
      <c r="AJ2642" s="10"/>
      <c r="AK2642" s="10" t="s">
        <v>102</v>
      </c>
      <c r="AL2642" s="10" t="s">
        <v>1467</v>
      </c>
      <c r="AM2642" s="10"/>
      <c r="AN2642" s="10"/>
      <c r="AO2642" s="13" t="b">
        <v>0</v>
      </c>
      <c r="AP2642" s="22" t="s">
        <v>104</v>
      </c>
      <c r="AQ2642" s="10">
        <f ca="1">IFERROR(__xludf.DUMMYFUNCTION("""COMPUTED_VALUE"""),4724861)</f>
        <v>4724861</v>
      </c>
      <c r="AR2642" s="17">
        <v>2281</v>
      </c>
      <c r="AS2642" s="17">
        <v>1560</v>
      </c>
      <c r="AT2642" s="17">
        <v>51158.75</v>
      </c>
      <c r="AU2642" s="17">
        <v>13.5</v>
      </c>
      <c r="AV2642" s="17">
        <v>1</v>
      </c>
      <c r="AW2642" s="10" t="s">
        <v>105</v>
      </c>
      <c r="AX2642" s="17">
        <v>399</v>
      </c>
      <c r="AY2642" s="18">
        <v>32.794070512820511</v>
      </c>
      <c r="AZ2642" s="10"/>
      <c r="BA2642" s="20" t="b">
        <v>0</v>
      </c>
      <c r="BB2642" s="10"/>
      <c r="BC2642" s="17">
        <v>2281</v>
      </c>
      <c r="BD2642" s="17">
        <v>1560</v>
      </c>
      <c r="BE2642" s="17">
        <v>51158.75</v>
      </c>
      <c r="BF2642" s="17">
        <v>1</v>
      </c>
      <c r="BG2642" s="11">
        <f ca="1">IFERROR(__xludf.DUMMYFUNCTION("""COMPUTED_VALUE"""),45982.34375)</f>
        <v>45982.34375</v>
      </c>
      <c r="BH2642" s="17" t="s">
        <v>105</v>
      </c>
      <c r="BI2642" s="17"/>
      <c r="BJ2642" s="15"/>
      <c r="BK2642" s="15"/>
      <c r="BL2642" s="13" t="b">
        <v>0</v>
      </c>
      <c r="BM2642" s="10"/>
      <c r="BN2642" s="10" t="s">
        <v>1149</v>
      </c>
      <c r="BO2642" s="11">
        <v>45975.630555555559</v>
      </c>
      <c r="BP2642" s="11">
        <v>45975.630706018521</v>
      </c>
      <c r="BQ2642" s="15">
        <v>45980.584074074075</v>
      </c>
      <c r="BR2642" s="15">
        <v>45980.670868055553</v>
      </c>
      <c r="BS2642" s="10" t="s">
        <v>1149</v>
      </c>
      <c r="BT2642" s="10"/>
      <c r="BU2642" s="10"/>
      <c r="BV2642" s="10"/>
      <c r="BW2642" s="10"/>
      <c r="BX2642" s="10"/>
      <c r="BY2642" s="23"/>
      <c r="BZ2642" s="23"/>
      <c r="CA2642" s="19" t="s">
        <v>19828</v>
      </c>
      <c r="CB2642" s="23"/>
      <c r="CC2642" s="23"/>
      <c r="CD2642" s="19" t="s">
        <v>19829</v>
      </c>
      <c r="CE2642" s="23"/>
      <c r="CF2642" s="23"/>
      <c r="CG2642" s="23"/>
      <c r="CH2642" s="23"/>
      <c r="CI2642" s="23"/>
    </row>
    <row r="2643" spans="1:87" x14ac:dyDescent="0.3">
      <c r="A2643" s="9" t="s">
        <v>19830</v>
      </c>
      <c r="B2643" s="10" t="s">
        <v>19831</v>
      </c>
      <c r="C2643" s="11">
        <v>45985.041666666664</v>
      </c>
      <c r="D2643" s="12">
        <v>0.1388888888888889</v>
      </c>
      <c r="E2643" s="11">
        <v>45985.180555555555</v>
      </c>
      <c r="F2643" s="22" t="s">
        <v>15270</v>
      </c>
      <c r="G2643" s="13" t="b">
        <v>0</v>
      </c>
      <c r="H2643" s="22" t="s">
        <v>15271</v>
      </c>
      <c r="I2643" s="10" t="s">
        <v>3213</v>
      </c>
      <c r="J2643" s="13" t="b">
        <v>0</v>
      </c>
      <c r="K2643" s="13" t="b">
        <v>1</v>
      </c>
      <c r="L2643" s="10" t="s">
        <v>124</v>
      </c>
      <c r="M2643" s="10" t="s">
        <v>91</v>
      </c>
      <c r="N2643" s="10" t="s">
        <v>92</v>
      </c>
      <c r="O2643" s="19" t="s">
        <v>19832</v>
      </c>
      <c r="P2643" s="10" t="s">
        <v>3478</v>
      </c>
      <c r="Q2643" s="10" t="s">
        <v>126</v>
      </c>
      <c r="R2643" s="10"/>
      <c r="S2643" s="19" t="s">
        <v>19833</v>
      </c>
      <c r="T2643" s="10"/>
      <c r="U2643" s="10" t="s">
        <v>15298</v>
      </c>
      <c r="V2643" s="10" t="s">
        <v>15528</v>
      </c>
      <c r="W2643" s="10" t="s">
        <v>15276</v>
      </c>
      <c r="X2643" s="10" t="s">
        <v>15277</v>
      </c>
      <c r="Y2643" s="10" t="s">
        <v>15277</v>
      </c>
      <c r="Z2643" s="10" t="s">
        <v>99</v>
      </c>
      <c r="AA2643" s="10" t="s">
        <v>131</v>
      </c>
      <c r="AB2643" s="10" t="s">
        <v>15278</v>
      </c>
      <c r="AC2643" s="10" t="s">
        <v>15279</v>
      </c>
      <c r="AD2643" s="10" t="s">
        <v>165</v>
      </c>
      <c r="AE2643" s="10" t="s">
        <v>19834</v>
      </c>
      <c r="AF2643" s="15"/>
      <c r="AG2643" s="10"/>
      <c r="AH2643" s="10"/>
      <c r="AI2643" s="10"/>
      <c r="AJ2643" s="10"/>
      <c r="AK2643" s="10" t="s">
        <v>102</v>
      </c>
      <c r="AL2643" s="10" t="s">
        <v>1467</v>
      </c>
      <c r="AM2643" s="10"/>
      <c r="AN2643" s="10"/>
      <c r="AO2643" s="13" t="b">
        <v>0</v>
      </c>
      <c r="AP2643" s="22" t="s">
        <v>104</v>
      </c>
      <c r="AQ2643" s="10">
        <f ca="1">IFERROR(__xludf.DUMMYFUNCTION("""COMPUTED_VALUE"""),4733430)</f>
        <v>4733430</v>
      </c>
      <c r="AR2643" s="17">
        <v>2205</v>
      </c>
      <c r="AS2643" s="17">
        <v>1709</v>
      </c>
      <c r="AT2643" s="17">
        <v>36479.75</v>
      </c>
      <c r="AU2643" s="17">
        <v>4.25</v>
      </c>
      <c r="AV2643" s="17">
        <v>1.5</v>
      </c>
      <c r="AW2643" s="10" t="s">
        <v>105</v>
      </c>
      <c r="AX2643" s="17">
        <v>288</v>
      </c>
      <c r="AY2643" s="18">
        <v>21.345669982445873</v>
      </c>
      <c r="AZ2643" s="10"/>
      <c r="BA2643" s="20" t="b">
        <v>0</v>
      </c>
      <c r="BB2643" s="10"/>
      <c r="BC2643" s="17">
        <v>2205</v>
      </c>
      <c r="BD2643" s="17">
        <v>1709</v>
      </c>
      <c r="BE2643" s="17">
        <v>36479.75</v>
      </c>
      <c r="BF2643" s="17">
        <v>1.5</v>
      </c>
      <c r="BG2643" s="11">
        <f ca="1">IFERROR(__xludf.DUMMYFUNCTION("""COMPUTED_VALUE"""),45985.0416666666)</f>
        <v>45985.041666666599</v>
      </c>
      <c r="BH2643" s="17" t="s">
        <v>105</v>
      </c>
      <c r="BI2643" s="17"/>
      <c r="BJ2643" s="15"/>
      <c r="BK2643" s="15"/>
      <c r="BL2643" s="13" t="b">
        <v>0</v>
      </c>
      <c r="BM2643" s="10"/>
      <c r="BN2643" s="10" t="s">
        <v>667</v>
      </c>
      <c r="BO2643" s="11">
        <v>45975.634722222225</v>
      </c>
      <c r="BP2643" s="11">
        <v>45975.63521990741</v>
      </c>
      <c r="BQ2643" s="15">
        <v>45981.448391203703</v>
      </c>
      <c r="BR2643" s="15">
        <v>45984.904456018521</v>
      </c>
      <c r="BS2643" s="10" t="s">
        <v>667</v>
      </c>
      <c r="BT2643" s="10"/>
      <c r="BU2643" s="10"/>
      <c r="BV2643" s="10"/>
      <c r="BW2643" s="10"/>
      <c r="BX2643" s="10"/>
      <c r="BY2643" s="23"/>
      <c r="BZ2643" s="23"/>
      <c r="CA2643" s="19" t="s">
        <v>19835</v>
      </c>
      <c r="CB2643" s="23"/>
      <c r="CC2643" s="23"/>
      <c r="CD2643" s="19" t="s">
        <v>19836</v>
      </c>
      <c r="CE2643" s="23"/>
      <c r="CF2643" s="23"/>
      <c r="CG2643" s="23"/>
      <c r="CH2643" s="23"/>
      <c r="CI2643" s="23"/>
    </row>
    <row r="2644" spans="1:87" x14ac:dyDescent="0.3">
      <c r="A2644" s="9" t="s">
        <v>19837</v>
      </c>
      <c r="B2644" s="10" t="s">
        <v>19838</v>
      </c>
      <c r="C2644" s="11">
        <v>45985.184027777781</v>
      </c>
      <c r="D2644" s="12">
        <v>0.14583333333333334</v>
      </c>
      <c r="E2644" s="11">
        <v>45985.329861111109</v>
      </c>
      <c r="F2644" s="22" t="s">
        <v>15270</v>
      </c>
      <c r="G2644" s="13" t="b">
        <v>0</v>
      </c>
      <c r="H2644" s="22" t="s">
        <v>15271</v>
      </c>
      <c r="I2644" s="10" t="s">
        <v>3213</v>
      </c>
      <c r="J2644" s="13" t="b">
        <v>0</v>
      </c>
      <c r="K2644" s="13" t="b">
        <v>1</v>
      </c>
      <c r="L2644" s="10" t="s">
        <v>124</v>
      </c>
      <c r="M2644" s="10" t="s">
        <v>91</v>
      </c>
      <c r="N2644" s="10" t="s">
        <v>92</v>
      </c>
      <c r="O2644" s="19" t="s">
        <v>19839</v>
      </c>
      <c r="P2644" s="10" t="s">
        <v>3478</v>
      </c>
      <c r="Q2644" s="10" t="s">
        <v>126</v>
      </c>
      <c r="R2644" s="10"/>
      <c r="S2644" s="19" t="s">
        <v>19840</v>
      </c>
      <c r="T2644" s="10"/>
      <c r="U2644" s="10" t="s">
        <v>16009</v>
      </c>
      <c r="V2644" s="10" t="s">
        <v>15299</v>
      </c>
      <c r="W2644" s="10" t="s">
        <v>15276</v>
      </c>
      <c r="X2644" s="10" t="s">
        <v>15277</v>
      </c>
      <c r="Y2644" s="10" t="s">
        <v>15277</v>
      </c>
      <c r="Z2644" s="10" t="s">
        <v>99</v>
      </c>
      <c r="AA2644" s="10" t="s">
        <v>131</v>
      </c>
      <c r="AB2644" s="10" t="s">
        <v>15278</v>
      </c>
      <c r="AC2644" s="10" t="s">
        <v>15279</v>
      </c>
      <c r="AD2644" s="10" t="s">
        <v>165</v>
      </c>
      <c r="AE2644" s="10" t="s">
        <v>19841</v>
      </c>
      <c r="AF2644" s="15"/>
      <c r="AG2644" s="10"/>
      <c r="AH2644" s="10"/>
      <c r="AI2644" s="10"/>
      <c r="AJ2644" s="10"/>
      <c r="AK2644" s="10" t="s">
        <v>102</v>
      </c>
      <c r="AL2644" s="10" t="s">
        <v>1467</v>
      </c>
      <c r="AM2644" s="10"/>
      <c r="AN2644" s="10"/>
      <c r="AO2644" s="13" t="b">
        <v>0</v>
      </c>
      <c r="AP2644" s="22" t="s">
        <v>104</v>
      </c>
      <c r="AQ2644" s="10">
        <f ca="1">IFERROR(__xludf.DUMMYFUNCTION("""COMPUTED_VALUE"""),4733429)</f>
        <v>4733429</v>
      </c>
      <c r="AR2644" s="17">
        <v>2422</v>
      </c>
      <c r="AS2644" s="17">
        <v>2097</v>
      </c>
      <c r="AT2644" s="17">
        <v>22271.75</v>
      </c>
      <c r="AU2644" s="17">
        <v>2.1</v>
      </c>
      <c r="AV2644" s="17">
        <v>0.25</v>
      </c>
      <c r="AW2644" s="10" t="s">
        <v>105</v>
      </c>
      <c r="AX2644" s="17">
        <v>405</v>
      </c>
      <c r="AY2644" s="18">
        <v>10.620767763471626</v>
      </c>
      <c r="AZ2644" s="10"/>
      <c r="BA2644" s="20" t="b">
        <v>0</v>
      </c>
      <c r="BB2644" s="10"/>
      <c r="BC2644" s="17">
        <v>2422</v>
      </c>
      <c r="BD2644" s="17">
        <v>2097</v>
      </c>
      <c r="BE2644" s="17">
        <v>22271.75</v>
      </c>
      <c r="BF2644" s="17">
        <v>0.25</v>
      </c>
      <c r="BG2644" s="11">
        <f ca="1">IFERROR(__xludf.DUMMYFUNCTION("""COMPUTED_VALUE"""),45985.1840277777)</f>
        <v>45985.184027777701</v>
      </c>
      <c r="BH2644" s="17" t="s">
        <v>105</v>
      </c>
      <c r="BI2644" s="17"/>
      <c r="BJ2644" s="15"/>
      <c r="BK2644" s="15"/>
      <c r="BL2644" s="13" t="b">
        <v>0</v>
      </c>
      <c r="BM2644" s="10"/>
      <c r="BN2644" s="10" t="s">
        <v>667</v>
      </c>
      <c r="BO2644" s="11">
        <v>45975.635416666664</v>
      </c>
      <c r="BP2644" s="11">
        <v>45975.636018518519</v>
      </c>
      <c r="BQ2644" s="15">
        <v>45981.448437500003</v>
      </c>
      <c r="BR2644" s="15">
        <v>45984.904687499999</v>
      </c>
      <c r="BS2644" s="10" t="s">
        <v>667</v>
      </c>
      <c r="BT2644" s="10"/>
      <c r="BU2644" s="10"/>
      <c r="BV2644" s="10"/>
      <c r="BW2644" s="10"/>
      <c r="BX2644" s="10"/>
      <c r="BY2644" s="23"/>
      <c r="BZ2644" s="23"/>
      <c r="CA2644" s="19" t="s">
        <v>19842</v>
      </c>
      <c r="CB2644" s="23"/>
      <c r="CC2644" s="23"/>
      <c r="CD2644" s="19" t="s">
        <v>19843</v>
      </c>
      <c r="CE2644" s="23"/>
      <c r="CF2644" s="23"/>
      <c r="CG2644" s="23"/>
      <c r="CH2644" s="23"/>
      <c r="CI2644" s="23"/>
    </row>
    <row r="2645" spans="1:87" x14ac:dyDescent="0.3">
      <c r="A2645" s="9" t="s">
        <v>19844</v>
      </c>
      <c r="B2645" s="10" t="s">
        <v>19845</v>
      </c>
      <c r="C2645" s="11">
        <v>45985.347222222219</v>
      </c>
      <c r="D2645" s="12">
        <v>0.14583333333333334</v>
      </c>
      <c r="E2645" s="11">
        <v>45985.493055555555</v>
      </c>
      <c r="F2645" s="22" t="s">
        <v>15270</v>
      </c>
      <c r="G2645" s="13" t="b">
        <v>0</v>
      </c>
      <c r="H2645" s="22" t="s">
        <v>15271</v>
      </c>
      <c r="I2645" s="10" t="s">
        <v>3213</v>
      </c>
      <c r="J2645" s="13" t="b">
        <v>0</v>
      </c>
      <c r="K2645" s="13" t="b">
        <v>1</v>
      </c>
      <c r="L2645" s="10" t="s">
        <v>124</v>
      </c>
      <c r="M2645" s="10" t="s">
        <v>91</v>
      </c>
      <c r="N2645" s="10" t="s">
        <v>92</v>
      </c>
      <c r="O2645" s="19" t="s">
        <v>19846</v>
      </c>
      <c r="P2645" s="10" t="s">
        <v>3215</v>
      </c>
      <c r="Q2645" s="10" t="s">
        <v>126</v>
      </c>
      <c r="R2645" s="10"/>
      <c r="S2645" s="19" t="s">
        <v>19847</v>
      </c>
      <c r="T2645" s="10"/>
      <c r="U2645" s="10" t="s">
        <v>15519</v>
      </c>
      <c r="V2645" s="10" t="s">
        <v>15317</v>
      </c>
      <c r="W2645" s="10" t="s">
        <v>15276</v>
      </c>
      <c r="X2645" s="10" t="s">
        <v>15277</v>
      </c>
      <c r="Y2645" s="10" t="s">
        <v>15277</v>
      </c>
      <c r="Z2645" s="10" t="s">
        <v>99</v>
      </c>
      <c r="AA2645" s="10" t="s">
        <v>131</v>
      </c>
      <c r="AB2645" s="10" t="s">
        <v>15278</v>
      </c>
      <c r="AC2645" s="10" t="s">
        <v>15279</v>
      </c>
      <c r="AD2645" s="10" t="s">
        <v>165</v>
      </c>
      <c r="AE2645" s="10" t="s">
        <v>19848</v>
      </c>
      <c r="AF2645" s="15"/>
      <c r="AG2645" s="10"/>
      <c r="AH2645" s="10"/>
      <c r="AI2645" s="10"/>
      <c r="AJ2645" s="10"/>
      <c r="AK2645" s="10" t="s">
        <v>102</v>
      </c>
      <c r="AL2645" s="10" t="s">
        <v>1467</v>
      </c>
      <c r="AM2645" s="10"/>
      <c r="AN2645" s="10"/>
      <c r="AO2645" s="13" t="b">
        <v>0</v>
      </c>
      <c r="AP2645" s="22" t="s">
        <v>104</v>
      </c>
      <c r="AQ2645" s="10">
        <f ca="1">IFERROR(__xludf.DUMMYFUNCTION("""COMPUTED_VALUE"""),4727019)</f>
        <v>4727019</v>
      </c>
      <c r="AR2645" s="17">
        <v>3083</v>
      </c>
      <c r="AS2645" s="17">
        <v>2521</v>
      </c>
      <c r="AT2645" s="17">
        <v>45105.75</v>
      </c>
      <c r="AU2645" s="17">
        <v>6.2</v>
      </c>
      <c r="AV2645" s="17">
        <v>1.4</v>
      </c>
      <c r="AW2645" s="10" t="s">
        <v>105</v>
      </c>
      <c r="AX2645" s="17">
        <v>372</v>
      </c>
      <c r="AY2645" s="18">
        <v>17.8920071400238</v>
      </c>
      <c r="AZ2645" s="10"/>
      <c r="BA2645" s="20" t="b">
        <v>0</v>
      </c>
      <c r="BB2645" s="10"/>
      <c r="BC2645" s="17">
        <v>3083</v>
      </c>
      <c r="BD2645" s="17">
        <v>2521</v>
      </c>
      <c r="BE2645" s="17">
        <v>45105.75</v>
      </c>
      <c r="BF2645" s="17">
        <v>1.4</v>
      </c>
      <c r="BG2645" s="11">
        <f ca="1">IFERROR(__xludf.DUMMYFUNCTION("""COMPUTED_VALUE"""),45985.3472222222)</f>
        <v>45985.347222222197</v>
      </c>
      <c r="BH2645" s="17" t="s">
        <v>105</v>
      </c>
      <c r="BI2645" s="17"/>
      <c r="BJ2645" s="15"/>
      <c r="BK2645" s="15"/>
      <c r="BL2645" s="13" t="b">
        <v>0</v>
      </c>
      <c r="BM2645" s="10"/>
      <c r="BN2645" s="10" t="s">
        <v>137</v>
      </c>
      <c r="BO2645" s="11">
        <v>45975.636111111111</v>
      </c>
      <c r="BP2645" s="11">
        <v>45975.636747685188</v>
      </c>
      <c r="BQ2645" s="15">
        <v>45981.44835648148</v>
      </c>
      <c r="BR2645" s="15">
        <v>45982.561712962961</v>
      </c>
      <c r="BS2645" s="10" t="s">
        <v>137</v>
      </c>
      <c r="BT2645" s="10"/>
      <c r="BU2645" s="10"/>
      <c r="BV2645" s="10"/>
      <c r="BW2645" s="10"/>
      <c r="BX2645" s="10"/>
      <c r="BY2645" s="23"/>
      <c r="BZ2645" s="23"/>
      <c r="CA2645" s="19" t="s">
        <v>19849</v>
      </c>
      <c r="CB2645" s="23"/>
      <c r="CC2645" s="23"/>
      <c r="CD2645" s="19" t="s">
        <v>19850</v>
      </c>
      <c r="CE2645" s="23"/>
      <c r="CF2645" s="23"/>
      <c r="CG2645" s="23"/>
      <c r="CH2645" s="23"/>
      <c r="CI2645" s="23"/>
    </row>
    <row r="2646" spans="1:87" x14ac:dyDescent="0.3">
      <c r="A2646" s="9" t="s">
        <v>19851</v>
      </c>
      <c r="B2646" s="10" t="s">
        <v>19852</v>
      </c>
      <c r="C2646" s="11">
        <v>45986.34375</v>
      </c>
      <c r="D2646" s="12">
        <v>0.14583333333333334</v>
      </c>
      <c r="E2646" s="11">
        <v>45986.489583333336</v>
      </c>
      <c r="F2646" s="22" t="s">
        <v>15270</v>
      </c>
      <c r="G2646" s="13" t="b">
        <v>0</v>
      </c>
      <c r="H2646" s="22" t="s">
        <v>15271</v>
      </c>
      <c r="I2646" s="10" t="s">
        <v>3213</v>
      </c>
      <c r="J2646" s="13" t="b">
        <v>0</v>
      </c>
      <c r="K2646" s="13" t="b">
        <v>1</v>
      </c>
      <c r="L2646" s="10" t="s">
        <v>124</v>
      </c>
      <c r="M2646" s="10" t="s">
        <v>91</v>
      </c>
      <c r="N2646" s="10" t="s">
        <v>92</v>
      </c>
      <c r="O2646" s="19" t="s">
        <v>19853</v>
      </c>
      <c r="P2646" s="10" t="s">
        <v>3215</v>
      </c>
      <c r="Q2646" s="10" t="s">
        <v>126</v>
      </c>
      <c r="R2646" s="10"/>
      <c r="S2646" s="19" t="s">
        <v>19854</v>
      </c>
      <c r="T2646" s="10"/>
      <c r="U2646" s="10" t="s">
        <v>15654</v>
      </c>
      <c r="V2646" s="10" t="s">
        <v>19855</v>
      </c>
      <c r="W2646" s="10" t="s">
        <v>15276</v>
      </c>
      <c r="X2646" s="10" t="s">
        <v>15277</v>
      </c>
      <c r="Y2646" s="10" t="s">
        <v>15277</v>
      </c>
      <c r="Z2646" s="10" t="s">
        <v>99</v>
      </c>
      <c r="AA2646" s="10" t="s">
        <v>131</v>
      </c>
      <c r="AB2646" s="10" t="s">
        <v>15278</v>
      </c>
      <c r="AC2646" s="10" t="s">
        <v>15279</v>
      </c>
      <c r="AD2646" s="10" t="s">
        <v>165</v>
      </c>
      <c r="AE2646" s="10" t="s">
        <v>19856</v>
      </c>
      <c r="AF2646" s="15"/>
      <c r="AG2646" s="10"/>
      <c r="AH2646" s="10"/>
      <c r="AI2646" s="10"/>
      <c r="AJ2646" s="10"/>
      <c r="AK2646" s="10" t="s">
        <v>102</v>
      </c>
      <c r="AL2646" s="10" t="s">
        <v>1467</v>
      </c>
      <c r="AM2646" s="10"/>
      <c r="AN2646" s="10"/>
      <c r="AO2646" s="13" t="b">
        <v>0</v>
      </c>
      <c r="AP2646" s="22" t="s">
        <v>104</v>
      </c>
      <c r="AQ2646" s="10">
        <f ca="1">IFERROR(__xludf.DUMMYFUNCTION("""COMPUTED_VALUE"""),4727759)</f>
        <v>4727759</v>
      </c>
      <c r="AR2646" s="17">
        <v>2145</v>
      </c>
      <c r="AS2646" s="17">
        <v>1675</v>
      </c>
      <c r="AT2646" s="17">
        <v>35909.25</v>
      </c>
      <c r="AU2646" s="17">
        <v>8.75</v>
      </c>
      <c r="AV2646" s="17">
        <v>0.6</v>
      </c>
      <c r="AW2646" s="10" t="s">
        <v>105</v>
      </c>
      <c r="AX2646" s="17">
        <v>310</v>
      </c>
      <c r="AY2646" s="18">
        <v>21.438358208955226</v>
      </c>
      <c r="AZ2646" s="10"/>
      <c r="BA2646" s="20" t="b">
        <v>0</v>
      </c>
      <c r="BB2646" s="10"/>
      <c r="BC2646" s="17">
        <v>2145</v>
      </c>
      <c r="BD2646" s="17">
        <v>1675</v>
      </c>
      <c r="BE2646" s="17">
        <v>35909.25</v>
      </c>
      <c r="BF2646" s="17">
        <v>0.6</v>
      </c>
      <c r="BG2646" s="11">
        <f ca="1">IFERROR(__xludf.DUMMYFUNCTION("""COMPUTED_VALUE"""),45986.34375)</f>
        <v>45986.34375</v>
      </c>
      <c r="BH2646" s="17" t="s">
        <v>105</v>
      </c>
      <c r="BI2646" s="17"/>
      <c r="BJ2646" s="15"/>
      <c r="BK2646" s="15"/>
      <c r="BL2646" s="13" t="b">
        <v>0</v>
      </c>
      <c r="BM2646" s="10"/>
      <c r="BN2646" s="10" t="s">
        <v>137</v>
      </c>
      <c r="BO2646" s="11">
        <v>45975.636805555558</v>
      </c>
      <c r="BP2646" s="11">
        <v>45975.637465277781</v>
      </c>
      <c r="BQ2646" s="15">
        <v>45981.448194444441</v>
      </c>
      <c r="BR2646" s="15">
        <v>45982.656238425923</v>
      </c>
      <c r="BS2646" s="10" t="s">
        <v>137</v>
      </c>
      <c r="BT2646" s="10"/>
      <c r="BU2646" s="10"/>
      <c r="BV2646" s="10"/>
      <c r="BW2646" s="10"/>
      <c r="BX2646" s="10"/>
      <c r="BY2646" s="23"/>
      <c r="BZ2646" s="23"/>
      <c r="CA2646" s="19" t="s">
        <v>19857</v>
      </c>
      <c r="CB2646" s="23"/>
      <c r="CC2646" s="23"/>
      <c r="CD2646" s="19" t="s">
        <v>19858</v>
      </c>
      <c r="CE2646" s="23"/>
      <c r="CF2646" s="23"/>
      <c r="CG2646" s="23"/>
      <c r="CH2646" s="23"/>
      <c r="CI2646" s="23"/>
    </row>
    <row r="2647" spans="1:87" x14ac:dyDescent="0.3">
      <c r="A2647" s="9" t="s">
        <v>19859</v>
      </c>
      <c r="B2647" s="10" t="s">
        <v>19860</v>
      </c>
      <c r="C2647" s="11">
        <v>45976.291666666664</v>
      </c>
      <c r="D2647" s="12">
        <v>0.3125</v>
      </c>
      <c r="E2647" s="11">
        <v>45976.604166666664</v>
      </c>
      <c r="F2647" s="22" t="s">
        <v>19136</v>
      </c>
      <c r="G2647" s="13" t="b">
        <v>0</v>
      </c>
      <c r="H2647" s="22" t="s">
        <v>9017</v>
      </c>
      <c r="I2647" s="10" t="s">
        <v>212</v>
      </c>
      <c r="J2647" s="13" t="b">
        <v>1</v>
      </c>
      <c r="K2647" s="13" t="b">
        <v>0</v>
      </c>
      <c r="L2647" s="10" t="s">
        <v>124</v>
      </c>
      <c r="M2647" s="10" t="s">
        <v>91</v>
      </c>
      <c r="N2647" s="10" t="s">
        <v>92</v>
      </c>
      <c r="O2647" s="19" t="s">
        <v>19861</v>
      </c>
      <c r="P2647" s="10"/>
      <c r="Q2647" s="10" t="s">
        <v>94</v>
      </c>
      <c r="R2647" s="10"/>
      <c r="S2647" s="19" t="s">
        <v>19862</v>
      </c>
      <c r="T2647" s="10"/>
      <c r="U2647" s="10"/>
      <c r="V2647" s="10"/>
      <c r="W2647" s="10" t="s">
        <v>19139</v>
      </c>
      <c r="X2647" s="10" t="s">
        <v>130</v>
      </c>
      <c r="Y2647" s="10" t="s">
        <v>130</v>
      </c>
      <c r="Z2647" s="10" t="s">
        <v>99</v>
      </c>
      <c r="AA2647" s="10" t="s">
        <v>131</v>
      </c>
      <c r="AB2647" s="10" t="s">
        <v>19140</v>
      </c>
      <c r="AC2647" s="10" t="s">
        <v>9022</v>
      </c>
      <c r="AD2647" s="10" t="s">
        <v>165</v>
      </c>
      <c r="AE2647" s="10" t="s">
        <v>19863</v>
      </c>
      <c r="AF2647" s="15"/>
      <c r="AG2647" s="10"/>
      <c r="AH2647" s="10"/>
      <c r="AI2647" s="10"/>
      <c r="AJ2647" s="10"/>
      <c r="AK2647" s="10" t="s">
        <v>102</v>
      </c>
      <c r="AL2647" s="10"/>
      <c r="AM2647" s="10"/>
      <c r="AN2647" s="10"/>
      <c r="AO2647" s="13" t="b">
        <v>0</v>
      </c>
      <c r="AP2647" s="22" t="s">
        <v>104</v>
      </c>
      <c r="AQ2647" s="10">
        <f ca="1">IFERROR(__xludf.DUMMYFUNCTION("""COMPUTED_VALUE"""),19845)</f>
        <v>19845</v>
      </c>
      <c r="AR2647" s="21">
        <v>28</v>
      </c>
      <c r="AS2647" s="21">
        <v>23</v>
      </c>
      <c r="AT2647" s="21">
        <v>66</v>
      </c>
      <c r="AU2647" s="21">
        <v>0</v>
      </c>
      <c r="AV2647" s="21">
        <v>0</v>
      </c>
      <c r="AW2647" s="22" t="s">
        <v>105</v>
      </c>
      <c r="AX2647" s="17"/>
      <c r="AY2647" s="18">
        <v>5.982737512242899</v>
      </c>
      <c r="AZ2647" s="10"/>
      <c r="BA2647" s="20" t="b">
        <v>1</v>
      </c>
      <c r="BB2647" s="10"/>
      <c r="BC2647" s="17">
        <v>2548</v>
      </c>
      <c r="BD2647" s="17">
        <v>2042</v>
      </c>
      <c r="BE2647" s="17">
        <v>12216.75</v>
      </c>
      <c r="BF2647" s="17">
        <v>0</v>
      </c>
      <c r="BG2647" s="11">
        <f ca="1">IFERROR(__xludf.DUMMYFUNCTION("""COMPUTED_VALUE"""),45976.2916666666)</f>
        <v>45976.291666666599</v>
      </c>
      <c r="BH2647" s="17" t="s">
        <v>105</v>
      </c>
      <c r="BI2647" s="17"/>
      <c r="BJ2647" s="15"/>
      <c r="BK2647" s="15"/>
      <c r="BL2647" s="13" t="b">
        <v>0</v>
      </c>
      <c r="BM2647" s="10"/>
      <c r="BN2647" s="10" t="s">
        <v>1149</v>
      </c>
      <c r="BO2647" s="11">
        <v>45975.745833333334</v>
      </c>
      <c r="BP2647" s="11">
        <v>45975.750914351855</v>
      </c>
      <c r="BQ2647" s="15">
        <v>45975.755844907406</v>
      </c>
      <c r="BR2647" s="15">
        <v>45976.010335648149</v>
      </c>
      <c r="BS2647" s="10" t="s">
        <v>1149</v>
      </c>
      <c r="BT2647" s="10"/>
      <c r="BU2647" s="10"/>
      <c r="BV2647" s="10"/>
      <c r="BW2647" s="10"/>
      <c r="BX2647" s="10"/>
      <c r="BY2647" s="23"/>
      <c r="BZ2647" s="23"/>
      <c r="CA2647" s="19" t="s">
        <v>19142</v>
      </c>
      <c r="CB2647" s="23"/>
      <c r="CC2647" s="23"/>
      <c r="CD2647" s="23"/>
      <c r="CE2647" s="23"/>
      <c r="CF2647" s="23"/>
      <c r="CG2647" s="23"/>
      <c r="CH2647" s="23"/>
      <c r="CI2647" s="23"/>
    </row>
    <row r="2648" spans="1:87" x14ac:dyDescent="0.3">
      <c r="A2648" s="9" t="s">
        <v>19864</v>
      </c>
      <c r="B2648" s="10" t="s">
        <v>19860</v>
      </c>
      <c r="C2648" s="11">
        <v>45977.291666666664</v>
      </c>
      <c r="D2648" s="12">
        <v>0.3125</v>
      </c>
      <c r="E2648" s="11">
        <v>45977.604166666664</v>
      </c>
      <c r="F2648" s="22" t="s">
        <v>19136</v>
      </c>
      <c r="G2648" s="13" t="b">
        <v>0</v>
      </c>
      <c r="H2648" s="22" t="s">
        <v>9017</v>
      </c>
      <c r="I2648" s="10" t="s">
        <v>212</v>
      </c>
      <c r="J2648" s="13" t="b">
        <v>1</v>
      </c>
      <c r="K2648" s="13" t="b">
        <v>0</v>
      </c>
      <c r="L2648" s="10" t="s">
        <v>124</v>
      </c>
      <c r="M2648" s="10" t="s">
        <v>91</v>
      </c>
      <c r="N2648" s="10" t="s">
        <v>92</v>
      </c>
      <c r="O2648" s="19" t="s">
        <v>19865</v>
      </c>
      <c r="P2648" s="10"/>
      <c r="Q2648" s="10" t="s">
        <v>94</v>
      </c>
      <c r="R2648" s="10"/>
      <c r="S2648" s="19" t="s">
        <v>19862</v>
      </c>
      <c r="T2648" s="10"/>
      <c r="U2648" s="10"/>
      <c r="V2648" s="10"/>
      <c r="W2648" s="10" t="s">
        <v>19139</v>
      </c>
      <c r="X2648" s="10" t="s">
        <v>130</v>
      </c>
      <c r="Y2648" s="10" t="s">
        <v>130</v>
      </c>
      <c r="Z2648" s="10" t="s">
        <v>99</v>
      </c>
      <c r="AA2648" s="10" t="s">
        <v>131</v>
      </c>
      <c r="AB2648" s="10" t="s">
        <v>19140</v>
      </c>
      <c r="AC2648" s="10" t="s">
        <v>9022</v>
      </c>
      <c r="AD2648" s="10" t="s">
        <v>165</v>
      </c>
      <c r="AE2648" s="10" t="s">
        <v>19863</v>
      </c>
      <c r="AF2648" s="15"/>
      <c r="AG2648" s="10"/>
      <c r="AH2648" s="10"/>
      <c r="AI2648" s="10"/>
      <c r="AJ2648" s="10"/>
      <c r="AK2648" s="10" t="s">
        <v>102</v>
      </c>
      <c r="AL2648" s="10"/>
      <c r="AM2648" s="10"/>
      <c r="AN2648" s="10"/>
      <c r="AO2648" s="13" t="b">
        <v>0</v>
      </c>
      <c r="AP2648" s="22" t="s">
        <v>104</v>
      </c>
      <c r="AQ2648" s="10">
        <f ca="1">IFERROR(__xludf.DUMMYFUNCTION("""COMPUTED_VALUE"""),19846)</f>
        <v>19846</v>
      </c>
      <c r="AR2648" s="21">
        <v>49</v>
      </c>
      <c r="AS2648" s="21">
        <v>47</v>
      </c>
      <c r="AT2648" s="21">
        <v>975.75</v>
      </c>
      <c r="AU2648" s="21">
        <v>0</v>
      </c>
      <c r="AV2648" s="21">
        <v>0</v>
      </c>
      <c r="AW2648" s="22" t="s">
        <v>105</v>
      </c>
      <c r="AX2648" s="17"/>
      <c r="AY2648" s="18">
        <v>7.2401433691756276</v>
      </c>
      <c r="AZ2648" s="10"/>
      <c r="BA2648" s="20" t="b">
        <v>1</v>
      </c>
      <c r="BB2648" s="10"/>
      <c r="BC2648" s="17">
        <v>1633</v>
      </c>
      <c r="BD2648" s="17">
        <v>1116</v>
      </c>
      <c r="BE2648" s="17">
        <v>8080</v>
      </c>
      <c r="BF2648" s="17">
        <v>0</v>
      </c>
      <c r="BG2648" s="11">
        <f ca="1">IFERROR(__xludf.DUMMYFUNCTION("""COMPUTED_VALUE"""),45977.2916666666)</f>
        <v>45977.291666666599</v>
      </c>
      <c r="BH2648" s="17" t="s">
        <v>105</v>
      </c>
      <c r="BI2648" s="17"/>
      <c r="BJ2648" s="15"/>
      <c r="BK2648" s="15"/>
      <c r="BL2648" s="13" t="b">
        <v>0</v>
      </c>
      <c r="BM2648" s="10"/>
      <c r="BN2648" s="10" t="s">
        <v>278</v>
      </c>
      <c r="BO2648" s="11">
        <v>45975.749305555553</v>
      </c>
      <c r="BP2648" s="11">
        <v>45975.751319444447</v>
      </c>
      <c r="BQ2648" s="15">
        <v>45975.755891203706</v>
      </c>
      <c r="BR2648" s="15">
        <v>45976.018530092595</v>
      </c>
      <c r="BS2648" s="10" t="s">
        <v>278</v>
      </c>
      <c r="BT2648" s="10"/>
      <c r="BU2648" s="10"/>
      <c r="BV2648" s="10"/>
      <c r="BW2648" s="10"/>
      <c r="BX2648" s="10"/>
      <c r="BY2648" s="23"/>
      <c r="BZ2648" s="23"/>
      <c r="CA2648" s="19" t="s">
        <v>19142</v>
      </c>
      <c r="CB2648" s="23"/>
      <c r="CC2648" s="23"/>
      <c r="CD2648" s="23"/>
      <c r="CE2648" s="23"/>
      <c r="CF2648" s="23"/>
      <c r="CG2648" s="23"/>
      <c r="CH2648" s="23"/>
      <c r="CI2648" s="23"/>
    </row>
    <row r="2649" spans="1:87" x14ac:dyDescent="0.3">
      <c r="A2649" s="9" t="s">
        <v>19866</v>
      </c>
      <c r="B2649" s="10" t="s">
        <v>19867</v>
      </c>
      <c r="C2649" s="11">
        <v>45976.291666666664</v>
      </c>
      <c r="D2649" s="12">
        <v>5.5555555555555552E-2</v>
      </c>
      <c r="E2649" s="11">
        <v>45976.347222222219</v>
      </c>
      <c r="F2649" s="22" t="s">
        <v>19136</v>
      </c>
      <c r="G2649" s="13" t="b">
        <v>0</v>
      </c>
      <c r="H2649" s="22" t="s">
        <v>9017</v>
      </c>
      <c r="I2649" s="10" t="s">
        <v>212</v>
      </c>
      <c r="J2649" s="13" t="b">
        <v>1</v>
      </c>
      <c r="K2649" s="13" t="b">
        <v>0</v>
      </c>
      <c r="L2649" s="10" t="s">
        <v>124</v>
      </c>
      <c r="M2649" s="10" t="s">
        <v>91</v>
      </c>
      <c r="N2649" s="10" t="s">
        <v>92</v>
      </c>
      <c r="O2649" s="19" t="s">
        <v>19868</v>
      </c>
      <c r="P2649" s="10"/>
      <c r="Q2649" s="10" t="s">
        <v>94</v>
      </c>
      <c r="R2649" s="10"/>
      <c r="S2649" s="10"/>
      <c r="T2649" s="10"/>
      <c r="U2649" s="10"/>
      <c r="V2649" s="10"/>
      <c r="W2649" s="10" t="s">
        <v>19139</v>
      </c>
      <c r="X2649" s="10" t="s">
        <v>130</v>
      </c>
      <c r="Y2649" s="10" t="s">
        <v>130</v>
      </c>
      <c r="Z2649" s="10" t="s">
        <v>99</v>
      </c>
      <c r="AA2649" s="10" t="s">
        <v>131</v>
      </c>
      <c r="AB2649" s="10" t="s">
        <v>19140</v>
      </c>
      <c r="AC2649" s="10" t="s">
        <v>9022</v>
      </c>
      <c r="AD2649" s="10" t="s">
        <v>165</v>
      </c>
      <c r="AE2649" s="10" t="s">
        <v>19869</v>
      </c>
      <c r="AF2649" s="15"/>
      <c r="AG2649" s="10"/>
      <c r="AH2649" s="10"/>
      <c r="AI2649" s="10"/>
      <c r="AJ2649" s="10"/>
      <c r="AK2649" s="10" t="s">
        <v>102</v>
      </c>
      <c r="AL2649" s="10" t="s">
        <v>7897</v>
      </c>
      <c r="AM2649" s="10"/>
      <c r="AN2649" s="10"/>
      <c r="AO2649" s="13"/>
      <c r="AP2649" s="22" t="s">
        <v>104</v>
      </c>
      <c r="AQ2649" s="10">
        <f ca="1">IFERROR(__xludf.DUMMYFUNCTION("""COMPUTED_VALUE"""),4719203)</f>
        <v>4719203</v>
      </c>
      <c r="AR2649" s="17">
        <v>288</v>
      </c>
      <c r="AS2649" s="17">
        <v>248</v>
      </c>
      <c r="AT2649" s="17">
        <v>1435.75</v>
      </c>
      <c r="AU2649" s="17">
        <v>0</v>
      </c>
      <c r="AV2649" s="17">
        <v>0</v>
      </c>
      <c r="AW2649" s="10" t="s">
        <v>105</v>
      </c>
      <c r="AX2649" s="17">
        <v>42</v>
      </c>
      <c r="AY2649" s="18">
        <v>5.789314516129032</v>
      </c>
      <c r="AZ2649" s="10"/>
      <c r="BA2649" s="20" t="b">
        <v>0</v>
      </c>
      <c r="BB2649" s="10" t="s">
        <v>19859</v>
      </c>
      <c r="BC2649" s="17">
        <v>288</v>
      </c>
      <c r="BD2649" s="17">
        <v>248</v>
      </c>
      <c r="BE2649" s="17">
        <v>1435.75</v>
      </c>
      <c r="BF2649" s="17">
        <v>0</v>
      </c>
      <c r="BG2649" s="11">
        <f ca="1">IFERROR(__xludf.DUMMYFUNCTION("""COMPUTED_VALUE"""),45976.2916666666)</f>
        <v>45976.291666666599</v>
      </c>
      <c r="BH2649" s="17" t="s">
        <v>105</v>
      </c>
      <c r="BI2649" s="17"/>
      <c r="BJ2649" s="15"/>
      <c r="BK2649" s="15"/>
      <c r="BL2649" s="13" t="b">
        <v>0</v>
      </c>
      <c r="BM2649" s="10"/>
      <c r="BN2649" s="10" t="s">
        <v>1149</v>
      </c>
      <c r="BO2649" s="11">
        <v>45975.751388888886</v>
      </c>
      <c r="BP2649" s="11">
        <v>45975.754513888889</v>
      </c>
      <c r="BQ2649" s="15"/>
      <c r="BR2649" s="15">
        <v>45976.005810185183</v>
      </c>
      <c r="BS2649" s="10" t="s">
        <v>1149</v>
      </c>
      <c r="BT2649" s="10"/>
      <c r="BU2649" s="10"/>
      <c r="BV2649" s="10"/>
      <c r="BW2649" s="10"/>
      <c r="BX2649" s="10"/>
      <c r="BY2649" s="23"/>
      <c r="BZ2649" s="23"/>
      <c r="CA2649" s="23"/>
      <c r="CB2649" s="23"/>
      <c r="CC2649" s="23"/>
      <c r="CD2649" s="23"/>
      <c r="CE2649" s="23"/>
      <c r="CF2649" s="23"/>
      <c r="CG2649" s="23"/>
      <c r="CH2649" s="23"/>
      <c r="CI2649" s="23"/>
    </row>
    <row r="2650" spans="1:87" x14ac:dyDescent="0.3">
      <c r="A2650" s="9" t="s">
        <v>19870</v>
      </c>
      <c r="B2650" s="10" t="s">
        <v>19871</v>
      </c>
      <c r="C2650" s="11">
        <v>45976.347222222219</v>
      </c>
      <c r="D2650" s="12">
        <v>4.8611111111111112E-2</v>
      </c>
      <c r="E2650" s="11">
        <v>45976.395833333336</v>
      </c>
      <c r="F2650" s="22" t="s">
        <v>19136</v>
      </c>
      <c r="G2650" s="13" t="b">
        <v>0</v>
      </c>
      <c r="H2650" s="22" t="s">
        <v>9017</v>
      </c>
      <c r="I2650" s="10" t="s">
        <v>212</v>
      </c>
      <c r="J2650" s="13" t="b">
        <v>1</v>
      </c>
      <c r="K2650" s="13" t="b">
        <v>0</v>
      </c>
      <c r="L2650" s="10" t="s">
        <v>124</v>
      </c>
      <c r="M2650" s="10" t="s">
        <v>91</v>
      </c>
      <c r="N2650" s="10" t="s">
        <v>92</v>
      </c>
      <c r="O2650" s="19" t="s">
        <v>19872</v>
      </c>
      <c r="P2650" s="10"/>
      <c r="Q2650" s="10" t="s">
        <v>94</v>
      </c>
      <c r="R2650" s="10"/>
      <c r="S2650" s="10"/>
      <c r="T2650" s="10"/>
      <c r="U2650" s="10"/>
      <c r="V2650" s="10"/>
      <c r="W2650" s="10" t="s">
        <v>19139</v>
      </c>
      <c r="X2650" s="10" t="s">
        <v>130</v>
      </c>
      <c r="Y2650" s="10" t="s">
        <v>130</v>
      </c>
      <c r="Z2650" s="10" t="s">
        <v>99</v>
      </c>
      <c r="AA2650" s="10" t="s">
        <v>131</v>
      </c>
      <c r="AB2650" s="10" t="s">
        <v>19140</v>
      </c>
      <c r="AC2650" s="10" t="s">
        <v>9022</v>
      </c>
      <c r="AD2650" s="10" t="s">
        <v>165</v>
      </c>
      <c r="AE2650" s="10" t="s">
        <v>19873</v>
      </c>
      <c r="AF2650" s="15"/>
      <c r="AG2650" s="10"/>
      <c r="AH2650" s="10"/>
      <c r="AI2650" s="10"/>
      <c r="AJ2650" s="10"/>
      <c r="AK2650" s="10" t="s">
        <v>102</v>
      </c>
      <c r="AL2650" s="10" t="s">
        <v>7897</v>
      </c>
      <c r="AM2650" s="10"/>
      <c r="AN2650" s="10"/>
      <c r="AO2650" s="13" t="b">
        <v>0</v>
      </c>
      <c r="AP2650" s="22" t="s">
        <v>104</v>
      </c>
      <c r="AQ2650" s="10">
        <f ca="1">IFERROR(__xludf.DUMMYFUNCTION("""COMPUTED_VALUE"""),4719204)</f>
        <v>4719204</v>
      </c>
      <c r="AR2650" s="17">
        <v>235</v>
      </c>
      <c r="AS2650" s="17">
        <v>207</v>
      </c>
      <c r="AT2650" s="17">
        <v>718</v>
      </c>
      <c r="AU2650" s="17">
        <v>0</v>
      </c>
      <c r="AV2650" s="17">
        <v>0</v>
      </c>
      <c r="AW2650" s="10" t="s">
        <v>105</v>
      </c>
      <c r="AX2650" s="17">
        <v>39</v>
      </c>
      <c r="AY2650" s="18">
        <v>3.468599033816425</v>
      </c>
      <c r="AZ2650" s="10"/>
      <c r="BA2650" s="20" t="b">
        <v>0</v>
      </c>
      <c r="BB2650" s="10" t="s">
        <v>19859</v>
      </c>
      <c r="BC2650" s="17">
        <v>235</v>
      </c>
      <c r="BD2650" s="17">
        <v>207</v>
      </c>
      <c r="BE2650" s="17">
        <v>718</v>
      </c>
      <c r="BF2650" s="17">
        <v>0</v>
      </c>
      <c r="BG2650" s="11">
        <f ca="1">IFERROR(__xludf.DUMMYFUNCTION("""COMPUTED_VALUE"""),45976.3472222222)</f>
        <v>45976.347222222197</v>
      </c>
      <c r="BH2650" s="17" t="s">
        <v>105</v>
      </c>
      <c r="BI2650" s="17"/>
      <c r="BJ2650" s="15"/>
      <c r="BK2650" s="15"/>
      <c r="BL2650" s="13" t="b">
        <v>0</v>
      </c>
      <c r="BM2650" s="10"/>
      <c r="BN2650" s="10" t="s">
        <v>1149</v>
      </c>
      <c r="BO2650" s="11">
        <v>45975.75277777778</v>
      </c>
      <c r="BP2650" s="11">
        <v>45975.756516203706</v>
      </c>
      <c r="BQ2650" s="15"/>
      <c r="BR2650" s="15">
        <v>45976.005937499998</v>
      </c>
      <c r="BS2650" s="10" t="s">
        <v>1149</v>
      </c>
      <c r="BT2650" s="10"/>
      <c r="BU2650" s="10"/>
      <c r="BV2650" s="10"/>
      <c r="BW2650" s="10"/>
      <c r="BX2650" s="10"/>
      <c r="BY2650" s="23"/>
      <c r="BZ2650" s="23"/>
      <c r="CA2650" s="23"/>
      <c r="CB2650" s="23"/>
      <c r="CC2650" s="23"/>
      <c r="CD2650" s="23"/>
      <c r="CE2650" s="23"/>
      <c r="CF2650" s="23"/>
      <c r="CG2650" s="23"/>
      <c r="CH2650" s="23"/>
      <c r="CI2650" s="23"/>
    </row>
    <row r="2651" spans="1:87" x14ac:dyDescent="0.3">
      <c r="A2651" s="9" t="s">
        <v>19874</v>
      </c>
      <c r="B2651" s="10" t="s">
        <v>19875</v>
      </c>
      <c r="C2651" s="11">
        <v>45976.395833333336</v>
      </c>
      <c r="D2651" s="12">
        <v>4.8611111111111112E-2</v>
      </c>
      <c r="E2651" s="11">
        <v>45976.444444444445</v>
      </c>
      <c r="F2651" s="22" t="s">
        <v>19136</v>
      </c>
      <c r="G2651" s="13" t="b">
        <v>0</v>
      </c>
      <c r="H2651" s="22" t="s">
        <v>9017</v>
      </c>
      <c r="I2651" s="10" t="s">
        <v>212</v>
      </c>
      <c r="J2651" s="13" t="b">
        <v>1</v>
      </c>
      <c r="K2651" s="13" t="b">
        <v>0</v>
      </c>
      <c r="L2651" s="10" t="s">
        <v>124</v>
      </c>
      <c r="M2651" s="10" t="s">
        <v>91</v>
      </c>
      <c r="N2651" s="10" t="s">
        <v>92</v>
      </c>
      <c r="O2651" s="19" t="s">
        <v>19876</v>
      </c>
      <c r="P2651" s="10"/>
      <c r="Q2651" s="10" t="s">
        <v>94</v>
      </c>
      <c r="R2651" s="10"/>
      <c r="S2651" s="10"/>
      <c r="T2651" s="10"/>
      <c r="U2651" s="10"/>
      <c r="V2651" s="10"/>
      <c r="W2651" s="10" t="s">
        <v>19139</v>
      </c>
      <c r="X2651" s="10" t="s">
        <v>130</v>
      </c>
      <c r="Y2651" s="10" t="s">
        <v>130</v>
      </c>
      <c r="Z2651" s="10" t="s">
        <v>99</v>
      </c>
      <c r="AA2651" s="10" t="s">
        <v>131</v>
      </c>
      <c r="AB2651" s="10" t="s">
        <v>19140</v>
      </c>
      <c r="AC2651" s="10" t="s">
        <v>9022</v>
      </c>
      <c r="AD2651" s="10" t="s">
        <v>165</v>
      </c>
      <c r="AE2651" s="10" t="s">
        <v>19877</v>
      </c>
      <c r="AF2651" s="15"/>
      <c r="AG2651" s="10"/>
      <c r="AH2651" s="10"/>
      <c r="AI2651" s="10"/>
      <c r="AJ2651" s="10"/>
      <c r="AK2651" s="10" t="s">
        <v>102</v>
      </c>
      <c r="AL2651" s="10" t="s">
        <v>7897</v>
      </c>
      <c r="AM2651" s="10"/>
      <c r="AN2651" s="10"/>
      <c r="AO2651" s="13" t="b">
        <v>0</v>
      </c>
      <c r="AP2651" s="22" t="s">
        <v>104</v>
      </c>
      <c r="AQ2651" s="10">
        <f ca="1">IFERROR(__xludf.DUMMYFUNCTION("""COMPUTED_VALUE"""),4719216)</f>
        <v>4719216</v>
      </c>
      <c r="AR2651" s="17">
        <v>392</v>
      </c>
      <c r="AS2651" s="17">
        <v>315</v>
      </c>
      <c r="AT2651" s="17">
        <v>1811.5</v>
      </c>
      <c r="AU2651" s="17">
        <v>0</v>
      </c>
      <c r="AV2651" s="17">
        <v>0</v>
      </c>
      <c r="AW2651" s="10" t="s">
        <v>105</v>
      </c>
      <c r="AX2651" s="17">
        <v>63</v>
      </c>
      <c r="AY2651" s="18">
        <v>5.7507936507936508</v>
      </c>
      <c r="AZ2651" s="10"/>
      <c r="BA2651" s="20" t="b">
        <v>0</v>
      </c>
      <c r="BB2651" s="10" t="s">
        <v>19859</v>
      </c>
      <c r="BC2651" s="17">
        <v>392</v>
      </c>
      <c r="BD2651" s="17">
        <v>315</v>
      </c>
      <c r="BE2651" s="17">
        <v>1811.5</v>
      </c>
      <c r="BF2651" s="17">
        <v>0</v>
      </c>
      <c r="BG2651" s="11">
        <f ca="1">IFERROR(__xludf.DUMMYFUNCTION("""COMPUTED_VALUE"""),45976.3958333333)</f>
        <v>45976.395833333299</v>
      </c>
      <c r="BH2651" s="17" t="s">
        <v>105</v>
      </c>
      <c r="BI2651" s="17"/>
      <c r="BJ2651" s="15"/>
      <c r="BK2651" s="15"/>
      <c r="BL2651" s="13" t="b">
        <v>0</v>
      </c>
      <c r="BM2651" s="10"/>
      <c r="BN2651" s="10" t="s">
        <v>1149</v>
      </c>
      <c r="BO2651" s="11">
        <v>45975.753472222219</v>
      </c>
      <c r="BP2651" s="11">
        <v>45975.756585648145</v>
      </c>
      <c r="BQ2651" s="15"/>
      <c r="BR2651" s="15">
        <v>45976.009814814817</v>
      </c>
      <c r="BS2651" s="10" t="s">
        <v>1149</v>
      </c>
      <c r="BT2651" s="10"/>
      <c r="BU2651" s="10"/>
      <c r="BV2651" s="10"/>
      <c r="BW2651" s="10"/>
      <c r="BX2651" s="10"/>
      <c r="BY2651" s="23"/>
      <c r="BZ2651" s="23"/>
      <c r="CA2651" s="23"/>
      <c r="CB2651" s="23"/>
      <c r="CC2651" s="23"/>
      <c r="CD2651" s="23"/>
      <c r="CE2651" s="23"/>
      <c r="CF2651" s="23"/>
      <c r="CG2651" s="23"/>
      <c r="CH2651" s="23"/>
      <c r="CI2651" s="23"/>
    </row>
    <row r="2652" spans="1:87" x14ac:dyDescent="0.3">
      <c r="A2652" s="9" t="s">
        <v>19878</v>
      </c>
      <c r="B2652" s="10" t="s">
        <v>19879</v>
      </c>
      <c r="C2652" s="11">
        <v>45976.4375</v>
      </c>
      <c r="D2652" s="12">
        <v>5.5555555555555552E-2</v>
      </c>
      <c r="E2652" s="11">
        <v>45976.493055555555</v>
      </c>
      <c r="F2652" s="22" t="s">
        <v>19136</v>
      </c>
      <c r="G2652" s="13" t="b">
        <v>0</v>
      </c>
      <c r="H2652" s="22" t="s">
        <v>9017</v>
      </c>
      <c r="I2652" s="10" t="s">
        <v>212</v>
      </c>
      <c r="J2652" s="13" t="b">
        <v>1</v>
      </c>
      <c r="K2652" s="13" t="b">
        <v>0</v>
      </c>
      <c r="L2652" s="10" t="s">
        <v>124</v>
      </c>
      <c r="M2652" s="10" t="s">
        <v>91</v>
      </c>
      <c r="N2652" s="10" t="s">
        <v>92</v>
      </c>
      <c r="O2652" s="19" t="s">
        <v>19880</v>
      </c>
      <c r="P2652" s="10"/>
      <c r="Q2652" s="10" t="s">
        <v>94</v>
      </c>
      <c r="R2652" s="10"/>
      <c r="S2652" s="19" t="s">
        <v>19862</v>
      </c>
      <c r="T2652" s="10"/>
      <c r="U2652" s="10"/>
      <c r="V2652" s="10"/>
      <c r="W2652" s="10" t="s">
        <v>19139</v>
      </c>
      <c r="X2652" s="10" t="s">
        <v>130</v>
      </c>
      <c r="Y2652" s="10" t="s">
        <v>130</v>
      </c>
      <c r="Z2652" s="10" t="s">
        <v>99</v>
      </c>
      <c r="AA2652" s="10" t="s">
        <v>131</v>
      </c>
      <c r="AB2652" s="10" t="s">
        <v>19140</v>
      </c>
      <c r="AC2652" s="10" t="s">
        <v>9022</v>
      </c>
      <c r="AD2652" s="10" t="s">
        <v>165</v>
      </c>
      <c r="AE2652" s="10" t="s">
        <v>19881</v>
      </c>
      <c r="AF2652" s="15"/>
      <c r="AG2652" s="10"/>
      <c r="AH2652" s="10"/>
      <c r="AI2652" s="10"/>
      <c r="AJ2652" s="10"/>
      <c r="AK2652" s="10" t="s">
        <v>102</v>
      </c>
      <c r="AL2652" s="10" t="s">
        <v>7897</v>
      </c>
      <c r="AM2652" s="10"/>
      <c r="AN2652" s="10"/>
      <c r="AO2652" s="13" t="b">
        <v>0</v>
      </c>
      <c r="AP2652" s="22" t="s">
        <v>104</v>
      </c>
      <c r="AQ2652" s="10">
        <f ca="1">IFERROR(__xludf.DUMMYFUNCTION("""COMPUTED_VALUE"""),4719217)</f>
        <v>4719217</v>
      </c>
      <c r="AR2652" s="17">
        <v>532</v>
      </c>
      <c r="AS2652" s="17">
        <v>392</v>
      </c>
      <c r="AT2652" s="17">
        <v>3149.5</v>
      </c>
      <c r="AU2652" s="17">
        <v>0</v>
      </c>
      <c r="AV2652" s="17">
        <v>0</v>
      </c>
      <c r="AW2652" s="10" t="s">
        <v>105</v>
      </c>
      <c r="AX2652" s="17">
        <v>74</v>
      </c>
      <c r="AY2652" s="18">
        <v>8.0344387755102034</v>
      </c>
      <c r="AZ2652" s="10"/>
      <c r="BA2652" s="20" t="b">
        <v>0</v>
      </c>
      <c r="BB2652" s="10" t="s">
        <v>19859</v>
      </c>
      <c r="BC2652" s="17">
        <v>532</v>
      </c>
      <c r="BD2652" s="17">
        <v>392</v>
      </c>
      <c r="BE2652" s="17">
        <v>3149.5</v>
      </c>
      <c r="BF2652" s="17">
        <v>0</v>
      </c>
      <c r="BG2652" s="11">
        <f ca="1">IFERROR(__xludf.DUMMYFUNCTION("""COMPUTED_VALUE"""),45976.4375)</f>
        <v>45976.4375</v>
      </c>
      <c r="BH2652" s="17" t="s">
        <v>105</v>
      </c>
      <c r="BI2652" s="17"/>
      <c r="BJ2652" s="15"/>
      <c r="BK2652" s="15"/>
      <c r="BL2652" s="13" t="b">
        <v>0</v>
      </c>
      <c r="BM2652" s="10"/>
      <c r="BN2652" s="10" t="s">
        <v>1149</v>
      </c>
      <c r="BO2652" s="11">
        <v>45975.756944444445</v>
      </c>
      <c r="BP2652" s="11">
        <v>45975.757395833331</v>
      </c>
      <c r="BQ2652" s="15"/>
      <c r="BR2652" s="15">
        <v>45976.00990740741</v>
      </c>
      <c r="BS2652" s="10" t="s">
        <v>1149</v>
      </c>
      <c r="BT2652" s="10"/>
      <c r="BU2652" s="10"/>
      <c r="BV2652" s="10"/>
      <c r="BW2652" s="10"/>
      <c r="BX2652" s="10"/>
      <c r="BY2652" s="23"/>
      <c r="BZ2652" s="23"/>
      <c r="CA2652" s="19" t="s">
        <v>19142</v>
      </c>
      <c r="CB2652" s="23"/>
      <c r="CC2652" s="23"/>
      <c r="CD2652" s="23"/>
      <c r="CE2652" s="23"/>
      <c r="CF2652" s="23"/>
      <c r="CG2652" s="23"/>
      <c r="CH2652" s="23"/>
      <c r="CI2652" s="23"/>
    </row>
    <row r="2653" spans="1:87" x14ac:dyDescent="0.3">
      <c r="A2653" s="9" t="s">
        <v>19882</v>
      </c>
      <c r="B2653" s="10" t="s">
        <v>19883</v>
      </c>
      <c r="C2653" s="11">
        <v>45976.493055555555</v>
      </c>
      <c r="D2653" s="12">
        <v>4.8611111111111112E-2</v>
      </c>
      <c r="E2653" s="11">
        <v>45976.541666666664</v>
      </c>
      <c r="F2653" s="22" t="s">
        <v>19136</v>
      </c>
      <c r="G2653" s="13" t="b">
        <v>0</v>
      </c>
      <c r="H2653" s="22" t="s">
        <v>9017</v>
      </c>
      <c r="I2653" s="10" t="s">
        <v>212</v>
      </c>
      <c r="J2653" s="13" t="b">
        <v>1</v>
      </c>
      <c r="K2653" s="13" t="b">
        <v>0</v>
      </c>
      <c r="L2653" s="10" t="s">
        <v>124</v>
      </c>
      <c r="M2653" s="10" t="s">
        <v>91</v>
      </c>
      <c r="N2653" s="10" t="s">
        <v>92</v>
      </c>
      <c r="O2653" s="19" t="s">
        <v>19884</v>
      </c>
      <c r="P2653" s="10"/>
      <c r="Q2653" s="10" t="s">
        <v>94</v>
      </c>
      <c r="R2653" s="10"/>
      <c r="S2653" s="19" t="s">
        <v>19862</v>
      </c>
      <c r="T2653" s="10"/>
      <c r="U2653" s="10"/>
      <c r="V2653" s="10"/>
      <c r="W2653" s="10" t="s">
        <v>19139</v>
      </c>
      <c r="X2653" s="10" t="s">
        <v>130</v>
      </c>
      <c r="Y2653" s="10" t="s">
        <v>130</v>
      </c>
      <c r="Z2653" s="10" t="s">
        <v>99</v>
      </c>
      <c r="AA2653" s="10" t="s">
        <v>131</v>
      </c>
      <c r="AB2653" s="10" t="s">
        <v>19140</v>
      </c>
      <c r="AC2653" s="10" t="s">
        <v>9022</v>
      </c>
      <c r="AD2653" s="10" t="s">
        <v>165</v>
      </c>
      <c r="AE2653" s="10" t="s">
        <v>19885</v>
      </c>
      <c r="AF2653" s="15"/>
      <c r="AG2653" s="10"/>
      <c r="AH2653" s="10"/>
      <c r="AI2653" s="10"/>
      <c r="AJ2653" s="10"/>
      <c r="AK2653" s="10" t="s">
        <v>102</v>
      </c>
      <c r="AL2653" s="10" t="s">
        <v>7897</v>
      </c>
      <c r="AM2653" s="10"/>
      <c r="AN2653" s="10"/>
      <c r="AO2653" s="13" t="b">
        <v>0</v>
      </c>
      <c r="AP2653" s="22" t="s">
        <v>104</v>
      </c>
      <c r="AQ2653" s="10">
        <f ca="1">IFERROR(__xludf.DUMMYFUNCTION("""COMPUTED_VALUE"""),4719208)</f>
        <v>4719208</v>
      </c>
      <c r="AR2653" s="17">
        <v>526</v>
      </c>
      <c r="AS2653" s="17">
        <v>422</v>
      </c>
      <c r="AT2653" s="17">
        <v>2881</v>
      </c>
      <c r="AU2653" s="17">
        <v>0</v>
      </c>
      <c r="AV2653" s="17">
        <v>0</v>
      </c>
      <c r="AW2653" s="10" t="s">
        <v>105</v>
      </c>
      <c r="AX2653" s="17">
        <v>110</v>
      </c>
      <c r="AY2653" s="18">
        <v>6.8270142180094791</v>
      </c>
      <c r="AZ2653" s="10"/>
      <c r="BA2653" s="20" t="b">
        <v>0</v>
      </c>
      <c r="BB2653" s="10" t="s">
        <v>19859</v>
      </c>
      <c r="BC2653" s="17">
        <v>526</v>
      </c>
      <c r="BD2653" s="17">
        <v>422</v>
      </c>
      <c r="BE2653" s="17">
        <v>2881</v>
      </c>
      <c r="BF2653" s="17">
        <v>0</v>
      </c>
      <c r="BG2653" s="11">
        <f ca="1">IFERROR(__xludf.DUMMYFUNCTION("""COMPUTED_VALUE"""),45976.4930555555)</f>
        <v>45976.493055555497</v>
      </c>
      <c r="BH2653" s="17" t="s">
        <v>105</v>
      </c>
      <c r="BI2653" s="17"/>
      <c r="BJ2653" s="15"/>
      <c r="BK2653" s="15"/>
      <c r="BL2653" s="13" t="b">
        <v>0</v>
      </c>
      <c r="BM2653" s="10"/>
      <c r="BN2653" s="10" t="s">
        <v>1149</v>
      </c>
      <c r="BO2653" s="11">
        <v>45975.757638888892</v>
      </c>
      <c r="BP2653" s="11">
        <v>45975.757870370369</v>
      </c>
      <c r="BQ2653" s="15"/>
      <c r="BR2653" s="15">
        <v>45976.01</v>
      </c>
      <c r="BS2653" s="10" t="s">
        <v>1149</v>
      </c>
      <c r="BT2653" s="10"/>
      <c r="BU2653" s="10"/>
      <c r="BV2653" s="10"/>
      <c r="BW2653" s="10"/>
      <c r="BX2653" s="10"/>
      <c r="BY2653" s="23"/>
      <c r="BZ2653" s="23"/>
      <c r="CA2653" s="19" t="s">
        <v>19142</v>
      </c>
      <c r="CB2653" s="23"/>
      <c r="CC2653" s="23"/>
      <c r="CD2653" s="23"/>
      <c r="CE2653" s="23"/>
      <c r="CF2653" s="23"/>
      <c r="CG2653" s="23"/>
      <c r="CH2653" s="23"/>
      <c r="CI2653" s="23"/>
    </row>
    <row r="2654" spans="1:87" x14ac:dyDescent="0.3">
      <c r="A2654" s="9" t="s">
        <v>19886</v>
      </c>
      <c r="B2654" s="10" t="s">
        <v>19887</v>
      </c>
      <c r="C2654" s="11">
        <v>45977.291666666664</v>
      </c>
      <c r="D2654" s="12">
        <v>5.5555555555555552E-2</v>
      </c>
      <c r="E2654" s="11">
        <v>45977.347222222219</v>
      </c>
      <c r="F2654" s="22" t="s">
        <v>19136</v>
      </c>
      <c r="G2654" s="13" t="b">
        <v>0</v>
      </c>
      <c r="H2654" s="22" t="s">
        <v>9017</v>
      </c>
      <c r="I2654" s="10" t="s">
        <v>212</v>
      </c>
      <c r="J2654" s="13" t="b">
        <v>1</v>
      </c>
      <c r="K2654" s="13" t="b">
        <v>0</v>
      </c>
      <c r="L2654" s="10" t="s">
        <v>124</v>
      </c>
      <c r="M2654" s="10" t="s">
        <v>91</v>
      </c>
      <c r="N2654" s="10" t="s">
        <v>92</v>
      </c>
      <c r="O2654" s="19" t="s">
        <v>19888</v>
      </c>
      <c r="P2654" s="10"/>
      <c r="Q2654" s="10" t="s">
        <v>94</v>
      </c>
      <c r="R2654" s="10"/>
      <c r="S2654" s="19" t="s">
        <v>19862</v>
      </c>
      <c r="T2654" s="10"/>
      <c r="U2654" s="10"/>
      <c r="V2654" s="10"/>
      <c r="W2654" s="10" t="s">
        <v>19139</v>
      </c>
      <c r="X2654" s="10" t="s">
        <v>130</v>
      </c>
      <c r="Y2654" s="10" t="s">
        <v>130</v>
      </c>
      <c r="Z2654" s="10" t="s">
        <v>99</v>
      </c>
      <c r="AA2654" s="10" t="s">
        <v>131</v>
      </c>
      <c r="AB2654" s="10" t="s">
        <v>19140</v>
      </c>
      <c r="AC2654" s="10" t="s">
        <v>9022</v>
      </c>
      <c r="AD2654" s="10" t="s">
        <v>165</v>
      </c>
      <c r="AE2654" s="10" t="s">
        <v>19889</v>
      </c>
      <c r="AF2654" s="15"/>
      <c r="AG2654" s="10"/>
      <c r="AH2654" s="10"/>
      <c r="AI2654" s="10"/>
      <c r="AJ2654" s="10"/>
      <c r="AK2654" s="10" t="s">
        <v>102</v>
      </c>
      <c r="AL2654" s="10" t="s">
        <v>7897</v>
      </c>
      <c r="AM2654" s="10"/>
      <c r="AN2654" s="10"/>
      <c r="AO2654" s="13" t="b">
        <v>0</v>
      </c>
      <c r="AP2654" s="22" t="s">
        <v>104</v>
      </c>
      <c r="AQ2654" s="10">
        <f ca="1">IFERROR(__xludf.DUMMYFUNCTION("""COMPUTED_VALUE"""),4719858)</f>
        <v>4719858</v>
      </c>
      <c r="AR2654" s="17">
        <v>223</v>
      </c>
      <c r="AS2654" s="17">
        <v>149</v>
      </c>
      <c r="AT2654" s="17">
        <v>1023</v>
      </c>
      <c r="AU2654" s="17">
        <v>0</v>
      </c>
      <c r="AV2654" s="17">
        <v>0</v>
      </c>
      <c r="AW2654" s="10" t="s">
        <v>105</v>
      </c>
      <c r="AX2654" s="17">
        <v>28</v>
      </c>
      <c r="AY2654" s="18">
        <v>6.8657718120805367</v>
      </c>
      <c r="AZ2654" s="10"/>
      <c r="BA2654" s="20" t="b">
        <v>0</v>
      </c>
      <c r="BB2654" s="10" t="s">
        <v>19864</v>
      </c>
      <c r="BC2654" s="17">
        <v>223</v>
      </c>
      <c r="BD2654" s="17">
        <v>149</v>
      </c>
      <c r="BE2654" s="17">
        <v>1023</v>
      </c>
      <c r="BF2654" s="17">
        <v>0</v>
      </c>
      <c r="BG2654" s="11">
        <f ca="1">IFERROR(__xludf.DUMMYFUNCTION("""COMPUTED_VALUE"""),45977.2916666666)</f>
        <v>45977.291666666599</v>
      </c>
      <c r="BH2654" s="17" t="s">
        <v>105</v>
      </c>
      <c r="BI2654" s="17"/>
      <c r="BJ2654" s="15"/>
      <c r="BK2654" s="15"/>
      <c r="BL2654" s="13" t="b">
        <v>0</v>
      </c>
      <c r="BM2654" s="10"/>
      <c r="BN2654" s="10" t="s">
        <v>278</v>
      </c>
      <c r="BO2654" s="11">
        <v>45975.757638888892</v>
      </c>
      <c r="BP2654" s="11">
        <v>45975.758564814816</v>
      </c>
      <c r="BQ2654" s="15"/>
      <c r="BR2654" s="15">
        <v>45976.904432870368</v>
      </c>
      <c r="BS2654" s="10" t="s">
        <v>278</v>
      </c>
      <c r="BT2654" s="10"/>
      <c r="BU2654" s="10"/>
      <c r="BV2654" s="10"/>
      <c r="BW2654" s="10"/>
      <c r="BX2654" s="10"/>
      <c r="BY2654" s="23"/>
      <c r="BZ2654" s="23"/>
      <c r="CA2654" s="19" t="s">
        <v>19142</v>
      </c>
      <c r="CB2654" s="23"/>
      <c r="CC2654" s="23"/>
      <c r="CD2654" s="23"/>
      <c r="CE2654" s="23"/>
      <c r="CF2654" s="23"/>
      <c r="CG2654" s="23"/>
      <c r="CH2654" s="23"/>
      <c r="CI2654" s="23"/>
    </row>
    <row r="2655" spans="1:87" x14ac:dyDescent="0.3">
      <c r="A2655" s="9" t="s">
        <v>19890</v>
      </c>
      <c r="B2655" s="10" t="s">
        <v>19891</v>
      </c>
      <c r="C2655" s="11">
        <v>45977.347222222219</v>
      </c>
      <c r="D2655" s="12">
        <v>4.8611111111111112E-2</v>
      </c>
      <c r="E2655" s="11">
        <v>45977.395833333336</v>
      </c>
      <c r="F2655" s="22" t="s">
        <v>19136</v>
      </c>
      <c r="G2655" s="13" t="b">
        <v>0</v>
      </c>
      <c r="H2655" s="22" t="s">
        <v>9017</v>
      </c>
      <c r="I2655" s="10" t="s">
        <v>212</v>
      </c>
      <c r="J2655" s="13" t="b">
        <v>1</v>
      </c>
      <c r="K2655" s="13" t="b">
        <v>0</v>
      </c>
      <c r="L2655" s="10" t="s">
        <v>124</v>
      </c>
      <c r="M2655" s="10" t="s">
        <v>91</v>
      </c>
      <c r="N2655" s="10" t="s">
        <v>92</v>
      </c>
      <c r="O2655" s="19" t="s">
        <v>19892</v>
      </c>
      <c r="P2655" s="10"/>
      <c r="Q2655" s="10" t="s">
        <v>94</v>
      </c>
      <c r="R2655" s="10"/>
      <c r="S2655" s="19" t="s">
        <v>19862</v>
      </c>
      <c r="T2655" s="10"/>
      <c r="U2655" s="10"/>
      <c r="V2655" s="10"/>
      <c r="W2655" s="10" t="s">
        <v>19139</v>
      </c>
      <c r="X2655" s="10" t="s">
        <v>130</v>
      </c>
      <c r="Y2655" s="10" t="s">
        <v>130</v>
      </c>
      <c r="Z2655" s="10" t="s">
        <v>99</v>
      </c>
      <c r="AA2655" s="10" t="s">
        <v>131</v>
      </c>
      <c r="AB2655" s="10" t="s">
        <v>19140</v>
      </c>
      <c r="AC2655" s="10" t="s">
        <v>9022</v>
      </c>
      <c r="AD2655" s="10" t="s">
        <v>165</v>
      </c>
      <c r="AE2655" s="10" t="s">
        <v>19893</v>
      </c>
      <c r="AF2655" s="15"/>
      <c r="AG2655" s="10"/>
      <c r="AH2655" s="10"/>
      <c r="AI2655" s="10"/>
      <c r="AJ2655" s="10"/>
      <c r="AK2655" s="10" t="s">
        <v>102</v>
      </c>
      <c r="AL2655" s="10" t="s">
        <v>7897</v>
      </c>
      <c r="AM2655" s="10"/>
      <c r="AN2655" s="10"/>
      <c r="AO2655" s="13" t="b">
        <v>0</v>
      </c>
      <c r="AP2655" s="22" t="s">
        <v>104</v>
      </c>
      <c r="AQ2655" s="10">
        <f ca="1">IFERROR(__xludf.DUMMYFUNCTION("""COMPUTED_VALUE"""),4719859)</f>
        <v>4719859</v>
      </c>
      <c r="AR2655" s="17">
        <v>212</v>
      </c>
      <c r="AS2655" s="17">
        <v>155</v>
      </c>
      <c r="AT2655" s="17">
        <v>763.5</v>
      </c>
      <c r="AU2655" s="17">
        <v>0</v>
      </c>
      <c r="AV2655" s="17">
        <v>0</v>
      </c>
      <c r="AW2655" s="10" t="s">
        <v>105</v>
      </c>
      <c r="AX2655" s="17">
        <v>34</v>
      </c>
      <c r="AY2655" s="18">
        <v>4.9258064516129032</v>
      </c>
      <c r="AZ2655" s="10"/>
      <c r="BA2655" s="20" t="b">
        <v>0</v>
      </c>
      <c r="BB2655" s="10" t="s">
        <v>19864</v>
      </c>
      <c r="BC2655" s="17">
        <v>212</v>
      </c>
      <c r="BD2655" s="17">
        <v>155</v>
      </c>
      <c r="BE2655" s="17">
        <v>763.5</v>
      </c>
      <c r="BF2655" s="17">
        <v>0</v>
      </c>
      <c r="BG2655" s="11">
        <f ca="1">IFERROR(__xludf.DUMMYFUNCTION("""COMPUTED_VALUE"""),45977.3472222222)</f>
        <v>45977.347222222197</v>
      </c>
      <c r="BH2655" s="17" t="s">
        <v>105</v>
      </c>
      <c r="BI2655" s="17"/>
      <c r="BJ2655" s="15"/>
      <c r="BK2655" s="15"/>
      <c r="BL2655" s="13" t="b">
        <v>0</v>
      </c>
      <c r="BM2655" s="10"/>
      <c r="BN2655" s="10" t="s">
        <v>278</v>
      </c>
      <c r="BO2655" s="11">
        <v>45975.758333333331</v>
      </c>
      <c r="BP2655" s="11">
        <v>45975.758402777778</v>
      </c>
      <c r="BQ2655" s="15"/>
      <c r="BR2655" s="15">
        <v>45976.904606481483</v>
      </c>
      <c r="BS2655" s="10" t="s">
        <v>278</v>
      </c>
      <c r="BT2655" s="10"/>
      <c r="BU2655" s="10"/>
      <c r="BV2655" s="10"/>
      <c r="BW2655" s="10"/>
      <c r="BX2655" s="10"/>
      <c r="BY2655" s="23"/>
      <c r="BZ2655" s="23"/>
      <c r="CA2655" s="19" t="s">
        <v>19142</v>
      </c>
      <c r="CB2655" s="23"/>
      <c r="CC2655" s="23"/>
      <c r="CD2655" s="23"/>
      <c r="CE2655" s="23"/>
      <c r="CF2655" s="23"/>
      <c r="CG2655" s="23"/>
      <c r="CH2655" s="23"/>
      <c r="CI2655" s="23"/>
    </row>
    <row r="2656" spans="1:87" x14ac:dyDescent="0.3">
      <c r="A2656" s="9" t="s">
        <v>19894</v>
      </c>
      <c r="B2656" s="10" t="s">
        <v>19895</v>
      </c>
      <c r="C2656" s="11">
        <v>45976.541666666664</v>
      </c>
      <c r="D2656" s="12">
        <v>5.5555555555555552E-2</v>
      </c>
      <c r="E2656" s="11">
        <v>45976.597222222219</v>
      </c>
      <c r="F2656" s="22" t="s">
        <v>19136</v>
      </c>
      <c r="G2656" s="13" t="b">
        <v>0</v>
      </c>
      <c r="H2656" s="22" t="s">
        <v>9017</v>
      </c>
      <c r="I2656" s="10" t="s">
        <v>212</v>
      </c>
      <c r="J2656" s="13" t="b">
        <v>1</v>
      </c>
      <c r="K2656" s="13" t="b">
        <v>0</v>
      </c>
      <c r="L2656" s="10" t="s">
        <v>124</v>
      </c>
      <c r="M2656" s="10" t="s">
        <v>91</v>
      </c>
      <c r="N2656" s="10" t="s">
        <v>92</v>
      </c>
      <c r="O2656" s="19" t="s">
        <v>19896</v>
      </c>
      <c r="P2656" s="10"/>
      <c r="Q2656" s="10" t="s">
        <v>94</v>
      </c>
      <c r="R2656" s="10"/>
      <c r="S2656" s="19" t="s">
        <v>19862</v>
      </c>
      <c r="T2656" s="10"/>
      <c r="U2656" s="10"/>
      <c r="V2656" s="10"/>
      <c r="W2656" s="10" t="s">
        <v>19139</v>
      </c>
      <c r="X2656" s="10" t="s">
        <v>130</v>
      </c>
      <c r="Y2656" s="10" t="s">
        <v>130</v>
      </c>
      <c r="Z2656" s="10" t="s">
        <v>99</v>
      </c>
      <c r="AA2656" s="10" t="s">
        <v>131</v>
      </c>
      <c r="AB2656" s="10" t="s">
        <v>19140</v>
      </c>
      <c r="AC2656" s="10" t="s">
        <v>9022</v>
      </c>
      <c r="AD2656" s="10" t="s">
        <v>165</v>
      </c>
      <c r="AE2656" s="10" t="s">
        <v>19897</v>
      </c>
      <c r="AF2656" s="15"/>
      <c r="AG2656" s="10"/>
      <c r="AH2656" s="10"/>
      <c r="AI2656" s="10"/>
      <c r="AJ2656" s="10"/>
      <c r="AK2656" s="10" t="s">
        <v>102</v>
      </c>
      <c r="AL2656" s="10" t="s">
        <v>7897</v>
      </c>
      <c r="AM2656" s="10"/>
      <c r="AN2656" s="10"/>
      <c r="AO2656" s="13" t="b">
        <v>0</v>
      </c>
      <c r="AP2656" s="22" t="s">
        <v>104</v>
      </c>
      <c r="AQ2656" s="10">
        <f ca="1">IFERROR(__xludf.DUMMYFUNCTION("""COMPUTED_VALUE"""),4719207)</f>
        <v>4719207</v>
      </c>
      <c r="AR2656" s="17">
        <v>547</v>
      </c>
      <c r="AS2656" s="17">
        <v>435</v>
      </c>
      <c r="AT2656" s="17">
        <v>2155</v>
      </c>
      <c r="AU2656" s="17">
        <v>0</v>
      </c>
      <c r="AV2656" s="17">
        <v>0</v>
      </c>
      <c r="AW2656" s="10" t="s">
        <v>105</v>
      </c>
      <c r="AX2656" s="17">
        <v>94</v>
      </c>
      <c r="AY2656" s="18">
        <v>4.9540229885057467</v>
      </c>
      <c r="AZ2656" s="10"/>
      <c r="BA2656" s="20" t="b">
        <v>0</v>
      </c>
      <c r="BB2656" s="10" t="s">
        <v>19859</v>
      </c>
      <c r="BC2656" s="17">
        <v>547</v>
      </c>
      <c r="BD2656" s="17">
        <v>435</v>
      </c>
      <c r="BE2656" s="17">
        <v>2155</v>
      </c>
      <c r="BF2656" s="17">
        <v>0</v>
      </c>
      <c r="BG2656" s="11">
        <f ca="1">IFERROR(__xludf.DUMMYFUNCTION("""COMPUTED_VALUE"""),45976.5416666666)</f>
        <v>45976.541666666599</v>
      </c>
      <c r="BH2656" s="17" t="s">
        <v>105</v>
      </c>
      <c r="BI2656" s="17"/>
      <c r="BJ2656" s="15"/>
      <c r="BK2656" s="15"/>
      <c r="BL2656" s="13" t="b">
        <v>0</v>
      </c>
      <c r="BM2656" s="10"/>
      <c r="BN2656" s="10" t="s">
        <v>1149</v>
      </c>
      <c r="BO2656" s="11">
        <v>45975.758333333331</v>
      </c>
      <c r="BP2656" s="11">
        <v>45975.758726851855</v>
      </c>
      <c r="BQ2656" s="15"/>
      <c r="BR2656" s="15">
        <v>45976.010115740741</v>
      </c>
      <c r="BS2656" s="10" t="s">
        <v>1149</v>
      </c>
      <c r="BT2656" s="10"/>
      <c r="BU2656" s="10"/>
      <c r="BV2656" s="10"/>
      <c r="BW2656" s="10"/>
      <c r="BX2656" s="10"/>
      <c r="BY2656" s="23"/>
      <c r="BZ2656" s="23"/>
      <c r="CA2656" s="19" t="s">
        <v>19142</v>
      </c>
      <c r="CB2656" s="23"/>
      <c r="CC2656" s="23"/>
      <c r="CD2656" s="23"/>
      <c r="CE2656" s="23"/>
      <c r="CF2656" s="23"/>
      <c r="CG2656" s="23"/>
      <c r="CH2656" s="23"/>
      <c r="CI2656" s="23"/>
    </row>
    <row r="2657" spans="1:87" x14ac:dyDescent="0.3">
      <c r="A2657" s="9" t="s">
        <v>19898</v>
      </c>
      <c r="B2657" s="10" t="s">
        <v>19899</v>
      </c>
      <c r="C2657" s="11">
        <v>45977.395833333336</v>
      </c>
      <c r="D2657" s="12">
        <v>4.8611111111111112E-2</v>
      </c>
      <c r="E2657" s="11">
        <v>45977.444444444445</v>
      </c>
      <c r="F2657" s="22" t="s">
        <v>19136</v>
      </c>
      <c r="G2657" s="13" t="b">
        <v>0</v>
      </c>
      <c r="H2657" s="22" t="s">
        <v>9017</v>
      </c>
      <c r="I2657" s="10" t="s">
        <v>212</v>
      </c>
      <c r="J2657" s="13" t="b">
        <v>1</v>
      </c>
      <c r="K2657" s="13" t="b">
        <v>0</v>
      </c>
      <c r="L2657" s="10" t="s">
        <v>124</v>
      </c>
      <c r="M2657" s="10" t="s">
        <v>91</v>
      </c>
      <c r="N2657" s="10" t="s">
        <v>92</v>
      </c>
      <c r="O2657" s="19" t="s">
        <v>19900</v>
      </c>
      <c r="P2657" s="10"/>
      <c r="Q2657" s="10" t="s">
        <v>94</v>
      </c>
      <c r="R2657" s="10"/>
      <c r="S2657" s="19" t="s">
        <v>19862</v>
      </c>
      <c r="T2657" s="10"/>
      <c r="U2657" s="10"/>
      <c r="V2657" s="10"/>
      <c r="W2657" s="10" t="s">
        <v>19139</v>
      </c>
      <c r="X2657" s="10" t="s">
        <v>130</v>
      </c>
      <c r="Y2657" s="10" t="s">
        <v>130</v>
      </c>
      <c r="Z2657" s="10" t="s">
        <v>99</v>
      </c>
      <c r="AA2657" s="10" t="s">
        <v>131</v>
      </c>
      <c r="AB2657" s="10" t="s">
        <v>19140</v>
      </c>
      <c r="AC2657" s="10" t="s">
        <v>9022</v>
      </c>
      <c r="AD2657" s="10" t="s">
        <v>165</v>
      </c>
      <c r="AE2657" s="10" t="s">
        <v>19901</v>
      </c>
      <c r="AF2657" s="15"/>
      <c r="AG2657" s="10"/>
      <c r="AH2657" s="10"/>
      <c r="AI2657" s="10"/>
      <c r="AJ2657" s="10"/>
      <c r="AK2657" s="10" t="s">
        <v>102</v>
      </c>
      <c r="AL2657" s="10" t="s">
        <v>7897</v>
      </c>
      <c r="AM2657" s="10"/>
      <c r="AN2657" s="10"/>
      <c r="AO2657" s="13" t="b">
        <v>0</v>
      </c>
      <c r="AP2657" s="22" t="s">
        <v>104</v>
      </c>
      <c r="AQ2657" s="10">
        <f ca="1">IFERROR(__xludf.DUMMYFUNCTION("""COMPUTED_VALUE"""),4719860)</f>
        <v>4719860</v>
      </c>
      <c r="AR2657" s="17">
        <v>284</v>
      </c>
      <c r="AS2657" s="17">
        <v>175</v>
      </c>
      <c r="AT2657" s="17">
        <v>889.5</v>
      </c>
      <c r="AU2657" s="17">
        <v>0</v>
      </c>
      <c r="AV2657" s="17">
        <v>0</v>
      </c>
      <c r="AW2657" s="10" t="s">
        <v>105</v>
      </c>
      <c r="AX2657" s="17">
        <v>42</v>
      </c>
      <c r="AY2657" s="18">
        <v>5.0828571428571427</v>
      </c>
      <c r="AZ2657" s="10"/>
      <c r="BA2657" s="20" t="b">
        <v>0</v>
      </c>
      <c r="BB2657" s="10" t="s">
        <v>19864</v>
      </c>
      <c r="BC2657" s="17">
        <v>284</v>
      </c>
      <c r="BD2657" s="17">
        <v>175</v>
      </c>
      <c r="BE2657" s="17">
        <v>889.5</v>
      </c>
      <c r="BF2657" s="17">
        <v>0</v>
      </c>
      <c r="BG2657" s="11">
        <f ca="1">IFERROR(__xludf.DUMMYFUNCTION("""COMPUTED_VALUE"""),45977.3958333333)</f>
        <v>45977.395833333299</v>
      </c>
      <c r="BH2657" s="17" t="s">
        <v>105</v>
      </c>
      <c r="BI2657" s="17"/>
      <c r="BJ2657" s="15"/>
      <c r="BK2657" s="15"/>
      <c r="BL2657" s="13" t="b">
        <v>0</v>
      </c>
      <c r="BM2657" s="10"/>
      <c r="BN2657" s="10" t="s">
        <v>278</v>
      </c>
      <c r="BO2657" s="11">
        <v>45975.759027777778</v>
      </c>
      <c r="BP2657" s="11">
        <v>45976.812349537038</v>
      </c>
      <c r="BQ2657" s="15"/>
      <c r="BR2657" s="15">
        <v>45976.904768518521</v>
      </c>
      <c r="BS2657" s="10" t="s">
        <v>278</v>
      </c>
      <c r="BT2657" s="10"/>
      <c r="BU2657" s="10"/>
      <c r="BV2657" s="10"/>
      <c r="BW2657" s="10"/>
      <c r="BX2657" s="10"/>
      <c r="BY2657" s="23"/>
      <c r="BZ2657" s="23"/>
      <c r="CA2657" s="19" t="s">
        <v>19142</v>
      </c>
      <c r="CB2657" s="23"/>
      <c r="CC2657" s="23"/>
      <c r="CD2657" s="23"/>
      <c r="CE2657" s="23"/>
      <c r="CF2657" s="23"/>
      <c r="CG2657" s="23"/>
      <c r="CH2657" s="23"/>
      <c r="CI2657" s="23"/>
    </row>
    <row r="2658" spans="1:87" x14ac:dyDescent="0.3">
      <c r="A2658" s="9" t="s">
        <v>19902</v>
      </c>
      <c r="B2658" s="10" t="s">
        <v>19903</v>
      </c>
      <c r="C2658" s="11">
        <v>45977.444444444445</v>
      </c>
      <c r="D2658" s="12">
        <v>4.8611111111111112E-2</v>
      </c>
      <c r="E2658" s="11">
        <v>45977.493055555555</v>
      </c>
      <c r="F2658" s="22" t="s">
        <v>19136</v>
      </c>
      <c r="G2658" s="13" t="b">
        <v>0</v>
      </c>
      <c r="H2658" s="22" t="s">
        <v>9017</v>
      </c>
      <c r="I2658" s="10" t="s">
        <v>212</v>
      </c>
      <c r="J2658" s="13" t="b">
        <v>1</v>
      </c>
      <c r="K2658" s="13" t="b">
        <v>0</v>
      </c>
      <c r="L2658" s="10" t="s">
        <v>124</v>
      </c>
      <c r="M2658" s="10" t="s">
        <v>91</v>
      </c>
      <c r="N2658" s="10" t="s">
        <v>92</v>
      </c>
      <c r="O2658" s="19" t="s">
        <v>19904</v>
      </c>
      <c r="P2658" s="10"/>
      <c r="Q2658" s="10" t="s">
        <v>94</v>
      </c>
      <c r="R2658" s="10"/>
      <c r="S2658" s="19" t="s">
        <v>19862</v>
      </c>
      <c r="T2658" s="10"/>
      <c r="U2658" s="10"/>
      <c r="V2658" s="10"/>
      <c r="W2658" s="10" t="s">
        <v>19139</v>
      </c>
      <c r="X2658" s="10" t="s">
        <v>130</v>
      </c>
      <c r="Y2658" s="10" t="s">
        <v>130</v>
      </c>
      <c r="Z2658" s="10" t="s">
        <v>99</v>
      </c>
      <c r="AA2658" s="10" t="s">
        <v>131</v>
      </c>
      <c r="AB2658" s="10" t="s">
        <v>19140</v>
      </c>
      <c r="AC2658" s="10" t="s">
        <v>9022</v>
      </c>
      <c r="AD2658" s="10" t="s">
        <v>165</v>
      </c>
      <c r="AE2658" s="10" t="s">
        <v>19905</v>
      </c>
      <c r="AF2658" s="15"/>
      <c r="AG2658" s="10"/>
      <c r="AH2658" s="10"/>
      <c r="AI2658" s="10"/>
      <c r="AJ2658" s="10"/>
      <c r="AK2658" s="10" t="s">
        <v>102</v>
      </c>
      <c r="AL2658" s="10" t="s">
        <v>7897</v>
      </c>
      <c r="AM2658" s="10"/>
      <c r="AN2658" s="10"/>
      <c r="AO2658" s="13" t="b">
        <v>0</v>
      </c>
      <c r="AP2658" s="22" t="s">
        <v>104</v>
      </c>
      <c r="AQ2658" s="10">
        <f ca="1">IFERROR(__xludf.DUMMYFUNCTION("""COMPUTED_VALUE"""),4719861)</f>
        <v>4719861</v>
      </c>
      <c r="AR2658" s="17">
        <v>294</v>
      </c>
      <c r="AS2658" s="17">
        <v>196</v>
      </c>
      <c r="AT2658" s="17">
        <v>1727.25</v>
      </c>
      <c r="AU2658" s="17">
        <v>0</v>
      </c>
      <c r="AV2658" s="17">
        <v>0</v>
      </c>
      <c r="AW2658" s="10" t="s">
        <v>105</v>
      </c>
      <c r="AX2658" s="17">
        <v>53</v>
      </c>
      <c r="AY2658" s="18">
        <v>8.8125</v>
      </c>
      <c r="AZ2658" s="10"/>
      <c r="BA2658" s="20" t="b">
        <v>0</v>
      </c>
      <c r="BB2658" s="10" t="s">
        <v>19864</v>
      </c>
      <c r="BC2658" s="17">
        <v>294</v>
      </c>
      <c r="BD2658" s="17">
        <v>196</v>
      </c>
      <c r="BE2658" s="17">
        <v>1727.25</v>
      </c>
      <c r="BF2658" s="17">
        <v>0</v>
      </c>
      <c r="BG2658" s="11">
        <f ca="1">IFERROR(__xludf.DUMMYFUNCTION("""COMPUTED_VALUE"""),45977.4444444444)</f>
        <v>45977.444444444402</v>
      </c>
      <c r="BH2658" s="17" t="s">
        <v>105</v>
      </c>
      <c r="BI2658" s="17"/>
      <c r="BJ2658" s="15"/>
      <c r="BK2658" s="15"/>
      <c r="BL2658" s="13" t="b">
        <v>0</v>
      </c>
      <c r="BM2658" s="10"/>
      <c r="BN2658" s="10" t="s">
        <v>278</v>
      </c>
      <c r="BO2658" s="11">
        <v>45975.759027777778</v>
      </c>
      <c r="BP2658" s="11">
        <v>45976.812696759262</v>
      </c>
      <c r="BQ2658" s="15"/>
      <c r="BR2658" s="15">
        <v>45976.904942129629</v>
      </c>
      <c r="BS2658" s="10" t="s">
        <v>278</v>
      </c>
      <c r="BT2658" s="10"/>
      <c r="BU2658" s="10"/>
      <c r="BV2658" s="10"/>
      <c r="BW2658" s="10"/>
      <c r="BX2658" s="10"/>
      <c r="BY2658" s="23"/>
      <c r="BZ2658" s="23"/>
      <c r="CA2658" s="19" t="s">
        <v>19142</v>
      </c>
      <c r="CB2658" s="23"/>
      <c r="CC2658" s="23"/>
      <c r="CD2658" s="23"/>
      <c r="CE2658" s="23"/>
      <c r="CF2658" s="23"/>
      <c r="CG2658" s="23"/>
      <c r="CH2658" s="23"/>
      <c r="CI2658" s="23"/>
    </row>
    <row r="2659" spans="1:87" x14ac:dyDescent="0.3">
      <c r="A2659" s="9" t="s">
        <v>19906</v>
      </c>
      <c r="B2659" s="10" t="s">
        <v>19907</v>
      </c>
      <c r="C2659" s="11">
        <v>45977.493055555555</v>
      </c>
      <c r="D2659" s="12">
        <v>4.8611111111111112E-2</v>
      </c>
      <c r="E2659" s="11">
        <v>45977.541666666664</v>
      </c>
      <c r="F2659" s="22" t="s">
        <v>19136</v>
      </c>
      <c r="G2659" s="13" t="b">
        <v>0</v>
      </c>
      <c r="H2659" s="22" t="s">
        <v>9017</v>
      </c>
      <c r="I2659" s="10" t="s">
        <v>212</v>
      </c>
      <c r="J2659" s="13" t="b">
        <v>1</v>
      </c>
      <c r="K2659" s="13" t="b">
        <v>0</v>
      </c>
      <c r="L2659" s="10" t="s">
        <v>124</v>
      </c>
      <c r="M2659" s="10" t="s">
        <v>91</v>
      </c>
      <c r="N2659" s="10" t="s">
        <v>92</v>
      </c>
      <c r="O2659" s="19" t="s">
        <v>19908</v>
      </c>
      <c r="P2659" s="10"/>
      <c r="Q2659" s="10" t="s">
        <v>94</v>
      </c>
      <c r="R2659" s="10"/>
      <c r="S2659" s="19" t="s">
        <v>19862</v>
      </c>
      <c r="T2659" s="10"/>
      <c r="U2659" s="10"/>
      <c r="V2659" s="10"/>
      <c r="W2659" s="10" t="s">
        <v>19139</v>
      </c>
      <c r="X2659" s="10" t="s">
        <v>130</v>
      </c>
      <c r="Y2659" s="10" t="s">
        <v>130</v>
      </c>
      <c r="Z2659" s="10" t="s">
        <v>99</v>
      </c>
      <c r="AA2659" s="10" t="s">
        <v>131</v>
      </c>
      <c r="AB2659" s="10" t="s">
        <v>19140</v>
      </c>
      <c r="AC2659" s="10" t="s">
        <v>9022</v>
      </c>
      <c r="AD2659" s="10" t="s">
        <v>165</v>
      </c>
      <c r="AE2659" s="10" t="s">
        <v>19909</v>
      </c>
      <c r="AF2659" s="15"/>
      <c r="AG2659" s="10"/>
      <c r="AH2659" s="10"/>
      <c r="AI2659" s="10"/>
      <c r="AJ2659" s="10"/>
      <c r="AK2659" s="10" t="s">
        <v>102</v>
      </c>
      <c r="AL2659" s="10" t="s">
        <v>7897</v>
      </c>
      <c r="AM2659" s="10"/>
      <c r="AN2659" s="10"/>
      <c r="AO2659" s="13" t="b">
        <v>0</v>
      </c>
      <c r="AP2659" s="22" t="s">
        <v>104</v>
      </c>
      <c r="AQ2659" s="10">
        <f ca="1">IFERROR(__xludf.DUMMYFUNCTION("""COMPUTED_VALUE"""),4719862)</f>
        <v>4719862</v>
      </c>
      <c r="AR2659" s="17">
        <v>325</v>
      </c>
      <c r="AS2659" s="17">
        <v>226</v>
      </c>
      <c r="AT2659" s="17">
        <v>1712.5</v>
      </c>
      <c r="AU2659" s="17">
        <v>0</v>
      </c>
      <c r="AV2659" s="17">
        <v>0</v>
      </c>
      <c r="AW2659" s="10" t="s">
        <v>105</v>
      </c>
      <c r="AX2659" s="17">
        <v>53</v>
      </c>
      <c r="AY2659" s="18">
        <v>7.5774336283185839</v>
      </c>
      <c r="AZ2659" s="10"/>
      <c r="BA2659" s="20" t="b">
        <v>0</v>
      </c>
      <c r="BB2659" s="10" t="s">
        <v>19864</v>
      </c>
      <c r="BC2659" s="17">
        <v>325</v>
      </c>
      <c r="BD2659" s="17">
        <v>226</v>
      </c>
      <c r="BE2659" s="17">
        <v>1712.5</v>
      </c>
      <c r="BF2659" s="17">
        <v>0</v>
      </c>
      <c r="BG2659" s="11">
        <f ca="1">IFERROR(__xludf.DUMMYFUNCTION("""COMPUTED_VALUE"""),45977.4930555555)</f>
        <v>45977.493055555497</v>
      </c>
      <c r="BH2659" s="17" t="s">
        <v>105</v>
      </c>
      <c r="BI2659" s="17"/>
      <c r="BJ2659" s="15"/>
      <c r="BK2659" s="15"/>
      <c r="BL2659" s="13" t="b">
        <v>0</v>
      </c>
      <c r="BM2659" s="10"/>
      <c r="BN2659" s="10" t="s">
        <v>278</v>
      </c>
      <c r="BO2659" s="11">
        <v>45975.759722222225</v>
      </c>
      <c r="BP2659" s="11">
        <v>45975.760347222225</v>
      </c>
      <c r="BQ2659" s="15"/>
      <c r="BR2659" s="15">
        <v>45976.905115740738</v>
      </c>
      <c r="BS2659" s="10" t="s">
        <v>278</v>
      </c>
      <c r="BT2659" s="10"/>
      <c r="BU2659" s="10"/>
      <c r="BV2659" s="10"/>
      <c r="BW2659" s="10"/>
      <c r="BX2659" s="10"/>
      <c r="BY2659" s="23"/>
      <c r="BZ2659" s="23"/>
      <c r="CA2659" s="19" t="s">
        <v>19142</v>
      </c>
      <c r="CB2659" s="23"/>
      <c r="CC2659" s="23"/>
      <c r="CD2659" s="23"/>
      <c r="CE2659" s="23"/>
      <c r="CF2659" s="23"/>
      <c r="CG2659" s="23"/>
      <c r="CH2659" s="23"/>
      <c r="CI2659" s="23"/>
    </row>
    <row r="2660" spans="1:87" x14ac:dyDescent="0.3">
      <c r="A2660" s="9" t="s">
        <v>19910</v>
      </c>
      <c r="B2660" s="10" t="s">
        <v>19911</v>
      </c>
      <c r="C2660" s="11">
        <v>45977.541666666664</v>
      </c>
      <c r="D2660" s="12">
        <v>6.25E-2</v>
      </c>
      <c r="E2660" s="11">
        <v>45977.604166666664</v>
      </c>
      <c r="F2660" s="22" t="s">
        <v>19136</v>
      </c>
      <c r="G2660" s="13" t="b">
        <v>0</v>
      </c>
      <c r="H2660" s="22" t="s">
        <v>9017</v>
      </c>
      <c r="I2660" s="10" t="s">
        <v>212</v>
      </c>
      <c r="J2660" s="13" t="b">
        <v>1</v>
      </c>
      <c r="K2660" s="13" t="b">
        <v>0</v>
      </c>
      <c r="L2660" s="10" t="s">
        <v>124</v>
      </c>
      <c r="M2660" s="10" t="s">
        <v>91</v>
      </c>
      <c r="N2660" s="10" t="s">
        <v>92</v>
      </c>
      <c r="O2660" s="19" t="s">
        <v>19912</v>
      </c>
      <c r="P2660" s="10"/>
      <c r="Q2660" s="10" t="s">
        <v>94</v>
      </c>
      <c r="R2660" s="10"/>
      <c r="S2660" s="19" t="s">
        <v>19862</v>
      </c>
      <c r="T2660" s="10"/>
      <c r="U2660" s="10"/>
      <c r="V2660" s="10"/>
      <c r="W2660" s="10" t="s">
        <v>19139</v>
      </c>
      <c r="X2660" s="10" t="s">
        <v>130</v>
      </c>
      <c r="Y2660" s="10" t="s">
        <v>130</v>
      </c>
      <c r="Z2660" s="10" t="s">
        <v>99</v>
      </c>
      <c r="AA2660" s="10" t="s">
        <v>131</v>
      </c>
      <c r="AB2660" s="10" t="s">
        <v>19140</v>
      </c>
      <c r="AC2660" s="10" t="s">
        <v>9022</v>
      </c>
      <c r="AD2660" s="10" t="s">
        <v>165</v>
      </c>
      <c r="AE2660" s="10" t="s">
        <v>19913</v>
      </c>
      <c r="AF2660" s="15"/>
      <c r="AG2660" s="10"/>
      <c r="AH2660" s="10"/>
      <c r="AI2660" s="10"/>
      <c r="AJ2660" s="10"/>
      <c r="AK2660" s="10" t="s">
        <v>102</v>
      </c>
      <c r="AL2660" s="10" t="s">
        <v>7897</v>
      </c>
      <c r="AM2660" s="10"/>
      <c r="AN2660" s="10"/>
      <c r="AO2660" s="13" t="b">
        <v>0</v>
      </c>
      <c r="AP2660" s="22" t="s">
        <v>104</v>
      </c>
      <c r="AQ2660" s="10">
        <f ca="1">IFERROR(__xludf.DUMMYFUNCTION("""COMPUTED_VALUE"""),4719863)</f>
        <v>4719863</v>
      </c>
      <c r="AR2660" s="17">
        <v>246</v>
      </c>
      <c r="AS2660" s="17">
        <v>168</v>
      </c>
      <c r="AT2660" s="17">
        <v>988.5</v>
      </c>
      <c r="AU2660" s="17">
        <v>0</v>
      </c>
      <c r="AV2660" s="17">
        <v>0</v>
      </c>
      <c r="AW2660" s="10" t="s">
        <v>105</v>
      </c>
      <c r="AX2660" s="17">
        <v>50</v>
      </c>
      <c r="AY2660" s="18">
        <v>5.8839285714285712</v>
      </c>
      <c r="AZ2660" s="10"/>
      <c r="BA2660" s="20" t="b">
        <v>0</v>
      </c>
      <c r="BB2660" s="10" t="s">
        <v>19864</v>
      </c>
      <c r="BC2660" s="17">
        <v>246</v>
      </c>
      <c r="BD2660" s="17">
        <v>168</v>
      </c>
      <c r="BE2660" s="17">
        <v>988.5</v>
      </c>
      <c r="BF2660" s="17">
        <v>0</v>
      </c>
      <c r="BG2660" s="11">
        <f ca="1">IFERROR(__xludf.DUMMYFUNCTION("""COMPUTED_VALUE"""),45977.5416666666)</f>
        <v>45977.541666666599</v>
      </c>
      <c r="BH2660" s="17" t="s">
        <v>105</v>
      </c>
      <c r="BI2660" s="17"/>
      <c r="BJ2660" s="15"/>
      <c r="BK2660" s="15"/>
      <c r="BL2660" s="13" t="b">
        <v>0</v>
      </c>
      <c r="BM2660" s="10"/>
      <c r="BN2660" s="10" t="s">
        <v>278</v>
      </c>
      <c r="BO2660" s="11">
        <v>45975.760416666664</v>
      </c>
      <c r="BP2660" s="11">
        <v>45975.76054398148</v>
      </c>
      <c r="BQ2660" s="15"/>
      <c r="BR2660" s="15">
        <v>45976.905277777776</v>
      </c>
      <c r="BS2660" s="10" t="s">
        <v>278</v>
      </c>
      <c r="BT2660" s="10"/>
      <c r="BU2660" s="10"/>
      <c r="BV2660" s="10"/>
      <c r="BW2660" s="10"/>
      <c r="BX2660" s="10"/>
      <c r="BY2660" s="23"/>
      <c r="BZ2660" s="23"/>
      <c r="CA2660" s="19" t="s">
        <v>19142</v>
      </c>
      <c r="CB2660" s="23"/>
      <c r="CC2660" s="23"/>
      <c r="CD2660" s="23"/>
      <c r="CE2660" s="23"/>
      <c r="CF2660" s="23"/>
      <c r="CG2660" s="23"/>
      <c r="CH2660" s="23"/>
      <c r="CI2660" s="23"/>
    </row>
    <row r="2661" spans="1:87" x14ac:dyDescent="0.3">
      <c r="A2661" s="9" t="s">
        <v>19914</v>
      </c>
      <c r="B2661" s="10" t="s">
        <v>19915</v>
      </c>
      <c r="C2661" s="11">
        <v>45981.875</v>
      </c>
      <c r="D2661" s="12">
        <v>8.3333333333333329E-2</v>
      </c>
      <c r="E2661" s="11">
        <v>45981.958333333336</v>
      </c>
      <c r="F2661" s="22" t="s">
        <v>16639</v>
      </c>
      <c r="G2661" s="13" t="b">
        <v>0</v>
      </c>
      <c r="H2661" s="22" t="s">
        <v>16543</v>
      </c>
      <c r="I2661" s="10" t="s">
        <v>212</v>
      </c>
      <c r="J2661" s="13" t="b">
        <v>1</v>
      </c>
      <c r="K2661" s="13" t="b">
        <v>0</v>
      </c>
      <c r="L2661" s="10" t="s">
        <v>124</v>
      </c>
      <c r="M2661" s="10" t="s">
        <v>91</v>
      </c>
      <c r="N2661" s="10" t="s">
        <v>92</v>
      </c>
      <c r="O2661" s="19" t="s">
        <v>19916</v>
      </c>
      <c r="P2661" s="10"/>
      <c r="Q2661" s="10" t="s">
        <v>126</v>
      </c>
      <c r="R2661" s="10"/>
      <c r="S2661" s="19" t="s">
        <v>19917</v>
      </c>
      <c r="T2661" s="10"/>
      <c r="U2661" s="10" t="s">
        <v>16594</v>
      </c>
      <c r="V2661" s="10" t="s">
        <v>16680</v>
      </c>
      <c r="W2661" s="10" t="s">
        <v>16644</v>
      </c>
      <c r="X2661" s="10" t="s">
        <v>16549</v>
      </c>
      <c r="Y2661" s="10" t="s">
        <v>16549</v>
      </c>
      <c r="Z2661" s="10" t="s">
        <v>99</v>
      </c>
      <c r="AA2661" s="10" t="s">
        <v>131</v>
      </c>
      <c r="AB2661" s="10" t="s">
        <v>16645</v>
      </c>
      <c r="AC2661" s="10" t="s">
        <v>16551</v>
      </c>
      <c r="AD2661" s="10" t="s">
        <v>19918</v>
      </c>
      <c r="AE2661" s="10" t="s">
        <v>19919</v>
      </c>
      <c r="AF2661" s="15"/>
      <c r="AG2661" s="10"/>
      <c r="AH2661" s="10"/>
      <c r="AI2661" s="10"/>
      <c r="AJ2661" s="10"/>
      <c r="AK2661" s="10" t="s">
        <v>102</v>
      </c>
      <c r="AL2661" s="10"/>
      <c r="AM2661" s="10"/>
      <c r="AN2661" s="10"/>
      <c r="AO2661" s="13" t="b">
        <v>0</v>
      </c>
      <c r="AP2661" s="22" t="s">
        <v>135</v>
      </c>
      <c r="AQ2661" s="10">
        <f ca="1">IFERROR(__xludf.DUMMYFUNCTION("""COMPUTED_VALUE"""),4725597)</f>
        <v>4725597</v>
      </c>
      <c r="AR2661" s="17">
        <v>9015</v>
      </c>
      <c r="AS2661" s="17">
        <v>6613</v>
      </c>
      <c r="AT2661" s="17">
        <v>203601.5</v>
      </c>
      <c r="AU2661" s="17">
        <v>28.7</v>
      </c>
      <c r="AV2661" s="17">
        <v>4.3</v>
      </c>
      <c r="AW2661" s="10" t="s">
        <v>105</v>
      </c>
      <c r="AX2661" s="17">
        <v>2137</v>
      </c>
      <c r="AY2661" s="18">
        <v>30.788068955088463</v>
      </c>
      <c r="AZ2661" s="10" t="s">
        <v>3783</v>
      </c>
      <c r="BA2661" s="20" t="b">
        <v>0</v>
      </c>
      <c r="BB2661" s="10"/>
      <c r="BC2661" s="17">
        <v>9015</v>
      </c>
      <c r="BD2661" s="17">
        <v>6613</v>
      </c>
      <c r="BE2661" s="17">
        <v>203601.5</v>
      </c>
      <c r="BF2661" s="17">
        <v>4.3</v>
      </c>
      <c r="BG2661" s="11">
        <f ca="1">IFERROR(__xludf.DUMMYFUNCTION("""COMPUTED_VALUE"""),45981.875)</f>
        <v>45981.875</v>
      </c>
      <c r="BH2661" s="17" t="s">
        <v>105</v>
      </c>
      <c r="BI2661" s="17"/>
      <c r="BJ2661" s="15"/>
      <c r="BK2661" s="15"/>
      <c r="BL2661" s="13" t="b">
        <v>0</v>
      </c>
      <c r="BM2661" s="10"/>
      <c r="BN2661" s="10" t="s">
        <v>197</v>
      </c>
      <c r="BO2661" s="11">
        <v>45978.564583333333</v>
      </c>
      <c r="BP2661" s="11">
        <v>45978.564930555556</v>
      </c>
      <c r="BQ2661" s="15">
        <v>45980.683611111112</v>
      </c>
      <c r="BR2661" s="15">
        <v>45981.079317129632</v>
      </c>
      <c r="BS2661" s="10" t="s">
        <v>197</v>
      </c>
      <c r="BT2661" s="10" t="s">
        <v>99</v>
      </c>
      <c r="BU2661" s="10" t="s">
        <v>816</v>
      </c>
      <c r="BV2661" s="10"/>
      <c r="BW2661" s="10"/>
      <c r="BX2661" s="10"/>
      <c r="BY2661" s="23"/>
      <c r="BZ2661" s="23"/>
      <c r="CA2661" s="19" t="s">
        <v>19920</v>
      </c>
      <c r="CB2661" s="23"/>
      <c r="CC2661" s="23"/>
      <c r="CD2661" s="19" t="s">
        <v>19921</v>
      </c>
      <c r="CE2661" s="23"/>
      <c r="CF2661" s="23"/>
      <c r="CG2661" s="23"/>
      <c r="CH2661" s="23"/>
      <c r="CI2661" s="23"/>
    </row>
    <row r="2662" spans="1:87" x14ac:dyDescent="0.3">
      <c r="A2662" s="9" t="s">
        <v>19922</v>
      </c>
      <c r="B2662" s="10" t="s">
        <v>19923</v>
      </c>
      <c r="C2662" s="11">
        <v>45991.75</v>
      </c>
      <c r="D2662" s="12">
        <v>8.3333333333333329E-2</v>
      </c>
      <c r="E2662" s="11">
        <v>45991.833333333336</v>
      </c>
      <c r="F2662" s="22" t="s">
        <v>16639</v>
      </c>
      <c r="G2662" s="13" t="b">
        <v>0</v>
      </c>
      <c r="H2662" s="22" t="s">
        <v>16543</v>
      </c>
      <c r="I2662" s="10" t="s">
        <v>212</v>
      </c>
      <c r="J2662" s="13" t="b">
        <v>1</v>
      </c>
      <c r="K2662" s="13" t="b">
        <v>0</v>
      </c>
      <c r="L2662" s="10" t="s">
        <v>124</v>
      </c>
      <c r="M2662" s="10" t="s">
        <v>91</v>
      </c>
      <c r="N2662" s="10" t="s">
        <v>92</v>
      </c>
      <c r="O2662" s="19" t="s">
        <v>19924</v>
      </c>
      <c r="P2662" s="10"/>
      <c r="Q2662" s="10" t="s">
        <v>126</v>
      </c>
      <c r="R2662" s="10"/>
      <c r="S2662" s="19" t="s">
        <v>19925</v>
      </c>
      <c r="T2662" s="10"/>
      <c r="U2662" s="10" t="s">
        <v>16642</v>
      </c>
      <c r="V2662" s="10" t="s">
        <v>16570</v>
      </c>
      <c r="W2662" s="10" t="s">
        <v>16644</v>
      </c>
      <c r="X2662" s="10" t="s">
        <v>16549</v>
      </c>
      <c r="Y2662" s="10" t="s">
        <v>16549</v>
      </c>
      <c r="Z2662" s="10" t="s">
        <v>99</v>
      </c>
      <c r="AA2662" s="10" t="s">
        <v>131</v>
      </c>
      <c r="AB2662" s="10" t="s">
        <v>16645</v>
      </c>
      <c r="AC2662" s="10" t="s">
        <v>16551</v>
      </c>
      <c r="AD2662" s="10" t="s">
        <v>19926</v>
      </c>
      <c r="AE2662" s="10" t="s">
        <v>19927</v>
      </c>
      <c r="AF2662" s="15"/>
      <c r="AG2662" s="10"/>
      <c r="AH2662" s="10"/>
      <c r="AI2662" s="10"/>
      <c r="AJ2662" s="10"/>
      <c r="AK2662" s="10" t="s">
        <v>102</v>
      </c>
      <c r="AL2662" s="10"/>
      <c r="AM2662" s="10"/>
      <c r="AN2662" s="10"/>
      <c r="AO2662" s="13" t="b">
        <v>0</v>
      </c>
      <c r="AP2662" s="22" t="s">
        <v>135</v>
      </c>
      <c r="AQ2662" s="10">
        <f ca="1">IFERROR(__xludf.DUMMYFUNCTION("""COMPUTED_VALUE"""),4739853)</f>
        <v>4739853</v>
      </c>
      <c r="AR2662" s="17">
        <v>5147</v>
      </c>
      <c r="AS2662" s="17">
        <v>3984</v>
      </c>
      <c r="AT2662" s="17">
        <v>59371.5</v>
      </c>
      <c r="AU2662" s="17">
        <v>10</v>
      </c>
      <c r="AV2662" s="17">
        <v>0.2</v>
      </c>
      <c r="AW2662" s="10" t="s">
        <v>105</v>
      </c>
      <c r="AX2662" s="17">
        <v>1149</v>
      </c>
      <c r="AY2662" s="18">
        <v>14.902484939759036</v>
      </c>
      <c r="AZ2662" s="10" t="s">
        <v>3998</v>
      </c>
      <c r="BA2662" s="20" t="b">
        <v>0</v>
      </c>
      <c r="BB2662" s="10"/>
      <c r="BC2662" s="17">
        <v>5147</v>
      </c>
      <c r="BD2662" s="17">
        <v>3984</v>
      </c>
      <c r="BE2662" s="17">
        <v>59371.5</v>
      </c>
      <c r="BF2662" s="17">
        <v>0.2</v>
      </c>
      <c r="BG2662" s="11">
        <f ca="1">IFERROR(__xludf.DUMMYFUNCTION("""COMPUTED_VALUE"""),45991.75)</f>
        <v>45991.75</v>
      </c>
      <c r="BH2662" s="17" t="s">
        <v>105</v>
      </c>
      <c r="BI2662" s="17"/>
      <c r="BJ2662" s="15"/>
      <c r="BK2662" s="15"/>
      <c r="BL2662" s="13" t="b">
        <v>0</v>
      </c>
      <c r="BM2662" s="10"/>
      <c r="BN2662" s="10" t="s">
        <v>197</v>
      </c>
      <c r="BO2662" s="11">
        <v>45978.584722222222</v>
      </c>
      <c r="BP2662" s="11">
        <v>45978.5859375</v>
      </c>
      <c r="BQ2662" s="15">
        <v>45985.93645833333</v>
      </c>
      <c r="BR2662" s="15">
        <v>45988.44158564815</v>
      </c>
      <c r="BS2662" s="10" t="s">
        <v>197</v>
      </c>
      <c r="BT2662" s="10" t="s">
        <v>99</v>
      </c>
      <c r="BU2662" s="10" t="s">
        <v>280</v>
      </c>
      <c r="BV2662" s="10"/>
      <c r="BW2662" s="10"/>
      <c r="BX2662" s="10"/>
      <c r="BY2662" s="23"/>
      <c r="BZ2662" s="23"/>
      <c r="CA2662" s="19" t="s">
        <v>19928</v>
      </c>
      <c r="CB2662" s="23"/>
      <c r="CC2662" s="23"/>
      <c r="CD2662" s="19" t="s">
        <v>19929</v>
      </c>
      <c r="CE2662" s="23"/>
      <c r="CF2662" s="23"/>
      <c r="CG2662" s="23"/>
      <c r="CH2662" s="23"/>
      <c r="CI2662" s="23"/>
    </row>
    <row r="2663" spans="1:87" x14ac:dyDescent="0.3">
      <c r="A2663" s="9" t="s">
        <v>19930</v>
      </c>
      <c r="B2663" s="10" t="s">
        <v>19931</v>
      </c>
      <c r="C2663" s="11">
        <v>45986.833333333336</v>
      </c>
      <c r="D2663" s="12">
        <v>8.3333333333333329E-2</v>
      </c>
      <c r="E2663" s="11">
        <v>45986.916666666664</v>
      </c>
      <c r="F2663" s="22" t="s">
        <v>14910</v>
      </c>
      <c r="G2663" s="13" t="b">
        <v>0</v>
      </c>
      <c r="H2663" s="22" t="s">
        <v>3578</v>
      </c>
      <c r="I2663" s="10" t="s">
        <v>89</v>
      </c>
      <c r="J2663" s="13" t="b">
        <v>0</v>
      </c>
      <c r="K2663" s="13" t="b">
        <v>1</v>
      </c>
      <c r="L2663" s="10" t="s">
        <v>124</v>
      </c>
      <c r="M2663" s="10" t="s">
        <v>91</v>
      </c>
      <c r="N2663" s="10" t="s">
        <v>92</v>
      </c>
      <c r="O2663" s="19" t="s">
        <v>19932</v>
      </c>
      <c r="P2663" s="10"/>
      <c r="Q2663" s="10" t="s">
        <v>94</v>
      </c>
      <c r="R2663" s="10"/>
      <c r="S2663" s="19" t="s">
        <v>19933</v>
      </c>
      <c r="T2663" s="19" t="s">
        <v>19934</v>
      </c>
      <c r="U2663" s="10" t="s">
        <v>346</v>
      </c>
      <c r="V2663" s="10" t="s">
        <v>5042</v>
      </c>
      <c r="W2663" s="10" t="s">
        <v>14914</v>
      </c>
      <c r="X2663" s="10" t="s">
        <v>130</v>
      </c>
      <c r="Y2663" s="10" t="s">
        <v>130</v>
      </c>
      <c r="Z2663" s="10" t="s">
        <v>99</v>
      </c>
      <c r="AA2663" s="10" t="s">
        <v>131</v>
      </c>
      <c r="AB2663" s="10" t="s">
        <v>14915</v>
      </c>
      <c r="AC2663" s="10" t="s">
        <v>3571</v>
      </c>
      <c r="AD2663" s="10" t="s">
        <v>12081</v>
      </c>
      <c r="AE2663" s="10" t="s">
        <v>19935</v>
      </c>
      <c r="AF2663" s="15"/>
      <c r="AG2663" s="10"/>
      <c r="AH2663" s="10"/>
      <c r="AI2663" s="10"/>
      <c r="AJ2663" s="10"/>
      <c r="AK2663" s="10" t="s">
        <v>102</v>
      </c>
      <c r="AL2663" s="10" t="s">
        <v>7897</v>
      </c>
      <c r="AM2663" s="10"/>
      <c r="AN2663" s="10"/>
      <c r="AO2663" s="13" t="b">
        <v>0</v>
      </c>
      <c r="AP2663" s="22" t="s">
        <v>104</v>
      </c>
      <c r="AQ2663" s="10">
        <f ca="1">IFERROR(__xludf.DUMMYFUNCTION("""COMPUTED_VALUE"""),4733788)</f>
        <v>4733788</v>
      </c>
      <c r="AR2663" s="17">
        <v>15970</v>
      </c>
      <c r="AS2663" s="17">
        <v>13753</v>
      </c>
      <c r="AT2663" s="17">
        <v>179035</v>
      </c>
      <c r="AU2663" s="17">
        <v>75.75</v>
      </c>
      <c r="AV2663" s="17">
        <v>15.35</v>
      </c>
      <c r="AW2663" s="10" t="s">
        <v>105</v>
      </c>
      <c r="AX2663" s="17">
        <v>2661</v>
      </c>
      <c r="AY2663" s="18">
        <v>13.017887006471316</v>
      </c>
      <c r="AZ2663" s="10" t="s">
        <v>136</v>
      </c>
      <c r="BA2663" s="20" t="b">
        <v>0</v>
      </c>
      <c r="BB2663" s="10"/>
      <c r="BC2663" s="17">
        <v>15970</v>
      </c>
      <c r="BD2663" s="17">
        <v>13753</v>
      </c>
      <c r="BE2663" s="17">
        <v>179035</v>
      </c>
      <c r="BF2663" s="17">
        <v>15.35</v>
      </c>
      <c r="BG2663" s="11">
        <f ca="1">IFERROR(__xludf.DUMMYFUNCTION("""COMPUTED_VALUE"""),45986.8333333333)</f>
        <v>45986.833333333299</v>
      </c>
      <c r="BH2663" s="17" t="s">
        <v>105</v>
      </c>
      <c r="BI2663" s="17"/>
      <c r="BJ2663" s="15"/>
      <c r="BK2663" s="15"/>
      <c r="BL2663" s="13" t="b">
        <v>0</v>
      </c>
      <c r="BM2663" s="10"/>
      <c r="BN2663" s="10" t="s">
        <v>118</v>
      </c>
      <c r="BO2663" s="11">
        <v>45978.59652777778</v>
      </c>
      <c r="BP2663" s="11">
        <v>45978.596655092595</v>
      </c>
      <c r="BQ2663" s="15">
        <v>45985.559293981481</v>
      </c>
      <c r="BR2663" s="15">
        <v>45985.567187499997</v>
      </c>
      <c r="BS2663" s="10" t="s">
        <v>118</v>
      </c>
      <c r="BT2663" s="10"/>
      <c r="BU2663" s="10"/>
      <c r="BV2663" s="10"/>
      <c r="BW2663" s="10"/>
      <c r="BX2663" s="10"/>
      <c r="BY2663" s="23"/>
      <c r="BZ2663" s="23"/>
      <c r="CA2663" s="19" t="s">
        <v>19936</v>
      </c>
      <c r="CB2663" s="19" t="s">
        <v>19934</v>
      </c>
      <c r="CC2663" s="23"/>
      <c r="CD2663" s="23"/>
      <c r="CE2663" s="23"/>
      <c r="CF2663" s="23"/>
      <c r="CG2663" s="23"/>
      <c r="CH2663" s="23"/>
      <c r="CI2663" s="23"/>
    </row>
    <row r="2664" spans="1:87" x14ac:dyDescent="0.3">
      <c r="A2664" s="9" t="s">
        <v>19937</v>
      </c>
      <c r="B2664" s="10" t="s">
        <v>19938</v>
      </c>
      <c r="C2664" s="11">
        <v>45986.916666666664</v>
      </c>
      <c r="D2664" s="12">
        <v>8.3333333333333329E-2</v>
      </c>
      <c r="E2664" s="11">
        <v>45987</v>
      </c>
      <c r="F2664" s="22" t="s">
        <v>14910</v>
      </c>
      <c r="G2664" s="13" t="b">
        <v>0</v>
      </c>
      <c r="H2664" s="22" t="s">
        <v>3578</v>
      </c>
      <c r="I2664" s="10" t="s">
        <v>89</v>
      </c>
      <c r="J2664" s="13" t="b">
        <v>0</v>
      </c>
      <c r="K2664" s="13" t="b">
        <v>1</v>
      </c>
      <c r="L2664" s="10" t="s">
        <v>124</v>
      </c>
      <c r="M2664" s="10" t="s">
        <v>91</v>
      </c>
      <c r="N2664" s="10" t="s">
        <v>92</v>
      </c>
      <c r="O2664" s="19" t="s">
        <v>19939</v>
      </c>
      <c r="P2664" s="10"/>
      <c r="Q2664" s="10" t="s">
        <v>94</v>
      </c>
      <c r="R2664" s="10"/>
      <c r="S2664" s="19" t="s">
        <v>19940</v>
      </c>
      <c r="T2664" s="19" t="s">
        <v>19941</v>
      </c>
      <c r="U2664" s="10" t="s">
        <v>11409</v>
      </c>
      <c r="V2664" s="10" t="s">
        <v>5018</v>
      </c>
      <c r="W2664" s="10" t="s">
        <v>14914</v>
      </c>
      <c r="X2664" s="10" t="s">
        <v>130</v>
      </c>
      <c r="Y2664" s="10" t="s">
        <v>130</v>
      </c>
      <c r="Z2664" s="10" t="s">
        <v>99</v>
      </c>
      <c r="AA2664" s="10" t="s">
        <v>131</v>
      </c>
      <c r="AB2664" s="10" t="s">
        <v>14915</v>
      </c>
      <c r="AC2664" s="10" t="s">
        <v>3571</v>
      </c>
      <c r="AD2664" s="10" t="s">
        <v>12072</v>
      </c>
      <c r="AE2664" s="10" t="s">
        <v>19942</v>
      </c>
      <c r="AF2664" s="15"/>
      <c r="AG2664" s="10"/>
      <c r="AH2664" s="10"/>
      <c r="AI2664" s="10"/>
      <c r="AJ2664" s="10"/>
      <c r="AK2664" s="10" t="s">
        <v>102</v>
      </c>
      <c r="AL2664" s="10" t="s">
        <v>7897</v>
      </c>
      <c r="AM2664" s="10"/>
      <c r="AN2664" s="10"/>
      <c r="AO2664" s="13" t="b">
        <v>0</v>
      </c>
      <c r="AP2664" s="22" t="s">
        <v>104</v>
      </c>
      <c r="AQ2664" s="10">
        <f ca="1">IFERROR(__xludf.DUMMYFUNCTION("""COMPUTED_VALUE"""),4733790)</f>
        <v>4733790</v>
      </c>
      <c r="AR2664" s="17">
        <v>11806</v>
      </c>
      <c r="AS2664" s="17">
        <v>9971</v>
      </c>
      <c r="AT2664" s="17">
        <v>102233.75</v>
      </c>
      <c r="AU2664" s="17">
        <v>66.8</v>
      </c>
      <c r="AV2664" s="17">
        <v>22.75</v>
      </c>
      <c r="AW2664" s="10" t="s">
        <v>105</v>
      </c>
      <c r="AX2664" s="17">
        <v>2527</v>
      </c>
      <c r="AY2664" s="18">
        <v>10.253109016146826</v>
      </c>
      <c r="AZ2664" s="10" t="s">
        <v>136</v>
      </c>
      <c r="BA2664" s="20" t="b">
        <v>0</v>
      </c>
      <c r="BB2664" s="10"/>
      <c r="BC2664" s="17">
        <v>11806</v>
      </c>
      <c r="BD2664" s="17">
        <v>9971</v>
      </c>
      <c r="BE2664" s="17">
        <v>102233.75</v>
      </c>
      <c r="BF2664" s="17">
        <v>22.75</v>
      </c>
      <c r="BG2664" s="11">
        <f ca="1">IFERROR(__xludf.DUMMYFUNCTION("""COMPUTED_VALUE"""),45986.9166666666)</f>
        <v>45986.916666666599</v>
      </c>
      <c r="BH2664" s="17" t="s">
        <v>105</v>
      </c>
      <c r="BI2664" s="17"/>
      <c r="BJ2664" s="15"/>
      <c r="BK2664" s="15"/>
      <c r="BL2664" s="13" t="b">
        <v>0</v>
      </c>
      <c r="BM2664" s="10"/>
      <c r="BN2664" s="10" t="s">
        <v>118</v>
      </c>
      <c r="BO2664" s="11">
        <v>45978.597222222219</v>
      </c>
      <c r="BP2664" s="11">
        <v>45978.597569444442</v>
      </c>
      <c r="BQ2664" s="15">
        <v>45985.559641203705</v>
      </c>
      <c r="BR2664" s="15">
        <v>45985.567291666666</v>
      </c>
      <c r="BS2664" s="10" t="s">
        <v>118</v>
      </c>
      <c r="BT2664" s="10"/>
      <c r="BU2664" s="10"/>
      <c r="BV2664" s="10"/>
      <c r="BW2664" s="10"/>
      <c r="BX2664" s="10"/>
      <c r="BY2664" s="23"/>
      <c r="BZ2664" s="23"/>
      <c r="CA2664" s="19" t="s">
        <v>19943</v>
      </c>
      <c r="CB2664" s="19" t="s">
        <v>19941</v>
      </c>
      <c r="CC2664" s="23"/>
      <c r="CD2664" s="23"/>
      <c r="CE2664" s="23"/>
      <c r="CF2664" s="23"/>
      <c r="CG2664" s="23"/>
      <c r="CH2664" s="23"/>
      <c r="CI2664" s="23"/>
    </row>
    <row r="2665" spans="1:87" x14ac:dyDescent="0.3">
      <c r="A2665" s="9" t="s">
        <v>19944</v>
      </c>
      <c r="B2665" s="10" t="s">
        <v>19945</v>
      </c>
      <c r="C2665" s="11">
        <v>45987.833333333336</v>
      </c>
      <c r="D2665" s="12">
        <v>8.3333333333333329E-2</v>
      </c>
      <c r="E2665" s="11">
        <v>45987.916666666664</v>
      </c>
      <c r="F2665" s="22" t="s">
        <v>14910</v>
      </c>
      <c r="G2665" s="13" t="b">
        <v>0</v>
      </c>
      <c r="H2665" s="22" t="s">
        <v>3578</v>
      </c>
      <c r="I2665" s="10" t="s">
        <v>89</v>
      </c>
      <c r="J2665" s="13" t="b">
        <v>0</v>
      </c>
      <c r="K2665" s="13" t="b">
        <v>1</v>
      </c>
      <c r="L2665" s="10" t="s">
        <v>124</v>
      </c>
      <c r="M2665" s="10" t="s">
        <v>91</v>
      </c>
      <c r="N2665" s="10" t="s">
        <v>92</v>
      </c>
      <c r="O2665" s="19" t="s">
        <v>19946</v>
      </c>
      <c r="P2665" s="10"/>
      <c r="Q2665" s="10" t="s">
        <v>94</v>
      </c>
      <c r="R2665" s="10"/>
      <c r="S2665" s="19" t="s">
        <v>19947</v>
      </c>
      <c r="T2665" s="19" t="s">
        <v>19948</v>
      </c>
      <c r="U2665" s="10" t="s">
        <v>362</v>
      </c>
      <c r="V2665" s="10" t="s">
        <v>11463</v>
      </c>
      <c r="W2665" s="10" t="s">
        <v>14914</v>
      </c>
      <c r="X2665" s="10" t="s">
        <v>130</v>
      </c>
      <c r="Y2665" s="10" t="s">
        <v>130</v>
      </c>
      <c r="Z2665" s="10" t="s">
        <v>99</v>
      </c>
      <c r="AA2665" s="10" t="s">
        <v>131</v>
      </c>
      <c r="AB2665" s="10" t="s">
        <v>14915</v>
      </c>
      <c r="AC2665" s="10" t="s">
        <v>3571</v>
      </c>
      <c r="AD2665" s="10" t="s">
        <v>12167</v>
      </c>
      <c r="AE2665" s="10" t="s">
        <v>19949</v>
      </c>
      <c r="AF2665" s="15"/>
      <c r="AG2665" s="10"/>
      <c r="AH2665" s="10"/>
      <c r="AI2665" s="10"/>
      <c r="AJ2665" s="10"/>
      <c r="AK2665" s="10" t="s">
        <v>102</v>
      </c>
      <c r="AL2665" s="10" t="s">
        <v>7897</v>
      </c>
      <c r="AM2665" s="10"/>
      <c r="AN2665" s="10"/>
      <c r="AO2665" s="13" t="b">
        <v>0</v>
      </c>
      <c r="AP2665" s="22" t="s">
        <v>104</v>
      </c>
      <c r="AQ2665" s="10">
        <f ca="1">IFERROR(__xludf.DUMMYFUNCTION("""COMPUTED_VALUE"""),4733791)</f>
        <v>4733791</v>
      </c>
      <c r="AR2665" s="17">
        <v>14126</v>
      </c>
      <c r="AS2665" s="17">
        <v>12305</v>
      </c>
      <c r="AT2665" s="17">
        <v>141372.5</v>
      </c>
      <c r="AU2665" s="17">
        <v>55.05</v>
      </c>
      <c r="AV2665" s="17">
        <v>8.5500000000000007</v>
      </c>
      <c r="AW2665" s="10" t="s">
        <v>105</v>
      </c>
      <c r="AX2665" s="17">
        <v>2874</v>
      </c>
      <c r="AY2665" s="18">
        <v>11.489028850060951</v>
      </c>
      <c r="AZ2665" s="10" t="s">
        <v>136</v>
      </c>
      <c r="BA2665" s="20" t="b">
        <v>0</v>
      </c>
      <c r="BB2665" s="10"/>
      <c r="BC2665" s="17">
        <v>14126</v>
      </c>
      <c r="BD2665" s="17">
        <v>12305</v>
      </c>
      <c r="BE2665" s="17">
        <v>141372.5</v>
      </c>
      <c r="BF2665" s="17">
        <v>8.5500000000000007</v>
      </c>
      <c r="BG2665" s="11">
        <f ca="1">IFERROR(__xludf.DUMMYFUNCTION("""COMPUTED_VALUE"""),45987.8333333333)</f>
        <v>45987.833333333299</v>
      </c>
      <c r="BH2665" s="17" t="s">
        <v>105</v>
      </c>
      <c r="BI2665" s="17"/>
      <c r="BJ2665" s="15"/>
      <c r="BK2665" s="15"/>
      <c r="BL2665" s="13" t="b">
        <v>0</v>
      </c>
      <c r="BM2665" s="10"/>
      <c r="BN2665" s="10" t="s">
        <v>118</v>
      </c>
      <c r="BO2665" s="11">
        <v>45978.597916666666</v>
      </c>
      <c r="BP2665" s="11">
        <v>45978.598425925928</v>
      </c>
      <c r="BQ2665" s="15">
        <v>45985.560069444444</v>
      </c>
      <c r="BR2665" s="15">
        <v>45985.586435185185</v>
      </c>
      <c r="BS2665" s="10" t="s">
        <v>118</v>
      </c>
      <c r="BT2665" s="10"/>
      <c r="BU2665" s="10"/>
      <c r="BV2665" s="10"/>
      <c r="BW2665" s="10"/>
      <c r="BX2665" s="10"/>
      <c r="BY2665" s="23"/>
      <c r="BZ2665" s="23"/>
      <c r="CA2665" s="19" t="s">
        <v>19950</v>
      </c>
      <c r="CB2665" s="19" t="s">
        <v>19948</v>
      </c>
      <c r="CC2665" s="23"/>
      <c r="CD2665" s="23"/>
      <c r="CE2665" s="23"/>
      <c r="CF2665" s="23"/>
      <c r="CG2665" s="23"/>
      <c r="CH2665" s="23"/>
      <c r="CI2665" s="23"/>
    </row>
    <row r="2666" spans="1:87" x14ac:dyDescent="0.3">
      <c r="A2666" s="9" t="s">
        <v>19951</v>
      </c>
      <c r="B2666" s="10" t="s">
        <v>19952</v>
      </c>
      <c r="C2666" s="11">
        <v>45987.916666666664</v>
      </c>
      <c r="D2666" s="12">
        <v>8.3333333333333329E-2</v>
      </c>
      <c r="E2666" s="11">
        <v>45988</v>
      </c>
      <c r="F2666" s="22" t="s">
        <v>14910</v>
      </c>
      <c r="G2666" s="13" t="b">
        <v>0</v>
      </c>
      <c r="H2666" s="22" t="s">
        <v>3578</v>
      </c>
      <c r="I2666" s="10" t="s">
        <v>89</v>
      </c>
      <c r="J2666" s="13" t="b">
        <v>0</v>
      </c>
      <c r="K2666" s="13" t="b">
        <v>1</v>
      </c>
      <c r="L2666" s="10" t="s">
        <v>124</v>
      </c>
      <c r="M2666" s="10" t="s">
        <v>91</v>
      </c>
      <c r="N2666" s="10" t="s">
        <v>92</v>
      </c>
      <c r="O2666" s="19" t="s">
        <v>19953</v>
      </c>
      <c r="P2666" s="10"/>
      <c r="Q2666" s="10" t="s">
        <v>94</v>
      </c>
      <c r="R2666" s="10"/>
      <c r="S2666" s="19" t="s">
        <v>19954</v>
      </c>
      <c r="T2666" s="19" t="s">
        <v>19955</v>
      </c>
      <c r="U2666" s="10" t="s">
        <v>11517</v>
      </c>
      <c r="V2666" s="10" t="s">
        <v>3308</v>
      </c>
      <c r="W2666" s="10" t="s">
        <v>14914</v>
      </c>
      <c r="X2666" s="10" t="s">
        <v>130</v>
      </c>
      <c r="Y2666" s="10" t="s">
        <v>130</v>
      </c>
      <c r="Z2666" s="10" t="s">
        <v>99</v>
      </c>
      <c r="AA2666" s="10" t="s">
        <v>131</v>
      </c>
      <c r="AB2666" s="10" t="s">
        <v>14915</v>
      </c>
      <c r="AC2666" s="10" t="s">
        <v>3571</v>
      </c>
      <c r="AD2666" s="10" t="s">
        <v>12141</v>
      </c>
      <c r="AE2666" s="10" t="s">
        <v>19956</v>
      </c>
      <c r="AF2666" s="15"/>
      <c r="AG2666" s="10"/>
      <c r="AH2666" s="10"/>
      <c r="AI2666" s="10"/>
      <c r="AJ2666" s="10"/>
      <c r="AK2666" s="10" t="s">
        <v>102</v>
      </c>
      <c r="AL2666" s="10" t="s">
        <v>7897</v>
      </c>
      <c r="AM2666" s="10"/>
      <c r="AN2666" s="10"/>
      <c r="AO2666" s="13" t="b">
        <v>0</v>
      </c>
      <c r="AP2666" s="22" t="s">
        <v>104</v>
      </c>
      <c r="AQ2666" s="10">
        <f ca="1">IFERROR(__xludf.DUMMYFUNCTION("""COMPUTED_VALUE"""),4733792)</f>
        <v>4733792</v>
      </c>
      <c r="AR2666" s="17">
        <v>6340</v>
      </c>
      <c r="AS2666" s="17">
        <v>5394</v>
      </c>
      <c r="AT2666" s="17">
        <v>48160.75</v>
      </c>
      <c r="AU2666" s="17">
        <v>40.1</v>
      </c>
      <c r="AV2666" s="17">
        <v>9.15</v>
      </c>
      <c r="AW2666" s="10" t="s">
        <v>105</v>
      </c>
      <c r="AX2666" s="17">
        <v>2201</v>
      </c>
      <c r="AY2666" s="18">
        <v>8.9285780496848357</v>
      </c>
      <c r="AZ2666" s="10" t="s">
        <v>136</v>
      </c>
      <c r="BA2666" s="20" t="b">
        <v>0</v>
      </c>
      <c r="BB2666" s="10"/>
      <c r="BC2666" s="17">
        <v>6340</v>
      </c>
      <c r="BD2666" s="17">
        <v>5394</v>
      </c>
      <c r="BE2666" s="17">
        <v>48160.75</v>
      </c>
      <c r="BF2666" s="17">
        <v>9.15</v>
      </c>
      <c r="BG2666" s="11">
        <f ca="1">IFERROR(__xludf.DUMMYFUNCTION("""COMPUTED_VALUE"""),45987.9166666666)</f>
        <v>45987.916666666599</v>
      </c>
      <c r="BH2666" s="17" t="s">
        <v>105</v>
      </c>
      <c r="BI2666" s="17"/>
      <c r="BJ2666" s="15"/>
      <c r="BK2666" s="15"/>
      <c r="BL2666" s="13" t="b">
        <v>0</v>
      </c>
      <c r="BM2666" s="10"/>
      <c r="BN2666" s="10" t="s">
        <v>118</v>
      </c>
      <c r="BO2666" s="11">
        <v>45978.597916666666</v>
      </c>
      <c r="BP2666" s="11">
        <v>45978.598541666666</v>
      </c>
      <c r="BQ2666" s="15">
        <v>45985.560439814813</v>
      </c>
      <c r="BR2666" s="15">
        <v>45985.586550925924</v>
      </c>
      <c r="BS2666" s="10" t="s">
        <v>118</v>
      </c>
      <c r="BT2666" s="10"/>
      <c r="BU2666" s="10"/>
      <c r="BV2666" s="10"/>
      <c r="BW2666" s="10"/>
      <c r="BX2666" s="10"/>
      <c r="BY2666" s="23"/>
      <c r="BZ2666" s="23"/>
      <c r="CA2666" s="19" t="s">
        <v>19957</v>
      </c>
      <c r="CB2666" s="19" t="s">
        <v>19955</v>
      </c>
      <c r="CC2666" s="23"/>
      <c r="CD2666" s="23"/>
      <c r="CE2666" s="23"/>
      <c r="CF2666" s="23"/>
      <c r="CG2666" s="23"/>
      <c r="CH2666" s="23"/>
      <c r="CI2666" s="23"/>
    </row>
    <row r="2667" spans="1:87" x14ac:dyDescent="0.3">
      <c r="A2667" s="9" t="s">
        <v>19958</v>
      </c>
      <c r="B2667" s="10" t="s">
        <v>19959</v>
      </c>
      <c r="C2667" s="11">
        <v>45989.125</v>
      </c>
      <c r="D2667" s="12">
        <v>8.3333333333333329E-2</v>
      </c>
      <c r="E2667" s="11">
        <v>45989.208333333336</v>
      </c>
      <c r="F2667" s="22" t="s">
        <v>7843</v>
      </c>
      <c r="G2667" s="13" t="b">
        <v>0</v>
      </c>
      <c r="H2667" s="22" t="s">
        <v>5239</v>
      </c>
      <c r="I2667" s="10" t="s">
        <v>89</v>
      </c>
      <c r="J2667" s="13" t="b">
        <v>0</v>
      </c>
      <c r="K2667" s="13" t="b">
        <v>1</v>
      </c>
      <c r="L2667" s="10" t="s">
        <v>124</v>
      </c>
      <c r="M2667" s="10" t="s">
        <v>91</v>
      </c>
      <c r="N2667" s="10" t="s">
        <v>92</v>
      </c>
      <c r="O2667" s="19" t="s">
        <v>19960</v>
      </c>
      <c r="P2667" s="10"/>
      <c r="Q2667" s="10" t="s">
        <v>94</v>
      </c>
      <c r="R2667" s="10"/>
      <c r="S2667" s="19" t="s">
        <v>19961</v>
      </c>
      <c r="T2667" s="19" t="s">
        <v>13125</v>
      </c>
      <c r="U2667" s="10" t="s">
        <v>3567</v>
      </c>
      <c r="V2667" s="10" t="s">
        <v>8065</v>
      </c>
      <c r="W2667" s="10" t="s">
        <v>7848</v>
      </c>
      <c r="X2667" s="10" t="s">
        <v>130</v>
      </c>
      <c r="Y2667" s="10" t="s">
        <v>130</v>
      </c>
      <c r="Z2667" s="10" t="s">
        <v>99</v>
      </c>
      <c r="AA2667" s="10" t="s">
        <v>131</v>
      </c>
      <c r="AB2667" s="10" t="s">
        <v>7849</v>
      </c>
      <c r="AC2667" s="10" t="s">
        <v>3571</v>
      </c>
      <c r="AD2667" s="10" t="s">
        <v>19962</v>
      </c>
      <c r="AE2667" s="10" t="s">
        <v>19963</v>
      </c>
      <c r="AF2667" s="15"/>
      <c r="AG2667" s="10"/>
      <c r="AH2667" s="10"/>
      <c r="AI2667" s="10"/>
      <c r="AJ2667" s="10"/>
      <c r="AK2667" s="10" t="s">
        <v>102</v>
      </c>
      <c r="AL2667" s="10" t="s">
        <v>7897</v>
      </c>
      <c r="AM2667" s="10"/>
      <c r="AN2667" s="10"/>
      <c r="AO2667" s="13" t="b">
        <v>0</v>
      </c>
      <c r="AP2667" s="22" t="s">
        <v>104</v>
      </c>
      <c r="AQ2667" s="10">
        <f ca="1">IFERROR(__xludf.DUMMYFUNCTION("""COMPUTED_VALUE"""),4739858)</f>
        <v>4739858</v>
      </c>
      <c r="AR2667" s="17">
        <v>1721</v>
      </c>
      <c r="AS2667" s="17">
        <v>1153</v>
      </c>
      <c r="AT2667" s="17">
        <v>14611.25</v>
      </c>
      <c r="AU2667" s="17">
        <v>2.6</v>
      </c>
      <c r="AV2667" s="17">
        <v>0</v>
      </c>
      <c r="AW2667" s="10" t="s">
        <v>105</v>
      </c>
      <c r="AX2667" s="17">
        <v>376</v>
      </c>
      <c r="AY2667" s="18">
        <v>12.672376409366869</v>
      </c>
      <c r="AZ2667" s="10" t="s">
        <v>117</v>
      </c>
      <c r="BA2667" s="20" t="b">
        <v>0</v>
      </c>
      <c r="BB2667" s="10"/>
      <c r="BC2667" s="17">
        <v>1721</v>
      </c>
      <c r="BD2667" s="17">
        <v>1153</v>
      </c>
      <c r="BE2667" s="17">
        <v>14611.25</v>
      </c>
      <c r="BF2667" s="17">
        <v>0</v>
      </c>
      <c r="BG2667" s="11">
        <f ca="1">IFERROR(__xludf.DUMMYFUNCTION("""COMPUTED_VALUE"""),45989.125)</f>
        <v>45989.125</v>
      </c>
      <c r="BH2667" s="17" t="s">
        <v>105</v>
      </c>
      <c r="BI2667" s="17"/>
      <c r="BJ2667" s="15"/>
      <c r="BK2667" s="15"/>
      <c r="BL2667" s="13" t="b">
        <v>0</v>
      </c>
      <c r="BM2667" s="10"/>
      <c r="BN2667" s="10" t="s">
        <v>137</v>
      </c>
      <c r="BO2667" s="11">
        <v>45978.615972222222</v>
      </c>
      <c r="BP2667" s="11">
        <v>45978.619398148148</v>
      </c>
      <c r="BQ2667" s="15">
        <v>45983.495856481481</v>
      </c>
      <c r="BR2667" s="15">
        <v>45988.469953703701</v>
      </c>
      <c r="BS2667" s="10" t="s">
        <v>137</v>
      </c>
      <c r="BT2667" s="10"/>
      <c r="BU2667" s="10"/>
      <c r="BV2667" s="10"/>
      <c r="BW2667" s="10"/>
      <c r="BX2667" s="10"/>
      <c r="BY2667" s="23"/>
      <c r="BZ2667" s="23"/>
      <c r="CA2667" s="19" t="s">
        <v>19964</v>
      </c>
      <c r="CB2667" s="19" t="s">
        <v>19965</v>
      </c>
      <c r="CC2667" s="23"/>
      <c r="CD2667" s="23"/>
      <c r="CE2667" s="23"/>
      <c r="CF2667" s="23"/>
      <c r="CG2667" s="23"/>
      <c r="CH2667" s="23"/>
      <c r="CI2667" s="23"/>
    </row>
    <row r="2668" spans="1:87" x14ac:dyDescent="0.3">
      <c r="A2668" s="9" t="s">
        <v>19966</v>
      </c>
      <c r="B2668" s="10" t="s">
        <v>19967</v>
      </c>
      <c r="C2668" s="11">
        <v>45990.791666666664</v>
      </c>
      <c r="D2668" s="12">
        <v>0.14583333333333334</v>
      </c>
      <c r="E2668" s="11">
        <v>45990.9375</v>
      </c>
      <c r="F2668" s="22" t="s">
        <v>8402</v>
      </c>
      <c r="G2668" s="13" t="b">
        <v>0</v>
      </c>
      <c r="H2668" s="22" t="s">
        <v>8403</v>
      </c>
      <c r="I2668" s="10" t="s">
        <v>212</v>
      </c>
      <c r="J2668" s="13" t="b">
        <v>1</v>
      </c>
      <c r="K2668" s="13" t="b">
        <v>0</v>
      </c>
      <c r="L2668" s="10" t="s">
        <v>124</v>
      </c>
      <c r="M2668" s="10" t="s">
        <v>91</v>
      </c>
      <c r="N2668" s="10" t="s">
        <v>92</v>
      </c>
      <c r="O2668" s="19" t="s">
        <v>19968</v>
      </c>
      <c r="P2668" s="10"/>
      <c r="Q2668" s="10" t="s">
        <v>126</v>
      </c>
      <c r="R2668" s="19" t="s">
        <v>19969</v>
      </c>
      <c r="S2668" s="19" t="s">
        <v>19970</v>
      </c>
      <c r="T2668" s="10"/>
      <c r="U2668" s="10"/>
      <c r="V2668" s="10"/>
      <c r="W2668" s="10" t="s">
        <v>8407</v>
      </c>
      <c r="X2668" s="10" t="s">
        <v>8408</v>
      </c>
      <c r="Y2668" s="10" t="s">
        <v>8409</v>
      </c>
      <c r="Z2668" s="10" t="s">
        <v>99</v>
      </c>
      <c r="AA2668" s="10" t="s">
        <v>100</v>
      </c>
      <c r="AB2668" s="10" t="s">
        <v>8410</v>
      </c>
      <c r="AC2668" s="10"/>
      <c r="AD2668" s="10" t="s">
        <v>165</v>
      </c>
      <c r="AE2668" s="10" t="s">
        <v>19971</v>
      </c>
      <c r="AF2668" s="15"/>
      <c r="AG2668" s="10"/>
      <c r="AH2668" s="10"/>
      <c r="AI2668" s="10"/>
      <c r="AJ2668" s="10"/>
      <c r="AK2668" s="10" t="s">
        <v>102</v>
      </c>
      <c r="AL2668" s="10"/>
      <c r="AM2668" s="10"/>
      <c r="AN2668" s="10"/>
      <c r="AO2668" s="13" t="b">
        <v>0</v>
      </c>
      <c r="AP2668" s="22"/>
      <c r="AQ2668" s="10">
        <f ca="1">IFERROR(__xludf.DUMMYFUNCTION("""COMPUTED_VALUE"""),4739855)</f>
        <v>4739855</v>
      </c>
      <c r="AR2668" s="17">
        <v>11705</v>
      </c>
      <c r="AS2668" s="17">
        <v>8906</v>
      </c>
      <c r="AT2668" s="17">
        <v>144332.5</v>
      </c>
      <c r="AU2668" s="17">
        <v>24.9</v>
      </c>
      <c r="AV2668" s="17">
        <v>3.1</v>
      </c>
      <c r="AW2668" s="10" t="s">
        <v>105</v>
      </c>
      <c r="AX2668" s="17">
        <v>1876</v>
      </c>
      <c r="AY2668" s="18">
        <v>16.206209297103076</v>
      </c>
      <c r="AZ2668" s="10" t="s">
        <v>3783</v>
      </c>
      <c r="BA2668" s="20" t="b">
        <v>0</v>
      </c>
      <c r="BB2668" s="10"/>
      <c r="BC2668" s="17">
        <v>11705</v>
      </c>
      <c r="BD2668" s="17">
        <v>8906</v>
      </c>
      <c r="BE2668" s="17">
        <v>144332.5</v>
      </c>
      <c r="BF2668" s="17">
        <v>3.1</v>
      </c>
      <c r="BG2668" s="11">
        <f ca="1">IFERROR(__xludf.DUMMYFUNCTION("""COMPUTED_VALUE"""),45990.7916666666)</f>
        <v>45990.791666666599</v>
      </c>
      <c r="BH2668" s="17" t="s">
        <v>105</v>
      </c>
      <c r="BI2668" s="17"/>
      <c r="BJ2668" s="15"/>
      <c r="BK2668" s="15"/>
      <c r="BL2668" s="13" t="b">
        <v>0</v>
      </c>
      <c r="BM2668" s="10"/>
      <c r="BN2668" s="10" t="s">
        <v>137</v>
      </c>
      <c r="BO2668" s="11">
        <v>45978.556250000001</v>
      </c>
      <c r="BP2668" s="11">
        <v>45978.556655092594</v>
      </c>
      <c r="BQ2668" s="15">
        <v>45985.990300925929</v>
      </c>
      <c r="BR2668" s="15">
        <v>45988.454467592594</v>
      </c>
      <c r="BS2668" s="10" t="s">
        <v>137</v>
      </c>
      <c r="BT2668" s="10"/>
      <c r="BU2668" s="10"/>
      <c r="BV2668" s="10"/>
      <c r="BW2668" s="10"/>
      <c r="BX2668" s="10"/>
      <c r="BY2668" s="23"/>
      <c r="BZ2668" s="23"/>
      <c r="CA2668" s="19" t="s">
        <v>19972</v>
      </c>
      <c r="CB2668" s="23"/>
      <c r="CC2668" s="23"/>
      <c r="CD2668" s="19" t="s">
        <v>19973</v>
      </c>
      <c r="CE2668" s="23"/>
      <c r="CF2668" s="23"/>
      <c r="CG2668" s="23"/>
      <c r="CH2668" s="23"/>
      <c r="CI2668" s="23"/>
    </row>
    <row r="2669" spans="1:87" x14ac:dyDescent="0.3">
      <c r="A2669" s="9" t="s">
        <v>19974</v>
      </c>
      <c r="B2669" s="10" t="s">
        <v>19975</v>
      </c>
      <c r="C2669" s="11">
        <v>45981.770833333336</v>
      </c>
      <c r="D2669" s="12">
        <v>2.0833333333333332E-2</v>
      </c>
      <c r="E2669" s="11">
        <v>45981.791666666664</v>
      </c>
      <c r="F2669" s="22" t="s">
        <v>3511</v>
      </c>
      <c r="G2669" s="13" t="b">
        <v>0</v>
      </c>
      <c r="H2669" s="22" t="s">
        <v>3512</v>
      </c>
      <c r="I2669" s="10" t="s">
        <v>212</v>
      </c>
      <c r="J2669" s="13" t="b">
        <v>1</v>
      </c>
      <c r="K2669" s="13" t="b">
        <v>0</v>
      </c>
      <c r="L2669" s="10" t="s">
        <v>124</v>
      </c>
      <c r="M2669" s="10" t="s">
        <v>91</v>
      </c>
      <c r="N2669" s="10" t="s">
        <v>92</v>
      </c>
      <c r="O2669" s="19" t="s">
        <v>19976</v>
      </c>
      <c r="P2669" s="10"/>
      <c r="Q2669" s="10" t="s">
        <v>94</v>
      </c>
      <c r="R2669" s="10"/>
      <c r="S2669" s="19" t="s">
        <v>4707</v>
      </c>
      <c r="T2669" s="10"/>
      <c r="U2669" s="10"/>
      <c r="V2669" s="10"/>
      <c r="W2669" s="10" t="s">
        <v>3519</v>
      </c>
      <c r="X2669" s="10" t="s">
        <v>130</v>
      </c>
      <c r="Y2669" s="10" t="s">
        <v>130</v>
      </c>
      <c r="Z2669" s="10" t="s">
        <v>99</v>
      </c>
      <c r="AA2669" s="10" t="s">
        <v>131</v>
      </c>
      <c r="AB2669" s="10" t="s">
        <v>3520</v>
      </c>
      <c r="AC2669" s="10" t="s">
        <v>3521</v>
      </c>
      <c r="AD2669" s="10" t="s">
        <v>165</v>
      </c>
      <c r="AE2669" s="10" t="s">
        <v>19977</v>
      </c>
      <c r="AF2669" s="15"/>
      <c r="AG2669" s="10"/>
      <c r="AH2669" s="10"/>
      <c r="AI2669" s="10"/>
      <c r="AJ2669" s="10"/>
      <c r="AK2669" s="10" t="s">
        <v>102</v>
      </c>
      <c r="AL2669" s="10"/>
      <c r="AM2669" s="10"/>
      <c r="AN2669" s="10"/>
      <c r="AO2669" s="13" t="b">
        <v>0</v>
      </c>
      <c r="AP2669" s="22" t="s">
        <v>104</v>
      </c>
      <c r="AQ2669" s="10">
        <f ca="1">IFERROR(__xludf.DUMMYFUNCTION("""COMPUTED_VALUE"""),4724838)</f>
        <v>4724838</v>
      </c>
      <c r="AR2669" s="17">
        <v>11497</v>
      </c>
      <c r="AS2669" s="17">
        <v>8975</v>
      </c>
      <c r="AT2669" s="17">
        <v>56552.5</v>
      </c>
      <c r="AU2669" s="17">
        <v>52.8</v>
      </c>
      <c r="AV2669" s="17">
        <v>13.5</v>
      </c>
      <c r="AW2669" s="10" t="s">
        <v>105</v>
      </c>
      <c r="AX2669" s="17">
        <v>4718</v>
      </c>
      <c r="AY2669" s="18">
        <v>6.3011142061281333</v>
      </c>
      <c r="AZ2669" s="10"/>
      <c r="BA2669" s="20" t="b">
        <v>0</v>
      </c>
      <c r="BB2669" s="10"/>
      <c r="BC2669" s="17">
        <v>11497</v>
      </c>
      <c r="BD2669" s="17">
        <v>8975</v>
      </c>
      <c r="BE2669" s="17">
        <v>56552.5</v>
      </c>
      <c r="BF2669" s="17">
        <v>13.5</v>
      </c>
      <c r="BG2669" s="11">
        <f ca="1">IFERROR(__xludf.DUMMYFUNCTION("""COMPUTED_VALUE"""),45981.7708333333)</f>
        <v>45981.770833333299</v>
      </c>
      <c r="BH2669" s="17" t="s">
        <v>105</v>
      </c>
      <c r="BI2669" s="17"/>
      <c r="BJ2669" s="15"/>
      <c r="BK2669" s="15"/>
      <c r="BL2669" s="13" t="b">
        <v>0</v>
      </c>
      <c r="BM2669" s="10"/>
      <c r="BN2669" s="10" t="s">
        <v>197</v>
      </c>
      <c r="BO2669" s="11">
        <v>45978.678472222222</v>
      </c>
      <c r="BP2669" s="11">
        <v>45978.67895833333</v>
      </c>
      <c r="BQ2669" s="15">
        <v>45980.484849537039</v>
      </c>
      <c r="BR2669" s="15">
        <v>45980.531770833331</v>
      </c>
      <c r="BS2669" s="10" t="s">
        <v>197</v>
      </c>
      <c r="BT2669" s="10"/>
      <c r="BU2669" s="10"/>
      <c r="BV2669" s="10"/>
      <c r="BW2669" s="10"/>
      <c r="BX2669" s="10"/>
      <c r="BY2669" s="23"/>
      <c r="BZ2669" s="23"/>
      <c r="CA2669" s="19" t="s">
        <v>4711</v>
      </c>
      <c r="CB2669" s="23"/>
      <c r="CC2669" s="23"/>
      <c r="CD2669" s="23"/>
      <c r="CE2669" s="23"/>
      <c r="CF2669" s="23"/>
      <c r="CG2669" s="23"/>
      <c r="CH2669" s="23"/>
      <c r="CI2669" s="23"/>
    </row>
    <row r="2670" spans="1:87" x14ac:dyDescent="0.3">
      <c r="A2670" s="9" t="s">
        <v>19978</v>
      </c>
      <c r="B2670" s="10" t="s">
        <v>19979</v>
      </c>
      <c r="C2670" s="11">
        <v>45982.770833333336</v>
      </c>
      <c r="D2670" s="12">
        <v>2.0833333333333332E-2</v>
      </c>
      <c r="E2670" s="11">
        <v>45982.791666666664</v>
      </c>
      <c r="F2670" s="22" t="s">
        <v>3511</v>
      </c>
      <c r="G2670" s="13" t="b">
        <v>0</v>
      </c>
      <c r="H2670" s="22" t="s">
        <v>3512</v>
      </c>
      <c r="I2670" s="10" t="s">
        <v>212</v>
      </c>
      <c r="J2670" s="13" t="b">
        <v>1</v>
      </c>
      <c r="K2670" s="13" t="b">
        <v>0</v>
      </c>
      <c r="L2670" s="10" t="s">
        <v>124</v>
      </c>
      <c r="M2670" s="10" t="s">
        <v>91</v>
      </c>
      <c r="N2670" s="10" t="s">
        <v>92</v>
      </c>
      <c r="O2670" s="19" t="s">
        <v>19980</v>
      </c>
      <c r="P2670" s="10"/>
      <c r="Q2670" s="10" t="s">
        <v>94</v>
      </c>
      <c r="R2670" s="10"/>
      <c r="S2670" s="19" t="s">
        <v>4727</v>
      </c>
      <c r="T2670" s="10"/>
      <c r="U2670" s="10"/>
      <c r="V2670" s="10"/>
      <c r="W2670" s="10" t="s">
        <v>3519</v>
      </c>
      <c r="X2670" s="10" t="s">
        <v>130</v>
      </c>
      <c r="Y2670" s="10" t="s">
        <v>130</v>
      </c>
      <c r="Z2670" s="10" t="s">
        <v>99</v>
      </c>
      <c r="AA2670" s="10" t="s">
        <v>131</v>
      </c>
      <c r="AB2670" s="10" t="s">
        <v>3520</v>
      </c>
      <c r="AC2670" s="10" t="s">
        <v>3521</v>
      </c>
      <c r="AD2670" s="10" t="s">
        <v>165</v>
      </c>
      <c r="AE2670" s="10" t="s">
        <v>19981</v>
      </c>
      <c r="AF2670" s="15"/>
      <c r="AG2670" s="10"/>
      <c r="AH2670" s="10"/>
      <c r="AI2670" s="10"/>
      <c r="AJ2670" s="10"/>
      <c r="AK2670" s="10" t="s">
        <v>102</v>
      </c>
      <c r="AL2670" s="10"/>
      <c r="AM2670" s="10"/>
      <c r="AN2670" s="10"/>
      <c r="AO2670" s="13" t="b">
        <v>0</v>
      </c>
      <c r="AP2670" s="22" t="s">
        <v>104</v>
      </c>
      <c r="AQ2670" s="10">
        <f ca="1">IFERROR(__xludf.DUMMYFUNCTION("""COMPUTED_VALUE"""),4724843)</f>
        <v>4724843</v>
      </c>
      <c r="AR2670" s="17">
        <v>27366</v>
      </c>
      <c r="AS2670" s="17">
        <v>20933</v>
      </c>
      <c r="AT2670" s="17">
        <v>160331.25</v>
      </c>
      <c r="AU2670" s="17">
        <v>304</v>
      </c>
      <c r="AV2670" s="17">
        <v>79.849999999999994</v>
      </c>
      <c r="AW2670" s="10" t="s">
        <v>105</v>
      </c>
      <c r="AX2670" s="17">
        <v>13012</v>
      </c>
      <c r="AY2670" s="18">
        <v>7.6592581092055605</v>
      </c>
      <c r="AZ2670" s="10"/>
      <c r="BA2670" s="20" t="b">
        <v>0</v>
      </c>
      <c r="BB2670" s="10"/>
      <c r="BC2670" s="17">
        <v>27366</v>
      </c>
      <c r="BD2670" s="17">
        <v>20933</v>
      </c>
      <c r="BE2670" s="17">
        <v>160331.25</v>
      </c>
      <c r="BF2670" s="17">
        <v>79.849999999999994</v>
      </c>
      <c r="BG2670" s="11">
        <f ca="1">IFERROR(__xludf.DUMMYFUNCTION("""COMPUTED_VALUE"""),45982.7708333333)</f>
        <v>45982.770833333299</v>
      </c>
      <c r="BH2670" s="17" t="s">
        <v>105</v>
      </c>
      <c r="BI2670" s="17"/>
      <c r="BJ2670" s="15"/>
      <c r="BK2670" s="15"/>
      <c r="BL2670" s="13" t="b">
        <v>0</v>
      </c>
      <c r="BM2670" s="10"/>
      <c r="BN2670" s="10" t="s">
        <v>197</v>
      </c>
      <c r="BO2670" s="11">
        <v>45978.679861111108</v>
      </c>
      <c r="BP2670" s="11">
        <v>45978.679965277777</v>
      </c>
      <c r="BQ2670" s="15">
        <v>45980.485150462962</v>
      </c>
      <c r="BR2670" s="15">
        <v>45980.540023148147</v>
      </c>
      <c r="BS2670" s="10" t="s">
        <v>197</v>
      </c>
      <c r="BT2670" s="10"/>
      <c r="BU2670" s="10"/>
      <c r="BV2670" s="10"/>
      <c r="BW2670" s="10"/>
      <c r="BX2670" s="10"/>
      <c r="BY2670" s="23"/>
      <c r="BZ2670" s="23"/>
      <c r="CA2670" s="19" t="s">
        <v>19982</v>
      </c>
      <c r="CB2670" s="23"/>
      <c r="CC2670" s="23"/>
      <c r="CD2670" s="23"/>
      <c r="CE2670" s="23"/>
      <c r="CF2670" s="23"/>
      <c r="CG2670" s="23"/>
      <c r="CH2670" s="23"/>
      <c r="CI2670" s="23"/>
    </row>
    <row r="2671" spans="1:87" x14ac:dyDescent="0.3">
      <c r="A2671" s="9" t="s">
        <v>19983</v>
      </c>
      <c r="B2671" s="10" t="s">
        <v>19984</v>
      </c>
      <c r="C2671" s="11">
        <v>45983.625</v>
      </c>
      <c r="D2671" s="12">
        <v>2.0833333333333332E-2</v>
      </c>
      <c r="E2671" s="11">
        <v>45983.645833333336</v>
      </c>
      <c r="F2671" s="22" t="s">
        <v>3511</v>
      </c>
      <c r="G2671" s="13" t="b">
        <v>0</v>
      </c>
      <c r="H2671" s="22" t="s">
        <v>3512</v>
      </c>
      <c r="I2671" s="10" t="s">
        <v>212</v>
      </c>
      <c r="J2671" s="13" t="b">
        <v>1</v>
      </c>
      <c r="K2671" s="13" t="b">
        <v>0</v>
      </c>
      <c r="L2671" s="10" t="s">
        <v>90</v>
      </c>
      <c r="M2671" s="10" t="s">
        <v>91</v>
      </c>
      <c r="N2671" s="10" t="s">
        <v>92</v>
      </c>
      <c r="O2671" s="19" t="s">
        <v>19985</v>
      </c>
      <c r="P2671" s="10"/>
      <c r="Q2671" s="10" t="s">
        <v>94</v>
      </c>
      <c r="R2671" s="10"/>
      <c r="S2671" s="19" t="s">
        <v>4737</v>
      </c>
      <c r="T2671" s="10"/>
      <c r="U2671" s="10"/>
      <c r="V2671" s="10"/>
      <c r="W2671" s="10" t="s">
        <v>3519</v>
      </c>
      <c r="X2671" s="10" t="s">
        <v>130</v>
      </c>
      <c r="Y2671" s="10" t="s">
        <v>130</v>
      </c>
      <c r="Z2671" s="10" t="s">
        <v>99</v>
      </c>
      <c r="AA2671" s="10" t="s">
        <v>131</v>
      </c>
      <c r="AB2671" s="10" t="s">
        <v>3520</v>
      </c>
      <c r="AC2671" s="10" t="s">
        <v>3521</v>
      </c>
      <c r="AD2671" s="10" t="s">
        <v>165</v>
      </c>
      <c r="AE2671" s="10" t="s">
        <v>19986</v>
      </c>
      <c r="AF2671" s="15"/>
      <c r="AG2671" s="10"/>
      <c r="AH2671" s="10"/>
      <c r="AI2671" s="10"/>
      <c r="AJ2671" s="10"/>
      <c r="AK2671" s="10" t="s">
        <v>102</v>
      </c>
      <c r="AL2671" s="10"/>
      <c r="AM2671" s="10"/>
      <c r="AN2671" s="10"/>
      <c r="AO2671" s="13" t="b">
        <v>0</v>
      </c>
      <c r="AP2671" s="22" t="s">
        <v>104</v>
      </c>
      <c r="AQ2671" s="10">
        <f ca="1">IFERROR(__xludf.DUMMYFUNCTION("""COMPUTED_VALUE"""),4724845)</f>
        <v>4724845</v>
      </c>
      <c r="AR2671" s="17">
        <v>6233</v>
      </c>
      <c r="AS2671" s="17">
        <v>4985</v>
      </c>
      <c r="AT2671" s="17">
        <v>27209.25</v>
      </c>
      <c r="AU2671" s="17">
        <v>36.15</v>
      </c>
      <c r="AV2671" s="17">
        <v>8.0500000000000007</v>
      </c>
      <c r="AW2671" s="10" t="s">
        <v>105</v>
      </c>
      <c r="AX2671" s="17">
        <v>3014</v>
      </c>
      <c r="AY2671" s="18">
        <v>5.4582246740220661</v>
      </c>
      <c r="AZ2671" s="10"/>
      <c r="BA2671" s="20" t="b">
        <v>0</v>
      </c>
      <c r="BB2671" s="10"/>
      <c r="BC2671" s="17">
        <v>6233</v>
      </c>
      <c r="BD2671" s="17">
        <v>4985</v>
      </c>
      <c r="BE2671" s="17">
        <v>27209.25</v>
      </c>
      <c r="BF2671" s="17">
        <v>8.0500000000000007</v>
      </c>
      <c r="BG2671" s="11">
        <f ca="1">IFERROR(__xludf.DUMMYFUNCTION("""COMPUTED_VALUE"""),45983.625)</f>
        <v>45983.625</v>
      </c>
      <c r="BH2671" s="17" t="s">
        <v>105</v>
      </c>
      <c r="BI2671" s="17"/>
      <c r="BJ2671" s="15"/>
      <c r="BK2671" s="15"/>
      <c r="BL2671" s="13" t="b">
        <v>0</v>
      </c>
      <c r="BM2671" s="10"/>
      <c r="BN2671" s="10" t="s">
        <v>197</v>
      </c>
      <c r="BO2671" s="11">
        <v>45978.679861111108</v>
      </c>
      <c r="BP2671" s="11">
        <v>45978.680567129632</v>
      </c>
      <c r="BQ2671" s="15">
        <v>45980.48537037037</v>
      </c>
      <c r="BR2671" s="15">
        <v>45980.550729166665</v>
      </c>
      <c r="BS2671" s="10" t="s">
        <v>197</v>
      </c>
      <c r="BT2671" s="10"/>
      <c r="BU2671" s="10"/>
      <c r="BV2671" s="10"/>
      <c r="BW2671" s="10"/>
      <c r="BX2671" s="10"/>
      <c r="BY2671" s="23"/>
      <c r="BZ2671" s="23"/>
      <c r="CA2671" s="19" t="s">
        <v>19987</v>
      </c>
      <c r="CB2671" s="23"/>
      <c r="CC2671" s="23"/>
      <c r="CD2671" s="23"/>
      <c r="CE2671" s="23"/>
      <c r="CF2671" s="23"/>
      <c r="CG2671" s="23"/>
      <c r="CH2671" s="23"/>
      <c r="CI2671" s="23"/>
    </row>
    <row r="2672" spans="1:87" x14ac:dyDescent="0.3">
      <c r="A2672" s="9" t="s">
        <v>19988</v>
      </c>
      <c r="B2672" s="10" t="s">
        <v>19989</v>
      </c>
      <c r="C2672" s="11">
        <v>46000.833333333336</v>
      </c>
      <c r="D2672" s="12">
        <v>8.3333333333333329E-2</v>
      </c>
      <c r="E2672" s="11">
        <v>46000.916666666664</v>
      </c>
      <c r="F2672" s="22" t="s">
        <v>19990</v>
      </c>
      <c r="G2672" s="13" t="b">
        <v>0</v>
      </c>
      <c r="H2672" s="22" t="s">
        <v>19264</v>
      </c>
      <c r="I2672" s="10" t="s">
        <v>89</v>
      </c>
      <c r="J2672" s="13" t="b">
        <v>0</v>
      </c>
      <c r="K2672" s="13" t="b">
        <v>1</v>
      </c>
      <c r="L2672" s="10" t="s">
        <v>124</v>
      </c>
      <c r="M2672" s="10" t="s">
        <v>91</v>
      </c>
      <c r="N2672" s="10" t="s">
        <v>92</v>
      </c>
      <c r="O2672" s="19" t="s">
        <v>19991</v>
      </c>
      <c r="P2672" s="10"/>
      <c r="Q2672" s="10" t="s">
        <v>126</v>
      </c>
      <c r="R2672" s="10"/>
      <c r="S2672" s="19" t="s">
        <v>19992</v>
      </c>
      <c r="T2672" s="10"/>
      <c r="U2672" s="10" t="s">
        <v>19993</v>
      </c>
      <c r="V2672" s="10" t="s">
        <v>19994</v>
      </c>
      <c r="W2672" s="10" t="s">
        <v>19995</v>
      </c>
      <c r="X2672" s="10" t="s">
        <v>16549</v>
      </c>
      <c r="Y2672" s="10" t="s">
        <v>16549</v>
      </c>
      <c r="Z2672" s="10" t="s">
        <v>99</v>
      </c>
      <c r="AA2672" s="10" t="s">
        <v>131</v>
      </c>
      <c r="AB2672" s="10" t="s">
        <v>19996</v>
      </c>
      <c r="AC2672" s="10" t="s">
        <v>19271</v>
      </c>
      <c r="AD2672" s="10" t="s">
        <v>19997</v>
      </c>
      <c r="AE2672" s="10" t="s">
        <v>19998</v>
      </c>
      <c r="AF2672" s="15"/>
      <c r="AG2672" s="10"/>
      <c r="AH2672" s="10"/>
      <c r="AI2672" s="10"/>
      <c r="AJ2672" s="10"/>
      <c r="AK2672" s="10" t="s">
        <v>102</v>
      </c>
      <c r="AL2672" s="10" t="s">
        <v>7897</v>
      </c>
      <c r="AM2672" s="10"/>
      <c r="AN2672" s="10"/>
      <c r="AO2672" s="13" t="b">
        <v>0</v>
      </c>
      <c r="AP2672" s="22" t="s">
        <v>135</v>
      </c>
      <c r="AQ2672" s="10">
        <f ca="1">IFERROR(__xludf.DUMMYFUNCTION("""COMPUTED_VALUE"""),4773123)</f>
        <v>4773123</v>
      </c>
      <c r="AR2672" s="17">
        <v>6353</v>
      </c>
      <c r="AS2672" s="17">
        <v>5162</v>
      </c>
      <c r="AT2672" s="17">
        <v>72504</v>
      </c>
      <c r="AU2672" s="17">
        <v>49.15</v>
      </c>
      <c r="AV2672" s="17">
        <v>11.4</v>
      </c>
      <c r="AW2672" s="10" t="s">
        <v>105</v>
      </c>
      <c r="AX2672" s="17">
        <v>1209</v>
      </c>
      <c r="AY2672" s="18">
        <v>14.04571871367687</v>
      </c>
      <c r="AZ2672" s="10" t="s">
        <v>3783</v>
      </c>
      <c r="BA2672" s="20" t="b">
        <v>0</v>
      </c>
      <c r="BB2672" s="10"/>
      <c r="BC2672" s="17">
        <v>6353</v>
      </c>
      <c r="BD2672" s="17">
        <v>5162</v>
      </c>
      <c r="BE2672" s="17">
        <v>72504</v>
      </c>
      <c r="BF2672" s="17">
        <v>11.4</v>
      </c>
      <c r="BG2672" s="11">
        <f ca="1">IFERROR(__xludf.DUMMYFUNCTION("""COMPUTED_VALUE"""),46000.8333333333)</f>
        <v>46000.833333333299</v>
      </c>
      <c r="BH2672" s="17" t="s">
        <v>105</v>
      </c>
      <c r="BI2672" s="17"/>
      <c r="BJ2672" s="15"/>
      <c r="BK2672" s="15"/>
      <c r="BL2672" s="13" t="b">
        <v>0</v>
      </c>
      <c r="BM2672" s="10"/>
      <c r="BN2672" s="10" t="s">
        <v>667</v>
      </c>
      <c r="BO2672" s="11">
        <v>45980.504166666666</v>
      </c>
      <c r="BP2672" s="11">
        <v>45985.439502314817</v>
      </c>
      <c r="BQ2672" s="15">
        <v>45999.645520833335</v>
      </c>
      <c r="BR2672" s="15">
        <v>45999.720208333332</v>
      </c>
      <c r="BS2672" s="10" t="s">
        <v>667</v>
      </c>
      <c r="BT2672" s="10" t="s">
        <v>99</v>
      </c>
      <c r="BU2672" s="10" t="s">
        <v>456</v>
      </c>
      <c r="BV2672" s="10"/>
      <c r="BW2672" s="10"/>
      <c r="BX2672" s="10"/>
      <c r="BY2672" s="23"/>
      <c r="BZ2672" s="23"/>
      <c r="CA2672" s="19" t="s">
        <v>19999</v>
      </c>
      <c r="CB2672" s="23"/>
      <c r="CC2672" s="23"/>
      <c r="CD2672" s="19" t="s">
        <v>20000</v>
      </c>
      <c r="CE2672" s="23"/>
      <c r="CF2672" s="23"/>
      <c r="CG2672" s="23"/>
      <c r="CH2672" s="23"/>
      <c r="CI2672" s="23"/>
    </row>
    <row r="2673" spans="1:87" x14ac:dyDescent="0.3">
      <c r="A2673" s="9" t="s">
        <v>20001</v>
      </c>
      <c r="B2673" s="10" t="s">
        <v>20002</v>
      </c>
      <c r="C2673" s="11">
        <v>46000.979166666664</v>
      </c>
      <c r="D2673" s="12">
        <v>8.3333333333333329E-2</v>
      </c>
      <c r="E2673" s="11">
        <v>46001.0625</v>
      </c>
      <c r="F2673" s="22" t="s">
        <v>19990</v>
      </c>
      <c r="G2673" s="13" t="b">
        <v>0</v>
      </c>
      <c r="H2673" s="22" t="s">
        <v>19264</v>
      </c>
      <c r="I2673" s="10" t="s">
        <v>89</v>
      </c>
      <c r="J2673" s="13" t="b">
        <v>0</v>
      </c>
      <c r="K2673" s="13" t="b">
        <v>1</v>
      </c>
      <c r="L2673" s="10" t="s">
        <v>124</v>
      </c>
      <c r="M2673" s="10" t="s">
        <v>91</v>
      </c>
      <c r="N2673" s="10" t="s">
        <v>92</v>
      </c>
      <c r="O2673" s="19" t="s">
        <v>20003</v>
      </c>
      <c r="P2673" s="10" t="s">
        <v>575</v>
      </c>
      <c r="Q2673" s="10" t="s">
        <v>126</v>
      </c>
      <c r="R2673" s="10"/>
      <c r="S2673" s="19" t="s">
        <v>20004</v>
      </c>
      <c r="T2673" s="10"/>
      <c r="U2673" s="10" t="s">
        <v>20005</v>
      </c>
      <c r="V2673" s="10" t="s">
        <v>20006</v>
      </c>
      <c r="W2673" s="10" t="s">
        <v>19995</v>
      </c>
      <c r="X2673" s="10" t="s">
        <v>16549</v>
      </c>
      <c r="Y2673" s="10" t="s">
        <v>16549</v>
      </c>
      <c r="Z2673" s="10" t="s">
        <v>99</v>
      </c>
      <c r="AA2673" s="10" t="s">
        <v>131</v>
      </c>
      <c r="AB2673" s="10" t="s">
        <v>19996</v>
      </c>
      <c r="AC2673" s="10" t="s">
        <v>19271</v>
      </c>
      <c r="AD2673" s="10" t="s">
        <v>20007</v>
      </c>
      <c r="AE2673" s="10" t="s">
        <v>20008</v>
      </c>
      <c r="AF2673" s="15"/>
      <c r="AG2673" s="10"/>
      <c r="AH2673" s="10"/>
      <c r="AI2673" s="10"/>
      <c r="AJ2673" s="10"/>
      <c r="AK2673" s="10" t="s">
        <v>102</v>
      </c>
      <c r="AL2673" s="10" t="s">
        <v>7897</v>
      </c>
      <c r="AM2673" s="10"/>
      <c r="AN2673" s="10"/>
      <c r="AO2673" s="13" t="b">
        <v>0</v>
      </c>
      <c r="AP2673" s="22" t="s">
        <v>135</v>
      </c>
      <c r="AQ2673" s="10">
        <f ca="1">IFERROR(__xludf.DUMMYFUNCTION("""COMPUTED_VALUE"""),4773124)</f>
        <v>4773124</v>
      </c>
      <c r="AR2673" s="17">
        <v>3932</v>
      </c>
      <c r="AS2673" s="17">
        <v>3075</v>
      </c>
      <c r="AT2673" s="17">
        <v>32229.75</v>
      </c>
      <c r="AU2673" s="17">
        <v>14.3</v>
      </c>
      <c r="AV2673" s="17">
        <v>5.45</v>
      </c>
      <c r="AW2673" s="10" t="s">
        <v>105</v>
      </c>
      <c r="AX2673" s="17">
        <v>778</v>
      </c>
      <c r="AY2673" s="18">
        <v>10.481219512195121</v>
      </c>
      <c r="AZ2673" s="10" t="s">
        <v>3783</v>
      </c>
      <c r="BA2673" s="20" t="b">
        <v>0</v>
      </c>
      <c r="BB2673" s="10"/>
      <c r="BC2673" s="17">
        <v>3932</v>
      </c>
      <c r="BD2673" s="17">
        <v>3075</v>
      </c>
      <c r="BE2673" s="17">
        <v>32229.75</v>
      </c>
      <c r="BF2673" s="17">
        <v>5.45</v>
      </c>
      <c r="BG2673" s="11">
        <f ca="1">IFERROR(__xludf.DUMMYFUNCTION("""COMPUTED_VALUE"""),46000.9791666666)</f>
        <v>46000.979166666599</v>
      </c>
      <c r="BH2673" s="17" t="s">
        <v>105</v>
      </c>
      <c r="BI2673" s="17"/>
      <c r="BJ2673" s="15"/>
      <c r="BK2673" s="15"/>
      <c r="BL2673" s="13" t="b">
        <v>0</v>
      </c>
      <c r="BM2673" s="10"/>
      <c r="BN2673" s="10" t="s">
        <v>667</v>
      </c>
      <c r="BO2673" s="11">
        <v>45980.512499999997</v>
      </c>
      <c r="BP2673" s="11">
        <v>45982.588819444441</v>
      </c>
      <c r="BQ2673" s="15">
        <v>45999.644247685188</v>
      </c>
      <c r="BR2673" s="15">
        <v>45999.720347222225</v>
      </c>
      <c r="BS2673" s="10" t="s">
        <v>667</v>
      </c>
      <c r="BT2673" s="10" t="s">
        <v>99</v>
      </c>
      <c r="BU2673" s="10" t="s">
        <v>456</v>
      </c>
      <c r="BV2673" s="10"/>
      <c r="BW2673" s="10"/>
      <c r="BX2673" s="10"/>
      <c r="BY2673" s="23"/>
      <c r="BZ2673" s="23"/>
      <c r="CA2673" s="19" t="s">
        <v>20009</v>
      </c>
      <c r="CB2673" s="23"/>
      <c r="CC2673" s="23"/>
      <c r="CD2673" s="19" t="s">
        <v>20010</v>
      </c>
      <c r="CE2673" s="23"/>
      <c r="CF2673" s="23"/>
      <c r="CG2673" s="23"/>
      <c r="CH2673" s="23"/>
      <c r="CI2673" s="23"/>
    </row>
    <row r="2674" spans="1:87" x14ac:dyDescent="0.3">
      <c r="A2674" s="9" t="s">
        <v>20011</v>
      </c>
      <c r="B2674" s="10" t="s">
        <v>20012</v>
      </c>
      <c r="C2674" s="11">
        <v>46001.125</v>
      </c>
      <c r="D2674" s="12">
        <v>8.3333333333333329E-2</v>
      </c>
      <c r="E2674" s="11">
        <v>46001.208333333336</v>
      </c>
      <c r="F2674" s="22" t="s">
        <v>19990</v>
      </c>
      <c r="G2674" s="13" t="b">
        <v>0</v>
      </c>
      <c r="H2674" s="22" t="s">
        <v>19264</v>
      </c>
      <c r="I2674" s="10" t="s">
        <v>89</v>
      </c>
      <c r="J2674" s="13" t="b">
        <v>0</v>
      </c>
      <c r="K2674" s="13" t="b">
        <v>1</v>
      </c>
      <c r="L2674" s="10" t="s">
        <v>124</v>
      </c>
      <c r="M2674" s="10" t="s">
        <v>91</v>
      </c>
      <c r="N2674" s="10" t="s">
        <v>92</v>
      </c>
      <c r="O2674" s="19" t="s">
        <v>20013</v>
      </c>
      <c r="P2674" s="10" t="s">
        <v>575</v>
      </c>
      <c r="Q2674" s="10" t="s">
        <v>126</v>
      </c>
      <c r="R2674" s="10"/>
      <c r="S2674" s="19" t="s">
        <v>20014</v>
      </c>
      <c r="T2674" s="10"/>
      <c r="U2674" s="10" t="s">
        <v>20015</v>
      </c>
      <c r="V2674" s="10" t="s">
        <v>20016</v>
      </c>
      <c r="W2674" s="10" t="s">
        <v>19995</v>
      </c>
      <c r="X2674" s="10" t="s">
        <v>16549</v>
      </c>
      <c r="Y2674" s="10" t="s">
        <v>16549</v>
      </c>
      <c r="Z2674" s="10" t="s">
        <v>99</v>
      </c>
      <c r="AA2674" s="10" t="s">
        <v>131</v>
      </c>
      <c r="AB2674" s="10" t="s">
        <v>19996</v>
      </c>
      <c r="AC2674" s="10" t="s">
        <v>19271</v>
      </c>
      <c r="AD2674" s="10" t="s">
        <v>20017</v>
      </c>
      <c r="AE2674" s="10" t="s">
        <v>20018</v>
      </c>
      <c r="AF2674" s="15"/>
      <c r="AG2674" s="10"/>
      <c r="AH2674" s="10"/>
      <c r="AI2674" s="10"/>
      <c r="AJ2674" s="10"/>
      <c r="AK2674" s="10" t="s">
        <v>102</v>
      </c>
      <c r="AL2674" s="10" t="s">
        <v>7897</v>
      </c>
      <c r="AM2674" s="10"/>
      <c r="AN2674" s="10"/>
      <c r="AO2674" s="13" t="b">
        <v>0</v>
      </c>
      <c r="AP2674" s="22" t="s">
        <v>135</v>
      </c>
      <c r="AQ2674" s="10">
        <f ca="1">IFERROR(__xludf.DUMMYFUNCTION("""COMPUTED_VALUE"""),4773280)</f>
        <v>4773280</v>
      </c>
      <c r="AR2674" s="17">
        <v>1104</v>
      </c>
      <c r="AS2674" s="17">
        <v>925</v>
      </c>
      <c r="AT2674" s="17">
        <v>8246.5</v>
      </c>
      <c r="AU2674" s="17">
        <v>3.4</v>
      </c>
      <c r="AV2674" s="17">
        <v>0.5</v>
      </c>
      <c r="AW2674" s="10" t="s">
        <v>105</v>
      </c>
      <c r="AX2674" s="17">
        <v>228</v>
      </c>
      <c r="AY2674" s="18">
        <v>8.9151351351351344</v>
      </c>
      <c r="AZ2674" s="10" t="s">
        <v>3783</v>
      </c>
      <c r="BA2674" s="20" t="b">
        <v>0</v>
      </c>
      <c r="BB2674" s="10"/>
      <c r="BC2674" s="17">
        <v>1104</v>
      </c>
      <c r="BD2674" s="17">
        <v>925</v>
      </c>
      <c r="BE2674" s="17">
        <v>8246.5</v>
      </c>
      <c r="BF2674" s="17">
        <v>0.5</v>
      </c>
      <c r="BG2674" s="11">
        <f ca="1">IFERROR(__xludf.DUMMYFUNCTION("""COMPUTED_VALUE"""),46001.125)</f>
        <v>46001.125</v>
      </c>
      <c r="BH2674" s="17" t="s">
        <v>105</v>
      </c>
      <c r="BI2674" s="17"/>
      <c r="BJ2674" s="15"/>
      <c r="BK2674" s="15"/>
      <c r="BL2674" s="13" t="b">
        <v>0</v>
      </c>
      <c r="BM2674" s="10"/>
      <c r="BN2674" s="10" t="s">
        <v>667</v>
      </c>
      <c r="BO2674" s="11">
        <v>45980.513888888891</v>
      </c>
      <c r="BP2674" s="11">
        <v>45982.588969907411</v>
      </c>
      <c r="BQ2674" s="15">
        <v>46000.335104166668</v>
      </c>
      <c r="BR2674" s="15">
        <v>46000.446400462963</v>
      </c>
      <c r="BS2674" s="10" t="s">
        <v>667</v>
      </c>
      <c r="BT2674" s="10" t="s">
        <v>99</v>
      </c>
      <c r="BU2674" s="10" t="s">
        <v>456</v>
      </c>
      <c r="BV2674" s="10"/>
      <c r="BW2674" s="10"/>
      <c r="BX2674" s="10"/>
      <c r="BY2674" s="23"/>
      <c r="BZ2674" s="23"/>
      <c r="CA2674" s="19" t="s">
        <v>20019</v>
      </c>
      <c r="CB2674" s="23"/>
      <c r="CC2674" s="23"/>
      <c r="CD2674" s="19" t="s">
        <v>20020</v>
      </c>
      <c r="CE2674" s="23"/>
      <c r="CF2674" s="23"/>
      <c r="CG2674" s="23"/>
      <c r="CH2674" s="23"/>
      <c r="CI2674" s="23"/>
    </row>
    <row r="2675" spans="1:87" x14ac:dyDescent="0.3">
      <c r="A2675" s="9" t="s">
        <v>20021</v>
      </c>
      <c r="B2675" s="10" t="s">
        <v>20022</v>
      </c>
      <c r="C2675" s="11">
        <v>46001.270833333336</v>
      </c>
      <c r="D2675" s="12">
        <v>8.3333333333333329E-2</v>
      </c>
      <c r="E2675" s="11">
        <v>46001.354166666664</v>
      </c>
      <c r="F2675" s="22" t="s">
        <v>19990</v>
      </c>
      <c r="G2675" s="13" t="b">
        <v>0</v>
      </c>
      <c r="H2675" s="22" t="s">
        <v>19264</v>
      </c>
      <c r="I2675" s="10" t="s">
        <v>89</v>
      </c>
      <c r="J2675" s="13" t="b">
        <v>0</v>
      </c>
      <c r="K2675" s="13" t="b">
        <v>1</v>
      </c>
      <c r="L2675" s="10" t="s">
        <v>124</v>
      </c>
      <c r="M2675" s="10" t="s">
        <v>91</v>
      </c>
      <c r="N2675" s="10" t="s">
        <v>92</v>
      </c>
      <c r="O2675" s="19" t="s">
        <v>20023</v>
      </c>
      <c r="P2675" s="10" t="s">
        <v>575</v>
      </c>
      <c r="Q2675" s="10" t="s">
        <v>126</v>
      </c>
      <c r="R2675" s="10"/>
      <c r="S2675" s="19" t="s">
        <v>20024</v>
      </c>
      <c r="T2675" s="10"/>
      <c r="U2675" s="10" t="s">
        <v>20025</v>
      </c>
      <c r="V2675" s="10" t="s">
        <v>20026</v>
      </c>
      <c r="W2675" s="10" t="s">
        <v>19995</v>
      </c>
      <c r="X2675" s="10" t="s">
        <v>16549</v>
      </c>
      <c r="Y2675" s="10" t="s">
        <v>16549</v>
      </c>
      <c r="Z2675" s="10" t="s">
        <v>99</v>
      </c>
      <c r="AA2675" s="10" t="s">
        <v>131</v>
      </c>
      <c r="AB2675" s="10" t="s">
        <v>19996</v>
      </c>
      <c r="AC2675" s="10" t="s">
        <v>19271</v>
      </c>
      <c r="AD2675" s="10" t="s">
        <v>20027</v>
      </c>
      <c r="AE2675" s="10" t="s">
        <v>20028</v>
      </c>
      <c r="AF2675" s="15"/>
      <c r="AG2675" s="10"/>
      <c r="AH2675" s="10"/>
      <c r="AI2675" s="10"/>
      <c r="AJ2675" s="10"/>
      <c r="AK2675" s="10" t="s">
        <v>102</v>
      </c>
      <c r="AL2675" s="10" t="s">
        <v>7897</v>
      </c>
      <c r="AM2675" s="10"/>
      <c r="AN2675" s="10"/>
      <c r="AO2675" s="13" t="b">
        <v>0</v>
      </c>
      <c r="AP2675" s="22" t="s">
        <v>135</v>
      </c>
      <c r="AQ2675" s="10">
        <f ca="1">IFERROR(__xludf.DUMMYFUNCTION("""COMPUTED_VALUE"""),4773281)</f>
        <v>4773281</v>
      </c>
      <c r="AR2675" s="17">
        <v>2820</v>
      </c>
      <c r="AS2675" s="17">
        <v>2493</v>
      </c>
      <c r="AT2675" s="17">
        <v>22655</v>
      </c>
      <c r="AU2675" s="17">
        <v>4.95</v>
      </c>
      <c r="AV2675" s="17">
        <v>1.95</v>
      </c>
      <c r="AW2675" s="10" t="s">
        <v>105</v>
      </c>
      <c r="AX2675" s="17">
        <v>438</v>
      </c>
      <c r="AY2675" s="18">
        <v>9.0874448455675889</v>
      </c>
      <c r="AZ2675" s="10" t="s">
        <v>3783</v>
      </c>
      <c r="BA2675" s="20" t="b">
        <v>0</v>
      </c>
      <c r="BB2675" s="10"/>
      <c r="BC2675" s="17">
        <v>2820</v>
      </c>
      <c r="BD2675" s="17">
        <v>2493</v>
      </c>
      <c r="BE2675" s="17">
        <v>22655</v>
      </c>
      <c r="BF2675" s="17">
        <v>1.95</v>
      </c>
      <c r="BG2675" s="11">
        <f ca="1">IFERROR(__xludf.DUMMYFUNCTION("""COMPUTED_VALUE"""),46001.2708333333)</f>
        <v>46001.270833333299</v>
      </c>
      <c r="BH2675" s="17" t="s">
        <v>105</v>
      </c>
      <c r="BI2675" s="17"/>
      <c r="BJ2675" s="15"/>
      <c r="BK2675" s="15"/>
      <c r="BL2675" s="13" t="b">
        <v>0</v>
      </c>
      <c r="BM2675" s="10"/>
      <c r="BN2675" s="10" t="s">
        <v>667</v>
      </c>
      <c r="BO2675" s="11">
        <v>45980.515277777777</v>
      </c>
      <c r="BP2675" s="11">
        <v>45985.440138888887</v>
      </c>
      <c r="BQ2675" s="15">
        <v>46000.33520833333</v>
      </c>
      <c r="BR2675" s="15">
        <v>46000.446504629632</v>
      </c>
      <c r="BS2675" s="10" t="s">
        <v>667</v>
      </c>
      <c r="BT2675" s="10" t="s">
        <v>99</v>
      </c>
      <c r="BU2675" s="10" t="s">
        <v>15502</v>
      </c>
      <c r="BV2675" s="10"/>
      <c r="BW2675" s="10"/>
      <c r="BX2675" s="10"/>
      <c r="BY2675" s="23"/>
      <c r="BZ2675" s="23"/>
      <c r="CA2675" s="19" t="s">
        <v>20029</v>
      </c>
      <c r="CB2675" s="23"/>
      <c r="CC2675" s="23"/>
      <c r="CD2675" s="19" t="s">
        <v>20030</v>
      </c>
      <c r="CE2675" s="23"/>
      <c r="CF2675" s="23"/>
      <c r="CG2675" s="23"/>
      <c r="CH2675" s="23"/>
      <c r="CI2675" s="23"/>
    </row>
    <row r="2676" spans="1:87" x14ac:dyDescent="0.3">
      <c r="A2676" s="9" t="s">
        <v>20031</v>
      </c>
      <c r="B2676" s="10" t="s">
        <v>20032</v>
      </c>
      <c r="C2676" s="11">
        <v>46001.833333333336</v>
      </c>
      <c r="D2676" s="12">
        <v>8.3333333333333329E-2</v>
      </c>
      <c r="E2676" s="11">
        <v>46001.916666666664</v>
      </c>
      <c r="F2676" s="22" t="s">
        <v>19990</v>
      </c>
      <c r="G2676" s="13" t="b">
        <v>0</v>
      </c>
      <c r="H2676" s="22" t="s">
        <v>19264</v>
      </c>
      <c r="I2676" s="10" t="s">
        <v>89</v>
      </c>
      <c r="J2676" s="13" t="b">
        <v>0</v>
      </c>
      <c r="K2676" s="13" t="b">
        <v>1</v>
      </c>
      <c r="L2676" s="10" t="s">
        <v>124</v>
      </c>
      <c r="M2676" s="10" t="s">
        <v>91</v>
      </c>
      <c r="N2676" s="10" t="s">
        <v>92</v>
      </c>
      <c r="O2676" s="19" t="s">
        <v>20033</v>
      </c>
      <c r="P2676" s="10" t="s">
        <v>575</v>
      </c>
      <c r="Q2676" s="10" t="s">
        <v>126</v>
      </c>
      <c r="R2676" s="10"/>
      <c r="S2676" s="19" t="s">
        <v>20034</v>
      </c>
      <c r="T2676" s="10"/>
      <c r="U2676" s="10" t="s">
        <v>19993</v>
      </c>
      <c r="V2676" s="10" t="s">
        <v>20006</v>
      </c>
      <c r="W2676" s="10" t="s">
        <v>19995</v>
      </c>
      <c r="X2676" s="10" t="s">
        <v>16549</v>
      </c>
      <c r="Y2676" s="10" t="s">
        <v>16549</v>
      </c>
      <c r="Z2676" s="10" t="s">
        <v>99</v>
      </c>
      <c r="AA2676" s="10" t="s">
        <v>131</v>
      </c>
      <c r="AB2676" s="10" t="s">
        <v>19996</v>
      </c>
      <c r="AC2676" s="10" t="s">
        <v>19271</v>
      </c>
      <c r="AD2676" s="10" t="s">
        <v>20035</v>
      </c>
      <c r="AE2676" s="10" t="s">
        <v>20036</v>
      </c>
      <c r="AF2676" s="15"/>
      <c r="AG2676" s="10"/>
      <c r="AH2676" s="10"/>
      <c r="AI2676" s="10"/>
      <c r="AJ2676" s="10"/>
      <c r="AK2676" s="10" t="s">
        <v>102</v>
      </c>
      <c r="AL2676" s="10" t="s">
        <v>7897</v>
      </c>
      <c r="AM2676" s="10"/>
      <c r="AN2676" s="10"/>
      <c r="AO2676" s="13" t="b">
        <v>0</v>
      </c>
      <c r="AP2676" s="22" t="s">
        <v>135</v>
      </c>
      <c r="AQ2676" s="10">
        <f ca="1">IFERROR(__xludf.DUMMYFUNCTION("""COMPUTED_VALUE"""),4773282)</f>
        <v>4773282</v>
      </c>
      <c r="AR2676" s="17">
        <v>16144</v>
      </c>
      <c r="AS2676" s="17">
        <v>10255</v>
      </c>
      <c r="AT2676" s="17">
        <v>71172.75</v>
      </c>
      <c r="AU2676" s="17">
        <v>42.5</v>
      </c>
      <c r="AV2676" s="17">
        <v>13.45</v>
      </c>
      <c r="AW2676" s="10" t="s">
        <v>105</v>
      </c>
      <c r="AX2676" s="17">
        <v>1477</v>
      </c>
      <c r="AY2676" s="18">
        <v>6.940297415894686</v>
      </c>
      <c r="AZ2676" s="10" t="s">
        <v>3783</v>
      </c>
      <c r="BA2676" s="20" t="b">
        <v>0</v>
      </c>
      <c r="BB2676" s="10"/>
      <c r="BC2676" s="17">
        <v>16144</v>
      </c>
      <c r="BD2676" s="17">
        <v>10255</v>
      </c>
      <c r="BE2676" s="17">
        <v>71172.75</v>
      </c>
      <c r="BF2676" s="17">
        <v>13.45</v>
      </c>
      <c r="BG2676" s="11">
        <f ca="1">IFERROR(__xludf.DUMMYFUNCTION("""COMPUTED_VALUE"""),46001.8333333333)</f>
        <v>46001.833333333299</v>
      </c>
      <c r="BH2676" s="17" t="s">
        <v>105</v>
      </c>
      <c r="BI2676" s="17"/>
      <c r="BJ2676" s="15"/>
      <c r="BK2676" s="15"/>
      <c r="BL2676" s="13" t="b">
        <v>0</v>
      </c>
      <c r="BM2676" s="10"/>
      <c r="BN2676" s="10" t="s">
        <v>157</v>
      </c>
      <c r="BO2676" s="11">
        <v>45980.515972222223</v>
      </c>
      <c r="BP2676" s="11">
        <v>45985.439826388887</v>
      </c>
      <c r="BQ2676" s="15">
        <v>46000.335312499999</v>
      </c>
      <c r="BR2676" s="15">
        <v>46000.443807870368</v>
      </c>
      <c r="BS2676" s="10" t="s">
        <v>157</v>
      </c>
      <c r="BT2676" s="10" t="s">
        <v>99</v>
      </c>
      <c r="BU2676" s="10" t="s">
        <v>456</v>
      </c>
      <c r="BV2676" s="10"/>
      <c r="BW2676" s="10"/>
      <c r="BX2676" s="10"/>
      <c r="BY2676" s="23"/>
      <c r="BZ2676" s="23"/>
      <c r="CA2676" s="19" t="s">
        <v>20037</v>
      </c>
      <c r="CB2676" s="23"/>
      <c r="CC2676" s="23"/>
      <c r="CD2676" s="19" t="s">
        <v>20038</v>
      </c>
      <c r="CE2676" s="23"/>
      <c r="CF2676" s="23"/>
      <c r="CG2676" s="23"/>
      <c r="CH2676" s="23"/>
      <c r="CI2676" s="23"/>
    </row>
    <row r="2677" spans="1:87" x14ac:dyDescent="0.3">
      <c r="A2677" s="9" t="s">
        <v>20039</v>
      </c>
      <c r="B2677" s="10" t="s">
        <v>20040</v>
      </c>
      <c r="C2677" s="11">
        <v>46001.979166666664</v>
      </c>
      <c r="D2677" s="12">
        <v>8.3333333333333329E-2</v>
      </c>
      <c r="E2677" s="11">
        <v>46002.0625</v>
      </c>
      <c r="F2677" s="22" t="s">
        <v>19990</v>
      </c>
      <c r="G2677" s="13" t="b">
        <v>0</v>
      </c>
      <c r="H2677" s="22" t="s">
        <v>19264</v>
      </c>
      <c r="I2677" s="10" t="s">
        <v>89</v>
      </c>
      <c r="J2677" s="13" t="b">
        <v>0</v>
      </c>
      <c r="K2677" s="13" t="b">
        <v>1</v>
      </c>
      <c r="L2677" s="10" t="s">
        <v>124</v>
      </c>
      <c r="M2677" s="10" t="s">
        <v>91</v>
      </c>
      <c r="N2677" s="10" t="s">
        <v>92</v>
      </c>
      <c r="O2677" s="19" t="s">
        <v>20041</v>
      </c>
      <c r="P2677" s="10" t="s">
        <v>575</v>
      </c>
      <c r="Q2677" s="10" t="s">
        <v>126</v>
      </c>
      <c r="R2677" s="10"/>
      <c r="S2677" s="19" t="s">
        <v>20042</v>
      </c>
      <c r="T2677" s="10"/>
      <c r="U2677" s="10" t="s">
        <v>20015</v>
      </c>
      <c r="V2677" s="10" t="s">
        <v>20026</v>
      </c>
      <c r="W2677" s="10" t="s">
        <v>19995</v>
      </c>
      <c r="X2677" s="10" t="s">
        <v>16549</v>
      </c>
      <c r="Y2677" s="10" t="s">
        <v>16549</v>
      </c>
      <c r="Z2677" s="10" t="s">
        <v>99</v>
      </c>
      <c r="AA2677" s="10" t="s">
        <v>131</v>
      </c>
      <c r="AB2677" s="10" t="s">
        <v>19996</v>
      </c>
      <c r="AC2677" s="10" t="s">
        <v>19271</v>
      </c>
      <c r="AD2677" s="10" t="s">
        <v>20043</v>
      </c>
      <c r="AE2677" s="10" t="s">
        <v>20044</v>
      </c>
      <c r="AF2677" s="15"/>
      <c r="AG2677" s="10"/>
      <c r="AH2677" s="10"/>
      <c r="AI2677" s="10"/>
      <c r="AJ2677" s="10"/>
      <c r="AK2677" s="10" t="s">
        <v>102</v>
      </c>
      <c r="AL2677" s="10" t="s">
        <v>7897</v>
      </c>
      <c r="AM2677" s="10"/>
      <c r="AN2677" s="10"/>
      <c r="AO2677" s="13" t="b">
        <v>0</v>
      </c>
      <c r="AP2677" s="22" t="s">
        <v>135</v>
      </c>
      <c r="AQ2677" s="10">
        <f ca="1">IFERROR(__xludf.DUMMYFUNCTION("""COMPUTED_VALUE"""),4773283)</f>
        <v>4773283</v>
      </c>
      <c r="AR2677" s="17">
        <v>3570</v>
      </c>
      <c r="AS2677" s="17">
        <v>3154</v>
      </c>
      <c r="AT2677" s="17">
        <v>32473.75</v>
      </c>
      <c r="AU2677" s="17">
        <v>10.5</v>
      </c>
      <c r="AV2677" s="17">
        <v>3.45</v>
      </c>
      <c r="AW2677" s="10" t="s">
        <v>105</v>
      </c>
      <c r="AX2677" s="17">
        <v>654</v>
      </c>
      <c r="AY2677" s="18">
        <v>10.296052631578947</v>
      </c>
      <c r="AZ2677" s="10" t="s">
        <v>3783</v>
      </c>
      <c r="BA2677" s="20" t="b">
        <v>0</v>
      </c>
      <c r="BB2677" s="10"/>
      <c r="BC2677" s="17">
        <v>3570</v>
      </c>
      <c r="BD2677" s="17">
        <v>3154</v>
      </c>
      <c r="BE2677" s="17">
        <v>32473.75</v>
      </c>
      <c r="BF2677" s="17">
        <v>3.45</v>
      </c>
      <c r="BG2677" s="11">
        <f ca="1">IFERROR(__xludf.DUMMYFUNCTION("""COMPUTED_VALUE"""),46001.9791666666)</f>
        <v>46001.979166666599</v>
      </c>
      <c r="BH2677" s="17" t="s">
        <v>105</v>
      </c>
      <c r="BI2677" s="17"/>
      <c r="BJ2677" s="15"/>
      <c r="BK2677" s="15"/>
      <c r="BL2677" s="13" t="b">
        <v>0</v>
      </c>
      <c r="BM2677" s="10"/>
      <c r="BN2677" s="10" t="s">
        <v>157</v>
      </c>
      <c r="BO2677" s="11">
        <v>45980.51666666667</v>
      </c>
      <c r="BP2677" s="11">
        <v>45982.589432870373</v>
      </c>
      <c r="BQ2677" s="15">
        <v>46000.335393518515</v>
      </c>
      <c r="BR2677" s="15">
        <v>46000.443923611114</v>
      </c>
      <c r="BS2677" s="10" t="s">
        <v>157</v>
      </c>
      <c r="BT2677" s="10" t="s">
        <v>99</v>
      </c>
      <c r="BU2677" s="10" t="s">
        <v>456</v>
      </c>
      <c r="BV2677" s="10"/>
      <c r="BW2677" s="10"/>
      <c r="BX2677" s="10"/>
      <c r="BY2677" s="23"/>
      <c r="BZ2677" s="23"/>
      <c r="CA2677" s="19" t="s">
        <v>20045</v>
      </c>
      <c r="CB2677" s="23"/>
      <c r="CC2677" s="23"/>
      <c r="CD2677" s="19" t="s">
        <v>20046</v>
      </c>
      <c r="CE2677" s="23"/>
      <c r="CF2677" s="23"/>
      <c r="CG2677" s="23"/>
      <c r="CH2677" s="23"/>
      <c r="CI2677" s="23"/>
    </row>
    <row r="2678" spans="1:87" x14ac:dyDescent="0.3">
      <c r="A2678" s="9" t="s">
        <v>20047</v>
      </c>
      <c r="B2678" s="10" t="s">
        <v>20048</v>
      </c>
      <c r="C2678" s="11">
        <v>46002.125</v>
      </c>
      <c r="D2678" s="12">
        <v>8.3333333333333329E-2</v>
      </c>
      <c r="E2678" s="11">
        <v>46002.208333333336</v>
      </c>
      <c r="F2678" s="22" t="s">
        <v>19990</v>
      </c>
      <c r="G2678" s="13" t="b">
        <v>0</v>
      </c>
      <c r="H2678" s="22" t="s">
        <v>19264</v>
      </c>
      <c r="I2678" s="10" t="s">
        <v>89</v>
      </c>
      <c r="J2678" s="13" t="b">
        <v>0</v>
      </c>
      <c r="K2678" s="13" t="b">
        <v>1</v>
      </c>
      <c r="L2678" s="10" t="s">
        <v>124</v>
      </c>
      <c r="M2678" s="10" t="s">
        <v>91</v>
      </c>
      <c r="N2678" s="10" t="s">
        <v>92</v>
      </c>
      <c r="O2678" s="19" t="s">
        <v>20049</v>
      </c>
      <c r="P2678" s="10" t="s">
        <v>575</v>
      </c>
      <c r="Q2678" s="10" t="s">
        <v>126</v>
      </c>
      <c r="R2678" s="10"/>
      <c r="S2678" s="19" t="s">
        <v>20050</v>
      </c>
      <c r="T2678" s="10"/>
      <c r="U2678" s="10" t="s">
        <v>20005</v>
      </c>
      <c r="V2678" s="10" t="s">
        <v>19994</v>
      </c>
      <c r="W2678" s="10" t="s">
        <v>19995</v>
      </c>
      <c r="X2678" s="10" t="s">
        <v>16549</v>
      </c>
      <c r="Y2678" s="10" t="s">
        <v>16549</v>
      </c>
      <c r="Z2678" s="10" t="s">
        <v>99</v>
      </c>
      <c r="AA2678" s="10" t="s">
        <v>131</v>
      </c>
      <c r="AB2678" s="10" t="s">
        <v>19996</v>
      </c>
      <c r="AC2678" s="10" t="s">
        <v>19271</v>
      </c>
      <c r="AD2678" s="10" t="s">
        <v>20051</v>
      </c>
      <c r="AE2678" s="10" t="s">
        <v>20052</v>
      </c>
      <c r="AF2678" s="15"/>
      <c r="AG2678" s="10"/>
      <c r="AH2678" s="10"/>
      <c r="AI2678" s="10"/>
      <c r="AJ2678" s="10"/>
      <c r="AK2678" s="10" t="s">
        <v>102</v>
      </c>
      <c r="AL2678" s="10" t="s">
        <v>7897</v>
      </c>
      <c r="AM2678" s="10"/>
      <c r="AN2678" s="10"/>
      <c r="AO2678" s="13" t="b">
        <v>0</v>
      </c>
      <c r="AP2678" s="22" t="s">
        <v>135</v>
      </c>
      <c r="AQ2678" s="10">
        <f ca="1">IFERROR(__xludf.DUMMYFUNCTION("""COMPUTED_VALUE"""),4773528)</f>
        <v>4773528</v>
      </c>
      <c r="AR2678" s="17">
        <v>822</v>
      </c>
      <c r="AS2678" s="17">
        <v>726</v>
      </c>
      <c r="AT2678" s="17">
        <v>6663</v>
      </c>
      <c r="AU2678" s="17">
        <v>2.5</v>
      </c>
      <c r="AV2678" s="17">
        <v>0.1</v>
      </c>
      <c r="AW2678" s="10" t="s">
        <v>105</v>
      </c>
      <c r="AX2678" s="17">
        <v>198</v>
      </c>
      <c r="AY2678" s="18">
        <v>9.177685950413224</v>
      </c>
      <c r="AZ2678" s="10" t="s">
        <v>3783</v>
      </c>
      <c r="BA2678" s="20" t="b">
        <v>0</v>
      </c>
      <c r="BB2678" s="10"/>
      <c r="BC2678" s="17">
        <v>822</v>
      </c>
      <c r="BD2678" s="17">
        <v>726</v>
      </c>
      <c r="BE2678" s="17">
        <v>6663</v>
      </c>
      <c r="BF2678" s="17">
        <v>0.1</v>
      </c>
      <c r="BG2678" s="11">
        <f ca="1">IFERROR(__xludf.DUMMYFUNCTION("""COMPUTED_VALUE"""),46002.125)</f>
        <v>46002.125</v>
      </c>
      <c r="BH2678" s="17" t="s">
        <v>105</v>
      </c>
      <c r="BI2678" s="17"/>
      <c r="BJ2678" s="15"/>
      <c r="BK2678" s="15"/>
      <c r="BL2678" s="13" t="b">
        <v>0</v>
      </c>
      <c r="BM2678" s="10"/>
      <c r="BN2678" s="10" t="s">
        <v>6278</v>
      </c>
      <c r="BO2678" s="11">
        <v>45980.517361111109</v>
      </c>
      <c r="BP2678" s="11">
        <v>45982.589594907404</v>
      </c>
      <c r="BQ2678" s="15">
        <v>46000.851354166669</v>
      </c>
      <c r="BR2678" s="15">
        <v>46001.438888888886</v>
      </c>
      <c r="BS2678" s="10" t="s">
        <v>6278</v>
      </c>
      <c r="BT2678" s="10" t="s">
        <v>99</v>
      </c>
      <c r="BU2678" s="10" t="s">
        <v>456</v>
      </c>
      <c r="BV2678" s="10"/>
      <c r="BW2678" s="10"/>
      <c r="BX2678" s="10"/>
      <c r="BY2678" s="23"/>
      <c r="BZ2678" s="23"/>
      <c r="CA2678" s="19" t="s">
        <v>20053</v>
      </c>
      <c r="CB2678" s="23"/>
      <c r="CC2678" s="23"/>
      <c r="CD2678" s="19" t="s">
        <v>20054</v>
      </c>
      <c r="CE2678" s="23"/>
      <c r="CF2678" s="23"/>
      <c r="CG2678" s="23"/>
      <c r="CH2678" s="23"/>
      <c r="CI2678" s="23"/>
    </row>
    <row r="2679" spans="1:87" x14ac:dyDescent="0.3">
      <c r="A2679" s="9" t="s">
        <v>20055</v>
      </c>
      <c r="B2679" s="10" t="s">
        <v>20056</v>
      </c>
      <c r="C2679" s="11">
        <v>46002.270833333336</v>
      </c>
      <c r="D2679" s="12">
        <v>8.3333333333333329E-2</v>
      </c>
      <c r="E2679" s="11">
        <v>46002.354166666664</v>
      </c>
      <c r="F2679" s="22" t="s">
        <v>19990</v>
      </c>
      <c r="G2679" s="13" t="b">
        <v>0</v>
      </c>
      <c r="H2679" s="22" t="s">
        <v>19264</v>
      </c>
      <c r="I2679" s="10" t="s">
        <v>89</v>
      </c>
      <c r="J2679" s="13" t="b">
        <v>0</v>
      </c>
      <c r="K2679" s="13" t="b">
        <v>1</v>
      </c>
      <c r="L2679" s="10" t="s">
        <v>124</v>
      </c>
      <c r="M2679" s="10" t="s">
        <v>91</v>
      </c>
      <c r="N2679" s="10" t="s">
        <v>92</v>
      </c>
      <c r="O2679" s="19" t="s">
        <v>20057</v>
      </c>
      <c r="P2679" s="10" t="s">
        <v>575</v>
      </c>
      <c r="Q2679" s="10" t="s">
        <v>126</v>
      </c>
      <c r="R2679" s="10"/>
      <c r="S2679" s="19" t="s">
        <v>20058</v>
      </c>
      <c r="T2679" s="10"/>
      <c r="U2679" s="10" t="s">
        <v>20025</v>
      </c>
      <c r="V2679" s="10" t="s">
        <v>20016</v>
      </c>
      <c r="W2679" s="10" t="s">
        <v>19995</v>
      </c>
      <c r="X2679" s="10" t="s">
        <v>16549</v>
      </c>
      <c r="Y2679" s="10" t="s">
        <v>16549</v>
      </c>
      <c r="Z2679" s="10" t="s">
        <v>99</v>
      </c>
      <c r="AA2679" s="10" t="s">
        <v>131</v>
      </c>
      <c r="AB2679" s="10" t="s">
        <v>19996</v>
      </c>
      <c r="AC2679" s="10" t="s">
        <v>19271</v>
      </c>
      <c r="AD2679" s="10" t="s">
        <v>20059</v>
      </c>
      <c r="AE2679" s="10" t="s">
        <v>20060</v>
      </c>
      <c r="AF2679" s="15"/>
      <c r="AG2679" s="10"/>
      <c r="AH2679" s="10"/>
      <c r="AI2679" s="10"/>
      <c r="AJ2679" s="10"/>
      <c r="AK2679" s="10" t="s">
        <v>102</v>
      </c>
      <c r="AL2679" s="10" t="s">
        <v>7897</v>
      </c>
      <c r="AM2679" s="10"/>
      <c r="AN2679" s="10"/>
      <c r="AO2679" s="13" t="b">
        <v>0</v>
      </c>
      <c r="AP2679" s="22" t="s">
        <v>135</v>
      </c>
      <c r="AQ2679" s="10">
        <f ca="1">IFERROR(__xludf.DUMMYFUNCTION("""COMPUTED_VALUE"""),4773529)</f>
        <v>4773529</v>
      </c>
      <c r="AR2679" s="17">
        <v>2737</v>
      </c>
      <c r="AS2679" s="17">
        <v>2383</v>
      </c>
      <c r="AT2679" s="17">
        <v>32333.5</v>
      </c>
      <c r="AU2679" s="17">
        <v>7.1</v>
      </c>
      <c r="AV2679" s="17">
        <v>1.95</v>
      </c>
      <c r="AW2679" s="10" t="s">
        <v>105</v>
      </c>
      <c r="AX2679" s="17">
        <v>529</v>
      </c>
      <c r="AY2679" s="18">
        <v>13.568401174989509</v>
      </c>
      <c r="AZ2679" s="10" t="s">
        <v>3783</v>
      </c>
      <c r="BA2679" s="20" t="b">
        <v>0</v>
      </c>
      <c r="BB2679" s="10"/>
      <c r="BC2679" s="17">
        <v>2737</v>
      </c>
      <c r="BD2679" s="17">
        <v>2383</v>
      </c>
      <c r="BE2679" s="17">
        <v>32333.5</v>
      </c>
      <c r="BF2679" s="17">
        <v>1.95</v>
      </c>
      <c r="BG2679" s="11">
        <f ca="1">IFERROR(__xludf.DUMMYFUNCTION("""COMPUTED_VALUE"""),46002.2708333333)</f>
        <v>46002.270833333299</v>
      </c>
      <c r="BH2679" s="17" t="s">
        <v>105</v>
      </c>
      <c r="BI2679" s="17"/>
      <c r="BJ2679" s="15"/>
      <c r="BK2679" s="15"/>
      <c r="BL2679" s="13" t="b">
        <v>0</v>
      </c>
      <c r="BM2679" s="10"/>
      <c r="BN2679" s="10" t="s">
        <v>137</v>
      </c>
      <c r="BO2679" s="11">
        <v>45980.518055555556</v>
      </c>
      <c r="BP2679" s="11">
        <v>45985.439918981479</v>
      </c>
      <c r="BQ2679" s="15">
        <v>46000.851446759261</v>
      </c>
      <c r="BR2679" s="15">
        <v>46001.438958333332</v>
      </c>
      <c r="BS2679" s="10" t="s">
        <v>137</v>
      </c>
      <c r="BT2679" s="10" t="s">
        <v>99</v>
      </c>
      <c r="BU2679" s="10"/>
      <c r="BV2679" s="10"/>
      <c r="BW2679" s="10"/>
      <c r="BX2679" s="10"/>
      <c r="BY2679" s="23"/>
      <c r="BZ2679" s="23"/>
      <c r="CA2679" s="19" t="s">
        <v>20061</v>
      </c>
      <c r="CB2679" s="23"/>
      <c r="CC2679" s="23"/>
      <c r="CD2679" s="19" t="s">
        <v>20062</v>
      </c>
      <c r="CE2679" s="23"/>
      <c r="CF2679" s="23"/>
      <c r="CG2679" s="23"/>
      <c r="CH2679" s="23"/>
      <c r="CI2679" s="23"/>
    </row>
    <row r="2680" spans="1:87" x14ac:dyDescent="0.3">
      <c r="A2680" s="9" t="s">
        <v>20063</v>
      </c>
      <c r="B2680" s="10" t="s">
        <v>20064</v>
      </c>
      <c r="C2680" s="11">
        <v>46002.833333333336</v>
      </c>
      <c r="D2680" s="12">
        <v>8.3333333333333329E-2</v>
      </c>
      <c r="E2680" s="11">
        <v>46002.916666666664</v>
      </c>
      <c r="F2680" s="22" t="s">
        <v>19990</v>
      </c>
      <c r="G2680" s="13" t="b">
        <v>0</v>
      </c>
      <c r="H2680" s="22" t="s">
        <v>19264</v>
      </c>
      <c r="I2680" s="10" t="s">
        <v>89</v>
      </c>
      <c r="J2680" s="13" t="b">
        <v>0</v>
      </c>
      <c r="K2680" s="13" t="b">
        <v>1</v>
      </c>
      <c r="L2680" s="10" t="s">
        <v>124</v>
      </c>
      <c r="M2680" s="10" t="s">
        <v>91</v>
      </c>
      <c r="N2680" s="10" t="s">
        <v>92</v>
      </c>
      <c r="O2680" s="19" t="s">
        <v>20065</v>
      </c>
      <c r="P2680" s="10" t="s">
        <v>575</v>
      </c>
      <c r="Q2680" s="10" t="s">
        <v>126</v>
      </c>
      <c r="R2680" s="10"/>
      <c r="S2680" s="19" t="s">
        <v>20066</v>
      </c>
      <c r="T2680" s="10"/>
      <c r="U2680" s="10" t="s">
        <v>19994</v>
      </c>
      <c r="V2680" s="10" t="s">
        <v>20006</v>
      </c>
      <c r="W2680" s="10" t="s">
        <v>19995</v>
      </c>
      <c r="X2680" s="10" t="s">
        <v>16549</v>
      </c>
      <c r="Y2680" s="10" t="s">
        <v>16549</v>
      </c>
      <c r="Z2680" s="10" t="s">
        <v>99</v>
      </c>
      <c r="AA2680" s="10" t="s">
        <v>131</v>
      </c>
      <c r="AB2680" s="10" t="s">
        <v>19996</v>
      </c>
      <c r="AC2680" s="10" t="s">
        <v>19271</v>
      </c>
      <c r="AD2680" s="10" t="s">
        <v>20067</v>
      </c>
      <c r="AE2680" s="10" t="s">
        <v>20068</v>
      </c>
      <c r="AF2680" s="15"/>
      <c r="AG2680" s="10"/>
      <c r="AH2680" s="10"/>
      <c r="AI2680" s="10"/>
      <c r="AJ2680" s="10"/>
      <c r="AK2680" s="10" t="s">
        <v>102</v>
      </c>
      <c r="AL2680" s="10" t="s">
        <v>7897</v>
      </c>
      <c r="AM2680" s="10"/>
      <c r="AN2680" s="10"/>
      <c r="AO2680" s="13" t="b">
        <v>0</v>
      </c>
      <c r="AP2680" s="22" t="s">
        <v>135</v>
      </c>
      <c r="AQ2680" s="10">
        <f ca="1">IFERROR(__xludf.DUMMYFUNCTION("""COMPUTED_VALUE"""),4773530)</f>
        <v>4773530</v>
      </c>
      <c r="AR2680" s="17">
        <v>4844</v>
      </c>
      <c r="AS2680" s="17">
        <v>3858</v>
      </c>
      <c r="AT2680" s="17">
        <v>34638.75</v>
      </c>
      <c r="AU2680" s="17">
        <v>9</v>
      </c>
      <c r="AV2680" s="17">
        <v>0.65</v>
      </c>
      <c r="AW2680" s="10" t="s">
        <v>105</v>
      </c>
      <c r="AX2680" s="17">
        <v>1221</v>
      </c>
      <c r="AY2680" s="18">
        <v>8.9784214618973568</v>
      </c>
      <c r="AZ2680" s="10" t="s">
        <v>3783</v>
      </c>
      <c r="BA2680" s="20" t="b">
        <v>0</v>
      </c>
      <c r="BB2680" s="10"/>
      <c r="BC2680" s="17">
        <v>4844</v>
      </c>
      <c r="BD2680" s="17">
        <v>3858</v>
      </c>
      <c r="BE2680" s="17">
        <v>34638.75</v>
      </c>
      <c r="BF2680" s="17">
        <v>0.65</v>
      </c>
      <c r="BG2680" s="11">
        <f ca="1">IFERROR(__xludf.DUMMYFUNCTION("""COMPUTED_VALUE"""),46002.8333333333)</f>
        <v>46002.833333333299</v>
      </c>
      <c r="BH2680" s="17" t="s">
        <v>105</v>
      </c>
      <c r="BI2680" s="17"/>
      <c r="BJ2680" s="15"/>
      <c r="BK2680" s="15"/>
      <c r="BL2680" s="13" t="b">
        <v>0</v>
      </c>
      <c r="BM2680" s="10"/>
      <c r="BN2680" s="10" t="s">
        <v>137</v>
      </c>
      <c r="BO2680" s="11">
        <v>45980.518750000003</v>
      </c>
      <c r="BP2680" s="11">
        <v>45982.590046296296</v>
      </c>
      <c r="BQ2680" s="15">
        <v>46000.851550925923</v>
      </c>
      <c r="BR2680" s="15">
        <v>46001.439062500001</v>
      </c>
      <c r="BS2680" s="10" t="s">
        <v>137</v>
      </c>
      <c r="BT2680" s="10" t="s">
        <v>99</v>
      </c>
      <c r="BU2680" s="10" t="s">
        <v>816</v>
      </c>
      <c r="BV2680" s="10"/>
      <c r="BW2680" s="10"/>
      <c r="BX2680" s="10"/>
      <c r="BY2680" s="23"/>
      <c r="BZ2680" s="23"/>
      <c r="CA2680" s="19" t="s">
        <v>20069</v>
      </c>
      <c r="CB2680" s="23"/>
      <c r="CC2680" s="23"/>
      <c r="CD2680" s="19" t="s">
        <v>20070</v>
      </c>
      <c r="CE2680" s="23"/>
      <c r="CF2680" s="23"/>
      <c r="CG2680" s="23"/>
      <c r="CH2680" s="23"/>
      <c r="CI2680" s="23"/>
    </row>
    <row r="2681" spans="1:87" x14ac:dyDescent="0.3">
      <c r="A2681" s="9" t="s">
        <v>20071</v>
      </c>
      <c r="B2681" s="10" t="s">
        <v>20072</v>
      </c>
      <c r="C2681" s="11">
        <v>46002.979166666664</v>
      </c>
      <c r="D2681" s="12">
        <v>8.3333333333333329E-2</v>
      </c>
      <c r="E2681" s="11">
        <v>46003.0625</v>
      </c>
      <c r="F2681" s="22" t="s">
        <v>19990</v>
      </c>
      <c r="G2681" s="13" t="b">
        <v>0</v>
      </c>
      <c r="H2681" s="22" t="s">
        <v>19264</v>
      </c>
      <c r="I2681" s="10" t="s">
        <v>89</v>
      </c>
      <c r="J2681" s="13" t="b">
        <v>0</v>
      </c>
      <c r="K2681" s="13" t="b">
        <v>1</v>
      </c>
      <c r="L2681" s="10" t="s">
        <v>124</v>
      </c>
      <c r="M2681" s="10" t="s">
        <v>91</v>
      </c>
      <c r="N2681" s="10" t="s">
        <v>92</v>
      </c>
      <c r="O2681" s="19" t="s">
        <v>20073</v>
      </c>
      <c r="P2681" s="10" t="s">
        <v>575</v>
      </c>
      <c r="Q2681" s="10" t="s">
        <v>1094</v>
      </c>
      <c r="R2681" s="10"/>
      <c r="S2681" s="19" t="s">
        <v>20074</v>
      </c>
      <c r="T2681" s="10"/>
      <c r="U2681" s="10" t="s">
        <v>20005</v>
      </c>
      <c r="V2681" s="10" t="s">
        <v>19993</v>
      </c>
      <c r="W2681" s="10" t="s">
        <v>19995</v>
      </c>
      <c r="X2681" s="10" t="s">
        <v>16549</v>
      </c>
      <c r="Y2681" s="10" t="s">
        <v>16549</v>
      </c>
      <c r="Z2681" s="10" t="s">
        <v>99</v>
      </c>
      <c r="AA2681" s="10" t="s">
        <v>131</v>
      </c>
      <c r="AB2681" s="10" t="s">
        <v>19996</v>
      </c>
      <c r="AC2681" s="10" t="s">
        <v>19271</v>
      </c>
      <c r="AD2681" s="10" t="s">
        <v>20075</v>
      </c>
      <c r="AE2681" s="10" t="s">
        <v>20076</v>
      </c>
      <c r="AF2681" s="15"/>
      <c r="AG2681" s="10"/>
      <c r="AH2681" s="10"/>
      <c r="AI2681" s="10"/>
      <c r="AJ2681" s="10"/>
      <c r="AK2681" s="10" t="s">
        <v>102</v>
      </c>
      <c r="AL2681" s="10" t="s">
        <v>7897</v>
      </c>
      <c r="AM2681" s="10"/>
      <c r="AN2681" s="10"/>
      <c r="AO2681" s="13" t="b">
        <v>0</v>
      </c>
      <c r="AP2681" s="22" t="s">
        <v>135</v>
      </c>
      <c r="AQ2681" s="10">
        <f ca="1">IFERROR(__xludf.DUMMYFUNCTION("""COMPUTED_VALUE"""),4773531)</f>
        <v>4773531</v>
      </c>
      <c r="AR2681" s="17">
        <v>1860</v>
      </c>
      <c r="AS2681" s="17">
        <v>1545</v>
      </c>
      <c r="AT2681" s="17">
        <v>10185.5</v>
      </c>
      <c r="AU2681" s="17">
        <v>4.55</v>
      </c>
      <c r="AV2681" s="17">
        <v>0.6</v>
      </c>
      <c r="AW2681" s="10" t="s">
        <v>105</v>
      </c>
      <c r="AX2681" s="17">
        <v>356</v>
      </c>
      <c r="AY2681" s="18">
        <v>6.5925566343042075</v>
      </c>
      <c r="AZ2681" s="10" t="s">
        <v>3783</v>
      </c>
      <c r="BA2681" s="20" t="b">
        <v>0</v>
      </c>
      <c r="BB2681" s="10"/>
      <c r="BC2681" s="17">
        <v>1860</v>
      </c>
      <c r="BD2681" s="17">
        <v>1545</v>
      </c>
      <c r="BE2681" s="17">
        <v>10185.5</v>
      </c>
      <c r="BF2681" s="17">
        <v>0.6</v>
      </c>
      <c r="BG2681" s="11">
        <f ca="1">IFERROR(__xludf.DUMMYFUNCTION("""COMPUTED_VALUE"""),46002.9791666666)</f>
        <v>46002.979166666599</v>
      </c>
      <c r="BH2681" s="17" t="s">
        <v>105</v>
      </c>
      <c r="BI2681" s="17"/>
      <c r="BJ2681" s="15"/>
      <c r="BK2681" s="15"/>
      <c r="BL2681" s="13" t="b">
        <v>0</v>
      </c>
      <c r="BM2681" s="10"/>
      <c r="BN2681" s="10" t="s">
        <v>137</v>
      </c>
      <c r="BO2681" s="11">
        <v>45980.519444444442</v>
      </c>
      <c r="BP2681" s="11">
        <v>45985.440335648149</v>
      </c>
      <c r="BQ2681" s="15">
        <v>46000.851655092592</v>
      </c>
      <c r="BR2681" s="15">
        <v>46001.439155092594</v>
      </c>
      <c r="BS2681" s="10" t="s">
        <v>137</v>
      </c>
      <c r="BT2681" s="10" t="s">
        <v>99</v>
      </c>
      <c r="BU2681" s="10"/>
      <c r="BV2681" s="10"/>
      <c r="BW2681" s="10"/>
      <c r="BX2681" s="10"/>
      <c r="BY2681" s="23"/>
      <c r="BZ2681" s="23"/>
      <c r="CA2681" s="19" t="s">
        <v>20077</v>
      </c>
      <c r="CB2681" s="23"/>
      <c r="CC2681" s="23"/>
      <c r="CD2681" s="19" t="s">
        <v>20078</v>
      </c>
      <c r="CE2681" s="23"/>
      <c r="CF2681" s="23"/>
      <c r="CG2681" s="23"/>
      <c r="CH2681" s="23"/>
      <c r="CI2681" s="23"/>
    </row>
    <row r="2682" spans="1:87" x14ac:dyDescent="0.3">
      <c r="A2682" s="9" t="s">
        <v>20079</v>
      </c>
      <c r="B2682" s="10" t="s">
        <v>20080</v>
      </c>
      <c r="C2682" s="11">
        <v>46003.125</v>
      </c>
      <c r="D2682" s="12">
        <v>8.3333333333333329E-2</v>
      </c>
      <c r="E2682" s="11">
        <v>46003.208333333336</v>
      </c>
      <c r="F2682" s="22" t="s">
        <v>19990</v>
      </c>
      <c r="G2682" s="13" t="b">
        <v>0</v>
      </c>
      <c r="H2682" s="22" t="s">
        <v>19264</v>
      </c>
      <c r="I2682" s="10" t="s">
        <v>89</v>
      </c>
      <c r="J2682" s="13" t="b">
        <v>0</v>
      </c>
      <c r="K2682" s="13" t="b">
        <v>1</v>
      </c>
      <c r="L2682" s="10" t="s">
        <v>124</v>
      </c>
      <c r="M2682" s="10" t="s">
        <v>91</v>
      </c>
      <c r="N2682" s="10" t="s">
        <v>92</v>
      </c>
      <c r="O2682" s="19" t="s">
        <v>20081</v>
      </c>
      <c r="P2682" s="10" t="s">
        <v>575</v>
      </c>
      <c r="Q2682" s="10" t="s">
        <v>126</v>
      </c>
      <c r="R2682" s="10"/>
      <c r="S2682" s="19" t="s">
        <v>20082</v>
      </c>
      <c r="T2682" s="10"/>
      <c r="U2682" s="10" t="s">
        <v>20016</v>
      </c>
      <c r="V2682" s="10" t="s">
        <v>20026</v>
      </c>
      <c r="W2682" s="10" t="s">
        <v>19995</v>
      </c>
      <c r="X2682" s="10" t="s">
        <v>16549</v>
      </c>
      <c r="Y2682" s="10" t="s">
        <v>16549</v>
      </c>
      <c r="Z2682" s="10" t="s">
        <v>99</v>
      </c>
      <c r="AA2682" s="10" t="s">
        <v>131</v>
      </c>
      <c r="AB2682" s="10" t="s">
        <v>19996</v>
      </c>
      <c r="AC2682" s="10" t="s">
        <v>19271</v>
      </c>
      <c r="AD2682" s="10" t="s">
        <v>20083</v>
      </c>
      <c r="AE2682" s="10" t="s">
        <v>20084</v>
      </c>
      <c r="AF2682" s="15"/>
      <c r="AG2682" s="10"/>
      <c r="AH2682" s="10"/>
      <c r="AI2682" s="10"/>
      <c r="AJ2682" s="10"/>
      <c r="AK2682" s="10" t="s">
        <v>102</v>
      </c>
      <c r="AL2682" s="10" t="s">
        <v>7897</v>
      </c>
      <c r="AM2682" s="10"/>
      <c r="AN2682" s="10"/>
      <c r="AO2682" s="13" t="b">
        <v>0</v>
      </c>
      <c r="AP2682" s="22" t="s">
        <v>135</v>
      </c>
      <c r="AQ2682" s="10">
        <f ca="1">IFERROR(__xludf.DUMMYFUNCTION("""COMPUTED_VALUE"""),4773608)</f>
        <v>4773608</v>
      </c>
      <c r="AR2682" s="17">
        <v>549</v>
      </c>
      <c r="AS2682" s="17">
        <v>488</v>
      </c>
      <c r="AT2682" s="17">
        <v>6806.5</v>
      </c>
      <c r="AU2682" s="17">
        <v>1.6</v>
      </c>
      <c r="AV2682" s="17">
        <v>0.6</v>
      </c>
      <c r="AW2682" s="10" t="s">
        <v>105</v>
      </c>
      <c r="AX2682" s="17">
        <v>126</v>
      </c>
      <c r="AY2682" s="18">
        <v>13.947745901639344</v>
      </c>
      <c r="AZ2682" s="10" t="s">
        <v>3783</v>
      </c>
      <c r="BA2682" s="20" t="b">
        <v>0</v>
      </c>
      <c r="BB2682" s="10"/>
      <c r="BC2682" s="17">
        <v>549</v>
      </c>
      <c r="BD2682" s="17">
        <v>488</v>
      </c>
      <c r="BE2682" s="17">
        <v>6806.5</v>
      </c>
      <c r="BF2682" s="17">
        <v>0.6</v>
      </c>
      <c r="BG2682" s="11">
        <f ca="1">IFERROR(__xludf.DUMMYFUNCTION("""COMPUTED_VALUE"""),46003.125)</f>
        <v>46003.125</v>
      </c>
      <c r="BH2682" s="17" t="s">
        <v>105</v>
      </c>
      <c r="BI2682" s="17"/>
      <c r="BJ2682" s="15"/>
      <c r="BK2682" s="15"/>
      <c r="BL2682" s="13" t="b">
        <v>0</v>
      </c>
      <c r="BM2682" s="10"/>
      <c r="BN2682" s="10" t="s">
        <v>149</v>
      </c>
      <c r="BO2682" s="11">
        <v>45980.520138888889</v>
      </c>
      <c r="BP2682" s="11">
        <v>45982.590324074074</v>
      </c>
      <c r="BQ2682" s="15">
        <v>46001.461354166669</v>
      </c>
      <c r="BR2682" s="15">
        <v>46001.550532407404</v>
      </c>
      <c r="BS2682" s="10" t="s">
        <v>149</v>
      </c>
      <c r="BT2682" s="10" t="s">
        <v>99</v>
      </c>
      <c r="BU2682" s="10"/>
      <c r="BV2682" s="10"/>
      <c r="BW2682" s="10"/>
      <c r="BX2682" s="10"/>
      <c r="BY2682" s="23"/>
      <c r="BZ2682" s="23"/>
      <c r="CA2682" s="19" t="s">
        <v>20085</v>
      </c>
      <c r="CB2682" s="23"/>
      <c r="CC2682" s="23"/>
      <c r="CD2682" s="19" t="s">
        <v>20086</v>
      </c>
      <c r="CE2682" s="23"/>
      <c r="CF2682" s="23"/>
      <c r="CG2682" s="23"/>
      <c r="CH2682" s="23"/>
      <c r="CI2682" s="23"/>
    </row>
    <row r="2683" spans="1:87" x14ac:dyDescent="0.3">
      <c r="A2683" s="9" t="s">
        <v>20087</v>
      </c>
      <c r="B2683" s="10" t="s">
        <v>20088</v>
      </c>
      <c r="C2683" s="11">
        <v>46003.270833333336</v>
      </c>
      <c r="D2683" s="12">
        <v>8.3333333333333329E-2</v>
      </c>
      <c r="E2683" s="11">
        <v>46003.354166666664</v>
      </c>
      <c r="F2683" s="22" t="s">
        <v>19990</v>
      </c>
      <c r="G2683" s="13" t="b">
        <v>0</v>
      </c>
      <c r="H2683" s="22" t="s">
        <v>19264</v>
      </c>
      <c r="I2683" s="10" t="s">
        <v>89</v>
      </c>
      <c r="J2683" s="13" t="b">
        <v>0</v>
      </c>
      <c r="K2683" s="13" t="b">
        <v>1</v>
      </c>
      <c r="L2683" s="10" t="s">
        <v>124</v>
      </c>
      <c r="M2683" s="10" t="s">
        <v>91</v>
      </c>
      <c r="N2683" s="10" t="s">
        <v>92</v>
      </c>
      <c r="O2683" s="19" t="s">
        <v>20089</v>
      </c>
      <c r="P2683" s="10" t="s">
        <v>575</v>
      </c>
      <c r="Q2683" s="10" t="s">
        <v>126</v>
      </c>
      <c r="R2683" s="10"/>
      <c r="S2683" s="19" t="s">
        <v>20090</v>
      </c>
      <c r="T2683" s="10"/>
      <c r="U2683" s="10" t="s">
        <v>20025</v>
      </c>
      <c r="V2683" s="10" t="s">
        <v>20015</v>
      </c>
      <c r="W2683" s="10" t="s">
        <v>19995</v>
      </c>
      <c r="X2683" s="10" t="s">
        <v>16549</v>
      </c>
      <c r="Y2683" s="10" t="s">
        <v>16549</v>
      </c>
      <c r="Z2683" s="10" t="s">
        <v>99</v>
      </c>
      <c r="AA2683" s="10" t="s">
        <v>131</v>
      </c>
      <c r="AB2683" s="10" t="s">
        <v>19996</v>
      </c>
      <c r="AC2683" s="10" t="s">
        <v>19271</v>
      </c>
      <c r="AD2683" s="10" t="s">
        <v>20091</v>
      </c>
      <c r="AE2683" s="10" t="s">
        <v>20092</v>
      </c>
      <c r="AF2683" s="15"/>
      <c r="AG2683" s="10"/>
      <c r="AH2683" s="10"/>
      <c r="AI2683" s="10"/>
      <c r="AJ2683" s="10"/>
      <c r="AK2683" s="10" t="s">
        <v>102</v>
      </c>
      <c r="AL2683" s="10" t="s">
        <v>7897</v>
      </c>
      <c r="AM2683" s="10"/>
      <c r="AN2683" s="10"/>
      <c r="AO2683" s="13" t="b">
        <v>0</v>
      </c>
      <c r="AP2683" s="22" t="s">
        <v>135</v>
      </c>
      <c r="AQ2683" s="10">
        <f ca="1">IFERROR(__xludf.DUMMYFUNCTION("""COMPUTED_VALUE"""),4773607)</f>
        <v>4773607</v>
      </c>
      <c r="AR2683" s="17">
        <v>3724</v>
      </c>
      <c r="AS2683" s="17">
        <v>3197</v>
      </c>
      <c r="AT2683" s="17">
        <v>50418</v>
      </c>
      <c r="AU2683" s="17">
        <v>10.1</v>
      </c>
      <c r="AV2683" s="17">
        <v>2.15</v>
      </c>
      <c r="AW2683" s="10" t="s">
        <v>105</v>
      </c>
      <c r="AX2683" s="17">
        <v>608</v>
      </c>
      <c r="AY2683" s="18">
        <v>15.770409759149203</v>
      </c>
      <c r="AZ2683" s="10" t="s">
        <v>3783</v>
      </c>
      <c r="BA2683" s="20" t="b">
        <v>0</v>
      </c>
      <c r="BB2683" s="10"/>
      <c r="BC2683" s="17">
        <v>3724</v>
      </c>
      <c r="BD2683" s="17">
        <v>3197</v>
      </c>
      <c r="BE2683" s="17">
        <v>50418</v>
      </c>
      <c r="BF2683" s="17">
        <v>2.15</v>
      </c>
      <c r="BG2683" s="11">
        <f ca="1">IFERROR(__xludf.DUMMYFUNCTION("""COMPUTED_VALUE"""),46003.2708333333)</f>
        <v>46003.270833333299</v>
      </c>
      <c r="BH2683" s="17" t="s">
        <v>105</v>
      </c>
      <c r="BI2683" s="17"/>
      <c r="BJ2683" s="15"/>
      <c r="BK2683" s="15"/>
      <c r="BL2683" s="13" t="b">
        <v>0</v>
      </c>
      <c r="BM2683" s="10"/>
      <c r="BN2683" s="10" t="s">
        <v>149</v>
      </c>
      <c r="BO2683" s="11">
        <v>45980.521527777775</v>
      </c>
      <c r="BP2683" s="11">
        <v>45985.439641203702</v>
      </c>
      <c r="BQ2683" s="15">
        <v>46001.461469907408</v>
      </c>
      <c r="BR2683" s="15">
        <v>46001.550717592596</v>
      </c>
      <c r="BS2683" s="10" t="s">
        <v>149</v>
      </c>
      <c r="BT2683" s="10" t="s">
        <v>99</v>
      </c>
      <c r="BU2683" s="10"/>
      <c r="BV2683" s="10"/>
      <c r="BW2683" s="10"/>
      <c r="BX2683" s="10"/>
      <c r="BY2683" s="23"/>
      <c r="BZ2683" s="23"/>
      <c r="CA2683" s="19" t="s">
        <v>20093</v>
      </c>
      <c r="CB2683" s="23"/>
      <c r="CC2683" s="23"/>
      <c r="CD2683" s="19" t="s">
        <v>20094</v>
      </c>
      <c r="CE2683" s="23"/>
      <c r="CF2683" s="23"/>
      <c r="CG2683" s="23"/>
      <c r="CH2683" s="23"/>
      <c r="CI2683" s="23"/>
    </row>
    <row r="2684" spans="1:87" x14ac:dyDescent="0.3">
      <c r="A2684" s="9" t="s">
        <v>20095</v>
      </c>
      <c r="B2684" s="10" t="s">
        <v>20096</v>
      </c>
      <c r="C2684" s="11">
        <v>46004.958333333336</v>
      </c>
      <c r="D2684" s="12">
        <v>8.3333333333333329E-2</v>
      </c>
      <c r="E2684" s="11">
        <v>46005.041666666664</v>
      </c>
      <c r="F2684" s="22" t="s">
        <v>19990</v>
      </c>
      <c r="G2684" s="13" t="b">
        <v>0</v>
      </c>
      <c r="H2684" s="22" t="s">
        <v>19264</v>
      </c>
      <c r="I2684" s="10" t="s">
        <v>89</v>
      </c>
      <c r="J2684" s="13" t="b">
        <v>0</v>
      </c>
      <c r="K2684" s="13" t="b">
        <v>1</v>
      </c>
      <c r="L2684" s="10"/>
      <c r="M2684" s="10" t="s">
        <v>91</v>
      </c>
      <c r="N2684" s="10" t="s">
        <v>92</v>
      </c>
      <c r="O2684" s="19" t="s">
        <v>20097</v>
      </c>
      <c r="P2684" s="10" t="s">
        <v>575</v>
      </c>
      <c r="Q2684" s="10" t="s">
        <v>126</v>
      </c>
      <c r="R2684" s="10"/>
      <c r="S2684" s="19" t="s">
        <v>20098</v>
      </c>
      <c r="T2684" s="10"/>
      <c r="U2684" s="10" t="s">
        <v>20016</v>
      </c>
      <c r="V2684" s="10" t="s">
        <v>19993</v>
      </c>
      <c r="W2684" s="10" t="s">
        <v>19995</v>
      </c>
      <c r="X2684" s="10" t="s">
        <v>16549</v>
      </c>
      <c r="Y2684" s="10" t="s">
        <v>16549</v>
      </c>
      <c r="Z2684" s="10" t="s">
        <v>99</v>
      </c>
      <c r="AA2684" s="10" t="s">
        <v>131</v>
      </c>
      <c r="AB2684" s="10" t="s">
        <v>19996</v>
      </c>
      <c r="AC2684" s="10" t="s">
        <v>19271</v>
      </c>
      <c r="AD2684" s="10" t="s">
        <v>20099</v>
      </c>
      <c r="AE2684" s="10" t="s">
        <v>20100</v>
      </c>
      <c r="AF2684" s="15"/>
      <c r="AG2684" s="10"/>
      <c r="AH2684" s="10"/>
      <c r="AI2684" s="10"/>
      <c r="AJ2684" s="10" t="s">
        <v>20101</v>
      </c>
      <c r="AK2684" s="10" t="s">
        <v>102</v>
      </c>
      <c r="AL2684" s="10" t="s">
        <v>20102</v>
      </c>
      <c r="AM2684" s="10"/>
      <c r="AN2684" s="10"/>
      <c r="AO2684" s="13" t="b">
        <v>0</v>
      </c>
      <c r="AP2684" s="22" t="s">
        <v>135</v>
      </c>
      <c r="AQ2684" s="10">
        <f ca="1">IFERROR(__xludf.DUMMYFUNCTION("""COMPUTED_VALUE"""),4778376)</f>
        <v>4778376</v>
      </c>
      <c r="AR2684" s="17">
        <v>2558</v>
      </c>
      <c r="AS2684" s="17">
        <v>2091</v>
      </c>
      <c r="AT2684" s="17">
        <v>25457.25</v>
      </c>
      <c r="AU2684" s="17">
        <v>8.1</v>
      </c>
      <c r="AV2684" s="17">
        <v>2.5</v>
      </c>
      <c r="AW2684" s="10" t="s">
        <v>105</v>
      </c>
      <c r="AX2684" s="17">
        <v>562</v>
      </c>
      <c r="AY2684" s="18">
        <v>12.174677187948349</v>
      </c>
      <c r="AZ2684" s="10" t="s">
        <v>3783</v>
      </c>
      <c r="BA2684" s="20" t="b">
        <v>0</v>
      </c>
      <c r="BB2684" s="10"/>
      <c r="BC2684" s="17">
        <v>2558</v>
      </c>
      <c r="BD2684" s="17">
        <v>2091</v>
      </c>
      <c r="BE2684" s="17">
        <v>25457.25</v>
      </c>
      <c r="BF2684" s="17">
        <v>2.5</v>
      </c>
      <c r="BG2684" s="11">
        <f ca="1">IFERROR(__xludf.DUMMYFUNCTION("""COMPUTED_VALUE"""),46004.9583333333)</f>
        <v>46004.958333333299</v>
      </c>
      <c r="BH2684" s="17" t="s">
        <v>105</v>
      </c>
      <c r="BI2684" s="17"/>
      <c r="BJ2684" s="15"/>
      <c r="BK2684" s="15"/>
      <c r="BL2684" s="13" t="b">
        <v>0</v>
      </c>
      <c r="BM2684" s="10"/>
      <c r="BN2684" s="10" t="s">
        <v>1149</v>
      </c>
      <c r="BO2684" s="11">
        <v>45980.588194444441</v>
      </c>
      <c r="BP2684" s="11">
        <v>46003.425879629627</v>
      </c>
      <c r="BQ2684" s="15">
        <v>46003.927314814813</v>
      </c>
      <c r="BR2684" s="15">
        <v>46004.398240740738</v>
      </c>
      <c r="BS2684" s="10" t="s">
        <v>1149</v>
      </c>
      <c r="BT2684" s="10" t="s">
        <v>99</v>
      </c>
      <c r="BU2684" s="10" t="s">
        <v>931</v>
      </c>
      <c r="BV2684" s="10"/>
      <c r="BW2684" s="10"/>
      <c r="BX2684" s="10"/>
      <c r="BY2684" s="23"/>
      <c r="BZ2684" s="23"/>
      <c r="CA2684" s="19" t="s">
        <v>20103</v>
      </c>
      <c r="CB2684" s="23"/>
      <c r="CC2684" s="23"/>
      <c r="CD2684" s="19" t="s">
        <v>20104</v>
      </c>
      <c r="CE2684" s="23"/>
      <c r="CF2684" s="23"/>
      <c r="CG2684" s="23"/>
      <c r="CH2684" s="23"/>
      <c r="CI2684" s="23"/>
    </row>
    <row r="2685" spans="1:87" x14ac:dyDescent="0.3">
      <c r="A2685" s="9" t="s">
        <v>20105</v>
      </c>
      <c r="B2685" s="10" t="s">
        <v>20106</v>
      </c>
      <c r="C2685" s="11">
        <v>46005.104166666664</v>
      </c>
      <c r="D2685" s="12">
        <v>8.3333333333333329E-2</v>
      </c>
      <c r="E2685" s="11">
        <v>46005.1875</v>
      </c>
      <c r="F2685" s="22" t="s">
        <v>19990</v>
      </c>
      <c r="G2685" s="13" t="b">
        <v>0</v>
      </c>
      <c r="H2685" s="22" t="s">
        <v>19264</v>
      </c>
      <c r="I2685" s="10" t="s">
        <v>89</v>
      </c>
      <c r="J2685" s="13" t="b">
        <v>0</v>
      </c>
      <c r="K2685" s="13" t="b">
        <v>1</v>
      </c>
      <c r="L2685" s="10"/>
      <c r="M2685" s="10" t="s">
        <v>91</v>
      </c>
      <c r="N2685" s="10" t="s">
        <v>92</v>
      </c>
      <c r="O2685" s="19" t="s">
        <v>20107</v>
      </c>
      <c r="P2685" s="10" t="s">
        <v>575</v>
      </c>
      <c r="Q2685" s="10" t="s">
        <v>126</v>
      </c>
      <c r="R2685" s="10"/>
      <c r="S2685" s="19" t="s">
        <v>20108</v>
      </c>
      <c r="T2685" s="10"/>
      <c r="U2685" s="10" t="s">
        <v>20005</v>
      </c>
      <c r="V2685" s="10" t="s">
        <v>20025</v>
      </c>
      <c r="W2685" s="10" t="s">
        <v>19995</v>
      </c>
      <c r="X2685" s="10" t="s">
        <v>16549</v>
      </c>
      <c r="Y2685" s="10" t="s">
        <v>16549</v>
      </c>
      <c r="Z2685" s="10" t="s">
        <v>99</v>
      </c>
      <c r="AA2685" s="10" t="s">
        <v>131</v>
      </c>
      <c r="AB2685" s="10" t="s">
        <v>19996</v>
      </c>
      <c r="AC2685" s="10" t="s">
        <v>19271</v>
      </c>
      <c r="AD2685" s="10" t="s">
        <v>20109</v>
      </c>
      <c r="AE2685" s="10" t="s">
        <v>20110</v>
      </c>
      <c r="AF2685" s="15"/>
      <c r="AG2685" s="10"/>
      <c r="AH2685" s="10"/>
      <c r="AI2685" s="10"/>
      <c r="AJ2685" s="10" t="s">
        <v>20111</v>
      </c>
      <c r="AK2685" s="10" t="s">
        <v>102</v>
      </c>
      <c r="AL2685" s="10" t="s">
        <v>20102</v>
      </c>
      <c r="AM2685" s="10"/>
      <c r="AN2685" s="10"/>
      <c r="AO2685" s="13" t="b">
        <v>0</v>
      </c>
      <c r="AP2685" s="22" t="s">
        <v>135</v>
      </c>
      <c r="AQ2685" s="10">
        <f ca="1">IFERROR(__xludf.DUMMYFUNCTION("""COMPUTED_VALUE"""),4778377)</f>
        <v>4778377</v>
      </c>
      <c r="AR2685" s="17">
        <v>1789</v>
      </c>
      <c r="AS2685" s="17">
        <v>1395</v>
      </c>
      <c r="AT2685" s="17">
        <v>20638.5</v>
      </c>
      <c r="AU2685" s="17">
        <v>2</v>
      </c>
      <c r="AV2685" s="17">
        <v>1.35</v>
      </c>
      <c r="AW2685" s="10" t="s">
        <v>105</v>
      </c>
      <c r="AX2685" s="17">
        <v>275</v>
      </c>
      <c r="AY2685" s="18">
        <v>14.794623655913979</v>
      </c>
      <c r="AZ2685" s="10" t="s">
        <v>3783</v>
      </c>
      <c r="BA2685" s="20" t="b">
        <v>0</v>
      </c>
      <c r="BB2685" s="10"/>
      <c r="BC2685" s="17">
        <v>1789</v>
      </c>
      <c r="BD2685" s="17">
        <v>1395</v>
      </c>
      <c r="BE2685" s="17">
        <v>20638.5</v>
      </c>
      <c r="BF2685" s="17">
        <v>1.35</v>
      </c>
      <c r="BG2685" s="11">
        <f ca="1">IFERROR(__xludf.DUMMYFUNCTION("""COMPUTED_VALUE"""),46005.1041666666)</f>
        <v>46005.104166666599</v>
      </c>
      <c r="BH2685" s="17" t="s">
        <v>105</v>
      </c>
      <c r="BI2685" s="17"/>
      <c r="BJ2685" s="15"/>
      <c r="BK2685" s="15"/>
      <c r="BL2685" s="13" t="b">
        <v>0</v>
      </c>
      <c r="BM2685" s="10"/>
      <c r="BN2685" s="10" t="s">
        <v>1149</v>
      </c>
      <c r="BO2685" s="11">
        <v>45980.588888888888</v>
      </c>
      <c r="BP2685" s="11">
        <v>46003.426770833335</v>
      </c>
      <c r="BQ2685" s="15">
        <v>46003.927152777775</v>
      </c>
      <c r="BR2685" s="15">
        <v>46004.398518518516</v>
      </c>
      <c r="BS2685" s="10" t="s">
        <v>1149</v>
      </c>
      <c r="BT2685" s="10" t="s">
        <v>99</v>
      </c>
      <c r="BU2685" s="10" t="s">
        <v>931</v>
      </c>
      <c r="BV2685" s="10"/>
      <c r="BW2685" s="10"/>
      <c r="BX2685" s="10"/>
      <c r="BY2685" s="23"/>
      <c r="BZ2685" s="23"/>
      <c r="CA2685" s="19" t="s">
        <v>20112</v>
      </c>
      <c r="CB2685" s="23"/>
      <c r="CC2685" s="23"/>
      <c r="CD2685" s="19" t="s">
        <v>20113</v>
      </c>
      <c r="CE2685" s="23"/>
      <c r="CF2685" s="23"/>
      <c r="CG2685" s="23"/>
      <c r="CH2685" s="23"/>
      <c r="CI2685" s="23"/>
    </row>
    <row r="2686" spans="1:87" x14ac:dyDescent="0.3">
      <c r="A2686" s="9" t="s">
        <v>20114</v>
      </c>
      <c r="B2686" s="10" t="s">
        <v>20115</v>
      </c>
      <c r="C2686" s="11">
        <v>46005.958333333336</v>
      </c>
      <c r="D2686" s="12">
        <v>8.3333333333333329E-2</v>
      </c>
      <c r="E2686" s="11">
        <v>46006.041666666664</v>
      </c>
      <c r="F2686" s="22" t="s">
        <v>19990</v>
      </c>
      <c r="G2686" s="13" t="b">
        <v>0</v>
      </c>
      <c r="H2686" s="22" t="s">
        <v>19264</v>
      </c>
      <c r="I2686" s="10" t="s">
        <v>89</v>
      </c>
      <c r="J2686" s="13" t="b">
        <v>0</v>
      </c>
      <c r="K2686" s="13" t="b">
        <v>1</v>
      </c>
      <c r="L2686" s="10"/>
      <c r="M2686" s="10" t="s">
        <v>91</v>
      </c>
      <c r="N2686" s="10" t="s">
        <v>92</v>
      </c>
      <c r="O2686" s="19" t="s">
        <v>20116</v>
      </c>
      <c r="P2686" s="10" t="s">
        <v>575</v>
      </c>
      <c r="Q2686" s="10" t="s">
        <v>126</v>
      </c>
      <c r="R2686" s="10"/>
      <c r="S2686" s="19" t="s">
        <v>20117</v>
      </c>
      <c r="T2686" s="10"/>
      <c r="U2686" s="10" t="s">
        <v>19993</v>
      </c>
      <c r="V2686" s="10" t="s">
        <v>20025</v>
      </c>
      <c r="W2686" s="10" t="s">
        <v>19995</v>
      </c>
      <c r="X2686" s="10" t="s">
        <v>16549</v>
      </c>
      <c r="Y2686" s="10" t="s">
        <v>16549</v>
      </c>
      <c r="Z2686" s="10" t="s">
        <v>99</v>
      </c>
      <c r="AA2686" s="10" t="s">
        <v>131</v>
      </c>
      <c r="AB2686" s="10" t="s">
        <v>19996</v>
      </c>
      <c r="AC2686" s="10" t="s">
        <v>19271</v>
      </c>
      <c r="AD2686" s="10" t="s">
        <v>20118</v>
      </c>
      <c r="AE2686" s="10" t="s">
        <v>20119</v>
      </c>
      <c r="AF2686" s="15"/>
      <c r="AG2686" s="10"/>
      <c r="AH2686" s="10"/>
      <c r="AI2686" s="10"/>
      <c r="AJ2686" s="10"/>
      <c r="AK2686" s="10" t="s">
        <v>102</v>
      </c>
      <c r="AL2686" s="10" t="s">
        <v>20120</v>
      </c>
      <c r="AM2686" s="10"/>
      <c r="AN2686" s="10"/>
      <c r="AO2686" s="13" t="b">
        <v>0</v>
      </c>
      <c r="AP2686" s="22" t="s">
        <v>135</v>
      </c>
      <c r="AQ2686" s="10">
        <f ca="1">IFERROR(__xludf.DUMMYFUNCTION("""COMPUTED_VALUE"""),4780667)</f>
        <v>4780667</v>
      </c>
      <c r="AR2686" s="21">
        <v>1096</v>
      </c>
      <c r="AS2686" s="21">
        <v>947</v>
      </c>
      <c r="AT2686" s="21">
        <v>7043.75</v>
      </c>
      <c r="AU2686" s="21">
        <v>1.05</v>
      </c>
      <c r="AV2686" s="21">
        <v>0.65</v>
      </c>
      <c r="AW2686" s="22" t="s">
        <v>105</v>
      </c>
      <c r="AX2686" s="21">
        <v>244</v>
      </c>
      <c r="AY2686" s="18">
        <v>7.4379619852164733</v>
      </c>
      <c r="AZ2686" s="10" t="s">
        <v>136</v>
      </c>
      <c r="BA2686" s="20" t="b">
        <v>0</v>
      </c>
      <c r="BB2686" s="10"/>
      <c r="BC2686" s="17">
        <v>1096</v>
      </c>
      <c r="BD2686" s="17">
        <v>947</v>
      </c>
      <c r="BE2686" s="17">
        <v>7043.75</v>
      </c>
      <c r="BF2686" s="17">
        <v>0.65</v>
      </c>
      <c r="BG2686" s="11">
        <f ca="1">IFERROR(__xludf.DUMMYFUNCTION("""COMPUTED_VALUE"""),46005.9583333333)</f>
        <v>46005.958333333299</v>
      </c>
      <c r="BH2686" s="17" t="s">
        <v>105</v>
      </c>
      <c r="BI2686" s="17"/>
      <c r="BJ2686" s="15"/>
      <c r="BK2686" s="15"/>
      <c r="BL2686" s="13" t="b">
        <v>0</v>
      </c>
      <c r="BM2686" s="10"/>
      <c r="BN2686" s="10" t="s">
        <v>1149</v>
      </c>
      <c r="BO2686" s="11">
        <v>45980.588888888888</v>
      </c>
      <c r="BP2686" s="11">
        <v>46005.72142361111</v>
      </c>
      <c r="BQ2686" s="15">
        <v>46005.93167824074</v>
      </c>
      <c r="BR2686" s="15">
        <v>46005.966041666667</v>
      </c>
      <c r="BS2686" s="10" t="s">
        <v>1149</v>
      </c>
      <c r="BT2686" s="10" t="s">
        <v>99</v>
      </c>
      <c r="BU2686" s="10" t="s">
        <v>298</v>
      </c>
      <c r="BV2686" s="10"/>
      <c r="BW2686" s="10"/>
      <c r="BX2686" s="10"/>
      <c r="BY2686" s="23"/>
      <c r="BZ2686" s="23"/>
      <c r="CA2686" s="19" t="s">
        <v>20121</v>
      </c>
      <c r="CB2686" s="23"/>
      <c r="CC2686" s="23"/>
      <c r="CD2686" s="19" t="s">
        <v>20122</v>
      </c>
      <c r="CE2686" s="23"/>
      <c r="CF2686" s="23"/>
      <c r="CG2686" s="23"/>
      <c r="CH2686" s="23"/>
      <c r="CI2686" s="23"/>
    </row>
    <row r="2687" spans="1:87" x14ac:dyDescent="0.3">
      <c r="A2687" s="9" t="s">
        <v>20123</v>
      </c>
      <c r="B2687" s="10" t="s">
        <v>20124</v>
      </c>
      <c r="C2687" s="11">
        <v>46006.104166666664</v>
      </c>
      <c r="D2687" s="12">
        <v>8.3333333333333329E-2</v>
      </c>
      <c r="E2687" s="11">
        <v>46006.1875</v>
      </c>
      <c r="F2687" s="22" t="s">
        <v>19990</v>
      </c>
      <c r="G2687" s="13" t="b">
        <v>0</v>
      </c>
      <c r="H2687" s="22" t="s">
        <v>19264</v>
      </c>
      <c r="I2687" s="10" t="s">
        <v>89</v>
      </c>
      <c r="J2687" s="13" t="b">
        <v>0</v>
      </c>
      <c r="K2687" s="13" t="b">
        <v>1</v>
      </c>
      <c r="L2687" s="10"/>
      <c r="M2687" s="10" t="s">
        <v>91</v>
      </c>
      <c r="N2687" s="10" t="s">
        <v>92</v>
      </c>
      <c r="O2687" s="19" t="s">
        <v>20116</v>
      </c>
      <c r="P2687" s="10" t="s">
        <v>575</v>
      </c>
      <c r="Q2687" s="10" t="s">
        <v>126</v>
      </c>
      <c r="R2687" s="10"/>
      <c r="S2687" s="19" t="s">
        <v>20125</v>
      </c>
      <c r="T2687" s="10"/>
      <c r="U2687" s="10" t="s">
        <v>20016</v>
      </c>
      <c r="V2687" s="10" t="s">
        <v>20005</v>
      </c>
      <c r="W2687" s="10" t="s">
        <v>19995</v>
      </c>
      <c r="X2687" s="10" t="s">
        <v>16549</v>
      </c>
      <c r="Y2687" s="10" t="s">
        <v>16549</v>
      </c>
      <c r="Z2687" s="10" t="s">
        <v>99</v>
      </c>
      <c r="AA2687" s="10" t="s">
        <v>131</v>
      </c>
      <c r="AB2687" s="10" t="s">
        <v>19996</v>
      </c>
      <c r="AC2687" s="10" t="s">
        <v>19271</v>
      </c>
      <c r="AD2687" s="10" t="s">
        <v>20126</v>
      </c>
      <c r="AE2687" s="10" t="s">
        <v>20127</v>
      </c>
      <c r="AF2687" s="15"/>
      <c r="AG2687" s="10"/>
      <c r="AH2687" s="10"/>
      <c r="AI2687" s="10"/>
      <c r="AJ2687" s="10"/>
      <c r="AK2687" s="10" t="s">
        <v>102</v>
      </c>
      <c r="AL2687" s="10" t="s">
        <v>220</v>
      </c>
      <c r="AM2687" s="10"/>
      <c r="AN2687" s="10"/>
      <c r="AO2687" s="13" t="b">
        <v>0</v>
      </c>
      <c r="AP2687" s="22" t="s">
        <v>135</v>
      </c>
      <c r="AQ2687" s="10">
        <f ca="1">IFERROR(__xludf.DUMMYFUNCTION("""COMPUTED_VALUE"""),4780667)</f>
        <v>4780667</v>
      </c>
      <c r="AR2687" s="17">
        <v>1925</v>
      </c>
      <c r="AS2687" s="17">
        <v>1597</v>
      </c>
      <c r="AT2687" s="17">
        <v>12845</v>
      </c>
      <c r="AU2687" s="17">
        <v>3.95</v>
      </c>
      <c r="AV2687" s="17">
        <v>1.75</v>
      </c>
      <c r="AW2687" s="10" t="s">
        <v>105</v>
      </c>
      <c r="AX2687" s="17">
        <v>247</v>
      </c>
      <c r="AY2687" s="18">
        <v>8.043206011271133</v>
      </c>
      <c r="AZ2687" s="10" t="s">
        <v>136</v>
      </c>
      <c r="BA2687" s="20" t="b">
        <v>0</v>
      </c>
      <c r="BB2687" s="10"/>
      <c r="BC2687" s="17">
        <v>1925</v>
      </c>
      <c r="BD2687" s="17">
        <v>1597</v>
      </c>
      <c r="BE2687" s="17">
        <v>12845</v>
      </c>
      <c r="BF2687" s="17">
        <v>1.75</v>
      </c>
      <c r="BG2687" s="11">
        <f ca="1">IFERROR(__xludf.DUMMYFUNCTION("""COMPUTED_VALUE"""),46006.1041666666)</f>
        <v>46006.104166666599</v>
      </c>
      <c r="BH2687" s="17" t="s">
        <v>105</v>
      </c>
      <c r="BI2687" s="17"/>
      <c r="BJ2687" s="15"/>
      <c r="BK2687" s="15"/>
      <c r="BL2687" s="13" t="b">
        <v>0</v>
      </c>
      <c r="BM2687" s="10"/>
      <c r="BN2687" s="10" t="s">
        <v>1149</v>
      </c>
      <c r="BO2687" s="11">
        <v>45980.589583333334</v>
      </c>
      <c r="BP2687" s="11">
        <v>46005.721585648149</v>
      </c>
      <c r="BQ2687" s="15">
        <v>46005.932569444441</v>
      </c>
      <c r="BR2687" s="15">
        <v>46005.966134259259</v>
      </c>
      <c r="BS2687" s="10" t="s">
        <v>1149</v>
      </c>
      <c r="BT2687" s="10" t="s">
        <v>99</v>
      </c>
      <c r="BU2687" s="10" t="s">
        <v>298</v>
      </c>
      <c r="BV2687" s="10"/>
      <c r="BW2687" s="10"/>
      <c r="BX2687" s="10"/>
      <c r="BY2687" s="23"/>
      <c r="BZ2687" s="23"/>
      <c r="CA2687" s="19" t="s">
        <v>20128</v>
      </c>
      <c r="CB2687" s="23"/>
      <c r="CC2687" s="23"/>
      <c r="CD2687" s="19" t="s">
        <v>20129</v>
      </c>
      <c r="CE2687" s="23"/>
      <c r="CF2687" s="23"/>
      <c r="CG2687" s="23"/>
      <c r="CH2687" s="23"/>
      <c r="CI2687" s="23"/>
    </row>
    <row r="2688" spans="1:87" x14ac:dyDescent="0.3">
      <c r="A2688" s="9" t="s">
        <v>20130</v>
      </c>
      <c r="B2688" s="10" t="s">
        <v>20131</v>
      </c>
      <c r="C2688" s="11">
        <v>46012.041666666664</v>
      </c>
      <c r="D2688" s="12">
        <v>8.3333333333333329E-2</v>
      </c>
      <c r="E2688" s="11">
        <v>46012.125</v>
      </c>
      <c r="F2688" s="22" t="s">
        <v>19263</v>
      </c>
      <c r="G2688" s="13" t="b">
        <v>0</v>
      </c>
      <c r="H2688" s="22" t="s">
        <v>19264</v>
      </c>
      <c r="I2688" s="10" t="s">
        <v>89</v>
      </c>
      <c r="J2688" s="13" t="b">
        <v>0</v>
      </c>
      <c r="K2688" s="13" t="b">
        <v>1</v>
      </c>
      <c r="L2688" s="10" t="s">
        <v>124</v>
      </c>
      <c r="M2688" s="10" t="s">
        <v>91</v>
      </c>
      <c r="N2688" s="10" t="s">
        <v>92</v>
      </c>
      <c r="O2688" s="19" t="s">
        <v>20132</v>
      </c>
      <c r="P2688" s="10" t="s">
        <v>19264</v>
      </c>
      <c r="Q2688" s="10" t="s">
        <v>126</v>
      </c>
      <c r="R2688" s="10"/>
      <c r="S2688" s="19" t="s">
        <v>20133</v>
      </c>
      <c r="T2688" s="10"/>
      <c r="U2688" s="10" t="s">
        <v>19301</v>
      </c>
      <c r="V2688" s="10" t="s">
        <v>19268</v>
      </c>
      <c r="W2688" s="10" t="s">
        <v>19269</v>
      </c>
      <c r="X2688" s="10" t="s">
        <v>16549</v>
      </c>
      <c r="Y2688" s="10" t="s">
        <v>16549</v>
      </c>
      <c r="Z2688" s="10" t="s">
        <v>99</v>
      </c>
      <c r="AA2688" s="10" t="s">
        <v>131</v>
      </c>
      <c r="AB2688" s="10" t="s">
        <v>19270</v>
      </c>
      <c r="AC2688" s="10" t="s">
        <v>19271</v>
      </c>
      <c r="AD2688" s="10" t="s">
        <v>20134</v>
      </c>
      <c r="AE2688" s="10" t="s">
        <v>20135</v>
      </c>
      <c r="AF2688" s="15"/>
      <c r="AG2688" s="10"/>
      <c r="AH2688" s="10"/>
      <c r="AI2688" s="10"/>
      <c r="AJ2688" s="10"/>
      <c r="AK2688" s="10" t="s">
        <v>102</v>
      </c>
      <c r="AL2688" s="10" t="s">
        <v>20102</v>
      </c>
      <c r="AM2688" s="10"/>
      <c r="AN2688" s="10"/>
      <c r="AO2688" s="13" t="b">
        <v>0</v>
      </c>
      <c r="AP2688" s="22" t="s">
        <v>104</v>
      </c>
      <c r="AQ2688" s="10">
        <f ca="1">IFERROR(__xludf.DUMMYFUNCTION("""COMPUTED_VALUE"""),4788325)</f>
        <v>4788325</v>
      </c>
      <c r="AR2688" s="17">
        <v>1245</v>
      </c>
      <c r="AS2688" s="17">
        <v>1060</v>
      </c>
      <c r="AT2688" s="17">
        <v>19537</v>
      </c>
      <c r="AU2688" s="17">
        <v>2</v>
      </c>
      <c r="AV2688" s="17">
        <v>0.75</v>
      </c>
      <c r="AW2688" s="10" t="s">
        <v>105</v>
      </c>
      <c r="AX2688" s="17">
        <v>283</v>
      </c>
      <c r="AY2688" s="18">
        <v>18.431132075471698</v>
      </c>
      <c r="AZ2688" s="10" t="s">
        <v>136</v>
      </c>
      <c r="BA2688" s="20" t="b">
        <v>0</v>
      </c>
      <c r="BB2688" s="10"/>
      <c r="BC2688" s="17">
        <v>1245</v>
      </c>
      <c r="BD2688" s="17">
        <v>1060</v>
      </c>
      <c r="BE2688" s="17">
        <v>19537</v>
      </c>
      <c r="BF2688" s="17">
        <v>0.75</v>
      </c>
      <c r="BG2688" s="11">
        <f ca="1">IFERROR(__xludf.DUMMYFUNCTION("""COMPUTED_VALUE"""),46012.0416666666)</f>
        <v>46012.041666666599</v>
      </c>
      <c r="BH2688" s="17" t="s">
        <v>105</v>
      </c>
      <c r="BI2688" s="17"/>
      <c r="BJ2688" s="15"/>
      <c r="BK2688" s="15"/>
      <c r="BL2688" s="13" t="b">
        <v>0</v>
      </c>
      <c r="BM2688" s="10"/>
      <c r="BN2688" s="10" t="s">
        <v>634</v>
      </c>
      <c r="BO2688" s="11">
        <v>45980.592361111114</v>
      </c>
      <c r="BP2688" s="11">
        <v>46010.429293981484</v>
      </c>
      <c r="BQ2688" s="15">
        <v>46010.856342592589</v>
      </c>
      <c r="BR2688" s="15">
        <v>46011.02443287037</v>
      </c>
      <c r="BS2688" s="10" t="s">
        <v>634</v>
      </c>
      <c r="BT2688" s="10"/>
      <c r="BU2688" s="10"/>
      <c r="BV2688" s="10"/>
      <c r="BW2688" s="10"/>
      <c r="BX2688" s="10"/>
      <c r="BY2688" s="23"/>
      <c r="BZ2688" s="23"/>
      <c r="CA2688" s="19" t="s">
        <v>20136</v>
      </c>
      <c r="CB2688" s="23"/>
      <c r="CC2688" s="23"/>
      <c r="CD2688" s="19" t="s">
        <v>20137</v>
      </c>
      <c r="CE2688" s="23"/>
      <c r="CF2688" s="23"/>
      <c r="CG2688" s="23"/>
      <c r="CH2688" s="23"/>
      <c r="CI2688" s="23"/>
    </row>
    <row r="2689" spans="1:87" x14ac:dyDescent="0.3">
      <c r="A2689" s="9" t="s">
        <v>20138</v>
      </c>
      <c r="B2689" s="10" t="s">
        <v>20139</v>
      </c>
      <c r="C2689" s="11">
        <v>46012.1875</v>
      </c>
      <c r="D2689" s="12">
        <v>8.3333333333333329E-2</v>
      </c>
      <c r="E2689" s="11">
        <v>46012.270833333336</v>
      </c>
      <c r="F2689" s="22" t="s">
        <v>19263</v>
      </c>
      <c r="G2689" s="13" t="b">
        <v>0</v>
      </c>
      <c r="H2689" s="22" t="s">
        <v>19264</v>
      </c>
      <c r="I2689" s="10" t="s">
        <v>89</v>
      </c>
      <c r="J2689" s="13" t="b">
        <v>0</v>
      </c>
      <c r="K2689" s="13" t="b">
        <v>1</v>
      </c>
      <c r="L2689" s="10" t="s">
        <v>124</v>
      </c>
      <c r="M2689" s="10" t="s">
        <v>91</v>
      </c>
      <c r="N2689" s="10" t="s">
        <v>92</v>
      </c>
      <c r="O2689" s="19" t="s">
        <v>20140</v>
      </c>
      <c r="P2689" s="10" t="s">
        <v>19264</v>
      </c>
      <c r="Q2689" s="10" t="s">
        <v>126</v>
      </c>
      <c r="R2689" s="10"/>
      <c r="S2689" s="19" t="s">
        <v>20141</v>
      </c>
      <c r="T2689" s="10"/>
      <c r="U2689" s="10" t="s">
        <v>19280</v>
      </c>
      <c r="V2689" s="10" t="s">
        <v>19300</v>
      </c>
      <c r="W2689" s="10" t="s">
        <v>19269</v>
      </c>
      <c r="X2689" s="10" t="s">
        <v>16549</v>
      </c>
      <c r="Y2689" s="10" t="s">
        <v>16549</v>
      </c>
      <c r="Z2689" s="10" t="s">
        <v>99</v>
      </c>
      <c r="AA2689" s="10" t="s">
        <v>131</v>
      </c>
      <c r="AB2689" s="10" t="s">
        <v>19270</v>
      </c>
      <c r="AC2689" s="10" t="s">
        <v>19271</v>
      </c>
      <c r="AD2689" s="10" t="s">
        <v>20142</v>
      </c>
      <c r="AE2689" s="10" t="s">
        <v>20143</v>
      </c>
      <c r="AF2689" s="15"/>
      <c r="AG2689" s="10"/>
      <c r="AH2689" s="10"/>
      <c r="AI2689" s="10"/>
      <c r="AJ2689" s="10"/>
      <c r="AK2689" s="10" t="s">
        <v>102</v>
      </c>
      <c r="AL2689" s="10" t="s">
        <v>20102</v>
      </c>
      <c r="AM2689" s="10"/>
      <c r="AN2689" s="10"/>
      <c r="AO2689" s="13" t="b">
        <v>0</v>
      </c>
      <c r="AP2689" s="22" t="s">
        <v>104</v>
      </c>
      <c r="AQ2689" s="10">
        <f ca="1">IFERROR(__xludf.DUMMYFUNCTION("""COMPUTED_VALUE"""),4788324)</f>
        <v>4788324</v>
      </c>
      <c r="AR2689" s="17">
        <v>2091</v>
      </c>
      <c r="AS2689" s="17">
        <v>1793</v>
      </c>
      <c r="AT2689" s="17">
        <v>22694</v>
      </c>
      <c r="AU2689" s="17">
        <v>2.5499999999999998</v>
      </c>
      <c r="AV2689" s="17">
        <v>0.2</v>
      </c>
      <c r="AW2689" s="10" t="s">
        <v>105</v>
      </c>
      <c r="AX2689" s="17">
        <v>443</v>
      </c>
      <c r="AY2689" s="18">
        <v>12.656999442275517</v>
      </c>
      <c r="AZ2689" s="10" t="s">
        <v>136</v>
      </c>
      <c r="BA2689" s="20" t="b">
        <v>0</v>
      </c>
      <c r="BB2689" s="10"/>
      <c r="BC2689" s="17">
        <v>2091</v>
      </c>
      <c r="BD2689" s="17">
        <v>1793</v>
      </c>
      <c r="BE2689" s="17">
        <v>22694</v>
      </c>
      <c r="BF2689" s="17">
        <v>0.2</v>
      </c>
      <c r="BG2689" s="11">
        <f ca="1">IFERROR(__xludf.DUMMYFUNCTION("""COMPUTED_VALUE"""),46012.1875)</f>
        <v>46012.1875</v>
      </c>
      <c r="BH2689" s="17" t="s">
        <v>105</v>
      </c>
      <c r="BI2689" s="17"/>
      <c r="BJ2689" s="15"/>
      <c r="BK2689" s="15"/>
      <c r="BL2689" s="13" t="b">
        <v>0</v>
      </c>
      <c r="BM2689" s="10"/>
      <c r="BN2689" s="10" t="s">
        <v>634</v>
      </c>
      <c r="BO2689" s="11">
        <v>45980.594444444447</v>
      </c>
      <c r="BP2689" s="11">
        <v>46010.430023148147</v>
      </c>
      <c r="BQ2689" s="15">
        <v>46010.856539351851</v>
      </c>
      <c r="BR2689" s="15">
        <v>46011.024664351855</v>
      </c>
      <c r="BS2689" s="10" t="s">
        <v>634</v>
      </c>
      <c r="BT2689" s="10"/>
      <c r="BU2689" s="10"/>
      <c r="BV2689" s="10"/>
      <c r="BW2689" s="10"/>
      <c r="BX2689" s="10"/>
      <c r="BY2689" s="23"/>
      <c r="BZ2689" s="23"/>
      <c r="CA2689" s="19" t="s">
        <v>20144</v>
      </c>
      <c r="CB2689" s="23"/>
      <c r="CC2689" s="23"/>
      <c r="CD2689" s="19" t="s">
        <v>20145</v>
      </c>
      <c r="CE2689" s="23"/>
      <c r="CF2689" s="23"/>
      <c r="CG2689" s="23"/>
      <c r="CH2689" s="23"/>
      <c r="CI2689" s="23"/>
    </row>
    <row r="2690" spans="1:87" x14ac:dyDescent="0.3">
      <c r="A2690" s="9" t="s">
        <v>20146</v>
      </c>
      <c r="B2690" s="10" t="s">
        <v>20147</v>
      </c>
      <c r="C2690" s="11">
        <v>46013.041666666664</v>
      </c>
      <c r="D2690" s="12">
        <v>0.10416666666666667</v>
      </c>
      <c r="E2690" s="11">
        <v>46013.145833333336</v>
      </c>
      <c r="F2690" s="22" t="s">
        <v>19263</v>
      </c>
      <c r="G2690" s="13" t="b">
        <v>0</v>
      </c>
      <c r="H2690" s="22" t="s">
        <v>19264</v>
      </c>
      <c r="I2690" s="10" t="s">
        <v>89</v>
      </c>
      <c r="J2690" s="13" t="b">
        <v>0</v>
      </c>
      <c r="K2690" s="13" t="b">
        <v>1</v>
      </c>
      <c r="L2690" s="10" t="s">
        <v>124</v>
      </c>
      <c r="M2690" s="10" t="s">
        <v>91</v>
      </c>
      <c r="N2690" s="10" t="s">
        <v>92</v>
      </c>
      <c r="O2690" s="19" t="s">
        <v>20148</v>
      </c>
      <c r="P2690" s="10" t="s">
        <v>19264</v>
      </c>
      <c r="Q2690" s="10" t="s">
        <v>126</v>
      </c>
      <c r="R2690" s="10"/>
      <c r="S2690" s="19" t="s">
        <v>20149</v>
      </c>
      <c r="T2690" s="10"/>
      <c r="U2690" s="10" t="s">
        <v>19301</v>
      </c>
      <c r="V2690" s="10" t="s">
        <v>19300</v>
      </c>
      <c r="W2690" s="10" t="s">
        <v>19269</v>
      </c>
      <c r="X2690" s="10" t="s">
        <v>16549</v>
      </c>
      <c r="Y2690" s="10" t="s">
        <v>16549</v>
      </c>
      <c r="Z2690" s="10" t="s">
        <v>99</v>
      </c>
      <c r="AA2690" s="10" t="s">
        <v>131</v>
      </c>
      <c r="AB2690" s="10" t="s">
        <v>19270</v>
      </c>
      <c r="AC2690" s="10" t="s">
        <v>19271</v>
      </c>
      <c r="AD2690" s="10" t="s">
        <v>20150</v>
      </c>
      <c r="AE2690" s="10" t="s">
        <v>20151</v>
      </c>
      <c r="AF2690" s="15"/>
      <c r="AG2690" s="10"/>
      <c r="AH2690" s="10"/>
      <c r="AI2690" s="10"/>
      <c r="AJ2690" s="10"/>
      <c r="AK2690" s="10" t="s">
        <v>102</v>
      </c>
      <c r="AL2690" s="10" t="s">
        <v>20120</v>
      </c>
      <c r="AM2690" s="10"/>
      <c r="AN2690" s="10"/>
      <c r="AO2690" s="13" t="b">
        <v>0</v>
      </c>
      <c r="AP2690" s="22" t="s">
        <v>104</v>
      </c>
      <c r="AQ2690" s="10">
        <f ca="1">IFERROR(__xludf.DUMMYFUNCTION("""COMPUTED_VALUE"""),4789996)</f>
        <v>4789996</v>
      </c>
      <c r="AR2690" s="17">
        <v>1332</v>
      </c>
      <c r="AS2690" s="17">
        <v>1129</v>
      </c>
      <c r="AT2690" s="17">
        <v>17900</v>
      </c>
      <c r="AU2690" s="17">
        <v>1.05</v>
      </c>
      <c r="AV2690" s="17">
        <v>0</v>
      </c>
      <c r="AW2690" s="10" t="s">
        <v>105</v>
      </c>
      <c r="AX2690" s="17">
        <v>246</v>
      </c>
      <c r="AY2690" s="18">
        <v>15.854738706820195</v>
      </c>
      <c r="AZ2690" s="10" t="s">
        <v>106</v>
      </c>
      <c r="BA2690" s="20" t="b">
        <v>0</v>
      </c>
      <c r="BB2690" s="10"/>
      <c r="BC2690" s="17">
        <v>1332</v>
      </c>
      <c r="BD2690" s="17">
        <v>1129</v>
      </c>
      <c r="BE2690" s="17">
        <v>17900</v>
      </c>
      <c r="BF2690" s="17">
        <v>0</v>
      </c>
      <c r="BG2690" s="11">
        <f ca="1">IFERROR(__xludf.DUMMYFUNCTION("""COMPUTED_VALUE"""),46013.0416666666)</f>
        <v>46013.041666666599</v>
      </c>
      <c r="BH2690" s="17" t="s">
        <v>105</v>
      </c>
      <c r="BI2690" s="17"/>
      <c r="BJ2690" s="15"/>
      <c r="BK2690" s="15"/>
      <c r="BL2690" s="13" t="b">
        <v>0</v>
      </c>
      <c r="BM2690" s="10"/>
      <c r="BN2690" s="10" t="s">
        <v>920</v>
      </c>
      <c r="BO2690" s="11">
        <v>45980.595138888886</v>
      </c>
      <c r="BP2690" s="11">
        <v>46012.362766203703</v>
      </c>
      <c r="BQ2690" s="15">
        <v>46012.549930555557</v>
      </c>
      <c r="BR2690" s="15">
        <v>46012.596932870372</v>
      </c>
      <c r="BS2690" s="10" t="s">
        <v>920</v>
      </c>
      <c r="BT2690" s="10"/>
      <c r="BU2690" s="10"/>
      <c r="BV2690" s="10"/>
      <c r="BW2690" s="10"/>
      <c r="BX2690" s="10"/>
      <c r="BY2690" s="23"/>
      <c r="BZ2690" s="23"/>
      <c r="CA2690" s="19" t="s">
        <v>20152</v>
      </c>
      <c r="CB2690" s="23"/>
      <c r="CC2690" s="23"/>
      <c r="CD2690" s="19" t="s">
        <v>20153</v>
      </c>
      <c r="CE2690" s="23"/>
      <c r="CF2690" s="23"/>
      <c r="CG2690" s="23"/>
      <c r="CH2690" s="23"/>
      <c r="CI2690" s="23"/>
    </row>
    <row r="2691" spans="1:87" x14ac:dyDescent="0.3">
      <c r="A2691" s="9" t="s">
        <v>20154</v>
      </c>
      <c r="B2691" s="10" t="s">
        <v>20155</v>
      </c>
      <c r="C2691" s="11">
        <v>46013.1875</v>
      </c>
      <c r="D2691" s="12">
        <v>0.10416666666666667</v>
      </c>
      <c r="E2691" s="11">
        <v>46013.291666666664</v>
      </c>
      <c r="F2691" s="22" t="s">
        <v>19263</v>
      </c>
      <c r="G2691" s="13" t="b">
        <v>0</v>
      </c>
      <c r="H2691" s="22" t="s">
        <v>19264</v>
      </c>
      <c r="I2691" s="10" t="s">
        <v>89</v>
      </c>
      <c r="J2691" s="13" t="b">
        <v>0</v>
      </c>
      <c r="K2691" s="13" t="b">
        <v>1</v>
      </c>
      <c r="L2691" s="10" t="s">
        <v>124</v>
      </c>
      <c r="M2691" s="10" t="s">
        <v>91</v>
      </c>
      <c r="N2691" s="10" t="s">
        <v>92</v>
      </c>
      <c r="O2691" s="19" t="s">
        <v>20156</v>
      </c>
      <c r="P2691" s="10" t="s">
        <v>19264</v>
      </c>
      <c r="Q2691" s="10" t="s">
        <v>126</v>
      </c>
      <c r="R2691" s="10"/>
      <c r="S2691" s="19" t="s">
        <v>20157</v>
      </c>
      <c r="T2691" s="10"/>
      <c r="U2691" s="10" t="s">
        <v>19268</v>
      </c>
      <c r="V2691" s="10" t="s">
        <v>19280</v>
      </c>
      <c r="W2691" s="10" t="s">
        <v>19269</v>
      </c>
      <c r="X2691" s="10" t="s">
        <v>16549</v>
      </c>
      <c r="Y2691" s="10" t="s">
        <v>16549</v>
      </c>
      <c r="Z2691" s="10" t="s">
        <v>99</v>
      </c>
      <c r="AA2691" s="10" t="s">
        <v>131</v>
      </c>
      <c r="AB2691" s="10" t="s">
        <v>19270</v>
      </c>
      <c r="AC2691" s="10" t="s">
        <v>19271</v>
      </c>
      <c r="AD2691" s="10" t="s">
        <v>20158</v>
      </c>
      <c r="AE2691" s="10" t="s">
        <v>20159</v>
      </c>
      <c r="AF2691" s="15"/>
      <c r="AG2691" s="10"/>
      <c r="AH2691" s="10"/>
      <c r="AI2691" s="10"/>
      <c r="AJ2691" s="10"/>
      <c r="AK2691" s="10" t="s">
        <v>102</v>
      </c>
      <c r="AL2691" s="10" t="s">
        <v>220</v>
      </c>
      <c r="AM2691" s="10"/>
      <c r="AN2691" s="10"/>
      <c r="AO2691" s="13" t="b">
        <v>0</v>
      </c>
      <c r="AP2691" s="22" t="s">
        <v>104</v>
      </c>
      <c r="AQ2691" s="10">
        <f ca="1">IFERROR(__xludf.DUMMYFUNCTION("""COMPUTED_VALUE"""),4789997)</f>
        <v>4789997</v>
      </c>
      <c r="AR2691" s="17">
        <v>3277</v>
      </c>
      <c r="AS2691" s="17">
        <v>2618</v>
      </c>
      <c r="AT2691" s="17">
        <v>48707</v>
      </c>
      <c r="AU2691" s="17">
        <v>4.55</v>
      </c>
      <c r="AV2691" s="17">
        <v>1</v>
      </c>
      <c r="AW2691" s="10" t="s">
        <v>105</v>
      </c>
      <c r="AX2691" s="17">
        <v>799</v>
      </c>
      <c r="AY2691" s="18">
        <v>18.604660045836518</v>
      </c>
      <c r="AZ2691" s="10" t="s">
        <v>106</v>
      </c>
      <c r="BA2691" s="20" t="b">
        <v>0</v>
      </c>
      <c r="BB2691" s="10"/>
      <c r="BC2691" s="17">
        <v>3277</v>
      </c>
      <c r="BD2691" s="17">
        <v>2618</v>
      </c>
      <c r="BE2691" s="17">
        <v>48707</v>
      </c>
      <c r="BF2691" s="17">
        <v>1</v>
      </c>
      <c r="BG2691" s="11">
        <f ca="1">IFERROR(__xludf.DUMMYFUNCTION("""COMPUTED_VALUE"""),46013.1875)</f>
        <v>46013.1875</v>
      </c>
      <c r="BH2691" s="17" t="s">
        <v>105</v>
      </c>
      <c r="BI2691" s="17"/>
      <c r="BJ2691" s="15"/>
      <c r="BK2691" s="15"/>
      <c r="BL2691" s="13" t="b">
        <v>0</v>
      </c>
      <c r="BM2691" s="10"/>
      <c r="BN2691" s="10" t="s">
        <v>920</v>
      </c>
      <c r="BO2691" s="11">
        <v>45980.59652777778</v>
      </c>
      <c r="BP2691" s="11">
        <v>46012.363449074073</v>
      </c>
      <c r="BQ2691" s="15">
        <v>46012.550150462965</v>
      </c>
      <c r="BR2691" s="15">
        <v>46012.597094907411</v>
      </c>
      <c r="BS2691" s="10" t="s">
        <v>920</v>
      </c>
      <c r="BT2691" s="10"/>
      <c r="BU2691" s="10"/>
      <c r="BV2691" s="10"/>
      <c r="BW2691" s="10"/>
      <c r="BX2691" s="10"/>
      <c r="BY2691" s="23"/>
      <c r="BZ2691" s="23"/>
      <c r="CA2691" s="19" t="s">
        <v>20160</v>
      </c>
      <c r="CB2691" s="23"/>
      <c r="CC2691" s="23"/>
      <c r="CD2691" s="19" t="s">
        <v>20161</v>
      </c>
      <c r="CE2691" s="23"/>
      <c r="CF2691" s="23"/>
      <c r="CG2691" s="23"/>
      <c r="CH2691" s="23"/>
      <c r="CI2691" s="23"/>
    </row>
    <row r="2692" spans="1:87" x14ac:dyDescent="0.3">
      <c r="A2692" s="9" t="s">
        <v>20162</v>
      </c>
      <c r="B2692" s="10" t="s">
        <v>20163</v>
      </c>
      <c r="C2692" s="11">
        <v>45989.909722222219</v>
      </c>
      <c r="D2692" s="12">
        <v>8.3333333333333329E-2</v>
      </c>
      <c r="E2692" s="11">
        <v>45989.993055555555</v>
      </c>
      <c r="F2692" s="22" t="s">
        <v>20164</v>
      </c>
      <c r="G2692" s="13" t="b">
        <v>0</v>
      </c>
      <c r="H2692" s="22" t="s">
        <v>9146</v>
      </c>
      <c r="I2692" s="10" t="s">
        <v>9131</v>
      </c>
      <c r="J2692" s="13" t="b">
        <v>0</v>
      </c>
      <c r="K2692" s="13" t="b">
        <v>1</v>
      </c>
      <c r="L2692" s="10" t="s">
        <v>124</v>
      </c>
      <c r="M2692" s="10" t="s">
        <v>91</v>
      </c>
      <c r="N2692" s="10" t="s">
        <v>265</v>
      </c>
      <c r="O2692" s="19" t="s">
        <v>20165</v>
      </c>
      <c r="P2692" s="10"/>
      <c r="Q2692" s="10" t="s">
        <v>94</v>
      </c>
      <c r="R2692" s="10"/>
      <c r="S2692" s="19" t="s">
        <v>20166</v>
      </c>
      <c r="T2692" s="10"/>
      <c r="U2692" s="10" t="s">
        <v>9161</v>
      </c>
      <c r="V2692" s="10" t="s">
        <v>20167</v>
      </c>
      <c r="W2692" s="10" t="s">
        <v>20168</v>
      </c>
      <c r="X2692" s="10" t="s">
        <v>130</v>
      </c>
      <c r="Y2692" s="10" t="s">
        <v>130</v>
      </c>
      <c r="Z2692" s="10" t="s">
        <v>99</v>
      </c>
      <c r="AA2692" s="10" t="s">
        <v>131</v>
      </c>
      <c r="AB2692" s="10" t="s">
        <v>20169</v>
      </c>
      <c r="AC2692" s="10" t="s">
        <v>9138</v>
      </c>
      <c r="AD2692" s="10" t="s">
        <v>20170</v>
      </c>
      <c r="AE2692" s="10" t="s">
        <v>20171</v>
      </c>
      <c r="AF2692" s="15"/>
      <c r="AG2692" s="10"/>
      <c r="AH2692" s="10"/>
      <c r="AI2692" s="10"/>
      <c r="AJ2692" s="10"/>
      <c r="AK2692" s="10" t="s">
        <v>102</v>
      </c>
      <c r="AL2692" s="10" t="s">
        <v>19004</v>
      </c>
      <c r="AM2692" s="10"/>
      <c r="AN2692" s="10"/>
      <c r="AO2692" s="13" t="b">
        <v>0</v>
      </c>
      <c r="AP2692" s="22" t="s">
        <v>104</v>
      </c>
      <c r="AQ2692" s="10">
        <f ca="1">IFERROR(__xludf.DUMMYFUNCTION("""COMPUTED_VALUE"""),4736084)</f>
        <v>4736084</v>
      </c>
      <c r="AR2692" s="17">
        <v>4303</v>
      </c>
      <c r="AS2692" s="17">
        <v>3838</v>
      </c>
      <c r="AT2692" s="17">
        <v>32691.25</v>
      </c>
      <c r="AU2692" s="17">
        <v>17.25</v>
      </c>
      <c r="AV2692" s="17">
        <v>4.3</v>
      </c>
      <c r="AW2692" s="10" t="s">
        <v>105</v>
      </c>
      <c r="AX2692" s="17">
        <v>536</v>
      </c>
      <c r="AY2692" s="18">
        <v>8.5177826993225647</v>
      </c>
      <c r="AZ2692" s="10" t="s">
        <v>106</v>
      </c>
      <c r="BA2692" s="20" t="b">
        <v>0</v>
      </c>
      <c r="BB2692" s="10"/>
      <c r="BC2692" s="17">
        <v>4303</v>
      </c>
      <c r="BD2692" s="17">
        <v>3838</v>
      </c>
      <c r="BE2692" s="17">
        <v>32691.25</v>
      </c>
      <c r="BF2692" s="17">
        <v>4.3</v>
      </c>
      <c r="BG2692" s="11">
        <f ca="1">IFERROR(__xludf.DUMMYFUNCTION("""COMPUTED_VALUE"""),45989.9097222222)</f>
        <v>45989.909722222197</v>
      </c>
      <c r="BH2692" s="17" t="s">
        <v>105</v>
      </c>
      <c r="BI2692" s="17"/>
      <c r="BJ2692" s="15"/>
      <c r="BK2692" s="15"/>
      <c r="BL2692" s="13" t="b">
        <v>0</v>
      </c>
      <c r="BM2692" s="10"/>
      <c r="BN2692" s="10" t="s">
        <v>1149</v>
      </c>
      <c r="BO2692" s="11">
        <v>45980.770138888889</v>
      </c>
      <c r="BP2692" s="11">
        <v>45980.770266203705</v>
      </c>
      <c r="BQ2692" s="15">
        <v>45987.440451388888</v>
      </c>
      <c r="BR2692" s="15">
        <v>45987.55746527778</v>
      </c>
      <c r="BS2692" s="10" t="s">
        <v>1149</v>
      </c>
      <c r="BT2692" s="10"/>
      <c r="BU2692" s="10"/>
      <c r="BV2692" s="10"/>
      <c r="BW2692" s="10"/>
      <c r="BX2692" s="10"/>
      <c r="BY2692" s="23"/>
      <c r="BZ2692" s="23"/>
      <c r="CA2692" s="19" t="s">
        <v>20172</v>
      </c>
      <c r="CB2692" s="23"/>
      <c r="CC2692" s="23"/>
      <c r="CD2692" s="23"/>
      <c r="CE2692" s="23"/>
      <c r="CF2692" s="23"/>
      <c r="CG2692" s="23"/>
      <c r="CH2692" s="23"/>
      <c r="CI2692" s="23"/>
    </row>
    <row r="2693" spans="1:87" x14ac:dyDescent="0.3">
      <c r="A2693" s="9" t="s">
        <v>20173</v>
      </c>
      <c r="B2693" s="10" t="s">
        <v>20174</v>
      </c>
      <c r="C2693" s="11">
        <v>45990.902777777781</v>
      </c>
      <c r="D2693" s="12">
        <v>8.3333333333333329E-2</v>
      </c>
      <c r="E2693" s="11">
        <v>45990.986111111109</v>
      </c>
      <c r="F2693" s="22" t="s">
        <v>20164</v>
      </c>
      <c r="G2693" s="13" t="b">
        <v>0</v>
      </c>
      <c r="H2693" s="22" t="s">
        <v>9146</v>
      </c>
      <c r="I2693" s="10" t="s">
        <v>9131</v>
      </c>
      <c r="J2693" s="13" t="b">
        <v>0</v>
      </c>
      <c r="K2693" s="13" t="b">
        <v>1</v>
      </c>
      <c r="L2693" s="10" t="s">
        <v>124</v>
      </c>
      <c r="M2693" s="10" t="s">
        <v>91</v>
      </c>
      <c r="N2693" s="10" t="s">
        <v>265</v>
      </c>
      <c r="O2693" s="19" t="s">
        <v>20175</v>
      </c>
      <c r="P2693" s="10"/>
      <c r="Q2693" s="10" t="s">
        <v>94</v>
      </c>
      <c r="R2693" s="10"/>
      <c r="S2693" s="19" t="s">
        <v>20176</v>
      </c>
      <c r="T2693" s="10"/>
      <c r="U2693" s="10" t="s">
        <v>9149</v>
      </c>
      <c r="V2693" s="10" t="s">
        <v>9135</v>
      </c>
      <c r="W2693" s="10" t="s">
        <v>20168</v>
      </c>
      <c r="X2693" s="10" t="s">
        <v>130</v>
      </c>
      <c r="Y2693" s="10" t="s">
        <v>130</v>
      </c>
      <c r="Z2693" s="10" t="s">
        <v>99</v>
      </c>
      <c r="AA2693" s="10" t="s">
        <v>131</v>
      </c>
      <c r="AB2693" s="10" t="s">
        <v>20169</v>
      </c>
      <c r="AC2693" s="10" t="s">
        <v>9138</v>
      </c>
      <c r="AD2693" s="10" t="s">
        <v>19752</v>
      </c>
      <c r="AE2693" s="10" t="s">
        <v>20177</v>
      </c>
      <c r="AF2693" s="15"/>
      <c r="AG2693" s="10"/>
      <c r="AH2693" s="10"/>
      <c r="AI2693" s="10"/>
      <c r="AJ2693" s="10"/>
      <c r="AK2693" s="10" t="s">
        <v>102</v>
      </c>
      <c r="AL2693" s="10" t="s">
        <v>19004</v>
      </c>
      <c r="AM2693" s="10"/>
      <c r="AN2693" s="10"/>
      <c r="AO2693" s="13" t="b">
        <v>0</v>
      </c>
      <c r="AP2693" s="22" t="s">
        <v>104</v>
      </c>
      <c r="AQ2693" s="10">
        <f ca="1">IFERROR(__xludf.DUMMYFUNCTION("""COMPUTED_VALUE"""),4736085)</f>
        <v>4736085</v>
      </c>
      <c r="AR2693" s="17">
        <v>7853</v>
      </c>
      <c r="AS2693" s="17">
        <v>7144</v>
      </c>
      <c r="AT2693" s="17">
        <v>32491.25</v>
      </c>
      <c r="AU2693" s="17">
        <v>26.7</v>
      </c>
      <c r="AV2693" s="17">
        <v>3.25</v>
      </c>
      <c r="AW2693" s="10" t="s">
        <v>105</v>
      </c>
      <c r="AX2693" s="17">
        <v>961</v>
      </c>
      <c r="AY2693" s="18">
        <v>4.5480473124300111</v>
      </c>
      <c r="AZ2693" s="10" t="s">
        <v>106</v>
      </c>
      <c r="BA2693" s="20" t="b">
        <v>0</v>
      </c>
      <c r="BB2693" s="10"/>
      <c r="BC2693" s="17">
        <v>7853</v>
      </c>
      <c r="BD2693" s="17">
        <v>7144</v>
      </c>
      <c r="BE2693" s="17">
        <v>32491.25</v>
      </c>
      <c r="BF2693" s="17">
        <v>3.25</v>
      </c>
      <c r="BG2693" s="11">
        <f ca="1">IFERROR(__xludf.DUMMYFUNCTION("""COMPUTED_VALUE"""),45990.9027777777)</f>
        <v>45990.902777777701</v>
      </c>
      <c r="BH2693" s="17" t="s">
        <v>105</v>
      </c>
      <c r="BI2693" s="17"/>
      <c r="BJ2693" s="15"/>
      <c r="BK2693" s="15"/>
      <c r="BL2693" s="13" t="b">
        <v>0</v>
      </c>
      <c r="BM2693" s="10"/>
      <c r="BN2693" s="10" t="s">
        <v>1149</v>
      </c>
      <c r="BO2693" s="11">
        <v>45980.770833333336</v>
      </c>
      <c r="BP2693" s="11">
        <v>45980.770960648151</v>
      </c>
      <c r="BQ2693" s="15">
        <v>45987.440706018519</v>
      </c>
      <c r="BR2693" s="15">
        <v>45987.55736111111</v>
      </c>
      <c r="BS2693" s="10" t="s">
        <v>1149</v>
      </c>
      <c r="BT2693" s="10"/>
      <c r="BU2693" s="10"/>
      <c r="BV2693" s="10"/>
      <c r="BW2693" s="10"/>
      <c r="BX2693" s="10"/>
      <c r="BY2693" s="23"/>
      <c r="BZ2693" s="23"/>
      <c r="CA2693" s="19" t="s">
        <v>20178</v>
      </c>
      <c r="CB2693" s="23"/>
      <c r="CC2693" s="23"/>
      <c r="CD2693" s="23"/>
      <c r="CE2693" s="23"/>
      <c r="CF2693" s="23"/>
      <c r="CG2693" s="23"/>
      <c r="CH2693" s="23"/>
      <c r="CI2693" s="23"/>
    </row>
    <row r="2694" spans="1:87" x14ac:dyDescent="0.3">
      <c r="A2694" s="9" t="s">
        <v>20179</v>
      </c>
      <c r="B2694" s="10" t="s">
        <v>20180</v>
      </c>
      <c r="C2694" s="11">
        <v>45984.791666666664</v>
      </c>
      <c r="D2694" s="12">
        <v>8.3333333333333329E-2</v>
      </c>
      <c r="E2694" s="11">
        <v>45984.875</v>
      </c>
      <c r="F2694" s="22" t="s">
        <v>7613</v>
      </c>
      <c r="G2694" s="13" t="b">
        <v>0</v>
      </c>
      <c r="H2694" s="22" t="s">
        <v>20181</v>
      </c>
      <c r="I2694" s="10" t="s">
        <v>89</v>
      </c>
      <c r="J2694" s="13" t="b">
        <v>0</v>
      </c>
      <c r="K2694" s="13" t="b">
        <v>1</v>
      </c>
      <c r="L2694" s="10" t="s">
        <v>124</v>
      </c>
      <c r="M2694" s="10" t="s">
        <v>91</v>
      </c>
      <c r="N2694" s="10" t="s">
        <v>265</v>
      </c>
      <c r="O2694" s="19" t="s">
        <v>20182</v>
      </c>
      <c r="P2694" s="10"/>
      <c r="Q2694" s="10" t="s">
        <v>94</v>
      </c>
      <c r="R2694" s="10"/>
      <c r="S2694" s="19" t="s">
        <v>20183</v>
      </c>
      <c r="T2694" s="10"/>
      <c r="U2694" s="10" t="s">
        <v>8640</v>
      </c>
      <c r="V2694" s="10" t="s">
        <v>7903</v>
      </c>
      <c r="W2694" s="10" t="s">
        <v>7620</v>
      </c>
      <c r="X2694" s="10" t="s">
        <v>130</v>
      </c>
      <c r="Y2694" s="10" t="s">
        <v>130</v>
      </c>
      <c r="Z2694" s="10" t="s">
        <v>99</v>
      </c>
      <c r="AA2694" s="10" t="s">
        <v>131</v>
      </c>
      <c r="AB2694" s="10" t="s">
        <v>7621</v>
      </c>
      <c r="AC2694" s="10" t="s">
        <v>274</v>
      </c>
      <c r="AD2694" s="10" t="s">
        <v>20184</v>
      </c>
      <c r="AE2694" s="10" t="s">
        <v>20185</v>
      </c>
      <c r="AF2694" s="15"/>
      <c r="AG2694" s="10"/>
      <c r="AH2694" s="10"/>
      <c r="AI2694" s="10"/>
      <c r="AJ2694" s="10"/>
      <c r="AK2694" s="10" t="s">
        <v>102</v>
      </c>
      <c r="AL2694" s="10" t="s">
        <v>1876</v>
      </c>
      <c r="AM2694" s="10"/>
      <c r="AN2694" s="10"/>
      <c r="AO2694" s="13" t="b">
        <v>0</v>
      </c>
      <c r="AP2694" s="22" t="s">
        <v>104</v>
      </c>
      <c r="AQ2694" s="10">
        <f ca="1">IFERROR(__xludf.DUMMYFUNCTION("""COMPUTED_VALUE"""),4730522)</f>
        <v>4730522</v>
      </c>
      <c r="AR2694" s="17">
        <v>7444</v>
      </c>
      <c r="AS2694" s="17">
        <v>6085</v>
      </c>
      <c r="AT2694" s="17">
        <v>55632</v>
      </c>
      <c r="AU2694" s="17">
        <v>12.35</v>
      </c>
      <c r="AV2694" s="17">
        <v>2.75</v>
      </c>
      <c r="AW2694" s="10" t="s">
        <v>105</v>
      </c>
      <c r="AX2694" s="17">
        <v>1414</v>
      </c>
      <c r="AY2694" s="18">
        <v>9.1424815119145446</v>
      </c>
      <c r="AZ2694" s="10" t="s">
        <v>3998</v>
      </c>
      <c r="BA2694" s="20" t="b">
        <v>0</v>
      </c>
      <c r="BB2694" s="10"/>
      <c r="BC2694" s="17">
        <v>7444</v>
      </c>
      <c r="BD2694" s="17">
        <v>6085</v>
      </c>
      <c r="BE2694" s="17">
        <v>55632</v>
      </c>
      <c r="BF2694" s="17">
        <v>2.75</v>
      </c>
      <c r="BG2694" s="11">
        <f ca="1">IFERROR(__xludf.DUMMYFUNCTION("""COMPUTED_VALUE"""),45984.7916666666)</f>
        <v>45984.791666666599</v>
      </c>
      <c r="BH2694" s="17" t="s">
        <v>105</v>
      </c>
      <c r="BI2694" s="17"/>
      <c r="BJ2694" s="15"/>
      <c r="BK2694" s="15"/>
      <c r="BL2694" s="13" t="b">
        <v>0</v>
      </c>
      <c r="BM2694" s="10"/>
      <c r="BN2694" s="10" t="s">
        <v>278</v>
      </c>
      <c r="BO2694" s="11">
        <v>45981.534722222219</v>
      </c>
      <c r="BP2694" s="11">
        <v>45981.535115740742</v>
      </c>
      <c r="BQ2694" s="15">
        <v>45982.78224537037</v>
      </c>
      <c r="BR2694" s="15">
        <v>45983.143958333334</v>
      </c>
      <c r="BS2694" s="10" t="s">
        <v>278</v>
      </c>
      <c r="BT2694" s="10"/>
      <c r="BU2694" s="10"/>
      <c r="BV2694" s="10"/>
      <c r="BW2694" s="10"/>
      <c r="BX2694" s="10"/>
      <c r="BY2694" s="23"/>
      <c r="BZ2694" s="23"/>
      <c r="CA2694" s="19" t="s">
        <v>20186</v>
      </c>
      <c r="CB2694" s="23"/>
      <c r="CC2694" s="23"/>
      <c r="CD2694" s="23"/>
      <c r="CE2694" s="23"/>
      <c r="CF2694" s="23"/>
      <c r="CG2694" s="23"/>
      <c r="CH2694" s="23"/>
      <c r="CI2694" s="23"/>
    </row>
    <row r="2695" spans="1:87" x14ac:dyDescent="0.3">
      <c r="A2695" s="9" t="s">
        <v>20187</v>
      </c>
      <c r="B2695" s="10" t="s">
        <v>20188</v>
      </c>
      <c r="C2695" s="11">
        <v>46003.8125</v>
      </c>
      <c r="D2695" s="12">
        <v>0.16666666666666666</v>
      </c>
      <c r="E2695" s="11">
        <v>46003.979166666664</v>
      </c>
      <c r="F2695" s="22" t="s">
        <v>20188</v>
      </c>
      <c r="G2695" s="13" t="b">
        <v>0</v>
      </c>
      <c r="H2695" s="22" t="s">
        <v>20189</v>
      </c>
      <c r="I2695" s="10" t="s">
        <v>8383</v>
      </c>
      <c r="J2695" s="13" t="b">
        <v>0</v>
      </c>
      <c r="K2695" s="13" t="b">
        <v>1</v>
      </c>
      <c r="L2695" s="10" t="s">
        <v>124</v>
      </c>
      <c r="M2695" s="10" t="s">
        <v>91</v>
      </c>
      <c r="N2695" s="10" t="s">
        <v>92</v>
      </c>
      <c r="O2695" s="19" t="s">
        <v>20190</v>
      </c>
      <c r="P2695" s="10"/>
      <c r="Q2695" s="10" t="s">
        <v>20191</v>
      </c>
      <c r="R2695" s="19" t="s">
        <v>20192</v>
      </c>
      <c r="S2695" s="19" t="s">
        <v>20193</v>
      </c>
      <c r="T2695" s="10"/>
      <c r="U2695" s="10"/>
      <c r="V2695" s="10"/>
      <c r="W2695" s="10" t="s">
        <v>20194</v>
      </c>
      <c r="X2695" s="10" t="s">
        <v>8408</v>
      </c>
      <c r="Y2695" s="10" t="s">
        <v>20195</v>
      </c>
      <c r="Z2695" s="10" t="s">
        <v>99</v>
      </c>
      <c r="AA2695" s="10" t="s">
        <v>100</v>
      </c>
      <c r="AB2695" s="10" t="s">
        <v>20196</v>
      </c>
      <c r="AC2695" s="10" t="s">
        <v>20197</v>
      </c>
      <c r="AD2695" s="10" t="s">
        <v>165</v>
      </c>
      <c r="AE2695" s="10" t="s">
        <v>20198</v>
      </c>
      <c r="AF2695" s="15"/>
      <c r="AG2695" s="10"/>
      <c r="AH2695" s="10"/>
      <c r="AI2695" s="10"/>
      <c r="AJ2695" s="10" t="s">
        <v>20199</v>
      </c>
      <c r="AK2695" s="10" t="s">
        <v>102</v>
      </c>
      <c r="AL2695" s="10"/>
      <c r="AM2695" s="10"/>
      <c r="AN2695" s="10"/>
      <c r="AO2695" s="13" t="b">
        <v>0</v>
      </c>
      <c r="AP2695" s="22"/>
      <c r="AQ2695" s="10">
        <f ca="1">IFERROR(__xludf.DUMMYFUNCTION("""COMPUTED_VALUE"""),4773906)</f>
        <v>4773906</v>
      </c>
      <c r="AR2695" s="17">
        <v>11538</v>
      </c>
      <c r="AS2695" s="17">
        <v>8297</v>
      </c>
      <c r="AT2695" s="17">
        <v>205037.5</v>
      </c>
      <c r="AU2695" s="17">
        <v>38.950000000000003</v>
      </c>
      <c r="AV2695" s="17">
        <v>9.35</v>
      </c>
      <c r="AW2695" s="10" t="s">
        <v>105</v>
      </c>
      <c r="AX2695" s="17">
        <v>1400</v>
      </c>
      <c r="AY2695" s="18">
        <v>24.712245389899962</v>
      </c>
      <c r="AZ2695" s="10" t="s">
        <v>185</v>
      </c>
      <c r="BA2695" s="20" t="b">
        <v>0</v>
      </c>
      <c r="BB2695" s="10"/>
      <c r="BC2695" s="17">
        <v>11538</v>
      </c>
      <c r="BD2695" s="17">
        <v>8297</v>
      </c>
      <c r="BE2695" s="17">
        <v>205037.5</v>
      </c>
      <c r="BF2695" s="17">
        <v>9.35</v>
      </c>
      <c r="BG2695" s="11">
        <f ca="1">IFERROR(__xludf.DUMMYFUNCTION("""COMPUTED_VALUE"""),46003.8125)</f>
        <v>46003.8125</v>
      </c>
      <c r="BH2695" s="17" t="s">
        <v>105</v>
      </c>
      <c r="BI2695" s="17"/>
      <c r="BJ2695" s="15"/>
      <c r="BK2695" s="15"/>
      <c r="BL2695" s="13" t="b">
        <v>0</v>
      </c>
      <c r="BM2695" s="10"/>
      <c r="BN2695" s="10" t="s">
        <v>137</v>
      </c>
      <c r="BO2695" s="11">
        <v>45981.571527777778</v>
      </c>
      <c r="BP2695" s="11">
        <v>45981.571805555555</v>
      </c>
      <c r="BQ2695" s="15">
        <v>46001.753136574072</v>
      </c>
      <c r="BR2695" s="15">
        <v>46002.450937499998</v>
      </c>
      <c r="BS2695" s="10" t="s">
        <v>137</v>
      </c>
      <c r="BT2695" s="10"/>
      <c r="BU2695" s="10"/>
      <c r="BV2695" s="10"/>
      <c r="BW2695" s="10"/>
      <c r="BX2695" s="10"/>
      <c r="BY2695" s="23"/>
      <c r="BZ2695" s="23"/>
      <c r="CA2695" s="19" t="s">
        <v>20200</v>
      </c>
      <c r="CB2695" s="23"/>
      <c r="CC2695" s="23"/>
      <c r="CD2695" s="19" t="s">
        <v>20201</v>
      </c>
      <c r="CE2695" s="23"/>
      <c r="CF2695" s="23"/>
      <c r="CG2695" s="23"/>
      <c r="CH2695" s="23"/>
      <c r="CI2695" s="23"/>
    </row>
    <row r="2696" spans="1:87" x14ac:dyDescent="0.3">
      <c r="A2696" s="9" t="s">
        <v>20202</v>
      </c>
      <c r="B2696" s="10" t="s">
        <v>20203</v>
      </c>
      <c r="C2696" s="11">
        <v>46010.8125</v>
      </c>
      <c r="D2696" s="12">
        <v>0.16666666666666666</v>
      </c>
      <c r="E2696" s="11">
        <v>46010.979166666664</v>
      </c>
      <c r="F2696" s="22" t="s">
        <v>20203</v>
      </c>
      <c r="G2696" s="13" t="b">
        <v>0</v>
      </c>
      <c r="H2696" s="22" t="s">
        <v>20189</v>
      </c>
      <c r="I2696" s="10" t="s">
        <v>8383</v>
      </c>
      <c r="J2696" s="13" t="b">
        <v>0</v>
      </c>
      <c r="K2696" s="13" t="b">
        <v>1</v>
      </c>
      <c r="L2696" s="10" t="s">
        <v>124</v>
      </c>
      <c r="M2696" s="10" t="s">
        <v>91</v>
      </c>
      <c r="N2696" s="10" t="s">
        <v>92</v>
      </c>
      <c r="O2696" s="19" t="s">
        <v>20204</v>
      </c>
      <c r="P2696" s="10"/>
      <c r="Q2696" s="10" t="s">
        <v>20191</v>
      </c>
      <c r="R2696" s="19" t="s">
        <v>20205</v>
      </c>
      <c r="S2696" s="19" t="s">
        <v>20206</v>
      </c>
      <c r="T2696" s="10"/>
      <c r="U2696" s="10"/>
      <c r="V2696" s="10"/>
      <c r="W2696" s="10" t="s">
        <v>20194</v>
      </c>
      <c r="X2696" s="10" t="s">
        <v>8408</v>
      </c>
      <c r="Y2696" s="10" t="s">
        <v>20195</v>
      </c>
      <c r="Z2696" s="10" t="s">
        <v>99</v>
      </c>
      <c r="AA2696" s="10" t="s">
        <v>100</v>
      </c>
      <c r="AB2696" s="10" t="s">
        <v>20207</v>
      </c>
      <c r="AC2696" s="10" t="s">
        <v>20197</v>
      </c>
      <c r="AD2696" s="10" t="s">
        <v>165</v>
      </c>
      <c r="AE2696" s="10" t="s">
        <v>20208</v>
      </c>
      <c r="AF2696" s="15"/>
      <c r="AG2696" s="10"/>
      <c r="AH2696" s="10"/>
      <c r="AI2696" s="10"/>
      <c r="AJ2696" s="10" t="s">
        <v>20199</v>
      </c>
      <c r="AK2696" s="10" t="s">
        <v>102</v>
      </c>
      <c r="AL2696" s="10"/>
      <c r="AM2696" s="10"/>
      <c r="AN2696" s="10"/>
      <c r="AO2696" s="13" t="b">
        <v>0</v>
      </c>
      <c r="AP2696" s="22"/>
      <c r="AQ2696" s="10">
        <f ca="1">IFERROR(__xludf.DUMMYFUNCTION("""COMPUTED_VALUE"""),4783282)</f>
        <v>4783282</v>
      </c>
      <c r="AR2696" s="17">
        <v>10080</v>
      </c>
      <c r="AS2696" s="17">
        <v>6839</v>
      </c>
      <c r="AT2696" s="17">
        <v>183176.75</v>
      </c>
      <c r="AU2696" s="17">
        <v>45.3</v>
      </c>
      <c r="AV2696" s="17">
        <v>2.75</v>
      </c>
      <c r="AW2696" s="10" t="s">
        <v>105</v>
      </c>
      <c r="AX2696" s="17">
        <v>1195</v>
      </c>
      <c r="AY2696" s="18">
        <v>26.784142418482233</v>
      </c>
      <c r="AZ2696" s="10" t="s">
        <v>3783</v>
      </c>
      <c r="BA2696" s="20" t="b">
        <v>0</v>
      </c>
      <c r="BB2696" s="10"/>
      <c r="BC2696" s="17">
        <v>10080</v>
      </c>
      <c r="BD2696" s="17">
        <v>6839</v>
      </c>
      <c r="BE2696" s="17">
        <v>183176.75</v>
      </c>
      <c r="BF2696" s="17">
        <v>2.75</v>
      </c>
      <c r="BG2696" s="11">
        <f ca="1">IFERROR(__xludf.DUMMYFUNCTION("""COMPUTED_VALUE"""),46010.8125)</f>
        <v>46010.8125</v>
      </c>
      <c r="BH2696" s="17" t="s">
        <v>105</v>
      </c>
      <c r="BI2696" s="17"/>
      <c r="BJ2696" s="15"/>
      <c r="BK2696" s="15"/>
      <c r="BL2696" s="13" t="b">
        <v>0</v>
      </c>
      <c r="BM2696" s="10"/>
      <c r="BN2696" s="10" t="s">
        <v>157</v>
      </c>
      <c r="BO2696" s="11">
        <v>45981.572222222225</v>
      </c>
      <c r="BP2696" s="11">
        <v>45981.572453703702</v>
      </c>
      <c r="BQ2696" s="15">
        <v>46003.722604166665</v>
      </c>
      <c r="BR2696" s="15">
        <v>46007.572418981479</v>
      </c>
      <c r="BS2696" s="10" t="s">
        <v>157</v>
      </c>
      <c r="BT2696" s="10"/>
      <c r="BU2696" s="10"/>
      <c r="BV2696" s="10"/>
      <c r="BW2696" s="10"/>
      <c r="BX2696" s="10"/>
      <c r="BY2696" s="23"/>
      <c r="BZ2696" s="23"/>
      <c r="CA2696" s="19" t="s">
        <v>20209</v>
      </c>
      <c r="CB2696" s="23"/>
      <c r="CC2696" s="23"/>
      <c r="CD2696" s="19" t="s">
        <v>20210</v>
      </c>
      <c r="CE2696" s="23"/>
      <c r="CF2696" s="23"/>
      <c r="CG2696" s="23"/>
      <c r="CH2696" s="23"/>
      <c r="CI2696" s="23"/>
    </row>
    <row r="2697" spans="1:87" x14ac:dyDescent="0.3">
      <c r="A2697" s="9" t="s">
        <v>20211</v>
      </c>
      <c r="B2697" s="10" t="s">
        <v>20212</v>
      </c>
      <c r="C2697" s="11">
        <v>45991.979166666664</v>
      </c>
      <c r="D2697" s="12">
        <v>8.3333333333333329E-2</v>
      </c>
      <c r="E2697" s="11">
        <v>45992.0625</v>
      </c>
      <c r="F2697" s="22" t="s">
        <v>262</v>
      </c>
      <c r="G2697" s="13" t="b">
        <v>0</v>
      </c>
      <c r="H2697" s="22" t="s">
        <v>305</v>
      </c>
      <c r="I2697" s="10" t="s">
        <v>264</v>
      </c>
      <c r="J2697" s="13" t="b">
        <v>0</v>
      </c>
      <c r="K2697" s="13" t="b">
        <v>1</v>
      </c>
      <c r="L2697" s="10" t="s">
        <v>124</v>
      </c>
      <c r="M2697" s="10" t="s">
        <v>91</v>
      </c>
      <c r="N2697" s="10" t="s">
        <v>265</v>
      </c>
      <c r="O2697" s="19" t="s">
        <v>20213</v>
      </c>
      <c r="P2697" s="10"/>
      <c r="Q2697" s="10" t="s">
        <v>94</v>
      </c>
      <c r="R2697" s="10"/>
      <c r="S2697" s="19" t="s">
        <v>20214</v>
      </c>
      <c r="T2697" s="10"/>
      <c r="U2697" s="10" t="s">
        <v>346</v>
      </c>
      <c r="V2697" s="10" t="s">
        <v>362</v>
      </c>
      <c r="W2697" s="10" t="s">
        <v>272</v>
      </c>
      <c r="X2697" s="10" t="s">
        <v>130</v>
      </c>
      <c r="Y2697" s="10" t="s">
        <v>130</v>
      </c>
      <c r="Z2697" s="10" t="s">
        <v>99</v>
      </c>
      <c r="AA2697" s="10" t="s">
        <v>131</v>
      </c>
      <c r="AB2697" s="10" t="s">
        <v>273</v>
      </c>
      <c r="AC2697" s="10" t="s">
        <v>274</v>
      </c>
      <c r="AD2697" s="10" t="s">
        <v>1587</v>
      </c>
      <c r="AE2697" s="10" t="s">
        <v>20215</v>
      </c>
      <c r="AF2697" s="15"/>
      <c r="AG2697" s="10"/>
      <c r="AH2697" s="10"/>
      <c r="AI2697" s="10"/>
      <c r="AJ2697" s="10"/>
      <c r="AK2697" s="10" t="s">
        <v>102</v>
      </c>
      <c r="AL2697" s="10" t="s">
        <v>1569</v>
      </c>
      <c r="AM2697" s="10"/>
      <c r="AN2697" s="10"/>
      <c r="AO2697" s="13" t="b">
        <v>0</v>
      </c>
      <c r="AP2697" s="22" t="s">
        <v>104</v>
      </c>
      <c r="AQ2697" s="10">
        <f ca="1">IFERROR(__xludf.DUMMYFUNCTION("""COMPUTED_VALUE"""),4747061)</f>
        <v>4747061</v>
      </c>
      <c r="AR2697" s="17">
        <v>8709</v>
      </c>
      <c r="AS2697" s="17">
        <v>7931</v>
      </c>
      <c r="AT2697" s="17">
        <v>55626.25</v>
      </c>
      <c r="AU2697" s="17">
        <v>43.2</v>
      </c>
      <c r="AV2697" s="17">
        <v>9.9</v>
      </c>
      <c r="AW2697" s="10" t="s">
        <v>105</v>
      </c>
      <c r="AX2697" s="17">
        <v>4924</v>
      </c>
      <c r="AY2697" s="18">
        <v>7.0137750598915645</v>
      </c>
      <c r="AZ2697" s="10" t="s">
        <v>136</v>
      </c>
      <c r="BA2697" s="20" t="b">
        <v>0</v>
      </c>
      <c r="BB2697" s="10"/>
      <c r="BC2697" s="17">
        <v>8709</v>
      </c>
      <c r="BD2697" s="17">
        <v>7931</v>
      </c>
      <c r="BE2697" s="17">
        <v>55626.25</v>
      </c>
      <c r="BF2697" s="17">
        <v>9.9</v>
      </c>
      <c r="BG2697" s="11">
        <f ca="1">IFERROR(__xludf.DUMMYFUNCTION("""COMPUTED_VALUE"""),45991.9791666666)</f>
        <v>45991.979166666599</v>
      </c>
      <c r="BH2697" s="17" t="s">
        <v>105</v>
      </c>
      <c r="BI2697" s="17"/>
      <c r="BJ2697" s="15"/>
      <c r="BK2697" s="15"/>
      <c r="BL2697" s="13" t="b">
        <v>0</v>
      </c>
      <c r="BM2697" s="10"/>
      <c r="BN2697" s="10" t="s">
        <v>118</v>
      </c>
      <c r="BO2697" s="11">
        <v>45982.615277777775</v>
      </c>
      <c r="BP2697" s="11">
        <v>45982.615370370368</v>
      </c>
      <c r="BQ2697" s="15">
        <v>45985.708495370367</v>
      </c>
      <c r="BR2697" s="15">
        <v>45991.831967592596</v>
      </c>
      <c r="BS2697" s="10" t="s">
        <v>118</v>
      </c>
      <c r="BT2697" s="10"/>
      <c r="BU2697" s="10"/>
      <c r="BV2697" s="10"/>
      <c r="BW2697" s="10"/>
      <c r="BX2697" s="10"/>
      <c r="BY2697" s="23"/>
      <c r="BZ2697" s="23"/>
      <c r="CA2697" s="19" t="s">
        <v>20214</v>
      </c>
      <c r="CB2697" s="23"/>
      <c r="CC2697" s="23"/>
      <c r="CD2697" s="23"/>
      <c r="CE2697" s="23"/>
      <c r="CF2697" s="23"/>
      <c r="CG2697" s="23"/>
      <c r="CH2697" s="23"/>
      <c r="CI2697" s="23"/>
    </row>
    <row r="2698" spans="1:87" x14ac:dyDescent="0.3">
      <c r="A2698" s="9" t="s">
        <v>20216</v>
      </c>
      <c r="B2698" s="10" t="s">
        <v>20217</v>
      </c>
      <c r="C2698" s="11">
        <v>45989.041666666664</v>
      </c>
      <c r="D2698" s="12">
        <v>0.14583333333333334</v>
      </c>
      <c r="E2698" s="11">
        <v>45989.1875</v>
      </c>
      <c r="F2698" s="22" t="s">
        <v>15270</v>
      </c>
      <c r="G2698" s="13" t="b">
        <v>0</v>
      </c>
      <c r="H2698" s="22" t="s">
        <v>15271</v>
      </c>
      <c r="I2698" s="10" t="s">
        <v>3213</v>
      </c>
      <c r="J2698" s="13" t="b">
        <v>0</v>
      </c>
      <c r="K2698" s="13" t="b">
        <v>1</v>
      </c>
      <c r="L2698" s="10" t="s">
        <v>124</v>
      </c>
      <c r="M2698" s="10" t="s">
        <v>91</v>
      </c>
      <c r="N2698" s="10" t="s">
        <v>92</v>
      </c>
      <c r="O2698" s="19" t="s">
        <v>20218</v>
      </c>
      <c r="P2698" s="10" t="s">
        <v>3215</v>
      </c>
      <c r="Q2698" s="10" t="s">
        <v>126</v>
      </c>
      <c r="R2698" s="10"/>
      <c r="S2698" s="19" t="s">
        <v>20219</v>
      </c>
      <c r="T2698" s="19" t="s">
        <v>20220</v>
      </c>
      <c r="U2698" s="10" t="s">
        <v>15289</v>
      </c>
      <c r="V2698" s="10" t="s">
        <v>15274</v>
      </c>
      <c r="W2698" s="10" t="s">
        <v>15276</v>
      </c>
      <c r="X2698" s="10" t="s">
        <v>15277</v>
      </c>
      <c r="Y2698" s="10" t="s">
        <v>15277</v>
      </c>
      <c r="Z2698" s="10" t="s">
        <v>99</v>
      </c>
      <c r="AA2698" s="10" t="s">
        <v>131</v>
      </c>
      <c r="AB2698" s="10" t="s">
        <v>15278</v>
      </c>
      <c r="AC2698" s="10" t="s">
        <v>15279</v>
      </c>
      <c r="AD2698" s="10" t="s">
        <v>165</v>
      </c>
      <c r="AE2698" s="10" t="s">
        <v>20221</v>
      </c>
      <c r="AF2698" s="15"/>
      <c r="AG2698" s="10"/>
      <c r="AH2698" s="10"/>
      <c r="AI2698" s="10"/>
      <c r="AJ2698" s="10"/>
      <c r="AK2698" s="10" t="s">
        <v>102</v>
      </c>
      <c r="AL2698" s="10" t="s">
        <v>1569</v>
      </c>
      <c r="AM2698" s="10"/>
      <c r="AN2698" s="10"/>
      <c r="AO2698" s="13" t="b">
        <v>0</v>
      </c>
      <c r="AP2698" s="22" t="s">
        <v>104</v>
      </c>
      <c r="AQ2698" s="10">
        <f ca="1">IFERROR(__xludf.DUMMYFUNCTION("""COMPUTED_VALUE"""),4741017)</f>
        <v>4741017</v>
      </c>
      <c r="AR2698" s="17">
        <v>1008</v>
      </c>
      <c r="AS2698" s="17">
        <v>717</v>
      </c>
      <c r="AT2698" s="17">
        <v>18677.5</v>
      </c>
      <c r="AU2698" s="17">
        <v>2.75</v>
      </c>
      <c r="AV2698" s="17">
        <v>2</v>
      </c>
      <c r="AW2698" s="10" t="s">
        <v>105</v>
      </c>
      <c r="AX2698" s="17">
        <v>142</v>
      </c>
      <c r="AY2698" s="18">
        <v>26.049511854951184</v>
      </c>
      <c r="AZ2698" s="10" t="s">
        <v>185</v>
      </c>
      <c r="BA2698" s="20" t="b">
        <v>0</v>
      </c>
      <c r="BB2698" s="10"/>
      <c r="BC2698" s="17">
        <v>1008</v>
      </c>
      <c r="BD2698" s="17">
        <v>717</v>
      </c>
      <c r="BE2698" s="17">
        <v>18677.5</v>
      </c>
      <c r="BF2698" s="17">
        <v>2</v>
      </c>
      <c r="BG2698" s="11">
        <f ca="1">IFERROR(__xludf.DUMMYFUNCTION("""COMPUTED_VALUE"""),45989.0416666666)</f>
        <v>45989.041666666599</v>
      </c>
      <c r="BH2698" s="17" t="s">
        <v>105</v>
      </c>
      <c r="BI2698" s="17"/>
      <c r="BJ2698" s="15"/>
      <c r="BK2698" s="15"/>
      <c r="BL2698" s="13" t="b">
        <v>0</v>
      </c>
      <c r="BM2698" s="10"/>
      <c r="BN2698" s="10" t="s">
        <v>8529</v>
      </c>
      <c r="BO2698" s="11">
        <v>45982.654166666667</v>
      </c>
      <c r="BP2698" s="11">
        <v>45982.654710648145</v>
      </c>
      <c r="BQ2698" s="15">
        <v>45988.639664351853</v>
      </c>
      <c r="BR2698" s="15">
        <v>45988.714317129627</v>
      </c>
      <c r="BS2698" s="10"/>
      <c r="BT2698" s="10"/>
      <c r="BU2698" s="10"/>
      <c r="BV2698" s="10"/>
      <c r="BW2698" s="10"/>
      <c r="BX2698" s="10"/>
      <c r="BY2698" s="23"/>
      <c r="BZ2698" s="23"/>
      <c r="CA2698" s="19" t="s">
        <v>20222</v>
      </c>
      <c r="CB2698" s="19" t="s">
        <v>20220</v>
      </c>
      <c r="CC2698" s="23"/>
      <c r="CD2698" s="19" t="s">
        <v>20223</v>
      </c>
      <c r="CE2698" s="23"/>
      <c r="CF2698" s="23"/>
      <c r="CG2698" s="23"/>
      <c r="CH2698" s="23"/>
      <c r="CI2698" s="23"/>
    </row>
    <row r="2699" spans="1:87" x14ac:dyDescent="0.3">
      <c r="A2699" s="9" t="s">
        <v>20224</v>
      </c>
      <c r="B2699" s="10" t="s">
        <v>20225</v>
      </c>
      <c r="C2699" s="11">
        <v>45989.1875</v>
      </c>
      <c r="D2699" s="12">
        <v>0.14583333333333334</v>
      </c>
      <c r="E2699" s="11">
        <v>45989.333333333336</v>
      </c>
      <c r="F2699" s="22" t="s">
        <v>15270</v>
      </c>
      <c r="G2699" s="13" t="b">
        <v>0</v>
      </c>
      <c r="H2699" s="22" t="s">
        <v>15271</v>
      </c>
      <c r="I2699" s="10" t="s">
        <v>3213</v>
      </c>
      <c r="J2699" s="13" t="b">
        <v>0</v>
      </c>
      <c r="K2699" s="13" t="b">
        <v>1</v>
      </c>
      <c r="L2699" s="10" t="s">
        <v>124</v>
      </c>
      <c r="M2699" s="10" t="s">
        <v>91</v>
      </c>
      <c r="N2699" s="10" t="s">
        <v>92</v>
      </c>
      <c r="O2699" s="19" t="s">
        <v>20226</v>
      </c>
      <c r="P2699" s="10" t="s">
        <v>3215</v>
      </c>
      <c r="Q2699" s="10" t="s">
        <v>126</v>
      </c>
      <c r="R2699" s="10"/>
      <c r="S2699" s="19" t="s">
        <v>20227</v>
      </c>
      <c r="T2699" s="19" t="s">
        <v>20228</v>
      </c>
      <c r="U2699" s="10" t="s">
        <v>16009</v>
      </c>
      <c r="V2699" s="10" t="s">
        <v>15298</v>
      </c>
      <c r="W2699" s="10" t="s">
        <v>15276</v>
      </c>
      <c r="X2699" s="10" t="s">
        <v>15277</v>
      </c>
      <c r="Y2699" s="10" t="s">
        <v>15277</v>
      </c>
      <c r="Z2699" s="10" t="s">
        <v>99</v>
      </c>
      <c r="AA2699" s="10" t="s">
        <v>131</v>
      </c>
      <c r="AB2699" s="10" t="s">
        <v>15278</v>
      </c>
      <c r="AC2699" s="10" t="s">
        <v>15279</v>
      </c>
      <c r="AD2699" s="10" t="s">
        <v>165</v>
      </c>
      <c r="AE2699" s="10" t="s">
        <v>20229</v>
      </c>
      <c r="AF2699" s="15"/>
      <c r="AG2699" s="10"/>
      <c r="AH2699" s="10"/>
      <c r="AI2699" s="10"/>
      <c r="AJ2699" s="10"/>
      <c r="AK2699" s="10" t="s">
        <v>102</v>
      </c>
      <c r="AL2699" s="10" t="s">
        <v>1569</v>
      </c>
      <c r="AM2699" s="10"/>
      <c r="AN2699" s="10"/>
      <c r="AO2699" s="13" t="b">
        <v>0</v>
      </c>
      <c r="AP2699" s="22" t="s">
        <v>104</v>
      </c>
      <c r="AQ2699" s="10">
        <f ca="1">IFERROR(__xludf.DUMMYFUNCTION("""COMPUTED_VALUE"""),4741018)</f>
        <v>4741018</v>
      </c>
      <c r="AR2699" s="17">
        <v>3013</v>
      </c>
      <c r="AS2699" s="17">
        <v>1933</v>
      </c>
      <c r="AT2699" s="17">
        <v>39591.25</v>
      </c>
      <c r="AU2699" s="17">
        <v>10.75</v>
      </c>
      <c r="AV2699" s="17">
        <v>2.7</v>
      </c>
      <c r="AW2699" s="10" t="s">
        <v>105</v>
      </c>
      <c r="AX2699" s="17">
        <v>413</v>
      </c>
      <c r="AY2699" s="18">
        <v>20.481764097258147</v>
      </c>
      <c r="AZ2699" s="10"/>
      <c r="BA2699" s="20" t="b">
        <v>0</v>
      </c>
      <c r="BB2699" s="10"/>
      <c r="BC2699" s="17">
        <v>3013</v>
      </c>
      <c r="BD2699" s="17">
        <v>1933</v>
      </c>
      <c r="BE2699" s="17">
        <v>39591.25</v>
      </c>
      <c r="BF2699" s="17">
        <v>2.7</v>
      </c>
      <c r="BG2699" s="11">
        <f ca="1">IFERROR(__xludf.DUMMYFUNCTION("""COMPUTED_VALUE"""),45989.1875)</f>
        <v>45989.1875</v>
      </c>
      <c r="BH2699" s="17" t="s">
        <v>105</v>
      </c>
      <c r="BI2699" s="17"/>
      <c r="BJ2699" s="15"/>
      <c r="BK2699" s="15"/>
      <c r="BL2699" s="13" t="b">
        <v>0</v>
      </c>
      <c r="BM2699" s="10"/>
      <c r="BN2699" s="10" t="s">
        <v>8529</v>
      </c>
      <c r="BO2699" s="11">
        <v>45982.655555555553</v>
      </c>
      <c r="BP2699" s="11">
        <v>45982.656111111108</v>
      </c>
      <c r="BQ2699" s="15">
        <v>45988.639918981484</v>
      </c>
      <c r="BR2699" s="15">
        <v>45988.714444444442</v>
      </c>
      <c r="BS2699" s="10"/>
      <c r="BT2699" s="10"/>
      <c r="BU2699" s="10"/>
      <c r="BV2699" s="10"/>
      <c r="BW2699" s="10"/>
      <c r="BX2699" s="10"/>
      <c r="BY2699" s="23"/>
      <c r="BZ2699" s="23"/>
      <c r="CA2699" s="19" t="s">
        <v>20230</v>
      </c>
      <c r="CB2699" s="19" t="s">
        <v>20228</v>
      </c>
      <c r="CC2699" s="23"/>
      <c r="CD2699" s="19" t="s">
        <v>20231</v>
      </c>
      <c r="CE2699" s="23"/>
      <c r="CF2699" s="23"/>
      <c r="CG2699" s="23"/>
      <c r="CH2699" s="23"/>
      <c r="CI2699" s="23"/>
    </row>
    <row r="2700" spans="1:87" x14ac:dyDescent="0.3">
      <c r="A2700" s="9" t="s">
        <v>20232</v>
      </c>
      <c r="B2700" s="10" t="s">
        <v>20233</v>
      </c>
      <c r="C2700" s="11">
        <v>45989.347222222219</v>
      </c>
      <c r="D2700" s="12">
        <v>0.14583333333333334</v>
      </c>
      <c r="E2700" s="11">
        <v>45989.493055555555</v>
      </c>
      <c r="F2700" s="22" t="s">
        <v>15270</v>
      </c>
      <c r="G2700" s="13" t="b">
        <v>0</v>
      </c>
      <c r="H2700" s="22" t="s">
        <v>15271</v>
      </c>
      <c r="I2700" s="10" t="s">
        <v>3213</v>
      </c>
      <c r="J2700" s="13" t="b">
        <v>0</v>
      </c>
      <c r="K2700" s="13" t="b">
        <v>1</v>
      </c>
      <c r="L2700" s="10" t="s">
        <v>124</v>
      </c>
      <c r="M2700" s="10" t="s">
        <v>91</v>
      </c>
      <c r="N2700" s="10" t="s">
        <v>92</v>
      </c>
      <c r="O2700" s="19" t="s">
        <v>20234</v>
      </c>
      <c r="P2700" s="10" t="s">
        <v>3215</v>
      </c>
      <c r="Q2700" s="10" t="s">
        <v>126</v>
      </c>
      <c r="R2700" s="10"/>
      <c r="S2700" s="19" t="s">
        <v>20235</v>
      </c>
      <c r="T2700" s="19" t="s">
        <v>20236</v>
      </c>
      <c r="U2700" s="10" t="s">
        <v>15673</v>
      </c>
      <c r="V2700" s="10" t="s">
        <v>16017</v>
      </c>
      <c r="W2700" s="10" t="s">
        <v>15276</v>
      </c>
      <c r="X2700" s="10" t="s">
        <v>15277</v>
      </c>
      <c r="Y2700" s="10" t="s">
        <v>15277</v>
      </c>
      <c r="Z2700" s="10" t="s">
        <v>99</v>
      </c>
      <c r="AA2700" s="10" t="s">
        <v>131</v>
      </c>
      <c r="AB2700" s="10" t="s">
        <v>15278</v>
      </c>
      <c r="AC2700" s="10" t="s">
        <v>15279</v>
      </c>
      <c r="AD2700" s="10" t="s">
        <v>165</v>
      </c>
      <c r="AE2700" s="10" t="s">
        <v>20237</v>
      </c>
      <c r="AF2700" s="15"/>
      <c r="AG2700" s="10"/>
      <c r="AH2700" s="10"/>
      <c r="AI2700" s="10"/>
      <c r="AJ2700" s="10"/>
      <c r="AK2700" s="10" t="s">
        <v>102</v>
      </c>
      <c r="AL2700" s="10" t="s">
        <v>1569</v>
      </c>
      <c r="AM2700" s="10"/>
      <c r="AN2700" s="10"/>
      <c r="AO2700" s="13" t="b">
        <v>0</v>
      </c>
      <c r="AP2700" s="22" t="s">
        <v>104</v>
      </c>
      <c r="AQ2700" s="10">
        <f ca="1">IFERROR(__xludf.DUMMYFUNCTION("""COMPUTED_VALUE"""),4741019)</f>
        <v>4741019</v>
      </c>
      <c r="AR2700" s="17">
        <v>2902</v>
      </c>
      <c r="AS2700" s="17">
        <v>2016</v>
      </c>
      <c r="AT2700" s="17">
        <v>48962.25</v>
      </c>
      <c r="AU2700" s="17">
        <v>8.4499999999999993</v>
      </c>
      <c r="AV2700" s="17">
        <v>2.15</v>
      </c>
      <c r="AW2700" s="10" t="s">
        <v>105</v>
      </c>
      <c r="AX2700" s="17">
        <v>368</v>
      </c>
      <c r="AY2700" s="18">
        <v>24.286830357142858</v>
      </c>
      <c r="AZ2700" s="10"/>
      <c r="BA2700" s="20" t="b">
        <v>0</v>
      </c>
      <c r="BB2700" s="10"/>
      <c r="BC2700" s="17">
        <v>2902</v>
      </c>
      <c r="BD2700" s="17">
        <v>2016</v>
      </c>
      <c r="BE2700" s="17">
        <v>48962.25</v>
      </c>
      <c r="BF2700" s="17">
        <v>2.15</v>
      </c>
      <c r="BG2700" s="11">
        <f ca="1">IFERROR(__xludf.DUMMYFUNCTION("""COMPUTED_VALUE"""),45989.3472222222)</f>
        <v>45989.347222222197</v>
      </c>
      <c r="BH2700" s="17" t="s">
        <v>105</v>
      </c>
      <c r="BI2700" s="17"/>
      <c r="BJ2700" s="15"/>
      <c r="BK2700" s="15"/>
      <c r="BL2700" s="13" t="b">
        <v>0</v>
      </c>
      <c r="BM2700" s="10"/>
      <c r="BN2700" s="10" t="s">
        <v>8529</v>
      </c>
      <c r="BO2700" s="11">
        <v>45982.656944444447</v>
      </c>
      <c r="BP2700" s="11">
        <v>45982.657500000001</v>
      </c>
      <c r="BQ2700" s="15">
        <v>45988.640069444446</v>
      </c>
      <c r="BR2700" s="15">
        <v>45988.714513888888</v>
      </c>
      <c r="BS2700" s="10"/>
      <c r="BT2700" s="10"/>
      <c r="BU2700" s="10"/>
      <c r="BV2700" s="10"/>
      <c r="BW2700" s="10"/>
      <c r="BX2700" s="10"/>
      <c r="BY2700" s="23"/>
      <c r="BZ2700" s="23"/>
      <c r="CA2700" s="19" t="s">
        <v>20238</v>
      </c>
      <c r="CB2700" s="19" t="s">
        <v>20239</v>
      </c>
      <c r="CC2700" s="23"/>
      <c r="CD2700" s="19" t="s">
        <v>20240</v>
      </c>
      <c r="CE2700" s="23"/>
      <c r="CF2700" s="23"/>
      <c r="CG2700" s="23"/>
      <c r="CH2700" s="23"/>
      <c r="CI2700" s="23"/>
    </row>
    <row r="2701" spans="1:87" x14ac:dyDescent="0.3">
      <c r="A2701" s="9" t="s">
        <v>20241</v>
      </c>
      <c r="B2701" s="10" t="s">
        <v>20242</v>
      </c>
      <c r="C2701" s="11">
        <v>45992.041666666664</v>
      </c>
      <c r="D2701" s="12">
        <v>0.14583333333333334</v>
      </c>
      <c r="E2701" s="11">
        <v>45992.1875</v>
      </c>
      <c r="F2701" s="22" t="s">
        <v>15270</v>
      </c>
      <c r="G2701" s="13" t="b">
        <v>0</v>
      </c>
      <c r="H2701" s="22" t="s">
        <v>15271</v>
      </c>
      <c r="I2701" s="10" t="s">
        <v>3213</v>
      </c>
      <c r="J2701" s="13" t="b">
        <v>0</v>
      </c>
      <c r="K2701" s="13" t="b">
        <v>1</v>
      </c>
      <c r="L2701" s="10" t="s">
        <v>124</v>
      </c>
      <c r="M2701" s="10" t="s">
        <v>91</v>
      </c>
      <c r="N2701" s="10" t="s">
        <v>92</v>
      </c>
      <c r="O2701" s="19" t="s">
        <v>20243</v>
      </c>
      <c r="P2701" s="10" t="s">
        <v>88</v>
      </c>
      <c r="Q2701" s="10" t="s">
        <v>126</v>
      </c>
      <c r="R2701" s="10"/>
      <c r="S2701" s="19" t="s">
        <v>20244</v>
      </c>
      <c r="T2701" s="19" t="s">
        <v>20245</v>
      </c>
      <c r="U2701" s="10" t="s">
        <v>19855</v>
      </c>
      <c r="V2701" s="10" t="s">
        <v>15519</v>
      </c>
      <c r="W2701" s="10" t="s">
        <v>15276</v>
      </c>
      <c r="X2701" s="10" t="s">
        <v>15277</v>
      </c>
      <c r="Y2701" s="10" t="s">
        <v>15277</v>
      </c>
      <c r="Z2701" s="10" t="s">
        <v>99</v>
      </c>
      <c r="AA2701" s="10" t="s">
        <v>131</v>
      </c>
      <c r="AB2701" s="10" t="s">
        <v>15278</v>
      </c>
      <c r="AC2701" s="10" t="s">
        <v>15279</v>
      </c>
      <c r="AD2701" s="10" t="s">
        <v>165</v>
      </c>
      <c r="AE2701" s="10" t="s">
        <v>20246</v>
      </c>
      <c r="AF2701" s="15"/>
      <c r="AG2701" s="10"/>
      <c r="AH2701" s="10"/>
      <c r="AI2701" s="10"/>
      <c r="AJ2701" s="10"/>
      <c r="AK2701" s="10" t="s">
        <v>102</v>
      </c>
      <c r="AL2701" s="10" t="s">
        <v>1569</v>
      </c>
      <c r="AM2701" s="10"/>
      <c r="AN2701" s="10"/>
      <c r="AO2701" s="13" t="b">
        <v>0</v>
      </c>
      <c r="AP2701" s="22" t="s">
        <v>104</v>
      </c>
      <c r="AQ2701" s="10">
        <f ca="1">IFERROR(__xludf.DUMMYFUNCTION("""COMPUTED_VALUE"""),4743719)</f>
        <v>4743719</v>
      </c>
      <c r="AR2701" s="17">
        <v>1879</v>
      </c>
      <c r="AS2701" s="17">
        <v>1664</v>
      </c>
      <c r="AT2701" s="17">
        <v>29928.75</v>
      </c>
      <c r="AU2701" s="17">
        <v>2.75</v>
      </c>
      <c r="AV2701" s="17">
        <v>0</v>
      </c>
      <c r="AW2701" s="10" t="s">
        <v>105</v>
      </c>
      <c r="AX2701" s="17">
        <v>300</v>
      </c>
      <c r="AY2701" s="18">
        <v>17.98602764423077</v>
      </c>
      <c r="AZ2701" s="10"/>
      <c r="BA2701" s="20" t="b">
        <v>0</v>
      </c>
      <c r="BB2701" s="10"/>
      <c r="BC2701" s="17">
        <v>1879</v>
      </c>
      <c r="BD2701" s="17">
        <v>1664</v>
      </c>
      <c r="BE2701" s="17">
        <v>29928.75</v>
      </c>
      <c r="BF2701" s="17">
        <v>0</v>
      </c>
      <c r="BG2701" s="11">
        <f ca="1">IFERROR(__xludf.DUMMYFUNCTION("""COMPUTED_VALUE"""),45992.0416666666)</f>
        <v>45992.041666666599</v>
      </c>
      <c r="BH2701" s="17" t="s">
        <v>105</v>
      </c>
      <c r="BI2701" s="17"/>
      <c r="BJ2701" s="15"/>
      <c r="BK2701" s="15"/>
      <c r="BL2701" s="13" t="b">
        <v>0</v>
      </c>
      <c r="BM2701" s="10"/>
      <c r="BN2701" s="10" t="s">
        <v>118</v>
      </c>
      <c r="BO2701" s="11">
        <v>45982.658333333333</v>
      </c>
      <c r="BP2701" s="11">
        <v>45982.658425925925</v>
      </c>
      <c r="BQ2701" s="15">
        <v>45989.70449074074</v>
      </c>
      <c r="BR2701" s="15">
        <v>45991.433472222219</v>
      </c>
      <c r="BS2701" s="10" t="s">
        <v>118</v>
      </c>
      <c r="BT2701" s="10"/>
      <c r="BU2701" s="10"/>
      <c r="BV2701" s="10"/>
      <c r="BW2701" s="10"/>
      <c r="BX2701" s="10"/>
      <c r="BY2701" s="23"/>
      <c r="BZ2701" s="23"/>
      <c r="CA2701" s="19" t="s">
        <v>20247</v>
      </c>
      <c r="CB2701" s="19" t="s">
        <v>20245</v>
      </c>
      <c r="CC2701" s="23"/>
      <c r="CD2701" s="19" t="s">
        <v>20248</v>
      </c>
      <c r="CE2701" s="23"/>
      <c r="CF2701" s="23"/>
      <c r="CG2701" s="23"/>
      <c r="CH2701" s="23"/>
      <c r="CI2701" s="23"/>
    </row>
    <row r="2702" spans="1:87" x14ac:dyDescent="0.3">
      <c r="A2702" s="9" t="s">
        <v>20249</v>
      </c>
      <c r="B2702" s="10" t="s">
        <v>20250</v>
      </c>
      <c r="C2702" s="11">
        <v>45992.184027777781</v>
      </c>
      <c r="D2702" s="12">
        <v>0.14583333333333334</v>
      </c>
      <c r="E2702" s="11">
        <v>45992.329861111109</v>
      </c>
      <c r="F2702" s="22" t="s">
        <v>15270</v>
      </c>
      <c r="G2702" s="13" t="b">
        <v>0</v>
      </c>
      <c r="H2702" s="22" t="s">
        <v>15271</v>
      </c>
      <c r="I2702" s="10" t="s">
        <v>3213</v>
      </c>
      <c r="J2702" s="13" t="b">
        <v>0</v>
      </c>
      <c r="K2702" s="13" t="b">
        <v>1</v>
      </c>
      <c r="L2702" s="10" t="s">
        <v>124</v>
      </c>
      <c r="M2702" s="10" t="s">
        <v>91</v>
      </c>
      <c r="N2702" s="10" t="s">
        <v>92</v>
      </c>
      <c r="O2702" s="19" t="s">
        <v>20251</v>
      </c>
      <c r="P2702" s="10" t="s">
        <v>88</v>
      </c>
      <c r="Q2702" s="10" t="s">
        <v>126</v>
      </c>
      <c r="R2702" s="10"/>
      <c r="S2702" s="19" t="s">
        <v>20252</v>
      </c>
      <c r="T2702" s="19" t="s">
        <v>20253</v>
      </c>
      <c r="U2702" s="10" t="s">
        <v>15490</v>
      </c>
      <c r="V2702" s="10" t="s">
        <v>15637</v>
      </c>
      <c r="W2702" s="10" t="s">
        <v>15276</v>
      </c>
      <c r="X2702" s="10" t="s">
        <v>15277</v>
      </c>
      <c r="Y2702" s="10" t="s">
        <v>15277</v>
      </c>
      <c r="Z2702" s="10" t="s">
        <v>99</v>
      </c>
      <c r="AA2702" s="10" t="s">
        <v>131</v>
      </c>
      <c r="AB2702" s="10" t="s">
        <v>15278</v>
      </c>
      <c r="AC2702" s="10" t="s">
        <v>15279</v>
      </c>
      <c r="AD2702" s="10" t="s">
        <v>165</v>
      </c>
      <c r="AE2702" s="10" t="s">
        <v>20254</v>
      </c>
      <c r="AF2702" s="15"/>
      <c r="AG2702" s="10"/>
      <c r="AH2702" s="10"/>
      <c r="AI2702" s="10"/>
      <c r="AJ2702" s="10"/>
      <c r="AK2702" s="10" t="s">
        <v>102</v>
      </c>
      <c r="AL2702" s="10" t="s">
        <v>1569</v>
      </c>
      <c r="AM2702" s="10"/>
      <c r="AN2702" s="10"/>
      <c r="AO2702" s="13" t="b">
        <v>0</v>
      </c>
      <c r="AP2702" s="22" t="s">
        <v>104</v>
      </c>
      <c r="AQ2702" s="10">
        <f ca="1">IFERROR(__xludf.DUMMYFUNCTION("""COMPUTED_VALUE"""),4743718)</f>
        <v>4743718</v>
      </c>
      <c r="AR2702" s="17">
        <v>1930</v>
      </c>
      <c r="AS2702" s="17">
        <v>1642</v>
      </c>
      <c r="AT2702" s="17">
        <v>21363</v>
      </c>
      <c r="AU2702" s="17">
        <v>2.2999999999999998</v>
      </c>
      <c r="AV2702" s="17">
        <v>0</v>
      </c>
      <c r="AW2702" s="10" t="s">
        <v>105</v>
      </c>
      <c r="AX2702" s="17">
        <v>280</v>
      </c>
      <c r="AY2702" s="18">
        <v>13.010353227771011</v>
      </c>
      <c r="AZ2702" s="10"/>
      <c r="BA2702" s="20" t="b">
        <v>0</v>
      </c>
      <c r="BB2702" s="10"/>
      <c r="BC2702" s="17">
        <v>1930</v>
      </c>
      <c r="BD2702" s="17">
        <v>1642</v>
      </c>
      <c r="BE2702" s="17">
        <v>21363</v>
      </c>
      <c r="BF2702" s="17">
        <v>0</v>
      </c>
      <c r="BG2702" s="11">
        <f ca="1">IFERROR(__xludf.DUMMYFUNCTION("""COMPUTED_VALUE"""),45992.1840277777)</f>
        <v>45992.184027777701</v>
      </c>
      <c r="BH2702" s="17" t="s">
        <v>105</v>
      </c>
      <c r="BI2702" s="17"/>
      <c r="BJ2702" s="15"/>
      <c r="BK2702" s="15"/>
      <c r="BL2702" s="13" t="b">
        <v>0</v>
      </c>
      <c r="BM2702" s="10"/>
      <c r="BN2702" s="10" t="s">
        <v>118</v>
      </c>
      <c r="BO2702" s="11">
        <v>45982.659722222219</v>
      </c>
      <c r="BP2702" s="11">
        <v>45982.659884259258</v>
      </c>
      <c r="BQ2702" s="15">
        <v>45989.704664351855</v>
      </c>
      <c r="BR2702" s="15">
        <v>45991.433611111112</v>
      </c>
      <c r="BS2702" s="10" t="s">
        <v>118</v>
      </c>
      <c r="BT2702" s="10"/>
      <c r="BU2702" s="10"/>
      <c r="BV2702" s="10"/>
      <c r="BW2702" s="10"/>
      <c r="BX2702" s="10"/>
      <c r="BY2702" s="23"/>
      <c r="BZ2702" s="23"/>
      <c r="CA2702" s="19" t="s">
        <v>20255</v>
      </c>
      <c r="CB2702" s="19" t="s">
        <v>20256</v>
      </c>
      <c r="CC2702" s="23"/>
      <c r="CD2702" s="19" t="s">
        <v>20257</v>
      </c>
      <c r="CE2702" s="23"/>
      <c r="CF2702" s="23"/>
      <c r="CG2702" s="23"/>
      <c r="CH2702" s="23"/>
      <c r="CI2702" s="23"/>
    </row>
    <row r="2703" spans="1:87" x14ac:dyDescent="0.3">
      <c r="A2703" s="9" t="s">
        <v>20258</v>
      </c>
      <c r="B2703" s="10" t="s">
        <v>20259</v>
      </c>
      <c r="C2703" s="11">
        <v>45992.347222222219</v>
      </c>
      <c r="D2703" s="12">
        <v>0.14583333333333334</v>
      </c>
      <c r="E2703" s="11">
        <v>45992.493055555555</v>
      </c>
      <c r="F2703" s="22" t="s">
        <v>15270</v>
      </c>
      <c r="G2703" s="13" t="b">
        <v>0</v>
      </c>
      <c r="H2703" s="22" t="s">
        <v>15271</v>
      </c>
      <c r="I2703" s="10" t="s">
        <v>3213</v>
      </c>
      <c r="J2703" s="13" t="b">
        <v>0</v>
      </c>
      <c r="K2703" s="13" t="b">
        <v>1</v>
      </c>
      <c r="L2703" s="10" t="s">
        <v>124</v>
      </c>
      <c r="M2703" s="10" t="s">
        <v>91</v>
      </c>
      <c r="N2703" s="10" t="s">
        <v>92</v>
      </c>
      <c r="O2703" s="19" t="s">
        <v>20260</v>
      </c>
      <c r="P2703" s="10" t="s">
        <v>3215</v>
      </c>
      <c r="Q2703" s="10" t="s">
        <v>126</v>
      </c>
      <c r="R2703" s="10"/>
      <c r="S2703" s="19" t="s">
        <v>20261</v>
      </c>
      <c r="T2703" s="19" t="s">
        <v>20262</v>
      </c>
      <c r="U2703" s="10" t="s">
        <v>15275</v>
      </c>
      <c r="V2703" s="10" t="s">
        <v>15510</v>
      </c>
      <c r="W2703" s="10" t="s">
        <v>15276</v>
      </c>
      <c r="X2703" s="10" t="s">
        <v>15277</v>
      </c>
      <c r="Y2703" s="10" t="s">
        <v>15277</v>
      </c>
      <c r="Z2703" s="10" t="s">
        <v>99</v>
      </c>
      <c r="AA2703" s="10" t="s">
        <v>131</v>
      </c>
      <c r="AB2703" s="10" t="s">
        <v>15278</v>
      </c>
      <c r="AC2703" s="10" t="s">
        <v>15279</v>
      </c>
      <c r="AD2703" s="10" t="s">
        <v>165</v>
      </c>
      <c r="AE2703" s="10" t="s">
        <v>20263</v>
      </c>
      <c r="AF2703" s="15"/>
      <c r="AG2703" s="10"/>
      <c r="AH2703" s="10"/>
      <c r="AI2703" s="10"/>
      <c r="AJ2703" s="10"/>
      <c r="AK2703" s="10" t="s">
        <v>102</v>
      </c>
      <c r="AL2703" s="10" t="s">
        <v>1569</v>
      </c>
      <c r="AM2703" s="10"/>
      <c r="AN2703" s="10"/>
      <c r="AO2703" s="13" t="b">
        <v>0</v>
      </c>
      <c r="AP2703" s="22" t="s">
        <v>104</v>
      </c>
      <c r="AQ2703" s="10">
        <f ca="1">IFERROR(__xludf.DUMMYFUNCTION("""COMPUTED_VALUE"""),4743720)</f>
        <v>4743720</v>
      </c>
      <c r="AR2703" s="17">
        <v>2664</v>
      </c>
      <c r="AS2703" s="17">
        <v>1982</v>
      </c>
      <c r="AT2703" s="17">
        <v>53140</v>
      </c>
      <c r="AU2703" s="17">
        <v>7.85</v>
      </c>
      <c r="AV2703" s="17">
        <v>2.15</v>
      </c>
      <c r="AW2703" s="10" t="s">
        <v>105</v>
      </c>
      <c r="AX2703" s="17">
        <v>377</v>
      </c>
      <c r="AY2703" s="18">
        <v>26.811301715438951</v>
      </c>
      <c r="AZ2703" s="10"/>
      <c r="BA2703" s="20" t="b">
        <v>0</v>
      </c>
      <c r="BB2703" s="10"/>
      <c r="BC2703" s="17">
        <v>2664</v>
      </c>
      <c r="BD2703" s="17">
        <v>1982</v>
      </c>
      <c r="BE2703" s="17">
        <v>53140</v>
      </c>
      <c r="BF2703" s="17">
        <v>2.15</v>
      </c>
      <c r="BG2703" s="11">
        <f ca="1">IFERROR(__xludf.DUMMYFUNCTION("""COMPUTED_VALUE"""),45992.3472222222)</f>
        <v>45992.347222222197</v>
      </c>
      <c r="BH2703" s="17" t="s">
        <v>105</v>
      </c>
      <c r="BI2703" s="17"/>
      <c r="BJ2703" s="15"/>
      <c r="BK2703" s="15"/>
      <c r="BL2703" s="13" t="b">
        <v>0</v>
      </c>
      <c r="BM2703" s="10"/>
      <c r="BN2703" s="10" t="s">
        <v>118</v>
      </c>
      <c r="BO2703" s="11">
        <v>45982.660416666666</v>
      </c>
      <c r="BP2703" s="11">
        <v>45982.660694444443</v>
      </c>
      <c r="BQ2703" s="15">
        <v>45989.704780092594</v>
      </c>
      <c r="BR2703" s="15">
        <v>45991.433738425927</v>
      </c>
      <c r="BS2703" s="10" t="s">
        <v>118</v>
      </c>
      <c r="BT2703" s="10"/>
      <c r="BU2703" s="10"/>
      <c r="BV2703" s="10"/>
      <c r="BW2703" s="10"/>
      <c r="BX2703" s="10"/>
      <c r="BY2703" s="23"/>
      <c r="BZ2703" s="23"/>
      <c r="CA2703" s="19" t="s">
        <v>20264</v>
      </c>
      <c r="CB2703" s="19" t="s">
        <v>20265</v>
      </c>
      <c r="CC2703" s="23"/>
      <c r="CD2703" s="19" t="s">
        <v>20266</v>
      </c>
      <c r="CE2703" s="23"/>
      <c r="CF2703" s="23"/>
      <c r="CG2703" s="23"/>
      <c r="CH2703" s="23"/>
      <c r="CI2703" s="23"/>
    </row>
    <row r="2704" spans="1:87" x14ac:dyDescent="0.3">
      <c r="A2704" s="9" t="s">
        <v>20267</v>
      </c>
      <c r="B2704" s="10" t="s">
        <v>20268</v>
      </c>
      <c r="C2704" s="11">
        <v>45993.34375</v>
      </c>
      <c r="D2704" s="12">
        <v>0.14583333333333334</v>
      </c>
      <c r="E2704" s="11">
        <v>45993.489583333336</v>
      </c>
      <c r="F2704" s="22" t="s">
        <v>15270</v>
      </c>
      <c r="G2704" s="13" t="b">
        <v>0</v>
      </c>
      <c r="H2704" s="22" t="s">
        <v>15271</v>
      </c>
      <c r="I2704" s="10" t="s">
        <v>3213</v>
      </c>
      <c r="J2704" s="13" t="b">
        <v>0</v>
      </c>
      <c r="K2704" s="13" t="b">
        <v>1</v>
      </c>
      <c r="L2704" s="10" t="s">
        <v>124</v>
      </c>
      <c r="M2704" s="10" t="s">
        <v>91</v>
      </c>
      <c r="N2704" s="10" t="s">
        <v>92</v>
      </c>
      <c r="O2704" s="19" t="s">
        <v>20269</v>
      </c>
      <c r="P2704" s="10" t="s">
        <v>3215</v>
      </c>
      <c r="Q2704" s="10" t="s">
        <v>126</v>
      </c>
      <c r="R2704" s="10"/>
      <c r="S2704" s="19" t="s">
        <v>20270</v>
      </c>
      <c r="T2704" s="19" t="s">
        <v>20271</v>
      </c>
      <c r="U2704" s="10" t="s">
        <v>16288</v>
      </c>
      <c r="V2704" s="10" t="s">
        <v>15664</v>
      </c>
      <c r="W2704" s="10" t="s">
        <v>15276</v>
      </c>
      <c r="X2704" s="10" t="s">
        <v>15277</v>
      </c>
      <c r="Y2704" s="10" t="s">
        <v>15277</v>
      </c>
      <c r="Z2704" s="10" t="s">
        <v>99</v>
      </c>
      <c r="AA2704" s="10" t="s">
        <v>131</v>
      </c>
      <c r="AB2704" s="10" t="s">
        <v>15278</v>
      </c>
      <c r="AC2704" s="10" t="s">
        <v>15279</v>
      </c>
      <c r="AD2704" s="10" t="s">
        <v>165</v>
      </c>
      <c r="AE2704" s="10" t="s">
        <v>20272</v>
      </c>
      <c r="AF2704" s="15"/>
      <c r="AG2704" s="10"/>
      <c r="AH2704" s="10"/>
      <c r="AI2704" s="10"/>
      <c r="AJ2704" s="10"/>
      <c r="AK2704" s="10" t="s">
        <v>102</v>
      </c>
      <c r="AL2704" s="10" t="s">
        <v>1569</v>
      </c>
      <c r="AM2704" s="10"/>
      <c r="AN2704" s="10"/>
      <c r="AO2704" s="13" t="b">
        <v>0</v>
      </c>
      <c r="AP2704" s="22" t="s">
        <v>104</v>
      </c>
      <c r="AQ2704" s="10">
        <f ca="1">IFERROR(__xludf.DUMMYFUNCTION("""COMPUTED_VALUE"""),4743730)</f>
        <v>4743730</v>
      </c>
      <c r="AR2704" s="17">
        <v>2784</v>
      </c>
      <c r="AS2704" s="17">
        <v>2166</v>
      </c>
      <c r="AT2704" s="17">
        <v>48086.75</v>
      </c>
      <c r="AU2704" s="17">
        <v>9.25</v>
      </c>
      <c r="AV2704" s="17">
        <v>2</v>
      </c>
      <c r="AW2704" s="10" t="s">
        <v>105</v>
      </c>
      <c r="AX2704" s="17">
        <v>368</v>
      </c>
      <c r="AY2704" s="18">
        <v>22.200715604801477</v>
      </c>
      <c r="AZ2704" s="10"/>
      <c r="BA2704" s="20" t="b">
        <v>0</v>
      </c>
      <c r="BB2704" s="10"/>
      <c r="BC2704" s="17">
        <v>2784</v>
      </c>
      <c r="BD2704" s="17">
        <v>2166</v>
      </c>
      <c r="BE2704" s="17">
        <v>48086.75</v>
      </c>
      <c r="BF2704" s="17">
        <v>2</v>
      </c>
      <c r="BG2704" s="11">
        <f ca="1">IFERROR(__xludf.DUMMYFUNCTION("""COMPUTED_VALUE"""),45993.34375)</f>
        <v>45993.34375</v>
      </c>
      <c r="BH2704" s="17" t="s">
        <v>105</v>
      </c>
      <c r="BI2704" s="17"/>
      <c r="BJ2704" s="15"/>
      <c r="BK2704" s="15"/>
      <c r="BL2704" s="13" t="b">
        <v>0</v>
      </c>
      <c r="BM2704" s="10"/>
      <c r="BN2704" s="10" t="s">
        <v>118</v>
      </c>
      <c r="BO2704" s="11">
        <v>45982.661111111112</v>
      </c>
      <c r="BP2704" s="11">
        <v>45982.661597222221</v>
      </c>
      <c r="BQ2704" s="15">
        <v>45989.704965277779</v>
      </c>
      <c r="BR2704" s="15">
        <v>45991.437025462961</v>
      </c>
      <c r="BS2704" s="10" t="s">
        <v>118</v>
      </c>
      <c r="BT2704" s="10"/>
      <c r="BU2704" s="10"/>
      <c r="BV2704" s="10"/>
      <c r="BW2704" s="10"/>
      <c r="BX2704" s="10"/>
      <c r="BY2704" s="23"/>
      <c r="BZ2704" s="23"/>
      <c r="CA2704" s="19" t="s">
        <v>20273</v>
      </c>
      <c r="CB2704" s="19" t="s">
        <v>20271</v>
      </c>
      <c r="CC2704" s="23"/>
      <c r="CD2704" s="19" t="s">
        <v>20274</v>
      </c>
      <c r="CE2704" s="23"/>
      <c r="CF2704" s="23"/>
      <c r="CG2704" s="23"/>
      <c r="CH2704" s="23"/>
      <c r="CI2704" s="23"/>
    </row>
    <row r="2705" spans="1:87" x14ac:dyDescent="0.3">
      <c r="A2705" s="9" t="s">
        <v>20275</v>
      </c>
      <c r="B2705" s="10" t="s">
        <v>20276</v>
      </c>
      <c r="C2705" s="11">
        <v>46010.083333333336</v>
      </c>
      <c r="D2705" s="12">
        <v>8.3333333333333329E-2</v>
      </c>
      <c r="E2705" s="11">
        <v>46010.166666666664</v>
      </c>
      <c r="F2705" s="22" t="s">
        <v>20277</v>
      </c>
      <c r="G2705" s="13" t="b">
        <v>0</v>
      </c>
      <c r="H2705" s="22" t="s">
        <v>20278</v>
      </c>
      <c r="I2705" s="10" t="s">
        <v>3213</v>
      </c>
      <c r="J2705" s="13" t="b">
        <v>0</v>
      </c>
      <c r="K2705" s="13" t="b">
        <v>1</v>
      </c>
      <c r="L2705" s="10" t="s">
        <v>124</v>
      </c>
      <c r="M2705" s="10" t="s">
        <v>91</v>
      </c>
      <c r="N2705" s="10" t="s">
        <v>92</v>
      </c>
      <c r="O2705" s="19" t="s">
        <v>20279</v>
      </c>
      <c r="P2705" s="10" t="s">
        <v>3215</v>
      </c>
      <c r="Q2705" s="10" t="s">
        <v>126</v>
      </c>
      <c r="R2705" s="10"/>
      <c r="S2705" s="19" t="s">
        <v>20280</v>
      </c>
      <c r="T2705" s="10"/>
      <c r="U2705" s="10" t="s">
        <v>3318</v>
      </c>
      <c r="V2705" s="10" t="s">
        <v>3289</v>
      </c>
      <c r="W2705" s="10" t="s">
        <v>20281</v>
      </c>
      <c r="X2705" s="10" t="s">
        <v>130</v>
      </c>
      <c r="Y2705" s="10" t="s">
        <v>130</v>
      </c>
      <c r="Z2705" s="10" t="s">
        <v>99</v>
      </c>
      <c r="AA2705" s="10" t="s">
        <v>131</v>
      </c>
      <c r="AB2705" s="10" t="s">
        <v>20282</v>
      </c>
      <c r="AC2705" s="10" t="s">
        <v>20283</v>
      </c>
      <c r="AD2705" s="10" t="s">
        <v>11091</v>
      </c>
      <c r="AE2705" s="10" t="s">
        <v>20284</v>
      </c>
      <c r="AF2705" s="15"/>
      <c r="AG2705" s="10"/>
      <c r="AH2705" s="10"/>
      <c r="AI2705" s="10"/>
      <c r="AJ2705" s="10"/>
      <c r="AK2705" s="10" t="s">
        <v>102</v>
      </c>
      <c r="AL2705" s="10" t="s">
        <v>20102</v>
      </c>
      <c r="AM2705" s="10"/>
      <c r="AN2705" s="10"/>
      <c r="AO2705" s="13" t="b">
        <v>1</v>
      </c>
      <c r="AP2705" s="22" t="s">
        <v>104</v>
      </c>
      <c r="AQ2705" s="10">
        <f ca="1">IFERROR(__xludf.DUMMYFUNCTION("""COMPUTED_VALUE"""),4783414)</f>
        <v>4783414</v>
      </c>
      <c r="AR2705" s="17">
        <v>26521</v>
      </c>
      <c r="AS2705" s="17">
        <v>19663</v>
      </c>
      <c r="AT2705" s="17">
        <v>656097.75</v>
      </c>
      <c r="AU2705" s="17">
        <v>147.5</v>
      </c>
      <c r="AV2705" s="17">
        <v>19.899999999999999</v>
      </c>
      <c r="AW2705" s="10" t="s">
        <v>105</v>
      </c>
      <c r="AX2705" s="17">
        <v>6575</v>
      </c>
      <c r="AY2705" s="18">
        <v>33.367123531505875</v>
      </c>
      <c r="AZ2705" s="10" t="s">
        <v>168</v>
      </c>
      <c r="BA2705" s="20" t="b">
        <v>0</v>
      </c>
      <c r="BB2705" s="10"/>
      <c r="BC2705" s="17">
        <v>26521</v>
      </c>
      <c r="BD2705" s="17">
        <v>19663</v>
      </c>
      <c r="BE2705" s="17">
        <v>656097.75</v>
      </c>
      <c r="BF2705" s="17">
        <v>19.899999999999999</v>
      </c>
      <c r="BG2705" s="11">
        <f ca="1">IFERROR(__xludf.DUMMYFUNCTION("""COMPUTED_VALUE"""),46010.0833333333)</f>
        <v>46010.083333333299</v>
      </c>
      <c r="BH2705" s="17" t="s">
        <v>105</v>
      </c>
      <c r="BI2705" s="17"/>
      <c r="BJ2705" s="15"/>
      <c r="BK2705" s="15"/>
      <c r="BL2705" s="13" t="b">
        <v>0</v>
      </c>
      <c r="BM2705" s="10"/>
      <c r="BN2705" s="10" t="s">
        <v>634</v>
      </c>
      <c r="BO2705" s="11">
        <v>45982.673611111109</v>
      </c>
      <c r="BP2705" s="11">
        <v>45987.690729166665</v>
      </c>
      <c r="BQ2705" s="15">
        <v>46007.810856481483</v>
      </c>
      <c r="BR2705" s="15">
        <v>46007.8596412037</v>
      </c>
      <c r="BS2705" s="10" t="s">
        <v>634</v>
      </c>
      <c r="BT2705" s="10" t="s">
        <v>279</v>
      </c>
      <c r="BU2705" s="10" t="s">
        <v>8057</v>
      </c>
      <c r="BV2705" s="10" t="s">
        <v>281</v>
      </c>
      <c r="BW2705" s="10"/>
      <c r="BX2705" s="10"/>
      <c r="BY2705" s="23"/>
      <c r="BZ2705" s="23"/>
      <c r="CA2705" s="19" t="s">
        <v>20285</v>
      </c>
      <c r="CB2705" s="23"/>
      <c r="CC2705" s="23"/>
      <c r="CD2705" s="19" t="s">
        <v>20286</v>
      </c>
      <c r="CE2705" s="23"/>
      <c r="CF2705" s="23"/>
      <c r="CG2705" s="23"/>
      <c r="CH2705" s="23"/>
      <c r="CI2705" s="23"/>
    </row>
    <row r="2706" spans="1:87" x14ac:dyDescent="0.3">
      <c r="A2706" s="9" t="s">
        <v>20287</v>
      </c>
      <c r="B2706" s="10" t="s">
        <v>20288</v>
      </c>
      <c r="C2706" s="11">
        <v>46011.083333333336</v>
      </c>
      <c r="D2706" s="12">
        <v>8.3333333333333329E-2</v>
      </c>
      <c r="E2706" s="11">
        <v>46011.166666666664</v>
      </c>
      <c r="F2706" s="22" t="s">
        <v>20277</v>
      </c>
      <c r="G2706" s="13" t="b">
        <v>0</v>
      </c>
      <c r="H2706" s="22" t="s">
        <v>20278</v>
      </c>
      <c r="I2706" s="10" t="s">
        <v>3213</v>
      </c>
      <c r="J2706" s="13" t="b">
        <v>0</v>
      </c>
      <c r="K2706" s="13" t="b">
        <v>1</v>
      </c>
      <c r="L2706" s="10" t="s">
        <v>124</v>
      </c>
      <c r="M2706" s="10" t="s">
        <v>91</v>
      </c>
      <c r="N2706" s="10" t="s">
        <v>92</v>
      </c>
      <c r="O2706" s="19" t="s">
        <v>20289</v>
      </c>
      <c r="P2706" s="10" t="s">
        <v>3215</v>
      </c>
      <c r="Q2706" s="10" t="s">
        <v>126</v>
      </c>
      <c r="R2706" s="10"/>
      <c r="S2706" s="19" t="s">
        <v>20290</v>
      </c>
      <c r="T2706" s="10"/>
      <c r="U2706" s="10" t="s">
        <v>3230</v>
      </c>
      <c r="V2706" s="10" t="s">
        <v>3278</v>
      </c>
      <c r="W2706" s="10" t="s">
        <v>20281</v>
      </c>
      <c r="X2706" s="10" t="s">
        <v>130</v>
      </c>
      <c r="Y2706" s="10" t="s">
        <v>130</v>
      </c>
      <c r="Z2706" s="10" t="s">
        <v>99</v>
      </c>
      <c r="AA2706" s="10" t="s">
        <v>131</v>
      </c>
      <c r="AB2706" s="10" t="s">
        <v>20282</v>
      </c>
      <c r="AC2706" s="10" t="s">
        <v>20283</v>
      </c>
      <c r="AD2706" s="10" t="s">
        <v>11351</v>
      </c>
      <c r="AE2706" s="10" t="s">
        <v>20291</v>
      </c>
      <c r="AF2706" s="15"/>
      <c r="AG2706" s="10"/>
      <c r="AH2706" s="10"/>
      <c r="AI2706" s="10"/>
      <c r="AJ2706" s="10"/>
      <c r="AK2706" s="10" t="s">
        <v>102</v>
      </c>
      <c r="AL2706" s="10" t="s">
        <v>20102</v>
      </c>
      <c r="AM2706" s="10"/>
      <c r="AN2706" s="10"/>
      <c r="AO2706" s="13" t="b">
        <v>1</v>
      </c>
      <c r="AP2706" s="22" t="s">
        <v>104</v>
      </c>
      <c r="AQ2706" s="10">
        <f ca="1">IFERROR(__xludf.DUMMYFUNCTION("""COMPUTED_VALUE"""),4783722)</f>
        <v>4783722</v>
      </c>
      <c r="AR2706" s="17">
        <v>26627</v>
      </c>
      <c r="AS2706" s="17">
        <v>18390</v>
      </c>
      <c r="AT2706" s="17">
        <v>790564</v>
      </c>
      <c r="AU2706" s="17">
        <v>144</v>
      </c>
      <c r="AV2706" s="17">
        <v>22</v>
      </c>
      <c r="AW2706" s="10" t="s">
        <v>105</v>
      </c>
      <c r="AX2706" s="17">
        <v>7949</v>
      </c>
      <c r="AY2706" s="18">
        <v>42.988798259923868</v>
      </c>
      <c r="AZ2706" s="10" t="s">
        <v>168</v>
      </c>
      <c r="BA2706" s="20" t="b">
        <v>0</v>
      </c>
      <c r="BB2706" s="10"/>
      <c r="BC2706" s="17">
        <v>26627</v>
      </c>
      <c r="BD2706" s="17">
        <v>18390</v>
      </c>
      <c r="BE2706" s="17">
        <v>790564</v>
      </c>
      <c r="BF2706" s="17">
        <v>22</v>
      </c>
      <c r="BG2706" s="11">
        <f ca="1">IFERROR(__xludf.DUMMYFUNCTION("""COMPUTED_VALUE"""),46011.0833333333)</f>
        <v>46011.083333333299</v>
      </c>
      <c r="BH2706" s="17" t="s">
        <v>105</v>
      </c>
      <c r="BI2706" s="17"/>
      <c r="BJ2706" s="15"/>
      <c r="BK2706" s="15"/>
      <c r="BL2706" s="13" t="b">
        <v>0</v>
      </c>
      <c r="BM2706" s="10"/>
      <c r="BN2706" s="10" t="s">
        <v>634</v>
      </c>
      <c r="BO2706" s="11">
        <v>45982.676388888889</v>
      </c>
      <c r="BP2706" s="11">
        <v>45987.69090277778</v>
      </c>
      <c r="BQ2706" s="15">
        <v>46008.481215277781</v>
      </c>
      <c r="BR2706" s="15">
        <v>46008.743009259262</v>
      </c>
      <c r="BS2706" s="10" t="s">
        <v>634</v>
      </c>
      <c r="BT2706" s="10" t="s">
        <v>279</v>
      </c>
      <c r="BU2706" s="10" t="s">
        <v>3394</v>
      </c>
      <c r="BV2706" s="10" t="s">
        <v>281</v>
      </c>
      <c r="BW2706" s="10"/>
      <c r="BX2706" s="10"/>
      <c r="BY2706" s="23"/>
      <c r="BZ2706" s="23"/>
      <c r="CA2706" s="19" t="s">
        <v>20292</v>
      </c>
      <c r="CB2706" s="23"/>
      <c r="CC2706" s="23"/>
      <c r="CD2706" s="19" t="s">
        <v>20293</v>
      </c>
      <c r="CE2706" s="23"/>
      <c r="CF2706" s="23"/>
      <c r="CG2706" s="23"/>
      <c r="CH2706" s="23"/>
      <c r="CI2706" s="23"/>
    </row>
    <row r="2707" spans="1:87" x14ac:dyDescent="0.3">
      <c r="A2707" s="9" t="s">
        <v>20294</v>
      </c>
      <c r="B2707" s="10" t="s">
        <v>20295</v>
      </c>
      <c r="C2707" s="11">
        <v>46014.083333333336</v>
      </c>
      <c r="D2707" s="12">
        <v>8.3333333333333329E-2</v>
      </c>
      <c r="E2707" s="11">
        <v>46014.166666666664</v>
      </c>
      <c r="F2707" s="22" t="s">
        <v>20277</v>
      </c>
      <c r="G2707" s="13" t="b">
        <v>0</v>
      </c>
      <c r="H2707" s="22" t="s">
        <v>20278</v>
      </c>
      <c r="I2707" s="10" t="s">
        <v>3213</v>
      </c>
      <c r="J2707" s="13" t="b">
        <v>0</v>
      </c>
      <c r="K2707" s="13" t="b">
        <v>1</v>
      </c>
      <c r="L2707" s="10" t="s">
        <v>124</v>
      </c>
      <c r="M2707" s="10" t="s">
        <v>91</v>
      </c>
      <c r="N2707" s="10" t="s">
        <v>92</v>
      </c>
      <c r="O2707" s="19" t="s">
        <v>20296</v>
      </c>
      <c r="P2707" s="10" t="s">
        <v>3215</v>
      </c>
      <c r="Q2707" s="10" t="s">
        <v>126</v>
      </c>
      <c r="R2707" s="10"/>
      <c r="S2707" s="19" t="s">
        <v>20297</v>
      </c>
      <c r="T2707" s="10"/>
      <c r="U2707" s="10" t="s">
        <v>3318</v>
      </c>
      <c r="V2707" s="10" t="s">
        <v>3230</v>
      </c>
      <c r="W2707" s="10" t="s">
        <v>20281</v>
      </c>
      <c r="X2707" s="10" t="s">
        <v>130</v>
      </c>
      <c r="Y2707" s="10" t="s">
        <v>130</v>
      </c>
      <c r="Z2707" s="10" t="s">
        <v>99</v>
      </c>
      <c r="AA2707" s="10" t="s">
        <v>131</v>
      </c>
      <c r="AB2707" s="10" t="s">
        <v>20282</v>
      </c>
      <c r="AC2707" s="10" t="s">
        <v>20283</v>
      </c>
      <c r="AD2707" s="10" t="s">
        <v>11295</v>
      </c>
      <c r="AE2707" s="10" t="s">
        <v>20298</v>
      </c>
      <c r="AF2707" s="15"/>
      <c r="AG2707" s="10"/>
      <c r="AH2707" s="10"/>
      <c r="AI2707" s="10"/>
      <c r="AJ2707" s="10"/>
      <c r="AK2707" s="10" t="s">
        <v>102</v>
      </c>
      <c r="AL2707" s="10" t="s">
        <v>220</v>
      </c>
      <c r="AM2707" s="10"/>
      <c r="AN2707" s="10"/>
      <c r="AO2707" s="13" t="b">
        <v>1</v>
      </c>
      <c r="AP2707" s="22" t="s">
        <v>104</v>
      </c>
      <c r="AQ2707" s="10">
        <f ca="1">IFERROR(__xludf.DUMMYFUNCTION("""COMPUTED_VALUE"""),4790669)</f>
        <v>4790669</v>
      </c>
      <c r="AR2707" s="17">
        <v>16305</v>
      </c>
      <c r="AS2707" s="17">
        <v>12557</v>
      </c>
      <c r="AT2707" s="17">
        <v>302627</v>
      </c>
      <c r="AU2707" s="17">
        <v>69.05</v>
      </c>
      <c r="AV2707" s="17">
        <v>6.7</v>
      </c>
      <c r="AW2707" s="10" t="s">
        <v>105</v>
      </c>
      <c r="AX2707" s="17">
        <v>2811</v>
      </c>
      <c r="AY2707" s="18">
        <v>24.100262801624591</v>
      </c>
      <c r="AZ2707" s="10" t="s">
        <v>106</v>
      </c>
      <c r="BA2707" s="20" t="b">
        <v>0</v>
      </c>
      <c r="BB2707" s="10"/>
      <c r="BC2707" s="17">
        <v>16305</v>
      </c>
      <c r="BD2707" s="17">
        <v>12557</v>
      </c>
      <c r="BE2707" s="17">
        <v>302627</v>
      </c>
      <c r="BF2707" s="17">
        <v>6.7</v>
      </c>
      <c r="BG2707" s="11">
        <f ca="1">IFERROR(__xludf.DUMMYFUNCTION("""COMPUTED_VALUE"""),46014.0833333333)</f>
        <v>46014.083333333299</v>
      </c>
      <c r="BH2707" s="17" t="s">
        <v>105</v>
      </c>
      <c r="BI2707" s="17"/>
      <c r="BJ2707" s="15"/>
      <c r="BK2707" s="15"/>
      <c r="BL2707" s="13" t="b">
        <v>0</v>
      </c>
      <c r="BM2707" s="10"/>
      <c r="BN2707" s="10" t="s">
        <v>278</v>
      </c>
      <c r="BO2707" s="11">
        <v>45982.681250000001</v>
      </c>
      <c r="BP2707" s="11">
        <v>46011.617939814816</v>
      </c>
      <c r="BQ2707" s="15">
        <v>46012.564664351848</v>
      </c>
      <c r="BR2707" s="15">
        <v>46013.104351851849</v>
      </c>
      <c r="BS2707" s="10" t="s">
        <v>278</v>
      </c>
      <c r="BT2707" s="10" t="s">
        <v>279</v>
      </c>
      <c r="BU2707" s="10" t="s">
        <v>298</v>
      </c>
      <c r="BV2707" s="10" t="s">
        <v>281</v>
      </c>
      <c r="BW2707" s="10" t="s">
        <v>282</v>
      </c>
      <c r="BX2707" s="10"/>
      <c r="BY2707" s="23"/>
      <c r="BZ2707" s="23"/>
      <c r="CA2707" s="19" t="s">
        <v>20299</v>
      </c>
      <c r="CB2707" s="23"/>
      <c r="CC2707" s="23"/>
      <c r="CD2707" s="19" t="s">
        <v>20300</v>
      </c>
      <c r="CE2707" s="23"/>
      <c r="CF2707" s="23"/>
      <c r="CG2707" s="23"/>
      <c r="CH2707" s="23"/>
      <c r="CI2707" s="23"/>
    </row>
    <row r="2708" spans="1:87" x14ac:dyDescent="0.3">
      <c r="A2708" s="9" t="s">
        <v>20301</v>
      </c>
      <c r="B2708" s="10" t="s">
        <v>20302</v>
      </c>
      <c r="C2708" s="11">
        <v>45984.5</v>
      </c>
      <c r="D2708" s="12">
        <v>0.29166666666666669</v>
      </c>
      <c r="E2708" s="11">
        <v>45984.791666666664</v>
      </c>
      <c r="F2708" s="22" t="s">
        <v>20303</v>
      </c>
      <c r="G2708" s="13" t="b">
        <v>0</v>
      </c>
      <c r="H2708" s="22" t="s">
        <v>18823</v>
      </c>
      <c r="I2708" s="10" t="s">
        <v>212</v>
      </c>
      <c r="J2708" s="13" t="b">
        <v>1</v>
      </c>
      <c r="K2708" s="13" t="b">
        <v>0</v>
      </c>
      <c r="L2708" s="10" t="s">
        <v>124</v>
      </c>
      <c r="M2708" s="10" t="s">
        <v>91</v>
      </c>
      <c r="N2708" s="10" t="s">
        <v>92</v>
      </c>
      <c r="O2708" s="19" t="s">
        <v>20304</v>
      </c>
      <c r="P2708" s="10"/>
      <c r="Q2708" s="10" t="s">
        <v>126</v>
      </c>
      <c r="R2708" s="10"/>
      <c r="S2708" s="19" t="s">
        <v>20305</v>
      </c>
      <c r="T2708" s="10"/>
      <c r="U2708" s="10"/>
      <c r="V2708" s="10"/>
      <c r="W2708" s="10" t="s">
        <v>20306</v>
      </c>
      <c r="X2708" s="10" t="s">
        <v>20307</v>
      </c>
      <c r="Y2708" s="10" t="s">
        <v>20307</v>
      </c>
      <c r="Z2708" s="10" t="s">
        <v>99</v>
      </c>
      <c r="AA2708" s="10" t="s">
        <v>131</v>
      </c>
      <c r="AB2708" s="10" t="s">
        <v>20308</v>
      </c>
      <c r="AC2708" s="10"/>
      <c r="AD2708" s="10" t="s">
        <v>165</v>
      </c>
      <c r="AE2708" s="10" t="s">
        <v>20309</v>
      </c>
      <c r="AF2708" s="15"/>
      <c r="AG2708" s="10"/>
      <c r="AH2708" s="10"/>
      <c r="AI2708" s="10"/>
      <c r="AJ2708" s="10"/>
      <c r="AK2708" s="10" t="s">
        <v>102</v>
      </c>
      <c r="AL2708" s="10"/>
      <c r="AM2708" s="10"/>
      <c r="AN2708" s="10"/>
      <c r="AO2708" s="13" t="b">
        <v>0</v>
      </c>
      <c r="AP2708" s="22"/>
      <c r="AQ2708" s="10">
        <f ca="1">IFERROR(__xludf.DUMMYFUNCTION("""COMPUTED_VALUE"""),4731072)</f>
        <v>4731072</v>
      </c>
      <c r="AR2708" s="17">
        <v>5367</v>
      </c>
      <c r="AS2708" s="17">
        <v>4730</v>
      </c>
      <c r="AT2708" s="17">
        <v>26156.75</v>
      </c>
      <c r="AU2708" s="17">
        <v>4</v>
      </c>
      <c r="AV2708" s="17">
        <v>0.15</v>
      </c>
      <c r="AW2708" s="10" t="s">
        <v>105</v>
      </c>
      <c r="AX2708" s="17">
        <v>389</v>
      </c>
      <c r="AY2708" s="18">
        <v>5.5299682875264269</v>
      </c>
      <c r="AZ2708" s="10" t="s">
        <v>117</v>
      </c>
      <c r="BA2708" s="20" t="b">
        <v>0</v>
      </c>
      <c r="BB2708" s="10"/>
      <c r="BC2708" s="17">
        <v>5367</v>
      </c>
      <c r="BD2708" s="17">
        <v>4730</v>
      </c>
      <c r="BE2708" s="17">
        <v>26156.75</v>
      </c>
      <c r="BF2708" s="17">
        <v>0.15</v>
      </c>
      <c r="BG2708" s="11">
        <f ca="1">IFERROR(__xludf.DUMMYFUNCTION("""COMPUTED_VALUE"""),45984.5)</f>
        <v>45984.5</v>
      </c>
      <c r="BH2708" s="17" t="s">
        <v>105</v>
      </c>
      <c r="BI2708" s="17"/>
      <c r="BJ2708" s="15"/>
      <c r="BK2708" s="15"/>
      <c r="BL2708" s="13" t="b">
        <v>0</v>
      </c>
      <c r="BM2708" s="10"/>
      <c r="BN2708" s="10" t="s">
        <v>157</v>
      </c>
      <c r="BO2708" s="11">
        <v>45982.69027777778</v>
      </c>
      <c r="BP2708" s="11">
        <v>45982.690601851849</v>
      </c>
      <c r="BQ2708" s="15">
        <v>45983.467569444445</v>
      </c>
      <c r="BR2708" s="15">
        <v>45983.563900462963</v>
      </c>
      <c r="BS2708" s="10" t="s">
        <v>157</v>
      </c>
      <c r="BT2708" s="10"/>
      <c r="BU2708" s="10"/>
      <c r="BV2708" s="10"/>
      <c r="BW2708" s="10"/>
      <c r="BX2708" s="10"/>
      <c r="BY2708" s="23"/>
      <c r="BZ2708" s="23"/>
      <c r="CA2708" s="19" t="s">
        <v>20310</v>
      </c>
      <c r="CB2708" s="23"/>
      <c r="CC2708" s="23"/>
      <c r="CD2708" s="19" t="s">
        <v>20311</v>
      </c>
      <c r="CE2708" s="23"/>
      <c r="CF2708" s="23"/>
      <c r="CG2708" s="23"/>
      <c r="CH2708" s="23"/>
      <c r="CI2708" s="23"/>
    </row>
    <row r="2709" spans="1:87" x14ac:dyDescent="0.3">
      <c r="A2709" s="9" t="s">
        <v>20312</v>
      </c>
      <c r="B2709" s="10" t="s">
        <v>20313</v>
      </c>
      <c r="C2709" s="11">
        <v>45985.625</v>
      </c>
      <c r="D2709" s="12">
        <v>0.16666666666666666</v>
      </c>
      <c r="E2709" s="11">
        <v>45985.791666666664</v>
      </c>
      <c r="F2709" s="22" t="s">
        <v>87</v>
      </c>
      <c r="G2709" s="13" t="b">
        <v>0</v>
      </c>
      <c r="H2709" s="22" t="s">
        <v>88</v>
      </c>
      <c r="I2709" s="10" t="s">
        <v>89</v>
      </c>
      <c r="J2709" s="13" t="b">
        <v>0</v>
      </c>
      <c r="K2709" s="13" t="b">
        <v>1</v>
      </c>
      <c r="L2709" s="10" t="s">
        <v>124</v>
      </c>
      <c r="M2709" s="10" t="s">
        <v>91</v>
      </c>
      <c r="N2709" s="10" t="s">
        <v>265</v>
      </c>
      <c r="O2709" s="19" t="s">
        <v>20314</v>
      </c>
      <c r="P2709" s="10"/>
      <c r="Q2709" s="10" t="s">
        <v>126</v>
      </c>
      <c r="R2709" s="19" t="s">
        <v>20315</v>
      </c>
      <c r="S2709" s="19" t="s">
        <v>20316</v>
      </c>
      <c r="T2709" s="10"/>
      <c r="U2709" s="10"/>
      <c r="V2709" s="10"/>
      <c r="W2709" s="10" t="s">
        <v>97</v>
      </c>
      <c r="X2709" s="10" t="s">
        <v>98</v>
      </c>
      <c r="Y2709" s="10" t="s">
        <v>98</v>
      </c>
      <c r="Z2709" s="10" t="s">
        <v>99</v>
      </c>
      <c r="AA2709" s="10" t="s">
        <v>100</v>
      </c>
      <c r="AB2709" s="10" t="s">
        <v>87</v>
      </c>
      <c r="AC2709" s="10"/>
      <c r="AD2709" s="10" t="s">
        <v>165</v>
      </c>
      <c r="AE2709" s="10" t="s">
        <v>20317</v>
      </c>
      <c r="AF2709" s="15"/>
      <c r="AG2709" s="10"/>
      <c r="AH2709" s="10"/>
      <c r="AI2709" s="10"/>
      <c r="AJ2709" s="10"/>
      <c r="AK2709" s="10" t="s">
        <v>102</v>
      </c>
      <c r="AL2709" s="10"/>
      <c r="AM2709" s="10"/>
      <c r="AN2709" s="10"/>
      <c r="AO2709" s="13" t="b">
        <v>0</v>
      </c>
      <c r="AP2709" s="22" t="s">
        <v>104</v>
      </c>
      <c r="AQ2709" s="10">
        <f ca="1">IFERROR(__xludf.DUMMYFUNCTION("""COMPUTED_VALUE"""),4732316)</f>
        <v>4732316</v>
      </c>
      <c r="AR2709" s="17">
        <v>9462</v>
      </c>
      <c r="AS2709" s="17">
        <v>7338</v>
      </c>
      <c r="AT2709" s="17">
        <v>128642.25</v>
      </c>
      <c r="AU2709" s="17">
        <v>12.65</v>
      </c>
      <c r="AV2709" s="17">
        <v>2.1</v>
      </c>
      <c r="AW2709" s="10" t="s">
        <v>105</v>
      </c>
      <c r="AX2709" s="17">
        <v>1309</v>
      </c>
      <c r="AY2709" s="18">
        <v>17.530968928863452</v>
      </c>
      <c r="AZ2709" s="10" t="s">
        <v>117</v>
      </c>
      <c r="BA2709" s="20" t="b">
        <v>0</v>
      </c>
      <c r="BB2709" s="10"/>
      <c r="BC2709" s="17">
        <v>9462</v>
      </c>
      <c r="BD2709" s="17">
        <v>7338</v>
      </c>
      <c r="BE2709" s="17">
        <v>128642.25</v>
      </c>
      <c r="BF2709" s="17">
        <v>2.1</v>
      </c>
      <c r="BG2709" s="11">
        <f ca="1">IFERROR(__xludf.DUMMYFUNCTION("""COMPUTED_VALUE"""),45985.625)</f>
        <v>45985.625</v>
      </c>
      <c r="BH2709" s="17" t="s">
        <v>105</v>
      </c>
      <c r="BI2709" s="17"/>
      <c r="BJ2709" s="15"/>
      <c r="BK2709" s="15"/>
      <c r="BL2709" s="13" t="b">
        <v>0</v>
      </c>
      <c r="BM2709" s="10"/>
      <c r="BN2709" s="10" t="s">
        <v>20318</v>
      </c>
      <c r="BO2709" s="11">
        <v>45982.699305555558</v>
      </c>
      <c r="BP2709" s="11">
        <v>45982.699606481481</v>
      </c>
      <c r="BQ2709" s="15">
        <v>45983.923356481479</v>
      </c>
      <c r="BR2709" s="15">
        <v>45984.454525462963</v>
      </c>
      <c r="BS2709" s="10"/>
      <c r="BT2709" s="10" t="s">
        <v>99</v>
      </c>
      <c r="BU2709" s="10"/>
      <c r="BV2709" s="10"/>
      <c r="BW2709" s="10"/>
      <c r="BX2709" s="10"/>
      <c r="BY2709" s="23"/>
      <c r="BZ2709" s="23"/>
      <c r="CA2709" s="19" t="s">
        <v>20319</v>
      </c>
      <c r="CB2709" s="23"/>
      <c r="CC2709" s="23"/>
      <c r="CD2709" s="19" t="s">
        <v>20320</v>
      </c>
      <c r="CE2709" s="23"/>
      <c r="CF2709" s="23"/>
      <c r="CG2709" s="23"/>
      <c r="CH2709" s="23"/>
      <c r="CI2709" s="23"/>
    </row>
    <row r="2710" spans="1:87" x14ac:dyDescent="0.3">
      <c r="A2710" s="9" t="s">
        <v>20321</v>
      </c>
      <c r="B2710" s="10" t="s">
        <v>20322</v>
      </c>
      <c r="C2710" s="11">
        <v>45983.291666666664</v>
      </c>
      <c r="D2710" s="12">
        <v>0.33333333333333331</v>
      </c>
      <c r="E2710" s="11">
        <v>45983.625</v>
      </c>
      <c r="F2710" s="22" t="s">
        <v>19136</v>
      </c>
      <c r="G2710" s="13" t="b">
        <v>0</v>
      </c>
      <c r="H2710" s="22" t="s">
        <v>9017</v>
      </c>
      <c r="I2710" s="10" t="s">
        <v>212</v>
      </c>
      <c r="J2710" s="13" t="b">
        <v>1</v>
      </c>
      <c r="K2710" s="13" t="b">
        <v>0</v>
      </c>
      <c r="L2710" s="10" t="s">
        <v>124</v>
      </c>
      <c r="M2710" s="10" t="s">
        <v>91</v>
      </c>
      <c r="N2710" s="10" t="s">
        <v>92</v>
      </c>
      <c r="O2710" s="19" t="s">
        <v>20323</v>
      </c>
      <c r="P2710" s="10"/>
      <c r="Q2710" s="10" t="s">
        <v>94</v>
      </c>
      <c r="R2710" s="10"/>
      <c r="S2710" s="19" t="s">
        <v>19862</v>
      </c>
      <c r="T2710" s="10"/>
      <c r="U2710" s="10"/>
      <c r="V2710" s="10"/>
      <c r="W2710" s="10" t="s">
        <v>19139</v>
      </c>
      <c r="X2710" s="10" t="s">
        <v>216</v>
      </c>
      <c r="Y2710" s="10" t="s">
        <v>130</v>
      </c>
      <c r="Z2710" s="10" t="s">
        <v>99</v>
      </c>
      <c r="AA2710" s="10" t="s">
        <v>131</v>
      </c>
      <c r="AB2710" s="10" t="s">
        <v>19140</v>
      </c>
      <c r="AC2710" s="10" t="s">
        <v>9022</v>
      </c>
      <c r="AD2710" s="10" t="s">
        <v>165</v>
      </c>
      <c r="AE2710" s="10" t="s">
        <v>20324</v>
      </c>
      <c r="AF2710" s="15"/>
      <c r="AG2710" s="10"/>
      <c r="AH2710" s="10"/>
      <c r="AI2710" s="10"/>
      <c r="AJ2710" s="10"/>
      <c r="AK2710" s="10" t="s">
        <v>102</v>
      </c>
      <c r="AL2710" s="10"/>
      <c r="AM2710" s="10"/>
      <c r="AN2710" s="10"/>
      <c r="AO2710" s="13" t="b">
        <v>0</v>
      </c>
      <c r="AP2710" s="22"/>
      <c r="AQ2710" s="10">
        <f ca="1">IFERROR(__xludf.DUMMYFUNCTION("""COMPUTED_VALUE"""),19880)</f>
        <v>19880</v>
      </c>
      <c r="AR2710" s="21">
        <v>2</v>
      </c>
      <c r="AS2710" s="21">
        <v>2</v>
      </c>
      <c r="AT2710" s="21">
        <v>3.25</v>
      </c>
      <c r="AU2710" s="21">
        <v>0</v>
      </c>
      <c r="AV2710" s="21">
        <v>0</v>
      </c>
      <c r="AW2710" s="22" t="s">
        <v>105</v>
      </c>
      <c r="AX2710" s="17"/>
      <c r="AY2710" s="18">
        <v>4.8359315589353615</v>
      </c>
      <c r="AZ2710" s="10"/>
      <c r="BA2710" s="20" t="b">
        <v>1</v>
      </c>
      <c r="BB2710" s="10"/>
      <c r="BC2710" s="17">
        <v>3043</v>
      </c>
      <c r="BD2710" s="17">
        <v>2630</v>
      </c>
      <c r="BE2710" s="17">
        <v>12718.5</v>
      </c>
      <c r="BF2710" s="17">
        <v>0</v>
      </c>
      <c r="BG2710" s="11">
        <f ca="1">IFERROR(__xludf.DUMMYFUNCTION("""COMPUTED_VALUE"""),45983.2916666666)</f>
        <v>45983.291666666599</v>
      </c>
      <c r="BH2710" s="17" t="s">
        <v>105</v>
      </c>
      <c r="BI2710" s="17"/>
      <c r="BJ2710" s="15"/>
      <c r="BK2710" s="15"/>
      <c r="BL2710" s="13" t="b">
        <v>0</v>
      </c>
      <c r="BM2710" s="10"/>
      <c r="BN2710" s="10" t="s">
        <v>19455</v>
      </c>
      <c r="BO2710" s="11">
        <v>45982.761805555558</v>
      </c>
      <c r="BP2710" s="11">
        <v>45982.763391203705</v>
      </c>
      <c r="BQ2710" s="15">
        <v>45982.765798611108</v>
      </c>
      <c r="BR2710" s="15">
        <v>45982.92597222222</v>
      </c>
      <c r="BS2710" s="10" t="s">
        <v>19455</v>
      </c>
      <c r="BT2710" s="10"/>
      <c r="BU2710" s="10"/>
      <c r="BV2710" s="10"/>
      <c r="BW2710" s="10"/>
      <c r="BX2710" s="10"/>
      <c r="BY2710" s="23"/>
      <c r="BZ2710" s="23"/>
      <c r="CA2710" s="19" t="s">
        <v>19142</v>
      </c>
      <c r="CB2710" s="23"/>
      <c r="CC2710" s="23"/>
      <c r="CD2710" s="23"/>
      <c r="CE2710" s="23"/>
      <c r="CF2710" s="23"/>
      <c r="CG2710" s="23"/>
      <c r="CH2710" s="23"/>
      <c r="CI2710" s="23"/>
    </row>
    <row r="2711" spans="1:87" x14ac:dyDescent="0.3">
      <c r="A2711" s="9" t="s">
        <v>20325</v>
      </c>
      <c r="B2711" s="10" t="s">
        <v>20326</v>
      </c>
      <c r="C2711" s="11">
        <v>45983.291666666664</v>
      </c>
      <c r="D2711" s="12">
        <v>0.25</v>
      </c>
      <c r="E2711" s="11">
        <v>45983.541666666664</v>
      </c>
      <c r="F2711" s="22" t="s">
        <v>19136</v>
      </c>
      <c r="G2711" s="13" t="b">
        <v>0</v>
      </c>
      <c r="H2711" s="22" t="s">
        <v>9017</v>
      </c>
      <c r="I2711" s="10" t="s">
        <v>212</v>
      </c>
      <c r="J2711" s="13" t="b">
        <v>1</v>
      </c>
      <c r="K2711" s="13" t="b">
        <v>0</v>
      </c>
      <c r="L2711" s="10" t="s">
        <v>124</v>
      </c>
      <c r="M2711" s="10" t="s">
        <v>91</v>
      </c>
      <c r="N2711" s="10" t="s">
        <v>92</v>
      </c>
      <c r="O2711" s="19" t="s">
        <v>20327</v>
      </c>
      <c r="P2711" s="10"/>
      <c r="Q2711" s="10" t="s">
        <v>94</v>
      </c>
      <c r="R2711" s="10"/>
      <c r="S2711" s="19" t="s">
        <v>19862</v>
      </c>
      <c r="T2711" s="10"/>
      <c r="U2711" s="10"/>
      <c r="V2711" s="10"/>
      <c r="W2711" s="10" t="s">
        <v>19139</v>
      </c>
      <c r="X2711" s="10" t="s">
        <v>130</v>
      </c>
      <c r="Y2711" s="10" t="s">
        <v>130</v>
      </c>
      <c r="Z2711" s="10" t="s">
        <v>99</v>
      </c>
      <c r="AA2711" s="10" t="s">
        <v>131</v>
      </c>
      <c r="AB2711" s="10" t="s">
        <v>19140</v>
      </c>
      <c r="AC2711" s="10" t="s">
        <v>9022</v>
      </c>
      <c r="AD2711" s="10" t="s">
        <v>165</v>
      </c>
      <c r="AE2711" s="10" t="s">
        <v>20328</v>
      </c>
      <c r="AF2711" s="15"/>
      <c r="AG2711" s="10"/>
      <c r="AH2711" s="10"/>
      <c r="AI2711" s="10"/>
      <c r="AJ2711" s="10"/>
      <c r="AK2711" s="10" t="s">
        <v>102</v>
      </c>
      <c r="AL2711" s="10"/>
      <c r="AM2711" s="10"/>
      <c r="AN2711" s="10"/>
      <c r="AO2711" s="13" t="b">
        <v>0</v>
      </c>
      <c r="AP2711" s="22" t="s">
        <v>104</v>
      </c>
      <c r="AQ2711" s="10">
        <f ca="1">IFERROR(__xludf.DUMMYFUNCTION("""COMPUTED_VALUE"""),19881)</f>
        <v>19881</v>
      </c>
      <c r="AR2711" s="21">
        <v>0</v>
      </c>
      <c r="AS2711" s="21">
        <v>0</v>
      </c>
      <c r="AT2711" s="21">
        <v>0</v>
      </c>
      <c r="AU2711" s="21">
        <v>0</v>
      </c>
      <c r="AV2711" s="21">
        <v>0</v>
      </c>
      <c r="AW2711" s="22" t="s">
        <v>105</v>
      </c>
      <c r="AX2711" s="17"/>
      <c r="AY2711" s="18">
        <v>6.5127457002457003</v>
      </c>
      <c r="AZ2711" s="10"/>
      <c r="BA2711" s="20" t="b">
        <v>1</v>
      </c>
      <c r="BB2711" s="10"/>
      <c r="BC2711" s="17">
        <v>2054</v>
      </c>
      <c r="BD2711" s="17">
        <v>1628</v>
      </c>
      <c r="BE2711" s="17">
        <v>10602.75</v>
      </c>
      <c r="BF2711" s="17">
        <v>0</v>
      </c>
      <c r="BG2711" s="11">
        <f ca="1">IFERROR(__xludf.DUMMYFUNCTION("""COMPUTED_VALUE"""),45983.2916666666)</f>
        <v>45983.291666666599</v>
      </c>
      <c r="BH2711" s="17" t="s">
        <v>105</v>
      </c>
      <c r="BI2711" s="17"/>
      <c r="BJ2711" s="15"/>
      <c r="BK2711" s="15"/>
      <c r="BL2711" s="13" t="b">
        <v>0</v>
      </c>
      <c r="BM2711" s="10"/>
      <c r="BN2711" s="10" t="s">
        <v>19455</v>
      </c>
      <c r="BO2711" s="11">
        <v>45982.763194444444</v>
      </c>
      <c r="BP2711" s="11">
        <v>45982.765231481484</v>
      </c>
      <c r="BQ2711" s="15">
        <v>45982.765740740739</v>
      </c>
      <c r="BR2711" s="15">
        <v>45982.933148148149</v>
      </c>
      <c r="BS2711" s="10" t="s">
        <v>19455</v>
      </c>
      <c r="BT2711" s="10"/>
      <c r="BU2711" s="10"/>
      <c r="BV2711" s="10"/>
      <c r="BW2711" s="10"/>
      <c r="BX2711" s="10"/>
      <c r="BY2711" s="23"/>
      <c r="BZ2711" s="23"/>
      <c r="CA2711" s="19" t="s">
        <v>19142</v>
      </c>
      <c r="CB2711" s="23"/>
      <c r="CC2711" s="23"/>
      <c r="CD2711" s="23"/>
      <c r="CE2711" s="23"/>
      <c r="CF2711" s="23"/>
      <c r="CG2711" s="23"/>
      <c r="CH2711" s="23"/>
      <c r="CI2711" s="23"/>
    </row>
    <row r="2712" spans="1:87" x14ac:dyDescent="0.3">
      <c r="A2712" s="9" t="s">
        <v>20329</v>
      </c>
      <c r="B2712" s="10" t="s">
        <v>20330</v>
      </c>
      <c r="C2712" s="11">
        <v>45983.3125</v>
      </c>
      <c r="D2712" s="12">
        <v>0.25</v>
      </c>
      <c r="E2712" s="11">
        <v>45983.5625</v>
      </c>
      <c r="F2712" s="22" t="s">
        <v>19136</v>
      </c>
      <c r="G2712" s="13" t="b">
        <v>0</v>
      </c>
      <c r="H2712" s="22" t="s">
        <v>9017</v>
      </c>
      <c r="I2712" s="10" t="s">
        <v>212</v>
      </c>
      <c r="J2712" s="13" t="b">
        <v>1</v>
      </c>
      <c r="K2712" s="13" t="b">
        <v>0</v>
      </c>
      <c r="L2712" s="10" t="s">
        <v>124</v>
      </c>
      <c r="M2712" s="10" t="s">
        <v>91</v>
      </c>
      <c r="N2712" s="10" t="s">
        <v>92</v>
      </c>
      <c r="O2712" s="19" t="s">
        <v>20331</v>
      </c>
      <c r="P2712" s="10"/>
      <c r="Q2712" s="10" t="s">
        <v>94</v>
      </c>
      <c r="R2712" s="10"/>
      <c r="S2712" s="19" t="s">
        <v>19862</v>
      </c>
      <c r="T2712" s="10"/>
      <c r="U2712" s="10"/>
      <c r="V2712" s="10"/>
      <c r="W2712" s="10" t="s">
        <v>19139</v>
      </c>
      <c r="X2712" s="10" t="s">
        <v>130</v>
      </c>
      <c r="Y2712" s="10" t="s">
        <v>130</v>
      </c>
      <c r="Z2712" s="10" t="s">
        <v>99</v>
      </c>
      <c r="AA2712" s="10" t="s">
        <v>131</v>
      </c>
      <c r="AB2712" s="10" t="s">
        <v>19140</v>
      </c>
      <c r="AC2712" s="10" t="s">
        <v>9022</v>
      </c>
      <c r="AD2712" s="10" t="s">
        <v>165</v>
      </c>
      <c r="AE2712" s="10" t="s">
        <v>20332</v>
      </c>
      <c r="AF2712" s="15"/>
      <c r="AG2712" s="10"/>
      <c r="AH2712" s="10"/>
      <c r="AI2712" s="10"/>
      <c r="AJ2712" s="10"/>
      <c r="AK2712" s="10" t="s">
        <v>102</v>
      </c>
      <c r="AL2712" s="10"/>
      <c r="AM2712" s="10"/>
      <c r="AN2712" s="10"/>
      <c r="AO2712" s="13" t="b">
        <v>0</v>
      </c>
      <c r="AP2712" s="22" t="s">
        <v>104</v>
      </c>
      <c r="AQ2712" s="10">
        <f ca="1">IFERROR(__xludf.DUMMYFUNCTION("""COMPUTED_VALUE"""),19882)</f>
        <v>19882</v>
      </c>
      <c r="AR2712" s="21">
        <v>5</v>
      </c>
      <c r="AS2712" s="21">
        <v>5</v>
      </c>
      <c r="AT2712" s="21">
        <v>0</v>
      </c>
      <c r="AU2712" s="21">
        <v>0</v>
      </c>
      <c r="AV2712" s="21">
        <v>0</v>
      </c>
      <c r="AW2712" s="22" t="s">
        <v>105</v>
      </c>
      <c r="AX2712" s="17"/>
      <c r="AY2712" s="18">
        <v>8.2433333333333341</v>
      </c>
      <c r="AZ2712" s="10"/>
      <c r="BA2712" s="20" t="b">
        <v>1</v>
      </c>
      <c r="BB2712" s="10"/>
      <c r="BC2712" s="17">
        <v>3654</v>
      </c>
      <c r="BD2712" s="17">
        <v>2775</v>
      </c>
      <c r="BE2712" s="17">
        <v>22875.25</v>
      </c>
      <c r="BF2712" s="17">
        <v>0</v>
      </c>
      <c r="BG2712" s="11">
        <f ca="1">IFERROR(__xludf.DUMMYFUNCTION("""COMPUTED_VALUE"""),45983.3125)</f>
        <v>45983.3125</v>
      </c>
      <c r="BH2712" s="17" t="s">
        <v>105</v>
      </c>
      <c r="BI2712" s="17"/>
      <c r="BJ2712" s="15"/>
      <c r="BK2712" s="15"/>
      <c r="BL2712" s="13" t="b">
        <v>0</v>
      </c>
      <c r="BM2712" s="10"/>
      <c r="BN2712" s="10" t="s">
        <v>19455</v>
      </c>
      <c r="BO2712" s="11">
        <v>45982.763888888891</v>
      </c>
      <c r="BP2712" s="11">
        <v>45982.764398148145</v>
      </c>
      <c r="BQ2712" s="15">
        <v>45982.765914351854</v>
      </c>
      <c r="BR2712" s="15">
        <v>45982.971863425926</v>
      </c>
      <c r="BS2712" s="10" t="s">
        <v>19455</v>
      </c>
      <c r="BT2712" s="10"/>
      <c r="BU2712" s="10"/>
      <c r="BV2712" s="10"/>
      <c r="BW2712" s="10"/>
      <c r="BX2712" s="10"/>
      <c r="BY2712" s="23"/>
      <c r="BZ2712" s="23"/>
      <c r="CA2712" s="19" t="s">
        <v>19142</v>
      </c>
      <c r="CB2712" s="23"/>
      <c r="CC2712" s="23"/>
      <c r="CD2712" s="23"/>
      <c r="CE2712" s="23"/>
      <c r="CF2712" s="23"/>
      <c r="CG2712" s="23"/>
      <c r="CH2712" s="23"/>
      <c r="CI2712" s="23"/>
    </row>
    <row r="2713" spans="1:87" x14ac:dyDescent="0.3">
      <c r="A2713" s="9" t="s">
        <v>20333</v>
      </c>
      <c r="B2713" s="10" t="s">
        <v>20334</v>
      </c>
      <c r="C2713" s="11">
        <v>45983.291666666664</v>
      </c>
      <c r="D2713" s="12">
        <v>5.5555555555555552E-2</v>
      </c>
      <c r="E2713" s="11">
        <v>45983.347222222219</v>
      </c>
      <c r="F2713" s="22" t="s">
        <v>19136</v>
      </c>
      <c r="G2713" s="13" t="b">
        <v>0</v>
      </c>
      <c r="H2713" s="22" t="s">
        <v>9017</v>
      </c>
      <c r="I2713" s="10" t="s">
        <v>212</v>
      </c>
      <c r="J2713" s="13" t="b">
        <v>1</v>
      </c>
      <c r="K2713" s="13" t="b">
        <v>0</v>
      </c>
      <c r="L2713" s="10" t="s">
        <v>124</v>
      </c>
      <c r="M2713" s="10" t="s">
        <v>91</v>
      </c>
      <c r="N2713" s="10" t="s">
        <v>92</v>
      </c>
      <c r="O2713" s="19" t="s">
        <v>20335</v>
      </c>
      <c r="P2713" s="10"/>
      <c r="Q2713" s="10" t="s">
        <v>94</v>
      </c>
      <c r="R2713" s="10"/>
      <c r="S2713" s="19" t="s">
        <v>19862</v>
      </c>
      <c r="T2713" s="10"/>
      <c r="U2713" s="10"/>
      <c r="V2713" s="10"/>
      <c r="W2713" s="10" t="s">
        <v>19139</v>
      </c>
      <c r="X2713" s="10" t="s">
        <v>216</v>
      </c>
      <c r="Y2713" s="10" t="s">
        <v>130</v>
      </c>
      <c r="Z2713" s="10" t="s">
        <v>99</v>
      </c>
      <c r="AA2713" s="10" t="s">
        <v>131</v>
      </c>
      <c r="AB2713" s="10" t="s">
        <v>19140</v>
      </c>
      <c r="AC2713" s="10" t="s">
        <v>9022</v>
      </c>
      <c r="AD2713" s="10" t="s">
        <v>165</v>
      </c>
      <c r="AE2713" s="10" t="s">
        <v>20336</v>
      </c>
      <c r="AF2713" s="15"/>
      <c r="AG2713" s="10"/>
      <c r="AH2713" s="10"/>
      <c r="AI2713" s="10"/>
      <c r="AJ2713" s="10"/>
      <c r="AK2713" s="10" t="s">
        <v>102</v>
      </c>
      <c r="AL2713" s="10"/>
      <c r="AM2713" s="10"/>
      <c r="AN2713" s="10"/>
      <c r="AO2713" s="13" t="b">
        <v>0</v>
      </c>
      <c r="AP2713" s="22"/>
      <c r="AQ2713" s="10">
        <f ca="1">IFERROR(__xludf.DUMMYFUNCTION("""COMPUTED_VALUE"""),4730505)</f>
        <v>4730505</v>
      </c>
      <c r="AR2713" s="17">
        <v>521</v>
      </c>
      <c r="AS2713" s="17">
        <v>448</v>
      </c>
      <c r="AT2713" s="17">
        <v>3299.5</v>
      </c>
      <c r="AU2713" s="17">
        <v>0.5</v>
      </c>
      <c r="AV2713" s="17">
        <v>0</v>
      </c>
      <c r="AW2713" s="10" t="s">
        <v>105</v>
      </c>
      <c r="AX2713" s="17">
        <v>83</v>
      </c>
      <c r="AY2713" s="18">
        <v>7.3649553571428568</v>
      </c>
      <c r="AZ2713" s="10"/>
      <c r="BA2713" s="20" t="b">
        <v>0</v>
      </c>
      <c r="BB2713" s="10" t="s">
        <v>20321</v>
      </c>
      <c r="BC2713" s="17">
        <v>521</v>
      </c>
      <c r="BD2713" s="17">
        <v>448</v>
      </c>
      <c r="BE2713" s="17">
        <v>3299.5</v>
      </c>
      <c r="BF2713" s="17">
        <v>0</v>
      </c>
      <c r="BG2713" s="11">
        <f ca="1">IFERROR(__xludf.DUMMYFUNCTION("""COMPUTED_VALUE"""),45983.2916666666)</f>
        <v>45983.291666666599</v>
      </c>
      <c r="BH2713" s="17" t="s">
        <v>105</v>
      </c>
      <c r="BI2713" s="17"/>
      <c r="BJ2713" s="15"/>
      <c r="BK2713" s="15"/>
      <c r="BL2713" s="13" t="b">
        <v>0</v>
      </c>
      <c r="BM2713" s="10"/>
      <c r="BN2713" s="10" t="s">
        <v>19455</v>
      </c>
      <c r="BO2713" s="11">
        <v>45982.76666666667</v>
      </c>
      <c r="BP2713" s="11">
        <v>45982.767222222225</v>
      </c>
      <c r="BQ2713" s="15"/>
      <c r="BR2713" s="15">
        <v>45982.921458333331</v>
      </c>
      <c r="BS2713" s="10" t="s">
        <v>19455</v>
      </c>
      <c r="BT2713" s="10"/>
      <c r="BU2713" s="10"/>
      <c r="BV2713" s="10"/>
      <c r="BW2713" s="10"/>
      <c r="BX2713" s="10"/>
      <c r="BY2713" s="23"/>
      <c r="BZ2713" s="23"/>
      <c r="CA2713" s="19" t="s">
        <v>19142</v>
      </c>
      <c r="CB2713" s="23"/>
      <c r="CC2713" s="23"/>
      <c r="CD2713" s="23"/>
      <c r="CE2713" s="23"/>
      <c r="CF2713" s="23"/>
      <c r="CG2713" s="23"/>
      <c r="CH2713" s="23"/>
      <c r="CI2713" s="23"/>
    </row>
    <row r="2714" spans="1:87" x14ac:dyDescent="0.3">
      <c r="A2714" s="9" t="s">
        <v>20337</v>
      </c>
      <c r="B2714" s="10" t="s">
        <v>20338</v>
      </c>
      <c r="C2714" s="11">
        <v>45983.347222222219</v>
      </c>
      <c r="D2714" s="12">
        <v>4.8611111111111112E-2</v>
      </c>
      <c r="E2714" s="11">
        <v>45983.395833333336</v>
      </c>
      <c r="F2714" s="22" t="s">
        <v>19136</v>
      </c>
      <c r="G2714" s="13" t="b">
        <v>0</v>
      </c>
      <c r="H2714" s="22" t="s">
        <v>9017</v>
      </c>
      <c r="I2714" s="10" t="s">
        <v>212</v>
      </c>
      <c r="J2714" s="13" t="b">
        <v>1</v>
      </c>
      <c r="K2714" s="13" t="b">
        <v>0</v>
      </c>
      <c r="L2714" s="10" t="s">
        <v>124</v>
      </c>
      <c r="M2714" s="10" t="s">
        <v>91</v>
      </c>
      <c r="N2714" s="10" t="s">
        <v>92</v>
      </c>
      <c r="O2714" s="19" t="s">
        <v>20339</v>
      </c>
      <c r="P2714" s="10"/>
      <c r="Q2714" s="10" t="s">
        <v>94</v>
      </c>
      <c r="R2714" s="10"/>
      <c r="S2714" s="19" t="s">
        <v>19862</v>
      </c>
      <c r="T2714" s="10"/>
      <c r="U2714" s="10"/>
      <c r="V2714" s="10"/>
      <c r="W2714" s="10" t="s">
        <v>19139</v>
      </c>
      <c r="X2714" s="10" t="s">
        <v>216</v>
      </c>
      <c r="Y2714" s="10" t="s">
        <v>130</v>
      </c>
      <c r="Z2714" s="10" t="s">
        <v>99</v>
      </c>
      <c r="AA2714" s="10" t="s">
        <v>131</v>
      </c>
      <c r="AB2714" s="10" t="s">
        <v>19140</v>
      </c>
      <c r="AC2714" s="10" t="s">
        <v>9022</v>
      </c>
      <c r="AD2714" s="10" t="s">
        <v>165</v>
      </c>
      <c r="AE2714" s="10" t="s">
        <v>20340</v>
      </c>
      <c r="AF2714" s="15"/>
      <c r="AG2714" s="10"/>
      <c r="AH2714" s="10"/>
      <c r="AI2714" s="10"/>
      <c r="AJ2714" s="10"/>
      <c r="AK2714" s="10" t="s">
        <v>102</v>
      </c>
      <c r="AL2714" s="10"/>
      <c r="AM2714" s="10"/>
      <c r="AN2714" s="10"/>
      <c r="AO2714" s="13" t="b">
        <v>0</v>
      </c>
      <c r="AP2714" s="22"/>
      <c r="AQ2714" s="10">
        <f ca="1">IFERROR(__xludf.DUMMYFUNCTION("""COMPUTED_VALUE"""),4730506)</f>
        <v>4730506</v>
      </c>
      <c r="AR2714" s="17">
        <v>419</v>
      </c>
      <c r="AS2714" s="17">
        <v>342</v>
      </c>
      <c r="AT2714" s="17">
        <v>2389</v>
      </c>
      <c r="AU2714" s="17">
        <v>0.1</v>
      </c>
      <c r="AV2714" s="17">
        <v>0</v>
      </c>
      <c r="AW2714" s="10" t="s">
        <v>105</v>
      </c>
      <c r="AX2714" s="17">
        <v>77</v>
      </c>
      <c r="AY2714" s="18">
        <v>6.9853801169590639</v>
      </c>
      <c r="AZ2714" s="10"/>
      <c r="BA2714" s="20" t="b">
        <v>0</v>
      </c>
      <c r="BB2714" s="10" t="s">
        <v>20321</v>
      </c>
      <c r="BC2714" s="17">
        <v>419</v>
      </c>
      <c r="BD2714" s="17">
        <v>342</v>
      </c>
      <c r="BE2714" s="17">
        <v>2389</v>
      </c>
      <c r="BF2714" s="17">
        <v>0</v>
      </c>
      <c r="BG2714" s="11">
        <f ca="1">IFERROR(__xludf.DUMMYFUNCTION("""COMPUTED_VALUE"""),45983.3472222222)</f>
        <v>45983.347222222197</v>
      </c>
      <c r="BH2714" s="17" t="s">
        <v>105</v>
      </c>
      <c r="BI2714" s="17"/>
      <c r="BJ2714" s="15"/>
      <c r="BK2714" s="15"/>
      <c r="BL2714" s="13" t="b">
        <v>0</v>
      </c>
      <c r="BM2714" s="10"/>
      <c r="BN2714" s="10" t="s">
        <v>19455</v>
      </c>
      <c r="BO2714" s="11">
        <v>45982.76666666667</v>
      </c>
      <c r="BP2714" s="11">
        <v>45982.767337962963</v>
      </c>
      <c r="BQ2714" s="15"/>
      <c r="BR2714" s="15">
        <v>45982.921886574077</v>
      </c>
      <c r="BS2714" s="10" t="s">
        <v>19455</v>
      </c>
      <c r="BT2714" s="10"/>
      <c r="BU2714" s="10"/>
      <c r="BV2714" s="10"/>
      <c r="BW2714" s="10"/>
      <c r="BX2714" s="10"/>
      <c r="BY2714" s="23"/>
      <c r="BZ2714" s="23"/>
      <c r="CA2714" s="19" t="s">
        <v>19142</v>
      </c>
      <c r="CB2714" s="23"/>
      <c r="CC2714" s="23"/>
      <c r="CD2714" s="23"/>
      <c r="CE2714" s="23"/>
      <c r="CF2714" s="23"/>
      <c r="CG2714" s="23"/>
      <c r="CH2714" s="23"/>
      <c r="CI2714" s="23"/>
    </row>
    <row r="2715" spans="1:87" x14ac:dyDescent="0.3">
      <c r="A2715" s="9" t="s">
        <v>20341</v>
      </c>
      <c r="B2715" s="10" t="s">
        <v>20342</v>
      </c>
      <c r="C2715" s="11">
        <v>45983.395833333336</v>
      </c>
      <c r="D2715" s="12">
        <v>4.8611111111111112E-2</v>
      </c>
      <c r="E2715" s="11">
        <v>45983.444444444445</v>
      </c>
      <c r="F2715" s="22" t="s">
        <v>19136</v>
      </c>
      <c r="G2715" s="13" t="b">
        <v>0</v>
      </c>
      <c r="H2715" s="22" t="s">
        <v>9017</v>
      </c>
      <c r="I2715" s="10" t="s">
        <v>212</v>
      </c>
      <c r="J2715" s="13" t="b">
        <v>1</v>
      </c>
      <c r="K2715" s="13" t="b">
        <v>0</v>
      </c>
      <c r="L2715" s="10" t="s">
        <v>124</v>
      </c>
      <c r="M2715" s="10" t="s">
        <v>91</v>
      </c>
      <c r="N2715" s="10" t="s">
        <v>92</v>
      </c>
      <c r="O2715" s="19" t="s">
        <v>20343</v>
      </c>
      <c r="P2715" s="10"/>
      <c r="Q2715" s="10" t="s">
        <v>94</v>
      </c>
      <c r="R2715" s="10"/>
      <c r="S2715" s="19" t="s">
        <v>19862</v>
      </c>
      <c r="T2715" s="10"/>
      <c r="U2715" s="10"/>
      <c r="V2715" s="10"/>
      <c r="W2715" s="10" t="s">
        <v>19139</v>
      </c>
      <c r="X2715" s="10" t="s">
        <v>216</v>
      </c>
      <c r="Y2715" s="10" t="s">
        <v>130</v>
      </c>
      <c r="Z2715" s="10" t="s">
        <v>99</v>
      </c>
      <c r="AA2715" s="10" t="s">
        <v>131</v>
      </c>
      <c r="AB2715" s="10" t="s">
        <v>19140</v>
      </c>
      <c r="AC2715" s="10" t="s">
        <v>9022</v>
      </c>
      <c r="AD2715" s="10" t="s">
        <v>165</v>
      </c>
      <c r="AE2715" s="10" t="s">
        <v>20344</v>
      </c>
      <c r="AF2715" s="15"/>
      <c r="AG2715" s="10"/>
      <c r="AH2715" s="10"/>
      <c r="AI2715" s="10"/>
      <c r="AJ2715" s="10"/>
      <c r="AK2715" s="10" t="s">
        <v>102</v>
      </c>
      <c r="AL2715" s="10"/>
      <c r="AM2715" s="10"/>
      <c r="AN2715" s="10"/>
      <c r="AO2715" s="13" t="b">
        <v>0</v>
      </c>
      <c r="AP2715" s="22"/>
      <c r="AQ2715" s="10">
        <f ca="1">IFERROR(__xludf.DUMMYFUNCTION("""COMPUTED_VALUE"""),4730507)</f>
        <v>4730507</v>
      </c>
      <c r="AR2715" s="17">
        <v>352</v>
      </c>
      <c r="AS2715" s="17">
        <v>296</v>
      </c>
      <c r="AT2715" s="17">
        <v>1343.75</v>
      </c>
      <c r="AU2715" s="17">
        <v>0.5</v>
      </c>
      <c r="AV2715" s="17">
        <v>0</v>
      </c>
      <c r="AW2715" s="10" t="s">
        <v>105</v>
      </c>
      <c r="AX2715" s="17">
        <v>66</v>
      </c>
      <c r="AY2715" s="18">
        <v>4.5396959459459456</v>
      </c>
      <c r="AZ2715" s="10"/>
      <c r="BA2715" s="20" t="b">
        <v>0</v>
      </c>
      <c r="BB2715" s="10" t="s">
        <v>20321</v>
      </c>
      <c r="BC2715" s="17">
        <v>352</v>
      </c>
      <c r="BD2715" s="17">
        <v>296</v>
      </c>
      <c r="BE2715" s="17">
        <v>1343.75</v>
      </c>
      <c r="BF2715" s="17">
        <v>0</v>
      </c>
      <c r="BG2715" s="11">
        <f ca="1">IFERROR(__xludf.DUMMYFUNCTION("""COMPUTED_VALUE"""),45983.3958333333)</f>
        <v>45983.395833333299</v>
      </c>
      <c r="BH2715" s="17" t="s">
        <v>105</v>
      </c>
      <c r="BI2715" s="17"/>
      <c r="BJ2715" s="15"/>
      <c r="BK2715" s="15"/>
      <c r="BL2715" s="13" t="b">
        <v>0</v>
      </c>
      <c r="BM2715" s="10"/>
      <c r="BN2715" s="10" t="s">
        <v>19455</v>
      </c>
      <c r="BO2715" s="11">
        <v>45982.767361111109</v>
      </c>
      <c r="BP2715" s="11">
        <v>45982.767453703702</v>
      </c>
      <c r="BQ2715" s="15"/>
      <c r="BR2715" s="15">
        <v>45982.922071759262</v>
      </c>
      <c r="BS2715" s="10" t="s">
        <v>19455</v>
      </c>
      <c r="BT2715" s="10"/>
      <c r="BU2715" s="10"/>
      <c r="BV2715" s="10"/>
      <c r="BW2715" s="10"/>
      <c r="BX2715" s="10"/>
      <c r="BY2715" s="23"/>
      <c r="BZ2715" s="23"/>
      <c r="CA2715" s="19" t="s">
        <v>19142</v>
      </c>
      <c r="CB2715" s="23"/>
      <c r="CC2715" s="23"/>
      <c r="CD2715" s="23"/>
      <c r="CE2715" s="23"/>
      <c r="CF2715" s="23"/>
      <c r="CG2715" s="23"/>
      <c r="CH2715" s="23"/>
      <c r="CI2715" s="23"/>
    </row>
    <row r="2716" spans="1:87" x14ac:dyDescent="0.3">
      <c r="A2716" s="9" t="s">
        <v>20345</v>
      </c>
      <c r="B2716" s="10" t="s">
        <v>20346</v>
      </c>
      <c r="C2716" s="11">
        <v>45983.444444444445</v>
      </c>
      <c r="D2716" s="12">
        <v>4.8611111111111112E-2</v>
      </c>
      <c r="E2716" s="11">
        <v>45983.493055555555</v>
      </c>
      <c r="F2716" s="22" t="s">
        <v>19136</v>
      </c>
      <c r="G2716" s="13" t="b">
        <v>0</v>
      </c>
      <c r="H2716" s="22" t="s">
        <v>9017</v>
      </c>
      <c r="I2716" s="10" t="s">
        <v>212</v>
      </c>
      <c r="J2716" s="13" t="b">
        <v>1</v>
      </c>
      <c r="K2716" s="13" t="b">
        <v>0</v>
      </c>
      <c r="L2716" s="10" t="s">
        <v>124</v>
      </c>
      <c r="M2716" s="10" t="s">
        <v>91</v>
      </c>
      <c r="N2716" s="10" t="s">
        <v>92</v>
      </c>
      <c r="O2716" s="19" t="s">
        <v>20347</v>
      </c>
      <c r="P2716" s="10"/>
      <c r="Q2716" s="10" t="s">
        <v>94</v>
      </c>
      <c r="R2716" s="10"/>
      <c r="S2716" s="19" t="s">
        <v>19862</v>
      </c>
      <c r="T2716" s="10"/>
      <c r="U2716" s="10"/>
      <c r="V2716" s="10"/>
      <c r="W2716" s="10" t="s">
        <v>19139</v>
      </c>
      <c r="X2716" s="10" t="s">
        <v>216</v>
      </c>
      <c r="Y2716" s="10" t="s">
        <v>130</v>
      </c>
      <c r="Z2716" s="10" t="s">
        <v>99</v>
      </c>
      <c r="AA2716" s="10" t="s">
        <v>131</v>
      </c>
      <c r="AB2716" s="10" t="s">
        <v>19140</v>
      </c>
      <c r="AC2716" s="10" t="s">
        <v>9022</v>
      </c>
      <c r="AD2716" s="10" t="s">
        <v>165</v>
      </c>
      <c r="AE2716" s="10" t="s">
        <v>20348</v>
      </c>
      <c r="AF2716" s="15"/>
      <c r="AG2716" s="10"/>
      <c r="AH2716" s="10"/>
      <c r="AI2716" s="10"/>
      <c r="AJ2716" s="10"/>
      <c r="AK2716" s="10" t="s">
        <v>102</v>
      </c>
      <c r="AL2716" s="10"/>
      <c r="AM2716" s="10"/>
      <c r="AN2716" s="10"/>
      <c r="AO2716" s="13" t="b">
        <v>0</v>
      </c>
      <c r="AP2716" s="22"/>
      <c r="AQ2716" s="10">
        <f ca="1">IFERROR(__xludf.DUMMYFUNCTION("""COMPUTED_VALUE"""),4730508)</f>
        <v>4730508</v>
      </c>
      <c r="AR2716" s="17">
        <v>343</v>
      </c>
      <c r="AS2716" s="17">
        <v>311</v>
      </c>
      <c r="AT2716" s="17">
        <v>1031</v>
      </c>
      <c r="AU2716" s="17">
        <v>0.1</v>
      </c>
      <c r="AV2716" s="17">
        <v>0</v>
      </c>
      <c r="AW2716" s="10" t="s">
        <v>105</v>
      </c>
      <c r="AX2716" s="17">
        <v>59</v>
      </c>
      <c r="AY2716" s="18">
        <v>3.315112540192926</v>
      </c>
      <c r="AZ2716" s="10"/>
      <c r="BA2716" s="20" t="b">
        <v>0</v>
      </c>
      <c r="BB2716" s="10" t="s">
        <v>20321</v>
      </c>
      <c r="BC2716" s="17">
        <v>343</v>
      </c>
      <c r="BD2716" s="17">
        <v>311</v>
      </c>
      <c r="BE2716" s="17">
        <v>1031</v>
      </c>
      <c r="BF2716" s="17">
        <v>0</v>
      </c>
      <c r="BG2716" s="11">
        <f ca="1">IFERROR(__xludf.DUMMYFUNCTION("""COMPUTED_VALUE"""),45983.4444444444)</f>
        <v>45983.444444444402</v>
      </c>
      <c r="BH2716" s="17" t="s">
        <v>105</v>
      </c>
      <c r="BI2716" s="17"/>
      <c r="BJ2716" s="15"/>
      <c r="BK2716" s="15"/>
      <c r="BL2716" s="13" t="b">
        <v>0</v>
      </c>
      <c r="BM2716" s="10"/>
      <c r="BN2716" s="10" t="s">
        <v>19455</v>
      </c>
      <c r="BO2716" s="11">
        <v>45982.767361111109</v>
      </c>
      <c r="BP2716" s="11">
        <v>45982.767581018517</v>
      </c>
      <c r="BQ2716" s="15"/>
      <c r="BR2716" s="15">
        <v>45982.922291666669</v>
      </c>
      <c r="BS2716" s="10" t="s">
        <v>19455</v>
      </c>
      <c r="BT2716" s="10"/>
      <c r="BU2716" s="10"/>
      <c r="BV2716" s="10"/>
      <c r="BW2716" s="10"/>
      <c r="BX2716" s="10"/>
      <c r="BY2716" s="23"/>
      <c r="BZ2716" s="23"/>
      <c r="CA2716" s="19" t="s">
        <v>19142</v>
      </c>
      <c r="CB2716" s="23"/>
      <c r="CC2716" s="23"/>
      <c r="CD2716" s="23"/>
      <c r="CE2716" s="23"/>
      <c r="CF2716" s="23"/>
      <c r="CG2716" s="23"/>
      <c r="CH2716" s="23"/>
      <c r="CI2716" s="23"/>
    </row>
    <row r="2717" spans="1:87" x14ac:dyDescent="0.3">
      <c r="A2717" s="9" t="s">
        <v>20349</v>
      </c>
      <c r="B2717" s="10" t="s">
        <v>20350</v>
      </c>
      <c r="C2717" s="11">
        <v>45983.493055555555</v>
      </c>
      <c r="D2717" s="12">
        <v>4.8611111111111112E-2</v>
      </c>
      <c r="E2717" s="11">
        <v>45983.541666666664</v>
      </c>
      <c r="F2717" s="22" t="s">
        <v>19136</v>
      </c>
      <c r="G2717" s="13" t="b">
        <v>0</v>
      </c>
      <c r="H2717" s="22" t="s">
        <v>9017</v>
      </c>
      <c r="I2717" s="10" t="s">
        <v>212</v>
      </c>
      <c r="J2717" s="13" t="b">
        <v>1</v>
      </c>
      <c r="K2717" s="13" t="b">
        <v>0</v>
      </c>
      <c r="L2717" s="10" t="s">
        <v>124</v>
      </c>
      <c r="M2717" s="10" t="s">
        <v>91</v>
      </c>
      <c r="N2717" s="10" t="s">
        <v>92</v>
      </c>
      <c r="O2717" s="19" t="s">
        <v>20351</v>
      </c>
      <c r="P2717" s="10"/>
      <c r="Q2717" s="10" t="s">
        <v>94</v>
      </c>
      <c r="R2717" s="10"/>
      <c r="S2717" s="19" t="s">
        <v>19862</v>
      </c>
      <c r="T2717" s="10"/>
      <c r="U2717" s="10"/>
      <c r="V2717" s="10"/>
      <c r="W2717" s="10" t="s">
        <v>19139</v>
      </c>
      <c r="X2717" s="10" t="s">
        <v>216</v>
      </c>
      <c r="Y2717" s="10" t="s">
        <v>130</v>
      </c>
      <c r="Z2717" s="10" t="s">
        <v>99</v>
      </c>
      <c r="AA2717" s="10" t="s">
        <v>131</v>
      </c>
      <c r="AB2717" s="10" t="s">
        <v>19140</v>
      </c>
      <c r="AC2717" s="10" t="s">
        <v>9022</v>
      </c>
      <c r="AD2717" s="10" t="s">
        <v>165</v>
      </c>
      <c r="AE2717" s="10" t="s">
        <v>20352</v>
      </c>
      <c r="AF2717" s="15"/>
      <c r="AG2717" s="10"/>
      <c r="AH2717" s="10"/>
      <c r="AI2717" s="10"/>
      <c r="AJ2717" s="10"/>
      <c r="AK2717" s="10" t="s">
        <v>102</v>
      </c>
      <c r="AL2717" s="10"/>
      <c r="AM2717" s="10"/>
      <c r="AN2717" s="10"/>
      <c r="AO2717" s="13" t="b">
        <v>0</v>
      </c>
      <c r="AP2717" s="22"/>
      <c r="AQ2717" s="10">
        <f ca="1">IFERROR(__xludf.DUMMYFUNCTION("""COMPUTED_VALUE"""),4730509)</f>
        <v>4730509</v>
      </c>
      <c r="AR2717" s="17">
        <v>621</v>
      </c>
      <c r="AS2717" s="17">
        <v>530</v>
      </c>
      <c r="AT2717" s="17">
        <v>1827</v>
      </c>
      <c r="AU2717" s="17">
        <v>0.15</v>
      </c>
      <c r="AV2717" s="17">
        <v>0</v>
      </c>
      <c r="AW2717" s="10" t="s">
        <v>105</v>
      </c>
      <c r="AX2717" s="17">
        <v>75</v>
      </c>
      <c r="AY2717" s="18">
        <v>3.4471698113207547</v>
      </c>
      <c r="AZ2717" s="10"/>
      <c r="BA2717" s="20" t="b">
        <v>0</v>
      </c>
      <c r="BB2717" s="10" t="s">
        <v>20321</v>
      </c>
      <c r="BC2717" s="17">
        <v>621</v>
      </c>
      <c r="BD2717" s="17">
        <v>530</v>
      </c>
      <c r="BE2717" s="17">
        <v>1827</v>
      </c>
      <c r="BF2717" s="17">
        <v>0</v>
      </c>
      <c r="BG2717" s="11">
        <f ca="1">IFERROR(__xludf.DUMMYFUNCTION("""COMPUTED_VALUE"""),45983.4930555555)</f>
        <v>45983.493055555497</v>
      </c>
      <c r="BH2717" s="17" t="s">
        <v>105</v>
      </c>
      <c r="BI2717" s="17"/>
      <c r="BJ2717" s="15"/>
      <c r="BK2717" s="15"/>
      <c r="BL2717" s="13" t="b">
        <v>0</v>
      </c>
      <c r="BM2717" s="10"/>
      <c r="BN2717" s="10" t="s">
        <v>19455</v>
      </c>
      <c r="BO2717" s="11">
        <v>45982.767361111109</v>
      </c>
      <c r="BP2717" s="11">
        <v>45982.767893518518</v>
      </c>
      <c r="BQ2717" s="15"/>
      <c r="BR2717" s="15">
        <v>45982.92260416667</v>
      </c>
      <c r="BS2717" s="10" t="s">
        <v>19455</v>
      </c>
      <c r="BT2717" s="10"/>
      <c r="BU2717" s="10"/>
      <c r="BV2717" s="10"/>
      <c r="BW2717" s="10"/>
      <c r="BX2717" s="10"/>
      <c r="BY2717" s="23"/>
      <c r="BZ2717" s="23"/>
      <c r="CA2717" s="19" t="s">
        <v>19142</v>
      </c>
      <c r="CB2717" s="23"/>
      <c r="CC2717" s="23"/>
      <c r="CD2717" s="23"/>
      <c r="CE2717" s="23"/>
      <c r="CF2717" s="23"/>
      <c r="CG2717" s="23"/>
      <c r="CH2717" s="23"/>
      <c r="CI2717" s="23"/>
    </row>
    <row r="2718" spans="1:87" x14ac:dyDescent="0.3">
      <c r="A2718" s="9" t="s">
        <v>20353</v>
      </c>
      <c r="B2718" s="10" t="s">
        <v>20354</v>
      </c>
      <c r="C2718" s="11">
        <v>45983.541666666664</v>
      </c>
      <c r="D2718" s="12">
        <v>4.8611111111111112E-2</v>
      </c>
      <c r="E2718" s="11">
        <v>45983.590277777781</v>
      </c>
      <c r="F2718" s="22" t="s">
        <v>19136</v>
      </c>
      <c r="G2718" s="13" t="b">
        <v>0</v>
      </c>
      <c r="H2718" s="22" t="s">
        <v>9017</v>
      </c>
      <c r="I2718" s="10" t="s">
        <v>212</v>
      </c>
      <c r="J2718" s="13" t="b">
        <v>1</v>
      </c>
      <c r="K2718" s="13" t="b">
        <v>0</v>
      </c>
      <c r="L2718" s="10" t="s">
        <v>124</v>
      </c>
      <c r="M2718" s="10" t="s">
        <v>91</v>
      </c>
      <c r="N2718" s="10" t="s">
        <v>92</v>
      </c>
      <c r="O2718" s="19" t="s">
        <v>20355</v>
      </c>
      <c r="P2718" s="10"/>
      <c r="Q2718" s="10" t="s">
        <v>94</v>
      </c>
      <c r="R2718" s="10"/>
      <c r="S2718" s="19" t="s">
        <v>19862</v>
      </c>
      <c r="T2718" s="10"/>
      <c r="U2718" s="10"/>
      <c r="V2718" s="10"/>
      <c r="W2718" s="10" t="s">
        <v>19139</v>
      </c>
      <c r="X2718" s="10" t="s">
        <v>216</v>
      </c>
      <c r="Y2718" s="10" t="s">
        <v>130</v>
      </c>
      <c r="Z2718" s="10" t="s">
        <v>99</v>
      </c>
      <c r="AA2718" s="10" t="s">
        <v>131</v>
      </c>
      <c r="AB2718" s="10" t="s">
        <v>19140</v>
      </c>
      <c r="AC2718" s="10" t="s">
        <v>9022</v>
      </c>
      <c r="AD2718" s="10" t="s">
        <v>165</v>
      </c>
      <c r="AE2718" s="10" t="s">
        <v>20356</v>
      </c>
      <c r="AF2718" s="15"/>
      <c r="AG2718" s="10"/>
      <c r="AH2718" s="10"/>
      <c r="AI2718" s="10"/>
      <c r="AJ2718" s="10"/>
      <c r="AK2718" s="10" t="s">
        <v>102</v>
      </c>
      <c r="AL2718" s="10"/>
      <c r="AM2718" s="10"/>
      <c r="AN2718" s="10"/>
      <c r="AO2718" s="13" t="b">
        <v>0</v>
      </c>
      <c r="AP2718" s="22"/>
      <c r="AQ2718" s="10">
        <f ca="1">IFERROR(__xludf.DUMMYFUNCTION("""COMPUTED_VALUE"""),4730510)</f>
        <v>4730510</v>
      </c>
      <c r="AR2718" s="17">
        <v>785</v>
      </c>
      <c r="AS2718" s="17">
        <v>701</v>
      </c>
      <c r="AT2718" s="17">
        <v>2825</v>
      </c>
      <c r="AU2718" s="17">
        <v>0.6</v>
      </c>
      <c r="AV2718" s="17">
        <v>0</v>
      </c>
      <c r="AW2718" s="10" t="s">
        <v>105</v>
      </c>
      <c r="AX2718" s="17">
        <v>141</v>
      </c>
      <c r="AY2718" s="18">
        <v>4.0299572039942939</v>
      </c>
      <c r="AZ2718" s="10"/>
      <c r="BA2718" s="20" t="b">
        <v>0</v>
      </c>
      <c r="BB2718" s="10" t="s">
        <v>20321</v>
      </c>
      <c r="BC2718" s="17">
        <v>785</v>
      </c>
      <c r="BD2718" s="17">
        <v>701</v>
      </c>
      <c r="BE2718" s="17">
        <v>2825</v>
      </c>
      <c r="BF2718" s="17">
        <v>0</v>
      </c>
      <c r="BG2718" s="11">
        <f ca="1">IFERROR(__xludf.DUMMYFUNCTION("""COMPUTED_VALUE"""),45983.5416666666)</f>
        <v>45983.541666666599</v>
      </c>
      <c r="BH2718" s="17" t="s">
        <v>105</v>
      </c>
      <c r="BI2718" s="17"/>
      <c r="BJ2718" s="15"/>
      <c r="BK2718" s="15"/>
      <c r="BL2718" s="13" t="b">
        <v>0</v>
      </c>
      <c r="BM2718" s="10"/>
      <c r="BN2718" s="10" t="s">
        <v>19455</v>
      </c>
      <c r="BO2718" s="11">
        <v>45982.767361111109</v>
      </c>
      <c r="BP2718" s="11">
        <v>45982.768055555556</v>
      </c>
      <c r="BQ2718" s="15"/>
      <c r="BR2718" s="15">
        <v>45982.923020833332</v>
      </c>
      <c r="BS2718" s="10" t="s">
        <v>19455</v>
      </c>
      <c r="BT2718" s="10"/>
      <c r="BU2718" s="10"/>
      <c r="BV2718" s="10"/>
      <c r="BW2718" s="10"/>
      <c r="BX2718" s="10"/>
      <c r="BY2718" s="23"/>
      <c r="BZ2718" s="23"/>
      <c r="CA2718" s="19" t="s">
        <v>19142</v>
      </c>
      <c r="CB2718" s="23"/>
      <c r="CC2718" s="23"/>
      <c r="CD2718" s="23"/>
      <c r="CE2718" s="23"/>
      <c r="CF2718" s="23"/>
      <c r="CG2718" s="23"/>
      <c r="CH2718" s="23"/>
      <c r="CI2718" s="23"/>
    </row>
    <row r="2719" spans="1:87" x14ac:dyDescent="0.3">
      <c r="A2719" s="9" t="s">
        <v>20357</v>
      </c>
      <c r="B2719" s="10" t="s">
        <v>20358</v>
      </c>
      <c r="C2719" s="11">
        <v>45983.291666666664</v>
      </c>
      <c r="D2719" s="12">
        <v>5.5555555555555552E-2</v>
      </c>
      <c r="E2719" s="11">
        <v>45983.347222222219</v>
      </c>
      <c r="F2719" s="22" t="s">
        <v>19136</v>
      </c>
      <c r="G2719" s="13" t="b">
        <v>0</v>
      </c>
      <c r="H2719" s="22" t="s">
        <v>9017</v>
      </c>
      <c r="I2719" s="10" t="s">
        <v>212</v>
      </c>
      <c r="J2719" s="13" t="b">
        <v>1</v>
      </c>
      <c r="K2719" s="13" t="b">
        <v>0</v>
      </c>
      <c r="L2719" s="10" t="s">
        <v>124</v>
      </c>
      <c r="M2719" s="10" t="s">
        <v>91</v>
      </c>
      <c r="N2719" s="10" t="s">
        <v>92</v>
      </c>
      <c r="O2719" s="19" t="s">
        <v>20359</v>
      </c>
      <c r="P2719" s="10"/>
      <c r="Q2719" s="10" t="s">
        <v>94</v>
      </c>
      <c r="R2719" s="10"/>
      <c r="S2719" s="19" t="s">
        <v>19862</v>
      </c>
      <c r="T2719" s="10"/>
      <c r="U2719" s="10"/>
      <c r="V2719" s="10"/>
      <c r="W2719" s="10" t="s">
        <v>19139</v>
      </c>
      <c r="X2719" s="10" t="s">
        <v>130</v>
      </c>
      <c r="Y2719" s="10" t="s">
        <v>130</v>
      </c>
      <c r="Z2719" s="10" t="s">
        <v>99</v>
      </c>
      <c r="AA2719" s="10" t="s">
        <v>131</v>
      </c>
      <c r="AB2719" s="10" t="s">
        <v>19140</v>
      </c>
      <c r="AC2719" s="10" t="s">
        <v>9022</v>
      </c>
      <c r="AD2719" s="10" t="s">
        <v>165</v>
      </c>
      <c r="AE2719" s="10" t="s">
        <v>20360</v>
      </c>
      <c r="AF2719" s="15"/>
      <c r="AG2719" s="10"/>
      <c r="AH2719" s="10"/>
      <c r="AI2719" s="10"/>
      <c r="AJ2719" s="10"/>
      <c r="AK2719" s="10" t="s">
        <v>102</v>
      </c>
      <c r="AL2719" s="10" t="s">
        <v>7897</v>
      </c>
      <c r="AM2719" s="10"/>
      <c r="AN2719" s="10"/>
      <c r="AO2719" s="13" t="b">
        <v>0</v>
      </c>
      <c r="AP2719" s="22" t="s">
        <v>104</v>
      </c>
      <c r="AQ2719" s="10">
        <f ca="1">IFERROR(__xludf.DUMMYFUNCTION("""COMPUTED_VALUE"""),4730511)</f>
        <v>4730511</v>
      </c>
      <c r="AR2719" s="17">
        <v>528</v>
      </c>
      <c r="AS2719" s="17">
        <v>449</v>
      </c>
      <c r="AT2719" s="17">
        <v>3820.25</v>
      </c>
      <c r="AU2719" s="17">
        <v>0</v>
      </c>
      <c r="AV2719" s="17">
        <v>0</v>
      </c>
      <c r="AW2719" s="10" t="s">
        <v>105</v>
      </c>
      <c r="AX2719" s="17">
        <v>78</v>
      </c>
      <c r="AY2719" s="18">
        <v>8.5083518930957691</v>
      </c>
      <c r="AZ2719" s="10"/>
      <c r="BA2719" s="20" t="b">
        <v>0</v>
      </c>
      <c r="BB2719" s="10" t="s">
        <v>20325</v>
      </c>
      <c r="BC2719" s="17">
        <v>528</v>
      </c>
      <c r="BD2719" s="17">
        <v>449</v>
      </c>
      <c r="BE2719" s="17">
        <v>3820.25</v>
      </c>
      <c r="BF2719" s="17">
        <v>0</v>
      </c>
      <c r="BG2719" s="11">
        <f ca="1">IFERROR(__xludf.DUMMYFUNCTION("""COMPUTED_VALUE"""),45983.2916666666)</f>
        <v>45983.291666666599</v>
      </c>
      <c r="BH2719" s="17" t="s">
        <v>105</v>
      </c>
      <c r="BI2719" s="17"/>
      <c r="BJ2719" s="15"/>
      <c r="BK2719" s="15"/>
      <c r="BL2719" s="13" t="b">
        <v>0</v>
      </c>
      <c r="BM2719" s="10"/>
      <c r="BN2719" s="10" t="s">
        <v>19455</v>
      </c>
      <c r="BO2719" s="11">
        <v>45982.768750000003</v>
      </c>
      <c r="BP2719" s="11">
        <v>45982.769513888888</v>
      </c>
      <c r="BQ2719" s="15"/>
      <c r="BR2719" s="15">
        <v>45982.93105324074</v>
      </c>
      <c r="BS2719" s="10" t="s">
        <v>19455</v>
      </c>
      <c r="BT2719" s="10"/>
      <c r="BU2719" s="10"/>
      <c r="BV2719" s="10"/>
      <c r="BW2719" s="10"/>
      <c r="BX2719" s="10"/>
      <c r="BY2719" s="23"/>
      <c r="BZ2719" s="23"/>
      <c r="CA2719" s="19" t="s">
        <v>19142</v>
      </c>
      <c r="CB2719" s="23"/>
      <c r="CC2719" s="23"/>
      <c r="CD2719" s="23"/>
      <c r="CE2719" s="23"/>
      <c r="CF2719" s="23"/>
      <c r="CG2719" s="23"/>
      <c r="CH2719" s="23"/>
      <c r="CI2719" s="23"/>
    </row>
    <row r="2720" spans="1:87" x14ac:dyDescent="0.3">
      <c r="A2720" s="9" t="s">
        <v>20361</v>
      </c>
      <c r="B2720" s="10" t="s">
        <v>20362</v>
      </c>
      <c r="C2720" s="11">
        <v>45983.347222222219</v>
      </c>
      <c r="D2720" s="12">
        <v>5.5555555555555552E-2</v>
      </c>
      <c r="E2720" s="11">
        <v>45983.402777777781</v>
      </c>
      <c r="F2720" s="22" t="s">
        <v>19136</v>
      </c>
      <c r="G2720" s="13" t="b">
        <v>0</v>
      </c>
      <c r="H2720" s="22" t="s">
        <v>9017</v>
      </c>
      <c r="I2720" s="10" t="s">
        <v>212</v>
      </c>
      <c r="J2720" s="13" t="b">
        <v>1</v>
      </c>
      <c r="K2720" s="13" t="b">
        <v>0</v>
      </c>
      <c r="L2720" s="10" t="s">
        <v>124</v>
      </c>
      <c r="M2720" s="10" t="s">
        <v>91</v>
      </c>
      <c r="N2720" s="10" t="s">
        <v>92</v>
      </c>
      <c r="O2720" s="19" t="s">
        <v>20363</v>
      </c>
      <c r="P2720" s="10"/>
      <c r="Q2720" s="10" t="s">
        <v>94</v>
      </c>
      <c r="R2720" s="10"/>
      <c r="S2720" s="19" t="s">
        <v>19862</v>
      </c>
      <c r="T2720" s="10"/>
      <c r="U2720" s="10"/>
      <c r="V2720" s="10"/>
      <c r="W2720" s="10" t="s">
        <v>19139</v>
      </c>
      <c r="X2720" s="10" t="s">
        <v>130</v>
      </c>
      <c r="Y2720" s="10" t="s">
        <v>130</v>
      </c>
      <c r="Z2720" s="10" t="s">
        <v>99</v>
      </c>
      <c r="AA2720" s="10" t="s">
        <v>131</v>
      </c>
      <c r="AB2720" s="10" t="s">
        <v>19140</v>
      </c>
      <c r="AC2720" s="10" t="s">
        <v>9022</v>
      </c>
      <c r="AD2720" s="10" t="s">
        <v>165</v>
      </c>
      <c r="AE2720" s="10" t="s">
        <v>20364</v>
      </c>
      <c r="AF2720" s="15"/>
      <c r="AG2720" s="10"/>
      <c r="AH2720" s="10"/>
      <c r="AI2720" s="10"/>
      <c r="AJ2720" s="10"/>
      <c r="AK2720" s="10" t="s">
        <v>102</v>
      </c>
      <c r="AL2720" s="10" t="s">
        <v>7897</v>
      </c>
      <c r="AM2720" s="10"/>
      <c r="AN2720" s="10"/>
      <c r="AO2720" s="13" t="b">
        <v>0</v>
      </c>
      <c r="AP2720" s="22" t="s">
        <v>104</v>
      </c>
      <c r="AQ2720" s="10">
        <f ca="1">IFERROR(__xludf.DUMMYFUNCTION("""COMPUTED_VALUE"""),4730512)</f>
        <v>4730512</v>
      </c>
      <c r="AR2720" s="17">
        <v>426</v>
      </c>
      <c r="AS2720" s="17">
        <v>329</v>
      </c>
      <c r="AT2720" s="17">
        <v>2056.25</v>
      </c>
      <c r="AU2720" s="17">
        <v>0</v>
      </c>
      <c r="AV2720" s="17">
        <v>0</v>
      </c>
      <c r="AW2720" s="10" t="s">
        <v>105</v>
      </c>
      <c r="AX2720" s="17">
        <v>83</v>
      </c>
      <c r="AY2720" s="18">
        <v>6.25</v>
      </c>
      <c r="AZ2720" s="10"/>
      <c r="BA2720" s="20" t="b">
        <v>0</v>
      </c>
      <c r="BB2720" s="10" t="s">
        <v>20325</v>
      </c>
      <c r="BC2720" s="17">
        <v>426</v>
      </c>
      <c r="BD2720" s="17">
        <v>329</v>
      </c>
      <c r="BE2720" s="17">
        <v>2056.25</v>
      </c>
      <c r="BF2720" s="17">
        <v>0</v>
      </c>
      <c r="BG2720" s="11">
        <f ca="1">IFERROR(__xludf.DUMMYFUNCTION("""COMPUTED_VALUE"""),45983.3472222222)</f>
        <v>45983.347222222197</v>
      </c>
      <c r="BH2720" s="17" t="s">
        <v>105</v>
      </c>
      <c r="BI2720" s="17"/>
      <c r="BJ2720" s="15"/>
      <c r="BK2720" s="15"/>
      <c r="BL2720" s="13" t="b">
        <v>0</v>
      </c>
      <c r="BM2720" s="10"/>
      <c r="BN2720" s="10" t="s">
        <v>19455</v>
      </c>
      <c r="BO2720" s="11">
        <v>45982.769444444442</v>
      </c>
      <c r="BP2720" s="11">
        <v>45982.769629629627</v>
      </c>
      <c r="BQ2720" s="15"/>
      <c r="BR2720" s="15">
        <v>45982.931273148148</v>
      </c>
      <c r="BS2720" s="10" t="s">
        <v>19455</v>
      </c>
      <c r="BT2720" s="10"/>
      <c r="BU2720" s="10"/>
      <c r="BV2720" s="10"/>
      <c r="BW2720" s="10"/>
      <c r="BX2720" s="10"/>
      <c r="BY2720" s="23"/>
      <c r="BZ2720" s="23"/>
      <c r="CA2720" s="19" t="s">
        <v>19142</v>
      </c>
      <c r="CB2720" s="23"/>
      <c r="CC2720" s="23"/>
      <c r="CD2720" s="23"/>
      <c r="CE2720" s="23"/>
      <c r="CF2720" s="23"/>
      <c r="CG2720" s="23"/>
      <c r="CH2720" s="23"/>
      <c r="CI2720" s="23"/>
    </row>
    <row r="2721" spans="1:87" x14ac:dyDescent="0.3">
      <c r="A2721" s="9" t="s">
        <v>20365</v>
      </c>
      <c r="B2721" s="10" t="s">
        <v>20366</v>
      </c>
      <c r="C2721" s="11">
        <v>45983.402777777781</v>
      </c>
      <c r="D2721" s="12">
        <v>5.5555555555555552E-2</v>
      </c>
      <c r="E2721" s="11">
        <v>45983.458333333336</v>
      </c>
      <c r="F2721" s="22" t="s">
        <v>19136</v>
      </c>
      <c r="G2721" s="13" t="b">
        <v>0</v>
      </c>
      <c r="H2721" s="22" t="s">
        <v>9017</v>
      </c>
      <c r="I2721" s="10" t="s">
        <v>212</v>
      </c>
      <c r="J2721" s="13" t="b">
        <v>1</v>
      </c>
      <c r="K2721" s="13" t="b">
        <v>0</v>
      </c>
      <c r="L2721" s="10" t="s">
        <v>124</v>
      </c>
      <c r="M2721" s="10" t="s">
        <v>91</v>
      </c>
      <c r="N2721" s="10" t="s">
        <v>92</v>
      </c>
      <c r="O2721" s="19" t="s">
        <v>20367</v>
      </c>
      <c r="P2721" s="10"/>
      <c r="Q2721" s="10" t="s">
        <v>94</v>
      </c>
      <c r="R2721" s="10"/>
      <c r="S2721" s="19" t="s">
        <v>19862</v>
      </c>
      <c r="T2721" s="10"/>
      <c r="U2721" s="10"/>
      <c r="V2721" s="10"/>
      <c r="W2721" s="10" t="s">
        <v>19139</v>
      </c>
      <c r="X2721" s="10" t="s">
        <v>130</v>
      </c>
      <c r="Y2721" s="10" t="s">
        <v>130</v>
      </c>
      <c r="Z2721" s="10" t="s">
        <v>99</v>
      </c>
      <c r="AA2721" s="10" t="s">
        <v>131</v>
      </c>
      <c r="AB2721" s="10" t="s">
        <v>19140</v>
      </c>
      <c r="AC2721" s="10" t="s">
        <v>9022</v>
      </c>
      <c r="AD2721" s="10" t="s">
        <v>165</v>
      </c>
      <c r="AE2721" s="10" t="s">
        <v>20368</v>
      </c>
      <c r="AF2721" s="15"/>
      <c r="AG2721" s="10"/>
      <c r="AH2721" s="10"/>
      <c r="AI2721" s="10"/>
      <c r="AJ2721" s="10"/>
      <c r="AK2721" s="10" t="s">
        <v>102</v>
      </c>
      <c r="AL2721" s="10" t="s">
        <v>7897</v>
      </c>
      <c r="AM2721" s="10"/>
      <c r="AN2721" s="10"/>
      <c r="AO2721" s="13" t="b">
        <v>0</v>
      </c>
      <c r="AP2721" s="22" t="s">
        <v>104</v>
      </c>
      <c r="AQ2721" s="10">
        <f ca="1">IFERROR(__xludf.DUMMYFUNCTION("""COMPUTED_VALUE"""),4730513)</f>
        <v>4730513</v>
      </c>
      <c r="AR2721" s="17">
        <v>529</v>
      </c>
      <c r="AS2721" s="17">
        <v>401</v>
      </c>
      <c r="AT2721" s="17">
        <v>2581.25</v>
      </c>
      <c r="AU2721" s="17">
        <v>0</v>
      </c>
      <c r="AV2721" s="17">
        <v>0</v>
      </c>
      <c r="AW2721" s="10" t="s">
        <v>105</v>
      </c>
      <c r="AX2721" s="17">
        <v>92</v>
      </c>
      <c r="AY2721" s="18">
        <v>6.4370324189526187</v>
      </c>
      <c r="AZ2721" s="10"/>
      <c r="BA2721" s="20" t="b">
        <v>0</v>
      </c>
      <c r="BB2721" s="10" t="s">
        <v>20325</v>
      </c>
      <c r="BC2721" s="17">
        <v>529</v>
      </c>
      <c r="BD2721" s="17">
        <v>401</v>
      </c>
      <c r="BE2721" s="17">
        <v>2581.25</v>
      </c>
      <c r="BF2721" s="17">
        <v>0</v>
      </c>
      <c r="BG2721" s="11">
        <f ca="1">IFERROR(__xludf.DUMMYFUNCTION("""COMPUTED_VALUE"""),45983.4027777777)</f>
        <v>45983.402777777701</v>
      </c>
      <c r="BH2721" s="17" t="s">
        <v>105</v>
      </c>
      <c r="BI2721" s="17"/>
      <c r="BJ2721" s="15"/>
      <c r="BK2721" s="15"/>
      <c r="BL2721" s="13" t="b">
        <v>0</v>
      </c>
      <c r="BM2721" s="10"/>
      <c r="BN2721" s="10" t="s">
        <v>19455</v>
      </c>
      <c r="BO2721" s="11">
        <v>45982.769444444442</v>
      </c>
      <c r="BP2721" s="11">
        <v>45982.769733796296</v>
      </c>
      <c r="BQ2721" s="15"/>
      <c r="BR2721" s="15">
        <v>45982.931446759256</v>
      </c>
      <c r="BS2721" s="10" t="s">
        <v>19455</v>
      </c>
      <c r="BT2721" s="10"/>
      <c r="BU2721" s="10"/>
      <c r="BV2721" s="10"/>
      <c r="BW2721" s="10"/>
      <c r="BX2721" s="10"/>
      <c r="BY2721" s="23"/>
      <c r="BZ2721" s="23"/>
      <c r="CA2721" s="19" t="s">
        <v>19142</v>
      </c>
      <c r="CB2721" s="23"/>
      <c r="CC2721" s="23"/>
      <c r="CD2721" s="23"/>
      <c r="CE2721" s="23"/>
      <c r="CF2721" s="23"/>
      <c r="CG2721" s="23"/>
      <c r="CH2721" s="23"/>
      <c r="CI2721" s="23"/>
    </row>
    <row r="2722" spans="1:87" x14ac:dyDescent="0.3">
      <c r="A2722" s="9" t="s">
        <v>20369</v>
      </c>
      <c r="B2722" s="10" t="s">
        <v>20370</v>
      </c>
      <c r="C2722" s="11">
        <v>45983.458333333336</v>
      </c>
      <c r="D2722" s="12">
        <v>5.5555555555555552E-2</v>
      </c>
      <c r="E2722" s="11">
        <v>45983.513888888891</v>
      </c>
      <c r="F2722" s="22" t="s">
        <v>19136</v>
      </c>
      <c r="G2722" s="13" t="b">
        <v>0</v>
      </c>
      <c r="H2722" s="22" t="s">
        <v>9017</v>
      </c>
      <c r="I2722" s="10" t="s">
        <v>212</v>
      </c>
      <c r="J2722" s="13" t="b">
        <v>1</v>
      </c>
      <c r="K2722" s="13" t="b">
        <v>0</v>
      </c>
      <c r="L2722" s="10" t="s">
        <v>124</v>
      </c>
      <c r="M2722" s="10" t="s">
        <v>91</v>
      </c>
      <c r="N2722" s="10" t="s">
        <v>92</v>
      </c>
      <c r="O2722" s="19" t="s">
        <v>20371</v>
      </c>
      <c r="P2722" s="10"/>
      <c r="Q2722" s="10" t="s">
        <v>94</v>
      </c>
      <c r="R2722" s="10"/>
      <c r="S2722" s="19" t="s">
        <v>19862</v>
      </c>
      <c r="T2722" s="10"/>
      <c r="U2722" s="10"/>
      <c r="V2722" s="10"/>
      <c r="W2722" s="10" t="s">
        <v>19139</v>
      </c>
      <c r="X2722" s="10" t="s">
        <v>130</v>
      </c>
      <c r="Y2722" s="10" t="s">
        <v>130</v>
      </c>
      <c r="Z2722" s="10" t="s">
        <v>99</v>
      </c>
      <c r="AA2722" s="10" t="s">
        <v>131</v>
      </c>
      <c r="AB2722" s="10" t="s">
        <v>19140</v>
      </c>
      <c r="AC2722" s="10" t="s">
        <v>9022</v>
      </c>
      <c r="AD2722" s="10" t="s">
        <v>165</v>
      </c>
      <c r="AE2722" s="10" t="s">
        <v>20372</v>
      </c>
      <c r="AF2722" s="15"/>
      <c r="AG2722" s="10"/>
      <c r="AH2722" s="10"/>
      <c r="AI2722" s="10"/>
      <c r="AJ2722" s="10"/>
      <c r="AK2722" s="10" t="s">
        <v>102</v>
      </c>
      <c r="AL2722" s="10" t="s">
        <v>7897</v>
      </c>
      <c r="AM2722" s="10"/>
      <c r="AN2722" s="10"/>
      <c r="AO2722" s="13" t="b">
        <v>0</v>
      </c>
      <c r="AP2722" s="22" t="s">
        <v>104</v>
      </c>
      <c r="AQ2722" s="10">
        <f ca="1">IFERROR(__xludf.DUMMYFUNCTION("""COMPUTED_VALUE"""),4730514)</f>
        <v>4730514</v>
      </c>
      <c r="AR2722" s="17">
        <v>571</v>
      </c>
      <c r="AS2722" s="17">
        <v>449</v>
      </c>
      <c r="AT2722" s="17">
        <v>2145</v>
      </c>
      <c r="AU2722" s="17">
        <v>0.5</v>
      </c>
      <c r="AV2722" s="17">
        <v>0</v>
      </c>
      <c r="AW2722" s="10" t="s">
        <v>105</v>
      </c>
      <c r="AX2722" s="17">
        <v>94</v>
      </c>
      <c r="AY2722" s="18">
        <v>4.7772828507795104</v>
      </c>
      <c r="AZ2722" s="10"/>
      <c r="BA2722" s="20" t="b">
        <v>0</v>
      </c>
      <c r="BB2722" s="10" t="s">
        <v>20325</v>
      </c>
      <c r="BC2722" s="17">
        <v>571</v>
      </c>
      <c r="BD2722" s="17">
        <v>449</v>
      </c>
      <c r="BE2722" s="17">
        <v>2145</v>
      </c>
      <c r="BF2722" s="17">
        <v>0</v>
      </c>
      <c r="BG2722" s="11">
        <f ca="1">IFERROR(__xludf.DUMMYFUNCTION("""COMPUTED_VALUE"""),45983.4583333333)</f>
        <v>45983.458333333299</v>
      </c>
      <c r="BH2722" s="17" t="s">
        <v>105</v>
      </c>
      <c r="BI2722" s="17"/>
      <c r="BJ2722" s="15"/>
      <c r="BK2722" s="15"/>
      <c r="BL2722" s="13" t="b">
        <v>0</v>
      </c>
      <c r="BM2722" s="10"/>
      <c r="BN2722" s="10" t="s">
        <v>19455</v>
      </c>
      <c r="BO2722" s="11">
        <v>45982.769444444442</v>
      </c>
      <c r="BP2722" s="11">
        <v>45982.769826388889</v>
      </c>
      <c r="BQ2722" s="15"/>
      <c r="BR2722" s="15">
        <v>45982.931597222225</v>
      </c>
      <c r="BS2722" s="10" t="s">
        <v>19455</v>
      </c>
      <c r="BT2722" s="10"/>
      <c r="BU2722" s="10"/>
      <c r="BV2722" s="10"/>
      <c r="BW2722" s="10"/>
      <c r="BX2722" s="10"/>
      <c r="BY2722" s="23"/>
      <c r="BZ2722" s="23"/>
      <c r="CA2722" s="19" t="s">
        <v>19142</v>
      </c>
      <c r="CB2722" s="23"/>
      <c r="CC2722" s="23"/>
      <c r="CD2722" s="23"/>
      <c r="CE2722" s="23"/>
      <c r="CF2722" s="23"/>
      <c r="CG2722" s="23"/>
      <c r="CH2722" s="23"/>
      <c r="CI2722" s="23"/>
    </row>
    <row r="2723" spans="1:87" x14ac:dyDescent="0.3">
      <c r="A2723" s="9" t="s">
        <v>20373</v>
      </c>
      <c r="B2723" s="10" t="s">
        <v>20374</v>
      </c>
      <c r="C2723" s="11">
        <v>45983.3125</v>
      </c>
      <c r="D2723" s="12">
        <v>5.5555555555555552E-2</v>
      </c>
      <c r="E2723" s="11">
        <v>45983.368055555555</v>
      </c>
      <c r="F2723" s="22" t="s">
        <v>19136</v>
      </c>
      <c r="G2723" s="13" t="b">
        <v>0</v>
      </c>
      <c r="H2723" s="22" t="s">
        <v>9017</v>
      </c>
      <c r="I2723" s="10" t="s">
        <v>212</v>
      </c>
      <c r="J2723" s="13" t="b">
        <v>1</v>
      </c>
      <c r="K2723" s="13" t="b">
        <v>0</v>
      </c>
      <c r="L2723" s="10" t="s">
        <v>124</v>
      </c>
      <c r="M2723" s="10" t="s">
        <v>91</v>
      </c>
      <c r="N2723" s="10" t="s">
        <v>92</v>
      </c>
      <c r="O2723" s="19" t="s">
        <v>20375</v>
      </c>
      <c r="P2723" s="10"/>
      <c r="Q2723" s="10" t="s">
        <v>94</v>
      </c>
      <c r="R2723" s="10"/>
      <c r="S2723" s="19" t="s">
        <v>19862</v>
      </c>
      <c r="T2723" s="10"/>
      <c r="U2723" s="10"/>
      <c r="V2723" s="10"/>
      <c r="W2723" s="10" t="s">
        <v>19139</v>
      </c>
      <c r="X2723" s="10" t="s">
        <v>130</v>
      </c>
      <c r="Y2723" s="10" t="s">
        <v>130</v>
      </c>
      <c r="Z2723" s="10" t="s">
        <v>99</v>
      </c>
      <c r="AA2723" s="10" t="s">
        <v>131</v>
      </c>
      <c r="AB2723" s="10" t="s">
        <v>19140</v>
      </c>
      <c r="AC2723" s="10" t="s">
        <v>9022</v>
      </c>
      <c r="AD2723" s="10" t="s">
        <v>165</v>
      </c>
      <c r="AE2723" s="10" t="s">
        <v>20376</v>
      </c>
      <c r="AF2723" s="15"/>
      <c r="AG2723" s="10"/>
      <c r="AH2723" s="10"/>
      <c r="AI2723" s="10"/>
      <c r="AJ2723" s="10"/>
      <c r="AK2723" s="10" t="s">
        <v>102</v>
      </c>
      <c r="AL2723" s="10" t="s">
        <v>7897</v>
      </c>
      <c r="AM2723" s="10"/>
      <c r="AN2723" s="10"/>
      <c r="AO2723" s="13" t="b">
        <v>0</v>
      </c>
      <c r="AP2723" s="22" t="s">
        <v>104</v>
      </c>
      <c r="AQ2723" s="10">
        <f ca="1">IFERROR(__xludf.DUMMYFUNCTION("""COMPUTED_VALUE"""),4730515)</f>
        <v>4730515</v>
      </c>
      <c r="AR2723" s="17">
        <v>634</v>
      </c>
      <c r="AS2723" s="17">
        <v>478</v>
      </c>
      <c r="AT2723" s="17">
        <v>4014.5</v>
      </c>
      <c r="AU2723" s="17">
        <v>0</v>
      </c>
      <c r="AV2723" s="17">
        <v>0</v>
      </c>
      <c r="AW2723" s="10" t="s">
        <v>105</v>
      </c>
      <c r="AX2723" s="17">
        <v>99</v>
      </c>
      <c r="AY2723" s="18">
        <v>8.3985355648535567</v>
      </c>
      <c r="AZ2723" s="10"/>
      <c r="BA2723" s="20" t="b">
        <v>0</v>
      </c>
      <c r="BB2723" s="10" t="s">
        <v>20329</v>
      </c>
      <c r="BC2723" s="17">
        <v>634</v>
      </c>
      <c r="BD2723" s="17">
        <v>478</v>
      </c>
      <c r="BE2723" s="17">
        <v>4014.5</v>
      </c>
      <c r="BF2723" s="17">
        <v>0</v>
      </c>
      <c r="BG2723" s="11">
        <f ca="1">IFERROR(__xludf.DUMMYFUNCTION("""COMPUTED_VALUE"""),45983.3125)</f>
        <v>45983.3125</v>
      </c>
      <c r="BH2723" s="17" t="s">
        <v>105</v>
      </c>
      <c r="BI2723" s="17"/>
      <c r="BJ2723" s="15"/>
      <c r="BK2723" s="15"/>
      <c r="BL2723" s="13" t="b">
        <v>0</v>
      </c>
      <c r="BM2723" s="10"/>
      <c r="BN2723" s="10" t="s">
        <v>19455</v>
      </c>
      <c r="BO2723" s="11">
        <v>45982.770833333336</v>
      </c>
      <c r="BP2723" s="11">
        <v>45982.775023148148</v>
      </c>
      <c r="BQ2723" s="15"/>
      <c r="BR2723" s="15">
        <v>45982.969872685186</v>
      </c>
      <c r="BS2723" s="10" t="s">
        <v>19455</v>
      </c>
      <c r="BT2723" s="10"/>
      <c r="BU2723" s="10"/>
      <c r="BV2723" s="10"/>
      <c r="BW2723" s="10"/>
      <c r="BX2723" s="10"/>
      <c r="BY2723" s="23"/>
      <c r="BZ2723" s="23"/>
      <c r="CA2723" s="19" t="s">
        <v>19142</v>
      </c>
      <c r="CB2723" s="23"/>
      <c r="CC2723" s="23"/>
      <c r="CD2723" s="23"/>
      <c r="CE2723" s="23"/>
      <c r="CF2723" s="23"/>
      <c r="CG2723" s="23"/>
      <c r="CH2723" s="23"/>
      <c r="CI2723" s="23"/>
    </row>
    <row r="2724" spans="1:87" x14ac:dyDescent="0.3">
      <c r="A2724" s="9" t="s">
        <v>20377</v>
      </c>
      <c r="B2724" s="10" t="s">
        <v>20378</v>
      </c>
      <c r="C2724" s="11">
        <v>45983.368055555555</v>
      </c>
      <c r="D2724" s="12">
        <v>5.5555555555555552E-2</v>
      </c>
      <c r="E2724" s="11">
        <v>45983.423611111109</v>
      </c>
      <c r="F2724" s="22" t="s">
        <v>19136</v>
      </c>
      <c r="G2724" s="13" t="b">
        <v>0</v>
      </c>
      <c r="H2724" s="22" t="s">
        <v>9017</v>
      </c>
      <c r="I2724" s="10" t="s">
        <v>212</v>
      </c>
      <c r="J2724" s="13" t="b">
        <v>1</v>
      </c>
      <c r="K2724" s="13" t="b">
        <v>0</v>
      </c>
      <c r="L2724" s="10" t="s">
        <v>124</v>
      </c>
      <c r="M2724" s="10" t="s">
        <v>91</v>
      </c>
      <c r="N2724" s="10" t="s">
        <v>92</v>
      </c>
      <c r="O2724" s="19" t="s">
        <v>20379</v>
      </c>
      <c r="P2724" s="10"/>
      <c r="Q2724" s="10" t="s">
        <v>94</v>
      </c>
      <c r="R2724" s="10"/>
      <c r="S2724" s="19" t="s">
        <v>19862</v>
      </c>
      <c r="T2724" s="10"/>
      <c r="U2724" s="10"/>
      <c r="V2724" s="10"/>
      <c r="W2724" s="10" t="s">
        <v>19139</v>
      </c>
      <c r="X2724" s="10" t="s">
        <v>130</v>
      </c>
      <c r="Y2724" s="10" t="s">
        <v>130</v>
      </c>
      <c r="Z2724" s="10" t="s">
        <v>99</v>
      </c>
      <c r="AA2724" s="10" t="s">
        <v>131</v>
      </c>
      <c r="AB2724" s="10" t="s">
        <v>19140</v>
      </c>
      <c r="AC2724" s="10" t="s">
        <v>9022</v>
      </c>
      <c r="AD2724" s="10" t="s">
        <v>165</v>
      </c>
      <c r="AE2724" s="10" t="s">
        <v>20380</v>
      </c>
      <c r="AF2724" s="15"/>
      <c r="AG2724" s="10"/>
      <c r="AH2724" s="10"/>
      <c r="AI2724" s="10"/>
      <c r="AJ2724" s="10"/>
      <c r="AK2724" s="10" t="s">
        <v>102</v>
      </c>
      <c r="AL2724" s="10" t="s">
        <v>7897</v>
      </c>
      <c r="AM2724" s="10"/>
      <c r="AN2724" s="10"/>
      <c r="AO2724" s="13" t="b">
        <v>0</v>
      </c>
      <c r="AP2724" s="22" t="s">
        <v>104</v>
      </c>
      <c r="AQ2724" s="10">
        <f ca="1">IFERROR(__xludf.DUMMYFUNCTION("""COMPUTED_VALUE"""),4730516)</f>
        <v>4730516</v>
      </c>
      <c r="AR2724" s="17">
        <v>1033</v>
      </c>
      <c r="AS2724" s="17">
        <v>712</v>
      </c>
      <c r="AT2724" s="17">
        <v>8093.25</v>
      </c>
      <c r="AU2724" s="17">
        <v>0</v>
      </c>
      <c r="AV2724" s="17">
        <v>0</v>
      </c>
      <c r="AW2724" s="10" t="s">
        <v>105</v>
      </c>
      <c r="AX2724" s="17">
        <v>194</v>
      </c>
      <c r="AY2724" s="18">
        <v>11.366924157303371</v>
      </c>
      <c r="AZ2724" s="10"/>
      <c r="BA2724" s="20" t="b">
        <v>0</v>
      </c>
      <c r="BB2724" s="10" t="s">
        <v>20329</v>
      </c>
      <c r="BC2724" s="17">
        <v>1033</v>
      </c>
      <c r="BD2724" s="17">
        <v>712</v>
      </c>
      <c r="BE2724" s="17">
        <v>8093.25</v>
      </c>
      <c r="BF2724" s="17">
        <v>0</v>
      </c>
      <c r="BG2724" s="11">
        <f ca="1">IFERROR(__xludf.DUMMYFUNCTION("""COMPUTED_VALUE"""),45983.3680555555)</f>
        <v>45983.368055555497</v>
      </c>
      <c r="BH2724" s="17" t="s">
        <v>105</v>
      </c>
      <c r="BI2724" s="17"/>
      <c r="BJ2724" s="15"/>
      <c r="BK2724" s="15"/>
      <c r="BL2724" s="13" t="b">
        <v>0</v>
      </c>
      <c r="BM2724" s="10"/>
      <c r="BN2724" s="10" t="s">
        <v>19455</v>
      </c>
      <c r="BO2724" s="11">
        <v>45982.770833333336</v>
      </c>
      <c r="BP2724" s="11">
        <v>45982.771307870367</v>
      </c>
      <c r="BQ2724" s="15"/>
      <c r="BR2724" s="15">
        <v>45982.970092592594</v>
      </c>
      <c r="BS2724" s="10" t="s">
        <v>19455</v>
      </c>
      <c r="BT2724" s="10"/>
      <c r="BU2724" s="10"/>
      <c r="BV2724" s="10"/>
      <c r="BW2724" s="10"/>
      <c r="BX2724" s="10"/>
      <c r="BY2724" s="23"/>
      <c r="BZ2724" s="23"/>
      <c r="CA2724" s="19" t="s">
        <v>19142</v>
      </c>
      <c r="CB2724" s="23"/>
      <c r="CC2724" s="23"/>
      <c r="CD2724" s="23"/>
      <c r="CE2724" s="23"/>
      <c r="CF2724" s="23"/>
      <c r="CG2724" s="23"/>
      <c r="CH2724" s="23"/>
      <c r="CI2724" s="23"/>
    </row>
    <row r="2725" spans="1:87" x14ac:dyDescent="0.3">
      <c r="A2725" s="9" t="s">
        <v>20381</v>
      </c>
      <c r="B2725" s="10" t="s">
        <v>20382</v>
      </c>
      <c r="C2725" s="11">
        <v>45983.423611111109</v>
      </c>
      <c r="D2725" s="12">
        <v>5.5555555555555552E-2</v>
      </c>
      <c r="E2725" s="11">
        <v>45983.479166666664</v>
      </c>
      <c r="F2725" s="22" t="s">
        <v>19136</v>
      </c>
      <c r="G2725" s="13" t="b">
        <v>0</v>
      </c>
      <c r="H2725" s="22" t="s">
        <v>9017</v>
      </c>
      <c r="I2725" s="10" t="s">
        <v>212</v>
      </c>
      <c r="J2725" s="13" t="b">
        <v>1</v>
      </c>
      <c r="K2725" s="13" t="b">
        <v>0</v>
      </c>
      <c r="L2725" s="10" t="s">
        <v>124</v>
      </c>
      <c r="M2725" s="10" t="s">
        <v>91</v>
      </c>
      <c r="N2725" s="10" t="s">
        <v>92</v>
      </c>
      <c r="O2725" s="19" t="s">
        <v>20383</v>
      </c>
      <c r="P2725" s="10"/>
      <c r="Q2725" s="10" t="s">
        <v>94</v>
      </c>
      <c r="R2725" s="10"/>
      <c r="S2725" s="19" t="s">
        <v>19862</v>
      </c>
      <c r="T2725" s="10"/>
      <c r="U2725" s="10"/>
      <c r="V2725" s="10"/>
      <c r="W2725" s="10" t="s">
        <v>19139</v>
      </c>
      <c r="X2725" s="10" t="s">
        <v>130</v>
      </c>
      <c r="Y2725" s="10" t="s">
        <v>130</v>
      </c>
      <c r="Z2725" s="10" t="s">
        <v>99</v>
      </c>
      <c r="AA2725" s="10" t="s">
        <v>131</v>
      </c>
      <c r="AB2725" s="10" t="s">
        <v>19140</v>
      </c>
      <c r="AC2725" s="10" t="s">
        <v>9022</v>
      </c>
      <c r="AD2725" s="10" t="s">
        <v>165</v>
      </c>
      <c r="AE2725" s="10" t="s">
        <v>20384</v>
      </c>
      <c r="AF2725" s="15"/>
      <c r="AG2725" s="10"/>
      <c r="AH2725" s="10"/>
      <c r="AI2725" s="10"/>
      <c r="AJ2725" s="10"/>
      <c r="AK2725" s="10" t="s">
        <v>102</v>
      </c>
      <c r="AL2725" s="10" t="s">
        <v>7897</v>
      </c>
      <c r="AM2725" s="10"/>
      <c r="AN2725" s="10"/>
      <c r="AO2725" s="13" t="b">
        <v>0</v>
      </c>
      <c r="AP2725" s="22" t="s">
        <v>104</v>
      </c>
      <c r="AQ2725" s="10">
        <f ca="1">IFERROR(__xludf.DUMMYFUNCTION("""COMPUTED_VALUE"""),4730517)</f>
        <v>4730517</v>
      </c>
      <c r="AR2725" s="17">
        <v>804</v>
      </c>
      <c r="AS2725" s="17">
        <v>638</v>
      </c>
      <c r="AT2725" s="17">
        <v>5083.25</v>
      </c>
      <c r="AU2725" s="17">
        <v>0</v>
      </c>
      <c r="AV2725" s="17">
        <v>0</v>
      </c>
      <c r="AW2725" s="10" t="s">
        <v>105</v>
      </c>
      <c r="AX2725" s="17">
        <v>202</v>
      </c>
      <c r="AY2725" s="18">
        <v>7.967476489028213</v>
      </c>
      <c r="AZ2725" s="10"/>
      <c r="BA2725" s="20" t="b">
        <v>0</v>
      </c>
      <c r="BB2725" s="10" t="s">
        <v>20329</v>
      </c>
      <c r="BC2725" s="17">
        <v>804</v>
      </c>
      <c r="BD2725" s="17">
        <v>638</v>
      </c>
      <c r="BE2725" s="17">
        <v>5083.25</v>
      </c>
      <c r="BF2725" s="17">
        <v>0</v>
      </c>
      <c r="BG2725" s="11">
        <f ca="1">IFERROR(__xludf.DUMMYFUNCTION("""COMPUTED_VALUE"""),45983.4236111111)</f>
        <v>45983.423611111102</v>
      </c>
      <c r="BH2725" s="17" t="s">
        <v>105</v>
      </c>
      <c r="BI2725" s="17"/>
      <c r="BJ2725" s="15"/>
      <c r="BK2725" s="15"/>
      <c r="BL2725" s="13" t="b">
        <v>0</v>
      </c>
      <c r="BM2725" s="10"/>
      <c r="BN2725" s="10" t="s">
        <v>19455</v>
      </c>
      <c r="BO2725" s="11">
        <v>45982.775000000001</v>
      </c>
      <c r="BP2725" s="11">
        <v>45982.775127314817</v>
      </c>
      <c r="BQ2725" s="15"/>
      <c r="BR2725" s="15">
        <v>45982.970312500001</v>
      </c>
      <c r="BS2725" s="10" t="s">
        <v>19455</v>
      </c>
      <c r="BT2725" s="10"/>
      <c r="BU2725" s="10"/>
      <c r="BV2725" s="10"/>
      <c r="BW2725" s="10"/>
      <c r="BX2725" s="10"/>
      <c r="BY2725" s="23"/>
      <c r="BZ2725" s="23"/>
      <c r="CA2725" s="19" t="s">
        <v>19142</v>
      </c>
      <c r="CB2725" s="23"/>
      <c r="CC2725" s="23"/>
      <c r="CD2725" s="23"/>
      <c r="CE2725" s="23"/>
      <c r="CF2725" s="23"/>
      <c r="CG2725" s="23"/>
      <c r="CH2725" s="23"/>
      <c r="CI2725" s="23"/>
    </row>
    <row r="2726" spans="1:87" x14ac:dyDescent="0.3">
      <c r="A2726" s="9" t="s">
        <v>20385</v>
      </c>
      <c r="B2726" s="10" t="s">
        <v>20386</v>
      </c>
      <c r="C2726" s="11">
        <v>45983.479166666664</v>
      </c>
      <c r="D2726" s="12">
        <v>5.5555555555555552E-2</v>
      </c>
      <c r="E2726" s="11">
        <v>45983.534722222219</v>
      </c>
      <c r="F2726" s="22" t="s">
        <v>19136</v>
      </c>
      <c r="G2726" s="13" t="b">
        <v>0</v>
      </c>
      <c r="H2726" s="22" t="s">
        <v>9017</v>
      </c>
      <c r="I2726" s="10" t="s">
        <v>212</v>
      </c>
      <c r="J2726" s="13" t="b">
        <v>1</v>
      </c>
      <c r="K2726" s="13" t="b">
        <v>0</v>
      </c>
      <c r="L2726" s="10" t="s">
        <v>124</v>
      </c>
      <c r="M2726" s="10" t="s">
        <v>91</v>
      </c>
      <c r="N2726" s="10" t="s">
        <v>92</v>
      </c>
      <c r="O2726" s="19" t="s">
        <v>20387</v>
      </c>
      <c r="P2726" s="10"/>
      <c r="Q2726" s="10" t="s">
        <v>94</v>
      </c>
      <c r="R2726" s="10"/>
      <c r="S2726" s="19" t="s">
        <v>19862</v>
      </c>
      <c r="T2726" s="10"/>
      <c r="U2726" s="10"/>
      <c r="V2726" s="10"/>
      <c r="W2726" s="10" t="s">
        <v>19139</v>
      </c>
      <c r="X2726" s="10" t="s">
        <v>130</v>
      </c>
      <c r="Y2726" s="10" t="s">
        <v>130</v>
      </c>
      <c r="Z2726" s="10" t="s">
        <v>99</v>
      </c>
      <c r="AA2726" s="10" t="s">
        <v>131</v>
      </c>
      <c r="AB2726" s="10" t="s">
        <v>19140</v>
      </c>
      <c r="AC2726" s="10" t="s">
        <v>9022</v>
      </c>
      <c r="AD2726" s="10" t="s">
        <v>165</v>
      </c>
      <c r="AE2726" s="10" t="s">
        <v>20388</v>
      </c>
      <c r="AF2726" s="15"/>
      <c r="AG2726" s="10"/>
      <c r="AH2726" s="10"/>
      <c r="AI2726" s="10"/>
      <c r="AJ2726" s="10"/>
      <c r="AK2726" s="10" t="s">
        <v>102</v>
      </c>
      <c r="AL2726" s="10" t="s">
        <v>7897</v>
      </c>
      <c r="AM2726" s="10"/>
      <c r="AN2726" s="10"/>
      <c r="AO2726" s="13" t="b">
        <v>0</v>
      </c>
      <c r="AP2726" s="22" t="s">
        <v>104</v>
      </c>
      <c r="AQ2726" s="10">
        <f ca="1">IFERROR(__xludf.DUMMYFUNCTION("""COMPUTED_VALUE"""),4730518)</f>
        <v>4730518</v>
      </c>
      <c r="AR2726" s="17">
        <v>1178</v>
      </c>
      <c r="AS2726" s="17">
        <v>942</v>
      </c>
      <c r="AT2726" s="17">
        <v>5684.25</v>
      </c>
      <c r="AU2726" s="17">
        <v>0</v>
      </c>
      <c r="AV2726" s="17">
        <v>0</v>
      </c>
      <c r="AW2726" s="10" t="s">
        <v>105</v>
      </c>
      <c r="AX2726" s="17">
        <v>169</v>
      </c>
      <c r="AY2726" s="18">
        <v>6.0342356687898091</v>
      </c>
      <c r="AZ2726" s="10"/>
      <c r="BA2726" s="20" t="b">
        <v>0</v>
      </c>
      <c r="BB2726" s="10" t="s">
        <v>20329</v>
      </c>
      <c r="BC2726" s="17">
        <v>1178</v>
      </c>
      <c r="BD2726" s="17">
        <v>942</v>
      </c>
      <c r="BE2726" s="17">
        <v>5684.25</v>
      </c>
      <c r="BF2726" s="17">
        <v>0</v>
      </c>
      <c r="BG2726" s="11">
        <f ca="1">IFERROR(__xludf.DUMMYFUNCTION("""COMPUTED_VALUE"""),45983.4791666666)</f>
        <v>45983.479166666599</v>
      </c>
      <c r="BH2726" s="17" t="s">
        <v>105</v>
      </c>
      <c r="BI2726" s="17"/>
      <c r="BJ2726" s="15"/>
      <c r="BK2726" s="15"/>
      <c r="BL2726" s="13" t="b">
        <v>0</v>
      </c>
      <c r="BM2726" s="10"/>
      <c r="BN2726" s="10" t="s">
        <v>19455</v>
      </c>
      <c r="BO2726" s="11">
        <v>45982.775000000001</v>
      </c>
      <c r="BP2726" s="11">
        <v>45982.775208333333</v>
      </c>
      <c r="BQ2726" s="15"/>
      <c r="BR2726" s="15">
        <v>45982.970613425925</v>
      </c>
      <c r="BS2726" s="10" t="s">
        <v>19455</v>
      </c>
      <c r="BT2726" s="10"/>
      <c r="BU2726" s="10"/>
      <c r="BV2726" s="10"/>
      <c r="BW2726" s="10"/>
      <c r="BX2726" s="10"/>
      <c r="BY2726" s="23"/>
      <c r="BZ2726" s="23"/>
      <c r="CA2726" s="19" t="s">
        <v>19142</v>
      </c>
      <c r="CB2726" s="23"/>
      <c r="CC2726" s="23"/>
      <c r="CD2726" s="23"/>
      <c r="CE2726" s="23"/>
      <c r="CF2726" s="23"/>
      <c r="CG2726" s="23"/>
      <c r="CH2726" s="23"/>
      <c r="CI2726" s="23"/>
    </row>
    <row r="2727" spans="1:87" x14ac:dyDescent="0.3">
      <c r="A2727" s="9" t="s">
        <v>20389</v>
      </c>
      <c r="B2727" s="10" t="s">
        <v>20390</v>
      </c>
      <c r="C2727" s="11">
        <v>45984.291666666664</v>
      </c>
      <c r="D2727" s="12">
        <v>0.3125</v>
      </c>
      <c r="E2727" s="11">
        <v>45984.604166666664</v>
      </c>
      <c r="F2727" s="22" t="s">
        <v>19136</v>
      </c>
      <c r="G2727" s="13" t="b">
        <v>0</v>
      </c>
      <c r="H2727" s="22" t="s">
        <v>9017</v>
      </c>
      <c r="I2727" s="10" t="s">
        <v>212</v>
      </c>
      <c r="J2727" s="13" t="b">
        <v>1</v>
      </c>
      <c r="K2727" s="13" t="b">
        <v>0</v>
      </c>
      <c r="L2727" s="10" t="s">
        <v>124</v>
      </c>
      <c r="M2727" s="10" t="s">
        <v>91</v>
      </c>
      <c r="N2727" s="10" t="s">
        <v>92</v>
      </c>
      <c r="O2727" s="19" t="s">
        <v>20391</v>
      </c>
      <c r="P2727" s="10"/>
      <c r="Q2727" s="10" t="s">
        <v>94</v>
      </c>
      <c r="R2727" s="10"/>
      <c r="S2727" s="19" t="s">
        <v>19862</v>
      </c>
      <c r="T2727" s="10"/>
      <c r="U2727" s="10"/>
      <c r="V2727" s="10"/>
      <c r="W2727" s="10" t="s">
        <v>19139</v>
      </c>
      <c r="X2727" s="10" t="s">
        <v>130</v>
      </c>
      <c r="Y2727" s="10" t="s">
        <v>130</v>
      </c>
      <c r="Z2727" s="10" t="s">
        <v>99</v>
      </c>
      <c r="AA2727" s="10" t="s">
        <v>131</v>
      </c>
      <c r="AB2727" s="10" t="s">
        <v>19140</v>
      </c>
      <c r="AC2727" s="10" t="s">
        <v>9022</v>
      </c>
      <c r="AD2727" s="10" t="s">
        <v>165</v>
      </c>
      <c r="AE2727" s="10" t="s">
        <v>20392</v>
      </c>
      <c r="AF2727" s="15"/>
      <c r="AG2727" s="10"/>
      <c r="AH2727" s="10"/>
      <c r="AI2727" s="10"/>
      <c r="AJ2727" s="10"/>
      <c r="AK2727" s="10" t="s">
        <v>102</v>
      </c>
      <c r="AL2727" s="10"/>
      <c r="AM2727" s="10"/>
      <c r="AN2727" s="10"/>
      <c r="AO2727" s="13" t="b">
        <v>0</v>
      </c>
      <c r="AP2727" s="22" t="s">
        <v>104</v>
      </c>
      <c r="AQ2727" s="10">
        <f ca="1">IFERROR(__xludf.DUMMYFUNCTION("""COMPUTED_VALUE"""),19921)</f>
        <v>19921</v>
      </c>
      <c r="AR2727" s="21">
        <v>88</v>
      </c>
      <c r="AS2727" s="21">
        <v>70</v>
      </c>
      <c r="AT2727" s="21">
        <v>106.25</v>
      </c>
      <c r="AU2727" s="21">
        <v>0</v>
      </c>
      <c r="AV2727" s="21">
        <v>0</v>
      </c>
      <c r="AW2727" s="22" t="s">
        <v>105</v>
      </c>
      <c r="AX2727" s="17"/>
      <c r="AY2727" s="18">
        <v>7.4101941747572813</v>
      </c>
      <c r="AZ2727" s="10"/>
      <c r="BA2727" s="20" t="b">
        <v>1</v>
      </c>
      <c r="BB2727" s="10"/>
      <c r="BC2727" s="17">
        <v>1796</v>
      </c>
      <c r="BD2727" s="17">
        <v>1339</v>
      </c>
      <c r="BE2727" s="17">
        <v>9922.25</v>
      </c>
      <c r="BF2727" s="17">
        <v>0</v>
      </c>
      <c r="BG2727" s="11">
        <f ca="1">IFERROR(__xludf.DUMMYFUNCTION("""COMPUTED_VALUE"""),45984.2916666666)</f>
        <v>45984.291666666599</v>
      </c>
      <c r="BH2727" s="17" t="s">
        <v>105</v>
      </c>
      <c r="BI2727" s="17"/>
      <c r="BJ2727" s="15"/>
      <c r="BK2727" s="15"/>
      <c r="BL2727" s="13" t="b">
        <v>0</v>
      </c>
      <c r="BM2727" s="10"/>
      <c r="BN2727" s="10" t="s">
        <v>6278</v>
      </c>
      <c r="BO2727" s="11">
        <v>45983.650694444441</v>
      </c>
      <c r="BP2727" s="11">
        <v>45983.651342592595</v>
      </c>
      <c r="BQ2727" s="15">
        <v>45983.654270833336</v>
      </c>
      <c r="BR2727" s="15">
        <v>45983.952499999999</v>
      </c>
      <c r="BS2727" s="10" t="s">
        <v>6278</v>
      </c>
      <c r="BT2727" s="10"/>
      <c r="BU2727" s="10"/>
      <c r="BV2727" s="10"/>
      <c r="BW2727" s="10"/>
      <c r="BX2727" s="10"/>
      <c r="BY2727" s="23"/>
      <c r="BZ2727" s="23"/>
      <c r="CA2727" s="19" t="s">
        <v>19142</v>
      </c>
      <c r="CB2727" s="23"/>
      <c r="CC2727" s="23"/>
      <c r="CD2727" s="23"/>
      <c r="CE2727" s="23"/>
      <c r="CF2727" s="23"/>
      <c r="CG2727" s="23"/>
      <c r="CH2727" s="23"/>
      <c r="CI2727" s="23"/>
    </row>
    <row r="2728" spans="1:87" x14ac:dyDescent="0.3">
      <c r="A2728" s="9" t="s">
        <v>20393</v>
      </c>
      <c r="B2728" s="10" t="s">
        <v>20394</v>
      </c>
      <c r="C2728" s="11">
        <v>45984.291666666664</v>
      </c>
      <c r="D2728" s="12">
        <v>0.3125</v>
      </c>
      <c r="E2728" s="11">
        <v>45984.604166666664</v>
      </c>
      <c r="F2728" s="22" t="s">
        <v>19136</v>
      </c>
      <c r="G2728" s="13" t="b">
        <v>0</v>
      </c>
      <c r="H2728" s="22" t="s">
        <v>9017</v>
      </c>
      <c r="I2728" s="10" t="s">
        <v>212</v>
      </c>
      <c r="J2728" s="13" t="b">
        <v>1</v>
      </c>
      <c r="K2728" s="13" t="b">
        <v>0</v>
      </c>
      <c r="L2728" s="10" t="s">
        <v>124</v>
      </c>
      <c r="M2728" s="10" t="s">
        <v>91</v>
      </c>
      <c r="N2728" s="10" t="s">
        <v>92</v>
      </c>
      <c r="O2728" s="19" t="s">
        <v>20395</v>
      </c>
      <c r="P2728" s="10"/>
      <c r="Q2728" s="10" t="s">
        <v>94</v>
      </c>
      <c r="R2728" s="10"/>
      <c r="S2728" s="19" t="s">
        <v>19862</v>
      </c>
      <c r="T2728" s="10"/>
      <c r="U2728" s="10"/>
      <c r="V2728" s="10"/>
      <c r="W2728" s="10" t="s">
        <v>19139</v>
      </c>
      <c r="X2728" s="10" t="s">
        <v>130</v>
      </c>
      <c r="Y2728" s="10" t="s">
        <v>130</v>
      </c>
      <c r="Z2728" s="10" t="s">
        <v>99</v>
      </c>
      <c r="AA2728" s="10" t="s">
        <v>131</v>
      </c>
      <c r="AB2728" s="10" t="s">
        <v>19140</v>
      </c>
      <c r="AC2728" s="10" t="s">
        <v>9022</v>
      </c>
      <c r="AD2728" s="10" t="s">
        <v>165</v>
      </c>
      <c r="AE2728" s="10" t="s">
        <v>20396</v>
      </c>
      <c r="AF2728" s="15"/>
      <c r="AG2728" s="10"/>
      <c r="AH2728" s="10"/>
      <c r="AI2728" s="10"/>
      <c r="AJ2728" s="10"/>
      <c r="AK2728" s="10" t="s">
        <v>102</v>
      </c>
      <c r="AL2728" s="10"/>
      <c r="AM2728" s="10"/>
      <c r="AN2728" s="10"/>
      <c r="AO2728" s="13" t="b">
        <v>0</v>
      </c>
      <c r="AP2728" s="22" t="s">
        <v>104</v>
      </c>
      <c r="AQ2728" s="10">
        <f ca="1">IFERROR(__xludf.DUMMYFUNCTION("""COMPUTED_VALUE"""),19922)</f>
        <v>19922</v>
      </c>
      <c r="AR2728" s="21">
        <v>50</v>
      </c>
      <c r="AS2728" s="21">
        <v>47</v>
      </c>
      <c r="AT2728" s="21">
        <v>564.75</v>
      </c>
      <c r="AU2728" s="21">
        <v>0</v>
      </c>
      <c r="AV2728" s="21">
        <v>0</v>
      </c>
      <c r="AW2728" s="22" t="s">
        <v>105</v>
      </c>
      <c r="AX2728" s="17"/>
      <c r="AY2728" s="18">
        <v>11.683411214953271</v>
      </c>
      <c r="AZ2728" s="10"/>
      <c r="BA2728" s="20" t="b">
        <v>1</v>
      </c>
      <c r="BB2728" s="10"/>
      <c r="BC2728" s="17">
        <v>1759</v>
      </c>
      <c r="BD2728" s="17">
        <v>1284</v>
      </c>
      <c r="BE2728" s="17">
        <v>15001.5</v>
      </c>
      <c r="BF2728" s="17">
        <v>0</v>
      </c>
      <c r="BG2728" s="11">
        <f ca="1">IFERROR(__xludf.DUMMYFUNCTION("""COMPUTED_VALUE"""),45984.2916666666)</f>
        <v>45984.291666666599</v>
      </c>
      <c r="BH2728" s="17" t="s">
        <v>105</v>
      </c>
      <c r="BI2728" s="17"/>
      <c r="BJ2728" s="15"/>
      <c r="BK2728" s="15"/>
      <c r="BL2728" s="13" t="b">
        <v>0</v>
      </c>
      <c r="BM2728" s="10"/>
      <c r="BN2728" s="10" t="s">
        <v>19455</v>
      </c>
      <c r="BO2728" s="11">
        <v>45983.652777777781</v>
      </c>
      <c r="BP2728" s="11">
        <v>45983.653171296297</v>
      </c>
      <c r="BQ2728" s="15">
        <v>45983.654224537036</v>
      </c>
      <c r="BR2728" s="15">
        <v>45983.960081018522</v>
      </c>
      <c r="BS2728" s="10" t="s">
        <v>19455</v>
      </c>
      <c r="BT2728" s="10"/>
      <c r="BU2728" s="10"/>
      <c r="BV2728" s="10"/>
      <c r="BW2728" s="10"/>
      <c r="BX2728" s="10"/>
      <c r="BY2728" s="23"/>
      <c r="BZ2728" s="23"/>
      <c r="CA2728" s="19" t="s">
        <v>19142</v>
      </c>
      <c r="CB2728" s="23"/>
      <c r="CC2728" s="23"/>
      <c r="CD2728" s="23"/>
      <c r="CE2728" s="23"/>
      <c r="CF2728" s="23"/>
      <c r="CG2728" s="23"/>
      <c r="CH2728" s="23"/>
      <c r="CI2728" s="23"/>
    </row>
    <row r="2729" spans="1:87" x14ac:dyDescent="0.3">
      <c r="A2729" s="9" t="s">
        <v>20397</v>
      </c>
      <c r="B2729" s="10" t="s">
        <v>20398</v>
      </c>
      <c r="C2729" s="11">
        <v>45984.291666666664</v>
      </c>
      <c r="D2729" s="12">
        <v>5.5555555555555552E-2</v>
      </c>
      <c r="E2729" s="11">
        <v>45984.347222222219</v>
      </c>
      <c r="F2729" s="22" t="s">
        <v>19136</v>
      </c>
      <c r="G2729" s="13" t="b">
        <v>0</v>
      </c>
      <c r="H2729" s="22" t="s">
        <v>9017</v>
      </c>
      <c r="I2729" s="10" t="s">
        <v>212</v>
      </c>
      <c r="J2729" s="13" t="b">
        <v>1</v>
      </c>
      <c r="K2729" s="13" t="b">
        <v>0</v>
      </c>
      <c r="L2729" s="10" t="s">
        <v>124</v>
      </c>
      <c r="M2729" s="10" t="s">
        <v>91</v>
      </c>
      <c r="N2729" s="10" t="s">
        <v>92</v>
      </c>
      <c r="O2729" s="19" t="s">
        <v>20399</v>
      </c>
      <c r="P2729" s="10"/>
      <c r="Q2729" s="10" t="s">
        <v>94</v>
      </c>
      <c r="R2729" s="10"/>
      <c r="S2729" s="19" t="s">
        <v>19862</v>
      </c>
      <c r="T2729" s="10"/>
      <c r="U2729" s="10"/>
      <c r="V2729" s="10"/>
      <c r="W2729" s="10" t="s">
        <v>19139</v>
      </c>
      <c r="X2729" s="10" t="s">
        <v>130</v>
      </c>
      <c r="Y2729" s="10" t="s">
        <v>130</v>
      </c>
      <c r="Z2729" s="10" t="s">
        <v>99</v>
      </c>
      <c r="AA2729" s="10" t="s">
        <v>131</v>
      </c>
      <c r="AB2729" s="10" t="s">
        <v>19140</v>
      </c>
      <c r="AC2729" s="10" t="s">
        <v>9022</v>
      </c>
      <c r="AD2729" s="10" t="s">
        <v>165</v>
      </c>
      <c r="AE2729" s="10" t="s">
        <v>20400</v>
      </c>
      <c r="AF2729" s="15"/>
      <c r="AG2729" s="10"/>
      <c r="AH2729" s="10"/>
      <c r="AI2729" s="10"/>
      <c r="AJ2729" s="10"/>
      <c r="AK2729" s="10" t="s">
        <v>102</v>
      </c>
      <c r="AL2729" s="10" t="s">
        <v>7897</v>
      </c>
      <c r="AM2729" s="10"/>
      <c r="AN2729" s="10"/>
      <c r="AO2729" s="13" t="b">
        <v>0</v>
      </c>
      <c r="AP2729" s="22" t="s">
        <v>104</v>
      </c>
      <c r="AQ2729" s="10">
        <f ca="1">IFERROR(__xludf.DUMMYFUNCTION("""COMPUTED_VALUE"""),4731887)</f>
        <v>4731887</v>
      </c>
      <c r="AR2729" s="17">
        <v>401</v>
      </c>
      <c r="AS2729" s="17">
        <v>320</v>
      </c>
      <c r="AT2729" s="17">
        <v>2489</v>
      </c>
      <c r="AU2729" s="17">
        <v>0</v>
      </c>
      <c r="AV2729" s="17">
        <v>0</v>
      </c>
      <c r="AW2729" s="10" t="s">
        <v>105</v>
      </c>
      <c r="AX2729" s="17">
        <v>87</v>
      </c>
      <c r="AY2729" s="18">
        <v>7.7781250000000002</v>
      </c>
      <c r="AZ2729" s="10"/>
      <c r="BA2729" s="20" t="b">
        <v>0</v>
      </c>
      <c r="BB2729" s="10" t="s">
        <v>20389</v>
      </c>
      <c r="BC2729" s="17">
        <v>401</v>
      </c>
      <c r="BD2729" s="17">
        <v>320</v>
      </c>
      <c r="BE2729" s="17">
        <v>2489</v>
      </c>
      <c r="BF2729" s="17">
        <v>0</v>
      </c>
      <c r="BG2729" s="11">
        <f ca="1">IFERROR(__xludf.DUMMYFUNCTION("""COMPUTED_VALUE"""),45984.2916666666)</f>
        <v>45984.291666666599</v>
      </c>
      <c r="BH2729" s="17" t="s">
        <v>105</v>
      </c>
      <c r="BI2729" s="17"/>
      <c r="BJ2729" s="15"/>
      <c r="BK2729" s="15"/>
      <c r="BL2729" s="13" t="b">
        <v>0</v>
      </c>
      <c r="BM2729" s="10"/>
      <c r="BN2729" s="10" t="s">
        <v>6278</v>
      </c>
      <c r="BO2729" s="11">
        <v>45983.660416666666</v>
      </c>
      <c r="BP2729" s="11">
        <v>45983.661087962966</v>
      </c>
      <c r="BQ2729" s="15"/>
      <c r="BR2729" s="15">
        <v>45983.950567129628</v>
      </c>
      <c r="BS2729" s="10" t="s">
        <v>6278</v>
      </c>
      <c r="BT2729" s="10"/>
      <c r="BU2729" s="10"/>
      <c r="BV2729" s="10"/>
      <c r="BW2729" s="10"/>
      <c r="BX2729" s="10"/>
      <c r="BY2729" s="23"/>
      <c r="BZ2729" s="23"/>
      <c r="CA2729" s="19" t="s">
        <v>19142</v>
      </c>
      <c r="CB2729" s="23"/>
      <c r="CC2729" s="23"/>
      <c r="CD2729" s="23"/>
      <c r="CE2729" s="23"/>
      <c r="CF2729" s="23"/>
      <c r="CG2729" s="23"/>
      <c r="CH2729" s="23"/>
      <c r="CI2729" s="23"/>
    </row>
    <row r="2730" spans="1:87" x14ac:dyDescent="0.3">
      <c r="A2730" s="9" t="s">
        <v>20401</v>
      </c>
      <c r="B2730" s="10" t="s">
        <v>20402</v>
      </c>
      <c r="C2730" s="11">
        <v>45984.347222222219</v>
      </c>
      <c r="D2730" s="12">
        <v>4.8611111111111112E-2</v>
      </c>
      <c r="E2730" s="11">
        <v>45984.395833333336</v>
      </c>
      <c r="F2730" s="22" t="s">
        <v>19136</v>
      </c>
      <c r="G2730" s="13" t="b">
        <v>0</v>
      </c>
      <c r="H2730" s="22" t="s">
        <v>9017</v>
      </c>
      <c r="I2730" s="10" t="s">
        <v>212</v>
      </c>
      <c r="J2730" s="13" t="b">
        <v>1</v>
      </c>
      <c r="K2730" s="13" t="b">
        <v>0</v>
      </c>
      <c r="L2730" s="10" t="s">
        <v>124</v>
      </c>
      <c r="M2730" s="10" t="s">
        <v>91</v>
      </c>
      <c r="N2730" s="10" t="s">
        <v>92</v>
      </c>
      <c r="O2730" s="19" t="s">
        <v>20403</v>
      </c>
      <c r="P2730" s="10"/>
      <c r="Q2730" s="10" t="s">
        <v>94</v>
      </c>
      <c r="R2730" s="10"/>
      <c r="S2730" s="19" t="s">
        <v>19862</v>
      </c>
      <c r="T2730" s="10"/>
      <c r="U2730" s="10"/>
      <c r="V2730" s="10"/>
      <c r="W2730" s="10" t="s">
        <v>19139</v>
      </c>
      <c r="X2730" s="10" t="s">
        <v>130</v>
      </c>
      <c r="Y2730" s="10" t="s">
        <v>130</v>
      </c>
      <c r="Z2730" s="10" t="s">
        <v>99</v>
      </c>
      <c r="AA2730" s="10" t="s">
        <v>131</v>
      </c>
      <c r="AB2730" s="10" t="s">
        <v>19140</v>
      </c>
      <c r="AC2730" s="10" t="s">
        <v>9022</v>
      </c>
      <c r="AD2730" s="10" t="s">
        <v>165</v>
      </c>
      <c r="AE2730" s="10" t="s">
        <v>20404</v>
      </c>
      <c r="AF2730" s="15"/>
      <c r="AG2730" s="10"/>
      <c r="AH2730" s="10"/>
      <c r="AI2730" s="10"/>
      <c r="AJ2730" s="10"/>
      <c r="AK2730" s="10" t="s">
        <v>102</v>
      </c>
      <c r="AL2730" s="10" t="s">
        <v>7897</v>
      </c>
      <c r="AM2730" s="10"/>
      <c r="AN2730" s="10"/>
      <c r="AO2730" s="13" t="b">
        <v>0</v>
      </c>
      <c r="AP2730" s="22" t="s">
        <v>104</v>
      </c>
      <c r="AQ2730" s="10">
        <f ca="1">IFERROR(__xludf.DUMMYFUNCTION("""COMPUTED_VALUE"""),4731888)</f>
        <v>4731888</v>
      </c>
      <c r="AR2730" s="17">
        <v>535</v>
      </c>
      <c r="AS2730" s="17">
        <v>418</v>
      </c>
      <c r="AT2730" s="17">
        <v>3770.5</v>
      </c>
      <c r="AU2730" s="17">
        <v>0.6</v>
      </c>
      <c r="AV2730" s="17">
        <v>0</v>
      </c>
      <c r="AW2730" s="10" t="s">
        <v>105</v>
      </c>
      <c r="AX2730" s="17">
        <v>92</v>
      </c>
      <c r="AY2730" s="18">
        <v>9.0203349282296656</v>
      </c>
      <c r="AZ2730" s="10"/>
      <c r="BA2730" s="20" t="b">
        <v>0</v>
      </c>
      <c r="BB2730" s="10" t="s">
        <v>20389</v>
      </c>
      <c r="BC2730" s="17">
        <v>535</v>
      </c>
      <c r="BD2730" s="17">
        <v>418</v>
      </c>
      <c r="BE2730" s="17">
        <v>3770.5</v>
      </c>
      <c r="BF2730" s="17">
        <v>0</v>
      </c>
      <c r="BG2730" s="11">
        <f ca="1">IFERROR(__xludf.DUMMYFUNCTION("""COMPUTED_VALUE"""),45984.3472222222)</f>
        <v>45984.347222222197</v>
      </c>
      <c r="BH2730" s="17" t="s">
        <v>105</v>
      </c>
      <c r="BI2730" s="17"/>
      <c r="BJ2730" s="15"/>
      <c r="BK2730" s="15"/>
      <c r="BL2730" s="13" t="b">
        <v>0</v>
      </c>
      <c r="BM2730" s="10"/>
      <c r="BN2730" s="10" t="s">
        <v>6278</v>
      </c>
      <c r="BO2730" s="11">
        <v>45983.661111111112</v>
      </c>
      <c r="BP2730" s="11">
        <v>45983.661168981482</v>
      </c>
      <c r="BQ2730" s="15"/>
      <c r="BR2730" s="15">
        <v>45983.951342592591</v>
      </c>
      <c r="BS2730" s="10" t="s">
        <v>6278</v>
      </c>
      <c r="BT2730" s="10"/>
      <c r="BU2730" s="10"/>
      <c r="BV2730" s="10"/>
      <c r="BW2730" s="10"/>
      <c r="BX2730" s="10"/>
      <c r="BY2730" s="23"/>
      <c r="BZ2730" s="23"/>
      <c r="CA2730" s="19" t="s">
        <v>19142</v>
      </c>
      <c r="CB2730" s="23"/>
      <c r="CC2730" s="23"/>
      <c r="CD2730" s="23"/>
      <c r="CE2730" s="23"/>
      <c r="CF2730" s="23"/>
      <c r="CG2730" s="23"/>
      <c r="CH2730" s="23"/>
      <c r="CI2730" s="23"/>
    </row>
    <row r="2731" spans="1:87" x14ac:dyDescent="0.3">
      <c r="A2731" s="9" t="s">
        <v>20405</v>
      </c>
      <c r="B2731" s="10" t="s">
        <v>20406</v>
      </c>
      <c r="C2731" s="11">
        <v>45984.395833333336</v>
      </c>
      <c r="D2731" s="12">
        <v>4.8611111111111112E-2</v>
      </c>
      <c r="E2731" s="11">
        <v>45984.444444444445</v>
      </c>
      <c r="F2731" s="22" t="s">
        <v>19136</v>
      </c>
      <c r="G2731" s="13" t="b">
        <v>0</v>
      </c>
      <c r="H2731" s="22" t="s">
        <v>9017</v>
      </c>
      <c r="I2731" s="10" t="s">
        <v>212</v>
      </c>
      <c r="J2731" s="13" t="b">
        <v>1</v>
      </c>
      <c r="K2731" s="13" t="b">
        <v>0</v>
      </c>
      <c r="L2731" s="10" t="s">
        <v>124</v>
      </c>
      <c r="M2731" s="10" t="s">
        <v>91</v>
      </c>
      <c r="N2731" s="10" t="s">
        <v>92</v>
      </c>
      <c r="O2731" s="19" t="s">
        <v>20407</v>
      </c>
      <c r="P2731" s="10"/>
      <c r="Q2731" s="10" t="s">
        <v>94</v>
      </c>
      <c r="R2731" s="10"/>
      <c r="S2731" s="19" t="s">
        <v>19862</v>
      </c>
      <c r="T2731" s="10"/>
      <c r="U2731" s="10"/>
      <c r="V2731" s="10"/>
      <c r="W2731" s="10" t="s">
        <v>19139</v>
      </c>
      <c r="X2731" s="10" t="s">
        <v>130</v>
      </c>
      <c r="Y2731" s="10" t="s">
        <v>130</v>
      </c>
      <c r="Z2731" s="10" t="s">
        <v>99</v>
      </c>
      <c r="AA2731" s="10" t="s">
        <v>131</v>
      </c>
      <c r="AB2731" s="10" t="s">
        <v>19140</v>
      </c>
      <c r="AC2731" s="10" t="s">
        <v>9022</v>
      </c>
      <c r="AD2731" s="10" t="s">
        <v>165</v>
      </c>
      <c r="AE2731" s="10" t="s">
        <v>20408</v>
      </c>
      <c r="AF2731" s="15"/>
      <c r="AG2731" s="10"/>
      <c r="AH2731" s="10"/>
      <c r="AI2731" s="10"/>
      <c r="AJ2731" s="10"/>
      <c r="AK2731" s="10" t="s">
        <v>102</v>
      </c>
      <c r="AL2731" s="10" t="s">
        <v>7897</v>
      </c>
      <c r="AM2731" s="10"/>
      <c r="AN2731" s="10"/>
      <c r="AO2731" s="13" t="b">
        <v>0</v>
      </c>
      <c r="AP2731" s="22" t="s">
        <v>104</v>
      </c>
      <c r="AQ2731" s="10">
        <f ca="1">IFERROR(__xludf.DUMMYFUNCTION("""COMPUTED_VALUE"""),4731889)</f>
        <v>4731889</v>
      </c>
      <c r="AR2731" s="17">
        <v>242</v>
      </c>
      <c r="AS2731" s="17">
        <v>155</v>
      </c>
      <c r="AT2731" s="17">
        <v>1426.25</v>
      </c>
      <c r="AU2731" s="17">
        <v>0</v>
      </c>
      <c r="AV2731" s="17">
        <v>0</v>
      </c>
      <c r="AW2731" s="10" t="s">
        <v>105</v>
      </c>
      <c r="AX2731" s="17">
        <v>77</v>
      </c>
      <c r="AY2731" s="18">
        <v>9.2016129032258061</v>
      </c>
      <c r="AZ2731" s="10"/>
      <c r="BA2731" s="20" t="b">
        <v>0</v>
      </c>
      <c r="BB2731" s="10" t="s">
        <v>20389</v>
      </c>
      <c r="BC2731" s="17">
        <v>242</v>
      </c>
      <c r="BD2731" s="17">
        <v>155</v>
      </c>
      <c r="BE2731" s="17">
        <v>1426.25</v>
      </c>
      <c r="BF2731" s="17">
        <v>0</v>
      </c>
      <c r="BG2731" s="11">
        <f ca="1">IFERROR(__xludf.DUMMYFUNCTION("""COMPUTED_VALUE"""),45984.3958333333)</f>
        <v>45984.395833333299</v>
      </c>
      <c r="BH2731" s="17" t="s">
        <v>105</v>
      </c>
      <c r="BI2731" s="17"/>
      <c r="BJ2731" s="15"/>
      <c r="BK2731" s="15"/>
      <c r="BL2731" s="13" t="b">
        <v>0</v>
      </c>
      <c r="BM2731" s="10"/>
      <c r="BN2731" s="10" t="s">
        <v>6278</v>
      </c>
      <c r="BO2731" s="11">
        <v>45983.661111111112</v>
      </c>
      <c r="BP2731" s="11">
        <v>45983.661273148151</v>
      </c>
      <c r="BQ2731" s="15"/>
      <c r="BR2731" s="15">
        <v>45983.951493055552</v>
      </c>
      <c r="BS2731" s="10" t="s">
        <v>6278</v>
      </c>
      <c r="BT2731" s="10"/>
      <c r="BU2731" s="10"/>
      <c r="BV2731" s="10"/>
      <c r="BW2731" s="10"/>
      <c r="BX2731" s="10"/>
      <c r="BY2731" s="23"/>
      <c r="BZ2731" s="23"/>
      <c r="CA2731" s="19" t="s">
        <v>19142</v>
      </c>
      <c r="CB2731" s="23"/>
      <c r="CC2731" s="23"/>
      <c r="CD2731" s="23"/>
      <c r="CE2731" s="23"/>
      <c r="CF2731" s="23"/>
      <c r="CG2731" s="23"/>
      <c r="CH2731" s="23"/>
      <c r="CI2731" s="23"/>
    </row>
    <row r="2732" spans="1:87" x14ac:dyDescent="0.3">
      <c r="A2732" s="9" t="s">
        <v>20409</v>
      </c>
      <c r="B2732" s="10" t="s">
        <v>20410</v>
      </c>
      <c r="C2732" s="11">
        <v>45984.444444444445</v>
      </c>
      <c r="D2732" s="12">
        <v>4.8611111111111112E-2</v>
      </c>
      <c r="E2732" s="11">
        <v>45984.493055555555</v>
      </c>
      <c r="F2732" s="22" t="s">
        <v>19136</v>
      </c>
      <c r="G2732" s="13" t="b">
        <v>0</v>
      </c>
      <c r="H2732" s="22" t="s">
        <v>9017</v>
      </c>
      <c r="I2732" s="10" t="s">
        <v>212</v>
      </c>
      <c r="J2732" s="13" t="b">
        <v>1</v>
      </c>
      <c r="K2732" s="13" t="b">
        <v>0</v>
      </c>
      <c r="L2732" s="10" t="s">
        <v>124</v>
      </c>
      <c r="M2732" s="10" t="s">
        <v>91</v>
      </c>
      <c r="N2732" s="10" t="s">
        <v>92</v>
      </c>
      <c r="O2732" s="19" t="s">
        <v>20411</v>
      </c>
      <c r="P2732" s="10"/>
      <c r="Q2732" s="10" t="s">
        <v>94</v>
      </c>
      <c r="R2732" s="10"/>
      <c r="S2732" s="19" t="s">
        <v>19862</v>
      </c>
      <c r="T2732" s="10"/>
      <c r="U2732" s="10"/>
      <c r="V2732" s="10"/>
      <c r="W2732" s="10" t="s">
        <v>19139</v>
      </c>
      <c r="X2732" s="10" t="s">
        <v>130</v>
      </c>
      <c r="Y2732" s="10" t="s">
        <v>130</v>
      </c>
      <c r="Z2732" s="10" t="s">
        <v>99</v>
      </c>
      <c r="AA2732" s="10" t="s">
        <v>131</v>
      </c>
      <c r="AB2732" s="10" t="s">
        <v>19140</v>
      </c>
      <c r="AC2732" s="10" t="s">
        <v>9022</v>
      </c>
      <c r="AD2732" s="10" t="s">
        <v>165</v>
      </c>
      <c r="AE2732" s="10" t="s">
        <v>20412</v>
      </c>
      <c r="AF2732" s="15"/>
      <c r="AG2732" s="10"/>
      <c r="AH2732" s="10"/>
      <c r="AI2732" s="10"/>
      <c r="AJ2732" s="10"/>
      <c r="AK2732" s="10" t="s">
        <v>102</v>
      </c>
      <c r="AL2732" s="10" t="s">
        <v>7897</v>
      </c>
      <c r="AM2732" s="10"/>
      <c r="AN2732" s="10"/>
      <c r="AO2732" s="13" t="b">
        <v>0</v>
      </c>
      <c r="AP2732" s="22" t="s">
        <v>104</v>
      </c>
      <c r="AQ2732" s="10">
        <f ca="1">IFERROR(__xludf.DUMMYFUNCTION("""COMPUTED_VALUE"""),4731890)</f>
        <v>4731890</v>
      </c>
      <c r="AR2732" s="21">
        <v>246</v>
      </c>
      <c r="AS2732" s="21">
        <v>141</v>
      </c>
      <c r="AT2732" s="21">
        <v>1239</v>
      </c>
      <c r="AU2732" s="21">
        <v>1</v>
      </c>
      <c r="AV2732" s="21">
        <v>0</v>
      </c>
      <c r="AW2732" s="22" t="s">
        <v>105</v>
      </c>
      <c r="AX2732" s="21">
        <v>55</v>
      </c>
      <c r="AY2732" s="18">
        <v>8.787234042553191</v>
      </c>
      <c r="AZ2732" s="10"/>
      <c r="BA2732" s="20" t="b">
        <v>0</v>
      </c>
      <c r="BB2732" s="10" t="s">
        <v>20389</v>
      </c>
      <c r="BC2732" s="17">
        <v>246</v>
      </c>
      <c r="BD2732" s="17">
        <v>141</v>
      </c>
      <c r="BE2732" s="17">
        <v>1239</v>
      </c>
      <c r="BF2732" s="17">
        <v>0</v>
      </c>
      <c r="BG2732" s="11">
        <f ca="1">IFERROR(__xludf.DUMMYFUNCTION("""COMPUTED_VALUE"""),45984.4444444444)</f>
        <v>45984.444444444402</v>
      </c>
      <c r="BH2732" s="17" t="s">
        <v>105</v>
      </c>
      <c r="BI2732" s="17"/>
      <c r="BJ2732" s="15"/>
      <c r="BK2732" s="15"/>
      <c r="BL2732" s="13" t="b">
        <v>0</v>
      </c>
      <c r="BM2732" s="10" t="s">
        <v>240</v>
      </c>
      <c r="BN2732" s="10" t="s">
        <v>351</v>
      </c>
      <c r="BO2732" s="11">
        <v>45983.661111111112</v>
      </c>
      <c r="BP2732" s="11">
        <v>45984.4609837963</v>
      </c>
      <c r="BQ2732" s="15"/>
      <c r="BR2732" s="15">
        <v>45983.951655092591</v>
      </c>
      <c r="BS2732" s="10" t="s">
        <v>351</v>
      </c>
      <c r="BT2732" s="10"/>
      <c r="BU2732" s="10"/>
      <c r="BV2732" s="10"/>
      <c r="BW2732" s="10"/>
      <c r="BX2732" s="10"/>
      <c r="BY2732" s="23"/>
      <c r="BZ2732" s="23"/>
      <c r="CA2732" s="19" t="s">
        <v>19142</v>
      </c>
      <c r="CB2732" s="23"/>
      <c r="CC2732" s="23"/>
      <c r="CD2732" s="23"/>
      <c r="CE2732" s="23"/>
      <c r="CF2732" s="23"/>
      <c r="CG2732" s="23"/>
      <c r="CH2732" s="23"/>
      <c r="CI2732" s="23"/>
    </row>
    <row r="2733" spans="1:87" x14ac:dyDescent="0.3">
      <c r="A2733" s="9" t="s">
        <v>20413</v>
      </c>
      <c r="B2733" s="10" t="s">
        <v>20414</v>
      </c>
      <c r="C2733" s="11">
        <v>45984.493055555555</v>
      </c>
      <c r="D2733" s="12">
        <v>4.8611111111111112E-2</v>
      </c>
      <c r="E2733" s="11">
        <v>45984.541666666664</v>
      </c>
      <c r="F2733" s="22" t="s">
        <v>19136</v>
      </c>
      <c r="G2733" s="13" t="b">
        <v>0</v>
      </c>
      <c r="H2733" s="22" t="s">
        <v>9017</v>
      </c>
      <c r="I2733" s="10" t="s">
        <v>212</v>
      </c>
      <c r="J2733" s="13" t="b">
        <v>1</v>
      </c>
      <c r="K2733" s="13" t="b">
        <v>0</v>
      </c>
      <c r="L2733" s="10" t="s">
        <v>124</v>
      </c>
      <c r="M2733" s="10" t="s">
        <v>91</v>
      </c>
      <c r="N2733" s="10" t="s">
        <v>92</v>
      </c>
      <c r="O2733" s="19" t="s">
        <v>20415</v>
      </c>
      <c r="P2733" s="10"/>
      <c r="Q2733" s="10" t="s">
        <v>94</v>
      </c>
      <c r="R2733" s="10"/>
      <c r="S2733" s="19" t="s">
        <v>19862</v>
      </c>
      <c r="T2733" s="10"/>
      <c r="U2733" s="10"/>
      <c r="V2733" s="10"/>
      <c r="W2733" s="10" t="s">
        <v>19139</v>
      </c>
      <c r="X2733" s="10" t="s">
        <v>130</v>
      </c>
      <c r="Y2733" s="10" t="s">
        <v>130</v>
      </c>
      <c r="Z2733" s="10" t="s">
        <v>99</v>
      </c>
      <c r="AA2733" s="10" t="s">
        <v>131</v>
      </c>
      <c r="AB2733" s="10" t="s">
        <v>19140</v>
      </c>
      <c r="AC2733" s="10" t="s">
        <v>9022</v>
      </c>
      <c r="AD2733" s="10" t="s">
        <v>165</v>
      </c>
      <c r="AE2733" s="10" t="s">
        <v>20416</v>
      </c>
      <c r="AF2733" s="15"/>
      <c r="AG2733" s="10"/>
      <c r="AH2733" s="10"/>
      <c r="AI2733" s="10"/>
      <c r="AJ2733" s="10"/>
      <c r="AK2733" s="10" t="s">
        <v>102</v>
      </c>
      <c r="AL2733" s="10" t="s">
        <v>7897</v>
      </c>
      <c r="AM2733" s="10"/>
      <c r="AN2733" s="10"/>
      <c r="AO2733" s="13" t="b">
        <v>0</v>
      </c>
      <c r="AP2733" s="22" t="s">
        <v>104</v>
      </c>
      <c r="AQ2733" s="10">
        <f ca="1">IFERROR(__xludf.DUMMYFUNCTION("""COMPUTED_VALUE"""),4731891)</f>
        <v>4731891</v>
      </c>
      <c r="AR2733" s="17">
        <v>160</v>
      </c>
      <c r="AS2733" s="17">
        <v>131</v>
      </c>
      <c r="AT2733" s="17">
        <v>404</v>
      </c>
      <c r="AU2733" s="17">
        <v>0</v>
      </c>
      <c r="AV2733" s="17">
        <v>0</v>
      </c>
      <c r="AW2733" s="10" t="s">
        <v>105</v>
      </c>
      <c r="AX2733" s="17">
        <v>43</v>
      </c>
      <c r="AY2733" s="18">
        <v>3.0839694656488548</v>
      </c>
      <c r="AZ2733" s="10"/>
      <c r="BA2733" s="20" t="b">
        <v>0</v>
      </c>
      <c r="BB2733" s="10" t="s">
        <v>20389</v>
      </c>
      <c r="BC2733" s="17">
        <v>160</v>
      </c>
      <c r="BD2733" s="17">
        <v>131</v>
      </c>
      <c r="BE2733" s="17">
        <v>404</v>
      </c>
      <c r="BF2733" s="17">
        <v>0</v>
      </c>
      <c r="BG2733" s="11">
        <f ca="1">IFERROR(__xludf.DUMMYFUNCTION("""COMPUTED_VALUE"""),45984.4930555555)</f>
        <v>45984.493055555497</v>
      </c>
      <c r="BH2733" s="17" t="s">
        <v>105</v>
      </c>
      <c r="BI2733" s="17"/>
      <c r="BJ2733" s="15"/>
      <c r="BK2733" s="15"/>
      <c r="BL2733" s="13" t="b">
        <v>0</v>
      </c>
      <c r="BM2733" s="10"/>
      <c r="BN2733" s="10" t="s">
        <v>6278</v>
      </c>
      <c r="BO2733" s="11">
        <v>45983.661111111112</v>
      </c>
      <c r="BP2733" s="11">
        <v>45983.661597222221</v>
      </c>
      <c r="BQ2733" s="15"/>
      <c r="BR2733" s="15">
        <v>45983.951805555553</v>
      </c>
      <c r="BS2733" s="10" t="s">
        <v>6278</v>
      </c>
      <c r="BT2733" s="10"/>
      <c r="BU2733" s="10"/>
      <c r="BV2733" s="10"/>
      <c r="BW2733" s="10"/>
      <c r="BX2733" s="10"/>
      <c r="BY2733" s="23"/>
      <c r="BZ2733" s="23"/>
      <c r="CA2733" s="19" t="s">
        <v>19142</v>
      </c>
      <c r="CB2733" s="23"/>
      <c r="CC2733" s="23"/>
      <c r="CD2733" s="23"/>
      <c r="CE2733" s="23"/>
      <c r="CF2733" s="23"/>
      <c r="CG2733" s="23"/>
      <c r="CH2733" s="23"/>
      <c r="CI2733" s="23"/>
    </row>
    <row r="2734" spans="1:87" x14ac:dyDescent="0.3">
      <c r="A2734" s="9" t="s">
        <v>20417</v>
      </c>
      <c r="B2734" s="10" t="s">
        <v>20418</v>
      </c>
      <c r="C2734" s="11">
        <v>45984.541666666664</v>
      </c>
      <c r="D2734" s="12">
        <v>6.25E-2</v>
      </c>
      <c r="E2734" s="11">
        <v>45984.604166666664</v>
      </c>
      <c r="F2734" s="22" t="s">
        <v>19136</v>
      </c>
      <c r="G2734" s="13" t="b">
        <v>0</v>
      </c>
      <c r="H2734" s="22" t="s">
        <v>9017</v>
      </c>
      <c r="I2734" s="10" t="s">
        <v>212</v>
      </c>
      <c r="J2734" s="13" t="b">
        <v>1</v>
      </c>
      <c r="K2734" s="13" t="b">
        <v>0</v>
      </c>
      <c r="L2734" s="10" t="s">
        <v>124</v>
      </c>
      <c r="M2734" s="10" t="s">
        <v>91</v>
      </c>
      <c r="N2734" s="10" t="s">
        <v>92</v>
      </c>
      <c r="O2734" s="19" t="s">
        <v>20419</v>
      </c>
      <c r="P2734" s="10"/>
      <c r="Q2734" s="10" t="s">
        <v>94</v>
      </c>
      <c r="R2734" s="10"/>
      <c r="S2734" s="19" t="s">
        <v>19862</v>
      </c>
      <c r="T2734" s="10"/>
      <c r="U2734" s="10"/>
      <c r="V2734" s="10"/>
      <c r="W2734" s="10" t="s">
        <v>19139</v>
      </c>
      <c r="X2734" s="10" t="s">
        <v>130</v>
      </c>
      <c r="Y2734" s="10" t="s">
        <v>130</v>
      </c>
      <c r="Z2734" s="10" t="s">
        <v>99</v>
      </c>
      <c r="AA2734" s="10" t="s">
        <v>131</v>
      </c>
      <c r="AB2734" s="10" t="s">
        <v>19140</v>
      </c>
      <c r="AC2734" s="10" t="s">
        <v>9022</v>
      </c>
      <c r="AD2734" s="10" t="s">
        <v>165</v>
      </c>
      <c r="AE2734" s="10" t="s">
        <v>20420</v>
      </c>
      <c r="AF2734" s="15"/>
      <c r="AG2734" s="10"/>
      <c r="AH2734" s="10"/>
      <c r="AI2734" s="10"/>
      <c r="AJ2734" s="10"/>
      <c r="AK2734" s="10" t="s">
        <v>102</v>
      </c>
      <c r="AL2734" s="10" t="s">
        <v>7897</v>
      </c>
      <c r="AM2734" s="10"/>
      <c r="AN2734" s="10"/>
      <c r="AO2734" s="13" t="b">
        <v>0</v>
      </c>
      <c r="AP2734" s="22" t="s">
        <v>104</v>
      </c>
      <c r="AQ2734" s="10">
        <f ca="1">IFERROR(__xludf.DUMMYFUNCTION("""COMPUTED_VALUE"""),4731892)</f>
        <v>4731892</v>
      </c>
      <c r="AR2734" s="17">
        <v>124</v>
      </c>
      <c r="AS2734" s="17">
        <v>104</v>
      </c>
      <c r="AT2734" s="17">
        <v>487.25</v>
      </c>
      <c r="AU2734" s="17">
        <v>0</v>
      </c>
      <c r="AV2734" s="17">
        <v>0</v>
      </c>
      <c r="AW2734" s="10" t="s">
        <v>105</v>
      </c>
      <c r="AX2734" s="17">
        <v>21</v>
      </c>
      <c r="AY2734" s="18">
        <v>4.6850961538461542</v>
      </c>
      <c r="AZ2734" s="10"/>
      <c r="BA2734" s="20" t="b">
        <v>0</v>
      </c>
      <c r="BB2734" s="10" t="s">
        <v>20389</v>
      </c>
      <c r="BC2734" s="17">
        <v>124</v>
      </c>
      <c r="BD2734" s="17">
        <v>104</v>
      </c>
      <c r="BE2734" s="17">
        <v>487.25</v>
      </c>
      <c r="BF2734" s="17">
        <v>0</v>
      </c>
      <c r="BG2734" s="11">
        <f ca="1">IFERROR(__xludf.DUMMYFUNCTION("""COMPUTED_VALUE"""),45984.5416666666)</f>
        <v>45984.541666666599</v>
      </c>
      <c r="BH2734" s="17" t="s">
        <v>105</v>
      </c>
      <c r="BI2734" s="17"/>
      <c r="BJ2734" s="15"/>
      <c r="BK2734" s="15"/>
      <c r="BL2734" s="13" t="b">
        <v>0</v>
      </c>
      <c r="BM2734" s="10"/>
      <c r="BN2734" s="10" t="s">
        <v>6278</v>
      </c>
      <c r="BO2734" s="11">
        <v>45983.661111111112</v>
      </c>
      <c r="BP2734" s="11">
        <v>45983.661863425928</v>
      </c>
      <c r="BQ2734" s="15"/>
      <c r="BR2734" s="15">
        <v>45983.951944444445</v>
      </c>
      <c r="BS2734" s="10" t="s">
        <v>6278</v>
      </c>
      <c r="BT2734" s="10"/>
      <c r="BU2734" s="10"/>
      <c r="BV2734" s="10"/>
      <c r="BW2734" s="10"/>
      <c r="BX2734" s="10"/>
      <c r="BY2734" s="23"/>
      <c r="BZ2734" s="23"/>
      <c r="CA2734" s="19" t="s">
        <v>19142</v>
      </c>
      <c r="CB2734" s="23"/>
      <c r="CC2734" s="23"/>
      <c r="CD2734" s="23"/>
      <c r="CE2734" s="23"/>
      <c r="CF2734" s="23"/>
      <c r="CG2734" s="23"/>
      <c r="CH2734" s="23"/>
      <c r="CI2734" s="23"/>
    </row>
    <row r="2735" spans="1:87" x14ac:dyDescent="0.3">
      <c r="A2735" s="9" t="s">
        <v>20421</v>
      </c>
      <c r="B2735" s="10" t="s">
        <v>20422</v>
      </c>
      <c r="C2735" s="11">
        <v>45984.291666666664</v>
      </c>
      <c r="D2735" s="12">
        <v>5.5555555555555552E-2</v>
      </c>
      <c r="E2735" s="11">
        <v>45984.347222222219</v>
      </c>
      <c r="F2735" s="22" t="s">
        <v>19136</v>
      </c>
      <c r="G2735" s="13" t="b">
        <v>0</v>
      </c>
      <c r="H2735" s="22" t="s">
        <v>9017</v>
      </c>
      <c r="I2735" s="10" t="s">
        <v>212</v>
      </c>
      <c r="J2735" s="13" t="b">
        <v>1</v>
      </c>
      <c r="K2735" s="13" t="b">
        <v>0</v>
      </c>
      <c r="L2735" s="10" t="s">
        <v>124</v>
      </c>
      <c r="M2735" s="10" t="s">
        <v>91</v>
      </c>
      <c r="N2735" s="10" t="s">
        <v>92</v>
      </c>
      <c r="O2735" s="19" t="s">
        <v>20423</v>
      </c>
      <c r="P2735" s="10"/>
      <c r="Q2735" s="10" t="s">
        <v>94</v>
      </c>
      <c r="R2735" s="10"/>
      <c r="S2735" s="19" t="s">
        <v>19862</v>
      </c>
      <c r="T2735" s="10"/>
      <c r="U2735" s="10"/>
      <c r="V2735" s="10"/>
      <c r="W2735" s="10" t="s">
        <v>19139</v>
      </c>
      <c r="X2735" s="10" t="s">
        <v>130</v>
      </c>
      <c r="Y2735" s="10" t="s">
        <v>130</v>
      </c>
      <c r="Z2735" s="10" t="s">
        <v>99</v>
      </c>
      <c r="AA2735" s="10" t="s">
        <v>131</v>
      </c>
      <c r="AB2735" s="10" t="s">
        <v>19140</v>
      </c>
      <c r="AC2735" s="10" t="s">
        <v>9022</v>
      </c>
      <c r="AD2735" s="10" t="s">
        <v>165</v>
      </c>
      <c r="AE2735" s="10" t="s">
        <v>20424</v>
      </c>
      <c r="AF2735" s="15"/>
      <c r="AG2735" s="10"/>
      <c r="AH2735" s="10"/>
      <c r="AI2735" s="10"/>
      <c r="AJ2735" s="10"/>
      <c r="AK2735" s="10" t="s">
        <v>102</v>
      </c>
      <c r="AL2735" s="10" t="s">
        <v>7897</v>
      </c>
      <c r="AM2735" s="10"/>
      <c r="AN2735" s="10"/>
      <c r="AO2735" s="13" t="b">
        <v>0</v>
      </c>
      <c r="AP2735" s="22" t="s">
        <v>104</v>
      </c>
      <c r="AQ2735" s="10">
        <f ca="1">IFERROR(__xludf.DUMMYFUNCTION("""COMPUTED_VALUE"""),4731878)</f>
        <v>4731878</v>
      </c>
      <c r="AR2735" s="17">
        <v>348</v>
      </c>
      <c r="AS2735" s="17">
        <v>273</v>
      </c>
      <c r="AT2735" s="17">
        <v>4363.75</v>
      </c>
      <c r="AU2735" s="17">
        <v>0</v>
      </c>
      <c r="AV2735" s="17">
        <v>0</v>
      </c>
      <c r="AW2735" s="10" t="s">
        <v>105</v>
      </c>
      <c r="AX2735" s="17">
        <v>114</v>
      </c>
      <c r="AY2735" s="18">
        <v>15.984432234432234</v>
      </c>
      <c r="AZ2735" s="10"/>
      <c r="BA2735" s="20" t="b">
        <v>0</v>
      </c>
      <c r="BB2735" s="10" t="s">
        <v>20393</v>
      </c>
      <c r="BC2735" s="17">
        <v>348</v>
      </c>
      <c r="BD2735" s="17">
        <v>273</v>
      </c>
      <c r="BE2735" s="17">
        <v>4363.75</v>
      </c>
      <c r="BF2735" s="17">
        <v>0</v>
      </c>
      <c r="BG2735" s="11">
        <f ca="1">IFERROR(__xludf.DUMMYFUNCTION("""COMPUTED_VALUE"""),45984.2916666666)</f>
        <v>45984.291666666599</v>
      </c>
      <c r="BH2735" s="17" t="s">
        <v>105</v>
      </c>
      <c r="BI2735" s="17"/>
      <c r="BJ2735" s="15"/>
      <c r="BK2735" s="15"/>
      <c r="BL2735" s="13" t="b">
        <v>0</v>
      </c>
      <c r="BM2735" s="10"/>
      <c r="BN2735" s="10" t="s">
        <v>19455</v>
      </c>
      <c r="BO2735" s="11">
        <v>45983.663194444445</v>
      </c>
      <c r="BP2735" s="11">
        <v>45983.663518518515</v>
      </c>
      <c r="BQ2735" s="15"/>
      <c r="BR2735" s="15">
        <v>45983.953738425924</v>
      </c>
      <c r="BS2735" s="10" t="s">
        <v>19455</v>
      </c>
      <c r="BT2735" s="10"/>
      <c r="BU2735" s="10"/>
      <c r="BV2735" s="10"/>
      <c r="BW2735" s="10"/>
      <c r="BX2735" s="10"/>
      <c r="BY2735" s="23"/>
      <c r="BZ2735" s="23"/>
      <c r="CA2735" s="19" t="s">
        <v>19142</v>
      </c>
      <c r="CB2735" s="23"/>
      <c r="CC2735" s="23"/>
      <c r="CD2735" s="23"/>
      <c r="CE2735" s="23"/>
      <c r="CF2735" s="23"/>
      <c r="CG2735" s="23"/>
      <c r="CH2735" s="23"/>
      <c r="CI2735" s="23"/>
    </row>
    <row r="2736" spans="1:87" x14ac:dyDescent="0.3">
      <c r="A2736" s="9" t="s">
        <v>20425</v>
      </c>
      <c r="B2736" s="10" t="s">
        <v>20426</v>
      </c>
      <c r="C2736" s="11">
        <v>45984.347222222219</v>
      </c>
      <c r="D2736" s="12">
        <v>4.8611111111111112E-2</v>
      </c>
      <c r="E2736" s="11">
        <v>45984.395833333336</v>
      </c>
      <c r="F2736" s="22" t="s">
        <v>19136</v>
      </c>
      <c r="G2736" s="13" t="b">
        <v>0</v>
      </c>
      <c r="H2736" s="22" t="s">
        <v>9017</v>
      </c>
      <c r="I2736" s="10" t="s">
        <v>212</v>
      </c>
      <c r="J2736" s="13" t="b">
        <v>1</v>
      </c>
      <c r="K2736" s="13" t="b">
        <v>0</v>
      </c>
      <c r="L2736" s="10" t="s">
        <v>124</v>
      </c>
      <c r="M2736" s="10" t="s">
        <v>91</v>
      </c>
      <c r="N2736" s="10" t="s">
        <v>92</v>
      </c>
      <c r="O2736" s="19" t="s">
        <v>20427</v>
      </c>
      <c r="P2736" s="10"/>
      <c r="Q2736" s="10" t="s">
        <v>94</v>
      </c>
      <c r="R2736" s="10"/>
      <c r="S2736" s="19" t="s">
        <v>19862</v>
      </c>
      <c r="T2736" s="10"/>
      <c r="U2736" s="10"/>
      <c r="V2736" s="10"/>
      <c r="W2736" s="10" t="s">
        <v>19139</v>
      </c>
      <c r="X2736" s="10" t="s">
        <v>130</v>
      </c>
      <c r="Y2736" s="10" t="s">
        <v>130</v>
      </c>
      <c r="Z2736" s="10" t="s">
        <v>99</v>
      </c>
      <c r="AA2736" s="10" t="s">
        <v>131</v>
      </c>
      <c r="AB2736" s="10" t="s">
        <v>19140</v>
      </c>
      <c r="AC2736" s="10" t="s">
        <v>9022</v>
      </c>
      <c r="AD2736" s="10" t="s">
        <v>165</v>
      </c>
      <c r="AE2736" s="10" t="s">
        <v>20428</v>
      </c>
      <c r="AF2736" s="15"/>
      <c r="AG2736" s="10"/>
      <c r="AH2736" s="10"/>
      <c r="AI2736" s="10"/>
      <c r="AJ2736" s="10"/>
      <c r="AK2736" s="10" t="s">
        <v>102</v>
      </c>
      <c r="AL2736" s="10" t="s">
        <v>7897</v>
      </c>
      <c r="AM2736" s="10"/>
      <c r="AN2736" s="10"/>
      <c r="AO2736" s="13" t="b">
        <v>0</v>
      </c>
      <c r="AP2736" s="22" t="s">
        <v>104</v>
      </c>
      <c r="AQ2736" s="10">
        <f ca="1">IFERROR(__xludf.DUMMYFUNCTION("""COMPUTED_VALUE"""),4731880)</f>
        <v>4731880</v>
      </c>
      <c r="AR2736" s="17">
        <v>642</v>
      </c>
      <c r="AS2736" s="17">
        <v>486</v>
      </c>
      <c r="AT2736" s="17">
        <v>5238.25</v>
      </c>
      <c r="AU2736" s="17">
        <v>0.5</v>
      </c>
      <c r="AV2736" s="17">
        <v>0</v>
      </c>
      <c r="AW2736" s="10" t="s">
        <v>105</v>
      </c>
      <c r="AX2736" s="17">
        <v>135</v>
      </c>
      <c r="AY2736" s="18">
        <v>10.778292181069959</v>
      </c>
      <c r="AZ2736" s="10"/>
      <c r="BA2736" s="20" t="b">
        <v>0</v>
      </c>
      <c r="BB2736" s="10" t="s">
        <v>20393</v>
      </c>
      <c r="BC2736" s="17">
        <v>642</v>
      </c>
      <c r="BD2736" s="17">
        <v>486</v>
      </c>
      <c r="BE2736" s="17">
        <v>5238.25</v>
      </c>
      <c r="BF2736" s="17">
        <v>0</v>
      </c>
      <c r="BG2736" s="11">
        <f ca="1">IFERROR(__xludf.DUMMYFUNCTION("""COMPUTED_VALUE"""),45984.3472222222)</f>
        <v>45984.347222222197</v>
      </c>
      <c r="BH2736" s="17" t="s">
        <v>105</v>
      </c>
      <c r="BI2736" s="17"/>
      <c r="BJ2736" s="15"/>
      <c r="BK2736" s="15"/>
      <c r="BL2736" s="13" t="b">
        <v>0</v>
      </c>
      <c r="BM2736" s="10"/>
      <c r="BN2736" s="10" t="s">
        <v>19455</v>
      </c>
      <c r="BO2736" s="11">
        <v>45983.663194444445</v>
      </c>
      <c r="BP2736" s="11">
        <v>45983.663611111115</v>
      </c>
      <c r="BQ2736" s="15"/>
      <c r="BR2736" s="15">
        <v>45983.954201388886</v>
      </c>
      <c r="BS2736" s="10" t="s">
        <v>19455</v>
      </c>
      <c r="BT2736" s="10"/>
      <c r="BU2736" s="10"/>
      <c r="BV2736" s="10"/>
      <c r="BW2736" s="10"/>
      <c r="BX2736" s="10"/>
      <c r="BY2736" s="23"/>
      <c r="BZ2736" s="23"/>
      <c r="CA2736" s="19" t="s">
        <v>19142</v>
      </c>
      <c r="CB2736" s="23"/>
      <c r="CC2736" s="23"/>
      <c r="CD2736" s="23"/>
      <c r="CE2736" s="23"/>
      <c r="CF2736" s="23"/>
      <c r="CG2736" s="23"/>
      <c r="CH2736" s="23"/>
      <c r="CI2736" s="23"/>
    </row>
    <row r="2737" spans="1:87" x14ac:dyDescent="0.3">
      <c r="A2737" s="9" t="s">
        <v>20429</v>
      </c>
      <c r="B2737" s="10" t="s">
        <v>20430</v>
      </c>
      <c r="C2737" s="11">
        <v>45984.395833333336</v>
      </c>
      <c r="D2737" s="12">
        <v>5.2083333333333336E-2</v>
      </c>
      <c r="E2737" s="11">
        <v>45984.447916666664</v>
      </c>
      <c r="F2737" s="22" t="s">
        <v>19136</v>
      </c>
      <c r="G2737" s="13" t="b">
        <v>0</v>
      </c>
      <c r="H2737" s="22" t="s">
        <v>9017</v>
      </c>
      <c r="I2737" s="10" t="s">
        <v>212</v>
      </c>
      <c r="J2737" s="13" t="b">
        <v>1</v>
      </c>
      <c r="K2737" s="13" t="b">
        <v>0</v>
      </c>
      <c r="L2737" s="10" t="s">
        <v>124</v>
      </c>
      <c r="M2737" s="10" t="s">
        <v>91</v>
      </c>
      <c r="N2737" s="10" t="s">
        <v>92</v>
      </c>
      <c r="O2737" s="19" t="s">
        <v>20431</v>
      </c>
      <c r="P2737" s="10"/>
      <c r="Q2737" s="10" t="s">
        <v>94</v>
      </c>
      <c r="R2737" s="10"/>
      <c r="S2737" s="19" t="s">
        <v>19862</v>
      </c>
      <c r="T2737" s="10"/>
      <c r="U2737" s="10"/>
      <c r="V2737" s="10"/>
      <c r="W2737" s="10" t="s">
        <v>19139</v>
      </c>
      <c r="X2737" s="10" t="s">
        <v>130</v>
      </c>
      <c r="Y2737" s="10" t="s">
        <v>130</v>
      </c>
      <c r="Z2737" s="10" t="s">
        <v>99</v>
      </c>
      <c r="AA2737" s="10" t="s">
        <v>131</v>
      </c>
      <c r="AB2737" s="10" t="s">
        <v>19140</v>
      </c>
      <c r="AC2737" s="10" t="s">
        <v>9022</v>
      </c>
      <c r="AD2737" s="10" t="s">
        <v>165</v>
      </c>
      <c r="AE2737" s="10" t="s">
        <v>20432</v>
      </c>
      <c r="AF2737" s="15"/>
      <c r="AG2737" s="10"/>
      <c r="AH2737" s="10"/>
      <c r="AI2737" s="10"/>
      <c r="AJ2737" s="10"/>
      <c r="AK2737" s="10" t="s">
        <v>102</v>
      </c>
      <c r="AL2737" s="10" t="s">
        <v>7897</v>
      </c>
      <c r="AM2737" s="10"/>
      <c r="AN2737" s="10"/>
      <c r="AO2737" s="13" t="b">
        <v>0</v>
      </c>
      <c r="AP2737" s="22" t="s">
        <v>104</v>
      </c>
      <c r="AQ2737" s="10">
        <f ca="1">IFERROR(__xludf.DUMMYFUNCTION("""COMPUTED_VALUE"""),4731883)</f>
        <v>4731883</v>
      </c>
      <c r="AR2737" s="17">
        <v>251</v>
      </c>
      <c r="AS2737" s="17">
        <v>165</v>
      </c>
      <c r="AT2737" s="17">
        <v>2192.25</v>
      </c>
      <c r="AU2737" s="17">
        <v>0</v>
      </c>
      <c r="AV2737" s="17">
        <v>0</v>
      </c>
      <c r="AW2737" s="10" t="s">
        <v>105</v>
      </c>
      <c r="AX2737" s="17">
        <v>114</v>
      </c>
      <c r="AY2737" s="18">
        <v>13.286363636363637</v>
      </c>
      <c r="AZ2737" s="10"/>
      <c r="BA2737" s="20" t="b">
        <v>0</v>
      </c>
      <c r="BB2737" s="10" t="s">
        <v>20393</v>
      </c>
      <c r="BC2737" s="17">
        <v>251</v>
      </c>
      <c r="BD2737" s="17">
        <v>165</v>
      </c>
      <c r="BE2737" s="17">
        <v>2192.25</v>
      </c>
      <c r="BF2737" s="17">
        <v>0</v>
      </c>
      <c r="BG2737" s="11">
        <f ca="1">IFERROR(__xludf.DUMMYFUNCTION("""COMPUTED_VALUE"""),45984.3958333333)</f>
        <v>45984.395833333299</v>
      </c>
      <c r="BH2737" s="17" t="s">
        <v>105</v>
      </c>
      <c r="BI2737" s="17"/>
      <c r="BJ2737" s="15"/>
      <c r="BK2737" s="15"/>
      <c r="BL2737" s="13" t="b">
        <v>0</v>
      </c>
      <c r="BM2737" s="10"/>
      <c r="BN2737" s="10" t="s">
        <v>19455</v>
      </c>
      <c r="BO2737" s="11">
        <v>45983.663194444445</v>
      </c>
      <c r="BP2737" s="11">
        <v>45983.66369212963</v>
      </c>
      <c r="BQ2737" s="15"/>
      <c r="BR2737" s="15">
        <v>45983.955763888887</v>
      </c>
      <c r="BS2737" s="10" t="s">
        <v>19455</v>
      </c>
      <c r="BT2737" s="10"/>
      <c r="BU2737" s="10"/>
      <c r="BV2737" s="10"/>
      <c r="BW2737" s="10"/>
      <c r="BX2737" s="10"/>
      <c r="BY2737" s="23"/>
      <c r="BZ2737" s="23"/>
      <c r="CA2737" s="19" t="s">
        <v>19142</v>
      </c>
      <c r="CB2737" s="23"/>
      <c r="CC2737" s="23"/>
      <c r="CD2737" s="23"/>
      <c r="CE2737" s="23"/>
      <c r="CF2737" s="23"/>
      <c r="CG2737" s="23"/>
      <c r="CH2737" s="23"/>
      <c r="CI2737" s="23"/>
    </row>
    <row r="2738" spans="1:87" x14ac:dyDescent="0.3">
      <c r="A2738" s="9" t="s">
        <v>20433</v>
      </c>
      <c r="B2738" s="10" t="s">
        <v>20434</v>
      </c>
      <c r="C2738" s="11">
        <v>45984.447916666664</v>
      </c>
      <c r="D2738" s="12">
        <v>5.2083333333333336E-2</v>
      </c>
      <c r="E2738" s="11">
        <v>45984.5</v>
      </c>
      <c r="F2738" s="22" t="s">
        <v>19136</v>
      </c>
      <c r="G2738" s="13" t="b">
        <v>0</v>
      </c>
      <c r="H2738" s="22" t="s">
        <v>9017</v>
      </c>
      <c r="I2738" s="10" t="s">
        <v>212</v>
      </c>
      <c r="J2738" s="13" t="b">
        <v>1</v>
      </c>
      <c r="K2738" s="13" t="b">
        <v>0</v>
      </c>
      <c r="L2738" s="10" t="s">
        <v>124</v>
      </c>
      <c r="M2738" s="10" t="s">
        <v>91</v>
      </c>
      <c r="N2738" s="10" t="s">
        <v>92</v>
      </c>
      <c r="O2738" s="19" t="s">
        <v>20435</v>
      </c>
      <c r="P2738" s="10"/>
      <c r="Q2738" s="10" t="s">
        <v>94</v>
      </c>
      <c r="R2738" s="10"/>
      <c r="S2738" s="19" t="s">
        <v>19862</v>
      </c>
      <c r="T2738" s="10"/>
      <c r="U2738" s="10"/>
      <c r="V2738" s="10"/>
      <c r="W2738" s="10" t="s">
        <v>19139</v>
      </c>
      <c r="X2738" s="10" t="s">
        <v>130</v>
      </c>
      <c r="Y2738" s="10" t="s">
        <v>130</v>
      </c>
      <c r="Z2738" s="10" t="s">
        <v>99</v>
      </c>
      <c r="AA2738" s="10" t="s">
        <v>131</v>
      </c>
      <c r="AB2738" s="10" t="s">
        <v>19140</v>
      </c>
      <c r="AC2738" s="10" t="s">
        <v>9022</v>
      </c>
      <c r="AD2738" s="10" t="s">
        <v>165</v>
      </c>
      <c r="AE2738" s="10" t="s">
        <v>20436</v>
      </c>
      <c r="AF2738" s="15"/>
      <c r="AG2738" s="10"/>
      <c r="AH2738" s="10"/>
      <c r="AI2738" s="10"/>
      <c r="AJ2738" s="10"/>
      <c r="AK2738" s="10" t="s">
        <v>102</v>
      </c>
      <c r="AL2738" s="10" t="s">
        <v>7897</v>
      </c>
      <c r="AM2738" s="10"/>
      <c r="AN2738" s="10"/>
      <c r="AO2738" s="13" t="b">
        <v>0</v>
      </c>
      <c r="AP2738" s="22" t="s">
        <v>104</v>
      </c>
      <c r="AQ2738" s="10">
        <f ca="1">IFERROR(__xludf.DUMMYFUNCTION("""COMPUTED_VALUE"""),4731884)</f>
        <v>4731884</v>
      </c>
      <c r="AR2738" s="17">
        <v>187</v>
      </c>
      <c r="AS2738" s="17">
        <v>118</v>
      </c>
      <c r="AT2738" s="17">
        <v>923.5</v>
      </c>
      <c r="AU2738" s="17">
        <v>0</v>
      </c>
      <c r="AV2738" s="17">
        <v>0</v>
      </c>
      <c r="AW2738" s="10" t="s">
        <v>105</v>
      </c>
      <c r="AX2738" s="17">
        <v>59</v>
      </c>
      <c r="AY2738" s="18">
        <v>7.8262711864406782</v>
      </c>
      <c r="AZ2738" s="10"/>
      <c r="BA2738" s="20" t="b">
        <v>0</v>
      </c>
      <c r="BB2738" s="10" t="s">
        <v>20393</v>
      </c>
      <c r="BC2738" s="17">
        <v>187</v>
      </c>
      <c r="BD2738" s="17">
        <v>118</v>
      </c>
      <c r="BE2738" s="17">
        <v>923.5</v>
      </c>
      <c r="BF2738" s="17">
        <v>0</v>
      </c>
      <c r="BG2738" s="11">
        <f ca="1">IFERROR(__xludf.DUMMYFUNCTION("""COMPUTED_VALUE"""),45984.4479166666)</f>
        <v>45984.447916666599</v>
      </c>
      <c r="BH2738" s="17" t="s">
        <v>105</v>
      </c>
      <c r="BI2738" s="17"/>
      <c r="BJ2738" s="15"/>
      <c r="BK2738" s="15"/>
      <c r="BL2738" s="13" t="b">
        <v>0</v>
      </c>
      <c r="BM2738" s="10"/>
      <c r="BN2738" s="10" t="s">
        <v>19455</v>
      </c>
      <c r="BO2738" s="11">
        <v>45983.663194444445</v>
      </c>
      <c r="BP2738" s="11">
        <v>45983.663807870369</v>
      </c>
      <c r="BQ2738" s="15"/>
      <c r="BR2738" s="15">
        <v>45983.956250000003</v>
      </c>
      <c r="BS2738" s="10" t="s">
        <v>19455</v>
      </c>
      <c r="BT2738" s="10"/>
      <c r="BU2738" s="10"/>
      <c r="BV2738" s="10"/>
      <c r="BW2738" s="10"/>
      <c r="BX2738" s="10"/>
      <c r="BY2738" s="23"/>
      <c r="BZ2738" s="23"/>
      <c r="CA2738" s="19" t="s">
        <v>19142</v>
      </c>
      <c r="CB2738" s="23"/>
      <c r="CC2738" s="23"/>
      <c r="CD2738" s="23"/>
      <c r="CE2738" s="23"/>
      <c r="CF2738" s="23"/>
      <c r="CG2738" s="23"/>
      <c r="CH2738" s="23"/>
      <c r="CI2738" s="23"/>
    </row>
    <row r="2739" spans="1:87" x14ac:dyDescent="0.3">
      <c r="A2739" s="9" t="s">
        <v>20437</v>
      </c>
      <c r="B2739" s="10" t="s">
        <v>20438</v>
      </c>
      <c r="C2739" s="11">
        <v>45984.5</v>
      </c>
      <c r="D2739" s="12">
        <v>5.2083333333333336E-2</v>
      </c>
      <c r="E2739" s="11">
        <v>45984.552083333336</v>
      </c>
      <c r="F2739" s="22" t="s">
        <v>19136</v>
      </c>
      <c r="G2739" s="13" t="b">
        <v>0</v>
      </c>
      <c r="H2739" s="22" t="s">
        <v>9017</v>
      </c>
      <c r="I2739" s="10" t="s">
        <v>212</v>
      </c>
      <c r="J2739" s="13" t="b">
        <v>1</v>
      </c>
      <c r="K2739" s="13" t="b">
        <v>0</v>
      </c>
      <c r="L2739" s="10" t="s">
        <v>124</v>
      </c>
      <c r="M2739" s="10" t="s">
        <v>91</v>
      </c>
      <c r="N2739" s="10" t="s">
        <v>92</v>
      </c>
      <c r="O2739" s="19" t="s">
        <v>20439</v>
      </c>
      <c r="P2739" s="10"/>
      <c r="Q2739" s="10" t="s">
        <v>94</v>
      </c>
      <c r="R2739" s="10"/>
      <c r="S2739" s="19" t="s">
        <v>19862</v>
      </c>
      <c r="T2739" s="10"/>
      <c r="U2739" s="10"/>
      <c r="V2739" s="10"/>
      <c r="W2739" s="10" t="s">
        <v>19139</v>
      </c>
      <c r="X2739" s="10" t="s">
        <v>130</v>
      </c>
      <c r="Y2739" s="10" t="s">
        <v>130</v>
      </c>
      <c r="Z2739" s="10" t="s">
        <v>99</v>
      </c>
      <c r="AA2739" s="10" t="s">
        <v>131</v>
      </c>
      <c r="AB2739" s="10" t="s">
        <v>19140</v>
      </c>
      <c r="AC2739" s="10" t="s">
        <v>9022</v>
      </c>
      <c r="AD2739" s="10" t="s">
        <v>165</v>
      </c>
      <c r="AE2739" s="10" t="s">
        <v>20440</v>
      </c>
      <c r="AF2739" s="15"/>
      <c r="AG2739" s="10"/>
      <c r="AH2739" s="10"/>
      <c r="AI2739" s="10"/>
      <c r="AJ2739" s="10"/>
      <c r="AK2739" s="10" t="s">
        <v>102</v>
      </c>
      <c r="AL2739" s="10" t="s">
        <v>7897</v>
      </c>
      <c r="AM2739" s="10"/>
      <c r="AN2739" s="10"/>
      <c r="AO2739" s="13" t="b">
        <v>0</v>
      </c>
      <c r="AP2739" s="22" t="s">
        <v>104</v>
      </c>
      <c r="AQ2739" s="10">
        <f ca="1">IFERROR(__xludf.DUMMYFUNCTION("""COMPUTED_VALUE"""),4731885)</f>
        <v>4731885</v>
      </c>
      <c r="AR2739" s="17">
        <v>134</v>
      </c>
      <c r="AS2739" s="17">
        <v>96</v>
      </c>
      <c r="AT2739" s="17">
        <v>863</v>
      </c>
      <c r="AU2739" s="17">
        <v>0</v>
      </c>
      <c r="AV2739" s="17">
        <v>0</v>
      </c>
      <c r="AW2739" s="10" t="s">
        <v>105</v>
      </c>
      <c r="AX2739" s="17">
        <v>31</v>
      </c>
      <c r="AY2739" s="18">
        <v>8.9895833333333339</v>
      </c>
      <c r="AZ2739" s="10"/>
      <c r="BA2739" s="20" t="b">
        <v>0</v>
      </c>
      <c r="BB2739" s="10" t="s">
        <v>20393</v>
      </c>
      <c r="BC2739" s="17">
        <v>134</v>
      </c>
      <c r="BD2739" s="17">
        <v>96</v>
      </c>
      <c r="BE2739" s="17">
        <v>863</v>
      </c>
      <c r="BF2739" s="17">
        <v>0</v>
      </c>
      <c r="BG2739" s="11">
        <f ca="1">IFERROR(__xludf.DUMMYFUNCTION("""COMPUTED_VALUE"""),45984.5)</f>
        <v>45984.5</v>
      </c>
      <c r="BH2739" s="17" t="s">
        <v>105</v>
      </c>
      <c r="BI2739" s="17"/>
      <c r="BJ2739" s="15"/>
      <c r="BK2739" s="15"/>
      <c r="BL2739" s="13" t="b">
        <v>0</v>
      </c>
      <c r="BM2739" s="10"/>
      <c r="BN2739" s="10" t="s">
        <v>19455</v>
      </c>
      <c r="BO2739" s="11">
        <v>45983.663194444445</v>
      </c>
      <c r="BP2739" s="11">
        <v>45983.663888888892</v>
      </c>
      <c r="BQ2739" s="15"/>
      <c r="BR2739" s="15">
        <v>45983.957453703704</v>
      </c>
      <c r="BS2739" s="10" t="s">
        <v>19455</v>
      </c>
      <c r="BT2739" s="10"/>
      <c r="BU2739" s="10"/>
      <c r="BV2739" s="10"/>
      <c r="BW2739" s="10"/>
      <c r="BX2739" s="10"/>
      <c r="BY2739" s="23"/>
      <c r="BZ2739" s="23"/>
      <c r="CA2739" s="19" t="s">
        <v>19142</v>
      </c>
      <c r="CB2739" s="23"/>
      <c r="CC2739" s="23"/>
      <c r="CD2739" s="23"/>
      <c r="CE2739" s="23"/>
      <c r="CF2739" s="23"/>
      <c r="CG2739" s="23"/>
      <c r="CH2739" s="23"/>
      <c r="CI2739" s="23"/>
    </row>
    <row r="2740" spans="1:87" x14ac:dyDescent="0.3">
      <c r="A2740" s="9" t="s">
        <v>20441</v>
      </c>
      <c r="B2740" s="10" t="s">
        <v>20442</v>
      </c>
      <c r="C2740" s="11">
        <v>45984.552083333336</v>
      </c>
      <c r="D2740" s="12">
        <v>5.2083333333333336E-2</v>
      </c>
      <c r="E2740" s="11">
        <v>45984.604166666664</v>
      </c>
      <c r="F2740" s="22" t="s">
        <v>19136</v>
      </c>
      <c r="G2740" s="13" t="b">
        <v>0</v>
      </c>
      <c r="H2740" s="22" t="s">
        <v>9017</v>
      </c>
      <c r="I2740" s="10" t="s">
        <v>212</v>
      </c>
      <c r="J2740" s="13" t="b">
        <v>1</v>
      </c>
      <c r="K2740" s="13" t="b">
        <v>0</v>
      </c>
      <c r="L2740" s="10" t="s">
        <v>124</v>
      </c>
      <c r="M2740" s="10" t="s">
        <v>91</v>
      </c>
      <c r="N2740" s="10" t="s">
        <v>92</v>
      </c>
      <c r="O2740" s="19" t="s">
        <v>20443</v>
      </c>
      <c r="P2740" s="10"/>
      <c r="Q2740" s="10" t="s">
        <v>94</v>
      </c>
      <c r="R2740" s="10"/>
      <c r="S2740" s="19" t="s">
        <v>19862</v>
      </c>
      <c r="T2740" s="10"/>
      <c r="U2740" s="10"/>
      <c r="V2740" s="10"/>
      <c r="W2740" s="10" t="s">
        <v>19139</v>
      </c>
      <c r="X2740" s="10" t="s">
        <v>130</v>
      </c>
      <c r="Y2740" s="10" t="s">
        <v>130</v>
      </c>
      <c r="Z2740" s="10" t="s">
        <v>99</v>
      </c>
      <c r="AA2740" s="10" t="s">
        <v>131</v>
      </c>
      <c r="AB2740" s="10" t="s">
        <v>19140</v>
      </c>
      <c r="AC2740" s="10" t="s">
        <v>9022</v>
      </c>
      <c r="AD2740" s="10" t="s">
        <v>165</v>
      </c>
      <c r="AE2740" s="10" t="s">
        <v>20444</v>
      </c>
      <c r="AF2740" s="15"/>
      <c r="AG2740" s="10"/>
      <c r="AH2740" s="10"/>
      <c r="AI2740" s="10"/>
      <c r="AJ2740" s="10"/>
      <c r="AK2740" s="10" t="s">
        <v>102</v>
      </c>
      <c r="AL2740" s="10" t="s">
        <v>7897</v>
      </c>
      <c r="AM2740" s="10"/>
      <c r="AN2740" s="10"/>
      <c r="AO2740" s="13" t="b">
        <v>0</v>
      </c>
      <c r="AP2740" s="22" t="s">
        <v>104</v>
      </c>
      <c r="AQ2740" s="10">
        <f ca="1">IFERROR(__xludf.DUMMYFUNCTION("""COMPUTED_VALUE"""),4731886)</f>
        <v>4731886</v>
      </c>
      <c r="AR2740" s="17">
        <v>147</v>
      </c>
      <c r="AS2740" s="17">
        <v>99</v>
      </c>
      <c r="AT2740" s="17">
        <v>856</v>
      </c>
      <c r="AU2740" s="17">
        <v>0</v>
      </c>
      <c r="AV2740" s="17">
        <v>0</v>
      </c>
      <c r="AW2740" s="10" t="s">
        <v>105</v>
      </c>
      <c r="AX2740" s="17">
        <v>31</v>
      </c>
      <c r="AY2740" s="18">
        <v>8.6464646464646471</v>
      </c>
      <c r="AZ2740" s="10"/>
      <c r="BA2740" s="20" t="b">
        <v>0</v>
      </c>
      <c r="BB2740" s="10" t="s">
        <v>20393</v>
      </c>
      <c r="BC2740" s="17">
        <v>147</v>
      </c>
      <c r="BD2740" s="17">
        <v>99</v>
      </c>
      <c r="BE2740" s="17">
        <v>856</v>
      </c>
      <c r="BF2740" s="17">
        <v>0</v>
      </c>
      <c r="BG2740" s="11">
        <f ca="1">IFERROR(__xludf.DUMMYFUNCTION("""COMPUTED_VALUE"""),45984.5520833333)</f>
        <v>45984.552083333299</v>
      </c>
      <c r="BH2740" s="17" t="s">
        <v>105</v>
      </c>
      <c r="BI2740" s="17"/>
      <c r="BJ2740" s="15"/>
      <c r="BK2740" s="15"/>
      <c r="BL2740" s="13" t="b">
        <v>0</v>
      </c>
      <c r="BM2740" s="10"/>
      <c r="BN2740" s="10" t="s">
        <v>19455</v>
      </c>
      <c r="BO2740" s="11">
        <v>45983.663888888892</v>
      </c>
      <c r="BP2740" s="11">
        <v>45983.664027777777</v>
      </c>
      <c r="BQ2740" s="15"/>
      <c r="BR2740" s="15">
        <v>45983.957789351851</v>
      </c>
      <c r="BS2740" s="10" t="s">
        <v>19455</v>
      </c>
      <c r="BT2740" s="10"/>
      <c r="BU2740" s="10"/>
      <c r="BV2740" s="10"/>
      <c r="BW2740" s="10"/>
      <c r="BX2740" s="10"/>
      <c r="BY2740" s="23"/>
      <c r="BZ2740" s="23"/>
      <c r="CA2740" s="19" t="s">
        <v>19142</v>
      </c>
      <c r="CB2740" s="23"/>
      <c r="CC2740" s="23"/>
      <c r="CD2740" s="23"/>
      <c r="CE2740" s="23"/>
      <c r="CF2740" s="23"/>
      <c r="CG2740" s="23"/>
      <c r="CH2740" s="23"/>
      <c r="CI2740" s="23"/>
    </row>
    <row r="2741" spans="1:87" x14ac:dyDescent="0.3">
      <c r="A2741" s="9" t="s">
        <v>20445</v>
      </c>
      <c r="B2741" s="10" t="s">
        <v>20446</v>
      </c>
      <c r="C2741" s="11">
        <v>45994.135416666664</v>
      </c>
      <c r="D2741" s="12">
        <v>8.3333333333333329E-2</v>
      </c>
      <c r="E2741" s="11">
        <v>45994.21875</v>
      </c>
      <c r="F2741" s="22" t="s">
        <v>262</v>
      </c>
      <c r="G2741" s="13" t="b">
        <v>0</v>
      </c>
      <c r="H2741" s="22" t="s">
        <v>527</v>
      </c>
      <c r="I2741" s="10" t="s">
        <v>264</v>
      </c>
      <c r="J2741" s="13" t="b">
        <v>0</v>
      </c>
      <c r="K2741" s="13" t="b">
        <v>1</v>
      </c>
      <c r="L2741" s="10" t="s">
        <v>124</v>
      </c>
      <c r="M2741" s="10" t="s">
        <v>91</v>
      </c>
      <c r="N2741" s="10" t="s">
        <v>265</v>
      </c>
      <c r="O2741" s="19" t="s">
        <v>20447</v>
      </c>
      <c r="P2741" s="10"/>
      <c r="Q2741" s="10" t="s">
        <v>94</v>
      </c>
      <c r="R2741" s="10"/>
      <c r="S2741" s="19" t="s">
        <v>1748</v>
      </c>
      <c r="T2741" s="10"/>
      <c r="U2741" s="10" t="s">
        <v>293</v>
      </c>
      <c r="V2741" s="10" t="s">
        <v>429</v>
      </c>
      <c r="W2741" s="10" t="s">
        <v>272</v>
      </c>
      <c r="X2741" s="10" t="s">
        <v>130</v>
      </c>
      <c r="Y2741" s="10" t="s">
        <v>130</v>
      </c>
      <c r="Z2741" s="10" t="s">
        <v>99</v>
      </c>
      <c r="AA2741" s="10" t="s">
        <v>131</v>
      </c>
      <c r="AB2741" s="10" t="s">
        <v>273</v>
      </c>
      <c r="AC2741" s="10" t="s">
        <v>274</v>
      </c>
      <c r="AD2741" s="10" t="s">
        <v>1749</v>
      </c>
      <c r="AE2741" s="10" t="s">
        <v>20448</v>
      </c>
      <c r="AF2741" s="15"/>
      <c r="AG2741" s="10"/>
      <c r="AH2741" s="10"/>
      <c r="AI2741" s="10"/>
      <c r="AJ2741" s="10"/>
      <c r="AK2741" s="10" t="s">
        <v>102</v>
      </c>
      <c r="AL2741" s="10" t="s">
        <v>1671</v>
      </c>
      <c r="AM2741" s="10"/>
      <c r="AN2741" s="10"/>
      <c r="AO2741" s="13" t="b">
        <v>0</v>
      </c>
      <c r="AP2741" s="22" t="s">
        <v>104</v>
      </c>
      <c r="AQ2741" s="10">
        <f ca="1">IFERROR(__xludf.DUMMYFUNCTION("""COMPUTED_VALUE"""),4743727)</f>
        <v>4743727</v>
      </c>
      <c r="AR2741" s="17">
        <v>5118</v>
      </c>
      <c r="AS2741" s="17">
        <v>4406</v>
      </c>
      <c r="AT2741" s="17">
        <v>20861.25</v>
      </c>
      <c r="AU2741" s="17">
        <v>5.4</v>
      </c>
      <c r="AV2741" s="17">
        <v>0</v>
      </c>
      <c r="AW2741" s="10" t="s">
        <v>105</v>
      </c>
      <c r="AX2741" s="17">
        <v>944</v>
      </c>
      <c r="AY2741" s="18">
        <v>4.7347367226509309</v>
      </c>
      <c r="AZ2741" s="10" t="s">
        <v>148</v>
      </c>
      <c r="BA2741" s="20" t="b">
        <v>0</v>
      </c>
      <c r="BB2741" s="10"/>
      <c r="BC2741" s="17">
        <v>5118</v>
      </c>
      <c r="BD2741" s="17">
        <v>4406</v>
      </c>
      <c r="BE2741" s="17">
        <v>20861.25</v>
      </c>
      <c r="BF2741" s="17">
        <v>0</v>
      </c>
      <c r="BG2741" s="11">
        <f ca="1">IFERROR(__xludf.DUMMYFUNCTION("""COMPUTED_VALUE"""),45994.1354166666)</f>
        <v>45994.135416666599</v>
      </c>
      <c r="BH2741" s="17" t="s">
        <v>105</v>
      </c>
      <c r="BI2741" s="17"/>
      <c r="BJ2741" s="15"/>
      <c r="BK2741" s="15"/>
      <c r="BL2741" s="13" t="b">
        <v>0</v>
      </c>
      <c r="BM2741" s="10"/>
      <c r="BN2741" s="10" t="s">
        <v>118</v>
      </c>
      <c r="BO2741" s="11">
        <v>45983.890277777777</v>
      </c>
      <c r="BP2741" s="11">
        <v>45983.890532407408</v>
      </c>
      <c r="BQ2741" s="15">
        <v>45989.721724537034</v>
      </c>
      <c r="BR2741" s="15">
        <v>45991.436331018522</v>
      </c>
      <c r="BS2741" s="10" t="s">
        <v>118</v>
      </c>
      <c r="BT2741" s="10"/>
      <c r="BU2741" s="10"/>
      <c r="BV2741" s="10"/>
      <c r="BW2741" s="10"/>
      <c r="BX2741" s="10"/>
      <c r="BY2741" s="23"/>
      <c r="BZ2741" s="23"/>
      <c r="CA2741" s="19" t="s">
        <v>20449</v>
      </c>
      <c r="CB2741" s="23"/>
      <c r="CC2741" s="23"/>
      <c r="CD2741" s="23"/>
      <c r="CE2741" s="23"/>
      <c r="CF2741" s="23"/>
      <c r="CG2741" s="23"/>
      <c r="CH2741" s="23"/>
      <c r="CI2741" s="23"/>
    </row>
    <row r="2742" spans="1:87" x14ac:dyDescent="0.3">
      <c r="A2742" s="9" t="s">
        <v>20450</v>
      </c>
      <c r="B2742" s="10" t="s">
        <v>20451</v>
      </c>
      <c r="C2742" s="11">
        <v>45997.8125</v>
      </c>
      <c r="D2742" s="12">
        <v>8.3333333333333329E-2</v>
      </c>
      <c r="E2742" s="11">
        <v>45997.895833333336</v>
      </c>
      <c r="F2742" s="22" t="s">
        <v>262</v>
      </c>
      <c r="G2742" s="13" t="b">
        <v>0</v>
      </c>
      <c r="H2742" s="22" t="s">
        <v>305</v>
      </c>
      <c r="I2742" s="10" t="s">
        <v>264</v>
      </c>
      <c r="J2742" s="13" t="b">
        <v>0</v>
      </c>
      <c r="K2742" s="13" t="b">
        <v>1</v>
      </c>
      <c r="L2742" s="10" t="s">
        <v>124</v>
      </c>
      <c r="M2742" s="10" t="s">
        <v>91</v>
      </c>
      <c r="N2742" s="10" t="s">
        <v>265</v>
      </c>
      <c r="O2742" s="19" t="s">
        <v>20452</v>
      </c>
      <c r="P2742" s="10"/>
      <c r="Q2742" s="10" t="s">
        <v>94</v>
      </c>
      <c r="R2742" s="10"/>
      <c r="S2742" s="19" t="s">
        <v>1780</v>
      </c>
      <c r="T2742" s="10"/>
      <c r="U2742" s="10" t="s">
        <v>292</v>
      </c>
      <c r="V2742" s="10" t="s">
        <v>362</v>
      </c>
      <c r="W2742" s="10" t="s">
        <v>272</v>
      </c>
      <c r="X2742" s="10" t="s">
        <v>130</v>
      </c>
      <c r="Y2742" s="10" t="s">
        <v>130</v>
      </c>
      <c r="Z2742" s="10" t="s">
        <v>99</v>
      </c>
      <c r="AA2742" s="10" t="s">
        <v>131</v>
      </c>
      <c r="AB2742" s="10" t="s">
        <v>273</v>
      </c>
      <c r="AC2742" s="10" t="s">
        <v>274</v>
      </c>
      <c r="AD2742" s="10" t="s">
        <v>1781</v>
      </c>
      <c r="AE2742" s="10" t="s">
        <v>20453</v>
      </c>
      <c r="AF2742" s="15"/>
      <c r="AG2742" s="10"/>
      <c r="AH2742" s="10"/>
      <c r="AI2742" s="10"/>
      <c r="AJ2742" s="10"/>
      <c r="AK2742" s="10" t="s">
        <v>102</v>
      </c>
      <c r="AL2742" s="10" t="s">
        <v>1773</v>
      </c>
      <c r="AM2742" s="10"/>
      <c r="AN2742" s="10"/>
      <c r="AO2742" s="13" t="b">
        <v>0</v>
      </c>
      <c r="AP2742" s="22" t="s">
        <v>104</v>
      </c>
      <c r="AQ2742" s="10">
        <f ca="1">IFERROR(__xludf.DUMMYFUNCTION("""COMPUTED_VALUE"""),4759268)</f>
        <v>4759268</v>
      </c>
      <c r="AR2742" s="17">
        <v>52211</v>
      </c>
      <c r="AS2742" s="17">
        <v>41676</v>
      </c>
      <c r="AT2742" s="17">
        <v>496910.5</v>
      </c>
      <c r="AU2742" s="17">
        <v>347.35</v>
      </c>
      <c r="AV2742" s="17">
        <v>64.400000000000006</v>
      </c>
      <c r="AW2742" s="10" t="s">
        <v>105</v>
      </c>
      <c r="AX2742" s="17">
        <v>6222</v>
      </c>
      <c r="AY2742" s="18">
        <v>11.92318120740954</v>
      </c>
      <c r="AZ2742" s="10" t="s">
        <v>148</v>
      </c>
      <c r="BA2742" s="20" t="b">
        <v>0</v>
      </c>
      <c r="BB2742" s="10"/>
      <c r="BC2742" s="17">
        <v>52211</v>
      </c>
      <c r="BD2742" s="17">
        <v>41676</v>
      </c>
      <c r="BE2742" s="17">
        <v>496910.5</v>
      </c>
      <c r="BF2742" s="17">
        <v>64.400000000000006</v>
      </c>
      <c r="BG2742" s="11">
        <f ca="1">IFERROR(__xludf.DUMMYFUNCTION("""COMPUTED_VALUE"""),45997.8125)</f>
        <v>45997.8125</v>
      </c>
      <c r="BH2742" s="17" t="s">
        <v>105</v>
      </c>
      <c r="BI2742" s="17"/>
      <c r="BJ2742" s="15"/>
      <c r="BK2742" s="15"/>
      <c r="BL2742" s="13" t="b">
        <v>0</v>
      </c>
      <c r="BM2742" s="10"/>
      <c r="BN2742" s="10" t="s">
        <v>278</v>
      </c>
      <c r="BO2742" s="11">
        <v>45983.890972222223</v>
      </c>
      <c r="BP2742" s="11">
        <v>45983.891226851854</v>
      </c>
      <c r="BQ2742" s="15">
        <v>45989.722997685189</v>
      </c>
      <c r="BR2742" s="15">
        <v>45994.446076388886</v>
      </c>
      <c r="BS2742" s="10" t="s">
        <v>278</v>
      </c>
      <c r="BT2742" s="10"/>
      <c r="BU2742" s="10"/>
      <c r="BV2742" s="10"/>
      <c r="BW2742" s="10"/>
      <c r="BX2742" s="10"/>
      <c r="BY2742" s="23"/>
      <c r="BZ2742" s="23"/>
      <c r="CA2742" s="19" t="s">
        <v>20454</v>
      </c>
      <c r="CB2742" s="23"/>
      <c r="CC2742" s="23"/>
      <c r="CD2742" s="23"/>
      <c r="CE2742" s="23"/>
      <c r="CF2742" s="23"/>
      <c r="CG2742" s="23"/>
      <c r="CH2742" s="23"/>
      <c r="CI2742" s="23"/>
    </row>
    <row r="2743" spans="1:87" x14ac:dyDescent="0.3">
      <c r="A2743" s="9" t="s">
        <v>20455</v>
      </c>
      <c r="B2743" s="10" t="s">
        <v>20456</v>
      </c>
      <c r="C2743" s="11">
        <v>45990.8125</v>
      </c>
      <c r="D2743" s="12">
        <v>8.3333333333333329E-2</v>
      </c>
      <c r="E2743" s="11">
        <v>45990.895833333336</v>
      </c>
      <c r="F2743" s="22" t="s">
        <v>7613</v>
      </c>
      <c r="G2743" s="13" t="b">
        <v>0</v>
      </c>
      <c r="H2743" s="22" t="s">
        <v>3478</v>
      </c>
      <c r="I2743" s="10" t="s">
        <v>89</v>
      </c>
      <c r="J2743" s="13" t="b">
        <v>0</v>
      </c>
      <c r="K2743" s="13" t="b">
        <v>1</v>
      </c>
      <c r="L2743" s="10" t="s">
        <v>124</v>
      </c>
      <c r="M2743" s="10" t="s">
        <v>91</v>
      </c>
      <c r="N2743" s="10" t="s">
        <v>265</v>
      </c>
      <c r="O2743" s="19" t="s">
        <v>20457</v>
      </c>
      <c r="P2743" s="10"/>
      <c r="Q2743" s="10" t="s">
        <v>94</v>
      </c>
      <c r="R2743" s="10"/>
      <c r="S2743" s="19" t="s">
        <v>20458</v>
      </c>
      <c r="T2743" s="19" t="s">
        <v>20459</v>
      </c>
      <c r="U2743" s="10" t="s">
        <v>20460</v>
      </c>
      <c r="V2743" s="10" t="s">
        <v>7903</v>
      </c>
      <c r="W2743" s="10" t="s">
        <v>7620</v>
      </c>
      <c r="X2743" s="10" t="s">
        <v>130</v>
      </c>
      <c r="Y2743" s="10" t="s">
        <v>130</v>
      </c>
      <c r="Z2743" s="10" t="s">
        <v>99</v>
      </c>
      <c r="AA2743" s="10" t="s">
        <v>131</v>
      </c>
      <c r="AB2743" s="10" t="s">
        <v>7621</v>
      </c>
      <c r="AC2743" s="10" t="s">
        <v>274</v>
      </c>
      <c r="AD2743" s="10" t="s">
        <v>20461</v>
      </c>
      <c r="AE2743" s="10" t="s">
        <v>20462</v>
      </c>
      <c r="AF2743" s="15"/>
      <c r="AG2743" s="10"/>
      <c r="AH2743" s="10"/>
      <c r="AI2743" s="10"/>
      <c r="AJ2743" s="10"/>
      <c r="AK2743" s="10" t="s">
        <v>102</v>
      </c>
      <c r="AL2743" s="10" t="s">
        <v>2098</v>
      </c>
      <c r="AM2743" s="10"/>
      <c r="AN2743" s="10"/>
      <c r="AO2743" s="13" t="b">
        <v>0</v>
      </c>
      <c r="AP2743" s="22" t="s">
        <v>104</v>
      </c>
      <c r="AQ2743" s="10">
        <f ca="1">IFERROR(__xludf.DUMMYFUNCTION("""COMPUTED_VALUE"""),4741288)</f>
        <v>4741288</v>
      </c>
      <c r="AR2743" s="17">
        <v>17601</v>
      </c>
      <c r="AS2743" s="17">
        <v>14591</v>
      </c>
      <c r="AT2743" s="17">
        <v>197679.75</v>
      </c>
      <c r="AU2743" s="17">
        <v>83.65</v>
      </c>
      <c r="AV2743" s="17">
        <v>14.9</v>
      </c>
      <c r="AW2743" s="10" t="s">
        <v>105</v>
      </c>
      <c r="AX2743" s="17">
        <v>4297</v>
      </c>
      <c r="AY2743" s="18">
        <v>13.548060448221506</v>
      </c>
      <c r="AZ2743" s="10" t="s">
        <v>3998</v>
      </c>
      <c r="BA2743" s="20" t="b">
        <v>0</v>
      </c>
      <c r="BB2743" s="10"/>
      <c r="BC2743" s="17">
        <v>17601</v>
      </c>
      <c r="BD2743" s="17">
        <v>14591</v>
      </c>
      <c r="BE2743" s="17">
        <v>197679.75</v>
      </c>
      <c r="BF2743" s="17">
        <v>14.9</v>
      </c>
      <c r="BG2743" s="11">
        <f ca="1">IFERROR(__xludf.DUMMYFUNCTION("""COMPUTED_VALUE"""),45990.8125)</f>
        <v>45990.8125</v>
      </c>
      <c r="BH2743" s="17" t="s">
        <v>105</v>
      </c>
      <c r="BI2743" s="17"/>
      <c r="BJ2743" s="15"/>
      <c r="BK2743" s="15"/>
      <c r="BL2743" s="13" t="b">
        <v>0</v>
      </c>
      <c r="BM2743" s="10"/>
      <c r="BN2743" s="10" t="s">
        <v>920</v>
      </c>
      <c r="BO2743" s="11">
        <v>45984.372916666667</v>
      </c>
      <c r="BP2743" s="11">
        <v>45984.37327546296</v>
      </c>
      <c r="BQ2743" s="15">
        <v>45988.867106481484</v>
      </c>
      <c r="BR2743" s="15">
        <v>45989.444409722222</v>
      </c>
      <c r="BS2743" s="10" t="s">
        <v>920</v>
      </c>
      <c r="BT2743" s="10"/>
      <c r="BU2743" s="10"/>
      <c r="BV2743" s="10"/>
      <c r="BW2743" s="10"/>
      <c r="BX2743" s="10"/>
      <c r="BY2743" s="23"/>
      <c r="BZ2743" s="23"/>
      <c r="CA2743" s="19" t="s">
        <v>20463</v>
      </c>
      <c r="CB2743" s="19" t="s">
        <v>20459</v>
      </c>
      <c r="CC2743" s="23"/>
      <c r="CD2743" s="23"/>
      <c r="CE2743" s="23"/>
      <c r="CF2743" s="23"/>
      <c r="CG2743" s="23"/>
      <c r="CH2743" s="23"/>
      <c r="CI2743" s="23"/>
    </row>
    <row r="2744" spans="1:87" x14ac:dyDescent="0.3">
      <c r="A2744" s="9" t="s">
        <v>20464</v>
      </c>
      <c r="B2744" s="10" t="s">
        <v>4299</v>
      </c>
      <c r="C2744" s="11">
        <v>46018.645833333336</v>
      </c>
      <c r="D2744" s="12">
        <v>8.3333333333333329E-2</v>
      </c>
      <c r="E2744" s="11">
        <v>46018.729166666664</v>
      </c>
      <c r="F2744" s="22" t="s">
        <v>3511</v>
      </c>
      <c r="G2744" s="13" t="b">
        <v>0</v>
      </c>
      <c r="H2744" s="22" t="s">
        <v>123</v>
      </c>
      <c r="I2744" s="10" t="s">
        <v>3548</v>
      </c>
      <c r="J2744" s="13" t="b">
        <v>0</v>
      </c>
      <c r="K2744" s="13" t="b">
        <v>1</v>
      </c>
      <c r="L2744" s="10" t="s">
        <v>124</v>
      </c>
      <c r="M2744" s="10" t="s">
        <v>91</v>
      </c>
      <c r="N2744" s="10" t="s">
        <v>3513</v>
      </c>
      <c r="O2744" s="19" t="s">
        <v>20465</v>
      </c>
      <c r="P2744" s="10"/>
      <c r="Q2744" s="10" t="s">
        <v>126</v>
      </c>
      <c r="R2744" s="10"/>
      <c r="S2744" s="19" t="s">
        <v>20466</v>
      </c>
      <c r="T2744" s="10"/>
      <c r="U2744" s="10" t="s">
        <v>3662</v>
      </c>
      <c r="V2744" s="10" t="s">
        <v>3636</v>
      </c>
      <c r="W2744" s="10" t="s">
        <v>3519</v>
      </c>
      <c r="X2744" s="10" t="s">
        <v>130</v>
      </c>
      <c r="Y2744" s="10" t="s">
        <v>130</v>
      </c>
      <c r="Z2744" s="10" t="s">
        <v>99</v>
      </c>
      <c r="AA2744" s="10" t="s">
        <v>131</v>
      </c>
      <c r="AB2744" s="10" t="s">
        <v>3520</v>
      </c>
      <c r="AC2744" s="10" t="s">
        <v>3521</v>
      </c>
      <c r="AD2744" s="10" t="s">
        <v>4300</v>
      </c>
      <c r="AE2744" s="10" t="s">
        <v>4301</v>
      </c>
      <c r="AF2744" s="15"/>
      <c r="AG2744" s="10" t="s">
        <v>3524</v>
      </c>
      <c r="AH2744" s="10" t="s">
        <v>3539</v>
      </c>
      <c r="AI2744" s="10" t="s">
        <v>3539</v>
      </c>
      <c r="AJ2744" s="10" t="s">
        <v>20467</v>
      </c>
      <c r="AK2744" s="10" t="s">
        <v>102</v>
      </c>
      <c r="AL2744" s="10" t="s">
        <v>195</v>
      </c>
      <c r="AM2744" s="10"/>
      <c r="AN2744" s="10"/>
      <c r="AO2744" s="13" t="b">
        <v>0</v>
      </c>
      <c r="AP2744" s="22" t="s">
        <v>104</v>
      </c>
      <c r="AQ2744" s="10">
        <f ca="1">IFERROR(__xludf.DUMMYFUNCTION("""COMPUTED_VALUE"""),4790745)</f>
        <v>4790745</v>
      </c>
      <c r="AR2744" s="17">
        <v>129770</v>
      </c>
      <c r="AS2744" s="17">
        <v>81968</v>
      </c>
      <c r="AT2744" s="17">
        <v>2577964</v>
      </c>
      <c r="AU2744" s="17">
        <v>1283.1500000000001</v>
      </c>
      <c r="AV2744" s="17">
        <v>295.75</v>
      </c>
      <c r="AW2744" s="10" t="s">
        <v>105</v>
      </c>
      <c r="AX2744" s="17">
        <v>30308</v>
      </c>
      <c r="AY2744" s="18">
        <v>31.450858871754832</v>
      </c>
      <c r="AZ2744" s="10"/>
      <c r="BA2744" s="20" t="b">
        <v>0</v>
      </c>
      <c r="BB2744" s="10"/>
      <c r="BC2744" s="17">
        <v>129770</v>
      </c>
      <c r="BD2744" s="17">
        <v>81968</v>
      </c>
      <c r="BE2744" s="17">
        <v>2577964</v>
      </c>
      <c r="BF2744" s="17">
        <v>295.75</v>
      </c>
      <c r="BG2744" s="11">
        <f ca="1">IFERROR(__xludf.DUMMYFUNCTION("""COMPUTED_VALUE"""),46018.6458333333)</f>
        <v>46018.645833333299</v>
      </c>
      <c r="BH2744" s="17" t="s">
        <v>105</v>
      </c>
      <c r="BI2744" s="17"/>
      <c r="BJ2744" s="15"/>
      <c r="BK2744" s="15"/>
      <c r="BL2744" s="13" t="b">
        <v>0</v>
      </c>
      <c r="BM2744" s="10"/>
      <c r="BN2744" s="10" t="s">
        <v>278</v>
      </c>
      <c r="BO2744" s="11">
        <v>45985.575694444444</v>
      </c>
      <c r="BP2744" s="11">
        <v>46010.772939814815</v>
      </c>
      <c r="BQ2744" s="15">
        <v>46014.414224537039</v>
      </c>
      <c r="BR2744" s="15">
        <v>46013.479791666665</v>
      </c>
      <c r="BS2744" s="10" t="s">
        <v>278</v>
      </c>
      <c r="BT2744" s="10" t="s">
        <v>99</v>
      </c>
      <c r="BU2744" s="10" t="s">
        <v>498</v>
      </c>
      <c r="BV2744" s="10"/>
      <c r="BW2744" s="10"/>
      <c r="BX2744" s="10"/>
      <c r="BY2744" s="23"/>
      <c r="BZ2744" s="23"/>
      <c r="CA2744" s="19" t="s">
        <v>20468</v>
      </c>
      <c r="CB2744" s="19" t="s">
        <v>20469</v>
      </c>
      <c r="CC2744" s="23"/>
      <c r="CD2744" s="19" t="s">
        <v>20470</v>
      </c>
      <c r="CE2744" s="23"/>
      <c r="CF2744" s="23"/>
      <c r="CG2744" s="23"/>
      <c r="CH2744" s="23"/>
      <c r="CI2744" s="23"/>
    </row>
    <row r="2745" spans="1:87" x14ac:dyDescent="0.3">
      <c r="A2745" s="9" t="s">
        <v>20471</v>
      </c>
      <c r="B2745" s="10" t="s">
        <v>4325</v>
      </c>
      <c r="C2745" s="11">
        <v>46018.791666666664</v>
      </c>
      <c r="D2745" s="12">
        <v>8.3333333333333329E-2</v>
      </c>
      <c r="E2745" s="11">
        <v>46018.875</v>
      </c>
      <c r="F2745" s="22" t="s">
        <v>3511</v>
      </c>
      <c r="G2745" s="13" t="b">
        <v>0</v>
      </c>
      <c r="H2745" s="22" t="s">
        <v>123</v>
      </c>
      <c r="I2745" s="10" t="s">
        <v>3548</v>
      </c>
      <c r="J2745" s="13" t="b">
        <v>0</v>
      </c>
      <c r="K2745" s="13" t="b">
        <v>1</v>
      </c>
      <c r="L2745" s="10" t="s">
        <v>124</v>
      </c>
      <c r="M2745" s="10" t="s">
        <v>91</v>
      </c>
      <c r="N2745" s="10" t="s">
        <v>3513</v>
      </c>
      <c r="O2745" s="19" t="s">
        <v>20472</v>
      </c>
      <c r="P2745" s="10"/>
      <c r="Q2745" s="10" t="s">
        <v>126</v>
      </c>
      <c r="R2745" s="10"/>
      <c r="S2745" s="19" t="s">
        <v>20473</v>
      </c>
      <c r="T2745" s="10"/>
      <c r="U2745" s="10" t="s">
        <v>3609</v>
      </c>
      <c r="V2745" s="10" t="s">
        <v>3535</v>
      </c>
      <c r="W2745" s="10" t="s">
        <v>3519</v>
      </c>
      <c r="X2745" s="10" t="s">
        <v>130</v>
      </c>
      <c r="Y2745" s="10" t="s">
        <v>130</v>
      </c>
      <c r="Z2745" s="10" t="s">
        <v>99</v>
      </c>
      <c r="AA2745" s="10" t="s">
        <v>131</v>
      </c>
      <c r="AB2745" s="10" t="s">
        <v>3520</v>
      </c>
      <c r="AC2745" s="10" t="s">
        <v>3521</v>
      </c>
      <c r="AD2745" s="10" t="s">
        <v>4326</v>
      </c>
      <c r="AE2745" s="10" t="s">
        <v>4327</v>
      </c>
      <c r="AF2745" s="15"/>
      <c r="AG2745" s="10" t="s">
        <v>3524</v>
      </c>
      <c r="AH2745" s="10" t="s">
        <v>3539</v>
      </c>
      <c r="AI2745" s="10" t="s">
        <v>3539</v>
      </c>
      <c r="AJ2745" s="10" t="s">
        <v>20474</v>
      </c>
      <c r="AK2745" s="10" t="s">
        <v>102</v>
      </c>
      <c r="AL2745" s="10" t="s">
        <v>195</v>
      </c>
      <c r="AM2745" s="10"/>
      <c r="AN2745" s="10"/>
      <c r="AO2745" s="13" t="b">
        <v>1</v>
      </c>
      <c r="AP2745" s="22" t="s">
        <v>104</v>
      </c>
      <c r="AQ2745" s="10">
        <f ca="1">IFERROR(__xludf.DUMMYFUNCTION("""COMPUTED_VALUE"""),4790746)</f>
        <v>4790746</v>
      </c>
      <c r="AR2745" s="17">
        <v>622890</v>
      </c>
      <c r="AS2745" s="17">
        <v>284379</v>
      </c>
      <c r="AT2745" s="17">
        <v>18534862.5</v>
      </c>
      <c r="AU2745" s="17">
        <v>13416.65</v>
      </c>
      <c r="AV2745" s="17">
        <v>4478.2</v>
      </c>
      <c r="AW2745" s="10" t="s">
        <v>297</v>
      </c>
      <c r="AX2745" s="17">
        <v>177776</v>
      </c>
      <c r="AY2745" s="18">
        <v>65.176621691475106</v>
      </c>
      <c r="AZ2745" s="10"/>
      <c r="BA2745" s="20" t="b">
        <v>0</v>
      </c>
      <c r="BB2745" s="10"/>
      <c r="BC2745" s="17">
        <v>622890</v>
      </c>
      <c r="BD2745" s="17">
        <v>284379</v>
      </c>
      <c r="BE2745" s="17">
        <v>18534862.5</v>
      </c>
      <c r="BF2745" s="17">
        <v>4478.2</v>
      </c>
      <c r="BG2745" s="11">
        <f ca="1">IFERROR(__xludf.DUMMYFUNCTION("""COMPUTED_VALUE"""),46018.7916666666)</f>
        <v>46018.791666666599</v>
      </c>
      <c r="BH2745" s="17" t="s">
        <v>297</v>
      </c>
      <c r="BI2745" s="17"/>
      <c r="BJ2745" s="15"/>
      <c r="BK2745" s="15"/>
      <c r="BL2745" s="13" t="b">
        <v>0</v>
      </c>
      <c r="BM2745" s="10"/>
      <c r="BN2745" s="10" t="s">
        <v>278</v>
      </c>
      <c r="BO2745" s="11">
        <v>45985.579861111109</v>
      </c>
      <c r="BP2745" s="11">
        <v>46010.779942129629</v>
      </c>
      <c r="BQ2745" s="15">
        <v>46014.413715277777</v>
      </c>
      <c r="BR2745" s="15">
        <v>46013.479930555557</v>
      </c>
      <c r="BS2745" s="10" t="s">
        <v>278</v>
      </c>
      <c r="BT2745" s="10" t="s">
        <v>99</v>
      </c>
      <c r="BU2745" s="10" t="s">
        <v>498</v>
      </c>
      <c r="BV2745" s="10" t="s">
        <v>281</v>
      </c>
      <c r="BW2745" s="10" t="s">
        <v>2100</v>
      </c>
      <c r="BX2745" s="10"/>
      <c r="BY2745" s="23"/>
      <c r="BZ2745" s="23"/>
      <c r="CA2745" s="19" t="s">
        <v>20475</v>
      </c>
      <c r="CB2745" s="19" t="s">
        <v>20476</v>
      </c>
      <c r="CC2745" s="23"/>
      <c r="CD2745" s="19" t="s">
        <v>20477</v>
      </c>
      <c r="CE2745" s="23"/>
      <c r="CF2745" s="23"/>
      <c r="CG2745" s="23"/>
      <c r="CH2745" s="23"/>
      <c r="CI2745" s="23"/>
    </row>
    <row r="2746" spans="1:87" x14ac:dyDescent="0.3">
      <c r="A2746" s="9" t="s">
        <v>20478</v>
      </c>
      <c r="B2746" s="10" t="s">
        <v>4118</v>
      </c>
      <c r="C2746" s="11">
        <v>46019</v>
      </c>
      <c r="D2746" s="12">
        <v>8.3333333333333329E-2</v>
      </c>
      <c r="E2746" s="11">
        <v>46019.083333333336</v>
      </c>
      <c r="F2746" s="22" t="s">
        <v>3511</v>
      </c>
      <c r="G2746" s="13" t="b">
        <v>0</v>
      </c>
      <c r="H2746" s="22"/>
      <c r="I2746" s="10" t="s">
        <v>3548</v>
      </c>
      <c r="J2746" s="13" t="b">
        <v>0</v>
      </c>
      <c r="K2746" s="13" t="b">
        <v>1</v>
      </c>
      <c r="L2746" s="10" t="s">
        <v>124</v>
      </c>
      <c r="M2746" s="10" t="s">
        <v>91</v>
      </c>
      <c r="N2746" s="10" t="s">
        <v>92</v>
      </c>
      <c r="O2746" s="10"/>
      <c r="P2746" s="10"/>
      <c r="Q2746" s="10" t="s">
        <v>126</v>
      </c>
      <c r="R2746" s="10"/>
      <c r="S2746" s="10"/>
      <c r="T2746" s="10"/>
      <c r="U2746" s="10" t="s">
        <v>3551</v>
      </c>
      <c r="V2746" s="10" t="s">
        <v>3610</v>
      </c>
      <c r="W2746" s="10" t="s">
        <v>3519</v>
      </c>
      <c r="X2746" s="10" t="s">
        <v>130</v>
      </c>
      <c r="Y2746" s="10" t="s">
        <v>130</v>
      </c>
      <c r="Z2746" s="10" t="s">
        <v>99</v>
      </c>
      <c r="AA2746" s="10" t="s">
        <v>131</v>
      </c>
      <c r="AB2746" s="10" t="s">
        <v>3520</v>
      </c>
      <c r="AC2746" s="10" t="s">
        <v>3521</v>
      </c>
      <c r="AD2746" s="10" t="s">
        <v>4121</v>
      </c>
      <c r="AE2746" s="10" t="s">
        <v>4122</v>
      </c>
      <c r="AF2746" s="15"/>
      <c r="AG2746" s="10" t="s">
        <v>3524</v>
      </c>
      <c r="AH2746" s="10" t="s">
        <v>3539</v>
      </c>
      <c r="AI2746" s="10" t="s">
        <v>3539</v>
      </c>
      <c r="AJ2746" s="10"/>
      <c r="AK2746" s="10" t="s">
        <v>256</v>
      </c>
      <c r="AL2746" s="10" t="s">
        <v>176</v>
      </c>
      <c r="AM2746" s="10"/>
      <c r="AN2746" s="10"/>
      <c r="AO2746" s="13" t="b">
        <v>0</v>
      </c>
      <c r="AP2746" s="22" t="s">
        <v>104</v>
      </c>
      <c r="AQ2746" s="10"/>
      <c r="AR2746" s="17"/>
      <c r="AS2746" s="17"/>
      <c r="AT2746" s="17"/>
      <c r="AU2746" s="17"/>
      <c r="AV2746" s="17"/>
      <c r="AW2746" s="10"/>
      <c r="AX2746" s="17"/>
      <c r="AY2746" s="18" t="s">
        <v>257</v>
      </c>
      <c r="AZ2746" s="10"/>
      <c r="BA2746" s="20" t="b">
        <v>0</v>
      </c>
      <c r="BB2746" s="10"/>
      <c r="BC2746" s="17" t="s">
        <v>257</v>
      </c>
      <c r="BD2746" s="17" t="s">
        <v>257</v>
      </c>
      <c r="BE2746" s="17" t="s">
        <v>257</v>
      </c>
      <c r="BF2746" s="17" t="s">
        <v>257</v>
      </c>
      <c r="BG2746" s="11">
        <f ca="1">IFERROR(__xludf.DUMMYFUNCTION("""COMPUTED_VALUE"""),46019)</f>
        <v>46019</v>
      </c>
      <c r="BH2746" s="17"/>
      <c r="BI2746" s="17"/>
      <c r="BJ2746" s="15"/>
      <c r="BK2746" s="15"/>
      <c r="BL2746" s="13" t="b">
        <v>0</v>
      </c>
      <c r="BM2746" s="10"/>
      <c r="BN2746" s="10" t="s">
        <v>3527</v>
      </c>
      <c r="BO2746" s="11">
        <v>45985.581250000003</v>
      </c>
      <c r="BP2746" s="11">
        <v>45985.584641203706</v>
      </c>
      <c r="BQ2746" s="15"/>
      <c r="BR2746" s="15"/>
      <c r="BS2746" s="10"/>
      <c r="BT2746" s="10"/>
      <c r="BU2746" s="10"/>
      <c r="BV2746" s="10"/>
      <c r="BW2746" s="10"/>
      <c r="BX2746" s="10"/>
      <c r="BY2746" s="23"/>
      <c r="BZ2746" s="23"/>
      <c r="CA2746" s="23"/>
      <c r="CB2746" s="23"/>
      <c r="CC2746" s="23"/>
      <c r="CD2746" s="23"/>
      <c r="CE2746" s="23"/>
      <c r="CF2746" s="23"/>
      <c r="CG2746" s="23"/>
      <c r="CH2746" s="23"/>
      <c r="CI2746" s="23"/>
    </row>
    <row r="2747" spans="1:87" x14ac:dyDescent="0.3">
      <c r="A2747" s="9" t="s">
        <v>20479</v>
      </c>
      <c r="B2747" s="10" t="s">
        <v>4303</v>
      </c>
      <c r="C2747" s="11">
        <v>46019.645833333336</v>
      </c>
      <c r="D2747" s="12">
        <v>8.3333333333333329E-2</v>
      </c>
      <c r="E2747" s="11">
        <v>46019.729166666664</v>
      </c>
      <c r="F2747" s="22" t="s">
        <v>3511</v>
      </c>
      <c r="G2747" s="13" t="b">
        <v>0</v>
      </c>
      <c r="H2747" s="22" t="s">
        <v>123</v>
      </c>
      <c r="I2747" s="10" t="s">
        <v>3548</v>
      </c>
      <c r="J2747" s="13" t="b">
        <v>0</v>
      </c>
      <c r="K2747" s="13" t="b">
        <v>1</v>
      </c>
      <c r="L2747" s="10" t="s">
        <v>124</v>
      </c>
      <c r="M2747" s="10" t="s">
        <v>91</v>
      </c>
      <c r="N2747" s="10" t="s">
        <v>3513</v>
      </c>
      <c r="O2747" s="19" t="s">
        <v>20480</v>
      </c>
      <c r="P2747" s="10"/>
      <c r="Q2747" s="10" t="s">
        <v>126</v>
      </c>
      <c r="R2747" s="10"/>
      <c r="S2747" s="19" t="s">
        <v>20481</v>
      </c>
      <c r="T2747" s="10"/>
      <c r="U2747" s="10" t="s">
        <v>3551</v>
      </c>
      <c r="V2747" s="10" t="s">
        <v>3536</v>
      </c>
      <c r="W2747" s="10" t="s">
        <v>3519</v>
      </c>
      <c r="X2747" s="10" t="s">
        <v>130</v>
      </c>
      <c r="Y2747" s="10" t="s">
        <v>130</v>
      </c>
      <c r="Z2747" s="10" t="s">
        <v>99</v>
      </c>
      <c r="AA2747" s="10" t="s">
        <v>131</v>
      </c>
      <c r="AB2747" s="10" t="s">
        <v>3520</v>
      </c>
      <c r="AC2747" s="10" t="s">
        <v>3521</v>
      </c>
      <c r="AD2747" s="10" t="s">
        <v>20482</v>
      </c>
      <c r="AE2747" s="10" t="s">
        <v>4305</v>
      </c>
      <c r="AF2747" s="15"/>
      <c r="AG2747" s="10" t="s">
        <v>3524</v>
      </c>
      <c r="AH2747" s="10" t="s">
        <v>3539</v>
      </c>
      <c r="AI2747" s="10" t="s">
        <v>3539</v>
      </c>
      <c r="AJ2747" s="10" t="s">
        <v>20483</v>
      </c>
      <c r="AK2747" s="10" t="s">
        <v>102</v>
      </c>
      <c r="AL2747" s="10" t="s">
        <v>195</v>
      </c>
      <c r="AM2747" s="10"/>
      <c r="AN2747" s="10"/>
      <c r="AO2747" s="13" t="b">
        <v>1</v>
      </c>
      <c r="AP2747" s="22" t="s">
        <v>104</v>
      </c>
      <c r="AQ2747" s="10">
        <f ca="1">IFERROR(__xludf.DUMMYFUNCTION("""COMPUTED_VALUE"""),4790748)</f>
        <v>4790748</v>
      </c>
      <c r="AR2747" s="17">
        <v>212418</v>
      </c>
      <c r="AS2747" s="17">
        <v>141474</v>
      </c>
      <c r="AT2747" s="17">
        <v>4238996</v>
      </c>
      <c r="AU2747" s="17">
        <v>1848.65</v>
      </c>
      <c r="AV2747" s="17">
        <v>424.9</v>
      </c>
      <c r="AW2747" s="10" t="s">
        <v>105</v>
      </c>
      <c r="AX2747" s="17">
        <v>47516</v>
      </c>
      <c r="AY2747" s="18">
        <v>29.963074487184926</v>
      </c>
      <c r="AZ2747" s="10"/>
      <c r="BA2747" s="20" t="b">
        <v>0</v>
      </c>
      <c r="BB2747" s="10"/>
      <c r="BC2747" s="17">
        <v>212418</v>
      </c>
      <c r="BD2747" s="17">
        <v>141474</v>
      </c>
      <c r="BE2747" s="17">
        <v>4238996</v>
      </c>
      <c r="BF2747" s="17">
        <v>424.9</v>
      </c>
      <c r="BG2747" s="11">
        <f ca="1">IFERROR(__xludf.DUMMYFUNCTION("""COMPUTED_VALUE"""),46019.6458333333)</f>
        <v>46019.645833333299</v>
      </c>
      <c r="BH2747" s="17" t="s">
        <v>105</v>
      </c>
      <c r="BI2747" s="17"/>
      <c r="BJ2747" s="15"/>
      <c r="BK2747" s="15"/>
      <c r="BL2747" s="13" t="b">
        <v>0</v>
      </c>
      <c r="BM2747" s="10"/>
      <c r="BN2747" s="10" t="s">
        <v>137</v>
      </c>
      <c r="BO2747" s="11">
        <v>45985.581944444442</v>
      </c>
      <c r="BP2747" s="11">
        <v>46010.783009259256</v>
      </c>
      <c r="BQ2747" s="15">
        <v>46014.414976851855</v>
      </c>
      <c r="BR2747" s="15">
        <v>46013.609756944446</v>
      </c>
      <c r="BS2747" s="10" t="s">
        <v>137</v>
      </c>
      <c r="BT2747" s="10" t="s">
        <v>99</v>
      </c>
      <c r="BU2747" s="10" t="s">
        <v>280</v>
      </c>
      <c r="BV2747" s="10" t="s">
        <v>124</v>
      </c>
      <c r="BW2747" s="10"/>
      <c r="BX2747" s="10"/>
      <c r="BY2747" s="23"/>
      <c r="BZ2747" s="23"/>
      <c r="CA2747" s="19" t="s">
        <v>20484</v>
      </c>
      <c r="CB2747" s="19" t="s">
        <v>20485</v>
      </c>
      <c r="CC2747" s="23"/>
      <c r="CD2747" s="19" t="s">
        <v>20486</v>
      </c>
      <c r="CE2747" s="23"/>
      <c r="CF2747" s="23"/>
      <c r="CG2747" s="23"/>
      <c r="CH2747" s="23"/>
      <c r="CI2747" s="23"/>
    </row>
    <row r="2748" spans="1:87" x14ac:dyDescent="0.3">
      <c r="A2748" s="9" t="s">
        <v>20487</v>
      </c>
      <c r="B2748" s="10" t="s">
        <v>4311</v>
      </c>
      <c r="C2748" s="11">
        <v>46019.5625</v>
      </c>
      <c r="D2748" s="12">
        <v>8.3333333333333329E-2</v>
      </c>
      <c r="E2748" s="11">
        <v>46019.645833333336</v>
      </c>
      <c r="F2748" s="22" t="s">
        <v>3511</v>
      </c>
      <c r="G2748" s="13" t="b">
        <v>0</v>
      </c>
      <c r="H2748" s="22" t="s">
        <v>123</v>
      </c>
      <c r="I2748" s="10" t="s">
        <v>3548</v>
      </c>
      <c r="J2748" s="13" t="b">
        <v>0</v>
      </c>
      <c r="K2748" s="13" t="b">
        <v>1</v>
      </c>
      <c r="L2748" s="10" t="s">
        <v>124</v>
      </c>
      <c r="M2748" s="10" t="s">
        <v>91</v>
      </c>
      <c r="N2748" s="10" t="s">
        <v>3513</v>
      </c>
      <c r="O2748" s="19" t="s">
        <v>20488</v>
      </c>
      <c r="P2748" s="10"/>
      <c r="Q2748" s="10" t="s">
        <v>126</v>
      </c>
      <c r="R2748" s="10"/>
      <c r="S2748" s="19" t="s">
        <v>20489</v>
      </c>
      <c r="T2748" s="10"/>
      <c r="U2748" s="10" t="s">
        <v>3623</v>
      </c>
      <c r="V2748" s="10" t="s">
        <v>3517</v>
      </c>
      <c r="W2748" s="10" t="s">
        <v>3519</v>
      </c>
      <c r="X2748" s="10" t="s">
        <v>130</v>
      </c>
      <c r="Y2748" s="10" t="s">
        <v>130</v>
      </c>
      <c r="Z2748" s="10" t="s">
        <v>99</v>
      </c>
      <c r="AA2748" s="10" t="s">
        <v>131</v>
      </c>
      <c r="AB2748" s="10" t="s">
        <v>3520</v>
      </c>
      <c r="AC2748" s="10" t="s">
        <v>3521</v>
      </c>
      <c r="AD2748" s="10" t="s">
        <v>4313</v>
      </c>
      <c r="AE2748" s="10" t="s">
        <v>4314</v>
      </c>
      <c r="AF2748" s="15"/>
      <c r="AG2748" s="10" t="s">
        <v>3524</v>
      </c>
      <c r="AH2748" s="10" t="s">
        <v>3539</v>
      </c>
      <c r="AI2748" s="10" t="s">
        <v>3539</v>
      </c>
      <c r="AJ2748" s="10" t="s">
        <v>20490</v>
      </c>
      <c r="AK2748" s="10" t="s">
        <v>102</v>
      </c>
      <c r="AL2748" s="10" t="s">
        <v>195</v>
      </c>
      <c r="AM2748" s="10"/>
      <c r="AN2748" s="10"/>
      <c r="AO2748" s="13" t="b">
        <v>0</v>
      </c>
      <c r="AP2748" s="22" t="s">
        <v>104</v>
      </c>
      <c r="AQ2748" s="10">
        <f ca="1">IFERROR(__xludf.DUMMYFUNCTION("""COMPUTED_VALUE"""),4790747)</f>
        <v>4790747</v>
      </c>
      <c r="AR2748" s="17">
        <v>229779</v>
      </c>
      <c r="AS2748" s="17">
        <v>120339</v>
      </c>
      <c r="AT2748" s="17">
        <v>5081348.25</v>
      </c>
      <c r="AU2748" s="17">
        <v>1451.05</v>
      </c>
      <c r="AV2748" s="17">
        <v>295.39999999999998</v>
      </c>
      <c r="AW2748" s="10" t="s">
        <v>105</v>
      </c>
      <c r="AX2748" s="17">
        <v>75591</v>
      </c>
      <c r="AY2748" s="18">
        <v>42.225282327425028</v>
      </c>
      <c r="AZ2748" s="10"/>
      <c r="BA2748" s="20" t="b">
        <v>0</v>
      </c>
      <c r="BB2748" s="10"/>
      <c r="BC2748" s="17">
        <v>229779</v>
      </c>
      <c r="BD2748" s="17">
        <v>120339</v>
      </c>
      <c r="BE2748" s="17">
        <v>5081348.25</v>
      </c>
      <c r="BF2748" s="17">
        <v>295.39999999999998</v>
      </c>
      <c r="BG2748" s="11">
        <f ca="1">IFERROR(__xludf.DUMMYFUNCTION("""COMPUTED_VALUE"""),46019.5625)</f>
        <v>46019.5625</v>
      </c>
      <c r="BH2748" s="17" t="s">
        <v>105</v>
      </c>
      <c r="BI2748" s="17"/>
      <c r="BJ2748" s="15"/>
      <c r="BK2748" s="15"/>
      <c r="BL2748" s="13" t="b">
        <v>0</v>
      </c>
      <c r="BM2748" s="10"/>
      <c r="BN2748" s="10" t="s">
        <v>137</v>
      </c>
      <c r="BO2748" s="11">
        <v>45985.584722222222</v>
      </c>
      <c r="BP2748" s="11">
        <v>46010.780949074076</v>
      </c>
      <c r="BQ2748" s="15">
        <v>46014.414675925924</v>
      </c>
      <c r="BR2748" s="15">
        <v>46013.480138888888</v>
      </c>
      <c r="BS2748" s="10" t="s">
        <v>137</v>
      </c>
      <c r="BT2748" s="10" t="s">
        <v>99</v>
      </c>
      <c r="BU2748" s="10" t="s">
        <v>298</v>
      </c>
      <c r="BV2748" s="10"/>
      <c r="BW2748" s="10"/>
      <c r="BX2748" s="10"/>
      <c r="BY2748" s="23"/>
      <c r="BZ2748" s="23"/>
      <c r="CA2748" s="19" t="s">
        <v>20491</v>
      </c>
      <c r="CB2748" s="19" t="s">
        <v>20492</v>
      </c>
      <c r="CC2748" s="23"/>
      <c r="CD2748" s="19" t="s">
        <v>20493</v>
      </c>
      <c r="CE2748" s="23"/>
      <c r="CF2748" s="23"/>
      <c r="CG2748" s="23"/>
      <c r="CH2748" s="23"/>
      <c r="CI2748" s="23"/>
    </row>
    <row r="2749" spans="1:87" x14ac:dyDescent="0.3">
      <c r="A2749" s="9" t="s">
        <v>20494</v>
      </c>
      <c r="B2749" s="10" t="s">
        <v>4317</v>
      </c>
      <c r="C2749" s="11">
        <v>46019.791666666664</v>
      </c>
      <c r="D2749" s="12">
        <v>8.3333333333333329E-2</v>
      </c>
      <c r="E2749" s="11">
        <v>46019.875</v>
      </c>
      <c r="F2749" s="22" t="s">
        <v>3511</v>
      </c>
      <c r="G2749" s="13" t="b">
        <v>0</v>
      </c>
      <c r="H2749" s="22" t="s">
        <v>236</v>
      </c>
      <c r="I2749" s="10" t="s">
        <v>212</v>
      </c>
      <c r="J2749" s="13" t="b">
        <v>1</v>
      </c>
      <c r="K2749" s="13" t="b">
        <v>0</v>
      </c>
      <c r="L2749" s="10" t="s">
        <v>124</v>
      </c>
      <c r="M2749" s="10" t="s">
        <v>91</v>
      </c>
      <c r="N2749" s="10" t="s">
        <v>3513</v>
      </c>
      <c r="O2749" s="19" t="s">
        <v>20495</v>
      </c>
      <c r="P2749" s="10"/>
      <c r="Q2749" s="10" t="s">
        <v>126</v>
      </c>
      <c r="R2749" s="10"/>
      <c r="S2749" s="19" t="s">
        <v>20496</v>
      </c>
      <c r="T2749" s="19" t="s">
        <v>20497</v>
      </c>
      <c r="U2749" s="10" t="s">
        <v>3635</v>
      </c>
      <c r="V2749" s="10" t="s">
        <v>3610</v>
      </c>
      <c r="W2749" s="10" t="s">
        <v>3519</v>
      </c>
      <c r="X2749" s="10" t="s">
        <v>130</v>
      </c>
      <c r="Y2749" s="10" t="s">
        <v>130</v>
      </c>
      <c r="Z2749" s="10" t="s">
        <v>99</v>
      </c>
      <c r="AA2749" s="10" t="s">
        <v>131</v>
      </c>
      <c r="AB2749" s="10" t="s">
        <v>3520</v>
      </c>
      <c r="AC2749" s="10" t="s">
        <v>3521</v>
      </c>
      <c r="AD2749" s="10" t="s">
        <v>4318</v>
      </c>
      <c r="AE2749" s="10" t="s">
        <v>4319</v>
      </c>
      <c r="AF2749" s="15"/>
      <c r="AG2749" s="10" t="s">
        <v>3524</v>
      </c>
      <c r="AH2749" s="10" t="s">
        <v>3539</v>
      </c>
      <c r="AI2749" s="10" t="s">
        <v>3539</v>
      </c>
      <c r="AJ2749" s="10" t="s">
        <v>20498</v>
      </c>
      <c r="AK2749" s="10" t="s">
        <v>102</v>
      </c>
      <c r="AL2749" s="10" t="s">
        <v>195</v>
      </c>
      <c r="AM2749" s="10"/>
      <c r="AN2749" s="10"/>
      <c r="AO2749" s="13" t="b">
        <v>0</v>
      </c>
      <c r="AP2749" s="22" t="s">
        <v>104</v>
      </c>
      <c r="AQ2749" s="10">
        <f ca="1">IFERROR(__xludf.DUMMYFUNCTION("""COMPUTED_VALUE"""),4795168)</f>
        <v>4795168</v>
      </c>
      <c r="AR2749" s="17">
        <v>238653</v>
      </c>
      <c r="AS2749" s="17">
        <v>161546</v>
      </c>
      <c r="AT2749" s="17">
        <v>3991247.25</v>
      </c>
      <c r="AU2749" s="17">
        <v>650.65</v>
      </c>
      <c r="AV2749" s="17">
        <v>109.25</v>
      </c>
      <c r="AW2749" s="10" t="s">
        <v>105</v>
      </c>
      <c r="AX2749" s="17">
        <v>45919</v>
      </c>
      <c r="AY2749" s="18">
        <v>24.706568098250653</v>
      </c>
      <c r="AZ2749" s="10"/>
      <c r="BA2749" s="20" t="b">
        <v>0</v>
      </c>
      <c r="BB2749" s="10"/>
      <c r="BC2749" s="17">
        <v>238653</v>
      </c>
      <c r="BD2749" s="17">
        <v>161546</v>
      </c>
      <c r="BE2749" s="17">
        <v>3991247.25</v>
      </c>
      <c r="BF2749" s="17">
        <v>109.25</v>
      </c>
      <c r="BG2749" s="11">
        <f ca="1">IFERROR(__xludf.DUMMYFUNCTION("""COMPUTED_VALUE"""),46019.7916666666)</f>
        <v>46019.791666666599</v>
      </c>
      <c r="BH2749" s="17" t="s">
        <v>105</v>
      </c>
      <c r="BI2749" s="17"/>
      <c r="BJ2749" s="15"/>
      <c r="BK2749" s="15"/>
      <c r="BL2749" s="13" t="b">
        <v>0</v>
      </c>
      <c r="BM2749" s="10"/>
      <c r="BN2749" s="10" t="s">
        <v>278</v>
      </c>
      <c r="BO2749" s="11">
        <v>45985.585416666669</v>
      </c>
      <c r="BP2749" s="11">
        <v>46010.790300925924</v>
      </c>
      <c r="BQ2749" s="15">
        <v>46014.415162037039</v>
      </c>
      <c r="BR2749" s="15">
        <v>46017.083229166667</v>
      </c>
      <c r="BS2749" s="10" t="s">
        <v>278</v>
      </c>
      <c r="BT2749" s="10" t="s">
        <v>99</v>
      </c>
      <c r="BU2749" s="10" t="s">
        <v>298</v>
      </c>
      <c r="BV2749" s="10"/>
      <c r="BW2749" s="10"/>
      <c r="BX2749" s="10"/>
      <c r="BY2749" s="23"/>
      <c r="BZ2749" s="23"/>
      <c r="CA2749" s="19" t="s">
        <v>20499</v>
      </c>
      <c r="CB2749" s="19" t="s">
        <v>20497</v>
      </c>
      <c r="CC2749" s="23"/>
      <c r="CD2749" s="19" t="s">
        <v>20500</v>
      </c>
      <c r="CE2749" s="23"/>
      <c r="CF2749" s="23"/>
      <c r="CG2749" s="23"/>
      <c r="CH2749" s="23"/>
      <c r="CI2749" s="23"/>
    </row>
    <row r="2750" spans="1:87" x14ac:dyDescent="0.3">
      <c r="A2750" s="9" t="s">
        <v>20501</v>
      </c>
      <c r="B2750" s="10" t="s">
        <v>4294</v>
      </c>
      <c r="C2750" s="11">
        <v>46020.645833333336</v>
      </c>
      <c r="D2750" s="12">
        <v>8.3333333333333329E-2</v>
      </c>
      <c r="E2750" s="11">
        <v>46020.729166666664</v>
      </c>
      <c r="F2750" s="22" t="s">
        <v>3511</v>
      </c>
      <c r="G2750" s="13" t="b">
        <v>0</v>
      </c>
      <c r="H2750" s="22" t="s">
        <v>123</v>
      </c>
      <c r="I2750" s="10" t="s">
        <v>3548</v>
      </c>
      <c r="J2750" s="13" t="b">
        <v>0</v>
      </c>
      <c r="K2750" s="13" t="b">
        <v>1</v>
      </c>
      <c r="L2750" s="10" t="s">
        <v>124</v>
      </c>
      <c r="M2750" s="10" t="s">
        <v>91</v>
      </c>
      <c r="N2750" s="10" t="s">
        <v>3513</v>
      </c>
      <c r="O2750" s="19" t="s">
        <v>20502</v>
      </c>
      <c r="P2750" s="10"/>
      <c r="Q2750" s="10" t="s">
        <v>126</v>
      </c>
      <c r="R2750" s="10"/>
      <c r="S2750" s="19" t="s">
        <v>20503</v>
      </c>
      <c r="T2750" s="10"/>
      <c r="U2750" s="10" t="s">
        <v>3661</v>
      </c>
      <c r="V2750" s="10" t="s">
        <v>3622</v>
      </c>
      <c r="W2750" s="10" t="s">
        <v>3519</v>
      </c>
      <c r="X2750" s="10" t="s">
        <v>130</v>
      </c>
      <c r="Y2750" s="10" t="s">
        <v>130</v>
      </c>
      <c r="Z2750" s="10" t="s">
        <v>99</v>
      </c>
      <c r="AA2750" s="10" t="s">
        <v>131</v>
      </c>
      <c r="AB2750" s="10" t="s">
        <v>3520</v>
      </c>
      <c r="AC2750" s="10" t="s">
        <v>3521</v>
      </c>
      <c r="AD2750" s="10" t="s">
        <v>4295</v>
      </c>
      <c r="AE2750" s="10" t="s">
        <v>4296</v>
      </c>
      <c r="AF2750" s="15"/>
      <c r="AG2750" s="10" t="s">
        <v>3524</v>
      </c>
      <c r="AH2750" s="10" t="s">
        <v>3539</v>
      </c>
      <c r="AI2750" s="10" t="s">
        <v>3539</v>
      </c>
      <c r="AJ2750" s="10" t="s">
        <v>20504</v>
      </c>
      <c r="AK2750" s="10" t="s">
        <v>102</v>
      </c>
      <c r="AL2750" s="10" t="s">
        <v>195</v>
      </c>
      <c r="AM2750" s="10"/>
      <c r="AN2750" s="10"/>
      <c r="AO2750" s="13" t="b">
        <v>1</v>
      </c>
      <c r="AP2750" s="22" t="s">
        <v>104</v>
      </c>
      <c r="AQ2750" s="10">
        <f ca="1">IFERROR(__xludf.DUMMYFUNCTION("""COMPUTED_VALUE"""),4797261)</f>
        <v>4797261</v>
      </c>
      <c r="AR2750" s="17">
        <v>176985</v>
      </c>
      <c r="AS2750" s="17">
        <v>113945</v>
      </c>
      <c r="AT2750" s="17">
        <v>2906283.5</v>
      </c>
      <c r="AU2750" s="17">
        <v>908.85</v>
      </c>
      <c r="AV2750" s="17">
        <v>156.35</v>
      </c>
      <c r="AW2750" s="10" t="s">
        <v>105</v>
      </c>
      <c r="AX2750" s="17">
        <v>37098</v>
      </c>
      <c r="AY2750" s="18">
        <v>25.506020448461978</v>
      </c>
      <c r="AZ2750" s="10"/>
      <c r="BA2750" s="20" t="b">
        <v>0</v>
      </c>
      <c r="BB2750" s="10"/>
      <c r="BC2750" s="17">
        <v>176985</v>
      </c>
      <c r="BD2750" s="17">
        <v>113945</v>
      </c>
      <c r="BE2750" s="17">
        <v>2906283.5</v>
      </c>
      <c r="BF2750" s="17">
        <v>156.35</v>
      </c>
      <c r="BG2750" s="11">
        <f ca="1">IFERROR(__xludf.DUMMYFUNCTION("""COMPUTED_VALUE"""),46020.6458333333)</f>
        <v>46020.645833333299</v>
      </c>
      <c r="BH2750" s="17" t="s">
        <v>105</v>
      </c>
      <c r="BI2750" s="17"/>
      <c r="BJ2750" s="15"/>
      <c r="BK2750" s="15"/>
      <c r="BL2750" s="13" t="b">
        <v>0</v>
      </c>
      <c r="BM2750" s="10"/>
      <c r="BN2750" s="10" t="s">
        <v>278</v>
      </c>
      <c r="BO2750" s="11">
        <v>45985.586111111108</v>
      </c>
      <c r="BP2750" s="11">
        <v>46010.793414351851</v>
      </c>
      <c r="BQ2750" s="15">
        <v>46014.416354166664</v>
      </c>
      <c r="BR2750" s="15">
        <v>46018.651817129627</v>
      </c>
      <c r="BS2750" s="10" t="s">
        <v>278</v>
      </c>
      <c r="BT2750" s="10" t="s">
        <v>99</v>
      </c>
      <c r="BU2750" s="10" t="s">
        <v>498</v>
      </c>
      <c r="BV2750" s="10" t="s">
        <v>281</v>
      </c>
      <c r="BW2750" s="10" t="s">
        <v>282</v>
      </c>
      <c r="BX2750" s="10"/>
      <c r="BY2750" s="23"/>
      <c r="BZ2750" s="23"/>
      <c r="CA2750" s="19" t="s">
        <v>20505</v>
      </c>
      <c r="CB2750" s="19" t="s">
        <v>20506</v>
      </c>
      <c r="CC2750" s="23"/>
      <c r="CD2750" s="19" t="s">
        <v>20507</v>
      </c>
      <c r="CE2750" s="23"/>
      <c r="CF2750" s="23"/>
      <c r="CG2750" s="23"/>
      <c r="CH2750" s="23"/>
      <c r="CI2750" s="23"/>
    </row>
    <row r="2751" spans="1:87" x14ac:dyDescent="0.3">
      <c r="A2751" s="9" t="s">
        <v>20508</v>
      </c>
      <c r="B2751" s="10" t="s">
        <v>4307</v>
      </c>
      <c r="C2751" s="11">
        <v>46020.791666666664</v>
      </c>
      <c r="D2751" s="12">
        <v>8.3333333333333329E-2</v>
      </c>
      <c r="E2751" s="11">
        <v>46020.875</v>
      </c>
      <c r="F2751" s="22" t="s">
        <v>3511</v>
      </c>
      <c r="G2751" s="13" t="b">
        <v>0</v>
      </c>
      <c r="H2751" s="22" t="s">
        <v>123</v>
      </c>
      <c r="I2751" s="10" t="s">
        <v>3548</v>
      </c>
      <c r="J2751" s="13" t="b">
        <v>0</v>
      </c>
      <c r="K2751" s="13" t="b">
        <v>1</v>
      </c>
      <c r="L2751" s="10" t="s">
        <v>124</v>
      </c>
      <c r="M2751" s="10" t="s">
        <v>91</v>
      </c>
      <c r="N2751" s="10" t="s">
        <v>3513</v>
      </c>
      <c r="O2751" s="19" t="s">
        <v>20509</v>
      </c>
      <c r="P2751" s="10"/>
      <c r="Q2751" s="10" t="s">
        <v>126</v>
      </c>
      <c r="R2751" s="10"/>
      <c r="S2751" s="19" t="s">
        <v>20510</v>
      </c>
      <c r="T2751" s="19" t="s">
        <v>20511</v>
      </c>
      <c r="U2751" s="10" t="s">
        <v>3647</v>
      </c>
      <c r="V2751" s="10" t="s">
        <v>3518</v>
      </c>
      <c r="W2751" s="10" t="s">
        <v>3519</v>
      </c>
      <c r="X2751" s="10" t="s">
        <v>130</v>
      </c>
      <c r="Y2751" s="10" t="s">
        <v>130</v>
      </c>
      <c r="Z2751" s="10" t="s">
        <v>99</v>
      </c>
      <c r="AA2751" s="10" t="s">
        <v>131</v>
      </c>
      <c r="AB2751" s="10" t="s">
        <v>3520</v>
      </c>
      <c r="AC2751" s="10" t="s">
        <v>3521</v>
      </c>
      <c r="AD2751" s="10" t="s">
        <v>4308</v>
      </c>
      <c r="AE2751" s="10" t="s">
        <v>4309</v>
      </c>
      <c r="AF2751" s="15"/>
      <c r="AG2751" s="10" t="s">
        <v>3524</v>
      </c>
      <c r="AH2751" s="10" t="s">
        <v>3539</v>
      </c>
      <c r="AI2751" s="10" t="s">
        <v>3539</v>
      </c>
      <c r="AJ2751" s="10" t="s">
        <v>20512</v>
      </c>
      <c r="AK2751" s="10" t="s">
        <v>102</v>
      </c>
      <c r="AL2751" s="10" t="s">
        <v>195</v>
      </c>
      <c r="AM2751" s="10"/>
      <c r="AN2751" s="10"/>
      <c r="AO2751" s="13" t="b">
        <v>1</v>
      </c>
      <c r="AP2751" s="22" t="s">
        <v>104</v>
      </c>
      <c r="AQ2751" s="10">
        <f ca="1">IFERROR(__xludf.DUMMYFUNCTION("""COMPUTED_VALUE"""),4797262)</f>
        <v>4797262</v>
      </c>
      <c r="AR2751" s="17">
        <v>424204</v>
      </c>
      <c r="AS2751" s="17">
        <v>247869</v>
      </c>
      <c r="AT2751" s="17">
        <v>9125366.5</v>
      </c>
      <c r="AU2751" s="17">
        <v>4268.3500000000004</v>
      </c>
      <c r="AV2751" s="17">
        <v>755.15</v>
      </c>
      <c r="AW2751" s="10" t="s">
        <v>297</v>
      </c>
      <c r="AX2751" s="17">
        <v>98146</v>
      </c>
      <c r="AY2751" s="18">
        <v>36.815279441963298</v>
      </c>
      <c r="AZ2751" s="10"/>
      <c r="BA2751" s="20" t="b">
        <v>0</v>
      </c>
      <c r="BB2751" s="10"/>
      <c r="BC2751" s="17">
        <v>424204</v>
      </c>
      <c r="BD2751" s="17">
        <v>247869</v>
      </c>
      <c r="BE2751" s="17">
        <v>9125366.5</v>
      </c>
      <c r="BF2751" s="17">
        <v>755.15</v>
      </c>
      <c r="BG2751" s="11">
        <f ca="1">IFERROR(__xludf.DUMMYFUNCTION("""COMPUTED_VALUE"""),46020.7916666666)</f>
        <v>46020.791666666599</v>
      </c>
      <c r="BH2751" s="17" t="s">
        <v>297</v>
      </c>
      <c r="BI2751" s="17"/>
      <c r="BJ2751" s="15"/>
      <c r="BK2751" s="15"/>
      <c r="BL2751" s="13" t="b">
        <v>0</v>
      </c>
      <c r="BM2751" s="10"/>
      <c r="BN2751" s="10" t="s">
        <v>278</v>
      </c>
      <c r="BO2751" s="11">
        <v>45985.586805555555</v>
      </c>
      <c r="BP2751" s="11">
        <v>46010.795717592591</v>
      </c>
      <c r="BQ2751" s="15">
        <v>46014.415833333333</v>
      </c>
      <c r="BR2751" s="15">
        <v>46018.652453703704</v>
      </c>
      <c r="BS2751" s="10" t="s">
        <v>278</v>
      </c>
      <c r="BT2751" s="10" t="s">
        <v>99</v>
      </c>
      <c r="BU2751" s="10" t="s">
        <v>498</v>
      </c>
      <c r="BV2751" s="10" t="s">
        <v>124</v>
      </c>
      <c r="BW2751" s="10"/>
      <c r="BX2751" s="10"/>
      <c r="BY2751" s="23"/>
      <c r="BZ2751" s="23"/>
      <c r="CA2751" s="19" t="s">
        <v>20513</v>
      </c>
      <c r="CB2751" s="19" t="s">
        <v>20514</v>
      </c>
      <c r="CC2751" s="23"/>
      <c r="CD2751" s="19" t="s">
        <v>20515</v>
      </c>
      <c r="CE2751" s="23"/>
      <c r="CF2751" s="23"/>
      <c r="CG2751" s="23"/>
      <c r="CH2751" s="23"/>
      <c r="CI2751" s="23"/>
    </row>
    <row r="2752" spans="1:87" x14ac:dyDescent="0.3">
      <c r="A2752" s="9" t="s">
        <v>20516</v>
      </c>
      <c r="B2752" s="10" t="s">
        <v>4321</v>
      </c>
      <c r="C2752" s="11">
        <v>46021.645833333336</v>
      </c>
      <c r="D2752" s="12">
        <v>8.3333333333333329E-2</v>
      </c>
      <c r="E2752" s="11">
        <v>46021.729166666664</v>
      </c>
      <c r="F2752" s="22" t="s">
        <v>3511</v>
      </c>
      <c r="G2752" s="13" t="b">
        <v>0</v>
      </c>
      <c r="H2752" s="22" t="s">
        <v>123</v>
      </c>
      <c r="I2752" s="10" t="s">
        <v>3548</v>
      </c>
      <c r="J2752" s="13" t="b">
        <v>0</v>
      </c>
      <c r="K2752" s="13" t="b">
        <v>1</v>
      </c>
      <c r="L2752" s="10" t="s">
        <v>124</v>
      </c>
      <c r="M2752" s="10" t="s">
        <v>91</v>
      </c>
      <c r="N2752" s="10" t="s">
        <v>3513</v>
      </c>
      <c r="O2752" s="19" t="s">
        <v>20517</v>
      </c>
      <c r="P2752" s="10"/>
      <c r="Q2752" s="10" t="s">
        <v>126</v>
      </c>
      <c r="R2752" s="10"/>
      <c r="S2752" s="19" t="s">
        <v>20518</v>
      </c>
      <c r="T2752" s="10"/>
      <c r="U2752" s="10" t="s">
        <v>3676</v>
      </c>
      <c r="V2752" s="10" t="s">
        <v>3648</v>
      </c>
      <c r="W2752" s="10" t="s">
        <v>3519</v>
      </c>
      <c r="X2752" s="10" t="s">
        <v>130</v>
      </c>
      <c r="Y2752" s="10" t="s">
        <v>130</v>
      </c>
      <c r="Z2752" s="10" t="s">
        <v>99</v>
      </c>
      <c r="AA2752" s="10" t="s">
        <v>131</v>
      </c>
      <c r="AB2752" s="10" t="s">
        <v>3520</v>
      </c>
      <c r="AC2752" s="10" t="s">
        <v>3521</v>
      </c>
      <c r="AD2752" s="10" t="s">
        <v>4322</v>
      </c>
      <c r="AE2752" s="10" t="s">
        <v>4323</v>
      </c>
      <c r="AF2752" s="15"/>
      <c r="AG2752" s="10" t="s">
        <v>3524</v>
      </c>
      <c r="AH2752" s="10" t="s">
        <v>3539</v>
      </c>
      <c r="AI2752" s="10" t="s">
        <v>3539</v>
      </c>
      <c r="AJ2752" s="10"/>
      <c r="AK2752" s="10" t="s">
        <v>102</v>
      </c>
      <c r="AL2752" s="10" t="s">
        <v>195</v>
      </c>
      <c r="AM2752" s="10"/>
      <c r="AN2752" s="10"/>
      <c r="AO2752" s="13" t="b">
        <v>0</v>
      </c>
      <c r="AP2752" s="22" t="s">
        <v>104</v>
      </c>
      <c r="AQ2752" s="10">
        <f ca="1">IFERROR(__xludf.DUMMYFUNCTION("""COMPUTED_VALUE"""),4797276)</f>
        <v>4797276</v>
      </c>
      <c r="AR2752" s="17">
        <v>148639</v>
      </c>
      <c r="AS2752" s="17">
        <v>104074</v>
      </c>
      <c r="AT2752" s="17">
        <v>2742984</v>
      </c>
      <c r="AU2752" s="17">
        <v>840.25</v>
      </c>
      <c r="AV2752" s="17">
        <v>156.85</v>
      </c>
      <c r="AW2752" s="10" t="s">
        <v>105</v>
      </c>
      <c r="AX2752" s="17">
        <v>34951</v>
      </c>
      <c r="AY2752" s="18">
        <v>26.35609278013721</v>
      </c>
      <c r="AZ2752" s="10"/>
      <c r="BA2752" s="20" t="b">
        <v>0</v>
      </c>
      <c r="BB2752" s="10"/>
      <c r="BC2752" s="17">
        <v>148639</v>
      </c>
      <c r="BD2752" s="17">
        <v>104074</v>
      </c>
      <c r="BE2752" s="17">
        <v>2742984</v>
      </c>
      <c r="BF2752" s="17">
        <v>156.85</v>
      </c>
      <c r="BG2752" s="11">
        <f ca="1">IFERROR(__xludf.DUMMYFUNCTION("""COMPUTED_VALUE"""),46021.6458333333)</f>
        <v>46021.645833333299</v>
      </c>
      <c r="BH2752" s="17" t="s">
        <v>105</v>
      </c>
      <c r="BI2752" s="17"/>
      <c r="BJ2752" s="15"/>
      <c r="BK2752" s="15"/>
      <c r="BL2752" s="13" t="b">
        <v>0</v>
      </c>
      <c r="BM2752" s="10"/>
      <c r="BN2752" s="10" t="s">
        <v>1149</v>
      </c>
      <c r="BO2752" s="11">
        <v>45985.587500000001</v>
      </c>
      <c r="BP2752" s="11">
        <v>46003.687638888892</v>
      </c>
      <c r="BQ2752" s="15">
        <v>46014.41777777778</v>
      </c>
      <c r="BR2752" s="15">
        <v>46018.685659722221</v>
      </c>
      <c r="BS2752" s="10" t="s">
        <v>1149</v>
      </c>
      <c r="BT2752" s="10" t="s">
        <v>99</v>
      </c>
      <c r="BU2752" s="10" t="s">
        <v>298</v>
      </c>
      <c r="BV2752" s="10"/>
      <c r="BW2752" s="10"/>
      <c r="BX2752" s="10"/>
      <c r="BY2752" s="23"/>
      <c r="BZ2752" s="23"/>
      <c r="CA2752" s="19" t="s">
        <v>20519</v>
      </c>
      <c r="CB2752" s="19" t="s">
        <v>20520</v>
      </c>
      <c r="CC2752" s="23"/>
      <c r="CD2752" s="19" t="s">
        <v>20521</v>
      </c>
      <c r="CE2752" s="23"/>
      <c r="CF2752" s="23"/>
      <c r="CG2752" s="23"/>
      <c r="CH2752" s="23"/>
      <c r="CI2752" s="23"/>
    </row>
    <row r="2753" spans="1:87" x14ac:dyDescent="0.3">
      <c r="A2753" s="9" t="s">
        <v>20522</v>
      </c>
      <c r="B2753" s="10" t="s">
        <v>4290</v>
      </c>
      <c r="C2753" s="11">
        <v>46020.645833333336</v>
      </c>
      <c r="D2753" s="12">
        <v>8.3333333333333329E-2</v>
      </c>
      <c r="E2753" s="11">
        <v>46020.729166666664</v>
      </c>
      <c r="F2753" s="22" t="s">
        <v>3511</v>
      </c>
      <c r="G2753" s="13" t="b">
        <v>0</v>
      </c>
      <c r="H2753" s="22" t="s">
        <v>3512</v>
      </c>
      <c r="I2753" s="10" t="s">
        <v>212</v>
      </c>
      <c r="J2753" s="13" t="b">
        <v>1</v>
      </c>
      <c r="K2753" s="13" t="b">
        <v>1</v>
      </c>
      <c r="L2753" s="10" t="s">
        <v>124</v>
      </c>
      <c r="M2753" s="10" t="s">
        <v>91</v>
      </c>
      <c r="N2753" s="10" t="s">
        <v>3513</v>
      </c>
      <c r="O2753" s="19" t="s">
        <v>20523</v>
      </c>
      <c r="P2753" s="10"/>
      <c r="Q2753" s="10" t="s">
        <v>126</v>
      </c>
      <c r="R2753" s="10"/>
      <c r="S2753" s="19" t="s">
        <v>20524</v>
      </c>
      <c r="T2753" s="19" t="s">
        <v>20525</v>
      </c>
      <c r="U2753" s="10" t="s">
        <v>3552</v>
      </c>
      <c r="V2753" s="10" t="s">
        <v>3677</v>
      </c>
      <c r="W2753" s="10" t="s">
        <v>3519</v>
      </c>
      <c r="X2753" s="10" t="s">
        <v>130</v>
      </c>
      <c r="Y2753" s="10" t="s">
        <v>130</v>
      </c>
      <c r="Z2753" s="10" t="s">
        <v>99</v>
      </c>
      <c r="AA2753" s="10" t="s">
        <v>131</v>
      </c>
      <c r="AB2753" s="10" t="s">
        <v>3520</v>
      </c>
      <c r="AC2753" s="10" t="s">
        <v>3521</v>
      </c>
      <c r="AD2753" s="10" t="s">
        <v>4291</v>
      </c>
      <c r="AE2753" s="10" t="s">
        <v>4292</v>
      </c>
      <c r="AF2753" s="15"/>
      <c r="AG2753" s="10" t="s">
        <v>3524</v>
      </c>
      <c r="AH2753" s="10" t="s">
        <v>3539</v>
      </c>
      <c r="AI2753" s="10" t="s">
        <v>3539</v>
      </c>
      <c r="AJ2753" s="10" t="s">
        <v>20526</v>
      </c>
      <c r="AK2753" s="10" t="s">
        <v>102</v>
      </c>
      <c r="AL2753" s="10" t="s">
        <v>195</v>
      </c>
      <c r="AM2753" s="10"/>
      <c r="AN2753" s="10"/>
      <c r="AO2753" s="13" t="b">
        <v>0</v>
      </c>
      <c r="AP2753" s="22" t="s">
        <v>104</v>
      </c>
      <c r="AQ2753" s="10">
        <f ca="1">IFERROR(__xludf.DUMMYFUNCTION("""COMPUTED_VALUE"""),4797265)</f>
        <v>4797265</v>
      </c>
      <c r="AR2753" s="17">
        <v>78555</v>
      </c>
      <c r="AS2753" s="17">
        <v>41962</v>
      </c>
      <c r="AT2753" s="17">
        <v>1108412</v>
      </c>
      <c r="AU2753" s="17">
        <v>351.9</v>
      </c>
      <c r="AV2753" s="17">
        <v>49.4</v>
      </c>
      <c r="AW2753" s="10" t="s">
        <v>105</v>
      </c>
      <c r="AX2753" s="17">
        <v>20592</v>
      </c>
      <c r="AY2753" s="18">
        <v>26.414660883656641</v>
      </c>
      <c r="AZ2753" s="10" t="s">
        <v>136</v>
      </c>
      <c r="BA2753" s="20" t="b">
        <v>0</v>
      </c>
      <c r="BB2753" s="10"/>
      <c r="BC2753" s="17">
        <v>78555</v>
      </c>
      <c r="BD2753" s="17">
        <v>41962</v>
      </c>
      <c r="BE2753" s="17">
        <v>1108412</v>
      </c>
      <c r="BF2753" s="17">
        <v>49.4</v>
      </c>
      <c r="BG2753" s="11">
        <f ca="1">IFERROR(__xludf.DUMMYFUNCTION("""COMPUTED_VALUE"""),46020.6458333333)</f>
        <v>46020.645833333299</v>
      </c>
      <c r="BH2753" s="17" t="s">
        <v>105</v>
      </c>
      <c r="BI2753" s="17"/>
      <c r="BJ2753" s="15"/>
      <c r="BK2753" s="15"/>
      <c r="BL2753" s="13" t="b">
        <v>1</v>
      </c>
      <c r="BM2753" s="10"/>
      <c r="BN2753" s="10" t="s">
        <v>278</v>
      </c>
      <c r="BO2753" s="11">
        <v>45985.587500000001</v>
      </c>
      <c r="BP2753" s="11">
        <v>46014.909826388888</v>
      </c>
      <c r="BQ2753" s="15">
        <v>46019.491168981483</v>
      </c>
      <c r="BR2753" s="15">
        <v>46018.652094907404</v>
      </c>
      <c r="BS2753" s="10" t="s">
        <v>278</v>
      </c>
      <c r="BT2753" s="10" t="s">
        <v>279</v>
      </c>
      <c r="BU2753" s="10" t="s">
        <v>816</v>
      </c>
      <c r="BV2753" s="10"/>
      <c r="BW2753" s="10"/>
      <c r="BX2753" s="10"/>
      <c r="BY2753" s="23"/>
      <c r="BZ2753" s="23"/>
      <c r="CA2753" s="19" t="s">
        <v>20527</v>
      </c>
      <c r="CB2753" s="19" t="s">
        <v>20525</v>
      </c>
      <c r="CC2753" s="23"/>
      <c r="CD2753" s="19" t="s">
        <v>20528</v>
      </c>
      <c r="CE2753" s="23"/>
      <c r="CF2753" s="23"/>
      <c r="CG2753" s="23"/>
      <c r="CH2753" s="23"/>
      <c r="CI2753" s="23"/>
    </row>
    <row r="2754" spans="1:87" x14ac:dyDescent="0.3">
      <c r="A2754" s="9" t="s">
        <v>20529</v>
      </c>
      <c r="B2754" s="10" t="s">
        <v>20530</v>
      </c>
      <c r="C2754" s="11">
        <v>45991.020833333336</v>
      </c>
      <c r="D2754" s="12">
        <v>8.3333333333333329E-2</v>
      </c>
      <c r="E2754" s="11">
        <v>45991.104166666664</v>
      </c>
      <c r="F2754" s="22" t="s">
        <v>20164</v>
      </c>
      <c r="G2754" s="13" t="b">
        <v>0</v>
      </c>
      <c r="H2754" s="22" t="s">
        <v>9146</v>
      </c>
      <c r="I2754" s="10" t="s">
        <v>9131</v>
      </c>
      <c r="J2754" s="13" t="b">
        <v>0</v>
      </c>
      <c r="K2754" s="13" t="b">
        <v>1</v>
      </c>
      <c r="L2754" s="10"/>
      <c r="M2754" s="10" t="s">
        <v>91</v>
      </c>
      <c r="N2754" s="10" t="s">
        <v>265</v>
      </c>
      <c r="O2754" s="19" t="s">
        <v>20531</v>
      </c>
      <c r="P2754" s="10"/>
      <c r="Q2754" s="10" t="s">
        <v>94</v>
      </c>
      <c r="R2754" s="10"/>
      <c r="S2754" s="19" t="s">
        <v>20532</v>
      </c>
      <c r="T2754" s="10"/>
      <c r="U2754" s="10" t="s">
        <v>9134</v>
      </c>
      <c r="V2754" s="10" t="s">
        <v>18166</v>
      </c>
      <c r="W2754" s="10" t="s">
        <v>20168</v>
      </c>
      <c r="X2754" s="10" t="s">
        <v>130</v>
      </c>
      <c r="Y2754" s="10" t="s">
        <v>130</v>
      </c>
      <c r="Z2754" s="10" t="s">
        <v>99</v>
      </c>
      <c r="AA2754" s="10" t="s">
        <v>131</v>
      </c>
      <c r="AB2754" s="10" t="s">
        <v>20169</v>
      </c>
      <c r="AC2754" s="10" t="s">
        <v>9138</v>
      </c>
      <c r="AD2754" s="10" t="s">
        <v>20533</v>
      </c>
      <c r="AE2754" s="10" t="s">
        <v>20534</v>
      </c>
      <c r="AF2754" s="15"/>
      <c r="AG2754" s="10"/>
      <c r="AH2754" s="10"/>
      <c r="AI2754" s="10"/>
      <c r="AJ2754" s="10"/>
      <c r="AK2754" s="10" t="s">
        <v>102</v>
      </c>
      <c r="AL2754" s="10" t="s">
        <v>19004</v>
      </c>
      <c r="AM2754" s="10"/>
      <c r="AN2754" s="10"/>
      <c r="AO2754" s="13" t="b">
        <v>0</v>
      </c>
      <c r="AP2754" s="22" t="s">
        <v>104</v>
      </c>
      <c r="AQ2754" s="10">
        <f ca="1">IFERROR(__xludf.DUMMYFUNCTION("""COMPUTED_VALUE"""),4736083)</f>
        <v>4736083</v>
      </c>
      <c r="AR2754" s="17">
        <v>3608</v>
      </c>
      <c r="AS2754" s="17">
        <v>3230</v>
      </c>
      <c r="AT2754" s="17">
        <v>29999.75</v>
      </c>
      <c r="AU2754" s="17">
        <v>5.15</v>
      </c>
      <c r="AV2754" s="17">
        <v>1</v>
      </c>
      <c r="AW2754" s="10" t="s">
        <v>105</v>
      </c>
      <c r="AX2754" s="17">
        <v>418</v>
      </c>
      <c r="AY2754" s="18">
        <v>9.2878482972136229</v>
      </c>
      <c r="AZ2754" s="10" t="s">
        <v>106</v>
      </c>
      <c r="BA2754" s="20" t="b">
        <v>0</v>
      </c>
      <c r="BB2754" s="10"/>
      <c r="BC2754" s="17">
        <v>3608</v>
      </c>
      <c r="BD2754" s="17">
        <v>3230</v>
      </c>
      <c r="BE2754" s="17">
        <v>29999.75</v>
      </c>
      <c r="BF2754" s="17">
        <v>1</v>
      </c>
      <c r="BG2754" s="11">
        <f ca="1">IFERROR(__xludf.DUMMYFUNCTION("""COMPUTED_VALUE"""),45991.0208333333)</f>
        <v>45991.020833333299</v>
      </c>
      <c r="BH2754" s="17" t="s">
        <v>105</v>
      </c>
      <c r="BI2754" s="17"/>
      <c r="BJ2754" s="15"/>
      <c r="BK2754" s="15"/>
      <c r="BL2754" s="13" t="b">
        <v>0</v>
      </c>
      <c r="BM2754" s="10"/>
      <c r="BN2754" s="10" t="s">
        <v>1149</v>
      </c>
      <c r="BO2754" s="11">
        <v>45985.623611111114</v>
      </c>
      <c r="BP2754" s="11">
        <v>45985.624247685184</v>
      </c>
      <c r="BQ2754" s="15">
        <v>45987.44090277778</v>
      </c>
      <c r="BR2754" s="15">
        <v>45987.557615740741</v>
      </c>
      <c r="BS2754" s="10" t="s">
        <v>1149</v>
      </c>
      <c r="BT2754" s="10"/>
      <c r="BU2754" s="10"/>
      <c r="BV2754" s="10"/>
      <c r="BW2754" s="10"/>
      <c r="BX2754" s="10"/>
      <c r="BY2754" s="23"/>
      <c r="BZ2754" s="23"/>
      <c r="CA2754" s="19" t="s">
        <v>20535</v>
      </c>
      <c r="CB2754" s="23"/>
      <c r="CC2754" s="23"/>
      <c r="CD2754" s="23"/>
      <c r="CE2754" s="23"/>
      <c r="CF2754" s="23"/>
      <c r="CG2754" s="23"/>
      <c r="CH2754" s="23"/>
      <c r="CI2754" s="23"/>
    </row>
    <row r="2755" spans="1:87" x14ac:dyDescent="0.3">
      <c r="A2755" s="9" t="s">
        <v>20536</v>
      </c>
      <c r="B2755" s="10" t="s">
        <v>20537</v>
      </c>
      <c r="C2755" s="11">
        <v>45989.770833333336</v>
      </c>
      <c r="D2755" s="12">
        <v>2.0833333333333332E-2</v>
      </c>
      <c r="E2755" s="11">
        <v>45989.791666666664</v>
      </c>
      <c r="F2755" s="22" t="s">
        <v>3511</v>
      </c>
      <c r="G2755" s="13" t="b">
        <v>0</v>
      </c>
      <c r="H2755" s="22" t="s">
        <v>3512</v>
      </c>
      <c r="I2755" s="10" t="s">
        <v>212</v>
      </c>
      <c r="J2755" s="13" t="b">
        <v>1</v>
      </c>
      <c r="K2755" s="13" t="b">
        <v>0</v>
      </c>
      <c r="L2755" s="10" t="s">
        <v>90</v>
      </c>
      <c r="M2755" s="10" t="s">
        <v>91</v>
      </c>
      <c r="N2755" s="10" t="s">
        <v>92</v>
      </c>
      <c r="O2755" s="19" t="s">
        <v>20538</v>
      </c>
      <c r="P2755" s="10"/>
      <c r="Q2755" s="10" t="s">
        <v>94</v>
      </c>
      <c r="R2755" s="10"/>
      <c r="S2755" s="19" t="s">
        <v>4818</v>
      </c>
      <c r="T2755" s="10"/>
      <c r="U2755" s="10" t="s">
        <v>3647</v>
      </c>
      <c r="V2755" s="10" t="s">
        <v>3552</v>
      </c>
      <c r="W2755" s="10" t="s">
        <v>3519</v>
      </c>
      <c r="X2755" s="10" t="s">
        <v>130</v>
      </c>
      <c r="Y2755" s="10" t="s">
        <v>130</v>
      </c>
      <c r="Z2755" s="10" t="s">
        <v>99</v>
      </c>
      <c r="AA2755" s="10" t="s">
        <v>131</v>
      </c>
      <c r="AB2755" s="10" t="s">
        <v>3520</v>
      </c>
      <c r="AC2755" s="10" t="s">
        <v>3521</v>
      </c>
      <c r="AD2755" s="10" t="s">
        <v>4819</v>
      </c>
      <c r="AE2755" s="10" t="s">
        <v>20539</v>
      </c>
      <c r="AF2755" s="15"/>
      <c r="AG2755" s="10"/>
      <c r="AH2755" s="10"/>
      <c r="AI2755" s="10"/>
      <c r="AJ2755" s="10"/>
      <c r="AK2755" s="10" t="s">
        <v>102</v>
      </c>
      <c r="AL2755" s="10" t="s">
        <v>1671</v>
      </c>
      <c r="AM2755" s="10"/>
      <c r="AN2755" s="10"/>
      <c r="AO2755" s="13" t="b">
        <v>0</v>
      </c>
      <c r="AP2755" s="22" t="s">
        <v>104</v>
      </c>
      <c r="AQ2755" s="10">
        <f ca="1">IFERROR(__xludf.DUMMYFUNCTION("""COMPUTED_VALUE"""),4739839)</f>
        <v>4739839</v>
      </c>
      <c r="AR2755" s="17">
        <v>18614</v>
      </c>
      <c r="AS2755" s="17">
        <v>13832</v>
      </c>
      <c r="AT2755" s="17">
        <v>112682</v>
      </c>
      <c r="AU2755" s="17">
        <v>231.35</v>
      </c>
      <c r="AV2755" s="17">
        <v>95.75</v>
      </c>
      <c r="AW2755" s="10" t="s">
        <v>105</v>
      </c>
      <c r="AX2755" s="17">
        <v>9361</v>
      </c>
      <c r="AY2755" s="18">
        <v>8.1464719491035282</v>
      </c>
      <c r="AZ2755" s="10"/>
      <c r="BA2755" s="20" t="b">
        <v>0</v>
      </c>
      <c r="BB2755" s="10"/>
      <c r="BC2755" s="17">
        <v>18614</v>
      </c>
      <c r="BD2755" s="17">
        <v>13832</v>
      </c>
      <c r="BE2755" s="17">
        <v>112682</v>
      </c>
      <c r="BF2755" s="17">
        <v>95.75</v>
      </c>
      <c r="BG2755" s="11">
        <f ca="1">IFERROR(__xludf.DUMMYFUNCTION("""COMPUTED_VALUE"""),45989.7708333333)</f>
        <v>45989.770833333299</v>
      </c>
      <c r="BH2755" s="17" t="s">
        <v>105</v>
      </c>
      <c r="BI2755" s="17"/>
      <c r="BJ2755" s="15"/>
      <c r="BK2755" s="15"/>
      <c r="BL2755" s="13" t="b">
        <v>0</v>
      </c>
      <c r="BM2755" s="10"/>
      <c r="BN2755" s="10" t="s">
        <v>137</v>
      </c>
      <c r="BO2755" s="11">
        <v>45986.444444444445</v>
      </c>
      <c r="BP2755" s="11">
        <v>45986.445057870369</v>
      </c>
      <c r="BQ2755" s="15">
        <v>45987.634791666664</v>
      </c>
      <c r="BR2755" s="15">
        <v>45988.42423611111</v>
      </c>
      <c r="BS2755" s="10" t="s">
        <v>137</v>
      </c>
      <c r="BT2755" s="10"/>
      <c r="BU2755" s="10"/>
      <c r="BV2755" s="10"/>
      <c r="BW2755" s="10"/>
      <c r="BX2755" s="10"/>
      <c r="BY2755" s="23"/>
      <c r="BZ2755" s="23"/>
      <c r="CA2755" s="19" t="s">
        <v>4822</v>
      </c>
      <c r="CB2755" s="23"/>
      <c r="CC2755" s="23"/>
      <c r="CD2755" s="23"/>
      <c r="CE2755" s="23"/>
      <c r="CF2755" s="23"/>
      <c r="CG2755" s="23"/>
      <c r="CH2755" s="23"/>
      <c r="CI2755" s="23"/>
    </row>
    <row r="2756" spans="1:87" x14ac:dyDescent="0.3">
      <c r="A2756" s="9" t="s">
        <v>20540</v>
      </c>
      <c r="B2756" s="10" t="s">
        <v>20541</v>
      </c>
      <c r="C2756" s="11">
        <v>45989.625</v>
      </c>
      <c r="D2756" s="12">
        <v>2.0833333333333332E-2</v>
      </c>
      <c r="E2756" s="11">
        <v>45989.645833333336</v>
      </c>
      <c r="F2756" s="22" t="s">
        <v>3511</v>
      </c>
      <c r="G2756" s="13" t="b">
        <v>0</v>
      </c>
      <c r="H2756" s="22" t="s">
        <v>3512</v>
      </c>
      <c r="I2756" s="10" t="s">
        <v>212</v>
      </c>
      <c r="J2756" s="13" t="b">
        <v>1</v>
      </c>
      <c r="K2756" s="13" t="b">
        <v>0</v>
      </c>
      <c r="L2756" s="10" t="s">
        <v>90</v>
      </c>
      <c r="M2756" s="10" t="s">
        <v>91</v>
      </c>
      <c r="N2756" s="10" t="s">
        <v>92</v>
      </c>
      <c r="O2756" s="19" t="s">
        <v>20542</v>
      </c>
      <c r="P2756" s="10"/>
      <c r="Q2756" s="10" t="s">
        <v>94</v>
      </c>
      <c r="R2756" s="10"/>
      <c r="S2756" s="19" t="s">
        <v>4808</v>
      </c>
      <c r="T2756" s="10"/>
      <c r="U2756" s="10" t="s">
        <v>3518</v>
      </c>
      <c r="V2756" s="10" t="s">
        <v>3551</v>
      </c>
      <c r="W2756" s="10" t="s">
        <v>3519</v>
      </c>
      <c r="X2756" s="10" t="s">
        <v>130</v>
      </c>
      <c r="Y2756" s="10" t="s">
        <v>130</v>
      </c>
      <c r="Z2756" s="10" t="s">
        <v>99</v>
      </c>
      <c r="AA2756" s="10" t="s">
        <v>131</v>
      </c>
      <c r="AB2756" s="10" t="s">
        <v>3520</v>
      </c>
      <c r="AC2756" s="10" t="s">
        <v>3521</v>
      </c>
      <c r="AD2756" s="10" t="s">
        <v>4809</v>
      </c>
      <c r="AE2756" s="10" t="s">
        <v>20543</v>
      </c>
      <c r="AF2756" s="15"/>
      <c r="AG2756" s="10"/>
      <c r="AH2756" s="10"/>
      <c r="AI2756" s="10"/>
      <c r="AJ2756" s="10"/>
      <c r="AK2756" s="10" t="s">
        <v>102</v>
      </c>
      <c r="AL2756" s="10" t="s">
        <v>1671</v>
      </c>
      <c r="AM2756" s="10"/>
      <c r="AN2756" s="10"/>
      <c r="AO2756" s="13" t="b">
        <v>0</v>
      </c>
      <c r="AP2756" s="22" t="s">
        <v>104</v>
      </c>
      <c r="AQ2756" s="10">
        <f ca="1">IFERROR(__xludf.DUMMYFUNCTION("""COMPUTED_VALUE"""),4739838)</f>
        <v>4739838</v>
      </c>
      <c r="AR2756" s="17">
        <v>1602</v>
      </c>
      <c r="AS2756" s="17">
        <v>1356</v>
      </c>
      <c r="AT2756" s="17">
        <v>7629</v>
      </c>
      <c r="AU2756" s="17">
        <v>6.9</v>
      </c>
      <c r="AV2756" s="17">
        <v>1.25</v>
      </c>
      <c r="AW2756" s="10" t="s">
        <v>105</v>
      </c>
      <c r="AX2756" s="17">
        <v>648</v>
      </c>
      <c r="AY2756" s="18">
        <v>5.6261061946902657</v>
      </c>
      <c r="AZ2756" s="10"/>
      <c r="BA2756" s="20" t="b">
        <v>0</v>
      </c>
      <c r="BB2756" s="10"/>
      <c r="BC2756" s="17">
        <v>1602</v>
      </c>
      <c r="BD2756" s="17">
        <v>1356</v>
      </c>
      <c r="BE2756" s="17">
        <v>7629</v>
      </c>
      <c r="BF2756" s="17">
        <v>1.25</v>
      </c>
      <c r="BG2756" s="11">
        <f ca="1">IFERROR(__xludf.DUMMYFUNCTION("""COMPUTED_VALUE"""),45989.625)</f>
        <v>45989.625</v>
      </c>
      <c r="BH2756" s="17" t="s">
        <v>105</v>
      </c>
      <c r="BI2756" s="17"/>
      <c r="BJ2756" s="15"/>
      <c r="BK2756" s="15"/>
      <c r="BL2756" s="13" t="b">
        <v>0</v>
      </c>
      <c r="BM2756" s="10"/>
      <c r="BN2756" s="10" t="s">
        <v>137</v>
      </c>
      <c r="BO2756" s="11">
        <v>45986.447222222225</v>
      </c>
      <c r="BP2756" s="11">
        <v>45986.447858796295</v>
      </c>
      <c r="BQ2756" s="15">
        <v>45987.634571759256</v>
      </c>
      <c r="BR2756" s="15">
        <v>45988.424062500002</v>
      </c>
      <c r="BS2756" s="10" t="s">
        <v>137</v>
      </c>
      <c r="BT2756" s="10"/>
      <c r="BU2756" s="10"/>
      <c r="BV2756" s="10"/>
      <c r="BW2756" s="10"/>
      <c r="BX2756" s="10"/>
      <c r="BY2756" s="23"/>
      <c r="BZ2756" s="23"/>
      <c r="CA2756" s="19" t="s">
        <v>4812</v>
      </c>
      <c r="CB2756" s="23"/>
      <c r="CC2756" s="23"/>
      <c r="CD2756" s="23"/>
      <c r="CE2756" s="23"/>
      <c r="CF2756" s="23"/>
      <c r="CG2756" s="23"/>
      <c r="CH2756" s="23"/>
      <c r="CI2756" s="23"/>
    </row>
    <row r="2757" spans="1:87" x14ac:dyDescent="0.3">
      <c r="A2757" s="9" t="s">
        <v>20544</v>
      </c>
      <c r="B2757" s="10" t="s">
        <v>20545</v>
      </c>
      <c r="C2757" s="11">
        <v>45991.770833333336</v>
      </c>
      <c r="D2757" s="12">
        <v>2.0833333333333332E-2</v>
      </c>
      <c r="E2757" s="11">
        <v>45991.791666666664</v>
      </c>
      <c r="F2757" s="22" t="s">
        <v>3511</v>
      </c>
      <c r="G2757" s="13" t="b">
        <v>0</v>
      </c>
      <c r="H2757" s="22" t="s">
        <v>3512</v>
      </c>
      <c r="I2757" s="10" t="s">
        <v>212</v>
      </c>
      <c r="J2757" s="13" t="b">
        <v>1</v>
      </c>
      <c r="K2757" s="13" t="b">
        <v>0</v>
      </c>
      <c r="L2757" s="10" t="s">
        <v>124</v>
      </c>
      <c r="M2757" s="10" t="s">
        <v>91</v>
      </c>
      <c r="N2757" s="10" t="s">
        <v>92</v>
      </c>
      <c r="O2757" s="19" t="s">
        <v>20546</v>
      </c>
      <c r="P2757" s="10"/>
      <c r="Q2757" s="10" t="s">
        <v>94</v>
      </c>
      <c r="R2757" s="10"/>
      <c r="S2757" s="19" t="s">
        <v>4869</v>
      </c>
      <c r="T2757" s="10"/>
      <c r="U2757" s="10" t="s">
        <v>3635</v>
      </c>
      <c r="V2757" s="10" t="s">
        <v>3609</v>
      </c>
      <c r="W2757" s="10" t="s">
        <v>3519</v>
      </c>
      <c r="X2757" s="10" t="s">
        <v>130</v>
      </c>
      <c r="Y2757" s="10" t="s">
        <v>130</v>
      </c>
      <c r="Z2757" s="10" t="s">
        <v>99</v>
      </c>
      <c r="AA2757" s="10" t="s">
        <v>131</v>
      </c>
      <c r="AB2757" s="10" t="s">
        <v>3520</v>
      </c>
      <c r="AC2757" s="10" t="s">
        <v>3521</v>
      </c>
      <c r="AD2757" s="10" t="s">
        <v>4870</v>
      </c>
      <c r="AE2757" s="10" t="s">
        <v>20547</v>
      </c>
      <c r="AF2757" s="15"/>
      <c r="AG2757" s="10"/>
      <c r="AH2757" s="10"/>
      <c r="AI2757" s="10"/>
      <c r="AJ2757" s="10"/>
      <c r="AK2757" s="10" t="s">
        <v>102</v>
      </c>
      <c r="AL2757" s="10" t="s">
        <v>1671</v>
      </c>
      <c r="AM2757" s="10"/>
      <c r="AN2757" s="10"/>
      <c r="AO2757" s="13" t="b">
        <v>0</v>
      </c>
      <c r="AP2757" s="22" t="s">
        <v>104</v>
      </c>
      <c r="AQ2757" s="10">
        <f ca="1">IFERROR(__xludf.DUMMYFUNCTION("""COMPUTED_VALUE"""),4739845)</f>
        <v>4739845</v>
      </c>
      <c r="AR2757" s="17">
        <v>19457</v>
      </c>
      <c r="AS2757" s="17">
        <v>15651</v>
      </c>
      <c r="AT2757" s="17">
        <v>89906.5</v>
      </c>
      <c r="AU2757" s="17">
        <v>118.7</v>
      </c>
      <c r="AV2757" s="17">
        <v>41.95</v>
      </c>
      <c r="AW2757" s="10" t="s">
        <v>105</v>
      </c>
      <c r="AX2757" s="17">
        <v>8855</v>
      </c>
      <c r="AY2757" s="18">
        <v>5.7444572231806275</v>
      </c>
      <c r="AZ2757" s="10"/>
      <c r="BA2757" s="20" t="b">
        <v>0</v>
      </c>
      <c r="BB2757" s="10"/>
      <c r="BC2757" s="17">
        <v>19457</v>
      </c>
      <c r="BD2757" s="17">
        <v>15651</v>
      </c>
      <c r="BE2757" s="17">
        <v>89906.5</v>
      </c>
      <c r="BF2757" s="17">
        <v>41.95</v>
      </c>
      <c r="BG2757" s="11">
        <f ca="1">IFERROR(__xludf.DUMMYFUNCTION("""COMPUTED_VALUE"""),45991.7708333333)</f>
        <v>45991.770833333299</v>
      </c>
      <c r="BH2757" s="17" t="s">
        <v>105</v>
      </c>
      <c r="BI2757" s="17"/>
      <c r="BJ2757" s="15"/>
      <c r="BK2757" s="15"/>
      <c r="BL2757" s="13" t="b">
        <v>0</v>
      </c>
      <c r="BM2757" s="10"/>
      <c r="BN2757" s="10" t="s">
        <v>137</v>
      </c>
      <c r="BO2757" s="11">
        <v>45986.448611111111</v>
      </c>
      <c r="BP2757" s="11">
        <v>45986.448761574073</v>
      </c>
      <c r="BQ2757" s="15">
        <v>45987.640902777777</v>
      </c>
      <c r="BR2757" s="15">
        <v>45988.425752314812</v>
      </c>
      <c r="BS2757" s="10" t="s">
        <v>137</v>
      </c>
      <c r="BT2757" s="10"/>
      <c r="BU2757" s="10"/>
      <c r="BV2757" s="10"/>
      <c r="BW2757" s="10"/>
      <c r="BX2757" s="10"/>
      <c r="BY2757" s="23"/>
      <c r="BZ2757" s="23"/>
      <c r="CA2757" s="19" t="s">
        <v>4874</v>
      </c>
      <c r="CB2757" s="23"/>
      <c r="CC2757" s="23"/>
      <c r="CD2757" s="23"/>
      <c r="CE2757" s="23"/>
      <c r="CF2757" s="23"/>
      <c r="CG2757" s="23"/>
      <c r="CH2757" s="23"/>
      <c r="CI2757" s="23"/>
    </row>
    <row r="2758" spans="1:87" x14ac:dyDescent="0.3">
      <c r="A2758" s="9" t="s">
        <v>20548</v>
      </c>
      <c r="B2758" s="10" t="s">
        <v>20549</v>
      </c>
      <c r="C2758" s="11">
        <v>46013.875</v>
      </c>
      <c r="D2758" s="12">
        <v>8.3333333333333329E-2</v>
      </c>
      <c r="E2758" s="11">
        <v>46013.958333333336</v>
      </c>
      <c r="F2758" s="22" t="s">
        <v>20550</v>
      </c>
      <c r="G2758" s="13" t="b">
        <v>0</v>
      </c>
      <c r="H2758" s="22" t="s">
        <v>3578</v>
      </c>
      <c r="I2758" s="10" t="s">
        <v>89</v>
      </c>
      <c r="J2758" s="13" t="b">
        <v>0</v>
      </c>
      <c r="K2758" s="13" t="b">
        <v>1</v>
      </c>
      <c r="L2758" s="10" t="s">
        <v>124</v>
      </c>
      <c r="M2758" s="10" t="s">
        <v>91</v>
      </c>
      <c r="N2758" s="10" t="s">
        <v>265</v>
      </c>
      <c r="O2758" s="19" t="s">
        <v>20551</v>
      </c>
      <c r="P2758" s="10"/>
      <c r="Q2758" s="10" t="s">
        <v>126</v>
      </c>
      <c r="R2758" s="10"/>
      <c r="S2758" s="19" t="s">
        <v>20552</v>
      </c>
      <c r="T2758" s="10"/>
      <c r="U2758" s="10" t="s">
        <v>20553</v>
      </c>
      <c r="V2758" s="10" t="s">
        <v>20554</v>
      </c>
      <c r="W2758" s="10" t="s">
        <v>20555</v>
      </c>
      <c r="X2758" s="10" t="s">
        <v>130</v>
      </c>
      <c r="Y2758" s="10" t="s">
        <v>130</v>
      </c>
      <c r="Z2758" s="10" t="s">
        <v>99</v>
      </c>
      <c r="AA2758" s="10" t="s">
        <v>131</v>
      </c>
      <c r="AB2758" s="10" t="s">
        <v>20556</v>
      </c>
      <c r="AC2758" s="10" t="s">
        <v>20557</v>
      </c>
      <c r="AD2758" s="10" t="s">
        <v>20558</v>
      </c>
      <c r="AE2758" s="10" t="s">
        <v>20559</v>
      </c>
      <c r="AF2758" s="15"/>
      <c r="AG2758" s="10"/>
      <c r="AH2758" s="10"/>
      <c r="AI2758" s="10"/>
      <c r="AJ2758" s="10"/>
      <c r="AK2758" s="10" t="s">
        <v>102</v>
      </c>
      <c r="AL2758" s="10" t="s">
        <v>7897</v>
      </c>
      <c r="AM2758" s="10"/>
      <c r="AN2758" s="10"/>
      <c r="AO2758" s="13" t="b">
        <v>0</v>
      </c>
      <c r="AP2758" s="22" t="s">
        <v>104</v>
      </c>
      <c r="AQ2758" s="10">
        <f ca="1">IFERROR(__xludf.DUMMYFUNCTION("""COMPUTED_VALUE"""),4790139)</f>
        <v>4790139</v>
      </c>
      <c r="AR2758" s="17">
        <v>25144</v>
      </c>
      <c r="AS2758" s="17">
        <v>19913</v>
      </c>
      <c r="AT2758" s="17">
        <v>490791</v>
      </c>
      <c r="AU2758" s="17">
        <v>135.65</v>
      </c>
      <c r="AV2758" s="17">
        <v>21.55</v>
      </c>
      <c r="AW2758" s="10" t="s">
        <v>105</v>
      </c>
      <c r="AX2758" s="17">
        <v>5610</v>
      </c>
      <c r="AY2758" s="18">
        <v>24.646763420880831</v>
      </c>
      <c r="AZ2758" s="10" t="s">
        <v>106</v>
      </c>
      <c r="BA2758" s="20" t="b">
        <v>0</v>
      </c>
      <c r="BB2758" s="10"/>
      <c r="BC2758" s="17">
        <v>25144</v>
      </c>
      <c r="BD2758" s="17">
        <v>19913</v>
      </c>
      <c r="BE2758" s="17">
        <v>490791</v>
      </c>
      <c r="BF2758" s="17">
        <v>21.55</v>
      </c>
      <c r="BG2758" s="11">
        <f ca="1">IFERROR(__xludf.DUMMYFUNCTION("""COMPUTED_VALUE"""),46013.875)</f>
        <v>46013.875</v>
      </c>
      <c r="BH2758" s="17" t="s">
        <v>105</v>
      </c>
      <c r="BI2758" s="17"/>
      <c r="BJ2758" s="15"/>
      <c r="BK2758" s="15"/>
      <c r="BL2758" s="13" t="b">
        <v>0</v>
      </c>
      <c r="BM2758" s="10"/>
      <c r="BN2758" s="10" t="s">
        <v>137</v>
      </c>
      <c r="BO2758" s="11">
        <v>45986.738888888889</v>
      </c>
      <c r="BP2758" s="11">
        <v>46007.41646990741</v>
      </c>
      <c r="BQ2758" s="15">
        <v>46011.612256944441</v>
      </c>
      <c r="BR2758" s="15">
        <v>46012.618067129632</v>
      </c>
      <c r="BS2758" s="10" t="s">
        <v>137</v>
      </c>
      <c r="BT2758" s="10" t="s">
        <v>99</v>
      </c>
      <c r="BU2758" s="10" t="s">
        <v>793</v>
      </c>
      <c r="BV2758" s="10"/>
      <c r="BW2758" s="10"/>
      <c r="BX2758" s="10"/>
      <c r="BY2758" s="23"/>
      <c r="BZ2758" s="23"/>
      <c r="CA2758" s="19" t="s">
        <v>20560</v>
      </c>
      <c r="CB2758" s="23"/>
      <c r="CC2758" s="23"/>
      <c r="CD2758" s="19" t="s">
        <v>20561</v>
      </c>
      <c r="CE2758" s="23"/>
      <c r="CF2758" s="23"/>
      <c r="CG2758" s="23"/>
      <c r="CH2758" s="23"/>
      <c r="CI2758" s="23"/>
    </row>
    <row r="2759" spans="1:87" x14ac:dyDescent="0.3">
      <c r="A2759" s="9" t="s">
        <v>20562</v>
      </c>
      <c r="B2759" s="10" t="s">
        <v>20563</v>
      </c>
      <c r="C2759" s="11">
        <v>46014</v>
      </c>
      <c r="D2759" s="12">
        <v>8.3333333333333329E-2</v>
      </c>
      <c r="E2759" s="11">
        <v>46014.083333333336</v>
      </c>
      <c r="F2759" s="22" t="s">
        <v>20550</v>
      </c>
      <c r="G2759" s="13" t="b">
        <v>0</v>
      </c>
      <c r="H2759" s="22" t="s">
        <v>3578</v>
      </c>
      <c r="I2759" s="10" t="s">
        <v>89</v>
      </c>
      <c r="J2759" s="13" t="b">
        <v>0</v>
      </c>
      <c r="K2759" s="13" t="b">
        <v>1</v>
      </c>
      <c r="L2759" s="10" t="s">
        <v>124</v>
      </c>
      <c r="M2759" s="10" t="s">
        <v>91</v>
      </c>
      <c r="N2759" s="10" t="s">
        <v>265</v>
      </c>
      <c r="O2759" s="19" t="s">
        <v>20564</v>
      </c>
      <c r="P2759" s="10"/>
      <c r="Q2759" s="10" t="s">
        <v>94</v>
      </c>
      <c r="R2759" s="10"/>
      <c r="S2759" s="19" t="s">
        <v>20565</v>
      </c>
      <c r="T2759" s="10"/>
      <c r="U2759" s="10" t="s">
        <v>20566</v>
      </c>
      <c r="V2759" s="10" t="s">
        <v>20567</v>
      </c>
      <c r="W2759" s="10" t="s">
        <v>20555</v>
      </c>
      <c r="X2759" s="10" t="s">
        <v>130</v>
      </c>
      <c r="Y2759" s="10" t="s">
        <v>130</v>
      </c>
      <c r="Z2759" s="10" t="s">
        <v>99</v>
      </c>
      <c r="AA2759" s="10" t="s">
        <v>131</v>
      </c>
      <c r="AB2759" s="10" t="s">
        <v>20556</v>
      </c>
      <c r="AC2759" s="10" t="s">
        <v>20557</v>
      </c>
      <c r="AD2759" s="10" t="s">
        <v>20568</v>
      </c>
      <c r="AE2759" s="10" t="s">
        <v>20569</v>
      </c>
      <c r="AF2759" s="15"/>
      <c r="AG2759" s="10"/>
      <c r="AH2759" s="10"/>
      <c r="AI2759" s="10"/>
      <c r="AJ2759" s="10"/>
      <c r="AK2759" s="10" t="s">
        <v>102</v>
      </c>
      <c r="AL2759" s="10" t="s">
        <v>7897</v>
      </c>
      <c r="AM2759" s="10"/>
      <c r="AN2759" s="10"/>
      <c r="AO2759" s="13" t="b">
        <v>0</v>
      </c>
      <c r="AP2759" s="22" t="s">
        <v>104</v>
      </c>
      <c r="AQ2759" s="10">
        <f ca="1">IFERROR(__xludf.DUMMYFUNCTION("""COMPUTED_VALUE"""),4790929)</f>
        <v>4790929</v>
      </c>
      <c r="AR2759" s="17">
        <v>7081</v>
      </c>
      <c r="AS2759" s="17">
        <v>5738</v>
      </c>
      <c r="AT2759" s="17">
        <v>173082.25</v>
      </c>
      <c r="AU2759" s="17">
        <v>40.9</v>
      </c>
      <c r="AV2759" s="17">
        <v>6.05</v>
      </c>
      <c r="AW2759" s="10" t="s">
        <v>105</v>
      </c>
      <c r="AX2759" s="17">
        <v>2108</v>
      </c>
      <c r="AY2759" s="18">
        <v>30.164212269083304</v>
      </c>
      <c r="AZ2759" s="10" t="s">
        <v>106</v>
      </c>
      <c r="BA2759" s="20" t="b">
        <v>0</v>
      </c>
      <c r="BB2759" s="10"/>
      <c r="BC2759" s="17">
        <v>7081</v>
      </c>
      <c r="BD2759" s="17">
        <v>5738</v>
      </c>
      <c r="BE2759" s="17">
        <v>173082.25</v>
      </c>
      <c r="BF2759" s="17">
        <v>6.05</v>
      </c>
      <c r="BG2759" s="11">
        <f ca="1">IFERROR(__xludf.DUMMYFUNCTION("""COMPUTED_VALUE"""),46014)</f>
        <v>46014</v>
      </c>
      <c r="BH2759" s="17" t="s">
        <v>105</v>
      </c>
      <c r="BI2759" s="17"/>
      <c r="BJ2759" s="15"/>
      <c r="BK2759" s="15"/>
      <c r="BL2759" s="13" t="b">
        <v>0</v>
      </c>
      <c r="BM2759" s="10"/>
      <c r="BN2759" s="10" t="s">
        <v>278</v>
      </c>
      <c r="BO2759" s="11">
        <v>45987.417361111111</v>
      </c>
      <c r="BP2759" s="11">
        <v>45987.417893518519</v>
      </c>
      <c r="BQ2759" s="15">
        <v>46013.561111111114</v>
      </c>
      <c r="BR2759" s="15">
        <v>46013.607164351852</v>
      </c>
      <c r="BS2759" s="10" t="s">
        <v>278</v>
      </c>
      <c r="BT2759" s="10" t="s">
        <v>99</v>
      </c>
      <c r="BU2759" s="10" t="s">
        <v>793</v>
      </c>
      <c r="BV2759" s="10"/>
      <c r="BW2759" s="10"/>
      <c r="BX2759" s="10"/>
      <c r="BY2759" s="23"/>
      <c r="BZ2759" s="23"/>
      <c r="CA2759" s="19" t="s">
        <v>20570</v>
      </c>
      <c r="CB2759" s="23"/>
      <c r="CC2759" s="23"/>
      <c r="CD2759" s="23"/>
      <c r="CE2759" s="23"/>
      <c r="CF2759" s="23"/>
      <c r="CG2759" s="23"/>
      <c r="CH2759" s="23"/>
      <c r="CI2759" s="23"/>
    </row>
    <row r="2760" spans="1:87" x14ac:dyDescent="0.3">
      <c r="A2760" s="9" t="s">
        <v>20571</v>
      </c>
      <c r="B2760" s="10" t="s">
        <v>20572</v>
      </c>
      <c r="C2760" s="11">
        <v>46014.125</v>
      </c>
      <c r="D2760" s="12">
        <v>8.3333333333333329E-2</v>
      </c>
      <c r="E2760" s="11">
        <v>46014.208333333336</v>
      </c>
      <c r="F2760" s="22" t="s">
        <v>20550</v>
      </c>
      <c r="G2760" s="13" t="b">
        <v>0</v>
      </c>
      <c r="H2760" s="22" t="s">
        <v>6271</v>
      </c>
      <c r="I2760" s="10" t="s">
        <v>89</v>
      </c>
      <c r="J2760" s="13" t="b">
        <v>0</v>
      </c>
      <c r="K2760" s="13" t="b">
        <v>1</v>
      </c>
      <c r="L2760" s="10" t="s">
        <v>124</v>
      </c>
      <c r="M2760" s="10" t="s">
        <v>91</v>
      </c>
      <c r="N2760" s="10" t="s">
        <v>265</v>
      </c>
      <c r="O2760" s="19" t="s">
        <v>20573</v>
      </c>
      <c r="P2760" s="10"/>
      <c r="Q2760" s="10" t="s">
        <v>126</v>
      </c>
      <c r="R2760" s="10"/>
      <c r="S2760" s="19" t="s">
        <v>20574</v>
      </c>
      <c r="T2760" s="10"/>
      <c r="U2760" s="10" t="s">
        <v>20575</v>
      </c>
      <c r="V2760" s="10" t="s">
        <v>20576</v>
      </c>
      <c r="W2760" s="10" t="s">
        <v>20555</v>
      </c>
      <c r="X2760" s="10" t="s">
        <v>130</v>
      </c>
      <c r="Y2760" s="10" t="s">
        <v>130</v>
      </c>
      <c r="Z2760" s="10" t="s">
        <v>99</v>
      </c>
      <c r="AA2760" s="10" t="s">
        <v>131</v>
      </c>
      <c r="AB2760" s="10" t="s">
        <v>20556</v>
      </c>
      <c r="AC2760" s="10" t="s">
        <v>20557</v>
      </c>
      <c r="AD2760" s="10" t="s">
        <v>20577</v>
      </c>
      <c r="AE2760" s="10" t="s">
        <v>20578</v>
      </c>
      <c r="AF2760" s="15"/>
      <c r="AG2760" s="10"/>
      <c r="AH2760" s="10"/>
      <c r="AI2760" s="10"/>
      <c r="AJ2760" s="10"/>
      <c r="AK2760" s="10" t="s">
        <v>102</v>
      </c>
      <c r="AL2760" s="10" t="s">
        <v>7897</v>
      </c>
      <c r="AM2760" s="10"/>
      <c r="AN2760" s="10"/>
      <c r="AO2760" s="13" t="b">
        <v>0</v>
      </c>
      <c r="AP2760" s="22" t="s">
        <v>104</v>
      </c>
      <c r="AQ2760" s="10">
        <f ca="1">IFERROR(__xludf.DUMMYFUNCTION("""COMPUTED_VALUE"""),4790930)</f>
        <v>4790930</v>
      </c>
      <c r="AR2760" s="17">
        <v>6452</v>
      </c>
      <c r="AS2760" s="17">
        <v>4282</v>
      </c>
      <c r="AT2760" s="17">
        <v>124505.75</v>
      </c>
      <c r="AU2760" s="17">
        <v>23.6</v>
      </c>
      <c r="AV2760" s="17">
        <v>2.1</v>
      </c>
      <c r="AW2760" s="10" t="s">
        <v>105</v>
      </c>
      <c r="AX2760" s="17">
        <v>1830</v>
      </c>
      <c r="AY2760" s="18">
        <v>29.07654133582438</v>
      </c>
      <c r="AZ2760" s="10" t="s">
        <v>106</v>
      </c>
      <c r="BA2760" s="20" t="b">
        <v>0</v>
      </c>
      <c r="BB2760" s="10"/>
      <c r="BC2760" s="17">
        <v>6452</v>
      </c>
      <c r="BD2760" s="17">
        <v>4282</v>
      </c>
      <c r="BE2760" s="17">
        <v>124505.75</v>
      </c>
      <c r="BF2760" s="17">
        <v>2.1</v>
      </c>
      <c r="BG2760" s="11">
        <f ca="1">IFERROR(__xludf.DUMMYFUNCTION("""COMPUTED_VALUE"""),46014.125)</f>
        <v>46014.125</v>
      </c>
      <c r="BH2760" s="17" t="s">
        <v>105</v>
      </c>
      <c r="BI2760" s="17"/>
      <c r="BJ2760" s="15"/>
      <c r="BK2760" s="15"/>
      <c r="BL2760" s="13" t="b">
        <v>0</v>
      </c>
      <c r="BM2760" s="10"/>
      <c r="BN2760" s="10" t="s">
        <v>157</v>
      </c>
      <c r="BO2760" s="11">
        <v>45987.418055555558</v>
      </c>
      <c r="BP2760" s="11">
        <v>46007.424444444441</v>
      </c>
      <c r="BQ2760" s="15">
        <v>46013.56077546296</v>
      </c>
      <c r="BR2760" s="15">
        <v>46013.60733796296</v>
      </c>
      <c r="BS2760" s="10" t="s">
        <v>157</v>
      </c>
      <c r="BT2760" s="10" t="s">
        <v>99</v>
      </c>
      <c r="BU2760" s="10" t="s">
        <v>6753</v>
      </c>
      <c r="BV2760" s="10"/>
      <c r="BW2760" s="10"/>
      <c r="BX2760" s="10"/>
      <c r="BY2760" s="23"/>
      <c r="BZ2760" s="23"/>
      <c r="CA2760" s="19" t="s">
        <v>20579</v>
      </c>
      <c r="CB2760" s="23"/>
      <c r="CC2760" s="23"/>
      <c r="CD2760" s="19" t="s">
        <v>20580</v>
      </c>
      <c r="CE2760" s="23"/>
      <c r="CF2760" s="23"/>
      <c r="CG2760" s="23"/>
      <c r="CH2760" s="23"/>
      <c r="CI2760" s="23"/>
    </row>
    <row r="2761" spans="1:87" x14ac:dyDescent="0.3">
      <c r="A2761" s="9" t="s">
        <v>20581</v>
      </c>
      <c r="B2761" s="10" t="s">
        <v>20582</v>
      </c>
      <c r="C2761" s="11">
        <v>46014.8125</v>
      </c>
      <c r="D2761" s="12">
        <v>8.3333333333333329E-2</v>
      </c>
      <c r="E2761" s="11">
        <v>46014.895833333336</v>
      </c>
      <c r="F2761" s="22" t="s">
        <v>20550</v>
      </c>
      <c r="G2761" s="13" t="b">
        <v>0</v>
      </c>
      <c r="H2761" s="22" t="s">
        <v>3578</v>
      </c>
      <c r="I2761" s="10" t="s">
        <v>89</v>
      </c>
      <c r="J2761" s="13" t="b">
        <v>0</v>
      </c>
      <c r="K2761" s="13" t="b">
        <v>1</v>
      </c>
      <c r="L2761" s="10" t="s">
        <v>124</v>
      </c>
      <c r="M2761" s="10" t="s">
        <v>91</v>
      </c>
      <c r="N2761" s="10" t="s">
        <v>265</v>
      </c>
      <c r="O2761" s="19" t="s">
        <v>20583</v>
      </c>
      <c r="P2761" s="10"/>
      <c r="Q2761" s="10" t="s">
        <v>94</v>
      </c>
      <c r="R2761" s="10"/>
      <c r="S2761" s="19" t="s">
        <v>20584</v>
      </c>
      <c r="T2761" s="10"/>
      <c r="U2761" s="10" t="s">
        <v>20585</v>
      </c>
      <c r="V2761" s="10" t="s">
        <v>20586</v>
      </c>
      <c r="W2761" s="10" t="s">
        <v>20555</v>
      </c>
      <c r="X2761" s="10" t="s">
        <v>130</v>
      </c>
      <c r="Y2761" s="10" t="s">
        <v>130</v>
      </c>
      <c r="Z2761" s="10" t="s">
        <v>99</v>
      </c>
      <c r="AA2761" s="10" t="s">
        <v>131</v>
      </c>
      <c r="AB2761" s="10" t="s">
        <v>20556</v>
      </c>
      <c r="AC2761" s="10" t="s">
        <v>20557</v>
      </c>
      <c r="AD2761" s="10" t="s">
        <v>20587</v>
      </c>
      <c r="AE2761" s="10" t="s">
        <v>20588</v>
      </c>
      <c r="AF2761" s="15"/>
      <c r="AG2761" s="10"/>
      <c r="AH2761" s="10"/>
      <c r="AI2761" s="10"/>
      <c r="AJ2761" s="10"/>
      <c r="AK2761" s="10" t="s">
        <v>102</v>
      </c>
      <c r="AL2761" s="10" t="s">
        <v>7897</v>
      </c>
      <c r="AM2761" s="10"/>
      <c r="AN2761" s="10"/>
      <c r="AO2761" s="13" t="b">
        <v>0</v>
      </c>
      <c r="AP2761" s="22" t="s">
        <v>104</v>
      </c>
      <c r="AQ2761" s="10">
        <f ca="1">IFERROR(__xludf.DUMMYFUNCTION("""COMPUTED_VALUE"""),4790931)</f>
        <v>4790931</v>
      </c>
      <c r="AR2761" s="17">
        <v>18041</v>
      </c>
      <c r="AS2761" s="17">
        <v>13383</v>
      </c>
      <c r="AT2761" s="17">
        <v>317685.75</v>
      </c>
      <c r="AU2761" s="17">
        <v>79.599999999999994</v>
      </c>
      <c r="AV2761" s="17">
        <v>11.5</v>
      </c>
      <c r="AW2761" s="10" t="s">
        <v>105</v>
      </c>
      <c r="AX2761" s="17">
        <v>4381</v>
      </c>
      <c r="AY2761" s="18">
        <v>23.738007173279534</v>
      </c>
      <c r="AZ2761" s="10" t="s">
        <v>106</v>
      </c>
      <c r="BA2761" s="20" t="b">
        <v>0</v>
      </c>
      <c r="BB2761" s="10"/>
      <c r="BC2761" s="17">
        <v>18041</v>
      </c>
      <c r="BD2761" s="17">
        <v>13383</v>
      </c>
      <c r="BE2761" s="17">
        <v>317685.75</v>
      </c>
      <c r="BF2761" s="17">
        <v>11.5</v>
      </c>
      <c r="BG2761" s="11">
        <f ca="1">IFERROR(__xludf.DUMMYFUNCTION("""COMPUTED_VALUE"""),46014.8125)</f>
        <v>46014.8125</v>
      </c>
      <c r="BH2761" s="17" t="s">
        <v>105</v>
      </c>
      <c r="BI2761" s="17"/>
      <c r="BJ2761" s="15"/>
      <c r="BK2761" s="15"/>
      <c r="BL2761" s="13" t="b">
        <v>0</v>
      </c>
      <c r="BM2761" s="10"/>
      <c r="BN2761" s="10" t="s">
        <v>149</v>
      </c>
      <c r="BO2761" s="11">
        <v>45987.418749999997</v>
      </c>
      <c r="BP2761" s="11">
        <v>46014.562337962961</v>
      </c>
      <c r="BQ2761" s="15">
        <v>46013.560520833336</v>
      </c>
      <c r="BR2761" s="15">
        <v>46013.610590277778</v>
      </c>
      <c r="BS2761" s="10" t="s">
        <v>149</v>
      </c>
      <c r="BT2761" s="10" t="s">
        <v>99</v>
      </c>
      <c r="BU2761" s="10" t="s">
        <v>5492</v>
      </c>
      <c r="BV2761" s="10"/>
      <c r="BW2761" s="10"/>
      <c r="BX2761" s="10"/>
      <c r="BY2761" s="23"/>
      <c r="BZ2761" s="23"/>
      <c r="CA2761" s="19" t="s">
        <v>20589</v>
      </c>
      <c r="CB2761" s="23"/>
      <c r="CC2761" s="23"/>
      <c r="CD2761" s="23"/>
      <c r="CE2761" s="23"/>
      <c r="CF2761" s="23"/>
      <c r="CG2761" s="23"/>
      <c r="CH2761" s="23"/>
      <c r="CI2761" s="23"/>
    </row>
    <row r="2762" spans="1:87" x14ac:dyDescent="0.3">
      <c r="A2762" s="9" t="s">
        <v>20590</v>
      </c>
      <c r="B2762" s="10" t="s">
        <v>20591</v>
      </c>
      <c r="C2762" s="11">
        <v>46014.916666666664</v>
      </c>
      <c r="D2762" s="12">
        <v>8.3333333333333329E-2</v>
      </c>
      <c r="E2762" s="11">
        <v>46015</v>
      </c>
      <c r="F2762" s="22" t="s">
        <v>20550</v>
      </c>
      <c r="G2762" s="13" t="b">
        <v>0</v>
      </c>
      <c r="H2762" s="22" t="s">
        <v>3578</v>
      </c>
      <c r="I2762" s="10" t="s">
        <v>89</v>
      </c>
      <c r="J2762" s="13" t="b">
        <v>0</v>
      </c>
      <c r="K2762" s="13" t="b">
        <v>1</v>
      </c>
      <c r="L2762" s="10" t="s">
        <v>124</v>
      </c>
      <c r="M2762" s="10" t="s">
        <v>91</v>
      </c>
      <c r="N2762" s="10" t="s">
        <v>265</v>
      </c>
      <c r="O2762" s="19" t="s">
        <v>20592</v>
      </c>
      <c r="P2762" s="10"/>
      <c r="Q2762" s="10" t="s">
        <v>126</v>
      </c>
      <c r="R2762" s="10"/>
      <c r="S2762" s="19" t="s">
        <v>20593</v>
      </c>
      <c r="T2762" s="10"/>
      <c r="U2762" s="10" t="s">
        <v>20594</v>
      </c>
      <c r="V2762" s="10" t="s">
        <v>20595</v>
      </c>
      <c r="W2762" s="10" t="s">
        <v>20555</v>
      </c>
      <c r="X2762" s="10" t="s">
        <v>130</v>
      </c>
      <c r="Y2762" s="10" t="s">
        <v>130</v>
      </c>
      <c r="Z2762" s="10" t="s">
        <v>99</v>
      </c>
      <c r="AA2762" s="10" t="s">
        <v>131</v>
      </c>
      <c r="AB2762" s="10" t="s">
        <v>20556</v>
      </c>
      <c r="AC2762" s="10" t="s">
        <v>20557</v>
      </c>
      <c r="AD2762" s="10" t="s">
        <v>20596</v>
      </c>
      <c r="AE2762" s="10" t="s">
        <v>20597</v>
      </c>
      <c r="AF2762" s="15"/>
      <c r="AG2762" s="10"/>
      <c r="AH2762" s="10"/>
      <c r="AI2762" s="10"/>
      <c r="AJ2762" s="10"/>
      <c r="AK2762" s="10" t="s">
        <v>102</v>
      </c>
      <c r="AL2762" s="10" t="s">
        <v>7897</v>
      </c>
      <c r="AM2762" s="10"/>
      <c r="AN2762" s="10"/>
      <c r="AO2762" s="13" t="b">
        <v>0</v>
      </c>
      <c r="AP2762" s="22" t="s">
        <v>104</v>
      </c>
      <c r="AQ2762" s="10">
        <f ca="1">IFERROR(__xludf.DUMMYFUNCTION("""COMPUTED_VALUE"""),4790932)</f>
        <v>4790932</v>
      </c>
      <c r="AR2762" s="17">
        <v>22437</v>
      </c>
      <c r="AS2762" s="17">
        <v>15692</v>
      </c>
      <c r="AT2762" s="17">
        <v>454774.75</v>
      </c>
      <c r="AU2762" s="17">
        <v>168.5</v>
      </c>
      <c r="AV2762" s="17">
        <v>23.9</v>
      </c>
      <c r="AW2762" s="10" t="s">
        <v>105</v>
      </c>
      <c r="AX2762" s="17">
        <v>5578</v>
      </c>
      <c r="AY2762" s="18">
        <v>28.981312133571247</v>
      </c>
      <c r="AZ2762" s="10" t="s">
        <v>106</v>
      </c>
      <c r="BA2762" s="20" t="b">
        <v>0</v>
      </c>
      <c r="BB2762" s="10"/>
      <c r="BC2762" s="17">
        <v>22437</v>
      </c>
      <c r="BD2762" s="17">
        <v>15692</v>
      </c>
      <c r="BE2762" s="17">
        <v>454774.75</v>
      </c>
      <c r="BF2762" s="17">
        <v>23.9</v>
      </c>
      <c r="BG2762" s="11">
        <f ca="1">IFERROR(__xludf.DUMMYFUNCTION("""COMPUTED_VALUE"""),46014.9166666666)</f>
        <v>46014.916666666599</v>
      </c>
      <c r="BH2762" s="17" t="s">
        <v>105</v>
      </c>
      <c r="BI2762" s="17"/>
      <c r="BJ2762" s="15"/>
      <c r="BK2762" s="15"/>
      <c r="BL2762" s="13" t="b">
        <v>0</v>
      </c>
      <c r="BM2762" s="10"/>
      <c r="BN2762" s="10" t="s">
        <v>149</v>
      </c>
      <c r="BO2762" s="11">
        <v>45987.419444444444</v>
      </c>
      <c r="BP2762" s="11">
        <v>46009.576724537037</v>
      </c>
      <c r="BQ2762" s="15">
        <v>46013.560937499999</v>
      </c>
      <c r="BR2762" s="15">
        <v>46013.610717592594</v>
      </c>
      <c r="BS2762" s="10" t="s">
        <v>149</v>
      </c>
      <c r="BT2762" s="10" t="s">
        <v>99</v>
      </c>
      <c r="BU2762" s="10"/>
      <c r="BV2762" s="10"/>
      <c r="BW2762" s="10"/>
      <c r="BX2762" s="10"/>
      <c r="BY2762" s="23"/>
      <c r="BZ2762" s="23"/>
      <c r="CA2762" s="19" t="s">
        <v>20598</v>
      </c>
      <c r="CB2762" s="23"/>
      <c r="CC2762" s="23"/>
      <c r="CD2762" s="19" t="s">
        <v>20599</v>
      </c>
      <c r="CE2762" s="23"/>
      <c r="CF2762" s="23"/>
      <c r="CG2762" s="23"/>
      <c r="CH2762" s="23"/>
      <c r="CI2762" s="23"/>
    </row>
    <row r="2763" spans="1:87" x14ac:dyDescent="0.3">
      <c r="A2763" s="9" t="s">
        <v>20600</v>
      </c>
      <c r="B2763" s="10" t="s">
        <v>20601</v>
      </c>
      <c r="C2763" s="11">
        <v>46015.020833333336</v>
      </c>
      <c r="D2763" s="12">
        <v>8.3333333333333329E-2</v>
      </c>
      <c r="E2763" s="11">
        <v>46015.104166666664</v>
      </c>
      <c r="F2763" s="22" t="s">
        <v>20550</v>
      </c>
      <c r="G2763" s="13" t="b">
        <v>0</v>
      </c>
      <c r="H2763" s="22" t="s">
        <v>3578</v>
      </c>
      <c r="I2763" s="10" t="s">
        <v>89</v>
      </c>
      <c r="J2763" s="13" t="b">
        <v>0</v>
      </c>
      <c r="K2763" s="13" t="b">
        <v>1</v>
      </c>
      <c r="L2763" s="10" t="s">
        <v>124</v>
      </c>
      <c r="M2763" s="10" t="s">
        <v>91</v>
      </c>
      <c r="N2763" s="10" t="s">
        <v>265</v>
      </c>
      <c r="O2763" s="19" t="s">
        <v>20602</v>
      </c>
      <c r="P2763" s="10"/>
      <c r="Q2763" s="10" t="s">
        <v>126</v>
      </c>
      <c r="R2763" s="10"/>
      <c r="S2763" s="19" t="s">
        <v>20603</v>
      </c>
      <c r="T2763" s="10"/>
      <c r="U2763" s="10" t="s">
        <v>20604</v>
      </c>
      <c r="V2763" s="10" t="s">
        <v>20605</v>
      </c>
      <c r="W2763" s="10" t="s">
        <v>20555</v>
      </c>
      <c r="X2763" s="10" t="s">
        <v>130</v>
      </c>
      <c r="Y2763" s="10" t="s">
        <v>130</v>
      </c>
      <c r="Z2763" s="10" t="s">
        <v>99</v>
      </c>
      <c r="AA2763" s="10" t="s">
        <v>131</v>
      </c>
      <c r="AB2763" s="10" t="s">
        <v>20556</v>
      </c>
      <c r="AC2763" s="10" t="s">
        <v>20557</v>
      </c>
      <c r="AD2763" s="10" t="s">
        <v>20606</v>
      </c>
      <c r="AE2763" s="10" t="s">
        <v>20607</v>
      </c>
      <c r="AF2763" s="15"/>
      <c r="AG2763" s="10"/>
      <c r="AH2763" s="10"/>
      <c r="AI2763" s="10"/>
      <c r="AJ2763" s="10"/>
      <c r="AK2763" s="10" t="s">
        <v>102</v>
      </c>
      <c r="AL2763" s="10" t="s">
        <v>7897</v>
      </c>
      <c r="AM2763" s="10"/>
      <c r="AN2763" s="10"/>
      <c r="AO2763" s="13" t="b">
        <v>0</v>
      </c>
      <c r="AP2763" s="22" t="s">
        <v>104</v>
      </c>
      <c r="AQ2763" s="10">
        <f ca="1">IFERROR(__xludf.DUMMYFUNCTION("""COMPUTED_VALUE"""),4792899)</f>
        <v>4792899</v>
      </c>
      <c r="AR2763" s="17">
        <v>9484</v>
      </c>
      <c r="AS2763" s="17">
        <v>7193</v>
      </c>
      <c r="AT2763" s="17">
        <v>315423.75</v>
      </c>
      <c r="AU2763" s="17">
        <v>28.85</v>
      </c>
      <c r="AV2763" s="17">
        <v>4.25</v>
      </c>
      <c r="AW2763" s="10" t="s">
        <v>105</v>
      </c>
      <c r="AX2763" s="17">
        <v>3365</v>
      </c>
      <c r="AY2763" s="18">
        <v>43.851487557347419</v>
      </c>
      <c r="AZ2763" s="10" t="s">
        <v>106</v>
      </c>
      <c r="BA2763" s="20" t="b">
        <v>0</v>
      </c>
      <c r="BB2763" s="10"/>
      <c r="BC2763" s="17">
        <v>9484</v>
      </c>
      <c r="BD2763" s="17">
        <v>7193</v>
      </c>
      <c r="BE2763" s="17">
        <v>315423.75</v>
      </c>
      <c r="BF2763" s="17">
        <v>4.25</v>
      </c>
      <c r="BG2763" s="11">
        <f ca="1">IFERROR(__xludf.DUMMYFUNCTION("""COMPUTED_VALUE"""),46015.0208333333)</f>
        <v>46015.020833333299</v>
      </c>
      <c r="BH2763" s="17" t="s">
        <v>105</v>
      </c>
      <c r="BI2763" s="17"/>
      <c r="BJ2763" s="15"/>
      <c r="BK2763" s="15"/>
      <c r="BL2763" s="13" t="b">
        <v>0</v>
      </c>
      <c r="BM2763" s="10"/>
      <c r="BN2763" s="10" t="s">
        <v>278</v>
      </c>
      <c r="BO2763" s="11">
        <v>45987.420138888891</v>
      </c>
      <c r="BP2763" s="11">
        <v>46007.43476851852</v>
      </c>
      <c r="BQ2763" s="15">
        <v>46014.58797453704</v>
      </c>
      <c r="BR2763" s="15">
        <v>46014.608402777776</v>
      </c>
      <c r="BS2763" s="10" t="s">
        <v>278</v>
      </c>
      <c r="BT2763" s="10" t="s">
        <v>99</v>
      </c>
      <c r="BU2763" s="10" t="s">
        <v>5492</v>
      </c>
      <c r="BV2763" s="10"/>
      <c r="BW2763" s="10"/>
      <c r="BX2763" s="10"/>
      <c r="BY2763" s="23"/>
      <c r="BZ2763" s="23"/>
      <c r="CA2763" s="19" t="s">
        <v>20608</v>
      </c>
      <c r="CB2763" s="23"/>
      <c r="CC2763" s="23"/>
      <c r="CD2763" s="19" t="s">
        <v>20609</v>
      </c>
      <c r="CE2763" s="23"/>
      <c r="CF2763" s="23"/>
      <c r="CG2763" s="23"/>
      <c r="CH2763" s="23"/>
      <c r="CI2763" s="23"/>
    </row>
    <row r="2764" spans="1:87" x14ac:dyDescent="0.3">
      <c r="A2764" s="9" t="s">
        <v>20610</v>
      </c>
      <c r="B2764" s="10" t="s">
        <v>20611</v>
      </c>
      <c r="C2764" s="11">
        <v>46015.125</v>
      </c>
      <c r="D2764" s="12">
        <v>8.3333333333333329E-2</v>
      </c>
      <c r="E2764" s="11">
        <v>46015.208333333336</v>
      </c>
      <c r="F2764" s="22" t="s">
        <v>20550</v>
      </c>
      <c r="G2764" s="13" t="b">
        <v>0</v>
      </c>
      <c r="H2764" s="22" t="s">
        <v>3578</v>
      </c>
      <c r="I2764" s="10" t="s">
        <v>89</v>
      </c>
      <c r="J2764" s="13" t="b">
        <v>0</v>
      </c>
      <c r="K2764" s="13" t="b">
        <v>1</v>
      </c>
      <c r="L2764" s="10" t="s">
        <v>124</v>
      </c>
      <c r="M2764" s="10" t="s">
        <v>91</v>
      </c>
      <c r="N2764" s="10" t="s">
        <v>265</v>
      </c>
      <c r="O2764" s="19" t="s">
        <v>20612</v>
      </c>
      <c r="P2764" s="10"/>
      <c r="Q2764" s="10" t="s">
        <v>94</v>
      </c>
      <c r="R2764" s="10"/>
      <c r="S2764" s="19" t="s">
        <v>20613</v>
      </c>
      <c r="T2764" s="10"/>
      <c r="U2764" s="10" t="s">
        <v>20614</v>
      </c>
      <c r="V2764" s="10" t="s">
        <v>20615</v>
      </c>
      <c r="W2764" s="10" t="s">
        <v>20555</v>
      </c>
      <c r="X2764" s="10" t="s">
        <v>130</v>
      </c>
      <c r="Y2764" s="10" t="s">
        <v>130</v>
      </c>
      <c r="Z2764" s="10" t="s">
        <v>99</v>
      </c>
      <c r="AA2764" s="10" t="s">
        <v>131</v>
      </c>
      <c r="AB2764" s="10" t="s">
        <v>20556</v>
      </c>
      <c r="AC2764" s="10" t="s">
        <v>20557</v>
      </c>
      <c r="AD2764" s="10" t="s">
        <v>20616</v>
      </c>
      <c r="AE2764" s="10" t="s">
        <v>20617</v>
      </c>
      <c r="AF2764" s="15"/>
      <c r="AG2764" s="10"/>
      <c r="AH2764" s="10"/>
      <c r="AI2764" s="10"/>
      <c r="AJ2764" s="10"/>
      <c r="AK2764" s="10" t="s">
        <v>102</v>
      </c>
      <c r="AL2764" s="10" t="s">
        <v>7897</v>
      </c>
      <c r="AM2764" s="10"/>
      <c r="AN2764" s="10"/>
      <c r="AO2764" s="13" t="b">
        <v>0</v>
      </c>
      <c r="AP2764" s="22" t="s">
        <v>104</v>
      </c>
      <c r="AQ2764" s="10">
        <f ca="1">IFERROR(__xludf.DUMMYFUNCTION("""COMPUTED_VALUE"""),4792900)</f>
        <v>4792900</v>
      </c>
      <c r="AR2764" s="17">
        <v>4456</v>
      </c>
      <c r="AS2764" s="17">
        <v>3362</v>
      </c>
      <c r="AT2764" s="17">
        <v>43635.75</v>
      </c>
      <c r="AU2764" s="17">
        <v>2.65</v>
      </c>
      <c r="AV2764" s="17">
        <v>0.5</v>
      </c>
      <c r="AW2764" s="10" t="s">
        <v>105</v>
      </c>
      <c r="AX2764" s="17">
        <v>1656</v>
      </c>
      <c r="AY2764" s="18">
        <v>12.979104699583582</v>
      </c>
      <c r="AZ2764" s="10" t="s">
        <v>106</v>
      </c>
      <c r="BA2764" s="20" t="b">
        <v>0</v>
      </c>
      <c r="BB2764" s="10"/>
      <c r="BC2764" s="17">
        <v>4456</v>
      </c>
      <c r="BD2764" s="17">
        <v>3362</v>
      </c>
      <c r="BE2764" s="17">
        <v>43635.75</v>
      </c>
      <c r="BF2764" s="17">
        <v>0.5</v>
      </c>
      <c r="BG2764" s="11">
        <f ca="1">IFERROR(__xludf.DUMMYFUNCTION("""COMPUTED_VALUE"""),46015.125)</f>
        <v>46015.125</v>
      </c>
      <c r="BH2764" s="17" t="s">
        <v>105</v>
      </c>
      <c r="BI2764" s="17"/>
      <c r="BJ2764" s="15"/>
      <c r="BK2764" s="15"/>
      <c r="BL2764" s="13" t="b">
        <v>0</v>
      </c>
      <c r="BM2764" s="10"/>
      <c r="BN2764" s="10" t="s">
        <v>278</v>
      </c>
      <c r="BO2764" s="11">
        <v>45987.420138888891</v>
      </c>
      <c r="BP2764" s="11">
        <v>45987.420648148145</v>
      </c>
      <c r="BQ2764" s="15">
        <v>46014.587627314817</v>
      </c>
      <c r="BR2764" s="15">
        <v>46014.608541666668</v>
      </c>
      <c r="BS2764" s="10" t="s">
        <v>278</v>
      </c>
      <c r="BT2764" s="10" t="s">
        <v>99</v>
      </c>
      <c r="BU2764" s="10" t="s">
        <v>5492</v>
      </c>
      <c r="BV2764" s="10"/>
      <c r="BW2764" s="10"/>
      <c r="BX2764" s="10"/>
      <c r="BY2764" s="23"/>
      <c r="BZ2764" s="23"/>
      <c r="CA2764" s="19" t="s">
        <v>20618</v>
      </c>
      <c r="CB2764" s="23"/>
      <c r="CC2764" s="23"/>
      <c r="CD2764" s="23"/>
      <c r="CE2764" s="23"/>
      <c r="CF2764" s="23"/>
      <c r="CG2764" s="23"/>
      <c r="CH2764" s="23"/>
      <c r="CI2764" s="23"/>
    </row>
    <row r="2765" spans="1:87" x14ac:dyDescent="0.3">
      <c r="A2765" s="9" t="s">
        <v>20619</v>
      </c>
      <c r="B2765" s="10" t="s">
        <v>20620</v>
      </c>
      <c r="C2765" s="11">
        <v>46015.8125</v>
      </c>
      <c r="D2765" s="12">
        <v>8.3333333333333329E-2</v>
      </c>
      <c r="E2765" s="11">
        <v>46015.895833333336</v>
      </c>
      <c r="F2765" s="22" t="s">
        <v>20550</v>
      </c>
      <c r="G2765" s="13" t="b">
        <v>0</v>
      </c>
      <c r="H2765" s="22" t="s">
        <v>3578</v>
      </c>
      <c r="I2765" s="10" t="s">
        <v>89</v>
      </c>
      <c r="J2765" s="13" t="b">
        <v>0</v>
      </c>
      <c r="K2765" s="13" t="b">
        <v>1</v>
      </c>
      <c r="L2765" s="10" t="s">
        <v>124</v>
      </c>
      <c r="M2765" s="10" t="s">
        <v>91</v>
      </c>
      <c r="N2765" s="10" t="s">
        <v>265</v>
      </c>
      <c r="O2765" s="19" t="s">
        <v>20621</v>
      </c>
      <c r="P2765" s="10"/>
      <c r="Q2765" s="10" t="s">
        <v>94</v>
      </c>
      <c r="R2765" s="10"/>
      <c r="S2765" s="19" t="s">
        <v>20622</v>
      </c>
      <c r="T2765" s="10"/>
      <c r="U2765" s="10" t="s">
        <v>20623</v>
      </c>
      <c r="V2765" s="10" t="s">
        <v>20624</v>
      </c>
      <c r="W2765" s="10" t="s">
        <v>20555</v>
      </c>
      <c r="X2765" s="10" t="s">
        <v>130</v>
      </c>
      <c r="Y2765" s="10" t="s">
        <v>130</v>
      </c>
      <c r="Z2765" s="10" t="s">
        <v>99</v>
      </c>
      <c r="AA2765" s="10" t="s">
        <v>131</v>
      </c>
      <c r="AB2765" s="10" t="s">
        <v>20556</v>
      </c>
      <c r="AC2765" s="10" t="s">
        <v>20557</v>
      </c>
      <c r="AD2765" s="10" t="s">
        <v>20625</v>
      </c>
      <c r="AE2765" s="10" t="s">
        <v>20626</v>
      </c>
      <c r="AF2765" s="15"/>
      <c r="AG2765" s="10"/>
      <c r="AH2765" s="10"/>
      <c r="AI2765" s="10"/>
      <c r="AJ2765" s="10"/>
      <c r="AK2765" s="10" t="s">
        <v>102</v>
      </c>
      <c r="AL2765" s="10" t="s">
        <v>7897</v>
      </c>
      <c r="AM2765" s="10"/>
      <c r="AN2765" s="10"/>
      <c r="AO2765" s="13" t="b">
        <v>0</v>
      </c>
      <c r="AP2765" s="22" t="s">
        <v>104</v>
      </c>
      <c r="AQ2765" s="10">
        <f ca="1">IFERROR(__xludf.DUMMYFUNCTION("""COMPUTED_VALUE"""),4792901)</f>
        <v>4792901</v>
      </c>
      <c r="AR2765" s="17">
        <v>22103</v>
      </c>
      <c r="AS2765" s="17">
        <v>16383</v>
      </c>
      <c r="AT2765" s="17">
        <v>530378.25</v>
      </c>
      <c r="AU2765" s="17">
        <v>127.95</v>
      </c>
      <c r="AV2765" s="17">
        <v>16.5</v>
      </c>
      <c r="AW2765" s="10" t="s">
        <v>105</v>
      </c>
      <c r="AX2765" s="17">
        <v>5219</v>
      </c>
      <c r="AY2765" s="18">
        <v>32.373695293902216</v>
      </c>
      <c r="AZ2765" s="10" t="s">
        <v>106</v>
      </c>
      <c r="BA2765" s="20" t="b">
        <v>0</v>
      </c>
      <c r="BB2765" s="10"/>
      <c r="BC2765" s="17">
        <v>22103</v>
      </c>
      <c r="BD2765" s="17">
        <v>16383</v>
      </c>
      <c r="BE2765" s="17">
        <v>530378.25</v>
      </c>
      <c r="BF2765" s="17">
        <v>16.5</v>
      </c>
      <c r="BG2765" s="11">
        <f ca="1">IFERROR(__xludf.DUMMYFUNCTION("""COMPUTED_VALUE"""),46015.8125)</f>
        <v>46015.8125</v>
      </c>
      <c r="BH2765" s="17" t="s">
        <v>105</v>
      </c>
      <c r="BI2765" s="17"/>
      <c r="BJ2765" s="15"/>
      <c r="BK2765" s="15"/>
      <c r="BL2765" s="13" t="b">
        <v>0</v>
      </c>
      <c r="BM2765" s="10"/>
      <c r="BN2765" s="10" t="s">
        <v>634</v>
      </c>
      <c r="BO2765" s="11">
        <v>45987.42083333333</v>
      </c>
      <c r="BP2765" s="11">
        <v>45987.421087962961</v>
      </c>
      <c r="BQ2765" s="15">
        <v>46014.587395833332</v>
      </c>
      <c r="BR2765" s="15">
        <v>46014.608680555553</v>
      </c>
      <c r="BS2765" s="10" t="s">
        <v>634</v>
      </c>
      <c r="BT2765" s="10" t="s">
        <v>99</v>
      </c>
      <c r="BU2765" s="10" t="s">
        <v>8013</v>
      </c>
      <c r="BV2765" s="10"/>
      <c r="BW2765" s="10"/>
      <c r="BX2765" s="10"/>
      <c r="BY2765" s="23"/>
      <c r="BZ2765" s="23"/>
      <c r="CA2765" s="19" t="s">
        <v>20627</v>
      </c>
      <c r="CB2765" s="23"/>
      <c r="CC2765" s="23"/>
      <c r="CD2765" s="23"/>
      <c r="CE2765" s="23"/>
      <c r="CF2765" s="23"/>
      <c r="CG2765" s="23"/>
      <c r="CH2765" s="23"/>
      <c r="CI2765" s="23"/>
    </row>
    <row r="2766" spans="1:87" x14ac:dyDescent="0.3">
      <c r="A2766" s="9" t="s">
        <v>20628</v>
      </c>
      <c r="B2766" s="10" t="s">
        <v>20629</v>
      </c>
      <c r="C2766" s="11">
        <v>46015.916666666664</v>
      </c>
      <c r="D2766" s="12">
        <v>8.3333333333333329E-2</v>
      </c>
      <c r="E2766" s="11">
        <v>46016</v>
      </c>
      <c r="F2766" s="22" t="s">
        <v>20550</v>
      </c>
      <c r="G2766" s="13" t="b">
        <v>0</v>
      </c>
      <c r="H2766" s="22" t="s">
        <v>3578</v>
      </c>
      <c r="I2766" s="10" t="s">
        <v>89</v>
      </c>
      <c r="J2766" s="13" t="b">
        <v>0</v>
      </c>
      <c r="K2766" s="13" t="b">
        <v>1</v>
      </c>
      <c r="L2766" s="10" t="s">
        <v>124</v>
      </c>
      <c r="M2766" s="10" t="s">
        <v>91</v>
      </c>
      <c r="N2766" s="10" t="s">
        <v>265</v>
      </c>
      <c r="O2766" s="19" t="s">
        <v>20630</v>
      </c>
      <c r="P2766" s="10"/>
      <c r="Q2766" s="10" t="s">
        <v>126</v>
      </c>
      <c r="R2766" s="10"/>
      <c r="S2766" s="19" t="s">
        <v>20631</v>
      </c>
      <c r="T2766" s="10"/>
      <c r="U2766" s="10" t="s">
        <v>20632</v>
      </c>
      <c r="V2766" s="10" t="s">
        <v>20633</v>
      </c>
      <c r="W2766" s="10" t="s">
        <v>20555</v>
      </c>
      <c r="X2766" s="10" t="s">
        <v>130</v>
      </c>
      <c r="Y2766" s="10" t="s">
        <v>130</v>
      </c>
      <c r="Z2766" s="10" t="s">
        <v>99</v>
      </c>
      <c r="AA2766" s="10" t="s">
        <v>131</v>
      </c>
      <c r="AB2766" s="10" t="s">
        <v>20556</v>
      </c>
      <c r="AC2766" s="10" t="s">
        <v>20557</v>
      </c>
      <c r="AD2766" s="10" t="s">
        <v>20634</v>
      </c>
      <c r="AE2766" s="10" t="s">
        <v>20635</v>
      </c>
      <c r="AF2766" s="15"/>
      <c r="AG2766" s="10"/>
      <c r="AH2766" s="10"/>
      <c r="AI2766" s="10"/>
      <c r="AJ2766" s="10"/>
      <c r="AK2766" s="10" t="s">
        <v>102</v>
      </c>
      <c r="AL2766" s="10" t="s">
        <v>7897</v>
      </c>
      <c r="AM2766" s="10"/>
      <c r="AN2766" s="10"/>
      <c r="AO2766" s="13" t="b">
        <v>0</v>
      </c>
      <c r="AP2766" s="22" t="s">
        <v>104</v>
      </c>
      <c r="AQ2766" s="10">
        <f ca="1">IFERROR(__xludf.DUMMYFUNCTION("""COMPUTED_VALUE"""),4792902)</f>
        <v>4792902</v>
      </c>
      <c r="AR2766" s="17">
        <v>25190</v>
      </c>
      <c r="AS2766" s="17">
        <v>19927</v>
      </c>
      <c r="AT2766" s="17">
        <v>445149.5</v>
      </c>
      <c r="AU2766" s="17">
        <v>135</v>
      </c>
      <c r="AV2766" s="17">
        <v>25.8</v>
      </c>
      <c r="AW2766" s="10" t="s">
        <v>105</v>
      </c>
      <c r="AX2766" s="17">
        <v>5997</v>
      </c>
      <c r="AY2766" s="18">
        <v>22.339012395242637</v>
      </c>
      <c r="AZ2766" s="10" t="s">
        <v>106</v>
      </c>
      <c r="BA2766" s="20" t="b">
        <v>0</v>
      </c>
      <c r="BB2766" s="10"/>
      <c r="BC2766" s="17">
        <v>25190</v>
      </c>
      <c r="BD2766" s="17">
        <v>19927</v>
      </c>
      <c r="BE2766" s="17">
        <v>445149.5</v>
      </c>
      <c r="BF2766" s="17">
        <v>25.8</v>
      </c>
      <c r="BG2766" s="11">
        <f ca="1">IFERROR(__xludf.DUMMYFUNCTION("""COMPUTED_VALUE"""),46015.9166666666)</f>
        <v>46015.916666666599</v>
      </c>
      <c r="BH2766" s="17" t="s">
        <v>105</v>
      </c>
      <c r="BI2766" s="17"/>
      <c r="BJ2766" s="15"/>
      <c r="BK2766" s="15"/>
      <c r="BL2766" s="13" t="b">
        <v>0</v>
      </c>
      <c r="BM2766" s="10"/>
      <c r="BN2766" s="10" t="s">
        <v>634</v>
      </c>
      <c r="BO2766" s="11">
        <v>45987.42083333333</v>
      </c>
      <c r="BP2766" s="11">
        <v>46009.580775462964</v>
      </c>
      <c r="BQ2766" s="15">
        <v>46014.587199074071</v>
      </c>
      <c r="BR2766" s="15">
        <v>46014.608807870369</v>
      </c>
      <c r="BS2766" s="10" t="s">
        <v>634</v>
      </c>
      <c r="BT2766" s="10" t="s">
        <v>99</v>
      </c>
      <c r="BU2766" s="10" t="s">
        <v>6732</v>
      </c>
      <c r="BV2766" s="10"/>
      <c r="BW2766" s="10"/>
      <c r="BX2766" s="10"/>
      <c r="BY2766" s="23"/>
      <c r="BZ2766" s="23"/>
      <c r="CA2766" s="19" t="s">
        <v>20636</v>
      </c>
      <c r="CB2766" s="23"/>
      <c r="CC2766" s="23"/>
      <c r="CD2766" s="19" t="s">
        <v>20637</v>
      </c>
      <c r="CE2766" s="23"/>
      <c r="CF2766" s="23"/>
      <c r="CG2766" s="23"/>
      <c r="CH2766" s="23"/>
      <c r="CI2766" s="23"/>
    </row>
    <row r="2767" spans="1:87" x14ac:dyDescent="0.3">
      <c r="A2767" s="9" t="s">
        <v>20638</v>
      </c>
      <c r="B2767" s="10" t="s">
        <v>20639</v>
      </c>
      <c r="C2767" s="11">
        <v>46017.8125</v>
      </c>
      <c r="D2767" s="12">
        <v>8.3333333333333329E-2</v>
      </c>
      <c r="E2767" s="11">
        <v>46017.895833333336</v>
      </c>
      <c r="F2767" s="22" t="s">
        <v>20550</v>
      </c>
      <c r="G2767" s="13" t="b">
        <v>0</v>
      </c>
      <c r="H2767" s="22" t="s">
        <v>3578</v>
      </c>
      <c r="I2767" s="10" t="s">
        <v>89</v>
      </c>
      <c r="J2767" s="13" t="b">
        <v>0</v>
      </c>
      <c r="K2767" s="13" t="b">
        <v>1</v>
      </c>
      <c r="L2767" s="10" t="s">
        <v>124</v>
      </c>
      <c r="M2767" s="10" t="s">
        <v>91</v>
      </c>
      <c r="N2767" s="10" t="s">
        <v>265</v>
      </c>
      <c r="O2767" s="19" t="s">
        <v>20640</v>
      </c>
      <c r="P2767" s="10"/>
      <c r="Q2767" s="10" t="s">
        <v>94</v>
      </c>
      <c r="R2767" s="10"/>
      <c r="S2767" s="19" t="s">
        <v>20641</v>
      </c>
      <c r="T2767" s="10"/>
      <c r="U2767" s="10" t="s">
        <v>20567</v>
      </c>
      <c r="V2767" s="10" t="s">
        <v>20576</v>
      </c>
      <c r="W2767" s="10" t="s">
        <v>20555</v>
      </c>
      <c r="X2767" s="10" t="s">
        <v>130</v>
      </c>
      <c r="Y2767" s="10" t="s">
        <v>130</v>
      </c>
      <c r="Z2767" s="10" t="s">
        <v>99</v>
      </c>
      <c r="AA2767" s="10" t="s">
        <v>131</v>
      </c>
      <c r="AB2767" s="10" t="s">
        <v>20556</v>
      </c>
      <c r="AC2767" s="10" t="s">
        <v>20557</v>
      </c>
      <c r="AD2767" s="10" t="s">
        <v>20642</v>
      </c>
      <c r="AE2767" s="10" t="s">
        <v>20643</v>
      </c>
      <c r="AF2767" s="15"/>
      <c r="AG2767" s="10"/>
      <c r="AH2767" s="10"/>
      <c r="AI2767" s="10"/>
      <c r="AJ2767" s="10"/>
      <c r="AK2767" s="10" t="s">
        <v>102</v>
      </c>
      <c r="AL2767" s="10" t="s">
        <v>7897</v>
      </c>
      <c r="AM2767" s="10"/>
      <c r="AN2767" s="10"/>
      <c r="AO2767" s="13" t="b">
        <v>0</v>
      </c>
      <c r="AP2767" s="22" t="s">
        <v>104</v>
      </c>
      <c r="AQ2767" s="10">
        <f ca="1">IFERROR(__xludf.DUMMYFUNCTION("""COMPUTED_VALUE"""),4794868)</f>
        <v>4794868</v>
      </c>
      <c r="AR2767" s="17">
        <v>26826</v>
      </c>
      <c r="AS2767" s="17">
        <v>20164</v>
      </c>
      <c r="AT2767" s="17">
        <v>675638.5</v>
      </c>
      <c r="AU2767" s="17">
        <v>160.19999999999999</v>
      </c>
      <c r="AV2767" s="17">
        <v>27.35</v>
      </c>
      <c r="AW2767" s="10" t="s">
        <v>105</v>
      </c>
      <c r="AX2767" s="17">
        <v>6805</v>
      </c>
      <c r="AY2767" s="18">
        <v>33.507166236857763</v>
      </c>
      <c r="AZ2767" s="10" t="s">
        <v>106</v>
      </c>
      <c r="BA2767" s="20" t="b">
        <v>0</v>
      </c>
      <c r="BB2767" s="10"/>
      <c r="BC2767" s="17">
        <v>26826</v>
      </c>
      <c r="BD2767" s="17">
        <v>20164</v>
      </c>
      <c r="BE2767" s="17">
        <v>675638.5</v>
      </c>
      <c r="BF2767" s="17">
        <v>27.35</v>
      </c>
      <c r="BG2767" s="11">
        <f ca="1">IFERROR(__xludf.DUMMYFUNCTION("""COMPUTED_VALUE"""),46017.8125)</f>
        <v>46017.8125</v>
      </c>
      <c r="BH2767" s="17" t="s">
        <v>105</v>
      </c>
      <c r="BI2767" s="17"/>
      <c r="BJ2767" s="15"/>
      <c r="BK2767" s="15"/>
      <c r="BL2767" s="13" t="b">
        <v>0</v>
      </c>
      <c r="BM2767" s="10"/>
      <c r="BN2767" s="10" t="s">
        <v>1149</v>
      </c>
      <c r="BO2767" s="11">
        <v>45987.422222222223</v>
      </c>
      <c r="BP2767" s="11">
        <v>45987.42224537037</v>
      </c>
      <c r="BQ2767" s="15">
        <v>46015.807708333334</v>
      </c>
      <c r="BR2767" s="15">
        <v>46016.420370370368</v>
      </c>
      <c r="BS2767" s="10" t="s">
        <v>1149</v>
      </c>
      <c r="BT2767" s="10" t="s">
        <v>99</v>
      </c>
      <c r="BU2767" s="10" t="s">
        <v>6732</v>
      </c>
      <c r="BV2767" s="10"/>
      <c r="BW2767" s="10"/>
      <c r="BX2767" s="10"/>
      <c r="BY2767" s="23"/>
      <c r="BZ2767" s="23"/>
      <c r="CA2767" s="19" t="s">
        <v>20644</v>
      </c>
      <c r="CB2767" s="23"/>
      <c r="CC2767" s="23"/>
      <c r="CD2767" s="23"/>
      <c r="CE2767" s="23"/>
      <c r="CF2767" s="23"/>
      <c r="CG2767" s="23"/>
      <c r="CH2767" s="23"/>
      <c r="CI2767" s="23"/>
    </row>
    <row r="2768" spans="1:87" x14ac:dyDescent="0.3">
      <c r="A2768" s="9" t="s">
        <v>20645</v>
      </c>
      <c r="B2768" s="10" t="s">
        <v>20646</v>
      </c>
      <c r="C2768" s="11">
        <v>46017.916666666664</v>
      </c>
      <c r="D2768" s="12">
        <v>8.3333333333333329E-2</v>
      </c>
      <c r="E2768" s="11">
        <v>46018</v>
      </c>
      <c r="F2768" s="22" t="s">
        <v>20550</v>
      </c>
      <c r="G2768" s="13" t="b">
        <v>0</v>
      </c>
      <c r="H2768" s="22" t="s">
        <v>3578</v>
      </c>
      <c r="I2768" s="10" t="s">
        <v>89</v>
      </c>
      <c r="J2768" s="13" t="b">
        <v>0</v>
      </c>
      <c r="K2768" s="13" t="b">
        <v>1</v>
      </c>
      <c r="L2768" s="10" t="s">
        <v>124</v>
      </c>
      <c r="M2768" s="10" t="s">
        <v>91</v>
      </c>
      <c r="N2768" s="10" t="s">
        <v>265</v>
      </c>
      <c r="O2768" s="19" t="s">
        <v>20647</v>
      </c>
      <c r="P2768" s="10"/>
      <c r="Q2768" s="10" t="s">
        <v>126</v>
      </c>
      <c r="R2768" s="10"/>
      <c r="S2768" s="19" t="s">
        <v>20648</v>
      </c>
      <c r="T2768" s="10"/>
      <c r="U2768" s="10" t="s">
        <v>20575</v>
      </c>
      <c r="V2768" s="10" t="s">
        <v>20566</v>
      </c>
      <c r="W2768" s="10" t="s">
        <v>20555</v>
      </c>
      <c r="X2768" s="10" t="s">
        <v>130</v>
      </c>
      <c r="Y2768" s="10" t="s">
        <v>130</v>
      </c>
      <c r="Z2768" s="10" t="s">
        <v>99</v>
      </c>
      <c r="AA2768" s="10" t="s">
        <v>131</v>
      </c>
      <c r="AB2768" s="10" t="s">
        <v>20556</v>
      </c>
      <c r="AC2768" s="10" t="s">
        <v>20557</v>
      </c>
      <c r="AD2768" s="10" t="s">
        <v>20649</v>
      </c>
      <c r="AE2768" s="10" t="s">
        <v>20650</v>
      </c>
      <c r="AF2768" s="15"/>
      <c r="AG2768" s="10"/>
      <c r="AH2768" s="10"/>
      <c r="AI2768" s="10"/>
      <c r="AJ2768" s="10"/>
      <c r="AK2768" s="10" t="s">
        <v>102</v>
      </c>
      <c r="AL2768" s="10" t="s">
        <v>7897</v>
      </c>
      <c r="AM2768" s="10"/>
      <c r="AN2768" s="10"/>
      <c r="AO2768" s="13" t="b">
        <v>0</v>
      </c>
      <c r="AP2768" s="22" t="s">
        <v>104</v>
      </c>
      <c r="AQ2768" s="10">
        <f ca="1">IFERROR(__xludf.DUMMYFUNCTION("""COMPUTED_VALUE"""),4794869)</f>
        <v>4794869</v>
      </c>
      <c r="AR2768" s="17">
        <v>39288</v>
      </c>
      <c r="AS2768" s="17">
        <v>28861</v>
      </c>
      <c r="AT2768" s="17">
        <v>931728</v>
      </c>
      <c r="AU2768" s="17">
        <v>322.3</v>
      </c>
      <c r="AV2768" s="17">
        <v>43.25</v>
      </c>
      <c r="AW2768" s="10" t="s">
        <v>105</v>
      </c>
      <c r="AX2768" s="17">
        <v>11662</v>
      </c>
      <c r="AY2768" s="18">
        <v>32.283288867329617</v>
      </c>
      <c r="AZ2768" s="10" t="s">
        <v>106</v>
      </c>
      <c r="BA2768" s="20" t="b">
        <v>0</v>
      </c>
      <c r="BB2768" s="10"/>
      <c r="BC2768" s="17">
        <v>39288</v>
      </c>
      <c r="BD2768" s="17">
        <v>28861</v>
      </c>
      <c r="BE2768" s="17">
        <v>931728</v>
      </c>
      <c r="BF2768" s="17">
        <v>43.25</v>
      </c>
      <c r="BG2768" s="11">
        <f ca="1">IFERROR(__xludf.DUMMYFUNCTION("""COMPUTED_VALUE"""),46017.9166666666)</f>
        <v>46017.916666666599</v>
      </c>
      <c r="BH2768" s="17" t="s">
        <v>105</v>
      </c>
      <c r="BI2768" s="17"/>
      <c r="BJ2768" s="15"/>
      <c r="BK2768" s="15"/>
      <c r="BL2768" s="13" t="b">
        <v>0</v>
      </c>
      <c r="BM2768" s="10"/>
      <c r="BN2768" s="10" t="s">
        <v>197</v>
      </c>
      <c r="BO2768" s="11">
        <v>45987.422222222223</v>
      </c>
      <c r="BP2768" s="11">
        <v>46006.721030092594</v>
      </c>
      <c r="BQ2768" s="15">
        <v>46015.807916666665</v>
      </c>
      <c r="BR2768" s="15">
        <v>46016.420486111114</v>
      </c>
      <c r="BS2768" s="10" t="s">
        <v>197</v>
      </c>
      <c r="BT2768" s="10" t="s">
        <v>99</v>
      </c>
      <c r="BU2768" s="10" t="s">
        <v>8013</v>
      </c>
      <c r="BV2768" s="10"/>
      <c r="BW2768" s="10"/>
      <c r="BX2768" s="10"/>
      <c r="BY2768" s="23"/>
      <c r="BZ2768" s="23"/>
      <c r="CA2768" s="19" t="s">
        <v>20651</v>
      </c>
      <c r="CB2768" s="23"/>
      <c r="CC2768" s="23"/>
      <c r="CD2768" s="19" t="s">
        <v>20652</v>
      </c>
      <c r="CE2768" s="23"/>
      <c r="CF2768" s="23"/>
      <c r="CG2768" s="23"/>
      <c r="CH2768" s="23"/>
      <c r="CI2768" s="23"/>
    </row>
    <row r="2769" spans="1:87" x14ac:dyDescent="0.3">
      <c r="A2769" s="9" t="s">
        <v>20653</v>
      </c>
      <c r="B2769" s="10" t="s">
        <v>20654</v>
      </c>
      <c r="C2769" s="11">
        <v>46018.020833333336</v>
      </c>
      <c r="D2769" s="12">
        <v>8.3333333333333329E-2</v>
      </c>
      <c r="E2769" s="11">
        <v>46018.104166666664</v>
      </c>
      <c r="F2769" s="22" t="s">
        <v>20550</v>
      </c>
      <c r="G2769" s="13" t="b">
        <v>0</v>
      </c>
      <c r="H2769" s="22" t="s">
        <v>3578</v>
      </c>
      <c r="I2769" s="10" t="s">
        <v>89</v>
      </c>
      <c r="J2769" s="13" t="b">
        <v>0</v>
      </c>
      <c r="K2769" s="13" t="b">
        <v>1</v>
      </c>
      <c r="L2769" s="10" t="s">
        <v>124</v>
      </c>
      <c r="M2769" s="10" t="s">
        <v>91</v>
      </c>
      <c r="N2769" s="10" t="s">
        <v>265</v>
      </c>
      <c r="O2769" s="19" t="s">
        <v>20655</v>
      </c>
      <c r="P2769" s="10"/>
      <c r="Q2769" s="10" t="s">
        <v>94</v>
      </c>
      <c r="R2769" s="10"/>
      <c r="S2769" s="19" t="s">
        <v>20656</v>
      </c>
      <c r="T2769" s="10"/>
      <c r="U2769" s="10" t="s">
        <v>20554</v>
      </c>
      <c r="V2769" s="10" t="s">
        <v>20657</v>
      </c>
      <c r="W2769" s="10" t="s">
        <v>20555</v>
      </c>
      <c r="X2769" s="10" t="s">
        <v>130</v>
      </c>
      <c r="Y2769" s="10" t="s">
        <v>130</v>
      </c>
      <c r="Z2769" s="10" t="s">
        <v>99</v>
      </c>
      <c r="AA2769" s="10" t="s">
        <v>131</v>
      </c>
      <c r="AB2769" s="10" t="s">
        <v>20556</v>
      </c>
      <c r="AC2769" s="10" t="s">
        <v>20557</v>
      </c>
      <c r="AD2769" s="10" t="s">
        <v>20658</v>
      </c>
      <c r="AE2769" s="10" t="s">
        <v>20659</v>
      </c>
      <c r="AF2769" s="15"/>
      <c r="AG2769" s="10"/>
      <c r="AH2769" s="10"/>
      <c r="AI2769" s="10"/>
      <c r="AJ2769" s="10"/>
      <c r="AK2769" s="10" t="s">
        <v>102</v>
      </c>
      <c r="AL2769" s="10" t="s">
        <v>7897</v>
      </c>
      <c r="AM2769" s="10"/>
      <c r="AN2769" s="10"/>
      <c r="AO2769" s="13" t="b">
        <v>0</v>
      </c>
      <c r="AP2769" s="22" t="s">
        <v>104</v>
      </c>
      <c r="AQ2769" s="10">
        <f ca="1">IFERROR(__xludf.DUMMYFUNCTION("""COMPUTED_VALUE"""),4794870)</f>
        <v>4794870</v>
      </c>
      <c r="AR2769" s="17">
        <v>7840</v>
      </c>
      <c r="AS2769" s="17">
        <v>5790</v>
      </c>
      <c r="AT2769" s="17">
        <v>220862.5</v>
      </c>
      <c r="AU2769" s="17">
        <v>20.7</v>
      </c>
      <c r="AV2769" s="17">
        <v>3.9</v>
      </c>
      <c r="AW2769" s="10" t="s">
        <v>105</v>
      </c>
      <c r="AX2769" s="17">
        <v>3802</v>
      </c>
      <c r="AY2769" s="18">
        <v>38.145509499136445</v>
      </c>
      <c r="AZ2769" s="10" t="s">
        <v>106</v>
      </c>
      <c r="BA2769" s="20" t="b">
        <v>0</v>
      </c>
      <c r="BB2769" s="10"/>
      <c r="BC2769" s="17">
        <v>7840</v>
      </c>
      <c r="BD2769" s="17">
        <v>5790</v>
      </c>
      <c r="BE2769" s="17">
        <v>220862.5</v>
      </c>
      <c r="BF2769" s="17">
        <v>3.9</v>
      </c>
      <c r="BG2769" s="11">
        <f ca="1">IFERROR(__xludf.DUMMYFUNCTION("""COMPUTED_VALUE"""),46018.0208333333)</f>
        <v>46018.020833333299</v>
      </c>
      <c r="BH2769" s="17" t="s">
        <v>105</v>
      </c>
      <c r="BI2769" s="17"/>
      <c r="BJ2769" s="15"/>
      <c r="BK2769" s="15"/>
      <c r="BL2769" s="13" t="b">
        <v>0</v>
      </c>
      <c r="BM2769" s="10"/>
      <c r="BN2769" s="10" t="s">
        <v>197</v>
      </c>
      <c r="BO2769" s="11">
        <v>45987.42291666667</v>
      </c>
      <c r="BP2769" s="11">
        <v>45987.423113425924</v>
      </c>
      <c r="BQ2769" s="15">
        <v>46015.842002314814</v>
      </c>
      <c r="BR2769" s="15">
        <v>46016.420613425929</v>
      </c>
      <c r="BS2769" s="10" t="s">
        <v>197</v>
      </c>
      <c r="BT2769" s="10" t="s">
        <v>99</v>
      </c>
      <c r="BU2769" s="10" t="s">
        <v>8013</v>
      </c>
      <c r="BV2769" s="10"/>
      <c r="BW2769" s="10"/>
      <c r="BX2769" s="10"/>
      <c r="BY2769" s="23"/>
      <c r="BZ2769" s="23"/>
      <c r="CA2769" s="19" t="s">
        <v>20660</v>
      </c>
      <c r="CB2769" s="23"/>
      <c r="CC2769" s="23"/>
      <c r="CD2769" s="23"/>
      <c r="CE2769" s="23"/>
      <c r="CF2769" s="23"/>
      <c r="CG2769" s="23"/>
      <c r="CH2769" s="23"/>
      <c r="CI2769" s="23"/>
    </row>
    <row r="2770" spans="1:87" x14ac:dyDescent="0.3">
      <c r="A2770" s="9" t="s">
        <v>20661</v>
      </c>
      <c r="B2770" s="10" t="s">
        <v>20662</v>
      </c>
      <c r="C2770" s="11">
        <v>46018.125</v>
      </c>
      <c r="D2770" s="12">
        <v>8.3333333333333329E-2</v>
      </c>
      <c r="E2770" s="11">
        <v>46018.208333333336</v>
      </c>
      <c r="F2770" s="22" t="s">
        <v>20550</v>
      </c>
      <c r="G2770" s="13" t="b">
        <v>0</v>
      </c>
      <c r="H2770" s="22" t="s">
        <v>3578</v>
      </c>
      <c r="I2770" s="10" t="s">
        <v>89</v>
      </c>
      <c r="J2770" s="13" t="b">
        <v>0</v>
      </c>
      <c r="K2770" s="13" t="b">
        <v>1</v>
      </c>
      <c r="L2770" s="10" t="s">
        <v>124</v>
      </c>
      <c r="M2770" s="10" t="s">
        <v>91</v>
      </c>
      <c r="N2770" s="10" t="s">
        <v>265</v>
      </c>
      <c r="O2770" s="19" t="s">
        <v>20663</v>
      </c>
      <c r="P2770" s="10"/>
      <c r="Q2770" s="10" t="s">
        <v>126</v>
      </c>
      <c r="R2770" s="10"/>
      <c r="S2770" s="19" t="s">
        <v>20664</v>
      </c>
      <c r="T2770" s="10"/>
      <c r="U2770" s="10" t="s">
        <v>20665</v>
      </c>
      <c r="V2770" s="10" t="s">
        <v>20553</v>
      </c>
      <c r="W2770" s="10" t="s">
        <v>20555</v>
      </c>
      <c r="X2770" s="10" t="s">
        <v>130</v>
      </c>
      <c r="Y2770" s="10" t="s">
        <v>130</v>
      </c>
      <c r="Z2770" s="10" t="s">
        <v>99</v>
      </c>
      <c r="AA2770" s="10" t="s">
        <v>131</v>
      </c>
      <c r="AB2770" s="10" t="s">
        <v>20556</v>
      </c>
      <c r="AC2770" s="10" t="s">
        <v>20557</v>
      </c>
      <c r="AD2770" s="10" t="s">
        <v>20666</v>
      </c>
      <c r="AE2770" s="10" t="s">
        <v>20667</v>
      </c>
      <c r="AF2770" s="15"/>
      <c r="AG2770" s="10"/>
      <c r="AH2770" s="10"/>
      <c r="AI2770" s="10"/>
      <c r="AJ2770" s="10"/>
      <c r="AK2770" s="10" t="s">
        <v>102</v>
      </c>
      <c r="AL2770" s="10" t="s">
        <v>7897</v>
      </c>
      <c r="AM2770" s="10"/>
      <c r="AN2770" s="10"/>
      <c r="AO2770" s="13" t="b">
        <v>0</v>
      </c>
      <c r="AP2770" s="22" t="s">
        <v>104</v>
      </c>
      <c r="AQ2770" s="10">
        <f ca="1">IFERROR(__xludf.DUMMYFUNCTION("""COMPUTED_VALUE"""),4794871)</f>
        <v>4794871</v>
      </c>
      <c r="AR2770" s="17">
        <v>14055</v>
      </c>
      <c r="AS2770" s="17">
        <v>9827</v>
      </c>
      <c r="AT2770" s="17">
        <v>227046.25</v>
      </c>
      <c r="AU2770" s="17">
        <v>33.75</v>
      </c>
      <c r="AV2770" s="17">
        <v>6.9</v>
      </c>
      <c r="AW2770" s="10" t="s">
        <v>105</v>
      </c>
      <c r="AX2770" s="17">
        <v>4677</v>
      </c>
      <c r="AY2770" s="18">
        <v>23.104329907397986</v>
      </c>
      <c r="AZ2770" s="10" t="s">
        <v>106</v>
      </c>
      <c r="BA2770" s="20" t="b">
        <v>0</v>
      </c>
      <c r="BB2770" s="10"/>
      <c r="BC2770" s="17">
        <v>14055</v>
      </c>
      <c r="BD2770" s="17">
        <v>9827</v>
      </c>
      <c r="BE2770" s="17">
        <v>227046.25</v>
      </c>
      <c r="BF2770" s="17">
        <v>6.9</v>
      </c>
      <c r="BG2770" s="11">
        <f ca="1">IFERROR(__xludf.DUMMYFUNCTION("""COMPUTED_VALUE"""),46018.125)</f>
        <v>46018.125</v>
      </c>
      <c r="BH2770" s="17" t="s">
        <v>105</v>
      </c>
      <c r="BI2770" s="17"/>
      <c r="BJ2770" s="15"/>
      <c r="BK2770" s="15"/>
      <c r="BL2770" s="13" t="b">
        <v>0</v>
      </c>
      <c r="BM2770" s="10"/>
      <c r="BN2770" s="10" t="s">
        <v>197</v>
      </c>
      <c r="BO2770" s="11">
        <v>45987.42291666667</v>
      </c>
      <c r="BP2770" s="11">
        <v>46006.721180555556</v>
      </c>
      <c r="BQ2770" s="15">
        <v>46015.842210648145</v>
      </c>
      <c r="BR2770" s="15">
        <v>46016.420706018522</v>
      </c>
      <c r="BS2770" s="10" t="s">
        <v>197</v>
      </c>
      <c r="BT2770" s="10" t="s">
        <v>99</v>
      </c>
      <c r="BU2770" s="10" t="s">
        <v>8013</v>
      </c>
      <c r="BV2770" s="10"/>
      <c r="BW2770" s="10"/>
      <c r="BX2770" s="10"/>
      <c r="BY2770" s="23"/>
      <c r="BZ2770" s="23"/>
      <c r="CA2770" s="19" t="s">
        <v>20668</v>
      </c>
      <c r="CB2770" s="23"/>
      <c r="CC2770" s="23"/>
      <c r="CD2770" s="19" t="s">
        <v>20669</v>
      </c>
      <c r="CE2770" s="23"/>
      <c r="CF2770" s="23"/>
      <c r="CG2770" s="23"/>
      <c r="CH2770" s="23"/>
      <c r="CI2770" s="23"/>
    </row>
    <row r="2771" spans="1:87" x14ac:dyDescent="0.3">
      <c r="A2771" s="9" t="s">
        <v>20670</v>
      </c>
      <c r="B2771" s="10" t="s">
        <v>20671</v>
      </c>
      <c r="C2771" s="11">
        <v>46018.8125</v>
      </c>
      <c r="D2771" s="12">
        <v>8.3333333333333329E-2</v>
      </c>
      <c r="E2771" s="11">
        <v>46018.895833333336</v>
      </c>
      <c r="F2771" s="22" t="s">
        <v>20550</v>
      </c>
      <c r="G2771" s="13" t="b">
        <v>0</v>
      </c>
      <c r="H2771" s="22" t="s">
        <v>3578</v>
      </c>
      <c r="I2771" s="10" t="s">
        <v>89</v>
      </c>
      <c r="J2771" s="13" t="b">
        <v>0</v>
      </c>
      <c r="K2771" s="13" t="b">
        <v>1</v>
      </c>
      <c r="L2771" s="10" t="s">
        <v>124</v>
      </c>
      <c r="M2771" s="10" t="s">
        <v>91</v>
      </c>
      <c r="N2771" s="10" t="s">
        <v>265</v>
      </c>
      <c r="O2771" s="19" t="s">
        <v>20672</v>
      </c>
      <c r="P2771" s="10"/>
      <c r="Q2771" s="10" t="s">
        <v>94</v>
      </c>
      <c r="R2771" s="10"/>
      <c r="S2771" s="19" t="s">
        <v>20673</v>
      </c>
      <c r="T2771" s="10"/>
      <c r="U2771" s="10" t="s">
        <v>20586</v>
      </c>
      <c r="V2771" s="10" t="s">
        <v>20595</v>
      </c>
      <c r="W2771" s="10" t="s">
        <v>20555</v>
      </c>
      <c r="X2771" s="10" t="s">
        <v>130</v>
      </c>
      <c r="Y2771" s="10" t="s">
        <v>130</v>
      </c>
      <c r="Z2771" s="10" t="s">
        <v>99</v>
      </c>
      <c r="AA2771" s="10" t="s">
        <v>131</v>
      </c>
      <c r="AB2771" s="10" t="s">
        <v>20556</v>
      </c>
      <c r="AC2771" s="10" t="s">
        <v>20557</v>
      </c>
      <c r="AD2771" s="10" t="s">
        <v>20674</v>
      </c>
      <c r="AE2771" s="10" t="s">
        <v>20675</v>
      </c>
      <c r="AF2771" s="15"/>
      <c r="AG2771" s="10"/>
      <c r="AH2771" s="10"/>
      <c r="AI2771" s="10"/>
      <c r="AJ2771" s="10"/>
      <c r="AK2771" s="10" t="s">
        <v>102</v>
      </c>
      <c r="AL2771" s="10" t="s">
        <v>7897</v>
      </c>
      <c r="AM2771" s="10"/>
      <c r="AN2771" s="10"/>
      <c r="AO2771" s="13" t="b">
        <v>0</v>
      </c>
      <c r="AP2771" s="22" t="s">
        <v>104</v>
      </c>
      <c r="AQ2771" s="10">
        <f ca="1">IFERROR(__xludf.DUMMYFUNCTION("""COMPUTED_VALUE"""),4794872)</f>
        <v>4794872</v>
      </c>
      <c r="AR2771" s="17">
        <v>10860</v>
      </c>
      <c r="AS2771" s="17">
        <v>8489</v>
      </c>
      <c r="AT2771" s="17">
        <v>111167</v>
      </c>
      <c r="AU2771" s="17">
        <v>23.55</v>
      </c>
      <c r="AV2771" s="17">
        <v>4</v>
      </c>
      <c r="AW2771" s="10" t="s">
        <v>105</v>
      </c>
      <c r="AX2771" s="17">
        <v>3040</v>
      </c>
      <c r="AY2771" s="18">
        <v>13.095417599246083</v>
      </c>
      <c r="AZ2771" s="10" t="s">
        <v>106</v>
      </c>
      <c r="BA2771" s="20" t="b">
        <v>0</v>
      </c>
      <c r="BB2771" s="10"/>
      <c r="BC2771" s="17">
        <v>10860</v>
      </c>
      <c r="BD2771" s="17">
        <v>8489</v>
      </c>
      <c r="BE2771" s="17">
        <v>111167</v>
      </c>
      <c r="BF2771" s="17">
        <v>4</v>
      </c>
      <c r="BG2771" s="11">
        <f ca="1">IFERROR(__xludf.DUMMYFUNCTION("""COMPUTED_VALUE"""),46018.8125)</f>
        <v>46018.8125</v>
      </c>
      <c r="BH2771" s="17" t="s">
        <v>105</v>
      </c>
      <c r="BI2771" s="17"/>
      <c r="BJ2771" s="15"/>
      <c r="BK2771" s="15"/>
      <c r="BL2771" s="13" t="b">
        <v>0</v>
      </c>
      <c r="BM2771" s="10"/>
      <c r="BN2771" s="10" t="s">
        <v>278</v>
      </c>
      <c r="BO2771" s="11">
        <v>45987.423611111109</v>
      </c>
      <c r="BP2771" s="11">
        <v>45987.42391203704</v>
      </c>
      <c r="BQ2771" s="15">
        <v>46015.842418981483</v>
      </c>
      <c r="BR2771" s="15">
        <v>46016.420856481483</v>
      </c>
      <c r="BS2771" s="10" t="s">
        <v>278</v>
      </c>
      <c r="BT2771" s="10" t="s">
        <v>99</v>
      </c>
      <c r="BU2771" s="10" t="s">
        <v>5854</v>
      </c>
      <c r="BV2771" s="10"/>
      <c r="BW2771" s="10"/>
      <c r="BX2771" s="10"/>
      <c r="BY2771" s="23"/>
      <c r="BZ2771" s="23"/>
      <c r="CA2771" s="19" t="s">
        <v>20676</v>
      </c>
      <c r="CB2771" s="23"/>
      <c r="CC2771" s="23"/>
      <c r="CD2771" s="23"/>
      <c r="CE2771" s="23"/>
      <c r="CF2771" s="23"/>
      <c r="CG2771" s="23"/>
      <c r="CH2771" s="23"/>
      <c r="CI2771" s="23"/>
    </row>
    <row r="2772" spans="1:87" x14ac:dyDescent="0.3">
      <c r="A2772" s="9" t="s">
        <v>20677</v>
      </c>
      <c r="B2772" s="10" t="s">
        <v>20678</v>
      </c>
      <c r="C2772" s="11">
        <v>46018.916666666664</v>
      </c>
      <c r="D2772" s="12">
        <v>8.3333333333333329E-2</v>
      </c>
      <c r="E2772" s="11">
        <v>46019</v>
      </c>
      <c r="F2772" s="22" t="s">
        <v>20550</v>
      </c>
      <c r="G2772" s="13" t="b">
        <v>0</v>
      </c>
      <c r="H2772" s="22" t="s">
        <v>3578</v>
      </c>
      <c r="I2772" s="10" t="s">
        <v>89</v>
      </c>
      <c r="J2772" s="13" t="b">
        <v>0</v>
      </c>
      <c r="K2772" s="13" t="b">
        <v>1</v>
      </c>
      <c r="L2772" s="10" t="s">
        <v>124</v>
      </c>
      <c r="M2772" s="10" t="s">
        <v>91</v>
      </c>
      <c r="N2772" s="10" t="s">
        <v>265</v>
      </c>
      <c r="O2772" s="19" t="s">
        <v>20679</v>
      </c>
      <c r="P2772" s="10"/>
      <c r="Q2772" s="10" t="s">
        <v>126</v>
      </c>
      <c r="R2772" s="10"/>
      <c r="S2772" s="19" t="s">
        <v>20680</v>
      </c>
      <c r="T2772" s="10"/>
      <c r="U2772" s="10" t="s">
        <v>20594</v>
      </c>
      <c r="V2772" s="10" t="s">
        <v>20585</v>
      </c>
      <c r="W2772" s="10" t="s">
        <v>20555</v>
      </c>
      <c r="X2772" s="10" t="s">
        <v>130</v>
      </c>
      <c r="Y2772" s="10" t="s">
        <v>130</v>
      </c>
      <c r="Z2772" s="10" t="s">
        <v>99</v>
      </c>
      <c r="AA2772" s="10" t="s">
        <v>131</v>
      </c>
      <c r="AB2772" s="10" t="s">
        <v>20556</v>
      </c>
      <c r="AC2772" s="10" t="s">
        <v>20557</v>
      </c>
      <c r="AD2772" s="10" t="s">
        <v>20681</v>
      </c>
      <c r="AE2772" s="10" t="s">
        <v>20682</v>
      </c>
      <c r="AF2772" s="15"/>
      <c r="AG2772" s="10"/>
      <c r="AH2772" s="10"/>
      <c r="AI2772" s="10"/>
      <c r="AJ2772" s="10"/>
      <c r="AK2772" s="10" t="s">
        <v>102</v>
      </c>
      <c r="AL2772" s="10" t="s">
        <v>7897</v>
      </c>
      <c r="AM2772" s="10"/>
      <c r="AN2772" s="10"/>
      <c r="AO2772" s="13" t="b">
        <v>0</v>
      </c>
      <c r="AP2772" s="22" t="s">
        <v>104</v>
      </c>
      <c r="AQ2772" s="10">
        <f ca="1">IFERROR(__xludf.DUMMYFUNCTION("""COMPUTED_VALUE"""),4794873)</f>
        <v>4794873</v>
      </c>
      <c r="AR2772" s="17">
        <v>19405</v>
      </c>
      <c r="AS2772" s="17">
        <v>13746</v>
      </c>
      <c r="AT2772" s="17">
        <v>267830.5</v>
      </c>
      <c r="AU2772" s="17">
        <v>80.45</v>
      </c>
      <c r="AV2772" s="17">
        <v>13.05</v>
      </c>
      <c r="AW2772" s="10" t="s">
        <v>105</v>
      </c>
      <c r="AX2772" s="17">
        <v>4495</v>
      </c>
      <c r="AY2772" s="18">
        <v>19.484249963625782</v>
      </c>
      <c r="AZ2772" s="10" t="s">
        <v>106</v>
      </c>
      <c r="BA2772" s="20" t="b">
        <v>0</v>
      </c>
      <c r="BB2772" s="10"/>
      <c r="BC2772" s="17">
        <v>19405</v>
      </c>
      <c r="BD2772" s="17">
        <v>13746</v>
      </c>
      <c r="BE2772" s="17">
        <v>267830.5</v>
      </c>
      <c r="BF2772" s="17">
        <v>13.05</v>
      </c>
      <c r="BG2772" s="11">
        <f ca="1">IFERROR(__xludf.DUMMYFUNCTION("""COMPUTED_VALUE"""),46018.9166666666)</f>
        <v>46018.916666666599</v>
      </c>
      <c r="BH2772" s="17" t="s">
        <v>105</v>
      </c>
      <c r="BI2772" s="17"/>
      <c r="BJ2772" s="15"/>
      <c r="BK2772" s="15"/>
      <c r="BL2772" s="13" t="b">
        <v>0</v>
      </c>
      <c r="BM2772" s="10"/>
      <c r="BN2772" s="10" t="s">
        <v>137</v>
      </c>
      <c r="BO2772" s="11">
        <v>45987.424305555556</v>
      </c>
      <c r="BP2772" s="11">
        <v>46006.721354166664</v>
      </c>
      <c r="BQ2772" s="15">
        <v>46015.842650462961</v>
      </c>
      <c r="BR2772" s="15">
        <v>46016.420995370368</v>
      </c>
      <c r="BS2772" s="10" t="s">
        <v>137</v>
      </c>
      <c r="BT2772" s="10" t="s">
        <v>99</v>
      </c>
      <c r="BU2772" s="10" t="s">
        <v>5854</v>
      </c>
      <c r="BV2772" s="10"/>
      <c r="BW2772" s="10"/>
      <c r="BX2772" s="10"/>
      <c r="BY2772" s="23"/>
      <c r="BZ2772" s="23"/>
      <c r="CA2772" s="19" t="s">
        <v>20683</v>
      </c>
      <c r="CB2772" s="23"/>
      <c r="CC2772" s="23"/>
      <c r="CD2772" s="19" t="s">
        <v>20684</v>
      </c>
      <c r="CE2772" s="23"/>
      <c r="CF2772" s="23"/>
      <c r="CG2772" s="23"/>
      <c r="CH2772" s="23"/>
      <c r="CI2772" s="23"/>
    </row>
    <row r="2773" spans="1:87" x14ac:dyDescent="0.3">
      <c r="A2773" s="9" t="s">
        <v>20685</v>
      </c>
      <c r="B2773" s="10" t="s">
        <v>20686</v>
      </c>
      <c r="C2773" s="11">
        <v>46019.020833333336</v>
      </c>
      <c r="D2773" s="12">
        <v>8.3333333333333329E-2</v>
      </c>
      <c r="E2773" s="11">
        <v>46019.104166666664</v>
      </c>
      <c r="F2773" s="22" t="s">
        <v>20550</v>
      </c>
      <c r="G2773" s="13" t="b">
        <v>0</v>
      </c>
      <c r="H2773" s="22" t="s">
        <v>3578</v>
      </c>
      <c r="I2773" s="10" t="s">
        <v>89</v>
      </c>
      <c r="J2773" s="13" t="b">
        <v>0</v>
      </c>
      <c r="K2773" s="13" t="b">
        <v>1</v>
      </c>
      <c r="L2773" s="10" t="s">
        <v>124</v>
      </c>
      <c r="M2773" s="10" t="s">
        <v>91</v>
      </c>
      <c r="N2773" s="10" t="s">
        <v>265</v>
      </c>
      <c r="O2773" s="19" t="s">
        <v>20687</v>
      </c>
      <c r="P2773" s="10"/>
      <c r="Q2773" s="10" t="s">
        <v>94</v>
      </c>
      <c r="R2773" s="10"/>
      <c r="S2773" s="10"/>
      <c r="T2773" s="10"/>
      <c r="U2773" s="10" t="s">
        <v>20615</v>
      </c>
      <c r="V2773" s="10" t="s">
        <v>20605</v>
      </c>
      <c r="W2773" s="10" t="s">
        <v>20555</v>
      </c>
      <c r="X2773" s="10" t="s">
        <v>130</v>
      </c>
      <c r="Y2773" s="10" t="s">
        <v>130</v>
      </c>
      <c r="Z2773" s="10" t="s">
        <v>99</v>
      </c>
      <c r="AA2773" s="10" t="s">
        <v>131</v>
      </c>
      <c r="AB2773" s="10" t="s">
        <v>20556</v>
      </c>
      <c r="AC2773" s="10" t="s">
        <v>20557</v>
      </c>
      <c r="AD2773" s="10" t="s">
        <v>20688</v>
      </c>
      <c r="AE2773" s="10" t="s">
        <v>20689</v>
      </c>
      <c r="AF2773" s="15"/>
      <c r="AG2773" s="10"/>
      <c r="AH2773" s="10"/>
      <c r="AI2773" s="10"/>
      <c r="AJ2773" s="10"/>
      <c r="AK2773" s="10" t="s">
        <v>102</v>
      </c>
      <c r="AL2773" s="10" t="s">
        <v>7897</v>
      </c>
      <c r="AM2773" s="10"/>
      <c r="AN2773" s="10"/>
      <c r="AO2773" s="13" t="b">
        <v>0</v>
      </c>
      <c r="AP2773" s="22" t="s">
        <v>104</v>
      </c>
      <c r="AQ2773" s="10">
        <f ca="1">IFERROR(__xludf.DUMMYFUNCTION("""COMPUTED_VALUE"""),4795172)</f>
        <v>4795172</v>
      </c>
      <c r="AR2773" s="17">
        <v>3933</v>
      </c>
      <c r="AS2773" s="17">
        <v>3105</v>
      </c>
      <c r="AT2773" s="17">
        <v>71598.75</v>
      </c>
      <c r="AU2773" s="17">
        <v>1.25</v>
      </c>
      <c r="AV2773" s="17">
        <v>0</v>
      </c>
      <c r="AW2773" s="10" t="s">
        <v>105</v>
      </c>
      <c r="AX2773" s="17">
        <v>1398</v>
      </c>
      <c r="AY2773" s="18">
        <v>23.059178743961354</v>
      </c>
      <c r="AZ2773" s="10"/>
      <c r="BA2773" s="20" t="b">
        <v>0</v>
      </c>
      <c r="BB2773" s="10"/>
      <c r="BC2773" s="17">
        <v>3933</v>
      </c>
      <c r="BD2773" s="17">
        <v>3105</v>
      </c>
      <c r="BE2773" s="17">
        <v>71598.75</v>
      </c>
      <c r="BF2773" s="17">
        <v>0</v>
      </c>
      <c r="BG2773" s="11">
        <f ca="1">IFERROR(__xludf.DUMMYFUNCTION("""COMPUTED_VALUE"""),46019.0208333333)</f>
        <v>46019.020833333299</v>
      </c>
      <c r="BH2773" s="17" t="s">
        <v>105</v>
      </c>
      <c r="BI2773" s="17"/>
      <c r="BJ2773" s="15"/>
      <c r="BK2773" s="15"/>
      <c r="BL2773" s="13" t="b">
        <v>0</v>
      </c>
      <c r="BM2773" s="10"/>
      <c r="BN2773" s="10" t="s">
        <v>1149</v>
      </c>
      <c r="BO2773" s="11">
        <v>45987.424305555556</v>
      </c>
      <c r="BP2773" s="11">
        <v>46003.674722222226</v>
      </c>
      <c r="BQ2773" s="15"/>
      <c r="BR2773" s="15">
        <v>46017.41196759259</v>
      </c>
      <c r="BS2773" s="10" t="s">
        <v>1149</v>
      </c>
      <c r="BT2773" s="10" t="s">
        <v>99</v>
      </c>
      <c r="BU2773" s="10"/>
      <c r="BV2773" s="10"/>
      <c r="BW2773" s="10"/>
      <c r="BX2773" s="10"/>
      <c r="BY2773" s="23"/>
      <c r="BZ2773" s="23"/>
      <c r="CA2773" s="19" t="s">
        <v>20690</v>
      </c>
      <c r="CB2773" s="23"/>
      <c r="CC2773" s="23"/>
      <c r="CD2773" s="23"/>
      <c r="CE2773" s="23"/>
      <c r="CF2773" s="23"/>
      <c r="CG2773" s="23"/>
      <c r="CH2773" s="23"/>
      <c r="CI2773" s="23"/>
    </row>
    <row r="2774" spans="1:87" x14ac:dyDescent="0.3">
      <c r="A2774" s="9" t="s">
        <v>20691</v>
      </c>
      <c r="B2774" s="10" t="s">
        <v>20692</v>
      </c>
      <c r="C2774" s="11">
        <v>46019.125</v>
      </c>
      <c r="D2774" s="12">
        <v>8.3333333333333329E-2</v>
      </c>
      <c r="E2774" s="11">
        <v>46019.208333333336</v>
      </c>
      <c r="F2774" s="22" t="s">
        <v>20550</v>
      </c>
      <c r="G2774" s="13" t="b">
        <v>0</v>
      </c>
      <c r="H2774" s="22" t="s">
        <v>3578</v>
      </c>
      <c r="I2774" s="10" t="s">
        <v>89</v>
      </c>
      <c r="J2774" s="13" t="b">
        <v>0</v>
      </c>
      <c r="K2774" s="13" t="b">
        <v>1</v>
      </c>
      <c r="L2774" s="10" t="s">
        <v>124</v>
      </c>
      <c r="M2774" s="10" t="s">
        <v>91</v>
      </c>
      <c r="N2774" s="10" t="s">
        <v>265</v>
      </c>
      <c r="O2774" s="19" t="s">
        <v>20693</v>
      </c>
      <c r="P2774" s="10"/>
      <c r="Q2774" s="10" t="s">
        <v>126</v>
      </c>
      <c r="R2774" s="10"/>
      <c r="S2774" s="19" t="s">
        <v>20694</v>
      </c>
      <c r="T2774" s="10"/>
      <c r="U2774" s="10" t="s">
        <v>20604</v>
      </c>
      <c r="V2774" s="10" t="s">
        <v>20614</v>
      </c>
      <c r="W2774" s="10" t="s">
        <v>20555</v>
      </c>
      <c r="X2774" s="10" t="s">
        <v>130</v>
      </c>
      <c r="Y2774" s="10" t="s">
        <v>130</v>
      </c>
      <c r="Z2774" s="10" t="s">
        <v>99</v>
      </c>
      <c r="AA2774" s="10" t="s">
        <v>131</v>
      </c>
      <c r="AB2774" s="10" t="s">
        <v>20556</v>
      </c>
      <c r="AC2774" s="10" t="s">
        <v>20557</v>
      </c>
      <c r="AD2774" s="10" t="s">
        <v>20695</v>
      </c>
      <c r="AE2774" s="10" t="s">
        <v>20696</v>
      </c>
      <c r="AF2774" s="15"/>
      <c r="AG2774" s="10"/>
      <c r="AH2774" s="10"/>
      <c r="AI2774" s="10"/>
      <c r="AJ2774" s="10"/>
      <c r="AK2774" s="10" t="s">
        <v>102</v>
      </c>
      <c r="AL2774" s="10" t="s">
        <v>7897</v>
      </c>
      <c r="AM2774" s="10"/>
      <c r="AN2774" s="10"/>
      <c r="AO2774" s="13" t="b">
        <v>0</v>
      </c>
      <c r="AP2774" s="22" t="s">
        <v>104</v>
      </c>
      <c r="AQ2774" s="10">
        <f ca="1">IFERROR(__xludf.DUMMYFUNCTION("""COMPUTED_VALUE"""),4795173)</f>
        <v>4795173</v>
      </c>
      <c r="AR2774" s="17">
        <v>7652</v>
      </c>
      <c r="AS2774" s="17">
        <v>5882</v>
      </c>
      <c r="AT2774" s="17">
        <v>187065.75</v>
      </c>
      <c r="AU2774" s="17">
        <v>7.5</v>
      </c>
      <c r="AV2774" s="17">
        <v>1.25</v>
      </c>
      <c r="AW2774" s="10" t="s">
        <v>105</v>
      </c>
      <c r="AX2774" s="17">
        <v>2679</v>
      </c>
      <c r="AY2774" s="18">
        <v>31.803085685141109</v>
      </c>
      <c r="AZ2774" s="10" t="s">
        <v>136</v>
      </c>
      <c r="BA2774" s="20" t="b">
        <v>0</v>
      </c>
      <c r="BB2774" s="10"/>
      <c r="BC2774" s="17">
        <v>7652</v>
      </c>
      <c r="BD2774" s="17">
        <v>5882</v>
      </c>
      <c r="BE2774" s="17">
        <v>187065.75</v>
      </c>
      <c r="BF2774" s="17">
        <v>1.25</v>
      </c>
      <c r="BG2774" s="11">
        <f ca="1">IFERROR(__xludf.DUMMYFUNCTION("""COMPUTED_VALUE"""),46019.125)</f>
        <v>46019.125</v>
      </c>
      <c r="BH2774" s="17" t="s">
        <v>105</v>
      </c>
      <c r="BI2774" s="17"/>
      <c r="BJ2774" s="15"/>
      <c r="BK2774" s="15"/>
      <c r="BL2774" s="13" t="b">
        <v>0</v>
      </c>
      <c r="BM2774" s="10"/>
      <c r="BN2774" s="10" t="s">
        <v>136</v>
      </c>
      <c r="BO2774" s="11">
        <v>45987.425000000003</v>
      </c>
      <c r="BP2774" s="11">
        <v>46006.72152777778</v>
      </c>
      <c r="BQ2774" s="15">
        <v>46017.878379629627</v>
      </c>
      <c r="BR2774" s="15">
        <v>46017.412094907406</v>
      </c>
      <c r="BS2774" s="10"/>
      <c r="BT2774" s="10" t="s">
        <v>99</v>
      </c>
      <c r="BU2774" s="10"/>
      <c r="BV2774" s="10"/>
      <c r="BW2774" s="10"/>
      <c r="BX2774" s="10"/>
      <c r="BY2774" s="23"/>
      <c r="BZ2774" s="23"/>
      <c r="CA2774" s="19" t="s">
        <v>20697</v>
      </c>
      <c r="CB2774" s="23"/>
      <c r="CC2774" s="23"/>
      <c r="CD2774" s="19" t="s">
        <v>20698</v>
      </c>
      <c r="CE2774" s="23"/>
      <c r="CF2774" s="23"/>
      <c r="CG2774" s="23"/>
      <c r="CH2774" s="23"/>
      <c r="CI2774" s="23"/>
    </row>
    <row r="2775" spans="1:87" x14ac:dyDescent="0.3">
      <c r="A2775" s="9" t="s">
        <v>20699</v>
      </c>
      <c r="B2775" s="10" t="s">
        <v>20700</v>
      </c>
      <c r="C2775" s="11">
        <v>46019.8125</v>
      </c>
      <c r="D2775" s="12">
        <v>8.3333333333333329E-2</v>
      </c>
      <c r="E2775" s="11">
        <v>46019.895833333336</v>
      </c>
      <c r="F2775" s="22" t="s">
        <v>20550</v>
      </c>
      <c r="G2775" s="13" t="b">
        <v>0</v>
      </c>
      <c r="H2775" s="22" t="s">
        <v>3578</v>
      </c>
      <c r="I2775" s="10" t="s">
        <v>89</v>
      </c>
      <c r="J2775" s="13" t="b">
        <v>0</v>
      </c>
      <c r="K2775" s="13" t="b">
        <v>1</v>
      </c>
      <c r="L2775" s="10" t="s">
        <v>124</v>
      </c>
      <c r="M2775" s="10" t="s">
        <v>91</v>
      </c>
      <c r="N2775" s="10" t="s">
        <v>265</v>
      </c>
      <c r="O2775" s="19" t="s">
        <v>20701</v>
      </c>
      <c r="P2775" s="10"/>
      <c r="Q2775" s="10" t="s">
        <v>94</v>
      </c>
      <c r="R2775" s="10"/>
      <c r="S2775" s="10"/>
      <c r="T2775" s="10"/>
      <c r="U2775" s="10" t="s">
        <v>20702</v>
      </c>
      <c r="V2775" s="10" t="s">
        <v>20703</v>
      </c>
      <c r="W2775" s="10" t="s">
        <v>20555</v>
      </c>
      <c r="X2775" s="10" t="s">
        <v>130</v>
      </c>
      <c r="Y2775" s="10" t="s">
        <v>130</v>
      </c>
      <c r="Z2775" s="10" t="s">
        <v>99</v>
      </c>
      <c r="AA2775" s="10" t="s">
        <v>131</v>
      </c>
      <c r="AB2775" s="10" t="s">
        <v>20556</v>
      </c>
      <c r="AC2775" s="10" t="s">
        <v>20557</v>
      </c>
      <c r="AD2775" s="10" t="s">
        <v>20704</v>
      </c>
      <c r="AE2775" s="10" t="s">
        <v>20705</v>
      </c>
      <c r="AF2775" s="15"/>
      <c r="AG2775" s="10"/>
      <c r="AH2775" s="10"/>
      <c r="AI2775" s="10"/>
      <c r="AJ2775" s="10"/>
      <c r="AK2775" s="10" t="s">
        <v>102</v>
      </c>
      <c r="AL2775" s="10" t="s">
        <v>7897</v>
      </c>
      <c r="AM2775" s="10"/>
      <c r="AN2775" s="10"/>
      <c r="AO2775" s="13" t="b">
        <v>0</v>
      </c>
      <c r="AP2775" s="22" t="s">
        <v>104</v>
      </c>
      <c r="AQ2775" s="10">
        <f ca="1">IFERROR(__xludf.DUMMYFUNCTION("""COMPUTED_VALUE"""),4795174)</f>
        <v>4795174</v>
      </c>
      <c r="AR2775" s="17">
        <v>16618</v>
      </c>
      <c r="AS2775" s="17">
        <v>12189</v>
      </c>
      <c r="AT2775" s="17">
        <v>268401.75</v>
      </c>
      <c r="AU2775" s="17">
        <v>36.85</v>
      </c>
      <c r="AV2775" s="17">
        <v>5.75</v>
      </c>
      <c r="AW2775" s="10" t="s">
        <v>105</v>
      </c>
      <c r="AX2775" s="17">
        <v>3738</v>
      </c>
      <c r="AY2775" s="18">
        <v>22.019997538764461</v>
      </c>
      <c r="AZ2775" s="10"/>
      <c r="BA2775" s="20" t="b">
        <v>0</v>
      </c>
      <c r="BB2775" s="10"/>
      <c r="BC2775" s="17">
        <v>16618</v>
      </c>
      <c r="BD2775" s="17">
        <v>12189</v>
      </c>
      <c r="BE2775" s="17">
        <v>268401.75</v>
      </c>
      <c r="BF2775" s="17">
        <v>5.75</v>
      </c>
      <c r="BG2775" s="11">
        <f ca="1">IFERROR(__xludf.DUMMYFUNCTION("""COMPUTED_VALUE"""),46019.8125)</f>
        <v>46019.8125</v>
      </c>
      <c r="BH2775" s="17" t="s">
        <v>105</v>
      </c>
      <c r="BI2775" s="17"/>
      <c r="BJ2775" s="15"/>
      <c r="BK2775" s="15"/>
      <c r="BL2775" s="13" t="b">
        <v>0</v>
      </c>
      <c r="BM2775" s="10"/>
      <c r="BN2775" s="10" t="s">
        <v>278</v>
      </c>
      <c r="BO2775" s="11">
        <v>45987.425000000003</v>
      </c>
      <c r="BP2775" s="11">
        <v>45987.42564814815</v>
      </c>
      <c r="BQ2775" s="15"/>
      <c r="BR2775" s="15">
        <v>46017.412233796298</v>
      </c>
      <c r="BS2775" s="10" t="s">
        <v>278</v>
      </c>
      <c r="BT2775" s="10" t="s">
        <v>99</v>
      </c>
      <c r="BU2775" s="10" t="s">
        <v>5046</v>
      </c>
      <c r="BV2775" s="10"/>
      <c r="BW2775" s="10"/>
      <c r="BX2775" s="10"/>
      <c r="BY2775" s="23"/>
      <c r="BZ2775" s="23"/>
      <c r="CA2775" s="19" t="s">
        <v>20706</v>
      </c>
      <c r="CB2775" s="23"/>
      <c r="CC2775" s="23"/>
      <c r="CD2775" s="23"/>
      <c r="CE2775" s="23"/>
      <c r="CF2775" s="23"/>
      <c r="CG2775" s="23"/>
      <c r="CH2775" s="23"/>
      <c r="CI2775" s="23"/>
    </row>
    <row r="2776" spans="1:87" x14ac:dyDescent="0.3">
      <c r="A2776" s="9" t="s">
        <v>20707</v>
      </c>
      <c r="B2776" s="10" t="s">
        <v>20708</v>
      </c>
      <c r="C2776" s="11">
        <v>46019.916666666664</v>
      </c>
      <c r="D2776" s="12">
        <v>8.3333333333333329E-2</v>
      </c>
      <c r="E2776" s="11">
        <v>46020</v>
      </c>
      <c r="F2776" s="22" t="s">
        <v>20550</v>
      </c>
      <c r="G2776" s="13" t="b">
        <v>0</v>
      </c>
      <c r="H2776" s="22" t="s">
        <v>3578</v>
      </c>
      <c r="I2776" s="10" t="s">
        <v>89</v>
      </c>
      <c r="J2776" s="13" t="b">
        <v>0</v>
      </c>
      <c r="K2776" s="13" t="b">
        <v>1</v>
      </c>
      <c r="L2776" s="10" t="s">
        <v>124</v>
      </c>
      <c r="M2776" s="10" t="s">
        <v>91</v>
      </c>
      <c r="N2776" s="10" t="s">
        <v>265</v>
      </c>
      <c r="O2776" s="19" t="s">
        <v>20709</v>
      </c>
      <c r="P2776" s="10"/>
      <c r="Q2776" s="10" t="s">
        <v>94</v>
      </c>
      <c r="R2776" s="10"/>
      <c r="S2776" s="10"/>
      <c r="T2776" s="10"/>
      <c r="U2776" s="10" t="s">
        <v>20624</v>
      </c>
      <c r="V2776" s="10" t="s">
        <v>20633</v>
      </c>
      <c r="W2776" s="10" t="s">
        <v>20555</v>
      </c>
      <c r="X2776" s="10" t="s">
        <v>130</v>
      </c>
      <c r="Y2776" s="10" t="s">
        <v>130</v>
      </c>
      <c r="Z2776" s="10" t="s">
        <v>99</v>
      </c>
      <c r="AA2776" s="10" t="s">
        <v>131</v>
      </c>
      <c r="AB2776" s="10" t="s">
        <v>20556</v>
      </c>
      <c r="AC2776" s="10" t="s">
        <v>20557</v>
      </c>
      <c r="AD2776" s="10" t="s">
        <v>20710</v>
      </c>
      <c r="AE2776" s="10" t="s">
        <v>20711</v>
      </c>
      <c r="AF2776" s="15"/>
      <c r="AG2776" s="10"/>
      <c r="AH2776" s="10"/>
      <c r="AI2776" s="10"/>
      <c r="AJ2776" s="10"/>
      <c r="AK2776" s="10" t="s">
        <v>102</v>
      </c>
      <c r="AL2776" s="10" t="s">
        <v>7897</v>
      </c>
      <c r="AM2776" s="10"/>
      <c r="AN2776" s="10"/>
      <c r="AO2776" s="13" t="b">
        <v>0</v>
      </c>
      <c r="AP2776" s="22" t="s">
        <v>104</v>
      </c>
      <c r="AQ2776" s="10">
        <f ca="1">IFERROR(__xludf.DUMMYFUNCTION("""COMPUTED_VALUE"""),4795175)</f>
        <v>4795175</v>
      </c>
      <c r="AR2776" s="17">
        <v>12044</v>
      </c>
      <c r="AS2776" s="17">
        <v>9012</v>
      </c>
      <c r="AT2776" s="17">
        <v>172509.75</v>
      </c>
      <c r="AU2776" s="17">
        <v>31.85</v>
      </c>
      <c r="AV2776" s="17">
        <v>4.3499999999999996</v>
      </c>
      <c r="AW2776" s="10" t="s">
        <v>105</v>
      </c>
      <c r="AX2776" s="17">
        <v>2868</v>
      </c>
      <c r="AY2776" s="18">
        <v>19.142227030625833</v>
      </c>
      <c r="AZ2776" s="10"/>
      <c r="BA2776" s="20" t="b">
        <v>0</v>
      </c>
      <c r="BB2776" s="10"/>
      <c r="BC2776" s="17">
        <v>12044</v>
      </c>
      <c r="BD2776" s="17">
        <v>9012</v>
      </c>
      <c r="BE2776" s="17">
        <v>172509.75</v>
      </c>
      <c r="BF2776" s="17">
        <v>4.3499999999999996</v>
      </c>
      <c r="BG2776" s="11">
        <f ca="1">IFERROR(__xludf.DUMMYFUNCTION("""COMPUTED_VALUE"""),46019.9166666666)</f>
        <v>46019.916666666599</v>
      </c>
      <c r="BH2776" s="17" t="s">
        <v>105</v>
      </c>
      <c r="BI2776" s="17"/>
      <c r="BJ2776" s="15"/>
      <c r="BK2776" s="15"/>
      <c r="BL2776" s="13" t="b">
        <v>0</v>
      </c>
      <c r="BM2776" s="10"/>
      <c r="BN2776" s="10" t="s">
        <v>278</v>
      </c>
      <c r="BO2776" s="11">
        <v>45987.425694444442</v>
      </c>
      <c r="BP2776" s="11">
        <v>45987.426030092596</v>
      </c>
      <c r="BQ2776" s="15"/>
      <c r="BR2776" s="15">
        <v>46017.412361111114</v>
      </c>
      <c r="BS2776" s="10" t="s">
        <v>278</v>
      </c>
      <c r="BT2776" s="10" t="s">
        <v>99</v>
      </c>
      <c r="BU2776" s="10" t="s">
        <v>5046</v>
      </c>
      <c r="BV2776" s="10"/>
      <c r="BW2776" s="10"/>
      <c r="BX2776" s="10"/>
      <c r="BY2776" s="23"/>
      <c r="BZ2776" s="23"/>
      <c r="CA2776" s="19" t="s">
        <v>20712</v>
      </c>
      <c r="CB2776" s="23"/>
      <c r="CC2776" s="23"/>
      <c r="CD2776" s="23"/>
      <c r="CE2776" s="23"/>
      <c r="CF2776" s="23"/>
      <c r="CG2776" s="23"/>
      <c r="CH2776" s="23"/>
      <c r="CI2776" s="23"/>
    </row>
    <row r="2777" spans="1:87" x14ac:dyDescent="0.3">
      <c r="A2777" s="9" t="s">
        <v>20713</v>
      </c>
      <c r="B2777" s="10" t="s">
        <v>20714</v>
      </c>
      <c r="C2777" s="11">
        <v>46020.020833333336</v>
      </c>
      <c r="D2777" s="12">
        <v>8.3333333333333329E-2</v>
      </c>
      <c r="E2777" s="11">
        <v>46020.104166666664</v>
      </c>
      <c r="F2777" s="22" t="s">
        <v>20550</v>
      </c>
      <c r="G2777" s="13" t="b">
        <v>0</v>
      </c>
      <c r="H2777" s="22" t="s">
        <v>3578</v>
      </c>
      <c r="I2777" s="10" t="s">
        <v>89</v>
      </c>
      <c r="J2777" s="13" t="b">
        <v>0</v>
      </c>
      <c r="K2777" s="13" t="b">
        <v>1</v>
      </c>
      <c r="L2777" s="10" t="s">
        <v>124</v>
      </c>
      <c r="M2777" s="10" t="s">
        <v>91</v>
      </c>
      <c r="N2777" s="10" t="s">
        <v>265</v>
      </c>
      <c r="O2777" s="19" t="s">
        <v>20715</v>
      </c>
      <c r="P2777" s="10"/>
      <c r="Q2777" s="10" t="s">
        <v>126</v>
      </c>
      <c r="R2777" s="10"/>
      <c r="S2777" s="19" t="s">
        <v>20716</v>
      </c>
      <c r="T2777" s="10"/>
      <c r="U2777" s="10" t="s">
        <v>20632</v>
      </c>
      <c r="V2777" s="10" t="s">
        <v>20623</v>
      </c>
      <c r="W2777" s="10" t="s">
        <v>20555</v>
      </c>
      <c r="X2777" s="10" t="s">
        <v>130</v>
      </c>
      <c r="Y2777" s="10" t="s">
        <v>130</v>
      </c>
      <c r="Z2777" s="10" t="s">
        <v>99</v>
      </c>
      <c r="AA2777" s="10" t="s">
        <v>131</v>
      </c>
      <c r="AB2777" s="10" t="s">
        <v>20556</v>
      </c>
      <c r="AC2777" s="10" t="s">
        <v>20557</v>
      </c>
      <c r="AD2777" s="10" t="s">
        <v>20717</v>
      </c>
      <c r="AE2777" s="10" t="s">
        <v>20718</v>
      </c>
      <c r="AF2777" s="15"/>
      <c r="AG2777" s="10"/>
      <c r="AH2777" s="10"/>
      <c r="AI2777" s="10"/>
      <c r="AJ2777" s="10"/>
      <c r="AK2777" s="10" t="s">
        <v>102</v>
      </c>
      <c r="AL2777" s="10" t="s">
        <v>7897</v>
      </c>
      <c r="AM2777" s="10"/>
      <c r="AN2777" s="10"/>
      <c r="AO2777" s="13" t="b">
        <v>0</v>
      </c>
      <c r="AP2777" s="22" t="s">
        <v>104</v>
      </c>
      <c r="AQ2777" s="10">
        <f ca="1">IFERROR(__xludf.DUMMYFUNCTION("""COMPUTED_VALUE"""),4797268)</f>
        <v>4797268</v>
      </c>
      <c r="AR2777" s="17">
        <v>7987</v>
      </c>
      <c r="AS2777" s="17">
        <v>5858</v>
      </c>
      <c r="AT2777" s="17">
        <v>236578.25</v>
      </c>
      <c r="AU2777" s="17">
        <v>12.5</v>
      </c>
      <c r="AV2777" s="17">
        <v>3.4</v>
      </c>
      <c r="AW2777" s="10" t="s">
        <v>105</v>
      </c>
      <c r="AX2777" s="17">
        <v>2484</v>
      </c>
      <c r="AY2777" s="18">
        <v>40.385498463639465</v>
      </c>
      <c r="AZ2777" s="10" t="s">
        <v>136</v>
      </c>
      <c r="BA2777" s="20" t="b">
        <v>0</v>
      </c>
      <c r="BB2777" s="10"/>
      <c r="BC2777" s="17">
        <v>7987</v>
      </c>
      <c r="BD2777" s="17">
        <v>5858</v>
      </c>
      <c r="BE2777" s="17">
        <v>236578.25</v>
      </c>
      <c r="BF2777" s="17">
        <v>3.4</v>
      </c>
      <c r="BG2777" s="11">
        <f ca="1">IFERROR(__xludf.DUMMYFUNCTION("""COMPUTED_VALUE"""),46020.0208333333)</f>
        <v>46020.020833333299</v>
      </c>
      <c r="BH2777" s="17" t="s">
        <v>105</v>
      </c>
      <c r="BI2777" s="17"/>
      <c r="BJ2777" s="15"/>
      <c r="BK2777" s="15"/>
      <c r="BL2777" s="13" t="b">
        <v>0</v>
      </c>
      <c r="BM2777" s="10"/>
      <c r="BN2777" s="10" t="s">
        <v>137</v>
      </c>
      <c r="BO2777" s="11">
        <v>45987.425694444442</v>
      </c>
      <c r="BP2777" s="11">
        <v>46009.58048611111</v>
      </c>
      <c r="BQ2777" s="15">
        <v>46017.878576388888</v>
      </c>
      <c r="BR2777" s="15">
        <v>46018.6559837963</v>
      </c>
      <c r="BS2777" s="10" t="s">
        <v>137</v>
      </c>
      <c r="BT2777" s="10"/>
      <c r="BU2777" s="10"/>
      <c r="BV2777" s="10"/>
      <c r="BW2777" s="10"/>
      <c r="BX2777" s="10"/>
      <c r="BY2777" s="23"/>
      <c r="BZ2777" s="23"/>
      <c r="CA2777" s="19" t="s">
        <v>20719</v>
      </c>
      <c r="CB2777" s="23"/>
      <c r="CC2777" s="23"/>
      <c r="CD2777" s="19" t="s">
        <v>20720</v>
      </c>
      <c r="CE2777" s="23"/>
      <c r="CF2777" s="23"/>
      <c r="CG2777" s="23"/>
      <c r="CH2777" s="23"/>
      <c r="CI2777" s="23"/>
    </row>
    <row r="2778" spans="1:87" x14ac:dyDescent="0.3">
      <c r="A2778" s="9" t="s">
        <v>20721</v>
      </c>
      <c r="B2778" s="10" t="s">
        <v>20722</v>
      </c>
      <c r="C2778" s="11">
        <v>46020.125</v>
      </c>
      <c r="D2778" s="12">
        <v>8.3333333333333329E-2</v>
      </c>
      <c r="E2778" s="11">
        <v>46020.208333333336</v>
      </c>
      <c r="F2778" s="22" t="s">
        <v>20550</v>
      </c>
      <c r="G2778" s="13" t="b">
        <v>0</v>
      </c>
      <c r="H2778" s="22" t="s">
        <v>3578</v>
      </c>
      <c r="I2778" s="10" t="s">
        <v>89</v>
      </c>
      <c r="J2778" s="13" t="b">
        <v>0</v>
      </c>
      <c r="K2778" s="13" t="b">
        <v>1</v>
      </c>
      <c r="L2778" s="10" t="s">
        <v>124</v>
      </c>
      <c r="M2778" s="10" t="s">
        <v>91</v>
      </c>
      <c r="N2778" s="10" t="s">
        <v>265</v>
      </c>
      <c r="O2778" s="19" t="s">
        <v>20723</v>
      </c>
      <c r="P2778" s="10"/>
      <c r="Q2778" s="10" t="s">
        <v>126</v>
      </c>
      <c r="R2778" s="10"/>
      <c r="S2778" s="19" t="s">
        <v>20724</v>
      </c>
      <c r="T2778" s="10"/>
      <c r="U2778" s="10" t="s">
        <v>20725</v>
      </c>
      <c r="V2778" s="10" t="s">
        <v>20726</v>
      </c>
      <c r="W2778" s="10" t="s">
        <v>20555</v>
      </c>
      <c r="X2778" s="10" t="s">
        <v>130</v>
      </c>
      <c r="Y2778" s="10" t="s">
        <v>130</v>
      </c>
      <c r="Z2778" s="10" t="s">
        <v>99</v>
      </c>
      <c r="AA2778" s="10" t="s">
        <v>131</v>
      </c>
      <c r="AB2778" s="10" t="s">
        <v>20556</v>
      </c>
      <c r="AC2778" s="10" t="s">
        <v>20557</v>
      </c>
      <c r="AD2778" s="10" t="s">
        <v>20727</v>
      </c>
      <c r="AE2778" s="10" t="s">
        <v>20728</v>
      </c>
      <c r="AF2778" s="15"/>
      <c r="AG2778" s="10"/>
      <c r="AH2778" s="10"/>
      <c r="AI2778" s="10"/>
      <c r="AJ2778" s="10"/>
      <c r="AK2778" s="10" t="s">
        <v>102</v>
      </c>
      <c r="AL2778" s="10" t="s">
        <v>7897</v>
      </c>
      <c r="AM2778" s="10"/>
      <c r="AN2778" s="10"/>
      <c r="AO2778" s="13" t="b">
        <v>0</v>
      </c>
      <c r="AP2778" s="22" t="s">
        <v>104</v>
      </c>
      <c r="AQ2778" s="10">
        <f ca="1">IFERROR(__xludf.DUMMYFUNCTION("""COMPUTED_VALUE"""),4797269)</f>
        <v>4797269</v>
      </c>
      <c r="AR2778" s="17">
        <v>8029</v>
      </c>
      <c r="AS2778" s="17">
        <v>5790</v>
      </c>
      <c r="AT2778" s="17">
        <v>187884.5</v>
      </c>
      <c r="AU2778" s="17">
        <v>8.4499999999999993</v>
      </c>
      <c r="AV2778" s="17">
        <v>1.35</v>
      </c>
      <c r="AW2778" s="10" t="s">
        <v>105</v>
      </c>
      <c r="AX2778" s="17">
        <v>3169</v>
      </c>
      <c r="AY2778" s="18">
        <v>32.449827288428324</v>
      </c>
      <c r="AZ2778" s="10" t="s">
        <v>136</v>
      </c>
      <c r="BA2778" s="20" t="b">
        <v>0</v>
      </c>
      <c r="BB2778" s="10"/>
      <c r="BC2778" s="17">
        <v>8029</v>
      </c>
      <c r="BD2778" s="17">
        <v>5790</v>
      </c>
      <c r="BE2778" s="17">
        <v>187884.5</v>
      </c>
      <c r="BF2778" s="17">
        <v>1.35</v>
      </c>
      <c r="BG2778" s="11">
        <f ca="1">IFERROR(__xludf.DUMMYFUNCTION("""COMPUTED_VALUE"""),46020.125)</f>
        <v>46020.125</v>
      </c>
      <c r="BH2778" s="17" t="s">
        <v>105</v>
      </c>
      <c r="BI2778" s="17"/>
      <c r="BJ2778" s="15"/>
      <c r="BK2778" s="15"/>
      <c r="BL2778" s="13" t="b">
        <v>0</v>
      </c>
      <c r="BM2778" s="10"/>
      <c r="BN2778" s="10" t="s">
        <v>137</v>
      </c>
      <c r="BO2778" s="11">
        <v>45987.427083333336</v>
      </c>
      <c r="BP2778" s="11">
        <v>46006.721736111111</v>
      </c>
      <c r="BQ2778" s="15">
        <v>46017.87872685185</v>
      </c>
      <c r="BR2778" s="15">
        <v>46018.656076388892</v>
      </c>
      <c r="BS2778" s="10" t="s">
        <v>137</v>
      </c>
      <c r="BT2778" s="10"/>
      <c r="BU2778" s="10"/>
      <c r="BV2778" s="10"/>
      <c r="BW2778" s="10"/>
      <c r="BX2778" s="10"/>
      <c r="BY2778" s="23"/>
      <c r="BZ2778" s="23"/>
      <c r="CA2778" s="19" t="s">
        <v>20729</v>
      </c>
      <c r="CB2778" s="23"/>
      <c r="CC2778" s="23"/>
      <c r="CD2778" s="19" t="s">
        <v>20730</v>
      </c>
      <c r="CE2778" s="23"/>
      <c r="CF2778" s="23"/>
      <c r="CG2778" s="23"/>
      <c r="CH2778" s="23"/>
      <c r="CI2778" s="23"/>
    </row>
    <row r="2779" spans="1:87" x14ac:dyDescent="0.3">
      <c r="A2779" s="9" t="s">
        <v>20731</v>
      </c>
      <c r="B2779" s="10" t="s">
        <v>20732</v>
      </c>
      <c r="C2779" s="11">
        <v>46020.958333333336</v>
      </c>
      <c r="D2779" s="12">
        <v>8.3333333333333329E-2</v>
      </c>
      <c r="E2779" s="11">
        <v>46021.041666666664</v>
      </c>
      <c r="F2779" s="22" t="s">
        <v>20550</v>
      </c>
      <c r="G2779" s="13" t="b">
        <v>0</v>
      </c>
      <c r="H2779" s="22" t="s">
        <v>3578</v>
      </c>
      <c r="I2779" s="10" t="s">
        <v>89</v>
      </c>
      <c r="J2779" s="13" t="b">
        <v>0</v>
      </c>
      <c r="K2779" s="13" t="b">
        <v>1</v>
      </c>
      <c r="L2779" s="10" t="s">
        <v>124</v>
      </c>
      <c r="M2779" s="10" t="s">
        <v>91</v>
      </c>
      <c r="N2779" s="10" t="s">
        <v>265</v>
      </c>
      <c r="O2779" s="19" t="s">
        <v>20733</v>
      </c>
      <c r="P2779" s="10"/>
      <c r="Q2779" s="10" t="s">
        <v>94</v>
      </c>
      <c r="R2779" s="10"/>
      <c r="S2779" s="10"/>
      <c r="T2779" s="10"/>
      <c r="U2779" s="10" t="s">
        <v>20567</v>
      </c>
      <c r="V2779" s="10" t="s">
        <v>20575</v>
      </c>
      <c r="W2779" s="10" t="s">
        <v>20555</v>
      </c>
      <c r="X2779" s="10" t="s">
        <v>130</v>
      </c>
      <c r="Y2779" s="10" t="s">
        <v>130</v>
      </c>
      <c r="Z2779" s="10" t="s">
        <v>99</v>
      </c>
      <c r="AA2779" s="10" t="s">
        <v>131</v>
      </c>
      <c r="AB2779" s="10" t="s">
        <v>20556</v>
      </c>
      <c r="AC2779" s="10" t="s">
        <v>20557</v>
      </c>
      <c r="AD2779" s="10" t="s">
        <v>20734</v>
      </c>
      <c r="AE2779" s="10" t="s">
        <v>20735</v>
      </c>
      <c r="AF2779" s="15"/>
      <c r="AG2779" s="10"/>
      <c r="AH2779" s="10"/>
      <c r="AI2779" s="10"/>
      <c r="AJ2779" s="10"/>
      <c r="AK2779" s="10" t="s">
        <v>102</v>
      </c>
      <c r="AL2779" s="10" t="s">
        <v>7897</v>
      </c>
      <c r="AM2779" s="10"/>
      <c r="AN2779" s="10"/>
      <c r="AO2779" s="13" t="b">
        <v>0</v>
      </c>
      <c r="AP2779" s="22" t="s">
        <v>104</v>
      </c>
      <c r="AQ2779" s="10">
        <f ca="1">IFERROR(__xludf.DUMMYFUNCTION("""COMPUTED_VALUE"""),4797270)</f>
        <v>4797270</v>
      </c>
      <c r="AR2779" s="17">
        <v>18272</v>
      </c>
      <c r="AS2779" s="17">
        <v>13995</v>
      </c>
      <c r="AT2779" s="17">
        <v>312962</v>
      </c>
      <c r="AU2779" s="17">
        <v>71.3</v>
      </c>
      <c r="AV2779" s="17">
        <v>11.55</v>
      </c>
      <c r="AW2779" s="10" t="s">
        <v>105</v>
      </c>
      <c r="AX2779" s="17">
        <v>3868</v>
      </c>
      <c r="AY2779" s="18">
        <v>22.362415148267239</v>
      </c>
      <c r="AZ2779" s="10"/>
      <c r="BA2779" s="20" t="b">
        <v>0</v>
      </c>
      <c r="BB2779" s="10"/>
      <c r="BC2779" s="17">
        <v>18272</v>
      </c>
      <c r="BD2779" s="17">
        <v>13995</v>
      </c>
      <c r="BE2779" s="17">
        <v>312962</v>
      </c>
      <c r="BF2779" s="17">
        <v>11.55</v>
      </c>
      <c r="BG2779" s="11">
        <f ca="1">IFERROR(__xludf.DUMMYFUNCTION("""COMPUTED_VALUE"""),46020.9583333333)</f>
        <v>46020.958333333299</v>
      </c>
      <c r="BH2779" s="17" t="s">
        <v>105</v>
      </c>
      <c r="BI2779" s="17"/>
      <c r="BJ2779" s="15"/>
      <c r="BK2779" s="15"/>
      <c r="BL2779" s="13" t="b">
        <v>0</v>
      </c>
      <c r="BM2779" s="10"/>
      <c r="BN2779" s="10" t="s">
        <v>667</v>
      </c>
      <c r="BO2779" s="11">
        <v>45987.427777777775</v>
      </c>
      <c r="BP2779" s="11">
        <v>45987.427812499998</v>
      </c>
      <c r="BQ2779" s="15"/>
      <c r="BR2779" s="15">
        <v>46018.65625</v>
      </c>
      <c r="BS2779" s="10" t="s">
        <v>667</v>
      </c>
      <c r="BT2779" s="10" t="s">
        <v>99</v>
      </c>
      <c r="BU2779" s="10" t="s">
        <v>6753</v>
      </c>
      <c r="BV2779" s="10"/>
      <c r="BW2779" s="10"/>
      <c r="BX2779" s="10"/>
      <c r="BY2779" s="23"/>
      <c r="BZ2779" s="23"/>
      <c r="CA2779" s="19" t="s">
        <v>20736</v>
      </c>
      <c r="CB2779" s="23"/>
      <c r="CC2779" s="23"/>
      <c r="CD2779" s="23"/>
      <c r="CE2779" s="23"/>
      <c r="CF2779" s="23"/>
      <c r="CG2779" s="23"/>
      <c r="CH2779" s="23"/>
      <c r="CI2779" s="23"/>
    </row>
    <row r="2780" spans="1:87" x14ac:dyDescent="0.3">
      <c r="A2780" s="9" t="s">
        <v>20737</v>
      </c>
      <c r="B2780" s="10" t="s">
        <v>20738</v>
      </c>
      <c r="C2780" s="11">
        <v>46020.958333333336</v>
      </c>
      <c r="D2780" s="12">
        <v>8.3333333333333329E-2</v>
      </c>
      <c r="E2780" s="11">
        <v>46021.041666666664</v>
      </c>
      <c r="F2780" s="22" t="s">
        <v>20550</v>
      </c>
      <c r="G2780" s="13" t="b">
        <v>0</v>
      </c>
      <c r="H2780" s="22" t="s">
        <v>3564</v>
      </c>
      <c r="I2780" s="10" t="s">
        <v>89</v>
      </c>
      <c r="J2780" s="13" t="b">
        <v>0</v>
      </c>
      <c r="K2780" s="13" t="b">
        <v>1</v>
      </c>
      <c r="L2780" s="10" t="s">
        <v>124</v>
      </c>
      <c r="M2780" s="10" t="s">
        <v>91</v>
      </c>
      <c r="N2780" s="10" t="s">
        <v>265</v>
      </c>
      <c r="O2780" s="19" t="s">
        <v>20739</v>
      </c>
      <c r="P2780" s="10"/>
      <c r="Q2780" s="10" t="s">
        <v>94</v>
      </c>
      <c r="R2780" s="10"/>
      <c r="S2780" s="10"/>
      <c r="T2780" s="10"/>
      <c r="U2780" s="10" t="s">
        <v>20576</v>
      </c>
      <c r="V2780" s="10" t="s">
        <v>20566</v>
      </c>
      <c r="W2780" s="10" t="s">
        <v>20555</v>
      </c>
      <c r="X2780" s="10" t="s">
        <v>130</v>
      </c>
      <c r="Y2780" s="10" t="s">
        <v>130</v>
      </c>
      <c r="Z2780" s="10" t="s">
        <v>99</v>
      </c>
      <c r="AA2780" s="10" t="s">
        <v>131</v>
      </c>
      <c r="AB2780" s="10" t="s">
        <v>20556</v>
      </c>
      <c r="AC2780" s="10" t="s">
        <v>20557</v>
      </c>
      <c r="AD2780" s="10" t="s">
        <v>20740</v>
      </c>
      <c r="AE2780" s="10" t="s">
        <v>20741</v>
      </c>
      <c r="AF2780" s="15"/>
      <c r="AG2780" s="10"/>
      <c r="AH2780" s="10"/>
      <c r="AI2780" s="10"/>
      <c r="AJ2780" s="10"/>
      <c r="AK2780" s="10" t="s">
        <v>102</v>
      </c>
      <c r="AL2780" s="10" t="s">
        <v>7897</v>
      </c>
      <c r="AM2780" s="10"/>
      <c r="AN2780" s="10"/>
      <c r="AO2780" s="13" t="b">
        <v>0</v>
      </c>
      <c r="AP2780" s="22" t="s">
        <v>104</v>
      </c>
      <c r="AQ2780" s="10">
        <f ca="1">IFERROR(__xludf.DUMMYFUNCTION("""COMPUTED_VALUE"""),4797271)</f>
        <v>4797271</v>
      </c>
      <c r="AR2780" s="17">
        <v>9770</v>
      </c>
      <c r="AS2780" s="17">
        <v>6974</v>
      </c>
      <c r="AT2780" s="17">
        <v>109637.5</v>
      </c>
      <c r="AU2780" s="17">
        <v>25.3</v>
      </c>
      <c r="AV2780" s="17">
        <v>2.85</v>
      </c>
      <c r="AW2780" s="10" t="s">
        <v>105</v>
      </c>
      <c r="AX2780" s="17">
        <v>2008</v>
      </c>
      <c r="AY2780" s="18">
        <v>15.720891884141096</v>
      </c>
      <c r="AZ2780" s="10"/>
      <c r="BA2780" s="20" t="b">
        <v>0</v>
      </c>
      <c r="BB2780" s="10"/>
      <c r="BC2780" s="17">
        <v>9770</v>
      </c>
      <c r="BD2780" s="17">
        <v>6974</v>
      </c>
      <c r="BE2780" s="17">
        <v>109637.5</v>
      </c>
      <c r="BF2780" s="17">
        <v>2.85</v>
      </c>
      <c r="BG2780" s="11">
        <f ca="1">IFERROR(__xludf.DUMMYFUNCTION("""COMPUTED_VALUE"""),46020.9583333333)</f>
        <v>46020.958333333299</v>
      </c>
      <c r="BH2780" s="17" t="s">
        <v>105</v>
      </c>
      <c r="BI2780" s="17"/>
      <c r="BJ2780" s="15"/>
      <c r="BK2780" s="15"/>
      <c r="BL2780" s="13" t="b">
        <v>0</v>
      </c>
      <c r="BM2780" s="10"/>
      <c r="BN2780" s="10" t="s">
        <v>137</v>
      </c>
      <c r="BO2780" s="11">
        <v>45987.427777777775</v>
      </c>
      <c r="BP2780" s="11">
        <v>45987.428182870368</v>
      </c>
      <c r="BQ2780" s="15"/>
      <c r="BR2780" s="15">
        <v>46018.656388888892</v>
      </c>
      <c r="BS2780" s="10" t="s">
        <v>137</v>
      </c>
      <c r="BT2780" s="10"/>
      <c r="BU2780" s="10"/>
      <c r="BV2780" s="10"/>
      <c r="BW2780" s="10"/>
      <c r="BX2780" s="10"/>
      <c r="BY2780" s="23"/>
      <c r="BZ2780" s="23"/>
      <c r="CA2780" s="19" t="s">
        <v>20742</v>
      </c>
      <c r="CB2780" s="23"/>
      <c r="CC2780" s="23"/>
      <c r="CD2780" s="23"/>
      <c r="CE2780" s="23"/>
      <c r="CF2780" s="23"/>
      <c r="CG2780" s="23"/>
      <c r="CH2780" s="23"/>
      <c r="CI2780" s="23"/>
    </row>
    <row r="2781" spans="1:87" x14ac:dyDescent="0.3">
      <c r="A2781" s="9" t="s">
        <v>20743</v>
      </c>
      <c r="B2781" s="10" t="s">
        <v>20744</v>
      </c>
      <c r="C2781" s="11">
        <v>46021.083333333336</v>
      </c>
      <c r="D2781" s="12">
        <v>8.3333333333333329E-2</v>
      </c>
      <c r="E2781" s="11">
        <v>46021.166666666664</v>
      </c>
      <c r="F2781" s="22" t="s">
        <v>20550</v>
      </c>
      <c r="G2781" s="13" t="b">
        <v>0</v>
      </c>
      <c r="H2781" s="22" t="s">
        <v>3578</v>
      </c>
      <c r="I2781" s="10" t="s">
        <v>89</v>
      </c>
      <c r="J2781" s="13" t="b">
        <v>0</v>
      </c>
      <c r="K2781" s="13" t="b">
        <v>1</v>
      </c>
      <c r="L2781" s="10" t="s">
        <v>124</v>
      </c>
      <c r="M2781" s="10" t="s">
        <v>91</v>
      </c>
      <c r="N2781" s="10" t="s">
        <v>265</v>
      </c>
      <c r="O2781" s="19" t="s">
        <v>20745</v>
      </c>
      <c r="P2781" s="10"/>
      <c r="Q2781" s="10" t="s">
        <v>126</v>
      </c>
      <c r="R2781" s="10"/>
      <c r="S2781" s="19" t="s">
        <v>20746</v>
      </c>
      <c r="T2781" s="10"/>
      <c r="U2781" s="10" t="s">
        <v>20554</v>
      </c>
      <c r="V2781" s="10" t="s">
        <v>20665</v>
      </c>
      <c r="W2781" s="10" t="s">
        <v>20555</v>
      </c>
      <c r="X2781" s="10" t="s">
        <v>130</v>
      </c>
      <c r="Y2781" s="10" t="s">
        <v>130</v>
      </c>
      <c r="Z2781" s="10" t="s">
        <v>99</v>
      </c>
      <c r="AA2781" s="10" t="s">
        <v>131</v>
      </c>
      <c r="AB2781" s="10" t="s">
        <v>20556</v>
      </c>
      <c r="AC2781" s="10" t="s">
        <v>20557</v>
      </c>
      <c r="AD2781" s="10" t="s">
        <v>20747</v>
      </c>
      <c r="AE2781" s="10" t="s">
        <v>20748</v>
      </c>
      <c r="AF2781" s="15"/>
      <c r="AG2781" s="10"/>
      <c r="AH2781" s="10"/>
      <c r="AI2781" s="10"/>
      <c r="AJ2781" s="10"/>
      <c r="AK2781" s="10" t="s">
        <v>102</v>
      </c>
      <c r="AL2781" s="10" t="s">
        <v>7897</v>
      </c>
      <c r="AM2781" s="10"/>
      <c r="AN2781" s="10"/>
      <c r="AO2781" s="13" t="b">
        <v>0</v>
      </c>
      <c r="AP2781" s="22" t="s">
        <v>104</v>
      </c>
      <c r="AQ2781" s="10">
        <f ca="1">IFERROR(__xludf.DUMMYFUNCTION("""COMPUTED_VALUE"""),4797277)</f>
        <v>4797277</v>
      </c>
      <c r="AR2781" s="17">
        <v>7655</v>
      </c>
      <c r="AS2781" s="17">
        <v>5330</v>
      </c>
      <c r="AT2781" s="17">
        <v>198628.25</v>
      </c>
      <c r="AU2781" s="17">
        <v>14.25</v>
      </c>
      <c r="AV2781" s="17">
        <v>2.1</v>
      </c>
      <c r="AW2781" s="10" t="s">
        <v>105</v>
      </c>
      <c r="AX2781" s="17">
        <v>2309</v>
      </c>
      <c r="AY2781" s="18">
        <v>37.266088180112568</v>
      </c>
      <c r="AZ2781" s="10" t="s">
        <v>136</v>
      </c>
      <c r="BA2781" s="20" t="b">
        <v>0</v>
      </c>
      <c r="BB2781" s="10"/>
      <c r="BC2781" s="17">
        <v>7655</v>
      </c>
      <c r="BD2781" s="17">
        <v>5330</v>
      </c>
      <c r="BE2781" s="17">
        <v>198628.25</v>
      </c>
      <c r="BF2781" s="17">
        <v>2.1</v>
      </c>
      <c r="BG2781" s="11">
        <f ca="1">IFERROR(__xludf.DUMMYFUNCTION("""COMPUTED_VALUE"""),46021.0833333333)</f>
        <v>46021.083333333299</v>
      </c>
      <c r="BH2781" s="17" t="s">
        <v>105</v>
      </c>
      <c r="BI2781" s="17"/>
      <c r="BJ2781" s="15"/>
      <c r="BK2781" s="15"/>
      <c r="BL2781" s="13" t="b">
        <v>0</v>
      </c>
      <c r="BM2781" s="10"/>
      <c r="BN2781" s="10" t="s">
        <v>667</v>
      </c>
      <c r="BO2781" s="11">
        <v>45987.428472222222</v>
      </c>
      <c r="BP2781" s="11">
        <v>46007.550416666665</v>
      </c>
      <c r="BQ2781" s="15">
        <v>46019.475740740738</v>
      </c>
      <c r="BR2781" s="15">
        <v>46018.691261574073</v>
      </c>
      <c r="BS2781" s="10" t="s">
        <v>667</v>
      </c>
      <c r="BT2781" s="10" t="s">
        <v>99</v>
      </c>
      <c r="BU2781" s="10" t="s">
        <v>6753</v>
      </c>
      <c r="BV2781" s="10"/>
      <c r="BW2781" s="10"/>
      <c r="BX2781" s="10"/>
      <c r="BY2781" s="23"/>
      <c r="BZ2781" s="23"/>
      <c r="CA2781" s="19" t="s">
        <v>20749</v>
      </c>
      <c r="CB2781" s="23"/>
      <c r="CC2781" s="23"/>
      <c r="CD2781" s="19" t="s">
        <v>20750</v>
      </c>
      <c r="CE2781" s="23"/>
      <c r="CF2781" s="23"/>
      <c r="CG2781" s="23"/>
      <c r="CH2781" s="23"/>
      <c r="CI2781" s="23"/>
    </row>
    <row r="2782" spans="1:87" x14ac:dyDescent="0.3">
      <c r="A2782" s="9" t="s">
        <v>20751</v>
      </c>
      <c r="B2782" s="10" t="s">
        <v>20752</v>
      </c>
      <c r="C2782" s="11">
        <v>46021.083333333336</v>
      </c>
      <c r="D2782" s="12">
        <v>8.3333333333333329E-2</v>
      </c>
      <c r="E2782" s="11">
        <v>46021.166666666664</v>
      </c>
      <c r="F2782" s="22" t="s">
        <v>20550</v>
      </c>
      <c r="G2782" s="13" t="b">
        <v>0</v>
      </c>
      <c r="H2782" s="22" t="s">
        <v>3564</v>
      </c>
      <c r="I2782" s="10" t="s">
        <v>89</v>
      </c>
      <c r="J2782" s="13" t="b">
        <v>0</v>
      </c>
      <c r="K2782" s="13" t="b">
        <v>1</v>
      </c>
      <c r="L2782" s="10" t="s">
        <v>124</v>
      </c>
      <c r="M2782" s="10" t="s">
        <v>91</v>
      </c>
      <c r="N2782" s="10" t="s">
        <v>265</v>
      </c>
      <c r="O2782" s="19" t="s">
        <v>20753</v>
      </c>
      <c r="P2782" s="10"/>
      <c r="Q2782" s="10" t="s">
        <v>94</v>
      </c>
      <c r="R2782" s="10"/>
      <c r="S2782" s="10"/>
      <c r="T2782" s="10"/>
      <c r="U2782" s="10" t="s">
        <v>20657</v>
      </c>
      <c r="V2782" s="10" t="s">
        <v>20553</v>
      </c>
      <c r="W2782" s="10" t="s">
        <v>20555</v>
      </c>
      <c r="X2782" s="10" t="s">
        <v>130</v>
      </c>
      <c r="Y2782" s="10" t="s">
        <v>130</v>
      </c>
      <c r="Z2782" s="10" t="s">
        <v>99</v>
      </c>
      <c r="AA2782" s="10" t="s">
        <v>131</v>
      </c>
      <c r="AB2782" s="10" t="s">
        <v>20556</v>
      </c>
      <c r="AC2782" s="10" t="s">
        <v>20557</v>
      </c>
      <c r="AD2782" s="10" t="s">
        <v>20754</v>
      </c>
      <c r="AE2782" s="10" t="s">
        <v>20755</v>
      </c>
      <c r="AF2782" s="15"/>
      <c r="AG2782" s="10"/>
      <c r="AH2782" s="10"/>
      <c r="AI2782" s="10"/>
      <c r="AJ2782" s="10"/>
      <c r="AK2782" s="10" t="s">
        <v>102</v>
      </c>
      <c r="AL2782" s="10" t="s">
        <v>7897</v>
      </c>
      <c r="AM2782" s="10"/>
      <c r="AN2782" s="10"/>
      <c r="AO2782" s="13" t="b">
        <v>0</v>
      </c>
      <c r="AP2782" s="22" t="s">
        <v>104</v>
      </c>
      <c r="AQ2782" s="10">
        <f ca="1">IFERROR(__xludf.DUMMYFUNCTION("""COMPUTED_VALUE"""),4797278)</f>
        <v>4797278</v>
      </c>
      <c r="AR2782" s="17">
        <v>3755</v>
      </c>
      <c r="AS2782" s="17">
        <v>2362</v>
      </c>
      <c r="AT2782" s="17">
        <v>61499.75</v>
      </c>
      <c r="AU2782" s="17">
        <v>5.4</v>
      </c>
      <c r="AV2782" s="17">
        <v>1</v>
      </c>
      <c r="AW2782" s="10" t="s">
        <v>105</v>
      </c>
      <c r="AX2782" s="17">
        <v>971</v>
      </c>
      <c r="AY2782" s="18">
        <v>26.037150719729045</v>
      </c>
      <c r="AZ2782" s="10"/>
      <c r="BA2782" s="20" t="b">
        <v>0</v>
      </c>
      <c r="BB2782" s="10"/>
      <c r="BC2782" s="17">
        <v>3755</v>
      </c>
      <c r="BD2782" s="17">
        <v>2362</v>
      </c>
      <c r="BE2782" s="17">
        <v>61499.75</v>
      </c>
      <c r="BF2782" s="17">
        <v>1</v>
      </c>
      <c r="BG2782" s="11">
        <f ca="1">IFERROR(__xludf.DUMMYFUNCTION("""COMPUTED_VALUE"""),46021.0833333333)</f>
        <v>46021.083333333299</v>
      </c>
      <c r="BH2782" s="17" t="s">
        <v>105</v>
      </c>
      <c r="BI2782" s="17"/>
      <c r="BJ2782" s="15"/>
      <c r="BK2782" s="15"/>
      <c r="BL2782" s="13" t="b">
        <v>0</v>
      </c>
      <c r="BM2782" s="10"/>
      <c r="BN2782" s="10" t="s">
        <v>137</v>
      </c>
      <c r="BO2782" s="11">
        <v>45987.428472222222</v>
      </c>
      <c r="BP2782" s="11">
        <v>45987.42900462963</v>
      </c>
      <c r="BQ2782" s="15"/>
      <c r="BR2782" s="15">
        <v>46018.691168981481</v>
      </c>
      <c r="BS2782" s="10" t="s">
        <v>137</v>
      </c>
      <c r="BT2782" s="10"/>
      <c r="BU2782" s="10"/>
      <c r="BV2782" s="10"/>
      <c r="BW2782" s="10"/>
      <c r="BX2782" s="10"/>
      <c r="BY2782" s="23"/>
      <c r="BZ2782" s="23"/>
      <c r="CA2782" s="19" t="s">
        <v>20756</v>
      </c>
      <c r="CB2782" s="23"/>
      <c r="CC2782" s="23"/>
      <c r="CD2782" s="23"/>
      <c r="CE2782" s="23"/>
      <c r="CF2782" s="23"/>
      <c r="CG2782" s="23"/>
      <c r="CH2782" s="23"/>
      <c r="CI2782" s="23"/>
    </row>
    <row r="2783" spans="1:87" x14ac:dyDescent="0.3">
      <c r="A2783" s="9" t="s">
        <v>20757</v>
      </c>
      <c r="B2783" s="10" t="s">
        <v>20758</v>
      </c>
      <c r="C2783" s="11">
        <v>46021.958333333336</v>
      </c>
      <c r="D2783" s="12">
        <v>8.3333333333333329E-2</v>
      </c>
      <c r="E2783" s="11">
        <v>46022.041666666664</v>
      </c>
      <c r="F2783" s="22" t="s">
        <v>20550</v>
      </c>
      <c r="G2783" s="13" t="b">
        <v>0</v>
      </c>
      <c r="H2783" s="22" t="s">
        <v>3578</v>
      </c>
      <c r="I2783" s="10" t="s">
        <v>89</v>
      </c>
      <c r="J2783" s="13" t="b">
        <v>0</v>
      </c>
      <c r="K2783" s="13" t="b">
        <v>1</v>
      </c>
      <c r="L2783" s="10" t="s">
        <v>124</v>
      </c>
      <c r="M2783" s="10" t="s">
        <v>91</v>
      </c>
      <c r="N2783" s="10" t="s">
        <v>265</v>
      </c>
      <c r="O2783" s="19" t="s">
        <v>20759</v>
      </c>
      <c r="P2783" s="10"/>
      <c r="Q2783" s="10" t="s">
        <v>94</v>
      </c>
      <c r="R2783" s="10"/>
      <c r="S2783" s="10"/>
      <c r="T2783" s="10"/>
      <c r="U2783" s="10" t="s">
        <v>20615</v>
      </c>
      <c r="V2783" s="10" t="s">
        <v>20604</v>
      </c>
      <c r="W2783" s="10" t="s">
        <v>20555</v>
      </c>
      <c r="X2783" s="10" t="s">
        <v>130</v>
      </c>
      <c r="Y2783" s="10" t="s">
        <v>130</v>
      </c>
      <c r="Z2783" s="10" t="s">
        <v>99</v>
      </c>
      <c r="AA2783" s="10" t="s">
        <v>131</v>
      </c>
      <c r="AB2783" s="10" t="s">
        <v>20556</v>
      </c>
      <c r="AC2783" s="10" t="s">
        <v>20557</v>
      </c>
      <c r="AD2783" s="10" t="s">
        <v>20760</v>
      </c>
      <c r="AE2783" s="10" t="s">
        <v>20761</v>
      </c>
      <c r="AF2783" s="15"/>
      <c r="AG2783" s="10"/>
      <c r="AH2783" s="10"/>
      <c r="AI2783" s="10"/>
      <c r="AJ2783" s="10"/>
      <c r="AK2783" s="10" t="s">
        <v>102</v>
      </c>
      <c r="AL2783" s="10" t="s">
        <v>7897</v>
      </c>
      <c r="AM2783" s="10"/>
      <c r="AN2783" s="10"/>
      <c r="AO2783" s="13" t="b">
        <v>0</v>
      </c>
      <c r="AP2783" s="22" t="s">
        <v>104</v>
      </c>
      <c r="AQ2783" s="10">
        <f ca="1">IFERROR(__xludf.DUMMYFUNCTION("""COMPUTED_VALUE"""),4797280)</f>
        <v>4797280</v>
      </c>
      <c r="AR2783" s="17">
        <v>14950</v>
      </c>
      <c r="AS2783" s="17">
        <v>11456</v>
      </c>
      <c r="AT2783" s="17">
        <v>237440.25</v>
      </c>
      <c r="AU2783" s="17">
        <v>105.4</v>
      </c>
      <c r="AV2783" s="17">
        <v>11.35</v>
      </c>
      <c r="AW2783" s="10" t="s">
        <v>105</v>
      </c>
      <c r="AX2783" s="17">
        <v>2958</v>
      </c>
      <c r="AY2783" s="18">
        <v>20.72627880586592</v>
      </c>
      <c r="AZ2783" s="10"/>
      <c r="BA2783" s="20" t="b">
        <v>0</v>
      </c>
      <c r="BB2783" s="10"/>
      <c r="BC2783" s="17">
        <v>14950</v>
      </c>
      <c r="BD2783" s="17">
        <v>11456</v>
      </c>
      <c r="BE2783" s="17">
        <v>237440.25</v>
      </c>
      <c r="BF2783" s="17">
        <v>11.35</v>
      </c>
      <c r="BG2783" s="11">
        <f ca="1">IFERROR(__xludf.DUMMYFUNCTION("""COMPUTED_VALUE"""),46021.9583333333)</f>
        <v>46021.958333333299</v>
      </c>
      <c r="BH2783" s="17" t="s">
        <v>105</v>
      </c>
      <c r="BI2783" s="17"/>
      <c r="BJ2783" s="15"/>
      <c r="BK2783" s="15"/>
      <c r="BL2783" s="13" t="b">
        <v>0</v>
      </c>
      <c r="BM2783" s="10"/>
      <c r="BN2783" s="10" t="s">
        <v>351</v>
      </c>
      <c r="BO2783" s="11">
        <v>45987.429166666669</v>
      </c>
      <c r="BP2783" s="11">
        <v>45987.429375</v>
      </c>
      <c r="BQ2783" s="15"/>
      <c r="BR2783" s="15">
        <v>46018.690983796296</v>
      </c>
      <c r="BS2783" s="10"/>
      <c r="BT2783" s="10" t="s">
        <v>99</v>
      </c>
      <c r="BU2783" s="10"/>
      <c r="BV2783" s="10"/>
      <c r="BW2783" s="10"/>
      <c r="BX2783" s="10"/>
      <c r="BY2783" s="23"/>
      <c r="BZ2783" s="23"/>
      <c r="CA2783" s="19" t="s">
        <v>20762</v>
      </c>
      <c r="CB2783" s="23"/>
      <c r="CC2783" s="23"/>
      <c r="CD2783" s="23"/>
      <c r="CE2783" s="23"/>
      <c r="CF2783" s="23"/>
      <c r="CG2783" s="23"/>
      <c r="CH2783" s="23"/>
      <c r="CI2783" s="23"/>
    </row>
    <row r="2784" spans="1:87" x14ac:dyDescent="0.3">
      <c r="A2784" s="9" t="s">
        <v>20763</v>
      </c>
      <c r="B2784" s="10" t="s">
        <v>20764</v>
      </c>
      <c r="C2784" s="11">
        <v>46021.958333333336</v>
      </c>
      <c r="D2784" s="12">
        <v>8.3333333333333329E-2</v>
      </c>
      <c r="E2784" s="11">
        <v>46022.041666666664</v>
      </c>
      <c r="F2784" s="22" t="s">
        <v>20550</v>
      </c>
      <c r="G2784" s="13" t="b">
        <v>0</v>
      </c>
      <c r="H2784" s="22" t="s">
        <v>3564</v>
      </c>
      <c r="I2784" s="10" t="s">
        <v>89</v>
      </c>
      <c r="J2784" s="13" t="b">
        <v>0</v>
      </c>
      <c r="K2784" s="13" t="b">
        <v>1</v>
      </c>
      <c r="L2784" s="10" t="s">
        <v>124</v>
      </c>
      <c r="M2784" s="10" t="s">
        <v>91</v>
      </c>
      <c r="N2784" s="10" t="s">
        <v>265</v>
      </c>
      <c r="O2784" s="19" t="s">
        <v>20765</v>
      </c>
      <c r="P2784" s="10"/>
      <c r="Q2784" s="10" t="s">
        <v>94</v>
      </c>
      <c r="R2784" s="10"/>
      <c r="S2784" s="10"/>
      <c r="T2784" s="10"/>
      <c r="U2784" s="10" t="s">
        <v>20605</v>
      </c>
      <c r="V2784" s="10" t="s">
        <v>20614</v>
      </c>
      <c r="W2784" s="10" t="s">
        <v>20555</v>
      </c>
      <c r="X2784" s="10" t="s">
        <v>130</v>
      </c>
      <c r="Y2784" s="10" t="s">
        <v>130</v>
      </c>
      <c r="Z2784" s="10" t="s">
        <v>99</v>
      </c>
      <c r="AA2784" s="10" t="s">
        <v>131</v>
      </c>
      <c r="AB2784" s="10" t="s">
        <v>20556</v>
      </c>
      <c r="AC2784" s="10" t="s">
        <v>20557</v>
      </c>
      <c r="AD2784" s="10" t="s">
        <v>20766</v>
      </c>
      <c r="AE2784" s="10" t="s">
        <v>20767</v>
      </c>
      <c r="AF2784" s="15"/>
      <c r="AG2784" s="10"/>
      <c r="AH2784" s="10"/>
      <c r="AI2784" s="10"/>
      <c r="AJ2784" s="10"/>
      <c r="AK2784" s="10" t="s">
        <v>102</v>
      </c>
      <c r="AL2784" s="10" t="s">
        <v>7897</v>
      </c>
      <c r="AM2784" s="10"/>
      <c r="AN2784" s="10"/>
      <c r="AO2784" s="13" t="b">
        <v>0</v>
      </c>
      <c r="AP2784" s="22" t="s">
        <v>104</v>
      </c>
      <c r="AQ2784" s="10">
        <f ca="1">IFERROR(__xludf.DUMMYFUNCTION("""COMPUTED_VALUE"""),4797279)</f>
        <v>4797279</v>
      </c>
      <c r="AR2784" s="17">
        <v>11910</v>
      </c>
      <c r="AS2784" s="17">
        <v>8676</v>
      </c>
      <c r="AT2784" s="17">
        <v>167364.25</v>
      </c>
      <c r="AU2784" s="17">
        <v>57.65</v>
      </c>
      <c r="AV2784" s="17">
        <v>5.6</v>
      </c>
      <c r="AW2784" s="10" t="s">
        <v>105</v>
      </c>
      <c r="AX2784" s="17">
        <v>2317</v>
      </c>
      <c r="AY2784" s="18">
        <v>19.290485246657447</v>
      </c>
      <c r="AZ2784" s="10"/>
      <c r="BA2784" s="20" t="b">
        <v>0</v>
      </c>
      <c r="BB2784" s="10"/>
      <c r="BC2784" s="17">
        <v>11910</v>
      </c>
      <c r="BD2784" s="17">
        <v>8676</v>
      </c>
      <c r="BE2784" s="17">
        <v>167364.25</v>
      </c>
      <c r="BF2784" s="17">
        <v>5.6</v>
      </c>
      <c r="BG2784" s="11">
        <f ca="1">IFERROR(__xludf.DUMMYFUNCTION("""COMPUTED_VALUE"""),46021.9583333333)</f>
        <v>46021.958333333299</v>
      </c>
      <c r="BH2784" s="17" t="s">
        <v>105</v>
      </c>
      <c r="BI2784" s="17"/>
      <c r="BJ2784" s="15"/>
      <c r="BK2784" s="15"/>
      <c r="BL2784" s="13" t="b">
        <v>0</v>
      </c>
      <c r="BM2784" s="10"/>
      <c r="BN2784" s="10" t="s">
        <v>137</v>
      </c>
      <c r="BO2784" s="11">
        <v>45987.429166666669</v>
      </c>
      <c r="BP2784" s="11">
        <v>45987.429745370369</v>
      </c>
      <c r="BQ2784" s="15"/>
      <c r="BR2784" s="15">
        <v>46018.691041666665</v>
      </c>
      <c r="BS2784" s="10" t="s">
        <v>137</v>
      </c>
      <c r="BT2784" s="10"/>
      <c r="BU2784" s="10"/>
      <c r="BV2784" s="10"/>
      <c r="BW2784" s="10"/>
      <c r="BX2784" s="10"/>
      <c r="BY2784" s="23"/>
      <c r="BZ2784" s="23"/>
      <c r="CA2784" s="19" t="s">
        <v>20768</v>
      </c>
      <c r="CB2784" s="23"/>
      <c r="CC2784" s="23"/>
      <c r="CD2784" s="23"/>
      <c r="CE2784" s="23"/>
      <c r="CF2784" s="23"/>
      <c r="CG2784" s="23"/>
      <c r="CH2784" s="23"/>
      <c r="CI2784" s="23"/>
    </row>
    <row r="2785" spans="1:87" x14ac:dyDescent="0.3">
      <c r="A2785" s="9" t="s">
        <v>20769</v>
      </c>
      <c r="B2785" s="10" t="s">
        <v>20770</v>
      </c>
      <c r="C2785" s="11">
        <v>46022.083333333336</v>
      </c>
      <c r="D2785" s="12">
        <v>8.3333333333333329E-2</v>
      </c>
      <c r="E2785" s="11">
        <v>46022.166666666664</v>
      </c>
      <c r="F2785" s="22" t="s">
        <v>20550</v>
      </c>
      <c r="G2785" s="13" t="b">
        <v>0</v>
      </c>
      <c r="H2785" s="22" t="s">
        <v>3564</v>
      </c>
      <c r="I2785" s="10" t="s">
        <v>89</v>
      </c>
      <c r="J2785" s="13" t="b">
        <v>0</v>
      </c>
      <c r="K2785" s="13" t="b">
        <v>1</v>
      </c>
      <c r="L2785" s="10" t="s">
        <v>124</v>
      </c>
      <c r="M2785" s="10" t="s">
        <v>91</v>
      </c>
      <c r="N2785" s="10" t="s">
        <v>265</v>
      </c>
      <c r="O2785" s="19" t="s">
        <v>20771</v>
      </c>
      <c r="P2785" s="10"/>
      <c r="Q2785" s="10" t="s">
        <v>94</v>
      </c>
      <c r="R2785" s="10"/>
      <c r="S2785" s="10"/>
      <c r="T2785" s="10"/>
      <c r="U2785" s="10" t="s">
        <v>20595</v>
      </c>
      <c r="V2785" s="10" t="s">
        <v>20585</v>
      </c>
      <c r="W2785" s="10" t="s">
        <v>20555</v>
      </c>
      <c r="X2785" s="10" t="s">
        <v>130</v>
      </c>
      <c r="Y2785" s="10" t="s">
        <v>130</v>
      </c>
      <c r="Z2785" s="10" t="s">
        <v>99</v>
      </c>
      <c r="AA2785" s="10" t="s">
        <v>131</v>
      </c>
      <c r="AB2785" s="10" t="s">
        <v>20556</v>
      </c>
      <c r="AC2785" s="10" t="s">
        <v>20557</v>
      </c>
      <c r="AD2785" s="10" t="s">
        <v>20772</v>
      </c>
      <c r="AE2785" s="10" t="s">
        <v>20773</v>
      </c>
      <c r="AF2785" s="15"/>
      <c r="AG2785" s="10"/>
      <c r="AH2785" s="10"/>
      <c r="AI2785" s="10"/>
      <c r="AJ2785" s="10"/>
      <c r="AK2785" s="10" t="s">
        <v>102</v>
      </c>
      <c r="AL2785" s="10" t="s">
        <v>7897</v>
      </c>
      <c r="AM2785" s="10"/>
      <c r="AN2785" s="10"/>
      <c r="AO2785" s="13" t="b">
        <v>0</v>
      </c>
      <c r="AP2785" s="22" t="s">
        <v>104</v>
      </c>
      <c r="AQ2785" s="10">
        <f ca="1">IFERROR(__xludf.DUMMYFUNCTION("""COMPUTED_VALUE"""),4802051)</f>
        <v>4802051</v>
      </c>
      <c r="AR2785" s="17">
        <v>2919</v>
      </c>
      <c r="AS2785" s="17">
        <v>2039</v>
      </c>
      <c r="AT2785" s="17">
        <v>28152</v>
      </c>
      <c r="AU2785" s="17">
        <v>2.1</v>
      </c>
      <c r="AV2785" s="17">
        <v>0</v>
      </c>
      <c r="AW2785" s="10" t="s">
        <v>105</v>
      </c>
      <c r="AX2785" s="17">
        <v>718</v>
      </c>
      <c r="AY2785" s="18">
        <v>13.806768023540952</v>
      </c>
      <c r="AZ2785" s="10"/>
      <c r="BA2785" s="20" t="b">
        <v>0</v>
      </c>
      <c r="BB2785" s="10"/>
      <c r="BC2785" s="17">
        <v>2919</v>
      </c>
      <c r="BD2785" s="17">
        <v>2039</v>
      </c>
      <c r="BE2785" s="17">
        <v>28152</v>
      </c>
      <c r="BF2785" s="17">
        <v>0</v>
      </c>
      <c r="BG2785" s="11">
        <f ca="1">IFERROR(__xludf.DUMMYFUNCTION("""COMPUTED_VALUE"""),46022.0833333333)</f>
        <v>46022.083333333299</v>
      </c>
      <c r="BH2785" s="17" t="s">
        <v>105</v>
      </c>
      <c r="BI2785" s="17"/>
      <c r="BJ2785" s="15"/>
      <c r="BK2785" s="15"/>
      <c r="BL2785" s="13" t="b">
        <v>0</v>
      </c>
      <c r="BM2785" s="10"/>
      <c r="BN2785" s="10" t="s">
        <v>137</v>
      </c>
      <c r="BO2785" s="11">
        <v>45987.429861111108</v>
      </c>
      <c r="BP2785" s="11">
        <v>45987.430300925924</v>
      </c>
      <c r="BQ2785" s="15"/>
      <c r="BR2785" s="15">
        <v>46020.571284722224</v>
      </c>
      <c r="BS2785" s="10" t="s">
        <v>137</v>
      </c>
      <c r="BT2785" s="10"/>
      <c r="BU2785" s="10"/>
      <c r="BV2785" s="10"/>
      <c r="BW2785" s="10"/>
      <c r="BX2785" s="10"/>
      <c r="BY2785" s="23"/>
      <c r="BZ2785" s="23"/>
      <c r="CA2785" s="19" t="s">
        <v>20774</v>
      </c>
      <c r="CB2785" s="23"/>
      <c r="CC2785" s="23"/>
      <c r="CD2785" s="23"/>
      <c r="CE2785" s="23"/>
      <c r="CF2785" s="23"/>
      <c r="CG2785" s="23"/>
      <c r="CH2785" s="23"/>
      <c r="CI2785" s="23"/>
    </row>
    <row r="2786" spans="1:87" x14ac:dyDescent="0.3">
      <c r="A2786" s="9" t="s">
        <v>20775</v>
      </c>
      <c r="B2786" s="10" t="s">
        <v>20776</v>
      </c>
      <c r="C2786" s="11">
        <v>46022.083333333336</v>
      </c>
      <c r="D2786" s="12">
        <v>8.3333333333333329E-2</v>
      </c>
      <c r="E2786" s="11">
        <v>46022.166666666664</v>
      </c>
      <c r="F2786" s="22" t="s">
        <v>20550</v>
      </c>
      <c r="G2786" s="13" t="b">
        <v>0</v>
      </c>
      <c r="H2786" s="22" t="s">
        <v>3578</v>
      </c>
      <c r="I2786" s="10" t="s">
        <v>89</v>
      </c>
      <c r="J2786" s="13" t="b">
        <v>0</v>
      </c>
      <c r="K2786" s="13" t="b">
        <v>1</v>
      </c>
      <c r="L2786" s="10" t="s">
        <v>124</v>
      </c>
      <c r="M2786" s="10" t="s">
        <v>91</v>
      </c>
      <c r="N2786" s="10" t="s">
        <v>265</v>
      </c>
      <c r="O2786" s="19" t="s">
        <v>20777</v>
      </c>
      <c r="P2786" s="10"/>
      <c r="Q2786" s="10" t="s">
        <v>126</v>
      </c>
      <c r="R2786" s="10"/>
      <c r="S2786" s="19" t="s">
        <v>20778</v>
      </c>
      <c r="T2786" s="10"/>
      <c r="U2786" s="10" t="s">
        <v>20586</v>
      </c>
      <c r="V2786" s="10" t="s">
        <v>20594</v>
      </c>
      <c r="W2786" s="10" t="s">
        <v>20555</v>
      </c>
      <c r="X2786" s="10" t="s">
        <v>130</v>
      </c>
      <c r="Y2786" s="10" t="s">
        <v>130</v>
      </c>
      <c r="Z2786" s="10" t="s">
        <v>99</v>
      </c>
      <c r="AA2786" s="10" t="s">
        <v>131</v>
      </c>
      <c r="AB2786" s="10" t="s">
        <v>20556</v>
      </c>
      <c r="AC2786" s="10" t="s">
        <v>20557</v>
      </c>
      <c r="AD2786" s="10" t="s">
        <v>20779</v>
      </c>
      <c r="AE2786" s="10" t="s">
        <v>20780</v>
      </c>
      <c r="AF2786" s="15"/>
      <c r="AG2786" s="10"/>
      <c r="AH2786" s="10"/>
      <c r="AI2786" s="10"/>
      <c r="AJ2786" s="10"/>
      <c r="AK2786" s="10" t="s">
        <v>102</v>
      </c>
      <c r="AL2786" s="10" t="s">
        <v>7897</v>
      </c>
      <c r="AM2786" s="10"/>
      <c r="AN2786" s="10"/>
      <c r="AO2786" s="13" t="b">
        <v>0</v>
      </c>
      <c r="AP2786" s="22" t="s">
        <v>104</v>
      </c>
      <c r="AQ2786" s="10">
        <f ca="1">IFERROR(__xludf.DUMMYFUNCTION("""COMPUTED_VALUE"""),4802034)</f>
        <v>4802034</v>
      </c>
      <c r="AR2786" s="17">
        <v>8576</v>
      </c>
      <c r="AS2786" s="17">
        <v>6134</v>
      </c>
      <c r="AT2786" s="17">
        <v>163638.25</v>
      </c>
      <c r="AU2786" s="17">
        <v>27.7</v>
      </c>
      <c r="AV2786" s="17">
        <v>3.05</v>
      </c>
      <c r="AW2786" s="10" t="s">
        <v>105</v>
      </c>
      <c r="AX2786" s="17">
        <v>2200</v>
      </c>
      <c r="AY2786" s="18">
        <v>26.677249755461364</v>
      </c>
      <c r="AZ2786" s="10" t="s">
        <v>136</v>
      </c>
      <c r="BA2786" s="20" t="b">
        <v>0</v>
      </c>
      <c r="BB2786" s="10"/>
      <c r="BC2786" s="17">
        <v>8576</v>
      </c>
      <c r="BD2786" s="17">
        <v>6134</v>
      </c>
      <c r="BE2786" s="17">
        <v>163638.25</v>
      </c>
      <c r="BF2786" s="17">
        <v>3.05</v>
      </c>
      <c r="BG2786" s="11">
        <f ca="1">IFERROR(__xludf.DUMMYFUNCTION("""COMPUTED_VALUE"""),46022.0833333333)</f>
        <v>46022.083333333299</v>
      </c>
      <c r="BH2786" s="17" t="s">
        <v>105</v>
      </c>
      <c r="BI2786" s="17"/>
      <c r="BJ2786" s="15"/>
      <c r="BK2786" s="15"/>
      <c r="BL2786" s="13" t="b">
        <v>0</v>
      </c>
      <c r="BM2786" s="10"/>
      <c r="BN2786" s="10" t="s">
        <v>634</v>
      </c>
      <c r="BO2786" s="11">
        <v>45987.430555555555</v>
      </c>
      <c r="BP2786" s="11">
        <v>46009.581284722219</v>
      </c>
      <c r="BQ2786" s="15">
        <v>46019.475972222222</v>
      </c>
      <c r="BR2786" s="15">
        <v>46020.571192129632</v>
      </c>
      <c r="BS2786" s="10" t="s">
        <v>634</v>
      </c>
      <c r="BT2786" s="10" t="s">
        <v>99</v>
      </c>
      <c r="BU2786" s="10" t="s">
        <v>5854</v>
      </c>
      <c r="BV2786" s="10"/>
      <c r="BW2786" s="10"/>
      <c r="BX2786" s="10"/>
      <c r="BY2786" s="23"/>
      <c r="BZ2786" s="23"/>
      <c r="CA2786" s="19" t="s">
        <v>20781</v>
      </c>
      <c r="CB2786" s="23"/>
      <c r="CC2786" s="23"/>
      <c r="CD2786" s="19" t="s">
        <v>20782</v>
      </c>
      <c r="CE2786" s="23"/>
      <c r="CF2786" s="23"/>
      <c r="CG2786" s="23"/>
      <c r="CH2786" s="23"/>
      <c r="CI2786" s="23"/>
    </row>
    <row r="2787" spans="1:87" x14ac:dyDescent="0.3">
      <c r="A2787" s="9" t="s">
        <v>20783</v>
      </c>
      <c r="B2787" s="10" t="s">
        <v>20784</v>
      </c>
      <c r="C2787" s="11">
        <v>46022.958333333336</v>
      </c>
      <c r="D2787" s="12">
        <v>8.3333333333333329E-2</v>
      </c>
      <c r="E2787" s="11">
        <v>46023.041666666664</v>
      </c>
      <c r="F2787" s="22" t="s">
        <v>20550</v>
      </c>
      <c r="G2787" s="13" t="b">
        <v>0</v>
      </c>
      <c r="H2787" s="22" t="s">
        <v>3578</v>
      </c>
      <c r="I2787" s="10" t="s">
        <v>89</v>
      </c>
      <c r="J2787" s="13" t="b">
        <v>0</v>
      </c>
      <c r="K2787" s="13" t="b">
        <v>1</v>
      </c>
      <c r="L2787" s="10" t="s">
        <v>124</v>
      </c>
      <c r="M2787" s="10" t="s">
        <v>91</v>
      </c>
      <c r="N2787" s="10" t="s">
        <v>265</v>
      </c>
      <c r="O2787" s="19" t="s">
        <v>20785</v>
      </c>
      <c r="P2787" s="10"/>
      <c r="Q2787" s="10" t="s">
        <v>126</v>
      </c>
      <c r="R2787" s="10"/>
      <c r="S2787" s="19" t="s">
        <v>20786</v>
      </c>
      <c r="T2787" s="10"/>
      <c r="U2787" s="10" t="s">
        <v>20624</v>
      </c>
      <c r="V2787" s="10" t="s">
        <v>20632</v>
      </c>
      <c r="W2787" s="10" t="s">
        <v>20555</v>
      </c>
      <c r="X2787" s="10" t="s">
        <v>130</v>
      </c>
      <c r="Y2787" s="10" t="s">
        <v>130</v>
      </c>
      <c r="Z2787" s="10" t="s">
        <v>99</v>
      </c>
      <c r="AA2787" s="10" t="s">
        <v>131</v>
      </c>
      <c r="AB2787" s="10" t="s">
        <v>20556</v>
      </c>
      <c r="AC2787" s="10" t="s">
        <v>20557</v>
      </c>
      <c r="AD2787" s="10" t="s">
        <v>20787</v>
      </c>
      <c r="AE2787" s="10" t="s">
        <v>20788</v>
      </c>
      <c r="AF2787" s="15"/>
      <c r="AG2787" s="10"/>
      <c r="AH2787" s="10"/>
      <c r="AI2787" s="10"/>
      <c r="AJ2787" s="10"/>
      <c r="AK2787" s="10" t="s">
        <v>102</v>
      </c>
      <c r="AL2787" s="10" t="s">
        <v>7897</v>
      </c>
      <c r="AM2787" s="10"/>
      <c r="AN2787" s="10"/>
      <c r="AO2787" s="13" t="b">
        <v>0</v>
      </c>
      <c r="AP2787" s="22" t="s">
        <v>104</v>
      </c>
      <c r="AQ2787" s="10">
        <f ca="1">IFERROR(__xludf.DUMMYFUNCTION("""COMPUTED_VALUE"""),4802035)</f>
        <v>4802035</v>
      </c>
      <c r="AR2787" s="17">
        <v>14458</v>
      </c>
      <c r="AS2787" s="17">
        <v>11333</v>
      </c>
      <c r="AT2787" s="17">
        <v>210622.75</v>
      </c>
      <c r="AU2787" s="17">
        <v>54.95</v>
      </c>
      <c r="AV2787" s="17">
        <v>5.35</v>
      </c>
      <c r="AW2787" s="10" t="s">
        <v>105</v>
      </c>
      <c r="AX2787" s="17">
        <v>2629</v>
      </c>
      <c r="AY2787" s="18">
        <v>18.584906909026735</v>
      </c>
      <c r="AZ2787" s="10" t="s">
        <v>136</v>
      </c>
      <c r="BA2787" s="20" t="b">
        <v>0</v>
      </c>
      <c r="BB2787" s="10"/>
      <c r="BC2787" s="17">
        <v>14458</v>
      </c>
      <c r="BD2787" s="17">
        <v>11333</v>
      </c>
      <c r="BE2787" s="17">
        <v>210622.75</v>
      </c>
      <c r="BF2787" s="17">
        <v>5.35</v>
      </c>
      <c r="BG2787" s="11">
        <f ca="1">IFERROR(__xludf.DUMMYFUNCTION("""COMPUTED_VALUE"""),46022.9583333333)</f>
        <v>46022.958333333299</v>
      </c>
      <c r="BH2787" s="17" t="s">
        <v>105</v>
      </c>
      <c r="BI2787" s="17"/>
      <c r="BJ2787" s="15"/>
      <c r="BK2787" s="15"/>
      <c r="BL2787" s="13" t="b">
        <v>0</v>
      </c>
      <c r="BM2787" s="10"/>
      <c r="BN2787" s="10" t="s">
        <v>137</v>
      </c>
      <c r="BO2787" s="11">
        <v>45987.430555555555</v>
      </c>
      <c r="BP2787" s="11">
        <v>46009.580879629626</v>
      </c>
      <c r="BQ2787" s="15">
        <v>46019.476145833331</v>
      </c>
      <c r="BR2787" s="15">
        <v>46020.571666666663</v>
      </c>
      <c r="BS2787" s="10" t="s">
        <v>137</v>
      </c>
      <c r="BT2787" s="10"/>
      <c r="BU2787" s="10"/>
      <c r="BV2787" s="10"/>
      <c r="BW2787" s="10"/>
      <c r="BX2787" s="10"/>
      <c r="BY2787" s="23"/>
      <c r="BZ2787" s="23"/>
      <c r="CA2787" s="19" t="s">
        <v>20789</v>
      </c>
      <c r="CB2787" s="23"/>
      <c r="CC2787" s="23"/>
      <c r="CD2787" s="19" t="s">
        <v>20790</v>
      </c>
      <c r="CE2787" s="23"/>
      <c r="CF2787" s="23"/>
      <c r="CG2787" s="23"/>
      <c r="CH2787" s="23"/>
      <c r="CI2787" s="23"/>
    </row>
    <row r="2788" spans="1:87" x14ac:dyDescent="0.3">
      <c r="A2788" s="9" t="s">
        <v>20791</v>
      </c>
      <c r="B2788" s="10" t="s">
        <v>20792</v>
      </c>
      <c r="C2788" s="11">
        <v>46022.958333333336</v>
      </c>
      <c r="D2788" s="12">
        <v>8.3333333333333329E-2</v>
      </c>
      <c r="E2788" s="11">
        <v>46023.041666666664</v>
      </c>
      <c r="F2788" s="22" t="s">
        <v>20550</v>
      </c>
      <c r="G2788" s="13" t="b">
        <v>0</v>
      </c>
      <c r="H2788" s="22" t="s">
        <v>3564</v>
      </c>
      <c r="I2788" s="10" t="s">
        <v>89</v>
      </c>
      <c r="J2788" s="13" t="b">
        <v>0</v>
      </c>
      <c r="K2788" s="13" t="b">
        <v>1</v>
      </c>
      <c r="L2788" s="10" t="s">
        <v>124</v>
      </c>
      <c r="M2788" s="10" t="s">
        <v>91</v>
      </c>
      <c r="N2788" s="10" t="s">
        <v>265</v>
      </c>
      <c r="O2788" s="19" t="s">
        <v>20793</v>
      </c>
      <c r="P2788" s="10"/>
      <c r="Q2788" s="10" t="s">
        <v>94</v>
      </c>
      <c r="R2788" s="10"/>
      <c r="S2788" s="10"/>
      <c r="T2788" s="10"/>
      <c r="U2788" s="10" t="s">
        <v>20633</v>
      </c>
      <c r="V2788" s="10" t="s">
        <v>20623</v>
      </c>
      <c r="W2788" s="10" t="s">
        <v>20555</v>
      </c>
      <c r="X2788" s="10" t="s">
        <v>130</v>
      </c>
      <c r="Y2788" s="10" t="s">
        <v>130</v>
      </c>
      <c r="Z2788" s="10" t="s">
        <v>99</v>
      </c>
      <c r="AA2788" s="10" t="s">
        <v>131</v>
      </c>
      <c r="AB2788" s="10" t="s">
        <v>20556</v>
      </c>
      <c r="AC2788" s="10" t="s">
        <v>20557</v>
      </c>
      <c r="AD2788" s="10" t="s">
        <v>20794</v>
      </c>
      <c r="AE2788" s="10" t="s">
        <v>20795</v>
      </c>
      <c r="AF2788" s="15"/>
      <c r="AG2788" s="10"/>
      <c r="AH2788" s="10"/>
      <c r="AI2788" s="10"/>
      <c r="AJ2788" s="10"/>
      <c r="AK2788" s="10" t="s">
        <v>102</v>
      </c>
      <c r="AL2788" s="10" t="s">
        <v>7897</v>
      </c>
      <c r="AM2788" s="10"/>
      <c r="AN2788" s="10"/>
      <c r="AO2788" s="13" t="b">
        <v>0</v>
      </c>
      <c r="AP2788" s="22" t="s">
        <v>104</v>
      </c>
      <c r="AQ2788" s="10">
        <f ca="1">IFERROR(__xludf.DUMMYFUNCTION("""COMPUTED_VALUE"""),4802062)</f>
        <v>4802062</v>
      </c>
      <c r="AR2788" s="17">
        <v>8862</v>
      </c>
      <c r="AS2788" s="17">
        <v>6694</v>
      </c>
      <c r="AT2788" s="17">
        <v>126541.75</v>
      </c>
      <c r="AU2788" s="17">
        <v>20.45</v>
      </c>
      <c r="AV2788" s="17">
        <v>2.9</v>
      </c>
      <c r="AW2788" s="10" t="s">
        <v>105</v>
      </c>
      <c r="AX2788" s="17">
        <v>1691</v>
      </c>
      <c r="AY2788" s="18">
        <v>18.903757095906784</v>
      </c>
      <c r="AZ2788" s="10"/>
      <c r="BA2788" s="20" t="b">
        <v>0</v>
      </c>
      <c r="BB2788" s="10"/>
      <c r="BC2788" s="17">
        <v>8862</v>
      </c>
      <c r="BD2788" s="17">
        <v>6694</v>
      </c>
      <c r="BE2788" s="17">
        <v>126541.75</v>
      </c>
      <c r="BF2788" s="17">
        <v>2.9</v>
      </c>
      <c r="BG2788" s="11">
        <f ca="1">IFERROR(__xludf.DUMMYFUNCTION("""COMPUTED_VALUE"""),46022.9583333333)</f>
        <v>46022.958333333299</v>
      </c>
      <c r="BH2788" s="17" t="s">
        <v>105</v>
      </c>
      <c r="BI2788" s="17"/>
      <c r="BJ2788" s="15"/>
      <c r="BK2788" s="15"/>
      <c r="BL2788" s="13" t="b">
        <v>0</v>
      </c>
      <c r="BM2788" s="10"/>
      <c r="BN2788" s="10" t="s">
        <v>137</v>
      </c>
      <c r="BO2788" s="11">
        <v>45987.431250000001</v>
      </c>
      <c r="BP2788" s="11">
        <v>45987.431493055556</v>
      </c>
      <c r="BQ2788" s="15"/>
      <c r="BR2788" s="15">
        <v>46020.580312500002</v>
      </c>
      <c r="BS2788" s="10" t="s">
        <v>137</v>
      </c>
      <c r="BT2788" s="10"/>
      <c r="BU2788" s="10"/>
      <c r="BV2788" s="10"/>
      <c r="BW2788" s="10"/>
      <c r="BX2788" s="10"/>
      <c r="BY2788" s="23"/>
      <c r="BZ2788" s="23"/>
      <c r="CA2788" s="19" t="s">
        <v>20796</v>
      </c>
      <c r="CB2788" s="23"/>
      <c r="CC2788" s="23"/>
      <c r="CD2788" s="23"/>
      <c r="CE2788" s="23"/>
      <c r="CF2788" s="23"/>
      <c r="CG2788" s="23"/>
      <c r="CH2788" s="23"/>
      <c r="CI2788" s="23"/>
    </row>
    <row r="2789" spans="1:87" x14ac:dyDescent="0.3">
      <c r="A2789" s="9" t="s">
        <v>20797</v>
      </c>
      <c r="B2789" s="10" t="s">
        <v>4003</v>
      </c>
      <c r="C2789" s="11">
        <v>45996.791666666664</v>
      </c>
      <c r="D2789" s="12">
        <v>8.3333333333333329E-2</v>
      </c>
      <c r="E2789" s="11">
        <v>45996.875</v>
      </c>
      <c r="F2789" s="22" t="s">
        <v>3511</v>
      </c>
      <c r="G2789" s="13" t="b">
        <v>0</v>
      </c>
      <c r="H2789" s="22" t="s">
        <v>123</v>
      </c>
      <c r="I2789" s="10" t="s">
        <v>3548</v>
      </c>
      <c r="J2789" s="13" t="b">
        <v>0</v>
      </c>
      <c r="K2789" s="13" t="b">
        <v>1</v>
      </c>
      <c r="L2789" s="10" t="s">
        <v>124</v>
      </c>
      <c r="M2789" s="10" t="s">
        <v>91</v>
      </c>
      <c r="N2789" s="10" t="s">
        <v>20798</v>
      </c>
      <c r="O2789" s="19" t="s">
        <v>20799</v>
      </c>
      <c r="P2789" s="10"/>
      <c r="Q2789" s="10" t="s">
        <v>126</v>
      </c>
      <c r="R2789" s="10"/>
      <c r="S2789" s="19" t="s">
        <v>20800</v>
      </c>
      <c r="T2789" s="19" t="s">
        <v>20801</v>
      </c>
      <c r="U2789" s="10" t="s">
        <v>3609</v>
      </c>
      <c r="V2789" s="10" t="s">
        <v>3517</v>
      </c>
      <c r="W2789" s="10" t="s">
        <v>3519</v>
      </c>
      <c r="X2789" s="10" t="s">
        <v>130</v>
      </c>
      <c r="Y2789" s="10" t="s">
        <v>130</v>
      </c>
      <c r="Z2789" s="10" t="s">
        <v>99</v>
      </c>
      <c r="AA2789" s="10" t="s">
        <v>131</v>
      </c>
      <c r="AB2789" s="10" t="s">
        <v>3520</v>
      </c>
      <c r="AC2789" s="10" t="s">
        <v>3521</v>
      </c>
      <c r="AD2789" s="10" t="s">
        <v>4006</v>
      </c>
      <c r="AE2789" s="10" t="s">
        <v>4007</v>
      </c>
      <c r="AF2789" s="15"/>
      <c r="AG2789" s="10" t="s">
        <v>3524</v>
      </c>
      <c r="AH2789" s="10" t="s">
        <v>3539</v>
      </c>
      <c r="AI2789" s="10" t="s">
        <v>3525</v>
      </c>
      <c r="AJ2789" s="10" t="s">
        <v>20802</v>
      </c>
      <c r="AK2789" s="10" t="s">
        <v>102</v>
      </c>
      <c r="AL2789" s="10" t="s">
        <v>156</v>
      </c>
      <c r="AM2789" s="10"/>
      <c r="AN2789" s="10"/>
      <c r="AO2789" s="13" t="b">
        <v>1</v>
      </c>
      <c r="AP2789" s="22" t="s">
        <v>104</v>
      </c>
      <c r="AQ2789" s="10">
        <f ca="1">IFERROR(__xludf.DUMMYFUNCTION("""COMPUTED_VALUE"""),4758889)</f>
        <v>4758889</v>
      </c>
      <c r="AR2789" s="17">
        <v>842474</v>
      </c>
      <c r="AS2789" s="17">
        <v>445863</v>
      </c>
      <c r="AT2789" s="17">
        <v>21565195.75</v>
      </c>
      <c r="AU2789" s="17">
        <v>15365.2</v>
      </c>
      <c r="AV2789" s="17">
        <v>5965.55</v>
      </c>
      <c r="AW2789" s="10" t="s">
        <v>297</v>
      </c>
      <c r="AX2789" s="17">
        <v>211216</v>
      </c>
      <c r="AY2789" s="18">
        <v>48.367314062839931</v>
      </c>
      <c r="AZ2789" s="10"/>
      <c r="BA2789" s="20" t="b">
        <v>0</v>
      </c>
      <c r="BB2789" s="10"/>
      <c r="BC2789" s="17">
        <v>842474</v>
      </c>
      <c r="BD2789" s="17">
        <v>445863</v>
      </c>
      <c r="BE2789" s="17">
        <v>21565195.75</v>
      </c>
      <c r="BF2789" s="17">
        <v>5965.55</v>
      </c>
      <c r="BG2789" s="11">
        <f ca="1">IFERROR(__xludf.DUMMYFUNCTION("""COMPUTED_VALUE"""),45996.7916666666)</f>
        <v>45996.791666666599</v>
      </c>
      <c r="BH2789" s="17" t="s">
        <v>297</v>
      </c>
      <c r="BI2789" s="17"/>
      <c r="BJ2789" s="15"/>
      <c r="BK2789" s="15"/>
      <c r="BL2789" s="13" t="b">
        <v>0</v>
      </c>
      <c r="BM2789" s="10"/>
      <c r="BN2789" s="10" t="s">
        <v>149</v>
      </c>
      <c r="BO2789" s="11">
        <v>45987.457638888889</v>
      </c>
      <c r="BP2789" s="11">
        <v>45993.46806712963</v>
      </c>
      <c r="BQ2789" s="15">
        <v>45993.517245370371</v>
      </c>
      <c r="BR2789" s="15">
        <v>45993.52716435185</v>
      </c>
      <c r="BS2789" s="10" t="s">
        <v>149</v>
      </c>
      <c r="BT2789" s="10" t="s">
        <v>99</v>
      </c>
      <c r="BU2789" s="10" t="s">
        <v>280</v>
      </c>
      <c r="BV2789" s="10"/>
      <c r="BW2789" s="10"/>
      <c r="BX2789" s="10"/>
      <c r="BY2789" s="23"/>
      <c r="BZ2789" s="23"/>
      <c r="CA2789" s="19" t="s">
        <v>20803</v>
      </c>
      <c r="CB2789" s="19" t="s">
        <v>20801</v>
      </c>
      <c r="CC2789" s="23"/>
      <c r="CD2789" s="19" t="s">
        <v>20804</v>
      </c>
      <c r="CE2789" s="23"/>
      <c r="CF2789" s="23"/>
      <c r="CG2789" s="23"/>
      <c r="CH2789" s="23"/>
      <c r="CI2789" s="23"/>
    </row>
    <row r="2790" spans="1:87" x14ac:dyDescent="0.3">
      <c r="A2790" s="9" t="s">
        <v>20805</v>
      </c>
      <c r="B2790" s="10" t="s">
        <v>3982</v>
      </c>
      <c r="C2790" s="11">
        <v>45997.791666666664</v>
      </c>
      <c r="D2790" s="12">
        <v>8.3333333333333329E-2</v>
      </c>
      <c r="E2790" s="11">
        <v>45997.875</v>
      </c>
      <c r="F2790" s="22" t="s">
        <v>3511</v>
      </c>
      <c r="G2790" s="13" t="b">
        <v>0</v>
      </c>
      <c r="H2790" s="22" t="s">
        <v>123</v>
      </c>
      <c r="I2790" s="10" t="s">
        <v>3548</v>
      </c>
      <c r="J2790" s="13" t="b">
        <v>0</v>
      </c>
      <c r="K2790" s="13" t="b">
        <v>1</v>
      </c>
      <c r="L2790" s="10" t="s">
        <v>124</v>
      </c>
      <c r="M2790" s="10" t="s">
        <v>91</v>
      </c>
      <c r="N2790" s="10" t="s">
        <v>20798</v>
      </c>
      <c r="O2790" s="19" t="s">
        <v>20806</v>
      </c>
      <c r="P2790" s="10"/>
      <c r="Q2790" s="10" t="s">
        <v>126</v>
      </c>
      <c r="R2790" s="10"/>
      <c r="S2790" s="19" t="s">
        <v>20807</v>
      </c>
      <c r="T2790" s="19" t="s">
        <v>20808</v>
      </c>
      <c r="U2790" s="10" t="s">
        <v>3535</v>
      </c>
      <c r="V2790" s="10" t="s">
        <v>3551</v>
      </c>
      <c r="W2790" s="10" t="s">
        <v>3519</v>
      </c>
      <c r="X2790" s="10" t="s">
        <v>130</v>
      </c>
      <c r="Y2790" s="10" t="s">
        <v>130</v>
      </c>
      <c r="Z2790" s="10" t="s">
        <v>99</v>
      </c>
      <c r="AA2790" s="10" t="s">
        <v>131</v>
      </c>
      <c r="AB2790" s="10" t="s">
        <v>3520</v>
      </c>
      <c r="AC2790" s="10" t="s">
        <v>3521</v>
      </c>
      <c r="AD2790" s="10" t="s">
        <v>3985</v>
      </c>
      <c r="AE2790" s="10" t="s">
        <v>3986</v>
      </c>
      <c r="AF2790" s="15"/>
      <c r="AG2790" s="10" t="s">
        <v>3524</v>
      </c>
      <c r="AH2790" s="10" t="s">
        <v>3525</v>
      </c>
      <c r="AI2790" s="10" t="s">
        <v>3525</v>
      </c>
      <c r="AJ2790" s="10" t="s">
        <v>20809</v>
      </c>
      <c r="AK2790" s="10" t="s">
        <v>102</v>
      </c>
      <c r="AL2790" s="10" t="s">
        <v>156</v>
      </c>
      <c r="AM2790" s="10"/>
      <c r="AN2790" s="10"/>
      <c r="AO2790" s="13" t="b">
        <v>1</v>
      </c>
      <c r="AP2790" s="22" t="s">
        <v>104</v>
      </c>
      <c r="AQ2790" s="10">
        <f ca="1">IFERROR(__xludf.DUMMYFUNCTION("""COMPUTED_VALUE"""),4759266)</f>
        <v>4759266</v>
      </c>
      <c r="AR2790" s="17">
        <v>338723</v>
      </c>
      <c r="AS2790" s="17">
        <v>164164</v>
      </c>
      <c r="AT2790" s="17">
        <v>7079358</v>
      </c>
      <c r="AU2790" s="17">
        <v>3563.5</v>
      </c>
      <c r="AV2790" s="17">
        <v>1182.5999999999999</v>
      </c>
      <c r="AW2790" s="10" t="s">
        <v>297</v>
      </c>
      <c r="AX2790" s="17">
        <v>78409</v>
      </c>
      <c r="AY2790" s="18">
        <v>43.123693379790943</v>
      </c>
      <c r="AZ2790" s="10"/>
      <c r="BA2790" s="20" t="b">
        <v>0</v>
      </c>
      <c r="BB2790" s="10"/>
      <c r="BC2790" s="17">
        <v>338723</v>
      </c>
      <c r="BD2790" s="17">
        <v>164164</v>
      </c>
      <c r="BE2790" s="17">
        <v>7079358</v>
      </c>
      <c r="BF2790" s="17">
        <v>1182.5999999999999</v>
      </c>
      <c r="BG2790" s="11">
        <f ca="1">IFERROR(__xludf.DUMMYFUNCTION("""COMPUTED_VALUE"""),45997.7916666666)</f>
        <v>45997.791666666599</v>
      </c>
      <c r="BH2790" s="17" t="s">
        <v>297</v>
      </c>
      <c r="BI2790" s="17"/>
      <c r="BJ2790" s="15"/>
      <c r="BK2790" s="15"/>
      <c r="BL2790" s="13" t="b">
        <v>0</v>
      </c>
      <c r="BM2790" s="10"/>
      <c r="BN2790" s="10" t="s">
        <v>634</v>
      </c>
      <c r="BO2790" s="11">
        <v>45987.461111111108</v>
      </c>
      <c r="BP2790" s="11">
        <v>45993.470277777778</v>
      </c>
      <c r="BQ2790" s="15">
        <v>45993.517800925925</v>
      </c>
      <c r="BR2790" s="15">
        <v>45994.44059027778</v>
      </c>
      <c r="BS2790" s="10" t="s">
        <v>634</v>
      </c>
      <c r="BT2790" s="10" t="s">
        <v>99</v>
      </c>
      <c r="BU2790" s="10" t="s">
        <v>498</v>
      </c>
      <c r="BV2790" s="10"/>
      <c r="BW2790" s="10"/>
      <c r="BX2790" s="10"/>
      <c r="BY2790" s="23"/>
      <c r="BZ2790" s="23"/>
      <c r="CA2790" s="19" t="s">
        <v>20810</v>
      </c>
      <c r="CB2790" s="19" t="s">
        <v>20808</v>
      </c>
      <c r="CC2790" s="23"/>
      <c r="CD2790" s="19" t="s">
        <v>20811</v>
      </c>
      <c r="CE2790" s="23"/>
      <c r="CF2790" s="23"/>
      <c r="CG2790" s="23"/>
      <c r="CH2790" s="23"/>
      <c r="CI2790" s="23"/>
    </row>
    <row r="2791" spans="1:87" x14ac:dyDescent="0.3">
      <c r="A2791" s="9" t="s">
        <v>20812</v>
      </c>
      <c r="B2791" s="10" t="s">
        <v>20813</v>
      </c>
      <c r="C2791" s="11">
        <v>45997.791666666664</v>
      </c>
      <c r="D2791" s="12">
        <v>0.14583333333333334</v>
      </c>
      <c r="E2791" s="11">
        <v>45997.9375</v>
      </c>
      <c r="F2791" s="22" t="s">
        <v>8402</v>
      </c>
      <c r="G2791" s="13" t="b">
        <v>0</v>
      </c>
      <c r="H2791" s="22" t="s">
        <v>8403</v>
      </c>
      <c r="I2791" s="10" t="s">
        <v>212</v>
      </c>
      <c r="J2791" s="13" t="b">
        <v>1</v>
      </c>
      <c r="K2791" s="13" t="b">
        <v>0</v>
      </c>
      <c r="L2791" s="10" t="s">
        <v>124</v>
      </c>
      <c r="M2791" s="10" t="s">
        <v>91</v>
      </c>
      <c r="N2791" s="10" t="s">
        <v>92</v>
      </c>
      <c r="O2791" s="19" t="s">
        <v>20814</v>
      </c>
      <c r="P2791" s="10"/>
      <c r="Q2791" s="10" t="s">
        <v>126</v>
      </c>
      <c r="R2791" s="19" t="s">
        <v>20815</v>
      </c>
      <c r="S2791" s="19" t="s">
        <v>20816</v>
      </c>
      <c r="T2791" s="10"/>
      <c r="U2791" s="10"/>
      <c r="V2791" s="10"/>
      <c r="W2791" s="10" t="s">
        <v>8407</v>
      </c>
      <c r="X2791" s="10" t="s">
        <v>8408</v>
      </c>
      <c r="Y2791" s="10" t="s">
        <v>8409</v>
      </c>
      <c r="Z2791" s="10" t="s">
        <v>99</v>
      </c>
      <c r="AA2791" s="10" t="s">
        <v>100</v>
      </c>
      <c r="AB2791" s="10" t="s">
        <v>8410</v>
      </c>
      <c r="AC2791" s="10"/>
      <c r="AD2791" s="10" t="s">
        <v>165</v>
      </c>
      <c r="AE2791" s="10" t="s">
        <v>20817</v>
      </c>
      <c r="AF2791" s="15"/>
      <c r="AG2791" s="10"/>
      <c r="AH2791" s="10"/>
      <c r="AI2791" s="10"/>
      <c r="AJ2791" s="10"/>
      <c r="AK2791" s="10" t="s">
        <v>102</v>
      </c>
      <c r="AL2791" s="10"/>
      <c r="AM2791" s="10"/>
      <c r="AN2791" s="10"/>
      <c r="AO2791" s="13" t="b">
        <v>0</v>
      </c>
      <c r="AP2791" s="22"/>
      <c r="AQ2791" s="10">
        <f ca="1">IFERROR(__xludf.DUMMYFUNCTION("""COMPUTED_VALUE"""),4756442)</f>
        <v>4756442</v>
      </c>
      <c r="AR2791" s="17">
        <v>6148</v>
      </c>
      <c r="AS2791" s="17">
        <v>4452</v>
      </c>
      <c r="AT2791" s="17">
        <v>61902.25</v>
      </c>
      <c r="AU2791" s="17">
        <v>7.75</v>
      </c>
      <c r="AV2791" s="17">
        <v>0.8</v>
      </c>
      <c r="AW2791" s="10" t="s">
        <v>105</v>
      </c>
      <c r="AX2791" s="17">
        <v>692</v>
      </c>
      <c r="AY2791" s="18">
        <v>13.904368823000899</v>
      </c>
      <c r="AZ2791" s="10" t="s">
        <v>3783</v>
      </c>
      <c r="BA2791" s="20" t="b">
        <v>0</v>
      </c>
      <c r="BB2791" s="10"/>
      <c r="BC2791" s="17">
        <v>6148</v>
      </c>
      <c r="BD2791" s="17">
        <v>4452</v>
      </c>
      <c r="BE2791" s="17">
        <v>61902.25</v>
      </c>
      <c r="BF2791" s="17">
        <v>0.8</v>
      </c>
      <c r="BG2791" s="11">
        <f ca="1">IFERROR(__xludf.DUMMYFUNCTION("""COMPUTED_VALUE"""),45997.7916666666)</f>
        <v>45997.791666666599</v>
      </c>
      <c r="BH2791" s="17" t="s">
        <v>105</v>
      </c>
      <c r="BI2791" s="17"/>
      <c r="BJ2791" s="15"/>
      <c r="BK2791" s="15"/>
      <c r="BL2791" s="13" t="b">
        <v>0</v>
      </c>
      <c r="BM2791" s="10"/>
      <c r="BN2791" s="10" t="s">
        <v>455</v>
      </c>
      <c r="BO2791" s="11">
        <v>45987.488194444442</v>
      </c>
      <c r="BP2791" s="11">
        <v>45987.488912037035</v>
      </c>
      <c r="BQ2791" s="15">
        <v>45992.62060185185</v>
      </c>
      <c r="BR2791" s="15">
        <v>45992.637488425928</v>
      </c>
      <c r="BS2791" s="10" t="s">
        <v>455</v>
      </c>
      <c r="BT2791" s="10"/>
      <c r="BU2791" s="10"/>
      <c r="BV2791" s="10"/>
      <c r="BW2791" s="10"/>
      <c r="BX2791" s="10"/>
      <c r="BY2791" s="23"/>
      <c r="BZ2791" s="23"/>
      <c r="CA2791" s="19" t="s">
        <v>20818</v>
      </c>
      <c r="CB2791" s="23"/>
      <c r="CC2791" s="23"/>
      <c r="CD2791" s="19" t="s">
        <v>20819</v>
      </c>
      <c r="CE2791" s="23"/>
      <c r="CF2791" s="23"/>
      <c r="CG2791" s="23"/>
      <c r="CH2791" s="23"/>
      <c r="CI2791" s="23"/>
    </row>
    <row r="2792" spans="1:87" x14ac:dyDescent="0.3">
      <c r="A2792" s="9" t="s">
        <v>20820</v>
      </c>
      <c r="B2792" s="10" t="s">
        <v>20821</v>
      </c>
      <c r="C2792" s="11">
        <v>45990.020833333336</v>
      </c>
      <c r="D2792" s="12">
        <v>8.3333333333333329E-2</v>
      </c>
      <c r="E2792" s="11">
        <v>45990.104166666664</v>
      </c>
      <c r="F2792" s="22" t="s">
        <v>20164</v>
      </c>
      <c r="G2792" s="13" t="b">
        <v>0</v>
      </c>
      <c r="H2792" s="22" t="s">
        <v>9130</v>
      </c>
      <c r="I2792" s="10" t="s">
        <v>9131</v>
      </c>
      <c r="J2792" s="13" t="b">
        <v>0</v>
      </c>
      <c r="K2792" s="13" t="b">
        <v>1</v>
      </c>
      <c r="L2792" s="10"/>
      <c r="M2792" s="10" t="s">
        <v>91</v>
      </c>
      <c r="N2792" s="10" t="s">
        <v>265</v>
      </c>
      <c r="O2792" s="19" t="s">
        <v>20822</v>
      </c>
      <c r="P2792" s="10"/>
      <c r="Q2792" s="10" t="s">
        <v>94</v>
      </c>
      <c r="R2792" s="10"/>
      <c r="S2792" s="19" t="s">
        <v>20823</v>
      </c>
      <c r="T2792" s="10"/>
      <c r="U2792" s="10" t="s">
        <v>14944</v>
      </c>
      <c r="V2792" s="10" t="s">
        <v>9150</v>
      </c>
      <c r="W2792" s="10" t="s">
        <v>20168</v>
      </c>
      <c r="X2792" s="10" t="s">
        <v>130</v>
      </c>
      <c r="Y2792" s="10" t="s">
        <v>130</v>
      </c>
      <c r="Z2792" s="10" t="s">
        <v>99</v>
      </c>
      <c r="AA2792" s="10" t="s">
        <v>131</v>
      </c>
      <c r="AB2792" s="10" t="s">
        <v>20169</v>
      </c>
      <c r="AC2792" s="10" t="s">
        <v>9138</v>
      </c>
      <c r="AD2792" s="10" t="s">
        <v>19744</v>
      </c>
      <c r="AE2792" s="10" t="s">
        <v>20824</v>
      </c>
      <c r="AF2792" s="15"/>
      <c r="AG2792" s="10"/>
      <c r="AH2792" s="10"/>
      <c r="AI2792" s="10"/>
      <c r="AJ2792" s="10"/>
      <c r="AK2792" s="10" t="s">
        <v>102</v>
      </c>
      <c r="AL2792" s="10" t="s">
        <v>19004</v>
      </c>
      <c r="AM2792" s="10"/>
      <c r="AN2792" s="10"/>
      <c r="AO2792" s="13" t="b">
        <v>0</v>
      </c>
      <c r="AP2792" s="22" t="s">
        <v>104</v>
      </c>
      <c r="AQ2792" s="10">
        <f ca="1">IFERROR(__xludf.DUMMYFUNCTION("""COMPUTED_VALUE"""),4741287)</f>
        <v>4741287</v>
      </c>
      <c r="AR2792" s="17">
        <v>4634</v>
      </c>
      <c r="AS2792" s="17">
        <v>3864</v>
      </c>
      <c r="AT2792" s="17">
        <v>100117.5</v>
      </c>
      <c r="AU2792" s="17">
        <v>7</v>
      </c>
      <c r="AV2792" s="17">
        <v>0.6</v>
      </c>
      <c r="AW2792" s="10" t="s">
        <v>105</v>
      </c>
      <c r="AX2792" s="17">
        <v>744</v>
      </c>
      <c r="AY2792" s="18">
        <v>25.910326086956523</v>
      </c>
      <c r="AZ2792" s="10" t="s">
        <v>106</v>
      </c>
      <c r="BA2792" s="20" t="b">
        <v>0</v>
      </c>
      <c r="BB2792" s="10"/>
      <c r="BC2792" s="17">
        <v>4634</v>
      </c>
      <c r="BD2792" s="17">
        <v>3864</v>
      </c>
      <c r="BE2792" s="17">
        <v>100117.5</v>
      </c>
      <c r="BF2792" s="17">
        <v>0.6</v>
      </c>
      <c r="BG2792" s="11">
        <f ca="1">IFERROR(__xludf.DUMMYFUNCTION("""COMPUTED_VALUE"""),45990.0208333333)</f>
        <v>45990.020833333299</v>
      </c>
      <c r="BH2792" s="17" t="s">
        <v>105</v>
      </c>
      <c r="BI2792" s="17"/>
      <c r="BJ2792" s="15"/>
      <c r="BK2792" s="15"/>
      <c r="BL2792" s="13" t="b">
        <v>0</v>
      </c>
      <c r="BM2792" s="10"/>
      <c r="BN2792" s="10" t="s">
        <v>920</v>
      </c>
      <c r="BO2792" s="11">
        <v>45987.503472222219</v>
      </c>
      <c r="BP2792" s="11">
        <v>45987.503865740742</v>
      </c>
      <c r="BQ2792" s="15">
        <v>45988.629016203704</v>
      </c>
      <c r="BR2792" s="15">
        <v>45989.444050925929</v>
      </c>
      <c r="BS2792" s="10" t="s">
        <v>920</v>
      </c>
      <c r="BT2792" s="10"/>
      <c r="BU2792" s="10"/>
      <c r="BV2792" s="10"/>
      <c r="BW2792" s="10"/>
      <c r="BX2792" s="10"/>
      <c r="BY2792" s="23"/>
      <c r="BZ2792" s="23"/>
      <c r="CA2792" s="19" t="s">
        <v>20825</v>
      </c>
      <c r="CB2792" s="23"/>
      <c r="CC2792" s="23"/>
      <c r="CD2792" s="23"/>
      <c r="CE2792" s="23"/>
      <c r="CF2792" s="23"/>
      <c r="CG2792" s="23"/>
      <c r="CH2792" s="23"/>
      <c r="CI2792" s="23"/>
    </row>
    <row r="2793" spans="1:87" x14ac:dyDescent="0.3">
      <c r="A2793" s="9" t="s">
        <v>20826</v>
      </c>
      <c r="B2793" s="10" t="s">
        <v>20827</v>
      </c>
      <c r="C2793" s="11">
        <v>45996.34375</v>
      </c>
      <c r="D2793" s="12">
        <v>0.14583333333333334</v>
      </c>
      <c r="E2793" s="11">
        <v>45996.489583333336</v>
      </c>
      <c r="F2793" s="22" t="s">
        <v>15270</v>
      </c>
      <c r="G2793" s="13" t="b">
        <v>0</v>
      </c>
      <c r="H2793" s="22" t="s">
        <v>15271</v>
      </c>
      <c r="I2793" s="10" t="s">
        <v>3213</v>
      </c>
      <c r="J2793" s="13" t="b">
        <v>0</v>
      </c>
      <c r="K2793" s="13" t="b">
        <v>1</v>
      </c>
      <c r="L2793" s="10" t="s">
        <v>124</v>
      </c>
      <c r="M2793" s="10" t="s">
        <v>91</v>
      </c>
      <c r="N2793" s="10" t="s">
        <v>92</v>
      </c>
      <c r="O2793" s="19" t="s">
        <v>20828</v>
      </c>
      <c r="P2793" s="10" t="s">
        <v>3215</v>
      </c>
      <c r="Q2793" s="10" t="s">
        <v>126</v>
      </c>
      <c r="R2793" s="10"/>
      <c r="S2793" s="19" t="s">
        <v>20829</v>
      </c>
      <c r="T2793" s="19" t="s">
        <v>20830</v>
      </c>
      <c r="U2793" s="10" t="s">
        <v>15289</v>
      </c>
      <c r="V2793" s="10" t="s">
        <v>16009</v>
      </c>
      <c r="W2793" s="10" t="s">
        <v>15276</v>
      </c>
      <c r="X2793" s="10" t="s">
        <v>15277</v>
      </c>
      <c r="Y2793" s="10" t="s">
        <v>15277</v>
      </c>
      <c r="Z2793" s="10" t="s">
        <v>99</v>
      </c>
      <c r="AA2793" s="10" t="s">
        <v>131</v>
      </c>
      <c r="AB2793" s="10" t="s">
        <v>15278</v>
      </c>
      <c r="AC2793" s="10" t="s">
        <v>15279</v>
      </c>
      <c r="AD2793" s="10" t="s">
        <v>165</v>
      </c>
      <c r="AE2793" s="10" t="s">
        <v>20831</v>
      </c>
      <c r="AF2793" s="15"/>
      <c r="AG2793" s="10"/>
      <c r="AH2793" s="10"/>
      <c r="AI2793" s="10"/>
      <c r="AJ2793" s="10"/>
      <c r="AK2793" s="10" t="s">
        <v>102</v>
      </c>
      <c r="AL2793" s="10" t="s">
        <v>1671</v>
      </c>
      <c r="AM2793" s="10"/>
      <c r="AN2793" s="10"/>
      <c r="AO2793" s="13" t="b">
        <v>0</v>
      </c>
      <c r="AP2793" s="22" t="s">
        <v>104</v>
      </c>
      <c r="AQ2793" s="10">
        <f ca="1">IFERROR(__xludf.DUMMYFUNCTION("""COMPUTED_VALUE"""),4760893)</f>
        <v>4760893</v>
      </c>
      <c r="AR2793" s="17">
        <v>3369</v>
      </c>
      <c r="AS2793" s="17">
        <v>2520</v>
      </c>
      <c r="AT2793" s="17">
        <v>59501.25</v>
      </c>
      <c r="AU2793" s="17">
        <v>10.95</v>
      </c>
      <c r="AV2793" s="17">
        <v>1.6</v>
      </c>
      <c r="AW2793" s="10" t="s">
        <v>105</v>
      </c>
      <c r="AX2793" s="17">
        <v>414</v>
      </c>
      <c r="AY2793" s="18">
        <v>23.611607142857142</v>
      </c>
      <c r="AZ2793" s="10"/>
      <c r="BA2793" s="20" t="b">
        <v>0</v>
      </c>
      <c r="BB2793" s="10"/>
      <c r="BC2793" s="17">
        <v>3369</v>
      </c>
      <c r="BD2793" s="17">
        <v>2520</v>
      </c>
      <c r="BE2793" s="17">
        <v>59501.25</v>
      </c>
      <c r="BF2793" s="17">
        <v>1.6</v>
      </c>
      <c r="BG2793" s="11">
        <f ca="1">IFERROR(__xludf.DUMMYFUNCTION("""COMPUTED_VALUE"""),45996.34375)</f>
        <v>45996.34375</v>
      </c>
      <c r="BH2793" s="17" t="s">
        <v>105</v>
      </c>
      <c r="BI2793" s="17"/>
      <c r="BJ2793" s="15"/>
      <c r="BK2793" s="15"/>
      <c r="BL2793" s="13" t="b">
        <v>0</v>
      </c>
      <c r="BM2793" s="10"/>
      <c r="BN2793" s="10" t="s">
        <v>8437</v>
      </c>
      <c r="BO2793" s="11">
        <v>45987.606249999997</v>
      </c>
      <c r="BP2793" s="11">
        <v>45987.606689814813</v>
      </c>
      <c r="BQ2793" s="15">
        <v>45994.726458333331</v>
      </c>
      <c r="BR2793" s="15">
        <v>45994.81894675926</v>
      </c>
      <c r="BS2793" s="10"/>
      <c r="BT2793" s="10"/>
      <c r="BU2793" s="10"/>
      <c r="BV2793" s="10"/>
      <c r="BW2793" s="10"/>
      <c r="BX2793" s="10"/>
      <c r="BY2793" s="23"/>
      <c r="BZ2793" s="23"/>
      <c r="CA2793" s="19" t="s">
        <v>20832</v>
      </c>
      <c r="CB2793" s="19" t="s">
        <v>20833</v>
      </c>
      <c r="CC2793" s="23"/>
      <c r="CD2793" s="19" t="s">
        <v>20834</v>
      </c>
      <c r="CE2793" s="23"/>
      <c r="CF2793" s="23"/>
      <c r="CG2793" s="23"/>
      <c r="CH2793" s="23"/>
      <c r="CI2793" s="23"/>
    </row>
    <row r="2794" spans="1:87" x14ac:dyDescent="0.3">
      <c r="A2794" s="9" t="s">
        <v>20835</v>
      </c>
      <c r="B2794" s="10" t="s">
        <v>20836</v>
      </c>
      <c r="C2794" s="11">
        <v>45999.041666666664</v>
      </c>
      <c r="D2794" s="12">
        <v>0.14583333333333334</v>
      </c>
      <c r="E2794" s="11">
        <v>45999.1875</v>
      </c>
      <c r="F2794" s="22" t="s">
        <v>15270</v>
      </c>
      <c r="G2794" s="13" t="b">
        <v>0</v>
      </c>
      <c r="H2794" s="22" t="s">
        <v>15271</v>
      </c>
      <c r="I2794" s="10" t="s">
        <v>3213</v>
      </c>
      <c r="J2794" s="13" t="b">
        <v>0</v>
      </c>
      <c r="K2794" s="13" t="b">
        <v>1</v>
      </c>
      <c r="L2794" s="10" t="s">
        <v>124</v>
      </c>
      <c r="M2794" s="10" t="s">
        <v>91</v>
      </c>
      <c r="N2794" s="10" t="s">
        <v>92</v>
      </c>
      <c r="O2794" s="19" t="s">
        <v>20837</v>
      </c>
      <c r="P2794" s="10" t="s">
        <v>88</v>
      </c>
      <c r="Q2794" s="10" t="s">
        <v>126</v>
      </c>
      <c r="R2794" s="10"/>
      <c r="S2794" s="19" t="s">
        <v>20838</v>
      </c>
      <c r="T2794" s="10"/>
      <c r="U2794" s="10" t="s">
        <v>15673</v>
      </c>
      <c r="V2794" s="10" t="s">
        <v>15490</v>
      </c>
      <c r="W2794" s="10" t="s">
        <v>15276</v>
      </c>
      <c r="X2794" s="10" t="s">
        <v>15277</v>
      </c>
      <c r="Y2794" s="10" t="s">
        <v>15277</v>
      </c>
      <c r="Z2794" s="10" t="s">
        <v>99</v>
      </c>
      <c r="AA2794" s="10" t="s">
        <v>131</v>
      </c>
      <c r="AB2794" s="10" t="s">
        <v>15278</v>
      </c>
      <c r="AC2794" s="10" t="s">
        <v>15279</v>
      </c>
      <c r="AD2794" s="10" t="s">
        <v>165</v>
      </c>
      <c r="AE2794" s="10" t="s">
        <v>20839</v>
      </c>
      <c r="AF2794" s="15"/>
      <c r="AG2794" s="10"/>
      <c r="AH2794" s="10"/>
      <c r="AI2794" s="10"/>
      <c r="AJ2794" s="10"/>
      <c r="AK2794" s="10" t="s">
        <v>102</v>
      </c>
      <c r="AL2794" s="10" t="s">
        <v>1671</v>
      </c>
      <c r="AM2794" s="10"/>
      <c r="AN2794" s="10"/>
      <c r="AO2794" s="13" t="b">
        <v>0</v>
      </c>
      <c r="AP2794" s="22" t="s">
        <v>104</v>
      </c>
      <c r="AQ2794" s="10">
        <f ca="1">IFERROR(__xludf.DUMMYFUNCTION("""COMPUTED_VALUE"""),4768866)</f>
        <v>4768866</v>
      </c>
      <c r="AR2794" s="17">
        <v>1408</v>
      </c>
      <c r="AS2794" s="17">
        <v>1178</v>
      </c>
      <c r="AT2794" s="17">
        <v>26959.25</v>
      </c>
      <c r="AU2794" s="17">
        <v>2.35</v>
      </c>
      <c r="AV2794" s="17">
        <v>2</v>
      </c>
      <c r="AW2794" s="10" t="s">
        <v>105</v>
      </c>
      <c r="AX2794" s="17">
        <v>170</v>
      </c>
      <c r="AY2794" s="18">
        <v>22.885611205432937</v>
      </c>
      <c r="AZ2794" s="10" t="s">
        <v>117</v>
      </c>
      <c r="BA2794" s="20" t="b">
        <v>0</v>
      </c>
      <c r="BB2794" s="10"/>
      <c r="BC2794" s="17">
        <v>1408</v>
      </c>
      <c r="BD2794" s="17">
        <v>1178</v>
      </c>
      <c r="BE2794" s="17">
        <v>26959.25</v>
      </c>
      <c r="BF2794" s="17">
        <v>2</v>
      </c>
      <c r="BG2794" s="11">
        <f ca="1">IFERROR(__xludf.DUMMYFUNCTION("""COMPUTED_VALUE"""),45999.0416666666)</f>
        <v>45999.041666666599</v>
      </c>
      <c r="BH2794" s="17" t="s">
        <v>105</v>
      </c>
      <c r="BI2794" s="17"/>
      <c r="BJ2794" s="15"/>
      <c r="BK2794" s="15"/>
      <c r="BL2794" s="13" t="b">
        <v>0</v>
      </c>
      <c r="BM2794" s="10"/>
      <c r="BN2794" s="10" t="s">
        <v>8529</v>
      </c>
      <c r="BO2794" s="11">
        <v>45987.607638888891</v>
      </c>
      <c r="BP2794" s="11">
        <v>45987.608182870368</v>
      </c>
      <c r="BQ2794" s="15">
        <v>45995.444895833331</v>
      </c>
      <c r="BR2794" s="15">
        <v>45997.864050925928</v>
      </c>
      <c r="BS2794" s="10"/>
      <c r="BT2794" s="10"/>
      <c r="BU2794" s="10"/>
      <c r="BV2794" s="10"/>
      <c r="BW2794" s="10"/>
      <c r="BX2794" s="10"/>
      <c r="BY2794" s="23"/>
      <c r="BZ2794" s="23"/>
      <c r="CA2794" s="19" t="s">
        <v>20840</v>
      </c>
      <c r="CB2794" s="23"/>
      <c r="CC2794" s="23"/>
      <c r="CD2794" s="19" t="s">
        <v>20841</v>
      </c>
      <c r="CE2794" s="23"/>
      <c r="CF2794" s="23"/>
      <c r="CG2794" s="23"/>
      <c r="CH2794" s="23"/>
      <c r="CI2794" s="23"/>
    </row>
    <row r="2795" spans="1:87" x14ac:dyDescent="0.3">
      <c r="A2795" s="9" t="s">
        <v>20842</v>
      </c>
      <c r="B2795" s="10" t="s">
        <v>20843</v>
      </c>
      <c r="C2795" s="11">
        <v>45999.184027777781</v>
      </c>
      <c r="D2795" s="12">
        <v>0.14583333333333334</v>
      </c>
      <c r="E2795" s="11">
        <v>45999.329861111109</v>
      </c>
      <c r="F2795" s="22" t="s">
        <v>15270</v>
      </c>
      <c r="G2795" s="13" t="b">
        <v>0</v>
      </c>
      <c r="H2795" s="22" t="s">
        <v>15271</v>
      </c>
      <c r="I2795" s="10" t="s">
        <v>3213</v>
      </c>
      <c r="J2795" s="13" t="b">
        <v>0</v>
      </c>
      <c r="K2795" s="13" t="b">
        <v>1</v>
      </c>
      <c r="L2795" s="10" t="s">
        <v>124</v>
      </c>
      <c r="M2795" s="10" t="s">
        <v>91</v>
      </c>
      <c r="N2795" s="10" t="s">
        <v>92</v>
      </c>
      <c r="O2795" s="19" t="s">
        <v>20844</v>
      </c>
      <c r="P2795" s="10" t="s">
        <v>88</v>
      </c>
      <c r="Q2795" s="10" t="s">
        <v>126</v>
      </c>
      <c r="R2795" s="10"/>
      <c r="S2795" s="19" t="s">
        <v>20845</v>
      </c>
      <c r="T2795" s="10"/>
      <c r="U2795" s="10" t="s">
        <v>15274</v>
      </c>
      <c r="V2795" s="10" t="s">
        <v>15290</v>
      </c>
      <c r="W2795" s="10" t="s">
        <v>15276</v>
      </c>
      <c r="X2795" s="10" t="s">
        <v>15277</v>
      </c>
      <c r="Y2795" s="10" t="s">
        <v>15277</v>
      </c>
      <c r="Z2795" s="10" t="s">
        <v>99</v>
      </c>
      <c r="AA2795" s="10" t="s">
        <v>131</v>
      </c>
      <c r="AB2795" s="10" t="s">
        <v>15278</v>
      </c>
      <c r="AC2795" s="10" t="s">
        <v>15279</v>
      </c>
      <c r="AD2795" s="10" t="s">
        <v>165</v>
      </c>
      <c r="AE2795" s="10" t="s">
        <v>20846</v>
      </c>
      <c r="AF2795" s="15"/>
      <c r="AG2795" s="10"/>
      <c r="AH2795" s="10"/>
      <c r="AI2795" s="10"/>
      <c r="AJ2795" s="10"/>
      <c r="AK2795" s="10" t="s">
        <v>102</v>
      </c>
      <c r="AL2795" s="10" t="s">
        <v>1671</v>
      </c>
      <c r="AM2795" s="10"/>
      <c r="AN2795" s="10"/>
      <c r="AO2795" s="13" t="b">
        <v>0</v>
      </c>
      <c r="AP2795" s="22" t="s">
        <v>104</v>
      </c>
      <c r="AQ2795" s="10">
        <f ca="1">IFERROR(__xludf.DUMMYFUNCTION("""COMPUTED_VALUE"""),4768867)</f>
        <v>4768867</v>
      </c>
      <c r="AR2795" s="17">
        <v>2105</v>
      </c>
      <c r="AS2795" s="17">
        <v>1749</v>
      </c>
      <c r="AT2795" s="17">
        <v>28077.75</v>
      </c>
      <c r="AU2795" s="17">
        <v>3.1</v>
      </c>
      <c r="AV2795" s="17">
        <v>1.1000000000000001</v>
      </c>
      <c r="AW2795" s="10" t="s">
        <v>105</v>
      </c>
      <c r="AX2795" s="17">
        <v>351</v>
      </c>
      <c r="AY2795" s="18">
        <v>16.05360205831904</v>
      </c>
      <c r="AZ2795" s="10" t="s">
        <v>117</v>
      </c>
      <c r="BA2795" s="20" t="b">
        <v>0</v>
      </c>
      <c r="BB2795" s="10"/>
      <c r="BC2795" s="17">
        <v>2105</v>
      </c>
      <c r="BD2795" s="17">
        <v>1749</v>
      </c>
      <c r="BE2795" s="17">
        <v>28077.75</v>
      </c>
      <c r="BF2795" s="17">
        <v>1.1000000000000001</v>
      </c>
      <c r="BG2795" s="11">
        <f ca="1">IFERROR(__xludf.DUMMYFUNCTION("""COMPUTED_VALUE"""),45999.1840277777)</f>
        <v>45999.184027777701</v>
      </c>
      <c r="BH2795" s="17" t="s">
        <v>105</v>
      </c>
      <c r="BI2795" s="17"/>
      <c r="BJ2795" s="15"/>
      <c r="BK2795" s="15"/>
      <c r="BL2795" s="13" t="b">
        <v>0</v>
      </c>
      <c r="BM2795" s="10"/>
      <c r="BN2795" s="10" t="s">
        <v>8529</v>
      </c>
      <c r="BO2795" s="11">
        <v>45987.60833333333</v>
      </c>
      <c r="BP2795" s="11">
        <v>45987.608993055554</v>
      </c>
      <c r="BQ2795" s="15">
        <v>45995.445034722223</v>
      </c>
      <c r="BR2795" s="15">
        <v>45997.864189814813</v>
      </c>
      <c r="BS2795" s="10"/>
      <c r="BT2795" s="10"/>
      <c r="BU2795" s="10"/>
      <c r="BV2795" s="10"/>
      <c r="BW2795" s="10"/>
      <c r="BX2795" s="10"/>
      <c r="BY2795" s="23"/>
      <c r="BZ2795" s="23"/>
      <c r="CA2795" s="19" t="s">
        <v>20847</v>
      </c>
      <c r="CB2795" s="23"/>
      <c r="CC2795" s="23"/>
      <c r="CD2795" s="19" t="s">
        <v>20848</v>
      </c>
      <c r="CE2795" s="23"/>
      <c r="CF2795" s="23"/>
      <c r="CG2795" s="23"/>
      <c r="CH2795" s="23"/>
      <c r="CI2795" s="23"/>
    </row>
    <row r="2796" spans="1:87" x14ac:dyDescent="0.3">
      <c r="A2796" s="9" t="s">
        <v>20849</v>
      </c>
      <c r="B2796" s="10" t="s">
        <v>20850</v>
      </c>
      <c r="C2796" s="11">
        <v>45999.347222222219</v>
      </c>
      <c r="D2796" s="12">
        <v>0.14583333333333334</v>
      </c>
      <c r="E2796" s="11">
        <v>45999.493055555555</v>
      </c>
      <c r="F2796" s="22" t="s">
        <v>15270</v>
      </c>
      <c r="G2796" s="13" t="b">
        <v>0</v>
      </c>
      <c r="H2796" s="22" t="s">
        <v>15271</v>
      </c>
      <c r="I2796" s="10" t="s">
        <v>3213</v>
      </c>
      <c r="J2796" s="13" t="b">
        <v>0</v>
      </c>
      <c r="K2796" s="13" t="b">
        <v>1</v>
      </c>
      <c r="L2796" s="10" t="s">
        <v>124</v>
      </c>
      <c r="M2796" s="10" t="s">
        <v>91</v>
      </c>
      <c r="N2796" s="10" t="s">
        <v>92</v>
      </c>
      <c r="O2796" s="19" t="s">
        <v>20851</v>
      </c>
      <c r="P2796" s="10" t="s">
        <v>3215</v>
      </c>
      <c r="Q2796" s="10" t="s">
        <v>126</v>
      </c>
      <c r="R2796" s="10"/>
      <c r="S2796" s="19" t="s">
        <v>20852</v>
      </c>
      <c r="T2796" s="10"/>
      <c r="U2796" s="10" t="s">
        <v>15298</v>
      </c>
      <c r="V2796" s="10" t="s">
        <v>15316</v>
      </c>
      <c r="W2796" s="10" t="s">
        <v>15276</v>
      </c>
      <c r="X2796" s="10" t="s">
        <v>15277</v>
      </c>
      <c r="Y2796" s="10" t="s">
        <v>15277</v>
      </c>
      <c r="Z2796" s="10" t="s">
        <v>99</v>
      </c>
      <c r="AA2796" s="10" t="s">
        <v>131</v>
      </c>
      <c r="AB2796" s="10" t="s">
        <v>15278</v>
      </c>
      <c r="AC2796" s="10" t="s">
        <v>15279</v>
      </c>
      <c r="AD2796" s="10" t="s">
        <v>165</v>
      </c>
      <c r="AE2796" s="10" t="s">
        <v>20853</v>
      </c>
      <c r="AF2796" s="15"/>
      <c r="AG2796" s="10"/>
      <c r="AH2796" s="10"/>
      <c r="AI2796" s="10"/>
      <c r="AJ2796" s="10"/>
      <c r="AK2796" s="10" t="s">
        <v>102</v>
      </c>
      <c r="AL2796" s="10" t="s">
        <v>1671</v>
      </c>
      <c r="AM2796" s="10"/>
      <c r="AN2796" s="10"/>
      <c r="AO2796" s="13" t="b">
        <v>0</v>
      </c>
      <c r="AP2796" s="22" t="s">
        <v>104</v>
      </c>
      <c r="AQ2796" s="10">
        <f ca="1">IFERROR(__xludf.DUMMYFUNCTION("""COMPUTED_VALUE"""),4768869)</f>
        <v>4768869</v>
      </c>
      <c r="AR2796" s="17">
        <v>3436</v>
      </c>
      <c r="AS2796" s="17">
        <v>2439</v>
      </c>
      <c r="AT2796" s="17">
        <v>60013.25</v>
      </c>
      <c r="AU2796" s="17">
        <v>7.85</v>
      </c>
      <c r="AV2796" s="17">
        <v>2</v>
      </c>
      <c r="AW2796" s="10" t="s">
        <v>105</v>
      </c>
      <c r="AX2796" s="17">
        <v>479</v>
      </c>
      <c r="AY2796" s="18">
        <v>24.605678556785566</v>
      </c>
      <c r="AZ2796" s="10" t="s">
        <v>117</v>
      </c>
      <c r="BA2796" s="20" t="b">
        <v>0</v>
      </c>
      <c r="BB2796" s="10"/>
      <c r="BC2796" s="17">
        <v>3436</v>
      </c>
      <c r="BD2796" s="17">
        <v>2439</v>
      </c>
      <c r="BE2796" s="17">
        <v>60013.25</v>
      </c>
      <c r="BF2796" s="17">
        <v>2</v>
      </c>
      <c r="BG2796" s="11">
        <f ca="1">IFERROR(__xludf.DUMMYFUNCTION("""COMPUTED_VALUE"""),45999.3472222222)</f>
        <v>45999.347222222197</v>
      </c>
      <c r="BH2796" s="17" t="s">
        <v>105</v>
      </c>
      <c r="BI2796" s="17"/>
      <c r="BJ2796" s="15"/>
      <c r="BK2796" s="15"/>
      <c r="BL2796" s="13" t="b">
        <v>0</v>
      </c>
      <c r="BM2796" s="10"/>
      <c r="BN2796" s="10" t="s">
        <v>118</v>
      </c>
      <c r="BO2796" s="11">
        <v>45987.609722222223</v>
      </c>
      <c r="BP2796" s="11">
        <v>45987.609780092593</v>
      </c>
      <c r="BQ2796" s="15">
        <v>45995.445162037038</v>
      </c>
      <c r="BR2796" s="15">
        <v>45997.864351851851</v>
      </c>
      <c r="BS2796" s="10" t="s">
        <v>118</v>
      </c>
      <c r="BT2796" s="10"/>
      <c r="BU2796" s="10"/>
      <c r="BV2796" s="10"/>
      <c r="BW2796" s="10"/>
      <c r="BX2796" s="10"/>
      <c r="BY2796" s="23"/>
      <c r="BZ2796" s="23"/>
      <c r="CA2796" s="19" t="s">
        <v>20854</v>
      </c>
      <c r="CB2796" s="23"/>
      <c r="CC2796" s="23"/>
      <c r="CD2796" s="19" t="s">
        <v>20855</v>
      </c>
      <c r="CE2796" s="23"/>
      <c r="CF2796" s="23"/>
      <c r="CG2796" s="23"/>
      <c r="CH2796" s="23"/>
      <c r="CI2796" s="23"/>
    </row>
    <row r="2797" spans="1:87" x14ac:dyDescent="0.3">
      <c r="A2797" s="9" t="s">
        <v>20856</v>
      </c>
      <c r="B2797" s="10" t="s">
        <v>20857</v>
      </c>
      <c r="C2797" s="11">
        <v>46000.34375</v>
      </c>
      <c r="D2797" s="12">
        <v>0.14583333333333334</v>
      </c>
      <c r="E2797" s="11">
        <v>46000.489583333336</v>
      </c>
      <c r="F2797" s="22" t="s">
        <v>15270</v>
      </c>
      <c r="G2797" s="13" t="b">
        <v>0</v>
      </c>
      <c r="H2797" s="22" t="s">
        <v>15271</v>
      </c>
      <c r="I2797" s="10" t="s">
        <v>3213</v>
      </c>
      <c r="J2797" s="13" t="b">
        <v>0</v>
      </c>
      <c r="K2797" s="13" t="b">
        <v>1</v>
      </c>
      <c r="L2797" s="10" t="s">
        <v>124</v>
      </c>
      <c r="M2797" s="10" t="s">
        <v>91</v>
      </c>
      <c r="N2797" s="10" t="s">
        <v>92</v>
      </c>
      <c r="O2797" s="19" t="s">
        <v>20858</v>
      </c>
      <c r="P2797" s="10" t="s">
        <v>3215</v>
      </c>
      <c r="Q2797" s="10" t="s">
        <v>126</v>
      </c>
      <c r="R2797" s="10"/>
      <c r="S2797" s="19" t="s">
        <v>20859</v>
      </c>
      <c r="T2797" s="10"/>
      <c r="U2797" s="10" t="s">
        <v>15326</v>
      </c>
      <c r="V2797" s="10" t="s">
        <v>15299</v>
      </c>
      <c r="W2797" s="10" t="s">
        <v>15276</v>
      </c>
      <c r="X2797" s="10" t="s">
        <v>15277</v>
      </c>
      <c r="Y2797" s="10" t="s">
        <v>15277</v>
      </c>
      <c r="Z2797" s="10" t="s">
        <v>99</v>
      </c>
      <c r="AA2797" s="10" t="s">
        <v>131</v>
      </c>
      <c r="AB2797" s="10" t="s">
        <v>15278</v>
      </c>
      <c r="AC2797" s="10" t="s">
        <v>15279</v>
      </c>
      <c r="AD2797" s="10" t="s">
        <v>165</v>
      </c>
      <c r="AE2797" s="10" t="s">
        <v>20860</v>
      </c>
      <c r="AF2797" s="15"/>
      <c r="AG2797" s="10"/>
      <c r="AH2797" s="10"/>
      <c r="AI2797" s="10"/>
      <c r="AJ2797" s="10"/>
      <c r="AK2797" s="10" t="s">
        <v>102</v>
      </c>
      <c r="AL2797" s="10" t="s">
        <v>1671</v>
      </c>
      <c r="AM2797" s="10"/>
      <c r="AN2797" s="10"/>
      <c r="AO2797" s="13" t="b">
        <v>0</v>
      </c>
      <c r="AP2797" s="22" t="s">
        <v>104</v>
      </c>
      <c r="AQ2797" s="10">
        <f ca="1">IFERROR(__xludf.DUMMYFUNCTION("""COMPUTED_VALUE"""),4769282)</f>
        <v>4769282</v>
      </c>
      <c r="AR2797" s="17">
        <v>3467</v>
      </c>
      <c r="AS2797" s="17">
        <v>2505</v>
      </c>
      <c r="AT2797" s="17">
        <v>61350</v>
      </c>
      <c r="AU2797" s="17">
        <v>8.25</v>
      </c>
      <c r="AV2797" s="17">
        <v>0</v>
      </c>
      <c r="AW2797" s="10" t="s">
        <v>105</v>
      </c>
      <c r="AX2797" s="17">
        <v>465</v>
      </c>
      <c r="AY2797" s="18">
        <v>24.491017964071855</v>
      </c>
      <c r="AZ2797" s="10" t="s">
        <v>117</v>
      </c>
      <c r="BA2797" s="20" t="b">
        <v>0</v>
      </c>
      <c r="BB2797" s="10"/>
      <c r="BC2797" s="17">
        <v>3467</v>
      </c>
      <c r="BD2797" s="17">
        <v>2505</v>
      </c>
      <c r="BE2797" s="17">
        <v>61350</v>
      </c>
      <c r="BF2797" s="17">
        <v>0</v>
      </c>
      <c r="BG2797" s="11">
        <f ca="1">IFERROR(__xludf.DUMMYFUNCTION("""COMPUTED_VALUE"""),46000.34375)</f>
        <v>46000.34375</v>
      </c>
      <c r="BH2797" s="17" t="s">
        <v>105</v>
      </c>
      <c r="BI2797" s="17"/>
      <c r="BJ2797" s="15"/>
      <c r="BK2797" s="15"/>
      <c r="BL2797" s="13" t="b">
        <v>0</v>
      </c>
      <c r="BM2797" s="10"/>
      <c r="BN2797" s="10" t="s">
        <v>118</v>
      </c>
      <c r="BO2797" s="11">
        <v>45987.61041666667</v>
      </c>
      <c r="BP2797" s="11">
        <v>45987.610636574071</v>
      </c>
      <c r="BQ2797" s="15">
        <v>45995.445381944446</v>
      </c>
      <c r="BR2797" s="15">
        <v>45998.389074074075</v>
      </c>
      <c r="BS2797" s="10" t="s">
        <v>118</v>
      </c>
      <c r="BT2797" s="10"/>
      <c r="BU2797" s="10"/>
      <c r="BV2797" s="10"/>
      <c r="BW2797" s="10"/>
      <c r="BX2797" s="10"/>
      <c r="BY2797" s="23"/>
      <c r="BZ2797" s="23"/>
      <c r="CA2797" s="19" t="s">
        <v>20861</v>
      </c>
      <c r="CB2797" s="23"/>
      <c r="CC2797" s="23"/>
      <c r="CD2797" s="19" t="s">
        <v>20862</v>
      </c>
      <c r="CE2797" s="23"/>
      <c r="CF2797" s="23"/>
      <c r="CG2797" s="23"/>
      <c r="CH2797" s="23"/>
      <c r="CI2797" s="23"/>
    </row>
    <row r="2798" spans="1:87" x14ac:dyDescent="0.3">
      <c r="A2798" s="9" t="s">
        <v>20863</v>
      </c>
      <c r="B2798" s="10" t="s">
        <v>20864</v>
      </c>
      <c r="C2798" s="11">
        <v>45995.114583333336</v>
      </c>
      <c r="D2798" s="12">
        <v>8.3333333333333329E-2</v>
      </c>
      <c r="E2798" s="11">
        <v>45995.197916666664</v>
      </c>
      <c r="F2798" s="22" t="s">
        <v>20865</v>
      </c>
      <c r="G2798" s="13" t="b">
        <v>0</v>
      </c>
      <c r="H2798" s="22" t="s">
        <v>9130</v>
      </c>
      <c r="I2798" s="10" t="s">
        <v>9131</v>
      </c>
      <c r="J2798" s="13" t="b">
        <v>0</v>
      </c>
      <c r="K2798" s="13" t="b">
        <v>1</v>
      </c>
      <c r="L2798" s="10" t="s">
        <v>124</v>
      </c>
      <c r="M2798" s="10" t="s">
        <v>91</v>
      </c>
      <c r="N2798" s="10" t="s">
        <v>265</v>
      </c>
      <c r="O2798" s="19" t="s">
        <v>20866</v>
      </c>
      <c r="P2798" s="10"/>
      <c r="Q2798" s="10" t="s">
        <v>94</v>
      </c>
      <c r="R2798" s="10"/>
      <c r="S2798" s="19" t="s">
        <v>20867</v>
      </c>
      <c r="T2798" s="10"/>
      <c r="U2798" s="10" t="s">
        <v>20868</v>
      </c>
      <c r="V2798" s="10" t="s">
        <v>3567</v>
      </c>
      <c r="W2798" s="10" t="s">
        <v>20869</v>
      </c>
      <c r="X2798" s="10" t="s">
        <v>130</v>
      </c>
      <c r="Y2798" s="10" t="s">
        <v>130</v>
      </c>
      <c r="Z2798" s="10" t="s">
        <v>99</v>
      </c>
      <c r="AA2798" s="10" t="s">
        <v>131</v>
      </c>
      <c r="AB2798" s="10" t="s">
        <v>20870</v>
      </c>
      <c r="AC2798" s="10" t="s">
        <v>20871</v>
      </c>
      <c r="AD2798" s="10" t="s">
        <v>20872</v>
      </c>
      <c r="AE2798" s="10" t="s">
        <v>20873</v>
      </c>
      <c r="AF2798" s="15"/>
      <c r="AG2798" s="10"/>
      <c r="AH2798" s="10"/>
      <c r="AI2798" s="10"/>
      <c r="AJ2798" s="10"/>
      <c r="AK2798" s="10" t="s">
        <v>102</v>
      </c>
      <c r="AL2798" s="10" t="s">
        <v>1773</v>
      </c>
      <c r="AM2798" s="10"/>
      <c r="AN2798" s="10"/>
      <c r="AO2798" s="13" t="b">
        <v>0</v>
      </c>
      <c r="AP2798" s="22" t="s">
        <v>104</v>
      </c>
      <c r="AQ2798" s="10">
        <f ca="1">IFERROR(__xludf.DUMMYFUNCTION("""COMPUTED_VALUE"""),4760851)</f>
        <v>4760851</v>
      </c>
      <c r="AR2798" s="17">
        <v>1091</v>
      </c>
      <c r="AS2798" s="17">
        <v>988</v>
      </c>
      <c r="AT2798" s="17">
        <v>5704.75</v>
      </c>
      <c r="AU2798" s="17">
        <v>1</v>
      </c>
      <c r="AV2798" s="17">
        <v>0</v>
      </c>
      <c r="AW2798" s="10" t="s">
        <v>105</v>
      </c>
      <c r="AX2798" s="17">
        <v>141</v>
      </c>
      <c r="AY2798" s="18">
        <v>5.7740384615384617</v>
      </c>
      <c r="AZ2798" s="10"/>
      <c r="BA2798" s="20" t="b">
        <v>0</v>
      </c>
      <c r="BB2798" s="10"/>
      <c r="BC2798" s="17">
        <v>1091</v>
      </c>
      <c r="BD2798" s="17">
        <v>988</v>
      </c>
      <c r="BE2798" s="17">
        <v>5704.75</v>
      </c>
      <c r="BF2798" s="17">
        <v>0</v>
      </c>
      <c r="BG2798" s="11">
        <f ca="1">IFERROR(__xludf.DUMMYFUNCTION("""COMPUTED_VALUE"""),45995.1145833333)</f>
        <v>45995.114583333299</v>
      </c>
      <c r="BH2798" s="17" t="s">
        <v>105</v>
      </c>
      <c r="BI2798" s="17"/>
      <c r="BJ2798" s="15"/>
      <c r="BK2798" s="15"/>
      <c r="BL2798" s="13" t="b">
        <v>0</v>
      </c>
      <c r="BM2798" s="10"/>
      <c r="BN2798" s="10" t="s">
        <v>149</v>
      </c>
      <c r="BO2798" s="11">
        <v>45988.684027777781</v>
      </c>
      <c r="BP2798" s="11">
        <v>45988.684282407405</v>
      </c>
      <c r="BQ2798" s="15">
        <v>45994.575509259259</v>
      </c>
      <c r="BR2798" s="15">
        <v>45994.700775462959</v>
      </c>
      <c r="BS2798" s="10" t="s">
        <v>149</v>
      </c>
      <c r="BT2798" s="10"/>
      <c r="BU2798" s="10"/>
      <c r="BV2798" s="10"/>
      <c r="BW2798" s="10"/>
      <c r="BX2798" s="10"/>
      <c r="BY2798" s="23"/>
      <c r="BZ2798" s="23"/>
      <c r="CA2798" s="19" t="s">
        <v>20874</v>
      </c>
      <c r="CB2798" s="23"/>
      <c r="CC2798" s="23"/>
      <c r="CD2798" s="23"/>
      <c r="CE2798" s="23"/>
      <c r="CF2798" s="23"/>
      <c r="CG2798" s="23"/>
      <c r="CH2798" s="23"/>
      <c r="CI2798" s="23"/>
    </row>
    <row r="2799" spans="1:87" x14ac:dyDescent="0.3">
      <c r="A2799" s="9" t="s">
        <v>20875</v>
      </c>
      <c r="B2799" s="10" t="s">
        <v>20876</v>
      </c>
      <c r="C2799" s="11">
        <v>45998.125</v>
      </c>
      <c r="D2799" s="12">
        <v>8.3333333333333329E-2</v>
      </c>
      <c r="E2799" s="11">
        <v>45998.208333333336</v>
      </c>
      <c r="F2799" s="22" t="s">
        <v>20865</v>
      </c>
      <c r="G2799" s="13" t="b">
        <v>0</v>
      </c>
      <c r="H2799" s="22" t="s">
        <v>9130</v>
      </c>
      <c r="I2799" s="10" t="s">
        <v>9131</v>
      </c>
      <c r="J2799" s="13" t="b">
        <v>0</v>
      </c>
      <c r="K2799" s="13" t="b">
        <v>1</v>
      </c>
      <c r="L2799" s="10" t="s">
        <v>124</v>
      </c>
      <c r="M2799" s="10" t="s">
        <v>91</v>
      </c>
      <c r="N2799" s="10" t="s">
        <v>265</v>
      </c>
      <c r="O2799" s="19" t="s">
        <v>20877</v>
      </c>
      <c r="P2799" s="10"/>
      <c r="Q2799" s="10" t="s">
        <v>94</v>
      </c>
      <c r="R2799" s="10"/>
      <c r="S2799" s="19" t="s">
        <v>20878</v>
      </c>
      <c r="T2799" s="10"/>
      <c r="U2799" s="10" t="s">
        <v>20879</v>
      </c>
      <c r="V2799" s="10" t="s">
        <v>3567</v>
      </c>
      <c r="W2799" s="10" t="s">
        <v>20869</v>
      </c>
      <c r="X2799" s="10" t="s">
        <v>130</v>
      </c>
      <c r="Y2799" s="10" t="s">
        <v>130</v>
      </c>
      <c r="Z2799" s="10" t="s">
        <v>99</v>
      </c>
      <c r="AA2799" s="10" t="s">
        <v>131</v>
      </c>
      <c r="AB2799" s="10" t="s">
        <v>20870</v>
      </c>
      <c r="AC2799" s="10" t="s">
        <v>20871</v>
      </c>
      <c r="AD2799" s="10" t="s">
        <v>20880</v>
      </c>
      <c r="AE2799" s="10" t="s">
        <v>20881</v>
      </c>
      <c r="AF2799" s="15"/>
      <c r="AG2799" s="10"/>
      <c r="AH2799" s="10"/>
      <c r="AI2799" s="10"/>
      <c r="AJ2799" s="10"/>
      <c r="AK2799" s="10" t="s">
        <v>102</v>
      </c>
      <c r="AL2799" s="10" t="s">
        <v>1876</v>
      </c>
      <c r="AM2799" s="10"/>
      <c r="AN2799" s="10"/>
      <c r="AO2799" s="13" t="b">
        <v>0</v>
      </c>
      <c r="AP2799" s="22" t="s">
        <v>104</v>
      </c>
      <c r="AQ2799" s="10">
        <f ca="1">IFERROR(__xludf.DUMMYFUNCTION("""COMPUTED_VALUE"""),4760849)</f>
        <v>4760849</v>
      </c>
      <c r="AR2799" s="17">
        <v>737</v>
      </c>
      <c r="AS2799" s="17">
        <v>671</v>
      </c>
      <c r="AT2799" s="17">
        <v>4841.25</v>
      </c>
      <c r="AU2799" s="17">
        <v>0.25</v>
      </c>
      <c r="AV2799" s="17">
        <v>0</v>
      </c>
      <c r="AW2799" s="10" t="s">
        <v>105</v>
      </c>
      <c r="AX2799" s="17">
        <v>163</v>
      </c>
      <c r="AY2799" s="18">
        <v>7.2149776453055141</v>
      </c>
      <c r="AZ2799" s="10"/>
      <c r="BA2799" s="20" t="b">
        <v>0</v>
      </c>
      <c r="BB2799" s="10"/>
      <c r="BC2799" s="17">
        <v>737</v>
      </c>
      <c r="BD2799" s="17">
        <v>671</v>
      </c>
      <c r="BE2799" s="17">
        <v>4841.25</v>
      </c>
      <c r="BF2799" s="17">
        <v>0</v>
      </c>
      <c r="BG2799" s="11">
        <f ca="1">IFERROR(__xludf.DUMMYFUNCTION("""COMPUTED_VALUE"""),45998.125)</f>
        <v>45998.125</v>
      </c>
      <c r="BH2799" s="17" t="s">
        <v>105</v>
      </c>
      <c r="BI2799" s="17"/>
      <c r="BJ2799" s="15"/>
      <c r="BK2799" s="15"/>
      <c r="BL2799" s="13" t="b">
        <v>0</v>
      </c>
      <c r="BM2799" s="10"/>
      <c r="BN2799" s="10" t="s">
        <v>137</v>
      </c>
      <c r="BO2799" s="11">
        <v>45988.685416666667</v>
      </c>
      <c r="BP2799" s="11">
        <v>45988.685474537036</v>
      </c>
      <c r="BQ2799" s="15">
        <v>45994.575694444444</v>
      </c>
      <c r="BR2799" s="15">
        <v>45994.607777777775</v>
      </c>
      <c r="BS2799" s="10" t="s">
        <v>137</v>
      </c>
      <c r="BT2799" s="10"/>
      <c r="BU2799" s="10"/>
      <c r="BV2799" s="10"/>
      <c r="BW2799" s="10"/>
      <c r="BX2799" s="10"/>
      <c r="BY2799" s="23"/>
      <c r="BZ2799" s="23"/>
      <c r="CA2799" s="19" t="s">
        <v>20882</v>
      </c>
      <c r="CB2799" s="23"/>
      <c r="CC2799" s="23"/>
      <c r="CD2799" s="23"/>
      <c r="CE2799" s="23"/>
      <c r="CF2799" s="23"/>
      <c r="CG2799" s="23"/>
      <c r="CH2799" s="23"/>
      <c r="CI2799" s="23"/>
    </row>
    <row r="2800" spans="1:87" x14ac:dyDescent="0.3">
      <c r="A2800" s="9" t="s">
        <v>20883</v>
      </c>
      <c r="B2800" s="10" t="s">
        <v>20884</v>
      </c>
      <c r="C2800" s="11">
        <v>45998.916666666664</v>
      </c>
      <c r="D2800" s="12">
        <v>8.3333333333333329E-2</v>
      </c>
      <c r="E2800" s="11">
        <v>45999</v>
      </c>
      <c r="F2800" s="22" t="s">
        <v>20865</v>
      </c>
      <c r="G2800" s="13" t="b">
        <v>0</v>
      </c>
      <c r="H2800" s="22" t="s">
        <v>9130</v>
      </c>
      <c r="I2800" s="10" t="s">
        <v>9131</v>
      </c>
      <c r="J2800" s="13" t="b">
        <v>0</v>
      </c>
      <c r="K2800" s="13" t="b">
        <v>1</v>
      </c>
      <c r="L2800" s="10" t="s">
        <v>124</v>
      </c>
      <c r="M2800" s="10" t="s">
        <v>91</v>
      </c>
      <c r="N2800" s="10" t="s">
        <v>265</v>
      </c>
      <c r="O2800" s="10"/>
      <c r="P2800" s="10"/>
      <c r="Q2800" s="10" t="s">
        <v>94</v>
      </c>
      <c r="R2800" s="10"/>
      <c r="S2800" s="10"/>
      <c r="T2800" s="10"/>
      <c r="U2800" s="10" t="s">
        <v>8547</v>
      </c>
      <c r="V2800" s="10" t="s">
        <v>20885</v>
      </c>
      <c r="W2800" s="10" t="s">
        <v>20869</v>
      </c>
      <c r="X2800" s="10" t="s">
        <v>130</v>
      </c>
      <c r="Y2800" s="10" t="s">
        <v>130</v>
      </c>
      <c r="Z2800" s="10" t="s">
        <v>99</v>
      </c>
      <c r="AA2800" s="10" t="s">
        <v>131</v>
      </c>
      <c r="AB2800" s="10" t="s">
        <v>20870</v>
      </c>
      <c r="AC2800" s="10" t="s">
        <v>20871</v>
      </c>
      <c r="AD2800" s="10" t="s">
        <v>20886</v>
      </c>
      <c r="AE2800" s="10" t="s">
        <v>20887</v>
      </c>
      <c r="AF2800" s="15"/>
      <c r="AG2800" s="10"/>
      <c r="AH2800" s="10"/>
      <c r="AI2800" s="10"/>
      <c r="AJ2800" s="10"/>
      <c r="AK2800" s="10" t="s">
        <v>256</v>
      </c>
      <c r="AL2800" s="10" t="s">
        <v>1876</v>
      </c>
      <c r="AM2800" s="10"/>
      <c r="AN2800" s="10"/>
      <c r="AO2800" s="13" t="b">
        <v>0</v>
      </c>
      <c r="AP2800" s="22" t="s">
        <v>104</v>
      </c>
      <c r="AQ2800" s="10"/>
      <c r="AR2800" s="17"/>
      <c r="AS2800" s="17"/>
      <c r="AT2800" s="17"/>
      <c r="AU2800" s="17"/>
      <c r="AV2800" s="17"/>
      <c r="AW2800" s="10"/>
      <c r="AX2800" s="17"/>
      <c r="AY2800" s="18" t="s">
        <v>257</v>
      </c>
      <c r="AZ2800" s="10"/>
      <c r="BA2800" s="20" t="b">
        <v>0</v>
      </c>
      <c r="BB2800" s="10"/>
      <c r="BC2800" s="17" t="s">
        <v>257</v>
      </c>
      <c r="BD2800" s="17" t="s">
        <v>257</v>
      </c>
      <c r="BE2800" s="17" t="s">
        <v>257</v>
      </c>
      <c r="BF2800" s="17" t="s">
        <v>257</v>
      </c>
      <c r="BG2800" s="11">
        <f ca="1">IFERROR(__xludf.DUMMYFUNCTION("""COMPUTED_VALUE"""),45998.9166666666)</f>
        <v>45998.916666666599</v>
      </c>
      <c r="BH2800" s="17"/>
      <c r="BI2800" s="17"/>
      <c r="BJ2800" s="15"/>
      <c r="BK2800" s="15"/>
      <c r="BL2800" s="13" t="b">
        <v>0</v>
      </c>
      <c r="BM2800" s="10"/>
      <c r="BN2800" s="10" t="s">
        <v>18456</v>
      </c>
      <c r="BO2800" s="11">
        <v>45988.686111111114</v>
      </c>
      <c r="BP2800" s="11">
        <v>45988.686180555553</v>
      </c>
      <c r="BQ2800" s="15"/>
      <c r="BR2800" s="15"/>
      <c r="BS2800" s="10"/>
      <c r="BT2800" s="10"/>
      <c r="BU2800" s="10"/>
      <c r="BV2800" s="10"/>
      <c r="BW2800" s="10"/>
      <c r="BX2800" s="10"/>
      <c r="BY2800" s="23"/>
      <c r="BZ2800" s="23"/>
      <c r="CA2800" s="23"/>
      <c r="CB2800" s="23"/>
      <c r="CC2800" s="23"/>
      <c r="CD2800" s="23"/>
      <c r="CE2800" s="23"/>
      <c r="CF2800" s="23"/>
      <c r="CG2800" s="23"/>
      <c r="CH2800" s="23"/>
      <c r="CI2800" s="23"/>
    </row>
    <row r="2801" spans="1:87" x14ac:dyDescent="0.3">
      <c r="A2801" s="9" t="s">
        <v>20888</v>
      </c>
      <c r="B2801" s="10" t="s">
        <v>20889</v>
      </c>
      <c r="C2801" s="11">
        <v>45996.0625</v>
      </c>
      <c r="D2801" s="12">
        <v>0.125</v>
      </c>
      <c r="E2801" s="11">
        <v>45996.1875</v>
      </c>
      <c r="F2801" s="22" t="s">
        <v>20890</v>
      </c>
      <c r="G2801" s="13" t="b">
        <v>0</v>
      </c>
      <c r="H2801" s="22" t="s">
        <v>20891</v>
      </c>
      <c r="I2801" s="10" t="s">
        <v>20892</v>
      </c>
      <c r="J2801" s="13" t="b">
        <v>0</v>
      </c>
      <c r="K2801" s="13" t="b">
        <v>1</v>
      </c>
      <c r="L2801" s="10" t="s">
        <v>124</v>
      </c>
      <c r="M2801" s="10" t="s">
        <v>91</v>
      </c>
      <c r="N2801" s="10" t="s">
        <v>92</v>
      </c>
      <c r="O2801" s="19" t="s">
        <v>20893</v>
      </c>
      <c r="P2801" s="10"/>
      <c r="Q2801" s="10" t="s">
        <v>126</v>
      </c>
      <c r="R2801" s="10"/>
      <c r="S2801" s="19" t="s">
        <v>20894</v>
      </c>
      <c r="T2801" s="10"/>
      <c r="U2801" s="10"/>
      <c r="V2801" s="10"/>
      <c r="W2801" s="10" t="s">
        <v>20895</v>
      </c>
      <c r="X2801" s="10" t="s">
        <v>20896</v>
      </c>
      <c r="Y2801" s="10" t="s">
        <v>20896</v>
      </c>
      <c r="Z2801" s="10" t="s">
        <v>99</v>
      </c>
      <c r="AA2801" s="10" t="s">
        <v>131</v>
      </c>
      <c r="AB2801" s="10" t="s">
        <v>20897</v>
      </c>
      <c r="AC2801" s="10" t="s">
        <v>20898</v>
      </c>
      <c r="AD2801" s="10" t="s">
        <v>165</v>
      </c>
      <c r="AE2801" s="10" t="s">
        <v>20899</v>
      </c>
      <c r="AF2801" s="15"/>
      <c r="AG2801" s="10"/>
      <c r="AH2801" s="10"/>
      <c r="AI2801" s="10"/>
      <c r="AJ2801" s="10"/>
      <c r="AK2801" s="10" t="s">
        <v>102</v>
      </c>
      <c r="AL2801" s="10"/>
      <c r="AM2801" s="10"/>
      <c r="AN2801" s="10"/>
      <c r="AO2801" s="13" t="b">
        <v>0</v>
      </c>
      <c r="AP2801" s="22" t="s">
        <v>104</v>
      </c>
      <c r="AQ2801" s="10">
        <f ca="1">IFERROR(__xludf.DUMMYFUNCTION("""COMPUTED_VALUE"""),4762158)</f>
        <v>4762158</v>
      </c>
      <c r="AR2801" s="17">
        <v>980</v>
      </c>
      <c r="AS2801" s="17">
        <v>961</v>
      </c>
      <c r="AT2801" s="17">
        <v>3512</v>
      </c>
      <c r="AU2801" s="17">
        <v>1.25</v>
      </c>
      <c r="AV2801" s="17">
        <v>0.5</v>
      </c>
      <c r="AW2801" s="10" t="s">
        <v>105</v>
      </c>
      <c r="AX2801" s="17">
        <v>91</v>
      </c>
      <c r="AY2801" s="18">
        <v>3.6545265348595213</v>
      </c>
      <c r="AZ2801" s="10"/>
      <c r="BA2801" s="20" t="b">
        <v>0</v>
      </c>
      <c r="BB2801" s="10"/>
      <c r="BC2801" s="17">
        <v>980</v>
      </c>
      <c r="BD2801" s="17">
        <v>961</v>
      </c>
      <c r="BE2801" s="17">
        <v>3512</v>
      </c>
      <c r="BF2801" s="17">
        <v>0.5</v>
      </c>
      <c r="BG2801" s="11">
        <f ca="1">IFERROR(__xludf.DUMMYFUNCTION("""COMPUTED_VALUE"""),45996.0625)</f>
        <v>45996.0625</v>
      </c>
      <c r="BH2801" s="17" t="s">
        <v>105</v>
      </c>
      <c r="BI2801" s="17"/>
      <c r="BJ2801" s="15"/>
      <c r="BK2801" s="15"/>
      <c r="BL2801" s="13" t="b">
        <v>0</v>
      </c>
      <c r="BM2801" s="10"/>
      <c r="BN2801" s="10" t="s">
        <v>149</v>
      </c>
      <c r="BO2801" s="11">
        <v>45989.861805555556</v>
      </c>
      <c r="BP2801" s="11">
        <v>45989.862326388888</v>
      </c>
      <c r="BQ2801" s="15">
        <v>45995.469548611109</v>
      </c>
      <c r="BR2801" s="15">
        <v>45995.579039351855</v>
      </c>
      <c r="BS2801" s="10" t="s">
        <v>149</v>
      </c>
      <c r="BT2801" s="10"/>
      <c r="BU2801" s="10"/>
      <c r="BV2801" s="10"/>
      <c r="BW2801" s="10"/>
      <c r="BX2801" s="10"/>
      <c r="BY2801" s="23"/>
      <c r="BZ2801" s="23"/>
      <c r="CA2801" s="19" t="s">
        <v>20900</v>
      </c>
      <c r="CB2801" s="23"/>
      <c r="CC2801" s="23"/>
      <c r="CD2801" s="19" t="s">
        <v>20901</v>
      </c>
      <c r="CE2801" s="23"/>
      <c r="CF2801" s="23"/>
      <c r="CG2801" s="23"/>
      <c r="CH2801" s="23"/>
      <c r="CI2801" s="23"/>
    </row>
    <row r="2802" spans="1:87" x14ac:dyDescent="0.3">
      <c r="A2802" s="9" t="s">
        <v>20902</v>
      </c>
      <c r="B2802" s="10" t="s">
        <v>20903</v>
      </c>
      <c r="C2802" s="11">
        <v>45997.0625</v>
      </c>
      <c r="D2802" s="12">
        <v>0.125</v>
      </c>
      <c r="E2802" s="11">
        <v>45997.1875</v>
      </c>
      <c r="F2802" s="22" t="s">
        <v>20890</v>
      </c>
      <c r="G2802" s="13" t="b">
        <v>0</v>
      </c>
      <c r="H2802" s="22" t="s">
        <v>20891</v>
      </c>
      <c r="I2802" s="10" t="s">
        <v>20892</v>
      </c>
      <c r="J2802" s="13" t="b">
        <v>0</v>
      </c>
      <c r="K2802" s="13" t="b">
        <v>1</v>
      </c>
      <c r="L2802" s="10" t="s">
        <v>124</v>
      </c>
      <c r="M2802" s="10" t="s">
        <v>91</v>
      </c>
      <c r="N2802" s="10" t="s">
        <v>92</v>
      </c>
      <c r="O2802" s="19" t="s">
        <v>20904</v>
      </c>
      <c r="P2802" s="10"/>
      <c r="Q2802" s="10" t="s">
        <v>126</v>
      </c>
      <c r="R2802" s="10"/>
      <c r="S2802" s="19" t="s">
        <v>20905</v>
      </c>
      <c r="T2802" s="10"/>
      <c r="U2802" s="10"/>
      <c r="V2802" s="10"/>
      <c r="W2802" s="10" t="s">
        <v>20895</v>
      </c>
      <c r="X2802" s="10" t="s">
        <v>20896</v>
      </c>
      <c r="Y2802" s="10" t="s">
        <v>20896</v>
      </c>
      <c r="Z2802" s="10" t="s">
        <v>99</v>
      </c>
      <c r="AA2802" s="10" t="s">
        <v>131</v>
      </c>
      <c r="AB2802" s="10" t="s">
        <v>20897</v>
      </c>
      <c r="AC2802" s="10" t="s">
        <v>20898</v>
      </c>
      <c r="AD2802" s="10" t="s">
        <v>165</v>
      </c>
      <c r="AE2802" s="10" t="s">
        <v>20906</v>
      </c>
      <c r="AF2802" s="15"/>
      <c r="AG2802" s="10"/>
      <c r="AH2802" s="10"/>
      <c r="AI2802" s="10"/>
      <c r="AJ2802" s="10"/>
      <c r="AK2802" s="10" t="s">
        <v>102</v>
      </c>
      <c r="AL2802" s="10"/>
      <c r="AM2802" s="10"/>
      <c r="AN2802" s="10"/>
      <c r="AO2802" s="13" t="b">
        <v>0</v>
      </c>
      <c r="AP2802" s="22" t="s">
        <v>104</v>
      </c>
      <c r="AQ2802" s="10">
        <f ca="1">IFERROR(__xludf.DUMMYFUNCTION("""COMPUTED_VALUE"""),4761987)</f>
        <v>4761987</v>
      </c>
      <c r="AR2802" s="17">
        <v>478</v>
      </c>
      <c r="AS2802" s="17">
        <v>460</v>
      </c>
      <c r="AT2802" s="17">
        <v>5935</v>
      </c>
      <c r="AU2802" s="17">
        <v>0.6</v>
      </c>
      <c r="AV2802" s="17">
        <v>0</v>
      </c>
      <c r="AW2802" s="10" t="s">
        <v>105</v>
      </c>
      <c r="AX2802" s="17">
        <v>48</v>
      </c>
      <c r="AY2802" s="18">
        <v>12.902173913043478</v>
      </c>
      <c r="AZ2802" s="10" t="s">
        <v>3998</v>
      </c>
      <c r="BA2802" s="20" t="b">
        <v>0</v>
      </c>
      <c r="BB2802" s="10"/>
      <c r="BC2802" s="17">
        <v>478</v>
      </c>
      <c r="BD2802" s="17">
        <v>460</v>
      </c>
      <c r="BE2802" s="17">
        <v>5935</v>
      </c>
      <c r="BF2802" s="17">
        <v>0</v>
      </c>
      <c r="BG2802" s="11">
        <f ca="1">IFERROR(__xludf.DUMMYFUNCTION("""COMPUTED_VALUE"""),45997.0625)</f>
        <v>45997.0625</v>
      </c>
      <c r="BH2802" s="17" t="s">
        <v>105</v>
      </c>
      <c r="BI2802" s="17"/>
      <c r="BJ2802" s="15"/>
      <c r="BK2802" s="15"/>
      <c r="BL2802" s="13" t="b">
        <v>0</v>
      </c>
      <c r="BM2802" s="10"/>
      <c r="BN2802" s="10" t="s">
        <v>149</v>
      </c>
      <c r="BO2802" s="11">
        <v>45989.863194444442</v>
      </c>
      <c r="BP2802" s="11">
        <v>45989.863252314812</v>
      </c>
      <c r="BQ2802" s="15">
        <v>45995.47016203704</v>
      </c>
      <c r="BR2802" s="15">
        <v>45995.579236111109</v>
      </c>
      <c r="BS2802" s="10" t="s">
        <v>149</v>
      </c>
      <c r="BT2802" s="10"/>
      <c r="BU2802" s="10"/>
      <c r="BV2802" s="10"/>
      <c r="BW2802" s="10"/>
      <c r="BX2802" s="10"/>
      <c r="BY2802" s="23"/>
      <c r="BZ2802" s="23"/>
      <c r="CA2802" s="19" t="s">
        <v>20907</v>
      </c>
      <c r="CB2802" s="23"/>
      <c r="CC2802" s="23"/>
      <c r="CD2802" s="19" t="s">
        <v>20908</v>
      </c>
      <c r="CE2802" s="23"/>
      <c r="CF2802" s="23"/>
      <c r="CG2802" s="23"/>
      <c r="CH2802" s="23"/>
      <c r="CI2802" s="23"/>
    </row>
    <row r="2803" spans="1:87" x14ac:dyDescent="0.3">
      <c r="A2803" s="9" t="s">
        <v>20909</v>
      </c>
      <c r="B2803" s="10" t="s">
        <v>20910</v>
      </c>
      <c r="C2803" s="11">
        <v>45998</v>
      </c>
      <c r="D2803" s="12">
        <v>0.20833333333333334</v>
      </c>
      <c r="E2803" s="11">
        <v>45998.208333333336</v>
      </c>
      <c r="F2803" s="22" t="s">
        <v>20890</v>
      </c>
      <c r="G2803" s="13" t="b">
        <v>0</v>
      </c>
      <c r="H2803" s="22" t="s">
        <v>20891</v>
      </c>
      <c r="I2803" s="10" t="s">
        <v>20892</v>
      </c>
      <c r="J2803" s="13" t="b">
        <v>0</v>
      </c>
      <c r="K2803" s="13" t="b">
        <v>1</v>
      </c>
      <c r="L2803" s="10" t="s">
        <v>124</v>
      </c>
      <c r="M2803" s="10" t="s">
        <v>91</v>
      </c>
      <c r="N2803" s="10" t="s">
        <v>92</v>
      </c>
      <c r="O2803" s="19" t="s">
        <v>20911</v>
      </c>
      <c r="P2803" s="10"/>
      <c r="Q2803" s="10" t="s">
        <v>126</v>
      </c>
      <c r="R2803" s="10"/>
      <c r="S2803" s="19" t="s">
        <v>20912</v>
      </c>
      <c r="T2803" s="10"/>
      <c r="U2803" s="10"/>
      <c r="V2803" s="10"/>
      <c r="W2803" s="10" t="s">
        <v>20895</v>
      </c>
      <c r="X2803" s="10" t="s">
        <v>20896</v>
      </c>
      <c r="Y2803" s="10" t="s">
        <v>20896</v>
      </c>
      <c r="Z2803" s="10" t="s">
        <v>99</v>
      </c>
      <c r="AA2803" s="10" t="s">
        <v>131</v>
      </c>
      <c r="AB2803" s="10" t="s">
        <v>20897</v>
      </c>
      <c r="AC2803" s="10" t="s">
        <v>20898</v>
      </c>
      <c r="AD2803" s="10" t="s">
        <v>165</v>
      </c>
      <c r="AE2803" s="10" t="s">
        <v>20913</v>
      </c>
      <c r="AF2803" s="15"/>
      <c r="AG2803" s="10"/>
      <c r="AH2803" s="10"/>
      <c r="AI2803" s="10"/>
      <c r="AJ2803" s="10"/>
      <c r="AK2803" s="10" t="s">
        <v>102</v>
      </c>
      <c r="AL2803" s="10"/>
      <c r="AM2803" s="10"/>
      <c r="AN2803" s="10"/>
      <c r="AO2803" s="13" t="b">
        <v>0</v>
      </c>
      <c r="AP2803" s="22" t="s">
        <v>104</v>
      </c>
      <c r="AQ2803" s="10">
        <f ca="1">IFERROR(__xludf.DUMMYFUNCTION("""COMPUTED_VALUE"""),4762159)</f>
        <v>4762159</v>
      </c>
      <c r="AR2803" s="17">
        <v>1062</v>
      </c>
      <c r="AS2803" s="17">
        <v>987</v>
      </c>
      <c r="AT2803" s="17">
        <v>9489</v>
      </c>
      <c r="AU2803" s="17">
        <v>0</v>
      </c>
      <c r="AV2803" s="17">
        <v>0</v>
      </c>
      <c r="AW2803" s="10" t="s">
        <v>105</v>
      </c>
      <c r="AX2803" s="17">
        <v>79</v>
      </c>
      <c r="AY2803" s="18">
        <v>9.6139817629179323</v>
      </c>
      <c r="AZ2803" s="10" t="s">
        <v>3998</v>
      </c>
      <c r="BA2803" s="20" t="b">
        <v>0</v>
      </c>
      <c r="BB2803" s="10"/>
      <c r="BC2803" s="17">
        <v>1062</v>
      </c>
      <c r="BD2803" s="17">
        <v>987</v>
      </c>
      <c r="BE2803" s="17">
        <v>9489</v>
      </c>
      <c r="BF2803" s="17">
        <v>0</v>
      </c>
      <c r="BG2803" s="11">
        <f ca="1">IFERROR(__xludf.DUMMYFUNCTION("""COMPUTED_VALUE"""),45998)</f>
        <v>45998</v>
      </c>
      <c r="BH2803" s="17" t="s">
        <v>105</v>
      </c>
      <c r="BI2803" s="17"/>
      <c r="BJ2803" s="15"/>
      <c r="BK2803" s="15"/>
      <c r="BL2803" s="13" t="b">
        <v>0</v>
      </c>
      <c r="BM2803" s="10"/>
      <c r="BN2803" s="10" t="s">
        <v>149</v>
      </c>
      <c r="BO2803" s="11">
        <v>45989.863194444442</v>
      </c>
      <c r="BP2803" s="11">
        <v>45989.863819444443</v>
      </c>
      <c r="BQ2803" s="15">
        <v>45995.470370370371</v>
      </c>
      <c r="BR2803" s="15">
        <v>45995.579745370371</v>
      </c>
      <c r="BS2803" s="10" t="s">
        <v>149</v>
      </c>
      <c r="BT2803" s="10"/>
      <c r="BU2803" s="10"/>
      <c r="BV2803" s="10"/>
      <c r="BW2803" s="10"/>
      <c r="BX2803" s="10"/>
      <c r="BY2803" s="23"/>
      <c r="BZ2803" s="23"/>
      <c r="CA2803" s="19" t="s">
        <v>20914</v>
      </c>
      <c r="CB2803" s="23"/>
      <c r="CC2803" s="23"/>
      <c r="CD2803" s="19" t="s">
        <v>20915</v>
      </c>
      <c r="CE2803" s="23"/>
      <c r="CF2803" s="23"/>
      <c r="CG2803" s="23"/>
      <c r="CH2803" s="23"/>
      <c r="CI2803" s="23"/>
    </row>
    <row r="2804" spans="1:87" x14ac:dyDescent="0.3">
      <c r="A2804" s="9" t="s">
        <v>20916</v>
      </c>
      <c r="B2804" s="10" t="s">
        <v>20917</v>
      </c>
      <c r="C2804" s="11">
        <v>45998.979166666664</v>
      </c>
      <c r="D2804" s="12">
        <v>0.20833333333333334</v>
      </c>
      <c r="E2804" s="11">
        <v>45999.1875</v>
      </c>
      <c r="F2804" s="22" t="s">
        <v>20890</v>
      </c>
      <c r="G2804" s="13" t="b">
        <v>0</v>
      </c>
      <c r="H2804" s="22" t="s">
        <v>20891</v>
      </c>
      <c r="I2804" s="10" t="s">
        <v>20892</v>
      </c>
      <c r="J2804" s="13" t="b">
        <v>0</v>
      </c>
      <c r="K2804" s="13" t="b">
        <v>1</v>
      </c>
      <c r="L2804" s="10" t="s">
        <v>124</v>
      </c>
      <c r="M2804" s="10" t="s">
        <v>91</v>
      </c>
      <c r="N2804" s="10" t="s">
        <v>92</v>
      </c>
      <c r="O2804" s="19" t="s">
        <v>20918</v>
      </c>
      <c r="P2804" s="10"/>
      <c r="Q2804" s="10" t="s">
        <v>126</v>
      </c>
      <c r="R2804" s="10"/>
      <c r="S2804" s="19" t="s">
        <v>20919</v>
      </c>
      <c r="T2804" s="10"/>
      <c r="U2804" s="10"/>
      <c r="V2804" s="10"/>
      <c r="W2804" s="10" t="s">
        <v>20895</v>
      </c>
      <c r="X2804" s="10" t="s">
        <v>20896</v>
      </c>
      <c r="Y2804" s="10" t="s">
        <v>20896</v>
      </c>
      <c r="Z2804" s="10" t="s">
        <v>99</v>
      </c>
      <c r="AA2804" s="10" t="s">
        <v>131</v>
      </c>
      <c r="AB2804" s="10" t="s">
        <v>20897</v>
      </c>
      <c r="AC2804" s="10" t="s">
        <v>20898</v>
      </c>
      <c r="AD2804" s="10" t="s">
        <v>165</v>
      </c>
      <c r="AE2804" s="10" t="s">
        <v>20920</v>
      </c>
      <c r="AF2804" s="15"/>
      <c r="AG2804" s="10"/>
      <c r="AH2804" s="10"/>
      <c r="AI2804" s="10"/>
      <c r="AJ2804" s="10"/>
      <c r="AK2804" s="10" t="s">
        <v>102</v>
      </c>
      <c r="AL2804" s="10"/>
      <c r="AM2804" s="10"/>
      <c r="AN2804" s="10"/>
      <c r="AO2804" s="13" t="b">
        <v>0</v>
      </c>
      <c r="AP2804" s="22" t="s">
        <v>104</v>
      </c>
      <c r="AQ2804" s="10">
        <f ca="1">IFERROR(__xludf.DUMMYFUNCTION("""COMPUTED_VALUE"""),4762160)</f>
        <v>4762160</v>
      </c>
      <c r="AR2804" s="17">
        <v>1001</v>
      </c>
      <c r="AS2804" s="17">
        <v>935</v>
      </c>
      <c r="AT2804" s="17">
        <v>11506</v>
      </c>
      <c r="AU2804" s="17">
        <v>1.1000000000000001</v>
      </c>
      <c r="AV2804" s="17">
        <v>1.1000000000000001</v>
      </c>
      <c r="AW2804" s="10" t="s">
        <v>105</v>
      </c>
      <c r="AX2804" s="17">
        <v>94</v>
      </c>
      <c r="AY2804" s="18">
        <v>12.305882352941177</v>
      </c>
      <c r="AZ2804" s="10" t="s">
        <v>3998</v>
      </c>
      <c r="BA2804" s="20" t="b">
        <v>0</v>
      </c>
      <c r="BB2804" s="10"/>
      <c r="BC2804" s="17">
        <v>1001</v>
      </c>
      <c r="BD2804" s="17">
        <v>935</v>
      </c>
      <c r="BE2804" s="17">
        <v>11506</v>
      </c>
      <c r="BF2804" s="17">
        <v>1.1000000000000001</v>
      </c>
      <c r="BG2804" s="11">
        <f ca="1">IFERROR(__xludf.DUMMYFUNCTION("""COMPUTED_VALUE"""),45998.9791666666)</f>
        <v>45998.979166666599</v>
      </c>
      <c r="BH2804" s="17" t="s">
        <v>105</v>
      </c>
      <c r="BI2804" s="17"/>
      <c r="BJ2804" s="15"/>
      <c r="BK2804" s="15"/>
      <c r="BL2804" s="13" t="b">
        <v>0</v>
      </c>
      <c r="BM2804" s="10"/>
      <c r="BN2804" s="10" t="s">
        <v>149</v>
      </c>
      <c r="BO2804" s="11">
        <v>45989.863888888889</v>
      </c>
      <c r="BP2804" s="11">
        <v>45989.864282407405</v>
      </c>
      <c r="BQ2804" s="15">
        <v>45995.470578703702</v>
      </c>
      <c r="BR2804" s="15">
        <v>45995.579942129632</v>
      </c>
      <c r="BS2804" s="10" t="s">
        <v>149</v>
      </c>
      <c r="BT2804" s="10"/>
      <c r="BU2804" s="10"/>
      <c r="BV2804" s="10"/>
      <c r="BW2804" s="10"/>
      <c r="BX2804" s="10"/>
      <c r="BY2804" s="23"/>
      <c r="BZ2804" s="23"/>
      <c r="CA2804" s="19" t="s">
        <v>20921</v>
      </c>
      <c r="CB2804" s="23"/>
      <c r="CC2804" s="23"/>
      <c r="CD2804" s="19" t="s">
        <v>20922</v>
      </c>
      <c r="CE2804" s="23"/>
      <c r="CF2804" s="23"/>
      <c r="CG2804" s="23"/>
      <c r="CH2804" s="23"/>
      <c r="CI2804" s="23"/>
    </row>
    <row r="2805" spans="1:87" x14ac:dyDescent="0.3">
      <c r="A2805" s="9" t="s">
        <v>20923</v>
      </c>
      <c r="B2805" s="10" t="s">
        <v>20924</v>
      </c>
      <c r="C2805" s="11">
        <v>45990.291666666664</v>
      </c>
      <c r="D2805" s="12">
        <v>0.25</v>
      </c>
      <c r="E2805" s="11">
        <v>45990.541666666664</v>
      </c>
      <c r="F2805" s="22" t="s">
        <v>19136</v>
      </c>
      <c r="G2805" s="13" t="b">
        <v>0</v>
      </c>
      <c r="H2805" s="22" t="s">
        <v>9017</v>
      </c>
      <c r="I2805" s="10" t="s">
        <v>212</v>
      </c>
      <c r="J2805" s="13" t="b">
        <v>1</v>
      </c>
      <c r="K2805" s="13" t="b">
        <v>0</v>
      </c>
      <c r="L2805" s="10" t="s">
        <v>124</v>
      </c>
      <c r="M2805" s="10" t="s">
        <v>91</v>
      </c>
      <c r="N2805" s="10" t="s">
        <v>92</v>
      </c>
      <c r="O2805" s="19" t="s">
        <v>20925</v>
      </c>
      <c r="P2805" s="10"/>
      <c r="Q2805" s="10" t="s">
        <v>94</v>
      </c>
      <c r="R2805" s="10"/>
      <c r="S2805" s="19" t="s">
        <v>19862</v>
      </c>
      <c r="T2805" s="10"/>
      <c r="U2805" s="10"/>
      <c r="V2805" s="10"/>
      <c r="W2805" s="10" t="s">
        <v>19139</v>
      </c>
      <c r="X2805" s="10" t="s">
        <v>130</v>
      </c>
      <c r="Y2805" s="10" t="s">
        <v>130</v>
      </c>
      <c r="Z2805" s="10" t="s">
        <v>99</v>
      </c>
      <c r="AA2805" s="10" t="s">
        <v>131</v>
      </c>
      <c r="AB2805" s="10" t="s">
        <v>19140</v>
      </c>
      <c r="AC2805" s="10" t="s">
        <v>9022</v>
      </c>
      <c r="AD2805" s="10" t="s">
        <v>165</v>
      </c>
      <c r="AE2805" s="10" t="s">
        <v>20926</v>
      </c>
      <c r="AF2805" s="15"/>
      <c r="AG2805" s="10"/>
      <c r="AH2805" s="10"/>
      <c r="AI2805" s="10"/>
      <c r="AJ2805" s="10"/>
      <c r="AK2805" s="10" t="s">
        <v>102</v>
      </c>
      <c r="AL2805" s="10" t="s">
        <v>19004</v>
      </c>
      <c r="AM2805" s="10"/>
      <c r="AN2805" s="10"/>
      <c r="AO2805" s="13" t="b">
        <v>0</v>
      </c>
      <c r="AP2805" s="22" t="s">
        <v>104</v>
      </c>
      <c r="AQ2805" s="10">
        <f ca="1">IFERROR(__xludf.DUMMYFUNCTION("""COMPUTED_VALUE"""),19995)</f>
        <v>19995</v>
      </c>
      <c r="AR2805" s="17">
        <v>0</v>
      </c>
      <c r="AS2805" s="17">
        <v>0</v>
      </c>
      <c r="AT2805" s="17">
        <v>0</v>
      </c>
      <c r="AU2805" s="17">
        <v>0</v>
      </c>
      <c r="AV2805" s="17">
        <v>0</v>
      </c>
      <c r="AW2805" s="10" t="s">
        <v>105</v>
      </c>
      <c r="AX2805" s="17"/>
      <c r="AY2805" s="18">
        <v>13.15983026874116</v>
      </c>
      <c r="AZ2805" s="10"/>
      <c r="BA2805" s="20" t="b">
        <v>1</v>
      </c>
      <c r="BB2805" s="10"/>
      <c r="BC2805" s="17">
        <v>1070</v>
      </c>
      <c r="BD2805" s="17">
        <v>707</v>
      </c>
      <c r="BE2805" s="17">
        <v>9304</v>
      </c>
      <c r="BF2805" s="17">
        <v>0</v>
      </c>
      <c r="BG2805" s="11">
        <f ca="1">IFERROR(__xludf.DUMMYFUNCTION("""COMPUTED_VALUE"""),45990.2916666666)</f>
        <v>45990.291666666599</v>
      </c>
      <c r="BH2805" s="17" t="s">
        <v>105</v>
      </c>
      <c r="BI2805" s="17"/>
      <c r="BJ2805" s="15"/>
      <c r="BK2805" s="15"/>
      <c r="BL2805" s="13" t="b">
        <v>0</v>
      </c>
      <c r="BM2805" s="10"/>
      <c r="BN2805" s="10" t="s">
        <v>5685</v>
      </c>
      <c r="BO2805" s="11">
        <v>45989.897222222222</v>
      </c>
      <c r="BP2805" s="11">
        <v>45989.897627314815</v>
      </c>
      <c r="BQ2805" s="15">
        <v>46003.597002314818</v>
      </c>
      <c r="BR2805" s="15">
        <v>45989.91505787037</v>
      </c>
      <c r="BS2805" s="10"/>
      <c r="BT2805" s="10"/>
      <c r="BU2805" s="10"/>
      <c r="BV2805" s="10"/>
      <c r="BW2805" s="10"/>
      <c r="BX2805" s="10"/>
      <c r="BY2805" s="23"/>
      <c r="BZ2805" s="23"/>
      <c r="CA2805" s="19" t="s">
        <v>19142</v>
      </c>
      <c r="CB2805" s="23"/>
      <c r="CC2805" s="23"/>
      <c r="CD2805" s="23"/>
      <c r="CE2805" s="23"/>
      <c r="CF2805" s="23"/>
      <c r="CG2805" s="23"/>
      <c r="CH2805" s="23"/>
      <c r="CI2805" s="23"/>
    </row>
    <row r="2806" spans="1:87" x14ac:dyDescent="0.3">
      <c r="A2806" s="9" t="s">
        <v>20927</v>
      </c>
      <c r="B2806" s="10" t="s">
        <v>20928</v>
      </c>
      <c r="C2806" s="11">
        <v>45990.291666666664</v>
      </c>
      <c r="D2806" s="12">
        <v>4.8611111111111112E-2</v>
      </c>
      <c r="E2806" s="11">
        <v>45990.340277777781</v>
      </c>
      <c r="F2806" s="22" t="s">
        <v>19136</v>
      </c>
      <c r="G2806" s="13" t="b">
        <v>0</v>
      </c>
      <c r="H2806" s="22" t="s">
        <v>9017</v>
      </c>
      <c r="I2806" s="10" t="s">
        <v>212</v>
      </c>
      <c r="J2806" s="13" t="b">
        <v>1</v>
      </c>
      <c r="K2806" s="13" t="b">
        <v>0</v>
      </c>
      <c r="L2806" s="10" t="s">
        <v>124</v>
      </c>
      <c r="M2806" s="10" t="s">
        <v>91</v>
      </c>
      <c r="N2806" s="10" t="s">
        <v>92</v>
      </c>
      <c r="O2806" s="19" t="s">
        <v>20929</v>
      </c>
      <c r="P2806" s="10"/>
      <c r="Q2806" s="10" t="s">
        <v>94</v>
      </c>
      <c r="R2806" s="10"/>
      <c r="S2806" s="10"/>
      <c r="T2806" s="10"/>
      <c r="U2806" s="10"/>
      <c r="V2806" s="10"/>
      <c r="W2806" s="10" t="s">
        <v>19139</v>
      </c>
      <c r="X2806" s="10" t="s">
        <v>130</v>
      </c>
      <c r="Y2806" s="10" t="s">
        <v>130</v>
      </c>
      <c r="Z2806" s="10" t="s">
        <v>99</v>
      </c>
      <c r="AA2806" s="10" t="s">
        <v>131</v>
      </c>
      <c r="AB2806" s="10" t="s">
        <v>19140</v>
      </c>
      <c r="AC2806" s="10" t="s">
        <v>9022</v>
      </c>
      <c r="AD2806" s="10" t="s">
        <v>165</v>
      </c>
      <c r="AE2806" s="10" t="s">
        <v>20930</v>
      </c>
      <c r="AF2806" s="15"/>
      <c r="AG2806" s="10"/>
      <c r="AH2806" s="10"/>
      <c r="AI2806" s="10"/>
      <c r="AJ2806" s="10"/>
      <c r="AK2806" s="10" t="s">
        <v>102</v>
      </c>
      <c r="AL2806" s="10" t="s">
        <v>7897</v>
      </c>
      <c r="AM2806" s="10"/>
      <c r="AN2806" s="10"/>
      <c r="AO2806" s="13" t="b">
        <v>0</v>
      </c>
      <c r="AP2806" s="22" t="s">
        <v>104</v>
      </c>
      <c r="AQ2806" s="10">
        <f ca="1">IFERROR(__xludf.DUMMYFUNCTION("""COMPUTED_VALUE"""),4743065)</f>
        <v>4743065</v>
      </c>
      <c r="AR2806" s="17">
        <v>265</v>
      </c>
      <c r="AS2806" s="17">
        <v>172</v>
      </c>
      <c r="AT2806" s="17">
        <v>3381.75</v>
      </c>
      <c r="AU2806" s="17">
        <v>0</v>
      </c>
      <c r="AV2806" s="17">
        <v>0</v>
      </c>
      <c r="AW2806" s="10" t="s">
        <v>105</v>
      </c>
      <c r="AX2806" s="17">
        <v>61</v>
      </c>
      <c r="AY2806" s="18">
        <v>19.661337209302324</v>
      </c>
      <c r="AZ2806" s="10"/>
      <c r="BA2806" s="20" t="b">
        <v>0</v>
      </c>
      <c r="BB2806" s="10" t="s">
        <v>20923</v>
      </c>
      <c r="BC2806" s="17">
        <v>265</v>
      </c>
      <c r="BD2806" s="17">
        <v>172</v>
      </c>
      <c r="BE2806" s="17">
        <v>3381.75</v>
      </c>
      <c r="BF2806" s="17">
        <v>0</v>
      </c>
      <c r="BG2806" s="11">
        <f ca="1">IFERROR(__xludf.DUMMYFUNCTION("""COMPUTED_VALUE"""),45990.2916666666)</f>
        <v>45990.291666666599</v>
      </c>
      <c r="BH2806" s="17" t="s">
        <v>105</v>
      </c>
      <c r="BI2806" s="17"/>
      <c r="BJ2806" s="15"/>
      <c r="BK2806" s="15"/>
      <c r="BL2806" s="13" t="b">
        <v>0</v>
      </c>
      <c r="BM2806" s="10"/>
      <c r="BN2806" s="10" t="s">
        <v>157</v>
      </c>
      <c r="BO2806" s="11">
        <v>45989.9</v>
      </c>
      <c r="BP2806" s="11">
        <v>45989.900740740741</v>
      </c>
      <c r="BQ2806" s="15"/>
      <c r="BR2806" s="15">
        <v>45989.921365740738</v>
      </c>
      <c r="BS2806" s="10" t="s">
        <v>157</v>
      </c>
      <c r="BT2806" s="10"/>
      <c r="BU2806" s="10"/>
      <c r="BV2806" s="10"/>
      <c r="BW2806" s="10"/>
      <c r="BX2806" s="10"/>
      <c r="BY2806" s="23"/>
      <c r="BZ2806" s="23"/>
      <c r="CA2806" s="23"/>
      <c r="CB2806" s="23"/>
      <c r="CC2806" s="23"/>
      <c r="CD2806" s="23"/>
      <c r="CE2806" s="23"/>
      <c r="CF2806" s="23"/>
      <c r="CG2806" s="23"/>
      <c r="CH2806" s="23"/>
      <c r="CI2806" s="23"/>
    </row>
    <row r="2807" spans="1:87" x14ac:dyDescent="0.3">
      <c r="A2807" s="9" t="s">
        <v>20931</v>
      </c>
      <c r="B2807" s="10" t="s">
        <v>20932</v>
      </c>
      <c r="C2807" s="11">
        <v>45990.340277777781</v>
      </c>
      <c r="D2807" s="12">
        <v>4.8611111111111112E-2</v>
      </c>
      <c r="E2807" s="11">
        <v>45990.388888888891</v>
      </c>
      <c r="F2807" s="22" t="s">
        <v>19136</v>
      </c>
      <c r="G2807" s="13" t="b">
        <v>0</v>
      </c>
      <c r="H2807" s="22" t="s">
        <v>9017</v>
      </c>
      <c r="I2807" s="10" t="s">
        <v>212</v>
      </c>
      <c r="J2807" s="13" t="b">
        <v>1</v>
      </c>
      <c r="K2807" s="13" t="b">
        <v>0</v>
      </c>
      <c r="L2807" s="10" t="s">
        <v>124</v>
      </c>
      <c r="M2807" s="10" t="s">
        <v>91</v>
      </c>
      <c r="N2807" s="10" t="s">
        <v>92</v>
      </c>
      <c r="O2807" s="19" t="s">
        <v>20933</v>
      </c>
      <c r="P2807" s="10"/>
      <c r="Q2807" s="10" t="s">
        <v>94</v>
      </c>
      <c r="R2807" s="10"/>
      <c r="S2807" s="10"/>
      <c r="T2807" s="10"/>
      <c r="U2807" s="10"/>
      <c r="V2807" s="10"/>
      <c r="W2807" s="10" t="s">
        <v>19139</v>
      </c>
      <c r="X2807" s="10" t="s">
        <v>130</v>
      </c>
      <c r="Y2807" s="10" t="s">
        <v>130</v>
      </c>
      <c r="Z2807" s="10" t="s">
        <v>99</v>
      </c>
      <c r="AA2807" s="10" t="s">
        <v>131</v>
      </c>
      <c r="AB2807" s="10" t="s">
        <v>19140</v>
      </c>
      <c r="AC2807" s="10" t="s">
        <v>9022</v>
      </c>
      <c r="AD2807" s="10" t="s">
        <v>165</v>
      </c>
      <c r="AE2807" s="10" t="s">
        <v>20934</v>
      </c>
      <c r="AF2807" s="15"/>
      <c r="AG2807" s="10"/>
      <c r="AH2807" s="10"/>
      <c r="AI2807" s="10"/>
      <c r="AJ2807" s="10"/>
      <c r="AK2807" s="10" t="s">
        <v>102</v>
      </c>
      <c r="AL2807" s="10" t="s">
        <v>7897</v>
      </c>
      <c r="AM2807" s="10"/>
      <c r="AN2807" s="10"/>
      <c r="AO2807" s="13" t="b">
        <v>0</v>
      </c>
      <c r="AP2807" s="22" t="s">
        <v>104</v>
      </c>
      <c r="AQ2807" s="10">
        <f ca="1">IFERROR(__xludf.DUMMYFUNCTION("""COMPUTED_VALUE"""),4743066)</f>
        <v>4743066</v>
      </c>
      <c r="AR2807" s="17">
        <v>232</v>
      </c>
      <c r="AS2807" s="17">
        <v>148</v>
      </c>
      <c r="AT2807" s="17">
        <v>2349.25</v>
      </c>
      <c r="AU2807" s="17">
        <v>0</v>
      </c>
      <c r="AV2807" s="17">
        <v>0</v>
      </c>
      <c r="AW2807" s="10" t="s">
        <v>105</v>
      </c>
      <c r="AX2807" s="17">
        <v>66</v>
      </c>
      <c r="AY2807" s="18">
        <v>15.873310810810811</v>
      </c>
      <c r="AZ2807" s="10"/>
      <c r="BA2807" s="20" t="b">
        <v>0</v>
      </c>
      <c r="BB2807" s="10" t="s">
        <v>20923</v>
      </c>
      <c r="BC2807" s="17">
        <v>232</v>
      </c>
      <c r="BD2807" s="17">
        <v>148</v>
      </c>
      <c r="BE2807" s="17">
        <v>2349.25</v>
      </c>
      <c r="BF2807" s="17">
        <v>0</v>
      </c>
      <c r="BG2807" s="11">
        <f ca="1">IFERROR(__xludf.DUMMYFUNCTION("""COMPUTED_VALUE"""),45990.3402777777)</f>
        <v>45990.340277777701</v>
      </c>
      <c r="BH2807" s="17" t="s">
        <v>105</v>
      </c>
      <c r="BI2807" s="17"/>
      <c r="BJ2807" s="15"/>
      <c r="BK2807" s="15"/>
      <c r="BL2807" s="13" t="b">
        <v>0</v>
      </c>
      <c r="BM2807" s="10"/>
      <c r="BN2807" s="10" t="s">
        <v>157</v>
      </c>
      <c r="BO2807" s="11">
        <v>45989.900694444441</v>
      </c>
      <c r="BP2807" s="11">
        <v>45989.901087962964</v>
      </c>
      <c r="BQ2807" s="15"/>
      <c r="BR2807" s="15">
        <v>45989.92150462963</v>
      </c>
      <c r="BS2807" s="10" t="s">
        <v>157</v>
      </c>
      <c r="BT2807" s="10"/>
      <c r="BU2807" s="10"/>
      <c r="BV2807" s="10"/>
      <c r="BW2807" s="10"/>
      <c r="BX2807" s="10"/>
      <c r="BY2807" s="23"/>
      <c r="BZ2807" s="23"/>
      <c r="CA2807" s="23"/>
      <c r="CB2807" s="23"/>
      <c r="CC2807" s="23"/>
      <c r="CD2807" s="23"/>
      <c r="CE2807" s="23"/>
      <c r="CF2807" s="23"/>
      <c r="CG2807" s="23"/>
      <c r="CH2807" s="23"/>
      <c r="CI2807" s="23"/>
    </row>
    <row r="2808" spans="1:87" x14ac:dyDescent="0.3">
      <c r="A2808" s="9" t="s">
        <v>20935</v>
      </c>
      <c r="B2808" s="10" t="s">
        <v>20936</v>
      </c>
      <c r="C2808" s="11">
        <v>45990.388888888891</v>
      </c>
      <c r="D2808" s="12">
        <v>4.8611111111111112E-2</v>
      </c>
      <c r="E2808" s="11">
        <v>45990.4375</v>
      </c>
      <c r="F2808" s="22" t="s">
        <v>19136</v>
      </c>
      <c r="G2808" s="13" t="b">
        <v>0</v>
      </c>
      <c r="H2808" s="22" t="s">
        <v>9017</v>
      </c>
      <c r="I2808" s="10" t="s">
        <v>212</v>
      </c>
      <c r="J2808" s="13" t="b">
        <v>1</v>
      </c>
      <c r="K2808" s="13" t="b">
        <v>0</v>
      </c>
      <c r="L2808" s="10" t="s">
        <v>124</v>
      </c>
      <c r="M2808" s="10" t="s">
        <v>91</v>
      </c>
      <c r="N2808" s="10" t="s">
        <v>92</v>
      </c>
      <c r="O2808" s="19" t="s">
        <v>20937</v>
      </c>
      <c r="P2808" s="10"/>
      <c r="Q2808" s="10" t="s">
        <v>94</v>
      </c>
      <c r="R2808" s="10"/>
      <c r="S2808" s="10"/>
      <c r="T2808" s="10"/>
      <c r="U2808" s="10"/>
      <c r="V2808" s="10"/>
      <c r="W2808" s="10" t="s">
        <v>19139</v>
      </c>
      <c r="X2808" s="10" t="s">
        <v>130</v>
      </c>
      <c r="Y2808" s="10" t="s">
        <v>130</v>
      </c>
      <c r="Z2808" s="10" t="s">
        <v>99</v>
      </c>
      <c r="AA2808" s="10" t="s">
        <v>131</v>
      </c>
      <c r="AB2808" s="10" t="s">
        <v>19140</v>
      </c>
      <c r="AC2808" s="10" t="s">
        <v>9022</v>
      </c>
      <c r="AD2808" s="10" t="s">
        <v>165</v>
      </c>
      <c r="AE2808" s="10" t="s">
        <v>20938</v>
      </c>
      <c r="AF2808" s="15"/>
      <c r="AG2808" s="10"/>
      <c r="AH2808" s="10"/>
      <c r="AI2808" s="10"/>
      <c r="AJ2808" s="10"/>
      <c r="AK2808" s="10" t="s">
        <v>102</v>
      </c>
      <c r="AL2808" s="10" t="s">
        <v>7897</v>
      </c>
      <c r="AM2808" s="10"/>
      <c r="AN2808" s="10"/>
      <c r="AO2808" s="13" t="b">
        <v>0</v>
      </c>
      <c r="AP2808" s="22" t="s">
        <v>104</v>
      </c>
      <c r="AQ2808" s="10">
        <f ca="1">IFERROR(__xludf.DUMMYFUNCTION("""COMPUTED_VALUE"""),4743067)</f>
        <v>4743067</v>
      </c>
      <c r="AR2808" s="17">
        <v>175</v>
      </c>
      <c r="AS2808" s="17">
        <v>119</v>
      </c>
      <c r="AT2808" s="17">
        <v>947.5</v>
      </c>
      <c r="AU2808" s="17">
        <v>0</v>
      </c>
      <c r="AV2808" s="17">
        <v>0</v>
      </c>
      <c r="AW2808" s="10" t="s">
        <v>105</v>
      </c>
      <c r="AX2808" s="17">
        <v>55</v>
      </c>
      <c r="AY2808" s="18">
        <v>7.96218487394958</v>
      </c>
      <c r="AZ2808" s="10"/>
      <c r="BA2808" s="20" t="b">
        <v>0</v>
      </c>
      <c r="BB2808" s="10" t="s">
        <v>20923</v>
      </c>
      <c r="BC2808" s="17">
        <v>175</v>
      </c>
      <c r="BD2808" s="17">
        <v>119</v>
      </c>
      <c r="BE2808" s="17">
        <v>947.5</v>
      </c>
      <c r="BF2808" s="17">
        <v>0</v>
      </c>
      <c r="BG2808" s="11">
        <f ca="1">IFERROR(__xludf.DUMMYFUNCTION("""COMPUTED_VALUE"""),45990.3888888888)</f>
        <v>45990.388888888803</v>
      </c>
      <c r="BH2808" s="17" t="s">
        <v>105</v>
      </c>
      <c r="BI2808" s="17"/>
      <c r="BJ2808" s="15"/>
      <c r="BK2808" s="15"/>
      <c r="BL2808" s="13" t="b">
        <v>0</v>
      </c>
      <c r="BM2808" s="10"/>
      <c r="BN2808" s="10" t="s">
        <v>157</v>
      </c>
      <c r="BO2808" s="11">
        <v>45989.900694444441</v>
      </c>
      <c r="BP2808" s="11">
        <v>45989.901458333334</v>
      </c>
      <c r="BQ2808" s="15"/>
      <c r="BR2808" s="15">
        <v>45989.921643518515</v>
      </c>
      <c r="BS2808" s="10" t="s">
        <v>157</v>
      </c>
      <c r="BT2808" s="10"/>
      <c r="BU2808" s="10"/>
      <c r="BV2808" s="10"/>
      <c r="BW2808" s="10"/>
      <c r="BX2808" s="10"/>
      <c r="BY2808" s="23"/>
      <c r="BZ2808" s="23"/>
      <c r="CA2808" s="23"/>
      <c r="CB2808" s="23"/>
      <c r="CC2808" s="23"/>
      <c r="CD2808" s="23"/>
      <c r="CE2808" s="23"/>
      <c r="CF2808" s="23"/>
      <c r="CG2808" s="23"/>
      <c r="CH2808" s="23"/>
      <c r="CI2808" s="23"/>
    </row>
    <row r="2809" spans="1:87" x14ac:dyDescent="0.3">
      <c r="A2809" s="9" t="s">
        <v>20939</v>
      </c>
      <c r="B2809" s="10" t="s">
        <v>20940</v>
      </c>
      <c r="C2809" s="11">
        <v>45990.4375</v>
      </c>
      <c r="D2809" s="12">
        <v>4.8611111111111112E-2</v>
      </c>
      <c r="E2809" s="11">
        <v>45990.486111111109</v>
      </c>
      <c r="F2809" s="22" t="s">
        <v>19136</v>
      </c>
      <c r="G2809" s="13" t="b">
        <v>0</v>
      </c>
      <c r="H2809" s="22" t="s">
        <v>9017</v>
      </c>
      <c r="I2809" s="10" t="s">
        <v>212</v>
      </c>
      <c r="J2809" s="13" t="b">
        <v>1</v>
      </c>
      <c r="K2809" s="13" t="b">
        <v>0</v>
      </c>
      <c r="L2809" s="10" t="s">
        <v>124</v>
      </c>
      <c r="M2809" s="10" t="s">
        <v>91</v>
      </c>
      <c r="N2809" s="10" t="s">
        <v>92</v>
      </c>
      <c r="O2809" s="19" t="s">
        <v>20941</v>
      </c>
      <c r="P2809" s="10"/>
      <c r="Q2809" s="10" t="s">
        <v>94</v>
      </c>
      <c r="R2809" s="10"/>
      <c r="S2809" s="10"/>
      <c r="T2809" s="10"/>
      <c r="U2809" s="10"/>
      <c r="V2809" s="10"/>
      <c r="W2809" s="10" t="s">
        <v>19139</v>
      </c>
      <c r="X2809" s="10" t="s">
        <v>130</v>
      </c>
      <c r="Y2809" s="10" t="s">
        <v>130</v>
      </c>
      <c r="Z2809" s="10" t="s">
        <v>99</v>
      </c>
      <c r="AA2809" s="10" t="s">
        <v>131</v>
      </c>
      <c r="AB2809" s="10" t="s">
        <v>19140</v>
      </c>
      <c r="AC2809" s="10" t="s">
        <v>9022</v>
      </c>
      <c r="AD2809" s="10" t="s">
        <v>165</v>
      </c>
      <c r="AE2809" s="10" t="s">
        <v>20942</v>
      </c>
      <c r="AF2809" s="15"/>
      <c r="AG2809" s="10"/>
      <c r="AH2809" s="10"/>
      <c r="AI2809" s="10"/>
      <c r="AJ2809" s="10"/>
      <c r="AK2809" s="10" t="s">
        <v>102</v>
      </c>
      <c r="AL2809" s="10" t="s">
        <v>7897</v>
      </c>
      <c r="AM2809" s="10"/>
      <c r="AN2809" s="10"/>
      <c r="AO2809" s="13" t="b">
        <v>0</v>
      </c>
      <c r="AP2809" s="22" t="s">
        <v>104</v>
      </c>
      <c r="AQ2809" s="10">
        <f ca="1">IFERROR(__xludf.DUMMYFUNCTION("""COMPUTED_VALUE"""),4743068)</f>
        <v>4743068</v>
      </c>
      <c r="AR2809" s="17">
        <v>230</v>
      </c>
      <c r="AS2809" s="17">
        <v>151</v>
      </c>
      <c r="AT2809" s="17">
        <v>1407.5</v>
      </c>
      <c r="AU2809" s="17">
        <v>0</v>
      </c>
      <c r="AV2809" s="17">
        <v>0</v>
      </c>
      <c r="AW2809" s="10" t="s">
        <v>105</v>
      </c>
      <c r="AX2809" s="17">
        <v>45</v>
      </c>
      <c r="AY2809" s="18">
        <v>9.3211920529801322</v>
      </c>
      <c r="AZ2809" s="10"/>
      <c r="BA2809" s="20" t="b">
        <v>0</v>
      </c>
      <c r="BB2809" s="10" t="s">
        <v>20923</v>
      </c>
      <c r="BC2809" s="17">
        <v>230</v>
      </c>
      <c r="BD2809" s="17">
        <v>151</v>
      </c>
      <c r="BE2809" s="17">
        <v>1407.5</v>
      </c>
      <c r="BF2809" s="17">
        <v>0</v>
      </c>
      <c r="BG2809" s="11">
        <f ca="1">IFERROR(__xludf.DUMMYFUNCTION("""COMPUTED_VALUE"""),45990.4375)</f>
        <v>45990.4375</v>
      </c>
      <c r="BH2809" s="17" t="s">
        <v>105</v>
      </c>
      <c r="BI2809" s="17"/>
      <c r="BJ2809" s="15"/>
      <c r="BK2809" s="15"/>
      <c r="BL2809" s="13" t="b">
        <v>0</v>
      </c>
      <c r="BM2809" s="10"/>
      <c r="BN2809" s="10" t="s">
        <v>157</v>
      </c>
      <c r="BO2809" s="11">
        <v>45989.901388888888</v>
      </c>
      <c r="BP2809" s="11">
        <v>45989.901886574073</v>
      </c>
      <c r="BQ2809" s="15"/>
      <c r="BR2809" s="15">
        <v>45989.921840277777</v>
      </c>
      <c r="BS2809" s="10" t="s">
        <v>157</v>
      </c>
      <c r="BT2809" s="10"/>
      <c r="BU2809" s="10"/>
      <c r="BV2809" s="10"/>
      <c r="BW2809" s="10"/>
      <c r="BX2809" s="10"/>
      <c r="BY2809" s="23"/>
      <c r="BZ2809" s="23"/>
      <c r="CA2809" s="23"/>
      <c r="CB2809" s="23"/>
      <c r="CC2809" s="23"/>
      <c r="CD2809" s="23"/>
      <c r="CE2809" s="23"/>
      <c r="CF2809" s="23"/>
      <c r="CG2809" s="23"/>
      <c r="CH2809" s="23"/>
      <c r="CI2809" s="23"/>
    </row>
    <row r="2810" spans="1:87" x14ac:dyDescent="0.3">
      <c r="A2810" s="9" t="s">
        <v>20943</v>
      </c>
      <c r="B2810" s="10" t="s">
        <v>20944</v>
      </c>
      <c r="C2810" s="11">
        <v>45990.489583333336</v>
      </c>
      <c r="D2810" s="12">
        <v>4.8611111111111112E-2</v>
      </c>
      <c r="E2810" s="11">
        <v>45990.538194444445</v>
      </c>
      <c r="F2810" s="22" t="s">
        <v>19136</v>
      </c>
      <c r="G2810" s="13" t="b">
        <v>0</v>
      </c>
      <c r="H2810" s="22" t="s">
        <v>9017</v>
      </c>
      <c r="I2810" s="10" t="s">
        <v>212</v>
      </c>
      <c r="J2810" s="13" t="b">
        <v>1</v>
      </c>
      <c r="K2810" s="13" t="b">
        <v>0</v>
      </c>
      <c r="L2810" s="10" t="s">
        <v>124</v>
      </c>
      <c r="M2810" s="10" t="s">
        <v>91</v>
      </c>
      <c r="N2810" s="10" t="s">
        <v>92</v>
      </c>
      <c r="O2810" s="19" t="s">
        <v>20945</v>
      </c>
      <c r="P2810" s="10"/>
      <c r="Q2810" s="10" t="s">
        <v>94</v>
      </c>
      <c r="R2810" s="10"/>
      <c r="S2810" s="10"/>
      <c r="T2810" s="10"/>
      <c r="U2810" s="10"/>
      <c r="V2810" s="10"/>
      <c r="W2810" s="10" t="s">
        <v>19139</v>
      </c>
      <c r="X2810" s="10" t="s">
        <v>130</v>
      </c>
      <c r="Y2810" s="10" t="s">
        <v>130</v>
      </c>
      <c r="Z2810" s="10" t="s">
        <v>99</v>
      </c>
      <c r="AA2810" s="10" t="s">
        <v>131</v>
      </c>
      <c r="AB2810" s="10" t="s">
        <v>19140</v>
      </c>
      <c r="AC2810" s="10" t="s">
        <v>9022</v>
      </c>
      <c r="AD2810" s="10" t="s">
        <v>165</v>
      </c>
      <c r="AE2810" s="10" t="s">
        <v>20946</v>
      </c>
      <c r="AF2810" s="15"/>
      <c r="AG2810" s="10"/>
      <c r="AH2810" s="10"/>
      <c r="AI2810" s="10"/>
      <c r="AJ2810" s="10"/>
      <c r="AK2810" s="10" t="s">
        <v>102</v>
      </c>
      <c r="AL2810" s="10" t="s">
        <v>7897</v>
      </c>
      <c r="AM2810" s="10"/>
      <c r="AN2810" s="10"/>
      <c r="AO2810" s="13" t="b">
        <v>0</v>
      </c>
      <c r="AP2810" s="22" t="s">
        <v>104</v>
      </c>
      <c r="AQ2810" s="10">
        <f ca="1">IFERROR(__xludf.DUMMYFUNCTION("""COMPUTED_VALUE"""),4743069)</f>
        <v>4743069</v>
      </c>
      <c r="AR2810" s="17">
        <v>168</v>
      </c>
      <c r="AS2810" s="17">
        <v>117</v>
      </c>
      <c r="AT2810" s="17">
        <v>1218</v>
      </c>
      <c r="AU2810" s="17">
        <v>0</v>
      </c>
      <c r="AV2810" s="17">
        <v>0</v>
      </c>
      <c r="AW2810" s="10" t="s">
        <v>105</v>
      </c>
      <c r="AX2810" s="17">
        <v>42</v>
      </c>
      <c r="AY2810" s="18">
        <v>10.410256410256411</v>
      </c>
      <c r="AZ2810" s="10"/>
      <c r="BA2810" s="20" t="b">
        <v>0</v>
      </c>
      <c r="BB2810" s="10" t="s">
        <v>20923</v>
      </c>
      <c r="BC2810" s="17">
        <v>168</v>
      </c>
      <c r="BD2810" s="17">
        <v>117</v>
      </c>
      <c r="BE2810" s="17">
        <v>1218</v>
      </c>
      <c r="BF2810" s="17">
        <v>0</v>
      </c>
      <c r="BG2810" s="11">
        <f ca="1">IFERROR(__xludf.DUMMYFUNCTION("""COMPUTED_VALUE"""),45990.4895833333)</f>
        <v>45990.489583333299</v>
      </c>
      <c r="BH2810" s="17" t="s">
        <v>105</v>
      </c>
      <c r="BI2810" s="17"/>
      <c r="BJ2810" s="15"/>
      <c r="BK2810" s="15"/>
      <c r="BL2810" s="13" t="b">
        <v>0</v>
      </c>
      <c r="BM2810" s="10"/>
      <c r="BN2810" s="10" t="s">
        <v>157</v>
      </c>
      <c r="BO2810" s="11">
        <v>45989.902083333334</v>
      </c>
      <c r="BP2810" s="11">
        <v>45989.902256944442</v>
      </c>
      <c r="BQ2810" s="15"/>
      <c r="BR2810" s="15">
        <v>45989.921979166669</v>
      </c>
      <c r="BS2810" s="10" t="s">
        <v>157</v>
      </c>
      <c r="BT2810" s="10"/>
      <c r="BU2810" s="10"/>
      <c r="BV2810" s="10"/>
      <c r="BW2810" s="10"/>
      <c r="BX2810" s="10"/>
      <c r="BY2810" s="23"/>
      <c r="BZ2810" s="23"/>
      <c r="CA2810" s="23"/>
      <c r="CB2810" s="23"/>
      <c r="CC2810" s="23"/>
      <c r="CD2810" s="23"/>
      <c r="CE2810" s="23"/>
      <c r="CF2810" s="23"/>
      <c r="CG2810" s="23"/>
      <c r="CH2810" s="23"/>
      <c r="CI2810" s="23"/>
    </row>
    <row r="2811" spans="1:87" x14ac:dyDescent="0.3">
      <c r="A2811" s="9" t="s">
        <v>20947</v>
      </c>
      <c r="B2811" s="10" t="s">
        <v>20948</v>
      </c>
      <c r="C2811" s="11">
        <v>45990.3125</v>
      </c>
      <c r="D2811" s="12">
        <v>0.25</v>
      </c>
      <c r="E2811" s="11">
        <v>45990.5625</v>
      </c>
      <c r="F2811" s="22" t="s">
        <v>19136</v>
      </c>
      <c r="G2811" s="13" t="b">
        <v>0</v>
      </c>
      <c r="H2811" s="22" t="s">
        <v>9017</v>
      </c>
      <c r="I2811" s="10" t="s">
        <v>212</v>
      </c>
      <c r="J2811" s="13" t="b">
        <v>1</v>
      </c>
      <c r="K2811" s="13" t="b">
        <v>0</v>
      </c>
      <c r="L2811" s="10" t="s">
        <v>124</v>
      </c>
      <c r="M2811" s="10" t="s">
        <v>91</v>
      </c>
      <c r="N2811" s="10" t="s">
        <v>92</v>
      </c>
      <c r="O2811" s="19" t="s">
        <v>20949</v>
      </c>
      <c r="P2811" s="10"/>
      <c r="Q2811" s="10" t="s">
        <v>94</v>
      </c>
      <c r="R2811" s="10"/>
      <c r="S2811" s="19" t="s">
        <v>19862</v>
      </c>
      <c r="T2811" s="10"/>
      <c r="U2811" s="10"/>
      <c r="V2811" s="10"/>
      <c r="W2811" s="10" t="s">
        <v>19139</v>
      </c>
      <c r="X2811" s="10" t="s">
        <v>130</v>
      </c>
      <c r="Y2811" s="10" t="s">
        <v>130</v>
      </c>
      <c r="Z2811" s="10" t="s">
        <v>99</v>
      </c>
      <c r="AA2811" s="10" t="s">
        <v>131</v>
      </c>
      <c r="AB2811" s="10" t="s">
        <v>19140</v>
      </c>
      <c r="AC2811" s="10" t="s">
        <v>9022</v>
      </c>
      <c r="AD2811" s="10" t="s">
        <v>165</v>
      </c>
      <c r="AE2811" s="10" t="s">
        <v>20950</v>
      </c>
      <c r="AF2811" s="15"/>
      <c r="AG2811" s="10"/>
      <c r="AH2811" s="10"/>
      <c r="AI2811" s="10"/>
      <c r="AJ2811" s="10"/>
      <c r="AK2811" s="10" t="s">
        <v>102</v>
      </c>
      <c r="AL2811" s="10" t="s">
        <v>7897</v>
      </c>
      <c r="AM2811" s="10"/>
      <c r="AN2811" s="10"/>
      <c r="AO2811" s="13" t="b">
        <v>0</v>
      </c>
      <c r="AP2811" s="22" t="s">
        <v>104</v>
      </c>
      <c r="AQ2811" s="10">
        <f ca="1">IFERROR(__xludf.DUMMYFUNCTION("""COMPUTED_VALUE"""),19996)</f>
        <v>19996</v>
      </c>
      <c r="AR2811" s="17">
        <v>0</v>
      </c>
      <c r="AS2811" s="17">
        <v>0</v>
      </c>
      <c r="AT2811" s="17">
        <v>0</v>
      </c>
      <c r="AU2811" s="17">
        <v>0</v>
      </c>
      <c r="AV2811" s="17">
        <v>0</v>
      </c>
      <c r="AW2811" s="10" t="s">
        <v>105</v>
      </c>
      <c r="AX2811" s="17"/>
      <c r="AY2811" s="18">
        <v>19.517103762827823</v>
      </c>
      <c r="AZ2811" s="10"/>
      <c r="BA2811" s="20" t="b">
        <v>1</v>
      </c>
      <c r="BB2811" s="10"/>
      <c r="BC2811" s="17">
        <v>1433</v>
      </c>
      <c r="BD2811" s="17">
        <v>877</v>
      </c>
      <c r="BE2811" s="17">
        <v>17116.5</v>
      </c>
      <c r="BF2811" s="17">
        <v>0</v>
      </c>
      <c r="BG2811" s="11">
        <f ca="1">IFERROR(__xludf.DUMMYFUNCTION("""COMPUTED_VALUE"""),45990.3125)</f>
        <v>45990.3125</v>
      </c>
      <c r="BH2811" s="17" t="s">
        <v>105</v>
      </c>
      <c r="BI2811" s="17"/>
      <c r="BJ2811" s="15"/>
      <c r="BK2811" s="15"/>
      <c r="BL2811" s="13" t="b">
        <v>0</v>
      </c>
      <c r="BM2811" s="10"/>
      <c r="BN2811" s="10" t="s">
        <v>4030</v>
      </c>
      <c r="BO2811" s="11">
        <v>45989.902777777781</v>
      </c>
      <c r="BP2811" s="11">
        <v>45989.902812499997</v>
      </c>
      <c r="BQ2811" s="15">
        <v>46003.596956018519</v>
      </c>
      <c r="BR2811" s="15">
        <v>46003.867361111108</v>
      </c>
      <c r="BS2811" s="10" t="s">
        <v>4030</v>
      </c>
      <c r="BT2811" s="10"/>
      <c r="BU2811" s="10"/>
      <c r="BV2811" s="10"/>
      <c r="BW2811" s="10"/>
      <c r="BX2811" s="10"/>
      <c r="BY2811" s="23"/>
      <c r="BZ2811" s="23"/>
      <c r="CA2811" s="19" t="s">
        <v>19142</v>
      </c>
      <c r="CB2811" s="23"/>
      <c r="CC2811" s="23"/>
      <c r="CD2811" s="23"/>
      <c r="CE2811" s="23"/>
      <c r="CF2811" s="23"/>
      <c r="CG2811" s="23"/>
      <c r="CH2811" s="23"/>
      <c r="CI2811" s="23"/>
    </row>
    <row r="2812" spans="1:87" x14ac:dyDescent="0.3">
      <c r="A2812" s="9" t="s">
        <v>20951</v>
      </c>
      <c r="B2812" s="10" t="s">
        <v>20952</v>
      </c>
      <c r="C2812" s="11">
        <v>45990.3125</v>
      </c>
      <c r="D2812" s="12">
        <v>4.1666666666666664E-2</v>
      </c>
      <c r="E2812" s="11">
        <v>45990.354166666664</v>
      </c>
      <c r="F2812" s="22" t="s">
        <v>19136</v>
      </c>
      <c r="G2812" s="13" t="b">
        <v>0</v>
      </c>
      <c r="H2812" s="22" t="s">
        <v>9017</v>
      </c>
      <c r="I2812" s="10" t="s">
        <v>212</v>
      </c>
      <c r="J2812" s="13" t="b">
        <v>1</v>
      </c>
      <c r="K2812" s="13" t="b">
        <v>0</v>
      </c>
      <c r="L2812" s="10" t="s">
        <v>124</v>
      </c>
      <c r="M2812" s="10" t="s">
        <v>91</v>
      </c>
      <c r="N2812" s="10" t="s">
        <v>92</v>
      </c>
      <c r="O2812" s="19" t="s">
        <v>20953</v>
      </c>
      <c r="P2812" s="10"/>
      <c r="Q2812" s="10" t="s">
        <v>94</v>
      </c>
      <c r="R2812" s="10"/>
      <c r="S2812" s="10"/>
      <c r="T2812" s="10"/>
      <c r="U2812" s="10"/>
      <c r="V2812" s="10"/>
      <c r="W2812" s="10" t="s">
        <v>19139</v>
      </c>
      <c r="X2812" s="10" t="s">
        <v>130</v>
      </c>
      <c r="Y2812" s="10" t="s">
        <v>130</v>
      </c>
      <c r="Z2812" s="10" t="s">
        <v>99</v>
      </c>
      <c r="AA2812" s="10" t="s">
        <v>131</v>
      </c>
      <c r="AB2812" s="10" t="s">
        <v>19140</v>
      </c>
      <c r="AC2812" s="10" t="s">
        <v>9022</v>
      </c>
      <c r="AD2812" s="10" t="s">
        <v>165</v>
      </c>
      <c r="AE2812" s="10" t="s">
        <v>20954</v>
      </c>
      <c r="AF2812" s="15"/>
      <c r="AG2812" s="10"/>
      <c r="AH2812" s="10"/>
      <c r="AI2812" s="10"/>
      <c r="AJ2812" s="10"/>
      <c r="AK2812" s="10" t="s">
        <v>102</v>
      </c>
      <c r="AL2812" s="10" t="s">
        <v>7897</v>
      </c>
      <c r="AM2812" s="10"/>
      <c r="AN2812" s="10"/>
      <c r="AO2812" s="13" t="b">
        <v>0</v>
      </c>
      <c r="AP2812" s="22" t="s">
        <v>104</v>
      </c>
      <c r="AQ2812" s="10">
        <f ca="1">IFERROR(__xludf.DUMMYFUNCTION("""COMPUTED_VALUE"""),4743070)</f>
        <v>4743070</v>
      </c>
      <c r="AR2812" s="17">
        <v>361</v>
      </c>
      <c r="AS2812" s="17">
        <v>235</v>
      </c>
      <c r="AT2812" s="17">
        <v>6781.75</v>
      </c>
      <c r="AU2812" s="17">
        <v>0</v>
      </c>
      <c r="AV2812" s="17">
        <v>0</v>
      </c>
      <c r="AW2812" s="10" t="s">
        <v>105</v>
      </c>
      <c r="AX2812" s="17">
        <v>99</v>
      </c>
      <c r="AY2812" s="18">
        <v>28.858510638297872</v>
      </c>
      <c r="AZ2812" s="10"/>
      <c r="BA2812" s="20" t="b">
        <v>0</v>
      </c>
      <c r="BB2812" s="10" t="s">
        <v>20947</v>
      </c>
      <c r="BC2812" s="17">
        <v>361</v>
      </c>
      <c r="BD2812" s="17">
        <v>235</v>
      </c>
      <c r="BE2812" s="17">
        <v>6781.75</v>
      </c>
      <c r="BF2812" s="17">
        <v>0</v>
      </c>
      <c r="BG2812" s="11">
        <f ca="1">IFERROR(__xludf.DUMMYFUNCTION("""COMPUTED_VALUE"""),45990.3125)</f>
        <v>45990.3125</v>
      </c>
      <c r="BH2812" s="17" t="s">
        <v>105</v>
      </c>
      <c r="BI2812" s="17"/>
      <c r="BJ2812" s="15"/>
      <c r="BK2812" s="15"/>
      <c r="BL2812" s="13" t="b">
        <v>0</v>
      </c>
      <c r="BM2812" s="10"/>
      <c r="BN2812" s="10" t="s">
        <v>4030</v>
      </c>
      <c r="BO2812" s="11">
        <v>45989.904861111114</v>
      </c>
      <c r="BP2812" s="11">
        <v>45989.905023148145</v>
      </c>
      <c r="BQ2812" s="15"/>
      <c r="BR2812" s="15">
        <v>45991.772557870368</v>
      </c>
      <c r="BS2812" s="10" t="s">
        <v>4030</v>
      </c>
      <c r="BT2812" s="10"/>
      <c r="BU2812" s="10"/>
      <c r="BV2812" s="10"/>
      <c r="BW2812" s="10"/>
      <c r="BX2812" s="10"/>
      <c r="BY2812" s="23"/>
      <c r="BZ2812" s="23"/>
      <c r="CA2812" s="23"/>
      <c r="CB2812" s="23"/>
      <c r="CC2812" s="23"/>
      <c r="CD2812" s="23"/>
      <c r="CE2812" s="23"/>
      <c r="CF2812" s="23"/>
      <c r="CG2812" s="23"/>
      <c r="CH2812" s="23"/>
      <c r="CI2812" s="23"/>
    </row>
    <row r="2813" spans="1:87" x14ac:dyDescent="0.3">
      <c r="A2813" s="9" t="s">
        <v>20955</v>
      </c>
      <c r="B2813" s="10" t="s">
        <v>20956</v>
      </c>
      <c r="C2813" s="11">
        <v>45990.364583333336</v>
      </c>
      <c r="D2813" s="12">
        <v>4.1666666666666664E-2</v>
      </c>
      <c r="E2813" s="11">
        <v>45990.40625</v>
      </c>
      <c r="F2813" s="22" t="s">
        <v>19136</v>
      </c>
      <c r="G2813" s="13" t="b">
        <v>0</v>
      </c>
      <c r="H2813" s="22" t="s">
        <v>9017</v>
      </c>
      <c r="I2813" s="10" t="s">
        <v>212</v>
      </c>
      <c r="J2813" s="13" t="b">
        <v>1</v>
      </c>
      <c r="K2813" s="13" t="b">
        <v>0</v>
      </c>
      <c r="L2813" s="10" t="s">
        <v>124</v>
      </c>
      <c r="M2813" s="10" t="s">
        <v>91</v>
      </c>
      <c r="N2813" s="10" t="s">
        <v>92</v>
      </c>
      <c r="O2813" s="19" t="s">
        <v>20957</v>
      </c>
      <c r="P2813" s="10"/>
      <c r="Q2813" s="10" t="s">
        <v>94</v>
      </c>
      <c r="R2813" s="10"/>
      <c r="S2813" s="10"/>
      <c r="T2813" s="10"/>
      <c r="U2813" s="10"/>
      <c r="V2813" s="10"/>
      <c r="W2813" s="10" t="s">
        <v>19139</v>
      </c>
      <c r="X2813" s="10" t="s">
        <v>130</v>
      </c>
      <c r="Y2813" s="10" t="s">
        <v>130</v>
      </c>
      <c r="Z2813" s="10" t="s">
        <v>99</v>
      </c>
      <c r="AA2813" s="10" t="s">
        <v>131</v>
      </c>
      <c r="AB2813" s="10" t="s">
        <v>19140</v>
      </c>
      <c r="AC2813" s="10" t="s">
        <v>9022</v>
      </c>
      <c r="AD2813" s="10" t="s">
        <v>165</v>
      </c>
      <c r="AE2813" s="10" t="s">
        <v>20958</v>
      </c>
      <c r="AF2813" s="15"/>
      <c r="AG2813" s="10"/>
      <c r="AH2813" s="10"/>
      <c r="AI2813" s="10"/>
      <c r="AJ2813" s="10"/>
      <c r="AK2813" s="10" t="s">
        <v>102</v>
      </c>
      <c r="AL2813" s="10" t="s">
        <v>7897</v>
      </c>
      <c r="AM2813" s="10"/>
      <c r="AN2813" s="10"/>
      <c r="AO2813" s="13" t="b">
        <v>0</v>
      </c>
      <c r="AP2813" s="22" t="s">
        <v>104</v>
      </c>
      <c r="AQ2813" s="10">
        <f ca="1">IFERROR(__xludf.DUMMYFUNCTION("""COMPUTED_VALUE"""),4743071)</f>
        <v>4743071</v>
      </c>
      <c r="AR2813" s="17">
        <v>397</v>
      </c>
      <c r="AS2813" s="17">
        <v>229</v>
      </c>
      <c r="AT2813" s="17">
        <v>4315.5</v>
      </c>
      <c r="AU2813" s="17">
        <v>0</v>
      </c>
      <c r="AV2813" s="17">
        <v>0</v>
      </c>
      <c r="AW2813" s="10" t="s">
        <v>105</v>
      </c>
      <c r="AX2813" s="17">
        <v>108</v>
      </c>
      <c r="AY2813" s="18">
        <v>18.844978165938866</v>
      </c>
      <c r="AZ2813" s="10"/>
      <c r="BA2813" s="20" t="b">
        <v>0</v>
      </c>
      <c r="BB2813" s="10" t="s">
        <v>20947</v>
      </c>
      <c r="BC2813" s="17">
        <v>397</v>
      </c>
      <c r="BD2813" s="17">
        <v>229</v>
      </c>
      <c r="BE2813" s="17">
        <v>4315.5</v>
      </c>
      <c r="BF2813" s="17">
        <v>0</v>
      </c>
      <c r="BG2813" s="11">
        <f ca="1">IFERROR(__xludf.DUMMYFUNCTION("""COMPUTED_VALUE"""),45990.3645833333)</f>
        <v>45990.364583333299</v>
      </c>
      <c r="BH2813" s="17" t="s">
        <v>105</v>
      </c>
      <c r="BI2813" s="17"/>
      <c r="BJ2813" s="15"/>
      <c r="BK2813" s="15"/>
      <c r="BL2813" s="13" t="b">
        <v>0</v>
      </c>
      <c r="BM2813" s="10"/>
      <c r="BN2813" s="10" t="s">
        <v>4030</v>
      </c>
      <c r="BO2813" s="11">
        <v>45989.904861111114</v>
      </c>
      <c r="BP2813" s="11">
        <v>45989.905439814815</v>
      </c>
      <c r="BQ2813" s="15"/>
      <c r="BR2813" s="15">
        <v>45991.772835648146</v>
      </c>
      <c r="BS2813" s="10" t="s">
        <v>4030</v>
      </c>
      <c r="BT2813" s="10"/>
      <c r="BU2813" s="10"/>
      <c r="BV2813" s="10"/>
      <c r="BW2813" s="10"/>
      <c r="BX2813" s="10"/>
      <c r="BY2813" s="23"/>
      <c r="BZ2813" s="23"/>
      <c r="CA2813" s="23"/>
      <c r="CB2813" s="23"/>
      <c r="CC2813" s="23"/>
      <c r="CD2813" s="23"/>
      <c r="CE2813" s="23"/>
      <c r="CF2813" s="23"/>
      <c r="CG2813" s="23"/>
      <c r="CH2813" s="23"/>
      <c r="CI2813" s="23"/>
    </row>
    <row r="2814" spans="1:87" x14ac:dyDescent="0.3">
      <c r="A2814" s="9" t="s">
        <v>20959</v>
      </c>
      <c r="B2814" s="10" t="s">
        <v>20960</v>
      </c>
      <c r="C2814" s="11">
        <v>45990.413194444445</v>
      </c>
      <c r="D2814" s="12">
        <v>4.1666666666666664E-2</v>
      </c>
      <c r="E2814" s="11">
        <v>45990.454861111109</v>
      </c>
      <c r="F2814" s="22" t="s">
        <v>19136</v>
      </c>
      <c r="G2814" s="13" t="b">
        <v>0</v>
      </c>
      <c r="H2814" s="22" t="s">
        <v>9017</v>
      </c>
      <c r="I2814" s="10" t="s">
        <v>212</v>
      </c>
      <c r="J2814" s="13" t="b">
        <v>1</v>
      </c>
      <c r="K2814" s="13" t="b">
        <v>0</v>
      </c>
      <c r="L2814" s="10" t="s">
        <v>124</v>
      </c>
      <c r="M2814" s="10" t="s">
        <v>91</v>
      </c>
      <c r="N2814" s="10" t="s">
        <v>92</v>
      </c>
      <c r="O2814" s="19" t="s">
        <v>20961</v>
      </c>
      <c r="P2814" s="10"/>
      <c r="Q2814" s="10" t="s">
        <v>94</v>
      </c>
      <c r="R2814" s="10"/>
      <c r="S2814" s="10"/>
      <c r="T2814" s="10"/>
      <c r="U2814" s="10"/>
      <c r="V2814" s="10"/>
      <c r="W2814" s="10" t="s">
        <v>19139</v>
      </c>
      <c r="X2814" s="10" t="s">
        <v>130</v>
      </c>
      <c r="Y2814" s="10" t="s">
        <v>130</v>
      </c>
      <c r="Z2814" s="10" t="s">
        <v>99</v>
      </c>
      <c r="AA2814" s="10" t="s">
        <v>131</v>
      </c>
      <c r="AB2814" s="10" t="s">
        <v>19140</v>
      </c>
      <c r="AC2814" s="10" t="s">
        <v>9022</v>
      </c>
      <c r="AD2814" s="10" t="s">
        <v>165</v>
      </c>
      <c r="AE2814" s="10" t="s">
        <v>20962</v>
      </c>
      <c r="AF2814" s="15"/>
      <c r="AG2814" s="10"/>
      <c r="AH2814" s="10"/>
      <c r="AI2814" s="10"/>
      <c r="AJ2814" s="10"/>
      <c r="AK2814" s="10" t="s">
        <v>102</v>
      </c>
      <c r="AL2814" s="10" t="s">
        <v>7897</v>
      </c>
      <c r="AM2814" s="10"/>
      <c r="AN2814" s="10"/>
      <c r="AO2814" s="13" t="b">
        <v>0</v>
      </c>
      <c r="AP2814" s="22" t="s">
        <v>104</v>
      </c>
      <c r="AQ2814" s="10">
        <f ca="1">IFERROR(__xludf.DUMMYFUNCTION("""COMPUTED_VALUE"""),4743072)</f>
        <v>4743072</v>
      </c>
      <c r="AR2814" s="17">
        <v>340</v>
      </c>
      <c r="AS2814" s="17">
        <v>172</v>
      </c>
      <c r="AT2814" s="17">
        <v>3437.75</v>
      </c>
      <c r="AU2814" s="17">
        <v>0</v>
      </c>
      <c r="AV2814" s="17">
        <v>0</v>
      </c>
      <c r="AW2814" s="10" t="s">
        <v>105</v>
      </c>
      <c r="AX2814" s="17">
        <v>109</v>
      </c>
      <c r="AY2814" s="18">
        <v>19.986918604651162</v>
      </c>
      <c r="AZ2814" s="10"/>
      <c r="BA2814" s="20" t="b">
        <v>0</v>
      </c>
      <c r="BB2814" s="10" t="s">
        <v>20947</v>
      </c>
      <c r="BC2814" s="17">
        <v>340</v>
      </c>
      <c r="BD2814" s="17">
        <v>172</v>
      </c>
      <c r="BE2814" s="17">
        <v>3437.75</v>
      </c>
      <c r="BF2814" s="17">
        <v>0</v>
      </c>
      <c r="BG2814" s="11">
        <f ca="1">IFERROR(__xludf.DUMMYFUNCTION("""COMPUTED_VALUE"""),45990.4131944444)</f>
        <v>45990.413194444402</v>
      </c>
      <c r="BH2814" s="17" t="s">
        <v>105</v>
      </c>
      <c r="BI2814" s="17"/>
      <c r="BJ2814" s="15"/>
      <c r="BK2814" s="15"/>
      <c r="BL2814" s="13" t="b">
        <v>0</v>
      </c>
      <c r="BM2814" s="10"/>
      <c r="BN2814" s="10" t="s">
        <v>4030</v>
      </c>
      <c r="BO2814" s="11">
        <v>45989.904861111114</v>
      </c>
      <c r="BP2814" s="11">
        <v>45989.905578703707</v>
      </c>
      <c r="BQ2814" s="15"/>
      <c r="BR2814" s="15">
        <v>45991.773125</v>
      </c>
      <c r="BS2814" s="10" t="s">
        <v>4030</v>
      </c>
      <c r="BT2814" s="10"/>
      <c r="BU2814" s="10"/>
      <c r="BV2814" s="10"/>
      <c r="BW2814" s="10"/>
      <c r="BX2814" s="10"/>
      <c r="BY2814" s="23"/>
      <c r="BZ2814" s="23"/>
      <c r="CA2814" s="23"/>
      <c r="CB2814" s="23"/>
      <c r="CC2814" s="23"/>
      <c r="CD2814" s="23"/>
      <c r="CE2814" s="23"/>
      <c r="CF2814" s="23"/>
      <c r="CG2814" s="23"/>
      <c r="CH2814" s="23"/>
      <c r="CI2814" s="23"/>
    </row>
    <row r="2815" spans="1:87" x14ac:dyDescent="0.3">
      <c r="A2815" s="9" t="s">
        <v>20963</v>
      </c>
      <c r="B2815" s="10" t="s">
        <v>20964</v>
      </c>
      <c r="C2815" s="11">
        <v>45990.465277777781</v>
      </c>
      <c r="D2815" s="12">
        <v>4.1666666666666664E-2</v>
      </c>
      <c r="E2815" s="11">
        <v>45990.506944444445</v>
      </c>
      <c r="F2815" s="22" t="s">
        <v>19136</v>
      </c>
      <c r="G2815" s="13" t="b">
        <v>0</v>
      </c>
      <c r="H2815" s="22" t="s">
        <v>9017</v>
      </c>
      <c r="I2815" s="10" t="s">
        <v>212</v>
      </c>
      <c r="J2815" s="13" t="b">
        <v>1</v>
      </c>
      <c r="K2815" s="13" t="b">
        <v>0</v>
      </c>
      <c r="L2815" s="10" t="s">
        <v>124</v>
      </c>
      <c r="M2815" s="10" t="s">
        <v>91</v>
      </c>
      <c r="N2815" s="10" t="s">
        <v>92</v>
      </c>
      <c r="O2815" s="19" t="s">
        <v>20965</v>
      </c>
      <c r="P2815" s="10"/>
      <c r="Q2815" s="10" t="s">
        <v>94</v>
      </c>
      <c r="R2815" s="10"/>
      <c r="S2815" s="10"/>
      <c r="T2815" s="10"/>
      <c r="U2815" s="10"/>
      <c r="V2815" s="10"/>
      <c r="W2815" s="10" t="s">
        <v>19139</v>
      </c>
      <c r="X2815" s="10" t="s">
        <v>130</v>
      </c>
      <c r="Y2815" s="10" t="s">
        <v>130</v>
      </c>
      <c r="Z2815" s="10" t="s">
        <v>99</v>
      </c>
      <c r="AA2815" s="10" t="s">
        <v>131</v>
      </c>
      <c r="AB2815" s="10" t="s">
        <v>19140</v>
      </c>
      <c r="AC2815" s="10" t="s">
        <v>9022</v>
      </c>
      <c r="AD2815" s="10" t="s">
        <v>165</v>
      </c>
      <c r="AE2815" s="10" t="s">
        <v>20966</v>
      </c>
      <c r="AF2815" s="15"/>
      <c r="AG2815" s="10"/>
      <c r="AH2815" s="10"/>
      <c r="AI2815" s="10"/>
      <c r="AJ2815" s="10"/>
      <c r="AK2815" s="10" t="s">
        <v>102</v>
      </c>
      <c r="AL2815" s="10" t="s">
        <v>7897</v>
      </c>
      <c r="AM2815" s="10"/>
      <c r="AN2815" s="10"/>
      <c r="AO2815" s="13" t="b">
        <v>0</v>
      </c>
      <c r="AP2815" s="22" t="s">
        <v>104</v>
      </c>
      <c r="AQ2815" s="10">
        <f ca="1">IFERROR(__xludf.DUMMYFUNCTION("""COMPUTED_VALUE"""),4743073)</f>
        <v>4743073</v>
      </c>
      <c r="AR2815" s="17">
        <v>184</v>
      </c>
      <c r="AS2815" s="17">
        <v>126</v>
      </c>
      <c r="AT2815" s="17">
        <v>1787.5</v>
      </c>
      <c r="AU2815" s="17">
        <v>0</v>
      </c>
      <c r="AV2815" s="17">
        <v>0</v>
      </c>
      <c r="AW2815" s="10" t="s">
        <v>105</v>
      </c>
      <c r="AX2815" s="17">
        <v>84</v>
      </c>
      <c r="AY2815" s="18">
        <v>14.186507936507937</v>
      </c>
      <c r="AZ2815" s="10"/>
      <c r="BA2815" s="20" t="b">
        <v>0</v>
      </c>
      <c r="BB2815" s="10" t="s">
        <v>20947</v>
      </c>
      <c r="BC2815" s="17">
        <v>184</v>
      </c>
      <c r="BD2815" s="17">
        <v>126</v>
      </c>
      <c r="BE2815" s="17">
        <v>1787.5</v>
      </c>
      <c r="BF2815" s="17">
        <v>0</v>
      </c>
      <c r="BG2815" s="11">
        <f ca="1">IFERROR(__xludf.DUMMYFUNCTION("""COMPUTED_VALUE"""),45990.4652777777)</f>
        <v>45990.465277777701</v>
      </c>
      <c r="BH2815" s="17" t="s">
        <v>105</v>
      </c>
      <c r="BI2815" s="17"/>
      <c r="BJ2815" s="15"/>
      <c r="BK2815" s="15"/>
      <c r="BL2815" s="13" t="b">
        <v>0</v>
      </c>
      <c r="BM2815" s="10"/>
      <c r="BN2815" s="10" t="s">
        <v>4030</v>
      </c>
      <c r="BO2815" s="11">
        <v>45989.905555555553</v>
      </c>
      <c r="BP2815" s="11">
        <v>45989.905763888892</v>
      </c>
      <c r="BQ2815" s="15"/>
      <c r="BR2815" s="15">
        <v>45991.773321759261</v>
      </c>
      <c r="BS2815" s="10" t="s">
        <v>4030</v>
      </c>
      <c r="BT2815" s="10"/>
      <c r="BU2815" s="10"/>
      <c r="BV2815" s="10"/>
      <c r="BW2815" s="10"/>
      <c r="BX2815" s="10"/>
      <c r="BY2815" s="23"/>
      <c r="BZ2815" s="23"/>
      <c r="CA2815" s="23"/>
      <c r="CB2815" s="23"/>
      <c r="CC2815" s="23"/>
      <c r="CD2815" s="23"/>
      <c r="CE2815" s="23"/>
      <c r="CF2815" s="23"/>
      <c r="CG2815" s="23"/>
      <c r="CH2815" s="23"/>
      <c r="CI2815" s="23"/>
    </row>
    <row r="2816" spans="1:87" x14ac:dyDescent="0.3">
      <c r="A2816" s="9" t="s">
        <v>20967</v>
      </c>
      <c r="B2816" s="10" t="s">
        <v>20968</v>
      </c>
      <c r="C2816" s="11">
        <v>45990.513888888891</v>
      </c>
      <c r="D2816" s="12">
        <v>4.1666666666666664E-2</v>
      </c>
      <c r="E2816" s="11">
        <v>45990.555555555555</v>
      </c>
      <c r="F2816" s="22" t="s">
        <v>19136</v>
      </c>
      <c r="G2816" s="13" t="b">
        <v>0</v>
      </c>
      <c r="H2816" s="22" t="s">
        <v>9017</v>
      </c>
      <c r="I2816" s="10" t="s">
        <v>212</v>
      </c>
      <c r="J2816" s="13" t="b">
        <v>1</v>
      </c>
      <c r="K2816" s="13" t="b">
        <v>0</v>
      </c>
      <c r="L2816" s="10" t="s">
        <v>124</v>
      </c>
      <c r="M2816" s="10" t="s">
        <v>91</v>
      </c>
      <c r="N2816" s="10" t="s">
        <v>92</v>
      </c>
      <c r="O2816" s="19" t="s">
        <v>20969</v>
      </c>
      <c r="P2816" s="10"/>
      <c r="Q2816" s="10" t="s">
        <v>94</v>
      </c>
      <c r="R2816" s="10"/>
      <c r="S2816" s="10"/>
      <c r="T2816" s="10"/>
      <c r="U2816" s="10"/>
      <c r="V2816" s="10"/>
      <c r="W2816" s="10" t="s">
        <v>19139</v>
      </c>
      <c r="X2816" s="10" t="s">
        <v>130</v>
      </c>
      <c r="Y2816" s="10" t="s">
        <v>130</v>
      </c>
      <c r="Z2816" s="10" t="s">
        <v>99</v>
      </c>
      <c r="AA2816" s="10" t="s">
        <v>131</v>
      </c>
      <c r="AB2816" s="10" t="s">
        <v>19140</v>
      </c>
      <c r="AC2816" s="10" t="s">
        <v>9022</v>
      </c>
      <c r="AD2816" s="10" t="s">
        <v>165</v>
      </c>
      <c r="AE2816" s="10" t="s">
        <v>20970</v>
      </c>
      <c r="AF2816" s="15"/>
      <c r="AG2816" s="10"/>
      <c r="AH2816" s="10"/>
      <c r="AI2816" s="10"/>
      <c r="AJ2816" s="10"/>
      <c r="AK2816" s="10" t="s">
        <v>102</v>
      </c>
      <c r="AL2816" s="10" t="s">
        <v>7897</v>
      </c>
      <c r="AM2816" s="10"/>
      <c r="AN2816" s="10"/>
      <c r="AO2816" s="13" t="b">
        <v>0</v>
      </c>
      <c r="AP2816" s="22" t="s">
        <v>104</v>
      </c>
      <c r="AQ2816" s="10">
        <f ca="1">IFERROR(__xludf.DUMMYFUNCTION("""COMPUTED_VALUE"""),4743074)</f>
        <v>4743074</v>
      </c>
      <c r="AR2816" s="17">
        <v>151</v>
      </c>
      <c r="AS2816" s="17">
        <v>115</v>
      </c>
      <c r="AT2816" s="17">
        <v>794</v>
      </c>
      <c r="AU2816" s="17">
        <v>0</v>
      </c>
      <c r="AV2816" s="17">
        <v>0</v>
      </c>
      <c r="AW2816" s="10" t="s">
        <v>105</v>
      </c>
      <c r="AX2816" s="17">
        <v>49</v>
      </c>
      <c r="AY2816" s="18">
        <v>6.9043478260869566</v>
      </c>
      <c r="AZ2816" s="10"/>
      <c r="BA2816" s="20" t="b">
        <v>0</v>
      </c>
      <c r="BB2816" s="10" t="s">
        <v>20947</v>
      </c>
      <c r="BC2816" s="17">
        <v>151</v>
      </c>
      <c r="BD2816" s="17">
        <v>115</v>
      </c>
      <c r="BE2816" s="17">
        <v>794</v>
      </c>
      <c r="BF2816" s="17">
        <v>0</v>
      </c>
      <c r="BG2816" s="11">
        <f ca="1">IFERROR(__xludf.DUMMYFUNCTION("""COMPUTED_VALUE"""),45990.5138888888)</f>
        <v>45990.513888888803</v>
      </c>
      <c r="BH2816" s="17" t="s">
        <v>105</v>
      </c>
      <c r="BI2816" s="17"/>
      <c r="BJ2816" s="15"/>
      <c r="BK2816" s="15"/>
      <c r="BL2816" s="13" t="b">
        <v>0</v>
      </c>
      <c r="BM2816" s="10"/>
      <c r="BN2816" s="10" t="s">
        <v>4030</v>
      </c>
      <c r="BO2816" s="11">
        <v>45989.905555555553</v>
      </c>
      <c r="BP2816" s="11">
        <v>45989.905960648146</v>
      </c>
      <c r="BQ2816" s="15"/>
      <c r="BR2816" s="15">
        <v>45991.773541666669</v>
      </c>
      <c r="BS2816" s="10" t="s">
        <v>4030</v>
      </c>
      <c r="BT2816" s="10"/>
      <c r="BU2816" s="10"/>
      <c r="BV2816" s="10"/>
      <c r="BW2816" s="10"/>
      <c r="BX2816" s="10"/>
      <c r="BY2816" s="23"/>
      <c r="BZ2816" s="23"/>
      <c r="CA2816" s="23"/>
      <c r="CB2816" s="23"/>
      <c r="CC2816" s="23"/>
      <c r="CD2816" s="23"/>
      <c r="CE2816" s="23"/>
      <c r="CF2816" s="23"/>
      <c r="CG2816" s="23"/>
      <c r="CH2816" s="23"/>
      <c r="CI2816" s="23"/>
    </row>
    <row r="2817" spans="1:87" x14ac:dyDescent="0.3">
      <c r="A2817" s="9" t="s">
        <v>20971</v>
      </c>
      <c r="B2817" s="10" t="s">
        <v>20972</v>
      </c>
      <c r="C2817" s="11">
        <v>45991.291666666664</v>
      </c>
      <c r="D2817" s="12">
        <v>0.29166666666666669</v>
      </c>
      <c r="E2817" s="11">
        <v>45991.583333333336</v>
      </c>
      <c r="F2817" s="22" t="s">
        <v>19136</v>
      </c>
      <c r="G2817" s="13" t="b">
        <v>0</v>
      </c>
      <c r="H2817" s="22" t="s">
        <v>9017</v>
      </c>
      <c r="I2817" s="10" t="s">
        <v>212</v>
      </c>
      <c r="J2817" s="13" t="b">
        <v>1</v>
      </c>
      <c r="K2817" s="13" t="b">
        <v>0</v>
      </c>
      <c r="L2817" s="10" t="s">
        <v>124</v>
      </c>
      <c r="M2817" s="10" t="s">
        <v>91</v>
      </c>
      <c r="N2817" s="10" t="s">
        <v>92</v>
      </c>
      <c r="O2817" s="19" t="s">
        <v>20973</v>
      </c>
      <c r="P2817" s="10"/>
      <c r="Q2817" s="10" t="s">
        <v>94</v>
      </c>
      <c r="R2817" s="10"/>
      <c r="S2817" s="19" t="s">
        <v>19862</v>
      </c>
      <c r="T2817" s="10"/>
      <c r="U2817" s="10"/>
      <c r="V2817" s="10"/>
      <c r="W2817" s="10" t="s">
        <v>19139</v>
      </c>
      <c r="X2817" s="10" t="s">
        <v>130</v>
      </c>
      <c r="Y2817" s="10" t="s">
        <v>130</v>
      </c>
      <c r="Z2817" s="10" t="s">
        <v>99</v>
      </c>
      <c r="AA2817" s="10" t="s">
        <v>131</v>
      </c>
      <c r="AB2817" s="10" t="s">
        <v>19140</v>
      </c>
      <c r="AC2817" s="10" t="s">
        <v>9022</v>
      </c>
      <c r="AD2817" s="10" t="s">
        <v>165</v>
      </c>
      <c r="AE2817" s="10" t="s">
        <v>20974</v>
      </c>
      <c r="AF2817" s="15"/>
      <c r="AG2817" s="10"/>
      <c r="AH2817" s="10"/>
      <c r="AI2817" s="10"/>
      <c r="AJ2817" s="10"/>
      <c r="AK2817" s="10" t="s">
        <v>102</v>
      </c>
      <c r="AL2817" s="10" t="s">
        <v>7897</v>
      </c>
      <c r="AM2817" s="10"/>
      <c r="AN2817" s="10"/>
      <c r="AO2817" s="13" t="b">
        <v>0</v>
      </c>
      <c r="AP2817" s="22" t="s">
        <v>104</v>
      </c>
      <c r="AQ2817" s="10">
        <f ca="1">IFERROR(__xludf.DUMMYFUNCTION("""COMPUTED_VALUE"""),19997)</f>
        <v>19997</v>
      </c>
      <c r="AR2817" s="17">
        <v>0</v>
      </c>
      <c r="AS2817" s="17">
        <v>0</v>
      </c>
      <c r="AT2817" s="17">
        <v>0</v>
      </c>
      <c r="AU2817" s="17">
        <v>0</v>
      </c>
      <c r="AV2817" s="17">
        <v>0</v>
      </c>
      <c r="AW2817" s="10" t="s">
        <v>105</v>
      </c>
      <c r="AX2817" s="17"/>
      <c r="AY2817" s="18">
        <v>11.238636363636363</v>
      </c>
      <c r="AZ2817" s="10"/>
      <c r="BA2817" s="20" t="b">
        <v>1</v>
      </c>
      <c r="BB2817" s="10"/>
      <c r="BC2817" s="17">
        <v>1136</v>
      </c>
      <c r="BD2817" s="17">
        <v>704</v>
      </c>
      <c r="BE2817" s="17">
        <v>7912</v>
      </c>
      <c r="BF2817" s="17">
        <v>0</v>
      </c>
      <c r="BG2817" s="11">
        <f ca="1">IFERROR(__xludf.DUMMYFUNCTION("""COMPUTED_VALUE"""),45991.2916666666)</f>
        <v>45991.291666666599</v>
      </c>
      <c r="BH2817" s="17" t="s">
        <v>105</v>
      </c>
      <c r="BI2817" s="17"/>
      <c r="BJ2817" s="15"/>
      <c r="BK2817" s="15"/>
      <c r="BL2817" s="13" t="b">
        <v>0</v>
      </c>
      <c r="BM2817" s="10"/>
      <c r="BN2817" s="10" t="s">
        <v>5685</v>
      </c>
      <c r="BO2817" s="11">
        <v>45989.907638888886</v>
      </c>
      <c r="BP2817" s="11">
        <v>45989.90834490741</v>
      </c>
      <c r="BQ2817" s="15">
        <v>46003.596921296295</v>
      </c>
      <c r="BR2817" s="15">
        <v>45989.924050925925</v>
      </c>
      <c r="BS2817" s="10"/>
      <c r="BT2817" s="10"/>
      <c r="BU2817" s="10"/>
      <c r="BV2817" s="10"/>
      <c r="BW2817" s="10"/>
      <c r="BX2817" s="10"/>
      <c r="BY2817" s="23"/>
      <c r="BZ2817" s="23"/>
      <c r="CA2817" s="19" t="s">
        <v>19142</v>
      </c>
      <c r="CB2817" s="23"/>
      <c r="CC2817" s="23"/>
      <c r="CD2817" s="23"/>
      <c r="CE2817" s="23"/>
      <c r="CF2817" s="23"/>
      <c r="CG2817" s="23"/>
      <c r="CH2817" s="23"/>
      <c r="CI2817" s="23"/>
    </row>
    <row r="2818" spans="1:87" x14ac:dyDescent="0.3">
      <c r="A2818" s="9" t="s">
        <v>20975</v>
      </c>
      <c r="B2818" s="10" t="s">
        <v>20976</v>
      </c>
      <c r="C2818" s="11">
        <v>45991.291666666664</v>
      </c>
      <c r="D2818" s="12">
        <v>4.1666666666666664E-2</v>
      </c>
      <c r="E2818" s="11">
        <v>45991.333333333336</v>
      </c>
      <c r="F2818" s="22" t="s">
        <v>19136</v>
      </c>
      <c r="G2818" s="13" t="b">
        <v>0</v>
      </c>
      <c r="H2818" s="22" t="s">
        <v>9017</v>
      </c>
      <c r="I2818" s="10" t="s">
        <v>212</v>
      </c>
      <c r="J2818" s="13" t="b">
        <v>1</v>
      </c>
      <c r="K2818" s="13" t="b">
        <v>0</v>
      </c>
      <c r="L2818" s="10" t="s">
        <v>124</v>
      </c>
      <c r="M2818" s="10" t="s">
        <v>91</v>
      </c>
      <c r="N2818" s="10" t="s">
        <v>92</v>
      </c>
      <c r="O2818" s="19" t="s">
        <v>20977</v>
      </c>
      <c r="P2818" s="10"/>
      <c r="Q2818" s="10" t="s">
        <v>94</v>
      </c>
      <c r="R2818" s="10"/>
      <c r="S2818" s="10"/>
      <c r="T2818" s="10"/>
      <c r="U2818" s="10"/>
      <c r="V2818" s="10"/>
      <c r="W2818" s="10" t="s">
        <v>19139</v>
      </c>
      <c r="X2818" s="10" t="s">
        <v>130</v>
      </c>
      <c r="Y2818" s="10" t="s">
        <v>130</v>
      </c>
      <c r="Z2818" s="10" t="s">
        <v>99</v>
      </c>
      <c r="AA2818" s="10" t="s">
        <v>131</v>
      </c>
      <c r="AB2818" s="10" t="s">
        <v>19140</v>
      </c>
      <c r="AC2818" s="10" t="s">
        <v>9022</v>
      </c>
      <c r="AD2818" s="10" t="s">
        <v>165</v>
      </c>
      <c r="AE2818" s="10" t="s">
        <v>20978</v>
      </c>
      <c r="AF2818" s="15"/>
      <c r="AG2818" s="10"/>
      <c r="AH2818" s="10"/>
      <c r="AI2818" s="10"/>
      <c r="AJ2818" s="10"/>
      <c r="AK2818" s="10" t="s">
        <v>102</v>
      </c>
      <c r="AL2818" s="10" t="s">
        <v>7897</v>
      </c>
      <c r="AM2818" s="10"/>
      <c r="AN2818" s="10"/>
      <c r="AO2818" s="13" t="b">
        <v>0</v>
      </c>
      <c r="AP2818" s="22" t="s">
        <v>104</v>
      </c>
      <c r="AQ2818" s="10">
        <f ca="1">IFERROR(__xludf.DUMMYFUNCTION("""COMPUTED_VALUE"""),4743075)</f>
        <v>4743075</v>
      </c>
      <c r="AR2818" s="17">
        <v>164</v>
      </c>
      <c r="AS2818" s="17">
        <v>99</v>
      </c>
      <c r="AT2818" s="17">
        <v>1414.5</v>
      </c>
      <c r="AU2818" s="17">
        <v>0</v>
      </c>
      <c r="AV2818" s="17">
        <v>0</v>
      </c>
      <c r="AW2818" s="10" t="s">
        <v>105</v>
      </c>
      <c r="AX2818" s="17">
        <v>34</v>
      </c>
      <c r="AY2818" s="18">
        <v>14.287878787878787</v>
      </c>
      <c r="AZ2818" s="10"/>
      <c r="BA2818" s="20" t="b">
        <v>0</v>
      </c>
      <c r="BB2818" s="10" t="s">
        <v>20971</v>
      </c>
      <c r="BC2818" s="17">
        <v>164</v>
      </c>
      <c r="BD2818" s="17">
        <v>99</v>
      </c>
      <c r="BE2818" s="17">
        <v>1414.5</v>
      </c>
      <c r="BF2818" s="17">
        <v>0</v>
      </c>
      <c r="BG2818" s="11">
        <f ca="1">IFERROR(__xludf.DUMMYFUNCTION("""COMPUTED_VALUE"""),45991.2916666666)</f>
        <v>45991.291666666599</v>
      </c>
      <c r="BH2818" s="17" t="s">
        <v>105</v>
      </c>
      <c r="BI2818" s="17"/>
      <c r="BJ2818" s="15"/>
      <c r="BK2818" s="15"/>
      <c r="BL2818" s="13" t="b">
        <v>0</v>
      </c>
      <c r="BM2818" s="10"/>
      <c r="BN2818" s="10" t="s">
        <v>157</v>
      </c>
      <c r="BO2818" s="11">
        <v>45989.90902777778</v>
      </c>
      <c r="BP2818" s="11">
        <v>45989.909733796296</v>
      </c>
      <c r="BQ2818" s="15"/>
      <c r="BR2818" s="15">
        <v>45989.927083333336</v>
      </c>
      <c r="BS2818" s="10" t="s">
        <v>157</v>
      </c>
      <c r="BT2818" s="10"/>
      <c r="BU2818" s="10"/>
      <c r="BV2818" s="10"/>
      <c r="BW2818" s="10"/>
      <c r="BX2818" s="10"/>
      <c r="BY2818" s="23"/>
      <c r="BZ2818" s="23"/>
      <c r="CA2818" s="23"/>
      <c r="CB2818" s="23"/>
      <c r="CC2818" s="23"/>
      <c r="CD2818" s="23"/>
      <c r="CE2818" s="23"/>
      <c r="CF2818" s="23"/>
      <c r="CG2818" s="23"/>
      <c r="CH2818" s="23"/>
      <c r="CI2818" s="23"/>
    </row>
    <row r="2819" spans="1:87" x14ac:dyDescent="0.3">
      <c r="A2819" s="9" t="s">
        <v>20979</v>
      </c>
      <c r="B2819" s="10" t="s">
        <v>20980</v>
      </c>
      <c r="C2819" s="11">
        <v>45991.347222222219</v>
      </c>
      <c r="D2819" s="12">
        <v>4.1666666666666664E-2</v>
      </c>
      <c r="E2819" s="11">
        <v>45991.388888888891</v>
      </c>
      <c r="F2819" s="22" t="s">
        <v>19136</v>
      </c>
      <c r="G2819" s="13" t="b">
        <v>0</v>
      </c>
      <c r="H2819" s="22" t="s">
        <v>9017</v>
      </c>
      <c r="I2819" s="10" t="s">
        <v>212</v>
      </c>
      <c r="J2819" s="13" t="b">
        <v>1</v>
      </c>
      <c r="K2819" s="13" t="b">
        <v>0</v>
      </c>
      <c r="L2819" s="10" t="s">
        <v>124</v>
      </c>
      <c r="M2819" s="10" t="s">
        <v>91</v>
      </c>
      <c r="N2819" s="10" t="s">
        <v>92</v>
      </c>
      <c r="O2819" s="19" t="s">
        <v>20981</v>
      </c>
      <c r="P2819" s="10"/>
      <c r="Q2819" s="10" t="s">
        <v>94</v>
      </c>
      <c r="R2819" s="10"/>
      <c r="S2819" s="10"/>
      <c r="T2819" s="10"/>
      <c r="U2819" s="10"/>
      <c r="V2819" s="10"/>
      <c r="W2819" s="10" t="s">
        <v>19139</v>
      </c>
      <c r="X2819" s="10" t="s">
        <v>130</v>
      </c>
      <c r="Y2819" s="10" t="s">
        <v>130</v>
      </c>
      <c r="Z2819" s="10" t="s">
        <v>99</v>
      </c>
      <c r="AA2819" s="10" t="s">
        <v>131</v>
      </c>
      <c r="AB2819" s="10" t="s">
        <v>19140</v>
      </c>
      <c r="AC2819" s="10" t="s">
        <v>9022</v>
      </c>
      <c r="AD2819" s="10" t="s">
        <v>165</v>
      </c>
      <c r="AE2819" s="10" t="s">
        <v>20982</v>
      </c>
      <c r="AF2819" s="15"/>
      <c r="AG2819" s="10"/>
      <c r="AH2819" s="10"/>
      <c r="AI2819" s="10"/>
      <c r="AJ2819" s="10"/>
      <c r="AK2819" s="10" t="s">
        <v>102</v>
      </c>
      <c r="AL2819" s="10" t="s">
        <v>7897</v>
      </c>
      <c r="AM2819" s="10"/>
      <c r="AN2819" s="10"/>
      <c r="AO2819" s="13" t="b">
        <v>0</v>
      </c>
      <c r="AP2819" s="22" t="s">
        <v>104</v>
      </c>
      <c r="AQ2819" s="10">
        <f ca="1">IFERROR(__xludf.DUMMYFUNCTION("""COMPUTED_VALUE"""),4743076)</f>
        <v>4743076</v>
      </c>
      <c r="AR2819" s="17">
        <v>193</v>
      </c>
      <c r="AS2819" s="17">
        <v>114</v>
      </c>
      <c r="AT2819" s="17">
        <v>1372.75</v>
      </c>
      <c r="AU2819" s="17">
        <v>0</v>
      </c>
      <c r="AV2819" s="17">
        <v>0</v>
      </c>
      <c r="AW2819" s="10" t="s">
        <v>105</v>
      </c>
      <c r="AX2819" s="17">
        <v>51</v>
      </c>
      <c r="AY2819" s="18">
        <v>12.041666666666666</v>
      </c>
      <c r="AZ2819" s="10"/>
      <c r="BA2819" s="20" t="b">
        <v>0</v>
      </c>
      <c r="BB2819" s="10" t="s">
        <v>20971</v>
      </c>
      <c r="BC2819" s="17">
        <v>193</v>
      </c>
      <c r="BD2819" s="17">
        <v>114</v>
      </c>
      <c r="BE2819" s="17">
        <v>1372.75</v>
      </c>
      <c r="BF2819" s="17">
        <v>0</v>
      </c>
      <c r="BG2819" s="11">
        <f ca="1">IFERROR(__xludf.DUMMYFUNCTION("""COMPUTED_VALUE"""),45991.3472222222)</f>
        <v>45991.347222222197</v>
      </c>
      <c r="BH2819" s="17" t="s">
        <v>105</v>
      </c>
      <c r="BI2819" s="17"/>
      <c r="BJ2819" s="15"/>
      <c r="BK2819" s="15"/>
      <c r="BL2819" s="13" t="b">
        <v>0</v>
      </c>
      <c r="BM2819" s="10"/>
      <c r="BN2819" s="10" t="s">
        <v>157</v>
      </c>
      <c r="BO2819" s="11">
        <v>45989.909722222219</v>
      </c>
      <c r="BP2819" s="11">
        <v>45989.909930555557</v>
      </c>
      <c r="BQ2819" s="15"/>
      <c r="BR2819" s="15">
        <v>45989.927222222221</v>
      </c>
      <c r="BS2819" s="10" t="s">
        <v>157</v>
      </c>
      <c r="BT2819" s="10"/>
      <c r="BU2819" s="10"/>
      <c r="BV2819" s="10"/>
      <c r="BW2819" s="10"/>
      <c r="BX2819" s="10"/>
      <c r="BY2819" s="23"/>
      <c r="BZ2819" s="23"/>
      <c r="CA2819" s="23"/>
      <c r="CB2819" s="23"/>
      <c r="CC2819" s="23"/>
      <c r="CD2819" s="23"/>
      <c r="CE2819" s="23"/>
      <c r="CF2819" s="23"/>
      <c r="CG2819" s="23"/>
      <c r="CH2819" s="23"/>
      <c r="CI2819" s="23"/>
    </row>
    <row r="2820" spans="1:87" x14ac:dyDescent="0.3">
      <c r="A2820" s="9" t="s">
        <v>20983</v>
      </c>
      <c r="B2820" s="10" t="s">
        <v>20984</v>
      </c>
      <c r="C2820" s="11">
        <v>45991.395833333336</v>
      </c>
      <c r="D2820" s="12">
        <v>4.1666666666666664E-2</v>
      </c>
      <c r="E2820" s="11">
        <v>45991.4375</v>
      </c>
      <c r="F2820" s="22" t="s">
        <v>19136</v>
      </c>
      <c r="G2820" s="13" t="b">
        <v>0</v>
      </c>
      <c r="H2820" s="22" t="s">
        <v>9017</v>
      </c>
      <c r="I2820" s="10" t="s">
        <v>212</v>
      </c>
      <c r="J2820" s="13" t="b">
        <v>1</v>
      </c>
      <c r="K2820" s="13" t="b">
        <v>0</v>
      </c>
      <c r="L2820" s="10" t="s">
        <v>124</v>
      </c>
      <c r="M2820" s="10" t="s">
        <v>91</v>
      </c>
      <c r="N2820" s="10" t="s">
        <v>92</v>
      </c>
      <c r="O2820" s="19" t="s">
        <v>20985</v>
      </c>
      <c r="P2820" s="10"/>
      <c r="Q2820" s="10" t="s">
        <v>94</v>
      </c>
      <c r="R2820" s="10"/>
      <c r="S2820" s="10"/>
      <c r="T2820" s="10"/>
      <c r="U2820" s="10"/>
      <c r="V2820" s="10"/>
      <c r="W2820" s="10" t="s">
        <v>19139</v>
      </c>
      <c r="X2820" s="10" t="s">
        <v>130</v>
      </c>
      <c r="Y2820" s="10" t="s">
        <v>130</v>
      </c>
      <c r="Z2820" s="10" t="s">
        <v>99</v>
      </c>
      <c r="AA2820" s="10" t="s">
        <v>131</v>
      </c>
      <c r="AB2820" s="10" t="s">
        <v>19140</v>
      </c>
      <c r="AC2820" s="10" t="s">
        <v>9022</v>
      </c>
      <c r="AD2820" s="10" t="s">
        <v>165</v>
      </c>
      <c r="AE2820" s="10" t="s">
        <v>20986</v>
      </c>
      <c r="AF2820" s="15"/>
      <c r="AG2820" s="10"/>
      <c r="AH2820" s="10"/>
      <c r="AI2820" s="10"/>
      <c r="AJ2820" s="10"/>
      <c r="AK2820" s="10" t="s">
        <v>102</v>
      </c>
      <c r="AL2820" s="10" t="s">
        <v>7897</v>
      </c>
      <c r="AM2820" s="10"/>
      <c r="AN2820" s="10"/>
      <c r="AO2820" s="13" t="b">
        <v>0</v>
      </c>
      <c r="AP2820" s="22" t="s">
        <v>104</v>
      </c>
      <c r="AQ2820" s="10">
        <f ca="1">IFERROR(__xludf.DUMMYFUNCTION("""COMPUTED_VALUE"""),4743077)</f>
        <v>4743077</v>
      </c>
      <c r="AR2820" s="17">
        <v>177</v>
      </c>
      <c r="AS2820" s="17">
        <v>115</v>
      </c>
      <c r="AT2820" s="17">
        <v>1217.75</v>
      </c>
      <c r="AU2820" s="17">
        <v>0</v>
      </c>
      <c r="AV2820" s="17">
        <v>0</v>
      </c>
      <c r="AW2820" s="10" t="s">
        <v>105</v>
      </c>
      <c r="AX2820" s="17">
        <v>36</v>
      </c>
      <c r="AY2820" s="18">
        <v>10.589130434782609</v>
      </c>
      <c r="AZ2820" s="10"/>
      <c r="BA2820" s="20" t="b">
        <v>0</v>
      </c>
      <c r="BB2820" s="10" t="s">
        <v>20971</v>
      </c>
      <c r="BC2820" s="17">
        <v>177</v>
      </c>
      <c r="BD2820" s="17">
        <v>115</v>
      </c>
      <c r="BE2820" s="17">
        <v>1217.75</v>
      </c>
      <c r="BF2820" s="17">
        <v>0</v>
      </c>
      <c r="BG2820" s="11">
        <f ca="1">IFERROR(__xludf.DUMMYFUNCTION("""COMPUTED_VALUE"""),45991.3958333333)</f>
        <v>45991.395833333299</v>
      </c>
      <c r="BH2820" s="17" t="s">
        <v>105</v>
      </c>
      <c r="BI2820" s="17"/>
      <c r="BJ2820" s="15"/>
      <c r="BK2820" s="15"/>
      <c r="BL2820" s="13" t="b">
        <v>0</v>
      </c>
      <c r="BM2820" s="10"/>
      <c r="BN2820" s="10" t="s">
        <v>157</v>
      </c>
      <c r="BO2820" s="11">
        <v>45989.909722222219</v>
      </c>
      <c r="BP2820" s="11">
        <v>45989.910115740742</v>
      </c>
      <c r="BQ2820" s="15"/>
      <c r="BR2820" s="15">
        <v>45989.927361111113</v>
      </c>
      <c r="BS2820" s="10" t="s">
        <v>157</v>
      </c>
      <c r="BT2820" s="10"/>
      <c r="BU2820" s="10"/>
      <c r="BV2820" s="10"/>
      <c r="BW2820" s="10"/>
      <c r="BX2820" s="10"/>
      <c r="BY2820" s="23"/>
      <c r="BZ2820" s="23"/>
      <c r="CA2820" s="23"/>
      <c r="CB2820" s="23"/>
      <c r="CC2820" s="23"/>
      <c r="CD2820" s="23"/>
      <c r="CE2820" s="23"/>
      <c r="CF2820" s="23"/>
      <c r="CG2820" s="23"/>
      <c r="CH2820" s="23"/>
      <c r="CI2820" s="23"/>
    </row>
    <row r="2821" spans="1:87" x14ac:dyDescent="0.3">
      <c r="A2821" s="9" t="s">
        <v>20987</v>
      </c>
      <c r="B2821" s="10" t="s">
        <v>20988</v>
      </c>
      <c r="C2821" s="11">
        <v>45991.444444444445</v>
      </c>
      <c r="D2821" s="12">
        <v>4.1666666666666664E-2</v>
      </c>
      <c r="E2821" s="11">
        <v>45991.486111111109</v>
      </c>
      <c r="F2821" s="22" t="s">
        <v>19136</v>
      </c>
      <c r="G2821" s="13" t="b">
        <v>0</v>
      </c>
      <c r="H2821" s="22" t="s">
        <v>9017</v>
      </c>
      <c r="I2821" s="10" t="s">
        <v>212</v>
      </c>
      <c r="J2821" s="13" t="b">
        <v>1</v>
      </c>
      <c r="K2821" s="13" t="b">
        <v>0</v>
      </c>
      <c r="L2821" s="10" t="s">
        <v>124</v>
      </c>
      <c r="M2821" s="10" t="s">
        <v>91</v>
      </c>
      <c r="N2821" s="10" t="s">
        <v>92</v>
      </c>
      <c r="O2821" s="19" t="s">
        <v>20989</v>
      </c>
      <c r="P2821" s="10"/>
      <c r="Q2821" s="10" t="s">
        <v>94</v>
      </c>
      <c r="R2821" s="10"/>
      <c r="S2821" s="10"/>
      <c r="T2821" s="10"/>
      <c r="U2821" s="10"/>
      <c r="V2821" s="10"/>
      <c r="W2821" s="10" t="s">
        <v>19139</v>
      </c>
      <c r="X2821" s="10" t="s">
        <v>130</v>
      </c>
      <c r="Y2821" s="10" t="s">
        <v>130</v>
      </c>
      <c r="Z2821" s="10" t="s">
        <v>99</v>
      </c>
      <c r="AA2821" s="10" t="s">
        <v>131</v>
      </c>
      <c r="AB2821" s="10" t="s">
        <v>19140</v>
      </c>
      <c r="AC2821" s="10" t="s">
        <v>9022</v>
      </c>
      <c r="AD2821" s="10" t="s">
        <v>165</v>
      </c>
      <c r="AE2821" s="10" t="s">
        <v>20990</v>
      </c>
      <c r="AF2821" s="15"/>
      <c r="AG2821" s="10"/>
      <c r="AH2821" s="10"/>
      <c r="AI2821" s="10"/>
      <c r="AJ2821" s="10"/>
      <c r="AK2821" s="10" t="s">
        <v>102</v>
      </c>
      <c r="AL2821" s="10" t="s">
        <v>7897</v>
      </c>
      <c r="AM2821" s="10"/>
      <c r="AN2821" s="10"/>
      <c r="AO2821" s="13" t="b">
        <v>0</v>
      </c>
      <c r="AP2821" s="22" t="s">
        <v>104</v>
      </c>
      <c r="AQ2821" s="10">
        <f ca="1">IFERROR(__xludf.DUMMYFUNCTION("""COMPUTED_VALUE"""),4743078)</f>
        <v>4743078</v>
      </c>
      <c r="AR2821" s="17">
        <v>195</v>
      </c>
      <c r="AS2821" s="17">
        <v>118</v>
      </c>
      <c r="AT2821" s="17">
        <v>932.5</v>
      </c>
      <c r="AU2821" s="17">
        <v>0</v>
      </c>
      <c r="AV2821" s="17">
        <v>0</v>
      </c>
      <c r="AW2821" s="10" t="s">
        <v>105</v>
      </c>
      <c r="AX2821" s="17">
        <v>44</v>
      </c>
      <c r="AY2821" s="18">
        <v>7.9025423728813555</v>
      </c>
      <c r="AZ2821" s="10"/>
      <c r="BA2821" s="20" t="b">
        <v>0</v>
      </c>
      <c r="BB2821" s="10" t="s">
        <v>20971</v>
      </c>
      <c r="BC2821" s="17">
        <v>195</v>
      </c>
      <c r="BD2821" s="17">
        <v>118</v>
      </c>
      <c r="BE2821" s="17">
        <v>932.5</v>
      </c>
      <c r="BF2821" s="17">
        <v>0</v>
      </c>
      <c r="BG2821" s="11">
        <f ca="1">IFERROR(__xludf.DUMMYFUNCTION("""COMPUTED_VALUE"""),45991.4444444444)</f>
        <v>45991.444444444402</v>
      </c>
      <c r="BH2821" s="17" t="s">
        <v>105</v>
      </c>
      <c r="BI2821" s="17"/>
      <c r="BJ2821" s="15"/>
      <c r="BK2821" s="15"/>
      <c r="BL2821" s="13" t="b">
        <v>0</v>
      </c>
      <c r="BM2821" s="10"/>
      <c r="BN2821" s="10" t="s">
        <v>157</v>
      </c>
      <c r="BO2821" s="11">
        <v>45989.909722222219</v>
      </c>
      <c r="BP2821" s="11">
        <v>45989.910300925927</v>
      </c>
      <c r="BQ2821" s="15"/>
      <c r="BR2821" s="15">
        <v>45989.927476851852</v>
      </c>
      <c r="BS2821" s="10" t="s">
        <v>157</v>
      </c>
      <c r="BT2821" s="10"/>
      <c r="BU2821" s="10"/>
      <c r="BV2821" s="10"/>
      <c r="BW2821" s="10"/>
      <c r="BX2821" s="10"/>
      <c r="BY2821" s="23"/>
      <c r="BZ2821" s="23"/>
      <c r="CA2821" s="23"/>
      <c r="CB2821" s="23"/>
      <c r="CC2821" s="23"/>
      <c r="CD2821" s="23"/>
      <c r="CE2821" s="23"/>
      <c r="CF2821" s="23"/>
      <c r="CG2821" s="23"/>
      <c r="CH2821" s="23"/>
      <c r="CI2821" s="23"/>
    </row>
    <row r="2822" spans="1:87" x14ac:dyDescent="0.3">
      <c r="A2822" s="9" t="s">
        <v>20991</v>
      </c>
      <c r="B2822" s="10" t="s">
        <v>20992</v>
      </c>
      <c r="C2822" s="11">
        <v>45991.486111111109</v>
      </c>
      <c r="D2822" s="12">
        <v>4.1666666666666664E-2</v>
      </c>
      <c r="E2822" s="11">
        <v>45991.527777777781</v>
      </c>
      <c r="F2822" s="22" t="s">
        <v>19136</v>
      </c>
      <c r="G2822" s="13" t="b">
        <v>0</v>
      </c>
      <c r="H2822" s="22" t="s">
        <v>9017</v>
      </c>
      <c r="I2822" s="10" t="s">
        <v>212</v>
      </c>
      <c r="J2822" s="13" t="b">
        <v>1</v>
      </c>
      <c r="K2822" s="13" t="b">
        <v>0</v>
      </c>
      <c r="L2822" s="10" t="s">
        <v>124</v>
      </c>
      <c r="M2822" s="10" t="s">
        <v>91</v>
      </c>
      <c r="N2822" s="10" t="s">
        <v>92</v>
      </c>
      <c r="O2822" s="19" t="s">
        <v>20993</v>
      </c>
      <c r="P2822" s="10"/>
      <c r="Q2822" s="10" t="s">
        <v>94</v>
      </c>
      <c r="R2822" s="10"/>
      <c r="S2822" s="10"/>
      <c r="T2822" s="10"/>
      <c r="U2822" s="10"/>
      <c r="V2822" s="10"/>
      <c r="W2822" s="10" t="s">
        <v>19139</v>
      </c>
      <c r="X2822" s="10" t="s">
        <v>130</v>
      </c>
      <c r="Y2822" s="10" t="s">
        <v>130</v>
      </c>
      <c r="Z2822" s="10" t="s">
        <v>99</v>
      </c>
      <c r="AA2822" s="10" t="s">
        <v>131</v>
      </c>
      <c r="AB2822" s="10" t="s">
        <v>19140</v>
      </c>
      <c r="AC2822" s="10" t="s">
        <v>9022</v>
      </c>
      <c r="AD2822" s="10" t="s">
        <v>165</v>
      </c>
      <c r="AE2822" s="10" t="s">
        <v>20994</v>
      </c>
      <c r="AF2822" s="15"/>
      <c r="AG2822" s="10"/>
      <c r="AH2822" s="10"/>
      <c r="AI2822" s="10"/>
      <c r="AJ2822" s="10"/>
      <c r="AK2822" s="10" t="s">
        <v>102</v>
      </c>
      <c r="AL2822" s="10" t="s">
        <v>7897</v>
      </c>
      <c r="AM2822" s="10"/>
      <c r="AN2822" s="10"/>
      <c r="AO2822" s="13" t="b">
        <v>0</v>
      </c>
      <c r="AP2822" s="22" t="s">
        <v>104</v>
      </c>
      <c r="AQ2822" s="10">
        <f ca="1">IFERROR(__xludf.DUMMYFUNCTION("""COMPUTED_VALUE"""),4743079)</f>
        <v>4743079</v>
      </c>
      <c r="AR2822" s="21">
        <v>208</v>
      </c>
      <c r="AS2822" s="21">
        <v>138</v>
      </c>
      <c r="AT2822" s="21">
        <v>1779.5</v>
      </c>
      <c r="AU2822" s="21">
        <v>0</v>
      </c>
      <c r="AV2822" s="21">
        <v>0</v>
      </c>
      <c r="AW2822" s="22" t="s">
        <v>105</v>
      </c>
      <c r="AX2822" s="21">
        <v>40</v>
      </c>
      <c r="AY2822" s="18">
        <v>12.894927536231885</v>
      </c>
      <c r="AZ2822" s="10"/>
      <c r="BA2822" s="20" t="b">
        <v>0</v>
      </c>
      <c r="BB2822" s="10" t="s">
        <v>20971</v>
      </c>
      <c r="BC2822" s="17">
        <v>208</v>
      </c>
      <c r="BD2822" s="17">
        <v>138</v>
      </c>
      <c r="BE2822" s="17">
        <v>1779.5</v>
      </c>
      <c r="BF2822" s="17">
        <v>0</v>
      </c>
      <c r="BG2822" s="11">
        <f ca="1">IFERROR(__xludf.DUMMYFUNCTION("""COMPUTED_VALUE"""),45991.4861111111)</f>
        <v>45991.486111111102</v>
      </c>
      <c r="BH2822" s="17" t="s">
        <v>105</v>
      </c>
      <c r="BI2822" s="17"/>
      <c r="BJ2822" s="15"/>
      <c r="BK2822" s="15"/>
      <c r="BL2822" s="13" t="b">
        <v>0</v>
      </c>
      <c r="BM2822" s="10"/>
      <c r="BN2822" s="10" t="s">
        <v>157</v>
      </c>
      <c r="BO2822" s="11">
        <v>45989.910416666666</v>
      </c>
      <c r="BP2822" s="11">
        <v>45989.910543981481</v>
      </c>
      <c r="BQ2822" s="15"/>
      <c r="BR2822" s="15">
        <v>45989.927604166667</v>
      </c>
      <c r="BS2822" s="10" t="s">
        <v>157</v>
      </c>
      <c r="BT2822" s="10"/>
      <c r="BU2822" s="10"/>
      <c r="BV2822" s="10"/>
      <c r="BW2822" s="10"/>
      <c r="BX2822" s="10"/>
      <c r="BY2822" s="23"/>
      <c r="BZ2822" s="23"/>
      <c r="CA2822" s="23"/>
      <c r="CB2822" s="23"/>
      <c r="CC2822" s="23"/>
      <c r="CD2822" s="23"/>
      <c r="CE2822" s="23"/>
      <c r="CF2822" s="23"/>
      <c r="CG2822" s="23"/>
      <c r="CH2822" s="23"/>
      <c r="CI2822" s="23"/>
    </row>
    <row r="2823" spans="1:87" x14ac:dyDescent="0.3">
      <c r="A2823" s="9" t="s">
        <v>20995</v>
      </c>
      <c r="B2823" s="10" t="s">
        <v>20992</v>
      </c>
      <c r="C2823" s="11">
        <v>45991.534722222219</v>
      </c>
      <c r="D2823" s="12">
        <v>4.1666666666666664E-2</v>
      </c>
      <c r="E2823" s="11">
        <v>45991.576388888891</v>
      </c>
      <c r="F2823" s="22" t="s">
        <v>19136</v>
      </c>
      <c r="G2823" s="13" t="b">
        <v>0</v>
      </c>
      <c r="H2823" s="22" t="s">
        <v>9017</v>
      </c>
      <c r="I2823" s="10" t="s">
        <v>212</v>
      </c>
      <c r="J2823" s="13" t="b">
        <v>1</v>
      </c>
      <c r="K2823" s="13" t="b">
        <v>0</v>
      </c>
      <c r="L2823" s="10" t="s">
        <v>124</v>
      </c>
      <c r="M2823" s="10" t="s">
        <v>91</v>
      </c>
      <c r="N2823" s="10" t="s">
        <v>92</v>
      </c>
      <c r="O2823" s="19" t="s">
        <v>20996</v>
      </c>
      <c r="P2823" s="10"/>
      <c r="Q2823" s="10" t="s">
        <v>94</v>
      </c>
      <c r="R2823" s="10"/>
      <c r="S2823" s="10"/>
      <c r="T2823" s="10"/>
      <c r="U2823" s="10"/>
      <c r="V2823" s="10"/>
      <c r="W2823" s="10" t="s">
        <v>19139</v>
      </c>
      <c r="X2823" s="10" t="s">
        <v>130</v>
      </c>
      <c r="Y2823" s="10" t="s">
        <v>130</v>
      </c>
      <c r="Z2823" s="10" t="s">
        <v>99</v>
      </c>
      <c r="AA2823" s="10" t="s">
        <v>131</v>
      </c>
      <c r="AB2823" s="10" t="s">
        <v>19140</v>
      </c>
      <c r="AC2823" s="10" t="s">
        <v>9022</v>
      </c>
      <c r="AD2823" s="10" t="s">
        <v>165</v>
      </c>
      <c r="AE2823" s="10" t="s">
        <v>20994</v>
      </c>
      <c r="AF2823" s="15"/>
      <c r="AG2823" s="10"/>
      <c r="AH2823" s="10"/>
      <c r="AI2823" s="10"/>
      <c r="AJ2823" s="10"/>
      <c r="AK2823" s="10" t="s">
        <v>102</v>
      </c>
      <c r="AL2823" s="10" t="s">
        <v>7897</v>
      </c>
      <c r="AM2823" s="10"/>
      <c r="AN2823" s="10"/>
      <c r="AO2823" s="13" t="b">
        <v>0</v>
      </c>
      <c r="AP2823" s="22" t="s">
        <v>104</v>
      </c>
      <c r="AQ2823" s="10">
        <f ca="1">IFERROR(__xludf.DUMMYFUNCTION("""COMPUTED_VALUE"""),4743080)</f>
        <v>4743080</v>
      </c>
      <c r="AR2823" s="21">
        <v>199</v>
      </c>
      <c r="AS2823" s="21">
        <v>120</v>
      </c>
      <c r="AT2823" s="21">
        <v>1195</v>
      </c>
      <c r="AU2823" s="21">
        <v>0</v>
      </c>
      <c r="AV2823" s="21">
        <v>0</v>
      </c>
      <c r="AW2823" s="22" t="s">
        <v>105</v>
      </c>
      <c r="AX2823" s="21">
        <v>44</v>
      </c>
      <c r="AY2823" s="18">
        <v>9.9583333333333339</v>
      </c>
      <c r="AZ2823" s="10"/>
      <c r="BA2823" s="20" t="b">
        <v>0</v>
      </c>
      <c r="BB2823" s="10" t="s">
        <v>20971</v>
      </c>
      <c r="BC2823" s="17">
        <v>199</v>
      </c>
      <c r="BD2823" s="17">
        <v>120</v>
      </c>
      <c r="BE2823" s="17">
        <v>1195</v>
      </c>
      <c r="BF2823" s="17">
        <v>0</v>
      </c>
      <c r="BG2823" s="11">
        <f ca="1">IFERROR(__xludf.DUMMYFUNCTION("""COMPUTED_VALUE"""),45991.5347222222)</f>
        <v>45991.534722222197</v>
      </c>
      <c r="BH2823" s="17" t="s">
        <v>105</v>
      </c>
      <c r="BI2823" s="17"/>
      <c r="BJ2823" s="15"/>
      <c r="BK2823" s="15"/>
      <c r="BL2823" s="13" t="b">
        <v>0</v>
      </c>
      <c r="BM2823" s="10"/>
      <c r="BN2823" s="10" t="s">
        <v>157</v>
      </c>
      <c r="BO2823" s="11">
        <v>45989.910416666666</v>
      </c>
      <c r="BP2823" s="11">
        <v>45989.910694444443</v>
      </c>
      <c r="BQ2823" s="15"/>
      <c r="BR2823" s="15">
        <v>45989.927754629629</v>
      </c>
      <c r="BS2823" s="10" t="s">
        <v>157</v>
      </c>
      <c r="BT2823" s="10"/>
      <c r="BU2823" s="10"/>
      <c r="BV2823" s="10"/>
      <c r="BW2823" s="10"/>
      <c r="BX2823" s="10"/>
      <c r="BY2823" s="23"/>
      <c r="BZ2823" s="23"/>
      <c r="CA2823" s="23"/>
      <c r="CB2823" s="23"/>
      <c r="CC2823" s="23"/>
      <c r="CD2823" s="23"/>
      <c r="CE2823" s="23"/>
      <c r="CF2823" s="23"/>
      <c r="CG2823" s="23"/>
      <c r="CH2823" s="23"/>
      <c r="CI2823" s="23"/>
    </row>
    <row r="2824" spans="1:87" x14ac:dyDescent="0.3">
      <c r="A2824" s="9" t="s">
        <v>20997</v>
      </c>
      <c r="B2824" s="10" t="s">
        <v>20998</v>
      </c>
      <c r="C2824" s="11">
        <v>45991.291666666664</v>
      </c>
      <c r="D2824" s="12">
        <v>0.29166666666666669</v>
      </c>
      <c r="E2824" s="11">
        <v>45991.583333333336</v>
      </c>
      <c r="F2824" s="22" t="s">
        <v>9016</v>
      </c>
      <c r="G2824" s="13" t="b">
        <v>0</v>
      </c>
      <c r="H2824" s="22" t="s">
        <v>9017</v>
      </c>
      <c r="I2824" s="10" t="s">
        <v>212</v>
      </c>
      <c r="J2824" s="13" t="b">
        <v>1</v>
      </c>
      <c r="K2824" s="13" t="b">
        <v>0</v>
      </c>
      <c r="L2824" s="10" t="s">
        <v>124</v>
      </c>
      <c r="M2824" s="10" t="s">
        <v>91</v>
      </c>
      <c r="N2824" s="10" t="s">
        <v>92</v>
      </c>
      <c r="O2824" s="19" t="s">
        <v>20999</v>
      </c>
      <c r="P2824" s="10"/>
      <c r="Q2824" s="10" t="s">
        <v>94</v>
      </c>
      <c r="R2824" s="10"/>
      <c r="S2824" s="19" t="s">
        <v>9019</v>
      </c>
      <c r="T2824" s="10"/>
      <c r="U2824" s="10"/>
      <c r="V2824" s="10"/>
      <c r="W2824" s="10" t="s">
        <v>9020</v>
      </c>
      <c r="X2824" s="10" t="s">
        <v>130</v>
      </c>
      <c r="Y2824" s="10" t="s">
        <v>130</v>
      </c>
      <c r="Z2824" s="10" t="s">
        <v>99</v>
      </c>
      <c r="AA2824" s="10" t="s">
        <v>131</v>
      </c>
      <c r="AB2824" s="10" t="s">
        <v>9021</v>
      </c>
      <c r="AC2824" s="10" t="s">
        <v>9022</v>
      </c>
      <c r="AD2824" s="10" t="s">
        <v>165</v>
      </c>
      <c r="AE2824" s="10" t="s">
        <v>21000</v>
      </c>
      <c r="AF2824" s="15"/>
      <c r="AG2824" s="10"/>
      <c r="AH2824" s="10"/>
      <c r="AI2824" s="10"/>
      <c r="AJ2824" s="10"/>
      <c r="AK2824" s="10" t="s">
        <v>102</v>
      </c>
      <c r="AL2824" s="10" t="s">
        <v>1467</v>
      </c>
      <c r="AM2824" s="10"/>
      <c r="AN2824" s="10"/>
      <c r="AO2824" s="13" t="b">
        <v>0</v>
      </c>
      <c r="AP2824" s="22" t="s">
        <v>104</v>
      </c>
      <c r="AQ2824" s="10">
        <f ca="1">IFERROR(__xludf.DUMMYFUNCTION("""COMPUTED_VALUE"""),19998)</f>
        <v>19998</v>
      </c>
      <c r="AR2824" s="17">
        <v>0</v>
      </c>
      <c r="AS2824" s="17">
        <v>0</v>
      </c>
      <c r="AT2824" s="17">
        <v>0</v>
      </c>
      <c r="AU2824" s="17">
        <v>0</v>
      </c>
      <c r="AV2824" s="17">
        <v>0</v>
      </c>
      <c r="AW2824" s="10" t="s">
        <v>105</v>
      </c>
      <c r="AX2824" s="17"/>
      <c r="AY2824" s="18">
        <v>6.3038049940546967</v>
      </c>
      <c r="AZ2824" s="10"/>
      <c r="BA2824" s="20" t="b">
        <v>1</v>
      </c>
      <c r="BB2824" s="10"/>
      <c r="BC2824" s="17">
        <v>1134</v>
      </c>
      <c r="BD2824" s="17">
        <v>841</v>
      </c>
      <c r="BE2824" s="17">
        <v>5301.5</v>
      </c>
      <c r="BF2824" s="17">
        <v>0</v>
      </c>
      <c r="BG2824" s="11">
        <f ca="1">IFERROR(__xludf.DUMMYFUNCTION("""COMPUTED_VALUE"""),45991.2916666666)</f>
        <v>45991.291666666599</v>
      </c>
      <c r="BH2824" s="17" t="s">
        <v>105</v>
      </c>
      <c r="BI2824" s="17"/>
      <c r="BJ2824" s="15"/>
      <c r="BK2824" s="15"/>
      <c r="BL2824" s="13" t="b">
        <v>0</v>
      </c>
      <c r="BM2824" s="10"/>
      <c r="BN2824" s="10" t="s">
        <v>4030</v>
      </c>
      <c r="BO2824" s="11">
        <v>45989.911805555559</v>
      </c>
      <c r="BP2824" s="11">
        <v>45989.912106481483</v>
      </c>
      <c r="BQ2824" s="15">
        <v>45996.514305555553</v>
      </c>
      <c r="BR2824" s="15">
        <v>45997.08152777778</v>
      </c>
      <c r="BS2824" s="10" t="s">
        <v>4030</v>
      </c>
      <c r="BT2824" s="10"/>
      <c r="BU2824" s="10"/>
      <c r="BV2824" s="10"/>
      <c r="BW2824" s="10"/>
      <c r="BX2824" s="10"/>
      <c r="BY2824" s="23"/>
      <c r="BZ2824" s="23"/>
      <c r="CA2824" s="19" t="s">
        <v>9024</v>
      </c>
      <c r="CB2824" s="23"/>
      <c r="CC2824" s="23"/>
      <c r="CD2824" s="23"/>
      <c r="CE2824" s="23"/>
      <c r="CF2824" s="23"/>
      <c r="CG2824" s="23"/>
      <c r="CH2824" s="23"/>
      <c r="CI2824" s="23"/>
    </row>
    <row r="2825" spans="1:87" x14ac:dyDescent="0.3">
      <c r="A2825" s="9" t="s">
        <v>21001</v>
      </c>
      <c r="B2825" s="10" t="s">
        <v>21002</v>
      </c>
      <c r="C2825" s="11">
        <v>45991.291666666664</v>
      </c>
      <c r="D2825" s="12">
        <v>2.0833333333333332E-2</v>
      </c>
      <c r="E2825" s="11">
        <v>45991.3125</v>
      </c>
      <c r="F2825" s="22" t="s">
        <v>9016</v>
      </c>
      <c r="G2825" s="13" t="b">
        <v>0</v>
      </c>
      <c r="H2825" s="22" t="s">
        <v>9017</v>
      </c>
      <c r="I2825" s="10" t="s">
        <v>212</v>
      </c>
      <c r="J2825" s="13" t="b">
        <v>1</v>
      </c>
      <c r="K2825" s="13" t="b">
        <v>0</v>
      </c>
      <c r="L2825" s="10" t="s">
        <v>124</v>
      </c>
      <c r="M2825" s="10" t="s">
        <v>91</v>
      </c>
      <c r="N2825" s="10" t="s">
        <v>92</v>
      </c>
      <c r="O2825" s="19" t="s">
        <v>21003</v>
      </c>
      <c r="P2825" s="10"/>
      <c r="Q2825" s="10" t="s">
        <v>94</v>
      </c>
      <c r="R2825" s="10"/>
      <c r="S2825" s="10"/>
      <c r="T2825" s="10"/>
      <c r="U2825" s="10"/>
      <c r="V2825" s="10"/>
      <c r="W2825" s="10" t="s">
        <v>9020</v>
      </c>
      <c r="X2825" s="10" t="s">
        <v>130</v>
      </c>
      <c r="Y2825" s="10" t="s">
        <v>130</v>
      </c>
      <c r="Z2825" s="10" t="s">
        <v>99</v>
      </c>
      <c r="AA2825" s="10" t="s">
        <v>131</v>
      </c>
      <c r="AB2825" s="10" t="s">
        <v>9021</v>
      </c>
      <c r="AC2825" s="10" t="s">
        <v>9022</v>
      </c>
      <c r="AD2825" s="10" t="s">
        <v>165</v>
      </c>
      <c r="AE2825" s="10" t="s">
        <v>21004</v>
      </c>
      <c r="AF2825" s="15"/>
      <c r="AG2825" s="10"/>
      <c r="AH2825" s="10"/>
      <c r="AI2825" s="10"/>
      <c r="AJ2825" s="10"/>
      <c r="AK2825" s="10" t="s">
        <v>102</v>
      </c>
      <c r="AL2825" s="10"/>
      <c r="AM2825" s="10"/>
      <c r="AN2825" s="10"/>
      <c r="AO2825" s="13" t="b">
        <v>0</v>
      </c>
      <c r="AP2825" s="22" t="s">
        <v>104</v>
      </c>
      <c r="AQ2825" s="10">
        <f ca="1">IFERROR(__xludf.DUMMYFUNCTION("""COMPUTED_VALUE"""),4743094)</f>
        <v>4743094</v>
      </c>
      <c r="AR2825" s="21">
        <v>76</v>
      </c>
      <c r="AS2825" s="21">
        <v>56</v>
      </c>
      <c r="AT2825" s="21">
        <v>432.25</v>
      </c>
      <c r="AU2825" s="21">
        <v>0</v>
      </c>
      <c r="AV2825" s="21">
        <v>0</v>
      </c>
      <c r="AW2825" s="22" t="s">
        <v>105</v>
      </c>
      <c r="AX2825" s="21">
        <v>19</v>
      </c>
      <c r="AY2825" s="18">
        <v>7.71875</v>
      </c>
      <c r="AZ2825" s="10"/>
      <c r="BA2825" s="20" t="b">
        <v>0</v>
      </c>
      <c r="BB2825" s="10" t="s">
        <v>20997</v>
      </c>
      <c r="BC2825" s="17">
        <v>76</v>
      </c>
      <c r="BD2825" s="17">
        <v>56</v>
      </c>
      <c r="BE2825" s="17">
        <v>432.25</v>
      </c>
      <c r="BF2825" s="17">
        <v>0</v>
      </c>
      <c r="BG2825" s="11">
        <f ca="1">IFERROR(__xludf.DUMMYFUNCTION("""COMPUTED_VALUE"""),45991.2916666666)</f>
        <v>45991.291666666599</v>
      </c>
      <c r="BH2825" s="17" t="s">
        <v>105</v>
      </c>
      <c r="BI2825" s="17"/>
      <c r="BJ2825" s="15"/>
      <c r="BK2825" s="15"/>
      <c r="BL2825" s="13" t="b">
        <v>0</v>
      </c>
      <c r="BM2825" s="10"/>
      <c r="BN2825" s="10" t="s">
        <v>4030</v>
      </c>
      <c r="BO2825" s="11">
        <v>45989.913194444445</v>
      </c>
      <c r="BP2825" s="11">
        <v>45989.913472222222</v>
      </c>
      <c r="BQ2825" s="15"/>
      <c r="BR2825" s="15">
        <v>45991.774861111109</v>
      </c>
      <c r="BS2825" s="10" t="s">
        <v>4030</v>
      </c>
      <c r="BT2825" s="10"/>
      <c r="BU2825" s="10"/>
      <c r="BV2825" s="10"/>
      <c r="BW2825" s="10"/>
      <c r="BX2825" s="10"/>
      <c r="BY2825" s="23"/>
      <c r="BZ2825" s="23"/>
      <c r="CA2825" s="23"/>
      <c r="CB2825" s="23"/>
      <c r="CC2825" s="23"/>
      <c r="CD2825" s="23"/>
      <c r="CE2825" s="23"/>
      <c r="CF2825" s="23"/>
      <c r="CG2825" s="23"/>
      <c r="CH2825" s="23"/>
      <c r="CI2825" s="23"/>
    </row>
    <row r="2826" spans="1:87" x14ac:dyDescent="0.3">
      <c r="A2826" s="9" t="s">
        <v>21005</v>
      </c>
      <c r="B2826" s="10" t="s">
        <v>21006</v>
      </c>
      <c r="C2826" s="11">
        <v>45991.3125</v>
      </c>
      <c r="D2826" s="12">
        <v>2.0833333333333332E-2</v>
      </c>
      <c r="E2826" s="11">
        <v>45991.333333333336</v>
      </c>
      <c r="F2826" s="22" t="s">
        <v>9016</v>
      </c>
      <c r="G2826" s="13" t="b">
        <v>0</v>
      </c>
      <c r="H2826" s="22" t="s">
        <v>9017</v>
      </c>
      <c r="I2826" s="10" t="s">
        <v>212</v>
      </c>
      <c r="J2826" s="13" t="b">
        <v>1</v>
      </c>
      <c r="K2826" s="13" t="b">
        <v>0</v>
      </c>
      <c r="L2826" s="10" t="s">
        <v>124</v>
      </c>
      <c r="M2826" s="10" t="s">
        <v>91</v>
      </c>
      <c r="N2826" s="10" t="s">
        <v>92</v>
      </c>
      <c r="O2826" s="19" t="s">
        <v>21007</v>
      </c>
      <c r="P2826" s="10"/>
      <c r="Q2826" s="10" t="s">
        <v>94</v>
      </c>
      <c r="R2826" s="10"/>
      <c r="S2826" s="10"/>
      <c r="T2826" s="10"/>
      <c r="U2826" s="10"/>
      <c r="V2826" s="10"/>
      <c r="W2826" s="10" t="s">
        <v>9020</v>
      </c>
      <c r="X2826" s="10" t="s">
        <v>130</v>
      </c>
      <c r="Y2826" s="10" t="s">
        <v>130</v>
      </c>
      <c r="Z2826" s="10" t="s">
        <v>99</v>
      </c>
      <c r="AA2826" s="10" t="s">
        <v>131</v>
      </c>
      <c r="AB2826" s="10" t="s">
        <v>9021</v>
      </c>
      <c r="AC2826" s="10" t="s">
        <v>9022</v>
      </c>
      <c r="AD2826" s="10" t="s">
        <v>165</v>
      </c>
      <c r="AE2826" s="10" t="s">
        <v>21008</v>
      </c>
      <c r="AF2826" s="15"/>
      <c r="AG2826" s="10"/>
      <c r="AH2826" s="10"/>
      <c r="AI2826" s="10"/>
      <c r="AJ2826" s="10"/>
      <c r="AK2826" s="10" t="s">
        <v>102</v>
      </c>
      <c r="AL2826" s="10"/>
      <c r="AM2826" s="10"/>
      <c r="AN2826" s="10"/>
      <c r="AO2826" s="13" t="b">
        <v>0</v>
      </c>
      <c r="AP2826" s="22" t="s">
        <v>104</v>
      </c>
      <c r="AQ2826" s="10">
        <f ca="1">IFERROR(__xludf.DUMMYFUNCTION("""COMPUTED_VALUE"""),4743095)</f>
        <v>4743095</v>
      </c>
      <c r="AR2826" s="17">
        <v>73</v>
      </c>
      <c r="AS2826" s="17">
        <v>62</v>
      </c>
      <c r="AT2826" s="17">
        <v>386.75</v>
      </c>
      <c r="AU2826" s="17">
        <v>0</v>
      </c>
      <c r="AV2826" s="17">
        <v>0</v>
      </c>
      <c r="AW2826" s="10" t="s">
        <v>105</v>
      </c>
      <c r="AX2826" s="17">
        <v>33</v>
      </c>
      <c r="AY2826" s="18">
        <v>6.237903225806452</v>
      </c>
      <c r="AZ2826" s="10"/>
      <c r="BA2826" s="20" t="b">
        <v>0</v>
      </c>
      <c r="BB2826" s="10" t="s">
        <v>20997</v>
      </c>
      <c r="BC2826" s="17">
        <v>73</v>
      </c>
      <c r="BD2826" s="17">
        <v>62</v>
      </c>
      <c r="BE2826" s="17">
        <v>386.75</v>
      </c>
      <c r="BF2826" s="17">
        <v>0</v>
      </c>
      <c r="BG2826" s="11">
        <f ca="1">IFERROR(__xludf.DUMMYFUNCTION("""COMPUTED_VALUE"""),45991.3125)</f>
        <v>45991.3125</v>
      </c>
      <c r="BH2826" s="17" t="s">
        <v>105</v>
      </c>
      <c r="BI2826" s="17"/>
      <c r="BJ2826" s="15"/>
      <c r="BK2826" s="15"/>
      <c r="BL2826" s="13" t="b">
        <v>0</v>
      </c>
      <c r="BM2826" s="10"/>
      <c r="BN2826" s="10" t="s">
        <v>4030</v>
      </c>
      <c r="BO2826" s="11">
        <v>45989.913888888892</v>
      </c>
      <c r="BP2826" s="11">
        <v>45989.914120370369</v>
      </c>
      <c r="BQ2826" s="15"/>
      <c r="BR2826" s="15">
        <v>45991.775081018517</v>
      </c>
      <c r="BS2826" s="10" t="s">
        <v>4030</v>
      </c>
      <c r="BT2826" s="10"/>
      <c r="BU2826" s="10"/>
      <c r="BV2826" s="10"/>
      <c r="BW2826" s="10"/>
      <c r="BX2826" s="10"/>
      <c r="BY2826" s="23"/>
      <c r="BZ2826" s="23"/>
      <c r="CA2826" s="23"/>
      <c r="CB2826" s="23"/>
      <c r="CC2826" s="23"/>
      <c r="CD2826" s="23"/>
      <c r="CE2826" s="23"/>
      <c r="CF2826" s="23"/>
      <c r="CG2826" s="23"/>
      <c r="CH2826" s="23"/>
      <c r="CI2826" s="23"/>
    </row>
    <row r="2827" spans="1:87" x14ac:dyDescent="0.3">
      <c r="A2827" s="9" t="s">
        <v>21009</v>
      </c>
      <c r="B2827" s="10" t="s">
        <v>21010</v>
      </c>
      <c r="C2827" s="11">
        <v>45991.333333333336</v>
      </c>
      <c r="D2827" s="12">
        <v>2.0833333333333332E-2</v>
      </c>
      <c r="E2827" s="11">
        <v>45991.354166666664</v>
      </c>
      <c r="F2827" s="22" t="s">
        <v>9016</v>
      </c>
      <c r="G2827" s="13" t="b">
        <v>0</v>
      </c>
      <c r="H2827" s="22" t="s">
        <v>9017</v>
      </c>
      <c r="I2827" s="10" t="s">
        <v>212</v>
      </c>
      <c r="J2827" s="13" t="b">
        <v>1</v>
      </c>
      <c r="K2827" s="13" t="b">
        <v>0</v>
      </c>
      <c r="L2827" s="10" t="s">
        <v>124</v>
      </c>
      <c r="M2827" s="10" t="s">
        <v>91</v>
      </c>
      <c r="N2827" s="10" t="s">
        <v>92</v>
      </c>
      <c r="O2827" s="19" t="s">
        <v>21011</v>
      </c>
      <c r="P2827" s="10"/>
      <c r="Q2827" s="10" t="s">
        <v>94</v>
      </c>
      <c r="R2827" s="10"/>
      <c r="S2827" s="10"/>
      <c r="T2827" s="10"/>
      <c r="U2827" s="10"/>
      <c r="V2827" s="10"/>
      <c r="W2827" s="10" t="s">
        <v>9020</v>
      </c>
      <c r="X2827" s="10" t="s">
        <v>130</v>
      </c>
      <c r="Y2827" s="10" t="s">
        <v>130</v>
      </c>
      <c r="Z2827" s="10" t="s">
        <v>99</v>
      </c>
      <c r="AA2827" s="10" t="s">
        <v>131</v>
      </c>
      <c r="AB2827" s="10" t="s">
        <v>9021</v>
      </c>
      <c r="AC2827" s="10" t="s">
        <v>9022</v>
      </c>
      <c r="AD2827" s="10" t="s">
        <v>165</v>
      </c>
      <c r="AE2827" s="10" t="s">
        <v>21012</v>
      </c>
      <c r="AF2827" s="15"/>
      <c r="AG2827" s="10"/>
      <c r="AH2827" s="10"/>
      <c r="AI2827" s="10"/>
      <c r="AJ2827" s="10"/>
      <c r="AK2827" s="10" t="s">
        <v>102</v>
      </c>
      <c r="AL2827" s="10"/>
      <c r="AM2827" s="10"/>
      <c r="AN2827" s="10"/>
      <c r="AO2827" s="13" t="b">
        <v>0</v>
      </c>
      <c r="AP2827" s="22" t="s">
        <v>104</v>
      </c>
      <c r="AQ2827" s="10">
        <f ca="1">IFERROR(__xludf.DUMMYFUNCTION("""COMPUTED_VALUE"""),4743096)</f>
        <v>4743096</v>
      </c>
      <c r="AR2827" s="17">
        <v>89</v>
      </c>
      <c r="AS2827" s="17">
        <v>70</v>
      </c>
      <c r="AT2827" s="17">
        <v>364</v>
      </c>
      <c r="AU2827" s="17">
        <v>0</v>
      </c>
      <c r="AV2827" s="17">
        <v>0</v>
      </c>
      <c r="AW2827" s="10" t="s">
        <v>105</v>
      </c>
      <c r="AX2827" s="17">
        <v>35</v>
      </c>
      <c r="AY2827" s="18">
        <v>5.2</v>
      </c>
      <c r="AZ2827" s="10"/>
      <c r="BA2827" s="20" t="b">
        <v>0</v>
      </c>
      <c r="BB2827" s="10" t="s">
        <v>20997</v>
      </c>
      <c r="BC2827" s="17">
        <v>89</v>
      </c>
      <c r="BD2827" s="17">
        <v>70</v>
      </c>
      <c r="BE2827" s="17">
        <v>364</v>
      </c>
      <c r="BF2827" s="17">
        <v>0</v>
      </c>
      <c r="BG2827" s="11">
        <f ca="1">IFERROR(__xludf.DUMMYFUNCTION("""COMPUTED_VALUE"""),45991.3333333333)</f>
        <v>45991.333333333299</v>
      </c>
      <c r="BH2827" s="17" t="s">
        <v>105</v>
      </c>
      <c r="BI2827" s="17"/>
      <c r="BJ2827" s="15"/>
      <c r="BK2827" s="15"/>
      <c r="BL2827" s="13" t="b">
        <v>0</v>
      </c>
      <c r="BM2827" s="10"/>
      <c r="BN2827" s="10" t="s">
        <v>4030</v>
      </c>
      <c r="BO2827" s="11">
        <v>45989.913888888892</v>
      </c>
      <c r="BP2827" s="11">
        <v>45989.9143287037</v>
      </c>
      <c r="BQ2827" s="15"/>
      <c r="BR2827" s="15">
        <v>45991.775289351855</v>
      </c>
      <c r="BS2827" s="10" t="s">
        <v>4030</v>
      </c>
      <c r="BT2827" s="10"/>
      <c r="BU2827" s="10"/>
      <c r="BV2827" s="10"/>
      <c r="BW2827" s="10"/>
      <c r="BX2827" s="10"/>
      <c r="BY2827" s="23"/>
      <c r="BZ2827" s="23"/>
      <c r="CA2827" s="23"/>
      <c r="CB2827" s="23"/>
      <c r="CC2827" s="23"/>
      <c r="CD2827" s="23"/>
      <c r="CE2827" s="23"/>
      <c r="CF2827" s="23"/>
      <c r="CG2827" s="23"/>
      <c r="CH2827" s="23"/>
      <c r="CI2827" s="23"/>
    </row>
    <row r="2828" spans="1:87" x14ac:dyDescent="0.3">
      <c r="A2828" s="9" t="s">
        <v>21013</v>
      </c>
      <c r="B2828" s="10" t="s">
        <v>21014</v>
      </c>
      <c r="C2828" s="11">
        <v>45991.354166666664</v>
      </c>
      <c r="D2828" s="12">
        <v>2.0833333333333332E-2</v>
      </c>
      <c r="E2828" s="11">
        <v>45991.375</v>
      </c>
      <c r="F2828" s="22" t="s">
        <v>9016</v>
      </c>
      <c r="G2828" s="13" t="b">
        <v>0</v>
      </c>
      <c r="H2828" s="22" t="s">
        <v>9017</v>
      </c>
      <c r="I2828" s="10" t="s">
        <v>212</v>
      </c>
      <c r="J2828" s="13" t="b">
        <v>1</v>
      </c>
      <c r="K2828" s="13" t="b">
        <v>0</v>
      </c>
      <c r="L2828" s="10" t="s">
        <v>124</v>
      </c>
      <c r="M2828" s="10" t="s">
        <v>91</v>
      </c>
      <c r="N2828" s="10" t="s">
        <v>92</v>
      </c>
      <c r="O2828" s="19" t="s">
        <v>21015</v>
      </c>
      <c r="P2828" s="10"/>
      <c r="Q2828" s="10" t="s">
        <v>94</v>
      </c>
      <c r="R2828" s="10"/>
      <c r="S2828" s="10"/>
      <c r="T2828" s="10"/>
      <c r="U2828" s="10"/>
      <c r="V2828" s="10"/>
      <c r="W2828" s="10" t="s">
        <v>9020</v>
      </c>
      <c r="X2828" s="10" t="s">
        <v>130</v>
      </c>
      <c r="Y2828" s="10" t="s">
        <v>130</v>
      </c>
      <c r="Z2828" s="10" t="s">
        <v>99</v>
      </c>
      <c r="AA2828" s="10" t="s">
        <v>131</v>
      </c>
      <c r="AB2828" s="10" t="s">
        <v>9021</v>
      </c>
      <c r="AC2828" s="10" t="s">
        <v>9022</v>
      </c>
      <c r="AD2828" s="10" t="s">
        <v>165</v>
      </c>
      <c r="AE2828" s="10" t="s">
        <v>21016</v>
      </c>
      <c r="AF2828" s="15"/>
      <c r="AG2828" s="10"/>
      <c r="AH2828" s="10"/>
      <c r="AI2828" s="10"/>
      <c r="AJ2828" s="10"/>
      <c r="AK2828" s="10" t="s">
        <v>102</v>
      </c>
      <c r="AL2828" s="10"/>
      <c r="AM2828" s="10"/>
      <c r="AN2828" s="10"/>
      <c r="AO2828" s="13" t="b">
        <v>0</v>
      </c>
      <c r="AP2828" s="22" t="s">
        <v>104</v>
      </c>
      <c r="AQ2828" s="10">
        <f ca="1">IFERROR(__xludf.DUMMYFUNCTION("""COMPUTED_VALUE"""),4743097)</f>
        <v>4743097</v>
      </c>
      <c r="AR2828" s="17">
        <v>110</v>
      </c>
      <c r="AS2828" s="17">
        <v>78</v>
      </c>
      <c r="AT2828" s="17">
        <v>1022.5</v>
      </c>
      <c r="AU2828" s="17">
        <v>0</v>
      </c>
      <c r="AV2828" s="17">
        <v>0</v>
      </c>
      <c r="AW2828" s="10" t="s">
        <v>105</v>
      </c>
      <c r="AX2828" s="17">
        <v>35</v>
      </c>
      <c r="AY2828" s="18">
        <v>13.108974358974359</v>
      </c>
      <c r="AZ2828" s="10"/>
      <c r="BA2828" s="20" t="b">
        <v>0</v>
      </c>
      <c r="BB2828" s="10" t="s">
        <v>20997</v>
      </c>
      <c r="BC2828" s="17">
        <v>110</v>
      </c>
      <c r="BD2828" s="17">
        <v>78</v>
      </c>
      <c r="BE2828" s="17">
        <v>1022.5</v>
      </c>
      <c r="BF2828" s="17">
        <v>0</v>
      </c>
      <c r="BG2828" s="11">
        <f ca="1">IFERROR(__xludf.DUMMYFUNCTION("""COMPUTED_VALUE"""),45991.3541666666)</f>
        <v>45991.354166666599</v>
      </c>
      <c r="BH2828" s="17" t="s">
        <v>105</v>
      </c>
      <c r="BI2828" s="17"/>
      <c r="BJ2828" s="15"/>
      <c r="BK2828" s="15"/>
      <c r="BL2828" s="13" t="b">
        <v>0</v>
      </c>
      <c r="BM2828" s="10"/>
      <c r="BN2828" s="10" t="s">
        <v>4030</v>
      </c>
      <c r="BO2828" s="11">
        <v>45989.913888888892</v>
      </c>
      <c r="BP2828" s="11">
        <v>45989.914594907408</v>
      </c>
      <c r="BQ2828" s="15"/>
      <c r="BR2828" s="15">
        <v>45991.775520833333</v>
      </c>
      <c r="BS2828" s="10" t="s">
        <v>4030</v>
      </c>
      <c r="BT2828" s="10"/>
      <c r="BU2828" s="10"/>
      <c r="BV2828" s="10"/>
      <c r="BW2828" s="10"/>
      <c r="BX2828" s="10"/>
      <c r="BY2828" s="23"/>
      <c r="BZ2828" s="23"/>
      <c r="CA2828" s="23"/>
      <c r="CB2828" s="23"/>
      <c r="CC2828" s="23"/>
      <c r="CD2828" s="23"/>
      <c r="CE2828" s="23"/>
      <c r="CF2828" s="23"/>
      <c r="CG2828" s="23"/>
      <c r="CH2828" s="23"/>
      <c r="CI2828" s="23"/>
    </row>
    <row r="2829" spans="1:87" x14ac:dyDescent="0.3">
      <c r="A2829" s="9" t="s">
        <v>21017</v>
      </c>
      <c r="B2829" s="10" t="s">
        <v>21018</v>
      </c>
      <c r="C2829" s="11">
        <v>45991.375</v>
      </c>
      <c r="D2829" s="12">
        <v>2.0833333333333332E-2</v>
      </c>
      <c r="E2829" s="11">
        <v>45991.395833333336</v>
      </c>
      <c r="F2829" s="22" t="s">
        <v>9016</v>
      </c>
      <c r="G2829" s="13" t="b">
        <v>0</v>
      </c>
      <c r="H2829" s="22" t="s">
        <v>9017</v>
      </c>
      <c r="I2829" s="10" t="s">
        <v>212</v>
      </c>
      <c r="J2829" s="13" t="b">
        <v>1</v>
      </c>
      <c r="K2829" s="13" t="b">
        <v>0</v>
      </c>
      <c r="L2829" s="10" t="s">
        <v>124</v>
      </c>
      <c r="M2829" s="10" t="s">
        <v>91</v>
      </c>
      <c r="N2829" s="10" t="s">
        <v>92</v>
      </c>
      <c r="O2829" s="19" t="s">
        <v>21019</v>
      </c>
      <c r="P2829" s="10"/>
      <c r="Q2829" s="10" t="s">
        <v>94</v>
      </c>
      <c r="R2829" s="10"/>
      <c r="S2829" s="10"/>
      <c r="T2829" s="10"/>
      <c r="U2829" s="10"/>
      <c r="V2829" s="10"/>
      <c r="W2829" s="10" t="s">
        <v>9020</v>
      </c>
      <c r="X2829" s="10" t="s">
        <v>130</v>
      </c>
      <c r="Y2829" s="10" t="s">
        <v>130</v>
      </c>
      <c r="Z2829" s="10" t="s">
        <v>99</v>
      </c>
      <c r="AA2829" s="10" t="s">
        <v>131</v>
      </c>
      <c r="AB2829" s="10" t="s">
        <v>9021</v>
      </c>
      <c r="AC2829" s="10" t="s">
        <v>9022</v>
      </c>
      <c r="AD2829" s="10" t="s">
        <v>165</v>
      </c>
      <c r="AE2829" s="10" t="s">
        <v>21020</v>
      </c>
      <c r="AF2829" s="15"/>
      <c r="AG2829" s="10"/>
      <c r="AH2829" s="10"/>
      <c r="AI2829" s="10"/>
      <c r="AJ2829" s="10"/>
      <c r="AK2829" s="10" t="s">
        <v>102</v>
      </c>
      <c r="AL2829" s="10"/>
      <c r="AM2829" s="10"/>
      <c r="AN2829" s="10"/>
      <c r="AO2829" s="13" t="b">
        <v>0</v>
      </c>
      <c r="AP2829" s="22" t="s">
        <v>104</v>
      </c>
      <c r="AQ2829" s="10">
        <f ca="1">IFERROR(__xludf.DUMMYFUNCTION("""COMPUTED_VALUE"""),4743098)</f>
        <v>4743098</v>
      </c>
      <c r="AR2829" s="17">
        <v>95</v>
      </c>
      <c r="AS2829" s="17">
        <v>69</v>
      </c>
      <c r="AT2829" s="17">
        <v>338.25</v>
      </c>
      <c r="AU2829" s="17">
        <v>0</v>
      </c>
      <c r="AV2829" s="17">
        <v>0</v>
      </c>
      <c r="AW2829" s="10" t="s">
        <v>105</v>
      </c>
      <c r="AX2829" s="17">
        <v>41</v>
      </c>
      <c r="AY2829" s="18">
        <v>4.9021739130434785</v>
      </c>
      <c r="AZ2829" s="10"/>
      <c r="BA2829" s="20" t="b">
        <v>0</v>
      </c>
      <c r="BB2829" s="10" t="s">
        <v>20997</v>
      </c>
      <c r="BC2829" s="17">
        <v>95</v>
      </c>
      <c r="BD2829" s="17">
        <v>69</v>
      </c>
      <c r="BE2829" s="17">
        <v>338.25</v>
      </c>
      <c r="BF2829" s="17">
        <v>0</v>
      </c>
      <c r="BG2829" s="11">
        <f ca="1">IFERROR(__xludf.DUMMYFUNCTION("""COMPUTED_VALUE"""),45991.375)</f>
        <v>45991.375</v>
      </c>
      <c r="BH2829" s="17" t="s">
        <v>105</v>
      </c>
      <c r="BI2829" s="17"/>
      <c r="BJ2829" s="15"/>
      <c r="BK2829" s="15"/>
      <c r="BL2829" s="13" t="b">
        <v>0</v>
      </c>
      <c r="BM2829" s="10"/>
      <c r="BN2829" s="10" t="s">
        <v>4030</v>
      </c>
      <c r="BO2829" s="11">
        <v>45989.914583333331</v>
      </c>
      <c r="BP2829" s="11">
        <v>45989.914756944447</v>
      </c>
      <c r="BQ2829" s="15"/>
      <c r="BR2829" s="15">
        <v>45991.775902777779</v>
      </c>
      <c r="BS2829" s="10" t="s">
        <v>4030</v>
      </c>
      <c r="BT2829" s="10"/>
      <c r="BU2829" s="10"/>
      <c r="BV2829" s="10"/>
      <c r="BW2829" s="10"/>
      <c r="BX2829" s="10"/>
      <c r="BY2829" s="23"/>
      <c r="BZ2829" s="23"/>
      <c r="CA2829" s="23"/>
      <c r="CB2829" s="23"/>
      <c r="CC2829" s="23"/>
      <c r="CD2829" s="23"/>
      <c r="CE2829" s="23"/>
      <c r="CF2829" s="23"/>
      <c r="CG2829" s="23"/>
      <c r="CH2829" s="23"/>
      <c r="CI2829" s="23"/>
    </row>
    <row r="2830" spans="1:87" x14ac:dyDescent="0.3">
      <c r="A2830" s="9" t="s">
        <v>21021</v>
      </c>
      <c r="B2830" s="10" t="s">
        <v>21022</v>
      </c>
      <c r="C2830" s="11">
        <v>45991.395833333336</v>
      </c>
      <c r="D2830" s="12">
        <v>2.0833333333333332E-2</v>
      </c>
      <c r="E2830" s="11">
        <v>45991.416666666664</v>
      </c>
      <c r="F2830" s="22" t="s">
        <v>9016</v>
      </c>
      <c r="G2830" s="13" t="b">
        <v>0</v>
      </c>
      <c r="H2830" s="22" t="s">
        <v>9017</v>
      </c>
      <c r="I2830" s="10" t="s">
        <v>212</v>
      </c>
      <c r="J2830" s="13" t="b">
        <v>1</v>
      </c>
      <c r="K2830" s="13" t="b">
        <v>0</v>
      </c>
      <c r="L2830" s="10" t="s">
        <v>124</v>
      </c>
      <c r="M2830" s="10" t="s">
        <v>91</v>
      </c>
      <c r="N2830" s="10" t="s">
        <v>92</v>
      </c>
      <c r="O2830" s="19" t="s">
        <v>21023</v>
      </c>
      <c r="P2830" s="10"/>
      <c r="Q2830" s="10" t="s">
        <v>94</v>
      </c>
      <c r="R2830" s="10"/>
      <c r="S2830" s="10"/>
      <c r="T2830" s="10"/>
      <c r="U2830" s="10"/>
      <c r="V2830" s="10"/>
      <c r="W2830" s="10" t="s">
        <v>9020</v>
      </c>
      <c r="X2830" s="10" t="s">
        <v>130</v>
      </c>
      <c r="Y2830" s="10" t="s">
        <v>130</v>
      </c>
      <c r="Z2830" s="10" t="s">
        <v>99</v>
      </c>
      <c r="AA2830" s="10" t="s">
        <v>131</v>
      </c>
      <c r="AB2830" s="10" t="s">
        <v>9021</v>
      </c>
      <c r="AC2830" s="10" t="s">
        <v>9022</v>
      </c>
      <c r="AD2830" s="10" t="s">
        <v>165</v>
      </c>
      <c r="AE2830" s="10" t="s">
        <v>21024</v>
      </c>
      <c r="AF2830" s="15"/>
      <c r="AG2830" s="10"/>
      <c r="AH2830" s="10"/>
      <c r="AI2830" s="10"/>
      <c r="AJ2830" s="10"/>
      <c r="AK2830" s="10" t="s">
        <v>102</v>
      </c>
      <c r="AL2830" s="10"/>
      <c r="AM2830" s="10"/>
      <c r="AN2830" s="10"/>
      <c r="AO2830" s="13" t="b">
        <v>0</v>
      </c>
      <c r="AP2830" s="22" t="s">
        <v>104</v>
      </c>
      <c r="AQ2830" s="10">
        <f ca="1">IFERROR(__xludf.DUMMYFUNCTION("""COMPUTED_VALUE"""),4743099)</f>
        <v>4743099</v>
      </c>
      <c r="AR2830" s="17">
        <v>73</v>
      </c>
      <c r="AS2830" s="17">
        <v>60</v>
      </c>
      <c r="AT2830" s="17">
        <v>249.75</v>
      </c>
      <c r="AU2830" s="17">
        <v>0</v>
      </c>
      <c r="AV2830" s="17">
        <v>0</v>
      </c>
      <c r="AW2830" s="10" t="s">
        <v>105</v>
      </c>
      <c r="AX2830" s="17">
        <v>27</v>
      </c>
      <c r="AY2830" s="18">
        <v>4.1624999999999996</v>
      </c>
      <c r="AZ2830" s="10"/>
      <c r="BA2830" s="20" t="b">
        <v>0</v>
      </c>
      <c r="BB2830" s="10" t="s">
        <v>20997</v>
      </c>
      <c r="BC2830" s="17">
        <v>73</v>
      </c>
      <c r="BD2830" s="17">
        <v>60</v>
      </c>
      <c r="BE2830" s="17">
        <v>249.75</v>
      </c>
      <c r="BF2830" s="17">
        <v>0</v>
      </c>
      <c r="BG2830" s="11">
        <f ca="1">IFERROR(__xludf.DUMMYFUNCTION("""COMPUTED_VALUE"""),45991.3958333333)</f>
        <v>45991.395833333299</v>
      </c>
      <c r="BH2830" s="17" t="s">
        <v>105</v>
      </c>
      <c r="BI2830" s="17"/>
      <c r="BJ2830" s="15"/>
      <c r="BK2830" s="15"/>
      <c r="BL2830" s="13" t="b">
        <v>0</v>
      </c>
      <c r="BM2830" s="10"/>
      <c r="BN2830" s="10" t="s">
        <v>4030</v>
      </c>
      <c r="BO2830" s="11">
        <v>45989.914583333331</v>
      </c>
      <c r="BP2830" s="11">
        <v>45989.914942129632</v>
      </c>
      <c r="BQ2830" s="15"/>
      <c r="BR2830" s="15">
        <v>45991.776122685187</v>
      </c>
      <c r="BS2830" s="10" t="s">
        <v>4030</v>
      </c>
      <c r="BT2830" s="10"/>
      <c r="BU2830" s="10"/>
      <c r="BV2830" s="10"/>
      <c r="BW2830" s="10"/>
      <c r="BX2830" s="10"/>
      <c r="BY2830" s="23"/>
      <c r="BZ2830" s="23"/>
      <c r="CA2830" s="23"/>
      <c r="CB2830" s="23"/>
      <c r="CC2830" s="23"/>
      <c r="CD2830" s="23"/>
      <c r="CE2830" s="23"/>
      <c r="CF2830" s="23"/>
      <c r="CG2830" s="23"/>
      <c r="CH2830" s="23"/>
      <c r="CI2830" s="23"/>
    </row>
    <row r="2831" spans="1:87" x14ac:dyDescent="0.3">
      <c r="A2831" s="9" t="s">
        <v>21025</v>
      </c>
      <c r="B2831" s="10" t="s">
        <v>21026</v>
      </c>
      <c r="C2831" s="11">
        <v>45991.416666666664</v>
      </c>
      <c r="D2831" s="12">
        <v>2.0833333333333332E-2</v>
      </c>
      <c r="E2831" s="11">
        <v>45991.4375</v>
      </c>
      <c r="F2831" s="22" t="s">
        <v>9016</v>
      </c>
      <c r="G2831" s="13" t="b">
        <v>0</v>
      </c>
      <c r="H2831" s="22" t="s">
        <v>9017</v>
      </c>
      <c r="I2831" s="10" t="s">
        <v>212</v>
      </c>
      <c r="J2831" s="13" t="b">
        <v>1</v>
      </c>
      <c r="K2831" s="13" t="b">
        <v>0</v>
      </c>
      <c r="L2831" s="10" t="s">
        <v>124</v>
      </c>
      <c r="M2831" s="10" t="s">
        <v>91</v>
      </c>
      <c r="N2831" s="10" t="s">
        <v>92</v>
      </c>
      <c r="O2831" s="19" t="s">
        <v>21027</v>
      </c>
      <c r="P2831" s="10"/>
      <c r="Q2831" s="10" t="s">
        <v>94</v>
      </c>
      <c r="R2831" s="10"/>
      <c r="S2831" s="10"/>
      <c r="T2831" s="10"/>
      <c r="U2831" s="10"/>
      <c r="V2831" s="10"/>
      <c r="W2831" s="10" t="s">
        <v>9020</v>
      </c>
      <c r="X2831" s="10" t="s">
        <v>130</v>
      </c>
      <c r="Y2831" s="10" t="s">
        <v>130</v>
      </c>
      <c r="Z2831" s="10" t="s">
        <v>99</v>
      </c>
      <c r="AA2831" s="10" t="s">
        <v>131</v>
      </c>
      <c r="AB2831" s="10" t="s">
        <v>9021</v>
      </c>
      <c r="AC2831" s="10" t="s">
        <v>9022</v>
      </c>
      <c r="AD2831" s="10" t="s">
        <v>165</v>
      </c>
      <c r="AE2831" s="10" t="s">
        <v>21028</v>
      </c>
      <c r="AF2831" s="15"/>
      <c r="AG2831" s="10"/>
      <c r="AH2831" s="10"/>
      <c r="AI2831" s="10"/>
      <c r="AJ2831" s="10"/>
      <c r="AK2831" s="10" t="s">
        <v>102</v>
      </c>
      <c r="AL2831" s="10"/>
      <c r="AM2831" s="10"/>
      <c r="AN2831" s="10"/>
      <c r="AO2831" s="13" t="b">
        <v>0</v>
      </c>
      <c r="AP2831" s="22" t="s">
        <v>104</v>
      </c>
      <c r="AQ2831" s="10">
        <f ca="1">IFERROR(__xludf.DUMMYFUNCTION("""COMPUTED_VALUE"""),4743100)</f>
        <v>4743100</v>
      </c>
      <c r="AR2831" s="17">
        <v>72</v>
      </c>
      <c r="AS2831" s="17">
        <v>55</v>
      </c>
      <c r="AT2831" s="17">
        <v>180</v>
      </c>
      <c r="AU2831" s="17">
        <v>0</v>
      </c>
      <c r="AV2831" s="17">
        <v>0</v>
      </c>
      <c r="AW2831" s="10" t="s">
        <v>105</v>
      </c>
      <c r="AX2831" s="17">
        <v>29</v>
      </c>
      <c r="AY2831" s="18">
        <v>3.2727272727272729</v>
      </c>
      <c r="AZ2831" s="10"/>
      <c r="BA2831" s="20" t="b">
        <v>0</v>
      </c>
      <c r="BB2831" s="10" t="s">
        <v>20997</v>
      </c>
      <c r="BC2831" s="17">
        <v>72</v>
      </c>
      <c r="BD2831" s="17">
        <v>55</v>
      </c>
      <c r="BE2831" s="17">
        <v>180</v>
      </c>
      <c r="BF2831" s="17">
        <v>0</v>
      </c>
      <c r="BG2831" s="11">
        <f ca="1">IFERROR(__xludf.DUMMYFUNCTION("""COMPUTED_VALUE"""),45991.4166666666)</f>
        <v>45991.416666666599</v>
      </c>
      <c r="BH2831" s="17" t="s">
        <v>105</v>
      </c>
      <c r="BI2831" s="17"/>
      <c r="BJ2831" s="15"/>
      <c r="BK2831" s="15"/>
      <c r="BL2831" s="13" t="b">
        <v>0</v>
      </c>
      <c r="BM2831" s="10"/>
      <c r="BN2831" s="10" t="s">
        <v>4030</v>
      </c>
      <c r="BO2831" s="11">
        <v>45989.914583333331</v>
      </c>
      <c r="BP2831" s="11">
        <v>45989.915173611109</v>
      </c>
      <c r="BQ2831" s="15"/>
      <c r="BR2831" s="15">
        <v>45991.776469907411</v>
      </c>
      <c r="BS2831" s="10" t="s">
        <v>4030</v>
      </c>
      <c r="BT2831" s="10"/>
      <c r="BU2831" s="10"/>
      <c r="BV2831" s="10"/>
      <c r="BW2831" s="10"/>
      <c r="BX2831" s="10"/>
      <c r="BY2831" s="23"/>
      <c r="BZ2831" s="23"/>
      <c r="CA2831" s="23"/>
      <c r="CB2831" s="23"/>
      <c r="CC2831" s="23"/>
      <c r="CD2831" s="23"/>
      <c r="CE2831" s="23"/>
      <c r="CF2831" s="23"/>
      <c r="CG2831" s="23"/>
      <c r="CH2831" s="23"/>
      <c r="CI2831" s="23"/>
    </row>
    <row r="2832" spans="1:87" x14ac:dyDescent="0.3">
      <c r="A2832" s="9" t="s">
        <v>21029</v>
      </c>
      <c r="B2832" s="10" t="s">
        <v>21030</v>
      </c>
      <c r="C2832" s="11">
        <v>45991.4375</v>
      </c>
      <c r="D2832" s="12">
        <v>2.0833333333333332E-2</v>
      </c>
      <c r="E2832" s="11">
        <v>45991.458333333336</v>
      </c>
      <c r="F2832" s="22" t="s">
        <v>9016</v>
      </c>
      <c r="G2832" s="13" t="b">
        <v>0</v>
      </c>
      <c r="H2832" s="22" t="s">
        <v>9017</v>
      </c>
      <c r="I2832" s="10" t="s">
        <v>212</v>
      </c>
      <c r="J2832" s="13" t="b">
        <v>1</v>
      </c>
      <c r="K2832" s="13" t="b">
        <v>0</v>
      </c>
      <c r="L2832" s="10" t="s">
        <v>124</v>
      </c>
      <c r="M2832" s="10" t="s">
        <v>91</v>
      </c>
      <c r="N2832" s="10" t="s">
        <v>92</v>
      </c>
      <c r="O2832" s="19" t="s">
        <v>21031</v>
      </c>
      <c r="P2832" s="10"/>
      <c r="Q2832" s="10" t="s">
        <v>94</v>
      </c>
      <c r="R2832" s="10"/>
      <c r="S2832" s="10"/>
      <c r="T2832" s="10"/>
      <c r="U2832" s="10"/>
      <c r="V2832" s="10"/>
      <c r="W2832" s="10" t="s">
        <v>9020</v>
      </c>
      <c r="X2832" s="10" t="s">
        <v>130</v>
      </c>
      <c r="Y2832" s="10" t="s">
        <v>130</v>
      </c>
      <c r="Z2832" s="10" t="s">
        <v>99</v>
      </c>
      <c r="AA2832" s="10" t="s">
        <v>131</v>
      </c>
      <c r="AB2832" s="10" t="s">
        <v>9021</v>
      </c>
      <c r="AC2832" s="10" t="s">
        <v>9022</v>
      </c>
      <c r="AD2832" s="10" t="s">
        <v>165</v>
      </c>
      <c r="AE2832" s="10" t="s">
        <v>21032</v>
      </c>
      <c r="AF2832" s="15"/>
      <c r="AG2832" s="10"/>
      <c r="AH2832" s="10"/>
      <c r="AI2832" s="10"/>
      <c r="AJ2832" s="10"/>
      <c r="AK2832" s="10" t="s">
        <v>102</v>
      </c>
      <c r="AL2832" s="10"/>
      <c r="AM2832" s="10"/>
      <c r="AN2832" s="10"/>
      <c r="AO2832" s="13" t="b">
        <v>0</v>
      </c>
      <c r="AP2832" s="22" t="s">
        <v>104</v>
      </c>
      <c r="AQ2832" s="10">
        <f ca="1">IFERROR(__xludf.DUMMYFUNCTION("""COMPUTED_VALUE"""),4743101)</f>
        <v>4743101</v>
      </c>
      <c r="AR2832" s="17">
        <v>109</v>
      </c>
      <c r="AS2832" s="17">
        <v>83</v>
      </c>
      <c r="AT2832" s="17">
        <v>675.75</v>
      </c>
      <c r="AU2832" s="17">
        <v>0</v>
      </c>
      <c r="AV2832" s="17">
        <v>0</v>
      </c>
      <c r="AW2832" s="10" t="s">
        <v>105</v>
      </c>
      <c r="AX2832" s="17">
        <v>38</v>
      </c>
      <c r="AY2832" s="18">
        <v>8.1415662650602414</v>
      </c>
      <c r="AZ2832" s="10"/>
      <c r="BA2832" s="20" t="b">
        <v>0</v>
      </c>
      <c r="BB2832" s="10" t="s">
        <v>20997</v>
      </c>
      <c r="BC2832" s="17">
        <v>109</v>
      </c>
      <c r="BD2832" s="17">
        <v>83</v>
      </c>
      <c r="BE2832" s="17">
        <v>675.75</v>
      </c>
      <c r="BF2832" s="17">
        <v>0</v>
      </c>
      <c r="BG2832" s="11">
        <f ca="1">IFERROR(__xludf.DUMMYFUNCTION("""COMPUTED_VALUE"""),45991.4375)</f>
        <v>45991.4375</v>
      </c>
      <c r="BH2832" s="17" t="s">
        <v>105</v>
      </c>
      <c r="BI2832" s="17"/>
      <c r="BJ2832" s="15"/>
      <c r="BK2832" s="15"/>
      <c r="BL2832" s="13" t="b">
        <v>0</v>
      </c>
      <c r="BM2832" s="10"/>
      <c r="BN2832" s="10" t="s">
        <v>4030</v>
      </c>
      <c r="BO2832" s="11">
        <v>45989.915277777778</v>
      </c>
      <c r="BP2832" s="11">
        <v>45989.915370370371</v>
      </c>
      <c r="BQ2832" s="15"/>
      <c r="BR2832" s="15">
        <v>45991.776701388888</v>
      </c>
      <c r="BS2832" s="10" t="s">
        <v>4030</v>
      </c>
      <c r="BT2832" s="10"/>
      <c r="BU2832" s="10"/>
      <c r="BV2832" s="10"/>
      <c r="BW2832" s="10"/>
      <c r="BX2832" s="10"/>
      <c r="BY2832" s="23"/>
      <c r="BZ2832" s="23"/>
      <c r="CA2832" s="23"/>
      <c r="CB2832" s="23"/>
      <c r="CC2832" s="23"/>
      <c r="CD2832" s="23"/>
      <c r="CE2832" s="23"/>
      <c r="CF2832" s="23"/>
      <c r="CG2832" s="23"/>
      <c r="CH2832" s="23"/>
      <c r="CI2832" s="23"/>
    </row>
    <row r="2833" spans="1:87" x14ac:dyDescent="0.3">
      <c r="A2833" s="9" t="s">
        <v>21033</v>
      </c>
      <c r="B2833" s="10" t="s">
        <v>21034</v>
      </c>
      <c r="C2833" s="11">
        <v>45991.458333333336</v>
      </c>
      <c r="D2833" s="12">
        <v>2.0833333333333332E-2</v>
      </c>
      <c r="E2833" s="11">
        <v>45991.479166666664</v>
      </c>
      <c r="F2833" s="22" t="s">
        <v>9016</v>
      </c>
      <c r="G2833" s="13" t="b">
        <v>0</v>
      </c>
      <c r="H2833" s="22" t="s">
        <v>9017</v>
      </c>
      <c r="I2833" s="10" t="s">
        <v>212</v>
      </c>
      <c r="J2833" s="13" t="b">
        <v>1</v>
      </c>
      <c r="K2833" s="13" t="b">
        <v>0</v>
      </c>
      <c r="L2833" s="10" t="s">
        <v>124</v>
      </c>
      <c r="M2833" s="10" t="s">
        <v>91</v>
      </c>
      <c r="N2833" s="10" t="s">
        <v>92</v>
      </c>
      <c r="O2833" s="19" t="s">
        <v>21035</v>
      </c>
      <c r="P2833" s="10"/>
      <c r="Q2833" s="10" t="s">
        <v>94</v>
      </c>
      <c r="R2833" s="10"/>
      <c r="S2833" s="10"/>
      <c r="T2833" s="10"/>
      <c r="U2833" s="10"/>
      <c r="V2833" s="10"/>
      <c r="W2833" s="10" t="s">
        <v>9020</v>
      </c>
      <c r="X2833" s="10" t="s">
        <v>130</v>
      </c>
      <c r="Y2833" s="10" t="s">
        <v>130</v>
      </c>
      <c r="Z2833" s="10" t="s">
        <v>99</v>
      </c>
      <c r="AA2833" s="10" t="s">
        <v>131</v>
      </c>
      <c r="AB2833" s="10" t="s">
        <v>9021</v>
      </c>
      <c r="AC2833" s="10" t="s">
        <v>9022</v>
      </c>
      <c r="AD2833" s="10" t="s">
        <v>165</v>
      </c>
      <c r="AE2833" s="10" t="s">
        <v>21036</v>
      </c>
      <c r="AF2833" s="15"/>
      <c r="AG2833" s="10"/>
      <c r="AH2833" s="10"/>
      <c r="AI2833" s="10"/>
      <c r="AJ2833" s="10"/>
      <c r="AK2833" s="10" t="s">
        <v>102</v>
      </c>
      <c r="AL2833" s="10"/>
      <c r="AM2833" s="10"/>
      <c r="AN2833" s="10"/>
      <c r="AO2833" s="13" t="b">
        <v>0</v>
      </c>
      <c r="AP2833" s="22" t="s">
        <v>104</v>
      </c>
      <c r="AQ2833" s="10">
        <f ca="1">IFERROR(__xludf.DUMMYFUNCTION("""COMPUTED_VALUE"""),4743102)</f>
        <v>4743102</v>
      </c>
      <c r="AR2833" s="17">
        <v>78</v>
      </c>
      <c r="AS2833" s="17">
        <v>66</v>
      </c>
      <c r="AT2833" s="17">
        <v>240</v>
      </c>
      <c r="AU2833" s="17">
        <v>0</v>
      </c>
      <c r="AV2833" s="17">
        <v>0</v>
      </c>
      <c r="AW2833" s="10" t="s">
        <v>105</v>
      </c>
      <c r="AX2833" s="17">
        <v>39</v>
      </c>
      <c r="AY2833" s="18">
        <v>3.6363636363636362</v>
      </c>
      <c r="AZ2833" s="10"/>
      <c r="BA2833" s="20" t="b">
        <v>0</v>
      </c>
      <c r="BB2833" s="10" t="s">
        <v>20997</v>
      </c>
      <c r="BC2833" s="17">
        <v>78</v>
      </c>
      <c r="BD2833" s="17">
        <v>66</v>
      </c>
      <c r="BE2833" s="17">
        <v>240</v>
      </c>
      <c r="BF2833" s="17">
        <v>0</v>
      </c>
      <c r="BG2833" s="11">
        <f ca="1">IFERROR(__xludf.DUMMYFUNCTION("""COMPUTED_VALUE"""),45991.4583333333)</f>
        <v>45991.458333333299</v>
      </c>
      <c r="BH2833" s="17" t="s">
        <v>105</v>
      </c>
      <c r="BI2833" s="17"/>
      <c r="BJ2833" s="15"/>
      <c r="BK2833" s="15"/>
      <c r="BL2833" s="13" t="b">
        <v>0</v>
      </c>
      <c r="BM2833" s="10"/>
      <c r="BN2833" s="10" t="s">
        <v>4030</v>
      </c>
      <c r="BO2833" s="11">
        <v>45989.915277777778</v>
      </c>
      <c r="BP2833" s="11">
        <v>45989.915648148148</v>
      </c>
      <c r="BQ2833" s="15"/>
      <c r="BR2833" s="15">
        <v>45991.776909722219</v>
      </c>
      <c r="BS2833" s="10" t="s">
        <v>4030</v>
      </c>
      <c r="BT2833" s="10"/>
      <c r="BU2833" s="10"/>
      <c r="BV2833" s="10"/>
      <c r="BW2833" s="10"/>
      <c r="BX2833" s="10"/>
      <c r="BY2833" s="23"/>
      <c r="BZ2833" s="23"/>
      <c r="CA2833" s="23"/>
      <c r="CB2833" s="23"/>
      <c r="CC2833" s="23"/>
      <c r="CD2833" s="23"/>
      <c r="CE2833" s="23"/>
      <c r="CF2833" s="23"/>
      <c r="CG2833" s="23"/>
      <c r="CH2833" s="23"/>
      <c r="CI2833" s="23"/>
    </row>
    <row r="2834" spans="1:87" x14ac:dyDescent="0.3">
      <c r="A2834" s="9" t="s">
        <v>21037</v>
      </c>
      <c r="B2834" s="10" t="s">
        <v>21038</v>
      </c>
      <c r="C2834" s="11">
        <v>45991.486111111109</v>
      </c>
      <c r="D2834" s="12">
        <v>2.7777777777777776E-2</v>
      </c>
      <c r="E2834" s="11">
        <v>45991.513888888891</v>
      </c>
      <c r="F2834" s="22" t="s">
        <v>9016</v>
      </c>
      <c r="G2834" s="13" t="b">
        <v>0</v>
      </c>
      <c r="H2834" s="22" t="s">
        <v>9017</v>
      </c>
      <c r="I2834" s="10" t="s">
        <v>212</v>
      </c>
      <c r="J2834" s="13" t="b">
        <v>1</v>
      </c>
      <c r="K2834" s="13" t="b">
        <v>0</v>
      </c>
      <c r="L2834" s="10" t="s">
        <v>124</v>
      </c>
      <c r="M2834" s="10" t="s">
        <v>91</v>
      </c>
      <c r="N2834" s="10" t="s">
        <v>92</v>
      </c>
      <c r="O2834" s="19" t="s">
        <v>21039</v>
      </c>
      <c r="P2834" s="10"/>
      <c r="Q2834" s="10" t="s">
        <v>94</v>
      </c>
      <c r="R2834" s="10"/>
      <c r="S2834" s="10"/>
      <c r="T2834" s="10"/>
      <c r="U2834" s="10"/>
      <c r="V2834" s="10"/>
      <c r="W2834" s="10" t="s">
        <v>9020</v>
      </c>
      <c r="X2834" s="10" t="s">
        <v>130</v>
      </c>
      <c r="Y2834" s="10" t="s">
        <v>130</v>
      </c>
      <c r="Z2834" s="10" t="s">
        <v>99</v>
      </c>
      <c r="AA2834" s="10" t="s">
        <v>131</v>
      </c>
      <c r="AB2834" s="10" t="s">
        <v>9021</v>
      </c>
      <c r="AC2834" s="10" t="s">
        <v>9022</v>
      </c>
      <c r="AD2834" s="10" t="s">
        <v>165</v>
      </c>
      <c r="AE2834" s="10" t="s">
        <v>21040</v>
      </c>
      <c r="AF2834" s="15"/>
      <c r="AG2834" s="10"/>
      <c r="AH2834" s="10"/>
      <c r="AI2834" s="10"/>
      <c r="AJ2834" s="10"/>
      <c r="AK2834" s="10" t="s">
        <v>102</v>
      </c>
      <c r="AL2834" s="10"/>
      <c r="AM2834" s="10"/>
      <c r="AN2834" s="10"/>
      <c r="AO2834" s="13" t="b">
        <v>0</v>
      </c>
      <c r="AP2834" s="22" t="s">
        <v>104</v>
      </c>
      <c r="AQ2834" s="10">
        <f ca="1">IFERROR(__xludf.DUMMYFUNCTION("""COMPUTED_VALUE"""),4743103)</f>
        <v>4743103</v>
      </c>
      <c r="AR2834" s="17">
        <v>121</v>
      </c>
      <c r="AS2834" s="17">
        <v>84</v>
      </c>
      <c r="AT2834" s="17">
        <v>662.25</v>
      </c>
      <c r="AU2834" s="17">
        <v>0</v>
      </c>
      <c r="AV2834" s="17">
        <v>0</v>
      </c>
      <c r="AW2834" s="10" t="s">
        <v>105</v>
      </c>
      <c r="AX2834" s="17">
        <v>33</v>
      </c>
      <c r="AY2834" s="18">
        <v>7.8839285714285712</v>
      </c>
      <c r="AZ2834" s="10"/>
      <c r="BA2834" s="20" t="b">
        <v>0</v>
      </c>
      <c r="BB2834" s="10" t="s">
        <v>20997</v>
      </c>
      <c r="BC2834" s="17">
        <v>121</v>
      </c>
      <c r="BD2834" s="17">
        <v>84</v>
      </c>
      <c r="BE2834" s="17">
        <v>662.25</v>
      </c>
      <c r="BF2834" s="17">
        <v>0</v>
      </c>
      <c r="BG2834" s="11">
        <f ca="1">IFERROR(__xludf.DUMMYFUNCTION("""COMPUTED_VALUE"""),45991.4861111111)</f>
        <v>45991.486111111102</v>
      </c>
      <c r="BH2834" s="17" t="s">
        <v>105</v>
      </c>
      <c r="BI2834" s="17"/>
      <c r="BJ2834" s="15"/>
      <c r="BK2834" s="15"/>
      <c r="BL2834" s="13" t="b">
        <v>0</v>
      </c>
      <c r="BM2834" s="10"/>
      <c r="BN2834" s="10" t="s">
        <v>4030</v>
      </c>
      <c r="BO2834" s="11">
        <v>45989.915277777778</v>
      </c>
      <c r="BP2834" s="11">
        <v>45989.915879629632</v>
      </c>
      <c r="BQ2834" s="15"/>
      <c r="BR2834" s="15">
        <v>45991.777118055557</v>
      </c>
      <c r="BS2834" s="10" t="s">
        <v>4030</v>
      </c>
      <c r="BT2834" s="10"/>
      <c r="BU2834" s="10"/>
      <c r="BV2834" s="10"/>
      <c r="BW2834" s="10"/>
      <c r="BX2834" s="10"/>
      <c r="BY2834" s="23"/>
      <c r="BZ2834" s="23"/>
      <c r="CA2834" s="23"/>
      <c r="CB2834" s="23"/>
      <c r="CC2834" s="23"/>
      <c r="CD2834" s="23"/>
      <c r="CE2834" s="23"/>
      <c r="CF2834" s="23"/>
      <c r="CG2834" s="23"/>
      <c r="CH2834" s="23"/>
      <c r="CI2834" s="23"/>
    </row>
    <row r="2835" spans="1:87" x14ac:dyDescent="0.3">
      <c r="A2835" s="9" t="s">
        <v>21041</v>
      </c>
      <c r="B2835" s="10" t="s">
        <v>21042</v>
      </c>
      <c r="C2835" s="11">
        <v>45991.513888888891</v>
      </c>
      <c r="D2835" s="12">
        <v>2.7777777777777776E-2</v>
      </c>
      <c r="E2835" s="11">
        <v>45991.541666666664</v>
      </c>
      <c r="F2835" s="22" t="s">
        <v>9016</v>
      </c>
      <c r="G2835" s="13" t="b">
        <v>0</v>
      </c>
      <c r="H2835" s="22" t="s">
        <v>9017</v>
      </c>
      <c r="I2835" s="10" t="s">
        <v>212</v>
      </c>
      <c r="J2835" s="13" t="b">
        <v>1</v>
      </c>
      <c r="K2835" s="13" t="b">
        <v>0</v>
      </c>
      <c r="L2835" s="10" t="s">
        <v>124</v>
      </c>
      <c r="M2835" s="10" t="s">
        <v>91</v>
      </c>
      <c r="N2835" s="10" t="s">
        <v>92</v>
      </c>
      <c r="O2835" s="19" t="s">
        <v>21043</v>
      </c>
      <c r="P2835" s="10"/>
      <c r="Q2835" s="10" t="s">
        <v>94</v>
      </c>
      <c r="R2835" s="10"/>
      <c r="S2835" s="10"/>
      <c r="T2835" s="10"/>
      <c r="U2835" s="10"/>
      <c r="V2835" s="10"/>
      <c r="W2835" s="10" t="s">
        <v>9020</v>
      </c>
      <c r="X2835" s="10" t="s">
        <v>130</v>
      </c>
      <c r="Y2835" s="10" t="s">
        <v>130</v>
      </c>
      <c r="Z2835" s="10" t="s">
        <v>99</v>
      </c>
      <c r="AA2835" s="10" t="s">
        <v>131</v>
      </c>
      <c r="AB2835" s="10" t="s">
        <v>9021</v>
      </c>
      <c r="AC2835" s="10" t="s">
        <v>9022</v>
      </c>
      <c r="AD2835" s="10" t="s">
        <v>165</v>
      </c>
      <c r="AE2835" s="10" t="s">
        <v>21044</v>
      </c>
      <c r="AF2835" s="15"/>
      <c r="AG2835" s="10"/>
      <c r="AH2835" s="10"/>
      <c r="AI2835" s="10"/>
      <c r="AJ2835" s="10"/>
      <c r="AK2835" s="10" t="s">
        <v>102</v>
      </c>
      <c r="AL2835" s="10"/>
      <c r="AM2835" s="10"/>
      <c r="AN2835" s="10"/>
      <c r="AO2835" s="13" t="b">
        <v>0</v>
      </c>
      <c r="AP2835" s="22" t="s">
        <v>104</v>
      </c>
      <c r="AQ2835" s="10">
        <f ca="1">IFERROR(__xludf.DUMMYFUNCTION("""COMPUTED_VALUE"""),4743104)</f>
        <v>4743104</v>
      </c>
      <c r="AR2835" s="17">
        <v>175</v>
      </c>
      <c r="AS2835" s="17">
        <v>107</v>
      </c>
      <c r="AT2835" s="17">
        <v>586.25</v>
      </c>
      <c r="AU2835" s="17">
        <v>0</v>
      </c>
      <c r="AV2835" s="17">
        <v>0</v>
      </c>
      <c r="AW2835" s="10" t="s">
        <v>105</v>
      </c>
      <c r="AX2835" s="17">
        <v>51</v>
      </c>
      <c r="AY2835" s="18">
        <v>5.4789719626168223</v>
      </c>
      <c r="AZ2835" s="10"/>
      <c r="BA2835" s="20" t="b">
        <v>0</v>
      </c>
      <c r="BB2835" s="10" t="s">
        <v>20997</v>
      </c>
      <c r="BC2835" s="17">
        <v>175</v>
      </c>
      <c r="BD2835" s="17">
        <v>107</v>
      </c>
      <c r="BE2835" s="17">
        <v>586.25</v>
      </c>
      <c r="BF2835" s="17">
        <v>0</v>
      </c>
      <c r="BG2835" s="11">
        <f ca="1">IFERROR(__xludf.DUMMYFUNCTION("""COMPUTED_VALUE"""),45991.5138888888)</f>
        <v>45991.513888888803</v>
      </c>
      <c r="BH2835" s="17" t="s">
        <v>105</v>
      </c>
      <c r="BI2835" s="17"/>
      <c r="BJ2835" s="15"/>
      <c r="BK2835" s="15"/>
      <c r="BL2835" s="13" t="b">
        <v>0</v>
      </c>
      <c r="BM2835" s="10"/>
      <c r="BN2835" s="10" t="s">
        <v>4030</v>
      </c>
      <c r="BO2835" s="11">
        <v>45989.915972222225</v>
      </c>
      <c r="BP2835" s="11">
        <v>45989.916203703702</v>
      </c>
      <c r="BQ2835" s="15"/>
      <c r="BR2835" s="15">
        <v>45991.777337962965</v>
      </c>
      <c r="BS2835" s="10" t="s">
        <v>4030</v>
      </c>
      <c r="BT2835" s="10"/>
      <c r="BU2835" s="10"/>
      <c r="BV2835" s="10"/>
      <c r="BW2835" s="10"/>
      <c r="BX2835" s="10"/>
      <c r="BY2835" s="23"/>
      <c r="BZ2835" s="23"/>
      <c r="CA2835" s="23"/>
      <c r="CB2835" s="23"/>
      <c r="CC2835" s="23"/>
      <c r="CD2835" s="23"/>
      <c r="CE2835" s="23"/>
      <c r="CF2835" s="23"/>
      <c r="CG2835" s="23"/>
      <c r="CH2835" s="23"/>
      <c r="CI2835" s="23"/>
    </row>
    <row r="2836" spans="1:87" x14ac:dyDescent="0.3">
      <c r="A2836" s="9" t="s">
        <v>21045</v>
      </c>
      <c r="B2836" s="10" t="s">
        <v>21046</v>
      </c>
      <c r="C2836" s="11">
        <v>45991.541666666664</v>
      </c>
      <c r="D2836" s="12">
        <v>2.7777777777777776E-2</v>
      </c>
      <c r="E2836" s="11">
        <v>45991.569444444445</v>
      </c>
      <c r="F2836" s="22" t="s">
        <v>9016</v>
      </c>
      <c r="G2836" s="13" t="b">
        <v>0</v>
      </c>
      <c r="H2836" s="22" t="s">
        <v>9017</v>
      </c>
      <c r="I2836" s="10" t="s">
        <v>212</v>
      </c>
      <c r="J2836" s="13" t="b">
        <v>1</v>
      </c>
      <c r="K2836" s="13" t="b">
        <v>0</v>
      </c>
      <c r="L2836" s="10" t="s">
        <v>124</v>
      </c>
      <c r="M2836" s="10" t="s">
        <v>91</v>
      </c>
      <c r="N2836" s="10" t="s">
        <v>92</v>
      </c>
      <c r="O2836" s="19" t="s">
        <v>21047</v>
      </c>
      <c r="P2836" s="10"/>
      <c r="Q2836" s="10" t="s">
        <v>94</v>
      </c>
      <c r="R2836" s="10"/>
      <c r="S2836" s="10"/>
      <c r="T2836" s="10"/>
      <c r="U2836" s="10"/>
      <c r="V2836" s="10"/>
      <c r="W2836" s="10" t="s">
        <v>9020</v>
      </c>
      <c r="X2836" s="10" t="s">
        <v>130</v>
      </c>
      <c r="Y2836" s="10" t="s">
        <v>130</v>
      </c>
      <c r="Z2836" s="10" t="s">
        <v>99</v>
      </c>
      <c r="AA2836" s="10" t="s">
        <v>131</v>
      </c>
      <c r="AB2836" s="10" t="s">
        <v>9021</v>
      </c>
      <c r="AC2836" s="10" t="s">
        <v>9022</v>
      </c>
      <c r="AD2836" s="10" t="s">
        <v>165</v>
      </c>
      <c r="AE2836" s="10" t="s">
        <v>21048</v>
      </c>
      <c r="AF2836" s="15"/>
      <c r="AG2836" s="10"/>
      <c r="AH2836" s="10"/>
      <c r="AI2836" s="10"/>
      <c r="AJ2836" s="10"/>
      <c r="AK2836" s="10" t="s">
        <v>102</v>
      </c>
      <c r="AL2836" s="10"/>
      <c r="AM2836" s="10"/>
      <c r="AN2836" s="10"/>
      <c r="AO2836" s="13" t="b">
        <v>0</v>
      </c>
      <c r="AP2836" s="22" t="s">
        <v>104</v>
      </c>
      <c r="AQ2836" s="10">
        <f ca="1">IFERROR(__xludf.DUMMYFUNCTION("""COMPUTED_VALUE"""),4743105)</f>
        <v>4743105</v>
      </c>
      <c r="AR2836" s="17">
        <v>63</v>
      </c>
      <c r="AS2836" s="17">
        <v>51</v>
      </c>
      <c r="AT2836" s="17">
        <v>163.75</v>
      </c>
      <c r="AU2836" s="17">
        <v>0</v>
      </c>
      <c r="AV2836" s="17">
        <v>0</v>
      </c>
      <c r="AW2836" s="10" t="s">
        <v>105</v>
      </c>
      <c r="AX2836" s="17">
        <v>34</v>
      </c>
      <c r="AY2836" s="18">
        <v>3.2107843137254903</v>
      </c>
      <c r="AZ2836" s="10"/>
      <c r="BA2836" s="20" t="b">
        <v>0</v>
      </c>
      <c r="BB2836" s="10" t="s">
        <v>20997</v>
      </c>
      <c r="BC2836" s="17">
        <v>63</v>
      </c>
      <c r="BD2836" s="17">
        <v>51</v>
      </c>
      <c r="BE2836" s="17">
        <v>163.75</v>
      </c>
      <c r="BF2836" s="17">
        <v>0</v>
      </c>
      <c r="BG2836" s="11">
        <f ca="1">IFERROR(__xludf.DUMMYFUNCTION("""COMPUTED_VALUE"""),45991.5416666666)</f>
        <v>45991.541666666599</v>
      </c>
      <c r="BH2836" s="17" t="s">
        <v>105</v>
      </c>
      <c r="BI2836" s="17"/>
      <c r="BJ2836" s="15"/>
      <c r="BK2836" s="15"/>
      <c r="BL2836" s="13" t="b">
        <v>0</v>
      </c>
      <c r="BM2836" s="10"/>
      <c r="BN2836" s="10" t="s">
        <v>4030</v>
      </c>
      <c r="BO2836" s="11">
        <v>45989.915972222225</v>
      </c>
      <c r="BP2836" s="11">
        <v>45989.916377314818</v>
      </c>
      <c r="BQ2836" s="15"/>
      <c r="BR2836" s="15">
        <v>45991.777488425927</v>
      </c>
      <c r="BS2836" s="10" t="s">
        <v>4030</v>
      </c>
      <c r="BT2836" s="10"/>
      <c r="BU2836" s="10"/>
      <c r="BV2836" s="10"/>
      <c r="BW2836" s="10"/>
      <c r="BX2836" s="10"/>
      <c r="BY2836" s="23"/>
      <c r="BZ2836" s="23"/>
      <c r="CA2836" s="23"/>
      <c r="CB2836" s="23"/>
      <c r="CC2836" s="23"/>
      <c r="CD2836" s="23"/>
      <c r="CE2836" s="23"/>
      <c r="CF2836" s="23"/>
      <c r="CG2836" s="23"/>
      <c r="CH2836" s="23"/>
      <c r="CI2836" s="23"/>
    </row>
    <row r="2837" spans="1:87" x14ac:dyDescent="0.3">
      <c r="A2837" s="9" t="s">
        <v>21049</v>
      </c>
      <c r="B2837" s="10" t="s">
        <v>21050</v>
      </c>
      <c r="C2837" s="11">
        <v>45993.708333333336</v>
      </c>
      <c r="D2837" s="12">
        <v>8.3333333333333329E-2</v>
      </c>
      <c r="E2837" s="11">
        <v>45993.791666666664</v>
      </c>
      <c r="F2837" s="22" t="s">
        <v>16719</v>
      </c>
      <c r="G2837" s="13" t="b">
        <v>0</v>
      </c>
      <c r="H2837" s="22" t="s">
        <v>16543</v>
      </c>
      <c r="I2837" s="10" t="s">
        <v>212</v>
      </c>
      <c r="J2837" s="13" t="b">
        <v>1</v>
      </c>
      <c r="K2837" s="13" t="b">
        <v>0</v>
      </c>
      <c r="L2837" s="10" t="s">
        <v>124</v>
      </c>
      <c r="M2837" s="10" t="s">
        <v>91</v>
      </c>
      <c r="N2837" s="10" t="s">
        <v>92</v>
      </c>
      <c r="O2837" s="19" t="s">
        <v>21051</v>
      </c>
      <c r="P2837" s="10"/>
      <c r="Q2837" s="10" t="s">
        <v>126</v>
      </c>
      <c r="R2837" s="10"/>
      <c r="S2837" s="19" t="s">
        <v>21052</v>
      </c>
      <c r="T2837" s="10"/>
      <c r="U2837" s="10" t="s">
        <v>16732</v>
      </c>
      <c r="V2837" s="10" t="s">
        <v>16722</v>
      </c>
      <c r="W2837" s="10" t="s">
        <v>16644</v>
      </c>
      <c r="X2837" s="10" t="s">
        <v>16549</v>
      </c>
      <c r="Y2837" s="10" t="s">
        <v>16549</v>
      </c>
      <c r="Z2837" s="10" t="s">
        <v>99</v>
      </c>
      <c r="AA2837" s="10" t="s">
        <v>131</v>
      </c>
      <c r="AB2837" s="10" t="s">
        <v>16645</v>
      </c>
      <c r="AC2837" s="10" t="s">
        <v>16551</v>
      </c>
      <c r="AD2837" s="10" t="s">
        <v>21053</v>
      </c>
      <c r="AE2837" s="10" t="s">
        <v>21054</v>
      </c>
      <c r="AF2837" s="15"/>
      <c r="AG2837" s="10"/>
      <c r="AH2837" s="10"/>
      <c r="AI2837" s="10"/>
      <c r="AJ2837" s="10"/>
      <c r="AK2837" s="10" t="s">
        <v>102</v>
      </c>
      <c r="AL2837" s="10"/>
      <c r="AM2837" s="10"/>
      <c r="AN2837" s="10"/>
      <c r="AO2837" s="13" t="b">
        <v>0</v>
      </c>
      <c r="AP2837" s="22" t="s">
        <v>104</v>
      </c>
      <c r="AQ2837" s="10">
        <f ca="1">IFERROR(__xludf.DUMMYFUNCTION("""COMPUTED_VALUE"""),4758874)</f>
        <v>4758874</v>
      </c>
      <c r="AR2837" s="17">
        <v>12396</v>
      </c>
      <c r="AS2837" s="17">
        <v>9776</v>
      </c>
      <c r="AT2837" s="17">
        <v>213680.5</v>
      </c>
      <c r="AU2837" s="17">
        <v>41.7</v>
      </c>
      <c r="AV2837" s="17">
        <v>3.85</v>
      </c>
      <c r="AW2837" s="10" t="s">
        <v>105</v>
      </c>
      <c r="AX2837" s="17">
        <v>2688</v>
      </c>
      <c r="AY2837" s="18">
        <v>21.8576616202946</v>
      </c>
      <c r="AZ2837" s="10" t="s">
        <v>3998</v>
      </c>
      <c r="BA2837" s="20" t="b">
        <v>0</v>
      </c>
      <c r="BB2837" s="10"/>
      <c r="BC2837" s="17">
        <v>12396</v>
      </c>
      <c r="BD2837" s="17">
        <v>9776</v>
      </c>
      <c r="BE2837" s="17">
        <v>213680.5</v>
      </c>
      <c r="BF2837" s="17">
        <v>3.85</v>
      </c>
      <c r="BG2837" s="11">
        <f ca="1">IFERROR(__xludf.DUMMYFUNCTION("""COMPUTED_VALUE"""),45993.7083333333)</f>
        <v>45993.708333333299</v>
      </c>
      <c r="BH2837" s="17" t="s">
        <v>105</v>
      </c>
      <c r="BI2837" s="17"/>
      <c r="BJ2837" s="15"/>
      <c r="BK2837" s="15"/>
      <c r="BL2837" s="13" t="b">
        <v>0</v>
      </c>
      <c r="BM2837" s="10"/>
      <c r="BN2837" s="10" t="s">
        <v>1149</v>
      </c>
      <c r="BO2837" s="11">
        <v>45991.379861111112</v>
      </c>
      <c r="BP2837" s="11">
        <v>45991.380277777775</v>
      </c>
      <c r="BQ2837" s="15">
        <v>45993.452013888891</v>
      </c>
      <c r="BR2837" s="15">
        <v>45993.495625000003</v>
      </c>
      <c r="BS2837" s="10" t="s">
        <v>1149</v>
      </c>
      <c r="BT2837" s="10" t="s">
        <v>99</v>
      </c>
      <c r="BU2837" s="10" t="s">
        <v>498</v>
      </c>
      <c r="BV2837" s="10"/>
      <c r="BW2837" s="10"/>
      <c r="BX2837" s="10"/>
      <c r="BY2837" s="23"/>
      <c r="BZ2837" s="23"/>
      <c r="CA2837" s="19" t="s">
        <v>21055</v>
      </c>
      <c r="CB2837" s="23"/>
      <c r="CC2837" s="23"/>
      <c r="CD2837" s="19" t="s">
        <v>21056</v>
      </c>
      <c r="CE2837" s="23"/>
      <c r="CF2837" s="23"/>
      <c r="CG2837" s="23"/>
      <c r="CH2837" s="23"/>
      <c r="CI2837" s="23"/>
    </row>
    <row r="2838" spans="1:87" x14ac:dyDescent="0.3">
      <c r="A2838" s="9" t="s">
        <v>21057</v>
      </c>
      <c r="B2838" s="10" t="s">
        <v>21058</v>
      </c>
      <c r="C2838" s="11">
        <v>45993.854166666664</v>
      </c>
      <c r="D2838" s="12">
        <v>8.3333333333333329E-2</v>
      </c>
      <c r="E2838" s="11">
        <v>45993.9375</v>
      </c>
      <c r="F2838" s="22" t="s">
        <v>16719</v>
      </c>
      <c r="G2838" s="13" t="b">
        <v>0</v>
      </c>
      <c r="H2838" s="22" t="s">
        <v>16543</v>
      </c>
      <c r="I2838" s="10" t="s">
        <v>212</v>
      </c>
      <c r="J2838" s="13" t="b">
        <v>1</v>
      </c>
      <c r="K2838" s="13" t="b">
        <v>0</v>
      </c>
      <c r="L2838" s="10" t="s">
        <v>124</v>
      </c>
      <c r="M2838" s="10" t="s">
        <v>91</v>
      </c>
      <c r="N2838" s="10" t="s">
        <v>92</v>
      </c>
      <c r="O2838" s="19" t="s">
        <v>21059</v>
      </c>
      <c r="P2838" s="10"/>
      <c r="Q2838" s="10" t="s">
        <v>126</v>
      </c>
      <c r="R2838" s="10"/>
      <c r="S2838" s="19" t="s">
        <v>21060</v>
      </c>
      <c r="T2838" s="10"/>
      <c r="U2838" s="10" t="s">
        <v>16733</v>
      </c>
      <c r="V2838" s="10" t="s">
        <v>16742</v>
      </c>
      <c r="W2838" s="10" t="s">
        <v>16644</v>
      </c>
      <c r="X2838" s="10" t="s">
        <v>16549</v>
      </c>
      <c r="Y2838" s="10" t="s">
        <v>16549</v>
      </c>
      <c r="Z2838" s="10" t="s">
        <v>99</v>
      </c>
      <c r="AA2838" s="10" t="s">
        <v>131</v>
      </c>
      <c r="AB2838" s="10" t="s">
        <v>16645</v>
      </c>
      <c r="AC2838" s="10" t="s">
        <v>16551</v>
      </c>
      <c r="AD2838" s="10" t="s">
        <v>21061</v>
      </c>
      <c r="AE2838" s="10" t="s">
        <v>21062</v>
      </c>
      <c r="AF2838" s="15"/>
      <c r="AG2838" s="10"/>
      <c r="AH2838" s="10"/>
      <c r="AI2838" s="10"/>
      <c r="AJ2838" s="10"/>
      <c r="AK2838" s="10" t="s">
        <v>102</v>
      </c>
      <c r="AL2838" s="10"/>
      <c r="AM2838" s="10"/>
      <c r="AN2838" s="10"/>
      <c r="AO2838" s="13" t="b">
        <v>0</v>
      </c>
      <c r="AP2838" s="22" t="s">
        <v>104</v>
      </c>
      <c r="AQ2838" s="10">
        <f ca="1">IFERROR(__xludf.DUMMYFUNCTION("""COMPUTED_VALUE"""),4758877)</f>
        <v>4758877</v>
      </c>
      <c r="AR2838" s="17">
        <v>6904</v>
      </c>
      <c r="AS2838" s="17">
        <v>5695</v>
      </c>
      <c r="AT2838" s="17">
        <v>92209.5</v>
      </c>
      <c r="AU2838" s="17">
        <v>21.45</v>
      </c>
      <c r="AV2838" s="17">
        <v>1.6</v>
      </c>
      <c r="AW2838" s="10" t="s">
        <v>105</v>
      </c>
      <c r="AX2838" s="17">
        <v>1481</v>
      </c>
      <c r="AY2838" s="18">
        <v>16.191308165057066</v>
      </c>
      <c r="AZ2838" s="10" t="s">
        <v>3998</v>
      </c>
      <c r="BA2838" s="20" t="b">
        <v>0</v>
      </c>
      <c r="BB2838" s="10"/>
      <c r="BC2838" s="17">
        <v>6904</v>
      </c>
      <c r="BD2838" s="17">
        <v>5695</v>
      </c>
      <c r="BE2838" s="17">
        <v>92209.5</v>
      </c>
      <c r="BF2838" s="17">
        <v>1.6</v>
      </c>
      <c r="BG2838" s="11">
        <f ca="1">IFERROR(__xludf.DUMMYFUNCTION("""COMPUTED_VALUE"""),45993.8541666666)</f>
        <v>45993.854166666599</v>
      </c>
      <c r="BH2838" s="17" t="s">
        <v>105</v>
      </c>
      <c r="BI2838" s="17"/>
      <c r="BJ2838" s="15"/>
      <c r="BK2838" s="15"/>
      <c r="BL2838" s="13" t="b">
        <v>0</v>
      </c>
      <c r="BM2838" s="10"/>
      <c r="BN2838" s="10" t="s">
        <v>1149</v>
      </c>
      <c r="BO2838" s="11">
        <v>45991.380555555559</v>
      </c>
      <c r="BP2838" s="11">
        <v>45991.380949074075</v>
      </c>
      <c r="BQ2838" s="15">
        <v>45993.452175925922</v>
      </c>
      <c r="BR2838" s="15">
        <v>45993.495729166665</v>
      </c>
      <c r="BS2838" s="10" t="s">
        <v>1149</v>
      </c>
      <c r="BT2838" s="10" t="s">
        <v>99</v>
      </c>
      <c r="BU2838" s="10" t="s">
        <v>816</v>
      </c>
      <c r="BV2838" s="10"/>
      <c r="BW2838" s="10"/>
      <c r="BX2838" s="10"/>
      <c r="BY2838" s="23"/>
      <c r="BZ2838" s="23"/>
      <c r="CA2838" s="19" t="s">
        <v>21063</v>
      </c>
      <c r="CB2838" s="23"/>
      <c r="CC2838" s="23"/>
      <c r="CD2838" s="19" t="s">
        <v>21064</v>
      </c>
      <c r="CE2838" s="23"/>
      <c r="CF2838" s="23"/>
      <c r="CG2838" s="23"/>
      <c r="CH2838" s="23"/>
      <c r="CI2838" s="23"/>
    </row>
    <row r="2839" spans="1:87" x14ac:dyDescent="0.3">
      <c r="A2839" s="9" t="s">
        <v>21065</v>
      </c>
      <c r="B2839" s="10" t="s">
        <v>21066</v>
      </c>
      <c r="C2839" s="11">
        <v>45996.75</v>
      </c>
      <c r="D2839" s="12">
        <v>8.3333333333333329E-2</v>
      </c>
      <c r="E2839" s="11">
        <v>45996.833333333336</v>
      </c>
      <c r="F2839" s="22" t="s">
        <v>16639</v>
      </c>
      <c r="G2839" s="13" t="b">
        <v>0</v>
      </c>
      <c r="H2839" s="22" t="s">
        <v>16543</v>
      </c>
      <c r="I2839" s="10" t="s">
        <v>212</v>
      </c>
      <c r="J2839" s="13" t="b">
        <v>1</v>
      </c>
      <c r="K2839" s="13" t="b">
        <v>0</v>
      </c>
      <c r="L2839" s="10" t="s">
        <v>124</v>
      </c>
      <c r="M2839" s="10" t="s">
        <v>91</v>
      </c>
      <c r="N2839" s="10" t="s">
        <v>92</v>
      </c>
      <c r="O2839" s="19" t="s">
        <v>21067</v>
      </c>
      <c r="P2839" s="10"/>
      <c r="Q2839" s="10" t="s">
        <v>126</v>
      </c>
      <c r="R2839" s="10"/>
      <c r="S2839" s="19" t="s">
        <v>21068</v>
      </c>
      <c r="T2839" s="10"/>
      <c r="U2839" s="10" t="s">
        <v>16643</v>
      </c>
      <c r="V2839" s="10" t="s">
        <v>16561</v>
      </c>
      <c r="W2839" s="10" t="s">
        <v>16644</v>
      </c>
      <c r="X2839" s="10" t="s">
        <v>16549</v>
      </c>
      <c r="Y2839" s="10" t="s">
        <v>16549</v>
      </c>
      <c r="Z2839" s="10" t="s">
        <v>99</v>
      </c>
      <c r="AA2839" s="10" t="s">
        <v>131</v>
      </c>
      <c r="AB2839" s="10" t="s">
        <v>16645</v>
      </c>
      <c r="AC2839" s="10" t="s">
        <v>16551</v>
      </c>
      <c r="AD2839" s="10" t="s">
        <v>21069</v>
      </c>
      <c r="AE2839" s="10" t="s">
        <v>21070</v>
      </c>
      <c r="AF2839" s="15"/>
      <c r="AG2839" s="10"/>
      <c r="AH2839" s="10"/>
      <c r="AI2839" s="10"/>
      <c r="AJ2839" s="10"/>
      <c r="AK2839" s="10" t="s">
        <v>102</v>
      </c>
      <c r="AL2839" s="10"/>
      <c r="AM2839" s="10"/>
      <c r="AN2839" s="10"/>
      <c r="AO2839" s="13" t="b">
        <v>0</v>
      </c>
      <c r="AP2839" s="22" t="s">
        <v>135</v>
      </c>
      <c r="AQ2839" s="10">
        <f ca="1">IFERROR(__xludf.DUMMYFUNCTION("""COMPUTED_VALUE"""),4758890)</f>
        <v>4758890</v>
      </c>
      <c r="AR2839" s="17">
        <v>8196</v>
      </c>
      <c r="AS2839" s="17">
        <v>6456</v>
      </c>
      <c r="AT2839" s="17">
        <v>112112.75</v>
      </c>
      <c r="AU2839" s="17">
        <v>26.15</v>
      </c>
      <c r="AV2839" s="17">
        <v>6.65</v>
      </c>
      <c r="AW2839" s="10" t="s">
        <v>105</v>
      </c>
      <c r="AX2839" s="17">
        <v>2223</v>
      </c>
      <c r="AY2839" s="18">
        <v>17.365667596034697</v>
      </c>
      <c r="AZ2839" s="10" t="s">
        <v>3998</v>
      </c>
      <c r="BA2839" s="20" t="b">
        <v>0</v>
      </c>
      <c r="BB2839" s="10"/>
      <c r="BC2839" s="17">
        <v>8196</v>
      </c>
      <c r="BD2839" s="17">
        <v>6456</v>
      </c>
      <c r="BE2839" s="17">
        <v>112112.75</v>
      </c>
      <c r="BF2839" s="17">
        <v>6.65</v>
      </c>
      <c r="BG2839" s="11">
        <f ca="1">IFERROR(__xludf.DUMMYFUNCTION("""COMPUTED_VALUE"""),45996.75)</f>
        <v>45996.75</v>
      </c>
      <c r="BH2839" s="17" t="s">
        <v>105</v>
      </c>
      <c r="BI2839" s="17"/>
      <c r="BJ2839" s="15"/>
      <c r="BK2839" s="15"/>
      <c r="BL2839" s="13" t="b">
        <v>0</v>
      </c>
      <c r="BM2839" s="10"/>
      <c r="BN2839" s="10" t="s">
        <v>149</v>
      </c>
      <c r="BO2839" s="11">
        <v>45991.381249999999</v>
      </c>
      <c r="BP2839" s="11">
        <v>45991.381550925929</v>
      </c>
      <c r="BQ2839" s="15">
        <v>45993.451828703706</v>
      </c>
      <c r="BR2839" s="15">
        <v>45993.527268518519</v>
      </c>
      <c r="BS2839" s="10" t="s">
        <v>149</v>
      </c>
      <c r="BT2839" s="10" t="s">
        <v>99</v>
      </c>
      <c r="BU2839" s="10" t="s">
        <v>298</v>
      </c>
      <c r="BV2839" s="10"/>
      <c r="BW2839" s="10"/>
      <c r="BX2839" s="10"/>
      <c r="BY2839" s="23"/>
      <c r="BZ2839" s="23"/>
      <c r="CA2839" s="19" t="s">
        <v>21071</v>
      </c>
      <c r="CB2839" s="23"/>
      <c r="CC2839" s="23"/>
      <c r="CD2839" s="19" t="s">
        <v>21072</v>
      </c>
      <c r="CE2839" s="23"/>
      <c r="CF2839" s="23"/>
      <c r="CG2839" s="23"/>
      <c r="CH2839" s="23"/>
      <c r="CI2839" s="23"/>
    </row>
    <row r="2840" spans="1:87" x14ac:dyDescent="0.3">
      <c r="A2840" s="9" t="s">
        <v>21073</v>
      </c>
      <c r="B2840" s="10" t="s">
        <v>21074</v>
      </c>
      <c r="C2840" s="11">
        <v>45997.75</v>
      </c>
      <c r="D2840" s="12">
        <v>8.3333333333333329E-2</v>
      </c>
      <c r="E2840" s="11">
        <v>45997.833333333336</v>
      </c>
      <c r="F2840" s="22" t="s">
        <v>16719</v>
      </c>
      <c r="G2840" s="13" t="b">
        <v>0</v>
      </c>
      <c r="H2840" s="22" t="s">
        <v>16543</v>
      </c>
      <c r="I2840" s="10" t="s">
        <v>212</v>
      </c>
      <c r="J2840" s="13" t="b">
        <v>1</v>
      </c>
      <c r="K2840" s="13" t="b">
        <v>0</v>
      </c>
      <c r="L2840" s="10" t="s">
        <v>124</v>
      </c>
      <c r="M2840" s="10" t="s">
        <v>91</v>
      </c>
      <c r="N2840" s="10" t="s">
        <v>92</v>
      </c>
      <c r="O2840" s="19" t="s">
        <v>21075</v>
      </c>
      <c r="P2840" s="10"/>
      <c r="Q2840" s="10" t="s">
        <v>126</v>
      </c>
      <c r="R2840" s="10"/>
      <c r="S2840" s="19" t="s">
        <v>21076</v>
      </c>
      <c r="T2840" s="10"/>
      <c r="U2840" s="10" t="s">
        <v>16742</v>
      </c>
      <c r="V2840" s="10" t="s">
        <v>16761</v>
      </c>
      <c r="W2840" s="10" t="s">
        <v>16644</v>
      </c>
      <c r="X2840" s="10" t="s">
        <v>16549</v>
      </c>
      <c r="Y2840" s="10" t="s">
        <v>16549</v>
      </c>
      <c r="Z2840" s="10" t="s">
        <v>99</v>
      </c>
      <c r="AA2840" s="10" t="s">
        <v>131</v>
      </c>
      <c r="AB2840" s="10" t="s">
        <v>16645</v>
      </c>
      <c r="AC2840" s="10" t="s">
        <v>16551</v>
      </c>
      <c r="AD2840" s="10" t="s">
        <v>21077</v>
      </c>
      <c r="AE2840" s="10" t="s">
        <v>21078</v>
      </c>
      <c r="AF2840" s="15"/>
      <c r="AG2840" s="10"/>
      <c r="AH2840" s="10"/>
      <c r="AI2840" s="10"/>
      <c r="AJ2840" s="10"/>
      <c r="AK2840" s="10" t="s">
        <v>102</v>
      </c>
      <c r="AL2840" s="10"/>
      <c r="AM2840" s="10"/>
      <c r="AN2840" s="10"/>
      <c r="AO2840" s="13" t="b">
        <v>0</v>
      </c>
      <c r="AP2840" s="22" t="s">
        <v>104</v>
      </c>
      <c r="AQ2840" s="10">
        <f ca="1">IFERROR(__xludf.DUMMYFUNCTION("""COMPUTED_VALUE"""),4766499)</f>
        <v>4766499</v>
      </c>
      <c r="AR2840" s="17">
        <v>4842</v>
      </c>
      <c r="AS2840" s="17">
        <v>3787</v>
      </c>
      <c r="AT2840" s="17">
        <v>73224.25</v>
      </c>
      <c r="AU2840" s="17">
        <v>10.35</v>
      </c>
      <c r="AV2840" s="17">
        <v>1.5</v>
      </c>
      <c r="AW2840" s="10" t="s">
        <v>105</v>
      </c>
      <c r="AX2840" s="17">
        <v>1330</v>
      </c>
      <c r="AY2840" s="18">
        <v>19.335687879588065</v>
      </c>
      <c r="AZ2840" s="10" t="s">
        <v>3998</v>
      </c>
      <c r="BA2840" s="20" t="b">
        <v>0</v>
      </c>
      <c r="BB2840" s="10"/>
      <c r="BC2840" s="17">
        <v>4842</v>
      </c>
      <c r="BD2840" s="17">
        <v>3787</v>
      </c>
      <c r="BE2840" s="17">
        <v>73224.25</v>
      </c>
      <c r="BF2840" s="17">
        <v>1.5</v>
      </c>
      <c r="BG2840" s="11">
        <f ca="1">IFERROR(__xludf.DUMMYFUNCTION("""COMPUTED_VALUE"""),45997.75)</f>
        <v>45997.75</v>
      </c>
      <c r="BH2840" s="17" t="s">
        <v>105</v>
      </c>
      <c r="BI2840" s="17"/>
      <c r="BJ2840" s="15"/>
      <c r="BK2840" s="15"/>
      <c r="BL2840" s="13" t="b">
        <v>0</v>
      </c>
      <c r="BM2840" s="10"/>
      <c r="BN2840" s="10" t="s">
        <v>634</v>
      </c>
      <c r="BO2840" s="11">
        <v>45991.382638888892</v>
      </c>
      <c r="BP2840" s="11">
        <v>45991.382743055554</v>
      </c>
      <c r="BQ2840" s="15">
        <v>45996.565775462965</v>
      </c>
      <c r="BR2840" s="15">
        <v>45996.581284722219</v>
      </c>
      <c r="BS2840" s="10" t="s">
        <v>634</v>
      </c>
      <c r="BT2840" s="10" t="s">
        <v>99</v>
      </c>
      <c r="BU2840" s="10" t="s">
        <v>280</v>
      </c>
      <c r="BV2840" s="10"/>
      <c r="BW2840" s="10"/>
      <c r="BX2840" s="10"/>
      <c r="BY2840" s="23"/>
      <c r="BZ2840" s="23"/>
      <c r="CA2840" s="19" t="s">
        <v>21079</v>
      </c>
      <c r="CB2840" s="23"/>
      <c r="CC2840" s="23"/>
      <c r="CD2840" s="19" t="s">
        <v>21080</v>
      </c>
      <c r="CE2840" s="23"/>
      <c r="CF2840" s="23"/>
      <c r="CG2840" s="23"/>
      <c r="CH2840" s="23"/>
      <c r="CI2840" s="23"/>
    </row>
    <row r="2841" spans="1:87" x14ac:dyDescent="0.3">
      <c r="A2841" s="9" t="s">
        <v>21081</v>
      </c>
      <c r="B2841" s="10" t="s">
        <v>21082</v>
      </c>
      <c r="C2841" s="11">
        <v>45997.875</v>
      </c>
      <c r="D2841" s="12">
        <v>8.3333333333333329E-2</v>
      </c>
      <c r="E2841" s="11">
        <v>45997.958333333336</v>
      </c>
      <c r="F2841" s="22" t="s">
        <v>16719</v>
      </c>
      <c r="G2841" s="13" t="b">
        <v>0</v>
      </c>
      <c r="H2841" s="22" t="s">
        <v>16543</v>
      </c>
      <c r="I2841" s="10" t="s">
        <v>212</v>
      </c>
      <c r="J2841" s="13" t="b">
        <v>1</v>
      </c>
      <c r="K2841" s="13" t="b">
        <v>0</v>
      </c>
      <c r="L2841" s="10" t="s">
        <v>124</v>
      </c>
      <c r="M2841" s="10" t="s">
        <v>91</v>
      </c>
      <c r="N2841" s="10" t="s">
        <v>92</v>
      </c>
      <c r="O2841" s="19" t="s">
        <v>21083</v>
      </c>
      <c r="P2841" s="10"/>
      <c r="Q2841" s="10" t="s">
        <v>94</v>
      </c>
      <c r="R2841" s="10"/>
      <c r="S2841" s="19" t="s">
        <v>21084</v>
      </c>
      <c r="T2841" s="10"/>
      <c r="U2841" s="10" t="s">
        <v>16769</v>
      </c>
      <c r="V2841" s="10" t="s">
        <v>16733</v>
      </c>
      <c r="W2841" s="10" t="s">
        <v>16644</v>
      </c>
      <c r="X2841" s="10" t="s">
        <v>16549</v>
      </c>
      <c r="Y2841" s="10" t="s">
        <v>16549</v>
      </c>
      <c r="Z2841" s="10" t="s">
        <v>99</v>
      </c>
      <c r="AA2841" s="10" t="s">
        <v>131</v>
      </c>
      <c r="AB2841" s="10" t="s">
        <v>16645</v>
      </c>
      <c r="AC2841" s="10" t="s">
        <v>16551</v>
      </c>
      <c r="AD2841" s="10" t="s">
        <v>21085</v>
      </c>
      <c r="AE2841" s="10" t="s">
        <v>21086</v>
      </c>
      <c r="AF2841" s="15"/>
      <c r="AG2841" s="10"/>
      <c r="AH2841" s="10"/>
      <c r="AI2841" s="10"/>
      <c r="AJ2841" s="10"/>
      <c r="AK2841" s="10" t="s">
        <v>102</v>
      </c>
      <c r="AL2841" s="10"/>
      <c r="AM2841" s="10"/>
      <c r="AN2841" s="10"/>
      <c r="AO2841" s="13" t="b">
        <v>0</v>
      </c>
      <c r="AP2841" s="22" t="s">
        <v>104</v>
      </c>
      <c r="AQ2841" s="10">
        <f ca="1">IFERROR(__xludf.DUMMYFUNCTION("""COMPUTED_VALUE"""),4766500)</f>
        <v>4766500</v>
      </c>
      <c r="AR2841" s="17">
        <v>3965</v>
      </c>
      <c r="AS2841" s="17">
        <v>3189</v>
      </c>
      <c r="AT2841" s="17">
        <v>57441.75</v>
      </c>
      <c r="AU2841" s="17">
        <v>9.25</v>
      </c>
      <c r="AV2841" s="17">
        <v>1.5</v>
      </c>
      <c r="AW2841" s="10" t="s">
        <v>105</v>
      </c>
      <c r="AX2841" s="17">
        <v>723</v>
      </c>
      <c r="AY2841" s="18">
        <v>18.012464722483536</v>
      </c>
      <c r="AZ2841" s="10" t="s">
        <v>3998</v>
      </c>
      <c r="BA2841" s="20" t="b">
        <v>0</v>
      </c>
      <c r="BB2841" s="10"/>
      <c r="BC2841" s="17">
        <v>3965</v>
      </c>
      <c r="BD2841" s="17">
        <v>3189</v>
      </c>
      <c r="BE2841" s="17">
        <v>57441.75</v>
      </c>
      <c r="BF2841" s="17">
        <v>1.5</v>
      </c>
      <c r="BG2841" s="11">
        <f ca="1">IFERROR(__xludf.DUMMYFUNCTION("""COMPUTED_VALUE"""),45997.875)</f>
        <v>45997.875</v>
      </c>
      <c r="BH2841" s="17" t="s">
        <v>105</v>
      </c>
      <c r="BI2841" s="17"/>
      <c r="BJ2841" s="15"/>
      <c r="BK2841" s="15"/>
      <c r="BL2841" s="13" t="b">
        <v>0</v>
      </c>
      <c r="BM2841" s="10"/>
      <c r="BN2841" s="10" t="s">
        <v>634</v>
      </c>
      <c r="BO2841" s="11">
        <v>45991.384027777778</v>
      </c>
      <c r="BP2841" s="11">
        <v>45991.384062500001</v>
      </c>
      <c r="BQ2841" s="15">
        <v>45996.565960648149</v>
      </c>
      <c r="BR2841" s="15">
        <v>45996.581516203703</v>
      </c>
      <c r="BS2841" s="10" t="s">
        <v>634</v>
      </c>
      <c r="BT2841" s="10" t="s">
        <v>99</v>
      </c>
      <c r="BU2841" s="10" t="s">
        <v>280</v>
      </c>
      <c r="BV2841" s="10"/>
      <c r="BW2841" s="10"/>
      <c r="BX2841" s="10"/>
      <c r="BY2841" s="23"/>
      <c r="BZ2841" s="23"/>
      <c r="CA2841" s="19" t="s">
        <v>21087</v>
      </c>
      <c r="CB2841" s="23"/>
      <c r="CC2841" s="23"/>
      <c r="CD2841" s="23"/>
      <c r="CE2841" s="23"/>
      <c r="CF2841" s="23"/>
      <c r="CG2841" s="23"/>
      <c r="CH2841" s="23"/>
      <c r="CI2841" s="23"/>
    </row>
    <row r="2842" spans="1:87" x14ac:dyDescent="0.3">
      <c r="A2842" s="9" t="s">
        <v>21088</v>
      </c>
      <c r="B2842" s="10" t="s">
        <v>21089</v>
      </c>
      <c r="C2842" s="11">
        <v>45998.791666666664</v>
      </c>
      <c r="D2842" s="12">
        <v>8.3333333333333329E-2</v>
      </c>
      <c r="E2842" s="11">
        <v>45998.875</v>
      </c>
      <c r="F2842" s="22" t="s">
        <v>16639</v>
      </c>
      <c r="G2842" s="13" t="b">
        <v>0</v>
      </c>
      <c r="H2842" s="22" t="s">
        <v>16543</v>
      </c>
      <c r="I2842" s="10" t="s">
        <v>212</v>
      </c>
      <c r="J2842" s="13" t="b">
        <v>1</v>
      </c>
      <c r="K2842" s="13" t="b">
        <v>0</v>
      </c>
      <c r="L2842" s="10" t="s">
        <v>124</v>
      </c>
      <c r="M2842" s="10" t="s">
        <v>91</v>
      </c>
      <c r="N2842" s="10" t="s">
        <v>92</v>
      </c>
      <c r="O2842" s="19" t="s">
        <v>21090</v>
      </c>
      <c r="P2842" s="10"/>
      <c r="Q2842" s="10" t="s">
        <v>126</v>
      </c>
      <c r="R2842" s="10"/>
      <c r="S2842" s="19" t="s">
        <v>21091</v>
      </c>
      <c r="T2842" s="10"/>
      <c r="U2842" s="10" t="s">
        <v>16578</v>
      </c>
      <c r="V2842" s="10" t="s">
        <v>16671</v>
      </c>
      <c r="W2842" s="10" t="s">
        <v>16644</v>
      </c>
      <c r="X2842" s="10" t="s">
        <v>16549</v>
      </c>
      <c r="Y2842" s="10" t="s">
        <v>16549</v>
      </c>
      <c r="Z2842" s="10" t="s">
        <v>99</v>
      </c>
      <c r="AA2842" s="10" t="s">
        <v>131</v>
      </c>
      <c r="AB2842" s="10" t="s">
        <v>16645</v>
      </c>
      <c r="AC2842" s="10" t="s">
        <v>16551</v>
      </c>
      <c r="AD2842" s="10" t="s">
        <v>21092</v>
      </c>
      <c r="AE2842" s="10" t="s">
        <v>21093</v>
      </c>
      <c r="AF2842" s="15"/>
      <c r="AG2842" s="10"/>
      <c r="AH2842" s="10"/>
      <c r="AI2842" s="10"/>
      <c r="AJ2842" s="10"/>
      <c r="AK2842" s="10" t="s">
        <v>102</v>
      </c>
      <c r="AL2842" s="10"/>
      <c r="AM2842" s="10"/>
      <c r="AN2842" s="10"/>
      <c r="AO2842" s="13" t="b">
        <v>0</v>
      </c>
      <c r="AP2842" s="22" t="s">
        <v>135</v>
      </c>
      <c r="AQ2842" s="10">
        <f ca="1">IFERROR(__xludf.DUMMYFUNCTION("""COMPUTED_VALUE"""),4766502)</f>
        <v>4766502</v>
      </c>
      <c r="AR2842" s="17">
        <v>8596</v>
      </c>
      <c r="AS2842" s="17">
        <v>6378</v>
      </c>
      <c r="AT2842" s="17">
        <v>156266.5</v>
      </c>
      <c r="AU2842" s="17">
        <v>22.95</v>
      </c>
      <c r="AV2842" s="17">
        <v>4</v>
      </c>
      <c r="AW2842" s="10" t="s">
        <v>105</v>
      </c>
      <c r="AX2842" s="17">
        <v>2344</v>
      </c>
      <c r="AY2842" s="18">
        <v>24.500862339291313</v>
      </c>
      <c r="AZ2842" s="10" t="s">
        <v>3998</v>
      </c>
      <c r="BA2842" s="20" t="b">
        <v>0</v>
      </c>
      <c r="BB2842" s="10"/>
      <c r="BC2842" s="17">
        <v>8596</v>
      </c>
      <c r="BD2842" s="17">
        <v>6378</v>
      </c>
      <c r="BE2842" s="17">
        <v>156266.5</v>
      </c>
      <c r="BF2842" s="17">
        <v>4</v>
      </c>
      <c r="BG2842" s="11">
        <f ca="1">IFERROR(__xludf.DUMMYFUNCTION("""COMPUTED_VALUE"""),45998.7916666666)</f>
        <v>45998.791666666599</v>
      </c>
      <c r="BH2842" s="17" t="s">
        <v>105</v>
      </c>
      <c r="BI2842" s="17"/>
      <c r="BJ2842" s="15"/>
      <c r="BK2842" s="15"/>
      <c r="BL2842" s="13" t="b">
        <v>0</v>
      </c>
      <c r="BM2842" s="10"/>
      <c r="BN2842" s="10" t="s">
        <v>634</v>
      </c>
      <c r="BO2842" s="11">
        <v>45991.384027777778</v>
      </c>
      <c r="BP2842" s="11">
        <v>45991.384502314817</v>
      </c>
      <c r="BQ2842" s="15">
        <v>45996.565462962964</v>
      </c>
      <c r="BR2842" s="15">
        <v>45996.595682870371</v>
      </c>
      <c r="BS2842" s="10" t="s">
        <v>634</v>
      </c>
      <c r="BT2842" s="10" t="s">
        <v>99</v>
      </c>
      <c r="BU2842" s="10" t="s">
        <v>498</v>
      </c>
      <c r="BV2842" s="10"/>
      <c r="BW2842" s="10"/>
      <c r="BX2842" s="10"/>
      <c r="BY2842" s="23"/>
      <c r="BZ2842" s="23"/>
      <c r="CA2842" s="19" t="s">
        <v>21094</v>
      </c>
      <c r="CB2842" s="23"/>
      <c r="CC2842" s="23"/>
      <c r="CD2842" s="19" t="s">
        <v>21095</v>
      </c>
      <c r="CE2842" s="23"/>
      <c r="CF2842" s="23"/>
      <c r="CG2842" s="23"/>
      <c r="CH2842" s="23"/>
      <c r="CI2842" s="23"/>
    </row>
    <row r="2843" spans="1:87" x14ac:dyDescent="0.3">
      <c r="A2843" s="9" t="s">
        <v>21096</v>
      </c>
      <c r="B2843" s="10" t="s">
        <v>21097</v>
      </c>
      <c r="C2843" s="11">
        <v>45998.916666666664</v>
      </c>
      <c r="D2843" s="12">
        <v>8.3333333333333329E-2</v>
      </c>
      <c r="E2843" s="11">
        <v>45999</v>
      </c>
      <c r="F2843" s="22" t="s">
        <v>16639</v>
      </c>
      <c r="G2843" s="13" t="b">
        <v>0</v>
      </c>
      <c r="H2843" s="22" t="s">
        <v>16543</v>
      </c>
      <c r="I2843" s="10" t="s">
        <v>212</v>
      </c>
      <c r="J2843" s="13" t="b">
        <v>1</v>
      </c>
      <c r="K2843" s="13" t="b">
        <v>0</v>
      </c>
      <c r="L2843" s="10" t="s">
        <v>124</v>
      </c>
      <c r="M2843" s="10" t="s">
        <v>91</v>
      </c>
      <c r="N2843" s="10" t="s">
        <v>92</v>
      </c>
      <c r="O2843" s="19" t="s">
        <v>21098</v>
      </c>
      <c r="P2843" s="10"/>
      <c r="Q2843" s="10" t="s">
        <v>126</v>
      </c>
      <c r="R2843" s="10"/>
      <c r="S2843" s="19" t="s">
        <v>21099</v>
      </c>
      <c r="T2843" s="10"/>
      <c r="U2843" s="10" t="s">
        <v>16680</v>
      </c>
      <c r="V2843" s="10" t="s">
        <v>16642</v>
      </c>
      <c r="W2843" s="10" t="s">
        <v>16644</v>
      </c>
      <c r="X2843" s="10" t="s">
        <v>16549</v>
      </c>
      <c r="Y2843" s="10" t="s">
        <v>16549</v>
      </c>
      <c r="Z2843" s="10" t="s">
        <v>99</v>
      </c>
      <c r="AA2843" s="10" t="s">
        <v>131</v>
      </c>
      <c r="AB2843" s="10" t="s">
        <v>16645</v>
      </c>
      <c r="AC2843" s="10" t="s">
        <v>16551</v>
      </c>
      <c r="AD2843" s="10" t="s">
        <v>21100</v>
      </c>
      <c r="AE2843" s="10" t="s">
        <v>21101</v>
      </c>
      <c r="AF2843" s="15"/>
      <c r="AG2843" s="10"/>
      <c r="AH2843" s="10"/>
      <c r="AI2843" s="10"/>
      <c r="AJ2843" s="10"/>
      <c r="AK2843" s="10" t="s">
        <v>102</v>
      </c>
      <c r="AL2843" s="10"/>
      <c r="AM2843" s="10"/>
      <c r="AN2843" s="10"/>
      <c r="AO2843" s="13" t="b">
        <v>0</v>
      </c>
      <c r="AP2843" s="22" t="s">
        <v>135</v>
      </c>
      <c r="AQ2843" s="10">
        <f ca="1">IFERROR(__xludf.DUMMYFUNCTION("""COMPUTED_VALUE"""),4766503)</f>
        <v>4766503</v>
      </c>
      <c r="AR2843" s="17">
        <v>3516</v>
      </c>
      <c r="AS2843" s="17">
        <v>2626</v>
      </c>
      <c r="AT2843" s="17">
        <v>71614.75</v>
      </c>
      <c r="AU2843" s="17">
        <v>7.95</v>
      </c>
      <c r="AV2843" s="17">
        <v>0.5</v>
      </c>
      <c r="AW2843" s="10" t="s">
        <v>105</v>
      </c>
      <c r="AX2843" s="17">
        <v>1114</v>
      </c>
      <c r="AY2843" s="18">
        <v>27.271420411271897</v>
      </c>
      <c r="AZ2843" s="10" t="s">
        <v>3998</v>
      </c>
      <c r="BA2843" s="20" t="b">
        <v>0</v>
      </c>
      <c r="BB2843" s="10"/>
      <c r="BC2843" s="17">
        <v>3516</v>
      </c>
      <c r="BD2843" s="17">
        <v>2626</v>
      </c>
      <c r="BE2843" s="17">
        <v>71614.75</v>
      </c>
      <c r="BF2843" s="17">
        <v>0.5</v>
      </c>
      <c r="BG2843" s="11">
        <f ca="1">IFERROR(__xludf.DUMMYFUNCTION("""COMPUTED_VALUE"""),45998.9166666666)</f>
        <v>45998.916666666599</v>
      </c>
      <c r="BH2843" s="17" t="s">
        <v>105</v>
      </c>
      <c r="BI2843" s="17"/>
      <c r="BJ2843" s="15"/>
      <c r="BK2843" s="15"/>
      <c r="BL2843" s="13" t="b">
        <v>0</v>
      </c>
      <c r="BM2843" s="10"/>
      <c r="BN2843" s="10" t="s">
        <v>634</v>
      </c>
      <c r="BO2843" s="11">
        <v>45991.384722222225</v>
      </c>
      <c r="BP2843" s="11">
        <v>45991.385011574072</v>
      </c>
      <c r="BQ2843" s="15">
        <v>45996.565567129626</v>
      </c>
      <c r="BR2843" s="15">
        <v>45996.595451388886</v>
      </c>
      <c r="BS2843" s="10" t="s">
        <v>634</v>
      </c>
      <c r="BT2843" s="10" t="s">
        <v>99</v>
      </c>
      <c r="BU2843" s="10" t="s">
        <v>498</v>
      </c>
      <c r="BV2843" s="10"/>
      <c r="BW2843" s="10"/>
      <c r="BX2843" s="10"/>
      <c r="BY2843" s="23"/>
      <c r="BZ2843" s="23"/>
      <c r="CA2843" s="19" t="s">
        <v>21102</v>
      </c>
      <c r="CB2843" s="23"/>
      <c r="CC2843" s="23"/>
      <c r="CD2843" s="19" t="s">
        <v>21103</v>
      </c>
      <c r="CE2843" s="23"/>
      <c r="CF2843" s="23"/>
      <c r="CG2843" s="23"/>
      <c r="CH2843" s="23"/>
      <c r="CI2843" s="23"/>
    </row>
    <row r="2844" spans="1:87" x14ac:dyDescent="0.3">
      <c r="A2844" s="25" t="s">
        <v>21104</v>
      </c>
      <c r="B2844" s="10" t="s">
        <v>21105</v>
      </c>
      <c r="C2844" s="11">
        <v>45996.770833333336</v>
      </c>
      <c r="D2844" s="12">
        <v>2.0833333333333332E-2</v>
      </c>
      <c r="E2844" s="11">
        <v>45996.791666666664</v>
      </c>
      <c r="F2844" s="22" t="s">
        <v>3511</v>
      </c>
      <c r="G2844" s="13" t="b">
        <v>0</v>
      </c>
      <c r="H2844" s="22" t="s">
        <v>3512</v>
      </c>
      <c r="I2844" s="10" t="s">
        <v>212</v>
      </c>
      <c r="J2844" s="13" t="b">
        <v>1</v>
      </c>
      <c r="K2844" s="13" t="b">
        <v>0</v>
      </c>
      <c r="L2844" s="10" t="s">
        <v>90</v>
      </c>
      <c r="M2844" s="10" t="s">
        <v>91</v>
      </c>
      <c r="N2844" s="10" t="s">
        <v>92</v>
      </c>
      <c r="O2844" s="19" t="s">
        <v>21106</v>
      </c>
      <c r="P2844" s="10"/>
      <c r="Q2844" s="10" t="s">
        <v>94</v>
      </c>
      <c r="R2844" s="10"/>
      <c r="S2844" s="19" t="s">
        <v>20800</v>
      </c>
      <c r="T2844" s="10"/>
      <c r="U2844" s="10"/>
      <c r="V2844" s="10"/>
      <c r="W2844" s="10" t="s">
        <v>3519</v>
      </c>
      <c r="X2844" s="10" t="s">
        <v>130</v>
      </c>
      <c r="Y2844" s="10" t="s">
        <v>130</v>
      </c>
      <c r="Z2844" s="10" t="s">
        <v>99</v>
      </c>
      <c r="AA2844" s="10" t="s">
        <v>131</v>
      </c>
      <c r="AB2844" s="10" t="s">
        <v>3520</v>
      </c>
      <c r="AC2844" s="10" t="s">
        <v>3521</v>
      </c>
      <c r="AD2844" s="10" t="s">
        <v>165</v>
      </c>
      <c r="AE2844" s="10" t="s">
        <v>21107</v>
      </c>
      <c r="AF2844" s="15"/>
      <c r="AG2844" s="10"/>
      <c r="AH2844" s="10"/>
      <c r="AI2844" s="10"/>
      <c r="AJ2844" s="10"/>
      <c r="AK2844" s="10" t="s">
        <v>102</v>
      </c>
      <c r="AL2844" s="10"/>
      <c r="AM2844" s="10"/>
      <c r="AN2844" s="10"/>
      <c r="AO2844" s="13" t="b">
        <v>0</v>
      </c>
      <c r="AP2844" s="22" t="s">
        <v>104</v>
      </c>
      <c r="AQ2844" s="10">
        <f ca="1">IFERROR(__xludf.DUMMYFUNCTION("""COMPUTED_VALUE"""),4758887)</f>
        <v>4758887</v>
      </c>
      <c r="AR2844" s="17">
        <v>10431</v>
      </c>
      <c r="AS2844" s="17">
        <v>8088</v>
      </c>
      <c r="AT2844" s="17">
        <v>52062.75</v>
      </c>
      <c r="AU2844" s="17">
        <v>77.75</v>
      </c>
      <c r="AV2844" s="17">
        <v>27.8</v>
      </c>
      <c r="AW2844" s="10" t="s">
        <v>105</v>
      </c>
      <c r="AX2844" s="17">
        <v>5353</v>
      </c>
      <c r="AY2844" s="18">
        <v>6.4370363501483681</v>
      </c>
      <c r="AZ2844" s="10"/>
      <c r="BA2844" s="20" t="b">
        <v>0</v>
      </c>
      <c r="BB2844" s="10"/>
      <c r="BC2844" s="17">
        <v>10431</v>
      </c>
      <c r="BD2844" s="17">
        <v>8088</v>
      </c>
      <c r="BE2844" s="17">
        <v>52062.75</v>
      </c>
      <c r="BF2844" s="17">
        <v>27.8</v>
      </c>
      <c r="BG2844" s="11">
        <f ca="1">IFERROR(__xludf.DUMMYFUNCTION("""COMPUTED_VALUE"""),45996.7708333333)</f>
        <v>45996.770833333299</v>
      </c>
      <c r="BH2844" s="17" t="s">
        <v>105</v>
      </c>
      <c r="BI2844" s="17"/>
      <c r="BJ2844" s="15"/>
      <c r="BK2844" s="15"/>
      <c r="BL2844" s="13" t="b">
        <v>0</v>
      </c>
      <c r="BM2844" s="10"/>
      <c r="BN2844" s="10" t="s">
        <v>118</v>
      </c>
      <c r="BO2844" s="11">
        <v>45992.634722222225</v>
      </c>
      <c r="BP2844" s="11">
        <v>45992.635509259257</v>
      </c>
      <c r="BQ2844" s="15">
        <v>45993.517314814817</v>
      </c>
      <c r="BR2844" s="15">
        <v>45993.527060185188</v>
      </c>
      <c r="BS2844" s="10" t="s">
        <v>118</v>
      </c>
      <c r="BT2844" s="10"/>
      <c r="BU2844" s="10"/>
      <c r="BV2844" s="10"/>
      <c r="BW2844" s="10"/>
      <c r="BX2844" s="10"/>
      <c r="BY2844" s="23"/>
      <c r="BZ2844" s="23"/>
      <c r="CA2844" s="19" t="s">
        <v>20803</v>
      </c>
      <c r="CB2844" s="23"/>
      <c r="CC2844" s="23"/>
      <c r="CD2844" s="23"/>
      <c r="CE2844" s="23"/>
      <c r="CF2844" s="23"/>
      <c r="CG2844" s="23"/>
      <c r="CH2844" s="23"/>
      <c r="CI2844" s="23"/>
    </row>
    <row r="2845" spans="1:87" x14ac:dyDescent="0.3">
      <c r="A2845" s="9" t="s">
        <v>21108</v>
      </c>
      <c r="B2845" s="10" t="s">
        <v>21109</v>
      </c>
      <c r="C2845" s="11">
        <v>45997.770833333336</v>
      </c>
      <c r="D2845" s="12">
        <v>2.0833333333333332E-2</v>
      </c>
      <c r="E2845" s="11">
        <v>45997.791666666664</v>
      </c>
      <c r="F2845" s="22" t="s">
        <v>3511</v>
      </c>
      <c r="G2845" s="13" t="b">
        <v>0</v>
      </c>
      <c r="H2845" s="22" t="s">
        <v>3512</v>
      </c>
      <c r="I2845" s="10" t="s">
        <v>212</v>
      </c>
      <c r="J2845" s="13" t="b">
        <v>1</v>
      </c>
      <c r="K2845" s="13" t="b">
        <v>0</v>
      </c>
      <c r="L2845" s="10" t="s">
        <v>90</v>
      </c>
      <c r="M2845" s="10" t="s">
        <v>91</v>
      </c>
      <c r="N2845" s="10" t="s">
        <v>92</v>
      </c>
      <c r="O2845" s="19" t="s">
        <v>21110</v>
      </c>
      <c r="P2845" s="10"/>
      <c r="Q2845" s="10" t="s">
        <v>94</v>
      </c>
      <c r="R2845" s="10"/>
      <c r="S2845" s="19" t="s">
        <v>20807</v>
      </c>
      <c r="T2845" s="10"/>
      <c r="U2845" s="10"/>
      <c r="V2845" s="10"/>
      <c r="W2845" s="10" t="s">
        <v>3519</v>
      </c>
      <c r="X2845" s="10" t="s">
        <v>130</v>
      </c>
      <c r="Y2845" s="10" t="s">
        <v>130</v>
      </c>
      <c r="Z2845" s="10" t="s">
        <v>99</v>
      </c>
      <c r="AA2845" s="10" t="s">
        <v>131</v>
      </c>
      <c r="AB2845" s="10" t="s">
        <v>3520</v>
      </c>
      <c r="AC2845" s="10" t="s">
        <v>3521</v>
      </c>
      <c r="AD2845" s="10" t="s">
        <v>165</v>
      </c>
      <c r="AE2845" s="10" t="s">
        <v>21111</v>
      </c>
      <c r="AF2845" s="15"/>
      <c r="AG2845" s="10"/>
      <c r="AH2845" s="10"/>
      <c r="AI2845" s="10"/>
      <c r="AJ2845" s="10"/>
      <c r="AK2845" s="10" t="s">
        <v>102</v>
      </c>
      <c r="AL2845" s="10"/>
      <c r="AM2845" s="10"/>
      <c r="AN2845" s="10"/>
      <c r="AO2845" s="13" t="b">
        <v>0</v>
      </c>
      <c r="AP2845" s="22" t="s">
        <v>104</v>
      </c>
      <c r="AQ2845" s="10">
        <f ca="1">IFERROR(__xludf.DUMMYFUNCTION("""COMPUTED_VALUE"""),4759275)</f>
        <v>4759275</v>
      </c>
      <c r="AR2845" s="17">
        <v>7705</v>
      </c>
      <c r="AS2845" s="17">
        <v>6110</v>
      </c>
      <c r="AT2845" s="17">
        <v>31042.25</v>
      </c>
      <c r="AU2845" s="17">
        <v>38</v>
      </c>
      <c r="AV2845" s="17">
        <v>12.35</v>
      </c>
      <c r="AW2845" s="10" t="s">
        <v>105</v>
      </c>
      <c r="AX2845" s="17">
        <v>3608</v>
      </c>
      <c r="AY2845" s="18">
        <v>5.0805646481178393</v>
      </c>
      <c r="AZ2845" s="10"/>
      <c r="BA2845" s="20" t="b">
        <v>0</v>
      </c>
      <c r="BB2845" s="10"/>
      <c r="BC2845" s="17">
        <v>7705</v>
      </c>
      <c r="BD2845" s="17">
        <v>6110</v>
      </c>
      <c r="BE2845" s="17">
        <v>31042.25</v>
      </c>
      <c r="BF2845" s="17">
        <v>12.35</v>
      </c>
      <c r="BG2845" s="11">
        <f ca="1">IFERROR(__xludf.DUMMYFUNCTION("""COMPUTED_VALUE"""),45997.7708333333)</f>
        <v>45997.770833333299</v>
      </c>
      <c r="BH2845" s="17" t="s">
        <v>105</v>
      </c>
      <c r="BI2845" s="17"/>
      <c r="BJ2845" s="15"/>
      <c r="BK2845" s="15"/>
      <c r="BL2845" s="13" t="b">
        <v>0</v>
      </c>
      <c r="BM2845" s="10"/>
      <c r="BN2845" s="10" t="s">
        <v>278</v>
      </c>
      <c r="BO2845" s="11">
        <v>45992.636111111111</v>
      </c>
      <c r="BP2845" s="11">
        <v>45992.636192129627</v>
      </c>
      <c r="BQ2845" s="15">
        <v>45993.517754629633</v>
      </c>
      <c r="BR2845" s="15">
        <v>45994.454328703701</v>
      </c>
      <c r="BS2845" s="10" t="s">
        <v>278</v>
      </c>
      <c r="BT2845" s="10"/>
      <c r="BU2845" s="10"/>
      <c r="BV2845" s="10"/>
      <c r="BW2845" s="10"/>
      <c r="BX2845" s="10"/>
      <c r="BY2845" s="23"/>
      <c r="BZ2845" s="23"/>
      <c r="CA2845" s="19" t="s">
        <v>20810</v>
      </c>
      <c r="CB2845" s="23"/>
      <c r="CC2845" s="23"/>
      <c r="CD2845" s="23"/>
      <c r="CE2845" s="23"/>
      <c r="CF2845" s="23"/>
      <c r="CG2845" s="23"/>
      <c r="CH2845" s="23"/>
      <c r="CI2845" s="23"/>
    </row>
    <row r="2846" spans="1:87" x14ac:dyDescent="0.3">
      <c r="A2846" s="9" t="s">
        <v>21112</v>
      </c>
      <c r="B2846" s="10" t="s">
        <v>21113</v>
      </c>
      <c r="C2846" s="11">
        <v>46000.833333333336</v>
      </c>
      <c r="D2846" s="12">
        <v>8.3333333333333329E-2</v>
      </c>
      <c r="E2846" s="11">
        <v>46000.916666666664</v>
      </c>
      <c r="F2846" s="22" t="s">
        <v>14910</v>
      </c>
      <c r="G2846" s="13" t="b">
        <v>0</v>
      </c>
      <c r="H2846" s="22" t="s">
        <v>3578</v>
      </c>
      <c r="I2846" s="10" t="s">
        <v>89</v>
      </c>
      <c r="J2846" s="13" t="b">
        <v>0</v>
      </c>
      <c r="K2846" s="13" t="b">
        <v>1</v>
      </c>
      <c r="L2846" s="10" t="s">
        <v>124</v>
      </c>
      <c r="M2846" s="10" t="s">
        <v>91</v>
      </c>
      <c r="N2846" s="10" t="s">
        <v>92</v>
      </c>
      <c r="O2846" s="19" t="s">
        <v>21114</v>
      </c>
      <c r="P2846" s="10"/>
      <c r="Q2846" s="10" t="s">
        <v>94</v>
      </c>
      <c r="R2846" s="10"/>
      <c r="S2846" s="19" t="s">
        <v>21115</v>
      </c>
      <c r="T2846" s="19" t="s">
        <v>21116</v>
      </c>
      <c r="U2846" s="10" t="s">
        <v>3704</v>
      </c>
      <c r="V2846" s="10" t="s">
        <v>5090</v>
      </c>
      <c r="W2846" s="10" t="s">
        <v>14914</v>
      </c>
      <c r="X2846" s="10" t="s">
        <v>130</v>
      </c>
      <c r="Y2846" s="10" t="s">
        <v>130</v>
      </c>
      <c r="Z2846" s="10" t="s">
        <v>99</v>
      </c>
      <c r="AA2846" s="10" t="s">
        <v>131</v>
      </c>
      <c r="AB2846" s="10" t="s">
        <v>14915</v>
      </c>
      <c r="AC2846" s="10" t="s">
        <v>3571</v>
      </c>
      <c r="AD2846" s="10" t="s">
        <v>12231</v>
      </c>
      <c r="AE2846" s="10" t="s">
        <v>21117</v>
      </c>
      <c r="AF2846" s="15"/>
      <c r="AG2846" s="10"/>
      <c r="AH2846" s="10"/>
      <c r="AI2846" s="10"/>
      <c r="AJ2846" s="10"/>
      <c r="AK2846" s="10" t="s">
        <v>102</v>
      </c>
      <c r="AL2846" s="10" t="s">
        <v>7897</v>
      </c>
      <c r="AM2846" s="10"/>
      <c r="AN2846" s="10"/>
      <c r="AO2846" s="13" t="b">
        <v>0</v>
      </c>
      <c r="AP2846" s="22" t="s">
        <v>104</v>
      </c>
      <c r="AQ2846" s="10">
        <f ca="1">IFERROR(__xludf.DUMMYFUNCTION("""COMPUTED_VALUE"""),4769285)</f>
        <v>4769285</v>
      </c>
      <c r="AR2846" s="17">
        <v>13698</v>
      </c>
      <c r="AS2846" s="17">
        <v>11587</v>
      </c>
      <c r="AT2846" s="17">
        <v>144362</v>
      </c>
      <c r="AU2846" s="17">
        <v>50.75</v>
      </c>
      <c r="AV2846" s="17">
        <v>11.5</v>
      </c>
      <c r="AW2846" s="10" t="s">
        <v>105</v>
      </c>
      <c r="AX2846" s="17">
        <v>1834</v>
      </c>
      <c r="AY2846" s="18">
        <v>12.45896263053422</v>
      </c>
      <c r="AZ2846" s="10" t="s">
        <v>148</v>
      </c>
      <c r="BA2846" s="20" t="b">
        <v>0</v>
      </c>
      <c r="BB2846" s="10"/>
      <c r="BC2846" s="17">
        <v>13698</v>
      </c>
      <c r="BD2846" s="17">
        <v>11587</v>
      </c>
      <c r="BE2846" s="17">
        <v>144362</v>
      </c>
      <c r="BF2846" s="17">
        <v>11.5</v>
      </c>
      <c r="BG2846" s="11">
        <f ca="1">IFERROR(__xludf.DUMMYFUNCTION("""COMPUTED_VALUE"""),46000.8333333333)</f>
        <v>46000.833333333299</v>
      </c>
      <c r="BH2846" s="17" t="s">
        <v>105</v>
      </c>
      <c r="BI2846" s="17"/>
      <c r="BJ2846" s="15"/>
      <c r="BK2846" s="15"/>
      <c r="BL2846" s="13" t="b">
        <v>0</v>
      </c>
      <c r="BM2846" s="10"/>
      <c r="BN2846" s="10" t="s">
        <v>667</v>
      </c>
      <c r="BO2846" s="11">
        <v>45992.654166666667</v>
      </c>
      <c r="BP2846" s="11">
        <v>45992.657534722224</v>
      </c>
      <c r="BQ2846" s="15">
        <v>45996.741076388891</v>
      </c>
      <c r="BR2846" s="15">
        <v>45998.389444444445</v>
      </c>
      <c r="BS2846" s="10" t="s">
        <v>667</v>
      </c>
      <c r="BT2846" s="10" t="s">
        <v>99</v>
      </c>
      <c r="BU2846" s="10" t="s">
        <v>6409</v>
      </c>
      <c r="BV2846" s="10"/>
      <c r="BW2846" s="10"/>
      <c r="BX2846" s="10"/>
      <c r="BY2846" s="23"/>
      <c r="BZ2846" s="23"/>
      <c r="CA2846" s="19" t="s">
        <v>21118</v>
      </c>
      <c r="CB2846" s="19" t="s">
        <v>21119</v>
      </c>
      <c r="CC2846" s="23"/>
      <c r="CD2846" s="23"/>
      <c r="CE2846" s="23"/>
      <c r="CF2846" s="23"/>
      <c r="CG2846" s="23"/>
      <c r="CH2846" s="23"/>
      <c r="CI2846" s="23"/>
    </row>
    <row r="2847" spans="1:87" x14ac:dyDescent="0.3">
      <c r="A2847" s="9" t="s">
        <v>21120</v>
      </c>
      <c r="B2847" s="10" t="s">
        <v>21121</v>
      </c>
      <c r="C2847" s="11">
        <v>46000.916666666664</v>
      </c>
      <c r="D2847" s="12">
        <v>8.3333333333333329E-2</v>
      </c>
      <c r="E2847" s="11">
        <v>46001</v>
      </c>
      <c r="F2847" s="22" t="s">
        <v>14910</v>
      </c>
      <c r="G2847" s="13" t="b">
        <v>0</v>
      </c>
      <c r="H2847" s="22" t="s">
        <v>3578</v>
      </c>
      <c r="I2847" s="10" t="s">
        <v>89</v>
      </c>
      <c r="J2847" s="13" t="b">
        <v>0</v>
      </c>
      <c r="K2847" s="13" t="b">
        <v>1</v>
      </c>
      <c r="L2847" s="10" t="s">
        <v>124</v>
      </c>
      <c r="M2847" s="10" t="s">
        <v>91</v>
      </c>
      <c r="N2847" s="10" t="s">
        <v>92</v>
      </c>
      <c r="O2847" s="19" t="s">
        <v>21122</v>
      </c>
      <c r="P2847" s="10"/>
      <c r="Q2847" s="10" t="s">
        <v>94</v>
      </c>
      <c r="R2847" s="10"/>
      <c r="S2847" s="19" t="s">
        <v>21123</v>
      </c>
      <c r="T2847" s="19" t="s">
        <v>21124</v>
      </c>
      <c r="U2847" s="10" t="s">
        <v>3278</v>
      </c>
      <c r="V2847" s="10" t="s">
        <v>270</v>
      </c>
      <c r="W2847" s="10" t="s">
        <v>14914</v>
      </c>
      <c r="X2847" s="10" t="s">
        <v>130</v>
      </c>
      <c r="Y2847" s="10" t="s">
        <v>130</v>
      </c>
      <c r="Z2847" s="10" t="s">
        <v>99</v>
      </c>
      <c r="AA2847" s="10" t="s">
        <v>131</v>
      </c>
      <c r="AB2847" s="10" t="s">
        <v>14915</v>
      </c>
      <c r="AC2847" s="10" t="s">
        <v>3571</v>
      </c>
      <c r="AD2847" s="10" t="s">
        <v>12251</v>
      </c>
      <c r="AE2847" s="10" t="s">
        <v>21125</v>
      </c>
      <c r="AF2847" s="15"/>
      <c r="AG2847" s="10"/>
      <c r="AH2847" s="10"/>
      <c r="AI2847" s="10"/>
      <c r="AJ2847" s="10"/>
      <c r="AK2847" s="10" t="s">
        <v>102</v>
      </c>
      <c r="AL2847" s="10" t="s">
        <v>7897</v>
      </c>
      <c r="AM2847" s="10"/>
      <c r="AN2847" s="10"/>
      <c r="AO2847" s="13" t="b">
        <v>0</v>
      </c>
      <c r="AP2847" s="22" t="s">
        <v>104</v>
      </c>
      <c r="AQ2847" s="10">
        <f ca="1">IFERROR(__xludf.DUMMYFUNCTION("""COMPUTED_VALUE"""),4769286)</f>
        <v>4769286</v>
      </c>
      <c r="AR2847" s="17">
        <v>14207</v>
      </c>
      <c r="AS2847" s="17">
        <v>12278</v>
      </c>
      <c r="AT2847" s="17">
        <v>87037.25</v>
      </c>
      <c r="AU2847" s="17">
        <v>41</v>
      </c>
      <c r="AV2847" s="17">
        <v>11.2</v>
      </c>
      <c r="AW2847" s="10" t="s">
        <v>105</v>
      </c>
      <c r="AX2847" s="17">
        <v>1960</v>
      </c>
      <c r="AY2847" s="18">
        <v>7.0888784818374324</v>
      </c>
      <c r="AZ2847" s="10" t="s">
        <v>148</v>
      </c>
      <c r="BA2847" s="20" t="b">
        <v>0</v>
      </c>
      <c r="BB2847" s="10"/>
      <c r="BC2847" s="17">
        <v>14207</v>
      </c>
      <c r="BD2847" s="17">
        <v>12278</v>
      </c>
      <c r="BE2847" s="17">
        <v>87037.25</v>
      </c>
      <c r="BF2847" s="17">
        <v>11.2</v>
      </c>
      <c r="BG2847" s="11">
        <f ca="1">IFERROR(__xludf.DUMMYFUNCTION("""COMPUTED_VALUE"""),46000.9166666666)</f>
        <v>46000.916666666599</v>
      </c>
      <c r="BH2847" s="17" t="s">
        <v>105</v>
      </c>
      <c r="BI2847" s="17"/>
      <c r="BJ2847" s="15"/>
      <c r="BK2847" s="15"/>
      <c r="BL2847" s="13" t="b">
        <v>0</v>
      </c>
      <c r="BM2847" s="10"/>
      <c r="BN2847" s="10" t="s">
        <v>667</v>
      </c>
      <c r="BO2847" s="11">
        <v>45992.654861111114</v>
      </c>
      <c r="BP2847" s="11">
        <v>45992.657627314817</v>
      </c>
      <c r="BQ2847" s="15">
        <v>45996.740972222222</v>
      </c>
      <c r="BR2847" s="15">
        <v>45998.38957175926</v>
      </c>
      <c r="BS2847" s="10" t="s">
        <v>667</v>
      </c>
      <c r="BT2847" s="10" t="s">
        <v>99</v>
      </c>
      <c r="BU2847" s="10" t="s">
        <v>6409</v>
      </c>
      <c r="BV2847" s="10"/>
      <c r="BW2847" s="10"/>
      <c r="BX2847" s="10"/>
      <c r="BY2847" s="23"/>
      <c r="BZ2847" s="23"/>
      <c r="CA2847" s="19" t="s">
        <v>21126</v>
      </c>
      <c r="CB2847" s="19" t="s">
        <v>21127</v>
      </c>
      <c r="CC2847" s="23"/>
      <c r="CD2847" s="23"/>
      <c r="CE2847" s="23"/>
      <c r="CF2847" s="23"/>
      <c r="CG2847" s="23"/>
      <c r="CH2847" s="23"/>
      <c r="CI2847" s="23"/>
    </row>
    <row r="2848" spans="1:87" x14ac:dyDescent="0.3">
      <c r="A2848" s="9" t="s">
        <v>21128</v>
      </c>
      <c r="B2848" s="10" t="s">
        <v>21129</v>
      </c>
      <c r="C2848" s="11">
        <v>46001.833333333336</v>
      </c>
      <c r="D2848" s="12">
        <v>8.3333333333333329E-2</v>
      </c>
      <c r="E2848" s="11">
        <v>46001.916666666664</v>
      </c>
      <c r="F2848" s="22" t="s">
        <v>14910</v>
      </c>
      <c r="G2848" s="13" t="b">
        <v>0</v>
      </c>
      <c r="H2848" s="22" t="s">
        <v>3578</v>
      </c>
      <c r="I2848" s="10" t="s">
        <v>89</v>
      </c>
      <c r="J2848" s="13" t="b">
        <v>0</v>
      </c>
      <c r="K2848" s="13" t="b">
        <v>1</v>
      </c>
      <c r="L2848" s="10" t="s">
        <v>124</v>
      </c>
      <c r="M2848" s="10" t="s">
        <v>91</v>
      </c>
      <c r="N2848" s="10" t="s">
        <v>92</v>
      </c>
      <c r="O2848" s="19" t="s">
        <v>21130</v>
      </c>
      <c r="P2848" s="10"/>
      <c r="Q2848" s="10" t="s">
        <v>94</v>
      </c>
      <c r="R2848" s="10"/>
      <c r="S2848" s="19" t="s">
        <v>21131</v>
      </c>
      <c r="T2848" s="19" t="s">
        <v>21132</v>
      </c>
      <c r="U2848" s="10" t="s">
        <v>3568</v>
      </c>
      <c r="V2848" s="10" t="s">
        <v>362</v>
      </c>
      <c r="W2848" s="10" t="s">
        <v>14914</v>
      </c>
      <c r="X2848" s="10" t="s">
        <v>130</v>
      </c>
      <c r="Y2848" s="10" t="s">
        <v>130</v>
      </c>
      <c r="Z2848" s="10" t="s">
        <v>99</v>
      </c>
      <c r="AA2848" s="10" t="s">
        <v>131</v>
      </c>
      <c r="AB2848" s="10" t="s">
        <v>14915</v>
      </c>
      <c r="AC2848" s="10" t="s">
        <v>3571</v>
      </c>
      <c r="AD2848" s="10" t="s">
        <v>12319</v>
      </c>
      <c r="AE2848" s="10" t="s">
        <v>21133</v>
      </c>
      <c r="AF2848" s="15"/>
      <c r="AG2848" s="10"/>
      <c r="AH2848" s="10"/>
      <c r="AI2848" s="10"/>
      <c r="AJ2848" s="10"/>
      <c r="AK2848" s="10" t="s">
        <v>102</v>
      </c>
      <c r="AL2848" s="10" t="s">
        <v>7897</v>
      </c>
      <c r="AM2848" s="10"/>
      <c r="AN2848" s="10"/>
      <c r="AO2848" s="13" t="b">
        <v>0</v>
      </c>
      <c r="AP2848" s="22" t="s">
        <v>104</v>
      </c>
      <c r="AQ2848" s="10">
        <f ca="1">IFERROR(__xludf.DUMMYFUNCTION("""COMPUTED_VALUE"""),4769287)</f>
        <v>4769287</v>
      </c>
      <c r="AR2848" s="17">
        <v>17813</v>
      </c>
      <c r="AS2848" s="17">
        <v>14765</v>
      </c>
      <c r="AT2848" s="17">
        <v>160304.25</v>
      </c>
      <c r="AU2848" s="17">
        <v>86</v>
      </c>
      <c r="AV2848" s="17">
        <v>33.950000000000003</v>
      </c>
      <c r="AW2848" s="10" t="s">
        <v>105</v>
      </c>
      <c r="AX2848" s="17">
        <v>2117</v>
      </c>
      <c r="AY2848" s="18">
        <v>10.857043684388756</v>
      </c>
      <c r="AZ2848" s="10" t="s">
        <v>148</v>
      </c>
      <c r="BA2848" s="20" t="b">
        <v>0</v>
      </c>
      <c r="BB2848" s="10"/>
      <c r="BC2848" s="17">
        <v>17813</v>
      </c>
      <c r="BD2848" s="17">
        <v>14765</v>
      </c>
      <c r="BE2848" s="17">
        <v>160304.25</v>
      </c>
      <c r="BF2848" s="17">
        <v>33.950000000000003</v>
      </c>
      <c r="BG2848" s="11">
        <f ca="1">IFERROR(__xludf.DUMMYFUNCTION("""COMPUTED_VALUE"""),46001.8333333333)</f>
        <v>46001.833333333299</v>
      </c>
      <c r="BH2848" s="17" t="s">
        <v>105</v>
      </c>
      <c r="BI2848" s="17"/>
      <c r="BJ2848" s="15"/>
      <c r="BK2848" s="15"/>
      <c r="BL2848" s="13" t="b">
        <v>0</v>
      </c>
      <c r="BM2848" s="10"/>
      <c r="BN2848" s="10" t="s">
        <v>157</v>
      </c>
      <c r="BO2848" s="11">
        <v>45992.65625</v>
      </c>
      <c r="BP2848" s="11">
        <v>45992.656504629631</v>
      </c>
      <c r="BQ2848" s="15">
        <v>45996.741909722223</v>
      </c>
      <c r="BR2848" s="15">
        <v>45998.389687499999</v>
      </c>
      <c r="BS2848" s="10" t="s">
        <v>157</v>
      </c>
      <c r="BT2848" s="10" t="s">
        <v>99</v>
      </c>
      <c r="BU2848" s="10" t="s">
        <v>6409</v>
      </c>
      <c r="BV2848" s="10"/>
      <c r="BW2848" s="10"/>
      <c r="BX2848" s="10"/>
      <c r="BY2848" s="23"/>
      <c r="BZ2848" s="23"/>
      <c r="CA2848" s="19" t="s">
        <v>21134</v>
      </c>
      <c r="CB2848" s="19" t="s">
        <v>21135</v>
      </c>
      <c r="CC2848" s="23"/>
      <c r="CD2848" s="23"/>
      <c r="CE2848" s="23"/>
      <c r="CF2848" s="23"/>
      <c r="CG2848" s="23"/>
      <c r="CH2848" s="23"/>
      <c r="CI2848" s="23"/>
    </row>
    <row r="2849" spans="1:87" x14ac:dyDescent="0.3">
      <c r="A2849" s="9" t="s">
        <v>21136</v>
      </c>
      <c r="B2849" s="10" t="s">
        <v>21137</v>
      </c>
      <c r="C2849" s="11">
        <v>46001.916666666664</v>
      </c>
      <c r="D2849" s="12">
        <v>8.3333333333333329E-2</v>
      </c>
      <c r="E2849" s="11">
        <v>46002</v>
      </c>
      <c r="F2849" s="22" t="s">
        <v>14910</v>
      </c>
      <c r="G2849" s="13" t="b">
        <v>0</v>
      </c>
      <c r="H2849" s="22" t="s">
        <v>3578</v>
      </c>
      <c r="I2849" s="10" t="s">
        <v>89</v>
      </c>
      <c r="J2849" s="13" t="b">
        <v>0</v>
      </c>
      <c r="K2849" s="13" t="b">
        <v>1</v>
      </c>
      <c r="L2849" s="10" t="s">
        <v>124</v>
      </c>
      <c r="M2849" s="10" t="s">
        <v>91</v>
      </c>
      <c r="N2849" s="10" t="s">
        <v>92</v>
      </c>
      <c r="O2849" s="19" t="s">
        <v>21138</v>
      </c>
      <c r="P2849" s="10"/>
      <c r="Q2849" s="10" t="s">
        <v>94</v>
      </c>
      <c r="R2849" s="10"/>
      <c r="S2849" s="19" t="s">
        <v>21139</v>
      </c>
      <c r="T2849" s="19" t="s">
        <v>21140</v>
      </c>
      <c r="U2849" s="10" t="s">
        <v>5113</v>
      </c>
      <c r="V2849" s="10" t="s">
        <v>334</v>
      </c>
      <c r="W2849" s="10" t="s">
        <v>14914</v>
      </c>
      <c r="X2849" s="10" t="s">
        <v>130</v>
      </c>
      <c r="Y2849" s="10" t="s">
        <v>130</v>
      </c>
      <c r="Z2849" s="10" t="s">
        <v>99</v>
      </c>
      <c r="AA2849" s="10" t="s">
        <v>131</v>
      </c>
      <c r="AB2849" s="10" t="s">
        <v>14915</v>
      </c>
      <c r="AC2849" s="10" t="s">
        <v>3571</v>
      </c>
      <c r="AD2849" s="10" t="s">
        <v>12299</v>
      </c>
      <c r="AE2849" s="10" t="s">
        <v>21141</v>
      </c>
      <c r="AF2849" s="15"/>
      <c r="AG2849" s="10"/>
      <c r="AH2849" s="10"/>
      <c r="AI2849" s="10"/>
      <c r="AJ2849" s="10"/>
      <c r="AK2849" s="10" t="s">
        <v>102</v>
      </c>
      <c r="AL2849" s="10" t="s">
        <v>7897</v>
      </c>
      <c r="AM2849" s="10"/>
      <c r="AN2849" s="10"/>
      <c r="AO2849" s="13" t="b">
        <v>0</v>
      </c>
      <c r="AP2849" s="22" t="s">
        <v>104</v>
      </c>
      <c r="AQ2849" s="10">
        <f ca="1">IFERROR(__xludf.DUMMYFUNCTION("""COMPUTED_VALUE"""),4769288)</f>
        <v>4769288</v>
      </c>
      <c r="AR2849" s="17">
        <v>15926</v>
      </c>
      <c r="AS2849" s="17">
        <v>13406</v>
      </c>
      <c r="AT2849" s="17">
        <v>117418.75</v>
      </c>
      <c r="AU2849" s="17">
        <v>79.45</v>
      </c>
      <c r="AV2849" s="17">
        <v>23.3</v>
      </c>
      <c r="AW2849" s="10" t="s">
        <v>105</v>
      </c>
      <c r="AX2849" s="17">
        <v>2325</v>
      </c>
      <c r="AY2849" s="18">
        <v>8.7586714903774432</v>
      </c>
      <c r="AZ2849" s="10" t="s">
        <v>148</v>
      </c>
      <c r="BA2849" s="20" t="b">
        <v>0</v>
      </c>
      <c r="BB2849" s="10"/>
      <c r="BC2849" s="17">
        <v>15926</v>
      </c>
      <c r="BD2849" s="17">
        <v>13406</v>
      </c>
      <c r="BE2849" s="17">
        <v>117418.75</v>
      </c>
      <c r="BF2849" s="17">
        <v>23.3</v>
      </c>
      <c r="BG2849" s="11">
        <f ca="1">IFERROR(__xludf.DUMMYFUNCTION("""COMPUTED_VALUE"""),46001.9166666666)</f>
        <v>46001.916666666599</v>
      </c>
      <c r="BH2849" s="17" t="s">
        <v>105</v>
      </c>
      <c r="BI2849" s="17"/>
      <c r="BJ2849" s="15"/>
      <c r="BK2849" s="15"/>
      <c r="BL2849" s="13" t="b">
        <v>0</v>
      </c>
      <c r="BM2849" s="10"/>
      <c r="BN2849" s="10" t="s">
        <v>157</v>
      </c>
      <c r="BO2849" s="11">
        <v>45992.657638888886</v>
      </c>
      <c r="BP2849" s="11">
        <v>45992.657812500001</v>
      </c>
      <c r="BQ2849" s="15">
        <v>45996.74181712963</v>
      </c>
      <c r="BR2849" s="15">
        <v>45998.389803240738</v>
      </c>
      <c r="BS2849" s="10" t="s">
        <v>157</v>
      </c>
      <c r="BT2849" s="10" t="s">
        <v>99</v>
      </c>
      <c r="BU2849" s="10" t="s">
        <v>6409</v>
      </c>
      <c r="BV2849" s="10"/>
      <c r="BW2849" s="10"/>
      <c r="BX2849" s="10"/>
      <c r="BY2849" s="23"/>
      <c r="BZ2849" s="23"/>
      <c r="CA2849" s="19" t="s">
        <v>21142</v>
      </c>
      <c r="CB2849" s="19" t="s">
        <v>21143</v>
      </c>
      <c r="CC2849" s="23"/>
      <c r="CD2849" s="23"/>
      <c r="CE2849" s="23"/>
      <c r="CF2849" s="23"/>
      <c r="CG2849" s="23"/>
      <c r="CH2849" s="23"/>
      <c r="CI2849" s="23"/>
    </row>
    <row r="2850" spans="1:87" x14ac:dyDescent="0.3">
      <c r="A2850" s="9" t="s">
        <v>21144</v>
      </c>
      <c r="B2850" s="10" t="s">
        <v>21145</v>
      </c>
      <c r="C2850" s="11">
        <v>46016.020833333336</v>
      </c>
      <c r="D2850" s="12">
        <v>8.3333333333333329E-2</v>
      </c>
      <c r="E2850" s="11">
        <v>46016.104166666664</v>
      </c>
      <c r="F2850" s="22" t="s">
        <v>20550</v>
      </c>
      <c r="G2850" s="13" t="b">
        <v>0</v>
      </c>
      <c r="H2850" s="22" t="s">
        <v>3578</v>
      </c>
      <c r="I2850" s="10" t="s">
        <v>89</v>
      </c>
      <c r="J2850" s="13" t="b">
        <v>0</v>
      </c>
      <c r="K2850" s="13" t="b">
        <v>1</v>
      </c>
      <c r="L2850" s="10"/>
      <c r="M2850" s="10" t="s">
        <v>91</v>
      </c>
      <c r="N2850" s="10" t="s">
        <v>265</v>
      </c>
      <c r="O2850" s="19" t="s">
        <v>21146</v>
      </c>
      <c r="P2850" s="10"/>
      <c r="Q2850" s="10" t="s">
        <v>126</v>
      </c>
      <c r="R2850" s="10"/>
      <c r="S2850" s="19" t="s">
        <v>21147</v>
      </c>
      <c r="T2850" s="10"/>
      <c r="U2850" s="10" t="s">
        <v>20725</v>
      </c>
      <c r="V2850" s="10" t="s">
        <v>20703</v>
      </c>
      <c r="W2850" s="10" t="s">
        <v>20555</v>
      </c>
      <c r="X2850" s="10" t="s">
        <v>130</v>
      </c>
      <c r="Y2850" s="10" t="s">
        <v>130</v>
      </c>
      <c r="Z2850" s="10" t="s">
        <v>99</v>
      </c>
      <c r="AA2850" s="10" t="s">
        <v>131</v>
      </c>
      <c r="AB2850" s="10" t="s">
        <v>20556</v>
      </c>
      <c r="AC2850" s="10" t="s">
        <v>20557</v>
      </c>
      <c r="AD2850" s="10" t="s">
        <v>21148</v>
      </c>
      <c r="AE2850" s="10" t="s">
        <v>21149</v>
      </c>
      <c r="AF2850" s="15"/>
      <c r="AG2850" s="10"/>
      <c r="AH2850" s="10"/>
      <c r="AI2850" s="10"/>
      <c r="AJ2850" s="10"/>
      <c r="AK2850" s="10" t="s">
        <v>102</v>
      </c>
      <c r="AL2850" s="10" t="s">
        <v>7897</v>
      </c>
      <c r="AM2850" s="10"/>
      <c r="AN2850" s="10"/>
      <c r="AO2850" s="13" t="b">
        <v>0</v>
      </c>
      <c r="AP2850" s="22" t="s">
        <v>104</v>
      </c>
      <c r="AQ2850" s="10">
        <f ca="1">IFERROR(__xludf.DUMMYFUNCTION("""COMPUTED_VALUE"""),4792949)</f>
        <v>4792949</v>
      </c>
      <c r="AR2850" s="17">
        <v>10974</v>
      </c>
      <c r="AS2850" s="17">
        <v>8443</v>
      </c>
      <c r="AT2850" s="17">
        <v>417279.5</v>
      </c>
      <c r="AU2850" s="17">
        <v>36.700000000000003</v>
      </c>
      <c r="AV2850" s="17">
        <v>5.15</v>
      </c>
      <c r="AW2850" s="10" t="s">
        <v>105</v>
      </c>
      <c r="AX2850" s="17">
        <v>3828</v>
      </c>
      <c r="AY2850" s="18">
        <v>49.423131588297998</v>
      </c>
      <c r="AZ2850" s="10" t="s">
        <v>106</v>
      </c>
      <c r="BA2850" s="20" t="b">
        <v>0</v>
      </c>
      <c r="BB2850" s="10"/>
      <c r="BC2850" s="17">
        <v>10974</v>
      </c>
      <c r="BD2850" s="17">
        <v>8443</v>
      </c>
      <c r="BE2850" s="17">
        <v>417279.5</v>
      </c>
      <c r="BF2850" s="17">
        <v>5.15</v>
      </c>
      <c r="BG2850" s="11">
        <f ca="1">IFERROR(__xludf.DUMMYFUNCTION("""COMPUTED_VALUE"""),46016.0208333333)</f>
        <v>46016.020833333299</v>
      </c>
      <c r="BH2850" s="17" t="s">
        <v>105</v>
      </c>
      <c r="BI2850" s="17"/>
      <c r="BJ2850" s="15"/>
      <c r="BK2850" s="15"/>
      <c r="BL2850" s="13" t="b">
        <v>0</v>
      </c>
      <c r="BM2850" s="10"/>
      <c r="BN2850" s="10" t="s">
        <v>157</v>
      </c>
      <c r="BO2850" s="11">
        <v>45992.657638888886</v>
      </c>
      <c r="BP2850" s="11">
        <v>46007.450300925928</v>
      </c>
      <c r="BQ2850" s="15">
        <v>46014.839756944442</v>
      </c>
      <c r="BR2850" s="15">
        <v>46014.899201388886</v>
      </c>
      <c r="BS2850" s="10" t="s">
        <v>157</v>
      </c>
      <c r="BT2850" s="10" t="s">
        <v>99</v>
      </c>
      <c r="BU2850" s="10"/>
      <c r="BV2850" s="10"/>
      <c r="BW2850" s="10"/>
      <c r="BX2850" s="10"/>
      <c r="BY2850" s="23"/>
      <c r="BZ2850" s="23"/>
      <c r="CA2850" s="19" t="s">
        <v>21150</v>
      </c>
      <c r="CB2850" s="23"/>
      <c r="CC2850" s="23"/>
      <c r="CD2850" s="19" t="s">
        <v>21151</v>
      </c>
      <c r="CE2850" s="23"/>
      <c r="CF2850" s="23"/>
      <c r="CG2850" s="23"/>
      <c r="CH2850" s="23"/>
      <c r="CI2850" s="23"/>
    </row>
    <row r="2851" spans="1:87" x14ac:dyDescent="0.3">
      <c r="A2851" s="9" t="s">
        <v>21152</v>
      </c>
      <c r="B2851" s="10" t="s">
        <v>21153</v>
      </c>
      <c r="C2851" s="11">
        <v>46016.125</v>
      </c>
      <c r="D2851" s="12">
        <v>8.3333333333333329E-2</v>
      </c>
      <c r="E2851" s="11">
        <v>46016.208333333336</v>
      </c>
      <c r="F2851" s="22" t="s">
        <v>20550</v>
      </c>
      <c r="G2851" s="13" t="b">
        <v>0</v>
      </c>
      <c r="H2851" s="22" t="s">
        <v>3578</v>
      </c>
      <c r="I2851" s="10" t="s">
        <v>89</v>
      </c>
      <c r="J2851" s="13" t="b">
        <v>0</v>
      </c>
      <c r="K2851" s="13" t="b">
        <v>1</v>
      </c>
      <c r="L2851" s="10"/>
      <c r="M2851" s="10" t="s">
        <v>91</v>
      </c>
      <c r="N2851" s="10" t="s">
        <v>265</v>
      </c>
      <c r="O2851" s="19" t="s">
        <v>21154</v>
      </c>
      <c r="P2851" s="10"/>
      <c r="Q2851" s="10" t="s">
        <v>126</v>
      </c>
      <c r="R2851" s="10"/>
      <c r="S2851" s="19" t="s">
        <v>21155</v>
      </c>
      <c r="T2851" s="10"/>
      <c r="U2851" s="10" t="s">
        <v>20726</v>
      </c>
      <c r="V2851" s="10" t="s">
        <v>20702</v>
      </c>
      <c r="W2851" s="10" t="s">
        <v>20555</v>
      </c>
      <c r="X2851" s="10" t="s">
        <v>130</v>
      </c>
      <c r="Y2851" s="10" t="s">
        <v>130</v>
      </c>
      <c r="Z2851" s="10" t="s">
        <v>99</v>
      </c>
      <c r="AA2851" s="10" t="s">
        <v>131</v>
      </c>
      <c r="AB2851" s="10" t="s">
        <v>20556</v>
      </c>
      <c r="AC2851" s="10" t="s">
        <v>20557</v>
      </c>
      <c r="AD2851" s="10" t="s">
        <v>21156</v>
      </c>
      <c r="AE2851" s="10" t="s">
        <v>21157</v>
      </c>
      <c r="AF2851" s="15"/>
      <c r="AG2851" s="10"/>
      <c r="AH2851" s="10"/>
      <c r="AI2851" s="10"/>
      <c r="AJ2851" s="10"/>
      <c r="AK2851" s="10" t="s">
        <v>102</v>
      </c>
      <c r="AL2851" s="10" t="s">
        <v>7897</v>
      </c>
      <c r="AM2851" s="10"/>
      <c r="AN2851" s="10"/>
      <c r="AO2851" s="13" t="b">
        <v>0</v>
      </c>
      <c r="AP2851" s="22" t="s">
        <v>104</v>
      </c>
      <c r="AQ2851" s="10">
        <f ca="1">IFERROR(__xludf.DUMMYFUNCTION("""COMPUTED_VALUE"""),4792950)</f>
        <v>4792950</v>
      </c>
      <c r="AR2851" s="17">
        <v>8404</v>
      </c>
      <c r="AS2851" s="17">
        <v>6547</v>
      </c>
      <c r="AT2851" s="17">
        <v>267347</v>
      </c>
      <c r="AU2851" s="17">
        <v>39.700000000000003</v>
      </c>
      <c r="AV2851" s="17">
        <v>2.35</v>
      </c>
      <c r="AW2851" s="10" t="s">
        <v>105</v>
      </c>
      <c r="AX2851" s="17">
        <v>3671</v>
      </c>
      <c r="AY2851" s="18">
        <v>40.835038949137008</v>
      </c>
      <c r="AZ2851" s="10" t="s">
        <v>106</v>
      </c>
      <c r="BA2851" s="20" t="b">
        <v>0</v>
      </c>
      <c r="BB2851" s="10"/>
      <c r="BC2851" s="17">
        <v>8404</v>
      </c>
      <c r="BD2851" s="17">
        <v>6547</v>
      </c>
      <c r="BE2851" s="17">
        <v>267347</v>
      </c>
      <c r="BF2851" s="17">
        <v>2.35</v>
      </c>
      <c r="BG2851" s="11">
        <f ca="1">IFERROR(__xludf.DUMMYFUNCTION("""COMPUTED_VALUE"""),46016.125)</f>
        <v>46016.125</v>
      </c>
      <c r="BH2851" s="17" t="s">
        <v>105</v>
      </c>
      <c r="BI2851" s="17"/>
      <c r="BJ2851" s="15"/>
      <c r="BK2851" s="15"/>
      <c r="BL2851" s="13" t="b">
        <v>0</v>
      </c>
      <c r="BM2851" s="10"/>
      <c r="BN2851" s="10" t="s">
        <v>157</v>
      </c>
      <c r="BO2851" s="11">
        <v>45992.658333333333</v>
      </c>
      <c r="BP2851" s="11">
        <v>46007.443715277775</v>
      </c>
      <c r="BQ2851" s="15">
        <v>46014.839583333334</v>
      </c>
      <c r="BR2851" s="15">
        <v>46014.900613425925</v>
      </c>
      <c r="BS2851" s="10" t="s">
        <v>157</v>
      </c>
      <c r="BT2851" s="10" t="s">
        <v>99</v>
      </c>
      <c r="BU2851" s="10"/>
      <c r="BV2851" s="10"/>
      <c r="BW2851" s="10"/>
      <c r="BX2851" s="10"/>
      <c r="BY2851" s="23"/>
      <c r="BZ2851" s="23"/>
      <c r="CA2851" s="19" t="s">
        <v>21158</v>
      </c>
      <c r="CB2851" s="23"/>
      <c r="CC2851" s="23"/>
      <c r="CD2851" s="19" t="s">
        <v>21159</v>
      </c>
      <c r="CE2851" s="23"/>
      <c r="CF2851" s="23"/>
      <c r="CG2851" s="23"/>
      <c r="CH2851" s="23"/>
      <c r="CI2851" s="23"/>
    </row>
    <row r="2852" spans="1:87" x14ac:dyDescent="0.3">
      <c r="A2852" s="9" t="s">
        <v>21160</v>
      </c>
      <c r="B2852" s="10" t="s">
        <v>21161</v>
      </c>
      <c r="C2852" s="11">
        <v>46004.791666666664</v>
      </c>
      <c r="D2852" s="12">
        <v>0.14583333333333334</v>
      </c>
      <c r="E2852" s="11">
        <v>46004.9375</v>
      </c>
      <c r="F2852" s="22" t="s">
        <v>8402</v>
      </c>
      <c r="G2852" s="13" t="b">
        <v>0</v>
      </c>
      <c r="H2852" s="22" t="s">
        <v>8403</v>
      </c>
      <c r="I2852" s="10" t="s">
        <v>212</v>
      </c>
      <c r="J2852" s="13" t="b">
        <v>1</v>
      </c>
      <c r="K2852" s="13" t="b">
        <v>0</v>
      </c>
      <c r="L2852" s="10" t="s">
        <v>124</v>
      </c>
      <c r="M2852" s="10" t="s">
        <v>91</v>
      </c>
      <c r="N2852" s="10" t="s">
        <v>92</v>
      </c>
      <c r="O2852" s="19" t="s">
        <v>21162</v>
      </c>
      <c r="P2852" s="10"/>
      <c r="Q2852" s="10" t="s">
        <v>126</v>
      </c>
      <c r="R2852" s="19" t="s">
        <v>21163</v>
      </c>
      <c r="S2852" s="19" t="s">
        <v>21164</v>
      </c>
      <c r="T2852" s="10"/>
      <c r="U2852" s="10"/>
      <c r="V2852" s="10"/>
      <c r="W2852" s="10" t="s">
        <v>8407</v>
      </c>
      <c r="X2852" s="10" t="s">
        <v>8408</v>
      </c>
      <c r="Y2852" s="10" t="s">
        <v>8409</v>
      </c>
      <c r="Z2852" s="10" t="s">
        <v>99</v>
      </c>
      <c r="AA2852" s="10" t="s">
        <v>100</v>
      </c>
      <c r="AB2852" s="10" t="s">
        <v>8410</v>
      </c>
      <c r="AC2852" s="10"/>
      <c r="AD2852" s="10" t="s">
        <v>165</v>
      </c>
      <c r="AE2852" s="10" t="s">
        <v>21165</v>
      </c>
      <c r="AF2852" s="15"/>
      <c r="AG2852" s="10"/>
      <c r="AH2852" s="10"/>
      <c r="AI2852" s="10"/>
      <c r="AJ2852" s="10"/>
      <c r="AK2852" s="10" t="s">
        <v>102</v>
      </c>
      <c r="AL2852" s="10"/>
      <c r="AM2852" s="10"/>
      <c r="AN2852" s="10"/>
      <c r="AO2852" s="13" t="b">
        <v>0</v>
      </c>
      <c r="AP2852" s="22"/>
      <c r="AQ2852" s="10">
        <f ca="1">IFERROR(__xludf.DUMMYFUNCTION("""COMPUTED_VALUE"""),4773339)</f>
        <v>4773339</v>
      </c>
      <c r="AR2852" s="17">
        <v>8548</v>
      </c>
      <c r="AS2852" s="17">
        <v>6387</v>
      </c>
      <c r="AT2852" s="17">
        <v>99750.75</v>
      </c>
      <c r="AU2852" s="17">
        <v>14.55</v>
      </c>
      <c r="AV2852" s="17">
        <v>2.1</v>
      </c>
      <c r="AW2852" s="10" t="s">
        <v>105</v>
      </c>
      <c r="AX2852" s="17">
        <v>845</v>
      </c>
      <c r="AY2852" s="18">
        <v>15.617778299671206</v>
      </c>
      <c r="AZ2852" s="10" t="s">
        <v>3783</v>
      </c>
      <c r="BA2852" s="20" t="b">
        <v>0</v>
      </c>
      <c r="BB2852" s="10"/>
      <c r="BC2852" s="17">
        <v>8548</v>
      </c>
      <c r="BD2852" s="17">
        <v>6387</v>
      </c>
      <c r="BE2852" s="17">
        <v>99750.75</v>
      </c>
      <c r="BF2852" s="17">
        <v>2.1</v>
      </c>
      <c r="BG2852" s="11">
        <f ca="1">IFERROR(__xludf.DUMMYFUNCTION("""COMPUTED_VALUE"""),46004.7916666666)</f>
        <v>46004.791666666599</v>
      </c>
      <c r="BH2852" s="17" t="s">
        <v>105</v>
      </c>
      <c r="BI2852" s="17"/>
      <c r="BJ2852" s="15"/>
      <c r="BK2852" s="15"/>
      <c r="BL2852" s="13" t="b">
        <v>0</v>
      </c>
      <c r="BM2852" s="10"/>
      <c r="BN2852" s="10" t="s">
        <v>149</v>
      </c>
      <c r="BO2852" s="11">
        <v>45992.642361111109</v>
      </c>
      <c r="BP2852" s="11">
        <v>46000.452905092592</v>
      </c>
      <c r="BQ2852" s="15">
        <v>45994.452002314814</v>
      </c>
      <c r="BR2852" s="15">
        <v>46000.561423611114</v>
      </c>
      <c r="BS2852" s="10" t="s">
        <v>149</v>
      </c>
      <c r="BT2852" s="10"/>
      <c r="BU2852" s="10"/>
      <c r="BV2852" s="10"/>
      <c r="BW2852" s="10"/>
      <c r="BX2852" s="10"/>
      <c r="BY2852" s="23"/>
      <c r="BZ2852" s="23"/>
      <c r="CA2852" s="19" t="s">
        <v>21166</v>
      </c>
      <c r="CB2852" s="23"/>
      <c r="CC2852" s="23"/>
      <c r="CD2852" s="19" t="s">
        <v>21167</v>
      </c>
      <c r="CE2852" s="23"/>
      <c r="CF2852" s="23"/>
      <c r="CG2852" s="23"/>
      <c r="CH2852" s="23"/>
      <c r="CI2852" s="23"/>
    </row>
    <row r="2853" spans="1:87" x14ac:dyDescent="0.3">
      <c r="A2853" s="9" t="s">
        <v>21168</v>
      </c>
      <c r="B2853" s="10" t="s">
        <v>21169</v>
      </c>
      <c r="C2853" s="11">
        <v>46011.75</v>
      </c>
      <c r="D2853" s="12">
        <v>4.1666666666666664E-2</v>
      </c>
      <c r="E2853" s="11">
        <v>46011.791666666664</v>
      </c>
      <c r="F2853" s="22" t="s">
        <v>8381</v>
      </c>
      <c r="G2853" s="13" t="b">
        <v>0</v>
      </c>
      <c r="H2853" s="22" t="s">
        <v>8382</v>
      </c>
      <c r="I2853" s="10" t="s">
        <v>8383</v>
      </c>
      <c r="J2853" s="13" t="b">
        <v>0</v>
      </c>
      <c r="K2853" s="13" t="b">
        <v>1</v>
      </c>
      <c r="L2853" s="10" t="s">
        <v>358</v>
      </c>
      <c r="M2853" s="10" t="s">
        <v>91</v>
      </c>
      <c r="N2853" s="10" t="s">
        <v>92</v>
      </c>
      <c r="O2853" s="19" t="s">
        <v>21170</v>
      </c>
      <c r="P2853" s="10"/>
      <c r="Q2853" s="10" t="s">
        <v>126</v>
      </c>
      <c r="R2853" s="10"/>
      <c r="S2853" s="19" t="s">
        <v>21171</v>
      </c>
      <c r="T2853" s="10"/>
      <c r="U2853" s="10"/>
      <c r="V2853" s="10"/>
      <c r="W2853" s="10" t="s">
        <v>8386</v>
      </c>
      <c r="X2853" s="10" t="s">
        <v>8387</v>
      </c>
      <c r="Y2853" s="10" t="s">
        <v>8387</v>
      </c>
      <c r="Z2853" s="10" t="s">
        <v>99</v>
      </c>
      <c r="AA2853" s="10" t="s">
        <v>131</v>
      </c>
      <c r="AB2853" s="10" t="s">
        <v>8388</v>
      </c>
      <c r="AC2853" s="10" t="s">
        <v>8389</v>
      </c>
      <c r="AD2853" s="10" t="s">
        <v>165</v>
      </c>
      <c r="AE2853" s="10" t="s">
        <v>21172</v>
      </c>
      <c r="AF2853" s="15"/>
      <c r="AG2853" s="10"/>
      <c r="AH2853" s="10"/>
      <c r="AI2853" s="10"/>
      <c r="AJ2853" s="10"/>
      <c r="AK2853" s="10" t="s">
        <v>102</v>
      </c>
      <c r="AL2853" s="10"/>
      <c r="AM2853" s="10"/>
      <c r="AN2853" s="10"/>
      <c r="AO2853" s="13" t="b">
        <v>0</v>
      </c>
      <c r="AP2853" s="22"/>
      <c r="AQ2853" s="10">
        <f ca="1">IFERROR(__xludf.DUMMYFUNCTION("""COMPUTED_VALUE"""),4783412)</f>
        <v>4783412</v>
      </c>
      <c r="AR2853" s="17">
        <v>2571</v>
      </c>
      <c r="AS2853" s="17">
        <v>2321</v>
      </c>
      <c r="AT2853" s="17">
        <v>8302</v>
      </c>
      <c r="AU2853" s="17">
        <v>3.15</v>
      </c>
      <c r="AV2853" s="17">
        <v>0.25</v>
      </c>
      <c r="AW2853" s="10" t="s">
        <v>105</v>
      </c>
      <c r="AX2853" s="17">
        <v>312</v>
      </c>
      <c r="AY2853" s="18">
        <v>3.5769065058164586</v>
      </c>
      <c r="AZ2853" s="10" t="s">
        <v>3998</v>
      </c>
      <c r="BA2853" s="20" t="b">
        <v>0</v>
      </c>
      <c r="BB2853" s="10"/>
      <c r="BC2853" s="17">
        <v>2571</v>
      </c>
      <c r="BD2853" s="17">
        <v>2321</v>
      </c>
      <c r="BE2853" s="17">
        <v>8302</v>
      </c>
      <c r="BF2853" s="17">
        <v>0.25</v>
      </c>
      <c r="BG2853" s="11">
        <f ca="1">IFERROR(__xludf.DUMMYFUNCTION("""COMPUTED_VALUE"""),46011.75)</f>
        <v>46011.75</v>
      </c>
      <c r="BH2853" s="17" t="s">
        <v>105</v>
      </c>
      <c r="BI2853" s="17"/>
      <c r="BJ2853" s="15"/>
      <c r="BK2853" s="15"/>
      <c r="BL2853" s="13" t="b">
        <v>0</v>
      </c>
      <c r="BM2853" s="10"/>
      <c r="BN2853" s="10" t="s">
        <v>157</v>
      </c>
      <c r="BO2853" s="11">
        <v>45992.815972222219</v>
      </c>
      <c r="BP2853" s="11">
        <v>45992.901192129626</v>
      </c>
      <c r="BQ2853" s="15">
        <v>45993.453819444447</v>
      </c>
      <c r="BR2853" s="15">
        <v>46007.831435185188</v>
      </c>
      <c r="BS2853" s="10" t="s">
        <v>157</v>
      </c>
      <c r="BT2853" s="10"/>
      <c r="BU2853" s="10"/>
      <c r="BV2853" s="10"/>
      <c r="BW2853" s="10"/>
      <c r="BX2853" s="10"/>
      <c r="BY2853" s="23"/>
      <c r="BZ2853" s="23"/>
      <c r="CA2853" s="19" t="s">
        <v>21173</v>
      </c>
      <c r="CB2853" s="23"/>
      <c r="CC2853" s="23"/>
      <c r="CD2853" s="19" t="s">
        <v>21174</v>
      </c>
      <c r="CE2853" s="23"/>
      <c r="CF2853" s="23"/>
      <c r="CG2853" s="23"/>
      <c r="CH2853" s="23"/>
      <c r="CI2853" s="23"/>
    </row>
    <row r="2854" spans="1:87" x14ac:dyDescent="0.3">
      <c r="A2854" s="9" t="s">
        <v>21175</v>
      </c>
      <c r="B2854" s="10" t="s">
        <v>21176</v>
      </c>
      <c r="C2854" s="11">
        <v>46012.75</v>
      </c>
      <c r="D2854" s="12">
        <v>4.1666666666666664E-2</v>
      </c>
      <c r="E2854" s="11">
        <v>46012.791666666664</v>
      </c>
      <c r="F2854" s="22" t="s">
        <v>8381</v>
      </c>
      <c r="G2854" s="13" t="b">
        <v>0</v>
      </c>
      <c r="H2854" s="22" t="s">
        <v>8382</v>
      </c>
      <c r="I2854" s="10" t="s">
        <v>8383</v>
      </c>
      <c r="J2854" s="13" t="b">
        <v>0</v>
      </c>
      <c r="K2854" s="13" t="b">
        <v>1</v>
      </c>
      <c r="L2854" s="10" t="s">
        <v>358</v>
      </c>
      <c r="M2854" s="10" t="s">
        <v>91</v>
      </c>
      <c r="N2854" s="10" t="s">
        <v>92</v>
      </c>
      <c r="O2854" s="19" t="s">
        <v>21177</v>
      </c>
      <c r="P2854" s="10"/>
      <c r="Q2854" s="10" t="s">
        <v>126</v>
      </c>
      <c r="R2854" s="10"/>
      <c r="S2854" s="19" t="s">
        <v>21178</v>
      </c>
      <c r="T2854" s="10"/>
      <c r="U2854" s="10"/>
      <c r="V2854" s="10"/>
      <c r="W2854" s="10" t="s">
        <v>8386</v>
      </c>
      <c r="X2854" s="10" t="s">
        <v>8387</v>
      </c>
      <c r="Y2854" s="10" t="s">
        <v>8387</v>
      </c>
      <c r="Z2854" s="10" t="s">
        <v>99</v>
      </c>
      <c r="AA2854" s="10" t="s">
        <v>131</v>
      </c>
      <c r="AB2854" s="10" t="s">
        <v>8388</v>
      </c>
      <c r="AC2854" s="10" t="s">
        <v>8389</v>
      </c>
      <c r="AD2854" s="10" t="s">
        <v>165</v>
      </c>
      <c r="AE2854" s="10" t="s">
        <v>21179</v>
      </c>
      <c r="AF2854" s="15"/>
      <c r="AG2854" s="10"/>
      <c r="AH2854" s="10"/>
      <c r="AI2854" s="10"/>
      <c r="AJ2854" s="10"/>
      <c r="AK2854" s="10" t="s">
        <v>102</v>
      </c>
      <c r="AL2854" s="10"/>
      <c r="AM2854" s="10"/>
      <c r="AN2854" s="10"/>
      <c r="AO2854" s="13" t="b">
        <v>0</v>
      </c>
      <c r="AP2854" s="22"/>
      <c r="AQ2854" s="10">
        <f ca="1">IFERROR(__xludf.DUMMYFUNCTION("""COMPUTED_VALUE"""),4783413)</f>
        <v>4783413</v>
      </c>
      <c r="AR2854" s="17">
        <v>2748</v>
      </c>
      <c r="AS2854" s="17">
        <v>2543</v>
      </c>
      <c r="AT2854" s="17">
        <v>8765.75</v>
      </c>
      <c r="AU2854" s="17">
        <v>4.5999999999999996</v>
      </c>
      <c r="AV2854" s="17">
        <v>1.2</v>
      </c>
      <c r="AW2854" s="10" t="s">
        <v>105</v>
      </c>
      <c r="AX2854" s="17">
        <v>306</v>
      </c>
      <c r="AY2854" s="18">
        <v>3.4470114038537161</v>
      </c>
      <c r="AZ2854" s="10" t="s">
        <v>3998</v>
      </c>
      <c r="BA2854" s="20" t="b">
        <v>0</v>
      </c>
      <c r="BB2854" s="10"/>
      <c r="BC2854" s="17">
        <v>2748</v>
      </c>
      <c r="BD2854" s="17">
        <v>2543</v>
      </c>
      <c r="BE2854" s="17">
        <v>8765.75</v>
      </c>
      <c r="BF2854" s="17">
        <v>1.2</v>
      </c>
      <c r="BG2854" s="11">
        <f ca="1">IFERROR(__xludf.DUMMYFUNCTION("""COMPUTED_VALUE"""),46012.75)</f>
        <v>46012.75</v>
      </c>
      <c r="BH2854" s="17" t="s">
        <v>105</v>
      </c>
      <c r="BI2854" s="17"/>
      <c r="BJ2854" s="15"/>
      <c r="BK2854" s="15"/>
      <c r="BL2854" s="13" t="b">
        <v>0</v>
      </c>
      <c r="BM2854" s="10"/>
      <c r="BN2854" s="10" t="s">
        <v>157</v>
      </c>
      <c r="BO2854" s="11">
        <v>45992.898611111108</v>
      </c>
      <c r="BP2854" s="11">
        <v>45992.898854166669</v>
      </c>
      <c r="BQ2854" s="15">
        <v>45993.453946759262</v>
      </c>
      <c r="BR2854" s="15">
        <v>46007.853043981479</v>
      </c>
      <c r="BS2854" s="10" t="s">
        <v>157</v>
      </c>
      <c r="BT2854" s="10"/>
      <c r="BU2854" s="10"/>
      <c r="BV2854" s="10"/>
      <c r="BW2854" s="10"/>
      <c r="BX2854" s="10"/>
      <c r="BY2854" s="23"/>
      <c r="BZ2854" s="23"/>
      <c r="CA2854" s="19" t="s">
        <v>21180</v>
      </c>
      <c r="CB2854" s="23"/>
      <c r="CC2854" s="23"/>
      <c r="CD2854" s="19" t="s">
        <v>21181</v>
      </c>
      <c r="CE2854" s="23"/>
      <c r="CF2854" s="23"/>
      <c r="CG2854" s="23"/>
      <c r="CH2854" s="23"/>
      <c r="CI2854" s="23"/>
    </row>
    <row r="2855" spans="1:87" x14ac:dyDescent="0.3">
      <c r="A2855" s="9" t="s">
        <v>21182</v>
      </c>
      <c r="B2855" s="10" t="s">
        <v>21183</v>
      </c>
      <c r="C2855" s="11">
        <v>46002.791666666664</v>
      </c>
      <c r="D2855" s="12">
        <v>0.22916666666666666</v>
      </c>
      <c r="E2855" s="11">
        <v>46003.020833333336</v>
      </c>
      <c r="F2855" s="22" t="s">
        <v>21184</v>
      </c>
      <c r="G2855" s="13" t="b">
        <v>0</v>
      </c>
      <c r="H2855" s="22" t="s">
        <v>6271</v>
      </c>
      <c r="I2855" s="10" t="s">
        <v>89</v>
      </c>
      <c r="J2855" s="13" t="b">
        <v>0</v>
      </c>
      <c r="K2855" s="13" t="b">
        <v>1</v>
      </c>
      <c r="L2855" s="10" t="s">
        <v>124</v>
      </c>
      <c r="M2855" s="10" t="s">
        <v>91</v>
      </c>
      <c r="N2855" s="10" t="s">
        <v>265</v>
      </c>
      <c r="O2855" s="19" t="s">
        <v>21185</v>
      </c>
      <c r="P2855" s="10"/>
      <c r="Q2855" s="10" t="s">
        <v>126</v>
      </c>
      <c r="R2855" s="10"/>
      <c r="S2855" s="19" t="s">
        <v>21186</v>
      </c>
      <c r="T2855" s="10"/>
      <c r="U2855" s="10"/>
      <c r="V2855" s="10"/>
      <c r="W2855" s="10" t="s">
        <v>21187</v>
      </c>
      <c r="X2855" s="10" t="s">
        <v>21188</v>
      </c>
      <c r="Y2855" s="10" t="s">
        <v>21188</v>
      </c>
      <c r="Z2855" s="10" t="s">
        <v>99</v>
      </c>
      <c r="AA2855" s="10" t="s">
        <v>131</v>
      </c>
      <c r="AB2855" s="10" t="s">
        <v>21189</v>
      </c>
      <c r="AC2855" s="10" t="s">
        <v>21190</v>
      </c>
      <c r="AD2855" s="10" t="s">
        <v>165</v>
      </c>
      <c r="AE2855" s="10" t="s">
        <v>21191</v>
      </c>
      <c r="AF2855" s="15"/>
      <c r="AG2855" s="10"/>
      <c r="AH2855" s="10"/>
      <c r="AI2855" s="10"/>
      <c r="AJ2855" s="10"/>
      <c r="AK2855" s="10" t="s">
        <v>102</v>
      </c>
      <c r="AL2855" s="10"/>
      <c r="AM2855" s="10"/>
      <c r="AN2855" s="10"/>
      <c r="AO2855" s="13" t="b">
        <v>0</v>
      </c>
      <c r="AP2855" s="22"/>
      <c r="AQ2855" s="10">
        <f ca="1">IFERROR(__xludf.DUMMYFUNCTION("""COMPUTED_VALUE"""),4769290)</f>
        <v>4769290</v>
      </c>
      <c r="AR2855" s="17">
        <v>10095</v>
      </c>
      <c r="AS2855" s="17">
        <v>8222</v>
      </c>
      <c r="AT2855" s="17">
        <v>85111.75</v>
      </c>
      <c r="AU2855" s="17">
        <v>38.799999999999997</v>
      </c>
      <c r="AV2855" s="17">
        <v>10.5</v>
      </c>
      <c r="AW2855" s="10" t="s">
        <v>105</v>
      </c>
      <c r="AX2855" s="17">
        <v>737</v>
      </c>
      <c r="AY2855" s="18">
        <v>10.351708829968377</v>
      </c>
      <c r="AZ2855" s="10" t="s">
        <v>3783</v>
      </c>
      <c r="BA2855" s="20" t="b">
        <v>0</v>
      </c>
      <c r="BB2855" s="10"/>
      <c r="BC2855" s="17">
        <v>10095</v>
      </c>
      <c r="BD2855" s="17">
        <v>8222</v>
      </c>
      <c r="BE2855" s="17">
        <v>85111.75</v>
      </c>
      <c r="BF2855" s="17">
        <v>10.5</v>
      </c>
      <c r="BG2855" s="11">
        <f ca="1">IFERROR(__xludf.DUMMYFUNCTION("""COMPUTED_VALUE"""),46002.7916666666)</f>
        <v>46002.791666666599</v>
      </c>
      <c r="BH2855" s="17" t="s">
        <v>105</v>
      </c>
      <c r="BI2855" s="17"/>
      <c r="BJ2855" s="15"/>
      <c r="BK2855" s="15"/>
      <c r="BL2855" s="13" t="b">
        <v>0</v>
      </c>
      <c r="BM2855" s="10"/>
      <c r="BN2855" s="10" t="s">
        <v>118</v>
      </c>
      <c r="BO2855" s="11">
        <v>45993.281944444447</v>
      </c>
      <c r="BP2855" s="11">
        <v>45993.28229166667</v>
      </c>
      <c r="BQ2855" s="15">
        <v>45993.587685185186</v>
      </c>
      <c r="BR2855" s="15">
        <v>45998.390162037038</v>
      </c>
      <c r="BS2855" s="10" t="s">
        <v>118</v>
      </c>
      <c r="BT2855" s="10"/>
      <c r="BU2855" s="10"/>
      <c r="BV2855" s="10"/>
      <c r="BW2855" s="10"/>
      <c r="BX2855" s="10"/>
      <c r="BY2855" s="23"/>
      <c r="BZ2855" s="23"/>
      <c r="CA2855" s="19" t="s">
        <v>21192</v>
      </c>
      <c r="CB2855" s="23"/>
      <c r="CC2855" s="23"/>
      <c r="CD2855" s="19" t="s">
        <v>21193</v>
      </c>
      <c r="CE2855" s="23"/>
      <c r="CF2855" s="23"/>
      <c r="CG2855" s="23"/>
      <c r="CH2855" s="23"/>
      <c r="CI2855" s="23"/>
    </row>
    <row r="2856" spans="1:87" x14ac:dyDescent="0.3">
      <c r="A2856" s="9" t="s">
        <v>21194</v>
      </c>
      <c r="B2856" s="10" t="s">
        <v>21195</v>
      </c>
      <c r="C2856" s="11">
        <v>46003.791666666664</v>
      </c>
      <c r="D2856" s="12">
        <v>0.29166666666666669</v>
      </c>
      <c r="E2856" s="11">
        <v>46004.083333333336</v>
      </c>
      <c r="F2856" s="22" t="s">
        <v>21184</v>
      </c>
      <c r="G2856" s="13" t="b">
        <v>0</v>
      </c>
      <c r="H2856" s="22" t="s">
        <v>6271</v>
      </c>
      <c r="I2856" s="10" t="s">
        <v>89</v>
      </c>
      <c r="J2856" s="13" t="b">
        <v>0</v>
      </c>
      <c r="K2856" s="13" t="b">
        <v>1</v>
      </c>
      <c r="L2856" s="10" t="s">
        <v>124</v>
      </c>
      <c r="M2856" s="10" t="s">
        <v>91</v>
      </c>
      <c r="N2856" s="10" t="s">
        <v>265</v>
      </c>
      <c r="O2856" s="19" t="s">
        <v>21196</v>
      </c>
      <c r="P2856" s="10"/>
      <c r="Q2856" s="10" t="s">
        <v>126</v>
      </c>
      <c r="R2856" s="10"/>
      <c r="S2856" s="19" t="s">
        <v>21197</v>
      </c>
      <c r="T2856" s="10"/>
      <c r="U2856" s="10"/>
      <c r="V2856" s="10"/>
      <c r="W2856" s="10" t="s">
        <v>21187</v>
      </c>
      <c r="X2856" s="10" t="s">
        <v>21188</v>
      </c>
      <c r="Y2856" s="10" t="s">
        <v>21188</v>
      </c>
      <c r="Z2856" s="10" t="s">
        <v>99</v>
      </c>
      <c r="AA2856" s="10" t="s">
        <v>131</v>
      </c>
      <c r="AB2856" s="10" t="s">
        <v>21189</v>
      </c>
      <c r="AC2856" s="10" t="s">
        <v>21190</v>
      </c>
      <c r="AD2856" s="10" t="s">
        <v>165</v>
      </c>
      <c r="AE2856" s="10" t="s">
        <v>21198</v>
      </c>
      <c r="AF2856" s="15"/>
      <c r="AG2856" s="10"/>
      <c r="AH2856" s="10"/>
      <c r="AI2856" s="10"/>
      <c r="AJ2856" s="10"/>
      <c r="AK2856" s="10" t="s">
        <v>102</v>
      </c>
      <c r="AL2856" s="10"/>
      <c r="AM2856" s="10"/>
      <c r="AN2856" s="10"/>
      <c r="AO2856" s="13" t="b">
        <v>0</v>
      </c>
      <c r="AP2856" s="22"/>
      <c r="AQ2856" s="10">
        <f ca="1">IFERROR(__xludf.DUMMYFUNCTION("""COMPUTED_VALUE"""),4773315)</f>
        <v>4773315</v>
      </c>
      <c r="AR2856" s="17">
        <v>10278</v>
      </c>
      <c r="AS2856" s="17">
        <v>8560</v>
      </c>
      <c r="AT2856" s="17">
        <v>90267.5</v>
      </c>
      <c r="AU2856" s="17">
        <v>27.7</v>
      </c>
      <c r="AV2856" s="17">
        <v>7.75</v>
      </c>
      <c r="AW2856" s="10" t="s">
        <v>105</v>
      </c>
      <c r="AX2856" s="17">
        <v>597</v>
      </c>
      <c r="AY2856" s="18">
        <v>10.545268691588785</v>
      </c>
      <c r="AZ2856" s="10" t="s">
        <v>3783</v>
      </c>
      <c r="BA2856" s="20" t="b">
        <v>0</v>
      </c>
      <c r="BB2856" s="10"/>
      <c r="BC2856" s="17">
        <v>10278</v>
      </c>
      <c r="BD2856" s="17">
        <v>8560</v>
      </c>
      <c r="BE2856" s="17">
        <v>90267.5</v>
      </c>
      <c r="BF2856" s="17">
        <v>7.75</v>
      </c>
      <c r="BG2856" s="11">
        <f ca="1">IFERROR(__xludf.DUMMYFUNCTION("""COMPUTED_VALUE"""),46003.7916666666)</f>
        <v>46003.791666666599</v>
      </c>
      <c r="BH2856" s="17" t="s">
        <v>105</v>
      </c>
      <c r="BI2856" s="17"/>
      <c r="BJ2856" s="15"/>
      <c r="BK2856" s="15"/>
      <c r="BL2856" s="13" t="b">
        <v>0</v>
      </c>
      <c r="BM2856" s="10"/>
      <c r="BN2856" s="10" t="s">
        <v>149</v>
      </c>
      <c r="BO2856" s="11">
        <v>45993.287499999999</v>
      </c>
      <c r="BP2856" s="11">
        <v>45993.28769675926</v>
      </c>
      <c r="BQ2856" s="15">
        <v>45993.587789351855</v>
      </c>
      <c r="BR2856" s="15">
        <v>46000.466527777775</v>
      </c>
      <c r="BS2856" s="10" t="s">
        <v>149</v>
      </c>
      <c r="BT2856" s="10"/>
      <c r="BU2856" s="10"/>
      <c r="BV2856" s="10"/>
      <c r="BW2856" s="10"/>
      <c r="BX2856" s="10"/>
      <c r="BY2856" s="23"/>
      <c r="BZ2856" s="23"/>
      <c r="CA2856" s="19" t="s">
        <v>21199</v>
      </c>
      <c r="CB2856" s="23"/>
      <c r="CC2856" s="23"/>
      <c r="CD2856" s="19" t="s">
        <v>21200</v>
      </c>
      <c r="CE2856" s="23"/>
      <c r="CF2856" s="23"/>
      <c r="CG2856" s="23"/>
      <c r="CH2856" s="23"/>
      <c r="CI2856" s="23"/>
    </row>
    <row r="2857" spans="1:87" x14ac:dyDescent="0.3">
      <c r="A2857" s="9" t="s">
        <v>21201</v>
      </c>
      <c r="B2857" s="10" t="s">
        <v>21202</v>
      </c>
      <c r="C2857" s="11">
        <v>46004.708333333336</v>
      </c>
      <c r="D2857" s="12">
        <v>0.125</v>
      </c>
      <c r="E2857" s="11">
        <v>46004.833333333336</v>
      </c>
      <c r="F2857" s="22" t="s">
        <v>21184</v>
      </c>
      <c r="G2857" s="13" t="b">
        <v>0</v>
      </c>
      <c r="H2857" s="22" t="s">
        <v>6271</v>
      </c>
      <c r="I2857" s="10" t="s">
        <v>89</v>
      </c>
      <c r="J2857" s="13" t="b">
        <v>0</v>
      </c>
      <c r="K2857" s="13" t="b">
        <v>1</v>
      </c>
      <c r="L2857" s="10" t="s">
        <v>124</v>
      </c>
      <c r="M2857" s="10" t="s">
        <v>91</v>
      </c>
      <c r="N2857" s="10" t="s">
        <v>265</v>
      </c>
      <c r="O2857" s="19" t="s">
        <v>21203</v>
      </c>
      <c r="P2857" s="10"/>
      <c r="Q2857" s="10" t="s">
        <v>126</v>
      </c>
      <c r="R2857" s="10"/>
      <c r="S2857" s="19" t="s">
        <v>21204</v>
      </c>
      <c r="T2857" s="10"/>
      <c r="U2857" s="10"/>
      <c r="V2857" s="10"/>
      <c r="W2857" s="10" t="s">
        <v>21187</v>
      </c>
      <c r="X2857" s="10" t="s">
        <v>21188</v>
      </c>
      <c r="Y2857" s="10" t="s">
        <v>21188</v>
      </c>
      <c r="Z2857" s="10" t="s">
        <v>99</v>
      </c>
      <c r="AA2857" s="10" t="s">
        <v>131</v>
      </c>
      <c r="AB2857" s="10" t="s">
        <v>21189</v>
      </c>
      <c r="AC2857" s="10" t="s">
        <v>21190</v>
      </c>
      <c r="AD2857" s="10" t="s">
        <v>165</v>
      </c>
      <c r="AE2857" s="10" t="s">
        <v>21205</v>
      </c>
      <c r="AF2857" s="15"/>
      <c r="AG2857" s="10"/>
      <c r="AH2857" s="10"/>
      <c r="AI2857" s="10"/>
      <c r="AJ2857" s="10"/>
      <c r="AK2857" s="10" t="s">
        <v>102</v>
      </c>
      <c r="AL2857" s="10"/>
      <c r="AM2857" s="10"/>
      <c r="AN2857" s="10"/>
      <c r="AO2857" s="13" t="b">
        <v>0</v>
      </c>
      <c r="AP2857" s="22"/>
      <c r="AQ2857" s="10">
        <f ca="1">IFERROR(__xludf.DUMMYFUNCTION("""COMPUTED_VALUE"""),4773328)</f>
        <v>4773328</v>
      </c>
      <c r="AR2857" s="17">
        <v>5914</v>
      </c>
      <c r="AS2857" s="17">
        <v>5125</v>
      </c>
      <c r="AT2857" s="17">
        <v>72892</v>
      </c>
      <c r="AU2857" s="17">
        <v>19.25</v>
      </c>
      <c r="AV2857" s="17">
        <v>4.5</v>
      </c>
      <c r="AW2857" s="10" t="s">
        <v>105</v>
      </c>
      <c r="AX2857" s="17">
        <v>790</v>
      </c>
      <c r="AY2857" s="18">
        <v>14.222829268292683</v>
      </c>
      <c r="AZ2857" s="10" t="s">
        <v>3783</v>
      </c>
      <c r="BA2857" s="20" t="b">
        <v>0</v>
      </c>
      <c r="BB2857" s="10"/>
      <c r="BC2857" s="17">
        <v>5914</v>
      </c>
      <c r="BD2857" s="17">
        <v>5125</v>
      </c>
      <c r="BE2857" s="17">
        <v>72892</v>
      </c>
      <c r="BF2857" s="17">
        <v>4.5</v>
      </c>
      <c r="BG2857" s="11">
        <f ca="1">IFERROR(__xludf.DUMMYFUNCTION("""COMPUTED_VALUE"""),46004.7083333333)</f>
        <v>46004.708333333299</v>
      </c>
      <c r="BH2857" s="17" t="s">
        <v>105</v>
      </c>
      <c r="BI2857" s="17"/>
      <c r="BJ2857" s="15"/>
      <c r="BK2857" s="15"/>
      <c r="BL2857" s="13" t="b">
        <v>0</v>
      </c>
      <c r="BM2857" s="10"/>
      <c r="BN2857" s="10" t="s">
        <v>149</v>
      </c>
      <c r="BO2857" s="11">
        <v>45993.288888888892</v>
      </c>
      <c r="BP2857" s="11">
        <v>45993.289097222223</v>
      </c>
      <c r="BQ2857" s="15">
        <v>45993.587951388887</v>
      </c>
      <c r="BR2857" s="15">
        <v>46000.537361111114</v>
      </c>
      <c r="BS2857" s="10" t="s">
        <v>149</v>
      </c>
      <c r="BT2857" s="10"/>
      <c r="BU2857" s="10"/>
      <c r="BV2857" s="10"/>
      <c r="BW2857" s="10"/>
      <c r="BX2857" s="10"/>
      <c r="BY2857" s="23"/>
      <c r="BZ2857" s="23"/>
      <c r="CA2857" s="19" t="s">
        <v>21206</v>
      </c>
      <c r="CB2857" s="23"/>
      <c r="CC2857" s="23"/>
      <c r="CD2857" s="19" t="s">
        <v>21207</v>
      </c>
      <c r="CE2857" s="23"/>
      <c r="CF2857" s="23"/>
      <c r="CG2857" s="23"/>
      <c r="CH2857" s="23"/>
      <c r="CI2857" s="23"/>
    </row>
    <row r="2858" spans="1:87" x14ac:dyDescent="0.3">
      <c r="A2858" s="9" t="s">
        <v>21208</v>
      </c>
      <c r="B2858" s="10" t="s">
        <v>21202</v>
      </c>
      <c r="C2858" s="11">
        <v>46004.916666666664</v>
      </c>
      <c r="D2858" s="12">
        <v>6.25E-2</v>
      </c>
      <c r="E2858" s="11">
        <v>46004.979166666664</v>
      </c>
      <c r="F2858" s="22" t="s">
        <v>21184</v>
      </c>
      <c r="G2858" s="13" t="b">
        <v>0</v>
      </c>
      <c r="H2858" s="22" t="s">
        <v>6271</v>
      </c>
      <c r="I2858" s="10" t="s">
        <v>89</v>
      </c>
      <c r="J2858" s="13" t="b">
        <v>0</v>
      </c>
      <c r="K2858" s="13" t="b">
        <v>1</v>
      </c>
      <c r="L2858" s="10" t="s">
        <v>124</v>
      </c>
      <c r="M2858" s="10" t="s">
        <v>91</v>
      </c>
      <c r="N2858" s="10" t="s">
        <v>265</v>
      </c>
      <c r="O2858" s="19" t="s">
        <v>21209</v>
      </c>
      <c r="P2858" s="10"/>
      <c r="Q2858" s="10" t="s">
        <v>126</v>
      </c>
      <c r="R2858" s="10"/>
      <c r="S2858" s="19" t="s">
        <v>21210</v>
      </c>
      <c r="T2858" s="10"/>
      <c r="U2858" s="10"/>
      <c r="V2858" s="10"/>
      <c r="W2858" s="10" t="s">
        <v>21187</v>
      </c>
      <c r="X2858" s="10" t="s">
        <v>21188</v>
      </c>
      <c r="Y2858" s="10" t="s">
        <v>21188</v>
      </c>
      <c r="Z2858" s="10" t="s">
        <v>99</v>
      </c>
      <c r="AA2858" s="10" t="s">
        <v>131</v>
      </c>
      <c r="AB2858" s="10" t="s">
        <v>21189</v>
      </c>
      <c r="AC2858" s="10" t="s">
        <v>21190</v>
      </c>
      <c r="AD2858" s="10" t="s">
        <v>165</v>
      </c>
      <c r="AE2858" s="10" t="s">
        <v>21205</v>
      </c>
      <c r="AF2858" s="15"/>
      <c r="AG2858" s="10"/>
      <c r="AH2858" s="10"/>
      <c r="AI2858" s="10"/>
      <c r="AJ2858" s="10"/>
      <c r="AK2858" s="10" t="s">
        <v>102</v>
      </c>
      <c r="AL2858" s="10"/>
      <c r="AM2858" s="10"/>
      <c r="AN2858" s="10"/>
      <c r="AO2858" s="13" t="b">
        <v>0</v>
      </c>
      <c r="AP2858" s="22"/>
      <c r="AQ2858" s="10">
        <f ca="1">IFERROR(__xludf.DUMMYFUNCTION("""COMPUTED_VALUE"""),4773330)</f>
        <v>4773330</v>
      </c>
      <c r="AR2858" s="17">
        <v>3257</v>
      </c>
      <c r="AS2858" s="17">
        <v>2650</v>
      </c>
      <c r="AT2858" s="17">
        <v>21916.75</v>
      </c>
      <c r="AU2858" s="17">
        <v>12.95</v>
      </c>
      <c r="AV2858" s="17">
        <v>2.9</v>
      </c>
      <c r="AW2858" s="10" t="s">
        <v>105</v>
      </c>
      <c r="AX2858" s="17">
        <v>487</v>
      </c>
      <c r="AY2858" s="18">
        <v>8.2704716981132069</v>
      </c>
      <c r="AZ2858" s="10" t="s">
        <v>3783</v>
      </c>
      <c r="BA2858" s="20" t="b">
        <v>0</v>
      </c>
      <c r="BB2858" s="10"/>
      <c r="BC2858" s="17">
        <v>3257</v>
      </c>
      <c r="BD2858" s="17">
        <v>2650</v>
      </c>
      <c r="BE2858" s="17">
        <v>21916.75</v>
      </c>
      <c r="BF2858" s="17">
        <v>2.9</v>
      </c>
      <c r="BG2858" s="11">
        <f ca="1">IFERROR(__xludf.DUMMYFUNCTION("""COMPUTED_VALUE"""),46004.9166666666)</f>
        <v>46004.916666666599</v>
      </c>
      <c r="BH2858" s="17" t="s">
        <v>105</v>
      </c>
      <c r="BI2858" s="17"/>
      <c r="BJ2858" s="15"/>
      <c r="BK2858" s="15"/>
      <c r="BL2858" s="13" t="b">
        <v>0</v>
      </c>
      <c r="BM2858" s="10"/>
      <c r="BN2858" s="10" t="s">
        <v>2527</v>
      </c>
      <c r="BO2858" s="11">
        <v>45993.289583333331</v>
      </c>
      <c r="BP2858" s="11">
        <v>45993.289699074077</v>
      </c>
      <c r="BQ2858" s="15">
        <v>45993.588055555556</v>
      </c>
      <c r="BR2858" s="15">
        <v>46000.539351851854</v>
      </c>
      <c r="BS2858" s="10"/>
      <c r="BT2858" s="10"/>
      <c r="BU2858" s="10"/>
      <c r="BV2858" s="10"/>
      <c r="BW2858" s="10"/>
      <c r="BX2858" s="10"/>
      <c r="BY2858" s="23"/>
      <c r="BZ2858" s="23"/>
      <c r="CA2858" s="19" t="s">
        <v>21211</v>
      </c>
      <c r="CB2858" s="23"/>
      <c r="CC2858" s="23"/>
      <c r="CD2858" s="19" t="s">
        <v>21212</v>
      </c>
      <c r="CE2858" s="23"/>
      <c r="CF2858" s="23"/>
      <c r="CG2858" s="23"/>
      <c r="CH2858" s="23"/>
      <c r="CI2858" s="23"/>
    </row>
    <row r="2859" spans="1:87" x14ac:dyDescent="0.3">
      <c r="A2859" s="9" t="s">
        <v>21213</v>
      </c>
      <c r="B2859" s="10" t="s">
        <v>21214</v>
      </c>
      <c r="C2859" s="11">
        <v>46005.708333333336</v>
      </c>
      <c r="D2859" s="12">
        <v>0.14583333333333334</v>
      </c>
      <c r="E2859" s="11">
        <v>46005.854166666664</v>
      </c>
      <c r="F2859" s="22" t="s">
        <v>21184</v>
      </c>
      <c r="G2859" s="13" t="b">
        <v>0</v>
      </c>
      <c r="H2859" s="22" t="s">
        <v>6271</v>
      </c>
      <c r="I2859" s="10" t="s">
        <v>89</v>
      </c>
      <c r="J2859" s="13" t="b">
        <v>0</v>
      </c>
      <c r="K2859" s="13" t="b">
        <v>1</v>
      </c>
      <c r="L2859" s="10" t="s">
        <v>124</v>
      </c>
      <c r="M2859" s="10" t="s">
        <v>91</v>
      </c>
      <c r="N2859" s="10" t="s">
        <v>265</v>
      </c>
      <c r="O2859" s="19" t="s">
        <v>21215</v>
      </c>
      <c r="P2859" s="10"/>
      <c r="Q2859" s="10" t="s">
        <v>126</v>
      </c>
      <c r="R2859" s="10"/>
      <c r="S2859" s="19" t="s">
        <v>21216</v>
      </c>
      <c r="T2859" s="10"/>
      <c r="U2859" s="10"/>
      <c r="V2859" s="10"/>
      <c r="W2859" s="10" t="s">
        <v>21187</v>
      </c>
      <c r="X2859" s="10" t="s">
        <v>21188</v>
      </c>
      <c r="Y2859" s="10" t="s">
        <v>21188</v>
      </c>
      <c r="Z2859" s="10" t="s">
        <v>99</v>
      </c>
      <c r="AA2859" s="10" t="s">
        <v>131</v>
      </c>
      <c r="AB2859" s="10" t="s">
        <v>21189</v>
      </c>
      <c r="AC2859" s="10" t="s">
        <v>21190</v>
      </c>
      <c r="AD2859" s="10" t="s">
        <v>165</v>
      </c>
      <c r="AE2859" s="10" t="s">
        <v>21217</v>
      </c>
      <c r="AF2859" s="15"/>
      <c r="AG2859" s="10"/>
      <c r="AH2859" s="10"/>
      <c r="AI2859" s="10"/>
      <c r="AJ2859" s="10"/>
      <c r="AK2859" s="10" t="s">
        <v>102</v>
      </c>
      <c r="AL2859" s="10"/>
      <c r="AM2859" s="10"/>
      <c r="AN2859" s="10"/>
      <c r="AO2859" s="13" t="b">
        <v>0</v>
      </c>
      <c r="AP2859" s="22"/>
      <c r="AQ2859" s="10">
        <f ca="1">IFERROR(__xludf.DUMMYFUNCTION("""COMPUTED_VALUE"""),4773349)</f>
        <v>4773349</v>
      </c>
      <c r="AR2859" s="17">
        <v>7823</v>
      </c>
      <c r="AS2859" s="17">
        <v>6365</v>
      </c>
      <c r="AT2859" s="17">
        <v>73045.25</v>
      </c>
      <c r="AU2859" s="17">
        <v>22.4</v>
      </c>
      <c r="AV2859" s="17">
        <v>8.9</v>
      </c>
      <c r="AW2859" s="10" t="s">
        <v>105</v>
      </c>
      <c r="AX2859" s="17">
        <v>718</v>
      </c>
      <c r="AY2859" s="18">
        <v>11.476080125687353</v>
      </c>
      <c r="AZ2859" s="10" t="s">
        <v>3783</v>
      </c>
      <c r="BA2859" s="20" t="b">
        <v>0</v>
      </c>
      <c r="BB2859" s="10"/>
      <c r="BC2859" s="17">
        <v>7823</v>
      </c>
      <c r="BD2859" s="17">
        <v>6365</v>
      </c>
      <c r="BE2859" s="17">
        <v>73045.25</v>
      </c>
      <c r="BF2859" s="17">
        <v>8.9</v>
      </c>
      <c r="BG2859" s="11">
        <f ca="1">IFERROR(__xludf.DUMMYFUNCTION("""COMPUTED_VALUE"""),46005.7083333333)</f>
        <v>46005.708333333299</v>
      </c>
      <c r="BH2859" s="17" t="s">
        <v>105</v>
      </c>
      <c r="BI2859" s="17"/>
      <c r="BJ2859" s="15"/>
      <c r="BK2859" s="15"/>
      <c r="BL2859" s="13" t="b">
        <v>0</v>
      </c>
      <c r="BM2859" s="10"/>
      <c r="BN2859" s="10" t="s">
        <v>137</v>
      </c>
      <c r="BO2859" s="11">
        <v>45993.290277777778</v>
      </c>
      <c r="BP2859" s="11">
        <v>45993.290613425925</v>
      </c>
      <c r="BQ2859" s="15">
        <v>45993.588206018518</v>
      </c>
      <c r="BR2859" s="15">
        <v>46000.638483796298</v>
      </c>
      <c r="BS2859" s="10" t="s">
        <v>137</v>
      </c>
      <c r="BT2859" s="10"/>
      <c r="BU2859" s="10"/>
      <c r="BV2859" s="10"/>
      <c r="BW2859" s="10"/>
      <c r="BX2859" s="10"/>
      <c r="BY2859" s="23"/>
      <c r="BZ2859" s="23"/>
      <c r="CA2859" s="19" t="s">
        <v>21218</v>
      </c>
      <c r="CB2859" s="23"/>
      <c r="CC2859" s="23"/>
      <c r="CD2859" s="19" t="s">
        <v>21219</v>
      </c>
      <c r="CE2859" s="23"/>
      <c r="CF2859" s="23"/>
      <c r="CG2859" s="23"/>
      <c r="CH2859" s="23"/>
      <c r="CI2859" s="23"/>
    </row>
    <row r="2860" spans="1:87" x14ac:dyDescent="0.3">
      <c r="A2860" s="9" t="s">
        <v>21220</v>
      </c>
      <c r="B2860" s="10" t="s">
        <v>21221</v>
      </c>
      <c r="C2860" s="11">
        <v>46005.916666666664</v>
      </c>
      <c r="D2860" s="12">
        <v>0.125</v>
      </c>
      <c r="E2860" s="11">
        <v>46006.041666666664</v>
      </c>
      <c r="F2860" s="22" t="s">
        <v>21184</v>
      </c>
      <c r="G2860" s="13" t="b">
        <v>0</v>
      </c>
      <c r="H2860" s="22" t="s">
        <v>6271</v>
      </c>
      <c r="I2860" s="10" t="s">
        <v>89</v>
      </c>
      <c r="J2860" s="13" t="b">
        <v>0</v>
      </c>
      <c r="K2860" s="13" t="b">
        <v>1</v>
      </c>
      <c r="L2860" s="10" t="s">
        <v>124</v>
      </c>
      <c r="M2860" s="10" t="s">
        <v>91</v>
      </c>
      <c r="N2860" s="10" t="s">
        <v>265</v>
      </c>
      <c r="O2860" s="19" t="s">
        <v>21222</v>
      </c>
      <c r="P2860" s="10"/>
      <c r="Q2860" s="10" t="s">
        <v>126</v>
      </c>
      <c r="R2860" s="10"/>
      <c r="S2860" s="19" t="s">
        <v>21223</v>
      </c>
      <c r="T2860" s="10"/>
      <c r="U2860" s="10"/>
      <c r="V2860" s="10"/>
      <c r="W2860" s="10" t="s">
        <v>21187</v>
      </c>
      <c r="X2860" s="10" t="s">
        <v>21188</v>
      </c>
      <c r="Y2860" s="10" t="s">
        <v>21188</v>
      </c>
      <c r="Z2860" s="10" t="s">
        <v>99</v>
      </c>
      <c r="AA2860" s="10" t="s">
        <v>131</v>
      </c>
      <c r="AB2860" s="10" t="s">
        <v>21189</v>
      </c>
      <c r="AC2860" s="10" t="s">
        <v>21190</v>
      </c>
      <c r="AD2860" s="10" t="s">
        <v>165</v>
      </c>
      <c r="AE2860" s="10" t="s">
        <v>21224</v>
      </c>
      <c r="AF2860" s="15"/>
      <c r="AG2860" s="10"/>
      <c r="AH2860" s="10"/>
      <c r="AI2860" s="10"/>
      <c r="AJ2860" s="10"/>
      <c r="AK2860" s="10" t="s">
        <v>102</v>
      </c>
      <c r="AL2860" s="10"/>
      <c r="AM2860" s="10"/>
      <c r="AN2860" s="10"/>
      <c r="AO2860" s="13" t="b">
        <v>0</v>
      </c>
      <c r="AP2860" s="22"/>
      <c r="AQ2860" s="10">
        <f ca="1">IFERROR(__xludf.DUMMYFUNCTION("""COMPUTED_VALUE"""),4773351)</f>
        <v>4773351</v>
      </c>
      <c r="AR2860" s="17">
        <v>3796</v>
      </c>
      <c r="AS2860" s="17">
        <v>2908</v>
      </c>
      <c r="AT2860" s="17">
        <v>41763.5</v>
      </c>
      <c r="AU2860" s="17">
        <v>18.05</v>
      </c>
      <c r="AV2860" s="17">
        <v>6</v>
      </c>
      <c r="AW2860" s="10" t="s">
        <v>105</v>
      </c>
      <c r="AX2860" s="17">
        <v>754</v>
      </c>
      <c r="AY2860" s="18">
        <v>14.361588720770289</v>
      </c>
      <c r="AZ2860" s="10" t="s">
        <v>3783</v>
      </c>
      <c r="BA2860" s="20" t="b">
        <v>0</v>
      </c>
      <c r="BB2860" s="10"/>
      <c r="BC2860" s="17">
        <v>3796</v>
      </c>
      <c r="BD2860" s="17">
        <v>2908</v>
      </c>
      <c r="BE2860" s="17">
        <v>41763.5</v>
      </c>
      <c r="BF2860" s="17">
        <v>6</v>
      </c>
      <c r="BG2860" s="11">
        <f ca="1">IFERROR(__xludf.DUMMYFUNCTION("""COMPUTED_VALUE"""),46005.9166666666)</f>
        <v>46005.916666666599</v>
      </c>
      <c r="BH2860" s="17" t="s">
        <v>105</v>
      </c>
      <c r="BI2860" s="17"/>
      <c r="BJ2860" s="15"/>
      <c r="BK2860" s="15"/>
      <c r="BL2860" s="13" t="b">
        <v>0</v>
      </c>
      <c r="BM2860" s="10"/>
      <c r="BN2860" s="10" t="s">
        <v>137</v>
      </c>
      <c r="BO2860" s="11">
        <v>45993.290972222225</v>
      </c>
      <c r="BP2860" s="11">
        <v>45993.291388888887</v>
      </c>
      <c r="BQ2860" s="15">
        <v>45993.588287037041</v>
      </c>
      <c r="BR2860" s="15">
        <v>46000.63857638889</v>
      </c>
      <c r="BS2860" s="10" t="s">
        <v>137</v>
      </c>
      <c r="BT2860" s="10"/>
      <c r="BU2860" s="10"/>
      <c r="BV2860" s="10" t="s">
        <v>124</v>
      </c>
      <c r="BW2860" s="10"/>
      <c r="BX2860" s="10"/>
      <c r="BY2860" s="23"/>
      <c r="BZ2860" s="23"/>
      <c r="CA2860" s="19" t="s">
        <v>21225</v>
      </c>
      <c r="CB2860" s="23"/>
      <c r="CC2860" s="23"/>
      <c r="CD2860" s="19" t="s">
        <v>21226</v>
      </c>
      <c r="CE2860" s="23"/>
      <c r="CF2860" s="23"/>
      <c r="CG2860" s="23"/>
      <c r="CH2860" s="23"/>
      <c r="CI2860" s="23"/>
    </row>
    <row r="2861" spans="1:87" x14ac:dyDescent="0.3">
      <c r="A2861" s="9" t="s">
        <v>21227</v>
      </c>
      <c r="B2861" s="10" t="s">
        <v>21228</v>
      </c>
      <c r="C2861" s="11">
        <v>46011.416666666664</v>
      </c>
      <c r="D2861" s="12">
        <v>0.20833333333333334</v>
      </c>
      <c r="E2861" s="11">
        <v>46011.625</v>
      </c>
      <c r="F2861" s="22" t="s">
        <v>210</v>
      </c>
      <c r="G2861" s="13" t="b">
        <v>0</v>
      </c>
      <c r="H2861" s="22" t="s">
        <v>211</v>
      </c>
      <c r="I2861" s="10" t="s">
        <v>212</v>
      </c>
      <c r="J2861" s="13" t="b">
        <v>1</v>
      </c>
      <c r="K2861" s="13" t="b">
        <v>0</v>
      </c>
      <c r="L2861" s="10" t="s">
        <v>124</v>
      </c>
      <c r="M2861" s="10" t="s">
        <v>91</v>
      </c>
      <c r="N2861" s="10" t="s">
        <v>92</v>
      </c>
      <c r="O2861" s="19" t="s">
        <v>21229</v>
      </c>
      <c r="P2861" s="10"/>
      <c r="Q2861" s="10" t="s">
        <v>126</v>
      </c>
      <c r="R2861" s="10"/>
      <c r="S2861" s="19" t="s">
        <v>21230</v>
      </c>
      <c r="T2861" s="10"/>
      <c r="U2861" s="10"/>
      <c r="V2861" s="10"/>
      <c r="W2861" s="10" t="s">
        <v>215</v>
      </c>
      <c r="X2861" s="10" t="s">
        <v>216</v>
      </c>
      <c r="Y2861" s="10" t="s">
        <v>216</v>
      </c>
      <c r="Z2861" s="10" t="s">
        <v>99</v>
      </c>
      <c r="AA2861" s="10" t="s">
        <v>131</v>
      </c>
      <c r="AB2861" s="10" t="s">
        <v>217</v>
      </c>
      <c r="AC2861" s="10" t="s">
        <v>218</v>
      </c>
      <c r="AD2861" s="10" t="s">
        <v>165</v>
      </c>
      <c r="AE2861" s="10" t="s">
        <v>21231</v>
      </c>
      <c r="AF2861" s="15"/>
      <c r="AG2861" s="10"/>
      <c r="AH2861" s="10"/>
      <c r="AI2861" s="10"/>
      <c r="AJ2861" s="10"/>
      <c r="AK2861" s="10" t="s">
        <v>256</v>
      </c>
      <c r="AL2861" s="10"/>
      <c r="AM2861" s="10"/>
      <c r="AN2861" s="10"/>
      <c r="AO2861" s="13" t="b">
        <v>0</v>
      </c>
      <c r="AP2861" s="22" t="s">
        <v>221</v>
      </c>
      <c r="AQ2861" s="10">
        <f ca="1">IFERROR(__xludf.DUMMYFUNCTION("""COMPUTED_VALUE"""),4783362)</f>
        <v>4783362</v>
      </c>
      <c r="AR2861" s="17"/>
      <c r="AS2861" s="17"/>
      <c r="AT2861" s="17"/>
      <c r="AU2861" s="17"/>
      <c r="AV2861" s="17"/>
      <c r="AW2861" s="10"/>
      <c r="AX2861" s="17"/>
      <c r="AY2861" s="18" t="s">
        <v>257</v>
      </c>
      <c r="AZ2861" s="10" t="s">
        <v>106</v>
      </c>
      <c r="BA2861" s="20" t="b">
        <v>0</v>
      </c>
      <c r="BB2861" s="10"/>
      <c r="BC2861" s="17" t="s">
        <v>257</v>
      </c>
      <c r="BD2861" s="17" t="s">
        <v>257</v>
      </c>
      <c r="BE2861" s="17" t="s">
        <v>257</v>
      </c>
      <c r="BF2861" s="17" t="s">
        <v>257</v>
      </c>
      <c r="BG2861" s="11">
        <f ca="1">IFERROR(__xludf.DUMMYFUNCTION("""COMPUTED_VALUE"""),46011.4166666666)</f>
        <v>46011.416666666599</v>
      </c>
      <c r="BH2861" s="17"/>
      <c r="BI2861" s="17"/>
      <c r="BJ2861" s="15"/>
      <c r="BK2861" s="15"/>
      <c r="BL2861" s="13" t="b">
        <v>0</v>
      </c>
      <c r="BM2861" s="10"/>
      <c r="BN2861" s="10" t="s">
        <v>241</v>
      </c>
      <c r="BO2861" s="11">
        <v>45993.711111111108</v>
      </c>
      <c r="BP2861" s="11">
        <v>45993.711597222224</v>
      </c>
      <c r="BQ2861" s="15">
        <v>45995.598877314813</v>
      </c>
      <c r="BR2861" s="15">
        <v>46007.727951388886</v>
      </c>
      <c r="BS2861" s="10"/>
      <c r="BT2861" s="10"/>
      <c r="BU2861" s="10"/>
      <c r="BV2861" s="10"/>
      <c r="BW2861" s="10"/>
      <c r="BX2861" s="10"/>
      <c r="BY2861" s="23"/>
      <c r="BZ2861" s="23"/>
      <c r="CA2861" s="19" t="s">
        <v>21232</v>
      </c>
      <c r="CB2861" s="23"/>
      <c r="CC2861" s="23"/>
      <c r="CD2861" s="19" t="s">
        <v>21233</v>
      </c>
      <c r="CE2861" s="23"/>
      <c r="CF2861" s="23"/>
      <c r="CG2861" s="23"/>
      <c r="CH2861" s="23"/>
      <c r="CI2861" s="23"/>
    </row>
    <row r="2862" spans="1:87" x14ac:dyDescent="0.3">
      <c r="A2862" s="9" t="s">
        <v>21234</v>
      </c>
      <c r="B2862" s="10" t="s">
        <v>21235</v>
      </c>
      <c r="C2862" s="11">
        <v>46005.125</v>
      </c>
      <c r="D2862" s="12">
        <v>8.3333333333333329E-2</v>
      </c>
      <c r="E2862" s="11">
        <v>46005.208333333336</v>
      </c>
      <c r="F2862" s="22" t="s">
        <v>3687</v>
      </c>
      <c r="G2862" s="13" t="b">
        <v>0</v>
      </c>
      <c r="H2862" s="22" t="s">
        <v>3478</v>
      </c>
      <c r="I2862" s="10" t="s">
        <v>89</v>
      </c>
      <c r="J2862" s="13" t="b">
        <v>0</v>
      </c>
      <c r="K2862" s="13" t="b">
        <v>1</v>
      </c>
      <c r="L2862" s="10" t="s">
        <v>124</v>
      </c>
      <c r="M2862" s="10" t="s">
        <v>91</v>
      </c>
      <c r="N2862" s="10" t="s">
        <v>92</v>
      </c>
      <c r="O2862" s="19" t="s">
        <v>21236</v>
      </c>
      <c r="P2862" s="10"/>
      <c r="Q2862" s="10" t="s">
        <v>126</v>
      </c>
      <c r="R2862" s="10"/>
      <c r="S2862" s="19" t="s">
        <v>21237</v>
      </c>
      <c r="T2862" s="10"/>
      <c r="U2862" s="10" t="s">
        <v>8468</v>
      </c>
      <c r="V2862" s="10" t="s">
        <v>4992</v>
      </c>
      <c r="W2862" s="10" t="s">
        <v>3692</v>
      </c>
      <c r="X2862" s="10" t="s">
        <v>130</v>
      </c>
      <c r="Y2862" s="10" t="s">
        <v>130</v>
      </c>
      <c r="Z2862" s="10" t="s">
        <v>99</v>
      </c>
      <c r="AA2862" s="10" t="s">
        <v>131</v>
      </c>
      <c r="AB2862" s="10" t="s">
        <v>3693</v>
      </c>
      <c r="AC2862" s="10" t="s">
        <v>3694</v>
      </c>
      <c r="AD2862" s="10" t="s">
        <v>21238</v>
      </c>
      <c r="AE2862" s="10" t="s">
        <v>21239</v>
      </c>
      <c r="AF2862" s="15"/>
      <c r="AG2862" s="10"/>
      <c r="AH2862" s="10"/>
      <c r="AI2862" s="10"/>
      <c r="AJ2862" s="10"/>
      <c r="AK2862" s="10" t="s">
        <v>102</v>
      </c>
      <c r="AL2862" s="10" t="s">
        <v>1876</v>
      </c>
      <c r="AM2862" s="10"/>
      <c r="AN2862" s="10"/>
      <c r="AO2862" s="13" t="b">
        <v>0</v>
      </c>
      <c r="AP2862" s="22" t="s">
        <v>104</v>
      </c>
      <c r="AQ2862" s="10">
        <f ca="1">IFERROR(__xludf.DUMMYFUNCTION("""COMPUTED_VALUE"""),4773370)</f>
        <v>4773370</v>
      </c>
      <c r="AR2862" s="17">
        <v>1214</v>
      </c>
      <c r="AS2862" s="17">
        <v>995</v>
      </c>
      <c r="AT2862" s="17">
        <v>11380.75</v>
      </c>
      <c r="AU2862" s="17">
        <v>0.75</v>
      </c>
      <c r="AV2862" s="17">
        <v>0</v>
      </c>
      <c r="AW2862" s="10" t="s">
        <v>105</v>
      </c>
      <c r="AX2862" s="17">
        <v>181</v>
      </c>
      <c r="AY2862" s="18">
        <v>11.437939698492462</v>
      </c>
      <c r="AZ2862" s="10" t="s">
        <v>136</v>
      </c>
      <c r="BA2862" s="20" t="b">
        <v>0</v>
      </c>
      <c r="BB2862" s="10"/>
      <c r="BC2862" s="17">
        <v>1214</v>
      </c>
      <c r="BD2862" s="17">
        <v>995</v>
      </c>
      <c r="BE2862" s="17">
        <v>11380.75</v>
      </c>
      <c r="BF2862" s="17">
        <v>0</v>
      </c>
      <c r="BG2862" s="11">
        <f ca="1">IFERROR(__xludf.DUMMYFUNCTION("""COMPUTED_VALUE"""),46005.125)</f>
        <v>46005.125</v>
      </c>
      <c r="BH2862" s="17" t="s">
        <v>105</v>
      </c>
      <c r="BI2862" s="17"/>
      <c r="BJ2862" s="15"/>
      <c r="BK2862" s="15"/>
      <c r="BL2862" s="13" t="b">
        <v>0</v>
      </c>
      <c r="BM2862" s="10"/>
      <c r="BN2862" s="10" t="s">
        <v>136</v>
      </c>
      <c r="BO2862" s="11">
        <v>45994.470833333333</v>
      </c>
      <c r="BP2862" s="11">
        <v>45999.552465277775</v>
      </c>
      <c r="BQ2862" s="15">
        <v>46003.464525462965</v>
      </c>
      <c r="BR2862" s="15">
        <v>46000.67701388889</v>
      </c>
      <c r="BS2862" s="10"/>
      <c r="BT2862" s="10" t="s">
        <v>99</v>
      </c>
      <c r="BU2862" s="10"/>
      <c r="BV2862" s="10"/>
      <c r="BW2862" s="10"/>
      <c r="BX2862" s="10"/>
      <c r="BY2862" s="23"/>
      <c r="BZ2862" s="23"/>
      <c r="CA2862" s="19" t="s">
        <v>21240</v>
      </c>
      <c r="CB2862" s="19" t="s">
        <v>21241</v>
      </c>
      <c r="CC2862" s="23"/>
      <c r="CD2862" s="19" t="s">
        <v>21242</v>
      </c>
      <c r="CE2862" s="23"/>
      <c r="CF2862" s="23"/>
      <c r="CG2862" s="23"/>
      <c r="CH2862" s="23"/>
      <c r="CI2862" s="23"/>
    </row>
    <row r="2863" spans="1:87" x14ac:dyDescent="0.3">
      <c r="A2863" s="9" t="s">
        <v>21243</v>
      </c>
      <c r="B2863" s="10" t="s">
        <v>21244</v>
      </c>
      <c r="C2863" s="11">
        <v>46005.125</v>
      </c>
      <c r="D2863" s="12">
        <v>8.3333333333333329E-2</v>
      </c>
      <c r="E2863" s="11">
        <v>46005.208333333336</v>
      </c>
      <c r="F2863" s="22" t="s">
        <v>20865</v>
      </c>
      <c r="G2863" s="13" t="b">
        <v>0</v>
      </c>
      <c r="H2863" s="22" t="s">
        <v>9130</v>
      </c>
      <c r="I2863" s="10" t="s">
        <v>9131</v>
      </c>
      <c r="J2863" s="13" t="b">
        <v>0</v>
      </c>
      <c r="K2863" s="13" t="b">
        <v>1</v>
      </c>
      <c r="L2863" s="10" t="s">
        <v>124</v>
      </c>
      <c r="M2863" s="10" t="s">
        <v>91</v>
      </c>
      <c r="N2863" s="10" t="s">
        <v>265</v>
      </c>
      <c r="O2863" s="19" t="s">
        <v>21245</v>
      </c>
      <c r="P2863" s="10"/>
      <c r="Q2863" s="10" t="s">
        <v>94</v>
      </c>
      <c r="R2863" s="10"/>
      <c r="S2863" s="19" t="s">
        <v>21246</v>
      </c>
      <c r="T2863" s="10"/>
      <c r="U2863" s="10" t="s">
        <v>21247</v>
      </c>
      <c r="V2863" s="10" t="s">
        <v>20885</v>
      </c>
      <c r="W2863" s="10" t="s">
        <v>20869</v>
      </c>
      <c r="X2863" s="10" t="s">
        <v>130</v>
      </c>
      <c r="Y2863" s="10" t="s">
        <v>130</v>
      </c>
      <c r="Z2863" s="10" t="s">
        <v>99</v>
      </c>
      <c r="AA2863" s="10" t="s">
        <v>131</v>
      </c>
      <c r="AB2863" s="10" t="s">
        <v>20870</v>
      </c>
      <c r="AC2863" s="10" t="s">
        <v>20871</v>
      </c>
      <c r="AD2863" s="10" t="s">
        <v>21248</v>
      </c>
      <c r="AE2863" s="10" t="s">
        <v>21249</v>
      </c>
      <c r="AF2863" s="15"/>
      <c r="AG2863" s="10"/>
      <c r="AH2863" s="10"/>
      <c r="AI2863" s="10"/>
      <c r="AJ2863" s="10"/>
      <c r="AK2863" s="10" t="s">
        <v>102</v>
      </c>
      <c r="AL2863" s="10" t="s">
        <v>2303</v>
      </c>
      <c r="AM2863" s="10"/>
      <c r="AN2863" s="10"/>
      <c r="AO2863" s="13" t="b">
        <v>0</v>
      </c>
      <c r="AP2863" s="22" t="s">
        <v>104</v>
      </c>
      <c r="AQ2863" s="10">
        <f ca="1">IFERROR(__xludf.DUMMYFUNCTION("""COMPUTED_VALUE"""),4773354)</f>
        <v>4773354</v>
      </c>
      <c r="AR2863" s="17">
        <v>439</v>
      </c>
      <c r="AS2863" s="17">
        <v>374</v>
      </c>
      <c r="AT2863" s="17">
        <v>675.75</v>
      </c>
      <c r="AU2863" s="17">
        <v>0</v>
      </c>
      <c r="AV2863" s="17">
        <v>0</v>
      </c>
      <c r="AW2863" s="10" t="s">
        <v>105</v>
      </c>
      <c r="AX2863" s="17">
        <v>42</v>
      </c>
      <c r="AY2863" s="18">
        <v>1.8068181818181819</v>
      </c>
      <c r="AZ2863" s="10"/>
      <c r="BA2863" s="20" t="b">
        <v>0</v>
      </c>
      <c r="BB2863" s="10"/>
      <c r="BC2863" s="17">
        <v>439</v>
      </c>
      <c r="BD2863" s="17">
        <v>374</v>
      </c>
      <c r="BE2863" s="17">
        <v>675.75</v>
      </c>
      <c r="BF2863" s="17">
        <v>0</v>
      </c>
      <c r="BG2863" s="11">
        <f ca="1">IFERROR(__xludf.DUMMYFUNCTION("""COMPUTED_VALUE"""),46005.125)</f>
        <v>46005.125</v>
      </c>
      <c r="BH2863" s="17" t="s">
        <v>105</v>
      </c>
      <c r="BI2863" s="17"/>
      <c r="BJ2863" s="15"/>
      <c r="BK2863" s="15"/>
      <c r="BL2863" s="13" t="b">
        <v>0</v>
      </c>
      <c r="BM2863" s="10"/>
      <c r="BN2863" s="10" t="s">
        <v>137</v>
      </c>
      <c r="BO2863" s="11">
        <v>45994.553472222222</v>
      </c>
      <c r="BP2863" s="11">
        <v>45994.553877314815</v>
      </c>
      <c r="BQ2863" s="15">
        <v>45994.577465277776</v>
      </c>
      <c r="BR2863" s="15">
        <v>46000.654108796298</v>
      </c>
      <c r="BS2863" s="10" t="s">
        <v>137</v>
      </c>
      <c r="BT2863" s="10"/>
      <c r="BU2863" s="10"/>
      <c r="BV2863" s="10"/>
      <c r="BW2863" s="10"/>
      <c r="BX2863" s="10"/>
      <c r="BY2863" s="23"/>
      <c r="BZ2863" s="23"/>
      <c r="CA2863" s="19" t="s">
        <v>21250</v>
      </c>
      <c r="CB2863" s="23"/>
      <c r="CC2863" s="23"/>
      <c r="CD2863" s="23"/>
      <c r="CE2863" s="23"/>
      <c r="CF2863" s="23"/>
      <c r="CG2863" s="23"/>
      <c r="CH2863" s="23"/>
      <c r="CI2863" s="23"/>
    </row>
    <row r="2864" spans="1:87" x14ac:dyDescent="0.3">
      <c r="A2864" s="9" t="s">
        <v>21251</v>
      </c>
      <c r="B2864" s="10" t="s">
        <v>21252</v>
      </c>
      <c r="C2864" s="11">
        <v>46006</v>
      </c>
      <c r="D2864" s="12">
        <v>8.3333333333333329E-2</v>
      </c>
      <c r="E2864" s="11">
        <v>46006.083333333336</v>
      </c>
      <c r="F2864" s="22" t="s">
        <v>21253</v>
      </c>
      <c r="G2864" s="13" t="b">
        <v>0</v>
      </c>
      <c r="H2864" s="22" t="s">
        <v>3564</v>
      </c>
      <c r="I2864" s="10" t="s">
        <v>89</v>
      </c>
      <c r="J2864" s="13" t="b">
        <v>0</v>
      </c>
      <c r="K2864" s="13" t="b">
        <v>1</v>
      </c>
      <c r="L2864" s="10" t="s">
        <v>124</v>
      </c>
      <c r="M2864" s="10" t="s">
        <v>91</v>
      </c>
      <c r="N2864" s="10" t="s">
        <v>265</v>
      </c>
      <c r="O2864" s="19" t="s">
        <v>21254</v>
      </c>
      <c r="P2864" s="10"/>
      <c r="Q2864" s="10" t="s">
        <v>126</v>
      </c>
      <c r="R2864" s="10"/>
      <c r="S2864" s="19" t="s">
        <v>21255</v>
      </c>
      <c r="T2864" s="10"/>
      <c r="U2864" s="10" t="s">
        <v>21256</v>
      </c>
      <c r="V2864" s="10" t="s">
        <v>21257</v>
      </c>
      <c r="W2864" s="10" t="s">
        <v>21258</v>
      </c>
      <c r="X2864" s="10" t="s">
        <v>130</v>
      </c>
      <c r="Y2864" s="10" t="s">
        <v>130</v>
      </c>
      <c r="Z2864" s="10" t="s">
        <v>99</v>
      </c>
      <c r="AA2864" s="10" t="s">
        <v>131</v>
      </c>
      <c r="AB2864" s="10" t="s">
        <v>21259</v>
      </c>
      <c r="AC2864" s="10" t="s">
        <v>21260</v>
      </c>
      <c r="AD2864" s="10" t="s">
        <v>21261</v>
      </c>
      <c r="AE2864" s="10" t="s">
        <v>21262</v>
      </c>
      <c r="AF2864" s="15"/>
      <c r="AG2864" s="10"/>
      <c r="AH2864" s="10"/>
      <c r="AI2864" s="10"/>
      <c r="AJ2864" s="10"/>
      <c r="AK2864" s="10" t="s">
        <v>102</v>
      </c>
      <c r="AL2864" s="10" t="s">
        <v>1876</v>
      </c>
      <c r="AM2864" s="10"/>
      <c r="AN2864" s="10"/>
      <c r="AO2864" s="13" t="b">
        <v>0</v>
      </c>
      <c r="AP2864" s="22" t="s">
        <v>104</v>
      </c>
      <c r="AQ2864" s="10">
        <f ca="1">IFERROR(__xludf.DUMMYFUNCTION("""COMPUTED_VALUE"""),4779477)</f>
        <v>4779477</v>
      </c>
      <c r="AR2864" s="17">
        <v>2605</v>
      </c>
      <c r="AS2864" s="17">
        <v>2114</v>
      </c>
      <c r="AT2864" s="17">
        <v>43893.5</v>
      </c>
      <c r="AU2864" s="17">
        <v>0</v>
      </c>
      <c r="AV2864" s="17">
        <v>0</v>
      </c>
      <c r="AW2864" s="10" t="s">
        <v>105</v>
      </c>
      <c r="AX2864" s="17">
        <v>528</v>
      </c>
      <c r="AY2864" s="18">
        <v>20.763245033112582</v>
      </c>
      <c r="AZ2864" s="10" t="s">
        <v>117</v>
      </c>
      <c r="BA2864" s="20" t="b">
        <v>0</v>
      </c>
      <c r="BB2864" s="10"/>
      <c r="BC2864" s="17">
        <v>2605</v>
      </c>
      <c r="BD2864" s="17">
        <v>2114</v>
      </c>
      <c r="BE2864" s="17">
        <v>43893.5</v>
      </c>
      <c r="BF2864" s="17">
        <v>0</v>
      </c>
      <c r="BG2864" s="11">
        <f ca="1">IFERROR(__xludf.DUMMYFUNCTION("""COMPUTED_VALUE"""),46006)</f>
        <v>46006</v>
      </c>
      <c r="BH2864" s="17" t="s">
        <v>105</v>
      </c>
      <c r="BI2864" s="17"/>
      <c r="BJ2864" s="15"/>
      <c r="BK2864" s="15"/>
      <c r="BL2864" s="13" t="b">
        <v>0</v>
      </c>
      <c r="BM2864" s="10"/>
      <c r="BN2864" s="10" t="s">
        <v>1149</v>
      </c>
      <c r="BO2864" s="11">
        <v>45994.622916666667</v>
      </c>
      <c r="BP2864" s="11">
        <v>45994.623368055552</v>
      </c>
      <c r="BQ2864" s="15">
        <v>46002.310474537036</v>
      </c>
      <c r="BR2864" s="15">
        <v>46005.396747685183</v>
      </c>
      <c r="BS2864" s="10" t="s">
        <v>1149</v>
      </c>
      <c r="BT2864" s="10" t="s">
        <v>279</v>
      </c>
      <c r="BU2864" s="10" t="s">
        <v>3394</v>
      </c>
      <c r="BV2864" s="10"/>
      <c r="BW2864" s="10"/>
      <c r="BX2864" s="10"/>
      <c r="BY2864" s="23"/>
      <c r="BZ2864" s="23"/>
      <c r="CA2864" s="19" t="s">
        <v>21263</v>
      </c>
      <c r="CB2864" s="23"/>
      <c r="CC2864" s="23"/>
      <c r="CD2864" s="19" t="s">
        <v>21264</v>
      </c>
      <c r="CE2864" s="23"/>
      <c r="CF2864" s="23"/>
      <c r="CG2864" s="23"/>
      <c r="CH2864" s="23"/>
      <c r="CI2864" s="23"/>
    </row>
    <row r="2865" spans="1:87" x14ac:dyDescent="0.3">
      <c r="A2865" s="9" t="s">
        <v>21265</v>
      </c>
      <c r="B2865" s="10" t="s">
        <v>21266</v>
      </c>
      <c r="C2865" s="11">
        <v>46007</v>
      </c>
      <c r="D2865" s="12">
        <v>8.3333333333333329E-2</v>
      </c>
      <c r="E2865" s="11">
        <v>46007.083333333336</v>
      </c>
      <c r="F2865" s="22" t="s">
        <v>21253</v>
      </c>
      <c r="G2865" s="13" t="b">
        <v>0</v>
      </c>
      <c r="H2865" s="22" t="s">
        <v>3578</v>
      </c>
      <c r="I2865" s="10" t="s">
        <v>89</v>
      </c>
      <c r="J2865" s="13" t="b">
        <v>0</v>
      </c>
      <c r="K2865" s="13" t="b">
        <v>1</v>
      </c>
      <c r="L2865" s="10" t="s">
        <v>124</v>
      </c>
      <c r="M2865" s="10" t="s">
        <v>91</v>
      </c>
      <c r="N2865" s="10" t="s">
        <v>265</v>
      </c>
      <c r="O2865" s="19" t="s">
        <v>21267</v>
      </c>
      <c r="P2865" s="10"/>
      <c r="Q2865" s="10" t="s">
        <v>94</v>
      </c>
      <c r="R2865" s="10"/>
      <c r="S2865" s="19" t="s">
        <v>21268</v>
      </c>
      <c r="T2865" s="10"/>
      <c r="U2865" s="10" t="s">
        <v>3581</v>
      </c>
      <c r="V2865" s="10" t="s">
        <v>21269</v>
      </c>
      <c r="W2865" s="10" t="s">
        <v>21258</v>
      </c>
      <c r="X2865" s="10" t="s">
        <v>130</v>
      </c>
      <c r="Y2865" s="10" t="s">
        <v>130</v>
      </c>
      <c r="Z2865" s="10" t="s">
        <v>99</v>
      </c>
      <c r="AA2865" s="10" t="s">
        <v>131</v>
      </c>
      <c r="AB2865" s="10" t="s">
        <v>21259</v>
      </c>
      <c r="AC2865" s="10" t="s">
        <v>21260</v>
      </c>
      <c r="AD2865" s="10" t="s">
        <v>21270</v>
      </c>
      <c r="AE2865" s="10" t="s">
        <v>21271</v>
      </c>
      <c r="AF2865" s="15"/>
      <c r="AG2865" s="10"/>
      <c r="AH2865" s="10"/>
      <c r="AI2865" s="10"/>
      <c r="AJ2865" s="10"/>
      <c r="AK2865" s="10" t="s">
        <v>102</v>
      </c>
      <c r="AL2865" s="10" t="s">
        <v>1876</v>
      </c>
      <c r="AM2865" s="10"/>
      <c r="AN2865" s="10"/>
      <c r="AO2865" s="13" t="b">
        <v>0</v>
      </c>
      <c r="AP2865" s="22" t="s">
        <v>104</v>
      </c>
      <c r="AQ2865" s="10">
        <f ca="1">IFERROR(__xludf.DUMMYFUNCTION("""COMPUTED_VALUE"""),4779484)</f>
        <v>4779484</v>
      </c>
      <c r="AR2865" s="17">
        <v>4868</v>
      </c>
      <c r="AS2865" s="17">
        <v>3910</v>
      </c>
      <c r="AT2865" s="17">
        <v>124034.25</v>
      </c>
      <c r="AU2865" s="17">
        <v>17.649999999999999</v>
      </c>
      <c r="AV2865" s="17">
        <v>5.35</v>
      </c>
      <c r="AW2865" s="10" t="s">
        <v>105</v>
      </c>
      <c r="AX2865" s="17">
        <v>1091</v>
      </c>
      <c r="AY2865" s="18">
        <v>31.722314578005115</v>
      </c>
      <c r="AZ2865" s="10" t="s">
        <v>117</v>
      </c>
      <c r="BA2865" s="20" t="b">
        <v>0</v>
      </c>
      <c r="BB2865" s="10"/>
      <c r="BC2865" s="17">
        <v>4868</v>
      </c>
      <c r="BD2865" s="17">
        <v>3910</v>
      </c>
      <c r="BE2865" s="17">
        <v>124034.25</v>
      </c>
      <c r="BF2865" s="17">
        <v>5.35</v>
      </c>
      <c r="BG2865" s="11">
        <f ca="1">IFERROR(__xludf.DUMMYFUNCTION("""COMPUTED_VALUE"""),46007)</f>
        <v>46007</v>
      </c>
      <c r="BH2865" s="17" t="s">
        <v>105</v>
      </c>
      <c r="BI2865" s="17"/>
      <c r="BJ2865" s="15"/>
      <c r="BK2865" s="15"/>
      <c r="BL2865" s="13" t="b">
        <v>0</v>
      </c>
      <c r="BM2865" s="10"/>
      <c r="BN2865" s="10" t="s">
        <v>278</v>
      </c>
      <c r="BO2865" s="11">
        <v>45994.636111111111</v>
      </c>
      <c r="BP2865" s="11">
        <v>45994.636284722219</v>
      </c>
      <c r="BQ2865" s="15">
        <v>46002.313310185185</v>
      </c>
      <c r="BR2865" s="15">
        <v>46005.417395833334</v>
      </c>
      <c r="BS2865" s="10" t="s">
        <v>278</v>
      </c>
      <c r="BT2865" s="10" t="s">
        <v>99</v>
      </c>
      <c r="BU2865" s="10" t="s">
        <v>8013</v>
      </c>
      <c r="BV2865" s="10"/>
      <c r="BW2865" s="10"/>
      <c r="BX2865" s="10"/>
      <c r="BY2865" s="23"/>
      <c r="BZ2865" s="23"/>
      <c r="CA2865" s="19" t="s">
        <v>21272</v>
      </c>
      <c r="CB2865" s="23"/>
      <c r="CC2865" s="23"/>
      <c r="CD2865" s="23"/>
      <c r="CE2865" s="23"/>
      <c r="CF2865" s="23"/>
      <c r="CG2865" s="23"/>
      <c r="CH2865" s="23"/>
      <c r="CI2865" s="23"/>
    </row>
    <row r="2866" spans="1:87" x14ac:dyDescent="0.3">
      <c r="A2866" s="9" t="s">
        <v>21273</v>
      </c>
      <c r="B2866" s="10" t="s">
        <v>21274</v>
      </c>
      <c r="C2866" s="11">
        <v>45997.291666666664</v>
      </c>
      <c r="D2866" s="12">
        <v>0.20833333333333334</v>
      </c>
      <c r="E2866" s="11">
        <v>45997.5</v>
      </c>
      <c r="F2866" s="22" t="s">
        <v>19136</v>
      </c>
      <c r="G2866" s="13" t="b">
        <v>0</v>
      </c>
      <c r="H2866" s="22" t="s">
        <v>9017</v>
      </c>
      <c r="I2866" s="10" t="s">
        <v>212</v>
      </c>
      <c r="J2866" s="13" t="b">
        <v>1</v>
      </c>
      <c r="K2866" s="13" t="b">
        <v>0</v>
      </c>
      <c r="L2866" s="10" t="s">
        <v>124</v>
      </c>
      <c r="M2866" s="10" t="s">
        <v>91</v>
      </c>
      <c r="N2866" s="10" t="s">
        <v>92</v>
      </c>
      <c r="O2866" s="19" t="s">
        <v>21275</v>
      </c>
      <c r="P2866" s="10"/>
      <c r="Q2866" s="10" t="s">
        <v>94</v>
      </c>
      <c r="R2866" s="10"/>
      <c r="S2866" s="19" t="s">
        <v>21276</v>
      </c>
      <c r="T2866" s="10"/>
      <c r="U2866" s="10"/>
      <c r="V2866" s="10"/>
      <c r="W2866" s="10" t="s">
        <v>19139</v>
      </c>
      <c r="X2866" s="10" t="s">
        <v>130</v>
      </c>
      <c r="Y2866" s="10" t="s">
        <v>130</v>
      </c>
      <c r="Z2866" s="10" t="s">
        <v>99</v>
      </c>
      <c r="AA2866" s="10" t="s">
        <v>131</v>
      </c>
      <c r="AB2866" s="10" t="s">
        <v>19140</v>
      </c>
      <c r="AC2866" s="10" t="s">
        <v>9022</v>
      </c>
      <c r="AD2866" s="10" t="s">
        <v>165</v>
      </c>
      <c r="AE2866" s="10" t="s">
        <v>21277</v>
      </c>
      <c r="AF2866" s="15"/>
      <c r="AG2866" s="10"/>
      <c r="AH2866" s="10"/>
      <c r="AI2866" s="10"/>
      <c r="AJ2866" s="10"/>
      <c r="AK2866" s="10" t="s">
        <v>102</v>
      </c>
      <c r="AL2866" s="10" t="s">
        <v>7897</v>
      </c>
      <c r="AM2866" s="10"/>
      <c r="AN2866" s="10"/>
      <c r="AO2866" s="13" t="b">
        <v>0</v>
      </c>
      <c r="AP2866" s="22" t="s">
        <v>104</v>
      </c>
      <c r="AQ2866" s="10">
        <f ca="1">IFERROR(__xludf.DUMMYFUNCTION("""COMPUTED_VALUE"""),20024)</f>
        <v>20024</v>
      </c>
      <c r="AR2866" s="17">
        <v>0</v>
      </c>
      <c r="AS2866" s="17">
        <v>0</v>
      </c>
      <c r="AT2866" s="17">
        <v>0</v>
      </c>
      <c r="AU2866" s="17">
        <v>0</v>
      </c>
      <c r="AV2866" s="17">
        <v>0</v>
      </c>
      <c r="AW2866" s="10" t="s">
        <v>105</v>
      </c>
      <c r="AX2866" s="17"/>
      <c r="AY2866" s="18">
        <v>8.9015306122448976</v>
      </c>
      <c r="AZ2866" s="10"/>
      <c r="BA2866" s="20" t="b">
        <v>1</v>
      </c>
      <c r="BB2866" s="10"/>
      <c r="BC2866" s="17">
        <v>766</v>
      </c>
      <c r="BD2866" s="17">
        <v>490</v>
      </c>
      <c r="BE2866" s="17">
        <v>4361.75</v>
      </c>
      <c r="BF2866" s="17">
        <v>0</v>
      </c>
      <c r="BG2866" s="11">
        <f ca="1">IFERROR(__xludf.DUMMYFUNCTION("""COMPUTED_VALUE"""),45997.2916666666)</f>
        <v>45997.291666666599</v>
      </c>
      <c r="BH2866" s="17" t="s">
        <v>105</v>
      </c>
      <c r="BI2866" s="17"/>
      <c r="BJ2866" s="15"/>
      <c r="BK2866" s="15"/>
      <c r="BL2866" s="13" t="b">
        <v>0</v>
      </c>
      <c r="BM2866" s="10"/>
      <c r="BN2866" s="10" t="s">
        <v>5685</v>
      </c>
      <c r="BO2866" s="11">
        <v>45995.410416666666</v>
      </c>
      <c r="BP2866" s="11">
        <v>45995.410729166666</v>
      </c>
      <c r="BQ2866" s="15">
        <v>45996.445787037039</v>
      </c>
      <c r="BR2866" s="15">
        <v>45995.458240740743</v>
      </c>
      <c r="BS2866" s="10"/>
      <c r="BT2866" s="10"/>
      <c r="BU2866" s="10"/>
      <c r="BV2866" s="10"/>
      <c r="BW2866" s="10"/>
      <c r="BX2866" s="10"/>
      <c r="BY2866" s="23"/>
      <c r="BZ2866" s="23"/>
      <c r="CA2866" s="19" t="s">
        <v>19142</v>
      </c>
      <c r="CB2866" s="23"/>
      <c r="CC2866" s="23"/>
      <c r="CD2866" s="23"/>
      <c r="CE2866" s="23"/>
      <c r="CF2866" s="23"/>
      <c r="CG2866" s="23"/>
      <c r="CH2866" s="23"/>
      <c r="CI2866" s="23"/>
    </row>
    <row r="2867" spans="1:87" x14ac:dyDescent="0.3">
      <c r="A2867" s="9" t="s">
        <v>21278</v>
      </c>
      <c r="B2867" s="10" t="s">
        <v>21279</v>
      </c>
      <c r="C2867" s="11">
        <v>45997.291666666664</v>
      </c>
      <c r="D2867" s="12">
        <v>5.5555555555555552E-2</v>
      </c>
      <c r="E2867" s="11">
        <v>45997.347222222219</v>
      </c>
      <c r="F2867" s="22" t="s">
        <v>19136</v>
      </c>
      <c r="G2867" s="13" t="b">
        <v>0</v>
      </c>
      <c r="H2867" s="22" t="s">
        <v>9017</v>
      </c>
      <c r="I2867" s="10" t="s">
        <v>212</v>
      </c>
      <c r="J2867" s="13" t="b">
        <v>1</v>
      </c>
      <c r="K2867" s="13" t="b">
        <v>0</v>
      </c>
      <c r="L2867" s="10" t="s">
        <v>124</v>
      </c>
      <c r="M2867" s="10" t="s">
        <v>91</v>
      </c>
      <c r="N2867" s="10" t="s">
        <v>92</v>
      </c>
      <c r="O2867" s="19" t="s">
        <v>21280</v>
      </c>
      <c r="P2867" s="10"/>
      <c r="Q2867" s="10" t="s">
        <v>94</v>
      </c>
      <c r="R2867" s="10"/>
      <c r="S2867" s="10"/>
      <c r="T2867" s="10"/>
      <c r="U2867" s="10"/>
      <c r="V2867" s="10"/>
      <c r="W2867" s="10" t="s">
        <v>19139</v>
      </c>
      <c r="X2867" s="10" t="s">
        <v>130</v>
      </c>
      <c r="Y2867" s="10" t="s">
        <v>130</v>
      </c>
      <c r="Z2867" s="10" t="s">
        <v>99</v>
      </c>
      <c r="AA2867" s="10" t="s">
        <v>131</v>
      </c>
      <c r="AB2867" s="10" t="s">
        <v>19140</v>
      </c>
      <c r="AC2867" s="10" t="s">
        <v>9022</v>
      </c>
      <c r="AD2867" s="10" t="s">
        <v>165</v>
      </c>
      <c r="AE2867" s="10" t="s">
        <v>21281</v>
      </c>
      <c r="AF2867" s="15"/>
      <c r="AG2867" s="10"/>
      <c r="AH2867" s="10"/>
      <c r="AI2867" s="10"/>
      <c r="AJ2867" s="10"/>
      <c r="AK2867" s="10" t="s">
        <v>102</v>
      </c>
      <c r="AL2867" s="10" t="s">
        <v>7897</v>
      </c>
      <c r="AM2867" s="10"/>
      <c r="AN2867" s="10"/>
      <c r="AO2867" s="13" t="b">
        <v>0</v>
      </c>
      <c r="AP2867" s="22" t="s">
        <v>104</v>
      </c>
      <c r="AQ2867" s="10">
        <f ca="1">IFERROR(__xludf.DUMMYFUNCTION("""COMPUTED_VALUE"""),4761981)</f>
        <v>4761981</v>
      </c>
      <c r="AR2867" s="17">
        <v>190</v>
      </c>
      <c r="AS2867" s="17">
        <v>126</v>
      </c>
      <c r="AT2867" s="17">
        <v>1258.25</v>
      </c>
      <c r="AU2867" s="17">
        <v>0</v>
      </c>
      <c r="AV2867" s="17">
        <v>0</v>
      </c>
      <c r="AW2867" s="10" t="s">
        <v>105</v>
      </c>
      <c r="AX2867" s="17">
        <v>43</v>
      </c>
      <c r="AY2867" s="18">
        <v>9.9861111111111107</v>
      </c>
      <c r="AZ2867" s="10"/>
      <c r="BA2867" s="20" t="b">
        <v>0</v>
      </c>
      <c r="BB2867" s="10" t="s">
        <v>21273</v>
      </c>
      <c r="BC2867" s="17">
        <v>190</v>
      </c>
      <c r="BD2867" s="17">
        <v>126</v>
      </c>
      <c r="BE2867" s="17">
        <v>1258.25</v>
      </c>
      <c r="BF2867" s="17">
        <v>0</v>
      </c>
      <c r="BG2867" s="11">
        <f ca="1">IFERROR(__xludf.DUMMYFUNCTION("""COMPUTED_VALUE"""),45997.2916666666)</f>
        <v>45997.291666666599</v>
      </c>
      <c r="BH2867" s="17" t="s">
        <v>105</v>
      </c>
      <c r="BI2867" s="17"/>
      <c r="BJ2867" s="15"/>
      <c r="BK2867" s="15"/>
      <c r="BL2867" s="13" t="b">
        <v>0</v>
      </c>
      <c r="BM2867" s="10"/>
      <c r="BN2867" s="10" t="s">
        <v>278</v>
      </c>
      <c r="BO2867" s="11">
        <v>45995.414583333331</v>
      </c>
      <c r="BP2867" s="11">
        <v>45995.415023148147</v>
      </c>
      <c r="BQ2867" s="15"/>
      <c r="BR2867" s="15">
        <v>45995.45857638889</v>
      </c>
      <c r="BS2867" s="10" t="s">
        <v>278</v>
      </c>
      <c r="BT2867" s="10"/>
      <c r="BU2867" s="10"/>
      <c r="BV2867" s="10"/>
      <c r="BW2867" s="10"/>
      <c r="BX2867" s="10"/>
      <c r="BY2867" s="23"/>
      <c r="BZ2867" s="23"/>
      <c r="CA2867" s="10"/>
      <c r="CB2867" s="23"/>
      <c r="CC2867" s="23"/>
      <c r="CD2867" s="23"/>
      <c r="CE2867" s="23"/>
      <c r="CF2867" s="23"/>
      <c r="CG2867" s="23"/>
      <c r="CH2867" s="23"/>
      <c r="CI2867" s="23"/>
    </row>
    <row r="2868" spans="1:87" x14ac:dyDescent="0.3">
      <c r="A2868" s="9" t="s">
        <v>21282</v>
      </c>
      <c r="B2868" s="10" t="s">
        <v>21283</v>
      </c>
      <c r="C2868" s="11">
        <v>45997.347222222219</v>
      </c>
      <c r="D2868" s="12">
        <v>4.8611111111111112E-2</v>
      </c>
      <c r="E2868" s="11">
        <v>45997.395833333336</v>
      </c>
      <c r="F2868" s="22" t="s">
        <v>19136</v>
      </c>
      <c r="G2868" s="13" t="b">
        <v>0</v>
      </c>
      <c r="H2868" s="22" t="s">
        <v>9017</v>
      </c>
      <c r="I2868" s="10" t="s">
        <v>212</v>
      </c>
      <c r="J2868" s="13" t="b">
        <v>1</v>
      </c>
      <c r="K2868" s="13" t="b">
        <v>0</v>
      </c>
      <c r="L2868" s="10" t="s">
        <v>124</v>
      </c>
      <c r="M2868" s="10" t="s">
        <v>91</v>
      </c>
      <c r="N2868" s="10" t="s">
        <v>92</v>
      </c>
      <c r="O2868" s="19" t="s">
        <v>21284</v>
      </c>
      <c r="P2868" s="10"/>
      <c r="Q2868" s="10" t="s">
        <v>94</v>
      </c>
      <c r="R2868" s="10"/>
      <c r="S2868" s="10"/>
      <c r="T2868" s="10"/>
      <c r="U2868" s="10"/>
      <c r="V2868" s="10"/>
      <c r="W2868" s="10" t="s">
        <v>19139</v>
      </c>
      <c r="X2868" s="10" t="s">
        <v>130</v>
      </c>
      <c r="Y2868" s="10" t="s">
        <v>130</v>
      </c>
      <c r="Z2868" s="10" t="s">
        <v>99</v>
      </c>
      <c r="AA2868" s="10" t="s">
        <v>131</v>
      </c>
      <c r="AB2868" s="10" t="s">
        <v>19140</v>
      </c>
      <c r="AC2868" s="10" t="s">
        <v>9022</v>
      </c>
      <c r="AD2868" s="10" t="s">
        <v>165</v>
      </c>
      <c r="AE2868" s="10" t="s">
        <v>21285</v>
      </c>
      <c r="AF2868" s="15"/>
      <c r="AG2868" s="10"/>
      <c r="AH2868" s="10"/>
      <c r="AI2868" s="10"/>
      <c r="AJ2868" s="10"/>
      <c r="AK2868" s="10" t="s">
        <v>102</v>
      </c>
      <c r="AL2868" s="10" t="s">
        <v>7897</v>
      </c>
      <c r="AM2868" s="10"/>
      <c r="AN2868" s="10"/>
      <c r="AO2868" s="13" t="b">
        <v>0</v>
      </c>
      <c r="AP2868" s="22" t="s">
        <v>104</v>
      </c>
      <c r="AQ2868" s="10">
        <f ca="1">IFERROR(__xludf.DUMMYFUNCTION("""COMPUTED_VALUE"""),4761982)</f>
        <v>4761982</v>
      </c>
      <c r="AR2868" s="17">
        <v>215</v>
      </c>
      <c r="AS2868" s="17">
        <v>122</v>
      </c>
      <c r="AT2868" s="17">
        <v>397.75</v>
      </c>
      <c r="AU2868" s="17">
        <v>0.65</v>
      </c>
      <c r="AV2868" s="17">
        <v>0</v>
      </c>
      <c r="AW2868" s="10" t="s">
        <v>105</v>
      </c>
      <c r="AX2868" s="17">
        <v>42</v>
      </c>
      <c r="AY2868" s="18">
        <v>3.2602459016393444</v>
      </c>
      <c r="AZ2868" s="10"/>
      <c r="BA2868" s="20" t="b">
        <v>0</v>
      </c>
      <c r="BB2868" s="10" t="s">
        <v>21273</v>
      </c>
      <c r="BC2868" s="17">
        <v>215</v>
      </c>
      <c r="BD2868" s="17">
        <v>122</v>
      </c>
      <c r="BE2868" s="17">
        <v>397.75</v>
      </c>
      <c r="BF2868" s="17">
        <v>0</v>
      </c>
      <c r="BG2868" s="11">
        <f ca="1">IFERROR(__xludf.DUMMYFUNCTION("""COMPUTED_VALUE"""),45997.3472222222)</f>
        <v>45997.347222222197</v>
      </c>
      <c r="BH2868" s="17" t="s">
        <v>105</v>
      </c>
      <c r="BI2868" s="17"/>
      <c r="BJ2868" s="15"/>
      <c r="BK2868" s="15"/>
      <c r="BL2868" s="13" t="b">
        <v>0</v>
      </c>
      <c r="BM2868" s="10"/>
      <c r="BN2868" s="10" t="s">
        <v>278</v>
      </c>
      <c r="BO2868" s="11">
        <v>45995.415972222225</v>
      </c>
      <c r="BP2868" s="11">
        <v>45995.416539351849</v>
      </c>
      <c r="BQ2868" s="15"/>
      <c r="BR2868" s="15">
        <v>45995.458726851852</v>
      </c>
      <c r="BS2868" s="10" t="s">
        <v>278</v>
      </c>
      <c r="BT2868" s="10"/>
      <c r="BU2868" s="10"/>
      <c r="BV2868" s="10"/>
      <c r="BW2868" s="10"/>
      <c r="BX2868" s="10"/>
      <c r="BY2868" s="23"/>
      <c r="BZ2868" s="23"/>
      <c r="CA2868" s="10"/>
      <c r="CB2868" s="23"/>
      <c r="CC2868" s="23"/>
      <c r="CD2868" s="23"/>
      <c r="CE2868" s="23"/>
      <c r="CF2868" s="23"/>
      <c r="CG2868" s="23"/>
      <c r="CH2868" s="23"/>
      <c r="CI2868" s="23"/>
    </row>
    <row r="2869" spans="1:87" x14ac:dyDescent="0.3">
      <c r="A2869" s="9" t="s">
        <v>21286</v>
      </c>
      <c r="B2869" s="10" t="s">
        <v>21287</v>
      </c>
      <c r="C2869" s="11">
        <v>45997.395833333336</v>
      </c>
      <c r="D2869" s="12">
        <v>4.8611111111111112E-2</v>
      </c>
      <c r="E2869" s="11">
        <v>45997.444444444445</v>
      </c>
      <c r="F2869" s="22" t="s">
        <v>19136</v>
      </c>
      <c r="G2869" s="13" t="b">
        <v>0</v>
      </c>
      <c r="H2869" s="22" t="s">
        <v>9017</v>
      </c>
      <c r="I2869" s="10" t="s">
        <v>212</v>
      </c>
      <c r="J2869" s="13" t="b">
        <v>1</v>
      </c>
      <c r="K2869" s="13" t="b">
        <v>0</v>
      </c>
      <c r="L2869" s="10" t="s">
        <v>124</v>
      </c>
      <c r="M2869" s="10" t="s">
        <v>91</v>
      </c>
      <c r="N2869" s="10" t="s">
        <v>92</v>
      </c>
      <c r="O2869" s="19" t="s">
        <v>21288</v>
      </c>
      <c r="P2869" s="10"/>
      <c r="Q2869" s="10" t="s">
        <v>94</v>
      </c>
      <c r="R2869" s="10"/>
      <c r="S2869" s="10"/>
      <c r="T2869" s="10"/>
      <c r="U2869" s="10"/>
      <c r="V2869" s="10"/>
      <c r="W2869" s="10" t="s">
        <v>19139</v>
      </c>
      <c r="X2869" s="10" t="s">
        <v>130</v>
      </c>
      <c r="Y2869" s="10" t="s">
        <v>130</v>
      </c>
      <c r="Z2869" s="10" t="s">
        <v>99</v>
      </c>
      <c r="AA2869" s="10" t="s">
        <v>131</v>
      </c>
      <c r="AB2869" s="10" t="s">
        <v>19140</v>
      </c>
      <c r="AC2869" s="10" t="s">
        <v>9022</v>
      </c>
      <c r="AD2869" s="10" t="s">
        <v>165</v>
      </c>
      <c r="AE2869" s="10" t="s">
        <v>21289</v>
      </c>
      <c r="AF2869" s="15"/>
      <c r="AG2869" s="10"/>
      <c r="AH2869" s="10"/>
      <c r="AI2869" s="10"/>
      <c r="AJ2869" s="10"/>
      <c r="AK2869" s="10" t="s">
        <v>102</v>
      </c>
      <c r="AL2869" s="10" t="s">
        <v>7897</v>
      </c>
      <c r="AM2869" s="10"/>
      <c r="AN2869" s="10"/>
      <c r="AO2869" s="13" t="b">
        <v>0</v>
      </c>
      <c r="AP2869" s="22" t="s">
        <v>104</v>
      </c>
      <c r="AQ2869" s="10">
        <f ca="1">IFERROR(__xludf.DUMMYFUNCTION("""COMPUTED_VALUE"""),4761983)</f>
        <v>4761983</v>
      </c>
      <c r="AR2869" s="17">
        <v>187</v>
      </c>
      <c r="AS2869" s="17">
        <v>122</v>
      </c>
      <c r="AT2869" s="17">
        <v>1398</v>
      </c>
      <c r="AU2869" s="17">
        <v>1</v>
      </c>
      <c r="AV2869" s="17">
        <v>0</v>
      </c>
      <c r="AW2869" s="10" t="s">
        <v>105</v>
      </c>
      <c r="AX2869" s="17">
        <v>43</v>
      </c>
      <c r="AY2869" s="18">
        <v>11.459016393442623</v>
      </c>
      <c r="AZ2869" s="10"/>
      <c r="BA2869" s="20" t="b">
        <v>0</v>
      </c>
      <c r="BB2869" s="10" t="s">
        <v>21273</v>
      </c>
      <c r="BC2869" s="17">
        <v>187</v>
      </c>
      <c r="BD2869" s="17">
        <v>122</v>
      </c>
      <c r="BE2869" s="17">
        <v>1398</v>
      </c>
      <c r="BF2869" s="17">
        <v>0</v>
      </c>
      <c r="BG2869" s="11">
        <f ca="1">IFERROR(__xludf.DUMMYFUNCTION("""COMPUTED_VALUE"""),45997.3958333333)</f>
        <v>45997.395833333299</v>
      </c>
      <c r="BH2869" s="17" t="s">
        <v>105</v>
      </c>
      <c r="BI2869" s="17"/>
      <c r="BJ2869" s="15"/>
      <c r="BK2869" s="15"/>
      <c r="BL2869" s="13" t="b">
        <v>0</v>
      </c>
      <c r="BM2869" s="10"/>
      <c r="BN2869" s="10" t="s">
        <v>278</v>
      </c>
      <c r="BO2869" s="11">
        <v>45995.417361111111</v>
      </c>
      <c r="BP2869" s="11">
        <v>45995.417500000003</v>
      </c>
      <c r="BQ2869" s="15"/>
      <c r="BR2869" s="15">
        <v>45995.458877314813</v>
      </c>
      <c r="BS2869" s="10" t="s">
        <v>278</v>
      </c>
      <c r="BT2869" s="10"/>
      <c r="BU2869" s="10"/>
      <c r="BV2869" s="10"/>
      <c r="BW2869" s="10"/>
      <c r="BX2869" s="10"/>
      <c r="BY2869" s="23"/>
      <c r="BZ2869" s="23"/>
      <c r="CA2869" s="10"/>
      <c r="CB2869" s="23"/>
      <c r="CC2869" s="23"/>
      <c r="CD2869" s="23"/>
      <c r="CE2869" s="23"/>
      <c r="CF2869" s="23"/>
      <c r="CG2869" s="23"/>
      <c r="CH2869" s="23"/>
      <c r="CI2869" s="23"/>
    </row>
    <row r="2870" spans="1:87" x14ac:dyDescent="0.3">
      <c r="A2870" s="9" t="s">
        <v>21290</v>
      </c>
      <c r="B2870" s="10" t="s">
        <v>21291</v>
      </c>
      <c r="C2870" s="11">
        <v>45997.444444444445</v>
      </c>
      <c r="D2870" s="12">
        <v>5.5555555555555552E-2</v>
      </c>
      <c r="E2870" s="11">
        <v>45997.5</v>
      </c>
      <c r="F2870" s="22" t="s">
        <v>19136</v>
      </c>
      <c r="G2870" s="13" t="b">
        <v>0</v>
      </c>
      <c r="H2870" s="22" t="s">
        <v>9017</v>
      </c>
      <c r="I2870" s="10" t="s">
        <v>212</v>
      </c>
      <c r="J2870" s="13" t="b">
        <v>1</v>
      </c>
      <c r="K2870" s="13" t="b">
        <v>0</v>
      </c>
      <c r="L2870" s="10" t="s">
        <v>124</v>
      </c>
      <c r="M2870" s="10" t="s">
        <v>91</v>
      </c>
      <c r="N2870" s="10" t="s">
        <v>92</v>
      </c>
      <c r="O2870" s="19" t="s">
        <v>21292</v>
      </c>
      <c r="P2870" s="10"/>
      <c r="Q2870" s="10" t="s">
        <v>94</v>
      </c>
      <c r="R2870" s="10"/>
      <c r="S2870" s="10"/>
      <c r="T2870" s="10"/>
      <c r="U2870" s="10"/>
      <c r="V2870" s="10"/>
      <c r="W2870" s="10" t="s">
        <v>19139</v>
      </c>
      <c r="X2870" s="10" t="s">
        <v>130</v>
      </c>
      <c r="Y2870" s="10" t="s">
        <v>130</v>
      </c>
      <c r="Z2870" s="10" t="s">
        <v>99</v>
      </c>
      <c r="AA2870" s="10" t="s">
        <v>131</v>
      </c>
      <c r="AB2870" s="10" t="s">
        <v>19140</v>
      </c>
      <c r="AC2870" s="10" t="s">
        <v>9022</v>
      </c>
      <c r="AD2870" s="10" t="s">
        <v>165</v>
      </c>
      <c r="AE2870" s="10" t="s">
        <v>21293</v>
      </c>
      <c r="AF2870" s="15"/>
      <c r="AG2870" s="10"/>
      <c r="AH2870" s="10"/>
      <c r="AI2870" s="10"/>
      <c r="AJ2870" s="10"/>
      <c r="AK2870" s="10" t="s">
        <v>102</v>
      </c>
      <c r="AL2870" s="10" t="s">
        <v>7897</v>
      </c>
      <c r="AM2870" s="10"/>
      <c r="AN2870" s="10"/>
      <c r="AO2870" s="13" t="b">
        <v>0</v>
      </c>
      <c r="AP2870" s="22" t="s">
        <v>104</v>
      </c>
      <c r="AQ2870" s="10">
        <f ca="1">IFERROR(__xludf.DUMMYFUNCTION("""COMPUTED_VALUE"""),4761984)</f>
        <v>4761984</v>
      </c>
      <c r="AR2870" s="21">
        <v>174</v>
      </c>
      <c r="AS2870" s="21">
        <v>120</v>
      </c>
      <c r="AT2870" s="21">
        <v>1307.75</v>
      </c>
      <c r="AU2870" s="21">
        <v>0</v>
      </c>
      <c r="AV2870" s="21">
        <v>0</v>
      </c>
      <c r="AW2870" s="22" t="s">
        <v>105</v>
      </c>
      <c r="AX2870" s="21">
        <v>56</v>
      </c>
      <c r="AY2870" s="18">
        <v>10.897916666666667</v>
      </c>
      <c r="AZ2870" s="10"/>
      <c r="BA2870" s="20" t="b">
        <v>0</v>
      </c>
      <c r="BB2870" s="10" t="s">
        <v>21273</v>
      </c>
      <c r="BC2870" s="17">
        <v>174</v>
      </c>
      <c r="BD2870" s="17">
        <v>120</v>
      </c>
      <c r="BE2870" s="17">
        <v>1307.75</v>
      </c>
      <c r="BF2870" s="17">
        <v>0</v>
      </c>
      <c r="BG2870" s="11">
        <f ca="1">IFERROR(__xludf.DUMMYFUNCTION("""COMPUTED_VALUE"""),45997.4444444444)</f>
        <v>45997.444444444402</v>
      </c>
      <c r="BH2870" s="17" t="s">
        <v>105</v>
      </c>
      <c r="BI2870" s="17"/>
      <c r="BJ2870" s="15"/>
      <c r="BK2870" s="15"/>
      <c r="BL2870" s="13" t="b">
        <v>0</v>
      </c>
      <c r="BM2870" s="10"/>
      <c r="BN2870" s="10" t="s">
        <v>278</v>
      </c>
      <c r="BO2870" s="11">
        <v>45995.418055555558</v>
      </c>
      <c r="BP2870" s="11">
        <v>45995.41810185185</v>
      </c>
      <c r="BQ2870" s="15"/>
      <c r="BR2870" s="15">
        <v>45995.459039351852</v>
      </c>
      <c r="BS2870" s="10" t="s">
        <v>278</v>
      </c>
      <c r="BT2870" s="10"/>
      <c r="BU2870" s="10"/>
      <c r="BV2870" s="10"/>
      <c r="BW2870" s="10"/>
      <c r="BX2870" s="10"/>
      <c r="BY2870" s="23"/>
      <c r="BZ2870" s="23"/>
      <c r="CA2870" s="10"/>
      <c r="CB2870" s="23"/>
      <c r="CC2870" s="23"/>
      <c r="CD2870" s="23"/>
      <c r="CE2870" s="23"/>
      <c r="CF2870" s="23"/>
      <c r="CG2870" s="23"/>
      <c r="CH2870" s="23"/>
      <c r="CI2870" s="23"/>
    </row>
    <row r="2871" spans="1:87" x14ac:dyDescent="0.3">
      <c r="A2871" s="9" t="s">
        <v>21294</v>
      </c>
      <c r="B2871" s="10" t="s">
        <v>21295</v>
      </c>
      <c r="C2871" s="11">
        <v>45998.291666666664</v>
      </c>
      <c r="D2871" s="12">
        <v>0.20833333333333334</v>
      </c>
      <c r="E2871" s="11">
        <v>45998.5</v>
      </c>
      <c r="F2871" s="22" t="s">
        <v>19136</v>
      </c>
      <c r="G2871" s="13" t="b">
        <v>0</v>
      </c>
      <c r="H2871" s="22" t="s">
        <v>9017</v>
      </c>
      <c r="I2871" s="10" t="s">
        <v>212</v>
      </c>
      <c r="J2871" s="13" t="b">
        <v>1</v>
      </c>
      <c r="K2871" s="13" t="b">
        <v>0</v>
      </c>
      <c r="L2871" s="10" t="s">
        <v>124</v>
      </c>
      <c r="M2871" s="10" t="s">
        <v>91</v>
      </c>
      <c r="N2871" s="10" t="s">
        <v>92</v>
      </c>
      <c r="O2871" s="19" t="s">
        <v>21296</v>
      </c>
      <c r="P2871" s="10"/>
      <c r="Q2871" s="10" t="s">
        <v>94</v>
      </c>
      <c r="R2871" s="10"/>
      <c r="S2871" s="19" t="s">
        <v>21276</v>
      </c>
      <c r="T2871" s="10"/>
      <c r="U2871" s="10"/>
      <c r="V2871" s="10"/>
      <c r="W2871" s="10" t="s">
        <v>19139</v>
      </c>
      <c r="X2871" s="10" t="s">
        <v>130</v>
      </c>
      <c r="Y2871" s="10" t="s">
        <v>130</v>
      </c>
      <c r="Z2871" s="10" t="s">
        <v>99</v>
      </c>
      <c r="AA2871" s="10" t="s">
        <v>131</v>
      </c>
      <c r="AB2871" s="10" t="s">
        <v>19140</v>
      </c>
      <c r="AC2871" s="10" t="s">
        <v>9022</v>
      </c>
      <c r="AD2871" s="10" t="s">
        <v>165</v>
      </c>
      <c r="AE2871" s="10" t="s">
        <v>21297</v>
      </c>
      <c r="AF2871" s="15"/>
      <c r="AG2871" s="10"/>
      <c r="AH2871" s="10"/>
      <c r="AI2871" s="10"/>
      <c r="AJ2871" s="10"/>
      <c r="AK2871" s="10" t="s">
        <v>102</v>
      </c>
      <c r="AL2871" s="10" t="s">
        <v>19004</v>
      </c>
      <c r="AM2871" s="10"/>
      <c r="AN2871" s="10"/>
      <c r="AO2871" s="13" t="b">
        <v>0</v>
      </c>
      <c r="AP2871" s="22" t="s">
        <v>104</v>
      </c>
      <c r="AQ2871" s="10">
        <f ca="1">IFERROR(__xludf.DUMMYFUNCTION("""COMPUTED_VALUE"""),20026)</f>
        <v>20026</v>
      </c>
      <c r="AR2871" s="21">
        <v>2</v>
      </c>
      <c r="AS2871" s="21">
        <v>2</v>
      </c>
      <c r="AT2871" s="21">
        <v>0</v>
      </c>
      <c r="AU2871" s="21">
        <v>0</v>
      </c>
      <c r="AV2871" s="21">
        <v>0</v>
      </c>
      <c r="AW2871" s="22" t="s">
        <v>105</v>
      </c>
      <c r="AX2871" s="17"/>
      <c r="AY2871" s="18">
        <v>0</v>
      </c>
      <c r="AZ2871" s="10"/>
      <c r="BA2871" s="20" t="b">
        <v>1</v>
      </c>
      <c r="BB2871" s="10"/>
      <c r="BC2871" s="17">
        <v>2</v>
      </c>
      <c r="BD2871" s="17">
        <v>2</v>
      </c>
      <c r="BE2871" s="17">
        <v>0</v>
      </c>
      <c r="BF2871" s="17">
        <v>0</v>
      </c>
      <c r="BG2871" s="11">
        <f ca="1">IFERROR(__xludf.DUMMYFUNCTION("""COMPUTED_VALUE"""),45998.2916666666)</f>
        <v>45998.291666666599</v>
      </c>
      <c r="BH2871" s="17" t="s">
        <v>105</v>
      </c>
      <c r="BI2871" s="17"/>
      <c r="BJ2871" s="15"/>
      <c r="BK2871" s="15"/>
      <c r="BL2871" s="13" t="b">
        <v>0</v>
      </c>
      <c r="BM2871" s="10"/>
      <c r="BN2871" s="10" t="s">
        <v>4030</v>
      </c>
      <c r="BO2871" s="11">
        <v>45995.418749999997</v>
      </c>
      <c r="BP2871" s="11">
        <v>45995.430659722224</v>
      </c>
      <c r="BQ2871" s="15">
        <v>45996.446284722224</v>
      </c>
      <c r="BR2871" s="15">
        <v>45999.839282407411</v>
      </c>
      <c r="BS2871" s="10" t="s">
        <v>4030</v>
      </c>
      <c r="BT2871" s="10"/>
      <c r="BU2871" s="10"/>
      <c r="BV2871" s="10"/>
      <c r="BW2871" s="10"/>
      <c r="BX2871" s="10"/>
      <c r="BY2871" s="23"/>
      <c r="BZ2871" s="23"/>
      <c r="CA2871" s="19" t="s">
        <v>19142</v>
      </c>
      <c r="CB2871" s="23"/>
      <c r="CC2871" s="23"/>
      <c r="CD2871" s="23"/>
      <c r="CE2871" s="23"/>
      <c r="CF2871" s="23"/>
      <c r="CG2871" s="23"/>
      <c r="CH2871" s="23"/>
      <c r="CI2871" s="23"/>
    </row>
    <row r="2872" spans="1:87" x14ac:dyDescent="0.3">
      <c r="A2872" s="9" t="s">
        <v>21298</v>
      </c>
      <c r="B2872" s="10" t="s">
        <v>21299</v>
      </c>
      <c r="C2872" s="11">
        <v>45998.760416666664</v>
      </c>
      <c r="D2872" s="12">
        <v>9.7222222222222224E-2</v>
      </c>
      <c r="E2872" s="11">
        <v>45998.857638888891</v>
      </c>
      <c r="F2872" s="22" t="s">
        <v>19136</v>
      </c>
      <c r="G2872" s="13" t="b">
        <v>0</v>
      </c>
      <c r="H2872" s="22" t="s">
        <v>9017</v>
      </c>
      <c r="I2872" s="10" t="s">
        <v>212</v>
      </c>
      <c r="J2872" s="13" t="b">
        <v>1</v>
      </c>
      <c r="K2872" s="13" t="b">
        <v>0</v>
      </c>
      <c r="L2872" s="10" t="s">
        <v>124</v>
      </c>
      <c r="M2872" s="10" t="s">
        <v>91</v>
      </c>
      <c r="N2872" s="10" t="s">
        <v>92</v>
      </c>
      <c r="O2872" s="19" t="s">
        <v>21300</v>
      </c>
      <c r="P2872" s="10"/>
      <c r="Q2872" s="10" t="s">
        <v>94</v>
      </c>
      <c r="R2872" s="10"/>
      <c r="S2872" s="19" t="s">
        <v>21276</v>
      </c>
      <c r="T2872" s="10"/>
      <c r="U2872" s="10"/>
      <c r="V2872" s="10"/>
      <c r="W2872" s="10" t="s">
        <v>19139</v>
      </c>
      <c r="X2872" s="10" t="s">
        <v>130</v>
      </c>
      <c r="Y2872" s="10" t="s">
        <v>130</v>
      </c>
      <c r="Z2872" s="10" t="s">
        <v>99</v>
      </c>
      <c r="AA2872" s="10" t="s">
        <v>131</v>
      </c>
      <c r="AB2872" s="10" t="s">
        <v>19140</v>
      </c>
      <c r="AC2872" s="10" t="s">
        <v>9022</v>
      </c>
      <c r="AD2872" s="10" t="s">
        <v>165</v>
      </c>
      <c r="AE2872" s="10" t="s">
        <v>21301</v>
      </c>
      <c r="AF2872" s="15"/>
      <c r="AG2872" s="10"/>
      <c r="AH2872" s="10"/>
      <c r="AI2872" s="10"/>
      <c r="AJ2872" s="10"/>
      <c r="AK2872" s="10" t="s">
        <v>102</v>
      </c>
      <c r="AL2872" s="10" t="s">
        <v>20102</v>
      </c>
      <c r="AM2872" s="10"/>
      <c r="AN2872" s="10"/>
      <c r="AO2872" s="13" t="b">
        <v>0</v>
      </c>
      <c r="AP2872" s="22" t="s">
        <v>104</v>
      </c>
      <c r="AQ2872" s="10">
        <f ca="1">IFERROR(__xludf.DUMMYFUNCTION("""COMPUTED_VALUE"""),20026)</f>
        <v>20026</v>
      </c>
      <c r="AR2872" s="21">
        <v>2</v>
      </c>
      <c r="AS2872" s="21">
        <v>2</v>
      </c>
      <c r="AT2872" s="21">
        <v>0</v>
      </c>
      <c r="AU2872" s="21">
        <v>0</v>
      </c>
      <c r="AV2872" s="21">
        <v>0</v>
      </c>
      <c r="AW2872" s="22" t="s">
        <v>105</v>
      </c>
      <c r="AX2872" s="17"/>
      <c r="AY2872" s="18">
        <v>18.052605703048179</v>
      </c>
      <c r="AZ2872" s="10"/>
      <c r="BA2872" s="20" t="b">
        <v>1</v>
      </c>
      <c r="BB2872" s="10"/>
      <c r="BC2872" s="17">
        <v>1568</v>
      </c>
      <c r="BD2872" s="17">
        <v>1017</v>
      </c>
      <c r="BE2872" s="17">
        <v>18359.5</v>
      </c>
      <c r="BF2872" s="17">
        <v>0.9</v>
      </c>
      <c r="BG2872" s="11">
        <f ca="1">IFERROR(__xludf.DUMMYFUNCTION("""COMPUTED_VALUE"""),45998.7604166666)</f>
        <v>45998.760416666599</v>
      </c>
      <c r="BH2872" s="17" t="s">
        <v>105</v>
      </c>
      <c r="BI2872" s="17"/>
      <c r="BJ2872" s="15"/>
      <c r="BK2872" s="15"/>
      <c r="BL2872" s="13" t="b">
        <v>0</v>
      </c>
      <c r="BM2872" s="10"/>
      <c r="BN2872" s="10" t="s">
        <v>6278</v>
      </c>
      <c r="BO2872" s="11">
        <v>45995.42291666667</v>
      </c>
      <c r="BP2872" s="11">
        <v>45995.442233796297</v>
      </c>
      <c r="BQ2872" s="15">
        <v>45996.446493055555</v>
      </c>
      <c r="BR2872" s="15">
        <v>45996.62263888889</v>
      </c>
      <c r="BS2872" s="10" t="s">
        <v>6278</v>
      </c>
      <c r="BT2872" s="10"/>
      <c r="BU2872" s="10"/>
      <c r="BV2872" s="10"/>
      <c r="BW2872" s="10"/>
      <c r="BX2872" s="10"/>
      <c r="BY2872" s="23"/>
      <c r="BZ2872" s="23"/>
      <c r="CA2872" s="19" t="s">
        <v>19142</v>
      </c>
      <c r="CB2872" s="23"/>
      <c r="CC2872" s="23"/>
      <c r="CD2872" s="23"/>
      <c r="CE2872" s="23"/>
      <c r="CF2872" s="23"/>
      <c r="CG2872" s="23"/>
      <c r="CH2872" s="23"/>
      <c r="CI2872" s="23"/>
    </row>
    <row r="2873" spans="1:87" x14ac:dyDescent="0.3">
      <c r="A2873" s="9" t="s">
        <v>21302</v>
      </c>
      <c r="B2873" s="10" t="s">
        <v>21303</v>
      </c>
      <c r="C2873" s="11">
        <v>45998.760416666664</v>
      </c>
      <c r="D2873" s="12">
        <v>4.8611111111111112E-2</v>
      </c>
      <c r="E2873" s="11">
        <v>45998.809027777781</v>
      </c>
      <c r="F2873" s="22" t="s">
        <v>19136</v>
      </c>
      <c r="G2873" s="13" t="b">
        <v>0</v>
      </c>
      <c r="H2873" s="22" t="s">
        <v>9017</v>
      </c>
      <c r="I2873" s="10" t="s">
        <v>212</v>
      </c>
      <c r="J2873" s="13" t="b">
        <v>1</v>
      </c>
      <c r="K2873" s="13" t="b">
        <v>0</v>
      </c>
      <c r="L2873" s="10" t="s">
        <v>124</v>
      </c>
      <c r="M2873" s="10" t="s">
        <v>91</v>
      </c>
      <c r="N2873" s="10" t="s">
        <v>92</v>
      </c>
      <c r="O2873" s="19" t="s">
        <v>21304</v>
      </c>
      <c r="P2873" s="10"/>
      <c r="Q2873" s="10" t="s">
        <v>94</v>
      </c>
      <c r="R2873" s="10"/>
      <c r="S2873" s="10"/>
      <c r="T2873" s="10"/>
      <c r="U2873" s="10"/>
      <c r="V2873" s="10"/>
      <c r="W2873" s="10" t="s">
        <v>19139</v>
      </c>
      <c r="X2873" s="10" t="s">
        <v>130</v>
      </c>
      <c r="Y2873" s="10" t="s">
        <v>130</v>
      </c>
      <c r="Z2873" s="10" t="s">
        <v>99</v>
      </c>
      <c r="AA2873" s="10" t="s">
        <v>131</v>
      </c>
      <c r="AB2873" s="10" t="s">
        <v>19140</v>
      </c>
      <c r="AC2873" s="10" t="s">
        <v>9022</v>
      </c>
      <c r="AD2873" s="10" t="s">
        <v>165</v>
      </c>
      <c r="AE2873" s="10" t="s">
        <v>21305</v>
      </c>
      <c r="AF2873" s="15"/>
      <c r="AG2873" s="10"/>
      <c r="AH2873" s="10"/>
      <c r="AI2873" s="10"/>
      <c r="AJ2873" s="10"/>
      <c r="AK2873" s="10" t="s">
        <v>102</v>
      </c>
      <c r="AL2873" s="10" t="s">
        <v>7897</v>
      </c>
      <c r="AM2873" s="10"/>
      <c r="AN2873" s="10"/>
      <c r="AO2873" s="13" t="b">
        <v>0</v>
      </c>
      <c r="AP2873" s="22" t="s">
        <v>104</v>
      </c>
      <c r="AQ2873" s="10">
        <f ca="1">IFERROR(__xludf.DUMMYFUNCTION("""COMPUTED_VALUE"""),4765281)</f>
        <v>4765281</v>
      </c>
      <c r="AR2873" s="17">
        <v>893</v>
      </c>
      <c r="AS2873" s="17">
        <v>574</v>
      </c>
      <c r="AT2873" s="17">
        <v>11784</v>
      </c>
      <c r="AU2873" s="17">
        <v>1.55</v>
      </c>
      <c r="AV2873" s="17">
        <v>0.9</v>
      </c>
      <c r="AW2873" s="10" t="s">
        <v>105</v>
      </c>
      <c r="AX2873" s="17">
        <v>195</v>
      </c>
      <c r="AY2873" s="18">
        <v>20.529616724738677</v>
      </c>
      <c r="AZ2873" s="10"/>
      <c r="BA2873" s="20" t="b">
        <v>0</v>
      </c>
      <c r="BB2873" s="10" t="s">
        <v>21298</v>
      </c>
      <c r="BC2873" s="17">
        <v>893</v>
      </c>
      <c r="BD2873" s="17">
        <v>574</v>
      </c>
      <c r="BE2873" s="17">
        <v>11784</v>
      </c>
      <c r="BF2873" s="17">
        <v>0.9</v>
      </c>
      <c r="BG2873" s="11">
        <f ca="1">IFERROR(__xludf.DUMMYFUNCTION("""COMPUTED_VALUE"""),45998.7604166666)</f>
        <v>45998.760416666599</v>
      </c>
      <c r="BH2873" s="17" t="s">
        <v>105</v>
      </c>
      <c r="BI2873" s="17"/>
      <c r="BJ2873" s="15"/>
      <c r="BK2873" s="15"/>
      <c r="BL2873" s="13" t="b">
        <v>0</v>
      </c>
      <c r="BM2873" s="10"/>
      <c r="BN2873" s="10" t="s">
        <v>6278</v>
      </c>
      <c r="BO2873" s="11">
        <v>45995.425000000003</v>
      </c>
      <c r="BP2873" s="11">
        <v>45995.436689814815</v>
      </c>
      <c r="BQ2873" s="15"/>
      <c r="BR2873" s="15">
        <v>45996.621805555558</v>
      </c>
      <c r="BS2873" s="10" t="s">
        <v>6278</v>
      </c>
      <c r="BT2873" s="10"/>
      <c r="BU2873" s="10"/>
      <c r="BV2873" s="10"/>
      <c r="BW2873" s="10"/>
      <c r="BX2873" s="10"/>
      <c r="BY2873" s="23"/>
      <c r="BZ2873" s="23"/>
      <c r="CA2873" s="10"/>
      <c r="CB2873" s="23"/>
      <c r="CC2873" s="23"/>
      <c r="CD2873" s="23"/>
      <c r="CE2873" s="23"/>
      <c r="CF2873" s="23"/>
      <c r="CG2873" s="23"/>
      <c r="CH2873" s="23"/>
      <c r="CI2873" s="23"/>
    </row>
    <row r="2874" spans="1:87" x14ac:dyDescent="0.3">
      <c r="A2874" s="9" t="s">
        <v>21306</v>
      </c>
      <c r="B2874" s="10" t="s">
        <v>21307</v>
      </c>
      <c r="C2874" s="11">
        <v>45998.809027777781</v>
      </c>
      <c r="D2874" s="12">
        <v>4.8611111111111112E-2</v>
      </c>
      <c r="E2874" s="11">
        <v>45998.857638888891</v>
      </c>
      <c r="F2874" s="22" t="s">
        <v>19136</v>
      </c>
      <c r="G2874" s="13" t="b">
        <v>0</v>
      </c>
      <c r="H2874" s="22" t="s">
        <v>9017</v>
      </c>
      <c r="I2874" s="10" t="s">
        <v>212</v>
      </c>
      <c r="J2874" s="13" t="b">
        <v>1</v>
      </c>
      <c r="K2874" s="13" t="b">
        <v>0</v>
      </c>
      <c r="L2874" s="10" t="s">
        <v>124</v>
      </c>
      <c r="M2874" s="10" t="s">
        <v>91</v>
      </c>
      <c r="N2874" s="10" t="s">
        <v>92</v>
      </c>
      <c r="O2874" s="19" t="s">
        <v>21308</v>
      </c>
      <c r="P2874" s="10"/>
      <c r="Q2874" s="10" t="s">
        <v>94</v>
      </c>
      <c r="R2874" s="10"/>
      <c r="S2874" s="10"/>
      <c r="T2874" s="10"/>
      <c r="U2874" s="10"/>
      <c r="V2874" s="10"/>
      <c r="W2874" s="10" t="s">
        <v>19139</v>
      </c>
      <c r="X2874" s="10" t="s">
        <v>130</v>
      </c>
      <c r="Y2874" s="10" t="s">
        <v>130</v>
      </c>
      <c r="Z2874" s="10" t="s">
        <v>99</v>
      </c>
      <c r="AA2874" s="10" t="s">
        <v>131</v>
      </c>
      <c r="AB2874" s="10" t="s">
        <v>19140</v>
      </c>
      <c r="AC2874" s="10" t="s">
        <v>9022</v>
      </c>
      <c r="AD2874" s="10" t="s">
        <v>165</v>
      </c>
      <c r="AE2874" s="10" t="s">
        <v>21309</v>
      </c>
      <c r="AF2874" s="15"/>
      <c r="AG2874" s="10"/>
      <c r="AH2874" s="10"/>
      <c r="AI2874" s="10"/>
      <c r="AJ2874" s="10"/>
      <c r="AK2874" s="10" t="s">
        <v>102</v>
      </c>
      <c r="AL2874" s="10" t="s">
        <v>7897</v>
      </c>
      <c r="AM2874" s="10"/>
      <c r="AN2874" s="10"/>
      <c r="AO2874" s="13" t="b">
        <v>0</v>
      </c>
      <c r="AP2874" s="22" t="s">
        <v>104</v>
      </c>
      <c r="AQ2874" s="10">
        <f ca="1">IFERROR(__xludf.DUMMYFUNCTION("""COMPUTED_VALUE"""),4765282)</f>
        <v>4765282</v>
      </c>
      <c r="AR2874" s="17">
        <v>673</v>
      </c>
      <c r="AS2874" s="17">
        <v>441</v>
      </c>
      <c r="AT2874" s="17">
        <v>6575.5</v>
      </c>
      <c r="AU2874" s="17">
        <v>0.35</v>
      </c>
      <c r="AV2874" s="17">
        <v>0</v>
      </c>
      <c r="AW2874" s="10" t="s">
        <v>105</v>
      </c>
      <c r="AX2874" s="17">
        <v>189</v>
      </c>
      <c r="AY2874" s="18">
        <v>14.910430839002268</v>
      </c>
      <c r="AZ2874" s="10"/>
      <c r="BA2874" s="20" t="b">
        <v>0</v>
      </c>
      <c r="BB2874" s="10" t="s">
        <v>21298</v>
      </c>
      <c r="BC2874" s="17">
        <v>673</v>
      </c>
      <c r="BD2874" s="17">
        <v>441</v>
      </c>
      <c r="BE2874" s="17">
        <v>6575.5</v>
      </c>
      <c r="BF2874" s="17">
        <v>0</v>
      </c>
      <c r="BG2874" s="11">
        <f ca="1">IFERROR(__xludf.DUMMYFUNCTION("""COMPUTED_VALUE"""),45998.8090277777)</f>
        <v>45998.809027777701</v>
      </c>
      <c r="BH2874" s="17" t="s">
        <v>105</v>
      </c>
      <c r="BI2874" s="17"/>
      <c r="BJ2874" s="15"/>
      <c r="BK2874" s="15"/>
      <c r="BL2874" s="13" t="b">
        <v>0</v>
      </c>
      <c r="BM2874" s="10"/>
      <c r="BN2874" s="10" t="s">
        <v>6278</v>
      </c>
      <c r="BO2874" s="11">
        <v>45995.427083333336</v>
      </c>
      <c r="BP2874" s="11">
        <v>45995.437384259261</v>
      </c>
      <c r="BQ2874" s="15"/>
      <c r="BR2874" s="15">
        <v>45996.621967592589</v>
      </c>
      <c r="BS2874" s="10" t="s">
        <v>6278</v>
      </c>
      <c r="BT2874" s="10"/>
      <c r="BU2874" s="10"/>
      <c r="BV2874" s="10"/>
      <c r="BW2874" s="10"/>
      <c r="BX2874" s="10"/>
      <c r="BY2874" s="23"/>
      <c r="BZ2874" s="23"/>
      <c r="CA2874" s="10"/>
      <c r="CB2874" s="23"/>
      <c r="CC2874" s="23"/>
      <c r="CD2874" s="23"/>
      <c r="CE2874" s="23"/>
      <c r="CF2874" s="23"/>
      <c r="CG2874" s="23"/>
      <c r="CH2874" s="23"/>
      <c r="CI2874" s="23"/>
    </row>
    <row r="2875" spans="1:87" x14ac:dyDescent="0.3">
      <c r="A2875" s="9" t="s">
        <v>21310</v>
      </c>
      <c r="B2875" s="10" t="s">
        <v>21311</v>
      </c>
      <c r="C2875" s="11">
        <v>45998.333333333336</v>
      </c>
      <c r="D2875" s="12">
        <v>0.25</v>
      </c>
      <c r="E2875" s="11">
        <v>45998.583333333336</v>
      </c>
      <c r="F2875" s="22" t="s">
        <v>19136</v>
      </c>
      <c r="G2875" s="13" t="b">
        <v>0</v>
      </c>
      <c r="H2875" s="22" t="s">
        <v>9017</v>
      </c>
      <c r="I2875" s="10" t="s">
        <v>212</v>
      </c>
      <c r="J2875" s="13" t="b">
        <v>1</v>
      </c>
      <c r="K2875" s="13" t="b">
        <v>0</v>
      </c>
      <c r="L2875" s="10" t="s">
        <v>124</v>
      </c>
      <c r="M2875" s="10" t="s">
        <v>91</v>
      </c>
      <c r="N2875" s="10" t="s">
        <v>92</v>
      </c>
      <c r="O2875" s="19" t="s">
        <v>21312</v>
      </c>
      <c r="P2875" s="10"/>
      <c r="Q2875" s="10" t="s">
        <v>94</v>
      </c>
      <c r="R2875" s="10"/>
      <c r="S2875" s="19" t="s">
        <v>21276</v>
      </c>
      <c r="T2875" s="10"/>
      <c r="U2875" s="10"/>
      <c r="V2875" s="10"/>
      <c r="W2875" s="10" t="s">
        <v>19139</v>
      </c>
      <c r="X2875" s="10" t="s">
        <v>130</v>
      </c>
      <c r="Y2875" s="10" t="s">
        <v>130</v>
      </c>
      <c r="Z2875" s="10" t="s">
        <v>99</v>
      </c>
      <c r="AA2875" s="10" t="s">
        <v>131</v>
      </c>
      <c r="AB2875" s="10" t="s">
        <v>19140</v>
      </c>
      <c r="AC2875" s="10" t="s">
        <v>9022</v>
      </c>
      <c r="AD2875" s="10" t="s">
        <v>165</v>
      </c>
      <c r="AE2875" s="10" t="s">
        <v>21313</v>
      </c>
      <c r="AF2875" s="15"/>
      <c r="AG2875" s="10"/>
      <c r="AH2875" s="10"/>
      <c r="AI2875" s="10"/>
      <c r="AJ2875" s="10"/>
      <c r="AK2875" s="10" t="s">
        <v>102</v>
      </c>
      <c r="AL2875" s="10" t="s">
        <v>20102</v>
      </c>
      <c r="AM2875" s="10"/>
      <c r="AN2875" s="10"/>
      <c r="AO2875" s="13" t="b">
        <v>0</v>
      </c>
      <c r="AP2875" s="22" t="s">
        <v>104</v>
      </c>
      <c r="AQ2875" s="10">
        <f ca="1">IFERROR(__xludf.DUMMYFUNCTION("""COMPUTED_VALUE"""),20027)</f>
        <v>20027</v>
      </c>
      <c r="AR2875" s="21">
        <v>1</v>
      </c>
      <c r="AS2875" s="21">
        <v>1</v>
      </c>
      <c r="AT2875" s="21">
        <v>0</v>
      </c>
      <c r="AU2875" s="21">
        <v>0</v>
      </c>
      <c r="AV2875" s="21">
        <v>0</v>
      </c>
      <c r="AW2875" s="22" t="s">
        <v>105</v>
      </c>
      <c r="AX2875" s="17"/>
      <c r="AY2875" s="18">
        <v>15.01169188445667</v>
      </c>
      <c r="AZ2875" s="10"/>
      <c r="BA2875" s="20" t="b">
        <v>1</v>
      </c>
      <c r="BB2875" s="10"/>
      <c r="BC2875" s="17">
        <v>1069</v>
      </c>
      <c r="BD2875" s="17">
        <v>727</v>
      </c>
      <c r="BE2875" s="17">
        <v>10913.5</v>
      </c>
      <c r="BF2875" s="17">
        <v>0</v>
      </c>
      <c r="BG2875" s="11">
        <f ca="1">IFERROR(__xludf.DUMMYFUNCTION("""COMPUTED_VALUE"""),45998.3333333333)</f>
        <v>45998.333333333299</v>
      </c>
      <c r="BH2875" s="17" t="s">
        <v>105</v>
      </c>
      <c r="BI2875" s="17"/>
      <c r="BJ2875" s="15"/>
      <c r="BK2875" s="15"/>
      <c r="BL2875" s="13" t="b">
        <v>0</v>
      </c>
      <c r="BM2875" s="10"/>
      <c r="BN2875" s="10" t="s">
        <v>4030</v>
      </c>
      <c r="BO2875" s="11">
        <v>45995.434027777781</v>
      </c>
      <c r="BP2875" s="11">
        <v>45995.434270833335</v>
      </c>
      <c r="BQ2875" s="15">
        <v>45996.446388888886</v>
      </c>
      <c r="BR2875" s="15">
        <v>45999.83871527778</v>
      </c>
      <c r="BS2875" s="10" t="s">
        <v>4030</v>
      </c>
      <c r="BT2875" s="10"/>
      <c r="BU2875" s="10"/>
      <c r="BV2875" s="10"/>
      <c r="BW2875" s="10"/>
      <c r="BX2875" s="10"/>
      <c r="BY2875" s="23"/>
      <c r="BZ2875" s="23"/>
      <c r="CA2875" s="19" t="s">
        <v>19142</v>
      </c>
      <c r="CB2875" s="23"/>
      <c r="CC2875" s="23"/>
      <c r="CD2875" s="23"/>
      <c r="CE2875" s="23"/>
      <c r="CF2875" s="23"/>
      <c r="CG2875" s="23"/>
      <c r="CH2875" s="23"/>
      <c r="CI2875" s="23"/>
    </row>
    <row r="2876" spans="1:87" x14ac:dyDescent="0.3">
      <c r="A2876" s="9" t="s">
        <v>21314</v>
      </c>
      <c r="B2876" s="10" t="s">
        <v>21315</v>
      </c>
      <c r="C2876" s="11">
        <v>45998.333333333336</v>
      </c>
      <c r="D2876" s="12">
        <v>5.2083333333333336E-2</v>
      </c>
      <c r="E2876" s="11">
        <v>45998.385416666664</v>
      </c>
      <c r="F2876" s="22" t="s">
        <v>19136</v>
      </c>
      <c r="G2876" s="13" t="b">
        <v>0</v>
      </c>
      <c r="H2876" s="22" t="s">
        <v>9017</v>
      </c>
      <c r="I2876" s="10" t="s">
        <v>212</v>
      </c>
      <c r="J2876" s="13" t="b">
        <v>1</v>
      </c>
      <c r="K2876" s="13" t="b">
        <v>0</v>
      </c>
      <c r="L2876" s="10" t="s">
        <v>124</v>
      </c>
      <c r="M2876" s="10" t="s">
        <v>91</v>
      </c>
      <c r="N2876" s="10" t="s">
        <v>92</v>
      </c>
      <c r="O2876" s="19" t="s">
        <v>21316</v>
      </c>
      <c r="P2876" s="10"/>
      <c r="Q2876" s="10" t="s">
        <v>94</v>
      </c>
      <c r="R2876" s="10"/>
      <c r="S2876" s="10"/>
      <c r="T2876" s="10"/>
      <c r="U2876" s="10"/>
      <c r="V2876" s="10"/>
      <c r="W2876" s="10" t="s">
        <v>19139</v>
      </c>
      <c r="X2876" s="10" t="s">
        <v>130</v>
      </c>
      <c r="Y2876" s="10" t="s">
        <v>130</v>
      </c>
      <c r="Z2876" s="10" t="s">
        <v>99</v>
      </c>
      <c r="AA2876" s="10" t="s">
        <v>131</v>
      </c>
      <c r="AB2876" s="10" t="s">
        <v>19140</v>
      </c>
      <c r="AC2876" s="10" t="s">
        <v>9022</v>
      </c>
      <c r="AD2876" s="10" t="s">
        <v>165</v>
      </c>
      <c r="AE2876" s="10" t="s">
        <v>21317</v>
      </c>
      <c r="AF2876" s="15"/>
      <c r="AG2876" s="10"/>
      <c r="AH2876" s="10"/>
      <c r="AI2876" s="10"/>
      <c r="AJ2876" s="10"/>
      <c r="AK2876" s="10" t="s">
        <v>102</v>
      </c>
      <c r="AL2876" s="10" t="s">
        <v>7897</v>
      </c>
      <c r="AM2876" s="10"/>
      <c r="AN2876" s="10"/>
      <c r="AO2876" s="13" t="b">
        <v>0</v>
      </c>
      <c r="AP2876" s="22" t="s">
        <v>104</v>
      </c>
      <c r="AQ2876" s="10">
        <f ca="1">IFERROR(__xludf.DUMMYFUNCTION("""COMPUTED_VALUE"""),4765277)</f>
        <v>4765277</v>
      </c>
      <c r="AR2876" s="17">
        <v>351</v>
      </c>
      <c r="AS2876" s="17">
        <v>238</v>
      </c>
      <c r="AT2876" s="17">
        <v>4258</v>
      </c>
      <c r="AU2876" s="17">
        <v>0</v>
      </c>
      <c r="AV2876" s="17">
        <v>0</v>
      </c>
      <c r="AW2876" s="10" t="s">
        <v>105</v>
      </c>
      <c r="AX2876" s="17">
        <v>92</v>
      </c>
      <c r="AY2876" s="18">
        <v>17.890756302521009</v>
      </c>
      <c r="AZ2876" s="10"/>
      <c r="BA2876" s="20" t="b">
        <v>0</v>
      </c>
      <c r="BB2876" s="10" t="s">
        <v>21310</v>
      </c>
      <c r="BC2876" s="17">
        <v>351</v>
      </c>
      <c r="BD2876" s="17">
        <v>238</v>
      </c>
      <c r="BE2876" s="17">
        <v>4258</v>
      </c>
      <c r="BF2876" s="17">
        <v>0</v>
      </c>
      <c r="BG2876" s="11">
        <f ca="1">IFERROR(__xludf.DUMMYFUNCTION("""COMPUTED_VALUE"""),45998.3333333333)</f>
        <v>45998.333333333299</v>
      </c>
      <c r="BH2876" s="17" t="s">
        <v>105</v>
      </c>
      <c r="BI2876" s="17"/>
      <c r="BJ2876" s="15"/>
      <c r="BK2876" s="15"/>
      <c r="BL2876" s="13" t="b">
        <v>0</v>
      </c>
      <c r="BM2876" s="10"/>
      <c r="BN2876" s="10" t="s">
        <v>667</v>
      </c>
      <c r="BO2876" s="11">
        <v>45995.4375</v>
      </c>
      <c r="BP2876" s="11">
        <v>45995.438113425924</v>
      </c>
      <c r="BQ2876" s="15"/>
      <c r="BR2876" s="15">
        <v>45996.344953703701</v>
      </c>
      <c r="BS2876" s="10" t="s">
        <v>667</v>
      </c>
      <c r="BT2876" s="10"/>
      <c r="BU2876" s="10"/>
      <c r="BV2876" s="10"/>
      <c r="BW2876" s="10"/>
      <c r="BX2876" s="10"/>
      <c r="BY2876" s="23"/>
      <c r="BZ2876" s="23"/>
      <c r="CA2876" s="10"/>
      <c r="CB2876" s="23"/>
      <c r="CC2876" s="23"/>
      <c r="CD2876" s="23"/>
      <c r="CE2876" s="23"/>
      <c r="CF2876" s="23"/>
      <c r="CG2876" s="23"/>
      <c r="CH2876" s="23"/>
      <c r="CI2876" s="23"/>
    </row>
    <row r="2877" spans="1:87" x14ac:dyDescent="0.3">
      <c r="A2877" s="9" t="s">
        <v>21318</v>
      </c>
      <c r="B2877" s="10" t="s">
        <v>21319</v>
      </c>
      <c r="C2877" s="11">
        <v>45998.385416666664</v>
      </c>
      <c r="D2877" s="12">
        <v>5.2083333333333336E-2</v>
      </c>
      <c r="E2877" s="11">
        <v>45998.4375</v>
      </c>
      <c r="F2877" s="22" t="s">
        <v>19136</v>
      </c>
      <c r="G2877" s="13" t="b">
        <v>0</v>
      </c>
      <c r="H2877" s="22" t="s">
        <v>9017</v>
      </c>
      <c r="I2877" s="10" t="s">
        <v>212</v>
      </c>
      <c r="J2877" s="13" t="b">
        <v>1</v>
      </c>
      <c r="K2877" s="13" t="b">
        <v>0</v>
      </c>
      <c r="L2877" s="10" t="s">
        <v>124</v>
      </c>
      <c r="M2877" s="10" t="s">
        <v>91</v>
      </c>
      <c r="N2877" s="10" t="s">
        <v>92</v>
      </c>
      <c r="O2877" s="19" t="s">
        <v>21320</v>
      </c>
      <c r="P2877" s="10"/>
      <c r="Q2877" s="10" t="s">
        <v>94</v>
      </c>
      <c r="R2877" s="10"/>
      <c r="S2877" s="10"/>
      <c r="T2877" s="10"/>
      <c r="U2877" s="10"/>
      <c r="V2877" s="10"/>
      <c r="W2877" s="10" t="s">
        <v>19139</v>
      </c>
      <c r="X2877" s="10" t="s">
        <v>130</v>
      </c>
      <c r="Y2877" s="10" t="s">
        <v>130</v>
      </c>
      <c r="Z2877" s="10" t="s">
        <v>99</v>
      </c>
      <c r="AA2877" s="10" t="s">
        <v>131</v>
      </c>
      <c r="AB2877" s="10" t="s">
        <v>19140</v>
      </c>
      <c r="AC2877" s="10" t="s">
        <v>9022</v>
      </c>
      <c r="AD2877" s="10" t="s">
        <v>165</v>
      </c>
      <c r="AE2877" s="10" t="s">
        <v>21321</v>
      </c>
      <c r="AF2877" s="15"/>
      <c r="AG2877" s="10"/>
      <c r="AH2877" s="10"/>
      <c r="AI2877" s="10"/>
      <c r="AJ2877" s="10"/>
      <c r="AK2877" s="10" t="s">
        <v>102</v>
      </c>
      <c r="AL2877" s="10" t="s">
        <v>7897</v>
      </c>
      <c r="AM2877" s="10"/>
      <c r="AN2877" s="10"/>
      <c r="AO2877" s="13" t="b">
        <v>0</v>
      </c>
      <c r="AP2877" s="22" t="s">
        <v>104</v>
      </c>
      <c r="AQ2877" s="10">
        <f ca="1">IFERROR(__xludf.DUMMYFUNCTION("""COMPUTED_VALUE"""),4765278)</f>
        <v>4765278</v>
      </c>
      <c r="AR2877" s="17">
        <v>245</v>
      </c>
      <c r="AS2877" s="17">
        <v>176</v>
      </c>
      <c r="AT2877" s="17">
        <v>2899.25</v>
      </c>
      <c r="AU2877" s="17">
        <v>0</v>
      </c>
      <c r="AV2877" s="17">
        <v>0</v>
      </c>
      <c r="AW2877" s="10" t="s">
        <v>105</v>
      </c>
      <c r="AX2877" s="17">
        <v>86</v>
      </c>
      <c r="AY2877" s="18">
        <v>16.473011363636363</v>
      </c>
      <c r="AZ2877" s="10"/>
      <c r="BA2877" s="20" t="b">
        <v>0</v>
      </c>
      <c r="BB2877" s="10" t="s">
        <v>21310</v>
      </c>
      <c r="BC2877" s="17">
        <v>245</v>
      </c>
      <c r="BD2877" s="17">
        <v>176</v>
      </c>
      <c r="BE2877" s="17">
        <v>2899.25</v>
      </c>
      <c r="BF2877" s="17">
        <v>0</v>
      </c>
      <c r="BG2877" s="11">
        <f ca="1">IFERROR(__xludf.DUMMYFUNCTION("""COMPUTED_VALUE"""),45998.3854166666)</f>
        <v>45998.385416666599</v>
      </c>
      <c r="BH2877" s="17" t="s">
        <v>105</v>
      </c>
      <c r="BI2877" s="17"/>
      <c r="BJ2877" s="15"/>
      <c r="BK2877" s="15"/>
      <c r="BL2877" s="13" t="b">
        <v>0</v>
      </c>
      <c r="BM2877" s="10"/>
      <c r="BN2877" s="10" t="s">
        <v>667</v>
      </c>
      <c r="BO2877" s="11">
        <v>45995.438888888886</v>
      </c>
      <c r="BP2877" s="11">
        <v>45995.438993055555</v>
      </c>
      <c r="BQ2877" s="15"/>
      <c r="BR2877" s="15">
        <v>45996.345092592594</v>
      </c>
      <c r="BS2877" s="10" t="s">
        <v>667</v>
      </c>
      <c r="BT2877" s="10"/>
      <c r="BU2877" s="10"/>
      <c r="BV2877" s="10"/>
      <c r="BW2877" s="10"/>
      <c r="BX2877" s="10"/>
      <c r="BY2877" s="23"/>
      <c r="BZ2877" s="23"/>
      <c r="CA2877" s="10"/>
      <c r="CB2877" s="23"/>
      <c r="CC2877" s="23"/>
      <c r="CD2877" s="23"/>
      <c r="CE2877" s="23"/>
      <c r="CF2877" s="23"/>
      <c r="CG2877" s="23"/>
      <c r="CH2877" s="23"/>
      <c r="CI2877" s="23"/>
    </row>
    <row r="2878" spans="1:87" x14ac:dyDescent="0.3">
      <c r="A2878" s="9" t="s">
        <v>21322</v>
      </c>
      <c r="B2878" s="10" t="s">
        <v>21323</v>
      </c>
      <c r="C2878" s="11">
        <v>45998.4375</v>
      </c>
      <c r="D2878" s="12">
        <v>5.2083333333333336E-2</v>
      </c>
      <c r="E2878" s="11">
        <v>45998.489583333336</v>
      </c>
      <c r="F2878" s="22" t="s">
        <v>19136</v>
      </c>
      <c r="G2878" s="13" t="b">
        <v>0</v>
      </c>
      <c r="H2878" s="22" t="s">
        <v>9017</v>
      </c>
      <c r="I2878" s="10" t="s">
        <v>212</v>
      </c>
      <c r="J2878" s="13" t="b">
        <v>1</v>
      </c>
      <c r="K2878" s="13" t="b">
        <v>0</v>
      </c>
      <c r="L2878" s="10" t="s">
        <v>124</v>
      </c>
      <c r="M2878" s="10" t="s">
        <v>91</v>
      </c>
      <c r="N2878" s="10" t="s">
        <v>92</v>
      </c>
      <c r="O2878" s="19" t="s">
        <v>21324</v>
      </c>
      <c r="P2878" s="10"/>
      <c r="Q2878" s="10" t="s">
        <v>94</v>
      </c>
      <c r="R2878" s="10"/>
      <c r="S2878" s="10"/>
      <c r="T2878" s="10"/>
      <c r="U2878" s="10"/>
      <c r="V2878" s="10"/>
      <c r="W2878" s="10" t="s">
        <v>19139</v>
      </c>
      <c r="X2878" s="10" t="s">
        <v>130</v>
      </c>
      <c r="Y2878" s="10" t="s">
        <v>130</v>
      </c>
      <c r="Z2878" s="10" t="s">
        <v>99</v>
      </c>
      <c r="AA2878" s="10" t="s">
        <v>131</v>
      </c>
      <c r="AB2878" s="10" t="s">
        <v>19140</v>
      </c>
      <c r="AC2878" s="10" t="s">
        <v>9022</v>
      </c>
      <c r="AD2878" s="10" t="s">
        <v>165</v>
      </c>
      <c r="AE2878" s="10" t="s">
        <v>21325</v>
      </c>
      <c r="AF2878" s="15"/>
      <c r="AG2878" s="10"/>
      <c r="AH2878" s="10"/>
      <c r="AI2878" s="10"/>
      <c r="AJ2878" s="10"/>
      <c r="AK2878" s="10" t="s">
        <v>102</v>
      </c>
      <c r="AL2878" s="10" t="s">
        <v>7897</v>
      </c>
      <c r="AM2878" s="10"/>
      <c r="AN2878" s="10"/>
      <c r="AO2878" s="13" t="b">
        <v>0</v>
      </c>
      <c r="AP2878" s="22" t="s">
        <v>104</v>
      </c>
      <c r="AQ2878" s="10">
        <f ca="1">IFERROR(__xludf.DUMMYFUNCTION("""COMPUTED_VALUE"""),4765279)</f>
        <v>4765279</v>
      </c>
      <c r="AR2878" s="17">
        <v>301</v>
      </c>
      <c r="AS2878" s="17">
        <v>195</v>
      </c>
      <c r="AT2878" s="17">
        <v>2369</v>
      </c>
      <c r="AU2878" s="17">
        <v>0</v>
      </c>
      <c r="AV2878" s="17">
        <v>0</v>
      </c>
      <c r="AW2878" s="10" t="s">
        <v>105</v>
      </c>
      <c r="AX2878" s="17">
        <v>96</v>
      </c>
      <c r="AY2878" s="18">
        <v>12.148717948717948</v>
      </c>
      <c r="AZ2878" s="10"/>
      <c r="BA2878" s="20" t="b">
        <v>0</v>
      </c>
      <c r="BB2878" s="10" t="s">
        <v>21310</v>
      </c>
      <c r="BC2878" s="17">
        <v>301</v>
      </c>
      <c r="BD2878" s="17">
        <v>195</v>
      </c>
      <c r="BE2878" s="17">
        <v>2369</v>
      </c>
      <c r="BF2878" s="17">
        <v>0</v>
      </c>
      <c r="BG2878" s="11">
        <f ca="1">IFERROR(__xludf.DUMMYFUNCTION("""COMPUTED_VALUE"""),45998.4375)</f>
        <v>45998.4375</v>
      </c>
      <c r="BH2878" s="17" t="s">
        <v>105</v>
      </c>
      <c r="BI2878" s="17"/>
      <c r="BJ2878" s="15"/>
      <c r="BK2878" s="15"/>
      <c r="BL2878" s="13" t="b">
        <v>0</v>
      </c>
      <c r="BM2878" s="10"/>
      <c r="BN2878" s="10" t="s">
        <v>667</v>
      </c>
      <c r="BO2878" s="11">
        <v>45995.438888888886</v>
      </c>
      <c r="BP2878" s="11">
        <v>45995.43953703704</v>
      </c>
      <c r="BQ2878" s="15"/>
      <c r="BR2878" s="15">
        <v>45996.345231481479</v>
      </c>
      <c r="BS2878" s="10" t="s">
        <v>667</v>
      </c>
      <c r="BT2878" s="10"/>
      <c r="BU2878" s="10"/>
      <c r="BV2878" s="10"/>
      <c r="BW2878" s="10"/>
      <c r="BX2878" s="10"/>
      <c r="BY2878" s="23"/>
      <c r="BZ2878" s="23"/>
      <c r="CA2878" s="10"/>
      <c r="CB2878" s="23"/>
      <c r="CC2878" s="23"/>
      <c r="CD2878" s="23"/>
      <c r="CE2878" s="23"/>
      <c r="CF2878" s="23"/>
      <c r="CG2878" s="23"/>
      <c r="CH2878" s="23"/>
      <c r="CI2878" s="23"/>
    </row>
    <row r="2879" spans="1:87" x14ac:dyDescent="0.3">
      <c r="A2879" s="9" t="s">
        <v>21326</v>
      </c>
      <c r="B2879" s="10" t="s">
        <v>21327</v>
      </c>
      <c r="C2879" s="11">
        <v>45998.489583333336</v>
      </c>
      <c r="D2879" s="12">
        <v>5.2083333333333336E-2</v>
      </c>
      <c r="E2879" s="11">
        <v>45998.541666666664</v>
      </c>
      <c r="F2879" s="22" t="s">
        <v>19136</v>
      </c>
      <c r="G2879" s="13" t="b">
        <v>0</v>
      </c>
      <c r="H2879" s="22" t="s">
        <v>9017</v>
      </c>
      <c r="I2879" s="10" t="s">
        <v>212</v>
      </c>
      <c r="J2879" s="13" t="b">
        <v>1</v>
      </c>
      <c r="K2879" s="13" t="b">
        <v>0</v>
      </c>
      <c r="L2879" s="10" t="s">
        <v>124</v>
      </c>
      <c r="M2879" s="10" t="s">
        <v>91</v>
      </c>
      <c r="N2879" s="10" t="s">
        <v>92</v>
      </c>
      <c r="O2879" s="19" t="s">
        <v>21328</v>
      </c>
      <c r="P2879" s="10"/>
      <c r="Q2879" s="10" t="s">
        <v>94</v>
      </c>
      <c r="R2879" s="10"/>
      <c r="S2879" s="10"/>
      <c r="T2879" s="10"/>
      <c r="U2879" s="10"/>
      <c r="V2879" s="10"/>
      <c r="W2879" s="10" t="s">
        <v>19139</v>
      </c>
      <c r="X2879" s="10" t="s">
        <v>130</v>
      </c>
      <c r="Y2879" s="10" t="s">
        <v>130</v>
      </c>
      <c r="Z2879" s="10" t="s">
        <v>99</v>
      </c>
      <c r="AA2879" s="10" t="s">
        <v>131</v>
      </c>
      <c r="AB2879" s="10" t="s">
        <v>19140</v>
      </c>
      <c r="AC2879" s="10" t="s">
        <v>9022</v>
      </c>
      <c r="AD2879" s="10" t="s">
        <v>165</v>
      </c>
      <c r="AE2879" s="10" t="s">
        <v>21329</v>
      </c>
      <c r="AF2879" s="15"/>
      <c r="AG2879" s="10"/>
      <c r="AH2879" s="10"/>
      <c r="AI2879" s="10"/>
      <c r="AJ2879" s="10"/>
      <c r="AK2879" s="10" t="s">
        <v>102</v>
      </c>
      <c r="AL2879" s="10" t="s">
        <v>7897</v>
      </c>
      <c r="AM2879" s="10"/>
      <c r="AN2879" s="10"/>
      <c r="AO2879" s="13" t="b">
        <v>0</v>
      </c>
      <c r="AP2879" s="22" t="s">
        <v>104</v>
      </c>
      <c r="AQ2879" s="10">
        <f ca="1">IFERROR(__xludf.DUMMYFUNCTION("""COMPUTED_VALUE"""),4765280)</f>
        <v>4765280</v>
      </c>
      <c r="AR2879" s="17">
        <v>171</v>
      </c>
      <c r="AS2879" s="17">
        <v>117</v>
      </c>
      <c r="AT2879" s="17">
        <v>1387.25</v>
      </c>
      <c r="AU2879" s="17">
        <v>0</v>
      </c>
      <c r="AV2879" s="17">
        <v>0</v>
      </c>
      <c r="AW2879" s="10" t="s">
        <v>105</v>
      </c>
      <c r="AX2879" s="17">
        <v>57</v>
      </c>
      <c r="AY2879" s="18">
        <v>11.856837606837606</v>
      </c>
      <c r="AZ2879" s="10"/>
      <c r="BA2879" s="20" t="b">
        <v>0</v>
      </c>
      <c r="BB2879" s="10" t="s">
        <v>21310</v>
      </c>
      <c r="BC2879" s="17">
        <v>171</v>
      </c>
      <c r="BD2879" s="17">
        <v>117</v>
      </c>
      <c r="BE2879" s="17">
        <v>1387.25</v>
      </c>
      <c r="BF2879" s="17">
        <v>0</v>
      </c>
      <c r="BG2879" s="11">
        <f ca="1">IFERROR(__xludf.DUMMYFUNCTION("""COMPUTED_VALUE"""),45998.4895833333)</f>
        <v>45998.489583333299</v>
      </c>
      <c r="BH2879" s="17" t="s">
        <v>105</v>
      </c>
      <c r="BI2879" s="17"/>
      <c r="BJ2879" s="15"/>
      <c r="BK2879" s="15"/>
      <c r="BL2879" s="13" t="b">
        <v>0</v>
      </c>
      <c r="BM2879" s="10"/>
      <c r="BN2879" s="10" t="s">
        <v>667</v>
      </c>
      <c r="BO2879" s="11">
        <v>45995.439583333333</v>
      </c>
      <c r="BP2879" s="11">
        <v>45995.439872685187</v>
      </c>
      <c r="BQ2879" s="15"/>
      <c r="BR2879" s="15">
        <v>45996.345393518517</v>
      </c>
      <c r="BS2879" s="10" t="s">
        <v>667</v>
      </c>
      <c r="BT2879" s="10"/>
      <c r="BU2879" s="10"/>
      <c r="BV2879" s="10"/>
      <c r="BW2879" s="10"/>
      <c r="BX2879" s="10"/>
      <c r="BY2879" s="23"/>
      <c r="BZ2879" s="23"/>
      <c r="CA2879" s="10"/>
      <c r="CB2879" s="23"/>
      <c r="CC2879" s="23"/>
      <c r="CD2879" s="23"/>
      <c r="CE2879" s="23"/>
      <c r="CF2879" s="23"/>
      <c r="CG2879" s="23"/>
      <c r="CH2879" s="23"/>
      <c r="CI2879" s="23"/>
    </row>
    <row r="2880" spans="1:87" x14ac:dyDescent="0.3">
      <c r="A2880" s="9" t="s">
        <v>21330</v>
      </c>
      <c r="B2880" s="10" t="s">
        <v>21331</v>
      </c>
      <c r="C2880" s="11">
        <v>46003.34375</v>
      </c>
      <c r="D2880" s="12">
        <v>0.14583333333333334</v>
      </c>
      <c r="E2880" s="11">
        <v>46003.489583333336</v>
      </c>
      <c r="F2880" s="22" t="s">
        <v>15270</v>
      </c>
      <c r="G2880" s="13" t="b">
        <v>0</v>
      </c>
      <c r="H2880" s="22" t="s">
        <v>15271</v>
      </c>
      <c r="I2880" s="10" t="s">
        <v>3213</v>
      </c>
      <c r="J2880" s="13" t="b">
        <v>0</v>
      </c>
      <c r="K2880" s="13" t="b">
        <v>1</v>
      </c>
      <c r="L2880" s="10" t="s">
        <v>124</v>
      </c>
      <c r="M2880" s="10" t="s">
        <v>91</v>
      </c>
      <c r="N2880" s="10" t="s">
        <v>92</v>
      </c>
      <c r="O2880" s="19" t="s">
        <v>21332</v>
      </c>
      <c r="P2880" s="10" t="s">
        <v>3215</v>
      </c>
      <c r="Q2880" s="10" t="s">
        <v>126</v>
      </c>
      <c r="R2880" s="10"/>
      <c r="S2880" s="19" t="s">
        <v>21333</v>
      </c>
      <c r="T2880" s="19" t="s">
        <v>21334</v>
      </c>
      <c r="U2880" s="10" t="s">
        <v>15317</v>
      </c>
      <c r="V2880" s="10" t="s">
        <v>15308</v>
      </c>
      <c r="W2880" s="10" t="s">
        <v>15276</v>
      </c>
      <c r="X2880" s="10" t="s">
        <v>15277</v>
      </c>
      <c r="Y2880" s="10" t="s">
        <v>15277</v>
      </c>
      <c r="Z2880" s="10" t="s">
        <v>99</v>
      </c>
      <c r="AA2880" s="10" t="s">
        <v>131</v>
      </c>
      <c r="AB2880" s="10" t="s">
        <v>15278</v>
      </c>
      <c r="AC2880" s="10" t="s">
        <v>15279</v>
      </c>
      <c r="AD2880" s="10" t="s">
        <v>165</v>
      </c>
      <c r="AE2880" s="10" t="s">
        <v>21335</v>
      </c>
      <c r="AF2880" s="15"/>
      <c r="AG2880" s="10"/>
      <c r="AH2880" s="10"/>
      <c r="AI2880" s="10"/>
      <c r="AJ2880" s="10"/>
      <c r="AK2880" s="10" t="s">
        <v>102</v>
      </c>
      <c r="AL2880" s="10" t="s">
        <v>1773</v>
      </c>
      <c r="AM2880" s="10"/>
      <c r="AN2880" s="10"/>
      <c r="AO2880" s="13" t="b">
        <v>0</v>
      </c>
      <c r="AP2880" s="22" t="s">
        <v>104</v>
      </c>
      <c r="AQ2880" s="10">
        <f ca="1">IFERROR(__xludf.DUMMYFUNCTION("""COMPUTED_VALUE"""),4773713)</f>
        <v>4773713</v>
      </c>
      <c r="AR2880" s="17">
        <v>2611</v>
      </c>
      <c r="AS2880" s="17">
        <v>2061</v>
      </c>
      <c r="AT2880" s="17">
        <v>39826</v>
      </c>
      <c r="AU2880" s="17">
        <v>8.4</v>
      </c>
      <c r="AV2880" s="17">
        <v>2</v>
      </c>
      <c r="AW2880" s="10" t="s">
        <v>105</v>
      </c>
      <c r="AX2880" s="17">
        <v>308</v>
      </c>
      <c r="AY2880" s="18">
        <v>19.323629306162058</v>
      </c>
      <c r="AZ2880" s="10"/>
      <c r="BA2880" s="20" t="b">
        <v>0</v>
      </c>
      <c r="BB2880" s="10"/>
      <c r="BC2880" s="17">
        <v>2611</v>
      </c>
      <c r="BD2880" s="17">
        <v>2061</v>
      </c>
      <c r="BE2880" s="17">
        <v>39826</v>
      </c>
      <c r="BF2880" s="17">
        <v>2</v>
      </c>
      <c r="BG2880" s="11">
        <f ca="1">IFERROR(__xludf.DUMMYFUNCTION("""COMPUTED_VALUE"""),46003.34375)</f>
        <v>46003.34375</v>
      </c>
      <c r="BH2880" s="17" t="s">
        <v>105</v>
      </c>
      <c r="BI2880" s="17"/>
      <c r="BJ2880" s="15"/>
      <c r="BK2880" s="15"/>
      <c r="BL2880" s="13" t="b">
        <v>0</v>
      </c>
      <c r="BM2880" s="10"/>
      <c r="BN2880" s="10" t="s">
        <v>185</v>
      </c>
      <c r="BO2880" s="11">
        <v>45995.592361111114</v>
      </c>
      <c r="BP2880" s="11">
        <v>45995.59238425926</v>
      </c>
      <c r="BQ2880" s="15">
        <v>46001.749351851853</v>
      </c>
      <c r="BR2880" s="15">
        <v>46001.57439814815</v>
      </c>
      <c r="BS2880" s="10"/>
      <c r="BT2880" s="10"/>
      <c r="BU2880" s="10"/>
      <c r="BV2880" s="10"/>
      <c r="BW2880" s="10"/>
      <c r="BX2880" s="10"/>
      <c r="BY2880" s="23"/>
      <c r="BZ2880" s="23"/>
      <c r="CA2880" s="19" t="s">
        <v>21336</v>
      </c>
      <c r="CB2880" s="19" t="s">
        <v>21334</v>
      </c>
      <c r="CC2880" s="23"/>
      <c r="CD2880" s="23"/>
      <c r="CE2880" s="23"/>
      <c r="CF2880" s="23"/>
      <c r="CG2880" s="23"/>
      <c r="CH2880" s="23"/>
      <c r="CI2880" s="23"/>
    </row>
    <row r="2881" spans="1:87" x14ac:dyDescent="0.3">
      <c r="A2881" s="9" t="s">
        <v>21337</v>
      </c>
      <c r="B2881" s="10" t="s">
        <v>21338</v>
      </c>
      <c r="C2881" s="11">
        <v>46006.041666666664</v>
      </c>
      <c r="D2881" s="12">
        <v>0.14583333333333334</v>
      </c>
      <c r="E2881" s="11">
        <v>46006.1875</v>
      </c>
      <c r="F2881" s="22" t="s">
        <v>15270</v>
      </c>
      <c r="G2881" s="13" t="b">
        <v>0</v>
      </c>
      <c r="H2881" s="22" t="s">
        <v>15271</v>
      </c>
      <c r="I2881" s="10" t="s">
        <v>3213</v>
      </c>
      <c r="J2881" s="13" t="b">
        <v>0</v>
      </c>
      <c r="K2881" s="13" t="b">
        <v>1</v>
      </c>
      <c r="L2881" s="10" t="s">
        <v>124</v>
      </c>
      <c r="M2881" s="10" t="s">
        <v>91</v>
      </c>
      <c r="N2881" s="10" t="s">
        <v>92</v>
      </c>
      <c r="O2881" s="19" t="s">
        <v>21339</v>
      </c>
      <c r="P2881" s="10" t="s">
        <v>88</v>
      </c>
      <c r="Q2881" s="10" t="s">
        <v>126</v>
      </c>
      <c r="R2881" s="10"/>
      <c r="S2881" s="19" t="s">
        <v>21340</v>
      </c>
      <c r="T2881" s="19" t="s">
        <v>21341</v>
      </c>
      <c r="U2881" s="10" t="s">
        <v>16017</v>
      </c>
      <c r="V2881" s="10" t="s">
        <v>15673</v>
      </c>
      <c r="W2881" s="10" t="s">
        <v>15276</v>
      </c>
      <c r="X2881" s="10" t="s">
        <v>15277</v>
      </c>
      <c r="Y2881" s="10" t="s">
        <v>15277</v>
      </c>
      <c r="Z2881" s="10" t="s">
        <v>99</v>
      </c>
      <c r="AA2881" s="10" t="s">
        <v>131</v>
      </c>
      <c r="AB2881" s="10" t="s">
        <v>15278</v>
      </c>
      <c r="AC2881" s="10" t="s">
        <v>15279</v>
      </c>
      <c r="AD2881" s="10" t="s">
        <v>165</v>
      </c>
      <c r="AE2881" s="10" t="s">
        <v>21342</v>
      </c>
      <c r="AF2881" s="15"/>
      <c r="AG2881" s="10"/>
      <c r="AH2881" s="10"/>
      <c r="AI2881" s="10"/>
      <c r="AJ2881" s="10"/>
      <c r="AK2881" s="10" t="s">
        <v>102</v>
      </c>
      <c r="AL2881" s="10" t="s">
        <v>1773</v>
      </c>
      <c r="AM2881" s="10"/>
      <c r="AN2881" s="10"/>
      <c r="AO2881" s="13" t="b">
        <v>0</v>
      </c>
      <c r="AP2881" s="22" t="s">
        <v>104</v>
      </c>
      <c r="AQ2881" s="10">
        <f ca="1">IFERROR(__xludf.DUMMYFUNCTION("""COMPUTED_VALUE"""),4779480)</f>
        <v>4779480</v>
      </c>
      <c r="AR2881" s="17">
        <v>1553</v>
      </c>
      <c r="AS2881" s="17">
        <v>1341</v>
      </c>
      <c r="AT2881" s="17">
        <v>27137</v>
      </c>
      <c r="AU2881" s="17">
        <v>3.1</v>
      </c>
      <c r="AV2881" s="17">
        <v>0.5</v>
      </c>
      <c r="AW2881" s="10" t="s">
        <v>105</v>
      </c>
      <c r="AX2881" s="17">
        <v>214</v>
      </c>
      <c r="AY2881" s="18">
        <v>20.236390753169278</v>
      </c>
      <c r="AZ2881" s="10"/>
      <c r="BA2881" s="20" t="b">
        <v>0</v>
      </c>
      <c r="BB2881" s="10"/>
      <c r="BC2881" s="17">
        <v>1553</v>
      </c>
      <c r="BD2881" s="17">
        <v>1341</v>
      </c>
      <c r="BE2881" s="17">
        <v>27137</v>
      </c>
      <c r="BF2881" s="17">
        <v>0.5</v>
      </c>
      <c r="BG2881" s="11">
        <f ca="1">IFERROR(__xludf.DUMMYFUNCTION("""COMPUTED_VALUE"""),46006.0416666666)</f>
        <v>46006.041666666599</v>
      </c>
      <c r="BH2881" s="17" t="s">
        <v>105</v>
      </c>
      <c r="BI2881" s="17"/>
      <c r="BJ2881" s="15"/>
      <c r="BK2881" s="15"/>
      <c r="BL2881" s="13" t="b">
        <v>0</v>
      </c>
      <c r="BM2881" s="10"/>
      <c r="BN2881" s="10" t="s">
        <v>118</v>
      </c>
      <c r="BO2881" s="11">
        <v>45995.593055555553</v>
      </c>
      <c r="BP2881" s="11">
        <v>45995.593321759261</v>
      </c>
      <c r="BQ2881" s="15">
        <v>46001.749814814815</v>
      </c>
      <c r="BR2881" s="15">
        <v>46005.415312500001</v>
      </c>
      <c r="BS2881" s="10" t="s">
        <v>118</v>
      </c>
      <c r="BT2881" s="10"/>
      <c r="BU2881" s="10"/>
      <c r="BV2881" s="10"/>
      <c r="BW2881" s="10"/>
      <c r="BX2881" s="10"/>
      <c r="BY2881" s="23"/>
      <c r="BZ2881" s="23"/>
      <c r="CA2881" s="19" t="s">
        <v>21343</v>
      </c>
      <c r="CB2881" s="19" t="s">
        <v>21344</v>
      </c>
      <c r="CC2881" s="23"/>
      <c r="CD2881" s="19" t="s">
        <v>21345</v>
      </c>
      <c r="CE2881" s="23"/>
      <c r="CF2881" s="23"/>
      <c r="CG2881" s="23"/>
      <c r="CH2881" s="23"/>
      <c r="CI2881" s="23"/>
    </row>
    <row r="2882" spans="1:87" x14ac:dyDescent="0.3">
      <c r="A2882" s="9" t="s">
        <v>21346</v>
      </c>
      <c r="B2882" s="10" t="s">
        <v>21347</v>
      </c>
      <c r="C2882" s="11">
        <v>46006.041666666664</v>
      </c>
      <c r="D2882" s="12">
        <v>0.14583333333333334</v>
      </c>
      <c r="E2882" s="11">
        <v>46006.1875</v>
      </c>
      <c r="F2882" s="22" t="s">
        <v>15270</v>
      </c>
      <c r="G2882" s="13" t="b">
        <v>0</v>
      </c>
      <c r="H2882" s="22" t="s">
        <v>15271</v>
      </c>
      <c r="I2882" s="10" t="s">
        <v>3213</v>
      </c>
      <c r="J2882" s="13" t="b">
        <v>0</v>
      </c>
      <c r="K2882" s="13" t="b">
        <v>1</v>
      </c>
      <c r="L2882" s="10" t="s">
        <v>124</v>
      </c>
      <c r="M2882" s="10" t="s">
        <v>91</v>
      </c>
      <c r="N2882" s="10" t="s">
        <v>92</v>
      </c>
      <c r="O2882" s="10"/>
      <c r="P2882" s="10"/>
      <c r="Q2882" s="10" t="s">
        <v>126</v>
      </c>
      <c r="R2882" s="10"/>
      <c r="S2882" s="19" t="s">
        <v>21348</v>
      </c>
      <c r="T2882" s="19" t="s">
        <v>21349</v>
      </c>
      <c r="U2882" s="10" t="s">
        <v>15298</v>
      </c>
      <c r="V2882" s="10" t="s">
        <v>15326</v>
      </c>
      <c r="W2882" s="10" t="s">
        <v>15276</v>
      </c>
      <c r="X2882" s="10" t="s">
        <v>15277</v>
      </c>
      <c r="Y2882" s="10" t="s">
        <v>15277</v>
      </c>
      <c r="Z2882" s="10" t="s">
        <v>99</v>
      </c>
      <c r="AA2882" s="10" t="s">
        <v>131</v>
      </c>
      <c r="AB2882" s="10" t="s">
        <v>15278</v>
      </c>
      <c r="AC2882" s="10" t="s">
        <v>15279</v>
      </c>
      <c r="AD2882" s="10" t="s">
        <v>165</v>
      </c>
      <c r="AE2882" s="10" t="s">
        <v>21350</v>
      </c>
      <c r="AF2882" s="15"/>
      <c r="AG2882" s="10"/>
      <c r="AH2882" s="10"/>
      <c r="AI2882" s="10"/>
      <c r="AJ2882" s="10"/>
      <c r="AK2882" s="10" t="s">
        <v>256</v>
      </c>
      <c r="AL2882" s="10" t="s">
        <v>1773</v>
      </c>
      <c r="AM2882" s="10"/>
      <c r="AN2882" s="10"/>
      <c r="AO2882" s="13" t="b">
        <v>0</v>
      </c>
      <c r="AP2882" s="22" t="s">
        <v>104</v>
      </c>
      <c r="AQ2882" s="10"/>
      <c r="AR2882" s="17"/>
      <c r="AS2882" s="17"/>
      <c r="AT2882" s="17"/>
      <c r="AU2882" s="17"/>
      <c r="AV2882" s="17"/>
      <c r="AW2882" s="10"/>
      <c r="AX2882" s="17"/>
      <c r="AY2882" s="18" t="s">
        <v>257</v>
      </c>
      <c r="AZ2882" s="10"/>
      <c r="BA2882" s="20" t="b">
        <v>0</v>
      </c>
      <c r="BB2882" s="10"/>
      <c r="BC2882" s="17" t="s">
        <v>257</v>
      </c>
      <c r="BD2882" s="17" t="s">
        <v>257</v>
      </c>
      <c r="BE2882" s="17" t="s">
        <v>257</v>
      </c>
      <c r="BF2882" s="17" t="s">
        <v>257</v>
      </c>
      <c r="BG2882" s="11">
        <f ca="1">IFERROR(__xludf.DUMMYFUNCTION("""COMPUTED_VALUE"""),46006.0416666666)</f>
        <v>46006.041666666599</v>
      </c>
      <c r="BH2882" s="17"/>
      <c r="BI2882" s="17"/>
      <c r="BJ2882" s="15"/>
      <c r="BK2882" s="15"/>
      <c r="BL2882" s="13" t="b">
        <v>0</v>
      </c>
      <c r="BM2882" s="10"/>
      <c r="BN2882" s="10" t="s">
        <v>8529</v>
      </c>
      <c r="BO2882" s="11">
        <v>45995.59375</v>
      </c>
      <c r="BP2882" s="11">
        <v>45995.594189814816</v>
      </c>
      <c r="BQ2882" s="15">
        <v>46001.749965277777</v>
      </c>
      <c r="BR2882" s="15"/>
      <c r="BS2882" s="10"/>
      <c r="BT2882" s="10"/>
      <c r="BU2882" s="10"/>
      <c r="BV2882" s="10"/>
      <c r="BW2882" s="10"/>
      <c r="BX2882" s="10"/>
      <c r="BY2882" s="23"/>
      <c r="BZ2882" s="23"/>
      <c r="CA2882" s="19" t="s">
        <v>21351</v>
      </c>
      <c r="CB2882" s="19" t="s">
        <v>21352</v>
      </c>
      <c r="CC2882" s="23"/>
      <c r="CD2882" s="19" t="s">
        <v>21353</v>
      </c>
      <c r="CE2882" s="23"/>
      <c r="CF2882" s="23"/>
      <c r="CG2882" s="23"/>
      <c r="CH2882" s="23"/>
      <c r="CI2882" s="23"/>
    </row>
    <row r="2883" spans="1:87" x14ac:dyDescent="0.3">
      <c r="A2883" s="9" t="s">
        <v>21354</v>
      </c>
      <c r="B2883" s="10" t="s">
        <v>21355</v>
      </c>
      <c r="C2883" s="11">
        <v>46006.184027777781</v>
      </c>
      <c r="D2883" s="12">
        <v>0.14583333333333334</v>
      </c>
      <c r="E2883" s="11">
        <v>46006.329861111109</v>
      </c>
      <c r="F2883" s="22" t="s">
        <v>15270</v>
      </c>
      <c r="G2883" s="13" t="b">
        <v>0</v>
      </c>
      <c r="H2883" s="22" t="s">
        <v>15271</v>
      </c>
      <c r="I2883" s="10" t="s">
        <v>3213</v>
      </c>
      <c r="J2883" s="13" t="b">
        <v>0</v>
      </c>
      <c r="K2883" s="13" t="b">
        <v>1</v>
      </c>
      <c r="L2883" s="10" t="s">
        <v>124</v>
      </c>
      <c r="M2883" s="10" t="s">
        <v>91</v>
      </c>
      <c r="N2883" s="10" t="s">
        <v>92</v>
      </c>
      <c r="O2883" s="19" t="s">
        <v>21356</v>
      </c>
      <c r="P2883" s="10" t="s">
        <v>88</v>
      </c>
      <c r="Q2883" s="10" t="s">
        <v>126</v>
      </c>
      <c r="R2883" s="10"/>
      <c r="S2883" s="19" t="s">
        <v>21357</v>
      </c>
      <c r="T2883" s="19" t="s">
        <v>21358</v>
      </c>
      <c r="U2883" s="10" t="s">
        <v>15519</v>
      </c>
      <c r="V2883" s="10" t="s">
        <v>15289</v>
      </c>
      <c r="W2883" s="10" t="s">
        <v>15276</v>
      </c>
      <c r="X2883" s="10" t="s">
        <v>15277</v>
      </c>
      <c r="Y2883" s="10" t="s">
        <v>15277</v>
      </c>
      <c r="Z2883" s="10" t="s">
        <v>99</v>
      </c>
      <c r="AA2883" s="10" t="s">
        <v>131</v>
      </c>
      <c r="AB2883" s="10" t="s">
        <v>15278</v>
      </c>
      <c r="AC2883" s="10" t="s">
        <v>15279</v>
      </c>
      <c r="AD2883" s="10" t="s">
        <v>165</v>
      </c>
      <c r="AE2883" s="10" t="s">
        <v>21359</v>
      </c>
      <c r="AF2883" s="15"/>
      <c r="AG2883" s="10"/>
      <c r="AH2883" s="10"/>
      <c r="AI2883" s="10"/>
      <c r="AJ2883" s="10"/>
      <c r="AK2883" s="10" t="s">
        <v>102</v>
      </c>
      <c r="AL2883" s="10" t="s">
        <v>1773</v>
      </c>
      <c r="AM2883" s="10"/>
      <c r="AN2883" s="10"/>
      <c r="AO2883" s="13" t="b">
        <v>0</v>
      </c>
      <c r="AP2883" s="22" t="s">
        <v>104</v>
      </c>
      <c r="AQ2883" s="10">
        <f ca="1">IFERROR(__xludf.DUMMYFUNCTION("""COMPUTED_VALUE"""),4779481)</f>
        <v>4779481</v>
      </c>
      <c r="AR2883" s="17">
        <v>2365</v>
      </c>
      <c r="AS2883" s="17">
        <v>1918</v>
      </c>
      <c r="AT2883" s="17">
        <v>31909.5</v>
      </c>
      <c r="AU2883" s="17">
        <v>1.9</v>
      </c>
      <c r="AV2883" s="17">
        <v>0</v>
      </c>
      <c r="AW2883" s="10" t="s">
        <v>105</v>
      </c>
      <c r="AX2883" s="17">
        <v>305</v>
      </c>
      <c r="AY2883" s="18">
        <v>16.636861313868614</v>
      </c>
      <c r="AZ2883" s="10"/>
      <c r="BA2883" s="20" t="b">
        <v>0</v>
      </c>
      <c r="BB2883" s="10"/>
      <c r="BC2883" s="17">
        <v>2365</v>
      </c>
      <c r="BD2883" s="17">
        <v>1918</v>
      </c>
      <c r="BE2883" s="17">
        <v>31909.5</v>
      </c>
      <c r="BF2883" s="17">
        <v>0</v>
      </c>
      <c r="BG2883" s="11">
        <f ca="1">IFERROR(__xludf.DUMMYFUNCTION("""COMPUTED_VALUE"""),46006.1840277777)</f>
        <v>46006.184027777701</v>
      </c>
      <c r="BH2883" s="17" t="s">
        <v>105</v>
      </c>
      <c r="BI2883" s="17"/>
      <c r="BJ2883" s="15"/>
      <c r="BK2883" s="15"/>
      <c r="BL2883" s="13" t="b">
        <v>0</v>
      </c>
      <c r="BM2883" s="10"/>
      <c r="BN2883" s="10" t="s">
        <v>136</v>
      </c>
      <c r="BO2883" s="11">
        <v>45995.594444444447</v>
      </c>
      <c r="BP2883" s="11">
        <v>45995.594953703701</v>
      </c>
      <c r="BQ2883" s="15">
        <v>46006.763807870368</v>
      </c>
      <c r="BR2883" s="15">
        <v>46005.417129629626</v>
      </c>
      <c r="BS2883" s="10"/>
      <c r="BT2883" s="10"/>
      <c r="BU2883" s="10"/>
      <c r="BV2883" s="10"/>
      <c r="BW2883" s="10"/>
      <c r="BX2883" s="10"/>
      <c r="BY2883" s="23"/>
      <c r="BZ2883" s="23"/>
      <c r="CA2883" s="19" t="s">
        <v>21360</v>
      </c>
      <c r="CB2883" s="19" t="s">
        <v>21361</v>
      </c>
      <c r="CC2883" s="23"/>
      <c r="CD2883" s="19" t="s">
        <v>21362</v>
      </c>
      <c r="CE2883" s="23"/>
      <c r="CF2883" s="23"/>
      <c r="CG2883" s="23"/>
      <c r="CH2883" s="23"/>
      <c r="CI2883" s="23"/>
    </row>
    <row r="2884" spans="1:87" x14ac:dyDescent="0.3">
      <c r="A2884" s="9" t="s">
        <v>21363</v>
      </c>
      <c r="B2884" s="10" t="s">
        <v>21364</v>
      </c>
      <c r="C2884" s="11">
        <v>46006.347222222219</v>
      </c>
      <c r="D2884" s="12">
        <v>0.14583333333333334</v>
      </c>
      <c r="E2884" s="11">
        <v>46006.493055555555</v>
      </c>
      <c r="F2884" s="22" t="s">
        <v>15270</v>
      </c>
      <c r="G2884" s="13" t="b">
        <v>0</v>
      </c>
      <c r="H2884" s="22" t="s">
        <v>15271</v>
      </c>
      <c r="I2884" s="10" t="s">
        <v>3213</v>
      </c>
      <c r="J2884" s="13" t="b">
        <v>0</v>
      </c>
      <c r="K2884" s="13" t="b">
        <v>1</v>
      </c>
      <c r="L2884" s="10" t="s">
        <v>124</v>
      </c>
      <c r="M2884" s="10" t="s">
        <v>91</v>
      </c>
      <c r="N2884" s="10" t="s">
        <v>92</v>
      </c>
      <c r="O2884" s="19" t="s">
        <v>21365</v>
      </c>
      <c r="P2884" s="10" t="s">
        <v>3215</v>
      </c>
      <c r="Q2884" s="10" t="s">
        <v>126</v>
      </c>
      <c r="R2884" s="10"/>
      <c r="S2884" s="19" t="s">
        <v>21366</v>
      </c>
      <c r="T2884" s="19" t="s">
        <v>21367</v>
      </c>
      <c r="U2884" s="10" t="s">
        <v>16009</v>
      </c>
      <c r="V2884" s="10" t="s">
        <v>15307</v>
      </c>
      <c r="W2884" s="10" t="s">
        <v>15276</v>
      </c>
      <c r="X2884" s="10" t="s">
        <v>15277</v>
      </c>
      <c r="Y2884" s="10" t="s">
        <v>15277</v>
      </c>
      <c r="Z2884" s="10" t="s">
        <v>99</v>
      </c>
      <c r="AA2884" s="10" t="s">
        <v>131</v>
      </c>
      <c r="AB2884" s="10" t="s">
        <v>15278</v>
      </c>
      <c r="AC2884" s="10" t="s">
        <v>15279</v>
      </c>
      <c r="AD2884" s="10" t="s">
        <v>165</v>
      </c>
      <c r="AE2884" s="10" t="s">
        <v>21368</v>
      </c>
      <c r="AF2884" s="15"/>
      <c r="AG2884" s="10"/>
      <c r="AH2884" s="10"/>
      <c r="AI2884" s="10"/>
      <c r="AJ2884" s="10"/>
      <c r="AK2884" s="10" t="s">
        <v>102</v>
      </c>
      <c r="AL2884" s="10" t="s">
        <v>1773</v>
      </c>
      <c r="AM2884" s="10"/>
      <c r="AN2884" s="10"/>
      <c r="AO2884" s="13" t="b">
        <v>0</v>
      </c>
      <c r="AP2884" s="22" t="s">
        <v>104</v>
      </c>
      <c r="AQ2884" s="10">
        <f ca="1">IFERROR(__xludf.DUMMYFUNCTION("""COMPUTED_VALUE"""),4779483)</f>
        <v>4779483</v>
      </c>
      <c r="AR2884" s="17">
        <v>2340</v>
      </c>
      <c r="AS2884" s="17">
        <v>1852</v>
      </c>
      <c r="AT2884" s="17">
        <v>39990</v>
      </c>
      <c r="AU2884" s="17">
        <v>5.85</v>
      </c>
      <c r="AV2884" s="17">
        <v>0</v>
      </c>
      <c r="AW2884" s="10" t="s">
        <v>105</v>
      </c>
      <c r="AX2884" s="17">
        <v>321</v>
      </c>
      <c r="AY2884" s="18">
        <v>21.592872570194384</v>
      </c>
      <c r="AZ2884" s="10"/>
      <c r="BA2884" s="20" t="b">
        <v>0</v>
      </c>
      <c r="BB2884" s="10"/>
      <c r="BC2884" s="17">
        <v>2340</v>
      </c>
      <c r="BD2884" s="17">
        <v>1852</v>
      </c>
      <c r="BE2884" s="17">
        <v>39990</v>
      </c>
      <c r="BF2884" s="17">
        <v>0</v>
      </c>
      <c r="BG2884" s="11">
        <f ca="1">IFERROR(__xludf.DUMMYFUNCTION("""COMPUTED_VALUE"""),46006.3472222222)</f>
        <v>46006.347222222197</v>
      </c>
      <c r="BH2884" s="17" t="s">
        <v>105</v>
      </c>
      <c r="BI2884" s="17"/>
      <c r="BJ2884" s="15"/>
      <c r="BK2884" s="15"/>
      <c r="BL2884" s="13" t="b">
        <v>0</v>
      </c>
      <c r="BM2884" s="10"/>
      <c r="BN2884" s="10" t="s">
        <v>136</v>
      </c>
      <c r="BO2884" s="11">
        <v>45995.595138888886</v>
      </c>
      <c r="BP2884" s="11">
        <v>45995.595659722225</v>
      </c>
      <c r="BQ2884" s="15">
        <v>46007.79010416667</v>
      </c>
      <c r="BR2884" s="15">
        <v>46005.417256944442</v>
      </c>
      <c r="BS2884" s="10"/>
      <c r="BT2884" s="10"/>
      <c r="BU2884" s="10"/>
      <c r="BV2884" s="10"/>
      <c r="BW2884" s="10"/>
      <c r="BX2884" s="10"/>
      <c r="BY2884" s="23"/>
      <c r="BZ2884" s="23"/>
      <c r="CA2884" s="19" t="s">
        <v>21369</v>
      </c>
      <c r="CB2884" s="19" t="s">
        <v>21370</v>
      </c>
      <c r="CC2884" s="23"/>
      <c r="CD2884" s="19" t="s">
        <v>21371</v>
      </c>
      <c r="CE2884" s="23"/>
      <c r="CF2884" s="23"/>
      <c r="CG2884" s="23"/>
      <c r="CH2884" s="23"/>
      <c r="CI2884" s="23"/>
    </row>
    <row r="2885" spans="1:87" x14ac:dyDescent="0.3">
      <c r="A2885" s="9" t="s">
        <v>21372</v>
      </c>
      <c r="B2885" s="10" t="s">
        <v>21373</v>
      </c>
      <c r="C2885" s="11">
        <v>46007.34375</v>
      </c>
      <c r="D2885" s="12">
        <v>0.14583333333333334</v>
      </c>
      <c r="E2885" s="11">
        <v>46007.489583333336</v>
      </c>
      <c r="F2885" s="22" t="s">
        <v>15270</v>
      </c>
      <c r="G2885" s="13" t="b">
        <v>0</v>
      </c>
      <c r="H2885" s="22" t="s">
        <v>15271</v>
      </c>
      <c r="I2885" s="10" t="s">
        <v>3213</v>
      </c>
      <c r="J2885" s="13" t="b">
        <v>0</v>
      </c>
      <c r="K2885" s="13" t="b">
        <v>1</v>
      </c>
      <c r="L2885" s="10" t="s">
        <v>124</v>
      </c>
      <c r="M2885" s="10" t="s">
        <v>91</v>
      </c>
      <c r="N2885" s="10" t="s">
        <v>92</v>
      </c>
      <c r="O2885" s="19" t="s">
        <v>21374</v>
      </c>
      <c r="P2885" s="10" t="s">
        <v>3215</v>
      </c>
      <c r="Q2885" s="10" t="s">
        <v>126</v>
      </c>
      <c r="R2885" s="10"/>
      <c r="S2885" s="19" t="s">
        <v>21375</v>
      </c>
      <c r="T2885" s="19" t="s">
        <v>21376</v>
      </c>
      <c r="U2885" s="10" t="s">
        <v>15490</v>
      </c>
      <c r="V2885" s="10" t="s">
        <v>15537</v>
      </c>
      <c r="W2885" s="10" t="s">
        <v>15276</v>
      </c>
      <c r="X2885" s="10" t="s">
        <v>15277</v>
      </c>
      <c r="Y2885" s="10" t="s">
        <v>15277</v>
      </c>
      <c r="Z2885" s="10" t="s">
        <v>99</v>
      </c>
      <c r="AA2885" s="10" t="s">
        <v>131</v>
      </c>
      <c r="AB2885" s="10" t="s">
        <v>15278</v>
      </c>
      <c r="AC2885" s="10" t="s">
        <v>15279</v>
      </c>
      <c r="AD2885" s="10" t="s">
        <v>165</v>
      </c>
      <c r="AE2885" s="10" t="s">
        <v>21377</v>
      </c>
      <c r="AF2885" s="15"/>
      <c r="AG2885" s="10"/>
      <c r="AH2885" s="10"/>
      <c r="AI2885" s="10"/>
      <c r="AJ2885" s="10"/>
      <c r="AK2885" s="10" t="s">
        <v>102</v>
      </c>
      <c r="AL2885" s="10" t="s">
        <v>1773</v>
      </c>
      <c r="AM2885" s="10"/>
      <c r="AN2885" s="10"/>
      <c r="AO2885" s="13" t="b">
        <v>0</v>
      </c>
      <c r="AP2885" s="22" t="s">
        <v>104</v>
      </c>
      <c r="AQ2885" s="10">
        <f ca="1">IFERROR(__xludf.DUMMYFUNCTION("""COMPUTED_VALUE"""),4779486)</f>
        <v>4779486</v>
      </c>
      <c r="AR2885" s="17">
        <v>2057</v>
      </c>
      <c r="AS2885" s="17">
        <v>1643</v>
      </c>
      <c r="AT2885" s="17">
        <v>34115.25</v>
      </c>
      <c r="AU2885" s="17">
        <v>9.9</v>
      </c>
      <c r="AV2885" s="17">
        <v>0</v>
      </c>
      <c r="AW2885" s="10" t="s">
        <v>105</v>
      </c>
      <c r="AX2885" s="17">
        <v>263</v>
      </c>
      <c r="AY2885" s="18">
        <v>20.763998782714548</v>
      </c>
      <c r="AZ2885" s="10"/>
      <c r="BA2885" s="20" t="b">
        <v>0</v>
      </c>
      <c r="BB2885" s="10"/>
      <c r="BC2885" s="17">
        <v>2057</v>
      </c>
      <c r="BD2885" s="17">
        <v>1643</v>
      </c>
      <c r="BE2885" s="17">
        <v>34115.25</v>
      </c>
      <c r="BF2885" s="17">
        <v>0</v>
      </c>
      <c r="BG2885" s="11">
        <f ca="1">IFERROR(__xludf.DUMMYFUNCTION("""COMPUTED_VALUE"""),46007.34375)</f>
        <v>46007.34375</v>
      </c>
      <c r="BH2885" s="17" t="s">
        <v>105</v>
      </c>
      <c r="BI2885" s="17"/>
      <c r="BJ2885" s="15"/>
      <c r="BK2885" s="15"/>
      <c r="BL2885" s="13" t="b">
        <v>0</v>
      </c>
      <c r="BM2885" s="10"/>
      <c r="BN2885" s="10" t="s">
        <v>136</v>
      </c>
      <c r="BO2885" s="11">
        <v>45995.595833333333</v>
      </c>
      <c r="BP2885" s="11">
        <v>45995.596412037034</v>
      </c>
      <c r="BQ2885" s="15">
        <v>46006.764236111114</v>
      </c>
      <c r="BR2885" s="15">
        <v>46005.418437499997</v>
      </c>
      <c r="BS2885" s="10"/>
      <c r="BT2885" s="10"/>
      <c r="BU2885" s="10"/>
      <c r="BV2885" s="10"/>
      <c r="BW2885" s="10"/>
      <c r="BX2885" s="10"/>
      <c r="BY2885" s="23"/>
      <c r="BZ2885" s="23"/>
      <c r="CA2885" s="19" t="s">
        <v>21378</v>
      </c>
      <c r="CB2885" s="19" t="s">
        <v>21379</v>
      </c>
      <c r="CC2885" s="23"/>
      <c r="CD2885" s="19" t="s">
        <v>21380</v>
      </c>
      <c r="CE2885" s="23"/>
      <c r="CF2885" s="23"/>
      <c r="CG2885" s="23"/>
      <c r="CH2885" s="23"/>
      <c r="CI2885" s="23"/>
    </row>
    <row r="2886" spans="1:87" x14ac:dyDescent="0.3">
      <c r="A2886" s="9" t="s">
        <v>21381</v>
      </c>
      <c r="B2886" s="10" t="s">
        <v>21382</v>
      </c>
      <c r="C2886" s="11">
        <v>46008.354166666664</v>
      </c>
      <c r="D2886" s="12">
        <v>0.16666666666666666</v>
      </c>
      <c r="E2886" s="11">
        <v>46008.520833333336</v>
      </c>
      <c r="F2886" s="22" t="s">
        <v>21383</v>
      </c>
      <c r="G2886" s="13" t="b">
        <v>0</v>
      </c>
      <c r="H2886" s="22" t="s">
        <v>21384</v>
      </c>
      <c r="I2886" s="10" t="s">
        <v>9131</v>
      </c>
      <c r="J2886" s="13" t="b">
        <v>0</v>
      </c>
      <c r="K2886" s="13" t="b">
        <v>1</v>
      </c>
      <c r="L2886" s="10" t="s">
        <v>124</v>
      </c>
      <c r="M2886" s="10" t="s">
        <v>91</v>
      </c>
      <c r="N2886" s="10" t="s">
        <v>92</v>
      </c>
      <c r="O2886" s="19" t="s">
        <v>21385</v>
      </c>
      <c r="P2886" s="10"/>
      <c r="Q2886" s="10" t="s">
        <v>126</v>
      </c>
      <c r="R2886" s="10"/>
      <c r="S2886" s="19" t="s">
        <v>21386</v>
      </c>
      <c r="T2886" s="10"/>
      <c r="U2886" s="10"/>
      <c r="V2886" s="10"/>
      <c r="W2886" s="10" t="s">
        <v>21387</v>
      </c>
      <c r="X2886" s="10" t="s">
        <v>216</v>
      </c>
      <c r="Y2886" s="10" t="s">
        <v>216</v>
      </c>
      <c r="Z2886" s="10" t="s">
        <v>99</v>
      </c>
      <c r="AA2886" s="10" t="s">
        <v>131</v>
      </c>
      <c r="AB2886" s="10" t="s">
        <v>21388</v>
      </c>
      <c r="AC2886" s="10" t="s">
        <v>21389</v>
      </c>
      <c r="AD2886" s="10" t="s">
        <v>165</v>
      </c>
      <c r="AE2886" s="10" t="s">
        <v>21390</v>
      </c>
      <c r="AF2886" s="15"/>
      <c r="AG2886" s="10"/>
      <c r="AH2886" s="10"/>
      <c r="AI2886" s="10"/>
      <c r="AJ2886" s="10"/>
      <c r="AK2886" s="10" t="s">
        <v>102</v>
      </c>
      <c r="AL2886" s="10" t="s">
        <v>7897</v>
      </c>
      <c r="AM2886" s="10"/>
      <c r="AN2886" s="10"/>
      <c r="AO2886" s="13" t="b">
        <v>0</v>
      </c>
      <c r="AP2886" s="22" t="s">
        <v>221</v>
      </c>
      <c r="AQ2886" s="10">
        <f ca="1">IFERROR(__xludf.DUMMYFUNCTION("""COMPUTED_VALUE"""),18249)</f>
        <v>18249</v>
      </c>
      <c r="AR2886" s="17">
        <v>0</v>
      </c>
      <c r="AS2886" s="17">
        <v>0</v>
      </c>
      <c r="AT2886" s="17">
        <v>0</v>
      </c>
      <c r="AU2886" s="17">
        <v>0</v>
      </c>
      <c r="AV2886" s="17">
        <v>0</v>
      </c>
      <c r="AW2886" s="10" t="s">
        <v>105</v>
      </c>
      <c r="AX2886" s="17"/>
      <c r="AY2886" s="18">
        <v>26.893153773137161</v>
      </c>
      <c r="AZ2886" s="10" t="s">
        <v>106</v>
      </c>
      <c r="BA2886" s="20" t="b">
        <v>1</v>
      </c>
      <c r="BB2886" s="10"/>
      <c r="BC2886" s="17">
        <v>64445</v>
      </c>
      <c r="BD2886" s="17">
        <v>42140</v>
      </c>
      <c r="BE2886" s="17">
        <v>1133277.5</v>
      </c>
      <c r="BF2886" s="17">
        <v>218.7</v>
      </c>
      <c r="BG2886" s="11">
        <f ca="1">IFERROR(__xludf.DUMMYFUNCTION("""COMPUTED_VALUE"""),46008.3541666666)</f>
        <v>46008.354166666599</v>
      </c>
      <c r="BH2886" s="17" t="s">
        <v>105</v>
      </c>
      <c r="BI2886" s="17"/>
      <c r="BJ2886" s="15"/>
      <c r="BK2886" s="15"/>
      <c r="BL2886" s="13" t="b">
        <v>0</v>
      </c>
      <c r="BM2886" s="10"/>
      <c r="BN2886" s="10" t="s">
        <v>278</v>
      </c>
      <c r="BO2886" s="11">
        <v>45995.69027777778</v>
      </c>
      <c r="BP2886" s="11">
        <v>46003.609837962962</v>
      </c>
      <c r="BQ2886" s="15">
        <v>46003.83556712963</v>
      </c>
      <c r="BR2886" s="15">
        <v>46006.577708333331</v>
      </c>
      <c r="BS2886" s="10" t="s">
        <v>278</v>
      </c>
      <c r="BT2886" s="10" t="s">
        <v>99</v>
      </c>
      <c r="BU2886" s="10" t="s">
        <v>5046</v>
      </c>
      <c r="BV2886" s="10" t="s">
        <v>281</v>
      </c>
      <c r="BW2886" s="10"/>
      <c r="BX2886" s="10"/>
      <c r="BY2886" s="23"/>
      <c r="BZ2886" s="23"/>
      <c r="CA2886" s="19" t="s">
        <v>21391</v>
      </c>
      <c r="CB2886" s="23"/>
      <c r="CC2886" s="23"/>
      <c r="CD2886" s="19" t="s">
        <v>21392</v>
      </c>
      <c r="CE2886" s="23"/>
      <c r="CF2886" s="23"/>
      <c r="CG2886" s="23"/>
      <c r="CH2886" s="23"/>
      <c r="CI2886" s="23"/>
    </row>
    <row r="2887" spans="1:87" x14ac:dyDescent="0.3">
      <c r="A2887" s="9" t="s">
        <v>21393</v>
      </c>
      <c r="B2887" s="10" t="s">
        <v>21394</v>
      </c>
      <c r="C2887" s="11">
        <v>46008.354166666664</v>
      </c>
      <c r="D2887" s="12">
        <v>0.16666666666666666</v>
      </c>
      <c r="E2887" s="11">
        <v>46008.520833333336</v>
      </c>
      <c r="F2887" s="22" t="s">
        <v>21383</v>
      </c>
      <c r="G2887" s="13" t="b">
        <v>0</v>
      </c>
      <c r="H2887" s="22" t="s">
        <v>21384</v>
      </c>
      <c r="I2887" s="10" t="s">
        <v>9131</v>
      </c>
      <c r="J2887" s="13" t="b">
        <v>0</v>
      </c>
      <c r="K2887" s="13" t="b">
        <v>1</v>
      </c>
      <c r="L2887" s="10" t="s">
        <v>124</v>
      </c>
      <c r="M2887" s="10" t="s">
        <v>91</v>
      </c>
      <c r="N2887" s="10" t="s">
        <v>92</v>
      </c>
      <c r="O2887" s="19" t="s">
        <v>21395</v>
      </c>
      <c r="P2887" s="10"/>
      <c r="Q2887" s="10" t="s">
        <v>126</v>
      </c>
      <c r="R2887" s="10"/>
      <c r="S2887" s="19" t="s">
        <v>21396</v>
      </c>
      <c r="T2887" s="10"/>
      <c r="U2887" s="10"/>
      <c r="V2887" s="10"/>
      <c r="W2887" s="10" t="s">
        <v>21387</v>
      </c>
      <c r="X2887" s="10" t="s">
        <v>216</v>
      </c>
      <c r="Y2887" s="10" t="s">
        <v>216</v>
      </c>
      <c r="Z2887" s="10" t="s">
        <v>99</v>
      </c>
      <c r="AA2887" s="10" t="s">
        <v>131</v>
      </c>
      <c r="AB2887" s="10" t="s">
        <v>21388</v>
      </c>
      <c r="AC2887" s="10" t="s">
        <v>21389</v>
      </c>
      <c r="AD2887" s="10" t="s">
        <v>165</v>
      </c>
      <c r="AE2887" s="10" t="s">
        <v>21397</v>
      </c>
      <c r="AF2887" s="15"/>
      <c r="AG2887" s="10"/>
      <c r="AH2887" s="10"/>
      <c r="AI2887" s="10"/>
      <c r="AJ2887" s="10"/>
      <c r="AK2887" s="10" t="s">
        <v>102</v>
      </c>
      <c r="AL2887" s="10" t="s">
        <v>7897</v>
      </c>
      <c r="AM2887" s="10"/>
      <c r="AN2887" s="10"/>
      <c r="AO2887" s="13" t="b">
        <v>0</v>
      </c>
      <c r="AP2887" s="22" t="s">
        <v>221</v>
      </c>
      <c r="AQ2887" s="10">
        <f ca="1">IFERROR(__xludf.DUMMYFUNCTION("""COMPUTED_VALUE"""),18250)</f>
        <v>18250</v>
      </c>
      <c r="AR2887" s="17">
        <v>0</v>
      </c>
      <c r="AS2887" s="17">
        <v>0</v>
      </c>
      <c r="AT2887" s="17">
        <v>0</v>
      </c>
      <c r="AU2887" s="17">
        <v>0</v>
      </c>
      <c r="AV2887" s="17">
        <v>0</v>
      </c>
      <c r="AW2887" s="10" t="s">
        <v>105</v>
      </c>
      <c r="AX2887" s="17"/>
      <c r="AY2887" s="18">
        <v>16.187171921358939</v>
      </c>
      <c r="AZ2887" s="10" t="s">
        <v>106</v>
      </c>
      <c r="BA2887" s="20" t="b">
        <v>1</v>
      </c>
      <c r="BB2887" s="10"/>
      <c r="BC2887" s="17">
        <v>45584</v>
      </c>
      <c r="BD2887" s="17">
        <v>30671</v>
      </c>
      <c r="BE2887" s="17">
        <v>496476.75</v>
      </c>
      <c r="BF2887" s="17">
        <v>58.9</v>
      </c>
      <c r="BG2887" s="11">
        <f ca="1">IFERROR(__xludf.DUMMYFUNCTION("""COMPUTED_VALUE"""),46008.3541666666)</f>
        <v>46008.354166666599</v>
      </c>
      <c r="BH2887" s="17" t="s">
        <v>105</v>
      </c>
      <c r="BI2887" s="17"/>
      <c r="BJ2887" s="15"/>
      <c r="BK2887" s="15"/>
      <c r="BL2887" s="13" t="b">
        <v>0</v>
      </c>
      <c r="BM2887" s="10"/>
      <c r="BN2887" s="10" t="s">
        <v>278</v>
      </c>
      <c r="BO2887" s="11">
        <v>45995.696527777778</v>
      </c>
      <c r="BP2887" s="11">
        <v>46003.610162037039</v>
      </c>
      <c r="BQ2887" s="15">
        <v>46003.835868055554</v>
      </c>
      <c r="BR2887" s="15">
        <v>46006.596990740742</v>
      </c>
      <c r="BS2887" s="10" t="s">
        <v>278</v>
      </c>
      <c r="BT2887" s="10" t="s">
        <v>99</v>
      </c>
      <c r="BU2887" s="10" t="s">
        <v>931</v>
      </c>
      <c r="BV2887" s="10"/>
      <c r="BW2887" s="10"/>
      <c r="BX2887" s="10"/>
      <c r="BY2887" s="23"/>
      <c r="BZ2887" s="23"/>
      <c r="CA2887" s="19" t="s">
        <v>21398</v>
      </c>
      <c r="CB2887" s="23"/>
      <c r="CC2887" s="23"/>
      <c r="CD2887" s="19" t="s">
        <v>21399</v>
      </c>
      <c r="CE2887" s="23"/>
      <c r="CF2887" s="23"/>
      <c r="CG2887" s="23"/>
      <c r="CH2887" s="23"/>
      <c r="CI2887" s="23"/>
    </row>
    <row r="2888" spans="1:87" x14ac:dyDescent="0.3">
      <c r="A2888" s="9" t="s">
        <v>21400</v>
      </c>
      <c r="B2888" s="10" t="s">
        <v>21382</v>
      </c>
      <c r="C2888" s="11">
        <v>46008.666666666664</v>
      </c>
      <c r="D2888" s="12">
        <v>0.20833333333333334</v>
      </c>
      <c r="E2888" s="11">
        <v>46008.875</v>
      </c>
      <c r="F2888" s="22" t="s">
        <v>21383</v>
      </c>
      <c r="G2888" s="13" t="b">
        <v>0</v>
      </c>
      <c r="H2888" s="22" t="s">
        <v>21384</v>
      </c>
      <c r="I2888" s="10" t="s">
        <v>9131</v>
      </c>
      <c r="J2888" s="13" t="b">
        <v>0</v>
      </c>
      <c r="K2888" s="13" t="b">
        <v>1</v>
      </c>
      <c r="L2888" s="10" t="s">
        <v>124</v>
      </c>
      <c r="M2888" s="10" t="s">
        <v>91</v>
      </c>
      <c r="N2888" s="10" t="s">
        <v>92</v>
      </c>
      <c r="O2888" s="19" t="s">
        <v>21385</v>
      </c>
      <c r="P2888" s="10"/>
      <c r="Q2888" s="10" t="s">
        <v>126</v>
      </c>
      <c r="R2888" s="10"/>
      <c r="S2888" s="19" t="s">
        <v>21401</v>
      </c>
      <c r="T2888" s="10"/>
      <c r="U2888" s="10"/>
      <c r="V2888" s="10"/>
      <c r="W2888" s="10" t="s">
        <v>21387</v>
      </c>
      <c r="X2888" s="10" t="s">
        <v>216</v>
      </c>
      <c r="Y2888" s="10" t="s">
        <v>216</v>
      </c>
      <c r="Z2888" s="10" t="s">
        <v>99</v>
      </c>
      <c r="AA2888" s="10" t="s">
        <v>131</v>
      </c>
      <c r="AB2888" s="10" t="s">
        <v>21388</v>
      </c>
      <c r="AC2888" s="10" t="s">
        <v>21389</v>
      </c>
      <c r="AD2888" s="10" t="s">
        <v>165</v>
      </c>
      <c r="AE2888" s="10" t="s">
        <v>21390</v>
      </c>
      <c r="AF2888" s="15"/>
      <c r="AG2888" s="10"/>
      <c r="AH2888" s="10"/>
      <c r="AI2888" s="10"/>
      <c r="AJ2888" s="10"/>
      <c r="AK2888" s="10" t="s">
        <v>102</v>
      </c>
      <c r="AL2888" s="10" t="s">
        <v>7897</v>
      </c>
      <c r="AM2888" s="10"/>
      <c r="AN2888" s="10"/>
      <c r="AO2888" s="13" t="b">
        <v>0</v>
      </c>
      <c r="AP2888" s="22" t="s">
        <v>221</v>
      </c>
      <c r="AQ2888" s="10">
        <f ca="1">IFERROR(__xludf.DUMMYFUNCTION("""COMPUTED_VALUE"""),18249)</f>
        <v>18249</v>
      </c>
      <c r="AR2888" s="17">
        <v>0</v>
      </c>
      <c r="AS2888" s="17">
        <v>0</v>
      </c>
      <c r="AT2888" s="17">
        <v>0</v>
      </c>
      <c r="AU2888" s="17">
        <v>0</v>
      </c>
      <c r="AV2888" s="17">
        <v>0</v>
      </c>
      <c r="AW2888" s="10" t="s">
        <v>105</v>
      </c>
      <c r="AX2888" s="17"/>
      <c r="AY2888" s="18">
        <v>18.322120708748617</v>
      </c>
      <c r="AZ2888" s="10" t="s">
        <v>106</v>
      </c>
      <c r="BA2888" s="20" t="b">
        <v>1</v>
      </c>
      <c r="BB2888" s="10"/>
      <c r="BC2888" s="17">
        <v>79008</v>
      </c>
      <c r="BD2888" s="17">
        <v>52374</v>
      </c>
      <c r="BE2888" s="17">
        <v>959602.75</v>
      </c>
      <c r="BF2888" s="17">
        <v>88.4</v>
      </c>
      <c r="BG2888" s="11">
        <f ca="1">IFERROR(__xludf.DUMMYFUNCTION("""COMPUTED_VALUE"""),46008.6666666666)</f>
        <v>46008.666666666599</v>
      </c>
      <c r="BH2888" s="17" t="s">
        <v>105</v>
      </c>
      <c r="BI2888" s="17"/>
      <c r="BJ2888" s="15"/>
      <c r="BK2888" s="15"/>
      <c r="BL2888" s="13" t="b">
        <v>0</v>
      </c>
      <c r="BM2888" s="10"/>
      <c r="BN2888" s="10" t="s">
        <v>278</v>
      </c>
      <c r="BO2888" s="11">
        <v>45995.697916666664</v>
      </c>
      <c r="BP2888" s="11">
        <v>45995.698599537034</v>
      </c>
      <c r="BQ2888" s="15">
        <v>46003.836134259262</v>
      </c>
      <c r="BR2888" s="15">
        <v>46006.577870370369</v>
      </c>
      <c r="BS2888" s="10" t="s">
        <v>278</v>
      </c>
      <c r="BT2888" s="10" t="s">
        <v>99</v>
      </c>
      <c r="BU2888" s="10" t="s">
        <v>5046</v>
      </c>
      <c r="BV2888" s="10"/>
      <c r="BW2888" s="10"/>
      <c r="BX2888" s="10"/>
      <c r="BY2888" s="23"/>
      <c r="BZ2888" s="23"/>
      <c r="CA2888" s="19" t="s">
        <v>21402</v>
      </c>
      <c r="CB2888" s="23"/>
      <c r="CC2888" s="23"/>
      <c r="CD2888" s="19" t="s">
        <v>21403</v>
      </c>
      <c r="CE2888" s="23"/>
      <c r="CF2888" s="23"/>
      <c r="CG2888" s="23"/>
      <c r="CH2888" s="23"/>
      <c r="CI2888" s="23"/>
    </row>
    <row r="2889" spans="1:87" x14ac:dyDescent="0.3">
      <c r="A2889" s="9" t="s">
        <v>21404</v>
      </c>
      <c r="B2889" s="10" t="s">
        <v>21394</v>
      </c>
      <c r="C2889" s="11">
        <v>46008.666666666664</v>
      </c>
      <c r="D2889" s="12">
        <v>0.20833333333333334</v>
      </c>
      <c r="E2889" s="11">
        <v>46008.875</v>
      </c>
      <c r="F2889" s="22" t="s">
        <v>21383</v>
      </c>
      <c r="G2889" s="13" t="b">
        <v>0</v>
      </c>
      <c r="H2889" s="22" t="s">
        <v>21384</v>
      </c>
      <c r="I2889" s="10" t="s">
        <v>9131</v>
      </c>
      <c r="J2889" s="13" t="b">
        <v>0</v>
      </c>
      <c r="K2889" s="13" t="b">
        <v>1</v>
      </c>
      <c r="L2889" s="10" t="s">
        <v>124</v>
      </c>
      <c r="M2889" s="10" t="s">
        <v>91</v>
      </c>
      <c r="N2889" s="10" t="s">
        <v>92</v>
      </c>
      <c r="O2889" s="19" t="s">
        <v>21395</v>
      </c>
      <c r="P2889" s="10"/>
      <c r="Q2889" s="10" t="s">
        <v>126</v>
      </c>
      <c r="R2889" s="10"/>
      <c r="S2889" s="19" t="s">
        <v>21405</v>
      </c>
      <c r="T2889" s="10"/>
      <c r="U2889" s="10"/>
      <c r="V2889" s="10"/>
      <c r="W2889" s="10" t="s">
        <v>21387</v>
      </c>
      <c r="X2889" s="10" t="s">
        <v>216</v>
      </c>
      <c r="Y2889" s="10" t="s">
        <v>216</v>
      </c>
      <c r="Z2889" s="10" t="s">
        <v>99</v>
      </c>
      <c r="AA2889" s="10" t="s">
        <v>131</v>
      </c>
      <c r="AB2889" s="10" t="s">
        <v>21388</v>
      </c>
      <c r="AC2889" s="10" t="s">
        <v>21389</v>
      </c>
      <c r="AD2889" s="10" t="s">
        <v>165</v>
      </c>
      <c r="AE2889" s="10" t="s">
        <v>21397</v>
      </c>
      <c r="AF2889" s="15"/>
      <c r="AG2889" s="10"/>
      <c r="AH2889" s="10"/>
      <c r="AI2889" s="10"/>
      <c r="AJ2889" s="10"/>
      <c r="AK2889" s="10" t="s">
        <v>102</v>
      </c>
      <c r="AL2889" s="10" t="s">
        <v>7897</v>
      </c>
      <c r="AM2889" s="10"/>
      <c r="AN2889" s="10"/>
      <c r="AO2889" s="13" t="b">
        <v>0</v>
      </c>
      <c r="AP2889" s="22" t="s">
        <v>221</v>
      </c>
      <c r="AQ2889" s="10">
        <f ca="1">IFERROR(__xludf.DUMMYFUNCTION("""COMPUTED_VALUE"""),18250)</f>
        <v>18250</v>
      </c>
      <c r="AR2889" s="17">
        <v>0</v>
      </c>
      <c r="AS2889" s="17">
        <v>0</v>
      </c>
      <c r="AT2889" s="17">
        <v>0</v>
      </c>
      <c r="AU2889" s="17">
        <v>0</v>
      </c>
      <c r="AV2889" s="17">
        <v>0</v>
      </c>
      <c r="AW2889" s="10" t="s">
        <v>105</v>
      </c>
      <c r="AX2889" s="17"/>
      <c r="AY2889" s="18">
        <v>24.909056803023567</v>
      </c>
      <c r="AZ2889" s="10" t="s">
        <v>106</v>
      </c>
      <c r="BA2889" s="20" t="b">
        <v>1</v>
      </c>
      <c r="BB2889" s="10"/>
      <c r="BC2889" s="17">
        <v>113990</v>
      </c>
      <c r="BD2889" s="17">
        <v>71968</v>
      </c>
      <c r="BE2889" s="17">
        <v>1792655</v>
      </c>
      <c r="BF2889" s="17">
        <v>194.1</v>
      </c>
      <c r="BG2889" s="11">
        <f ca="1">IFERROR(__xludf.DUMMYFUNCTION("""COMPUTED_VALUE"""),46008.6666666666)</f>
        <v>46008.666666666599</v>
      </c>
      <c r="BH2889" s="17" t="s">
        <v>105</v>
      </c>
      <c r="BI2889" s="17"/>
      <c r="BJ2889" s="15"/>
      <c r="BK2889" s="15"/>
      <c r="BL2889" s="13" t="b">
        <v>0</v>
      </c>
      <c r="BM2889" s="10"/>
      <c r="BN2889" s="10" t="s">
        <v>278</v>
      </c>
      <c r="BO2889" s="11">
        <v>45995.699305555558</v>
      </c>
      <c r="BP2889" s="11">
        <v>45995.69940972222</v>
      </c>
      <c r="BQ2889" s="15">
        <v>46003.836342592593</v>
      </c>
      <c r="BR2889" s="15">
        <v>46006.599826388891</v>
      </c>
      <c r="BS2889" s="10" t="s">
        <v>278</v>
      </c>
      <c r="BT2889" s="10" t="s">
        <v>99</v>
      </c>
      <c r="BU2889" s="10" t="s">
        <v>931</v>
      </c>
      <c r="BV2889" s="10"/>
      <c r="BW2889" s="10"/>
      <c r="BX2889" s="10"/>
      <c r="BY2889" s="23"/>
      <c r="BZ2889" s="23"/>
      <c r="CA2889" s="19" t="s">
        <v>21406</v>
      </c>
      <c r="CB2889" s="23"/>
      <c r="CC2889" s="23"/>
      <c r="CD2889" s="19" t="s">
        <v>21407</v>
      </c>
      <c r="CE2889" s="23"/>
      <c r="CF2889" s="23"/>
      <c r="CG2889" s="23"/>
      <c r="CH2889" s="23"/>
      <c r="CI2889" s="23"/>
    </row>
    <row r="2890" spans="1:87" x14ac:dyDescent="0.3">
      <c r="A2890" s="9" t="s">
        <v>21408</v>
      </c>
      <c r="B2890" s="10" t="s">
        <v>21382</v>
      </c>
      <c r="C2890" s="11">
        <v>46009.354166666664</v>
      </c>
      <c r="D2890" s="12">
        <v>0.16666666666666666</v>
      </c>
      <c r="E2890" s="11">
        <v>46009.520833333336</v>
      </c>
      <c r="F2890" s="22" t="s">
        <v>21383</v>
      </c>
      <c r="G2890" s="13" t="b">
        <v>0</v>
      </c>
      <c r="H2890" s="22" t="s">
        <v>21384</v>
      </c>
      <c r="I2890" s="10" t="s">
        <v>9131</v>
      </c>
      <c r="J2890" s="13" t="b">
        <v>0</v>
      </c>
      <c r="K2890" s="13" t="b">
        <v>1</v>
      </c>
      <c r="L2890" s="10" t="s">
        <v>124</v>
      </c>
      <c r="M2890" s="10" t="s">
        <v>91</v>
      </c>
      <c r="N2890" s="10" t="s">
        <v>92</v>
      </c>
      <c r="O2890" s="19" t="s">
        <v>21385</v>
      </c>
      <c r="P2890" s="10"/>
      <c r="Q2890" s="10" t="s">
        <v>126</v>
      </c>
      <c r="R2890" s="10"/>
      <c r="S2890" s="19" t="s">
        <v>21409</v>
      </c>
      <c r="T2890" s="10"/>
      <c r="U2890" s="10"/>
      <c r="V2890" s="10"/>
      <c r="W2890" s="10" t="s">
        <v>21387</v>
      </c>
      <c r="X2890" s="10" t="s">
        <v>216</v>
      </c>
      <c r="Y2890" s="10" t="s">
        <v>216</v>
      </c>
      <c r="Z2890" s="10" t="s">
        <v>99</v>
      </c>
      <c r="AA2890" s="10" t="s">
        <v>131</v>
      </c>
      <c r="AB2890" s="10" t="s">
        <v>21388</v>
      </c>
      <c r="AC2890" s="10" t="s">
        <v>21389</v>
      </c>
      <c r="AD2890" s="10" t="s">
        <v>165</v>
      </c>
      <c r="AE2890" s="10" t="s">
        <v>21390</v>
      </c>
      <c r="AF2890" s="15"/>
      <c r="AG2890" s="10"/>
      <c r="AH2890" s="10"/>
      <c r="AI2890" s="10"/>
      <c r="AJ2890" s="10"/>
      <c r="AK2890" s="10" t="s">
        <v>102</v>
      </c>
      <c r="AL2890" s="10" t="s">
        <v>7897</v>
      </c>
      <c r="AM2890" s="10"/>
      <c r="AN2890" s="10"/>
      <c r="AO2890" s="13" t="b">
        <v>0</v>
      </c>
      <c r="AP2890" s="22" t="s">
        <v>221</v>
      </c>
      <c r="AQ2890" s="10">
        <f ca="1">IFERROR(__xludf.DUMMYFUNCTION("""COMPUTED_VALUE"""),18249)</f>
        <v>18249</v>
      </c>
      <c r="AR2890" s="17">
        <v>0</v>
      </c>
      <c r="AS2890" s="17">
        <v>0</v>
      </c>
      <c r="AT2890" s="17">
        <v>0</v>
      </c>
      <c r="AU2890" s="17">
        <v>0</v>
      </c>
      <c r="AV2890" s="17">
        <v>0</v>
      </c>
      <c r="AW2890" s="10" t="s">
        <v>105</v>
      </c>
      <c r="AX2890" s="17"/>
      <c r="AY2890" s="18">
        <v>27.011917313473013</v>
      </c>
      <c r="AZ2890" s="10" t="s">
        <v>106</v>
      </c>
      <c r="BA2890" s="20" t="b">
        <v>1</v>
      </c>
      <c r="BB2890" s="10"/>
      <c r="BC2890" s="17">
        <v>72602</v>
      </c>
      <c r="BD2890" s="17">
        <v>44578</v>
      </c>
      <c r="BE2890" s="17">
        <v>1204137.25</v>
      </c>
      <c r="BF2890" s="17">
        <v>93.449999999999989</v>
      </c>
      <c r="BG2890" s="11">
        <f ca="1">IFERROR(__xludf.DUMMYFUNCTION("""COMPUTED_VALUE"""),46009.3541666666)</f>
        <v>46009.354166666599</v>
      </c>
      <c r="BH2890" s="17" t="s">
        <v>105</v>
      </c>
      <c r="BI2890" s="17"/>
      <c r="BJ2890" s="15"/>
      <c r="BK2890" s="15"/>
      <c r="BL2890" s="13" t="b">
        <v>0</v>
      </c>
      <c r="BM2890" s="10"/>
      <c r="BN2890" s="10" t="s">
        <v>667</v>
      </c>
      <c r="BO2890" s="11">
        <v>45995.700694444444</v>
      </c>
      <c r="BP2890" s="11">
        <v>46003.610636574071</v>
      </c>
      <c r="BQ2890" s="15">
        <v>46004.756747685184</v>
      </c>
      <c r="BR2890" s="15">
        <v>46007.425798611112</v>
      </c>
      <c r="BS2890" s="10" t="s">
        <v>667</v>
      </c>
      <c r="BT2890" s="10" t="s">
        <v>99</v>
      </c>
      <c r="BU2890" s="10" t="s">
        <v>498</v>
      </c>
      <c r="BV2890" s="10" t="s">
        <v>281</v>
      </c>
      <c r="BW2890" s="10"/>
      <c r="BX2890" s="10"/>
      <c r="BY2890" s="23"/>
      <c r="BZ2890" s="23"/>
      <c r="CA2890" s="19" t="s">
        <v>21410</v>
      </c>
      <c r="CB2890" s="23"/>
      <c r="CC2890" s="23"/>
      <c r="CD2890" s="19" t="s">
        <v>21411</v>
      </c>
      <c r="CE2890" s="23"/>
      <c r="CF2890" s="23"/>
      <c r="CG2890" s="23"/>
      <c r="CH2890" s="23"/>
      <c r="CI2890" s="23"/>
    </row>
    <row r="2891" spans="1:87" x14ac:dyDescent="0.3">
      <c r="A2891" s="9" t="s">
        <v>21412</v>
      </c>
      <c r="B2891" s="10" t="s">
        <v>21394</v>
      </c>
      <c r="C2891" s="11">
        <v>46009.354166666664</v>
      </c>
      <c r="D2891" s="12">
        <v>0.16666666666666666</v>
      </c>
      <c r="E2891" s="11">
        <v>46009.520833333336</v>
      </c>
      <c r="F2891" s="22" t="s">
        <v>21383</v>
      </c>
      <c r="G2891" s="13" t="b">
        <v>0</v>
      </c>
      <c r="H2891" s="22" t="s">
        <v>21384</v>
      </c>
      <c r="I2891" s="10" t="s">
        <v>9131</v>
      </c>
      <c r="J2891" s="13" t="b">
        <v>0</v>
      </c>
      <c r="K2891" s="13" t="b">
        <v>1</v>
      </c>
      <c r="L2891" s="10" t="s">
        <v>124</v>
      </c>
      <c r="M2891" s="10" t="s">
        <v>91</v>
      </c>
      <c r="N2891" s="10" t="s">
        <v>92</v>
      </c>
      <c r="O2891" s="19" t="s">
        <v>21395</v>
      </c>
      <c r="P2891" s="10"/>
      <c r="Q2891" s="10" t="s">
        <v>126</v>
      </c>
      <c r="R2891" s="10"/>
      <c r="S2891" s="19" t="s">
        <v>21413</v>
      </c>
      <c r="T2891" s="10"/>
      <c r="U2891" s="10"/>
      <c r="V2891" s="10"/>
      <c r="W2891" s="10" t="s">
        <v>21387</v>
      </c>
      <c r="X2891" s="10" t="s">
        <v>216</v>
      </c>
      <c r="Y2891" s="10" t="s">
        <v>216</v>
      </c>
      <c r="Z2891" s="10" t="s">
        <v>99</v>
      </c>
      <c r="AA2891" s="10" t="s">
        <v>131</v>
      </c>
      <c r="AB2891" s="10" t="s">
        <v>21388</v>
      </c>
      <c r="AC2891" s="10" t="s">
        <v>21389</v>
      </c>
      <c r="AD2891" s="10" t="s">
        <v>165</v>
      </c>
      <c r="AE2891" s="10" t="s">
        <v>21397</v>
      </c>
      <c r="AF2891" s="15"/>
      <c r="AG2891" s="10"/>
      <c r="AH2891" s="10"/>
      <c r="AI2891" s="10"/>
      <c r="AJ2891" s="10"/>
      <c r="AK2891" s="10" t="s">
        <v>102</v>
      </c>
      <c r="AL2891" s="10" t="s">
        <v>7897</v>
      </c>
      <c r="AM2891" s="10"/>
      <c r="AN2891" s="10"/>
      <c r="AO2891" s="13" t="b">
        <v>0</v>
      </c>
      <c r="AP2891" s="22" t="s">
        <v>221</v>
      </c>
      <c r="AQ2891" s="10">
        <f ca="1">IFERROR(__xludf.DUMMYFUNCTION("""COMPUTED_VALUE"""),18250)</f>
        <v>18250</v>
      </c>
      <c r="AR2891" s="17">
        <v>0</v>
      </c>
      <c r="AS2891" s="17">
        <v>0</v>
      </c>
      <c r="AT2891" s="17">
        <v>0</v>
      </c>
      <c r="AU2891" s="17">
        <v>0</v>
      </c>
      <c r="AV2891" s="17">
        <v>0</v>
      </c>
      <c r="AW2891" s="10" t="s">
        <v>105</v>
      </c>
      <c r="AX2891" s="17"/>
      <c r="AY2891" s="18">
        <v>24.935313327020662</v>
      </c>
      <c r="AZ2891" s="10" t="s">
        <v>106</v>
      </c>
      <c r="BA2891" s="20" t="b">
        <v>1</v>
      </c>
      <c r="BB2891" s="10"/>
      <c r="BC2891" s="17">
        <v>67917</v>
      </c>
      <c r="BD2891" s="17">
        <v>41187</v>
      </c>
      <c r="BE2891" s="17">
        <v>1027010.75</v>
      </c>
      <c r="BF2891" s="17">
        <v>92.25</v>
      </c>
      <c r="BG2891" s="11">
        <f ca="1">IFERROR(__xludf.DUMMYFUNCTION("""COMPUTED_VALUE"""),46009.3541666666)</f>
        <v>46009.354166666599</v>
      </c>
      <c r="BH2891" s="17" t="s">
        <v>105</v>
      </c>
      <c r="BI2891" s="17"/>
      <c r="BJ2891" s="15"/>
      <c r="BK2891" s="15"/>
      <c r="BL2891" s="13" t="b">
        <v>0</v>
      </c>
      <c r="BM2891" s="10"/>
      <c r="BN2891" s="10" t="s">
        <v>667</v>
      </c>
      <c r="BO2891" s="11">
        <v>45995.701388888891</v>
      </c>
      <c r="BP2891" s="11">
        <v>46003.610902777778</v>
      </c>
      <c r="BQ2891" s="15">
        <v>46004.757037037038</v>
      </c>
      <c r="BR2891" s="15">
        <v>46007.445185185185</v>
      </c>
      <c r="BS2891" s="10" t="s">
        <v>667</v>
      </c>
      <c r="BT2891" s="10" t="s">
        <v>99</v>
      </c>
      <c r="BU2891" s="10" t="s">
        <v>655</v>
      </c>
      <c r="BV2891" s="10"/>
      <c r="BW2891" s="10"/>
      <c r="BX2891" s="10"/>
      <c r="BY2891" s="23"/>
      <c r="BZ2891" s="23"/>
      <c r="CA2891" s="19" t="s">
        <v>21414</v>
      </c>
      <c r="CB2891" s="23"/>
      <c r="CC2891" s="23"/>
      <c r="CD2891" s="19" t="s">
        <v>21415</v>
      </c>
      <c r="CE2891" s="23"/>
      <c r="CF2891" s="23"/>
      <c r="CG2891" s="23"/>
      <c r="CH2891" s="23"/>
      <c r="CI2891" s="23"/>
    </row>
    <row r="2892" spans="1:87" x14ac:dyDescent="0.3">
      <c r="A2892" s="9" t="s">
        <v>21416</v>
      </c>
      <c r="B2892" s="10" t="s">
        <v>21382</v>
      </c>
      <c r="C2892" s="11">
        <v>46009.666666666664</v>
      </c>
      <c r="D2892" s="12">
        <v>0.20833333333333334</v>
      </c>
      <c r="E2892" s="11">
        <v>46009.875</v>
      </c>
      <c r="F2892" s="22" t="s">
        <v>21383</v>
      </c>
      <c r="G2892" s="13" t="b">
        <v>0</v>
      </c>
      <c r="H2892" s="22" t="s">
        <v>21384</v>
      </c>
      <c r="I2892" s="10" t="s">
        <v>9131</v>
      </c>
      <c r="J2892" s="13" t="b">
        <v>0</v>
      </c>
      <c r="K2892" s="13" t="b">
        <v>1</v>
      </c>
      <c r="L2892" s="10" t="s">
        <v>124</v>
      </c>
      <c r="M2892" s="10" t="s">
        <v>91</v>
      </c>
      <c r="N2892" s="10" t="s">
        <v>92</v>
      </c>
      <c r="O2892" s="19" t="s">
        <v>21385</v>
      </c>
      <c r="P2892" s="10"/>
      <c r="Q2892" s="10" t="s">
        <v>126</v>
      </c>
      <c r="R2892" s="10"/>
      <c r="S2892" s="19" t="s">
        <v>21417</v>
      </c>
      <c r="T2892" s="10"/>
      <c r="U2892" s="10"/>
      <c r="V2892" s="10"/>
      <c r="W2892" s="10" t="s">
        <v>21387</v>
      </c>
      <c r="X2892" s="10" t="s">
        <v>216</v>
      </c>
      <c r="Y2892" s="10" t="s">
        <v>216</v>
      </c>
      <c r="Z2892" s="10" t="s">
        <v>99</v>
      </c>
      <c r="AA2892" s="10" t="s">
        <v>131</v>
      </c>
      <c r="AB2892" s="10" t="s">
        <v>21388</v>
      </c>
      <c r="AC2892" s="10" t="s">
        <v>21389</v>
      </c>
      <c r="AD2892" s="10" t="s">
        <v>165</v>
      </c>
      <c r="AE2892" s="10" t="s">
        <v>21390</v>
      </c>
      <c r="AF2892" s="15"/>
      <c r="AG2892" s="10"/>
      <c r="AH2892" s="10"/>
      <c r="AI2892" s="10"/>
      <c r="AJ2892" s="10"/>
      <c r="AK2892" s="10" t="s">
        <v>102</v>
      </c>
      <c r="AL2892" s="10" t="s">
        <v>7897</v>
      </c>
      <c r="AM2892" s="10"/>
      <c r="AN2892" s="10"/>
      <c r="AO2892" s="13" t="b">
        <v>0</v>
      </c>
      <c r="AP2892" s="22" t="s">
        <v>221</v>
      </c>
      <c r="AQ2892" s="10">
        <f ca="1">IFERROR(__xludf.DUMMYFUNCTION("""COMPUTED_VALUE"""),18249)</f>
        <v>18249</v>
      </c>
      <c r="AR2892" s="17">
        <v>0</v>
      </c>
      <c r="AS2892" s="17">
        <v>0</v>
      </c>
      <c r="AT2892" s="17">
        <v>0</v>
      </c>
      <c r="AU2892" s="17">
        <v>0</v>
      </c>
      <c r="AV2892" s="17">
        <v>0</v>
      </c>
      <c r="AW2892" s="10" t="s">
        <v>105</v>
      </c>
      <c r="AX2892" s="17"/>
      <c r="AY2892" s="18">
        <v>18.711125242917859</v>
      </c>
      <c r="AZ2892" s="10" t="s">
        <v>106</v>
      </c>
      <c r="BA2892" s="20" t="b">
        <v>1</v>
      </c>
      <c r="BB2892" s="10"/>
      <c r="BC2892" s="17">
        <v>112088</v>
      </c>
      <c r="BD2892" s="17">
        <v>63293</v>
      </c>
      <c r="BE2892" s="17">
        <v>1184283.25</v>
      </c>
      <c r="BF2892" s="17">
        <v>104.45</v>
      </c>
      <c r="BG2892" s="11">
        <f ca="1">IFERROR(__xludf.DUMMYFUNCTION("""COMPUTED_VALUE"""),46009.6666666666)</f>
        <v>46009.666666666599</v>
      </c>
      <c r="BH2892" s="17" t="s">
        <v>105</v>
      </c>
      <c r="BI2892" s="17"/>
      <c r="BJ2892" s="15"/>
      <c r="BK2892" s="15"/>
      <c r="BL2892" s="13" t="b">
        <v>0</v>
      </c>
      <c r="BM2892" s="10"/>
      <c r="BN2892" s="10" t="s">
        <v>634</v>
      </c>
      <c r="BO2892" s="11">
        <v>45995.702777777777</v>
      </c>
      <c r="BP2892" s="11">
        <v>45995.703009259261</v>
      </c>
      <c r="BQ2892" s="15">
        <v>46004.777418981481</v>
      </c>
      <c r="BR2892" s="15">
        <v>46007.426712962966</v>
      </c>
      <c r="BS2892" s="10" t="s">
        <v>634</v>
      </c>
      <c r="BT2892" s="10" t="s">
        <v>99</v>
      </c>
      <c r="BU2892" s="10" t="s">
        <v>21418</v>
      </c>
      <c r="BV2892" s="10"/>
      <c r="BW2892" s="10"/>
      <c r="BX2892" s="10"/>
      <c r="BY2892" s="23"/>
      <c r="BZ2892" s="23"/>
      <c r="CA2892" s="19" t="s">
        <v>21419</v>
      </c>
      <c r="CB2892" s="23"/>
      <c r="CC2892" s="23"/>
      <c r="CD2892" s="19" t="s">
        <v>21420</v>
      </c>
      <c r="CE2892" s="23"/>
      <c r="CF2892" s="23"/>
      <c r="CG2892" s="23"/>
      <c r="CH2892" s="23"/>
      <c r="CI2892" s="23"/>
    </row>
    <row r="2893" spans="1:87" x14ac:dyDescent="0.3">
      <c r="A2893" s="9" t="s">
        <v>21421</v>
      </c>
      <c r="B2893" s="10" t="s">
        <v>21394</v>
      </c>
      <c r="C2893" s="11">
        <v>46009.666666666664</v>
      </c>
      <c r="D2893" s="12">
        <v>0.20833333333333334</v>
      </c>
      <c r="E2893" s="11">
        <v>46009.875</v>
      </c>
      <c r="F2893" s="22" t="s">
        <v>21383</v>
      </c>
      <c r="G2893" s="13" t="b">
        <v>0</v>
      </c>
      <c r="H2893" s="22" t="s">
        <v>21384</v>
      </c>
      <c r="I2893" s="10" t="s">
        <v>9131</v>
      </c>
      <c r="J2893" s="13" t="b">
        <v>0</v>
      </c>
      <c r="K2893" s="13" t="b">
        <v>1</v>
      </c>
      <c r="L2893" s="10" t="s">
        <v>124</v>
      </c>
      <c r="M2893" s="10" t="s">
        <v>91</v>
      </c>
      <c r="N2893" s="10" t="s">
        <v>92</v>
      </c>
      <c r="O2893" s="19" t="s">
        <v>21395</v>
      </c>
      <c r="P2893" s="10"/>
      <c r="Q2893" s="10" t="s">
        <v>126</v>
      </c>
      <c r="R2893" s="10"/>
      <c r="S2893" s="19" t="s">
        <v>21422</v>
      </c>
      <c r="T2893" s="10"/>
      <c r="U2893" s="10"/>
      <c r="V2893" s="10"/>
      <c r="W2893" s="10" t="s">
        <v>21387</v>
      </c>
      <c r="X2893" s="10" t="s">
        <v>216</v>
      </c>
      <c r="Y2893" s="10" t="s">
        <v>216</v>
      </c>
      <c r="Z2893" s="10" t="s">
        <v>99</v>
      </c>
      <c r="AA2893" s="10" t="s">
        <v>131</v>
      </c>
      <c r="AB2893" s="10" t="s">
        <v>21388</v>
      </c>
      <c r="AC2893" s="10" t="s">
        <v>21389</v>
      </c>
      <c r="AD2893" s="10" t="s">
        <v>165</v>
      </c>
      <c r="AE2893" s="10" t="s">
        <v>21397</v>
      </c>
      <c r="AF2893" s="15"/>
      <c r="AG2893" s="10"/>
      <c r="AH2893" s="10"/>
      <c r="AI2893" s="10"/>
      <c r="AJ2893" s="10"/>
      <c r="AK2893" s="10" t="s">
        <v>102</v>
      </c>
      <c r="AL2893" s="10" t="s">
        <v>7897</v>
      </c>
      <c r="AM2893" s="10"/>
      <c r="AN2893" s="10"/>
      <c r="AO2893" s="13" t="b">
        <v>0</v>
      </c>
      <c r="AP2893" s="22" t="s">
        <v>221</v>
      </c>
      <c r="AQ2893" s="10">
        <f ca="1">IFERROR(__xludf.DUMMYFUNCTION("""COMPUTED_VALUE"""),18250)</f>
        <v>18250</v>
      </c>
      <c r="AR2893" s="17">
        <v>0</v>
      </c>
      <c r="AS2893" s="17">
        <v>0</v>
      </c>
      <c r="AT2893" s="17">
        <v>0</v>
      </c>
      <c r="AU2893" s="17">
        <v>0</v>
      </c>
      <c r="AV2893" s="17">
        <v>0</v>
      </c>
      <c r="AW2893" s="10" t="s">
        <v>105</v>
      </c>
      <c r="AX2893" s="17"/>
      <c r="AY2893" s="18">
        <v>20.391465863453814</v>
      </c>
      <c r="AZ2893" s="10" t="s">
        <v>106</v>
      </c>
      <c r="BA2893" s="20" t="b">
        <v>1</v>
      </c>
      <c r="BB2893" s="10"/>
      <c r="BC2893" s="17">
        <v>108377</v>
      </c>
      <c r="BD2893" s="17">
        <v>57270</v>
      </c>
      <c r="BE2893" s="17">
        <v>1167819.25</v>
      </c>
      <c r="BF2893" s="17">
        <v>89.1</v>
      </c>
      <c r="BG2893" s="11">
        <f ca="1">IFERROR(__xludf.DUMMYFUNCTION("""COMPUTED_VALUE"""),46009.6666666666)</f>
        <v>46009.666666666599</v>
      </c>
      <c r="BH2893" s="17" t="s">
        <v>105</v>
      </c>
      <c r="BI2893" s="17"/>
      <c r="BJ2893" s="15"/>
      <c r="BK2893" s="15"/>
      <c r="BL2893" s="13" t="b">
        <v>0</v>
      </c>
      <c r="BM2893" s="10"/>
      <c r="BN2893" s="10" t="s">
        <v>634</v>
      </c>
      <c r="BO2893" s="11">
        <v>45995.702777777777</v>
      </c>
      <c r="BP2893" s="11">
        <v>45995.703483796293</v>
      </c>
      <c r="BQ2893" s="15">
        <v>46004.777581018519</v>
      </c>
      <c r="BR2893" s="15">
        <v>46007.445324074077</v>
      </c>
      <c r="BS2893" s="10" t="s">
        <v>634</v>
      </c>
      <c r="BT2893" s="10" t="s">
        <v>99</v>
      </c>
      <c r="BU2893" s="10" t="s">
        <v>21418</v>
      </c>
      <c r="BV2893" s="10"/>
      <c r="BW2893" s="10"/>
      <c r="BX2893" s="10"/>
      <c r="BY2893" s="23"/>
      <c r="BZ2893" s="23"/>
      <c r="CA2893" s="19" t="s">
        <v>21423</v>
      </c>
      <c r="CB2893" s="23"/>
      <c r="CC2893" s="23"/>
      <c r="CD2893" s="19" t="s">
        <v>21424</v>
      </c>
      <c r="CE2893" s="23"/>
      <c r="CF2893" s="23"/>
      <c r="CG2893" s="23"/>
      <c r="CH2893" s="23"/>
      <c r="CI2893" s="23"/>
    </row>
    <row r="2894" spans="1:87" x14ac:dyDescent="0.3">
      <c r="A2894" s="9" t="s">
        <v>21425</v>
      </c>
      <c r="B2894" s="10" t="s">
        <v>21382</v>
      </c>
      <c r="C2894" s="11">
        <v>46010.354166666664</v>
      </c>
      <c r="D2894" s="12">
        <v>0.16666666666666666</v>
      </c>
      <c r="E2894" s="11">
        <v>46010.520833333336</v>
      </c>
      <c r="F2894" s="22" t="s">
        <v>21383</v>
      </c>
      <c r="G2894" s="13" t="b">
        <v>0</v>
      </c>
      <c r="H2894" s="22" t="s">
        <v>21384</v>
      </c>
      <c r="I2894" s="10" t="s">
        <v>9131</v>
      </c>
      <c r="J2894" s="13" t="b">
        <v>0</v>
      </c>
      <c r="K2894" s="13" t="b">
        <v>1</v>
      </c>
      <c r="L2894" s="10" t="s">
        <v>124</v>
      </c>
      <c r="M2894" s="10" t="s">
        <v>91</v>
      </c>
      <c r="N2894" s="10" t="s">
        <v>92</v>
      </c>
      <c r="O2894" s="19" t="s">
        <v>21385</v>
      </c>
      <c r="P2894" s="10"/>
      <c r="Q2894" s="10" t="s">
        <v>126</v>
      </c>
      <c r="R2894" s="10"/>
      <c r="S2894" s="19" t="s">
        <v>21426</v>
      </c>
      <c r="T2894" s="10"/>
      <c r="U2894" s="10"/>
      <c r="V2894" s="10"/>
      <c r="W2894" s="10" t="s">
        <v>21387</v>
      </c>
      <c r="X2894" s="10" t="s">
        <v>216</v>
      </c>
      <c r="Y2894" s="10" t="s">
        <v>216</v>
      </c>
      <c r="Z2894" s="10" t="s">
        <v>99</v>
      </c>
      <c r="AA2894" s="10" t="s">
        <v>131</v>
      </c>
      <c r="AB2894" s="10" t="s">
        <v>21388</v>
      </c>
      <c r="AC2894" s="10" t="s">
        <v>21389</v>
      </c>
      <c r="AD2894" s="10" t="s">
        <v>165</v>
      </c>
      <c r="AE2894" s="10" t="s">
        <v>21390</v>
      </c>
      <c r="AF2894" s="15"/>
      <c r="AG2894" s="10"/>
      <c r="AH2894" s="10"/>
      <c r="AI2894" s="10"/>
      <c r="AJ2894" s="10"/>
      <c r="AK2894" s="10" t="s">
        <v>102</v>
      </c>
      <c r="AL2894" s="10" t="s">
        <v>7897</v>
      </c>
      <c r="AM2894" s="10"/>
      <c r="AN2894" s="10"/>
      <c r="AO2894" s="13" t="b">
        <v>0</v>
      </c>
      <c r="AP2894" s="22" t="s">
        <v>221</v>
      </c>
      <c r="AQ2894" s="10">
        <f ca="1">IFERROR(__xludf.DUMMYFUNCTION("""COMPUTED_VALUE"""),18249)</f>
        <v>18249</v>
      </c>
      <c r="AR2894" s="17">
        <v>0</v>
      </c>
      <c r="AS2894" s="17">
        <v>0</v>
      </c>
      <c r="AT2894" s="17">
        <v>0</v>
      </c>
      <c r="AU2894" s="17">
        <v>0</v>
      </c>
      <c r="AV2894" s="17">
        <v>0</v>
      </c>
      <c r="AW2894" s="10" t="s">
        <v>105</v>
      </c>
      <c r="AX2894" s="17"/>
      <c r="AY2894" s="18">
        <v>20.60711148524998</v>
      </c>
      <c r="AZ2894" s="10" t="s">
        <v>106</v>
      </c>
      <c r="BA2894" s="20" t="b">
        <v>1</v>
      </c>
      <c r="BB2894" s="10"/>
      <c r="BC2894" s="17">
        <v>41840</v>
      </c>
      <c r="BD2894" s="17">
        <v>27322</v>
      </c>
      <c r="BE2894" s="17">
        <v>563027.5</v>
      </c>
      <c r="BF2894" s="17">
        <v>24.5</v>
      </c>
      <c r="BG2894" s="11">
        <f ca="1">IFERROR(__xludf.DUMMYFUNCTION("""COMPUTED_VALUE"""),46010.3541666666)</f>
        <v>46010.354166666599</v>
      </c>
      <c r="BH2894" s="17" t="s">
        <v>105</v>
      </c>
      <c r="BI2894" s="17"/>
      <c r="BJ2894" s="15"/>
      <c r="BK2894" s="15"/>
      <c r="BL2894" s="13" t="b">
        <v>0</v>
      </c>
      <c r="BM2894" s="10"/>
      <c r="BN2894" s="10" t="s">
        <v>197</v>
      </c>
      <c r="BO2894" s="11">
        <v>45995.703472222223</v>
      </c>
      <c r="BP2894" s="11">
        <v>46003.611296296294</v>
      </c>
      <c r="BQ2894" s="15">
        <v>46004.781539351854</v>
      </c>
      <c r="BR2894" s="15">
        <v>46009.712291666663</v>
      </c>
      <c r="BS2894" s="10" t="s">
        <v>197</v>
      </c>
      <c r="BT2894" s="10" t="s">
        <v>99</v>
      </c>
      <c r="BU2894" s="10" t="s">
        <v>5046</v>
      </c>
      <c r="BV2894" s="10" t="s">
        <v>281</v>
      </c>
      <c r="BW2894" s="10"/>
      <c r="BX2894" s="10"/>
      <c r="BY2894" s="23"/>
      <c r="BZ2894" s="23"/>
      <c r="CA2894" s="19" t="s">
        <v>21427</v>
      </c>
      <c r="CB2894" s="23"/>
      <c r="CC2894" s="23"/>
      <c r="CD2894" s="19" t="s">
        <v>21428</v>
      </c>
      <c r="CE2894" s="23"/>
      <c r="CF2894" s="23"/>
      <c r="CG2894" s="23"/>
      <c r="CH2894" s="23"/>
      <c r="CI2894" s="23"/>
    </row>
    <row r="2895" spans="1:87" x14ac:dyDescent="0.3">
      <c r="A2895" s="9" t="s">
        <v>21429</v>
      </c>
      <c r="B2895" s="10" t="s">
        <v>21394</v>
      </c>
      <c r="C2895" s="11">
        <v>46010.354166666664</v>
      </c>
      <c r="D2895" s="12">
        <v>0.16666666666666666</v>
      </c>
      <c r="E2895" s="11">
        <v>46010.520833333336</v>
      </c>
      <c r="F2895" s="22" t="s">
        <v>21383</v>
      </c>
      <c r="G2895" s="13" t="b">
        <v>0</v>
      </c>
      <c r="H2895" s="22" t="s">
        <v>21384</v>
      </c>
      <c r="I2895" s="10" t="s">
        <v>9131</v>
      </c>
      <c r="J2895" s="13" t="b">
        <v>0</v>
      </c>
      <c r="K2895" s="13" t="b">
        <v>1</v>
      </c>
      <c r="L2895" s="10" t="s">
        <v>124</v>
      </c>
      <c r="M2895" s="10" t="s">
        <v>91</v>
      </c>
      <c r="N2895" s="10" t="s">
        <v>92</v>
      </c>
      <c r="O2895" s="19" t="s">
        <v>21395</v>
      </c>
      <c r="P2895" s="10"/>
      <c r="Q2895" s="10" t="s">
        <v>126</v>
      </c>
      <c r="R2895" s="10"/>
      <c r="S2895" s="19" t="s">
        <v>21430</v>
      </c>
      <c r="T2895" s="10"/>
      <c r="U2895" s="10"/>
      <c r="V2895" s="10"/>
      <c r="W2895" s="10" t="s">
        <v>21387</v>
      </c>
      <c r="X2895" s="10" t="s">
        <v>216</v>
      </c>
      <c r="Y2895" s="10" t="s">
        <v>216</v>
      </c>
      <c r="Z2895" s="10" t="s">
        <v>99</v>
      </c>
      <c r="AA2895" s="10" t="s">
        <v>131</v>
      </c>
      <c r="AB2895" s="10" t="s">
        <v>21388</v>
      </c>
      <c r="AC2895" s="10" t="s">
        <v>21389</v>
      </c>
      <c r="AD2895" s="10" t="s">
        <v>165</v>
      </c>
      <c r="AE2895" s="10" t="s">
        <v>21397</v>
      </c>
      <c r="AF2895" s="15"/>
      <c r="AG2895" s="10"/>
      <c r="AH2895" s="10"/>
      <c r="AI2895" s="10"/>
      <c r="AJ2895" s="10"/>
      <c r="AK2895" s="10" t="s">
        <v>102</v>
      </c>
      <c r="AL2895" s="10" t="s">
        <v>7897</v>
      </c>
      <c r="AM2895" s="10"/>
      <c r="AN2895" s="10"/>
      <c r="AO2895" s="13" t="b">
        <v>0</v>
      </c>
      <c r="AP2895" s="22" t="s">
        <v>221</v>
      </c>
      <c r="AQ2895" s="10">
        <f ca="1">IFERROR(__xludf.DUMMYFUNCTION("""COMPUTED_VALUE"""),18250)</f>
        <v>18250</v>
      </c>
      <c r="AR2895" s="17">
        <v>0</v>
      </c>
      <c r="AS2895" s="17">
        <v>0</v>
      </c>
      <c r="AT2895" s="17">
        <v>0</v>
      </c>
      <c r="AU2895" s="17">
        <v>0</v>
      </c>
      <c r="AV2895" s="17">
        <v>0</v>
      </c>
      <c r="AW2895" s="10" t="s">
        <v>105</v>
      </c>
      <c r="AX2895" s="17"/>
      <c r="AY2895" s="18">
        <v>23.484196152106598</v>
      </c>
      <c r="AZ2895" s="10" t="s">
        <v>106</v>
      </c>
      <c r="BA2895" s="20" t="b">
        <v>1</v>
      </c>
      <c r="BB2895" s="10"/>
      <c r="BC2895" s="17">
        <v>45753</v>
      </c>
      <c r="BD2895" s="17">
        <v>28743</v>
      </c>
      <c r="BE2895" s="17">
        <v>675006.25</v>
      </c>
      <c r="BF2895" s="17">
        <v>17.05</v>
      </c>
      <c r="BG2895" s="11">
        <f ca="1">IFERROR(__xludf.DUMMYFUNCTION("""COMPUTED_VALUE"""),46010.3541666666)</f>
        <v>46010.354166666599</v>
      </c>
      <c r="BH2895" s="17" t="s">
        <v>105</v>
      </c>
      <c r="BI2895" s="17"/>
      <c r="BJ2895" s="15"/>
      <c r="BK2895" s="15"/>
      <c r="BL2895" s="13" t="b">
        <v>0</v>
      </c>
      <c r="BM2895" s="10"/>
      <c r="BN2895" s="10" t="s">
        <v>197</v>
      </c>
      <c r="BO2895" s="11">
        <v>45995.70416666667</v>
      </c>
      <c r="BP2895" s="11">
        <v>46003.611481481479</v>
      </c>
      <c r="BQ2895" s="15">
        <v>46004.781747685185</v>
      </c>
      <c r="BR2895" s="15">
        <v>46009.736608796295</v>
      </c>
      <c r="BS2895" s="10" t="s">
        <v>197</v>
      </c>
      <c r="BT2895" s="10" t="s">
        <v>99</v>
      </c>
      <c r="BU2895" s="10" t="s">
        <v>931</v>
      </c>
      <c r="BV2895" s="10"/>
      <c r="BW2895" s="10"/>
      <c r="BX2895" s="10"/>
      <c r="BY2895" s="23"/>
      <c r="BZ2895" s="23"/>
      <c r="CA2895" s="19" t="s">
        <v>21431</v>
      </c>
      <c r="CB2895" s="23"/>
      <c r="CC2895" s="23"/>
      <c r="CD2895" s="19" t="s">
        <v>21432</v>
      </c>
      <c r="CE2895" s="23"/>
      <c r="CF2895" s="23"/>
      <c r="CG2895" s="23"/>
      <c r="CH2895" s="23"/>
      <c r="CI2895" s="23"/>
    </row>
    <row r="2896" spans="1:87" x14ac:dyDescent="0.3">
      <c r="A2896" s="9" t="s">
        <v>21433</v>
      </c>
      <c r="B2896" s="10" t="s">
        <v>21382</v>
      </c>
      <c r="C2896" s="11">
        <v>46010.666666666664</v>
      </c>
      <c r="D2896" s="12">
        <v>0.20833333333333334</v>
      </c>
      <c r="E2896" s="11">
        <v>46010.875</v>
      </c>
      <c r="F2896" s="22" t="s">
        <v>21383</v>
      </c>
      <c r="G2896" s="13" t="b">
        <v>0</v>
      </c>
      <c r="H2896" s="22" t="s">
        <v>21384</v>
      </c>
      <c r="I2896" s="10" t="s">
        <v>9131</v>
      </c>
      <c r="J2896" s="13" t="b">
        <v>0</v>
      </c>
      <c r="K2896" s="13" t="b">
        <v>1</v>
      </c>
      <c r="L2896" s="10" t="s">
        <v>124</v>
      </c>
      <c r="M2896" s="10" t="s">
        <v>91</v>
      </c>
      <c r="N2896" s="10" t="s">
        <v>92</v>
      </c>
      <c r="O2896" s="19" t="s">
        <v>21385</v>
      </c>
      <c r="P2896" s="10"/>
      <c r="Q2896" s="10" t="s">
        <v>126</v>
      </c>
      <c r="R2896" s="10"/>
      <c r="S2896" s="19" t="s">
        <v>21434</v>
      </c>
      <c r="T2896" s="10"/>
      <c r="U2896" s="10"/>
      <c r="V2896" s="10"/>
      <c r="W2896" s="10" t="s">
        <v>21387</v>
      </c>
      <c r="X2896" s="10" t="s">
        <v>216</v>
      </c>
      <c r="Y2896" s="10" t="s">
        <v>216</v>
      </c>
      <c r="Z2896" s="10" t="s">
        <v>99</v>
      </c>
      <c r="AA2896" s="10" t="s">
        <v>131</v>
      </c>
      <c r="AB2896" s="10" t="s">
        <v>21388</v>
      </c>
      <c r="AC2896" s="10" t="s">
        <v>21389</v>
      </c>
      <c r="AD2896" s="10" t="s">
        <v>165</v>
      </c>
      <c r="AE2896" s="10" t="s">
        <v>21390</v>
      </c>
      <c r="AF2896" s="15"/>
      <c r="AG2896" s="10"/>
      <c r="AH2896" s="10"/>
      <c r="AI2896" s="10"/>
      <c r="AJ2896" s="10"/>
      <c r="AK2896" s="10" t="s">
        <v>102</v>
      </c>
      <c r="AL2896" s="10" t="s">
        <v>7897</v>
      </c>
      <c r="AM2896" s="10"/>
      <c r="AN2896" s="10"/>
      <c r="AO2896" s="13" t="b">
        <v>0</v>
      </c>
      <c r="AP2896" s="22" t="s">
        <v>221</v>
      </c>
      <c r="AQ2896" s="10">
        <f ca="1">IFERROR(__xludf.DUMMYFUNCTION("""COMPUTED_VALUE"""),18249)</f>
        <v>18249</v>
      </c>
      <c r="AR2896" s="17">
        <v>0</v>
      </c>
      <c r="AS2896" s="17">
        <v>0</v>
      </c>
      <c r="AT2896" s="17">
        <v>0</v>
      </c>
      <c r="AU2896" s="17">
        <v>0</v>
      </c>
      <c r="AV2896" s="17">
        <v>0</v>
      </c>
      <c r="AW2896" s="10" t="s">
        <v>105</v>
      </c>
      <c r="AX2896" s="17"/>
      <c r="AY2896" s="18">
        <v>13.604541488345037</v>
      </c>
      <c r="AZ2896" s="10" t="s">
        <v>106</v>
      </c>
      <c r="BA2896" s="20" t="b">
        <v>1</v>
      </c>
      <c r="BB2896" s="10"/>
      <c r="BC2896" s="17">
        <v>78834</v>
      </c>
      <c r="BD2896" s="17">
        <v>48134</v>
      </c>
      <c r="BE2896" s="17">
        <v>654841</v>
      </c>
      <c r="BF2896" s="17">
        <v>28.9</v>
      </c>
      <c r="BG2896" s="11">
        <f ca="1">IFERROR(__xludf.DUMMYFUNCTION("""COMPUTED_VALUE"""),46010.6666666666)</f>
        <v>46010.666666666599</v>
      </c>
      <c r="BH2896" s="17" t="s">
        <v>105</v>
      </c>
      <c r="BI2896" s="17"/>
      <c r="BJ2896" s="15"/>
      <c r="BK2896" s="15"/>
      <c r="BL2896" s="13" t="b">
        <v>0</v>
      </c>
      <c r="BM2896" s="10"/>
      <c r="BN2896" s="10" t="s">
        <v>634</v>
      </c>
      <c r="BO2896" s="11">
        <v>45995.704861111109</v>
      </c>
      <c r="BP2896" s="11">
        <v>45995.705185185187</v>
      </c>
      <c r="BQ2896" s="15">
        <v>46004.782326388886</v>
      </c>
      <c r="BR2896" s="15">
        <v>46009.716238425928</v>
      </c>
      <c r="BS2896" s="10" t="s">
        <v>634</v>
      </c>
      <c r="BT2896" s="10" t="s">
        <v>99</v>
      </c>
      <c r="BU2896" s="10" t="s">
        <v>6409</v>
      </c>
      <c r="BV2896" s="10"/>
      <c r="BW2896" s="10"/>
      <c r="BX2896" s="10"/>
      <c r="BY2896" s="23"/>
      <c r="BZ2896" s="23"/>
      <c r="CA2896" s="19" t="s">
        <v>21435</v>
      </c>
      <c r="CB2896" s="23"/>
      <c r="CC2896" s="23"/>
      <c r="CD2896" s="19" t="s">
        <v>21436</v>
      </c>
      <c r="CE2896" s="23"/>
      <c r="CF2896" s="23"/>
      <c r="CG2896" s="23"/>
      <c r="CH2896" s="23"/>
      <c r="CI2896" s="23"/>
    </row>
    <row r="2897" spans="1:87" x14ac:dyDescent="0.3">
      <c r="A2897" s="9" t="s">
        <v>21437</v>
      </c>
      <c r="B2897" s="10" t="s">
        <v>21394</v>
      </c>
      <c r="C2897" s="11">
        <v>46010.666666666664</v>
      </c>
      <c r="D2897" s="12">
        <v>0.20833333333333334</v>
      </c>
      <c r="E2897" s="11">
        <v>46010.875</v>
      </c>
      <c r="F2897" s="22" t="s">
        <v>21383</v>
      </c>
      <c r="G2897" s="13" t="b">
        <v>0</v>
      </c>
      <c r="H2897" s="22" t="s">
        <v>21384</v>
      </c>
      <c r="I2897" s="10" t="s">
        <v>9131</v>
      </c>
      <c r="J2897" s="13" t="b">
        <v>0</v>
      </c>
      <c r="K2897" s="13" t="b">
        <v>1</v>
      </c>
      <c r="L2897" s="10" t="s">
        <v>124</v>
      </c>
      <c r="M2897" s="10" t="s">
        <v>91</v>
      </c>
      <c r="N2897" s="10" t="s">
        <v>92</v>
      </c>
      <c r="O2897" s="19" t="s">
        <v>21395</v>
      </c>
      <c r="P2897" s="10"/>
      <c r="Q2897" s="10" t="s">
        <v>126</v>
      </c>
      <c r="R2897" s="10"/>
      <c r="S2897" s="19" t="s">
        <v>21438</v>
      </c>
      <c r="T2897" s="10"/>
      <c r="U2897" s="10"/>
      <c r="V2897" s="10"/>
      <c r="W2897" s="10" t="s">
        <v>21387</v>
      </c>
      <c r="X2897" s="10" t="s">
        <v>216</v>
      </c>
      <c r="Y2897" s="10" t="s">
        <v>216</v>
      </c>
      <c r="Z2897" s="10" t="s">
        <v>99</v>
      </c>
      <c r="AA2897" s="10" t="s">
        <v>131</v>
      </c>
      <c r="AB2897" s="10" t="s">
        <v>21388</v>
      </c>
      <c r="AC2897" s="10" t="s">
        <v>21389</v>
      </c>
      <c r="AD2897" s="10" t="s">
        <v>165</v>
      </c>
      <c r="AE2897" s="10" t="s">
        <v>21397</v>
      </c>
      <c r="AF2897" s="15"/>
      <c r="AG2897" s="10"/>
      <c r="AH2897" s="10"/>
      <c r="AI2897" s="10"/>
      <c r="AJ2897" s="10"/>
      <c r="AK2897" s="10" t="s">
        <v>102</v>
      </c>
      <c r="AL2897" s="10" t="s">
        <v>7897</v>
      </c>
      <c r="AM2897" s="10"/>
      <c r="AN2897" s="10"/>
      <c r="AO2897" s="13" t="b">
        <v>0</v>
      </c>
      <c r="AP2897" s="22" t="s">
        <v>221</v>
      </c>
      <c r="AQ2897" s="10">
        <f ca="1">IFERROR(__xludf.DUMMYFUNCTION("""COMPUTED_VALUE"""),18250)</f>
        <v>18250</v>
      </c>
      <c r="AR2897" s="17">
        <v>566</v>
      </c>
      <c r="AS2897" s="17">
        <v>478</v>
      </c>
      <c r="AT2897" s="17">
        <v>1725.75</v>
      </c>
      <c r="AU2897" s="17">
        <v>0.65</v>
      </c>
      <c r="AV2897" s="17">
        <v>0</v>
      </c>
      <c r="AW2897" s="10" t="s">
        <v>105</v>
      </c>
      <c r="AX2897" s="17"/>
      <c r="AY2897" s="18">
        <v>28.163654111772207</v>
      </c>
      <c r="AZ2897" s="10" t="s">
        <v>106</v>
      </c>
      <c r="BA2897" s="20" t="b">
        <v>1</v>
      </c>
      <c r="BB2897" s="10"/>
      <c r="BC2897" s="17">
        <v>133317</v>
      </c>
      <c r="BD2897" s="17">
        <v>75296</v>
      </c>
      <c r="BE2897" s="17">
        <v>2120610.5</v>
      </c>
      <c r="BF2897" s="17">
        <v>87.850000000000009</v>
      </c>
      <c r="BG2897" s="11">
        <f ca="1">IFERROR(__xludf.DUMMYFUNCTION("""COMPUTED_VALUE"""),46010.6666666666)</f>
        <v>46010.666666666599</v>
      </c>
      <c r="BH2897" s="17" t="s">
        <v>105</v>
      </c>
      <c r="BI2897" s="17"/>
      <c r="BJ2897" s="15"/>
      <c r="BK2897" s="15"/>
      <c r="BL2897" s="13" t="b">
        <v>0</v>
      </c>
      <c r="BM2897" s="10"/>
      <c r="BN2897" s="10" t="s">
        <v>197</v>
      </c>
      <c r="BO2897" s="11">
        <v>45995.705555555556</v>
      </c>
      <c r="BP2897" s="11">
        <v>45995.705648148149</v>
      </c>
      <c r="BQ2897" s="15">
        <v>46004.782465277778</v>
      </c>
      <c r="BR2897" s="15">
        <v>46009.742418981485</v>
      </c>
      <c r="BS2897" s="10" t="s">
        <v>197</v>
      </c>
      <c r="BT2897" s="10" t="s">
        <v>99</v>
      </c>
      <c r="BU2897" s="10" t="s">
        <v>5046</v>
      </c>
      <c r="BV2897" s="10"/>
      <c r="BW2897" s="10"/>
      <c r="BX2897" s="10"/>
      <c r="BY2897" s="23"/>
      <c r="BZ2897" s="23"/>
      <c r="CA2897" s="19" t="s">
        <v>21439</v>
      </c>
      <c r="CB2897" s="23"/>
      <c r="CC2897" s="23"/>
      <c r="CD2897" s="19" t="s">
        <v>21440</v>
      </c>
      <c r="CE2897" s="23"/>
      <c r="CF2897" s="23"/>
      <c r="CG2897" s="23"/>
      <c r="CH2897" s="23"/>
      <c r="CI2897" s="23"/>
    </row>
    <row r="2898" spans="1:87" x14ac:dyDescent="0.3">
      <c r="A2898" s="9" t="s">
        <v>21441</v>
      </c>
      <c r="B2898" s="10" t="s">
        <v>21442</v>
      </c>
      <c r="C2898" s="11">
        <v>46011.354166666664</v>
      </c>
      <c r="D2898" s="12">
        <v>0.16666666666666666</v>
      </c>
      <c r="E2898" s="11">
        <v>46011.520833333336</v>
      </c>
      <c r="F2898" s="22" t="s">
        <v>21383</v>
      </c>
      <c r="G2898" s="13" t="b">
        <v>0</v>
      </c>
      <c r="H2898" s="22" t="s">
        <v>21384</v>
      </c>
      <c r="I2898" s="10" t="s">
        <v>9131</v>
      </c>
      <c r="J2898" s="13" t="b">
        <v>0</v>
      </c>
      <c r="K2898" s="13" t="b">
        <v>1</v>
      </c>
      <c r="L2898" s="10" t="s">
        <v>124</v>
      </c>
      <c r="M2898" s="10" t="s">
        <v>91</v>
      </c>
      <c r="N2898" s="10" t="s">
        <v>92</v>
      </c>
      <c r="O2898" s="19" t="s">
        <v>21443</v>
      </c>
      <c r="P2898" s="10"/>
      <c r="Q2898" s="10" t="s">
        <v>126</v>
      </c>
      <c r="R2898" s="10"/>
      <c r="S2898" s="19" t="s">
        <v>21444</v>
      </c>
      <c r="T2898" s="10"/>
      <c r="U2898" s="10"/>
      <c r="V2898" s="10"/>
      <c r="W2898" s="10" t="s">
        <v>21387</v>
      </c>
      <c r="X2898" s="10" t="s">
        <v>216</v>
      </c>
      <c r="Y2898" s="10" t="s">
        <v>216</v>
      </c>
      <c r="Z2898" s="10" t="s">
        <v>99</v>
      </c>
      <c r="AA2898" s="10" t="s">
        <v>131</v>
      </c>
      <c r="AB2898" s="10" t="s">
        <v>21388</v>
      </c>
      <c r="AC2898" s="10" t="s">
        <v>21389</v>
      </c>
      <c r="AD2898" s="10" t="s">
        <v>165</v>
      </c>
      <c r="AE2898" s="10" t="s">
        <v>21445</v>
      </c>
      <c r="AF2898" s="15"/>
      <c r="AG2898" s="10"/>
      <c r="AH2898" s="10"/>
      <c r="AI2898" s="10"/>
      <c r="AJ2898" s="10"/>
      <c r="AK2898" s="10" t="s">
        <v>102</v>
      </c>
      <c r="AL2898" s="10" t="s">
        <v>20102</v>
      </c>
      <c r="AM2898" s="10"/>
      <c r="AN2898" s="10"/>
      <c r="AO2898" s="13" t="b">
        <v>0</v>
      </c>
      <c r="AP2898" s="22" t="s">
        <v>221</v>
      </c>
      <c r="AQ2898" s="10">
        <f ca="1">IFERROR(__xludf.DUMMYFUNCTION("""COMPUTED_VALUE"""),18249)</f>
        <v>18249</v>
      </c>
      <c r="AR2898" s="17">
        <v>0</v>
      </c>
      <c r="AS2898" s="17">
        <v>0</v>
      </c>
      <c r="AT2898" s="17">
        <v>0</v>
      </c>
      <c r="AU2898" s="17">
        <v>0</v>
      </c>
      <c r="AV2898" s="17">
        <v>0</v>
      </c>
      <c r="AW2898" s="10" t="s">
        <v>105</v>
      </c>
      <c r="AX2898" s="17"/>
      <c r="AY2898" s="18">
        <v>43.102931422309375</v>
      </c>
      <c r="AZ2898" s="10" t="s">
        <v>106</v>
      </c>
      <c r="BA2898" s="20" t="b">
        <v>1</v>
      </c>
      <c r="BB2898" s="10"/>
      <c r="BC2898" s="17">
        <v>48588</v>
      </c>
      <c r="BD2898" s="17">
        <v>34676</v>
      </c>
      <c r="BE2898" s="17">
        <v>1494637.25</v>
      </c>
      <c r="BF2898" s="17">
        <v>47.699999999999996</v>
      </c>
      <c r="BG2898" s="11">
        <f ca="1">IFERROR(__xludf.DUMMYFUNCTION("""COMPUTED_VALUE"""),46011.3541666666)</f>
        <v>46011.354166666599</v>
      </c>
      <c r="BH2898" s="17" t="s">
        <v>105</v>
      </c>
      <c r="BI2898" s="17"/>
      <c r="BJ2898" s="15"/>
      <c r="BK2898" s="15"/>
      <c r="BL2898" s="13" t="b">
        <v>0</v>
      </c>
      <c r="BM2898" s="10"/>
      <c r="BN2898" s="10" t="s">
        <v>634</v>
      </c>
      <c r="BO2898" s="11">
        <v>45995.706250000003</v>
      </c>
      <c r="BP2898" s="11">
        <v>46003.611909722225</v>
      </c>
      <c r="BQ2898" s="15">
        <v>46007.555787037039</v>
      </c>
      <c r="BR2898" s="15">
        <v>46010.990023148152</v>
      </c>
      <c r="BS2898" s="10" t="s">
        <v>634</v>
      </c>
      <c r="BT2898" s="10"/>
      <c r="BU2898" s="10"/>
      <c r="BV2898" s="10" t="s">
        <v>281</v>
      </c>
      <c r="BW2898" s="10"/>
      <c r="BX2898" s="10"/>
      <c r="BY2898" s="23"/>
      <c r="BZ2898" s="23"/>
      <c r="CA2898" s="19" t="s">
        <v>21446</v>
      </c>
      <c r="CB2898" s="23"/>
      <c r="CC2898" s="23"/>
      <c r="CD2898" s="19" t="s">
        <v>21447</v>
      </c>
      <c r="CE2898" s="23"/>
      <c r="CF2898" s="23"/>
      <c r="CG2898" s="23"/>
      <c r="CH2898" s="23"/>
      <c r="CI2898" s="23"/>
    </row>
    <row r="2899" spans="1:87" x14ac:dyDescent="0.3">
      <c r="A2899" s="9" t="s">
        <v>21448</v>
      </c>
      <c r="B2899" s="10" t="s">
        <v>21442</v>
      </c>
      <c r="C2899" s="11">
        <v>46011.666666666664</v>
      </c>
      <c r="D2899" s="12">
        <v>0.20833333333333334</v>
      </c>
      <c r="E2899" s="11">
        <v>46011.875</v>
      </c>
      <c r="F2899" s="22" t="s">
        <v>21383</v>
      </c>
      <c r="G2899" s="13" t="b">
        <v>0</v>
      </c>
      <c r="H2899" s="22" t="s">
        <v>21384</v>
      </c>
      <c r="I2899" s="10" t="s">
        <v>9131</v>
      </c>
      <c r="J2899" s="13" t="b">
        <v>0</v>
      </c>
      <c r="K2899" s="13" t="b">
        <v>1</v>
      </c>
      <c r="L2899" s="10" t="s">
        <v>124</v>
      </c>
      <c r="M2899" s="10" t="s">
        <v>91</v>
      </c>
      <c r="N2899" s="10" t="s">
        <v>92</v>
      </c>
      <c r="O2899" s="19" t="s">
        <v>21443</v>
      </c>
      <c r="P2899" s="10"/>
      <c r="Q2899" s="10" t="s">
        <v>126</v>
      </c>
      <c r="R2899" s="10"/>
      <c r="S2899" s="19" t="s">
        <v>21449</v>
      </c>
      <c r="T2899" s="10"/>
      <c r="U2899" s="10"/>
      <c r="V2899" s="10"/>
      <c r="W2899" s="10" t="s">
        <v>21387</v>
      </c>
      <c r="X2899" s="10" t="s">
        <v>216</v>
      </c>
      <c r="Y2899" s="10" t="s">
        <v>216</v>
      </c>
      <c r="Z2899" s="10" t="s">
        <v>99</v>
      </c>
      <c r="AA2899" s="10" t="s">
        <v>131</v>
      </c>
      <c r="AB2899" s="10" t="s">
        <v>21388</v>
      </c>
      <c r="AC2899" s="10" t="s">
        <v>21389</v>
      </c>
      <c r="AD2899" s="10" t="s">
        <v>165</v>
      </c>
      <c r="AE2899" s="10" t="s">
        <v>21445</v>
      </c>
      <c r="AF2899" s="15"/>
      <c r="AG2899" s="10"/>
      <c r="AH2899" s="10"/>
      <c r="AI2899" s="10"/>
      <c r="AJ2899" s="10"/>
      <c r="AK2899" s="10" t="s">
        <v>102</v>
      </c>
      <c r="AL2899" s="10" t="s">
        <v>20102</v>
      </c>
      <c r="AM2899" s="10"/>
      <c r="AN2899" s="10"/>
      <c r="AO2899" s="13" t="b">
        <v>0</v>
      </c>
      <c r="AP2899" s="22" t="s">
        <v>221</v>
      </c>
      <c r="AQ2899" s="10">
        <f ca="1">IFERROR(__xludf.DUMMYFUNCTION("""COMPUTED_VALUE"""),18249)</f>
        <v>18249</v>
      </c>
      <c r="AR2899" s="17">
        <v>0</v>
      </c>
      <c r="AS2899" s="17">
        <v>0</v>
      </c>
      <c r="AT2899" s="17">
        <v>0</v>
      </c>
      <c r="AU2899" s="17">
        <v>0</v>
      </c>
      <c r="AV2899" s="17">
        <v>0</v>
      </c>
      <c r="AW2899" s="10" t="s">
        <v>105</v>
      </c>
      <c r="AX2899" s="17"/>
      <c r="AY2899" s="18">
        <v>27.025095432553599</v>
      </c>
      <c r="AZ2899" s="10" t="s">
        <v>106</v>
      </c>
      <c r="BA2899" s="20" t="b">
        <v>1</v>
      </c>
      <c r="BB2899" s="10"/>
      <c r="BC2899" s="17">
        <v>126060</v>
      </c>
      <c r="BD2899" s="17">
        <v>90116</v>
      </c>
      <c r="BE2899" s="17">
        <v>2435393.5</v>
      </c>
      <c r="BF2899" s="17">
        <v>126.1</v>
      </c>
      <c r="BG2899" s="11">
        <f ca="1">IFERROR(__xludf.DUMMYFUNCTION("""COMPUTED_VALUE"""),46011.6666666666)</f>
        <v>46011.666666666599</v>
      </c>
      <c r="BH2899" s="17" t="s">
        <v>105</v>
      </c>
      <c r="BI2899" s="17"/>
      <c r="BJ2899" s="15"/>
      <c r="BK2899" s="15"/>
      <c r="BL2899" s="13" t="b">
        <v>0</v>
      </c>
      <c r="BM2899" s="10"/>
      <c r="BN2899" s="10" t="s">
        <v>197</v>
      </c>
      <c r="BO2899" s="11">
        <v>45995.706944444442</v>
      </c>
      <c r="BP2899" s="11">
        <v>45995.707175925927</v>
      </c>
      <c r="BQ2899" s="15">
        <v>46004.783194444448</v>
      </c>
      <c r="BR2899" s="15">
        <v>46011.022349537037</v>
      </c>
      <c r="BS2899" s="10" t="s">
        <v>197</v>
      </c>
      <c r="BT2899" s="10" t="s">
        <v>99</v>
      </c>
      <c r="BU2899" s="10" t="s">
        <v>1444</v>
      </c>
      <c r="BV2899" s="10"/>
      <c r="BW2899" s="10"/>
      <c r="BX2899" s="10"/>
      <c r="BY2899" s="23"/>
      <c r="BZ2899" s="23"/>
      <c r="CA2899" s="19" t="s">
        <v>21450</v>
      </c>
      <c r="CB2899" s="23"/>
      <c r="CC2899" s="23"/>
      <c r="CD2899" s="19" t="s">
        <v>21451</v>
      </c>
      <c r="CE2899" s="23"/>
      <c r="CF2899" s="23"/>
      <c r="CG2899" s="23"/>
      <c r="CH2899" s="23"/>
      <c r="CI2899" s="23"/>
    </row>
    <row r="2900" spans="1:87" x14ac:dyDescent="0.3">
      <c r="A2900" s="9" t="s">
        <v>21452</v>
      </c>
      <c r="B2900" s="10" t="s">
        <v>21453</v>
      </c>
      <c r="C2900" s="11">
        <v>46012.541666666664</v>
      </c>
      <c r="D2900" s="12">
        <v>0.20833333333333334</v>
      </c>
      <c r="E2900" s="11">
        <v>46012.75</v>
      </c>
      <c r="F2900" s="22" t="s">
        <v>21383</v>
      </c>
      <c r="G2900" s="13" t="b">
        <v>0</v>
      </c>
      <c r="H2900" s="22" t="s">
        <v>21384</v>
      </c>
      <c r="I2900" s="10" t="s">
        <v>9131</v>
      </c>
      <c r="J2900" s="13" t="b">
        <v>0</v>
      </c>
      <c r="K2900" s="13" t="b">
        <v>1</v>
      </c>
      <c r="L2900" s="10" t="s">
        <v>124</v>
      </c>
      <c r="M2900" s="10" t="s">
        <v>91</v>
      </c>
      <c r="N2900" s="10" t="s">
        <v>92</v>
      </c>
      <c r="O2900" s="19" t="s">
        <v>21454</v>
      </c>
      <c r="P2900" s="10"/>
      <c r="Q2900" s="10" t="s">
        <v>126</v>
      </c>
      <c r="R2900" s="10"/>
      <c r="S2900" s="19" t="s">
        <v>21455</v>
      </c>
      <c r="T2900" s="10"/>
      <c r="U2900" s="10"/>
      <c r="V2900" s="10"/>
      <c r="W2900" s="10" t="s">
        <v>21387</v>
      </c>
      <c r="X2900" s="10" t="s">
        <v>216</v>
      </c>
      <c r="Y2900" s="10" t="s">
        <v>216</v>
      </c>
      <c r="Z2900" s="10" t="s">
        <v>99</v>
      </c>
      <c r="AA2900" s="10" t="s">
        <v>131</v>
      </c>
      <c r="AB2900" s="10" t="s">
        <v>21388</v>
      </c>
      <c r="AC2900" s="10" t="s">
        <v>21389</v>
      </c>
      <c r="AD2900" s="10" t="s">
        <v>165</v>
      </c>
      <c r="AE2900" s="10" t="s">
        <v>21456</v>
      </c>
      <c r="AF2900" s="15"/>
      <c r="AG2900" s="10"/>
      <c r="AH2900" s="10"/>
      <c r="AI2900" s="10"/>
      <c r="AJ2900" s="10"/>
      <c r="AK2900" s="10" t="s">
        <v>102</v>
      </c>
      <c r="AL2900" s="10" t="s">
        <v>220</v>
      </c>
      <c r="AM2900" s="10"/>
      <c r="AN2900" s="10"/>
      <c r="AO2900" s="13" t="b">
        <v>0</v>
      </c>
      <c r="AP2900" s="22" t="s">
        <v>221</v>
      </c>
      <c r="AQ2900" s="10">
        <f ca="1">IFERROR(__xludf.DUMMYFUNCTION("""COMPUTED_VALUE"""),18249)</f>
        <v>18249</v>
      </c>
      <c r="AR2900" s="17">
        <v>226</v>
      </c>
      <c r="AS2900" s="17">
        <v>193</v>
      </c>
      <c r="AT2900" s="17">
        <v>607</v>
      </c>
      <c r="AU2900" s="17">
        <v>0.1</v>
      </c>
      <c r="AV2900" s="17">
        <v>0</v>
      </c>
      <c r="AW2900" s="10" t="s">
        <v>105</v>
      </c>
      <c r="AX2900" s="17"/>
      <c r="AY2900" s="18">
        <v>44.239283267682822</v>
      </c>
      <c r="AZ2900" s="10" t="s">
        <v>106</v>
      </c>
      <c r="BA2900" s="20" t="b">
        <v>1</v>
      </c>
      <c r="BB2900" s="10"/>
      <c r="BC2900" s="17">
        <v>84237</v>
      </c>
      <c r="BD2900" s="17">
        <v>58390</v>
      </c>
      <c r="BE2900" s="17">
        <v>2583131.75</v>
      </c>
      <c r="BF2900" s="17">
        <v>75.05</v>
      </c>
      <c r="BG2900" s="11">
        <f ca="1">IFERROR(__xludf.DUMMYFUNCTION("""COMPUTED_VALUE"""),46012.5416666666)</f>
        <v>46012.541666666599</v>
      </c>
      <c r="BH2900" s="17" t="s">
        <v>105</v>
      </c>
      <c r="BI2900" s="17"/>
      <c r="BJ2900" s="15"/>
      <c r="BK2900" s="15"/>
      <c r="BL2900" s="13" t="b">
        <v>0</v>
      </c>
      <c r="BM2900" s="10"/>
      <c r="BN2900" s="10" t="s">
        <v>634</v>
      </c>
      <c r="BO2900" s="11">
        <v>45995.707638888889</v>
      </c>
      <c r="BP2900" s="11">
        <v>46003.612233796295</v>
      </c>
      <c r="BQ2900" s="15">
        <v>46007.77820601852</v>
      </c>
      <c r="BR2900" s="15">
        <v>46011.988946759258</v>
      </c>
      <c r="BS2900" s="10" t="s">
        <v>634</v>
      </c>
      <c r="BT2900" s="10"/>
      <c r="BU2900" s="10"/>
      <c r="BV2900" s="10" t="s">
        <v>281</v>
      </c>
      <c r="BW2900" s="10"/>
      <c r="BX2900" s="10"/>
      <c r="BY2900" s="23"/>
      <c r="BZ2900" s="23"/>
      <c r="CA2900" s="19" t="s">
        <v>21457</v>
      </c>
      <c r="CB2900" s="23"/>
      <c r="CC2900" s="23"/>
      <c r="CD2900" s="19" t="s">
        <v>21458</v>
      </c>
      <c r="CE2900" s="23"/>
      <c r="CF2900" s="23"/>
      <c r="CG2900" s="23"/>
      <c r="CH2900" s="23"/>
      <c r="CI2900" s="23"/>
    </row>
    <row r="2901" spans="1:87" x14ac:dyDescent="0.3">
      <c r="A2901" s="9" t="s">
        <v>21459</v>
      </c>
      <c r="B2901" s="10" t="s">
        <v>21460</v>
      </c>
      <c r="C2901" s="11">
        <v>46001.75</v>
      </c>
      <c r="D2901" s="12">
        <v>8.3333333333333329E-2</v>
      </c>
      <c r="E2901" s="11">
        <v>46001.833333333336</v>
      </c>
      <c r="F2901" s="22" t="s">
        <v>16639</v>
      </c>
      <c r="G2901" s="13" t="b">
        <v>0</v>
      </c>
      <c r="H2901" s="22" t="s">
        <v>16543</v>
      </c>
      <c r="I2901" s="10" t="s">
        <v>212</v>
      </c>
      <c r="J2901" s="13" t="b">
        <v>1</v>
      </c>
      <c r="K2901" s="13" t="b">
        <v>0</v>
      </c>
      <c r="L2901" s="10" t="s">
        <v>124</v>
      </c>
      <c r="M2901" s="10" t="s">
        <v>91</v>
      </c>
      <c r="N2901" s="10" t="s">
        <v>92</v>
      </c>
      <c r="O2901" s="19" t="s">
        <v>21461</v>
      </c>
      <c r="P2901" s="10"/>
      <c r="Q2901" s="10" t="s">
        <v>126</v>
      </c>
      <c r="R2901" s="10"/>
      <c r="S2901" s="19" t="s">
        <v>21462</v>
      </c>
      <c r="T2901" s="10"/>
      <c r="U2901" s="10" t="s">
        <v>16561</v>
      </c>
      <c r="V2901" s="10" t="s">
        <v>16586</v>
      </c>
      <c r="W2901" s="10" t="s">
        <v>16644</v>
      </c>
      <c r="X2901" s="10" t="s">
        <v>16549</v>
      </c>
      <c r="Y2901" s="10" t="s">
        <v>16549</v>
      </c>
      <c r="Z2901" s="10" t="s">
        <v>99</v>
      </c>
      <c r="AA2901" s="10" t="s">
        <v>131</v>
      </c>
      <c r="AB2901" s="10" t="s">
        <v>16645</v>
      </c>
      <c r="AC2901" s="10" t="s">
        <v>16551</v>
      </c>
      <c r="AD2901" s="10" t="s">
        <v>16611</v>
      </c>
      <c r="AE2901" s="10" t="s">
        <v>21463</v>
      </c>
      <c r="AF2901" s="15"/>
      <c r="AG2901" s="10"/>
      <c r="AH2901" s="10"/>
      <c r="AI2901" s="10"/>
      <c r="AJ2901" s="10"/>
      <c r="AK2901" s="10" t="s">
        <v>102</v>
      </c>
      <c r="AL2901" s="10"/>
      <c r="AM2901" s="10"/>
      <c r="AN2901" s="10"/>
      <c r="AO2901" s="13" t="b">
        <v>0</v>
      </c>
      <c r="AP2901" s="22" t="s">
        <v>135</v>
      </c>
      <c r="AQ2901" s="10">
        <f ca="1">IFERROR(__xludf.DUMMYFUNCTION("""COMPUTED_VALUE"""),4773374)</f>
        <v>4773374</v>
      </c>
      <c r="AR2901" s="17">
        <v>9270</v>
      </c>
      <c r="AS2901" s="17">
        <v>7429</v>
      </c>
      <c r="AT2901" s="17">
        <v>81327</v>
      </c>
      <c r="AU2901" s="17">
        <v>25.2</v>
      </c>
      <c r="AV2901" s="17">
        <v>5.6</v>
      </c>
      <c r="AW2901" s="10" t="s">
        <v>105</v>
      </c>
      <c r="AX2901" s="17">
        <v>1717</v>
      </c>
      <c r="AY2901" s="18">
        <v>10.94723381343384</v>
      </c>
      <c r="AZ2901" s="10" t="s">
        <v>3998</v>
      </c>
      <c r="BA2901" s="20" t="b">
        <v>0</v>
      </c>
      <c r="BB2901" s="10"/>
      <c r="BC2901" s="17">
        <v>9270</v>
      </c>
      <c r="BD2901" s="17">
        <v>7429</v>
      </c>
      <c r="BE2901" s="17">
        <v>81327</v>
      </c>
      <c r="BF2901" s="17">
        <v>5.6</v>
      </c>
      <c r="BG2901" s="11">
        <f ca="1">IFERROR(__xludf.DUMMYFUNCTION("""COMPUTED_VALUE"""),46001.75)</f>
        <v>46001.75</v>
      </c>
      <c r="BH2901" s="17" t="s">
        <v>105</v>
      </c>
      <c r="BI2901" s="17"/>
      <c r="BJ2901" s="15"/>
      <c r="BK2901" s="15"/>
      <c r="BL2901" s="13" t="b">
        <v>0</v>
      </c>
      <c r="BM2901" s="10"/>
      <c r="BN2901" s="10" t="s">
        <v>157</v>
      </c>
      <c r="BO2901" s="11">
        <v>45996.448611111111</v>
      </c>
      <c r="BP2901" s="11">
        <v>45996.449166666665</v>
      </c>
      <c r="BQ2901" s="15">
        <v>46000.617349537039</v>
      </c>
      <c r="BR2901" s="15">
        <v>46000.928912037038</v>
      </c>
      <c r="BS2901" s="10" t="s">
        <v>157</v>
      </c>
      <c r="BT2901" s="10" t="s">
        <v>99</v>
      </c>
      <c r="BU2901" s="10" t="s">
        <v>498</v>
      </c>
      <c r="BV2901" s="10"/>
      <c r="BW2901" s="10"/>
      <c r="BX2901" s="10"/>
      <c r="BY2901" s="23"/>
      <c r="BZ2901" s="23"/>
      <c r="CA2901" s="19" t="s">
        <v>21464</v>
      </c>
      <c r="CB2901" s="23"/>
      <c r="CC2901" s="23"/>
      <c r="CD2901" s="19" t="s">
        <v>21465</v>
      </c>
      <c r="CE2901" s="23"/>
      <c r="CF2901" s="23"/>
      <c r="CG2901" s="23"/>
      <c r="CH2901" s="23"/>
      <c r="CI2901" s="23"/>
    </row>
    <row r="2902" spans="1:87" x14ac:dyDescent="0.3">
      <c r="A2902" s="9" t="s">
        <v>21466</v>
      </c>
      <c r="B2902" s="10" t="s">
        <v>21467</v>
      </c>
      <c r="C2902" s="11">
        <v>46002.791666666664</v>
      </c>
      <c r="D2902" s="12">
        <v>8.3333333333333329E-2</v>
      </c>
      <c r="E2902" s="11">
        <v>46002.875</v>
      </c>
      <c r="F2902" s="22" t="s">
        <v>16639</v>
      </c>
      <c r="G2902" s="13" t="b">
        <v>0</v>
      </c>
      <c r="H2902" s="22" t="s">
        <v>16543</v>
      </c>
      <c r="I2902" s="10" t="s">
        <v>212</v>
      </c>
      <c r="J2902" s="13" t="b">
        <v>1</v>
      </c>
      <c r="K2902" s="13" t="b">
        <v>0</v>
      </c>
      <c r="L2902" s="10" t="s">
        <v>124</v>
      </c>
      <c r="M2902" s="10" t="s">
        <v>91</v>
      </c>
      <c r="N2902" s="10" t="s">
        <v>92</v>
      </c>
      <c r="O2902" s="19" t="s">
        <v>21468</v>
      </c>
      <c r="P2902" s="10"/>
      <c r="Q2902" s="10" t="s">
        <v>126</v>
      </c>
      <c r="R2902" s="10"/>
      <c r="S2902" s="19" t="s">
        <v>21469</v>
      </c>
      <c r="T2902" s="10"/>
      <c r="U2902" s="10" t="s">
        <v>16546</v>
      </c>
      <c r="V2902" s="10" t="s">
        <v>16560</v>
      </c>
      <c r="W2902" s="10" t="s">
        <v>16644</v>
      </c>
      <c r="X2902" s="10" t="s">
        <v>16549</v>
      </c>
      <c r="Y2902" s="10" t="s">
        <v>16549</v>
      </c>
      <c r="Z2902" s="10" t="s">
        <v>99</v>
      </c>
      <c r="AA2902" s="10" t="s">
        <v>131</v>
      </c>
      <c r="AB2902" s="10" t="s">
        <v>16645</v>
      </c>
      <c r="AC2902" s="10" t="s">
        <v>16551</v>
      </c>
      <c r="AD2902" s="10" t="s">
        <v>21470</v>
      </c>
      <c r="AE2902" s="10" t="s">
        <v>21471</v>
      </c>
      <c r="AF2902" s="15"/>
      <c r="AG2902" s="10"/>
      <c r="AH2902" s="10"/>
      <c r="AI2902" s="10"/>
      <c r="AJ2902" s="10"/>
      <c r="AK2902" s="10" t="s">
        <v>102</v>
      </c>
      <c r="AL2902" s="10"/>
      <c r="AM2902" s="10"/>
      <c r="AN2902" s="10"/>
      <c r="AO2902" s="13" t="b">
        <v>0</v>
      </c>
      <c r="AP2902" s="22" t="s">
        <v>135</v>
      </c>
      <c r="AQ2902" s="10">
        <f ca="1">IFERROR(__xludf.DUMMYFUNCTION("""COMPUTED_VALUE"""),4773704)</f>
        <v>4773704</v>
      </c>
      <c r="AR2902" s="17">
        <v>11983</v>
      </c>
      <c r="AS2902" s="17">
        <v>8227</v>
      </c>
      <c r="AT2902" s="17">
        <v>230219.25</v>
      </c>
      <c r="AU2902" s="17">
        <v>34.5</v>
      </c>
      <c r="AV2902" s="17">
        <v>5.45</v>
      </c>
      <c r="AW2902" s="10" t="s">
        <v>105</v>
      </c>
      <c r="AX2902" s="17">
        <v>2339</v>
      </c>
      <c r="AY2902" s="18">
        <v>27.9833779020299</v>
      </c>
      <c r="AZ2902" s="10" t="s">
        <v>3998</v>
      </c>
      <c r="BA2902" s="20" t="b">
        <v>0</v>
      </c>
      <c r="BB2902" s="10"/>
      <c r="BC2902" s="17">
        <v>11983</v>
      </c>
      <c r="BD2902" s="17">
        <v>8227</v>
      </c>
      <c r="BE2902" s="17">
        <v>230219.25</v>
      </c>
      <c r="BF2902" s="17">
        <v>5.45</v>
      </c>
      <c r="BG2902" s="11">
        <f ca="1">IFERROR(__xludf.DUMMYFUNCTION("""COMPUTED_VALUE"""),46002.7916666666)</f>
        <v>46002.791666666599</v>
      </c>
      <c r="BH2902" s="17" t="s">
        <v>105</v>
      </c>
      <c r="BI2902" s="17"/>
      <c r="BJ2902" s="15"/>
      <c r="BK2902" s="15"/>
      <c r="BL2902" s="13" t="b">
        <v>0</v>
      </c>
      <c r="BM2902" s="10"/>
      <c r="BN2902" s="10" t="s">
        <v>137</v>
      </c>
      <c r="BO2902" s="11">
        <v>45996.45</v>
      </c>
      <c r="BP2902" s="11">
        <v>45996.450624999998</v>
      </c>
      <c r="BQ2902" s="15">
        <v>46000.621736111112</v>
      </c>
      <c r="BR2902" s="15">
        <v>46001.563472222224</v>
      </c>
      <c r="BS2902" s="10" t="s">
        <v>137</v>
      </c>
      <c r="BT2902" s="10" t="s">
        <v>99</v>
      </c>
      <c r="BU2902" s="10" t="s">
        <v>498</v>
      </c>
      <c r="BV2902" s="10"/>
      <c r="BW2902" s="10"/>
      <c r="BX2902" s="10"/>
      <c r="BY2902" s="23"/>
      <c r="BZ2902" s="23"/>
      <c r="CA2902" s="19" t="s">
        <v>21472</v>
      </c>
      <c r="CB2902" s="23"/>
      <c r="CC2902" s="23"/>
      <c r="CD2902" s="19" t="s">
        <v>21473</v>
      </c>
      <c r="CE2902" s="23"/>
      <c r="CF2902" s="23"/>
      <c r="CG2902" s="23"/>
      <c r="CH2902" s="23"/>
      <c r="CI2902" s="23"/>
    </row>
    <row r="2903" spans="1:87" x14ac:dyDescent="0.3">
      <c r="A2903" s="9" t="s">
        <v>21474</v>
      </c>
      <c r="B2903" s="10" t="s">
        <v>21475</v>
      </c>
      <c r="C2903" s="11">
        <v>46002.958333333336</v>
      </c>
      <c r="D2903" s="12">
        <v>8.3333333333333329E-2</v>
      </c>
      <c r="E2903" s="11">
        <v>46003.041666666664</v>
      </c>
      <c r="F2903" s="22" t="s">
        <v>16639</v>
      </c>
      <c r="G2903" s="13" t="b">
        <v>0</v>
      </c>
      <c r="H2903" s="22" t="s">
        <v>16543</v>
      </c>
      <c r="I2903" s="10" t="s">
        <v>212</v>
      </c>
      <c r="J2903" s="13" t="b">
        <v>1</v>
      </c>
      <c r="K2903" s="13" t="b">
        <v>0</v>
      </c>
      <c r="L2903" s="10" t="s">
        <v>124</v>
      </c>
      <c r="M2903" s="10" t="s">
        <v>91</v>
      </c>
      <c r="N2903" s="10" t="s">
        <v>92</v>
      </c>
      <c r="O2903" s="19" t="s">
        <v>21476</v>
      </c>
      <c r="P2903" s="10"/>
      <c r="Q2903" s="10" t="s">
        <v>126</v>
      </c>
      <c r="R2903" s="10"/>
      <c r="S2903" s="19" t="s">
        <v>21477</v>
      </c>
      <c r="T2903" s="10"/>
      <c r="U2903" s="10" t="s">
        <v>16671</v>
      </c>
      <c r="V2903" s="10" t="s">
        <v>16643</v>
      </c>
      <c r="W2903" s="10" t="s">
        <v>16644</v>
      </c>
      <c r="X2903" s="10" t="s">
        <v>16549</v>
      </c>
      <c r="Y2903" s="10" t="s">
        <v>16549</v>
      </c>
      <c r="Z2903" s="10" t="s">
        <v>99</v>
      </c>
      <c r="AA2903" s="10" t="s">
        <v>131</v>
      </c>
      <c r="AB2903" s="10" t="s">
        <v>16645</v>
      </c>
      <c r="AC2903" s="10" t="s">
        <v>16551</v>
      </c>
      <c r="AD2903" s="10" t="s">
        <v>21478</v>
      </c>
      <c r="AE2903" s="10" t="s">
        <v>21479</v>
      </c>
      <c r="AF2903" s="15"/>
      <c r="AG2903" s="10"/>
      <c r="AH2903" s="10"/>
      <c r="AI2903" s="10"/>
      <c r="AJ2903" s="10"/>
      <c r="AK2903" s="10" t="s">
        <v>102</v>
      </c>
      <c r="AL2903" s="10"/>
      <c r="AM2903" s="10"/>
      <c r="AN2903" s="10"/>
      <c r="AO2903" s="13" t="b">
        <v>0</v>
      </c>
      <c r="AP2903" s="22" t="s">
        <v>135</v>
      </c>
      <c r="AQ2903" s="10">
        <f ca="1">IFERROR(__xludf.DUMMYFUNCTION("""COMPUTED_VALUE"""),4773705)</f>
        <v>4773705</v>
      </c>
      <c r="AR2903" s="17">
        <v>9203</v>
      </c>
      <c r="AS2903" s="17">
        <v>6373</v>
      </c>
      <c r="AT2903" s="17">
        <v>165290</v>
      </c>
      <c r="AU2903" s="17">
        <v>25.4</v>
      </c>
      <c r="AV2903" s="17">
        <v>4.9000000000000004</v>
      </c>
      <c r="AW2903" s="10" t="s">
        <v>105</v>
      </c>
      <c r="AX2903" s="17">
        <v>2377</v>
      </c>
      <c r="AY2903" s="18">
        <v>25.935979915267534</v>
      </c>
      <c r="AZ2903" s="10" t="s">
        <v>3998</v>
      </c>
      <c r="BA2903" s="20" t="b">
        <v>0</v>
      </c>
      <c r="BB2903" s="10"/>
      <c r="BC2903" s="17">
        <v>9203</v>
      </c>
      <c r="BD2903" s="17">
        <v>6373</v>
      </c>
      <c r="BE2903" s="17">
        <v>165290</v>
      </c>
      <c r="BF2903" s="17">
        <v>4.9000000000000004</v>
      </c>
      <c r="BG2903" s="11">
        <f ca="1">IFERROR(__xludf.DUMMYFUNCTION("""COMPUTED_VALUE"""),46002.9583333333)</f>
        <v>46002.958333333299</v>
      </c>
      <c r="BH2903" s="17" t="s">
        <v>105</v>
      </c>
      <c r="BI2903" s="17"/>
      <c r="BJ2903" s="15"/>
      <c r="BK2903" s="15"/>
      <c r="BL2903" s="13" t="b">
        <v>0</v>
      </c>
      <c r="BM2903" s="10"/>
      <c r="BN2903" s="10" t="s">
        <v>137</v>
      </c>
      <c r="BO2903" s="11">
        <v>45996.451388888891</v>
      </c>
      <c r="BP2903" s="11">
        <v>45996.451782407406</v>
      </c>
      <c r="BQ2903" s="15">
        <v>46000.621874999997</v>
      </c>
      <c r="BR2903" s="15">
        <v>46001.563657407409</v>
      </c>
      <c r="BS2903" s="10" t="s">
        <v>137</v>
      </c>
      <c r="BT2903" s="10" t="s">
        <v>99</v>
      </c>
      <c r="BU2903" s="10" t="s">
        <v>498</v>
      </c>
      <c r="BV2903" s="10"/>
      <c r="BW2903" s="10"/>
      <c r="BX2903" s="10"/>
      <c r="BY2903" s="23"/>
      <c r="BZ2903" s="23"/>
      <c r="CA2903" s="19" t="s">
        <v>21480</v>
      </c>
      <c r="CB2903" s="23"/>
      <c r="CC2903" s="23"/>
      <c r="CD2903" s="19" t="s">
        <v>21481</v>
      </c>
      <c r="CE2903" s="23"/>
      <c r="CF2903" s="23"/>
      <c r="CG2903" s="23"/>
      <c r="CH2903" s="23"/>
      <c r="CI2903" s="23"/>
    </row>
    <row r="2904" spans="1:87" x14ac:dyDescent="0.3">
      <c r="A2904" s="25" t="s">
        <v>21482</v>
      </c>
      <c r="B2904" s="10" t="s">
        <v>21483</v>
      </c>
      <c r="C2904" s="11">
        <v>46005.75</v>
      </c>
      <c r="D2904" s="12">
        <v>8.3333333333333329E-2</v>
      </c>
      <c r="E2904" s="11">
        <v>46005.833333333336</v>
      </c>
      <c r="F2904" s="22" t="s">
        <v>16639</v>
      </c>
      <c r="G2904" s="13" t="b">
        <v>0</v>
      </c>
      <c r="H2904" s="22" t="s">
        <v>16543</v>
      </c>
      <c r="I2904" s="10" t="s">
        <v>212</v>
      </c>
      <c r="J2904" s="13" t="b">
        <v>1</v>
      </c>
      <c r="K2904" s="13" t="b">
        <v>0</v>
      </c>
      <c r="L2904" s="10" t="s">
        <v>124</v>
      </c>
      <c r="M2904" s="10" t="s">
        <v>91</v>
      </c>
      <c r="N2904" s="10" t="s">
        <v>92</v>
      </c>
      <c r="O2904" s="19" t="s">
        <v>21484</v>
      </c>
      <c r="P2904" s="10"/>
      <c r="Q2904" s="10" t="s">
        <v>126</v>
      </c>
      <c r="R2904" s="10"/>
      <c r="S2904" s="19" t="s">
        <v>21485</v>
      </c>
      <c r="T2904" s="10"/>
      <c r="U2904" s="10" t="s">
        <v>16643</v>
      </c>
      <c r="V2904" s="10" t="s">
        <v>16594</v>
      </c>
      <c r="W2904" s="10" t="s">
        <v>16644</v>
      </c>
      <c r="X2904" s="10" t="s">
        <v>16549</v>
      </c>
      <c r="Y2904" s="10" t="s">
        <v>16549</v>
      </c>
      <c r="Z2904" s="10" t="s">
        <v>99</v>
      </c>
      <c r="AA2904" s="10" t="s">
        <v>131</v>
      </c>
      <c r="AB2904" s="10" t="s">
        <v>16645</v>
      </c>
      <c r="AC2904" s="10" t="s">
        <v>16551</v>
      </c>
      <c r="AD2904" s="10" t="s">
        <v>21486</v>
      </c>
      <c r="AE2904" s="10" t="s">
        <v>21487</v>
      </c>
      <c r="AF2904" s="15"/>
      <c r="AG2904" s="10"/>
      <c r="AH2904" s="10"/>
      <c r="AI2904" s="10"/>
      <c r="AJ2904" s="10"/>
      <c r="AK2904" s="10" t="s">
        <v>102</v>
      </c>
      <c r="AL2904" s="10"/>
      <c r="AM2904" s="10"/>
      <c r="AN2904" s="10"/>
      <c r="AO2904" s="13" t="b">
        <v>0</v>
      </c>
      <c r="AP2904" s="22" t="s">
        <v>135</v>
      </c>
      <c r="AQ2904" s="10">
        <f ca="1">IFERROR(__xludf.DUMMYFUNCTION("""COMPUTED_VALUE"""),4773815)</f>
        <v>4773815</v>
      </c>
      <c r="AR2904" s="17">
        <v>8302</v>
      </c>
      <c r="AS2904" s="17">
        <v>6055</v>
      </c>
      <c r="AT2904" s="17">
        <v>143501.5</v>
      </c>
      <c r="AU2904" s="17">
        <v>23.65</v>
      </c>
      <c r="AV2904" s="17">
        <v>2.4</v>
      </c>
      <c r="AW2904" s="10" t="s">
        <v>105</v>
      </c>
      <c r="AX2904" s="17">
        <v>2696</v>
      </c>
      <c r="AY2904" s="18">
        <v>23.699669694467381</v>
      </c>
      <c r="AZ2904" s="10" t="s">
        <v>3998</v>
      </c>
      <c r="BA2904" s="20" t="b">
        <v>0</v>
      </c>
      <c r="BB2904" s="10"/>
      <c r="BC2904" s="17">
        <v>8302</v>
      </c>
      <c r="BD2904" s="17">
        <v>6055</v>
      </c>
      <c r="BE2904" s="17">
        <v>143501.5</v>
      </c>
      <c r="BF2904" s="17">
        <v>2.4</v>
      </c>
      <c r="BG2904" s="11">
        <f ca="1">IFERROR(__xludf.DUMMYFUNCTION("""COMPUTED_VALUE"""),46005.75)</f>
        <v>46005.75</v>
      </c>
      <c r="BH2904" s="17" t="s">
        <v>105</v>
      </c>
      <c r="BI2904" s="17"/>
      <c r="BJ2904" s="15"/>
      <c r="BK2904" s="15"/>
      <c r="BL2904" s="13" t="b">
        <v>0</v>
      </c>
      <c r="BM2904" s="10"/>
      <c r="BN2904" s="10" t="s">
        <v>197</v>
      </c>
      <c r="BO2904" s="11">
        <v>45996.45208333333</v>
      </c>
      <c r="BP2904" s="11">
        <v>45996.452291666668</v>
      </c>
      <c r="BQ2904" s="15">
        <v>46001.626875000002</v>
      </c>
      <c r="BR2904" s="15">
        <v>46002.436805555553</v>
      </c>
      <c r="BS2904" s="10" t="s">
        <v>197</v>
      </c>
      <c r="BT2904" s="10" t="s">
        <v>99</v>
      </c>
      <c r="BU2904" s="10" t="s">
        <v>280</v>
      </c>
      <c r="BV2904" s="10"/>
      <c r="BW2904" s="10"/>
      <c r="BX2904" s="10"/>
      <c r="BY2904" s="23"/>
      <c r="BZ2904" s="23"/>
      <c r="CA2904" s="19" t="s">
        <v>21488</v>
      </c>
      <c r="CB2904" s="23"/>
      <c r="CC2904" s="23"/>
      <c r="CD2904" s="19" t="s">
        <v>21489</v>
      </c>
      <c r="CE2904" s="23"/>
      <c r="CF2904" s="23"/>
      <c r="CG2904" s="23"/>
      <c r="CH2904" s="23"/>
      <c r="CI2904" s="23"/>
    </row>
    <row r="2905" spans="1:87" x14ac:dyDescent="0.3">
      <c r="A2905" s="9" t="s">
        <v>21490</v>
      </c>
      <c r="B2905" s="10" t="s">
        <v>21491</v>
      </c>
      <c r="C2905" s="11">
        <v>46005.854166666664</v>
      </c>
      <c r="D2905" s="12">
        <v>8.3333333333333329E-2</v>
      </c>
      <c r="E2905" s="11">
        <v>46005.9375</v>
      </c>
      <c r="F2905" s="22" t="s">
        <v>16639</v>
      </c>
      <c r="G2905" s="13" t="b">
        <v>0</v>
      </c>
      <c r="H2905" s="22" t="s">
        <v>16543</v>
      </c>
      <c r="I2905" s="10" t="s">
        <v>212</v>
      </c>
      <c r="J2905" s="13" t="b">
        <v>1</v>
      </c>
      <c r="K2905" s="13" t="b">
        <v>0</v>
      </c>
      <c r="L2905" s="10" t="s">
        <v>124</v>
      </c>
      <c r="M2905" s="10" t="s">
        <v>91</v>
      </c>
      <c r="N2905" s="10" t="s">
        <v>92</v>
      </c>
      <c r="O2905" s="10"/>
      <c r="P2905" s="10"/>
      <c r="Q2905" s="10" t="s">
        <v>126</v>
      </c>
      <c r="R2905" s="10"/>
      <c r="S2905" s="10"/>
      <c r="T2905" s="10"/>
      <c r="U2905" s="10" t="s">
        <v>16586</v>
      </c>
      <c r="V2905" s="10" t="s">
        <v>16680</v>
      </c>
      <c r="W2905" s="10" t="s">
        <v>16644</v>
      </c>
      <c r="X2905" s="10" t="s">
        <v>16549</v>
      </c>
      <c r="Y2905" s="10" t="s">
        <v>16549</v>
      </c>
      <c r="Z2905" s="10" t="s">
        <v>99</v>
      </c>
      <c r="AA2905" s="10" t="s">
        <v>131</v>
      </c>
      <c r="AB2905" s="10" t="s">
        <v>16645</v>
      </c>
      <c r="AC2905" s="10" t="s">
        <v>16551</v>
      </c>
      <c r="AD2905" s="10" t="s">
        <v>21492</v>
      </c>
      <c r="AE2905" s="10" t="s">
        <v>21493</v>
      </c>
      <c r="AF2905" s="15"/>
      <c r="AG2905" s="10"/>
      <c r="AH2905" s="10"/>
      <c r="AI2905" s="10"/>
      <c r="AJ2905" s="10"/>
      <c r="AK2905" s="10" t="s">
        <v>256</v>
      </c>
      <c r="AL2905" s="10"/>
      <c r="AM2905" s="10"/>
      <c r="AN2905" s="10"/>
      <c r="AO2905" s="13" t="b">
        <v>0</v>
      </c>
      <c r="AP2905" s="22" t="s">
        <v>135</v>
      </c>
      <c r="AQ2905" s="10"/>
      <c r="AR2905" s="17"/>
      <c r="AS2905" s="17"/>
      <c r="AT2905" s="17"/>
      <c r="AU2905" s="17"/>
      <c r="AV2905" s="17"/>
      <c r="AW2905" s="10"/>
      <c r="AX2905" s="17"/>
      <c r="AY2905" s="18" t="s">
        <v>257</v>
      </c>
      <c r="AZ2905" s="10"/>
      <c r="BA2905" s="20" t="b">
        <v>0</v>
      </c>
      <c r="BB2905" s="10"/>
      <c r="BC2905" s="17" t="s">
        <v>257</v>
      </c>
      <c r="BD2905" s="17" t="s">
        <v>257</v>
      </c>
      <c r="BE2905" s="17" t="s">
        <v>257</v>
      </c>
      <c r="BF2905" s="17" t="s">
        <v>257</v>
      </c>
      <c r="BG2905" s="11">
        <f ca="1">IFERROR(__xludf.DUMMYFUNCTION("""COMPUTED_VALUE"""),46005.8541666666)</f>
        <v>46005.854166666599</v>
      </c>
      <c r="BH2905" s="17"/>
      <c r="BI2905" s="17"/>
      <c r="BJ2905" s="15"/>
      <c r="BK2905" s="15"/>
      <c r="BL2905" s="13" t="b">
        <v>0</v>
      </c>
      <c r="BM2905" s="10"/>
      <c r="BN2905" s="10" t="s">
        <v>8529</v>
      </c>
      <c r="BO2905" s="11">
        <v>45996.452777777777</v>
      </c>
      <c r="BP2905" s="11">
        <v>45996.452939814815</v>
      </c>
      <c r="BQ2905" s="15"/>
      <c r="BR2905" s="15"/>
      <c r="BS2905" s="10"/>
      <c r="BT2905" s="10" t="s">
        <v>99</v>
      </c>
      <c r="BU2905" s="10"/>
      <c r="BV2905" s="10"/>
      <c r="BW2905" s="10"/>
      <c r="BX2905" s="10"/>
      <c r="BY2905" s="23"/>
      <c r="BZ2905" s="23"/>
      <c r="CA2905" s="10"/>
      <c r="CB2905" s="23"/>
      <c r="CC2905" s="23"/>
      <c r="CD2905" s="23"/>
      <c r="CE2905" s="23"/>
      <c r="CF2905" s="23"/>
      <c r="CG2905" s="23"/>
      <c r="CH2905" s="23"/>
      <c r="CI2905" s="23"/>
    </row>
    <row r="2906" spans="1:87" x14ac:dyDescent="0.3">
      <c r="A2906" s="9" t="s">
        <v>21494</v>
      </c>
      <c r="B2906" s="10" t="s">
        <v>21495</v>
      </c>
      <c r="C2906" s="11">
        <v>46005.958333333336</v>
      </c>
      <c r="D2906" s="12">
        <v>8.3333333333333329E-2</v>
      </c>
      <c r="E2906" s="11">
        <v>46006.041666666664</v>
      </c>
      <c r="F2906" s="22" t="s">
        <v>16639</v>
      </c>
      <c r="G2906" s="13" t="b">
        <v>0</v>
      </c>
      <c r="H2906" s="22" t="s">
        <v>16543</v>
      </c>
      <c r="I2906" s="10" t="s">
        <v>212</v>
      </c>
      <c r="J2906" s="13" t="b">
        <v>1</v>
      </c>
      <c r="K2906" s="13" t="b">
        <v>0</v>
      </c>
      <c r="L2906" s="10" t="s">
        <v>124</v>
      </c>
      <c r="M2906" s="10" t="s">
        <v>91</v>
      </c>
      <c r="N2906" s="10" t="s">
        <v>92</v>
      </c>
      <c r="O2906" s="19" t="s">
        <v>21496</v>
      </c>
      <c r="P2906" s="10"/>
      <c r="Q2906" s="10" t="s">
        <v>126</v>
      </c>
      <c r="R2906" s="10"/>
      <c r="S2906" s="19" t="s">
        <v>21497</v>
      </c>
      <c r="T2906" s="10"/>
      <c r="U2906" s="10" t="s">
        <v>16654</v>
      </c>
      <c r="V2906" s="10" t="s">
        <v>16570</v>
      </c>
      <c r="W2906" s="10" t="s">
        <v>16644</v>
      </c>
      <c r="X2906" s="10" t="s">
        <v>16549</v>
      </c>
      <c r="Y2906" s="10" t="s">
        <v>16549</v>
      </c>
      <c r="Z2906" s="10" t="s">
        <v>99</v>
      </c>
      <c r="AA2906" s="10" t="s">
        <v>131</v>
      </c>
      <c r="AB2906" s="10" t="s">
        <v>16645</v>
      </c>
      <c r="AC2906" s="10" t="s">
        <v>16551</v>
      </c>
      <c r="AD2906" s="10" t="s">
        <v>21498</v>
      </c>
      <c r="AE2906" s="10" t="s">
        <v>21499</v>
      </c>
      <c r="AF2906" s="15"/>
      <c r="AG2906" s="10"/>
      <c r="AH2906" s="10"/>
      <c r="AI2906" s="10"/>
      <c r="AJ2906" s="10"/>
      <c r="AK2906" s="10" t="s">
        <v>102</v>
      </c>
      <c r="AL2906" s="10"/>
      <c r="AM2906" s="10"/>
      <c r="AN2906" s="10"/>
      <c r="AO2906" s="13" t="b">
        <v>0</v>
      </c>
      <c r="AP2906" s="22" t="s">
        <v>135</v>
      </c>
      <c r="AQ2906" s="10">
        <f ca="1">IFERROR(__xludf.DUMMYFUNCTION("""COMPUTED_VALUE"""),4773818)</f>
        <v>4773818</v>
      </c>
      <c r="AR2906" s="17">
        <v>3389</v>
      </c>
      <c r="AS2906" s="17">
        <v>2891</v>
      </c>
      <c r="AT2906" s="17">
        <v>37567</v>
      </c>
      <c r="AU2906" s="17">
        <v>4.5</v>
      </c>
      <c r="AV2906" s="17">
        <v>0.75</v>
      </c>
      <c r="AW2906" s="10" t="s">
        <v>105</v>
      </c>
      <c r="AX2906" s="17">
        <v>810</v>
      </c>
      <c r="AY2906" s="18">
        <v>12.994465582843306</v>
      </c>
      <c r="AZ2906" s="10" t="s">
        <v>3998</v>
      </c>
      <c r="BA2906" s="20" t="b">
        <v>0</v>
      </c>
      <c r="BB2906" s="10"/>
      <c r="BC2906" s="17">
        <v>3389</v>
      </c>
      <c r="BD2906" s="17">
        <v>2891</v>
      </c>
      <c r="BE2906" s="17">
        <v>37567</v>
      </c>
      <c r="BF2906" s="17">
        <v>0.75</v>
      </c>
      <c r="BG2906" s="11">
        <f ca="1">IFERROR(__xludf.DUMMYFUNCTION("""COMPUTED_VALUE"""),46005.9583333333)</f>
        <v>46005.958333333299</v>
      </c>
      <c r="BH2906" s="17" t="s">
        <v>105</v>
      </c>
      <c r="BI2906" s="17"/>
      <c r="BJ2906" s="15"/>
      <c r="BK2906" s="15"/>
      <c r="BL2906" s="13" t="b">
        <v>0</v>
      </c>
      <c r="BM2906" s="10"/>
      <c r="BN2906" s="10" t="s">
        <v>1149</v>
      </c>
      <c r="BO2906" s="11">
        <v>45996.453472222223</v>
      </c>
      <c r="BP2906" s="11">
        <v>45996.454189814816</v>
      </c>
      <c r="BQ2906" s="15">
        <v>46001.62709490741</v>
      </c>
      <c r="BR2906" s="15">
        <v>46002.437199074076</v>
      </c>
      <c r="BS2906" s="10" t="s">
        <v>1149</v>
      </c>
      <c r="BT2906" s="10" t="s">
        <v>99</v>
      </c>
      <c r="BU2906" s="10" t="s">
        <v>280</v>
      </c>
      <c r="BV2906" s="10"/>
      <c r="BW2906" s="10"/>
      <c r="BX2906" s="10"/>
      <c r="BY2906" s="23"/>
      <c r="BZ2906" s="23"/>
      <c r="CA2906" s="19" t="s">
        <v>21500</v>
      </c>
      <c r="CB2906" s="23"/>
      <c r="CC2906" s="23"/>
      <c r="CD2906" s="19" t="s">
        <v>21501</v>
      </c>
      <c r="CE2906" s="23"/>
      <c r="CF2906" s="23"/>
      <c r="CG2906" s="23"/>
      <c r="CH2906" s="23"/>
      <c r="CI2906" s="23"/>
    </row>
    <row r="2907" spans="1:87" x14ac:dyDescent="0.3">
      <c r="A2907" s="9" t="s">
        <v>21502</v>
      </c>
      <c r="B2907" s="10" t="s">
        <v>21503</v>
      </c>
      <c r="C2907" s="11">
        <v>46008.791666666664</v>
      </c>
      <c r="D2907" s="12">
        <v>8.3333333333333329E-2</v>
      </c>
      <c r="E2907" s="11">
        <v>46008.875</v>
      </c>
      <c r="F2907" s="22" t="s">
        <v>16639</v>
      </c>
      <c r="G2907" s="13" t="b">
        <v>0</v>
      </c>
      <c r="H2907" s="22" t="s">
        <v>16543</v>
      </c>
      <c r="I2907" s="10" t="s">
        <v>212</v>
      </c>
      <c r="J2907" s="13" t="b">
        <v>1</v>
      </c>
      <c r="K2907" s="13" t="b">
        <v>0</v>
      </c>
      <c r="L2907" s="10" t="s">
        <v>124</v>
      </c>
      <c r="M2907" s="10" t="s">
        <v>91</v>
      </c>
      <c r="N2907" s="10" t="s">
        <v>92</v>
      </c>
      <c r="O2907" s="19" t="s">
        <v>21504</v>
      </c>
      <c r="P2907" s="10"/>
      <c r="Q2907" s="10" t="s">
        <v>126</v>
      </c>
      <c r="R2907" s="10"/>
      <c r="S2907" s="19" t="s">
        <v>21505</v>
      </c>
      <c r="T2907" s="10"/>
      <c r="U2907" s="10" t="s">
        <v>16642</v>
      </c>
      <c r="V2907" s="10" t="s">
        <v>16569</v>
      </c>
      <c r="W2907" s="10" t="s">
        <v>16644</v>
      </c>
      <c r="X2907" s="10" t="s">
        <v>16549</v>
      </c>
      <c r="Y2907" s="10" t="s">
        <v>16549</v>
      </c>
      <c r="Z2907" s="10" t="s">
        <v>99</v>
      </c>
      <c r="AA2907" s="10" t="s">
        <v>131</v>
      </c>
      <c r="AB2907" s="10" t="s">
        <v>16645</v>
      </c>
      <c r="AC2907" s="10" t="s">
        <v>16551</v>
      </c>
      <c r="AD2907" s="10" t="s">
        <v>21506</v>
      </c>
      <c r="AE2907" s="10" t="s">
        <v>21507</v>
      </c>
      <c r="AF2907" s="15"/>
      <c r="AG2907" s="10"/>
      <c r="AH2907" s="10"/>
      <c r="AI2907" s="10"/>
      <c r="AJ2907" s="10"/>
      <c r="AK2907" s="10" t="s">
        <v>102</v>
      </c>
      <c r="AL2907" s="10"/>
      <c r="AM2907" s="10"/>
      <c r="AN2907" s="10"/>
      <c r="AO2907" s="13" t="b">
        <v>0</v>
      </c>
      <c r="AP2907" s="22" t="s">
        <v>135</v>
      </c>
      <c r="AQ2907" s="10">
        <f ca="1">IFERROR(__xludf.DUMMYFUNCTION("""COMPUTED_VALUE"""),4783285)</f>
        <v>4783285</v>
      </c>
      <c r="AR2907" s="17">
        <v>5842</v>
      </c>
      <c r="AS2907" s="17">
        <v>3938</v>
      </c>
      <c r="AT2907" s="17">
        <v>108633.5</v>
      </c>
      <c r="AU2907" s="17">
        <v>9.6</v>
      </c>
      <c r="AV2907" s="17">
        <v>2.35</v>
      </c>
      <c r="AW2907" s="10" t="s">
        <v>105</v>
      </c>
      <c r="AX2907" s="17">
        <v>1239</v>
      </c>
      <c r="AY2907" s="18">
        <v>27.585957338750635</v>
      </c>
      <c r="AZ2907" s="10" t="s">
        <v>3998</v>
      </c>
      <c r="BA2907" s="20" t="b">
        <v>0</v>
      </c>
      <c r="BB2907" s="10"/>
      <c r="BC2907" s="17">
        <v>5842</v>
      </c>
      <c r="BD2907" s="17">
        <v>3938</v>
      </c>
      <c r="BE2907" s="17">
        <v>108633.5</v>
      </c>
      <c r="BF2907" s="17">
        <v>2.35</v>
      </c>
      <c r="BG2907" s="11">
        <f ca="1">IFERROR(__xludf.DUMMYFUNCTION("""COMPUTED_VALUE"""),46008.7916666666)</f>
        <v>46008.791666666599</v>
      </c>
      <c r="BH2907" s="17" t="s">
        <v>105</v>
      </c>
      <c r="BI2907" s="17"/>
      <c r="BJ2907" s="15"/>
      <c r="BK2907" s="15"/>
      <c r="BL2907" s="13" t="b">
        <v>0</v>
      </c>
      <c r="BM2907" s="10"/>
      <c r="BN2907" s="10" t="s">
        <v>149</v>
      </c>
      <c r="BO2907" s="11">
        <v>45996.454861111109</v>
      </c>
      <c r="BP2907" s="11">
        <v>45996.455069444448</v>
      </c>
      <c r="BQ2907" s="15">
        <v>46007.560578703706</v>
      </c>
      <c r="BR2907" s="15">
        <v>46007.583483796298</v>
      </c>
      <c r="BS2907" s="10" t="s">
        <v>149</v>
      </c>
      <c r="BT2907" s="10" t="s">
        <v>99</v>
      </c>
      <c r="BU2907" s="10" t="s">
        <v>298</v>
      </c>
      <c r="BV2907" s="10"/>
      <c r="BW2907" s="10"/>
      <c r="BX2907" s="10"/>
      <c r="BY2907" s="23"/>
      <c r="BZ2907" s="23"/>
      <c r="CA2907" s="19" t="s">
        <v>21508</v>
      </c>
      <c r="CB2907" s="23"/>
      <c r="CC2907" s="23"/>
      <c r="CD2907" s="19" t="s">
        <v>21509</v>
      </c>
      <c r="CE2907" s="23"/>
      <c r="CF2907" s="23"/>
      <c r="CG2907" s="23"/>
      <c r="CH2907" s="23"/>
      <c r="CI2907" s="23"/>
    </row>
    <row r="2908" spans="1:87" x14ac:dyDescent="0.3">
      <c r="A2908" s="9" t="s">
        <v>21510</v>
      </c>
      <c r="B2908" s="10" t="s">
        <v>21511</v>
      </c>
      <c r="C2908" s="11">
        <v>46008.916666666664</v>
      </c>
      <c r="D2908" s="12">
        <v>8.3333333333333329E-2</v>
      </c>
      <c r="E2908" s="11">
        <v>46009</v>
      </c>
      <c r="F2908" s="22" t="s">
        <v>16639</v>
      </c>
      <c r="G2908" s="13" t="b">
        <v>0</v>
      </c>
      <c r="H2908" s="22" t="s">
        <v>16543</v>
      </c>
      <c r="I2908" s="10" t="s">
        <v>212</v>
      </c>
      <c r="J2908" s="13" t="b">
        <v>1</v>
      </c>
      <c r="K2908" s="13" t="b">
        <v>0</v>
      </c>
      <c r="L2908" s="10" t="s">
        <v>124</v>
      </c>
      <c r="M2908" s="10" t="s">
        <v>91</v>
      </c>
      <c r="N2908" s="10" t="s">
        <v>92</v>
      </c>
      <c r="O2908" s="19" t="s">
        <v>21512</v>
      </c>
      <c r="P2908" s="10"/>
      <c r="Q2908" s="10" t="s">
        <v>126</v>
      </c>
      <c r="R2908" s="10"/>
      <c r="S2908" s="19" t="s">
        <v>21513</v>
      </c>
      <c r="T2908" s="10"/>
      <c r="U2908" s="10" t="s">
        <v>16680</v>
      </c>
      <c r="V2908" s="10" t="s">
        <v>16654</v>
      </c>
      <c r="W2908" s="10" t="s">
        <v>16644</v>
      </c>
      <c r="X2908" s="10" t="s">
        <v>16549</v>
      </c>
      <c r="Y2908" s="10" t="s">
        <v>16549</v>
      </c>
      <c r="Z2908" s="10" t="s">
        <v>99</v>
      </c>
      <c r="AA2908" s="10" t="s">
        <v>131</v>
      </c>
      <c r="AB2908" s="10" t="s">
        <v>16645</v>
      </c>
      <c r="AC2908" s="10" t="s">
        <v>16551</v>
      </c>
      <c r="AD2908" s="10" t="s">
        <v>21514</v>
      </c>
      <c r="AE2908" s="10" t="s">
        <v>21515</v>
      </c>
      <c r="AF2908" s="15"/>
      <c r="AG2908" s="10"/>
      <c r="AH2908" s="10"/>
      <c r="AI2908" s="10"/>
      <c r="AJ2908" s="10"/>
      <c r="AK2908" s="10" t="s">
        <v>102</v>
      </c>
      <c r="AL2908" s="10"/>
      <c r="AM2908" s="10"/>
      <c r="AN2908" s="10"/>
      <c r="AO2908" s="13" t="b">
        <v>0</v>
      </c>
      <c r="AP2908" s="22" t="s">
        <v>135</v>
      </c>
      <c r="AQ2908" s="10">
        <f ca="1">IFERROR(__xludf.DUMMYFUNCTION("""COMPUTED_VALUE"""),4783286)</f>
        <v>4783286</v>
      </c>
      <c r="AR2908" s="17">
        <v>5286</v>
      </c>
      <c r="AS2908" s="17">
        <v>3852</v>
      </c>
      <c r="AT2908" s="17">
        <v>115315</v>
      </c>
      <c r="AU2908" s="17">
        <v>21.65</v>
      </c>
      <c r="AV2908" s="17">
        <v>1.1499999999999999</v>
      </c>
      <c r="AW2908" s="10" t="s">
        <v>105</v>
      </c>
      <c r="AX2908" s="17">
        <v>1672</v>
      </c>
      <c r="AY2908" s="18">
        <v>29.936396677050883</v>
      </c>
      <c r="AZ2908" s="10" t="s">
        <v>3998</v>
      </c>
      <c r="BA2908" s="20" t="b">
        <v>0</v>
      </c>
      <c r="BB2908" s="10"/>
      <c r="BC2908" s="17">
        <v>5286</v>
      </c>
      <c r="BD2908" s="17">
        <v>3852</v>
      </c>
      <c r="BE2908" s="17">
        <v>115315</v>
      </c>
      <c r="BF2908" s="17">
        <v>1.1499999999999999</v>
      </c>
      <c r="BG2908" s="11">
        <f ca="1">IFERROR(__xludf.DUMMYFUNCTION("""COMPUTED_VALUE"""),46008.9166666666)</f>
        <v>46008.916666666599</v>
      </c>
      <c r="BH2908" s="17" t="s">
        <v>105</v>
      </c>
      <c r="BI2908" s="17"/>
      <c r="BJ2908" s="15"/>
      <c r="BK2908" s="15"/>
      <c r="BL2908" s="13" t="b">
        <v>0</v>
      </c>
      <c r="BM2908" s="10"/>
      <c r="BN2908" s="10" t="s">
        <v>149</v>
      </c>
      <c r="BO2908" s="11">
        <v>45996.455555555556</v>
      </c>
      <c r="BP2908" s="11">
        <v>45996.455694444441</v>
      </c>
      <c r="BQ2908" s="15">
        <v>46007.560763888891</v>
      </c>
      <c r="BR2908" s="15">
        <v>46007.586585648147</v>
      </c>
      <c r="BS2908" s="10" t="s">
        <v>149</v>
      </c>
      <c r="BT2908" s="10" t="s">
        <v>99</v>
      </c>
      <c r="BU2908" s="10" t="s">
        <v>816</v>
      </c>
      <c r="BV2908" s="10"/>
      <c r="BW2908" s="10"/>
      <c r="BX2908" s="10"/>
      <c r="BY2908" s="23"/>
      <c r="BZ2908" s="23"/>
      <c r="CA2908" s="19" t="s">
        <v>21516</v>
      </c>
      <c r="CB2908" s="23"/>
      <c r="CC2908" s="23"/>
      <c r="CD2908" s="19" t="s">
        <v>21517</v>
      </c>
      <c r="CE2908" s="23"/>
      <c r="CF2908" s="23"/>
      <c r="CG2908" s="23"/>
      <c r="CH2908" s="23"/>
      <c r="CI2908" s="23"/>
    </row>
    <row r="2909" spans="1:87" x14ac:dyDescent="0.3">
      <c r="A2909" s="9" t="s">
        <v>21518</v>
      </c>
      <c r="B2909" s="10" t="s">
        <v>21519</v>
      </c>
      <c r="C2909" s="11">
        <v>46012.770833333336</v>
      </c>
      <c r="D2909" s="12">
        <v>8.3333333333333329E-2</v>
      </c>
      <c r="E2909" s="11">
        <v>46012.854166666664</v>
      </c>
      <c r="F2909" s="22" t="s">
        <v>16639</v>
      </c>
      <c r="G2909" s="13" t="b">
        <v>0</v>
      </c>
      <c r="H2909" s="22" t="s">
        <v>16543</v>
      </c>
      <c r="I2909" s="10" t="s">
        <v>212</v>
      </c>
      <c r="J2909" s="13" t="b">
        <v>1</v>
      </c>
      <c r="K2909" s="13" t="b">
        <v>0</v>
      </c>
      <c r="L2909" s="10" t="s">
        <v>124</v>
      </c>
      <c r="M2909" s="10" t="s">
        <v>91</v>
      </c>
      <c r="N2909" s="10" t="s">
        <v>92</v>
      </c>
      <c r="O2909" s="19" t="s">
        <v>21520</v>
      </c>
      <c r="P2909" s="10"/>
      <c r="Q2909" s="10" t="s">
        <v>126</v>
      </c>
      <c r="R2909" s="10"/>
      <c r="S2909" s="19" t="s">
        <v>21521</v>
      </c>
      <c r="T2909" s="10"/>
      <c r="U2909" s="10" t="s">
        <v>16643</v>
      </c>
      <c r="V2909" s="10" t="s">
        <v>16546</v>
      </c>
      <c r="W2909" s="10" t="s">
        <v>16644</v>
      </c>
      <c r="X2909" s="10" t="s">
        <v>16549</v>
      </c>
      <c r="Y2909" s="10" t="s">
        <v>16549</v>
      </c>
      <c r="Z2909" s="10" t="s">
        <v>99</v>
      </c>
      <c r="AA2909" s="10" t="s">
        <v>131</v>
      </c>
      <c r="AB2909" s="10" t="s">
        <v>16645</v>
      </c>
      <c r="AC2909" s="10" t="s">
        <v>16551</v>
      </c>
      <c r="AD2909" s="10" t="s">
        <v>21522</v>
      </c>
      <c r="AE2909" s="10" t="s">
        <v>21523</v>
      </c>
      <c r="AF2909" s="15"/>
      <c r="AG2909" s="10"/>
      <c r="AH2909" s="10"/>
      <c r="AI2909" s="10"/>
      <c r="AJ2909" s="10"/>
      <c r="AK2909" s="10" t="s">
        <v>102</v>
      </c>
      <c r="AL2909" s="10"/>
      <c r="AM2909" s="10"/>
      <c r="AN2909" s="10"/>
      <c r="AO2909" s="13" t="b">
        <v>0</v>
      </c>
      <c r="AP2909" s="22" t="s">
        <v>135</v>
      </c>
      <c r="AQ2909" s="10">
        <f ca="1">IFERROR(__xludf.DUMMYFUNCTION("""COMPUTED_VALUE"""),4783610)</f>
        <v>4783610</v>
      </c>
      <c r="AR2909" s="17">
        <v>8944</v>
      </c>
      <c r="AS2909" s="17">
        <v>6153</v>
      </c>
      <c r="AT2909" s="17">
        <v>148720.25</v>
      </c>
      <c r="AU2909" s="17">
        <v>21.7</v>
      </c>
      <c r="AV2909" s="17">
        <v>1.9</v>
      </c>
      <c r="AW2909" s="10" t="s">
        <v>105</v>
      </c>
      <c r="AX2909" s="17">
        <v>3079</v>
      </c>
      <c r="AY2909" s="18">
        <v>24.170364050056882</v>
      </c>
      <c r="AZ2909" s="10" t="s">
        <v>3998</v>
      </c>
      <c r="BA2909" s="20" t="b">
        <v>0</v>
      </c>
      <c r="BB2909" s="10"/>
      <c r="BC2909" s="17">
        <v>8944</v>
      </c>
      <c r="BD2909" s="17">
        <v>6153</v>
      </c>
      <c r="BE2909" s="17">
        <v>148720.25</v>
      </c>
      <c r="BF2909" s="17">
        <v>1.9</v>
      </c>
      <c r="BG2909" s="11">
        <f ca="1">IFERROR(__xludf.DUMMYFUNCTION("""COMPUTED_VALUE"""),46012.7708333333)</f>
        <v>46012.770833333299</v>
      </c>
      <c r="BH2909" s="17" t="s">
        <v>105</v>
      </c>
      <c r="BI2909" s="17"/>
      <c r="BJ2909" s="15"/>
      <c r="BK2909" s="15"/>
      <c r="BL2909" s="13" t="b">
        <v>0</v>
      </c>
      <c r="BM2909" s="10"/>
      <c r="BN2909" s="10" t="s">
        <v>149</v>
      </c>
      <c r="BO2909" s="11">
        <v>45996.456250000003</v>
      </c>
      <c r="BP2909" s="11">
        <v>46000.556655092594</v>
      </c>
      <c r="BQ2909" s="15">
        <v>46007.561168981483</v>
      </c>
      <c r="BR2909" s="15">
        <v>46008.432662037034</v>
      </c>
      <c r="BS2909" s="10" t="s">
        <v>149</v>
      </c>
      <c r="BT2909" s="10" t="s">
        <v>99</v>
      </c>
      <c r="BU2909" s="10" t="s">
        <v>498</v>
      </c>
      <c r="BV2909" s="10"/>
      <c r="BW2909" s="10"/>
      <c r="BX2909" s="10"/>
      <c r="BY2909" s="23"/>
      <c r="BZ2909" s="23"/>
      <c r="CA2909" s="19" t="s">
        <v>21524</v>
      </c>
      <c r="CB2909" s="23"/>
      <c r="CC2909" s="23"/>
      <c r="CD2909" s="19" t="s">
        <v>21525</v>
      </c>
      <c r="CE2909" s="23"/>
      <c r="CF2909" s="23"/>
      <c r="CG2909" s="23"/>
      <c r="CH2909" s="23"/>
      <c r="CI2909" s="23"/>
    </row>
    <row r="2910" spans="1:87" x14ac:dyDescent="0.3">
      <c r="A2910" s="9" t="s">
        <v>21526</v>
      </c>
      <c r="B2910" s="10" t="s">
        <v>21527</v>
      </c>
      <c r="C2910" s="11">
        <v>46012.875</v>
      </c>
      <c r="D2910" s="12">
        <v>8.3333333333333329E-2</v>
      </c>
      <c r="E2910" s="11">
        <v>46012.958333333336</v>
      </c>
      <c r="F2910" s="22" t="s">
        <v>16639</v>
      </c>
      <c r="G2910" s="13" t="b">
        <v>0</v>
      </c>
      <c r="H2910" s="22" t="s">
        <v>16543</v>
      </c>
      <c r="I2910" s="10" t="s">
        <v>212</v>
      </c>
      <c r="J2910" s="13" t="b">
        <v>1</v>
      </c>
      <c r="K2910" s="13" t="b">
        <v>0</v>
      </c>
      <c r="L2910" s="10" t="s">
        <v>124</v>
      </c>
      <c r="M2910" s="10" t="s">
        <v>91</v>
      </c>
      <c r="N2910" s="10" t="s">
        <v>92</v>
      </c>
      <c r="O2910" s="19" t="s">
        <v>21528</v>
      </c>
      <c r="P2910" s="10"/>
      <c r="Q2910" s="10" t="s">
        <v>126</v>
      </c>
      <c r="R2910" s="10"/>
      <c r="S2910" s="19" t="s">
        <v>21529</v>
      </c>
      <c r="T2910" s="10"/>
      <c r="U2910" s="10" t="s">
        <v>16586</v>
      </c>
      <c r="V2910" s="10" t="s">
        <v>16654</v>
      </c>
      <c r="W2910" s="10" t="s">
        <v>16644</v>
      </c>
      <c r="X2910" s="10" t="s">
        <v>16549</v>
      </c>
      <c r="Y2910" s="10" t="s">
        <v>16549</v>
      </c>
      <c r="Z2910" s="10" t="s">
        <v>99</v>
      </c>
      <c r="AA2910" s="10" t="s">
        <v>131</v>
      </c>
      <c r="AB2910" s="10" t="s">
        <v>16645</v>
      </c>
      <c r="AC2910" s="10" t="s">
        <v>16551</v>
      </c>
      <c r="AD2910" s="10" t="s">
        <v>21530</v>
      </c>
      <c r="AE2910" s="10" t="s">
        <v>21531</v>
      </c>
      <c r="AF2910" s="15"/>
      <c r="AG2910" s="10"/>
      <c r="AH2910" s="10"/>
      <c r="AI2910" s="10"/>
      <c r="AJ2910" s="10"/>
      <c r="AK2910" s="10" t="s">
        <v>102</v>
      </c>
      <c r="AL2910" s="10"/>
      <c r="AM2910" s="10"/>
      <c r="AN2910" s="10"/>
      <c r="AO2910" s="13" t="b">
        <v>0</v>
      </c>
      <c r="AP2910" s="22" t="s">
        <v>135</v>
      </c>
      <c r="AQ2910" s="10">
        <f ca="1">IFERROR(__xludf.DUMMYFUNCTION("""COMPUTED_VALUE"""),4783612)</f>
        <v>4783612</v>
      </c>
      <c r="AR2910" s="17">
        <v>7590</v>
      </c>
      <c r="AS2910" s="17">
        <v>5931</v>
      </c>
      <c r="AT2910" s="17">
        <v>120163.75</v>
      </c>
      <c r="AU2910" s="17">
        <v>18.75</v>
      </c>
      <c r="AV2910" s="17">
        <v>2.6</v>
      </c>
      <c r="AW2910" s="10" t="s">
        <v>105</v>
      </c>
      <c r="AX2910" s="17">
        <v>1546</v>
      </c>
      <c r="AY2910" s="18">
        <v>20.260284943517114</v>
      </c>
      <c r="AZ2910" s="10" t="s">
        <v>3998</v>
      </c>
      <c r="BA2910" s="20" t="b">
        <v>0</v>
      </c>
      <c r="BB2910" s="10"/>
      <c r="BC2910" s="17">
        <v>7590</v>
      </c>
      <c r="BD2910" s="17">
        <v>5931</v>
      </c>
      <c r="BE2910" s="17">
        <v>120163.75</v>
      </c>
      <c r="BF2910" s="17">
        <v>2.6</v>
      </c>
      <c r="BG2910" s="11">
        <f ca="1">IFERROR(__xludf.DUMMYFUNCTION("""COMPUTED_VALUE"""),46012.875)</f>
        <v>46012.875</v>
      </c>
      <c r="BH2910" s="17" t="s">
        <v>105</v>
      </c>
      <c r="BI2910" s="17"/>
      <c r="BJ2910" s="15"/>
      <c r="BK2910" s="15"/>
      <c r="BL2910" s="13" t="b">
        <v>0</v>
      </c>
      <c r="BM2910" s="10"/>
      <c r="BN2910" s="10" t="s">
        <v>667</v>
      </c>
      <c r="BO2910" s="11">
        <v>45996.456944444442</v>
      </c>
      <c r="BP2910" s="11">
        <v>45996.457129629627</v>
      </c>
      <c r="BQ2910" s="15">
        <v>46007.561412037037</v>
      </c>
      <c r="BR2910" s="15">
        <v>46008.442326388889</v>
      </c>
      <c r="BS2910" s="10" t="s">
        <v>667</v>
      </c>
      <c r="BT2910" s="10" t="s">
        <v>99</v>
      </c>
      <c r="BU2910" s="10" t="s">
        <v>498</v>
      </c>
      <c r="BV2910" s="10"/>
      <c r="BW2910" s="10"/>
      <c r="BX2910" s="10"/>
      <c r="BY2910" s="23"/>
      <c r="BZ2910" s="23"/>
      <c r="CA2910" s="19" t="s">
        <v>21532</v>
      </c>
      <c r="CB2910" s="23"/>
      <c r="CC2910" s="23"/>
      <c r="CD2910" s="19" t="s">
        <v>21533</v>
      </c>
      <c r="CE2910" s="23"/>
      <c r="CF2910" s="23"/>
      <c r="CG2910" s="23"/>
      <c r="CH2910" s="23"/>
      <c r="CI2910" s="23"/>
    </row>
    <row r="2911" spans="1:87" x14ac:dyDescent="0.3">
      <c r="A2911" s="9" t="s">
        <v>21534</v>
      </c>
      <c r="B2911" s="10" t="s">
        <v>21535</v>
      </c>
      <c r="C2911" s="11">
        <v>46004.041666666664</v>
      </c>
      <c r="D2911" s="12">
        <v>0.125</v>
      </c>
      <c r="E2911" s="11">
        <v>46004.166666666664</v>
      </c>
      <c r="F2911" s="22" t="s">
        <v>21536</v>
      </c>
      <c r="G2911" s="13" t="b">
        <v>0</v>
      </c>
      <c r="H2911" s="22" t="s">
        <v>20891</v>
      </c>
      <c r="I2911" s="10" t="s">
        <v>20892</v>
      </c>
      <c r="J2911" s="13" t="b">
        <v>0</v>
      </c>
      <c r="K2911" s="13" t="b">
        <v>1</v>
      </c>
      <c r="L2911" s="10" t="s">
        <v>124</v>
      </c>
      <c r="M2911" s="10" t="s">
        <v>91</v>
      </c>
      <c r="N2911" s="10" t="s">
        <v>92</v>
      </c>
      <c r="O2911" s="19" t="s">
        <v>21537</v>
      </c>
      <c r="P2911" s="10"/>
      <c r="Q2911" s="10" t="s">
        <v>126</v>
      </c>
      <c r="R2911" s="10"/>
      <c r="S2911" s="19" t="s">
        <v>21538</v>
      </c>
      <c r="T2911" s="10"/>
      <c r="U2911" s="10"/>
      <c r="V2911" s="10"/>
      <c r="W2911" s="10" t="s">
        <v>20895</v>
      </c>
      <c r="X2911" s="10" t="s">
        <v>20896</v>
      </c>
      <c r="Y2911" s="10" t="s">
        <v>20896</v>
      </c>
      <c r="Z2911" s="10" t="s">
        <v>99</v>
      </c>
      <c r="AA2911" s="10" t="s">
        <v>131</v>
      </c>
      <c r="AB2911" s="10" t="s">
        <v>21539</v>
      </c>
      <c r="AC2911" s="10" t="s">
        <v>20898</v>
      </c>
      <c r="AD2911" s="10" t="s">
        <v>165</v>
      </c>
      <c r="AE2911" s="10" t="s">
        <v>21540</v>
      </c>
      <c r="AF2911" s="15"/>
      <c r="AG2911" s="10"/>
      <c r="AH2911" s="10"/>
      <c r="AI2911" s="10"/>
      <c r="AJ2911" s="10"/>
      <c r="AK2911" s="10" t="s">
        <v>102</v>
      </c>
      <c r="AL2911" s="10"/>
      <c r="AM2911" s="10"/>
      <c r="AN2911" s="10"/>
      <c r="AO2911" s="13" t="b">
        <v>0</v>
      </c>
      <c r="AP2911" s="22"/>
      <c r="AQ2911" s="10">
        <f ca="1">IFERROR(__xludf.DUMMYFUNCTION("""COMPUTED_VALUE"""),4773811)</f>
        <v>4773811</v>
      </c>
      <c r="AR2911" s="17">
        <v>636</v>
      </c>
      <c r="AS2911" s="17">
        <v>619</v>
      </c>
      <c r="AT2911" s="17">
        <v>3611.5</v>
      </c>
      <c r="AU2911" s="17">
        <v>0.5</v>
      </c>
      <c r="AV2911" s="17">
        <v>0</v>
      </c>
      <c r="AW2911" s="10" t="s">
        <v>105</v>
      </c>
      <c r="AX2911" s="17">
        <v>51</v>
      </c>
      <c r="AY2911" s="18">
        <v>5.8344103392568663</v>
      </c>
      <c r="AZ2911" s="10" t="s">
        <v>3998</v>
      </c>
      <c r="BA2911" s="20" t="b">
        <v>0</v>
      </c>
      <c r="BB2911" s="10"/>
      <c r="BC2911" s="17">
        <v>636</v>
      </c>
      <c r="BD2911" s="17">
        <v>619</v>
      </c>
      <c r="BE2911" s="17">
        <v>3611.5</v>
      </c>
      <c r="BF2911" s="17">
        <v>0</v>
      </c>
      <c r="BG2911" s="11">
        <f ca="1">IFERROR(__xludf.DUMMYFUNCTION("""COMPUTED_VALUE"""),46004.0416666666)</f>
        <v>46004.041666666599</v>
      </c>
      <c r="BH2911" s="17" t="s">
        <v>105</v>
      </c>
      <c r="BI2911" s="17"/>
      <c r="BJ2911" s="15"/>
      <c r="BK2911" s="15"/>
      <c r="BL2911" s="13" t="b">
        <v>0</v>
      </c>
      <c r="BM2911" s="10"/>
      <c r="BN2911" s="10" t="s">
        <v>137</v>
      </c>
      <c r="BO2911" s="11">
        <v>45996.452777777777</v>
      </c>
      <c r="BP2911" s="11">
        <v>45996.453240740739</v>
      </c>
      <c r="BQ2911" s="15">
        <v>46001.638321759259</v>
      </c>
      <c r="BR2911" s="15">
        <v>46002.403124999997</v>
      </c>
      <c r="BS2911" s="10" t="s">
        <v>137</v>
      </c>
      <c r="BT2911" s="10"/>
      <c r="BU2911" s="10"/>
      <c r="BV2911" s="10"/>
      <c r="BW2911" s="10"/>
      <c r="BX2911" s="10"/>
      <c r="BY2911" s="23"/>
      <c r="BZ2911" s="23"/>
      <c r="CA2911" s="19" t="s">
        <v>21541</v>
      </c>
      <c r="CB2911" s="23"/>
      <c r="CC2911" s="23"/>
      <c r="CD2911" s="19" t="s">
        <v>21542</v>
      </c>
      <c r="CE2911" s="23"/>
      <c r="CF2911" s="23"/>
      <c r="CG2911" s="23"/>
      <c r="CH2911" s="23"/>
      <c r="CI2911" s="23"/>
    </row>
    <row r="2912" spans="1:87" x14ac:dyDescent="0.3">
      <c r="A2912" s="9" t="s">
        <v>21543</v>
      </c>
      <c r="B2912" s="10" t="s">
        <v>21544</v>
      </c>
      <c r="C2912" s="11">
        <v>46004.75</v>
      </c>
      <c r="D2912" s="12">
        <v>8.3333333333333329E-2</v>
      </c>
      <c r="E2912" s="11">
        <v>46004.833333333336</v>
      </c>
      <c r="F2912" s="22" t="s">
        <v>16719</v>
      </c>
      <c r="G2912" s="13" t="b">
        <v>0</v>
      </c>
      <c r="H2912" s="22" t="s">
        <v>16543</v>
      </c>
      <c r="I2912" s="10" t="s">
        <v>212</v>
      </c>
      <c r="J2912" s="13" t="b">
        <v>1</v>
      </c>
      <c r="K2912" s="13" t="b">
        <v>0</v>
      </c>
      <c r="L2912" s="10" t="s">
        <v>124</v>
      </c>
      <c r="M2912" s="10" t="s">
        <v>91</v>
      </c>
      <c r="N2912" s="10" t="s">
        <v>92</v>
      </c>
      <c r="O2912" s="19" t="s">
        <v>21545</v>
      </c>
      <c r="P2912" s="10"/>
      <c r="Q2912" s="10" t="s">
        <v>126</v>
      </c>
      <c r="R2912" s="10"/>
      <c r="S2912" s="19" t="s">
        <v>21546</v>
      </c>
      <c r="T2912" s="10"/>
      <c r="U2912" s="10" t="s">
        <v>16770</v>
      </c>
      <c r="V2912" s="10" t="s">
        <v>18937</v>
      </c>
      <c r="W2912" s="10" t="s">
        <v>16644</v>
      </c>
      <c r="X2912" s="10" t="s">
        <v>16549</v>
      </c>
      <c r="Y2912" s="10" t="s">
        <v>16549</v>
      </c>
      <c r="Z2912" s="10" t="s">
        <v>99</v>
      </c>
      <c r="AA2912" s="10" t="s">
        <v>131</v>
      </c>
      <c r="AB2912" s="10" t="s">
        <v>16645</v>
      </c>
      <c r="AC2912" s="10" t="s">
        <v>16551</v>
      </c>
      <c r="AD2912" s="10" t="s">
        <v>21547</v>
      </c>
      <c r="AE2912" s="10" t="s">
        <v>21548</v>
      </c>
      <c r="AF2912" s="15"/>
      <c r="AG2912" s="10"/>
      <c r="AH2912" s="10"/>
      <c r="AI2912" s="10"/>
      <c r="AJ2912" s="10"/>
      <c r="AK2912" s="10" t="s">
        <v>102</v>
      </c>
      <c r="AL2912" s="10"/>
      <c r="AM2912" s="10"/>
      <c r="AN2912" s="10"/>
      <c r="AO2912" s="13" t="b">
        <v>0</v>
      </c>
      <c r="AP2912" s="22" t="s">
        <v>104</v>
      </c>
      <c r="AQ2912" s="10">
        <f ca="1">IFERROR(__xludf.DUMMYFUNCTION("""COMPUTED_VALUE"""),4776029)</f>
        <v>4776029</v>
      </c>
      <c r="AR2912" s="17">
        <v>5330</v>
      </c>
      <c r="AS2912" s="17">
        <v>4348</v>
      </c>
      <c r="AT2912" s="17">
        <v>85585</v>
      </c>
      <c r="AU2912" s="17">
        <v>10.4</v>
      </c>
      <c r="AV2912" s="17">
        <v>2.35</v>
      </c>
      <c r="AW2912" s="10" t="s">
        <v>105</v>
      </c>
      <c r="AX2912" s="17">
        <v>1301</v>
      </c>
      <c r="AY2912" s="18">
        <v>19.683762649494021</v>
      </c>
      <c r="AZ2912" s="10" t="s">
        <v>3998</v>
      </c>
      <c r="BA2912" s="20" t="b">
        <v>0</v>
      </c>
      <c r="BB2912" s="10"/>
      <c r="BC2912" s="17">
        <v>5330</v>
      </c>
      <c r="BD2912" s="17">
        <v>4348</v>
      </c>
      <c r="BE2912" s="17">
        <v>85585</v>
      </c>
      <c r="BF2912" s="17">
        <v>2.35</v>
      </c>
      <c r="BG2912" s="11">
        <f ca="1">IFERROR(__xludf.DUMMYFUNCTION("""COMPUTED_VALUE"""),46004.75)</f>
        <v>46004.75</v>
      </c>
      <c r="BH2912" s="17" t="s">
        <v>105</v>
      </c>
      <c r="BI2912" s="17"/>
      <c r="BJ2912" s="15"/>
      <c r="BK2912" s="15"/>
      <c r="BL2912" s="13" t="b">
        <v>0</v>
      </c>
      <c r="BM2912" s="10"/>
      <c r="BN2912" s="10" t="s">
        <v>197</v>
      </c>
      <c r="BO2912" s="11">
        <v>45996.461111111108</v>
      </c>
      <c r="BP2912" s="11">
        <v>45996.46130787037</v>
      </c>
      <c r="BQ2912" s="15">
        <v>46002.57402777778</v>
      </c>
      <c r="BR2912" s="15">
        <v>46003.419988425929</v>
      </c>
      <c r="BS2912" s="10" t="s">
        <v>197</v>
      </c>
      <c r="BT2912" s="10" t="s">
        <v>99</v>
      </c>
      <c r="BU2912" s="10" t="s">
        <v>298</v>
      </c>
      <c r="BV2912" s="10"/>
      <c r="BW2912" s="10"/>
      <c r="BX2912" s="10"/>
      <c r="BY2912" s="23"/>
      <c r="BZ2912" s="23"/>
      <c r="CA2912" s="19" t="s">
        <v>21549</v>
      </c>
      <c r="CB2912" s="23"/>
      <c r="CC2912" s="23"/>
      <c r="CD2912" s="19" t="s">
        <v>21550</v>
      </c>
      <c r="CE2912" s="23"/>
      <c r="CF2912" s="23"/>
      <c r="CG2912" s="23"/>
      <c r="CH2912" s="23"/>
      <c r="CI2912" s="23"/>
    </row>
    <row r="2913" spans="1:87" x14ac:dyDescent="0.3">
      <c r="A2913" s="9" t="s">
        <v>21551</v>
      </c>
      <c r="B2913" s="10" t="s">
        <v>21552</v>
      </c>
      <c r="C2913" s="11">
        <v>46005.083333333336</v>
      </c>
      <c r="D2913" s="12">
        <v>0.125</v>
      </c>
      <c r="E2913" s="11">
        <v>46005.208333333336</v>
      </c>
      <c r="F2913" s="22" t="s">
        <v>21536</v>
      </c>
      <c r="G2913" s="13" t="b">
        <v>0</v>
      </c>
      <c r="H2913" s="22" t="s">
        <v>20891</v>
      </c>
      <c r="I2913" s="10" t="s">
        <v>20892</v>
      </c>
      <c r="J2913" s="13" t="b">
        <v>0</v>
      </c>
      <c r="K2913" s="13" t="b">
        <v>1</v>
      </c>
      <c r="L2913" s="10" t="s">
        <v>124</v>
      </c>
      <c r="M2913" s="10" t="s">
        <v>91</v>
      </c>
      <c r="N2913" s="10" t="s">
        <v>92</v>
      </c>
      <c r="O2913" s="19" t="s">
        <v>21553</v>
      </c>
      <c r="P2913" s="10"/>
      <c r="Q2913" s="10" t="s">
        <v>126</v>
      </c>
      <c r="R2913" s="10"/>
      <c r="S2913" s="19" t="s">
        <v>21554</v>
      </c>
      <c r="T2913" s="10"/>
      <c r="U2913" s="10"/>
      <c r="V2913" s="10"/>
      <c r="W2913" s="10" t="s">
        <v>20895</v>
      </c>
      <c r="X2913" s="10" t="s">
        <v>20896</v>
      </c>
      <c r="Y2913" s="10" t="s">
        <v>20896</v>
      </c>
      <c r="Z2913" s="10" t="s">
        <v>99</v>
      </c>
      <c r="AA2913" s="10" t="s">
        <v>131</v>
      </c>
      <c r="AB2913" s="10" t="s">
        <v>21539</v>
      </c>
      <c r="AC2913" s="10" t="s">
        <v>20898</v>
      </c>
      <c r="AD2913" s="10" t="s">
        <v>165</v>
      </c>
      <c r="AE2913" s="10" t="s">
        <v>21555</v>
      </c>
      <c r="AF2913" s="15"/>
      <c r="AG2913" s="10"/>
      <c r="AH2913" s="10"/>
      <c r="AI2913" s="10"/>
      <c r="AJ2913" s="10"/>
      <c r="AK2913" s="10" t="s">
        <v>102</v>
      </c>
      <c r="AL2913" s="10"/>
      <c r="AM2913" s="10"/>
      <c r="AN2913" s="10"/>
      <c r="AO2913" s="13" t="b">
        <v>0</v>
      </c>
      <c r="AP2913" s="22"/>
      <c r="AQ2913" s="10">
        <f ca="1">IFERROR(__xludf.DUMMYFUNCTION("""COMPUTED_VALUE"""),4773813)</f>
        <v>4773813</v>
      </c>
      <c r="AR2913" s="17">
        <v>512</v>
      </c>
      <c r="AS2913" s="17">
        <v>484</v>
      </c>
      <c r="AT2913" s="17">
        <v>5292.75</v>
      </c>
      <c r="AU2913" s="17">
        <v>0.5</v>
      </c>
      <c r="AV2913" s="17">
        <v>0</v>
      </c>
      <c r="AW2913" s="10" t="s">
        <v>105</v>
      </c>
      <c r="AX2913" s="17">
        <v>48</v>
      </c>
      <c r="AY2913" s="18">
        <v>10.93543388429752</v>
      </c>
      <c r="AZ2913" s="10" t="s">
        <v>3998</v>
      </c>
      <c r="BA2913" s="20" t="b">
        <v>0</v>
      </c>
      <c r="BB2913" s="10"/>
      <c r="BC2913" s="17">
        <v>512</v>
      </c>
      <c r="BD2913" s="17">
        <v>484</v>
      </c>
      <c r="BE2913" s="17">
        <v>5292.75</v>
      </c>
      <c r="BF2913" s="17">
        <v>0</v>
      </c>
      <c r="BG2913" s="11">
        <f ca="1">IFERROR(__xludf.DUMMYFUNCTION("""COMPUTED_VALUE"""),46005.0833333333)</f>
        <v>46005.083333333299</v>
      </c>
      <c r="BH2913" s="17" t="s">
        <v>105</v>
      </c>
      <c r="BI2913" s="17"/>
      <c r="BJ2913" s="15"/>
      <c r="BK2913" s="15"/>
      <c r="BL2913" s="13" t="b">
        <v>0</v>
      </c>
      <c r="BM2913" s="10"/>
      <c r="BN2913" s="10" t="s">
        <v>149</v>
      </c>
      <c r="BO2913" s="11">
        <v>45996.461805555555</v>
      </c>
      <c r="BP2913" s="11">
        <v>45996.462013888886</v>
      </c>
      <c r="BQ2913" s="15">
        <v>46001.638437499998</v>
      </c>
      <c r="BR2913" s="15">
        <v>46002.427511574075</v>
      </c>
      <c r="BS2913" s="10" t="s">
        <v>149</v>
      </c>
      <c r="BT2913" s="10"/>
      <c r="BU2913" s="10"/>
      <c r="BV2913" s="10"/>
      <c r="BW2913" s="10"/>
      <c r="BX2913" s="10"/>
      <c r="BY2913" s="23"/>
      <c r="BZ2913" s="23"/>
      <c r="CA2913" s="19" t="s">
        <v>21556</v>
      </c>
      <c r="CB2913" s="23"/>
      <c r="CC2913" s="23"/>
      <c r="CD2913" s="19" t="s">
        <v>21557</v>
      </c>
      <c r="CE2913" s="23"/>
      <c r="CF2913" s="23"/>
      <c r="CG2913" s="23"/>
      <c r="CH2913" s="23"/>
      <c r="CI2913" s="23"/>
    </row>
    <row r="2914" spans="1:87" x14ac:dyDescent="0.3">
      <c r="A2914" s="9" t="s">
        <v>21558</v>
      </c>
      <c r="B2914" s="10" t="s">
        <v>21559</v>
      </c>
      <c r="C2914" s="11">
        <v>46006.041666666664</v>
      </c>
      <c r="D2914" s="12">
        <v>0.125</v>
      </c>
      <c r="E2914" s="11">
        <v>46006.166666666664</v>
      </c>
      <c r="F2914" s="22" t="s">
        <v>21536</v>
      </c>
      <c r="G2914" s="13" t="b">
        <v>0</v>
      </c>
      <c r="H2914" s="22" t="s">
        <v>20891</v>
      </c>
      <c r="I2914" s="10" t="s">
        <v>20892</v>
      </c>
      <c r="J2914" s="13" t="b">
        <v>0</v>
      </c>
      <c r="K2914" s="13" t="b">
        <v>1</v>
      </c>
      <c r="L2914" s="10" t="s">
        <v>124</v>
      </c>
      <c r="M2914" s="10" t="s">
        <v>91</v>
      </c>
      <c r="N2914" s="10" t="s">
        <v>92</v>
      </c>
      <c r="O2914" s="19" t="s">
        <v>21560</v>
      </c>
      <c r="P2914" s="10"/>
      <c r="Q2914" s="10" t="s">
        <v>126</v>
      </c>
      <c r="R2914" s="10"/>
      <c r="S2914" s="19" t="s">
        <v>21561</v>
      </c>
      <c r="T2914" s="10"/>
      <c r="U2914" s="10"/>
      <c r="V2914" s="10"/>
      <c r="W2914" s="10" t="s">
        <v>20895</v>
      </c>
      <c r="X2914" s="10" t="s">
        <v>20896</v>
      </c>
      <c r="Y2914" s="10" t="s">
        <v>20896</v>
      </c>
      <c r="Z2914" s="10" t="s">
        <v>99</v>
      </c>
      <c r="AA2914" s="10" t="s">
        <v>131</v>
      </c>
      <c r="AB2914" s="10" t="s">
        <v>21539</v>
      </c>
      <c r="AC2914" s="10" t="s">
        <v>20898</v>
      </c>
      <c r="AD2914" s="10" t="s">
        <v>165</v>
      </c>
      <c r="AE2914" s="10" t="s">
        <v>21562</v>
      </c>
      <c r="AF2914" s="15"/>
      <c r="AG2914" s="10"/>
      <c r="AH2914" s="10"/>
      <c r="AI2914" s="10"/>
      <c r="AJ2914" s="10"/>
      <c r="AK2914" s="10" t="s">
        <v>102</v>
      </c>
      <c r="AL2914" s="10"/>
      <c r="AM2914" s="10"/>
      <c r="AN2914" s="10"/>
      <c r="AO2914" s="13" t="b">
        <v>0</v>
      </c>
      <c r="AP2914" s="22"/>
      <c r="AQ2914" s="10">
        <f ca="1">IFERROR(__xludf.DUMMYFUNCTION("""COMPUTED_VALUE"""),4779504)</f>
        <v>4779504</v>
      </c>
      <c r="AR2914" s="17">
        <v>533</v>
      </c>
      <c r="AS2914" s="17">
        <v>515</v>
      </c>
      <c r="AT2914" s="17">
        <v>4241</v>
      </c>
      <c r="AU2914" s="17">
        <v>0</v>
      </c>
      <c r="AV2914" s="17">
        <v>0</v>
      </c>
      <c r="AW2914" s="10" t="s">
        <v>105</v>
      </c>
      <c r="AX2914" s="17">
        <v>63</v>
      </c>
      <c r="AY2914" s="18">
        <v>8.2349514563106805</v>
      </c>
      <c r="AZ2914" s="10" t="s">
        <v>3998</v>
      </c>
      <c r="BA2914" s="20" t="b">
        <v>0</v>
      </c>
      <c r="BB2914" s="10"/>
      <c r="BC2914" s="17">
        <v>533</v>
      </c>
      <c r="BD2914" s="17">
        <v>515</v>
      </c>
      <c r="BE2914" s="17">
        <v>4241</v>
      </c>
      <c r="BF2914" s="17">
        <v>0</v>
      </c>
      <c r="BG2914" s="11">
        <f ca="1">IFERROR(__xludf.DUMMYFUNCTION("""COMPUTED_VALUE"""),46006.0416666666)</f>
        <v>46006.041666666599</v>
      </c>
      <c r="BH2914" s="17" t="s">
        <v>105</v>
      </c>
      <c r="BI2914" s="17"/>
      <c r="BJ2914" s="15"/>
      <c r="BK2914" s="15"/>
      <c r="BL2914" s="13" t="b">
        <v>0</v>
      </c>
      <c r="BM2914" s="10"/>
      <c r="BN2914" s="10" t="s">
        <v>118</v>
      </c>
      <c r="BO2914" s="11">
        <v>45996.461805555555</v>
      </c>
      <c r="BP2914" s="11">
        <v>45996.462476851855</v>
      </c>
      <c r="BQ2914" s="15">
        <v>46001.638553240744</v>
      </c>
      <c r="BR2914" s="15">
        <v>46005.419525462959</v>
      </c>
      <c r="BS2914" s="10" t="s">
        <v>118</v>
      </c>
      <c r="BT2914" s="10"/>
      <c r="BU2914" s="10"/>
      <c r="BV2914" s="10"/>
      <c r="BW2914" s="10"/>
      <c r="BX2914" s="10"/>
      <c r="BY2914" s="23"/>
      <c r="BZ2914" s="23"/>
      <c r="CA2914" s="19" t="s">
        <v>21563</v>
      </c>
      <c r="CB2914" s="23"/>
      <c r="CC2914" s="23"/>
      <c r="CD2914" s="19" t="s">
        <v>21564</v>
      </c>
      <c r="CE2914" s="23"/>
      <c r="CF2914" s="23"/>
      <c r="CG2914" s="23"/>
      <c r="CH2914" s="23"/>
      <c r="CI2914" s="23"/>
    </row>
    <row r="2915" spans="1:87" x14ac:dyDescent="0.3">
      <c r="A2915" s="9" t="s">
        <v>21565</v>
      </c>
      <c r="B2915" s="10" t="s">
        <v>21566</v>
      </c>
      <c r="C2915" s="11">
        <v>46004.854166666664</v>
      </c>
      <c r="D2915" s="12">
        <v>8.3333333333333329E-2</v>
      </c>
      <c r="E2915" s="11">
        <v>46004.9375</v>
      </c>
      <c r="F2915" s="22" t="s">
        <v>16719</v>
      </c>
      <c r="G2915" s="13" t="b">
        <v>0</v>
      </c>
      <c r="H2915" s="22" t="s">
        <v>16543</v>
      </c>
      <c r="I2915" s="10" t="s">
        <v>212</v>
      </c>
      <c r="J2915" s="13" t="b">
        <v>1</v>
      </c>
      <c r="K2915" s="13" t="b">
        <v>0</v>
      </c>
      <c r="L2915" s="10" t="s">
        <v>124</v>
      </c>
      <c r="M2915" s="10" t="s">
        <v>91</v>
      </c>
      <c r="N2915" s="10" t="s">
        <v>92</v>
      </c>
      <c r="O2915" s="19" t="s">
        <v>21567</v>
      </c>
      <c r="P2915" s="10"/>
      <c r="Q2915" s="10" t="s">
        <v>126</v>
      </c>
      <c r="R2915" s="10"/>
      <c r="S2915" s="19" t="s">
        <v>21568</v>
      </c>
      <c r="T2915" s="10"/>
      <c r="U2915" s="10" t="s">
        <v>16751</v>
      </c>
      <c r="V2915" s="10" t="s">
        <v>16723</v>
      </c>
      <c r="W2915" s="10" t="s">
        <v>16644</v>
      </c>
      <c r="X2915" s="10" t="s">
        <v>16549</v>
      </c>
      <c r="Y2915" s="10" t="s">
        <v>16549</v>
      </c>
      <c r="Z2915" s="10" t="s">
        <v>99</v>
      </c>
      <c r="AA2915" s="10" t="s">
        <v>131</v>
      </c>
      <c r="AB2915" s="10" t="s">
        <v>16645</v>
      </c>
      <c r="AC2915" s="10" t="s">
        <v>16551</v>
      </c>
      <c r="AD2915" s="10" t="s">
        <v>21569</v>
      </c>
      <c r="AE2915" s="10" t="s">
        <v>21570</v>
      </c>
      <c r="AF2915" s="15"/>
      <c r="AG2915" s="10"/>
      <c r="AH2915" s="10"/>
      <c r="AI2915" s="10"/>
      <c r="AJ2915" s="10"/>
      <c r="AK2915" s="10" t="s">
        <v>102</v>
      </c>
      <c r="AL2915" s="10"/>
      <c r="AM2915" s="10"/>
      <c r="AN2915" s="10"/>
      <c r="AO2915" s="13" t="b">
        <v>0</v>
      </c>
      <c r="AP2915" s="22" t="s">
        <v>104</v>
      </c>
      <c r="AQ2915" s="10">
        <f ca="1">IFERROR(__xludf.DUMMYFUNCTION("""COMPUTED_VALUE"""),4776028)</f>
        <v>4776028</v>
      </c>
      <c r="AR2915" s="17">
        <v>3739</v>
      </c>
      <c r="AS2915" s="17">
        <v>2867</v>
      </c>
      <c r="AT2915" s="17">
        <v>67613.5</v>
      </c>
      <c r="AU2915" s="17">
        <v>12.95</v>
      </c>
      <c r="AV2915" s="17">
        <v>1.05</v>
      </c>
      <c r="AW2915" s="10" t="s">
        <v>105</v>
      </c>
      <c r="AX2915" s="17">
        <v>711</v>
      </c>
      <c r="AY2915" s="18">
        <v>23.583362399720961</v>
      </c>
      <c r="AZ2915" s="10" t="s">
        <v>3998</v>
      </c>
      <c r="BA2915" s="20" t="b">
        <v>0</v>
      </c>
      <c r="BB2915" s="10"/>
      <c r="BC2915" s="17">
        <v>3739</v>
      </c>
      <c r="BD2915" s="17">
        <v>2867</v>
      </c>
      <c r="BE2915" s="17">
        <v>67613.5</v>
      </c>
      <c r="BF2915" s="17">
        <v>1.05</v>
      </c>
      <c r="BG2915" s="11">
        <f ca="1">IFERROR(__xludf.DUMMYFUNCTION("""COMPUTED_VALUE"""),46004.8541666666)</f>
        <v>46004.854166666599</v>
      </c>
      <c r="BH2915" s="17" t="s">
        <v>105</v>
      </c>
      <c r="BI2915" s="17"/>
      <c r="BJ2915" s="15"/>
      <c r="BK2915" s="15"/>
      <c r="BL2915" s="13" t="b">
        <v>0</v>
      </c>
      <c r="BM2915" s="10"/>
      <c r="BN2915" s="10" t="s">
        <v>197</v>
      </c>
      <c r="BO2915" s="11">
        <v>45996.461805555555</v>
      </c>
      <c r="BP2915" s="11">
        <v>45996.462430555555</v>
      </c>
      <c r="BQ2915" s="15">
        <v>46002.574143518519</v>
      </c>
      <c r="BR2915" s="15">
        <v>46003.420104166667</v>
      </c>
      <c r="BS2915" s="10" t="s">
        <v>197</v>
      </c>
      <c r="BT2915" s="10" t="s">
        <v>99</v>
      </c>
      <c r="BU2915" s="10" t="s">
        <v>280</v>
      </c>
      <c r="BV2915" s="10"/>
      <c r="BW2915" s="10"/>
      <c r="BX2915" s="10"/>
      <c r="BY2915" s="23"/>
      <c r="BZ2915" s="23"/>
      <c r="CA2915" s="19" t="s">
        <v>21571</v>
      </c>
      <c r="CB2915" s="23"/>
      <c r="CC2915" s="23"/>
      <c r="CD2915" s="19" t="s">
        <v>21572</v>
      </c>
      <c r="CE2915" s="23"/>
      <c r="CF2915" s="23"/>
      <c r="CG2915" s="23"/>
      <c r="CH2915" s="23"/>
      <c r="CI2915" s="23"/>
    </row>
    <row r="2916" spans="1:87" x14ac:dyDescent="0.3">
      <c r="A2916" s="9" t="s">
        <v>21573</v>
      </c>
      <c r="B2916" s="10" t="s">
        <v>21574</v>
      </c>
      <c r="C2916" s="11">
        <v>46004.958333333336</v>
      </c>
      <c r="D2916" s="12">
        <v>8.3333333333333329E-2</v>
      </c>
      <c r="E2916" s="11">
        <v>46005.041666666664</v>
      </c>
      <c r="F2916" s="22" t="s">
        <v>16719</v>
      </c>
      <c r="G2916" s="13" t="b">
        <v>0</v>
      </c>
      <c r="H2916" s="22" t="s">
        <v>16543</v>
      </c>
      <c r="I2916" s="10" t="s">
        <v>212</v>
      </c>
      <c r="J2916" s="13" t="b">
        <v>1</v>
      </c>
      <c r="K2916" s="13" t="b">
        <v>0</v>
      </c>
      <c r="L2916" s="10" t="s">
        <v>124</v>
      </c>
      <c r="M2916" s="10" t="s">
        <v>91</v>
      </c>
      <c r="N2916" s="10" t="s">
        <v>92</v>
      </c>
      <c r="O2916" s="19" t="s">
        <v>21575</v>
      </c>
      <c r="P2916" s="10"/>
      <c r="Q2916" s="10" t="s">
        <v>126</v>
      </c>
      <c r="R2916" s="10"/>
      <c r="S2916" s="19" t="s">
        <v>21576</v>
      </c>
      <c r="T2916" s="10"/>
      <c r="U2916" s="10" t="s">
        <v>16732</v>
      </c>
      <c r="V2916" s="10" t="s">
        <v>16742</v>
      </c>
      <c r="W2916" s="10" t="s">
        <v>16644</v>
      </c>
      <c r="X2916" s="10" t="s">
        <v>16549</v>
      </c>
      <c r="Y2916" s="10" t="s">
        <v>16549</v>
      </c>
      <c r="Z2916" s="10" t="s">
        <v>99</v>
      </c>
      <c r="AA2916" s="10" t="s">
        <v>131</v>
      </c>
      <c r="AB2916" s="10" t="s">
        <v>16645</v>
      </c>
      <c r="AC2916" s="10" t="s">
        <v>16551</v>
      </c>
      <c r="AD2916" s="10" t="s">
        <v>21577</v>
      </c>
      <c r="AE2916" s="10" t="s">
        <v>21578</v>
      </c>
      <c r="AF2916" s="15"/>
      <c r="AG2916" s="10"/>
      <c r="AH2916" s="10"/>
      <c r="AI2916" s="10"/>
      <c r="AJ2916" s="10"/>
      <c r="AK2916" s="10" t="s">
        <v>102</v>
      </c>
      <c r="AL2916" s="10"/>
      <c r="AM2916" s="10"/>
      <c r="AN2916" s="10"/>
      <c r="AO2916" s="13" t="b">
        <v>0</v>
      </c>
      <c r="AP2916" s="22" t="s">
        <v>104</v>
      </c>
      <c r="AQ2916" s="10">
        <f ca="1">IFERROR(__xludf.DUMMYFUNCTION("""COMPUTED_VALUE"""),4776030)</f>
        <v>4776030</v>
      </c>
      <c r="AR2916" s="17">
        <v>3292</v>
      </c>
      <c r="AS2916" s="17">
        <v>2166</v>
      </c>
      <c r="AT2916" s="17">
        <v>30451</v>
      </c>
      <c r="AU2916" s="17">
        <v>4.8</v>
      </c>
      <c r="AV2916" s="17">
        <v>0</v>
      </c>
      <c r="AW2916" s="10" t="s">
        <v>105</v>
      </c>
      <c r="AX2916" s="17">
        <v>563</v>
      </c>
      <c r="AY2916" s="18">
        <v>14.058633425669436</v>
      </c>
      <c r="AZ2916" s="10" t="s">
        <v>3998</v>
      </c>
      <c r="BA2916" s="20" t="b">
        <v>0</v>
      </c>
      <c r="BB2916" s="10"/>
      <c r="BC2916" s="17">
        <v>3292</v>
      </c>
      <c r="BD2916" s="17">
        <v>2166</v>
      </c>
      <c r="BE2916" s="17">
        <v>30451</v>
      </c>
      <c r="BF2916" s="17">
        <v>0</v>
      </c>
      <c r="BG2916" s="11">
        <f ca="1">IFERROR(__xludf.DUMMYFUNCTION("""COMPUTED_VALUE"""),46004.9583333333)</f>
        <v>46004.958333333299</v>
      </c>
      <c r="BH2916" s="17" t="s">
        <v>105</v>
      </c>
      <c r="BI2916" s="17"/>
      <c r="BJ2916" s="15"/>
      <c r="BK2916" s="15"/>
      <c r="BL2916" s="13" t="b">
        <v>0</v>
      </c>
      <c r="BM2916" s="10"/>
      <c r="BN2916" s="10" t="s">
        <v>1149</v>
      </c>
      <c r="BO2916" s="11">
        <v>45996.463194444441</v>
      </c>
      <c r="BP2916" s="11">
        <v>45996.463449074072</v>
      </c>
      <c r="BQ2916" s="15">
        <v>46002.574270833335</v>
      </c>
      <c r="BR2916" s="15">
        <v>46003.467962962961</v>
      </c>
      <c r="BS2916" s="10" t="s">
        <v>1149</v>
      </c>
      <c r="BT2916" s="10" t="s">
        <v>99</v>
      </c>
      <c r="BU2916" s="10" t="s">
        <v>298</v>
      </c>
      <c r="BV2916" s="10"/>
      <c r="BW2916" s="10"/>
      <c r="BX2916" s="10"/>
      <c r="BY2916" s="23"/>
      <c r="BZ2916" s="23"/>
      <c r="CA2916" s="19" t="s">
        <v>21579</v>
      </c>
      <c r="CB2916" s="23"/>
      <c r="CC2916" s="23"/>
      <c r="CD2916" s="19" t="s">
        <v>21580</v>
      </c>
      <c r="CE2916" s="23"/>
      <c r="CF2916" s="23"/>
      <c r="CG2916" s="23"/>
      <c r="CH2916" s="23"/>
      <c r="CI2916" s="23"/>
    </row>
    <row r="2917" spans="1:87" x14ac:dyDescent="0.3">
      <c r="A2917" s="9" t="s">
        <v>21581</v>
      </c>
      <c r="B2917" s="10" t="s">
        <v>21582</v>
      </c>
      <c r="C2917" s="11">
        <v>46007.75</v>
      </c>
      <c r="D2917" s="12">
        <v>8.3333333333333329E-2</v>
      </c>
      <c r="E2917" s="11">
        <v>46007.833333333336</v>
      </c>
      <c r="F2917" s="22" t="s">
        <v>16719</v>
      </c>
      <c r="G2917" s="13" t="b">
        <v>0</v>
      </c>
      <c r="H2917" s="22" t="s">
        <v>16543</v>
      </c>
      <c r="I2917" s="10" t="s">
        <v>212</v>
      </c>
      <c r="J2917" s="13" t="b">
        <v>1</v>
      </c>
      <c r="K2917" s="13" t="b">
        <v>0</v>
      </c>
      <c r="L2917" s="10" t="s">
        <v>124</v>
      </c>
      <c r="M2917" s="10" t="s">
        <v>91</v>
      </c>
      <c r="N2917" s="10" t="s">
        <v>92</v>
      </c>
      <c r="O2917" s="19" t="s">
        <v>21583</v>
      </c>
      <c r="P2917" s="10"/>
      <c r="Q2917" s="10" t="s">
        <v>126</v>
      </c>
      <c r="R2917" s="10"/>
      <c r="S2917" s="19" t="s">
        <v>21584</v>
      </c>
      <c r="T2917" s="10"/>
      <c r="U2917" s="10" t="s">
        <v>16769</v>
      </c>
      <c r="V2917" s="10" t="s">
        <v>16732</v>
      </c>
      <c r="W2917" s="10" t="s">
        <v>16644</v>
      </c>
      <c r="X2917" s="10" t="s">
        <v>16549</v>
      </c>
      <c r="Y2917" s="10" t="s">
        <v>16549</v>
      </c>
      <c r="Z2917" s="10" t="s">
        <v>99</v>
      </c>
      <c r="AA2917" s="10" t="s">
        <v>131</v>
      </c>
      <c r="AB2917" s="10" t="s">
        <v>16645</v>
      </c>
      <c r="AC2917" s="10" t="s">
        <v>16551</v>
      </c>
      <c r="AD2917" s="10" t="s">
        <v>21585</v>
      </c>
      <c r="AE2917" s="10" t="s">
        <v>21586</v>
      </c>
      <c r="AF2917" s="15"/>
      <c r="AG2917" s="10"/>
      <c r="AH2917" s="10"/>
      <c r="AI2917" s="10"/>
      <c r="AJ2917" s="10"/>
      <c r="AK2917" s="10" t="s">
        <v>102</v>
      </c>
      <c r="AL2917" s="10"/>
      <c r="AM2917" s="10"/>
      <c r="AN2917" s="10"/>
      <c r="AO2917" s="13" t="b">
        <v>0</v>
      </c>
      <c r="AP2917" s="22" t="s">
        <v>104</v>
      </c>
      <c r="AQ2917" s="10">
        <f ca="1">IFERROR(__xludf.DUMMYFUNCTION("""COMPUTED_VALUE"""),4779487)</f>
        <v>4779487</v>
      </c>
      <c r="AR2917" s="17">
        <v>8296</v>
      </c>
      <c r="AS2917" s="17">
        <v>6437</v>
      </c>
      <c r="AT2917" s="17">
        <v>128614.25</v>
      </c>
      <c r="AU2917" s="17">
        <v>31.95</v>
      </c>
      <c r="AV2917" s="17">
        <v>4.5999999999999996</v>
      </c>
      <c r="AW2917" s="10" t="s">
        <v>105</v>
      </c>
      <c r="AX2917" s="17">
        <v>1568</v>
      </c>
      <c r="AY2917" s="18">
        <v>19.980464502097249</v>
      </c>
      <c r="AZ2917" s="10" t="s">
        <v>136</v>
      </c>
      <c r="BA2917" s="20" t="b">
        <v>0</v>
      </c>
      <c r="BB2917" s="10"/>
      <c r="BC2917" s="17">
        <v>8296</v>
      </c>
      <c r="BD2917" s="17">
        <v>6437</v>
      </c>
      <c r="BE2917" s="17">
        <v>128614.25</v>
      </c>
      <c r="BF2917" s="17">
        <v>4.5999999999999996</v>
      </c>
      <c r="BG2917" s="11">
        <f ca="1">IFERROR(__xludf.DUMMYFUNCTION("""COMPUTED_VALUE"""),46007.75)</f>
        <v>46007.75</v>
      </c>
      <c r="BH2917" s="17" t="s">
        <v>105</v>
      </c>
      <c r="BI2917" s="17"/>
      <c r="BJ2917" s="15"/>
      <c r="BK2917" s="15"/>
      <c r="BL2917" s="13" t="b">
        <v>0</v>
      </c>
      <c r="BM2917" s="10"/>
      <c r="BN2917" s="10" t="s">
        <v>278</v>
      </c>
      <c r="BO2917" s="11">
        <v>45996.463888888888</v>
      </c>
      <c r="BP2917" s="11">
        <v>45996.464004629626</v>
      </c>
      <c r="BQ2917" s="15">
        <v>46004.924791666665</v>
      </c>
      <c r="BR2917" s="15">
        <v>46005.418599537035</v>
      </c>
      <c r="BS2917" s="10" t="s">
        <v>278</v>
      </c>
      <c r="BT2917" s="10" t="s">
        <v>99</v>
      </c>
      <c r="BU2917" s="10" t="s">
        <v>498</v>
      </c>
      <c r="BV2917" s="10"/>
      <c r="BW2917" s="10"/>
      <c r="BX2917" s="10"/>
      <c r="BY2917" s="23"/>
      <c r="BZ2917" s="23"/>
      <c r="CA2917" s="19" t="s">
        <v>21587</v>
      </c>
      <c r="CB2917" s="23"/>
      <c r="CC2917" s="23"/>
      <c r="CD2917" s="19" t="s">
        <v>21588</v>
      </c>
      <c r="CE2917" s="23"/>
      <c r="CF2917" s="23"/>
      <c r="CG2917" s="23"/>
      <c r="CH2917" s="23"/>
      <c r="CI2917" s="23"/>
    </row>
    <row r="2918" spans="1:87" x14ac:dyDescent="0.3">
      <c r="A2918" s="9" t="s">
        <v>21589</v>
      </c>
      <c r="B2918" s="10" t="s">
        <v>21590</v>
      </c>
      <c r="C2918" s="11">
        <v>46007.916666666664</v>
      </c>
      <c r="D2918" s="12">
        <v>8.3333333333333329E-2</v>
      </c>
      <c r="E2918" s="11">
        <v>46008</v>
      </c>
      <c r="F2918" s="22" t="s">
        <v>16719</v>
      </c>
      <c r="G2918" s="13" t="b">
        <v>0</v>
      </c>
      <c r="H2918" s="22" t="s">
        <v>16543</v>
      </c>
      <c r="I2918" s="10" t="s">
        <v>212</v>
      </c>
      <c r="J2918" s="13" t="b">
        <v>1</v>
      </c>
      <c r="K2918" s="13" t="b">
        <v>0</v>
      </c>
      <c r="L2918" s="10" t="s">
        <v>124</v>
      </c>
      <c r="M2918" s="10" t="s">
        <v>91</v>
      </c>
      <c r="N2918" s="10" t="s">
        <v>92</v>
      </c>
      <c r="O2918" s="19" t="s">
        <v>21591</v>
      </c>
      <c r="P2918" s="10"/>
      <c r="Q2918" s="10" t="s">
        <v>126</v>
      </c>
      <c r="R2918" s="10"/>
      <c r="S2918" s="19" t="s">
        <v>21592</v>
      </c>
      <c r="T2918" s="10"/>
      <c r="U2918" s="10" t="s">
        <v>16742</v>
      </c>
      <c r="V2918" s="10" t="s">
        <v>16751</v>
      </c>
      <c r="W2918" s="10" t="s">
        <v>16644</v>
      </c>
      <c r="X2918" s="10" t="s">
        <v>16549</v>
      </c>
      <c r="Y2918" s="10" t="s">
        <v>16549</v>
      </c>
      <c r="Z2918" s="10" t="s">
        <v>99</v>
      </c>
      <c r="AA2918" s="10" t="s">
        <v>131</v>
      </c>
      <c r="AB2918" s="10" t="s">
        <v>16645</v>
      </c>
      <c r="AC2918" s="10" t="s">
        <v>16551</v>
      </c>
      <c r="AD2918" s="10" t="s">
        <v>21593</v>
      </c>
      <c r="AE2918" s="10" t="s">
        <v>21594</v>
      </c>
      <c r="AF2918" s="15"/>
      <c r="AG2918" s="10"/>
      <c r="AH2918" s="10"/>
      <c r="AI2918" s="10"/>
      <c r="AJ2918" s="10"/>
      <c r="AK2918" s="10" t="s">
        <v>102</v>
      </c>
      <c r="AL2918" s="10"/>
      <c r="AM2918" s="10"/>
      <c r="AN2918" s="10"/>
      <c r="AO2918" s="13" t="b">
        <v>0</v>
      </c>
      <c r="AP2918" s="22" t="s">
        <v>104</v>
      </c>
      <c r="AQ2918" s="10">
        <f ca="1">IFERROR(__xludf.DUMMYFUNCTION("""COMPUTED_VALUE"""),4779490)</f>
        <v>4779490</v>
      </c>
      <c r="AR2918" s="17">
        <v>3614</v>
      </c>
      <c r="AS2918" s="17">
        <v>2973</v>
      </c>
      <c r="AT2918" s="17">
        <v>58903</v>
      </c>
      <c r="AU2918" s="17">
        <v>13.05</v>
      </c>
      <c r="AV2918" s="17">
        <v>1.55</v>
      </c>
      <c r="AW2918" s="10" t="s">
        <v>105</v>
      </c>
      <c r="AX2918" s="17">
        <v>811</v>
      </c>
      <c r="AY2918" s="18">
        <v>19.812647157753112</v>
      </c>
      <c r="AZ2918" s="10" t="s">
        <v>136</v>
      </c>
      <c r="BA2918" s="20" t="b">
        <v>0</v>
      </c>
      <c r="BB2918" s="10"/>
      <c r="BC2918" s="17">
        <v>3614</v>
      </c>
      <c r="BD2918" s="17">
        <v>2973</v>
      </c>
      <c r="BE2918" s="17">
        <v>58903</v>
      </c>
      <c r="BF2918" s="17">
        <v>1.55</v>
      </c>
      <c r="BG2918" s="11">
        <f ca="1">IFERROR(__xludf.DUMMYFUNCTION("""COMPUTED_VALUE"""),46007.9166666666)</f>
        <v>46007.916666666599</v>
      </c>
      <c r="BH2918" s="17" t="s">
        <v>105</v>
      </c>
      <c r="BI2918" s="17"/>
      <c r="BJ2918" s="15"/>
      <c r="BK2918" s="15"/>
      <c r="BL2918" s="13" t="b">
        <v>0</v>
      </c>
      <c r="BM2918" s="10"/>
      <c r="BN2918" s="10" t="s">
        <v>278</v>
      </c>
      <c r="BO2918" s="11">
        <v>45996.464583333334</v>
      </c>
      <c r="BP2918" s="11">
        <v>45996.464745370373</v>
      </c>
      <c r="BQ2918" s="15">
        <v>46004.925462962965</v>
      </c>
      <c r="BR2918" s="15">
        <v>46005.418877314813</v>
      </c>
      <c r="BS2918" s="10" t="s">
        <v>278</v>
      </c>
      <c r="BT2918" s="10" t="s">
        <v>99</v>
      </c>
      <c r="BU2918" s="10" t="s">
        <v>498</v>
      </c>
      <c r="BV2918" s="10"/>
      <c r="BW2918" s="10"/>
      <c r="BX2918" s="10"/>
      <c r="BY2918" s="23"/>
      <c r="BZ2918" s="23"/>
      <c r="CA2918" s="19" t="s">
        <v>21595</v>
      </c>
      <c r="CB2918" s="23"/>
      <c r="CC2918" s="23"/>
      <c r="CD2918" s="19" t="s">
        <v>21596</v>
      </c>
      <c r="CE2918" s="23"/>
      <c r="CF2918" s="23"/>
      <c r="CG2918" s="23"/>
      <c r="CH2918" s="23"/>
      <c r="CI2918" s="23"/>
    </row>
    <row r="2919" spans="1:87" x14ac:dyDescent="0.3">
      <c r="A2919" s="9" t="s">
        <v>21597</v>
      </c>
      <c r="B2919" s="10" t="s">
        <v>21598</v>
      </c>
      <c r="C2919" s="11">
        <v>46011.770833333336</v>
      </c>
      <c r="D2919" s="12">
        <v>8.3333333333333329E-2</v>
      </c>
      <c r="E2919" s="11">
        <v>46011.854166666664</v>
      </c>
      <c r="F2919" s="22" t="s">
        <v>16719</v>
      </c>
      <c r="G2919" s="13" t="b">
        <v>0</v>
      </c>
      <c r="H2919" s="22" t="s">
        <v>16543</v>
      </c>
      <c r="I2919" s="10" t="s">
        <v>212</v>
      </c>
      <c r="J2919" s="13" t="b">
        <v>1</v>
      </c>
      <c r="K2919" s="13" t="b">
        <v>0</v>
      </c>
      <c r="L2919" s="10" t="s">
        <v>124</v>
      </c>
      <c r="M2919" s="10" t="s">
        <v>91</v>
      </c>
      <c r="N2919" s="10" t="s">
        <v>92</v>
      </c>
      <c r="O2919" s="19" t="s">
        <v>21599</v>
      </c>
      <c r="P2919" s="10"/>
      <c r="Q2919" s="10" t="s">
        <v>126</v>
      </c>
      <c r="R2919" s="10"/>
      <c r="S2919" s="19" t="s">
        <v>21600</v>
      </c>
      <c r="T2919" s="10"/>
      <c r="U2919" s="10" t="s">
        <v>18937</v>
      </c>
      <c r="V2919" s="10" t="s">
        <v>16722</v>
      </c>
      <c r="W2919" s="10" t="s">
        <v>16644</v>
      </c>
      <c r="X2919" s="10" t="s">
        <v>16549</v>
      </c>
      <c r="Y2919" s="10" t="s">
        <v>16549</v>
      </c>
      <c r="Z2919" s="10" t="s">
        <v>99</v>
      </c>
      <c r="AA2919" s="10" t="s">
        <v>131</v>
      </c>
      <c r="AB2919" s="10" t="s">
        <v>16645</v>
      </c>
      <c r="AC2919" s="10" t="s">
        <v>16551</v>
      </c>
      <c r="AD2919" s="10" t="s">
        <v>21601</v>
      </c>
      <c r="AE2919" s="10" t="s">
        <v>21602</v>
      </c>
      <c r="AF2919" s="15"/>
      <c r="AG2919" s="10"/>
      <c r="AH2919" s="10"/>
      <c r="AI2919" s="10"/>
      <c r="AJ2919" s="10"/>
      <c r="AK2919" s="10" t="s">
        <v>102</v>
      </c>
      <c r="AL2919" s="10"/>
      <c r="AM2919" s="10"/>
      <c r="AN2919" s="10"/>
      <c r="AO2919" s="13" t="b">
        <v>0</v>
      </c>
      <c r="AP2919" s="22" t="s">
        <v>104</v>
      </c>
      <c r="AQ2919" s="10">
        <f ca="1">IFERROR(__xludf.DUMMYFUNCTION("""COMPUTED_VALUE"""),4783609)</f>
        <v>4783609</v>
      </c>
      <c r="AR2919" s="17">
        <v>5759</v>
      </c>
      <c r="AS2919" s="17">
        <v>4433</v>
      </c>
      <c r="AT2919" s="17">
        <v>65558.5</v>
      </c>
      <c r="AU2919" s="17">
        <v>12</v>
      </c>
      <c r="AV2919" s="17">
        <v>0.95</v>
      </c>
      <c r="AW2919" s="10" t="s">
        <v>105</v>
      </c>
      <c r="AX2919" s="17">
        <v>790</v>
      </c>
      <c r="AY2919" s="18">
        <v>14.788743514549965</v>
      </c>
      <c r="AZ2919" s="10" t="s">
        <v>136</v>
      </c>
      <c r="BA2919" s="20" t="b">
        <v>0</v>
      </c>
      <c r="BB2919" s="10"/>
      <c r="BC2919" s="17">
        <v>5759</v>
      </c>
      <c r="BD2919" s="17">
        <v>4433</v>
      </c>
      <c r="BE2919" s="17">
        <v>65558.5</v>
      </c>
      <c r="BF2919" s="17">
        <v>0.95</v>
      </c>
      <c r="BG2919" s="11">
        <f ca="1">IFERROR(__xludf.DUMMYFUNCTION("""COMPUTED_VALUE"""),46011.7708333333)</f>
        <v>46011.770833333299</v>
      </c>
      <c r="BH2919" s="17" t="s">
        <v>105</v>
      </c>
      <c r="BI2919" s="17"/>
      <c r="BJ2919" s="15"/>
      <c r="BK2919" s="15"/>
      <c r="BL2919" s="13" t="b">
        <v>0</v>
      </c>
      <c r="BM2919" s="10"/>
      <c r="BN2919" s="10" t="s">
        <v>197</v>
      </c>
      <c r="BO2919" s="11">
        <v>45996.465277777781</v>
      </c>
      <c r="BP2919" s="11">
        <v>46000.559687499997</v>
      </c>
      <c r="BQ2919" s="15">
        <v>46004.931828703702</v>
      </c>
      <c r="BR2919" s="15">
        <v>46008.430868055555</v>
      </c>
      <c r="BS2919" s="10" t="s">
        <v>197</v>
      </c>
      <c r="BT2919" s="10" t="s">
        <v>99</v>
      </c>
      <c r="BU2919" s="10" t="s">
        <v>8898</v>
      </c>
      <c r="BV2919" s="10"/>
      <c r="BW2919" s="10"/>
      <c r="BX2919" s="10"/>
      <c r="BY2919" s="23"/>
      <c r="BZ2919" s="23"/>
      <c r="CA2919" s="19" t="s">
        <v>21603</v>
      </c>
      <c r="CB2919" s="23"/>
      <c r="CC2919" s="23"/>
      <c r="CD2919" s="19" t="s">
        <v>21604</v>
      </c>
      <c r="CE2919" s="23"/>
      <c r="CF2919" s="23"/>
      <c r="CG2919" s="23"/>
      <c r="CH2919" s="23"/>
      <c r="CI2919" s="23"/>
    </row>
    <row r="2920" spans="1:87" x14ac:dyDescent="0.3">
      <c r="A2920" s="9" t="s">
        <v>21605</v>
      </c>
      <c r="B2920" s="10" t="s">
        <v>21606</v>
      </c>
      <c r="C2920" s="11">
        <v>46011.875</v>
      </c>
      <c r="D2920" s="12">
        <v>8.3333333333333329E-2</v>
      </c>
      <c r="E2920" s="11">
        <v>46011.958333333336</v>
      </c>
      <c r="F2920" s="22" t="s">
        <v>16719</v>
      </c>
      <c r="G2920" s="13" t="b">
        <v>0</v>
      </c>
      <c r="H2920" s="22" t="s">
        <v>16543</v>
      </c>
      <c r="I2920" s="10" t="s">
        <v>212</v>
      </c>
      <c r="J2920" s="13" t="b">
        <v>1</v>
      </c>
      <c r="K2920" s="13" t="b">
        <v>0</v>
      </c>
      <c r="L2920" s="10" t="s">
        <v>124</v>
      </c>
      <c r="M2920" s="10" t="s">
        <v>91</v>
      </c>
      <c r="N2920" s="10" t="s">
        <v>92</v>
      </c>
      <c r="O2920" s="19" t="s">
        <v>21607</v>
      </c>
      <c r="P2920" s="10"/>
      <c r="Q2920" s="10" t="s">
        <v>126</v>
      </c>
      <c r="R2920" s="10"/>
      <c r="S2920" s="19" t="s">
        <v>21608</v>
      </c>
      <c r="T2920" s="10"/>
      <c r="U2920" s="10" t="s">
        <v>16733</v>
      </c>
      <c r="V2920" s="10" t="s">
        <v>16786</v>
      </c>
      <c r="W2920" s="10" t="s">
        <v>16644</v>
      </c>
      <c r="X2920" s="10" t="s">
        <v>16549</v>
      </c>
      <c r="Y2920" s="10" t="s">
        <v>16549</v>
      </c>
      <c r="Z2920" s="10" t="s">
        <v>99</v>
      </c>
      <c r="AA2920" s="10" t="s">
        <v>131</v>
      </c>
      <c r="AB2920" s="10" t="s">
        <v>16645</v>
      </c>
      <c r="AC2920" s="10" t="s">
        <v>16551</v>
      </c>
      <c r="AD2920" s="10" t="s">
        <v>21609</v>
      </c>
      <c r="AE2920" s="10" t="s">
        <v>21610</v>
      </c>
      <c r="AF2920" s="15"/>
      <c r="AG2920" s="10"/>
      <c r="AH2920" s="10"/>
      <c r="AI2920" s="10"/>
      <c r="AJ2920" s="10"/>
      <c r="AK2920" s="10" t="s">
        <v>102</v>
      </c>
      <c r="AL2920" s="10"/>
      <c r="AM2920" s="10"/>
      <c r="AN2920" s="10"/>
      <c r="AO2920" s="13" t="b">
        <v>0</v>
      </c>
      <c r="AP2920" s="22" t="s">
        <v>104</v>
      </c>
      <c r="AQ2920" s="10">
        <f ca="1">IFERROR(__xludf.DUMMYFUNCTION("""COMPUTED_VALUE"""),4783611)</f>
        <v>4783611</v>
      </c>
      <c r="AR2920" s="17">
        <v>4677</v>
      </c>
      <c r="AS2920" s="17">
        <v>3798</v>
      </c>
      <c r="AT2920" s="17">
        <v>59117.25</v>
      </c>
      <c r="AU2920" s="17">
        <v>8.25</v>
      </c>
      <c r="AV2920" s="17">
        <v>0.4</v>
      </c>
      <c r="AW2920" s="10" t="s">
        <v>105</v>
      </c>
      <c r="AX2920" s="17">
        <v>938</v>
      </c>
      <c r="AY2920" s="18">
        <v>15.565363349131122</v>
      </c>
      <c r="AZ2920" s="10" t="s">
        <v>136</v>
      </c>
      <c r="BA2920" s="20" t="b">
        <v>0</v>
      </c>
      <c r="BB2920" s="10"/>
      <c r="BC2920" s="17">
        <v>4677</v>
      </c>
      <c r="BD2920" s="17">
        <v>3798</v>
      </c>
      <c r="BE2920" s="17">
        <v>59117.25</v>
      </c>
      <c r="BF2920" s="17">
        <v>0.4</v>
      </c>
      <c r="BG2920" s="11">
        <f ca="1">IFERROR(__xludf.DUMMYFUNCTION("""COMPUTED_VALUE"""),46011.875)</f>
        <v>46011.875</v>
      </c>
      <c r="BH2920" s="17" t="s">
        <v>105</v>
      </c>
      <c r="BI2920" s="17"/>
      <c r="BJ2920" s="15"/>
      <c r="BK2920" s="15"/>
      <c r="BL2920" s="13" t="b">
        <v>0</v>
      </c>
      <c r="BM2920" s="10"/>
      <c r="BN2920" s="10" t="s">
        <v>197</v>
      </c>
      <c r="BO2920" s="11">
        <v>45996.46597222222</v>
      </c>
      <c r="BP2920" s="11">
        <v>45996.466435185182</v>
      </c>
      <c r="BQ2920" s="15">
        <v>46004.932013888887</v>
      </c>
      <c r="BR2920" s="15">
        <v>46008.44085648148</v>
      </c>
      <c r="BS2920" s="10" t="s">
        <v>197</v>
      </c>
      <c r="BT2920" s="10" t="s">
        <v>99</v>
      </c>
      <c r="BU2920" s="10" t="s">
        <v>8898</v>
      </c>
      <c r="BV2920" s="10"/>
      <c r="BW2920" s="10"/>
      <c r="BX2920" s="10"/>
      <c r="BY2920" s="23"/>
      <c r="BZ2920" s="23"/>
      <c r="CA2920" s="19" t="s">
        <v>21611</v>
      </c>
      <c r="CB2920" s="23"/>
      <c r="CC2920" s="23"/>
      <c r="CD2920" s="19" t="s">
        <v>21612</v>
      </c>
      <c r="CE2920" s="23"/>
      <c r="CF2920" s="23"/>
      <c r="CG2920" s="23"/>
      <c r="CH2920" s="23"/>
      <c r="CI2920" s="23"/>
    </row>
    <row r="2921" spans="1:87" x14ac:dyDescent="0.3">
      <c r="A2921" s="25" t="s">
        <v>21613</v>
      </c>
      <c r="B2921" s="10" t="s">
        <v>21614</v>
      </c>
      <c r="C2921" s="11">
        <v>46018.770833333336</v>
      </c>
      <c r="D2921" s="12">
        <v>8.3333333333333329E-2</v>
      </c>
      <c r="E2921" s="11">
        <v>46018.854166666664</v>
      </c>
      <c r="F2921" s="22" t="s">
        <v>16719</v>
      </c>
      <c r="G2921" s="13" t="b">
        <v>0</v>
      </c>
      <c r="H2921" s="22" t="s">
        <v>16543</v>
      </c>
      <c r="I2921" s="10" t="s">
        <v>212</v>
      </c>
      <c r="J2921" s="13" t="b">
        <v>1</v>
      </c>
      <c r="K2921" s="13" t="b">
        <v>0</v>
      </c>
      <c r="L2921" s="10" t="s">
        <v>124</v>
      </c>
      <c r="M2921" s="10" t="s">
        <v>91</v>
      </c>
      <c r="N2921" s="10" t="s">
        <v>92</v>
      </c>
      <c r="O2921" s="19" t="s">
        <v>21615</v>
      </c>
      <c r="P2921" s="10"/>
      <c r="Q2921" s="10" t="s">
        <v>126</v>
      </c>
      <c r="R2921" s="10"/>
      <c r="S2921" s="19" t="s">
        <v>21616</v>
      </c>
      <c r="T2921" s="10"/>
      <c r="U2921" s="10" t="s">
        <v>16742</v>
      </c>
      <c r="V2921" s="10" t="s">
        <v>16770</v>
      </c>
      <c r="W2921" s="10" t="s">
        <v>16644</v>
      </c>
      <c r="X2921" s="10" t="s">
        <v>16549</v>
      </c>
      <c r="Y2921" s="10" t="s">
        <v>16549</v>
      </c>
      <c r="Z2921" s="10" t="s">
        <v>99</v>
      </c>
      <c r="AA2921" s="10" t="s">
        <v>131</v>
      </c>
      <c r="AB2921" s="10" t="s">
        <v>16645</v>
      </c>
      <c r="AC2921" s="10" t="s">
        <v>16551</v>
      </c>
      <c r="AD2921" s="10" t="s">
        <v>21617</v>
      </c>
      <c r="AE2921" s="10" t="s">
        <v>21618</v>
      </c>
      <c r="AF2921" s="15"/>
      <c r="AG2921" s="10"/>
      <c r="AH2921" s="10"/>
      <c r="AI2921" s="10"/>
      <c r="AJ2921" s="10"/>
      <c r="AK2921" s="10" t="s">
        <v>102</v>
      </c>
      <c r="AL2921" s="10"/>
      <c r="AM2921" s="10"/>
      <c r="AN2921" s="10"/>
      <c r="AO2921" s="13" t="b">
        <v>0</v>
      </c>
      <c r="AP2921" s="22" t="s">
        <v>104</v>
      </c>
      <c r="AQ2921" s="10">
        <f ca="1">IFERROR(__xludf.DUMMYFUNCTION("""COMPUTED_VALUE"""),4791216)</f>
        <v>4791216</v>
      </c>
      <c r="AR2921" s="17">
        <v>7685</v>
      </c>
      <c r="AS2921" s="17">
        <v>5437</v>
      </c>
      <c r="AT2921" s="17">
        <v>101238.75</v>
      </c>
      <c r="AU2921" s="17">
        <v>23.15</v>
      </c>
      <c r="AV2921" s="17">
        <v>1</v>
      </c>
      <c r="AW2921" s="10" t="s">
        <v>105</v>
      </c>
      <c r="AX2921" s="17">
        <v>1385</v>
      </c>
      <c r="AY2921" s="18">
        <v>18.620332904175097</v>
      </c>
      <c r="AZ2921" s="10" t="s">
        <v>136</v>
      </c>
      <c r="BA2921" s="20" t="b">
        <v>0</v>
      </c>
      <c r="BB2921" s="10"/>
      <c r="BC2921" s="17">
        <v>7685</v>
      </c>
      <c r="BD2921" s="17">
        <v>5437</v>
      </c>
      <c r="BE2921" s="17">
        <v>101238.75</v>
      </c>
      <c r="BF2921" s="17">
        <v>1</v>
      </c>
      <c r="BG2921" s="11">
        <f ca="1">IFERROR(__xludf.DUMMYFUNCTION("""COMPUTED_VALUE"""),46018.7708333333)</f>
        <v>46018.770833333299</v>
      </c>
      <c r="BH2921" s="17" t="s">
        <v>105</v>
      </c>
      <c r="BI2921" s="17"/>
      <c r="BJ2921" s="15"/>
      <c r="BK2921" s="15"/>
      <c r="BL2921" s="13" t="b">
        <v>0</v>
      </c>
      <c r="BM2921" s="10"/>
      <c r="BN2921" s="10" t="s">
        <v>278</v>
      </c>
      <c r="BO2921" s="11">
        <v>45996.467361111114</v>
      </c>
      <c r="BP2921" s="11">
        <v>46006.708518518521</v>
      </c>
      <c r="BQ2921" s="15">
        <v>46014.558576388888</v>
      </c>
      <c r="BR2921" s="15">
        <v>46013.69835648148</v>
      </c>
      <c r="BS2921" s="10" t="s">
        <v>278</v>
      </c>
      <c r="BT2921" s="10" t="s">
        <v>99</v>
      </c>
      <c r="BU2921" s="10" t="s">
        <v>793</v>
      </c>
      <c r="BV2921" s="10"/>
      <c r="BW2921" s="10"/>
      <c r="BX2921" s="10"/>
      <c r="BY2921" s="23"/>
      <c r="BZ2921" s="23"/>
      <c r="CA2921" s="19" t="s">
        <v>21619</v>
      </c>
      <c r="CB2921" s="23"/>
      <c r="CC2921" s="23"/>
      <c r="CD2921" s="19" t="s">
        <v>21620</v>
      </c>
      <c r="CE2921" s="23"/>
      <c r="CF2921" s="23"/>
      <c r="CG2921" s="23"/>
      <c r="CH2921" s="23"/>
      <c r="CI2921" s="23"/>
    </row>
    <row r="2922" spans="1:87" x14ac:dyDescent="0.3">
      <c r="A2922" s="9" t="s">
        <v>21621</v>
      </c>
      <c r="B2922" s="10" t="s">
        <v>21622</v>
      </c>
      <c r="C2922" s="11">
        <v>46018.875</v>
      </c>
      <c r="D2922" s="12">
        <v>8.3333333333333329E-2</v>
      </c>
      <c r="E2922" s="11">
        <v>46018.958333333336</v>
      </c>
      <c r="F2922" s="22" t="s">
        <v>16719</v>
      </c>
      <c r="G2922" s="13" t="b">
        <v>0</v>
      </c>
      <c r="H2922" s="22" t="s">
        <v>16543</v>
      </c>
      <c r="I2922" s="10" t="s">
        <v>212</v>
      </c>
      <c r="J2922" s="13" t="b">
        <v>1</v>
      </c>
      <c r="K2922" s="13" t="b">
        <v>0</v>
      </c>
      <c r="L2922" s="10" t="s">
        <v>124</v>
      </c>
      <c r="M2922" s="10" t="s">
        <v>91</v>
      </c>
      <c r="N2922" s="10" t="s">
        <v>92</v>
      </c>
      <c r="O2922" s="19" t="s">
        <v>21623</v>
      </c>
      <c r="P2922" s="10"/>
      <c r="Q2922" s="10" t="s">
        <v>126</v>
      </c>
      <c r="R2922" s="10"/>
      <c r="S2922" s="19" t="s">
        <v>21624</v>
      </c>
      <c r="T2922" s="10"/>
      <c r="U2922" s="10" t="s">
        <v>16786</v>
      </c>
      <c r="V2922" s="10" t="s">
        <v>16722</v>
      </c>
      <c r="W2922" s="10" t="s">
        <v>16644</v>
      </c>
      <c r="X2922" s="10" t="s">
        <v>16549</v>
      </c>
      <c r="Y2922" s="10" t="s">
        <v>16549</v>
      </c>
      <c r="Z2922" s="10" t="s">
        <v>99</v>
      </c>
      <c r="AA2922" s="10" t="s">
        <v>131</v>
      </c>
      <c r="AB2922" s="10" t="s">
        <v>16645</v>
      </c>
      <c r="AC2922" s="10" t="s">
        <v>16551</v>
      </c>
      <c r="AD2922" s="10" t="s">
        <v>21625</v>
      </c>
      <c r="AE2922" s="10" t="s">
        <v>21626</v>
      </c>
      <c r="AF2922" s="15"/>
      <c r="AG2922" s="10"/>
      <c r="AH2922" s="10"/>
      <c r="AI2922" s="10"/>
      <c r="AJ2922" s="10"/>
      <c r="AK2922" s="10" t="s">
        <v>102</v>
      </c>
      <c r="AL2922" s="10"/>
      <c r="AM2922" s="10"/>
      <c r="AN2922" s="10"/>
      <c r="AO2922" s="13" t="b">
        <v>0</v>
      </c>
      <c r="AP2922" s="22" t="s">
        <v>104</v>
      </c>
      <c r="AQ2922" s="10">
        <f ca="1">IFERROR(__xludf.DUMMYFUNCTION("""COMPUTED_VALUE"""),4797281)</f>
        <v>4797281</v>
      </c>
      <c r="AR2922" s="17">
        <v>3685</v>
      </c>
      <c r="AS2922" s="17">
        <v>3059</v>
      </c>
      <c r="AT2922" s="17">
        <v>48131.75</v>
      </c>
      <c r="AU2922" s="17">
        <v>14.1</v>
      </c>
      <c r="AV2922" s="17">
        <v>2.15</v>
      </c>
      <c r="AW2922" s="10" t="s">
        <v>105</v>
      </c>
      <c r="AX2922" s="17">
        <v>932</v>
      </c>
      <c r="AY2922" s="18">
        <v>15.73447204968944</v>
      </c>
      <c r="AZ2922" s="10" t="s">
        <v>136</v>
      </c>
      <c r="BA2922" s="20" t="b">
        <v>0</v>
      </c>
      <c r="BB2922" s="10"/>
      <c r="BC2922" s="17">
        <v>3685</v>
      </c>
      <c r="BD2922" s="17">
        <v>3059</v>
      </c>
      <c r="BE2922" s="17">
        <v>48131.75</v>
      </c>
      <c r="BF2922" s="17">
        <v>2.15</v>
      </c>
      <c r="BG2922" s="11">
        <f ca="1">IFERROR(__xludf.DUMMYFUNCTION("""COMPUTED_VALUE"""),46018.875)</f>
        <v>46018.875</v>
      </c>
      <c r="BH2922" s="17" t="s">
        <v>105</v>
      </c>
      <c r="BI2922" s="17"/>
      <c r="BJ2922" s="15"/>
      <c r="BK2922" s="15"/>
      <c r="BL2922" s="13" t="b">
        <v>0</v>
      </c>
      <c r="BM2922" s="10"/>
      <c r="BN2922" s="10" t="s">
        <v>137</v>
      </c>
      <c r="BO2922" s="11">
        <v>45996.468055555553</v>
      </c>
      <c r="BP2922" s="11">
        <v>45996.468090277776</v>
      </c>
      <c r="BQ2922" s="15">
        <v>46014.55841435185</v>
      </c>
      <c r="BR2922" s="15">
        <v>46018.845138888886</v>
      </c>
      <c r="BS2922" s="10" t="s">
        <v>137</v>
      </c>
      <c r="BT2922" s="10" t="s">
        <v>99</v>
      </c>
      <c r="BU2922" s="10" t="s">
        <v>793</v>
      </c>
      <c r="BV2922" s="10"/>
      <c r="BW2922" s="10"/>
      <c r="BX2922" s="10"/>
      <c r="BY2922" s="23"/>
      <c r="BZ2922" s="23"/>
      <c r="CA2922" s="19" t="s">
        <v>21627</v>
      </c>
      <c r="CB2922" s="23"/>
      <c r="CC2922" s="23"/>
      <c r="CD2922" s="19" t="s">
        <v>21628</v>
      </c>
      <c r="CE2922" s="23"/>
      <c r="CF2922" s="23"/>
      <c r="CG2922" s="23"/>
      <c r="CH2922" s="23"/>
      <c r="CI2922" s="23"/>
    </row>
    <row r="2923" spans="1:87" x14ac:dyDescent="0.3">
      <c r="A2923" s="9" t="s">
        <v>21629</v>
      </c>
      <c r="B2923" s="10" t="s">
        <v>21630</v>
      </c>
      <c r="C2923" s="11">
        <v>45998.291666666664</v>
      </c>
      <c r="D2923" s="12">
        <v>0.29166666666666669</v>
      </c>
      <c r="E2923" s="11">
        <v>45998.583333333336</v>
      </c>
      <c r="F2923" s="22" t="s">
        <v>9016</v>
      </c>
      <c r="G2923" s="13" t="b">
        <v>0</v>
      </c>
      <c r="H2923" s="22" t="s">
        <v>9017</v>
      </c>
      <c r="I2923" s="10" t="s">
        <v>212</v>
      </c>
      <c r="J2923" s="13" t="b">
        <v>1</v>
      </c>
      <c r="K2923" s="13" t="b">
        <v>0</v>
      </c>
      <c r="L2923" s="10" t="s">
        <v>124</v>
      </c>
      <c r="M2923" s="10" t="s">
        <v>91</v>
      </c>
      <c r="N2923" s="10" t="s">
        <v>92</v>
      </c>
      <c r="O2923" s="19" t="s">
        <v>21631</v>
      </c>
      <c r="P2923" s="10"/>
      <c r="Q2923" s="10" t="s">
        <v>94</v>
      </c>
      <c r="R2923" s="10"/>
      <c r="S2923" s="19" t="s">
        <v>9019</v>
      </c>
      <c r="T2923" s="10"/>
      <c r="U2923" s="10"/>
      <c r="V2923" s="10"/>
      <c r="W2923" s="10" t="s">
        <v>9020</v>
      </c>
      <c r="X2923" s="10" t="s">
        <v>130</v>
      </c>
      <c r="Y2923" s="10" t="s">
        <v>130</v>
      </c>
      <c r="Z2923" s="10" t="s">
        <v>99</v>
      </c>
      <c r="AA2923" s="10" t="s">
        <v>131</v>
      </c>
      <c r="AB2923" s="10" t="s">
        <v>9021</v>
      </c>
      <c r="AC2923" s="10" t="s">
        <v>9022</v>
      </c>
      <c r="AD2923" s="10" t="s">
        <v>165</v>
      </c>
      <c r="AE2923" s="10" t="s">
        <v>21632</v>
      </c>
      <c r="AF2923" s="15"/>
      <c r="AG2923" s="10"/>
      <c r="AH2923" s="10"/>
      <c r="AI2923" s="10"/>
      <c r="AJ2923" s="10"/>
      <c r="AK2923" s="10" t="s">
        <v>102</v>
      </c>
      <c r="AL2923" s="10"/>
      <c r="AM2923" s="10"/>
      <c r="AN2923" s="10"/>
      <c r="AO2923" s="13" t="b">
        <v>0</v>
      </c>
      <c r="AP2923" s="22" t="s">
        <v>104</v>
      </c>
      <c r="AQ2923" s="10">
        <f ca="1">IFERROR(__xludf.DUMMYFUNCTION("""COMPUTED_VALUE"""),20040)</f>
        <v>20040</v>
      </c>
      <c r="AR2923" s="17">
        <v>0</v>
      </c>
      <c r="AS2923" s="17">
        <v>0</v>
      </c>
      <c r="AT2923" s="17">
        <v>0</v>
      </c>
      <c r="AU2923" s="17">
        <v>0</v>
      </c>
      <c r="AV2923" s="17">
        <v>0</v>
      </c>
      <c r="AW2923" s="10" t="s">
        <v>105</v>
      </c>
      <c r="AX2923" s="17"/>
      <c r="AY2923" s="18">
        <v>4.7895147313691506</v>
      </c>
      <c r="AZ2923" s="10"/>
      <c r="BA2923" s="20" t="b">
        <v>1</v>
      </c>
      <c r="BB2923" s="10"/>
      <c r="BC2923" s="17">
        <v>3245</v>
      </c>
      <c r="BD2923" s="17">
        <v>2885</v>
      </c>
      <c r="BE2923" s="17">
        <v>13817.75</v>
      </c>
      <c r="BF2923" s="17">
        <v>0</v>
      </c>
      <c r="BG2923" s="11">
        <f ca="1">IFERROR(__xludf.DUMMYFUNCTION("""COMPUTED_VALUE"""),45998.2916666666)</f>
        <v>45998.291666666599</v>
      </c>
      <c r="BH2923" s="17" t="s">
        <v>105</v>
      </c>
      <c r="BI2923" s="17"/>
      <c r="BJ2923" s="15"/>
      <c r="BK2923" s="15"/>
      <c r="BL2923" s="13" t="b">
        <v>0</v>
      </c>
      <c r="BM2923" s="10"/>
      <c r="BN2923" s="10" t="s">
        <v>6278</v>
      </c>
      <c r="BO2923" s="11">
        <v>45996.513194444444</v>
      </c>
      <c r="BP2923" s="11">
        <v>45996.513379629629</v>
      </c>
      <c r="BQ2923" s="15">
        <v>45996.51425925926</v>
      </c>
      <c r="BR2923" s="15">
        <v>45996.613356481481</v>
      </c>
      <c r="BS2923" s="10" t="s">
        <v>6278</v>
      </c>
      <c r="BT2923" s="10"/>
      <c r="BU2923" s="10"/>
      <c r="BV2923" s="10"/>
      <c r="BW2923" s="10"/>
      <c r="BX2923" s="10"/>
      <c r="BY2923" s="23"/>
      <c r="BZ2923" s="23"/>
      <c r="CA2923" s="19" t="s">
        <v>9024</v>
      </c>
      <c r="CB2923" s="23"/>
      <c r="CC2923" s="23"/>
      <c r="CD2923" s="23"/>
      <c r="CE2923" s="23"/>
      <c r="CF2923" s="23"/>
      <c r="CG2923" s="23"/>
      <c r="CH2923" s="23"/>
      <c r="CI2923" s="23"/>
    </row>
    <row r="2924" spans="1:87" x14ac:dyDescent="0.3">
      <c r="A2924" s="25" t="s">
        <v>21633</v>
      </c>
      <c r="B2924" s="10" t="s">
        <v>21634</v>
      </c>
      <c r="C2924" s="11">
        <v>45998.291666666664</v>
      </c>
      <c r="D2924" s="12">
        <v>2.0833333333333332E-2</v>
      </c>
      <c r="E2924" s="11">
        <v>45998.3125</v>
      </c>
      <c r="F2924" s="22" t="s">
        <v>9016</v>
      </c>
      <c r="G2924" s="13" t="b">
        <v>0</v>
      </c>
      <c r="H2924" s="22" t="s">
        <v>9017</v>
      </c>
      <c r="I2924" s="10" t="s">
        <v>212</v>
      </c>
      <c r="J2924" s="13" t="b">
        <v>1</v>
      </c>
      <c r="K2924" s="13" t="b">
        <v>0</v>
      </c>
      <c r="L2924" s="10" t="s">
        <v>124</v>
      </c>
      <c r="M2924" s="10" t="s">
        <v>91</v>
      </c>
      <c r="N2924" s="10" t="s">
        <v>92</v>
      </c>
      <c r="O2924" s="19" t="s">
        <v>21635</v>
      </c>
      <c r="P2924" s="10"/>
      <c r="Q2924" s="10" t="s">
        <v>94</v>
      </c>
      <c r="R2924" s="10"/>
      <c r="S2924" s="19" t="s">
        <v>9019</v>
      </c>
      <c r="T2924" s="10"/>
      <c r="U2924" s="10"/>
      <c r="V2924" s="10"/>
      <c r="W2924" s="10" t="s">
        <v>9020</v>
      </c>
      <c r="X2924" s="10" t="s">
        <v>130</v>
      </c>
      <c r="Y2924" s="10" t="s">
        <v>130</v>
      </c>
      <c r="Z2924" s="10" t="s">
        <v>99</v>
      </c>
      <c r="AA2924" s="10" t="s">
        <v>131</v>
      </c>
      <c r="AB2924" s="10" t="s">
        <v>9021</v>
      </c>
      <c r="AC2924" s="10" t="s">
        <v>9022</v>
      </c>
      <c r="AD2924" s="10" t="s">
        <v>165</v>
      </c>
      <c r="AE2924" s="10" t="s">
        <v>21636</v>
      </c>
      <c r="AF2924" s="15"/>
      <c r="AG2924" s="10"/>
      <c r="AH2924" s="10"/>
      <c r="AI2924" s="10"/>
      <c r="AJ2924" s="10"/>
      <c r="AK2924" s="10" t="s">
        <v>102</v>
      </c>
      <c r="AL2924" s="10"/>
      <c r="AM2924" s="10"/>
      <c r="AN2924" s="10"/>
      <c r="AO2924" s="13" t="b">
        <v>0</v>
      </c>
      <c r="AP2924" s="22" t="s">
        <v>104</v>
      </c>
      <c r="AQ2924" s="10">
        <f ca="1">IFERROR(__xludf.DUMMYFUNCTION("""COMPUTED_VALUE"""),4766504)</f>
        <v>4766504</v>
      </c>
      <c r="AR2924" s="17">
        <v>246</v>
      </c>
      <c r="AS2924" s="17">
        <v>207</v>
      </c>
      <c r="AT2924" s="17">
        <v>1222.5</v>
      </c>
      <c r="AU2924" s="17">
        <v>0</v>
      </c>
      <c r="AV2924" s="17">
        <v>0</v>
      </c>
      <c r="AW2924" s="10" t="s">
        <v>105</v>
      </c>
      <c r="AX2924" s="17">
        <v>86</v>
      </c>
      <c r="AY2924" s="18">
        <v>5.9057971014492754</v>
      </c>
      <c r="AZ2924" s="10"/>
      <c r="BA2924" s="20" t="b">
        <v>0</v>
      </c>
      <c r="BB2924" s="10" t="s">
        <v>21629</v>
      </c>
      <c r="BC2924" s="17">
        <v>246</v>
      </c>
      <c r="BD2924" s="17">
        <v>207</v>
      </c>
      <c r="BE2924" s="17">
        <v>1222.5</v>
      </c>
      <c r="BF2924" s="17">
        <v>0</v>
      </c>
      <c r="BG2924" s="11">
        <f ca="1">IFERROR(__xludf.DUMMYFUNCTION("""COMPUTED_VALUE"""),45998.2916666666)</f>
        <v>45998.291666666599</v>
      </c>
      <c r="BH2924" s="17" t="s">
        <v>105</v>
      </c>
      <c r="BI2924" s="17"/>
      <c r="BJ2924" s="15"/>
      <c r="BK2924" s="15"/>
      <c r="BL2924" s="13" t="b">
        <v>0</v>
      </c>
      <c r="BM2924" s="10"/>
      <c r="BN2924" s="10" t="s">
        <v>6278</v>
      </c>
      <c r="BO2924" s="11">
        <v>45996.515972222223</v>
      </c>
      <c r="BP2924" s="11">
        <v>45996.516909722224</v>
      </c>
      <c r="BQ2924" s="15"/>
      <c r="BR2924" s="15">
        <v>45996.609097222223</v>
      </c>
      <c r="BS2924" s="10" t="s">
        <v>6278</v>
      </c>
      <c r="BT2924" s="10"/>
      <c r="BU2924" s="10"/>
      <c r="BV2924" s="10"/>
      <c r="BW2924" s="10"/>
      <c r="BX2924" s="10"/>
      <c r="BY2924" s="23"/>
      <c r="BZ2924" s="23"/>
      <c r="CA2924" s="19" t="s">
        <v>9024</v>
      </c>
      <c r="CB2924" s="23"/>
      <c r="CC2924" s="23"/>
      <c r="CD2924" s="23"/>
      <c r="CE2924" s="23"/>
      <c r="CF2924" s="23"/>
      <c r="CG2924" s="23"/>
      <c r="CH2924" s="23"/>
      <c r="CI2924" s="23"/>
    </row>
    <row r="2925" spans="1:87" x14ac:dyDescent="0.3">
      <c r="A2925" s="9" t="s">
        <v>21637</v>
      </c>
      <c r="B2925" s="10" t="s">
        <v>21638</v>
      </c>
      <c r="C2925" s="11">
        <v>45998.3125</v>
      </c>
      <c r="D2925" s="12">
        <v>2.0833333333333332E-2</v>
      </c>
      <c r="E2925" s="11">
        <v>45998.333333333336</v>
      </c>
      <c r="F2925" s="22" t="s">
        <v>9016</v>
      </c>
      <c r="G2925" s="13" t="b">
        <v>0</v>
      </c>
      <c r="H2925" s="22" t="s">
        <v>9017</v>
      </c>
      <c r="I2925" s="10" t="s">
        <v>212</v>
      </c>
      <c r="J2925" s="13" t="b">
        <v>1</v>
      </c>
      <c r="K2925" s="13" t="b">
        <v>0</v>
      </c>
      <c r="L2925" s="10" t="s">
        <v>124</v>
      </c>
      <c r="M2925" s="10" t="s">
        <v>91</v>
      </c>
      <c r="N2925" s="10" t="s">
        <v>92</v>
      </c>
      <c r="O2925" s="19" t="s">
        <v>21639</v>
      </c>
      <c r="P2925" s="10"/>
      <c r="Q2925" s="10" t="s">
        <v>94</v>
      </c>
      <c r="R2925" s="10"/>
      <c r="S2925" s="19" t="s">
        <v>9019</v>
      </c>
      <c r="T2925" s="10"/>
      <c r="U2925" s="10"/>
      <c r="V2925" s="10"/>
      <c r="W2925" s="10" t="s">
        <v>9020</v>
      </c>
      <c r="X2925" s="10" t="s">
        <v>130</v>
      </c>
      <c r="Y2925" s="10" t="s">
        <v>130</v>
      </c>
      <c r="Z2925" s="10" t="s">
        <v>99</v>
      </c>
      <c r="AA2925" s="10" t="s">
        <v>131</v>
      </c>
      <c r="AB2925" s="10" t="s">
        <v>9021</v>
      </c>
      <c r="AC2925" s="10" t="s">
        <v>9022</v>
      </c>
      <c r="AD2925" s="10" t="s">
        <v>165</v>
      </c>
      <c r="AE2925" s="10" t="s">
        <v>21640</v>
      </c>
      <c r="AF2925" s="15"/>
      <c r="AG2925" s="10"/>
      <c r="AH2925" s="10"/>
      <c r="AI2925" s="10"/>
      <c r="AJ2925" s="10"/>
      <c r="AK2925" s="10" t="s">
        <v>102</v>
      </c>
      <c r="AL2925" s="10"/>
      <c r="AM2925" s="10"/>
      <c r="AN2925" s="10"/>
      <c r="AO2925" s="13" t="b">
        <v>0</v>
      </c>
      <c r="AP2925" s="22" t="s">
        <v>104</v>
      </c>
      <c r="AQ2925" s="10">
        <f ca="1">IFERROR(__xludf.DUMMYFUNCTION("""COMPUTED_VALUE"""),4766505)</f>
        <v>4766505</v>
      </c>
      <c r="AR2925" s="17">
        <v>144</v>
      </c>
      <c r="AS2925" s="17">
        <v>121</v>
      </c>
      <c r="AT2925" s="17">
        <v>429.5</v>
      </c>
      <c r="AU2925" s="17">
        <v>0</v>
      </c>
      <c r="AV2925" s="17">
        <v>0</v>
      </c>
      <c r="AW2925" s="10" t="s">
        <v>105</v>
      </c>
      <c r="AX2925" s="17">
        <v>77</v>
      </c>
      <c r="AY2925" s="18">
        <v>3.549586776859504</v>
      </c>
      <c r="AZ2925" s="10"/>
      <c r="BA2925" s="20" t="b">
        <v>0</v>
      </c>
      <c r="BB2925" s="10" t="s">
        <v>21629</v>
      </c>
      <c r="BC2925" s="17">
        <v>144</v>
      </c>
      <c r="BD2925" s="17">
        <v>121</v>
      </c>
      <c r="BE2925" s="17">
        <v>429.5</v>
      </c>
      <c r="BF2925" s="17">
        <v>0</v>
      </c>
      <c r="BG2925" s="11">
        <f ca="1">IFERROR(__xludf.DUMMYFUNCTION("""COMPUTED_VALUE"""),45998.3125)</f>
        <v>45998.3125</v>
      </c>
      <c r="BH2925" s="17" t="s">
        <v>105</v>
      </c>
      <c r="BI2925" s="17"/>
      <c r="BJ2925" s="15"/>
      <c r="BK2925" s="15"/>
      <c r="BL2925" s="13" t="b">
        <v>0</v>
      </c>
      <c r="BM2925" s="10"/>
      <c r="BN2925" s="10" t="s">
        <v>6278</v>
      </c>
      <c r="BO2925" s="11">
        <v>45996.517361111109</v>
      </c>
      <c r="BP2925" s="11">
        <v>45996.517754629633</v>
      </c>
      <c r="BQ2925" s="15"/>
      <c r="BR2925" s="15">
        <v>45996.609351851854</v>
      </c>
      <c r="BS2925" s="10" t="s">
        <v>6278</v>
      </c>
      <c r="BT2925" s="10"/>
      <c r="BU2925" s="10"/>
      <c r="BV2925" s="10"/>
      <c r="BW2925" s="10"/>
      <c r="BX2925" s="10"/>
      <c r="BY2925" s="23"/>
      <c r="BZ2925" s="23"/>
      <c r="CA2925" s="19" t="s">
        <v>9024</v>
      </c>
      <c r="CB2925" s="23"/>
      <c r="CC2925" s="23"/>
      <c r="CD2925" s="23"/>
      <c r="CE2925" s="23"/>
      <c r="CF2925" s="23"/>
      <c r="CG2925" s="23"/>
      <c r="CH2925" s="23"/>
      <c r="CI2925" s="23"/>
    </row>
    <row r="2926" spans="1:87" x14ac:dyDescent="0.3">
      <c r="A2926" s="9" t="s">
        <v>21641</v>
      </c>
      <c r="B2926" s="10" t="s">
        <v>21642</v>
      </c>
      <c r="C2926" s="11">
        <v>45998.333333333336</v>
      </c>
      <c r="D2926" s="12">
        <v>2.0833333333333332E-2</v>
      </c>
      <c r="E2926" s="11">
        <v>45998.354166666664</v>
      </c>
      <c r="F2926" s="22" t="s">
        <v>9016</v>
      </c>
      <c r="G2926" s="13" t="b">
        <v>0</v>
      </c>
      <c r="H2926" s="22" t="s">
        <v>9017</v>
      </c>
      <c r="I2926" s="10" t="s">
        <v>212</v>
      </c>
      <c r="J2926" s="13" t="b">
        <v>1</v>
      </c>
      <c r="K2926" s="13" t="b">
        <v>0</v>
      </c>
      <c r="L2926" s="10" t="s">
        <v>124</v>
      </c>
      <c r="M2926" s="10" t="s">
        <v>91</v>
      </c>
      <c r="N2926" s="10" t="s">
        <v>92</v>
      </c>
      <c r="O2926" s="19" t="s">
        <v>21643</v>
      </c>
      <c r="P2926" s="10"/>
      <c r="Q2926" s="10" t="s">
        <v>94</v>
      </c>
      <c r="R2926" s="10"/>
      <c r="S2926" s="19" t="s">
        <v>9019</v>
      </c>
      <c r="T2926" s="10"/>
      <c r="U2926" s="10"/>
      <c r="V2926" s="10"/>
      <c r="W2926" s="10" t="s">
        <v>9020</v>
      </c>
      <c r="X2926" s="10" t="s">
        <v>130</v>
      </c>
      <c r="Y2926" s="10" t="s">
        <v>130</v>
      </c>
      <c r="Z2926" s="10" t="s">
        <v>99</v>
      </c>
      <c r="AA2926" s="10" t="s">
        <v>131</v>
      </c>
      <c r="AB2926" s="10" t="s">
        <v>9021</v>
      </c>
      <c r="AC2926" s="10" t="s">
        <v>9022</v>
      </c>
      <c r="AD2926" s="10" t="s">
        <v>165</v>
      </c>
      <c r="AE2926" s="10" t="s">
        <v>21644</v>
      </c>
      <c r="AF2926" s="15"/>
      <c r="AG2926" s="10"/>
      <c r="AH2926" s="10"/>
      <c r="AI2926" s="10"/>
      <c r="AJ2926" s="10"/>
      <c r="AK2926" s="10" t="s">
        <v>102</v>
      </c>
      <c r="AL2926" s="10"/>
      <c r="AM2926" s="10"/>
      <c r="AN2926" s="10"/>
      <c r="AO2926" s="13" t="b">
        <v>0</v>
      </c>
      <c r="AP2926" s="22" t="s">
        <v>104</v>
      </c>
      <c r="AQ2926" s="10">
        <f ca="1">IFERROR(__xludf.DUMMYFUNCTION("""COMPUTED_VALUE"""),4766506)</f>
        <v>4766506</v>
      </c>
      <c r="AR2926" s="17">
        <v>227</v>
      </c>
      <c r="AS2926" s="17">
        <v>192</v>
      </c>
      <c r="AT2926" s="17">
        <v>847.75</v>
      </c>
      <c r="AU2926" s="17">
        <v>0.65</v>
      </c>
      <c r="AV2926" s="17">
        <v>0</v>
      </c>
      <c r="AW2926" s="10" t="s">
        <v>105</v>
      </c>
      <c r="AX2926" s="17">
        <v>71</v>
      </c>
      <c r="AY2926" s="18">
        <v>4.415364583333333</v>
      </c>
      <c r="AZ2926" s="10"/>
      <c r="BA2926" s="20" t="b">
        <v>0</v>
      </c>
      <c r="BB2926" s="10" t="s">
        <v>21629</v>
      </c>
      <c r="BC2926" s="17">
        <v>227</v>
      </c>
      <c r="BD2926" s="17">
        <v>192</v>
      </c>
      <c r="BE2926" s="17">
        <v>847.75</v>
      </c>
      <c r="BF2926" s="17">
        <v>0</v>
      </c>
      <c r="BG2926" s="11">
        <f ca="1">IFERROR(__xludf.DUMMYFUNCTION("""COMPUTED_VALUE"""),45998.3333333333)</f>
        <v>45998.333333333299</v>
      </c>
      <c r="BH2926" s="17" t="s">
        <v>105</v>
      </c>
      <c r="BI2926" s="17"/>
      <c r="BJ2926" s="15"/>
      <c r="BK2926" s="15"/>
      <c r="BL2926" s="13" t="b">
        <v>0</v>
      </c>
      <c r="BM2926" s="10"/>
      <c r="BN2926" s="10" t="s">
        <v>6278</v>
      </c>
      <c r="BO2926" s="11">
        <v>45996.517361111109</v>
      </c>
      <c r="BP2926" s="11">
        <v>45996.517870370371</v>
      </c>
      <c r="BQ2926" s="15"/>
      <c r="BR2926" s="15">
        <v>45996.609479166669</v>
      </c>
      <c r="BS2926" s="10" t="s">
        <v>6278</v>
      </c>
      <c r="BT2926" s="10"/>
      <c r="BU2926" s="10"/>
      <c r="BV2926" s="10"/>
      <c r="BW2926" s="10"/>
      <c r="BX2926" s="10"/>
      <c r="BY2926" s="23"/>
      <c r="BZ2926" s="23"/>
      <c r="CA2926" s="19" t="s">
        <v>9024</v>
      </c>
      <c r="CB2926" s="23"/>
      <c r="CC2926" s="23"/>
      <c r="CD2926" s="23"/>
      <c r="CE2926" s="23"/>
      <c r="CF2926" s="23"/>
      <c r="CG2926" s="23"/>
      <c r="CH2926" s="23"/>
      <c r="CI2926" s="23"/>
    </row>
    <row r="2927" spans="1:87" x14ac:dyDescent="0.3">
      <c r="A2927" s="9" t="s">
        <v>21645</v>
      </c>
      <c r="B2927" s="10" t="s">
        <v>21646</v>
      </c>
      <c r="C2927" s="11">
        <v>45998.354166666664</v>
      </c>
      <c r="D2927" s="12">
        <v>2.0833333333333332E-2</v>
      </c>
      <c r="E2927" s="11">
        <v>45998.375</v>
      </c>
      <c r="F2927" s="22" t="s">
        <v>9016</v>
      </c>
      <c r="G2927" s="13" t="b">
        <v>0</v>
      </c>
      <c r="H2927" s="22" t="s">
        <v>9017</v>
      </c>
      <c r="I2927" s="10" t="s">
        <v>212</v>
      </c>
      <c r="J2927" s="13" t="b">
        <v>1</v>
      </c>
      <c r="K2927" s="13" t="b">
        <v>0</v>
      </c>
      <c r="L2927" s="10" t="s">
        <v>124</v>
      </c>
      <c r="M2927" s="10" t="s">
        <v>91</v>
      </c>
      <c r="N2927" s="10" t="s">
        <v>92</v>
      </c>
      <c r="O2927" s="19" t="s">
        <v>21647</v>
      </c>
      <c r="P2927" s="10"/>
      <c r="Q2927" s="10" t="s">
        <v>94</v>
      </c>
      <c r="R2927" s="10"/>
      <c r="S2927" s="19" t="s">
        <v>9019</v>
      </c>
      <c r="T2927" s="10"/>
      <c r="U2927" s="10"/>
      <c r="V2927" s="10"/>
      <c r="W2927" s="10" t="s">
        <v>9020</v>
      </c>
      <c r="X2927" s="10" t="s">
        <v>130</v>
      </c>
      <c r="Y2927" s="10" t="s">
        <v>130</v>
      </c>
      <c r="Z2927" s="10" t="s">
        <v>99</v>
      </c>
      <c r="AA2927" s="10" t="s">
        <v>131</v>
      </c>
      <c r="AB2927" s="10" t="s">
        <v>9021</v>
      </c>
      <c r="AC2927" s="10" t="s">
        <v>9022</v>
      </c>
      <c r="AD2927" s="10" t="s">
        <v>165</v>
      </c>
      <c r="AE2927" s="10" t="s">
        <v>21648</v>
      </c>
      <c r="AF2927" s="15"/>
      <c r="AG2927" s="10"/>
      <c r="AH2927" s="10"/>
      <c r="AI2927" s="10"/>
      <c r="AJ2927" s="10"/>
      <c r="AK2927" s="10" t="s">
        <v>102</v>
      </c>
      <c r="AL2927" s="10"/>
      <c r="AM2927" s="10"/>
      <c r="AN2927" s="10"/>
      <c r="AO2927" s="13" t="b">
        <v>0</v>
      </c>
      <c r="AP2927" s="22" t="s">
        <v>104</v>
      </c>
      <c r="AQ2927" s="10">
        <f ca="1">IFERROR(__xludf.DUMMYFUNCTION("""COMPUTED_VALUE"""),4766507)</f>
        <v>4766507</v>
      </c>
      <c r="AR2927" s="17">
        <v>234</v>
      </c>
      <c r="AS2927" s="17">
        <v>204</v>
      </c>
      <c r="AT2927" s="17">
        <v>1007.25</v>
      </c>
      <c r="AU2927" s="17">
        <v>0</v>
      </c>
      <c r="AV2927" s="17">
        <v>0</v>
      </c>
      <c r="AW2927" s="10" t="s">
        <v>105</v>
      </c>
      <c r="AX2927" s="17">
        <v>87</v>
      </c>
      <c r="AY2927" s="18">
        <v>4.9375</v>
      </c>
      <c r="AZ2927" s="10"/>
      <c r="BA2927" s="20" t="b">
        <v>0</v>
      </c>
      <c r="BB2927" s="10" t="s">
        <v>21629</v>
      </c>
      <c r="BC2927" s="17">
        <v>234</v>
      </c>
      <c r="BD2927" s="17">
        <v>204</v>
      </c>
      <c r="BE2927" s="17">
        <v>1007.25</v>
      </c>
      <c r="BF2927" s="17">
        <v>0</v>
      </c>
      <c r="BG2927" s="11">
        <f ca="1">IFERROR(__xludf.DUMMYFUNCTION("""COMPUTED_VALUE"""),45998.3541666666)</f>
        <v>45998.354166666599</v>
      </c>
      <c r="BH2927" s="17" t="s">
        <v>105</v>
      </c>
      <c r="BI2927" s="17"/>
      <c r="BJ2927" s="15"/>
      <c r="BK2927" s="15"/>
      <c r="BL2927" s="13" t="b">
        <v>0</v>
      </c>
      <c r="BM2927" s="10"/>
      <c r="BN2927" s="10" t="s">
        <v>6278</v>
      </c>
      <c r="BO2927" s="11">
        <v>45996.517361111109</v>
      </c>
      <c r="BP2927" s="11">
        <v>45996.517974537041</v>
      </c>
      <c r="BQ2927" s="15"/>
      <c r="BR2927" s="15">
        <v>45996.610150462962</v>
      </c>
      <c r="BS2927" s="10" t="s">
        <v>6278</v>
      </c>
      <c r="BT2927" s="10"/>
      <c r="BU2927" s="10"/>
      <c r="BV2927" s="10"/>
      <c r="BW2927" s="10"/>
      <c r="BX2927" s="10"/>
      <c r="BY2927" s="23"/>
      <c r="BZ2927" s="23"/>
      <c r="CA2927" s="19" t="s">
        <v>9024</v>
      </c>
      <c r="CB2927" s="23"/>
      <c r="CC2927" s="23"/>
      <c r="CD2927" s="23"/>
      <c r="CE2927" s="23"/>
      <c r="CF2927" s="23"/>
      <c r="CG2927" s="23"/>
      <c r="CH2927" s="23"/>
      <c r="CI2927" s="23"/>
    </row>
    <row r="2928" spans="1:87" x14ac:dyDescent="0.3">
      <c r="A2928" s="9" t="s">
        <v>21649</v>
      </c>
      <c r="B2928" s="10" t="s">
        <v>21650</v>
      </c>
      <c r="C2928" s="11">
        <v>45998.375</v>
      </c>
      <c r="D2928" s="12">
        <v>2.0833333333333332E-2</v>
      </c>
      <c r="E2928" s="11">
        <v>45998.395833333336</v>
      </c>
      <c r="F2928" s="22" t="s">
        <v>9016</v>
      </c>
      <c r="G2928" s="13" t="b">
        <v>0</v>
      </c>
      <c r="H2928" s="22" t="s">
        <v>9017</v>
      </c>
      <c r="I2928" s="10" t="s">
        <v>212</v>
      </c>
      <c r="J2928" s="13" t="b">
        <v>1</v>
      </c>
      <c r="K2928" s="13" t="b">
        <v>0</v>
      </c>
      <c r="L2928" s="10" t="s">
        <v>124</v>
      </c>
      <c r="M2928" s="10" t="s">
        <v>91</v>
      </c>
      <c r="N2928" s="10" t="s">
        <v>92</v>
      </c>
      <c r="O2928" s="19" t="s">
        <v>21651</v>
      </c>
      <c r="P2928" s="10"/>
      <c r="Q2928" s="10" t="s">
        <v>94</v>
      </c>
      <c r="R2928" s="10"/>
      <c r="S2928" s="19" t="s">
        <v>9019</v>
      </c>
      <c r="T2928" s="10"/>
      <c r="U2928" s="10"/>
      <c r="V2928" s="10"/>
      <c r="W2928" s="10" t="s">
        <v>9020</v>
      </c>
      <c r="X2928" s="10" t="s">
        <v>130</v>
      </c>
      <c r="Y2928" s="10" t="s">
        <v>130</v>
      </c>
      <c r="Z2928" s="10" t="s">
        <v>99</v>
      </c>
      <c r="AA2928" s="10" t="s">
        <v>131</v>
      </c>
      <c r="AB2928" s="10" t="s">
        <v>9021</v>
      </c>
      <c r="AC2928" s="10" t="s">
        <v>9022</v>
      </c>
      <c r="AD2928" s="10" t="s">
        <v>165</v>
      </c>
      <c r="AE2928" s="10" t="s">
        <v>21652</v>
      </c>
      <c r="AF2928" s="15"/>
      <c r="AG2928" s="10"/>
      <c r="AH2928" s="10"/>
      <c r="AI2928" s="10"/>
      <c r="AJ2928" s="10"/>
      <c r="AK2928" s="10" t="s">
        <v>102</v>
      </c>
      <c r="AL2928" s="10"/>
      <c r="AM2928" s="10"/>
      <c r="AN2928" s="10"/>
      <c r="AO2928" s="13" t="b">
        <v>0</v>
      </c>
      <c r="AP2928" s="22" t="s">
        <v>104</v>
      </c>
      <c r="AQ2928" s="10">
        <f ca="1">IFERROR(__xludf.DUMMYFUNCTION("""COMPUTED_VALUE"""),4766508)</f>
        <v>4766508</v>
      </c>
      <c r="AR2928" s="17">
        <v>214</v>
      </c>
      <c r="AS2928" s="17">
        <v>194</v>
      </c>
      <c r="AT2928" s="17">
        <v>670.25</v>
      </c>
      <c r="AU2928" s="17">
        <v>0</v>
      </c>
      <c r="AV2928" s="17">
        <v>0</v>
      </c>
      <c r="AW2928" s="10" t="s">
        <v>105</v>
      </c>
      <c r="AX2928" s="17">
        <v>76</v>
      </c>
      <c r="AY2928" s="18">
        <v>3.454896907216495</v>
      </c>
      <c r="AZ2928" s="10"/>
      <c r="BA2928" s="20" t="b">
        <v>0</v>
      </c>
      <c r="BB2928" s="10" t="s">
        <v>21629</v>
      </c>
      <c r="BC2928" s="17">
        <v>214</v>
      </c>
      <c r="BD2928" s="17">
        <v>194</v>
      </c>
      <c r="BE2928" s="17">
        <v>670.25</v>
      </c>
      <c r="BF2928" s="17">
        <v>0</v>
      </c>
      <c r="BG2928" s="11">
        <f ca="1">IFERROR(__xludf.DUMMYFUNCTION("""COMPUTED_VALUE"""),45998.375)</f>
        <v>45998.375</v>
      </c>
      <c r="BH2928" s="17" t="s">
        <v>105</v>
      </c>
      <c r="BI2928" s="17"/>
      <c r="BJ2928" s="15"/>
      <c r="BK2928" s="15"/>
      <c r="BL2928" s="13" t="b">
        <v>0</v>
      </c>
      <c r="BM2928" s="10"/>
      <c r="BN2928" s="10" t="s">
        <v>6278</v>
      </c>
      <c r="BO2928" s="11">
        <v>45996.518055555556</v>
      </c>
      <c r="BP2928" s="11">
        <v>45996.518078703702</v>
      </c>
      <c r="BQ2928" s="15"/>
      <c r="BR2928" s="15">
        <v>45996.610277777778</v>
      </c>
      <c r="BS2928" s="10" t="s">
        <v>6278</v>
      </c>
      <c r="BT2928" s="10"/>
      <c r="BU2928" s="10"/>
      <c r="BV2928" s="10"/>
      <c r="BW2928" s="10"/>
      <c r="BX2928" s="10"/>
      <c r="BY2928" s="23"/>
      <c r="BZ2928" s="23"/>
      <c r="CA2928" s="19" t="s">
        <v>9024</v>
      </c>
      <c r="CB2928" s="23"/>
      <c r="CC2928" s="23"/>
      <c r="CD2928" s="23"/>
      <c r="CE2928" s="23"/>
      <c r="CF2928" s="23"/>
      <c r="CG2928" s="23"/>
      <c r="CH2928" s="23"/>
      <c r="CI2928" s="23"/>
    </row>
    <row r="2929" spans="1:87" x14ac:dyDescent="0.3">
      <c r="A2929" s="9" t="s">
        <v>21653</v>
      </c>
      <c r="B2929" s="10" t="s">
        <v>21654</v>
      </c>
      <c r="C2929" s="11">
        <v>45998.395833333336</v>
      </c>
      <c r="D2929" s="12">
        <v>2.0833333333333332E-2</v>
      </c>
      <c r="E2929" s="11">
        <v>45998.416666666664</v>
      </c>
      <c r="F2929" s="22" t="s">
        <v>9016</v>
      </c>
      <c r="G2929" s="13" t="b">
        <v>0</v>
      </c>
      <c r="H2929" s="22" t="s">
        <v>9017</v>
      </c>
      <c r="I2929" s="10" t="s">
        <v>212</v>
      </c>
      <c r="J2929" s="13" t="b">
        <v>1</v>
      </c>
      <c r="K2929" s="13" t="b">
        <v>0</v>
      </c>
      <c r="L2929" s="10" t="s">
        <v>124</v>
      </c>
      <c r="M2929" s="10" t="s">
        <v>91</v>
      </c>
      <c r="N2929" s="10" t="s">
        <v>92</v>
      </c>
      <c r="O2929" s="19" t="s">
        <v>21655</v>
      </c>
      <c r="P2929" s="10"/>
      <c r="Q2929" s="10" t="s">
        <v>94</v>
      </c>
      <c r="R2929" s="10"/>
      <c r="S2929" s="19" t="s">
        <v>9019</v>
      </c>
      <c r="T2929" s="10"/>
      <c r="U2929" s="10"/>
      <c r="V2929" s="10"/>
      <c r="W2929" s="10" t="s">
        <v>9020</v>
      </c>
      <c r="X2929" s="10" t="s">
        <v>130</v>
      </c>
      <c r="Y2929" s="10" t="s">
        <v>130</v>
      </c>
      <c r="Z2929" s="10" t="s">
        <v>99</v>
      </c>
      <c r="AA2929" s="10" t="s">
        <v>131</v>
      </c>
      <c r="AB2929" s="10" t="s">
        <v>9021</v>
      </c>
      <c r="AC2929" s="10" t="s">
        <v>9022</v>
      </c>
      <c r="AD2929" s="10" t="s">
        <v>165</v>
      </c>
      <c r="AE2929" s="10" t="s">
        <v>21656</v>
      </c>
      <c r="AF2929" s="15"/>
      <c r="AG2929" s="10"/>
      <c r="AH2929" s="10"/>
      <c r="AI2929" s="10"/>
      <c r="AJ2929" s="10"/>
      <c r="AK2929" s="10" t="s">
        <v>102</v>
      </c>
      <c r="AL2929" s="10"/>
      <c r="AM2929" s="10"/>
      <c r="AN2929" s="10"/>
      <c r="AO2929" s="13" t="b">
        <v>0</v>
      </c>
      <c r="AP2929" s="22" t="s">
        <v>104</v>
      </c>
      <c r="AQ2929" s="10">
        <f ca="1">IFERROR(__xludf.DUMMYFUNCTION("""COMPUTED_VALUE"""),4766509)</f>
        <v>4766509</v>
      </c>
      <c r="AR2929" s="17">
        <v>292</v>
      </c>
      <c r="AS2929" s="17">
        <v>259</v>
      </c>
      <c r="AT2929" s="17">
        <v>1914.5</v>
      </c>
      <c r="AU2929" s="17">
        <v>0</v>
      </c>
      <c r="AV2929" s="17">
        <v>0</v>
      </c>
      <c r="AW2929" s="10" t="s">
        <v>105</v>
      </c>
      <c r="AX2929" s="17">
        <v>94</v>
      </c>
      <c r="AY2929" s="18">
        <v>7.3918918918918921</v>
      </c>
      <c r="AZ2929" s="10"/>
      <c r="BA2929" s="20" t="b">
        <v>0</v>
      </c>
      <c r="BB2929" s="10" t="s">
        <v>21629</v>
      </c>
      <c r="BC2929" s="17">
        <v>292</v>
      </c>
      <c r="BD2929" s="17">
        <v>259</v>
      </c>
      <c r="BE2929" s="17">
        <v>1914.5</v>
      </c>
      <c r="BF2929" s="17">
        <v>0</v>
      </c>
      <c r="BG2929" s="11">
        <f ca="1">IFERROR(__xludf.DUMMYFUNCTION("""COMPUTED_VALUE"""),45998.3958333333)</f>
        <v>45998.395833333299</v>
      </c>
      <c r="BH2929" s="17" t="s">
        <v>105</v>
      </c>
      <c r="BI2929" s="17"/>
      <c r="BJ2929" s="15"/>
      <c r="BK2929" s="15"/>
      <c r="BL2929" s="13" t="b">
        <v>0</v>
      </c>
      <c r="BM2929" s="10"/>
      <c r="BN2929" s="10" t="s">
        <v>6278</v>
      </c>
      <c r="BO2929" s="11">
        <v>45996.518055555556</v>
      </c>
      <c r="BP2929" s="11">
        <v>45996.518206018518</v>
      </c>
      <c r="BQ2929" s="15"/>
      <c r="BR2929" s="15">
        <v>45996.610439814816</v>
      </c>
      <c r="BS2929" s="10" t="s">
        <v>6278</v>
      </c>
      <c r="BT2929" s="10"/>
      <c r="BU2929" s="10"/>
      <c r="BV2929" s="10"/>
      <c r="BW2929" s="10"/>
      <c r="BX2929" s="10"/>
      <c r="BY2929" s="23"/>
      <c r="BZ2929" s="23"/>
      <c r="CA2929" s="19" t="s">
        <v>9024</v>
      </c>
      <c r="CB2929" s="23"/>
      <c r="CC2929" s="23"/>
      <c r="CD2929" s="23"/>
      <c r="CE2929" s="23"/>
      <c r="CF2929" s="23"/>
      <c r="CG2929" s="23"/>
      <c r="CH2929" s="23"/>
      <c r="CI2929" s="23"/>
    </row>
    <row r="2930" spans="1:87" x14ac:dyDescent="0.3">
      <c r="A2930" s="9" t="s">
        <v>21657</v>
      </c>
      <c r="B2930" s="10" t="s">
        <v>21658</v>
      </c>
      <c r="C2930" s="11">
        <v>45998.416666666664</v>
      </c>
      <c r="D2930" s="12">
        <v>2.0833333333333332E-2</v>
      </c>
      <c r="E2930" s="11">
        <v>45998.4375</v>
      </c>
      <c r="F2930" s="22" t="s">
        <v>9016</v>
      </c>
      <c r="G2930" s="13" t="b">
        <v>0</v>
      </c>
      <c r="H2930" s="22" t="s">
        <v>9017</v>
      </c>
      <c r="I2930" s="10" t="s">
        <v>212</v>
      </c>
      <c r="J2930" s="13" t="b">
        <v>1</v>
      </c>
      <c r="K2930" s="13" t="b">
        <v>0</v>
      </c>
      <c r="L2930" s="10" t="s">
        <v>124</v>
      </c>
      <c r="M2930" s="10" t="s">
        <v>91</v>
      </c>
      <c r="N2930" s="10" t="s">
        <v>92</v>
      </c>
      <c r="O2930" s="19" t="s">
        <v>21659</v>
      </c>
      <c r="P2930" s="10"/>
      <c r="Q2930" s="10" t="s">
        <v>94</v>
      </c>
      <c r="R2930" s="10"/>
      <c r="S2930" s="19" t="s">
        <v>9019</v>
      </c>
      <c r="T2930" s="10"/>
      <c r="U2930" s="10"/>
      <c r="V2930" s="10"/>
      <c r="W2930" s="10" t="s">
        <v>9020</v>
      </c>
      <c r="X2930" s="10" t="s">
        <v>130</v>
      </c>
      <c r="Y2930" s="10" t="s">
        <v>130</v>
      </c>
      <c r="Z2930" s="10" t="s">
        <v>99</v>
      </c>
      <c r="AA2930" s="10" t="s">
        <v>131</v>
      </c>
      <c r="AB2930" s="10" t="s">
        <v>9021</v>
      </c>
      <c r="AC2930" s="10" t="s">
        <v>9022</v>
      </c>
      <c r="AD2930" s="10" t="s">
        <v>165</v>
      </c>
      <c r="AE2930" s="10" t="s">
        <v>21660</v>
      </c>
      <c r="AF2930" s="15"/>
      <c r="AG2930" s="10"/>
      <c r="AH2930" s="10"/>
      <c r="AI2930" s="10"/>
      <c r="AJ2930" s="10"/>
      <c r="AK2930" s="10" t="s">
        <v>102</v>
      </c>
      <c r="AL2930" s="10"/>
      <c r="AM2930" s="10"/>
      <c r="AN2930" s="10"/>
      <c r="AO2930" s="13" t="b">
        <v>0</v>
      </c>
      <c r="AP2930" s="22" t="s">
        <v>104</v>
      </c>
      <c r="AQ2930" s="10">
        <f ca="1">IFERROR(__xludf.DUMMYFUNCTION("""COMPUTED_VALUE"""),4766510)</f>
        <v>4766510</v>
      </c>
      <c r="AR2930" s="17">
        <v>237</v>
      </c>
      <c r="AS2930" s="17">
        <v>214</v>
      </c>
      <c r="AT2930" s="17">
        <v>1006.75</v>
      </c>
      <c r="AU2930" s="17">
        <v>0</v>
      </c>
      <c r="AV2930" s="17">
        <v>0</v>
      </c>
      <c r="AW2930" s="10" t="s">
        <v>105</v>
      </c>
      <c r="AX2930" s="17">
        <v>96</v>
      </c>
      <c r="AY2930" s="18">
        <v>4.7044392523364484</v>
      </c>
      <c r="AZ2930" s="10"/>
      <c r="BA2930" s="20" t="b">
        <v>0</v>
      </c>
      <c r="BB2930" s="10" t="s">
        <v>21629</v>
      </c>
      <c r="BC2930" s="17">
        <v>237</v>
      </c>
      <c r="BD2930" s="17">
        <v>214</v>
      </c>
      <c r="BE2930" s="17">
        <v>1006.75</v>
      </c>
      <c r="BF2930" s="17">
        <v>0</v>
      </c>
      <c r="BG2930" s="11">
        <f ca="1">IFERROR(__xludf.DUMMYFUNCTION("""COMPUTED_VALUE"""),45998.4166666666)</f>
        <v>45998.416666666599</v>
      </c>
      <c r="BH2930" s="17" t="s">
        <v>105</v>
      </c>
      <c r="BI2930" s="17"/>
      <c r="BJ2930" s="15"/>
      <c r="BK2930" s="15"/>
      <c r="BL2930" s="13" t="b">
        <v>0</v>
      </c>
      <c r="BM2930" s="10"/>
      <c r="BN2930" s="10" t="s">
        <v>6278</v>
      </c>
      <c r="BO2930" s="11">
        <v>45996.518055555556</v>
      </c>
      <c r="BP2930" s="11">
        <v>45996.518333333333</v>
      </c>
      <c r="BQ2930" s="15"/>
      <c r="BR2930" s="15">
        <v>45996.61109953704</v>
      </c>
      <c r="BS2930" s="10" t="s">
        <v>6278</v>
      </c>
      <c r="BT2930" s="10"/>
      <c r="BU2930" s="10"/>
      <c r="BV2930" s="10"/>
      <c r="BW2930" s="10"/>
      <c r="BX2930" s="10"/>
      <c r="BY2930" s="23"/>
      <c r="BZ2930" s="23"/>
      <c r="CA2930" s="19" t="s">
        <v>9024</v>
      </c>
      <c r="CB2930" s="23"/>
      <c r="CC2930" s="23"/>
      <c r="CD2930" s="23"/>
      <c r="CE2930" s="23"/>
      <c r="CF2930" s="23"/>
      <c r="CG2930" s="23"/>
      <c r="CH2930" s="23"/>
      <c r="CI2930" s="23"/>
    </row>
    <row r="2931" spans="1:87" x14ac:dyDescent="0.3">
      <c r="A2931" s="9" t="s">
        <v>21661</v>
      </c>
      <c r="B2931" s="10" t="s">
        <v>21662</v>
      </c>
      <c r="C2931" s="11">
        <v>45998.4375</v>
      </c>
      <c r="D2931" s="12">
        <v>2.0833333333333332E-2</v>
      </c>
      <c r="E2931" s="11">
        <v>45998.458333333336</v>
      </c>
      <c r="F2931" s="22" t="s">
        <v>9016</v>
      </c>
      <c r="G2931" s="13" t="b">
        <v>0</v>
      </c>
      <c r="H2931" s="22" t="s">
        <v>9017</v>
      </c>
      <c r="I2931" s="10" t="s">
        <v>212</v>
      </c>
      <c r="J2931" s="13" t="b">
        <v>1</v>
      </c>
      <c r="K2931" s="13" t="b">
        <v>0</v>
      </c>
      <c r="L2931" s="10" t="s">
        <v>124</v>
      </c>
      <c r="M2931" s="10" t="s">
        <v>91</v>
      </c>
      <c r="N2931" s="10" t="s">
        <v>92</v>
      </c>
      <c r="O2931" s="19" t="s">
        <v>21663</v>
      </c>
      <c r="P2931" s="10"/>
      <c r="Q2931" s="10" t="s">
        <v>94</v>
      </c>
      <c r="R2931" s="10"/>
      <c r="S2931" s="19" t="s">
        <v>9019</v>
      </c>
      <c r="T2931" s="10"/>
      <c r="U2931" s="10"/>
      <c r="V2931" s="10"/>
      <c r="W2931" s="10" t="s">
        <v>9020</v>
      </c>
      <c r="X2931" s="10" t="s">
        <v>130</v>
      </c>
      <c r="Y2931" s="10" t="s">
        <v>130</v>
      </c>
      <c r="Z2931" s="10" t="s">
        <v>99</v>
      </c>
      <c r="AA2931" s="10" t="s">
        <v>131</v>
      </c>
      <c r="AB2931" s="10" t="s">
        <v>9021</v>
      </c>
      <c r="AC2931" s="10" t="s">
        <v>9022</v>
      </c>
      <c r="AD2931" s="10" t="s">
        <v>165</v>
      </c>
      <c r="AE2931" s="10" t="s">
        <v>21664</v>
      </c>
      <c r="AF2931" s="15"/>
      <c r="AG2931" s="10"/>
      <c r="AH2931" s="10"/>
      <c r="AI2931" s="10"/>
      <c r="AJ2931" s="10"/>
      <c r="AK2931" s="10" t="s">
        <v>102</v>
      </c>
      <c r="AL2931" s="10"/>
      <c r="AM2931" s="10"/>
      <c r="AN2931" s="10"/>
      <c r="AO2931" s="13" t="b">
        <v>0</v>
      </c>
      <c r="AP2931" s="22" t="s">
        <v>104</v>
      </c>
      <c r="AQ2931" s="10">
        <f ca="1">IFERROR(__xludf.DUMMYFUNCTION("""COMPUTED_VALUE"""),4766511)</f>
        <v>4766511</v>
      </c>
      <c r="AR2931" s="17">
        <v>338</v>
      </c>
      <c r="AS2931" s="17">
        <v>284</v>
      </c>
      <c r="AT2931" s="17">
        <v>1447</v>
      </c>
      <c r="AU2931" s="17">
        <v>0.75</v>
      </c>
      <c r="AV2931" s="17">
        <v>0</v>
      </c>
      <c r="AW2931" s="10" t="s">
        <v>105</v>
      </c>
      <c r="AX2931" s="17">
        <v>127</v>
      </c>
      <c r="AY2931" s="18">
        <v>5.095070422535211</v>
      </c>
      <c r="AZ2931" s="10"/>
      <c r="BA2931" s="20" t="b">
        <v>0</v>
      </c>
      <c r="BB2931" s="10" t="s">
        <v>21629</v>
      </c>
      <c r="BC2931" s="17">
        <v>338</v>
      </c>
      <c r="BD2931" s="17">
        <v>284</v>
      </c>
      <c r="BE2931" s="17">
        <v>1447</v>
      </c>
      <c r="BF2931" s="17">
        <v>0</v>
      </c>
      <c r="BG2931" s="11">
        <f ca="1">IFERROR(__xludf.DUMMYFUNCTION("""COMPUTED_VALUE"""),45998.4375)</f>
        <v>45998.4375</v>
      </c>
      <c r="BH2931" s="17" t="s">
        <v>105</v>
      </c>
      <c r="BI2931" s="17"/>
      <c r="BJ2931" s="15"/>
      <c r="BK2931" s="15"/>
      <c r="BL2931" s="13" t="b">
        <v>0</v>
      </c>
      <c r="BM2931" s="10"/>
      <c r="BN2931" s="10" t="s">
        <v>6278</v>
      </c>
      <c r="BO2931" s="11">
        <v>45996.518055555556</v>
      </c>
      <c r="BP2931" s="11">
        <v>45996.518449074072</v>
      </c>
      <c r="BQ2931" s="15"/>
      <c r="BR2931" s="15">
        <v>45996.611284722225</v>
      </c>
      <c r="BS2931" s="10" t="s">
        <v>6278</v>
      </c>
      <c r="BT2931" s="10"/>
      <c r="BU2931" s="10"/>
      <c r="BV2931" s="10"/>
      <c r="BW2931" s="10"/>
      <c r="BX2931" s="10"/>
      <c r="BY2931" s="23"/>
      <c r="BZ2931" s="23"/>
      <c r="CA2931" s="19" t="s">
        <v>9024</v>
      </c>
      <c r="CB2931" s="23"/>
      <c r="CC2931" s="23"/>
      <c r="CD2931" s="23"/>
      <c r="CE2931" s="23"/>
      <c r="CF2931" s="23"/>
      <c r="CG2931" s="23"/>
      <c r="CH2931" s="23"/>
      <c r="CI2931" s="23"/>
    </row>
    <row r="2932" spans="1:87" x14ac:dyDescent="0.3">
      <c r="A2932" s="9" t="s">
        <v>21665</v>
      </c>
      <c r="B2932" s="10" t="s">
        <v>21666</v>
      </c>
      <c r="C2932" s="11">
        <v>45998.458333333336</v>
      </c>
      <c r="D2932" s="12">
        <v>2.0833333333333332E-2</v>
      </c>
      <c r="E2932" s="11">
        <v>45998.479166666664</v>
      </c>
      <c r="F2932" s="22" t="s">
        <v>9016</v>
      </c>
      <c r="G2932" s="13" t="b">
        <v>0</v>
      </c>
      <c r="H2932" s="22" t="s">
        <v>9017</v>
      </c>
      <c r="I2932" s="10" t="s">
        <v>212</v>
      </c>
      <c r="J2932" s="13" t="b">
        <v>1</v>
      </c>
      <c r="K2932" s="13" t="b">
        <v>0</v>
      </c>
      <c r="L2932" s="10" t="s">
        <v>124</v>
      </c>
      <c r="M2932" s="10" t="s">
        <v>91</v>
      </c>
      <c r="N2932" s="10" t="s">
        <v>92</v>
      </c>
      <c r="O2932" s="19" t="s">
        <v>21667</v>
      </c>
      <c r="P2932" s="10"/>
      <c r="Q2932" s="10" t="s">
        <v>94</v>
      </c>
      <c r="R2932" s="10"/>
      <c r="S2932" s="19" t="s">
        <v>9019</v>
      </c>
      <c r="T2932" s="10"/>
      <c r="U2932" s="10"/>
      <c r="V2932" s="10"/>
      <c r="W2932" s="10" t="s">
        <v>9020</v>
      </c>
      <c r="X2932" s="10" t="s">
        <v>130</v>
      </c>
      <c r="Y2932" s="10" t="s">
        <v>130</v>
      </c>
      <c r="Z2932" s="10" t="s">
        <v>99</v>
      </c>
      <c r="AA2932" s="10" t="s">
        <v>131</v>
      </c>
      <c r="AB2932" s="10" t="s">
        <v>9021</v>
      </c>
      <c r="AC2932" s="10" t="s">
        <v>9022</v>
      </c>
      <c r="AD2932" s="10" t="s">
        <v>165</v>
      </c>
      <c r="AE2932" s="10" t="s">
        <v>21668</v>
      </c>
      <c r="AF2932" s="15"/>
      <c r="AG2932" s="10"/>
      <c r="AH2932" s="10"/>
      <c r="AI2932" s="10"/>
      <c r="AJ2932" s="10"/>
      <c r="AK2932" s="10" t="s">
        <v>102</v>
      </c>
      <c r="AL2932" s="10"/>
      <c r="AM2932" s="10"/>
      <c r="AN2932" s="10"/>
      <c r="AO2932" s="13" t="b">
        <v>0</v>
      </c>
      <c r="AP2932" s="22" t="s">
        <v>104</v>
      </c>
      <c r="AQ2932" s="10">
        <f ca="1">IFERROR(__xludf.DUMMYFUNCTION("""COMPUTED_VALUE"""),4766514)</f>
        <v>4766514</v>
      </c>
      <c r="AR2932" s="17">
        <v>194</v>
      </c>
      <c r="AS2932" s="17">
        <v>181</v>
      </c>
      <c r="AT2932" s="17">
        <v>309.75</v>
      </c>
      <c r="AU2932" s="17">
        <v>0</v>
      </c>
      <c r="AV2932" s="17">
        <v>0</v>
      </c>
      <c r="AW2932" s="10" t="s">
        <v>105</v>
      </c>
      <c r="AX2932" s="17">
        <v>127</v>
      </c>
      <c r="AY2932" s="18">
        <v>1.7113259668508287</v>
      </c>
      <c r="AZ2932" s="10"/>
      <c r="BA2932" s="20" t="b">
        <v>0</v>
      </c>
      <c r="BB2932" s="10" t="s">
        <v>21629</v>
      </c>
      <c r="BC2932" s="17">
        <v>194</v>
      </c>
      <c r="BD2932" s="17">
        <v>181</v>
      </c>
      <c r="BE2932" s="17">
        <v>309.75</v>
      </c>
      <c r="BF2932" s="17">
        <v>0</v>
      </c>
      <c r="BG2932" s="11">
        <f ca="1">IFERROR(__xludf.DUMMYFUNCTION("""COMPUTED_VALUE"""),45998.4583333333)</f>
        <v>45998.458333333299</v>
      </c>
      <c r="BH2932" s="17" t="s">
        <v>105</v>
      </c>
      <c r="BI2932" s="17"/>
      <c r="BJ2932" s="15"/>
      <c r="BK2932" s="15"/>
      <c r="BL2932" s="13" t="b">
        <v>0</v>
      </c>
      <c r="BM2932" s="10"/>
      <c r="BN2932" s="10" t="s">
        <v>6278</v>
      </c>
      <c r="BO2932" s="11">
        <v>45996.518055555556</v>
      </c>
      <c r="BP2932" s="11">
        <v>45996.518564814818</v>
      </c>
      <c r="BQ2932" s="15"/>
      <c r="BR2932" s="15">
        <v>45996.611643518518</v>
      </c>
      <c r="BS2932" s="10" t="s">
        <v>6278</v>
      </c>
      <c r="BT2932" s="10"/>
      <c r="BU2932" s="10"/>
      <c r="BV2932" s="10"/>
      <c r="BW2932" s="10"/>
      <c r="BX2932" s="10"/>
      <c r="BY2932" s="23"/>
      <c r="BZ2932" s="23"/>
      <c r="CA2932" s="19" t="s">
        <v>9024</v>
      </c>
      <c r="CB2932" s="23"/>
      <c r="CC2932" s="23"/>
      <c r="CD2932" s="23"/>
      <c r="CE2932" s="23"/>
      <c r="CF2932" s="23"/>
      <c r="CG2932" s="23"/>
      <c r="CH2932" s="23"/>
      <c r="CI2932" s="23"/>
    </row>
    <row r="2933" spans="1:87" x14ac:dyDescent="0.3">
      <c r="A2933" s="9" t="s">
        <v>21669</v>
      </c>
      <c r="B2933" s="10" t="s">
        <v>21670</v>
      </c>
      <c r="C2933" s="11">
        <v>45998.493055555555</v>
      </c>
      <c r="D2933" s="12">
        <v>2.7777777777777776E-2</v>
      </c>
      <c r="E2933" s="11">
        <v>45998.520833333336</v>
      </c>
      <c r="F2933" s="22" t="s">
        <v>9016</v>
      </c>
      <c r="G2933" s="13" t="b">
        <v>0</v>
      </c>
      <c r="H2933" s="22" t="s">
        <v>9017</v>
      </c>
      <c r="I2933" s="10" t="s">
        <v>212</v>
      </c>
      <c r="J2933" s="13" t="b">
        <v>1</v>
      </c>
      <c r="K2933" s="13" t="b">
        <v>0</v>
      </c>
      <c r="L2933" s="10" t="s">
        <v>124</v>
      </c>
      <c r="M2933" s="10" t="s">
        <v>91</v>
      </c>
      <c r="N2933" s="10" t="s">
        <v>92</v>
      </c>
      <c r="O2933" s="19" t="s">
        <v>21671</v>
      </c>
      <c r="P2933" s="10"/>
      <c r="Q2933" s="10" t="s">
        <v>94</v>
      </c>
      <c r="R2933" s="10"/>
      <c r="S2933" s="19" t="s">
        <v>9019</v>
      </c>
      <c r="T2933" s="10"/>
      <c r="U2933" s="10"/>
      <c r="V2933" s="10"/>
      <c r="W2933" s="10" t="s">
        <v>9020</v>
      </c>
      <c r="X2933" s="10" t="s">
        <v>130</v>
      </c>
      <c r="Y2933" s="10" t="s">
        <v>130</v>
      </c>
      <c r="Z2933" s="10" t="s">
        <v>99</v>
      </c>
      <c r="AA2933" s="10" t="s">
        <v>131</v>
      </c>
      <c r="AB2933" s="10" t="s">
        <v>9021</v>
      </c>
      <c r="AC2933" s="10" t="s">
        <v>9022</v>
      </c>
      <c r="AD2933" s="10" t="s">
        <v>165</v>
      </c>
      <c r="AE2933" s="10" t="s">
        <v>21672</v>
      </c>
      <c r="AF2933" s="15"/>
      <c r="AG2933" s="10"/>
      <c r="AH2933" s="10"/>
      <c r="AI2933" s="10"/>
      <c r="AJ2933" s="10"/>
      <c r="AK2933" s="10" t="s">
        <v>102</v>
      </c>
      <c r="AL2933" s="10"/>
      <c r="AM2933" s="10"/>
      <c r="AN2933" s="10"/>
      <c r="AO2933" s="13" t="b">
        <v>0</v>
      </c>
      <c r="AP2933" s="22" t="s">
        <v>104</v>
      </c>
      <c r="AQ2933" s="10">
        <f ca="1">IFERROR(__xludf.DUMMYFUNCTION("""COMPUTED_VALUE"""),4766512)</f>
        <v>4766512</v>
      </c>
      <c r="AR2933" s="17">
        <v>341</v>
      </c>
      <c r="AS2933" s="17">
        <v>309</v>
      </c>
      <c r="AT2933" s="17">
        <v>2093.75</v>
      </c>
      <c r="AU2933" s="17">
        <v>0</v>
      </c>
      <c r="AV2933" s="17">
        <v>0</v>
      </c>
      <c r="AW2933" s="10" t="s">
        <v>105</v>
      </c>
      <c r="AX2933" s="17">
        <v>89</v>
      </c>
      <c r="AY2933" s="18">
        <v>6.7758899676375401</v>
      </c>
      <c r="AZ2933" s="10"/>
      <c r="BA2933" s="20" t="b">
        <v>0</v>
      </c>
      <c r="BB2933" s="10" t="s">
        <v>21629</v>
      </c>
      <c r="BC2933" s="17">
        <v>341</v>
      </c>
      <c r="BD2933" s="17">
        <v>309</v>
      </c>
      <c r="BE2933" s="17">
        <v>2093.75</v>
      </c>
      <c r="BF2933" s="17">
        <v>0</v>
      </c>
      <c r="BG2933" s="11">
        <f ca="1">IFERROR(__xludf.DUMMYFUNCTION("""COMPUTED_VALUE"""),45998.4930555555)</f>
        <v>45998.493055555497</v>
      </c>
      <c r="BH2933" s="17" t="s">
        <v>105</v>
      </c>
      <c r="BI2933" s="17"/>
      <c r="BJ2933" s="15"/>
      <c r="BK2933" s="15"/>
      <c r="BL2933" s="13" t="b">
        <v>0</v>
      </c>
      <c r="BM2933" s="10"/>
      <c r="BN2933" s="10" t="s">
        <v>6278</v>
      </c>
      <c r="BO2933" s="11">
        <v>45996.518750000003</v>
      </c>
      <c r="BP2933" s="11">
        <v>45996.519062500003</v>
      </c>
      <c r="BQ2933" s="15"/>
      <c r="BR2933" s="15">
        <v>45996.611770833333</v>
      </c>
      <c r="BS2933" s="10" t="s">
        <v>6278</v>
      </c>
      <c r="BT2933" s="10"/>
      <c r="BU2933" s="10"/>
      <c r="BV2933" s="10"/>
      <c r="BW2933" s="10"/>
      <c r="BX2933" s="10"/>
      <c r="BY2933" s="23"/>
      <c r="BZ2933" s="23"/>
      <c r="CA2933" s="19" t="s">
        <v>9024</v>
      </c>
      <c r="CB2933" s="23"/>
      <c r="CC2933" s="23"/>
      <c r="CD2933" s="23"/>
      <c r="CE2933" s="23"/>
      <c r="CF2933" s="23"/>
      <c r="CG2933" s="23"/>
      <c r="CH2933" s="23"/>
      <c r="CI2933" s="23"/>
    </row>
    <row r="2934" spans="1:87" x14ac:dyDescent="0.3">
      <c r="A2934" s="9" t="s">
        <v>21673</v>
      </c>
      <c r="B2934" s="10" t="s">
        <v>21674</v>
      </c>
      <c r="C2934" s="11">
        <v>45998.520833333336</v>
      </c>
      <c r="D2934" s="12">
        <v>2.7777777777777776E-2</v>
      </c>
      <c r="E2934" s="11">
        <v>45998.548611111109</v>
      </c>
      <c r="F2934" s="22" t="s">
        <v>9016</v>
      </c>
      <c r="G2934" s="13" t="b">
        <v>0</v>
      </c>
      <c r="H2934" s="22" t="s">
        <v>9017</v>
      </c>
      <c r="I2934" s="10" t="s">
        <v>212</v>
      </c>
      <c r="J2934" s="13" t="b">
        <v>1</v>
      </c>
      <c r="K2934" s="13" t="b">
        <v>0</v>
      </c>
      <c r="L2934" s="10" t="s">
        <v>124</v>
      </c>
      <c r="M2934" s="10" t="s">
        <v>91</v>
      </c>
      <c r="N2934" s="10" t="s">
        <v>92</v>
      </c>
      <c r="O2934" s="19" t="s">
        <v>21675</v>
      </c>
      <c r="P2934" s="10"/>
      <c r="Q2934" s="10" t="s">
        <v>94</v>
      </c>
      <c r="R2934" s="10"/>
      <c r="S2934" s="19" t="s">
        <v>9019</v>
      </c>
      <c r="T2934" s="10"/>
      <c r="U2934" s="10"/>
      <c r="V2934" s="10"/>
      <c r="W2934" s="10" t="s">
        <v>9020</v>
      </c>
      <c r="X2934" s="10" t="s">
        <v>130</v>
      </c>
      <c r="Y2934" s="10" t="s">
        <v>130</v>
      </c>
      <c r="Z2934" s="10" t="s">
        <v>99</v>
      </c>
      <c r="AA2934" s="10" t="s">
        <v>131</v>
      </c>
      <c r="AB2934" s="10" t="s">
        <v>9021</v>
      </c>
      <c r="AC2934" s="10" t="s">
        <v>9022</v>
      </c>
      <c r="AD2934" s="10" t="s">
        <v>165</v>
      </c>
      <c r="AE2934" s="10" t="s">
        <v>21676</v>
      </c>
      <c r="AF2934" s="15"/>
      <c r="AG2934" s="10"/>
      <c r="AH2934" s="10"/>
      <c r="AI2934" s="10"/>
      <c r="AJ2934" s="10"/>
      <c r="AK2934" s="10" t="s">
        <v>102</v>
      </c>
      <c r="AL2934" s="10"/>
      <c r="AM2934" s="10"/>
      <c r="AN2934" s="10"/>
      <c r="AO2934" s="13" t="b">
        <v>0</v>
      </c>
      <c r="AP2934" s="22" t="s">
        <v>104</v>
      </c>
      <c r="AQ2934" s="10">
        <f ca="1">IFERROR(__xludf.DUMMYFUNCTION("""COMPUTED_VALUE"""),4766513)</f>
        <v>4766513</v>
      </c>
      <c r="AR2934" s="17">
        <v>411</v>
      </c>
      <c r="AS2934" s="17">
        <v>383</v>
      </c>
      <c r="AT2934" s="17">
        <v>1281.5</v>
      </c>
      <c r="AU2934" s="17">
        <v>0.25</v>
      </c>
      <c r="AV2934" s="17">
        <v>0</v>
      </c>
      <c r="AW2934" s="10" t="s">
        <v>105</v>
      </c>
      <c r="AX2934" s="17">
        <v>120</v>
      </c>
      <c r="AY2934" s="18">
        <v>3.3459530026109658</v>
      </c>
      <c r="AZ2934" s="10"/>
      <c r="BA2934" s="20" t="b">
        <v>0</v>
      </c>
      <c r="BB2934" s="10" t="s">
        <v>21629</v>
      </c>
      <c r="BC2934" s="17">
        <v>411</v>
      </c>
      <c r="BD2934" s="17">
        <v>383</v>
      </c>
      <c r="BE2934" s="17">
        <v>1281.5</v>
      </c>
      <c r="BF2934" s="17">
        <v>0</v>
      </c>
      <c r="BG2934" s="11">
        <f ca="1">IFERROR(__xludf.DUMMYFUNCTION("""COMPUTED_VALUE"""),45998.5208333333)</f>
        <v>45998.520833333299</v>
      </c>
      <c r="BH2934" s="17" t="s">
        <v>105</v>
      </c>
      <c r="BI2934" s="17"/>
      <c r="BJ2934" s="15"/>
      <c r="BK2934" s="15"/>
      <c r="BL2934" s="13" t="b">
        <v>0</v>
      </c>
      <c r="BM2934" s="10"/>
      <c r="BN2934" s="10" t="s">
        <v>6278</v>
      </c>
      <c r="BO2934" s="11">
        <v>45996.518750000003</v>
      </c>
      <c r="BP2934" s="11">
        <v>45996.519270833334</v>
      </c>
      <c r="BQ2934" s="15"/>
      <c r="BR2934" s="15">
        <v>45996.612013888887</v>
      </c>
      <c r="BS2934" s="10" t="s">
        <v>6278</v>
      </c>
      <c r="BT2934" s="10"/>
      <c r="BU2934" s="10"/>
      <c r="BV2934" s="10"/>
      <c r="BW2934" s="10"/>
      <c r="BX2934" s="10"/>
      <c r="BY2934" s="23"/>
      <c r="BZ2934" s="23"/>
      <c r="CA2934" s="19" t="s">
        <v>9024</v>
      </c>
      <c r="CB2934" s="23"/>
      <c r="CC2934" s="23"/>
      <c r="CD2934" s="23"/>
      <c r="CE2934" s="23"/>
      <c r="CF2934" s="23"/>
      <c r="CG2934" s="23"/>
      <c r="CH2934" s="23"/>
      <c r="CI2934" s="23"/>
    </row>
    <row r="2935" spans="1:87" x14ac:dyDescent="0.3">
      <c r="A2935" s="9" t="s">
        <v>21677</v>
      </c>
      <c r="B2935" s="10" t="s">
        <v>21678</v>
      </c>
      <c r="C2935" s="11">
        <v>45998.548611111109</v>
      </c>
      <c r="D2935" s="12">
        <v>3.4722222222222224E-2</v>
      </c>
      <c r="E2935" s="11">
        <v>45998.583333333336</v>
      </c>
      <c r="F2935" s="22" t="s">
        <v>9016</v>
      </c>
      <c r="G2935" s="13" t="b">
        <v>0</v>
      </c>
      <c r="H2935" s="22" t="s">
        <v>9017</v>
      </c>
      <c r="I2935" s="10" t="s">
        <v>212</v>
      </c>
      <c r="J2935" s="13" t="b">
        <v>1</v>
      </c>
      <c r="K2935" s="13" t="b">
        <v>0</v>
      </c>
      <c r="L2935" s="10" t="s">
        <v>124</v>
      </c>
      <c r="M2935" s="10" t="s">
        <v>91</v>
      </c>
      <c r="N2935" s="10" t="s">
        <v>92</v>
      </c>
      <c r="O2935" s="19" t="s">
        <v>21679</v>
      </c>
      <c r="P2935" s="10"/>
      <c r="Q2935" s="10" t="s">
        <v>94</v>
      </c>
      <c r="R2935" s="10"/>
      <c r="S2935" s="19" t="s">
        <v>9019</v>
      </c>
      <c r="T2935" s="10"/>
      <c r="U2935" s="10"/>
      <c r="V2935" s="10"/>
      <c r="W2935" s="10" t="s">
        <v>9020</v>
      </c>
      <c r="X2935" s="10" t="s">
        <v>130</v>
      </c>
      <c r="Y2935" s="10" t="s">
        <v>130</v>
      </c>
      <c r="Z2935" s="10" t="s">
        <v>99</v>
      </c>
      <c r="AA2935" s="10" t="s">
        <v>131</v>
      </c>
      <c r="AB2935" s="10" t="s">
        <v>9021</v>
      </c>
      <c r="AC2935" s="10" t="s">
        <v>9022</v>
      </c>
      <c r="AD2935" s="10" t="s">
        <v>165</v>
      </c>
      <c r="AE2935" s="10" t="s">
        <v>21680</v>
      </c>
      <c r="AF2935" s="15"/>
      <c r="AG2935" s="10"/>
      <c r="AH2935" s="10"/>
      <c r="AI2935" s="10"/>
      <c r="AJ2935" s="10"/>
      <c r="AK2935" s="10" t="s">
        <v>102</v>
      </c>
      <c r="AL2935" s="10"/>
      <c r="AM2935" s="10"/>
      <c r="AN2935" s="10"/>
      <c r="AO2935" s="13" t="b">
        <v>0</v>
      </c>
      <c r="AP2935" s="22" t="s">
        <v>104</v>
      </c>
      <c r="AQ2935" s="10">
        <f ca="1">IFERROR(__xludf.DUMMYFUNCTION("""COMPUTED_VALUE"""),4766515)</f>
        <v>4766515</v>
      </c>
      <c r="AR2935" s="17">
        <v>367</v>
      </c>
      <c r="AS2935" s="17">
        <v>337</v>
      </c>
      <c r="AT2935" s="17">
        <v>1587.25</v>
      </c>
      <c r="AU2935" s="17">
        <v>0</v>
      </c>
      <c r="AV2935" s="17">
        <v>0</v>
      </c>
      <c r="AW2935" s="10" t="s">
        <v>105</v>
      </c>
      <c r="AX2935" s="17">
        <v>105</v>
      </c>
      <c r="AY2935" s="18">
        <v>4.7099406528189913</v>
      </c>
      <c r="AZ2935" s="10"/>
      <c r="BA2935" s="20" t="b">
        <v>0</v>
      </c>
      <c r="BB2935" s="10" t="s">
        <v>21629</v>
      </c>
      <c r="BC2935" s="17">
        <v>367</v>
      </c>
      <c r="BD2935" s="17">
        <v>337</v>
      </c>
      <c r="BE2935" s="17">
        <v>1587.25</v>
      </c>
      <c r="BF2935" s="17">
        <v>0</v>
      </c>
      <c r="BG2935" s="11">
        <f ca="1">IFERROR(__xludf.DUMMYFUNCTION("""COMPUTED_VALUE"""),45998.5486111111)</f>
        <v>45998.548611111102</v>
      </c>
      <c r="BH2935" s="17" t="s">
        <v>105</v>
      </c>
      <c r="BI2935" s="17"/>
      <c r="BJ2935" s="15"/>
      <c r="BK2935" s="15"/>
      <c r="BL2935" s="13" t="b">
        <v>0</v>
      </c>
      <c r="BM2935" s="10"/>
      <c r="BN2935" s="10" t="s">
        <v>6278</v>
      </c>
      <c r="BO2935" s="11">
        <v>45996.518750000003</v>
      </c>
      <c r="BP2935" s="11">
        <v>45996.519444444442</v>
      </c>
      <c r="BQ2935" s="15"/>
      <c r="BR2935" s="15">
        <v>45996.612164351849</v>
      </c>
      <c r="BS2935" s="10" t="s">
        <v>6278</v>
      </c>
      <c r="BT2935" s="10"/>
      <c r="BU2935" s="10"/>
      <c r="BV2935" s="10"/>
      <c r="BW2935" s="10"/>
      <c r="BX2935" s="10"/>
      <c r="BY2935" s="23"/>
      <c r="BZ2935" s="23"/>
      <c r="CA2935" s="19" t="s">
        <v>9024</v>
      </c>
      <c r="CB2935" s="23"/>
      <c r="CC2935" s="23"/>
      <c r="CD2935" s="23"/>
      <c r="CE2935" s="23"/>
      <c r="CF2935" s="23"/>
      <c r="CG2935" s="23"/>
      <c r="CH2935" s="23"/>
      <c r="CI2935" s="23"/>
    </row>
    <row r="2936" spans="1:87" x14ac:dyDescent="0.3">
      <c r="A2936" s="9" t="s">
        <v>21681</v>
      </c>
      <c r="B2936" s="10" t="s">
        <v>21682</v>
      </c>
      <c r="C2936" s="11">
        <v>46011.770833333336</v>
      </c>
      <c r="D2936" s="12">
        <v>2.0833333333333332E-2</v>
      </c>
      <c r="E2936" s="11">
        <v>46011.791666666664</v>
      </c>
      <c r="F2936" s="22" t="s">
        <v>3511</v>
      </c>
      <c r="G2936" s="13" t="b">
        <v>0</v>
      </c>
      <c r="H2936" s="22" t="s">
        <v>3512</v>
      </c>
      <c r="I2936" s="10" t="s">
        <v>212</v>
      </c>
      <c r="J2936" s="13" t="b">
        <v>1</v>
      </c>
      <c r="K2936" s="13" t="b">
        <v>0</v>
      </c>
      <c r="L2936" s="10" t="s">
        <v>90</v>
      </c>
      <c r="M2936" s="10" t="s">
        <v>91</v>
      </c>
      <c r="N2936" s="10" t="s">
        <v>92</v>
      </c>
      <c r="O2936" s="19" t="s">
        <v>21683</v>
      </c>
      <c r="P2936" s="10"/>
      <c r="Q2936" s="10" t="s">
        <v>94</v>
      </c>
      <c r="R2936" s="10"/>
      <c r="S2936" s="19" t="s">
        <v>21684</v>
      </c>
      <c r="T2936" s="10"/>
      <c r="U2936" s="10"/>
      <c r="V2936" s="10"/>
      <c r="W2936" s="10" t="s">
        <v>3519</v>
      </c>
      <c r="X2936" s="10" t="s">
        <v>130</v>
      </c>
      <c r="Y2936" s="10" t="s">
        <v>130</v>
      </c>
      <c r="Z2936" s="10" t="s">
        <v>99</v>
      </c>
      <c r="AA2936" s="10" t="s">
        <v>131</v>
      </c>
      <c r="AB2936" s="10" t="s">
        <v>3520</v>
      </c>
      <c r="AC2936" s="10" t="s">
        <v>3521</v>
      </c>
      <c r="AD2936" s="10" t="s">
        <v>165</v>
      </c>
      <c r="AE2936" s="10" t="s">
        <v>21685</v>
      </c>
      <c r="AF2936" s="15"/>
      <c r="AG2936" s="10"/>
      <c r="AH2936" s="10"/>
      <c r="AI2936" s="10"/>
      <c r="AJ2936" s="10"/>
      <c r="AK2936" s="10" t="s">
        <v>102</v>
      </c>
      <c r="AL2936" s="10"/>
      <c r="AM2936" s="10"/>
      <c r="AN2936" s="10"/>
      <c r="AO2936" s="13" t="b">
        <v>0</v>
      </c>
      <c r="AP2936" s="22" t="s">
        <v>104</v>
      </c>
      <c r="AQ2936" s="10">
        <f ca="1">IFERROR(__xludf.DUMMYFUNCTION("""COMPUTED_VALUE"""),4783343)</f>
        <v>4783343</v>
      </c>
      <c r="AR2936" s="17">
        <v>12223</v>
      </c>
      <c r="AS2936" s="17">
        <v>9996</v>
      </c>
      <c r="AT2936" s="17">
        <v>59386.75</v>
      </c>
      <c r="AU2936" s="17">
        <v>61.1</v>
      </c>
      <c r="AV2936" s="17">
        <v>8.6999999999999993</v>
      </c>
      <c r="AW2936" s="10" t="s">
        <v>105</v>
      </c>
      <c r="AX2936" s="17">
        <v>4792</v>
      </c>
      <c r="AY2936" s="18">
        <v>5.9410514205682272</v>
      </c>
      <c r="AZ2936" s="10" t="s">
        <v>185</v>
      </c>
      <c r="BA2936" s="20" t="b">
        <v>0</v>
      </c>
      <c r="BB2936" s="10"/>
      <c r="BC2936" s="17">
        <v>12223</v>
      </c>
      <c r="BD2936" s="17">
        <v>9996</v>
      </c>
      <c r="BE2936" s="17">
        <v>59386.75</v>
      </c>
      <c r="BF2936" s="17">
        <v>8.6999999999999993</v>
      </c>
      <c r="BG2936" s="11">
        <f ca="1">IFERROR(__xludf.DUMMYFUNCTION("""COMPUTED_VALUE"""),46011.7708333333)</f>
        <v>46011.770833333299</v>
      </c>
      <c r="BH2936" s="17" t="s">
        <v>105</v>
      </c>
      <c r="BI2936" s="17"/>
      <c r="BJ2936" s="15"/>
      <c r="BK2936" s="15"/>
      <c r="BL2936" s="13" t="b">
        <v>0</v>
      </c>
      <c r="BM2936" s="10"/>
      <c r="BN2936" s="10" t="s">
        <v>136</v>
      </c>
      <c r="BO2936" s="11">
        <v>45996.601388888892</v>
      </c>
      <c r="BP2936" s="11">
        <v>45996.6015162037</v>
      </c>
      <c r="BQ2936" s="15">
        <v>46009.693414351852</v>
      </c>
      <c r="BR2936" s="15">
        <v>46007.692048611112</v>
      </c>
      <c r="BS2936" s="10"/>
      <c r="BT2936" s="10"/>
      <c r="BU2936" s="10"/>
      <c r="BV2936" s="10"/>
      <c r="BW2936" s="10"/>
      <c r="BX2936" s="10"/>
      <c r="BY2936" s="23"/>
      <c r="BZ2936" s="23"/>
      <c r="CA2936" s="19" t="s">
        <v>21686</v>
      </c>
      <c r="CB2936" s="23"/>
      <c r="CC2936" s="23"/>
      <c r="CD2936" s="23"/>
      <c r="CE2936" s="23"/>
      <c r="CF2936" s="23"/>
      <c r="CG2936" s="23"/>
      <c r="CH2936" s="23"/>
      <c r="CI2936" s="23"/>
    </row>
    <row r="2937" spans="1:87" x14ac:dyDescent="0.3">
      <c r="A2937" s="9" t="s">
        <v>21687</v>
      </c>
      <c r="B2937" s="10" t="s">
        <v>21688</v>
      </c>
      <c r="C2937" s="11">
        <v>46012.770833333336</v>
      </c>
      <c r="D2937" s="12">
        <v>2.0833333333333332E-2</v>
      </c>
      <c r="E2937" s="11">
        <v>46012.791666666664</v>
      </c>
      <c r="F2937" s="22" t="s">
        <v>3511</v>
      </c>
      <c r="G2937" s="13" t="b">
        <v>0</v>
      </c>
      <c r="H2937" s="22" t="s">
        <v>3512</v>
      </c>
      <c r="I2937" s="10" t="s">
        <v>212</v>
      </c>
      <c r="J2937" s="13" t="b">
        <v>1</v>
      </c>
      <c r="K2937" s="13" t="b">
        <v>0</v>
      </c>
      <c r="L2937" s="10" t="s">
        <v>90</v>
      </c>
      <c r="M2937" s="10" t="s">
        <v>91</v>
      </c>
      <c r="N2937" s="10" t="s">
        <v>92</v>
      </c>
      <c r="O2937" s="19" t="s">
        <v>21689</v>
      </c>
      <c r="P2937" s="10"/>
      <c r="Q2937" s="10" t="s">
        <v>94</v>
      </c>
      <c r="R2937" s="10"/>
      <c r="S2937" s="19" t="s">
        <v>21690</v>
      </c>
      <c r="T2937" s="10"/>
      <c r="U2937" s="10"/>
      <c r="V2937" s="10"/>
      <c r="W2937" s="10" t="s">
        <v>3519</v>
      </c>
      <c r="X2937" s="10" t="s">
        <v>130</v>
      </c>
      <c r="Y2937" s="10" t="s">
        <v>130</v>
      </c>
      <c r="Z2937" s="10" t="s">
        <v>99</v>
      </c>
      <c r="AA2937" s="10" t="s">
        <v>131</v>
      </c>
      <c r="AB2937" s="10" t="s">
        <v>3520</v>
      </c>
      <c r="AC2937" s="10" t="s">
        <v>3521</v>
      </c>
      <c r="AD2937" s="10" t="s">
        <v>165</v>
      </c>
      <c r="AE2937" s="10" t="s">
        <v>21691</v>
      </c>
      <c r="AF2937" s="15"/>
      <c r="AG2937" s="10"/>
      <c r="AH2937" s="10"/>
      <c r="AI2937" s="10"/>
      <c r="AJ2937" s="10"/>
      <c r="AK2937" s="10" t="s">
        <v>102</v>
      </c>
      <c r="AL2937" s="10"/>
      <c r="AM2937" s="10"/>
      <c r="AN2937" s="10"/>
      <c r="AO2937" s="13" t="b">
        <v>0</v>
      </c>
      <c r="AP2937" s="22" t="s">
        <v>104</v>
      </c>
      <c r="AQ2937" s="10">
        <f ca="1">IFERROR(__xludf.DUMMYFUNCTION("""COMPUTED_VALUE"""),4783344)</f>
        <v>4783344</v>
      </c>
      <c r="AR2937" s="17">
        <v>21425</v>
      </c>
      <c r="AS2937" s="17">
        <v>16310</v>
      </c>
      <c r="AT2937" s="17">
        <v>104286.75</v>
      </c>
      <c r="AU2937" s="17">
        <v>154.85</v>
      </c>
      <c r="AV2937" s="17">
        <v>38.049999999999997</v>
      </c>
      <c r="AW2937" s="10" t="s">
        <v>105</v>
      </c>
      <c r="AX2937" s="17">
        <v>8845</v>
      </c>
      <c r="AY2937" s="18">
        <v>6.3940374003678722</v>
      </c>
      <c r="AZ2937" s="10" t="s">
        <v>185</v>
      </c>
      <c r="BA2937" s="20" t="b">
        <v>0</v>
      </c>
      <c r="BB2937" s="10"/>
      <c r="BC2937" s="17">
        <v>21425</v>
      </c>
      <c r="BD2937" s="17">
        <v>16310</v>
      </c>
      <c r="BE2937" s="17">
        <v>104286.75</v>
      </c>
      <c r="BF2937" s="17">
        <v>38.049999999999997</v>
      </c>
      <c r="BG2937" s="11">
        <f ca="1">IFERROR(__xludf.DUMMYFUNCTION("""COMPUTED_VALUE"""),46012.7708333333)</f>
        <v>46012.770833333299</v>
      </c>
      <c r="BH2937" s="17" t="s">
        <v>105</v>
      </c>
      <c r="BI2937" s="17"/>
      <c r="BJ2937" s="15"/>
      <c r="BK2937" s="15"/>
      <c r="BL2937" s="13" t="b">
        <v>0</v>
      </c>
      <c r="BM2937" s="10"/>
      <c r="BN2937" s="10" t="s">
        <v>136</v>
      </c>
      <c r="BO2937" s="11">
        <v>45996.602083333331</v>
      </c>
      <c r="BP2937" s="11">
        <v>45996.602152777778</v>
      </c>
      <c r="BQ2937" s="15">
        <v>46009.518414351849</v>
      </c>
      <c r="BR2937" s="15">
        <v>46007.691840277781</v>
      </c>
      <c r="BS2937" s="10"/>
      <c r="BT2937" s="10"/>
      <c r="BU2937" s="10"/>
      <c r="BV2937" s="10"/>
      <c r="BW2937" s="10"/>
      <c r="BX2937" s="10"/>
      <c r="BY2937" s="23"/>
      <c r="BZ2937" s="23"/>
      <c r="CA2937" s="19" t="s">
        <v>21692</v>
      </c>
      <c r="CB2937" s="23"/>
      <c r="CC2937" s="23"/>
      <c r="CD2937" s="23"/>
      <c r="CE2937" s="23"/>
      <c r="CF2937" s="23"/>
      <c r="CG2937" s="23"/>
      <c r="CH2937" s="23"/>
      <c r="CI2937" s="23"/>
    </row>
    <row r="2938" spans="1:87" x14ac:dyDescent="0.3">
      <c r="A2938" s="9" t="s">
        <v>21693</v>
      </c>
      <c r="B2938" s="10" t="s">
        <v>21694</v>
      </c>
      <c r="C2938" s="11">
        <v>46013.770833333336</v>
      </c>
      <c r="D2938" s="12">
        <v>2.0833333333333332E-2</v>
      </c>
      <c r="E2938" s="11">
        <v>46013.791666666664</v>
      </c>
      <c r="F2938" s="22" t="s">
        <v>3511</v>
      </c>
      <c r="G2938" s="13" t="b">
        <v>0</v>
      </c>
      <c r="H2938" s="22" t="s">
        <v>3512</v>
      </c>
      <c r="I2938" s="10" t="s">
        <v>212</v>
      </c>
      <c r="J2938" s="13" t="b">
        <v>1</v>
      </c>
      <c r="K2938" s="13" t="b">
        <v>0</v>
      </c>
      <c r="L2938" s="10" t="s">
        <v>90</v>
      </c>
      <c r="M2938" s="10" t="s">
        <v>91</v>
      </c>
      <c r="N2938" s="10" t="s">
        <v>92</v>
      </c>
      <c r="O2938" s="19" t="s">
        <v>21695</v>
      </c>
      <c r="P2938" s="10"/>
      <c r="Q2938" s="10" t="s">
        <v>94</v>
      </c>
      <c r="R2938" s="10"/>
      <c r="S2938" s="19" t="s">
        <v>4943</v>
      </c>
      <c r="T2938" s="10"/>
      <c r="U2938" s="10"/>
      <c r="V2938" s="10"/>
      <c r="W2938" s="10" t="s">
        <v>3519</v>
      </c>
      <c r="X2938" s="10" t="s">
        <v>130</v>
      </c>
      <c r="Y2938" s="10" t="s">
        <v>130</v>
      </c>
      <c r="Z2938" s="10" t="s">
        <v>99</v>
      </c>
      <c r="AA2938" s="10" t="s">
        <v>131</v>
      </c>
      <c r="AB2938" s="10" t="s">
        <v>3520</v>
      </c>
      <c r="AC2938" s="10" t="s">
        <v>3521</v>
      </c>
      <c r="AD2938" s="10" t="s">
        <v>165</v>
      </c>
      <c r="AE2938" s="10" t="s">
        <v>21696</v>
      </c>
      <c r="AF2938" s="15"/>
      <c r="AG2938" s="10"/>
      <c r="AH2938" s="10"/>
      <c r="AI2938" s="10"/>
      <c r="AJ2938" s="10"/>
      <c r="AK2938" s="10" t="s">
        <v>102</v>
      </c>
      <c r="AL2938" s="10"/>
      <c r="AM2938" s="10"/>
      <c r="AN2938" s="10"/>
      <c r="AO2938" s="13" t="b">
        <v>0</v>
      </c>
      <c r="AP2938" s="22" t="s">
        <v>104</v>
      </c>
      <c r="AQ2938" s="10">
        <f ca="1">IFERROR(__xludf.DUMMYFUNCTION("""COMPUTED_VALUE"""),4783772)</f>
        <v>4783772</v>
      </c>
      <c r="AR2938" s="17">
        <v>10358</v>
      </c>
      <c r="AS2938" s="17">
        <v>8216</v>
      </c>
      <c r="AT2938" s="17">
        <v>46075.5</v>
      </c>
      <c r="AU2938" s="17">
        <v>56.05</v>
      </c>
      <c r="AV2938" s="17">
        <v>7.65</v>
      </c>
      <c r="AW2938" s="10" t="s">
        <v>105</v>
      </c>
      <c r="AX2938" s="17">
        <v>4476</v>
      </c>
      <c r="AY2938" s="18">
        <v>5.6080209347614414</v>
      </c>
      <c r="AZ2938" s="10" t="s">
        <v>185</v>
      </c>
      <c r="BA2938" s="20" t="b">
        <v>0</v>
      </c>
      <c r="BB2938" s="10"/>
      <c r="BC2938" s="17">
        <v>10358</v>
      </c>
      <c r="BD2938" s="17">
        <v>8216</v>
      </c>
      <c r="BE2938" s="17">
        <v>46075.5</v>
      </c>
      <c r="BF2938" s="17">
        <v>7.65</v>
      </c>
      <c r="BG2938" s="11">
        <f ca="1">IFERROR(__xludf.DUMMYFUNCTION("""COMPUTED_VALUE"""),46013.7708333333)</f>
        <v>46013.770833333299</v>
      </c>
      <c r="BH2938" s="17" t="s">
        <v>105</v>
      </c>
      <c r="BI2938" s="17"/>
      <c r="BJ2938" s="15"/>
      <c r="BK2938" s="15"/>
      <c r="BL2938" s="13" t="b">
        <v>0</v>
      </c>
      <c r="BM2938" s="10"/>
      <c r="BN2938" s="10" t="s">
        <v>118</v>
      </c>
      <c r="BO2938" s="11">
        <v>45996.603472222225</v>
      </c>
      <c r="BP2938" s="11">
        <v>45996.604178240741</v>
      </c>
      <c r="BQ2938" s="15">
        <v>46006.738993055558</v>
      </c>
      <c r="BR2938" s="15">
        <v>46010.427187499998</v>
      </c>
      <c r="BS2938" s="10" t="s">
        <v>118</v>
      </c>
      <c r="BT2938" s="10"/>
      <c r="BU2938" s="10"/>
      <c r="BV2938" s="10"/>
      <c r="BW2938" s="10"/>
      <c r="BX2938" s="10"/>
      <c r="BY2938" s="23"/>
      <c r="BZ2938" s="23"/>
      <c r="CA2938" s="19" t="s">
        <v>21697</v>
      </c>
      <c r="CB2938" s="23"/>
      <c r="CC2938" s="23"/>
      <c r="CD2938" s="23"/>
      <c r="CE2938" s="23"/>
      <c r="CF2938" s="23"/>
      <c r="CG2938" s="23"/>
      <c r="CH2938" s="23"/>
      <c r="CI2938" s="23"/>
    </row>
    <row r="2939" spans="1:87" x14ac:dyDescent="0.3">
      <c r="A2939" s="9" t="s">
        <v>21698</v>
      </c>
      <c r="B2939" s="10" t="s">
        <v>21699</v>
      </c>
      <c r="C2939" s="11">
        <v>46004.125</v>
      </c>
      <c r="D2939" s="12">
        <v>8.3333333333333329E-2</v>
      </c>
      <c r="E2939" s="11">
        <v>46004.208333333336</v>
      </c>
      <c r="F2939" s="22" t="s">
        <v>7613</v>
      </c>
      <c r="G2939" s="13" t="b">
        <v>0</v>
      </c>
      <c r="H2939" s="22" t="s">
        <v>88</v>
      </c>
      <c r="I2939" s="10" t="s">
        <v>89</v>
      </c>
      <c r="J2939" s="13" t="b">
        <v>0</v>
      </c>
      <c r="K2939" s="13" t="b">
        <v>1</v>
      </c>
      <c r="L2939" s="10" t="s">
        <v>124</v>
      </c>
      <c r="M2939" s="10" t="s">
        <v>91</v>
      </c>
      <c r="N2939" s="10" t="s">
        <v>265</v>
      </c>
      <c r="O2939" s="19" t="s">
        <v>21700</v>
      </c>
      <c r="P2939" s="10"/>
      <c r="Q2939" s="10" t="s">
        <v>94</v>
      </c>
      <c r="R2939" s="10"/>
      <c r="S2939" s="19" t="s">
        <v>21701</v>
      </c>
      <c r="T2939" s="19" t="s">
        <v>21702</v>
      </c>
      <c r="U2939" s="10" t="s">
        <v>8426</v>
      </c>
      <c r="V2939" s="10" t="s">
        <v>7903</v>
      </c>
      <c r="W2939" s="10" t="s">
        <v>7620</v>
      </c>
      <c r="X2939" s="10" t="s">
        <v>130</v>
      </c>
      <c r="Y2939" s="10" t="s">
        <v>130</v>
      </c>
      <c r="Z2939" s="10" t="s">
        <v>99</v>
      </c>
      <c r="AA2939" s="10" t="s">
        <v>131</v>
      </c>
      <c r="AB2939" s="10" t="s">
        <v>7621</v>
      </c>
      <c r="AC2939" s="10" t="s">
        <v>274</v>
      </c>
      <c r="AD2939" s="10" t="s">
        <v>21703</v>
      </c>
      <c r="AE2939" s="10" t="s">
        <v>21704</v>
      </c>
      <c r="AF2939" s="15"/>
      <c r="AG2939" s="10"/>
      <c r="AH2939" s="10"/>
      <c r="AI2939" s="10"/>
      <c r="AJ2939" s="10"/>
      <c r="AK2939" s="10" t="s">
        <v>102</v>
      </c>
      <c r="AL2939" s="10" t="s">
        <v>2405</v>
      </c>
      <c r="AM2939" s="10"/>
      <c r="AN2939" s="10"/>
      <c r="AO2939" s="13" t="b">
        <v>0</v>
      </c>
      <c r="AP2939" s="22" t="s">
        <v>104</v>
      </c>
      <c r="AQ2939" s="10">
        <f ca="1">IFERROR(__xludf.DUMMYFUNCTION("""COMPUTED_VALUE"""),4773907)</f>
        <v>4773907</v>
      </c>
      <c r="AR2939" s="17">
        <v>1526</v>
      </c>
      <c r="AS2939" s="17">
        <v>1209</v>
      </c>
      <c r="AT2939" s="17">
        <v>16802.75</v>
      </c>
      <c r="AU2939" s="17">
        <v>0.75</v>
      </c>
      <c r="AV2939" s="17">
        <v>0</v>
      </c>
      <c r="AW2939" s="10" t="s">
        <v>105</v>
      </c>
      <c r="AX2939" s="17">
        <v>304</v>
      </c>
      <c r="AY2939" s="18">
        <v>13.898056244830439</v>
      </c>
      <c r="AZ2939" s="10" t="s">
        <v>3998</v>
      </c>
      <c r="BA2939" s="20" t="b">
        <v>0</v>
      </c>
      <c r="BB2939" s="10"/>
      <c r="BC2939" s="17">
        <v>1526</v>
      </c>
      <c r="BD2939" s="17">
        <v>1209</v>
      </c>
      <c r="BE2939" s="17">
        <v>16802.75</v>
      </c>
      <c r="BF2939" s="17">
        <v>0</v>
      </c>
      <c r="BG2939" s="11">
        <f ca="1">IFERROR(__xludf.DUMMYFUNCTION("""COMPUTED_VALUE"""),46004.125)</f>
        <v>46004.125</v>
      </c>
      <c r="BH2939" s="17" t="s">
        <v>105</v>
      </c>
      <c r="BI2939" s="17"/>
      <c r="BJ2939" s="15"/>
      <c r="BK2939" s="15"/>
      <c r="BL2939" s="13" t="b">
        <v>0</v>
      </c>
      <c r="BM2939" s="10"/>
      <c r="BN2939" s="10" t="s">
        <v>136</v>
      </c>
      <c r="BO2939" s="11">
        <v>45996.816666666666</v>
      </c>
      <c r="BP2939" s="11">
        <v>45996.817337962966</v>
      </c>
      <c r="BQ2939" s="15">
        <v>46002.471863425926</v>
      </c>
      <c r="BR2939" s="15">
        <v>46002.554166666669</v>
      </c>
      <c r="BS2939" s="10"/>
      <c r="BT2939" s="10"/>
      <c r="BU2939" s="10"/>
      <c r="BV2939" s="10"/>
      <c r="BW2939" s="10"/>
      <c r="BX2939" s="10"/>
      <c r="BY2939" s="23"/>
      <c r="BZ2939" s="23"/>
      <c r="CA2939" s="19" t="s">
        <v>21705</v>
      </c>
      <c r="CB2939" s="19" t="s">
        <v>21702</v>
      </c>
      <c r="CC2939" s="23"/>
      <c r="CD2939" s="23"/>
      <c r="CE2939" s="23"/>
      <c r="CF2939" s="23"/>
      <c r="CG2939" s="23"/>
      <c r="CH2939" s="23"/>
      <c r="CI2939" s="23"/>
    </row>
    <row r="2940" spans="1:87" x14ac:dyDescent="0.3">
      <c r="A2940" s="9" t="s">
        <v>21706</v>
      </c>
      <c r="B2940" s="10" t="s">
        <v>21707</v>
      </c>
      <c r="C2940" s="11">
        <v>46004.916666666664</v>
      </c>
      <c r="D2940" s="12">
        <v>8.3333333333333329E-2</v>
      </c>
      <c r="E2940" s="11">
        <v>46005</v>
      </c>
      <c r="F2940" s="22" t="s">
        <v>262</v>
      </c>
      <c r="G2940" s="13" t="b">
        <v>0</v>
      </c>
      <c r="H2940" s="22" t="s">
        <v>527</v>
      </c>
      <c r="I2940" s="10" t="s">
        <v>264</v>
      </c>
      <c r="J2940" s="13" t="b">
        <v>0</v>
      </c>
      <c r="K2940" s="13" t="b">
        <v>1</v>
      </c>
      <c r="L2940" s="10" t="s">
        <v>124</v>
      </c>
      <c r="M2940" s="10" t="s">
        <v>91</v>
      </c>
      <c r="N2940" s="10" t="s">
        <v>265</v>
      </c>
      <c r="O2940" s="19" t="s">
        <v>21708</v>
      </c>
      <c r="P2940" s="10"/>
      <c r="Q2940" s="10" t="s">
        <v>94</v>
      </c>
      <c r="R2940" s="10"/>
      <c r="S2940" s="19" t="s">
        <v>1928</v>
      </c>
      <c r="T2940" s="10"/>
      <c r="U2940" s="10" t="s">
        <v>270</v>
      </c>
      <c r="V2940" s="10" t="s">
        <v>308</v>
      </c>
      <c r="W2940" s="10" t="s">
        <v>272</v>
      </c>
      <c r="X2940" s="10" t="s">
        <v>130</v>
      </c>
      <c r="Y2940" s="10" t="s">
        <v>130</v>
      </c>
      <c r="Z2940" s="10" t="s">
        <v>99</v>
      </c>
      <c r="AA2940" s="10" t="s">
        <v>131</v>
      </c>
      <c r="AB2940" s="10" t="s">
        <v>273</v>
      </c>
      <c r="AC2940" s="10" t="s">
        <v>274</v>
      </c>
      <c r="AD2940" s="10" t="s">
        <v>1930</v>
      </c>
      <c r="AE2940" s="10" t="s">
        <v>21709</v>
      </c>
      <c r="AF2940" s="15"/>
      <c r="AG2940" s="10"/>
      <c r="AH2940" s="10"/>
      <c r="AI2940" s="10"/>
      <c r="AJ2940" s="10"/>
      <c r="AK2940" s="10" t="s">
        <v>102</v>
      </c>
      <c r="AL2940" s="10" t="s">
        <v>1876</v>
      </c>
      <c r="AM2940" s="10"/>
      <c r="AN2940" s="10"/>
      <c r="AO2940" s="13" t="b">
        <v>0</v>
      </c>
      <c r="AP2940" s="22" t="s">
        <v>104</v>
      </c>
      <c r="AQ2940" s="10">
        <f ca="1">IFERROR(__xludf.DUMMYFUNCTION("""COMPUTED_VALUE"""),4773610)</f>
        <v>4773610</v>
      </c>
      <c r="AR2940" s="17">
        <v>5060</v>
      </c>
      <c r="AS2940" s="17">
        <v>4582</v>
      </c>
      <c r="AT2940" s="17">
        <v>26465.75</v>
      </c>
      <c r="AU2940" s="17">
        <v>14.85</v>
      </c>
      <c r="AV2940" s="17">
        <v>4.3</v>
      </c>
      <c r="AW2940" s="10" t="s">
        <v>105</v>
      </c>
      <c r="AX2940" s="17">
        <v>519</v>
      </c>
      <c r="AY2940" s="18">
        <v>5.7760257529463113</v>
      </c>
      <c r="AZ2940" s="10" t="s">
        <v>148</v>
      </c>
      <c r="BA2940" s="20" t="b">
        <v>0</v>
      </c>
      <c r="BB2940" s="10"/>
      <c r="BC2940" s="17">
        <v>5060</v>
      </c>
      <c r="BD2940" s="17">
        <v>4582</v>
      </c>
      <c r="BE2940" s="17">
        <v>26465.75</v>
      </c>
      <c r="BF2940" s="17">
        <v>4.3</v>
      </c>
      <c r="BG2940" s="11">
        <f ca="1">IFERROR(__xludf.DUMMYFUNCTION("""COMPUTED_VALUE"""),46004.9166666666)</f>
        <v>46004.916666666599</v>
      </c>
      <c r="BH2940" s="17" t="s">
        <v>105</v>
      </c>
      <c r="BI2940" s="17"/>
      <c r="BJ2940" s="15"/>
      <c r="BK2940" s="15"/>
      <c r="BL2940" s="13" t="b">
        <v>0</v>
      </c>
      <c r="BM2940" s="10"/>
      <c r="BN2940" s="10" t="s">
        <v>137</v>
      </c>
      <c r="BO2940" s="11">
        <v>45999.601388888892</v>
      </c>
      <c r="BP2940" s="11">
        <v>45999.6015162037</v>
      </c>
      <c r="BQ2940" s="15">
        <v>46000.542569444442</v>
      </c>
      <c r="BR2940" s="15">
        <v>46001.574907407405</v>
      </c>
      <c r="BS2940" s="10" t="s">
        <v>137</v>
      </c>
      <c r="BT2940" s="10"/>
      <c r="BU2940" s="10"/>
      <c r="BV2940" s="10"/>
      <c r="BW2940" s="10"/>
      <c r="BX2940" s="10"/>
      <c r="BY2940" s="23"/>
      <c r="BZ2940" s="23"/>
      <c r="CA2940" s="19" t="s">
        <v>1933</v>
      </c>
      <c r="CB2940" s="23"/>
      <c r="CC2940" s="23"/>
      <c r="CD2940" s="23"/>
      <c r="CE2940" s="23"/>
      <c r="CF2940" s="23"/>
      <c r="CG2940" s="23"/>
      <c r="CH2940" s="23"/>
      <c r="CI2940" s="23"/>
    </row>
    <row r="2941" spans="1:87" x14ac:dyDescent="0.3">
      <c r="A2941" s="25" t="s">
        <v>21710</v>
      </c>
      <c r="B2941" s="10" t="s">
        <v>21711</v>
      </c>
      <c r="C2941" s="11">
        <v>46005.854166666664</v>
      </c>
      <c r="D2941" s="12">
        <v>8.3333333333333329E-2</v>
      </c>
      <c r="E2941" s="11">
        <v>46005.9375</v>
      </c>
      <c r="F2941" s="22" t="s">
        <v>16639</v>
      </c>
      <c r="G2941" s="13" t="b">
        <v>0</v>
      </c>
      <c r="H2941" s="22" t="s">
        <v>16543</v>
      </c>
      <c r="I2941" s="10" t="s">
        <v>212</v>
      </c>
      <c r="J2941" s="13" t="b">
        <v>1</v>
      </c>
      <c r="K2941" s="13" t="b">
        <v>0</v>
      </c>
      <c r="L2941" s="10" t="s">
        <v>124</v>
      </c>
      <c r="M2941" s="10" t="s">
        <v>91</v>
      </c>
      <c r="N2941" s="10" t="s">
        <v>92</v>
      </c>
      <c r="O2941" s="19" t="s">
        <v>21712</v>
      </c>
      <c r="P2941" s="10"/>
      <c r="Q2941" s="10" t="s">
        <v>126</v>
      </c>
      <c r="R2941" s="10"/>
      <c r="S2941" s="19" t="s">
        <v>21713</v>
      </c>
      <c r="T2941" s="10"/>
      <c r="U2941" s="10" t="s">
        <v>16578</v>
      </c>
      <c r="V2941" s="10" t="s">
        <v>16547</v>
      </c>
      <c r="W2941" s="10" t="s">
        <v>16644</v>
      </c>
      <c r="X2941" s="10" t="s">
        <v>16549</v>
      </c>
      <c r="Y2941" s="10" t="s">
        <v>16549</v>
      </c>
      <c r="Z2941" s="10" t="s">
        <v>99</v>
      </c>
      <c r="AA2941" s="10" t="s">
        <v>131</v>
      </c>
      <c r="AB2941" s="10" t="s">
        <v>16645</v>
      </c>
      <c r="AC2941" s="10" t="s">
        <v>16551</v>
      </c>
      <c r="AD2941" s="10" t="s">
        <v>21714</v>
      </c>
      <c r="AE2941" s="10" t="s">
        <v>21715</v>
      </c>
      <c r="AF2941" s="15"/>
      <c r="AG2941" s="10"/>
      <c r="AH2941" s="10"/>
      <c r="AI2941" s="10"/>
      <c r="AJ2941" s="10"/>
      <c r="AK2941" s="10" t="s">
        <v>102</v>
      </c>
      <c r="AL2941" s="10"/>
      <c r="AM2941" s="10"/>
      <c r="AN2941" s="10"/>
      <c r="AO2941" s="13" t="b">
        <v>0</v>
      </c>
      <c r="AP2941" s="22" t="s">
        <v>135</v>
      </c>
      <c r="AQ2941" s="10">
        <f ca="1">IFERROR(__xludf.DUMMYFUNCTION("""COMPUTED_VALUE"""),4780157)</f>
        <v>4780157</v>
      </c>
      <c r="AR2941" s="17">
        <v>5398</v>
      </c>
      <c r="AS2941" s="17">
        <v>4070</v>
      </c>
      <c r="AT2941" s="17">
        <v>94518.25</v>
      </c>
      <c r="AU2941" s="17">
        <v>14.5</v>
      </c>
      <c r="AV2941" s="17">
        <v>2.95</v>
      </c>
      <c r="AW2941" s="10" t="s">
        <v>105</v>
      </c>
      <c r="AX2941" s="17">
        <v>1075</v>
      </c>
      <c r="AY2941" s="18">
        <v>23.22315724815725</v>
      </c>
      <c r="AZ2941" s="10" t="s">
        <v>3998</v>
      </c>
      <c r="BA2941" s="20" t="b">
        <v>0</v>
      </c>
      <c r="BB2941" s="10"/>
      <c r="BC2941" s="17">
        <v>5398</v>
      </c>
      <c r="BD2941" s="17">
        <v>4070</v>
      </c>
      <c r="BE2941" s="17">
        <v>94518.25</v>
      </c>
      <c r="BF2941" s="17">
        <v>2.95</v>
      </c>
      <c r="BG2941" s="11">
        <f ca="1">IFERROR(__xludf.DUMMYFUNCTION("""COMPUTED_VALUE"""),46005.8541666666)</f>
        <v>46005.854166666599</v>
      </c>
      <c r="BH2941" s="17" t="s">
        <v>105</v>
      </c>
      <c r="BI2941" s="17"/>
      <c r="BJ2941" s="15"/>
      <c r="BK2941" s="15"/>
      <c r="BL2941" s="13" t="b">
        <v>0</v>
      </c>
      <c r="BM2941" s="10"/>
      <c r="BN2941" s="10" t="s">
        <v>634</v>
      </c>
      <c r="BO2941" s="11">
        <v>46000.556250000001</v>
      </c>
      <c r="BP2941" s="11">
        <v>46000.556921296295</v>
      </c>
      <c r="BQ2941" s="15">
        <v>46001.626979166664</v>
      </c>
      <c r="BR2941" s="15">
        <v>46005.606319444443</v>
      </c>
      <c r="BS2941" s="10" t="s">
        <v>634</v>
      </c>
      <c r="BT2941" s="10" t="s">
        <v>99</v>
      </c>
      <c r="BU2941" s="10" t="s">
        <v>280</v>
      </c>
      <c r="BV2941" s="10"/>
      <c r="BW2941" s="10"/>
      <c r="BX2941" s="10"/>
      <c r="BY2941" s="23"/>
      <c r="BZ2941" s="23"/>
      <c r="CA2941" s="19" t="s">
        <v>21716</v>
      </c>
      <c r="CB2941" s="23"/>
      <c r="CC2941" s="23"/>
      <c r="CD2941" s="19" t="s">
        <v>21717</v>
      </c>
      <c r="CE2941" s="23"/>
      <c r="CF2941" s="23"/>
      <c r="CG2941" s="23"/>
      <c r="CH2941" s="23"/>
      <c r="CI2941" s="23"/>
    </row>
    <row r="2942" spans="1:87" x14ac:dyDescent="0.3">
      <c r="A2942" s="9" t="s">
        <v>21718</v>
      </c>
      <c r="B2942" s="10" t="s">
        <v>21719</v>
      </c>
      <c r="C2942" s="11">
        <v>46024.354166666664</v>
      </c>
      <c r="D2942" s="12">
        <v>0.3125</v>
      </c>
      <c r="E2942" s="11">
        <v>46024.666666666664</v>
      </c>
      <c r="F2942" s="22" t="s">
        <v>21720</v>
      </c>
      <c r="G2942" s="13" t="b">
        <v>0</v>
      </c>
      <c r="H2942" s="22" t="s">
        <v>6271</v>
      </c>
      <c r="I2942" s="10" t="s">
        <v>89</v>
      </c>
      <c r="J2942" s="13" t="b">
        <v>0</v>
      </c>
      <c r="K2942" s="13" t="b">
        <v>1</v>
      </c>
      <c r="L2942" s="10" t="s">
        <v>124</v>
      </c>
      <c r="M2942" s="10" t="s">
        <v>91</v>
      </c>
      <c r="N2942" s="10" t="s">
        <v>265</v>
      </c>
      <c r="O2942" s="19" t="s">
        <v>21721</v>
      </c>
      <c r="P2942" s="10"/>
      <c r="Q2942" s="10" t="s">
        <v>126</v>
      </c>
      <c r="R2942" s="10"/>
      <c r="S2942" s="19" t="s">
        <v>21722</v>
      </c>
      <c r="T2942" s="10"/>
      <c r="U2942" s="10"/>
      <c r="V2942" s="10"/>
      <c r="W2942" s="10" t="s">
        <v>21723</v>
      </c>
      <c r="X2942" s="10" t="s">
        <v>21724</v>
      </c>
      <c r="Y2942" s="10" t="s">
        <v>21724</v>
      </c>
      <c r="Z2942" s="10" t="s">
        <v>99</v>
      </c>
      <c r="AA2942" s="10" t="s">
        <v>131</v>
      </c>
      <c r="AB2942" s="10" t="s">
        <v>21725</v>
      </c>
      <c r="AC2942" s="10" t="s">
        <v>21726</v>
      </c>
      <c r="AD2942" s="10" t="s">
        <v>165</v>
      </c>
      <c r="AE2942" s="10" t="s">
        <v>21727</v>
      </c>
      <c r="AF2942" s="15"/>
      <c r="AG2942" s="10"/>
      <c r="AH2942" s="10"/>
      <c r="AI2942" s="10"/>
      <c r="AJ2942" s="10"/>
      <c r="AK2942" s="10" t="s">
        <v>102</v>
      </c>
      <c r="AL2942" s="10" t="s">
        <v>7897</v>
      </c>
      <c r="AM2942" s="10"/>
      <c r="AN2942" s="10"/>
      <c r="AO2942" s="13" t="b">
        <v>0</v>
      </c>
      <c r="AP2942" s="22"/>
      <c r="AQ2942" s="10">
        <f ca="1">IFERROR(__xludf.DUMMYFUNCTION("""COMPUTED_VALUE"""),4803409)</f>
        <v>4803409</v>
      </c>
      <c r="AR2942" s="17">
        <v>10942</v>
      </c>
      <c r="AS2942" s="17">
        <v>8625</v>
      </c>
      <c r="AT2942" s="17">
        <v>170688.25</v>
      </c>
      <c r="AU2942" s="17">
        <v>41</v>
      </c>
      <c r="AV2942" s="17">
        <v>17.25</v>
      </c>
      <c r="AW2942" s="10" t="s">
        <v>105</v>
      </c>
      <c r="AX2942" s="17">
        <v>561</v>
      </c>
      <c r="AY2942" s="18">
        <v>19.789942028985507</v>
      </c>
      <c r="AZ2942" s="10" t="s">
        <v>117</v>
      </c>
      <c r="BA2942" s="20" t="b">
        <v>0</v>
      </c>
      <c r="BB2942" s="10"/>
      <c r="BC2942" s="17">
        <v>10942</v>
      </c>
      <c r="BD2942" s="17">
        <v>8625</v>
      </c>
      <c r="BE2942" s="17">
        <v>170688.25</v>
      </c>
      <c r="BF2942" s="17">
        <v>17.25</v>
      </c>
      <c r="BG2942" s="11">
        <f ca="1">IFERROR(__xludf.DUMMYFUNCTION("""COMPUTED_VALUE"""),46024.3541666666)</f>
        <v>46024.354166666599</v>
      </c>
      <c r="BH2942" s="17" t="s">
        <v>105</v>
      </c>
      <c r="BI2942" s="17"/>
      <c r="BJ2942" s="15"/>
      <c r="BK2942" s="15"/>
      <c r="BL2942" s="13" t="b">
        <v>0</v>
      </c>
      <c r="BM2942" s="10"/>
      <c r="BN2942" s="10" t="s">
        <v>118</v>
      </c>
      <c r="BO2942" s="11">
        <v>46000.577777777777</v>
      </c>
      <c r="BP2942" s="11">
        <v>46007.643842592595</v>
      </c>
      <c r="BQ2942" s="15">
        <v>46020.356481481482</v>
      </c>
      <c r="BR2942" s="15">
        <v>46021.431898148148</v>
      </c>
      <c r="BS2942" s="10" t="s">
        <v>118</v>
      </c>
      <c r="BT2942" s="10"/>
      <c r="BU2942" s="10"/>
      <c r="BV2942" s="10"/>
      <c r="BW2942" s="10"/>
      <c r="BX2942" s="10"/>
      <c r="BY2942" s="23"/>
      <c r="BZ2942" s="23"/>
      <c r="CA2942" s="19" t="s">
        <v>21728</v>
      </c>
      <c r="CB2942" s="23"/>
      <c r="CC2942" s="23"/>
      <c r="CD2942" s="19" t="s">
        <v>21729</v>
      </c>
      <c r="CE2942" s="23"/>
      <c r="CF2942" s="23"/>
      <c r="CG2942" s="23"/>
      <c r="CH2942" s="23"/>
      <c r="CI2942" s="23"/>
    </row>
    <row r="2943" spans="1:87" x14ac:dyDescent="0.3">
      <c r="A2943" s="9" t="s">
        <v>21730</v>
      </c>
      <c r="B2943" s="10" t="s">
        <v>21731</v>
      </c>
      <c r="C2943" s="11">
        <v>46024.666666666664</v>
      </c>
      <c r="D2943" s="12">
        <v>0.27083333333333331</v>
      </c>
      <c r="E2943" s="11">
        <v>46024.9375</v>
      </c>
      <c r="F2943" s="22" t="s">
        <v>21720</v>
      </c>
      <c r="G2943" s="13" t="b">
        <v>0</v>
      </c>
      <c r="H2943" s="22" t="s">
        <v>6271</v>
      </c>
      <c r="I2943" s="10" t="s">
        <v>89</v>
      </c>
      <c r="J2943" s="13" t="b">
        <v>0</v>
      </c>
      <c r="K2943" s="13" t="b">
        <v>1</v>
      </c>
      <c r="L2943" s="10" t="s">
        <v>124</v>
      </c>
      <c r="M2943" s="10" t="s">
        <v>91</v>
      </c>
      <c r="N2943" s="10" t="s">
        <v>265</v>
      </c>
      <c r="O2943" s="19" t="s">
        <v>21732</v>
      </c>
      <c r="P2943" s="10"/>
      <c r="Q2943" s="10" t="s">
        <v>126</v>
      </c>
      <c r="R2943" s="10"/>
      <c r="S2943" s="19" t="s">
        <v>21733</v>
      </c>
      <c r="T2943" s="10"/>
      <c r="U2943" s="10"/>
      <c r="V2943" s="10"/>
      <c r="W2943" s="10" t="s">
        <v>21723</v>
      </c>
      <c r="X2943" s="10" t="s">
        <v>21724</v>
      </c>
      <c r="Y2943" s="10" t="s">
        <v>21724</v>
      </c>
      <c r="Z2943" s="10" t="s">
        <v>99</v>
      </c>
      <c r="AA2943" s="10" t="s">
        <v>131</v>
      </c>
      <c r="AB2943" s="10" t="s">
        <v>21725</v>
      </c>
      <c r="AC2943" s="10" t="s">
        <v>21726</v>
      </c>
      <c r="AD2943" s="10" t="s">
        <v>165</v>
      </c>
      <c r="AE2943" s="10" t="s">
        <v>21734</v>
      </c>
      <c r="AF2943" s="15"/>
      <c r="AG2943" s="10"/>
      <c r="AH2943" s="10"/>
      <c r="AI2943" s="10"/>
      <c r="AJ2943" s="10"/>
      <c r="AK2943" s="10" t="s">
        <v>102</v>
      </c>
      <c r="AL2943" s="10" t="s">
        <v>7897</v>
      </c>
      <c r="AM2943" s="10"/>
      <c r="AN2943" s="10"/>
      <c r="AO2943" s="13" t="b">
        <v>0</v>
      </c>
      <c r="AP2943" s="22"/>
      <c r="AQ2943" s="10">
        <f ca="1">IFERROR(__xludf.DUMMYFUNCTION("""COMPUTED_VALUE"""),4803410)</f>
        <v>4803410</v>
      </c>
      <c r="AR2943" s="17">
        <v>23287</v>
      </c>
      <c r="AS2943" s="17">
        <v>17741</v>
      </c>
      <c r="AT2943" s="17">
        <v>285565</v>
      </c>
      <c r="AU2943" s="17">
        <v>118.15</v>
      </c>
      <c r="AV2943" s="17">
        <v>29.3</v>
      </c>
      <c r="AW2943" s="10" t="s">
        <v>105</v>
      </c>
      <c r="AX2943" s="17">
        <v>1386</v>
      </c>
      <c r="AY2943" s="18">
        <v>16.096330533791782</v>
      </c>
      <c r="AZ2943" s="10" t="s">
        <v>117</v>
      </c>
      <c r="BA2943" s="20" t="b">
        <v>0</v>
      </c>
      <c r="BB2943" s="10"/>
      <c r="BC2943" s="17">
        <v>23287</v>
      </c>
      <c r="BD2943" s="17">
        <v>17741</v>
      </c>
      <c r="BE2943" s="17">
        <v>285565</v>
      </c>
      <c r="BF2943" s="17">
        <v>29.3</v>
      </c>
      <c r="BG2943" s="11">
        <f ca="1">IFERROR(__xludf.DUMMYFUNCTION("""COMPUTED_VALUE"""),46024.6666666666)</f>
        <v>46024.666666666599</v>
      </c>
      <c r="BH2943" s="17" t="s">
        <v>105</v>
      </c>
      <c r="BI2943" s="17"/>
      <c r="BJ2943" s="15"/>
      <c r="BK2943" s="15"/>
      <c r="BL2943" s="13" t="b">
        <v>0</v>
      </c>
      <c r="BM2943" s="10"/>
      <c r="BN2943" s="10" t="s">
        <v>118</v>
      </c>
      <c r="BO2943" s="11">
        <v>46000.578472222223</v>
      </c>
      <c r="BP2943" s="11">
        <v>46007.644062500003</v>
      </c>
      <c r="BQ2943" s="15">
        <v>46020.357129629629</v>
      </c>
      <c r="BR2943" s="15">
        <v>46021.432013888887</v>
      </c>
      <c r="BS2943" s="10" t="s">
        <v>118</v>
      </c>
      <c r="BT2943" s="10"/>
      <c r="BU2943" s="10"/>
      <c r="BV2943" s="10"/>
      <c r="BW2943" s="10"/>
      <c r="BX2943" s="10"/>
      <c r="BY2943" s="23"/>
      <c r="BZ2943" s="23"/>
      <c r="CA2943" s="19" t="s">
        <v>21735</v>
      </c>
      <c r="CB2943" s="23"/>
      <c r="CC2943" s="23"/>
      <c r="CD2943" s="19" t="s">
        <v>21736</v>
      </c>
      <c r="CE2943" s="23"/>
      <c r="CF2943" s="23"/>
      <c r="CG2943" s="23"/>
      <c r="CH2943" s="23"/>
      <c r="CI2943" s="23"/>
    </row>
    <row r="2944" spans="1:87" x14ac:dyDescent="0.3">
      <c r="A2944" s="9" t="s">
        <v>21737</v>
      </c>
      <c r="B2944" s="10" t="s">
        <v>21738</v>
      </c>
      <c r="C2944" s="11">
        <v>46011.020833333336</v>
      </c>
      <c r="D2944" s="12">
        <v>8.3333333333333329E-2</v>
      </c>
      <c r="E2944" s="11">
        <v>46011.104166666664</v>
      </c>
      <c r="F2944" s="22" t="s">
        <v>9129</v>
      </c>
      <c r="G2944" s="13" t="b">
        <v>0</v>
      </c>
      <c r="H2944" s="22" t="s">
        <v>9130</v>
      </c>
      <c r="I2944" s="10" t="s">
        <v>9131</v>
      </c>
      <c r="J2944" s="13" t="b">
        <v>0</v>
      </c>
      <c r="K2944" s="13" t="b">
        <v>1</v>
      </c>
      <c r="L2944" s="10" t="s">
        <v>124</v>
      </c>
      <c r="M2944" s="10" t="s">
        <v>91</v>
      </c>
      <c r="N2944" s="10" t="s">
        <v>265</v>
      </c>
      <c r="O2944" s="10"/>
      <c r="P2944" s="10"/>
      <c r="Q2944" s="10" t="s">
        <v>126</v>
      </c>
      <c r="R2944" s="19" t="s">
        <v>21739</v>
      </c>
      <c r="S2944" s="10"/>
      <c r="T2944" s="10"/>
      <c r="U2944" s="10" t="s">
        <v>21740</v>
      </c>
      <c r="V2944" s="10" t="s">
        <v>9149</v>
      </c>
      <c r="W2944" s="10" t="s">
        <v>9136</v>
      </c>
      <c r="X2944" s="10" t="s">
        <v>130</v>
      </c>
      <c r="Y2944" s="10" t="s">
        <v>130</v>
      </c>
      <c r="Z2944" s="10" t="s">
        <v>99</v>
      </c>
      <c r="AA2944" s="10" t="s">
        <v>131</v>
      </c>
      <c r="AB2944" s="10" t="s">
        <v>9137</v>
      </c>
      <c r="AC2944" s="10" t="s">
        <v>9138</v>
      </c>
      <c r="AD2944" s="10" t="s">
        <v>21741</v>
      </c>
      <c r="AE2944" s="10" t="s">
        <v>21742</v>
      </c>
      <c r="AF2944" s="15"/>
      <c r="AG2944" s="10"/>
      <c r="AH2944" s="10"/>
      <c r="AI2944" s="10"/>
      <c r="AJ2944" s="10" t="s">
        <v>21743</v>
      </c>
      <c r="AK2944" s="10" t="s">
        <v>256</v>
      </c>
      <c r="AL2944" s="10" t="s">
        <v>1252</v>
      </c>
      <c r="AM2944" s="10"/>
      <c r="AN2944" s="10"/>
      <c r="AO2944" s="13" t="b">
        <v>0</v>
      </c>
      <c r="AP2944" s="22" t="s">
        <v>104</v>
      </c>
      <c r="AQ2944" s="10"/>
      <c r="AR2944" s="17"/>
      <c r="AS2944" s="17"/>
      <c r="AT2944" s="17"/>
      <c r="AU2944" s="17"/>
      <c r="AV2944" s="17"/>
      <c r="AW2944" s="10"/>
      <c r="AX2944" s="17"/>
      <c r="AY2944" s="18" t="s">
        <v>257</v>
      </c>
      <c r="AZ2944" s="10"/>
      <c r="BA2944" s="20" t="b">
        <v>0</v>
      </c>
      <c r="BB2944" s="10"/>
      <c r="BC2944" s="17" t="s">
        <v>257</v>
      </c>
      <c r="BD2944" s="17" t="s">
        <v>257</v>
      </c>
      <c r="BE2944" s="17" t="s">
        <v>257</v>
      </c>
      <c r="BF2944" s="17" t="s">
        <v>257</v>
      </c>
      <c r="BG2944" s="11">
        <f ca="1">IFERROR(__xludf.DUMMYFUNCTION("""COMPUTED_VALUE"""),46011.0208333333)</f>
        <v>46011.020833333299</v>
      </c>
      <c r="BH2944" s="17"/>
      <c r="BI2944" s="17"/>
      <c r="BJ2944" s="15"/>
      <c r="BK2944" s="15"/>
      <c r="BL2944" s="13" t="b">
        <v>0</v>
      </c>
      <c r="BM2944" s="10"/>
      <c r="BN2944" s="10" t="s">
        <v>2527</v>
      </c>
      <c r="BO2944" s="11">
        <v>46001.479166666664</v>
      </c>
      <c r="BP2944" s="11">
        <v>46001.479803240742</v>
      </c>
      <c r="BQ2944" s="15"/>
      <c r="BR2944" s="15"/>
      <c r="BS2944" s="10"/>
      <c r="BT2944" s="10" t="s">
        <v>99</v>
      </c>
      <c r="BU2944" s="10"/>
      <c r="BV2944" s="10"/>
      <c r="BW2944" s="10"/>
      <c r="BX2944" s="10"/>
      <c r="BY2944" s="23"/>
      <c r="BZ2944" s="23"/>
      <c r="CA2944" s="10"/>
      <c r="CB2944" s="23"/>
      <c r="CC2944" s="23"/>
      <c r="CD2944" s="23"/>
      <c r="CE2944" s="23"/>
      <c r="CF2944" s="23"/>
      <c r="CG2944" s="23"/>
      <c r="CH2944" s="23"/>
      <c r="CI2944" s="23"/>
    </row>
    <row r="2945" spans="1:87" x14ac:dyDescent="0.3">
      <c r="A2945" s="9" t="s">
        <v>21744</v>
      </c>
      <c r="B2945" s="10" t="s">
        <v>21745</v>
      </c>
      <c r="C2945" s="11">
        <v>46012.020833333336</v>
      </c>
      <c r="D2945" s="12">
        <v>8.3333333333333329E-2</v>
      </c>
      <c r="E2945" s="11">
        <v>46012.104166666664</v>
      </c>
      <c r="F2945" s="22" t="s">
        <v>9129</v>
      </c>
      <c r="G2945" s="13" t="b">
        <v>0</v>
      </c>
      <c r="H2945" s="22" t="s">
        <v>9130</v>
      </c>
      <c r="I2945" s="10" t="s">
        <v>9131</v>
      </c>
      <c r="J2945" s="13" t="b">
        <v>0</v>
      </c>
      <c r="K2945" s="13" t="b">
        <v>1</v>
      </c>
      <c r="L2945" s="10" t="s">
        <v>124</v>
      </c>
      <c r="M2945" s="10" t="s">
        <v>91</v>
      </c>
      <c r="N2945" s="10" t="s">
        <v>265</v>
      </c>
      <c r="O2945" s="10"/>
      <c r="P2945" s="10"/>
      <c r="Q2945" s="10" t="s">
        <v>94</v>
      </c>
      <c r="R2945" s="19" t="s">
        <v>21739</v>
      </c>
      <c r="S2945" s="10"/>
      <c r="T2945" s="10"/>
      <c r="U2945" s="10" t="s">
        <v>21746</v>
      </c>
      <c r="V2945" s="10" t="s">
        <v>9134</v>
      </c>
      <c r="W2945" s="10" t="s">
        <v>9136</v>
      </c>
      <c r="X2945" s="10" t="s">
        <v>130</v>
      </c>
      <c r="Y2945" s="10" t="s">
        <v>130</v>
      </c>
      <c r="Z2945" s="10" t="s">
        <v>99</v>
      </c>
      <c r="AA2945" s="10" t="s">
        <v>131</v>
      </c>
      <c r="AB2945" s="10" t="s">
        <v>9137</v>
      </c>
      <c r="AC2945" s="10" t="s">
        <v>9138</v>
      </c>
      <c r="AD2945" s="10" t="s">
        <v>21747</v>
      </c>
      <c r="AE2945" s="10" t="s">
        <v>21748</v>
      </c>
      <c r="AF2945" s="15"/>
      <c r="AG2945" s="10"/>
      <c r="AH2945" s="10"/>
      <c r="AI2945" s="10"/>
      <c r="AJ2945" s="10"/>
      <c r="AK2945" s="10" t="s">
        <v>256</v>
      </c>
      <c r="AL2945" s="10" t="s">
        <v>1252</v>
      </c>
      <c r="AM2945" s="10"/>
      <c r="AN2945" s="10"/>
      <c r="AO2945" s="13" t="b">
        <v>0</v>
      </c>
      <c r="AP2945" s="22" t="s">
        <v>104</v>
      </c>
      <c r="AQ2945" s="10"/>
      <c r="AR2945" s="17"/>
      <c r="AS2945" s="17"/>
      <c r="AT2945" s="17"/>
      <c r="AU2945" s="17"/>
      <c r="AV2945" s="17"/>
      <c r="AW2945" s="10"/>
      <c r="AX2945" s="17"/>
      <c r="AY2945" s="18" t="s">
        <v>257</v>
      </c>
      <c r="AZ2945" s="10"/>
      <c r="BA2945" s="20" t="b">
        <v>0</v>
      </c>
      <c r="BB2945" s="10"/>
      <c r="BC2945" s="17" t="s">
        <v>257</v>
      </c>
      <c r="BD2945" s="17" t="s">
        <v>257</v>
      </c>
      <c r="BE2945" s="17" t="s">
        <v>257</v>
      </c>
      <c r="BF2945" s="17" t="s">
        <v>257</v>
      </c>
      <c r="BG2945" s="11">
        <f ca="1">IFERROR(__xludf.DUMMYFUNCTION("""COMPUTED_VALUE"""),46012.0208333333)</f>
        <v>46012.020833333299</v>
      </c>
      <c r="BH2945" s="17"/>
      <c r="BI2945" s="17"/>
      <c r="BJ2945" s="15"/>
      <c r="BK2945" s="15"/>
      <c r="BL2945" s="13" t="b">
        <v>0</v>
      </c>
      <c r="BM2945" s="10"/>
      <c r="BN2945" s="10" t="s">
        <v>2527</v>
      </c>
      <c r="BO2945" s="11">
        <v>46001.494444444441</v>
      </c>
      <c r="BP2945" s="11">
        <v>46001.49490740741</v>
      </c>
      <c r="BQ2945" s="15"/>
      <c r="BR2945" s="15"/>
      <c r="BS2945" s="10"/>
      <c r="BT2945" s="10" t="s">
        <v>99</v>
      </c>
      <c r="BU2945" s="10"/>
      <c r="BV2945" s="10"/>
      <c r="BW2945" s="10"/>
      <c r="BX2945" s="10"/>
      <c r="BY2945" s="23"/>
      <c r="BZ2945" s="23"/>
      <c r="CA2945" s="10"/>
      <c r="CB2945" s="23"/>
      <c r="CC2945" s="23"/>
      <c r="CD2945" s="23"/>
      <c r="CE2945" s="23"/>
      <c r="CF2945" s="23"/>
      <c r="CG2945" s="23"/>
      <c r="CH2945" s="23"/>
      <c r="CI2945" s="23"/>
    </row>
    <row r="2946" spans="1:87" x14ac:dyDescent="0.3">
      <c r="A2946" s="9" t="s">
        <v>21749</v>
      </c>
      <c r="B2946" s="10" t="s">
        <v>21750</v>
      </c>
      <c r="C2946" s="11">
        <v>46009.125</v>
      </c>
      <c r="D2946" s="12">
        <v>8.3333333333333329E-2</v>
      </c>
      <c r="E2946" s="11">
        <v>46009.208333333336</v>
      </c>
      <c r="F2946" s="22" t="s">
        <v>20865</v>
      </c>
      <c r="G2946" s="13" t="b">
        <v>0</v>
      </c>
      <c r="H2946" s="22" t="s">
        <v>9130</v>
      </c>
      <c r="I2946" s="10" t="s">
        <v>9131</v>
      </c>
      <c r="J2946" s="13" t="b">
        <v>0</v>
      </c>
      <c r="K2946" s="13" t="b">
        <v>1</v>
      </c>
      <c r="L2946" s="10" t="s">
        <v>124</v>
      </c>
      <c r="M2946" s="10" t="s">
        <v>91</v>
      </c>
      <c r="N2946" s="10" t="s">
        <v>265</v>
      </c>
      <c r="O2946" s="19" t="s">
        <v>21751</v>
      </c>
      <c r="P2946" s="10"/>
      <c r="Q2946" s="10" t="s">
        <v>94</v>
      </c>
      <c r="R2946" s="10"/>
      <c r="S2946" s="19" t="s">
        <v>21752</v>
      </c>
      <c r="T2946" s="10"/>
      <c r="U2946" s="10" t="s">
        <v>20868</v>
      </c>
      <c r="V2946" s="10" t="s">
        <v>8547</v>
      </c>
      <c r="W2946" s="10" t="s">
        <v>20869</v>
      </c>
      <c r="X2946" s="10" t="s">
        <v>130</v>
      </c>
      <c r="Y2946" s="10" t="s">
        <v>130</v>
      </c>
      <c r="Z2946" s="10" t="s">
        <v>99</v>
      </c>
      <c r="AA2946" s="10" t="s">
        <v>131</v>
      </c>
      <c r="AB2946" s="10" t="s">
        <v>20870</v>
      </c>
      <c r="AC2946" s="10" t="s">
        <v>20871</v>
      </c>
      <c r="AD2946" s="10" t="s">
        <v>21753</v>
      </c>
      <c r="AE2946" s="10" t="s">
        <v>21754</v>
      </c>
      <c r="AF2946" s="15"/>
      <c r="AG2946" s="10"/>
      <c r="AH2946" s="10"/>
      <c r="AI2946" s="10"/>
      <c r="AJ2946" s="10"/>
      <c r="AK2946" s="10" t="s">
        <v>102</v>
      </c>
      <c r="AL2946" s="10" t="s">
        <v>1360</v>
      </c>
      <c r="AM2946" s="10"/>
      <c r="AN2946" s="10"/>
      <c r="AO2946" s="13" t="b">
        <v>0</v>
      </c>
      <c r="AP2946" s="22" t="s">
        <v>104</v>
      </c>
      <c r="AQ2946" s="10">
        <f ca="1">IFERROR(__xludf.DUMMYFUNCTION("""COMPUTED_VALUE"""),4783690)</f>
        <v>4783690</v>
      </c>
      <c r="AR2946" s="17">
        <v>1444</v>
      </c>
      <c r="AS2946" s="17">
        <v>1261</v>
      </c>
      <c r="AT2946" s="17">
        <v>6188.5</v>
      </c>
      <c r="AU2946" s="17">
        <v>0</v>
      </c>
      <c r="AV2946" s="17">
        <v>0</v>
      </c>
      <c r="AW2946" s="10" t="s">
        <v>105</v>
      </c>
      <c r="AX2946" s="17">
        <v>172</v>
      </c>
      <c r="AY2946" s="18">
        <v>4.9076130055511502</v>
      </c>
      <c r="AZ2946" s="10"/>
      <c r="BA2946" s="20" t="b">
        <v>0</v>
      </c>
      <c r="BB2946" s="10"/>
      <c r="BC2946" s="17">
        <v>1444</v>
      </c>
      <c r="BD2946" s="17">
        <v>1261</v>
      </c>
      <c r="BE2946" s="17">
        <v>6188.5</v>
      </c>
      <c r="BF2946" s="17">
        <v>0</v>
      </c>
      <c r="BG2946" s="11">
        <f ca="1">IFERROR(__xludf.DUMMYFUNCTION("""COMPUTED_VALUE"""),46009.125)</f>
        <v>46009.125</v>
      </c>
      <c r="BH2946" s="17" t="s">
        <v>105</v>
      </c>
      <c r="BI2946" s="17"/>
      <c r="BJ2946" s="15"/>
      <c r="BK2946" s="15"/>
      <c r="BL2946" s="13" t="b">
        <v>0</v>
      </c>
      <c r="BM2946" s="10"/>
      <c r="BN2946" s="10" t="s">
        <v>137</v>
      </c>
      <c r="BO2946" s="11">
        <v>46001.509722222225</v>
      </c>
      <c r="BP2946" s="11">
        <v>46001.509930555556</v>
      </c>
      <c r="BQ2946" s="15">
        <v>46008.655405092592</v>
      </c>
      <c r="BR2946" s="15">
        <v>46008.726435185185</v>
      </c>
      <c r="BS2946" s="10" t="s">
        <v>137</v>
      </c>
      <c r="BT2946" s="10"/>
      <c r="BU2946" s="10"/>
      <c r="BV2946" s="10"/>
      <c r="BW2946" s="10"/>
      <c r="BX2946" s="10"/>
      <c r="BY2946" s="23"/>
      <c r="BZ2946" s="23"/>
      <c r="CA2946" s="19" t="s">
        <v>21755</v>
      </c>
      <c r="CB2946" s="23"/>
      <c r="CC2946" s="23"/>
      <c r="CD2946" s="23"/>
      <c r="CE2946" s="23"/>
      <c r="CF2946" s="23"/>
      <c r="CG2946" s="23"/>
      <c r="CH2946" s="23"/>
      <c r="CI2946" s="23"/>
    </row>
    <row r="2947" spans="1:87" x14ac:dyDescent="0.3">
      <c r="A2947" s="9" t="s">
        <v>21756</v>
      </c>
      <c r="B2947" s="10" t="s">
        <v>21757</v>
      </c>
      <c r="C2947" s="11">
        <v>46012.854166666664</v>
      </c>
      <c r="D2947" s="12">
        <v>8.3333333333333329E-2</v>
      </c>
      <c r="E2947" s="11">
        <v>46012.9375</v>
      </c>
      <c r="F2947" s="22" t="s">
        <v>20865</v>
      </c>
      <c r="G2947" s="13" t="b">
        <v>0</v>
      </c>
      <c r="H2947" s="22" t="s">
        <v>9130</v>
      </c>
      <c r="I2947" s="10" t="s">
        <v>9131</v>
      </c>
      <c r="J2947" s="13" t="b">
        <v>0</v>
      </c>
      <c r="K2947" s="13" t="b">
        <v>1</v>
      </c>
      <c r="L2947" s="10" t="s">
        <v>124</v>
      </c>
      <c r="M2947" s="10" t="s">
        <v>91</v>
      </c>
      <c r="N2947" s="10" t="s">
        <v>265</v>
      </c>
      <c r="O2947" s="19" t="s">
        <v>21758</v>
      </c>
      <c r="P2947" s="10"/>
      <c r="Q2947" s="10" t="s">
        <v>126</v>
      </c>
      <c r="R2947" s="10"/>
      <c r="S2947" s="19" t="s">
        <v>21759</v>
      </c>
      <c r="T2947" s="10"/>
      <c r="U2947" s="10" t="s">
        <v>20885</v>
      </c>
      <c r="V2947" s="10" t="s">
        <v>3567</v>
      </c>
      <c r="W2947" s="10" t="s">
        <v>20869</v>
      </c>
      <c r="X2947" s="10" t="s">
        <v>130</v>
      </c>
      <c r="Y2947" s="10" t="s">
        <v>130</v>
      </c>
      <c r="Z2947" s="10" t="s">
        <v>99</v>
      </c>
      <c r="AA2947" s="10" t="s">
        <v>131</v>
      </c>
      <c r="AB2947" s="10" t="s">
        <v>20870</v>
      </c>
      <c r="AC2947" s="10" t="s">
        <v>20871</v>
      </c>
      <c r="AD2947" s="10" t="s">
        <v>21760</v>
      </c>
      <c r="AE2947" s="10" t="s">
        <v>21761</v>
      </c>
      <c r="AF2947" s="15"/>
      <c r="AG2947" s="10"/>
      <c r="AH2947" s="10"/>
      <c r="AI2947" s="10"/>
      <c r="AJ2947" s="10"/>
      <c r="AK2947" s="10" t="s">
        <v>102</v>
      </c>
      <c r="AL2947" s="10" t="s">
        <v>2098</v>
      </c>
      <c r="AM2947" s="10"/>
      <c r="AN2947" s="10"/>
      <c r="AO2947" s="13" t="b">
        <v>0</v>
      </c>
      <c r="AP2947" s="22" t="s">
        <v>104</v>
      </c>
      <c r="AQ2947" s="10">
        <f ca="1">IFERROR(__xludf.DUMMYFUNCTION("""COMPUTED_VALUE"""),4783766)</f>
        <v>4783766</v>
      </c>
      <c r="AR2947" s="17">
        <v>5560</v>
      </c>
      <c r="AS2947" s="17">
        <v>4853</v>
      </c>
      <c r="AT2947" s="17">
        <v>28242.75</v>
      </c>
      <c r="AU2947" s="17">
        <v>8.5500000000000007</v>
      </c>
      <c r="AV2947" s="17">
        <v>3.95</v>
      </c>
      <c r="AW2947" s="10" t="s">
        <v>105</v>
      </c>
      <c r="AX2947" s="17">
        <v>900</v>
      </c>
      <c r="AY2947" s="18">
        <v>5.8196476406346589</v>
      </c>
      <c r="AZ2947" s="10"/>
      <c r="BA2947" s="20" t="b">
        <v>0</v>
      </c>
      <c r="BB2947" s="10"/>
      <c r="BC2947" s="17">
        <v>5560</v>
      </c>
      <c r="BD2947" s="17">
        <v>4853</v>
      </c>
      <c r="BE2947" s="17">
        <v>28242.75</v>
      </c>
      <c r="BF2947" s="17">
        <v>3.95</v>
      </c>
      <c r="BG2947" s="11">
        <f ca="1">IFERROR(__xludf.DUMMYFUNCTION("""COMPUTED_VALUE"""),46012.8541666666)</f>
        <v>46012.854166666599</v>
      </c>
      <c r="BH2947" s="17" t="s">
        <v>105</v>
      </c>
      <c r="BI2947" s="17"/>
      <c r="BJ2947" s="15"/>
      <c r="BK2947" s="15"/>
      <c r="BL2947" s="13" t="b">
        <v>0</v>
      </c>
      <c r="BM2947" s="10"/>
      <c r="BN2947" s="10" t="s">
        <v>1160</v>
      </c>
      <c r="BO2947" s="11">
        <v>46001.510416666664</v>
      </c>
      <c r="BP2947" s="11">
        <v>46001.510671296295</v>
      </c>
      <c r="BQ2947" s="15">
        <v>46008.655671296299</v>
      </c>
      <c r="BR2947" s="15">
        <v>46009.403553240743</v>
      </c>
      <c r="BS2947" s="10" t="s">
        <v>1160</v>
      </c>
      <c r="BT2947" s="10"/>
      <c r="BU2947" s="10"/>
      <c r="BV2947" s="10"/>
      <c r="BW2947" s="10"/>
      <c r="BX2947" s="10"/>
      <c r="BY2947" s="23"/>
      <c r="BZ2947" s="23"/>
      <c r="CA2947" s="19" t="s">
        <v>21762</v>
      </c>
      <c r="CB2947" s="23"/>
      <c r="CC2947" s="23"/>
      <c r="CD2947" s="19" t="s">
        <v>21763</v>
      </c>
      <c r="CE2947" s="23"/>
      <c r="CF2947" s="23"/>
      <c r="CG2947" s="23"/>
      <c r="CH2947" s="23"/>
      <c r="CI2947" s="23"/>
    </row>
    <row r="2948" spans="1:87" x14ac:dyDescent="0.3">
      <c r="A2948" s="9" t="s">
        <v>21764</v>
      </c>
      <c r="B2948" s="10" t="s">
        <v>21765</v>
      </c>
      <c r="C2948" s="11">
        <v>46004.375</v>
      </c>
      <c r="D2948" s="12">
        <v>0.22916666666666666</v>
      </c>
      <c r="E2948" s="11">
        <v>46004.604166666664</v>
      </c>
      <c r="F2948" s="22" t="s">
        <v>20303</v>
      </c>
      <c r="G2948" s="13" t="b">
        <v>0</v>
      </c>
      <c r="H2948" s="22" t="s">
        <v>18823</v>
      </c>
      <c r="I2948" s="10" t="s">
        <v>212</v>
      </c>
      <c r="J2948" s="13" t="b">
        <v>1</v>
      </c>
      <c r="K2948" s="13" t="b">
        <v>0</v>
      </c>
      <c r="L2948" s="10" t="s">
        <v>124</v>
      </c>
      <c r="M2948" s="10" t="s">
        <v>91</v>
      </c>
      <c r="N2948" s="10" t="s">
        <v>92</v>
      </c>
      <c r="O2948" s="19" t="s">
        <v>21766</v>
      </c>
      <c r="P2948" s="10"/>
      <c r="Q2948" s="10" t="s">
        <v>126</v>
      </c>
      <c r="R2948" s="10"/>
      <c r="S2948" s="19" t="s">
        <v>21767</v>
      </c>
      <c r="T2948" s="10"/>
      <c r="U2948" s="10"/>
      <c r="V2948" s="10"/>
      <c r="W2948" s="10" t="s">
        <v>20306</v>
      </c>
      <c r="X2948" s="10" t="s">
        <v>20307</v>
      </c>
      <c r="Y2948" s="10" t="s">
        <v>20307</v>
      </c>
      <c r="Z2948" s="10" t="s">
        <v>99</v>
      </c>
      <c r="AA2948" s="10" t="s">
        <v>131</v>
      </c>
      <c r="AB2948" s="10" t="s">
        <v>20308</v>
      </c>
      <c r="AC2948" s="10"/>
      <c r="AD2948" s="10" t="s">
        <v>165</v>
      </c>
      <c r="AE2948" s="10" t="s">
        <v>21768</v>
      </c>
      <c r="AF2948" s="15"/>
      <c r="AG2948" s="10"/>
      <c r="AH2948" s="10"/>
      <c r="AI2948" s="10"/>
      <c r="AJ2948" s="10"/>
      <c r="AK2948" s="10" t="s">
        <v>102</v>
      </c>
      <c r="AL2948" s="10"/>
      <c r="AM2948" s="10"/>
      <c r="AN2948" s="10"/>
      <c r="AO2948" s="13" t="b">
        <v>0</v>
      </c>
      <c r="AP2948" s="22"/>
      <c r="AQ2948" s="10">
        <f ca="1">IFERROR(__xludf.DUMMYFUNCTION("""COMPUTED_VALUE"""),4776333)</f>
        <v>4776333</v>
      </c>
      <c r="AR2948" s="17">
        <v>4064</v>
      </c>
      <c r="AS2948" s="17">
        <v>3580</v>
      </c>
      <c r="AT2948" s="17">
        <v>23030</v>
      </c>
      <c r="AU2948" s="17">
        <v>7.8</v>
      </c>
      <c r="AV2948" s="17">
        <v>3.4</v>
      </c>
      <c r="AW2948" s="10" t="s">
        <v>105</v>
      </c>
      <c r="AX2948" s="17">
        <v>173</v>
      </c>
      <c r="AY2948" s="18">
        <v>6.4329608938547489</v>
      </c>
      <c r="AZ2948" s="10" t="s">
        <v>106</v>
      </c>
      <c r="BA2948" s="20" t="b">
        <v>0</v>
      </c>
      <c r="BB2948" s="10"/>
      <c r="BC2948" s="17">
        <v>4064</v>
      </c>
      <c r="BD2948" s="17">
        <v>3580</v>
      </c>
      <c r="BE2948" s="17">
        <v>23030</v>
      </c>
      <c r="BF2948" s="17">
        <v>3.4</v>
      </c>
      <c r="BG2948" s="11">
        <f ca="1">IFERROR(__xludf.DUMMYFUNCTION("""COMPUTED_VALUE"""),46004.375)</f>
        <v>46004.375</v>
      </c>
      <c r="BH2948" s="17" t="s">
        <v>105</v>
      </c>
      <c r="BI2948" s="17"/>
      <c r="BJ2948" s="15"/>
      <c r="BK2948" s="15"/>
      <c r="BL2948" s="13" t="b">
        <v>0</v>
      </c>
      <c r="BM2948" s="10"/>
      <c r="BN2948" s="10" t="s">
        <v>197</v>
      </c>
      <c r="BO2948" s="11">
        <v>46001.621527777781</v>
      </c>
      <c r="BP2948" s="11">
        <v>46003.313252314816</v>
      </c>
      <c r="BQ2948" s="15">
        <v>46003.481157407405</v>
      </c>
      <c r="BR2948" s="15">
        <v>46003.581701388888</v>
      </c>
      <c r="BS2948" s="10" t="s">
        <v>197</v>
      </c>
      <c r="BT2948" s="10"/>
      <c r="BU2948" s="10"/>
      <c r="BV2948" s="10"/>
      <c r="BW2948" s="10"/>
      <c r="BX2948" s="10"/>
      <c r="BY2948" s="23"/>
      <c r="BZ2948" s="23"/>
      <c r="CA2948" s="19" t="s">
        <v>21769</v>
      </c>
      <c r="CB2948" s="23"/>
      <c r="CC2948" s="23"/>
      <c r="CD2948" s="19" t="s">
        <v>21770</v>
      </c>
      <c r="CE2948" s="23"/>
      <c r="CF2948" s="23"/>
      <c r="CG2948" s="23"/>
      <c r="CH2948" s="23"/>
      <c r="CI2948" s="23"/>
    </row>
    <row r="2949" spans="1:87" x14ac:dyDescent="0.3">
      <c r="A2949" s="9" t="s">
        <v>21771</v>
      </c>
      <c r="B2949" s="10" t="s">
        <v>21772</v>
      </c>
      <c r="C2949" s="11">
        <v>46025.25</v>
      </c>
      <c r="D2949" s="12">
        <v>0.3125</v>
      </c>
      <c r="E2949" s="11">
        <v>46025.5625</v>
      </c>
      <c r="F2949" s="22" t="s">
        <v>21720</v>
      </c>
      <c r="G2949" s="13" t="b">
        <v>0</v>
      </c>
      <c r="H2949" s="22" t="s">
        <v>6271</v>
      </c>
      <c r="I2949" s="10" t="s">
        <v>89</v>
      </c>
      <c r="J2949" s="13" t="b">
        <v>0</v>
      </c>
      <c r="K2949" s="13" t="b">
        <v>1</v>
      </c>
      <c r="L2949" s="10" t="s">
        <v>124</v>
      </c>
      <c r="M2949" s="10" t="s">
        <v>91</v>
      </c>
      <c r="N2949" s="10" t="s">
        <v>265</v>
      </c>
      <c r="O2949" s="19" t="s">
        <v>21773</v>
      </c>
      <c r="P2949" s="10"/>
      <c r="Q2949" s="10" t="s">
        <v>126</v>
      </c>
      <c r="R2949" s="10"/>
      <c r="S2949" s="19" t="s">
        <v>21774</v>
      </c>
      <c r="T2949" s="10"/>
      <c r="U2949" s="10"/>
      <c r="V2949" s="10"/>
      <c r="W2949" s="10" t="s">
        <v>21723</v>
      </c>
      <c r="X2949" s="10" t="s">
        <v>21724</v>
      </c>
      <c r="Y2949" s="10" t="s">
        <v>21724</v>
      </c>
      <c r="Z2949" s="10" t="s">
        <v>99</v>
      </c>
      <c r="AA2949" s="10" t="s">
        <v>131</v>
      </c>
      <c r="AB2949" s="10" t="s">
        <v>21725</v>
      </c>
      <c r="AC2949" s="10" t="s">
        <v>21726</v>
      </c>
      <c r="AD2949" s="10" t="s">
        <v>165</v>
      </c>
      <c r="AE2949" s="10" t="s">
        <v>21775</v>
      </c>
      <c r="AF2949" s="15"/>
      <c r="AG2949" s="10"/>
      <c r="AH2949" s="10"/>
      <c r="AI2949" s="10"/>
      <c r="AJ2949" s="10"/>
      <c r="AK2949" s="10" t="s">
        <v>102</v>
      </c>
      <c r="AL2949" s="10" t="s">
        <v>7897</v>
      </c>
      <c r="AM2949" s="10"/>
      <c r="AN2949" s="10"/>
      <c r="AO2949" s="13" t="b">
        <v>0</v>
      </c>
      <c r="AP2949" s="22"/>
      <c r="AQ2949" s="10">
        <f ca="1">IFERROR(__xludf.DUMMYFUNCTION("""COMPUTED_VALUE"""),4819765)</f>
        <v>4819765</v>
      </c>
      <c r="AR2949" s="17">
        <v>10731</v>
      </c>
      <c r="AS2949" s="17">
        <v>7656</v>
      </c>
      <c r="AT2949" s="17">
        <v>269343.75</v>
      </c>
      <c r="AU2949" s="17">
        <v>50.75</v>
      </c>
      <c r="AV2949" s="17">
        <v>13.3</v>
      </c>
      <c r="AW2949" s="10" t="s">
        <v>105</v>
      </c>
      <c r="AX2949" s="17">
        <v>914</v>
      </c>
      <c r="AY2949" s="18">
        <v>35.180740595611283</v>
      </c>
      <c r="AZ2949" s="10" t="s">
        <v>117</v>
      </c>
      <c r="BA2949" s="20" t="b">
        <v>0</v>
      </c>
      <c r="BB2949" s="10"/>
      <c r="BC2949" s="17">
        <v>10731</v>
      </c>
      <c r="BD2949" s="17">
        <v>7656</v>
      </c>
      <c r="BE2949" s="17">
        <v>269343.75</v>
      </c>
      <c r="BF2949" s="17">
        <v>13.3</v>
      </c>
      <c r="BG2949" s="11">
        <f ca="1">IFERROR(__xludf.DUMMYFUNCTION("""COMPUTED_VALUE"""),46025.25)</f>
        <v>46025.25</v>
      </c>
      <c r="BH2949" s="17" t="s">
        <v>105</v>
      </c>
      <c r="BI2949" s="17"/>
      <c r="BJ2949" s="15"/>
      <c r="BK2949" s="15"/>
      <c r="BL2949" s="13" t="b">
        <v>0</v>
      </c>
      <c r="BM2949" s="10"/>
      <c r="BN2949" s="10" t="s">
        <v>118</v>
      </c>
      <c r="BO2949" s="11">
        <v>46002.473611111112</v>
      </c>
      <c r="BP2949" s="11">
        <v>46007.644652777781</v>
      </c>
      <c r="BQ2949" s="15">
        <v>46020.358784722222</v>
      </c>
      <c r="BR2949" s="15">
        <v>46022.398148148146</v>
      </c>
      <c r="BS2949" s="10" t="s">
        <v>118</v>
      </c>
      <c r="BT2949" s="10"/>
      <c r="BU2949" s="10"/>
      <c r="BV2949" s="10"/>
      <c r="BW2949" s="10"/>
      <c r="BX2949" s="10"/>
      <c r="BY2949" s="23"/>
      <c r="BZ2949" s="23"/>
      <c r="CA2949" s="19" t="s">
        <v>21776</v>
      </c>
      <c r="CB2949" s="23"/>
      <c r="CC2949" s="23"/>
      <c r="CD2949" s="19" t="s">
        <v>21777</v>
      </c>
      <c r="CE2949" s="23"/>
      <c r="CF2949" s="23"/>
      <c r="CG2949" s="23"/>
      <c r="CH2949" s="23"/>
      <c r="CI2949" s="23"/>
    </row>
    <row r="2950" spans="1:87" x14ac:dyDescent="0.3">
      <c r="A2950" s="9" t="s">
        <v>21778</v>
      </c>
      <c r="B2950" s="10" t="s">
        <v>21779</v>
      </c>
      <c r="C2950" s="11">
        <v>46025.5625</v>
      </c>
      <c r="D2950" s="12">
        <v>0.375</v>
      </c>
      <c r="E2950" s="11">
        <v>46025.9375</v>
      </c>
      <c r="F2950" s="22" t="s">
        <v>21720</v>
      </c>
      <c r="G2950" s="13" t="b">
        <v>0</v>
      </c>
      <c r="H2950" s="22" t="s">
        <v>6271</v>
      </c>
      <c r="I2950" s="10" t="s">
        <v>89</v>
      </c>
      <c r="J2950" s="13" t="b">
        <v>0</v>
      </c>
      <c r="K2950" s="13" t="b">
        <v>1</v>
      </c>
      <c r="L2950" s="10" t="s">
        <v>124</v>
      </c>
      <c r="M2950" s="10" t="s">
        <v>91</v>
      </c>
      <c r="N2950" s="10" t="s">
        <v>265</v>
      </c>
      <c r="O2950" s="19" t="s">
        <v>21780</v>
      </c>
      <c r="P2950" s="10"/>
      <c r="Q2950" s="10" t="s">
        <v>126</v>
      </c>
      <c r="R2950" s="10"/>
      <c r="S2950" s="19" t="s">
        <v>21781</v>
      </c>
      <c r="T2950" s="10"/>
      <c r="U2950" s="10"/>
      <c r="V2950" s="10"/>
      <c r="W2950" s="10" t="s">
        <v>21723</v>
      </c>
      <c r="X2950" s="10" t="s">
        <v>21724</v>
      </c>
      <c r="Y2950" s="10" t="s">
        <v>21724</v>
      </c>
      <c r="Z2950" s="10" t="s">
        <v>99</v>
      </c>
      <c r="AA2950" s="10" t="s">
        <v>131</v>
      </c>
      <c r="AB2950" s="10" t="s">
        <v>21725</v>
      </c>
      <c r="AC2950" s="10" t="s">
        <v>21726</v>
      </c>
      <c r="AD2950" s="10" t="s">
        <v>165</v>
      </c>
      <c r="AE2950" s="10" t="s">
        <v>21782</v>
      </c>
      <c r="AF2950" s="15"/>
      <c r="AG2950" s="10"/>
      <c r="AH2950" s="10"/>
      <c r="AI2950" s="10"/>
      <c r="AJ2950" s="10"/>
      <c r="AK2950" s="10" t="s">
        <v>102</v>
      </c>
      <c r="AL2950" s="10" t="s">
        <v>7897</v>
      </c>
      <c r="AM2950" s="10"/>
      <c r="AN2950" s="10"/>
      <c r="AO2950" s="13" t="b">
        <v>0</v>
      </c>
      <c r="AP2950" s="22"/>
      <c r="AQ2950" s="10">
        <f ca="1">IFERROR(__xludf.DUMMYFUNCTION("""COMPUTED_VALUE"""),4819766)</f>
        <v>4819766</v>
      </c>
      <c r="AR2950" s="17">
        <v>27654</v>
      </c>
      <c r="AS2950" s="17">
        <v>19088</v>
      </c>
      <c r="AT2950" s="17">
        <v>350227.25</v>
      </c>
      <c r="AU2950" s="17">
        <v>111.2</v>
      </c>
      <c r="AV2950" s="17">
        <v>25.15</v>
      </c>
      <c r="AW2950" s="10" t="s">
        <v>105</v>
      </c>
      <c r="AX2950" s="17">
        <v>1649</v>
      </c>
      <c r="AY2950" s="18">
        <v>18.348032795473596</v>
      </c>
      <c r="AZ2950" s="10" t="s">
        <v>117</v>
      </c>
      <c r="BA2950" s="20" t="b">
        <v>0</v>
      </c>
      <c r="BB2950" s="10"/>
      <c r="BC2950" s="17">
        <v>27654</v>
      </c>
      <c r="BD2950" s="17">
        <v>19088</v>
      </c>
      <c r="BE2950" s="17">
        <v>350227.25</v>
      </c>
      <c r="BF2950" s="17">
        <v>25.15</v>
      </c>
      <c r="BG2950" s="11">
        <f ca="1">IFERROR(__xludf.DUMMYFUNCTION("""COMPUTED_VALUE"""),46025.5625)</f>
        <v>46025.5625</v>
      </c>
      <c r="BH2950" s="17" t="s">
        <v>105</v>
      </c>
      <c r="BI2950" s="17"/>
      <c r="BJ2950" s="15"/>
      <c r="BK2950" s="15"/>
      <c r="BL2950" s="13" t="b">
        <v>0</v>
      </c>
      <c r="BM2950" s="10"/>
      <c r="BN2950" s="10" t="s">
        <v>118</v>
      </c>
      <c r="BO2950" s="11">
        <v>46002.475694444445</v>
      </c>
      <c r="BP2950" s="11">
        <v>46007.644791666666</v>
      </c>
      <c r="BQ2950" s="15">
        <v>46020.358900462961</v>
      </c>
      <c r="BR2950" s="15">
        <v>46022.398252314815</v>
      </c>
      <c r="BS2950" s="10" t="s">
        <v>118</v>
      </c>
      <c r="BT2950" s="10"/>
      <c r="BU2950" s="10"/>
      <c r="BV2950" s="10"/>
      <c r="BW2950" s="10"/>
      <c r="BX2950" s="10"/>
      <c r="BY2950" s="23"/>
      <c r="BZ2950" s="23"/>
      <c r="CA2950" s="19" t="s">
        <v>21783</v>
      </c>
      <c r="CB2950" s="23"/>
      <c r="CC2950" s="23"/>
      <c r="CD2950" s="19" t="s">
        <v>21784</v>
      </c>
      <c r="CE2950" s="23"/>
      <c r="CF2950" s="23"/>
      <c r="CG2950" s="23"/>
      <c r="CH2950" s="23"/>
      <c r="CI2950" s="23"/>
    </row>
    <row r="2951" spans="1:87" x14ac:dyDescent="0.3">
      <c r="A2951" s="9" t="s">
        <v>21785</v>
      </c>
      <c r="B2951" s="10" t="s">
        <v>21786</v>
      </c>
      <c r="C2951" s="11">
        <v>46026.25</v>
      </c>
      <c r="D2951" s="12">
        <v>0.3125</v>
      </c>
      <c r="E2951" s="11">
        <v>46026.5625</v>
      </c>
      <c r="F2951" s="22" t="s">
        <v>21720</v>
      </c>
      <c r="G2951" s="13" t="b">
        <v>0</v>
      </c>
      <c r="H2951" s="22" t="s">
        <v>6271</v>
      </c>
      <c r="I2951" s="10" t="s">
        <v>89</v>
      </c>
      <c r="J2951" s="13" t="b">
        <v>0</v>
      </c>
      <c r="K2951" s="13" t="b">
        <v>1</v>
      </c>
      <c r="L2951" s="10" t="s">
        <v>124</v>
      </c>
      <c r="M2951" s="10" t="s">
        <v>91</v>
      </c>
      <c r="N2951" s="10" t="s">
        <v>265</v>
      </c>
      <c r="O2951" s="19" t="s">
        <v>21787</v>
      </c>
      <c r="P2951" s="10"/>
      <c r="Q2951" s="10" t="s">
        <v>126</v>
      </c>
      <c r="R2951" s="10"/>
      <c r="S2951" s="19" t="s">
        <v>21788</v>
      </c>
      <c r="T2951" s="10"/>
      <c r="U2951" s="10"/>
      <c r="V2951" s="10"/>
      <c r="W2951" s="10" t="s">
        <v>21723</v>
      </c>
      <c r="X2951" s="10" t="s">
        <v>21724</v>
      </c>
      <c r="Y2951" s="10" t="s">
        <v>21724</v>
      </c>
      <c r="Z2951" s="10" t="s">
        <v>99</v>
      </c>
      <c r="AA2951" s="10" t="s">
        <v>131</v>
      </c>
      <c r="AB2951" s="10" t="s">
        <v>21725</v>
      </c>
      <c r="AC2951" s="10" t="s">
        <v>21726</v>
      </c>
      <c r="AD2951" s="10" t="s">
        <v>165</v>
      </c>
      <c r="AE2951" s="10" t="s">
        <v>21789</v>
      </c>
      <c r="AF2951" s="15"/>
      <c r="AG2951" s="10"/>
      <c r="AH2951" s="10"/>
      <c r="AI2951" s="10"/>
      <c r="AJ2951" s="10"/>
      <c r="AK2951" s="10" t="s">
        <v>102</v>
      </c>
      <c r="AL2951" s="10" t="s">
        <v>7897</v>
      </c>
      <c r="AM2951" s="10"/>
      <c r="AN2951" s="10"/>
      <c r="AO2951" s="13" t="b">
        <v>0</v>
      </c>
      <c r="AP2951" s="22"/>
      <c r="AQ2951" s="10">
        <f ca="1">IFERROR(__xludf.DUMMYFUNCTION("""COMPUTED_VALUE"""),4819779)</f>
        <v>4819779</v>
      </c>
      <c r="AR2951" s="17">
        <v>11673</v>
      </c>
      <c r="AS2951" s="17">
        <v>8001</v>
      </c>
      <c r="AT2951" s="17">
        <v>322079.5</v>
      </c>
      <c r="AU2951" s="17">
        <v>37.9</v>
      </c>
      <c r="AV2951" s="17">
        <v>9.85</v>
      </c>
      <c r="AW2951" s="10" t="s">
        <v>105</v>
      </c>
      <c r="AX2951" s="17">
        <v>1197</v>
      </c>
      <c r="AY2951" s="18">
        <v>40.254905636795399</v>
      </c>
      <c r="AZ2951" s="10" t="s">
        <v>117</v>
      </c>
      <c r="BA2951" s="20" t="b">
        <v>0</v>
      </c>
      <c r="BB2951" s="10"/>
      <c r="BC2951" s="17">
        <v>11673</v>
      </c>
      <c r="BD2951" s="17">
        <v>8001</v>
      </c>
      <c r="BE2951" s="17">
        <v>322079.5</v>
      </c>
      <c r="BF2951" s="17">
        <v>9.85</v>
      </c>
      <c r="BG2951" s="11">
        <f ca="1">IFERROR(__xludf.DUMMYFUNCTION("""COMPUTED_VALUE"""),46026.25)</f>
        <v>46026.25</v>
      </c>
      <c r="BH2951" s="17" t="s">
        <v>105</v>
      </c>
      <c r="BI2951" s="17"/>
      <c r="BJ2951" s="15"/>
      <c r="BK2951" s="15"/>
      <c r="BL2951" s="13" t="b">
        <v>0</v>
      </c>
      <c r="BM2951" s="10"/>
      <c r="BN2951" s="10" t="s">
        <v>1149</v>
      </c>
      <c r="BO2951" s="11">
        <v>46002.476388888892</v>
      </c>
      <c r="BP2951" s="11">
        <v>46007.644861111112</v>
      </c>
      <c r="BQ2951" s="15">
        <v>46020.359074074076</v>
      </c>
      <c r="BR2951" s="15">
        <v>46022.408750000002</v>
      </c>
      <c r="BS2951" s="10" t="s">
        <v>1149</v>
      </c>
      <c r="BT2951" s="10"/>
      <c r="BU2951" s="10"/>
      <c r="BV2951" s="10"/>
      <c r="BW2951" s="10"/>
      <c r="BX2951" s="10"/>
      <c r="BY2951" s="23"/>
      <c r="BZ2951" s="23"/>
      <c r="CA2951" s="19" t="s">
        <v>21790</v>
      </c>
      <c r="CB2951" s="23"/>
      <c r="CC2951" s="23"/>
      <c r="CD2951" s="19" t="s">
        <v>21791</v>
      </c>
      <c r="CE2951" s="23"/>
      <c r="CF2951" s="23"/>
      <c r="CG2951" s="23"/>
      <c r="CH2951" s="23"/>
      <c r="CI2951" s="23"/>
    </row>
    <row r="2952" spans="1:87" x14ac:dyDescent="0.3">
      <c r="A2952" s="9" t="s">
        <v>21792</v>
      </c>
      <c r="B2952" s="10" t="s">
        <v>21793</v>
      </c>
      <c r="C2952" s="11">
        <v>46026.5625</v>
      </c>
      <c r="D2952" s="12">
        <v>0.375</v>
      </c>
      <c r="E2952" s="11">
        <v>46026.9375</v>
      </c>
      <c r="F2952" s="22" t="s">
        <v>21720</v>
      </c>
      <c r="G2952" s="13" t="b">
        <v>0</v>
      </c>
      <c r="H2952" s="22" t="s">
        <v>6271</v>
      </c>
      <c r="I2952" s="10" t="s">
        <v>89</v>
      </c>
      <c r="J2952" s="13" t="b">
        <v>0</v>
      </c>
      <c r="K2952" s="13" t="b">
        <v>1</v>
      </c>
      <c r="L2952" s="10" t="s">
        <v>124</v>
      </c>
      <c r="M2952" s="10" t="s">
        <v>91</v>
      </c>
      <c r="N2952" s="10" t="s">
        <v>265</v>
      </c>
      <c r="O2952" s="19" t="s">
        <v>21794</v>
      </c>
      <c r="P2952" s="10"/>
      <c r="Q2952" s="10" t="s">
        <v>126</v>
      </c>
      <c r="R2952" s="10"/>
      <c r="S2952" s="19" t="s">
        <v>21795</v>
      </c>
      <c r="T2952" s="10"/>
      <c r="U2952" s="10"/>
      <c r="V2952" s="10"/>
      <c r="W2952" s="10" t="s">
        <v>21723</v>
      </c>
      <c r="X2952" s="10" t="s">
        <v>21724</v>
      </c>
      <c r="Y2952" s="10" t="s">
        <v>21724</v>
      </c>
      <c r="Z2952" s="10" t="s">
        <v>99</v>
      </c>
      <c r="AA2952" s="10" t="s">
        <v>131</v>
      </c>
      <c r="AB2952" s="10" t="s">
        <v>21725</v>
      </c>
      <c r="AC2952" s="10" t="s">
        <v>21726</v>
      </c>
      <c r="AD2952" s="10" t="s">
        <v>165</v>
      </c>
      <c r="AE2952" s="10" t="s">
        <v>21796</v>
      </c>
      <c r="AF2952" s="15"/>
      <c r="AG2952" s="10"/>
      <c r="AH2952" s="10"/>
      <c r="AI2952" s="10"/>
      <c r="AJ2952" s="10"/>
      <c r="AK2952" s="10" t="s">
        <v>102</v>
      </c>
      <c r="AL2952" s="10" t="s">
        <v>7897</v>
      </c>
      <c r="AM2952" s="10"/>
      <c r="AN2952" s="10"/>
      <c r="AO2952" s="13" t="b">
        <v>0</v>
      </c>
      <c r="AP2952" s="22"/>
      <c r="AQ2952" s="10">
        <f ca="1">IFERROR(__xludf.DUMMYFUNCTION("""COMPUTED_VALUE"""),4819780)</f>
        <v>4819780</v>
      </c>
      <c r="AR2952" s="17">
        <v>27556</v>
      </c>
      <c r="AS2952" s="17">
        <v>16992</v>
      </c>
      <c r="AT2952" s="17">
        <v>451176.25</v>
      </c>
      <c r="AU2952" s="17">
        <v>92.15</v>
      </c>
      <c r="AV2952" s="17">
        <v>16.350000000000001</v>
      </c>
      <c r="AW2952" s="10" t="s">
        <v>105</v>
      </c>
      <c r="AX2952" s="17">
        <v>2256</v>
      </c>
      <c r="AY2952" s="18">
        <v>26.552274599811675</v>
      </c>
      <c r="AZ2952" s="10" t="s">
        <v>117</v>
      </c>
      <c r="BA2952" s="20" t="b">
        <v>0</v>
      </c>
      <c r="BB2952" s="10"/>
      <c r="BC2952" s="17">
        <v>27556</v>
      </c>
      <c r="BD2952" s="17">
        <v>16992</v>
      </c>
      <c r="BE2952" s="17">
        <v>451176.25</v>
      </c>
      <c r="BF2952" s="17">
        <v>16.350000000000001</v>
      </c>
      <c r="BG2952" s="11">
        <f ca="1">IFERROR(__xludf.DUMMYFUNCTION("""COMPUTED_VALUE"""),46026.5625)</f>
        <v>46026.5625</v>
      </c>
      <c r="BH2952" s="17" t="s">
        <v>105</v>
      </c>
      <c r="BI2952" s="17"/>
      <c r="BJ2952" s="15"/>
      <c r="BK2952" s="15"/>
      <c r="BL2952" s="13" t="b">
        <v>0</v>
      </c>
      <c r="BM2952" s="10"/>
      <c r="BN2952" s="10" t="s">
        <v>1149</v>
      </c>
      <c r="BO2952" s="11">
        <v>46002.477083333331</v>
      </c>
      <c r="BP2952" s="11">
        <v>46007.644930555558</v>
      </c>
      <c r="BQ2952" s="15">
        <v>46020.359178240738</v>
      </c>
      <c r="BR2952" s="15">
        <v>46022.40896990741</v>
      </c>
      <c r="BS2952" s="10" t="s">
        <v>1149</v>
      </c>
      <c r="BT2952" s="10"/>
      <c r="BU2952" s="10"/>
      <c r="BV2952" s="10"/>
      <c r="BW2952" s="10"/>
      <c r="BX2952" s="10"/>
      <c r="BY2952" s="23"/>
      <c r="BZ2952" s="23"/>
      <c r="CA2952" s="19" t="s">
        <v>21797</v>
      </c>
      <c r="CB2952" s="23"/>
      <c r="CC2952" s="23"/>
      <c r="CD2952" s="19" t="s">
        <v>21798</v>
      </c>
      <c r="CE2952" s="23"/>
      <c r="CF2952" s="23"/>
      <c r="CG2952" s="23"/>
      <c r="CH2952" s="23"/>
      <c r="CI2952" s="23"/>
    </row>
    <row r="2953" spans="1:87" x14ac:dyDescent="0.3">
      <c r="A2953" s="9" t="s">
        <v>21799</v>
      </c>
      <c r="B2953" s="10" t="s">
        <v>21800</v>
      </c>
      <c r="C2953" s="11">
        <v>46027.25</v>
      </c>
      <c r="D2953" s="12">
        <v>0.3125</v>
      </c>
      <c r="E2953" s="11">
        <v>46027.5625</v>
      </c>
      <c r="F2953" s="22" t="s">
        <v>21720</v>
      </c>
      <c r="G2953" s="13" t="b">
        <v>0</v>
      </c>
      <c r="H2953" s="22" t="s">
        <v>6271</v>
      </c>
      <c r="I2953" s="10" t="s">
        <v>89</v>
      </c>
      <c r="J2953" s="13" t="b">
        <v>0</v>
      </c>
      <c r="K2953" s="13" t="b">
        <v>1</v>
      </c>
      <c r="L2953" s="10" t="s">
        <v>124</v>
      </c>
      <c r="M2953" s="10" t="s">
        <v>91</v>
      </c>
      <c r="N2953" s="10" t="s">
        <v>265</v>
      </c>
      <c r="O2953" s="19" t="s">
        <v>21801</v>
      </c>
      <c r="P2953" s="10"/>
      <c r="Q2953" s="10" t="s">
        <v>126</v>
      </c>
      <c r="R2953" s="10"/>
      <c r="S2953" s="19" t="s">
        <v>21802</v>
      </c>
      <c r="T2953" s="10"/>
      <c r="U2953" s="10"/>
      <c r="V2953" s="10"/>
      <c r="W2953" s="10" t="s">
        <v>21723</v>
      </c>
      <c r="X2953" s="10" t="s">
        <v>21724</v>
      </c>
      <c r="Y2953" s="10" t="s">
        <v>21724</v>
      </c>
      <c r="Z2953" s="10" t="s">
        <v>99</v>
      </c>
      <c r="AA2953" s="10" t="s">
        <v>131</v>
      </c>
      <c r="AB2953" s="10" t="s">
        <v>21725</v>
      </c>
      <c r="AC2953" s="10" t="s">
        <v>21726</v>
      </c>
      <c r="AD2953" s="10" t="s">
        <v>165</v>
      </c>
      <c r="AE2953" s="10" t="s">
        <v>21803</v>
      </c>
      <c r="AF2953" s="15"/>
      <c r="AG2953" s="10"/>
      <c r="AH2953" s="10"/>
      <c r="AI2953" s="10"/>
      <c r="AJ2953" s="10"/>
      <c r="AK2953" s="10" t="s">
        <v>102</v>
      </c>
      <c r="AL2953" s="10" t="s">
        <v>7897</v>
      </c>
      <c r="AM2953" s="10"/>
      <c r="AN2953" s="10"/>
      <c r="AO2953" s="13" t="b">
        <v>0</v>
      </c>
      <c r="AP2953" s="22"/>
      <c r="AQ2953" s="10">
        <f ca="1">IFERROR(__xludf.DUMMYFUNCTION("""COMPUTED_VALUE"""),4827318)</f>
        <v>4827318</v>
      </c>
      <c r="AR2953" s="17">
        <v>8729</v>
      </c>
      <c r="AS2953" s="17">
        <v>5640</v>
      </c>
      <c r="AT2953" s="17">
        <v>286499.5</v>
      </c>
      <c r="AU2953" s="17">
        <v>29.85</v>
      </c>
      <c r="AV2953" s="17">
        <v>11.2</v>
      </c>
      <c r="AW2953" s="10" t="s">
        <v>105</v>
      </c>
      <c r="AX2953" s="17">
        <v>844</v>
      </c>
      <c r="AY2953" s="18">
        <v>50.797783687943266</v>
      </c>
      <c r="AZ2953" s="10" t="s">
        <v>117</v>
      </c>
      <c r="BA2953" s="20" t="b">
        <v>0</v>
      </c>
      <c r="BB2953" s="10"/>
      <c r="BC2953" s="17">
        <v>8729</v>
      </c>
      <c r="BD2953" s="17">
        <v>5640</v>
      </c>
      <c r="BE2953" s="17">
        <v>286499.5</v>
      </c>
      <c r="BF2953" s="17">
        <v>11.2</v>
      </c>
      <c r="BG2953" s="11">
        <f ca="1">IFERROR(__xludf.DUMMYFUNCTION("""COMPUTED_VALUE"""),46027.25)</f>
        <v>46027.25</v>
      </c>
      <c r="BH2953" s="17" t="s">
        <v>105</v>
      </c>
      <c r="BI2953" s="17"/>
      <c r="BJ2953" s="15"/>
      <c r="BK2953" s="15"/>
      <c r="BL2953" s="13" t="b">
        <v>0</v>
      </c>
      <c r="BM2953" s="10"/>
      <c r="BN2953" s="10" t="s">
        <v>149</v>
      </c>
      <c r="BO2953" s="11">
        <v>46002.477083333331</v>
      </c>
      <c r="BP2953" s="11">
        <v>46007.645011574074</v>
      </c>
      <c r="BQ2953" s="15">
        <v>46020.360902777778</v>
      </c>
      <c r="BR2953" s="15">
        <v>46025.607546296298</v>
      </c>
      <c r="BS2953" s="10" t="s">
        <v>149</v>
      </c>
      <c r="BT2953" s="10"/>
      <c r="BU2953" s="10"/>
      <c r="BV2953" s="10"/>
      <c r="BW2953" s="10"/>
      <c r="BX2953" s="10"/>
      <c r="BY2953" s="23"/>
      <c r="BZ2953" s="23"/>
      <c r="CA2953" s="19" t="s">
        <v>21804</v>
      </c>
      <c r="CB2953" s="23"/>
      <c r="CC2953" s="23"/>
      <c r="CD2953" s="19" t="s">
        <v>21805</v>
      </c>
      <c r="CE2953" s="23"/>
      <c r="CF2953" s="23"/>
      <c r="CG2953" s="23"/>
      <c r="CH2953" s="23"/>
      <c r="CI2953" s="23"/>
    </row>
    <row r="2954" spans="1:87" x14ac:dyDescent="0.3">
      <c r="A2954" s="9" t="s">
        <v>21806</v>
      </c>
      <c r="B2954" s="10" t="s">
        <v>21807</v>
      </c>
      <c r="C2954" s="11">
        <v>46027.5625</v>
      </c>
      <c r="D2954" s="12">
        <v>0.375</v>
      </c>
      <c r="E2954" s="11">
        <v>46027.9375</v>
      </c>
      <c r="F2954" s="22" t="s">
        <v>21720</v>
      </c>
      <c r="G2954" s="13" t="b">
        <v>0</v>
      </c>
      <c r="H2954" s="22" t="s">
        <v>6271</v>
      </c>
      <c r="I2954" s="10" t="s">
        <v>89</v>
      </c>
      <c r="J2954" s="13" t="b">
        <v>0</v>
      </c>
      <c r="K2954" s="13" t="b">
        <v>1</v>
      </c>
      <c r="L2954" s="10" t="s">
        <v>124</v>
      </c>
      <c r="M2954" s="10" t="s">
        <v>91</v>
      </c>
      <c r="N2954" s="10" t="s">
        <v>265</v>
      </c>
      <c r="O2954" s="19" t="s">
        <v>21808</v>
      </c>
      <c r="P2954" s="10"/>
      <c r="Q2954" s="10" t="s">
        <v>126</v>
      </c>
      <c r="R2954" s="10"/>
      <c r="S2954" s="19" t="s">
        <v>21809</v>
      </c>
      <c r="T2954" s="10"/>
      <c r="U2954" s="10"/>
      <c r="V2954" s="10"/>
      <c r="W2954" s="10" t="s">
        <v>21723</v>
      </c>
      <c r="X2954" s="10" t="s">
        <v>21724</v>
      </c>
      <c r="Y2954" s="10" t="s">
        <v>21724</v>
      </c>
      <c r="Z2954" s="10" t="s">
        <v>99</v>
      </c>
      <c r="AA2954" s="10" t="s">
        <v>131</v>
      </c>
      <c r="AB2954" s="10" t="s">
        <v>21725</v>
      </c>
      <c r="AC2954" s="10" t="s">
        <v>21726</v>
      </c>
      <c r="AD2954" s="10" t="s">
        <v>165</v>
      </c>
      <c r="AE2954" s="10" t="s">
        <v>21810</v>
      </c>
      <c r="AF2954" s="15"/>
      <c r="AG2954" s="10"/>
      <c r="AH2954" s="10"/>
      <c r="AI2954" s="10"/>
      <c r="AJ2954" s="10"/>
      <c r="AK2954" s="10" t="s">
        <v>102</v>
      </c>
      <c r="AL2954" s="10" t="s">
        <v>7897</v>
      </c>
      <c r="AM2954" s="10"/>
      <c r="AN2954" s="10"/>
      <c r="AO2954" s="13" t="b">
        <v>0</v>
      </c>
      <c r="AP2954" s="22"/>
      <c r="AQ2954" s="10">
        <f ca="1">IFERROR(__xludf.DUMMYFUNCTION("""COMPUTED_VALUE"""),4827319)</f>
        <v>4827319</v>
      </c>
      <c r="AR2954" s="17">
        <v>31826</v>
      </c>
      <c r="AS2954" s="17">
        <v>20026</v>
      </c>
      <c r="AT2954" s="17">
        <v>592452.75</v>
      </c>
      <c r="AU2954" s="17">
        <v>153.69999999999999</v>
      </c>
      <c r="AV2954" s="17">
        <v>38.5</v>
      </c>
      <c r="AW2954" s="10" t="s">
        <v>105</v>
      </c>
      <c r="AX2954" s="17">
        <v>2799</v>
      </c>
      <c r="AY2954" s="18">
        <v>29.584178068510937</v>
      </c>
      <c r="AZ2954" s="10" t="s">
        <v>117</v>
      </c>
      <c r="BA2954" s="20" t="b">
        <v>0</v>
      </c>
      <c r="BB2954" s="10"/>
      <c r="BC2954" s="17">
        <v>31826</v>
      </c>
      <c r="BD2954" s="17">
        <v>20026</v>
      </c>
      <c r="BE2954" s="17">
        <v>592452.75</v>
      </c>
      <c r="BF2954" s="17">
        <v>38.5</v>
      </c>
      <c r="BG2954" s="11">
        <f ca="1">IFERROR(__xludf.DUMMYFUNCTION("""COMPUTED_VALUE"""),46027.5625)</f>
        <v>46027.5625</v>
      </c>
      <c r="BH2954" s="17" t="s">
        <v>105</v>
      </c>
      <c r="BI2954" s="17"/>
      <c r="BJ2954" s="15"/>
      <c r="BK2954" s="15"/>
      <c r="BL2954" s="13" t="b">
        <v>0</v>
      </c>
      <c r="BM2954" s="10"/>
      <c r="BN2954" s="10" t="s">
        <v>149</v>
      </c>
      <c r="BO2954" s="11">
        <v>46002.477777777778</v>
      </c>
      <c r="BP2954" s="11">
        <v>46007.645092592589</v>
      </c>
      <c r="BQ2954" s="15">
        <v>46020.361018518517</v>
      </c>
      <c r="BR2954" s="15">
        <v>46025.608437499999</v>
      </c>
      <c r="BS2954" s="10" t="s">
        <v>149</v>
      </c>
      <c r="BT2954" s="10"/>
      <c r="BU2954" s="10"/>
      <c r="BV2954" s="10"/>
      <c r="BW2954" s="10"/>
      <c r="BX2954" s="10"/>
      <c r="BY2954" s="23"/>
      <c r="BZ2954" s="23"/>
      <c r="CA2954" s="19" t="s">
        <v>21811</v>
      </c>
      <c r="CB2954" s="23"/>
      <c r="CC2954" s="23"/>
      <c r="CD2954" s="19" t="s">
        <v>21812</v>
      </c>
      <c r="CE2954" s="23"/>
      <c r="CF2954" s="23"/>
      <c r="CG2954" s="23"/>
      <c r="CH2954" s="23"/>
      <c r="CI2954" s="23"/>
    </row>
    <row r="2955" spans="1:87" x14ac:dyDescent="0.3">
      <c r="A2955" s="9" t="s">
        <v>21813</v>
      </c>
      <c r="B2955" s="10" t="s">
        <v>21814</v>
      </c>
      <c r="C2955" s="11">
        <v>46028.25</v>
      </c>
      <c r="D2955" s="12">
        <v>0.3125</v>
      </c>
      <c r="E2955" s="11">
        <v>46028.5625</v>
      </c>
      <c r="F2955" s="22" t="s">
        <v>21720</v>
      </c>
      <c r="G2955" s="13" t="b">
        <v>0</v>
      </c>
      <c r="H2955" s="22" t="s">
        <v>6271</v>
      </c>
      <c r="I2955" s="10" t="s">
        <v>89</v>
      </c>
      <c r="J2955" s="13" t="b">
        <v>0</v>
      </c>
      <c r="K2955" s="13" t="b">
        <v>1</v>
      </c>
      <c r="L2955" s="10" t="s">
        <v>124</v>
      </c>
      <c r="M2955" s="10" t="s">
        <v>91</v>
      </c>
      <c r="N2955" s="10" t="s">
        <v>265</v>
      </c>
      <c r="O2955" s="19" t="s">
        <v>21815</v>
      </c>
      <c r="P2955" s="10"/>
      <c r="Q2955" s="10" t="s">
        <v>126</v>
      </c>
      <c r="R2955" s="10"/>
      <c r="S2955" s="19" t="s">
        <v>21816</v>
      </c>
      <c r="T2955" s="10"/>
      <c r="U2955" s="10"/>
      <c r="V2955" s="10"/>
      <c r="W2955" s="10" t="s">
        <v>21723</v>
      </c>
      <c r="X2955" s="10" t="s">
        <v>21724</v>
      </c>
      <c r="Y2955" s="10" t="s">
        <v>21724</v>
      </c>
      <c r="Z2955" s="10" t="s">
        <v>99</v>
      </c>
      <c r="AA2955" s="10" t="s">
        <v>131</v>
      </c>
      <c r="AB2955" s="10" t="s">
        <v>21725</v>
      </c>
      <c r="AC2955" s="10" t="s">
        <v>21726</v>
      </c>
      <c r="AD2955" s="10" t="s">
        <v>165</v>
      </c>
      <c r="AE2955" s="10" t="s">
        <v>21817</v>
      </c>
      <c r="AF2955" s="15"/>
      <c r="AG2955" s="10"/>
      <c r="AH2955" s="10"/>
      <c r="AI2955" s="10"/>
      <c r="AJ2955" s="10"/>
      <c r="AK2955" s="10" t="s">
        <v>102</v>
      </c>
      <c r="AL2955" s="10" t="s">
        <v>7897</v>
      </c>
      <c r="AM2955" s="10"/>
      <c r="AN2955" s="10"/>
      <c r="AO2955" s="13" t="b">
        <v>0</v>
      </c>
      <c r="AP2955" s="22"/>
      <c r="AQ2955" s="10">
        <f ca="1">IFERROR(__xludf.DUMMYFUNCTION("""COMPUTED_VALUE"""),4827320)</f>
        <v>4827320</v>
      </c>
      <c r="AR2955" s="17">
        <v>9426</v>
      </c>
      <c r="AS2955" s="17">
        <v>5263</v>
      </c>
      <c r="AT2955" s="17">
        <v>252480.5</v>
      </c>
      <c r="AU2955" s="17">
        <v>27.05</v>
      </c>
      <c r="AV2955" s="17">
        <v>7</v>
      </c>
      <c r="AW2955" s="10" t="s">
        <v>105</v>
      </c>
      <c r="AX2955" s="17">
        <v>787</v>
      </c>
      <c r="AY2955" s="18">
        <v>47.972734182025462</v>
      </c>
      <c r="AZ2955" s="10" t="s">
        <v>117</v>
      </c>
      <c r="BA2955" s="20" t="b">
        <v>0</v>
      </c>
      <c r="BB2955" s="10"/>
      <c r="BC2955" s="17">
        <v>9426</v>
      </c>
      <c r="BD2955" s="17">
        <v>5263</v>
      </c>
      <c r="BE2955" s="17">
        <v>252480.5</v>
      </c>
      <c r="BF2955" s="17">
        <v>7</v>
      </c>
      <c r="BG2955" s="11">
        <f ca="1">IFERROR(__xludf.DUMMYFUNCTION("""COMPUTED_VALUE"""),46028.25)</f>
        <v>46028.25</v>
      </c>
      <c r="BH2955" s="17" t="s">
        <v>105</v>
      </c>
      <c r="BI2955" s="17"/>
      <c r="BJ2955" s="15"/>
      <c r="BK2955" s="15"/>
      <c r="BL2955" s="13" t="b">
        <v>0</v>
      </c>
      <c r="BM2955" s="10"/>
      <c r="BN2955" s="10" t="s">
        <v>149</v>
      </c>
      <c r="BO2955" s="11">
        <v>46002.478472222225</v>
      </c>
      <c r="BP2955" s="11">
        <v>46007.645231481481</v>
      </c>
      <c r="BQ2955" s="15">
        <v>46020.361157407409</v>
      </c>
      <c r="BR2955" s="15">
        <v>46025.608680555553</v>
      </c>
      <c r="BS2955" s="10" t="s">
        <v>149</v>
      </c>
      <c r="BT2955" s="10"/>
      <c r="BU2955" s="10"/>
      <c r="BV2955" s="10"/>
      <c r="BW2955" s="10"/>
      <c r="BX2955" s="10"/>
      <c r="BY2955" s="23"/>
      <c r="BZ2955" s="23"/>
      <c r="CA2955" s="19" t="s">
        <v>21818</v>
      </c>
      <c r="CB2955" s="23"/>
      <c r="CC2955" s="23"/>
      <c r="CD2955" s="19" t="s">
        <v>21819</v>
      </c>
      <c r="CE2955" s="23"/>
      <c r="CF2955" s="23"/>
      <c r="CG2955" s="23"/>
      <c r="CH2955" s="23"/>
      <c r="CI2955" s="23"/>
    </row>
    <row r="2956" spans="1:87" x14ac:dyDescent="0.3">
      <c r="A2956" s="9" t="s">
        <v>21820</v>
      </c>
      <c r="B2956" s="10" t="s">
        <v>21821</v>
      </c>
      <c r="C2956" s="11">
        <v>46028.5625</v>
      </c>
      <c r="D2956" s="12">
        <v>0.375</v>
      </c>
      <c r="E2956" s="11">
        <v>46028.9375</v>
      </c>
      <c r="F2956" s="22" t="s">
        <v>21720</v>
      </c>
      <c r="G2956" s="13" t="b">
        <v>0</v>
      </c>
      <c r="H2956" s="22" t="s">
        <v>6271</v>
      </c>
      <c r="I2956" s="10" t="s">
        <v>89</v>
      </c>
      <c r="J2956" s="13" t="b">
        <v>0</v>
      </c>
      <c r="K2956" s="13" t="b">
        <v>1</v>
      </c>
      <c r="L2956" s="10" t="s">
        <v>124</v>
      </c>
      <c r="M2956" s="10" t="s">
        <v>91</v>
      </c>
      <c r="N2956" s="10" t="s">
        <v>265</v>
      </c>
      <c r="O2956" s="19" t="s">
        <v>21822</v>
      </c>
      <c r="P2956" s="10"/>
      <c r="Q2956" s="10" t="s">
        <v>126</v>
      </c>
      <c r="R2956" s="10"/>
      <c r="S2956" s="19" t="s">
        <v>21823</v>
      </c>
      <c r="T2956" s="10"/>
      <c r="U2956" s="10"/>
      <c r="V2956" s="10"/>
      <c r="W2956" s="10" t="s">
        <v>21723</v>
      </c>
      <c r="X2956" s="10" t="s">
        <v>21724</v>
      </c>
      <c r="Y2956" s="10" t="s">
        <v>21724</v>
      </c>
      <c r="Z2956" s="10" t="s">
        <v>99</v>
      </c>
      <c r="AA2956" s="10" t="s">
        <v>131</v>
      </c>
      <c r="AB2956" s="10" t="s">
        <v>21725</v>
      </c>
      <c r="AC2956" s="10" t="s">
        <v>21726</v>
      </c>
      <c r="AD2956" s="10" t="s">
        <v>165</v>
      </c>
      <c r="AE2956" s="10" t="s">
        <v>21824</v>
      </c>
      <c r="AF2956" s="15"/>
      <c r="AG2956" s="10"/>
      <c r="AH2956" s="10"/>
      <c r="AI2956" s="10"/>
      <c r="AJ2956" s="10"/>
      <c r="AK2956" s="10" t="s">
        <v>102</v>
      </c>
      <c r="AL2956" s="10" t="s">
        <v>7897</v>
      </c>
      <c r="AM2956" s="10"/>
      <c r="AN2956" s="10"/>
      <c r="AO2956" s="13" t="b">
        <v>0</v>
      </c>
      <c r="AP2956" s="22"/>
      <c r="AQ2956" s="10">
        <f ca="1">IFERROR(__xludf.DUMMYFUNCTION("""COMPUTED_VALUE"""),4827321)</f>
        <v>4827321</v>
      </c>
      <c r="AR2956" s="17">
        <v>19297</v>
      </c>
      <c r="AS2956" s="17">
        <v>10267</v>
      </c>
      <c r="AT2956" s="17">
        <v>272487.25</v>
      </c>
      <c r="AU2956" s="17">
        <v>67.75</v>
      </c>
      <c r="AV2956" s="17">
        <v>20.95</v>
      </c>
      <c r="AW2956" s="10" t="s">
        <v>105</v>
      </c>
      <c r="AX2956" s="17">
        <v>1083</v>
      </c>
      <c r="AY2956" s="18">
        <v>26.540104217395537</v>
      </c>
      <c r="AZ2956" s="10" t="s">
        <v>117</v>
      </c>
      <c r="BA2956" s="20" t="b">
        <v>0</v>
      </c>
      <c r="BB2956" s="10"/>
      <c r="BC2956" s="17">
        <v>19297</v>
      </c>
      <c r="BD2956" s="17">
        <v>10267</v>
      </c>
      <c r="BE2956" s="17">
        <v>272487.25</v>
      </c>
      <c r="BF2956" s="17">
        <v>20.95</v>
      </c>
      <c r="BG2956" s="11">
        <f ca="1">IFERROR(__xludf.DUMMYFUNCTION("""COMPUTED_VALUE"""),46028.5625)</f>
        <v>46028.5625</v>
      </c>
      <c r="BH2956" s="17" t="s">
        <v>105</v>
      </c>
      <c r="BI2956" s="17"/>
      <c r="BJ2956" s="15"/>
      <c r="BK2956" s="15"/>
      <c r="BL2956" s="13" t="b">
        <v>0</v>
      </c>
      <c r="BM2956" s="10"/>
      <c r="BN2956" s="10" t="s">
        <v>149</v>
      </c>
      <c r="BO2956" s="11">
        <v>46002.478472222225</v>
      </c>
      <c r="BP2956" s="11">
        <v>46007.645405092589</v>
      </c>
      <c r="BQ2956" s="15">
        <v>46020.361261574071</v>
      </c>
      <c r="BR2956" s="15">
        <v>46025.608831018515</v>
      </c>
      <c r="BS2956" s="10" t="s">
        <v>149</v>
      </c>
      <c r="BT2956" s="10"/>
      <c r="BU2956" s="10"/>
      <c r="BV2956" s="10"/>
      <c r="BW2956" s="10"/>
      <c r="BX2956" s="10"/>
      <c r="BY2956" s="23"/>
      <c r="BZ2956" s="23"/>
      <c r="CA2956" s="19" t="s">
        <v>21825</v>
      </c>
      <c r="CB2956" s="23"/>
      <c r="CC2956" s="23"/>
      <c r="CD2956" s="19" t="s">
        <v>21826</v>
      </c>
      <c r="CE2956" s="23"/>
      <c r="CF2956" s="23"/>
      <c r="CG2956" s="23"/>
      <c r="CH2956" s="23"/>
      <c r="CI2956" s="23"/>
    </row>
    <row r="2957" spans="1:87" x14ac:dyDescent="0.3">
      <c r="A2957" s="9" t="s">
        <v>21827</v>
      </c>
      <c r="B2957" s="10" t="s">
        <v>21828</v>
      </c>
      <c r="C2957" s="11">
        <v>46029.25</v>
      </c>
      <c r="D2957" s="12">
        <v>0.41666666666666669</v>
      </c>
      <c r="E2957" s="11">
        <v>46029.666666666664</v>
      </c>
      <c r="F2957" s="22" t="s">
        <v>21720</v>
      </c>
      <c r="G2957" s="13" t="b">
        <v>0</v>
      </c>
      <c r="H2957" s="22" t="s">
        <v>6271</v>
      </c>
      <c r="I2957" s="10" t="s">
        <v>89</v>
      </c>
      <c r="J2957" s="13" t="b">
        <v>0</v>
      </c>
      <c r="K2957" s="13" t="b">
        <v>1</v>
      </c>
      <c r="L2957" s="10" t="s">
        <v>124</v>
      </c>
      <c r="M2957" s="10" t="s">
        <v>91</v>
      </c>
      <c r="N2957" s="10" t="s">
        <v>265</v>
      </c>
      <c r="O2957" s="19" t="s">
        <v>21829</v>
      </c>
      <c r="P2957" s="10"/>
      <c r="Q2957" s="10" t="s">
        <v>126</v>
      </c>
      <c r="R2957" s="10"/>
      <c r="S2957" s="19" t="s">
        <v>21830</v>
      </c>
      <c r="T2957" s="10"/>
      <c r="U2957" s="10"/>
      <c r="V2957" s="10"/>
      <c r="W2957" s="10" t="s">
        <v>21723</v>
      </c>
      <c r="X2957" s="10" t="s">
        <v>21724</v>
      </c>
      <c r="Y2957" s="10" t="s">
        <v>21724</v>
      </c>
      <c r="Z2957" s="10" t="s">
        <v>99</v>
      </c>
      <c r="AA2957" s="10" t="s">
        <v>131</v>
      </c>
      <c r="AB2957" s="10" t="s">
        <v>21725</v>
      </c>
      <c r="AC2957" s="10" t="s">
        <v>21726</v>
      </c>
      <c r="AD2957" s="10" t="s">
        <v>165</v>
      </c>
      <c r="AE2957" s="10" t="s">
        <v>21831</v>
      </c>
      <c r="AF2957" s="15"/>
      <c r="AG2957" s="10"/>
      <c r="AH2957" s="10"/>
      <c r="AI2957" s="10"/>
      <c r="AJ2957" s="10"/>
      <c r="AK2957" s="10" t="s">
        <v>102</v>
      </c>
      <c r="AL2957" s="10" t="s">
        <v>7897</v>
      </c>
      <c r="AM2957" s="10"/>
      <c r="AN2957" s="10"/>
      <c r="AO2957" s="13" t="b">
        <v>0</v>
      </c>
      <c r="AP2957" s="22"/>
      <c r="AQ2957" s="10">
        <f ca="1">IFERROR(__xludf.DUMMYFUNCTION("""COMPUTED_VALUE"""),4827337)</f>
        <v>4827337</v>
      </c>
      <c r="AR2957" s="17"/>
      <c r="AS2957" s="17"/>
      <c r="AT2957" s="17"/>
      <c r="AU2957" s="17"/>
      <c r="AV2957" s="17"/>
      <c r="AW2957" s="10"/>
      <c r="AX2957" s="17"/>
      <c r="AY2957" s="18" t="s">
        <v>257</v>
      </c>
      <c r="AZ2957" s="10" t="s">
        <v>117</v>
      </c>
      <c r="BA2957" s="20" t="b">
        <v>0</v>
      </c>
      <c r="BB2957" s="10"/>
      <c r="BC2957" s="17" t="s">
        <v>257</v>
      </c>
      <c r="BD2957" s="17" t="s">
        <v>257</v>
      </c>
      <c r="BE2957" s="17" t="s">
        <v>257</v>
      </c>
      <c r="BF2957" s="17" t="s">
        <v>257</v>
      </c>
      <c r="BG2957" s="11">
        <f ca="1">IFERROR(__xludf.DUMMYFUNCTION("""COMPUTED_VALUE"""),46029.25)</f>
        <v>46029.25</v>
      </c>
      <c r="BH2957" s="17"/>
      <c r="BI2957" s="17"/>
      <c r="BJ2957" s="15"/>
      <c r="BK2957" s="15"/>
      <c r="BL2957" s="13" t="b">
        <v>0</v>
      </c>
      <c r="BM2957" s="10"/>
      <c r="BN2957" s="10" t="s">
        <v>149</v>
      </c>
      <c r="BO2957" s="11">
        <v>46002.479166666664</v>
      </c>
      <c r="BP2957" s="11">
        <v>46007.645590277774</v>
      </c>
      <c r="BQ2957" s="15">
        <v>46021.454444444447</v>
      </c>
      <c r="BR2957" s="15">
        <v>46025.808958333335</v>
      </c>
      <c r="BS2957" s="10" t="s">
        <v>149</v>
      </c>
      <c r="BT2957" s="10"/>
      <c r="BU2957" s="10"/>
      <c r="BV2957" s="10"/>
      <c r="BW2957" s="10"/>
      <c r="BX2957" s="10"/>
      <c r="BY2957" s="23"/>
      <c r="BZ2957" s="23"/>
      <c r="CA2957" s="19" t="s">
        <v>21832</v>
      </c>
      <c r="CB2957" s="23"/>
      <c r="CC2957" s="23"/>
      <c r="CD2957" s="19" t="s">
        <v>21833</v>
      </c>
      <c r="CE2957" s="23"/>
      <c r="CF2957" s="23"/>
      <c r="CG2957" s="23"/>
      <c r="CH2957" s="23"/>
      <c r="CI2957" s="23"/>
    </row>
    <row r="2958" spans="1:87" x14ac:dyDescent="0.3">
      <c r="A2958" s="9" t="s">
        <v>21834</v>
      </c>
      <c r="B2958" s="10" t="s">
        <v>21835</v>
      </c>
      <c r="C2958" s="11">
        <v>46029.666666666664</v>
      </c>
      <c r="D2958" s="12">
        <v>0.27083333333333331</v>
      </c>
      <c r="E2958" s="11">
        <v>46029.9375</v>
      </c>
      <c r="F2958" s="22" t="s">
        <v>21720</v>
      </c>
      <c r="G2958" s="13" t="b">
        <v>0</v>
      </c>
      <c r="H2958" s="22" t="s">
        <v>6271</v>
      </c>
      <c r="I2958" s="10" t="s">
        <v>89</v>
      </c>
      <c r="J2958" s="13" t="b">
        <v>0</v>
      </c>
      <c r="K2958" s="13" t="b">
        <v>1</v>
      </c>
      <c r="L2958" s="10" t="s">
        <v>124</v>
      </c>
      <c r="M2958" s="10" t="s">
        <v>91</v>
      </c>
      <c r="N2958" s="10" t="s">
        <v>265</v>
      </c>
      <c r="O2958" s="19" t="s">
        <v>21829</v>
      </c>
      <c r="P2958" s="10"/>
      <c r="Q2958" s="10" t="s">
        <v>126</v>
      </c>
      <c r="R2958" s="10"/>
      <c r="S2958" s="19" t="s">
        <v>21836</v>
      </c>
      <c r="T2958" s="10"/>
      <c r="U2958" s="10"/>
      <c r="V2958" s="10"/>
      <c r="W2958" s="10" t="s">
        <v>21723</v>
      </c>
      <c r="X2958" s="10" t="s">
        <v>21724</v>
      </c>
      <c r="Y2958" s="10" t="s">
        <v>21724</v>
      </c>
      <c r="Z2958" s="10" t="s">
        <v>99</v>
      </c>
      <c r="AA2958" s="10" t="s">
        <v>131</v>
      </c>
      <c r="AB2958" s="10" t="s">
        <v>21725</v>
      </c>
      <c r="AC2958" s="10" t="s">
        <v>21726</v>
      </c>
      <c r="AD2958" s="10" t="s">
        <v>165</v>
      </c>
      <c r="AE2958" s="10" t="s">
        <v>21837</v>
      </c>
      <c r="AF2958" s="15"/>
      <c r="AG2958" s="10"/>
      <c r="AH2958" s="10"/>
      <c r="AI2958" s="10"/>
      <c r="AJ2958" s="10"/>
      <c r="AK2958" s="10" t="s">
        <v>102</v>
      </c>
      <c r="AL2958" s="10" t="s">
        <v>7897</v>
      </c>
      <c r="AM2958" s="10"/>
      <c r="AN2958" s="10"/>
      <c r="AO2958" s="13" t="b">
        <v>0</v>
      </c>
      <c r="AP2958" s="22"/>
      <c r="AQ2958" s="10">
        <f ca="1">IFERROR(__xludf.DUMMYFUNCTION("""COMPUTED_VALUE"""),4827337)</f>
        <v>4827337</v>
      </c>
      <c r="AR2958" s="17">
        <v>13509</v>
      </c>
      <c r="AS2958" s="17">
        <v>6469</v>
      </c>
      <c r="AT2958" s="17">
        <v>321218.5</v>
      </c>
      <c r="AU2958" s="17">
        <v>32.6</v>
      </c>
      <c r="AV2958" s="17">
        <v>8.85</v>
      </c>
      <c r="AW2958" s="10" t="s">
        <v>105</v>
      </c>
      <c r="AX2958" s="17">
        <v>943</v>
      </c>
      <c r="AY2958" s="18">
        <v>49.655047147936308</v>
      </c>
      <c r="AZ2958" s="10" t="s">
        <v>117</v>
      </c>
      <c r="BA2958" s="20" t="b">
        <v>0</v>
      </c>
      <c r="BB2958" s="10"/>
      <c r="BC2958" s="17">
        <v>13509</v>
      </c>
      <c r="BD2958" s="17">
        <v>6469</v>
      </c>
      <c r="BE2958" s="17">
        <v>321218.5</v>
      </c>
      <c r="BF2958" s="17">
        <v>8.85</v>
      </c>
      <c r="BG2958" s="11">
        <f ca="1">IFERROR(__xludf.DUMMYFUNCTION("""COMPUTED_VALUE"""),46029.6666666666)</f>
        <v>46029.666666666599</v>
      </c>
      <c r="BH2958" s="17" t="s">
        <v>105</v>
      </c>
      <c r="BI2958" s="17"/>
      <c r="BJ2958" s="15"/>
      <c r="BK2958" s="15"/>
      <c r="BL2958" s="13" t="b">
        <v>0</v>
      </c>
      <c r="BM2958" s="10"/>
      <c r="BN2958" s="10" t="s">
        <v>149</v>
      </c>
      <c r="BO2958" s="11">
        <v>46002.479861111111</v>
      </c>
      <c r="BP2958" s="11">
        <v>46007.64576388889</v>
      </c>
      <c r="BQ2958" s="15">
        <v>46021.454733796294</v>
      </c>
      <c r="BR2958" s="15">
        <v>46025.809270833335</v>
      </c>
      <c r="BS2958" s="10" t="s">
        <v>149</v>
      </c>
      <c r="BT2958" s="10"/>
      <c r="BU2958" s="10"/>
      <c r="BV2958" s="10"/>
      <c r="BW2958" s="10"/>
      <c r="BX2958" s="10"/>
      <c r="BY2958" s="23"/>
      <c r="BZ2958" s="23"/>
      <c r="CA2958" s="19" t="s">
        <v>21838</v>
      </c>
      <c r="CB2958" s="23"/>
      <c r="CC2958" s="23"/>
      <c r="CD2958" s="19" t="s">
        <v>21839</v>
      </c>
      <c r="CE2958" s="23"/>
      <c r="CF2958" s="23"/>
      <c r="CG2958" s="23"/>
      <c r="CH2958" s="23"/>
      <c r="CI2958" s="23"/>
    </row>
    <row r="2959" spans="1:87" x14ac:dyDescent="0.3">
      <c r="A2959" s="9" t="s">
        <v>21840</v>
      </c>
      <c r="B2959" s="10" t="s">
        <v>21841</v>
      </c>
      <c r="C2959" s="11">
        <v>46030.541666666664</v>
      </c>
      <c r="D2959" s="12">
        <v>0.27083333333333331</v>
      </c>
      <c r="E2959" s="11">
        <v>46030.8125</v>
      </c>
      <c r="F2959" s="22" t="s">
        <v>21720</v>
      </c>
      <c r="G2959" s="13" t="b">
        <v>0</v>
      </c>
      <c r="H2959" s="22" t="s">
        <v>6271</v>
      </c>
      <c r="I2959" s="10" t="s">
        <v>89</v>
      </c>
      <c r="J2959" s="13" t="b">
        <v>0</v>
      </c>
      <c r="K2959" s="13" t="b">
        <v>1</v>
      </c>
      <c r="L2959" s="10" t="s">
        <v>124</v>
      </c>
      <c r="M2959" s="10" t="s">
        <v>91</v>
      </c>
      <c r="N2959" s="10" t="s">
        <v>265</v>
      </c>
      <c r="O2959" s="19" t="s">
        <v>21842</v>
      </c>
      <c r="P2959" s="10"/>
      <c r="Q2959" s="10" t="s">
        <v>126</v>
      </c>
      <c r="R2959" s="10"/>
      <c r="S2959" s="19" t="s">
        <v>21843</v>
      </c>
      <c r="T2959" s="10"/>
      <c r="U2959" s="10"/>
      <c r="V2959" s="10"/>
      <c r="W2959" s="10" t="s">
        <v>21723</v>
      </c>
      <c r="X2959" s="10" t="s">
        <v>21724</v>
      </c>
      <c r="Y2959" s="10" t="s">
        <v>21724</v>
      </c>
      <c r="Z2959" s="10" t="s">
        <v>99</v>
      </c>
      <c r="AA2959" s="10" t="s">
        <v>131</v>
      </c>
      <c r="AB2959" s="10" t="s">
        <v>21725</v>
      </c>
      <c r="AC2959" s="10" t="s">
        <v>21726</v>
      </c>
      <c r="AD2959" s="10" t="s">
        <v>165</v>
      </c>
      <c r="AE2959" s="10" t="s">
        <v>21844</v>
      </c>
      <c r="AF2959" s="15"/>
      <c r="AG2959" s="10"/>
      <c r="AH2959" s="10"/>
      <c r="AI2959" s="10"/>
      <c r="AJ2959" s="10"/>
      <c r="AK2959" s="10" t="s">
        <v>102</v>
      </c>
      <c r="AL2959" s="10" t="s">
        <v>19004</v>
      </c>
      <c r="AM2959" s="10"/>
      <c r="AN2959" s="10"/>
      <c r="AO2959" s="13" t="b">
        <v>0</v>
      </c>
      <c r="AP2959" s="22"/>
      <c r="AQ2959" s="10">
        <f ca="1">IFERROR(__xludf.DUMMYFUNCTION("""COMPUTED_VALUE"""),4830787)</f>
        <v>4830787</v>
      </c>
      <c r="AR2959" s="17">
        <v>10977</v>
      </c>
      <c r="AS2959" s="17">
        <v>5765</v>
      </c>
      <c r="AT2959" s="17">
        <v>168176</v>
      </c>
      <c r="AU2959" s="17">
        <v>22.3</v>
      </c>
      <c r="AV2959" s="17">
        <v>6.5</v>
      </c>
      <c r="AW2959" s="10" t="s">
        <v>105</v>
      </c>
      <c r="AX2959" s="17">
        <v>800</v>
      </c>
      <c r="AY2959" s="18">
        <v>29.171899392888118</v>
      </c>
      <c r="AZ2959" s="10" t="s">
        <v>117</v>
      </c>
      <c r="BA2959" s="20" t="b">
        <v>0</v>
      </c>
      <c r="BB2959" s="10"/>
      <c r="BC2959" s="17">
        <v>10977</v>
      </c>
      <c r="BD2959" s="17">
        <v>5765</v>
      </c>
      <c r="BE2959" s="17">
        <v>168176</v>
      </c>
      <c r="BF2959" s="17">
        <v>6.5</v>
      </c>
      <c r="BG2959" s="11">
        <f ca="1">IFERROR(__xludf.DUMMYFUNCTION("""COMPUTED_VALUE"""),46030.5416666666)</f>
        <v>46030.541666666599</v>
      </c>
      <c r="BH2959" s="17" t="s">
        <v>105</v>
      </c>
      <c r="BI2959" s="17"/>
      <c r="BJ2959" s="15"/>
      <c r="BK2959" s="15"/>
      <c r="BL2959" s="13" t="b">
        <v>0</v>
      </c>
      <c r="BM2959" s="10"/>
      <c r="BN2959" s="10" t="s">
        <v>118</v>
      </c>
      <c r="BO2959" s="11">
        <v>46002.509722222225</v>
      </c>
      <c r="BP2959" s="11">
        <v>46007.645856481482</v>
      </c>
      <c r="BQ2959" s="15">
        <v>46021.454930555556</v>
      </c>
      <c r="BR2959" s="15">
        <v>46027.437013888892</v>
      </c>
      <c r="BS2959" s="10" t="s">
        <v>118</v>
      </c>
      <c r="BT2959" s="10"/>
      <c r="BU2959" s="10"/>
      <c r="BV2959" s="10"/>
      <c r="BW2959" s="10"/>
      <c r="BX2959" s="10"/>
      <c r="BY2959" s="23"/>
      <c r="BZ2959" s="23"/>
      <c r="CA2959" s="19" t="s">
        <v>21845</v>
      </c>
      <c r="CB2959" s="23"/>
      <c r="CC2959" s="23"/>
      <c r="CD2959" s="19" t="s">
        <v>21846</v>
      </c>
      <c r="CE2959" s="23"/>
      <c r="CF2959" s="23"/>
      <c r="CG2959" s="23"/>
      <c r="CH2959" s="23"/>
      <c r="CI2959" s="23"/>
    </row>
    <row r="2960" spans="1:87" x14ac:dyDescent="0.3">
      <c r="A2960" s="9" t="s">
        <v>21847</v>
      </c>
      <c r="B2960" s="10" t="s">
        <v>21848</v>
      </c>
      <c r="C2960" s="11">
        <v>46031.541666666664</v>
      </c>
      <c r="D2960" s="12">
        <v>0.27083333333333331</v>
      </c>
      <c r="E2960" s="11">
        <v>46031.8125</v>
      </c>
      <c r="F2960" s="22" t="s">
        <v>21720</v>
      </c>
      <c r="G2960" s="13" t="b">
        <v>0</v>
      </c>
      <c r="H2960" s="22" t="s">
        <v>6271</v>
      </c>
      <c r="I2960" s="10" t="s">
        <v>89</v>
      </c>
      <c r="J2960" s="13" t="b">
        <v>0</v>
      </c>
      <c r="K2960" s="13" t="b">
        <v>1</v>
      </c>
      <c r="L2960" s="10" t="s">
        <v>124</v>
      </c>
      <c r="M2960" s="10" t="s">
        <v>91</v>
      </c>
      <c r="N2960" s="10" t="s">
        <v>265</v>
      </c>
      <c r="O2960" s="19" t="s">
        <v>21849</v>
      </c>
      <c r="P2960" s="10"/>
      <c r="Q2960" s="10" t="s">
        <v>126</v>
      </c>
      <c r="R2960" s="10"/>
      <c r="S2960" s="19" t="s">
        <v>21850</v>
      </c>
      <c r="T2960" s="10"/>
      <c r="U2960" s="10"/>
      <c r="V2960" s="10"/>
      <c r="W2960" s="10" t="s">
        <v>21723</v>
      </c>
      <c r="X2960" s="10" t="s">
        <v>21724</v>
      </c>
      <c r="Y2960" s="10" t="s">
        <v>21724</v>
      </c>
      <c r="Z2960" s="10" t="s">
        <v>99</v>
      </c>
      <c r="AA2960" s="10" t="s">
        <v>131</v>
      </c>
      <c r="AB2960" s="10" t="s">
        <v>21725</v>
      </c>
      <c r="AC2960" s="10" t="s">
        <v>21726</v>
      </c>
      <c r="AD2960" s="10" t="s">
        <v>165</v>
      </c>
      <c r="AE2960" s="10" t="s">
        <v>21851</v>
      </c>
      <c r="AF2960" s="15"/>
      <c r="AG2960" s="10"/>
      <c r="AH2960" s="10"/>
      <c r="AI2960" s="10"/>
      <c r="AJ2960" s="10"/>
      <c r="AK2960" s="10" t="s">
        <v>102</v>
      </c>
      <c r="AL2960" s="10" t="s">
        <v>19004</v>
      </c>
      <c r="AM2960" s="10"/>
      <c r="AN2960" s="10"/>
      <c r="AO2960" s="13" t="b">
        <v>0</v>
      </c>
      <c r="AP2960" s="22"/>
      <c r="AQ2960" s="10">
        <f ca="1">IFERROR(__xludf.DUMMYFUNCTION("""COMPUTED_VALUE"""),4832232)</f>
        <v>4832232</v>
      </c>
      <c r="AR2960" s="17">
        <v>15123</v>
      </c>
      <c r="AS2960" s="17">
        <v>7828</v>
      </c>
      <c r="AT2960" s="17">
        <v>234532</v>
      </c>
      <c r="AU2960" s="17">
        <v>39.4</v>
      </c>
      <c r="AV2960" s="17">
        <v>11</v>
      </c>
      <c r="AW2960" s="10" t="s">
        <v>105</v>
      </c>
      <c r="AX2960" s="17">
        <v>1254</v>
      </c>
      <c r="AY2960" s="18">
        <v>29.960654062340318</v>
      </c>
      <c r="AZ2960" s="10" t="s">
        <v>117</v>
      </c>
      <c r="BA2960" s="20" t="b">
        <v>0</v>
      </c>
      <c r="BB2960" s="10"/>
      <c r="BC2960" s="17">
        <v>15123</v>
      </c>
      <c r="BD2960" s="17">
        <v>7828</v>
      </c>
      <c r="BE2960" s="17">
        <v>234532</v>
      </c>
      <c r="BF2960" s="17">
        <v>11</v>
      </c>
      <c r="BG2960" s="11">
        <f ca="1">IFERROR(__xludf.DUMMYFUNCTION("""COMPUTED_VALUE"""),46031.5416666666)</f>
        <v>46031.541666666599</v>
      </c>
      <c r="BH2960" s="17" t="s">
        <v>105</v>
      </c>
      <c r="BI2960" s="17"/>
      <c r="BJ2960" s="15"/>
      <c r="BK2960" s="15"/>
      <c r="BL2960" s="13" t="b">
        <v>0</v>
      </c>
      <c r="BM2960" s="10"/>
      <c r="BN2960" s="10" t="s">
        <v>118</v>
      </c>
      <c r="BO2960" s="11">
        <v>46002.510416666664</v>
      </c>
      <c r="BP2960" s="11">
        <v>46007.646053240744</v>
      </c>
      <c r="BQ2960" s="15">
        <v>46021.45517361111</v>
      </c>
      <c r="BR2960" s="15">
        <v>46029.378981481481</v>
      </c>
      <c r="BS2960" s="10" t="s">
        <v>118</v>
      </c>
      <c r="BT2960" s="10"/>
      <c r="BU2960" s="10"/>
      <c r="BV2960" s="10"/>
      <c r="BW2960" s="10"/>
      <c r="BX2960" s="10"/>
      <c r="BY2960" s="23"/>
      <c r="BZ2960" s="23"/>
      <c r="CA2960" s="19" t="s">
        <v>21852</v>
      </c>
      <c r="CB2960" s="23"/>
      <c r="CC2960" s="23"/>
      <c r="CD2960" s="19" t="s">
        <v>21853</v>
      </c>
      <c r="CE2960" s="23"/>
      <c r="CF2960" s="23"/>
      <c r="CG2960" s="23"/>
      <c r="CH2960" s="23"/>
      <c r="CI2960" s="23"/>
    </row>
    <row r="2961" spans="1:87" x14ac:dyDescent="0.3">
      <c r="A2961" s="9" t="s">
        <v>21854</v>
      </c>
      <c r="B2961" s="10" t="s">
        <v>21855</v>
      </c>
      <c r="C2961" s="11">
        <v>46032.25</v>
      </c>
      <c r="D2961" s="12">
        <v>0.3125</v>
      </c>
      <c r="E2961" s="11">
        <v>46032.5625</v>
      </c>
      <c r="F2961" s="22" t="s">
        <v>21720</v>
      </c>
      <c r="G2961" s="13" t="b">
        <v>0</v>
      </c>
      <c r="H2961" s="22" t="s">
        <v>6271</v>
      </c>
      <c r="I2961" s="10" t="s">
        <v>89</v>
      </c>
      <c r="J2961" s="13" t="b">
        <v>0</v>
      </c>
      <c r="K2961" s="13" t="b">
        <v>1</v>
      </c>
      <c r="L2961" s="10" t="s">
        <v>124</v>
      </c>
      <c r="M2961" s="10" t="s">
        <v>91</v>
      </c>
      <c r="N2961" s="10" t="s">
        <v>265</v>
      </c>
      <c r="O2961" s="19" t="s">
        <v>21856</v>
      </c>
      <c r="P2961" s="10"/>
      <c r="Q2961" s="10" t="s">
        <v>126</v>
      </c>
      <c r="R2961" s="10"/>
      <c r="S2961" s="19" t="s">
        <v>21857</v>
      </c>
      <c r="T2961" s="10"/>
      <c r="U2961" s="10" t="s">
        <v>21858</v>
      </c>
      <c r="V2961" s="10" t="s">
        <v>21858</v>
      </c>
      <c r="W2961" s="10" t="s">
        <v>21723</v>
      </c>
      <c r="X2961" s="10" t="s">
        <v>21724</v>
      </c>
      <c r="Y2961" s="10" t="s">
        <v>21724</v>
      </c>
      <c r="Z2961" s="10" t="s">
        <v>99</v>
      </c>
      <c r="AA2961" s="10" t="s">
        <v>131</v>
      </c>
      <c r="AB2961" s="10" t="s">
        <v>21725</v>
      </c>
      <c r="AC2961" s="10" t="s">
        <v>21726</v>
      </c>
      <c r="AD2961" s="10" t="s">
        <v>165</v>
      </c>
      <c r="AE2961" s="10" t="s">
        <v>21859</v>
      </c>
      <c r="AF2961" s="15"/>
      <c r="AG2961" s="10"/>
      <c r="AH2961" s="10"/>
      <c r="AI2961" s="10"/>
      <c r="AJ2961" s="10" t="s">
        <v>21860</v>
      </c>
      <c r="AK2961" s="10" t="s">
        <v>102</v>
      </c>
      <c r="AL2961" s="10" t="s">
        <v>20102</v>
      </c>
      <c r="AM2961" s="10"/>
      <c r="AN2961" s="10"/>
      <c r="AO2961" s="13" t="b">
        <v>0</v>
      </c>
      <c r="AP2961" s="22"/>
      <c r="AQ2961" s="10">
        <f ca="1">IFERROR(__xludf.DUMMYFUNCTION("""COMPUTED_VALUE"""),17875)</f>
        <v>17875</v>
      </c>
      <c r="AR2961" s="17"/>
      <c r="AS2961" s="17"/>
      <c r="AT2961" s="17"/>
      <c r="AU2961" s="17"/>
      <c r="AV2961" s="17"/>
      <c r="AW2961" s="10"/>
      <c r="AX2961" s="17"/>
      <c r="AY2961" s="18" t="s">
        <v>257</v>
      </c>
      <c r="AZ2961" s="10" t="s">
        <v>117</v>
      </c>
      <c r="BA2961" s="20" t="b">
        <v>0</v>
      </c>
      <c r="BB2961" s="10"/>
      <c r="BC2961" s="17" t="s">
        <v>257</v>
      </c>
      <c r="BD2961" s="17" t="s">
        <v>257</v>
      </c>
      <c r="BE2961" s="17" t="s">
        <v>257</v>
      </c>
      <c r="BF2961" s="17" t="s">
        <v>257</v>
      </c>
      <c r="BG2961" s="11">
        <f ca="1">IFERROR(__xludf.DUMMYFUNCTION("""COMPUTED_VALUE"""),46032.25)</f>
        <v>46032.25</v>
      </c>
      <c r="BH2961" s="17"/>
      <c r="BI2961" s="17"/>
      <c r="BJ2961" s="15"/>
      <c r="BK2961" s="15"/>
      <c r="BL2961" s="13" t="b">
        <v>0</v>
      </c>
      <c r="BM2961" s="10"/>
      <c r="BN2961" s="10" t="s">
        <v>351</v>
      </c>
      <c r="BO2961" s="11">
        <v>46002.510416666664</v>
      </c>
      <c r="BP2961" s="11">
        <v>46031.90247685185</v>
      </c>
      <c r="BQ2961" s="15">
        <v>46031.960347222222</v>
      </c>
      <c r="BR2961" s="15">
        <v>46032.245613425926</v>
      </c>
      <c r="BS2961" s="10"/>
      <c r="BT2961" s="10"/>
      <c r="BU2961" s="10"/>
      <c r="BV2961" s="10"/>
      <c r="BW2961" s="10"/>
      <c r="BX2961" s="10"/>
      <c r="BY2961" s="23"/>
      <c r="BZ2961" s="23"/>
      <c r="CA2961" s="19" t="s">
        <v>21861</v>
      </c>
      <c r="CB2961" s="23"/>
      <c r="CC2961" s="23"/>
      <c r="CD2961" s="19" t="s">
        <v>21862</v>
      </c>
      <c r="CE2961" s="23"/>
      <c r="CF2961" s="23"/>
      <c r="CG2961" s="23"/>
      <c r="CH2961" s="23"/>
      <c r="CI2961" s="23"/>
    </row>
    <row r="2962" spans="1:87" x14ac:dyDescent="0.3">
      <c r="A2962" s="9" t="s">
        <v>21863</v>
      </c>
      <c r="B2962" s="10" t="s">
        <v>21864</v>
      </c>
      <c r="C2962" s="11">
        <v>46032.5625</v>
      </c>
      <c r="D2962" s="12">
        <v>0.25</v>
      </c>
      <c r="E2962" s="11">
        <v>46032.8125</v>
      </c>
      <c r="F2962" s="22" t="s">
        <v>21720</v>
      </c>
      <c r="G2962" s="13" t="b">
        <v>0</v>
      </c>
      <c r="H2962" s="22" t="s">
        <v>6271</v>
      </c>
      <c r="I2962" s="10" t="s">
        <v>89</v>
      </c>
      <c r="J2962" s="13" t="b">
        <v>0</v>
      </c>
      <c r="K2962" s="13" t="b">
        <v>1</v>
      </c>
      <c r="L2962" s="10" t="s">
        <v>124</v>
      </c>
      <c r="M2962" s="10" t="s">
        <v>91</v>
      </c>
      <c r="N2962" s="10" t="s">
        <v>265</v>
      </c>
      <c r="O2962" s="19" t="s">
        <v>21865</v>
      </c>
      <c r="P2962" s="10"/>
      <c r="Q2962" s="10" t="s">
        <v>126</v>
      </c>
      <c r="R2962" s="10"/>
      <c r="S2962" s="19" t="s">
        <v>21866</v>
      </c>
      <c r="T2962" s="10"/>
      <c r="U2962" s="10"/>
      <c r="V2962" s="10"/>
      <c r="W2962" s="10" t="s">
        <v>21723</v>
      </c>
      <c r="X2962" s="10" t="s">
        <v>21724</v>
      </c>
      <c r="Y2962" s="10" t="s">
        <v>21724</v>
      </c>
      <c r="Z2962" s="10" t="s">
        <v>99</v>
      </c>
      <c r="AA2962" s="10" t="s">
        <v>131</v>
      </c>
      <c r="AB2962" s="10" t="s">
        <v>21725</v>
      </c>
      <c r="AC2962" s="10" t="s">
        <v>21726</v>
      </c>
      <c r="AD2962" s="10" t="s">
        <v>165</v>
      </c>
      <c r="AE2962" s="10" t="s">
        <v>21867</v>
      </c>
      <c r="AF2962" s="15"/>
      <c r="AG2962" s="10"/>
      <c r="AH2962" s="10"/>
      <c r="AI2962" s="10"/>
      <c r="AJ2962" s="10" t="s">
        <v>21868</v>
      </c>
      <c r="AK2962" s="10" t="s">
        <v>102</v>
      </c>
      <c r="AL2962" s="10" t="s">
        <v>20102</v>
      </c>
      <c r="AM2962" s="10"/>
      <c r="AN2962" s="10"/>
      <c r="AO2962" s="13" t="b">
        <v>0</v>
      </c>
      <c r="AP2962" s="22"/>
      <c r="AQ2962" s="10">
        <f ca="1">IFERROR(__xludf.DUMMYFUNCTION("""COMPUTED_VALUE"""),4835441)</f>
        <v>4835441</v>
      </c>
      <c r="AR2962" s="17">
        <v>34837</v>
      </c>
      <c r="AS2962" s="17">
        <v>21259</v>
      </c>
      <c r="AT2962" s="17">
        <v>415449.25</v>
      </c>
      <c r="AU2962" s="17">
        <v>62.05</v>
      </c>
      <c r="AV2962" s="17">
        <v>23.9</v>
      </c>
      <c r="AW2962" s="10" t="s">
        <v>105</v>
      </c>
      <c r="AX2962" s="17">
        <v>2333</v>
      </c>
      <c r="AY2962" s="18">
        <v>19.542276212427677</v>
      </c>
      <c r="AZ2962" s="10" t="s">
        <v>117</v>
      </c>
      <c r="BA2962" s="20" t="b">
        <v>0</v>
      </c>
      <c r="BB2962" s="10"/>
      <c r="BC2962" s="17">
        <v>34837</v>
      </c>
      <c r="BD2962" s="17">
        <v>21259</v>
      </c>
      <c r="BE2962" s="17">
        <v>415449.25</v>
      </c>
      <c r="BF2962" s="17">
        <v>23.9</v>
      </c>
      <c r="BG2962" s="11">
        <f ca="1">IFERROR(__xludf.DUMMYFUNCTION("""COMPUTED_VALUE"""),46032.5625)</f>
        <v>46032.5625</v>
      </c>
      <c r="BH2962" s="17" t="s">
        <v>105</v>
      </c>
      <c r="BI2962" s="17"/>
      <c r="BJ2962" s="15"/>
      <c r="BK2962" s="15"/>
      <c r="BL2962" s="13" t="b">
        <v>0</v>
      </c>
      <c r="BM2962" s="10"/>
      <c r="BN2962" s="10" t="s">
        <v>149</v>
      </c>
      <c r="BO2962" s="11">
        <v>46002.511111111111</v>
      </c>
      <c r="BP2962" s="11">
        <v>46031.902916666666</v>
      </c>
      <c r="BQ2962" s="15">
        <v>46032.396620370368</v>
      </c>
      <c r="BR2962" s="15">
        <v>46032.420266203706</v>
      </c>
      <c r="BS2962" s="10" t="s">
        <v>149</v>
      </c>
      <c r="BT2962" s="10"/>
      <c r="BU2962" s="10"/>
      <c r="BV2962" s="10"/>
      <c r="BW2962" s="10"/>
      <c r="BX2962" s="10"/>
      <c r="BY2962" s="23"/>
      <c r="BZ2962" s="23"/>
      <c r="CA2962" s="19" t="s">
        <v>21869</v>
      </c>
      <c r="CB2962" s="23"/>
      <c r="CC2962" s="23"/>
      <c r="CD2962" s="19" t="s">
        <v>21870</v>
      </c>
      <c r="CE2962" s="23"/>
      <c r="CF2962" s="23"/>
      <c r="CG2962" s="23"/>
      <c r="CH2962" s="23"/>
      <c r="CI2962" s="23"/>
    </row>
    <row r="2963" spans="1:87" x14ac:dyDescent="0.3">
      <c r="A2963" s="9" t="s">
        <v>21871</v>
      </c>
      <c r="B2963" s="10" t="s">
        <v>21872</v>
      </c>
      <c r="C2963" s="11">
        <v>46033.541666666664</v>
      </c>
      <c r="D2963" s="12">
        <v>0.27083333333333331</v>
      </c>
      <c r="E2963" s="11">
        <v>46033.8125</v>
      </c>
      <c r="F2963" s="22" t="s">
        <v>21720</v>
      </c>
      <c r="G2963" s="13" t="b">
        <v>0</v>
      </c>
      <c r="H2963" s="22" t="s">
        <v>6271</v>
      </c>
      <c r="I2963" s="10" t="s">
        <v>89</v>
      </c>
      <c r="J2963" s="13" t="b">
        <v>0</v>
      </c>
      <c r="K2963" s="13" t="b">
        <v>1</v>
      </c>
      <c r="L2963" s="10" t="s">
        <v>124</v>
      </c>
      <c r="M2963" s="10" t="s">
        <v>91</v>
      </c>
      <c r="N2963" s="10" t="s">
        <v>265</v>
      </c>
      <c r="O2963" s="19" t="s">
        <v>21873</v>
      </c>
      <c r="P2963" s="10"/>
      <c r="Q2963" s="10" t="s">
        <v>126</v>
      </c>
      <c r="R2963" s="10"/>
      <c r="S2963" s="19" t="s">
        <v>21874</v>
      </c>
      <c r="T2963" s="10"/>
      <c r="U2963" s="10"/>
      <c r="V2963" s="10"/>
      <c r="W2963" s="10" t="s">
        <v>21723</v>
      </c>
      <c r="X2963" s="10" t="s">
        <v>21724</v>
      </c>
      <c r="Y2963" s="10" t="s">
        <v>21724</v>
      </c>
      <c r="Z2963" s="10" t="s">
        <v>99</v>
      </c>
      <c r="AA2963" s="10" t="s">
        <v>131</v>
      </c>
      <c r="AB2963" s="10" t="s">
        <v>21725</v>
      </c>
      <c r="AC2963" s="10" t="s">
        <v>21726</v>
      </c>
      <c r="AD2963" s="10" t="s">
        <v>165</v>
      </c>
      <c r="AE2963" s="10" t="s">
        <v>21875</v>
      </c>
      <c r="AF2963" s="15"/>
      <c r="AG2963" s="10"/>
      <c r="AH2963" s="10"/>
      <c r="AI2963" s="10"/>
      <c r="AJ2963" s="10" t="s">
        <v>21876</v>
      </c>
      <c r="AK2963" s="10" t="s">
        <v>102</v>
      </c>
      <c r="AL2963" s="10" t="s">
        <v>220</v>
      </c>
      <c r="AM2963" s="10"/>
      <c r="AN2963" s="10"/>
      <c r="AO2963" s="13" t="b">
        <v>0</v>
      </c>
      <c r="AP2963" s="22"/>
      <c r="AQ2963" s="10">
        <f ca="1">IFERROR(__xludf.DUMMYFUNCTION("""COMPUTED_VALUE"""),4835810)</f>
        <v>4835810</v>
      </c>
      <c r="AR2963" s="17"/>
      <c r="AS2963" s="17"/>
      <c r="AT2963" s="17"/>
      <c r="AU2963" s="17"/>
      <c r="AV2963" s="17"/>
      <c r="AW2963" s="10"/>
      <c r="AX2963" s="17"/>
      <c r="AY2963" s="18" t="s">
        <v>257</v>
      </c>
      <c r="AZ2963" s="10" t="s">
        <v>136</v>
      </c>
      <c r="BA2963" s="20" t="b">
        <v>0</v>
      </c>
      <c r="BB2963" s="10"/>
      <c r="BC2963" s="17" t="s">
        <v>257</v>
      </c>
      <c r="BD2963" s="17" t="s">
        <v>257</v>
      </c>
      <c r="BE2963" s="17" t="s">
        <v>257</v>
      </c>
      <c r="BF2963" s="17" t="s">
        <v>257</v>
      </c>
      <c r="BG2963" s="11">
        <f ca="1">IFERROR(__xludf.DUMMYFUNCTION("""COMPUTED_VALUE"""),46033.5416666666)</f>
        <v>46033.541666666599</v>
      </c>
      <c r="BH2963" s="17"/>
      <c r="BI2963" s="17"/>
      <c r="BJ2963" s="15"/>
      <c r="BK2963" s="15"/>
      <c r="BL2963" s="13" t="b">
        <v>0</v>
      </c>
      <c r="BM2963" s="10"/>
      <c r="BN2963" s="10" t="s">
        <v>920</v>
      </c>
      <c r="BO2963" s="11">
        <v>46002.511805555558</v>
      </c>
      <c r="BP2963" s="11">
        <v>46032.856990740744</v>
      </c>
      <c r="BQ2963" s="15">
        <v>46032.991331018522</v>
      </c>
      <c r="BR2963" s="15">
        <v>46033.032627314817</v>
      </c>
      <c r="BS2963" s="10" t="s">
        <v>920</v>
      </c>
      <c r="BT2963" s="10"/>
      <c r="BU2963" s="10"/>
      <c r="BV2963" s="10"/>
      <c r="BW2963" s="10"/>
      <c r="BX2963" s="10"/>
      <c r="BY2963" s="23"/>
      <c r="BZ2963" s="23"/>
      <c r="CA2963" s="19" t="s">
        <v>21877</v>
      </c>
      <c r="CB2963" s="23"/>
      <c r="CC2963" s="23"/>
      <c r="CD2963" s="19" t="s">
        <v>21878</v>
      </c>
      <c r="CE2963" s="23"/>
      <c r="CF2963" s="23"/>
      <c r="CG2963" s="23"/>
      <c r="CH2963" s="23"/>
      <c r="CI2963" s="23"/>
    </row>
    <row r="2964" spans="1:87" x14ac:dyDescent="0.3">
      <c r="A2964" s="9" t="s">
        <v>21879</v>
      </c>
      <c r="B2964" s="10" t="s">
        <v>21880</v>
      </c>
      <c r="C2964" s="11">
        <v>46005</v>
      </c>
      <c r="D2964" s="12">
        <v>8.3333333333333329E-2</v>
      </c>
      <c r="E2964" s="11">
        <v>46005.083333333336</v>
      </c>
      <c r="F2964" s="22" t="s">
        <v>21253</v>
      </c>
      <c r="G2964" s="13" t="b">
        <v>0</v>
      </c>
      <c r="H2964" s="22" t="s">
        <v>6271</v>
      </c>
      <c r="I2964" s="10" t="s">
        <v>89</v>
      </c>
      <c r="J2964" s="13" t="b">
        <v>0</v>
      </c>
      <c r="K2964" s="13" t="b">
        <v>1</v>
      </c>
      <c r="L2964" s="10" t="s">
        <v>124</v>
      </c>
      <c r="M2964" s="10" t="s">
        <v>91</v>
      </c>
      <c r="N2964" s="10" t="s">
        <v>92</v>
      </c>
      <c r="O2964" s="19" t="s">
        <v>21881</v>
      </c>
      <c r="P2964" s="10"/>
      <c r="Q2964" s="10" t="s">
        <v>126</v>
      </c>
      <c r="R2964" s="10"/>
      <c r="S2964" s="19" t="s">
        <v>21882</v>
      </c>
      <c r="T2964" s="10"/>
      <c r="U2964" s="10" t="s">
        <v>21883</v>
      </c>
      <c r="V2964" s="10" t="s">
        <v>11518</v>
      </c>
      <c r="W2964" s="10" t="s">
        <v>21258</v>
      </c>
      <c r="X2964" s="10" t="s">
        <v>130</v>
      </c>
      <c r="Y2964" s="10" t="s">
        <v>130</v>
      </c>
      <c r="Z2964" s="10" t="s">
        <v>99</v>
      </c>
      <c r="AA2964" s="10" t="s">
        <v>131</v>
      </c>
      <c r="AB2964" s="10" t="s">
        <v>21259</v>
      </c>
      <c r="AC2964" s="10" t="s">
        <v>21260</v>
      </c>
      <c r="AD2964" s="10" t="s">
        <v>21884</v>
      </c>
      <c r="AE2964" s="10" t="s">
        <v>21885</v>
      </c>
      <c r="AF2964" s="15"/>
      <c r="AG2964" s="10"/>
      <c r="AH2964" s="10"/>
      <c r="AI2964" s="10"/>
      <c r="AJ2964" s="10" t="s">
        <v>21886</v>
      </c>
      <c r="AK2964" s="10" t="s">
        <v>102</v>
      </c>
      <c r="AL2964" s="10" t="s">
        <v>1876</v>
      </c>
      <c r="AM2964" s="10"/>
      <c r="AN2964" s="10"/>
      <c r="AO2964" s="13" t="b">
        <v>0</v>
      </c>
      <c r="AP2964" s="22" t="s">
        <v>104</v>
      </c>
      <c r="AQ2964" s="10">
        <f ca="1">IFERROR(__xludf.DUMMYFUNCTION("""COMPUTED_VALUE"""),4778138)</f>
        <v>4778138</v>
      </c>
      <c r="AR2964" s="17">
        <v>4837</v>
      </c>
      <c r="AS2964" s="17">
        <v>3609</v>
      </c>
      <c r="AT2964" s="17">
        <v>19890.25</v>
      </c>
      <c r="AU2964" s="17">
        <v>4.3499999999999996</v>
      </c>
      <c r="AV2964" s="17">
        <v>2.2999999999999998</v>
      </c>
      <c r="AW2964" s="10" t="s">
        <v>105</v>
      </c>
      <c r="AX2964" s="17">
        <v>725</v>
      </c>
      <c r="AY2964" s="18">
        <v>5.5112912164034356</v>
      </c>
      <c r="AZ2964" s="10" t="s">
        <v>117</v>
      </c>
      <c r="BA2964" s="20" t="b">
        <v>0</v>
      </c>
      <c r="BB2964" s="10"/>
      <c r="BC2964" s="17">
        <v>4837</v>
      </c>
      <c r="BD2964" s="17">
        <v>3609</v>
      </c>
      <c r="BE2964" s="17">
        <v>19890.25</v>
      </c>
      <c r="BF2964" s="17">
        <v>2.2999999999999998</v>
      </c>
      <c r="BG2964" s="11">
        <f ca="1">IFERROR(__xludf.DUMMYFUNCTION("""COMPUTED_VALUE"""),46005)</f>
        <v>46005</v>
      </c>
      <c r="BH2964" s="17" t="s">
        <v>105</v>
      </c>
      <c r="BI2964" s="17"/>
      <c r="BJ2964" s="15"/>
      <c r="BK2964" s="15"/>
      <c r="BL2964" s="13" t="b">
        <v>0</v>
      </c>
      <c r="BM2964" s="10"/>
      <c r="BN2964" s="10" t="s">
        <v>1149</v>
      </c>
      <c r="BO2964" s="11">
        <v>46002.625694444447</v>
      </c>
      <c r="BP2964" s="11">
        <v>46002.626226851855</v>
      </c>
      <c r="BQ2964" s="15">
        <v>46003.81621527778</v>
      </c>
      <c r="BR2964" s="15">
        <v>46003.875648148147</v>
      </c>
      <c r="BS2964" s="10" t="s">
        <v>1149</v>
      </c>
      <c r="BT2964" s="10" t="s">
        <v>99</v>
      </c>
      <c r="BU2964" s="10" t="s">
        <v>11615</v>
      </c>
      <c r="BV2964" s="10"/>
      <c r="BW2964" s="10"/>
      <c r="BX2964" s="10"/>
      <c r="BY2964" s="23"/>
      <c r="BZ2964" s="23"/>
      <c r="CA2964" s="19" t="s">
        <v>21887</v>
      </c>
      <c r="CB2964" s="23"/>
      <c r="CC2964" s="23"/>
      <c r="CD2964" s="19" t="s">
        <v>21888</v>
      </c>
      <c r="CE2964" s="23"/>
      <c r="CF2964" s="23"/>
      <c r="CG2964" s="23"/>
      <c r="CH2964" s="23"/>
      <c r="CI2964" s="23"/>
    </row>
    <row r="2965" spans="1:87" x14ac:dyDescent="0.3">
      <c r="A2965" s="9" t="s">
        <v>21889</v>
      </c>
      <c r="B2965" s="10" t="s">
        <v>21890</v>
      </c>
      <c r="C2965" s="11">
        <v>46004.458333333336</v>
      </c>
      <c r="D2965" s="12">
        <v>0.16666666666666666</v>
      </c>
      <c r="E2965" s="11">
        <v>46004.625</v>
      </c>
      <c r="F2965" s="22" t="s">
        <v>19136</v>
      </c>
      <c r="G2965" s="13" t="b">
        <v>0</v>
      </c>
      <c r="H2965" s="22" t="s">
        <v>9017</v>
      </c>
      <c r="I2965" s="10" t="s">
        <v>212</v>
      </c>
      <c r="J2965" s="13" t="b">
        <v>1</v>
      </c>
      <c r="K2965" s="13" t="b">
        <v>0</v>
      </c>
      <c r="L2965" s="10" t="s">
        <v>124</v>
      </c>
      <c r="M2965" s="10" t="s">
        <v>91</v>
      </c>
      <c r="N2965" s="10" t="s">
        <v>92</v>
      </c>
      <c r="O2965" s="19" t="s">
        <v>21891</v>
      </c>
      <c r="P2965" s="10"/>
      <c r="Q2965" s="10" t="s">
        <v>94</v>
      </c>
      <c r="R2965" s="10"/>
      <c r="S2965" s="19" t="s">
        <v>19862</v>
      </c>
      <c r="T2965" s="10"/>
      <c r="U2965" s="10"/>
      <c r="V2965" s="10"/>
      <c r="W2965" s="10" t="s">
        <v>19139</v>
      </c>
      <c r="X2965" s="10" t="s">
        <v>130</v>
      </c>
      <c r="Y2965" s="10" t="s">
        <v>130</v>
      </c>
      <c r="Z2965" s="10" t="s">
        <v>99</v>
      </c>
      <c r="AA2965" s="10" t="s">
        <v>131</v>
      </c>
      <c r="AB2965" s="10" t="s">
        <v>19140</v>
      </c>
      <c r="AC2965" s="10" t="s">
        <v>9022</v>
      </c>
      <c r="AD2965" s="10" t="s">
        <v>165</v>
      </c>
      <c r="AE2965" s="10" t="s">
        <v>21892</v>
      </c>
      <c r="AF2965" s="15"/>
      <c r="AG2965" s="10"/>
      <c r="AH2965" s="10"/>
      <c r="AI2965" s="10"/>
      <c r="AJ2965" s="10"/>
      <c r="AK2965" s="10" t="s">
        <v>102</v>
      </c>
      <c r="AL2965" s="10"/>
      <c r="AM2965" s="10"/>
      <c r="AN2965" s="10"/>
      <c r="AO2965" s="13" t="b">
        <v>0</v>
      </c>
      <c r="AP2965" s="22" t="s">
        <v>104</v>
      </c>
      <c r="AQ2965" s="10">
        <f ca="1">IFERROR(__xludf.DUMMYFUNCTION("""COMPUTED_VALUE"""),20065)</f>
        <v>20065</v>
      </c>
      <c r="AR2965" s="17">
        <v>0</v>
      </c>
      <c r="AS2965" s="17">
        <v>0</v>
      </c>
      <c r="AT2965" s="17">
        <v>0</v>
      </c>
      <c r="AU2965" s="17">
        <v>0</v>
      </c>
      <c r="AV2965" s="17">
        <v>0</v>
      </c>
      <c r="AW2965" s="10" t="s">
        <v>105</v>
      </c>
      <c r="AX2965" s="17"/>
      <c r="AY2965" s="18">
        <v>14.466162420382165</v>
      </c>
      <c r="AZ2965" s="10"/>
      <c r="BA2965" s="20" t="b">
        <v>1</v>
      </c>
      <c r="BB2965" s="10"/>
      <c r="BC2965" s="17">
        <v>926</v>
      </c>
      <c r="BD2965" s="17">
        <v>628</v>
      </c>
      <c r="BE2965" s="17">
        <v>9084.75</v>
      </c>
      <c r="BF2965" s="17">
        <v>0</v>
      </c>
      <c r="BG2965" s="11">
        <f ca="1">IFERROR(__xludf.DUMMYFUNCTION("""COMPUTED_VALUE"""),46004.4583333333)</f>
        <v>46004.458333333299</v>
      </c>
      <c r="BH2965" s="17" t="s">
        <v>105</v>
      </c>
      <c r="BI2965" s="17"/>
      <c r="BJ2965" s="15"/>
      <c r="BK2965" s="15"/>
      <c r="BL2965" s="13" t="b">
        <v>0</v>
      </c>
      <c r="BM2965" s="10"/>
      <c r="BN2965" s="10" t="s">
        <v>197</v>
      </c>
      <c r="BO2965" s="11">
        <v>46003.579861111109</v>
      </c>
      <c r="BP2965" s="11">
        <v>46003.582824074074</v>
      </c>
      <c r="BQ2965" s="15">
        <v>46003.59679398148</v>
      </c>
      <c r="BR2965" s="15">
        <v>46003.604872685188</v>
      </c>
      <c r="BS2965" s="10" t="s">
        <v>197</v>
      </c>
      <c r="BT2965" s="10"/>
      <c r="BU2965" s="10"/>
      <c r="BV2965" s="10"/>
      <c r="BW2965" s="10"/>
      <c r="BX2965" s="10"/>
      <c r="BY2965" s="23"/>
      <c r="BZ2965" s="23"/>
      <c r="CA2965" s="19" t="s">
        <v>19142</v>
      </c>
      <c r="CB2965" s="23"/>
      <c r="CC2965" s="23"/>
      <c r="CD2965" s="23"/>
      <c r="CE2965" s="23"/>
      <c r="CF2965" s="23"/>
      <c r="CG2965" s="23"/>
      <c r="CH2965" s="23"/>
      <c r="CI2965" s="23"/>
    </row>
    <row r="2966" spans="1:87" x14ac:dyDescent="0.3">
      <c r="A2966" s="9" t="s">
        <v>21893</v>
      </c>
      <c r="B2966" s="10" t="s">
        <v>21894</v>
      </c>
      <c r="C2966" s="11">
        <v>46005.291666666664</v>
      </c>
      <c r="D2966" s="12">
        <v>0.25</v>
      </c>
      <c r="E2966" s="11">
        <v>46005.541666666664</v>
      </c>
      <c r="F2966" s="22" t="s">
        <v>19136</v>
      </c>
      <c r="G2966" s="13" t="b">
        <v>0</v>
      </c>
      <c r="H2966" s="22" t="s">
        <v>9017</v>
      </c>
      <c r="I2966" s="10" t="s">
        <v>212</v>
      </c>
      <c r="J2966" s="13" t="b">
        <v>1</v>
      </c>
      <c r="K2966" s="13" t="b">
        <v>0</v>
      </c>
      <c r="L2966" s="10" t="s">
        <v>124</v>
      </c>
      <c r="M2966" s="10" t="s">
        <v>91</v>
      </c>
      <c r="N2966" s="10" t="s">
        <v>92</v>
      </c>
      <c r="O2966" s="19" t="s">
        <v>21895</v>
      </c>
      <c r="P2966" s="10"/>
      <c r="Q2966" s="10" t="s">
        <v>94</v>
      </c>
      <c r="R2966" s="10"/>
      <c r="S2966" s="19" t="s">
        <v>19862</v>
      </c>
      <c r="T2966" s="10"/>
      <c r="U2966" s="10"/>
      <c r="V2966" s="10"/>
      <c r="W2966" s="10" t="s">
        <v>19139</v>
      </c>
      <c r="X2966" s="10" t="s">
        <v>130</v>
      </c>
      <c r="Y2966" s="10" t="s">
        <v>130</v>
      </c>
      <c r="Z2966" s="10" t="s">
        <v>99</v>
      </c>
      <c r="AA2966" s="10" t="s">
        <v>131</v>
      </c>
      <c r="AB2966" s="10" t="s">
        <v>19140</v>
      </c>
      <c r="AC2966" s="10" t="s">
        <v>9022</v>
      </c>
      <c r="AD2966" s="10" t="s">
        <v>165</v>
      </c>
      <c r="AE2966" s="10" t="s">
        <v>21896</v>
      </c>
      <c r="AF2966" s="15"/>
      <c r="AG2966" s="10"/>
      <c r="AH2966" s="10"/>
      <c r="AI2966" s="10"/>
      <c r="AJ2966" s="10"/>
      <c r="AK2966" s="10" t="s">
        <v>102</v>
      </c>
      <c r="AL2966" s="10"/>
      <c r="AM2966" s="10"/>
      <c r="AN2966" s="10"/>
      <c r="AO2966" s="13" t="b">
        <v>0</v>
      </c>
      <c r="AP2966" s="22" t="s">
        <v>104</v>
      </c>
      <c r="AQ2966" s="10">
        <f ca="1">IFERROR(__xludf.DUMMYFUNCTION("""COMPUTED_VALUE"""),20066)</f>
        <v>20066</v>
      </c>
      <c r="AR2966" s="21">
        <v>3</v>
      </c>
      <c r="AS2966" s="21">
        <v>3</v>
      </c>
      <c r="AT2966" s="21">
        <v>0.25</v>
      </c>
      <c r="AU2966" s="21">
        <v>0</v>
      </c>
      <c r="AV2966" s="21">
        <v>0</v>
      </c>
      <c r="AW2966" s="22" t="s">
        <v>105</v>
      </c>
      <c r="AX2966" s="17"/>
      <c r="AY2966" s="18">
        <v>17.954126875852662</v>
      </c>
      <c r="AZ2966" s="10"/>
      <c r="BA2966" s="20" t="b">
        <v>1</v>
      </c>
      <c r="BB2966" s="10"/>
      <c r="BC2966" s="17">
        <v>2501</v>
      </c>
      <c r="BD2966" s="17">
        <v>1466</v>
      </c>
      <c r="BE2966" s="17">
        <v>26320.75</v>
      </c>
      <c r="BF2966" s="17">
        <v>0</v>
      </c>
      <c r="BG2966" s="11">
        <f ca="1">IFERROR(__xludf.DUMMYFUNCTION("""COMPUTED_VALUE"""),46005.2916666666)</f>
        <v>46005.291666666599</v>
      </c>
      <c r="BH2966" s="17" t="s">
        <v>105</v>
      </c>
      <c r="BI2966" s="17"/>
      <c r="BJ2966" s="15"/>
      <c r="BK2966" s="15"/>
      <c r="BL2966" s="13" t="b">
        <v>0</v>
      </c>
      <c r="BM2966" s="10"/>
      <c r="BN2966" s="10" t="s">
        <v>197</v>
      </c>
      <c r="BO2966" s="11">
        <v>46003.581250000003</v>
      </c>
      <c r="BP2966" s="11">
        <v>46003.581562500003</v>
      </c>
      <c r="BQ2966" s="15">
        <v>46003.596886574072</v>
      </c>
      <c r="BR2966" s="15">
        <v>46003.607615740744</v>
      </c>
      <c r="BS2966" s="10" t="s">
        <v>197</v>
      </c>
      <c r="BT2966" s="10"/>
      <c r="BU2966" s="10"/>
      <c r="BV2966" s="10"/>
      <c r="BW2966" s="10"/>
      <c r="BX2966" s="10"/>
      <c r="BY2966" s="23"/>
      <c r="BZ2966" s="23"/>
      <c r="CA2966" s="19" t="s">
        <v>19142</v>
      </c>
      <c r="CB2966" s="23"/>
      <c r="CC2966" s="23"/>
      <c r="CD2966" s="23"/>
      <c r="CE2966" s="23"/>
      <c r="CF2966" s="23"/>
      <c r="CG2966" s="23"/>
      <c r="CH2966" s="23"/>
      <c r="CI2966" s="23"/>
    </row>
    <row r="2967" spans="1:87" x14ac:dyDescent="0.3">
      <c r="A2967" s="9" t="s">
        <v>21897</v>
      </c>
      <c r="B2967" s="10" t="s">
        <v>21898</v>
      </c>
      <c r="C2967" s="11">
        <v>46004.458333333336</v>
      </c>
      <c r="D2967" s="12">
        <v>4.8611111111111112E-2</v>
      </c>
      <c r="E2967" s="11">
        <v>46004.506944444445</v>
      </c>
      <c r="F2967" s="22" t="s">
        <v>19136</v>
      </c>
      <c r="G2967" s="13" t="b">
        <v>0</v>
      </c>
      <c r="H2967" s="22" t="s">
        <v>9017</v>
      </c>
      <c r="I2967" s="10" t="s">
        <v>212</v>
      </c>
      <c r="J2967" s="13" t="b">
        <v>1</v>
      </c>
      <c r="K2967" s="13" t="b">
        <v>0</v>
      </c>
      <c r="L2967" s="10" t="s">
        <v>124</v>
      </c>
      <c r="M2967" s="10" t="s">
        <v>91</v>
      </c>
      <c r="N2967" s="10" t="s">
        <v>92</v>
      </c>
      <c r="O2967" s="19" t="s">
        <v>21899</v>
      </c>
      <c r="P2967" s="10"/>
      <c r="Q2967" s="10" t="s">
        <v>94</v>
      </c>
      <c r="R2967" s="10"/>
      <c r="S2967" s="10"/>
      <c r="T2967" s="10"/>
      <c r="U2967" s="10"/>
      <c r="V2967" s="10"/>
      <c r="W2967" s="10" t="s">
        <v>19139</v>
      </c>
      <c r="X2967" s="10" t="s">
        <v>130</v>
      </c>
      <c r="Y2967" s="10" t="s">
        <v>130</v>
      </c>
      <c r="Z2967" s="10" t="s">
        <v>99</v>
      </c>
      <c r="AA2967" s="10" t="s">
        <v>131</v>
      </c>
      <c r="AB2967" s="10" t="s">
        <v>19140</v>
      </c>
      <c r="AC2967" s="10" t="s">
        <v>9022</v>
      </c>
      <c r="AD2967" s="10" t="s">
        <v>165</v>
      </c>
      <c r="AE2967" s="10" t="s">
        <v>21900</v>
      </c>
      <c r="AF2967" s="15"/>
      <c r="AG2967" s="10"/>
      <c r="AH2967" s="10"/>
      <c r="AI2967" s="10"/>
      <c r="AJ2967" s="10"/>
      <c r="AK2967" s="10" t="s">
        <v>102</v>
      </c>
      <c r="AL2967" s="10" t="s">
        <v>7897</v>
      </c>
      <c r="AM2967" s="10"/>
      <c r="AN2967" s="10"/>
      <c r="AO2967" s="13" t="b">
        <v>0</v>
      </c>
      <c r="AP2967" s="22" t="s">
        <v>104</v>
      </c>
      <c r="AQ2967" s="10">
        <f ca="1">IFERROR(__xludf.DUMMYFUNCTION("""COMPUTED_VALUE"""),4776334)</f>
        <v>4776334</v>
      </c>
      <c r="AR2967" s="17">
        <v>316</v>
      </c>
      <c r="AS2967" s="17">
        <v>213</v>
      </c>
      <c r="AT2967" s="17">
        <v>3263.75</v>
      </c>
      <c r="AU2967" s="17">
        <v>0</v>
      </c>
      <c r="AV2967" s="17">
        <v>0</v>
      </c>
      <c r="AW2967" s="10" t="s">
        <v>105</v>
      </c>
      <c r="AX2967" s="17">
        <v>79</v>
      </c>
      <c r="AY2967" s="18">
        <v>15.322769953051644</v>
      </c>
      <c r="AZ2967" s="10"/>
      <c r="BA2967" s="20" t="b">
        <v>0</v>
      </c>
      <c r="BB2967" s="10" t="s">
        <v>21889</v>
      </c>
      <c r="BC2967" s="17">
        <v>316</v>
      </c>
      <c r="BD2967" s="17">
        <v>213</v>
      </c>
      <c r="BE2967" s="17">
        <v>3263.75</v>
      </c>
      <c r="BF2967" s="17">
        <v>0</v>
      </c>
      <c r="BG2967" s="11">
        <f ca="1">IFERROR(__xludf.DUMMYFUNCTION("""COMPUTED_VALUE"""),46004.4583333333)</f>
        <v>46004.458333333299</v>
      </c>
      <c r="BH2967" s="17" t="s">
        <v>105</v>
      </c>
      <c r="BI2967" s="17"/>
      <c r="BJ2967" s="15"/>
      <c r="BK2967" s="15"/>
      <c r="BL2967" s="13" t="b">
        <v>0</v>
      </c>
      <c r="BM2967" s="10"/>
      <c r="BN2967" s="10" t="s">
        <v>197</v>
      </c>
      <c r="BO2967" s="11">
        <v>46003.584027777775</v>
      </c>
      <c r="BP2967" s="11">
        <v>46003.584652777776</v>
      </c>
      <c r="BQ2967" s="15"/>
      <c r="BR2967" s="15">
        <v>46003.605046296296</v>
      </c>
      <c r="BS2967" s="10" t="s">
        <v>197</v>
      </c>
      <c r="BT2967" s="10"/>
      <c r="BU2967" s="10"/>
      <c r="BV2967" s="10"/>
      <c r="BW2967" s="10"/>
      <c r="BX2967" s="10"/>
      <c r="BY2967" s="23"/>
      <c r="BZ2967" s="23"/>
      <c r="CA2967" s="10"/>
      <c r="CB2967" s="23"/>
      <c r="CC2967" s="23"/>
      <c r="CD2967" s="23"/>
      <c r="CE2967" s="23"/>
      <c r="CF2967" s="23"/>
      <c r="CG2967" s="23"/>
      <c r="CH2967" s="23"/>
      <c r="CI2967" s="23"/>
    </row>
    <row r="2968" spans="1:87" x14ac:dyDescent="0.3">
      <c r="A2968" s="9" t="s">
        <v>21901</v>
      </c>
      <c r="B2968" s="10" t="s">
        <v>21902</v>
      </c>
      <c r="C2968" s="11">
        <v>46004.506944444445</v>
      </c>
      <c r="D2968" s="12">
        <v>4.8611111111111112E-2</v>
      </c>
      <c r="E2968" s="11">
        <v>46004.555555555555</v>
      </c>
      <c r="F2968" s="22" t="s">
        <v>19136</v>
      </c>
      <c r="G2968" s="13" t="b">
        <v>0</v>
      </c>
      <c r="H2968" s="22" t="s">
        <v>9017</v>
      </c>
      <c r="I2968" s="10" t="s">
        <v>212</v>
      </c>
      <c r="J2968" s="13" t="b">
        <v>1</v>
      </c>
      <c r="K2968" s="13" t="b">
        <v>0</v>
      </c>
      <c r="L2968" s="10" t="s">
        <v>124</v>
      </c>
      <c r="M2968" s="10" t="s">
        <v>91</v>
      </c>
      <c r="N2968" s="10" t="s">
        <v>92</v>
      </c>
      <c r="O2968" s="19" t="s">
        <v>21903</v>
      </c>
      <c r="P2968" s="10"/>
      <c r="Q2968" s="10" t="s">
        <v>94</v>
      </c>
      <c r="R2968" s="10"/>
      <c r="S2968" s="10"/>
      <c r="T2968" s="10"/>
      <c r="U2968" s="10"/>
      <c r="V2968" s="10"/>
      <c r="W2968" s="10" t="s">
        <v>19139</v>
      </c>
      <c r="X2968" s="10" t="s">
        <v>130</v>
      </c>
      <c r="Y2968" s="10" t="s">
        <v>130</v>
      </c>
      <c r="Z2968" s="10" t="s">
        <v>99</v>
      </c>
      <c r="AA2968" s="10" t="s">
        <v>131</v>
      </c>
      <c r="AB2968" s="10" t="s">
        <v>19140</v>
      </c>
      <c r="AC2968" s="10" t="s">
        <v>9022</v>
      </c>
      <c r="AD2968" s="10" t="s">
        <v>165</v>
      </c>
      <c r="AE2968" s="10" t="s">
        <v>21904</v>
      </c>
      <c r="AF2968" s="15"/>
      <c r="AG2968" s="10"/>
      <c r="AH2968" s="10"/>
      <c r="AI2968" s="10"/>
      <c r="AJ2968" s="10"/>
      <c r="AK2968" s="10" t="s">
        <v>102</v>
      </c>
      <c r="AL2968" s="10" t="s">
        <v>7897</v>
      </c>
      <c r="AM2968" s="10"/>
      <c r="AN2968" s="10"/>
      <c r="AO2968" s="13" t="b">
        <v>0</v>
      </c>
      <c r="AP2968" s="22" t="s">
        <v>104</v>
      </c>
      <c r="AQ2968" s="10">
        <f ca="1">IFERROR(__xludf.DUMMYFUNCTION("""COMPUTED_VALUE"""),4776335)</f>
        <v>4776335</v>
      </c>
      <c r="AR2968" s="17">
        <v>353</v>
      </c>
      <c r="AS2968" s="17">
        <v>230</v>
      </c>
      <c r="AT2968" s="17">
        <v>3933</v>
      </c>
      <c r="AU2968" s="17">
        <v>0</v>
      </c>
      <c r="AV2968" s="17">
        <v>0</v>
      </c>
      <c r="AW2968" s="10" t="s">
        <v>105</v>
      </c>
      <c r="AX2968" s="17">
        <v>89</v>
      </c>
      <c r="AY2968" s="18">
        <v>17.100000000000001</v>
      </c>
      <c r="AZ2968" s="10"/>
      <c r="BA2968" s="20" t="b">
        <v>0</v>
      </c>
      <c r="BB2968" s="10" t="s">
        <v>21889</v>
      </c>
      <c r="BC2968" s="17">
        <v>353</v>
      </c>
      <c r="BD2968" s="17">
        <v>230</v>
      </c>
      <c r="BE2968" s="17">
        <v>3933</v>
      </c>
      <c r="BF2968" s="17">
        <v>0</v>
      </c>
      <c r="BG2968" s="11">
        <f ca="1">IFERROR(__xludf.DUMMYFUNCTION("""COMPUTED_VALUE"""),46004.5069444444)</f>
        <v>46004.506944444402</v>
      </c>
      <c r="BH2968" s="17" t="s">
        <v>105</v>
      </c>
      <c r="BI2968" s="17"/>
      <c r="BJ2968" s="15"/>
      <c r="BK2968" s="15"/>
      <c r="BL2968" s="13" t="b">
        <v>0</v>
      </c>
      <c r="BM2968" s="10"/>
      <c r="BN2968" s="10" t="s">
        <v>197</v>
      </c>
      <c r="BO2968" s="11">
        <v>46003.584722222222</v>
      </c>
      <c r="BP2968" s="11">
        <v>46003.584814814814</v>
      </c>
      <c r="BQ2968" s="15"/>
      <c r="BR2968" s="15">
        <v>46003.605150462965</v>
      </c>
      <c r="BS2968" s="10" t="s">
        <v>197</v>
      </c>
      <c r="BT2968" s="10"/>
      <c r="BU2968" s="10"/>
      <c r="BV2968" s="10"/>
      <c r="BW2968" s="10"/>
      <c r="BX2968" s="10"/>
      <c r="BY2968" s="23"/>
      <c r="BZ2968" s="23"/>
      <c r="CA2968" s="10"/>
      <c r="CB2968" s="23"/>
      <c r="CC2968" s="23"/>
      <c r="CD2968" s="23"/>
      <c r="CE2968" s="23"/>
      <c r="CF2968" s="23"/>
      <c r="CG2968" s="23"/>
      <c r="CH2968" s="23"/>
      <c r="CI2968" s="23"/>
    </row>
    <row r="2969" spans="1:87" x14ac:dyDescent="0.3">
      <c r="A2969" s="9" t="s">
        <v>21905</v>
      </c>
      <c r="B2969" s="10" t="s">
        <v>21906</v>
      </c>
      <c r="C2969" s="11">
        <v>46004.555555555555</v>
      </c>
      <c r="D2969" s="12">
        <v>4.8611111111111112E-2</v>
      </c>
      <c r="E2969" s="11">
        <v>46004.604166666664</v>
      </c>
      <c r="F2969" s="22" t="s">
        <v>19136</v>
      </c>
      <c r="G2969" s="13" t="b">
        <v>0</v>
      </c>
      <c r="H2969" s="22" t="s">
        <v>9017</v>
      </c>
      <c r="I2969" s="10" t="s">
        <v>212</v>
      </c>
      <c r="J2969" s="13" t="b">
        <v>1</v>
      </c>
      <c r="K2969" s="13" t="b">
        <v>0</v>
      </c>
      <c r="L2969" s="10" t="s">
        <v>124</v>
      </c>
      <c r="M2969" s="10" t="s">
        <v>91</v>
      </c>
      <c r="N2969" s="10" t="s">
        <v>92</v>
      </c>
      <c r="O2969" s="19" t="s">
        <v>21907</v>
      </c>
      <c r="P2969" s="10"/>
      <c r="Q2969" s="10" t="s">
        <v>94</v>
      </c>
      <c r="R2969" s="10"/>
      <c r="S2969" s="10"/>
      <c r="T2969" s="10"/>
      <c r="U2969" s="10"/>
      <c r="V2969" s="10"/>
      <c r="W2969" s="10" t="s">
        <v>19139</v>
      </c>
      <c r="X2969" s="10" t="s">
        <v>130</v>
      </c>
      <c r="Y2969" s="10" t="s">
        <v>130</v>
      </c>
      <c r="Z2969" s="10" t="s">
        <v>99</v>
      </c>
      <c r="AA2969" s="10" t="s">
        <v>131</v>
      </c>
      <c r="AB2969" s="10" t="s">
        <v>19140</v>
      </c>
      <c r="AC2969" s="10" t="s">
        <v>9022</v>
      </c>
      <c r="AD2969" s="10" t="s">
        <v>165</v>
      </c>
      <c r="AE2969" s="10" t="s">
        <v>21908</v>
      </c>
      <c r="AF2969" s="15"/>
      <c r="AG2969" s="10"/>
      <c r="AH2969" s="10"/>
      <c r="AI2969" s="10"/>
      <c r="AJ2969" s="10"/>
      <c r="AK2969" s="10" t="s">
        <v>102</v>
      </c>
      <c r="AL2969" s="10" t="s">
        <v>7897</v>
      </c>
      <c r="AM2969" s="10"/>
      <c r="AN2969" s="10"/>
      <c r="AO2969" s="13" t="b">
        <v>0</v>
      </c>
      <c r="AP2969" s="22" t="s">
        <v>104</v>
      </c>
      <c r="AQ2969" s="10">
        <f ca="1">IFERROR(__xludf.DUMMYFUNCTION("""COMPUTED_VALUE"""),4776336)</f>
        <v>4776336</v>
      </c>
      <c r="AR2969" s="17">
        <v>257</v>
      </c>
      <c r="AS2969" s="17">
        <v>185</v>
      </c>
      <c r="AT2969" s="17">
        <v>1888</v>
      </c>
      <c r="AU2969" s="17">
        <v>0.65</v>
      </c>
      <c r="AV2969" s="17">
        <v>0</v>
      </c>
      <c r="AW2969" s="10" t="s">
        <v>105</v>
      </c>
      <c r="AX2969" s="17">
        <v>90</v>
      </c>
      <c r="AY2969" s="18">
        <v>10.205405405405406</v>
      </c>
      <c r="AZ2969" s="10"/>
      <c r="BA2969" s="20" t="b">
        <v>0</v>
      </c>
      <c r="BB2969" s="10" t="s">
        <v>21889</v>
      </c>
      <c r="BC2969" s="17">
        <v>257</v>
      </c>
      <c r="BD2969" s="17">
        <v>185</v>
      </c>
      <c r="BE2969" s="17">
        <v>1888</v>
      </c>
      <c r="BF2969" s="17">
        <v>0</v>
      </c>
      <c r="BG2969" s="11">
        <f ca="1">IFERROR(__xludf.DUMMYFUNCTION("""COMPUTED_VALUE"""),46004.5555555555)</f>
        <v>46004.555555555497</v>
      </c>
      <c r="BH2969" s="17" t="s">
        <v>105</v>
      </c>
      <c r="BI2969" s="17"/>
      <c r="BJ2969" s="15"/>
      <c r="BK2969" s="15"/>
      <c r="BL2969" s="13" t="b">
        <v>0</v>
      </c>
      <c r="BM2969" s="10"/>
      <c r="BN2969" s="10" t="s">
        <v>197</v>
      </c>
      <c r="BO2969" s="11">
        <v>46003.584722222222</v>
      </c>
      <c r="BP2969" s="11">
        <v>46003.585046296299</v>
      </c>
      <c r="BQ2969" s="15"/>
      <c r="BR2969" s="15">
        <v>46003.605243055557</v>
      </c>
      <c r="BS2969" s="10" t="s">
        <v>197</v>
      </c>
      <c r="BT2969" s="10"/>
      <c r="BU2969" s="10"/>
      <c r="BV2969" s="10"/>
      <c r="BW2969" s="10"/>
      <c r="BX2969" s="10"/>
      <c r="BY2969" s="23"/>
      <c r="BZ2969" s="23"/>
      <c r="CA2969" s="10"/>
      <c r="CB2969" s="23"/>
      <c r="CC2969" s="23"/>
      <c r="CD2969" s="23"/>
      <c r="CE2969" s="23"/>
      <c r="CF2969" s="23"/>
      <c r="CG2969" s="23"/>
      <c r="CH2969" s="23"/>
      <c r="CI2969" s="23"/>
    </row>
    <row r="2970" spans="1:87" x14ac:dyDescent="0.3">
      <c r="A2970" s="9" t="s">
        <v>21909</v>
      </c>
      <c r="B2970" s="10" t="s">
        <v>21910</v>
      </c>
      <c r="C2970" s="11">
        <v>46005.291666666664</v>
      </c>
      <c r="D2970" s="12">
        <v>4.8611111111111112E-2</v>
      </c>
      <c r="E2970" s="11">
        <v>46005.340277777781</v>
      </c>
      <c r="F2970" s="22" t="s">
        <v>19136</v>
      </c>
      <c r="G2970" s="13" t="b">
        <v>0</v>
      </c>
      <c r="H2970" s="22" t="s">
        <v>9017</v>
      </c>
      <c r="I2970" s="10" t="s">
        <v>212</v>
      </c>
      <c r="J2970" s="13" t="b">
        <v>1</v>
      </c>
      <c r="K2970" s="13" t="b">
        <v>0</v>
      </c>
      <c r="L2970" s="10"/>
      <c r="M2970" s="10" t="s">
        <v>91</v>
      </c>
      <c r="N2970" s="10" t="s">
        <v>92</v>
      </c>
      <c r="O2970" s="19" t="s">
        <v>21911</v>
      </c>
      <c r="P2970" s="10"/>
      <c r="Q2970" s="10" t="s">
        <v>94</v>
      </c>
      <c r="R2970" s="10"/>
      <c r="S2970" s="10"/>
      <c r="T2970" s="10"/>
      <c r="U2970" s="10"/>
      <c r="V2970" s="10"/>
      <c r="W2970" s="10" t="s">
        <v>19139</v>
      </c>
      <c r="X2970" s="10" t="s">
        <v>130</v>
      </c>
      <c r="Y2970" s="10" t="s">
        <v>130</v>
      </c>
      <c r="Z2970" s="10" t="s">
        <v>99</v>
      </c>
      <c r="AA2970" s="10" t="s">
        <v>131</v>
      </c>
      <c r="AB2970" s="10" t="s">
        <v>19140</v>
      </c>
      <c r="AC2970" s="10" t="s">
        <v>9022</v>
      </c>
      <c r="AD2970" s="10" t="s">
        <v>165</v>
      </c>
      <c r="AE2970" s="10" t="s">
        <v>21912</v>
      </c>
      <c r="AF2970" s="15"/>
      <c r="AG2970" s="10"/>
      <c r="AH2970" s="10"/>
      <c r="AI2970" s="10"/>
      <c r="AJ2970" s="10"/>
      <c r="AK2970" s="10" t="s">
        <v>102</v>
      </c>
      <c r="AL2970" s="10" t="s">
        <v>7897</v>
      </c>
      <c r="AM2970" s="10"/>
      <c r="AN2970" s="10"/>
      <c r="AO2970" s="13" t="b">
        <v>0</v>
      </c>
      <c r="AP2970" s="22" t="s">
        <v>104</v>
      </c>
      <c r="AQ2970" s="10">
        <f ca="1">IFERROR(__xludf.DUMMYFUNCTION("""COMPUTED_VALUE"""),4776337)</f>
        <v>4776337</v>
      </c>
      <c r="AR2970" s="17">
        <v>366</v>
      </c>
      <c r="AS2970" s="17">
        <v>218</v>
      </c>
      <c r="AT2970" s="17">
        <v>6808</v>
      </c>
      <c r="AU2970" s="17">
        <v>0.65</v>
      </c>
      <c r="AV2970" s="17">
        <v>0</v>
      </c>
      <c r="AW2970" s="10" t="s">
        <v>105</v>
      </c>
      <c r="AX2970" s="17">
        <v>103</v>
      </c>
      <c r="AY2970" s="18">
        <v>31.229357798165136</v>
      </c>
      <c r="AZ2970" s="10"/>
      <c r="BA2970" s="20" t="b">
        <v>0</v>
      </c>
      <c r="BB2970" s="10" t="s">
        <v>21893</v>
      </c>
      <c r="BC2970" s="17">
        <v>366</v>
      </c>
      <c r="BD2970" s="17">
        <v>218</v>
      </c>
      <c r="BE2970" s="17">
        <v>6808</v>
      </c>
      <c r="BF2970" s="17">
        <v>0</v>
      </c>
      <c r="BG2970" s="11">
        <f ca="1">IFERROR(__xludf.DUMMYFUNCTION("""COMPUTED_VALUE"""),46005.2916666666)</f>
        <v>46005.291666666599</v>
      </c>
      <c r="BH2970" s="17" t="s">
        <v>105</v>
      </c>
      <c r="BI2970" s="17"/>
      <c r="BJ2970" s="15"/>
      <c r="BK2970" s="15"/>
      <c r="BL2970" s="13" t="b">
        <v>0</v>
      </c>
      <c r="BM2970" s="10"/>
      <c r="BN2970" s="10" t="s">
        <v>197</v>
      </c>
      <c r="BO2970" s="11">
        <v>46003.585416666669</v>
      </c>
      <c r="BP2970" s="11">
        <v>46003.585844907408</v>
      </c>
      <c r="BQ2970" s="15"/>
      <c r="BR2970" s="15">
        <v>46003.607858796298</v>
      </c>
      <c r="BS2970" s="10" t="s">
        <v>197</v>
      </c>
      <c r="BT2970" s="10"/>
      <c r="BU2970" s="10"/>
      <c r="BV2970" s="10"/>
      <c r="BW2970" s="10"/>
      <c r="BX2970" s="10"/>
      <c r="BY2970" s="23"/>
      <c r="BZ2970" s="23"/>
      <c r="CA2970" s="10"/>
      <c r="CB2970" s="23"/>
      <c r="CC2970" s="23"/>
      <c r="CD2970" s="23"/>
      <c r="CE2970" s="23"/>
      <c r="CF2970" s="23"/>
      <c r="CG2970" s="23"/>
      <c r="CH2970" s="23"/>
      <c r="CI2970" s="23"/>
    </row>
    <row r="2971" spans="1:87" x14ac:dyDescent="0.3">
      <c r="A2971" s="9" t="s">
        <v>21913</v>
      </c>
      <c r="B2971" s="10" t="s">
        <v>21914</v>
      </c>
      <c r="C2971" s="11">
        <v>46008.6875</v>
      </c>
      <c r="D2971" s="12">
        <v>0.33333333333333331</v>
      </c>
      <c r="E2971" s="11">
        <v>46009.020833333336</v>
      </c>
      <c r="F2971" s="22" t="s">
        <v>21915</v>
      </c>
      <c r="G2971" s="13" t="b">
        <v>0</v>
      </c>
      <c r="H2971" s="22" t="s">
        <v>88</v>
      </c>
      <c r="I2971" s="10" t="s">
        <v>89</v>
      </c>
      <c r="J2971" s="13" t="b">
        <v>0</v>
      </c>
      <c r="K2971" s="13" t="b">
        <v>1</v>
      </c>
      <c r="L2971" s="10" t="s">
        <v>124</v>
      </c>
      <c r="M2971" s="10" t="s">
        <v>91</v>
      </c>
      <c r="N2971" s="10" t="s">
        <v>265</v>
      </c>
      <c r="O2971" s="19" t="s">
        <v>21916</v>
      </c>
      <c r="P2971" s="10"/>
      <c r="Q2971" s="10" t="s">
        <v>126</v>
      </c>
      <c r="R2971" s="10"/>
      <c r="S2971" s="19" t="s">
        <v>21917</v>
      </c>
      <c r="T2971" s="10"/>
      <c r="U2971" s="10"/>
      <c r="V2971" s="10"/>
      <c r="W2971" s="10" t="s">
        <v>21918</v>
      </c>
      <c r="X2971" s="10" t="s">
        <v>21724</v>
      </c>
      <c r="Y2971" s="10" t="s">
        <v>21724</v>
      </c>
      <c r="Z2971" s="10" t="s">
        <v>99</v>
      </c>
      <c r="AA2971" s="10" t="s">
        <v>131</v>
      </c>
      <c r="AB2971" s="10" t="s">
        <v>21919</v>
      </c>
      <c r="AC2971" s="10" t="s">
        <v>21920</v>
      </c>
      <c r="AD2971" s="10" t="s">
        <v>165</v>
      </c>
      <c r="AE2971" s="10" t="s">
        <v>21921</v>
      </c>
      <c r="AF2971" s="15"/>
      <c r="AG2971" s="10"/>
      <c r="AH2971" s="10"/>
      <c r="AI2971" s="10"/>
      <c r="AJ2971" s="10"/>
      <c r="AK2971" s="10" t="s">
        <v>102</v>
      </c>
      <c r="AL2971" s="10"/>
      <c r="AM2971" s="10"/>
      <c r="AN2971" s="10"/>
      <c r="AO2971" s="13" t="b">
        <v>0</v>
      </c>
      <c r="AP2971" s="22"/>
      <c r="AQ2971" s="10">
        <f ca="1">IFERROR(__xludf.DUMMYFUNCTION("""COMPUTED_VALUE"""),4780820)</f>
        <v>4780820</v>
      </c>
      <c r="AR2971" s="17">
        <v>7899</v>
      </c>
      <c r="AS2971" s="17">
        <v>5985</v>
      </c>
      <c r="AT2971" s="17">
        <v>51179.75</v>
      </c>
      <c r="AU2971" s="17">
        <v>13.45</v>
      </c>
      <c r="AV2971" s="17">
        <v>1.5</v>
      </c>
      <c r="AW2971" s="10" t="s">
        <v>105</v>
      </c>
      <c r="AX2971" s="17">
        <v>358</v>
      </c>
      <c r="AY2971" s="18">
        <v>8.5513366750208863</v>
      </c>
      <c r="AZ2971" s="10" t="s">
        <v>136</v>
      </c>
      <c r="BA2971" s="20" t="b">
        <v>0</v>
      </c>
      <c r="BB2971" s="10"/>
      <c r="BC2971" s="17">
        <v>7899</v>
      </c>
      <c r="BD2971" s="17">
        <v>5985</v>
      </c>
      <c r="BE2971" s="17">
        <v>51179.75</v>
      </c>
      <c r="BF2971" s="17">
        <v>1.5</v>
      </c>
      <c r="BG2971" s="11">
        <f ca="1">IFERROR(__xludf.DUMMYFUNCTION("""COMPUTED_VALUE"""),46008.6875)</f>
        <v>46008.6875</v>
      </c>
      <c r="BH2971" s="17" t="s">
        <v>105</v>
      </c>
      <c r="BI2971" s="17"/>
      <c r="BJ2971" s="15"/>
      <c r="BK2971" s="15"/>
      <c r="BL2971" s="13" t="b">
        <v>0</v>
      </c>
      <c r="BM2971" s="10"/>
      <c r="BN2971" s="10" t="s">
        <v>157</v>
      </c>
      <c r="BO2971" s="11">
        <v>46003.584722222222</v>
      </c>
      <c r="BP2971" s="11">
        <v>46003.624918981484</v>
      </c>
      <c r="BQ2971" s="15">
        <v>46005.941944444443</v>
      </c>
      <c r="BR2971" s="15">
        <v>46006.436898148146</v>
      </c>
      <c r="BS2971" s="10" t="s">
        <v>157</v>
      </c>
      <c r="BT2971" s="10"/>
      <c r="BU2971" s="10"/>
      <c r="BV2971" s="10"/>
      <c r="BW2971" s="10"/>
      <c r="BX2971" s="10"/>
      <c r="BY2971" s="23"/>
      <c r="BZ2971" s="23"/>
      <c r="CA2971" s="19" t="s">
        <v>21922</v>
      </c>
      <c r="CB2971" s="23"/>
      <c r="CC2971" s="23"/>
      <c r="CD2971" s="19" t="s">
        <v>21923</v>
      </c>
      <c r="CE2971" s="23"/>
      <c r="CF2971" s="23"/>
      <c r="CG2971" s="23"/>
      <c r="CH2971" s="23"/>
      <c r="CI2971" s="23"/>
    </row>
    <row r="2972" spans="1:87" x14ac:dyDescent="0.3">
      <c r="A2972" s="9" t="s">
        <v>21924</v>
      </c>
      <c r="B2972" s="10" t="s">
        <v>21925</v>
      </c>
      <c r="C2972" s="11">
        <v>46005.340277777781</v>
      </c>
      <c r="D2972" s="12">
        <v>5.2083333333333336E-2</v>
      </c>
      <c r="E2972" s="11">
        <v>46005.392361111109</v>
      </c>
      <c r="F2972" s="22" t="s">
        <v>19136</v>
      </c>
      <c r="G2972" s="13" t="b">
        <v>0</v>
      </c>
      <c r="H2972" s="22" t="s">
        <v>9017</v>
      </c>
      <c r="I2972" s="10" t="s">
        <v>212</v>
      </c>
      <c r="J2972" s="13" t="b">
        <v>1</v>
      </c>
      <c r="K2972" s="13" t="b">
        <v>0</v>
      </c>
      <c r="L2972" s="10" t="s">
        <v>124</v>
      </c>
      <c r="M2972" s="10" t="s">
        <v>91</v>
      </c>
      <c r="N2972" s="10" t="s">
        <v>92</v>
      </c>
      <c r="O2972" s="19" t="s">
        <v>21926</v>
      </c>
      <c r="P2972" s="10"/>
      <c r="Q2972" s="10" t="s">
        <v>94</v>
      </c>
      <c r="R2972" s="10"/>
      <c r="S2972" s="10"/>
      <c r="T2972" s="10"/>
      <c r="U2972" s="10"/>
      <c r="V2972" s="10"/>
      <c r="W2972" s="10" t="s">
        <v>19139</v>
      </c>
      <c r="X2972" s="10" t="s">
        <v>130</v>
      </c>
      <c r="Y2972" s="10" t="s">
        <v>130</v>
      </c>
      <c r="Z2972" s="10" t="s">
        <v>99</v>
      </c>
      <c r="AA2972" s="10" t="s">
        <v>131</v>
      </c>
      <c r="AB2972" s="10" t="s">
        <v>19140</v>
      </c>
      <c r="AC2972" s="10" t="s">
        <v>9022</v>
      </c>
      <c r="AD2972" s="10" t="s">
        <v>165</v>
      </c>
      <c r="AE2972" s="10" t="s">
        <v>21927</v>
      </c>
      <c r="AF2972" s="15"/>
      <c r="AG2972" s="10"/>
      <c r="AH2972" s="10"/>
      <c r="AI2972" s="10"/>
      <c r="AJ2972" s="10"/>
      <c r="AK2972" s="10" t="s">
        <v>102</v>
      </c>
      <c r="AL2972" s="10" t="s">
        <v>7897</v>
      </c>
      <c r="AM2972" s="10"/>
      <c r="AN2972" s="10"/>
      <c r="AO2972" s="13" t="b">
        <v>0</v>
      </c>
      <c r="AP2972" s="22" t="s">
        <v>104</v>
      </c>
      <c r="AQ2972" s="10">
        <f ca="1">IFERROR(__xludf.DUMMYFUNCTION("""COMPUTED_VALUE"""),4776340)</f>
        <v>4776340</v>
      </c>
      <c r="AR2972" s="17">
        <v>409</v>
      </c>
      <c r="AS2972" s="17">
        <v>270</v>
      </c>
      <c r="AT2972" s="17">
        <v>3286.75</v>
      </c>
      <c r="AU2972" s="17">
        <v>0</v>
      </c>
      <c r="AV2972" s="17">
        <v>0</v>
      </c>
      <c r="AW2972" s="10" t="s">
        <v>105</v>
      </c>
      <c r="AX2972" s="17">
        <v>101</v>
      </c>
      <c r="AY2972" s="18">
        <v>12.173148148148147</v>
      </c>
      <c r="AZ2972" s="10"/>
      <c r="BA2972" s="20" t="b">
        <v>0</v>
      </c>
      <c r="BB2972" s="10" t="s">
        <v>21893</v>
      </c>
      <c r="BC2972" s="17">
        <v>409</v>
      </c>
      <c r="BD2972" s="17">
        <v>270</v>
      </c>
      <c r="BE2972" s="17">
        <v>3286.75</v>
      </c>
      <c r="BF2972" s="17">
        <v>0</v>
      </c>
      <c r="BG2972" s="11">
        <f ca="1">IFERROR(__xludf.DUMMYFUNCTION("""COMPUTED_VALUE"""),46005.3402777777)</f>
        <v>46005.340277777701</v>
      </c>
      <c r="BH2972" s="17" t="s">
        <v>105</v>
      </c>
      <c r="BI2972" s="17"/>
      <c r="BJ2972" s="15"/>
      <c r="BK2972" s="15"/>
      <c r="BL2972" s="13" t="b">
        <v>0</v>
      </c>
      <c r="BM2972" s="10"/>
      <c r="BN2972" s="10" t="s">
        <v>197</v>
      </c>
      <c r="BO2972" s="11">
        <v>46003.585416666669</v>
      </c>
      <c r="BP2972" s="11">
        <v>46003.585995370369</v>
      </c>
      <c r="BQ2972" s="15"/>
      <c r="BR2972" s="15">
        <v>46003.607951388891</v>
      </c>
      <c r="BS2972" s="10" t="s">
        <v>197</v>
      </c>
      <c r="BT2972" s="10"/>
      <c r="BU2972" s="10"/>
      <c r="BV2972" s="10"/>
      <c r="BW2972" s="10"/>
      <c r="BX2972" s="10"/>
      <c r="BY2972" s="23"/>
      <c r="BZ2972" s="23"/>
      <c r="CA2972" s="10"/>
      <c r="CB2972" s="23"/>
      <c r="CC2972" s="23"/>
      <c r="CD2972" s="23"/>
      <c r="CE2972" s="23"/>
      <c r="CF2972" s="23"/>
      <c r="CG2972" s="23"/>
      <c r="CH2972" s="23"/>
      <c r="CI2972" s="23"/>
    </row>
    <row r="2973" spans="1:87" x14ac:dyDescent="0.3">
      <c r="A2973" s="9" t="s">
        <v>21928</v>
      </c>
      <c r="B2973" s="10" t="s">
        <v>21929</v>
      </c>
      <c r="C2973" s="11">
        <v>46005.392361111109</v>
      </c>
      <c r="D2973" s="12">
        <v>4.8611111111111112E-2</v>
      </c>
      <c r="E2973" s="11">
        <v>46005.440972222219</v>
      </c>
      <c r="F2973" s="22" t="s">
        <v>19136</v>
      </c>
      <c r="G2973" s="13" t="b">
        <v>0</v>
      </c>
      <c r="H2973" s="22" t="s">
        <v>9017</v>
      </c>
      <c r="I2973" s="10" t="s">
        <v>212</v>
      </c>
      <c r="J2973" s="13" t="b">
        <v>1</v>
      </c>
      <c r="K2973" s="13" t="b">
        <v>0</v>
      </c>
      <c r="L2973" s="10" t="s">
        <v>124</v>
      </c>
      <c r="M2973" s="10" t="s">
        <v>91</v>
      </c>
      <c r="N2973" s="10" t="s">
        <v>92</v>
      </c>
      <c r="O2973" s="19" t="s">
        <v>21930</v>
      </c>
      <c r="P2973" s="10"/>
      <c r="Q2973" s="10" t="s">
        <v>94</v>
      </c>
      <c r="R2973" s="10"/>
      <c r="S2973" s="10"/>
      <c r="T2973" s="10"/>
      <c r="U2973" s="10"/>
      <c r="V2973" s="10"/>
      <c r="W2973" s="10" t="s">
        <v>19139</v>
      </c>
      <c r="X2973" s="10" t="s">
        <v>130</v>
      </c>
      <c r="Y2973" s="10" t="s">
        <v>130</v>
      </c>
      <c r="Z2973" s="10" t="s">
        <v>99</v>
      </c>
      <c r="AA2973" s="10" t="s">
        <v>131</v>
      </c>
      <c r="AB2973" s="10" t="s">
        <v>19140</v>
      </c>
      <c r="AC2973" s="10" t="s">
        <v>9022</v>
      </c>
      <c r="AD2973" s="10" t="s">
        <v>165</v>
      </c>
      <c r="AE2973" s="10" t="s">
        <v>21931</v>
      </c>
      <c r="AF2973" s="15"/>
      <c r="AG2973" s="10"/>
      <c r="AH2973" s="10"/>
      <c r="AI2973" s="10"/>
      <c r="AJ2973" s="10"/>
      <c r="AK2973" s="10" t="s">
        <v>102</v>
      </c>
      <c r="AL2973" s="10" t="s">
        <v>7897</v>
      </c>
      <c r="AM2973" s="10"/>
      <c r="AN2973" s="10"/>
      <c r="AO2973" s="13" t="b">
        <v>0</v>
      </c>
      <c r="AP2973" s="22" t="s">
        <v>104</v>
      </c>
      <c r="AQ2973" s="10">
        <f ca="1">IFERROR(__xludf.DUMMYFUNCTION("""COMPUTED_VALUE"""),4776338)</f>
        <v>4776338</v>
      </c>
      <c r="AR2973" s="17">
        <v>400</v>
      </c>
      <c r="AS2973" s="17">
        <v>250</v>
      </c>
      <c r="AT2973" s="17">
        <v>2647.25</v>
      </c>
      <c r="AU2973" s="17">
        <v>0</v>
      </c>
      <c r="AV2973" s="17">
        <v>0</v>
      </c>
      <c r="AW2973" s="10" t="s">
        <v>105</v>
      </c>
      <c r="AX2973" s="17">
        <v>88</v>
      </c>
      <c r="AY2973" s="18">
        <v>10.589</v>
      </c>
      <c r="AZ2973" s="10"/>
      <c r="BA2973" s="20" t="b">
        <v>0</v>
      </c>
      <c r="BB2973" s="10" t="s">
        <v>21893</v>
      </c>
      <c r="BC2973" s="17">
        <v>400</v>
      </c>
      <c r="BD2973" s="17">
        <v>250</v>
      </c>
      <c r="BE2973" s="17">
        <v>2647.25</v>
      </c>
      <c r="BF2973" s="17">
        <v>0</v>
      </c>
      <c r="BG2973" s="11">
        <f ca="1">IFERROR(__xludf.DUMMYFUNCTION("""COMPUTED_VALUE"""),46005.3923611111)</f>
        <v>46005.392361111102</v>
      </c>
      <c r="BH2973" s="17" t="s">
        <v>105</v>
      </c>
      <c r="BI2973" s="17"/>
      <c r="BJ2973" s="15"/>
      <c r="BK2973" s="15"/>
      <c r="BL2973" s="13" t="b">
        <v>0</v>
      </c>
      <c r="BM2973" s="10"/>
      <c r="BN2973" s="10" t="s">
        <v>197</v>
      </c>
      <c r="BO2973" s="11">
        <v>46003.585416666669</v>
      </c>
      <c r="BP2973" s="11">
        <v>46003.586122685185</v>
      </c>
      <c r="BQ2973" s="15"/>
      <c r="BR2973" s="15">
        <v>46003.608055555553</v>
      </c>
      <c r="BS2973" s="10" t="s">
        <v>197</v>
      </c>
      <c r="BT2973" s="10"/>
      <c r="BU2973" s="10"/>
      <c r="BV2973" s="10"/>
      <c r="BW2973" s="10"/>
      <c r="BX2973" s="10"/>
      <c r="BY2973" s="23"/>
      <c r="BZ2973" s="23"/>
      <c r="CA2973" s="10"/>
      <c r="CB2973" s="23"/>
      <c r="CC2973" s="23"/>
      <c r="CD2973" s="23"/>
      <c r="CE2973" s="23"/>
      <c r="CF2973" s="23"/>
      <c r="CG2973" s="23"/>
      <c r="CH2973" s="23"/>
      <c r="CI2973" s="23"/>
    </row>
    <row r="2974" spans="1:87" x14ac:dyDescent="0.3">
      <c r="A2974" s="9" t="s">
        <v>21932</v>
      </c>
      <c r="B2974" s="10" t="s">
        <v>21933</v>
      </c>
      <c r="C2974" s="11">
        <v>46005.440972222219</v>
      </c>
      <c r="D2974" s="12">
        <v>4.8611111111111112E-2</v>
      </c>
      <c r="E2974" s="11">
        <v>46005.489583333336</v>
      </c>
      <c r="F2974" s="22" t="s">
        <v>19136</v>
      </c>
      <c r="G2974" s="13" t="b">
        <v>0</v>
      </c>
      <c r="H2974" s="22" t="s">
        <v>9017</v>
      </c>
      <c r="I2974" s="10" t="s">
        <v>212</v>
      </c>
      <c r="J2974" s="13" t="b">
        <v>1</v>
      </c>
      <c r="K2974" s="13" t="b">
        <v>0</v>
      </c>
      <c r="L2974" s="10" t="s">
        <v>124</v>
      </c>
      <c r="M2974" s="10" t="s">
        <v>91</v>
      </c>
      <c r="N2974" s="10" t="s">
        <v>92</v>
      </c>
      <c r="O2974" s="19" t="s">
        <v>21934</v>
      </c>
      <c r="P2974" s="10"/>
      <c r="Q2974" s="10" t="s">
        <v>94</v>
      </c>
      <c r="R2974" s="10"/>
      <c r="S2974" s="10"/>
      <c r="T2974" s="10"/>
      <c r="U2974" s="10"/>
      <c r="V2974" s="10"/>
      <c r="W2974" s="10" t="s">
        <v>19139</v>
      </c>
      <c r="X2974" s="10" t="s">
        <v>130</v>
      </c>
      <c r="Y2974" s="10" t="s">
        <v>130</v>
      </c>
      <c r="Z2974" s="10" t="s">
        <v>99</v>
      </c>
      <c r="AA2974" s="10" t="s">
        <v>131</v>
      </c>
      <c r="AB2974" s="10" t="s">
        <v>19140</v>
      </c>
      <c r="AC2974" s="10" t="s">
        <v>9022</v>
      </c>
      <c r="AD2974" s="10" t="s">
        <v>165</v>
      </c>
      <c r="AE2974" s="10" t="s">
        <v>21935</v>
      </c>
      <c r="AF2974" s="15"/>
      <c r="AG2974" s="10"/>
      <c r="AH2974" s="10"/>
      <c r="AI2974" s="10"/>
      <c r="AJ2974" s="10"/>
      <c r="AK2974" s="10" t="s">
        <v>102</v>
      </c>
      <c r="AL2974" s="10" t="s">
        <v>7897</v>
      </c>
      <c r="AM2974" s="10"/>
      <c r="AN2974" s="10"/>
      <c r="AO2974" s="13" t="b">
        <v>0</v>
      </c>
      <c r="AP2974" s="22" t="s">
        <v>104</v>
      </c>
      <c r="AQ2974" s="10">
        <f ca="1">IFERROR(__xludf.DUMMYFUNCTION("""COMPUTED_VALUE"""),4776339)</f>
        <v>4776339</v>
      </c>
      <c r="AR2974" s="17">
        <v>698</v>
      </c>
      <c r="AS2974" s="17">
        <v>368</v>
      </c>
      <c r="AT2974" s="17">
        <v>7902.25</v>
      </c>
      <c r="AU2974" s="17">
        <v>0</v>
      </c>
      <c r="AV2974" s="17">
        <v>0</v>
      </c>
      <c r="AW2974" s="10" t="s">
        <v>105</v>
      </c>
      <c r="AX2974" s="17">
        <v>155</v>
      </c>
      <c r="AY2974" s="18">
        <v>21.473505434782609</v>
      </c>
      <c r="AZ2974" s="10"/>
      <c r="BA2974" s="20" t="b">
        <v>0</v>
      </c>
      <c r="BB2974" s="10" t="s">
        <v>21893</v>
      </c>
      <c r="BC2974" s="17">
        <v>698</v>
      </c>
      <c r="BD2974" s="17">
        <v>368</v>
      </c>
      <c r="BE2974" s="17">
        <v>7902.25</v>
      </c>
      <c r="BF2974" s="17">
        <v>0</v>
      </c>
      <c r="BG2974" s="11">
        <f ca="1">IFERROR(__xludf.DUMMYFUNCTION("""COMPUTED_VALUE"""),46005.4409722222)</f>
        <v>46005.440972222197</v>
      </c>
      <c r="BH2974" s="17" t="s">
        <v>105</v>
      </c>
      <c r="BI2974" s="17"/>
      <c r="BJ2974" s="15"/>
      <c r="BK2974" s="15"/>
      <c r="BL2974" s="13" t="b">
        <v>0</v>
      </c>
      <c r="BM2974" s="10"/>
      <c r="BN2974" s="10" t="s">
        <v>197</v>
      </c>
      <c r="BO2974" s="11">
        <v>46003.586111111108</v>
      </c>
      <c r="BP2974" s="11">
        <v>46003.586273148147</v>
      </c>
      <c r="BQ2974" s="15"/>
      <c r="BR2974" s="15">
        <v>46003.608171296299</v>
      </c>
      <c r="BS2974" s="10" t="s">
        <v>197</v>
      </c>
      <c r="BT2974" s="10"/>
      <c r="BU2974" s="10"/>
      <c r="BV2974" s="10"/>
      <c r="BW2974" s="10"/>
      <c r="BX2974" s="10"/>
      <c r="BY2974" s="23"/>
      <c r="BZ2974" s="23"/>
      <c r="CA2974" s="10"/>
      <c r="CB2974" s="23"/>
      <c r="CC2974" s="23"/>
      <c r="CD2974" s="23"/>
      <c r="CE2974" s="23"/>
      <c r="CF2974" s="23"/>
      <c r="CG2974" s="23"/>
      <c r="CH2974" s="23"/>
      <c r="CI2974" s="23"/>
    </row>
    <row r="2975" spans="1:87" x14ac:dyDescent="0.3">
      <c r="A2975" s="9" t="s">
        <v>21936</v>
      </c>
      <c r="B2975" s="10" t="s">
        <v>21937</v>
      </c>
      <c r="C2975" s="11">
        <v>46005.489583333336</v>
      </c>
      <c r="D2975" s="12">
        <v>6.25E-2</v>
      </c>
      <c r="E2975" s="11">
        <v>46005.552083333336</v>
      </c>
      <c r="F2975" s="22" t="s">
        <v>19136</v>
      </c>
      <c r="G2975" s="13" t="b">
        <v>0</v>
      </c>
      <c r="H2975" s="22" t="s">
        <v>9017</v>
      </c>
      <c r="I2975" s="10" t="s">
        <v>212</v>
      </c>
      <c r="J2975" s="13" t="b">
        <v>1</v>
      </c>
      <c r="K2975" s="13" t="b">
        <v>0</v>
      </c>
      <c r="L2975" s="10" t="s">
        <v>124</v>
      </c>
      <c r="M2975" s="10" t="s">
        <v>91</v>
      </c>
      <c r="N2975" s="10" t="s">
        <v>92</v>
      </c>
      <c r="O2975" s="19" t="s">
        <v>21938</v>
      </c>
      <c r="P2975" s="10"/>
      <c r="Q2975" s="10" t="s">
        <v>94</v>
      </c>
      <c r="R2975" s="10"/>
      <c r="S2975" s="10"/>
      <c r="T2975" s="10"/>
      <c r="U2975" s="10"/>
      <c r="V2975" s="10"/>
      <c r="W2975" s="10" t="s">
        <v>19139</v>
      </c>
      <c r="X2975" s="10" t="s">
        <v>130</v>
      </c>
      <c r="Y2975" s="10" t="s">
        <v>130</v>
      </c>
      <c r="Z2975" s="10" t="s">
        <v>99</v>
      </c>
      <c r="AA2975" s="10" t="s">
        <v>131</v>
      </c>
      <c r="AB2975" s="10" t="s">
        <v>19140</v>
      </c>
      <c r="AC2975" s="10" t="s">
        <v>9022</v>
      </c>
      <c r="AD2975" s="10" t="s">
        <v>165</v>
      </c>
      <c r="AE2975" s="10" t="s">
        <v>21939</v>
      </c>
      <c r="AF2975" s="15"/>
      <c r="AG2975" s="10"/>
      <c r="AH2975" s="10"/>
      <c r="AI2975" s="10"/>
      <c r="AJ2975" s="10"/>
      <c r="AK2975" s="10" t="s">
        <v>102</v>
      </c>
      <c r="AL2975" s="10" t="s">
        <v>7897</v>
      </c>
      <c r="AM2975" s="10"/>
      <c r="AN2975" s="10"/>
      <c r="AO2975" s="13" t="b">
        <v>0</v>
      </c>
      <c r="AP2975" s="22" t="s">
        <v>104</v>
      </c>
      <c r="AQ2975" s="10">
        <f ca="1">IFERROR(__xludf.DUMMYFUNCTION("""COMPUTED_VALUE"""),4776341)</f>
        <v>4776341</v>
      </c>
      <c r="AR2975" s="17">
        <v>625</v>
      </c>
      <c r="AS2975" s="17">
        <v>357</v>
      </c>
      <c r="AT2975" s="17">
        <v>5676.25</v>
      </c>
      <c r="AU2975" s="17">
        <v>0.6</v>
      </c>
      <c r="AV2975" s="17">
        <v>0</v>
      </c>
      <c r="AW2975" s="10" t="s">
        <v>105</v>
      </c>
      <c r="AX2975" s="17">
        <v>170</v>
      </c>
      <c r="AY2975" s="18">
        <v>15.899859943977591</v>
      </c>
      <c r="AZ2975" s="10"/>
      <c r="BA2975" s="20" t="b">
        <v>0</v>
      </c>
      <c r="BB2975" s="10" t="s">
        <v>21893</v>
      </c>
      <c r="BC2975" s="17">
        <v>625</v>
      </c>
      <c r="BD2975" s="17">
        <v>357</v>
      </c>
      <c r="BE2975" s="17">
        <v>5676.25</v>
      </c>
      <c r="BF2975" s="17">
        <v>0</v>
      </c>
      <c r="BG2975" s="11">
        <f ca="1">IFERROR(__xludf.DUMMYFUNCTION("""COMPUTED_VALUE"""),46005.4895833333)</f>
        <v>46005.489583333299</v>
      </c>
      <c r="BH2975" s="17" t="s">
        <v>105</v>
      </c>
      <c r="BI2975" s="17"/>
      <c r="BJ2975" s="15"/>
      <c r="BK2975" s="15"/>
      <c r="BL2975" s="13" t="b">
        <v>0</v>
      </c>
      <c r="BM2975" s="10"/>
      <c r="BN2975" s="10" t="s">
        <v>197</v>
      </c>
      <c r="BO2975" s="11">
        <v>46003.586805555555</v>
      </c>
      <c r="BP2975" s="11">
        <v>46003.586898148147</v>
      </c>
      <c r="BQ2975" s="15"/>
      <c r="BR2975" s="15">
        <v>46003.608275462961</v>
      </c>
      <c r="BS2975" s="10" t="s">
        <v>197</v>
      </c>
      <c r="BT2975" s="10"/>
      <c r="BU2975" s="10"/>
      <c r="BV2975" s="10"/>
      <c r="BW2975" s="10"/>
      <c r="BX2975" s="10"/>
      <c r="BY2975" s="23"/>
      <c r="BZ2975" s="23"/>
      <c r="CA2975" s="10"/>
      <c r="CB2975" s="23"/>
      <c r="CC2975" s="23"/>
      <c r="CD2975" s="23"/>
      <c r="CE2975" s="23"/>
      <c r="CF2975" s="23"/>
      <c r="CG2975" s="23"/>
      <c r="CH2975" s="23"/>
      <c r="CI2975" s="23"/>
    </row>
    <row r="2976" spans="1:87" x14ac:dyDescent="0.3">
      <c r="A2976" s="9" t="s">
        <v>21940</v>
      </c>
      <c r="B2976" s="10" t="s">
        <v>21941</v>
      </c>
      <c r="C2976" s="11">
        <v>46009.6875</v>
      </c>
      <c r="D2976" s="12">
        <v>0.33333333333333331</v>
      </c>
      <c r="E2976" s="11">
        <v>46010.020833333336</v>
      </c>
      <c r="F2976" s="22" t="s">
        <v>21915</v>
      </c>
      <c r="G2976" s="13" t="b">
        <v>0</v>
      </c>
      <c r="H2976" s="22" t="s">
        <v>88</v>
      </c>
      <c r="I2976" s="10" t="s">
        <v>89</v>
      </c>
      <c r="J2976" s="13" t="b">
        <v>0</v>
      </c>
      <c r="K2976" s="13" t="b">
        <v>1</v>
      </c>
      <c r="L2976" s="10" t="s">
        <v>124</v>
      </c>
      <c r="M2976" s="10" t="s">
        <v>91</v>
      </c>
      <c r="N2976" s="10" t="s">
        <v>265</v>
      </c>
      <c r="O2976" s="19" t="s">
        <v>21942</v>
      </c>
      <c r="P2976" s="10"/>
      <c r="Q2976" s="10" t="s">
        <v>126</v>
      </c>
      <c r="R2976" s="10"/>
      <c r="S2976" s="19" t="s">
        <v>21943</v>
      </c>
      <c r="T2976" s="10"/>
      <c r="U2976" s="10"/>
      <c r="V2976" s="10"/>
      <c r="W2976" s="10" t="s">
        <v>21918</v>
      </c>
      <c r="X2976" s="10" t="s">
        <v>21724</v>
      </c>
      <c r="Y2976" s="10" t="s">
        <v>21724</v>
      </c>
      <c r="Z2976" s="10" t="s">
        <v>99</v>
      </c>
      <c r="AA2976" s="10" t="s">
        <v>131</v>
      </c>
      <c r="AB2976" s="10" t="s">
        <v>21919</v>
      </c>
      <c r="AC2976" s="10" t="s">
        <v>21920</v>
      </c>
      <c r="AD2976" s="10" t="s">
        <v>165</v>
      </c>
      <c r="AE2976" s="10" t="s">
        <v>21944</v>
      </c>
      <c r="AF2976" s="15"/>
      <c r="AG2976" s="10"/>
      <c r="AH2976" s="10"/>
      <c r="AI2976" s="10"/>
      <c r="AJ2976" s="10"/>
      <c r="AK2976" s="10" t="s">
        <v>102</v>
      </c>
      <c r="AL2976" s="10"/>
      <c r="AM2976" s="10"/>
      <c r="AN2976" s="10"/>
      <c r="AO2976" s="13" t="b">
        <v>0</v>
      </c>
      <c r="AP2976" s="22"/>
      <c r="AQ2976" s="10">
        <f ca="1">IFERROR(__xludf.DUMMYFUNCTION("""COMPUTED_VALUE"""),4780821)</f>
        <v>4780821</v>
      </c>
      <c r="AR2976" s="17">
        <v>8252</v>
      </c>
      <c r="AS2976" s="17">
        <v>6360</v>
      </c>
      <c r="AT2976" s="17">
        <v>63061</v>
      </c>
      <c r="AU2976" s="17">
        <v>13.65</v>
      </c>
      <c r="AV2976" s="17">
        <v>3.4</v>
      </c>
      <c r="AW2976" s="10" t="s">
        <v>105</v>
      </c>
      <c r="AX2976" s="17">
        <v>499</v>
      </c>
      <c r="AY2976" s="18">
        <v>9.915251572327044</v>
      </c>
      <c r="AZ2976" s="10" t="s">
        <v>136</v>
      </c>
      <c r="BA2976" s="20" t="b">
        <v>0</v>
      </c>
      <c r="BB2976" s="10"/>
      <c r="BC2976" s="17">
        <v>8252</v>
      </c>
      <c r="BD2976" s="17">
        <v>6360</v>
      </c>
      <c r="BE2976" s="17">
        <v>63061</v>
      </c>
      <c r="BF2976" s="17">
        <v>3.4</v>
      </c>
      <c r="BG2976" s="11">
        <f ca="1">IFERROR(__xludf.DUMMYFUNCTION("""COMPUTED_VALUE"""),46009.6875)</f>
        <v>46009.6875</v>
      </c>
      <c r="BH2976" s="17" t="s">
        <v>105</v>
      </c>
      <c r="BI2976" s="17"/>
      <c r="BJ2976" s="15"/>
      <c r="BK2976" s="15"/>
      <c r="BL2976" s="13" t="b">
        <v>0</v>
      </c>
      <c r="BM2976" s="10"/>
      <c r="BN2976" s="10" t="s">
        <v>157</v>
      </c>
      <c r="BO2976" s="11">
        <v>46003.586805555555</v>
      </c>
      <c r="BP2976" s="11">
        <v>46003.6252662037</v>
      </c>
      <c r="BQ2976" s="15">
        <v>46005.942141203705</v>
      </c>
      <c r="BR2976" s="15">
        <v>46006.439039351855</v>
      </c>
      <c r="BS2976" s="10" t="s">
        <v>157</v>
      </c>
      <c r="BT2976" s="10"/>
      <c r="BU2976" s="10"/>
      <c r="BV2976" s="10"/>
      <c r="BW2976" s="10"/>
      <c r="BX2976" s="10"/>
      <c r="BY2976" s="23"/>
      <c r="BZ2976" s="23"/>
      <c r="CA2976" s="19" t="s">
        <v>21945</v>
      </c>
      <c r="CB2976" s="23"/>
      <c r="CC2976" s="23"/>
      <c r="CD2976" s="19" t="s">
        <v>21946</v>
      </c>
      <c r="CE2976" s="23"/>
      <c r="CF2976" s="23"/>
      <c r="CG2976" s="23"/>
      <c r="CH2976" s="23"/>
      <c r="CI2976" s="23"/>
    </row>
    <row r="2977" spans="1:87" x14ac:dyDescent="0.3">
      <c r="A2977" s="9" t="s">
        <v>21947</v>
      </c>
      <c r="B2977" s="10" t="s">
        <v>21948</v>
      </c>
      <c r="C2977" s="11">
        <v>46010.6875</v>
      </c>
      <c r="D2977" s="12">
        <v>0.33333333333333331</v>
      </c>
      <c r="E2977" s="11">
        <v>46011.020833333336</v>
      </c>
      <c r="F2977" s="22" t="s">
        <v>21915</v>
      </c>
      <c r="G2977" s="13" t="b">
        <v>0</v>
      </c>
      <c r="H2977" s="22" t="s">
        <v>88</v>
      </c>
      <c r="I2977" s="10" t="s">
        <v>89</v>
      </c>
      <c r="J2977" s="13" t="b">
        <v>0</v>
      </c>
      <c r="K2977" s="13" t="b">
        <v>1</v>
      </c>
      <c r="L2977" s="10" t="s">
        <v>124</v>
      </c>
      <c r="M2977" s="10" t="s">
        <v>91</v>
      </c>
      <c r="N2977" s="10" t="s">
        <v>265</v>
      </c>
      <c r="O2977" s="19" t="s">
        <v>21949</v>
      </c>
      <c r="P2977" s="10"/>
      <c r="Q2977" s="10" t="s">
        <v>126</v>
      </c>
      <c r="R2977" s="10"/>
      <c r="S2977" s="19" t="s">
        <v>21950</v>
      </c>
      <c r="T2977" s="10"/>
      <c r="U2977" s="10"/>
      <c r="V2977" s="10"/>
      <c r="W2977" s="10" t="s">
        <v>21918</v>
      </c>
      <c r="X2977" s="10" t="s">
        <v>21724</v>
      </c>
      <c r="Y2977" s="10" t="s">
        <v>21724</v>
      </c>
      <c r="Z2977" s="10" t="s">
        <v>99</v>
      </c>
      <c r="AA2977" s="10" t="s">
        <v>131</v>
      </c>
      <c r="AB2977" s="10" t="s">
        <v>21919</v>
      </c>
      <c r="AC2977" s="10" t="s">
        <v>21920</v>
      </c>
      <c r="AD2977" s="10" t="s">
        <v>165</v>
      </c>
      <c r="AE2977" s="10" t="s">
        <v>21951</v>
      </c>
      <c r="AF2977" s="15"/>
      <c r="AG2977" s="10"/>
      <c r="AH2977" s="10"/>
      <c r="AI2977" s="10"/>
      <c r="AJ2977" s="10"/>
      <c r="AK2977" s="10" t="s">
        <v>102</v>
      </c>
      <c r="AL2977" s="10"/>
      <c r="AM2977" s="10"/>
      <c r="AN2977" s="10"/>
      <c r="AO2977" s="13" t="b">
        <v>0</v>
      </c>
      <c r="AP2977" s="22"/>
      <c r="AQ2977" s="10">
        <f ca="1">IFERROR(__xludf.DUMMYFUNCTION("""COMPUTED_VALUE"""),4780822)</f>
        <v>4780822</v>
      </c>
      <c r="AR2977" s="17">
        <v>8033</v>
      </c>
      <c r="AS2977" s="17">
        <v>6444</v>
      </c>
      <c r="AT2977" s="17">
        <v>57064</v>
      </c>
      <c r="AU2977" s="17">
        <v>22.2</v>
      </c>
      <c r="AV2977" s="17">
        <v>6.25</v>
      </c>
      <c r="AW2977" s="10" t="s">
        <v>105</v>
      </c>
      <c r="AX2977" s="17">
        <v>356</v>
      </c>
      <c r="AY2977" s="18">
        <v>8.8553693358162633</v>
      </c>
      <c r="AZ2977" s="10" t="s">
        <v>136</v>
      </c>
      <c r="BA2977" s="20" t="b">
        <v>0</v>
      </c>
      <c r="BB2977" s="10"/>
      <c r="BC2977" s="17">
        <v>8033</v>
      </c>
      <c r="BD2977" s="17">
        <v>6444</v>
      </c>
      <c r="BE2977" s="17">
        <v>57064</v>
      </c>
      <c r="BF2977" s="17">
        <v>6.25</v>
      </c>
      <c r="BG2977" s="11">
        <f ca="1">IFERROR(__xludf.DUMMYFUNCTION("""COMPUTED_VALUE"""),46010.6875)</f>
        <v>46010.6875</v>
      </c>
      <c r="BH2977" s="17" t="s">
        <v>105</v>
      </c>
      <c r="BI2977" s="17"/>
      <c r="BJ2977" s="15"/>
      <c r="BK2977" s="15"/>
      <c r="BL2977" s="13" t="b">
        <v>0</v>
      </c>
      <c r="BM2977" s="10"/>
      <c r="BN2977" s="10" t="s">
        <v>157</v>
      </c>
      <c r="BO2977" s="11">
        <v>46003.588194444441</v>
      </c>
      <c r="BP2977" s="11">
        <v>46003.625648148147</v>
      </c>
      <c r="BQ2977" s="15">
        <v>46005.942280092589</v>
      </c>
      <c r="BR2977" s="15">
        <v>46006.440636574072</v>
      </c>
      <c r="BS2977" s="10" t="s">
        <v>157</v>
      </c>
      <c r="BT2977" s="10"/>
      <c r="BU2977" s="10"/>
      <c r="BV2977" s="10"/>
      <c r="BW2977" s="10"/>
      <c r="BX2977" s="10"/>
      <c r="BY2977" s="23"/>
      <c r="BZ2977" s="23"/>
      <c r="CA2977" s="19" t="s">
        <v>21952</v>
      </c>
      <c r="CB2977" s="23"/>
      <c r="CC2977" s="23"/>
      <c r="CD2977" s="19" t="s">
        <v>21953</v>
      </c>
      <c r="CE2977" s="23"/>
      <c r="CF2977" s="23"/>
      <c r="CG2977" s="23"/>
      <c r="CH2977" s="23"/>
      <c r="CI2977" s="23"/>
    </row>
    <row r="2978" spans="1:87" x14ac:dyDescent="0.3">
      <c r="A2978" s="9" t="s">
        <v>21954</v>
      </c>
      <c r="B2978" s="10" t="s">
        <v>21955</v>
      </c>
      <c r="C2978" s="11">
        <v>46005.291666666664</v>
      </c>
      <c r="D2978" s="12">
        <v>0.20833333333333334</v>
      </c>
      <c r="E2978" s="11">
        <v>46005.5</v>
      </c>
      <c r="F2978" s="22" t="s">
        <v>9016</v>
      </c>
      <c r="G2978" s="13" t="b">
        <v>0</v>
      </c>
      <c r="H2978" s="22" t="s">
        <v>9017</v>
      </c>
      <c r="I2978" s="10" t="s">
        <v>212</v>
      </c>
      <c r="J2978" s="13" t="b">
        <v>1</v>
      </c>
      <c r="K2978" s="13" t="b">
        <v>0</v>
      </c>
      <c r="L2978" s="10" t="s">
        <v>124</v>
      </c>
      <c r="M2978" s="10" t="s">
        <v>91</v>
      </c>
      <c r="N2978" s="10" t="s">
        <v>92</v>
      </c>
      <c r="O2978" s="19" t="s">
        <v>21956</v>
      </c>
      <c r="P2978" s="10"/>
      <c r="Q2978" s="10" t="s">
        <v>94</v>
      </c>
      <c r="R2978" s="10"/>
      <c r="S2978" s="19" t="s">
        <v>9019</v>
      </c>
      <c r="T2978" s="10"/>
      <c r="U2978" s="10"/>
      <c r="V2978" s="10"/>
      <c r="W2978" s="10" t="s">
        <v>9020</v>
      </c>
      <c r="X2978" s="10" t="s">
        <v>130</v>
      </c>
      <c r="Y2978" s="10" t="s">
        <v>130</v>
      </c>
      <c r="Z2978" s="10" t="s">
        <v>99</v>
      </c>
      <c r="AA2978" s="10" t="s">
        <v>131</v>
      </c>
      <c r="AB2978" s="10" t="s">
        <v>9021</v>
      </c>
      <c r="AC2978" s="10" t="s">
        <v>9022</v>
      </c>
      <c r="AD2978" s="10" t="s">
        <v>165</v>
      </c>
      <c r="AE2978" s="10" t="s">
        <v>21957</v>
      </c>
      <c r="AF2978" s="15"/>
      <c r="AG2978" s="10"/>
      <c r="AH2978" s="10"/>
      <c r="AI2978" s="10"/>
      <c r="AJ2978" s="10"/>
      <c r="AK2978" s="10" t="s">
        <v>102</v>
      </c>
      <c r="AL2978" s="10"/>
      <c r="AM2978" s="10"/>
      <c r="AN2978" s="10"/>
      <c r="AO2978" s="13" t="b">
        <v>0</v>
      </c>
      <c r="AP2978" s="22" t="s">
        <v>104</v>
      </c>
      <c r="AQ2978" s="10">
        <f ca="1">IFERROR(__xludf.DUMMYFUNCTION("""COMPUTED_VALUE"""),20067)</f>
        <v>20067</v>
      </c>
      <c r="AR2978" s="21">
        <v>3</v>
      </c>
      <c r="AS2978" s="21">
        <v>3</v>
      </c>
      <c r="AT2978" s="21">
        <v>0</v>
      </c>
      <c r="AU2978" s="21">
        <v>0</v>
      </c>
      <c r="AV2978" s="21">
        <v>0</v>
      </c>
      <c r="AW2978" s="22" t="s">
        <v>105</v>
      </c>
      <c r="AX2978" s="17"/>
      <c r="AY2978" s="18">
        <v>3.0951548451548452</v>
      </c>
      <c r="AZ2978" s="10"/>
      <c r="BA2978" s="20" t="b">
        <v>1</v>
      </c>
      <c r="BB2978" s="10"/>
      <c r="BC2978" s="17">
        <v>1189</v>
      </c>
      <c r="BD2978" s="17">
        <v>1001</v>
      </c>
      <c r="BE2978" s="17">
        <v>3098.25</v>
      </c>
      <c r="BF2978" s="17">
        <v>0</v>
      </c>
      <c r="BG2978" s="11">
        <f ca="1">IFERROR(__xludf.DUMMYFUNCTION("""COMPUTED_VALUE"""),46005.2916666666)</f>
        <v>46005.291666666599</v>
      </c>
      <c r="BH2978" s="17" t="s">
        <v>105</v>
      </c>
      <c r="BI2978" s="17"/>
      <c r="BJ2978" s="15"/>
      <c r="BK2978" s="15"/>
      <c r="BL2978" s="13" t="b">
        <v>0</v>
      </c>
      <c r="BM2978" s="10"/>
      <c r="BN2978" s="10" t="s">
        <v>197</v>
      </c>
      <c r="BO2978" s="11">
        <v>46003.59097222222</v>
      </c>
      <c r="BP2978" s="11">
        <v>46003.591400462959</v>
      </c>
      <c r="BQ2978" s="15">
        <v>46003.596203703702</v>
      </c>
      <c r="BR2978" s="15">
        <v>46003.613391203704</v>
      </c>
      <c r="BS2978" s="10" t="s">
        <v>197</v>
      </c>
      <c r="BT2978" s="10"/>
      <c r="BU2978" s="10"/>
      <c r="BV2978" s="10"/>
      <c r="BW2978" s="10"/>
      <c r="BX2978" s="10"/>
      <c r="BY2978" s="23"/>
      <c r="BZ2978" s="23"/>
      <c r="CA2978" s="19" t="s">
        <v>9024</v>
      </c>
      <c r="CB2978" s="23"/>
      <c r="CC2978" s="23"/>
      <c r="CD2978" s="23"/>
      <c r="CE2978" s="23"/>
      <c r="CF2978" s="23"/>
      <c r="CG2978" s="23"/>
      <c r="CH2978" s="23"/>
      <c r="CI2978" s="23"/>
    </row>
    <row r="2979" spans="1:87" x14ac:dyDescent="0.3">
      <c r="A2979" s="9" t="s">
        <v>21958</v>
      </c>
      <c r="B2979" s="10" t="s">
        <v>21959</v>
      </c>
      <c r="C2979" s="11">
        <v>46005.291666666664</v>
      </c>
      <c r="D2979" s="12">
        <v>2.0833333333333332E-2</v>
      </c>
      <c r="E2979" s="11">
        <v>46005.3125</v>
      </c>
      <c r="F2979" s="22" t="s">
        <v>9016</v>
      </c>
      <c r="G2979" s="13" t="b">
        <v>0</v>
      </c>
      <c r="H2979" s="22" t="s">
        <v>9017</v>
      </c>
      <c r="I2979" s="10" t="s">
        <v>212</v>
      </c>
      <c r="J2979" s="13" t="b">
        <v>1</v>
      </c>
      <c r="K2979" s="13" t="b">
        <v>0</v>
      </c>
      <c r="L2979" s="10"/>
      <c r="M2979" s="10" t="s">
        <v>91</v>
      </c>
      <c r="N2979" s="10" t="s">
        <v>92</v>
      </c>
      <c r="O2979" s="19" t="s">
        <v>21960</v>
      </c>
      <c r="P2979" s="10"/>
      <c r="Q2979" s="10" t="s">
        <v>94</v>
      </c>
      <c r="R2979" s="10"/>
      <c r="S2979" s="10"/>
      <c r="T2979" s="10"/>
      <c r="U2979" s="10"/>
      <c r="V2979" s="10"/>
      <c r="W2979" s="10" t="s">
        <v>9020</v>
      </c>
      <c r="X2979" s="10" t="s">
        <v>130</v>
      </c>
      <c r="Y2979" s="10" t="s">
        <v>130</v>
      </c>
      <c r="Z2979" s="10" t="s">
        <v>99</v>
      </c>
      <c r="AA2979" s="10" t="s">
        <v>131</v>
      </c>
      <c r="AB2979" s="10" t="s">
        <v>9021</v>
      </c>
      <c r="AC2979" s="10" t="s">
        <v>9022</v>
      </c>
      <c r="AD2979" s="10" t="s">
        <v>165</v>
      </c>
      <c r="AE2979" s="10" t="s">
        <v>21961</v>
      </c>
      <c r="AF2979" s="15"/>
      <c r="AG2979" s="10"/>
      <c r="AH2979" s="10"/>
      <c r="AI2979" s="10"/>
      <c r="AJ2979" s="10"/>
      <c r="AK2979" s="10" t="s">
        <v>102</v>
      </c>
      <c r="AL2979" s="10"/>
      <c r="AM2979" s="10"/>
      <c r="AN2979" s="10"/>
      <c r="AO2979" s="13" t="b">
        <v>0</v>
      </c>
      <c r="AP2979" s="22" t="s">
        <v>104</v>
      </c>
      <c r="AQ2979" s="10">
        <f ca="1">IFERROR(__xludf.DUMMYFUNCTION("""COMPUTED_VALUE"""),4776347)</f>
        <v>4776347</v>
      </c>
      <c r="AR2979" s="17">
        <v>160</v>
      </c>
      <c r="AS2979" s="17">
        <v>122</v>
      </c>
      <c r="AT2979" s="17">
        <v>397.75</v>
      </c>
      <c r="AU2979" s="17">
        <v>1.5</v>
      </c>
      <c r="AV2979" s="17">
        <v>0</v>
      </c>
      <c r="AW2979" s="10" t="s">
        <v>105</v>
      </c>
      <c r="AX2979" s="17">
        <v>33</v>
      </c>
      <c r="AY2979" s="18">
        <v>3.2602459016393444</v>
      </c>
      <c r="AZ2979" s="10"/>
      <c r="BA2979" s="20" t="b">
        <v>0</v>
      </c>
      <c r="BB2979" s="10" t="s">
        <v>21954</v>
      </c>
      <c r="BC2979" s="17">
        <v>160</v>
      </c>
      <c r="BD2979" s="17">
        <v>122</v>
      </c>
      <c r="BE2979" s="17">
        <v>397.75</v>
      </c>
      <c r="BF2979" s="17">
        <v>0</v>
      </c>
      <c r="BG2979" s="11">
        <f ca="1">IFERROR(__xludf.DUMMYFUNCTION("""COMPUTED_VALUE"""),46005.2916666666)</f>
        <v>46005.291666666599</v>
      </c>
      <c r="BH2979" s="17" t="s">
        <v>105</v>
      </c>
      <c r="BI2979" s="17"/>
      <c r="BJ2979" s="15"/>
      <c r="BK2979" s="15"/>
      <c r="BL2979" s="13" t="b">
        <v>0</v>
      </c>
      <c r="BM2979" s="10"/>
      <c r="BN2979" s="10" t="s">
        <v>197</v>
      </c>
      <c r="BO2979" s="11">
        <v>46003.591666666667</v>
      </c>
      <c r="BP2979" s="11">
        <v>46003.592303240737</v>
      </c>
      <c r="BQ2979" s="15"/>
      <c r="BR2979" s="15">
        <v>46003.614571759259</v>
      </c>
      <c r="BS2979" s="10" t="s">
        <v>197</v>
      </c>
      <c r="BT2979" s="10"/>
      <c r="BU2979" s="10"/>
      <c r="BV2979" s="10"/>
      <c r="BW2979" s="10"/>
      <c r="BX2979" s="10"/>
      <c r="BY2979" s="23"/>
      <c r="BZ2979" s="23"/>
      <c r="CA2979" s="10"/>
      <c r="CB2979" s="23"/>
      <c r="CC2979" s="23"/>
      <c r="CD2979" s="23"/>
      <c r="CE2979" s="23"/>
      <c r="CF2979" s="23"/>
      <c r="CG2979" s="23"/>
      <c r="CH2979" s="23"/>
      <c r="CI2979" s="23"/>
    </row>
    <row r="2980" spans="1:87" x14ac:dyDescent="0.3">
      <c r="A2980" s="9" t="s">
        <v>21962</v>
      </c>
      <c r="B2980" s="10" t="s">
        <v>21963</v>
      </c>
      <c r="C2980" s="11">
        <v>46005.3125</v>
      </c>
      <c r="D2980" s="12">
        <v>2.0833333333333332E-2</v>
      </c>
      <c r="E2980" s="11">
        <v>46005.333333333336</v>
      </c>
      <c r="F2980" s="22" t="s">
        <v>9016</v>
      </c>
      <c r="G2980" s="13" t="b">
        <v>0</v>
      </c>
      <c r="H2980" s="22" t="s">
        <v>9017</v>
      </c>
      <c r="I2980" s="10" t="s">
        <v>212</v>
      </c>
      <c r="J2980" s="13" t="b">
        <v>1</v>
      </c>
      <c r="K2980" s="13" t="b">
        <v>0</v>
      </c>
      <c r="L2980" s="10" t="s">
        <v>124</v>
      </c>
      <c r="M2980" s="10" t="s">
        <v>91</v>
      </c>
      <c r="N2980" s="10" t="s">
        <v>92</v>
      </c>
      <c r="O2980" s="19" t="s">
        <v>21964</v>
      </c>
      <c r="P2980" s="10"/>
      <c r="Q2980" s="10" t="s">
        <v>94</v>
      </c>
      <c r="R2980" s="10"/>
      <c r="S2980" s="10"/>
      <c r="T2980" s="10"/>
      <c r="U2980" s="10"/>
      <c r="V2980" s="10"/>
      <c r="W2980" s="10" t="s">
        <v>9020</v>
      </c>
      <c r="X2980" s="10" t="s">
        <v>130</v>
      </c>
      <c r="Y2980" s="10" t="s">
        <v>130</v>
      </c>
      <c r="Z2980" s="10" t="s">
        <v>99</v>
      </c>
      <c r="AA2980" s="10" t="s">
        <v>131</v>
      </c>
      <c r="AB2980" s="10" t="s">
        <v>9021</v>
      </c>
      <c r="AC2980" s="10" t="s">
        <v>9022</v>
      </c>
      <c r="AD2980" s="10" t="s">
        <v>165</v>
      </c>
      <c r="AE2980" s="10" t="s">
        <v>21965</v>
      </c>
      <c r="AF2980" s="15"/>
      <c r="AG2980" s="10"/>
      <c r="AH2980" s="10"/>
      <c r="AI2980" s="10"/>
      <c r="AJ2980" s="10"/>
      <c r="AK2980" s="10" t="s">
        <v>102</v>
      </c>
      <c r="AL2980" s="10"/>
      <c r="AM2980" s="10"/>
      <c r="AN2980" s="10"/>
      <c r="AO2980" s="13" t="b">
        <v>0</v>
      </c>
      <c r="AP2980" s="22" t="s">
        <v>104</v>
      </c>
      <c r="AQ2980" s="10">
        <f ca="1">IFERROR(__xludf.DUMMYFUNCTION("""COMPUTED_VALUE"""),4776348)</f>
        <v>4776348</v>
      </c>
      <c r="AR2980" s="17">
        <v>80</v>
      </c>
      <c r="AS2980" s="17">
        <v>71</v>
      </c>
      <c r="AT2980" s="17">
        <v>498</v>
      </c>
      <c r="AU2980" s="17">
        <v>0.25</v>
      </c>
      <c r="AV2980" s="17">
        <v>0</v>
      </c>
      <c r="AW2980" s="10" t="s">
        <v>105</v>
      </c>
      <c r="AX2980" s="17">
        <v>28</v>
      </c>
      <c r="AY2980" s="18">
        <v>7.0140845070422539</v>
      </c>
      <c r="AZ2980" s="10"/>
      <c r="BA2980" s="20" t="b">
        <v>0</v>
      </c>
      <c r="BB2980" s="10" t="s">
        <v>21954</v>
      </c>
      <c r="BC2980" s="17">
        <v>80</v>
      </c>
      <c r="BD2980" s="17">
        <v>71</v>
      </c>
      <c r="BE2980" s="17">
        <v>498</v>
      </c>
      <c r="BF2980" s="17">
        <v>0</v>
      </c>
      <c r="BG2980" s="11">
        <f ca="1">IFERROR(__xludf.DUMMYFUNCTION("""COMPUTED_VALUE"""),46005.3125)</f>
        <v>46005.3125</v>
      </c>
      <c r="BH2980" s="17" t="s">
        <v>105</v>
      </c>
      <c r="BI2980" s="17"/>
      <c r="BJ2980" s="15"/>
      <c r="BK2980" s="15"/>
      <c r="BL2980" s="13" t="b">
        <v>0</v>
      </c>
      <c r="BM2980" s="10"/>
      <c r="BN2980" s="10" t="s">
        <v>197</v>
      </c>
      <c r="BO2980" s="11">
        <v>46003.592361111114</v>
      </c>
      <c r="BP2980" s="11">
        <v>46003.592488425929</v>
      </c>
      <c r="BQ2980" s="15"/>
      <c r="BR2980" s="15">
        <v>46003.614675925928</v>
      </c>
      <c r="BS2980" s="10" t="s">
        <v>197</v>
      </c>
      <c r="BT2980" s="10"/>
      <c r="BU2980" s="10"/>
      <c r="BV2980" s="10"/>
      <c r="BW2980" s="10"/>
      <c r="BX2980" s="10"/>
      <c r="BY2980" s="23"/>
      <c r="BZ2980" s="23"/>
      <c r="CA2980" s="10"/>
      <c r="CB2980" s="23"/>
      <c r="CC2980" s="23"/>
      <c r="CD2980" s="23"/>
      <c r="CE2980" s="23"/>
      <c r="CF2980" s="23"/>
      <c r="CG2980" s="23"/>
      <c r="CH2980" s="23"/>
      <c r="CI2980" s="23"/>
    </row>
    <row r="2981" spans="1:87" x14ac:dyDescent="0.3">
      <c r="A2981" s="9" t="s">
        <v>21966</v>
      </c>
      <c r="B2981" s="10" t="s">
        <v>21967</v>
      </c>
      <c r="C2981" s="11">
        <v>46005.333333333336</v>
      </c>
      <c r="D2981" s="12">
        <v>2.7777777777777776E-2</v>
      </c>
      <c r="E2981" s="11">
        <v>46005.361111111109</v>
      </c>
      <c r="F2981" s="22" t="s">
        <v>9016</v>
      </c>
      <c r="G2981" s="13" t="b">
        <v>0</v>
      </c>
      <c r="H2981" s="22" t="s">
        <v>9017</v>
      </c>
      <c r="I2981" s="10" t="s">
        <v>212</v>
      </c>
      <c r="J2981" s="13" t="b">
        <v>1</v>
      </c>
      <c r="K2981" s="13" t="b">
        <v>0</v>
      </c>
      <c r="L2981" s="10" t="s">
        <v>124</v>
      </c>
      <c r="M2981" s="10" t="s">
        <v>91</v>
      </c>
      <c r="N2981" s="10" t="s">
        <v>92</v>
      </c>
      <c r="O2981" s="19" t="s">
        <v>21968</v>
      </c>
      <c r="P2981" s="10"/>
      <c r="Q2981" s="10" t="s">
        <v>94</v>
      </c>
      <c r="R2981" s="10"/>
      <c r="S2981" s="10"/>
      <c r="T2981" s="10"/>
      <c r="U2981" s="10"/>
      <c r="V2981" s="10"/>
      <c r="W2981" s="10" t="s">
        <v>9020</v>
      </c>
      <c r="X2981" s="10" t="s">
        <v>130</v>
      </c>
      <c r="Y2981" s="10" t="s">
        <v>130</v>
      </c>
      <c r="Z2981" s="10" t="s">
        <v>99</v>
      </c>
      <c r="AA2981" s="10" t="s">
        <v>131</v>
      </c>
      <c r="AB2981" s="10" t="s">
        <v>9021</v>
      </c>
      <c r="AC2981" s="10" t="s">
        <v>9022</v>
      </c>
      <c r="AD2981" s="10" t="s">
        <v>165</v>
      </c>
      <c r="AE2981" s="10" t="s">
        <v>21969</v>
      </c>
      <c r="AF2981" s="15"/>
      <c r="AG2981" s="10"/>
      <c r="AH2981" s="10"/>
      <c r="AI2981" s="10"/>
      <c r="AJ2981" s="10"/>
      <c r="AK2981" s="10" t="s">
        <v>102</v>
      </c>
      <c r="AL2981" s="10"/>
      <c r="AM2981" s="10"/>
      <c r="AN2981" s="10"/>
      <c r="AO2981" s="13" t="b">
        <v>0</v>
      </c>
      <c r="AP2981" s="22" t="s">
        <v>104</v>
      </c>
      <c r="AQ2981" s="10">
        <f ca="1">IFERROR(__xludf.DUMMYFUNCTION("""COMPUTED_VALUE"""),4776349)</f>
        <v>4776349</v>
      </c>
      <c r="AR2981" s="17">
        <v>155</v>
      </c>
      <c r="AS2981" s="17">
        <v>129</v>
      </c>
      <c r="AT2981" s="17">
        <v>487.25</v>
      </c>
      <c r="AU2981" s="17">
        <v>0</v>
      </c>
      <c r="AV2981" s="17">
        <v>0</v>
      </c>
      <c r="AW2981" s="10" t="s">
        <v>105</v>
      </c>
      <c r="AX2981" s="17">
        <v>46</v>
      </c>
      <c r="AY2981" s="18">
        <v>3.7771317829457365</v>
      </c>
      <c r="AZ2981" s="10"/>
      <c r="BA2981" s="20" t="b">
        <v>0</v>
      </c>
      <c r="BB2981" s="10" t="s">
        <v>21954</v>
      </c>
      <c r="BC2981" s="17">
        <v>155</v>
      </c>
      <c r="BD2981" s="17">
        <v>129</v>
      </c>
      <c r="BE2981" s="17">
        <v>487.25</v>
      </c>
      <c r="BF2981" s="17">
        <v>0</v>
      </c>
      <c r="BG2981" s="11">
        <f ca="1">IFERROR(__xludf.DUMMYFUNCTION("""COMPUTED_VALUE"""),46005.3333333333)</f>
        <v>46005.333333333299</v>
      </c>
      <c r="BH2981" s="17" t="s">
        <v>105</v>
      </c>
      <c r="BI2981" s="17"/>
      <c r="BJ2981" s="15"/>
      <c r="BK2981" s="15"/>
      <c r="BL2981" s="13" t="b">
        <v>0</v>
      </c>
      <c r="BM2981" s="10"/>
      <c r="BN2981" s="10" t="s">
        <v>197</v>
      </c>
      <c r="BO2981" s="11">
        <v>46003.593055555553</v>
      </c>
      <c r="BP2981" s="11">
        <v>46003.593414351853</v>
      </c>
      <c r="BQ2981" s="15"/>
      <c r="BR2981" s="15">
        <v>46003.614768518521</v>
      </c>
      <c r="BS2981" s="10" t="s">
        <v>197</v>
      </c>
      <c r="BT2981" s="10"/>
      <c r="BU2981" s="10"/>
      <c r="BV2981" s="10"/>
      <c r="BW2981" s="10"/>
      <c r="BX2981" s="10"/>
      <c r="BY2981" s="23"/>
      <c r="BZ2981" s="23"/>
      <c r="CA2981" s="10"/>
      <c r="CB2981" s="23"/>
      <c r="CC2981" s="23"/>
      <c r="CD2981" s="23"/>
      <c r="CE2981" s="23"/>
      <c r="CF2981" s="23"/>
      <c r="CG2981" s="23"/>
      <c r="CH2981" s="23"/>
      <c r="CI2981" s="23"/>
    </row>
    <row r="2982" spans="1:87" x14ac:dyDescent="0.3">
      <c r="A2982" s="9" t="s">
        <v>21970</v>
      </c>
      <c r="B2982" s="10" t="s">
        <v>21971</v>
      </c>
      <c r="C2982" s="11">
        <v>46005.361111111109</v>
      </c>
      <c r="D2982" s="12">
        <v>2.0833333333333332E-2</v>
      </c>
      <c r="E2982" s="11">
        <v>46005.381944444445</v>
      </c>
      <c r="F2982" s="22" t="s">
        <v>9016</v>
      </c>
      <c r="G2982" s="13" t="b">
        <v>0</v>
      </c>
      <c r="H2982" s="22" t="s">
        <v>9017</v>
      </c>
      <c r="I2982" s="10" t="s">
        <v>212</v>
      </c>
      <c r="J2982" s="13" t="b">
        <v>1</v>
      </c>
      <c r="K2982" s="13" t="b">
        <v>0</v>
      </c>
      <c r="L2982" s="10" t="s">
        <v>124</v>
      </c>
      <c r="M2982" s="10" t="s">
        <v>91</v>
      </c>
      <c r="N2982" s="10" t="s">
        <v>92</v>
      </c>
      <c r="O2982" s="19" t="s">
        <v>21972</v>
      </c>
      <c r="P2982" s="10"/>
      <c r="Q2982" s="10" t="s">
        <v>94</v>
      </c>
      <c r="R2982" s="10"/>
      <c r="S2982" s="10"/>
      <c r="T2982" s="10"/>
      <c r="U2982" s="10"/>
      <c r="V2982" s="10"/>
      <c r="W2982" s="10" t="s">
        <v>9020</v>
      </c>
      <c r="X2982" s="10" t="s">
        <v>130</v>
      </c>
      <c r="Y2982" s="10" t="s">
        <v>130</v>
      </c>
      <c r="Z2982" s="10" t="s">
        <v>99</v>
      </c>
      <c r="AA2982" s="10" t="s">
        <v>131</v>
      </c>
      <c r="AB2982" s="10" t="s">
        <v>9021</v>
      </c>
      <c r="AC2982" s="10" t="s">
        <v>9022</v>
      </c>
      <c r="AD2982" s="10" t="s">
        <v>165</v>
      </c>
      <c r="AE2982" s="10" t="s">
        <v>21973</v>
      </c>
      <c r="AF2982" s="15"/>
      <c r="AG2982" s="10"/>
      <c r="AH2982" s="10"/>
      <c r="AI2982" s="10"/>
      <c r="AJ2982" s="10"/>
      <c r="AK2982" s="10" t="s">
        <v>102</v>
      </c>
      <c r="AL2982" s="10"/>
      <c r="AM2982" s="10"/>
      <c r="AN2982" s="10"/>
      <c r="AO2982" s="13" t="b">
        <v>0</v>
      </c>
      <c r="AP2982" s="22" t="s">
        <v>104</v>
      </c>
      <c r="AQ2982" s="10">
        <f ca="1">IFERROR(__xludf.DUMMYFUNCTION("""COMPUTED_VALUE"""),4776350)</f>
        <v>4776350</v>
      </c>
      <c r="AR2982" s="17">
        <v>121</v>
      </c>
      <c r="AS2982" s="17">
        <v>96</v>
      </c>
      <c r="AT2982" s="17">
        <v>372.75</v>
      </c>
      <c r="AU2982" s="17">
        <v>0</v>
      </c>
      <c r="AV2982" s="17">
        <v>0</v>
      </c>
      <c r="AW2982" s="10" t="s">
        <v>105</v>
      </c>
      <c r="AX2982" s="17">
        <v>36</v>
      </c>
      <c r="AY2982" s="18">
        <v>3.8828125</v>
      </c>
      <c r="AZ2982" s="10"/>
      <c r="BA2982" s="20" t="b">
        <v>0</v>
      </c>
      <c r="BB2982" s="10" t="s">
        <v>21954</v>
      </c>
      <c r="BC2982" s="17">
        <v>121</v>
      </c>
      <c r="BD2982" s="17">
        <v>96</v>
      </c>
      <c r="BE2982" s="17">
        <v>372.75</v>
      </c>
      <c r="BF2982" s="17">
        <v>0</v>
      </c>
      <c r="BG2982" s="11">
        <f ca="1">IFERROR(__xludf.DUMMYFUNCTION("""COMPUTED_VALUE"""),46005.3611111111)</f>
        <v>46005.361111111102</v>
      </c>
      <c r="BH2982" s="17" t="s">
        <v>105</v>
      </c>
      <c r="BI2982" s="17"/>
      <c r="BJ2982" s="15"/>
      <c r="BK2982" s="15"/>
      <c r="BL2982" s="13" t="b">
        <v>0</v>
      </c>
      <c r="BM2982" s="10"/>
      <c r="BN2982" s="10" t="s">
        <v>197</v>
      </c>
      <c r="BO2982" s="11">
        <v>46003.593055555553</v>
      </c>
      <c r="BP2982" s="11">
        <v>46003.593576388892</v>
      </c>
      <c r="BQ2982" s="15"/>
      <c r="BR2982" s="15">
        <v>46003.614872685182</v>
      </c>
      <c r="BS2982" s="10" t="s">
        <v>197</v>
      </c>
      <c r="BT2982" s="10"/>
      <c r="BU2982" s="10"/>
      <c r="BV2982" s="10"/>
      <c r="BW2982" s="10"/>
      <c r="BX2982" s="10"/>
      <c r="BY2982" s="23"/>
      <c r="BZ2982" s="23"/>
      <c r="CA2982" s="10"/>
      <c r="CB2982" s="23"/>
      <c r="CC2982" s="23"/>
      <c r="CD2982" s="23"/>
      <c r="CE2982" s="23"/>
      <c r="CF2982" s="23"/>
      <c r="CG2982" s="23"/>
      <c r="CH2982" s="23"/>
      <c r="CI2982" s="23"/>
    </row>
    <row r="2983" spans="1:87" x14ac:dyDescent="0.3">
      <c r="A2983" s="9" t="s">
        <v>21974</v>
      </c>
      <c r="B2983" s="10" t="s">
        <v>21975</v>
      </c>
      <c r="C2983" s="11">
        <v>46005.381944444445</v>
      </c>
      <c r="D2983" s="12">
        <v>2.0833333333333332E-2</v>
      </c>
      <c r="E2983" s="11">
        <v>46005.402777777781</v>
      </c>
      <c r="F2983" s="22" t="s">
        <v>9016</v>
      </c>
      <c r="G2983" s="13" t="b">
        <v>0</v>
      </c>
      <c r="H2983" s="22" t="s">
        <v>9017</v>
      </c>
      <c r="I2983" s="10" t="s">
        <v>212</v>
      </c>
      <c r="J2983" s="13" t="b">
        <v>1</v>
      </c>
      <c r="K2983" s="13" t="b">
        <v>0</v>
      </c>
      <c r="L2983" s="10" t="s">
        <v>124</v>
      </c>
      <c r="M2983" s="10" t="s">
        <v>91</v>
      </c>
      <c r="N2983" s="10" t="s">
        <v>92</v>
      </c>
      <c r="O2983" s="19" t="s">
        <v>21976</v>
      </c>
      <c r="P2983" s="10"/>
      <c r="Q2983" s="10" t="s">
        <v>94</v>
      </c>
      <c r="R2983" s="10"/>
      <c r="S2983" s="10"/>
      <c r="T2983" s="10"/>
      <c r="U2983" s="10"/>
      <c r="V2983" s="10"/>
      <c r="W2983" s="10" t="s">
        <v>9020</v>
      </c>
      <c r="X2983" s="10" t="s">
        <v>130</v>
      </c>
      <c r="Y2983" s="10" t="s">
        <v>130</v>
      </c>
      <c r="Z2983" s="10" t="s">
        <v>99</v>
      </c>
      <c r="AA2983" s="10" t="s">
        <v>131</v>
      </c>
      <c r="AB2983" s="10" t="s">
        <v>9021</v>
      </c>
      <c r="AC2983" s="10" t="s">
        <v>9022</v>
      </c>
      <c r="AD2983" s="10" t="s">
        <v>165</v>
      </c>
      <c r="AE2983" s="10" t="s">
        <v>21977</v>
      </c>
      <c r="AF2983" s="15"/>
      <c r="AG2983" s="10"/>
      <c r="AH2983" s="10"/>
      <c r="AI2983" s="10"/>
      <c r="AJ2983" s="10"/>
      <c r="AK2983" s="10" t="s">
        <v>102</v>
      </c>
      <c r="AL2983" s="10"/>
      <c r="AM2983" s="10"/>
      <c r="AN2983" s="10"/>
      <c r="AO2983" s="13" t="b">
        <v>0</v>
      </c>
      <c r="AP2983" s="22" t="s">
        <v>104</v>
      </c>
      <c r="AQ2983" s="10">
        <f ca="1">IFERROR(__xludf.DUMMYFUNCTION("""COMPUTED_VALUE"""),4776342)</f>
        <v>4776342</v>
      </c>
      <c r="AR2983" s="21">
        <v>103</v>
      </c>
      <c r="AS2983" s="21">
        <v>90</v>
      </c>
      <c r="AT2983" s="21">
        <v>199</v>
      </c>
      <c r="AU2983" s="21">
        <v>0</v>
      </c>
      <c r="AV2983" s="21">
        <v>0</v>
      </c>
      <c r="AW2983" s="22" t="s">
        <v>105</v>
      </c>
      <c r="AX2983" s="21">
        <v>39</v>
      </c>
      <c r="AY2983" s="18">
        <v>2.2111111111111112</v>
      </c>
      <c r="AZ2983" s="10"/>
      <c r="BA2983" s="20" t="b">
        <v>0</v>
      </c>
      <c r="BB2983" s="10" t="s">
        <v>21954</v>
      </c>
      <c r="BC2983" s="17">
        <v>103</v>
      </c>
      <c r="BD2983" s="17">
        <v>90</v>
      </c>
      <c r="BE2983" s="17">
        <v>199</v>
      </c>
      <c r="BF2983" s="17">
        <v>0</v>
      </c>
      <c r="BG2983" s="11">
        <f ca="1">IFERROR(__xludf.DUMMYFUNCTION("""COMPUTED_VALUE"""),46005.3819444444)</f>
        <v>46005.381944444402</v>
      </c>
      <c r="BH2983" s="17" t="s">
        <v>105</v>
      </c>
      <c r="BI2983" s="17"/>
      <c r="BJ2983" s="15"/>
      <c r="BK2983" s="15"/>
      <c r="BL2983" s="13" t="b">
        <v>0</v>
      </c>
      <c r="BM2983" s="10" t="s">
        <v>240</v>
      </c>
      <c r="BN2983" s="10" t="s">
        <v>351</v>
      </c>
      <c r="BO2983" s="11">
        <v>46003.59375</v>
      </c>
      <c r="BP2983" s="11">
        <v>46005.296886574077</v>
      </c>
      <c r="BQ2983" s="15"/>
      <c r="BR2983" s="15">
        <v>46003.614976851852</v>
      </c>
      <c r="BS2983" s="10" t="s">
        <v>351</v>
      </c>
      <c r="BT2983" s="10"/>
      <c r="BU2983" s="10"/>
      <c r="BV2983" s="10"/>
      <c r="BW2983" s="10"/>
      <c r="BX2983" s="10"/>
      <c r="BY2983" s="23"/>
      <c r="BZ2983" s="23"/>
      <c r="CA2983" s="10"/>
      <c r="CB2983" s="23"/>
      <c r="CC2983" s="23"/>
      <c r="CD2983" s="23"/>
      <c r="CE2983" s="23"/>
      <c r="CF2983" s="23"/>
      <c r="CG2983" s="23"/>
      <c r="CH2983" s="23"/>
      <c r="CI2983" s="23"/>
    </row>
    <row r="2984" spans="1:87" x14ac:dyDescent="0.3">
      <c r="A2984" s="9" t="s">
        <v>21978</v>
      </c>
      <c r="B2984" s="10" t="s">
        <v>21979</v>
      </c>
      <c r="C2984" s="11">
        <v>46005.402777777781</v>
      </c>
      <c r="D2984" s="12">
        <v>2.0833333333333332E-2</v>
      </c>
      <c r="E2984" s="11">
        <v>46005.423611111109</v>
      </c>
      <c r="F2984" s="22" t="s">
        <v>9016</v>
      </c>
      <c r="G2984" s="13" t="b">
        <v>0</v>
      </c>
      <c r="H2984" s="22" t="s">
        <v>9017</v>
      </c>
      <c r="I2984" s="10" t="s">
        <v>212</v>
      </c>
      <c r="J2984" s="13" t="b">
        <v>1</v>
      </c>
      <c r="K2984" s="13" t="b">
        <v>0</v>
      </c>
      <c r="L2984" s="10" t="s">
        <v>124</v>
      </c>
      <c r="M2984" s="10" t="s">
        <v>91</v>
      </c>
      <c r="N2984" s="10" t="s">
        <v>92</v>
      </c>
      <c r="O2984" s="19" t="s">
        <v>21980</v>
      </c>
      <c r="P2984" s="10"/>
      <c r="Q2984" s="10" t="s">
        <v>94</v>
      </c>
      <c r="R2984" s="10"/>
      <c r="S2984" s="10"/>
      <c r="T2984" s="10"/>
      <c r="U2984" s="10"/>
      <c r="V2984" s="10"/>
      <c r="W2984" s="10" t="s">
        <v>9020</v>
      </c>
      <c r="X2984" s="10" t="s">
        <v>130</v>
      </c>
      <c r="Y2984" s="10" t="s">
        <v>130</v>
      </c>
      <c r="Z2984" s="10" t="s">
        <v>99</v>
      </c>
      <c r="AA2984" s="10" t="s">
        <v>131</v>
      </c>
      <c r="AB2984" s="10" t="s">
        <v>9021</v>
      </c>
      <c r="AC2984" s="10" t="s">
        <v>9022</v>
      </c>
      <c r="AD2984" s="10" t="s">
        <v>165</v>
      </c>
      <c r="AE2984" s="10" t="s">
        <v>21981</v>
      </c>
      <c r="AF2984" s="15"/>
      <c r="AG2984" s="10"/>
      <c r="AH2984" s="10"/>
      <c r="AI2984" s="10"/>
      <c r="AJ2984" s="10"/>
      <c r="AK2984" s="10" t="s">
        <v>102</v>
      </c>
      <c r="AL2984" s="10"/>
      <c r="AM2984" s="10"/>
      <c r="AN2984" s="10"/>
      <c r="AO2984" s="13" t="b">
        <v>0</v>
      </c>
      <c r="AP2984" s="22" t="s">
        <v>104</v>
      </c>
      <c r="AQ2984" s="10">
        <f ca="1">IFERROR(__xludf.DUMMYFUNCTION("""COMPUTED_VALUE"""),4776343)</f>
        <v>4776343</v>
      </c>
      <c r="AR2984" s="17">
        <v>144</v>
      </c>
      <c r="AS2984" s="17">
        <v>121</v>
      </c>
      <c r="AT2984" s="17">
        <v>411</v>
      </c>
      <c r="AU2984" s="17">
        <v>0</v>
      </c>
      <c r="AV2984" s="17">
        <v>0</v>
      </c>
      <c r="AW2984" s="10" t="s">
        <v>105</v>
      </c>
      <c r="AX2984" s="17">
        <v>47</v>
      </c>
      <c r="AY2984" s="18">
        <v>3.3966942148760331</v>
      </c>
      <c r="AZ2984" s="10"/>
      <c r="BA2984" s="20" t="b">
        <v>0</v>
      </c>
      <c r="BB2984" s="10" t="s">
        <v>21954</v>
      </c>
      <c r="BC2984" s="17">
        <v>144</v>
      </c>
      <c r="BD2984" s="17">
        <v>121</v>
      </c>
      <c r="BE2984" s="17">
        <v>411</v>
      </c>
      <c r="BF2984" s="17">
        <v>0</v>
      </c>
      <c r="BG2984" s="11">
        <f ca="1">IFERROR(__xludf.DUMMYFUNCTION("""COMPUTED_VALUE"""),46005.4027777777)</f>
        <v>46005.402777777701</v>
      </c>
      <c r="BH2984" s="17" t="s">
        <v>105</v>
      </c>
      <c r="BI2984" s="17"/>
      <c r="BJ2984" s="15"/>
      <c r="BK2984" s="15"/>
      <c r="BL2984" s="13" t="b">
        <v>0</v>
      </c>
      <c r="BM2984" s="10"/>
      <c r="BN2984" s="10" t="s">
        <v>197</v>
      </c>
      <c r="BO2984" s="11">
        <v>46003.59375</v>
      </c>
      <c r="BP2984" s="11">
        <v>46003.5940162037</v>
      </c>
      <c r="BQ2984" s="15"/>
      <c r="BR2984" s="15">
        <v>46003.61509259259</v>
      </c>
      <c r="BS2984" s="10" t="s">
        <v>197</v>
      </c>
      <c r="BT2984" s="10"/>
      <c r="BU2984" s="10"/>
      <c r="BV2984" s="10"/>
      <c r="BW2984" s="10"/>
      <c r="BX2984" s="10"/>
      <c r="BY2984" s="23"/>
      <c r="BZ2984" s="23"/>
      <c r="CA2984" s="10"/>
      <c r="CB2984" s="23"/>
      <c r="CC2984" s="23"/>
      <c r="CD2984" s="23"/>
      <c r="CE2984" s="23"/>
      <c r="CF2984" s="23"/>
      <c r="CG2984" s="23"/>
      <c r="CH2984" s="23"/>
      <c r="CI2984" s="23"/>
    </row>
    <row r="2985" spans="1:87" x14ac:dyDescent="0.3">
      <c r="A2985" s="9" t="s">
        <v>21982</v>
      </c>
      <c r="B2985" s="10" t="s">
        <v>21983</v>
      </c>
      <c r="C2985" s="11">
        <v>46005.423611111109</v>
      </c>
      <c r="D2985" s="12">
        <v>2.7777777777777776E-2</v>
      </c>
      <c r="E2985" s="11">
        <v>46005.451388888891</v>
      </c>
      <c r="F2985" s="22" t="s">
        <v>9016</v>
      </c>
      <c r="G2985" s="13" t="b">
        <v>0</v>
      </c>
      <c r="H2985" s="22" t="s">
        <v>9017</v>
      </c>
      <c r="I2985" s="10" t="s">
        <v>212</v>
      </c>
      <c r="J2985" s="13" t="b">
        <v>1</v>
      </c>
      <c r="K2985" s="13" t="b">
        <v>0</v>
      </c>
      <c r="L2985" s="10" t="s">
        <v>124</v>
      </c>
      <c r="M2985" s="10" t="s">
        <v>91</v>
      </c>
      <c r="N2985" s="10" t="s">
        <v>92</v>
      </c>
      <c r="O2985" s="19" t="s">
        <v>21984</v>
      </c>
      <c r="P2985" s="10"/>
      <c r="Q2985" s="10" t="s">
        <v>94</v>
      </c>
      <c r="R2985" s="10"/>
      <c r="S2985" s="10"/>
      <c r="T2985" s="10"/>
      <c r="U2985" s="10"/>
      <c r="V2985" s="10"/>
      <c r="W2985" s="10" t="s">
        <v>9020</v>
      </c>
      <c r="X2985" s="10" t="s">
        <v>130</v>
      </c>
      <c r="Y2985" s="10" t="s">
        <v>130</v>
      </c>
      <c r="Z2985" s="10" t="s">
        <v>99</v>
      </c>
      <c r="AA2985" s="10" t="s">
        <v>131</v>
      </c>
      <c r="AB2985" s="10" t="s">
        <v>9021</v>
      </c>
      <c r="AC2985" s="10" t="s">
        <v>9022</v>
      </c>
      <c r="AD2985" s="10" t="s">
        <v>165</v>
      </c>
      <c r="AE2985" s="10" t="s">
        <v>21985</v>
      </c>
      <c r="AF2985" s="15"/>
      <c r="AG2985" s="10"/>
      <c r="AH2985" s="10"/>
      <c r="AI2985" s="10"/>
      <c r="AJ2985" s="10"/>
      <c r="AK2985" s="10" t="s">
        <v>102</v>
      </c>
      <c r="AL2985" s="10"/>
      <c r="AM2985" s="10"/>
      <c r="AN2985" s="10"/>
      <c r="AO2985" s="13" t="b">
        <v>0</v>
      </c>
      <c r="AP2985" s="22" t="s">
        <v>104</v>
      </c>
      <c r="AQ2985" s="10">
        <f ca="1">IFERROR(__xludf.DUMMYFUNCTION("""COMPUTED_VALUE"""),4776344)</f>
        <v>4776344</v>
      </c>
      <c r="AR2985" s="21">
        <v>169</v>
      </c>
      <c r="AS2985" s="21">
        <v>136</v>
      </c>
      <c r="AT2985" s="21">
        <v>305.75</v>
      </c>
      <c r="AU2985" s="21">
        <v>0</v>
      </c>
      <c r="AV2985" s="21">
        <v>0</v>
      </c>
      <c r="AW2985" s="22" t="s">
        <v>105</v>
      </c>
      <c r="AX2985" s="21">
        <v>43</v>
      </c>
      <c r="AY2985" s="18">
        <v>2.2481617647058822</v>
      </c>
      <c r="AZ2985" s="10"/>
      <c r="BA2985" s="20" t="b">
        <v>0</v>
      </c>
      <c r="BB2985" s="10" t="s">
        <v>21954</v>
      </c>
      <c r="BC2985" s="17">
        <v>169</v>
      </c>
      <c r="BD2985" s="17">
        <v>136</v>
      </c>
      <c r="BE2985" s="17">
        <v>305.75</v>
      </c>
      <c r="BF2985" s="17">
        <v>0</v>
      </c>
      <c r="BG2985" s="11">
        <f ca="1">IFERROR(__xludf.DUMMYFUNCTION("""COMPUTED_VALUE"""),46005.4236111111)</f>
        <v>46005.423611111102</v>
      </c>
      <c r="BH2985" s="17" t="s">
        <v>105</v>
      </c>
      <c r="BI2985" s="17"/>
      <c r="BJ2985" s="15"/>
      <c r="BK2985" s="15"/>
      <c r="BL2985" s="13" t="b">
        <v>0</v>
      </c>
      <c r="BM2985" s="10"/>
      <c r="BN2985" s="10" t="s">
        <v>197</v>
      </c>
      <c r="BO2985" s="11">
        <v>46003.59375</v>
      </c>
      <c r="BP2985" s="11">
        <v>46003.594189814816</v>
      </c>
      <c r="BQ2985" s="15"/>
      <c r="BR2985" s="15">
        <v>46003.615185185183</v>
      </c>
      <c r="BS2985" s="10" t="s">
        <v>197</v>
      </c>
      <c r="BT2985" s="10"/>
      <c r="BU2985" s="10"/>
      <c r="BV2985" s="10"/>
      <c r="BW2985" s="10"/>
      <c r="BX2985" s="10"/>
      <c r="BY2985" s="23"/>
      <c r="BZ2985" s="23"/>
      <c r="CA2985" s="10"/>
      <c r="CB2985" s="23"/>
      <c r="CC2985" s="23"/>
      <c r="CD2985" s="23"/>
      <c r="CE2985" s="23"/>
      <c r="CF2985" s="23"/>
      <c r="CG2985" s="23"/>
      <c r="CH2985" s="23"/>
      <c r="CI2985" s="23"/>
    </row>
    <row r="2986" spans="1:87" x14ac:dyDescent="0.3">
      <c r="A2986" s="9" t="s">
        <v>21986</v>
      </c>
      <c r="B2986" s="10" t="s">
        <v>21987</v>
      </c>
      <c r="C2986" s="11">
        <v>46005.451388888891</v>
      </c>
      <c r="D2986" s="12">
        <v>2.0833333333333332E-2</v>
      </c>
      <c r="E2986" s="11">
        <v>46005.472222222219</v>
      </c>
      <c r="F2986" s="22" t="s">
        <v>9016</v>
      </c>
      <c r="G2986" s="13" t="b">
        <v>0</v>
      </c>
      <c r="H2986" s="22" t="s">
        <v>9017</v>
      </c>
      <c r="I2986" s="10" t="s">
        <v>212</v>
      </c>
      <c r="J2986" s="13" t="b">
        <v>1</v>
      </c>
      <c r="K2986" s="13" t="b">
        <v>0</v>
      </c>
      <c r="L2986" s="10" t="s">
        <v>124</v>
      </c>
      <c r="M2986" s="10" t="s">
        <v>91</v>
      </c>
      <c r="N2986" s="10" t="s">
        <v>92</v>
      </c>
      <c r="O2986" s="19" t="s">
        <v>21988</v>
      </c>
      <c r="P2986" s="10"/>
      <c r="Q2986" s="10" t="s">
        <v>94</v>
      </c>
      <c r="R2986" s="10"/>
      <c r="S2986" s="10"/>
      <c r="T2986" s="10"/>
      <c r="U2986" s="10"/>
      <c r="V2986" s="10"/>
      <c r="W2986" s="10" t="s">
        <v>9020</v>
      </c>
      <c r="X2986" s="10" t="s">
        <v>130</v>
      </c>
      <c r="Y2986" s="10" t="s">
        <v>130</v>
      </c>
      <c r="Z2986" s="10" t="s">
        <v>99</v>
      </c>
      <c r="AA2986" s="10" t="s">
        <v>131</v>
      </c>
      <c r="AB2986" s="10" t="s">
        <v>9021</v>
      </c>
      <c r="AC2986" s="10" t="s">
        <v>9022</v>
      </c>
      <c r="AD2986" s="10" t="s">
        <v>165</v>
      </c>
      <c r="AE2986" s="10" t="s">
        <v>21989</v>
      </c>
      <c r="AF2986" s="15"/>
      <c r="AG2986" s="10"/>
      <c r="AH2986" s="10"/>
      <c r="AI2986" s="10"/>
      <c r="AJ2986" s="10"/>
      <c r="AK2986" s="10" t="s">
        <v>102</v>
      </c>
      <c r="AL2986" s="10"/>
      <c r="AM2986" s="10"/>
      <c r="AN2986" s="10"/>
      <c r="AO2986" s="13" t="b">
        <v>0</v>
      </c>
      <c r="AP2986" s="22" t="s">
        <v>104</v>
      </c>
      <c r="AQ2986" s="10">
        <f ca="1">IFERROR(__xludf.DUMMYFUNCTION("""COMPUTED_VALUE"""),4776345)</f>
        <v>4776345</v>
      </c>
      <c r="AR2986" s="17">
        <v>122</v>
      </c>
      <c r="AS2986" s="17">
        <v>110</v>
      </c>
      <c r="AT2986" s="17">
        <v>292.5</v>
      </c>
      <c r="AU2986" s="17">
        <v>0</v>
      </c>
      <c r="AV2986" s="17">
        <v>0</v>
      </c>
      <c r="AW2986" s="10" t="s">
        <v>105</v>
      </c>
      <c r="AX2986" s="17">
        <v>31</v>
      </c>
      <c r="AY2986" s="18">
        <v>2.6590909090909092</v>
      </c>
      <c r="AZ2986" s="10"/>
      <c r="BA2986" s="20" t="b">
        <v>0</v>
      </c>
      <c r="BB2986" s="10" t="s">
        <v>21954</v>
      </c>
      <c r="BC2986" s="17">
        <v>122</v>
      </c>
      <c r="BD2986" s="17">
        <v>110</v>
      </c>
      <c r="BE2986" s="17">
        <v>292.5</v>
      </c>
      <c r="BF2986" s="17">
        <v>0</v>
      </c>
      <c r="BG2986" s="11">
        <f ca="1">IFERROR(__xludf.DUMMYFUNCTION("""COMPUTED_VALUE"""),46005.4513888888)</f>
        <v>46005.451388888803</v>
      </c>
      <c r="BH2986" s="17" t="s">
        <v>105</v>
      </c>
      <c r="BI2986" s="17"/>
      <c r="BJ2986" s="15"/>
      <c r="BK2986" s="15"/>
      <c r="BL2986" s="13" t="b">
        <v>0</v>
      </c>
      <c r="BM2986" s="10"/>
      <c r="BN2986" s="10" t="s">
        <v>197</v>
      </c>
      <c r="BO2986" s="11">
        <v>46003.59375</v>
      </c>
      <c r="BP2986" s="11">
        <v>46003.594386574077</v>
      </c>
      <c r="BQ2986" s="15"/>
      <c r="BR2986" s="15">
        <v>46003.615289351852</v>
      </c>
      <c r="BS2986" s="10" t="s">
        <v>197</v>
      </c>
      <c r="BT2986" s="10"/>
      <c r="BU2986" s="10"/>
      <c r="BV2986" s="10"/>
      <c r="BW2986" s="10"/>
      <c r="BX2986" s="10"/>
      <c r="BY2986" s="23"/>
      <c r="BZ2986" s="23"/>
      <c r="CA2986" s="10"/>
      <c r="CB2986" s="23"/>
      <c r="CC2986" s="23"/>
      <c r="CD2986" s="23"/>
      <c r="CE2986" s="23"/>
      <c r="CF2986" s="23"/>
      <c r="CG2986" s="23"/>
      <c r="CH2986" s="23"/>
      <c r="CI2986" s="23"/>
    </row>
    <row r="2987" spans="1:87" x14ac:dyDescent="0.3">
      <c r="A2987" s="9" t="s">
        <v>21990</v>
      </c>
      <c r="B2987" s="10" t="s">
        <v>21991</v>
      </c>
      <c r="C2987" s="11">
        <v>46005.472222222219</v>
      </c>
      <c r="D2987" s="12">
        <v>2.7777777777777776E-2</v>
      </c>
      <c r="E2987" s="11">
        <v>46005.5</v>
      </c>
      <c r="F2987" s="22" t="s">
        <v>9016</v>
      </c>
      <c r="G2987" s="13" t="b">
        <v>0</v>
      </c>
      <c r="H2987" s="22" t="s">
        <v>9017</v>
      </c>
      <c r="I2987" s="10" t="s">
        <v>212</v>
      </c>
      <c r="J2987" s="13" t="b">
        <v>1</v>
      </c>
      <c r="K2987" s="13" t="b">
        <v>0</v>
      </c>
      <c r="L2987" s="10" t="s">
        <v>124</v>
      </c>
      <c r="M2987" s="10" t="s">
        <v>91</v>
      </c>
      <c r="N2987" s="10" t="s">
        <v>92</v>
      </c>
      <c r="O2987" s="19" t="s">
        <v>21992</v>
      </c>
      <c r="P2987" s="10"/>
      <c r="Q2987" s="10" t="s">
        <v>94</v>
      </c>
      <c r="R2987" s="10"/>
      <c r="S2987" s="10"/>
      <c r="T2987" s="10"/>
      <c r="U2987" s="10"/>
      <c r="V2987" s="10"/>
      <c r="W2987" s="10" t="s">
        <v>9020</v>
      </c>
      <c r="X2987" s="10" t="s">
        <v>130</v>
      </c>
      <c r="Y2987" s="10" t="s">
        <v>130</v>
      </c>
      <c r="Z2987" s="10" t="s">
        <v>99</v>
      </c>
      <c r="AA2987" s="10" t="s">
        <v>131</v>
      </c>
      <c r="AB2987" s="10" t="s">
        <v>9021</v>
      </c>
      <c r="AC2987" s="10" t="s">
        <v>9022</v>
      </c>
      <c r="AD2987" s="10" t="s">
        <v>165</v>
      </c>
      <c r="AE2987" s="10" t="s">
        <v>21993</v>
      </c>
      <c r="AF2987" s="15"/>
      <c r="AG2987" s="10"/>
      <c r="AH2987" s="10"/>
      <c r="AI2987" s="10"/>
      <c r="AJ2987" s="10"/>
      <c r="AK2987" s="10" t="s">
        <v>102</v>
      </c>
      <c r="AL2987" s="10"/>
      <c r="AM2987" s="10"/>
      <c r="AN2987" s="10"/>
      <c r="AO2987" s="13" t="b">
        <v>0</v>
      </c>
      <c r="AP2987" s="22" t="s">
        <v>104</v>
      </c>
      <c r="AQ2987" s="10">
        <f ca="1">IFERROR(__xludf.DUMMYFUNCTION("""COMPUTED_VALUE"""),4776346)</f>
        <v>4776346</v>
      </c>
      <c r="AR2987" s="17">
        <v>132</v>
      </c>
      <c r="AS2987" s="17">
        <v>123</v>
      </c>
      <c r="AT2987" s="17">
        <v>134.25</v>
      </c>
      <c r="AU2987" s="17">
        <v>0</v>
      </c>
      <c r="AV2987" s="17">
        <v>0</v>
      </c>
      <c r="AW2987" s="10" t="s">
        <v>105</v>
      </c>
      <c r="AX2987" s="17">
        <v>33</v>
      </c>
      <c r="AY2987" s="18">
        <v>1.0914634146341464</v>
      </c>
      <c r="AZ2987" s="10"/>
      <c r="BA2987" s="20" t="b">
        <v>0</v>
      </c>
      <c r="BB2987" s="10" t="s">
        <v>21954</v>
      </c>
      <c r="BC2987" s="17">
        <v>132</v>
      </c>
      <c r="BD2987" s="17">
        <v>123</v>
      </c>
      <c r="BE2987" s="17">
        <v>134.25</v>
      </c>
      <c r="BF2987" s="17">
        <v>0</v>
      </c>
      <c r="BG2987" s="11">
        <f ca="1">IFERROR(__xludf.DUMMYFUNCTION("""COMPUTED_VALUE"""),46005.4722222222)</f>
        <v>46005.472222222197</v>
      </c>
      <c r="BH2987" s="17" t="s">
        <v>105</v>
      </c>
      <c r="BI2987" s="17"/>
      <c r="BJ2987" s="15"/>
      <c r="BK2987" s="15"/>
      <c r="BL2987" s="13" t="b">
        <v>0</v>
      </c>
      <c r="BM2987" s="10"/>
      <c r="BN2987" s="10" t="s">
        <v>197</v>
      </c>
      <c r="BO2987" s="11">
        <v>46003.594444444447</v>
      </c>
      <c r="BP2987" s="11">
        <v>46003.594594907408</v>
      </c>
      <c r="BQ2987" s="15"/>
      <c r="BR2987" s="15">
        <v>46003.615381944444</v>
      </c>
      <c r="BS2987" s="10" t="s">
        <v>197</v>
      </c>
      <c r="BT2987" s="10"/>
      <c r="BU2987" s="10"/>
      <c r="BV2987" s="10"/>
      <c r="BW2987" s="10"/>
      <c r="BX2987" s="10"/>
      <c r="BY2987" s="23"/>
      <c r="BZ2987" s="23"/>
      <c r="CA2987" s="10"/>
      <c r="CB2987" s="23"/>
      <c r="CC2987" s="23"/>
      <c r="CD2987" s="23"/>
      <c r="CE2987" s="23"/>
      <c r="CF2987" s="23"/>
      <c r="CG2987" s="23"/>
      <c r="CH2987" s="23"/>
      <c r="CI2987" s="23"/>
    </row>
    <row r="2988" spans="1:87" x14ac:dyDescent="0.3">
      <c r="A2988" s="9" t="s">
        <v>21994</v>
      </c>
      <c r="B2988" s="10" t="s">
        <v>21995</v>
      </c>
      <c r="C2988" s="11">
        <v>46011.8125</v>
      </c>
      <c r="D2988" s="12">
        <v>0.16666666666666666</v>
      </c>
      <c r="E2988" s="11">
        <v>46011.979166666664</v>
      </c>
      <c r="F2988" s="22" t="s">
        <v>21915</v>
      </c>
      <c r="G2988" s="13" t="b">
        <v>0</v>
      </c>
      <c r="H2988" s="22" t="s">
        <v>88</v>
      </c>
      <c r="I2988" s="10" t="s">
        <v>89</v>
      </c>
      <c r="J2988" s="13" t="b">
        <v>0</v>
      </c>
      <c r="K2988" s="13" t="b">
        <v>1</v>
      </c>
      <c r="L2988" s="10" t="s">
        <v>124</v>
      </c>
      <c r="M2988" s="10" t="s">
        <v>91</v>
      </c>
      <c r="N2988" s="10" t="s">
        <v>265</v>
      </c>
      <c r="O2988" s="19" t="s">
        <v>21996</v>
      </c>
      <c r="P2988" s="10"/>
      <c r="Q2988" s="10" t="s">
        <v>126</v>
      </c>
      <c r="R2988" s="10"/>
      <c r="S2988" s="19" t="s">
        <v>21997</v>
      </c>
      <c r="T2988" s="10"/>
      <c r="U2988" s="10"/>
      <c r="V2988" s="10"/>
      <c r="W2988" s="10" t="s">
        <v>21918</v>
      </c>
      <c r="X2988" s="10" t="s">
        <v>21724</v>
      </c>
      <c r="Y2988" s="10" t="s">
        <v>21724</v>
      </c>
      <c r="Z2988" s="10" t="s">
        <v>99</v>
      </c>
      <c r="AA2988" s="10" t="s">
        <v>131</v>
      </c>
      <c r="AB2988" s="10" t="s">
        <v>21919</v>
      </c>
      <c r="AC2988" s="10" t="s">
        <v>21920</v>
      </c>
      <c r="AD2988" s="10" t="s">
        <v>165</v>
      </c>
      <c r="AE2988" s="10" t="s">
        <v>21998</v>
      </c>
      <c r="AF2988" s="15"/>
      <c r="AG2988" s="10"/>
      <c r="AH2988" s="10"/>
      <c r="AI2988" s="10"/>
      <c r="AJ2988" s="10"/>
      <c r="AK2988" s="10" t="s">
        <v>102</v>
      </c>
      <c r="AL2988" s="10" t="s">
        <v>220</v>
      </c>
      <c r="AM2988" s="10"/>
      <c r="AN2988" s="10"/>
      <c r="AO2988" s="13" t="b">
        <v>0</v>
      </c>
      <c r="AP2988" s="22"/>
      <c r="AQ2988" s="10">
        <f ca="1">IFERROR(__xludf.DUMMYFUNCTION("""COMPUTED_VALUE"""),4780823)</f>
        <v>4780823</v>
      </c>
      <c r="AR2988" s="17">
        <v>4808</v>
      </c>
      <c r="AS2988" s="17">
        <v>4007</v>
      </c>
      <c r="AT2988" s="17">
        <v>30918.5</v>
      </c>
      <c r="AU2988" s="17">
        <v>10.15</v>
      </c>
      <c r="AV2988" s="17">
        <v>1.85</v>
      </c>
      <c r="AW2988" s="10" t="s">
        <v>105</v>
      </c>
      <c r="AX2988" s="17">
        <v>452</v>
      </c>
      <c r="AY2988" s="18">
        <v>7.7161217868729723</v>
      </c>
      <c r="AZ2988" s="10" t="s">
        <v>136</v>
      </c>
      <c r="BA2988" s="20" t="b">
        <v>0</v>
      </c>
      <c r="BB2988" s="10"/>
      <c r="BC2988" s="17">
        <v>4808</v>
      </c>
      <c r="BD2988" s="17">
        <v>4007</v>
      </c>
      <c r="BE2988" s="17">
        <v>30918.5</v>
      </c>
      <c r="BF2988" s="17">
        <v>1.85</v>
      </c>
      <c r="BG2988" s="11">
        <f ca="1">IFERROR(__xludf.DUMMYFUNCTION("""COMPUTED_VALUE"""),46011.8125)</f>
        <v>46011.8125</v>
      </c>
      <c r="BH2988" s="17" t="s">
        <v>105</v>
      </c>
      <c r="BI2988" s="17"/>
      <c r="BJ2988" s="15"/>
      <c r="BK2988" s="15"/>
      <c r="BL2988" s="13" t="b">
        <v>0</v>
      </c>
      <c r="BM2988" s="10"/>
      <c r="BN2988" s="10" t="s">
        <v>157</v>
      </c>
      <c r="BO2988" s="11">
        <v>46003.588194444441</v>
      </c>
      <c r="BP2988" s="11">
        <v>46003.626111111109</v>
      </c>
      <c r="BQ2988" s="15">
        <v>46005.942418981482</v>
      </c>
      <c r="BR2988" s="15">
        <v>46006.444016203706</v>
      </c>
      <c r="BS2988" s="10" t="s">
        <v>157</v>
      </c>
      <c r="BT2988" s="10"/>
      <c r="BU2988" s="10"/>
      <c r="BV2988" s="10"/>
      <c r="BW2988" s="10"/>
      <c r="BX2988" s="10"/>
      <c r="BY2988" s="23"/>
      <c r="BZ2988" s="23"/>
      <c r="CA2988" s="19" t="s">
        <v>21999</v>
      </c>
      <c r="CB2988" s="23"/>
      <c r="CC2988" s="23"/>
      <c r="CD2988" s="19" t="s">
        <v>22000</v>
      </c>
      <c r="CE2988" s="23"/>
      <c r="CF2988" s="23"/>
      <c r="CG2988" s="23"/>
      <c r="CH2988" s="23"/>
      <c r="CI2988" s="23"/>
    </row>
    <row r="2989" spans="1:87" x14ac:dyDescent="0.3">
      <c r="A2989" s="25" t="s">
        <v>22001</v>
      </c>
      <c r="B2989" s="10" t="s">
        <v>22002</v>
      </c>
      <c r="C2989" s="11">
        <v>46053.9375</v>
      </c>
      <c r="D2989" s="12">
        <v>8.3333333333333329E-2</v>
      </c>
      <c r="E2989" s="11">
        <v>46054.020833333336</v>
      </c>
      <c r="F2989" s="22" t="s">
        <v>3687</v>
      </c>
      <c r="G2989" s="13" t="b">
        <v>0</v>
      </c>
      <c r="H2989" s="22"/>
      <c r="I2989" s="10" t="s">
        <v>89</v>
      </c>
      <c r="J2989" s="13" t="b">
        <v>0</v>
      </c>
      <c r="K2989" s="13" t="b">
        <v>1</v>
      </c>
      <c r="L2989" s="10" t="s">
        <v>124</v>
      </c>
      <c r="M2989" s="10" t="s">
        <v>91</v>
      </c>
      <c r="N2989" s="10" t="s">
        <v>92</v>
      </c>
      <c r="O2989" s="10"/>
      <c r="P2989" s="10"/>
      <c r="Q2989" s="10" t="s">
        <v>126</v>
      </c>
      <c r="R2989" s="10"/>
      <c r="S2989" s="10"/>
      <c r="T2989" s="10"/>
      <c r="U2989" s="10" t="s">
        <v>3727</v>
      </c>
      <c r="V2989" s="10" t="s">
        <v>7720</v>
      </c>
      <c r="W2989" s="10" t="s">
        <v>3692</v>
      </c>
      <c r="X2989" s="10" t="s">
        <v>130</v>
      </c>
      <c r="Y2989" s="10" t="s">
        <v>130</v>
      </c>
      <c r="Z2989" s="10" t="s">
        <v>99</v>
      </c>
      <c r="AA2989" s="10" t="s">
        <v>131</v>
      </c>
      <c r="AB2989" s="10" t="s">
        <v>3693</v>
      </c>
      <c r="AC2989" s="10" t="s">
        <v>3694</v>
      </c>
      <c r="AD2989" s="10" t="s">
        <v>22003</v>
      </c>
      <c r="AE2989" s="10" t="s">
        <v>22004</v>
      </c>
      <c r="AF2989" s="15"/>
      <c r="AG2989" s="10"/>
      <c r="AH2989" s="10"/>
      <c r="AI2989" s="10"/>
      <c r="AJ2989" s="10"/>
      <c r="AK2989" s="10"/>
      <c r="AL2989" s="10" t="s">
        <v>2405</v>
      </c>
      <c r="AM2989" s="10"/>
      <c r="AN2989" s="10"/>
      <c r="AO2989" s="13" t="b">
        <v>0</v>
      </c>
      <c r="AP2989" s="22" t="s">
        <v>104</v>
      </c>
      <c r="AQ2989" s="10"/>
      <c r="AR2989" s="17"/>
      <c r="AS2989" s="17"/>
      <c r="AT2989" s="17"/>
      <c r="AU2989" s="17"/>
      <c r="AV2989" s="17"/>
      <c r="AW2989" s="10"/>
      <c r="AX2989" s="17"/>
      <c r="AY2989" s="18" t="s">
        <v>257</v>
      </c>
      <c r="AZ2989" s="10"/>
      <c r="BA2989" s="20" t="b">
        <v>0</v>
      </c>
      <c r="BB2989" s="10"/>
      <c r="BC2989" s="17" t="s">
        <v>257</v>
      </c>
      <c r="BD2989" s="17" t="s">
        <v>257</v>
      </c>
      <c r="BE2989" s="17" t="s">
        <v>257</v>
      </c>
      <c r="BF2989" s="17" t="s">
        <v>257</v>
      </c>
      <c r="BG2989" s="11">
        <f ca="1">IFERROR(__xludf.DUMMYFUNCTION("""COMPUTED_VALUE"""),46053.9375)</f>
        <v>46053.9375</v>
      </c>
      <c r="BH2989" s="17"/>
      <c r="BI2989" s="17"/>
      <c r="BJ2989" s="15"/>
      <c r="BK2989" s="15"/>
      <c r="BL2989" s="13" t="b">
        <v>0</v>
      </c>
      <c r="BM2989" s="10"/>
      <c r="BN2989" s="10" t="s">
        <v>18456</v>
      </c>
      <c r="BO2989" s="11">
        <v>46003.602083333331</v>
      </c>
      <c r="BP2989" s="11">
        <v>46003.602141203701</v>
      </c>
      <c r="BQ2989" s="15"/>
      <c r="BR2989" s="15"/>
      <c r="BS2989" s="10"/>
      <c r="BT2989" s="10" t="s">
        <v>99</v>
      </c>
      <c r="BU2989" s="10"/>
      <c r="BV2989" s="10"/>
      <c r="BW2989" s="10"/>
      <c r="BX2989" s="10"/>
      <c r="BY2989" s="23"/>
      <c r="BZ2989" s="23"/>
      <c r="CA2989" s="10"/>
      <c r="CB2989" s="23"/>
      <c r="CC2989" s="23"/>
      <c r="CD2989" s="23"/>
      <c r="CE2989" s="23"/>
      <c r="CF2989" s="23"/>
      <c r="CG2989" s="23"/>
      <c r="CH2989" s="23"/>
      <c r="CI2989" s="23"/>
    </row>
    <row r="2990" spans="1:87" x14ac:dyDescent="0.3">
      <c r="A2990" s="9" t="s">
        <v>22005</v>
      </c>
      <c r="B2990" s="10" t="s">
        <v>22006</v>
      </c>
      <c r="C2990" s="11">
        <v>46032.9375</v>
      </c>
      <c r="D2990" s="12">
        <v>8.3333333333333329E-2</v>
      </c>
      <c r="E2990" s="11">
        <v>46033.020833333336</v>
      </c>
      <c r="F2990" s="22" t="s">
        <v>3687</v>
      </c>
      <c r="G2990" s="13" t="b">
        <v>0</v>
      </c>
      <c r="H2990" s="22" t="s">
        <v>3478</v>
      </c>
      <c r="I2990" s="10" t="s">
        <v>89</v>
      </c>
      <c r="J2990" s="13" t="b">
        <v>0</v>
      </c>
      <c r="K2990" s="13" t="b">
        <v>1</v>
      </c>
      <c r="L2990" s="10" t="s">
        <v>124</v>
      </c>
      <c r="M2990" s="10" t="s">
        <v>91</v>
      </c>
      <c r="N2990" s="10" t="s">
        <v>92</v>
      </c>
      <c r="O2990" s="19" t="s">
        <v>22007</v>
      </c>
      <c r="P2990" s="10"/>
      <c r="Q2990" s="10" t="s">
        <v>126</v>
      </c>
      <c r="R2990" s="10"/>
      <c r="S2990" s="19" t="s">
        <v>22008</v>
      </c>
      <c r="T2990" s="10"/>
      <c r="U2990" s="10" t="s">
        <v>3727</v>
      </c>
      <c r="V2990" s="10" t="s">
        <v>7752</v>
      </c>
      <c r="W2990" s="10" t="s">
        <v>3692</v>
      </c>
      <c r="X2990" s="10" t="s">
        <v>130</v>
      </c>
      <c r="Y2990" s="10" t="s">
        <v>130</v>
      </c>
      <c r="Z2990" s="10" t="s">
        <v>99</v>
      </c>
      <c r="AA2990" s="10" t="s">
        <v>131</v>
      </c>
      <c r="AB2990" s="10" t="s">
        <v>3693</v>
      </c>
      <c r="AC2990" s="10" t="s">
        <v>3694</v>
      </c>
      <c r="AD2990" s="10" t="s">
        <v>22009</v>
      </c>
      <c r="AE2990" s="10" t="s">
        <v>22010</v>
      </c>
      <c r="AF2990" s="15"/>
      <c r="AG2990" s="10"/>
      <c r="AH2990" s="10"/>
      <c r="AI2990" s="10"/>
      <c r="AJ2990" s="10"/>
      <c r="AK2990" s="10" t="s">
        <v>102</v>
      </c>
      <c r="AL2990" s="10" t="s">
        <v>2098</v>
      </c>
      <c r="AM2990" s="10"/>
      <c r="AN2990" s="10"/>
      <c r="AO2990" s="13" t="b">
        <v>0</v>
      </c>
      <c r="AP2990" s="22" t="s">
        <v>104</v>
      </c>
      <c r="AQ2990" s="10">
        <f ca="1">IFERROR(__xludf.DUMMYFUNCTION("""COMPUTED_VALUE"""),4832300)</f>
        <v>4832300</v>
      </c>
      <c r="AR2990" s="17"/>
      <c r="AS2990" s="17"/>
      <c r="AT2990" s="17"/>
      <c r="AU2990" s="17"/>
      <c r="AV2990" s="17"/>
      <c r="AW2990" s="10"/>
      <c r="AX2990" s="17"/>
      <c r="AY2990" s="18" t="s">
        <v>257</v>
      </c>
      <c r="AZ2990" s="10" t="s">
        <v>136</v>
      </c>
      <c r="BA2990" s="20" t="b">
        <v>0</v>
      </c>
      <c r="BB2990" s="10"/>
      <c r="BC2990" s="17" t="s">
        <v>257</v>
      </c>
      <c r="BD2990" s="17" t="s">
        <v>257</v>
      </c>
      <c r="BE2990" s="17" t="s">
        <v>257</v>
      </c>
      <c r="BF2990" s="17" t="s">
        <v>257</v>
      </c>
      <c r="BG2990" s="11">
        <f ca="1">IFERROR(__xludf.DUMMYFUNCTION("""COMPUTED_VALUE"""),46032.9375)</f>
        <v>46032.9375</v>
      </c>
      <c r="BH2990" s="17"/>
      <c r="BI2990" s="17"/>
      <c r="BJ2990" s="15"/>
      <c r="BK2990" s="15"/>
      <c r="BL2990" s="13" t="b">
        <v>0</v>
      </c>
      <c r="BM2990" s="10"/>
      <c r="BN2990" s="10" t="s">
        <v>667</v>
      </c>
      <c r="BO2990" s="11">
        <v>46003.602777777778</v>
      </c>
      <c r="BP2990" s="11">
        <v>46024.541203703702</v>
      </c>
      <c r="BQ2990" s="15">
        <v>46028.434895833336</v>
      </c>
      <c r="BR2990" s="15">
        <v>46029.476770833331</v>
      </c>
      <c r="BS2990" s="10" t="s">
        <v>667</v>
      </c>
      <c r="BT2990" s="10" t="s">
        <v>99</v>
      </c>
      <c r="BU2990" s="10" t="s">
        <v>280</v>
      </c>
      <c r="BV2990" s="10"/>
      <c r="BW2990" s="10"/>
      <c r="BX2990" s="10"/>
      <c r="BY2990" s="23"/>
      <c r="BZ2990" s="23"/>
      <c r="CA2990" s="19" t="s">
        <v>22011</v>
      </c>
      <c r="CB2990" s="19" t="s">
        <v>22012</v>
      </c>
      <c r="CC2990" s="23"/>
      <c r="CD2990" s="19" t="s">
        <v>22013</v>
      </c>
      <c r="CE2990" s="23"/>
      <c r="CF2990" s="23"/>
      <c r="CG2990" s="23"/>
      <c r="CH2990" s="23"/>
      <c r="CI2990" s="23"/>
    </row>
    <row r="2991" spans="1:87" x14ac:dyDescent="0.3">
      <c r="A2991" s="9" t="s">
        <v>22014</v>
      </c>
      <c r="B2991" s="10" t="s">
        <v>22015</v>
      </c>
      <c r="C2991" s="11">
        <v>46054.125</v>
      </c>
      <c r="D2991" s="12">
        <v>8.3333333333333329E-2</v>
      </c>
      <c r="E2991" s="11">
        <v>46054.208333333336</v>
      </c>
      <c r="F2991" s="22" t="s">
        <v>3687</v>
      </c>
      <c r="G2991" s="13" t="b">
        <v>0</v>
      </c>
      <c r="H2991" s="22"/>
      <c r="I2991" s="10" t="s">
        <v>89</v>
      </c>
      <c r="J2991" s="13" t="b">
        <v>0</v>
      </c>
      <c r="K2991" s="13" t="b">
        <v>1</v>
      </c>
      <c r="L2991" s="10" t="s">
        <v>124</v>
      </c>
      <c r="M2991" s="10" t="s">
        <v>91</v>
      </c>
      <c r="N2991" s="10" t="s">
        <v>92</v>
      </c>
      <c r="O2991" s="10"/>
      <c r="P2991" s="10"/>
      <c r="Q2991" s="10" t="s">
        <v>126</v>
      </c>
      <c r="R2991" s="10"/>
      <c r="S2991" s="10"/>
      <c r="T2991" s="10"/>
      <c r="U2991" s="10" t="s">
        <v>3705</v>
      </c>
      <c r="V2991" s="10" t="s">
        <v>3728</v>
      </c>
      <c r="W2991" s="10" t="s">
        <v>3692</v>
      </c>
      <c r="X2991" s="10" t="s">
        <v>130</v>
      </c>
      <c r="Y2991" s="10" t="s">
        <v>130</v>
      </c>
      <c r="Z2991" s="10" t="s">
        <v>99</v>
      </c>
      <c r="AA2991" s="10" t="s">
        <v>131</v>
      </c>
      <c r="AB2991" s="10" t="s">
        <v>3693</v>
      </c>
      <c r="AC2991" s="10" t="s">
        <v>3694</v>
      </c>
      <c r="AD2991" s="10" t="s">
        <v>22016</v>
      </c>
      <c r="AE2991" s="10" t="s">
        <v>22017</v>
      </c>
      <c r="AF2991" s="15"/>
      <c r="AG2991" s="10"/>
      <c r="AH2991" s="10"/>
      <c r="AI2991" s="10"/>
      <c r="AJ2991" s="10"/>
      <c r="AK2991" s="10"/>
      <c r="AL2991" s="10" t="s">
        <v>2405</v>
      </c>
      <c r="AM2991" s="10"/>
      <c r="AN2991" s="10"/>
      <c r="AO2991" s="13" t="b">
        <v>0</v>
      </c>
      <c r="AP2991" s="22" t="s">
        <v>104</v>
      </c>
      <c r="AQ2991" s="10"/>
      <c r="AR2991" s="17"/>
      <c r="AS2991" s="17"/>
      <c r="AT2991" s="17"/>
      <c r="AU2991" s="17"/>
      <c r="AV2991" s="17"/>
      <c r="AW2991" s="10"/>
      <c r="AX2991" s="17"/>
      <c r="AY2991" s="18" t="s">
        <v>257</v>
      </c>
      <c r="AZ2991" s="10"/>
      <c r="BA2991" s="20" t="b">
        <v>0</v>
      </c>
      <c r="BB2991" s="10"/>
      <c r="BC2991" s="17" t="s">
        <v>257</v>
      </c>
      <c r="BD2991" s="17" t="s">
        <v>257</v>
      </c>
      <c r="BE2991" s="17" t="s">
        <v>257</v>
      </c>
      <c r="BF2991" s="17" t="s">
        <v>257</v>
      </c>
      <c r="BG2991" s="11">
        <f ca="1">IFERROR(__xludf.DUMMYFUNCTION("""COMPUTED_VALUE"""),46054.125)</f>
        <v>46054.125</v>
      </c>
      <c r="BH2991" s="17"/>
      <c r="BI2991" s="17"/>
      <c r="BJ2991" s="15"/>
      <c r="BK2991" s="15"/>
      <c r="BL2991" s="13" t="b">
        <v>0</v>
      </c>
      <c r="BM2991" s="10"/>
      <c r="BN2991" s="10" t="s">
        <v>18456</v>
      </c>
      <c r="BO2991" s="11">
        <v>46003.602777777778</v>
      </c>
      <c r="BP2991" s="11">
        <v>46003.603344907409</v>
      </c>
      <c r="BQ2991" s="15"/>
      <c r="BR2991" s="15"/>
      <c r="BS2991" s="10"/>
      <c r="BT2991" s="10" t="s">
        <v>99</v>
      </c>
      <c r="BU2991" s="10"/>
      <c r="BV2991" s="10"/>
      <c r="BW2991" s="10"/>
      <c r="BX2991" s="10"/>
      <c r="BY2991" s="23"/>
      <c r="BZ2991" s="23"/>
      <c r="CA2991" s="10"/>
      <c r="CB2991" s="23"/>
      <c r="CC2991" s="23"/>
      <c r="CD2991" s="23"/>
      <c r="CE2991" s="23"/>
      <c r="CF2991" s="23"/>
      <c r="CG2991" s="23"/>
      <c r="CH2991" s="23"/>
      <c r="CI2991" s="23"/>
    </row>
    <row r="2992" spans="1:87" x14ac:dyDescent="0.3">
      <c r="A2992" s="9" t="s">
        <v>22018</v>
      </c>
      <c r="B2992" s="10" t="s">
        <v>22019</v>
      </c>
      <c r="C2992" s="11">
        <v>46033.083333333336</v>
      </c>
      <c r="D2992" s="12">
        <v>8.3333333333333329E-2</v>
      </c>
      <c r="E2992" s="11">
        <v>46033.166666666664</v>
      </c>
      <c r="F2992" s="22" t="s">
        <v>3687</v>
      </c>
      <c r="G2992" s="13" t="b">
        <v>0</v>
      </c>
      <c r="H2992" s="22" t="s">
        <v>88</v>
      </c>
      <c r="I2992" s="10" t="s">
        <v>89</v>
      </c>
      <c r="J2992" s="13" t="b">
        <v>0</v>
      </c>
      <c r="K2992" s="13" t="b">
        <v>1</v>
      </c>
      <c r="L2992" s="10" t="s">
        <v>124</v>
      </c>
      <c r="M2992" s="10" t="s">
        <v>91</v>
      </c>
      <c r="N2992" s="10" t="s">
        <v>92</v>
      </c>
      <c r="O2992" s="19" t="s">
        <v>22020</v>
      </c>
      <c r="P2992" s="10"/>
      <c r="Q2992" s="10" t="s">
        <v>126</v>
      </c>
      <c r="R2992" s="10"/>
      <c r="S2992" s="19" t="s">
        <v>22021</v>
      </c>
      <c r="T2992" s="10"/>
      <c r="U2992" s="10" t="s">
        <v>3704</v>
      </c>
      <c r="V2992" s="10" t="s">
        <v>7708</v>
      </c>
      <c r="W2992" s="10" t="s">
        <v>3692</v>
      </c>
      <c r="X2992" s="10" t="s">
        <v>130</v>
      </c>
      <c r="Y2992" s="10" t="s">
        <v>130</v>
      </c>
      <c r="Z2992" s="10" t="s">
        <v>99</v>
      </c>
      <c r="AA2992" s="10" t="s">
        <v>131</v>
      </c>
      <c r="AB2992" s="10" t="s">
        <v>3693</v>
      </c>
      <c r="AC2992" s="10" t="s">
        <v>3694</v>
      </c>
      <c r="AD2992" s="10" t="s">
        <v>22022</v>
      </c>
      <c r="AE2992" s="10" t="s">
        <v>22023</v>
      </c>
      <c r="AF2992" s="15"/>
      <c r="AG2992" s="10"/>
      <c r="AH2992" s="10"/>
      <c r="AI2992" s="10"/>
      <c r="AJ2992" s="10"/>
      <c r="AK2992" s="10" t="s">
        <v>102</v>
      </c>
      <c r="AL2992" s="10" t="s">
        <v>2098</v>
      </c>
      <c r="AM2992" s="10"/>
      <c r="AN2992" s="10"/>
      <c r="AO2992" s="13" t="b">
        <v>0</v>
      </c>
      <c r="AP2992" s="22" t="s">
        <v>104</v>
      </c>
      <c r="AQ2992" s="10">
        <f ca="1">IFERROR(__xludf.DUMMYFUNCTION("""COMPUTED_VALUE"""),4832528)</f>
        <v>4832528</v>
      </c>
      <c r="AR2992" s="17"/>
      <c r="AS2992" s="17"/>
      <c r="AT2992" s="17"/>
      <c r="AU2992" s="17"/>
      <c r="AV2992" s="17"/>
      <c r="AW2992" s="10"/>
      <c r="AX2992" s="17"/>
      <c r="AY2992" s="18" t="s">
        <v>257</v>
      </c>
      <c r="AZ2992" s="10" t="s">
        <v>136</v>
      </c>
      <c r="BA2992" s="20" t="b">
        <v>0</v>
      </c>
      <c r="BB2992" s="10"/>
      <c r="BC2992" s="17" t="s">
        <v>257</v>
      </c>
      <c r="BD2992" s="17" t="s">
        <v>257</v>
      </c>
      <c r="BE2992" s="17" t="s">
        <v>257</v>
      </c>
      <c r="BF2992" s="17" t="s">
        <v>257</v>
      </c>
      <c r="BG2992" s="11">
        <f ca="1">IFERROR(__xludf.DUMMYFUNCTION("""COMPUTED_VALUE"""),46033.0833333333)</f>
        <v>46033.083333333299</v>
      </c>
      <c r="BH2992" s="17"/>
      <c r="BI2992" s="17"/>
      <c r="BJ2992" s="15"/>
      <c r="BK2992" s="15"/>
      <c r="BL2992" s="13" t="b">
        <v>0</v>
      </c>
      <c r="BM2992" s="10"/>
      <c r="BN2992" s="10" t="s">
        <v>667</v>
      </c>
      <c r="BO2992" s="11">
        <v>46003.603472222225</v>
      </c>
      <c r="BP2992" s="11">
        <v>46024.847314814811</v>
      </c>
      <c r="BQ2992" s="15">
        <v>46028.436678240738</v>
      </c>
      <c r="BR2992" s="15">
        <v>46030.409780092596</v>
      </c>
      <c r="BS2992" s="10" t="s">
        <v>667</v>
      </c>
      <c r="BT2992" s="10" t="s">
        <v>99</v>
      </c>
      <c r="BU2992" s="10" t="s">
        <v>280</v>
      </c>
      <c r="BV2992" s="10"/>
      <c r="BW2992" s="10"/>
      <c r="BX2992" s="10"/>
      <c r="BY2992" s="23"/>
      <c r="BZ2992" s="23"/>
      <c r="CA2992" s="19" t="s">
        <v>22024</v>
      </c>
      <c r="CB2992" s="19" t="s">
        <v>22025</v>
      </c>
      <c r="CC2992" s="23"/>
      <c r="CD2992" s="19" t="s">
        <v>22026</v>
      </c>
      <c r="CE2992" s="23"/>
      <c r="CF2992" s="23"/>
      <c r="CG2992" s="23"/>
      <c r="CH2992" s="23"/>
      <c r="CI2992" s="23"/>
    </row>
    <row r="2993" spans="1:87" x14ac:dyDescent="0.3">
      <c r="A2993" s="9" t="s">
        <v>22027</v>
      </c>
      <c r="B2993" s="10" t="s">
        <v>22028</v>
      </c>
      <c r="C2993" s="11">
        <v>46054.760416666664</v>
      </c>
      <c r="D2993" s="12">
        <v>8.3333333333333329E-2</v>
      </c>
      <c r="E2993" s="11">
        <v>46054.84375</v>
      </c>
      <c r="F2993" s="22" t="s">
        <v>3687</v>
      </c>
      <c r="G2993" s="13" t="b">
        <v>0</v>
      </c>
      <c r="H2993" s="22"/>
      <c r="I2993" s="10" t="s">
        <v>89</v>
      </c>
      <c r="J2993" s="13" t="b">
        <v>0</v>
      </c>
      <c r="K2993" s="13" t="b">
        <v>1</v>
      </c>
      <c r="L2993" s="10" t="s">
        <v>124</v>
      </c>
      <c r="M2993" s="10" t="s">
        <v>91</v>
      </c>
      <c r="N2993" s="10" t="s">
        <v>92</v>
      </c>
      <c r="O2993" s="10"/>
      <c r="P2993" s="10"/>
      <c r="Q2993" s="10" t="s">
        <v>126</v>
      </c>
      <c r="R2993" s="10"/>
      <c r="S2993" s="10"/>
      <c r="T2993" s="10"/>
      <c r="U2993" s="10" t="s">
        <v>7708</v>
      </c>
      <c r="V2993" s="10" t="s">
        <v>3715</v>
      </c>
      <c r="W2993" s="10" t="s">
        <v>3692</v>
      </c>
      <c r="X2993" s="10" t="s">
        <v>130</v>
      </c>
      <c r="Y2993" s="10" t="s">
        <v>130</v>
      </c>
      <c r="Z2993" s="10" t="s">
        <v>99</v>
      </c>
      <c r="AA2993" s="10" t="s">
        <v>131</v>
      </c>
      <c r="AB2993" s="10" t="s">
        <v>3693</v>
      </c>
      <c r="AC2993" s="10" t="s">
        <v>3694</v>
      </c>
      <c r="AD2993" s="10" t="s">
        <v>22029</v>
      </c>
      <c r="AE2993" s="10" t="s">
        <v>22030</v>
      </c>
      <c r="AF2993" s="15"/>
      <c r="AG2993" s="10"/>
      <c r="AH2993" s="10"/>
      <c r="AI2993" s="10"/>
      <c r="AJ2993" s="10"/>
      <c r="AK2993" s="10"/>
      <c r="AL2993" s="10" t="s">
        <v>2405</v>
      </c>
      <c r="AM2993" s="10"/>
      <c r="AN2993" s="10"/>
      <c r="AO2993" s="13" t="b">
        <v>0</v>
      </c>
      <c r="AP2993" s="22" t="s">
        <v>104</v>
      </c>
      <c r="AQ2993" s="10"/>
      <c r="AR2993" s="17"/>
      <c r="AS2993" s="17"/>
      <c r="AT2993" s="17"/>
      <c r="AU2993" s="17"/>
      <c r="AV2993" s="17"/>
      <c r="AW2993" s="10"/>
      <c r="AX2993" s="17"/>
      <c r="AY2993" s="18" t="s">
        <v>257</v>
      </c>
      <c r="AZ2993" s="10"/>
      <c r="BA2993" s="20" t="b">
        <v>0</v>
      </c>
      <c r="BB2993" s="10"/>
      <c r="BC2993" s="17" t="s">
        <v>257</v>
      </c>
      <c r="BD2993" s="17" t="s">
        <v>257</v>
      </c>
      <c r="BE2993" s="17" t="s">
        <v>257</v>
      </c>
      <c r="BF2993" s="17" t="s">
        <v>257</v>
      </c>
      <c r="BG2993" s="11">
        <f ca="1">IFERROR(__xludf.DUMMYFUNCTION("""COMPUTED_VALUE"""),46054.7604166666)</f>
        <v>46054.760416666599</v>
      </c>
      <c r="BH2993" s="17"/>
      <c r="BI2993" s="17"/>
      <c r="BJ2993" s="15"/>
      <c r="BK2993" s="15"/>
      <c r="BL2993" s="13" t="b">
        <v>0</v>
      </c>
      <c r="BM2993" s="10"/>
      <c r="BN2993" s="10" t="s">
        <v>18456</v>
      </c>
      <c r="BO2993" s="11">
        <v>46003.603472222225</v>
      </c>
      <c r="BP2993" s="11">
        <v>46003.604108796295</v>
      </c>
      <c r="BQ2993" s="15"/>
      <c r="BR2993" s="15"/>
      <c r="BS2993" s="10"/>
      <c r="BT2993" s="10" t="s">
        <v>99</v>
      </c>
      <c r="BU2993" s="10"/>
      <c r="BV2993" s="10"/>
      <c r="BW2993" s="10"/>
      <c r="BX2993" s="10"/>
      <c r="BY2993" s="23"/>
      <c r="BZ2993" s="23"/>
      <c r="CA2993" s="10"/>
      <c r="CB2993" s="23"/>
      <c r="CC2993" s="23"/>
      <c r="CD2993" s="23"/>
      <c r="CE2993" s="23"/>
      <c r="CF2993" s="23"/>
      <c r="CG2993" s="23"/>
      <c r="CH2993" s="23"/>
      <c r="CI2993" s="23"/>
    </row>
    <row r="2994" spans="1:87" x14ac:dyDescent="0.3">
      <c r="A2994" s="9" t="s">
        <v>22031</v>
      </c>
      <c r="B2994" s="10" t="s">
        <v>22032</v>
      </c>
      <c r="C2994" s="11">
        <v>46033.760416666664</v>
      </c>
      <c r="D2994" s="12">
        <v>8.3333333333333329E-2</v>
      </c>
      <c r="E2994" s="11">
        <v>46033.84375</v>
      </c>
      <c r="F2994" s="22" t="s">
        <v>3687</v>
      </c>
      <c r="G2994" s="13" t="b">
        <v>0</v>
      </c>
      <c r="H2994" s="22" t="s">
        <v>88</v>
      </c>
      <c r="I2994" s="10" t="s">
        <v>89</v>
      </c>
      <c r="J2994" s="13" t="b">
        <v>0</v>
      </c>
      <c r="K2994" s="13" t="b">
        <v>1</v>
      </c>
      <c r="L2994" s="10" t="s">
        <v>124</v>
      </c>
      <c r="M2994" s="10" t="s">
        <v>91</v>
      </c>
      <c r="N2994" s="10" t="s">
        <v>92</v>
      </c>
      <c r="O2994" s="19" t="s">
        <v>22033</v>
      </c>
      <c r="P2994" s="10"/>
      <c r="Q2994" s="10" t="s">
        <v>126</v>
      </c>
      <c r="R2994" s="10"/>
      <c r="S2994" s="19" t="s">
        <v>22034</v>
      </c>
      <c r="T2994" s="10"/>
      <c r="U2994" s="10" t="s">
        <v>8689</v>
      </c>
      <c r="V2994" s="10" t="s">
        <v>3690</v>
      </c>
      <c r="W2994" s="10" t="s">
        <v>3692</v>
      </c>
      <c r="X2994" s="10" t="s">
        <v>130</v>
      </c>
      <c r="Y2994" s="10" t="s">
        <v>130</v>
      </c>
      <c r="Z2994" s="10" t="s">
        <v>99</v>
      </c>
      <c r="AA2994" s="10" t="s">
        <v>131</v>
      </c>
      <c r="AB2994" s="10" t="s">
        <v>3693</v>
      </c>
      <c r="AC2994" s="10" t="s">
        <v>3694</v>
      </c>
      <c r="AD2994" s="10" t="s">
        <v>22035</v>
      </c>
      <c r="AE2994" s="10" t="s">
        <v>22036</v>
      </c>
      <c r="AF2994" s="15"/>
      <c r="AG2994" s="10"/>
      <c r="AH2994" s="10"/>
      <c r="AI2994" s="10"/>
      <c r="AJ2994" s="10"/>
      <c r="AK2994" s="10" t="s">
        <v>102</v>
      </c>
      <c r="AL2994" s="10" t="s">
        <v>2098</v>
      </c>
      <c r="AM2994" s="10"/>
      <c r="AN2994" s="10"/>
      <c r="AO2994" s="13" t="b">
        <v>0</v>
      </c>
      <c r="AP2994" s="22" t="s">
        <v>104</v>
      </c>
      <c r="AQ2994" s="10">
        <f ca="1">IFERROR(__xludf.DUMMYFUNCTION("""COMPUTED_VALUE"""),4832530)</f>
        <v>4832530</v>
      </c>
      <c r="AR2994" s="17"/>
      <c r="AS2994" s="17"/>
      <c r="AT2994" s="17"/>
      <c r="AU2994" s="17"/>
      <c r="AV2994" s="17"/>
      <c r="AW2994" s="10"/>
      <c r="AX2994" s="17"/>
      <c r="AY2994" s="18" t="s">
        <v>257</v>
      </c>
      <c r="AZ2994" s="10" t="s">
        <v>136</v>
      </c>
      <c r="BA2994" s="20" t="b">
        <v>0</v>
      </c>
      <c r="BB2994" s="10"/>
      <c r="BC2994" s="17" t="s">
        <v>257</v>
      </c>
      <c r="BD2994" s="17" t="s">
        <v>257</v>
      </c>
      <c r="BE2994" s="17" t="s">
        <v>257</v>
      </c>
      <c r="BF2994" s="17" t="s">
        <v>257</v>
      </c>
      <c r="BG2994" s="11">
        <f ca="1">IFERROR(__xludf.DUMMYFUNCTION("""COMPUTED_VALUE"""),46033.7604166666)</f>
        <v>46033.760416666599</v>
      </c>
      <c r="BH2994" s="17"/>
      <c r="BI2994" s="17"/>
      <c r="BJ2994" s="15"/>
      <c r="BK2994" s="15"/>
      <c r="BL2994" s="13" t="b">
        <v>0</v>
      </c>
      <c r="BM2994" s="10"/>
      <c r="BN2994" s="10" t="s">
        <v>634</v>
      </c>
      <c r="BO2994" s="11">
        <v>46003.604166666664</v>
      </c>
      <c r="BP2994" s="11">
        <v>46024.847407407404</v>
      </c>
      <c r="BQ2994" s="15">
        <v>46028.437002314815</v>
      </c>
      <c r="BR2994" s="15">
        <v>46030.410162037035</v>
      </c>
      <c r="BS2994" s="10" t="s">
        <v>634</v>
      </c>
      <c r="BT2994" s="10" t="s">
        <v>99</v>
      </c>
      <c r="BU2994" s="10" t="s">
        <v>5046</v>
      </c>
      <c r="BV2994" s="10"/>
      <c r="BW2994" s="10"/>
      <c r="BX2994" s="10"/>
      <c r="BY2994" s="23"/>
      <c r="BZ2994" s="23"/>
      <c r="CA2994" s="19" t="s">
        <v>22037</v>
      </c>
      <c r="CB2994" s="19" t="s">
        <v>22038</v>
      </c>
      <c r="CC2994" s="23"/>
      <c r="CD2994" s="19" t="s">
        <v>22039</v>
      </c>
      <c r="CE2994" s="23"/>
      <c r="CF2994" s="23"/>
      <c r="CG2994" s="23"/>
      <c r="CH2994" s="23"/>
      <c r="CI2994" s="23"/>
    </row>
    <row r="2995" spans="1:87" x14ac:dyDescent="0.3">
      <c r="A2995" s="9" t="s">
        <v>22040</v>
      </c>
      <c r="B2995" s="10" t="s">
        <v>22041</v>
      </c>
      <c r="C2995" s="11">
        <v>46054.854166666664</v>
      </c>
      <c r="D2995" s="12">
        <v>8.3333333333333329E-2</v>
      </c>
      <c r="E2995" s="11">
        <v>46054.9375</v>
      </c>
      <c r="F2995" s="22" t="s">
        <v>3687</v>
      </c>
      <c r="G2995" s="13" t="b">
        <v>0</v>
      </c>
      <c r="H2995" s="22"/>
      <c r="I2995" s="10" t="s">
        <v>89</v>
      </c>
      <c r="J2995" s="13" t="b">
        <v>0</v>
      </c>
      <c r="K2995" s="13" t="b">
        <v>1</v>
      </c>
      <c r="L2995" s="10" t="s">
        <v>124</v>
      </c>
      <c r="M2995" s="10" t="s">
        <v>91</v>
      </c>
      <c r="N2995" s="10" t="s">
        <v>92</v>
      </c>
      <c r="O2995" s="10"/>
      <c r="P2995" s="10"/>
      <c r="Q2995" s="10" t="s">
        <v>126</v>
      </c>
      <c r="R2995" s="10"/>
      <c r="S2995" s="10"/>
      <c r="T2995" s="10"/>
      <c r="U2995" s="10" t="s">
        <v>3704</v>
      </c>
      <c r="V2995" s="10" t="s">
        <v>3690</v>
      </c>
      <c r="W2995" s="10" t="s">
        <v>3692</v>
      </c>
      <c r="X2995" s="10" t="s">
        <v>130</v>
      </c>
      <c r="Y2995" s="10" t="s">
        <v>130</v>
      </c>
      <c r="Z2995" s="10" t="s">
        <v>99</v>
      </c>
      <c r="AA2995" s="10" t="s">
        <v>131</v>
      </c>
      <c r="AB2995" s="10" t="s">
        <v>3693</v>
      </c>
      <c r="AC2995" s="10" t="s">
        <v>3694</v>
      </c>
      <c r="AD2995" s="10" t="s">
        <v>22042</v>
      </c>
      <c r="AE2995" s="10" t="s">
        <v>22043</v>
      </c>
      <c r="AF2995" s="15"/>
      <c r="AG2995" s="10"/>
      <c r="AH2995" s="10"/>
      <c r="AI2995" s="10"/>
      <c r="AJ2995" s="10"/>
      <c r="AK2995" s="10"/>
      <c r="AL2995" s="10" t="s">
        <v>2405</v>
      </c>
      <c r="AM2995" s="10"/>
      <c r="AN2995" s="10"/>
      <c r="AO2995" s="13" t="b">
        <v>0</v>
      </c>
      <c r="AP2995" s="22" t="s">
        <v>104</v>
      </c>
      <c r="AQ2995" s="10"/>
      <c r="AR2995" s="17"/>
      <c r="AS2995" s="17"/>
      <c r="AT2995" s="17"/>
      <c r="AU2995" s="17"/>
      <c r="AV2995" s="17"/>
      <c r="AW2995" s="10"/>
      <c r="AX2995" s="17"/>
      <c r="AY2995" s="18" t="s">
        <v>257</v>
      </c>
      <c r="AZ2995" s="10"/>
      <c r="BA2995" s="20" t="b">
        <v>0</v>
      </c>
      <c r="BB2995" s="10"/>
      <c r="BC2995" s="17" t="s">
        <v>257</v>
      </c>
      <c r="BD2995" s="17" t="s">
        <v>257</v>
      </c>
      <c r="BE2995" s="17" t="s">
        <v>257</v>
      </c>
      <c r="BF2995" s="17" t="s">
        <v>257</v>
      </c>
      <c r="BG2995" s="11">
        <f ca="1">IFERROR(__xludf.DUMMYFUNCTION("""COMPUTED_VALUE"""),46054.8541666666)</f>
        <v>46054.854166666599</v>
      </c>
      <c r="BH2995" s="17"/>
      <c r="BI2995" s="17"/>
      <c r="BJ2995" s="15"/>
      <c r="BK2995" s="15"/>
      <c r="BL2995" s="13" t="b">
        <v>0</v>
      </c>
      <c r="BM2995" s="10"/>
      <c r="BN2995" s="10" t="s">
        <v>18456</v>
      </c>
      <c r="BO2995" s="11">
        <v>46003.604861111111</v>
      </c>
      <c r="BP2995" s="11">
        <v>46003.605069444442</v>
      </c>
      <c r="BQ2995" s="15"/>
      <c r="BR2995" s="15"/>
      <c r="BS2995" s="10"/>
      <c r="BT2995" s="10" t="s">
        <v>99</v>
      </c>
      <c r="BU2995" s="10"/>
      <c r="BV2995" s="10"/>
      <c r="BW2995" s="10"/>
      <c r="BX2995" s="10"/>
      <c r="BY2995" s="23"/>
      <c r="BZ2995" s="23"/>
      <c r="CA2995" s="10"/>
      <c r="CB2995" s="23"/>
      <c r="CC2995" s="23"/>
      <c r="CD2995" s="23"/>
      <c r="CE2995" s="23"/>
      <c r="CF2995" s="23"/>
      <c r="CG2995" s="23"/>
      <c r="CH2995" s="23"/>
      <c r="CI2995" s="23"/>
    </row>
    <row r="2996" spans="1:87" x14ac:dyDescent="0.3">
      <c r="A2996" s="9" t="s">
        <v>22044</v>
      </c>
      <c r="B2996" s="10" t="s">
        <v>22045</v>
      </c>
      <c r="C2996" s="11">
        <v>46033.854166666664</v>
      </c>
      <c r="D2996" s="12">
        <v>8.3333333333333329E-2</v>
      </c>
      <c r="E2996" s="11">
        <v>46033.9375</v>
      </c>
      <c r="F2996" s="22" t="s">
        <v>3687</v>
      </c>
      <c r="G2996" s="13" t="b">
        <v>0</v>
      </c>
      <c r="H2996" s="22" t="s">
        <v>88</v>
      </c>
      <c r="I2996" s="10" t="s">
        <v>89</v>
      </c>
      <c r="J2996" s="13" t="b">
        <v>0</v>
      </c>
      <c r="K2996" s="13" t="b">
        <v>1</v>
      </c>
      <c r="L2996" s="10" t="s">
        <v>124</v>
      </c>
      <c r="M2996" s="10" t="s">
        <v>91</v>
      </c>
      <c r="N2996" s="10" t="s">
        <v>92</v>
      </c>
      <c r="O2996" s="19" t="s">
        <v>22046</v>
      </c>
      <c r="P2996" s="10"/>
      <c r="Q2996" s="10" t="s">
        <v>126</v>
      </c>
      <c r="R2996" s="10"/>
      <c r="S2996" s="19" t="s">
        <v>22047</v>
      </c>
      <c r="T2996" s="10"/>
      <c r="U2996" s="10" t="s">
        <v>3716</v>
      </c>
      <c r="V2996" s="10" t="s">
        <v>3715</v>
      </c>
      <c r="W2996" s="10" t="s">
        <v>3692</v>
      </c>
      <c r="X2996" s="10" t="s">
        <v>130</v>
      </c>
      <c r="Y2996" s="10" t="s">
        <v>130</v>
      </c>
      <c r="Z2996" s="10" t="s">
        <v>99</v>
      </c>
      <c r="AA2996" s="10" t="s">
        <v>131</v>
      </c>
      <c r="AB2996" s="10" t="s">
        <v>3693</v>
      </c>
      <c r="AC2996" s="10" t="s">
        <v>3694</v>
      </c>
      <c r="AD2996" s="10" t="s">
        <v>22048</v>
      </c>
      <c r="AE2996" s="10" t="s">
        <v>22049</v>
      </c>
      <c r="AF2996" s="15"/>
      <c r="AG2996" s="10"/>
      <c r="AH2996" s="10"/>
      <c r="AI2996" s="10"/>
      <c r="AJ2996" s="10"/>
      <c r="AK2996" s="10" t="s">
        <v>102</v>
      </c>
      <c r="AL2996" s="10" t="s">
        <v>2098</v>
      </c>
      <c r="AM2996" s="10"/>
      <c r="AN2996" s="10"/>
      <c r="AO2996" s="13" t="b">
        <v>0</v>
      </c>
      <c r="AP2996" s="22" t="s">
        <v>104</v>
      </c>
      <c r="AQ2996" s="10">
        <f ca="1">IFERROR(__xludf.DUMMYFUNCTION("""COMPUTED_VALUE"""),4832532)</f>
        <v>4832532</v>
      </c>
      <c r="AR2996" s="17"/>
      <c r="AS2996" s="17"/>
      <c r="AT2996" s="17"/>
      <c r="AU2996" s="17"/>
      <c r="AV2996" s="17"/>
      <c r="AW2996" s="10"/>
      <c r="AX2996" s="17"/>
      <c r="AY2996" s="18" t="s">
        <v>257</v>
      </c>
      <c r="AZ2996" s="10" t="s">
        <v>136</v>
      </c>
      <c r="BA2996" s="20" t="b">
        <v>0</v>
      </c>
      <c r="BB2996" s="10"/>
      <c r="BC2996" s="17" t="s">
        <v>257</v>
      </c>
      <c r="BD2996" s="17" t="s">
        <v>257</v>
      </c>
      <c r="BE2996" s="17" t="s">
        <v>257</v>
      </c>
      <c r="BF2996" s="17" t="s">
        <v>257</v>
      </c>
      <c r="BG2996" s="11">
        <f ca="1">IFERROR(__xludf.DUMMYFUNCTION("""COMPUTED_VALUE"""),46033.8541666666)</f>
        <v>46033.854166666599</v>
      </c>
      <c r="BH2996" s="17"/>
      <c r="BI2996" s="17"/>
      <c r="BJ2996" s="15"/>
      <c r="BK2996" s="15"/>
      <c r="BL2996" s="13" t="b">
        <v>0</v>
      </c>
      <c r="BM2996" s="10"/>
      <c r="BN2996" s="10" t="s">
        <v>634</v>
      </c>
      <c r="BO2996" s="11">
        <v>46003.604861111111</v>
      </c>
      <c r="BP2996" s="11">
        <v>46024.847500000003</v>
      </c>
      <c r="BQ2996" s="15">
        <v>46028.437372685185</v>
      </c>
      <c r="BR2996" s="15">
        <v>46030.410370370373</v>
      </c>
      <c r="BS2996" s="10" t="s">
        <v>634</v>
      </c>
      <c r="BT2996" s="10" t="s">
        <v>99</v>
      </c>
      <c r="BU2996" s="10" t="s">
        <v>931</v>
      </c>
      <c r="BV2996" s="10"/>
      <c r="BW2996" s="10"/>
      <c r="BX2996" s="10"/>
      <c r="BY2996" s="23"/>
      <c r="BZ2996" s="23"/>
      <c r="CA2996" s="19" t="s">
        <v>22050</v>
      </c>
      <c r="CB2996" s="19" t="s">
        <v>22051</v>
      </c>
      <c r="CC2996" s="23"/>
      <c r="CD2996" s="19" t="s">
        <v>22052</v>
      </c>
      <c r="CE2996" s="23"/>
      <c r="CF2996" s="23"/>
      <c r="CG2996" s="23"/>
      <c r="CH2996" s="23"/>
      <c r="CI2996" s="23"/>
    </row>
    <row r="2997" spans="1:87" x14ac:dyDescent="0.3">
      <c r="A2997" s="9" t="s">
        <v>22053</v>
      </c>
      <c r="B2997" s="10" t="s">
        <v>22054</v>
      </c>
      <c r="C2997" s="11">
        <v>46046.9375</v>
      </c>
      <c r="D2997" s="12">
        <v>8.3333333333333329E-2</v>
      </c>
      <c r="E2997" s="11">
        <v>46047.020833333336</v>
      </c>
      <c r="F2997" s="22" t="s">
        <v>3687</v>
      </c>
      <c r="G2997" s="13" t="b">
        <v>0</v>
      </c>
      <c r="H2997" s="22"/>
      <c r="I2997" s="10" t="s">
        <v>89</v>
      </c>
      <c r="J2997" s="13" t="b">
        <v>0</v>
      </c>
      <c r="K2997" s="13" t="b">
        <v>1</v>
      </c>
      <c r="L2997" s="10" t="s">
        <v>124</v>
      </c>
      <c r="M2997" s="10" t="s">
        <v>91</v>
      </c>
      <c r="N2997" s="10" t="s">
        <v>92</v>
      </c>
      <c r="O2997" s="10"/>
      <c r="P2997" s="10"/>
      <c r="Q2997" s="10" t="s">
        <v>126</v>
      </c>
      <c r="R2997" s="10"/>
      <c r="S2997" s="10"/>
      <c r="T2997" s="10"/>
      <c r="U2997" s="10" t="s">
        <v>3715</v>
      </c>
      <c r="V2997" s="10" t="s">
        <v>7752</v>
      </c>
      <c r="W2997" s="10" t="s">
        <v>3692</v>
      </c>
      <c r="X2997" s="10" t="s">
        <v>130</v>
      </c>
      <c r="Y2997" s="10" t="s">
        <v>130</v>
      </c>
      <c r="Z2997" s="10" t="s">
        <v>99</v>
      </c>
      <c r="AA2997" s="10" t="s">
        <v>131</v>
      </c>
      <c r="AB2997" s="10" t="s">
        <v>3693</v>
      </c>
      <c r="AC2997" s="10" t="s">
        <v>3694</v>
      </c>
      <c r="AD2997" s="10" t="s">
        <v>22055</v>
      </c>
      <c r="AE2997" s="10" t="s">
        <v>22056</v>
      </c>
      <c r="AF2997" s="15"/>
      <c r="AG2997" s="10"/>
      <c r="AH2997" s="10"/>
      <c r="AI2997" s="10"/>
      <c r="AJ2997" s="10"/>
      <c r="AK2997" s="10"/>
      <c r="AL2997" s="10" t="s">
        <v>2303</v>
      </c>
      <c r="AM2997" s="10"/>
      <c r="AN2997" s="10"/>
      <c r="AO2997" s="13" t="b">
        <v>0</v>
      </c>
      <c r="AP2997" s="22" t="s">
        <v>104</v>
      </c>
      <c r="AQ2997" s="10"/>
      <c r="AR2997" s="17"/>
      <c r="AS2997" s="17"/>
      <c r="AT2997" s="17"/>
      <c r="AU2997" s="17"/>
      <c r="AV2997" s="17"/>
      <c r="AW2997" s="10"/>
      <c r="AX2997" s="17"/>
      <c r="AY2997" s="18" t="s">
        <v>257</v>
      </c>
      <c r="AZ2997" s="10"/>
      <c r="BA2997" s="20" t="b">
        <v>0</v>
      </c>
      <c r="BB2997" s="10"/>
      <c r="BC2997" s="17" t="s">
        <v>257</v>
      </c>
      <c r="BD2997" s="17" t="s">
        <v>257</v>
      </c>
      <c r="BE2997" s="17" t="s">
        <v>257</v>
      </c>
      <c r="BF2997" s="17" t="s">
        <v>257</v>
      </c>
      <c r="BG2997" s="11">
        <f ca="1">IFERROR(__xludf.DUMMYFUNCTION("""COMPUTED_VALUE"""),46046.9375)</f>
        <v>46046.9375</v>
      </c>
      <c r="BH2997" s="17"/>
      <c r="BI2997" s="17"/>
      <c r="BJ2997" s="15"/>
      <c r="BK2997" s="15"/>
      <c r="BL2997" s="13" t="b">
        <v>0</v>
      </c>
      <c r="BM2997" s="10"/>
      <c r="BN2997" s="10" t="s">
        <v>18456</v>
      </c>
      <c r="BO2997" s="11">
        <v>46003.605555555558</v>
      </c>
      <c r="BP2997" s="11">
        <v>46003.605682870373</v>
      </c>
      <c r="BQ2997" s="15"/>
      <c r="BR2997" s="15"/>
      <c r="BS2997" s="10"/>
      <c r="BT2997" s="10" t="s">
        <v>99</v>
      </c>
      <c r="BU2997" s="10"/>
      <c r="BV2997" s="10"/>
      <c r="BW2997" s="10"/>
      <c r="BX2997" s="10"/>
      <c r="BY2997" s="23"/>
      <c r="BZ2997" s="23"/>
      <c r="CA2997" s="10"/>
      <c r="CB2997" s="23"/>
      <c r="CC2997" s="23"/>
      <c r="CD2997" s="23"/>
      <c r="CE2997" s="23"/>
      <c r="CF2997" s="23"/>
      <c r="CG2997" s="23"/>
      <c r="CH2997" s="23"/>
      <c r="CI2997" s="23"/>
    </row>
    <row r="2998" spans="1:87" x14ac:dyDescent="0.3">
      <c r="A2998" s="9" t="s">
        <v>22057</v>
      </c>
      <c r="B2998" s="10" t="s">
        <v>22058</v>
      </c>
      <c r="C2998" s="11">
        <v>46039.9375</v>
      </c>
      <c r="D2998" s="12">
        <v>8.3333333333333329E-2</v>
      </c>
      <c r="E2998" s="11">
        <v>46040.020833333336</v>
      </c>
      <c r="F2998" s="22" t="s">
        <v>3687</v>
      </c>
      <c r="G2998" s="13" t="b">
        <v>0</v>
      </c>
      <c r="H2998" s="22"/>
      <c r="I2998" s="10" t="s">
        <v>89</v>
      </c>
      <c r="J2998" s="13" t="b">
        <v>0</v>
      </c>
      <c r="K2998" s="13" t="b">
        <v>1</v>
      </c>
      <c r="L2998" s="10" t="s">
        <v>124</v>
      </c>
      <c r="M2998" s="10" t="s">
        <v>91</v>
      </c>
      <c r="N2998" s="10" t="s">
        <v>92</v>
      </c>
      <c r="O2998" s="10"/>
      <c r="P2998" s="10"/>
      <c r="Q2998" s="10" t="s">
        <v>126</v>
      </c>
      <c r="R2998" s="10"/>
      <c r="S2998" s="10"/>
      <c r="T2998" s="10"/>
      <c r="U2998" s="10" t="s">
        <v>3715</v>
      </c>
      <c r="V2998" s="10" t="s">
        <v>4993</v>
      </c>
      <c r="W2998" s="10" t="s">
        <v>3692</v>
      </c>
      <c r="X2998" s="10" t="s">
        <v>130</v>
      </c>
      <c r="Y2998" s="10" t="s">
        <v>130</v>
      </c>
      <c r="Z2998" s="10" t="s">
        <v>99</v>
      </c>
      <c r="AA2998" s="10" t="s">
        <v>131</v>
      </c>
      <c r="AB2998" s="10" t="s">
        <v>3693</v>
      </c>
      <c r="AC2998" s="10" t="s">
        <v>3694</v>
      </c>
      <c r="AD2998" s="10" t="s">
        <v>22059</v>
      </c>
      <c r="AE2998" s="10" t="s">
        <v>22060</v>
      </c>
      <c r="AF2998" s="15"/>
      <c r="AG2998" s="10"/>
      <c r="AH2998" s="10"/>
      <c r="AI2998" s="10"/>
      <c r="AJ2998" s="10"/>
      <c r="AK2998" s="10"/>
      <c r="AL2998" s="10" t="s">
        <v>2201</v>
      </c>
      <c r="AM2998" s="10"/>
      <c r="AN2998" s="10"/>
      <c r="AO2998" s="13" t="b">
        <v>0</v>
      </c>
      <c r="AP2998" s="22" t="s">
        <v>104</v>
      </c>
      <c r="AQ2998" s="10"/>
      <c r="AR2998" s="17"/>
      <c r="AS2998" s="17"/>
      <c r="AT2998" s="17"/>
      <c r="AU2998" s="17"/>
      <c r="AV2998" s="17"/>
      <c r="AW2998" s="10"/>
      <c r="AX2998" s="17"/>
      <c r="AY2998" s="18" t="s">
        <v>257</v>
      </c>
      <c r="AZ2998" s="10"/>
      <c r="BA2998" s="20" t="b">
        <v>0</v>
      </c>
      <c r="BB2998" s="10"/>
      <c r="BC2998" s="17" t="s">
        <v>257</v>
      </c>
      <c r="BD2998" s="17" t="s">
        <v>257</v>
      </c>
      <c r="BE2998" s="17" t="s">
        <v>257</v>
      </c>
      <c r="BF2998" s="17" t="s">
        <v>257</v>
      </c>
      <c r="BG2998" s="11">
        <f ca="1">IFERROR(__xludf.DUMMYFUNCTION("""COMPUTED_VALUE"""),46039.9375)</f>
        <v>46039.9375</v>
      </c>
      <c r="BH2998" s="17"/>
      <c r="BI2998" s="17"/>
      <c r="BJ2998" s="15"/>
      <c r="BK2998" s="15"/>
      <c r="BL2998" s="13" t="b">
        <v>0</v>
      </c>
      <c r="BM2998" s="10"/>
      <c r="BN2998" s="10" t="s">
        <v>10749</v>
      </c>
      <c r="BO2998" s="11">
        <v>46003.605555555558</v>
      </c>
      <c r="BP2998" s="11">
        <v>46003.606053240743</v>
      </c>
      <c r="BQ2998" s="15"/>
      <c r="BR2998" s="15"/>
      <c r="BS2998" s="10"/>
      <c r="BT2998" s="10" t="s">
        <v>99</v>
      </c>
      <c r="BU2998" s="10"/>
      <c r="BV2998" s="10"/>
      <c r="BW2998" s="10"/>
      <c r="BX2998" s="10"/>
      <c r="BY2998" s="23"/>
      <c r="BZ2998" s="23"/>
      <c r="CA2998" s="10"/>
      <c r="CB2998" s="23"/>
      <c r="CC2998" s="23"/>
      <c r="CD2998" s="23"/>
      <c r="CE2998" s="23"/>
      <c r="CF2998" s="23"/>
      <c r="CG2998" s="23"/>
      <c r="CH2998" s="23"/>
      <c r="CI2998" s="23"/>
    </row>
    <row r="2999" spans="1:87" x14ac:dyDescent="0.3">
      <c r="A2999" s="9" t="s">
        <v>22061</v>
      </c>
      <c r="B2999" s="10" t="s">
        <v>22062</v>
      </c>
      <c r="C2999" s="11">
        <v>46047.083333333336</v>
      </c>
      <c r="D2999" s="12">
        <v>8.3333333333333329E-2</v>
      </c>
      <c r="E2999" s="11">
        <v>46047.166666666664</v>
      </c>
      <c r="F2999" s="22" t="s">
        <v>3687</v>
      </c>
      <c r="G2999" s="13" t="b">
        <v>0</v>
      </c>
      <c r="H2999" s="22"/>
      <c r="I2999" s="10" t="s">
        <v>89</v>
      </c>
      <c r="J2999" s="13" t="b">
        <v>0</v>
      </c>
      <c r="K2999" s="13" t="b">
        <v>1</v>
      </c>
      <c r="L2999" s="10" t="s">
        <v>124</v>
      </c>
      <c r="M2999" s="10" t="s">
        <v>91</v>
      </c>
      <c r="N2999" s="10" t="s">
        <v>92</v>
      </c>
      <c r="O2999" s="10"/>
      <c r="P2999" s="10"/>
      <c r="Q2999" s="10" t="s">
        <v>126</v>
      </c>
      <c r="R2999" s="10"/>
      <c r="S2999" s="10"/>
      <c r="T2999" s="10"/>
      <c r="U2999" s="10" t="s">
        <v>3704</v>
      </c>
      <c r="V2999" s="10" t="s">
        <v>3691</v>
      </c>
      <c r="W2999" s="10" t="s">
        <v>3692</v>
      </c>
      <c r="X2999" s="10" t="s">
        <v>130</v>
      </c>
      <c r="Y2999" s="10" t="s">
        <v>130</v>
      </c>
      <c r="Z2999" s="10" t="s">
        <v>99</v>
      </c>
      <c r="AA2999" s="10" t="s">
        <v>131</v>
      </c>
      <c r="AB2999" s="10" t="s">
        <v>3693</v>
      </c>
      <c r="AC2999" s="10" t="s">
        <v>3694</v>
      </c>
      <c r="AD2999" s="10" t="s">
        <v>22063</v>
      </c>
      <c r="AE2999" s="10" t="s">
        <v>22064</v>
      </c>
      <c r="AF2999" s="15"/>
      <c r="AG2999" s="10"/>
      <c r="AH2999" s="10"/>
      <c r="AI2999" s="10"/>
      <c r="AJ2999" s="10"/>
      <c r="AK2999" s="10"/>
      <c r="AL2999" s="10" t="s">
        <v>2303</v>
      </c>
      <c r="AM2999" s="10"/>
      <c r="AN2999" s="10"/>
      <c r="AO2999" s="13" t="b">
        <v>0</v>
      </c>
      <c r="AP2999" s="22" t="s">
        <v>104</v>
      </c>
      <c r="AQ2999" s="10"/>
      <c r="AR2999" s="17"/>
      <c r="AS2999" s="17"/>
      <c r="AT2999" s="17"/>
      <c r="AU2999" s="17"/>
      <c r="AV2999" s="17"/>
      <c r="AW2999" s="10"/>
      <c r="AX2999" s="17"/>
      <c r="AY2999" s="18" t="s">
        <v>257</v>
      </c>
      <c r="AZ2999" s="10"/>
      <c r="BA2999" s="20" t="b">
        <v>0</v>
      </c>
      <c r="BB2999" s="10"/>
      <c r="BC2999" s="17" t="s">
        <v>257</v>
      </c>
      <c r="BD2999" s="17" t="s">
        <v>257</v>
      </c>
      <c r="BE2999" s="17" t="s">
        <v>257</v>
      </c>
      <c r="BF2999" s="17" t="s">
        <v>257</v>
      </c>
      <c r="BG2999" s="11">
        <f ca="1">IFERROR(__xludf.DUMMYFUNCTION("""COMPUTED_VALUE"""),46047.0833333333)</f>
        <v>46047.083333333299</v>
      </c>
      <c r="BH2999" s="17"/>
      <c r="BI2999" s="17"/>
      <c r="BJ2999" s="15"/>
      <c r="BK2999" s="15"/>
      <c r="BL2999" s="13" t="b">
        <v>0</v>
      </c>
      <c r="BM2999" s="10"/>
      <c r="BN2999" s="10" t="s">
        <v>18456</v>
      </c>
      <c r="BO2999" s="11">
        <v>46003.606249999997</v>
      </c>
      <c r="BP2999" s="11">
        <v>46003.606504629628</v>
      </c>
      <c r="BQ2999" s="15"/>
      <c r="BR2999" s="15"/>
      <c r="BS2999" s="10"/>
      <c r="BT2999" s="10" t="s">
        <v>99</v>
      </c>
      <c r="BU2999" s="10"/>
      <c r="BV2999" s="10"/>
      <c r="BW2999" s="10"/>
      <c r="BX2999" s="10"/>
      <c r="BY2999" s="23"/>
      <c r="BZ2999" s="23"/>
      <c r="CA2999" s="10"/>
      <c r="CB2999" s="23"/>
      <c r="CC2999" s="23"/>
      <c r="CD2999" s="23"/>
      <c r="CE2999" s="23"/>
      <c r="CF2999" s="23"/>
      <c r="CG2999" s="23"/>
      <c r="CH2999" s="23"/>
      <c r="CI2999" s="23"/>
    </row>
    <row r="3000" spans="1:87" x14ac:dyDescent="0.3">
      <c r="A3000" s="9" t="s">
        <v>22065</v>
      </c>
      <c r="B3000" s="10" t="s">
        <v>22066</v>
      </c>
      <c r="C3000" s="11">
        <v>46040.03125</v>
      </c>
      <c r="D3000" s="12">
        <v>8.3333333333333329E-2</v>
      </c>
      <c r="E3000" s="11">
        <v>46040.114583333336</v>
      </c>
      <c r="F3000" s="22" t="s">
        <v>3687</v>
      </c>
      <c r="G3000" s="13" t="b">
        <v>0</v>
      </c>
      <c r="H3000" s="22"/>
      <c r="I3000" s="10" t="s">
        <v>89</v>
      </c>
      <c r="J3000" s="13" t="b">
        <v>0</v>
      </c>
      <c r="K3000" s="13" t="b">
        <v>1</v>
      </c>
      <c r="L3000" s="10" t="s">
        <v>124</v>
      </c>
      <c r="M3000" s="10" t="s">
        <v>91</v>
      </c>
      <c r="N3000" s="10" t="s">
        <v>92</v>
      </c>
      <c r="O3000" s="10"/>
      <c r="P3000" s="10"/>
      <c r="Q3000" s="10" t="s">
        <v>126</v>
      </c>
      <c r="R3000" s="10"/>
      <c r="S3000" s="10"/>
      <c r="T3000" s="10"/>
      <c r="U3000" s="10" t="s">
        <v>8468</v>
      </c>
      <c r="V3000" s="10" t="s">
        <v>3727</v>
      </c>
      <c r="W3000" s="10" t="s">
        <v>3692</v>
      </c>
      <c r="X3000" s="10" t="s">
        <v>130</v>
      </c>
      <c r="Y3000" s="10" t="s">
        <v>130</v>
      </c>
      <c r="Z3000" s="10" t="s">
        <v>99</v>
      </c>
      <c r="AA3000" s="10" t="s">
        <v>131</v>
      </c>
      <c r="AB3000" s="10" t="s">
        <v>3693</v>
      </c>
      <c r="AC3000" s="10" t="s">
        <v>3694</v>
      </c>
      <c r="AD3000" s="10" t="s">
        <v>22067</v>
      </c>
      <c r="AE3000" s="10" t="s">
        <v>22068</v>
      </c>
      <c r="AF3000" s="15"/>
      <c r="AG3000" s="10"/>
      <c r="AH3000" s="10"/>
      <c r="AI3000" s="10"/>
      <c r="AJ3000" s="10"/>
      <c r="AK3000" s="10"/>
      <c r="AL3000" s="10" t="s">
        <v>2201</v>
      </c>
      <c r="AM3000" s="10"/>
      <c r="AN3000" s="10"/>
      <c r="AO3000" s="13" t="b">
        <v>0</v>
      </c>
      <c r="AP3000" s="22" t="s">
        <v>104</v>
      </c>
      <c r="AQ3000" s="10"/>
      <c r="AR3000" s="17"/>
      <c r="AS3000" s="17"/>
      <c r="AT3000" s="17"/>
      <c r="AU3000" s="17"/>
      <c r="AV3000" s="17"/>
      <c r="AW3000" s="10"/>
      <c r="AX3000" s="17"/>
      <c r="AY3000" s="18" t="s">
        <v>257</v>
      </c>
      <c r="AZ3000" s="10"/>
      <c r="BA3000" s="20" t="b">
        <v>0</v>
      </c>
      <c r="BB3000" s="10"/>
      <c r="BC3000" s="17" t="s">
        <v>257</v>
      </c>
      <c r="BD3000" s="17" t="s">
        <v>257</v>
      </c>
      <c r="BE3000" s="17" t="s">
        <v>257</v>
      </c>
      <c r="BF3000" s="17" t="s">
        <v>257</v>
      </c>
      <c r="BG3000" s="11">
        <f ca="1">IFERROR(__xludf.DUMMYFUNCTION("""COMPUTED_VALUE"""),46040.03125)</f>
        <v>46040.03125</v>
      </c>
      <c r="BH3000" s="17"/>
      <c r="BI3000" s="17"/>
      <c r="BJ3000" s="15"/>
      <c r="BK3000" s="15"/>
      <c r="BL3000" s="13" t="b">
        <v>0</v>
      </c>
      <c r="BM3000" s="10"/>
      <c r="BN3000" s="10" t="s">
        <v>10749</v>
      </c>
      <c r="BO3000" s="11">
        <v>46003.606249999997</v>
      </c>
      <c r="BP3000" s="11">
        <v>46003.606666666667</v>
      </c>
      <c r="BQ3000" s="15"/>
      <c r="BR3000" s="15"/>
      <c r="BS3000" s="10"/>
      <c r="BT3000" s="10" t="s">
        <v>99</v>
      </c>
      <c r="BU3000" s="10"/>
      <c r="BV3000" s="10"/>
      <c r="BW3000" s="10"/>
      <c r="BX3000" s="10"/>
      <c r="BY3000" s="23"/>
      <c r="BZ3000" s="23"/>
      <c r="CA3000" s="10"/>
      <c r="CB3000" s="23"/>
      <c r="CC3000" s="23"/>
      <c r="CD3000" s="23"/>
      <c r="CE3000" s="23"/>
      <c r="CF3000" s="23"/>
      <c r="CG3000" s="23"/>
      <c r="CH3000" s="23"/>
      <c r="CI3000" s="23"/>
    </row>
    <row r="3001" spans="1:87" x14ac:dyDescent="0.3">
      <c r="A3001" s="9" t="s">
        <v>22069</v>
      </c>
      <c r="B3001" s="10" t="s">
        <v>22070</v>
      </c>
      <c r="C3001" s="11">
        <v>46040.083333333336</v>
      </c>
      <c r="D3001" s="12">
        <v>8.3333333333333329E-2</v>
      </c>
      <c r="E3001" s="11">
        <v>46040.166666666664</v>
      </c>
      <c r="F3001" s="22" t="s">
        <v>3687</v>
      </c>
      <c r="G3001" s="13" t="b">
        <v>0</v>
      </c>
      <c r="H3001" s="22"/>
      <c r="I3001" s="10" t="s">
        <v>89</v>
      </c>
      <c r="J3001" s="13" t="b">
        <v>0</v>
      </c>
      <c r="K3001" s="13" t="b">
        <v>1</v>
      </c>
      <c r="L3001" s="10" t="s">
        <v>124</v>
      </c>
      <c r="M3001" s="10" t="s">
        <v>91</v>
      </c>
      <c r="N3001" s="10" t="s">
        <v>92</v>
      </c>
      <c r="O3001" s="10"/>
      <c r="P3001" s="10"/>
      <c r="Q3001" s="10" t="s">
        <v>126</v>
      </c>
      <c r="R3001" s="10"/>
      <c r="S3001" s="10"/>
      <c r="T3001" s="10"/>
      <c r="U3001" s="10" t="s">
        <v>4992</v>
      </c>
      <c r="V3001" s="10" t="s">
        <v>3704</v>
      </c>
      <c r="W3001" s="10" t="s">
        <v>3692</v>
      </c>
      <c r="X3001" s="10" t="s">
        <v>130</v>
      </c>
      <c r="Y3001" s="10" t="s">
        <v>130</v>
      </c>
      <c r="Z3001" s="10" t="s">
        <v>99</v>
      </c>
      <c r="AA3001" s="10" t="s">
        <v>131</v>
      </c>
      <c r="AB3001" s="10" t="s">
        <v>3693</v>
      </c>
      <c r="AC3001" s="10" t="s">
        <v>3694</v>
      </c>
      <c r="AD3001" s="10" t="s">
        <v>22071</v>
      </c>
      <c r="AE3001" s="10" t="s">
        <v>22072</v>
      </c>
      <c r="AF3001" s="15"/>
      <c r="AG3001" s="10"/>
      <c r="AH3001" s="10"/>
      <c r="AI3001" s="10"/>
      <c r="AJ3001" s="10"/>
      <c r="AK3001" s="10"/>
      <c r="AL3001" s="10" t="s">
        <v>2201</v>
      </c>
      <c r="AM3001" s="10"/>
      <c r="AN3001" s="10"/>
      <c r="AO3001" s="13" t="b">
        <v>0</v>
      </c>
      <c r="AP3001" s="22" t="s">
        <v>104</v>
      </c>
      <c r="AQ3001" s="10"/>
      <c r="AR3001" s="17"/>
      <c r="AS3001" s="17"/>
      <c r="AT3001" s="17"/>
      <c r="AU3001" s="17"/>
      <c r="AV3001" s="17"/>
      <c r="AW3001" s="10"/>
      <c r="AX3001" s="17"/>
      <c r="AY3001" s="18" t="s">
        <v>257</v>
      </c>
      <c r="AZ3001" s="10"/>
      <c r="BA3001" s="20" t="b">
        <v>0</v>
      </c>
      <c r="BB3001" s="10"/>
      <c r="BC3001" s="17" t="s">
        <v>257</v>
      </c>
      <c r="BD3001" s="17" t="s">
        <v>257</v>
      </c>
      <c r="BE3001" s="17" t="s">
        <v>257</v>
      </c>
      <c r="BF3001" s="17" t="s">
        <v>257</v>
      </c>
      <c r="BG3001" s="11">
        <f ca="1">IFERROR(__xludf.DUMMYFUNCTION("""COMPUTED_VALUE"""),46040.0833333333)</f>
        <v>46040.083333333299</v>
      </c>
      <c r="BH3001" s="17"/>
      <c r="BI3001" s="17"/>
      <c r="BJ3001" s="15"/>
      <c r="BK3001" s="15"/>
      <c r="BL3001" s="13" t="b">
        <v>0</v>
      </c>
      <c r="BM3001" s="10"/>
      <c r="BN3001" s="10" t="s">
        <v>10749</v>
      </c>
      <c r="BO3001" s="11">
        <v>46003.606944444444</v>
      </c>
      <c r="BP3001" s="11">
        <v>46003.607418981483</v>
      </c>
      <c r="BQ3001" s="15"/>
      <c r="BR3001" s="15"/>
      <c r="BS3001" s="10"/>
      <c r="BT3001" s="10" t="s">
        <v>99</v>
      </c>
      <c r="BU3001" s="10"/>
      <c r="BV3001" s="10"/>
      <c r="BW3001" s="10"/>
      <c r="BX3001" s="10"/>
      <c r="BY3001" s="23"/>
      <c r="BZ3001" s="23"/>
      <c r="CA3001" s="10"/>
      <c r="CB3001" s="23"/>
      <c r="CC3001" s="23"/>
      <c r="CD3001" s="23"/>
      <c r="CE3001" s="23"/>
      <c r="CF3001" s="23"/>
      <c r="CG3001" s="23"/>
      <c r="CH3001" s="23"/>
      <c r="CI3001" s="23"/>
    </row>
    <row r="3002" spans="1:87" x14ac:dyDescent="0.3">
      <c r="A3002" s="9" t="s">
        <v>22073</v>
      </c>
      <c r="B3002" s="10" t="s">
        <v>22074</v>
      </c>
      <c r="C3002" s="11">
        <v>46047.760416666664</v>
      </c>
      <c r="D3002" s="12">
        <v>8.3333333333333329E-2</v>
      </c>
      <c r="E3002" s="11">
        <v>46047.84375</v>
      </c>
      <c r="F3002" s="22" t="s">
        <v>3687</v>
      </c>
      <c r="G3002" s="13" t="b">
        <v>0</v>
      </c>
      <c r="H3002" s="22"/>
      <c r="I3002" s="10" t="s">
        <v>89</v>
      </c>
      <c r="J3002" s="13" t="b">
        <v>0</v>
      </c>
      <c r="K3002" s="13" t="b">
        <v>1</v>
      </c>
      <c r="L3002" s="10" t="s">
        <v>124</v>
      </c>
      <c r="M3002" s="10" t="s">
        <v>91</v>
      </c>
      <c r="N3002" s="10" t="s">
        <v>92</v>
      </c>
      <c r="O3002" s="10"/>
      <c r="P3002" s="10"/>
      <c r="Q3002" s="10" t="s">
        <v>126</v>
      </c>
      <c r="R3002" s="10"/>
      <c r="S3002" s="10"/>
      <c r="T3002" s="10"/>
      <c r="U3002" s="10" t="s">
        <v>3716</v>
      </c>
      <c r="V3002" s="10" t="s">
        <v>3727</v>
      </c>
      <c r="W3002" s="10" t="s">
        <v>3692</v>
      </c>
      <c r="X3002" s="10" t="s">
        <v>130</v>
      </c>
      <c r="Y3002" s="10" t="s">
        <v>130</v>
      </c>
      <c r="Z3002" s="10" t="s">
        <v>99</v>
      </c>
      <c r="AA3002" s="10" t="s">
        <v>131</v>
      </c>
      <c r="AB3002" s="10" t="s">
        <v>3693</v>
      </c>
      <c r="AC3002" s="10" t="s">
        <v>3694</v>
      </c>
      <c r="AD3002" s="10" t="s">
        <v>22075</v>
      </c>
      <c r="AE3002" s="10" t="s">
        <v>22076</v>
      </c>
      <c r="AF3002" s="15"/>
      <c r="AG3002" s="10"/>
      <c r="AH3002" s="10"/>
      <c r="AI3002" s="10"/>
      <c r="AJ3002" s="10"/>
      <c r="AK3002" s="10"/>
      <c r="AL3002" s="10" t="s">
        <v>2303</v>
      </c>
      <c r="AM3002" s="10"/>
      <c r="AN3002" s="10"/>
      <c r="AO3002" s="13" t="b">
        <v>0</v>
      </c>
      <c r="AP3002" s="22" t="s">
        <v>104</v>
      </c>
      <c r="AQ3002" s="10"/>
      <c r="AR3002" s="17"/>
      <c r="AS3002" s="17"/>
      <c r="AT3002" s="17"/>
      <c r="AU3002" s="17"/>
      <c r="AV3002" s="17"/>
      <c r="AW3002" s="10"/>
      <c r="AX3002" s="17"/>
      <c r="AY3002" s="18" t="s">
        <v>257</v>
      </c>
      <c r="AZ3002" s="10"/>
      <c r="BA3002" s="20" t="b">
        <v>0</v>
      </c>
      <c r="BB3002" s="10"/>
      <c r="BC3002" s="17" t="s">
        <v>257</v>
      </c>
      <c r="BD3002" s="17" t="s">
        <v>257</v>
      </c>
      <c r="BE3002" s="17" t="s">
        <v>257</v>
      </c>
      <c r="BF3002" s="17" t="s">
        <v>257</v>
      </c>
      <c r="BG3002" s="11">
        <f ca="1">IFERROR(__xludf.DUMMYFUNCTION("""COMPUTED_VALUE"""),46047.7604166666)</f>
        <v>46047.760416666599</v>
      </c>
      <c r="BH3002" s="17"/>
      <c r="BI3002" s="17"/>
      <c r="BJ3002" s="15"/>
      <c r="BK3002" s="15"/>
      <c r="BL3002" s="13" t="b">
        <v>0</v>
      </c>
      <c r="BM3002" s="10"/>
      <c r="BN3002" s="10" t="s">
        <v>18456</v>
      </c>
      <c r="BO3002" s="11">
        <v>46003.606944444444</v>
      </c>
      <c r="BP3002" s="11">
        <v>46003.607303240744</v>
      </c>
      <c r="BQ3002" s="15"/>
      <c r="BR3002" s="15"/>
      <c r="BS3002" s="10"/>
      <c r="BT3002" s="10" t="s">
        <v>99</v>
      </c>
      <c r="BU3002" s="10"/>
      <c r="BV3002" s="10"/>
      <c r="BW3002" s="10"/>
      <c r="BX3002" s="10"/>
      <c r="BY3002" s="23"/>
      <c r="BZ3002" s="23"/>
      <c r="CA3002" s="10"/>
      <c r="CB3002" s="23"/>
      <c r="CC3002" s="23"/>
      <c r="CD3002" s="23"/>
      <c r="CE3002" s="23"/>
      <c r="CF3002" s="23"/>
      <c r="CG3002" s="23"/>
      <c r="CH3002" s="23"/>
      <c r="CI3002" s="23"/>
    </row>
    <row r="3003" spans="1:87" x14ac:dyDescent="0.3">
      <c r="A3003" s="9" t="s">
        <v>22077</v>
      </c>
      <c r="B3003" s="10" t="s">
        <v>22078</v>
      </c>
      <c r="C3003" s="11">
        <v>46040.947916666664</v>
      </c>
      <c r="D3003" s="12">
        <v>8.3333333333333329E-2</v>
      </c>
      <c r="E3003" s="11">
        <v>46041.03125</v>
      </c>
      <c r="F3003" s="22" t="s">
        <v>3687</v>
      </c>
      <c r="G3003" s="13" t="b">
        <v>0</v>
      </c>
      <c r="H3003" s="22"/>
      <c r="I3003" s="10" t="s">
        <v>89</v>
      </c>
      <c r="J3003" s="13" t="b">
        <v>0</v>
      </c>
      <c r="K3003" s="13" t="b">
        <v>1</v>
      </c>
      <c r="L3003" s="10" t="s">
        <v>124</v>
      </c>
      <c r="M3003" s="10" t="s">
        <v>91</v>
      </c>
      <c r="N3003" s="10" t="s">
        <v>92</v>
      </c>
      <c r="O3003" s="10"/>
      <c r="P3003" s="10"/>
      <c r="Q3003" s="10" t="s">
        <v>126</v>
      </c>
      <c r="R3003" s="10"/>
      <c r="S3003" s="10"/>
      <c r="T3003" s="10"/>
      <c r="U3003" s="10" t="s">
        <v>3690</v>
      </c>
      <c r="V3003" s="10" t="s">
        <v>3705</v>
      </c>
      <c r="W3003" s="10" t="s">
        <v>3692</v>
      </c>
      <c r="X3003" s="10" t="s">
        <v>130</v>
      </c>
      <c r="Y3003" s="10" t="s">
        <v>130</v>
      </c>
      <c r="Z3003" s="10" t="s">
        <v>99</v>
      </c>
      <c r="AA3003" s="10" t="s">
        <v>131</v>
      </c>
      <c r="AB3003" s="10" t="s">
        <v>3693</v>
      </c>
      <c r="AC3003" s="10" t="s">
        <v>3694</v>
      </c>
      <c r="AD3003" s="10" t="s">
        <v>22079</v>
      </c>
      <c r="AE3003" s="10" t="s">
        <v>22080</v>
      </c>
      <c r="AF3003" s="15"/>
      <c r="AG3003" s="10"/>
      <c r="AH3003" s="10"/>
      <c r="AI3003" s="10"/>
      <c r="AJ3003" s="10"/>
      <c r="AK3003" s="10"/>
      <c r="AL3003" s="10" t="s">
        <v>2201</v>
      </c>
      <c r="AM3003" s="10"/>
      <c r="AN3003" s="10"/>
      <c r="AO3003" s="13" t="b">
        <v>0</v>
      </c>
      <c r="AP3003" s="22" t="s">
        <v>104</v>
      </c>
      <c r="AQ3003" s="10"/>
      <c r="AR3003" s="17"/>
      <c r="AS3003" s="17"/>
      <c r="AT3003" s="17"/>
      <c r="AU3003" s="17"/>
      <c r="AV3003" s="17"/>
      <c r="AW3003" s="10"/>
      <c r="AX3003" s="17"/>
      <c r="AY3003" s="18" t="s">
        <v>257</v>
      </c>
      <c r="AZ3003" s="10"/>
      <c r="BA3003" s="20" t="b">
        <v>0</v>
      </c>
      <c r="BB3003" s="10"/>
      <c r="BC3003" s="17" t="s">
        <v>257</v>
      </c>
      <c r="BD3003" s="17" t="s">
        <v>257</v>
      </c>
      <c r="BE3003" s="17" t="s">
        <v>257</v>
      </c>
      <c r="BF3003" s="17" t="s">
        <v>257</v>
      </c>
      <c r="BG3003" s="11">
        <f ca="1">IFERROR(__xludf.DUMMYFUNCTION("""COMPUTED_VALUE"""),46040.9479166666)</f>
        <v>46040.947916666599</v>
      </c>
      <c r="BH3003" s="17"/>
      <c r="BI3003" s="17"/>
      <c r="BJ3003" s="15"/>
      <c r="BK3003" s="15"/>
      <c r="BL3003" s="13" t="b">
        <v>0</v>
      </c>
      <c r="BM3003" s="10"/>
      <c r="BN3003" s="10" t="s">
        <v>10749</v>
      </c>
      <c r="BO3003" s="11">
        <v>46003.607638888891</v>
      </c>
      <c r="BP3003" s="11">
        <v>46003.608043981483</v>
      </c>
      <c r="BQ3003" s="15"/>
      <c r="BR3003" s="15"/>
      <c r="BS3003" s="10"/>
      <c r="BT3003" s="10" t="s">
        <v>99</v>
      </c>
      <c r="BU3003" s="10"/>
      <c r="BV3003" s="10"/>
      <c r="BW3003" s="10"/>
      <c r="BX3003" s="10"/>
      <c r="BY3003" s="23"/>
      <c r="BZ3003" s="23"/>
      <c r="CA3003" s="10"/>
      <c r="CB3003" s="23"/>
      <c r="CC3003" s="23"/>
      <c r="CD3003" s="23"/>
      <c r="CE3003" s="23"/>
      <c r="CF3003" s="23"/>
      <c r="CG3003" s="23"/>
      <c r="CH3003" s="23"/>
      <c r="CI3003" s="23"/>
    </row>
    <row r="3004" spans="1:87" x14ac:dyDescent="0.3">
      <c r="A3004" s="9" t="s">
        <v>22081</v>
      </c>
      <c r="B3004" s="10" t="s">
        <v>22082</v>
      </c>
      <c r="C3004" s="11">
        <v>46047.947916666664</v>
      </c>
      <c r="D3004" s="12">
        <v>8.3333333333333329E-2</v>
      </c>
      <c r="E3004" s="11">
        <v>46048.03125</v>
      </c>
      <c r="F3004" s="22" t="s">
        <v>3687</v>
      </c>
      <c r="G3004" s="13" t="b">
        <v>0</v>
      </c>
      <c r="H3004" s="22"/>
      <c r="I3004" s="10" t="s">
        <v>89</v>
      </c>
      <c r="J3004" s="13" t="b">
        <v>0</v>
      </c>
      <c r="K3004" s="13" t="b">
        <v>1</v>
      </c>
      <c r="L3004" s="10" t="s">
        <v>124</v>
      </c>
      <c r="M3004" s="10" t="s">
        <v>91</v>
      </c>
      <c r="N3004" s="10" t="s">
        <v>92</v>
      </c>
      <c r="O3004" s="10"/>
      <c r="P3004" s="10"/>
      <c r="Q3004" s="10" t="s">
        <v>126</v>
      </c>
      <c r="R3004" s="10"/>
      <c r="S3004" s="10"/>
      <c r="T3004" s="10"/>
      <c r="U3004" s="10" t="s">
        <v>3690</v>
      </c>
      <c r="V3004" s="10" t="s">
        <v>7719</v>
      </c>
      <c r="W3004" s="10" t="s">
        <v>3692</v>
      </c>
      <c r="X3004" s="10" t="s">
        <v>130</v>
      </c>
      <c r="Y3004" s="10" t="s">
        <v>130</v>
      </c>
      <c r="Z3004" s="10" t="s">
        <v>99</v>
      </c>
      <c r="AA3004" s="10" t="s">
        <v>131</v>
      </c>
      <c r="AB3004" s="10" t="s">
        <v>3693</v>
      </c>
      <c r="AC3004" s="10" t="s">
        <v>3694</v>
      </c>
      <c r="AD3004" s="10" t="s">
        <v>22083</v>
      </c>
      <c r="AE3004" s="10" t="s">
        <v>22084</v>
      </c>
      <c r="AF3004" s="15"/>
      <c r="AG3004" s="10"/>
      <c r="AH3004" s="10"/>
      <c r="AI3004" s="10"/>
      <c r="AJ3004" s="10"/>
      <c r="AK3004" s="10"/>
      <c r="AL3004" s="10" t="s">
        <v>2303</v>
      </c>
      <c r="AM3004" s="10"/>
      <c r="AN3004" s="10"/>
      <c r="AO3004" s="13" t="b">
        <v>0</v>
      </c>
      <c r="AP3004" s="22" t="s">
        <v>104</v>
      </c>
      <c r="AQ3004" s="10"/>
      <c r="AR3004" s="17"/>
      <c r="AS3004" s="17"/>
      <c r="AT3004" s="17"/>
      <c r="AU3004" s="17"/>
      <c r="AV3004" s="17"/>
      <c r="AW3004" s="10"/>
      <c r="AX3004" s="17"/>
      <c r="AY3004" s="18" t="s">
        <v>257</v>
      </c>
      <c r="AZ3004" s="10"/>
      <c r="BA3004" s="20" t="b">
        <v>0</v>
      </c>
      <c r="BB3004" s="10"/>
      <c r="BC3004" s="17" t="s">
        <v>257</v>
      </c>
      <c r="BD3004" s="17" t="s">
        <v>257</v>
      </c>
      <c r="BE3004" s="17" t="s">
        <v>257</v>
      </c>
      <c r="BF3004" s="17" t="s">
        <v>257</v>
      </c>
      <c r="BG3004" s="11">
        <f ca="1">IFERROR(__xludf.DUMMYFUNCTION("""COMPUTED_VALUE"""),46047.9479166666)</f>
        <v>46047.947916666599</v>
      </c>
      <c r="BH3004" s="17"/>
      <c r="BI3004" s="17"/>
      <c r="BJ3004" s="15"/>
      <c r="BK3004" s="15"/>
      <c r="BL3004" s="13" t="b">
        <v>0</v>
      </c>
      <c r="BM3004" s="10"/>
      <c r="BN3004" s="10" t="s">
        <v>18456</v>
      </c>
      <c r="BO3004" s="11">
        <v>46003.607638888891</v>
      </c>
      <c r="BP3004" s="11">
        <v>46003.608240740738</v>
      </c>
      <c r="BQ3004" s="15"/>
      <c r="BR3004" s="15"/>
      <c r="BS3004" s="10"/>
      <c r="BT3004" s="10" t="s">
        <v>99</v>
      </c>
      <c r="BU3004" s="10"/>
      <c r="BV3004" s="10"/>
      <c r="BW3004" s="10"/>
      <c r="BX3004" s="10"/>
      <c r="BY3004" s="23"/>
      <c r="BZ3004" s="23"/>
      <c r="CA3004" s="10"/>
      <c r="CB3004" s="23"/>
      <c r="CC3004" s="23"/>
      <c r="CD3004" s="23"/>
      <c r="CE3004" s="23"/>
      <c r="CF3004" s="23"/>
      <c r="CG3004" s="23"/>
      <c r="CH3004" s="23"/>
      <c r="CI3004" s="23"/>
    </row>
    <row r="3005" spans="1:87" x14ac:dyDescent="0.3">
      <c r="A3005" s="9" t="s">
        <v>22085</v>
      </c>
      <c r="B3005" s="10" t="s">
        <v>22086</v>
      </c>
      <c r="C3005" s="11">
        <v>46024.020833333336</v>
      </c>
      <c r="D3005" s="12">
        <v>8.3333333333333329E-2</v>
      </c>
      <c r="E3005" s="11">
        <v>46024.104166666664</v>
      </c>
      <c r="F3005" s="22" t="s">
        <v>7613</v>
      </c>
      <c r="G3005" s="13" t="b">
        <v>0</v>
      </c>
      <c r="H3005" s="22" t="s">
        <v>88</v>
      </c>
      <c r="I3005" s="10" t="s">
        <v>89</v>
      </c>
      <c r="J3005" s="13" t="b">
        <v>0</v>
      </c>
      <c r="K3005" s="13" t="b">
        <v>1</v>
      </c>
      <c r="L3005" s="10" t="s">
        <v>124</v>
      </c>
      <c r="M3005" s="10" t="s">
        <v>91</v>
      </c>
      <c r="N3005" s="10" t="s">
        <v>265</v>
      </c>
      <c r="O3005" s="19" t="s">
        <v>22087</v>
      </c>
      <c r="P3005" s="10"/>
      <c r="Q3005" s="10" t="s">
        <v>94</v>
      </c>
      <c r="R3005" s="10"/>
      <c r="S3005" s="10"/>
      <c r="T3005" s="10"/>
      <c r="U3005" s="10" t="s">
        <v>7903</v>
      </c>
      <c r="V3005" s="10" t="s">
        <v>20460</v>
      </c>
      <c r="W3005" s="10" t="s">
        <v>7620</v>
      </c>
      <c r="X3005" s="10" t="s">
        <v>130</v>
      </c>
      <c r="Y3005" s="10" t="s">
        <v>130</v>
      </c>
      <c r="Z3005" s="10" t="s">
        <v>99</v>
      </c>
      <c r="AA3005" s="10" t="s">
        <v>131</v>
      </c>
      <c r="AB3005" s="10" t="s">
        <v>7621</v>
      </c>
      <c r="AC3005" s="10" t="s">
        <v>274</v>
      </c>
      <c r="AD3005" s="10" t="s">
        <v>22088</v>
      </c>
      <c r="AE3005" s="10" t="s">
        <v>22089</v>
      </c>
      <c r="AF3005" s="15"/>
      <c r="AG3005" s="10"/>
      <c r="AH3005" s="10"/>
      <c r="AI3005" s="10"/>
      <c r="AJ3005" s="10"/>
      <c r="AK3005" s="10" t="s">
        <v>102</v>
      </c>
      <c r="AL3005" s="10" t="s">
        <v>2638</v>
      </c>
      <c r="AM3005" s="10"/>
      <c r="AN3005" s="10"/>
      <c r="AO3005" s="13" t="b">
        <v>0</v>
      </c>
      <c r="AP3005" s="22" t="s">
        <v>104</v>
      </c>
      <c r="AQ3005" s="10">
        <f ca="1">IFERROR(__xludf.DUMMYFUNCTION("""COMPUTED_VALUE"""),4819762)</f>
        <v>4819762</v>
      </c>
      <c r="AR3005" s="17">
        <v>2516</v>
      </c>
      <c r="AS3005" s="17">
        <v>1915</v>
      </c>
      <c r="AT3005" s="17">
        <v>32731.5</v>
      </c>
      <c r="AU3005" s="17">
        <v>1.85</v>
      </c>
      <c r="AV3005" s="17">
        <v>0</v>
      </c>
      <c r="AW3005" s="10" t="s">
        <v>105</v>
      </c>
      <c r="AX3005" s="17">
        <v>525</v>
      </c>
      <c r="AY3005" s="18">
        <v>17.092167101827677</v>
      </c>
      <c r="AZ3005" s="10"/>
      <c r="BA3005" s="20" t="b">
        <v>0</v>
      </c>
      <c r="BB3005" s="10"/>
      <c r="BC3005" s="17">
        <v>2516</v>
      </c>
      <c r="BD3005" s="17">
        <v>1915</v>
      </c>
      <c r="BE3005" s="17">
        <v>32731.5</v>
      </c>
      <c r="BF3005" s="17">
        <v>0</v>
      </c>
      <c r="BG3005" s="11">
        <f ca="1">IFERROR(__xludf.DUMMYFUNCTION("""COMPUTED_VALUE"""),46024.0208333333)</f>
        <v>46024.020833333299</v>
      </c>
      <c r="BH3005" s="17" t="s">
        <v>105</v>
      </c>
      <c r="BI3005" s="17"/>
      <c r="BJ3005" s="15"/>
      <c r="BK3005" s="15"/>
      <c r="BL3005" s="13" t="b">
        <v>0</v>
      </c>
      <c r="BM3005" s="10"/>
      <c r="BN3005" s="10" t="s">
        <v>118</v>
      </c>
      <c r="BO3005" s="11">
        <v>46003.620833333334</v>
      </c>
      <c r="BP3005" s="11">
        <v>46015.822025462963</v>
      </c>
      <c r="BQ3005" s="15"/>
      <c r="BR3005" s="15">
        <v>46022.408032407409</v>
      </c>
      <c r="BS3005" s="10" t="s">
        <v>118</v>
      </c>
      <c r="BT3005" s="10"/>
      <c r="BU3005" s="10"/>
      <c r="BV3005" s="10"/>
      <c r="BW3005" s="10"/>
      <c r="BX3005" s="10"/>
      <c r="BY3005" s="23"/>
      <c r="BZ3005" s="23"/>
      <c r="CA3005" s="19" t="s">
        <v>22090</v>
      </c>
      <c r="CB3005" s="19" t="s">
        <v>22091</v>
      </c>
      <c r="CC3005" s="23"/>
      <c r="CD3005" s="23"/>
      <c r="CE3005" s="23"/>
      <c r="CF3005" s="23"/>
      <c r="CG3005" s="23"/>
      <c r="CH3005" s="23"/>
      <c r="CI3005" s="23"/>
    </row>
    <row r="3006" spans="1:87" x14ac:dyDescent="0.3">
      <c r="A3006" s="9" t="s">
        <v>22092</v>
      </c>
      <c r="B3006" s="10" t="s">
        <v>22093</v>
      </c>
      <c r="C3006" s="11">
        <v>46026.791666666664</v>
      </c>
      <c r="D3006" s="12">
        <v>8.3333333333333329E-2</v>
      </c>
      <c r="E3006" s="11">
        <v>46026.875</v>
      </c>
      <c r="F3006" s="22" t="s">
        <v>7613</v>
      </c>
      <c r="G3006" s="13" t="b">
        <v>0</v>
      </c>
      <c r="H3006" s="22" t="s">
        <v>88</v>
      </c>
      <c r="I3006" s="10" t="s">
        <v>89</v>
      </c>
      <c r="J3006" s="13" t="b">
        <v>0</v>
      </c>
      <c r="K3006" s="13" t="b">
        <v>1</v>
      </c>
      <c r="L3006" s="10" t="s">
        <v>124</v>
      </c>
      <c r="M3006" s="10" t="s">
        <v>91</v>
      </c>
      <c r="N3006" s="10" t="s">
        <v>265</v>
      </c>
      <c r="O3006" s="19" t="s">
        <v>22094</v>
      </c>
      <c r="P3006" s="10"/>
      <c r="Q3006" s="10" t="s">
        <v>94</v>
      </c>
      <c r="R3006" s="10"/>
      <c r="S3006" s="10"/>
      <c r="T3006" s="10"/>
      <c r="U3006" s="10" t="s">
        <v>7618</v>
      </c>
      <c r="V3006" s="10" t="s">
        <v>8791</v>
      </c>
      <c r="W3006" s="10" t="s">
        <v>7620</v>
      </c>
      <c r="X3006" s="10" t="s">
        <v>130</v>
      </c>
      <c r="Y3006" s="10" t="s">
        <v>130</v>
      </c>
      <c r="Z3006" s="10" t="s">
        <v>99</v>
      </c>
      <c r="AA3006" s="10" t="s">
        <v>131</v>
      </c>
      <c r="AB3006" s="10" t="s">
        <v>7621</v>
      </c>
      <c r="AC3006" s="10" t="s">
        <v>274</v>
      </c>
      <c r="AD3006" s="10" t="s">
        <v>22095</v>
      </c>
      <c r="AE3006" s="10" t="s">
        <v>22096</v>
      </c>
      <c r="AF3006" s="15"/>
      <c r="AG3006" s="10"/>
      <c r="AH3006" s="10"/>
      <c r="AI3006" s="10"/>
      <c r="AJ3006" s="10"/>
      <c r="AK3006" s="10" t="s">
        <v>102</v>
      </c>
      <c r="AL3006" s="10" t="s">
        <v>2679</v>
      </c>
      <c r="AM3006" s="10"/>
      <c r="AN3006" s="10"/>
      <c r="AO3006" s="13" t="b">
        <v>0</v>
      </c>
      <c r="AP3006" s="22" t="s">
        <v>104</v>
      </c>
      <c r="AQ3006" s="10">
        <f ca="1">IFERROR(__xludf.DUMMYFUNCTION("""COMPUTED_VALUE"""),4819783)</f>
        <v>4819783</v>
      </c>
      <c r="AR3006" s="17">
        <v>6432</v>
      </c>
      <c r="AS3006" s="17">
        <v>4983</v>
      </c>
      <c r="AT3006" s="17">
        <v>41797.5</v>
      </c>
      <c r="AU3006" s="17">
        <v>8.4</v>
      </c>
      <c r="AV3006" s="17">
        <v>2.4500000000000002</v>
      </c>
      <c r="AW3006" s="10" t="s">
        <v>105</v>
      </c>
      <c r="AX3006" s="17">
        <v>1079</v>
      </c>
      <c r="AY3006" s="18">
        <v>8.3880192655027095</v>
      </c>
      <c r="AZ3006" s="10"/>
      <c r="BA3006" s="20" t="b">
        <v>0</v>
      </c>
      <c r="BB3006" s="10"/>
      <c r="BC3006" s="17">
        <v>6432</v>
      </c>
      <c r="BD3006" s="17">
        <v>4983</v>
      </c>
      <c r="BE3006" s="17">
        <v>41797.5</v>
      </c>
      <c r="BF3006" s="17">
        <v>2.4500000000000002</v>
      </c>
      <c r="BG3006" s="11">
        <f ca="1">IFERROR(__xludf.DUMMYFUNCTION("""COMPUTED_VALUE"""),46026.7916666666)</f>
        <v>46026.791666666599</v>
      </c>
      <c r="BH3006" s="17" t="s">
        <v>105</v>
      </c>
      <c r="BI3006" s="17"/>
      <c r="BJ3006" s="15"/>
      <c r="BK3006" s="15"/>
      <c r="BL3006" s="13" t="b">
        <v>0</v>
      </c>
      <c r="BM3006" s="10"/>
      <c r="BN3006" s="10" t="s">
        <v>197</v>
      </c>
      <c r="BO3006" s="11">
        <v>46003.621527777781</v>
      </c>
      <c r="BP3006" s="11">
        <v>46015.821400462963</v>
      </c>
      <c r="BQ3006" s="15"/>
      <c r="BR3006" s="15">
        <v>46023.088854166665</v>
      </c>
      <c r="BS3006" s="10" t="s">
        <v>197</v>
      </c>
      <c r="BT3006" s="10"/>
      <c r="BU3006" s="10"/>
      <c r="BV3006" s="10"/>
      <c r="BW3006" s="10"/>
      <c r="BX3006" s="10"/>
      <c r="BY3006" s="23"/>
      <c r="BZ3006" s="23"/>
      <c r="CA3006" s="19" t="s">
        <v>22097</v>
      </c>
      <c r="CB3006" s="19" t="s">
        <v>22098</v>
      </c>
      <c r="CC3006" s="23"/>
      <c r="CD3006" s="23"/>
      <c r="CE3006" s="23"/>
      <c r="CF3006" s="23"/>
      <c r="CG3006" s="23"/>
      <c r="CH3006" s="23"/>
      <c r="CI3006" s="23"/>
    </row>
    <row r="3007" spans="1:87" x14ac:dyDescent="0.3">
      <c r="A3007" s="9" t="s">
        <v>22099</v>
      </c>
      <c r="B3007" s="10" t="s">
        <v>22100</v>
      </c>
      <c r="C3007" s="11">
        <v>46039.8125</v>
      </c>
      <c r="D3007" s="12">
        <v>8.3333333333333329E-2</v>
      </c>
      <c r="E3007" s="11">
        <v>46039.895833333336</v>
      </c>
      <c r="F3007" s="22" t="s">
        <v>7613</v>
      </c>
      <c r="G3007" s="13" t="b">
        <v>0</v>
      </c>
      <c r="H3007" s="22"/>
      <c r="I3007" s="10" t="s">
        <v>89</v>
      </c>
      <c r="J3007" s="13" t="b">
        <v>0</v>
      </c>
      <c r="K3007" s="13" t="b">
        <v>1</v>
      </c>
      <c r="L3007" s="10" t="s">
        <v>124</v>
      </c>
      <c r="M3007" s="10" t="s">
        <v>91</v>
      </c>
      <c r="N3007" s="10" t="s">
        <v>265</v>
      </c>
      <c r="O3007" s="10"/>
      <c r="P3007" s="10"/>
      <c r="Q3007" s="10" t="s">
        <v>94</v>
      </c>
      <c r="R3007" s="10"/>
      <c r="S3007" s="10"/>
      <c r="T3007" s="10"/>
      <c r="U3007" s="10" t="s">
        <v>8791</v>
      </c>
      <c r="V3007" s="10" t="s">
        <v>20460</v>
      </c>
      <c r="W3007" s="10" t="s">
        <v>7620</v>
      </c>
      <c r="X3007" s="10" t="s">
        <v>130</v>
      </c>
      <c r="Y3007" s="10" t="s">
        <v>130</v>
      </c>
      <c r="Z3007" s="10" t="s">
        <v>99</v>
      </c>
      <c r="AA3007" s="10" t="s">
        <v>131</v>
      </c>
      <c r="AB3007" s="10" t="s">
        <v>7621</v>
      </c>
      <c r="AC3007" s="10" t="s">
        <v>274</v>
      </c>
      <c r="AD3007" s="10" t="s">
        <v>22101</v>
      </c>
      <c r="AE3007" s="10" t="s">
        <v>22102</v>
      </c>
      <c r="AF3007" s="15"/>
      <c r="AG3007" s="10"/>
      <c r="AH3007" s="10"/>
      <c r="AI3007" s="10"/>
      <c r="AJ3007" s="10"/>
      <c r="AK3007" s="10"/>
      <c r="AL3007" s="10" t="s">
        <v>2720</v>
      </c>
      <c r="AM3007" s="10"/>
      <c r="AN3007" s="10"/>
      <c r="AO3007" s="13" t="b">
        <v>0</v>
      </c>
      <c r="AP3007" s="22" t="s">
        <v>104</v>
      </c>
      <c r="AQ3007" s="10"/>
      <c r="AR3007" s="17"/>
      <c r="AS3007" s="17"/>
      <c r="AT3007" s="17"/>
      <c r="AU3007" s="17"/>
      <c r="AV3007" s="17"/>
      <c r="AW3007" s="10"/>
      <c r="AX3007" s="17"/>
      <c r="AY3007" s="18" t="s">
        <v>257</v>
      </c>
      <c r="AZ3007" s="10"/>
      <c r="BA3007" s="20" t="b">
        <v>0</v>
      </c>
      <c r="BB3007" s="10"/>
      <c r="BC3007" s="17" t="s">
        <v>257</v>
      </c>
      <c r="BD3007" s="17" t="s">
        <v>257</v>
      </c>
      <c r="BE3007" s="17" t="s">
        <v>257</v>
      </c>
      <c r="BF3007" s="17" t="s">
        <v>257</v>
      </c>
      <c r="BG3007" s="11">
        <f ca="1">IFERROR(__xludf.DUMMYFUNCTION("""COMPUTED_VALUE"""),46039.8125)</f>
        <v>46039.8125</v>
      </c>
      <c r="BH3007" s="17"/>
      <c r="BI3007" s="17"/>
      <c r="BJ3007" s="15"/>
      <c r="BK3007" s="15"/>
      <c r="BL3007" s="13" t="b">
        <v>0</v>
      </c>
      <c r="BM3007" s="10"/>
      <c r="BN3007" s="10" t="s">
        <v>108</v>
      </c>
      <c r="BO3007" s="11">
        <v>46003.62222222222</v>
      </c>
      <c r="BP3007" s="11">
        <v>46003.622430555559</v>
      </c>
      <c r="BQ3007" s="15"/>
      <c r="BR3007" s="15"/>
      <c r="BS3007" s="10"/>
      <c r="BT3007" s="10"/>
      <c r="BU3007" s="10"/>
      <c r="BV3007" s="10"/>
      <c r="BW3007" s="10"/>
      <c r="BX3007" s="10"/>
      <c r="BY3007" s="23"/>
      <c r="BZ3007" s="23"/>
      <c r="CA3007" s="19" t="s">
        <v>22103</v>
      </c>
      <c r="CB3007" s="19" t="s">
        <v>22104</v>
      </c>
      <c r="CC3007" s="23"/>
      <c r="CD3007" s="23"/>
      <c r="CE3007" s="23"/>
      <c r="CF3007" s="23"/>
      <c r="CG3007" s="23"/>
      <c r="CH3007" s="23"/>
      <c r="CI3007" s="23"/>
    </row>
    <row r="3008" spans="1:87" x14ac:dyDescent="0.3">
      <c r="A3008" s="9" t="s">
        <v>22105</v>
      </c>
      <c r="B3008" s="10" t="s">
        <v>22106</v>
      </c>
      <c r="C3008" s="11">
        <v>46039.916666666664</v>
      </c>
      <c r="D3008" s="12">
        <v>8.3333333333333329E-2</v>
      </c>
      <c r="E3008" s="11">
        <v>46040</v>
      </c>
      <c r="F3008" s="22" t="s">
        <v>7613</v>
      </c>
      <c r="G3008" s="13" t="b">
        <v>0</v>
      </c>
      <c r="H3008" s="22"/>
      <c r="I3008" s="10" t="s">
        <v>89</v>
      </c>
      <c r="J3008" s="13" t="b">
        <v>0</v>
      </c>
      <c r="K3008" s="13" t="b">
        <v>1</v>
      </c>
      <c r="L3008" s="10" t="s">
        <v>124</v>
      </c>
      <c r="M3008" s="10" t="s">
        <v>91</v>
      </c>
      <c r="N3008" s="10" t="s">
        <v>265</v>
      </c>
      <c r="O3008" s="10"/>
      <c r="P3008" s="10"/>
      <c r="Q3008" s="10" t="s">
        <v>126</v>
      </c>
      <c r="R3008" s="10"/>
      <c r="S3008" s="10"/>
      <c r="T3008" s="10"/>
      <c r="U3008" s="10" t="s">
        <v>7881</v>
      </c>
      <c r="V3008" s="10" t="s">
        <v>22107</v>
      </c>
      <c r="W3008" s="10" t="s">
        <v>7620</v>
      </c>
      <c r="X3008" s="10" t="s">
        <v>130</v>
      </c>
      <c r="Y3008" s="10" t="s">
        <v>130</v>
      </c>
      <c r="Z3008" s="10" t="s">
        <v>99</v>
      </c>
      <c r="AA3008" s="10" t="s">
        <v>131</v>
      </c>
      <c r="AB3008" s="10" t="s">
        <v>7621</v>
      </c>
      <c r="AC3008" s="10" t="s">
        <v>274</v>
      </c>
      <c r="AD3008" s="10" t="s">
        <v>22108</v>
      </c>
      <c r="AE3008" s="10" t="s">
        <v>22109</v>
      </c>
      <c r="AF3008" s="15"/>
      <c r="AG3008" s="10"/>
      <c r="AH3008" s="10"/>
      <c r="AI3008" s="10"/>
      <c r="AJ3008" s="10"/>
      <c r="AK3008" s="10"/>
      <c r="AL3008" s="10" t="s">
        <v>2720</v>
      </c>
      <c r="AM3008" s="10"/>
      <c r="AN3008" s="10"/>
      <c r="AO3008" s="13" t="b">
        <v>0</v>
      </c>
      <c r="AP3008" s="22" t="s">
        <v>104</v>
      </c>
      <c r="AQ3008" s="10"/>
      <c r="AR3008" s="17"/>
      <c r="AS3008" s="17"/>
      <c r="AT3008" s="17"/>
      <c r="AU3008" s="17"/>
      <c r="AV3008" s="17"/>
      <c r="AW3008" s="10"/>
      <c r="AX3008" s="17"/>
      <c r="AY3008" s="18" t="s">
        <v>257</v>
      </c>
      <c r="AZ3008" s="10"/>
      <c r="BA3008" s="20" t="b">
        <v>0</v>
      </c>
      <c r="BB3008" s="10"/>
      <c r="BC3008" s="17" t="s">
        <v>257</v>
      </c>
      <c r="BD3008" s="17" t="s">
        <v>257</v>
      </c>
      <c r="BE3008" s="17" t="s">
        <v>257</v>
      </c>
      <c r="BF3008" s="17" t="s">
        <v>257</v>
      </c>
      <c r="BG3008" s="11">
        <f ca="1">IFERROR(__xludf.DUMMYFUNCTION("""COMPUTED_VALUE"""),46039.9166666666)</f>
        <v>46039.916666666599</v>
      </c>
      <c r="BH3008" s="17"/>
      <c r="BI3008" s="17"/>
      <c r="BJ3008" s="15"/>
      <c r="BK3008" s="15"/>
      <c r="BL3008" s="13" t="b">
        <v>0</v>
      </c>
      <c r="BM3008" s="10"/>
      <c r="BN3008" s="10" t="s">
        <v>108</v>
      </c>
      <c r="BO3008" s="11">
        <v>46003.622916666667</v>
      </c>
      <c r="BP3008" s="11">
        <v>46003.62296296296</v>
      </c>
      <c r="BQ3008" s="15"/>
      <c r="BR3008" s="15"/>
      <c r="BS3008" s="10"/>
      <c r="BT3008" s="10"/>
      <c r="BU3008" s="10"/>
      <c r="BV3008" s="10"/>
      <c r="BW3008" s="10"/>
      <c r="BX3008" s="10"/>
      <c r="BY3008" s="23"/>
      <c r="BZ3008" s="23"/>
      <c r="CA3008" s="19" t="s">
        <v>22110</v>
      </c>
      <c r="CB3008" s="19" t="s">
        <v>22111</v>
      </c>
      <c r="CC3008" s="23"/>
      <c r="CD3008" s="23"/>
      <c r="CE3008" s="23"/>
      <c r="CF3008" s="23"/>
      <c r="CG3008" s="23"/>
      <c r="CH3008" s="23"/>
      <c r="CI3008" s="23"/>
    </row>
    <row r="3009" spans="1:87" x14ac:dyDescent="0.3">
      <c r="A3009" s="9" t="s">
        <v>22112</v>
      </c>
      <c r="B3009" s="10" t="s">
        <v>22113</v>
      </c>
      <c r="C3009" s="11">
        <v>46043.125</v>
      </c>
      <c r="D3009" s="12">
        <v>8.3333333333333329E-2</v>
      </c>
      <c r="E3009" s="11">
        <v>46043.208333333336</v>
      </c>
      <c r="F3009" s="22" t="s">
        <v>7613</v>
      </c>
      <c r="G3009" s="13" t="b">
        <v>0</v>
      </c>
      <c r="H3009" s="22"/>
      <c r="I3009" s="10" t="s">
        <v>89</v>
      </c>
      <c r="J3009" s="13" t="b">
        <v>0</v>
      </c>
      <c r="K3009" s="13" t="b">
        <v>1</v>
      </c>
      <c r="L3009" s="10" t="s">
        <v>124</v>
      </c>
      <c r="M3009" s="10" t="s">
        <v>91</v>
      </c>
      <c r="N3009" s="10" t="s">
        <v>265</v>
      </c>
      <c r="O3009" s="10"/>
      <c r="P3009" s="10"/>
      <c r="Q3009" s="10" t="s">
        <v>94</v>
      </c>
      <c r="R3009" s="10"/>
      <c r="S3009" s="10"/>
      <c r="T3009" s="10"/>
      <c r="U3009" s="10" t="s">
        <v>7633</v>
      </c>
      <c r="V3009" s="10" t="s">
        <v>20460</v>
      </c>
      <c r="W3009" s="10" t="s">
        <v>7620</v>
      </c>
      <c r="X3009" s="10" t="s">
        <v>130</v>
      </c>
      <c r="Y3009" s="10" t="s">
        <v>130</v>
      </c>
      <c r="Z3009" s="10" t="s">
        <v>99</v>
      </c>
      <c r="AA3009" s="10" t="s">
        <v>131</v>
      </c>
      <c r="AB3009" s="10" t="s">
        <v>7621</v>
      </c>
      <c r="AC3009" s="10" t="s">
        <v>274</v>
      </c>
      <c r="AD3009" s="10" t="s">
        <v>22114</v>
      </c>
      <c r="AE3009" s="10" t="s">
        <v>22115</v>
      </c>
      <c r="AF3009" s="15"/>
      <c r="AG3009" s="10"/>
      <c r="AH3009" s="10"/>
      <c r="AI3009" s="10"/>
      <c r="AJ3009" s="10"/>
      <c r="AK3009" s="10"/>
      <c r="AL3009" s="10" t="s">
        <v>2761</v>
      </c>
      <c r="AM3009" s="10"/>
      <c r="AN3009" s="10"/>
      <c r="AO3009" s="13" t="b">
        <v>0</v>
      </c>
      <c r="AP3009" s="22" t="s">
        <v>104</v>
      </c>
      <c r="AQ3009" s="10"/>
      <c r="AR3009" s="17"/>
      <c r="AS3009" s="17"/>
      <c r="AT3009" s="17"/>
      <c r="AU3009" s="17"/>
      <c r="AV3009" s="17"/>
      <c r="AW3009" s="10"/>
      <c r="AX3009" s="17"/>
      <c r="AY3009" s="18" t="s">
        <v>257</v>
      </c>
      <c r="AZ3009" s="10"/>
      <c r="BA3009" s="20" t="b">
        <v>0</v>
      </c>
      <c r="BB3009" s="10"/>
      <c r="BC3009" s="17" t="s">
        <v>257</v>
      </c>
      <c r="BD3009" s="17" t="s">
        <v>257</v>
      </c>
      <c r="BE3009" s="17" t="s">
        <v>257</v>
      </c>
      <c r="BF3009" s="17" t="s">
        <v>257</v>
      </c>
      <c r="BG3009" s="11">
        <f ca="1">IFERROR(__xludf.DUMMYFUNCTION("""COMPUTED_VALUE"""),46043.125)</f>
        <v>46043.125</v>
      </c>
      <c r="BH3009" s="17"/>
      <c r="BI3009" s="17"/>
      <c r="BJ3009" s="15"/>
      <c r="BK3009" s="15"/>
      <c r="BL3009" s="13" t="b">
        <v>0</v>
      </c>
      <c r="BM3009" s="10"/>
      <c r="BN3009" s="10" t="s">
        <v>108</v>
      </c>
      <c r="BO3009" s="11">
        <v>46003.622916666667</v>
      </c>
      <c r="BP3009" s="11">
        <v>46003.623449074075</v>
      </c>
      <c r="BQ3009" s="15"/>
      <c r="BR3009" s="15"/>
      <c r="BS3009" s="10"/>
      <c r="BT3009" s="10"/>
      <c r="BU3009" s="10"/>
      <c r="BV3009" s="10"/>
      <c r="BW3009" s="10"/>
      <c r="BX3009" s="10"/>
      <c r="BY3009" s="23"/>
      <c r="BZ3009" s="23"/>
      <c r="CA3009" s="19" t="s">
        <v>22116</v>
      </c>
      <c r="CB3009" s="19" t="s">
        <v>22117</v>
      </c>
      <c r="CC3009" s="23"/>
      <c r="CD3009" s="23"/>
      <c r="CE3009" s="23"/>
      <c r="CF3009" s="23"/>
      <c r="CG3009" s="23"/>
      <c r="CH3009" s="23"/>
      <c r="CI3009" s="23"/>
    </row>
    <row r="3010" spans="1:87" x14ac:dyDescent="0.3">
      <c r="A3010" s="9" t="s">
        <v>22118</v>
      </c>
      <c r="B3010" s="10" t="s">
        <v>22119</v>
      </c>
      <c r="C3010" s="11">
        <v>46049.125</v>
      </c>
      <c r="D3010" s="12">
        <v>8.3333333333333329E-2</v>
      </c>
      <c r="E3010" s="11">
        <v>46049.208333333336</v>
      </c>
      <c r="F3010" s="22" t="s">
        <v>7613</v>
      </c>
      <c r="G3010" s="13" t="b">
        <v>0</v>
      </c>
      <c r="H3010" s="22"/>
      <c r="I3010" s="10" t="s">
        <v>89</v>
      </c>
      <c r="J3010" s="13" t="b">
        <v>0</v>
      </c>
      <c r="K3010" s="13" t="b">
        <v>1</v>
      </c>
      <c r="L3010" s="10" t="s">
        <v>124</v>
      </c>
      <c r="M3010" s="10" t="s">
        <v>91</v>
      </c>
      <c r="N3010" s="10" t="s">
        <v>265</v>
      </c>
      <c r="O3010" s="10"/>
      <c r="P3010" s="10"/>
      <c r="Q3010" s="10" t="s">
        <v>94</v>
      </c>
      <c r="R3010" s="10"/>
      <c r="S3010" s="10"/>
      <c r="T3010" s="10"/>
      <c r="U3010" s="10" t="s">
        <v>8761</v>
      </c>
      <c r="V3010" s="10" t="s">
        <v>8791</v>
      </c>
      <c r="W3010" s="10" t="s">
        <v>7620</v>
      </c>
      <c r="X3010" s="10" t="s">
        <v>130</v>
      </c>
      <c r="Y3010" s="10" t="s">
        <v>130</v>
      </c>
      <c r="Z3010" s="10" t="s">
        <v>99</v>
      </c>
      <c r="AA3010" s="10" t="s">
        <v>131</v>
      </c>
      <c r="AB3010" s="10" t="s">
        <v>7621</v>
      </c>
      <c r="AC3010" s="10" t="s">
        <v>274</v>
      </c>
      <c r="AD3010" s="10" t="s">
        <v>22120</v>
      </c>
      <c r="AE3010" s="10" t="s">
        <v>22121</v>
      </c>
      <c r="AF3010" s="15"/>
      <c r="AG3010" s="10"/>
      <c r="AH3010" s="10"/>
      <c r="AI3010" s="10"/>
      <c r="AJ3010" s="10"/>
      <c r="AK3010" s="10"/>
      <c r="AL3010" s="10" t="s">
        <v>2802</v>
      </c>
      <c r="AM3010" s="10"/>
      <c r="AN3010" s="10"/>
      <c r="AO3010" s="13" t="b">
        <v>0</v>
      </c>
      <c r="AP3010" s="22" t="s">
        <v>104</v>
      </c>
      <c r="AQ3010" s="10"/>
      <c r="AR3010" s="17"/>
      <c r="AS3010" s="17"/>
      <c r="AT3010" s="17"/>
      <c r="AU3010" s="17"/>
      <c r="AV3010" s="17"/>
      <c r="AW3010" s="10"/>
      <c r="AX3010" s="17"/>
      <c r="AY3010" s="18" t="s">
        <v>257</v>
      </c>
      <c r="AZ3010" s="10"/>
      <c r="BA3010" s="20" t="b">
        <v>0</v>
      </c>
      <c r="BB3010" s="10"/>
      <c r="BC3010" s="17" t="s">
        <v>257</v>
      </c>
      <c r="BD3010" s="17" t="s">
        <v>257</v>
      </c>
      <c r="BE3010" s="17" t="s">
        <v>257</v>
      </c>
      <c r="BF3010" s="17" t="s">
        <v>257</v>
      </c>
      <c r="BG3010" s="11">
        <f ca="1">IFERROR(__xludf.DUMMYFUNCTION("""COMPUTED_VALUE"""),46049.125)</f>
        <v>46049.125</v>
      </c>
      <c r="BH3010" s="17"/>
      <c r="BI3010" s="17"/>
      <c r="BJ3010" s="15"/>
      <c r="BK3010" s="15"/>
      <c r="BL3010" s="13" t="b">
        <v>0</v>
      </c>
      <c r="BM3010" s="10"/>
      <c r="BN3010" s="10" t="s">
        <v>108</v>
      </c>
      <c r="BO3010" s="11">
        <v>46003.623611111114</v>
      </c>
      <c r="BP3010" s="11">
        <v>46003.623981481483</v>
      </c>
      <c r="BQ3010" s="15"/>
      <c r="BR3010" s="15"/>
      <c r="BS3010" s="10"/>
      <c r="BT3010" s="10"/>
      <c r="BU3010" s="10"/>
      <c r="BV3010" s="10"/>
      <c r="BW3010" s="10"/>
      <c r="BX3010" s="10"/>
      <c r="BY3010" s="23"/>
      <c r="BZ3010" s="23"/>
      <c r="CA3010" s="19" t="s">
        <v>22122</v>
      </c>
      <c r="CB3010" s="19" t="s">
        <v>22123</v>
      </c>
      <c r="CC3010" s="23"/>
      <c r="CD3010" s="23"/>
      <c r="CE3010" s="23"/>
      <c r="CF3010" s="23"/>
      <c r="CG3010" s="23"/>
      <c r="CH3010" s="23"/>
      <c r="CI3010" s="23"/>
    </row>
    <row r="3011" spans="1:87" x14ac:dyDescent="0.3">
      <c r="A3011" s="9" t="s">
        <v>22124</v>
      </c>
      <c r="B3011" s="10" t="s">
        <v>22125</v>
      </c>
      <c r="C3011" s="11">
        <v>46060.8125</v>
      </c>
      <c r="D3011" s="12">
        <v>8.3333333333333329E-2</v>
      </c>
      <c r="E3011" s="11">
        <v>46060.895833333336</v>
      </c>
      <c r="F3011" s="22" t="s">
        <v>7613</v>
      </c>
      <c r="G3011" s="13" t="b">
        <v>0</v>
      </c>
      <c r="H3011" s="22"/>
      <c r="I3011" s="10" t="s">
        <v>89</v>
      </c>
      <c r="J3011" s="13" t="b">
        <v>0</v>
      </c>
      <c r="K3011" s="13" t="b">
        <v>1</v>
      </c>
      <c r="L3011" s="10" t="s">
        <v>124</v>
      </c>
      <c r="M3011" s="10" t="s">
        <v>91</v>
      </c>
      <c r="N3011" s="10" t="s">
        <v>265</v>
      </c>
      <c r="O3011" s="10"/>
      <c r="P3011" s="10"/>
      <c r="Q3011" s="10" t="s">
        <v>126</v>
      </c>
      <c r="R3011" s="10"/>
      <c r="S3011" s="10"/>
      <c r="T3011" s="10"/>
      <c r="U3011" s="10" t="s">
        <v>22126</v>
      </c>
      <c r="V3011" s="10" t="s">
        <v>7619</v>
      </c>
      <c r="W3011" s="10" t="s">
        <v>7620</v>
      </c>
      <c r="X3011" s="10" t="s">
        <v>130</v>
      </c>
      <c r="Y3011" s="10" t="s">
        <v>130</v>
      </c>
      <c r="Z3011" s="10" t="s">
        <v>99</v>
      </c>
      <c r="AA3011" s="10" t="s">
        <v>131</v>
      </c>
      <c r="AB3011" s="10" t="s">
        <v>7621</v>
      </c>
      <c r="AC3011" s="10" t="s">
        <v>274</v>
      </c>
      <c r="AD3011" s="10" t="s">
        <v>22127</v>
      </c>
      <c r="AE3011" s="10" t="s">
        <v>22128</v>
      </c>
      <c r="AF3011" s="15"/>
      <c r="AG3011" s="10"/>
      <c r="AH3011" s="10"/>
      <c r="AI3011" s="10"/>
      <c r="AJ3011" s="10"/>
      <c r="AK3011" s="10"/>
      <c r="AL3011" s="10" t="s">
        <v>2885</v>
      </c>
      <c r="AM3011" s="10"/>
      <c r="AN3011" s="10"/>
      <c r="AO3011" s="13" t="b">
        <v>0</v>
      </c>
      <c r="AP3011" s="22" t="s">
        <v>104</v>
      </c>
      <c r="AQ3011" s="10"/>
      <c r="AR3011" s="17"/>
      <c r="AS3011" s="17"/>
      <c r="AT3011" s="17"/>
      <c r="AU3011" s="17"/>
      <c r="AV3011" s="17"/>
      <c r="AW3011" s="10"/>
      <c r="AX3011" s="17"/>
      <c r="AY3011" s="18" t="s">
        <v>257</v>
      </c>
      <c r="AZ3011" s="10"/>
      <c r="BA3011" s="20" t="b">
        <v>0</v>
      </c>
      <c r="BB3011" s="10"/>
      <c r="BC3011" s="17" t="s">
        <v>257</v>
      </c>
      <c r="BD3011" s="17" t="s">
        <v>257</v>
      </c>
      <c r="BE3011" s="17" t="s">
        <v>257</v>
      </c>
      <c r="BF3011" s="17" t="s">
        <v>257</v>
      </c>
      <c r="BG3011" s="11">
        <f ca="1">IFERROR(__xludf.DUMMYFUNCTION("""COMPUTED_VALUE"""),46060.8125)</f>
        <v>46060.8125</v>
      </c>
      <c r="BH3011" s="17"/>
      <c r="BI3011" s="17"/>
      <c r="BJ3011" s="15"/>
      <c r="BK3011" s="15"/>
      <c r="BL3011" s="13" t="b">
        <v>0</v>
      </c>
      <c r="BM3011" s="10"/>
      <c r="BN3011" s="10" t="s">
        <v>108</v>
      </c>
      <c r="BO3011" s="11">
        <v>46003.624305555553</v>
      </c>
      <c r="BP3011" s="11">
        <v>46003.624594907407</v>
      </c>
      <c r="BQ3011" s="15"/>
      <c r="BR3011" s="15"/>
      <c r="BS3011" s="10"/>
      <c r="BT3011" s="10"/>
      <c r="BU3011" s="10"/>
      <c r="BV3011" s="10"/>
      <c r="BW3011" s="10"/>
      <c r="BX3011" s="10"/>
      <c r="BY3011" s="23"/>
      <c r="BZ3011" s="23"/>
      <c r="CA3011" s="10"/>
      <c r="CB3011" s="23"/>
      <c r="CC3011" s="23"/>
      <c r="CD3011" s="23"/>
      <c r="CE3011" s="23"/>
      <c r="CF3011" s="23"/>
      <c r="CG3011" s="23"/>
      <c r="CH3011" s="23"/>
      <c r="CI3011" s="23"/>
    </row>
    <row r="3012" spans="1:87" x14ac:dyDescent="0.3">
      <c r="A3012" s="9" t="s">
        <v>22129</v>
      </c>
      <c r="B3012" s="10" t="s">
        <v>22130</v>
      </c>
      <c r="C3012" s="11">
        <v>46060.916666666664</v>
      </c>
      <c r="D3012" s="12">
        <v>8.3333333333333329E-2</v>
      </c>
      <c r="E3012" s="11">
        <v>46061</v>
      </c>
      <c r="F3012" s="22" t="s">
        <v>7613</v>
      </c>
      <c r="G3012" s="13" t="b">
        <v>0</v>
      </c>
      <c r="H3012" s="22"/>
      <c r="I3012" s="10" t="s">
        <v>89</v>
      </c>
      <c r="J3012" s="13" t="b">
        <v>0</v>
      </c>
      <c r="K3012" s="13" t="b">
        <v>1</v>
      </c>
      <c r="L3012" s="10" t="s">
        <v>124</v>
      </c>
      <c r="M3012" s="10" t="s">
        <v>91</v>
      </c>
      <c r="N3012" s="10" t="s">
        <v>265</v>
      </c>
      <c r="O3012" s="10"/>
      <c r="P3012" s="10"/>
      <c r="Q3012" s="10" t="s">
        <v>126</v>
      </c>
      <c r="R3012" s="10"/>
      <c r="S3012" s="10"/>
      <c r="T3012" s="10"/>
      <c r="U3012" s="10" t="s">
        <v>8791</v>
      </c>
      <c r="V3012" s="10" t="s">
        <v>7881</v>
      </c>
      <c r="W3012" s="10" t="s">
        <v>7620</v>
      </c>
      <c r="X3012" s="10" t="s">
        <v>130</v>
      </c>
      <c r="Y3012" s="10" t="s">
        <v>130</v>
      </c>
      <c r="Z3012" s="10" t="s">
        <v>99</v>
      </c>
      <c r="AA3012" s="10" t="s">
        <v>131</v>
      </c>
      <c r="AB3012" s="10" t="s">
        <v>7621</v>
      </c>
      <c r="AC3012" s="10" t="s">
        <v>274</v>
      </c>
      <c r="AD3012" s="10" t="s">
        <v>22131</v>
      </c>
      <c r="AE3012" s="10" t="s">
        <v>22132</v>
      </c>
      <c r="AF3012" s="15"/>
      <c r="AG3012" s="10"/>
      <c r="AH3012" s="10"/>
      <c r="AI3012" s="10"/>
      <c r="AJ3012" s="10"/>
      <c r="AK3012" s="10"/>
      <c r="AL3012" s="10" t="s">
        <v>2885</v>
      </c>
      <c r="AM3012" s="10"/>
      <c r="AN3012" s="10"/>
      <c r="AO3012" s="13" t="b">
        <v>0</v>
      </c>
      <c r="AP3012" s="22" t="s">
        <v>104</v>
      </c>
      <c r="AQ3012" s="10"/>
      <c r="AR3012" s="17"/>
      <c r="AS3012" s="17"/>
      <c r="AT3012" s="17"/>
      <c r="AU3012" s="17"/>
      <c r="AV3012" s="17"/>
      <c r="AW3012" s="10"/>
      <c r="AX3012" s="17"/>
      <c r="AY3012" s="18" t="s">
        <v>257</v>
      </c>
      <c r="AZ3012" s="10"/>
      <c r="BA3012" s="20" t="b">
        <v>0</v>
      </c>
      <c r="BB3012" s="10"/>
      <c r="BC3012" s="17" t="s">
        <v>257</v>
      </c>
      <c r="BD3012" s="17" t="s">
        <v>257</v>
      </c>
      <c r="BE3012" s="17" t="s">
        <v>257</v>
      </c>
      <c r="BF3012" s="17" t="s">
        <v>257</v>
      </c>
      <c r="BG3012" s="11">
        <f ca="1">IFERROR(__xludf.DUMMYFUNCTION("""COMPUTED_VALUE"""),46060.9166666666)</f>
        <v>46060.916666666599</v>
      </c>
      <c r="BH3012" s="17"/>
      <c r="BI3012" s="17"/>
      <c r="BJ3012" s="15"/>
      <c r="BK3012" s="15"/>
      <c r="BL3012" s="13" t="b">
        <v>0</v>
      </c>
      <c r="BM3012" s="10"/>
      <c r="BN3012" s="10" t="s">
        <v>108</v>
      </c>
      <c r="BO3012" s="11">
        <v>46003.62777777778</v>
      </c>
      <c r="BP3012" s="11">
        <v>46003.628125000003</v>
      </c>
      <c r="BQ3012" s="15"/>
      <c r="BR3012" s="15"/>
      <c r="BS3012" s="10"/>
      <c r="BT3012" s="10"/>
      <c r="BU3012" s="10"/>
      <c r="BV3012" s="10"/>
      <c r="BW3012" s="10"/>
      <c r="BX3012" s="10"/>
      <c r="BY3012" s="23"/>
      <c r="BZ3012" s="23"/>
      <c r="CA3012" s="10"/>
      <c r="CB3012" s="23"/>
      <c r="CC3012" s="23"/>
      <c r="CD3012" s="23"/>
      <c r="CE3012" s="23"/>
      <c r="CF3012" s="23"/>
      <c r="CG3012" s="23"/>
      <c r="CH3012" s="23"/>
      <c r="CI3012" s="23"/>
    </row>
    <row r="3013" spans="1:87" x14ac:dyDescent="0.3">
      <c r="A3013" s="9" t="s">
        <v>22133</v>
      </c>
      <c r="B3013" s="10" t="s">
        <v>22134</v>
      </c>
      <c r="C3013" s="11">
        <v>46063.125</v>
      </c>
      <c r="D3013" s="12">
        <v>8.3333333333333329E-2</v>
      </c>
      <c r="E3013" s="11">
        <v>46063.208333333336</v>
      </c>
      <c r="F3013" s="22" t="s">
        <v>7613</v>
      </c>
      <c r="G3013" s="13" t="b">
        <v>0</v>
      </c>
      <c r="H3013" s="22"/>
      <c r="I3013" s="10" t="s">
        <v>89</v>
      </c>
      <c r="J3013" s="13" t="b">
        <v>0</v>
      </c>
      <c r="K3013" s="13" t="b">
        <v>1</v>
      </c>
      <c r="L3013" s="10" t="s">
        <v>124</v>
      </c>
      <c r="M3013" s="10" t="s">
        <v>91</v>
      </c>
      <c r="N3013" s="10" t="s">
        <v>265</v>
      </c>
      <c r="O3013" s="10"/>
      <c r="P3013" s="10"/>
      <c r="Q3013" s="10" t="s">
        <v>94</v>
      </c>
      <c r="R3013" s="10"/>
      <c r="S3013" s="10"/>
      <c r="T3013" s="10"/>
      <c r="U3013" s="10" t="s">
        <v>7903</v>
      </c>
      <c r="V3013" s="10" t="s">
        <v>8772</v>
      </c>
      <c r="W3013" s="10" t="s">
        <v>7620</v>
      </c>
      <c r="X3013" s="10" t="s">
        <v>130</v>
      </c>
      <c r="Y3013" s="10" t="s">
        <v>130</v>
      </c>
      <c r="Z3013" s="10" t="s">
        <v>99</v>
      </c>
      <c r="AA3013" s="10" t="s">
        <v>131</v>
      </c>
      <c r="AB3013" s="10" t="s">
        <v>7621</v>
      </c>
      <c r="AC3013" s="10" t="s">
        <v>274</v>
      </c>
      <c r="AD3013" s="10" t="s">
        <v>22135</v>
      </c>
      <c r="AE3013" s="10" t="s">
        <v>22136</v>
      </c>
      <c r="AF3013" s="15"/>
      <c r="AG3013" s="10"/>
      <c r="AH3013" s="10"/>
      <c r="AI3013" s="10"/>
      <c r="AJ3013" s="10"/>
      <c r="AK3013" s="10"/>
      <c r="AL3013" s="10" t="s">
        <v>2885</v>
      </c>
      <c r="AM3013" s="10"/>
      <c r="AN3013" s="10"/>
      <c r="AO3013" s="13" t="b">
        <v>0</v>
      </c>
      <c r="AP3013" s="22" t="s">
        <v>104</v>
      </c>
      <c r="AQ3013" s="10"/>
      <c r="AR3013" s="17"/>
      <c r="AS3013" s="17"/>
      <c r="AT3013" s="17"/>
      <c r="AU3013" s="17"/>
      <c r="AV3013" s="17"/>
      <c r="AW3013" s="10"/>
      <c r="AX3013" s="17"/>
      <c r="AY3013" s="18" t="s">
        <v>257</v>
      </c>
      <c r="AZ3013" s="10"/>
      <c r="BA3013" s="20" t="b">
        <v>0</v>
      </c>
      <c r="BB3013" s="10"/>
      <c r="BC3013" s="17" t="s">
        <v>257</v>
      </c>
      <c r="BD3013" s="17" t="s">
        <v>257</v>
      </c>
      <c r="BE3013" s="17" t="s">
        <v>257</v>
      </c>
      <c r="BF3013" s="17" t="s">
        <v>257</v>
      </c>
      <c r="BG3013" s="11">
        <f ca="1">IFERROR(__xludf.DUMMYFUNCTION("""COMPUTED_VALUE"""),46063.125)</f>
        <v>46063.125</v>
      </c>
      <c r="BH3013" s="17"/>
      <c r="BI3013" s="17"/>
      <c r="BJ3013" s="15"/>
      <c r="BK3013" s="15"/>
      <c r="BL3013" s="13" t="b">
        <v>0</v>
      </c>
      <c r="BM3013" s="10"/>
      <c r="BN3013" s="10" t="s">
        <v>108</v>
      </c>
      <c r="BO3013" s="11">
        <v>46003.628472222219</v>
      </c>
      <c r="BP3013" s="11">
        <v>46003.628611111111</v>
      </c>
      <c r="BQ3013" s="15"/>
      <c r="BR3013" s="15"/>
      <c r="BS3013" s="10"/>
      <c r="BT3013" s="10"/>
      <c r="BU3013" s="10"/>
      <c r="BV3013" s="10"/>
      <c r="BW3013" s="10"/>
      <c r="BX3013" s="10"/>
      <c r="BY3013" s="23"/>
      <c r="BZ3013" s="23"/>
      <c r="CA3013" s="10"/>
      <c r="CB3013" s="23"/>
      <c r="CC3013" s="23"/>
      <c r="CD3013" s="23"/>
      <c r="CE3013" s="23"/>
      <c r="CF3013" s="23"/>
      <c r="CG3013" s="23"/>
      <c r="CH3013" s="23"/>
      <c r="CI3013" s="23"/>
    </row>
    <row r="3014" spans="1:87" x14ac:dyDescent="0.3">
      <c r="A3014" s="9" t="s">
        <v>22137</v>
      </c>
      <c r="B3014" s="10" t="s">
        <v>22138</v>
      </c>
      <c r="C3014" s="11">
        <v>46067.125</v>
      </c>
      <c r="D3014" s="12">
        <v>8.3333333333333329E-2</v>
      </c>
      <c r="E3014" s="11">
        <v>46067.208333333336</v>
      </c>
      <c r="F3014" s="22" t="s">
        <v>7613</v>
      </c>
      <c r="G3014" s="13" t="b">
        <v>0</v>
      </c>
      <c r="H3014" s="22"/>
      <c r="I3014" s="10" t="s">
        <v>89</v>
      </c>
      <c r="J3014" s="13" t="b">
        <v>0</v>
      </c>
      <c r="K3014" s="13" t="b">
        <v>1</v>
      </c>
      <c r="L3014" s="10" t="s">
        <v>124</v>
      </c>
      <c r="M3014" s="10" t="s">
        <v>91</v>
      </c>
      <c r="N3014" s="10" t="s">
        <v>265</v>
      </c>
      <c r="O3014" s="10"/>
      <c r="P3014" s="10"/>
      <c r="Q3014" s="10" t="s">
        <v>94</v>
      </c>
      <c r="R3014" s="10"/>
      <c r="S3014" s="10"/>
      <c r="T3014" s="10"/>
      <c r="U3014" s="10" t="s">
        <v>22107</v>
      </c>
      <c r="V3014" s="10" t="s">
        <v>7633</v>
      </c>
      <c r="W3014" s="10" t="s">
        <v>7620</v>
      </c>
      <c r="X3014" s="10" t="s">
        <v>130</v>
      </c>
      <c r="Y3014" s="10" t="s">
        <v>130</v>
      </c>
      <c r="Z3014" s="10" t="s">
        <v>99</v>
      </c>
      <c r="AA3014" s="10" t="s">
        <v>131</v>
      </c>
      <c r="AB3014" s="10" t="s">
        <v>7621</v>
      </c>
      <c r="AC3014" s="10" t="s">
        <v>274</v>
      </c>
      <c r="AD3014" s="10" t="s">
        <v>22139</v>
      </c>
      <c r="AE3014" s="10" t="s">
        <v>22140</v>
      </c>
      <c r="AF3014" s="15"/>
      <c r="AG3014" s="10"/>
      <c r="AH3014" s="10"/>
      <c r="AI3014" s="10"/>
      <c r="AJ3014" s="10"/>
      <c r="AK3014" s="10"/>
      <c r="AL3014" s="10" t="s">
        <v>2926</v>
      </c>
      <c r="AM3014" s="10"/>
      <c r="AN3014" s="10"/>
      <c r="AO3014" s="13" t="b">
        <v>0</v>
      </c>
      <c r="AP3014" s="22" t="s">
        <v>104</v>
      </c>
      <c r="AQ3014" s="10"/>
      <c r="AR3014" s="17"/>
      <c r="AS3014" s="17"/>
      <c r="AT3014" s="17"/>
      <c r="AU3014" s="17"/>
      <c r="AV3014" s="17"/>
      <c r="AW3014" s="10"/>
      <c r="AX3014" s="17"/>
      <c r="AY3014" s="18" t="s">
        <v>257</v>
      </c>
      <c r="AZ3014" s="10"/>
      <c r="BA3014" s="20" t="b">
        <v>0</v>
      </c>
      <c r="BB3014" s="10"/>
      <c r="BC3014" s="17" t="s">
        <v>257</v>
      </c>
      <c r="BD3014" s="17" t="s">
        <v>257</v>
      </c>
      <c r="BE3014" s="17" t="s">
        <v>257</v>
      </c>
      <c r="BF3014" s="17" t="s">
        <v>257</v>
      </c>
      <c r="BG3014" s="11">
        <f ca="1">IFERROR(__xludf.DUMMYFUNCTION("""COMPUTED_VALUE"""),46067.125)</f>
        <v>46067.125</v>
      </c>
      <c r="BH3014" s="17"/>
      <c r="BI3014" s="17"/>
      <c r="BJ3014" s="15"/>
      <c r="BK3014" s="15"/>
      <c r="BL3014" s="13" t="b">
        <v>0</v>
      </c>
      <c r="BM3014" s="10"/>
      <c r="BN3014" s="10" t="s">
        <v>108</v>
      </c>
      <c r="BO3014" s="11">
        <v>46003.629166666666</v>
      </c>
      <c r="BP3014" s="11">
        <v>46003.629189814812</v>
      </c>
      <c r="BQ3014" s="15"/>
      <c r="BR3014" s="15"/>
      <c r="BS3014" s="10"/>
      <c r="BT3014" s="10"/>
      <c r="BU3014" s="10"/>
      <c r="BV3014" s="10"/>
      <c r="BW3014" s="10"/>
      <c r="BX3014" s="10"/>
      <c r="BY3014" s="23"/>
      <c r="BZ3014" s="23"/>
      <c r="CA3014" s="10"/>
      <c r="CB3014" s="23"/>
      <c r="CC3014" s="23"/>
      <c r="CD3014" s="23"/>
      <c r="CE3014" s="23"/>
      <c r="CF3014" s="23"/>
      <c r="CG3014" s="23"/>
      <c r="CH3014" s="23"/>
      <c r="CI3014" s="23"/>
    </row>
    <row r="3015" spans="1:87" x14ac:dyDescent="0.3">
      <c r="A3015" s="9" t="s">
        <v>22141</v>
      </c>
      <c r="B3015" s="10" t="s">
        <v>22142</v>
      </c>
      <c r="C3015" s="11">
        <v>46070.125</v>
      </c>
      <c r="D3015" s="12">
        <v>8.3333333333333329E-2</v>
      </c>
      <c r="E3015" s="11">
        <v>46070.208333333336</v>
      </c>
      <c r="F3015" s="22" t="s">
        <v>7613</v>
      </c>
      <c r="G3015" s="13" t="b">
        <v>0</v>
      </c>
      <c r="H3015" s="22"/>
      <c r="I3015" s="10" t="s">
        <v>89</v>
      </c>
      <c r="J3015" s="13" t="b">
        <v>0</v>
      </c>
      <c r="K3015" s="13" t="b">
        <v>1</v>
      </c>
      <c r="L3015" s="10" t="s">
        <v>124</v>
      </c>
      <c r="M3015" s="10" t="s">
        <v>91</v>
      </c>
      <c r="N3015" s="10" t="s">
        <v>265</v>
      </c>
      <c r="O3015" s="10"/>
      <c r="P3015" s="10"/>
      <c r="Q3015" s="10" t="s">
        <v>94</v>
      </c>
      <c r="R3015" s="10"/>
      <c r="S3015" s="10"/>
      <c r="T3015" s="10"/>
      <c r="U3015" s="10" t="s">
        <v>8791</v>
      </c>
      <c r="V3015" s="10" t="s">
        <v>8772</v>
      </c>
      <c r="W3015" s="10" t="s">
        <v>7620</v>
      </c>
      <c r="X3015" s="10" t="s">
        <v>130</v>
      </c>
      <c r="Y3015" s="10" t="s">
        <v>130</v>
      </c>
      <c r="Z3015" s="10" t="s">
        <v>99</v>
      </c>
      <c r="AA3015" s="10" t="s">
        <v>131</v>
      </c>
      <c r="AB3015" s="10" t="s">
        <v>7621</v>
      </c>
      <c r="AC3015" s="10" t="s">
        <v>274</v>
      </c>
      <c r="AD3015" s="10" t="s">
        <v>22143</v>
      </c>
      <c r="AE3015" s="10" t="s">
        <v>22144</v>
      </c>
      <c r="AF3015" s="15"/>
      <c r="AG3015" s="10"/>
      <c r="AH3015" s="10"/>
      <c r="AI3015" s="10"/>
      <c r="AJ3015" s="10"/>
      <c r="AK3015" s="10"/>
      <c r="AL3015" s="10" t="s">
        <v>2926</v>
      </c>
      <c r="AM3015" s="10"/>
      <c r="AN3015" s="10"/>
      <c r="AO3015" s="13" t="b">
        <v>0</v>
      </c>
      <c r="AP3015" s="22" t="s">
        <v>104</v>
      </c>
      <c r="AQ3015" s="10"/>
      <c r="AR3015" s="17"/>
      <c r="AS3015" s="17"/>
      <c r="AT3015" s="17"/>
      <c r="AU3015" s="17"/>
      <c r="AV3015" s="17"/>
      <c r="AW3015" s="10"/>
      <c r="AX3015" s="17"/>
      <c r="AY3015" s="18" t="s">
        <v>257</v>
      </c>
      <c r="AZ3015" s="10"/>
      <c r="BA3015" s="20" t="b">
        <v>0</v>
      </c>
      <c r="BB3015" s="10"/>
      <c r="BC3015" s="17" t="s">
        <v>257</v>
      </c>
      <c r="BD3015" s="17" t="s">
        <v>257</v>
      </c>
      <c r="BE3015" s="17" t="s">
        <v>257</v>
      </c>
      <c r="BF3015" s="17" t="s">
        <v>257</v>
      </c>
      <c r="BG3015" s="11">
        <f ca="1">IFERROR(__xludf.DUMMYFUNCTION("""COMPUTED_VALUE"""),46070.125)</f>
        <v>46070.125</v>
      </c>
      <c r="BH3015" s="17"/>
      <c r="BI3015" s="17"/>
      <c r="BJ3015" s="15"/>
      <c r="BK3015" s="15"/>
      <c r="BL3015" s="13" t="b">
        <v>0</v>
      </c>
      <c r="BM3015" s="10"/>
      <c r="BN3015" s="10" t="s">
        <v>108</v>
      </c>
      <c r="BO3015" s="11">
        <v>46003.629166666666</v>
      </c>
      <c r="BP3015" s="11">
        <v>46003.62976851852</v>
      </c>
      <c r="BQ3015" s="15"/>
      <c r="BR3015" s="15"/>
      <c r="BS3015" s="10"/>
      <c r="BT3015" s="10"/>
      <c r="BU3015" s="10"/>
      <c r="BV3015" s="10"/>
      <c r="BW3015" s="10"/>
      <c r="BX3015" s="10"/>
      <c r="BY3015" s="23"/>
      <c r="BZ3015" s="23"/>
      <c r="CA3015" s="10"/>
      <c r="CB3015" s="23"/>
      <c r="CC3015" s="23"/>
      <c r="CD3015" s="23"/>
      <c r="CE3015" s="23"/>
      <c r="CF3015" s="23"/>
      <c r="CG3015" s="23"/>
      <c r="CH3015" s="23"/>
      <c r="CI3015" s="23"/>
    </row>
    <row r="3016" spans="1:87" x14ac:dyDescent="0.3">
      <c r="A3016" s="9" t="s">
        <v>22145</v>
      </c>
      <c r="B3016" s="10" t="s">
        <v>22146</v>
      </c>
      <c r="C3016" s="11">
        <v>46074.8125</v>
      </c>
      <c r="D3016" s="12">
        <v>8.3333333333333329E-2</v>
      </c>
      <c r="E3016" s="11">
        <v>46074.895833333336</v>
      </c>
      <c r="F3016" s="22" t="s">
        <v>7613</v>
      </c>
      <c r="G3016" s="13" t="b">
        <v>0</v>
      </c>
      <c r="H3016" s="22"/>
      <c r="I3016" s="10" t="s">
        <v>89</v>
      </c>
      <c r="J3016" s="13" t="b">
        <v>0</v>
      </c>
      <c r="K3016" s="13" t="b">
        <v>1</v>
      </c>
      <c r="L3016" s="10" t="s">
        <v>124</v>
      </c>
      <c r="M3016" s="10" t="s">
        <v>91</v>
      </c>
      <c r="N3016" s="10" t="s">
        <v>265</v>
      </c>
      <c r="O3016" s="10"/>
      <c r="P3016" s="10"/>
      <c r="Q3016" s="10" t="s">
        <v>94</v>
      </c>
      <c r="R3016" s="10"/>
      <c r="S3016" s="10"/>
      <c r="T3016" s="10"/>
      <c r="U3016" s="10" t="s">
        <v>8426</v>
      </c>
      <c r="V3016" s="10" t="s">
        <v>8791</v>
      </c>
      <c r="W3016" s="10" t="s">
        <v>7620</v>
      </c>
      <c r="X3016" s="10" t="s">
        <v>130</v>
      </c>
      <c r="Y3016" s="10" t="s">
        <v>130</v>
      </c>
      <c r="Z3016" s="10" t="s">
        <v>99</v>
      </c>
      <c r="AA3016" s="10" t="s">
        <v>131</v>
      </c>
      <c r="AB3016" s="10" t="s">
        <v>7621</v>
      </c>
      <c r="AC3016" s="10" t="s">
        <v>274</v>
      </c>
      <c r="AD3016" s="10" t="s">
        <v>22147</v>
      </c>
      <c r="AE3016" s="10" t="s">
        <v>22148</v>
      </c>
      <c r="AF3016" s="15"/>
      <c r="AG3016" s="10"/>
      <c r="AH3016" s="10"/>
      <c r="AI3016" s="10"/>
      <c r="AJ3016" s="10"/>
      <c r="AK3016" s="10"/>
      <c r="AL3016" s="10" t="s">
        <v>2967</v>
      </c>
      <c r="AM3016" s="10"/>
      <c r="AN3016" s="10"/>
      <c r="AO3016" s="13" t="b">
        <v>0</v>
      </c>
      <c r="AP3016" s="22" t="s">
        <v>104</v>
      </c>
      <c r="AQ3016" s="10"/>
      <c r="AR3016" s="17"/>
      <c r="AS3016" s="17"/>
      <c r="AT3016" s="17"/>
      <c r="AU3016" s="17"/>
      <c r="AV3016" s="17"/>
      <c r="AW3016" s="10"/>
      <c r="AX3016" s="17"/>
      <c r="AY3016" s="18" t="s">
        <v>257</v>
      </c>
      <c r="AZ3016" s="10"/>
      <c r="BA3016" s="20" t="b">
        <v>0</v>
      </c>
      <c r="BB3016" s="10"/>
      <c r="BC3016" s="17" t="s">
        <v>257</v>
      </c>
      <c r="BD3016" s="17" t="s">
        <v>257</v>
      </c>
      <c r="BE3016" s="17" t="s">
        <v>257</v>
      </c>
      <c r="BF3016" s="17" t="s">
        <v>257</v>
      </c>
      <c r="BG3016" s="11">
        <f ca="1">IFERROR(__xludf.DUMMYFUNCTION("""COMPUTED_VALUE"""),46074.8125)</f>
        <v>46074.8125</v>
      </c>
      <c r="BH3016" s="17"/>
      <c r="BI3016" s="17"/>
      <c r="BJ3016" s="15"/>
      <c r="BK3016" s="15"/>
      <c r="BL3016" s="13" t="b">
        <v>0</v>
      </c>
      <c r="BM3016" s="10"/>
      <c r="BN3016" s="10" t="s">
        <v>108</v>
      </c>
      <c r="BO3016" s="11">
        <v>46003.629861111112</v>
      </c>
      <c r="BP3016" s="11">
        <v>46003.630393518521</v>
      </c>
      <c r="BQ3016" s="15"/>
      <c r="BR3016" s="15"/>
      <c r="BS3016" s="10"/>
      <c r="BT3016" s="10"/>
      <c r="BU3016" s="10"/>
      <c r="BV3016" s="10"/>
      <c r="BW3016" s="10"/>
      <c r="BX3016" s="10"/>
      <c r="BY3016" s="23"/>
      <c r="BZ3016" s="23"/>
      <c r="CA3016" s="10"/>
      <c r="CB3016" s="23"/>
      <c r="CC3016" s="23"/>
      <c r="CD3016" s="23"/>
      <c r="CE3016" s="23"/>
      <c r="CF3016" s="23"/>
      <c r="CG3016" s="23"/>
      <c r="CH3016" s="23"/>
      <c r="CI3016" s="23"/>
    </row>
    <row r="3017" spans="1:87" x14ac:dyDescent="0.3">
      <c r="A3017" s="9" t="s">
        <v>22149</v>
      </c>
      <c r="B3017" s="10" t="s">
        <v>22150</v>
      </c>
      <c r="C3017" s="11">
        <v>46075.791666666664</v>
      </c>
      <c r="D3017" s="12">
        <v>8.3333333333333329E-2</v>
      </c>
      <c r="E3017" s="11">
        <v>46075.875</v>
      </c>
      <c r="F3017" s="22" t="s">
        <v>7613</v>
      </c>
      <c r="G3017" s="13" t="b">
        <v>0</v>
      </c>
      <c r="H3017" s="22"/>
      <c r="I3017" s="10" t="s">
        <v>89</v>
      </c>
      <c r="J3017" s="13" t="b">
        <v>0</v>
      </c>
      <c r="K3017" s="13" t="b">
        <v>1</v>
      </c>
      <c r="L3017" s="10" t="s">
        <v>124</v>
      </c>
      <c r="M3017" s="10" t="s">
        <v>91</v>
      </c>
      <c r="N3017" s="10" t="s">
        <v>265</v>
      </c>
      <c r="O3017" s="10"/>
      <c r="P3017" s="10"/>
      <c r="Q3017" s="10" t="s">
        <v>94</v>
      </c>
      <c r="R3017" s="10"/>
      <c r="S3017" s="10"/>
      <c r="T3017" s="10"/>
      <c r="U3017" s="10" t="s">
        <v>7903</v>
      </c>
      <c r="V3017" s="10" t="s">
        <v>8640</v>
      </c>
      <c r="W3017" s="10" t="s">
        <v>7620</v>
      </c>
      <c r="X3017" s="10" t="s">
        <v>130</v>
      </c>
      <c r="Y3017" s="10" t="s">
        <v>130</v>
      </c>
      <c r="Z3017" s="10" t="s">
        <v>99</v>
      </c>
      <c r="AA3017" s="10" t="s">
        <v>131</v>
      </c>
      <c r="AB3017" s="10" t="s">
        <v>7621</v>
      </c>
      <c r="AC3017" s="10" t="s">
        <v>274</v>
      </c>
      <c r="AD3017" s="10" t="s">
        <v>22151</v>
      </c>
      <c r="AE3017" s="10" t="s">
        <v>22152</v>
      </c>
      <c r="AF3017" s="15"/>
      <c r="AG3017" s="10"/>
      <c r="AH3017" s="10"/>
      <c r="AI3017" s="10"/>
      <c r="AJ3017" s="10"/>
      <c r="AK3017" s="10"/>
      <c r="AL3017" s="10" t="s">
        <v>2967</v>
      </c>
      <c r="AM3017" s="10"/>
      <c r="AN3017" s="10"/>
      <c r="AO3017" s="13" t="b">
        <v>0</v>
      </c>
      <c r="AP3017" s="22" t="s">
        <v>104</v>
      </c>
      <c r="AQ3017" s="10"/>
      <c r="AR3017" s="17"/>
      <c r="AS3017" s="17"/>
      <c r="AT3017" s="17"/>
      <c r="AU3017" s="17"/>
      <c r="AV3017" s="17"/>
      <c r="AW3017" s="10"/>
      <c r="AX3017" s="17"/>
      <c r="AY3017" s="18" t="s">
        <v>257</v>
      </c>
      <c r="AZ3017" s="10"/>
      <c r="BA3017" s="20" t="b">
        <v>0</v>
      </c>
      <c r="BB3017" s="10"/>
      <c r="BC3017" s="17" t="s">
        <v>257</v>
      </c>
      <c r="BD3017" s="17" t="s">
        <v>257</v>
      </c>
      <c r="BE3017" s="17" t="s">
        <v>257</v>
      </c>
      <c r="BF3017" s="17" t="s">
        <v>257</v>
      </c>
      <c r="BG3017" s="11">
        <f ca="1">IFERROR(__xludf.DUMMYFUNCTION("""COMPUTED_VALUE"""),46075.7916666666)</f>
        <v>46075.791666666599</v>
      </c>
      <c r="BH3017" s="17"/>
      <c r="BI3017" s="17"/>
      <c r="BJ3017" s="15"/>
      <c r="BK3017" s="15"/>
      <c r="BL3017" s="13" t="b">
        <v>0</v>
      </c>
      <c r="BM3017" s="10"/>
      <c r="BN3017" s="10" t="s">
        <v>108</v>
      </c>
      <c r="BO3017" s="11">
        <v>46003.630555555559</v>
      </c>
      <c r="BP3017" s="11">
        <v>46003.630879629629</v>
      </c>
      <c r="BQ3017" s="15"/>
      <c r="BR3017" s="15"/>
      <c r="BS3017" s="10"/>
      <c r="BT3017" s="10"/>
      <c r="BU3017" s="10"/>
      <c r="BV3017" s="10"/>
      <c r="BW3017" s="10"/>
      <c r="BX3017" s="10"/>
      <c r="BY3017" s="23"/>
      <c r="BZ3017" s="23"/>
      <c r="CA3017" s="10"/>
      <c r="CB3017" s="23"/>
      <c r="CC3017" s="23"/>
      <c r="CD3017" s="23"/>
      <c r="CE3017" s="23"/>
      <c r="CF3017" s="23"/>
      <c r="CG3017" s="23"/>
      <c r="CH3017" s="23"/>
      <c r="CI3017" s="23"/>
    </row>
    <row r="3018" spans="1:87" x14ac:dyDescent="0.3">
      <c r="A3018" s="9" t="s">
        <v>22153</v>
      </c>
      <c r="B3018" s="10" t="s">
        <v>22154</v>
      </c>
      <c r="C3018" s="11">
        <v>46079.125</v>
      </c>
      <c r="D3018" s="12">
        <v>8.3333333333333329E-2</v>
      </c>
      <c r="E3018" s="11">
        <v>46079.208333333336</v>
      </c>
      <c r="F3018" s="22" t="s">
        <v>7613</v>
      </c>
      <c r="G3018" s="13" t="b">
        <v>0</v>
      </c>
      <c r="H3018" s="22"/>
      <c r="I3018" s="10" t="s">
        <v>89</v>
      </c>
      <c r="J3018" s="13" t="b">
        <v>0</v>
      </c>
      <c r="K3018" s="13" t="b">
        <v>1</v>
      </c>
      <c r="L3018" s="10" t="s">
        <v>124</v>
      </c>
      <c r="M3018" s="10" t="s">
        <v>91</v>
      </c>
      <c r="N3018" s="10" t="s">
        <v>265</v>
      </c>
      <c r="O3018" s="10"/>
      <c r="P3018" s="10"/>
      <c r="Q3018" s="10" t="s">
        <v>126</v>
      </c>
      <c r="R3018" s="10"/>
      <c r="S3018" s="10"/>
      <c r="T3018" s="10"/>
      <c r="U3018" s="10" t="s">
        <v>22155</v>
      </c>
      <c r="V3018" s="10" t="s">
        <v>7881</v>
      </c>
      <c r="W3018" s="10" t="s">
        <v>7620</v>
      </c>
      <c r="X3018" s="10" t="s">
        <v>130</v>
      </c>
      <c r="Y3018" s="10" t="s">
        <v>130</v>
      </c>
      <c r="Z3018" s="10" t="s">
        <v>99</v>
      </c>
      <c r="AA3018" s="10" t="s">
        <v>131</v>
      </c>
      <c r="AB3018" s="10" t="s">
        <v>7621</v>
      </c>
      <c r="AC3018" s="10" t="s">
        <v>274</v>
      </c>
      <c r="AD3018" s="10" t="s">
        <v>22156</v>
      </c>
      <c r="AE3018" s="10" t="s">
        <v>22157</v>
      </c>
      <c r="AF3018" s="15"/>
      <c r="AG3018" s="10"/>
      <c r="AH3018" s="10"/>
      <c r="AI3018" s="10"/>
      <c r="AJ3018" s="10"/>
      <c r="AK3018" s="10"/>
      <c r="AL3018" s="10" t="s">
        <v>3008</v>
      </c>
      <c r="AM3018" s="10"/>
      <c r="AN3018" s="10"/>
      <c r="AO3018" s="13" t="b">
        <v>0</v>
      </c>
      <c r="AP3018" s="22" t="s">
        <v>104</v>
      </c>
      <c r="AQ3018" s="10"/>
      <c r="AR3018" s="17"/>
      <c r="AS3018" s="17"/>
      <c r="AT3018" s="17"/>
      <c r="AU3018" s="17"/>
      <c r="AV3018" s="17"/>
      <c r="AW3018" s="10"/>
      <c r="AX3018" s="17"/>
      <c r="AY3018" s="18" t="s">
        <v>257</v>
      </c>
      <c r="AZ3018" s="10"/>
      <c r="BA3018" s="20" t="b">
        <v>0</v>
      </c>
      <c r="BB3018" s="10"/>
      <c r="BC3018" s="17" t="s">
        <v>257</v>
      </c>
      <c r="BD3018" s="17" t="s">
        <v>257</v>
      </c>
      <c r="BE3018" s="17" t="s">
        <v>257</v>
      </c>
      <c r="BF3018" s="17" t="s">
        <v>257</v>
      </c>
      <c r="BG3018" s="11">
        <f ca="1">IFERROR(__xludf.DUMMYFUNCTION("""COMPUTED_VALUE"""),46079.125)</f>
        <v>46079.125</v>
      </c>
      <c r="BH3018" s="17"/>
      <c r="BI3018" s="17"/>
      <c r="BJ3018" s="15"/>
      <c r="BK3018" s="15"/>
      <c r="BL3018" s="13" t="b">
        <v>0</v>
      </c>
      <c r="BM3018" s="10"/>
      <c r="BN3018" s="10" t="s">
        <v>108</v>
      </c>
      <c r="BO3018" s="11">
        <v>46003.631249999999</v>
      </c>
      <c r="BP3018" s="11">
        <v>46003.63140046296</v>
      </c>
      <c r="BQ3018" s="15"/>
      <c r="BR3018" s="15"/>
      <c r="BS3018" s="10"/>
      <c r="BT3018" s="10"/>
      <c r="BU3018" s="10"/>
      <c r="BV3018" s="10"/>
      <c r="BW3018" s="10"/>
      <c r="BX3018" s="10"/>
      <c r="BY3018" s="23"/>
      <c r="BZ3018" s="23"/>
      <c r="CA3018" s="10"/>
      <c r="CB3018" s="23"/>
      <c r="CC3018" s="23"/>
      <c r="CD3018" s="23"/>
      <c r="CE3018" s="23"/>
      <c r="CF3018" s="23"/>
      <c r="CG3018" s="23"/>
      <c r="CH3018" s="23"/>
      <c r="CI3018" s="23"/>
    </row>
    <row r="3019" spans="1:87" x14ac:dyDescent="0.3">
      <c r="A3019" s="9" t="s">
        <v>22158</v>
      </c>
      <c r="B3019" s="10" t="s">
        <v>22159</v>
      </c>
      <c r="C3019" s="11">
        <v>46018.75</v>
      </c>
      <c r="D3019" s="12">
        <v>0.14583333333333334</v>
      </c>
      <c r="E3019" s="11">
        <v>46018.895833333336</v>
      </c>
      <c r="F3019" s="22" t="s">
        <v>8402</v>
      </c>
      <c r="G3019" s="13" t="b">
        <v>0</v>
      </c>
      <c r="H3019" s="22" t="s">
        <v>8403</v>
      </c>
      <c r="I3019" s="10" t="s">
        <v>212</v>
      </c>
      <c r="J3019" s="13" t="b">
        <v>1</v>
      </c>
      <c r="K3019" s="13" t="b">
        <v>0</v>
      </c>
      <c r="L3019" s="10" t="s">
        <v>124</v>
      </c>
      <c r="M3019" s="10" t="s">
        <v>91</v>
      </c>
      <c r="N3019" s="10" t="s">
        <v>92</v>
      </c>
      <c r="O3019" s="19" t="s">
        <v>22160</v>
      </c>
      <c r="P3019" s="10"/>
      <c r="Q3019" s="10" t="s">
        <v>126</v>
      </c>
      <c r="R3019" s="19" t="s">
        <v>22161</v>
      </c>
      <c r="S3019" s="19" t="s">
        <v>22162</v>
      </c>
      <c r="T3019" s="10"/>
      <c r="U3019" s="10"/>
      <c r="V3019" s="10"/>
      <c r="W3019" s="10" t="s">
        <v>8407</v>
      </c>
      <c r="X3019" s="10" t="s">
        <v>8408</v>
      </c>
      <c r="Y3019" s="10" t="s">
        <v>8409</v>
      </c>
      <c r="Z3019" s="10" t="s">
        <v>99</v>
      </c>
      <c r="AA3019" s="10" t="s">
        <v>100</v>
      </c>
      <c r="AB3019" s="10" t="s">
        <v>8410</v>
      </c>
      <c r="AC3019" s="10"/>
      <c r="AD3019" s="10" t="s">
        <v>165</v>
      </c>
      <c r="AE3019" s="10" t="s">
        <v>22163</v>
      </c>
      <c r="AF3019" s="15"/>
      <c r="AG3019" s="10"/>
      <c r="AH3019" s="10"/>
      <c r="AI3019" s="10"/>
      <c r="AJ3019" s="10"/>
      <c r="AK3019" s="10" t="s">
        <v>102</v>
      </c>
      <c r="AL3019" s="10"/>
      <c r="AM3019" s="10"/>
      <c r="AN3019" s="10"/>
      <c r="AO3019" s="13" t="b">
        <v>0</v>
      </c>
      <c r="AP3019" s="22"/>
      <c r="AQ3019" s="10">
        <f ca="1">IFERROR(__xludf.DUMMYFUNCTION("""COMPUTED_VALUE"""),4795160)</f>
        <v>4795160</v>
      </c>
      <c r="AR3019" s="17">
        <v>14339</v>
      </c>
      <c r="AS3019" s="17">
        <v>11044</v>
      </c>
      <c r="AT3019" s="17">
        <v>128510.5</v>
      </c>
      <c r="AU3019" s="17">
        <v>33.200000000000003</v>
      </c>
      <c r="AV3019" s="17">
        <v>6.25</v>
      </c>
      <c r="AW3019" s="10" t="s">
        <v>105</v>
      </c>
      <c r="AX3019" s="17">
        <v>1116</v>
      </c>
      <c r="AY3019" s="18">
        <v>11.636227816008693</v>
      </c>
      <c r="AZ3019" s="10" t="s">
        <v>6778</v>
      </c>
      <c r="BA3019" s="20" t="b">
        <v>0</v>
      </c>
      <c r="BB3019" s="10"/>
      <c r="BC3019" s="17">
        <v>14339</v>
      </c>
      <c r="BD3019" s="17">
        <v>11044</v>
      </c>
      <c r="BE3019" s="17">
        <v>128510.5</v>
      </c>
      <c r="BF3019" s="17">
        <v>6.25</v>
      </c>
      <c r="BG3019" s="11">
        <f ca="1">IFERROR(__xludf.DUMMYFUNCTION("""COMPUTED_VALUE"""),46018.75)</f>
        <v>46018.75</v>
      </c>
      <c r="BH3019" s="17" t="s">
        <v>105</v>
      </c>
      <c r="BI3019" s="17"/>
      <c r="BJ3019" s="15"/>
      <c r="BK3019" s="15"/>
      <c r="BL3019" s="13" t="b">
        <v>0</v>
      </c>
      <c r="BM3019" s="10"/>
      <c r="BN3019" s="10" t="s">
        <v>4030</v>
      </c>
      <c r="BO3019" s="11">
        <v>46003.63958333333</v>
      </c>
      <c r="BP3019" s="11">
        <v>46010.541030092594</v>
      </c>
      <c r="BQ3019" s="15">
        <v>46016.870127314818</v>
      </c>
      <c r="BR3019" s="15">
        <v>46017.032337962963</v>
      </c>
      <c r="BS3019" s="10" t="s">
        <v>4030</v>
      </c>
      <c r="BT3019" s="10"/>
      <c r="BU3019" s="10"/>
      <c r="BV3019" s="10"/>
      <c r="BW3019" s="10"/>
      <c r="BX3019" s="10"/>
      <c r="BY3019" s="23"/>
      <c r="BZ3019" s="23"/>
      <c r="CA3019" s="19" t="s">
        <v>22164</v>
      </c>
      <c r="CB3019" s="23"/>
      <c r="CC3019" s="23"/>
      <c r="CD3019" s="19" t="s">
        <v>22165</v>
      </c>
      <c r="CE3019" s="23"/>
      <c r="CF3019" s="23"/>
      <c r="CG3019" s="23"/>
      <c r="CH3019" s="23"/>
      <c r="CI3019" s="23"/>
    </row>
    <row r="3020" spans="1:87" x14ac:dyDescent="0.3">
      <c r="A3020" s="9" t="s">
        <v>22166</v>
      </c>
      <c r="B3020" s="10" t="s">
        <v>22167</v>
      </c>
      <c r="C3020" s="11">
        <v>46013.083333333336</v>
      </c>
      <c r="D3020" s="12">
        <v>8.3333333333333329E-2</v>
      </c>
      <c r="E3020" s="11">
        <v>46013.166666666664</v>
      </c>
      <c r="F3020" s="22" t="s">
        <v>20550</v>
      </c>
      <c r="G3020" s="13" t="b">
        <v>0</v>
      </c>
      <c r="H3020" s="22" t="s">
        <v>3564</v>
      </c>
      <c r="I3020" s="10" t="s">
        <v>89</v>
      </c>
      <c r="J3020" s="13" t="b">
        <v>0</v>
      </c>
      <c r="K3020" s="13" t="b">
        <v>1</v>
      </c>
      <c r="L3020" s="10" t="s">
        <v>124</v>
      </c>
      <c r="M3020" s="10" t="s">
        <v>91</v>
      </c>
      <c r="N3020" s="10" t="s">
        <v>265</v>
      </c>
      <c r="O3020" s="19" t="s">
        <v>22168</v>
      </c>
      <c r="P3020" s="10"/>
      <c r="Q3020" s="10" t="s">
        <v>126</v>
      </c>
      <c r="R3020" s="10"/>
      <c r="S3020" s="19" t="s">
        <v>22169</v>
      </c>
      <c r="T3020" s="10"/>
      <c r="U3020" s="10" t="s">
        <v>20665</v>
      </c>
      <c r="V3020" s="10" t="s">
        <v>20657</v>
      </c>
      <c r="W3020" s="10" t="s">
        <v>20555</v>
      </c>
      <c r="X3020" s="10" t="s">
        <v>130</v>
      </c>
      <c r="Y3020" s="10" t="s">
        <v>130</v>
      </c>
      <c r="Z3020" s="10" t="s">
        <v>99</v>
      </c>
      <c r="AA3020" s="10" t="s">
        <v>131</v>
      </c>
      <c r="AB3020" s="10" t="s">
        <v>20556</v>
      </c>
      <c r="AC3020" s="10" t="s">
        <v>20557</v>
      </c>
      <c r="AD3020" s="10" t="s">
        <v>22170</v>
      </c>
      <c r="AE3020" s="10" t="s">
        <v>22171</v>
      </c>
      <c r="AF3020" s="15"/>
      <c r="AG3020" s="10"/>
      <c r="AH3020" s="10"/>
      <c r="AI3020" s="10"/>
      <c r="AJ3020" s="10"/>
      <c r="AK3020" s="10" t="s">
        <v>102</v>
      </c>
      <c r="AL3020" s="10" t="s">
        <v>7897</v>
      </c>
      <c r="AM3020" s="10"/>
      <c r="AN3020" s="10"/>
      <c r="AO3020" s="13" t="b">
        <v>0</v>
      </c>
      <c r="AP3020" s="22" t="s">
        <v>104</v>
      </c>
      <c r="AQ3020" s="10">
        <f ca="1">IFERROR(__xludf.DUMMYFUNCTION("""COMPUTED_VALUE"""),4789602)</f>
        <v>4789602</v>
      </c>
      <c r="AR3020" s="17">
        <v>5094</v>
      </c>
      <c r="AS3020" s="17">
        <v>3831</v>
      </c>
      <c r="AT3020" s="17">
        <v>154128</v>
      </c>
      <c r="AU3020" s="17">
        <v>9.85</v>
      </c>
      <c r="AV3020" s="17">
        <v>3.75</v>
      </c>
      <c r="AW3020" s="10" t="s">
        <v>105</v>
      </c>
      <c r="AX3020" s="17">
        <v>1497</v>
      </c>
      <c r="AY3020" s="18">
        <v>40.231793265465939</v>
      </c>
      <c r="AZ3020" s="10" t="s">
        <v>106</v>
      </c>
      <c r="BA3020" s="20" t="b">
        <v>0</v>
      </c>
      <c r="BB3020" s="10"/>
      <c r="BC3020" s="17">
        <v>5094</v>
      </c>
      <c r="BD3020" s="17">
        <v>3831</v>
      </c>
      <c r="BE3020" s="17">
        <v>154128</v>
      </c>
      <c r="BF3020" s="17">
        <v>3.75</v>
      </c>
      <c r="BG3020" s="11">
        <f ca="1">IFERROR(__xludf.DUMMYFUNCTION("""COMPUTED_VALUE"""),46013.0833333333)</f>
        <v>46013.083333333299</v>
      </c>
      <c r="BH3020" s="17" t="s">
        <v>105</v>
      </c>
      <c r="BI3020" s="17"/>
      <c r="BJ3020" s="15"/>
      <c r="BK3020" s="15"/>
      <c r="BL3020" s="13" t="b">
        <v>0</v>
      </c>
      <c r="BM3020" s="10"/>
      <c r="BN3020" s="10" t="s">
        <v>19455</v>
      </c>
      <c r="BO3020" s="11">
        <v>46003.652083333334</v>
      </c>
      <c r="BP3020" s="11">
        <v>46007.413101851853</v>
      </c>
      <c r="BQ3020" s="15">
        <v>46011.612650462965</v>
      </c>
      <c r="BR3020" s="15">
        <v>46012.167754629627</v>
      </c>
      <c r="BS3020" s="10" t="s">
        <v>19455</v>
      </c>
      <c r="BT3020" s="10" t="s">
        <v>99</v>
      </c>
      <c r="BU3020" s="10" t="s">
        <v>9114</v>
      </c>
      <c r="BV3020" s="10"/>
      <c r="BW3020" s="10"/>
      <c r="BX3020" s="10"/>
      <c r="BY3020" s="23"/>
      <c r="BZ3020" s="23"/>
      <c r="CA3020" s="19" t="s">
        <v>22172</v>
      </c>
      <c r="CB3020" s="23"/>
      <c r="CC3020" s="23"/>
      <c r="CD3020" s="19" t="s">
        <v>22173</v>
      </c>
      <c r="CE3020" s="23"/>
      <c r="CF3020" s="23"/>
      <c r="CG3020" s="23"/>
      <c r="CH3020" s="23"/>
      <c r="CI3020" s="23"/>
    </row>
    <row r="3021" spans="1:87" x14ac:dyDescent="0.3">
      <c r="A3021" s="9" t="s">
        <v>22174</v>
      </c>
      <c r="B3021" s="10" t="s">
        <v>22175</v>
      </c>
      <c r="C3021" s="11">
        <v>46012</v>
      </c>
      <c r="D3021" s="12">
        <v>8.3333333333333329E-2</v>
      </c>
      <c r="E3021" s="11">
        <v>46012.083333333336</v>
      </c>
      <c r="F3021" s="22" t="s">
        <v>21253</v>
      </c>
      <c r="G3021" s="13" t="b">
        <v>0</v>
      </c>
      <c r="H3021" s="22" t="s">
        <v>3564</v>
      </c>
      <c r="I3021" s="10" t="s">
        <v>89</v>
      </c>
      <c r="J3021" s="13" t="b">
        <v>0</v>
      </c>
      <c r="K3021" s="13" t="b">
        <v>1</v>
      </c>
      <c r="L3021" s="10" t="s">
        <v>124</v>
      </c>
      <c r="M3021" s="10" t="s">
        <v>91</v>
      </c>
      <c r="N3021" s="10" t="s">
        <v>92</v>
      </c>
      <c r="O3021" s="19" t="s">
        <v>22176</v>
      </c>
      <c r="P3021" s="10"/>
      <c r="Q3021" s="10" t="s">
        <v>126</v>
      </c>
      <c r="R3021" s="10"/>
      <c r="S3021" s="19" t="s">
        <v>22177</v>
      </c>
      <c r="T3021" s="10"/>
      <c r="U3021" s="10" t="s">
        <v>21257</v>
      </c>
      <c r="V3021" s="10" t="s">
        <v>22178</v>
      </c>
      <c r="W3021" s="10" t="s">
        <v>21258</v>
      </c>
      <c r="X3021" s="10" t="s">
        <v>130</v>
      </c>
      <c r="Y3021" s="10" t="s">
        <v>130</v>
      </c>
      <c r="Z3021" s="10" t="s">
        <v>99</v>
      </c>
      <c r="AA3021" s="10" t="s">
        <v>131</v>
      </c>
      <c r="AB3021" s="10" t="s">
        <v>21259</v>
      </c>
      <c r="AC3021" s="10" t="s">
        <v>21260</v>
      </c>
      <c r="AD3021" s="10" t="s">
        <v>22179</v>
      </c>
      <c r="AE3021" s="10" t="s">
        <v>22180</v>
      </c>
      <c r="AF3021" s="15"/>
      <c r="AG3021" s="10"/>
      <c r="AH3021" s="10"/>
      <c r="AI3021" s="10"/>
      <c r="AJ3021" s="10"/>
      <c r="AK3021" s="10" t="s">
        <v>102</v>
      </c>
      <c r="AL3021" s="10" t="s">
        <v>1988</v>
      </c>
      <c r="AM3021" s="10"/>
      <c r="AN3021" s="10"/>
      <c r="AO3021" s="13" t="b">
        <v>0</v>
      </c>
      <c r="AP3021" s="22" t="s">
        <v>104</v>
      </c>
      <c r="AQ3021" s="10">
        <f ca="1">IFERROR(__xludf.DUMMYFUNCTION("""COMPUTED_VALUE"""),4783747)</f>
        <v>4783747</v>
      </c>
      <c r="AR3021" s="17">
        <v>2785</v>
      </c>
      <c r="AS3021" s="17">
        <v>2231</v>
      </c>
      <c r="AT3021" s="17">
        <v>34614.75</v>
      </c>
      <c r="AU3021" s="17">
        <v>0.5</v>
      </c>
      <c r="AV3021" s="17">
        <v>0</v>
      </c>
      <c r="AW3021" s="10" t="s">
        <v>105</v>
      </c>
      <c r="AX3021" s="17">
        <v>449</v>
      </c>
      <c r="AY3021" s="18">
        <v>15.515351860152398</v>
      </c>
      <c r="AZ3021" s="10" t="s">
        <v>117</v>
      </c>
      <c r="BA3021" s="20" t="b">
        <v>0</v>
      </c>
      <c r="BB3021" s="10"/>
      <c r="BC3021" s="17">
        <v>2785</v>
      </c>
      <c r="BD3021" s="17">
        <v>2231</v>
      </c>
      <c r="BE3021" s="17">
        <v>34614.75</v>
      </c>
      <c r="BF3021" s="17">
        <v>0</v>
      </c>
      <c r="BG3021" s="11">
        <f ca="1">IFERROR(__xludf.DUMMYFUNCTION("""COMPUTED_VALUE"""),46012)</f>
        <v>46012</v>
      </c>
      <c r="BH3021" s="17" t="s">
        <v>105</v>
      </c>
      <c r="BI3021" s="17"/>
      <c r="BJ3021" s="15"/>
      <c r="BK3021" s="15"/>
      <c r="BL3021" s="13" t="b">
        <v>0</v>
      </c>
      <c r="BM3021" s="10"/>
      <c r="BN3021" s="10" t="s">
        <v>634</v>
      </c>
      <c r="BO3021" s="11">
        <v>46003.652777777781</v>
      </c>
      <c r="BP3021" s="11">
        <v>46003.652881944443</v>
      </c>
      <c r="BQ3021" s="15">
        <v>46007.807743055557</v>
      </c>
      <c r="BR3021" s="15">
        <v>46009.393888888888</v>
      </c>
      <c r="BS3021" s="10" t="s">
        <v>634</v>
      </c>
      <c r="BT3021" s="10" t="s">
        <v>99</v>
      </c>
      <c r="BU3021" s="10" t="s">
        <v>931</v>
      </c>
      <c r="BV3021" s="10"/>
      <c r="BW3021" s="10"/>
      <c r="BX3021" s="10"/>
      <c r="BY3021" s="23"/>
      <c r="BZ3021" s="23"/>
      <c r="CA3021" s="19" t="s">
        <v>22181</v>
      </c>
      <c r="CB3021" s="23"/>
      <c r="CC3021" s="23"/>
      <c r="CD3021" s="19" t="s">
        <v>22182</v>
      </c>
      <c r="CE3021" s="23"/>
      <c r="CF3021" s="23"/>
      <c r="CG3021" s="23"/>
      <c r="CH3021" s="23"/>
      <c r="CI3021" s="23"/>
    </row>
    <row r="3022" spans="1:87" x14ac:dyDescent="0.3">
      <c r="A3022" s="9" t="s">
        <v>22183</v>
      </c>
      <c r="B3022" s="10" t="s">
        <v>22184</v>
      </c>
      <c r="C3022" s="11">
        <v>46005</v>
      </c>
      <c r="D3022" s="12">
        <v>8.3333333333333329E-2</v>
      </c>
      <c r="E3022" s="11">
        <v>46005.083333333336</v>
      </c>
      <c r="F3022" s="22" t="s">
        <v>22185</v>
      </c>
      <c r="G3022" s="13" t="b">
        <v>0</v>
      </c>
      <c r="H3022" s="22" t="s">
        <v>3564</v>
      </c>
      <c r="I3022" s="10" t="s">
        <v>89</v>
      </c>
      <c r="J3022" s="13" t="b">
        <v>0</v>
      </c>
      <c r="K3022" s="13" t="b">
        <v>1</v>
      </c>
      <c r="L3022" s="10" t="s">
        <v>124</v>
      </c>
      <c r="M3022" s="10" t="s">
        <v>91</v>
      </c>
      <c r="N3022" s="10" t="s">
        <v>92</v>
      </c>
      <c r="O3022" s="10"/>
      <c r="P3022" s="10"/>
      <c r="Q3022" s="10" t="s">
        <v>94</v>
      </c>
      <c r="R3022" s="10"/>
      <c r="S3022" s="10"/>
      <c r="T3022" s="10"/>
      <c r="U3022" s="10" t="s">
        <v>22186</v>
      </c>
      <c r="V3022" s="10" t="s">
        <v>22187</v>
      </c>
      <c r="W3022" s="10" t="s">
        <v>22188</v>
      </c>
      <c r="X3022" s="10" t="s">
        <v>130</v>
      </c>
      <c r="Y3022" s="10" t="s">
        <v>130</v>
      </c>
      <c r="Z3022" s="10" t="s">
        <v>99</v>
      </c>
      <c r="AA3022" s="10" t="s">
        <v>131</v>
      </c>
      <c r="AB3022" s="10" t="s">
        <v>22189</v>
      </c>
      <c r="AC3022" s="10" t="s">
        <v>22190</v>
      </c>
      <c r="AD3022" s="10" t="s">
        <v>22191</v>
      </c>
      <c r="AE3022" s="10" t="s">
        <v>22192</v>
      </c>
      <c r="AF3022" s="15"/>
      <c r="AG3022" s="10"/>
      <c r="AH3022" s="10"/>
      <c r="AI3022" s="10"/>
      <c r="AJ3022" s="10"/>
      <c r="AK3022" s="10" t="s">
        <v>256</v>
      </c>
      <c r="AL3022" s="10"/>
      <c r="AM3022" s="10"/>
      <c r="AN3022" s="10"/>
      <c r="AO3022" s="13" t="b">
        <v>0</v>
      </c>
      <c r="AP3022" s="22" t="s">
        <v>104</v>
      </c>
      <c r="AQ3022" s="10"/>
      <c r="AR3022" s="17"/>
      <c r="AS3022" s="17"/>
      <c r="AT3022" s="17"/>
      <c r="AU3022" s="17"/>
      <c r="AV3022" s="17"/>
      <c r="AW3022" s="10"/>
      <c r="AX3022" s="17"/>
      <c r="AY3022" s="18" t="s">
        <v>257</v>
      </c>
      <c r="AZ3022" s="10"/>
      <c r="BA3022" s="20" t="b">
        <v>0</v>
      </c>
      <c r="BB3022" s="10"/>
      <c r="BC3022" s="17" t="s">
        <v>257</v>
      </c>
      <c r="BD3022" s="17" t="s">
        <v>257</v>
      </c>
      <c r="BE3022" s="17" t="s">
        <v>257</v>
      </c>
      <c r="BF3022" s="17" t="s">
        <v>257</v>
      </c>
      <c r="BG3022" s="11">
        <f ca="1">IFERROR(__xludf.DUMMYFUNCTION("""COMPUTED_VALUE"""),46005)</f>
        <v>46005</v>
      </c>
      <c r="BH3022" s="17"/>
      <c r="BI3022" s="17"/>
      <c r="BJ3022" s="15"/>
      <c r="BK3022" s="15"/>
      <c r="BL3022" s="13" t="b">
        <v>0</v>
      </c>
      <c r="BM3022" s="10"/>
      <c r="BN3022" s="10" t="s">
        <v>5685</v>
      </c>
      <c r="BO3022" s="11">
        <v>46003.651388888888</v>
      </c>
      <c r="BP3022" s="11">
        <v>46003.652071759258</v>
      </c>
      <c r="BQ3022" s="15"/>
      <c r="BR3022" s="15"/>
      <c r="BS3022" s="10"/>
      <c r="BT3022" s="10"/>
      <c r="BU3022" s="10"/>
      <c r="BV3022" s="10"/>
      <c r="BW3022" s="10"/>
      <c r="BX3022" s="10"/>
      <c r="BY3022" s="23"/>
      <c r="BZ3022" s="23"/>
      <c r="CA3022" s="10"/>
      <c r="CB3022" s="23"/>
      <c r="CC3022" s="23"/>
      <c r="CD3022" s="23"/>
      <c r="CE3022" s="23"/>
      <c r="CF3022" s="23"/>
      <c r="CG3022" s="23"/>
      <c r="CH3022" s="23"/>
      <c r="CI3022" s="23"/>
    </row>
    <row r="3023" spans="1:87" x14ac:dyDescent="0.3">
      <c r="A3023" s="9" t="s">
        <v>22193</v>
      </c>
      <c r="B3023" s="10" t="s">
        <v>22194</v>
      </c>
      <c r="C3023" s="11">
        <v>46013</v>
      </c>
      <c r="D3023" s="12">
        <v>8.3333333333333329E-2</v>
      </c>
      <c r="E3023" s="11">
        <v>46013.083333333336</v>
      </c>
      <c r="F3023" s="22" t="s">
        <v>21253</v>
      </c>
      <c r="G3023" s="13" t="b">
        <v>0</v>
      </c>
      <c r="H3023" s="22" t="s">
        <v>3564</v>
      </c>
      <c r="I3023" s="10" t="s">
        <v>89</v>
      </c>
      <c r="J3023" s="13" t="b">
        <v>0</v>
      </c>
      <c r="K3023" s="13" t="b">
        <v>1</v>
      </c>
      <c r="L3023" s="10" t="s">
        <v>124</v>
      </c>
      <c r="M3023" s="10" t="s">
        <v>91</v>
      </c>
      <c r="N3023" s="10" t="s">
        <v>92</v>
      </c>
      <c r="O3023" s="19" t="s">
        <v>22195</v>
      </c>
      <c r="P3023" s="10"/>
      <c r="Q3023" s="10" t="s">
        <v>126</v>
      </c>
      <c r="R3023" s="10"/>
      <c r="S3023" s="19" t="s">
        <v>22196</v>
      </c>
      <c r="T3023" s="10"/>
      <c r="U3023" s="10" t="s">
        <v>11518</v>
      </c>
      <c r="V3023" s="10" t="s">
        <v>22197</v>
      </c>
      <c r="W3023" s="10" t="s">
        <v>21258</v>
      </c>
      <c r="X3023" s="10" t="s">
        <v>130</v>
      </c>
      <c r="Y3023" s="10" t="s">
        <v>130</v>
      </c>
      <c r="Z3023" s="10" t="s">
        <v>99</v>
      </c>
      <c r="AA3023" s="10" t="s">
        <v>131</v>
      </c>
      <c r="AB3023" s="10" t="s">
        <v>21259</v>
      </c>
      <c r="AC3023" s="10" t="s">
        <v>21260</v>
      </c>
      <c r="AD3023" s="10" t="s">
        <v>22198</v>
      </c>
      <c r="AE3023" s="10" t="s">
        <v>22199</v>
      </c>
      <c r="AF3023" s="15"/>
      <c r="AG3023" s="10"/>
      <c r="AH3023" s="10"/>
      <c r="AI3023" s="10"/>
      <c r="AJ3023" s="10"/>
      <c r="AK3023" s="10" t="s">
        <v>102</v>
      </c>
      <c r="AL3023" s="10" t="s">
        <v>1988</v>
      </c>
      <c r="AM3023" s="10"/>
      <c r="AN3023" s="10"/>
      <c r="AO3023" s="13" t="b">
        <v>0</v>
      </c>
      <c r="AP3023" s="22" t="s">
        <v>104</v>
      </c>
      <c r="AQ3023" s="10">
        <f ca="1">IFERROR(__xludf.DUMMYFUNCTION("""COMPUTED_VALUE"""),4784750)</f>
        <v>4784750</v>
      </c>
      <c r="AR3023" s="17">
        <v>4253</v>
      </c>
      <c r="AS3023" s="17">
        <v>3370</v>
      </c>
      <c r="AT3023" s="17">
        <v>77999.75</v>
      </c>
      <c r="AU3023" s="17">
        <v>15.05</v>
      </c>
      <c r="AV3023" s="17">
        <v>4.5999999999999996</v>
      </c>
      <c r="AW3023" s="10" t="s">
        <v>105</v>
      </c>
      <c r="AX3023" s="17">
        <v>890</v>
      </c>
      <c r="AY3023" s="18">
        <v>23.145326409495549</v>
      </c>
      <c r="AZ3023" s="10" t="s">
        <v>117</v>
      </c>
      <c r="BA3023" s="20" t="b">
        <v>0</v>
      </c>
      <c r="BB3023" s="10"/>
      <c r="BC3023" s="17">
        <v>4253</v>
      </c>
      <c r="BD3023" s="17">
        <v>3370</v>
      </c>
      <c r="BE3023" s="17">
        <v>77999.75</v>
      </c>
      <c r="BF3023" s="17">
        <v>4.5999999999999996</v>
      </c>
      <c r="BG3023" s="11">
        <f ca="1">IFERROR(__xludf.DUMMYFUNCTION("""COMPUTED_VALUE"""),46013)</f>
        <v>46013</v>
      </c>
      <c r="BH3023" s="17" t="s">
        <v>105</v>
      </c>
      <c r="BI3023" s="17"/>
      <c r="BJ3023" s="15"/>
      <c r="BK3023" s="15"/>
      <c r="BL3023" s="13" t="b">
        <v>0</v>
      </c>
      <c r="BM3023" s="10"/>
      <c r="BN3023" s="10" t="s">
        <v>667</v>
      </c>
      <c r="BO3023" s="11">
        <v>46003.65347222222</v>
      </c>
      <c r="BP3023" s="11">
        <v>46007.456099537034</v>
      </c>
      <c r="BQ3023" s="15">
        <v>46007.808217592596</v>
      </c>
      <c r="BR3023" s="15">
        <v>46010.424849537034</v>
      </c>
      <c r="BS3023" s="10" t="s">
        <v>667</v>
      </c>
      <c r="BT3023" s="10" t="s">
        <v>99</v>
      </c>
      <c r="BU3023" s="10" t="s">
        <v>931</v>
      </c>
      <c r="BV3023" s="10"/>
      <c r="BW3023" s="10"/>
      <c r="BX3023" s="10"/>
      <c r="BY3023" s="23"/>
      <c r="BZ3023" s="23"/>
      <c r="CA3023" s="19" t="s">
        <v>22200</v>
      </c>
      <c r="CB3023" s="23"/>
      <c r="CC3023" s="23"/>
      <c r="CD3023" s="23"/>
      <c r="CE3023" s="23"/>
      <c r="CF3023" s="23"/>
      <c r="CG3023" s="23"/>
      <c r="CH3023" s="23"/>
      <c r="CI3023" s="23"/>
    </row>
    <row r="3024" spans="1:87" x14ac:dyDescent="0.3">
      <c r="A3024" s="9" t="s">
        <v>22201</v>
      </c>
      <c r="B3024" s="10" t="s">
        <v>22202</v>
      </c>
      <c r="C3024" s="11">
        <v>46008.958333333336</v>
      </c>
      <c r="D3024" s="12">
        <v>0.16666666666666666</v>
      </c>
      <c r="E3024" s="11">
        <v>46009.125</v>
      </c>
      <c r="F3024" s="22" t="s">
        <v>22185</v>
      </c>
      <c r="G3024" s="13" t="b">
        <v>0</v>
      </c>
      <c r="H3024" s="22" t="s">
        <v>3578</v>
      </c>
      <c r="I3024" s="10" t="s">
        <v>89</v>
      </c>
      <c r="J3024" s="13" t="b">
        <v>0</v>
      </c>
      <c r="K3024" s="13" t="b">
        <v>1</v>
      </c>
      <c r="L3024" s="10" t="s">
        <v>124</v>
      </c>
      <c r="M3024" s="10" t="s">
        <v>91</v>
      </c>
      <c r="N3024" s="10" t="s">
        <v>265</v>
      </c>
      <c r="O3024" s="19" t="s">
        <v>22203</v>
      </c>
      <c r="P3024" s="10"/>
      <c r="Q3024" s="10" t="s">
        <v>126</v>
      </c>
      <c r="R3024" s="10"/>
      <c r="S3024" s="19" t="s">
        <v>22204</v>
      </c>
      <c r="T3024" s="10"/>
      <c r="U3024" s="10" t="s">
        <v>11474</v>
      </c>
      <c r="V3024" s="10" t="s">
        <v>22186</v>
      </c>
      <c r="W3024" s="10" t="s">
        <v>22188</v>
      </c>
      <c r="X3024" s="10" t="s">
        <v>130</v>
      </c>
      <c r="Y3024" s="10" t="s">
        <v>130</v>
      </c>
      <c r="Z3024" s="10" t="s">
        <v>99</v>
      </c>
      <c r="AA3024" s="10" t="s">
        <v>131</v>
      </c>
      <c r="AB3024" s="10" t="s">
        <v>22189</v>
      </c>
      <c r="AC3024" s="10" t="s">
        <v>22190</v>
      </c>
      <c r="AD3024" s="10" t="s">
        <v>22205</v>
      </c>
      <c r="AE3024" s="10" t="s">
        <v>22206</v>
      </c>
      <c r="AF3024" s="15"/>
      <c r="AG3024" s="10"/>
      <c r="AH3024" s="10"/>
      <c r="AI3024" s="10"/>
      <c r="AJ3024" s="10"/>
      <c r="AK3024" s="10" t="s">
        <v>102</v>
      </c>
      <c r="AL3024" s="10" t="s">
        <v>220</v>
      </c>
      <c r="AM3024" s="10"/>
      <c r="AN3024" s="10"/>
      <c r="AO3024" s="13" t="b">
        <v>1</v>
      </c>
      <c r="AP3024" s="22" t="s">
        <v>104</v>
      </c>
      <c r="AQ3024" s="10">
        <f ca="1">IFERROR(__xludf.DUMMYFUNCTION("""COMPUTED_VALUE"""),4783004)</f>
        <v>4783004</v>
      </c>
      <c r="AR3024" s="17">
        <v>60167</v>
      </c>
      <c r="AS3024" s="17">
        <v>40013</v>
      </c>
      <c r="AT3024" s="17">
        <v>1438500</v>
      </c>
      <c r="AU3024" s="17">
        <v>270.35000000000002</v>
      </c>
      <c r="AV3024" s="17">
        <v>52.55</v>
      </c>
      <c r="AW3024" s="10" t="s">
        <v>105</v>
      </c>
      <c r="AX3024" s="17">
        <v>10970</v>
      </c>
      <c r="AY3024" s="18">
        <v>35.95081598480494</v>
      </c>
      <c r="AZ3024" s="10" t="s">
        <v>185</v>
      </c>
      <c r="BA3024" s="20" t="b">
        <v>0</v>
      </c>
      <c r="BB3024" s="10"/>
      <c r="BC3024" s="17">
        <v>60167</v>
      </c>
      <c r="BD3024" s="17">
        <v>40013</v>
      </c>
      <c r="BE3024" s="17">
        <v>1438500</v>
      </c>
      <c r="BF3024" s="17">
        <v>52.55</v>
      </c>
      <c r="BG3024" s="11">
        <f ca="1">IFERROR(__xludf.DUMMYFUNCTION("""COMPUTED_VALUE"""),46008.9583333333)</f>
        <v>46008.958333333299</v>
      </c>
      <c r="BH3024" s="17" t="s">
        <v>105</v>
      </c>
      <c r="BI3024" s="17"/>
      <c r="BJ3024" s="15"/>
      <c r="BK3024" s="15"/>
      <c r="BL3024" s="13" t="b">
        <v>0</v>
      </c>
      <c r="BM3024" s="10"/>
      <c r="BN3024" s="10" t="s">
        <v>667</v>
      </c>
      <c r="BO3024" s="11">
        <v>46003.654166666667</v>
      </c>
      <c r="BP3024" s="11">
        <v>46008.521249999998</v>
      </c>
      <c r="BQ3024" s="15">
        <v>46008.773472222223</v>
      </c>
      <c r="BR3024" s="15">
        <v>46008.830057870371</v>
      </c>
      <c r="BS3024" s="10" t="s">
        <v>667</v>
      </c>
      <c r="BT3024" s="10" t="s">
        <v>279</v>
      </c>
      <c r="BU3024" s="10" t="s">
        <v>5046</v>
      </c>
      <c r="BV3024" s="10"/>
      <c r="BW3024" s="10"/>
      <c r="BX3024" s="10"/>
      <c r="BY3024" s="23"/>
      <c r="BZ3024" s="23"/>
      <c r="CA3024" s="19" t="s">
        <v>22207</v>
      </c>
      <c r="CB3024" s="23"/>
      <c r="CC3024" s="23"/>
      <c r="CD3024" s="19" t="s">
        <v>22208</v>
      </c>
      <c r="CE3024" s="23"/>
      <c r="CF3024" s="23"/>
      <c r="CG3024" s="23"/>
      <c r="CH3024" s="23"/>
      <c r="CI3024" s="23"/>
    </row>
    <row r="3025" spans="1:87" x14ac:dyDescent="0.3">
      <c r="A3025" s="9" t="s">
        <v>22209</v>
      </c>
      <c r="B3025" s="10" t="s">
        <v>22210</v>
      </c>
      <c r="C3025" s="11">
        <v>46011.791666666664</v>
      </c>
      <c r="D3025" s="12">
        <v>0.14583333333333334</v>
      </c>
      <c r="E3025" s="11">
        <v>46011.9375</v>
      </c>
      <c r="F3025" s="22" t="s">
        <v>8402</v>
      </c>
      <c r="G3025" s="13" t="b">
        <v>0</v>
      </c>
      <c r="H3025" s="22" t="s">
        <v>8403</v>
      </c>
      <c r="I3025" s="10" t="s">
        <v>212</v>
      </c>
      <c r="J3025" s="13" t="b">
        <v>1</v>
      </c>
      <c r="K3025" s="13" t="b">
        <v>0</v>
      </c>
      <c r="L3025" s="10" t="s">
        <v>124</v>
      </c>
      <c r="M3025" s="10" t="s">
        <v>91</v>
      </c>
      <c r="N3025" s="10" t="s">
        <v>92</v>
      </c>
      <c r="O3025" s="19" t="s">
        <v>22211</v>
      </c>
      <c r="P3025" s="10"/>
      <c r="Q3025" s="10" t="s">
        <v>126</v>
      </c>
      <c r="R3025" s="19" t="s">
        <v>22212</v>
      </c>
      <c r="S3025" s="19" t="s">
        <v>22213</v>
      </c>
      <c r="T3025" s="10"/>
      <c r="U3025" s="10"/>
      <c r="V3025" s="10"/>
      <c r="W3025" s="10" t="s">
        <v>8407</v>
      </c>
      <c r="X3025" s="10" t="s">
        <v>8408</v>
      </c>
      <c r="Y3025" s="10" t="s">
        <v>8409</v>
      </c>
      <c r="Z3025" s="10" t="s">
        <v>99</v>
      </c>
      <c r="AA3025" s="10" t="s">
        <v>100</v>
      </c>
      <c r="AB3025" s="10" t="s">
        <v>8410</v>
      </c>
      <c r="AC3025" s="10"/>
      <c r="AD3025" s="10" t="s">
        <v>165</v>
      </c>
      <c r="AE3025" s="10" t="s">
        <v>22214</v>
      </c>
      <c r="AF3025" s="15"/>
      <c r="AG3025" s="10"/>
      <c r="AH3025" s="10"/>
      <c r="AI3025" s="10"/>
      <c r="AJ3025" s="10"/>
      <c r="AK3025" s="10" t="s">
        <v>102</v>
      </c>
      <c r="AL3025" s="10"/>
      <c r="AM3025" s="10"/>
      <c r="AN3025" s="10"/>
      <c r="AO3025" s="13" t="b">
        <v>0</v>
      </c>
      <c r="AP3025" s="22"/>
      <c r="AQ3025" s="10">
        <f ca="1">IFERROR(__xludf.DUMMYFUNCTION("""COMPUTED_VALUE"""),4783422)</f>
        <v>4783422</v>
      </c>
      <c r="AR3025" s="17">
        <v>7559</v>
      </c>
      <c r="AS3025" s="17">
        <v>5747</v>
      </c>
      <c r="AT3025" s="17">
        <v>77031.25</v>
      </c>
      <c r="AU3025" s="17">
        <v>14.8</v>
      </c>
      <c r="AV3025" s="17">
        <v>2.65</v>
      </c>
      <c r="AW3025" s="10" t="s">
        <v>105</v>
      </c>
      <c r="AX3025" s="17">
        <v>930</v>
      </c>
      <c r="AY3025" s="18">
        <v>13.403732382112407</v>
      </c>
      <c r="AZ3025" s="10" t="s">
        <v>3783</v>
      </c>
      <c r="BA3025" s="20" t="b">
        <v>0</v>
      </c>
      <c r="BB3025" s="10"/>
      <c r="BC3025" s="17">
        <v>7559</v>
      </c>
      <c r="BD3025" s="17">
        <v>5747</v>
      </c>
      <c r="BE3025" s="17">
        <v>77031.25</v>
      </c>
      <c r="BF3025" s="17">
        <v>2.65</v>
      </c>
      <c r="BG3025" s="11">
        <f ca="1">IFERROR(__xludf.DUMMYFUNCTION("""COMPUTED_VALUE"""),46011.7916666666)</f>
        <v>46011.791666666599</v>
      </c>
      <c r="BH3025" s="17" t="s">
        <v>105</v>
      </c>
      <c r="BI3025" s="17"/>
      <c r="BJ3025" s="15"/>
      <c r="BK3025" s="15"/>
      <c r="BL3025" s="13" t="b">
        <v>0</v>
      </c>
      <c r="BM3025" s="10"/>
      <c r="BN3025" s="10" t="s">
        <v>157</v>
      </c>
      <c r="BO3025" s="11">
        <v>46003.658333333333</v>
      </c>
      <c r="BP3025" s="11">
        <v>46003.659085648149</v>
      </c>
      <c r="BQ3025" s="15">
        <v>46007.489583333336</v>
      </c>
      <c r="BR3025" s="15">
        <v>46007.865636574075</v>
      </c>
      <c r="BS3025" s="10" t="s">
        <v>157</v>
      </c>
      <c r="BT3025" s="10"/>
      <c r="BU3025" s="10"/>
      <c r="BV3025" s="10"/>
      <c r="BW3025" s="10"/>
      <c r="BX3025" s="10"/>
      <c r="BY3025" s="23"/>
      <c r="BZ3025" s="23"/>
      <c r="CA3025" s="19" t="s">
        <v>22215</v>
      </c>
      <c r="CB3025" s="23"/>
      <c r="CC3025" s="23"/>
      <c r="CD3025" s="19" t="s">
        <v>22216</v>
      </c>
      <c r="CE3025" s="23"/>
      <c r="CF3025" s="23"/>
      <c r="CG3025" s="23"/>
      <c r="CH3025" s="23"/>
      <c r="CI3025" s="23"/>
    </row>
    <row r="3026" spans="1:87" x14ac:dyDescent="0.3">
      <c r="A3026" s="9" t="s">
        <v>22217</v>
      </c>
      <c r="B3026" s="10" t="s">
        <v>22218</v>
      </c>
      <c r="C3026" s="11">
        <v>46030.666666666664</v>
      </c>
      <c r="D3026" s="12">
        <v>0.10416666666666667</v>
      </c>
      <c r="E3026" s="11">
        <v>46030.770833333336</v>
      </c>
      <c r="F3026" s="22" t="s">
        <v>22219</v>
      </c>
      <c r="G3026" s="13" t="b">
        <v>0</v>
      </c>
      <c r="H3026" s="22" t="s">
        <v>22220</v>
      </c>
      <c r="I3026" s="10" t="s">
        <v>89</v>
      </c>
      <c r="J3026" s="13" t="b">
        <v>0</v>
      </c>
      <c r="K3026" s="13" t="b">
        <v>1</v>
      </c>
      <c r="L3026" s="10" t="s">
        <v>124</v>
      </c>
      <c r="M3026" s="10" t="s">
        <v>91</v>
      </c>
      <c r="N3026" s="10" t="s">
        <v>3513</v>
      </c>
      <c r="O3026" s="19" t="s">
        <v>22221</v>
      </c>
      <c r="P3026" s="10" t="s">
        <v>575</v>
      </c>
      <c r="Q3026" s="10" t="s">
        <v>126</v>
      </c>
      <c r="R3026" s="10"/>
      <c r="S3026" s="19" t="s">
        <v>22222</v>
      </c>
      <c r="T3026" s="10"/>
      <c r="U3026" s="10" t="s">
        <v>22223</v>
      </c>
      <c r="V3026" s="10" t="s">
        <v>22224</v>
      </c>
      <c r="W3026" s="10" t="s">
        <v>22225</v>
      </c>
      <c r="X3026" s="10" t="s">
        <v>16549</v>
      </c>
      <c r="Y3026" s="10" t="s">
        <v>16549</v>
      </c>
      <c r="Z3026" s="10" t="s">
        <v>99</v>
      </c>
      <c r="AA3026" s="10" t="s">
        <v>131</v>
      </c>
      <c r="AB3026" s="10" t="s">
        <v>22226</v>
      </c>
      <c r="AC3026" s="10" t="s">
        <v>22227</v>
      </c>
      <c r="AD3026" s="10" t="s">
        <v>22228</v>
      </c>
      <c r="AE3026" s="10" t="s">
        <v>22229</v>
      </c>
      <c r="AF3026" s="15"/>
      <c r="AG3026" s="10"/>
      <c r="AH3026" s="10"/>
      <c r="AI3026" s="10"/>
      <c r="AJ3026" s="10" t="s">
        <v>22230</v>
      </c>
      <c r="AK3026" s="10" t="s">
        <v>102</v>
      </c>
      <c r="AL3026" s="10"/>
      <c r="AM3026" s="10"/>
      <c r="AN3026" s="10"/>
      <c r="AO3026" s="13" t="b">
        <v>0</v>
      </c>
      <c r="AP3026" s="22" t="s">
        <v>135</v>
      </c>
      <c r="AQ3026" s="10">
        <f ca="1">IFERROR(__xludf.DUMMYFUNCTION("""COMPUTED_VALUE"""),4831743)</f>
        <v>4831743</v>
      </c>
      <c r="AR3026" s="17">
        <v>86255</v>
      </c>
      <c r="AS3026" s="17">
        <v>50582</v>
      </c>
      <c r="AT3026" s="17">
        <v>1779067.5</v>
      </c>
      <c r="AU3026" s="17">
        <v>3840.2</v>
      </c>
      <c r="AV3026" s="17">
        <v>2797.1</v>
      </c>
      <c r="AW3026" s="10" t="s">
        <v>297</v>
      </c>
      <c r="AX3026" s="17">
        <v>16923</v>
      </c>
      <c r="AY3026" s="18">
        <v>35.171948519236089</v>
      </c>
      <c r="AZ3026" s="10" t="s">
        <v>168</v>
      </c>
      <c r="BA3026" s="20" t="b">
        <v>0</v>
      </c>
      <c r="BB3026" s="10"/>
      <c r="BC3026" s="17">
        <v>86255</v>
      </c>
      <c r="BD3026" s="17">
        <v>50582</v>
      </c>
      <c r="BE3026" s="17">
        <v>1779067.5</v>
      </c>
      <c r="BF3026" s="17">
        <v>2797.1</v>
      </c>
      <c r="BG3026" s="11">
        <f ca="1">IFERROR(__xludf.DUMMYFUNCTION("""COMPUTED_VALUE"""),46030.6666666666)</f>
        <v>46030.666666666599</v>
      </c>
      <c r="BH3026" s="17" t="s">
        <v>297</v>
      </c>
      <c r="BI3026" s="17"/>
      <c r="BJ3026" s="15"/>
      <c r="BK3026" s="15"/>
      <c r="BL3026" s="13" t="b">
        <v>0</v>
      </c>
      <c r="BM3026" s="10"/>
      <c r="BN3026" s="10" t="s">
        <v>136</v>
      </c>
      <c r="BO3026" s="11">
        <v>46003.731944444444</v>
      </c>
      <c r="BP3026" s="11">
        <v>46026.380648148152</v>
      </c>
      <c r="BQ3026" s="15">
        <v>46027.890775462962</v>
      </c>
      <c r="BR3026" s="15">
        <v>46028.398726851854</v>
      </c>
      <c r="BS3026" s="10"/>
      <c r="BT3026" s="10" t="s">
        <v>99</v>
      </c>
      <c r="BU3026" s="10"/>
      <c r="BV3026" s="10" t="s">
        <v>281</v>
      </c>
      <c r="BW3026" s="10" t="s">
        <v>22231</v>
      </c>
      <c r="BX3026" s="10"/>
      <c r="BY3026" s="23"/>
      <c r="BZ3026" s="23"/>
      <c r="CA3026" s="19" t="s">
        <v>22232</v>
      </c>
      <c r="CB3026" s="23"/>
      <c r="CC3026" s="23"/>
      <c r="CD3026" s="19" t="s">
        <v>22233</v>
      </c>
      <c r="CE3026" s="23"/>
      <c r="CF3026" s="23"/>
      <c r="CG3026" s="23"/>
      <c r="CH3026" s="23"/>
      <c r="CI3026" s="23"/>
    </row>
    <row r="3027" spans="1:87" x14ac:dyDescent="0.3">
      <c r="A3027" s="9" t="s">
        <v>22234</v>
      </c>
      <c r="B3027" s="10" t="s">
        <v>22235</v>
      </c>
      <c r="C3027" s="11">
        <v>46030.791666666664</v>
      </c>
      <c r="D3027" s="12">
        <v>0.10416666666666667</v>
      </c>
      <c r="E3027" s="11">
        <v>46030.895833333336</v>
      </c>
      <c r="F3027" s="22" t="s">
        <v>22219</v>
      </c>
      <c r="G3027" s="13" t="b">
        <v>0</v>
      </c>
      <c r="H3027" s="22" t="s">
        <v>22220</v>
      </c>
      <c r="I3027" s="10" t="s">
        <v>89</v>
      </c>
      <c r="J3027" s="13" t="b">
        <v>0</v>
      </c>
      <c r="K3027" s="13" t="b">
        <v>1</v>
      </c>
      <c r="L3027" s="10" t="s">
        <v>124</v>
      </c>
      <c r="M3027" s="10" t="s">
        <v>91</v>
      </c>
      <c r="N3027" s="10" t="s">
        <v>3513</v>
      </c>
      <c r="O3027" s="19" t="s">
        <v>22236</v>
      </c>
      <c r="P3027" s="10" t="s">
        <v>575</v>
      </c>
      <c r="Q3027" s="10" t="s">
        <v>126</v>
      </c>
      <c r="R3027" s="10"/>
      <c r="S3027" s="19" t="s">
        <v>22237</v>
      </c>
      <c r="T3027" s="10"/>
      <c r="U3027" s="10" t="s">
        <v>22238</v>
      </c>
      <c r="V3027" s="10" t="s">
        <v>22239</v>
      </c>
      <c r="W3027" s="10" t="s">
        <v>22225</v>
      </c>
      <c r="X3027" s="10" t="s">
        <v>16549</v>
      </c>
      <c r="Y3027" s="10" t="s">
        <v>16549</v>
      </c>
      <c r="Z3027" s="10" t="s">
        <v>99</v>
      </c>
      <c r="AA3027" s="10" t="s">
        <v>131</v>
      </c>
      <c r="AB3027" s="10" t="s">
        <v>22226</v>
      </c>
      <c r="AC3027" s="10" t="s">
        <v>22227</v>
      </c>
      <c r="AD3027" s="10" t="s">
        <v>22240</v>
      </c>
      <c r="AE3027" s="10" t="s">
        <v>22241</v>
      </c>
      <c r="AF3027" s="15"/>
      <c r="AG3027" s="10"/>
      <c r="AH3027" s="10"/>
      <c r="AI3027" s="10"/>
      <c r="AJ3027" s="10" t="s">
        <v>22242</v>
      </c>
      <c r="AK3027" s="10" t="s">
        <v>102</v>
      </c>
      <c r="AL3027" s="10"/>
      <c r="AM3027" s="10"/>
      <c r="AN3027" s="10"/>
      <c r="AO3027" s="13" t="b">
        <v>0</v>
      </c>
      <c r="AP3027" s="22" t="s">
        <v>104</v>
      </c>
      <c r="AQ3027" s="10">
        <f ca="1">IFERROR(__xludf.DUMMYFUNCTION("""COMPUTED_VALUE"""),4832159)</f>
        <v>4832159</v>
      </c>
      <c r="AR3027" s="17">
        <v>102835</v>
      </c>
      <c r="AS3027" s="17">
        <v>60979</v>
      </c>
      <c r="AT3027" s="17">
        <v>1779001</v>
      </c>
      <c r="AU3027" s="17">
        <v>4062.8</v>
      </c>
      <c r="AV3027" s="17">
        <v>2935.5</v>
      </c>
      <c r="AW3027" s="10" t="s">
        <v>297</v>
      </c>
      <c r="AX3027" s="17">
        <v>22830</v>
      </c>
      <c r="AY3027" s="18">
        <v>29.17399432591548</v>
      </c>
      <c r="AZ3027" s="10" t="s">
        <v>168</v>
      </c>
      <c r="BA3027" s="20" t="b">
        <v>0</v>
      </c>
      <c r="BB3027" s="10"/>
      <c r="BC3027" s="17">
        <v>102835</v>
      </c>
      <c r="BD3027" s="17">
        <v>60979</v>
      </c>
      <c r="BE3027" s="17">
        <v>1779001</v>
      </c>
      <c r="BF3027" s="17">
        <v>2935.5</v>
      </c>
      <c r="BG3027" s="11">
        <f ca="1">IFERROR(__xludf.DUMMYFUNCTION("""COMPUTED_VALUE"""),46030.7916666666)</f>
        <v>46030.791666666599</v>
      </c>
      <c r="BH3027" s="17" t="s">
        <v>297</v>
      </c>
      <c r="BI3027" s="17"/>
      <c r="BJ3027" s="15"/>
      <c r="BK3027" s="15"/>
      <c r="BL3027" s="13" t="b">
        <v>0</v>
      </c>
      <c r="BM3027" s="10"/>
      <c r="BN3027" s="10" t="s">
        <v>118</v>
      </c>
      <c r="BO3027" s="11">
        <v>46003.73541666667</v>
      </c>
      <c r="BP3027" s="11">
        <v>46026.381157407406</v>
      </c>
      <c r="BQ3027" s="15">
        <v>46028.544062499997</v>
      </c>
      <c r="BR3027" s="15">
        <v>46028.57335648148</v>
      </c>
      <c r="BS3027" s="10" t="s">
        <v>118</v>
      </c>
      <c r="BT3027" s="10" t="s">
        <v>99</v>
      </c>
      <c r="BU3027" s="10"/>
      <c r="BV3027" s="10" t="s">
        <v>281</v>
      </c>
      <c r="BW3027" s="10" t="s">
        <v>22243</v>
      </c>
      <c r="BX3027" s="10"/>
      <c r="BY3027" s="23"/>
      <c r="BZ3027" s="23"/>
      <c r="CA3027" s="19" t="s">
        <v>22244</v>
      </c>
      <c r="CB3027" s="23"/>
      <c r="CC3027" s="23"/>
      <c r="CD3027" s="19" t="s">
        <v>22245</v>
      </c>
      <c r="CE3027" s="23"/>
      <c r="CF3027" s="23"/>
      <c r="CG3027" s="23"/>
      <c r="CH3027" s="23"/>
      <c r="CI3027" s="23"/>
    </row>
    <row r="3028" spans="1:87" x14ac:dyDescent="0.3">
      <c r="A3028" s="9" t="s">
        <v>22246</v>
      </c>
      <c r="B3028" s="10" t="s">
        <v>22247</v>
      </c>
      <c r="C3028" s="11">
        <v>46012.020833333336</v>
      </c>
      <c r="D3028" s="12">
        <v>8.3333333333333329E-2</v>
      </c>
      <c r="E3028" s="11">
        <v>46012.104166666664</v>
      </c>
      <c r="F3028" s="22" t="s">
        <v>262</v>
      </c>
      <c r="G3028" s="13" t="b">
        <v>0</v>
      </c>
      <c r="H3028" s="22" t="s">
        <v>305</v>
      </c>
      <c r="I3028" s="10" t="s">
        <v>264</v>
      </c>
      <c r="J3028" s="13" t="b">
        <v>0</v>
      </c>
      <c r="K3028" s="13" t="b">
        <v>1</v>
      </c>
      <c r="L3028" s="10" t="s">
        <v>124</v>
      </c>
      <c r="M3028" s="10" t="s">
        <v>91</v>
      </c>
      <c r="N3028" s="10" t="s">
        <v>265</v>
      </c>
      <c r="O3028" s="19" t="s">
        <v>22248</v>
      </c>
      <c r="P3028" s="10"/>
      <c r="Q3028" s="10" t="s">
        <v>94</v>
      </c>
      <c r="R3028" s="10"/>
      <c r="S3028" s="19" t="s">
        <v>22249</v>
      </c>
      <c r="T3028" s="10"/>
      <c r="U3028" s="10" t="s">
        <v>429</v>
      </c>
      <c r="V3028" s="10" t="s">
        <v>270</v>
      </c>
      <c r="W3028" s="10" t="s">
        <v>272</v>
      </c>
      <c r="X3028" s="10" t="s">
        <v>130</v>
      </c>
      <c r="Y3028" s="10" t="s">
        <v>130</v>
      </c>
      <c r="Z3028" s="10" t="s">
        <v>99</v>
      </c>
      <c r="AA3028" s="10" t="s">
        <v>131</v>
      </c>
      <c r="AB3028" s="10" t="s">
        <v>273</v>
      </c>
      <c r="AC3028" s="10" t="s">
        <v>274</v>
      </c>
      <c r="AD3028" s="10" t="s">
        <v>2074</v>
      </c>
      <c r="AE3028" s="10" t="s">
        <v>22250</v>
      </c>
      <c r="AF3028" s="15"/>
      <c r="AG3028" s="10"/>
      <c r="AH3028" s="10"/>
      <c r="AI3028" s="10"/>
      <c r="AJ3028" s="10"/>
      <c r="AK3028" s="10" t="s">
        <v>102</v>
      </c>
      <c r="AL3028" s="10" t="s">
        <v>1988</v>
      </c>
      <c r="AM3028" s="10"/>
      <c r="AN3028" s="10"/>
      <c r="AO3028" s="13" t="b">
        <v>0</v>
      </c>
      <c r="AP3028" s="22" t="s">
        <v>104</v>
      </c>
      <c r="AQ3028" s="10">
        <f ca="1">IFERROR(__xludf.DUMMYFUNCTION("""COMPUTED_VALUE"""),4783749)</f>
        <v>4783749</v>
      </c>
      <c r="AR3028" s="17">
        <v>3917</v>
      </c>
      <c r="AS3028" s="17">
        <v>3628</v>
      </c>
      <c r="AT3028" s="17">
        <v>31852</v>
      </c>
      <c r="AU3028" s="17">
        <v>7.75</v>
      </c>
      <c r="AV3028" s="17">
        <v>0.75</v>
      </c>
      <c r="AW3028" s="10" t="s">
        <v>105</v>
      </c>
      <c r="AX3028" s="17">
        <v>1337</v>
      </c>
      <c r="AY3028" s="18">
        <v>8.7794928335170894</v>
      </c>
      <c r="AZ3028" s="10" t="s">
        <v>148</v>
      </c>
      <c r="BA3028" s="20" t="b">
        <v>0</v>
      </c>
      <c r="BB3028" s="10"/>
      <c r="BC3028" s="17">
        <v>3917</v>
      </c>
      <c r="BD3028" s="17">
        <v>3628</v>
      </c>
      <c r="BE3028" s="17">
        <v>31852</v>
      </c>
      <c r="BF3028" s="17">
        <v>0.75</v>
      </c>
      <c r="BG3028" s="11">
        <f ca="1">IFERROR(__xludf.DUMMYFUNCTION("""COMPUTED_VALUE"""),46012.0208333333)</f>
        <v>46012.020833333299</v>
      </c>
      <c r="BH3028" s="17" t="s">
        <v>105</v>
      </c>
      <c r="BI3028" s="17"/>
      <c r="BJ3028" s="15"/>
      <c r="BK3028" s="15"/>
      <c r="BL3028" s="13" t="b">
        <v>0</v>
      </c>
      <c r="BM3028" s="10"/>
      <c r="BN3028" s="10" t="s">
        <v>1160</v>
      </c>
      <c r="BO3028" s="11">
        <v>46003.746527777781</v>
      </c>
      <c r="BP3028" s="11">
        <v>46005.566168981481</v>
      </c>
      <c r="BQ3028" s="15">
        <v>46008.68209490741</v>
      </c>
      <c r="BR3028" s="15">
        <v>46009.394560185188</v>
      </c>
      <c r="BS3028" s="10" t="s">
        <v>1160</v>
      </c>
      <c r="BT3028" s="10"/>
      <c r="BU3028" s="10"/>
      <c r="BV3028" s="10"/>
      <c r="BW3028" s="10"/>
      <c r="BX3028" s="10"/>
      <c r="BY3028" s="23"/>
      <c r="BZ3028" s="23"/>
      <c r="CA3028" s="19" t="s">
        <v>2077</v>
      </c>
      <c r="CB3028" s="23"/>
      <c r="CC3028" s="23"/>
      <c r="CD3028" s="23"/>
      <c r="CE3028" s="23"/>
      <c r="CF3028" s="23"/>
      <c r="CG3028" s="23"/>
      <c r="CH3028" s="23"/>
      <c r="CI3028" s="23"/>
    </row>
    <row r="3029" spans="1:87" x14ac:dyDescent="0.3">
      <c r="A3029" s="9" t="s">
        <v>22251</v>
      </c>
      <c r="B3029" s="10" t="s">
        <v>22252</v>
      </c>
      <c r="C3029" s="11">
        <v>46019.020833333336</v>
      </c>
      <c r="D3029" s="12">
        <v>8.3333333333333329E-2</v>
      </c>
      <c r="E3029" s="11">
        <v>46019.104166666664</v>
      </c>
      <c r="F3029" s="22" t="s">
        <v>262</v>
      </c>
      <c r="G3029" s="13" t="b">
        <v>0</v>
      </c>
      <c r="H3029" s="22" t="s">
        <v>305</v>
      </c>
      <c r="I3029" s="10" t="s">
        <v>264</v>
      </c>
      <c r="J3029" s="13" t="b">
        <v>0</v>
      </c>
      <c r="K3029" s="13" t="b">
        <v>1</v>
      </c>
      <c r="L3029" s="10" t="s">
        <v>124</v>
      </c>
      <c r="M3029" s="10" t="s">
        <v>91</v>
      </c>
      <c r="N3029" s="10" t="s">
        <v>265</v>
      </c>
      <c r="O3029" s="19" t="s">
        <v>22253</v>
      </c>
      <c r="P3029" s="10"/>
      <c r="Q3029" s="10" t="s">
        <v>94</v>
      </c>
      <c r="R3029" s="10"/>
      <c r="S3029" s="19" t="s">
        <v>22254</v>
      </c>
      <c r="T3029" s="10"/>
      <c r="U3029" s="10" t="s">
        <v>346</v>
      </c>
      <c r="V3029" s="10" t="s">
        <v>292</v>
      </c>
      <c r="W3029" s="10" t="s">
        <v>272</v>
      </c>
      <c r="X3029" s="10" t="s">
        <v>130</v>
      </c>
      <c r="Y3029" s="10" t="s">
        <v>130</v>
      </c>
      <c r="Z3029" s="10" t="s">
        <v>99</v>
      </c>
      <c r="AA3029" s="10" t="s">
        <v>131</v>
      </c>
      <c r="AB3029" s="10" t="s">
        <v>273</v>
      </c>
      <c r="AC3029" s="10" t="s">
        <v>274</v>
      </c>
      <c r="AD3029" s="10" t="s">
        <v>2128</v>
      </c>
      <c r="AE3029" s="10" t="s">
        <v>22255</v>
      </c>
      <c r="AF3029" s="15"/>
      <c r="AG3029" s="10"/>
      <c r="AH3029" s="10"/>
      <c r="AI3029" s="10"/>
      <c r="AJ3029" s="10"/>
      <c r="AK3029" s="10" t="s">
        <v>102</v>
      </c>
      <c r="AL3029" s="10" t="s">
        <v>2098</v>
      </c>
      <c r="AM3029" s="10"/>
      <c r="AN3029" s="10"/>
      <c r="AO3029" s="13" t="b">
        <v>0</v>
      </c>
      <c r="AP3029" s="22" t="s">
        <v>104</v>
      </c>
      <c r="AQ3029" s="10">
        <f ca="1">IFERROR(__xludf.DUMMYFUNCTION("""COMPUTED_VALUE"""),4792898)</f>
        <v>4792898</v>
      </c>
      <c r="AR3029" s="17">
        <v>19237</v>
      </c>
      <c r="AS3029" s="17">
        <v>15418</v>
      </c>
      <c r="AT3029" s="17">
        <v>245983.75</v>
      </c>
      <c r="AU3029" s="17">
        <v>43.05</v>
      </c>
      <c r="AV3029" s="17">
        <v>5.45</v>
      </c>
      <c r="AW3029" s="10" t="s">
        <v>105</v>
      </c>
      <c r="AX3029" s="17">
        <v>33442</v>
      </c>
      <c r="AY3029" s="18">
        <v>15.95432286937346</v>
      </c>
      <c r="AZ3029" s="10"/>
      <c r="BA3029" s="20" t="b">
        <v>0</v>
      </c>
      <c r="BB3029" s="10"/>
      <c r="BC3029" s="17">
        <v>19237</v>
      </c>
      <c r="BD3029" s="17">
        <v>15418</v>
      </c>
      <c r="BE3029" s="17">
        <v>245983.75</v>
      </c>
      <c r="BF3029" s="17">
        <v>5.45</v>
      </c>
      <c r="BG3029" s="11">
        <f ca="1">IFERROR(__xludf.DUMMYFUNCTION("""COMPUTED_VALUE"""),46019.0208333333)</f>
        <v>46019.020833333299</v>
      </c>
      <c r="BH3029" s="17" t="s">
        <v>105</v>
      </c>
      <c r="BI3029" s="17"/>
      <c r="BJ3029" s="15"/>
      <c r="BK3029" s="15"/>
      <c r="BL3029" s="13" t="b">
        <v>0</v>
      </c>
      <c r="BM3029" s="10"/>
      <c r="BN3029" s="10" t="s">
        <v>22256</v>
      </c>
      <c r="BO3029" s="11">
        <v>46003.749305555553</v>
      </c>
      <c r="BP3029" s="11">
        <v>46005.577152777776</v>
      </c>
      <c r="BQ3029" s="15">
        <v>46017.771793981483</v>
      </c>
      <c r="BR3029" s="15">
        <v>46014.595601851855</v>
      </c>
      <c r="BS3029" s="10"/>
      <c r="BT3029" s="10"/>
      <c r="BU3029" s="10"/>
      <c r="BV3029" s="10"/>
      <c r="BW3029" s="10"/>
      <c r="BX3029" s="10"/>
      <c r="BY3029" s="23"/>
      <c r="BZ3029" s="23"/>
      <c r="CA3029" s="19" t="s">
        <v>22257</v>
      </c>
      <c r="CB3029" s="10"/>
      <c r="CC3029" s="23"/>
      <c r="CD3029" s="23"/>
      <c r="CE3029" s="23"/>
      <c r="CF3029" s="23"/>
      <c r="CG3029" s="23"/>
      <c r="CH3029" s="23"/>
      <c r="CI3029" s="23"/>
    </row>
    <row r="3030" spans="1:87" x14ac:dyDescent="0.3">
      <c r="A3030" s="9" t="s">
        <v>22258</v>
      </c>
      <c r="B3030" s="10" t="s">
        <v>22259</v>
      </c>
      <c r="C3030" s="11">
        <v>46010.34375</v>
      </c>
      <c r="D3030" s="12">
        <v>0.14583333333333334</v>
      </c>
      <c r="E3030" s="11">
        <v>46010.489583333336</v>
      </c>
      <c r="F3030" s="22" t="s">
        <v>15270</v>
      </c>
      <c r="G3030" s="13" t="b">
        <v>0</v>
      </c>
      <c r="H3030" s="22" t="s">
        <v>15271</v>
      </c>
      <c r="I3030" s="10" t="s">
        <v>3213</v>
      </c>
      <c r="J3030" s="13" t="b">
        <v>0</v>
      </c>
      <c r="K3030" s="13" t="b">
        <v>1</v>
      </c>
      <c r="L3030" s="10" t="s">
        <v>124</v>
      </c>
      <c r="M3030" s="10" t="s">
        <v>91</v>
      </c>
      <c r="N3030" s="10" t="s">
        <v>92</v>
      </c>
      <c r="O3030" s="19" t="s">
        <v>22260</v>
      </c>
      <c r="P3030" s="10" t="s">
        <v>3215</v>
      </c>
      <c r="Q3030" s="10" t="s">
        <v>126</v>
      </c>
      <c r="R3030" s="10"/>
      <c r="S3030" s="19" t="s">
        <v>22261</v>
      </c>
      <c r="T3030" s="10"/>
      <c r="U3030" s="10" t="s">
        <v>15987</v>
      </c>
      <c r="V3030" s="10" t="s">
        <v>15519</v>
      </c>
      <c r="W3030" s="10" t="s">
        <v>15276</v>
      </c>
      <c r="X3030" s="10" t="s">
        <v>15277</v>
      </c>
      <c r="Y3030" s="10" t="s">
        <v>15277</v>
      </c>
      <c r="Z3030" s="10" t="s">
        <v>99</v>
      </c>
      <c r="AA3030" s="10" t="s">
        <v>131</v>
      </c>
      <c r="AB3030" s="10" t="s">
        <v>15278</v>
      </c>
      <c r="AC3030" s="10" t="s">
        <v>15279</v>
      </c>
      <c r="AD3030" s="10" t="s">
        <v>165</v>
      </c>
      <c r="AE3030" s="10" t="s">
        <v>22262</v>
      </c>
      <c r="AF3030" s="15"/>
      <c r="AG3030" s="10"/>
      <c r="AH3030" s="10"/>
      <c r="AI3030" s="10"/>
      <c r="AJ3030" s="10"/>
      <c r="AK3030" s="10" t="s">
        <v>102</v>
      </c>
      <c r="AL3030" s="10" t="s">
        <v>1876</v>
      </c>
      <c r="AM3030" s="10"/>
      <c r="AN3030" s="10"/>
      <c r="AO3030" s="13" t="b">
        <v>0</v>
      </c>
      <c r="AP3030" s="22" t="s">
        <v>104</v>
      </c>
      <c r="AQ3030" s="10">
        <f ca="1">IFERROR(__xludf.DUMMYFUNCTION("""COMPUTED_VALUE"""),4783277)</f>
        <v>4783277</v>
      </c>
      <c r="AR3030" s="17">
        <v>2901</v>
      </c>
      <c r="AS3030" s="17">
        <v>1760</v>
      </c>
      <c r="AT3030" s="17">
        <v>56621.5</v>
      </c>
      <c r="AU3030" s="17">
        <v>15.2</v>
      </c>
      <c r="AV3030" s="17">
        <v>3.85</v>
      </c>
      <c r="AW3030" s="10" t="s">
        <v>105</v>
      </c>
      <c r="AX3030" s="17">
        <v>397</v>
      </c>
      <c r="AY3030" s="18">
        <v>32.171306818181819</v>
      </c>
      <c r="AZ3030" s="10"/>
      <c r="BA3030" s="20" t="b">
        <v>0</v>
      </c>
      <c r="BB3030" s="10"/>
      <c r="BC3030" s="17">
        <v>2901</v>
      </c>
      <c r="BD3030" s="17">
        <v>1760</v>
      </c>
      <c r="BE3030" s="17">
        <v>56621.5</v>
      </c>
      <c r="BF3030" s="17">
        <v>3.85</v>
      </c>
      <c r="BG3030" s="11">
        <f ca="1">IFERROR(__xludf.DUMMYFUNCTION("""COMPUTED_VALUE"""),46010.34375)</f>
        <v>46010.34375</v>
      </c>
      <c r="BH3030" s="17" t="s">
        <v>105</v>
      </c>
      <c r="BI3030" s="17"/>
      <c r="BJ3030" s="15"/>
      <c r="BK3030" s="15"/>
      <c r="BL3030" s="13" t="b">
        <v>0</v>
      </c>
      <c r="BM3030" s="10"/>
      <c r="BN3030" s="10" t="s">
        <v>185</v>
      </c>
      <c r="BO3030" s="11">
        <v>46003.974305555559</v>
      </c>
      <c r="BP3030" s="11">
        <v>46003.974930555552</v>
      </c>
      <c r="BQ3030" s="15">
        <v>46008.592511574076</v>
      </c>
      <c r="BR3030" s="15">
        <v>46007.563298611109</v>
      </c>
      <c r="BS3030" s="10"/>
      <c r="BT3030" s="10"/>
      <c r="BU3030" s="10"/>
      <c r="BV3030" s="10"/>
      <c r="BW3030" s="10"/>
      <c r="BX3030" s="10"/>
      <c r="BY3030" s="23"/>
      <c r="BZ3030" s="23"/>
      <c r="CA3030" s="19" t="s">
        <v>22263</v>
      </c>
      <c r="CB3030" s="19" t="s">
        <v>22264</v>
      </c>
      <c r="CC3030" s="23"/>
      <c r="CD3030" s="19" t="s">
        <v>22265</v>
      </c>
      <c r="CE3030" s="23"/>
      <c r="CF3030" s="23"/>
      <c r="CG3030" s="23"/>
      <c r="CH3030" s="23"/>
      <c r="CI3030" s="23"/>
    </row>
    <row r="3031" spans="1:87" x14ac:dyDescent="0.3">
      <c r="A3031" s="9" t="s">
        <v>22266</v>
      </c>
      <c r="B3031" s="10" t="s">
        <v>22267</v>
      </c>
      <c r="C3031" s="11">
        <v>46012.208333333336</v>
      </c>
      <c r="D3031" s="12">
        <v>0.14583333333333334</v>
      </c>
      <c r="E3031" s="11">
        <v>46012.354166666664</v>
      </c>
      <c r="F3031" s="22" t="s">
        <v>15270</v>
      </c>
      <c r="G3031" s="13" t="b">
        <v>0</v>
      </c>
      <c r="H3031" s="22" t="s">
        <v>15271</v>
      </c>
      <c r="I3031" s="10" t="s">
        <v>3213</v>
      </c>
      <c r="J3031" s="13" t="b">
        <v>0</v>
      </c>
      <c r="K3031" s="13" t="b">
        <v>1</v>
      </c>
      <c r="L3031" s="10" t="s">
        <v>124</v>
      </c>
      <c r="M3031" s="10" t="s">
        <v>91</v>
      </c>
      <c r="N3031" s="10" t="s">
        <v>92</v>
      </c>
      <c r="O3031" s="19" t="s">
        <v>22268</v>
      </c>
      <c r="P3031" s="10" t="s">
        <v>3215</v>
      </c>
      <c r="Q3031" s="10" t="s">
        <v>126</v>
      </c>
      <c r="R3031" s="10"/>
      <c r="S3031" s="19" t="s">
        <v>22269</v>
      </c>
      <c r="T3031" s="10"/>
      <c r="U3031" s="10" t="s">
        <v>15275</v>
      </c>
      <c r="V3031" s="10" t="s">
        <v>15299</v>
      </c>
      <c r="W3031" s="10" t="s">
        <v>15276</v>
      </c>
      <c r="X3031" s="10" t="s">
        <v>15277</v>
      </c>
      <c r="Y3031" s="10" t="s">
        <v>15277</v>
      </c>
      <c r="Z3031" s="10" t="s">
        <v>99</v>
      </c>
      <c r="AA3031" s="10" t="s">
        <v>131</v>
      </c>
      <c r="AB3031" s="10" t="s">
        <v>15278</v>
      </c>
      <c r="AC3031" s="10" t="s">
        <v>15279</v>
      </c>
      <c r="AD3031" s="10" t="s">
        <v>165</v>
      </c>
      <c r="AE3031" s="10" t="s">
        <v>22270</v>
      </c>
      <c r="AF3031" s="15"/>
      <c r="AG3031" s="10"/>
      <c r="AH3031" s="10"/>
      <c r="AI3031" s="10"/>
      <c r="AJ3031" s="10"/>
      <c r="AK3031" s="10" t="s">
        <v>256</v>
      </c>
      <c r="AL3031" s="10" t="s">
        <v>1876</v>
      </c>
      <c r="AM3031" s="10"/>
      <c r="AN3031" s="10"/>
      <c r="AO3031" s="13" t="b">
        <v>0</v>
      </c>
      <c r="AP3031" s="22" t="s">
        <v>104</v>
      </c>
      <c r="AQ3031" s="10">
        <f ca="1">IFERROR(__xludf.DUMMYFUNCTION("""COMPUTED_VALUE"""),4783761)</f>
        <v>4783761</v>
      </c>
      <c r="AR3031" s="17"/>
      <c r="AS3031" s="17"/>
      <c r="AT3031" s="17"/>
      <c r="AU3031" s="17"/>
      <c r="AV3031" s="17"/>
      <c r="AW3031" s="10"/>
      <c r="AX3031" s="17"/>
      <c r="AY3031" s="18" t="s">
        <v>257</v>
      </c>
      <c r="AZ3031" s="10"/>
      <c r="BA3031" s="20" t="b">
        <v>0</v>
      </c>
      <c r="BB3031" s="10"/>
      <c r="BC3031" s="17" t="s">
        <v>257</v>
      </c>
      <c r="BD3031" s="17" t="s">
        <v>257</v>
      </c>
      <c r="BE3031" s="17" t="s">
        <v>257</v>
      </c>
      <c r="BF3031" s="17" t="s">
        <v>257</v>
      </c>
      <c r="BG3031" s="11">
        <f ca="1">IFERROR(__xludf.DUMMYFUNCTION("""COMPUTED_VALUE"""),46012.2083333333)</f>
        <v>46012.208333333299</v>
      </c>
      <c r="BH3031" s="17"/>
      <c r="BI3031" s="17"/>
      <c r="BJ3031" s="15"/>
      <c r="BK3031" s="15"/>
      <c r="BL3031" s="13" t="b">
        <v>0</v>
      </c>
      <c r="BM3031" s="10"/>
      <c r="BN3031" s="10" t="s">
        <v>18456</v>
      </c>
      <c r="BO3031" s="11">
        <v>46003.976388888892</v>
      </c>
      <c r="BP3031" s="11">
        <v>46003.976886574077</v>
      </c>
      <c r="BQ3031" s="15">
        <v>46009.561261574076</v>
      </c>
      <c r="BR3031" s="15">
        <v>46009.397951388892</v>
      </c>
      <c r="BS3031" s="10"/>
      <c r="BT3031" s="10"/>
      <c r="BU3031" s="10"/>
      <c r="BV3031" s="10"/>
      <c r="BW3031" s="10"/>
      <c r="BX3031" s="10"/>
      <c r="BY3031" s="23"/>
      <c r="BZ3031" s="23"/>
      <c r="CA3031" s="19" t="s">
        <v>22271</v>
      </c>
      <c r="CB3031" s="10"/>
      <c r="CC3031" s="23"/>
      <c r="CD3031" s="23"/>
      <c r="CE3031" s="23"/>
      <c r="CF3031" s="23"/>
      <c r="CG3031" s="23"/>
      <c r="CH3031" s="23"/>
      <c r="CI3031" s="23"/>
    </row>
    <row r="3032" spans="1:87" x14ac:dyDescent="0.3">
      <c r="A3032" s="9" t="s">
        <v>22272</v>
      </c>
      <c r="B3032" s="10" t="s">
        <v>22273</v>
      </c>
      <c r="C3032" s="11">
        <v>46012.347222222219</v>
      </c>
      <c r="D3032" s="12">
        <v>0.14583333333333334</v>
      </c>
      <c r="E3032" s="11">
        <v>46012.493055555555</v>
      </c>
      <c r="F3032" s="22" t="s">
        <v>15270</v>
      </c>
      <c r="G3032" s="13" t="b">
        <v>0</v>
      </c>
      <c r="H3032" s="22" t="s">
        <v>15271</v>
      </c>
      <c r="I3032" s="10" t="s">
        <v>3213</v>
      </c>
      <c r="J3032" s="13" t="b">
        <v>0</v>
      </c>
      <c r="K3032" s="13" t="b">
        <v>1</v>
      </c>
      <c r="L3032" s="10" t="s">
        <v>124</v>
      </c>
      <c r="M3032" s="10" t="s">
        <v>91</v>
      </c>
      <c r="N3032" s="10" t="s">
        <v>92</v>
      </c>
      <c r="O3032" s="19" t="s">
        <v>22274</v>
      </c>
      <c r="P3032" s="10" t="s">
        <v>3215</v>
      </c>
      <c r="Q3032" s="10" t="s">
        <v>126</v>
      </c>
      <c r="R3032" s="10"/>
      <c r="S3032" s="19" t="s">
        <v>22275</v>
      </c>
      <c r="T3032" s="10"/>
      <c r="U3032" s="10" t="s">
        <v>15290</v>
      </c>
      <c r="V3032" s="10" t="s">
        <v>15274</v>
      </c>
      <c r="W3032" s="10" t="s">
        <v>15276</v>
      </c>
      <c r="X3032" s="10" t="s">
        <v>15277</v>
      </c>
      <c r="Y3032" s="10" t="s">
        <v>15277</v>
      </c>
      <c r="Z3032" s="10" t="s">
        <v>99</v>
      </c>
      <c r="AA3032" s="10" t="s">
        <v>131</v>
      </c>
      <c r="AB3032" s="10" t="s">
        <v>15278</v>
      </c>
      <c r="AC3032" s="10" t="s">
        <v>15279</v>
      </c>
      <c r="AD3032" s="10" t="s">
        <v>165</v>
      </c>
      <c r="AE3032" s="10" t="s">
        <v>22276</v>
      </c>
      <c r="AF3032" s="15"/>
      <c r="AG3032" s="10"/>
      <c r="AH3032" s="10"/>
      <c r="AI3032" s="10"/>
      <c r="AJ3032" s="10"/>
      <c r="AK3032" s="10" t="s">
        <v>102</v>
      </c>
      <c r="AL3032" s="10" t="s">
        <v>1876</v>
      </c>
      <c r="AM3032" s="10"/>
      <c r="AN3032" s="10"/>
      <c r="AO3032" s="13" t="b">
        <v>0</v>
      </c>
      <c r="AP3032" s="22" t="s">
        <v>104</v>
      </c>
      <c r="AQ3032" s="10">
        <f ca="1">IFERROR(__xludf.DUMMYFUNCTION("""COMPUTED_VALUE"""),4783760)</f>
        <v>4783760</v>
      </c>
      <c r="AR3032" s="17">
        <v>4370</v>
      </c>
      <c r="AS3032" s="17">
        <v>3220</v>
      </c>
      <c r="AT3032" s="17">
        <v>49463</v>
      </c>
      <c r="AU3032" s="17">
        <v>9.0500000000000007</v>
      </c>
      <c r="AV3032" s="17">
        <v>2.8</v>
      </c>
      <c r="AW3032" s="10" t="s">
        <v>105</v>
      </c>
      <c r="AX3032" s="17">
        <v>462</v>
      </c>
      <c r="AY3032" s="18">
        <v>15.361180124223603</v>
      </c>
      <c r="AZ3032" s="10"/>
      <c r="BA3032" s="20" t="b">
        <v>0</v>
      </c>
      <c r="BB3032" s="10"/>
      <c r="BC3032" s="17">
        <v>4370</v>
      </c>
      <c r="BD3032" s="17">
        <v>3220</v>
      </c>
      <c r="BE3032" s="17">
        <v>49463</v>
      </c>
      <c r="BF3032" s="17">
        <v>2.8</v>
      </c>
      <c r="BG3032" s="11">
        <f ca="1">IFERROR(__xludf.DUMMYFUNCTION("""COMPUTED_VALUE"""),46012.3472222222)</f>
        <v>46012.347222222197</v>
      </c>
      <c r="BH3032" s="17" t="s">
        <v>105</v>
      </c>
      <c r="BI3032" s="17"/>
      <c r="BJ3032" s="15"/>
      <c r="BK3032" s="15"/>
      <c r="BL3032" s="13" t="b">
        <v>0</v>
      </c>
      <c r="BM3032" s="10"/>
      <c r="BN3032" s="10" t="s">
        <v>185</v>
      </c>
      <c r="BO3032" s="11">
        <v>46003.977777777778</v>
      </c>
      <c r="BP3032" s="11">
        <v>46003.978113425925</v>
      </c>
      <c r="BQ3032" s="15">
        <v>46009.768888888888</v>
      </c>
      <c r="BR3032" s="15">
        <v>46009.396643518521</v>
      </c>
      <c r="BS3032" s="10"/>
      <c r="BT3032" s="10"/>
      <c r="BU3032" s="10"/>
      <c r="BV3032" s="10"/>
      <c r="BW3032" s="10"/>
      <c r="BX3032" s="10"/>
      <c r="BY3032" s="23"/>
      <c r="BZ3032" s="23"/>
      <c r="CA3032" s="19" t="s">
        <v>22277</v>
      </c>
      <c r="CB3032" s="19" t="s">
        <v>22278</v>
      </c>
      <c r="CC3032" s="23"/>
      <c r="CD3032" s="19" t="s">
        <v>22279</v>
      </c>
      <c r="CE3032" s="23"/>
      <c r="CF3032" s="23"/>
      <c r="CG3032" s="23"/>
      <c r="CH3032" s="23"/>
      <c r="CI3032" s="23"/>
    </row>
    <row r="3033" spans="1:87" x14ac:dyDescent="0.3">
      <c r="A3033" s="9" t="s">
        <v>22280</v>
      </c>
      <c r="B3033" s="10" t="s">
        <v>22281</v>
      </c>
      <c r="C3033" s="11">
        <v>46013.041666666664</v>
      </c>
      <c r="D3033" s="12">
        <v>0.14583333333333334</v>
      </c>
      <c r="E3033" s="11">
        <v>46013.1875</v>
      </c>
      <c r="F3033" s="22" t="s">
        <v>15270</v>
      </c>
      <c r="G3033" s="13" t="b">
        <v>0</v>
      </c>
      <c r="H3033" s="22" t="s">
        <v>15271</v>
      </c>
      <c r="I3033" s="10" t="s">
        <v>3213</v>
      </c>
      <c r="J3033" s="13" t="b">
        <v>0</v>
      </c>
      <c r="K3033" s="13" t="b">
        <v>1</v>
      </c>
      <c r="L3033" s="10" t="s">
        <v>124</v>
      </c>
      <c r="M3033" s="10" t="s">
        <v>91</v>
      </c>
      <c r="N3033" s="10" t="s">
        <v>92</v>
      </c>
      <c r="O3033" s="19" t="s">
        <v>22282</v>
      </c>
      <c r="P3033" s="10" t="s">
        <v>88</v>
      </c>
      <c r="Q3033" s="10" t="s">
        <v>126</v>
      </c>
      <c r="R3033" s="10"/>
      <c r="S3033" s="19" t="s">
        <v>22283</v>
      </c>
      <c r="T3033" s="10"/>
      <c r="U3033" s="10" t="s">
        <v>16009</v>
      </c>
      <c r="V3033" s="10" t="s">
        <v>15326</v>
      </c>
      <c r="W3033" s="10" t="s">
        <v>15276</v>
      </c>
      <c r="X3033" s="10" t="s">
        <v>15277</v>
      </c>
      <c r="Y3033" s="10" t="s">
        <v>15277</v>
      </c>
      <c r="Z3033" s="10" t="s">
        <v>99</v>
      </c>
      <c r="AA3033" s="10" t="s">
        <v>131</v>
      </c>
      <c r="AB3033" s="10" t="s">
        <v>15278</v>
      </c>
      <c r="AC3033" s="10" t="s">
        <v>15279</v>
      </c>
      <c r="AD3033" s="10" t="s">
        <v>165</v>
      </c>
      <c r="AE3033" s="10" t="s">
        <v>22284</v>
      </c>
      <c r="AF3033" s="15"/>
      <c r="AG3033" s="10"/>
      <c r="AH3033" s="10"/>
      <c r="AI3033" s="10"/>
      <c r="AJ3033" s="10"/>
      <c r="AK3033" s="10" t="s">
        <v>102</v>
      </c>
      <c r="AL3033" s="10" t="s">
        <v>1876</v>
      </c>
      <c r="AM3033" s="10"/>
      <c r="AN3033" s="10"/>
      <c r="AO3033" s="13" t="b">
        <v>0</v>
      </c>
      <c r="AP3033" s="22" t="s">
        <v>104</v>
      </c>
      <c r="AQ3033" s="10">
        <f ca="1">IFERROR(__xludf.DUMMYFUNCTION("""COMPUTED_VALUE"""),4784754)</f>
        <v>4784754</v>
      </c>
      <c r="AR3033" s="17">
        <v>1313</v>
      </c>
      <c r="AS3033" s="17">
        <v>1100</v>
      </c>
      <c r="AT3033" s="17">
        <v>25980.5</v>
      </c>
      <c r="AU3033" s="17">
        <v>1.25</v>
      </c>
      <c r="AV3033" s="17">
        <v>0.25</v>
      </c>
      <c r="AW3033" s="10" t="s">
        <v>105</v>
      </c>
      <c r="AX3033" s="17">
        <v>343</v>
      </c>
      <c r="AY3033" s="18">
        <v>23.618636363636362</v>
      </c>
      <c r="AZ3033" s="10"/>
      <c r="BA3033" s="20" t="b">
        <v>0</v>
      </c>
      <c r="BB3033" s="10"/>
      <c r="BC3033" s="17">
        <v>1313</v>
      </c>
      <c r="BD3033" s="17">
        <v>1100</v>
      </c>
      <c r="BE3033" s="17">
        <v>25980.5</v>
      </c>
      <c r="BF3033" s="17">
        <v>0.25</v>
      </c>
      <c r="BG3033" s="11">
        <f ca="1">IFERROR(__xludf.DUMMYFUNCTION("""COMPUTED_VALUE"""),46013.0416666666)</f>
        <v>46013.041666666599</v>
      </c>
      <c r="BH3033" s="17" t="s">
        <v>105</v>
      </c>
      <c r="BI3033" s="17"/>
      <c r="BJ3033" s="15"/>
      <c r="BK3033" s="15"/>
      <c r="BL3033" s="13" t="b">
        <v>0</v>
      </c>
      <c r="BM3033" s="10"/>
      <c r="BN3033" s="10" t="s">
        <v>118</v>
      </c>
      <c r="BO3033" s="11">
        <v>46003.979166666664</v>
      </c>
      <c r="BP3033" s="11">
        <v>46003.979444444441</v>
      </c>
      <c r="BQ3033" s="15">
        <v>46009.769189814811</v>
      </c>
      <c r="BR3033" s="15">
        <v>46010.425208333334</v>
      </c>
      <c r="BS3033" s="10" t="s">
        <v>118</v>
      </c>
      <c r="BT3033" s="10"/>
      <c r="BU3033" s="10"/>
      <c r="BV3033" s="10"/>
      <c r="BW3033" s="10"/>
      <c r="BX3033" s="10"/>
      <c r="BY3033" s="23"/>
      <c r="BZ3033" s="23"/>
      <c r="CA3033" s="19" t="s">
        <v>22285</v>
      </c>
      <c r="CB3033" s="19" t="s">
        <v>22286</v>
      </c>
      <c r="CC3033" s="23"/>
      <c r="CD3033" s="19" t="s">
        <v>22287</v>
      </c>
      <c r="CE3033" s="23"/>
      <c r="CF3033" s="23"/>
      <c r="CG3033" s="23"/>
      <c r="CH3033" s="23"/>
      <c r="CI3033" s="23"/>
    </row>
    <row r="3034" spans="1:87" x14ac:dyDescent="0.3">
      <c r="A3034" s="9" t="s">
        <v>22288</v>
      </c>
      <c r="B3034" s="10" t="s">
        <v>22289</v>
      </c>
      <c r="C3034" s="11">
        <v>46013.041666666664</v>
      </c>
      <c r="D3034" s="12">
        <v>0.14583333333333334</v>
      </c>
      <c r="E3034" s="11">
        <v>46013.1875</v>
      </c>
      <c r="F3034" s="22" t="s">
        <v>15270</v>
      </c>
      <c r="G3034" s="13" t="b">
        <v>0</v>
      </c>
      <c r="H3034" s="22" t="s">
        <v>15271</v>
      </c>
      <c r="I3034" s="10" t="s">
        <v>3213</v>
      </c>
      <c r="J3034" s="13" t="b">
        <v>0</v>
      </c>
      <c r="K3034" s="13" t="b">
        <v>1</v>
      </c>
      <c r="L3034" s="10" t="s">
        <v>124</v>
      </c>
      <c r="M3034" s="10" t="s">
        <v>91</v>
      </c>
      <c r="N3034" s="10" t="s">
        <v>92</v>
      </c>
      <c r="O3034" s="10"/>
      <c r="P3034" s="10"/>
      <c r="Q3034" s="10" t="s">
        <v>126</v>
      </c>
      <c r="R3034" s="10"/>
      <c r="S3034" s="10"/>
      <c r="T3034" s="10"/>
      <c r="U3034" s="10" t="s">
        <v>19855</v>
      </c>
      <c r="V3034" s="10" t="s">
        <v>15317</v>
      </c>
      <c r="W3034" s="10" t="s">
        <v>15276</v>
      </c>
      <c r="X3034" s="10" t="s">
        <v>15277</v>
      </c>
      <c r="Y3034" s="10" t="s">
        <v>15277</v>
      </c>
      <c r="Z3034" s="10" t="s">
        <v>99</v>
      </c>
      <c r="AA3034" s="10" t="s">
        <v>131</v>
      </c>
      <c r="AB3034" s="10" t="s">
        <v>15278</v>
      </c>
      <c r="AC3034" s="10" t="s">
        <v>15279</v>
      </c>
      <c r="AD3034" s="10" t="s">
        <v>165</v>
      </c>
      <c r="AE3034" s="10" t="s">
        <v>22290</v>
      </c>
      <c r="AF3034" s="15"/>
      <c r="AG3034" s="10"/>
      <c r="AH3034" s="10"/>
      <c r="AI3034" s="10"/>
      <c r="AJ3034" s="10"/>
      <c r="AK3034" s="10" t="s">
        <v>256</v>
      </c>
      <c r="AL3034" s="10" t="s">
        <v>1876</v>
      </c>
      <c r="AM3034" s="10"/>
      <c r="AN3034" s="10"/>
      <c r="AO3034" s="13" t="b">
        <v>0</v>
      </c>
      <c r="AP3034" s="22" t="s">
        <v>104</v>
      </c>
      <c r="AQ3034" s="10"/>
      <c r="AR3034" s="17"/>
      <c r="AS3034" s="17"/>
      <c r="AT3034" s="17"/>
      <c r="AU3034" s="17"/>
      <c r="AV3034" s="17"/>
      <c r="AW3034" s="10"/>
      <c r="AX3034" s="17"/>
      <c r="AY3034" s="18" t="s">
        <v>257</v>
      </c>
      <c r="AZ3034" s="10"/>
      <c r="BA3034" s="20" t="b">
        <v>0</v>
      </c>
      <c r="BB3034" s="10"/>
      <c r="BC3034" s="17" t="s">
        <v>257</v>
      </c>
      <c r="BD3034" s="17" t="s">
        <v>257</v>
      </c>
      <c r="BE3034" s="17" t="s">
        <v>257</v>
      </c>
      <c r="BF3034" s="17" t="s">
        <v>257</v>
      </c>
      <c r="BG3034" s="11">
        <f ca="1">IFERROR(__xludf.DUMMYFUNCTION("""COMPUTED_VALUE"""),46013.0416666666)</f>
        <v>46013.041666666599</v>
      </c>
      <c r="BH3034" s="17"/>
      <c r="BI3034" s="17"/>
      <c r="BJ3034" s="15"/>
      <c r="BK3034" s="15"/>
      <c r="BL3034" s="13" t="b">
        <v>0</v>
      </c>
      <c r="BM3034" s="10"/>
      <c r="BN3034" s="10" t="s">
        <v>18456</v>
      </c>
      <c r="BO3034" s="11">
        <v>46003.979861111111</v>
      </c>
      <c r="BP3034" s="11">
        <v>46003.980266203704</v>
      </c>
      <c r="BQ3034" s="15"/>
      <c r="BR3034" s="15"/>
      <c r="BS3034" s="10"/>
      <c r="BT3034" s="10"/>
      <c r="BU3034" s="10"/>
      <c r="BV3034" s="10"/>
      <c r="BW3034" s="10"/>
      <c r="BX3034" s="10"/>
      <c r="BY3034" s="23"/>
      <c r="BZ3034" s="23"/>
      <c r="CA3034" s="19" t="s">
        <v>22291</v>
      </c>
      <c r="CB3034" s="19" t="s">
        <v>22292</v>
      </c>
      <c r="CC3034" s="23"/>
      <c r="CD3034" s="23"/>
      <c r="CE3034" s="23"/>
      <c r="CF3034" s="23"/>
      <c r="CG3034" s="23"/>
      <c r="CH3034" s="23"/>
      <c r="CI3034" s="23"/>
    </row>
    <row r="3035" spans="1:87" x14ac:dyDescent="0.3">
      <c r="A3035" s="9" t="s">
        <v>22293</v>
      </c>
      <c r="B3035" s="10" t="s">
        <v>22294</v>
      </c>
      <c r="C3035" s="11">
        <v>46013.184027777781</v>
      </c>
      <c r="D3035" s="12">
        <v>0.14583333333333334</v>
      </c>
      <c r="E3035" s="11">
        <v>46013.329861111109</v>
      </c>
      <c r="F3035" s="22" t="s">
        <v>15270</v>
      </c>
      <c r="G3035" s="13" t="b">
        <v>0</v>
      </c>
      <c r="H3035" s="22" t="s">
        <v>15271</v>
      </c>
      <c r="I3035" s="10" t="s">
        <v>3213</v>
      </c>
      <c r="J3035" s="13" t="b">
        <v>0</v>
      </c>
      <c r="K3035" s="13" t="b">
        <v>1</v>
      </c>
      <c r="L3035" s="10" t="s">
        <v>124</v>
      </c>
      <c r="M3035" s="10" t="s">
        <v>91</v>
      </c>
      <c r="N3035" s="10" t="s">
        <v>92</v>
      </c>
      <c r="O3035" s="19" t="s">
        <v>22295</v>
      </c>
      <c r="P3035" s="10" t="s">
        <v>88</v>
      </c>
      <c r="Q3035" s="10" t="s">
        <v>126</v>
      </c>
      <c r="R3035" s="10"/>
      <c r="S3035" s="19" t="s">
        <v>22296</v>
      </c>
      <c r="T3035" s="10"/>
      <c r="U3035" s="10" t="s">
        <v>15289</v>
      </c>
      <c r="V3035" s="10" t="s">
        <v>15490</v>
      </c>
      <c r="W3035" s="10" t="s">
        <v>15276</v>
      </c>
      <c r="X3035" s="10" t="s">
        <v>15277</v>
      </c>
      <c r="Y3035" s="10" t="s">
        <v>15277</v>
      </c>
      <c r="Z3035" s="10" t="s">
        <v>99</v>
      </c>
      <c r="AA3035" s="10" t="s">
        <v>131</v>
      </c>
      <c r="AB3035" s="10" t="s">
        <v>15278</v>
      </c>
      <c r="AC3035" s="10" t="s">
        <v>15279</v>
      </c>
      <c r="AD3035" s="10" t="s">
        <v>165</v>
      </c>
      <c r="AE3035" s="10" t="s">
        <v>22297</v>
      </c>
      <c r="AF3035" s="15"/>
      <c r="AG3035" s="10"/>
      <c r="AH3035" s="10"/>
      <c r="AI3035" s="10"/>
      <c r="AJ3035" s="10"/>
      <c r="AK3035" s="10" t="s">
        <v>102</v>
      </c>
      <c r="AL3035" s="10" t="s">
        <v>1876</v>
      </c>
      <c r="AM3035" s="10"/>
      <c r="AN3035" s="10"/>
      <c r="AO3035" s="13" t="b">
        <v>0</v>
      </c>
      <c r="AP3035" s="22" t="s">
        <v>104</v>
      </c>
      <c r="AQ3035" s="10">
        <f ca="1">IFERROR(__xludf.DUMMYFUNCTION("""COMPUTED_VALUE"""),4784755)</f>
        <v>4784755</v>
      </c>
      <c r="AR3035" s="17">
        <v>2226</v>
      </c>
      <c r="AS3035" s="17">
        <v>1781</v>
      </c>
      <c r="AT3035" s="17">
        <v>28823.5</v>
      </c>
      <c r="AU3035" s="17">
        <v>6.15</v>
      </c>
      <c r="AV3035" s="17">
        <v>0.9</v>
      </c>
      <c r="AW3035" s="10" t="s">
        <v>105</v>
      </c>
      <c r="AX3035" s="17">
        <v>352</v>
      </c>
      <c r="AY3035" s="18">
        <v>16.183885457608085</v>
      </c>
      <c r="AZ3035" s="10"/>
      <c r="BA3035" s="20" t="b">
        <v>0</v>
      </c>
      <c r="BB3035" s="10"/>
      <c r="BC3035" s="17">
        <v>2226</v>
      </c>
      <c r="BD3035" s="17">
        <v>1781</v>
      </c>
      <c r="BE3035" s="17">
        <v>28823.5</v>
      </c>
      <c r="BF3035" s="17">
        <v>0.9</v>
      </c>
      <c r="BG3035" s="11">
        <f ca="1">IFERROR(__xludf.DUMMYFUNCTION("""COMPUTED_VALUE"""),46013.1840277777)</f>
        <v>46013.184027777701</v>
      </c>
      <c r="BH3035" s="17" t="s">
        <v>105</v>
      </c>
      <c r="BI3035" s="17"/>
      <c r="BJ3035" s="15"/>
      <c r="BK3035" s="15"/>
      <c r="BL3035" s="13" t="b">
        <v>0</v>
      </c>
      <c r="BM3035" s="10"/>
      <c r="BN3035" s="10" t="s">
        <v>118</v>
      </c>
      <c r="BO3035" s="11">
        <v>46003.980555555558</v>
      </c>
      <c r="BP3035" s="11">
        <v>46003.981249999997</v>
      </c>
      <c r="BQ3035" s="15">
        <v>46009.769363425927</v>
      </c>
      <c r="BR3035" s="15">
        <v>46010.426493055558</v>
      </c>
      <c r="BS3035" s="10" t="s">
        <v>118</v>
      </c>
      <c r="BT3035" s="10"/>
      <c r="BU3035" s="10"/>
      <c r="BV3035" s="10"/>
      <c r="BW3035" s="10"/>
      <c r="BX3035" s="10"/>
      <c r="BY3035" s="23"/>
      <c r="BZ3035" s="23"/>
      <c r="CA3035" s="19" t="s">
        <v>22298</v>
      </c>
      <c r="CB3035" s="19" t="s">
        <v>22299</v>
      </c>
      <c r="CC3035" s="23"/>
      <c r="CD3035" s="19" t="s">
        <v>22300</v>
      </c>
      <c r="CE3035" s="23"/>
      <c r="CF3035" s="23"/>
      <c r="CG3035" s="23"/>
      <c r="CH3035" s="23"/>
      <c r="CI3035" s="23"/>
    </row>
    <row r="3036" spans="1:87" x14ac:dyDescent="0.3">
      <c r="A3036" s="9" t="s">
        <v>22301</v>
      </c>
      <c r="B3036" s="10" t="s">
        <v>22302</v>
      </c>
      <c r="C3036" s="11">
        <v>46013.347222222219</v>
      </c>
      <c r="D3036" s="12">
        <v>0.14583333333333334</v>
      </c>
      <c r="E3036" s="11">
        <v>46013.493055555555</v>
      </c>
      <c r="F3036" s="22" t="s">
        <v>15270</v>
      </c>
      <c r="G3036" s="13" t="b">
        <v>0</v>
      </c>
      <c r="H3036" s="22" t="s">
        <v>15271</v>
      </c>
      <c r="I3036" s="10" t="s">
        <v>3213</v>
      </c>
      <c r="J3036" s="13" t="b">
        <v>0</v>
      </c>
      <c r="K3036" s="13" t="b">
        <v>1</v>
      </c>
      <c r="L3036" s="10" t="s">
        <v>124</v>
      </c>
      <c r="M3036" s="10" t="s">
        <v>91</v>
      </c>
      <c r="N3036" s="10" t="s">
        <v>92</v>
      </c>
      <c r="O3036" s="19" t="s">
        <v>22303</v>
      </c>
      <c r="P3036" s="10" t="s">
        <v>3215</v>
      </c>
      <c r="Q3036" s="10" t="s">
        <v>126</v>
      </c>
      <c r="R3036" s="10"/>
      <c r="S3036" s="19" t="s">
        <v>22304</v>
      </c>
      <c r="T3036" s="10"/>
      <c r="U3036" s="10" t="s">
        <v>15673</v>
      </c>
      <c r="V3036" s="10" t="s">
        <v>16288</v>
      </c>
      <c r="W3036" s="10" t="s">
        <v>15276</v>
      </c>
      <c r="X3036" s="10" t="s">
        <v>15277</v>
      </c>
      <c r="Y3036" s="10" t="s">
        <v>15277</v>
      </c>
      <c r="Z3036" s="10" t="s">
        <v>99</v>
      </c>
      <c r="AA3036" s="10" t="s">
        <v>131</v>
      </c>
      <c r="AB3036" s="10" t="s">
        <v>15278</v>
      </c>
      <c r="AC3036" s="10" t="s">
        <v>15279</v>
      </c>
      <c r="AD3036" s="10" t="s">
        <v>165</v>
      </c>
      <c r="AE3036" s="10" t="s">
        <v>22305</v>
      </c>
      <c r="AF3036" s="15"/>
      <c r="AG3036" s="10"/>
      <c r="AH3036" s="10"/>
      <c r="AI3036" s="10"/>
      <c r="AJ3036" s="10"/>
      <c r="AK3036" s="10" t="s">
        <v>102</v>
      </c>
      <c r="AL3036" s="10" t="s">
        <v>1876</v>
      </c>
      <c r="AM3036" s="10"/>
      <c r="AN3036" s="10"/>
      <c r="AO3036" s="13" t="b">
        <v>0</v>
      </c>
      <c r="AP3036" s="22" t="s">
        <v>104</v>
      </c>
      <c r="AQ3036" s="10">
        <f ca="1">IFERROR(__xludf.DUMMYFUNCTION("""COMPUTED_VALUE"""),4784947)</f>
        <v>4784947</v>
      </c>
      <c r="AR3036" s="17">
        <v>3074</v>
      </c>
      <c r="AS3036" s="17">
        <v>2095</v>
      </c>
      <c r="AT3036" s="17">
        <v>58192.25</v>
      </c>
      <c r="AU3036" s="17">
        <v>12.6</v>
      </c>
      <c r="AV3036" s="17">
        <v>3.7</v>
      </c>
      <c r="AW3036" s="10" t="s">
        <v>105</v>
      </c>
      <c r="AX3036" s="17">
        <v>460</v>
      </c>
      <c r="AY3036" s="18">
        <v>27.776730310262529</v>
      </c>
      <c r="AZ3036" s="10"/>
      <c r="BA3036" s="20" t="b">
        <v>0</v>
      </c>
      <c r="BB3036" s="10"/>
      <c r="BC3036" s="17">
        <v>3074</v>
      </c>
      <c r="BD3036" s="17">
        <v>2095</v>
      </c>
      <c r="BE3036" s="17">
        <v>58192.25</v>
      </c>
      <c r="BF3036" s="17">
        <v>3.7</v>
      </c>
      <c r="BG3036" s="11">
        <f ca="1">IFERROR(__xludf.DUMMYFUNCTION("""COMPUTED_VALUE"""),46013.3472222222)</f>
        <v>46013.347222222197</v>
      </c>
      <c r="BH3036" s="17" t="s">
        <v>105</v>
      </c>
      <c r="BI3036" s="17"/>
      <c r="BJ3036" s="15"/>
      <c r="BK3036" s="15"/>
      <c r="BL3036" s="13" t="b">
        <v>0</v>
      </c>
      <c r="BM3036" s="10"/>
      <c r="BN3036" s="10" t="s">
        <v>118</v>
      </c>
      <c r="BO3036" s="11">
        <v>46003.981944444444</v>
      </c>
      <c r="BP3036" s="11">
        <v>46003.98265046296</v>
      </c>
      <c r="BQ3036" s="15">
        <v>46009.769502314812</v>
      </c>
      <c r="BR3036" s="15">
        <v>46010.426724537036</v>
      </c>
      <c r="BS3036" s="10" t="s">
        <v>118</v>
      </c>
      <c r="BT3036" s="10"/>
      <c r="BU3036" s="10"/>
      <c r="BV3036" s="10"/>
      <c r="BW3036" s="10"/>
      <c r="BX3036" s="10"/>
      <c r="BY3036" s="23"/>
      <c r="BZ3036" s="23"/>
      <c r="CA3036" s="19" t="s">
        <v>22306</v>
      </c>
      <c r="CB3036" s="19" t="s">
        <v>22307</v>
      </c>
      <c r="CC3036" s="23"/>
      <c r="CD3036" s="19" t="s">
        <v>22308</v>
      </c>
      <c r="CE3036" s="23"/>
      <c r="CF3036" s="23"/>
      <c r="CG3036" s="23"/>
      <c r="CH3036" s="23"/>
      <c r="CI3036" s="23"/>
    </row>
    <row r="3037" spans="1:87" x14ac:dyDescent="0.3">
      <c r="A3037" s="9" t="s">
        <v>22309</v>
      </c>
      <c r="B3037" s="10" t="s">
        <v>22310</v>
      </c>
      <c r="C3037" s="11">
        <v>46014.34375</v>
      </c>
      <c r="D3037" s="12">
        <v>0.14583333333333334</v>
      </c>
      <c r="E3037" s="11">
        <v>46014.489583333336</v>
      </c>
      <c r="F3037" s="22" t="s">
        <v>15270</v>
      </c>
      <c r="G3037" s="13" t="b">
        <v>0</v>
      </c>
      <c r="H3037" s="22" t="s">
        <v>15271</v>
      </c>
      <c r="I3037" s="10" t="s">
        <v>3213</v>
      </c>
      <c r="J3037" s="13" t="b">
        <v>0</v>
      </c>
      <c r="K3037" s="13" t="b">
        <v>1</v>
      </c>
      <c r="L3037" s="10" t="s">
        <v>124</v>
      </c>
      <c r="M3037" s="10" t="s">
        <v>91</v>
      </c>
      <c r="N3037" s="10" t="s">
        <v>92</v>
      </c>
      <c r="O3037" s="19" t="s">
        <v>22311</v>
      </c>
      <c r="P3037" s="10" t="s">
        <v>3215</v>
      </c>
      <c r="Q3037" s="10" t="s">
        <v>126</v>
      </c>
      <c r="R3037" s="10"/>
      <c r="S3037" s="19" t="s">
        <v>22312</v>
      </c>
      <c r="T3037" s="10"/>
      <c r="U3037" s="10" t="s">
        <v>15528</v>
      </c>
      <c r="V3037" s="10" t="s">
        <v>15654</v>
      </c>
      <c r="W3037" s="10" t="s">
        <v>15276</v>
      </c>
      <c r="X3037" s="10" t="s">
        <v>15277</v>
      </c>
      <c r="Y3037" s="10" t="s">
        <v>15277</v>
      </c>
      <c r="Z3037" s="10" t="s">
        <v>99</v>
      </c>
      <c r="AA3037" s="10" t="s">
        <v>131</v>
      </c>
      <c r="AB3037" s="10" t="s">
        <v>15278</v>
      </c>
      <c r="AC3037" s="10" t="s">
        <v>15279</v>
      </c>
      <c r="AD3037" s="10" t="s">
        <v>165</v>
      </c>
      <c r="AE3037" s="10" t="s">
        <v>22313</v>
      </c>
      <c r="AF3037" s="15"/>
      <c r="AG3037" s="10"/>
      <c r="AH3037" s="10"/>
      <c r="AI3037" s="10"/>
      <c r="AJ3037" s="10"/>
      <c r="AK3037" s="10" t="s">
        <v>102</v>
      </c>
      <c r="AL3037" s="10" t="s">
        <v>1876</v>
      </c>
      <c r="AM3037" s="10"/>
      <c r="AN3037" s="10"/>
      <c r="AO3037" s="13" t="b">
        <v>0</v>
      </c>
      <c r="AP3037" s="22" t="s">
        <v>104</v>
      </c>
      <c r="AQ3037" s="10">
        <f ca="1">IFERROR(__xludf.DUMMYFUNCTION("""COMPUTED_VALUE"""),4784952)</f>
        <v>4784952</v>
      </c>
      <c r="AR3037" s="17">
        <v>3135</v>
      </c>
      <c r="AS3037" s="17">
        <v>2384</v>
      </c>
      <c r="AT3037" s="17">
        <v>54513.75</v>
      </c>
      <c r="AU3037" s="17">
        <v>9.85</v>
      </c>
      <c r="AV3037" s="17">
        <v>4.5</v>
      </c>
      <c r="AW3037" s="10" t="s">
        <v>105</v>
      </c>
      <c r="AX3037" s="17">
        <v>433</v>
      </c>
      <c r="AY3037" s="18">
        <v>22.86650587248322</v>
      </c>
      <c r="AZ3037" s="10"/>
      <c r="BA3037" s="20" t="b">
        <v>0</v>
      </c>
      <c r="BB3037" s="10"/>
      <c r="BC3037" s="17">
        <v>3135</v>
      </c>
      <c r="BD3037" s="17">
        <v>2384</v>
      </c>
      <c r="BE3037" s="17">
        <v>54513.75</v>
      </c>
      <c r="BF3037" s="17">
        <v>4.5</v>
      </c>
      <c r="BG3037" s="11">
        <f ca="1">IFERROR(__xludf.DUMMYFUNCTION("""COMPUTED_VALUE"""),46014.34375)</f>
        <v>46014.34375</v>
      </c>
      <c r="BH3037" s="17" t="s">
        <v>105</v>
      </c>
      <c r="BI3037" s="17"/>
      <c r="BJ3037" s="15"/>
      <c r="BK3037" s="15"/>
      <c r="BL3037" s="13" t="b">
        <v>0</v>
      </c>
      <c r="BM3037" s="10"/>
      <c r="BN3037" s="10" t="s">
        <v>118</v>
      </c>
      <c r="BO3037" s="11">
        <v>46003.98333333333</v>
      </c>
      <c r="BP3037" s="11">
        <v>46003.983530092592</v>
      </c>
      <c r="BQ3037" s="15">
        <v>46009.76972222222</v>
      </c>
      <c r="BR3037" s="15">
        <v>46010.427858796298</v>
      </c>
      <c r="BS3037" s="10" t="s">
        <v>118</v>
      </c>
      <c r="BT3037" s="10"/>
      <c r="BU3037" s="10"/>
      <c r="BV3037" s="10"/>
      <c r="BW3037" s="10"/>
      <c r="BX3037" s="10"/>
      <c r="BY3037" s="23"/>
      <c r="BZ3037" s="23"/>
      <c r="CA3037" s="19" t="s">
        <v>22314</v>
      </c>
      <c r="CB3037" s="19" t="s">
        <v>22315</v>
      </c>
      <c r="CC3037" s="23"/>
      <c r="CD3037" s="19" t="s">
        <v>22316</v>
      </c>
      <c r="CE3037" s="23"/>
      <c r="CF3037" s="23"/>
      <c r="CG3037" s="23"/>
      <c r="CH3037" s="23"/>
      <c r="CI3037" s="23"/>
    </row>
    <row r="3038" spans="1:87" x14ac:dyDescent="0.3">
      <c r="A3038" s="9" t="s">
        <v>22317</v>
      </c>
      <c r="B3038" s="10" t="s">
        <v>22318</v>
      </c>
      <c r="C3038" s="11">
        <v>46004.9375</v>
      </c>
      <c r="D3038" s="12">
        <v>8.3333333333333329E-2</v>
      </c>
      <c r="E3038" s="11">
        <v>46005.020833333336</v>
      </c>
      <c r="F3038" s="22" t="s">
        <v>3687</v>
      </c>
      <c r="G3038" s="13" t="b">
        <v>0</v>
      </c>
      <c r="H3038" s="22" t="s">
        <v>88</v>
      </c>
      <c r="I3038" s="10" t="s">
        <v>89</v>
      </c>
      <c r="J3038" s="13" t="b">
        <v>0</v>
      </c>
      <c r="K3038" s="13" t="b">
        <v>1</v>
      </c>
      <c r="L3038" s="10" t="s">
        <v>124</v>
      </c>
      <c r="M3038" s="10" t="s">
        <v>91</v>
      </c>
      <c r="N3038" s="10" t="s">
        <v>92</v>
      </c>
      <c r="O3038" s="19" t="s">
        <v>22319</v>
      </c>
      <c r="P3038" s="10"/>
      <c r="Q3038" s="10" t="s">
        <v>94</v>
      </c>
      <c r="R3038" s="10"/>
      <c r="S3038" s="19" t="s">
        <v>22320</v>
      </c>
      <c r="T3038" s="10"/>
      <c r="U3038" s="10" t="s">
        <v>3716</v>
      </c>
      <c r="V3038" s="10" t="s">
        <v>7720</v>
      </c>
      <c r="W3038" s="10" t="s">
        <v>3692</v>
      </c>
      <c r="X3038" s="10" t="s">
        <v>130</v>
      </c>
      <c r="Y3038" s="10" t="s">
        <v>130</v>
      </c>
      <c r="Z3038" s="10" t="s">
        <v>99</v>
      </c>
      <c r="AA3038" s="10" t="s">
        <v>131</v>
      </c>
      <c r="AB3038" s="10" t="s">
        <v>3693</v>
      </c>
      <c r="AC3038" s="10" t="s">
        <v>3694</v>
      </c>
      <c r="AD3038" s="10" t="s">
        <v>22321</v>
      </c>
      <c r="AE3038" s="10" t="s">
        <v>22322</v>
      </c>
      <c r="AF3038" s="15"/>
      <c r="AG3038" s="10"/>
      <c r="AH3038" s="10"/>
      <c r="AI3038" s="10"/>
      <c r="AJ3038" s="10"/>
      <c r="AK3038" s="10" t="s">
        <v>102</v>
      </c>
      <c r="AL3038" s="10" t="s">
        <v>1876</v>
      </c>
      <c r="AM3038" s="10"/>
      <c r="AN3038" s="10"/>
      <c r="AO3038" s="13" t="b">
        <v>0</v>
      </c>
      <c r="AP3038" s="22" t="s">
        <v>104</v>
      </c>
      <c r="AQ3038" s="10">
        <f ca="1">IFERROR(__xludf.DUMMYFUNCTION("""COMPUTED_VALUE"""),4778982)</f>
        <v>4778982</v>
      </c>
      <c r="AR3038" s="17">
        <v>3597</v>
      </c>
      <c r="AS3038" s="17">
        <v>3080</v>
      </c>
      <c r="AT3038" s="17">
        <v>24667</v>
      </c>
      <c r="AU3038" s="17">
        <v>5.5</v>
      </c>
      <c r="AV3038" s="17">
        <v>1.2</v>
      </c>
      <c r="AW3038" s="10" t="s">
        <v>105</v>
      </c>
      <c r="AX3038" s="17">
        <v>679</v>
      </c>
      <c r="AY3038" s="18">
        <v>8.0087662337662344</v>
      </c>
      <c r="AZ3038" s="10"/>
      <c r="BA3038" s="20" t="b">
        <v>0</v>
      </c>
      <c r="BB3038" s="10"/>
      <c r="BC3038" s="17">
        <v>3597</v>
      </c>
      <c r="BD3038" s="17">
        <v>3080</v>
      </c>
      <c r="BE3038" s="17">
        <v>24667</v>
      </c>
      <c r="BF3038" s="17">
        <v>1.2</v>
      </c>
      <c r="BG3038" s="11">
        <f ca="1">IFERROR(__xludf.DUMMYFUNCTION("""COMPUTED_VALUE"""),46004.9375)</f>
        <v>46004.9375</v>
      </c>
      <c r="BH3038" s="17" t="s">
        <v>105</v>
      </c>
      <c r="BI3038" s="17"/>
      <c r="BJ3038" s="15"/>
      <c r="BK3038" s="15"/>
      <c r="BL3038" s="13" t="b">
        <v>0</v>
      </c>
      <c r="BM3038" s="10"/>
      <c r="BN3038" s="10" t="s">
        <v>136</v>
      </c>
      <c r="BO3038" s="11">
        <v>46004.502083333333</v>
      </c>
      <c r="BP3038" s="11">
        <v>46004.502418981479</v>
      </c>
      <c r="BQ3038" s="15">
        <v>46007.789560185185</v>
      </c>
      <c r="BR3038" s="15">
        <v>46004.555196759262</v>
      </c>
      <c r="BS3038" s="10"/>
      <c r="BT3038" s="10" t="s">
        <v>99</v>
      </c>
      <c r="BU3038" s="10" t="s">
        <v>5046</v>
      </c>
      <c r="BV3038" s="10"/>
      <c r="BW3038" s="10"/>
      <c r="BX3038" s="10"/>
      <c r="BY3038" s="23"/>
      <c r="BZ3038" s="23"/>
      <c r="CA3038" s="19" t="s">
        <v>22320</v>
      </c>
      <c r="CB3038" s="19" t="s">
        <v>22323</v>
      </c>
      <c r="CC3038" s="23"/>
      <c r="CD3038" s="23"/>
      <c r="CE3038" s="23"/>
      <c r="CF3038" s="23"/>
      <c r="CG3038" s="23"/>
      <c r="CH3038" s="23"/>
      <c r="CI3038" s="23"/>
    </row>
    <row r="3039" spans="1:87" x14ac:dyDescent="0.3">
      <c r="A3039" s="9" t="s">
        <v>22324</v>
      </c>
      <c r="B3039" s="10" t="s">
        <v>22325</v>
      </c>
      <c r="C3039" s="11">
        <v>46013.583333333336</v>
      </c>
      <c r="D3039" s="12">
        <v>8.3333333333333329E-2</v>
      </c>
      <c r="E3039" s="11">
        <v>46013.666666666664</v>
      </c>
      <c r="F3039" s="22" t="s">
        <v>22219</v>
      </c>
      <c r="G3039" s="13" t="b">
        <v>0</v>
      </c>
      <c r="H3039" s="22" t="s">
        <v>22326</v>
      </c>
      <c r="I3039" s="10" t="s">
        <v>212</v>
      </c>
      <c r="J3039" s="13" t="b">
        <v>1</v>
      </c>
      <c r="K3039" s="13" t="b">
        <v>0</v>
      </c>
      <c r="L3039" s="10" t="s">
        <v>124</v>
      </c>
      <c r="M3039" s="10" t="s">
        <v>91</v>
      </c>
      <c r="N3039" s="10" t="s">
        <v>3513</v>
      </c>
      <c r="O3039" s="19" t="s">
        <v>22327</v>
      </c>
      <c r="P3039" s="10"/>
      <c r="Q3039" s="10" t="s">
        <v>126</v>
      </c>
      <c r="R3039" s="10"/>
      <c r="S3039" s="19" t="s">
        <v>22328</v>
      </c>
      <c r="T3039" s="10"/>
      <c r="U3039" s="10"/>
      <c r="V3039" s="10"/>
      <c r="W3039" s="10" t="s">
        <v>22225</v>
      </c>
      <c r="X3039" s="10" t="s">
        <v>16549</v>
      </c>
      <c r="Y3039" s="10" t="s">
        <v>16549</v>
      </c>
      <c r="Z3039" s="10" t="s">
        <v>99</v>
      </c>
      <c r="AA3039" s="10" t="s">
        <v>131</v>
      </c>
      <c r="AB3039" s="10" t="s">
        <v>22226</v>
      </c>
      <c r="AC3039" s="10" t="s">
        <v>22227</v>
      </c>
      <c r="AD3039" s="10" t="s">
        <v>165</v>
      </c>
      <c r="AE3039" s="10" t="s">
        <v>22329</v>
      </c>
      <c r="AF3039" s="15"/>
      <c r="AG3039" s="10"/>
      <c r="AH3039" s="10"/>
      <c r="AI3039" s="10"/>
      <c r="AJ3039" s="10"/>
      <c r="AK3039" s="10" t="s">
        <v>102</v>
      </c>
      <c r="AL3039" s="10"/>
      <c r="AM3039" s="10"/>
      <c r="AN3039" s="10"/>
      <c r="AO3039" s="13" t="b">
        <v>0</v>
      </c>
      <c r="AP3039" s="22"/>
      <c r="AQ3039" s="10">
        <f ca="1">IFERROR(__xludf.DUMMYFUNCTION("""COMPUTED_VALUE"""),4789832)</f>
        <v>4789832</v>
      </c>
      <c r="AR3039" s="17">
        <v>6250</v>
      </c>
      <c r="AS3039" s="17">
        <v>4744</v>
      </c>
      <c r="AT3039" s="17">
        <v>49601.5</v>
      </c>
      <c r="AU3039" s="17">
        <v>8.6</v>
      </c>
      <c r="AV3039" s="17">
        <v>1</v>
      </c>
      <c r="AW3039" s="10" t="s">
        <v>105</v>
      </c>
      <c r="AX3039" s="17">
        <v>840</v>
      </c>
      <c r="AY3039" s="18">
        <v>10.455628161888702</v>
      </c>
      <c r="AZ3039" s="10" t="s">
        <v>168</v>
      </c>
      <c r="BA3039" s="20" t="b">
        <v>0</v>
      </c>
      <c r="BB3039" s="10"/>
      <c r="BC3039" s="17">
        <v>6250</v>
      </c>
      <c r="BD3039" s="17">
        <v>4744</v>
      </c>
      <c r="BE3039" s="17">
        <v>49601.5</v>
      </c>
      <c r="BF3039" s="17">
        <v>1</v>
      </c>
      <c r="BG3039" s="11">
        <f ca="1">IFERROR(__xludf.DUMMYFUNCTION("""COMPUTED_VALUE"""),46013.5833333333)</f>
        <v>46013.583333333299</v>
      </c>
      <c r="BH3039" s="17" t="s">
        <v>105</v>
      </c>
      <c r="BI3039" s="17"/>
      <c r="BJ3039" s="15"/>
      <c r="BK3039" s="15"/>
      <c r="BL3039" s="13" t="b">
        <v>0</v>
      </c>
      <c r="BM3039" s="10"/>
      <c r="BN3039" s="10" t="s">
        <v>920</v>
      </c>
      <c r="BO3039" s="11">
        <v>46005.293055555558</v>
      </c>
      <c r="BP3039" s="11">
        <v>46006.591956018521</v>
      </c>
      <c r="BQ3039" s="15">
        <v>46010.831655092596</v>
      </c>
      <c r="BR3039" s="15">
        <v>46012.573067129626</v>
      </c>
      <c r="BS3039" s="10" t="s">
        <v>920</v>
      </c>
      <c r="BT3039" s="10"/>
      <c r="BU3039" s="10"/>
      <c r="BV3039" s="10"/>
      <c r="BW3039" s="10"/>
      <c r="BX3039" s="10"/>
      <c r="BY3039" s="23"/>
      <c r="BZ3039" s="23"/>
      <c r="CA3039" s="19" t="s">
        <v>22330</v>
      </c>
      <c r="CB3039" s="23"/>
      <c r="CC3039" s="23"/>
      <c r="CD3039" s="19" t="s">
        <v>22331</v>
      </c>
      <c r="CE3039" s="23"/>
      <c r="CF3039" s="23"/>
      <c r="CG3039" s="23"/>
      <c r="CH3039" s="23"/>
      <c r="CI3039" s="23"/>
    </row>
    <row r="3040" spans="1:87" x14ac:dyDescent="0.3">
      <c r="A3040" s="9" t="s">
        <v>22332</v>
      </c>
      <c r="B3040" s="10" t="s">
        <v>22333</v>
      </c>
      <c r="C3040" s="11">
        <v>46024.020833333336</v>
      </c>
      <c r="D3040" s="12">
        <v>8.3333333333333329E-2</v>
      </c>
      <c r="E3040" s="11">
        <v>46024.104166666664</v>
      </c>
      <c r="F3040" s="22" t="s">
        <v>262</v>
      </c>
      <c r="G3040" s="13" t="b">
        <v>0</v>
      </c>
      <c r="H3040" s="22" t="s">
        <v>305</v>
      </c>
      <c r="I3040" s="10" t="s">
        <v>264</v>
      </c>
      <c r="J3040" s="13" t="b">
        <v>0</v>
      </c>
      <c r="K3040" s="13" t="b">
        <v>1</v>
      </c>
      <c r="L3040" s="10" t="s">
        <v>124</v>
      </c>
      <c r="M3040" s="10" t="s">
        <v>91</v>
      </c>
      <c r="N3040" s="10" t="s">
        <v>265</v>
      </c>
      <c r="O3040" s="19" t="s">
        <v>22334</v>
      </c>
      <c r="P3040" s="10"/>
      <c r="Q3040" s="10" t="s">
        <v>94</v>
      </c>
      <c r="R3040" s="10"/>
      <c r="S3040" s="19" t="s">
        <v>22335</v>
      </c>
      <c r="T3040" s="10"/>
      <c r="U3040" s="10" t="s">
        <v>270</v>
      </c>
      <c r="V3040" s="10" t="s">
        <v>663</v>
      </c>
      <c r="W3040" s="10" t="s">
        <v>272</v>
      </c>
      <c r="X3040" s="10" t="s">
        <v>130</v>
      </c>
      <c r="Y3040" s="10" t="s">
        <v>130</v>
      </c>
      <c r="Z3040" s="10" t="s">
        <v>99</v>
      </c>
      <c r="AA3040" s="10" t="s">
        <v>131</v>
      </c>
      <c r="AB3040" s="10" t="s">
        <v>273</v>
      </c>
      <c r="AC3040" s="10" t="s">
        <v>274</v>
      </c>
      <c r="AD3040" s="10" t="s">
        <v>2250</v>
      </c>
      <c r="AE3040" s="10" t="s">
        <v>22336</v>
      </c>
      <c r="AF3040" s="15"/>
      <c r="AG3040" s="10"/>
      <c r="AH3040" s="10"/>
      <c r="AI3040" s="10"/>
      <c r="AJ3040" s="10"/>
      <c r="AK3040" s="10" t="s">
        <v>102</v>
      </c>
      <c r="AL3040" s="10" t="s">
        <v>2201</v>
      </c>
      <c r="AM3040" s="10"/>
      <c r="AN3040" s="10"/>
      <c r="AO3040" s="13" t="b">
        <v>0</v>
      </c>
      <c r="AP3040" s="22" t="s">
        <v>104</v>
      </c>
      <c r="AQ3040" s="10">
        <f ca="1">IFERROR(__xludf.DUMMYFUNCTION("""COMPUTED_VALUE"""),4802191)</f>
        <v>4802191</v>
      </c>
      <c r="AR3040" s="17">
        <v>6507</v>
      </c>
      <c r="AS3040" s="17">
        <v>4984</v>
      </c>
      <c r="AT3040" s="17">
        <v>93333.75</v>
      </c>
      <c r="AU3040" s="17">
        <v>11.25</v>
      </c>
      <c r="AV3040" s="17">
        <v>2.25</v>
      </c>
      <c r="AW3040" s="10" t="s">
        <v>105</v>
      </c>
      <c r="AX3040" s="17">
        <v>840</v>
      </c>
      <c r="AY3040" s="18">
        <v>18.726675361155699</v>
      </c>
      <c r="AZ3040" s="10" t="s">
        <v>136</v>
      </c>
      <c r="BA3040" s="20" t="b">
        <v>0</v>
      </c>
      <c r="BB3040" s="10"/>
      <c r="BC3040" s="17">
        <v>6507</v>
      </c>
      <c r="BD3040" s="17">
        <v>4984</v>
      </c>
      <c r="BE3040" s="17">
        <v>93333.75</v>
      </c>
      <c r="BF3040" s="17">
        <v>2.25</v>
      </c>
      <c r="BG3040" s="11">
        <f ca="1">IFERROR(__xludf.DUMMYFUNCTION("""COMPUTED_VALUE"""),46024.0208333333)</f>
        <v>46024.020833333299</v>
      </c>
      <c r="BH3040" s="17" t="s">
        <v>105</v>
      </c>
      <c r="BI3040" s="17"/>
      <c r="BJ3040" s="15"/>
      <c r="BK3040" s="15"/>
      <c r="BL3040" s="13" t="b">
        <v>0</v>
      </c>
      <c r="BM3040" s="10"/>
      <c r="BN3040" s="10" t="s">
        <v>4030</v>
      </c>
      <c r="BO3040" s="11">
        <v>46005.570138888892</v>
      </c>
      <c r="BP3040" s="11">
        <v>46015.820381944446</v>
      </c>
      <c r="BQ3040" s="15">
        <v>46019.776203703703</v>
      </c>
      <c r="BR3040" s="15">
        <v>46020.693761574075</v>
      </c>
      <c r="BS3040" s="10" t="s">
        <v>4030</v>
      </c>
      <c r="BT3040" s="10"/>
      <c r="BU3040" s="10"/>
      <c r="BV3040" s="10"/>
      <c r="BW3040" s="10"/>
      <c r="BX3040" s="10"/>
      <c r="BY3040" s="23"/>
      <c r="BZ3040" s="23"/>
      <c r="CA3040" s="19" t="s">
        <v>22335</v>
      </c>
      <c r="CB3040" s="23"/>
      <c r="CC3040" s="23"/>
      <c r="CD3040" s="23"/>
      <c r="CE3040" s="23"/>
      <c r="CF3040" s="23"/>
      <c r="CG3040" s="23"/>
      <c r="CH3040" s="23"/>
      <c r="CI3040" s="23"/>
    </row>
    <row r="3041" spans="1:87" x14ac:dyDescent="0.3">
      <c r="A3041" s="9" t="s">
        <v>22337</v>
      </c>
      <c r="B3041" s="10" t="s">
        <v>22338</v>
      </c>
      <c r="C3041" s="11">
        <v>46031.666666666664</v>
      </c>
      <c r="D3041" s="12">
        <v>0.10416666666666667</v>
      </c>
      <c r="E3041" s="11">
        <v>46031.770833333336</v>
      </c>
      <c r="F3041" s="22" t="s">
        <v>22219</v>
      </c>
      <c r="G3041" s="13" t="b">
        <v>0</v>
      </c>
      <c r="H3041" s="22" t="s">
        <v>22220</v>
      </c>
      <c r="I3041" s="10" t="s">
        <v>89</v>
      </c>
      <c r="J3041" s="13" t="b">
        <v>0</v>
      </c>
      <c r="K3041" s="13" t="b">
        <v>1</v>
      </c>
      <c r="L3041" s="10" t="s">
        <v>124</v>
      </c>
      <c r="M3041" s="10" t="s">
        <v>91</v>
      </c>
      <c r="N3041" s="10" t="s">
        <v>3513</v>
      </c>
      <c r="O3041" s="19" t="s">
        <v>22339</v>
      </c>
      <c r="P3041" s="10" t="s">
        <v>575</v>
      </c>
      <c r="Q3041" s="10" t="s">
        <v>126</v>
      </c>
      <c r="R3041" s="10"/>
      <c r="S3041" s="19" t="s">
        <v>22340</v>
      </c>
      <c r="T3041" s="10"/>
      <c r="U3041" s="10" t="s">
        <v>22341</v>
      </c>
      <c r="V3041" s="10" t="s">
        <v>22342</v>
      </c>
      <c r="W3041" s="10" t="s">
        <v>22225</v>
      </c>
      <c r="X3041" s="10" t="s">
        <v>16549</v>
      </c>
      <c r="Y3041" s="10" t="s">
        <v>16549</v>
      </c>
      <c r="Z3041" s="10" t="s">
        <v>99</v>
      </c>
      <c r="AA3041" s="10" t="s">
        <v>131</v>
      </c>
      <c r="AB3041" s="10" t="s">
        <v>22226</v>
      </c>
      <c r="AC3041" s="10" t="s">
        <v>22227</v>
      </c>
      <c r="AD3041" s="10" t="s">
        <v>22343</v>
      </c>
      <c r="AE3041" s="10" t="s">
        <v>22344</v>
      </c>
      <c r="AF3041" s="15"/>
      <c r="AG3041" s="10"/>
      <c r="AH3041" s="10"/>
      <c r="AI3041" s="10"/>
      <c r="AJ3041" s="10" t="s">
        <v>22345</v>
      </c>
      <c r="AK3041" s="10" t="s">
        <v>102</v>
      </c>
      <c r="AL3041" s="10"/>
      <c r="AM3041" s="10"/>
      <c r="AN3041" s="10"/>
      <c r="AO3041" s="13" t="b">
        <v>0</v>
      </c>
      <c r="AP3041" s="22" t="s">
        <v>135</v>
      </c>
      <c r="AQ3041" s="10">
        <f ca="1">IFERROR(__xludf.DUMMYFUNCTION("""COMPUTED_VALUE"""),4832234)</f>
        <v>4832234</v>
      </c>
      <c r="AR3041" s="17">
        <v>181788</v>
      </c>
      <c r="AS3041" s="17">
        <v>82574</v>
      </c>
      <c r="AT3041" s="17">
        <v>4912556.5</v>
      </c>
      <c r="AU3041" s="17">
        <v>4118.8</v>
      </c>
      <c r="AV3041" s="17">
        <v>3068.1</v>
      </c>
      <c r="AW3041" s="10" t="s">
        <v>297</v>
      </c>
      <c r="AX3041" s="17">
        <v>32347</v>
      </c>
      <c r="AY3041" s="18">
        <v>59.492776176520458</v>
      </c>
      <c r="AZ3041" s="10" t="s">
        <v>168</v>
      </c>
      <c r="BA3041" s="20" t="b">
        <v>0</v>
      </c>
      <c r="BB3041" s="10"/>
      <c r="BC3041" s="17">
        <v>181788</v>
      </c>
      <c r="BD3041" s="17">
        <v>82574</v>
      </c>
      <c r="BE3041" s="17">
        <v>4912556.5</v>
      </c>
      <c r="BF3041" s="17">
        <v>3068.1</v>
      </c>
      <c r="BG3041" s="11">
        <f ca="1">IFERROR(__xludf.DUMMYFUNCTION("""COMPUTED_VALUE"""),46031.6666666666)</f>
        <v>46031.666666666599</v>
      </c>
      <c r="BH3041" s="17" t="s">
        <v>297</v>
      </c>
      <c r="BI3041" s="17"/>
      <c r="BJ3041" s="15"/>
      <c r="BK3041" s="15"/>
      <c r="BL3041" s="13" t="b">
        <v>0</v>
      </c>
      <c r="BM3041" s="10"/>
      <c r="BN3041" s="10" t="s">
        <v>149</v>
      </c>
      <c r="BO3041" s="11">
        <v>46005.664583333331</v>
      </c>
      <c r="BP3041" s="11">
        <v>46026.381643518522</v>
      </c>
      <c r="BQ3041" s="15">
        <v>46028.539918981478</v>
      </c>
      <c r="BR3041" s="15">
        <v>46029.379930555559</v>
      </c>
      <c r="BS3041" s="10" t="s">
        <v>149</v>
      </c>
      <c r="BT3041" s="10" t="s">
        <v>99</v>
      </c>
      <c r="BU3041" s="10" t="s">
        <v>298</v>
      </c>
      <c r="BV3041" s="10" t="s">
        <v>281</v>
      </c>
      <c r="BW3041" s="10" t="s">
        <v>282</v>
      </c>
      <c r="BX3041" s="10"/>
      <c r="BY3041" s="23"/>
      <c r="BZ3041" s="23"/>
      <c r="CA3041" s="19" t="s">
        <v>22346</v>
      </c>
      <c r="CB3041" s="23"/>
      <c r="CC3041" s="23"/>
      <c r="CD3041" s="19" t="s">
        <v>22347</v>
      </c>
      <c r="CE3041" s="23"/>
      <c r="CF3041" s="23"/>
      <c r="CG3041" s="23"/>
      <c r="CH3041" s="23"/>
      <c r="CI3041" s="23"/>
    </row>
    <row r="3042" spans="1:87" x14ac:dyDescent="0.3">
      <c r="A3042" s="9" t="s">
        <v>22348</v>
      </c>
      <c r="B3042" s="10" t="s">
        <v>22349</v>
      </c>
      <c r="C3042" s="11">
        <v>46031.791666666664</v>
      </c>
      <c r="D3042" s="12">
        <v>0.10416666666666667</v>
      </c>
      <c r="E3042" s="11">
        <v>46031.895833333336</v>
      </c>
      <c r="F3042" s="22" t="s">
        <v>22219</v>
      </c>
      <c r="G3042" s="13" t="b">
        <v>0</v>
      </c>
      <c r="H3042" s="22" t="s">
        <v>22220</v>
      </c>
      <c r="I3042" s="10" t="s">
        <v>89</v>
      </c>
      <c r="J3042" s="13" t="b">
        <v>0</v>
      </c>
      <c r="K3042" s="13" t="b">
        <v>1</v>
      </c>
      <c r="L3042" s="10" t="s">
        <v>124</v>
      </c>
      <c r="M3042" s="10" t="s">
        <v>91</v>
      </c>
      <c r="N3042" s="10" t="s">
        <v>3513</v>
      </c>
      <c r="O3042" s="19" t="s">
        <v>22350</v>
      </c>
      <c r="P3042" s="10" t="s">
        <v>575</v>
      </c>
      <c r="Q3042" s="10" t="s">
        <v>126</v>
      </c>
      <c r="R3042" s="10"/>
      <c r="S3042" s="19" t="s">
        <v>22351</v>
      </c>
      <c r="T3042" s="10"/>
      <c r="U3042" s="10" t="s">
        <v>22352</v>
      </c>
      <c r="V3042" s="10" t="s">
        <v>22353</v>
      </c>
      <c r="W3042" s="10" t="s">
        <v>22225</v>
      </c>
      <c r="X3042" s="10" t="s">
        <v>16549</v>
      </c>
      <c r="Y3042" s="10" t="s">
        <v>16549</v>
      </c>
      <c r="Z3042" s="10" t="s">
        <v>99</v>
      </c>
      <c r="AA3042" s="10" t="s">
        <v>131</v>
      </c>
      <c r="AB3042" s="10" t="s">
        <v>22226</v>
      </c>
      <c r="AC3042" s="10" t="s">
        <v>22227</v>
      </c>
      <c r="AD3042" s="10" t="s">
        <v>22354</v>
      </c>
      <c r="AE3042" s="10" t="s">
        <v>22355</v>
      </c>
      <c r="AF3042" s="15"/>
      <c r="AG3042" s="10"/>
      <c r="AH3042" s="10"/>
      <c r="AI3042" s="10"/>
      <c r="AJ3042" s="10" t="s">
        <v>22356</v>
      </c>
      <c r="AK3042" s="10" t="s">
        <v>102</v>
      </c>
      <c r="AL3042" s="10"/>
      <c r="AM3042" s="10"/>
      <c r="AN3042" s="10"/>
      <c r="AO3042" s="13" t="b">
        <v>0</v>
      </c>
      <c r="AP3042" s="22" t="s">
        <v>135</v>
      </c>
      <c r="AQ3042" s="10">
        <f ca="1">IFERROR(__xludf.DUMMYFUNCTION("""COMPUTED_VALUE"""),4833009)</f>
        <v>4833009</v>
      </c>
      <c r="AR3042" s="17">
        <v>106072</v>
      </c>
      <c r="AS3042" s="17">
        <v>55853</v>
      </c>
      <c r="AT3042" s="17">
        <v>1993218.25</v>
      </c>
      <c r="AU3042" s="17">
        <v>1560.85</v>
      </c>
      <c r="AV3042" s="17">
        <v>1074.45</v>
      </c>
      <c r="AW3042" s="10" t="s">
        <v>105</v>
      </c>
      <c r="AX3042" s="17">
        <v>26597</v>
      </c>
      <c r="AY3042" s="18">
        <v>35.68686104595993</v>
      </c>
      <c r="AZ3042" s="10" t="s">
        <v>168</v>
      </c>
      <c r="BA3042" s="20" t="b">
        <v>0</v>
      </c>
      <c r="BB3042" s="10"/>
      <c r="BC3042" s="17">
        <v>106072</v>
      </c>
      <c r="BD3042" s="17">
        <v>55853</v>
      </c>
      <c r="BE3042" s="17">
        <v>1993218.25</v>
      </c>
      <c r="BF3042" s="17">
        <v>1074.45</v>
      </c>
      <c r="BG3042" s="11">
        <f ca="1">IFERROR(__xludf.DUMMYFUNCTION("""COMPUTED_VALUE"""),46031.7916666666)</f>
        <v>46031.791666666599</v>
      </c>
      <c r="BH3042" s="17" t="s">
        <v>105</v>
      </c>
      <c r="BI3042" s="17"/>
      <c r="BJ3042" s="15"/>
      <c r="BK3042" s="15"/>
      <c r="BL3042" s="13" t="b">
        <v>0</v>
      </c>
      <c r="BM3042" s="10"/>
      <c r="BN3042" s="10" t="s">
        <v>149</v>
      </c>
      <c r="BO3042" s="11">
        <v>46005.665972222225</v>
      </c>
      <c r="BP3042" s="11">
        <v>46026.390023148146</v>
      </c>
      <c r="BQ3042" s="15">
        <v>46030.621516203704</v>
      </c>
      <c r="BR3042" s="15">
        <v>46030.636157407411</v>
      </c>
      <c r="BS3042" s="10" t="s">
        <v>149</v>
      </c>
      <c r="BT3042" s="10" t="s">
        <v>99</v>
      </c>
      <c r="BU3042" s="10" t="s">
        <v>298</v>
      </c>
      <c r="BV3042" s="10"/>
      <c r="BW3042" s="10"/>
      <c r="BX3042" s="10"/>
      <c r="BY3042" s="23"/>
      <c r="BZ3042" s="23"/>
      <c r="CA3042" s="19" t="s">
        <v>22357</v>
      </c>
      <c r="CB3042" s="23"/>
      <c r="CC3042" s="23"/>
      <c r="CD3042" s="19" t="s">
        <v>22358</v>
      </c>
      <c r="CE3042" s="23"/>
      <c r="CF3042" s="23"/>
      <c r="CG3042" s="23"/>
      <c r="CH3042" s="23"/>
      <c r="CI3042" s="23"/>
    </row>
    <row r="3043" spans="1:87" x14ac:dyDescent="0.3">
      <c r="A3043" s="9" t="s">
        <v>22359</v>
      </c>
      <c r="B3043" s="10" t="s">
        <v>22360</v>
      </c>
      <c r="C3043" s="11">
        <v>46032.666666666664</v>
      </c>
      <c r="D3043" s="12">
        <v>0.10416666666666667</v>
      </c>
      <c r="E3043" s="11">
        <v>46032.770833333336</v>
      </c>
      <c r="F3043" s="22" t="s">
        <v>22219</v>
      </c>
      <c r="G3043" s="13" t="b">
        <v>0</v>
      </c>
      <c r="H3043" s="22" t="s">
        <v>22220</v>
      </c>
      <c r="I3043" s="10" t="s">
        <v>89</v>
      </c>
      <c r="J3043" s="13" t="b">
        <v>0</v>
      </c>
      <c r="K3043" s="13" t="b">
        <v>1</v>
      </c>
      <c r="L3043" s="10" t="s">
        <v>124</v>
      </c>
      <c r="M3043" s="10" t="s">
        <v>91</v>
      </c>
      <c r="N3043" s="10" t="s">
        <v>3513</v>
      </c>
      <c r="O3043" s="19" t="s">
        <v>22361</v>
      </c>
      <c r="P3043" s="10" t="s">
        <v>575</v>
      </c>
      <c r="Q3043" s="10" t="s">
        <v>126</v>
      </c>
      <c r="R3043" s="10"/>
      <c r="S3043" s="19" t="s">
        <v>22362</v>
      </c>
      <c r="T3043" s="10"/>
      <c r="U3043" s="10" t="s">
        <v>22224</v>
      </c>
      <c r="V3043" s="10" t="s">
        <v>22363</v>
      </c>
      <c r="W3043" s="10" t="s">
        <v>22225</v>
      </c>
      <c r="X3043" s="10" t="s">
        <v>16549</v>
      </c>
      <c r="Y3043" s="10" t="s">
        <v>16549</v>
      </c>
      <c r="Z3043" s="10" t="s">
        <v>99</v>
      </c>
      <c r="AA3043" s="10" t="s">
        <v>131</v>
      </c>
      <c r="AB3043" s="10" t="s">
        <v>22226</v>
      </c>
      <c r="AC3043" s="10" t="s">
        <v>22227</v>
      </c>
      <c r="AD3043" s="10" t="s">
        <v>22364</v>
      </c>
      <c r="AE3043" s="10" t="s">
        <v>22365</v>
      </c>
      <c r="AF3043" s="15"/>
      <c r="AG3043" s="10"/>
      <c r="AH3043" s="10"/>
      <c r="AI3043" s="10"/>
      <c r="AJ3043" s="10" t="s">
        <v>22366</v>
      </c>
      <c r="AK3043" s="10" t="s">
        <v>102</v>
      </c>
      <c r="AL3043" s="10"/>
      <c r="AM3043" s="10"/>
      <c r="AN3043" s="10"/>
      <c r="AO3043" s="13" t="b">
        <v>0</v>
      </c>
      <c r="AP3043" s="22" t="s">
        <v>135</v>
      </c>
      <c r="AQ3043" s="10">
        <f ca="1">IFERROR(__xludf.DUMMYFUNCTION("""COMPUTED_VALUE"""),4832283)</f>
        <v>4832283</v>
      </c>
      <c r="AR3043" s="17">
        <v>74917</v>
      </c>
      <c r="AS3043" s="17">
        <v>45253</v>
      </c>
      <c r="AT3043" s="17">
        <v>1307366.25</v>
      </c>
      <c r="AU3043" s="17">
        <v>653.85</v>
      </c>
      <c r="AV3043" s="17">
        <v>400.85</v>
      </c>
      <c r="AW3043" s="10" t="s">
        <v>105</v>
      </c>
      <c r="AX3043" s="17">
        <v>17069</v>
      </c>
      <c r="AY3043" s="18">
        <v>28.890156453715775</v>
      </c>
      <c r="AZ3043" s="10" t="s">
        <v>168</v>
      </c>
      <c r="BA3043" s="20" t="b">
        <v>0</v>
      </c>
      <c r="BB3043" s="10"/>
      <c r="BC3043" s="17">
        <v>74917</v>
      </c>
      <c r="BD3043" s="17">
        <v>45253</v>
      </c>
      <c r="BE3043" s="17">
        <v>1307366.25</v>
      </c>
      <c r="BF3043" s="17">
        <v>400.85</v>
      </c>
      <c r="BG3043" s="11">
        <f ca="1">IFERROR(__xludf.DUMMYFUNCTION("""COMPUTED_VALUE"""),46032.6666666666)</f>
        <v>46032.666666666599</v>
      </c>
      <c r="BH3043" s="17" t="s">
        <v>105</v>
      </c>
      <c r="BI3043" s="17"/>
      <c r="BJ3043" s="15"/>
      <c r="BK3043" s="15"/>
      <c r="BL3043" s="13" t="b">
        <v>0</v>
      </c>
      <c r="BM3043" s="10"/>
      <c r="BN3043" s="10" t="s">
        <v>149</v>
      </c>
      <c r="BO3043" s="11">
        <v>46005.666666666664</v>
      </c>
      <c r="BP3043" s="11">
        <v>46026.390300925923</v>
      </c>
      <c r="BQ3043" s="15">
        <v>46028.541261574072</v>
      </c>
      <c r="BR3043" s="15">
        <v>46029.454675925925</v>
      </c>
      <c r="BS3043" s="10" t="s">
        <v>149</v>
      </c>
      <c r="BT3043" s="10" t="s">
        <v>99</v>
      </c>
      <c r="BU3043" s="10" t="s">
        <v>5492</v>
      </c>
      <c r="BV3043" s="10"/>
      <c r="BW3043" s="10"/>
      <c r="BX3043" s="10"/>
      <c r="BY3043" s="23"/>
      <c r="BZ3043" s="23"/>
      <c r="CA3043" s="19" t="s">
        <v>22367</v>
      </c>
      <c r="CB3043" s="23"/>
      <c r="CC3043" s="23"/>
      <c r="CD3043" s="19" t="s">
        <v>22368</v>
      </c>
      <c r="CE3043" s="23"/>
      <c r="CF3043" s="23"/>
      <c r="CG3043" s="23"/>
      <c r="CH3043" s="23"/>
      <c r="CI3043" s="23"/>
    </row>
    <row r="3044" spans="1:87" x14ac:dyDescent="0.3">
      <c r="A3044" s="9" t="s">
        <v>22369</v>
      </c>
      <c r="B3044" s="10" t="s">
        <v>22370</v>
      </c>
      <c r="C3044" s="11">
        <v>46032.791666666664</v>
      </c>
      <c r="D3044" s="12">
        <v>0.10416666666666667</v>
      </c>
      <c r="E3044" s="11">
        <v>46032.895833333336</v>
      </c>
      <c r="F3044" s="22" t="s">
        <v>22219</v>
      </c>
      <c r="G3044" s="13" t="b">
        <v>0</v>
      </c>
      <c r="H3044" s="22" t="s">
        <v>22220</v>
      </c>
      <c r="I3044" s="10" t="s">
        <v>89</v>
      </c>
      <c r="J3044" s="13" t="b">
        <v>0</v>
      </c>
      <c r="K3044" s="13" t="b">
        <v>1</v>
      </c>
      <c r="L3044" s="10" t="s">
        <v>124</v>
      </c>
      <c r="M3044" s="10" t="s">
        <v>91</v>
      </c>
      <c r="N3044" s="10" t="s">
        <v>3513</v>
      </c>
      <c r="O3044" s="19" t="s">
        <v>22371</v>
      </c>
      <c r="P3044" s="10" t="s">
        <v>575</v>
      </c>
      <c r="Q3044" s="10" t="s">
        <v>126</v>
      </c>
      <c r="R3044" s="10"/>
      <c r="S3044" s="19" t="s">
        <v>22372</v>
      </c>
      <c r="T3044" s="10"/>
      <c r="U3044" s="10" t="s">
        <v>22373</v>
      </c>
      <c r="V3044" s="10" t="s">
        <v>22374</v>
      </c>
      <c r="W3044" s="10" t="s">
        <v>22225</v>
      </c>
      <c r="X3044" s="10" t="s">
        <v>16549</v>
      </c>
      <c r="Y3044" s="10" t="s">
        <v>16549</v>
      </c>
      <c r="Z3044" s="10" t="s">
        <v>99</v>
      </c>
      <c r="AA3044" s="10" t="s">
        <v>131</v>
      </c>
      <c r="AB3044" s="10" t="s">
        <v>22226</v>
      </c>
      <c r="AC3044" s="10" t="s">
        <v>22227</v>
      </c>
      <c r="AD3044" s="10" t="s">
        <v>22375</v>
      </c>
      <c r="AE3044" s="10" t="s">
        <v>22376</v>
      </c>
      <c r="AF3044" s="15"/>
      <c r="AG3044" s="10"/>
      <c r="AH3044" s="10"/>
      <c r="AI3044" s="10"/>
      <c r="AJ3044" s="10" t="s">
        <v>22377</v>
      </c>
      <c r="AK3044" s="10" t="s">
        <v>102</v>
      </c>
      <c r="AL3044" s="10"/>
      <c r="AM3044" s="10"/>
      <c r="AN3044" s="10"/>
      <c r="AO3044" s="13" t="b">
        <v>0</v>
      </c>
      <c r="AP3044" s="22" t="s">
        <v>104</v>
      </c>
      <c r="AQ3044" s="10">
        <f ca="1">IFERROR(__xludf.DUMMYFUNCTION("""COMPUTED_VALUE"""),4833014)</f>
        <v>4833014</v>
      </c>
      <c r="AR3044" s="17">
        <v>120460</v>
      </c>
      <c r="AS3044" s="17">
        <v>67778</v>
      </c>
      <c r="AT3044" s="17">
        <v>2194749</v>
      </c>
      <c r="AU3044" s="17">
        <v>1330.55</v>
      </c>
      <c r="AV3044" s="17">
        <v>805.2</v>
      </c>
      <c r="AW3044" s="10" t="s">
        <v>105</v>
      </c>
      <c r="AX3044" s="17">
        <v>23312</v>
      </c>
      <c r="AY3044" s="18">
        <v>32.381436454306709</v>
      </c>
      <c r="AZ3044" s="10" t="s">
        <v>168</v>
      </c>
      <c r="BA3044" s="20" t="b">
        <v>0</v>
      </c>
      <c r="BB3044" s="10"/>
      <c r="BC3044" s="17">
        <v>120460</v>
      </c>
      <c r="BD3044" s="17">
        <v>67778</v>
      </c>
      <c r="BE3044" s="17">
        <v>2194749</v>
      </c>
      <c r="BF3044" s="17">
        <v>805.2</v>
      </c>
      <c r="BG3044" s="11">
        <f ca="1">IFERROR(__xludf.DUMMYFUNCTION("""COMPUTED_VALUE"""),46032.7916666666)</f>
        <v>46032.791666666599</v>
      </c>
      <c r="BH3044" s="17" t="s">
        <v>105</v>
      </c>
      <c r="BI3044" s="17"/>
      <c r="BJ3044" s="15"/>
      <c r="BK3044" s="15"/>
      <c r="BL3044" s="13" t="b">
        <v>0</v>
      </c>
      <c r="BM3044" s="10"/>
      <c r="BN3044" s="10" t="s">
        <v>149</v>
      </c>
      <c r="BO3044" s="11">
        <v>46005.667361111111</v>
      </c>
      <c r="BP3044" s="11">
        <v>46030.430532407408</v>
      </c>
      <c r="BQ3044" s="15">
        <v>46030.677349537036</v>
      </c>
      <c r="BR3044" s="15">
        <v>46030.818333333336</v>
      </c>
      <c r="BS3044" s="10" t="s">
        <v>149</v>
      </c>
      <c r="BT3044" s="10" t="s">
        <v>99</v>
      </c>
      <c r="BU3044" s="10" t="s">
        <v>5492</v>
      </c>
      <c r="BV3044" s="10"/>
      <c r="BW3044" s="10"/>
      <c r="BX3044" s="10"/>
      <c r="BY3044" s="23"/>
      <c r="BZ3044" s="23"/>
      <c r="CA3044" s="19" t="s">
        <v>22378</v>
      </c>
      <c r="CB3044" s="23"/>
      <c r="CC3044" s="23"/>
      <c r="CD3044" s="19" t="s">
        <v>22379</v>
      </c>
      <c r="CE3044" s="23"/>
      <c r="CF3044" s="23"/>
      <c r="CG3044" s="23"/>
      <c r="CH3044" s="23"/>
      <c r="CI3044" s="23"/>
    </row>
    <row r="3045" spans="1:87" x14ac:dyDescent="0.3">
      <c r="A3045" s="9" t="s">
        <v>22380</v>
      </c>
      <c r="B3045" s="10" t="s">
        <v>22381</v>
      </c>
      <c r="C3045" s="11">
        <v>46033.541666666664</v>
      </c>
      <c r="D3045" s="12">
        <v>0.10416666666666667</v>
      </c>
      <c r="E3045" s="11">
        <v>46033.645833333336</v>
      </c>
      <c r="F3045" s="22" t="s">
        <v>22219</v>
      </c>
      <c r="G3045" s="13" t="b">
        <v>0</v>
      </c>
      <c r="H3045" s="22" t="s">
        <v>22220</v>
      </c>
      <c r="I3045" s="10" t="s">
        <v>89</v>
      </c>
      <c r="J3045" s="13" t="b">
        <v>0</v>
      </c>
      <c r="K3045" s="13" t="b">
        <v>1</v>
      </c>
      <c r="L3045" s="10" t="s">
        <v>124</v>
      </c>
      <c r="M3045" s="10" t="s">
        <v>91</v>
      </c>
      <c r="N3045" s="10" t="s">
        <v>3513</v>
      </c>
      <c r="O3045" s="19" t="s">
        <v>22382</v>
      </c>
      <c r="P3045" s="10" t="s">
        <v>575</v>
      </c>
      <c r="Q3045" s="10" t="s">
        <v>126</v>
      </c>
      <c r="R3045" s="10"/>
      <c r="S3045" s="19" t="s">
        <v>22383</v>
      </c>
      <c r="T3045" s="10"/>
      <c r="U3045" s="10" t="s">
        <v>22342</v>
      </c>
      <c r="V3045" s="10" t="s">
        <v>22353</v>
      </c>
      <c r="W3045" s="10" t="s">
        <v>22225</v>
      </c>
      <c r="X3045" s="10" t="s">
        <v>16549</v>
      </c>
      <c r="Y3045" s="10" t="s">
        <v>16549</v>
      </c>
      <c r="Z3045" s="10" t="s">
        <v>99</v>
      </c>
      <c r="AA3045" s="10" t="s">
        <v>131</v>
      </c>
      <c r="AB3045" s="10" t="s">
        <v>22226</v>
      </c>
      <c r="AC3045" s="10" t="s">
        <v>22227</v>
      </c>
      <c r="AD3045" s="10" t="s">
        <v>22384</v>
      </c>
      <c r="AE3045" s="10" t="s">
        <v>22385</v>
      </c>
      <c r="AF3045" s="15"/>
      <c r="AG3045" s="10"/>
      <c r="AH3045" s="10"/>
      <c r="AI3045" s="10"/>
      <c r="AJ3045" s="10" t="s">
        <v>22386</v>
      </c>
      <c r="AK3045" s="10" t="s">
        <v>102</v>
      </c>
      <c r="AL3045" s="10"/>
      <c r="AM3045" s="10"/>
      <c r="AN3045" s="10"/>
      <c r="AO3045" s="13" t="b">
        <v>0</v>
      </c>
      <c r="AP3045" s="22" t="s">
        <v>135</v>
      </c>
      <c r="AQ3045" s="10">
        <f ca="1">IFERROR(__xludf.DUMMYFUNCTION("""COMPUTED_VALUE"""),4833788)</f>
        <v>4833788</v>
      </c>
      <c r="AR3045" s="17"/>
      <c r="AS3045" s="17"/>
      <c r="AT3045" s="17"/>
      <c r="AU3045" s="17"/>
      <c r="AV3045" s="17"/>
      <c r="AW3045" s="10"/>
      <c r="AX3045" s="17"/>
      <c r="AY3045" s="18" t="s">
        <v>257</v>
      </c>
      <c r="AZ3045" s="10" t="s">
        <v>168</v>
      </c>
      <c r="BA3045" s="20" t="b">
        <v>0</v>
      </c>
      <c r="BB3045" s="10"/>
      <c r="BC3045" s="17" t="s">
        <v>257</v>
      </c>
      <c r="BD3045" s="17" t="s">
        <v>257</v>
      </c>
      <c r="BE3045" s="17" t="s">
        <v>257</v>
      </c>
      <c r="BF3045" s="17" t="s">
        <v>257</v>
      </c>
      <c r="BG3045" s="11">
        <f ca="1">IFERROR(__xludf.DUMMYFUNCTION("""COMPUTED_VALUE"""),46033.5416666666)</f>
        <v>46033.541666666599</v>
      </c>
      <c r="BH3045" s="17"/>
      <c r="BI3045" s="17"/>
      <c r="BJ3045" s="15"/>
      <c r="BK3045" s="15"/>
      <c r="BL3045" s="13" t="b">
        <v>0</v>
      </c>
      <c r="BM3045" s="10"/>
      <c r="BN3045" s="10" t="s">
        <v>197</v>
      </c>
      <c r="BO3045" s="11">
        <v>46005.668749999997</v>
      </c>
      <c r="BP3045" s="11">
        <v>46026.391087962962</v>
      </c>
      <c r="BQ3045" s="15">
        <v>46030.625185185185</v>
      </c>
      <c r="BR3045" s="15">
        <v>46030.834930555553</v>
      </c>
      <c r="BS3045" s="10" t="s">
        <v>197</v>
      </c>
      <c r="BT3045" s="10" t="s">
        <v>99</v>
      </c>
      <c r="BU3045" s="10" t="s">
        <v>298</v>
      </c>
      <c r="BV3045" s="10"/>
      <c r="BW3045" s="10"/>
      <c r="BX3045" s="10"/>
      <c r="BY3045" s="23"/>
      <c r="BZ3045" s="23"/>
      <c r="CA3045" s="19" t="s">
        <v>22387</v>
      </c>
      <c r="CB3045" s="23"/>
      <c r="CC3045" s="23"/>
      <c r="CD3045" s="19" t="s">
        <v>22388</v>
      </c>
      <c r="CE3045" s="23"/>
      <c r="CF3045" s="23"/>
      <c r="CG3045" s="23"/>
      <c r="CH3045" s="23"/>
      <c r="CI3045" s="23"/>
    </row>
    <row r="3046" spans="1:87" x14ac:dyDescent="0.3">
      <c r="A3046" s="9" t="s">
        <v>22389</v>
      </c>
      <c r="B3046" s="10" t="s">
        <v>22390</v>
      </c>
      <c r="C3046" s="11">
        <v>46033.666666666664</v>
      </c>
      <c r="D3046" s="12">
        <v>0.10416666666666667</v>
      </c>
      <c r="E3046" s="11">
        <v>46033.770833333336</v>
      </c>
      <c r="F3046" s="22" t="s">
        <v>22219</v>
      </c>
      <c r="G3046" s="13" t="b">
        <v>0</v>
      </c>
      <c r="H3046" s="22" t="s">
        <v>22220</v>
      </c>
      <c r="I3046" s="10" t="s">
        <v>89</v>
      </c>
      <c r="J3046" s="13" t="b">
        <v>0</v>
      </c>
      <c r="K3046" s="13" t="b">
        <v>1</v>
      </c>
      <c r="L3046" s="10" t="s">
        <v>124</v>
      </c>
      <c r="M3046" s="10" t="s">
        <v>91</v>
      </c>
      <c r="N3046" s="10" t="s">
        <v>3513</v>
      </c>
      <c r="O3046" s="19" t="s">
        <v>22391</v>
      </c>
      <c r="P3046" s="10" t="s">
        <v>575</v>
      </c>
      <c r="Q3046" s="10" t="s">
        <v>126</v>
      </c>
      <c r="R3046" s="10"/>
      <c r="S3046" s="19" t="s">
        <v>22392</v>
      </c>
      <c r="T3046" s="10"/>
      <c r="U3046" s="10" t="s">
        <v>22223</v>
      </c>
      <c r="V3046" s="10" t="s">
        <v>22352</v>
      </c>
      <c r="W3046" s="10" t="s">
        <v>22225</v>
      </c>
      <c r="X3046" s="10" t="s">
        <v>16549</v>
      </c>
      <c r="Y3046" s="10" t="s">
        <v>16549</v>
      </c>
      <c r="Z3046" s="10" t="s">
        <v>99</v>
      </c>
      <c r="AA3046" s="10" t="s">
        <v>131</v>
      </c>
      <c r="AB3046" s="10" t="s">
        <v>22226</v>
      </c>
      <c r="AC3046" s="10" t="s">
        <v>22227</v>
      </c>
      <c r="AD3046" s="10" t="s">
        <v>22393</v>
      </c>
      <c r="AE3046" s="10" t="s">
        <v>22394</v>
      </c>
      <c r="AF3046" s="15"/>
      <c r="AG3046" s="10"/>
      <c r="AH3046" s="10"/>
      <c r="AI3046" s="10"/>
      <c r="AJ3046" s="10" t="s">
        <v>22395</v>
      </c>
      <c r="AK3046" s="10" t="s">
        <v>102</v>
      </c>
      <c r="AL3046" s="10"/>
      <c r="AM3046" s="10"/>
      <c r="AN3046" s="10"/>
      <c r="AO3046" s="13" t="b">
        <v>0</v>
      </c>
      <c r="AP3046" s="22" t="s">
        <v>135</v>
      </c>
      <c r="AQ3046" s="10">
        <f ca="1">IFERROR(__xludf.DUMMYFUNCTION("""COMPUTED_VALUE"""),4832545)</f>
        <v>4832545</v>
      </c>
      <c r="AR3046" s="17"/>
      <c r="AS3046" s="17"/>
      <c r="AT3046" s="17"/>
      <c r="AU3046" s="17"/>
      <c r="AV3046" s="17"/>
      <c r="AW3046" s="10"/>
      <c r="AX3046" s="17"/>
      <c r="AY3046" s="18" t="s">
        <v>257</v>
      </c>
      <c r="AZ3046" s="10" t="s">
        <v>168</v>
      </c>
      <c r="BA3046" s="20" t="b">
        <v>0</v>
      </c>
      <c r="BB3046" s="10"/>
      <c r="BC3046" s="17" t="s">
        <v>257</v>
      </c>
      <c r="BD3046" s="17" t="s">
        <v>257</v>
      </c>
      <c r="BE3046" s="17" t="s">
        <v>257</v>
      </c>
      <c r="BF3046" s="17" t="s">
        <v>257</v>
      </c>
      <c r="BG3046" s="11">
        <f ca="1">IFERROR(__xludf.DUMMYFUNCTION("""COMPUTED_VALUE"""),46033.6666666666)</f>
        <v>46033.666666666599</v>
      </c>
      <c r="BH3046" s="17"/>
      <c r="BI3046" s="17"/>
      <c r="BJ3046" s="15"/>
      <c r="BK3046" s="15"/>
      <c r="BL3046" s="13" t="b">
        <v>0</v>
      </c>
      <c r="BM3046" s="10"/>
      <c r="BN3046" s="10" t="s">
        <v>634</v>
      </c>
      <c r="BO3046" s="11">
        <v>46005.670138888891</v>
      </c>
      <c r="BP3046" s="11">
        <v>46026.391550925924</v>
      </c>
      <c r="BQ3046" s="15">
        <v>46028.754108796296</v>
      </c>
      <c r="BR3046" s="15">
        <v>46030.447175925925</v>
      </c>
      <c r="BS3046" s="10" t="s">
        <v>634</v>
      </c>
      <c r="BT3046" s="10" t="s">
        <v>99</v>
      </c>
      <c r="BU3046" s="10" t="s">
        <v>298</v>
      </c>
      <c r="BV3046" s="10"/>
      <c r="BW3046" s="10"/>
      <c r="BX3046" s="10"/>
      <c r="BY3046" s="23"/>
      <c r="BZ3046" s="23"/>
      <c r="CA3046" s="19" t="s">
        <v>22396</v>
      </c>
      <c r="CB3046" s="23"/>
      <c r="CC3046" s="23"/>
      <c r="CD3046" s="19" t="s">
        <v>22397</v>
      </c>
      <c r="CE3046" s="23"/>
      <c r="CF3046" s="23"/>
      <c r="CG3046" s="23"/>
      <c r="CH3046" s="23"/>
      <c r="CI3046" s="23"/>
    </row>
    <row r="3047" spans="1:87" x14ac:dyDescent="0.3">
      <c r="A3047" s="9" t="s">
        <v>22398</v>
      </c>
      <c r="B3047" s="10" t="s">
        <v>22399</v>
      </c>
      <c r="C3047" s="11">
        <v>46033.791666666664</v>
      </c>
      <c r="D3047" s="12">
        <v>0.10416666666666667</v>
      </c>
      <c r="E3047" s="11">
        <v>46033.895833333336</v>
      </c>
      <c r="F3047" s="22" t="s">
        <v>22219</v>
      </c>
      <c r="G3047" s="13" t="b">
        <v>0</v>
      </c>
      <c r="H3047" s="22" t="s">
        <v>22220</v>
      </c>
      <c r="I3047" s="10" t="s">
        <v>89</v>
      </c>
      <c r="J3047" s="13" t="b">
        <v>0</v>
      </c>
      <c r="K3047" s="13" t="b">
        <v>1</v>
      </c>
      <c r="L3047" s="10" t="s">
        <v>124</v>
      </c>
      <c r="M3047" s="10" t="s">
        <v>91</v>
      </c>
      <c r="N3047" s="10" t="s">
        <v>3513</v>
      </c>
      <c r="O3047" s="19" t="s">
        <v>22400</v>
      </c>
      <c r="P3047" s="10" t="s">
        <v>575</v>
      </c>
      <c r="Q3047" s="10" t="s">
        <v>126</v>
      </c>
      <c r="R3047" s="10"/>
      <c r="S3047" s="19" t="s">
        <v>22401</v>
      </c>
      <c r="T3047" s="10"/>
      <c r="U3047" s="10" t="s">
        <v>22238</v>
      </c>
      <c r="V3047" s="10" t="s">
        <v>22402</v>
      </c>
      <c r="W3047" s="10" t="s">
        <v>22225</v>
      </c>
      <c r="X3047" s="10" t="s">
        <v>16549</v>
      </c>
      <c r="Y3047" s="10" t="s">
        <v>16549</v>
      </c>
      <c r="Z3047" s="10" t="s">
        <v>99</v>
      </c>
      <c r="AA3047" s="10" t="s">
        <v>131</v>
      </c>
      <c r="AB3047" s="10" t="s">
        <v>22226</v>
      </c>
      <c r="AC3047" s="10" t="s">
        <v>22227</v>
      </c>
      <c r="AD3047" s="10" t="s">
        <v>22403</v>
      </c>
      <c r="AE3047" s="10" t="s">
        <v>22404</v>
      </c>
      <c r="AF3047" s="15"/>
      <c r="AG3047" s="10"/>
      <c r="AH3047" s="10"/>
      <c r="AI3047" s="10"/>
      <c r="AJ3047" s="10" t="s">
        <v>22405</v>
      </c>
      <c r="AK3047" s="10" t="s">
        <v>102</v>
      </c>
      <c r="AL3047" s="10"/>
      <c r="AM3047" s="10"/>
      <c r="AN3047" s="10"/>
      <c r="AO3047" s="13" t="b">
        <v>0</v>
      </c>
      <c r="AP3047" s="22" t="s">
        <v>104</v>
      </c>
      <c r="AQ3047" s="10">
        <f ca="1">IFERROR(__xludf.DUMMYFUNCTION("""COMPUTED_VALUE"""),4833789)</f>
        <v>4833789</v>
      </c>
      <c r="AR3047" s="17"/>
      <c r="AS3047" s="17"/>
      <c r="AT3047" s="17"/>
      <c r="AU3047" s="17"/>
      <c r="AV3047" s="17"/>
      <c r="AW3047" s="10"/>
      <c r="AX3047" s="17"/>
      <c r="AY3047" s="18" t="s">
        <v>257</v>
      </c>
      <c r="AZ3047" s="10" t="s">
        <v>168</v>
      </c>
      <c r="BA3047" s="20" t="b">
        <v>0</v>
      </c>
      <c r="BB3047" s="10"/>
      <c r="BC3047" s="17" t="s">
        <v>257</v>
      </c>
      <c r="BD3047" s="17" t="s">
        <v>257</v>
      </c>
      <c r="BE3047" s="17" t="s">
        <v>257</v>
      </c>
      <c r="BF3047" s="17" t="s">
        <v>257</v>
      </c>
      <c r="BG3047" s="11">
        <f ca="1">IFERROR(__xludf.DUMMYFUNCTION("""COMPUTED_VALUE"""),46033.7916666666)</f>
        <v>46033.791666666599</v>
      </c>
      <c r="BH3047" s="17"/>
      <c r="BI3047" s="17"/>
      <c r="BJ3047" s="15"/>
      <c r="BK3047" s="15"/>
      <c r="BL3047" s="13" t="b">
        <v>0</v>
      </c>
      <c r="BM3047" s="10"/>
      <c r="BN3047" s="10" t="s">
        <v>634</v>
      </c>
      <c r="BO3047" s="11">
        <v>46005.67083333333</v>
      </c>
      <c r="BP3047" s="11">
        <v>46026.392418981479</v>
      </c>
      <c r="BQ3047" s="15">
        <v>46030.678032407406</v>
      </c>
      <c r="BR3047" s="15">
        <v>46030.836782407408</v>
      </c>
      <c r="BS3047" s="10" t="s">
        <v>634</v>
      </c>
      <c r="BT3047" s="10" t="s">
        <v>99</v>
      </c>
      <c r="BU3047" s="10" t="s">
        <v>298</v>
      </c>
      <c r="BV3047" s="10" t="s">
        <v>281</v>
      </c>
      <c r="BW3047" s="10" t="s">
        <v>282</v>
      </c>
      <c r="BX3047" s="10"/>
      <c r="BY3047" s="23"/>
      <c r="BZ3047" s="23"/>
      <c r="CA3047" s="19" t="s">
        <v>22406</v>
      </c>
      <c r="CB3047" s="23"/>
      <c r="CC3047" s="23"/>
      <c r="CD3047" s="19" t="s">
        <v>22407</v>
      </c>
      <c r="CE3047" s="23"/>
      <c r="CF3047" s="23"/>
      <c r="CG3047" s="23"/>
      <c r="CH3047" s="23"/>
      <c r="CI3047" s="23"/>
    </row>
    <row r="3048" spans="1:87" x14ac:dyDescent="0.3">
      <c r="A3048" s="9" t="s">
        <v>22408</v>
      </c>
      <c r="B3048" s="10" t="s">
        <v>22409</v>
      </c>
      <c r="C3048" s="11">
        <v>46011.8125</v>
      </c>
      <c r="D3048" s="12">
        <v>8.3333333333333329E-2</v>
      </c>
      <c r="E3048" s="11">
        <v>46011.895833333336</v>
      </c>
      <c r="F3048" s="22" t="s">
        <v>7613</v>
      </c>
      <c r="G3048" s="13" t="b">
        <v>0</v>
      </c>
      <c r="H3048" s="22" t="s">
        <v>3478</v>
      </c>
      <c r="I3048" s="10" t="s">
        <v>89</v>
      </c>
      <c r="J3048" s="13" t="b">
        <v>0</v>
      </c>
      <c r="K3048" s="13" t="b">
        <v>1</v>
      </c>
      <c r="L3048" s="10" t="s">
        <v>124</v>
      </c>
      <c r="M3048" s="10" t="s">
        <v>91</v>
      </c>
      <c r="N3048" s="10" t="s">
        <v>265</v>
      </c>
      <c r="O3048" s="19" t="s">
        <v>22410</v>
      </c>
      <c r="P3048" s="10"/>
      <c r="Q3048" s="10" t="s">
        <v>94</v>
      </c>
      <c r="R3048" s="10"/>
      <c r="S3048" s="10"/>
      <c r="T3048" s="10"/>
      <c r="U3048" s="10" t="s">
        <v>7632</v>
      </c>
      <c r="V3048" s="10" t="s">
        <v>8791</v>
      </c>
      <c r="W3048" s="10" t="s">
        <v>7620</v>
      </c>
      <c r="X3048" s="10" t="s">
        <v>130</v>
      </c>
      <c r="Y3048" s="10" t="s">
        <v>130</v>
      </c>
      <c r="Z3048" s="10" t="s">
        <v>99</v>
      </c>
      <c r="AA3048" s="10" t="s">
        <v>131</v>
      </c>
      <c r="AB3048" s="10" t="s">
        <v>7621</v>
      </c>
      <c r="AC3048" s="10" t="s">
        <v>274</v>
      </c>
      <c r="AD3048" s="10" t="s">
        <v>22411</v>
      </c>
      <c r="AE3048" s="10" t="s">
        <v>22412</v>
      </c>
      <c r="AF3048" s="15"/>
      <c r="AG3048" s="10"/>
      <c r="AH3048" s="10"/>
      <c r="AI3048" s="10"/>
      <c r="AJ3048" s="10"/>
      <c r="AK3048" s="10" t="s">
        <v>102</v>
      </c>
      <c r="AL3048" s="10" t="s">
        <v>2405</v>
      </c>
      <c r="AM3048" s="10"/>
      <c r="AN3048" s="10"/>
      <c r="AO3048" s="13" t="b">
        <v>0</v>
      </c>
      <c r="AP3048" s="22" t="s">
        <v>104</v>
      </c>
      <c r="AQ3048" s="10">
        <f ca="1">IFERROR(__xludf.DUMMYFUNCTION("""COMPUTED_VALUE"""),4783287)</f>
        <v>4783287</v>
      </c>
      <c r="AR3048" s="17">
        <v>5483</v>
      </c>
      <c r="AS3048" s="17">
        <v>4410</v>
      </c>
      <c r="AT3048" s="17">
        <v>38833.75</v>
      </c>
      <c r="AU3048" s="17">
        <v>18.649999999999999</v>
      </c>
      <c r="AV3048" s="17">
        <v>2.95</v>
      </c>
      <c r="AW3048" s="10" t="s">
        <v>105</v>
      </c>
      <c r="AX3048" s="17">
        <v>854</v>
      </c>
      <c r="AY3048" s="18">
        <v>8.8058390022675734</v>
      </c>
      <c r="AZ3048" s="10" t="s">
        <v>3998</v>
      </c>
      <c r="BA3048" s="20" t="b">
        <v>0</v>
      </c>
      <c r="BB3048" s="10"/>
      <c r="BC3048" s="17">
        <v>5483</v>
      </c>
      <c r="BD3048" s="17">
        <v>4410</v>
      </c>
      <c r="BE3048" s="17">
        <v>38833.75</v>
      </c>
      <c r="BF3048" s="17">
        <v>2.95</v>
      </c>
      <c r="BG3048" s="11">
        <f ca="1">IFERROR(__xludf.DUMMYFUNCTION("""COMPUTED_VALUE"""),46011.8125)</f>
        <v>46011.8125</v>
      </c>
      <c r="BH3048" s="17" t="s">
        <v>105</v>
      </c>
      <c r="BI3048" s="17"/>
      <c r="BJ3048" s="15"/>
      <c r="BK3048" s="15"/>
      <c r="BL3048" s="13" t="b">
        <v>0</v>
      </c>
      <c r="BM3048" s="10"/>
      <c r="BN3048" s="10" t="s">
        <v>157</v>
      </c>
      <c r="BO3048" s="11">
        <v>46005.896527777775</v>
      </c>
      <c r="BP3048" s="11">
        <v>46005.897083333337</v>
      </c>
      <c r="BQ3048" s="15"/>
      <c r="BR3048" s="15">
        <v>46007.58934027778</v>
      </c>
      <c r="BS3048" s="10" t="s">
        <v>157</v>
      </c>
      <c r="BT3048" s="10"/>
      <c r="BU3048" s="10"/>
      <c r="BV3048" s="10"/>
      <c r="BW3048" s="10"/>
      <c r="BX3048" s="10"/>
      <c r="BY3048" s="23"/>
      <c r="BZ3048" s="23"/>
      <c r="CA3048" s="19" t="s">
        <v>22413</v>
      </c>
      <c r="CB3048" s="19" t="s">
        <v>22414</v>
      </c>
      <c r="CC3048" s="23"/>
      <c r="CD3048" s="23"/>
      <c r="CE3048" s="23"/>
      <c r="CF3048" s="23"/>
      <c r="CG3048" s="23"/>
      <c r="CH3048" s="23"/>
      <c r="CI3048" s="23"/>
    </row>
    <row r="3049" spans="1:87" x14ac:dyDescent="0.3">
      <c r="A3049" s="9" t="s">
        <v>22415</v>
      </c>
      <c r="B3049" s="10" t="s">
        <v>22416</v>
      </c>
      <c r="C3049" s="11">
        <v>46008.354166666664</v>
      </c>
      <c r="D3049" s="12">
        <v>3.4722222222222224E-2</v>
      </c>
      <c r="E3049" s="11">
        <v>46008.388888888891</v>
      </c>
      <c r="F3049" s="22" t="s">
        <v>21383</v>
      </c>
      <c r="G3049" s="13" t="b">
        <v>0</v>
      </c>
      <c r="H3049" s="22" t="s">
        <v>21384</v>
      </c>
      <c r="I3049" s="10" t="s">
        <v>9131</v>
      </c>
      <c r="J3049" s="13" t="b">
        <v>0</v>
      </c>
      <c r="K3049" s="13" t="b">
        <v>1</v>
      </c>
      <c r="L3049" s="10" t="s">
        <v>124</v>
      </c>
      <c r="M3049" s="10" t="s">
        <v>91</v>
      </c>
      <c r="N3049" s="10" t="s">
        <v>92</v>
      </c>
      <c r="O3049" s="19" t="s">
        <v>22417</v>
      </c>
      <c r="P3049" s="10"/>
      <c r="Q3049" s="10" t="s">
        <v>126</v>
      </c>
      <c r="R3049" s="10"/>
      <c r="S3049" s="19" t="s">
        <v>21396</v>
      </c>
      <c r="T3049" s="10"/>
      <c r="U3049" s="10"/>
      <c r="V3049" s="10"/>
      <c r="W3049" s="10" t="s">
        <v>21387</v>
      </c>
      <c r="X3049" s="10" t="s">
        <v>216</v>
      </c>
      <c r="Y3049" s="10" t="s">
        <v>216</v>
      </c>
      <c r="Z3049" s="10" t="s">
        <v>99</v>
      </c>
      <c r="AA3049" s="10" t="s">
        <v>131</v>
      </c>
      <c r="AB3049" s="10" t="s">
        <v>21388</v>
      </c>
      <c r="AC3049" s="10" t="s">
        <v>21389</v>
      </c>
      <c r="AD3049" s="10" t="s">
        <v>165</v>
      </c>
      <c r="AE3049" s="10" t="s">
        <v>22418</v>
      </c>
      <c r="AF3049" s="15"/>
      <c r="AG3049" s="10"/>
      <c r="AH3049" s="10"/>
      <c r="AI3049" s="10"/>
      <c r="AJ3049" s="10"/>
      <c r="AK3049" s="10" t="s">
        <v>102</v>
      </c>
      <c r="AL3049" s="10"/>
      <c r="AM3049" s="10"/>
      <c r="AN3049" s="10"/>
      <c r="AO3049" s="13" t="b">
        <v>0</v>
      </c>
      <c r="AP3049" s="22" t="s">
        <v>135</v>
      </c>
      <c r="AQ3049" s="10">
        <f ca="1">IFERROR(__xludf.DUMMYFUNCTION("""COMPUTED_VALUE"""),4782023)</f>
        <v>4782023</v>
      </c>
      <c r="AR3049" s="17">
        <v>3388</v>
      </c>
      <c r="AS3049" s="17">
        <v>2477</v>
      </c>
      <c r="AT3049" s="17">
        <v>17948</v>
      </c>
      <c r="AU3049" s="17">
        <v>16.399999999999999</v>
      </c>
      <c r="AV3049" s="17">
        <v>4.3499999999999996</v>
      </c>
      <c r="AW3049" s="10" t="s">
        <v>105</v>
      </c>
      <c r="AX3049" s="17">
        <v>732</v>
      </c>
      <c r="AY3049" s="18">
        <v>7.2458619297537341</v>
      </c>
      <c r="AZ3049" s="10"/>
      <c r="BA3049" s="20" t="b">
        <v>0</v>
      </c>
      <c r="BB3049" s="10" t="s">
        <v>21393</v>
      </c>
      <c r="BC3049" s="17">
        <v>3388</v>
      </c>
      <c r="BD3049" s="17">
        <v>2477</v>
      </c>
      <c r="BE3049" s="17">
        <v>17948</v>
      </c>
      <c r="BF3049" s="17">
        <v>4.3499999999999996</v>
      </c>
      <c r="BG3049" s="11">
        <f ca="1">IFERROR(__xludf.DUMMYFUNCTION("""COMPUTED_VALUE"""),46008.3541666666)</f>
        <v>46008.354166666599</v>
      </c>
      <c r="BH3049" s="17" t="s">
        <v>105</v>
      </c>
      <c r="BI3049" s="17"/>
      <c r="BJ3049" s="15"/>
      <c r="BK3049" s="15"/>
      <c r="BL3049" s="13" t="b">
        <v>0</v>
      </c>
      <c r="BM3049" s="10"/>
      <c r="BN3049" s="10" t="s">
        <v>157</v>
      </c>
      <c r="BO3049" s="11">
        <v>46006.458333333336</v>
      </c>
      <c r="BP3049" s="11">
        <v>46006.563240740739</v>
      </c>
      <c r="BQ3049" s="15"/>
      <c r="BR3049" s="15">
        <v>46006.597291666665</v>
      </c>
      <c r="BS3049" s="10" t="s">
        <v>157</v>
      </c>
      <c r="BT3049" s="10"/>
      <c r="BU3049" s="10"/>
      <c r="BV3049" s="10"/>
      <c r="BW3049" s="10"/>
      <c r="BX3049" s="10"/>
      <c r="BY3049" s="23"/>
      <c r="BZ3049" s="23"/>
      <c r="CA3049" s="19" t="s">
        <v>21398</v>
      </c>
      <c r="CB3049" s="23"/>
      <c r="CC3049" s="23"/>
      <c r="CD3049" s="19" t="s">
        <v>21399</v>
      </c>
      <c r="CE3049" s="23"/>
      <c r="CF3049" s="23"/>
      <c r="CG3049" s="23"/>
      <c r="CH3049" s="23"/>
      <c r="CI3049" s="23"/>
    </row>
    <row r="3050" spans="1:87" x14ac:dyDescent="0.3">
      <c r="A3050" s="9" t="s">
        <v>22419</v>
      </c>
      <c r="B3050" s="10" t="s">
        <v>22420</v>
      </c>
      <c r="C3050" s="11">
        <v>46008.388888888891</v>
      </c>
      <c r="D3050" s="12">
        <v>3.4722222222222224E-2</v>
      </c>
      <c r="E3050" s="11">
        <v>46008.423611111109</v>
      </c>
      <c r="F3050" s="22" t="s">
        <v>21383</v>
      </c>
      <c r="G3050" s="13" t="b">
        <v>0</v>
      </c>
      <c r="H3050" s="22" t="s">
        <v>21384</v>
      </c>
      <c r="I3050" s="10" t="s">
        <v>9131</v>
      </c>
      <c r="J3050" s="13" t="b">
        <v>0</v>
      </c>
      <c r="K3050" s="13" t="b">
        <v>1</v>
      </c>
      <c r="L3050" s="10" t="s">
        <v>124</v>
      </c>
      <c r="M3050" s="10" t="s">
        <v>91</v>
      </c>
      <c r="N3050" s="10" t="s">
        <v>92</v>
      </c>
      <c r="O3050" s="19" t="s">
        <v>22421</v>
      </c>
      <c r="P3050" s="10"/>
      <c r="Q3050" s="10" t="s">
        <v>126</v>
      </c>
      <c r="R3050" s="10"/>
      <c r="S3050" s="19" t="s">
        <v>21396</v>
      </c>
      <c r="T3050" s="10"/>
      <c r="U3050" s="10"/>
      <c r="V3050" s="10"/>
      <c r="W3050" s="10" t="s">
        <v>21387</v>
      </c>
      <c r="X3050" s="10" t="s">
        <v>216</v>
      </c>
      <c r="Y3050" s="10" t="s">
        <v>216</v>
      </c>
      <c r="Z3050" s="10" t="s">
        <v>99</v>
      </c>
      <c r="AA3050" s="10" t="s">
        <v>131</v>
      </c>
      <c r="AB3050" s="10" t="s">
        <v>21388</v>
      </c>
      <c r="AC3050" s="10" t="s">
        <v>21389</v>
      </c>
      <c r="AD3050" s="10" t="s">
        <v>165</v>
      </c>
      <c r="AE3050" s="10" t="s">
        <v>22422</v>
      </c>
      <c r="AF3050" s="15"/>
      <c r="AG3050" s="10"/>
      <c r="AH3050" s="10"/>
      <c r="AI3050" s="10"/>
      <c r="AJ3050" s="10"/>
      <c r="AK3050" s="10" t="s">
        <v>102</v>
      </c>
      <c r="AL3050" s="10"/>
      <c r="AM3050" s="10"/>
      <c r="AN3050" s="10"/>
      <c r="AO3050" s="13" t="b">
        <v>0</v>
      </c>
      <c r="AP3050" s="22" t="s">
        <v>135</v>
      </c>
      <c r="AQ3050" s="10">
        <f ca="1">IFERROR(__xludf.DUMMYFUNCTION("""COMPUTED_VALUE"""),4782024)</f>
        <v>4782024</v>
      </c>
      <c r="AR3050" s="17">
        <v>4907</v>
      </c>
      <c r="AS3050" s="17">
        <v>3420</v>
      </c>
      <c r="AT3050" s="17">
        <v>22713.75</v>
      </c>
      <c r="AU3050" s="17">
        <v>12.45</v>
      </c>
      <c r="AV3050" s="17">
        <v>3.35</v>
      </c>
      <c r="AW3050" s="10" t="s">
        <v>105</v>
      </c>
      <c r="AX3050" s="17">
        <v>1535</v>
      </c>
      <c r="AY3050" s="18">
        <v>6.6414473684210522</v>
      </c>
      <c r="AZ3050" s="10"/>
      <c r="BA3050" s="20" t="b">
        <v>0</v>
      </c>
      <c r="BB3050" s="10" t="s">
        <v>21393</v>
      </c>
      <c r="BC3050" s="17">
        <v>4907</v>
      </c>
      <c r="BD3050" s="17">
        <v>3420</v>
      </c>
      <c r="BE3050" s="17">
        <v>22713.75</v>
      </c>
      <c r="BF3050" s="17">
        <v>3.35</v>
      </c>
      <c r="BG3050" s="11">
        <f ca="1">IFERROR(__xludf.DUMMYFUNCTION("""COMPUTED_VALUE"""),46008.3888888888)</f>
        <v>46008.388888888803</v>
      </c>
      <c r="BH3050" s="17" t="s">
        <v>105</v>
      </c>
      <c r="BI3050" s="17"/>
      <c r="BJ3050" s="15"/>
      <c r="BK3050" s="15"/>
      <c r="BL3050" s="13" t="b">
        <v>0</v>
      </c>
      <c r="BM3050" s="10"/>
      <c r="BN3050" s="10" t="s">
        <v>157</v>
      </c>
      <c r="BO3050" s="11">
        <v>46006.459027777775</v>
      </c>
      <c r="BP3050" s="11">
        <v>46006.563437500001</v>
      </c>
      <c r="BQ3050" s="15"/>
      <c r="BR3050" s="15">
        <v>46006.597777777781</v>
      </c>
      <c r="BS3050" s="10" t="s">
        <v>157</v>
      </c>
      <c r="BT3050" s="10"/>
      <c r="BU3050" s="10"/>
      <c r="BV3050" s="10"/>
      <c r="BW3050" s="10"/>
      <c r="BX3050" s="10"/>
      <c r="BY3050" s="23"/>
      <c r="BZ3050" s="23"/>
      <c r="CA3050" s="19" t="s">
        <v>21398</v>
      </c>
      <c r="CB3050" s="23"/>
      <c r="CC3050" s="23"/>
      <c r="CD3050" s="19" t="s">
        <v>21399</v>
      </c>
      <c r="CE3050" s="23"/>
      <c r="CF3050" s="23"/>
      <c r="CG3050" s="23"/>
      <c r="CH3050" s="23"/>
      <c r="CI3050" s="23"/>
    </row>
    <row r="3051" spans="1:87" x14ac:dyDescent="0.3">
      <c r="A3051" s="9" t="s">
        <v>22423</v>
      </c>
      <c r="B3051" s="10" t="s">
        <v>22424</v>
      </c>
      <c r="C3051" s="11">
        <v>46008.423611111109</v>
      </c>
      <c r="D3051" s="12">
        <v>3.4722222222222224E-2</v>
      </c>
      <c r="E3051" s="11">
        <v>46008.458333333336</v>
      </c>
      <c r="F3051" s="22" t="s">
        <v>21383</v>
      </c>
      <c r="G3051" s="13" t="b">
        <v>0</v>
      </c>
      <c r="H3051" s="22" t="s">
        <v>21384</v>
      </c>
      <c r="I3051" s="10" t="s">
        <v>9131</v>
      </c>
      <c r="J3051" s="13" t="b">
        <v>0</v>
      </c>
      <c r="K3051" s="13" t="b">
        <v>1</v>
      </c>
      <c r="L3051" s="10" t="s">
        <v>124</v>
      </c>
      <c r="M3051" s="10" t="s">
        <v>91</v>
      </c>
      <c r="N3051" s="10" t="s">
        <v>92</v>
      </c>
      <c r="O3051" s="19" t="s">
        <v>22425</v>
      </c>
      <c r="P3051" s="10"/>
      <c r="Q3051" s="10" t="s">
        <v>126</v>
      </c>
      <c r="R3051" s="10"/>
      <c r="S3051" s="19" t="s">
        <v>21396</v>
      </c>
      <c r="T3051" s="10"/>
      <c r="U3051" s="10"/>
      <c r="V3051" s="10"/>
      <c r="W3051" s="10" t="s">
        <v>21387</v>
      </c>
      <c r="X3051" s="10" t="s">
        <v>216</v>
      </c>
      <c r="Y3051" s="10" t="s">
        <v>216</v>
      </c>
      <c r="Z3051" s="10" t="s">
        <v>99</v>
      </c>
      <c r="AA3051" s="10" t="s">
        <v>131</v>
      </c>
      <c r="AB3051" s="10" t="s">
        <v>21388</v>
      </c>
      <c r="AC3051" s="10" t="s">
        <v>21389</v>
      </c>
      <c r="AD3051" s="10" t="s">
        <v>165</v>
      </c>
      <c r="AE3051" s="10" t="s">
        <v>22426</v>
      </c>
      <c r="AF3051" s="15"/>
      <c r="AG3051" s="10"/>
      <c r="AH3051" s="10"/>
      <c r="AI3051" s="10"/>
      <c r="AJ3051" s="10"/>
      <c r="AK3051" s="10" t="s">
        <v>102</v>
      </c>
      <c r="AL3051" s="10"/>
      <c r="AM3051" s="10"/>
      <c r="AN3051" s="10"/>
      <c r="AO3051" s="13" t="b">
        <v>0</v>
      </c>
      <c r="AP3051" s="22" t="s">
        <v>221</v>
      </c>
      <c r="AQ3051" s="10">
        <f ca="1">IFERROR(__xludf.DUMMYFUNCTION("""COMPUTED_VALUE"""),4782025)</f>
        <v>4782025</v>
      </c>
      <c r="AR3051" s="17">
        <v>8965</v>
      </c>
      <c r="AS3051" s="17">
        <v>6053</v>
      </c>
      <c r="AT3051" s="17">
        <v>97234.25</v>
      </c>
      <c r="AU3051" s="17">
        <v>38.65</v>
      </c>
      <c r="AV3051" s="17">
        <v>11.8</v>
      </c>
      <c r="AW3051" s="10" t="s">
        <v>105</v>
      </c>
      <c r="AX3051" s="17">
        <v>2407</v>
      </c>
      <c r="AY3051" s="18">
        <v>16.063811333223196</v>
      </c>
      <c r="AZ3051" s="10"/>
      <c r="BA3051" s="20" t="b">
        <v>0</v>
      </c>
      <c r="BB3051" s="10" t="s">
        <v>21393</v>
      </c>
      <c r="BC3051" s="17">
        <v>8965</v>
      </c>
      <c r="BD3051" s="17">
        <v>6053</v>
      </c>
      <c r="BE3051" s="17">
        <v>97234.25</v>
      </c>
      <c r="BF3051" s="17">
        <v>11.8</v>
      </c>
      <c r="BG3051" s="11">
        <f ca="1">IFERROR(__xludf.DUMMYFUNCTION("""COMPUTED_VALUE"""),46008.4236111111)</f>
        <v>46008.423611111102</v>
      </c>
      <c r="BH3051" s="17" t="s">
        <v>105</v>
      </c>
      <c r="BI3051" s="17"/>
      <c r="BJ3051" s="15"/>
      <c r="BK3051" s="15"/>
      <c r="BL3051" s="13" t="b">
        <v>0</v>
      </c>
      <c r="BM3051" s="10"/>
      <c r="BN3051" s="10" t="s">
        <v>157</v>
      </c>
      <c r="BO3051" s="11">
        <v>46006.459027777775</v>
      </c>
      <c r="BP3051" s="11">
        <v>46006.563587962963</v>
      </c>
      <c r="BQ3051" s="15"/>
      <c r="BR3051" s="15">
        <v>46006.598032407404</v>
      </c>
      <c r="BS3051" s="10" t="s">
        <v>157</v>
      </c>
      <c r="BT3051" s="10"/>
      <c r="BU3051" s="10"/>
      <c r="BV3051" s="10"/>
      <c r="BW3051" s="10"/>
      <c r="BX3051" s="10"/>
      <c r="BY3051" s="23"/>
      <c r="BZ3051" s="23"/>
      <c r="CA3051" s="19" t="s">
        <v>21398</v>
      </c>
      <c r="CB3051" s="23"/>
      <c r="CC3051" s="23"/>
      <c r="CD3051" s="19" t="s">
        <v>21399</v>
      </c>
      <c r="CE3051" s="23"/>
      <c r="CF3051" s="23"/>
      <c r="CG3051" s="23"/>
      <c r="CH3051" s="23"/>
      <c r="CI3051" s="23"/>
    </row>
    <row r="3052" spans="1:87" x14ac:dyDescent="0.3">
      <c r="A3052" s="9" t="s">
        <v>22427</v>
      </c>
      <c r="B3052" s="10" t="s">
        <v>22428</v>
      </c>
      <c r="C3052" s="11">
        <v>46008.458333333336</v>
      </c>
      <c r="D3052" s="12">
        <v>3.4722222222222224E-2</v>
      </c>
      <c r="E3052" s="11">
        <v>46008.493055555555</v>
      </c>
      <c r="F3052" s="22" t="s">
        <v>21383</v>
      </c>
      <c r="G3052" s="13" t="b">
        <v>0</v>
      </c>
      <c r="H3052" s="22" t="s">
        <v>21384</v>
      </c>
      <c r="I3052" s="10" t="s">
        <v>9131</v>
      </c>
      <c r="J3052" s="13" t="b">
        <v>0</v>
      </c>
      <c r="K3052" s="13" t="b">
        <v>1</v>
      </c>
      <c r="L3052" s="10" t="s">
        <v>124</v>
      </c>
      <c r="M3052" s="10" t="s">
        <v>91</v>
      </c>
      <c r="N3052" s="10" t="s">
        <v>92</v>
      </c>
      <c r="O3052" s="19" t="s">
        <v>22429</v>
      </c>
      <c r="P3052" s="10"/>
      <c r="Q3052" s="10" t="s">
        <v>126</v>
      </c>
      <c r="R3052" s="10"/>
      <c r="S3052" s="19" t="s">
        <v>21396</v>
      </c>
      <c r="T3052" s="10"/>
      <c r="U3052" s="10"/>
      <c r="V3052" s="10"/>
      <c r="W3052" s="10" t="s">
        <v>21387</v>
      </c>
      <c r="X3052" s="10" t="s">
        <v>216</v>
      </c>
      <c r="Y3052" s="10" t="s">
        <v>216</v>
      </c>
      <c r="Z3052" s="10" t="s">
        <v>99</v>
      </c>
      <c r="AA3052" s="10" t="s">
        <v>131</v>
      </c>
      <c r="AB3052" s="10" t="s">
        <v>21388</v>
      </c>
      <c r="AC3052" s="10" t="s">
        <v>21389</v>
      </c>
      <c r="AD3052" s="10" t="s">
        <v>165</v>
      </c>
      <c r="AE3052" s="10" t="s">
        <v>22430</v>
      </c>
      <c r="AF3052" s="15"/>
      <c r="AG3052" s="10"/>
      <c r="AH3052" s="10"/>
      <c r="AI3052" s="10"/>
      <c r="AJ3052" s="10"/>
      <c r="AK3052" s="10" t="s">
        <v>102</v>
      </c>
      <c r="AL3052" s="10"/>
      <c r="AM3052" s="10"/>
      <c r="AN3052" s="10"/>
      <c r="AO3052" s="13" t="b">
        <v>0</v>
      </c>
      <c r="AP3052" s="22" t="s">
        <v>104</v>
      </c>
      <c r="AQ3052" s="10">
        <f ca="1">IFERROR(__xludf.DUMMYFUNCTION("""COMPUTED_VALUE"""),4782026)</f>
        <v>4782026</v>
      </c>
      <c r="AR3052" s="17">
        <v>17498</v>
      </c>
      <c r="AS3052" s="17">
        <v>11889</v>
      </c>
      <c r="AT3052" s="17">
        <v>265972.5</v>
      </c>
      <c r="AU3052" s="17">
        <v>179.15</v>
      </c>
      <c r="AV3052" s="17">
        <v>30.9</v>
      </c>
      <c r="AW3052" s="10" t="s">
        <v>105</v>
      </c>
      <c r="AX3052" s="17">
        <v>7206</v>
      </c>
      <c r="AY3052" s="18">
        <v>22.37130961392884</v>
      </c>
      <c r="AZ3052" s="10"/>
      <c r="BA3052" s="20" t="b">
        <v>0</v>
      </c>
      <c r="BB3052" s="10" t="s">
        <v>21393</v>
      </c>
      <c r="BC3052" s="17">
        <v>17498</v>
      </c>
      <c r="BD3052" s="17">
        <v>11889</v>
      </c>
      <c r="BE3052" s="17">
        <v>265972.5</v>
      </c>
      <c r="BF3052" s="17">
        <v>30.9</v>
      </c>
      <c r="BG3052" s="11">
        <f ca="1">IFERROR(__xludf.DUMMYFUNCTION("""COMPUTED_VALUE"""),46008.4583333333)</f>
        <v>46008.458333333299</v>
      </c>
      <c r="BH3052" s="17" t="s">
        <v>105</v>
      </c>
      <c r="BI3052" s="17"/>
      <c r="BJ3052" s="15"/>
      <c r="BK3052" s="15"/>
      <c r="BL3052" s="13" t="b">
        <v>0</v>
      </c>
      <c r="BM3052" s="10"/>
      <c r="BN3052" s="10" t="s">
        <v>157</v>
      </c>
      <c r="BO3052" s="11">
        <v>46006.459722222222</v>
      </c>
      <c r="BP3052" s="11">
        <v>46006.563761574071</v>
      </c>
      <c r="BQ3052" s="15"/>
      <c r="BR3052" s="15">
        <v>46006.59884259259</v>
      </c>
      <c r="BS3052" s="10" t="s">
        <v>157</v>
      </c>
      <c r="BT3052" s="10" t="s">
        <v>99</v>
      </c>
      <c r="BU3052" s="10"/>
      <c r="BV3052" s="10"/>
      <c r="BW3052" s="10"/>
      <c r="BX3052" s="10"/>
      <c r="BY3052" s="23"/>
      <c r="BZ3052" s="23"/>
      <c r="CA3052" s="19" t="s">
        <v>21398</v>
      </c>
      <c r="CB3052" s="23"/>
      <c r="CC3052" s="23"/>
      <c r="CD3052" s="19" t="s">
        <v>21399</v>
      </c>
      <c r="CE3052" s="23"/>
      <c r="CF3052" s="23"/>
      <c r="CG3052" s="23"/>
      <c r="CH3052" s="23"/>
      <c r="CI3052" s="23"/>
    </row>
    <row r="3053" spans="1:87" x14ac:dyDescent="0.3">
      <c r="A3053" s="9" t="s">
        <v>22431</v>
      </c>
      <c r="B3053" s="10" t="s">
        <v>22432</v>
      </c>
      <c r="C3053" s="11">
        <v>46008.493055555555</v>
      </c>
      <c r="D3053" s="12">
        <v>3.4722222222222224E-2</v>
      </c>
      <c r="E3053" s="11">
        <v>46008.527777777781</v>
      </c>
      <c r="F3053" s="22" t="s">
        <v>21383</v>
      </c>
      <c r="G3053" s="13" t="b">
        <v>0</v>
      </c>
      <c r="H3053" s="22" t="s">
        <v>21384</v>
      </c>
      <c r="I3053" s="10" t="s">
        <v>9131</v>
      </c>
      <c r="J3053" s="13" t="b">
        <v>0</v>
      </c>
      <c r="K3053" s="13" t="b">
        <v>1</v>
      </c>
      <c r="L3053" s="10" t="s">
        <v>124</v>
      </c>
      <c r="M3053" s="10" t="s">
        <v>91</v>
      </c>
      <c r="N3053" s="10" t="s">
        <v>92</v>
      </c>
      <c r="O3053" s="19" t="s">
        <v>22433</v>
      </c>
      <c r="P3053" s="10"/>
      <c r="Q3053" s="10" t="s">
        <v>126</v>
      </c>
      <c r="R3053" s="10"/>
      <c r="S3053" s="19" t="s">
        <v>21396</v>
      </c>
      <c r="T3053" s="10"/>
      <c r="U3053" s="10"/>
      <c r="V3053" s="10"/>
      <c r="W3053" s="10" t="s">
        <v>21387</v>
      </c>
      <c r="X3053" s="10" t="s">
        <v>216</v>
      </c>
      <c r="Y3053" s="10" t="s">
        <v>216</v>
      </c>
      <c r="Z3053" s="10" t="s">
        <v>99</v>
      </c>
      <c r="AA3053" s="10" t="s">
        <v>131</v>
      </c>
      <c r="AB3053" s="10" t="s">
        <v>21388</v>
      </c>
      <c r="AC3053" s="10" t="s">
        <v>21389</v>
      </c>
      <c r="AD3053" s="10" t="s">
        <v>165</v>
      </c>
      <c r="AE3053" s="10" t="s">
        <v>22434</v>
      </c>
      <c r="AF3053" s="15"/>
      <c r="AG3053" s="10"/>
      <c r="AH3053" s="10"/>
      <c r="AI3053" s="10"/>
      <c r="AJ3053" s="10"/>
      <c r="AK3053" s="10" t="s">
        <v>102</v>
      </c>
      <c r="AL3053" s="10"/>
      <c r="AM3053" s="10"/>
      <c r="AN3053" s="10"/>
      <c r="AO3053" s="13" t="b">
        <v>0</v>
      </c>
      <c r="AP3053" s="22" t="s">
        <v>221</v>
      </c>
      <c r="AQ3053" s="10">
        <f ca="1">IFERROR(__xludf.DUMMYFUNCTION("""COMPUTED_VALUE"""),4782027)</f>
        <v>4782027</v>
      </c>
      <c r="AR3053" s="17">
        <v>10826</v>
      </c>
      <c r="AS3053" s="17">
        <v>6832</v>
      </c>
      <c r="AT3053" s="17">
        <v>92608.25</v>
      </c>
      <c r="AU3053" s="17">
        <v>48.2</v>
      </c>
      <c r="AV3053" s="17">
        <v>8.5</v>
      </c>
      <c r="AW3053" s="10" t="s">
        <v>105</v>
      </c>
      <c r="AX3053" s="17">
        <v>7206</v>
      </c>
      <c r="AY3053" s="18">
        <v>13.555071721311476</v>
      </c>
      <c r="AZ3053" s="10"/>
      <c r="BA3053" s="20" t="b">
        <v>0</v>
      </c>
      <c r="BB3053" s="10" t="s">
        <v>21393</v>
      </c>
      <c r="BC3053" s="17">
        <v>10826</v>
      </c>
      <c r="BD3053" s="17">
        <v>6832</v>
      </c>
      <c r="BE3053" s="17">
        <v>92608.25</v>
      </c>
      <c r="BF3053" s="17">
        <v>8.5</v>
      </c>
      <c r="BG3053" s="11">
        <f ca="1">IFERROR(__xludf.DUMMYFUNCTION("""COMPUTED_VALUE"""),46008.4930555555)</f>
        <v>46008.493055555497</v>
      </c>
      <c r="BH3053" s="17" t="s">
        <v>105</v>
      </c>
      <c r="BI3053" s="17"/>
      <c r="BJ3053" s="15"/>
      <c r="BK3053" s="15"/>
      <c r="BL3053" s="13" t="b">
        <v>0</v>
      </c>
      <c r="BM3053" s="10"/>
      <c r="BN3053" s="10" t="s">
        <v>157</v>
      </c>
      <c r="BO3053" s="11">
        <v>46006.459722222222</v>
      </c>
      <c r="BP3053" s="11">
        <v>46006.563888888886</v>
      </c>
      <c r="BQ3053" s="15"/>
      <c r="BR3053" s="15">
        <v>46006.599224537036</v>
      </c>
      <c r="BS3053" s="10" t="s">
        <v>157</v>
      </c>
      <c r="BT3053" s="10"/>
      <c r="BU3053" s="10"/>
      <c r="BV3053" s="10"/>
      <c r="BW3053" s="10"/>
      <c r="BX3053" s="10"/>
      <c r="BY3053" s="23"/>
      <c r="BZ3053" s="23"/>
      <c r="CA3053" s="19" t="s">
        <v>21398</v>
      </c>
      <c r="CB3053" s="23"/>
      <c r="CC3053" s="23"/>
      <c r="CD3053" s="19" t="s">
        <v>21399</v>
      </c>
      <c r="CE3053" s="23"/>
      <c r="CF3053" s="23"/>
      <c r="CG3053" s="23"/>
      <c r="CH3053" s="23"/>
      <c r="CI3053" s="23"/>
    </row>
    <row r="3054" spans="1:87" x14ac:dyDescent="0.3">
      <c r="A3054" s="9" t="s">
        <v>22435</v>
      </c>
      <c r="B3054" s="10" t="s">
        <v>22436</v>
      </c>
      <c r="C3054" s="11">
        <v>46008.666666666664</v>
      </c>
      <c r="D3054" s="12">
        <v>3.4722222222222224E-2</v>
      </c>
      <c r="E3054" s="11">
        <v>46008.701388888891</v>
      </c>
      <c r="F3054" s="22" t="s">
        <v>21383</v>
      </c>
      <c r="G3054" s="13" t="b">
        <v>0</v>
      </c>
      <c r="H3054" s="22" t="s">
        <v>21384</v>
      </c>
      <c r="I3054" s="10" t="s">
        <v>9131</v>
      </c>
      <c r="J3054" s="13" t="b">
        <v>0</v>
      </c>
      <c r="K3054" s="13" t="b">
        <v>1</v>
      </c>
      <c r="L3054" s="10" t="s">
        <v>124</v>
      </c>
      <c r="M3054" s="10" t="s">
        <v>91</v>
      </c>
      <c r="N3054" s="10" t="s">
        <v>92</v>
      </c>
      <c r="O3054" s="19" t="s">
        <v>22437</v>
      </c>
      <c r="P3054" s="10"/>
      <c r="Q3054" s="10" t="s">
        <v>126</v>
      </c>
      <c r="R3054" s="10"/>
      <c r="S3054" s="19" t="s">
        <v>21405</v>
      </c>
      <c r="T3054" s="10"/>
      <c r="U3054" s="10"/>
      <c r="V3054" s="10"/>
      <c r="W3054" s="10" t="s">
        <v>21387</v>
      </c>
      <c r="X3054" s="10" t="s">
        <v>216</v>
      </c>
      <c r="Y3054" s="10" t="s">
        <v>216</v>
      </c>
      <c r="Z3054" s="10" t="s">
        <v>99</v>
      </c>
      <c r="AA3054" s="10" t="s">
        <v>131</v>
      </c>
      <c r="AB3054" s="10" t="s">
        <v>21388</v>
      </c>
      <c r="AC3054" s="10" t="s">
        <v>21389</v>
      </c>
      <c r="AD3054" s="10" t="s">
        <v>165</v>
      </c>
      <c r="AE3054" s="10" t="s">
        <v>22438</v>
      </c>
      <c r="AF3054" s="15"/>
      <c r="AG3054" s="10"/>
      <c r="AH3054" s="10"/>
      <c r="AI3054" s="10"/>
      <c r="AJ3054" s="10"/>
      <c r="AK3054" s="10" t="s">
        <v>102</v>
      </c>
      <c r="AL3054" s="10"/>
      <c r="AM3054" s="10"/>
      <c r="AN3054" s="10"/>
      <c r="AO3054" s="13" t="b">
        <v>0</v>
      </c>
      <c r="AP3054" s="22" t="s">
        <v>135</v>
      </c>
      <c r="AQ3054" s="10">
        <f ca="1">IFERROR(__xludf.DUMMYFUNCTION("""COMPUTED_VALUE"""),4782104)</f>
        <v>4782104</v>
      </c>
      <c r="AR3054" s="17">
        <v>10172</v>
      </c>
      <c r="AS3054" s="17">
        <v>6666</v>
      </c>
      <c r="AT3054" s="17">
        <v>96396.25</v>
      </c>
      <c r="AU3054" s="17">
        <v>48.65</v>
      </c>
      <c r="AV3054" s="17">
        <v>8.9</v>
      </c>
      <c r="AW3054" s="10" t="s">
        <v>105</v>
      </c>
      <c r="AX3054" s="17">
        <v>1662</v>
      </c>
      <c r="AY3054" s="18">
        <v>14.460883588358836</v>
      </c>
      <c r="AZ3054" s="10"/>
      <c r="BA3054" s="20" t="b">
        <v>0</v>
      </c>
      <c r="BB3054" s="10" t="s">
        <v>21404</v>
      </c>
      <c r="BC3054" s="17">
        <v>10172</v>
      </c>
      <c r="BD3054" s="17">
        <v>6666</v>
      </c>
      <c r="BE3054" s="17">
        <v>96396.25</v>
      </c>
      <c r="BF3054" s="17">
        <v>8.9</v>
      </c>
      <c r="BG3054" s="11">
        <f ca="1">IFERROR(__xludf.DUMMYFUNCTION("""COMPUTED_VALUE"""),46008.6666666666)</f>
        <v>46008.666666666599</v>
      </c>
      <c r="BH3054" s="17" t="s">
        <v>105</v>
      </c>
      <c r="BI3054" s="17"/>
      <c r="BJ3054" s="15"/>
      <c r="BK3054" s="15"/>
      <c r="BL3054" s="13" t="b">
        <v>0</v>
      </c>
      <c r="BM3054" s="10"/>
      <c r="BN3054" s="10" t="s">
        <v>157</v>
      </c>
      <c r="BO3054" s="11">
        <v>46006.460416666669</v>
      </c>
      <c r="BP3054" s="11">
        <v>46006.564166666663</v>
      </c>
      <c r="BQ3054" s="15"/>
      <c r="BR3054" s="15">
        <v>46006.600081018521</v>
      </c>
      <c r="BS3054" s="10" t="s">
        <v>157</v>
      </c>
      <c r="BT3054" s="10"/>
      <c r="BU3054" s="10"/>
      <c r="BV3054" s="10"/>
      <c r="BW3054" s="10"/>
      <c r="BX3054" s="10"/>
      <c r="BY3054" s="23"/>
      <c r="BZ3054" s="23"/>
      <c r="CA3054" s="19" t="s">
        <v>21406</v>
      </c>
      <c r="CB3054" s="23"/>
      <c r="CC3054" s="23"/>
      <c r="CD3054" s="19" t="s">
        <v>21407</v>
      </c>
      <c r="CE3054" s="23"/>
      <c r="CF3054" s="23"/>
      <c r="CG3054" s="23"/>
      <c r="CH3054" s="23"/>
      <c r="CI3054" s="23"/>
    </row>
    <row r="3055" spans="1:87" x14ac:dyDescent="0.3">
      <c r="A3055" s="9" t="s">
        <v>22439</v>
      </c>
      <c r="B3055" s="10" t="s">
        <v>22440</v>
      </c>
      <c r="C3055" s="11">
        <v>46008.701388888891</v>
      </c>
      <c r="D3055" s="12">
        <v>3.4722222222222224E-2</v>
      </c>
      <c r="E3055" s="11">
        <v>46008.736111111109</v>
      </c>
      <c r="F3055" s="22" t="s">
        <v>21383</v>
      </c>
      <c r="G3055" s="13" t="b">
        <v>0</v>
      </c>
      <c r="H3055" s="22" t="s">
        <v>21384</v>
      </c>
      <c r="I3055" s="10" t="s">
        <v>9131</v>
      </c>
      <c r="J3055" s="13" t="b">
        <v>0</v>
      </c>
      <c r="K3055" s="13" t="b">
        <v>1</v>
      </c>
      <c r="L3055" s="10" t="s">
        <v>124</v>
      </c>
      <c r="M3055" s="10" t="s">
        <v>91</v>
      </c>
      <c r="N3055" s="10" t="s">
        <v>92</v>
      </c>
      <c r="O3055" s="19" t="s">
        <v>22441</v>
      </c>
      <c r="P3055" s="10"/>
      <c r="Q3055" s="10" t="s">
        <v>126</v>
      </c>
      <c r="R3055" s="10"/>
      <c r="S3055" s="19" t="s">
        <v>21405</v>
      </c>
      <c r="T3055" s="10"/>
      <c r="U3055" s="10"/>
      <c r="V3055" s="10"/>
      <c r="W3055" s="10" t="s">
        <v>21387</v>
      </c>
      <c r="X3055" s="10" t="s">
        <v>216</v>
      </c>
      <c r="Y3055" s="10" t="s">
        <v>216</v>
      </c>
      <c r="Z3055" s="10" t="s">
        <v>99</v>
      </c>
      <c r="AA3055" s="10" t="s">
        <v>131</v>
      </c>
      <c r="AB3055" s="10" t="s">
        <v>21388</v>
      </c>
      <c r="AC3055" s="10" t="s">
        <v>21389</v>
      </c>
      <c r="AD3055" s="10" t="s">
        <v>165</v>
      </c>
      <c r="AE3055" s="10" t="s">
        <v>22442</v>
      </c>
      <c r="AF3055" s="15"/>
      <c r="AG3055" s="10"/>
      <c r="AH3055" s="10"/>
      <c r="AI3055" s="10"/>
      <c r="AJ3055" s="10"/>
      <c r="AK3055" s="10" t="s">
        <v>102</v>
      </c>
      <c r="AL3055" s="10"/>
      <c r="AM3055" s="10"/>
      <c r="AN3055" s="10"/>
      <c r="AO3055" s="13" t="b">
        <v>0</v>
      </c>
      <c r="AP3055" s="22" t="s">
        <v>104</v>
      </c>
      <c r="AQ3055" s="10">
        <f ca="1">IFERROR(__xludf.DUMMYFUNCTION("""COMPUTED_VALUE"""),4782105)</f>
        <v>4782105</v>
      </c>
      <c r="AR3055" s="17">
        <v>24332</v>
      </c>
      <c r="AS3055" s="17">
        <v>13805</v>
      </c>
      <c r="AT3055" s="17">
        <v>480817.75</v>
      </c>
      <c r="AU3055" s="17">
        <v>220.3</v>
      </c>
      <c r="AV3055" s="17">
        <v>41.9</v>
      </c>
      <c r="AW3055" s="10" t="s">
        <v>105</v>
      </c>
      <c r="AX3055" s="17">
        <v>6205</v>
      </c>
      <c r="AY3055" s="18">
        <v>34.829246649764578</v>
      </c>
      <c r="AZ3055" s="10"/>
      <c r="BA3055" s="20" t="b">
        <v>0</v>
      </c>
      <c r="BB3055" s="10" t="s">
        <v>21404</v>
      </c>
      <c r="BC3055" s="17">
        <v>24332</v>
      </c>
      <c r="BD3055" s="17">
        <v>13805</v>
      </c>
      <c r="BE3055" s="17">
        <v>480817.75</v>
      </c>
      <c r="BF3055" s="17">
        <v>41.9</v>
      </c>
      <c r="BG3055" s="11">
        <f ca="1">IFERROR(__xludf.DUMMYFUNCTION("""COMPUTED_VALUE"""),46008.7013888888)</f>
        <v>46008.701388888803</v>
      </c>
      <c r="BH3055" s="17" t="s">
        <v>105</v>
      </c>
      <c r="BI3055" s="17"/>
      <c r="BJ3055" s="15"/>
      <c r="BK3055" s="15"/>
      <c r="BL3055" s="13" t="b">
        <v>0</v>
      </c>
      <c r="BM3055" s="10"/>
      <c r="BN3055" s="10" t="s">
        <v>157</v>
      </c>
      <c r="BO3055" s="11">
        <v>46006.460416666669</v>
      </c>
      <c r="BP3055" s="11">
        <v>46006.564317129632</v>
      </c>
      <c r="BQ3055" s="15"/>
      <c r="BR3055" s="15">
        <v>46006.600185185183</v>
      </c>
      <c r="BS3055" s="10" t="s">
        <v>157</v>
      </c>
      <c r="BT3055" s="10"/>
      <c r="BU3055" s="10"/>
      <c r="BV3055" s="10"/>
      <c r="BW3055" s="10"/>
      <c r="BX3055" s="10"/>
      <c r="BY3055" s="23"/>
      <c r="BZ3055" s="23"/>
      <c r="CA3055" s="19" t="s">
        <v>21406</v>
      </c>
      <c r="CB3055" s="23"/>
      <c r="CC3055" s="23"/>
      <c r="CD3055" s="19" t="s">
        <v>21407</v>
      </c>
      <c r="CE3055" s="23"/>
      <c r="CF3055" s="23"/>
      <c r="CG3055" s="23"/>
      <c r="CH3055" s="23"/>
      <c r="CI3055" s="23"/>
    </row>
    <row r="3056" spans="1:87" x14ac:dyDescent="0.3">
      <c r="A3056" s="9" t="s">
        <v>22443</v>
      </c>
      <c r="B3056" s="10" t="s">
        <v>22444</v>
      </c>
      <c r="C3056" s="11">
        <v>46008.736111111109</v>
      </c>
      <c r="D3056" s="12">
        <v>3.4722222222222224E-2</v>
      </c>
      <c r="E3056" s="11">
        <v>46008.770833333336</v>
      </c>
      <c r="F3056" s="22" t="s">
        <v>21383</v>
      </c>
      <c r="G3056" s="13" t="b">
        <v>0</v>
      </c>
      <c r="H3056" s="22" t="s">
        <v>21384</v>
      </c>
      <c r="I3056" s="10" t="s">
        <v>9131</v>
      </c>
      <c r="J3056" s="13" t="b">
        <v>0</v>
      </c>
      <c r="K3056" s="13" t="b">
        <v>1</v>
      </c>
      <c r="L3056" s="10" t="s">
        <v>124</v>
      </c>
      <c r="M3056" s="10" t="s">
        <v>91</v>
      </c>
      <c r="N3056" s="10" t="s">
        <v>92</v>
      </c>
      <c r="O3056" s="19" t="s">
        <v>22445</v>
      </c>
      <c r="P3056" s="10"/>
      <c r="Q3056" s="10" t="s">
        <v>126</v>
      </c>
      <c r="R3056" s="10"/>
      <c r="S3056" s="19" t="s">
        <v>21405</v>
      </c>
      <c r="T3056" s="10"/>
      <c r="U3056" s="10"/>
      <c r="V3056" s="10"/>
      <c r="W3056" s="10" t="s">
        <v>21387</v>
      </c>
      <c r="X3056" s="10" t="s">
        <v>216</v>
      </c>
      <c r="Y3056" s="10" t="s">
        <v>216</v>
      </c>
      <c r="Z3056" s="10" t="s">
        <v>99</v>
      </c>
      <c r="AA3056" s="10" t="s">
        <v>131</v>
      </c>
      <c r="AB3056" s="10" t="s">
        <v>21388</v>
      </c>
      <c r="AC3056" s="10" t="s">
        <v>21389</v>
      </c>
      <c r="AD3056" s="10" t="s">
        <v>165</v>
      </c>
      <c r="AE3056" s="10" t="s">
        <v>22446</v>
      </c>
      <c r="AF3056" s="15"/>
      <c r="AG3056" s="10"/>
      <c r="AH3056" s="10"/>
      <c r="AI3056" s="10"/>
      <c r="AJ3056" s="10"/>
      <c r="AK3056" s="10" t="s">
        <v>102</v>
      </c>
      <c r="AL3056" s="10"/>
      <c r="AM3056" s="10"/>
      <c r="AN3056" s="10"/>
      <c r="AO3056" s="13" t="b">
        <v>0</v>
      </c>
      <c r="AP3056" s="22" t="s">
        <v>104</v>
      </c>
      <c r="AQ3056" s="10">
        <f ca="1">IFERROR(__xludf.DUMMYFUNCTION("""COMPUTED_VALUE"""),4782287)</f>
        <v>4782287</v>
      </c>
      <c r="AR3056" s="17">
        <v>56720</v>
      </c>
      <c r="AS3056" s="17">
        <v>35480</v>
      </c>
      <c r="AT3056" s="17">
        <v>953317.75</v>
      </c>
      <c r="AU3056" s="17">
        <v>740.05</v>
      </c>
      <c r="AV3056" s="17">
        <v>124.3</v>
      </c>
      <c r="AW3056" s="10" t="s">
        <v>105</v>
      </c>
      <c r="AX3056" s="17">
        <v>18593</v>
      </c>
      <c r="AY3056" s="18">
        <v>26.869158680947013</v>
      </c>
      <c r="AZ3056" s="10"/>
      <c r="BA3056" s="20" t="b">
        <v>0</v>
      </c>
      <c r="BB3056" s="10" t="s">
        <v>21404</v>
      </c>
      <c r="BC3056" s="17">
        <v>56720</v>
      </c>
      <c r="BD3056" s="17">
        <v>35480</v>
      </c>
      <c r="BE3056" s="17">
        <v>953317.75</v>
      </c>
      <c r="BF3056" s="17">
        <v>124.3</v>
      </c>
      <c r="BG3056" s="11">
        <f ca="1">IFERROR(__xludf.DUMMYFUNCTION("""COMPUTED_VALUE"""),46008.7361111111)</f>
        <v>46008.736111111102</v>
      </c>
      <c r="BH3056" s="17" t="s">
        <v>105</v>
      </c>
      <c r="BI3056" s="17"/>
      <c r="BJ3056" s="15"/>
      <c r="BK3056" s="15"/>
      <c r="BL3056" s="13" t="b">
        <v>0</v>
      </c>
      <c r="BM3056" s="10"/>
      <c r="BN3056" s="10" t="s">
        <v>157</v>
      </c>
      <c r="BO3056" s="11">
        <v>46006.461111111108</v>
      </c>
      <c r="BP3056" s="11">
        <v>46006.564467592594</v>
      </c>
      <c r="BQ3056" s="15"/>
      <c r="BR3056" s="15">
        <v>46006.600439814814</v>
      </c>
      <c r="BS3056" s="10" t="s">
        <v>157</v>
      </c>
      <c r="BT3056" s="10" t="s">
        <v>99</v>
      </c>
      <c r="BU3056" s="10"/>
      <c r="BV3056" s="10"/>
      <c r="BW3056" s="10"/>
      <c r="BX3056" s="10"/>
      <c r="BY3056" s="23"/>
      <c r="BZ3056" s="23"/>
      <c r="CA3056" s="19" t="s">
        <v>21406</v>
      </c>
      <c r="CB3056" s="23"/>
      <c r="CC3056" s="23"/>
      <c r="CD3056" s="19" t="s">
        <v>21407</v>
      </c>
      <c r="CE3056" s="23"/>
      <c r="CF3056" s="23"/>
      <c r="CG3056" s="23"/>
      <c r="CH3056" s="23"/>
      <c r="CI3056" s="23"/>
    </row>
    <row r="3057" spans="1:87" x14ac:dyDescent="0.3">
      <c r="A3057" s="9" t="s">
        <v>22447</v>
      </c>
      <c r="B3057" s="10" t="s">
        <v>22448</v>
      </c>
      <c r="C3057" s="11">
        <v>46008.770833333336</v>
      </c>
      <c r="D3057" s="12">
        <v>3.4722222222222224E-2</v>
      </c>
      <c r="E3057" s="11">
        <v>46008.805555555555</v>
      </c>
      <c r="F3057" s="22" t="s">
        <v>21383</v>
      </c>
      <c r="G3057" s="13" t="b">
        <v>0</v>
      </c>
      <c r="H3057" s="22" t="s">
        <v>21384</v>
      </c>
      <c r="I3057" s="10" t="s">
        <v>9131</v>
      </c>
      <c r="J3057" s="13" t="b">
        <v>0</v>
      </c>
      <c r="K3057" s="13" t="b">
        <v>1</v>
      </c>
      <c r="L3057" s="10" t="s">
        <v>124</v>
      </c>
      <c r="M3057" s="10" t="s">
        <v>91</v>
      </c>
      <c r="N3057" s="10" t="s">
        <v>92</v>
      </c>
      <c r="O3057" s="19" t="s">
        <v>22449</v>
      </c>
      <c r="P3057" s="10"/>
      <c r="Q3057" s="10" t="s">
        <v>126</v>
      </c>
      <c r="R3057" s="10"/>
      <c r="S3057" s="19" t="s">
        <v>21405</v>
      </c>
      <c r="T3057" s="10"/>
      <c r="U3057" s="10"/>
      <c r="V3057" s="10"/>
      <c r="W3057" s="10" t="s">
        <v>21387</v>
      </c>
      <c r="X3057" s="10" t="s">
        <v>216</v>
      </c>
      <c r="Y3057" s="10" t="s">
        <v>216</v>
      </c>
      <c r="Z3057" s="10" t="s">
        <v>99</v>
      </c>
      <c r="AA3057" s="10" t="s">
        <v>131</v>
      </c>
      <c r="AB3057" s="10" t="s">
        <v>21388</v>
      </c>
      <c r="AC3057" s="10" t="s">
        <v>21389</v>
      </c>
      <c r="AD3057" s="10" t="s">
        <v>165</v>
      </c>
      <c r="AE3057" s="10" t="s">
        <v>22450</v>
      </c>
      <c r="AF3057" s="15"/>
      <c r="AG3057" s="10"/>
      <c r="AH3057" s="10"/>
      <c r="AI3057" s="10"/>
      <c r="AJ3057" s="10"/>
      <c r="AK3057" s="10" t="s">
        <v>102</v>
      </c>
      <c r="AL3057" s="10"/>
      <c r="AM3057" s="10"/>
      <c r="AN3057" s="10"/>
      <c r="AO3057" s="13" t="b">
        <v>0</v>
      </c>
      <c r="AP3057" s="22" t="s">
        <v>104</v>
      </c>
      <c r="AQ3057" s="10">
        <f ca="1">IFERROR(__xludf.DUMMYFUNCTION("""COMPUTED_VALUE"""),4782288)</f>
        <v>4782288</v>
      </c>
      <c r="AR3057" s="17">
        <v>10418</v>
      </c>
      <c r="AS3057" s="17">
        <v>7263</v>
      </c>
      <c r="AT3057" s="17">
        <v>62980.25</v>
      </c>
      <c r="AU3057" s="17">
        <v>30.8</v>
      </c>
      <c r="AV3057" s="17">
        <v>5.65</v>
      </c>
      <c r="AW3057" s="10" t="s">
        <v>105</v>
      </c>
      <c r="AX3057" s="17">
        <v>18645</v>
      </c>
      <c r="AY3057" s="18">
        <v>8.6713823488916422</v>
      </c>
      <c r="AZ3057" s="10"/>
      <c r="BA3057" s="20" t="b">
        <v>0</v>
      </c>
      <c r="BB3057" s="10" t="s">
        <v>21404</v>
      </c>
      <c r="BC3057" s="17">
        <v>10418</v>
      </c>
      <c r="BD3057" s="17">
        <v>7263</v>
      </c>
      <c r="BE3057" s="17">
        <v>62980.25</v>
      </c>
      <c r="BF3057" s="17">
        <v>5.65</v>
      </c>
      <c r="BG3057" s="11">
        <f ca="1">IFERROR(__xludf.DUMMYFUNCTION("""COMPUTED_VALUE"""),46008.7708333333)</f>
        <v>46008.770833333299</v>
      </c>
      <c r="BH3057" s="17" t="s">
        <v>105</v>
      </c>
      <c r="BI3057" s="17"/>
      <c r="BJ3057" s="15"/>
      <c r="BK3057" s="15"/>
      <c r="BL3057" s="13" t="b">
        <v>0</v>
      </c>
      <c r="BM3057" s="10"/>
      <c r="BN3057" s="10" t="s">
        <v>157</v>
      </c>
      <c r="BO3057" s="11">
        <v>46006.461111111108</v>
      </c>
      <c r="BP3057" s="11">
        <v>46006.564641203702</v>
      </c>
      <c r="BQ3057" s="15"/>
      <c r="BR3057" s="15">
        <v>46006.600555555553</v>
      </c>
      <c r="BS3057" s="10" t="s">
        <v>157</v>
      </c>
      <c r="BT3057" s="10"/>
      <c r="BU3057" s="10"/>
      <c r="BV3057" s="10"/>
      <c r="BW3057" s="10"/>
      <c r="BX3057" s="10"/>
      <c r="BY3057" s="23"/>
      <c r="BZ3057" s="23"/>
      <c r="CA3057" s="19" t="s">
        <v>21406</v>
      </c>
      <c r="CB3057" s="23"/>
      <c r="CC3057" s="23"/>
      <c r="CD3057" s="19" t="s">
        <v>21407</v>
      </c>
      <c r="CE3057" s="23"/>
      <c r="CF3057" s="23"/>
      <c r="CG3057" s="23"/>
      <c r="CH3057" s="23"/>
      <c r="CI3057" s="23"/>
    </row>
    <row r="3058" spans="1:87" x14ac:dyDescent="0.3">
      <c r="A3058" s="9" t="s">
        <v>22451</v>
      </c>
      <c r="B3058" s="10" t="s">
        <v>22452</v>
      </c>
      <c r="C3058" s="11">
        <v>46008.354166666664</v>
      </c>
      <c r="D3058" s="12">
        <v>3.4722222222222224E-2</v>
      </c>
      <c r="E3058" s="11">
        <v>46008.388888888891</v>
      </c>
      <c r="F3058" s="22" t="s">
        <v>21383</v>
      </c>
      <c r="G3058" s="13" t="b">
        <v>0</v>
      </c>
      <c r="H3058" s="22" t="s">
        <v>21384</v>
      </c>
      <c r="I3058" s="10" t="s">
        <v>9131</v>
      </c>
      <c r="J3058" s="13" t="b">
        <v>0</v>
      </c>
      <c r="K3058" s="13" t="b">
        <v>1</v>
      </c>
      <c r="L3058" s="10" t="s">
        <v>124</v>
      </c>
      <c r="M3058" s="10" t="s">
        <v>91</v>
      </c>
      <c r="N3058" s="10" t="s">
        <v>92</v>
      </c>
      <c r="O3058" s="19" t="s">
        <v>22453</v>
      </c>
      <c r="P3058" s="10"/>
      <c r="Q3058" s="10" t="s">
        <v>126</v>
      </c>
      <c r="R3058" s="10"/>
      <c r="S3058" s="19" t="s">
        <v>21386</v>
      </c>
      <c r="T3058" s="10"/>
      <c r="U3058" s="10"/>
      <c r="V3058" s="10"/>
      <c r="W3058" s="10" t="s">
        <v>21387</v>
      </c>
      <c r="X3058" s="10" t="s">
        <v>216</v>
      </c>
      <c r="Y3058" s="10" t="s">
        <v>216</v>
      </c>
      <c r="Z3058" s="10" t="s">
        <v>99</v>
      </c>
      <c r="AA3058" s="10" t="s">
        <v>131</v>
      </c>
      <c r="AB3058" s="10" t="s">
        <v>21388</v>
      </c>
      <c r="AC3058" s="10" t="s">
        <v>21389</v>
      </c>
      <c r="AD3058" s="10" t="s">
        <v>165</v>
      </c>
      <c r="AE3058" s="10" t="s">
        <v>22454</v>
      </c>
      <c r="AF3058" s="15"/>
      <c r="AG3058" s="10"/>
      <c r="AH3058" s="10"/>
      <c r="AI3058" s="10"/>
      <c r="AJ3058" s="10"/>
      <c r="AK3058" s="10" t="s">
        <v>102</v>
      </c>
      <c r="AL3058" s="10"/>
      <c r="AM3058" s="10"/>
      <c r="AN3058" s="10"/>
      <c r="AO3058" s="13" t="b">
        <v>0</v>
      </c>
      <c r="AP3058" s="22" t="s">
        <v>135</v>
      </c>
      <c r="AQ3058" s="10">
        <f ca="1">IFERROR(__xludf.DUMMYFUNCTION("""COMPUTED_VALUE"""),4781705)</f>
        <v>4781705</v>
      </c>
      <c r="AR3058" s="17">
        <v>24120</v>
      </c>
      <c r="AS3058" s="17">
        <v>15019</v>
      </c>
      <c r="AT3058" s="17">
        <v>661269</v>
      </c>
      <c r="AU3058" s="17">
        <v>663</v>
      </c>
      <c r="AV3058" s="17">
        <v>135</v>
      </c>
      <c r="AW3058" s="10" t="s">
        <v>105</v>
      </c>
      <c r="AX3058" s="17">
        <v>7686</v>
      </c>
      <c r="AY3058" s="18">
        <v>44.02883014847859</v>
      </c>
      <c r="AZ3058" s="10"/>
      <c r="BA3058" s="20" t="b">
        <v>0</v>
      </c>
      <c r="BB3058" s="10" t="s">
        <v>21381</v>
      </c>
      <c r="BC3058" s="17">
        <v>24120</v>
      </c>
      <c r="BD3058" s="17">
        <v>15019</v>
      </c>
      <c r="BE3058" s="17">
        <v>661269</v>
      </c>
      <c r="BF3058" s="17">
        <v>135</v>
      </c>
      <c r="BG3058" s="11">
        <f ca="1">IFERROR(__xludf.DUMMYFUNCTION("""COMPUTED_VALUE"""),46008.3541666666)</f>
        <v>46008.354166666599</v>
      </c>
      <c r="BH3058" s="17" t="s">
        <v>105</v>
      </c>
      <c r="BI3058" s="17"/>
      <c r="BJ3058" s="15"/>
      <c r="BK3058" s="15"/>
      <c r="BL3058" s="13" t="b">
        <v>0</v>
      </c>
      <c r="BM3058" s="10"/>
      <c r="BN3058" s="10" t="s">
        <v>157</v>
      </c>
      <c r="BO3058" s="11">
        <v>46006.461111111108</v>
      </c>
      <c r="BP3058" s="11">
        <v>46006.461597222224</v>
      </c>
      <c r="BQ3058" s="15"/>
      <c r="BR3058" s="15">
        <v>46006.578229166669</v>
      </c>
      <c r="BS3058" s="10" t="s">
        <v>157</v>
      </c>
      <c r="BT3058" s="10" t="s">
        <v>99</v>
      </c>
      <c r="BU3058" s="10"/>
      <c r="BV3058" s="10"/>
      <c r="BW3058" s="10"/>
      <c r="BX3058" s="10"/>
      <c r="BY3058" s="23"/>
      <c r="BZ3058" s="23"/>
      <c r="CA3058" s="19" t="s">
        <v>21391</v>
      </c>
      <c r="CB3058" s="23"/>
      <c r="CC3058" s="23"/>
      <c r="CD3058" s="19" t="s">
        <v>21392</v>
      </c>
      <c r="CE3058" s="23"/>
      <c r="CF3058" s="23"/>
      <c r="CG3058" s="23"/>
      <c r="CH3058" s="23"/>
      <c r="CI3058" s="23"/>
    </row>
    <row r="3059" spans="1:87" x14ac:dyDescent="0.3">
      <c r="A3059" s="9" t="s">
        <v>22455</v>
      </c>
      <c r="B3059" s="10" t="s">
        <v>22456</v>
      </c>
      <c r="C3059" s="11">
        <v>46008.805555555555</v>
      </c>
      <c r="D3059" s="12">
        <v>3.4722222222222224E-2</v>
      </c>
      <c r="E3059" s="11">
        <v>46008.840277777781</v>
      </c>
      <c r="F3059" s="22" t="s">
        <v>21383</v>
      </c>
      <c r="G3059" s="13" t="b">
        <v>0</v>
      </c>
      <c r="H3059" s="22" t="s">
        <v>21384</v>
      </c>
      <c r="I3059" s="10" t="s">
        <v>9131</v>
      </c>
      <c r="J3059" s="13" t="b">
        <v>0</v>
      </c>
      <c r="K3059" s="13" t="b">
        <v>1</v>
      </c>
      <c r="L3059" s="10" t="s">
        <v>124</v>
      </c>
      <c r="M3059" s="10" t="s">
        <v>91</v>
      </c>
      <c r="N3059" s="10" t="s">
        <v>92</v>
      </c>
      <c r="O3059" s="19" t="s">
        <v>22457</v>
      </c>
      <c r="P3059" s="10"/>
      <c r="Q3059" s="10" t="s">
        <v>126</v>
      </c>
      <c r="R3059" s="10"/>
      <c r="S3059" s="19" t="s">
        <v>21405</v>
      </c>
      <c r="T3059" s="10"/>
      <c r="U3059" s="10"/>
      <c r="V3059" s="10"/>
      <c r="W3059" s="10" t="s">
        <v>21387</v>
      </c>
      <c r="X3059" s="10" t="s">
        <v>216</v>
      </c>
      <c r="Y3059" s="10" t="s">
        <v>216</v>
      </c>
      <c r="Z3059" s="10" t="s">
        <v>99</v>
      </c>
      <c r="AA3059" s="10" t="s">
        <v>131</v>
      </c>
      <c r="AB3059" s="10" t="s">
        <v>21388</v>
      </c>
      <c r="AC3059" s="10" t="s">
        <v>21389</v>
      </c>
      <c r="AD3059" s="10" t="s">
        <v>165</v>
      </c>
      <c r="AE3059" s="10" t="s">
        <v>22458</v>
      </c>
      <c r="AF3059" s="15"/>
      <c r="AG3059" s="10"/>
      <c r="AH3059" s="10"/>
      <c r="AI3059" s="10"/>
      <c r="AJ3059" s="10"/>
      <c r="AK3059" s="10" t="s">
        <v>102</v>
      </c>
      <c r="AL3059" s="10"/>
      <c r="AM3059" s="10"/>
      <c r="AN3059" s="10"/>
      <c r="AO3059" s="13" t="b">
        <v>0</v>
      </c>
      <c r="AP3059" s="22" t="s">
        <v>104</v>
      </c>
      <c r="AQ3059" s="10">
        <f ca="1">IFERROR(__xludf.DUMMYFUNCTION("""COMPUTED_VALUE"""),4782289)</f>
        <v>4782289</v>
      </c>
      <c r="AR3059" s="17">
        <v>12348</v>
      </c>
      <c r="AS3059" s="17">
        <v>8754</v>
      </c>
      <c r="AT3059" s="17">
        <v>199143</v>
      </c>
      <c r="AU3059" s="17">
        <v>88.3</v>
      </c>
      <c r="AV3059" s="17">
        <v>13.35</v>
      </c>
      <c r="AW3059" s="10" t="s">
        <v>105</v>
      </c>
      <c r="AX3059" s="17">
        <v>4942</v>
      </c>
      <c r="AY3059" s="18">
        <v>22.748800548320769</v>
      </c>
      <c r="AZ3059" s="10"/>
      <c r="BA3059" s="20" t="b">
        <v>0</v>
      </c>
      <c r="BB3059" s="10" t="s">
        <v>21404</v>
      </c>
      <c r="BC3059" s="17">
        <v>12348</v>
      </c>
      <c r="BD3059" s="17">
        <v>8754</v>
      </c>
      <c r="BE3059" s="17">
        <v>199143</v>
      </c>
      <c r="BF3059" s="17">
        <v>13.35</v>
      </c>
      <c r="BG3059" s="11">
        <f ca="1">IFERROR(__xludf.DUMMYFUNCTION("""COMPUTED_VALUE"""),46008.8055555555)</f>
        <v>46008.805555555497</v>
      </c>
      <c r="BH3059" s="17" t="s">
        <v>105</v>
      </c>
      <c r="BI3059" s="17"/>
      <c r="BJ3059" s="15"/>
      <c r="BK3059" s="15"/>
      <c r="BL3059" s="13" t="b">
        <v>0</v>
      </c>
      <c r="BM3059" s="10"/>
      <c r="BN3059" s="10" t="s">
        <v>157</v>
      </c>
      <c r="BO3059" s="11">
        <v>46006.461111111108</v>
      </c>
      <c r="BP3059" s="11">
        <v>46006.564780092594</v>
      </c>
      <c r="BQ3059" s="15"/>
      <c r="BR3059" s="15">
        <v>46006.600694444445</v>
      </c>
      <c r="BS3059" s="10" t="s">
        <v>157</v>
      </c>
      <c r="BT3059" s="10"/>
      <c r="BU3059" s="10"/>
      <c r="BV3059" s="10"/>
      <c r="BW3059" s="10"/>
      <c r="BX3059" s="10"/>
      <c r="BY3059" s="23"/>
      <c r="BZ3059" s="23"/>
      <c r="CA3059" s="19" t="s">
        <v>21406</v>
      </c>
      <c r="CB3059" s="23"/>
      <c r="CC3059" s="23"/>
      <c r="CD3059" s="19" t="s">
        <v>21407</v>
      </c>
      <c r="CE3059" s="23"/>
      <c r="CF3059" s="23"/>
      <c r="CG3059" s="23"/>
      <c r="CH3059" s="23"/>
      <c r="CI3059" s="23"/>
    </row>
    <row r="3060" spans="1:87" x14ac:dyDescent="0.3">
      <c r="A3060" s="9" t="s">
        <v>22459</v>
      </c>
      <c r="B3060" s="10" t="s">
        <v>22460</v>
      </c>
      <c r="C3060" s="11">
        <v>46008.388888888891</v>
      </c>
      <c r="D3060" s="12">
        <v>3.4722222222222224E-2</v>
      </c>
      <c r="E3060" s="11">
        <v>46008.423611111109</v>
      </c>
      <c r="F3060" s="22" t="s">
        <v>21383</v>
      </c>
      <c r="G3060" s="13" t="b">
        <v>0</v>
      </c>
      <c r="H3060" s="22" t="s">
        <v>21384</v>
      </c>
      <c r="I3060" s="10" t="s">
        <v>9131</v>
      </c>
      <c r="J3060" s="13" t="b">
        <v>0</v>
      </c>
      <c r="K3060" s="13" t="b">
        <v>1</v>
      </c>
      <c r="L3060" s="10" t="s">
        <v>124</v>
      </c>
      <c r="M3060" s="10" t="s">
        <v>91</v>
      </c>
      <c r="N3060" s="10" t="s">
        <v>92</v>
      </c>
      <c r="O3060" s="19" t="s">
        <v>22461</v>
      </c>
      <c r="P3060" s="10"/>
      <c r="Q3060" s="10" t="s">
        <v>126</v>
      </c>
      <c r="R3060" s="10"/>
      <c r="S3060" s="19" t="s">
        <v>21386</v>
      </c>
      <c r="T3060" s="10"/>
      <c r="U3060" s="10"/>
      <c r="V3060" s="10"/>
      <c r="W3060" s="10" t="s">
        <v>21387</v>
      </c>
      <c r="X3060" s="10" t="s">
        <v>216</v>
      </c>
      <c r="Y3060" s="10" t="s">
        <v>216</v>
      </c>
      <c r="Z3060" s="10" t="s">
        <v>99</v>
      </c>
      <c r="AA3060" s="10" t="s">
        <v>131</v>
      </c>
      <c r="AB3060" s="10" t="s">
        <v>21388</v>
      </c>
      <c r="AC3060" s="10" t="s">
        <v>21389</v>
      </c>
      <c r="AD3060" s="10" t="s">
        <v>165</v>
      </c>
      <c r="AE3060" s="10" t="s">
        <v>22462</v>
      </c>
      <c r="AF3060" s="15"/>
      <c r="AG3060" s="10"/>
      <c r="AH3060" s="10"/>
      <c r="AI3060" s="10"/>
      <c r="AJ3060" s="10"/>
      <c r="AK3060" s="10" t="s">
        <v>102</v>
      </c>
      <c r="AL3060" s="10"/>
      <c r="AM3060" s="10"/>
      <c r="AN3060" s="10"/>
      <c r="AO3060" s="13" t="b">
        <v>0</v>
      </c>
      <c r="AP3060" s="22" t="s">
        <v>221</v>
      </c>
      <c r="AQ3060" s="10">
        <f ca="1">IFERROR(__xludf.DUMMYFUNCTION("""COMPUTED_VALUE"""),4781706)</f>
        <v>4781706</v>
      </c>
      <c r="AR3060" s="17">
        <v>17230</v>
      </c>
      <c r="AS3060" s="17">
        <v>11212</v>
      </c>
      <c r="AT3060" s="17">
        <v>283083.5</v>
      </c>
      <c r="AU3060" s="17">
        <v>281.05</v>
      </c>
      <c r="AV3060" s="17">
        <v>64.45</v>
      </c>
      <c r="AW3060" s="10" t="s">
        <v>105</v>
      </c>
      <c r="AX3060" s="17">
        <v>8789</v>
      </c>
      <c r="AY3060" s="18">
        <v>25.248260792008562</v>
      </c>
      <c r="AZ3060" s="10"/>
      <c r="BA3060" s="20" t="b">
        <v>0</v>
      </c>
      <c r="BB3060" s="10" t="s">
        <v>21381</v>
      </c>
      <c r="BC3060" s="17">
        <v>17230</v>
      </c>
      <c r="BD3060" s="17">
        <v>11212</v>
      </c>
      <c r="BE3060" s="17">
        <v>283083.5</v>
      </c>
      <c r="BF3060" s="17">
        <v>64.45</v>
      </c>
      <c r="BG3060" s="11">
        <f ca="1">IFERROR(__xludf.DUMMYFUNCTION("""COMPUTED_VALUE"""),46008.3888888888)</f>
        <v>46008.388888888803</v>
      </c>
      <c r="BH3060" s="17" t="s">
        <v>105</v>
      </c>
      <c r="BI3060" s="17"/>
      <c r="BJ3060" s="15"/>
      <c r="BK3060" s="15"/>
      <c r="BL3060" s="13" t="b">
        <v>0</v>
      </c>
      <c r="BM3060" s="10"/>
      <c r="BN3060" s="10" t="s">
        <v>157</v>
      </c>
      <c r="BO3060" s="11">
        <v>46006.461805555555</v>
      </c>
      <c r="BP3060" s="11">
        <v>46006.461967592593</v>
      </c>
      <c r="BQ3060" s="15"/>
      <c r="BR3060" s="15">
        <v>46006.578553240739</v>
      </c>
      <c r="BS3060" s="10" t="s">
        <v>157</v>
      </c>
      <c r="BT3060" s="10" t="s">
        <v>99</v>
      </c>
      <c r="BU3060" s="10"/>
      <c r="BV3060" s="10"/>
      <c r="BW3060" s="10"/>
      <c r="BX3060" s="10"/>
      <c r="BY3060" s="23"/>
      <c r="BZ3060" s="23"/>
      <c r="CA3060" s="19" t="s">
        <v>21391</v>
      </c>
      <c r="CB3060" s="23"/>
      <c r="CC3060" s="23"/>
      <c r="CD3060" s="19" t="s">
        <v>21392</v>
      </c>
      <c r="CE3060" s="23"/>
      <c r="CF3060" s="23"/>
      <c r="CG3060" s="23"/>
      <c r="CH3060" s="23"/>
      <c r="CI3060" s="23"/>
    </row>
    <row r="3061" spans="1:87" x14ac:dyDescent="0.3">
      <c r="A3061" s="9" t="s">
        <v>22463</v>
      </c>
      <c r="B3061" s="10" t="s">
        <v>22464</v>
      </c>
      <c r="C3061" s="11">
        <v>46008.423611111109</v>
      </c>
      <c r="D3061" s="12">
        <v>3.4722222222222224E-2</v>
      </c>
      <c r="E3061" s="11">
        <v>46008.458333333336</v>
      </c>
      <c r="F3061" s="22" t="s">
        <v>21383</v>
      </c>
      <c r="G3061" s="13" t="b">
        <v>0</v>
      </c>
      <c r="H3061" s="22" t="s">
        <v>21384</v>
      </c>
      <c r="I3061" s="10" t="s">
        <v>9131</v>
      </c>
      <c r="J3061" s="13" t="b">
        <v>0</v>
      </c>
      <c r="K3061" s="13" t="b">
        <v>1</v>
      </c>
      <c r="L3061" s="10" t="s">
        <v>124</v>
      </c>
      <c r="M3061" s="10" t="s">
        <v>91</v>
      </c>
      <c r="N3061" s="10" t="s">
        <v>92</v>
      </c>
      <c r="O3061" s="19" t="s">
        <v>22465</v>
      </c>
      <c r="P3061" s="10"/>
      <c r="Q3061" s="10" t="s">
        <v>126</v>
      </c>
      <c r="R3061" s="10"/>
      <c r="S3061" s="19" t="s">
        <v>21386</v>
      </c>
      <c r="T3061" s="10"/>
      <c r="U3061" s="10"/>
      <c r="V3061" s="10"/>
      <c r="W3061" s="10" t="s">
        <v>21387</v>
      </c>
      <c r="X3061" s="10" t="s">
        <v>216</v>
      </c>
      <c r="Y3061" s="10" t="s">
        <v>216</v>
      </c>
      <c r="Z3061" s="10" t="s">
        <v>99</v>
      </c>
      <c r="AA3061" s="10" t="s">
        <v>131</v>
      </c>
      <c r="AB3061" s="10" t="s">
        <v>21388</v>
      </c>
      <c r="AC3061" s="10" t="s">
        <v>21389</v>
      </c>
      <c r="AD3061" s="10" t="s">
        <v>165</v>
      </c>
      <c r="AE3061" s="10" t="s">
        <v>22466</v>
      </c>
      <c r="AF3061" s="15"/>
      <c r="AG3061" s="10"/>
      <c r="AH3061" s="10"/>
      <c r="AI3061" s="10"/>
      <c r="AJ3061" s="10"/>
      <c r="AK3061" s="10" t="s">
        <v>102</v>
      </c>
      <c r="AL3061" s="10"/>
      <c r="AM3061" s="10"/>
      <c r="AN3061" s="10"/>
      <c r="AO3061" s="13" t="b">
        <v>0</v>
      </c>
      <c r="AP3061" s="22" t="s">
        <v>135</v>
      </c>
      <c r="AQ3061" s="10">
        <f ca="1">IFERROR(__xludf.DUMMYFUNCTION("""COMPUTED_VALUE"""),4781707)</f>
        <v>4781707</v>
      </c>
      <c r="AR3061" s="17">
        <v>9227</v>
      </c>
      <c r="AS3061" s="17">
        <v>6259</v>
      </c>
      <c r="AT3061" s="17">
        <v>99202.5</v>
      </c>
      <c r="AU3061" s="17">
        <v>65.099999999999994</v>
      </c>
      <c r="AV3061" s="17">
        <v>9.8000000000000007</v>
      </c>
      <c r="AW3061" s="10" t="s">
        <v>105</v>
      </c>
      <c r="AX3061" s="17">
        <v>8464</v>
      </c>
      <c r="AY3061" s="18">
        <v>15.849576609682059</v>
      </c>
      <c r="AZ3061" s="10"/>
      <c r="BA3061" s="20" t="b">
        <v>0</v>
      </c>
      <c r="BB3061" s="10" t="s">
        <v>21381</v>
      </c>
      <c r="BC3061" s="17">
        <v>9227</v>
      </c>
      <c r="BD3061" s="17">
        <v>6259</v>
      </c>
      <c r="BE3061" s="17">
        <v>99202.5</v>
      </c>
      <c r="BF3061" s="17">
        <v>9.8000000000000007</v>
      </c>
      <c r="BG3061" s="11">
        <f ca="1">IFERROR(__xludf.DUMMYFUNCTION("""COMPUTED_VALUE"""),46008.4236111111)</f>
        <v>46008.423611111102</v>
      </c>
      <c r="BH3061" s="17" t="s">
        <v>105</v>
      </c>
      <c r="BI3061" s="17"/>
      <c r="BJ3061" s="15"/>
      <c r="BK3061" s="15"/>
      <c r="BL3061" s="13" t="b">
        <v>0</v>
      </c>
      <c r="BM3061" s="10"/>
      <c r="BN3061" s="10" t="s">
        <v>157</v>
      </c>
      <c r="BO3061" s="11">
        <v>46006.461805555555</v>
      </c>
      <c r="BP3061" s="11">
        <v>46006.462152777778</v>
      </c>
      <c r="BQ3061" s="15"/>
      <c r="BR3061" s="15">
        <v>46006.578773148147</v>
      </c>
      <c r="BS3061" s="10" t="s">
        <v>157</v>
      </c>
      <c r="BT3061" s="10"/>
      <c r="BU3061" s="10"/>
      <c r="BV3061" s="10"/>
      <c r="BW3061" s="10"/>
      <c r="BX3061" s="10"/>
      <c r="BY3061" s="23"/>
      <c r="BZ3061" s="23"/>
      <c r="CA3061" s="19" t="s">
        <v>21391</v>
      </c>
      <c r="CB3061" s="23"/>
      <c r="CC3061" s="23"/>
      <c r="CD3061" s="19" t="s">
        <v>21392</v>
      </c>
      <c r="CE3061" s="23"/>
      <c r="CF3061" s="23"/>
      <c r="CG3061" s="23"/>
      <c r="CH3061" s="23"/>
      <c r="CI3061" s="23"/>
    </row>
    <row r="3062" spans="1:87" x14ac:dyDescent="0.3">
      <c r="A3062" s="9" t="s">
        <v>22467</v>
      </c>
      <c r="B3062" s="10" t="s">
        <v>22468</v>
      </c>
      <c r="C3062" s="11">
        <v>46008.458333333336</v>
      </c>
      <c r="D3062" s="12">
        <v>3.4722222222222224E-2</v>
      </c>
      <c r="E3062" s="11">
        <v>46008.493055555555</v>
      </c>
      <c r="F3062" s="22" t="s">
        <v>21383</v>
      </c>
      <c r="G3062" s="13" t="b">
        <v>0</v>
      </c>
      <c r="H3062" s="22" t="s">
        <v>21384</v>
      </c>
      <c r="I3062" s="10" t="s">
        <v>9131</v>
      </c>
      <c r="J3062" s="13" t="b">
        <v>0</v>
      </c>
      <c r="K3062" s="13" t="b">
        <v>1</v>
      </c>
      <c r="L3062" s="10" t="s">
        <v>124</v>
      </c>
      <c r="M3062" s="10" t="s">
        <v>91</v>
      </c>
      <c r="N3062" s="10" t="s">
        <v>92</v>
      </c>
      <c r="O3062" s="19" t="s">
        <v>22469</v>
      </c>
      <c r="P3062" s="10"/>
      <c r="Q3062" s="10" t="s">
        <v>126</v>
      </c>
      <c r="R3062" s="10"/>
      <c r="S3062" s="19" t="s">
        <v>21386</v>
      </c>
      <c r="T3062" s="10"/>
      <c r="U3062" s="10"/>
      <c r="V3062" s="10"/>
      <c r="W3062" s="10" t="s">
        <v>21387</v>
      </c>
      <c r="X3062" s="10" t="s">
        <v>216</v>
      </c>
      <c r="Y3062" s="10" t="s">
        <v>216</v>
      </c>
      <c r="Z3062" s="10" t="s">
        <v>99</v>
      </c>
      <c r="AA3062" s="10" t="s">
        <v>131</v>
      </c>
      <c r="AB3062" s="10" t="s">
        <v>21388</v>
      </c>
      <c r="AC3062" s="10" t="s">
        <v>21389</v>
      </c>
      <c r="AD3062" s="10" t="s">
        <v>165</v>
      </c>
      <c r="AE3062" s="10" t="s">
        <v>22470</v>
      </c>
      <c r="AF3062" s="15"/>
      <c r="AG3062" s="10"/>
      <c r="AH3062" s="10"/>
      <c r="AI3062" s="10"/>
      <c r="AJ3062" s="10"/>
      <c r="AK3062" s="10" t="s">
        <v>102</v>
      </c>
      <c r="AL3062" s="10"/>
      <c r="AM3062" s="10"/>
      <c r="AN3062" s="10"/>
      <c r="AO3062" s="13" t="b">
        <v>0</v>
      </c>
      <c r="AP3062" s="22" t="s">
        <v>135</v>
      </c>
      <c r="AQ3062" s="10">
        <f ca="1">IFERROR(__xludf.DUMMYFUNCTION("""COMPUTED_VALUE"""),4781709)</f>
        <v>4781709</v>
      </c>
      <c r="AR3062" s="17">
        <v>7324</v>
      </c>
      <c r="AS3062" s="17">
        <v>5188</v>
      </c>
      <c r="AT3062" s="17">
        <v>41616.75</v>
      </c>
      <c r="AU3062" s="17">
        <v>21.6</v>
      </c>
      <c r="AV3062" s="17">
        <v>6</v>
      </c>
      <c r="AW3062" s="10" t="s">
        <v>105</v>
      </c>
      <c r="AX3062" s="17">
        <v>3006</v>
      </c>
      <c r="AY3062" s="18">
        <v>8.0217328450269854</v>
      </c>
      <c r="AZ3062" s="10"/>
      <c r="BA3062" s="20" t="b">
        <v>0</v>
      </c>
      <c r="BB3062" s="10" t="s">
        <v>21381</v>
      </c>
      <c r="BC3062" s="17">
        <v>7324</v>
      </c>
      <c r="BD3062" s="17">
        <v>5188</v>
      </c>
      <c r="BE3062" s="17">
        <v>41616.75</v>
      </c>
      <c r="BF3062" s="17">
        <v>6</v>
      </c>
      <c r="BG3062" s="11">
        <f ca="1">IFERROR(__xludf.DUMMYFUNCTION("""COMPUTED_VALUE"""),46008.4583333333)</f>
        <v>46008.458333333299</v>
      </c>
      <c r="BH3062" s="17" t="s">
        <v>105</v>
      </c>
      <c r="BI3062" s="17"/>
      <c r="BJ3062" s="15"/>
      <c r="BK3062" s="15"/>
      <c r="BL3062" s="13" t="b">
        <v>0</v>
      </c>
      <c r="BM3062" s="10"/>
      <c r="BN3062" s="10" t="s">
        <v>157</v>
      </c>
      <c r="BO3062" s="11">
        <v>46006.461805555555</v>
      </c>
      <c r="BP3062" s="11">
        <v>46006.46230324074</v>
      </c>
      <c r="BQ3062" s="15"/>
      <c r="BR3062" s="15">
        <v>46006.579062500001</v>
      </c>
      <c r="BS3062" s="10" t="s">
        <v>157</v>
      </c>
      <c r="BT3062" s="10"/>
      <c r="BU3062" s="10"/>
      <c r="BV3062" s="10"/>
      <c r="BW3062" s="10"/>
      <c r="BX3062" s="10"/>
      <c r="BY3062" s="23"/>
      <c r="BZ3062" s="23"/>
      <c r="CA3062" s="19" t="s">
        <v>21391</v>
      </c>
      <c r="CB3062" s="23"/>
      <c r="CC3062" s="23"/>
      <c r="CD3062" s="19" t="s">
        <v>21392</v>
      </c>
      <c r="CE3062" s="23"/>
      <c r="CF3062" s="23"/>
      <c r="CG3062" s="23"/>
      <c r="CH3062" s="23"/>
      <c r="CI3062" s="23"/>
    </row>
    <row r="3063" spans="1:87" x14ac:dyDescent="0.3">
      <c r="A3063" s="25" t="s">
        <v>22471</v>
      </c>
      <c r="B3063" s="10" t="s">
        <v>22472</v>
      </c>
      <c r="C3063" s="11">
        <v>46008.493055555555</v>
      </c>
      <c r="D3063" s="12">
        <v>3.4722222222222224E-2</v>
      </c>
      <c r="E3063" s="11">
        <v>46008.527777777781</v>
      </c>
      <c r="F3063" s="22" t="s">
        <v>21383</v>
      </c>
      <c r="G3063" s="13" t="b">
        <v>0</v>
      </c>
      <c r="H3063" s="22" t="s">
        <v>21384</v>
      </c>
      <c r="I3063" s="10" t="s">
        <v>9131</v>
      </c>
      <c r="J3063" s="13" t="b">
        <v>0</v>
      </c>
      <c r="K3063" s="13" t="b">
        <v>1</v>
      </c>
      <c r="L3063" s="10" t="s">
        <v>124</v>
      </c>
      <c r="M3063" s="10" t="s">
        <v>91</v>
      </c>
      <c r="N3063" s="10" t="s">
        <v>92</v>
      </c>
      <c r="O3063" s="19" t="s">
        <v>22473</v>
      </c>
      <c r="P3063" s="10"/>
      <c r="Q3063" s="10" t="s">
        <v>126</v>
      </c>
      <c r="R3063" s="10"/>
      <c r="S3063" s="19" t="s">
        <v>21386</v>
      </c>
      <c r="T3063" s="10"/>
      <c r="U3063" s="10"/>
      <c r="V3063" s="10"/>
      <c r="W3063" s="10" t="s">
        <v>21387</v>
      </c>
      <c r="X3063" s="10" t="s">
        <v>216</v>
      </c>
      <c r="Y3063" s="10" t="s">
        <v>216</v>
      </c>
      <c r="Z3063" s="10" t="s">
        <v>99</v>
      </c>
      <c r="AA3063" s="10" t="s">
        <v>131</v>
      </c>
      <c r="AB3063" s="10" t="s">
        <v>21388</v>
      </c>
      <c r="AC3063" s="10" t="s">
        <v>21389</v>
      </c>
      <c r="AD3063" s="10" t="s">
        <v>165</v>
      </c>
      <c r="AE3063" s="10" t="s">
        <v>22474</v>
      </c>
      <c r="AF3063" s="15"/>
      <c r="AG3063" s="10"/>
      <c r="AH3063" s="10"/>
      <c r="AI3063" s="10"/>
      <c r="AJ3063" s="10"/>
      <c r="AK3063" s="10" t="s">
        <v>102</v>
      </c>
      <c r="AL3063" s="10"/>
      <c r="AM3063" s="10"/>
      <c r="AN3063" s="10"/>
      <c r="AO3063" s="13" t="b">
        <v>0</v>
      </c>
      <c r="AP3063" s="22" t="s">
        <v>135</v>
      </c>
      <c r="AQ3063" s="10">
        <f ca="1">IFERROR(__xludf.DUMMYFUNCTION("""COMPUTED_VALUE"""),4781710)</f>
        <v>4781710</v>
      </c>
      <c r="AR3063" s="17">
        <v>6544</v>
      </c>
      <c r="AS3063" s="17">
        <v>4462</v>
      </c>
      <c r="AT3063" s="17">
        <v>48105.75</v>
      </c>
      <c r="AU3063" s="17">
        <v>19.149999999999999</v>
      </c>
      <c r="AV3063" s="17">
        <v>3.45</v>
      </c>
      <c r="AW3063" s="10" t="s">
        <v>105</v>
      </c>
      <c r="AX3063" s="17">
        <v>2472</v>
      </c>
      <c r="AY3063" s="18">
        <v>10.781207978484984</v>
      </c>
      <c r="AZ3063" s="10"/>
      <c r="BA3063" s="20" t="b">
        <v>0</v>
      </c>
      <c r="BB3063" s="10" t="s">
        <v>21381</v>
      </c>
      <c r="BC3063" s="17">
        <v>6544</v>
      </c>
      <c r="BD3063" s="17">
        <v>4462</v>
      </c>
      <c r="BE3063" s="17">
        <v>48105.75</v>
      </c>
      <c r="BF3063" s="17">
        <v>3.45</v>
      </c>
      <c r="BG3063" s="11">
        <f ca="1">IFERROR(__xludf.DUMMYFUNCTION("""COMPUTED_VALUE"""),46008.4930555555)</f>
        <v>46008.493055555497</v>
      </c>
      <c r="BH3063" s="17" t="s">
        <v>105</v>
      </c>
      <c r="BI3063" s="17"/>
      <c r="BJ3063" s="15"/>
      <c r="BK3063" s="15"/>
      <c r="BL3063" s="13" t="b">
        <v>0</v>
      </c>
      <c r="BM3063" s="10"/>
      <c r="BN3063" s="10" t="s">
        <v>157</v>
      </c>
      <c r="BO3063" s="11">
        <v>46006.461805555555</v>
      </c>
      <c r="BP3063" s="11">
        <v>46006.462500000001</v>
      </c>
      <c r="BQ3063" s="15"/>
      <c r="BR3063" s="15">
        <v>46006.579560185186</v>
      </c>
      <c r="BS3063" s="10" t="s">
        <v>157</v>
      </c>
      <c r="BT3063" s="10"/>
      <c r="BU3063" s="10"/>
      <c r="BV3063" s="10"/>
      <c r="BW3063" s="10"/>
      <c r="BX3063" s="10"/>
      <c r="BY3063" s="23"/>
      <c r="BZ3063" s="23"/>
      <c r="CA3063" s="19" t="s">
        <v>21391</v>
      </c>
      <c r="CB3063" s="23"/>
      <c r="CC3063" s="23"/>
      <c r="CD3063" s="19" t="s">
        <v>21392</v>
      </c>
      <c r="CE3063" s="23"/>
      <c r="CF3063" s="23"/>
      <c r="CG3063" s="23"/>
      <c r="CH3063" s="23"/>
      <c r="CI3063" s="23"/>
    </row>
    <row r="3064" spans="1:87" x14ac:dyDescent="0.3">
      <c r="A3064" s="9" t="s">
        <v>22475</v>
      </c>
      <c r="B3064" s="10" t="s">
        <v>22476</v>
      </c>
      <c r="C3064" s="11">
        <v>46008.666666666664</v>
      </c>
      <c r="D3064" s="12">
        <v>3.4722222222222224E-2</v>
      </c>
      <c r="E3064" s="11">
        <v>46008.701388888891</v>
      </c>
      <c r="F3064" s="22" t="s">
        <v>21383</v>
      </c>
      <c r="G3064" s="13" t="b">
        <v>0</v>
      </c>
      <c r="H3064" s="22" t="s">
        <v>21384</v>
      </c>
      <c r="I3064" s="10" t="s">
        <v>9131</v>
      </c>
      <c r="J3064" s="13" t="b">
        <v>0</v>
      </c>
      <c r="K3064" s="13" t="b">
        <v>1</v>
      </c>
      <c r="L3064" s="10" t="s">
        <v>124</v>
      </c>
      <c r="M3064" s="10" t="s">
        <v>91</v>
      </c>
      <c r="N3064" s="10" t="s">
        <v>92</v>
      </c>
      <c r="O3064" s="19" t="s">
        <v>22477</v>
      </c>
      <c r="P3064" s="10"/>
      <c r="Q3064" s="10" t="s">
        <v>126</v>
      </c>
      <c r="R3064" s="10"/>
      <c r="S3064" s="19" t="s">
        <v>21401</v>
      </c>
      <c r="T3064" s="10"/>
      <c r="U3064" s="10"/>
      <c r="V3064" s="10"/>
      <c r="W3064" s="10" t="s">
        <v>21387</v>
      </c>
      <c r="X3064" s="10" t="s">
        <v>216</v>
      </c>
      <c r="Y3064" s="10" t="s">
        <v>216</v>
      </c>
      <c r="Z3064" s="10" t="s">
        <v>99</v>
      </c>
      <c r="AA3064" s="10" t="s">
        <v>131</v>
      </c>
      <c r="AB3064" s="10" t="s">
        <v>21388</v>
      </c>
      <c r="AC3064" s="10" t="s">
        <v>21389</v>
      </c>
      <c r="AD3064" s="10" t="s">
        <v>165</v>
      </c>
      <c r="AE3064" s="10" t="s">
        <v>22478</v>
      </c>
      <c r="AF3064" s="15"/>
      <c r="AG3064" s="10"/>
      <c r="AH3064" s="10"/>
      <c r="AI3064" s="10"/>
      <c r="AJ3064" s="10"/>
      <c r="AK3064" s="10" t="s">
        <v>102</v>
      </c>
      <c r="AL3064" s="10"/>
      <c r="AM3064" s="10"/>
      <c r="AN3064" s="10"/>
      <c r="AO3064" s="13" t="b">
        <v>0</v>
      </c>
      <c r="AP3064" s="22" t="s">
        <v>221</v>
      </c>
      <c r="AQ3064" s="10">
        <f ca="1">IFERROR(__xludf.DUMMYFUNCTION("""COMPUTED_VALUE"""),4781725)</f>
        <v>4781725</v>
      </c>
      <c r="AR3064" s="17">
        <v>13355</v>
      </c>
      <c r="AS3064" s="17">
        <v>7775</v>
      </c>
      <c r="AT3064" s="17">
        <v>236296</v>
      </c>
      <c r="AU3064" s="17">
        <v>116.5</v>
      </c>
      <c r="AV3064" s="17">
        <v>15.8</v>
      </c>
      <c r="AW3064" s="10" t="s">
        <v>105</v>
      </c>
      <c r="AX3064" s="17">
        <v>3888</v>
      </c>
      <c r="AY3064" s="18">
        <v>30.391768488745981</v>
      </c>
      <c r="AZ3064" s="10"/>
      <c r="BA3064" s="20" t="b">
        <v>0</v>
      </c>
      <c r="BB3064" s="10" t="s">
        <v>21400</v>
      </c>
      <c r="BC3064" s="17">
        <v>13355</v>
      </c>
      <c r="BD3064" s="17">
        <v>7775</v>
      </c>
      <c r="BE3064" s="17">
        <v>236296</v>
      </c>
      <c r="BF3064" s="17">
        <v>15.8</v>
      </c>
      <c r="BG3064" s="11">
        <f ca="1">IFERROR(__xludf.DUMMYFUNCTION("""COMPUTED_VALUE"""),46008.6666666666)</f>
        <v>46008.666666666599</v>
      </c>
      <c r="BH3064" s="17" t="s">
        <v>105</v>
      </c>
      <c r="BI3064" s="17"/>
      <c r="BJ3064" s="15"/>
      <c r="BK3064" s="15"/>
      <c r="BL3064" s="13" t="b">
        <v>0</v>
      </c>
      <c r="BM3064" s="10"/>
      <c r="BN3064" s="10" t="s">
        <v>157</v>
      </c>
      <c r="BO3064" s="11">
        <v>46006.46597222222</v>
      </c>
      <c r="BP3064" s="11">
        <v>46006.466736111113</v>
      </c>
      <c r="BQ3064" s="15"/>
      <c r="BR3064" s="15">
        <v>46006.580023148148</v>
      </c>
      <c r="BS3064" s="10" t="s">
        <v>157</v>
      </c>
      <c r="BT3064" s="10"/>
      <c r="BU3064" s="10"/>
      <c r="BV3064" s="10"/>
      <c r="BW3064" s="10"/>
      <c r="BX3064" s="10"/>
      <c r="BY3064" s="23"/>
      <c r="BZ3064" s="23"/>
      <c r="CA3064" s="19" t="s">
        <v>21402</v>
      </c>
      <c r="CB3064" s="23"/>
      <c r="CC3064" s="23"/>
      <c r="CD3064" s="19" t="s">
        <v>21403</v>
      </c>
      <c r="CE3064" s="23"/>
      <c r="CF3064" s="23"/>
      <c r="CG3064" s="23"/>
      <c r="CH3064" s="23"/>
      <c r="CI3064" s="23"/>
    </row>
    <row r="3065" spans="1:87" x14ac:dyDescent="0.3">
      <c r="A3065" s="9" t="s">
        <v>22479</v>
      </c>
      <c r="B3065" s="10" t="s">
        <v>22480</v>
      </c>
      <c r="C3065" s="11">
        <v>46008.701388888891</v>
      </c>
      <c r="D3065" s="12">
        <v>3.4722222222222224E-2</v>
      </c>
      <c r="E3065" s="11">
        <v>46008.736111111109</v>
      </c>
      <c r="F3065" s="22" t="s">
        <v>21383</v>
      </c>
      <c r="G3065" s="13" t="b">
        <v>0</v>
      </c>
      <c r="H3065" s="22" t="s">
        <v>21384</v>
      </c>
      <c r="I3065" s="10" t="s">
        <v>9131</v>
      </c>
      <c r="J3065" s="13" t="b">
        <v>0</v>
      </c>
      <c r="K3065" s="13" t="b">
        <v>1</v>
      </c>
      <c r="L3065" s="10" t="s">
        <v>124</v>
      </c>
      <c r="M3065" s="10" t="s">
        <v>91</v>
      </c>
      <c r="N3065" s="10" t="s">
        <v>92</v>
      </c>
      <c r="O3065" s="19" t="s">
        <v>22481</v>
      </c>
      <c r="P3065" s="10"/>
      <c r="Q3065" s="10" t="s">
        <v>126</v>
      </c>
      <c r="R3065" s="10"/>
      <c r="S3065" s="19" t="s">
        <v>21401</v>
      </c>
      <c r="T3065" s="10"/>
      <c r="U3065" s="10"/>
      <c r="V3065" s="10"/>
      <c r="W3065" s="10" t="s">
        <v>21387</v>
      </c>
      <c r="X3065" s="10" t="s">
        <v>216</v>
      </c>
      <c r="Y3065" s="10" t="s">
        <v>216</v>
      </c>
      <c r="Z3065" s="10" t="s">
        <v>99</v>
      </c>
      <c r="AA3065" s="10" t="s">
        <v>131</v>
      </c>
      <c r="AB3065" s="10" t="s">
        <v>21388</v>
      </c>
      <c r="AC3065" s="10" t="s">
        <v>21389</v>
      </c>
      <c r="AD3065" s="10" t="s">
        <v>165</v>
      </c>
      <c r="AE3065" s="10" t="s">
        <v>22482</v>
      </c>
      <c r="AF3065" s="15"/>
      <c r="AG3065" s="10"/>
      <c r="AH3065" s="10"/>
      <c r="AI3065" s="10"/>
      <c r="AJ3065" s="10"/>
      <c r="AK3065" s="10" t="s">
        <v>102</v>
      </c>
      <c r="AL3065" s="10"/>
      <c r="AM3065" s="10"/>
      <c r="AN3065" s="10"/>
      <c r="AO3065" s="13" t="b">
        <v>0</v>
      </c>
      <c r="AP3065" s="22" t="s">
        <v>135</v>
      </c>
      <c r="AQ3065" s="10">
        <f ca="1">IFERROR(__xludf.DUMMYFUNCTION("""COMPUTED_VALUE"""),4781726)</f>
        <v>4781726</v>
      </c>
      <c r="AR3065" s="17">
        <v>7518</v>
      </c>
      <c r="AS3065" s="17">
        <v>5416</v>
      </c>
      <c r="AT3065" s="17">
        <v>60388.25</v>
      </c>
      <c r="AU3065" s="17">
        <v>31.3</v>
      </c>
      <c r="AV3065" s="17">
        <v>3.7</v>
      </c>
      <c r="AW3065" s="10" t="s">
        <v>105</v>
      </c>
      <c r="AX3065" s="17">
        <v>3906</v>
      </c>
      <c r="AY3065" s="18">
        <v>11.149972304283605</v>
      </c>
      <c r="AZ3065" s="10"/>
      <c r="BA3065" s="20" t="b">
        <v>0</v>
      </c>
      <c r="BB3065" s="10" t="s">
        <v>21400</v>
      </c>
      <c r="BC3065" s="17">
        <v>7518</v>
      </c>
      <c r="BD3065" s="17">
        <v>5416</v>
      </c>
      <c r="BE3065" s="17">
        <v>60388.25</v>
      </c>
      <c r="BF3065" s="17">
        <v>3.7</v>
      </c>
      <c r="BG3065" s="11">
        <f ca="1">IFERROR(__xludf.DUMMYFUNCTION("""COMPUTED_VALUE"""),46008.7013888888)</f>
        <v>46008.701388888803</v>
      </c>
      <c r="BH3065" s="17" t="s">
        <v>105</v>
      </c>
      <c r="BI3065" s="17"/>
      <c r="BJ3065" s="15"/>
      <c r="BK3065" s="15"/>
      <c r="BL3065" s="13" t="b">
        <v>0</v>
      </c>
      <c r="BM3065" s="10"/>
      <c r="BN3065" s="10" t="s">
        <v>157</v>
      </c>
      <c r="BO3065" s="11">
        <v>46006.466666666667</v>
      </c>
      <c r="BP3065" s="11">
        <v>46006.466956018521</v>
      </c>
      <c r="BQ3065" s="15"/>
      <c r="BR3065" s="15">
        <v>46006.580312500002</v>
      </c>
      <c r="BS3065" s="10" t="s">
        <v>157</v>
      </c>
      <c r="BT3065" s="10"/>
      <c r="BU3065" s="10"/>
      <c r="BV3065" s="10"/>
      <c r="BW3065" s="10"/>
      <c r="BX3065" s="10"/>
      <c r="BY3065" s="23"/>
      <c r="BZ3065" s="23"/>
      <c r="CA3065" s="19" t="s">
        <v>21402</v>
      </c>
      <c r="CB3065" s="23"/>
      <c r="CC3065" s="23"/>
      <c r="CD3065" s="19" t="s">
        <v>21403</v>
      </c>
      <c r="CE3065" s="23"/>
      <c r="CF3065" s="23"/>
      <c r="CG3065" s="23"/>
      <c r="CH3065" s="23"/>
      <c r="CI3065" s="23"/>
    </row>
    <row r="3066" spans="1:87" x14ac:dyDescent="0.3">
      <c r="A3066" s="25" t="s">
        <v>22483</v>
      </c>
      <c r="B3066" s="10" t="s">
        <v>22484</v>
      </c>
      <c r="C3066" s="11">
        <v>46008.736111111109</v>
      </c>
      <c r="D3066" s="12">
        <v>3.4722222222222224E-2</v>
      </c>
      <c r="E3066" s="11">
        <v>46008.770833333336</v>
      </c>
      <c r="F3066" s="22" t="s">
        <v>21383</v>
      </c>
      <c r="G3066" s="13" t="b">
        <v>0</v>
      </c>
      <c r="H3066" s="22" t="s">
        <v>21384</v>
      </c>
      <c r="I3066" s="10" t="s">
        <v>9131</v>
      </c>
      <c r="J3066" s="13" t="b">
        <v>0</v>
      </c>
      <c r="K3066" s="13" t="b">
        <v>1</v>
      </c>
      <c r="L3066" s="10" t="s">
        <v>124</v>
      </c>
      <c r="M3066" s="10" t="s">
        <v>91</v>
      </c>
      <c r="N3066" s="10" t="s">
        <v>92</v>
      </c>
      <c r="O3066" s="19" t="s">
        <v>22485</v>
      </c>
      <c r="P3066" s="10"/>
      <c r="Q3066" s="10" t="s">
        <v>126</v>
      </c>
      <c r="R3066" s="10"/>
      <c r="S3066" s="19" t="s">
        <v>21401</v>
      </c>
      <c r="T3066" s="10"/>
      <c r="U3066" s="10"/>
      <c r="V3066" s="10"/>
      <c r="W3066" s="10" t="s">
        <v>21387</v>
      </c>
      <c r="X3066" s="10" t="s">
        <v>216</v>
      </c>
      <c r="Y3066" s="10" t="s">
        <v>216</v>
      </c>
      <c r="Z3066" s="10" t="s">
        <v>99</v>
      </c>
      <c r="AA3066" s="10" t="s">
        <v>131</v>
      </c>
      <c r="AB3066" s="10" t="s">
        <v>21388</v>
      </c>
      <c r="AC3066" s="10" t="s">
        <v>21389</v>
      </c>
      <c r="AD3066" s="10" t="s">
        <v>165</v>
      </c>
      <c r="AE3066" s="10" t="s">
        <v>22486</v>
      </c>
      <c r="AF3066" s="15"/>
      <c r="AG3066" s="10"/>
      <c r="AH3066" s="10"/>
      <c r="AI3066" s="10"/>
      <c r="AJ3066" s="10"/>
      <c r="AK3066" s="10" t="s">
        <v>102</v>
      </c>
      <c r="AL3066" s="10"/>
      <c r="AM3066" s="10"/>
      <c r="AN3066" s="10"/>
      <c r="AO3066" s="13" t="b">
        <v>0</v>
      </c>
      <c r="AP3066" s="22" t="s">
        <v>104</v>
      </c>
      <c r="AQ3066" s="10">
        <f ca="1">IFERROR(__xludf.DUMMYFUNCTION("""COMPUTED_VALUE"""),4781727)</f>
        <v>4781727</v>
      </c>
      <c r="AR3066" s="17">
        <v>8337</v>
      </c>
      <c r="AS3066" s="17">
        <v>5868</v>
      </c>
      <c r="AT3066" s="17">
        <v>50146.75</v>
      </c>
      <c r="AU3066" s="17">
        <v>26</v>
      </c>
      <c r="AV3066" s="17">
        <v>3.65</v>
      </c>
      <c r="AW3066" s="10" t="s">
        <v>105</v>
      </c>
      <c r="AX3066" s="17">
        <v>2493</v>
      </c>
      <c r="AY3066" s="18">
        <v>8.5457992501704165</v>
      </c>
      <c r="AZ3066" s="10"/>
      <c r="BA3066" s="20" t="b">
        <v>0</v>
      </c>
      <c r="BB3066" s="10" t="s">
        <v>21400</v>
      </c>
      <c r="BC3066" s="17">
        <v>8337</v>
      </c>
      <c r="BD3066" s="17">
        <v>5868</v>
      </c>
      <c r="BE3066" s="17">
        <v>50146.75</v>
      </c>
      <c r="BF3066" s="17">
        <v>3.65</v>
      </c>
      <c r="BG3066" s="11">
        <f ca="1">IFERROR(__xludf.DUMMYFUNCTION("""COMPUTED_VALUE"""),46008.7361111111)</f>
        <v>46008.736111111102</v>
      </c>
      <c r="BH3066" s="17" t="s">
        <v>105</v>
      </c>
      <c r="BI3066" s="17"/>
      <c r="BJ3066" s="15"/>
      <c r="BK3066" s="15"/>
      <c r="BL3066" s="13" t="b">
        <v>0</v>
      </c>
      <c r="BM3066" s="10"/>
      <c r="BN3066" s="10" t="s">
        <v>157</v>
      </c>
      <c r="BO3066" s="11">
        <v>46006.466666666667</v>
      </c>
      <c r="BP3066" s="11">
        <v>46006.467210648145</v>
      </c>
      <c r="BQ3066" s="15"/>
      <c r="BR3066" s="15">
        <v>46006.580682870372</v>
      </c>
      <c r="BS3066" s="10" t="s">
        <v>157</v>
      </c>
      <c r="BT3066" s="10"/>
      <c r="BU3066" s="10"/>
      <c r="BV3066" s="10"/>
      <c r="BW3066" s="10"/>
      <c r="BX3066" s="10"/>
      <c r="BY3066" s="23"/>
      <c r="BZ3066" s="23"/>
      <c r="CA3066" s="19" t="s">
        <v>21402</v>
      </c>
      <c r="CB3066" s="23"/>
      <c r="CC3066" s="23"/>
      <c r="CD3066" s="19" t="s">
        <v>21403</v>
      </c>
      <c r="CE3066" s="23"/>
      <c r="CF3066" s="23"/>
      <c r="CG3066" s="23"/>
      <c r="CH3066" s="23"/>
      <c r="CI3066" s="23"/>
    </row>
    <row r="3067" spans="1:87" x14ac:dyDescent="0.3">
      <c r="A3067" s="9" t="s">
        <v>22487</v>
      </c>
      <c r="B3067" s="10" t="s">
        <v>22488</v>
      </c>
      <c r="C3067" s="11">
        <v>46008.770833333336</v>
      </c>
      <c r="D3067" s="12">
        <v>3.4722222222222224E-2</v>
      </c>
      <c r="E3067" s="11">
        <v>46008.805555555555</v>
      </c>
      <c r="F3067" s="22" t="s">
        <v>21383</v>
      </c>
      <c r="G3067" s="13" t="b">
        <v>0</v>
      </c>
      <c r="H3067" s="22" t="s">
        <v>21384</v>
      </c>
      <c r="I3067" s="10" t="s">
        <v>9131</v>
      </c>
      <c r="J3067" s="13" t="b">
        <v>0</v>
      </c>
      <c r="K3067" s="13" t="b">
        <v>1</v>
      </c>
      <c r="L3067" s="10" t="s">
        <v>124</v>
      </c>
      <c r="M3067" s="10" t="s">
        <v>91</v>
      </c>
      <c r="N3067" s="10" t="s">
        <v>92</v>
      </c>
      <c r="O3067" s="19" t="s">
        <v>22489</v>
      </c>
      <c r="P3067" s="10"/>
      <c r="Q3067" s="10" t="s">
        <v>126</v>
      </c>
      <c r="R3067" s="10"/>
      <c r="S3067" s="19" t="s">
        <v>21401</v>
      </c>
      <c r="T3067" s="10"/>
      <c r="U3067" s="10"/>
      <c r="V3067" s="10"/>
      <c r="W3067" s="10" t="s">
        <v>21387</v>
      </c>
      <c r="X3067" s="10" t="s">
        <v>216</v>
      </c>
      <c r="Y3067" s="10" t="s">
        <v>216</v>
      </c>
      <c r="Z3067" s="10" t="s">
        <v>99</v>
      </c>
      <c r="AA3067" s="10" t="s">
        <v>131</v>
      </c>
      <c r="AB3067" s="10" t="s">
        <v>21388</v>
      </c>
      <c r="AC3067" s="10" t="s">
        <v>21389</v>
      </c>
      <c r="AD3067" s="10" t="s">
        <v>165</v>
      </c>
      <c r="AE3067" s="10" t="s">
        <v>22490</v>
      </c>
      <c r="AF3067" s="15"/>
      <c r="AG3067" s="10"/>
      <c r="AH3067" s="10"/>
      <c r="AI3067" s="10"/>
      <c r="AJ3067" s="10"/>
      <c r="AK3067" s="10" t="s">
        <v>102</v>
      </c>
      <c r="AL3067" s="10"/>
      <c r="AM3067" s="10"/>
      <c r="AN3067" s="10"/>
      <c r="AO3067" s="13" t="b">
        <v>0</v>
      </c>
      <c r="AP3067" s="22" t="s">
        <v>104</v>
      </c>
      <c r="AQ3067" s="10">
        <f ca="1">IFERROR(__xludf.DUMMYFUNCTION("""COMPUTED_VALUE"""),4781728)</f>
        <v>4781728</v>
      </c>
      <c r="AR3067" s="17">
        <v>21325</v>
      </c>
      <c r="AS3067" s="17">
        <v>12508</v>
      </c>
      <c r="AT3067" s="17">
        <v>264620.75</v>
      </c>
      <c r="AU3067" s="17">
        <v>108.75</v>
      </c>
      <c r="AV3067" s="17">
        <v>23.9</v>
      </c>
      <c r="AW3067" s="10" t="s">
        <v>105</v>
      </c>
      <c r="AX3067" s="17">
        <v>7133</v>
      </c>
      <c r="AY3067" s="18">
        <v>21.156120083146785</v>
      </c>
      <c r="AZ3067" s="10"/>
      <c r="BA3067" s="20" t="b">
        <v>0</v>
      </c>
      <c r="BB3067" s="10" t="s">
        <v>21400</v>
      </c>
      <c r="BC3067" s="17">
        <v>21325</v>
      </c>
      <c r="BD3067" s="17">
        <v>12508</v>
      </c>
      <c r="BE3067" s="17">
        <v>264620.75</v>
      </c>
      <c r="BF3067" s="17">
        <v>23.9</v>
      </c>
      <c r="BG3067" s="11">
        <f ca="1">IFERROR(__xludf.DUMMYFUNCTION("""COMPUTED_VALUE"""),46008.7708333333)</f>
        <v>46008.770833333299</v>
      </c>
      <c r="BH3067" s="17" t="s">
        <v>105</v>
      </c>
      <c r="BI3067" s="17"/>
      <c r="BJ3067" s="15"/>
      <c r="BK3067" s="15"/>
      <c r="BL3067" s="13" t="b">
        <v>0</v>
      </c>
      <c r="BM3067" s="10"/>
      <c r="BN3067" s="10" t="s">
        <v>157</v>
      </c>
      <c r="BO3067" s="11">
        <v>46006.466666666667</v>
      </c>
      <c r="BP3067" s="11">
        <v>46006.46733796296</v>
      </c>
      <c r="BQ3067" s="15"/>
      <c r="BR3067" s="15">
        <v>46006.581192129626</v>
      </c>
      <c r="BS3067" s="10" t="s">
        <v>157</v>
      </c>
      <c r="BT3067" s="10"/>
      <c r="BU3067" s="10"/>
      <c r="BV3067" s="10"/>
      <c r="BW3067" s="10"/>
      <c r="BX3067" s="10"/>
      <c r="BY3067" s="23"/>
      <c r="BZ3067" s="23"/>
      <c r="CA3067" s="19" t="s">
        <v>21402</v>
      </c>
      <c r="CB3067" s="23"/>
      <c r="CC3067" s="23"/>
      <c r="CD3067" s="19" t="s">
        <v>21403</v>
      </c>
      <c r="CE3067" s="23"/>
      <c r="CF3067" s="23"/>
      <c r="CG3067" s="23"/>
      <c r="CH3067" s="23"/>
      <c r="CI3067" s="23"/>
    </row>
    <row r="3068" spans="1:87" x14ac:dyDescent="0.3">
      <c r="A3068" s="9" t="s">
        <v>22491</v>
      </c>
      <c r="B3068" s="10" t="s">
        <v>22492</v>
      </c>
      <c r="C3068" s="11">
        <v>46008.805555555555</v>
      </c>
      <c r="D3068" s="12">
        <v>3.4722222222222224E-2</v>
      </c>
      <c r="E3068" s="11">
        <v>46008.840277777781</v>
      </c>
      <c r="F3068" s="22" t="s">
        <v>21383</v>
      </c>
      <c r="G3068" s="13" t="b">
        <v>0</v>
      </c>
      <c r="H3068" s="22" t="s">
        <v>21384</v>
      </c>
      <c r="I3068" s="10" t="s">
        <v>9131</v>
      </c>
      <c r="J3068" s="13" t="b">
        <v>0</v>
      </c>
      <c r="K3068" s="13" t="b">
        <v>1</v>
      </c>
      <c r="L3068" s="10" t="s">
        <v>124</v>
      </c>
      <c r="M3068" s="10" t="s">
        <v>91</v>
      </c>
      <c r="N3068" s="10" t="s">
        <v>92</v>
      </c>
      <c r="O3068" s="19" t="s">
        <v>22493</v>
      </c>
      <c r="P3068" s="10"/>
      <c r="Q3068" s="10" t="s">
        <v>126</v>
      </c>
      <c r="R3068" s="10"/>
      <c r="S3068" s="19" t="s">
        <v>21401</v>
      </c>
      <c r="T3068" s="10"/>
      <c r="U3068" s="10"/>
      <c r="V3068" s="10"/>
      <c r="W3068" s="10" t="s">
        <v>21387</v>
      </c>
      <c r="X3068" s="10" t="s">
        <v>216</v>
      </c>
      <c r="Y3068" s="10" t="s">
        <v>216</v>
      </c>
      <c r="Z3068" s="10" t="s">
        <v>99</v>
      </c>
      <c r="AA3068" s="10" t="s">
        <v>131</v>
      </c>
      <c r="AB3068" s="10" t="s">
        <v>21388</v>
      </c>
      <c r="AC3068" s="10" t="s">
        <v>21389</v>
      </c>
      <c r="AD3068" s="10" t="s">
        <v>165</v>
      </c>
      <c r="AE3068" s="10" t="s">
        <v>22494</v>
      </c>
      <c r="AF3068" s="15"/>
      <c r="AG3068" s="10"/>
      <c r="AH3068" s="10"/>
      <c r="AI3068" s="10"/>
      <c r="AJ3068" s="10"/>
      <c r="AK3068" s="10" t="s">
        <v>102</v>
      </c>
      <c r="AL3068" s="10"/>
      <c r="AM3068" s="10"/>
      <c r="AN3068" s="10"/>
      <c r="AO3068" s="13" t="b">
        <v>0</v>
      </c>
      <c r="AP3068" s="22" t="s">
        <v>104</v>
      </c>
      <c r="AQ3068" s="10">
        <f ca="1">IFERROR(__xludf.DUMMYFUNCTION("""COMPUTED_VALUE"""),4781729)</f>
        <v>4781729</v>
      </c>
      <c r="AR3068" s="17">
        <v>28473</v>
      </c>
      <c r="AS3068" s="17">
        <v>20807</v>
      </c>
      <c r="AT3068" s="17">
        <v>348151</v>
      </c>
      <c r="AU3068" s="17">
        <v>237.25</v>
      </c>
      <c r="AV3068" s="17">
        <v>41.35</v>
      </c>
      <c r="AW3068" s="10" t="s">
        <v>105</v>
      </c>
      <c r="AX3068" s="17">
        <v>13689</v>
      </c>
      <c r="AY3068" s="18">
        <v>16.732397750756956</v>
      </c>
      <c r="AZ3068" s="10"/>
      <c r="BA3068" s="20" t="b">
        <v>0</v>
      </c>
      <c r="BB3068" s="10" t="s">
        <v>21400</v>
      </c>
      <c r="BC3068" s="17">
        <v>28473</v>
      </c>
      <c r="BD3068" s="17">
        <v>20807</v>
      </c>
      <c r="BE3068" s="17">
        <v>348151</v>
      </c>
      <c r="BF3068" s="17">
        <v>41.35</v>
      </c>
      <c r="BG3068" s="11">
        <f ca="1">IFERROR(__xludf.DUMMYFUNCTION("""COMPUTED_VALUE"""),46008.8055555555)</f>
        <v>46008.805555555497</v>
      </c>
      <c r="BH3068" s="17" t="s">
        <v>105</v>
      </c>
      <c r="BI3068" s="17"/>
      <c r="BJ3068" s="15"/>
      <c r="BK3068" s="15"/>
      <c r="BL3068" s="13" t="b">
        <v>0</v>
      </c>
      <c r="BM3068" s="10"/>
      <c r="BN3068" s="10" t="s">
        <v>157</v>
      </c>
      <c r="BO3068" s="11">
        <v>46006.467361111114</v>
      </c>
      <c r="BP3068" s="11">
        <v>46006.467546296299</v>
      </c>
      <c r="BQ3068" s="15"/>
      <c r="BR3068" s="15">
        <v>46006.581331018519</v>
      </c>
      <c r="BS3068" s="10" t="s">
        <v>157</v>
      </c>
      <c r="BT3068" s="10" t="s">
        <v>99</v>
      </c>
      <c r="BU3068" s="10"/>
      <c r="BV3068" s="10"/>
      <c r="BW3068" s="10"/>
      <c r="BX3068" s="10"/>
      <c r="BY3068" s="23"/>
      <c r="BZ3068" s="23"/>
      <c r="CA3068" s="19" t="s">
        <v>21402</v>
      </c>
      <c r="CB3068" s="23"/>
      <c r="CC3068" s="23"/>
      <c r="CD3068" s="19" t="s">
        <v>21403</v>
      </c>
      <c r="CE3068" s="23"/>
      <c r="CF3068" s="23"/>
      <c r="CG3068" s="23"/>
      <c r="CH3068" s="23"/>
      <c r="CI3068" s="23"/>
    </row>
    <row r="3069" spans="1:87" x14ac:dyDescent="0.3">
      <c r="A3069" s="9" t="s">
        <v>22495</v>
      </c>
      <c r="B3069" s="10" t="s">
        <v>22496</v>
      </c>
      <c r="C3069" s="11">
        <v>46009.354166666664</v>
      </c>
      <c r="D3069" s="12">
        <v>3.4722222222222224E-2</v>
      </c>
      <c r="E3069" s="11">
        <v>46009.388888888891</v>
      </c>
      <c r="F3069" s="22" t="s">
        <v>21383</v>
      </c>
      <c r="G3069" s="13" t="b">
        <v>0</v>
      </c>
      <c r="H3069" s="22" t="s">
        <v>21384</v>
      </c>
      <c r="I3069" s="10" t="s">
        <v>9131</v>
      </c>
      <c r="J3069" s="13" t="b">
        <v>0</v>
      </c>
      <c r="K3069" s="13" t="b">
        <v>1</v>
      </c>
      <c r="L3069" s="10" t="s">
        <v>124</v>
      </c>
      <c r="M3069" s="10" t="s">
        <v>91</v>
      </c>
      <c r="N3069" s="10" t="s">
        <v>92</v>
      </c>
      <c r="O3069" s="19" t="s">
        <v>22497</v>
      </c>
      <c r="P3069" s="10"/>
      <c r="Q3069" s="10" t="s">
        <v>126</v>
      </c>
      <c r="R3069" s="10"/>
      <c r="S3069" s="19" t="s">
        <v>21409</v>
      </c>
      <c r="T3069" s="10"/>
      <c r="U3069" s="10"/>
      <c r="V3069" s="10"/>
      <c r="W3069" s="10" t="s">
        <v>21387</v>
      </c>
      <c r="X3069" s="10" t="s">
        <v>216</v>
      </c>
      <c r="Y3069" s="10" t="s">
        <v>216</v>
      </c>
      <c r="Z3069" s="10" t="s">
        <v>99</v>
      </c>
      <c r="AA3069" s="10" t="s">
        <v>131</v>
      </c>
      <c r="AB3069" s="10" t="s">
        <v>21388</v>
      </c>
      <c r="AC3069" s="10" t="s">
        <v>21389</v>
      </c>
      <c r="AD3069" s="10" t="s">
        <v>165</v>
      </c>
      <c r="AE3069" s="10" t="s">
        <v>22498</v>
      </c>
      <c r="AF3069" s="15"/>
      <c r="AG3069" s="10"/>
      <c r="AH3069" s="10"/>
      <c r="AI3069" s="10"/>
      <c r="AJ3069" s="10"/>
      <c r="AK3069" s="10" t="s">
        <v>102</v>
      </c>
      <c r="AL3069" s="10"/>
      <c r="AM3069" s="10"/>
      <c r="AN3069" s="10"/>
      <c r="AO3069" s="13" t="b">
        <v>0</v>
      </c>
      <c r="AP3069" s="22" t="s">
        <v>135</v>
      </c>
      <c r="AQ3069" s="10">
        <f ca="1">IFERROR(__xludf.DUMMYFUNCTION("""COMPUTED_VALUE"""),4783137)</f>
        <v>4783137</v>
      </c>
      <c r="AR3069" s="17">
        <v>30777</v>
      </c>
      <c r="AS3069" s="17">
        <v>18088</v>
      </c>
      <c r="AT3069" s="17">
        <v>644729.5</v>
      </c>
      <c r="AU3069" s="17">
        <v>215.5</v>
      </c>
      <c r="AV3069" s="17">
        <v>51.55</v>
      </c>
      <c r="AW3069" s="10" t="s">
        <v>105</v>
      </c>
      <c r="AX3069" s="17">
        <v>9995</v>
      </c>
      <c r="AY3069" s="18">
        <v>35.644045776205218</v>
      </c>
      <c r="AZ3069" s="10"/>
      <c r="BA3069" s="20" t="b">
        <v>0</v>
      </c>
      <c r="BB3069" s="10" t="s">
        <v>21408</v>
      </c>
      <c r="BC3069" s="17">
        <v>30777</v>
      </c>
      <c r="BD3069" s="17">
        <v>18088</v>
      </c>
      <c r="BE3069" s="17">
        <v>644729.5</v>
      </c>
      <c r="BF3069" s="17">
        <v>51.55</v>
      </c>
      <c r="BG3069" s="11">
        <f ca="1">IFERROR(__xludf.DUMMYFUNCTION("""COMPUTED_VALUE"""),46009.3541666666)</f>
        <v>46009.354166666599</v>
      </c>
      <c r="BH3069" s="17" t="s">
        <v>105</v>
      </c>
      <c r="BI3069" s="17"/>
      <c r="BJ3069" s="15"/>
      <c r="BK3069" s="15"/>
      <c r="BL3069" s="13" t="b">
        <v>0</v>
      </c>
      <c r="BM3069" s="10"/>
      <c r="BN3069" s="10" t="s">
        <v>241</v>
      </c>
      <c r="BO3069" s="11">
        <v>46006.597222222219</v>
      </c>
      <c r="BP3069" s="11">
        <v>46006.597754629627</v>
      </c>
      <c r="BQ3069" s="15"/>
      <c r="BR3069" s="15">
        <v>46007.426111111112</v>
      </c>
      <c r="BS3069" s="10"/>
      <c r="BT3069" s="10" t="s">
        <v>99</v>
      </c>
      <c r="BU3069" s="10"/>
      <c r="BV3069" s="10"/>
      <c r="BW3069" s="10"/>
      <c r="BX3069" s="10"/>
      <c r="BY3069" s="23"/>
      <c r="BZ3069" s="23"/>
      <c r="CA3069" s="19" t="s">
        <v>21410</v>
      </c>
      <c r="CB3069" s="23"/>
      <c r="CC3069" s="23"/>
      <c r="CD3069" s="19" t="s">
        <v>21411</v>
      </c>
      <c r="CE3069" s="23"/>
      <c r="CF3069" s="23"/>
      <c r="CG3069" s="23"/>
      <c r="CH3069" s="23"/>
      <c r="CI3069" s="23"/>
    </row>
    <row r="3070" spans="1:87" x14ac:dyDescent="0.3">
      <c r="A3070" s="9" t="s">
        <v>22499</v>
      </c>
      <c r="B3070" s="10" t="s">
        <v>22500</v>
      </c>
      <c r="C3070" s="11">
        <v>46009.388888888891</v>
      </c>
      <c r="D3070" s="12">
        <v>3.4722222222222224E-2</v>
      </c>
      <c r="E3070" s="11">
        <v>46009.423611111109</v>
      </c>
      <c r="F3070" s="22" t="s">
        <v>21383</v>
      </c>
      <c r="G3070" s="13" t="b">
        <v>0</v>
      </c>
      <c r="H3070" s="22" t="s">
        <v>21384</v>
      </c>
      <c r="I3070" s="10" t="s">
        <v>9131</v>
      </c>
      <c r="J3070" s="13" t="b">
        <v>0</v>
      </c>
      <c r="K3070" s="13" t="b">
        <v>1</v>
      </c>
      <c r="L3070" s="10" t="s">
        <v>124</v>
      </c>
      <c r="M3070" s="10" t="s">
        <v>91</v>
      </c>
      <c r="N3070" s="10" t="s">
        <v>92</v>
      </c>
      <c r="O3070" s="19" t="s">
        <v>22501</v>
      </c>
      <c r="P3070" s="10"/>
      <c r="Q3070" s="10" t="s">
        <v>126</v>
      </c>
      <c r="R3070" s="10"/>
      <c r="S3070" s="19" t="s">
        <v>21409</v>
      </c>
      <c r="T3070" s="10"/>
      <c r="U3070" s="10"/>
      <c r="V3070" s="10"/>
      <c r="W3070" s="10" t="s">
        <v>21387</v>
      </c>
      <c r="X3070" s="10" t="s">
        <v>216</v>
      </c>
      <c r="Y3070" s="10" t="s">
        <v>216</v>
      </c>
      <c r="Z3070" s="10" t="s">
        <v>99</v>
      </c>
      <c r="AA3070" s="10" t="s">
        <v>131</v>
      </c>
      <c r="AB3070" s="10" t="s">
        <v>21388</v>
      </c>
      <c r="AC3070" s="10" t="s">
        <v>21389</v>
      </c>
      <c r="AD3070" s="10" t="s">
        <v>165</v>
      </c>
      <c r="AE3070" s="10" t="s">
        <v>22502</v>
      </c>
      <c r="AF3070" s="15"/>
      <c r="AG3070" s="10"/>
      <c r="AH3070" s="10"/>
      <c r="AI3070" s="10"/>
      <c r="AJ3070" s="10"/>
      <c r="AK3070" s="10" t="s">
        <v>102</v>
      </c>
      <c r="AL3070" s="10"/>
      <c r="AM3070" s="10"/>
      <c r="AN3070" s="10"/>
      <c r="AO3070" s="13" t="b">
        <v>0</v>
      </c>
      <c r="AP3070" s="22" t="s">
        <v>135</v>
      </c>
      <c r="AQ3070" s="10">
        <f ca="1">IFERROR(__xludf.DUMMYFUNCTION("""COMPUTED_VALUE"""),4783138)</f>
        <v>4783138</v>
      </c>
      <c r="AR3070" s="17">
        <v>4978</v>
      </c>
      <c r="AS3070" s="17">
        <v>3568</v>
      </c>
      <c r="AT3070" s="17">
        <v>32485.75</v>
      </c>
      <c r="AU3070" s="17">
        <v>9</v>
      </c>
      <c r="AV3070" s="17">
        <v>2.75</v>
      </c>
      <c r="AW3070" s="10" t="s">
        <v>105</v>
      </c>
      <c r="AX3070" s="17">
        <v>8818</v>
      </c>
      <c r="AY3070" s="18">
        <v>9.1047505605381165</v>
      </c>
      <c r="AZ3070" s="10"/>
      <c r="BA3070" s="20" t="b">
        <v>0</v>
      </c>
      <c r="BB3070" s="10" t="s">
        <v>21408</v>
      </c>
      <c r="BC3070" s="17">
        <v>4978</v>
      </c>
      <c r="BD3070" s="17">
        <v>3568</v>
      </c>
      <c r="BE3070" s="17">
        <v>32485.75</v>
      </c>
      <c r="BF3070" s="17">
        <v>2.75</v>
      </c>
      <c r="BG3070" s="11">
        <f ca="1">IFERROR(__xludf.DUMMYFUNCTION("""COMPUTED_VALUE"""),46009.3888888888)</f>
        <v>46009.388888888803</v>
      </c>
      <c r="BH3070" s="17" t="s">
        <v>105</v>
      </c>
      <c r="BI3070" s="17"/>
      <c r="BJ3070" s="15"/>
      <c r="BK3070" s="15"/>
      <c r="BL3070" s="13" t="b">
        <v>0</v>
      </c>
      <c r="BM3070" s="10"/>
      <c r="BN3070" s="10" t="s">
        <v>157</v>
      </c>
      <c r="BO3070" s="11">
        <v>46006.597916666666</v>
      </c>
      <c r="BP3070" s="11">
        <v>46006.598495370374</v>
      </c>
      <c r="BQ3070" s="15"/>
      <c r="BR3070" s="15">
        <v>46007.426226851851</v>
      </c>
      <c r="BS3070" s="10" t="s">
        <v>157</v>
      </c>
      <c r="BT3070" s="10"/>
      <c r="BU3070" s="10"/>
      <c r="BV3070" s="10"/>
      <c r="BW3070" s="10"/>
      <c r="BX3070" s="10"/>
      <c r="BY3070" s="23"/>
      <c r="BZ3070" s="23"/>
      <c r="CA3070" s="19" t="s">
        <v>21410</v>
      </c>
      <c r="CB3070" s="23"/>
      <c r="CC3070" s="23"/>
      <c r="CD3070" s="19" t="s">
        <v>21411</v>
      </c>
      <c r="CE3070" s="23"/>
      <c r="CF3070" s="23"/>
      <c r="CG3070" s="23"/>
      <c r="CH3070" s="23"/>
      <c r="CI3070" s="23"/>
    </row>
    <row r="3071" spans="1:87" x14ac:dyDescent="0.3">
      <c r="A3071" s="9" t="s">
        <v>22503</v>
      </c>
      <c r="B3071" s="10" t="s">
        <v>22504</v>
      </c>
      <c r="C3071" s="11">
        <v>46009.423611111109</v>
      </c>
      <c r="D3071" s="12">
        <v>3.4722222222222224E-2</v>
      </c>
      <c r="E3071" s="11">
        <v>46009.458333333336</v>
      </c>
      <c r="F3071" s="22" t="s">
        <v>21383</v>
      </c>
      <c r="G3071" s="13" t="b">
        <v>0</v>
      </c>
      <c r="H3071" s="22" t="s">
        <v>21384</v>
      </c>
      <c r="I3071" s="10" t="s">
        <v>9131</v>
      </c>
      <c r="J3071" s="13" t="b">
        <v>0</v>
      </c>
      <c r="K3071" s="13" t="b">
        <v>1</v>
      </c>
      <c r="L3071" s="10" t="s">
        <v>124</v>
      </c>
      <c r="M3071" s="10" t="s">
        <v>91</v>
      </c>
      <c r="N3071" s="10" t="s">
        <v>92</v>
      </c>
      <c r="O3071" s="19" t="s">
        <v>22505</v>
      </c>
      <c r="P3071" s="10"/>
      <c r="Q3071" s="10" t="s">
        <v>126</v>
      </c>
      <c r="R3071" s="10"/>
      <c r="S3071" s="19" t="s">
        <v>21409</v>
      </c>
      <c r="T3071" s="10"/>
      <c r="U3071" s="10"/>
      <c r="V3071" s="10"/>
      <c r="W3071" s="10" t="s">
        <v>21387</v>
      </c>
      <c r="X3071" s="10" t="s">
        <v>216</v>
      </c>
      <c r="Y3071" s="10" t="s">
        <v>216</v>
      </c>
      <c r="Z3071" s="10" t="s">
        <v>99</v>
      </c>
      <c r="AA3071" s="10" t="s">
        <v>131</v>
      </c>
      <c r="AB3071" s="10" t="s">
        <v>21388</v>
      </c>
      <c r="AC3071" s="10" t="s">
        <v>21389</v>
      </c>
      <c r="AD3071" s="10" t="s">
        <v>165</v>
      </c>
      <c r="AE3071" s="10" t="s">
        <v>22506</v>
      </c>
      <c r="AF3071" s="15"/>
      <c r="AG3071" s="10"/>
      <c r="AH3071" s="10"/>
      <c r="AI3071" s="10"/>
      <c r="AJ3071" s="10"/>
      <c r="AK3071" s="10" t="s">
        <v>102</v>
      </c>
      <c r="AL3071" s="10"/>
      <c r="AM3071" s="10"/>
      <c r="AN3071" s="10"/>
      <c r="AO3071" s="13" t="b">
        <v>0</v>
      </c>
      <c r="AP3071" s="22" t="s">
        <v>135</v>
      </c>
      <c r="AQ3071" s="10">
        <f ca="1">IFERROR(__xludf.DUMMYFUNCTION("""COMPUTED_VALUE"""),4783139)</f>
        <v>4783139</v>
      </c>
      <c r="AR3071" s="17">
        <v>16091</v>
      </c>
      <c r="AS3071" s="17">
        <v>9021</v>
      </c>
      <c r="AT3071" s="17">
        <v>237922.5</v>
      </c>
      <c r="AU3071" s="17">
        <v>55.4</v>
      </c>
      <c r="AV3071" s="17">
        <v>18.05</v>
      </c>
      <c r="AW3071" s="10" t="s">
        <v>105</v>
      </c>
      <c r="AX3071" s="17">
        <v>3655</v>
      </c>
      <c r="AY3071" s="18">
        <v>26.37429331559694</v>
      </c>
      <c r="AZ3071" s="10"/>
      <c r="BA3071" s="20" t="b">
        <v>0</v>
      </c>
      <c r="BB3071" s="10" t="s">
        <v>21408</v>
      </c>
      <c r="BC3071" s="17">
        <v>16091</v>
      </c>
      <c r="BD3071" s="17">
        <v>9021</v>
      </c>
      <c r="BE3071" s="17">
        <v>237922.5</v>
      </c>
      <c r="BF3071" s="17">
        <v>18.05</v>
      </c>
      <c r="BG3071" s="11">
        <f ca="1">IFERROR(__xludf.DUMMYFUNCTION("""COMPUTED_VALUE"""),46009.4236111111)</f>
        <v>46009.423611111102</v>
      </c>
      <c r="BH3071" s="17" t="s">
        <v>105</v>
      </c>
      <c r="BI3071" s="17"/>
      <c r="BJ3071" s="15"/>
      <c r="BK3071" s="15"/>
      <c r="BL3071" s="13" t="b">
        <v>0</v>
      </c>
      <c r="BM3071" s="10"/>
      <c r="BN3071" s="10" t="s">
        <v>157</v>
      </c>
      <c r="BO3071" s="11">
        <v>46006.598611111112</v>
      </c>
      <c r="BP3071" s="11">
        <v>46006.599247685182</v>
      </c>
      <c r="BQ3071" s="15"/>
      <c r="BR3071" s="15">
        <v>46007.42633101852</v>
      </c>
      <c r="BS3071" s="10" t="s">
        <v>157</v>
      </c>
      <c r="BT3071" s="10"/>
      <c r="BU3071" s="10"/>
      <c r="BV3071" s="10"/>
      <c r="BW3071" s="10"/>
      <c r="BX3071" s="10"/>
      <c r="BY3071" s="23"/>
      <c r="BZ3071" s="23"/>
      <c r="CA3071" s="19" t="s">
        <v>21410</v>
      </c>
      <c r="CB3071" s="23"/>
      <c r="CC3071" s="23"/>
      <c r="CD3071" s="19" t="s">
        <v>21411</v>
      </c>
      <c r="CE3071" s="23"/>
      <c r="CF3071" s="23"/>
      <c r="CG3071" s="23"/>
      <c r="CH3071" s="23"/>
      <c r="CI3071" s="23"/>
    </row>
    <row r="3072" spans="1:87" x14ac:dyDescent="0.3">
      <c r="A3072" s="9" t="s">
        <v>22507</v>
      </c>
      <c r="B3072" s="10" t="s">
        <v>22508</v>
      </c>
      <c r="C3072" s="11">
        <v>46009.458333333336</v>
      </c>
      <c r="D3072" s="12">
        <v>3.4722222222222224E-2</v>
      </c>
      <c r="E3072" s="11">
        <v>46009.493055555555</v>
      </c>
      <c r="F3072" s="22" t="s">
        <v>21383</v>
      </c>
      <c r="G3072" s="13" t="b">
        <v>0</v>
      </c>
      <c r="H3072" s="22" t="s">
        <v>21384</v>
      </c>
      <c r="I3072" s="10" t="s">
        <v>9131</v>
      </c>
      <c r="J3072" s="13" t="b">
        <v>0</v>
      </c>
      <c r="K3072" s="13" t="b">
        <v>1</v>
      </c>
      <c r="L3072" s="10" t="s">
        <v>124</v>
      </c>
      <c r="M3072" s="10" t="s">
        <v>91</v>
      </c>
      <c r="N3072" s="10" t="s">
        <v>92</v>
      </c>
      <c r="O3072" s="19" t="s">
        <v>22509</v>
      </c>
      <c r="P3072" s="10"/>
      <c r="Q3072" s="10" t="s">
        <v>126</v>
      </c>
      <c r="R3072" s="10"/>
      <c r="S3072" s="19" t="s">
        <v>21409</v>
      </c>
      <c r="T3072" s="10"/>
      <c r="U3072" s="10"/>
      <c r="V3072" s="10"/>
      <c r="W3072" s="10" t="s">
        <v>21387</v>
      </c>
      <c r="X3072" s="10" t="s">
        <v>216</v>
      </c>
      <c r="Y3072" s="10" t="s">
        <v>216</v>
      </c>
      <c r="Z3072" s="10" t="s">
        <v>99</v>
      </c>
      <c r="AA3072" s="10" t="s">
        <v>131</v>
      </c>
      <c r="AB3072" s="10" t="s">
        <v>21388</v>
      </c>
      <c r="AC3072" s="10" t="s">
        <v>21389</v>
      </c>
      <c r="AD3072" s="10" t="s">
        <v>165</v>
      </c>
      <c r="AE3072" s="10" t="s">
        <v>22510</v>
      </c>
      <c r="AF3072" s="15"/>
      <c r="AG3072" s="10"/>
      <c r="AH3072" s="10"/>
      <c r="AI3072" s="10"/>
      <c r="AJ3072" s="10"/>
      <c r="AK3072" s="10" t="s">
        <v>102</v>
      </c>
      <c r="AL3072" s="10"/>
      <c r="AM3072" s="10"/>
      <c r="AN3072" s="10"/>
      <c r="AO3072" s="13" t="b">
        <v>0</v>
      </c>
      <c r="AP3072" s="22" t="s">
        <v>221</v>
      </c>
      <c r="AQ3072" s="10">
        <f ca="1">IFERROR(__xludf.DUMMYFUNCTION("""COMPUTED_VALUE"""),4783140)</f>
        <v>4783140</v>
      </c>
      <c r="AR3072" s="17">
        <v>12718</v>
      </c>
      <c r="AS3072" s="17">
        <v>8175</v>
      </c>
      <c r="AT3072" s="17">
        <v>189250.5</v>
      </c>
      <c r="AU3072" s="17">
        <v>47.85</v>
      </c>
      <c r="AV3072" s="17">
        <v>10.5</v>
      </c>
      <c r="AW3072" s="10" t="s">
        <v>105</v>
      </c>
      <c r="AX3072" s="17">
        <v>4110</v>
      </c>
      <c r="AY3072" s="18">
        <v>23.149908256880735</v>
      </c>
      <c r="AZ3072" s="10"/>
      <c r="BA3072" s="20" t="b">
        <v>0</v>
      </c>
      <c r="BB3072" s="10" t="s">
        <v>21408</v>
      </c>
      <c r="BC3072" s="17">
        <v>12718</v>
      </c>
      <c r="BD3072" s="17">
        <v>8175</v>
      </c>
      <c r="BE3072" s="17">
        <v>189250.5</v>
      </c>
      <c r="BF3072" s="17">
        <v>10.5</v>
      </c>
      <c r="BG3072" s="11">
        <f ca="1">IFERROR(__xludf.DUMMYFUNCTION("""COMPUTED_VALUE"""),46009.4583333333)</f>
        <v>46009.458333333299</v>
      </c>
      <c r="BH3072" s="17" t="s">
        <v>105</v>
      </c>
      <c r="BI3072" s="17"/>
      <c r="BJ3072" s="15"/>
      <c r="BK3072" s="15"/>
      <c r="BL3072" s="13" t="b">
        <v>0</v>
      </c>
      <c r="BM3072" s="10"/>
      <c r="BN3072" s="10" t="s">
        <v>157</v>
      </c>
      <c r="BO3072" s="11">
        <v>46006.599305555559</v>
      </c>
      <c r="BP3072" s="11">
        <v>46006.599629629629</v>
      </c>
      <c r="BQ3072" s="15"/>
      <c r="BR3072" s="15">
        <v>46007.426446759258</v>
      </c>
      <c r="BS3072" s="10" t="s">
        <v>157</v>
      </c>
      <c r="BT3072" s="10"/>
      <c r="BU3072" s="10"/>
      <c r="BV3072" s="10"/>
      <c r="BW3072" s="10"/>
      <c r="BX3072" s="10"/>
      <c r="BY3072" s="23"/>
      <c r="BZ3072" s="23"/>
      <c r="CA3072" s="19" t="s">
        <v>21410</v>
      </c>
      <c r="CB3072" s="23"/>
      <c r="CC3072" s="23"/>
      <c r="CD3072" s="19" t="s">
        <v>21411</v>
      </c>
      <c r="CE3072" s="23"/>
      <c r="CF3072" s="23"/>
      <c r="CG3072" s="23"/>
      <c r="CH3072" s="23"/>
      <c r="CI3072" s="23"/>
    </row>
    <row r="3073" spans="1:87" x14ac:dyDescent="0.3">
      <c r="A3073" s="9" t="s">
        <v>22511</v>
      </c>
      <c r="B3073" s="10" t="s">
        <v>22512</v>
      </c>
      <c r="C3073" s="11">
        <v>46009.493055555555</v>
      </c>
      <c r="D3073" s="12">
        <v>3.4722222222222224E-2</v>
      </c>
      <c r="E3073" s="11">
        <v>46009.527777777781</v>
      </c>
      <c r="F3073" s="22" t="s">
        <v>21383</v>
      </c>
      <c r="G3073" s="13" t="b">
        <v>0</v>
      </c>
      <c r="H3073" s="22" t="s">
        <v>21384</v>
      </c>
      <c r="I3073" s="10" t="s">
        <v>9131</v>
      </c>
      <c r="J3073" s="13" t="b">
        <v>0</v>
      </c>
      <c r="K3073" s="13" t="b">
        <v>1</v>
      </c>
      <c r="L3073" s="10" t="s">
        <v>124</v>
      </c>
      <c r="M3073" s="10" t="s">
        <v>91</v>
      </c>
      <c r="N3073" s="10" t="s">
        <v>92</v>
      </c>
      <c r="O3073" s="19" t="s">
        <v>22513</v>
      </c>
      <c r="P3073" s="10"/>
      <c r="Q3073" s="10" t="s">
        <v>126</v>
      </c>
      <c r="R3073" s="10"/>
      <c r="S3073" s="19" t="s">
        <v>21409</v>
      </c>
      <c r="T3073" s="10"/>
      <c r="U3073" s="10"/>
      <c r="V3073" s="10"/>
      <c r="W3073" s="10" t="s">
        <v>21387</v>
      </c>
      <c r="X3073" s="10" t="s">
        <v>216</v>
      </c>
      <c r="Y3073" s="10" t="s">
        <v>216</v>
      </c>
      <c r="Z3073" s="10" t="s">
        <v>99</v>
      </c>
      <c r="AA3073" s="10" t="s">
        <v>131</v>
      </c>
      <c r="AB3073" s="10" t="s">
        <v>21388</v>
      </c>
      <c r="AC3073" s="10" t="s">
        <v>21389</v>
      </c>
      <c r="AD3073" s="10" t="s">
        <v>165</v>
      </c>
      <c r="AE3073" s="10" t="s">
        <v>22514</v>
      </c>
      <c r="AF3073" s="15"/>
      <c r="AG3073" s="10"/>
      <c r="AH3073" s="10"/>
      <c r="AI3073" s="10"/>
      <c r="AJ3073" s="10"/>
      <c r="AK3073" s="10" t="s">
        <v>102</v>
      </c>
      <c r="AL3073" s="10"/>
      <c r="AM3073" s="10"/>
      <c r="AN3073" s="10"/>
      <c r="AO3073" s="13" t="b">
        <v>0</v>
      </c>
      <c r="AP3073" s="22" t="s">
        <v>104</v>
      </c>
      <c r="AQ3073" s="10">
        <f ca="1">IFERROR(__xludf.DUMMYFUNCTION("""COMPUTED_VALUE"""),4783141)</f>
        <v>4783141</v>
      </c>
      <c r="AR3073" s="17">
        <v>8038</v>
      </c>
      <c r="AS3073" s="17">
        <v>5726</v>
      </c>
      <c r="AT3073" s="17">
        <v>99749</v>
      </c>
      <c r="AU3073" s="17">
        <v>46.5</v>
      </c>
      <c r="AV3073" s="17">
        <v>10.6</v>
      </c>
      <c r="AW3073" s="10" t="s">
        <v>105</v>
      </c>
      <c r="AX3073" s="17">
        <v>4185</v>
      </c>
      <c r="AY3073" s="18">
        <v>17.420363255326581</v>
      </c>
      <c r="AZ3073" s="10"/>
      <c r="BA3073" s="20" t="b">
        <v>0</v>
      </c>
      <c r="BB3073" s="10" t="s">
        <v>21408</v>
      </c>
      <c r="BC3073" s="17">
        <v>8038</v>
      </c>
      <c r="BD3073" s="17">
        <v>5726</v>
      </c>
      <c r="BE3073" s="17">
        <v>99749</v>
      </c>
      <c r="BF3073" s="17">
        <v>10.6</v>
      </c>
      <c r="BG3073" s="11">
        <f ca="1">IFERROR(__xludf.DUMMYFUNCTION("""COMPUTED_VALUE"""),46009.4930555555)</f>
        <v>46009.493055555497</v>
      </c>
      <c r="BH3073" s="17" t="s">
        <v>105</v>
      </c>
      <c r="BI3073" s="17"/>
      <c r="BJ3073" s="15"/>
      <c r="BK3073" s="15"/>
      <c r="BL3073" s="13" t="b">
        <v>0</v>
      </c>
      <c r="BM3073" s="10"/>
      <c r="BN3073" s="10" t="s">
        <v>157</v>
      </c>
      <c r="BO3073" s="11">
        <v>46006.6</v>
      </c>
      <c r="BP3073" s="11">
        <v>46006.600381944445</v>
      </c>
      <c r="BQ3073" s="15"/>
      <c r="BR3073" s="15">
        <v>46007.426574074074</v>
      </c>
      <c r="BS3073" s="10" t="s">
        <v>157</v>
      </c>
      <c r="BT3073" s="10"/>
      <c r="BU3073" s="10"/>
      <c r="BV3073" s="10"/>
      <c r="BW3073" s="10"/>
      <c r="BX3073" s="10"/>
      <c r="BY3073" s="23"/>
      <c r="BZ3073" s="23"/>
      <c r="CA3073" s="19" t="s">
        <v>21410</v>
      </c>
      <c r="CB3073" s="23"/>
      <c r="CC3073" s="23"/>
      <c r="CD3073" s="19" t="s">
        <v>21411</v>
      </c>
      <c r="CE3073" s="23"/>
      <c r="CF3073" s="23"/>
      <c r="CG3073" s="23"/>
      <c r="CH3073" s="23"/>
      <c r="CI3073" s="23"/>
    </row>
    <row r="3074" spans="1:87" x14ac:dyDescent="0.3">
      <c r="A3074" s="9" t="s">
        <v>22515</v>
      </c>
      <c r="B3074" s="10" t="s">
        <v>22516</v>
      </c>
      <c r="C3074" s="11">
        <v>46009.354166666664</v>
      </c>
      <c r="D3074" s="12">
        <v>3.4722222222222224E-2</v>
      </c>
      <c r="E3074" s="11">
        <v>46009.388888888891</v>
      </c>
      <c r="F3074" s="22" t="s">
        <v>21383</v>
      </c>
      <c r="G3074" s="13" t="b">
        <v>0</v>
      </c>
      <c r="H3074" s="22" t="s">
        <v>21384</v>
      </c>
      <c r="I3074" s="10" t="s">
        <v>9131</v>
      </c>
      <c r="J3074" s="13" t="b">
        <v>0</v>
      </c>
      <c r="K3074" s="13" t="b">
        <v>1</v>
      </c>
      <c r="L3074" s="10" t="s">
        <v>124</v>
      </c>
      <c r="M3074" s="10" t="s">
        <v>91</v>
      </c>
      <c r="N3074" s="10" t="s">
        <v>92</v>
      </c>
      <c r="O3074" s="19" t="s">
        <v>22517</v>
      </c>
      <c r="P3074" s="10"/>
      <c r="Q3074" s="10" t="s">
        <v>126</v>
      </c>
      <c r="R3074" s="10"/>
      <c r="S3074" s="19" t="s">
        <v>21413</v>
      </c>
      <c r="T3074" s="10"/>
      <c r="U3074" s="10"/>
      <c r="V3074" s="10"/>
      <c r="W3074" s="10" t="s">
        <v>21387</v>
      </c>
      <c r="X3074" s="10" t="s">
        <v>216</v>
      </c>
      <c r="Y3074" s="10" t="s">
        <v>216</v>
      </c>
      <c r="Z3074" s="10" t="s">
        <v>99</v>
      </c>
      <c r="AA3074" s="10" t="s">
        <v>131</v>
      </c>
      <c r="AB3074" s="10" t="s">
        <v>21388</v>
      </c>
      <c r="AC3074" s="10" t="s">
        <v>21389</v>
      </c>
      <c r="AD3074" s="10" t="s">
        <v>165</v>
      </c>
      <c r="AE3074" s="10" t="s">
        <v>22518</v>
      </c>
      <c r="AF3074" s="15"/>
      <c r="AG3074" s="10"/>
      <c r="AH3074" s="10"/>
      <c r="AI3074" s="10"/>
      <c r="AJ3074" s="10"/>
      <c r="AK3074" s="10" t="s">
        <v>102</v>
      </c>
      <c r="AL3074" s="10"/>
      <c r="AM3074" s="10"/>
      <c r="AN3074" s="10"/>
      <c r="AO3074" s="13" t="b">
        <v>0</v>
      </c>
      <c r="AP3074" s="22" t="s">
        <v>135</v>
      </c>
      <c r="AQ3074" s="10">
        <f ca="1">IFERROR(__xludf.DUMMYFUNCTION("""COMPUTED_VALUE"""),4783192)</f>
        <v>4783192</v>
      </c>
      <c r="AR3074" s="17">
        <v>6647</v>
      </c>
      <c r="AS3074" s="17">
        <v>3948</v>
      </c>
      <c r="AT3074" s="17">
        <v>45561</v>
      </c>
      <c r="AU3074" s="17">
        <v>9.3000000000000007</v>
      </c>
      <c r="AV3074" s="17">
        <v>2.4</v>
      </c>
      <c r="AW3074" s="10" t="s">
        <v>105</v>
      </c>
      <c r="AX3074" s="17">
        <v>1546</v>
      </c>
      <c r="AY3074" s="18">
        <v>11.540273556231003</v>
      </c>
      <c r="AZ3074" s="10"/>
      <c r="BA3074" s="20" t="b">
        <v>0</v>
      </c>
      <c r="BB3074" s="10" t="s">
        <v>21412</v>
      </c>
      <c r="BC3074" s="17">
        <v>6647</v>
      </c>
      <c r="BD3074" s="17">
        <v>3948</v>
      </c>
      <c r="BE3074" s="17">
        <v>45561</v>
      </c>
      <c r="BF3074" s="17">
        <v>2.4</v>
      </c>
      <c r="BG3074" s="11">
        <f ca="1">IFERROR(__xludf.DUMMYFUNCTION("""COMPUTED_VALUE"""),46009.3541666666)</f>
        <v>46009.354166666599</v>
      </c>
      <c r="BH3074" s="17" t="s">
        <v>105</v>
      </c>
      <c r="BI3074" s="17"/>
      <c r="BJ3074" s="15"/>
      <c r="BK3074" s="15"/>
      <c r="BL3074" s="13" t="b">
        <v>0</v>
      </c>
      <c r="BM3074" s="10"/>
      <c r="BN3074" s="10" t="s">
        <v>157</v>
      </c>
      <c r="BO3074" s="11">
        <v>46006.600694444445</v>
      </c>
      <c r="BP3074" s="11">
        <v>46006.601122685184</v>
      </c>
      <c r="BQ3074" s="15"/>
      <c r="BR3074" s="15">
        <v>46007.445671296293</v>
      </c>
      <c r="BS3074" s="10" t="s">
        <v>157</v>
      </c>
      <c r="BT3074" s="10"/>
      <c r="BU3074" s="10"/>
      <c r="BV3074" s="10"/>
      <c r="BW3074" s="10"/>
      <c r="BX3074" s="10"/>
      <c r="BY3074" s="23"/>
      <c r="BZ3074" s="23"/>
      <c r="CA3074" s="19" t="s">
        <v>21414</v>
      </c>
      <c r="CB3074" s="23"/>
      <c r="CC3074" s="23"/>
      <c r="CD3074" s="19" t="s">
        <v>21415</v>
      </c>
      <c r="CE3074" s="23"/>
      <c r="CF3074" s="23"/>
      <c r="CG3074" s="23"/>
      <c r="CH3074" s="23"/>
      <c r="CI3074" s="23"/>
    </row>
    <row r="3075" spans="1:87" x14ac:dyDescent="0.3">
      <c r="A3075" s="9" t="s">
        <v>22519</v>
      </c>
      <c r="B3075" s="10" t="s">
        <v>22520</v>
      </c>
      <c r="C3075" s="11">
        <v>46009.388888888891</v>
      </c>
      <c r="D3075" s="12">
        <v>3.4722222222222224E-2</v>
      </c>
      <c r="E3075" s="11">
        <v>46009.423611111109</v>
      </c>
      <c r="F3075" s="22" t="s">
        <v>21383</v>
      </c>
      <c r="G3075" s="13" t="b">
        <v>0</v>
      </c>
      <c r="H3075" s="22" t="s">
        <v>21384</v>
      </c>
      <c r="I3075" s="10" t="s">
        <v>9131</v>
      </c>
      <c r="J3075" s="13" t="b">
        <v>0</v>
      </c>
      <c r="K3075" s="13" t="b">
        <v>1</v>
      </c>
      <c r="L3075" s="10" t="s">
        <v>124</v>
      </c>
      <c r="M3075" s="10" t="s">
        <v>91</v>
      </c>
      <c r="N3075" s="10" t="s">
        <v>92</v>
      </c>
      <c r="O3075" s="19" t="s">
        <v>22521</v>
      </c>
      <c r="P3075" s="10"/>
      <c r="Q3075" s="10" t="s">
        <v>126</v>
      </c>
      <c r="R3075" s="10"/>
      <c r="S3075" s="19" t="s">
        <v>21413</v>
      </c>
      <c r="T3075" s="10"/>
      <c r="U3075" s="10"/>
      <c r="V3075" s="10"/>
      <c r="W3075" s="10" t="s">
        <v>21387</v>
      </c>
      <c r="X3075" s="10" t="s">
        <v>216</v>
      </c>
      <c r="Y3075" s="10" t="s">
        <v>216</v>
      </c>
      <c r="Z3075" s="10" t="s">
        <v>99</v>
      </c>
      <c r="AA3075" s="10" t="s">
        <v>131</v>
      </c>
      <c r="AB3075" s="10" t="s">
        <v>21388</v>
      </c>
      <c r="AC3075" s="10" t="s">
        <v>21389</v>
      </c>
      <c r="AD3075" s="10" t="s">
        <v>165</v>
      </c>
      <c r="AE3075" s="10" t="s">
        <v>22522</v>
      </c>
      <c r="AF3075" s="15"/>
      <c r="AG3075" s="10"/>
      <c r="AH3075" s="10"/>
      <c r="AI3075" s="10"/>
      <c r="AJ3075" s="10"/>
      <c r="AK3075" s="10" t="s">
        <v>102</v>
      </c>
      <c r="AL3075" s="10"/>
      <c r="AM3075" s="10"/>
      <c r="AN3075" s="10"/>
      <c r="AO3075" s="13" t="b">
        <v>0</v>
      </c>
      <c r="AP3075" s="22" t="s">
        <v>221</v>
      </c>
      <c r="AQ3075" s="10">
        <f ca="1">IFERROR(__xludf.DUMMYFUNCTION("""COMPUTED_VALUE"""),4783193)</f>
        <v>4783193</v>
      </c>
      <c r="AR3075" s="17">
        <v>29640</v>
      </c>
      <c r="AS3075" s="17">
        <v>16472</v>
      </c>
      <c r="AT3075" s="17">
        <v>603828.25</v>
      </c>
      <c r="AU3075" s="17">
        <v>176.6</v>
      </c>
      <c r="AV3075" s="17">
        <v>48.75</v>
      </c>
      <c r="AW3075" s="10" t="s">
        <v>105</v>
      </c>
      <c r="AX3075" s="17">
        <v>10041</v>
      </c>
      <c r="AY3075" s="18">
        <v>36.657858790675085</v>
      </c>
      <c r="AZ3075" s="10"/>
      <c r="BA3075" s="20" t="b">
        <v>0</v>
      </c>
      <c r="BB3075" s="10" t="s">
        <v>21412</v>
      </c>
      <c r="BC3075" s="17">
        <v>29640</v>
      </c>
      <c r="BD3075" s="17">
        <v>16472</v>
      </c>
      <c r="BE3075" s="17">
        <v>603828.25</v>
      </c>
      <c r="BF3075" s="17">
        <v>48.75</v>
      </c>
      <c r="BG3075" s="11">
        <f ca="1">IFERROR(__xludf.DUMMYFUNCTION("""COMPUTED_VALUE"""),46009.3888888888)</f>
        <v>46009.388888888803</v>
      </c>
      <c r="BH3075" s="17" t="s">
        <v>105</v>
      </c>
      <c r="BI3075" s="17"/>
      <c r="BJ3075" s="15"/>
      <c r="BK3075" s="15"/>
      <c r="BL3075" s="13" t="b">
        <v>0</v>
      </c>
      <c r="BM3075" s="10"/>
      <c r="BN3075" s="10" t="s">
        <v>241</v>
      </c>
      <c r="BO3075" s="11">
        <v>46006.600694444445</v>
      </c>
      <c r="BP3075" s="11">
        <v>46006.6012962963</v>
      </c>
      <c r="BQ3075" s="15"/>
      <c r="BR3075" s="15">
        <v>46007.445810185185</v>
      </c>
      <c r="BS3075" s="10"/>
      <c r="BT3075" s="10" t="s">
        <v>99</v>
      </c>
      <c r="BU3075" s="10"/>
      <c r="BV3075" s="10"/>
      <c r="BW3075" s="10"/>
      <c r="BX3075" s="10"/>
      <c r="BY3075" s="23"/>
      <c r="BZ3075" s="23"/>
      <c r="CA3075" s="19" t="s">
        <v>21414</v>
      </c>
      <c r="CB3075" s="23"/>
      <c r="CC3075" s="23"/>
      <c r="CD3075" s="19" t="s">
        <v>21415</v>
      </c>
      <c r="CE3075" s="23"/>
      <c r="CF3075" s="23"/>
      <c r="CG3075" s="23"/>
      <c r="CH3075" s="23"/>
      <c r="CI3075" s="23"/>
    </row>
    <row r="3076" spans="1:87" x14ac:dyDescent="0.3">
      <c r="A3076" s="9" t="s">
        <v>22523</v>
      </c>
      <c r="B3076" s="10" t="s">
        <v>22524</v>
      </c>
      <c r="C3076" s="11">
        <v>46009.423611111109</v>
      </c>
      <c r="D3076" s="12">
        <v>3.4722222222222224E-2</v>
      </c>
      <c r="E3076" s="11">
        <v>46009.458333333336</v>
      </c>
      <c r="F3076" s="22" t="s">
        <v>21383</v>
      </c>
      <c r="G3076" s="13" t="b">
        <v>0</v>
      </c>
      <c r="H3076" s="22" t="s">
        <v>21384</v>
      </c>
      <c r="I3076" s="10" t="s">
        <v>9131</v>
      </c>
      <c r="J3076" s="13" t="b">
        <v>0</v>
      </c>
      <c r="K3076" s="13" t="b">
        <v>1</v>
      </c>
      <c r="L3076" s="10" t="s">
        <v>124</v>
      </c>
      <c r="M3076" s="10" t="s">
        <v>91</v>
      </c>
      <c r="N3076" s="10" t="s">
        <v>92</v>
      </c>
      <c r="O3076" s="19" t="s">
        <v>22525</v>
      </c>
      <c r="P3076" s="10"/>
      <c r="Q3076" s="10" t="s">
        <v>126</v>
      </c>
      <c r="R3076" s="10"/>
      <c r="S3076" s="19" t="s">
        <v>21413</v>
      </c>
      <c r="T3076" s="10"/>
      <c r="U3076" s="10"/>
      <c r="V3076" s="10"/>
      <c r="W3076" s="10" t="s">
        <v>21387</v>
      </c>
      <c r="X3076" s="10" t="s">
        <v>216</v>
      </c>
      <c r="Y3076" s="10" t="s">
        <v>216</v>
      </c>
      <c r="Z3076" s="10" t="s">
        <v>99</v>
      </c>
      <c r="AA3076" s="10" t="s">
        <v>131</v>
      </c>
      <c r="AB3076" s="10" t="s">
        <v>21388</v>
      </c>
      <c r="AC3076" s="10" t="s">
        <v>21389</v>
      </c>
      <c r="AD3076" s="10" t="s">
        <v>165</v>
      </c>
      <c r="AE3076" s="10" t="s">
        <v>22526</v>
      </c>
      <c r="AF3076" s="15"/>
      <c r="AG3076" s="10"/>
      <c r="AH3076" s="10"/>
      <c r="AI3076" s="10"/>
      <c r="AJ3076" s="10"/>
      <c r="AK3076" s="10" t="s">
        <v>256</v>
      </c>
      <c r="AL3076" s="10"/>
      <c r="AM3076" s="10"/>
      <c r="AN3076" s="10"/>
      <c r="AO3076" s="13" t="b">
        <v>0</v>
      </c>
      <c r="AP3076" s="22" t="s">
        <v>135</v>
      </c>
      <c r="AQ3076" s="10">
        <f ca="1">IFERROR(__xludf.DUMMYFUNCTION("""COMPUTED_VALUE"""),4783194)</f>
        <v>4783194</v>
      </c>
      <c r="AR3076" s="17"/>
      <c r="AS3076" s="17"/>
      <c r="AT3076" s="17"/>
      <c r="AU3076" s="17"/>
      <c r="AV3076" s="17"/>
      <c r="AW3076" s="10"/>
      <c r="AX3076" s="17"/>
      <c r="AY3076" s="18" t="s">
        <v>257</v>
      </c>
      <c r="AZ3076" s="10"/>
      <c r="BA3076" s="20" t="b">
        <v>0</v>
      </c>
      <c r="BB3076" s="10" t="s">
        <v>21412</v>
      </c>
      <c r="BC3076" s="17" t="s">
        <v>257</v>
      </c>
      <c r="BD3076" s="17" t="s">
        <v>257</v>
      </c>
      <c r="BE3076" s="17" t="s">
        <v>257</v>
      </c>
      <c r="BF3076" s="17" t="s">
        <v>257</v>
      </c>
      <c r="BG3076" s="11">
        <f ca="1">IFERROR(__xludf.DUMMYFUNCTION("""COMPUTED_VALUE"""),46009.4236111111)</f>
        <v>46009.423611111102</v>
      </c>
      <c r="BH3076" s="17"/>
      <c r="BI3076" s="17"/>
      <c r="BJ3076" s="15"/>
      <c r="BK3076" s="15"/>
      <c r="BL3076" s="13" t="b">
        <v>0</v>
      </c>
      <c r="BM3076" s="10"/>
      <c r="BN3076" s="10" t="s">
        <v>241</v>
      </c>
      <c r="BO3076" s="11">
        <v>46006.601388888892</v>
      </c>
      <c r="BP3076" s="11">
        <v>46006.601724537039</v>
      </c>
      <c r="BQ3076" s="15"/>
      <c r="BR3076" s="15">
        <v>46007.445937500001</v>
      </c>
      <c r="BS3076" s="10" t="s">
        <v>241</v>
      </c>
      <c r="BT3076" s="10"/>
      <c r="BU3076" s="10"/>
      <c r="BV3076" s="10"/>
      <c r="BW3076" s="10"/>
      <c r="BX3076" s="10"/>
      <c r="BY3076" s="23"/>
      <c r="BZ3076" s="23"/>
      <c r="CA3076" s="19" t="s">
        <v>21414</v>
      </c>
      <c r="CB3076" s="23"/>
      <c r="CC3076" s="23"/>
      <c r="CD3076" s="19" t="s">
        <v>21415</v>
      </c>
      <c r="CE3076" s="23"/>
      <c r="CF3076" s="23"/>
      <c r="CG3076" s="23"/>
      <c r="CH3076" s="23"/>
      <c r="CI3076" s="23"/>
    </row>
    <row r="3077" spans="1:87" x14ac:dyDescent="0.3">
      <c r="A3077" s="9" t="s">
        <v>22527</v>
      </c>
      <c r="B3077" s="10" t="s">
        <v>22528</v>
      </c>
      <c r="C3077" s="11">
        <v>46009.458333333336</v>
      </c>
      <c r="D3077" s="12">
        <v>3.4722222222222224E-2</v>
      </c>
      <c r="E3077" s="11">
        <v>46009.493055555555</v>
      </c>
      <c r="F3077" s="22" t="s">
        <v>21383</v>
      </c>
      <c r="G3077" s="13" t="b">
        <v>0</v>
      </c>
      <c r="H3077" s="22" t="s">
        <v>21384</v>
      </c>
      <c r="I3077" s="10" t="s">
        <v>9131</v>
      </c>
      <c r="J3077" s="13" t="b">
        <v>0</v>
      </c>
      <c r="K3077" s="13" t="b">
        <v>1</v>
      </c>
      <c r="L3077" s="10" t="s">
        <v>124</v>
      </c>
      <c r="M3077" s="10" t="s">
        <v>91</v>
      </c>
      <c r="N3077" s="10" t="s">
        <v>92</v>
      </c>
      <c r="O3077" s="19" t="s">
        <v>22529</v>
      </c>
      <c r="P3077" s="10"/>
      <c r="Q3077" s="10" t="s">
        <v>126</v>
      </c>
      <c r="R3077" s="10"/>
      <c r="S3077" s="19" t="s">
        <v>21413</v>
      </c>
      <c r="T3077" s="10"/>
      <c r="U3077" s="10"/>
      <c r="V3077" s="10"/>
      <c r="W3077" s="10" t="s">
        <v>21387</v>
      </c>
      <c r="X3077" s="10" t="s">
        <v>216</v>
      </c>
      <c r="Y3077" s="10" t="s">
        <v>216</v>
      </c>
      <c r="Z3077" s="10" t="s">
        <v>99</v>
      </c>
      <c r="AA3077" s="10" t="s">
        <v>131</v>
      </c>
      <c r="AB3077" s="10" t="s">
        <v>21388</v>
      </c>
      <c r="AC3077" s="10" t="s">
        <v>21389</v>
      </c>
      <c r="AD3077" s="10" t="s">
        <v>165</v>
      </c>
      <c r="AE3077" s="10" t="s">
        <v>22530</v>
      </c>
      <c r="AF3077" s="15"/>
      <c r="AG3077" s="10"/>
      <c r="AH3077" s="10"/>
      <c r="AI3077" s="10"/>
      <c r="AJ3077" s="10"/>
      <c r="AK3077" s="10" t="s">
        <v>102</v>
      </c>
      <c r="AL3077" s="10"/>
      <c r="AM3077" s="10"/>
      <c r="AN3077" s="10"/>
      <c r="AO3077" s="13" t="b">
        <v>0</v>
      </c>
      <c r="AP3077" s="22" t="s">
        <v>135</v>
      </c>
      <c r="AQ3077" s="10">
        <f ca="1">IFERROR(__xludf.DUMMYFUNCTION("""COMPUTED_VALUE"""),4783195)</f>
        <v>4783195</v>
      </c>
      <c r="AR3077" s="17">
        <v>12014</v>
      </c>
      <c r="AS3077" s="17">
        <v>7350</v>
      </c>
      <c r="AT3077" s="17">
        <v>108628</v>
      </c>
      <c r="AU3077" s="17">
        <v>29.8</v>
      </c>
      <c r="AV3077" s="17">
        <v>10.15</v>
      </c>
      <c r="AW3077" s="10" t="s">
        <v>105</v>
      </c>
      <c r="AX3077" s="17">
        <v>9631</v>
      </c>
      <c r="AY3077" s="18">
        <v>14.779319727891156</v>
      </c>
      <c r="AZ3077" s="10"/>
      <c r="BA3077" s="20" t="b">
        <v>0</v>
      </c>
      <c r="BB3077" s="10" t="s">
        <v>21412</v>
      </c>
      <c r="BC3077" s="17">
        <v>12014</v>
      </c>
      <c r="BD3077" s="17">
        <v>7350</v>
      </c>
      <c r="BE3077" s="17">
        <v>108628</v>
      </c>
      <c r="BF3077" s="17">
        <v>10.15</v>
      </c>
      <c r="BG3077" s="11">
        <f ca="1">IFERROR(__xludf.DUMMYFUNCTION("""COMPUTED_VALUE"""),46009.4583333333)</f>
        <v>46009.458333333299</v>
      </c>
      <c r="BH3077" s="17" t="s">
        <v>105</v>
      </c>
      <c r="BI3077" s="17"/>
      <c r="BJ3077" s="15"/>
      <c r="BK3077" s="15"/>
      <c r="BL3077" s="13" t="b">
        <v>0</v>
      </c>
      <c r="BM3077" s="10"/>
      <c r="BN3077" s="10" t="s">
        <v>157</v>
      </c>
      <c r="BO3077" s="11">
        <v>46006.601388888892</v>
      </c>
      <c r="BP3077" s="11">
        <v>46006.602060185185</v>
      </c>
      <c r="BQ3077" s="15"/>
      <c r="BR3077" s="15">
        <v>46007.446053240739</v>
      </c>
      <c r="BS3077" s="10" t="s">
        <v>157</v>
      </c>
      <c r="BT3077" s="10"/>
      <c r="BU3077" s="10"/>
      <c r="BV3077" s="10"/>
      <c r="BW3077" s="10"/>
      <c r="BX3077" s="10"/>
      <c r="BY3077" s="23"/>
      <c r="BZ3077" s="23"/>
      <c r="CA3077" s="19" t="s">
        <v>21414</v>
      </c>
      <c r="CB3077" s="23"/>
      <c r="CC3077" s="23"/>
      <c r="CD3077" s="19" t="s">
        <v>21415</v>
      </c>
      <c r="CE3077" s="23"/>
      <c r="CF3077" s="23"/>
      <c r="CG3077" s="23"/>
      <c r="CH3077" s="23"/>
      <c r="CI3077" s="23"/>
    </row>
    <row r="3078" spans="1:87" x14ac:dyDescent="0.3">
      <c r="A3078" s="9" t="s">
        <v>22531</v>
      </c>
      <c r="B3078" s="10" t="s">
        <v>22532</v>
      </c>
      <c r="C3078" s="11">
        <v>46009.493055555555</v>
      </c>
      <c r="D3078" s="12">
        <v>3.4722222222222224E-2</v>
      </c>
      <c r="E3078" s="11">
        <v>46009.527777777781</v>
      </c>
      <c r="F3078" s="22" t="s">
        <v>21383</v>
      </c>
      <c r="G3078" s="13" t="b">
        <v>0</v>
      </c>
      <c r="H3078" s="22" t="s">
        <v>21384</v>
      </c>
      <c r="I3078" s="10" t="s">
        <v>9131</v>
      </c>
      <c r="J3078" s="13" t="b">
        <v>0</v>
      </c>
      <c r="K3078" s="13" t="b">
        <v>1</v>
      </c>
      <c r="L3078" s="10" t="s">
        <v>124</v>
      </c>
      <c r="M3078" s="10" t="s">
        <v>91</v>
      </c>
      <c r="N3078" s="10" t="s">
        <v>92</v>
      </c>
      <c r="O3078" s="19" t="s">
        <v>22533</v>
      </c>
      <c r="P3078" s="10"/>
      <c r="Q3078" s="10" t="s">
        <v>126</v>
      </c>
      <c r="R3078" s="10"/>
      <c r="S3078" s="19" t="s">
        <v>21413</v>
      </c>
      <c r="T3078" s="10"/>
      <c r="U3078" s="10"/>
      <c r="V3078" s="10"/>
      <c r="W3078" s="10" t="s">
        <v>21387</v>
      </c>
      <c r="X3078" s="10" t="s">
        <v>216</v>
      </c>
      <c r="Y3078" s="10" t="s">
        <v>216</v>
      </c>
      <c r="Z3078" s="10" t="s">
        <v>99</v>
      </c>
      <c r="AA3078" s="10" t="s">
        <v>131</v>
      </c>
      <c r="AB3078" s="10" t="s">
        <v>21388</v>
      </c>
      <c r="AC3078" s="10" t="s">
        <v>21389</v>
      </c>
      <c r="AD3078" s="10" t="s">
        <v>165</v>
      </c>
      <c r="AE3078" s="10" t="s">
        <v>22534</v>
      </c>
      <c r="AF3078" s="15"/>
      <c r="AG3078" s="10"/>
      <c r="AH3078" s="10"/>
      <c r="AI3078" s="10"/>
      <c r="AJ3078" s="10"/>
      <c r="AK3078" s="10" t="s">
        <v>102</v>
      </c>
      <c r="AL3078" s="10"/>
      <c r="AM3078" s="10"/>
      <c r="AN3078" s="10"/>
      <c r="AO3078" s="13" t="b">
        <v>0</v>
      </c>
      <c r="AP3078" s="22" t="s">
        <v>104</v>
      </c>
      <c r="AQ3078" s="10">
        <f ca="1">IFERROR(__xludf.DUMMYFUNCTION("""COMPUTED_VALUE"""),4783196)</f>
        <v>4783196</v>
      </c>
      <c r="AR3078" s="17">
        <v>19616</v>
      </c>
      <c r="AS3078" s="17">
        <v>13417</v>
      </c>
      <c r="AT3078" s="17">
        <v>268993.5</v>
      </c>
      <c r="AU3078" s="17">
        <v>134.6</v>
      </c>
      <c r="AV3078" s="17">
        <v>30.95</v>
      </c>
      <c r="AW3078" s="10" t="s">
        <v>105</v>
      </c>
      <c r="AX3078" s="17">
        <v>10586</v>
      </c>
      <c r="AY3078" s="18">
        <v>20.048706864425728</v>
      </c>
      <c r="AZ3078" s="10"/>
      <c r="BA3078" s="20" t="b">
        <v>0</v>
      </c>
      <c r="BB3078" s="10" t="s">
        <v>21412</v>
      </c>
      <c r="BC3078" s="17">
        <v>19616</v>
      </c>
      <c r="BD3078" s="17">
        <v>13417</v>
      </c>
      <c r="BE3078" s="17">
        <v>268993.5</v>
      </c>
      <c r="BF3078" s="17">
        <v>30.95</v>
      </c>
      <c r="BG3078" s="11">
        <f ca="1">IFERROR(__xludf.DUMMYFUNCTION("""COMPUTED_VALUE"""),46009.4930555555)</f>
        <v>46009.493055555497</v>
      </c>
      <c r="BH3078" s="17" t="s">
        <v>105</v>
      </c>
      <c r="BI3078" s="17"/>
      <c r="BJ3078" s="15"/>
      <c r="BK3078" s="15"/>
      <c r="BL3078" s="13" t="b">
        <v>0</v>
      </c>
      <c r="BM3078" s="10"/>
      <c r="BN3078" s="10" t="s">
        <v>241</v>
      </c>
      <c r="BO3078" s="11">
        <v>46006.602083333331</v>
      </c>
      <c r="BP3078" s="11">
        <v>46006.602268518516</v>
      </c>
      <c r="BQ3078" s="15"/>
      <c r="BR3078" s="15">
        <v>46007.446226851855</v>
      </c>
      <c r="BS3078" s="10"/>
      <c r="BT3078" s="10" t="s">
        <v>99</v>
      </c>
      <c r="BU3078" s="10"/>
      <c r="BV3078" s="10"/>
      <c r="BW3078" s="10"/>
      <c r="BX3078" s="10"/>
      <c r="BY3078" s="23"/>
      <c r="BZ3078" s="23"/>
      <c r="CA3078" s="19" t="s">
        <v>21414</v>
      </c>
      <c r="CB3078" s="23"/>
      <c r="CC3078" s="23"/>
      <c r="CD3078" s="19" t="s">
        <v>21415</v>
      </c>
      <c r="CE3078" s="23"/>
      <c r="CF3078" s="23"/>
      <c r="CG3078" s="23"/>
      <c r="CH3078" s="23"/>
      <c r="CI3078" s="23"/>
    </row>
    <row r="3079" spans="1:87" x14ac:dyDescent="0.3">
      <c r="A3079" s="9" t="s">
        <v>22535</v>
      </c>
      <c r="B3079" s="10" t="s">
        <v>22536</v>
      </c>
      <c r="C3079" s="11">
        <v>46009.666666666664</v>
      </c>
      <c r="D3079" s="12">
        <v>3.4722222222222224E-2</v>
      </c>
      <c r="E3079" s="11">
        <v>46009.701388888891</v>
      </c>
      <c r="F3079" s="22" t="s">
        <v>21383</v>
      </c>
      <c r="G3079" s="13" t="b">
        <v>0</v>
      </c>
      <c r="H3079" s="22" t="s">
        <v>21384</v>
      </c>
      <c r="I3079" s="10" t="s">
        <v>9131</v>
      </c>
      <c r="J3079" s="13" t="b">
        <v>0</v>
      </c>
      <c r="K3079" s="13" t="b">
        <v>1</v>
      </c>
      <c r="L3079" s="10" t="s">
        <v>124</v>
      </c>
      <c r="M3079" s="10" t="s">
        <v>91</v>
      </c>
      <c r="N3079" s="10" t="s">
        <v>92</v>
      </c>
      <c r="O3079" s="19" t="s">
        <v>22537</v>
      </c>
      <c r="P3079" s="10"/>
      <c r="Q3079" s="10" t="s">
        <v>126</v>
      </c>
      <c r="R3079" s="10"/>
      <c r="S3079" s="19" t="s">
        <v>21417</v>
      </c>
      <c r="T3079" s="10"/>
      <c r="U3079" s="10"/>
      <c r="V3079" s="10"/>
      <c r="W3079" s="10" t="s">
        <v>21387</v>
      </c>
      <c r="X3079" s="10" t="s">
        <v>216</v>
      </c>
      <c r="Y3079" s="10" t="s">
        <v>216</v>
      </c>
      <c r="Z3079" s="10" t="s">
        <v>99</v>
      </c>
      <c r="AA3079" s="10" t="s">
        <v>131</v>
      </c>
      <c r="AB3079" s="10" t="s">
        <v>21388</v>
      </c>
      <c r="AC3079" s="10" t="s">
        <v>21389</v>
      </c>
      <c r="AD3079" s="10" t="s">
        <v>165</v>
      </c>
      <c r="AE3079" s="10" t="s">
        <v>22538</v>
      </c>
      <c r="AF3079" s="15"/>
      <c r="AG3079" s="10"/>
      <c r="AH3079" s="10"/>
      <c r="AI3079" s="10"/>
      <c r="AJ3079" s="10"/>
      <c r="AK3079" s="10" t="s">
        <v>102</v>
      </c>
      <c r="AL3079" s="10"/>
      <c r="AM3079" s="10"/>
      <c r="AN3079" s="10"/>
      <c r="AO3079" s="13" t="b">
        <v>0</v>
      </c>
      <c r="AP3079" s="22" t="s">
        <v>135</v>
      </c>
      <c r="AQ3079" s="10">
        <f ca="1">IFERROR(__xludf.DUMMYFUNCTION("""COMPUTED_VALUE"""),4783186)</f>
        <v>4783186</v>
      </c>
      <c r="AR3079" s="17">
        <v>8068</v>
      </c>
      <c r="AS3079" s="17">
        <v>5532</v>
      </c>
      <c r="AT3079" s="17">
        <v>130368</v>
      </c>
      <c r="AU3079" s="17">
        <v>32.15</v>
      </c>
      <c r="AV3079" s="17">
        <v>8.4499999999999993</v>
      </c>
      <c r="AW3079" s="10" t="s">
        <v>105</v>
      </c>
      <c r="AX3079" s="17">
        <v>2156</v>
      </c>
      <c r="AY3079" s="18">
        <v>23.566160520607376</v>
      </c>
      <c r="AZ3079" s="10"/>
      <c r="BA3079" s="20" t="b">
        <v>0</v>
      </c>
      <c r="BB3079" s="10" t="s">
        <v>21416</v>
      </c>
      <c r="BC3079" s="17">
        <v>8068</v>
      </c>
      <c r="BD3079" s="17">
        <v>5532</v>
      </c>
      <c r="BE3079" s="17">
        <v>130368</v>
      </c>
      <c r="BF3079" s="17">
        <v>8.4499999999999993</v>
      </c>
      <c r="BG3079" s="11">
        <f ca="1">IFERROR(__xludf.DUMMYFUNCTION("""COMPUTED_VALUE"""),46009.6666666666)</f>
        <v>46009.666666666599</v>
      </c>
      <c r="BH3079" s="17" t="s">
        <v>105</v>
      </c>
      <c r="BI3079" s="17"/>
      <c r="BJ3079" s="15"/>
      <c r="BK3079" s="15"/>
      <c r="BL3079" s="13" t="b">
        <v>0</v>
      </c>
      <c r="BM3079" s="10"/>
      <c r="BN3079" s="10" t="s">
        <v>157</v>
      </c>
      <c r="BO3079" s="11">
        <v>46006.603472222225</v>
      </c>
      <c r="BP3079" s="11">
        <v>46006.604201388887</v>
      </c>
      <c r="BQ3079" s="15"/>
      <c r="BR3079" s="15">
        <v>46007.42695601852</v>
      </c>
      <c r="BS3079" s="10" t="s">
        <v>157</v>
      </c>
      <c r="BT3079" s="10"/>
      <c r="BU3079" s="10"/>
      <c r="BV3079" s="10"/>
      <c r="BW3079" s="10"/>
      <c r="BX3079" s="10"/>
      <c r="BY3079" s="23"/>
      <c r="BZ3079" s="23"/>
      <c r="CA3079" s="19" t="s">
        <v>21419</v>
      </c>
      <c r="CB3079" s="23"/>
      <c r="CC3079" s="23"/>
      <c r="CD3079" s="19" t="s">
        <v>21420</v>
      </c>
      <c r="CE3079" s="23"/>
      <c r="CF3079" s="23"/>
      <c r="CG3079" s="23"/>
      <c r="CH3079" s="23"/>
      <c r="CI3079" s="23"/>
    </row>
    <row r="3080" spans="1:87" x14ac:dyDescent="0.3">
      <c r="A3080" s="9" t="s">
        <v>22539</v>
      </c>
      <c r="B3080" s="10" t="s">
        <v>22540</v>
      </c>
      <c r="C3080" s="11">
        <v>46009.701388888891</v>
      </c>
      <c r="D3080" s="12">
        <v>3.4722222222222224E-2</v>
      </c>
      <c r="E3080" s="11">
        <v>46009.736111111109</v>
      </c>
      <c r="F3080" s="22" t="s">
        <v>21383</v>
      </c>
      <c r="G3080" s="13" t="b">
        <v>0</v>
      </c>
      <c r="H3080" s="22" t="s">
        <v>21384</v>
      </c>
      <c r="I3080" s="10" t="s">
        <v>9131</v>
      </c>
      <c r="J3080" s="13" t="b">
        <v>0</v>
      </c>
      <c r="K3080" s="13" t="b">
        <v>1</v>
      </c>
      <c r="L3080" s="10" t="s">
        <v>124</v>
      </c>
      <c r="M3080" s="10" t="s">
        <v>91</v>
      </c>
      <c r="N3080" s="10" t="s">
        <v>92</v>
      </c>
      <c r="O3080" s="19" t="s">
        <v>22541</v>
      </c>
      <c r="P3080" s="10"/>
      <c r="Q3080" s="10" t="s">
        <v>126</v>
      </c>
      <c r="R3080" s="10"/>
      <c r="S3080" s="19" t="s">
        <v>21417</v>
      </c>
      <c r="T3080" s="10"/>
      <c r="U3080" s="10"/>
      <c r="V3080" s="10"/>
      <c r="W3080" s="10" t="s">
        <v>21387</v>
      </c>
      <c r="X3080" s="10" t="s">
        <v>216</v>
      </c>
      <c r="Y3080" s="10" t="s">
        <v>216</v>
      </c>
      <c r="Z3080" s="10" t="s">
        <v>99</v>
      </c>
      <c r="AA3080" s="10" t="s">
        <v>131</v>
      </c>
      <c r="AB3080" s="10" t="s">
        <v>21388</v>
      </c>
      <c r="AC3080" s="10" t="s">
        <v>21389</v>
      </c>
      <c r="AD3080" s="10" t="s">
        <v>165</v>
      </c>
      <c r="AE3080" s="10" t="s">
        <v>22542</v>
      </c>
      <c r="AF3080" s="15"/>
      <c r="AG3080" s="10"/>
      <c r="AH3080" s="10"/>
      <c r="AI3080" s="10"/>
      <c r="AJ3080" s="10"/>
      <c r="AK3080" s="10" t="s">
        <v>102</v>
      </c>
      <c r="AL3080" s="10"/>
      <c r="AM3080" s="10"/>
      <c r="AN3080" s="10"/>
      <c r="AO3080" s="13" t="b">
        <v>0</v>
      </c>
      <c r="AP3080" s="22" t="s">
        <v>135</v>
      </c>
      <c r="AQ3080" s="10">
        <f ca="1">IFERROR(__xludf.DUMMYFUNCTION("""COMPUTED_VALUE"""),4783187)</f>
        <v>4783187</v>
      </c>
      <c r="AR3080" s="17">
        <v>10467</v>
      </c>
      <c r="AS3080" s="17">
        <v>7055</v>
      </c>
      <c r="AT3080" s="17">
        <v>117916.5</v>
      </c>
      <c r="AU3080" s="17">
        <v>32.35</v>
      </c>
      <c r="AV3080" s="17">
        <v>4.95</v>
      </c>
      <c r="AW3080" s="10" t="s">
        <v>105</v>
      </c>
      <c r="AX3080" s="17">
        <v>3165</v>
      </c>
      <c r="AY3080" s="18">
        <v>16.713890857547838</v>
      </c>
      <c r="AZ3080" s="10"/>
      <c r="BA3080" s="20" t="b">
        <v>0</v>
      </c>
      <c r="BB3080" s="10" t="s">
        <v>21416</v>
      </c>
      <c r="BC3080" s="17">
        <v>10467</v>
      </c>
      <c r="BD3080" s="17">
        <v>7055</v>
      </c>
      <c r="BE3080" s="17">
        <v>117916.5</v>
      </c>
      <c r="BF3080" s="17">
        <v>4.95</v>
      </c>
      <c r="BG3080" s="11">
        <f ca="1">IFERROR(__xludf.DUMMYFUNCTION("""COMPUTED_VALUE"""),46009.7013888888)</f>
        <v>46009.701388888803</v>
      </c>
      <c r="BH3080" s="17" t="s">
        <v>105</v>
      </c>
      <c r="BI3080" s="17"/>
      <c r="BJ3080" s="15"/>
      <c r="BK3080" s="15"/>
      <c r="BL3080" s="13" t="b">
        <v>0</v>
      </c>
      <c r="BM3080" s="10"/>
      <c r="BN3080" s="10" t="s">
        <v>157</v>
      </c>
      <c r="BO3080" s="11">
        <v>46006.604166666664</v>
      </c>
      <c r="BP3080" s="11">
        <v>46006.604363425926</v>
      </c>
      <c r="BQ3080" s="15"/>
      <c r="BR3080" s="15">
        <v>46007.427094907405</v>
      </c>
      <c r="BS3080" s="10" t="s">
        <v>157</v>
      </c>
      <c r="BT3080" s="10"/>
      <c r="BU3080" s="10"/>
      <c r="BV3080" s="10"/>
      <c r="BW3080" s="10"/>
      <c r="BX3080" s="10"/>
      <c r="BY3080" s="23"/>
      <c r="BZ3080" s="23"/>
      <c r="CA3080" s="19" t="s">
        <v>21419</v>
      </c>
      <c r="CB3080" s="23"/>
      <c r="CC3080" s="23"/>
      <c r="CD3080" s="19" t="s">
        <v>21420</v>
      </c>
      <c r="CE3080" s="23"/>
      <c r="CF3080" s="23"/>
      <c r="CG3080" s="23"/>
      <c r="CH3080" s="23"/>
      <c r="CI3080" s="23"/>
    </row>
    <row r="3081" spans="1:87" x14ac:dyDescent="0.3">
      <c r="A3081" s="9" t="s">
        <v>22543</v>
      </c>
      <c r="B3081" s="10" t="s">
        <v>22544</v>
      </c>
      <c r="C3081" s="11">
        <v>46009.736111111109</v>
      </c>
      <c r="D3081" s="12">
        <v>3.4722222222222224E-2</v>
      </c>
      <c r="E3081" s="11">
        <v>46009.770833333336</v>
      </c>
      <c r="F3081" s="22" t="s">
        <v>21383</v>
      </c>
      <c r="G3081" s="13" t="b">
        <v>0</v>
      </c>
      <c r="H3081" s="22" t="s">
        <v>21384</v>
      </c>
      <c r="I3081" s="10" t="s">
        <v>9131</v>
      </c>
      <c r="J3081" s="13" t="b">
        <v>0</v>
      </c>
      <c r="K3081" s="13" t="b">
        <v>1</v>
      </c>
      <c r="L3081" s="10" t="s">
        <v>124</v>
      </c>
      <c r="M3081" s="10" t="s">
        <v>91</v>
      </c>
      <c r="N3081" s="10" t="s">
        <v>92</v>
      </c>
      <c r="O3081" s="19" t="s">
        <v>22545</v>
      </c>
      <c r="P3081" s="10"/>
      <c r="Q3081" s="10" t="s">
        <v>126</v>
      </c>
      <c r="R3081" s="10"/>
      <c r="S3081" s="19" t="s">
        <v>21417</v>
      </c>
      <c r="T3081" s="10"/>
      <c r="U3081" s="10"/>
      <c r="V3081" s="10"/>
      <c r="W3081" s="10" t="s">
        <v>21387</v>
      </c>
      <c r="X3081" s="10" t="s">
        <v>216</v>
      </c>
      <c r="Y3081" s="10" t="s">
        <v>216</v>
      </c>
      <c r="Z3081" s="10" t="s">
        <v>99</v>
      </c>
      <c r="AA3081" s="10" t="s">
        <v>131</v>
      </c>
      <c r="AB3081" s="10" t="s">
        <v>21388</v>
      </c>
      <c r="AC3081" s="10" t="s">
        <v>21389</v>
      </c>
      <c r="AD3081" s="10" t="s">
        <v>165</v>
      </c>
      <c r="AE3081" s="10" t="s">
        <v>22546</v>
      </c>
      <c r="AF3081" s="15"/>
      <c r="AG3081" s="10"/>
      <c r="AH3081" s="10"/>
      <c r="AI3081" s="10"/>
      <c r="AJ3081" s="10"/>
      <c r="AK3081" s="10" t="s">
        <v>102</v>
      </c>
      <c r="AL3081" s="10"/>
      <c r="AM3081" s="10"/>
      <c r="AN3081" s="10"/>
      <c r="AO3081" s="13" t="b">
        <v>0</v>
      </c>
      <c r="AP3081" s="22" t="s">
        <v>104</v>
      </c>
      <c r="AQ3081" s="10">
        <f ca="1">IFERROR(__xludf.DUMMYFUNCTION("""COMPUTED_VALUE"""),4783188)</f>
        <v>4783188</v>
      </c>
      <c r="AR3081" s="17">
        <v>21245</v>
      </c>
      <c r="AS3081" s="17">
        <v>12605</v>
      </c>
      <c r="AT3081" s="17">
        <v>307224</v>
      </c>
      <c r="AU3081" s="17">
        <v>117.9</v>
      </c>
      <c r="AV3081" s="17">
        <v>27.6</v>
      </c>
      <c r="AW3081" s="10" t="s">
        <v>105</v>
      </c>
      <c r="AX3081" s="17">
        <v>6228</v>
      </c>
      <c r="AY3081" s="18">
        <v>24.373185243950815</v>
      </c>
      <c r="AZ3081" s="10"/>
      <c r="BA3081" s="20" t="b">
        <v>0</v>
      </c>
      <c r="BB3081" s="10" t="s">
        <v>21416</v>
      </c>
      <c r="BC3081" s="17">
        <v>21245</v>
      </c>
      <c r="BD3081" s="17">
        <v>12605</v>
      </c>
      <c r="BE3081" s="17">
        <v>307224</v>
      </c>
      <c r="BF3081" s="17">
        <v>27.6</v>
      </c>
      <c r="BG3081" s="11">
        <f ca="1">IFERROR(__xludf.DUMMYFUNCTION("""COMPUTED_VALUE"""),46009.7361111111)</f>
        <v>46009.736111111102</v>
      </c>
      <c r="BH3081" s="17" t="s">
        <v>105</v>
      </c>
      <c r="BI3081" s="17"/>
      <c r="BJ3081" s="15"/>
      <c r="BK3081" s="15"/>
      <c r="BL3081" s="13" t="b">
        <v>0</v>
      </c>
      <c r="BM3081" s="10"/>
      <c r="BN3081" s="10" t="s">
        <v>157</v>
      </c>
      <c r="BO3081" s="11">
        <v>46006.604166666664</v>
      </c>
      <c r="BP3081" s="11">
        <v>46006.604525462964</v>
      </c>
      <c r="BQ3081" s="15"/>
      <c r="BR3081" s="15">
        <v>46007.427199074074</v>
      </c>
      <c r="BS3081" s="10" t="s">
        <v>157</v>
      </c>
      <c r="BT3081" s="10"/>
      <c r="BU3081" s="10"/>
      <c r="BV3081" s="10"/>
      <c r="BW3081" s="10"/>
      <c r="BX3081" s="10"/>
      <c r="BY3081" s="23"/>
      <c r="BZ3081" s="23"/>
      <c r="CA3081" s="19" t="s">
        <v>21419</v>
      </c>
      <c r="CB3081" s="23"/>
      <c r="CC3081" s="23"/>
      <c r="CD3081" s="19" t="s">
        <v>21420</v>
      </c>
      <c r="CE3081" s="23"/>
      <c r="CF3081" s="23"/>
      <c r="CG3081" s="23"/>
      <c r="CH3081" s="23"/>
      <c r="CI3081" s="23"/>
    </row>
    <row r="3082" spans="1:87" x14ac:dyDescent="0.3">
      <c r="A3082" s="9" t="s">
        <v>22547</v>
      </c>
      <c r="B3082" s="10" t="s">
        <v>22548</v>
      </c>
      <c r="C3082" s="11">
        <v>46009.770833333336</v>
      </c>
      <c r="D3082" s="12">
        <v>3.4722222222222224E-2</v>
      </c>
      <c r="E3082" s="11">
        <v>46009.805555555555</v>
      </c>
      <c r="F3082" s="22" t="s">
        <v>21383</v>
      </c>
      <c r="G3082" s="13" t="b">
        <v>0</v>
      </c>
      <c r="H3082" s="22" t="s">
        <v>21384</v>
      </c>
      <c r="I3082" s="10" t="s">
        <v>9131</v>
      </c>
      <c r="J3082" s="13" t="b">
        <v>0</v>
      </c>
      <c r="K3082" s="13" t="b">
        <v>1</v>
      </c>
      <c r="L3082" s="10" t="s">
        <v>124</v>
      </c>
      <c r="M3082" s="10" t="s">
        <v>91</v>
      </c>
      <c r="N3082" s="10" t="s">
        <v>92</v>
      </c>
      <c r="O3082" s="19" t="s">
        <v>22549</v>
      </c>
      <c r="P3082" s="10"/>
      <c r="Q3082" s="10" t="s">
        <v>126</v>
      </c>
      <c r="R3082" s="10"/>
      <c r="S3082" s="19" t="s">
        <v>21417</v>
      </c>
      <c r="T3082" s="10"/>
      <c r="U3082" s="10"/>
      <c r="V3082" s="10"/>
      <c r="W3082" s="10" t="s">
        <v>21387</v>
      </c>
      <c r="X3082" s="10" t="s">
        <v>216</v>
      </c>
      <c r="Y3082" s="10" t="s">
        <v>216</v>
      </c>
      <c r="Z3082" s="10" t="s">
        <v>99</v>
      </c>
      <c r="AA3082" s="10" t="s">
        <v>131</v>
      </c>
      <c r="AB3082" s="10" t="s">
        <v>21388</v>
      </c>
      <c r="AC3082" s="10" t="s">
        <v>21389</v>
      </c>
      <c r="AD3082" s="10" t="s">
        <v>165</v>
      </c>
      <c r="AE3082" s="10" t="s">
        <v>22550</v>
      </c>
      <c r="AF3082" s="15"/>
      <c r="AG3082" s="10"/>
      <c r="AH3082" s="10"/>
      <c r="AI3082" s="10"/>
      <c r="AJ3082" s="10"/>
      <c r="AK3082" s="10" t="s">
        <v>102</v>
      </c>
      <c r="AL3082" s="10"/>
      <c r="AM3082" s="10"/>
      <c r="AN3082" s="10"/>
      <c r="AO3082" s="13" t="b">
        <v>0</v>
      </c>
      <c r="AP3082" s="22" t="s">
        <v>104</v>
      </c>
      <c r="AQ3082" s="10">
        <f ca="1">IFERROR(__xludf.DUMMYFUNCTION("""COMPUTED_VALUE"""),4783189)</f>
        <v>4783189</v>
      </c>
      <c r="AR3082" s="17">
        <v>24339</v>
      </c>
      <c r="AS3082" s="17">
        <v>14762</v>
      </c>
      <c r="AT3082" s="17">
        <v>350728.25</v>
      </c>
      <c r="AU3082" s="17">
        <v>144.44999999999999</v>
      </c>
      <c r="AV3082" s="17">
        <v>25</v>
      </c>
      <c r="AW3082" s="10" t="s">
        <v>105</v>
      </c>
      <c r="AX3082" s="17">
        <v>9875</v>
      </c>
      <c r="AY3082" s="18">
        <v>23.758857200921284</v>
      </c>
      <c r="AZ3082" s="10"/>
      <c r="BA3082" s="20" t="b">
        <v>0</v>
      </c>
      <c r="BB3082" s="10" t="s">
        <v>21416</v>
      </c>
      <c r="BC3082" s="17">
        <v>24339</v>
      </c>
      <c r="BD3082" s="17">
        <v>14762</v>
      </c>
      <c r="BE3082" s="17">
        <v>350728.25</v>
      </c>
      <c r="BF3082" s="17">
        <v>25</v>
      </c>
      <c r="BG3082" s="11">
        <f ca="1">IFERROR(__xludf.DUMMYFUNCTION("""COMPUTED_VALUE"""),46009.7708333333)</f>
        <v>46009.770833333299</v>
      </c>
      <c r="BH3082" s="17" t="s">
        <v>105</v>
      </c>
      <c r="BI3082" s="17"/>
      <c r="BJ3082" s="15"/>
      <c r="BK3082" s="15"/>
      <c r="BL3082" s="13" t="b">
        <v>0</v>
      </c>
      <c r="BM3082" s="10" t="s">
        <v>240</v>
      </c>
      <c r="BN3082" s="10" t="s">
        <v>18456</v>
      </c>
      <c r="BO3082" s="11">
        <v>46006.604861111111</v>
      </c>
      <c r="BP3082" s="11">
        <v>46008.428761574076</v>
      </c>
      <c r="BQ3082" s="15"/>
      <c r="BR3082" s="15">
        <v>46007.427303240744</v>
      </c>
      <c r="BS3082" s="10" t="s">
        <v>18456</v>
      </c>
      <c r="BT3082" s="10"/>
      <c r="BU3082" s="10"/>
      <c r="BV3082" s="10"/>
      <c r="BW3082" s="10"/>
      <c r="BX3082" s="10"/>
      <c r="BY3082" s="23"/>
      <c r="BZ3082" s="23"/>
      <c r="CA3082" s="19" t="s">
        <v>21419</v>
      </c>
      <c r="CB3082" s="23"/>
      <c r="CC3082" s="23"/>
      <c r="CD3082" s="19" t="s">
        <v>21420</v>
      </c>
      <c r="CE3082" s="23"/>
      <c r="CF3082" s="23"/>
      <c r="CG3082" s="23"/>
      <c r="CH3082" s="23"/>
      <c r="CI3082" s="23"/>
    </row>
    <row r="3083" spans="1:87" x14ac:dyDescent="0.3">
      <c r="A3083" s="9" t="s">
        <v>22551</v>
      </c>
      <c r="B3083" s="10" t="s">
        <v>22552</v>
      </c>
      <c r="C3083" s="11">
        <v>46009.805555555555</v>
      </c>
      <c r="D3083" s="12">
        <v>3.4722222222222224E-2</v>
      </c>
      <c r="E3083" s="11">
        <v>46009.840277777781</v>
      </c>
      <c r="F3083" s="22" t="s">
        <v>21383</v>
      </c>
      <c r="G3083" s="13" t="b">
        <v>0</v>
      </c>
      <c r="H3083" s="22" t="s">
        <v>21384</v>
      </c>
      <c r="I3083" s="10" t="s">
        <v>9131</v>
      </c>
      <c r="J3083" s="13" t="b">
        <v>0</v>
      </c>
      <c r="K3083" s="13" t="b">
        <v>1</v>
      </c>
      <c r="L3083" s="10" t="s">
        <v>124</v>
      </c>
      <c r="M3083" s="10" t="s">
        <v>91</v>
      </c>
      <c r="N3083" s="10" t="s">
        <v>92</v>
      </c>
      <c r="O3083" s="19" t="s">
        <v>22553</v>
      </c>
      <c r="P3083" s="10"/>
      <c r="Q3083" s="10" t="s">
        <v>126</v>
      </c>
      <c r="R3083" s="10"/>
      <c r="S3083" s="19" t="s">
        <v>21417</v>
      </c>
      <c r="T3083" s="10"/>
      <c r="U3083" s="10"/>
      <c r="V3083" s="10"/>
      <c r="W3083" s="10" t="s">
        <v>21387</v>
      </c>
      <c r="X3083" s="10" t="s">
        <v>216</v>
      </c>
      <c r="Y3083" s="10" t="s">
        <v>216</v>
      </c>
      <c r="Z3083" s="10" t="s">
        <v>99</v>
      </c>
      <c r="AA3083" s="10" t="s">
        <v>131</v>
      </c>
      <c r="AB3083" s="10" t="s">
        <v>21388</v>
      </c>
      <c r="AC3083" s="10" t="s">
        <v>21389</v>
      </c>
      <c r="AD3083" s="10" t="s">
        <v>165</v>
      </c>
      <c r="AE3083" s="10" t="s">
        <v>22554</v>
      </c>
      <c r="AF3083" s="15"/>
      <c r="AG3083" s="10"/>
      <c r="AH3083" s="10"/>
      <c r="AI3083" s="10"/>
      <c r="AJ3083" s="10"/>
      <c r="AK3083" s="10" t="s">
        <v>102</v>
      </c>
      <c r="AL3083" s="10"/>
      <c r="AM3083" s="10"/>
      <c r="AN3083" s="10"/>
      <c r="AO3083" s="13" t="b">
        <v>0</v>
      </c>
      <c r="AP3083" s="22" t="s">
        <v>104</v>
      </c>
      <c r="AQ3083" s="10">
        <f ca="1">IFERROR(__xludf.DUMMYFUNCTION("""COMPUTED_VALUE"""),4783190)</f>
        <v>4783190</v>
      </c>
      <c r="AR3083" s="17">
        <v>47969</v>
      </c>
      <c r="AS3083" s="17">
        <v>23339</v>
      </c>
      <c r="AT3083" s="17">
        <v>278046.5</v>
      </c>
      <c r="AU3083" s="17">
        <v>216.15</v>
      </c>
      <c r="AV3083" s="17">
        <v>38.450000000000003</v>
      </c>
      <c r="AW3083" s="10" t="s">
        <v>105</v>
      </c>
      <c r="AX3083" s="17">
        <v>11580</v>
      </c>
      <c r="AY3083" s="18">
        <v>11.913385320707828</v>
      </c>
      <c r="AZ3083" s="10"/>
      <c r="BA3083" s="20" t="b">
        <v>0</v>
      </c>
      <c r="BB3083" s="10" t="s">
        <v>21416</v>
      </c>
      <c r="BC3083" s="17">
        <v>47969</v>
      </c>
      <c r="BD3083" s="17">
        <v>23339</v>
      </c>
      <c r="BE3083" s="17">
        <v>278046.5</v>
      </c>
      <c r="BF3083" s="17">
        <v>38.450000000000003</v>
      </c>
      <c r="BG3083" s="11">
        <f ca="1">IFERROR(__xludf.DUMMYFUNCTION("""COMPUTED_VALUE"""),46009.8055555555)</f>
        <v>46009.805555555497</v>
      </c>
      <c r="BH3083" s="17" t="s">
        <v>105</v>
      </c>
      <c r="BI3083" s="17"/>
      <c r="BJ3083" s="15"/>
      <c r="BK3083" s="15"/>
      <c r="BL3083" s="13" t="b">
        <v>0</v>
      </c>
      <c r="BM3083" s="10"/>
      <c r="BN3083" s="10" t="s">
        <v>241</v>
      </c>
      <c r="BO3083" s="11">
        <v>46006.604861111111</v>
      </c>
      <c r="BP3083" s="11">
        <v>46006.60527777778</v>
      </c>
      <c r="BQ3083" s="15"/>
      <c r="BR3083" s="15">
        <v>46007.427453703705</v>
      </c>
      <c r="BS3083" s="10"/>
      <c r="BT3083" s="10" t="s">
        <v>99</v>
      </c>
      <c r="BU3083" s="10"/>
      <c r="BV3083" s="10"/>
      <c r="BW3083" s="10"/>
      <c r="BX3083" s="10"/>
      <c r="BY3083" s="23"/>
      <c r="BZ3083" s="23"/>
      <c r="CA3083" s="19" t="s">
        <v>21419</v>
      </c>
      <c r="CB3083" s="23"/>
      <c r="CC3083" s="23"/>
      <c r="CD3083" s="19" t="s">
        <v>21420</v>
      </c>
      <c r="CE3083" s="23"/>
      <c r="CF3083" s="23"/>
      <c r="CG3083" s="23"/>
      <c r="CH3083" s="23"/>
      <c r="CI3083" s="23"/>
    </row>
    <row r="3084" spans="1:87" x14ac:dyDescent="0.3">
      <c r="A3084" s="9" t="s">
        <v>22555</v>
      </c>
      <c r="B3084" s="10" t="s">
        <v>22556</v>
      </c>
      <c r="C3084" s="11">
        <v>46009.666666666664</v>
      </c>
      <c r="D3084" s="12">
        <v>3.4722222222222224E-2</v>
      </c>
      <c r="E3084" s="11">
        <v>46009.701388888891</v>
      </c>
      <c r="F3084" s="22" t="s">
        <v>21383</v>
      </c>
      <c r="G3084" s="13" t="b">
        <v>0</v>
      </c>
      <c r="H3084" s="22" t="s">
        <v>21384</v>
      </c>
      <c r="I3084" s="10" t="s">
        <v>9131</v>
      </c>
      <c r="J3084" s="13" t="b">
        <v>0</v>
      </c>
      <c r="K3084" s="13" t="b">
        <v>1</v>
      </c>
      <c r="L3084" s="10" t="s">
        <v>124</v>
      </c>
      <c r="M3084" s="10" t="s">
        <v>91</v>
      </c>
      <c r="N3084" s="10" t="s">
        <v>92</v>
      </c>
      <c r="O3084" s="19" t="s">
        <v>22557</v>
      </c>
      <c r="P3084" s="10"/>
      <c r="Q3084" s="10" t="s">
        <v>126</v>
      </c>
      <c r="R3084" s="10"/>
      <c r="S3084" s="19" t="s">
        <v>21422</v>
      </c>
      <c r="T3084" s="10"/>
      <c r="U3084" s="10"/>
      <c r="V3084" s="10"/>
      <c r="W3084" s="10" t="s">
        <v>21387</v>
      </c>
      <c r="X3084" s="10" t="s">
        <v>216</v>
      </c>
      <c r="Y3084" s="10" t="s">
        <v>216</v>
      </c>
      <c r="Z3084" s="10" t="s">
        <v>99</v>
      </c>
      <c r="AA3084" s="10" t="s">
        <v>131</v>
      </c>
      <c r="AB3084" s="10" t="s">
        <v>21388</v>
      </c>
      <c r="AC3084" s="10" t="s">
        <v>21389</v>
      </c>
      <c r="AD3084" s="10" t="s">
        <v>165</v>
      </c>
      <c r="AE3084" s="10" t="s">
        <v>22558</v>
      </c>
      <c r="AF3084" s="15"/>
      <c r="AG3084" s="10"/>
      <c r="AH3084" s="10"/>
      <c r="AI3084" s="10"/>
      <c r="AJ3084" s="10"/>
      <c r="AK3084" s="10" t="s">
        <v>102</v>
      </c>
      <c r="AL3084" s="10"/>
      <c r="AM3084" s="10"/>
      <c r="AN3084" s="10"/>
      <c r="AO3084" s="13" t="b">
        <v>0</v>
      </c>
      <c r="AP3084" s="22" t="s">
        <v>104</v>
      </c>
      <c r="AQ3084" s="10">
        <f ca="1">IFERROR(__xludf.DUMMYFUNCTION("""COMPUTED_VALUE"""),4783269)</f>
        <v>4783269</v>
      </c>
      <c r="AR3084" s="17">
        <v>14764</v>
      </c>
      <c r="AS3084" s="17">
        <v>8538</v>
      </c>
      <c r="AT3084" s="17">
        <v>245728.5</v>
      </c>
      <c r="AU3084" s="17">
        <v>65.5</v>
      </c>
      <c r="AV3084" s="17">
        <v>13.85</v>
      </c>
      <c r="AW3084" s="10" t="s">
        <v>105</v>
      </c>
      <c r="AX3084" s="17">
        <v>4034</v>
      </c>
      <c r="AY3084" s="18">
        <v>28.780569219957837</v>
      </c>
      <c r="AZ3084" s="10"/>
      <c r="BA3084" s="20" t="b">
        <v>0</v>
      </c>
      <c r="BB3084" s="10" t="s">
        <v>21421</v>
      </c>
      <c r="BC3084" s="17">
        <v>14764</v>
      </c>
      <c r="BD3084" s="17">
        <v>8538</v>
      </c>
      <c r="BE3084" s="17">
        <v>245728.5</v>
      </c>
      <c r="BF3084" s="17">
        <v>13.85</v>
      </c>
      <c r="BG3084" s="11">
        <f ca="1">IFERROR(__xludf.DUMMYFUNCTION("""COMPUTED_VALUE"""),46009.6666666666)</f>
        <v>46009.666666666599</v>
      </c>
      <c r="BH3084" s="17" t="s">
        <v>105</v>
      </c>
      <c r="BI3084" s="17"/>
      <c r="BJ3084" s="15"/>
      <c r="BK3084" s="15"/>
      <c r="BL3084" s="13" t="b">
        <v>0</v>
      </c>
      <c r="BM3084" s="10"/>
      <c r="BN3084" s="10" t="s">
        <v>157</v>
      </c>
      <c r="BO3084" s="11">
        <v>46006.604861111111</v>
      </c>
      <c r="BP3084" s="11">
        <v>46006.605416666665</v>
      </c>
      <c r="BQ3084" s="15"/>
      <c r="BR3084" s="15">
        <v>46007.446516203701</v>
      </c>
      <c r="BS3084" s="10" t="s">
        <v>157</v>
      </c>
      <c r="BT3084" s="10"/>
      <c r="BU3084" s="10"/>
      <c r="BV3084" s="10"/>
      <c r="BW3084" s="10"/>
      <c r="BX3084" s="10"/>
      <c r="BY3084" s="23"/>
      <c r="BZ3084" s="23"/>
      <c r="CA3084" s="19" t="s">
        <v>21423</v>
      </c>
      <c r="CB3084" s="23"/>
      <c r="CC3084" s="23"/>
      <c r="CD3084" s="19" t="s">
        <v>21424</v>
      </c>
      <c r="CE3084" s="23"/>
      <c r="CF3084" s="23"/>
      <c r="CG3084" s="23"/>
      <c r="CH3084" s="23"/>
      <c r="CI3084" s="23"/>
    </row>
    <row r="3085" spans="1:87" x14ac:dyDescent="0.3">
      <c r="A3085" s="9" t="s">
        <v>22559</v>
      </c>
      <c r="B3085" s="10" t="s">
        <v>22560</v>
      </c>
      <c r="C3085" s="11">
        <v>46009.701388888891</v>
      </c>
      <c r="D3085" s="12">
        <v>3.4722222222222224E-2</v>
      </c>
      <c r="E3085" s="11">
        <v>46009.736111111109</v>
      </c>
      <c r="F3085" s="22" t="s">
        <v>21383</v>
      </c>
      <c r="G3085" s="13" t="b">
        <v>0</v>
      </c>
      <c r="H3085" s="22" t="s">
        <v>21384</v>
      </c>
      <c r="I3085" s="10" t="s">
        <v>9131</v>
      </c>
      <c r="J3085" s="13" t="b">
        <v>0</v>
      </c>
      <c r="K3085" s="13" t="b">
        <v>1</v>
      </c>
      <c r="L3085" s="10" t="s">
        <v>124</v>
      </c>
      <c r="M3085" s="10" t="s">
        <v>91</v>
      </c>
      <c r="N3085" s="10" t="s">
        <v>92</v>
      </c>
      <c r="O3085" s="19" t="s">
        <v>22561</v>
      </c>
      <c r="P3085" s="10"/>
      <c r="Q3085" s="10" t="s">
        <v>126</v>
      </c>
      <c r="R3085" s="10"/>
      <c r="S3085" s="19" t="s">
        <v>21422</v>
      </c>
      <c r="T3085" s="10"/>
      <c r="U3085" s="10"/>
      <c r="V3085" s="10"/>
      <c r="W3085" s="10" t="s">
        <v>21387</v>
      </c>
      <c r="X3085" s="10" t="s">
        <v>216</v>
      </c>
      <c r="Y3085" s="10" t="s">
        <v>216</v>
      </c>
      <c r="Z3085" s="10" t="s">
        <v>99</v>
      </c>
      <c r="AA3085" s="10" t="s">
        <v>131</v>
      </c>
      <c r="AB3085" s="10" t="s">
        <v>21388</v>
      </c>
      <c r="AC3085" s="10" t="s">
        <v>21389</v>
      </c>
      <c r="AD3085" s="10" t="s">
        <v>165</v>
      </c>
      <c r="AE3085" s="10" t="s">
        <v>22562</v>
      </c>
      <c r="AF3085" s="15"/>
      <c r="AG3085" s="10"/>
      <c r="AH3085" s="10"/>
      <c r="AI3085" s="10"/>
      <c r="AJ3085" s="10"/>
      <c r="AK3085" s="10" t="s">
        <v>102</v>
      </c>
      <c r="AL3085" s="10"/>
      <c r="AM3085" s="10"/>
      <c r="AN3085" s="10"/>
      <c r="AO3085" s="13" t="b">
        <v>0</v>
      </c>
      <c r="AP3085" s="22" t="s">
        <v>221</v>
      </c>
      <c r="AQ3085" s="10">
        <f ca="1">IFERROR(__xludf.DUMMYFUNCTION("""COMPUTED_VALUE"""),4783270)</f>
        <v>4783270</v>
      </c>
      <c r="AR3085" s="17">
        <v>14898</v>
      </c>
      <c r="AS3085" s="17">
        <v>9161</v>
      </c>
      <c r="AT3085" s="17">
        <v>184849.25</v>
      </c>
      <c r="AU3085" s="17">
        <v>44.2</v>
      </c>
      <c r="AV3085" s="17">
        <v>7.55</v>
      </c>
      <c r="AW3085" s="10" t="s">
        <v>105</v>
      </c>
      <c r="AX3085" s="17">
        <v>4136</v>
      </c>
      <c r="AY3085" s="18">
        <v>20.177846304988538</v>
      </c>
      <c r="AZ3085" s="10"/>
      <c r="BA3085" s="20" t="b">
        <v>0</v>
      </c>
      <c r="BB3085" s="10" t="s">
        <v>21421</v>
      </c>
      <c r="BC3085" s="17">
        <v>14898</v>
      </c>
      <c r="BD3085" s="17">
        <v>9161</v>
      </c>
      <c r="BE3085" s="17">
        <v>184849.25</v>
      </c>
      <c r="BF3085" s="17">
        <v>7.55</v>
      </c>
      <c r="BG3085" s="11">
        <f ca="1">IFERROR(__xludf.DUMMYFUNCTION("""COMPUTED_VALUE"""),46009.7013888888)</f>
        <v>46009.701388888803</v>
      </c>
      <c r="BH3085" s="17" t="s">
        <v>105</v>
      </c>
      <c r="BI3085" s="17"/>
      <c r="BJ3085" s="15"/>
      <c r="BK3085" s="15"/>
      <c r="BL3085" s="13" t="b">
        <v>0</v>
      </c>
      <c r="BM3085" s="10"/>
      <c r="BN3085" s="10" t="s">
        <v>157</v>
      </c>
      <c r="BO3085" s="11">
        <v>46006.605555555558</v>
      </c>
      <c r="BP3085" s="11">
        <v>46006.60597222222</v>
      </c>
      <c r="BQ3085" s="15"/>
      <c r="BR3085" s="15">
        <v>46007.446643518517</v>
      </c>
      <c r="BS3085" s="10" t="s">
        <v>157</v>
      </c>
      <c r="BT3085" s="10"/>
      <c r="BU3085" s="10"/>
      <c r="BV3085" s="10"/>
      <c r="BW3085" s="10"/>
      <c r="BX3085" s="10"/>
      <c r="BY3085" s="23"/>
      <c r="BZ3085" s="23"/>
      <c r="CA3085" s="19" t="s">
        <v>21423</v>
      </c>
      <c r="CB3085" s="23"/>
      <c r="CC3085" s="23"/>
      <c r="CD3085" s="19" t="s">
        <v>21424</v>
      </c>
      <c r="CE3085" s="23"/>
      <c r="CF3085" s="23"/>
      <c r="CG3085" s="23"/>
      <c r="CH3085" s="23"/>
      <c r="CI3085" s="23"/>
    </row>
    <row r="3086" spans="1:87" x14ac:dyDescent="0.3">
      <c r="A3086" s="9" t="s">
        <v>22563</v>
      </c>
      <c r="B3086" s="10" t="s">
        <v>22564</v>
      </c>
      <c r="C3086" s="11">
        <v>46009.736111111109</v>
      </c>
      <c r="D3086" s="12">
        <v>3.4722222222222224E-2</v>
      </c>
      <c r="E3086" s="11">
        <v>46009.770833333336</v>
      </c>
      <c r="F3086" s="22" t="s">
        <v>21383</v>
      </c>
      <c r="G3086" s="13" t="b">
        <v>0</v>
      </c>
      <c r="H3086" s="22" t="s">
        <v>21384</v>
      </c>
      <c r="I3086" s="10" t="s">
        <v>9131</v>
      </c>
      <c r="J3086" s="13" t="b">
        <v>0</v>
      </c>
      <c r="K3086" s="13" t="b">
        <v>1</v>
      </c>
      <c r="L3086" s="10" t="s">
        <v>124</v>
      </c>
      <c r="M3086" s="10" t="s">
        <v>91</v>
      </c>
      <c r="N3086" s="10" t="s">
        <v>92</v>
      </c>
      <c r="O3086" s="19" t="s">
        <v>22565</v>
      </c>
      <c r="P3086" s="10"/>
      <c r="Q3086" s="10" t="s">
        <v>126</v>
      </c>
      <c r="R3086" s="10"/>
      <c r="S3086" s="19" t="s">
        <v>21422</v>
      </c>
      <c r="T3086" s="10"/>
      <c r="U3086" s="10"/>
      <c r="V3086" s="10"/>
      <c r="W3086" s="10" t="s">
        <v>21387</v>
      </c>
      <c r="X3086" s="10" t="s">
        <v>216</v>
      </c>
      <c r="Y3086" s="10" t="s">
        <v>216</v>
      </c>
      <c r="Z3086" s="10" t="s">
        <v>99</v>
      </c>
      <c r="AA3086" s="10" t="s">
        <v>131</v>
      </c>
      <c r="AB3086" s="10" t="s">
        <v>21388</v>
      </c>
      <c r="AC3086" s="10" t="s">
        <v>21389</v>
      </c>
      <c r="AD3086" s="10" t="s">
        <v>165</v>
      </c>
      <c r="AE3086" s="10" t="s">
        <v>22566</v>
      </c>
      <c r="AF3086" s="15"/>
      <c r="AG3086" s="10"/>
      <c r="AH3086" s="10"/>
      <c r="AI3086" s="10"/>
      <c r="AJ3086" s="10"/>
      <c r="AK3086" s="10" t="s">
        <v>102</v>
      </c>
      <c r="AL3086" s="10"/>
      <c r="AM3086" s="10"/>
      <c r="AN3086" s="10"/>
      <c r="AO3086" s="13" t="b">
        <v>0</v>
      </c>
      <c r="AP3086" s="22" t="s">
        <v>104</v>
      </c>
      <c r="AQ3086" s="10">
        <f ca="1">IFERROR(__xludf.DUMMYFUNCTION("""COMPUTED_VALUE"""),4783271)</f>
        <v>4783271</v>
      </c>
      <c r="AR3086" s="17">
        <v>12799</v>
      </c>
      <c r="AS3086" s="17">
        <v>8493</v>
      </c>
      <c r="AT3086" s="17">
        <v>105502.75</v>
      </c>
      <c r="AU3086" s="17">
        <v>35.1</v>
      </c>
      <c r="AV3086" s="17">
        <v>6.1</v>
      </c>
      <c r="AW3086" s="10" t="s">
        <v>105</v>
      </c>
      <c r="AX3086" s="17">
        <v>5269</v>
      </c>
      <c r="AY3086" s="18">
        <v>12.422318379842222</v>
      </c>
      <c r="AZ3086" s="10"/>
      <c r="BA3086" s="20" t="b">
        <v>0</v>
      </c>
      <c r="BB3086" s="10" t="s">
        <v>21421</v>
      </c>
      <c r="BC3086" s="17">
        <v>12799</v>
      </c>
      <c r="BD3086" s="17">
        <v>8493</v>
      </c>
      <c r="BE3086" s="17">
        <v>105502.75</v>
      </c>
      <c r="BF3086" s="17">
        <v>6.1</v>
      </c>
      <c r="BG3086" s="11">
        <f ca="1">IFERROR(__xludf.DUMMYFUNCTION("""COMPUTED_VALUE"""),46009.7361111111)</f>
        <v>46009.736111111102</v>
      </c>
      <c r="BH3086" s="17" t="s">
        <v>105</v>
      </c>
      <c r="BI3086" s="17"/>
      <c r="BJ3086" s="15"/>
      <c r="BK3086" s="15"/>
      <c r="BL3086" s="13" t="b">
        <v>0</v>
      </c>
      <c r="BM3086" s="10"/>
      <c r="BN3086" s="10" t="s">
        <v>157</v>
      </c>
      <c r="BO3086" s="11">
        <v>46006.605555555558</v>
      </c>
      <c r="BP3086" s="11">
        <v>46006.606226851851</v>
      </c>
      <c r="BQ3086" s="15"/>
      <c r="BR3086" s="15">
        <v>46007.446770833332</v>
      </c>
      <c r="BS3086" s="10" t="s">
        <v>157</v>
      </c>
      <c r="BT3086" s="10"/>
      <c r="BU3086" s="10"/>
      <c r="BV3086" s="10"/>
      <c r="BW3086" s="10"/>
      <c r="BX3086" s="10"/>
      <c r="BY3086" s="23"/>
      <c r="BZ3086" s="23"/>
      <c r="CA3086" s="19" t="s">
        <v>21423</v>
      </c>
      <c r="CB3086" s="23"/>
      <c r="CC3086" s="23"/>
      <c r="CD3086" s="19" t="s">
        <v>21424</v>
      </c>
      <c r="CE3086" s="23"/>
      <c r="CF3086" s="23"/>
      <c r="CG3086" s="23"/>
      <c r="CH3086" s="23"/>
      <c r="CI3086" s="23"/>
    </row>
    <row r="3087" spans="1:87" x14ac:dyDescent="0.3">
      <c r="A3087" s="9" t="s">
        <v>22567</v>
      </c>
      <c r="B3087" s="10" t="s">
        <v>22568</v>
      </c>
      <c r="C3087" s="11">
        <v>46009.770833333336</v>
      </c>
      <c r="D3087" s="12">
        <v>3.4722222222222224E-2</v>
      </c>
      <c r="E3087" s="11">
        <v>46009.805555555555</v>
      </c>
      <c r="F3087" s="22" t="s">
        <v>21383</v>
      </c>
      <c r="G3087" s="13" t="b">
        <v>0</v>
      </c>
      <c r="H3087" s="22" t="s">
        <v>21384</v>
      </c>
      <c r="I3087" s="10" t="s">
        <v>9131</v>
      </c>
      <c r="J3087" s="13" t="b">
        <v>0</v>
      </c>
      <c r="K3087" s="13" t="b">
        <v>1</v>
      </c>
      <c r="L3087" s="10" t="s">
        <v>124</v>
      </c>
      <c r="M3087" s="10" t="s">
        <v>91</v>
      </c>
      <c r="N3087" s="10" t="s">
        <v>92</v>
      </c>
      <c r="O3087" s="19" t="s">
        <v>22569</v>
      </c>
      <c r="P3087" s="10"/>
      <c r="Q3087" s="10" t="s">
        <v>126</v>
      </c>
      <c r="R3087" s="10"/>
      <c r="S3087" s="19" t="s">
        <v>21422</v>
      </c>
      <c r="T3087" s="10"/>
      <c r="U3087" s="10"/>
      <c r="V3087" s="10"/>
      <c r="W3087" s="10" t="s">
        <v>21387</v>
      </c>
      <c r="X3087" s="10" t="s">
        <v>216</v>
      </c>
      <c r="Y3087" s="10" t="s">
        <v>216</v>
      </c>
      <c r="Z3087" s="10" t="s">
        <v>99</v>
      </c>
      <c r="AA3087" s="10" t="s">
        <v>131</v>
      </c>
      <c r="AB3087" s="10" t="s">
        <v>21388</v>
      </c>
      <c r="AC3087" s="10" t="s">
        <v>21389</v>
      </c>
      <c r="AD3087" s="10" t="s">
        <v>165</v>
      </c>
      <c r="AE3087" s="10" t="s">
        <v>22570</v>
      </c>
      <c r="AF3087" s="15"/>
      <c r="AG3087" s="10"/>
      <c r="AH3087" s="10"/>
      <c r="AI3087" s="10"/>
      <c r="AJ3087" s="10"/>
      <c r="AK3087" s="10" t="s">
        <v>102</v>
      </c>
      <c r="AL3087" s="10"/>
      <c r="AM3087" s="10"/>
      <c r="AN3087" s="10"/>
      <c r="AO3087" s="13" t="b">
        <v>0</v>
      </c>
      <c r="AP3087" s="22" t="s">
        <v>221</v>
      </c>
      <c r="AQ3087" s="10">
        <f ca="1">IFERROR(__xludf.DUMMYFUNCTION("""COMPUTED_VALUE"""),4783272)</f>
        <v>4783272</v>
      </c>
      <c r="AR3087" s="17">
        <v>13232</v>
      </c>
      <c r="AS3087" s="17">
        <v>8821</v>
      </c>
      <c r="AT3087" s="17">
        <v>84171.5</v>
      </c>
      <c r="AU3087" s="17">
        <v>26.45</v>
      </c>
      <c r="AV3087" s="17">
        <v>6.5</v>
      </c>
      <c r="AW3087" s="10" t="s">
        <v>105</v>
      </c>
      <c r="AX3087" s="17">
        <v>5243</v>
      </c>
      <c r="AY3087" s="18">
        <v>9.5421720893322757</v>
      </c>
      <c r="AZ3087" s="10"/>
      <c r="BA3087" s="20" t="b">
        <v>0</v>
      </c>
      <c r="BB3087" s="10" t="s">
        <v>21421</v>
      </c>
      <c r="BC3087" s="17">
        <v>13232</v>
      </c>
      <c r="BD3087" s="17">
        <v>8821</v>
      </c>
      <c r="BE3087" s="17">
        <v>84171.5</v>
      </c>
      <c r="BF3087" s="17">
        <v>6.5</v>
      </c>
      <c r="BG3087" s="11">
        <f ca="1">IFERROR(__xludf.DUMMYFUNCTION("""COMPUTED_VALUE"""),46009.7708333333)</f>
        <v>46009.770833333299</v>
      </c>
      <c r="BH3087" s="17" t="s">
        <v>105</v>
      </c>
      <c r="BI3087" s="17"/>
      <c r="BJ3087" s="15"/>
      <c r="BK3087" s="15"/>
      <c r="BL3087" s="13" t="b">
        <v>0</v>
      </c>
      <c r="BM3087" s="10"/>
      <c r="BN3087" s="10" t="s">
        <v>157</v>
      </c>
      <c r="BO3087" s="11">
        <v>46006.606249999997</v>
      </c>
      <c r="BP3087" s="11">
        <v>46006.606423611112</v>
      </c>
      <c r="BQ3087" s="15"/>
      <c r="BR3087" s="15">
        <v>46007.446909722225</v>
      </c>
      <c r="BS3087" s="10" t="s">
        <v>157</v>
      </c>
      <c r="BT3087" s="10"/>
      <c r="BU3087" s="10"/>
      <c r="BV3087" s="10"/>
      <c r="BW3087" s="10"/>
      <c r="BX3087" s="10"/>
      <c r="BY3087" s="23"/>
      <c r="BZ3087" s="23"/>
      <c r="CA3087" s="19" t="s">
        <v>21423</v>
      </c>
      <c r="CB3087" s="23"/>
      <c r="CC3087" s="23"/>
      <c r="CD3087" s="19" t="s">
        <v>21424</v>
      </c>
      <c r="CE3087" s="23"/>
      <c r="CF3087" s="23"/>
      <c r="CG3087" s="23"/>
      <c r="CH3087" s="23"/>
      <c r="CI3087" s="23"/>
    </row>
    <row r="3088" spans="1:87" x14ac:dyDescent="0.3">
      <c r="A3088" s="9" t="s">
        <v>22571</v>
      </c>
      <c r="B3088" s="10" t="s">
        <v>22572</v>
      </c>
      <c r="C3088" s="11">
        <v>46009.805555555555</v>
      </c>
      <c r="D3088" s="12">
        <v>3.4722222222222224E-2</v>
      </c>
      <c r="E3088" s="11">
        <v>46009.840277777781</v>
      </c>
      <c r="F3088" s="22" t="s">
        <v>21383</v>
      </c>
      <c r="G3088" s="13" t="b">
        <v>0</v>
      </c>
      <c r="H3088" s="22" t="s">
        <v>21384</v>
      </c>
      <c r="I3088" s="10" t="s">
        <v>9131</v>
      </c>
      <c r="J3088" s="13" t="b">
        <v>0</v>
      </c>
      <c r="K3088" s="13" t="b">
        <v>1</v>
      </c>
      <c r="L3088" s="10" t="s">
        <v>124</v>
      </c>
      <c r="M3088" s="10" t="s">
        <v>91</v>
      </c>
      <c r="N3088" s="10" t="s">
        <v>92</v>
      </c>
      <c r="O3088" s="19" t="s">
        <v>22573</v>
      </c>
      <c r="P3088" s="10"/>
      <c r="Q3088" s="10" t="s">
        <v>126</v>
      </c>
      <c r="R3088" s="10"/>
      <c r="S3088" s="19" t="s">
        <v>21422</v>
      </c>
      <c r="T3088" s="10"/>
      <c r="U3088" s="10"/>
      <c r="V3088" s="10"/>
      <c r="W3088" s="10" t="s">
        <v>21387</v>
      </c>
      <c r="X3088" s="10" t="s">
        <v>216</v>
      </c>
      <c r="Y3088" s="10" t="s">
        <v>216</v>
      </c>
      <c r="Z3088" s="10" t="s">
        <v>99</v>
      </c>
      <c r="AA3088" s="10" t="s">
        <v>131</v>
      </c>
      <c r="AB3088" s="10" t="s">
        <v>21388</v>
      </c>
      <c r="AC3088" s="10" t="s">
        <v>21389</v>
      </c>
      <c r="AD3088" s="10" t="s">
        <v>165</v>
      </c>
      <c r="AE3088" s="10" t="s">
        <v>22574</v>
      </c>
      <c r="AF3088" s="15"/>
      <c r="AG3088" s="10"/>
      <c r="AH3088" s="10"/>
      <c r="AI3088" s="10"/>
      <c r="AJ3088" s="10"/>
      <c r="AK3088" s="10" t="s">
        <v>102</v>
      </c>
      <c r="AL3088" s="10"/>
      <c r="AM3088" s="10"/>
      <c r="AN3088" s="10"/>
      <c r="AO3088" s="13" t="b">
        <v>0</v>
      </c>
      <c r="AP3088" s="22" t="s">
        <v>104</v>
      </c>
      <c r="AQ3088" s="10">
        <f ca="1">IFERROR(__xludf.DUMMYFUNCTION("""COMPUTED_VALUE"""),4783273)</f>
        <v>4783273</v>
      </c>
      <c r="AR3088" s="17">
        <v>52684</v>
      </c>
      <c r="AS3088" s="17">
        <v>22257</v>
      </c>
      <c r="AT3088" s="17">
        <v>547567.25</v>
      </c>
      <c r="AU3088" s="17">
        <v>320.55</v>
      </c>
      <c r="AV3088" s="17">
        <v>55.1</v>
      </c>
      <c r="AW3088" s="10" t="s">
        <v>105</v>
      </c>
      <c r="AX3088" s="17">
        <v>14925</v>
      </c>
      <c r="AY3088" s="18">
        <v>24.602024082311182</v>
      </c>
      <c r="AZ3088" s="10"/>
      <c r="BA3088" s="20" t="b">
        <v>0</v>
      </c>
      <c r="BB3088" s="10" t="s">
        <v>21421</v>
      </c>
      <c r="BC3088" s="17">
        <v>52684</v>
      </c>
      <c r="BD3088" s="17">
        <v>22257</v>
      </c>
      <c r="BE3088" s="17">
        <v>547567.25</v>
      </c>
      <c r="BF3088" s="17">
        <v>55.1</v>
      </c>
      <c r="BG3088" s="11">
        <f ca="1">IFERROR(__xludf.DUMMYFUNCTION("""COMPUTED_VALUE"""),46009.8055555555)</f>
        <v>46009.805555555497</v>
      </c>
      <c r="BH3088" s="17" t="s">
        <v>105</v>
      </c>
      <c r="BI3088" s="17"/>
      <c r="BJ3088" s="15"/>
      <c r="BK3088" s="15"/>
      <c r="BL3088" s="13" t="b">
        <v>0</v>
      </c>
      <c r="BM3088" s="10"/>
      <c r="BN3088" s="10" t="s">
        <v>241</v>
      </c>
      <c r="BO3088" s="11">
        <v>46006.606249999997</v>
      </c>
      <c r="BP3088" s="11">
        <v>46006.606863425928</v>
      </c>
      <c r="BQ3088" s="15"/>
      <c r="BR3088" s="15">
        <v>46007.447071759256</v>
      </c>
      <c r="BS3088" s="10"/>
      <c r="BT3088" s="10" t="s">
        <v>99</v>
      </c>
      <c r="BU3088" s="10"/>
      <c r="BV3088" s="10"/>
      <c r="BW3088" s="10"/>
      <c r="BX3088" s="10"/>
      <c r="BY3088" s="23"/>
      <c r="BZ3088" s="23"/>
      <c r="CA3088" s="19" t="s">
        <v>21423</v>
      </c>
      <c r="CB3088" s="23"/>
      <c r="CC3088" s="23"/>
      <c r="CD3088" s="19" t="s">
        <v>21424</v>
      </c>
      <c r="CE3088" s="23"/>
      <c r="CF3088" s="23"/>
      <c r="CG3088" s="23"/>
      <c r="CH3088" s="23"/>
      <c r="CI3088" s="23"/>
    </row>
    <row r="3089" spans="1:87" x14ac:dyDescent="0.3">
      <c r="A3089" s="9" t="s">
        <v>22575</v>
      </c>
      <c r="B3089" s="10" t="s">
        <v>22576</v>
      </c>
      <c r="C3089" s="11">
        <v>46011</v>
      </c>
      <c r="D3089" s="12">
        <v>0.10416666666666667</v>
      </c>
      <c r="E3089" s="11">
        <v>46011.104166666664</v>
      </c>
      <c r="F3089" s="22" t="s">
        <v>22577</v>
      </c>
      <c r="G3089" s="13" t="b">
        <v>0</v>
      </c>
      <c r="H3089" s="22" t="s">
        <v>20891</v>
      </c>
      <c r="I3089" s="10" t="s">
        <v>20892</v>
      </c>
      <c r="J3089" s="13" t="b">
        <v>0</v>
      </c>
      <c r="K3089" s="13" t="b">
        <v>1</v>
      </c>
      <c r="L3089" s="10" t="s">
        <v>124</v>
      </c>
      <c r="M3089" s="10" t="s">
        <v>91</v>
      </c>
      <c r="N3089" s="10" t="s">
        <v>92</v>
      </c>
      <c r="O3089" s="19" t="s">
        <v>22578</v>
      </c>
      <c r="P3089" s="10"/>
      <c r="Q3089" s="10" t="s">
        <v>126</v>
      </c>
      <c r="R3089" s="10"/>
      <c r="S3089" s="19" t="s">
        <v>22579</v>
      </c>
      <c r="T3089" s="10"/>
      <c r="U3089" s="10"/>
      <c r="V3089" s="10"/>
      <c r="W3089" s="10" t="s">
        <v>20895</v>
      </c>
      <c r="X3089" s="10" t="s">
        <v>20896</v>
      </c>
      <c r="Y3089" s="10" t="s">
        <v>20896</v>
      </c>
      <c r="Z3089" s="10" t="s">
        <v>99</v>
      </c>
      <c r="AA3089" s="10" t="s">
        <v>131</v>
      </c>
      <c r="AB3089" s="10" t="s">
        <v>22580</v>
      </c>
      <c r="AC3089" s="10" t="s">
        <v>20898</v>
      </c>
      <c r="AD3089" s="10" t="s">
        <v>165</v>
      </c>
      <c r="AE3089" s="10" t="s">
        <v>22581</v>
      </c>
      <c r="AF3089" s="15"/>
      <c r="AG3089" s="10"/>
      <c r="AH3089" s="10"/>
      <c r="AI3089" s="10"/>
      <c r="AJ3089" s="10"/>
      <c r="AK3089" s="10" t="s">
        <v>102</v>
      </c>
      <c r="AL3089" s="10"/>
      <c r="AM3089" s="10"/>
      <c r="AN3089" s="10"/>
      <c r="AO3089" s="13" t="b">
        <v>0</v>
      </c>
      <c r="AP3089" s="22" t="s">
        <v>104</v>
      </c>
      <c r="AQ3089" s="10">
        <f ca="1">IFERROR(__xludf.DUMMYFUNCTION("""COMPUTED_VALUE"""),4783723)</f>
        <v>4783723</v>
      </c>
      <c r="AR3089" s="17">
        <v>808</v>
      </c>
      <c r="AS3089" s="17">
        <v>789</v>
      </c>
      <c r="AT3089" s="17">
        <v>1748</v>
      </c>
      <c r="AU3089" s="17">
        <v>0</v>
      </c>
      <c r="AV3089" s="17">
        <v>0</v>
      </c>
      <c r="AW3089" s="10" t="s">
        <v>105</v>
      </c>
      <c r="AX3089" s="17">
        <v>55</v>
      </c>
      <c r="AY3089" s="18">
        <v>2.2154626108998734</v>
      </c>
      <c r="AZ3089" s="10" t="s">
        <v>3998</v>
      </c>
      <c r="BA3089" s="20" t="b">
        <v>0</v>
      </c>
      <c r="BB3089" s="10"/>
      <c r="BC3089" s="17">
        <v>808</v>
      </c>
      <c r="BD3089" s="17">
        <v>789</v>
      </c>
      <c r="BE3089" s="17">
        <v>1748</v>
      </c>
      <c r="BF3089" s="17">
        <v>0</v>
      </c>
      <c r="BG3089" s="11">
        <f ca="1">IFERROR(__xludf.DUMMYFUNCTION("""COMPUTED_VALUE"""),46011)</f>
        <v>46011</v>
      </c>
      <c r="BH3089" s="17" t="s">
        <v>105</v>
      </c>
      <c r="BI3089" s="17"/>
      <c r="BJ3089" s="15"/>
      <c r="BK3089" s="15"/>
      <c r="BL3089" s="13" t="b">
        <v>0</v>
      </c>
      <c r="BM3089" s="10"/>
      <c r="BN3089" s="10" t="s">
        <v>157</v>
      </c>
      <c r="BO3089" s="11">
        <v>46007.446527777778</v>
      </c>
      <c r="BP3089" s="11">
        <v>46007.446574074071</v>
      </c>
      <c r="BQ3089" s="15">
        <v>46008.615578703706</v>
      </c>
      <c r="BR3089" s="15">
        <v>46008.744803240741</v>
      </c>
      <c r="BS3089" s="10" t="s">
        <v>157</v>
      </c>
      <c r="BT3089" s="10"/>
      <c r="BU3089" s="10"/>
      <c r="BV3089" s="10"/>
      <c r="BW3089" s="10"/>
      <c r="BX3089" s="10"/>
      <c r="BY3089" s="23"/>
      <c r="BZ3089" s="23"/>
      <c r="CA3089" s="19" t="s">
        <v>22582</v>
      </c>
      <c r="CB3089" s="23"/>
      <c r="CC3089" s="23"/>
      <c r="CD3089" s="19" t="s">
        <v>22583</v>
      </c>
      <c r="CE3089" s="23"/>
      <c r="CF3089" s="23"/>
      <c r="CG3089" s="23"/>
      <c r="CH3089" s="23"/>
      <c r="CI3089" s="23"/>
    </row>
    <row r="3090" spans="1:87" x14ac:dyDescent="0.3">
      <c r="A3090" s="9" t="s">
        <v>22584</v>
      </c>
      <c r="B3090" s="10" t="s">
        <v>22585</v>
      </c>
      <c r="C3090" s="11">
        <v>46012.041666666664</v>
      </c>
      <c r="D3090" s="12">
        <v>0.20833333333333334</v>
      </c>
      <c r="E3090" s="11">
        <v>46012.25</v>
      </c>
      <c r="F3090" s="22" t="s">
        <v>22577</v>
      </c>
      <c r="G3090" s="13" t="b">
        <v>0</v>
      </c>
      <c r="H3090" s="22" t="s">
        <v>20891</v>
      </c>
      <c r="I3090" s="10" t="s">
        <v>20892</v>
      </c>
      <c r="J3090" s="13" t="b">
        <v>0</v>
      </c>
      <c r="K3090" s="13" t="b">
        <v>1</v>
      </c>
      <c r="L3090" s="10" t="s">
        <v>124</v>
      </c>
      <c r="M3090" s="10" t="s">
        <v>91</v>
      </c>
      <c r="N3090" s="10" t="s">
        <v>92</v>
      </c>
      <c r="O3090" s="19" t="s">
        <v>22586</v>
      </c>
      <c r="P3090" s="10"/>
      <c r="Q3090" s="10" t="s">
        <v>126</v>
      </c>
      <c r="R3090" s="10"/>
      <c r="S3090" s="19" t="s">
        <v>22587</v>
      </c>
      <c r="T3090" s="10"/>
      <c r="U3090" s="10"/>
      <c r="V3090" s="10"/>
      <c r="W3090" s="10" t="s">
        <v>20895</v>
      </c>
      <c r="X3090" s="10" t="s">
        <v>20896</v>
      </c>
      <c r="Y3090" s="10" t="s">
        <v>20896</v>
      </c>
      <c r="Z3090" s="10" t="s">
        <v>99</v>
      </c>
      <c r="AA3090" s="10" t="s">
        <v>131</v>
      </c>
      <c r="AB3090" s="10" t="s">
        <v>22580</v>
      </c>
      <c r="AC3090" s="10" t="s">
        <v>20898</v>
      </c>
      <c r="AD3090" s="10" t="s">
        <v>165</v>
      </c>
      <c r="AE3090" s="10" t="s">
        <v>22588</v>
      </c>
      <c r="AF3090" s="15"/>
      <c r="AG3090" s="10"/>
      <c r="AH3090" s="10"/>
      <c r="AI3090" s="10"/>
      <c r="AJ3090" s="10"/>
      <c r="AK3090" s="10" t="s">
        <v>102</v>
      </c>
      <c r="AL3090" s="10"/>
      <c r="AM3090" s="10"/>
      <c r="AN3090" s="10"/>
      <c r="AO3090" s="13" t="b">
        <v>0</v>
      </c>
      <c r="AP3090" s="22" t="s">
        <v>104</v>
      </c>
      <c r="AQ3090" s="10">
        <f ca="1">IFERROR(__xludf.DUMMYFUNCTION("""COMPUTED_VALUE"""),4783753)</f>
        <v>4783753</v>
      </c>
      <c r="AR3090" s="17">
        <v>1248</v>
      </c>
      <c r="AS3090" s="17">
        <v>1194</v>
      </c>
      <c r="AT3090" s="17">
        <v>5913</v>
      </c>
      <c r="AU3090" s="17">
        <v>0.25</v>
      </c>
      <c r="AV3090" s="17">
        <v>0.25</v>
      </c>
      <c r="AW3090" s="10" t="s">
        <v>105</v>
      </c>
      <c r="AX3090" s="17">
        <v>106</v>
      </c>
      <c r="AY3090" s="18">
        <v>4.9522613065326633</v>
      </c>
      <c r="AZ3090" s="10" t="s">
        <v>3998</v>
      </c>
      <c r="BA3090" s="20" t="b">
        <v>0</v>
      </c>
      <c r="BB3090" s="10"/>
      <c r="BC3090" s="17">
        <v>1248</v>
      </c>
      <c r="BD3090" s="17">
        <v>1194</v>
      </c>
      <c r="BE3090" s="17">
        <v>5913</v>
      </c>
      <c r="BF3090" s="17">
        <v>0.25</v>
      </c>
      <c r="BG3090" s="11">
        <f ca="1">IFERROR(__xludf.DUMMYFUNCTION("""COMPUTED_VALUE"""),46012.0416666666)</f>
        <v>46012.041666666599</v>
      </c>
      <c r="BH3090" s="17" t="s">
        <v>105</v>
      </c>
      <c r="BI3090" s="17"/>
      <c r="BJ3090" s="15"/>
      <c r="BK3090" s="15"/>
      <c r="BL3090" s="13" t="b">
        <v>0</v>
      </c>
      <c r="BM3090" s="10"/>
      <c r="BN3090" s="10" t="s">
        <v>1160</v>
      </c>
      <c r="BO3090" s="11">
        <v>46007.447222222225</v>
      </c>
      <c r="BP3090" s="11">
        <v>46007.44740740741</v>
      </c>
      <c r="BQ3090" s="15">
        <v>46008.615682870368</v>
      </c>
      <c r="BR3090" s="15">
        <v>46009.395451388889</v>
      </c>
      <c r="BS3090" s="10" t="s">
        <v>1160</v>
      </c>
      <c r="BT3090" s="10"/>
      <c r="BU3090" s="10"/>
      <c r="BV3090" s="10"/>
      <c r="BW3090" s="10"/>
      <c r="BX3090" s="10"/>
      <c r="BY3090" s="23"/>
      <c r="BZ3090" s="23"/>
      <c r="CA3090" s="19" t="s">
        <v>22589</v>
      </c>
      <c r="CB3090" s="23"/>
      <c r="CC3090" s="23"/>
      <c r="CD3090" s="19" t="s">
        <v>22590</v>
      </c>
      <c r="CE3090" s="23"/>
      <c r="CF3090" s="23"/>
      <c r="CG3090" s="23"/>
      <c r="CH3090" s="23"/>
      <c r="CI3090" s="23"/>
    </row>
    <row r="3091" spans="1:87" x14ac:dyDescent="0.3">
      <c r="A3091" s="9" t="s">
        <v>22591</v>
      </c>
      <c r="B3091" s="10" t="s">
        <v>22592</v>
      </c>
      <c r="C3091" s="11">
        <v>46012.979166666664</v>
      </c>
      <c r="D3091" s="12">
        <v>0.20833333333333334</v>
      </c>
      <c r="E3091" s="11">
        <v>46013.1875</v>
      </c>
      <c r="F3091" s="22" t="s">
        <v>22577</v>
      </c>
      <c r="G3091" s="13" t="b">
        <v>0</v>
      </c>
      <c r="H3091" s="22" t="s">
        <v>20891</v>
      </c>
      <c r="I3091" s="10" t="s">
        <v>20892</v>
      </c>
      <c r="J3091" s="13" t="b">
        <v>0</v>
      </c>
      <c r="K3091" s="13" t="b">
        <v>1</v>
      </c>
      <c r="L3091" s="10" t="s">
        <v>124</v>
      </c>
      <c r="M3091" s="10" t="s">
        <v>91</v>
      </c>
      <c r="N3091" s="10" t="s">
        <v>92</v>
      </c>
      <c r="O3091" s="19" t="s">
        <v>22593</v>
      </c>
      <c r="P3091" s="10"/>
      <c r="Q3091" s="10" t="s">
        <v>126</v>
      </c>
      <c r="R3091" s="10"/>
      <c r="S3091" s="19" t="s">
        <v>22594</v>
      </c>
      <c r="T3091" s="10"/>
      <c r="U3091" s="10"/>
      <c r="V3091" s="10"/>
      <c r="W3091" s="10" t="s">
        <v>20895</v>
      </c>
      <c r="X3091" s="10" t="s">
        <v>20896</v>
      </c>
      <c r="Y3091" s="10" t="s">
        <v>20896</v>
      </c>
      <c r="Z3091" s="10" t="s">
        <v>99</v>
      </c>
      <c r="AA3091" s="10" t="s">
        <v>131</v>
      </c>
      <c r="AB3091" s="10" t="s">
        <v>22580</v>
      </c>
      <c r="AC3091" s="10" t="s">
        <v>20898</v>
      </c>
      <c r="AD3091" s="10" t="s">
        <v>165</v>
      </c>
      <c r="AE3091" s="10" t="s">
        <v>22595</v>
      </c>
      <c r="AF3091" s="15"/>
      <c r="AG3091" s="10"/>
      <c r="AH3091" s="10"/>
      <c r="AI3091" s="10"/>
      <c r="AJ3091" s="10"/>
      <c r="AK3091" s="10" t="s">
        <v>102</v>
      </c>
      <c r="AL3091" s="10"/>
      <c r="AM3091" s="10"/>
      <c r="AN3091" s="10"/>
      <c r="AO3091" s="13" t="b">
        <v>0</v>
      </c>
      <c r="AP3091" s="22" t="s">
        <v>104</v>
      </c>
      <c r="AQ3091" s="10">
        <f ca="1">IFERROR(__xludf.DUMMYFUNCTION("""COMPUTED_VALUE"""),4783771)</f>
        <v>4783771</v>
      </c>
      <c r="AR3091" s="17">
        <v>1112</v>
      </c>
      <c r="AS3091" s="17">
        <v>1054</v>
      </c>
      <c r="AT3091" s="17">
        <v>4151.25</v>
      </c>
      <c r="AU3091" s="17">
        <v>0.4</v>
      </c>
      <c r="AV3091" s="17">
        <v>0</v>
      </c>
      <c r="AW3091" s="10" t="s">
        <v>105</v>
      </c>
      <c r="AX3091" s="17">
        <v>80</v>
      </c>
      <c r="AY3091" s="18">
        <v>3.9385673624288424</v>
      </c>
      <c r="AZ3091" s="10" t="s">
        <v>3998</v>
      </c>
      <c r="BA3091" s="20" t="b">
        <v>0</v>
      </c>
      <c r="BB3091" s="10"/>
      <c r="BC3091" s="17">
        <v>1112</v>
      </c>
      <c r="BD3091" s="17">
        <v>1054</v>
      </c>
      <c r="BE3091" s="17">
        <v>4151.25</v>
      </c>
      <c r="BF3091" s="17">
        <v>0</v>
      </c>
      <c r="BG3091" s="11">
        <f ca="1">IFERROR(__xludf.DUMMYFUNCTION("""COMPUTED_VALUE"""),46012.9791666666)</f>
        <v>46012.979166666599</v>
      </c>
      <c r="BH3091" s="17" t="s">
        <v>105</v>
      </c>
      <c r="BI3091" s="17"/>
      <c r="BJ3091" s="15"/>
      <c r="BK3091" s="15"/>
      <c r="BL3091" s="13" t="b">
        <v>0</v>
      </c>
      <c r="BM3091" s="10"/>
      <c r="BN3091" s="10" t="s">
        <v>4030</v>
      </c>
      <c r="BO3091" s="11">
        <v>46007.447222222225</v>
      </c>
      <c r="BP3091" s="11">
        <v>46007.447928240741</v>
      </c>
      <c r="BQ3091" s="15">
        <v>46008.615798611114</v>
      </c>
      <c r="BR3091" s="15">
        <v>46009.74359953704</v>
      </c>
      <c r="BS3091" s="10" t="s">
        <v>4030</v>
      </c>
      <c r="BT3091" s="10"/>
      <c r="BU3091" s="10"/>
      <c r="BV3091" s="10"/>
      <c r="BW3091" s="10"/>
      <c r="BX3091" s="10"/>
      <c r="BY3091" s="23"/>
      <c r="BZ3091" s="23"/>
      <c r="CA3091" s="19" t="s">
        <v>22596</v>
      </c>
      <c r="CB3091" s="23"/>
      <c r="CC3091" s="23"/>
      <c r="CD3091" s="19" t="s">
        <v>22597</v>
      </c>
      <c r="CE3091" s="23"/>
      <c r="CF3091" s="23"/>
      <c r="CG3091" s="23"/>
      <c r="CH3091" s="23"/>
      <c r="CI3091" s="23"/>
    </row>
    <row r="3092" spans="1:87" x14ac:dyDescent="0.3">
      <c r="A3092" s="9" t="s">
        <v>22598</v>
      </c>
      <c r="B3092" s="10" t="s">
        <v>22599</v>
      </c>
      <c r="C3092" s="11">
        <v>46023.083333333336</v>
      </c>
      <c r="D3092" s="12">
        <v>8.3333333333333329E-2</v>
      </c>
      <c r="E3092" s="11">
        <v>46023.166666666664</v>
      </c>
      <c r="F3092" s="22" t="s">
        <v>20550</v>
      </c>
      <c r="G3092" s="13" t="b">
        <v>0</v>
      </c>
      <c r="H3092" s="22" t="s">
        <v>3578</v>
      </c>
      <c r="I3092" s="10" t="s">
        <v>89</v>
      </c>
      <c r="J3092" s="13" t="b">
        <v>0</v>
      </c>
      <c r="K3092" s="13" t="b">
        <v>1</v>
      </c>
      <c r="L3092" s="10" t="s">
        <v>124</v>
      </c>
      <c r="M3092" s="10" t="s">
        <v>91</v>
      </c>
      <c r="N3092" s="10" t="s">
        <v>265</v>
      </c>
      <c r="O3092" s="19" t="s">
        <v>22600</v>
      </c>
      <c r="P3092" s="10"/>
      <c r="Q3092" s="10" t="s">
        <v>126</v>
      </c>
      <c r="R3092" s="10"/>
      <c r="S3092" s="19" t="s">
        <v>22601</v>
      </c>
      <c r="T3092" s="10"/>
      <c r="U3092" s="10" t="s">
        <v>20702</v>
      </c>
      <c r="V3092" s="10" t="s">
        <v>20725</v>
      </c>
      <c r="W3092" s="10" t="s">
        <v>20555</v>
      </c>
      <c r="X3092" s="10" t="s">
        <v>130</v>
      </c>
      <c r="Y3092" s="10" t="s">
        <v>130</v>
      </c>
      <c r="Z3092" s="10" t="s">
        <v>99</v>
      </c>
      <c r="AA3092" s="10" t="s">
        <v>131</v>
      </c>
      <c r="AB3092" s="10" t="s">
        <v>20556</v>
      </c>
      <c r="AC3092" s="10" t="s">
        <v>20557</v>
      </c>
      <c r="AD3092" s="10" t="s">
        <v>22602</v>
      </c>
      <c r="AE3092" s="10" t="s">
        <v>22603</v>
      </c>
      <c r="AF3092" s="15"/>
      <c r="AG3092" s="10"/>
      <c r="AH3092" s="10"/>
      <c r="AI3092" s="10"/>
      <c r="AJ3092" s="10"/>
      <c r="AK3092" s="10" t="s">
        <v>102</v>
      </c>
      <c r="AL3092" s="10" t="s">
        <v>7897</v>
      </c>
      <c r="AM3092" s="10"/>
      <c r="AN3092" s="10"/>
      <c r="AO3092" s="13" t="b">
        <v>0</v>
      </c>
      <c r="AP3092" s="22" t="s">
        <v>104</v>
      </c>
      <c r="AQ3092" s="10">
        <f ca="1">IFERROR(__xludf.DUMMYFUNCTION("""COMPUTED_VALUE"""),4803405)</f>
        <v>4803405</v>
      </c>
      <c r="AR3092" s="17">
        <v>7918</v>
      </c>
      <c r="AS3092" s="17">
        <v>5093</v>
      </c>
      <c r="AT3092" s="17">
        <v>202915.5</v>
      </c>
      <c r="AU3092" s="17">
        <v>14.45</v>
      </c>
      <c r="AV3092" s="17">
        <v>3.1</v>
      </c>
      <c r="AW3092" s="10" t="s">
        <v>105</v>
      </c>
      <c r="AX3092" s="17">
        <v>2092</v>
      </c>
      <c r="AY3092" s="18">
        <v>39.842038091498132</v>
      </c>
      <c r="AZ3092" s="10" t="s">
        <v>136</v>
      </c>
      <c r="BA3092" s="20" t="b">
        <v>0</v>
      </c>
      <c r="BB3092" s="10"/>
      <c r="BC3092" s="17">
        <v>7918</v>
      </c>
      <c r="BD3092" s="17">
        <v>5093</v>
      </c>
      <c r="BE3092" s="17">
        <v>202915.5</v>
      </c>
      <c r="BF3092" s="17">
        <v>3.1</v>
      </c>
      <c r="BG3092" s="11">
        <f ca="1">IFERROR(__xludf.DUMMYFUNCTION("""COMPUTED_VALUE"""),46023.0833333333)</f>
        <v>46023.083333333299</v>
      </c>
      <c r="BH3092" s="17" t="s">
        <v>105</v>
      </c>
      <c r="BI3092" s="17"/>
      <c r="BJ3092" s="15"/>
      <c r="BK3092" s="15"/>
      <c r="BL3092" s="13" t="b">
        <v>0</v>
      </c>
      <c r="BM3092" s="10"/>
      <c r="BN3092" s="10" t="s">
        <v>1149</v>
      </c>
      <c r="BO3092" s="11">
        <v>46007.556944444441</v>
      </c>
      <c r="BP3092" s="11">
        <v>46007.55709490741</v>
      </c>
      <c r="BQ3092" s="15">
        <v>46019.639618055553</v>
      </c>
      <c r="BR3092" s="15">
        <v>46021.419050925928</v>
      </c>
      <c r="BS3092" s="10" t="s">
        <v>1149</v>
      </c>
      <c r="BT3092" s="10" t="s">
        <v>99</v>
      </c>
      <c r="BU3092" s="10" t="s">
        <v>5762</v>
      </c>
      <c r="BV3092" s="10"/>
      <c r="BW3092" s="10"/>
      <c r="BX3092" s="10"/>
      <c r="BY3092" s="23"/>
      <c r="BZ3092" s="23"/>
      <c r="CA3092" s="19" t="s">
        <v>22604</v>
      </c>
      <c r="CB3092" s="23"/>
      <c r="CC3092" s="23"/>
      <c r="CD3092" s="19" t="s">
        <v>22605</v>
      </c>
      <c r="CE3092" s="23"/>
      <c r="CF3092" s="23"/>
      <c r="CG3092" s="23"/>
      <c r="CH3092" s="23"/>
      <c r="CI3092" s="23"/>
    </row>
    <row r="3093" spans="1:87" x14ac:dyDescent="0.3">
      <c r="A3093" s="9" t="s">
        <v>22606</v>
      </c>
      <c r="B3093" s="10" t="s">
        <v>22607</v>
      </c>
      <c r="C3093" s="11">
        <v>46023.083333333336</v>
      </c>
      <c r="D3093" s="12">
        <v>8.3333333333333329E-2</v>
      </c>
      <c r="E3093" s="11">
        <v>46023.166666666664</v>
      </c>
      <c r="F3093" s="22" t="s">
        <v>20550</v>
      </c>
      <c r="G3093" s="13" t="b">
        <v>0</v>
      </c>
      <c r="H3093" s="22" t="s">
        <v>3564</v>
      </c>
      <c r="I3093" s="10" t="s">
        <v>89</v>
      </c>
      <c r="J3093" s="13" t="b">
        <v>0</v>
      </c>
      <c r="K3093" s="13" t="b">
        <v>1</v>
      </c>
      <c r="L3093" s="10" t="s">
        <v>124</v>
      </c>
      <c r="M3093" s="10" t="s">
        <v>91</v>
      </c>
      <c r="N3093" s="10" t="s">
        <v>265</v>
      </c>
      <c r="O3093" s="19" t="s">
        <v>22608</v>
      </c>
      <c r="P3093" s="10"/>
      <c r="Q3093" s="10" t="s">
        <v>94</v>
      </c>
      <c r="R3093" s="10"/>
      <c r="S3093" s="10"/>
      <c r="T3093" s="10"/>
      <c r="U3093" s="10" t="s">
        <v>20703</v>
      </c>
      <c r="V3093" s="10" t="s">
        <v>20726</v>
      </c>
      <c r="W3093" s="10" t="s">
        <v>20555</v>
      </c>
      <c r="X3093" s="10" t="s">
        <v>130</v>
      </c>
      <c r="Y3093" s="10" t="s">
        <v>130</v>
      </c>
      <c r="Z3093" s="10" t="s">
        <v>99</v>
      </c>
      <c r="AA3093" s="10" t="s">
        <v>131</v>
      </c>
      <c r="AB3093" s="10" t="s">
        <v>20556</v>
      </c>
      <c r="AC3093" s="10" t="s">
        <v>20557</v>
      </c>
      <c r="AD3093" s="10" t="s">
        <v>22609</v>
      </c>
      <c r="AE3093" s="10" t="s">
        <v>22610</v>
      </c>
      <c r="AF3093" s="15"/>
      <c r="AG3093" s="10"/>
      <c r="AH3093" s="10"/>
      <c r="AI3093" s="10"/>
      <c r="AJ3093" s="10"/>
      <c r="AK3093" s="10" t="s">
        <v>102</v>
      </c>
      <c r="AL3093" s="10" t="s">
        <v>7897</v>
      </c>
      <c r="AM3093" s="10"/>
      <c r="AN3093" s="10"/>
      <c r="AO3093" s="13" t="b">
        <v>0</v>
      </c>
      <c r="AP3093" s="22" t="s">
        <v>104</v>
      </c>
      <c r="AQ3093" s="10">
        <f ca="1">IFERROR(__xludf.DUMMYFUNCTION("""COMPUTED_VALUE"""),4803407)</f>
        <v>4803407</v>
      </c>
      <c r="AR3093" s="17">
        <v>6318</v>
      </c>
      <c r="AS3093" s="17">
        <v>4084</v>
      </c>
      <c r="AT3093" s="17">
        <v>156121.75</v>
      </c>
      <c r="AU3093" s="17">
        <v>9.75</v>
      </c>
      <c r="AV3093" s="17">
        <v>4.05</v>
      </c>
      <c r="AW3093" s="10" t="s">
        <v>105</v>
      </c>
      <c r="AX3093" s="17">
        <v>1508</v>
      </c>
      <c r="AY3093" s="18">
        <v>38.227656709108714</v>
      </c>
      <c r="AZ3093" s="10"/>
      <c r="BA3093" s="20" t="b">
        <v>0</v>
      </c>
      <c r="BB3093" s="10"/>
      <c r="BC3093" s="17">
        <v>6318</v>
      </c>
      <c r="BD3093" s="17">
        <v>4084</v>
      </c>
      <c r="BE3093" s="17">
        <v>156121.75</v>
      </c>
      <c r="BF3093" s="17">
        <v>4.05</v>
      </c>
      <c r="BG3093" s="11">
        <f ca="1">IFERROR(__xludf.DUMMYFUNCTION("""COMPUTED_VALUE"""),46023.0833333333)</f>
        <v>46023.083333333299</v>
      </c>
      <c r="BH3093" s="17" t="s">
        <v>105</v>
      </c>
      <c r="BI3093" s="17"/>
      <c r="BJ3093" s="15"/>
      <c r="BK3093" s="15"/>
      <c r="BL3093" s="13" t="b">
        <v>0</v>
      </c>
      <c r="BM3093" s="10"/>
      <c r="BN3093" s="10" t="s">
        <v>1149</v>
      </c>
      <c r="BO3093" s="11">
        <v>46007.558333333334</v>
      </c>
      <c r="BP3093" s="11">
        <v>46007.558715277781</v>
      </c>
      <c r="BQ3093" s="15"/>
      <c r="BR3093" s="15">
        <v>46021.422847222224</v>
      </c>
      <c r="BS3093" s="10" t="s">
        <v>1149</v>
      </c>
      <c r="BT3093" s="10" t="s">
        <v>99</v>
      </c>
      <c r="BU3093" s="10" t="s">
        <v>8057</v>
      </c>
      <c r="BV3093" s="10"/>
      <c r="BW3093" s="10"/>
      <c r="BX3093" s="10"/>
      <c r="BY3093" s="23"/>
      <c r="BZ3093" s="23"/>
      <c r="CA3093" s="19" t="s">
        <v>22611</v>
      </c>
      <c r="CB3093" s="23"/>
      <c r="CC3093" s="23"/>
      <c r="CD3093" s="23"/>
      <c r="CE3093" s="23"/>
      <c r="CF3093" s="23"/>
      <c r="CG3093" s="23"/>
      <c r="CH3093" s="23"/>
      <c r="CI3093" s="23"/>
    </row>
    <row r="3094" spans="1:87" x14ac:dyDescent="0.3">
      <c r="A3094" s="9" t="s">
        <v>22612</v>
      </c>
      <c r="B3094" s="10" t="s">
        <v>22613</v>
      </c>
      <c r="C3094" s="11">
        <v>46032.104166666664</v>
      </c>
      <c r="D3094" s="12">
        <v>8.3333333333333329E-2</v>
      </c>
      <c r="E3094" s="11">
        <v>46032.1875</v>
      </c>
      <c r="F3094" s="22" t="s">
        <v>17870</v>
      </c>
      <c r="G3094" s="13" t="b">
        <v>0</v>
      </c>
      <c r="H3094" s="22" t="s">
        <v>17871</v>
      </c>
      <c r="I3094" s="10" t="s">
        <v>3213</v>
      </c>
      <c r="J3094" s="13" t="b">
        <v>0</v>
      </c>
      <c r="K3094" s="13" t="b">
        <v>1</v>
      </c>
      <c r="L3094" s="10" t="s">
        <v>124</v>
      </c>
      <c r="M3094" s="10" t="s">
        <v>91</v>
      </c>
      <c r="N3094" s="10" t="s">
        <v>92</v>
      </c>
      <c r="O3094" s="19" t="s">
        <v>22614</v>
      </c>
      <c r="P3094" s="10"/>
      <c r="Q3094" s="10" t="s">
        <v>126</v>
      </c>
      <c r="R3094" s="10"/>
      <c r="S3094" s="19" t="s">
        <v>22615</v>
      </c>
      <c r="T3094" s="10"/>
      <c r="U3094" s="10" t="s">
        <v>7633</v>
      </c>
      <c r="V3094" s="10" t="s">
        <v>320</v>
      </c>
      <c r="W3094" s="10" t="s">
        <v>17876</v>
      </c>
      <c r="X3094" s="10" t="s">
        <v>130</v>
      </c>
      <c r="Y3094" s="10" t="s">
        <v>130</v>
      </c>
      <c r="Z3094" s="10" t="s">
        <v>99</v>
      </c>
      <c r="AA3094" s="10" t="s">
        <v>131</v>
      </c>
      <c r="AB3094" s="10" t="s">
        <v>17877</v>
      </c>
      <c r="AC3094" s="10" t="s">
        <v>7885</v>
      </c>
      <c r="AD3094" s="10" t="s">
        <v>22616</v>
      </c>
      <c r="AE3094" s="10" t="s">
        <v>22617</v>
      </c>
      <c r="AF3094" s="15"/>
      <c r="AG3094" s="10"/>
      <c r="AH3094" s="10"/>
      <c r="AI3094" s="10"/>
      <c r="AJ3094" s="10"/>
      <c r="AK3094" s="10" t="s">
        <v>102</v>
      </c>
      <c r="AL3094" s="10"/>
      <c r="AM3094" s="10"/>
      <c r="AN3094" s="10"/>
      <c r="AO3094" s="13" t="b">
        <v>0</v>
      </c>
      <c r="AP3094" s="22" t="s">
        <v>104</v>
      </c>
      <c r="AQ3094" s="10">
        <f ca="1">IFERROR(__xludf.DUMMYFUNCTION("""COMPUTED_VALUE"""),4832270)</f>
        <v>4832270</v>
      </c>
      <c r="AR3094" s="17">
        <v>5831</v>
      </c>
      <c r="AS3094" s="17">
        <v>3975</v>
      </c>
      <c r="AT3094" s="17">
        <v>73063.25</v>
      </c>
      <c r="AU3094" s="17">
        <v>10</v>
      </c>
      <c r="AV3094" s="17">
        <v>1.75</v>
      </c>
      <c r="AW3094" s="10" t="s">
        <v>105</v>
      </c>
      <c r="AX3094" s="17">
        <v>1398</v>
      </c>
      <c r="AY3094" s="18">
        <v>18.380691823899372</v>
      </c>
      <c r="AZ3094" s="10" t="s">
        <v>6778</v>
      </c>
      <c r="BA3094" s="20" t="b">
        <v>0</v>
      </c>
      <c r="BB3094" s="10"/>
      <c r="BC3094" s="17">
        <v>5831</v>
      </c>
      <c r="BD3094" s="17">
        <v>3975</v>
      </c>
      <c r="BE3094" s="17">
        <v>73063.25</v>
      </c>
      <c r="BF3094" s="17">
        <v>1.75</v>
      </c>
      <c r="BG3094" s="11">
        <f ca="1">IFERROR(__xludf.DUMMYFUNCTION("""COMPUTED_VALUE"""),46032.1041666666)</f>
        <v>46032.104166666599</v>
      </c>
      <c r="BH3094" s="17" t="s">
        <v>105</v>
      </c>
      <c r="BI3094" s="17"/>
      <c r="BJ3094" s="15"/>
      <c r="BK3094" s="15"/>
      <c r="BL3094" s="13" t="b">
        <v>0</v>
      </c>
      <c r="BM3094" s="10"/>
      <c r="BN3094" s="10" t="s">
        <v>278</v>
      </c>
      <c r="BO3094" s="11">
        <v>46007.643055555556</v>
      </c>
      <c r="BP3094" s="11">
        <v>46007.643171296295</v>
      </c>
      <c r="BQ3094" s="15">
        <v>46031.492939814816</v>
      </c>
      <c r="BR3094" s="15">
        <v>46029.434560185182</v>
      </c>
      <c r="BS3094" s="10" t="s">
        <v>278</v>
      </c>
      <c r="BT3094" s="10" t="s">
        <v>99</v>
      </c>
      <c r="BU3094" s="10" t="s">
        <v>298</v>
      </c>
      <c r="BV3094" s="10"/>
      <c r="BW3094" s="10"/>
      <c r="BX3094" s="10"/>
      <c r="BY3094" s="23"/>
      <c r="BZ3094" s="23"/>
      <c r="CA3094" s="19" t="s">
        <v>22618</v>
      </c>
      <c r="CB3094" s="19" t="s">
        <v>22619</v>
      </c>
      <c r="CC3094" s="23"/>
      <c r="CD3094" s="19" t="s">
        <v>22620</v>
      </c>
      <c r="CE3094" s="23"/>
      <c r="CF3094" s="23"/>
      <c r="CG3094" s="23"/>
      <c r="CH3094" s="23"/>
      <c r="CI3094" s="23"/>
    </row>
    <row r="3095" spans="1:87" x14ac:dyDescent="0.3">
      <c r="A3095" s="9" t="s">
        <v>22621</v>
      </c>
      <c r="B3095" s="10" t="s">
        <v>22622</v>
      </c>
      <c r="C3095" s="11">
        <v>46032.104166666664</v>
      </c>
      <c r="D3095" s="12">
        <v>8.3333333333333329E-2</v>
      </c>
      <c r="E3095" s="11">
        <v>46032.1875</v>
      </c>
      <c r="F3095" s="22" t="s">
        <v>17870</v>
      </c>
      <c r="G3095" s="13" t="b">
        <v>0</v>
      </c>
      <c r="H3095" s="22" t="s">
        <v>17871</v>
      </c>
      <c r="I3095" s="10" t="s">
        <v>3213</v>
      </c>
      <c r="J3095" s="13" t="b">
        <v>0</v>
      </c>
      <c r="K3095" s="13" t="b">
        <v>1</v>
      </c>
      <c r="L3095" s="10" t="s">
        <v>124</v>
      </c>
      <c r="M3095" s="10" t="s">
        <v>91</v>
      </c>
      <c r="N3095" s="10" t="s">
        <v>92</v>
      </c>
      <c r="O3095" s="19" t="s">
        <v>22623</v>
      </c>
      <c r="P3095" s="10"/>
      <c r="Q3095" s="10" t="s">
        <v>126</v>
      </c>
      <c r="R3095" s="10"/>
      <c r="S3095" s="19" t="s">
        <v>22624</v>
      </c>
      <c r="T3095" s="10"/>
      <c r="U3095" s="10" t="s">
        <v>22625</v>
      </c>
      <c r="V3095" s="10" t="s">
        <v>7881</v>
      </c>
      <c r="W3095" s="10" t="s">
        <v>17876</v>
      </c>
      <c r="X3095" s="10" t="s">
        <v>130</v>
      </c>
      <c r="Y3095" s="10" t="s">
        <v>130</v>
      </c>
      <c r="Z3095" s="10" t="s">
        <v>99</v>
      </c>
      <c r="AA3095" s="10" t="s">
        <v>131</v>
      </c>
      <c r="AB3095" s="10" t="s">
        <v>17877</v>
      </c>
      <c r="AC3095" s="10" t="s">
        <v>7885</v>
      </c>
      <c r="AD3095" s="10" t="s">
        <v>22626</v>
      </c>
      <c r="AE3095" s="10" t="s">
        <v>22627</v>
      </c>
      <c r="AF3095" s="15"/>
      <c r="AG3095" s="10"/>
      <c r="AH3095" s="10"/>
      <c r="AI3095" s="10"/>
      <c r="AJ3095" s="10"/>
      <c r="AK3095" s="10" t="s">
        <v>102</v>
      </c>
      <c r="AL3095" s="10"/>
      <c r="AM3095" s="10"/>
      <c r="AN3095" s="10"/>
      <c r="AO3095" s="13" t="b">
        <v>0</v>
      </c>
      <c r="AP3095" s="22" t="s">
        <v>104</v>
      </c>
      <c r="AQ3095" s="10">
        <f ca="1">IFERROR(__xludf.DUMMYFUNCTION("""COMPUTED_VALUE"""),4832263)</f>
        <v>4832263</v>
      </c>
      <c r="AR3095" s="17">
        <v>4771</v>
      </c>
      <c r="AS3095" s="17">
        <v>3697</v>
      </c>
      <c r="AT3095" s="17">
        <v>36764.75</v>
      </c>
      <c r="AU3095" s="17">
        <v>4.5</v>
      </c>
      <c r="AV3095" s="17">
        <v>1.5</v>
      </c>
      <c r="AW3095" s="10" t="s">
        <v>105</v>
      </c>
      <c r="AX3095" s="17">
        <v>1022</v>
      </c>
      <c r="AY3095" s="18">
        <v>9.9444820124425206</v>
      </c>
      <c r="AZ3095" s="10" t="s">
        <v>6778</v>
      </c>
      <c r="BA3095" s="20" t="b">
        <v>0</v>
      </c>
      <c r="BB3095" s="10"/>
      <c r="BC3095" s="17">
        <v>4771</v>
      </c>
      <c r="BD3095" s="17">
        <v>3697</v>
      </c>
      <c r="BE3095" s="17">
        <v>36764.75</v>
      </c>
      <c r="BF3095" s="17">
        <v>1.5</v>
      </c>
      <c r="BG3095" s="11">
        <f ca="1">IFERROR(__xludf.DUMMYFUNCTION("""COMPUTED_VALUE"""),46032.1041666666)</f>
        <v>46032.104166666599</v>
      </c>
      <c r="BH3095" s="17" t="s">
        <v>105</v>
      </c>
      <c r="BI3095" s="17"/>
      <c r="BJ3095" s="15"/>
      <c r="BK3095" s="15"/>
      <c r="BL3095" s="13" t="b">
        <v>0</v>
      </c>
      <c r="BM3095" s="10"/>
      <c r="BN3095" s="10" t="s">
        <v>278</v>
      </c>
      <c r="BO3095" s="11">
        <v>46007.652083333334</v>
      </c>
      <c r="BP3095" s="11">
        <v>46008.719467592593</v>
      </c>
      <c r="BQ3095" s="15">
        <v>46031.491550925923</v>
      </c>
      <c r="BR3095" s="15">
        <v>46029.434212962966</v>
      </c>
      <c r="BS3095" s="10" t="s">
        <v>278</v>
      </c>
      <c r="BT3095" s="10" t="s">
        <v>99</v>
      </c>
      <c r="BU3095" s="10" t="s">
        <v>456</v>
      </c>
      <c r="BV3095" s="10"/>
      <c r="BW3095" s="10"/>
      <c r="BX3095" s="10"/>
      <c r="BY3095" s="23"/>
      <c r="BZ3095" s="23"/>
      <c r="CA3095" s="19" t="s">
        <v>22628</v>
      </c>
      <c r="CB3095" s="19" t="s">
        <v>22629</v>
      </c>
      <c r="CC3095" s="23"/>
      <c r="CD3095" s="19" t="s">
        <v>22630</v>
      </c>
      <c r="CE3095" s="23"/>
      <c r="CF3095" s="23"/>
      <c r="CG3095" s="23"/>
      <c r="CH3095" s="23"/>
      <c r="CI3095" s="23"/>
    </row>
    <row r="3096" spans="1:87" x14ac:dyDescent="0.3">
      <c r="A3096" s="9" t="s">
        <v>22631</v>
      </c>
      <c r="B3096" s="10" t="s">
        <v>22632</v>
      </c>
      <c r="C3096" s="11">
        <v>46032.802083333336</v>
      </c>
      <c r="D3096" s="12">
        <v>8.3333333333333329E-2</v>
      </c>
      <c r="E3096" s="11">
        <v>46032.885416666664</v>
      </c>
      <c r="F3096" s="22" t="s">
        <v>17870</v>
      </c>
      <c r="G3096" s="13" t="b">
        <v>0</v>
      </c>
      <c r="H3096" s="22" t="s">
        <v>17871</v>
      </c>
      <c r="I3096" s="10" t="s">
        <v>3213</v>
      </c>
      <c r="J3096" s="13" t="b">
        <v>0</v>
      </c>
      <c r="K3096" s="13" t="b">
        <v>1</v>
      </c>
      <c r="L3096" s="10" t="s">
        <v>124</v>
      </c>
      <c r="M3096" s="10" t="s">
        <v>91</v>
      </c>
      <c r="N3096" s="10" t="s">
        <v>92</v>
      </c>
      <c r="O3096" s="19" t="s">
        <v>22633</v>
      </c>
      <c r="P3096" s="10"/>
      <c r="Q3096" s="10" t="s">
        <v>126</v>
      </c>
      <c r="R3096" s="10"/>
      <c r="S3096" s="19" t="s">
        <v>22634</v>
      </c>
      <c r="T3096" s="10"/>
      <c r="U3096" s="10" t="s">
        <v>19399</v>
      </c>
      <c r="V3096" s="10" t="s">
        <v>347</v>
      </c>
      <c r="W3096" s="10" t="s">
        <v>17876</v>
      </c>
      <c r="X3096" s="10" t="s">
        <v>130</v>
      </c>
      <c r="Y3096" s="10" t="s">
        <v>130</v>
      </c>
      <c r="Z3096" s="10" t="s">
        <v>99</v>
      </c>
      <c r="AA3096" s="10" t="s">
        <v>131</v>
      </c>
      <c r="AB3096" s="10" t="s">
        <v>17877</v>
      </c>
      <c r="AC3096" s="10" t="s">
        <v>7885</v>
      </c>
      <c r="AD3096" s="10" t="s">
        <v>22635</v>
      </c>
      <c r="AE3096" s="10" t="s">
        <v>22636</v>
      </c>
      <c r="AF3096" s="15"/>
      <c r="AG3096" s="10"/>
      <c r="AH3096" s="10"/>
      <c r="AI3096" s="10"/>
      <c r="AJ3096" s="10"/>
      <c r="AK3096" s="10" t="s">
        <v>102</v>
      </c>
      <c r="AL3096" s="10"/>
      <c r="AM3096" s="10"/>
      <c r="AN3096" s="10"/>
      <c r="AO3096" s="13" t="b">
        <v>0</v>
      </c>
      <c r="AP3096" s="22" t="s">
        <v>104</v>
      </c>
      <c r="AQ3096" s="10">
        <f ca="1">IFERROR(__xludf.DUMMYFUNCTION("""COMPUTED_VALUE"""),4832292)</f>
        <v>4832292</v>
      </c>
      <c r="AR3096" s="17">
        <v>12770</v>
      </c>
      <c r="AS3096" s="17">
        <v>9980</v>
      </c>
      <c r="AT3096" s="17">
        <v>80245.75</v>
      </c>
      <c r="AU3096" s="17">
        <v>22.85</v>
      </c>
      <c r="AV3096" s="17">
        <v>1.1499999999999999</v>
      </c>
      <c r="AW3096" s="10" t="s">
        <v>105</v>
      </c>
      <c r="AX3096" s="17">
        <v>2082</v>
      </c>
      <c r="AY3096" s="18">
        <v>8.0406563126252504</v>
      </c>
      <c r="AZ3096" s="10" t="s">
        <v>6778</v>
      </c>
      <c r="BA3096" s="20" t="b">
        <v>0</v>
      </c>
      <c r="BB3096" s="10"/>
      <c r="BC3096" s="17">
        <v>12770</v>
      </c>
      <c r="BD3096" s="17">
        <v>9980</v>
      </c>
      <c r="BE3096" s="17">
        <v>80245.75</v>
      </c>
      <c r="BF3096" s="17">
        <v>1.1499999999999999</v>
      </c>
      <c r="BG3096" s="11">
        <f ca="1">IFERROR(__xludf.DUMMYFUNCTION("""COMPUTED_VALUE"""),46032.8020833333)</f>
        <v>46032.802083333299</v>
      </c>
      <c r="BH3096" s="17" t="s">
        <v>105</v>
      </c>
      <c r="BI3096" s="17"/>
      <c r="BJ3096" s="15"/>
      <c r="BK3096" s="15"/>
      <c r="BL3096" s="13" t="b">
        <v>0</v>
      </c>
      <c r="BM3096" s="10"/>
      <c r="BN3096" s="10" t="s">
        <v>149</v>
      </c>
      <c r="BO3096" s="11">
        <v>46007.652083333334</v>
      </c>
      <c r="BP3096" s="11">
        <v>46007.654861111114</v>
      </c>
      <c r="BQ3096" s="15">
        <v>46031.494421296295</v>
      </c>
      <c r="BR3096" s="15">
        <v>46029.455381944441</v>
      </c>
      <c r="BS3096" s="10" t="s">
        <v>149</v>
      </c>
      <c r="BT3096" s="10" t="s">
        <v>99</v>
      </c>
      <c r="BU3096" s="10" t="s">
        <v>456</v>
      </c>
      <c r="BV3096" s="10"/>
      <c r="BW3096" s="10"/>
      <c r="BX3096" s="10"/>
      <c r="BY3096" s="23"/>
      <c r="BZ3096" s="23"/>
      <c r="CA3096" s="19" t="s">
        <v>22637</v>
      </c>
      <c r="CB3096" s="19" t="s">
        <v>22638</v>
      </c>
      <c r="CC3096" s="23"/>
      <c r="CD3096" s="19" t="s">
        <v>22639</v>
      </c>
      <c r="CE3096" s="23"/>
      <c r="CF3096" s="23"/>
      <c r="CG3096" s="23"/>
      <c r="CH3096" s="23"/>
      <c r="CI3096" s="23"/>
    </row>
    <row r="3097" spans="1:87" x14ac:dyDescent="0.3">
      <c r="A3097" s="9" t="s">
        <v>22640</v>
      </c>
      <c r="B3097" s="10" t="s">
        <v>22641</v>
      </c>
      <c r="C3097" s="11">
        <v>46032.802083333336</v>
      </c>
      <c r="D3097" s="12">
        <v>8.3333333333333329E-2</v>
      </c>
      <c r="E3097" s="11">
        <v>46032.885416666664</v>
      </c>
      <c r="F3097" s="22" t="s">
        <v>17870</v>
      </c>
      <c r="G3097" s="13" t="b">
        <v>0</v>
      </c>
      <c r="H3097" s="22" t="s">
        <v>17871</v>
      </c>
      <c r="I3097" s="10" t="s">
        <v>3213</v>
      </c>
      <c r="J3097" s="13" t="b">
        <v>0</v>
      </c>
      <c r="K3097" s="13" t="b">
        <v>1</v>
      </c>
      <c r="L3097" s="10" t="s">
        <v>124</v>
      </c>
      <c r="M3097" s="10" t="s">
        <v>91</v>
      </c>
      <c r="N3097" s="10" t="s">
        <v>92</v>
      </c>
      <c r="O3097" s="19" t="s">
        <v>22642</v>
      </c>
      <c r="P3097" s="10"/>
      <c r="Q3097" s="10" t="s">
        <v>126</v>
      </c>
      <c r="R3097" s="10"/>
      <c r="S3097" s="19" t="s">
        <v>22643</v>
      </c>
      <c r="T3097" s="10"/>
      <c r="U3097" s="10" t="s">
        <v>407</v>
      </c>
      <c r="V3097" s="10" t="s">
        <v>588</v>
      </c>
      <c r="W3097" s="10" t="s">
        <v>17876</v>
      </c>
      <c r="X3097" s="10" t="s">
        <v>130</v>
      </c>
      <c r="Y3097" s="10" t="s">
        <v>130</v>
      </c>
      <c r="Z3097" s="10" t="s">
        <v>99</v>
      </c>
      <c r="AA3097" s="10" t="s">
        <v>131</v>
      </c>
      <c r="AB3097" s="10" t="s">
        <v>17877</v>
      </c>
      <c r="AC3097" s="10" t="s">
        <v>7885</v>
      </c>
      <c r="AD3097" s="10" t="s">
        <v>3150</v>
      </c>
      <c r="AE3097" s="10" t="s">
        <v>22644</v>
      </c>
      <c r="AF3097" s="15"/>
      <c r="AG3097" s="10"/>
      <c r="AH3097" s="10"/>
      <c r="AI3097" s="10"/>
      <c r="AJ3097" s="10"/>
      <c r="AK3097" s="10" t="s">
        <v>102</v>
      </c>
      <c r="AL3097" s="10"/>
      <c r="AM3097" s="10"/>
      <c r="AN3097" s="10"/>
      <c r="AO3097" s="13" t="b">
        <v>0</v>
      </c>
      <c r="AP3097" s="22" t="s">
        <v>104</v>
      </c>
      <c r="AQ3097" s="10">
        <f ca="1">IFERROR(__xludf.DUMMYFUNCTION("""COMPUTED_VALUE"""),4832291)</f>
        <v>4832291</v>
      </c>
      <c r="AR3097" s="17">
        <v>55550</v>
      </c>
      <c r="AS3097" s="17">
        <v>34142</v>
      </c>
      <c r="AT3097" s="17">
        <v>780564.5</v>
      </c>
      <c r="AU3097" s="17">
        <v>235.6</v>
      </c>
      <c r="AV3097" s="17">
        <v>39.4</v>
      </c>
      <c r="AW3097" s="10" t="s">
        <v>105</v>
      </c>
      <c r="AX3097" s="17">
        <v>9445</v>
      </c>
      <c r="AY3097" s="18">
        <v>22.862295706168357</v>
      </c>
      <c r="AZ3097" s="10" t="s">
        <v>6778</v>
      </c>
      <c r="BA3097" s="20" t="b">
        <v>0</v>
      </c>
      <c r="BB3097" s="10"/>
      <c r="BC3097" s="17">
        <v>55550</v>
      </c>
      <c r="BD3097" s="17">
        <v>34142</v>
      </c>
      <c r="BE3097" s="17">
        <v>780564.5</v>
      </c>
      <c r="BF3097" s="17">
        <v>39.4</v>
      </c>
      <c r="BG3097" s="11">
        <f ca="1">IFERROR(__xludf.DUMMYFUNCTION("""COMPUTED_VALUE"""),46032.8020833333)</f>
        <v>46032.802083333299</v>
      </c>
      <c r="BH3097" s="17" t="s">
        <v>105</v>
      </c>
      <c r="BI3097" s="17"/>
      <c r="BJ3097" s="15"/>
      <c r="BK3097" s="15"/>
      <c r="BL3097" s="13" t="b">
        <v>0</v>
      </c>
      <c r="BM3097" s="10"/>
      <c r="BN3097" s="10" t="s">
        <v>149</v>
      </c>
      <c r="BO3097" s="11">
        <v>46007.65347222222</v>
      </c>
      <c r="BP3097" s="11">
        <v>46007.653541666667</v>
      </c>
      <c r="BQ3097" s="15">
        <v>46031.493692129632</v>
      </c>
      <c r="BR3097" s="15">
        <v>46029.455277777779</v>
      </c>
      <c r="BS3097" s="10" t="s">
        <v>149</v>
      </c>
      <c r="BT3097" s="10" t="s">
        <v>99</v>
      </c>
      <c r="BU3097" s="10" t="s">
        <v>521</v>
      </c>
      <c r="BV3097" s="10"/>
      <c r="BW3097" s="10"/>
      <c r="BX3097" s="10"/>
      <c r="BY3097" s="23"/>
      <c r="BZ3097" s="23"/>
      <c r="CA3097" s="19" t="s">
        <v>22645</v>
      </c>
      <c r="CB3097" s="19" t="s">
        <v>22646</v>
      </c>
      <c r="CC3097" s="23"/>
      <c r="CD3097" s="19" t="s">
        <v>22647</v>
      </c>
      <c r="CE3097" s="23"/>
      <c r="CF3097" s="23"/>
      <c r="CG3097" s="23"/>
      <c r="CH3097" s="23"/>
      <c r="CI3097" s="23"/>
    </row>
    <row r="3098" spans="1:87" x14ac:dyDescent="0.3">
      <c r="A3098" s="9" t="s">
        <v>22648</v>
      </c>
      <c r="B3098" s="10" t="s">
        <v>22649</v>
      </c>
      <c r="C3098" s="11">
        <v>46032.802083333336</v>
      </c>
      <c r="D3098" s="12">
        <v>8.3333333333333329E-2</v>
      </c>
      <c r="E3098" s="11">
        <v>46032.885416666664</v>
      </c>
      <c r="F3098" s="22" t="s">
        <v>17870</v>
      </c>
      <c r="G3098" s="13" t="b">
        <v>0</v>
      </c>
      <c r="H3098" s="22" t="s">
        <v>17871</v>
      </c>
      <c r="I3098" s="10" t="s">
        <v>3213</v>
      </c>
      <c r="J3098" s="13" t="b">
        <v>0</v>
      </c>
      <c r="K3098" s="13" t="b">
        <v>1</v>
      </c>
      <c r="L3098" s="10" t="s">
        <v>124</v>
      </c>
      <c r="M3098" s="10" t="s">
        <v>91</v>
      </c>
      <c r="N3098" s="10" t="s">
        <v>92</v>
      </c>
      <c r="O3098" s="19" t="s">
        <v>22650</v>
      </c>
      <c r="P3098" s="10"/>
      <c r="Q3098" s="10" t="s">
        <v>126</v>
      </c>
      <c r="R3098" s="10"/>
      <c r="S3098" s="19" t="s">
        <v>22651</v>
      </c>
      <c r="T3098" s="10"/>
      <c r="U3098" s="10" t="s">
        <v>333</v>
      </c>
      <c r="V3098" s="10" t="s">
        <v>17904</v>
      </c>
      <c r="W3098" s="10" t="s">
        <v>17876</v>
      </c>
      <c r="X3098" s="10" t="s">
        <v>130</v>
      </c>
      <c r="Y3098" s="10" t="s">
        <v>130</v>
      </c>
      <c r="Z3098" s="10" t="s">
        <v>99</v>
      </c>
      <c r="AA3098" s="10" t="s">
        <v>131</v>
      </c>
      <c r="AB3098" s="10" t="s">
        <v>17877</v>
      </c>
      <c r="AC3098" s="10" t="s">
        <v>7885</v>
      </c>
      <c r="AD3098" s="10" t="s">
        <v>22652</v>
      </c>
      <c r="AE3098" s="10" t="s">
        <v>22653</v>
      </c>
      <c r="AF3098" s="15"/>
      <c r="AG3098" s="10"/>
      <c r="AH3098" s="10"/>
      <c r="AI3098" s="10"/>
      <c r="AJ3098" s="10"/>
      <c r="AK3098" s="10" t="s">
        <v>102</v>
      </c>
      <c r="AL3098" s="10"/>
      <c r="AM3098" s="10"/>
      <c r="AN3098" s="10"/>
      <c r="AO3098" s="13" t="b">
        <v>0</v>
      </c>
      <c r="AP3098" s="22" t="s">
        <v>104</v>
      </c>
      <c r="AQ3098" s="10">
        <f ca="1">IFERROR(__xludf.DUMMYFUNCTION("""COMPUTED_VALUE"""),4832293)</f>
        <v>4832293</v>
      </c>
      <c r="AR3098" s="17">
        <v>7961</v>
      </c>
      <c r="AS3098" s="17">
        <v>6524</v>
      </c>
      <c r="AT3098" s="17">
        <v>36480.75</v>
      </c>
      <c r="AU3098" s="17">
        <v>9.75</v>
      </c>
      <c r="AV3098" s="17">
        <v>1.95</v>
      </c>
      <c r="AW3098" s="10" t="s">
        <v>105</v>
      </c>
      <c r="AX3098" s="17">
        <v>857</v>
      </c>
      <c r="AY3098" s="18">
        <v>5.5917765174739422</v>
      </c>
      <c r="AZ3098" s="10" t="s">
        <v>6778</v>
      </c>
      <c r="BA3098" s="20" t="b">
        <v>0</v>
      </c>
      <c r="BB3098" s="10"/>
      <c r="BC3098" s="17">
        <v>7961</v>
      </c>
      <c r="BD3098" s="17">
        <v>6524</v>
      </c>
      <c r="BE3098" s="17">
        <v>36480.75</v>
      </c>
      <c r="BF3098" s="17">
        <v>1.95</v>
      </c>
      <c r="BG3098" s="11">
        <f ca="1">IFERROR(__xludf.DUMMYFUNCTION("""COMPUTED_VALUE"""),46032.8020833333)</f>
        <v>46032.802083333299</v>
      </c>
      <c r="BH3098" s="17" t="s">
        <v>105</v>
      </c>
      <c r="BI3098" s="17"/>
      <c r="BJ3098" s="15"/>
      <c r="BK3098" s="15"/>
      <c r="BL3098" s="13" t="b">
        <v>0</v>
      </c>
      <c r="BM3098" s="10"/>
      <c r="BN3098" s="10" t="s">
        <v>149</v>
      </c>
      <c r="BO3098" s="11">
        <v>46007.654166666667</v>
      </c>
      <c r="BP3098" s="11">
        <v>46007.654340277775</v>
      </c>
      <c r="BQ3098" s="15">
        <v>46031.495300925926</v>
      </c>
      <c r="BR3098" s="15">
        <v>46029.45548611111</v>
      </c>
      <c r="BS3098" s="10" t="s">
        <v>149</v>
      </c>
      <c r="BT3098" s="10" t="s">
        <v>99</v>
      </c>
      <c r="BU3098" s="10" t="s">
        <v>718</v>
      </c>
      <c r="BV3098" s="10"/>
      <c r="BW3098" s="10"/>
      <c r="BX3098" s="10"/>
      <c r="BY3098" s="23"/>
      <c r="BZ3098" s="23"/>
      <c r="CA3098" s="19" t="s">
        <v>22654</v>
      </c>
      <c r="CB3098" s="19" t="s">
        <v>22655</v>
      </c>
      <c r="CC3098" s="23"/>
      <c r="CD3098" s="19" t="s">
        <v>22656</v>
      </c>
      <c r="CE3098" s="23"/>
      <c r="CF3098" s="23"/>
      <c r="CG3098" s="23"/>
      <c r="CH3098" s="23"/>
      <c r="CI3098" s="23"/>
    </row>
    <row r="3099" spans="1:87" x14ac:dyDescent="0.3">
      <c r="A3099" s="9" t="s">
        <v>22657</v>
      </c>
      <c r="B3099" s="10" t="s">
        <v>22658</v>
      </c>
      <c r="C3099" s="11">
        <v>46032.916666666664</v>
      </c>
      <c r="D3099" s="12">
        <v>8.3333333333333329E-2</v>
      </c>
      <c r="E3099" s="11">
        <v>46033</v>
      </c>
      <c r="F3099" s="22" t="s">
        <v>17870</v>
      </c>
      <c r="G3099" s="13" t="b">
        <v>0</v>
      </c>
      <c r="H3099" s="22" t="s">
        <v>17871</v>
      </c>
      <c r="I3099" s="10" t="s">
        <v>3213</v>
      </c>
      <c r="J3099" s="13" t="b">
        <v>0</v>
      </c>
      <c r="K3099" s="13" t="b">
        <v>1</v>
      </c>
      <c r="L3099" s="10" t="s">
        <v>124</v>
      </c>
      <c r="M3099" s="10" t="s">
        <v>91</v>
      </c>
      <c r="N3099" s="10" t="s">
        <v>92</v>
      </c>
      <c r="O3099" s="19" t="s">
        <v>22659</v>
      </c>
      <c r="P3099" s="10"/>
      <c r="Q3099" s="10" t="s">
        <v>126</v>
      </c>
      <c r="R3099" s="10"/>
      <c r="S3099" s="19" t="s">
        <v>22660</v>
      </c>
      <c r="T3099" s="10"/>
      <c r="U3099" s="10" t="s">
        <v>609</v>
      </c>
      <c r="V3099" s="10" t="s">
        <v>8716</v>
      </c>
      <c r="W3099" s="10" t="s">
        <v>17876</v>
      </c>
      <c r="X3099" s="10" t="s">
        <v>130</v>
      </c>
      <c r="Y3099" s="10" t="s">
        <v>130</v>
      </c>
      <c r="Z3099" s="10" t="s">
        <v>99</v>
      </c>
      <c r="AA3099" s="10" t="s">
        <v>131</v>
      </c>
      <c r="AB3099" s="10" t="s">
        <v>17877</v>
      </c>
      <c r="AC3099" s="10" t="s">
        <v>7885</v>
      </c>
      <c r="AD3099" s="10" t="s">
        <v>22661</v>
      </c>
      <c r="AE3099" s="10" t="s">
        <v>22662</v>
      </c>
      <c r="AF3099" s="15"/>
      <c r="AG3099" s="10"/>
      <c r="AH3099" s="10"/>
      <c r="AI3099" s="10"/>
      <c r="AJ3099" s="10"/>
      <c r="AK3099" s="10" t="s">
        <v>102</v>
      </c>
      <c r="AL3099" s="10"/>
      <c r="AM3099" s="10"/>
      <c r="AN3099" s="10"/>
      <c r="AO3099" s="13" t="b">
        <v>0</v>
      </c>
      <c r="AP3099" s="22" t="s">
        <v>104</v>
      </c>
      <c r="AQ3099" s="10">
        <f ca="1">IFERROR(__xludf.DUMMYFUNCTION("""COMPUTED_VALUE"""),20260)</f>
        <v>20260</v>
      </c>
      <c r="AR3099" s="17"/>
      <c r="AS3099" s="17"/>
      <c r="AT3099" s="17"/>
      <c r="AU3099" s="17"/>
      <c r="AV3099" s="17"/>
      <c r="AW3099" s="10"/>
      <c r="AX3099" s="17"/>
      <c r="AY3099" s="18" t="s">
        <v>257</v>
      </c>
      <c r="AZ3099" s="10" t="s">
        <v>2099</v>
      </c>
      <c r="BA3099" s="20" t="b">
        <v>0</v>
      </c>
      <c r="BB3099" s="10"/>
      <c r="BC3099" s="17" t="s">
        <v>257</v>
      </c>
      <c r="BD3099" s="17" t="s">
        <v>257</v>
      </c>
      <c r="BE3099" s="17" t="s">
        <v>257</v>
      </c>
      <c r="BF3099" s="17" t="s">
        <v>257</v>
      </c>
      <c r="BG3099" s="11">
        <f ca="1">IFERROR(__xludf.DUMMYFUNCTION("""COMPUTED_VALUE"""),46032.9166666666)</f>
        <v>46032.916666666599</v>
      </c>
      <c r="BH3099" s="17"/>
      <c r="BI3099" s="17"/>
      <c r="BJ3099" s="15"/>
      <c r="BK3099" s="15"/>
      <c r="BL3099" s="13" t="b">
        <v>0</v>
      </c>
      <c r="BM3099" s="10"/>
      <c r="BN3099" s="10" t="s">
        <v>667</v>
      </c>
      <c r="BO3099" s="11">
        <v>46007.654861111114</v>
      </c>
      <c r="BP3099" s="11">
        <v>46007.655023148145</v>
      </c>
      <c r="BQ3099" s="15">
        <v>46031.748993055553</v>
      </c>
      <c r="BR3099" s="15">
        <v>46032.891319444447</v>
      </c>
      <c r="BS3099" s="10" t="s">
        <v>667</v>
      </c>
      <c r="BT3099" s="10" t="s">
        <v>99</v>
      </c>
      <c r="BU3099" s="10" t="s">
        <v>5081</v>
      </c>
      <c r="BV3099" s="10"/>
      <c r="BW3099" s="10"/>
      <c r="BX3099" s="10"/>
      <c r="BY3099" s="23"/>
      <c r="BZ3099" s="23"/>
      <c r="CA3099" s="19" t="s">
        <v>22663</v>
      </c>
      <c r="CB3099" s="19" t="s">
        <v>22664</v>
      </c>
      <c r="CC3099" s="23"/>
      <c r="CD3099" s="19" t="s">
        <v>22665</v>
      </c>
      <c r="CE3099" s="23"/>
      <c r="CF3099" s="23"/>
      <c r="CG3099" s="23"/>
      <c r="CH3099" s="23"/>
      <c r="CI3099" s="23"/>
    </row>
    <row r="3100" spans="1:87" x14ac:dyDescent="0.3">
      <c r="A3100" s="9" t="s">
        <v>22666</v>
      </c>
      <c r="B3100" s="10" t="s">
        <v>22667</v>
      </c>
      <c r="C3100" s="11">
        <v>46032.916666666664</v>
      </c>
      <c r="D3100" s="12">
        <v>8.3333333333333329E-2</v>
      </c>
      <c r="E3100" s="11">
        <v>46033</v>
      </c>
      <c r="F3100" s="22" t="s">
        <v>17870</v>
      </c>
      <c r="G3100" s="13" t="b">
        <v>0</v>
      </c>
      <c r="H3100" s="22" t="s">
        <v>17871</v>
      </c>
      <c r="I3100" s="10" t="s">
        <v>3213</v>
      </c>
      <c r="J3100" s="13" t="b">
        <v>0</v>
      </c>
      <c r="K3100" s="13" t="b">
        <v>1</v>
      </c>
      <c r="L3100" s="10" t="s">
        <v>124</v>
      </c>
      <c r="M3100" s="10" t="s">
        <v>91</v>
      </c>
      <c r="N3100" s="10" t="s">
        <v>92</v>
      </c>
      <c r="O3100" s="19" t="s">
        <v>22668</v>
      </c>
      <c r="P3100" s="10"/>
      <c r="Q3100" s="10" t="s">
        <v>126</v>
      </c>
      <c r="R3100" s="10"/>
      <c r="S3100" s="19" t="s">
        <v>22669</v>
      </c>
      <c r="T3100" s="10"/>
      <c r="U3100" s="10" t="s">
        <v>309</v>
      </c>
      <c r="V3100" s="10" t="s">
        <v>8772</v>
      </c>
      <c r="W3100" s="10" t="s">
        <v>17876</v>
      </c>
      <c r="X3100" s="10" t="s">
        <v>130</v>
      </c>
      <c r="Y3100" s="10" t="s">
        <v>130</v>
      </c>
      <c r="Z3100" s="10" t="s">
        <v>99</v>
      </c>
      <c r="AA3100" s="10" t="s">
        <v>131</v>
      </c>
      <c r="AB3100" s="10" t="s">
        <v>17877</v>
      </c>
      <c r="AC3100" s="10" t="s">
        <v>7885</v>
      </c>
      <c r="AD3100" s="10" t="s">
        <v>22670</v>
      </c>
      <c r="AE3100" s="10" t="s">
        <v>22671</v>
      </c>
      <c r="AF3100" s="15"/>
      <c r="AG3100" s="10"/>
      <c r="AH3100" s="10"/>
      <c r="AI3100" s="10"/>
      <c r="AJ3100" s="10"/>
      <c r="AK3100" s="10" t="s">
        <v>102</v>
      </c>
      <c r="AL3100" s="10"/>
      <c r="AM3100" s="10"/>
      <c r="AN3100" s="10"/>
      <c r="AO3100" s="13" t="b">
        <v>0</v>
      </c>
      <c r="AP3100" s="22" t="s">
        <v>104</v>
      </c>
      <c r="AQ3100" s="10">
        <f ca="1">IFERROR(__xludf.DUMMYFUNCTION("""COMPUTED_VALUE"""),4832305)</f>
        <v>4832305</v>
      </c>
      <c r="AR3100" s="17">
        <v>7139</v>
      </c>
      <c r="AS3100" s="17">
        <v>5487</v>
      </c>
      <c r="AT3100" s="17">
        <v>46189.25</v>
      </c>
      <c r="AU3100" s="17">
        <v>18.350000000000001</v>
      </c>
      <c r="AV3100" s="17">
        <v>4.5</v>
      </c>
      <c r="AW3100" s="10" t="s">
        <v>105</v>
      </c>
      <c r="AX3100" s="17">
        <v>966</v>
      </c>
      <c r="AY3100" s="18">
        <v>8.4179424093311468</v>
      </c>
      <c r="AZ3100" s="10" t="s">
        <v>2099</v>
      </c>
      <c r="BA3100" s="20" t="b">
        <v>0</v>
      </c>
      <c r="BB3100" s="10"/>
      <c r="BC3100" s="17">
        <v>7139</v>
      </c>
      <c r="BD3100" s="17">
        <v>5487</v>
      </c>
      <c r="BE3100" s="17">
        <v>46189.25</v>
      </c>
      <c r="BF3100" s="17">
        <v>4.5</v>
      </c>
      <c r="BG3100" s="11">
        <f ca="1">IFERROR(__xludf.DUMMYFUNCTION("""COMPUTED_VALUE"""),46032.9166666666)</f>
        <v>46032.916666666599</v>
      </c>
      <c r="BH3100" s="17" t="s">
        <v>105</v>
      </c>
      <c r="BI3100" s="17"/>
      <c r="BJ3100" s="15"/>
      <c r="BK3100" s="15"/>
      <c r="BL3100" s="13" t="b">
        <v>0</v>
      </c>
      <c r="BM3100" s="10"/>
      <c r="BN3100" s="10" t="s">
        <v>667</v>
      </c>
      <c r="BO3100" s="11">
        <v>46007.655555555553</v>
      </c>
      <c r="BP3100" s="11">
        <v>46007.655844907407</v>
      </c>
      <c r="BQ3100" s="15">
        <v>46031.749594907407</v>
      </c>
      <c r="BR3100" s="15">
        <v>46029.486898148149</v>
      </c>
      <c r="BS3100" s="10" t="s">
        <v>667</v>
      </c>
      <c r="BT3100" s="10" t="s">
        <v>99</v>
      </c>
      <c r="BU3100" s="10" t="s">
        <v>718</v>
      </c>
      <c r="BV3100" s="10"/>
      <c r="BW3100" s="10"/>
      <c r="BX3100" s="10"/>
      <c r="BY3100" s="23"/>
      <c r="BZ3100" s="23"/>
      <c r="CA3100" s="19" t="s">
        <v>22672</v>
      </c>
      <c r="CB3100" s="19" t="s">
        <v>22673</v>
      </c>
      <c r="CC3100" s="23"/>
      <c r="CD3100" s="19" t="s">
        <v>22674</v>
      </c>
      <c r="CE3100" s="23"/>
      <c r="CF3100" s="23"/>
      <c r="CG3100" s="23"/>
      <c r="CH3100" s="23"/>
      <c r="CI3100" s="23"/>
    </row>
    <row r="3101" spans="1:87" x14ac:dyDescent="0.3">
      <c r="A3101" s="9" t="s">
        <v>22675</v>
      </c>
      <c r="B3101" s="10" t="s">
        <v>22676</v>
      </c>
      <c r="C3101" s="11">
        <v>46032.916666666664</v>
      </c>
      <c r="D3101" s="12">
        <v>8.3333333333333329E-2</v>
      </c>
      <c r="E3101" s="11">
        <v>46033</v>
      </c>
      <c r="F3101" s="22" t="s">
        <v>17870</v>
      </c>
      <c r="G3101" s="13" t="b">
        <v>0</v>
      </c>
      <c r="H3101" s="22" t="s">
        <v>17871</v>
      </c>
      <c r="I3101" s="10" t="s">
        <v>3213</v>
      </c>
      <c r="J3101" s="13" t="b">
        <v>0</v>
      </c>
      <c r="K3101" s="13" t="b">
        <v>1</v>
      </c>
      <c r="L3101" s="10" t="s">
        <v>124</v>
      </c>
      <c r="M3101" s="10" t="s">
        <v>91</v>
      </c>
      <c r="N3101" s="10" t="s">
        <v>92</v>
      </c>
      <c r="O3101" s="19" t="s">
        <v>22677</v>
      </c>
      <c r="P3101" s="10"/>
      <c r="Q3101" s="10" t="s">
        <v>126</v>
      </c>
      <c r="R3101" s="10"/>
      <c r="S3101" s="19" t="s">
        <v>22678</v>
      </c>
      <c r="T3101" s="10"/>
      <c r="U3101" s="10" t="s">
        <v>334</v>
      </c>
      <c r="V3101" s="10" t="s">
        <v>22679</v>
      </c>
      <c r="W3101" s="10" t="s">
        <v>17876</v>
      </c>
      <c r="X3101" s="10" t="s">
        <v>130</v>
      </c>
      <c r="Y3101" s="10" t="s">
        <v>130</v>
      </c>
      <c r="Z3101" s="10" t="s">
        <v>99</v>
      </c>
      <c r="AA3101" s="10" t="s">
        <v>131</v>
      </c>
      <c r="AB3101" s="10" t="s">
        <v>17877</v>
      </c>
      <c r="AC3101" s="10" t="s">
        <v>7885</v>
      </c>
      <c r="AD3101" s="10" t="s">
        <v>22680</v>
      </c>
      <c r="AE3101" s="10" t="s">
        <v>22681</v>
      </c>
      <c r="AF3101" s="15"/>
      <c r="AG3101" s="10"/>
      <c r="AH3101" s="10"/>
      <c r="AI3101" s="10"/>
      <c r="AJ3101" s="10"/>
      <c r="AK3101" s="10" t="s">
        <v>102</v>
      </c>
      <c r="AL3101" s="10"/>
      <c r="AM3101" s="10"/>
      <c r="AN3101" s="10"/>
      <c r="AO3101" s="13" t="b">
        <v>0</v>
      </c>
      <c r="AP3101" s="22" t="s">
        <v>104</v>
      </c>
      <c r="AQ3101" s="10">
        <f ca="1">IFERROR(__xludf.DUMMYFUNCTION("""COMPUTED_VALUE"""),4832318)</f>
        <v>4832318</v>
      </c>
      <c r="AR3101" s="17">
        <v>68283</v>
      </c>
      <c r="AS3101" s="17">
        <v>50462</v>
      </c>
      <c r="AT3101" s="17">
        <v>1047831.75</v>
      </c>
      <c r="AU3101" s="17">
        <v>623.5</v>
      </c>
      <c r="AV3101" s="17">
        <v>104.85</v>
      </c>
      <c r="AW3101" s="10" t="s">
        <v>105</v>
      </c>
      <c r="AX3101" s="17">
        <v>13785</v>
      </c>
      <c r="AY3101" s="18">
        <v>20.764768538702391</v>
      </c>
      <c r="AZ3101" s="10" t="s">
        <v>2099</v>
      </c>
      <c r="BA3101" s="20" t="b">
        <v>0</v>
      </c>
      <c r="BB3101" s="10"/>
      <c r="BC3101" s="17">
        <v>68283</v>
      </c>
      <c r="BD3101" s="17">
        <v>50462</v>
      </c>
      <c r="BE3101" s="17">
        <v>1047831.75</v>
      </c>
      <c r="BF3101" s="17">
        <v>104.85</v>
      </c>
      <c r="BG3101" s="11">
        <f ca="1">IFERROR(__xludf.DUMMYFUNCTION("""COMPUTED_VALUE"""),46032.9166666666)</f>
        <v>46032.916666666599</v>
      </c>
      <c r="BH3101" s="17" t="s">
        <v>105</v>
      </c>
      <c r="BI3101" s="17"/>
      <c r="BJ3101" s="15"/>
      <c r="BK3101" s="15"/>
      <c r="BL3101" s="13" t="b">
        <v>0</v>
      </c>
      <c r="BM3101" s="10"/>
      <c r="BN3101" s="10" t="s">
        <v>667</v>
      </c>
      <c r="BO3101" s="11">
        <v>46007.655555555553</v>
      </c>
      <c r="BP3101" s="11">
        <v>46008.721226851849</v>
      </c>
      <c r="BQ3101" s="15">
        <v>46031.750011574077</v>
      </c>
      <c r="BR3101" s="15">
        <v>46029.655115740738</v>
      </c>
      <c r="BS3101" s="10" t="s">
        <v>667</v>
      </c>
      <c r="BT3101" s="10" t="s">
        <v>279</v>
      </c>
      <c r="BU3101" s="10" t="s">
        <v>655</v>
      </c>
      <c r="BV3101" s="10"/>
      <c r="BW3101" s="10"/>
      <c r="BX3101" s="10"/>
      <c r="BY3101" s="23"/>
      <c r="BZ3101" s="23"/>
      <c r="CA3101" s="19" t="s">
        <v>22682</v>
      </c>
      <c r="CB3101" s="19" t="s">
        <v>22683</v>
      </c>
      <c r="CC3101" s="23"/>
      <c r="CD3101" s="19" t="s">
        <v>22684</v>
      </c>
      <c r="CE3101" s="23"/>
      <c r="CF3101" s="23"/>
      <c r="CG3101" s="23"/>
      <c r="CH3101" s="23"/>
      <c r="CI3101" s="23"/>
    </row>
    <row r="3102" spans="1:87" x14ac:dyDescent="0.3">
      <c r="A3102" s="9" t="s">
        <v>22685</v>
      </c>
      <c r="B3102" s="10" t="s">
        <v>22686</v>
      </c>
      <c r="C3102" s="11">
        <v>46032.916666666664</v>
      </c>
      <c r="D3102" s="12">
        <v>8.3333333333333329E-2</v>
      </c>
      <c r="E3102" s="11">
        <v>46033</v>
      </c>
      <c r="F3102" s="22" t="s">
        <v>17870</v>
      </c>
      <c r="G3102" s="13" t="b">
        <v>0</v>
      </c>
      <c r="H3102" s="22" t="s">
        <v>17871</v>
      </c>
      <c r="I3102" s="10" t="s">
        <v>3213</v>
      </c>
      <c r="J3102" s="13" t="b">
        <v>0</v>
      </c>
      <c r="K3102" s="13" t="b">
        <v>1</v>
      </c>
      <c r="L3102" s="10" t="s">
        <v>124</v>
      </c>
      <c r="M3102" s="10" t="s">
        <v>91</v>
      </c>
      <c r="N3102" s="10" t="s">
        <v>92</v>
      </c>
      <c r="O3102" s="19" t="s">
        <v>22687</v>
      </c>
      <c r="P3102" s="10"/>
      <c r="Q3102" s="10" t="s">
        <v>126</v>
      </c>
      <c r="R3102" s="10"/>
      <c r="S3102" s="19" t="s">
        <v>22688</v>
      </c>
      <c r="T3102" s="10"/>
      <c r="U3102" s="10" t="s">
        <v>293</v>
      </c>
      <c r="V3102" s="10" t="s">
        <v>271</v>
      </c>
      <c r="W3102" s="10" t="s">
        <v>17876</v>
      </c>
      <c r="X3102" s="10" t="s">
        <v>130</v>
      </c>
      <c r="Y3102" s="10" t="s">
        <v>130</v>
      </c>
      <c r="Z3102" s="10" t="s">
        <v>99</v>
      </c>
      <c r="AA3102" s="10" t="s">
        <v>131</v>
      </c>
      <c r="AB3102" s="10" t="s">
        <v>17877</v>
      </c>
      <c r="AC3102" s="10" t="s">
        <v>7885</v>
      </c>
      <c r="AD3102" s="10" t="s">
        <v>2994</v>
      </c>
      <c r="AE3102" s="10" t="s">
        <v>22689</v>
      </c>
      <c r="AF3102" s="15"/>
      <c r="AG3102" s="10"/>
      <c r="AH3102" s="10"/>
      <c r="AI3102" s="10"/>
      <c r="AJ3102" s="10"/>
      <c r="AK3102" s="10" t="s">
        <v>102</v>
      </c>
      <c r="AL3102" s="10"/>
      <c r="AM3102" s="10"/>
      <c r="AN3102" s="10"/>
      <c r="AO3102" s="13" t="b">
        <v>0</v>
      </c>
      <c r="AP3102" s="22" t="s">
        <v>104</v>
      </c>
      <c r="AQ3102" s="10">
        <f ca="1">IFERROR(__xludf.DUMMYFUNCTION("""COMPUTED_VALUE"""),4832307)</f>
        <v>4832307</v>
      </c>
      <c r="AR3102" s="17">
        <v>23494</v>
      </c>
      <c r="AS3102" s="17">
        <v>16614</v>
      </c>
      <c r="AT3102" s="17">
        <v>379312</v>
      </c>
      <c r="AU3102" s="17">
        <v>103.95</v>
      </c>
      <c r="AV3102" s="17">
        <v>11.2</v>
      </c>
      <c r="AW3102" s="10" t="s">
        <v>105</v>
      </c>
      <c r="AX3102" s="17">
        <v>6020</v>
      </c>
      <c r="AY3102" s="18">
        <v>22.830865535090886</v>
      </c>
      <c r="AZ3102" s="10" t="s">
        <v>2099</v>
      </c>
      <c r="BA3102" s="20" t="b">
        <v>0</v>
      </c>
      <c r="BB3102" s="10"/>
      <c r="BC3102" s="17">
        <v>23494</v>
      </c>
      <c r="BD3102" s="17">
        <v>16614</v>
      </c>
      <c r="BE3102" s="17">
        <v>379312</v>
      </c>
      <c r="BF3102" s="17">
        <v>11.2</v>
      </c>
      <c r="BG3102" s="11">
        <f ca="1">IFERROR(__xludf.DUMMYFUNCTION("""COMPUTED_VALUE"""),46032.9166666666)</f>
        <v>46032.916666666599</v>
      </c>
      <c r="BH3102" s="17" t="s">
        <v>105</v>
      </c>
      <c r="BI3102" s="17"/>
      <c r="BJ3102" s="15"/>
      <c r="BK3102" s="15"/>
      <c r="BL3102" s="13" t="b">
        <v>0</v>
      </c>
      <c r="BM3102" s="10"/>
      <c r="BN3102" s="10" t="s">
        <v>667</v>
      </c>
      <c r="BO3102" s="11">
        <v>46007.65625</v>
      </c>
      <c r="BP3102" s="11">
        <v>46007.656724537039</v>
      </c>
      <c r="BQ3102" s="15">
        <v>46031.751134259262</v>
      </c>
      <c r="BR3102" s="15">
        <v>46029.488240740742</v>
      </c>
      <c r="BS3102" s="10" t="s">
        <v>667</v>
      </c>
      <c r="BT3102" s="10" t="s">
        <v>99</v>
      </c>
      <c r="BU3102" s="10" t="s">
        <v>793</v>
      </c>
      <c r="BV3102" s="10"/>
      <c r="BW3102" s="10"/>
      <c r="BX3102" s="10"/>
      <c r="BY3102" s="23"/>
      <c r="BZ3102" s="23"/>
      <c r="CA3102" s="19" t="s">
        <v>22690</v>
      </c>
      <c r="CB3102" s="19" t="s">
        <v>22691</v>
      </c>
      <c r="CC3102" s="23"/>
      <c r="CD3102" s="19" t="s">
        <v>22692</v>
      </c>
      <c r="CE3102" s="23"/>
      <c r="CF3102" s="23"/>
      <c r="CG3102" s="23"/>
      <c r="CH3102" s="23"/>
      <c r="CI3102" s="23"/>
    </row>
    <row r="3103" spans="1:87" x14ac:dyDescent="0.3">
      <c r="A3103" s="9" t="s">
        <v>22693</v>
      </c>
      <c r="B3103" s="10" t="s">
        <v>22694</v>
      </c>
      <c r="C3103" s="11">
        <v>46032.916666666664</v>
      </c>
      <c r="D3103" s="12">
        <v>8.3333333333333329E-2</v>
      </c>
      <c r="E3103" s="11">
        <v>46033</v>
      </c>
      <c r="F3103" s="22" t="s">
        <v>17870</v>
      </c>
      <c r="G3103" s="13" t="b">
        <v>0</v>
      </c>
      <c r="H3103" s="22" t="s">
        <v>17871</v>
      </c>
      <c r="I3103" s="10" t="s">
        <v>3213</v>
      </c>
      <c r="J3103" s="13" t="b">
        <v>0</v>
      </c>
      <c r="K3103" s="13" t="b">
        <v>1</v>
      </c>
      <c r="L3103" s="10" t="s">
        <v>124</v>
      </c>
      <c r="M3103" s="10" t="s">
        <v>91</v>
      </c>
      <c r="N3103" s="10" t="s">
        <v>92</v>
      </c>
      <c r="O3103" s="19" t="s">
        <v>22695</v>
      </c>
      <c r="P3103" s="10"/>
      <c r="Q3103" s="10" t="s">
        <v>126</v>
      </c>
      <c r="R3103" s="10"/>
      <c r="S3103" s="19" t="s">
        <v>22696</v>
      </c>
      <c r="T3103" s="10"/>
      <c r="U3103" s="10" t="s">
        <v>8640</v>
      </c>
      <c r="V3103" s="10" t="s">
        <v>321</v>
      </c>
      <c r="W3103" s="10" t="s">
        <v>17876</v>
      </c>
      <c r="X3103" s="10" t="s">
        <v>130</v>
      </c>
      <c r="Y3103" s="10" t="s">
        <v>130</v>
      </c>
      <c r="Z3103" s="10" t="s">
        <v>99</v>
      </c>
      <c r="AA3103" s="10" t="s">
        <v>131</v>
      </c>
      <c r="AB3103" s="10" t="s">
        <v>17877</v>
      </c>
      <c r="AC3103" s="10" t="s">
        <v>7885</v>
      </c>
      <c r="AD3103" s="10" t="s">
        <v>22697</v>
      </c>
      <c r="AE3103" s="10" t="s">
        <v>22698</v>
      </c>
      <c r="AF3103" s="15"/>
      <c r="AG3103" s="10"/>
      <c r="AH3103" s="10"/>
      <c r="AI3103" s="10"/>
      <c r="AJ3103" s="10"/>
      <c r="AK3103" s="10" t="s">
        <v>102</v>
      </c>
      <c r="AL3103" s="10"/>
      <c r="AM3103" s="10"/>
      <c r="AN3103" s="10"/>
      <c r="AO3103" s="13" t="b">
        <v>0</v>
      </c>
      <c r="AP3103" s="22" t="s">
        <v>104</v>
      </c>
      <c r="AQ3103" s="10">
        <f ca="1">IFERROR(__xludf.DUMMYFUNCTION("""COMPUTED_VALUE"""),4832309)</f>
        <v>4832309</v>
      </c>
      <c r="AR3103" s="17">
        <v>2578</v>
      </c>
      <c r="AS3103" s="17">
        <v>2126</v>
      </c>
      <c r="AT3103" s="17">
        <v>10177.75</v>
      </c>
      <c r="AU3103" s="17">
        <v>5.55</v>
      </c>
      <c r="AV3103" s="17">
        <v>1.2</v>
      </c>
      <c r="AW3103" s="10" t="s">
        <v>105</v>
      </c>
      <c r="AX3103" s="17">
        <v>239</v>
      </c>
      <c r="AY3103" s="18">
        <v>4.7872765757290683</v>
      </c>
      <c r="AZ3103" s="10" t="s">
        <v>168</v>
      </c>
      <c r="BA3103" s="20" t="b">
        <v>0</v>
      </c>
      <c r="BB3103" s="10"/>
      <c r="BC3103" s="17">
        <v>2578</v>
      </c>
      <c r="BD3103" s="17">
        <v>2126</v>
      </c>
      <c r="BE3103" s="17">
        <v>10177.75</v>
      </c>
      <c r="BF3103" s="17">
        <v>1.2</v>
      </c>
      <c r="BG3103" s="11">
        <f ca="1">IFERROR(__xludf.DUMMYFUNCTION("""COMPUTED_VALUE"""),46032.9166666666)</f>
        <v>46032.916666666599</v>
      </c>
      <c r="BH3103" s="17" t="s">
        <v>105</v>
      </c>
      <c r="BI3103" s="17"/>
      <c r="BJ3103" s="15"/>
      <c r="BK3103" s="15"/>
      <c r="BL3103" s="13" t="b">
        <v>0</v>
      </c>
      <c r="BM3103" s="10"/>
      <c r="BN3103" s="10" t="s">
        <v>667</v>
      </c>
      <c r="BO3103" s="11">
        <v>46007.656944444447</v>
      </c>
      <c r="BP3103" s="11">
        <v>46007.657210648147</v>
      </c>
      <c r="BQ3103" s="15">
        <v>46031.578877314816</v>
      </c>
      <c r="BR3103" s="15">
        <v>46029.487997685188</v>
      </c>
      <c r="BS3103" s="10" t="s">
        <v>667</v>
      </c>
      <c r="BT3103" s="10" t="s">
        <v>99</v>
      </c>
      <c r="BU3103" s="10" t="s">
        <v>534</v>
      </c>
      <c r="BV3103" s="10"/>
      <c r="BW3103" s="10"/>
      <c r="BX3103" s="10"/>
      <c r="BY3103" s="23"/>
      <c r="BZ3103" s="23"/>
      <c r="CA3103" s="19" t="s">
        <v>22699</v>
      </c>
      <c r="CB3103" s="19" t="s">
        <v>22700</v>
      </c>
      <c r="CC3103" s="23"/>
      <c r="CD3103" s="19" t="s">
        <v>22701</v>
      </c>
      <c r="CE3103" s="23"/>
      <c r="CF3103" s="23"/>
      <c r="CG3103" s="23"/>
      <c r="CH3103" s="23"/>
      <c r="CI3103" s="23"/>
    </row>
    <row r="3104" spans="1:87" x14ac:dyDescent="0.3">
      <c r="A3104" s="9" t="s">
        <v>22702</v>
      </c>
      <c r="B3104" s="10" t="s">
        <v>22703</v>
      </c>
      <c r="C3104" s="11">
        <v>46033.03125</v>
      </c>
      <c r="D3104" s="12">
        <v>8.3333333333333329E-2</v>
      </c>
      <c r="E3104" s="11">
        <v>46033.114583333336</v>
      </c>
      <c r="F3104" s="22" t="s">
        <v>17870</v>
      </c>
      <c r="G3104" s="13" t="b">
        <v>0</v>
      </c>
      <c r="H3104" s="22" t="s">
        <v>17871</v>
      </c>
      <c r="I3104" s="10" t="s">
        <v>3213</v>
      </c>
      <c r="J3104" s="13" t="b">
        <v>0</v>
      </c>
      <c r="K3104" s="13" t="b">
        <v>1</v>
      </c>
      <c r="L3104" s="10" t="s">
        <v>124</v>
      </c>
      <c r="M3104" s="10" t="s">
        <v>91</v>
      </c>
      <c r="N3104" s="10" t="s">
        <v>92</v>
      </c>
      <c r="O3104" s="19" t="s">
        <v>22704</v>
      </c>
      <c r="P3104" s="10"/>
      <c r="Q3104" s="10" t="s">
        <v>126</v>
      </c>
      <c r="R3104" s="10"/>
      <c r="S3104" s="19" t="s">
        <v>22705</v>
      </c>
      <c r="T3104" s="10"/>
      <c r="U3104" s="10" t="s">
        <v>429</v>
      </c>
      <c r="V3104" s="10" t="s">
        <v>292</v>
      </c>
      <c r="W3104" s="10" t="s">
        <v>17876</v>
      </c>
      <c r="X3104" s="10" t="s">
        <v>130</v>
      </c>
      <c r="Y3104" s="10" t="s">
        <v>130</v>
      </c>
      <c r="Z3104" s="10" t="s">
        <v>99</v>
      </c>
      <c r="AA3104" s="10" t="s">
        <v>131</v>
      </c>
      <c r="AB3104" s="10" t="s">
        <v>17877</v>
      </c>
      <c r="AC3104" s="10" t="s">
        <v>7885</v>
      </c>
      <c r="AD3104" s="10" t="s">
        <v>1136</v>
      </c>
      <c r="AE3104" s="10" t="s">
        <v>22706</v>
      </c>
      <c r="AF3104" s="15"/>
      <c r="AG3104" s="10"/>
      <c r="AH3104" s="10"/>
      <c r="AI3104" s="10"/>
      <c r="AJ3104" s="10"/>
      <c r="AK3104" s="10" t="s">
        <v>102</v>
      </c>
      <c r="AL3104" s="10"/>
      <c r="AM3104" s="10"/>
      <c r="AN3104" s="10"/>
      <c r="AO3104" s="13" t="b">
        <v>0</v>
      </c>
      <c r="AP3104" s="22" t="s">
        <v>104</v>
      </c>
      <c r="AQ3104" s="10">
        <f ca="1">IFERROR(__xludf.DUMMYFUNCTION("""COMPUTED_VALUE"""),4834090)</f>
        <v>4834090</v>
      </c>
      <c r="AR3104" s="17"/>
      <c r="AS3104" s="17"/>
      <c r="AT3104" s="17"/>
      <c r="AU3104" s="17"/>
      <c r="AV3104" s="17"/>
      <c r="AW3104" s="10"/>
      <c r="AX3104" s="17"/>
      <c r="AY3104" s="18" t="s">
        <v>257</v>
      </c>
      <c r="AZ3104" s="10" t="s">
        <v>168</v>
      </c>
      <c r="BA3104" s="20" t="b">
        <v>0</v>
      </c>
      <c r="BB3104" s="10"/>
      <c r="BC3104" s="17" t="s">
        <v>257</v>
      </c>
      <c r="BD3104" s="17" t="s">
        <v>257</v>
      </c>
      <c r="BE3104" s="17" t="s">
        <v>257</v>
      </c>
      <c r="BF3104" s="17" t="s">
        <v>257</v>
      </c>
      <c r="BG3104" s="11">
        <f ca="1">IFERROR(__xludf.DUMMYFUNCTION("""COMPUTED_VALUE"""),46033.03125)</f>
        <v>46033.03125</v>
      </c>
      <c r="BH3104" s="17"/>
      <c r="BI3104" s="17"/>
      <c r="BJ3104" s="15"/>
      <c r="BK3104" s="15"/>
      <c r="BL3104" s="13" t="b">
        <v>0</v>
      </c>
      <c r="BM3104" s="10"/>
      <c r="BN3104" s="10" t="s">
        <v>667</v>
      </c>
      <c r="BO3104" s="11">
        <v>46007.656944444447</v>
      </c>
      <c r="BP3104" s="11">
        <v>46007.658506944441</v>
      </c>
      <c r="BQ3104" s="15">
        <v>46031.579548611109</v>
      </c>
      <c r="BR3104" s="15">
        <v>46031.473622685182</v>
      </c>
      <c r="BS3104" s="10" t="s">
        <v>667</v>
      </c>
      <c r="BT3104" s="10" t="s">
        <v>279</v>
      </c>
      <c r="BU3104" s="10" t="s">
        <v>718</v>
      </c>
      <c r="BV3104" s="10"/>
      <c r="BW3104" s="10"/>
      <c r="BX3104" s="10"/>
      <c r="BY3104" s="23"/>
      <c r="BZ3104" s="23"/>
      <c r="CA3104" s="19" t="s">
        <v>22707</v>
      </c>
      <c r="CB3104" s="19" t="s">
        <v>22708</v>
      </c>
      <c r="CC3104" s="23"/>
      <c r="CD3104" s="19" t="s">
        <v>22709</v>
      </c>
      <c r="CE3104" s="23"/>
      <c r="CF3104" s="23"/>
      <c r="CG3104" s="23"/>
      <c r="CH3104" s="23"/>
      <c r="CI3104" s="23"/>
    </row>
    <row r="3105" spans="1:87" x14ac:dyDescent="0.3">
      <c r="A3105" s="9" t="s">
        <v>22710</v>
      </c>
      <c r="B3105" s="10" t="s">
        <v>22711</v>
      </c>
      <c r="C3105" s="11">
        <v>46033.125</v>
      </c>
      <c r="D3105" s="12">
        <v>8.3333333333333329E-2</v>
      </c>
      <c r="E3105" s="11">
        <v>46033.208333333336</v>
      </c>
      <c r="F3105" s="22" t="s">
        <v>17870</v>
      </c>
      <c r="G3105" s="13" t="b">
        <v>0</v>
      </c>
      <c r="H3105" s="22" t="s">
        <v>17871</v>
      </c>
      <c r="I3105" s="10" t="s">
        <v>3213</v>
      </c>
      <c r="J3105" s="13" t="b">
        <v>0</v>
      </c>
      <c r="K3105" s="13" t="b">
        <v>1</v>
      </c>
      <c r="L3105" s="10" t="s">
        <v>124</v>
      </c>
      <c r="M3105" s="10" t="s">
        <v>91</v>
      </c>
      <c r="N3105" s="10" t="s">
        <v>92</v>
      </c>
      <c r="O3105" s="19" t="s">
        <v>22712</v>
      </c>
      <c r="P3105" s="10"/>
      <c r="Q3105" s="10" t="s">
        <v>126</v>
      </c>
      <c r="R3105" s="10"/>
      <c r="S3105" s="19" t="s">
        <v>22713</v>
      </c>
      <c r="T3105" s="10"/>
      <c r="U3105" s="10" t="s">
        <v>22714</v>
      </c>
      <c r="V3105" s="10" t="s">
        <v>346</v>
      </c>
      <c r="W3105" s="10" t="s">
        <v>17876</v>
      </c>
      <c r="X3105" s="10" t="s">
        <v>130</v>
      </c>
      <c r="Y3105" s="10" t="s">
        <v>130</v>
      </c>
      <c r="Z3105" s="10" t="s">
        <v>99</v>
      </c>
      <c r="AA3105" s="10" t="s">
        <v>131</v>
      </c>
      <c r="AB3105" s="10" t="s">
        <v>17877</v>
      </c>
      <c r="AC3105" s="10" t="s">
        <v>7885</v>
      </c>
      <c r="AD3105" s="10" t="s">
        <v>22715</v>
      </c>
      <c r="AE3105" s="10" t="s">
        <v>22716</v>
      </c>
      <c r="AF3105" s="15"/>
      <c r="AG3105" s="10"/>
      <c r="AH3105" s="10"/>
      <c r="AI3105" s="10"/>
      <c r="AJ3105" s="10"/>
      <c r="AK3105" s="10" t="s">
        <v>102</v>
      </c>
      <c r="AL3105" s="10"/>
      <c r="AM3105" s="10"/>
      <c r="AN3105" s="10"/>
      <c r="AO3105" s="13" t="b">
        <v>0</v>
      </c>
      <c r="AP3105" s="22" t="s">
        <v>104</v>
      </c>
      <c r="AQ3105" s="10">
        <f ca="1">IFERROR(__xludf.DUMMYFUNCTION("""COMPUTED_VALUE"""),4833941)</f>
        <v>4833941</v>
      </c>
      <c r="AR3105" s="17"/>
      <c r="AS3105" s="17"/>
      <c r="AT3105" s="17"/>
      <c r="AU3105" s="17"/>
      <c r="AV3105" s="17"/>
      <c r="AW3105" s="10"/>
      <c r="AX3105" s="17"/>
      <c r="AY3105" s="18" t="s">
        <v>257</v>
      </c>
      <c r="AZ3105" s="10" t="s">
        <v>168</v>
      </c>
      <c r="BA3105" s="20" t="b">
        <v>0</v>
      </c>
      <c r="BB3105" s="10"/>
      <c r="BC3105" s="17" t="s">
        <v>257</v>
      </c>
      <c r="BD3105" s="17" t="s">
        <v>257</v>
      </c>
      <c r="BE3105" s="17" t="s">
        <v>257</v>
      </c>
      <c r="BF3105" s="17" t="s">
        <v>257</v>
      </c>
      <c r="BG3105" s="11">
        <f ca="1">IFERROR(__xludf.DUMMYFUNCTION("""COMPUTED_VALUE"""),46033.125)</f>
        <v>46033.125</v>
      </c>
      <c r="BH3105" s="17"/>
      <c r="BI3105" s="17"/>
      <c r="BJ3105" s="15"/>
      <c r="BK3105" s="15"/>
      <c r="BL3105" s="13" t="b">
        <v>0</v>
      </c>
      <c r="BM3105" s="10"/>
      <c r="BN3105" s="10" t="s">
        <v>667</v>
      </c>
      <c r="BO3105" s="11">
        <v>46007.658333333333</v>
      </c>
      <c r="BP3105" s="11">
        <v>46007.658773148149</v>
      </c>
      <c r="BQ3105" s="15">
        <v>46031.579733796294</v>
      </c>
      <c r="BR3105" s="15">
        <v>46031.461122685185</v>
      </c>
      <c r="BS3105" s="10" t="s">
        <v>667</v>
      </c>
      <c r="BT3105" s="10" t="s">
        <v>279</v>
      </c>
      <c r="BU3105" s="10" t="s">
        <v>498</v>
      </c>
      <c r="BV3105" s="10"/>
      <c r="BW3105" s="10"/>
      <c r="BX3105" s="10"/>
      <c r="BY3105" s="23"/>
      <c r="BZ3105" s="23"/>
      <c r="CA3105" s="19" t="s">
        <v>22717</v>
      </c>
      <c r="CB3105" s="19" t="s">
        <v>22718</v>
      </c>
      <c r="CC3105" s="23"/>
      <c r="CD3105" s="19" t="s">
        <v>22719</v>
      </c>
      <c r="CE3105" s="23"/>
      <c r="CF3105" s="23"/>
      <c r="CG3105" s="23"/>
      <c r="CH3105" s="23"/>
      <c r="CI3105" s="23"/>
    </row>
    <row r="3106" spans="1:87" x14ac:dyDescent="0.3">
      <c r="A3106" s="9" t="s">
        <v>22720</v>
      </c>
      <c r="B3106" s="10" t="s">
        <v>22721</v>
      </c>
      <c r="C3106" s="11">
        <v>46033.791666666664</v>
      </c>
      <c r="D3106" s="12">
        <v>8.3333333333333329E-2</v>
      </c>
      <c r="E3106" s="11">
        <v>46033.875</v>
      </c>
      <c r="F3106" s="22" t="s">
        <v>17870</v>
      </c>
      <c r="G3106" s="13" t="b">
        <v>0</v>
      </c>
      <c r="H3106" s="22" t="s">
        <v>17871</v>
      </c>
      <c r="I3106" s="10" t="s">
        <v>3213</v>
      </c>
      <c r="J3106" s="13" t="b">
        <v>0</v>
      </c>
      <c r="K3106" s="13" t="b">
        <v>1</v>
      </c>
      <c r="L3106" s="10" t="s">
        <v>124</v>
      </c>
      <c r="M3106" s="10" t="s">
        <v>91</v>
      </c>
      <c r="N3106" s="10" t="s">
        <v>92</v>
      </c>
      <c r="O3106" s="19" t="s">
        <v>22722</v>
      </c>
      <c r="P3106" s="10"/>
      <c r="Q3106" s="10" t="s">
        <v>126</v>
      </c>
      <c r="R3106" s="10"/>
      <c r="S3106" s="19" t="s">
        <v>22723</v>
      </c>
      <c r="T3106" s="10"/>
      <c r="U3106" s="10" t="s">
        <v>22126</v>
      </c>
      <c r="V3106" s="10" t="s">
        <v>663</v>
      </c>
      <c r="W3106" s="10" t="s">
        <v>17876</v>
      </c>
      <c r="X3106" s="10" t="s">
        <v>130</v>
      </c>
      <c r="Y3106" s="10" t="s">
        <v>130</v>
      </c>
      <c r="Z3106" s="10" t="s">
        <v>99</v>
      </c>
      <c r="AA3106" s="10" t="s">
        <v>131</v>
      </c>
      <c r="AB3106" s="10" t="s">
        <v>17877</v>
      </c>
      <c r="AC3106" s="10" t="s">
        <v>7885</v>
      </c>
      <c r="AD3106" s="10" t="s">
        <v>22724</v>
      </c>
      <c r="AE3106" s="10" t="s">
        <v>22725</v>
      </c>
      <c r="AF3106" s="15"/>
      <c r="AG3106" s="10"/>
      <c r="AH3106" s="10"/>
      <c r="AI3106" s="10"/>
      <c r="AJ3106" s="10"/>
      <c r="AK3106" s="10" t="s">
        <v>102</v>
      </c>
      <c r="AL3106" s="10"/>
      <c r="AM3106" s="10"/>
      <c r="AN3106" s="10"/>
      <c r="AO3106" s="13" t="b">
        <v>0</v>
      </c>
      <c r="AP3106" s="22" t="s">
        <v>104</v>
      </c>
      <c r="AQ3106" s="10">
        <f ca="1">IFERROR(__xludf.DUMMYFUNCTION("""COMPUTED_VALUE"""),4833934)</f>
        <v>4833934</v>
      </c>
      <c r="AR3106" s="17"/>
      <c r="AS3106" s="17"/>
      <c r="AT3106" s="17"/>
      <c r="AU3106" s="17"/>
      <c r="AV3106" s="17"/>
      <c r="AW3106" s="10"/>
      <c r="AX3106" s="17"/>
      <c r="AY3106" s="18" t="s">
        <v>257</v>
      </c>
      <c r="AZ3106" s="10" t="s">
        <v>168</v>
      </c>
      <c r="BA3106" s="20" t="b">
        <v>0</v>
      </c>
      <c r="BB3106" s="10"/>
      <c r="BC3106" s="17" t="s">
        <v>257</v>
      </c>
      <c r="BD3106" s="17" t="s">
        <v>257</v>
      </c>
      <c r="BE3106" s="17" t="s">
        <v>257</v>
      </c>
      <c r="BF3106" s="17" t="s">
        <v>257</v>
      </c>
      <c r="BG3106" s="11">
        <f ca="1">IFERROR(__xludf.DUMMYFUNCTION("""COMPUTED_VALUE"""),46033.7916666666)</f>
        <v>46033.791666666599</v>
      </c>
      <c r="BH3106" s="17"/>
      <c r="BI3106" s="17"/>
      <c r="BJ3106" s="15"/>
      <c r="BK3106" s="15"/>
      <c r="BL3106" s="13" t="b">
        <v>0</v>
      </c>
      <c r="BM3106" s="10"/>
      <c r="BN3106" s="10" t="s">
        <v>168</v>
      </c>
      <c r="BO3106" s="11">
        <v>46007.65902777778</v>
      </c>
      <c r="BP3106" s="11">
        <v>46007.659317129626</v>
      </c>
      <c r="BQ3106" s="15">
        <v>46031.579918981479</v>
      </c>
      <c r="BR3106" s="15">
        <v>46031.440949074073</v>
      </c>
      <c r="BS3106" s="10"/>
      <c r="BT3106" s="10" t="s">
        <v>99</v>
      </c>
      <c r="BU3106" s="10"/>
      <c r="BV3106" s="10"/>
      <c r="BW3106" s="10"/>
      <c r="BX3106" s="10"/>
      <c r="BY3106" s="23"/>
      <c r="BZ3106" s="23"/>
      <c r="CA3106" s="19" t="s">
        <v>22726</v>
      </c>
      <c r="CB3106" s="19" t="s">
        <v>22727</v>
      </c>
      <c r="CC3106" s="23"/>
      <c r="CD3106" s="19" t="s">
        <v>22728</v>
      </c>
      <c r="CE3106" s="23"/>
      <c r="CF3106" s="23"/>
      <c r="CG3106" s="23"/>
      <c r="CH3106" s="23"/>
      <c r="CI3106" s="23"/>
    </row>
    <row r="3107" spans="1:87" x14ac:dyDescent="0.3">
      <c r="A3107" s="9" t="s">
        <v>22729</v>
      </c>
      <c r="B3107" s="10" t="s">
        <v>22730</v>
      </c>
      <c r="C3107" s="11">
        <v>46033.875</v>
      </c>
      <c r="D3107" s="12">
        <v>8.3333333333333329E-2</v>
      </c>
      <c r="E3107" s="11">
        <v>46033.958333333336</v>
      </c>
      <c r="F3107" s="22" t="s">
        <v>17870</v>
      </c>
      <c r="G3107" s="13" t="b">
        <v>0</v>
      </c>
      <c r="H3107" s="22" t="s">
        <v>17871</v>
      </c>
      <c r="I3107" s="10" t="s">
        <v>3213</v>
      </c>
      <c r="J3107" s="13" t="b">
        <v>0</v>
      </c>
      <c r="K3107" s="13" t="b">
        <v>1</v>
      </c>
      <c r="L3107" s="10" t="s">
        <v>124</v>
      </c>
      <c r="M3107" s="10" t="s">
        <v>91</v>
      </c>
      <c r="N3107" s="10" t="s">
        <v>92</v>
      </c>
      <c r="O3107" s="19" t="s">
        <v>22731</v>
      </c>
      <c r="P3107" s="10"/>
      <c r="Q3107" s="10" t="s">
        <v>126</v>
      </c>
      <c r="R3107" s="10"/>
      <c r="S3107" s="19" t="s">
        <v>22732</v>
      </c>
      <c r="T3107" s="10"/>
      <c r="U3107" s="10" t="s">
        <v>8811</v>
      </c>
      <c r="V3107" s="10" t="s">
        <v>362</v>
      </c>
      <c r="W3107" s="10" t="s">
        <v>17876</v>
      </c>
      <c r="X3107" s="10" t="s">
        <v>130</v>
      </c>
      <c r="Y3107" s="10" t="s">
        <v>130</v>
      </c>
      <c r="Z3107" s="10" t="s">
        <v>99</v>
      </c>
      <c r="AA3107" s="10" t="s">
        <v>131</v>
      </c>
      <c r="AB3107" s="10" t="s">
        <v>17877</v>
      </c>
      <c r="AC3107" s="10" t="s">
        <v>7885</v>
      </c>
      <c r="AD3107" s="10" t="s">
        <v>22733</v>
      </c>
      <c r="AE3107" s="10" t="s">
        <v>22734</v>
      </c>
      <c r="AF3107" s="15"/>
      <c r="AG3107" s="10"/>
      <c r="AH3107" s="10"/>
      <c r="AI3107" s="10"/>
      <c r="AJ3107" s="10"/>
      <c r="AK3107" s="10" t="s">
        <v>102</v>
      </c>
      <c r="AL3107" s="10"/>
      <c r="AM3107" s="10"/>
      <c r="AN3107" s="10"/>
      <c r="AO3107" s="13" t="b">
        <v>0</v>
      </c>
      <c r="AP3107" s="22" t="s">
        <v>104</v>
      </c>
      <c r="AQ3107" s="10">
        <f ca="1">IFERROR(__xludf.DUMMYFUNCTION("""COMPUTED_VALUE"""),4833939)</f>
        <v>4833939</v>
      </c>
      <c r="AR3107" s="17"/>
      <c r="AS3107" s="17"/>
      <c r="AT3107" s="17"/>
      <c r="AU3107" s="17"/>
      <c r="AV3107" s="17"/>
      <c r="AW3107" s="10"/>
      <c r="AX3107" s="17"/>
      <c r="AY3107" s="18" t="s">
        <v>257</v>
      </c>
      <c r="AZ3107" s="10" t="s">
        <v>168</v>
      </c>
      <c r="BA3107" s="20" t="b">
        <v>0</v>
      </c>
      <c r="BB3107" s="10"/>
      <c r="BC3107" s="17" t="s">
        <v>257</v>
      </c>
      <c r="BD3107" s="17" t="s">
        <v>257</v>
      </c>
      <c r="BE3107" s="17" t="s">
        <v>257</v>
      </c>
      <c r="BF3107" s="17" t="s">
        <v>257</v>
      </c>
      <c r="BG3107" s="11">
        <f ca="1">IFERROR(__xludf.DUMMYFUNCTION("""COMPUTED_VALUE"""),46033.875)</f>
        <v>46033.875</v>
      </c>
      <c r="BH3107" s="17"/>
      <c r="BI3107" s="17"/>
      <c r="BJ3107" s="15"/>
      <c r="BK3107" s="15"/>
      <c r="BL3107" s="13" t="b">
        <v>0</v>
      </c>
      <c r="BM3107" s="10"/>
      <c r="BN3107" s="10" t="s">
        <v>168</v>
      </c>
      <c r="BO3107" s="11">
        <v>46007.659722222219</v>
      </c>
      <c r="BP3107" s="11">
        <v>46007.659872685188</v>
      </c>
      <c r="BQ3107" s="15">
        <v>46031.822511574072</v>
      </c>
      <c r="BR3107" s="15">
        <v>46031.452523148146</v>
      </c>
      <c r="BS3107" s="10"/>
      <c r="BT3107" s="10" t="s">
        <v>99</v>
      </c>
      <c r="BU3107" s="10"/>
      <c r="BV3107" s="10"/>
      <c r="BW3107" s="10"/>
      <c r="BX3107" s="10"/>
      <c r="BY3107" s="23"/>
      <c r="BZ3107" s="23"/>
      <c r="CA3107" s="19" t="s">
        <v>22735</v>
      </c>
      <c r="CB3107" s="19" t="s">
        <v>22736</v>
      </c>
      <c r="CC3107" s="23"/>
      <c r="CD3107" s="19" t="s">
        <v>22737</v>
      </c>
      <c r="CE3107" s="23"/>
      <c r="CF3107" s="23"/>
      <c r="CG3107" s="23"/>
      <c r="CH3107" s="23"/>
      <c r="CI3107" s="23"/>
    </row>
    <row r="3108" spans="1:87" x14ac:dyDescent="0.3">
      <c r="A3108" s="9" t="s">
        <v>22738</v>
      </c>
      <c r="B3108" s="10" t="s">
        <v>22739</v>
      </c>
      <c r="C3108" s="11">
        <v>46033.895833333336</v>
      </c>
      <c r="D3108" s="12">
        <v>8.3333333333333329E-2</v>
      </c>
      <c r="E3108" s="11">
        <v>46033.979166666664</v>
      </c>
      <c r="F3108" s="22" t="s">
        <v>17870</v>
      </c>
      <c r="G3108" s="13" t="b">
        <v>0</v>
      </c>
      <c r="H3108" s="22" t="s">
        <v>17871</v>
      </c>
      <c r="I3108" s="10" t="s">
        <v>3213</v>
      </c>
      <c r="J3108" s="13" t="b">
        <v>0</v>
      </c>
      <c r="K3108" s="13" t="b">
        <v>1</v>
      </c>
      <c r="L3108" s="10" t="s">
        <v>124</v>
      </c>
      <c r="M3108" s="10" t="s">
        <v>91</v>
      </c>
      <c r="N3108" s="10" t="s">
        <v>92</v>
      </c>
      <c r="O3108" s="19" t="s">
        <v>22740</v>
      </c>
      <c r="P3108" s="10"/>
      <c r="Q3108" s="10" t="s">
        <v>126</v>
      </c>
      <c r="R3108" s="10"/>
      <c r="S3108" s="19" t="s">
        <v>22741</v>
      </c>
      <c r="T3108" s="10"/>
      <c r="U3108" s="10" t="s">
        <v>451</v>
      </c>
      <c r="V3108" s="10" t="s">
        <v>8735</v>
      </c>
      <c r="W3108" s="10" t="s">
        <v>17876</v>
      </c>
      <c r="X3108" s="10" t="s">
        <v>130</v>
      </c>
      <c r="Y3108" s="10" t="s">
        <v>130</v>
      </c>
      <c r="Z3108" s="10" t="s">
        <v>99</v>
      </c>
      <c r="AA3108" s="10" t="s">
        <v>131</v>
      </c>
      <c r="AB3108" s="10" t="s">
        <v>17877</v>
      </c>
      <c r="AC3108" s="10" t="s">
        <v>7885</v>
      </c>
      <c r="AD3108" s="10" t="s">
        <v>22742</v>
      </c>
      <c r="AE3108" s="10" t="s">
        <v>22743</v>
      </c>
      <c r="AF3108" s="15"/>
      <c r="AG3108" s="10"/>
      <c r="AH3108" s="10"/>
      <c r="AI3108" s="10"/>
      <c r="AJ3108" s="10"/>
      <c r="AK3108" s="10" t="s">
        <v>102</v>
      </c>
      <c r="AL3108" s="10"/>
      <c r="AM3108" s="10"/>
      <c r="AN3108" s="10"/>
      <c r="AO3108" s="13" t="b">
        <v>0</v>
      </c>
      <c r="AP3108" s="22" t="s">
        <v>104</v>
      </c>
      <c r="AQ3108" s="10">
        <f ca="1">IFERROR(__xludf.DUMMYFUNCTION("""COMPUTED_VALUE"""),4834096)</f>
        <v>4834096</v>
      </c>
      <c r="AR3108" s="17"/>
      <c r="AS3108" s="17"/>
      <c r="AT3108" s="17"/>
      <c r="AU3108" s="17"/>
      <c r="AV3108" s="17"/>
      <c r="AW3108" s="10"/>
      <c r="AX3108" s="17"/>
      <c r="AY3108" s="18" t="s">
        <v>257</v>
      </c>
      <c r="AZ3108" s="10" t="s">
        <v>168</v>
      </c>
      <c r="BA3108" s="20" t="b">
        <v>0</v>
      </c>
      <c r="BB3108" s="10"/>
      <c r="BC3108" s="17" t="s">
        <v>257</v>
      </c>
      <c r="BD3108" s="17" t="s">
        <v>257</v>
      </c>
      <c r="BE3108" s="17" t="s">
        <v>257</v>
      </c>
      <c r="BF3108" s="17" t="s">
        <v>257</v>
      </c>
      <c r="BG3108" s="11">
        <f ca="1">IFERROR(__xludf.DUMMYFUNCTION("""COMPUTED_VALUE"""),46033.8958333333)</f>
        <v>46033.895833333299</v>
      </c>
      <c r="BH3108" s="17"/>
      <c r="BI3108" s="17"/>
      <c r="BJ3108" s="15"/>
      <c r="BK3108" s="15"/>
      <c r="BL3108" s="13" t="b">
        <v>0</v>
      </c>
      <c r="BM3108" s="10"/>
      <c r="BN3108" s="10" t="s">
        <v>168</v>
      </c>
      <c r="BO3108" s="11">
        <v>46007.660416666666</v>
      </c>
      <c r="BP3108" s="11">
        <v>46007.660995370374</v>
      </c>
      <c r="BQ3108" s="15">
        <v>46031.822962962964</v>
      </c>
      <c r="BR3108" s="15">
        <v>46031.480069444442</v>
      </c>
      <c r="BS3108" s="10"/>
      <c r="BT3108" s="10" t="s">
        <v>99</v>
      </c>
      <c r="BU3108" s="10"/>
      <c r="BV3108" s="10"/>
      <c r="BW3108" s="10"/>
      <c r="BX3108" s="10"/>
      <c r="BY3108" s="23"/>
      <c r="BZ3108" s="23"/>
      <c r="CA3108" s="19" t="s">
        <v>22744</v>
      </c>
      <c r="CB3108" s="19" t="s">
        <v>22745</v>
      </c>
      <c r="CC3108" s="23"/>
      <c r="CD3108" s="19" t="s">
        <v>22746</v>
      </c>
      <c r="CE3108" s="23"/>
      <c r="CF3108" s="23"/>
      <c r="CG3108" s="23"/>
      <c r="CH3108" s="23"/>
      <c r="CI3108" s="23"/>
    </row>
    <row r="3109" spans="1:87" x14ac:dyDescent="0.3">
      <c r="A3109" s="9" t="s">
        <v>22747</v>
      </c>
      <c r="B3109" s="10" t="s">
        <v>22748</v>
      </c>
      <c r="C3109" s="11">
        <v>46033.979166666664</v>
      </c>
      <c r="D3109" s="12">
        <v>8.3333333333333329E-2</v>
      </c>
      <c r="E3109" s="11">
        <v>46034.0625</v>
      </c>
      <c r="F3109" s="22" t="s">
        <v>17870</v>
      </c>
      <c r="G3109" s="13" t="b">
        <v>0</v>
      </c>
      <c r="H3109" s="22" t="s">
        <v>17871</v>
      </c>
      <c r="I3109" s="10" t="s">
        <v>3213</v>
      </c>
      <c r="J3109" s="13" t="b">
        <v>0</v>
      </c>
      <c r="K3109" s="13" t="b">
        <v>1</v>
      </c>
      <c r="L3109" s="10" t="s">
        <v>124</v>
      </c>
      <c r="M3109" s="10" t="s">
        <v>91</v>
      </c>
      <c r="N3109" s="10" t="s">
        <v>92</v>
      </c>
      <c r="O3109" s="19" t="s">
        <v>22749</v>
      </c>
      <c r="P3109" s="10"/>
      <c r="Q3109" s="10" t="s">
        <v>126</v>
      </c>
      <c r="R3109" s="10"/>
      <c r="S3109" s="19" t="s">
        <v>22750</v>
      </c>
      <c r="T3109" s="10"/>
      <c r="U3109" s="10" t="s">
        <v>361</v>
      </c>
      <c r="V3109" s="10" t="s">
        <v>308</v>
      </c>
      <c r="W3109" s="10" t="s">
        <v>17876</v>
      </c>
      <c r="X3109" s="10" t="s">
        <v>130</v>
      </c>
      <c r="Y3109" s="10" t="s">
        <v>130</v>
      </c>
      <c r="Z3109" s="10" t="s">
        <v>99</v>
      </c>
      <c r="AA3109" s="10" t="s">
        <v>131</v>
      </c>
      <c r="AB3109" s="10" t="s">
        <v>17877</v>
      </c>
      <c r="AC3109" s="10" t="s">
        <v>7885</v>
      </c>
      <c r="AD3109" s="10" t="s">
        <v>1221</v>
      </c>
      <c r="AE3109" s="10" t="s">
        <v>22751</v>
      </c>
      <c r="AF3109" s="15"/>
      <c r="AG3109" s="10"/>
      <c r="AH3109" s="10"/>
      <c r="AI3109" s="10"/>
      <c r="AJ3109" s="10"/>
      <c r="AK3109" s="10" t="s">
        <v>102</v>
      </c>
      <c r="AL3109" s="10"/>
      <c r="AM3109" s="10"/>
      <c r="AN3109" s="10"/>
      <c r="AO3109" s="13" t="b">
        <v>0</v>
      </c>
      <c r="AP3109" s="22" t="s">
        <v>104</v>
      </c>
      <c r="AQ3109" s="10">
        <f ca="1">IFERROR(__xludf.DUMMYFUNCTION("""COMPUTED_VALUE"""),4833935)</f>
        <v>4833935</v>
      </c>
      <c r="AR3109" s="17"/>
      <c r="AS3109" s="17"/>
      <c r="AT3109" s="17"/>
      <c r="AU3109" s="17"/>
      <c r="AV3109" s="17"/>
      <c r="AW3109" s="10"/>
      <c r="AX3109" s="17"/>
      <c r="AY3109" s="18" t="s">
        <v>257</v>
      </c>
      <c r="AZ3109" s="10" t="s">
        <v>168</v>
      </c>
      <c r="BA3109" s="20" t="b">
        <v>0</v>
      </c>
      <c r="BB3109" s="10"/>
      <c r="BC3109" s="17" t="s">
        <v>257</v>
      </c>
      <c r="BD3109" s="17" t="s">
        <v>257</v>
      </c>
      <c r="BE3109" s="17" t="s">
        <v>257</v>
      </c>
      <c r="BF3109" s="17" t="s">
        <v>257</v>
      </c>
      <c r="BG3109" s="11">
        <f ca="1">IFERROR(__xludf.DUMMYFUNCTION("""COMPUTED_VALUE"""),46033.9791666666)</f>
        <v>46033.979166666599</v>
      </c>
      <c r="BH3109" s="17"/>
      <c r="BI3109" s="17"/>
      <c r="BJ3109" s="15"/>
      <c r="BK3109" s="15"/>
      <c r="BL3109" s="13" t="b">
        <v>0</v>
      </c>
      <c r="BM3109" s="10"/>
      <c r="BN3109" s="10" t="s">
        <v>168</v>
      </c>
      <c r="BO3109" s="11">
        <v>46007.660416666666</v>
      </c>
      <c r="BP3109" s="11">
        <v>46007.661111111112</v>
      </c>
      <c r="BQ3109" s="15">
        <v>46031.82271990741</v>
      </c>
      <c r="BR3109" s="15">
        <v>46031.442476851851</v>
      </c>
      <c r="BS3109" s="10"/>
      <c r="BT3109" s="10" t="s">
        <v>99</v>
      </c>
      <c r="BU3109" s="10"/>
      <c r="BV3109" s="10"/>
      <c r="BW3109" s="10"/>
      <c r="BX3109" s="10"/>
      <c r="BY3109" s="23"/>
      <c r="BZ3109" s="23"/>
      <c r="CA3109" s="19" t="s">
        <v>22752</v>
      </c>
      <c r="CB3109" s="19" t="s">
        <v>22753</v>
      </c>
      <c r="CC3109" s="23"/>
      <c r="CD3109" s="19" t="s">
        <v>22754</v>
      </c>
      <c r="CE3109" s="23"/>
      <c r="CF3109" s="23"/>
      <c r="CG3109" s="23"/>
      <c r="CH3109" s="23"/>
      <c r="CI3109" s="23"/>
    </row>
    <row r="3110" spans="1:87" x14ac:dyDescent="0.3">
      <c r="A3110" s="9" t="s">
        <v>22755</v>
      </c>
      <c r="B3110" s="10" t="s">
        <v>22756</v>
      </c>
      <c r="C3110" s="11">
        <v>46035.114583333336</v>
      </c>
      <c r="D3110" s="12">
        <v>8.3333333333333329E-2</v>
      </c>
      <c r="E3110" s="11">
        <v>46035.197916666664</v>
      </c>
      <c r="F3110" s="22" t="s">
        <v>17870</v>
      </c>
      <c r="G3110" s="13" t="b">
        <v>0</v>
      </c>
      <c r="H3110" s="22" t="s">
        <v>17871</v>
      </c>
      <c r="I3110" s="10" t="s">
        <v>3213</v>
      </c>
      <c r="J3110" s="13" t="b">
        <v>0</v>
      </c>
      <c r="K3110" s="13" t="b">
        <v>1</v>
      </c>
      <c r="L3110" s="10" t="s">
        <v>124</v>
      </c>
      <c r="M3110" s="10" t="s">
        <v>91</v>
      </c>
      <c r="N3110" s="10" t="s">
        <v>92</v>
      </c>
      <c r="O3110" s="19" t="s">
        <v>22757</v>
      </c>
      <c r="P3110" s="10"/>
      <c r="Q3110" s="10" t="s">
        <v>126</v>
      </c>
      <c r="R3110" s="10"/>
      <c r="S3110" s="19" t="s">
        <v>22758</v>
      </c>
      <c r="T3110" s="10"/>
      <c r="U3110" s="10" t="s">
        <v>270</v>
      </c>
      <c r="V3110" s="10" t="s">
        <v>13625</v>
      </c>
      <c r="W3110" s="10" t="s">
        <v>17876</v>
      </c>
      <c r="X3110" s="10" t="s">
        <v>130</v>
      </c>
      <c r="Y3110" s="10" t="s">
        <v>130</v>
      </c>
      <c r="Z3110" s="10" t="s">
        <v>99</v>
      </c>
      <c r="AA3110" s="10" t="s">
        <v>131</v>
      </c>
      <c r="AB3110" s="10" t="s">
        <v>17877</v>
      </c>
      <c r="AC3110" s="10" t="s">
        <v>7885</v>
      </c>
      <c r="AD3110" s="10" t="s">
        <v>22759</v>
      </c>
      <c r="AE3110" s="10" t="s">
        <v>22760</v>
      </c>
      <c r="AF3110" s="15"/>
      <c r="AG3110" s="10"/>
      <c r="AH3110" s="10"/>
      <c r="AI3110" s="10"/>
      <c r="AJ3110" s="10"/>
      <c r="AK3110" s="10" t="s">
        <v>102</v>
      </c>
      <c r="AL3110" s="10"/>
      <c r="AM3110" s="10"/>
      <c r="AN3110" s="10"/>
      <c r="AO3110" s="13" t="b">
        <v>0</v>
      </c>
      <c r="AP3110" s="22" t="s">
        <v>104</v>
      </c>
      <c r="AQ3110" s="10">
        <f ca="1">IFERROR(__xludf.DUMMYFUNCTION("""COMPUTED_VALUE"""),4833936)</f>
        <v>4833936</v>
      </c>
      <c r="AR3110" s="17"/>
      <c r="AS3110" s="17"/>
      <c r="AT3110" s="17"/>
      <c r="AU3110" s="17"/>
      <c r="AV3110" s="17"/>
      <c r="AW3110" s="10"/>
      <c r="AX3110" s="17"/>
      <c r="AY3110" s="18" t="s">
        <v>257</v>
      </c>
      <c r="AZ3110" s="10" t="s">
        <v>168</v>
      </c>
      <c r="BA3110" s="20" t="b">
        <v>0</v>
      </c>
      <c r="BB3110" s="10"/>
      <c r="BC3110" s="17" t="s">
        <v>257</v>
      </c>
      <c r="BD3110" s="17" t="s">
        <v>257</v>
      </c>
      <c r="BE3110" s="17" t="s">
        <v>257</v>
      </c>
      <c r="BF3110" s="17" t="s">
        <v>257</v>
      </c>
      <c r="BG3110" s="11">
        <f ca="1">IFERROR(__xludf.DUMMYFUNCTION("""COMPUTED_VALUE"""),46035.1145833333)</f>
        <v>46035.114583333299</v>
      </c>
      <c r="BH3110" s="17"/>
      <c r="BI3110" s="17"/>
      <c r="BJ3110" s="15"/>
      <c r="BK3110" s="15"/>
      <c r="BL3110" s="13" t="b">
        <v>0</v>
      </c>
      <c r="BM3110" s="10"/>
      <c r="BN3110" s="10" t="s">
        <v>168</v>
      </c>
      <c r="BO3110" s="11">
        <v>46007.661111111112</v>
      </c>
      <c r="BP3110" s="11">
        <v>46007.661678240744</v>
      </c>
      <c r="BQ3110" s="15">
        <v>46031.823252314818</v>
      </c>
      <c r="BR3110" s="15">
        <v>46031.443831018521</v>
      </c>
      <c r="BS3110" s="10"/>
      <c r="BT3110" s="10" t="s">
        <v>99</v>
      </c>
      <c r="BU3110" s="10"/>
      <c r="BV3110" s="10"/>
      <c r="BW3110" s="10"/>
      <c r="BX3110" s="10"/>
      <c r="BY3110" s="23"/>
      <c r="BZ3110" s="23"/>
      <c r="CA3110" s="19" t="s">
        <v>22761</v>
      </c>
      <c r="CB3110" s="19" t="s">
        <v>22762</v>
      </c>
      <c r="CC3110" s="23"/>
      <c r="CD3110" s="19" t="s">
        <v>22763</v>
      </c>
      <c r="CE3110" s="23"/>
      <c r="CF3110" s="23"/>
      <c r="CG3110" s="23"/>
      <c r="CH3110" s="23"/>
      <c r="CI3110" s="23"/>
    </row>
    <row r="3111" spans="1:87" x14ac:dyDescent="0.3">
      <c r="A3111" s="9" t="s">
        <v>22764</v>
      </c>
      <c r="B3111" s="10" t="s">
        <v>22765</v>
      </c>
      <c r="C3111" s="11">
        <v>46018.8125</v>
      </c>
      <c r="D3111" s="12">
        <v>8.3333333333333329E-2</v>
      </c>
      <c r="E3111" s="11">
        <v>46018.895833333336</v>
      </c>
      <c r="F3111" s="22" t="s">
        <v>20865</v>
      </c>
      <c r="G3111" s="13" t="b">
        <v>0</v>
      </c>
      <c r="H3111" s="22" t="s">
        <v>9130</v>
      </c>
      <c r="I3111" s="10" t="s">
        <v>9131</v>
      </c>
      <c r="J3111" s="13" t="b">
        <v>0</v>
      </c>
      <c r="K3111" s="13" t="b">
        <v>1</v>
      </c>
      <c r="L3111" s="10" t="s">
        <v>124</v>
      </c>
      <c r="M3111" s="10" t="s">
        <v>91</v>
      </c>
      <c r="N3111" s="10" t="s">
        <v>265</v>
      </c>
      <c r="O3111" s="19" t="s">
        <v>22766</v>
      </c>
      <c r="P3111" s="10"/>
      <c r="Q3111" s="10" t="s">
        <v>94</v>
      </c>
      <c r="R3111" s="10"/>
      <c r="S3111" s="19" t="s">
        <v>22767</v>
      </c>
      <c r="T3111" s="10"/>
      <c r="U3111" s="10" t="s">
        <v>22768</v>
      </c>
      <c r="V3111" s="10" t="s">
        <v>20885</v>
      </c>
      <c r="W3111" s="10" t="s">
        <v>20869</v>
      </c>
      <c r="X3111" s="10" t="s">
        <v>130</v>
      </c>
      <c r="Y3111" s="10" t="s">
        <v>130</v>
      </c>
      <c r="Z3111" s="10" t="s">
        <v>99</v>
      </c>
      <c r="AA3111" s="10" t="s">
        <v>131</v>
      </c>
      <c r="AB3111" s="10" t="s">
        <v>20870</v>
      </c>
      <c r="AC3111" s="10" t="s">
        <v>20871</v>
      </c>
      <c r="AD3111" s="10" t="s">
        <v>22769</v>
      </c>
      <c r="AE3111" s="10" t="s">
        <v>22770</v>
      </c>
      <c r="AF3111" s="15"/>
      <c r="AG3111" s="10"/>
      <c r="AH3111" s="10"/>
      <c r="AI3111" s="10"/>
      <c r="AJ3111" s="10"/>
      <c r="AK3111" s="10" t="s">
        <v>102</v>
      </c>
      <c r="AL3111" s="10" t="s">
        <v>2201</v>
      </c>
      <c r="AM3111" s="10"/>
      <c r="AN3111" s="10"/>
      <c r="AO3111" s="13" t="b">
        <v>0</v>
      </c>
      <c r="AP3111" s="22" t="s">
        <v>104</v>
      </c>
      <c r="AQ3111" s="10">
        <f ca="1">IFERROR(__xludf.DUMMYFUNCTION("""COMPUTED_VALUE"""),4790740)</f>
        <v>4790740</v>
      </c>
      <c r="AR3111" s="17">
        <v>3117</v>
      </c>
      <c r="AS3111" s="17">
        <v>2779</v>
      </c>
      <c r="AT3111" s="17">
        <v>5382</v>
      </c>
      <c r="AU3111" s="17">
        <v>0.7</v>
      </c>
      <c r="AV3111" s="17">
        <v>0.35</v>
      </c>
      <c r="AW3111" s="10" t="s">
        <v>105</v>
      </c>
      <c r="AX3111" s="17">
        <v>481</v>
      </c>
      <c r="AY3111" s="18">
        <v>1.936667866138899</v>
      </c>
      <c r="AZ3111" s="10"/>
      <c r="BA3111" s="20" t="b">
        <v>0</v>
      </c>
      <c r="BB3111" s="10"/>
      <c r="BC3111" s="17">
        <v>3117</v>
      </c>
      <c r="BD3111" s="17">
        <v>2779</v>
      </c>
      <c r="BE3111" s="17">
        <v>5382</v>
      </c>
      <c r="BF3111" s="17">
        <v>0.35</v>
      </c>
      <c r="BG3111" s="11">
        <f ca="1">IFERROR(__xludf.DUMMYFUNCTION("""COMPUTED_VALUE"""),46018.8125)</f>
        <v>46018.8125</v>
      </c>
      <c r="BH3111" s="17" t="s">
        <v>105</v>
      </c>
      <c r="BI3111" s="17"/>
      <c r="BJ3111" s="15"/>
      <c r="BK3111" s="15"/>
      <c r="BL3111" s="13" t="b">
        <v>0</v>
      </c>
      <c r="BM3111" s="10"/>
      <c r="BN3111" s="10" t="s">
        <v>149</v>
      </c>
      <c r="BO3111" s="11">
        <v>46008.442361111112</v>
      </c>
      <c r="BP3111" s="11">
        <v>46008.442893518521</v>
      </c>
      <c r="BQ3111" s="15">
        <v>46008.655949074076</v>
      </c>
      <c r="BR3111" s="15">
        <v>46013.457476851851</v>
      </c>
      <c r="BS3111" s="10" t="s">
        <v>149</v>
      </c>
      <c r="BT3111" s="10"/>
      <c r="BU3111" s="10"/>
      <c r="BV3111" s="10"/>
      <c r="BW3111" s="10"/>
      <c r="BX3111" s="10"/>
      <c r="BY3111" s="23"/>
      <c r="BZ3111" s="23"/>
      <c r="CA3111" s="19" t="s">
        <v>22771</v>
      </c>
      <c r="CB3111" s="23"/>
      <c r="CC3111" s="23"/>
      <c r="CD3111" s="23"/>
      <c r="CE3111" s="23"/>
      <c r="CF3111" s="23"/>
      <c r="CG3111" s="23"/>
      <c r="CH3111" s="23"/>
      <c r="CI3111" s="23"/>
    </row>
    <row r="3112" spans="1:87" x14ac:dyDescent="0.3">
      <c r="A3112" s="9" t="s">
        <v>22772</v>
      </c>
      <c r="B3112" s="10" t="s">
        <v>22773</v>
      </c>
      <c r="C3112" s="11">
        <v>46018.916666666664</v>
      </c>
      <c r="D3112" s="12">
        <v>8.3333333333333329E-2</v>
      </c>
      <c r="E3112" s="11">
        <v>46019</v>
      </c>
      <c r="F3112" s="22" t="s">
        <v>20865</v>
      </c>
      <c r="G3112" s="13" t="b">
        <v>0</v>
      </c>
      <c r="H3112" s="22" t="s">
        <v>9130</v>
      </c>
      <c r="I3112" s="10" t="s">
        <v>9131</v>
      </c>
      <c r="J3112" s="13" t="b">
        <v>0</v>
      </c>
      <c r="K3112" s="13" t="b">
        <v>1</v>
      </c>
      <c r="L3112" s="10" t="s">
        <v>124</v>
      </c>
      <c r="M3112" s="10" t="s">
        <v>91</v>
      </c>
      <c r="N3112" s="10" t="s">
        <v>265</v>
      </c>
      <c r="O3112" s="19" t="s">
        <v>22774</v>
      </c>
      <c r="P3112" s="10"/>
      <c r="Q3112" s="10" t="s">
        <v>94</v>
      </c>
      <c r="R3112" s="10"/>
      <c r="S3112" s="19" t="s">
        <v>22775</v>
      </c>
      <c r="T3112" s="10"/>
      <c r="U3112" s="10" t="s">
        <v>22776</v>
      </c>
      <c r="V3112" s="10" t="s">
        <v>8547</v>
      </c>
      <c r="W3112" s="10" t="s">
        <v>20869</v>
      </c>
      <c r="X3112" s="10" t="s">
        <v>130</v>
      </c>
      <c r="Y3112" s="10" t="s">
        <v>130</v>
      </c>
      <c r="Z3112" s="10" t="s">
        <v>99</v>
      </c>
      <c r="AA3112" s="10" t="s">
        <v>131</v>
      </c>
      <c r="AB3112" s="10" t="s">
        <v>20870</v>
      </c>
      <c r="AC3112" s="10" t="s">
        <v>20871</v>
      </c>
      <c r="AD3112" s="10" t="s">
        <v>22777</v>
      </c>
      <c r="AE3112" s="10" t="s">
        <v>22778</v>
      </c>
      <c r="AF3112" s="15"/>
      <c r="AG3112" s="10"/>
      <c r="AH3112" s="10"/>
      <c r="AI3112" s="10"/>
      <c r="AJ3112" s="10"/>
      <c r="AK3112" s="10" t="s">
        <v>102</v>
      </c>
      <c r="AL3112" s="10" t="s">
        <v>2201</v>
      </c>
      <c r="AM3112" s="10"/>
      <c r="AN3112" s="10"/>
      <c r="AO3112" s="13" t="b">
        <v>0</v>
      </c>
      <c r="AP3112" s="22" t="s">
        <v>104</v>
      </c>
      <c r="AQ3112" s="10">
        <f ca="1">IFERROR(__xludf.DUMMYFUNCTION("""COMPUTED_VALUE"""),4790741)</f>
        <v>4790741</v>
      </c>
      <c r="AR3112" s="17">
        <v>3021</v>
      </c>
      <c r="AS3112" s="17">
        <v>2595</v>
      </c>
      <c r="AT3112" s="17">
        <v>6946</v>
      </c>
      <c r="AU3112" s="17">
        <v>5.2</v>
      </c>
      <c r="AV3112" s="17">
        <v>1.55</v>
      </c>
      <c r="AW3112" s="10" t="s">
        <v>105</v>
      </c>
      <c r="AX3112" s="17">
        <v>358</v>
      </c>
      <c r="AY3112" s="18">
        <v>2.6766859344894027</v>
      </c>
      <c r="AZ3112" s="10"/>
      <c r="BA3112" s="20" t="b">
        <v>0</v>
      </c>
      <c r="BB3112" s="10"/>
      <c r="BC3112" s="17">
        <v>3021</v>
      </c>
      <c r="BD3112" s="17">
        <v>2595</v>
      </c>
      <c r="BE3112" s="17">
        <v>6946</v>
      </c>
      <c r="BF3112" s="17">
        <v>1.55</v>
      </c>
      <c r="BG3112" s="11">
        <f ca="1">IFERROR(__xludf.DUMMYFUNCTION("""COMPUTED_VALUE"""),46018.9166666666)</f>
        <v>46018.916666666599</v>
      </c>
      <c r="BH3112" s="17" t="s">
        <v>105</v>
      </c>
      <c r="BI3112" s="17"/>
      <c r="BJ3112" s="15"/>
      <c r="BK3112" s="15"/>
      <c r="BL3112" s="13" t="b">
        <v>0</v>
      </c>
      <c r="BM3112" s="10"/>
      <c r="BN3112" s="10" t="s">
        <v>149</v>
      </c>
      <c r="BO3112" s="11">
        <v>46008.443055555559</v>
      </c>
      <c r="BP3112" s="11">
        <v>46008.443622685183</v>
      </c>
      <c r="BQ3112" s="15">
        <v>46008.656226851854</v>
      </c>
      <c r="BR3112" s="15">
        <v>46013.457685185182</v>
      </c>
      <c r="BS3112" s="10" t="s">
        <v>149</v>
      </c>
      <c r="BT3112" s="10"/>
      <c r="BU3112" s="10"/>
      <c r="BV3112" s="10"/>
      <c r="BW3112" s="10"/>
      <c r="BX3112" s="10"/>
      <c r="BY3112" s="23"/>
      <c r="BZ3112" s="23"/>
      <c r="CA3112" s="19" t="s">
        <v>22779</v>
      </c>
      <c r="CB3112" s="23"/>
      <c r="CC3112" s="23"/>
      <c r="CD3112" s="23"/>
      <c r="CE3112" s="23"/>
      <c r="CF3112" s="23"/>
      <c r="CG3112" s="23"/>
      <c r="CH3112" s="23"/>
      <c r="CI3112" s="23"/>
    </row>
    <row r="3113" spans="1:87" x14ac:dyDescent="0.3">
      <c r="A3113" s="9" t="s">
        <v>22780</v>
      </c>
      <c r="B3113" s="10" t="s">
        <v>22781</v>
      </c>
      <c r="C3113" s="11">
        <v>46014</v>
      </c>
      <c r="D3113" s="12">
        <v>8.3333333333333329E-2</v>
      </c>
      <c r="E3113" s="11">
        <v>46014.083333333336</v>
      </c>
      <c r="F3113" s="22" t="s">
        <v>21253</v>
      </c>
      <c r="G3113" s="13" t="b">
        <v>0</v>
      </c>
      <c r="H3113" s="22" t="s">
        <v>6271</v>
      </c>
      <c r="I3113" s="10" t="s">
        <v>89</v>
      </c>
      <c r="J3113" s="13" t="b">
        <v>0</v>
      </c>
      <c r="K3113" s="13" t="b">
        <v>1</v>
      </c>
      <c r="L3113" s="10" t="s">
        <v>124</v>
      </c>
      <c r="M3113" s="10" t="s">
        <v>91</v>
      </c>
      <c r="N3113" s="10" t="s">
        <v>265</v>
      </c>
      <c r="O3113" s="19" t="s">
        <v>22782</v>
      </c>
      <c r="P3113" s="10"/>
      <c r="Q3113" s="10" t="s">
        <v>126</v>
      </c>
      <c r="R3113" s="10"/>
      <c r="S3113" s="19" t="s">
        <v>22783</v>
      </c>
      <c r="T3113" s="10"/>
      <c r="U3113" s="10" t="s">
        <v>22784</v>
      </c>
      <c r="V3113" s="10" t="s">
        <v>21256</v>
      </c>
      <c r="W3113" s="10" t="s">
        <v>21258</v>
      </c>
      <c r="X3113" s="10" t="s">
        <v>130</v>
      </c>
      <c r="Y3113" s="10" t="s">
        <v>130</v>
      </c>
      <c r="Z3113" s="10" t="s">
        <v>99</v>
      </c>
      <c r="AA3113" s="10" t="s">
        <v>131</v>
      </c>
      <c r="AB3113" s="10" t="s">
        <v>21259</v>
      </c>
      <c r="AC3113" s="10" t="s">
        <v>21260</v>
      </c>
      <c r="AD3113" s="10" t="s">
        <v>22785</v>
      </c>
      <c r="AE3113" s="10" t="s">
        <v>22786</v>
      </c>
      <c r="AF3113" s="15"/>
      <c r="AG3113" s="10"/>
      <c r="AH3113" s="10"/>
      <c r="AI3113" s="10"/>
      <c r="AJ3113" s="10"/>
      <c r="AK3113" s="10" t="s">
        <v>102</v>
      </c>
      <c r="AL3113" s="10" t="s">
        <v>1988</v>
      </c>
      <c r="AM3113" s="10"/>
      <c r="AN3113" s="10"/>
      <c r="AO3113" s="13" t="b">
        <v>0</v>
      </c>
      <c r="AP3113" s="22" t="s">
        <v>104</v>
      </c>
      <c r="AQ3113" s="10">
        <f ca="1">IFERROR(__xludf.DUMMYFUNCTION("""COMPUTED_VALUE"""),4790140)</f>
        <v>4790140</v>
      </c>
      <c r="AR3113" s="17">
        <v>3180</v>
      </c>
      <c r="AS3113" s="17">
        <v>2442</v>
      </c>
      <c r="AT3113" s="17">
        <v>54912</v>
      </c>
      <c r="AU3113" s="17">
        <v>4.5</v>
      </c>
      <c r="AV3113" s="17">
        <v>0</v>
      </c>
      <c r="AW3113" s="10" t="s">
        <v>105</v>
      </c>
      <c r="AX3113" s="17">
        <v>585</v>
      </c>
      <c r="AY3113" s="18">
        <v>22.486486486486488</v>
      </c>
      <c r="AZ3113" s="10" t="s">
        <v>117</v>
      </c>
      <c r="BA3113" s="20" t="b">
        <v>0</v>
      </c>
      <c r="BB3113" s="10"/>
      <c r="BC3113" s="17">
        <v>3180</v>
      </c>
      <c r="BD3113" s="17">
        <v>2442</v>
      </c>
      <c r="BE3113" s="17">
        <v>54912</v>
      </c>
      <c r="BF3113" s="17">
        <v>0</v>
      </c>
      <c r="BG3113" s="11">
        <f ca="1">IFERROR(__xludf.DUMMYFUNCTION("""COMPUTED_VALUE"""),46014)</f>
        <v>46014</v>
      </c>
      <c r="BH3113" s="17" t="s">
        <v>105</v>
      </c>
      <c r="BI3113" s="17"/>
      <c r="BJ3113" s="15"/>
      <c r="BK3113" s="15"/>
      <c r="BL3113" s="13" t="b">
        <v>0</v>
      </c>
      <c r="BM3113" s="10"/>
      <c r="BN3113" s="10" t="s">
        <v>278</v>
      </c>
      <c r="BO3113" s="11">
        <v>46008.460416666669</v>
      </c>
      <c r="BP3113" s="11">
        <v>46008.460601851853</v>
      </c>
      <c r="BQ3113" s="15">
        <v>46010.931122685186</v>
      </c>
      <c r="BR3113" s="15">
        <v>46012.618449074071</v>
      </c>
      <c r="BS3113" s="10" t="s">
        <v>278</v>
      </c>
      <c r="BT3113" s="10" t="s">
        <v>279</v>
      </c>
      <c r="BU3113" s="10" t="s">
        <v>6753</v>
      </c>
      <c r="BV3113" s="10"/>
      <c r="BW3113" s="10"/>
      <c r="BX3113" s="10"/>
      <c r="BY3113" s="23"/>
      <c r="BZ3113" s="23"/>
      <c r="CA3113" s="19" t="s">
        <v>22787</v>
      </c>
      <c r="CB3113" s="23"/>
      <c r="CC3113" s="23"/>
      <c r="CD3113" s="19" t="s">
        <v>22788</v>
      </c>
      <c r="CE3113" s="23"/>
      <c r="CF3113" s="23"/>
      <c r="CG3113" s="23"/>
      <c r="CH3113" s="23"/>
      <c r="CI3113" s="23"/>
    </row>
    <row r="3114" spans="1:87" x14ac:dyDescent="0.3">
      <c r="A3114" s="9" t="s">
        <v>22789</v>
      </c>
      <c r="B3114" s="10" t="s">
        <v>22790</v>
      </c>
      <c r="C3114" s="11">
        <v>46017.34375</v>
      </c>
      <c r="D3114" s="12">
        <v>0.14583333333333334</v>
      </c>
      <c r="E3114" s="11">
        <v>46017.489583333336</v>
      </c>
      <c r="F3114" s="22" t="s">
        <v>15270</v>
      </c>
      <c r="G3114" s="13" t="b">
        <v>0</v>
      </c>
      <c r="H3114" s="22" t="s">
        <v>15271</v>
      </c>
      <c r="I3114" s="10" t="s">
        <v>3213</v>
      </c>
      <c r="J3114" s="13" t="b">
        <v>0</v>
      </c>
      <c r="K3114" s="13" t="b">
        <v>1</v>
      </c>
      <c r="L3114" s="10" t="s">
        <v>124</v>
      </c>
      <c r="M3114" s="10" t="s">
        <v>91</v>
      </c>
      <c r="N3114" s="10" t="s">
        <v>92</v>
      </c>
      <c r="O3114" s="19" t="s">
        <v>22791</v>
      </c>
      <c r="P3114" s="10" t="s">
        <v>3215</v>
      </c>
      <c r="Q3114" s="10" t="s">
        <v>126</v>
      </c>
      <c r="R3114" s="10"/>
      <c r="S3114" s="19" t="s">
        <v>22792</v>
      </c>
      <c r="T3114" s="10"/>
      <c r="U3114" s="10" t="s">
        <v>15298</v>
      </c>
      <c r="V3114" s="10" t="s">
        <v>15510</v>
      </c>
      <c r="W3114" s="10" t="s">
        <v>15276</v>
      </c>
      <c r="X3114" s="10" t="s">
        <v>15277</v>
      </c>
      <c r="Y3114" s="10" t="s">
        <v>15277</v>
      </c>
      <c r="Z3114" s="10" t="s">
        <v>99</v>
      </c>
      <c r="AA3114" s="10" t="s">
        <v>131</v>
      </c>
      <c r="AB3114" s="10" t="s">
        <v>15278</v>
      </c>
      <c r="AC3114" s="10" t="s">
        <v>15279</v>
      </c>
      <c r="AD3114" s="10" t="s">
        <v>165</v>
      </c>
      <c r="AE3114" s="10" t="s">
        <v>22793</v>
      </c>
      <c r="AF3114" s="15"/>
      <c r="AG3114" s="10"/>
      <c r="AH3114" s="10"/>
      <c r="AI3114" s="10"/>
      <c r="AJ3114" s="10"/>
      <c r="AK3114" s="10" t="s">
        <v>102</v>
      </c>
      <c r="AL3114" s="10" t="s">
        <v>1988</v>
      </c>
      <c r="AM3114" s="10"/>
      <c r="AN3114" s="10"/>
      <c r="AO3114" s="13" t="b">
        <v>0</v>
      </c>
      <c r="AP3114" s="22" t="s">
        <v>104</v>
      </c>
      <c r="AQ3114" s="10">
        <f ca="1">IFERROR(__xludf.DUMMYFUNCTION("""COMPUTED_VALUE"""),4790927)</f>
        <v>4790927</v>
      </c>
      <c r="AR3114" s="17">
        <v>3636</v>
      </c>
      <c r="AS3114" s="17">
        <v>2883</v>
      </c>
      <c r="AT3114" s="17">
        <v>52785</v>
      </c>
      <c r="AU3114" s="17">
        <v>16.25</v>
      </c>
      <c r="AV3114" s="17">
        <v>1.25</v>
      </c>
      <c r="AW3114" s="10" t="s">
        <v>105</v>
      </c>
      <c r="AX3114" s="17">
        <v>486</v>
      </c>
      <c r="AY3114" s="18">
        <v>18.309053069719042</v>
      </c>
      <c r="AZ3114" s="10"/>
      <c r="BA3114" s="20" t="b">
        <v>0</v>
      </c>
      <c r="BB3114" s="10"/>
      <c r="BC3114" s="17">
        <v>3636</v>
      </c>
      <c r="BD3114" s="17">
        <v>2883</v>
      </c>
      <c r="BE3114" s="17">
        <v>52785</v>
      </c>
      <c r="BF3114" s="17">
        <v>1.25</v>
      </c>
      <c r="BG3114" s="11">
        <f ca="1">IFERROR(__xludf.DUMMYFUNCTION("""COMPUTED_VALUE"""),46017.34375)</f>
        <v>46017.34375</v>
      </c>
      <c r="BH3114" s="17" t="s">
        <v>105</v>
      </c>
      <c r="BI3114" s="17"/>
      <c r="BJ3114" s="15"/>
      <c r="BK3114" s="15"/>
      <c r="BL3114" s="13" t="b">
        <v>0</v>
      </c>
      <c r="BM3114" s="10"/>
      <c r="BN3114" s="10" t="s">
        <v>8437</v>
      </c>
      <c r="BO3114" s="11">
        <v>46008.556944444441</v>
      </c>
      <c r="BP3114" s="11">
        <v>46008.556967592594</v>
      </c>
      <c r="BQ3114" s="15">
        <v>46014.525520833333</v>
      </c>
      <c r="BR3114" s="15">
        <v>46013.564456018517</v>
      </c>
      <c r="BS3114" s="10"/>
      <c r="BT3114" s="10"/>
      <c r="BU3114" s="10"/>
      <c r="BV3114" s="10"/>
      <c r="BW3114" s="10"/>
      <c r="BX3114" s="10"/>
      <c r="BY3114" s="23"/>
      <c r="BZ3114" s="23"/>
      <c r="CA3114" s="19" t="s">
        <v>22794</v>
      </c>
      <c r="CB3114" s="19" t="s">
        <v>22795</v>
      </c>
      <c r="CC3114" s="23"/>
      <c r="CD3114" s="19" t="s">
        <v>22796</v>
      </c>
      <c r="CE3114" s="23"/>
      <c r="CF3114" s="23"/>
      <c r="CG3114" s="23"/>
      <c r="CH3114" s="23"/>
      <c r="CI3114" s="23"/>
    </row>
    <row r="3115" spans="1:87" x14ac:dyDescent="0.3">
      <c r="A3115" s="9" t="s">
        <v>22797</v>
      </c>
      <c r="B3115" s="10" t="s">
        <v>22798</v>
      </c>
      <c r="C3115" s="11">
        <v>46019.1875</v>
      </c>
      <c r="D3115" s="12">
        <v>0.14583333333333334</v>
      </c>
      <c r="E3115" s="11">
        <v>46019.333333333336</v>
      </c>
      <c r="F3115" s="22" t="s">
        <v>15270</v>
      </c>
      <c r="G3115" s="13" t="b">
        <v>0</v>
      </c>
      <c r="H3115" s="22" t="s">
        <v>15271</v>
      </c>
      <c r="I3115" s="10" t="s">
        <v>3213</v>
      </c>
      <c r="J3115" s="13" t="b">
        <v>0</v>
      </c>
      <c r="K3115" s="13" t="b">
        <v>1</v>
      </c>
      <c r="L3115" s="10" t="s">
        <v>124</v>
      </c>
      <c r="M3115" s="10" t="s">
        <v>91</v>
      </c>
      <c r="N3115" s="10" t="s">
        <v>92</v>
      </c>
      <c r="O3115" s="10"/>
      <c r="P3115" s="10"/>
      <c r="Q3115" s="10" t="s">
        <v>126</v>
      </c>
      <c r="R3115" s="10"/>
      <c r="S3115" s="19" t="s">
        <v>22799</v>
      </c>
      <c r="T3115" s="10"/>
      <c r="U3115" s="10" t="s">
        <v>15326</v>
      </c>
      <c r="V3115" s="10" t="s">
        <v>15316</v>
      </c>
      <c r="W3115" s="10" t="s">
        <v>15276</v>
      </c>
      <c r="X3115" s="10" t="s">
        <v>15277</v>
      </c>
      <c r="Y3115" s="10" t="s">
        <v>15277</v>
      </c>
      <c r="Z3115" s="10" t="s">
        <v>99</v>
      </c>
      <c r="AA3115" s="10" t="s">
        <v>131</v>
      </c>
      <c r="AB3115" s="10" t="s">
        <v>15278</v>
      </c>
      <c r="AC3115" s="10" t="s">
        <v>15279</v>
      </c>
      <c r="AD3115" s="10" t="s">
        <v>165</v>
      </c>
      <c r="AE3115" s="10" t="s">
        <v>22800</v>
      </c>
      <c r="AF3115" s="15"/>
      <c r="AG3115" s="10"/>
      <c r="AH3115" s="10"/>
      <c r="AI3115" s="10"/>
      <c r="AJ3115" s="10"/>
      <c r="AK3115" s="10" t="s">
        <v>256</v>
      </c>
      <c r="AL3115" s="10" t="s">
        <v>1988</v>
      </c>
      <c r="AM3115" s="10"/>
      <c r="AN3115" s="10"/>
      <c r="AO3115" s="13" t="b">
        <v>0</v>
      </c>
      <c r="AP3115" s="22" t="s">
        <v>104</v>
      </c>
      <c r="AQ3115" s="10"/>
      <c r="AR3115" s="17"/>
      <c r="AS3115" s="17"/>
      <c r="AT3115" s="17"/>
      <c r="AU3115" s="17"/>
      <c r="AV3115" s="17"/>
      <c r="AW3115" s="10"/>
      <c r="AX3115" s="17"/>
      <c r="AY3115" s="18" t="s">
        <v>257</v>
      </c>
      <c r="AZ3115" s="10"/>
      <c r="BA3115" s="20" t="b">
        <v>0</v>
      </c>
      <c r="BB3115" s="10"/>
      <c r="BC3115" s="17" t="s">
        <v>257</v>
      </c>
      <c r="BD3115" s="17" t="s">
        <v>257</v>
      </c>
      <c r="BE3115" s="17" t="s">
        <v>257</v>
      </c>
      <c r="BF3115" s="17" t="s">
        <v>257</v>
      </c>
      <c r="BG3115" s="11">
        <f ca="1">IFERROR(__xludf.DUMMYFUNCTION("""COMPUTED_VALUE"""),46019.1875)</f>
        <v>46019.1875</v>
      </c>
      <c r="BH3115" s="17"/>
      <c r="BI3115" s="17"/>
      <c r="BJ3115" s="15"/>
      <c r="BK3115" s="15"/>
      <c r="BL3115" s="13" t="b">
        <v>0</v>
      </c>
      <c r="BM3115" s="10"/>
      <c r="BN3115" s="10" t="s">
        <v>8437</v>
      </c>
      <c r="BO3115" s="11">
        <v>46008.557638888888</v>
      </c>
      <c r="BP3115" s="11">
        <v>46008.557951388888</v>
      </c>
      <c r="BQ3115" s="15">
        <v>46014.525856481479</v>
      </c>
      <c r="BR3115" s="15"/>
      <c r="BS3115" s="10"/>
      <c r="BT3115" s="10"/>
      <c r="BU3115" s="10"/>
      <c r="BV3115" s="10"/>
      <c r="BW3115" s="10"/>
      <c r="BX3115" s="10"/>
      <c r="BY3115" s="23"/>
      <c r="BZ3115" s="23"/>
      <c r="CA3115" s="19" t="s">
        <v>22801</v>
      </c>
      <c r="CB3115" s="19" t="s">
        <v>22802</v>
      </c>
      <c r="CC3115" s="23"/>
      <c r="CD3115" s="19" t="s">
        <v>22803</v>
      </c>
      <c r="CE3115" s="23"/>
      <c r="CF3115" s="23"/>
      <c r="CG3115" s="23"/>
      <c r="CH3115" s="23"/>
      <c r="CI3115" s="23"/>
    </row>
    <row r="3116" spans="1:87" x14ac:dyDescent="0.3">
      <c r="A3116" s="9" t="s">
        <v>22804</v>
      </c>
      <c r="B3116" s="10" t="s">
        <v>22805</v>
      </c>
      <c r="C3116" s="11">
        <v>46019.333333333336</v>
      </c>
      <c r="D3116" s="12">
        <v>0.14583333333333334</v>
      </c>
      <c r="E3116" s="11">
        <v>46019.479166666664</v>
      </c>
      <c r="F3116" s="22" t="s">
        <v>15270</v>
      </c>
      <c r="G3116" s="13" t="b">
        <v>0</v>
      </c>
      <c r="H3116" s="22" t="s">
        <v>15271</v>
      </c>
      <c r="I3116" s="10" t="s">
        <v>3213</v>
      </c>
      <c r="J3116" s="13" t="b">
        <v>0</v>
      </c>
      <c r="K3116" s="13" t="b">
        <v>1</v>
      </c>
      <c r="L3116" s="10" t="s">
        <v>124</v>
      </c>
      <c r="M3116" s="10" t="s">
        <v>91</v>
      </c>
      <c r="N3116" s="10" t="s">
        <v>92</v>
      </c>
      <c r="O3116" s="19" t="s">
        <v>22806</v>
      </c>
      <c r="P3116" s="10" t="s">
        <v>3215</v>
      </c>
      <c r="Q3116" s="10" t="s">
        <v>126</v>
      </c>
      <c r="R3116" s="10"/>
      <c r="S3116" s="19" t="s">
        <v>22807</v>
      </c>
      <c r="T3116" s="10"/>
      <c r="U3116" s="10" t="s">
        <v>15274</v>
      </c>
      <c r="V3116" s="10" t="s">
        <v>15673</v>
      </c>
      <c r="W3116" s="10" t="s">
        <v>15276</v>
      </c>
      <c r="X3116" s="10" t="s">
        <v>15277</v>
      </c>
      <c r="Y3116" s="10" t="s">
        <v>15277</v>
      </c>
      <c r="Z3116" s="10" t="s">
        <v>99</v>
      </c>
      <c r="AA3116" s="10" t="s">
        <v>131</v>
      </c>
      <c r="AB3116" s="10" t="s">
        <v>15278</v>
      </c>
      <c r="AC3116" s="10" t="s">
        <v>15279</v>
      </c>
      <c r="AD3116" s="10" t="s">
        <v>165</v>
      </c>
      <c r="AE3116" s="10" t="s">
        <v>22808</v>
      </c>
      <c r="AF3116" s="15"/>
      <c r="AG3116" s="10"/>
      <c r="AH3116" s="10"/>
      <c r="AI3116" s="10"/>
      <c r="AJ3116" s="10"/>
      <c r="AK3116" s="10" t="s">
        <v>102</v>
      </c>
      <c r="AL3116" s="10" t="s">
        <v>1988</v>
      </c>
      <c r="AM3116" s="10"/>
      <c r="AN3116" s="10"/>
      <c r="AO3116" s="13" t="b">
        <v>0</v>
      </c>
      <c r="AP3116" s="22" t="s">
        <v>104</v>
      </c>
      <c r="AQ3116" s="10">
        <f ca="1">IFERROR(__xludf.DUMMYFUNCTION("""COMPUTED_VALUE"""),4794987)</f>
        <v>4794987</v>
      </c>
      <c r="AR3116" s="17">
        <v>4328</v>
      </c>
      <c r="AS3116" s="17">
        <v>3490</v>
      </c>
      <c r="AT3116" s="17">
        <v>60162.75</v>
      </c>
      <c r="AU3116" s="17">
        <v>6.75</v>
      </c>
      <c r="AV3116" s="17">
        <v>1.85</v>
      </c>
      <c r="AW3116" s="10" t="s">
        <v>105</v>
      </c>
      <c r="AX3116" s="17">
        <v>521</v>
      </c>
      <c r="AY3116" s="18">
        <v>17.238610315186246</v>
      </c>
      <c r="AZ3116" s="10"/>
      <c r="BA3116" s="20" t="b">
        <v>0</v>
      </c>
      <c r="BB3116" s="10"/>
      <c r="BC3116" s="17">
        <v>4328</v>
      </c>
      <c r="BD3116" s="17">
        <v>3490</v>
      </c>
      <c r="BE3116" s="17">
        <v>60162.75</v>
      </c>
      <c r="BF3116" s="17">
        <v>1.85</v>
      </c>
      <c r="BG3116" s="11">
        <f ca="1">IFERROR(__xludf.DUMMYFUNCTION("""COMPUTED_VALUE"""),46019.3333333333)</f>
        <v>46019.333333333299</v>
      </c>
      <c r="BH3116" s="17" t="s">
        <v>105</v>
      </c>
      <c r="BI3116" s="17"/>
      <c r="BJ3116" s="15"/>
      <c r="BK3116" s="15"/>
      <c r="BL3116" s="13" t="b">
        <v>0</v>
      </c>
      <c r="BM3116" s="10"/>
      <c r="BN3116" s="10" t="s">
        <v>1149</v>
      </c>
      <c r="BO3116" s="11">
        <v>46008.558333333334</v>
      </c>
      <c r="BP3116" s="11">
        <v>46008.558819444443</v>
      </c>
      <c r="BQ3116" s="15">
        <v>46014.526018518518</v>
      </c>
      <c r="BR3116" s="15">
        <v>46016.654710648145</v>
      </c>
      <c r="BS3116" s="10" t="s">
        <v>1149</v>
      </c>
      <c r="BT3116" s="10"/>
      <c r="BU3116" s="10"/>
      <c r="BV3116" s="10"/>
      <c r="BW3116" s="10"/>
      <c r="BX3116" s="10"/>
      <c r="BY3116" s="23"/>
      <c r="BZ3116" s="23"/>
      <c r="CA3116" s="19" t="s">
        <v>22809</v>
      </c>
      <c r="CB3116" s="19" t="s">
        <v>22810</v>
      </c>
      <c r="CC3116" s="23"/>
      <c r="CD3116" s="19" t="s">
        <v>22811</v>
      </c>
      <c r="CE3116" s="23"/>
      <c r="CF3116" s="23"/>
      <c r="CG3116" s="23"/>
      <c r="CH3116" s="23"/>
      <c r="CI3116" s="23"/>
    </row>
    <row r="3117" spans="1:87" x14ac:dyDescent="0.3">
      <c r="A3117" s="9" t="s">
        <v>22812</v>
      </c>
      <c r="B3117" s="10" t="s">
        <v>22813</v>
      </c>
      <c r="C3117" s="11">
        <v>46020.041666666664</v>
      </c>
      <c r="D3117" s="12">
        <v>0.14583333333333334</v>
      </c>
      <c r="E3117" s="11">
        <v>46020.1875</v>
      </c>
      <c r="F3117" s="22" t="s">
        <v>15270</v>
      </c>
      <c r="G3117" s="13" t="b">
        <v>0</v>
      </c>
      <c r="H3117" s="22" t="s">
        <v>15271</v>
      </c>
      <c r="I3117" s="10" t="s">
        <v>3213</v>
      </c>
      <c r="J3117" s="13" t="b">
        <v>0</v>
      </c>
      <c r="K3117" s="13" t="b">
        <v>1</v>
      </c>
      <c r="L3117" s="10" t="s">
        <v>124</v>
      </c>
      <c r="M3117" s="10" t="s">
        <v>91</v>
      </c>
      <c r="N3117" s="10" t="s">
        <v>92</v>
      </c>
      <c r="O3117" s="19" t="s">
        <v>22814</v>
      </c>
      <c r="P3117" s="10" t="s">
        <v>88</v>
      </c>
      <c r="Q3117" s="10" t="s">
        <v>126</v>
      </c>
      <c r="R3117" s="10"/>
      <c r="S3117" s="19" t="s">
        <v>22815</v>
      </c>
      <c r="T3117" s="10"/>
      <c r="U3117" s="10" t="s">
        <v>19855</v>
      </c>
      <c r="V3117" s="10" t="s">
        <v>15987</v>
      </c>
      <c r="W3117" s="10" t="s">
        <v>15276</v>
      </c>
      <c r="X3117" s="10" t="s">
        <v>15277</v>
      </c>
      <c r="Y3117" s="10" t="s">
        <v>15277</v>
      </c>
      <c r="Z3117" s="10" t="s">
        <v>99</v>
      </c>
      <c r="AA3117" s="10" t="s">
        <v>131</v>
      </c>
      <c r="AB3117" s="10" t="s">
        <v>15278</v>
      </c>
      <c r="AC3117" s="10" t="s">
        <v>15279</v>
      </c>
      <c r="AD3117" s="10" t="s">
        <v>165</v>
      </c>
      <c r="AE3117" s="10" t="s">
        <v>22816</v>
      </c>
      <c r="AF3117" s="15"/>
      <c r="AG3117" s="10"/>
      <c r="AH3117" s="10"/>
      <c r="AI3117" s="10"/>
      <c r="AJ3117" s="10"/>
      <c r="AK3117" s="10" t="s">
        <v>102</v>
      </c>
      <c r="AL3117" s="10" t="s">
        <v>1988</v>
      </c>
      <c r="AM3117" s="10"/>
      <c r="AN3117" s="10"/>
      <c r="AO3117" s="13" t="b">
        <v>0</v>
      </c>
      <c r="AP3117" s="22" t="s">
        <v>104</v>
      </c>
      <c r="AQ3117" s="10">
        <f ca="1">IFERROR(__xludf.DUMMYFUNCTION("""COMPUTED_VALUE"""),4797255)</f>
        <v>4797255</v>
      </c>
      <c r="AR3117" s="17">
        <v>1257</v>
      </c>
      <c r="AS3117" s="17">
        <v>1019</v>
      </c>
      <c r="AT3117" s="17">
        <v>22899</v>
      </c>
      <c r="AU3117" s="17">
        <v>3.35</v>
      </c>
      <c r="AV3117" s="17">
        <v>2.75</v>
      </c>
      <c r="AW3117" s="10" t="s">
        <v>105</v>
      </c>
      <c r="AX3117" s="17">
        <v>156</v>
      </c>
      <c r="AY3117" s="18">
        <v>22.472031403336604</v>
      </c>
      <c r="AZ3117" s="10"/>
      <c r="BA3117" s="20" t="b">
        <v>0</v>
      </c>
      <c r="BB3117" s="10"/>
      <c r="BC3117" s="17">
        <v>1257</v>
      </c>
      <c r="BD3117" s="17">
        <v>1019</v>
      </c>
      <c r="BE3117" s="17">
        <v>22899</v>
      </c>
      <c r="BF3117" s="17">
        <v>2.75</v>
      </c>
      <c r="BG3117" s="11">
        <f ca="1">IFERROR(__xludf.DUMMYFUNCTION("""COMPUTED_VALUE"""),46020.0416666666)</f>
        <v>46020.041666666599</v>
      </c>
      <c r="BH3117" s="17" t="s">
        <v>105</v>
      </c>
      <c r="BI3117" s="17"/>
      <c r="BJ3117" s="15"/>
      <c r="BK3117" s="15"/>
      <c r="BL3117" s="13" t="b">
        <v>0</v>
      </c>
      <c r="BM3117" s="10"/>
      <c r="BN3117" s="10" t="s">
        <v>137</v>
      </c>
      <c r="BO3117" s="11">
        <v>46008.55972222222</v>
      </c>
      <c r="BP3117" s="11">
        <v>46008.560300925928</v>
      </c>
      <c r="BQ3117" s="15">
        <v>46014.526284722226</v>
      </c>
      <c r="BR3117" s="15">
        <v>46018.651261574072</v>
      </c>
      <c r="BS3117" s="10" t="s">
        <v>137</v>
      </c>
      <c r="BT3117" s="10"/>
      <c r="BU3117" s="10"/>
      <c r="BV3117" s="10"/>
      <c r="BW3117" s="10"/>
      <c r="BX3117" s="10"/>
      <c r="BY3117" s="23"/>
      <c r="BZ3117" s="23"/>
      <c r="CA3117" s="19" t="s">
        <v>22817</v>
      </c>
      <c r="CB3117" s="19" t="s">
        <v>22818</v>
      </c>
      <c r="CC3117" s="23"/>
      <c r="CD3117" s="19" t="s">
        <v>22819</v>
      </c>
      <c r="CE3117" s="23"/>
      <c r="CF3117" s="23"/>
      <c r="CG3117" s="23"/>
      <c r="CH3117" s="23"/>
      <c r="CI3117" s="23"/>
    </row>
    <row r="3118" spans="1:87" x14ac:dyDescent="0.3">
      <c r="A3118" s="9" t="s">
        <v>22820</v>
      </c>
      <c r="B3118" s="10" t="s">
        <v>22821</v>
      </c>
      <c r="C3118" s="11">
        <v>46020.184027777781</v>
      </c>
      <c r="D3118" s="12">
        <v>0.14583333333333334</v>
      </c>
      <c r="E3118" s="11">
        <v>46020.329861111109</v>
      </c>
      <c r="F3118" s="22" t="s">
        <v>15270</v>
      </c>
      <c r="G3118" s="13" t="b">
        <v>0</v>
      </c>
      <c r="H3118" s="22" t="s">
        <v>15271</v>
      </c>
      <c r="I3118" s="10" t="s">
        <v>3213</v>
      </c>
      <c r="J3118" s="13" t="b">
        <v>0</v>
      </c>
      <c r="K3118" s="13" t="b">
        <v>1</v>
      </c>
      <c r="L3118" s="10" t="s">
        <v>124</v>
      </c>
      <c r="M3118" s="10" t="s">
        <v>91</v>
      </c>
      <c r="N3118" s="10" t="s">
        <v>92</v>
      </c>
      <c r="O3118" s="19" t="s">
        <v>22822</v>
      </c>
      <c r="P3118" s="10" t="s">
        <v>88</v>
      </c>
      <c r="Q3118" s="10" t="s">
        <v>126</v>
      </c>
      <c r="R3118" s="10"/>
      <c r="S3118" s="19" t="s">
        <v>22823</v>
      </c>
      <c r="T3118" s="10"/>
      <c r="U3118" s="10" t="s">
        <v>15637</v>
      </c>
      <c r="V3118" s="10" t="s">
        <v>15299</v>
      </c>
      <c r="W3118" s="10" t="s">
        <v>15276</v>
      </c>
      <c r="X3118" s="10" t="s">
        <v>15277</v>
      </c>
      <c r="Y3118" s="10" t="s">
        <v>15277</v>
      </c>
      <c r="Z3118" s="10" t="s">
        <v>99</v>
      </c>
      <c r="AA3118" s="10" t="s">
        <v>131</v>
      </c>
      <c r="AB3118" s="10" t="s">
        <v>15278</v>
      </c>
      <c r="AC3118" s="10" t="s">
        <v>15279</v>
      </c>
      <c r="AD3118" s="10" t="s">
        <v>165</v>
      </c>
      <c r="AE3118" s="10" t="s">
        <v>22824</v>
      </c>
      <c r="AF3118" s="15"/>
      <c r="AG3118" s="10"/>
      <c r="AH3118" s="10"/>
      <c r="AI3118" s="10"/>
      <c r="AJ3118" s="10"/>
      <c r="AK3118" s="10" t="s">
        <v>102</v>
      </c>
      <c r="AL3118" s="10" t="s">
        <v>1988</v>
      </c>
      <c r="AM3118" s="10"/>
      <c r="AN3118" s="10"/>
      <c r="AO3118" s="13" t="b">
        <v>0</v>
      </c>
      <c r="AP3118" s="22" t="s">
        <v>104</v>
      </c>
      <c r="AQ3118" s="10">
        <f ca="1">IFERROR(__xludf.DUMMYFUNCTION("""COMPUTED_VALUE"""),4797259)</f>
        <v>4797259</v>
      </c>
      <c r="AR3118" s="17">
        <v>2571</v>
      </c>
      <c r="AS3118" s="17">
        <v>2033</v>
      </c>
      <c r="AT3118" s="17">
        <v>26798</v>
      </c>
      <c r="AU3118" s="17">
        <v>2.5499999999999998</v>
      </c>
      <c r="AV3118" s="17">
        <v>1.95</v>
      </c>
      <c r="AW3118" s="10" t="s">
        <v>105</v>
      </c>
      <c r="AX3118" s="17">
        <v>355</v>
      </c>
      <c r="AY3118" s="18">
        <v>13.181505164781111</v>
      </c>
      <c r="AZ3118" s="10"/>
      <c r="BA3118" s="20" t="b">
        <v>0</v>
      </c>
      <c r="BB3118" s="10"/>
      <c r="BC3118" s="17">
        <v>2571</v>
      </c>
      <c r="BD3118" s="17">
        <v>2033</v>
      </c>
      <c r="BE3118" s="17">
        <v>26798</v>
      </c>
      <c r="BF3118" s="17">
        <v>1.95</v>
      </c>
      <c r="BG3118" s="11">
        <f ca="1">IFERROR(__xludf.DUMMYFUNCTION("""COMPUTED_VALUE"""),46020.1840277777)</f>
        <v>46020.184027777701</v>
      </c>
      <c r="BH3118" s="17" t="s">
        <v>105</v>
      </c>
      <c r="BI3118" s="17"/>
      <c r="BJ3118" s="15"/>
      <c r="BK3118" s="15"/>
      <c r="BL3118" s="13" t="b">
        <v>0</v>
      </c>
      <c r="BM3118" s="10"/>
      <c r="BN3118" s="10" t="s">
        <v>137</v>
      </c>
      <c r="BO3118" s="11">
        <v>46008.561805555553</v>
      </c>
      <c r="BP3118" s="11">
        <v>46008.562118055554</v>
      </c>
      <c r="BQ3118" s="15">
        <v>46014.526435185187</v>
      </c>
      <c r="BR3118" s="15">
        <v>46018.651365740741</v>
      </c>
      <c r="BS3118" s="10" t="s">
        <v>137</v>
      </c>
      <c r="BT3118" s="10"/>
      <c r="BU3118" s="10"/>
      <c r="BV3118" s="10"/>
      <c r="BW3118" s="10"/>
      <c r="BX3118" s="10"/>
      <c r="BY3118" s="23"/>
      <c r="BZ3118" s="23"/>
      <c r="CA3118" s="19" t="s">
        <v>22825</v>
      </c>
      <c r="CB3118" s="19" t="s">
        <v>22826</v>
      </c>
      <c r="CC3118" s="23"/>
      <c r="CD3118" s="19" t="s">
        <v>22827</v>
      </c>
      <c r="CE3118" s="23"/>
      <c r="CF3118" s="23"/>
      <c r="CG3118" s="23"/>
      <c r="CH3118" s="23"/>
      <c r="CI3118" s="23"/>
    </row>
    <row r="3119" spans="1:87" x14ac:dyDescent="0.3">
      <c r="A3119" s="9" t="s">
        <v>22828</v>
      </c>
      <c r="B3119" s="10" t="s">
        <v>22829</v>
      </c>
      <c r="C3119" s="11">
        <v>46020.347222222219</v>
      </c>
      <c r="D3119" s="12">
        <v>0.14583333333333334</v>
      </c>
      <c r="E3119" s="11">
        <v>46020.493055555555</v>
      </c>
      <c r="F3119" s="22" t="s">
        <v>15270</v>
      </c>
      <c r="G3119" s="13" t="b">
        <v>0</v>
      </c>
      <c r="H3119" s="22" t="s">
        <v>15271</v>
      </c>
      <c r="I3119" s="10" t="s">
        <v>3213</v>
      </c>
      <c r="J3119" s="13" t="b">
        <v>0</v>
      </c>
      <c r="K3119" s="13" t="b">
        <v>1</v>
      </c>
      <c r="L3119" s="10" t="s">
        <v>124</v>
      </c>
      <c r="M3119" s="10" t="s">
        <v>91</v>
      </c>
      <c r="N3119" s="10" t="s">
        <v>92</v>
      </c>
      <c r="O3119" s="19" t="s">
        <v>22830</v>
      </c>
      <c r="P3119" s="10" t="s">
        <v>3215</v>
      </c>
      <c r="Q3119" s="10" t="s">
        <v>126</v>
      </c>
      <c r="R3119" s="10"/>
      <c r="S3119" s="19" t="s">
        <v>22831</v>
      </c>
      <c r="T3119" s="10"/>
      <c r="U3119" s="10" t="s">
        <v>15654</v>
      </c>
      <c r="V3119" s="10" t="s">
        <v>15290</v>
      </c>
      <c r="W3119" s="10" t="s">
        <v>15276</v>
      </c>
      <c r="X3119" s="10" t="s">
        <v>15277</v>
      </c>
      <c r="Y3119" s="10" t="s">
        <v>15277</v>
      </c>
      <c r="Z3119" s="10" t="s">
        <v>99</v>
      </c>
      <c r="AA3119" s="10" t="s">
        <v>131</v>
      </c>
      <c r="AB3119" s="10" t="s">
        <v>15278</v>
      </c>
      <c r="AC3119" s="10" t="s">
        <v>15279</v>
      </c>
      <c r="AD3119" s="10" t="s">
        <v>165</v>
      </c>
      <c r="AE3119" s="10" t="s">
        <v>22832</v>
      </c>
      <c r="AF3119" s="15"/>
      <c r="AG3119" s="10"/>
      <c r="AH3119" s="10"/>
      <c r="AI3119" s="10"/>
      <c r="AJ3119" s="10"/>
      <c r="AK3119" s="10" t="s">
        <v>102</v>
      </c>
      <c r="AL3119" s="10" t="s">
        <v>1988</v>
      </c>
      <c r="AM3119" s="10"/>
      <c r="AN3119" s="10"/>
      <c r="AO3119" s="13" t="b">
        <v>0</v>
      </c>
      <c r="AP3119" s="22" t="s">
        <v>104</v>
      </c>
      <c r="AQ3119" s="10">
        <f ca="1">IFERROR(__xludf.DUMMYFUNCTION("""COMPUTED_VALUE"""),4797258)</f>
        <v>4797258</v>
      </c>
      <c r="AR3119" s="17">
        <v>3773</v>
      </c>
      <c r="AS3119" s="17">
        <v>2786</v>
      </c>
      <c r="AT3119" s="17">
        <v>71411.25</v>
      </c>
      <c r="AU3119" s="17">
        <v>11.35</v>
      </c>
      <c r="AV3119" s="17">
        <v>2.4</v>
      </c>
      <c r="AW3119" s="10" t="s">
        <v>105</v>
      </c>
      <c r="AX3119" s="17">
        <v>580</v>
      </c>
      <c r="AY3119" s="18">
        <v>25.632178750897342</v>
      </c>
      <c r="AZ3119" s="10"/>
      <c r="BA3119" s="20" t="b">
        <v>0</v>
      </c>
      <c r="BB3119" s="10"/>
      <c r="BC3119" s="17">
        <v>3773</v>
      </c>
      <c r="BD3119" s="17">
        <v>2786</v>
      </c>
      <c r="BE3119" s="17">
        <v>71411.25</v>
      </c>
      <c r="BF3119" s="17">
        <v>2.4</v>
      </c>
      <c r="BG3119" s="11">
        <f ca="1">IFERROR(__xludf.DUMMYFUNCTION("""COMPUTED_VALUE"""),46020.3472222222)</f>
        <v>46020.347222222197</v>
      </c>
      <c r="BH3119" s="17" t="s">
        <v>105</v>
      </c>
      <c r="BI3119" s="17"/>
      <c r="BJ3119" s="15"/>
      <c r="BK3119" s="15"/>
      <c r="BL3119" s="13" t="b">
        <v>0</v>
      </c>
      <c r="BM3119" s="10"/>
      <c r="BN3119" s="10" t="s">
        <v>137</v>
      </c>
      <c r="BO3119" s="11">
        <v>46008.563194444447</v>
      </c>
      <c r="BP3119" s="11">
        <v>46008.563634259262</v>
      </c>
      <c r="BQ3119" s="15">
        <v>46014.526655092595</v>
      </c>
      <c r="BR3119" s="15">
        <v>46018.651493055557</v>
      </c>
      <c r="BS3119" s="10" t="s">
        <v>137</v>
      </c>
      <c r="BT3119" s="10"/>
      <c r="BU3119" s="10"/>
      <c r="BV3119" s="10"/>
      <c r="BW3119" s="10"/>
      <c r="BX3119" s="10"/>
      <c r="BY3119" s="23"/>
      <c r="BZ3119" s="23"/>
      <c r="CA3119" s="19" t="s">
        <v>22833</v>
      </c>
      <c r="CB3119" s="19" t="s">
        <v>22834</v>
      </c>
      <c r="CC3119" s="23"/>
      <c r="CD3119" s="19" t="s">
        <v>22835</v>
      </c>
      <c r="CE3119" s="23"/>
      <c r="CF3119" s="23"/>
      <c r="CG3119" s="23"/>
      <c r="CH3119" s="23"/>
      <c r="CI3119" s="23"/>
    </row>
    <row r="3120" spans="1:87" x14ac:dyDescent="0.3">
      <c r="A3120" s="9" t="s">
        <v>22836</v>
      </c>
      <c r="B3120" s="10" t="s">
        <v>22837</v>
      </c>
      <c r="C3120" s="11">
        <v>46021.34375</v>
      </c>
      <c r="D3120" s="12">
        <v>0.14583333333333334</v>
      </c>
      <c r="E3120" s="11">
        <v>46021.489583333336</v>
      </c>
      <c r="F3120" s="22" t="s">
        <v>15270</v>
      </c>
      <c r="G3120" s="13" t="b">
        <v>0</v>
      </c>
      <c r="H3120" s="22" t="s">
        <v>15271</v>
      </c>
      <c r="I3120" s="10" t="s">
        <v>3213</v>
      </c>
      <c r="J3120" s="13" t="b">
        <v>0</v>
      </c>
      <c r="K3120" s="13" t="b">
        <v>1</v>
      </c>
      <c r="L3120" s="10" t="s">
        <v>124</v>
      </c>
      <c r="M3120" s="10" t="s">
        <v>91</v>
      </c>
      <c r="N3120" s="10" t="s">
        <v>92</v>
      </c>
      <c r="O3120" s="19" t="s">
        <v>22838</v>
      </c>
      <c r="P3120" s="10" t="s">
        <v>3215</v>
      </c>
      <c r="Q3120" s="10" t="s">
        <v>126</v>
      </c>
      <c r="R3120" s="10"/>
      <c r="S3120" s="19" t="s">
        <v>22839</v>
      </c>
      <c r="T3120" s="10"/>
      <c r="U3120" s="10" t="s">
        <v>15308</v>
      </c>
      <c r="V3120" s="10" t="s">
        <v>15519</v>
      </c>
      <c r="W3120" s="10" t="s">
        <v>15276</v>
      </c>
      <c r="X3120" s="10" t="s">
        <v>15277</v>
      </c>
      <c r="Y3120" s="10" t="s">
        <v>15277</v>
      </c>
      <c r="Z3120" s="10" t="s">
        <v>99</v>
      </c>
      <c r="AA3120" s="10" t="s">
        <v>131</v>
      </c>
      <c r="AB3120" s="10" t="s">
        <v>15278</v>
      </c>
      <c r="AC3120" s="10" t="s">
        <v>15279</v>
      </c>
      <c r="AD3120" s="10" t="s">
        <v>165</v>
      </c>
      <c r="AE3120" s="10" t="s">
        <v>22840</v>
      </c>
      <c r="AF3120" s="15"/>
      <c r="AG3120" s="10"/>
      <c r="AH3120" s="10"/>
      <c r="AI3120" s="10"/>
      <c r="AJ3120" s="10"/>
      <c r="AK3120" s="10" t="s">
        <v>102</v>
      </c>
      <c r="AL3120" s="10" t="s">
        <v>1988</v>
      </c>
      <c r="AM3120" s="10"/>
      <c r="AN3120" s="10"/>
      <c r="AO3120" s="13" t="b">
        <v>0</v>
      </c>
      <c r="AP3120" s="22" t="s">
        <v>104</v>
      </c>
      <c r="AQ3120" s="10">
        <f ca="1">IFERROR(__xludf.DUMMYFUNCTION("""COMPUTED_VALUE"""),4797275)</f>
        <v>4797275</v>
      </c>
      <c r="AR3120" s="17">
        <v>3363</v>
      </c>
      <c r="AS3120" s="17">
        <v>2609</v>
      </c>
      <c r="AT3120" s="17">
        <v>53704.25</v>
      </c>
      <c r="AU3120" s="17">
        <v>6.1</v>
      </c>
      <c r="AV3120" s="17">
        <v>0.75</v>
      </c>
      <c r="AW3120" s="10" t="s">
        <v>105</v>
      </c>
      <c r="AX3120" s="17">
        <v>508</v>
      </c>
      <c r="AY3120" s="18">
        <v>20.5842276734381</v>
      </c>
      <c r="AZ3120" s="10"/>
      <c r="BA3120" s="20" t="b">
        <v>0</v>
      </c>
      <c r="BB3120" s="10"/>
      <c r="BC3120" s="17">
        <v>3363</v>
      </c>
      <c r="BD3120" s="17">
        <v>2609</v>
      </c>
      <c r="BE3120" s="17">
        <v>53704.25</v>
      </c>
      <c r="BF3120" s="17">
        <v>0.75</v>
      </c>
      <c r="BG3120" s="11">
        <f ca="1">IFERROR(__xludf.DUMMYFUNCTION("""COMPUTED_VALUE"""),46021.34375)</f>
        <v>46021.34375</v>
      </c>
      <c r="BH3120" s="17" t="s">
        <v>105</v>
      </c>
      <c r="BI3120" s="17"/>
      <c r="BJ3120" s="15"/>
      <c r="BK3120" s="15"/>
      <c r="BL3120" s="13" t="b">
        <v>0</v>
      </c>
      <c r="BM3120" s="10"/>
      <c r="BN3120" s="10" t="s">
        <v>137</v>
      </c>
      <c r="BO3120" s="11">
        <v>46008.564583333333</v>
      </c>
      <c r="BP3120" s="11">
        <v>46008.564733796295</v>
      </c>
      <c r="BQ3120" s="15">
        <v>46014.526967592596</v>
      </c>
      <c r="BR3120" s="15">
        <v>46018.685787037037</v>
      </c>
      <c r="BS3120" s="10" t="s">
        <v>137</v>
      </c>
      <c r="BT3120" s="10"/>
      <c r="BU3120" s="10"/>
      <c r="BV3120" s="10"/>
      <c r="BW3120" s="10"/>
      <c r="BX3120" s="10"/>
      <c r="BY3120" s="23"/>
      <c r="BZ3120" s="23"/>
      <c r="CA3120" s="19" t="s">
        <v>22841</v>
      </c>
      <c r="CB3120" s="19" t="s">
        <v>22842</v>
      </c>
      <c r="CC3120" s="23"/>
      <c r="CD3120" s="19" t="s">
        <v>22843</v>
      </c>
      <c r="CE3120" s="23"/>
      <c r="CF3120" s="23"/>
      <c r="CG3120" s="23"/>
      <c r="CH3120" s="23"/>
      <c r="CI3120" s="23"/>
    </row>
    <row r="3121" spans="1:87" x14ac:dyDescent="0.3">
      <c r="A3121" s="9" t="s">
        <v>22844</v>
      </c>
      <c r="B3121" s="10" t="s">
        <v>22845</v>
      </c>
      <c r="C3121" s="11">
        <v>46018.020833333336</v>
      </c>
      <c r="D3121" s="12">
        <v>8.3333333333333329E-2</v>
      </c>
      <c r="E3121" s="11">
        <v>46018.104166666664</v>
      </c>
      <c r="F3121" s="22" t="s">
        <v>9129</v>
      </c>
      <c r="G3121" s="13" t="b">
        <v>0</v>
      </c>
      <c r="H3121" s="22" t="s">
        <v>9130</v>
      </c>
      <c r="I3121" s="10" t="s">
        <v>9131</v>
      </c>
      <c r="J3121" s="13" t="b">
        <v>0</v>
      </c>
      <c r="K3121" s="13" t="b">
        <v>1</v>
      </c>
      <c r="L3121" s="10" t="s">
        <v>124</v>
      </c>
      <c r="M3121" s="10" t="s">
        <v>91</v>
      </c>
      <c r="N3121" s="10" t="s">
        <v>265</v>
      </c>
      <c r="O3121" s="19" t="s">
        <v>22846</v>
      </c>
      <c r="P3121" s="10"/>
      <c r="Q3121" s="10" t="s">
        <v>94</v>
      </c>
      <c r="R3121" s="10"/>
      <c r="S3121" s="10"/>
      <c r="T3121" s="10"/>
      <c r="U3121" s="10" t="s">
        <v>9149</v>
      </c>
      <c r="V3121" s="10" t="s">
        <v>20167</v>
      </c>
      <c r="W3121" s="10" t="s">
        <v>9136</v>
      </c>
      <c r="X3121" s="10" t="s">
        <v>130</v>
      </c>
      <c r="Y3121" s="10" t="s">
        <v>130</v>
      </c>
      <c r="Z3121" s="10" t="s">
        <v>99</v>
      </c>
      <c r="AA3121" s="10" t="s">
        <v>131</v>
      </c>
      <c r="AB3121" s="10" t="s">
        <v>9137</v>
      </c>
      <c r="AC3121" s="10" t="s">
        <v>9138</v>
      </c>
      <c r="AD3121" s="10" t="s">
        <v>22847</v>
      </c>
      <c r="AE3121" s="10" t="s">
        <v>22848</v>
      </c>
      <c r="AF3121" s="15"/>
      <c r="AG3121" s="10"/>
      <c r="AH3121" s="10"/>
      <c r="AI3121" s="10"/>
      <c r="AJ3121" s="10"/>
      <c r="AK3121" s="10" t="s">
        <v>102</v>
      </c>
      <c r="AL3121" s="10" t="s">
        <v>1360</v>
      </c>
      <c r="AM3121" s="10"/>
      <c r="AN3121" s="10"/>
      <c r="AO3121" s="13" t="b">
        <v>0</v>
      </c>
      <c r="AP3121" s="22" t="s">
        <v>104</v>
      </c>
      <c r="AQ3121" s="10">
        <f ca="1">IFERROR(__xludf.DUMMYFUNCTION("""COMPUTED_VALUE"""),4795164)</f>
        <v>4795164</v>
      </c>
      <c r="AR3121" s="17">
        <v>6995</v>
      </c>
      <c r="AS3121" s="17">
        <v>5742</v>
      </c>
      <c r="AT3121" s="17">
        <v>112572.75</v>
      </c>
      <c r="AU3121" s="17">
        <v>26.9</v>
      </c>
      <c r="AV3121" s="17">
        <v>4.25</v>
      </c>
      <c r="AW3121" s="10" t="s">
        <v>105</v>
      </c>
      <c r="AX3121" s="17">
        <v>955</v>
      </c>
      <c r="AY3121" s="18">
        <v>19.605146290491117</v>
      </c>
      <c r="AZ3121" s="10"/>
      <c r="BA3121" s="20" t="b">
        <v>0</v>
      </c>
      <c r="BB3121" s="10"/>
      <c r="BC3121" s="17">
        <v>6995</v>
      </c>
      <c r="BD3121" s="17">
        <v>5742</v>
      </c>
      <c r="BE3121" s="17">
        <v>112572.75</v>
      </c>
      <c r="BF3121" s="17">
        <v>4.25</v>
      </c>
      <c r="BG3121" s="11">
        <f ca="1">IFERROR(__xludf.DUMMYFUNCTION("""COMPUTED_VALUE"""),46018.0208333333)</f>
        <v>46018.020833333299</v>
      </c>
      <c r="BH3121" s="17" t="s">
        <v>105</v>
      </c>
      <c r="BI3121" s="17"/>
      <c r="BJ3121" s="15"/>
      <c r="BK3121" s="15"/>
      <c r="BL3121" s="13" t="b">
        <v>0</v>
      </c>
      <c r="BM3121" s="10"/>
      <c r="BN3121" s="10" t="s">
        <v>197</v>
      </c>
      <c r="BO3121" s="11">
        <v>46008.643750000003</v>
      </c>
      <c r="BP3121" s="11">
        <v>46008.644143518519</v>
      </c>
      <c r="BQ3121" s="15"/>
      <c r="BR3121" s="15">
        <v>46017.477858796294</v>
      </c>
      <c r="BS3121" s="10" t="s">
        <v>197</v>
      </c>
      <c r="BT3121" s="10" t="s">
        <v>279</v>
      </c>
      <c r="BU3121" s="10" t="s">
        <v>5492</v>
      </c>
      <c r="BV3121" s="10"/>
      <c r="BW3121" s="10"/>
      <c r="BX3121" s="10"/>
      <c r="BY3121" s="23"/>
      <c r="BZ3121" s="23"/>
      <c r="CA3121" s="19" t="s">
        <v>22849</v>
      </c>
      <c r="CB3121" s="23"/>
      <c r="CC3121" s="23"/>
      <c r="CD3121" s="23"/>
      <c r="CE3121" s="23"/>
      <c r="CF3121" s="23"/>
      <c r="CG3121" s="23"/>
      <c r="CH3121" s="23"/>
      <c r="CI3121" s="23"/>
    </row>
    <row r="3122" spans="1:87" x14ac:dyDescent="0.3">
      <c r="A3122" s="9" t="s">
        <v>22850</v>
      </c>
      <c r="B3122" s="10" t="s">
        <v>22851</v>
      </c>
      <c r="C3122" s="11">
        <v>46019.020833333336</v>
      </c>
      <c r="D3122" s="12">
        <v>8.3333333333333329E-2</v>
      </c>
      <c r="E3122" s="11">
        <v>46019.104166666664</v>
      </c>
      <c r="F3122" s="22" t="s">
        <v>9129</v>
      </c>
      <c r="G3122" s="13" t="b">
        <v>0</v>
      </c>
      <c r="H3122" s="22" t="s">
        <v>9146</v>
      </c>
      <c r="I3122" s="10" t="s">
        <v>9131</v>
      </c>
      <c r="J3122" s="13" t="b">
        <v>0</v>
      </c>
      <c r="K3122" s="13" t="b">
        <v>1</v>
      </c>
      <c r="L3122" s="10" t="s">
        <v>124</v>
      </c>
      <c r="M3122" s="10" t="s">
        <v>91</v>
      </c>
      <c r="N3122" s="10" t="s">
        <v>265</v>
      </c>
      <c r="O3122" s="19" t="s">
        <v>22852</v>
      </c>
      <c r="P3122" s="10"/>
      <c r="Q3122" s="10" t="s">
        <v>126</v>
      </c>
      <c r="R3122" s="10"/>
      <c r="S3122" s="19" t="s">
        <v>22853</v>
      </c>
      <c r="T3122" s="10"/>
      <c r="U3122" s="10" t="s">
        <v>9134</v>
      </c>
      <c r="V3122" s="10" t="s">
        <v>18166</v>
      </c>
      <c r="W3122" s="10" t="s">
        <v>9136</v>
      </c>
      <c r="X3122" s="10" t="s">
        <v>130</v>
      </c>
      <c r="Y3122" s="10" t="s">
        <v>130</v>
      </c>
      <c r="Z3122" s="10" t="s">
        <v>99</v>
      </c>
      <c r="AA3122" s="10" t="s">
        <v>131</v>
      </c>
      <c r="AB3122" s="10" t="s">
        <v>9137</v>
      </c>
      <c r="AC3122" s="10" t="s">
        <v>9138</v>
      </c>
      <c r="AD3122" s="10" t="s">
        <v>20533</v>
      </c>
      <c r="AE3122" s="10" t="s">
        <v>22854</v>
      </c>
      <c r="AF3122" s="15"/>
      <c r="AG3122" s="10"/>
      <c r="AH3122" s="10"/>
      <c r="AI3122" s="10"/>
      <c r="AJ3122" s="10"/>
      <c r="AK3122" s="10" t="s">
        <v>102</v>
      </c>
      <c r="AL3122" s="10" t="s">
        <v>1360</v>
      </c>
      <c r="AM3122" s="10"/>
      <c r="AN3122" s="10"/>
      <c r="AO3122" s="13" t="b">
        <v>0</v>
      </c>
      <c r="AP3122" s="22" t="s">
        <v>104</v>
      </c>
      <c r="AQ3122" s="10">
        <f ca="1">IFERROR(__xludf.DUMMYFUNCTION("""COMPUTED_VALUE"""),4795181)</f>
        <v>4795181</v>
      </c>
      <c r="AR3122" s="17">
        <v>3816</v>
      </c>
      <c r="AS3122" s="17">
        <v>3246</v>
      </c>
      <c r="AT3122" s="17">
        <v>25496.25</v>
      </c>
      <c r="AU3122" s="17">
        <v>2.95</v>
      </c>
      <c r="AV3122" s="17">
        <v>0</v>
      </c>
      <c r="AW3122" s="10" t="s">
        <v>105</v>
      </c>
      <c r="AX3122" s="17">
        <v>566</v>
      </c>
      <c r="AY3122" s="18">
        <v>7.8546672828096122</v>
      </c>
      <c r="AZ3122" s="10" t="s">
        <v>185</v>
      </c>
      <c r="BA3122" s="20" t="b">
        <v>0</v>
      </c>
      <c r="BB3122" s="10"/>
      <c r="BC3122" s="17">
        <v>3816</v>
      </c>
      <c r="BD3122" s="17">
        <v>3246</v>
      </c>
      <c r="BE3122" s="17">
        <v>25496.25</v>
      </c>
      <c r="BF3122" s="17">
        <v>0</v>
      </c>
      <c r="BG3122" s="11">
        <f ca="1">IFERROR(__xludf.DUMMYFUNCTION("""COMPUTED_VALUE"""),46019.0208333333)</f>
        <v>46019.020833333299</v>
      </c>
      <c r="BH3122" s="17" t="s">
        <v>105</v>
      </c>
      <c r="BI3122" s="17"/>
      <c r="BJ3122" s="15"/>
      <c r="BK3122" s="15"/>
      <c r="BL3122" s="13" t="b">
        <v>0</v>
      </c>
      <c r="BM3122" s="10"/>
      <c r="BN3122" s="10" t="s">
        <v>667</v>
      </c>
      <c r="BO3122" s="11">
        <v>46008.647222222222</v>
      </c>
      <c r="BP3122" s="11">
        <v>46013.906793981485</v>
      </c>
      <c r="BQ3122" s="15">
        <v>46014.965416666666</v>
      </c>
      <c r="BR3122" s="15">
        <v>46017.555659722224</v>
      </c>
      <c r="BS3122" s="10" t="s">
        <v>667</v>
      </c>
      <c r="BT3122" s="10" t="s">
        <v>99</v>
      </c>
      <c r="BU3122" s="10" t="s">
        <v>9114</v>
      </c>
      <c r="BV3122" s="10"/>
      <c r="BW3122" s="10"/>
      <c r="BX3122" s="10"/>
      <c r="BY3122" s="23"/>
      <c r="BZ3122" s="23"/>
      <c r="CA3122" s="19" t="s">
        <v>22855</v>
      </c>
      <c r="CB3122" s="23"/>
      <c r="CC3122" s="23"/>
      <c r="CD3122" s="19" t="s">
        <v>22856</v>
      </c>
      <c r="CE3122" s="23"/>
      <c r="CF3122" s="23"/>
      <c r="CG3122" s="23"/>
      <c r="CH3122" s="23"/>
      <c r="CI3122" s="23"/>
    </row>
    <row r="3123" spans="1:87" x14ac:dyDescent="0.3">
      <c r="A3123" s="9" t="s">
        <v>22857</v>
      </c>
      <c r="B3123" s="10" t="s">
        <v>22858</v>
      </c>
      <c r="C3123" s="11">
        <v>46032.104166666664</v>
      </c>
      <c r="D3123" s="12">
        <v>8.3333333333333329E-2</v>
      </c>
      <c r="E3123" s="11">
        <v>46032.1875</v>
      </c>
      <c r="F3123" s="22" t="s">
        <v>17870</v>
      </c>
      <c r="G3123" s="13" t="b">
        <v>0</v>
      </c>
      <c r="H3123" s="22" t="s">
        <v>17871</v>
      </c>
      <c r="I3123" s="10" t="s">
        <v>3213</v>
      </c>
      <c r="J3123" s="13" t="b">
        <v>0</v>
      </c>
      <c r="K3123" s="13" t="b">
        <v>1</v>
      </c>
      <c r="L3123" s="10" t="s">
        <v>124</v>
      </c>
      <c r="M3123" s="10" t="s">
        <v>91</v>
      </c>
      <c r="N3123" s="10" t="s">
        <v>92</v>
      </c>
      <c r="O3123" s="19" t="s">
        <v>22859</v>
      </c>
      <c r="P3123" s="10"/>
      <c r="Q3123" s="10" t="s">
        <v>94</v>
      </c>
      <c r="R3123" s="10"/>
      <c r="S3123" s="10"/>
      <c r="T3123" s="10"/>
      <c r="U3123" s="10" t="s">
        <v>14645</v>
      </c>
      <c r="V3123" s="10" t="s">
        <v>22860</v>
      </c>
      <c r="W3123" s="10" t="s">
        <v>17876</v>
      </c>
      <c r="X3123" s="10" t="s">
        <v>130</v>
      </c>
      <c r="Y3123" s="10" t="s">
        <v>130</v>
      </c>
      <c r="Z3123" s="10" t="s">
        <v>99</v>
      </c>
      <c r="AA3123" s="10" t="s">
        <v>131</v>
      </c>
      <c r="AB3123" s="10" t="s">
        <v>17877</v>
      </c>
      <c r="AC3123" s="10" t="s">
        <v>7885</v>
      </c>
      <c r="AD3123" s="10" t="s">
        <v>22861</v>
      </c>
      <c r="AE3123" s="10" t="s">
        <v>22862</v>
      </c>
      <c r="AF3123" s="15"/>
      <c r="AG3123" s="10"/>
      <c r="AH3123" s="10"/>
      <c r="AI3123" s="10"/>
      <c r="AJ3123" s="10"/>
      <c r="AK3123" s="10" t="s">
        <v>102</v>
      </c>
      <c r="AL3123" s="10"/>
      <c r="AM3123" s="10"/>
      <c r="AN3123" s="10"/>
      <c r="AO3123" s="13" t="b">
        <v>0</v>
      </c>
      <c r="AP3123" s="22" t="s">
        <v>104</v>
      </c>
      <c r="AQ3123" s="10">
        <f ca="1">IFERROR(__xludf.DUMMYFUNCTION("""COMPUTED_VALUE"""),4832265)</f>
        <v>4832265</v>
      </c>
      <c r="AR3123" s="17">
        <v>894</v>
      </c>
      <c r="AS3123" s="17">
        <v>712</v>
      </c>
      <c r="AT3123" s="17">
        <v>2508.25</v>
      </c>
      <c r="AU3123" s="17">
        <v>0</v>
      </c>
      <c r="AV3123" s="17">
        <v>0</v>
      </c>
      <c r="AW3123" s="10" t="s">
        <v>105</v>
      </c>
      <c r="AX3123" s="17">
        <v>114</v>
      </c>
      <c r="AY3123" s="18">
        <v>3.5228230337078652</v>
      </c>
      <c r="AZ3123" s="10"/>
      <c r="BA3123" s="20" t="b">
        <v>0</v>
      </c>
      <c r="BB3123" s="10"/>
      <c r="BC3123" s="17">
        <v>894</v>
      </c>
      <c r="BD3123" s="17">
        <v>712</v>
      </c>
      <c r="BE3123" s="17">
        <v>2508.25</v>
      </c>
      <c r="BF3123" s="17">
        <v>0</v>
      </c>
      <c r="BG3123" s="11">
        <f ca="1">IFERROR(__xludf.DUMMYFUNCTION("""COMPUTED_VALUE"""),46032.1041666666)</f>
        <v>46032.104166666599</v>
      </c>
      <c r="BH3123" s="17" t="s">
        <v>105</v>
      </c>
      <c r="BI3123" s="17"/>
      <c r="BJ3123" s="15"/>
      <c r="BK3123" s="15"/>
      <c r="BL3123" s="13" t="b">
        <v>0</v>
      </c>
      <c r="BM3123" s="10"/>
      <c r="BN3123" s="10" t="s">
        <v>278</v>
      </c>
      <c r="BO3123" s="11">
        <v>46008.666666666664</v>
      </c>
      <c r="BP3123" s="11">
        <v>46008.720289351855</v>
      </c>
      <c r="BQ3123" s="15"/>
      <c r="BR3123" s="15">
        <v>46029.434351851851</v>
      </c>
      <c r="BS3123" s="10" t="s">
        <v>278</v>
      </c>
      <c r="BT3123" s="10" t="s">
        <v>99</v>
      </c>
      <c r="BU3123" s="10" t="s">
        <v>718</v>
      </c>
      <c r="BV3123" s="10"/>
      <c r="BW3123" s="10"/>
      <c r="BX3123" s="10"/>
      <c r="BY3123" s="23"/>
      <c r="BZ3123" s="23"/>
      <c r="CA3123" s="19" t="s">
        <v>22863</v>
      </c>
      <c r="CB3123" s="19" t="s">
        <v>22864</v>
      </c>
      <c r="CC3123" s="23"/>
      <c r="CD3123" s="23"/>
      <c r="CE3123" s="23"/>
      <c r="CF3123" s="23"/>
      <c r="CG3123" s="23"/>
      <c r="CH3123" s="23"/>
      <c r="CI3123" s="23"/>
    </row>
    <row r="3124" spans="1:87" x14ac:dyDescent="0.3">
      <c r="A3124" s="9" t="s">
        <v>22865</v>
      </c>
      <c r="B3124" s="10" t="s">
        <v>22866</v>
      </c>
      <c r="C3124" s="11">
        <v>46032.104166666664</v>
      </c>
      <c r="D3124" s="12">
        <v>8.3333333333333329E-2</v>
      </c>
      <c r="E3124" s="11">
        <v>46032.1875</v>
      </c>
      <c r="F3124" s="22" t="s">
        <v>17870</v>
      </c>
      <c r="G3124" s="13" t="b">
        <v>0</v>
      </c>
      <c r="H3124" s="22" t="s">
        <v>17871</v>
      </c>
      <c r="I3124" s="10" t="s">
        <v>3213</v>
      </c>
      <c r="J3124" s="13" t="b">
        <v>0</v>
      </c>
      <c r="K3124" s="13" t="b">
        <v>1</v>
      </c>
      <c r="L3124" s="10" t="s">
        <v>124</v>
      </c>
      <c r="M3124" s="10" t="s">
        <v>91</v>
      </c>
      <c r="N3124" s="10" t="s">
        <v>92</v>
      </c>
      <c r="O3124" s="19" t="s">
        <v>22867</v>
      </c>
      <c r="P3124" s="10"/>
      <c r="Q3124" s="10" t="s">
        <v>94</v>
      </c>
      <c r="R3124" s="10"/>
      <c r="S3124" s="10"/>
      <c r="T3124" s="10"/>
      <c r="U3124" s="10" t="s">
        <v>8878</v>
      </c>
      <c r="V3124" s="10" t="s">
        <v>22868</v>
      </c>
      <c r="W3124" s="10" t="s">
        <v>17876</v>
      </c>
      <c r="X3124" s="10" t="s">
        <v>130</v>
      </c>
      <c r="Y3124" s="10" t="s">
        <v>130</v>
      </c>
      <c r="Z3124" s="10" t="s">
        <v>99</v>
      </c>
      <c r="AA3124" s="10" t="s">
        <v>131</v>
      </c>
      <c r="AB3124" s="10" t="s">
        <v>17877</v>
      </c>
      <c r="AC3124" s="10" t="s">
        <v>7885</v>
      </c>
      <c r="AD3124" s="10" t="s">
        <v>22869</v>
      </c>
      <c r="AE3124" s="10" t="s">
        <v>22870</v>
      </c>
      <c r="AF3124" s="15"/>
      <c r="AG3124" s="10"/>
      <c r="AH3124" s="10"/>
      <c r="AI3124" s="10"/>
      <c r="AJ3124" s="10"/>
      <c r="AK3124" s="10" t="s">
        <v>102</v>
      </c>
      <c r="AL3124" s="10"/>
      <c r="AM3124" s="10"/>
      <c r="AN3124" s="10"/>
      <c r="AO3124" s="13" t="b">
        <v>0</v>
      </c>
      <c r="AP3124" s="22" t="s">
        <v>104</v>
      </c>
      <c r="AQ3124" s="10">
        <f ca="1">IFERROR(__xludf.DUMMYFUNCTION("""COMPUTED_VALUE"""),4832268)</f>
        <v>4832268</v>
      </c>
      <c r="AR3124" s="17">
        <v>996</v>
      </c>
      <c r="AS3124" s="17">
        <v>716</v>
      </c>
      <c r="AT3124" s="17">
        <v>4628.5</v>
      </c>
      <c r="AU3124" s="17">
        <v>0.15</v>
      </c>
      <c r="AV3124" s="17">
        <v>0</v>
      </c>
      <c r="AW3124" s="10" t="s">
        <v>105</v>
      </c>
      <c r="AX3124" s="17">
        <v>132</v>
      </c>
      <c r="AY3124" s="18">
        <v>6.4643854748603351</v>
      </c>
      <c r="AZ3124" s="10"/>
      <c r="BA3124" s="20" t="b">
        <v>0</v>
      </c>
      <c r="BB3124" s="10"/>
      <c r="BC3124" s="17">
        <v>996</v>
      </c>
      <c r="BD3124" s="17">
        <v>716</v>
      </c>
      <c r="BE3124" s="17">
        <v>4628.5</v>
      </c>
      <c r="BF3124" s="17">
        <v>0</v>
      </c>
      <c r="BG3124" s="11">
        <f ca="1">IFERROR(__xludf.DUMMYFUNCTION("""COMPUTED_VALUE"""),46032.1041666666)</f>
        <v>46032.104166666599</v>
      </c>
      <c r="BH3124" s="17" t="s">
        <v>105</v>
      </c>
      <c r="BI3124" s="17"/>
      <c r="BJ3124" s="15"/>
      <c r="BK3124" s="15"/>
      <c r="BL3124" s="13" t="b">
        <v>0</v>
      </c>
      <c r="BM3124" s="10"/>
      <c r="BN3124" s="10" t="s">
        <v>278</v>
      </c>
      <c r="BO3124" s="11">
        <v>46008.668055555558</v>
      </c>
      <c r="BP3124" s="11">
        <v>46008.719918981478</v>
      </c>
      <c r="BQ3124" s="15"/>
      <c r="BR3124" s="15">
        <v>46029.43445601852</v>
      </c>
      <c r="BS3124" s="10" t="s">
        <v>278</v>
      </c>
      <c r="BT3124" s="10" t="s">
        <v>99</v>
      </c>
      <c r="BU3124" s="10" t="s">
        <v>298</v>
      </c>
      <c r="BV3124" s="10"/>
      <c r="BW3124" s="10"/>
      <c r="BX3124" s="10"/>
      <c r="BY3124" s="23"/>
      <c r="BZ3124" s="23"/>
      <c r="CA3124" s="19" t="s">
        <v>22871</v>
      </c>
      <c r="CB3124" s="19" t="s">
        <v>22872</v>
      </c>
      <c r="CC3124" s="23"/>
      <c r="CD3124" s="23"/>
      <c r="CE3124" s="23"/>
      <c r="CF3124" s="23"/>
      <c r="CG3124" s="23"/>
      <c r="CH3124" s="23"/>
      <c r="CI3124" s="23"/>
    </row>
    <row r="3125" spans="1:87" x14ac:dyDescent="0.3">
      <c r="A3125" s="9" t="s">
        <v>22873</v>
      </c>
      <c r="B3125" s="10" t="s">
        <v>22874</v>
      </c>
      <c r="C3125" s="11">
        <v>46032.802083333336</v>
      </c>
      <c r="D3125" s="12">
        <v>8.3333333333333329E-2</v>
      </c>
      <c r="E3125" s="11">
        <v>46032.885416666664</v>
      </c>
      <c r="F3125" s="22" t="s">
        <v>17870</v>
      </c>
      <c r="G3125" s="13" t="b">
        <v>0</v>
      </c>
      <c r="H3125" s="22" t="s">
        <v>17871</v>
      </c>
      <c r="I3125" s="10" t="s">
        <v>3213</v>
      </c>
      <c r="J3125" s="13" t="b">
        <v>0</v>
      </c>
      <c r="K3125" s="13" t="b">
        <v>1</v>
      </c>
      <c r="L3125" s="10" t="s">
        <v>124</v>
      </c>
      <c r="M3125" s="10" t="s">
        <v>91</v>
      </c>
      <c r="N3125" s="10" t="s">
        <v>92</v>
      </c>
      <c r="O3125" s="19" t="s">
        <v>22875</v>
      </c>
      <c r="P3125" s="10"/>
      <c r="Q3125" s="10" t="s">
        <v>94</v>
      </c>
      <c r="R3125" s="10"/>
      <c r="S3125" s="10"/>
      <c r="T3125" s="10"/>
      <c r="U3125" s="10" t="s">
        <v>22876</v>
      </c>
      <c r="V3125" s="10" t="s">
        <v>20460</v>
      </c>
      <c r="W3125" s="10" t="s">
        <v>17876</v>
      </c>
      <c r="X3125" s="10" t="s">
        <v>130</v>
      </c>
      <c r="Y3125" s="10" t="s">
        <v>130</v>
      </c>
      <c r="Z3125" s="10" t="s">
        <v>99</v>
      </c>
      <c r="AA3125" s="10" t="s">
        <v>131</v>
      </c>
      <c r="AB3125" s="10" t="s">
        <v>17877</v>
      </c>
      <c r="AC3125" s="10" t="s">
        <v>7885</v>
      </c>
      <c r="AD3125" s="10" t="s">
        <v>22877</v>
      </c>
      <c r="AE3125" s="10" t="s">
        <v>22878</v>
      </c>
      <c r="AF3125" s="15"/>
      <c r="AG3125" s="10"/>
      <c r="AH3125" s="10"/>
      <c r="AI3125" s="10"/>
      <c r="AJ3125" s="10"/>
      <c r="AK3125" s="10" t="s">
        <v>102</v>
      </c>
      <c r="AL3125" s="10"/>
      <c r="AM3125" s="10"/>
      <c r="AN3125" s="10"/>
      <c r="AO3125" s="13" t="b">
        <v>0</v>
      </c>
      <c r="AP3125" s="22" t="s">
        <v>104</v>
      </c>
      <c r="AQ3125" s="10">
        <f ca="1">IFERROR(__xludf.DUMMYFUNCTION("""COMPUTED_VALUE"""),4832316)</f>
        <v>4832316</v>
      </c>
      <c r="AR3125" s="17">
        <v>4838</v>
      </c>
      <c r="AS3125" s="17">
        <v>4208</v>
      </c>
      <c r="AT3125" s="17">
        <v>11603.25</v>
      </c>
      <c r="AU3125" s="17">
        <v>3.15</v>
      </c>
      <c r="AV3125" s="17">
        <v>1.45</v>
      </c>
      <c r="AW3125" s="10" t="s">
        <v>105</v>
      </c>
      <c r="AX3125" s="17">
        <v>449</v>
      </c>
      <c r="AY3125" s="18">
        <v>2.757426330798479</v>
      </c>
      <c r="AZ3125" s="10"/>
      <c r="BA3125" s="20" t="b">
        <v>0</v>
      </c>
      <c r="BB3125" s="10"/>
      <c r="BC3125" s="17">
        <v>4838</v>
      </c>
      <c r="BD3125" s="17">
        <v>4208</v>
      </c>
      <c r="BE3125" s="17">
        <v>11603.25</v>
      </c>
      <c r="BF3125" s="17">
        <v>1.45</v>
      </c>
      <c r="BG3125" s="11">
        <f ca="1">IFERROR(__xludf.DUMMYFUNCTION("""COMPUTED_VALUE"""),46032.8020833333)</f>
        <v>46032.802083333299</v>
      </c>
      <c r="BH3125" s="17" t="s">
        <v>105</v>
      </c>
      <c r="BI3125" s="17"/>
      <c r="BJ3125" s="15"/>
      <c r="BK3125" s="15"/>
      <c r="BL3125" s="13" t="b">
        <v>0</v>
      </c>
      <c r="BM3125" s="10"/>
      <c r="BN3125" s="10" t="s">
        <v>149</v>
      </c>
      <c r="BO3125" s="11">
        <v>46008.67291666667</v>
      </c>
      <c r="BP3125" s="11">
        <v>46008.716620370367</v>
      </c>
      <c r="BQ3125" s="15"/>
      <c r="BR3125" s="15">
        <v>46029.650335648148</v>
      </c>
      <c r="BS3125" s="10" t="s">
        <v>149</v>
      </c>
      <c r="BT3125" s="10" t="s">
        <v>99</v>
      </c>
      <c r="BU3125" s="10" t="s">
        <v>793</v>
      </c>
      <c r="BV3125" s="10"/>
      <c r="BW3125" s="10"/>
      <c r="BX3125" s="10"/>
      <c r="BY3125" s="23"/>
      <c r="BZ3125" s="23"/>
      <c r="CA3125" s="19" t="s">
        <v>22879</v>
      </c>
      <c r="CB3125" s="19" t="s">
        <v>22880</v>
      </c>
      <c r="CC3125" s="23"/>
      <c r="CD3125" s="23"/>
      <c r="CE3125" s="23"/>
      <c r="CF3125" s="23"/>
      <c r="CG3125" s="23"/>
      <c r="CH3125" s="23"/>
      <c r="CI3125" s="23"/>
    </row>
    <row r="3126" spans="1:87" x14ac:dyDescent="0.3">
      <c r="A3126" s="9" t="s">
        <v>22881</v>
      </c>
      <c r="B3126" s="10" t="s">
        <v>22882</v>
      </c>
      <c r="C3126" s="11">
        <v>46032.916666666664</v>
      </c>
      <c r="D3126" s="12">
        <v>8.3333333333333329E-2</v>
      </c>
      <c r="E3126" s="11">
        <v>46033</v>
      </c>
      <c r="F3126" s="22" t="s">
        <v>17870</v>
      </c>
      <c r="G3126" s="13" t="b">
        <v>0</v>
      </c>
      <c r="H3126" s="22" t="s">
        <v>17871</v>
      </c>
      <c r="I3126" s="10" t="s">
        <v>3213</v>
      </c>
      <c r="J3126" s="13" t="b">
        <v>0</v>
      </c>
      <c r="K3126" s="13" t="b">
        <v>1</v>
      </c>
      <c r="L3126" s="10" t="s">
        <v>124</v>
      </c>
      <c r="M3126" s="10" t="s">
        <v>91</v>
      </c>
      <c r="N3126" s="10" t="s">
        <v>92</v>
      </c>
      <c r="O3126" s="19" t="s">
        <v>22883</v>
      </c>
      <c r="P3126" s="10"/>
      <c r="Q3126" s="10" t="s">
        <v>94</v>
      </c>
      <c r="R3126" s="10"/>
      <c r="S3126" s="10"/>
      <c r="T3126" s="10"/>
      <c r="U3126" s="10" t="s">
        <v>19407</v>
      </c>
      <c r="V3126" s="10" t="s">
        <v>19433</v>
      </c>
      <c r="W3126" s="10" t="s">
        <v>17876</v>
      </c>
      <c r="X3126" s="10" t="s">
        <v>130</v>
      </c>
      <c r="Y3126" s="10" t="s">
        <v>130</v>
      </c>
      <c r="Z3126" s="10" t="s">
        <v>99</v>
      </c>
      <c r="AA3126" s="10" t="s">
        <v>131</v>
      </c>
      <c r="AB3126" s="10" t="s">
        <v>17877</v>
      </c>
      <c r="AC3126" s="10" t="s">
        <v>7885</v>
      </c>
      <c r="AD3126" s="10" t="s">
        <v>22884</v>
      </c>
      <c r="AE3126" s="10" t="s">
        <v>22885</v>
      </c>
      <c r="AF3126" s="15"/>
      <c r="AG3126" s="10"/>
      <c r="AH3126" s="10"/>
      <c r="AI3126" s="10"/>
      <c r="AJ3126" s="10"/>
      <c r="AK3126" s="10" t="s">
        <v>102</v>
      </c>
      <c r="AL3126" s="10"/>
      <c r="AM3126" s="10"/>
      <c r="AN3126" s="10"/>
      <c r="AO3126" s="13" t="b">
        <v>0</v>
      </c>
      <c r="AP3126" s="22" t="s">
        <v>104</v>
      </c>
      <c r="AQ3126" s="10">
        <f ca="1">IFERROR(__xludf.DUMMYFUNCTION("""COMPUTED_VALUE"""),4832302)</f>
        <v>4832302</v>
      </c>
      <c r="AR3126" s="17">
        <v>2142</v>
      </c>
      <c r="AS3126" s="17">
        <v>1915</v>
      </c>
      <c r="AT3126" s="17">
        <v>4213.25</v>
      </c>
      <c r="AU3126" s="17">
        <v>1</v>
      </c>
      <c r="AV3126" s="17">
        <v>0.25</v>
      </c>
      <c r="AW3126" s="10" t="s">
        <v>105</v>
      </c>
      <c r="AX3126" s="17">
        <v>153</v>
      </c>
      <c r="AY3126" s="18">
        <v>2.2001305483028721</v>
      </c>
      <c r="AZ3126" s="10"/>
      <c r="BA3126" s="20" t="b">
        <v>0</v>
      </c>
      <c r="BB3126" s="10"/>
      <c r="BC3126" s="17">
        <v>2142</v>
      </c>
      <c r="BD3126" s="17">
        <v>1915</v>
      </c>
      <c r="BE3126" s="17">
        <v>4213.25</v>
      </c>
      <c r="BF3126" s="17">
        <v>0.25</v>
      </c>
      <c r="BG3126" s="11">
        <f ca="1">IFERROR(__xludf.DUMMYFUNCTION("""COMPUTED_VALUE"""),46032.9166666666)</f>
        <v>46032.916666666599</v>
      </c>
      <c r="BH3126" s="17" t="s">
        <v>105</v>
      </c>
      <c r="BI3126" s="17"/>
      <c r="BJ3126" s="15"/>
      <c r="BK3126" s="15"/>
      <c r="BL3126" s="13" t="b">
        <v>0</v>
      </c>
      <c r="BM3126" s="10"/>
      <c r="BN3126" s="10" t="s">
        <v>667</v>
      </c>
      <c r="BO3126" s="11">
        <v>46008.675694444442</v>
      </c>
      <c r="BP3126" s="11">
        <v>46008.676296296297</v>
      </c>
      <c r="BQ3126" s="15"/>
      <c r="BR3126" s="15">
        <v>46029.487696759257</v>
      </c>
      <c r="BS3126" s="10" t="s">
        <v>667</v>
      </c>
      <c r="BT3126" s="10" t="s">
        <v>99</v>
      </c>
      <c r="BU3126" s="10" t="s">
        <v>498</v>
      </c>
      <c r="BV3126" s="10"/>
      <c r="BW3126" s="10"/>
      <c r="BX3126" s="10"/>
      <c r="BY3126" s="23"/>
      <c r="BZ3126" s="23"/>
      <c r="CA3126" s="19" t="s">
        <v>22886</v>
      </c>
      <c r="CB3126" s="19" t="s">
        <v>22887</v>
      </c>
      <c r="CC3126" s="23"/>
      <c r="CD3126" s="23"/>
      <c r="CE3126" s="23"/>
      <c r="CF3126" s="23"/>
      <c r="CG3126" s="23"/>
      <c r="CH3126" s="23"/>
      <c r="CI3126" s="23"/>
    </row>
    <row r="3127" spans="1:87" x14ac:dyDescent="0.3">
      <c r="A3127" s="9" t="s">
        <v>22888</v>
      </c>
      <c r="B3127" s="10" t="s">
        <v>22889</v>
      </c>
      <c r="C3127" s="11">
        <v>46032.916666666664</v>
      </c>
      <c r="D3127" s="12">
        <v>8.3333333333333329E-2</v>
      </c>
      <c r="E3127" s="11">
        <v>46033</v>
      </c>
      <c r="F3127" s="22" t="s">
        <v>17870</v>
      </c>
      <c r="G3127" s="13" t="b">
        <v>0</v>
      </c>
      <c r="H3127" s="22" t="s">
        <v>17871</v>
      </c>
      <c r="I3127" s="10" t="s">
        <v>3213</v>
      </c>
      <c r="J3127" s="13" t="b">
        <v>0</v>
      </c>
      <c r="K3127" s="13" t="b">
        <v>1</v>
      </c>
      <c r="L3127" s="10" t="s">
        <v>124</v>
      </c>
      <c r="M3127" s="10" t="s">
        <v>91</v>
      </c>
      <c r="N3127" s="10" t="s">
        <v>92</v>
      </c>
      <c r="O3127" s="19" t="s">
        <v>22890</v>
      </c>
      <c r="P3127" s="10"/>
      <c r="Q3127" s="10" t="s">
        <v>94</v>
      </c>
      <c r="R3127" s="10"/>
      <c r="S3127" s="10"/>
      <c r="T3127" s="10"/>
      <c r="U3127" s="10" t="s">
        <v>14635</v>
      </c>
      <c r="V3127" s="10" t="s">
        <v>7632</v>
      </c>
      <c r="W3127" s="10" t="s">
        <v>17876</v>
      </c>
      <c r="X3127" s="10" t="s">
        <v>130</v>
      </c>
      <c r="Y3127" s="10" t="s">
        <v>130</v>
      </c>
      <c r="Z3127" s="10" t="s">
        <v>99</v>
      </c>
      <c r="AA3127" s="10" t="s">
        <v>131</v>
      </c>
      <c r="AB3127" s="10" t="s">
        <v>17877</v>
      </c>
      <c r="AC3127" s="10" t="s">
        <v>7885</v>
      </c>
      <c r="AD3127" s="10" t="s">
        <v>22891</v>
      </c>
      <c r="AE3127" s="10" t="s">
        <v>22892</v>
      </c>
      <c r="AF3127" s="15"/>
      <c r="AG3127" s="10"/>
      <c r="AH3127" s="10"/>
      <c r="AI3127" s="10"/>
      <c r="AJ3127" s="10"/>
      <c r="AK3127" s="10" t="s">
        <v>102</v>
      </c>
      <c r="AL3127" s="10"/>
      <c r="AM3127" s="10"/>
      <c r="AN3127" s="10"/>
      <c r="AO3127" s="13" t="b">
        <v>0</v>
      </c>
      <c r="AP3127" s="22" t="s">
        <v>104</v>
      </c>
      <c r="AQ3127" s="10">
        <f ca="1">IFERROR(__xludf.DUMMYFUNCTION("""COMPUTED_VALUE"""),4832304)</f>
        <v>4832304</v>
      </c>
      <c r="AR3127" s="17">
        <v>2281</v>
      </c>
      <c r="AS3127" s="17">
        <v>2005</v>
      </c>
      <c r="AT3127" s="17">
        <v>4639.25</v>
      </c>
      <c r="AU3127" s="17">
        <v>2.1</v>
      </c>
      <c r="AV3127" s="17">
        <v>0.75</v>
      </c>
      <c r="AW3127" s="10" t="s">
        <v>105</v>
      </c>
      <c r="AX3127" s="17">
        <v>240</v>
      </c>
      <c r="AY3127" s="18">
        <v>2.3138403990024936</v>
      </c>
      <c r="AZ3127" s="10"/>
      <c r="BA3127" s="20" t="b">
        <v>0</v>
      </c>
      <c r="BB3127" s="10"/>
      <c r="BC3127" s="17">
        <v>2281</v>
      </c>
      <c r="BD3127" s="17">
        <v>2005</v>
      </c>
      <c r="BE3127" s="17">
        <v>4639.25</v>
      </c>
      <c r="BF3127" s="17">
        <v>0.75</v>
      </c>
      <c r="BG3127" s="11">
        <f ca="1">IFERROR(__xludf.DUMMYFUNCTION("""COMPUTED_VALUE"""),46032.9166666666)</f>
        <v>46032.916666666599</v>
      </c>
      <c r="BH3127" s="17" t="s">
        <v>105</v>
      </c>
      <c r="BI3127" s="17"/>
      <c r="BJ3127" s="15"/>
      <c r="BK3127" s="15"/>
      <c r="BL3127" s="13" t="b">
        <v>0</v>
      </c>
      <c r="BM3127" s="10"/>
      <c r="BN3127" s="10" t="s">
        <v>667</v>
      </c>
      <c r="BO3127" s="11">
        <v>46008.676388888889</v>
      </c>
      <c r="BP3127" s="11">
        <v>46008.676747685182</v>
      </c>
      <c r="BQ3127" s="15"/>
      <c r="BR3127" s="15">
        <v>46029.48810185185</v>
      </c>
      <c r="BS3127" s="10" t="s">
        <v>667</v>
      </c>
      <c r="BT3127" s="10" t="s">
        <v>99</v>
      </c>
      <c r="BU3127" s="10" t="s">
        <v>456</v>
      </c>
      <c r="BV3127" s="10"/>
      <c r="BW3127" s="10"/>
      <c r="BX3127" s="10"/>
      <c r="BY3127" s="23"/>
      <c r="BZ3127" s="23"/>
      <c r="CA3127" s="19" t="s">
        <v>22893</v>
      </c>
      <c r="CB3127" s="19" t="s">
        <v>22894</v>
      </c>
      <c r="CC3127" s="23"/>
      <c r="CD3127" s="23"/>
      <c r="CE3127" s="23"/>
      <c r="CF3127" s="23"/>
      <c r="CG3127" s="23"/>
      <c r="CH3127" s="23"/>
      <c r="CI3127" s="23"/>
    </row>
    <row r="3128" spans="1:87" x14ac:dyDescent="0.3">
      <c r="A3128" s="9" t="s">
        <v>22895</v>
      </c>
      <c r="B3128" s="10" t="s">
        <v>22896</v>
      </c>
      <c r="C3128" s="11">
        <v>46032.916666666664</v>
      </c>
      <c r="D3128" s="12">
        <v>8.3333333333333329E-2</v>
      </c>
      <c r="E3128" s="11">
        <v>46033</v>
      </c>
      <c r="F3128" s="22" t="s">
        <v>17870</v>
      </c>
      <c r="G3128" s="13" t="b">
        <v>0</v>
      </c>
      <c r="H3128" s="22" t="s">
        <v>17871</v>
      </c>
      <c r="I3128" s="10" t="s">
        <v>3213</v>
      </c>
      <c r="J3128" s="13" t="b">
        <v>0</v>
      </c>
      <c r="K3128" s="13" t="b">
        <v>1</v>
      </c>
      <c r="L3128" s="10" t="s">
        <v>124</v>
      </c>
      <c r="M3128" s="10" t="s">
        <v>91</v>
      </c>
      <c r="N3128" s="10" t="s">
        <v>92</v>
      </c>
      <c r="O3128" s="19" t="s">
        <v>22897</v>
      </c>
      <c r="P3128" s="10"/>
      <c r="Q3128" s="10" t="s">
        <v>94</v>
      </c>
      <c r="R3128" s="10"/>
      <c r="S3128" s="10"/>
      <c r="T3128" s="10"/>
      <c r="U3128" s="10" t="s">
        <v>19374</v>
      </c>
      <c r="V3128" s="10" t="s">
        <v>22898</v>
      </c>
      <c r="W3128" s="10" t="s">
        <v>17876</v>
      </c>
      <c r="X3128" s="10" t="s">
        <v>130</v>
      </c>
      <c r="Y3128" s="10" t="s">
        <v>130</v>
      </c>
      <c r="Z3128" s="10" t="s">
        <v>99</v>
      </c>
      <c r="AA3128" s="10" t="s">
        <v>131</v>
      </c>
      <c r="AB3128" s="10" t="s">
        <v>17877</v>
      </c>
      <c r="AC3128" s="10" t="s">
        <v>7885</v>
      </c>
      <c r="AD3128" s="10" t="s">
        <v>22899</v>
      </c>
      <c r="AE3128" s="10" t="s">
        <v>22900</v>
      </c>
      <c r="AF3128" s="15"/>
      <c r="AG3128" s="10"/>
      <c r="AH3128" s="10"/>
      <c r="AI3128" s="10"/>
      <c r="AJ3128" s="10"/>
      <c r="AK3128" s="10" t="s">
        <v>256</v>
      </c>
      <c r="AL3128" s="10"/>
      <c r="AM3128" s="10"/>
      <c r="AN3128" s="10"/>
      <c r="AO3128" s="13" t="b">
        <v>0</v>
      </c>
      <c r="AP3128" s="22" t="s">
        <v>104</v>
      </c>
      <c r="AQ3128" s="10">
        <f ca="1">IFERROR(__xludf.DUMMYFUNCTION("""COMPUTED_VALUE"""),4832320)</f>
        <v>4832320</v>
      </c>
      <c r="AR3128" s="17"/>
      <c r="AS3128" s="17"/>
      <c r="AT3128" s="17"/>
      <c r="AU3128" s="17"/>
      <c r="AV3128" s="17"/>
      <c r="AW3128" s="10"/>
      <c r="AX3128" s="17"/>
      <c r="AY3128" s="18" t="s">
        <v>257</v>
      </c>
      <c r="AZ3128" s="10"/>
      <c r="BA3128" s="20" t="b">
        <v>0</v>
      </c>
      <c r="BB3128" s="10"/>
      <c r="BC3128" s="17" t="s">
        <v>257</v>
      </c>
      <c r="BD3128" s="17" t="s">
        <v>257</v>
      </c>
      <c r="BE3128" s="17" t="s">
        <v>257</v>
      </c>
      <c r="BF3128" s="17" t="s">
        <v>257</v>
      </c>
      <c r="BG3128" s="11">
        <f ca="1">IFERROR(__xludf.DUMMYFUNCTION("""COMPUTED_VALUE"""),46032.9166666666)</f>
        <v>46032.916666666599</v>
      </c>
      <c r="BH3128" s="17"/>
      <c r="BI3128" s="17"/>
      <c r="BJ3128" s="15"/>
      <c r="BK3128" s="15"/>
      <c r="BL3128" s="13" t="b">
        <v>0</v>
      </c>
      <c r="BM3128" s="10"/>
      <c r="BN3128" s="10" t="s">
        <v>351</v>
      </c>
      <c r="BO3128" s="11">
        <v>46008.678472222222</v>
      </c>
      <c r="BP3128" s="11">
        <v>46008.679444444446</v>
      </c>
      <c r="BQ3128" s="15"/>
      <c r="BR3128" s="15">
        <v>46029.655381944445</v>
      </c>
      <c r="BS3128" s="10"/>
      <c r="BT3128" s="10" t="s">
        <v>99</v>
      </c>
      <c r="BU3128" s="10"/>
      <c r="BV3128" s="10"/>
      <c r="BW3128" s="10"/>
      <c r="BX3128" s="10"/>
      <c r="BY3128" s="23"/>
      <c r="BZ3128" s="23"/>
      <c r="CA3128" s="19" t="s">
        <v>22901</v>
      </c>
      <c r="CB3128" s="19" t="s">
        <v>22902</v>
      </c>
      <c r="CC3128" s="23"/>
      <c r="CD3128" s="23"/>
      <c r="CE3128" s="23"/>
      <c r="CF3128" s="23"/>
      <c r="CG3128" s="23"/>
      <c r="CH3128" s="23"/>
      <c r="CI3128" s="23"/>
    </row>
    <row r="3129" spans="1:87" x14ac:dyDescent="0.3">
      <c r="A3129" s="9" t="s">
        <v>22903</v>
      </c>
      <c r="B3129" s="10" t="s">
        <v>22904</v>
      </c>
      <c r="C3129" s="11">
        <v>46032.916666666664</v>
      </c>
      <c r="D3129" s="12">
        <v>8.3333333333333329E-2</v>
      </c>
      <c r="E3129" s="11">
        <v>46033</v>
      </c>
      <c r="F3129" s="22" t="s">
        <v>17870</v>
      </c>
      <c r="G3129" s="13" t="b">
        <v>0</v>
      </c>
      <c r="H3129" s="22" t="s">
        <v>17871</v>
      </c>
      <c r="I3129" s="10" t="s">
        <v>3213</v>
      </c>
      <c r="J3129" s="13" t="b">
        <v>0</v>
      </c>
      <c r="K3129" s="13" t="b">
        <v>1</v>
      </c>
      <c r="L3129" s="10" t="s">
        <v>124</v>
      </c>
      <c r="M3129" s="10" t="s">
        <v>91</v>
      </c>
      <c r="N3129" s="10" t="s">
        <v>92</v>
      </c>
      <c r="O3129" s="19" t="s">
        <v>22905</v>
      </c>
      <c r="P3129" s="10"/>
      <c r="Q3129" s="10" t="s">
        <v>94</v>
      </c>
      <c r="R3129" s="10"/>
      <c r="S3129" s="10"/>
      <c r="T3129" s="10"/>
      <c r="U3129" s="10" t="s">
        <v>22155</v>
      </c>
      <c r="V3129" s="10" t="s">
        <v>8791</v>
      </c>
      <c r="W3129" s="10" t="s">
        <v>17876</v>
      </c>
      <c r="X3129" s="10" t="s">
        <v>130</v>
      </c>
      <c r="Y3129" s="10" t="s">
        <v>130</v>
      </c>
      <c r="Z3129" s="10" t="s">
        <v>99</v>
      </c>
      <c r="AA3129" s="10" t="s">
        <v>131</v>
      </c>
      <c r="AB3129" s="10" t="s">
        <v>17877</v>
      </c>
      <c r="AC3129" s="10" t="s">
        <v>7885</v>
      </c>
      <c r="AD3129" s="10" t="s">
        <v>22906</v>
      </c>
      <c r="AE3129" s="10" t="s">
        <v>22907</v>
      </c>
      <c r="AF3129" s="15"/>
      <c r="AG3129" s="10"/>
      <c r="AH3129" s="10"/>
      <c r="AI3129" s="10"/>
      <c r="AJ3129" s="10"/>
      <c r="AK3129" s="10" t="s">
        <v>102</v>
      </c>
      <c r="AL3129" s="10"/>
      <c r="AM3129" s="10"/>
      <c r="AN3129" s="10"/>
      <c r="AO3129" s="13" t="b">
        <v>0</v>
      </c>
      <c r="AP3129" s="22" t="s">
        <v>104</v>
      </c>
      <c r="AQ3129" s="10">
        <f ca="1">IFERROR(__xludf.DUMMYFUNCTION("""COMPUTED_VALUE"""),4832311)</f>
        <v>4832311</v>
      </c>
      <c r="AR3129" s="17">
        <v>2513</v>
      </c>
      <c r="AS3129" s="17">
        <v>2091</v>
      </c>
      <c r="AT3129" s="17">
        <v>12329</v>
      </c>
      <c r="AU3129" s="17">
        <v>5.25</v>
      </c>
      <c r="AV3129" s="17">
        <v>3</v>
      </c>
      <c r="AW3129" s="10" t="s">
        <v>105</v>
      </c>
      <c r="AX3129" s="17">
        <v>308</v>
      </c>
      <c r="AY3129" s="18">
        <v>5.8962219033955048</v>
      </c>
      <c r="AZ3129" s="10"/>
      <c r="BA3129" s="20" t="b">
        <v>0</v>
      </c>
      <c r="BB3129" s="10"/>
      <c r="BC3129" s="17">
        <v>2513</v>
      </c>
      <c r="BD3129" s="17">
        <v>2091</v>
      </c>
      <c r="BE3129" s="17">
        <v>12329</v>
      </c>
      <c r="BF3129" s="17">
        <v>3</v>
      </c>
      <c r="BG3129" s="11">
        <f ca="1">IFERROR(__xludf.DUMMYFUNCTION("""COMPUTED_VALUE"""),46032.9166666666)</f>
        <v>46032.916666666599</v>
      </c>
      <c r="BH3129" s="17" t="s">
        <v>105</v>
      </c>
      <c r="BI3129" s="17"/>
      <c r="BJ3129" s="15"/>
      <c r="BK3129" s="15"/>
      <c r="BL3129" s="13" t="b">
        <v>0</v>
      </c>
      <c r="BM3129" s="10"/>
      <c r="BN3129" s="10" t="s">
        <v>667</v>
      </c>
      <c r="BO3129" s="11">
        <v>46008.679166666669</v>
      </c>
      <c r="BP3129" s="11">
        <v>46008.679675925923</v>
      </c>
      <c r="BQ3129" s="15"/>
      <c r="BR3129" s="15">
        <v>46029.486666666664</v>
      </c>
      <c r="BS3129" s="10" t="s">
        <v>667</v>
      </c>
      <c r="BT3129" s="10" t="s">
        <v>99</v>
      </c>
      <c r="BU3129" s="10" t="s">
        <v>730</v>
      </c>
      <c r="BV3129" s="10"/>
      <c r="BW3129" s="10"/>
      <c r="BX3129" s="10"/>
      <c r="BY3129" s="23"/>
      <c r="BZ3129" s="23"/>
      <c r="CA3129" s="19" t="s">
        <v>22908</v>
      </c>
      <c r="CB3129" s="19" t="s">
        <v>22909</v>
      </c>
      <c r="CC3129" s="23"/>
      <c r="CD3129" s="23"/>
      <c r="CE3129" s="23"/>
      <c r="CF3129" s="23"/>
      <c r="CG3129" s="23"/>
      <c r="CH3129" s="23"/>
      <c r="CI3129" s="23"/>
    </row>
    <row r="3130" spans="1:87" x14ac:dyDescent="0.3">
      <c r="A3130" s="9" t="s">
        <v>22910</v>
      </c>
      <c r="B3130" s="10" t="s">
        <v>22911</v>
      </c>
      <c r="C3130" s="11">
        <v>46033.03125</v>
      </c>
      <c r="D3130" s="12">
        <v>8.3333333333333329E-2</v>
      </c>
      <c r="E3130" s="11">
        <v>46033.114583333336</v>
      </c>
      <c r="F3130" s="22" t="s">
        <v>17870</v>
      </c>
      <c r="G3130" s="13" t="b">
        <v>0</v>
      </c>
      <c r="H3130" s="22" t="s">
        <v>17871</v>
      </c>
      <c r="I3130" s="10" t="s">
        <v>3213</v>
      </c>
      <c r="J3130" s="13" t="b">
        <v>0</v>
      </c>
      <c r="K3130" s="13" t="b">
        <v>1</v>
      </c>
      <c r="L3130" s="10" t="s">
        <v>124</v>
      </c>
      <c r="M3130" s="10" t="s">
        <v>91</v>
      </c>
      <c r="N3130" s="10" t="s">
        <v>92</v>
      </c>
      <c r="O3130" s="19" t="s">
        <v>22912</v>
      </c>
      <c r="P3130" s="10"/>
      <c r="Q3130" s="10" t="s">
        <v>94</v>
      </c>
      <c r="R3130" s="10"/>
      <c r="S3130" s="10"/>
      <c r="T3130" s="10"/>
      <c r="U3130" s="10" t="s">
        <v>22107</v>
      </c>
      <c r="V3130" s="10" t="s">
        <v>8752</v>
      </c>
      <c r="W3130" s="10" t="s">
        <v>17876</v>
      </c>
      <c r="X3130" s="10" t="s">
        <v>130</v>
      </c>
      <c r="Y3130" s="10" t="s">
        <v>130</v>
      </c>
      <c r="Z3130" s="10" t="s">
        <v>99</v>
      </c>
      <c r="AA3130" s="10" t="s">
        <v>131</v>
      </c>
      <c r="AB3130" s="10" t="s">
        <v>17877</v>
      </c>
      <c r="AC3130" s="10" t="s">
        <v>7885</v>
      </c>
      <c r="AD3130" s="10" t="s">
        <v>22913</v>
      </c>
      <c r="AE3130" s="10" t="s">
        <v>22914</v>
      </c>
      <c r="AF3130" s="15"/>
      <c r="AG3130" s="10"/>
      <c r="AH3130" s="10"/>
      <c r="AI3130" s="10"/>
      <c r="AJ3130" s="10"/>
      <c r="AK3130" s="10" t="s">
        <v>102</v>
      </c>
      <c r="AL3130" s="10"/>
      <c r="AM3130" s="10"/>
      <c r="AN3130" s="10"/>
      <c r="AO3130" s="13" t="b">
        <v>0</v>
      </c>
      <c r="AP3130" s="22" t="s">
        <v>104</v>
      </c>
      <c r="AQ3130" s="10">
        <f ca="1">IFERROR(__xludf.DUMMYFUNCTION("""COMPUTED_VALUE"""),20288)</f>
        <v>20288</v>
      </c>
      <c r="AR3130" s="17"/>
      <c r="AS3130" s="17"/>
      <c r="AT3130" s="17"/>
      <c r="AU3130" s="17"/>
      <c r="AV3130" s="17"/>
      <c r="AW3130" s="10"/>
      <c r="AX3130" s="17"/>
      <c r="AY3130" s="18" t="s">
        <v>257</v>
      </c>
      <c r="AZ3130" s="10"/>
      <c r="BA3130" s="20" t="b">
        <v>0</v>
      </c>
      <c r="BB3130" s="10"/>
      <c r="BC3130" s="17" t="s">
        <v>257</v>
      </c>
      <c r="BD3130" s="17" t="s">
        <v>257</v>
      </c>
      <c r="BE3130" s="17" t="s">
        <v>257</v>
      </c>
      <c r="BF3130" s="17" t="s">
        <v>257</v>
      </c>
      <c r="BG3130" s="11">
        <f ca="1">IFERROR(__xludf.DUMMYFUNCTION("""COMPUTED_VALUE"""),46033.03125)</f>
        <v>46033.03125</v>
      </c>
      <c r="BH3130" s="17"/>
      <c r="BI3130" s="17"/>
      <c r="BJ3130" s="15"/>
      <c r="BK3130" s="15"/>
      <c r="BL3130" s="13" t="b">
        <v>0</v>
      </c>
      <c r="BM3130" s="10"/>
      <c r="BN3130" s="10" t="s">
        <v>667</v>
      </c>
      <c r="BO3130" s="11">
        <v>46008.679861111108</v>
      </c>
      <c r="BP3130" s="11">
        <v>46008.682291666664</v>
      </c>
      <c r="BQ3130" s="15"/>
      <c r="BR3130" s="15">
        <v>46033.008287037039</v>
      </c>
      <c r="BS3130" s="10" t="s">
        <v>667</v>
      </c>
      <c r="BT3130" s="10" t="s">
        <v>99</v>
      </c>
      <c r="BU3130" s="10" t="s">
        <v>730</v>
      </c>
      <c r="BV3130" s="10"/>
      <c r="BW3130" s="10"/>
      <c r="BX3130" s="10"/>
      <c r="BY3130" s="23"/>
      <c r="BZ3130" s="23"/>
      <c r="CA3130" s="19" t="s">
        <v>22915</v>
      </c>
      <c r="CB3130" s="19" t="s">
        <v>22916</v>
      </c>
      <c r="CC3130" s="23"/>
      <c r="CD3130" s="23"/>
      <c r="CE3130" s="23"/>
      <c r="CF3130" s="23"/>
      <c r="CG3130" s="23"/>
      <c r="CH3130" s="23"/>
      <c r="CI3130" s="23"/>
    </row>
    <row r="3131" spans="1:87" x14ac:dyDescent="0.3">
      <c r="A3131" s="9" t="s">
        <v>22917</v>
      </c>
      <c r="B3131" s="10" t="s">
        <v>22918</v>
      </c>
      <c r="C3131" s="11">
        <v>46033.03125</v>
      </c>
      <c r="D3131" s="12">
        <v>8.3333333333333329E-2</v>
      </c>
      <c r="E3131" s="11">
        <v>46033.114583333336</v>
      </c>
      <c r="F3131" s="22" t="s">
        <v>17870</v>
      </c>
      <c r="G3131" s="13" t="b">
        <v>0</v>
      </c>
      <c r="H3131" s="22" t="s">
        <v>17871</v>
      </c>
      <c r="I3131" s="10" t="s">
        <v>3213</v>
      </c>
      <c r="J3131" s="13" t="b">
        <v>0</v>
      </c>
      <c r="K3131" s="13" t="b">
        <v>1</v>
      </c>
      <c r="L3131" s="10" t="s">
        <v>124</v>
      </c>
      <c r="M3131" s="10" t="s">
        <v>91</v>
      </c>
      <c r="N3131" s="10" t="s">
        <v>92</v>
      </c>
      <c r="O3131" s="19" t="s">
        <v>22919</v>
      </c>
      <c r="P3131" s="10"/>
      <c r="Q3131" s="10" t="s">
        <v>94</v>
      </c>
      <c r="R3131" s="10"/>
      <c r="S3131" s="10"/>
      <c r="T3131" s="10"/>
      <c r="U3131" s="10" t="s">
        <v>14579</v>
      </c>
      <c r="V3131" s="10" t="s">
        <v>7618</v>
      </c>
      <c r="W3131" s="10" t="s">
        <v>17876</v>
      </c>
      <c r="X3131" s="10" t="s">
        <v>130</v>
      </c>
      <c r="Y3131" s="10" t="s">
        <v>130</v>
      </c>
      <c r="Z3131" s="10" t="s">
        <v>99</v>
      </c>
      <c r="AA3131" s="10" t="s">
        <v>131</v>
      </c>
      <c r="AB3131" s="10" t="s">
        <v>17877</v>
      </c>
      <c r="AC3131" s="10" t="s">
        <v>7885</v>
      </c>
      <c r="AD3131" s="10" t="s">
        <v>22920</v>
      </c>
      <c r="AE3131" s="10" t="s">
        <v>22921</v>
      </c>
      <c r="AF3131" s="15"/>
      <c r="AG3131" s="10"/>
      <c r="AH3131" s="10"/>
      <c r="AI3131" s="10"/>
      <c r="AJ3131" s="10"/>
      <c r="AK3131" s="10" t="s">
        <v>102</v>
      </c>
      <c r="AL3131" s="10"/>
      <c r="AM3131" s="10"/>
      <c r="AN3131" s="10"/>
      <c r="AO3131" s="13" t="b">
        <v>0</v>
      </c>
      <c r="AP3131" s="22" t="s">
        <v>104</v>
      </c>
      <c r="AQ3131" s="10">
        <f ca="1">IFERROR(__xludf.DUMMYFUNCTION("""COMPUTED_VALUE"""),4833944)</f>
        <v>4833944</v>
      </c>
      <c r="AR3131" s="17"/>
      <c r="AS3131" s="17"/>
      <c r="AT3131" s="17"/>
      <c r="AU3131" s="17"/>
      <c r="AV3131" s="17"/>
      <c r="AW3131" s="10"/>
      <c r="AX3131" s="17"/>
      <c r="AY3131" s="18" t="s">
        <v>257</v>
      </c>
      <c r="AZ3131" s="10"/>
      <c r="BA3131" s="20" t="b">
        <v>0</v>
      </c>
      <c r="BB3131" s="10"/>
      <c r="BC3131" s="17" t="s">
        <v>257</v>
      </c>
      <c r="BD3131" s="17" t="s">
        <v>257</v>
      </c>
      <c r="BE3131" s="17" t="s">
        <v>257</v>
      </c>
      <c r="BF3131" s="17" t="s">
        <v>257</v>
      </c>
      <c r="BG3131" s="11">
        <f ca="1">IFERROR(__xludf.DUMMYFUNCTION("""COMPUTED_VALUE"""),46033.03125)</f>
        <v>46033.03125</v>
      </c>
      <c r="BH3131" s="17"/>
      <c r="BI3131" s="17"/>
      <c r="BJ3131" s="15"/>
      <c r="BK3131" s="15"/>
      <c r="BL3131" s="13" t="b">
        <v>0</v>
      </c>
      <c r="BM3131" s="10"/>
      <c r="BN3131" s="10" t="s">
        <v>667</v>
      </c>
      <c r="BO3131" s="11">
        <v>46008.680555555555</v>
      </c>
      <c r="BP3131" s="11">
        <v>46008.680671296293</v>
      </c>
      <c r="BQ3131" s="15"/>
      <c r="BR3131" s="15">
        <v>46031.464178240742</v>
      </c>
      <c r="BS3131" s="10" t="s">
        <v>667</v>
      </c>
      <c r="BT3131" s="10" t="s">
        <v>99</v>
      </c>
      <c r="BU3131" s="10" t="s">
        <v>521</v>
      </c>
      <c r="BV3131" s="10"/>
      <c r="BW3131" s="10"/>
      <c r="BX3131" s="10"/>
      <c r="BY3131" s="23"/>
      <c r="BZ3131" s="23"/>
      <c r="CA3131" s="19" t="s">
        <v>22922</v>
      </c>
      <c r="CB3131" s="19" t="s">
        <v>22923</v>
      </c>
      <c r="CC3131" s="23"/>
      <c r="CD3131" s="23"/>
      <c r="CE3131" s="23"/>
      <c r="CF3131" s="23"/>
      <c r="CG3131" s="23"/>
      <c r="CH3131" s="23"/>
      <c r="CI3131" s="23"/>
    </row>
    <row r="3132" spans="1:87" x14ac:dyDescent="0.3">
      <c r="A3132" s="9" t="s">
        <v>22924</v>
      </c>
      <c r="B3132" s="10" t="s">
        <v>22925</v>
      </c>
      <c r="C3132" s="11">
        <v>46033.03125</v>
      </c>
      <c r="D3132" s="12">
        <v>8.3333333333333329E-2</v>
      </c>
      <c r="E3132" s="11">
        <v>46033.114583333336</v>
      </c>
      <c r="F3132" s="22" t="s">
        <v>17870</v>
      </c>
      <c r="G3132" s="13" t="b">
        <v>0</v>
      </c>
      <c r="H3132" s="22" t="s">
        <v>17871</v>
      </c>
      <c r="I3132" s="10" t="s">
        <v>3213</v>
      </c>
      <c r="J3132" s="13" t="b">
        <v>0</v>
      </c>
      <c r="K3132" s="13" t="b">
        <v>1</v>
      </c>
      <c r="L3132" s="10" t="s">
        <v>124</v>
      </c>
      <c r="M3132" s="10" t="s">
        <v>91</v>
      </c>
      <c r="N3132" s="10" t="s">
        <v>92</v>
      </c>
      <c r="O3132" s="19" t="s">
        <v>22926</v>
      </c>
      <c r="P3132" s="10"/>
      <c r="Q3132" s="10" t="s">
        <v>94</v>
      </c>
      <c r="R3132" s="10"/>
      <c r="S3132" s="10"/>
      <c r="T3132" s="10"/>
      <c r="U3132" s="10" t="s">
        <v>8987</v>
      </c>
      <c r="V3132" s="10" t="s">
        <v>22927</v>
      </c>
      <c r="W3132" s="10" t="s">
        <v>17876</v>
      </c>
      <c r="X3132" s="10" t="s">
        <v>130</v>
      </c>
      <c r="Y3132" s="10" t="s">
        <v>130</v>
      </c>
      <c r="Z3132" s="10" t="s">
        <v>99</v>
      </c>
      <c r="AA3132" s="10" t="s">
        <v>131</v>
      </c>
      <c r="AB3132" s="10" t="s">
        <v>17877</v>
      </c>
      <c r="AC3132" s="10" t="s">
        <v>7885</v>
      </c>
      <c r="AD3132" s="10" t="s">
        <v>22928</v>
      </c>
      <c r="AE3132" s="10" t="s">
        <v>22929</v>
      </c>
      <c r="AF3132" s="15"/>
      <c r="AG3132" s="10"/>
      <c r="AH3132" s="10"/>
      <c r="AI3132" s="10"/>
      <c r="AJ3132" s="10"/>
      <c r="AK3132" s="10" t="s">
        <v>102</v>
      </c>
      <c r="AL3132" s="10"/>
      <c r="AM3132" s="10"/>
      <c r="AN3132" s="10"/>
      <c r="AO3132" s="13" t="b">
        <v>0</v>
      </c>
      <c r="AP3132" s="22" t="s">
        <v>104</v>
      </c>
      <c r="AQ3132" s="10">
        <f ca="1">IFERROR(__xludf.DUMMYFUNCTION("""COMPUTED_VALUE"""),4833945)</f>
        <v>4833945</v>
      </c>
      <c r="AR3132" s="17"/>
      <c r="AS3132" s="17"/>
      <c r="AT3132" s="17"/>
      <c r="AU3132" s="17"/>
      <c r="AV3132" s="17"/>
      <c r="AW3132" s="10"/>
      <c r="AX3132" s="17"/>
      <c r="AY3132" s="18" t="s">
        <v>257</v>
      </c>
      <c r="AZ3132" s="10"/>
      <c r="BA3132" s="20" t="b">
        <v>0</v>
      </c>
      <c r="BB3132" s="10"/>
      <c r="BC3132" s="17" t="s">
        <v>257</v>
      </c>
      <c r="BD3132" s="17" t="s">
        <v>257</v>
      </c>
      <c r="BE3132" s="17" t="s">
        <v>257</v>
      </c>
      <c r="BF3132" s="17" t="s">
        <v>257</v>
      </c>
      <c r="BG3132" s="11">
        <f ca="1">IFERROR(__xludf.DUMMYFUNCTION("""COMPUTED_VALUE"""),46033.03125)</f>
        <v>46033.03125</v>
      </c>
      <c r="BH3132" s="17"/>
      <c r="BI3132" s="17"/>
      <c r="BJ3132" s="15"/>
      <c r="BK3132" s="15"/>
      <c r="BL3132" s="13" t="b">
        <v>0</v>
      </c>
      <c r="BM3132" s="10"/>
      <c r="BN3132" s="10" t="s">
        <v>667</v>
      </c>
      <c r="BO3132" s="11">
        <v>46008.681250000001</v>
      </c>
      <c r="BP3132" s="11">
        <v>46008.681759259256</v>
      </c>
      <c r="BQ3132" s="15"/>
      <c r="BR3132" s="15">
        <v>46031.467592592591</v>
      </c>
      <c r="BS3132" s="10" t="s">
        <v>667</v>
      </c>
      <c r="BT3132" s="10" t="s">
        <v>99</v>
      </c>
      <c r="BU3132" s="10" t="s">
        <v>456</v>
      </c>
      <c r="BV3132" s="10"/>
      <c r="BW3132" s="10"/>
      <c r="BX3132" s="10"/>
      <c r="BY3132" s="23"/>
      <c r="BZ3132" s="23"/>
      <c r="CA3132" s="19" t="s">
        <v>22930</v>
      </c>
      <c r="CB3132" s="19" t="s">
        <v>22931</v>
      </c>
      <c r="CC3132" s="23"/>
      <c r="CD3132" s="23"/>
      <c r="CE3132" s="23"/>
      <c r="CF3132" s="23"/>
      <c r="CG3132" s="23"/>
      <c r="CH3132" s="23"/>
      <c r="CI3132" s="23"/>
    </row>
    <row r="3133" spans="1:87" x14ac:dyDescent="0.3">
      <c r="A3133" s="9" t="s">
        <v>22932</v>
      </c>
      <c r="B3133" s="10" t="s">
        <v>22933</v>
      </c>
      <c r="C3133" s="11">
        <v>46033.895833333336</v>
      </c>
      <c r="D3133" s="12">
        <v>8.3333333333333329E-2</v>
      </c>
      <c r="E3133" s="11">
        <v>46033.979166666664</v>
      </c>
      <c r="F3133" s="22" t="s">
        <v>17870</v>
      </c>
      <c r="G3133" s="13" t="b">
        <v>0</v>
      </c>
      <c r="H3133" s="22" t="s">
        <v>17871</v>
      </c>
      <c r="I3133" s="10" t="s">
        <v>3213</v>
      </c>
      <c r="J3133" s="13" t="b">
        <v>0</v>
      </c>
      <c r="K3133" s="13" t="b">
        <v>1</v>
      </c>
      <c r="L3133" s="10" t="s">
        <v>124</v>
      </c>
      <c r="M3133" s="10" t="s">
        <v>91</v>
      </c>
      <c r="N3133" s="10" t="s">
        <v>92</v>
      </c>
      <c r="O3133" s="19" t="s">
        <v>22934</v>
      </c>
      <c r="P3133" s="10"/>
      <c r="Q3133" s="10" t="s">
        <v>94</v>
      </c>
      <c r="R3133" s="10"/>
      <c r="S3133" s="10"/>
      <c r="T3133" s="10"/>
      <c r="U3133" s="10" t="s">
        <v>8829</v>
      </c>
      <c r="V3133" s="10" t="s">
        <v>8886</v>
      </c>
      <c r="W3133" s="10" t="s">
        <v>17876</v>
      </c>
      <c r="X3133" s="10" t="s">
        <v>130</v>
      </c>
      <c r="Y3133" s="10" t="s">
        <v>130</v>
      </c>
      <c r="Z3133" s="10" t="s">
        <v>99</v>
      </c>
      <c r="AA3133" s="10" t="s">
        <v>131</v>
      </c>
      <c r="AB3133" s="10" t="s">
        <v>17877</v>
      </c>
      <c r="AC3133" s="10" t="s">
        <v>7885</v>
      </c>
      <c r="AD3133" s="10" t="s">
        <v>22935</v>
      </c>
      <c r="AE3133" s="10" t="s">
        <v>22936</v>
      </c>
      <c r="AF3133" s="15"/>
      <c r="AG3133" s="10"/>
      <c r="AH3133" s="10"/>
      <c r="AI3133" s="10"/>
      <c r="AJ3133" s="10"/>
      <c r="AK3133" s="10" t="s">
        <v>102</v>
      </c>
      <c r="AL3133" s="10"/>
      <c r="AM3133" s="10"/>
      <c r="AN3133" s="10"/>
      <c r="AO3133" s="13" t="b">
        <v>0</v>
      </c>
      <c r="AP3133" s="22" t="s">
        <v>104</v>
      </c>
      <c r="AQ3133" s="10">
        <f ca="1">IFERROR(__xludf.DUMMYFUNCTION("""COMPUTED_VALUE"""),4833946)</f>
        <v>4833946</v>
      </c>
      <c r="AR3133" s="17"/>
      <c r="AS3133" s="17"/>
      <c r="AT3133" s="17"/>
      <c r="AU3133" s="17"/>
      <c r="AV3133" s="17"/>
      <c r="AW3133" s="10"/>
      <c r="AX3133" s="17"/>
      <c r="AY3133" s="18" t="s">
        <v>257</v>
      </c>
      <c r="AZ3133" s="10"/>
      <c r="BA3133" s="20" t="b">
        <v>0</v>
      </c>
      <c r="BB3133" s="10"/>
      <c r="BC3133" s="17" t="s">
        <v>257</v>
      </c>
      <c r="BD3133" s="17" t="s">
        <v>257</v>
      </c>
      <c r="BE3133" s="17" t="s">
        <v>257</v>
      </c>
      <c r="BF3133" s="17" t="s">
        <v>257</v>
      </c>
      <c r="BG3133" s="11">
        <f ca="1">IFERROR(__xludf.DUMMYFUNCTION("""COMPUTED_VALUE"""),46033.8958333333)</f>
        <v>46033.895833333299</v>
      </c>
      <c r="BH3133" s="17"/>
      <c r="BI3133" s="17"/>
      <c r="BJ3133" s="15"/>
      <c r="BK3133" s="15"/>
      <c r="BL3133" s="13" t="b">
        <v>0</v>
      </c>
      <c r="BM3133" s="10"/>
      <c r="BN3133" s="10" t="s">
        <v>157</v>
      </c>
      <c r="BO3133" s="11">
        <v>46008.681944444441</v>
      </c>
      <c r="BP3133" s="11">
        <v>46008.68246527778</v>
      </c>
      <c r="BQ3133" s="15"/>
      <c r="BR3133" s="15">
        <v>46031.470138888886</v>
      </c>
      <c r="BS3133" s="10" t="s">
        <v>157</v>
      </c>
      <c r="BT3133" s="10" t="s">
        <v>99</v>
      </c>
      <c r="BU3133" s="10"/>
      <c r="BV3133" s="10"/>
      <c r="BW3133" s="10"/>
      <c r="BX3133" s="10"/>
      <c r="BY3133" s="23"/>
      <c r="BZ3133" s="23"/>
      <c r="CA3133" s="19" t="s">
        <v>22937</v>
      </c>
      <c r="CB3133" s="19" t="s">
        <v>22938</v>
      </c>
      <c r="CC3133" s="23"/>
      <c r="CD3133" s="23"/>
      <c r="CE3133" s="23"/>
      <c r="CF3133" s="23"/>
      <c r="CG3133" s="23"/>
      <c r="CH3133" s="23"/>
      <c r="CI3133" s="23"/>
    </row>
    <row r="3134" spans="1:87" x14ac:dyDescent="0.3">
      <c r="A3134" s="9" t="s">
        <v>22939</v>
      </c>
      <c r="B3134" s="10" t="s">
        <v>22940</v>
      </c>
      <c r="C3134" s="11">
        <v>46033.895833333336</v>
      </c>
      <c r="D3134" s="12">
        <v>8.3333333333333329E-2</v>
      </c>
      <c r="E3134" s="11">
        <v>46033.979166666664</v>
      </c>
      <c r="F3134" s="22" t="s">
        <v>17870</v>
      </c>
      <c r="G3134" s="13" t="b">
        <v>0</v>
      </c>
      <c r="H3134" s="22" t="s">
        <v>17871</v>
      </c>
      <c r="I3134" s="10" t="s">
        <v>3213</v>
      </c>
      <c r="J3134" s="13" t="b">
        <v>0</v>
      </c>
      <c r="K3134" s="13" t="b">
        <v>1</v>
      </c>
      <c r="L3134" s="10" t="s">
        <v>124</v>
      </c>
      <c r="M3134" s="10" t="s">
        <v>91</v>
      </c>
      <c r="N3134" s="10" t="s">
        <v>92</v>
      </c>
      <c r="O3134" s="19" t="s">
        <v>22941</v>
      </c>
      <c r="P3134" s="10"/>
      <c r="Q3134" s="10" t="s">
        <v>94</v>
      </c>
      <c r="R3134" s="10"/>
      <c r="S3134" s="10"/>
      <c r="T3134" s="10"/>
      <c r="U3134" s="10" t="s">
        <v>8761</v>
      </c>
      <c r="V3134" s="10" t="s">
        <v>17913</v>
      </c>
      <c r="W3134" s="10" t="s">
        <v>17876</v>
      </c>
      <c r="X3134" s="10" t="s">
        <v>130</v>
      </c>
      <c r="Y3134" s="10" t="s">
        <v>130</v>
      </c>
      <c r="Z3134" s="10" t="s">
        <v>99</v>
      </c>
      <c r="AA3134" s="10" t="s">
        <v>131</v>
      </c>
      <c r="AB3134" s="10" t="s">
        <v>17877</v>
      </c>
      <c r="AC3134" s="10" t="s">
        <v>7885</v>
      </c>
      <c r="AD3134" s="10" t="s">
        <v>22942</v>
      </c>
      <c r="AE3134" s="10" t="s">
        <v>22943</v>
      </c>
      <c r="AF3134" s="15"/>
      <c r="AG3134" s="10"/>
      <c r="AH3134" s="10"/>
      <c r="AI3134" s="10"/>
      <c r="AJ3134" s="10"/>
      <c r="AK3134" s="10" t="s">
        <v>102</v>
      </c>
      <c r="AL3134" s="10"/>
      <c r="AM3134" s="10"/>
      <c r="AN3134" s="10"/>
      <c r="AO3134" s="13" t="b">
        <v>0</v>
      </c>
      <c r="AP3134" s="22" t="s">
        <v>104</v>
      </c>
      <c r="AQ3134" s="10">
        <f ca="1">IFERROR(__xludf.DUMMYFUNCTION("""COMPUTED_VALUE"""),4834091)</f>
        <v>4834091</v>
      </c>
      <c r="AR3134" s="17"/>
      <c r="AS3134" s="17"/>
      <c r="AT3134" s="17"/>
      <c r="AU3134" s="17"/>
      <c r="AV3134" s="17"/>
      <c r="AW3134" s="10"/>
      <c r="AX3134" s="17"/>
      <c r="AY3134" s="18" t="s">
        <v>257</v>
      </c>
      <c r="AZ3134" s="10"/>
      <c r="BA3134" s="20" t="b">
        <v>0</v>
      </c>
      <c r="BB3134" s="10"/>
      <c r="BC3134" s="17" t="s">
        <v>257</v>
      </c>
      <c r="BD3134" s="17" t="s">
        <v>257</v>
      </c>
      <c r="BE3134" s="17" t="s">
        <v>257</v>
      </c>
      <c r="BF3134" s="17" t="s">
        <v>257</v>
      </c>
      <c r="BG3134" s="11">
        <f ca="1">IFERROR(__xludf.DUMMYFUNCTION("""COMPUTED_VALUE"""),46033.8958333333)</f>
        <v>46033.895833333299</v>
      </c>
      <c r="BH3134" s="17"/>
      <c r="BI3134" s="17"/>
      <c r="BJ3134" s="15"/>
      <c r="BK3134" s="15"/>
      <c r="BL3134" s="13" t="b">
        <v>0</v>
      </c>
      <c r="BM3134" s="10"/>
      <c r="BN3134" s="10" t="s">
        <v>157</v>
      </c>
      <c r="BO3134" s="11">
        <v>46008.682638888888</v>
      </c>
      <c r="BP3134" s="11">
        <v>46008.683136574073</v>
      </c>
      <c r="BQ3134" s="15"/>
      <c r="BR3134" s="15">
        <v>46031.474826388891</v>
      </c>
      <c r="BS3134" s="10" t="s">
        <v>157</v>
      </c>
      <c r="BT3134" s="10" t="s">
        <v>99</v>
      </c>
      <c r="BU3134" s="10"/>
      <c r="BV3134" s="10"/>
      <c r="BW3134" s="10"/>
      <c r="BX3134" s="10"/>
      <c r="BY3134" s="23"/>
      <c r="BZ3134" s="23"/>
      <c r="CA3134" s="19" t="s">
        <v>22944</v>
      </c>
      <c r="CB3134" s="19" t="s">
        <v>22945</v>
      </c>
      <c r="CC3134" s="23"/>
      <c r="CD3134" s="23"/>
      <c r="CE3134" s="23"/>
      <c r="CF3134" s="23"/>
      <c r="CG3134" s="23"/>
      <c r="CH3134" s="23"/>
      <c r="CI3134" s="23"/>
    </row>
    <row r="3135" spans="1:87" x14ac:dyDescent="0.3">
      <c r="A3135" s="9" t="s">
        <v>22946</v>
      </c>
      <c r="B3135" s="10" t="s">
        <v>22947</v>
      </c>
      <c r="C3135" s="11">
        <v>46033.895833333336</v>
      </c>
      <c r="D3135" s="12">
        <v>8.3333333333333329E-2</v>
      </c>
      <c r="E3135" s="11">
        <v>46033.979166666664</v>
      </c>
      <c r="F3135" s="22" t="s">
        <v>17870</v>
      </c>
      <c r="G3135" s="13" t="b">
        <v>0</v>
      </c>
      <c r="H3135" s="22" t="s">
        <v>17871</v>
      </c>
      <c r="I3135" s="10" t="s">
        <v>3213</v>
      </c>
      <c r="J3135" s="13" t="b">
        <v>0</v>
      </c>
      <c r="K3135" s="13" t="b">
        <v>1</v>
      </c>
      <c r="L3135" s="10" t="s">
        <v>124</v>
      </c>
      <c r="M3135" s="10" t="s">
        <v>91</v>
      </c>
      <c r="N3135" s="10" t="s">
        <v>92</v>
      </c>
      <c r="O3135" s="19" t="s">
        <v>22948</v>
      </c>
      <c r="P3135" s="10"/>
      <c r="Q3135" s="10" t="s">
        <v>94</v>
      </c>
      <c r="R3135" s="10"/>
      <c r="S3135" s="10"/>
      <c r="T3135" s="10"/>
      <c r="U3135" s="10" t="s">
        <v>7903</v>
      </c>
      <c r="V3135" s="10" t="s">
        <v>22949</v>
      </c>
      <c r="W3135" s="10" t="s">
        <v>17876</v>
      </c>
      <c r="X3135" s="10" t="s">
        <v>130</v>
      </c>
      <c r="Y3135" s="10" t="s">
        <v>130</v>
      </c>
      <c r="Z3135" s="10" t="s">
        <v>99</v>
      </c>
      <c r="AA3135" s="10" t="s">
        <v>131</v>
      </c>
      <c r="AB3135" s="10" t="s">
        <v>17877</v>
      </c>
      <c r="AC3135" s="10" t="s">
        <v>7885</v>
      </c>
      <c r="AD3135" s="10" t="s">
        <v>22950</v>
      </c>
      <c r="AE3135" s="10" t="s">
        <v>22951</v>
      </c>
      <c r="AF3135" s="15"/>
      <c r="AG3135" s="10"/>
      <c r="AH3135" s="10"/>
      <c r="AI3135" s="10"/>
      <c r="AJ3135" s="10"/>
      <c r="AK3135" s="10" t="s">
        <v>102</v>
      </c>
      <c r="AL3135" s="10"/>
      <c r="AM3135" s="10"/>
      <c r="AN3135" s="10"/>
      <c r="AO3135" s="13" t="b">
        <v>0</v>
      </c>
      <c r="AP3135" s="22" t="s">
        <v>104</v>
      </c>
      <c r="AQ3135" s="10">
        <f ca="1">IFERROR(__xludf.DUMMYFUNCTION("""COMPUTED_VALUE"""),4834093)</f>
        <v>4834093</v>
      </c>
      <c r="AR3135" s="17"/>
      <c r="AS3135" s="17"/>
      <c r="AT3135" s="17"/>
      <c r="AU3135" s="17"/>
      <c r="AV3135" s="17"/>
      <c r="AW3135" s="10"/>
      <c r="AX3135" s="17"/>
      <c r="AY3135" s="18" t="s">
        <v>257</v>
      </c>
      <c r="AZ3135" s="10"/>
      <c r="BA3135" s="20" t="b">
        <v>0</v>
      </c>
      <c r="BB3135" s="10"/>
      <c r="BC3135" s="17" t="s">
        <v>257</v>
      </c>
      <c r="BD3135" s="17" t="s">
        <v>257</v>
      </c>
      <c r="BE3135" s="17" t="s">
        <v>257</v>
      </c>
      <c r="BF3135" s="17" t="s">
        <v>257</v>
      </c>
      <c r="BG3135" s="11">
        <f ca="1">IFERROR(__xludf.DUMMYFUNCTION("""COMPUTED_VALUE"""),46033.8958333333)</f>
        <v>46033.895833333299</v>
      </c>
      <c r="BH3135" s="17"/>
      <c r="BI3135" s="17"/>
      <c r="BJ3135" s="15"/>
      <c r="BK3135" s="15"/>
      <c r="BL3135" s="13" t="b">
        <v>0</v>
      </c>
      <c r="BM3135" s="10"/>
      <c r="BN3135" s="10" t="s">
        <v>157</v>
      </c>
      <c r="BO3135" s="11">
        <v>46008.683333333334</v>
      </c>
      <c r="BP3135" s="11">
        <v>46008.683599537035</v>
      </c>
      <c r="BQ3135" s="15"/>
      <c r="BR3135" s="15">
        <v>46031.476527777777</v>
      </c>
      <c r="BS3135" s="10" t="s">
        <v>157</v>
      </c>
      <c r="BT3135" s="10" t="s">
        <v>99</v>
      </c>
      <c r="BU3135" s="10"/>
      <c r="BV3135" s="10"/>
      <c r="BW3135" s="10"/>
      <c r="BX3135" s="10"/>
      <c r="BY3135" s="23"/>
      <c r="BZ3135" s="23"/>
      <c r="CA3135" s="19" t="s">
        <v>22952</v>
      </c>
      <c r="CB3135" s="19" t="s">
        <v>22953</v>
      </c>
      <c r="CC3135" s="23"/>
      <c r="CD3135" s="23"/>
      <c r="CE3135" s="23"/>
      <c r="CF3135" s="23"/>
      <c r="CG3135" s="23"/>
      <c r="CH3135" s="23"/>
      <c r="CI3135" s="23"/>
    </row>
    <row r="3136" spans="1:87" x14ac:dyDescent="0.3">
      <c r="A3136" s="9" t="s">
        <v>22954</v>
      </c>
      <c r="B3136" s="10" t="s">
        <v>22955</v>
      </c>
      <c r="C3136" s="11">
        <v>46033.895833333336</v>
      </c>
      <c r="D3136" s="12">
        <v>8.3333333333333329E-2</v>
      </c>
      <c r="E3136" s="11">
        <v>46033.979166666664</v>
      </c>
      <c r="F3136" s="22" t="s">
        <v>17870</v>
      </c>
      <c r="G3136" s="13" t="b">
        <v>0</v>
      </c>
      <c r="H3136" s="22" t="s">
        <v>17871</v>
      </c>
      <c r="I3136" s="10" t="s">
        <v>3213</v>
      </c>
      <c r="J3136" s="13" t="b">
        <v>0</v>
      </c>
      <c r="K3136" s="13" t="b">
        <v>1</v>
      </c>
      <c r="L3136" s="10" t="s">
        <v>124</v>
      </c>
      <c r="M3136" s="10" t="s">
        <v>91</v>
      </c>
      <c r="N3136" s="10" t="s">
        <v>92</v>
      </c>
      <c r="O3136" s="19" t="s">
        <v>22956</v>
      </c>
      <c r="P3136" s="10"/>
      <c r="Q3136" s="10" t="s">
        <v>94</v>
      </c>
      <c r="R3136" s="10"/>
      <c r="S3136" s="10"/>
      <c r="T3136" s="10"/>
      <c r="U3136" s="10" t="s">
        <v>8845</v>
      </c>
      <c r="V3136" s="10" t="s">
        <v>8426</v>
      </c>
      <c r="W3136" s="10" t="s">
        <v>17876</v>
      </c>
      <c r="X3136" s="10" t="s">
        <v>130</v>
      </c>
      <c r="Y3136" s="10" t="s">
        <v>130</v>
      </c>
      <c r="Z3136" s="10" t="s">
        <v>99</v>
      </c>
      <c r="AA3136" s="10" t="s">
        <v>131</v>
      </c>
      <c r="AB3136" s="10" t="s">
        <v>17877</v>
      </c>
      <c r="AC3136" s="10" t="s">
        <v>7885</v>
      </c>
      <c r="AD3136" s="10" t="s">
        <v>22957</v>
      </c>
      <c r="AE3136" s="10" t="s">
        <v>22958</v>
      </c>
      <c r="AF3136" s="15"/>
      <c r="AG3136" s="10"/>
      <c r="AH3136" s="10"/>
      <c r="AI3136" s="10"/>
      <c r="AJ3136" s="10"/>
      <c r="AK3136" s="10" t="s">
        <v>102</v>
      </c>
      <c r="AL3136" s="10"/>
      <c r="AM3136" s="10"/>
      <c r="AN3136" s="10"/>
      <c r="AO3136" s="13" t="b">
        <v>0</v>
      </c>
      <c r="AP3136" s="22" t="s">
        <v>104</v>
      </c>
      <c r="AQ3136" s="10">
        <f ca="1">IFERROR(__xludf.DUMMYFUNCTION("""COMPUTED_VALUE"""),4833938)</f>
        <v>4833938</v>
      </c>
      <c r="AR3136" s="17"/>
      <c r="AS3136" s="17"/>
      <c r="AT3136" s="17"/>
      <c r="AU3136" s="17"/>
      <c r="AV3136" s="17"/>
      <c r="AW3136" s="10"/>
      <c r="AX3136" s="17"/>
      <c r="AY3136" s="18" t="s">
        <v>257</v>
      </c>
      <c r="AZ3136" s="10"/>
      <c r="BA3136" s="20" t="b">
        <v>0</v>
      </c>
      <c r="BB3136" s="10"/>
      <c r="BC3136" s="17" t="s">
        <v>257</v>
      </c>
      <c r="BD3136" s="17" t="s">
        <v>257</v>
      </c>
      <c r="BE3136" s="17" t="s">
        <v>257</v>
      </c>
      <c r="BF3136" s="17" t="s">
        <v>257</v>
      </c>
      <c r="BG3136" s="11">
        <f ca="1">IFERROR(__xludf.DUMMYFUNCTION("""COMPUTED_VALUE"""),46033.8958333333)</f>
        <v>46033.895833333299</v>
      </c>
      <c r="BH3136" s="17"/>
      <c r="BI3136" s="17"/>
      <c r="BJ3136" s="15"/>
      <c r="BK3136" s="15"/>
      <c r="BL3136" s="13" t="b">
        <v>0</v>
      </c>
      <c r="BM3136" s="10"/>
      <c r="BN3136" s="10" t="s">
        <v>157</v>
      </c>
      <c r="BO3136" s="11">
        <v>46008.684027777781</v>
      </c>
      <c r="BP3136" s="11">
        <v>46008.684108796297</v>
      </c>
      <c r="BQ3136" s="15"/>
      <c r="BR3136" s="15">
        <v>46031.449756944443</v>
      </c>
      <c r="BS3136" s="10" t="s">
        <v>157</v>
      </c>
      <c r="BT3136" s="10" t="s">
        <v>99</v>
      </c>
      <c r="BU3136" s="10"/>
      <c r="BV3136" s="10"/>
      <c r="BW3136" s="10"/>
      <c r="BX3136" s="10"/>
      <c r="BY3136" s="23"/>
      <c r="BZ3136" s="23"/>
      <c r="CA3136" s="19" t="s">
        <v>22959</v>
      </c>
      <c r="CB3136" s="19" t="s">
        <v>22960</v>
      </c>
      <c r="CC3136" s="23"/>
      <c r="CD3136" s="23"/>
      <c r="CE3136" s="23"/>
      <c r="CF3136" s="23"/>
      <c r="CG3136" s="23"/>
      <c r="CH3136" s="23"/>
      <c r="CI3136" s="23"/>
    </row>
    <row r="3137" spans="1:87" x14ac:dyDescent="0.3">
      <c r="A3137" s="9" t="s">
        <v>22961</v>
      </c>
      <c r="B3137" s="10" t="s">
        <v>22962</v>
      </c>
      <c r="C3137" s="11">
        <v>46032.916666666664</v>
      </c>
      <c r="D3137" s="12">
        <v>8.3333333333333329E-2</v>
      </c>
      <c r="E3137" s="11">
        <v>46033</v>
      </c>
      <c r="F3137" s="22" t="s">
        <v>17870</v>
      </c>
      <c r="G3137" s="13" t="b">
        <v>0</v>
      </c>
      <c r="H3137" s="22" t="s">
        <v>17871</v>
      </c>
      <c r="I3137" s="10" t="s">
        <v>3213</v>
      </c>
      <c r="J3137" s="13" t="b">
        <v>0</v>
      </c>
      <c r="K3137" s="13" t="b">
        <v>1</v>
      </c>
      <c r="L3137" s="10" t="s">
        <v>124</v>
      </c>
      <c r="M3137" s="10" t="s">
        <v>91</v>
      </c>
      <c r="N3137" s="10" t="s">
        <v>92</v>
      </c>
      <c r="O3137" s="19" t="s">
        <v>22963</v>
      </c>
      <c r="P3137" s="10"/>
      <c r="Q3137" s="10" t="s">
        <v>126</v>
      </c>
      <c r="R3137" s="10"/>
      <c r="S3137" s="19" t="s">
        <v>22964</v>
      </c>
      <c r="T3137" s="10"/>
      <c r="U3137" s="10" t="s">
        <v>22965</v>
      </c>
      <c r="V3137" s="10" t="s">
        <v>19424</v>
      </c>
      <c r="W3137" s="10" t="s">
        <v>17876</v>
      </c>
      <c r="X3137" s="10" t="s">
        <v>130</v>
      </c>
      <c r="Y3137" s="10" t="s">
        <v>130</v>
      </c>
      <c r="Z3137" s="10" t="s">
        <v>99</v>
      </c>
      <c r="AA3137" s="10" t="s">
        <v>131</v>
      </c>
      <c r="AB3137" s="10" t="s">
        <v>17877</v>
      </c>
      <c r="AC3137" s="10" t="s">
        <v>7885</v>
      </c>
      <c r="AD3137" s="10" t="s">
        <v>22966</v>
      </c>
      <c r="AE3137" s="10" t="s">
        <v>22967</v>
      </c>
      <c r="AF3137" s="15"/>
      <c r="AG3137" s="10"/>
      <c r="AH3137" s="10"/>
      <c r="AI3137" s="10"/>
      <c r="AJ3137" s="10"/>
      <c r="AK3137" s="10" t="s">
        <v>102</v>
      </c>
      <c r="AL3137" s="10"/>
      <c r="AM3137" s="10"/>
      <c r="AN3137" s="10"/>
      <c r="AO3137" s="13" t="b">
        <v>0</v>
      </c>
      <c r="AP3137" s="22" t="s">
        <v>104</v>
      </c>
      <c r="AQ3137" s="10">
        <f ca="1">IFERROR(__xludf.DUMMYFUNCTION("""COMPUTED_VALUE"""),4835420)</f>
        <v>4835420</v>
      </c>
      <c r="AR3137" s="17">
        <v>2757</v>
      </c>
      <c r="AS3137" s="17">
        <v>2355</v>
      </c>
      <c r="AT3137" s="17">
        <v>14484.5</v>
      </c>
      <c r="AU3137" s="17">
        <v>5.15</v>
      </c>
      <c r="AV3137" s="17">
        <v>1.25</v>
      </c>
      <c r="AW3137" s="10" t="s">
        <v>105</v>
      </c>
      <c r="AX3137" s="17">
        <v>345</v>
      </c>
      <c r="AY3137" s="18">
        <v>6.1505307855626326</v>
      </c>
      <c r="AZ3137" s="10" t="s">
        <v>2099</v>
      </c>
      <c r="BA3137" s="20" t="b">
        <v>0</v>
      </c>
      <c r="BB3137" s="10"/>
      <c r="BC3137" s="17">
        <v>2757</v>
      </c>
      <c r="BD3137" s="17">
        <v>2355</v>
      </c>
      <c r="BE3137" s="17">
        <v>14484.5</v>
      </c>
      <c r="BF3137" s="17">
        <v>1.25</v>
      </c>
      <c r="BG3137" s="11">
        <f ca="1">IFERROR(__xludf.DUMMYFUNCTION("""COMPUTED_VALUE"""),46032.9166666666)</f>
        <v>46032.916666666599</v>
      </c>
      <c r="BH3137" s="17" t="s">
        <v>105</v>
      </c>
      <c r="BI3137" s="17"/>
      <c r="BJ3137" s="15"/>
      <c r="BK3137" s="15"/>
      <c r="BL3137" s="13" t="b">
        <v>0</v>
      </c>
      <c r="BM3137" s="10"/>
      <c r="BN3137" s="10" t="s">
        <v>667</v>
      </c>
      <c r="BO3137" s="11">
        <v>46008.68472222222</v>
      </c>
      <c r="BP3137" s="11">
        <v>46008.685266203705</v>
      </c>
      <c r="BQ3137" s="15">
        <v>46031.753275462965</v>
      </c>
      <c r="BR3137" s="15">
        <v>46031.921111111114</v>
      </c>
      <c r="BS3137" s="10" t="s">
        <v>667</v>
      </c>
      <c r="BT3137" s="10" t="s">
        <v>99</v>
      </c>
      <c r="BU3137" s="10" t="s">
        <v>816</v>
      </c>
      <c r="BV3137" s="10"/>
      <c r="BW3137" s="10"/>
      <c r="BX3137" s="10"/>
      <c r="BY3137" s="23"/>
      <c r="BZ3137" s="23"/>
      <c r="CA3137" s="19" t="s">
        <v>22968</v>
      </c>
      <c r="CB3137" s="19" t="s">
        <v>22969</v>
      </c>
      <c r="CC3137" s="23"/>
      <c r="CD3137" s="19" t="s">
        <v>22970</v>
      </c>
      <c r="CE3137" s="23"/>
      <c r="CF3137" s="23"/>
      <c r="CG3137" s="23"/>
      <c r="CH3137" s="23"/>
      <c r="CI3137" s="23"/>
    </row>
    <row r="3138" spans="1:87" x14ac:dyDescent="0.3">
      <c r="A3138" s="9" t="s">
        <v>22971</v>
      </c>
      <c r="B3138" s="10" t="s">
        <v>22972</v>
      </c>
      <c r="C3138" s="11">
        <v>46010.354166666664</v>
      </c>
      <c r="D3138" s="12">
        <v>3.4722222222222224E-2</v>
      </c>
      <c r="E3138" s="11">
        <v>46010.388888888891</v>
      </c>
      <c r="F3138" s="22" t="s">
        <v>21383</v>
      </c>
      <c r="G3138" s="13" t="b">
        <v>0</v>
      </c>
      <c r="H3138" s="22" t="s">
        <v>21384</v>
      </c>
      <c r="I3138" s="10" t="s">
        <v>9131</v>
      </c>
      <c r="J3138" s="13" t="b">
        <v>0</v>
      </c>
      <c r="K3138" s="13" t="b">
        <v>1</v>
      </c>
      <c r="L3138" s="10" t="s">
        <v>124</v>
      </c>
      <c r="M3138" s="10" t="s">
        <v>91</v>
      </c>
      <c r="N3138" s="10" t="s">
        <v>92</v>
      </c>
      <c r="O3138" s="19" t="s">
        <v>22973</v>
      </c>
      <c r="P3138" s="10"/>
      <c r="Q3138" s="10" t="s">
        <v>126</v>
      </c>
      <c r="R3138" s="10"/>
      <c r="S3138" s="19" t="s">
        <v>21426</v>
      </c>
      <c r="T3138" s="10"/>
      <c r="U3138" s="10"/>
      <c r="V3138" s="10"/>
      <c r="W3138" s="10" t="s">
        <v>21387</v>
      </c>
      <c r="X3138" s="10" t="s">
        <v>216</v>
      </c>
      <c r="Y3138" s="10" t="s">
        <v>216</v>
      </c>
      <c r="Z3138" s="10" t="s">
        <v>99</v>
      </c>
      <c r="AA3138" s="10" t="s">
        <v>131</v>
      </c>
      <c r="AB3138" s="10" t="s">
        <v>21388</v>
      </c>
      <c r="AC3138" s="10" t="s">
        <v>21389</v>
      </c>
      <c r="AD3138" s="10" t="s">
        <v>165</v>
      </c>
      <c r="AE3138" s="10" t="s">
        <v>22974</v>
      </c>
      <c r="AF3138" s="15"/>
      <c r="AG3138" s="10"/>
      <c r="AH3138" s="10"/>
      <c r="AI3138" s="10"/>
      <c r="AJ3138" s="10"/>
      <c r="AK3138" s="10" t="s">
        <v>102</v>
      </c>
      <c r="AL3138" s="10"/>
      <c r="AM3138" s="10"/>
      <c r="AN3138" s="10"/>
      <c r="AO3138" s="13" t="b">
        <v>0</v>
      </c>
      <c r="AP3138" s="22" t="s">
        <v>135</v>
      </c>
      <c r="AQ3138" s="10">
        <f ca="1">IFERROR(__xludf.DUMMYFUNCTION("""COMPUTED_VALUE"""),4784597)</f>
        <v>4784597</v>
      </c>
      <c r="AR3138" s="17">
        <v>3568</v>
      </c>
      <c r="AS3138" s="17">
        <v>2357</v>
      </c>
      <c r="AT3138" s="17">
        <v>47519</v>
      </c>
      <c r="AU3138" s="17">
        <v>5.75</v>
      </c>
      <c r="AV3138" s="17">
        <v>1.25</v>
      </c>
      <c r="AW3138" s="10" t="s">
        <v>105</v>
      </c>
      <c r="AX3138" s="17">
        <v>953</v>
      </c>
      <c r="AY3138" s="18">
        <v>20.160797624098429</v>
      </c>
      <c r="AZ3138" s="10"/>
      <c r="BA3138" s="20" t="b">
        <v>0</v>
      </c>
      <c r="BB3138" s="10" t="s">
        <v>21425</v>
      </c>
      <c r="BC3138" s="17">
        <v>3568</v>
      </c>
      <c r="BD3138" s="17">
        <v>2357</v>
      </c>
      <c r="BE3138" s="17">
        <v>47519</v>
      </c>
      <c r="BF3138" s="17">
        <v>1.25</v>
      </c>
      <c r="BG3138" s="11">
        <f ca="1">IFERROR(__xludf.DUMMYFUNCTION("""COMPUTED_VALUE"""),46010.3541666666)</f>
        <v>46010.354166666599</v>
      </c>
      <c r="BH3138" s="17" t="s">
        <v>105</v>
      </c>
      <c r="BI3138" s="17"/>
      <c r="BJ3138" s="15"/>
      <c r="BK3138" s="15"/>
      <c r="BL3138" s="13" t="b">
        <v>0</v>
      </c>
      <c r="BM3138" s="10"/>
      <c r="BN3138" s="10" t="s">
        <v>6278</v>
      </c>
      <c r="BO3138" s="11">
        <v>46009.558333333334</v>
      </c>
      <c r="BP3138" s="11">
        <v>46009.558738425927</v>
      </c>
      <c r="BQ3138" s="15"/>
      <c r="BR3138" s="15">
        <v>46009.709594907406</v>
      </c>
      <c r="BS3138" s="10" t="s">
        <v>6278</v>
      </c>
      <c r="BT3138" s="10"/>
      <c r="BU3138" s="10"/>
      <c r="BV3138" s="10"/>
      <c r="BW3138" s="10"/>
      <c r="BX3138" s="10"/>
      <c r="BY3138" s="23"/>
      <c r="BZ3138" s="23"/>
      <c r="CA3138" s="19" t="s">
        <v>21427</v>
      </c>
      <c r="CB3138" s="23"/>
      <c r="CC3138" s="23"/>
      <c r="CD3138" s="19" t="s">
        <v>21428</v>
      </c>
      <c r="CE3138" s="23"/>
      <c r="CF3138" s="23"/>
      <c r="CG3138" s="23"/>
      <c r="CH3138" s="23"/>
      <c r="CI3138" s="23"/>
    </row>
    <row r="3139" spans="1:87" x14ac:dyDescent="0.3">
      <c r="A3139" s="9" t="s">
        <v>22975</v>
      </c>
      <c r="B3139" s="10" t="s">
        <v>22976</v>
      </c>
      <c r="C3139" s="11">
        <v>46010.388888888891</v>
      </c>
      <c r="D3139" s="12">
        <v>3.4722222222222224E-2</v>
      </c>
      <c r="E3139" s="11">
        <v>46010.423611111109</v>
      </c>
      <c r="F3139" s="22" t="s">
        <v>21383</v>
      </c>
      <c r="G3139" s="13" t="b">
        <v>0</v>
      </c>
      <c r="H3139" s="22" t="s">
        <v>21384</v>
      </c>
      <c r="I3139" s="10" t="s">
        <v>9131</v>
      </c>
      <c r="J3139" s="13" t="b">
        <v>0</v>
      </c>
      <c r="K3139" s="13" t="b">
        <v>1</v>
      </c>
      <c r="L3139" s="10" t="s">
        <v>124</v>
      </c>
      <c r="M3139" s="10" t="s">
        <v>91</v>
      </c>
      <c r="N3139" s="10" t="s">
        <v>92</v>
      </c>
      <c r="O3139" s="19" t="s">
        <v>22977</v>
      </c>
      <c r="P3139" s="10"/>
      <c r="Q3139" s="10" t="s">
        <v>126</v>
      </c>
      <c r="R3139" s="10"/>
      <c r="S3139" s="19" t="s">
        <v>21426</v>
      </c>
      <c r="T3139" s="10"/>
      <c r="U3139" s="10"/>
      <c r="V3139" s="10"/>
      <c r="W3139" s="10" t="s">
        <v>21387</v>
      </c>
      <c r="X3139" s="10" t="s">
        <v>216</v>
      </c>
      <c r="Y3139" s="10" t="s">
        <v>216</v>
      </c>
      <c r="Z3139" s="10" t="s">
        <v>99</v>
      </c>
      <c r="AA3139" s="10" t="s">
        <v>131</v>
      </c>
      <c r="AB3139" s="10" t="s">
        <v>21388</v>
      </c>
      <c r="AC3139" s="10" t="s">
        <v>21389</v>
      </c>
      <c r="AD3139" s="10" t="s">
        <v>165</v>
      </c>
      <c r="AE3139" s="10" t="s">
        <v>22978</v>
      </c>
      <c r="AF3139" s="15"/>
      <c r="AG3139" s="10"/>
      <c r="AH3139" s="10"/>
      <c r="AI3139" s="10"/>
      <c r="AJ3139" s="10"/>
      <c r="AK3139" s="10" t="s">
        <v>102</v>
      </c>
      <c r="AL3139" s="10"/>
      <c r="AM3139" s="10"/>
      <c r="AN3139" s="10"/>
      <c r="AO3139" s="13" t="b">
        <v>0</v>
      </c>
      <c r="AP3139" s="22" t="s">
        <v>221</v>
      </c>
      <c r="AQ3139" s="10">
        <f ca="1">IFERROR(__xludf.DUMMYFUNCTION("""COMPUTED_VALUE"""),4784599)</f>
        <v>4784599</v>
      </c>
      <c r="AR3139" s="17">
        <v>13680</v>
      </c>
      <c r="AS3139" s="17">
        <v>7542</v>
      </c>
      <c r="AT3139" s="17">
        <v>222364</v>
      </c>
      <c r="AU3139" s="17">
        <v>34.700000000000003</v>
      </c>
      <c r="AV3139" s="17">
        <v>7.95</v>
      </c>
      <c r="AW3139" s="10" t="s">
        <v>105</v>
      </c>
      <c r="AX3139" s="17">
        <v>4540</v>
      </c>
      <c r="AY3139" s="18">
        <v>29.483426146910634</v>
      </c>
      <c r="AZ3139" s="10"/>
      <c r="BA3139" s="20" t="b">
        <v>0</v>
      </c>
      <c r="BB3139" s="10" t="s">
        <v>21425</v>
      </c>
      <c r="BC3139" s="17">
        <v>13680</v>
      </c>
      <c r="BD3139" s="17">
        <v>7542</v>
      </c>
      <c r="BE3139" s="17">
        <v>222364</v>
      </c>
      <c r="BF3139" s="17">
        <v>7.95</v>
      </c>
      <c r="BG3139" s="11">
        <f ca="1">IFERROR(__xludf.DUMMYFUNCTION("""COMPUTED_VALUE"""),46010.3888888888)</f>
        <v>46010.388888888803</v>
      </c>
      <c r="BH3139" s="17" t="s">
        <v>105</v>
      </c>
      <c r="BI3139" s="17"/>
      <c r="BJ3139" s="15"/>
      <c r="BK3139" s="15"/>
      <c r="BL3139" s="13" t="b">
        <v>0</v>
      </c>
      <c r="BM3139" s="10"/>
      <c r="BN3139" s="10" t="s">
        <v>6278</v>
      </c>
      <c r="BO3139" s="11">
        <v>46009.558333333334</v>
      </c>
      <c r="BP3139" s="11">
        <v>46009.559004629627</v>
      </c>
      <c r="BQ3139" s="15"/>
      <c r="BR3139" s="15">
        <v>46009.709768518522</v>
      </c>
      <c r="BS3139" s="10" t="s">
        <v>6278</v>
      </c>
      <c r="BT3139" s="10"/>
      <c r="BU3139" s="10"/>
      <c r="BV3139" s="10"/>
      <c r="BW3139" s="10"/>
      <c r="BX3139" s="10"/>
      <c r="BY3139" s="23"/>
      <c r="BZ3139" s="23"/>
      <c r="CA3139" s="19" t="s">
        <v>21427</v>
      </c>
      <c r="CB3139" s="23"/>
      <c r="CC3139" s="23"/>
      <c r="CD3139" s="19" t="s">
        <v>21428</v>
      </c>
      <c r="CE3139" s="23"/>
      <c r="CF3139" s="23"/>
      <c r="CG3139" s="23"/>
      <c r="CH3139" s="23"/>
      <c r="CI3139" s="23"/>
    </row>
    <row r="3140" spans="1:87" x14ac:dyDescent="0.3">
      <c r="A3140" s="9" t="s">
        <v>22979</v>
      </c>
      <c r="B3140" s="10" t="s">
        <v>22980</v>
      </c>
      <c r="C3140" s="11">
        <v>46010.354166666664</v>
      </c>
      <c r="D3140" s="12">
        <v>3.4722222222222224E-2</v>
      </c>
      <c r="E3140" s="11">
        <v>46010.388888888891</v>
      </c>
      <c r="F3140" s="22" t="s">
        <v>21383</v>
      </c>
      <c r="G3140" s="13" t="b">
        <v>0</v>
      </c>
      <c r="H3140" s="22" t="s">
        <v>21384</v>
      </c>
      <c r="I3140" s="10" t="s">
        <v>9131</v>
      </c>
      <c r="J3140" s="13" t="b">
        <v>0</v>
      </c>
      <c r="K3140" s="13" t="b">
        <v>1</v>
      </c>
      <c r="L3140" s="10" t="s">
        <v>124</v>
      </c>
      <c r="M3140" s="10" t="s">
        <v>91</v>
      </c>
      <c r="N3140" s="10" t="s">
        <v>92</v>
      </c>
      <c r="O3140" s="19" t="s">
        <v>22981</v>
      </c>
      <c r="P3140" s="10"/>
      <c r="Q3140" s="10" t="s">
        <v>126</v>
      </c>
      <c r="R3140" s="10"/>
      <c r="S3140" s="19" t="s">
        <v>21430</v>
      </c>
      <c r="T3140" s="10"/>
      <c r="U3140" s="10"/>
      <c r="V3140" s="10"/>
      <c r="W3140" s="10" t="s">
        <v>21387</v>
      </c>
      <c r="X3140" s="10" t="s">
        <v>216</v>
      </c>
      <c r="Y3140" s="10" t="s">
        <v>216</v>
      </c>
      <c r="Z3140" s="10" t="s">
        <v>99</v>
      </c>
      <c r="AA3140" s="10" t="s">
        <v>131</v>
      </c>
      <c r="AB3140" s="10" t="s">
        <v>21388</v>
      </c>
      <c r="AC3140" s="10" t="s">
        <v>21389</v>
      </c>
      <c r="AD3140" s="10" t="s">
        <v>165</v>
      </c>
      <c r="AE3140" s="10" t="s">
        <v>22982</v>
      </c>
      <c r="AF3140" s="15"/>
      <c r="AG3140" s="10"/>
      <c r="AH3140" s="10"/>
      <c r="AI3140" s="10"/>
      <c r="AJ3140" s="10"/>
      <c r="AK3140" s="10" t="s">
        <v>102</v>
      </c>
      <c r="AL3140" s="10"/>
      <c r="AM3140" s="10"/>
      <c r="AN3140" s="10"/>
      <c r="AO3140" s="13" t="b">
        <v>0</v>
      </c>
      <c r="AP3140" s="22" t="s">
        <v>135</v>
      </c>
      <c r="AQ3140" s="10">
        <f ca="1">IFERROR(__xludf.DUMMYFUNCTION("""COMPUTED_VALUE"""),4784608)</f>
        <v>4784608</v>
      </c>
      <c r="AR3140" s="17">
        <v>13199</v>
      </c>
      <c r="AS3140" s="17">
        <v>9375</v>
      </c>
      <c r="AT3140" s="17">
        <v>301837</v>
      </c>
      <c r="AU3140" s="17">
        <v>79.95</v>
      </c>
      <c r="AV3140" s="17">
        <v>8</v>
      </c>
      <c r="AW3140" s="10" t="s">
        <v>105</v>
      </c>
      <c r="AX3140" s="17">
        <v>5654</v>
      </c>
      <c r="AY3140" s="18">
        <v>32.195946666666664</v>
      </c>
      <c r="AZ3140" s="10"/>
      <c r="BA3140" s="20" t="b">
        <v>0</v>
      </c>
      <c r="BB3140" s="10" t="s">
        <v>21429</v>
      </c>
      <c r="BC3140" s="17">
        <v>13199</v>
      </c>
      <c r="BD3140" s="17">
        <v>9375</v>
      </c>
      <c r="BE3140" s="17">
        <v>301837</v>
      </c>
      <c r="BF3140" s="17">
        <v>8</v>
      </c>
      <c r="BG3140" s="11">
        <f ca="1">IFERROR(__xludf.DUMMYFUNCTION("""COMPUTED_VALUE"""),46010.3541666666)</f>
        <v>46010.354166666599</v>
      </c>
      <c r="BH3140" s="17" t="s">
        <v>105</v>
      </c>
      <c r="BI3140" s="17"/>
      <c r="BJ3140" s="15"/>
      <c r="BK3140" s="15"/>
      <c r="BL3140" s="13" t="b">
        <v>0</v>
      </c>
      <c r="BM3140" s="10"/>
      <c r="BN3140" s="10" t="s">
        <v>241</v>
      </c>
      <c r="BO3140" s="11">
        <v>46009.558333333334</v>
      </c>
      <c r="BP3140" s="11">
        <v>46009.55909722222</v>
      </c>
      <c r="BQ3140" s="15"/>
      <c r="BR3140" s="15">
        <v>46009.734861111108</v>
      </c>
      <c r="BS3140" s="10"/>
      <c r="BT3140" s="10" t="s">
        <v>99</v>
      </c>
      <c r="BU3140" s="10"/>
      <c r="BV3140" s="10"/>
      <c r="BW3140" s="10"/>
      <c r="BX3140" s="10"/>
      <c r="BY3140" s="23"/>
      <c r="BZ3140" s="23"/>
      <c r="CA3140" s="19" t="s">
        <v>21431</v>
      </c>
      <c r="CB3140" s="23"/>
      <c r="CC3140" s="23"/>
      <c r="CD3140" s="19" t="s">
        <v>21432</v>
      </c>
      <c r="CE3140" s="23"/>
      <c r="CF3140" s="23"/>
      <c r="CG3140" s="23"/>
      <c r="CH3140" s="23"/>
      <c r="CI3140" s="23"/>
    </row>
    <row r="3141" spans="1:87" x14ac:dyDescent="0.3">
      <c r="A3141" s="9" t="s">
        <v>22983</v>
      </c>
      <c r="B3141" s="10" t="s">
        <v>22984</v>
      </c>
      <c r="C3141" s="11">
        <v>46010.423611111109</v>
      </c>
      <c r="D3141" s="12">
        <v>3.4722222222222224E-2</v>
      </c>
      <c r="E3141" s="11">
        <v>46010.458333333336</v>
      </c>
      <c r="F3141" s="22" t="s">
        <v>21383</v>
      </c>
      <c r="G3141" s="13" t="b">
        <v>0</v>
      </c>
      <c r="H3141" s="22" t="s">
        <v>21384</v>
      </c>
      <c r="I3141" s="10" t="s">
        <v>9131</v>
      </c>
      <c r="J3141" s="13" t="b">
        <v>0</v>
      </c>
      <c r="K3141" s="13" t="b">
        <v>1</v>
      </c>
      <c r="L3141" s="10" t="s">
        <v>358</v>
      </c>
      <c r="M3141" s="10" t="s">
        <v>91</v>
      </c>
      <c r="N3141" s="10" t="s">
        <v>92</v>
      </c>
      <c r="O3141" s="19" t="s">
        <v>22985</v>
      </c>
      <c r="P3141" s="10"/>
      <c r="Q3141" s="10" t="s">
        <v>126</v>
      </c>
      <c r="R3141" s="10"/>
      <c r="S3141" s="19" t="s">
        <v>21426</v>
      </c>
      <c r="T3141" s="10"/>
      <c r="U3141" s="10"/>
      <c r="V3141" s="10"/>
      <c r="W3141" s="10" t="s">
        <v>21387</v>
      </c>
      <c r="X3141" s="10" t="s">
        <v>216</v>
      </c>
      <c r="Y3141" s="10" t="s">
        <v>216</v>
      </c>
      <c r="Z3141" s="10" t="s">
        <v>99</v>
      </c>
      <c r="AA3141" s="10" t="s">
        <v>131</v>
      </c>
      <c r="AB3141" s="10" t="s">
        <v>21388</v>
      </c>
      <c r="AC3141" s="10" t="s">
        <v>21389</v>
      </c>
      <c r="AD3141" s="10" t="s">
        <v>165</v>
      </c>
      <c r="AE3141" s="10" t="s">
        <v>22986</v>
      </c>
      <c r="AF3141" s="15"/>
      <c r="AG3141" s="10"/>
      <c r="AH3141" s="10"/>
      <c r="AI3141" s="10"/>
      <c r="AJ3141" s="10"/>
      <c r="AK3141" s="10" t="s">
        <v>102</v>
      </c>
      <c r="AL3141" s="10"/>
      <c r="AM3141" s="10"/>
      <c r="AN3141" s="10"/>
      <c r="AO3141" s="13" t="b">
        <v>0</v>
      </c>
      <c r="AP3141" s="22" t="s">
        <v>221</v>
      </c>
      <c r="AQ3141" s="10">
        <f ca="1">IFERROR(__xludf.DUMMYFUNCTION("""COMPUTED_VALUE"""),4784598)</f>
        <v>4784598</v>
      </c>
      <c r="AR3141" s="17">
        <v>11464</v>
      </c>
      <c r="AS3141" s="17">
        <v>8138</v>
      </c>
      <c r="AT3141" s="17">
        <v>180602.75</v>
      </c>
      <c r="AU3141" s="17">
        <v>45.45</v>
      </c>
      <c r="AV3141" s="17">
        <v>5.9</v>
      </c>
      <c r="AW3141" s="10" t="s">
        <v>105</v>
      </c>
      <c r="AX3141" s="17">
        <v>6579</v>
      </c>
      <c r="AY3141" s="18">
        <v>22.192522732858198</v>
      </c>
      <c r="AZ3141" s="10"/>
      <c r="BA3141" s="20" t="b">
        <v>0</v>
      </c>
      <c r="BB3141" s="10" t="s">
        <v>21425</v>
      </c>
      <c r="BC3141" s="17">
        <v>11464</v>
      </c>
      <c r="BD3141" s="17">
        <v>8138</v>
      </c>
      <c r="BE3141" s="17">
        <v>180602.75</v>
      </c>
      <c r="BF3141" s="17">
        <v>5.9</v>
      </c>
      <c r="BG3141" s="11">
        <f ca="1">IFERROR(__xludf.DUMMYFUNCTION("""COMPUTED_VALUE"""),46010.4236111111)</f>
        <v>46010.423611111102</v>
      </c>
      <c r="BH3141" s="17" t="s">
        <v>105</v>
      </c>
      <c r="BI3141" s="17"/>
      <c r="BJ3141" s="15"/>
      <c r="BK3141" s="15"/>
      <c r="BL3141" s="13" t="b">
        <v>0</v>
      </c>
      <c r="BM3141" s="10"/>
      <c r="BN3141" s="10" t="s">
        <v>6278</v>
      </c>
      <c r="BO3141" s="11">
        <v>46009.559027777781</v>
      </c>
      <c r="BP3141" s="11">
        <v>46009.559178240743</v>
      </c>
      <c r="BQ3141" s="15"/>
      <c r="BR3141" s="15">
        <v>46009.709918981483</v>
      </c>
      <c r="BS3141" s="10" t="s">
        <v>6278</v>
      </c>
      <c r="BT3141" s="10" t="s">
        <v>99</v>
      </c>
      <c r="BU3141" s="10"/>
      <c r="BV3141" s="10"/>
      <c r="BW3141" s="10"/>
      <c r="BX3141" s="10"/>
      <c r="BY3141" s="23"/>
      <c r="BZ3141" s="23"/>
      <c r="CA3141" s="19" t="s">
        <v>21427</v>
      </c>
      <c r="CB3141" s="23"/>
      <c r="CC3141" s="23"/>
      <c r="CD3141" s="19" t="s">
        <v>21428</v>
      </c>
      <c r="CE3141" s="23"/>
      <c r="CF3141" s="23"/>
      <c r="CG3141" s="23"/>
      <c r="CH3141" s="23"/>
      <c r="CI3141" s="23"/>
    </row>
    <row r="3142" spans="1:87" x14ac:dyDescent="0.3">
      <c r="A3142" s="9" t="s">
        <v>22987</v>
      </c>
      <c r="B3142" s="10" t="s">
        <v>22988</v>
      </c>
      <c r="C3142" s="11">
        <v>46010.388888888891</v>
      </c>
      <c r="D3142" s="12">
        <v>3.4722222222222224E-2</v>
      </c>
      <c r="E3142" s="11">
        <v>46010.423611111109</v>
      </c>
      <c r="F3142" s="22" t="s">
        <v>21383</v>
      </c>
      <c r="G3142" s="13" t="b">
        <v>0</v>
      </c>
      <c r="H3142" s="22" t="s">
        <v>21384</v>
      </c>
      <c r="I3142" s="10" t="s">
        <v>9131</v>
      </c>
      <c r="J3142" s="13" t="b">
        <v>0</v>
      </c>
      <c r="K3142" s="13" t="b">
        <v>1</v>
      </c>
      <c r="L3142" s="10" t="s">
        <v>124</v>
      </c>
      <c r="M3142" s="10" t="s">
        <v>91</v>
      </c>
      <c r="N3142" s="10" t="s">
        <v>92</v>
      </c>
      <c r="O3142" s="19" t="s">
        <v>22989</v>
      </c>
      <c r="P3142" s="10"/>
      <c r="Q3142" s="10" t="s">
        <v>126</v>
      </c>
      <c r="R3142" s="10"/>
      <c r="S3142" s="19" t="s">
        <v>21430</v>
      </c>
      <c r="T3142" s="10"/>
      <c r="U3142" s="10"/>
      <c r="V3142" s="10"/>
      <c r="W3142" s="10" t="s">
        <v>21387</v>
      </c>
      <c r="X3142" s="10" t="s">
        <v>216</v>
      </c>
      <c r="Y3142" s="10" t="s">
        <v>216</v>
      </c>
      <c r="Z3142" s="10" t="s">
        <v>99</v>
      </c>
      <c r="AA3142" s="10" t="s">
        <v>131</v>
      </c>
      <c r="AB3142" s="10" t="s">
        <v>21388</v>
      </c>
      <c r="AC3142" s="10" t="s">
        <v>21389</v>
      </c>
      <c r="AD3142" s="10" t="s">
        <v>165</v>
      </c>
      <c r="AE3142" s="10" t="s">
        <v>22990</v>
      </c>
      <c r="AF3142" s="15"/>
      <c r="AG3142" s="10"/>
      <c r="AH3142" s="10"/>
      <c r="AI3142" s="10"/>
      <c r="AJ3142" s="10"/>
      <c r="AK3142" s="10" t="s">
        <v>102</v>
      </c>
      <c r="AL3142" s="10"/>
      <c r="AM3142" s="10"/>
      <c r="AN3142" s="10"/>
      <c r="AO3142" s="13" t="b">
        <v>0</v>
      </c>
      <c r="AP3142" s="22" t="s">
        <v>135</v>
      </c>
      <c r="AQ3142" s="10">
        <f ca="1">IFERROR(__xludf.DUMMYFUNCTION("""COMPUTED_VALUE"""),4784607)</f>
        <v>4784607</v>
      </c>
      <c r="AR3142" s="17">
        <v>9168</v>
      </c>
      <c r="AS3142" s="17">
        <v>5712</v>
      </c>
      <c r="AT3142" s="17">
        <v>127365.25</v>
      </c>
      <c r="AU3142" s="17">
        <v>19.95</v>
      </c>
      <c r="AV3142" s="17">
        <v>1.9</v>
      </c>
      <c r="AW3142" s="10" t="s">
        <v>105</v>
      </c>
      <c r="AX3142" s="17">
        <v>5790</v>
      </c>
      <c r="AY3142" s="18">
        <v>22.297837885154063</v>
      </c>
      <c r="AZ3142" s="10"/>
      <c r="BA3142" s="20" t="b">
        <v>0</v>
      </c>
      <c r="BB3142" s="10" t="s">
        <v>21429</v>
      </c>
      <c r="BC3142" s="17">
        <v>9168</v>
      </c>
      <c r="BD3142" s="17">
        <v>5712</v>
      </c>
      <c r="BE3142" s="17">
        <v>127365.25</v>
      </c>
      <c r="BF3142" s="17">
        <v>1.9</v>
      </c>
      <c r="BG3142" s="11">
        <f ca="1">IFERROR(__xludf.DUMMYFUNCTION("""COMPUTED_VALUE"""),46010.3888888888)</f>
        <v>46010.388888888803</v>
      </c>
      <c r="BH3142" s="17" t="s">
        <v>105</v>
      </c>
      <c r="BI3142" s="17"/>
      <c r="BJ3142" s="15"/>
      <c r="BK3142" s="15"/>
      <c r="BL3142" s="13" t="b">
        <v>0</v>
      </c>
      <c r="BM3142" s="10"/>
      <c r="BN3142" s="10" t="s">
        <v>6278</v>
      </c>
      <c r="BO3142" s="11">
        <v>46009.559027777781</v>
      </c>
      <c r="BP3142" s="11">
        <v>46009.559386574074</v>
      </c>
      <c r="BQ3142" s="15"/>
      <c r="BR3142" s="15">
        <v>46009.735069444447</v>
      </c>
      <c r="BS3142" s="10" t="s">
        <v>6278</v>
      </c>
      <c r="BT3142" s="10"/>
      <c r="BU3142" s="10"/>
      <c r="BV3142" s="10"/>
      <c r="BW3142" s="10"/>
      <c r="BX3142" s="10"/>
      <c r="BY3142" s="23"/>
      <c r="BZ3142" s="23"/>
      <c r="CA3142" s="19" t="s">
        <v>21431</v>
      </c>
      <c r="CB3142" s="23"/>
      <c r="CC3142" s="23"/>
      <c r="CD3142" s="19" t="s">
        <v>21432</v>
      </c>
      <c r="CE3142" s="23"/>
      <c r="CF3142" s="23"/>
      <c r="CG3142" s="23"/>
      <c r="CH3142" s="23"/>
      <c r="CI3142" s="23"/>
    </row>
    <row r="3143" spans="1:87" x14ac:dyDescent="0.3">
      <c r="A3143" s="9" t="s">
        <v>22991</v>
      </c>
      <c r="B3143" s="10" t="s">
        <v>22992</v>
      </c>
      <c r="C3143" s="11">
        <v>46010.458333333336</v>
      </c>
      <c r="D3143" s="12">
        <v>3.4722222222222224E-2</v>
      </c>
      <c r="E3143" s="11">
        <v>46010.493055555555</v>
      </c>
      <c r="F3143" s="22" t="s">
        <v>21383</v>
      </c>
      <c r="G3143" s="13" t="b">
        <v>0</v>
      </c>
      <c r="H3143" s="22" t="s">
        <v>21384</v>
      </c>
      <c r="I3143" s="10" t="s">
        <v>9131</v>
      </c>
      <c r="J3143" s="13" t="b">
        <v>0</v>
      </c>
      <c r="K3143" s="13" t="b">
        <v>1</v>
      </c>
      <c r="L3143" s="10" t="s">
        <v>124</v>
      </c>
      <c r="M3143" s="10" t="s">
        <v>91</v>
      </c>
      <c r="N3143" s="10" t="s">
        <v>92</v>
      </c>
      <c r="O3143" s="19" t="s">
        <v>22993</v>
      </c>
      <c r="P3143" s="10"/>
      <c r="Q3143" s="10" t="s">
        <v>126</v>
      </c>
      <c r="R3143" s="10"/>
      <c r="S3143" s="19" t="s">
        <v>21426</v>
      </c>
      <c r="T3143" s="10"/>
      <c r="U3143" s="10"/>
      <c r="V3143" s="10"/>
      <c r="W3143" s="10" t="s">
        <v>21387</v>
      </c>
      <c r="X3143" s="10" t="s">
        <v>216</v>
      </c>
      <c r="Y3143" s="10" t="s">
        <v>216</v>
      </c>
      <c r="Z3143" s="10" t="s">
        <v>99</v>
      </c>
      <c r="AA3143" s="10" t="s">
        <v>131</v>
      </c>
      <c r="AB3143" s="10" t="s">
        <v>21388</v>
      </c>
      <c r="AC3143" s="10" t="s">
        <v>21389</v>
      </c>
      <c r="AD3143" s="10" t="s">
        <v>165</v>
      </c>
      <c r="AE3143" s="10" t="s">
        <v>22994</v>
      </c>
      <c r="AF3143" s="15"/>
      <c r="AG3143" s="10"/>
      <c r="AH3143" s="10"/>
      <c r="AI3143" s="10"/>
      <c r="AJ3143" s="10"/>
      <c r="AK3143" s="10" t="s">
        <v>102</v>
      </c>
      <c r="AL3143" s="10"/>
      <c r="AM3143" s="10"/>
      <c r="AN3143" s="10"/>
      <c r="AO3143" s="13" t="b">
        <v>0</v>
      </c>
      <c r="AP3143" s="22" t="s">
        <v>135</v>
      </c>
      <c r="AQ3143" s="10">
        <f ca="1">IFERROR(__xludf.DUMMYFUNCTION("""COMPUTED_VALUE"""),4784600)</f>
        <v>4784600</v>
      </c>
      <c r="AR3143" s="17">
        <v>6177</v>
      </c>
      <c r="AS3143" s="17">
        <v>4248</v>
      </c>
      <c r="AT3143" s="17">
        <v>40970.5</v>
      </c>
      <c r="AU3143" s="17">
        <v>10.85</v>
      </c>
      <c r="AV3143" s="17">
        <v>1.6</v>
      </c>
      <c r="AW3143" s="10" t="s">
        <v>105</v>
      </c>
      <c r="AX3143" s="17">
        <v>6696</v>
      </c>
      <c r="AY3143" s="18">
        <v>9.6446563088512249</v>
      </c>
      <c r="AZ3143" s="10"/>
      <c r="BA3143" s="20" t="b">
        <v>0</v>
      </c>
      <c r="BB3143" s="10" t="s">
        <v>21425</v>
      </c>
      <c r="BC3143" s="17">
        <v>6177</v>
      </c>
      <c r="BD3143" s="17">
        <v>4248</v>
      </c>
      <c r="BE3143" s="17">
        <v>40970.5</v>
      </c>
      <c r="BF3143" s="17">
        <v>1.6</v>
      </c>
      <c r="BG3143" s="11">
        <f ca="1">IFERROR(__xludf.DUMMYFUNCTION("""COMPUTED_VALUE"""),46010.4583333333)</f>
        <v>46010.458333333299</v>
      </c>
      <c r="BH3143" s="17" t="s">
        <v>105</v>
      </c>
      <c r="BI3143" s="17"/>
      <c r="BJ3143" s="15"/>
      <c r="BK3143" s="15"/>
      <c r="BL3143" s="13" t="b">
        <v>0</v>
      </c>
      <c r="BM3143" s="10"/>
      <c r="BN3143" s="10" t="s">
        <v>6278</v>
      </c>
      <c r="BO3143" s="11">
        <v>46009.559027777781</v>
      </c>
      <c r="BP3143" s="11">
        <v>46009.559560185182</v>
      </c>
      <c r="BQ3143" s="15"/>
      <c r="BR3143" s="15">
        <v>46009.710081018522</v>
      </c>
      <c r="BS3143" s="10" t="s">
        <v>6278</v>
      </c>
      <c r="BT3143" s="10"/>
      <c r="BU3143" s="10"/>
      <c r="BV3143" s="10"/>
      <c r="BW3143" s="10"/>
      <c r="BX3143" s="10"/>
      <c r="BY3143" s="23"/>
      <c r="BZ3143" s="23"/>
      <c r="CA3143" s="19" t="s">
        <v>21427</v>
      </c>
      <c r="CB3143" s="23"/>
      <c r="CC3143" s="23"/>
      <c r="CD3143" s="19" t="s">
        <v>21428</v>
      </c>
      <c r="CE3143" s="23"/>
      <c r="CF3143" s="23"/>
      <c r="CG3143" s="23"/>
      <c r="CH3143" s="23"/>
      <c r="CI3143" s="23"/>
    </row>
    <row r="3144" spans="1:87" x14ac:dyDescent="0.3">
      <c r="A3144" s="9" t="s">
        <v>22995</v>
      </c>
      <c r="B3144" s="10" t="s">
        <v>22996</v>
      </c>
      <c r="C3144" s="11">
        <v>46010.423611111109</v>
      </c>
      <c r="D3144" s="12">
        <v>3.4722222222222224E-2</v>
      </c>
      <c r="E3144" s="11">
        <v>46010.458333333336</v>
      </c>
      <c r="F3144" s="22" t="s">
        <v>21383</v>
      </c>
      <c r="G3144" s="13" t="b">
        <v>0</v>
      </c>
      <c r="H3144" s="22" t="s">
        <v>21384</v>
      </c>
      <c r="I3144" s="10" t="s">
        <v>9131</v>
      </c>
      <c r="J3144" s="13" t="b">
        <v>0</v>
      </c>
      <c r="K3144" s="13" t="b">
        <v>1</v>
      </c>
      <c r="L3144" s="10" t="s">
        <v>124</v>
      </c>
      <c r="M3144" s="10" t="s">
        <v>91</v>
      </c>
      <c r="N3144" s="10" t="s">
        <v>92</v>
      </c>
      <c r="O3144" s="19" t="s">
        <v>22997</v>
      </c>
      <c r="P3144" s="10"/>
      <c r="Q3144" s="10" t="s">
        <v>126</v>
      </c>
      <c r="R3144" s="10"/>
      <c r="S3144" s="19" t="s">
        <v>21430</v>
      </c>
      <c r="T3144" s="10"/>
      <c r="U3144" s="10"/>
      <c r="V3144" s="10"/>
      <c r="W3144" s="10" t="s">
        <v>21387</v>
      </c>
      <c r="X3144" s="10" t="s">
        <v>216</v>
      </c>
      <c r="Y3144" s="10" t="s">
        <v>216</v>
      </c>
      <c r="Z3144" s="10" t="s">
        <v>99</v>
      </c>
      <c r="AA3144" s="10" t="s">
        <v>131</v>
      </c>
      <c r="AB3144" s="10" t="s">
        <v>21388</v>
      </c>
      <c r="AC3144" s="10" t="s">
        <v>21389</v>
      </c>
      <c r="AD3144" s="10" t="s">
        <v>165</v>
      </c>
      <c r="AE3144" s="10" t="s">
        <v>22998</v>
      </c>
      <c r="AF3144" s="15"/>
      <c r="AG3144" s="10"/>
      <c r="AH3144" s="10"/>
      <c r="AI3144" s="10"/>
      <c r="AJ3144" s="10"/>
      <c r="AK3144" s="10" t="s">
        <v>102</v>
      </c>
      <c r="AL3144" s="10"/>
      <c r="AM3144" s="10"/>
      <c r="AN3144" s="10"/>
      <c r="AO3144" s="13" t="b">
        <v>0</v>
      </c>
      <c r="AP3144" s="22" t="s">
        <v>135</v>
      </c>
      <c r="AQ3144" s="10">
        <f ca="1">IFERROR(__xludf.DUMMYFUNCTION("""COMPUTED_VALUE"""),4784609)</f>
        <v>4784609</v>
      </c>
      <c r="AR3144" s="17">
        <v>14197</v>
      </c>
      <c r="AS3144" s="17">
        <v>7665</v>
      </c>
      <c r="AT3144" s="17">
        <v>176526.75</v>
      </c>
      <c r="AU3144" s="17">
        <v>28.5</v>
      </c>
      <c r="AV3144" s="17">
        <v>4.3</v>
      </c>
      <c r="AW3144" s="10" t="s">
        <v>105</v>
      </c>
      <c r="AX3144" s="17">
        <v>3703</v>
      </c>
      <c r="AY3144" s="18">
        <v>23.030234833659492</v>
      </c>
      <c r="AZ3144" s="10"/>
      <c r="BA3144" s="20" t="b">
        <v>0</v>
      </c>
      <c r="BB3144" s="10" t="s">
        <v>21429</v>
      </c>
      <c r="BC3144" s="17">
        <v>14197</v>
      </c>
      <c r="BD3144" s="17">
        <v>7665</v>
      </c>
      <c r="BE3144" s="17">
        <v>176526.75</v>
      </c>
      <c r="BF3144" s="17">
        <v>4.3</v>
      </c>
      <c r="BG3144" s="11">
        <f ca="1">IFERROR(__xludf.DUMMYFUNCTION("""COMPUTED_VALUE"""),46010.4236111111)</f>
        <v>46010.423611111102</v>
      </c>
      <c r="BH3144" s="17" t="s">
        <v>105</v>
      </c>
      <c r="BI3144" s="17"/>
      <c r="BJ3144" s="15"/>
      <c r="BK3144" s="15"/>
      <c r="BL3144" s="13" t="b">
        <v>0</v>
      </c>
      <c r="BM3144" s="10"/>
      <c r="BN3144" s="10" t="s">
        <v>6278</v>
      </c>
      <c r="BO3144" s="11">
        <v>46009.559027777781</v>
      </c>
      <c r="BP3144" s="11">
        <v>46009.559548611112</v>
      </c>
      <c r="BQ3144" s="15"/>
      <c r="BR3144" s="15">
        <v>46009.735196759262</v>
      </c>
      <c r="BS3144" s="10" t="s">
        <v>6278</v>
      </c>
      <c r="BT3144" s="10"/>
      <c r="BU3144" s="10"/>
      <c r="BV3144" s="10"/>
      <c r="BW3144" s="10"/>
      <c r="BX3144" s="10"/>
      <c r="BY3144" s="23"/>
      <c r="BZ3144" s="23"/>
      <c r="CA3144" s="19" t="s">
        <v>21431</v>
      </c>
      <c r="CB3144" s="23"/>
      <c r="CC3144" s="23"/>
      <c r="CD3144" s="19" t="s">
        <v>21432</v>
      </c>
      <c r="CE3144" s="23"/>
      <c r="CF3144" s="23"/>
      <c r="CG3144" s="23"/>
      <c r="CH3144" s="23"/>
      <c r="CI3144" s="23"/>
    </row>
    <row r="3145" spans="1:87" x14ac:dyDescent="0.3">
      <c r="A3145" s="9" t="s">
        <v>22999</v>
      </c>
      <c r="B3145" s="10" t="s">
        <v>23000</v>
      </c>
      <c r="C3145" s="11">
        <v>46010.493055555555</v>
      </c>
      <c r="D3145" s="12">
        <v>3.4722222222222224E-2</v>
      </c>
      <c r="E3145" s="11">
        <v>46010.527777777781</v>
      </c>
      <c r="F3145" s="22" t="s">
        <v>21383</v>
      </c>
      <c r="G3145" s="13" t="b">
        <v>0</v>
      </c>
      <c r="H3145" s="22" t="s">
        <v>21384</v>
      </c>
      <c r="I3145" s="10" t="s">
        <v>9131</v>
      </c>
      <c r="J3145" s="13" t="b">
        <v>0</v>
      </c>
      <c r="K3145" s="13" t="b">
        <v>1</v>
      </c>
      <c r="L3145" s="10" t="s">
        <v>124</v>
      </c>
      <c r="M3145" s="10" t="s">
        <v>91</v>
      </c>
      <c r="N3145" s="10" t="s">
        <v>92</v>
      </c>
      <c r="O3145" s="19" t="s">
        <v>23001</v>
      </c>
      <c r="P3145" s="10"/>
      <c r="Q3145" s="10" t="s">
        <v>126</v>
      </c>
      <c r="R3145" s="10"/>
      <c r="S3145" s="19" t="s">
        <v>21426</v>
      </c>
      <c r="T3145" s="10"/>
      <c r="U3145" s="10"/>
      <c r="V3145" s="10"/>
      <c r="W3145" s="10" t="s">
        <v>21387</v>
      </c>
      <c r="X3145" s="10" t="s">
        <v>216</v>
      </c>
      <c r="Y3145" s="10" t="s">
        <v>216</v>
      </c>
      <c r="Z3145" s="10" t="s">
        <v>99</v>
      </c>
      <c r="AA3145" s="10" t="s">
        <v>131</v>
      </c>
      <c r="AB3145" s="10" t="s">
        <v>21388</v>
      </c>
      <c r="AC3145" s="10" t="s">
        <v>21389</v>
      </c>
      <c r="AD3145" s="10" t="s">
        <v>165</v>
      </c>
      <c r="AE3145" s="10" t="s">
        <v>23002</v>
      </c>
      <c r="AF3145" s="15"/>
      <c r="AG3145" s="10"/>
      <c r="AH3145" s="10"/>
      <c r="AI3145" s="10"/>
      <c r="AJ3145" s="10"/>
      <c r="AK3145" s="10" t="s">
        <v>102</v>
      </c>
      <c r="AL3145" s="10"/>
      <c r="AM3145" s="10"/>
      <c r="AN3145" s="10"/>
      <c r="AO3145" s="13" t="b">
        <v>0</v>
      </c>
      <c r="AP3145" s="22" t="s">
        <v>104</v>
      </c>
      <c r="AQ3145" s="10">
        <f ca="1">IFERROR(__xludf.DUMMYFUNCTION("""COMPUTED_VALUE"""),4784601)</f>
        <v>4784601</v>
      </c>
      <c r="AR3145" s="17">
        <v>6951</v>
      </c>
      <c r="AS3145" s="17">
        <v>5037</v>
      </c>
      <c r="AT3145" s="17">
        <v>71571.25</v>
      </c>
      <c r="AU3145" s="17">
        <v>23.7</v>
      </c>
      <c r="AV3145" s="17">
        <v>7.8</v>
      </c>
      <c r="AW3145" s="10" t="s">
        <v>105</v>
      </c>
      <c r="AX3145" s="17">
        <v>3169</v>
      </c>
      <c r="AY3145" s="18">
        <v>14.209102640460591</v>
      </c>
      <c r="AZ3145" s="10"/>
      <c r="BA3145" s="20" t="b">
        <v>0</v>
      </c>
      <c r="BB3145" s="10" t="s">
        <v>21425</v>
      </c>
      <c r="BC3145" s="17">
        <v>6951</v>
      </c>
      <c r="BD3145" s="17">
        <v>5037</v>
      </c>
      <c r="BE3145" s="17">
        <v>71571.25</v>
      </c>
      <c r="BF3145" s="17">
        <v>7.8</v>
      </c>
      <c r="BG3145" s="11">
        <f ca="1">IFERROR(__xludf.DUMMYFUNCTION("""COMPUTED_VALUE"""),46010.4930555555)</f>
        <v>46010.493055555497</v>
      </c>
      <c r="BH3145" s="17" t="s">
        <v>105</v>
      </c>
      <c r="BI3145" s="17"/>
      <c r="BJ3145" s="15"/>
      <c r="BK3145" s="15"/>
      <c r="BL3145" s="13" t="b">
        <v>0</v>
      </c>
      <c r="BM3145" s="10"/>
      <c r="BN3145" s="10" t="s">
        <v>6278</v>
      </c>
      <c r="BO3145" s="11">
        <v>46009.559027777781</v>
      </c>
      <c r="BP3145" s="11">
        <v>46009.55972222222</v>
      </c>
      <c r="BQ3145" s="15"/>
      <c r="BR3145" s="15">
        <v>46009.710752314815</v>
      </c>
      <c r="BS3145" s="10" t="s">
        <v>6278</v>
      </c>
      <c r="BT3145" s="10"/>
      <c r="BU3145" s="10"/>
      <c r="BV3145" s="10"/>
      <c r="BW3145" s="10"/>
      <c r="BX3145" s="10"/>
      <c r="BY3145" s="23"/>
      <c r="BZ3145" s="23"/>
      <c r="CA3145" s="19" t="s">
        <v>21427</v>
      </c>
      <c r="CB3145" s="23"/>
      <c r="CC3145" s="23"/>
      <c r="CD3145" s="19" t="s">
        <v>21428</v>
      </c>
      <c r="CE3145" s="23"/>
      <c r="CF3145" s="23"/>
      <c r="CG3145" s="23"/>
      <c r="CH3145" s="23"/>
      <c r="CI3145" s="23"/>
    </row>
    <row r="3146" spans="1:87" x14ac:dyDescent="0.3">
      <c r="A3146" s="9" t="s">
        <v>23003</v>
      </c>
      <c r="B3146" s="10" t="s">
        <v>23004</v>
      </c>
      <c r="C3146" s="11">
        <v>46010.458333333336</v>
      </c>
      <c r="D3146" s="12">
        <v>3.4722222222222224E-2</v>
      </c>
      <c r="E3146" s="11">
        <v>46010.493055555555</v>
      </c>
      <c r="F3146" s="22" t="s">
        <v>21383</v>
      </c>
      <c r="G3146" s="13" t="b">
        <v>0</v>
      </c>
      <c r="H3146" s="22" t="s">
        <v>21384</v>
      </c>
      <c r="I3146" s="10" t="s">
        <v>9131</v>
      </c>
      <c r="J3146" s="13" t="b">
        <v>0</v>
      </c>
      <c r="K3146" s="13" t="b">
        <v>1</v>
      </c>
      <c r="L3146" s="10" t="s">
        <v>124</v>
      </c>
      <c r="M3146" s="10" t="s">
        <v>91</v>
      </c>
      <c r="N3146" s="10" t="s">
        <v>92</v>
      </c>
      <c r="O3146" s="19" t="s">
        <v>23005</v>
      </c>
      <c r="P3146" s="10"/>
      <c r="Q3146" s="10" t="s">
        <v>126</v>
      </c>
      <c r="R3146" s="10"/>
      <c r="S3146" s="19" t="s">
        <v>21430</v>
      </c>
      <c r="T3146" s="10"/>
      <c r="U3146" s="10"/>
      <c r="V3146" s="10"/>
      <c r="W3146" s="10" t="s">
        <v>21387</v>
      </c>
      <c r="X3146" s="10" t="s">
        <v>216</v>
      </c>
      <c r="Y3146" s="10" t="s">
        <v>216</v>
      </c>
      <c r="Z3146" s="10" t="s">
        <v>99</v>
      </c>
      <c r="AA3146" s="10" t="s">
        <v>131</v>
      </c>
      <c r="AB3146" s="10" t="s">
        <v>21388</v>
      </c>
      <c r="AC3146" s="10" t="s">
        <v>21389</v>
      </c>
      <c r="AD3146" s="10" t="s">
        <v>165</v>
      </c>
      <c r="AE3146" s="10" t="s">
        <v>23006</v>
      </c>
      <c r="AF3146" s="15"/>
      <c r="AG3146" s="10"/>
      <c r="AH3146" s="10"/>
      <c r="AI3146" s="10"/>
      <c r="AJ3146" s="10"/>
      <c r="AK3146" s="10" t="s">
        <v>102</v>
      </c>
      <c r="AL3146" s="10"/>
      <c r="AM3146" s="10"/>
      <c r="AN3146" s="10"/>
      <c r="AO3146" s="13" t="b">
        <v>0</v>
      </c>
      <c r="AP3146" s="22" t="s">
        <v>135</v>
      </c>
      <c r="AQ3146" s="10">
        <f ca="1">IFERROR(__xludf.DUMMYFUNCTION("""COMPUTED_VALUE"""),4784610)</f>
        <v>4784610</v>
      </c>
      <c r="AR3146" s="17">
        <v>9189</v>
      </c>
      <c r="AS3146" s="17">
        <v>5991</v>
      </c>
      <c r="AT3146" s="17">
        <v>69277.25</v>
      </c>
      <c r="AU3146" s="17">
        <v>15.8</v>
      </c>
      <c r="AV3146" s="17">
        <v>2.85</v>
      </c>
      <c r="AW3146" s="10" t="s">
        <v>105</v>
      </c>
      <c r="AX3146" s="17">
        <v>3771</v>
      </c>
      <c r="AY3146" s="18">
        <v>11.563553663829078</v>
      </c>
      <c r="AZ3146" s="10"/>
      <c r="BA3146" s="20" t="b">
        <v>0</v>
      </c>
      <c r="BB3146" s="10" t="s">
        <v>21429</v>
      </c>
      <c r="BC3146" s="17">
        <v>9189</v>
      </c>
      <c r="BD3146" s="17">
        <v>5991</v>
      </c>
      <c r="BE3146" s="17">
        <v>69277.25</v>
      </c>
      <c r="BF3146" s="17">
        <v>2.85</v>
      </c>
      <c r="BG3146" s="11">
        <f ca="1">IFERROR(__xludf.DUMMYFUNCTION("""COMPUTED_VALUE"""),46010.4583333333)</f>
        <v>46010.458333333299</v>
      </c>
      <c r="BH3146" s="17" t="s">
        <v>105</v>
      </c>
      <c r="BI3146" s="17"/>
      <c r="BJ3146" s="15"/>
      <c r="BK3146" s="15"/>
      <c r="BL3146" s="13" t="b">
        <v>0</v>
      </c>
      <c r="BM3146" s="10"/>
      <c r="BN3146" s="10" t="s">
        <v>6278</v>
      </c>
      <c r="BO3146" s="11">
        <v>46009.559027777781</v>
      </c>
      <c r="BP3146" s="11">
        <v>46009.55972222222</v>
      </c>
      <c r="BQ3146" s="15"/>
      <c r="BR3146" s="15">
        <v>46009.735335648147</v>
      </c>
      <c r="BS3146" s="10" t="s">
        <v>6278</v>
      </c>
      <c r="BT3146" s="10"/>
      <c r="BU3146" s="10"/>
      <c r="BV3146" s="10"/>
      <c r="BW3146" s="10"/>
      <c r="BX3146" s="10"/>
      <c r="BY3146" s="23"/>
      <c r="BZ3146" s="23"/>
      <c r="CA3146" s="19" t="s">
        <v>21431</v>
      </c>
      <c r="CB3146" s="23"/>
      <c r="CC3146" s="23"/>
      <c r="CD3146" s="19" t="s">
        <v>21432</v>
      </c>
      <c r="CE3146" s="23"/>
      <c r="CF3146" s="23"/>
      <c r="CG3146" s="23"/>
      <c r="CH3146" s="23"/>
      <c r="CI3146" s="23"/>
    </row>
    <row r="3147" spans="1:87" x14ac:dyDescent="0.3">
      <c r="A3147" s="9" t="s">
        <v>23007</v>
      </c>
      <c r="B3147" s="10" t="s">
        <v>23008</v>
      </c>
      <c r="C3147" s="11">
        <v>46010.666666666664</v>
      </c>
      <c r="D3147" s="12">
        <v>3.4722222222222224E-2</v>
      </c>
      <c r="E3147" s="11">
        <v>46010.701388888891</v>
      </c>
      <c r="F3147" s="22" t="s">
        <v>21383</v>
      </c>
      <c r="G3147" s="13" t="b">
        <v>0</v>
      </c>
      <c r="H3147" s="22" t="s">
        <v>21384</v>
      </c>
      <c r="I3147" s="10" t="s">
        <v>9131</v>
      </c>
      <c r="J3147" s="13" t="b">
        <v>0</v>
      </c>
      <c r="K3147" s="13" t="b">
        <v>1</v>
      </c>
      <c r="L3147" s="10" t="s">
        <v>124</v>
      </c>
      <c r="M3147" s="10" t="s">
        <v>91</v>
      </c>
      <c r="N3147" s="10" t="s">
        <v>92</v>
      </c>
      <c r="O3147" s="19" t="s">
        <v>23009</v>
      </c>
      <c r="P3147" s="10"/>
      <c r="Q3147" s="10" t="s">
        <v>126</v>
      </c>
      <c r="R3147" s="10"/>
      <c r="S3147" s="19" t="s">
        <v>21438</v>
      </c>
      <c r="T3147" s="10"/>
      <c r="U3147" s="10"/>
      <c r="V3147" s="10"/>
      <c r="W3147" s="10" t="s">
        <v>21387</v>
      </c>
      <c r="X3147" s="10" t="s">
        <v>216</v>
      </c>
      <c r="Y3147" s="10" t="s">
        <v>216</v>
      </c>
      <c r="Z3147" s="10" t="s">
        <v>99</v>
      </c>
      <c r="AA3147" s="10" t="s">
        <v>131</v>
      </c>
      <c r="AB3147" s="10" t="s">
        <v>21388</v>
      </c>
      <c r="AC3147" s="10" t="s">
        <v>21389</v>
      </c>
      <c r="AD3147" s="10" t="s">
        <v>165</v>
      </c>
      <c r="AE3147" s="10" t="s">
        <v>23010</v>
      </c>
      <c r="AF3147" s="15"/>
      <c r="AG3147" s="10"/>
      <c r="AH3147" s="10"/>
      <c r="AI3147" s="10"/>
      <c r="AJ3147" s="10"/>
      <c r="AK3147" s="10" t="s">
        <v>102</v>
      </c>
      <c r="AL3147" s="10"/>
      <c r="AM3147" s="10"/>
      <c r="AN3147" s="10"/>
      <c r="AO3147" s="13" t="b">
        <v>0</v>
      </c>
      <c r="AP3147" s="22" t="s">
        <v>221</v>
      </c>
      <c r="AQ3147" s="10">
        <f ca="1">IFERROR(__xludf.DUMMYFUNCTION("""COMPUTED_VALUE"""),4784611)</f>
        <v>4784611</v>
      </c>
      <c r="AR3147" s="17">
        <v>20156</v>
      </c>
      <c r="AS3147" s="17">
        <v>10676</v>
      </c>
      <c r="AT3147" s="17">
        <v>335708.5</v>
      </c>
      <c r="AU3147" s="17">
        <v>62.35</v>
      </c>
      <c r="AV3147" s="17">
        <v>10.3</v>
      </c>
      <c r="AW3147" s="10" t="s">
        <v>105</v>
      </c>
      <c r="AX3147" s="17">
        <v>4483</v>
      </c>
      <c r="AY3147" s="18">
        <v>31.445157362307981</v>
      </c>
      <c r="AZ3147" s="10"/>
      <c r="BA3147" s="20" t="b">
        <v>0</v>
      </c>
      <c r="BB3147" s="10" t="s">
        <v>21437</v>
      </c>
      <c r="BC3147" s="17">
        <v>20156</v>
      </c>
      <c r="BD3147" s="17">
        <v>10676</v>
      </c>
      <c r="BE3147" s="17">
        <v>335708.5</v>
      </c>
      <c r="BF3147" s="17">
        <v>10.3</v>
      </c>
      <c r="BG3147" s="11">
        <f ca="1">IFERROR(__xludf.DUMMYFUNCTION("""COMPUTED_VALUE"""),46010.6666666666)</f>
        <v>46010.666666666599</v>
      </c>
      <c r="BH3147" s="17" t="s">
        <v>105</v>
      </c>
      <c r="BI3147" s="17"/>
      <c r="BJ3147" s="15"/>
      <c r="BK3147" s="15"/>
      <c r="BL3147" s="13" t="b">
        <v>0</v>
      </c>
      <c r="BM3147" s="10"/>
      <c r="BN3147" s="10" t="s">
        <v>6278</v>
      </c>
      <c r="BO3147" s="11">
        <v>46009.55972222222</v>
      </c>
      <c r="BP3147" s="11">
        <v>46009.56</v>
      </c>
      <c r="BQ3147" s="15"/>
      <c r="BR3147" s="15">
        <v>46009.741273148145</v>
      </c>
      <c r="BS3147" s="10" t="s">
        <v>6278</v>
      </c>
      <c r="BT3147" s="10"/>
      <c r="BU3147" s="10"/>
      <c r="BV3147" s="10"/>
      <c r="BW3147" s="10"/>
      <c r="BX3147" s="10"/>
      <c r="BY3147" s="23"/>
      <c r="BZ3147" s="23"/>
      <c r="CA3147" s="19" t="s">
        <v>21439</v>
      </c>
      <c r="CB3147" s="23"/>
      <c r="CC3147" s="23"/>
      <c r="CD3147" s="19" t="s">
        <v>21440</v>
      </c>
      <c r="CE3147" s="23"/>
      <c r="CF3147" s="23"/>
      <c r="CG3147" s="23"/>
      <c r="CH3147" s="23"/>
      <c r="CI3147" s="23"/>
    </row>
    <row r="3148" spans="1:87" x14ac:dyDescent="0.3">
      <c r="A3148" s="9" t="s">
        <v>23011</v>
      </c>
      <c r="B3148" s="10" t="s">
        <v>23012</v>
      </c>
      <c r="C3148" s="11">
        <v>46010.666666666664</v>
      </c>
      <c r="D3148" s="12">
        <v>3.4722222222222224E-2</v>
      </c>
      <c r="E3148" s="11">
        <v>46010.701388888891</v>
      </c>
      <c r="F3148" s="22" t="s">
        <v>21383</v>
      </c>
      <c r="G3148" s="13" t="b">
        <v>0</v>
      </c>
      <c r="H3148" s="22" t="s">
        <v>21384</v>
      </c>
      <c r="I3148" s="10" t="s">
        <v>9131</v>
      </c>
      <c r="J3148" s="13" t="b">
        <v>0</v>
      </c>
      <c r="K3148" s="13" t="b">
        <v>1</v>
      </c>
      <c r="L3148" s="10" t="s">
        <v>124</v>
      </c>
      <c r="M3148" s="10" t="s">
        <v>91</v>
      </c>
      <c r="N3148" s="10" t="s">
        <v>92</v>
      </c>
      <c r="O3148" s="19" t="s">
        <v>23013</v>
      </c>
      <c r="P3148" s="10"/>
      <c r="Q3148" s="10" t="s">
        <v>126</v>
      </c>
      <c r="R3148" s="10"/>
      <c r="S3148" s="19" t="s">
        <v>21434</v>
      </c>
      <c r="T3148" s="10"/>
      <c r="U3148" s="10"/>
      <c r="V3148" s="10"/>
      <c r="W3148" s="10" t="s">
        <v>21387</v>
      </c>
      <c r="X3148" s="10" t="s">
        <v>216</v>
      </c>
      <c r="Y3148" s="10" t="s">
        <v>216</v>
      </c>
      <c r="Z3148" s="10" t="s">
        <v>99</v>
      </c>
      <c r="AA3148" s="10" t="s">
        <v>131</v>
      </c>
      <c r="AB3148" s="10" t="s">
        <v>21388</v>
      </c>
      <c r="AC3148" s="10" t="s">
        <v>21389</v>
      </c>
      <c r="AD3148" s="10" t="s">
        <v>165</v>
      </c>
      <c r="AE3148" s="10" t="s">
        <v>23014</v>
      </c>
      <c r="AF3148" s="15"/>
      <c r="AG3148" s="10"/>
      <c r="AH3148" s="10"/>
      <c r="AI3148" s="10"/>
      <c r="AJ3148" s="10"/>
      <c r="AK3148" s="10" t="s">
        <v>102</v>
      </c>
      <c r="AL3148" s="10"/>
      <c r="AM3148" s="10"/>
      <c r="AN3148" s="10"/>
      <c r="AO3148" s="13" t="b">
        <v>0</v>
      </c>
      <c r="AP3148" s="22" t="s">
        <v>221</v>
      </c>
      <c r="AQ3148" s="10">
        <f ca="1">IFERROR(__xludf.DUMMYFUNCTION("""COMPUTED_VALUE"""),4784602)</f>
        <v>4784602</v>
      </c>
      <c r="AR3148" s="17">
        <v>8826</v>
      </c>
      <c r="AS3148" s="17">
        <v>6106</v>
      </c>
      <c r="AT3148" s="17">
        <v>133002.75</v>
      </c>
      <c r="AU3148" s="17">
        <v>23.3</v>
      </c>
      <c r="AV3148" s="17">
        <v>5.75</v>
      </c>
      <c r="AW3148" s="10" t="s">
        <v>105</v>
      </c>
      <c r="AX3148" s="17">
        <v>2970</v>
      </c>
      <c r="AY3148" s="18">
        <v>21.782304290861447</v>
      </c>
      <c r="AZ3148" s="10"/>
      <c r="BA3148" s="20" t="b">
        <v>0</v>
      </c>
      <c r="BB3148" s="10" t="s">
        <v>21433</v>
      </c>
      <c r="BC3148" s="17">
        <v>8826</v>
      </c>
      <c r="BD3148" s="17">
        <v>6106</v>
      </c>
      <c r="BE3148" s="17">
        <v>133002.75</v>
      </c>
      <c r="BF3148" s="17">
        <v>5.75</v>
      </c>
      <c r="BG3148" s="11">
        <f ca="1">IFERROR(__xludf.DUMMYFUNCTION("""COMPUTED_VALUE"""),46010.6666666666)</f>
        <v>46010.666666666599</v>
      </c>
      <c r="BH3148" s="17" t="s">
        <v>105</v>
      </c>
      <c r="BI3148" s="17"/>
      <c r="BJ3148" s="15"/>
      <c r="BK3148" s="15"/>
      <c r="BL3148" s="13" t="b">
        <v>0</v>
      </c>
      <c r="BM3148" s="10"/>
      <c r="BN3148" s="10" t="s">
        <v>6278</v>
      </c>
      <c r="BO3148" s="11">
        <v>46009.55972222222</v>
      </c>
      <c r="BP3148" s="11">
        <v>46009.560358796298</v>
      </c>
      <c r="BQ3148" s="15"/>
      <c r="BR3148" s="15">
        <v>46009.714375000003</v>
      </c>
      <c r="BS3148" s="10" t="s">
        <v>6278</v>
      </c>
      <c r="BT3148" s="10"/>
      <c r="BU3148" s="10"/>
      <c r="BV3148" s="10"/>
      <c r="BW3148" s="10"/>
      <c r="BX3148" s="10"/>
      <c r="BY3148" s="23"/>
      <c r="BZ3148" s="23"/>
      <c r="CA3148" s="19" t="s">
        <v>21435</v>
      </c>
      <c r="CB3148" s="23"/>
      <c r="CC3148" s="23"/>
      <c r="CD3148" s="19" t="s">
        <v>21436</v>
      </c>
      <c r="CE3148" s="23"/>
      <c r="CF3148" s="23"/>
      <c r="CG3148" s="23"/>
      <c r="CH3148" s="23"/>
      <c r="CI3148" s="23"/>
    </row>
    <row r="3149" spans="1:87" x14ac:dyDescent="0.3">
      <c r="A3149" s="9" t="s">
        <v>23015</v>
      </c>
      <c r="B3149" s="10" t="s">
        <v>23016</v>
      </c>
      <c r="C3149" s="11">
        <v>46010.701388888891</v>
      </c>
      <c r="D3149" s="12">
        <v>3.4722222222222224E-2</v>
      </c>
      <c r="E3149" s="11">
        <v>46010.736111111109</v>
      </c>
      <c r="F3149" s="22" t="s">
        <v>21383</v>
      </c>
      <c r="G3149" s="13" t="b">
        <v>0</v>
      </c>
      <c r="H3149" s="22" t="s">
        <v>21384</v>
      </c>
      <c r="I3149" s="10" t="s">
        <v>9131</v>
      </c>
      <c r="J3149" s="13" t="b">
        <v>0</v>
      </c>
      <c r="K3149" s="13" t="b">
        <v>1</v>
      </c>
      <c r="L3149" s="10" t="s">
        <v>124</v>
      </c>
      <c r="M3149" s="10" t="s">
        <v>91</v>
      </c>
      <c r="N3149" s="10" t="s">
        <v>92</v>
      </c>
      <c r="O3149" s="19" t="s">
        <v>23017</v>
      </c>
      <c r="P3149" s="10"/>
      <c r="Q3149" s="10" t="s">
        <v>126</v>
      </c>
      <c r="R3149" s="10"/>
      <c r="S3149" s="19" t="s">
        <v>21438</v>
      </c>
      <c r="T3149" s="10"/>
      <c r="U3149" s="10"/>
      <c r="V3149" s="10"/>
      <c r="W3149" s="10" t="s">
        <v>21387</v>
      </c>
      <c r="X3149" s="10" t="s">
        <v>216</v>
      </c>
      <c r="Y3149" s="10" t="s">
        <v>216</v>
      </c>
      <c r="Z3149" s="10" t="s">
        <v>99</v>
      </c>
      <c r="AA3149" s="10" t="s">
        <v>131</v>
      </c>
      <c r="AB3149" s="10" t="s">
        <v>21388</v>
      </c>
      <c r="AC3149" s="10" t="s">
        <v>21389</v>
      </c>
      <c r="AD3149" s="10" t="s">
        <v>165</v>
      </c>
      <c r="AE3149" s="10" t="s">
        <v>23018</v>
      </c>
      <c r="AF3149" s="15"/>
      <c r="AG3149" s="10"/>
      <c r="AH3149" s="10"/>
      <c r="AI3149" s="10"/>
      <c r="AJ3149" s="10"/>
      <c r="AK3149" s="10" t="s">
        <v>102</v>
      </c>
      <c r="AL3149" s="10"/>
      <c r="AM3149" s="10"/>
      <c r="AN3149" s="10"/>
      <c r="AO3149" s="13" t="b">
        <v>0</v>
      </c>
      <c r="AP3149" s="22" t="s">
        <v>104</v>
      </c>
      <c r="AQ3149" s="10">
        <f ca="1">IFERROR(__xludf.DUMMYFUNCTION("""COMPUTED_VALUE"""),4784612)</f>
        <v>4784612</v>
      </c>
      <c r="AR3149" s="17">
        <v>37270</v>
      </c>
      <c r="AS3149" s="17">
        <v>21280</v>
      </c>
      <c r="AT3149" s="17">
        <v>563706.25</v>
      </c>
      <c r="AU3149" s="17">
        <v>202.45</v>
      </c>
      <c r="AV3149" s="17">
        <v>31.6</v>
      </c>
      <c r="AW3149" s="10" t="s">
        <v>105</v>
      </c>
      <c r="AX3149" s="17">
        <v>10221</v>
      </c>
      <c r="AY3149" s="18">
        <v>26.489955357142858</v>
      </c>
      <c r="AZ3149" s="10"/>
      <c r="BA3149" s="20" t="b">
        <v>0</v>
      </c>
      <c r="BB3149" s="10" t="s">
        <v>21437</v>
      </c>
      <c r="BC3149" s="17">
        <v>37270</v>
      </c>
      <c r="BD3149" s="17">
        <v>21280</v>
      </c>
      <c r="BE3149" s="17">
        <v>563706.25</v>
      </c>
      <c r="BF3149" s="17">
        <v>31.6</v>
      </c>
      <c r="BG3149" s="11">
        <f ca="1">IFERROR(__xludf.DUMMYFUNCTION("""COMPUTED_VALUE"""),46010.7013888888)</f>
        <v>46010.701388888803</v>
      </c>
      <c r="BH3149" s="17" t="s">
        <v>105</v>
      </c>
      <c r="BI3149" s="17"/>
      <c r="BJ3149" s="15"/>
      <c r="BK3149" s="15"/>
      <c r="BL3149" s="13" t="b">
        <v>0</v>
      </c>
      <c r="BM3149" s="10"/>
      <c r="BN3149" s="10" t="s">
        <v>241</v>
      </c>
      <c r="BO3149" s="11">
        <v>46009.55972222222</v>
      </c>
      <c r="BP3149" s="11">
        <v>46009.560127314813</v>
      </c>
      <c r="BQ3149" s="15"/>
      <c r="BR3149" s="15">
        <v>46009.741435185184</v>
      </c>
      <c r="BS3149" s="10"/>
      <c r="BT3149" s="10" t="s">
        <v>99</v>
      </c>
      <c r="BU3149" s="10"/>
      <c r="BV3149" s="10"/>
      <c r="BW3149" s="10"/>
      <c r="BX3149" s="10"/>
      <c r="BY3149" s="23"/>
      <c r="BZ3149" s="23"/>
      <c r="CA3149" s="19" t="s">
        <v>21439</v>
      </c>
      <c r="CB3149" s="23"/>
      <c r="CC3149" s="23"/>
      <c r="CD3149" s="19" t="s">
        <v>21440</v>
      </c>
      <c r="CE3149" s="23"/>
      <c r="CF3149" s="23"/>
      <c r="CG3149" s="23"/>
      <c r="CH3149" s="23"/>
      <c r="CI3149" s="23"/>
    </row>
    <row r="3150" spans="1:87" x14ac:dyDescent="0.3">
      <c r="A3150" s="9" t="s">
        <v>23019</v>
      </c>
      <c r="B3150" s="10" t="s">
        <v>23020</v>
      </c>
      <c r="C3150" s="11">
        <v>46010.701388888891</v>
      </c>
      <c r="D3150" s="12">
        <v>3.4722222222222224E-2</v>
      </c>
      <c r="E3150" s="11">
        <v>46010.736111111109</v>
      </c>
      <c r="F3150" s="22" t="s">
        <v>21383</v>
      </c>
      <c r="G3150" s="13" t="b">
        <v>0</v>
      </c>
      <c r="H3150" s="22" t="s">
        <v>21384</v>
      </c>
      <c r="I3150" s="10" t="s">
        <v>9131</v>
      </c>
      <c r="J3150" s="13" t="b">
        <v>0</v>
      </c>
      <c r="K3150" s="13" t="b">
        <v>1</v>
      </c>
      <c r="L3150" s="10" t="s">
        <v>124</v>
      </c>
      <c r="M3150" s="10" t="s">
        <v>91</v>
      </c>
      <c r="N3150" s="10" t="s">
        <v>92</v>
      </c>
      <c r="O3150" s="19" t="s">
        <v>23021</v>
      </c>
      <c r="P3150" s="10"/>
      <c r="Q3150" s="10" t="s">
        <v>126</v>
      </c>
      <c r="R3150" s="10"/>
      <c r="S3150" s="19" t="s">
        <v>21434</v>
      </c>
      <c r="T3150" s="10"/>
      <c r="U3150" s="10"/>
      <c r="V3150" s="10"/>
      <c r="W3150" s="10" t="s">
        <v>21387</v>
      </c>
      <c r="X3150" s="10" t="s">
        <v>216</v>
      </c>
      <c r="Y3150" s="10" t="s">
        <v>216</v>
      </c>
      <c r="Z3150" s="10" t="s">
        <v>99</v>
      </c>
      <c r="AA3150" s="10" t="s">
        <v>131</v>
      </c>
      <c r="AB3150" s="10" t="s">
        <v>21388</v>
      </c>
      <c r="AC3150" s="10" t="s">
        <v>21389</v>
      </c>
      <c r="AD3150" s="10" t="s">
        <v>165</v>
      </c>
      <c r="AE3150" s="10" t="s">
        <v>23022</v>
      </c>
      <c r="AF3150" s="15"/>
      <c r="AG3150" s="10"/>
      <c r="AH3150" s="10"/>
      <c r="AI3150" s="10"/>
      <c r="AJ3150" s="10"/>
      <c r="AK3150" s="10" t="s">
        <v>102</v>
      </c>
      <c r="AL3150" s="10"/>
      <c r="AM3150" s="10"/>
      <c r="AN3150" s="10"/>
      <c r="AO3150" s="13" t="b">
        <v>0</v>
      </c>
      <c r="AP3150" s="22" t="s">
        <v>135</v>
      </c>
      <c r="AQ3150" s="10">
        <f ca="1">IFERROR(__xludf.DUMMYFUNCTION("""COMPUTED_VALUE"""),4784603)</f>
        <v>4784603</v>
      </c>
      <c r="AR3150" s="17">
        <v>10486</v>
      </c>
      <c r="AS3150" s="17">
        <v>6738</v>
      </c>
      <c r="AT3150" s="17">
        <v>83085</v>
      </c>
      <c r="AU3150" s="17">
        <v>20.7</v>
      </c>
      <c r="AV3150" s="17">
        <v>2.7</v>
      </c>
      <c r="AW3150" s="10" t="s">
        <v>105</v>
      </c>
      <c r="AX3150" s="17">
        <v>2997</v>
      </c>
      <c r="AY3150" s="18">
        <v>12.330810329474621</v>
      </c>
      <c r="AZ3150" s="10"/>
      <c r="BA3150" s="20" t="b">
        <v>0</v>
      </c>
      <c r="BB3150" s="10" t="s">
        <v>21433</v>
      </c>
      <c r="BC3150" s="17">
        <v>10486</v>
      </c>
      <c r="BD3150" s="17">
        <v>6738</v>
      </c>
      <c r="BE3150" s="17">
        <v>83085</v>
      </c>
      <c r="BF3150" s="17">
        <v>2.7</v>
      </c>
      <c r="BG3150" s="11">
        <f ca="1">IFERROR(__xludf.DUMMYFUNCTION("""COMPUTED_VALUE"""),46010.7013888888)</f>
        <v>46010.701388888803</v>
      </c>
      <c r="BH3150" s="17" t="s">
        <v>105</v>
      </c>
      <c r="BI3150" s="17"/>
      <c r="BJ3150" s="15"/>
      <c r="BK3150" s="15"/>
      <c r="BL3150" s="13" t="b">
        <v>0</v>
      </c>
      <c r="BM3150" s="10"/>
      <c r="BN3150" s="10" t="s">
        <v>6278</v>
      </c>
      <c r="BO3150" s="11">
        <v>46009.560416666667</v>
      </c>
      <c r="BP3150" s="11">
        <v>46009.560520833336</v>
      </c>
      <c r="BQ3150" s="15"/>
      <c r="BR3150" s="15">
        <v>46009.714560185188</v>
      </c>
      <c r="BS3150" s="10" t="s">
        <v>6278</v>
      </c>
      <c r="BT3150" s="10"/>
      <c r="BU3150" s="10"/>
      <c r="BV3150" s="10"/>
      <c r="BW3150" s="10"/>
      <c r="BX3150" s="10"/>
      <c r="BY3150" s="23"/>
      <c r="BZ3150" s="23"/>
      <c r="CA3150" s="19" t="s">
        <v>21435</v>
      </c>
      <c r="CB3150" s="23"/>
      <c r="CC3150" s="23"/>
      <c r="CD3150" s="19" t="s">
        <v>21436</v>
      </c>
      <c r="CE3150" s="23"/>
      <c r="CF3150" s="23"/>
      <c r="CG3150" s="23"/>
      <c r="CH3150" s="23"/>
      <c r="CI3150" s="23"/>
    </row>
    <row r="3151" spans="1:87" x14ac:dyDescent="0.3">
      <c r="A3151" s="9" t="s">
        <v>23023</v>
      </c>
      <c r="B3151" s="10" t="s">
        <v>23024</v>
      </c>
      <c r="C3151" s="11">
        <v>46010.736111111109</v>
      </c>
      <c r="D3151" s="12">
        <v>3.4722222222222224E-2</v>
      </c>
      <c r="E3151" s="11">
        <v>46010.770833333336</v>
      </c>
      <c r="F3151" s="22" t="s">
        <v>21383</v>
      </c>
      <c r="G3151" s="13" t="b">
        <v>0</v>
      </c>
      <c r="H3151" s="22" t="s">
        <v>21384</v>
      </c>
      <c r="I3151" s="10" t="s">
        <v>9131</v>
      </c>
      <c r="J3151" s="13" t="b">
        <v>0</v>
      </c>
      <c r="K3151" s="13" t="b">
        <v>1</v>
      </c>
      <c r="L3151" s="10" t="s">
        <v>124</v>
      </c>
      <c r="M3151" s="10" t="s">
        <v>91</v>
      </c>
      <c r="N3151" s="10" t="s">
        <v>92</v>
      </c>
      <c r="O3151" s="19" t="s">
        <v>23025</v>
      </c>
      <c r="P3151" s="10"/>
      <c r="Q3151" s="10" t="s">
        <v>126</v>
      </c>
      <c r="R3151" s="10"/>
      <c r="S3151" s="19" t="s">
        <v>21438</v>
      </c>
      <c r="T3151" s="10"/>
      <c r="U3151" s="10"/>
      <c r="V3151" s="10"/>
      <c r="W3151" s="10" t="s">
        <v>21387</v>
      </c>
      <c r="X3151" s="10" t="s">
        <v>216</v>
      </c>
      <c r="Y3151" s="10" t="s">
        <v>216</v>
      </c>
      <c r="Z3151" s="10" t="s">
        <v>99</v>
      </c>
      <c r="AA3151" s="10" t="s">
        <v>131</v>
      </c>
      <c r="AB3151" s="10" t="s">
        <v>21388</v>
      </c>
      <c r="AC3151" s="10" t="s">
        <v>21389</v>
      </c>
      <c r="AD3151" s="10" t="s">
        <v>165</v>
      </c>
      <c r="AE3151" s="10" t="s">
        <v>23026</v>
      </c>
      <c r="AF3151" s="15"/>
      <c r="AG3151" s="10"/>
      <c r="AH3151" s="10"/>
      <c r="AI3151" s="10"/>
      <c r="AJ3151" s="10"/>
      <c r="AK3151" s="10" t="s">
        <v>102</v>
      </c>
      <c r="AL3151" s="10"/>
      <c r="AM3151" s="10"/>
      <c r="AN3151" s="10"/>
      <c r="AO3151" s="13" t="b">
        <v>0</v>
      </c>
      <c r="AP3151" s="22" t="s">
        <v>104</v>
      </c>
      <c r="AQ3151" s="10">
        <f ca="1">IFERROR(__xludf.DUMMYFUNCTION("""COMPUTED_VALUE"""),4784613)</f>
        <v>4784613</v>
      </c>
      <c r="AR3151" s="17">
        <v>45236</v>
      </c>
      <c r="AS3151" s="17">
        <v>23569</v>
      </c>
      <c r="AT3151" s="17">
        <v>647469.75</v>
      </c>
      <c r="AU3151" s="17">
        <v>225.45</v>
      </c>
      <c r="AV3151" s="17">
        <v>20.55</v>
      </c>
      <c r="AW3151" s="10" t="s">
        <v>105</v>
      </c>
      <c r="AX3151" s="17">
        <v>14538</v>
      </c>
      <c r="AY3151" s="18">
        <v>27.471244006958294</v>
      </c>
      <c r="AZ3151" s="10"/>
      <c r="BA3151" s="20" t="b">
        <v>0</v>
      </c>
      <c r="BB3151" s="10" t="s">
        <v>21437</v>
      </c>
      <c r="BC3151" s="17">
        <v>45236</v>
      </c>
      <c r="BD3151" s="17">
        <v>23569</v>
      </c>
      <c r="BE3151" s="17">
        <v>647469.75</v>
      </c>
      <c r="BF3151" s="17">
        <v>20.55</v>
      </c>
      <c r="BG3151" s="11">
        <f ca="1">IFERROR(__xludf.DUMMYFUNCTION("""COMPUTED_VALUE"""),46010.7361111111)</f>
        <v>46010.736111111102</v>
      </c>
      <c r="BH3151" s="17" t="s">
        <v>105</v>
      </c>
      <c r="BI3151" s="17"/>
      <c r="BJ3151" s="15"/>
      <c r="BK3151" s="15"/>
      <c r="BL3151" s="13" t="b">
        <v>0</v>
      </c>
      <c r="BM3151" s="10"/>
      <c r="BN3151" s="10" t="s">
        <v>241</v>
      </c>
      <c r="BO3151" s="11">
        <v>46009.55972222222</v>
      </c>
      <c r="BP3151" s="11">
        <v>46009.560266203705</v>
      </c>
      <c r="BQ3151" s="15"/>
      <c r="BR3151" s="15">
        <v>46009.741643518515</v>
      </c>
      <c r="BS3151" s="10"/>
      <c r="BT3151" s="10" t="s">
        <v>99</v>
      </c>
      <c r="BU3151" s="10"/>
      <c r="BV3151" s="10"/>
      <c r="BW3151" s="10"/>
      <c r="BX3151" s="10"/>
      <c r="BY3151" s="23"/>
      <c r="BZ3151" s="23"/>
      <c r="CA3151" s="19" t="s">
        <v>21439</v>
      </c>
      <c r="CB3151" s="23"/>
      <c r="CC3151" s="23"/>
      <c r="CD3151" s="19" t="s">
        <v>21440</v>
      </c>
      <c r="CE3151" s="23"/>
      <c r="CF3151" s="23"/>
      <c r="CG3151" s="23"/>
      <c r="CH3151" s="23"/>
      <c r="CI3151" s="23"/>
    </row>
    <row r="3152" spans="1:87" x14ac:dyDescent="0.3">
      <c r="A3152" s="9" t="s">
        <v>23027</v>
      </c>
      <c r="B3152" s="10" t="s">
        <v>23028</v>
      </c>
      <c r="C3152" s="11">
        <v>46010.736111111109</v>
      </c>
      <c r="D3152" s="12">
        <v>3.4722222222222224E-2</v>
      </c>
      <c r="E3152" s="11">
        <v>46010.770833333336</v>
      </c>
      <c r="F3152" s="22" t="s">
        <v>21383</v>
      </c>
      <c r="G3152" s="13" t="b">
        <v>0</v>
      </c>
      <c r="H3152" s="22" t="s">
        <v>21384</v>
      </c>
      <c r="I3152" s="10" t="s">
        <v>9131</v>
      </c>
      <c r="J3152" s="13" t="b">
        <v>0</v>
      </c>
      <c r="K3152" s="13" t="b">
        <v>1</v>
      </c>
      <c r="L3152" s="10" t="s">
        <v>124</v>
      </c>
      <c r="M3152" s="10" t="s">
        <v>91</v>
      </c>
      <c r="N3152" s="10" t="s">
        <v>92</v>
      </c>
      <c r="O3152" s="19" t="s">
        <v>23029</v>
      </c>
      <c r="P3152" s="10"/>
      <c r="Q3152" s="10" t="s">
        <v>126</v>
      </c>
      <c r="R3152" s="10"/>
      <c r="S3152" s="19" t="s">
        <v>21434</v>
      </c>
      <c r="T3152" s="10"/>
      <c r="U3152" s="10"/>
      <c r="V3152" s="10"/>
      <c r="W3152" s="10" t="s">
        <v>21387</v>
      </c>
      <c r="X3152" s="10" t="s">
        <v>216</v>
      </c>
      <c r="Y3152" s="10" t="s">
        <v>216</v>
      </c>
      <c r="Z3152" s="10" t="s">
        <v>99</v>
      </c>
      <c r="AA3152" s="10" t="s">
        <v>131</v>
      </c>
      <c r="AB3152" s="10" t="s">
        <v>21388</v>
      </c>
      <c r="AC3152" s="10" t="s">
        <v>21389</v>
      </c>
      <c r="AD3152" s="10" t="s">
        <v>165</v>
      </c>
      <c r="AE3152" s="10" t="s">
        <v>23030</v>
      </c>
      <c r="AF3152" s="15"/>
      <c r="AG3152" s="10"/>
      <c r="AH3152" s="10"/>
      <c r="AI3152" s="10"/>
      <c r="AJ3152" s="10"/>
      <c r="AK3152" s="10" t="s">
        <v>102</v>
      </c>
      <c r="AL3152" s="10"/>
      <c r="AM3152" s="10"/>
      <c r="AN3152" s="10"/>
      <c r="AO3152" s="13" t="b">
        <v>0</v>
      </c>
      <c r="AP3152" s="22" t="s">
        <v>104</v>
      </c>
      <c r="AQ3152" s="10">
        <f ca="1">IFERROR(__xludf.DUMMYFUNCTION("""COMPUTED_VALUE"""),4784604)</f>
        <v>4784604</v>
      </c>
      <c r="AR3152" s="17">
        <v>5632</v>
      </c>
      <c r="AS3152" s="17">
        <v>4129</v>
      </c>
      <c r="AT3152" s="17">
        <v>29672.25</v>
      </c>
      <c r="AU3152" s="17">
        <v>3.95</v>
      </c>
      <c r="AV3152" s="17">
        <v>1.85</v>
      </c>
      <c r="AW3152" s="10" t="s">
        <v>105</v>
      </c>
      <c r="AX3152" s="17">
        <v>2137</v>
      </c>
      <c r="AY3152" s="18">
        <v>7.1863041898764832</v>
      </c>
      <c r="AZ3152" s="10"/>
      <c r="BA3152" s="20" t="b">
        <v>0</v>
      </c>
      <c r="BB3152" s="10" t="s">
        <v>21433</v>
      </c>
      <c r="BC3152" s="17">
        <v>5632</v>
      </c>
      <c r="BD3152" s="17">
        <v>4129</v>
      </c>
      <c r="BE3152" s="17">
        <v>29672.25</v>
      </c>
      <c r="BF3152" s="17">
        <v>1.85</v>
      </c>
      <c r="BG3152" s="11">
        <f ca="1">IFERROR(__xludf.DUMMYFUNCTION("""COMPUTED_VALUE"""),46010.7361111111)</f>
        <v>46010.736111111102</v>
      </c>
      <c r="BH3152" s="17" t="s">
        <v>105</v>
      </c>
      <c r="BI3152" s="17"/>
      <c r="BJ3152" s="15"/>
      <c r="BK3152" s="15"/>
      <c r="BL3152" s="13" t="b">
        <v>0</v>
      </c>
      <c r="BM3152" s="10"/>
      <c r="BN3152" s="10" t="s">
        <v>6278</v>
      </c>
      <c r="BO3152" s="11">
        <v>46009.560416666667</v>
      </c>
      <c r="BP3152" s="11">
        <v>46009.560659722221</v>
      </c>
      <c r="BQ3152" s="15"/>
      <c r="BR3152" s="15">
        <v>46009.714826388888</v>
      </c>
      <c r="BS3152" s="10" t="s">
        <v>6278</v>
      </c>
      <c r="BT3152" s="10"/>
      <c r="BU3152" s="10"/>
      <c r="BV3152" s="10"/>
      <c r="BW3152" s="10"/>
      <c r="BX3152" s="10"/>
      <c r="BY3152" s="23"/>
      <c r="BZ3152" s="23"/>
      <c r="CA3152" s="19" t="s">
        <v>21435</v>
      </c>
      <c r="CB3152" s="23"/>
      <c r="CC3152" s="23"/>
      <c r="CD3152" s="19" t="s">
        <v>21436</v>
      </c>
      <c r="CE3152" s="23"/>
      <c r="CF3152" s="23"/>
      <c r="CG3152" s="23"/>
      <c r="CH3152" s="23"/>
      <c r="CI3152" s="23"/>
    </row>
    <row r="3153" spans="1:87" x14ac:dyDescent="0.3">
      <c r="A3153" s="9" t="s">
        <v>23031</v>
      </c>
      <c r="B3153" s="10" t="s">
        <v>23032</v>
      </c>
      <c r="C3153" s="11">
        <v>46010.770833333336</v>
      </c>
      <c r="D3153" s="12">
        <v>3.4722222222222224E-2</v>
      </c>
      <c r="E3153" s="11">
        <v>46010.805555555555</v>
      </c>
      <c r="F3153" s="22" t="s">
        <v>21383</v>
      </c>
      <c r="G3153" s="13" t="b">
        <v>0</v>
      </c>
      <c r="H3153" s="22" t="s">
        <v>21384</v>
      </c>
      <c r="I3153" s="10" t="s">
        <v>9131</v>
      </c>
      <c r="J3153" s="13" t="b">
        <v>0</v>
      </c>
      <c r="K3153" s="13" t="b">
        <v>1</v>
      </c>
      <c r="L3153" s="10" t="s">
        <v>124</v>
      </c>
      <c r="M3153" s="10" t="s">
        <v>91</v>
      </c>
      <c r="N3153" s="10" t="s">
        <v>92</v>
      </c>
      <c r="O3153" s="19" t="s">
        <v>23033</v>
      </c>
      <c r="P3153" s="10"/>
      <c r="Q3153" s="10" t="s">
        <v>126</v>
      </c>
      <c r="R3153" s="10"/>
      <c r="S3153" s="19" t="s">
        <v>21438</v>
      </c>
      <c r="T3153" s="10"/>
      <c r="U3153" s="10"/>
      <c r="V3153" s="10"/>
      <c r="W3153" s="10" t="s">
        <v>21387</v>
      </c>
      <c r="X3153" s="10" t="s">
        <v>216</v>
      </c>
      <c r="Y3153" s="10" t="s">
        <v>216</v>
      </c>
      <c r="Z3153" s="10" t="s">
        <v>99</v>
      </c>
      <c r="AA3153" s="10" t="s">
        <v>131</v>
      </c>
      <c r="AB3153" s="10" t="s">
        <v>21388</v>
      </c>
      <c r="AC3153" s="10" t="s">
        <v>21389</v>
      </c>
      <c r="AD3153" s="10" t="s">
        <v>165</v>
      </c>
      <c r="AE3153" s="10" t="s">
        <v>23034</v>
      </c>
      <c r="AF3153" s="15"/>
      <c r="AG3153" s="10"/>
      <c r="AH3153" s="10"/>
      <c r="AI3153" s="10"/>
      <c r="AJ3153" s="10"/>
      <c r="AK3153" s="10" t="s">
        <v>102</v>
      </c>
      <c r="AL3153" s="10"/>
      <c r="AM3153" s="10"/>
      <c r="AN3153" s="10"/>
      <c r="AO3153" s="13" t="b">
        <v>0</v>
      </c>
      <c r="AP3153" s="22" t="s">
        <v>104</v>
      </c>
      <c r="AQ3153" s="10">
        <f ca="1">IFERROR(__xludf.DUMMYFUNCTION("""COMPUTED_VALUE"""),4784614)</f>
        <v>4784614</v>
      </c>
      <c r="AR3153" s="17">
        <v>21427</v>
      </c>
      <c r="AS3153" s="17">
        <v>13155</v>
      </c>
      <c r="AT3153" s="17">
        <v>436315.25</v>
      </c>
      <c r="AU3153" s="17">
        <v>111.1</v>
      </c>
      <c r="AV3153" s="17">
        <v>16.850000000000001</v>
      </c>
      <c r="AW3153" s="10" t="s">
        <v>105</v>
      </c>
      <c r="AX3153" s="17">
        <v>14581</v>
      </c>
      <c r="AY3153" s="18">
        <v>33.167255796275178</v>
      </c>
      <c r="AZ3153" s="10"/>
      <c r="BA3153" s="20" t="b">
        <v>0</v>
      </c>
      <c r="BB3153" s="10" t="s">
        <v>21437</v>
      </c>
      <c r="BC3153" s="17">
        <v>21427</v>
      </c>
      <c r="BD3153" s="17">
        <v>13155</v>
      </c>
      <c r="BE3153" s="17">
        <v>436315.25</v>
      </c>
      <c r="BF3153" s="17">
        <v>16.850000000000001</v>
      </c>
      <c r="BG3153" s="11">
        <f ca="1">IFERROR(__xludf.DUMMYFUNCTION("""COMPUTED_VALUE"""),46010.7708333333)</f>
        <v>46010.770833333299</v>
      </c>
      <c r="BH3153" s="17" t="s">
        <v>105</v>
      </c>
      <c r="BI3153" s="17"/>
      <c r="BJ3153" s="15"/>
      <c r="BK3153" s="15"/>
      <c r="BL3153" s="13" t="b">
        <v>0</v>
      </c>
      <c r="BM3153" s="10"/>
      <c r="BN3153" s="10" t="s">
        <v>6278</v>
      </c>
      <c r="BO3153" s="11">
        <v>46009.55972222222</v>
      </c>
      <c r="BP3153" s="11">
        <v>46009.56045138889</v>
      </c>
      <c r="BQ3153" s="15"/>
      <c r="BR3153" s="15">
        <v>46009.741793981484</v>
      </c>
      <c r="BS3153" s="10" t="s">
        <v>6278</v>
      </c>
      <c r="BT3153" s="10"/>
      <c r="BU3153" s="10"/>
      <c r="BV3153" s="10"/>
      <c r="BW3153" s="10"/>
      <c r="BX3153" s="10"/>
      <c r="BY3153" s="23"/>
      <c r="BZ3153" s="23"/>
      <c r="CA3153" s="19" t="s">
        <v>21439</v>
      </c>
      <c r="CB3153" s="23"/>
      <c r="CC3153" s="23"/>
      <c r="CD3153" s="19" t="s">
        <v>21440</v>
      </c>
      <c r="CE3153" s="23"/>
      <c r="CF3153" s="23"/>
      <c r="CG3153" s="23"/>
      <c r="CH3153" s="23"/>
      <c r="CI3153" s="23"/>
    </row>
    <row r="3154" spans="1:87" x14ac:dyDescent="0.3">
      <c r="A3154" s="9" t="s">
        <v>23035</v>
      </c>
      <c r="B3154" s="10" t="s">
        <v>23036</v>
      </c>
      <c r="C3154" s="11">
        <v>46010.770833333336</v>
      </c>
      <c r="D3154" s="12">
        <v>3.4722222222222224E-2</v>
      </c>
      <c r="E3154" s="11">
        <v>46010.805555555555</v>
      </c>
      <c r="F3154" s="22" t="s">
        <v>21383</v>
      </c>
      <c r="G3154" s="13" t="b">
        <v>0</v>
      </c>
      <c r="H3154" s="22" t="s">
        <v>21384</v>
      </c>
      <c r="I3154" s="10" t="s">
        <v>9131</v>
      </c>
      <c r="J3154" s="13" t="b">
        <v>0</v>
      </c>
      <c r="K3154" s="13" t="b">
        <v>1</v>
      </c>
      <c r="L3154" s="10" t="s">
        <v>124</v>
      </c>
      <c r="M3154" s="10" t="s">
        <v>91</v>
      </c>
      <c r="N3154" s="10" t="s">
        <v>92</v>
      </c>
      <c r="O3154" s="19" t="s">
        <v>23037</v>
      </c>
      <c r="P3154" s="10"/>
      <c r="Q3154" s="10" t="s">
        <v>126</v>
      </c>
      <c r="R3154" s="10"/>
      <c r="S3154" s="19" t="s">
        <v>21434</v>
      </c>
      <c r="T3154" s="10"/>
      <c r="U3154" s="10"/>
      <c r="V3154" s="10"/>
      <c r="W3154" s="10" t="s">
        <v>21387</v>
      </c>
      <c r="X3154" s="10" t="s">
        <v>216</v>
      </c>
      <c r="Y3154" s="10" t="s">
        <v>216</v>
      </c>
      <c r="Z3154" s="10" t="s">
        <v>99</v>
      </c>
      <c r="AA3154" s="10" t="s">
        <v>131</v>
      </c>
      <c r="AB3154" s="10" t="s">
        <v>21388</v>
      </c>
      <c r="AC3154" s="10" t="s">
        <v>21389</v>
      </c>
      <c r="AD3154" s="10" t="s">
        <v>165</v>
      </c>
      <c r="AE3154" s="10" t="s">
        <v>23038</v>
      </c>
      <c r="AF3154" s="15"/>
      <c r="AG3154" s="10"/>
      <c r="AH3154" s="10"/>
      <c r="AI3154" s="10"/>
      <c r="AJ3154" s="10"/>
      <c r="AK3154" s="10" t="s">
        <v>102</v>
      </c>
      <c r="AL3154" s="10"/>
      <c r="AM3154" s="10"/>
      <c r="AN3154" s="10"/>
      <c r="AO3154" s="13" t="b">
        <v>0</v>
      </c>
      <c r="AP3154" s="22" t="s">
        <v>104</v>
      </c>
      <c r="AQ3154" s="10">
        <f ca="1">IFERROR(__xludf.DUMMYFUNCTION("""COMPUTED_VALUE"""),4784605)</f>
        <v>4784605</v>
      </c>
      <c r="AR3154" s="17">
        <v>32081</v>
      </c>
      <c r="AS3154" s="17">
        <v>18870</v>
      </c>
      <c r="AT3154" s="17">
        <v>268255.5</v>
      </c>
      <c r="AU3154" s="17">
        <v>123.4</v>
      </c>
      <c r="AV3154" s="17">
        <v>9.85</v>
      </c>
      <c r="AW3154" s="10" t="s">
        <v>105</v>
      </c>
      <c r="AX3154" s="17">
        <v>10181</v>
      </c>
      <c r="AY3154" s="18">
        <v>14.215977742448331</v>
      </c>
      <c r="AZ3154" s="10"/>
      <c r="BA3154" s="20" t="b">
        <v>0</v>
      </c>
      <c r="BB3154" s="10" t="s">
        <v>21433</v>
      </c>
      <c r="BC3154" s="17">
        <v>32081</v>
      </c>
      <c r="BD3154" s="17">
        <v>18870</v>
      </c>
      <c r="BE3154" s="17">
        <v>268255.5</v>
      </c>
      <c r="BF3154" s="17">
        <v>9.85</v>
      </c>
      <c r="BG3154" s="11">
        <f ca="1">IFERROR(__xludf.DUMMYFUNCTION("""COMPUTED_VALUE"""),46010.7708333333)</f>
        <v>46010.770833333299</v>
      </c>
      <c r="BH3154" s="17" t="s">
        <v>105</v>
      </c>
      <c r="BI3154" s="17"/>
      <c r="BJ3154" s="15"/>
      <c r="BK3154" s="15"/>
      <c r="BL3154" s="13" t="b">
        <v>0</v>
      </c>
      <c r="BM3154" s="10"/>
      <c r="BN3154" s="10" t="s">
        <v>6278</v>
      </c>
      <c r="BO3154" s="11">
        <v>46009.560416666667</v>
      </c>
      <c r="BP3154" s="11">
        <v>46009.560798611114</v>
      </c>
      <c r="BQ3154" s="15"/>
      <c r="BR3154" s="15">
        <v>46009.714999999997</v>
      </c>
      <c r="BS3154" s="10" t="s">
        <v>6278</v>
      </c>
      <c r="BT3154" s="10" t="s">
        <v>99</v>
      </c>
      <c r="BU3154" s="10"/>
      <c r="BV3154" s="10"/>
      <c r="BW3154" s="10"/>
      <c r="BX3154" s="10"/>
      <c r="BY3154" s="23"/>
      <c r="BZ3154" s="23"/>
      <c r="CA3154" s="19" t="s">
        <v>21435</v>
      </c>
      <c r="CB3154" s="23"/>
      <c r="CC3154" s="23"/>
      <c r="CD3154" s="19" t="s">
        <v>21436</v>
      </c>
      <c r="CE3154" s="23"/>
      <c r="CF3154" s="23"/>
      <c r="CG3154" s="23"/>
      <c r="CH3154" s="23"/>
      <c r="CI3154" s="23"/>
    </row>
    <row r="3155" spans="1:87" x14ac:dyDescent="0.3">
      <c r="A3155" s="9" t="s">
        <v>23039</v>
      </c>
      <c r="B3155" s="10" t="s">
        <v>23040</v>
      </c>
      <c r="C3155" s="11">
        <v>46010.805555555555</v>
      </c>
      <c r="D3155" s="12">
        <v>3.4722222222222224E-2</v>
      </c>
      <c r="E3155" s="11">
        <v>46010.840277777781</v>
      </c>
      <c r="F3155" s="22" t="s">
        <v>21383</v>
      </c>
      <c r="G3155" s="13" t="b">
        <v>0</v>
      </c>
      <c r="H3155" s="22" t="s">
        <v>21384</v>
      </c>
      <c r="I3155" s="10" t="s">
        <v>9131</v>
      </c>
      <c r="J3155" s="13" t="b">
        <v>0</v>
      </c>
      <c r="K3155" s="13" t="b">
        <v>1</v>
      </c>
      <c r="L3155" s="10" t="s">
        <v>124</v>
      </c>
      <c r="M3155" s="10" t="s">
        <v>91</v>
      </c>
      <c r="N3155" s="10" t="s">
        <v>92</v>
      </c>
      <c r="O3155" s="19" t="s">
        <v>23041</v>
      </c>
      <c r="P3155" s="10"/>
      <c r="Q3155" s="10" t="s">
        <v>126</v>
      </c>
      <c r="R3155" s="10"/>
      <c r="S3155" s="19" t="s">
        <v>21438</v>
      </c>
      <c r="T3155" s="10"/>
      <c r="U3155" s="10"/>
      <c r="V3155" s="10"/>
      <c r="W3155" s="10" t="s">
        <v>21387</v>
      </c>
      <c r="X3155" s="10" t="s">
        <v>216</v>
      </c>
      <c r="Y3155" s="10" t="s">
        <v>216</v>
      </c>
      <c r="Z3155" s="10" t="s">
        <v>99</v>
      </c>
      <c r="AA3155" s="10" t="s">
        <v>131</v>
      </c>
      <c r="AB3155" s="10" t="s">
        <v>21388</v>
      </c>
      <c r="AC3155" s="10" t="s">
        <v>21389</v>
      </c>
      <c r="AD3155" s="10" t="s">
        <v>165</v>
      </c>
      <c r="AE3155" s="10" t="s">
        <v>23042</v>
      </c>
      <c r="AF3155" s="15"/>
      <c r="AG3155" s="10"/>
      <c r="AH3155" s="10"/>
      <c r="AI3155" s="10"/>
      <c r="AJ3155" s="10"/>
      <c r="AK3155" s="10" t="s">
        <v>102</v>
      </c>
      <c r="AL3155" s="10"/>
      <c r="AM3155" s="10"/>
      <c r="AN3155" s="10"/>
      <c r="AO3155" s="13" t="b">
        <v>0</v>
      </c>
      <c r="AP3155" s="22" t="s">
        <v>104</v>
      </c>
      <c r="AQ3155" s="10">
        <f ca="1">IFERROR(__xludf.DUMMYFUNCTION("""COMPUTED_VALUE"""),4784615)</f>
        <v>4784615</v>
      </c>
      <c r="AR3155" s="17">
        <v>8662</v>
      </c>
      <c r="AS3155" s="17">
        <v>6138</v>
      </c>
      <c r="AT3155" s="17">
        <v>135685</v>
      </c>
      <c r="AU3155" s="17">
        <v>62.95</v>
      </c>
      <c r="AV3155" s="17">
        <v>8.5500000000000007</v>
      </c>
      <c r="AW3155" s="10" t="s">
        <v>105</v>
      </c>
      <c r="AX3155" s="17">
        <v>5550</v>
      </c>
      <c r="AY3155" s="18">
        <v>22.105734767025091</v>
      </c>
      <c r="AZ3155" s="10"/>
      <c r="BA3155" s="20" t="b">
        <v>0</v>
      </c>
      <c r="BB3155" s="10" t="s">
        <v>21437</v>
      </c>
      <c r="BC3155" s="17">
        <v>8662</v>
      </c>
      <c r="BD3155" s="17">
        <v>6138</v>
      </c>
      <c r="BE3155" s="17">
        <v>135685</v>
      </c>
      <c r="BF3155" s="17">
        <v>8.5500000000000007</v>
      </c>
      <c r="BG3155" s="11">
        <f ca="1">IFERROR(__xludf.DUMMYFUNCTION("""COMPUTED_VALUE"""),46010.8055555555)</f>
        <v>46010.805555555497</v>
      </c>
      <c r="BH3155" s="17" t="s">
        <v>105</v>
      </c>
      <c r="BI3155" s="17"/>
      <c r="BJ3155" s="15"/>
      <c r="BK3155" s="15"/>
      <c r="BL3155" s="13" t="b">
        <v>0</v>
      </c>
      <c r="BM3155" s="10"/>
      <c r="BN3155" s="10" t="s">
        <v>6278</v>
      </c>
      <c r="BO3155" s="11">
        <v>46009.560416666667</v>
      </c>
      <c r="BP3155" s="11">
        <v>46009.560567129629</v>
      </c>
      <c r="BQ3155" s="15"/>
      <c r="BR3155" s="15">
        <v>46009.741956018515</v>
      </c>
      <c r="BS3155" s="10" t="s">
        <v>6278</v>
      </c>
      <c r="BT3155" s="10"/>
      <c r="BU3155" s="10"/>
      <c r="BV3155" s="10"/>
      <c r="BW3155" s="10"/>
      <c r="BX3155" s="10"/>
      <c r="BY3155" s="23"/>
      <c r="BZ3155" s="23"/>
      <c r="CA3155" s="19" t="s">
        <v>21439</v>
      </c>
      <c r="CB3155" s="23"/>
      <c r="CC3155" s="23"/>
      <c r="CD3155" s="19" t="s">
        <v>21440</v>
      </c>
      <c r="CE3155" s="23"/>
      <c r="CF3155" s="23"/>
      <c r="CG3155" s="23"/>
      <c r="CH3155" s="23"/>
      <c r="CI3155" s="23"/>
    </row>
    <row r="3156" spans="1:87" x14ac:dyDescent="0.3">
      <c r="A3156" s="9" t="s">
        <v>23043</v>
      </c>
      <c r="B3156" s="10" t="s">
        <v>23044</v>
      </c>
      <c r="C3156" s="11">
        <v>46010.805555555555</v>
      </c>
      <c r="D3156" s="12">
        <v>3.4722222222222224E-2</v>
      </c>
      <c r="E3156" s="11">
        <v>46010.840277777781</v>
      </c>
      <c r="F3156" s="22" t="s">
        <v>21383</v>
      </c>
      <c r="G3156" s="13" t="b">
        <v>0</v>
      </c>
      <c r="H3156" s="22" t="s">
        <v>21384</v>
      </c>
      <c r="I3156" s="10" t="s">
        <v>9131</v>
      </c>
      <c r="J3156" s="13" t="b">
        <v>0</v>
      </c>
      <c r="K3156" s="13" t="b">
        <v>1</v>
      </c>
      <c r="L3156" s="10" t="s">
        <v>124</v>
      </c>
      <c r="M3156" s="10" t="s">
        <v>91</v>
      </c>
      <c r="N3156" s="10" t="s">
        <v>92</v>
      </c>
      <c r="O3156" s="19" t="s">
        <v>23045</v>
      </c>
      <c r="P3156" s="10"/>
      <c r="Q3156" s="10" t="s">
        <v>126</v>
      </c>
      <c r="R3156" s="10"/>
      <c r="S3156" s="19" t="s">
        <v>21434</v>
      </c>
      <c r="T3156" s="10"/>
      <c r="U3156" s="10"/>
      <c r="V3156" s="10"/>
      <c r="W3156" s="10" t="s">
        <v>21387</v>
      </c>
      <c r="X3156" s="10" t="s">
        <v>216</v>
      </c>
      <c r="Y3156" s="10" t="s">
        <v>216</v>
      </c>
      <c r="Z3156" s="10" t="s">
        <v>99</v>
      </c>
      <c r="AA3156" s="10" t="s">
        <v>131</v>
      </c>
      <c r="AB3156" s="10" t="s">
        <v>21388</v>
      </c>
      <c r="AC3156" s="10" t="s">
        <v>21389</v>
      </c>
      <c r="AD3156" s="10" t="s">
        <v>165</v>
      </c>
      <c r="AE3156" s="10" t="s">
        <v>23046</v>
      </c>
      <c r="AF3156" s="15"/>
      <c r="AG3156" s="10"/>
      <c r="AH3156" s="10"/>
      <c r="AI3156" s="10"/>
      <c r="AJ3156" s="10"/>
      <c r="AK3156" s="10" t="s">
        <v>102</v>
      </c>
      <c r="AL3156" s="10"/>
      <c r="AM3156" s="10"/>
      <c r="AN3156" s="10"/>
      <c r="AO3156" s="13" t="b">
        <v>0</v>
      </c>
      <c r="AP3156" s="22" t="s">
        <v>104</v>
      </c>
      <c r="AQ3156" s="10">
        <f ca="1">IFERROR(__xludf.DUMMYFUNCTION("""COMPUTED_VALUE"""),4784606)</f>
        <v>4784606</v>
      </c>
      <c r="AR3156" s="17">
        <v>21809</v>
      </c>
      <c r="AS3156" s="17">
        <v>12291</v>
      </c>
      <c r="AT3156" s="17">
        <v>140825.5</v>
      </c>
      <c r="AU3156" s="17">
        <v>48.3</v>
      </c>
      <c r="AV3156" s="17">
        <v>8.75</v>
      </c>
      <c r="AW3156" s="10" t="s">
        <v>105</v>
      </c>
      <c r="AX3156" s="17">
        <v>9471</v>
      </c>
      <c r="AY3156" s="18">
        <v>11.457611260271744</v>
      </c>
      <c r="AZ3156" s="10"/>
      <c r="BA3156" s="20" t="b">
        <v>0</v>
      </c>
      <c r="BB3156" s="10" t="s">
        <v>21433</v>
      </c>
      <c r="BC3156" s="17">
        <v>21809</v>
      </c>
      <c r="BD3156" s="17">
        <v>12291</v>
      </c>
      <c r="BE3156" s="17">
        <v>140825.5</v>
      </c>
      <c r="BF3156" s="17">
        <v>8.75</v>
      </c>
      <c r="BG3156" s="11">
        <f ca="1">IFERROR(__xludf.DUMMYFUNCTION("""COMPUTED_VALUE"""),46010.8055555555)</f>
        <v>46010.805555555497</v>
      </c>
      <c r="BH3156" s="17" t="s">
        <v>105</v>
      </c>
      <c r="BI3156" s="17"/>
      <c r="BJ3156" s="15"/>
      <c r="BK3156" s="15"/>
      <c r="BL3156" s="13" t="b">
        <v>0</v>
      </c>
      <c r="BM3156" s="10"/>
      <c r="BN3156" s="10" t="s">
        <v>6278</v>
      </c>
      <c r="BO3156" s="11">
        <v>46009.560416666667</v>
      </c>
      <c r="BP3156" s="11">
        <v>46009.560949074075</v>
      </c>
      <c r="BQ3156" s="15"/>
      <c r="BR3156" s="15">
        <v>46009.715173611112</v>
      </c>
      <c r="BS3156" s="10" t="s">
        <v>6278</v>
      </c>
      <c r="BT3156" s="10"/>
      <c r="BU3156" s="10"/>
      <c r="BV3156" s="10"/>
      <c r="BW3156" s="10"/>
      <c r="BX3156" s="10"/>
      <c r="BY3156" s="23"/>
      <c r="BZ3156" s="23"/>
      <c r="CA3156" s="19" t="s">
        <v>21435</v>
      </c>
      <c r="CB3156" s="23"/>
      <c r="CC3156" s="23"/>
      <c r="CD3156" s="19" t="s">
        <v>21436</v>
      </c>
      <c r="CE3156" s="23"/>
      <c r="CF3156" s="23"/>
      <c r="CG3156" s="23"/>
      <c r="CH3156" s="23"/>
      <c r="CI3156" s="23"/>
    </row>
    <row r="3157" spans="1:87" x14ac:dyDescent="0.3">
      <c r="A3157" s="9" t="s">
        <v>23047</v>
      </c>
      <c r="B3157" s="10" t="s">
        <v>23048</v>
      </c>
      <c r="C3157" s="11">
        <v>46022.125</v>
      </c>
      <c r="D3157" s="12">
        <v>8.3333333333333329E-2</v>
      </c>
      <c r="E3157" s="11">
        <v>46022.208333333336</v>
      </c>
      <c r="F3157" s="22" t="s">
        <v>20865</v>
      </c>
      <c r="G3157" s="13" t="b">
        <v>0</v>
      </c>
      <c r="H3157" s="22" t="s">
        <v>9130</v>
      </c>
      <c r="I3157" s="10" t="s">
        <v>9131</v>
      </c>
      <c r="J3157" s="13" t="b">
        <v>0</v>
      </c>
      <c r="K3157" s="13" t="b">
        <v>1</v>
      </c>
      <c r="L3157" s="10" t="s">
        <v>124</v>
      </c>
      <c r="M3157" s="10" t="s">
        <v>91</v>
      </c>
      <c r="N3157" s="10" t="s">
        <v>92</v>
      </c>
      <c r="O3157" s="19" t="s">
        <v>23049</v>
      </c>
      <c r="P3157" s="10"/>
      <c r="Q3157" s="10" t="s">
        <v>94</v>
      </c>
      <c r="R3157" s="10"/>
      <c r="S3157" s="10"/>
      <c r="T3157" s="10"/>
      <c r="U3157" s="10" t="s">
        <v>23050</v>
      </c>
      <c r="V3157" s="10" t="s">
        <v>8547</v>
      </c>
      <c r="W3157" s="10" t="s">
        <v>20869</v>
      </c>
      <c r="X3157" s="10" t="s">
        <v>130</v>
      </c>
      <c r="Y3157" s="10" t="s">
        <v>130</v>
      </c>
      <c r="Z3157" s="10" t="s">
        <v>99</v>
      </c>
      <c r="AA3157" s="10" t="s">
        <v>131</v>
      </c>
      <c r="AB3157" s="10" t="s">
        <v>20870</v>
      </c>
      <c r="AC3157" s="10" t="s">
        <v>20871</v>
      </c>
      <c r="AD3157" s="10" t="s">
        <v>23051</v>
      </c>
      <c r="AE3157" s="10" t="s">
        <v>23052</v>
      </c>
      <c r="AF3157" s="15"/>
      <c r="AG3157" s="10"/>
      <c r="AH3157" s="10"/>
      <c r="AI3157" s="10"/>
      <c r="AJ3157" s="10"/>
      <c r="AK3157" s="10" t="s">
        <v>102</v>
      </c>
      <c r="AL3157" s="10" t="s">
        <v>2303</v>
      </c>
      <c r="AM3157" s="10"/>
      <c r="AN3157" s="10"/>
      <c r="AO3157" s="13" t="b">
        <v>0</v>
      </c>
      <c r="AP3157" s="22" t="s">
        <v>104</v>
      </c>
      <c r="AQ3157" s="10">
        <f ca="1">IFERROR(__xludf.DUMMYFUNCTION("""COMPUTED_VALUE"""),4802060)</f>
        <v>4802060</v>
      </c>
      <c r="AR3157" s="17">
        <v>1037</v>
      </c>
      <c r="AS3157" s="17">
        <v>892</v>
      </c>
      <c r="AT3157" s="17">
        <v>5011.75</v>
      </c>
      <c r="AU3157" s="17">
        <v>0</v>
      </c>
      <c r="AV3157" s="17">
        <v>0</v>
      </c>
      <c r="AW3157" s="10" t="s">
        <v>105</v>
      </c>
      <c r="AX3157" s="17">
        <v>135</v>
      </c>
      <c r="AY3157" s="18">
        <v>5.6185538116591927</v>
      </c>
      <c r="AZ3157" s="10"/>
      <c r="BA3157" s="20" t="b">
        <v>0</v>
      </c>
      <c r="BB3157" s="10"/>
      <c r="BC3157" s="17">
        <v>1037</v>
      </c>
      <c r="BD3157" s="17">
        <v>892</v>
      </c>
      <c r="BE3157" s="17">
        <v>5011.75</v>
      </c>
      <c r="BF3157" s="17">
        <v>0</v>
      </c>
      <c r="BG3157" s="11">
        <f ca="1">IFERROR(__xludf.DUMMYFUNCTION("""COMPUTED_VALUE"""),46022.125)</f>
        <v>46022.125</v>
      </c>
      <c r="BH3157" s="17" t="s">
        <v>105</v>
      </c>
      <c r="BI3157" s="17"/>
      <c r="BJ3157" s="15"/>
      <c r="BK3157" s="15"/>
      <c r="BL3157" s="13" t="b">
        <v>0</v>
      </c>
      <c r="BM3157" s="10"/>
      <c r="BN3157" s="10" t="s">
        <v>137</v>
      </c>
      <c r="BO3157" s="11">
        <v>46009.573611111111</v>
      </c>
      <c r="BP3157" s="11">
        <v>46009.574062500003</v>
      </c>
      <c r="BQ3157" s="15"/>
      <c r="BR3157" s="15">
        <v>46020.579918981479</v>
      </c>
      <c r="BS3157" s="10" t="s">
        <v>137</v>
      </c>
      <c r="BT3157" s="10"/>
      <c r="BU3157" s="10"/>
      <c r="BV3157" s="10"/>
      <c r="BW3157" s="10"/>
      <c r="BX3157" s="10"/>
      <c r="BY3157" s="23"/>
      <c r="BZ3157" s="23"/>
      <c r="CA3157" s="19" t="s">
        <v>23053</v>
      </c>
      <c r="CB3157" s="23"/>
      <c r="CC3157" s="23"/>
      <c r="CD3157" s="23"/>
      <c r="CE3157" s="23"/>
      <c r="CF3157" s="23"/>
      <c r="CG3157" s="23"/>
      <c r="CH3157" s="23"/>
      <c r="CI3157" s="23"/>
    </row>
    <row r="3158" spans="1:87" x14ac:dyDescent="0.3">
      <c r="A3158" s="9" t="s">
        <v>23054</v>
      </c>
      <c r="B3158" s="10" t="s">
        <v>23055</v>
      </c>
      <c r="C3158" s="11">
        <v>46025.8125</v>
      </c>
      <c r="D3158" s="12">
        <v>8.3333333333333329E-2</v>
      </c>
      <c r="E3158" s="11">
        <v>46025.895833333336</v>
      </c>
      <c r="F3158" s="22" t="s">
        <v>20865</v>
      </c>
      <c r="G3158" s="13" t="b">
        <v>0</v>
      </c>
      <c r="H3158" s="22" t="s">
        <v>9130</v>
      </c>
      <c r="I3158" s="10" t="s">
        <v>23056</v>
      </c>
      <c r="J3158" s="13" t="b">
        <v>0</v>
      </c>
      <c r="K3158" s="13" t="b">
        <v>1</v>
      </c>
      <c r="L3158" s="10" t="s">
        <v>124</v>
      </c>
      <c r="M3158" s="10" t="s">
        <v>91</v>
      </c>
      <c r="N3158" s="10" t="s">
        <v>92</v>
      </c>
      <c r="O3158" s="19" t="s">
        <v>23057</v>
      </c>
      <c r="P3158" s="10"/>
      <c r="Q3158" s="10" t="s">
        <v>126</v>
      </c>
      <c r="R3158" s="10"/>
      <c r="S3158" s="19" t="s">
        <v>23058</v>
      </c>
      <c r="T3158" s="10"/>
      <c r="U3158" s="10" t="s">
        <v>8547</v>
      </c>
      <c r="V3158" s="10" t="s">
        <v>3567</v>
      </c>
      <c r="W3158" s="10" t="s">
        <v>20869</v>
      </c>
      <c r="X3158" s="10" t="s">
        <v>130</v>
      </c>
      <c r="Y3158" s="10" t="s">
        <v>130</v>
      </c>
      <c r="Z3158" s="10" t="s">
        <v>99</v>
      </c>
      <c r="AA3158" s="10" t="s">
        <v>131</v>
      </c>
      <c r="AB3158" s="10" t="s">
        <v>20870</v>
      </c>
      <c r="AC3158" s="10" t="s">
        <v>20871</v>
      </c>
      <c r="AD3158" s="10" t="s">
        <v>23059</v>
      </c>
      <c r="AE3158" s="10" t="s">
        <v>23060</v>
      </c>
      <c r="AF3158" s="15"/>
      <c r="AG3158" s="10"/>
      <c r="AH3158" s="10"/>
      <c r="AI3158" s="10"/>
      <c r="AJ3158" s="10"/>
      <c r="AK3158" s="10" t="s">
        <v>102</v>
      </c>
      <c r="AL3158" s="10" t="s">
        <v>2405</v>
      </c>
      <c r="AM3158" s="10"/>
      <c r="AN3158" s="10"/>
      <c r="AO3158" s="13" t="b">
        <v>0</v>
      </c>
      <c r="AP3158" s="22" t="s">
        <v>104</v>
      </c>
      <c r="AQ3158" s="10">
        <f ca="1">IFERROR(__xludf.DUMMYFUNCTION("""COMPUTED_VALUE"""),4819767)</f>
        <v>4819767</v>
      </c>
      <c r="AR3158" s="17">
        <v>9885</v>
      </c>
      <c r="AS3158" s="17">
        <v>7985</v>
      </c>
      <c r="AT3158" s="17">
        <v>63601.25</v>
      </c>
      <c r="AU3158" s="17">
        <v>22.55</v>
      </c>
      <c r="AV3158" s="17">
        <v>4.1500000000000004</v>
      </c>
      <c r="AW3158" s="10" t="s">
        <v>105</v>
      </c>
      <c r="AX3158" s="17">
        <v>1483</v>
      </c>
      <c r="AY3158" s="18">
        <v>7.9650907952410774</v>
      </c>
      <c r="AZ3158" s="10"/>
      <c r="BA3158" s="20" t="b">
        <v>0</v>
      </c>
      <c r="BB3158" s="10"/>
      <c r="BC3158" s="17">
        <v>9885</v>
      </c>
      <c r="BD3158" s="17">
        <v>7985</v>
      </c>
      <c r="BE3158" s="17">
        <v>63601.25</v>
      </c>
      <c r="BF3158" s="17">
        <v>4.1500000000000004</v>
      </c>
      <c r="BG3158" s="11">
        <f ca="1">IFERROR(__xludf.DUMMYFUNCTION("""COMPUTED_VALUE"""),46025.8125)</f>
        <v>46025.8125</v>
      </c>
      <c r="BH3158" s="17" t="s">
        <v>105</v>
      </c>
      <c r="BI3158" s="17"/>
      <c r="BJ3158" s="15"/>
      <c r="BK3158" s="15"/>
      <c r="BL3158" s="13" t="b">
        <v>0</v>
      </c>
      <c r="BM3158" s="10"/>
      <c r="BN3158" s="10" t="s">
        <v>667</v>
      </c>
      <c r="BO3158" s="11">
        <v>46009.574999999997</v>
      </c>
      <c r="BP3158" s="11">
        <v>46009.575439814813</v>
      </c>
      <c r="BQ3158" s="15">
        <v>46014.964120370372</v>
      </c>
      <c r="BR3158" s="15">
        <v>46022.398530092592</v>
      </c>
      <c r="BS3158" s="10" t="s">
        <v>667</v>
      </c>
      <c r="BT3158" s="10" t="s">
        <v>99</v>
      </c>
      <c r="BU3158" s="10" t="s">
        <v>9200</v>
      </c>
      <c r="BV3158" s="10"/>
      <c r="BW3158" s="10"/>
      <c r="BX3158" s="10"/>
      <c r="BY3158" s="23"/>
      <c r="BZ3158" s="23"/>
      <c r="CA3158" s="19" t="s">
        <v>23061</v>
      </c>
      <c r="CB3158" s="23"/>
      <c r="CC3158" s="23"/>
      <c r="CD3158" s="23"/>
      <c r="CE3158" s="23"/>
      <c r="CF3158" s="23"/>
      <c r="CG3158" s="23"/>
      <c r="CH3158" s="23"/>
      <c r="CI3158" s="23"/>
    </row>
    <row r="3159" spans="1:87" x14ac:dyDescent="0.3">
      <c r="A3159" s="9" t="s">
        <v>23062</v>
      </c>
      <c r="B3159" s="10" t="s">
        <v>23063</v>
      </c>
      <c r="C3159" s="11">
        <v>46060.666666666664</v>
      </c>
      <c r="D3159" s="12">
        <v>0.125</v>
      </c>
      <c r="E3159" s="11">
        <v>46060.791666666664</v>
      </c>
      <c r="F3159" s="22" t="s">
        <v>23063</v>
      </c>
      <c r="G3159" s="13" t="b">
        <v>0</v>
      </c>
      <c r="H3159" s="22" t="s">
        <v>23064</v>
      </c>
      <c r="I3159" s="10" t="s">
        <v>8383</v>
      </c>
      <c r="J3159" s="13" t="b">
        <v>0</v>
      </c>
      <c r="K3159" s="13" t="b">
        <v>1</v>
      </c>
      <c r="L3159" s="10" t="s">
        <v>124</v>
      </c>
      <c r="M3159" s="10" t="s">
        <v>91</v>
      </c>
      <c r="N3159" s="10" t="s">
        <v>23065</v>
      </c>
      <c r="O3159" s="10"/>
      <c r="P3159" s="10"/>
      <c r="Q3159" s="10" t="s">
        <v>126</v>
      </c>
      <c r="R3159" s="10"/>
      <c r="S3159" s="10"/>
      <c r="T3159" s="10"/>
      <c r="U3159" s="10"/>
      <c r="V3159" s="10"/>
      <c r="W3159" s="10" t="s">
        <v>23066</v>
      </c>
      <c r="X3159" s="10" t="s">
        <v>98</v>
      </c>
      <c r="Y3159" s="10" t="s">
        <v>98</v>
      </c>
      <c r="Z3159" s="10" t="s">
        <v>99</v>
      </c>
      <c r="AA3159" s="10" t="s">
        <v>131</v>
      </c>
      <c r="AB3159" s="10" t="s">
        <v>23067</v>
      </c>
      <c r="AC3159" s="10" t="s">
        <v>23068</v>
      </c>
      <c r="AD3159" s="10" t="s">
        <v>165</v>
      </c>
      <c r="AE3159" s="10" t="s">
        <v>23069</v>
      </c>
      <c r="AF3159" s="15"/>
      <c r="AG3159" s="10"/>
      <c r="AH3159" s="10"/>
      <c r="AI3159" s="10"/>
      <c r="AJ3159" s="10"/>
      <c r="AK3159" s="10"/>
      <c r="AL3159" s="10"/>
      <c r="AM3159" s="10"/>
      <c r="AN3159" s="10"/>
      <c r="AO3159" s="13" t="b">
        <v>1</v>
      </c>
      <c r="AP3159" s="22"/>
      <c r="AQ3159" s="10"/>
      <c r="AR3159" s="17"/>
      <c r="AS3159" s="17"/>
      <c r="AT3159" s="17"/>
      <c r="AU3159" s="17"/>
      <c r="AV3159" s="17"/>
      <c r="AW3159" s="10"/>
      <c r="AX3159" s="17"/>
      <c r="AY3159" s="18" t="s">
        <v>257</v>
      </c>
      <c r="AZ3159" s="10"/>
      <c r="BA3159" s="20" t="b">
        <v>1</v>
      </c>
      <c r="BB3159" s="10"/>
      <c r="BC3159" s="17" t="s">
        <v>257</v>
      </c>
      <c r="BD3159" s="17" t="s">
        <v>257</v>
      </c>
      <c r="BE3159" s="17" t="s">
        <v>257</v>
      </c>
      <c r="BF3159" s="17" t="s">
        <v>257</v>
      </c>
      <c r="BG3159" s="11">
        <f ca="1">IFERROR(__xludf.DUMMYFUNCTION("""COMPUTED_VALUE"""),46060.6666666666)</f>
        <v>46060.666666666599</v>
      </c>
      <c r="BH3159" s="17" t="s">
        <v>105</v>
      </c>
      <c r="BI3159" s="17"/>
      <c r="BJ3159" s="15"/>
      <c r="BK3159" s="15"/>
      <c r="BL3159" s="13" t="b">
        <v>0</v>
      </c>
      <c r="BM3159" s="10"/>
      <c r="BN3159" s="10" t="s">
        <v>12382</v>
      </c>
      <c r="BO3159" s="11">
        <v>46009.620138888888</v>
      </c>
      <c r="BP3159" s="11">
        <v>46009.620266203703</v>
      </c>
      <c r="BQ3159" s="15"/>
      <c r="BR3159" s="15"/>
      <c r="BS3159" s="10"/>
      <c r="BT3159" s="10"/>
      <c r="BU3159" s="10"/>
      <c r="BV3159" s="10" t="s">
        <v>499</v>
      </c>
      <c r="BW3159" s="10"/>
      <c r="BX3159" s="10"/>
      <c r="BY3159" s="23"/>
      <c r="BZ3159" s="23"/>
      <c r="CA3159" s="10"/>
      <c r="CB3159" s="23"/>
      <c r="CC3159" s="23"/>
      <c r="CD3159" s="23"/>
      <c r="CE3159" s="23"/>
      <c r="CF3159" s="23"/>
      <c r="CG3159" s="23"/>
      <c r="CH3159" s="23"/>
      <c r="CI3159" s="23"/>
    </row>
    <row r="3160" spans="1:87" x14ac:dyDescent="0.3">
      <c r="A3160" s="9" t="s">
        <v>23070</v>
      </c>
      <c r="B3160" s="10" t="s">
        <v>23063</v>
      </c>
      <c r="C3160" s="11">
        <v>46060.791666666664</v>
      </c>
      <c r="D3160" s="12">
        <v>0.20833333333333334</v>
      </c>
      <c r="E3160" s="11">
        <v>46061</v>
      </c>
      <c r="F3160" s="22" t="s">
        <v>23063</v>
      </c>
      <c r="G3160" s="13" t="b">
        <v>0</v>
      </c>
      <c r="H3160" s="22" t="s">
        <v>23064</v>
      </c>
      <c r="I3160" s="10" t="s">
        <v>23071</v>
      </c>
      <c r="J3160" s="13" t="b">
        <v>0</v>
      </c>
      <c r="K3160" s="13" t="b">
        <v>1</v>
      </c>
      <c r="L3160" s="10" t="s">
        <v>124</v>
      </c>
      <c r="M3160" s="10" t="s">
        <v>91</v>
      </c>
      <c r="N3160" s="10" t="s">
        <v>23065</v>
      </c>
      <c r="O3160" s="10"/>
      <c r="P3160" s="10"/>
      <c r="Q3160" s="10" t="s">
        <v>126</v>
      </c>
      <c r="R3160" s="10"/>
      <c r="S3160" s="10"/>
      <c r="T3160" s="10"/>
      <c r="U3160" s="10"/>
      <c r="V3160" s="10"/>
      <c r="W3160" s="10" t="s">
        <v>23066</v>
      </c>
      <c r="X3160" s="10" t="s">
        <v>98</v>
      </c>
      <c r="Y3160" s="10" t="s">
        <v>98</v>
      </c>
      <c r="Z3160" s="10" t="s">
        <v>99</v>
      </c>
      <c r="AA3160" s="10" t="s">
        <v>131</v>
      </c>
      <c r="AB3160" s="10" t="s">
        <v>23067</v>
      </c>
      <c r="AC3160" s="10" t="s">
        <v>23068</v>
      </c>
      <c r="AD3160" s="10" t="s">
        <v>165</v>
      </c>
      <c r="AE3160" s="10" t="s">
        <v>23069</v>
      </c>
      <c r="AF3160" s="15"/>
      <c r="AG3160" s="10"/>
      <c r="AH3160" s="10"/>
      <c r="AI3160" s="10"/>
      <c r="AJ3160" s="10"/>
      <c r="AK3160" s="10"/>
      <c r="AL3160" s="10"/>
      <c r="AM3160" s="10"/>
      <c r="AN3160" s="10"/>
      <c r="AO3160" s="13" t="b">
        <v>1</v>
      </c>
      <c r="AP3160" s="22"/>
      <c r="AQ3160" s="10"/>
      <c r="AR3160" s="17"/>
      <c r="AS3160" s="17"/>
      <c r="AT3160" s="17"/>
      <c r="AU3160" s="17"/>
      <c r="AV3160" s="17"/>
      <c r="AW3160" s="10"/>
      <c r="AX3160" s="17"/>
      <c r="AY3160" s="18" t="s">
        <v>257</v>
      </c>
      <c r="AZ3160" s="10"/>
      <c r="BA3160" s="20" t="b">
        <v>1</v>
      </c>
      <c r="BB3160" s="10"/>
      <c r="BC3160" s="17" t="s">
        <v>257</v>
      </c>
      <c r="BD3160" s="17" t="s">
        <v>257</v>
      </c>
      <c r="BE3160" s="17" t="s">
        <v>257</v>
      </c>
      <c r="BF3160" s="17" t="s">
        <v>257</v>
      </c>
      <c r="BG3160" s="11">
        <f ca="1">IFERROR(__xludf.DUMMYFUNCTION("""COMPUTED_VALUE"""),46060.7916666666)</f>
        <v>46060.791666666599</v>
      </c>
      <c r="BH3160" s="17" t="s">
        <v>105</v>
      </c>
      <c r="BI3160" s="17"/>
      <c r="BJ3160" s="15"/>
      <c r="BK3160" s="15"/>
      <c r="BL3160" s="13" t="b">
        <v>0</v>
      </c>
      <c r="BM3160" s="10"/>
      <c r="BN3160" s="10" t="s">
        <v>12382</v>
      </c>
      <c r="BO3160" s="11">
        <v>46009.620833333334</v>
      </c>
      <c r="BP3160" s="11">
        <v>46009.620891203704</v>
      </c>
      <c r="BQ3160" s="15"/>
      <c r="BR3160" s="15"/>
      <c r="BS3160" s="10"/>
      <c r="BT3160" s="10"/>
      <c r="BU3160" s="10"/>
      <c r="BV3160" s="10" t="s">
        <v>499</v>
      </c>
      <c r="BW3160" s="10"/>
      <c r="BX3160" s="10"/>
      <c r="BY3160" s="23"/>
      <c r="BZ3160" s="23"/>
      <c r="CA3160" s="10"/>
      <c r="CB3160" s="23"/>
      <c r="CC3160" s="23"/>
      <c r="CD3160" s="23"/>
      <c r="CE3160" s="23"/>
      <c r="CF3160" s="23"/>
      <c r="CG3160" s="23"/>
      <c r="CH3160" s="23"/>
      <c r="CI3160" s="23"/>
    </row>
    <row r="3161" spans="1:87" x14ac:dyDescent="0.3">
      <c r="A3161" s="9" t="s">
        <v>23072</v>
      </c>
      <c r="B3161" s="10" t="s">
        <v>23073</v>
      </c>
      <c r="C3161" s="11">
        <v>46018.770833333336</v>
      </c>
      <c r="D3161" s="12">
        <v>2.0833333333333332E-2</v>
      </c>
      <c r="E3161" s="11">
        <v>46018.791666666664</v>
      </c>
      <c r="F3161" s="22" t="s">
        <v>3511</v>
      </c>
      <c r="G3161" s="13" t="b">
        <v>0</v>
      </c>
      <c r="H3161" s="22" t="s">
        <v>3512</v>
      </c>
      <c r="I3161" s="10" t="s">
        <v>212</v>
      </c>
      <c r="J3161" s="13" t="b">
        <v>1</v>
      </c>
      <c r="K3161" s="13" t="b">
        <v>0</v>
      </c>
      <c r="L3161" s="10" t="s">
        <v>90</v>
      </c>
      <c r="M3161" s="10" t="s">
        <v>91</v>
      </c>
      <c r="N3161" s="10" t="s">
        <v>92</v>
      </c>
      <c r="O3161" s="19" t="s">
        <v>23074</v>
      </c>
      <c r="P3161" s="10"/>
      <c r="Q3161" s="10" t="s">
        <v>94</v>
      </c>
      <c r="R3161" s="10"/>
      <c r="S3161" s="19" t="s">
        <v>23075</v>
      </c>
      <c r="T3161" s="10"/>
      <c r="U3161" s="10"/>
      <c r="V3161" s="10"/>
      <c r="W3161" s="10" t="s">
        <v>3519</v>
      </c>
      <c r="X3161" s="10" t="s">
        <v>130</v>
      </c>
      <c r="Y3161" s="10" t="s">
        <v>130</v>
      </c>
      <c r="Z3161" s="10" t="s">
        <v>99</v>
      </c>
      <c r="AA3161" s="10" t="s">
        <v>131</v>
      </c>
      <c r="AB3161" s="10" t="s">
        <v>3520</v>
      </c>
      <c r="AC3161" s="10" t="s">
        <v>3521</v>
      </c>
      <c r="AD3161" s="10" t="s">
        <v>165</v>
      </c>
      <c r="AE3161" s="10" t="s">
        <v>23076</v>
      </c>
      <c r="AF3161" s="15"/>
      <c r="AG3161" s="10"/>
      <c r="AH3161" s="10"/>
      <c r="AI3161" s="10"/>
      <c r="AJ3161" s="10"/>
      <c r="AK3161" s="10" t="s">
        <v>102</v>
      </c>
      <c r="AL3161" s="10" t="s">
        <v>195</v>
      </c>
      <c r="AM3161" s="10"/>
      <c r="AN3161" s="10"/>
      <c r="AO3161" s="13" t="b">
        <v>0</v>
      </c>
      <c r="AP3161" s="22" t="s">
        <v>104</v>
      </c>
      <c r="AQ3161" s="10">
        <f ca="1">IFERROR(__xludf.DUMMYFUNCTION("""COMPUTED_VALUE"""),4797007)</f>
        <v>4797007</v>
      </c>
      <c r="AR3161" s="17">
        <v>20555</v>
      </c>
      <c r="AS3161" s="17">
        <v>15770</v>
      </c>
      <c r="AT3161" s="17">
        <v>111343</v>
      </c>
      <c r="AU3161" s="17">
        <v>146.19999999999999</v>
      </c>
      <c r="AV3161" s="17">
        <v>61.05</v>
      </c>
      <c r="AW3161" s="10" t="s">
        <v>105</v>
      </c>
      <c r="AX3161" s="17">
        <v>8751</v>
      </c>
      <c r="AY3161" s="18">
        <v>7.0604311984781232</v>
      </c>
      <c r="AZ3161" s="10"/>
      <c r="BA3161" s="20" t="b">
        <v>0</v>
      </c>
      <c r="BB3161" s="10"/>
      <c r="BC3161" s="17">
        <v>20555</v>
      </c>
      <c r="BD3161" s="17">
        <v>15770</v>
      </c>
      <c r="BE3161" s="17">
        <v>111343</v>
      </c>
      <c r="BF3161" s="17">
        <v>61.05</v>
      </c>
      <c r="BG3161" s="11">
        <f ca="1">IFERROR(__xludf.DUMMYFUNCTION("""COMPUTED_VALUE"""),46018.7708333333)</f>
        <v>46018.770833333299</v>
      </c>
      <c r="BH3161" s="17" t="s">
        <v>105</v>
      </c>
      <c r="BI3161" s="17"/>
      <c r="BJ3161" s="15"/>
      <c r="BK3161" s="15"/>
      <c r="BL3161" s="13" t="b">
        <v>0</v>
      </c>
      <c r="BM3161" s="10"/>
      <c r="BN3161" s="10" t="s">
        <v>197</v>
      </c>
      <c r="BO3161" s="11">
        <v>46009.627083333333</v>
      </c>
      <c r="BP3161" s="11">
        <v>46009.631643518522</v>
      </c>
      <c r="BQ3161" s="15">
        <v>46014.413935185185</v>
      </c>
      <c r="BR3161" s="15">
        <v>46017.915648148148</v>
      </c>
      <c r="BS3161" s="10" t="s">
        <v>197</v>
      </c>
      <c r="BT3161" s="10"/>
      <c r="BU3161" s="10"/>
      <c r="BV3161" s="10"/>
      <c r="BW3161" s="10"/>
      <c r="BX3161" s="10"/>
      <c r="BY3161" s="23"/>
      <c r="BZ3161" s="23"/>
      <c r="CA3161" s="19" t="s">
        <v>23077</v>
      </c>
      <c r="CB3161" s="23"/>
      <c r="CC3161" s="23"/>
      <c r="CD3161" s="23"/>
      <c r="CE3161" s="23"/>
      <c r="CF3161" s="23"/>
      <c r="CG3161" s="23"/>
      <c r="CH3161" s="23"/>
      <c r="CI3161" s="23"/>
    </row>
    <row r="3162" spans="1:87" x14ac:dyDescent="0.3">
      <c r="A3162" s="9" t="s">
        <v>23078</v>
      </c>
      <c r="B3162" s="10" t="s">
        <v>23079</v>
      </c>
      <c r="C3162" s="11">
        <v>46019.625</v>
      </c>
      <c r="D3162" s="12">
        <v>2.0833333333333332E-2</v>
      </c>
      <c r="E3162" s="11">
        <v>46019.645833333336</v>
      </c>
      <c r="F3162" s="22" t="s">
        <v>3511</v>
      </c>
      <c r="G3162" s="13" t="b">
        <v>0</v>
      </c>
      <c r="H3162" s="22" t="s">
        <v>3512</v>
      </c>
      <c r="I3162" s="10" t="s">
        <v>212</v>
      </c>
      <c r="J3162" s="13" t="b">
        <v>1</v>
      </c>
      <c r="K3162" s="13" t="b">
        <v>0</v>
      </c>
      <c r="L3162" s="10" t="s">
        <v>90</v>
      </c>
      <c r="M3162" s="10" t="s">
        <v>91</v>
      </c>
      <c r="N3162" s="10" t="s">
        <v>92</v>
      </c>
      <c r="O3162" s="19" t="s">
        <v>23080</v>
      </c>
      <c r="P3162" s="10"/>
      <c r="Q3162" s="10" t="s">
        <v>94</v>
      </c>
      <c r="R3162" s="10"/>
      <c r="S3162" s="19" t="s">
        <v>23081</v>
      </c>
      <c r="T3162" s="10"/>
      <c r="U3162" s="10" t="s">
        <v>3551</v>
      </c>
      <c r="V3162" s="10" t="s">
        <v>3536</v>
      </c>
      <c r="W3162" s="10" t="s">
        <v>3519</v>
      </c>
      <c r="X3162" s="10" t="s">
        <v>130</v>
      </c>
      <c r="Y3162" s="10" t="s">
        <v>130</v>
      </c>
      <c r="Z3162" s="10" t="s">
        <v>99</v>
      </c>
      <c r="AA3162" s="10" t="s">
        <v>131</v>
      </c>
      <c r="AB3162" s="10" t="s">
        <v>3520</v>
      </c>
      <c r="AC3162" s="10" t="s">
        <v>3521</v>
      </c>
      <c r="AD3162" s="10" t="s">
        <v>20482</v>
      </c>
      <c r="AE3162" s="10" t="s">
        <v>23082</v>
      </c>
      <c r="AF3162" s="15"/>
      <c r="AG3162" s="10"/>
      <c r="AH3162" s="10"/>
      <c r="AI3162" s="10"/>
      <c r="AJ3162" s="10"/>
      <c r="AK3162" s="10" t="s">
        <v>102</v>
      </c>
      <c r="AL3162" s="10" t="s">
        <v>195</v>
      </c>
      <c r="AM3162" s="10"/>
      <c r="AN3162" s="10"/>
      <c r="AO3162" s="13" t="b">
        <v>0</v>
      </c>
      <c r="AP3162" s="22" t="s">
        <v>104</v>
      </c>
      <c r="AQ3162" s="10">
        <f ca="1">IFERROR(__xludf.DUMMYFUNCTION("""COMPUTED_VALUE"""),4795165)</f>
        <v>4795165</v>
      </c>
      <c r="AR3162" s="17">
        <v>7925</v>
      </c>
      <c r="AS3162" s="17">
        <v>6159</v>
      </c>
      <c r="AT3162" s="17">
        <v>19148.75</v>
      </c>
      <c r="AU3162" s="17">
        <v>35.4</v>
      </c>
      <c r="AV3162" s="17">
        <v>11.2</v>
      </c>
      <c r="AW3162" s="10" t="s">
        <v>105</v>
      </c>
      <c r="AX3162" s="17">
        <v>3636</v>
      </c>
      <c r="AY3162" s="18">
        <v>3.1090680305244356</v>
      </c>
      <c r="AZ3162" s="10"/>
      <c r="BA3162" s="20" t="b">
        <v>0</v>
      </c>
      <c r="BB3162" s="10"/>
      <c r="BC3162" s="17">
        <v>7925</v>
      </c>
      <c r="BD3162" s="17">
        <v>6159</v>
      </c>
      <c r="BE3162" s="17">
        <v>19148.75</v>
      </c>
      <c r="BF3162" s="17">
        <v>11.2</v>
      </c>
      <c r="BG3162" s="11">
        <f ca="1">IFERROR(__xludf.DUMMYFUNCTION("""COMPUTED_VALUE"""),46019.625)</f>
        <v>46019.625</v>
      </c>
      <c r="BH3162" s="17" t="s">
        <v>105</v>
      </c>
      <c r="BI3162" s="17"/>
      <c r="BJ3162" s="15"/>
      <c r="BK3162" s="15"/>
      <c r="BL3162" s="13" t="b">
        <v>0</v>
      </c>
      <c r="BM3162" s="10"/>
      <c r="BN3162" s="10" t="s">
        <v>455</v>
      </c>
      <c r="BO3162" s="11">
        <v>46009.631249999999</v>
      </c>
      <c r="BP3162" s="11">
        <v>46009.63181712963</v>
      </c>
      <c r="BQ3162" s="15">
        <v>46014.414849537039</v>
      </c>
      <c r="BR3162" s="15">
        <v>46017.069988425923</v>
      </c>
      <c r="BS3162" s="10" t="s">
        <v>455</v>
      </c>
      <c r="BT3162" s="10"/>
      <c r="BU3162" s="10"/>
      <c r="BV3162" s="10"/>
      <c r="BW3162" s="10"/>
      <c r="BX3162" s="10"/>
      <c r="BY3162" s="23"/>
      <c r="BZ3162" s="23"/>
      <c r="CA3162" s="19" t="s">
        <v>23083</v>
      </c>
      <c r="CB3162" s="23"/>
      <c r="CC3162" s="23"/>
      <c r="CD3162" s="23"/>
      <c r="CE3162" s="23"/>
      <c r="CF3162" s="23"/>
      <c r="CG3162" s="23"/>
      <c r="CH3162" s="23"/>
      <c r="CI3162" s="23"/>
    </row>
    <row r="3163" spans="1:87" x14ac:dyDescent="0.3">
      <c r="A3163" s="9" t="s">
        <v>23084</v>
      </c>
      <c r="B3163" s="10" t="s">
        <v>23085</v>
      </c>
      <c r="C3163" s="11">
        <v>46020.770833333336</v>
      </c>
      <c r="D3163" s="12">
        <v>2.0833333333333332E-2</v>
      </c>
      <c r="E3163" s="11">
        <v>46020.791666666664</v>
      </c>
      <c r="F3163" s="22" t="s">
        <v>3511</v>
      </c>
      <c r="G3163" s="13" t="b">
        <v>0</v>
      </c>
      <c r="H3163" s="22" t="s">
        <v>3512</v>
      </c>
      <c r="I3163" s="10" t="s">
        <v>212</v>
      </c>
      <c r="J3163" s="13" t="b">
        <v>1</v>
      </c>
      <c r="K3163" s="13" t="b">
        <v>0</v>
      </c>
      <c r="L3163" s="10" t="s">
        <v>90</v>
      </c>
      <c r="M3163" s="10" t="s">
        <v>91</v>
      </c>
      <c r="N3163" s="10" t="s">
        <v>92</v>
      </c>
      <c r="O3163" s="19" t="s">
        <v>23086</v>
      </c>
      <c r="P3163" s="10"/>
      <c r="Q3163" s="10" t="s">
        <v>94</v>
      </c>
      <c r="R3163" s="10"/>
      <c r="S3163" s="19" t="s">
        <v>23087</v>
      </c>
      <c r="T3163" s="10"/>
      <c r="U3163" s="10"/>
      <c r="V3163" s="10"/>
      <c r="W3163" s="10" t="s">
        <v>3519</v>
      </c>
      <c r="X3163" s="10" t="s">
        <v>130</v>
      </c>
      <c r="Y3163" s="10" t="s">
        <v>130</v>
      </c>
      <c r="Z3163" s="10" t="s">
        <v>99</v>
      </c>
      <c r="AA3163" s="10" t="s">
        <v>131</v>
      </c>
      <c r="AB3163" s="10" t="s">
        <v>3520</v>
      </c>
      <c r="AC3163" s="10" t="s">
        <v>3521</v>
      </c>
      <c r="AD3163" s="10" t="s">
        <v>165</v>
      </c>
      <c r="AE3163" s="10" t="s">
        <v>23088</v>
      </c>
      <c r="AF3163" s="15"/>
      <c r="AG3163" s="10"/>
      <c r="AH3163" s="10"/>
      <c r="AI3163" s="10"/>
      <c r="AJ3163" s="10"/>
      <c r="AK3163" s="10" t="s">
        <v>102</v>
      </c>
      <c r="AL3163" s="10" t="s">
        <v>195</v>
      </c>
      <c r="AM3163" s="10"/>
      <c r="AN3163" s="10"/>
      <c r="AO3163" s="13" t="b">
        <v>0</v>
      </c>
      <c r="AP3163" s="22" t="s">
        <v>104</v>
      </c>
      <c r="AQ3163" s="10">
        <f ca="1">IFERROR(__xludf.DUMMYFUNCTION("""COMPUTED_VALUE"""),4797264)</f>
        <v>4797264</v>
      </c>
      <c r="AR3163" s="17">
        <v>8651</v>
      </c>
      <c r="AS3163" s="17">
        <v>7059</v>
      </c>
      <c r="AT3163" s="17">
        <v>39904.5</v>
      </c>
      <c r="AU3163" s="17">
        <v>35.200000000000003</v>
      </c>
      <c r="AV3163" s="17">
        <v>9.9499999999999993</v>
      </c>
      <c r="AW3163" s="10" t="s">
        <v>105</v>
      </c>
      <c r="AX3163" s="17">
        <v>3791</v>
      </c>
      <c r="AY3163" s="18">
        <v>5.6529961750956224</v>
      </c>
      <c r="AZ3163" s="10"/>
      <c r="BA3163" s="20" t="b">
        <v>0</v>
      </c>
      <c r="BB3163" s="10"/>
      <c r="BC3163" s="17">
        <v>8651</v>
      </c>
      <c r="BD3163" s="17">
        <v>7059</v>
      </c>
      <c r="BE3163" s="17">
        <v>39904.5</v>
      </c>
      <c r="BF3163" s="17">
        <v>9.9499999999999993</v>
      </c>
      <c r="BG3163" s="11">
        <f ca="1">IFERROR(__xludf.DUMMYFUNCTION("""COMPUTED_VALUE"""),46020.7708333333)</f>
        <v>46020.770833333299</v>
      </c>
      <c r="BH3163" s="17" t="s">
        <v>105</v>
      </c>
      <c r="BI3163" s="17"/>
      <c r="BJ3163" s="15"/>
      <c r="BK3163" s="15"/>
      <c r="BL3163" s="13" t="b">
        <v>0</v>
      </c>
      <c r="BM3163" s="10"/>
      <c r="BN3163" s="10" t="s">
        <v>137</v>
      </c>
      <c r="BO3163" s="11">
        <v>46009.633333333331</v>
      </c>
      <c r="BP3163" s="11">
        <v>46009.633750000001</v>
      </c>
      <c r="BQ3163" s="15">
        <v>46014.415578703702</v>
      </c>
      <c r="BR3163" s="15">
        <v>46018.652384259258</v>
      </c>
      <c r="BS3163" s="10" t="s">
        <v>137</v>
      </c>
      <c r="BT3163" s="10"/>
      <c r="BU3163" s="10"/>
      <c r="BV3163" s="10"/>
      <c r="BW3163" s="10"/>
      <c r="BX3163" s="10"/>
      <c r="BY3163" s="23"/>
      <c r="BZ3163" s="23"/>
      <c r="CA3163" s="19" t="s">
        <v>23089</v>
      </c>
      <c r="CB3163" s="23"/>
      <c r="CC3163" s="23"/>
      <c r="CD3163" s="23"/>
      <c r="CE3163" s="23"/>
      <c r="CF3163" s="23"/>
      <c r="CG3163" s="23"/>
      <c r="CH3163" s="23"/>
      <c r="CI3163" s="23"/>
    </row>
    <row r="3164" spans="1:87" x14ac:dyDescent="0.3">
      <c r="A3164" s="9" t="s">
        <v>23090</v>
      </c>
      <c r="B3164" s="10" t="s">
        <v>23091</v>
      </c>
      <c r="C3164" s="11">
        <v>46020.625</v>
      </c>
      <c r="D3164" s="12">
        <v>2.0833333333333332E-2</v>
      </c>
      <c r="E3164" s="11">
        <v>46020.645833333336</v>
      </c>
      <c r="F3164" s="22" t="s">
        <v>3511</v>
      </c>
      <c r="G3164" s="13" t="b">
        <v>0</v>
      </c>
      <c r="H3164" s="22" t="s">
        <v>3512</v>
      </c>
      <c r="I3164" s="10" t="s">
        <v>212</v>
      </c>
      <c r="J3164" s="13" t="b">
        <v>1</v>
      </c>
      <c r="K3164" s="13" t="b">
        <v>0</v>
      </c>
      <c r="L3164" s="10" t="s">
        <v>124</v>
      </c>
      <c r="M3164" s="10" t="s">
        <v>91</v>
      </c>
      <c r="N3164" s="10" t="s">
        <v>92</v>
      </c>
      <c r="O3164" s="19" t="s">
        <v>23092</v>
      </c>
      <c r="P3164" s="10"/>
      <c r="Q3164" s="10" t="s">
        <v>94</v>
      </c>
      <c r="R3164" s="10"/>
      <c r="S3164" s="19" t="s">
        <v>23093</v>
      </c>
      <c r="T3164" s="10"/>
      <c r="U3164" s="10"/>
      <c r="V3164" s="10"/>
      <c r="W3164" s="10" t="s">
        <v>3519</v>
      </c>
      <c r="X3164" s="10" t="s">
        <v>130</v>
      </c>
      <c r="Y3164" s="10" t="s">
        <v>130</v>
      </c>
      <c r="Z3164" s="10" t="s">
        <v>99</v>
      </c>
      <c r="AA3164" s="10" t="s">
        <v>131</v>
      </c>
      <c r="AB3164" s="10" t="s">
        <v>3520</v>
      </c>
      <c r="AC3164" s="10" t="s">
        <v>3521</v>
      </c>
      <c r="AD3164" s="10" t="s">
        <v>165</v>
      </c>
      <c r="AE3164" s="10" t="s">
        <v>23094</v>
      </c>
      <c r="AF3164" s="15"/>
      <c r="AG3164" s="10"/>
      <c r="AH3164" s="10"/>
      <c r="AI3164" s="10"/>
      <c r="AJ3164" s="10"/>
      <c r="AK3164" s="10" t="s">
        <v>102</v>
      </c>
      <c r="AL3164" s="10" t="s">
        <v>195</v>
      </c>
      <c r="AM3164" s="10"/>
      <c r="AN3164" s="10"/>
      <c r="AO3164" s="13" t="b">
        <v>0</v>
      </c>
      <c r="AP3164" s="22" t="s">
        <v>104</v>
      </c>
      <c r="AQ3164" s="10">
        <f ca="1">IFERROR(__xludf.DUMMYFUNCTION("""COMPUTED_VALUE"""),4797263)</f>
        <v>4797263</v>
      </c>
      <c r="AR3164" s="17">
        <v>2294</v>
      </c>
      <c r="AS3164" s="17">
        <v>1917</v>
      </c>
      <c r="AT3164" s="17">
        <v>8649.75</v>
      </c>
      <c r="AU3164" s="17">
        <v>6.7</v>
      </c>
      <c r="AV3164" s="17">
        <v>0</v>
      </c>
      <c r="AW3164" s="10" t="s">
        <v>105</v>
      </c>
      <c r="AX3164" s="17">
        <v>761</v>
      </c>
      <c r="AY3164" s="18">
        <v>4.5121283255086073</v>
      </c>
      <c r="AZ3164" s="10"/>
      <c r="BA3164" s="20" t="b">
        <v>0</v>
      </c>
      <c r="BB3164" s="10"/>
      <c r="BC3164" s="17">
        <v>2294</v>
      </c>
      <c r="BD3164" s="17">
        <v>1917</v>
      </c>
      <c r="BE3164" s="17">
        <v>8649.75</v>
      </c>
      <c r="BF3164" s="17">
        <v>0</v>
      </c>
      <c r="BG3164" s="11">
        <f ca="1">IFERROR(__xludf.DUMMYFUNCTION("""COMPUTED_VALUE"""),46020.625)</f>
        <v>46020.625</v>
      </c>
      <c r="BH3164" s="17" t="s">
        <v>105</v>
      </c>
      <c r="BI3164" s="17"/>
      <c r="BJ3164" s="15"/>
      <c r="BK3164" s="15"/>
      <c r="BL3164" s="13" t="b">
        <v>0</v>
      </c>
      <c r="BM3164" s="10"/>
      <c r="BN3164" s="10" t="s">
        <v>137</v>
      </c>
      <c r="BO3164" s="11">
        <v>46009.635416666664</v>
      </c>
      <c r="BP3164" s="11">
        <v>46009.636006944442</v>
      </c>
      <c r="BQ3164" s="15">
        <v>46014.417256944442</v>
      </c>
      <c r="BR3164" s="15">
        <v>46018.651608796295</v>
      </c>
      <c r="BS3164" s="10" t="s">
        <v>137</v>
      </c>
      <c r="BT3164" s="10"/>
      <c r="BU3164" s="10"/>
      <c r="BV3164" s="10"/>
      <c r="BW3164" s="10"/>
      <c r="BX3164" s="10"/>
      <c r="BY3164" s="23"/>
      <c r="BZ3164" s="23"/>
      <c r="CA3164" s="19" t="s">
        <v>23095</v>
      </c>
      <c r="CB3164" s="23"/>
      <c r="CC3164" s="23"/>
      <c r="CD3164" s="23"/>
      <c r="CE3164" s="23"/>
      <c r="CF3164" s="23"/>
      <c r="CG3164" s="23"/>
      <c r="CH3164" s="23"/>
      <c r="CI3164" s="23"/>
    </row>
    <row r="3165" spans="1:87" x14ac:dyDescent="0.3">
      <c r="A3165" s="9" t="s">
        <v>23096</v>
      </c>
      <c r="B3165" s="10" t="s">
        <v>23097</v>
      </c>
      <c r="C3165" s="11">
        <v>46037.666666666664</v>
      </c>
      <c r="D3165" s="12">
        <v>0.10416666666666667</v>
      </c>
      <c r="E3165" s="11">
        <v>46037.770833333336</v>
      </c>
      <c r="F3165" s="22" t="s">
        <v>22219</v>
      </c>
      <c r="G3165" s="13" t="b">
        <v>0</v>
      </c>
      <c r="H3165" s="22" t="s">
        <v>22220</v>
      </c>
      <c r="I3165" s="10" t="s">
        <v>89</v>
      </c>
      <c r="J3165" s="13" t="b">
        <v>0</v>
      </c>
      <c r="K3165" s="13" t="b">
        <v>1</v>
      </c>
      <c r="L3165" s="10" t="s">
        <v>124</v>
      </c>
      <c r="M3165" s="10" t="s">
        <v>91</v>
      </c>
      <c r="N3165" s="10" t="s">
        <v>3513</v>
      </c>
      <c r="O3165" s="10"/>
      <c r="P3165" s="10" t="s">
        <v>575</v>
      </c>
      <c r="Q3165" s="10" t="s">
        <v>126</v>
      </c>
      <c r="R3165" s="10"/>
      <c r="S3165" s="10"/>
      <c r="T3165" s="10"/>
      <c r="U3165" s="10" t="s">
        <v>22239</v>
      </c>
      <c r="V3165" s="10" t="s">
        <v>22374</v>
      </c>
      <c r="W3165" s="10" t="s">
        <v>22225</v>
      </c>
      <c r="X3165" s="10" t="s">
        <v>16549</v>
      </c>
      <c r="Y3165" s="10" t="s">
        <v>16549</v>
      </c>
      <c r="Z3165" s="10" t="s">
        <v>99</v>
      </c>
      <c r="AA3165" s="10" t="s">
        <v>131</v>
      </c>
      <c r="AB3165" s="10" t="s">
        <v>22226</v>
      </c>
      <c r="AC3165" s="10" t="s">
        <v>22227</v>
      </c>
      <c r="AD3165" s="10" t="s">
        <v>23098</v>
      </c>
      <c r="AE3165" s="10" t="s">
        <v>23099</v>
      </c>
      <c r="AF3165" s="15"/>
      <c r="AG3165" s="10"/>
      <c r="AH3165" s="10"/>
      <c r="AI3165" s="10"/>
      <c r="AJ3165" s="10" t="s">
        <v>23100</v>
      </c>
      <c r="AK3165" s="10"/>
      <c r="AL3165" s="10"/>
      <c r="AM3165" s="10"/>
      <c r="AN3165" s="10"/>
      <c r="AO3165" s="13" t="b">
        <v>0</v>
      </c>
      <c r="AP3165" s="22" t="s">
        <v>104</v>
      </c>
      <c r="AQ3165" s="10"/>
      <c r="AR3165" s="17"/>
      <c r="AS3165" s="17"/>
      <c r="AT3165" s="17"/>
      <c r="AU3165" s="17"/>
      <c r="AV3165" s="17"/>
      <c r="AW3165" s="10"/>
      <c r="AX3165" s="17"/>
      <c r="AY3165" s="18" t="s">
        <v>257</v>
      </c>
      <c r="AZ3165" s="10"/>
      <c r="BA3165" s="20" t="b">
        <v>0</v>
      </c>
      <c r="BB3165" s="10"/>
      <c r="BC3165" s="17" t="s">
        <v>257</v>
      </c>
      <c r="BD3165" s="17" t="s">
        <v>257</v>
      </c>
      <c r="BE3165" s="17" t="s">
        <v>257</v>
      </c>
      <c r="BF3165" s="17" t="s">
        <v>257</v>
      </c>
      <c r="BG3165" s="11">
        <f ca="1">IFERROR(__xludf.DUMMYFUNCTION("""COMPUTED_VALUE"""),46037.6666666666)</f>
        <v>46037.666666666599</v>
      </c>
      <c r="BH3165" s="17"/>
      <c r="BI3165" s="17"/>
      <c r="BJ3165" s="15"/>
      <c r="BK3165" s="15"/>
      <c r="BL3165" s="13" t="b">
        <v>0</v>
      </c>
      <c r="BM3165" s="10"/>
      <c r="BN3165" s="10" t="s">
        <v>2527</v>
      </c>
      <c r="BO3165" s="11">
        <v>46009.630555555559</v>
      </c>
      <c r="BP3165" s="11">
        <v>46030.438715277778</v>
      </c>
      <c r="BQ3165" s="15"/>
      <c r="BR3165" s="15"/>
      <c r="BS3165" s="10"/>
      <c r="BT3165" s="10" t="s">
        <v>99</v>
      </c>
      <c r="BU3165" s="10"/>
      <c r="BV3165" s="10"/>
      <c r="BW3165" s="10"/>
      <c r="BX3165" s="10"/>
      <c r="BY3165" s="23"/>
      <c r="BZ3165" s="23"/>
      <c r="CA3165" s="10"/>
      <c r="CB3165" s="23"/>
      <c r="CC3165" s="23"/>
      <c r="CD3165" s="23"/>
      <c r="CE3165" s="23"/>
      <c r="CF3165" s="23"/>
      <c r="CG3165" s="23"/>
      <c r="CH3165" s="23"/>
      <c r="CI3165" s="23"/>
    </row>
    <row r="3166" spans="1:87" x14ac:dyDescent="0.3">
      <c r="A3166" s="9" t="s">
        <v>23101</v>
      </c>
      <c r="B3166" s="10" t="s">
        <v>23102</v>
      </c>
      <c r="C3166" s="11">
        <v>46037.791666666664</v>
      </c>
      <c r="D3166" s="12">
        <v>0.10416666666666667</v>
      </c>
      <c r="E3166" s="11">
        <v>46037.895833333336</v>
      </c>
      <c r="F3166" s="22" t="s">
        <v>22219</v>
      </c>
      <c r="G3166" s="13" t="b">
        <v>0</v>
      </c>
      <c r="H3166" s="22" t="s">
        <v>22220</v>
      </c>
      <c r="I3166" s="10" t="s">
        <v>89</v>
      </c>
      <c r="J3166" s="13" t="b">
        <v>0</v>
      </c>
      <c r="K3166" s="13" t="b">
        <v>1</v>
      </c>
      <c r="L3166" s="10" t="s">
        <v>124</v>
      </c>
      <c r="M3166" s="10" t="s">
        <v>91</v>
      </c>
      <c r="N3166" s="10" t="s">
        <v>3513</v>
      </c>
      <c r="O3166" s="10"/>
      <c r="P3166" s="10" t="s">
        <v>575</v>
      </c>
      <c r="Q3166" s="10" t="s">
        <v>126</v>
      </c>
      <c r="R3166" s="10"/>
      <c r="S3166" s="10"/>
      <c r="T3166" s="10"/>
      <c r="U3166" s="10" t="s">
        <v>22223</v>
      </c>
      <c r="V3166" s="10" t="s">
        <v>22363</v>
      </c>
      <c r="W3166" s="10" t="s">
        <v>22225</v>
      </c>
      <c r="X3166" s="10" t="s">
        <v>16549</v>
      </c>
      <c r="Y3166" s="10" t="s">
        <v>16549</v>
      </c>
      <c r="Z3166" s="10" t="s">
        <v>99</v>
      </c>
      <c r="AA3166" s="10" t="s">
        <v>131</v>
      </c>
      <c r="AB3166" s="10" t="s">
        <v>22226</v>
      </c>
      <c r="AC3166" s="10" t="s">
        <v>22227</v>
      </c>
      <c r="AD3166" s="10" t="s">
        <v>23103</v>
      </c>
      <c r="AE3166" s="10" t="s">
        <v>23104</v>
      </c>
      <c r="AF3166" s="15"/>
      <c r="AG3166" s="10"/>
      <c r="AH3166" s="10"/>
      <c r="AI3166" s="10"/>
      <c r="AJ3166" s="10" t="s">
        <v>23105</v>
      </c>
      <c r="AK3166" s="10"/>
      <c r="AL3166" s="10"/>
      <c r="AM3166" s="10"/>
      <c r="AN3166" s="10"/>
      <c r="AO3166" s="13" t="b">
        <v>1</v>
      </c>
      <c r="AP3166" s="22" t="s">
        <v>135</v>
      </c>
      <c r="AQ3166" s="10"/>
      <c r="AR3166" s="17"/>
      <c r="AS3166" s="17"/>
      <c r="AT3166" s="17"/>
      <c r="AU3166" s="17"/>
      <c r="AV3166" s="17"/>
      <c r="AW3166" s="10"/>
      <c r="AX3166" s="17"/>
      <c r="AY3166" s="18" t="s">
        <v>257</v>
      </c>
      <c r="AZ3166" s="10"/>
      <c r="BA3166" s="20" t="b">
        <v>0</v>
      </c>
      <c r="BB3166" s="10"/>
      <c r="BC3166" s="17" t="s">
        <v>257</v>
      </c>
      <c r="BD3166" s="17" t="s">
        <v>257</v>
      </c>
      <c r="BE3166" s="17" t="s">
        <v>257</v>
      </c>
      <c r="BF3166" s="17" t="s">
        <v>257</v>
      </c>
      <c r="BG3166" s="11">
        <f ca="1">IFERROR(__xludf.DUMMYFUNCTION("""COMPUTED_VALUE"""),46037.7916666666)</f>
        <v>46037.791666666599</v>
      </c>
      <c r="BH3166" s="17"/>
      <c r="BI3166" s="17"/>
      <c r="BJ3166" s="15"/>
      <c r="BK3166" s="15"/>
      <c r="BL3166" s="13" t="b">
        <v>0</v>
      </c>
      <c r="BM3166" s="10"/>
      <c r="BN3166" s="10" t="s">
        <v>2527</v>
      </c>
      <c r="BO3166" s="11">
        <v>46009.63958333333</v>
      </c>
      <c r="BP3166" s="11">
        <v>46030.439618055556</v>
      </c>
      <c r="BQ3166" s="15"/>
      <c r="BR3166" s="15"/>
      <c r="BS3166" s="10"/>
      <c r="BT3166" s="10" t="s">
        <v>99</v>
      </c>
      <c r="BU3166" s="10"/>
      <c r="BV3166" s="10"/>
      <c r="BW3166" s="10"/>
      <c r="BX3166" s="10"/>
      <c r="BY3166" s="23"/>
      <c r="BZ3166" s="23"/>
      <c r="CA3166" s="10"/>
      <c r="CB3166" s="23"/>
      <c r="CC3166" s="23"/>
      <c r="CD3166" s="23"/>
      <c r="CE3166" s="23"/>
      <c r="CF3166" s="23"/>
      <c r="CG3166" s="23"/>
      <c r="CH3166" s="23"/>
      <c r="CI3166" s="23"/>
    </row>
    <row r="3167" spans="1:87" x14ac:dyDescent="0.3">
      <c r="A3167" s="9" t="s">
        <v>23106</v>
      </c>
      <c r="B3167" s="10" t="s">
        <v>23107</v>
      </c>
      <c r="C3167" s="11">
        <v>46038.666666666664</v>
      </c>
      <c r="D3167" s="12">
        <v>0.10416666666666667</v>
      </c>
      <c r="E3167" s="11">
        <v>46038.770833333336</v>
      </c>
      <c r="F3167" s="22" t="s">
        <v>22219</v>
      </c>
      <c r="G3167" s="13" t="b">
        <v>0</v>
      </c>
      <c r="H3167" s="22" t="s">
        <v>22220</v>
      </c>
      <c r="I3167" s="10" t="s">
        <v>89</v>
      </c>
      <c r="J3167" s="13" t="b">
        <v>0</v>
      </c>
      <c r="K3167" s="13" t="b">
        <v>1</v>
      </c>
      <c r="L3167" s="10" t="s">
        <v>124</v>
      </c>
      <c r="M3167" s="10" t="s">
        <v>91</v>
      </c>
      <c r="N3167" s="10" t="s">
        <v>3513</v>
      </c>
      <c r="O3167" s="10"/>
      <c r="P3167" s="10" t="s">
        <v>575</v>
      </c>
      <c r="Q3167" s="10" t="s">
        <v>126</v>
      </c>
      <c r="R3167" s="10"/>
      <c r="S3167" s="10"/>
      <c r="T3167" s="10"/>
      <c r="U3167" s="10" t="s">
        <v>22224</v>
      </c>
      <c r="V3167" s="10" t="s">
        <v>22352</v>
      </c>
      <c r="W3167" s="10" t="s">
        <v>22225</v>
      </c>
      <c r="X3167" s="10" t="s">
        <v>16549</v>
      </c>
      <c r="Y3167" s="10" t="s">
        <v>16549</v>
      </c>
      <c r="Z3167" s="10" t="s">
        <v>99</v>
      </c>
      <c r="AA3167" s="10" t="s">
        <v>131</v>
      </c>
      <c r="AB3167" s="10" t="s">
        <v>22226</v>
      </c>
      <c r="AC3167" s="10" t="s">
        <v>22227</v>
      </c>
      <c r="AD3167" s="10" t="s">
        <v>23108</v>
      </c>
      <c r="AE3167" s="10" t="s">
        <v>23109</v>
      </c>
      <c r="AF3167" s="15"/>
      <c r="AG3167" s="10"/>
      <c r="AH3167" s="10"/>
      <c r="AI3167" s="10"/>
      <c r="AJ3167" s="10" t="s">
        <v>23110</v>
      </c>
      <c r="AK3167" s="10"/>
      <c r="AL3167" s="10"/>
      <c r="AM3167" s="10"/>
      <c r="AN3167" s="10"/>
      <c r="AO3167" s="13" t="b">
        <v>0</v>
      </c>
      <c r="AP3167" s="22" t="s">
        <v>135</v>
      </c>
      <c r="AQ3167" s="10"/>
      <c r="AR3167" s="17"/>
      <c r="AS3167" s="17"/>
      <c r="AT3167" s="17"/>
      <c r="AU3167" s="17"/>
      <c r="AV3167" s="17"/>
      <c r="AW3167" s="10"/>
      <c r="AX3167" s="17"/>
      <c r="AY3167" s="18" t="s">
        <v>257</v>
      </c>
      <c r="AZ3167" s="10"/>
      <c r="BA3167" s="20" t="b">
        <v>0</v>
      </c>
      <c r="BB3167" s="10"/>
      <c r="BC3167" s="17" t="s">
        <v>257</v>
      </c>
      <c r="BD3167" s="17" t="s">
        <v>257</v>
      </c>
      <c r="BE3167" s="17" t="s">
        <v>257</v>
      </c>
      <c r="BF3167" s="17" t="s">
        <v>257</v>
      </c>
      <c r="BG3167" s="11">
        <f ca="1">IFERROR(__xludf.DUMMYFUNCTION("""COMPUTED_VALUE"""),46038.6666666666)</f>
        <v>46038.666666666599</v>
      </c>
      <c r="BH3167" s="17"/>
      <c r="BI3167" s="17"/>
      <c r="BJ3167" s="15"/>
      <c r="BK3167" s="15"/>
      <c r="BL3167" s="13" t="b">
        <v>0</v>
      </c>
      <c r="BM3167" s="10"/>
      <c r="BN3167" s="10" t="s">
        <v>2527</v>
      </c>
      <c r="BO3167" s="11">
        <v>46009.645833333336</v>
      </c>
      <c r="BP3167" s="11">
        <v>46030.440092592595</v>
      </c>
      <c r="BQ3167" s="15"/>
      <c r="BR3167" s="15"/>
      <c r="BS3167" s="10"/>
      <c r="BT3167" s="10" t="s">
        <v>99</v>
      </c>
      <c r="BU3167" s="10"/>
      <c r="BV3167" s="10"/>
      <c r="BW3167" s="10"/>
      <c r="BX3167" s="10"/>
      <c r="BY3167" s="23"/>
      <c r="BZ3167" s="23"/>
      <c r="CA3167" s="10"/>
      <c r="CB3167" s="23"/>
      <c r="CC3167" s="23"/>
      <c r="CD3167" s="23"/>
      <c r="CE3167" s="23"/>
      <c r="CF3167" s="23"/>
      <c r="CG3167" s="23"/>
      <c r="CH3167" s="23"/>
      <c r="CI3167" s="23"/>
    </row>
    <row r="3168" spans="1:87" x14ac:dyDescent="0.3">
      <c r="A3168" s="9" t="s">
        <v>23111</v>
      </c>
      <c r="B3168" s="10" t="s">
        <v>23112</v>
      </c>
      <c r="C3168" s="11">
        <v>46038.791666666664</v>
      </c>
      <c r="D3168" s="12">
        <v>0.10416666666666667</v>
      </c>
      <c r="E3168" s="11">
        <v>46038.895833333336</v>
      </c>
      <c r="F3168" s="22" t="s">
        <v>22219</v>
      </c>
      <c r="G3168" s="13" t="b">
        <v>0</v>
      </c>
      <c r="H3168" s="22" t="s">
        <v>22220</v>
      </c>
      <c r="I3168" s="10" t="s">
        <v>89</v>
      </c>
      <c r="J3168" s="13" t="b">
        <v>0</v>
      </c>
      <c r="K3168" s="13" t="b">
        <v>1</v>
      </c>
      <c r="L3168" s="10" t="s">
        <v>124</v>
      </c>
      <c r="M3168" s="10" t="s">
        <v>91</v>
      </c>
      <c r="N3168" s="10" t="s">
        <v>3513</v>
      </c>
      <c r="O3168" s="10"/>
      <c r="P3168" s="10" t="s">
        <v>575</v>
      </c>
      <c r="Q3168" s="10" t="s">
        <v>126</v>
      </c>
      <c r="R3168" s="10"/>
      <c r="S3168" s="10"/>
      <c r="T3168" s="10"/>
      <c r="U3168" s="10" t="s">
        <v>22341</v>
      </c>
      <c r="V3168" s="10" t="s">
        <v>22353</v>
      </c>
      <c r="W3168" s="10" t="s">
        <v>22225</v>
      </c>
      <c r="X3168" s="10" t="s">
        <v>16549</v>
      </c>
      <c r="Y3168" s="10" t="s">
        <v>16549</v>
      </c>
      <c r="Z3168" s="10" t="s">
        <v>99</v>
      </c>
      <c r="AA3168" s="10" t="s">
        <v>131</v>
      </c>
      <c r="AB3168" s="10" t="s">
        <v>22226</v>
      </c>
      <c r="AC3168" s="10" t="s">
        <v>22227</v>
      </c>
      <c r="AD3168" s="10" t="s">
        <v>23113</v>
      </c>
      <c r="AE3168" s="10" t="s">
        <v>23114</v>
      </c>
      <c r="AF3168" s="15"/>
      <c r="AG3168" s="10"/>
      <c r="AH3168" s="10"/>
      <c r="AI3168" s="10"/>
      <c r="AJ3168" s="10" t="s">
        <v>23115</v>
      </c>
      <c r="AK3168" s="10"/>
      <c r="AL3168" s="10"/>
      <c r="AM3168" s="10"/>
      <c r="AN3168" s="10"/>
      <c r="AO3168" s="13" t="b">
        <v>0</v>
      </c>
      <c r="AP3168" s="22" t="s">
        <v>135</v>
      </c>
      <c r="AQ3168" s="10"/>
      <c r="AR3168" s="17"/>
      <c r="AS3168" s="17"/>
      <c r="AT3168" s="17"/>
      <c r="AU3168" s="17"/>
      <c r="AV3168" s="17"/>
      <c r="AW3168" s="10"/>
      <c r="AX3168" s="17"/>
      <c r="AY3168" s="18" t="s">
        <v>257</v>
      </c>
      <c r="AZ3168" s="10"/>
      <c r="BA3168" s="20" t="b">
        <v>0</v>
      </c>
      <c r="BB3168" s="10"/>
      <c r="BC3168" s="17" t="s">
        <v>257</v>
      </c>
      <c r="BD3168" s="17" t="s">
        <v>257</v>
      </c>
      <c r="BE3168" s="17" t="s">
        <v>257</v>
      </c>
      <c r="BF3168" s="17" t="s">
        <v>257</v>
      </c>
      <c r="BG3168" s="11">
        <f ca="1">IFERROR(__xludf.DUMMYFUNCTION("""COMPUTED_VALUE"""),46038.7916666666)</f>
        <v>46038.791666666599</v>
      </c>
      <c r="BH3168" s="17"/>
      <c r="BI3168" s="17"/>
      <c r="BJ3168" s="15"/>
      <c r="BK3168" s="15"/>
      <c r="BL3168" s="13" t="b">
        <v>0</v>
      </c>
      <c r="BM3168" s="10"/>
      <c r="BN3168" s="10" t="s">
        <v>12382</v>
      </c>
      <c r="BO3168" s="11">
        <v>46009.646527777775</v>
      </c>
      <c r="BP3168" s="11">
        <v>46030.440497685187</v>
      </c>
      <c r="BQ3168" s="15"/>
      <c r="BR3168" s="15"/>
      <c r="BS3168" s="10"/>
      <c r="BT3168" s="10" t="s">
        <v>99</v>
      </c>
      <c r="BU3168" s="10"/>
      <c r="BV3168" s="10" t="s">
        <v>281</v>
      </c>
      <c r="BW3168" s="10" t="s">
        <v>282</v>
      </c>
      <c r="BX3168" s="10"/>
      <c r="BY3168" s="23"/>
      <c r="BZ3168" s="23"/>
      <c r="CA3168" s="10"/>
      <c r="CB3168" s="23"/>
      <c r="CC3168" s="23"/>
      <c r="CD3168" s="23"/>
      <c r="CE3168" s="23"/>
      <c r="CF3168" s="23"/>
      <c r="CG3168" s="23"/>
      <c r="CH3168" s="23"/>
      <c r="CI3168" s="23"/>
    </row>
    <row r="3169" spans="1:87" x14ac:dyDescent="0.3">
      <c r="A3169" s="9" t="s">
        <v>23116</v>
      </c>
      <c r="B3169" s="10" t="s">
        <v>23117</v>
      </c>
      <c r="C3169" s="11">
        <v>46039.666666666664</v>
      </c>
      <c r="D3169" s="12">
        <v>0.10416666666666667</v>
      </c>
      <c r="E3169" s="11">
        <v>46039.770833333336</v>
      </c>
      <c r="F3169" s="22" t="s">
        <v>22219</v>
      </c>
      <c r="G3169" s="13" t="b">
        <v>0</v>
      </c>
      <c r="H3169" s="22" t="s">
        <v>22220</v>
      </c>
      <c r="I3169" s="10" t="s">
        <v>89</v>
      </c>
      <c r="J3169" s="13" t="b">
        <v>0</v>
      </c>
      <c r="K3169" s="13" t="b">
        <v>1</v>
      </c>
      <c r="L3169" s="10" t="s">
        <v>124</v>
      </c>
      <c r="M3169" s="10" t="s">
        <v>91</v>
      </c>
      <c r="N3169" s="10" t="s">
        <v>3513</v>
      </c>
      <c r="O3169" s="10"/>
      <c r="P3169" s="10" t="s">
        <v>575</v>
      </c>
      <c r="Q3169" s="10" t="s">
        <v>126</v>
      </c>
      <c r="R3169" s="10"/>
      <c r="S3169" s="10"/>
      <c r="T3169" s="10"/>
      <c r="U3169" s="10" t="s">
        <v>22352</v>
      </c>
      <c r="V3169" s="10" t="s">
        <v>22342</v>
      </c>
      <c r="W3169" s="10" t="s">
        <v>22225</v>
      </c>
      <c r="X3169" s="10" t="s">
        <v>16549</v>
      </c>
      <c r="Y3169" s="10" t="s">
        <v>16549</v>
      </c>
      <c r="Z3169" s="10" t="s">
        <v>99</v>
      </c>
      <c r="AA3169" s="10" t="s">
        <v>131</v>
      </c>
      <c r="AB3169" s="10" t="s">
        <v>22226</v>
      </c>
      <c r="AC3169" s="10" t="s">
        <v>22227</v>
      </c>
      <c r="AD3169" s="10" t="s">
        <v>23118</v>
      </c>
      <c r="AE3169" s="10" t="s">
        <v>23119</v>
      </c>
      <c r="AF3169" s="15"/>
      <c r="AG3169" s="10"/>
      <c r="AH3169" s="10"/>
      <c r="AI3169" s="10"/>
      <c r="AJ3169" s="10" t="s">
        <v>23120</v>
      </c>
      <c r="AK3169" s="10"/>
      <c r="AL3169" s="10"/>
      <c r="AM3169" s="10"/>
      <c r="AN3169" s="10"/>
      <c r="AO3169" s="13" t="b">
        <v>0</v>
      </c>
      <c r="AP3169" s="22" t="s">
        <v>135</v>
      </c>
      <c r="AQ3169" s="10"/>
      <c r="AR3169" s="17"/>
      <c r="AS3169" s="17"/>
      <c r="AT3169" s="17"/>
      <c r="AU3169" s="17"/>
      <c r="AV3169" s="17"/>
      <c r="AW3169" s="10"/>
      <c r="AX3169" s="17"/>
      <c r="AY3169" s="18" t="s">
        <v>257</v>
      </c>
      <c r="AZ3169" s="10"/>
      <c r="BA3169" s="20" t="b">
        <v>0</v>
      </c>
      <c r="BB3169" s="10"/>
      <c r="BC3169" s="17" t="s">
        <v>257</v>
      </c>
      <c r="BD3169" s="17" t="s">
        <v>257</v>
      </c>
      <c r="BE3169" s="17" t="s">
        <v>257</v>
      </c>
      <c r="BF3169" s="17" t="s">
        <v>257</v>
      </c>
      <c r="BG3169" s="11">
        <f ca="1">IFERROR(__xludf.DUMMYFUNCTION("""COMPUTED_VALUE"""),46039.6666666666)</f>
        <v>46039.666666666599</v>
      </c>
      <c r="BH3169" s="17"/>
      <c r="BI3169" s="17"/>
      <c r="BJ3169" s="15"/>
      <c r="BK3169" s="15"/>
      <c r="BL3169" s="13" t="b">
        <v>0</v>
      </c>
      <c r="BM3169" s="10"/>
      <c r="BN3169" s="10" t="s">
        <v>2527</v>
      </c>
      <c r="BO3169" s="11">
        <v>46009.647916666669</v>
      </c>
      <c r="BP3169" s="11">
        <v>46030.440763888888</v>
      </c>
      <c r="BQ3169" s="15"/>
      <c r="BR3169" s="15"/>
      <c r="BS3169" s="10"/>
      <c r="BT3169" s="10" t="s">
        <v>99</v>
      </c>
      <c r="BU3169" s="10"/>
      <c r="BV3169" s="10"/>
      <c r="BW3169" s="10"/>
      <c r="BX3169" s="10"/>
      <c r="BY3169" s="23"/>
      <c r="BZ3169" s="23"/>
      <c r="CA3169" s="10"/>
      <c r="CB3169" s="23"/>
      <c r="CC3169" s="23"/>
      <c r="CD3169" s="23"/>
      <c r="CE3169" s="23"/>
      <c r="CF3169" s="23"/>
      <c r="CG3169" s="23"/>
      <c r="CH3169" s="23"/>
      <c r="CI3169" s="23"/>
    </row>
    <row r="3170" spans="1:87" x14ac:dyDescent="0.3">
      <c r="A3170" s="9" t="s">
        <v>23121</v>
      </c>
      <c r="B3170" s="10" t="s">
        <v>23122</v>
      </c>
      <c r="C3170" s="11">
        <v>46039.791666666664</v>
      </c>
      <c r="D3170" s="12">
        <v>0.10416666666666667</v>
      </c>
      <c r="E3170" s="11">
        <v>46039.895833333336</v>
      </c>
      <c r="F3170" s="22" t="s">
        <v>22219</v>
      </c>
      <c r="G3170" s="13" t="b">
        <v>0</v>
      </c>
      <c r="H3170" s="22" t="s">
        <v>22220</v>
      </c>
      <c r="I3170" s="10" t="s">
        <v>89</v>
      </c>
      <c r="J3170" s="13" t="b">
        <v>0</v>
      </c>
      <c r="K3170" s="13" t="b">
        <v>1</v>
      </c>
      <c r="L3170" s="10" t="s">
        <v>124</v>
      </c>
      <c r="M3170" s="10" t="s">
        <v>91</v>
      </c>
      <c r="N3170" s="10" t="s">
        <v>3513</v>
      </c>
      <c r="O3170" s="10"/>
      <c r="P3170" s="10" t="s">
        <v>575</v>
      </c>
      <c r="Q3170" s="10" t="s">
        <v>126</v>
      </c>
      <c r="R3170" s="10"/>
      <c r="S3170" s="10"/>
      <c r="T3170" s="10"/>
      <c r="U3170" s="10" t="s">
        <v>22239</v>
      </c>
      <c r="V3170" s="10" t="s">
        <v>22402</v>
      </c>
      <c r="W3170" s="10" t="s">
        <v>22225</v>
      </c>
      <c r="X3170" s="10" t="s">
        <v>16549</v>
      </c>
      <c r="Y3170" s="10" t="s">
        <v>16549</v>
      </c>
      <c r="Z3170" s="10" t="s">
        <v>99</v>
      </c>
      <c r="AA3170" s="10" t="s">
        <v>131</v>
      </c>
      <c r="AB3170" s="10" t="s">
        <v>22226</v>
      </c>
      <c r="AC3170" s="10" t="s">
        <v>22227</v>
      </c>
      <c r="AD3170" s="10" t="s">
        <v>23123</v>
      </c>
      <c r="AE3170" s="10" t="s">
        <v>23124</v>
      </c>
      <c r="AF3170" s="15"/>
      <c r="AG3170" s="10"/>
      <c r="AH3170" s="10"/>
      <c r="AI3170" s="10"/>
      <c r="AJ3170" s="10" t="s">
        <v>23125</v>
      </c>
      <c r="AK3170" s="10"/>
      <c r="AL3170" s="10"/>
      <c r="AM3170" s="10"/>
      <c r="AN3170" s="10"/>
      <c r="AO3170" s="13" t="b">
        <v>0</v>
      </c>
      <c r="AP3170" s="22" t="s">
        <v>104</v>
      </c>
      <c r="AQ3170" s="10"/>
      <c r="AR3170" s="17"/>
      <c r="AS3170" s="17"/>
      <c r="AT3170" s="17"/>
      <c r="AU3170" s="17"/>
      <c r="AV3170" s="17"/>
      <c r="AW3170" s="10"/>
      <c r="AX3170" s="17"/>
      <c r="AY3170" s="18" t="s">
        <v>257</v>
      </c>
      <c r="AZ3170" s="10"/>
      <c r="BA3170" s="20" t="b">
        <v>0</v>
      </c>
      <c r="BB3170" s="10"/>
      <c r="BC3170" s="17" t="s">
        <v>257</v>
      </c>
      <c r="BD3170" s="17" t="s">
        <v>257</v>
      </c>
      <c r="BE3170" s="17" t="s">
        <v>257</v>
      </c>
      <c r="BF3170" s="17" t="s">
        <v>257</v>
      </c>
      <c r="BG3170" s="11">
        <f ca="1">IFERROR(__xludf.DUMMYFUNCTION("""COMPUTED_VALUE"""),46039.7916666666)</f>
        <v>46039.791666666599</v>
      </c>
      <c r="BH3170" s="17"/>
      <c r="BI3170" s="17"/>
      <c r="BJ3170" s="15"/>
      <c r="BK3170" s="15"/>
      <c r="BL3170" s="13" t="b">
        <v>0</v>
      </c>
      <c r="BM3170" s="10"/>
      <c r="BN3170" s="10" t="s">
        <v>2527</v>
      </c>
      <c r="BO3170" s="11">
        <v>46009.648611111108</v>
      </c>
      <c r="BP3170" s="11">
        <v>46030.441516203704</v>
      </c>
      <c r="BQ3170" s="15"/>
      <c r="BR3170" s="15"/>
      <c r="BS3170" s="10"/>
      <c r="BT3170" s="10" t="s">
        <v>99</v>
      </c>
      <c r="BU3170" s="10"/>
      <c r="BV3170" s="10"/>
      <c r="BW3170" s="10"/>
      <c r="BX3170" s="10"/>
      <c r="BY3170" s="23"/>
      <c r="BZ3170" s="23"/>
      <c r="CA3170" s="10"/>
      <c r="CB3170" s="23"/>
      <c r="CC3170" s="23"/>
      <c r="CD3170" s="23"/>
      <c r="CE3170" s="23"/>
      <c r="CF3170" s="23"/>
      <c r="CG3170" s="23"/>
      <c r="CH3170" s="23"/>
      <c r="CI3170" s="23"/>
    </row>
    <row r="3171" spans="1:87" x14ac:dyDescent="0.3">
      <c r="A3171" s="9" t="s">
        <v>23126</v>
      </c>
      <c r="B3171" s="10" t="s">
        <v>23127</v>
      </c>
      <c r="C3171" s="11">
        <v>46040.541666666664</v>
      </c>
      <c r="D3171" s="12">
        <v>0.10416666666666667</v>
      </c>
      <c r="E3171" s="11">
        <v>46040.645833333336</v>
      </c>
      <c r="F3171" s="22" t="s">
        <v>22219</v>
      </c>
      <c r="G3171" s="13" t="b">
        <v>0</v>
      </c>
      <c r="H3171" s="22" t="s">
        <v>22220</v>
      </c>
      <c r="I3171" s="10" t="s">
        <v>89</v>
      </c>
      <c r="J3171" s="13" t="b">
        <v>0</v>
      </c>
      <c r="K3171" s="13" t="b">
        <v>1</v>
      </c>
      <c r="L3171" s="10" t="s">
        <v>124</v>
      </c>
      <c r="M3171" s="10" t="s">
        <v>91</v>
      </c>
      <c r="N3171" s="10" t="s">
        <v>3513</v>
      </c>
      <c r="O3171" s="10"/>
      <c r="P3171" s="10" t="s">
        <v>575</v>
      </c>
      <c r="Q3171" s="10" t="s">
        <v>126</v>
      </c>
      <c r="R3171" s="10"/>
      <c r="S3171" s="10"/>
      <c r="T3171" s="10"/>
      <c r="U3171" s="10" t="s">
        <v>22341</v>
      </c>
      <c r="V3171" s="10" t="s">
        <v>22363</v>
      </c>
      <c r="W3171" s="10" t="s">
        <v>22225</v>
      </c>
      <c r="X3171" s="10" t="s">
        <v>16549</v>
      </c>
      <c r="Y3171" s="10" t="s">
        <v>16549</v>
      </c>
      <c r="Z3171" s="10" t="s">
        <v>99</v>
      </c>
      <c r="AA3171" s="10" t="s">
        <v>131</v>
      </c>
      <c r="AB3171" s="10" t="s">
        <v>22226</v>
      </c>
      <c r="AC3171" s="10" t="s">
        <v>22227</v>
      </c>
      <c r="AD3171" s="10" t="s">
        <v>23128</v>
      </c>
      <c r="AE3171" s="10" t="s">
        <v>23129</v>
      </c>
      <c r="AF3171" s="15"/>
      <c r="AG3171" s="10"/>
      <c r="AH3171" s="10"/>
      <c r="AI3171" s="10"/>
      <c r="AJ3171" s="10" t="s">
        <v>23130</v>
      </c>
      <c r="AK3171" s="10"/>
      <c r="AL3171" s="10"/>
      <c r="AM3171" s="10"/>
      <c r="AN3171" s="10"/>
      <c r="AO3171" s="13" t="b">
        <v>1</v>
      </c>
      <c r="AP3171" s="22" t="s">
        <v>135</v>
      </c>
      <c r="AQ3171" s="10"/>
      <c r="AR3171" s="17"/>
      <c r="AS3171" s="17"/>
      <c r="AT3171" s="17"/>
      <c r="AU3171" s="17"/>
      <c r="AV3171" s="17"/>
      <c r="AW3171" s="10"/>
      <c r="AX3171" s="17"/>
      <c r="AY3171" s="18" t="s">
        <v>257</v>
      </c>
      <c r="AZ3171" s="10"/>
      <c r="BA3171" s="20" t="b">
        <v>0</v>
      </c>
      <c r="BB3171" s="10"/>
      <c r="BC3171" s="17" t="s">
        <v>257</v>
      </c>
      <c r="BD3171" s="17" t="s">
        <v>257</v>
      </c>
      <c r="BE3171" s="17" t="s">
        <v>257</v>
      </c>
      <c r="BF3171" s="17" t="s">
        <v>257</v>
      </c>
      <c r="BG3171" s="11">
        <f ca="1">IFERROR(__xludf.DUMMYFUNCTION("""COMPUTED_VALUE"""),46040.5416666666)</f>
        <v>46040.541666666599</v>
      </c>
      <c r="BH3171" s="17"/>
      <c r="BI3171" s="17"/>
      <c r="BJ3171" s="15"/>
      <c r="BK3171" s="15"/>
      <c r="BL3171" s="13" t="b">
        <v>0</v>
      </c>
      <c r="BM3171" s="10"/>
      <c r="BN3171" s="10" t="s">
        <v>12382</v>
      </c>
      <c r="BO3171" s="11">
        <v>46009.649305555555</v>
      </c>
      <c r="BP3171" s="11">
        <v>46030.442303240743</v>
      </c>
      <c r="BQ3171" s="15"/>
      <c r="BR3171" s="15"/>
      <c r="BS3171" s="10"/>
      <c r="BT3171" s="10" t="s">
        <v>99</v>
      </c>
      <c r="BU3171" s="10"/>
      <c r="BV3171" s="10"/>
      <c r="BW3171" s="10"/>
      <c r="BX3171" s="10"/>
      <c r="BY3171" s="23"/>
      <c r="BZ3171" s="23"/>
      <c r="CA3171" s="10"/>
      <c r="CB3171" s="23"/>
      <c r="CC3171" s="23"/>
      <c r="CD3171" s="23"/>
      <c r="CE3171" s="23"/>
      <c r="CF3171" s="23"/>
      <c r="CG3171" s="23"/>
      <c r="CH3171" s="23"/>
      <c r="CI3171" s="23"/>
    </row>
    <row r="3172" spans="1:87" x14ac:dyDescent="0.3">
      <c r="A3172" s="9" t="s">
        <v>23131</v>
      </c>
      <c r="B3172" s="10" t="s">
        <v>23132</v>
      </c>
      <c r="C3172" s="11">
        <v>46040.666666666664</v>
      </c>
      <c r="D3172" s="12">
        <v>0.10416666666666667</v>
      </c>
      <c r="E3172" s="11">
        <v>46040.770833333336</v>
      </c>
      <c r="F3172" s="22" t="s">
        <v>22219</v>
      </c>
      <c r="G3172" s="13" t="b">
        <v>0</v>
      </c>
      <c r="H3172" s="22" t="s">
        <v>22220</v>
      </c>
      <c r="I3172" s="10" t="s">
        <v>89</v>
      </c>
      <c r="J3172" s="13" t="b">
        <v>0</v>
      </c>
      <c r="K3172" s="13" t="b">
        <v>1</v>
      </c>
      <c r="L3172" s="10" t="s">
        <v>124</v>
      </c>
      <c r="M3172" s="10" t="s">
        <v>91</v>
      </c>
      <c r="N3172" s="10" t="s">
        <v>3513</v>
      </c>
      <c r="O3172" s="10"/>
      <c r="P3172" s="10" t="s">
        <v>575</v>
      </c>
      <c r="Q3172" s="10" t="s">
        <v>126</v>
      </c>
      <c r="R3172" s="10"/>
      <c r="S3172" s="10"/>
      <c r="T3172" s="10"/>
      <c r="U3172" s="10" t="s">
        <v>22238</v>
      </c>
      <c r="V3172" s="10" t="s">
        <v>22373</v>
      </c>
      <c r="W3172" s="10" t="s">
        <v>22225</v>
      </c>
      <c r="X3172" s="10" t="s">
        <v>16549</v>
      </c>
      <c r="Y3172" s="10" t="s">
        <v>16549</v>
      </c>
      <c r="Z3172" s="10" t="s">
        <v>99</v>
      </c>
      <c r="AA3172" s="10" t="s">
        <v>131</v>
      </c>
      <c r="AB3172" s="10" t="s">
        <v>22226</v>
      </c>
      <c r="AC3172" s="10" t="s">
        <v>22227</v>
      </c>
      <c r="AD3172" s="10" t="s">
        <v>23133</v>
      </c>
      <c r="AE3172" s="10" t="s">
        <v>23134</v>
      </c>
      <c r="AF3172" s="15"/>
      <c r="AG3172" s="10"/>
      <c r="AH3172" s="10"/>
      <c r="AI3172" s="10"/>
      <c r="AJ3172" s="10" t="s">
        <v>23135</v>
      </c>
      <c r="AK3172" s="10"/>
      <c r="AL3172" s="10"/>
      <c r="AM3172" s="10"/>
      <c r="AN3172" s="10"/>
      <c r="AO3172" s="13" t="b">
        <v>1</v>
      </c>
      <c r="AP3172" s="22" t="s">
        <v>104</v>
      </c>
      <c r="AQ3172" s="10"/>
      <c r="AR3172" s="17"/>
      <c r="AS3172" s="17"/>
      <c r="AT3172" s="17"/>
      <c r="AU3172" s="17"/>
      <c r="AV3172" s="17"/>
      <c r="AW3172" s="10"/>
      <c r="AX3172" s="17"/>
      <c r="AY3172" s="18" t="s">
        <v>257</v>
      </c>
      <c r="AZ3172" s="10"/>
      <c r="BA3172" s="20" t="b">
        <v>0</v>
      </c>
      <c r="BB3172" s="10"/>
      <c r="BC3172" s="17" t="s">
        <v>257</v>
      </c>
      <c r="BD3172" s="17" t="s">
        <v>257</v>
      </c>
      <c r="BE3172" s="17" t="s">
        <v>257</v>
      </c>
      <c r="BF3172" s="17" t="s">
        <v>257</v>
      </c>
      <c r="BG3172" s="11">
        <f ca="1">IFERROR(__xludf.DUMMYFUNCTION("""COMPUTED_VALUE"""),46040.6666666666)</f>
        <v>46040.666666666599</v>
      </c>
      <c r="BH3172" s="17"/>
      <c r="BI3172" s="17"/>
      <c r="BJ3172" s="15"/>
      <c r="BK3172" s="15"/>
      <c r="BL3172" s="13" t="b">
        <v>0</v>
      </c>
      <c r="BM3172" s="10"/>
      <c r="BN3172" s="10" t="s">
        <v>2527</v>
      </c>
      <c r="BO3172" s="11">
        <v>46009.650694444441</v>
      </c>
      <c r="BP3172" s="11">
        <v>46030.443831018521</v>
      </c>
      <c r="BQ3172" s="15"/>
      <c r="BR3172" s="15"/>
      <c r="BS3172" s="10"/>
      <c r="BT3172" s="10" t="s">
        <v>99</v>
      </c>
      <c r="BU3172" s="10"/>
      <c r="BV3172" s="10"/>
      <c r="BW3172" s="10"/>
      <c r="BX3172" s="10"/>
      <c r="BY3172" s="23"/>
      <c r="BZ3172" s="23"/>
      <c r="CA3172" s="10"/>
      <c r="CB3172" s="23"/>
      <c r="CC3172" s="23"/>
      <c r="CD3172" s="23"/>
      <c r="CE3172" s="23"/>
      <c r="CF3172" s="23"/>
      <c r="CG3172" s="23"/>
      <c r="CH3172" s="23"/>
      <c r="CI3172" s="23"/>
    </row>
    <row r="3173" spans="1:87" x14ac:dyDescent="0.3">
      <c r="A3173" s="9" t="s">
        <v>23136</v>
      </c>
      <c r="B3173" s="10" t="s">
        <v>23137</v>
      </c>
      <c r="C3173" s="11">
        <v>46040.791666666664</v>
      </c>
      <c r="D3173" s="12">
        <v>0.10416666666666667</v>
      </c>
      <c r="E3173" s="11">
        <v>46040.895833333336</v>
      </c>
      <c r="F3173" s="22" t="s">
        <v>22219</v>
      </c>
      <c r="G3173" s="13" t="b">
        <v>0</v>
      </c>
      <c r="H3173" s="22" t="s">
        <v>22220</v>
      </c>
      <c r="I3173" s="10" t="s">
        <v>89</v>
      </c>
      <c r="J3173" s="13" t="b">
        <v>0</v>
      </c>
      <c r="K3173" s="13" t="b">
        <v>1</v>
      </c>
      <c r="L3173" s="10" t="s">
        <v>124</v>
      </c>
      <c r="M3173" s="10" t="s">
        <v>91</v>
      </c>
      <c r="N3173" s="10" t="s">
        <v>3513</v>
      </c>
      <c r="O3173" s="10"/>
      <c r="P3173" s="10" t="s">
        <v>575</v>
      </c>
      <c r="Q3173" s="10" t="s">
        <v>126</v>
      </c>
      <c r="R3173" s="10"/>
      <c r="S3173" s="10"/>
      <c r="T3173" s="10"/>
      <c r="U3173" s="10" t="s">
        <v>22224</v>
      </c>
      <c r="V3173" s="10" t="s">
        <v>22342</v>
      </c>
      <c r="W3173" s="10" t="s">
        <v>22225</v>
      </c>
      <c r="X3173" s="10" t="s">
        <v>16549</v>
      </c>
      <c r="Y3173" s="10" t="s">
        <v>16549</v>
      </c>
      <c r="Z3173" s="10" t="s">
        <v>99</v>
      </c>
      <c r="AA3173" s="10" t="s">
        <v>131</v>
      </c>
      <c r="AB3173" s="10" t="s">
        <v>22226</v>
      </c>
      <c r="AC3173" s="10" t="s">
        <v>22227</v>
      </c>
      <c r="AD3173" s="10" t="s">
        <v>23138</v>
      </c>
      <c r="AE3173" s="10" t="s">
        <v>23139</v>
      </c>
      <c r="AF3173" s="15"/>
      <c r="AG3173" s="10"/>
      <c r="AH3173" s="10"/>
      <c r="AI3173" s="10"/>
      <c r="AJ3173" s="10" t="s">
        <v>23140</v>
      </c>
      <c r="AK3173" s="10"/>
      <c r="AL3173" s="10"/>
      <c r="AM3173" s="10"/>
      <c r="AN3173" s="10"/>
      <c r="AO3173" s="13" t="b">
        <v>0</v>
      </c>
      <c r="AP3173" s="22" t="s">
        <v>135</v>
      </c>
      <c r="AQ3173" s="10"/>
      <c r="AR3173" s="17"/>
      <c r="AS3173" s="17"/>
      <c r="AT3173" s="17"/>
      <c r="AU3173" s="17"/>
      <c r="AV3173" s="17"/>
      <c r="AW3173" s="10"/>
      <c r="AX3173" s="17"/>
      <c r="AY3173" s="18" t="s">
        <v>257</v>
      </c>
      <c r="AZ3173" s="10"/>
      <c r="BA3173" s="20" t="b">
        <v>0</v>
      </c>
      <c r="BB3173" s="10"/>
      <c r="BC3173" s="17" t="s">
        <v>257</v>
      </c>
      <c r="BD3173" s="17" t="s">
        <v>257</v>
      </c>
      <c r="BE3173" s="17" t="s">
        <v>257</v>
      </c>
      <c r="BF3173" s="17" t="s">
        <v>257</v>
      </c>
      <c r="BG3173" s="11">
        <f ca="1">IFERROR(__xludf.DUMMYFUNCTION("""COMPUTED_VALUE"""),46040.7916666666)</f>
        <v>46040.791666666599</v>
      </c>
      <c r="BH3173" s="17"/>
      <c r="BI3173" s="17"/>
      <c r="BJ3173" s="15"/>
      <c r="BK3173" s="15"/>
      <c r="BL3173" s="13" t="b">
        <v>0</v>
      </c>
      <c r="BM3173" s="10"/>
      <c r="BN3173" s="10" t="s">
        <v>2527</v>
      </c>
      <c r="BO3173" s="11">
        <v>46009.651388888888</v>
      </c>
      <c r="BP3173" s="11">
        <v>46030.444374999999</v>
      </c>
      <c r="BQ3173" s="15"/>
      <c r="BR3173" s="15"/>
      <c r="BS3173" s="10"/>
      <c r="BT3173" s="10" t="s">
        <v>99</v>
      </c>
      <c r="BU3173" s="10"/>
      <c r="BV3173" s="10"/>
      <c r="BW3173" s="10"/>
      <c r="BX3173" s="10"/>
      <c r="BY3173" s="23"/>
      <c r="BZ3173" s="23"/>
      <c r="CA3173" s="10"/>
      <c r="CB3173" s="23"/>
      <c r="CC3173" s="23"/>
      <c r="CD3173" s="23"/>
      <c r="CE3173" s="23"/>
      <c r="CF3173" s="23"/>
      <c r="CG3173" s="23"/>
      <c r="CH3173" s="23"/>
      <c r="CI3173" s="23"/>
    </row>
    <row r="3174" spans="1:87" x14ac:dyDescent="0.3">
      <c r="A3174" s="9" t="s">
        <v>23141</v>
      </c>
      <c r="B3174" s="10" t="s">
        <v>23142</v>
      </c>
      <c r="C3174" s="11">
        <v>46044.666666666664</v>
      </c>
      <c r="D3174" s="12">
        <v>0.10416666666666667</v>
      </c>
      <c r="E3174" s="11">
        <v>46044.770833333336</v>
      </c>
      <c r="F3174" s="22" t="s">
        <v>22219</v>
      </c>
      <c r="G3174" s="13" t="b">
        <v>0</v>
      </c>
      <c r="H3174" s="22" t="s">
        <v>22220</v>
      </c>
      <c r="I3174" s="10" t="s">
        <v>89</v>
      </c>
      <c r="J3174" s="13" t="b">
        <v>0</v>
      </c>
      <c r="K3174" s="13" t="b">
        <v>1</v>
      </c>
      <c r="L3174" s="10" t="s">
        <v>124</v>
      </c>
      <c r="M3174" s="10" t="s">
        <v>91</v>
      </c>
      <c r="N3174" s="10" t="s">
        <v>3513</v>
      </c>
      <c r="O3174" s="10"/>
      <c r="P3174" s="10" t="s">
        <v>575</v>
      </c>
      <c r="Q3174" s="10" t="s">
        <v>126</v>
      </c>
      <c r="R3174" s="10"/>
      <c r="S3174" s="10"/>
      <c r="T3174" s="10"/>
      <c r="U3174" s="10" t="s">
        <v>22239</v>
      </c>
      <c r="V3174" s="10" t="s">
        <v>22373</v>
      </c>
      <c r="W3174" s="10" t="s">
        <v>22225</v>
      </c>
      <c r="X3174" s="10" t="s">
        <v>16549</v>
      </c>
      <c r="Y3174" s="10" t="s">
        <v>16549</v>
      </c>
      <c r="Z3174" s="10" t="s">
        <v>99</v>
      </c>
      <c r="AA3174" s="10" t="s">
        <v>131</v>
      </c>
      <c r="AB3174" s="10" t="s">
        <v>22226</v>
      </c>
      <c r="AC3174" s="10" t="s">
        <v>22227</v>
      </c>
      <c r="AD3174" s="10" t="s">
        <v>23143</v>
      </c>
      <c r="AE3174" s="10" t="s">
        <v>23144</v>
      </c>
      <c r="AF3174" s="15"/>
      <c r="AG3174" s="10"/>
      <c r="AH3174" s="10"/>
      <c r="AI3174" s="10"/>
      <c r="AJ3174" s="10"/>
      <c r="AK3174" s="10"/>
      <c r="AL3174" s="10"/>
      <c r="AM3174" s="10"/>
      <c r="AN3174" s="10"/>
      <c r="AO3174" s="13" t="b">
        <v>0</v>
      </c>
      <c r="AP3174" s="22" t="s">
        <v>104</v>
      </c>
      <c r="AQ3174" s="10"/>
      <c r="AR3174" s="17"/>
      <c r="AS3174" s="17"/>
      <c r="AT3174" s="17"/>
      <c r="AU3174" s="17"/>
      <c r="AV3174" s="17"/>
      <c r="AW3174" s="10"/>
      <c r="AX3174" s="17"/>
      <c r="AY3174" s="18" t="s">
        <v>257</v>
      </c>
      <c r="AZ3174" s="10"/>
      <c r="BA3174" s="20" t="b">
        <v>0</v>
      </c>
      <c r="BB3174" s="10"/>
      <c r="BC3174" s="17" t="s">
        <v>257</v>
      </c>
      <c r="BD3174" s="17" t="s">
        <v>257</v>
      </c>
      <c r="BE3174" s="17" t="s">
        <v>257</v>
      </c>
      <c r="BF3174" s="17" t="s">
        <v>257</v>
      </c>
      <c r="BG3174" s="11">
        <f ca="1">IFERROR(__xludf.DUMMYFUNCTION("""COMPUTED_VALUE"""),46044.6666666666)</f>
        <v>46044.666666666599</v>
      </c>
      <c r="BH3174" s="17"/>
      <c r="BI3174" s="17"/>
      <c r="BJ3174" s="15"/>
      <c r="BK3174" s="15"/>
      <c r="BL3174" s="13" t="b">
        <v>0</v>
      </c>
      <c r="BM3174" s="10" t="s">
        <v>240</v>
      </c>
      <c r="BN3174" s="10" t="s">
        <v>2527</v>
      </c>
      <c r="BO3174" s="11">
        <v>46009.652777777781</v>
      </c>
      <c r="BP3174" s="11">
        <v>46030.432592592595</v>
      </c>
      <c r="BQ3174" s="15"/>
      <c r="BR3174" s="15"/>
      <c r="BS3174" s="10"/>
      <c r="BT3174" s="10" t="s">
        <v>99</v>
      </c>
      <c r="BU3174" s="10"/>
      <c r="BV3174" s="10"/>
      <c r="BW3174" s="10"/>
      <c r="BX3174" s="10"/>
      <c r="BY3174" s="23"/>
      <c r="BZ3174" s="23"/>
      <c r="CA3174" s="10"/>
      <c r="CB3174" s="23"/>
      <c r="CC3174" s="23"/>
      <c r="CD3174" s="23"/>
      <c r="CE3174" s="23"/>
      <c r="CF3174" s="23"/>
      <c r="CG3174" s="23"/>
      <c r="CH3174" s="23"/>
      <c r="CI3174" s="23"/>
    </row>
    <row r="3175" spans="1:87" x14ac:dyDescent="0.3">
      <c r="A3175" s="9" t="s">
        <v>23145</v>
      </c>
      <c r="B3175" s="10" t="s">
        <v>23146</v>
      </c>
      <c r="C3175" s="11">
        <v>46044.791666666664</v>
      </c>
      <c r="D3175" s="12">
        <v>0.10416666666666667</v>
      </c>
      <c r="E3175" s="11">
        <v>46044.895833333336</v>
      </c>
      <c r="F3175" s="22" t="s">
        <v>22219</v>
      </c>
      <c r="G3175" s="13" t="b">
        <v>0</v>
      </c>
      <c r="H3175" s="22" t="s">
        <v>22220</v>
      </c>
      <c r="I3175" s="10" t="s">
        <v>89</v>
      </c>
      <c r="J3175" s="13" t="b">
        <v>0</v>
      </c>
      <c r="K3175" s="13" t="b">
        <v>1</v>
      </c>
      <c r="L3175" s="10" t="s">
        <v>124</v>
      </c>
      <c r="M3175" s="10" t="s">
        <v>91</v>
      </c>
      <c r="N3175" s="10" t="s">
        <v>3513</v>
      </c>
      <c r="O3175" s="10"/>
      <c r="P3175" s="10" t="s">
        <v>575</v>
      </c>
      <c r="Q3175" s="10" t="s">
        <v>126</v>
      </c>
      <c r="R3175" s="10"/>
      <c r="S3175" s="10"/>
      <c r="T3175" s="10"/>
      <c r="U3175" s="10" t="s">
        <v>22352</v>
      </c>
      <c r="V3175" s="10" t="s">
        <v>22341</v>
      </c>
      <c r="W3175" s="10" t="s">
        <v>22225</v>
      </c>
      <c r="X3175" s="10" t="s">
        <v>16549</v>
      </c>
      <c r="Y3175" s="10" t="s">
        <v>16549</v>
      </c>
      <c r="Z3175" s="10" t="s">
        <v>99</v>
      </c>
      <c r="AA3175" s="10" t="s">
        <v>131</v>
      </c>
      <c r="AB3175" s="10" t="s">
        <v>22226</v>
      </c>
      <c r="AC3175" s="10" t="s">
        <v>22227</v>
      </c>
      <c r="AD3175" s="10" t="s">
        <v>23147</v>
      </c>
      <c r="AE3175" s="10" t="s">
        <v>23148</v>
      </c>
      <c r="AF3175" s="15"/>
      <c r="AG3175" s="10"/>
      <c r="AH3175" s="10"/>
      <c r="AI3175" s="10"/>
      <c r="AJ3175" s="10"/>
      <c r="AK3175" s="10"/>
      <c r="AL3175" s="10"/>
      <c r="AM3175" s="10"/>
      <c r="AN3175" s="10"/>
      <c r="AO3175" s="13" t="b">
        <v>0</v>
      </c>
      <c r="AP3175" s="22" t="s">
        <v>135</v>
      </c>
      <c r="AQ3175" s="10"/>
      <c r="AR3175" s="17"/>
      <c r="AS3175" s="17"/>
      <c r="AT3175" s="17"/>
      <c r="AU3175" s="17"/>
      <c r="AV3175" s="17"/>
      <c r="AW3175" s="10"/>
      <c r="AX3175" s="17"/>
      <c r="AY3175" s="18" t="s">
        <v>257</v>
      </c>
      <c r="AZ3175" s="10"/>
      <c r="BA3175" s="20" t="b">
        <v>0</v>
      </c>
      <c r="BB3175" s="10"/>
      <c r="BC3175" s="17" t="s">
        <v>257</v>
      </c>
      <c r="BD3175" s="17" t="s">
        <v>257</v>
      </c>
      <c r="BE3175" s="17" t="s">
        <v>257</v>
      </c>
      <c r="BF3175" s="17" t="s">
        <v>257</v>
      </c>
      <c r="BG3175" s="11">
        <f ca="1">IFERROR(__xludf.DUMMYFUNCTION("""COMPUTED_VALUE"""),46044.7916666666)</f>
        <v>46044.791666666599</v>
      </c>
      <c r="BH3175" s="17"/>
      <c r="BI3175" s="17"/>
      <c r="BJ3175" s="15"/>
      <c r="BK3175" s="15"/>
      <c r="BL3175" s="13" t="b">
        <v>0</v>
      </c>
      <c r="BM3175" s="10"/>
      <c r="BN3175" s="10" t="s">
        <v>108</v>
      </c>
      <c r="BO3175" s="11">
        <v>46009.65347222222</v>
      </c>
      <c r="BP3175" s="11">
        <v>46009.653564814813</v>
      </c>
      <c r="BQ3175" s="15"/>
      <c r="BR3175" s="15"/>
      <c r="BS3175" s="10"/>
      <c r="BT3175" s="10" t="s">
        <v>99</v>
      </c>
      <c r="BU3175" s="10"/>
      <c r="BV3175" s="10"/>
      <c r="BW3175" s="10"/>
      <c r="BX3175" s="10"/>
      <c r="BY3175" s="23"/>
      <c r="BZ3175" s="23"/>
      <c r="CA3175" s="10"/>
      <c r="CB3175" s="23"/>
      <c r="CC3175" s="23"/>
      <c r="CD3175" s="23"/>
      <c r="CE3175" s="23"/>
      <c r="CF3175" s="23"/>
      <c r="CG3175" s="23"/>
      <c r="CH3175" s="23"/>
      <c r="CI3175" s="23"/>
    </row>
    <row r="3176" spans="1:87" x14ac:dyDescent="0.3">
      <c r="A3176" s="9" t="s">
        <v>23149</v>
      </c>
      <c r="B3176" s="10" t="s">
        <v>23150</v>
      </c>
      <c r="C3176" s="11">
        <v>46045.666666666664</v>
      </c>
      <c r="D3176" s="12">
        <v>0.10416666666666667</v>
      </c>
      <c r="E3176" s="11">
        <v>46045.770833333336</v>
      </c>
      <c r="F3176" s="22" t="s">
        <v>22219</v>
      </c>
      <c r="G3176" s="13" t="b">
        <v>0</v>
      </c>
      <c r="H3176" s="22" t="s">
        <v>22220</v>
      </c>
      <c r="I3176" s="10" t="s">
        <v>89</v>
      </c>
      <c r="J3176" s="13" t="b">
        <v>0</v>
      </c>
      <c r="K3176" s="13" t="b">
        <v>1</v>
      </c>
      <c r="L3176" s="10" t="s">
        <v>124</v>
      </c>
      <c r="M3176" s="10" t="s">
        <v>91</v>
      </c>
      <c r="N3176" s="10" t="s">
        <v>3513</v>
      </c>
      <c r="O3176" s="10"/>
      <c r="P3176" s="10" t="s">
        <v>575</v>
      </c>
      <c r="Q3176" s="10" t="s">
        <v>126</v>
      </c>
      <c r="R3176" s="10"/>
      <c r="S3176" s="10"/>
      <c r="T3176" s="10"/>
      <c r="U3176" s="10" t="s">
        <v>22224</v>
      </c>
      <c r="V3176" s="10" t="s">
        <v>22353</v>
      </c>
      <c r="W3176" s="10" t="s">
        <v>22225</v>
      </c>
      <c r="X3176" s="10" t="s">
        <v>16549</v>
      </c>
      <c r="Y3176" s="10" t="s">
        <v>16549</v>
      </c>
      <c r="Z3176" s="10" t="s">
        <v>99</v>
      </c>
      <c r="AA3176" s="10" t="s">
        <v>131</v>
      </c>
      <c r="AB3176" s="10" t="s">
        <v>22226</v>
      </c>
      <c r="AC3176" s="10" t="s">
        <v>22227</v>
      </c>
      <c r="AD3176" s="10" t="s">
        <v>23151</v>
      </c>
      <c r="AE3176" s="10" t="s">
        <v>23152</v>
      </c>
      <c r="AF3176" s="15"/>
      <c r="AG3176" s="10"/>
      <c r="AH3176" s="10"/>
      <c r="AI3176" s="10"/>
      <c r="AJ3176" s="10"/>
      <c r="AK3176" s="10"/>
      <c r="AL3176" s="10"/>
      <c r="AM3176" s="10"/>
      <c r="AN3176" s="10"/>
      <c r="AO3176" s="13" t="b">
        <v>0</v>
      </c>
      <c r="AP3176" s="22" t="s">
        <v>135</v>
      </c>
      <c r="AQ3176" s="10"/>
      <c r="AR3176" s="17"/>
      <c r="AS3176" s="17"/>
      <c r="AT3176" s="17"/>
      <c r="AU3176" s="17"/>
      <c r="AV3176" s="17"/>
      <c r="AW3176" s="10"/>
      <c r="AX3176" s="17"/>
      <c r="AY3176" s="18" t="s">
        <v>257</v>
      </c>
      <c r="AZ3176" s="10"/>
      <c r="BA3176" s="20" t="b">
        <v>0</v>
      </c>
      <c r="BB3176" s="10"/>
      <c r="BC3176" s="17" t="s">
        <v>257</v>
      </c>
      <c r="BD3176" s="17" t="s">
        <v>257</v>
      </c>
      <c r="BE3176" s="17" t="s">
        <v>257</v>
      </c>
      <c r="BF3176" s="17" t="s">
        <v>257</v>
      </c>
      <c r="BG3176" s="11">
        <f ca="1">IFERROR(__xludf.DUMMYFUNCTION("""COMPUTED_VALUE"""),46045.6666666666)</f>
        <v>46045.666666666599</v>
      </c>
      <c r="BH3176" s="17"/>
      <c r="BI3176" s="17"/>
      <c r="BJ3176" s="15"/>
      <c r="BK3176" s="15"/>
      <c r="BL3176" s="13" t="b">
        <v>0</v>
      </c>
      <c r="BM3176" s="10"/>
      <c r="BN3176" s="10" t="s">
        <v>108</v>
      </c>
      <c r="BO3176" s="11">
        <v>46009.654166666667</v>
      </c>
      <c r="BP3176" s="11">
        <v>46009.654513888891</v>
      </c>
      <c r="BQ3176" s="15"/>
      <c r="BR3176" s="15"/>
      <c r="BS3176" s="10"/>
      <c r="BT3176" s="10" t="s">
        <v>99</v>
      </c>
      <c r="BU3176" s="10"/>
      <c r="BV3176" s="10"/>
      <c r="BW3176" s="10"/>
      <c r="BX3176" s="10"/>
      <c r="BY3176" s="23"/>
      <c r="BZ3176" s="23"/>
      <c r="CA3176" s="10"/>
      <c r="CB3176" s="23"/>
      <c r="CC3176" s="23"/>
      <c r="CD3176" s="23"/>
      <c r="CE3176" s="23"/>
      <c r="CF3176" s="23"/>
      <c r="CG3176" s="23"/>
      <c r="CH3176" s="23"/>
      <c r="CI3176" s="23"/>
    </row>
    <row r="3177" spans="1:87" x14ac:dyDescent="0.3">
      <c r="A3177" s="9" t="s">
        <v>23153</v>
      </c>
      <c r="B3177" s="10" t="s">
        <v>23154</v>
      </c>
      <c r="C3177" s="11">
        <v>46045.791666666664</v>
      </c>
      <c r="D3177" s="12">
        <v>0.10416666666666667</v>
      </c>
      <c r="E3177" s="11">
        <v>46045.895833333336</v>
      </c>
      <c r="F3177" s="22" t="s">
        <v>22219</v>
      </c>
      <c r="G3177" s="13" t="b">
        <v>0</v>
      </c>
      <c r="H3177" s="22" t="s">
        <v>22220</v>
      </c>
      <c r="I3177" s="10" t="s">
        <v>89</v>
      </c>
      <c r="J3177" s="13" t="b">
        <v>0</v>
      </c>
      <c r="K3177" s="13" t="b">
        <v>1</v>
      </c>
      <c r="L3177" s="10" t="s">
        <v>124</v>
      </c>
      <c r="M3177" s="10" t="s">
        <v>91</v>
      </c>
      <c r="N3177" s="10" t="s">
        <v>3513</v>
      </c>
      <c r="O3177" s="10"/>
      <c r="P3177" s="10" t="s">
        <v>575</v>
      </c>
      <c r="Q3177" s="10" t="s">
        <v>126</v>
      </c>
      <c r="R3177" s="10"/>
      <c r="S3177" s="10"/>
      <c r="T3177" s="10"/>
      <c r="U3177" s="10" t="s">
        <v>22223</v>
      </c>
      <c r="V3177" s="10" t="s">
        <v>22341</v>
      </c>
      <c r="W3177" s="10" t="s">
        <v>22225</v>
      </c>
      <c r="X3177" s="10" t="s">
        <v>16549</v>
      </c>
      <c r="Y3177" s="10" t="s">
        <v>16549</v>
      </c>
      <c r="Z3177" s="10" t="s">
        <v>99</v>
      </c>
      <c r="AA3177" s="10" t="s">
        <v>131</v>
      </c>
      <c r="AB3177" s="10" t="s">
        <v>22226</v>
      </c>
      <c r="AC3177" s="10" t="s">
        <v>22227</v>
      </c>
      <c r="AD3177" s="10" t="s">
        <v>23155</v>
      </c>
      <c r="AE3177" s="10" t="s">
        <v>23156</v>
      </c>
      <c r="AF3177" s="15"/>
      <c r="AG3177" s="10"/>
      <c r="AH3177" s="10"/>
      <c r="AI3177" s="10"/>
      <c r="AJ3177" s="10"/>
      <c r="AK3177" s="10"/>
      <c r="AL3177" s="10"/>
      <c r="AM3177" s="10"/>
      <c r="AN3177" s="10"/>
      <c r="AO3177" s="13" t="b">
        <v>1</v>
      </c>
      <c r="AP3177" s="22" t="s">
        <v>135</v>
      </c>
      <c r="AQ3177" s="10"/>
      <c r="AR3177" s="17"/>
      <c r="AS3177" s="17"/>
      <c r="AT3177" s="17"/>
      <c r="AU3177" s="17"/>
      <c r="AV3177" s="17"/>
      <c r="AW3177" s="10"/>
      <c r="AX3177" s="17"/>
      <c r="AY3177" s="18" t="s">
        <v>257</v>
      </c>
      <c r="AZ3177" s="10"/>
      <c r="BA3177" s="20" t="b">
        <v>0</v>
      </c>
      <c r="BB3177" s="10"/>
      <c r="BC3177" s="17" t="s">
        <v>257</v>
      </c>
      <c r="BD3177" s="17" t="s">
        <v>257</v>
      </c>
      <c r="BE3177" s="17" t="s">
        <v>257</v>
      </c>
      <c r="BF3177" s="17" t="s">
        <v>257</v>
      </c>
      <c r="BG3177" s="11">
        <f ca="1">IFERROR(__xludf.DUMMYFUNCTION("""COMPUTED_VALUE"""),46045.7916666666)</f>
        <v>46045.791666666599</v>
      </c>
      <c r="BH3177" s="17"/>
      <c r="BI3177" s="17"/>
      <c r="BJ3177" s="15"/>
      <c r="BK3177" s="15"/>
      <c r="BL3177" s="13" t="b">
        <v>0</v>
      </c>
      <c r="BM3177" s="10"/>
      <c r="BN3177" s="10" t="s">
        <v>108</v>
      </c>
      <c r="BO3177" s="11">
        <v>46009.654861111114</v>
      </c>
      <c r="BP3177" s="11">
        <v>46009.657511574071</v>
      </c>
      <c r="BQ3177" s="15"/>
      <c r="BR3177" s="15"/>
      <c r="BS3177" s="10"/>
      <c r="BT3177" s="10" t="s">
        <v>99</v>
      </c>
      <c r="BU3177" s="10"/>
      <c r="BV3177" s="10"/>
      <c r="BW3177" s="10"/>
      <c r="BX3177" s="10"/>
      <c r="BY3177" s="23"/>
      <c r="BZ3177" s="23"/>
      <c r="CA3177" s="10"/>
      <c r="CB3177" s="23"/>
      <c r="CC3177" s="23"/>
      <c r="CD3177" s="23"/>
      <c r="CE3177" s="23"/>
      <c r="CF3177" s="23"/>
      <c r="CG3177" s="23"/>
      <c r="CH3177" s="23"/>
      <c r="CI3177" s="23"/>
    </row>
    <row r="3178" spans="1:87" x14ac:dyDescent="0.3">
      <c r="A3178" s="9" t="s">
        <v>23157</v>
      </c>
      <c r="B3178" s="10" t="s">
        <v>23158</v>
      </c>
      <c r="C3178" s="11">
        <v>46046.666666666664</v>
      </c>
      <c r="D3178" s="12">
        <v>0.10416666666666667</v>
      </c>
      <c r="E3178" s="11">
        <v>46046.770833333336</v>
      </c>
      <c r="F3178" s="22" t="s">
        <v>22219</v>
      </c>
      <c r="G3178" s="13" t="b">
        <v>0</v>
      </c>
      <c r="H3178" s="22" t="s">
        <v>22220</v>
      </c>
      <c r="I3178" s="10" t="s">
        <v>89</v>
      </c>
      <c r="J3178" s="13" t="b">
        <v>0</v>
      </c>
      <c r="K3178" s="13" t="b">
        <v>1</v>
      </c>
      <c r="L3178" s="10" t="s">
        <v>358</v>
      </c>
      <c r="M3178" s="10" t="s">
        <v>91</v>
      </c>
      <c r="N3178" s="10" t="s">
        <v>3513</v>
      </c>
      <c r="O3178" s="10"/>
      <c r="P3178" s="10" t="s">
        <v>575</v>
      </c>
      <c r="Q3178" s="10" t="s">
        <v>126</v>
      </c>
      <c r="R3178" s="10"/>
      <c r="S3178" s="10"/>
      <c r="T3178" s="10"/>
      <c r="U3178" s="10" t="s">
        <v>22342</v>
      </c>
      <c r="V3178" s="10" t="s">
        <v>22363</v>
      </c>
      <c r="W3178" s="10" t="s">
        <v>22225</v>
      </c>
      <c r="X3178" s="10" t="s">
        <v>16549</v>
      </c>
      <c r="Y3178" s="10" t="s">
        <v>16549</v>
      </c>
      <c r="Z3178" s="10" t="s">
        <v>99</v>
      </c>
      <c r="AA3178" s="10" t="s">
        <v>131</v>
      </c>
      <c r="AB3178" s="10" t="s">
        <v>22226</v>
      </c>
      <c r="AC3178" s="10" t="s">
        <v>22227</v>
      </c>
      <c r="AD3178" s="10" t="s">
        <v>23159</v>
      </c>
      <c r="AE3178" s="10" t="s">
        <v>23160</v>
      </c>
      <c r="AF3178" s="15"/>
      <c r="AG3178" s="10"/>
      <c r="AH3178" s="10"/>
      <c r="AI3178" s="10"/>
      <c r="AJ3178" s="10"/>
      <c r="AK3178" s="10"/>
      <c r="AL3178" s="10"/>
      <c r="AM3178" s="10"/>
      <c r="AN3178" s="10"/>
      <c r="AO3178" s="13" t="b">
        <v>0</v>
      </c>
      <c r="AP3178" s="22" t="s">
        <v>135</v>
      </c>
      <c r="AQ3178" s="10"/>
      <c r="AR3178" s="17"/>
      <c r="AS3178" s="17"/>
      <c r="AT3178" s="17"/>
      <c r="AU3178" s="17"/>
      <c r="AV3178" s="17"/>
      <c r="AW3178" s="10"/>
      <c r="AX3178" s="17"/>
      <c r="AY3178" s="18" t="s">
        <v>257</v>
      </c>
      <c r="AZ3178" s="10"/>
      <c r="BA3178" s="20" t="b">
        <v>0</v>
      </c>
      <c r="BB3178" s="10"/>
      <c r="BC3178" s="17" t="s">
        <v>257</v>
      </c>
      <c r="BD3178" s="17" t="s">
        <v>257</v>
      </c>
      <c r="BE3178" s="17" t="s">
        <v>257</v>
      </c>
      <c r="BF3178" s="17" t="s">
        <v>257</v>
      </c>
      <c r="BG3178" s="11">
        <f ca="1">IFERROR(__xludf.DUMMYFUNCTION("""COMPUTED_VALUE"""),46046.6666666666)</f>
        <v>46046.666666666599</v>
      </c>
      <c r="BH3178" s="17"/>
      <c r="BI3178" s="17"/>
      <c r="BJ3178" s="15"/>
      <c r="BK3178" s="15"/>
      <c r="BL3178" s="13" t="b">
        <v>0</v>
      </c>
      <c r="BM3178" s="10" t="s">
        <v>240</v>
      </c>
      <c r="BN3178" s="10" t="s">
        <v>2527</v>
      </c>
      <c r="BO3178" s="11">
        <v>46009.655555555553</v>
      </c>
      <c r="BP3178" s="11">
        <v>46010.595138888886</v>
      </c>
      <c r="BQ3178" s="15"/>
      <c r="BR3178" s="15"/>
      <c r="BS3178" s="10"/>
      <c r="BT3178" s="10" t="s">
        <v>99</v>
      </c>
      <c r="BU3178" s="10"/>
      <c r="BV3178" s="10"/>
      <c r="BW3178" s="10"/>
      <c r="BX3178" s="10"/>
      <c r="BY3178" s="23"/>
      <c r="BZ3178" s="23"/>
      <c r="CA3178" s="10"/>
      <c r="CB3178" s="23"/>
      <c r="CC3178" s="23"/>
      <c r="CD3178" s="23"/>
      <c r="CE3178" s="23"/>
      <c r="CF3178" s="23"/>
      <c r="CG3178" s="23"/>
      <c r="CH3178" s="23"/>
      <c r="CI3178" s="23"/>
    </row>
    <row r="3179" spans="1:87" x14ac:dyDescent="0.3">
      <c r="A3179" s="9" t="s">
        <v>23161</v>
      </c>
      <c r="B3179" s="10" t="s">
        <v>23162</v>
      </c>
      <c r="C3179" s="11">
        <v>46046.791666666664</v>
      </c>
      <c r="D3179" s="12">
        <v>0.10416666666666667</v>
      </c>
      <c r="E3179" s="11">
        <v>46046.895833333336</v>
      </c>
      <c r="F3179" s="22" t="s">
        <v>22219</v>
      </c>
      <c r="G3179" s="13" t="b">
        <v>0</v>
      </c>
      <c r="H3179" s="22" t="s">
        <v>22220</v>
      </c>
      <c r="I3179" s="10" t="s">
        <v>89</v>
      </c>
      <c r="J3179" s="13" t="b">
        <v>0</v>
      </c>
      <c r="K3179" s="13" t="b">
        <v>1</v>
      </c>
      <c r="L3179" s="10" t="s">
        <v>124</v>
      </c>
      <c r="M3179" s="10" t="s">
        <v>91</v>
      </c>
      <c r="N3179" s="10" t="s">
        <v>3513</v>
      </c>
      <c r="O3179" s="10"/>
      <c r="P3179" s="10" t="s">
        <v>575</v>
      </c>
      <c r="Q3179" s="10" t="s">
        <v>126</v>
      </c>
      <c r="R3179" s="10"/>
      <c r="S3179" s="10"/>
      <c r="T3179" s="10"/>
      <c r="U3179" s="10" t="s">
        <v>22238</v>
      </c>
      <c r="V3179" s="10" t="s">
        <v>22374</v>
      </c>
      <c r="W3179" s="10" t="s">
        <v>22225</v>
      </c>
      <c r="X3179" s="10" t="s">
        <v>16549</v>
      </c>
      <c r="Y3179" s="10" t="s">
        <v>16549</v>
      </c>
      <c r="Z3179" s="10" t="s">
        <v>99</v>
      </c>
      <c r="AA3179" s="10" t="s">
        <v>131</v>
      </c>
      <c r="AB3179" s="10" t="s">
        <v>22226</v>
      </c>
      <c r="AC3179" s="10" t="s">
        <v>22227</v>
      </c>
      <c r="AD3179" s="10" t="s">
        <v>23163</v>
      </c>
      <c r="AE3179" s="10" t="s">
        <v>23164</v>
      </c>
      <c r="AF3179" s="15"/>
      <c r="AG3179" s="10"/>
      <c r="AH3179" s="10"/>
      <c r="AI3179" s="10"/>
      <c r="AJ3179" s="10"/>
      <c r="AK3179" s="10"/>
      <c r="AL3179" s="10"/>
      <c r="AM3179" s="10"/>
      <c r="AN3179" s="10"/>
      <c r="AO3179" s="13" t="b">
        <v>0</v>
      </c>
      <c r="AP3179" s="22" t="s">
        <v>104</v>
      </c>
      <c r="AQ3179" s="10"/>
      <c r="AR3179" s="17"/>
      <c r="AS3179" s="17"/>
      <c r="AT3179" s="17"/>
      <c r="AU3179" s="17"/>
      <c r="AV3179" s="17"/>
      <c r="AW3179" s="10"/>
      <c r="AX3179" s="17"/>
      <c r="AY3179" s="18" t="s">
        <v>257</v>
      </c>
      <c r="AZ3179" s="10"/>
      <c r="BA3179" s="20" t="b">
        <v>0</v>
      </c>
      <c r="BB3179" s="10"/>
      <c r="BC3179" s="17" t="s">
        <v>257</v>
      </c>
      <c r="BD3179" s="17" t="s">
        <v>257</v>
      </c>
      <c r="BE3179" s="17" t="s">
        <v>257</v>
      </c>
      <c r="BF3179" s="17" t="s">
        <v>257</v>
      </c>
      <c r="BG3179" s="11">
        <f ca="1">IFERROR(__xludf.DUMMYFUNCTION("""COMPUTED_VALUE"""),46046.7916666666)</f>
        <v>46046.791666666599</v>
      </c>
      <c r="BH3179" s="17"/>
      <c r="BI3179" s="17"/>
      <c r="BJ3179" s="15"/>
      <c r="BK3179" s="15"/>
      <c r="BL3179" s="13" t="b">
        <v>0</v>
      </c>
      <c r="BM3179" s="10"/>
      <c r="BN3179" s="10" t="s">
        <v>108</v>
      </c>
      <c r="BO3179" s="11">
        <v>46009.657638888886</v>
      </c>
      <c r="BP3179" s="11">
        <v>46009.657777777778</v>
      </c>
      <c r="BQ3179" s="15"/>
      <c r="BR3179" s="15"/>
      <c r="BS3179" s="10"/>
      <c r="BT3179" s="10" t="s">
        <v>99</v>
      </c>
      <c r="BU3179" s="10"/>
      <c r="BV3179" s="10"/>
      <c r="BW3179" s="10"/>
      <c r="BX3179" s="10"/>
      <c r="BY3179" s="23"/>
      <c r="BZ3179" s="23"/>
      <c r="CA3179" s="10"/>
      <c r="CB3179" s="23"/>
      <c r="CC3179" s="23"/>
      <c r="CD3179" s="23"/>
      <c r="CE3179" s="23"/>
      <c r="CF3179" s="23"/>
      <c r="CG3179" s="23"/>
      <c r="CH3179" s="23"/>
      <c r="CI3179" s="23"/>
    </row>
    <row r="3180" spans="1:87" x14ac:dyDescent="0.3">
      <c r="A3180" s="9" t="s">
        <v>23165</v>
      </c>
      <c r="B3180" s="10" t="s">
        <v>23166</v>
      </c>
      <c r="C3180" s="11">
        <v>46047.541666666664</v>
      </c>
      <c r="D3180" s="12">
        <v>0.10416666666666667</v>
      </c>
      <c r="E3180" s="11">
        <v>46047.645833333336</v>
      </c>
      <c r="F3180" s="22" t="s">
        <v>22219</v>
      </c>
      <c r="G3180" s="13" t="b">
        <v>0</v>
      </c>
      <c r="H3180" s="22" t="s">
        <v>22220</v>
      </c>
      <c r="I3180" s="10" t="s">
        <v>89</v>
      </c>
      <c r="J3180" s="13" t="b">
        <v>0</v>
      </c>
      <c r="K3180" s="13" t="b">
        <v>1</v>
      </c>
      <c r="L3180" s="10" t="s">
        <v>124</v>
      </c>
      <c r="M3180" s="10" t="s">
        <v>91</v>
      </c>
      <c r="N3180" s="10" t="s">
        <v>3513</v>
      </c>
      <c r="O3180" s="10"/>
      <c r="P3180" s="10" t="s">
        <v>575</v>
      </c>
      <c r="Q3180" s="10" t="s">
        <v>126</v>
      </c>
      <c r="R3180" s="10"/>
      <c r="S3180" s="10"/>
      <c r="T3180" s="10"/>
      <c r="U3180" s="10" t="s">
        <v>22223</v>
      </c>
      <c r="V3180" s="10" t="s">
        <v>22353</v>
      </c>
      <c r="W3180" s="10" t="s">
        <v>22225</v>
      </c>
      <c r="X3180" s="10" t="s">
        <v>16549</v>
      </c>
      <c r="Y3180" s="10" t="s">
        <v>16549</v>
      </c>
      <c r="Z3180" s="10" t="s">
        <v>99</v>
      </c>
      <c r="AA3180" s="10" t="s">
        <v>131</v>
      </c>
      <c r="AB3180" s="10" t="s">
        <v>22226</v>
      </c>
      <c r="AC3180" s="10" t="s">
        <v>22227</v>
      </c>
      <c r="AD3180" s="10" t="s">
        <v>23167</v>
      </c>
      <c r="AE3180" s="10" t="s">
        <v>23168</v>
      </c>
      <c r="AF3180" s="15"/>
      <c r="AG3180" s="10"/>
      <c r="AH3180" s="10"/>
      <c r="AI3180" s="10"/>
      <c r="AJ3180" s="10"/>
      <c r="AK3180" s="10"/>
      <c r="AL3180" s="10"/>
      <c r="AM3180" s="10"/>
      <c r="AN3180" s="10"/>
      <c r="AO3180" s="13" t="b">
        <v>0</v>
      </c>
      <c r="AP3180" s="22" t="s">
        <v>135</v>
      </c>
      <c r="AQ3180" s="10"/>
      <c r="AR3180" s="17"/>
      <c r="AS3180" s="17"/>
      <c r="AT3180" s="17"/>
      <c r="AU3180" s="17"/>
      <c r="AV3180" s="17"/>
      <c r="AW3180" s="10"/>
      <c r="AX3180" s="17"/>
      <c r="AY3180" s="18" t="s">
        <v>257</v>
      </c>
      <c r="AZ3180" s="10"/>
      <c r="BA3180" s="20" t="b">
        <v>0</v>
      </c>
      <c r="BB3180" s="10"/>
      <c r="BC3180" s="17" t="s">
        <v>257</v>
      </c>
      <c r="BD3180" s="17" t="s">
        <v>257</v>
      </c>
      <c r="BE3180" s="17" t="s">
        <v>257</v>
      </c>
      <c r="BF3180" s="17" t="s">
        <v>257</v>
      </c>
      <c r="BG3180" s="11">
        <f ca="1">IFERROR(__xludf.DUMMYFUNCTION("""COMPUTED_VALUE"""),46047.5416666666)</f>
        <v>46047.541666666599</v>
      </c>
      <c r="BH3180" s="17"/>
      <c r="BI3180" s="17"/>
      <c r="BJ3180" s="15"/>
      <c r="BK3180" s="15"/>
      <c r="BL3180" s="13" t="b">
        <v>0</v>
      </c>
      <c r="BM3180" s="10"/>
      <c r="BN3180" s="10" t="s">
        <v>108</v>
      </c>
      <c r="BO3180" s="11">
        <v>46009.658333333333</v>
      </c>
      <c r="BP3180" s="11">
        <v>46009.658738425926</v>
      </c>
      <c r="BQ3180" s="15"/>
      <c r="BR3180" s="15"/>
      <c r="BS3180" s="10"/>
      <c r="BT3180" s="10" t="s">
        <v>99</v>
      </c>
      <c r="BU3180" s="10"/>
      <c r="BV3180" s="10"/>
      <c r="BW3180" s="10"/>
      <c r="BX3180" s="10"/>
      <c r="BY3180" s="23"/>
      <c r="BZ3180" s="23"/>
      <c r="CA3180" s="10"/>
      <c r="CB3180" s="23"/>
      <c r="CC3180" s="23"/>
      <c r="CD3180" s="23"/>
      <c r="CE3180" s="23"/>
      <c r="CF3180" s="23"/>
      <c r="CG3180" s="23"/>
      <c r="CH3180" s="23"/>
      <c r="CI3180" s="23"/>
    </row>
    <row r="3181" spans="1:87" x14ac:dyDescent="0.3">
      <c r="A3181" s="9" t="s">
        <v>23169</v>
      </c>
      <c r="B3181" s="10" t="s">
        <v>23170</v>
      </c>
      <c r="C3181" s="11">
        <v>46047.666666666664</v>
      </c>
      <c r="D3181" s="12">
        <v>0.10416666666666667</v>
      </c>
      <c r="E3181" s="11">
        <v>46047.770833333336</v>
      </c>
      <c r="F3181" s="22" t="s">
        <v>22219</v>
      </c>
      <c r="G3181" s="13" t="b">
        <v>0</v>
      </c>
      <c r="H3181" s="22" t="s">
        <v>22220</v>
      </c>
      <c r="I3181" s="10" t="s">
        <v>89</v>
      </c>
      <c r="J3181" s="13" t="b">
        <v>0</v>
      </c>
      <c r="K3181" s="13" t="b">
        <v>1</v>
      </c>
      <c r="L3181" s="10" t="s">
        <v>124</v>
      </c>
      <c r="M3181" s="10" t="s">
        <v>91</v>
      </c>
      <c r="N3181" s="10" t="s">
        <v>3513</v>
      </c>
      <c r="O3181" s="10"/>
      <c r="P3181" s="10" t="s">
        <v>575</v>
      </c>
      <c r="Q3181" s="10" t="s">
        <v>126</v>
      </c>
      <c r="R3181" s="10"/>
      <c r="S3181" s="10"/>
      <c r="T3181" s="10"/>
      <c r="U3181" s="10" t="s">
        <v>22373</v>
      </c>
      <c r="V3181" s="10" t="s">
        <v>22402</v>
      </c>
      <c r="W3181" s="10" t="s">
        <v>22225</v>
      </c>
      <c r="X3181" s="10" t="s">
        <v>16549</v>
      </c>
      <c r="Y3181" s="10" t="s">
        <v>16549</v>
      </c>
      <c r="Z3181" s="10" t="s">
        <v>99</v>
      </c>
      <c r="AA3181" s="10" t="s">
        <v>131</v>
      </c>
      <c r="AB3181" s="10" t="s">
        <v>22226</v>
      </c>
      <c r="AC3181" s="10" t="s">
        <v>22227</v>
      </c>
      <c r="AD3181" s="10" t="s">
        <v>23171</v>
      </c>
      <c r="AE3181" s="10" t="s">
        <v>23172</v>
      </c>
      <c r="AF3181" s="15"/>
      <c r="AG3181" s="10"/>
      <c r="AH3181" s="10"/>
      <c r="AI3181" s="10"/>
      <c r="AJ3181" s="10"/>
      <c r="AK3181" s="10"/>
      <c r="AL3181" s="10"/>
      <c r="AM3181" s="10"/>
      <c r="AN3181" s="10"/>
      <c r="AO3181" s="13" t="b">
        <v>0</v>
      </c>
      <c r="AP3181" s="22" t="s">
        <v>104</v>
      </c>
      <c r="AQ3181" s="10"/>
      <c r="AR3181" s="17"/>
      <c r="AS3181" s="17"/>
      <c r="AT3181" s="17"/>
      <c r="AU3181" s="17"/>
      <c r="AV3181" s="17"/>
      <c r="AW3181" s="10"/>
      <c r="AX3181" s="17"/>
      <c r="AY3181" s="18" t="s">
        <v>257</v>
      </c>
      <c r="AZ3181" s="10"/>
      <c r="BA3181" s="20" t="b">
        <v>0</v>
      </c>
      <c r="BB3181" s="10"/>
      <c r="BC3181" s="17" t="s">
        <v>257</v>
      </c>
      <c r="BD3181" s="17" t="s">
        <v>257</v>
      </c>
      <c r="BE3181" s="17" t="s">
        <v>257</v>
      </c>
      <c r="BF3181" s="17" t="s">
        <v>257</v>
      </c>
      <c r="BG3181" s="11">
        <f ca="1">IFERROR(__xludf.DUMMYFUNCTION("""COMPUTED_VALUE"""),46047.6666666666)</f>
        <v>46047.666666666599</v>
      </c>
      <c r="BH3181" s="17"/>
      <c r="BI3181" s="17"/>
      <c r="BJ3181" s="15"/>
      <c r="BK3181" s="15"/>
      <c r="BL3181" s="13" t="b">
        <v>0</v>
      </c>
      <c r="BM3181" s="10" t="s">
        <v>240</v>
      </c>
      <c r="BN3181" s="10" t="s">
        <v>2527</v>
      </c>
      <c r="BO3181" s="11">
        <v>46009.65902777778</v>
      </c>
      <c r="BP3181" s="11">
        <v>46030.430763888886</v>
      </c>
      <c r="BQ3181" s="15"/>
      <c r="BR3181" s="15"/>
      <c r="BS3181" s="10"/>
      <c r="BT3181" s="10" t="s">
        <v>99</v>
      </c>
      <c r="BU3181" s="10"/>
      <c r="BV3181" s="10"/>
      <c r="BW3181" s="10"/>
      <c r="BX3181" s="10"/>
      <c r="BY3181" s="23"/>
      <c r="BZ3181" s="23"/>
      <c r="CA3181" s="10"/>
      <c r="CB3181" s="23"/>
      <c r="CC3181" s="23"/>
      <c r="CD3181" s="23"/>
      <c r="CE3181" s="23"/>
      <c r="CF3181" s="23"/>
      <c r="CG3181" s="23"/>
      <c r="CH3181" s="23"/>
      <c r="CI3181" s="23"/>
    </row>
    <row r="3182" spans="1:87" x14ac:dyDescent="0.3">
      <c r="A3182" s="9" t="s">
        <v>23173</v>
      </c>
      <c r="B3182" s="10" t="s">
        <v>23174</v>
      </c>
      <c r="C3182" s="11">
        <v>46047.791666666664</v>
      </c>
      <c r="D3182" s="12">
        <v>0.10416666666666667</v>
      </c>
      <c r="E3182" s="11">
        <v>46047.895833333336</v>
      </c>
      <c r="F3182" s="22" t="s">
        <v>22219</v>
      </c>
      <c r="G3182" s="13" t="b">
        <v>0</v>
      </c>
      <c r="H3182" s="22" t="s">
        <v>22220</v>
      </c>
      <c r="I3182" s="10" t="s">
        <v>89</v>
      </c>
      <c r="J3182" s="13" t="b">
        <v>0</v>
      </c>
      <c r="K3182" s="13" t="b">
        <v>1</v>
      </c>
      <c r="L3182" s="10" t="s">
        <v>124</v>
      </c>
      <c r="M3182" s="10" t="s">
        <v>91</v>
      </c>
      <c r="N3182" s="10" t="s">
        <v>3513</v>
      </c>
      <c r="O3182" s="10"/>
      <c r="P3182" s="10" t="s">
        <v>575</v>
      </c>
      <c r="Q3182" s="10" t="s">
        <v>126</v>
      </c>
      <c r="R3182" s="10"/>
      <c r="S3182" s="10"/>
      <c r="T3182" s="10"/>
      <c r="U3182" s="10" t="s">
        <v>22352</v>
      </c>
      <c r="V3182" s="10" t="s">
        <v>22363</v>
      </c>
      <c r="W3182" s="10" t="s">
        <v>22225</v>
      </c>
      <c r="X3182" s="10" t="s">
        <v>16549</v>
      </c>
      <c r="Y3182" s="10" t="s">
        <v>16549</v>
      </c>
      <c r="Z3182" s="10" t="s">
        <v>99</v>
      </c>
      <c r="AA3182" s="10" t="s">
        <v>131</v>
      </c>
      <c r="AB3182" s="10" t="s">
        <v>22226</v>
      </c>
      <c r="AC3182" s="10" t="s">
        <v>22227</v>
      </c>
      <c r="AD3182" s="10" t="s">
        <v>23175</v>
      </c>
      <c r="AE3182" s="10" t="s">
        <v>23176</v>
      </c>
      <c r="AF3182" s="15"/>
      <c r="AG3182" s="10"/>
      <c r="AH3182" s="10"/>
      <c r="AI3182" s="10"/>
      <c r="AJ3182" s="10"/>
      <c r="AK3182" s="10"/>
      <c r="AL3182" s="10"/>
      <c r="AM3182" s="10"/>
      <c r="AN3182" s="10"/>
      <c r="AO3182" s="13" t="b">
        <v>0</v>
      </c>
      <c r="AP3182" s="22" t="s">
        <v>135</v>
      </c>
      <c r="AQ3182" s="10"/>
      <c r="AR3182" s="17"/>
      <c r="AS3182" s="17"/>
      <c r="AT3182" s="17"/>
      <c r="AU3182" s="17"/>
      <c r="AV3182" s="17"/>
      <c r="AW3182" s="10"/>
      <c r="AX3182" s="17"/>
      <c r="AY3182" s="18" t="s">
        <v>257</v>
      </c>
      <c r="AZ3182" s="10"/>
      <c r="BA3182" s="20" t="b">
        <v>0</v>
      </c>
      <c r="BB3182" s="10"/>
      <c r="BC3182" s="17" t="s">
        <v>257</v>
      </c>
      <c r="BD3182" s="17" t="s">
        <v>257</v>
      </c>
      <c r="BE3182" s="17" t="s">
        <v>257</v>
      </c>
      <c r="BF3182" s="17" t="s">
        <v>257</v>
      </c>
      <c r="BG3182" s="11">
        <f ca="1">IFERROR(__xludf.DUMMYFUNCTION("""COMPUTED_VALUE"""),46047.7916666666)</f>
        <v>46047.791666666599</v>
      </c>
      <c r="BH3182" s="17"/>
      <c r="BI3182" s="17"/>
      <c r="BJ3182" s="15"/>
      <c r="BK3182" s="15"/>
      <c r="BL3182" s="13" t="b">
        <v>0</v>
      </c>
      <c r="BM3182" s="10" t="s">
        <v>240</v>
      </c>
      <c r="BN3182" s="10" t="s">
        <v>108</v>
      </c>
      <c r="BO3182" s="11">
        <v>46009.659722222219</v>
      </c>
      <c r="BP3182" s="11">
        <v>46010.381064814814</v>
      </c>
      <c r="BQ3182" s="15"/>
      <c r="BR3182" s="15"/>
      <c r="BS3182" s="10"/>
      <c r="BT3182" s="10" t="s">
        <v>99</v>
      </c>
      <c r="BU3182" s="10"/>
      <c r="BV3182" s="10"/>
      <c r="BW3182" s="10"/>
      <c r="BX3182" s="10"/>
      <c r="BY3182" s="23"/>
      <c r="BZ3182" s="23"/>
      <c r="CA3182" s="10"/>
      <c r="CB3182" s="23"/>
      <c r="CC3182" s="23"/>
      <c r="CD3182" s="23"/>
      <c r="CE3182" s="23"/>
      <c r="CF3182" s="23"/>
      <c r="CG3182" s="23"/>
      <c r="CH3182" s="23"/>
      <c r="CI3182" s="23"/>
    </row>
    <row r="3183" spans="1:87" x14ac:dyDescent="0.3">
      <c r="A3183" s="9" t="s">
        <v>23177</v>
      </c>
      <c r="B3183" s="10" t="s">
        <v>23178</v>
      </c>
      <c r="C3183" s="11">
        <v>46047.375</v>
      </c>
      <c r="D3183" s="12">
        <v>0.25</v>
      </c>
      <c r="E3183" s="11">
        <v>46047.625</v>
      </c>
      <c r="F3183" s="22" t="s">
        <v>23179</v>
      </c>
      <c r="G3183" s="13" t="b">
        <v>0</v>
      </c>
      <c r="H3183" s="22"/>
      <c r="I3183" s="10" t="s">
        <v>23180</v>
      </c>
      <c r="J3183" s="13" t="b">
        <v>0</v>
      </c>
      <c r="K3183" s="13" t="b">
        <v>1</v>
      </c>
      <c r="L3183" s="10" t="s">
        <v>124</v>
      </c>
      <c r="M3183" s="10" t="s">
        <v>91</v>
      </c>
      <c r="N3183" s="10" t="s">
        <v>92</v>
      </c>
      <c r="O3183" s="10"/>
      <c r="P3183" s="10"/>
      <c r="Q3183" s="10" t="s">
        <v>20191</v>
      </c>
      <c r="R3183" s="19" t="s">
        <v>23181</v>
      </c>
      <c r="S3183" s="10"/>
      <c r="T3183" s="10"/>
      <c r="U3183" s="10"/>
      <c r="V3183" s="10"/>
      <c r="W3183" s="10" t="s">
        <v>23182</v>
      </c>
      <c r="X3183" s="10" t="s">
        <v>8408</v>
      </c>
      <c r="Y3183" s="10" t="s">
        <v>23183</v>
      </c>
      <c r="Z3183" s="10" t="s">
        <v>99</v>
      </c>
      <c r="AA3183" s="10" t="s">
        <v>100</v>
      </c>
      <c r="AB3183" s="10" t="s">
        <v>23184</v>
      </c>
      <c r="AC3183" s="10" t="s">
        <v>23185</v>
      </c>
      <c r="AD3183" s="10" t="s">
        <v>165</v>
      </c>
      <c r="AE3183" s="10" t="s">
        <v>23186</v>
      </c>
      <c r="AF3183" s="15"/>
      <c r="AG3183" s="10"/>
      <c r="AH3183" s="10"/>
      <c r="AI3183" s="10"/>
      <c r="AJ3183" s="10"/>
      <c r="AK3183" s="10"/>
      <c r="AL3183" s="10"/>
      <c r="AM3183" s="10"/>
      <c r="AN3183" s="10"/>
      <c r="AO3183" s="13" t="b">
        <v>0</v>
      </c>
      <c r="AP3183" s="22"/>
      <c r="AQ3183" s="10"/>
      <c r="AR3183" s="17"/>
      <c r="AS3183" s="17"/>
      <c r="AT3183" s="17"/>
      <c r="AU3183" s="17"/>
      <c r="AV3183" s="17"/>
      <c r="AW3183" s="10"/>
      <c r="AX3183" s="17"/>
      <c r="AY3183" s="18" t="s">
        <v>257</v>
      </c>
      <c r="AZ3183" s="10"/>
      <c r="BA3183" s="20" t="b">
        <v>0</v>
      </c>
      <c r="BB3183" s="10"/>
      <c r="BC3183" s="17" t="s">
        <v>257</v>
      </c>
      <c r="BD3183" s="17" t="s">
        <v>257</v>
      </c>
      <c r="BE3183" s="17" t="s">
        <v>257</v>
      </c>
      <c r="BF3183" s="17" t="s">
        <v>257</v>
      </c>
      <c r="BG3183" s="11">
        <f ca="1">IFERROR(__xludf.DUMMYFUNCTION("""COMPUTED_VALUE"""),46047.375)</f>
        <v>46047.375</v>
      </c>
      <c r="BH3183" s="17"/>
      <c r="BI3183" s="17"/>
      <c r="BJ3183" s="15"/>
      <c r="BK3183" s="15"/>
      <c r="BL3183" s="13" t="b">
        <v>0</v>
      </c>
      <c r="BM3183" s="10"/>
      <c r="BN3183" s="10" t="s">
        <v>12382</v>
      </c>
      <c r="BO3183" s="11">
        <v>46009.725694444445</v>
      </c>
      <c r="BP3183" s="11">
        <v>46010.420601851853</v>
      </c>
      <c r="BQ3183" s="15"/>
      <c r="BR3183" s="15"/>
      <c r="BS3183" s="10"/>
      <c r="BT3183" s="10"/>
      <c r="BU3183" s="10"/>
      <c r="BV3183" s="10" t="s">
        <v>499</v>
      </c>
      <c r="BW3183" s="10" t="s">
        <v>23187</v>
      </c>
      <c r="BX3183" s="10"/>
      <c r="BY3183" s="23"/>
      <c r="BZ3183" s="23"/>
      <c r="CA3183" s="10"/>
      <c r="CB3183" s="23"/>
      <c r="CC3183" s="23"/>
      <c r="CD3183" s="23"/>
      <c r="CE3183" s="23"/>
      <c r="CF3183" s="23"/>
      <c r="CG3183" s="23"/>
      <c r="CH3183" s="23"/>
      <c r="CI3183" s="23"/>
    </row>
    <row r="3184" spans="1:87" x14ac:dyDescent="0.3">
      <c r="A3184" s="9" t="s">
        <v>23188</v>
      </c>
      <c r="B3184" s="10" t="s">
        <v>23189</v>
      </c>
      <c r="C3184" s="11">
        <v>46030.583333333336</v>
      </c>
      <c r="D3184" s="12">
        <v>6.25E-2</v>
      </c>
      <c r="E3184" s="11">
        <v>46030.645833333336</v>
      </c>
      <c r="F3184" s="22" t="s">
        <v>22219</v>
      </c>
      <c r="G3184" s="13" t="b">
        <v>0</v>
      </c>
      <c r="H3184" s="22" t="s">
        <v>22220</v>
      </c>
      <c r="I3184" s="10" t="s">
        <v>89</v>
      </c>
      <c r="J3184" s="13" t="b">
        <v>0</v>
      </c>
      <c r="K3184" s="13" t="b">
        <v>1</v>
      </c>
      <c r="L3184" s="10" t="s">
        <v>124</v>
      </c>
      <c r="M3184" s="10" t="s">
        <v>91</v>
      </c>
      <c r="N3184" s="10" t="s">
        <v>3513</v>
      </c>
      <c r="O3184" s="19" t="s">
        <v>23190</v>
      </c>
      <c r="P3184" s="10" t="s">
        <v>575</v>
      </c>
      <c r="Q3184" s="10" t="s">
        <v>126</v>
      </c>
      <c r="R3184" s="10"/>
      <c r="S3184" s="19" t="s">
        <v>23191</v>
      </c>
      <c r="T3184" s="10"/>
      <c r="U3184" s="10"/>
      <c r="V3184" s="10"/>
      <c r="W3184" s="10" t="s">
        <v>22225</v>
      </c>
      <c r="X3184" s="10" t="s">
        <v>16549</v>
      </c>
      <c r="Y3184" s="10" t="s">
        <v>16549</v>
      </c>
      <c r="Z3184" s="10" t="s">
        <v>99</v>
      </c>
      <c r="AA3184" s="10" t="s">
        <v>131</v>
      </c>
      <c r="AB3184" s="10" t="s">
        <v>22226</v>
      </c>
      <c r="AC3184" s="10" t="s">
        <v>22227</v>
      </c>
      <c r="AD3184" s="10" t="s">
        <v>165</v>
      </c>
      <c r="AE3184" s="10" t="s">
        <v>23192</v>
      </c>
      <c r="AF3184" s="15"/>
      <c r="AG3184" s="10"/>
      <c r="AH3184" s="10"/>
      <c r="AI3184" s="10"/>
      <c r="AJ3184" s="10"/>
      <c r="AK3184" s="10" t="s">
        <v>102</v>
      </c>
      <c r="AL3184" s="10"/>
      <c r="AM3184" s="10"/>
      <c r="AN3184" s="10"/>
      <c r="AO3184" s="13" t="b">
        <v>0</v>
      </c>
      <c r="AP3184" s="22"/>
      <c r="AQ3184" s="10">
        <f ca="1">IFERROR(__xludf.DUMMYFUNCTION("""COMPUTED_VALUE"""),4832163)</f>
        <v>4832163</v>
      </c>
      <c r="AR3184" s="17">
        <v>20224</v>
      </c>
      <c r="AS3184" s="17">
        <v>14496</v>
      </c>
      <c r="AT3184" s="17">
        <v>414218.75</v>
      </c>
      <c r="AU3184" s="17">
        <v>638.95000000000005</v>
      </c>
      <c r="AV3184" s="17">
        <v>446.9</v>
      </c>
      <c r="AW3184" s="10" t="s">
        <v>105</v>
      </c>
      <c r="AX3184" s="17">
        <v>4370</v>
      </c>
      <c r="AY3184" s="18">
        <v>28.574693018763796</v>
      </c>
      <c r="AZ3184" s="10" t="s">
        <v>168</v>
      </c>
      <c r="BA3184" s="20" t="b">
        <v>0</v>
      </c>
      <c r="BB3184" s="10"/>
      <c r="BC3184" s="17">
        <v>20224</v>
      </c>
      <c r="BD3184" s="17">
        <v>14496</v>
      </c>
      <c r="BE3184" s="17">
        <v>414218.75</v>
      </c>
      <c r="BF3184" s="17">
        <v>446.9</v>
      </c>
      <c r="BG3184" s="11">
        <f ca="1">IFERROR(__xludf.DUMMYFUNCTION("""COMPUTED_VALUE"""),46030.5833333333)</f>
        <v>46030.583333333299</v>
      </c>
      <c r="BH3184" s="17" t="s">
        <v>105</v>
      </c>
      <c r="BI3184" s="17"/>
      <c r="BJ3184" s="15"/>
      <c r="BK3184" s="15"/>
      <c r="BL3184" s="13" t="b">
        <v>0</v>
      </c>
      <c r="BM3184" s="10"/>
      <c r="BN3184" s="10" t="s">
        <v>136</v>
      </c>
      <c r="BO3184" s="11">
        <v>46010.379166666666</v>
      </c>
      <c r="BP3184" s="11">
        <v>46029.899791666663</v>
      </c>
      <c r="BQ3184" s="15">
        <v>46030.004791666666</v>
      </c>
      <c r="BR3184" s="15">
        <v>46028.609039351853</v>
      </c>
      <c r="BS3184" s="10"/>
      <c r="BT3184" s="10"/>
      <c r="BU3184" s="10"/>
      <c r="BV3184" s="10"/>
      <c r="BW3184" s="10"/>
      <c r="BX3184" s="10"/>
      <c r="BY3184" s="23"/>
      <c r="BZ3184" s="23"/>
      <c r="CA3184" s="19" t="s">
        <v>23193</v>
      </c>
      <c r="CB3184" s="23"/>
      <c r="CC3184" s="23"/>
      <c r="CD3184" s="19" t="s">
        <v>23194</v>
      </c>
      <c r="CE3184" s="23"/>
      <c r="CF3184" s="23"/>
      <c r="CG3184" s="23"/>
      <c r="CH3184" s="23"/>
      <c r="CI3184" s="23"/>
    </row>
    <row r="3185" spans="1:87" x14ac:dyDescent="0.3">
      <c r="A3185" s="9" t="s">
        <v>23195</v>
      </c>
      <c r="B3185" s="10" t="s">
        <v>23196</v>
      </c>
      <c r="C3185" s="11">
        <v>46025.645833333336</v>
      </c>
      <c r="D3185" s="12">
        <v>8.3333333333333329E-2</v>
      </c>
      <c r="E3185" s="11">
        <v>46025.729166666664</v>
      </c>
      <c r="F3185" s="22" t="s">
        <v>3511</v>
      </c>
      <c r="G3185" s="13" t="b">
        <v>0</v>
      </c>
      <c r="H3185" s="22" t="s">
        <v>123</v>
      </c>
      <c r="I3185" s="10" t="s">
        <v>3548</v>
      </c>
      <c r="J3185" s="13" t="b">
        <v>0</v>
      </c>
      <c r="K3185" s="13" t="b">
        <v>1</v>
      </c>
      <c r="L3185" s="10" t="s">
        <v>124</v>
      </c>
      <c r="M3185" s="10" t="s">
        <v>91</v>
      </c>
      <c r="N3185" s="10" t="s">
        <v>3513</v>
      </c>
      <c r="O3185" s="19" t="s">
        <v>23197</v>
      </c>
      <c r="P3185" s="10"/>
      <c r="Q3185" s="10" t="s">
        <v>126</v>
      </c>
      <c r="R3185" s="10"/>
      <c r="S3185" s="19" t="s">
        <v>23198</v>
      </c>
      <c r="T3185" s="10"/>
      <c r="U3185" s="10" t="s">
        <v>3517</v>
      </c>
      <c r="V3185" s="10" t="s">
        <v>3535</v>
      </c>
      <c r="W3185" s="10" t="s">
        <v>3519</v>
      </c>
      <c r="X3185" s="10" t="s">
        <v>130</v>
      </c>
      <c r="Y3185" s="10" t="s">
        <v>130</v>
      </c>
      <c r="Z3185" s="10" t="s">
        <v>99</v>
      </c>
      <c r="AA3185" s="10" t="s">
        <v>131</v>
      </c>
      <c r="AB3185" s="10" t="s">
        <v>3520</v>
      </c>
      <c r="AC3185" s="10" t="s">
        <v>3521</v>
      </c>
      <c r="AD3185" s="10" t="s">
        <v>23199</v>
      </c>
      <c r="AE3185" s="10" t="s">
        <v>23200</v>
      </c>
      <c r="AF3185" s="15"/>
      <c r="AG3185" s="10" t="s">
        <v>3524</v>
      </c>
      <c r="AH3185" s="10" t="s">
        <v>3539</v>
      </c>
      <c r="AI3185" s="10" t="s">
        <v>3539</v>
      </c>
      <c r="AJ3185" s="10" t="s">
        <v>23201</v>
      </c>
      <c r="AK3185" s="10" t="s">
        <v>102</v>
      </c>
      <c r="AL3185" s="10" t="s">
        <v>1876</v>
      </c>
      <c r="AM3185" s="10"/>
      <c r="AN3185" s="10"/>
      <c r="AO3185" s="13" t="b">
        <v>0</v>
      </c>
      <c r="AP3185" s="22" t="s">
        <v>104</v>
      </c>
      <c r="AQ3185" s="10">
        <f ca="1">IFERROR(__xludf.DUMMYFUNCTION("""COMPUTED_VALUE"""),4803427)</f>
        <v>4803427</v>
      </c>
      <c r="AR3185" s="17">
        <v>299158</v>
      </c>
      <c r="AS3185" s="17">
        <v>164108</v>
      </c>
      <c r="AT3185" s="17">
        <v>4033753.25</v>
      </c>
      <c r="AU3185" s="17">
        <v>2047.15</v>
      </c>
      <c r="AV3185" s="17">
        <v>463.05</v>
      </c>
      <c r="AW3185" s="10" t="s">
        <v>105</v>
      </c>
      <c r="AX3185" s="17">
        <v>63674</v>
      </c>
      <c r="AY3185" s="18">
        <v>24.579869659005045</v>
      </c>
      <c r="AZ3185" s="10"/>
      <c r="BA3185" s="20" t="b">
        <v>0</v>
      </c>
      <c r="BB3185" s="10"/>
      <c r="BC3185" s="17">
        <v>299158</v>
      </c>
      <c r="BD3185" s="17">
        <v>164108</v>
      </c>
      <c r="BE3185" s="17">
        <v>4033753.25</v>
      </c>
      <c r="BF3185" s="17">
        <v>463.05</v>
      </c>
      <c r="BG3185" s="11">
        <f ca="1">IFERROR(__xludf.DUMMYFUNCTION("""COMPUTED_VALUE"""),46025.6458333333)</f>
        <v>46025.645833333299</v>
      </c>
      <c r="BH3185" s="17" t="s">
        <v>105</v>
      </c>
      <c r="BI3185" s="17"/>
      <c r="BJ3185" s="15"/>
      <c r="BK3185" s="15"/>
      <c r="BL3185" s="13" t="b">
        <v>0</v>
      </c>
      <c r="BM3185" s="10"/>
      <c r="BN3185" s="10" t="s">
        <v>19455</v>
      </c>
      <c r="BO3185" s="11">
        <v>46010.148993055554</v>
      </c>
      <c r="BP3185" s="11">
        <v>46014.476099537038</v>
      </c>
      <c r="BQ3185" s="15">
        <v>46014.987766203703</v>
      </c>
      <c r="BR3185" s="15">
        <v>46021.454189814816</v>
      </c>
      <c r="BS3185" s="10" t="s">
        <v>19455</v>
      </c>
      <c r="BT3185" s="10" t="s">
        <v>99</v>
      </c>
      <c r="BU3185" s="10" t="s">
        <v>280</v>
      </c>
      <c r="BV3185" s="10"/>
      <c r="BW3185" s="10"/>
      <c r="BX3185" s="10"/>
      <c r="BY3185" s="23"/>
      <c r="BZ3185" s="23"/>
      <c r="CA3185" s="19" t="s">
        <v>23202</v>
      </c>
      <c r="CB3185" s="19" t="s">
        <v>23203</v>
      </c>
      <c r="CC3185" s="23"/>
      <c r="CD3185" s="19" t="s">
        <v>23204</v>
      </c>
      <c r="CE3185" s="23"/>
      <c r="CF3185" s="23"/>
      <c r="CG3185" s="23"/>
      <c r="CH3185" s="23"/>
      <c r="CI3185" s="23"/>
    </row>
    <row r="3186" spans="1:87" x14ac:dyDescent="0.3">
      <c r="A3186" s="9" t="s">
        <v>23205</v>
      </c>
      <c r="B3186" s="10" t="s">
        <v>23206</v>
      </c>
      <c r="C3186" s="11">
        <v>46025.645833333336</v>
      </c>
      <c r="D3186" s="12">
        <v>8.3333333333333329E-2</v>
      </c>
      <c r="E3186" s="11">
        <v>46025.729166666664</v>
      </c>
      <c r="F3186" s="22" t="s">
        <v>3511</v>
      </c>
      <c r="G3186" s="13" t="b">
        <v>0</v>
      </c>
      <c r="H3186" s="22" t="s">
        <v>3512</v>
      </c>
      <c r="I3186" s="10" t="s">
        <v>3548</v>
      </c>
      <c r="J3186" s="13" t="b">
        <v>0</v>
      </c>
      <c r="K3186" s="13" t="b">
        <v>1</v>
      </c>
      <c r="L3186" s="10" t="s">
        <v>124</v>
      </c>
      <c r="M3186" s="10" t="s">
        <v>91</v>
      </c>
      <c r="N3186" s="10" t="s">
        <v>3513</v>
      </c>
      <c r="O3186" s="19" t="s">
        <v>23207</v>
      </c>
      <c r="P3186" s="10"/>
      <c r="Q3186" s="10" t="s">
        <v>126</v>
      </c>
      <c r="R3186" s="10"/>
      <c r="S3186" s="19" t="s">
        <v>23208</v>
      </c>
      <c r="T3186" s="10"/>
      <c r="U3186" s="10" t="s">
        <v>3647</v>
      </c>
      <c r="V3186" s="10" t="s">
        <v>3536</v>
      </c>
      <c r="W3186" s="10" t="s">
        <v>3519</v>
      </c>
      <c r="X3186" s="10" t="s">
        <v>130</v>
      </c>
      <c r="Y3186" s="10" t="s">
        <v>130</v>
      </c>
      <c r="Z3186" s="10" t="s">
        <v>99</v>
      </c>
      <c r="AA3186" s="10" t="s">
        <v>131</v>
      </c>
      <c r="AB3186" s="10" t="s">
        <v>3520</v>
      </c>
      <c r="AC3186" s="10" t="s">
        <v>3521</v>
      </c>
      <c r="AD3186" s="10" t="s">
        <v>23209</v>
      </c>
      <c r="AE3186" s="10" t="s">
        <v>23210</v>
      </c>
      <c r="AF3186" s="15"/>
      <c r="AG3186" s="10" t="s">
        <v>3524</v>
      </c>
      <c r="AH3186" s="10" t="s">
        <v>3539</v>
      </c>
      <c r="AI3186" s="10" t="s">
        <v>3539</v>
      </c>
      <c r="AJ3186" s="10" t="s">
        <v>23211</v>
      </c>
      <c r="AK3186" s="10" t="s">
        <v>102</v>
      </c>
      <c r="AL3186" s="10" t="s">
        <v>1876</v>
      </c>
      <c r="AM3186" s="10"/>
      <c r="AN3186" s="10"/>
      <c r="AO3186" s="13" t="b">
        <v>1</v>
      </c>
      <c r="AP3186" s="22" t="s">
        <v>104</v>
      </c>
      <c r="AQ3186" s="10">
        <f ca="1">IFERROR(__xludf.DUMMYFUNCTION("""COMPUTED_VALUE"""),4803414)</f>
        <v>4803414</v>
      </c>
      <c r="AR3186" s="17">
        <v>416742</v>
      </c>
      <c r="AS3186" s="17">
        <v>218893</v>
      </c>
      <c r="AT3186" s="17">
        <v>7110962.5</v>
      </c>
      <c r="AU3186" s="17">
        <v>7535.75</v>
      </c>
      <c r="AV3186" s="17">
        <v>4019</v>
      </c>
      <c r="AW3186" s="10" t="s">
        <v>297</v>
      </c>
      <c r="AX3186" s="17">
        <v>90625</v>
      </c>
      <c r="AY3186" s="18">
        <v>32.486020567126403</v>
      </c>
      <c r="AZ3186" s="10"/>
      <c r="BA3186" s="20" t="b">
        <v>0</v>
      </c>
      <c r="BB3186" s="10"/>
      <c r="BC3186" s="17">
        <v>416742</v>
      </c>
      <c r="BD3186" s="17">
        <v>218893</v>
      </c>
      <c r="BE3186" s="17">
        <v>7110962.5</v>
      </c>
      <c r="BF3186" s="17">
        <v>4019</v>
      </c>
      <c r="BG3186" s="11">
        <f ca="1">IFERROR(__xludf.DUMMYFUNCTION("""COMPUTED_VALUE"""),46025.6458333333)</f>
        <v>46025.645833333299</v>
      </c>
      <c r="BH3186" s="17" t="s">
        <v>297</v>
      </c>
      <c r="BI3186" s="17"/>
      <c r="BJ3186" s="15"/>
      <c r="BK3186" s="15"/>
      <c r="BL3186" s="13" t="b">
        <v>1</v>
      </c>
      <c r="BM3186" s="10"/>
      <c r="BN3186" s="10" t="s">
        <v>19455</v>
      </c>
      <c r="BO3186" s="11">
        <v>46010.149050925924</v>
      </c>
      <c r="BP3186" s="11">
        <v>46014.474826388891</v>
      </c>
      <c r="BQ3186" s="15">
        <v>46014.987233796295</v>
      </c>
      <c r="BR3186" s="15">
        <v>46021.444606481484</v>
      </c>
      <c r="BS3186" s="10" t="s">
        <v>19455</v>
      </c>
      <c r="BT3186" s="10" t="s">
        <v>99</v>
      </c>
      <c r="BU3186" s="10" t="s">
        <v>298</v>
      </c>
      <c r="BV3186" s="10"/>
      <c r="BW3186" s="10"/>
      <c r="BX3186" s="10"/>
      <c r="BY3186" s="23"/>
      <c r="BZ3186" s="23"/>
      <c r="CA3186" s="19" t="s">
        <v>23212</v>
      </c>
      <c r="CB3186" s="19" t="s">
        <v>23213</v>
      </c>
      <c r="CC3186" s="23"/>
      <c r="CD3186" s="19" t="s">
        <v>23214</v>
      </c>
      <c r="CE3186" s="23"/>
      <c r="CF3186" s="23"/>
      <c r="CG3186" s="23"/>
      <c r="CH3186" s="23"/>
      <c r="CI3186" s="23"/>
    </row>
    <row r="3187" spans="1:87" x14ac:dyDescent="0.3">
      <c r="A3187" s="9" t="s">
        <v>23215</v>
      </c>
      <c r="B3187" s="10" t="s">
        <v>23216</v>
      </c>
      <c r="C3187" s="11">
        <v>46025.791666666664</v>
      </c>
      <c r="D3187" s="12">
        <v>8.3333333333333329E-2</v>
      </c>
      <c r="E3187" s="11">
        <v>46025.875</v>
      </c>
      <c r="F3187" s="22" t="s">
        <v>3511</v>
      </c>
      <c r="G3187" s="13" t="b">
        <v>0</v>
      </c>
      <c r="H3187" s="22" t="s">
        <v>123</v>
      </c>
      <c r="I3187" s="10" t="s">
        <v>3548</v>
      </c>
      <c r="J3187" s="13" t="b">
        <v>0</v>
      </c>
      <c r="K3187" s="13" t="b">
        <v>1</v>
      </c>
      <c r="L3187" s="10" t="s">
        <v>124</v>
      </c>
      <c r="M3187" s="10" t="s">
        <v>91</v>
      </c>
      <c r="N3187" s="10" t="s">
        <v>3513</v>
      </c>
      <c r="O3187" s="19" t="s">
        <v>23217</v>
      </c>
      <c r="P3187" s="10"/>
      <c r="Q3187" s="10" t="s">
        <v>126</v>
      </c>
      <c r="R3187" s="10"/>
      <c r="S3187" s="19" t="s">
        <v>23218</v>
      </c>
      <c r="T3187" s="10"/>
      <c r="U3187" s="10" t="s">
        <v>3635</v>
      </c>
      <c r="V3187" s="10" t="s">
        <v>3551</v>
      </c>
      <c r="W3187" s="10" t="s">
        <v>3519</v>
      </c>
      <c r="X3187" s="10" t="s">
        <v>130</v>
      </c>
      <c r="Y3187" s="10" t="s">
        <v>130</v>
      </c>
      <c r="Z3187" s="10" t="s">
        <v>99</v>
      </c>
      <c r="AA3187" s="10" t="s">
        <v>131</v>
      </c>
      <c r="AB3187" s="10" t="s">
        <v>3520</v>
      </c>
      <c r="AC3187" s="10" t="s">
        <v>3521</v>
      </c>
      <c r="AD3187" s="10" t="s">
        <v>23219</v>
      </c>
      <c r="AE3187" s="10" t="s">
        <v>23220</v>
      </c>
      <c r="AF3187" s="15"/>
      <c r="AG3187" s="10" t="s">
        <v>3524</v>
      </c>
      <c r="AH3187" s="10" t="s">
        <v>3539</v>
      </c>
      <c r="AI3187" s="10" t="s">
        <v>3539</v>
      </c>
      <c r="AJ3187" s="10" t="s">
        <v>23221</v>
      </c>
      <c r="AK3187" s="10" t="s">
        <v>102</v>
      </c>
      <c r="AL3187" s="10" t="s">
        <v>1876</v>
      </c>
      <c r="AM3187" s="10"/>
      <c r="AN3187" s="10"/>
      <c r="AO3187" s="13" t="b">
        <v>1</v>
      </c>
      <c r="AP3187" s="22" t="s">
        <v>104</v>
      </c>
      <c r="AQ3187" s="10">
        <f ca="1">IFERROR(__xludf.DUMMYFUNCTION("""COMPUTED_VALUE"""),4803421)</f>
        <v>4803421</v>
      </c>
      <c r="AR3187" s="17">
        <v>266149</v>
      </c>
      <c r="AS3187" s="17">
        <v>171244</v>
      </c>
      <c r="AT3187" s="17">
        <v>5413488.5</v>
      </c>
      <c r="AU3187" s="17">
        <v>2183.15</v>
      </c>
      <c r="AV3187" s="17">
        <v>639.25</v>
      </c>
      <c r="AW3187" s="10" t="s">
        <v>105</v>
      </c>
      <c r="AX3187" s="17">
        <v>55780</v>
      </c>
      <c r="AY3187" s="18">
        <v>31.612719277755716</v>
      </c>
      <c r="AZ3187" s="10"/>
      <c r="BA3187" s="20" t="b">
        <v>0</v>
      </c>
      <c r="BB3187" s="10"/>
      <c r="BC3187" s="17">
        <v>266149</v>
      </c>
      <c r="BD3187" s="17">
        <v>171244</v>
      </c>
      <c r="BE3187" s="17">
        <v>5413488.5</v>
      </c>
      <c r="BF3187" s="17">
        <v>639.25</v>
      </c>
      <c r="BG3187" s="11">
        <f ca="1">IFERROR(__xludf.DUMMYFUNCTION("""COMPUTED_VALUE"""),46025.7916666666)</f>
        <v>46025.791666666599</v>
      </c>
      <c r="BH3187" s="17" t="s">
        <v>105</v>
      </c>
      <c r="BI3187" s="17"/>
      <c r="BJ3187" s="15"/>
      <c r="BK3187" s="15"/>
      <c r="BL3187" s="13" t="b">
        <v>0</v>
      </c>
      <c r="BM3187" s="10"/>
      <c r="BN3187" s="10" t="s">
        <v>19455</v>
      </c>
      <c r="BO3187" s="11">
        <v>46010.149050925924</v>
      </c>
      <c r="BP3187" s="11">
        <v>46014.480694444443</v>
      </c>
      <c r="BQ3187" s="15">
        <v>46014.994189814817</v>
      </c>
      <c r="BR3187" s="15">
        <v>46021.45453703704</v>
      </c>
      <c r="BS3187" s="10" t="s">
        <v>19455</v>
      </c>
      <c r="BT3187" s="10" t="s">
        <v>99</v>
      </c>
      <c r="BU3187" s="10" t="s">
        <v>280</v>
      </c>
      <c r="BV3187" s="10"/>
      <c r="BW3187" s="10"/>
      <c r="BX3187" s="10"/>
      <c r="BY3187" s="23"/>
      <c r="BZ3187" s="23"/>
      <c r="CA3187" s="19" t="s">
        <v>23222</v>
      </c>
      <c r="CB3187" s="19" t="s">
        <v>23223</v>
      </c>
      <c r="CC3187" s="23"/>
      <c r="CD3187" s="19" t="s">
        <v>23224</v>
      </c>
      <c r="CE3187" s="23"/>
      <c r="CF3187" s="23"/>
      <c r="CG3187" s="23"/>
      <c r="CH3187" s="23"/>
      <c r="CI3187" s="23"/>
    </row>
    <row r="3188" spans="1:87" x14ac:dyDescent="0.3">
      <c r="A3188" s="9" t="s">
        <v>23225</v>
      </c>
      <c r="B3188" s="10" t="s">
        <v>23226</v>
      </c>
      <c r="C3188" s="11">
        <v>46026.645833333336</v>
      </c>
      <c r="D3188" s="12">
        <v>8.3333333333333329E-2</v>
      </c>
      <c r="E3188" s="11">
        <v>46026.729166666664</v>
      </c>
      <c r="F3188" s="22" t="s">
        <v>3511</v>
      </c>
      <c r="G3188" s="13" t="b">
        <v>0</v>
      </c>
      <c r="H3188" s="22" t="s">
        <v>3512</v>
      </c>
      <c r="I3188" s="10" t="s">
        <v>3548</v>
      </c>
      <c r="J3188" s="13" t="b">
        <v>0</v>
      </c>
      <c r="K3188" s="13" t="b">
        <v>1</v>
      </c>
      <c r="L3188" s="10" t="s">
        <v>124</v>
      </c>
      <c r="M3188" s="10" t="s">
        <v>91</v>
      </c>
      <c r="N3188" s="10" t="s">
        <v>3513</v>
      </c>
      <c r="O3188" s="19" t="s">
        <v>23227</v>
      </c>
      <c r="P3188" s="10"/>
      <c r="Q3188" s="10" t="s">
        <v>126</v>
      </c>
      <c r="R3188" s="10"/>
      <c r="S3188" s="19" t="s">
        <v>23228</v>
      </c>
      <c r="T3188" s="10"/>
      <c r="U3188" s="10" t="s">
        <v>3636</v>
      </c>
      <c r="V3188" s="10" t="s">
        <v>3648</v>
      </c>
      <c r="W3188" s="10" t="s">
        <v>3519</v>
      </c>
      <c r="X3188" s="10" t="s">
        <v>130</v>
      </c>
      <c r="Y3188" s="10" t="s">
        <v>130</v>
      </c>
      <c r="Z3188" s="10" t="s">
        <v>99</v>
      </c>
      <c r="AA3188" s="10" t="s">
        <v>131</v>
      </c>
      <c r="AB3188" s="10" t="s">
        <v>3520</v>
      </c>
      <c r="AC3188" s="10" t="s">
        <v>3521</v>
      </c>
      <c r="AD3188" s="10" t="s">
        <v>23229</v>
      </c>
      <c r="AE3188" s="10" t="s">
        <v>23230</v>
      </c>
      <c r="AF3188" s="15"/>
      <c r="AG3188" s="10" t="s">
        <v>3524</v>
      </c>
      <c r="AH3188" s="10" t="s">
        <v>3539</v>
      </c>
      <c r="AI3188" s="10" t="s">
        <v>3539</v>
      </c>
      <c r="AJ3188" s="10" t="s">
        <v>23231</v>
      </c>
      <c r="AK3188" s="10" t="s">
        <v>102</v>
      </c>
      <c r="AL3188" s="10" t="s">
        <v>1876</v>
      </c>
      <c r="AM3188" s="10"/>
      <c r="AN3188" s="10"/>
      <c r="AO3188" s="13" t="b">
        <v>0</v>
      </c>
      <c r="AP3188" s="22" t="s">
        <v>104</v>
      </c>
      <c r="AQ3188" s="10">
        <f ca="1">IFERROR(__xludf.DUMMYFUNCTION("""COMPUTED_VALUE"""),4824479)</f>
        <v>4824479</v>
      </c>
      <c r="AR3188" s="17">
        <v>95137</v>
      </c>
      <c r="AS3188" s="17">
        <v>58589</v>
      </c>
      <c r="AT3188" s="17">
        <v>1104169</v>
      </c>
      <c r="AU3188" s="17">
        <v>607.65</v>
      </c>
      <c r="AV3188" s="17">
        <v>235.3</v>
      </c>
      <c r="AW3188" s="10" t="s">
        <v>105</v>
      </c>
      <c r="AX3188" s="17">
        <v>16227</v>
      </c>
      <c r="AY3188" s="18">
        <v>18.846012050043523</v>
      </c>
      <c r="AZ3188" s="10"/>
      <c r="BA3188" s="20" t="b">
        <v>0</v>
      </c>
      <c r="BB3188" s="10"/>
      <c r="BC3188" s="17">
        <v>95137</v>
      </c>
      <c r="BD3188" s="17">
        <v>58589</v>
      </c>
      <c r="BE3188" s="17">
        <v>1104169</v>
      </c>
      <c r="BF3188" s="17">
        <v>235.3</v>
      </c>
      <c r="BG3188" s="11">
        <f ca="1">IFERROR(__xludf.DUMMYFUNCTION("""COMPUTED_VALUE"""),46026.6458333333)</f>
        <v>46026.645833333299</v>
      </c>
      <c r="BH3188" s="17" t="s">
        <v>105</v>
      </c>
      <c r="BI3188" s="17"/>
      <c r="BJ3188" s="15"/>
      <c r="BK3188" s="15"/>
      <c r="BL3188" s="13" t="b">
        <v>1</v>
      </c>
      <c r="BM3188" s="10"/>
      <c r="BN3188" s="10" t="s">
        <v>667</v>
      </c>
      <c r="BO3188" s="11">
        <v>46010.148611111108</v>
      </c>
      <c r="BP3188" s="11">
        <v>46014.485729166663</v>
      </c>
      <c r="BQ3188" s="15">
        <v>46015.008738425924</v>
      </c>
      <c r="BR3188" s="15">
        <v>46023.06486111111</v>
      </c>
      <c r="BS3188" s="10" t="s">
        <v>667</v>
      </c>
      <c r="BT3188" s="10" t="s">
        <v>279</v>
      </c>
      <c r="BU3188" s="10" t="s">
        <v>280</v>
      </c>
      <c r="BV3188" s="10"/>
      <c r="BW3188" s="10"/>
      <c r="BX3188" s="10"/>
      <c r="BY3188" s="23"/>
      <c r="BZ3188" s="23"/>
      <c r="CA3188" s="19" t="s">
        <v>23232</v>
      </c>
      <c r="CB3188" s="19" t="s">
        <v>23233</v>
      </c>
      <c r="CC3188" s="23"/>
      <c r="CD3188" s="19" t="s">
        <v>23234</v>
      </c>
      <c r="CE3188" s="23"/>
      <c r="CF3188" s="23"/>
      <c r="CG3188" s="23"/>
      <c r="CH3188" s="23"/>
      <c r="CI3188" s="23"/>
    </row>
    <row r="3189" spans="1:87" x14ac:dyDescent="0.3">
      <c r="A3189" s="9" t="s">
        <v>23235</v>
      </c>
      <c r="B3189" s="10" t="s">
        <v>23236</v>
      </c>
      <c r="C3189" s="11">
        <v>46026.645833333336</v>
      </c>
      <c r="D3189" s="12">
        <v>8.3333333333333329E-2</v>
      </c>
      <c r="E3189" s="11">
        <v>46026.729166666664</v>
      </c>
      <c r="F3189" s="22" t="s">
        <v>3511</v>
      </c>
      <c r="G3189" s="13" t="b">
        <v>0</v>
      </c>
      <c r="H3189" s="22" t="s">
        <v>236</v>
      </c>
      <c r="I3189" s="10" t="s">
        <v>212</v>
      </c>
      <c r="J3189" s="13" t="b">
        <v>1</v>
      </c>
      <c r="K3189" s="13" t="b">
        <v>1</v>
      </c>
      <c r="L3189" s="10" t="s">
        <v>124</v>
      </c>
      <c r="M3189" s="10" t="s">
        <v>91</v>
      </c>
      <c r="N3189" s="10" t="s">
        <v>3513</v>
      </c>
      <c r="O3189" s="19" t="s">
        <v>23237</v>
      </c>
      <c r="P3189" s="10"/>
      <c r="Q3189" s="10" t="s">
        <v>126</v>
      </c>
      <c r="R3189" s="10"/>
      <c r="S3189" s="19" t="s">
        <v>23238</v>
      </c>
      <c r="T3189" s="10"/>
      <c r="U3189" s="10" t="s">
        <v>3552</v>
      </c>
      <c r="V3189" s="10" t="s">
        <v>3610</v>
      </c>
      <c r="W3189" s="10" t="s">
        <v>3519</v>
      </c>
      <c r="X3189" s="10" t="s">
        <v>130</v>
      </c>
      <c r="Y3189" s="10" t="s">
        <v>130</v>
      </c>
      <c r="Z3189" s="10" t="s">
        <v>99</v>
      </c>
      <c r="AA3189" s="10" t="s">
        <v>131</v>
      </c>
      <c r="AB3189" s="10" t="s">
        <v>3520</v>
      </c>
      <c r="AC3189" s="10" t="s">
        <v>3521</v>
      </c>
      <c r="AD3189" s="10" t="s">
        <v>23239</v>
      </c>
      <c r="AE3189" s="10" t="s">
        <v>23240</v>
      </c>
      <c r="AF3189" s="15"/>
      <c r="AG3189" s="10" t="s">
        <v>3524</v>
      </c>
      <c r="AH3189" s="10" t="s">
        <v>3539</v>
      </c>
      <c r="AI3189" s="10" t="s">
        <v>3539</v>
      </c>
      <c r="AJ3189" s="10" t="s">
        <v>23241</v>
      </c>
      <c r="AK3189" s="10" t="s">
        <v>102</v>
      </c>
      <c r="AL3189" s="10" t="s">
        <v>1876</v>
      </c>
      <c r="AM3189" s="10"/>
      <c r="AN3189" s="10"/>
      <c r="AO3189" s="13" t="b">
        <v>0</v>
      </c>
      <c r="AP3189" s="22" t="s">
        <v>104</v>
      </c>
      <c r="AQ3189" s="10">
        <f ca="1">IFERROR(__xludf.DUMMYFUNCTION("""COMPUTED_VALUE"""),4823385)</f>
        <v>4823385</v>
      </c>
      <c r="AR3189" s="17">
        <v>190980</v>
      </c>
      <c r="AS3189" s="17">
        <v>117498</v>
      </c>
      <c r="AT3189" s="17">
        <v>3862378</v>
      </c>
      <c r="AU3189" s="17">
        <v>380.75</v>
      </c>
      <c r="AV3189" s="17">
        <v>86.45</v>
      </c>
      <c r="AW3189" s="10" t="s">
        <v>105</v>
      </c>
      <c r="AX3189" s="17">
        <v>45459</v>
      </c>
      <c r="AY3189" s="18">
        <v>32.871861648708915</v>
      </c>
      <c r="AZ3189" s="10"/>
      <c r="BA3189" s="20" t="b">
        <v>0</v>
      </c>
      <c r="BB3189" s="10"/>
      <c r="BC3189" s="17">
        <v>190980</v>
      </c>
      <c r="BD3189" s="17">
        <v>117498</v>
      </c>
      <c r="BE3189" s="17">
        <v>3862378</v>
      </c>
      <c r="BF3189" s="17">
        <v>86.45</v>
      </c>
      <c r="BG3189" s="11">
        <f ca="1">IFERROR(__xludf.DUMMYFUNCTION("""COMPUTED_VALUE"""),46026.6458333333)</f>
        <v>46026.645833333299</v>
      </c>
      <c r="BH3189" s="17" t="s">
        <v>105</v>
      </c>
      <c r="BI3189" s="17"/>
      <c r="BJ3189" s="15"/>
      <c r="BK3189" s="15"/>
      <c r="BL3189" s="13" t="b">
        <v>0</v>
      </c>
      <c r="BM3189" s="10"/>
      <c r="BN3189" s="10" t="s">
        <v>667</v>
      </c>
      <c r="BO3189" s="11">
        <v>46010.149050925924</v>
      </c>
      <c r="BP3189" s="11">
        <v>46014.489305555559</v>
      </c>
      <c r="BQ3189" s="15">
        <v>46014.995578703703</v>
      </c>
      <c r="BR3189" s="15">
        <v>46022.795729166668</v>
      </c>
      <c r="BS3189" s="10" t="s">
        <v>667</v>
      </c>
      <c r="BT3189" s="10" t="s">
        <v>99</v>
      </c>
      <c r="BU3189" s="10" t="s">
        <v>421</v>
      </c>
      <c r="BV3189" s="10"/>
      <c r="BW3189" s="10"/>
      <c r="BX3189" s="10"/>
      <c r="BY3189" s="23"/>
      <c r="BZ3189" s="23"/>
      <c r="CA3189" s="19" t="s">
        <v>23242</v>
      </c>
      <c r="CB3189" s="19" t="s">
        <v>23243</v>
      </c>
      <c r="CC3189" s="23"/>
      <c r="CD3189" s="19" t="s">
        <v>23244</v>
      </c>
      <c r="CE3189" s="23"/>
      <c r="CF3189" s="23"/>
      <c r="CG3189" s="23"/>
      <c r="CH3189" s="23"/>
      <c r="CI3189" s="23"/>
    </row>
    <row r="3190" spans="1:87" x14ac:dyDescent="0.3">
      <c r="A3190" s="9" t="s">
        <v>23245</v>
      </c>
      <c r="B3190" s="10" t="s">
        <v>23246</v>
      </c>
      <c r="C3190" s="11">
        <v>46026.5625</v>
      </c>
      <c r="D3190" s="12">
        <v>8.3333333333333329E-2</v>
      </c>
      <c r="E3190" s="11">
        <v>46026.645833333336</v>
      </c>
      <c r="F3190" s="22" t="s">
        <v>3511</v>
      </c>
      <c r="G3190" s="13" t="b">
        <v>0</v>
      </c>
      <c r="H3190" s="22" t="s">
        <v>3512</v>
      </c>
      <c r="I3190" s="10" t="s">
        <v>3548</v>
      </c>
      <c r="J3190" s="13" t="b">
        <v>0</v>
      </c>
      <c r="K3190" s="13" t="b">
        <v>1</v>
      </c>
      <c r="L3190" s="10" t="s">
        <v>124</v>
      </c>
      <c r="M3190" s="10" t="s">
        <v>91</v>
      </c>
      <c r="N3190" s="10" t="s">
        <v>3513</v>
      </c>
      <c r="O3190" s="19" t="s">
        <v>23247</v>
      </c>
      <c r="P3190" s="10"/>
      <c r="Q3190" s="10" t="s">
        <v>126</v>
      </c>
      <c r="R3190" s="10"/>
      <c r="S3190" s="19" t="s">
        <v>23248</v>
      </c>
      <c r="T3190" s="10"/>
      <c r="U3190" s="10" t="s">
        <v>3623</v>
      </c>
      <c r="V3190" s="10" t="s">
        <v>3677</v>
      </c>
      <c r="W3190" s="10" t="s">
        <v>3519</v>
      </c>
      <c r="X3190" s="10" t="s">
        <v>130</v>
      </c>
      <c r="Y3190" s="10" t="s">
        <v>130</v>
      </c>
      <c r="Z3190" s="10" t="s">
        <v>99</v>
      </c>
      <c r="AA3190" s="10" t="s">
        <v>131</v>
      </c>
      <c r="AB3190" s="10" t="s">
        <v>3520</v>
      </c>
      <c r="AC3190" s="10" t="s">
        <v>3521</v>
      </c>
      <c r="AD3190" s="10" t="s">
        <v>23249</v>
      </c>
      <c r="AE3190" s="10" t="s">
        <v>23250</v>
      </c>
      <c r="AF3190" s="15"/>
      <c r="AG3190" s="10" t="s">
        <v>3524</v>
      </c>
      <c r="AH3190" s="10" t="s">
        <v>3539</v>
      </c>
      <c r="AI3190" s="10" t="s">
        <v>3539</v>
      </c>
      <c r="AJ3190" s="10" t="s">
        <v>23251</v>
      </c>
      <c r="AK3190" s="10" t="s">
        <v>102</v>
      </c>
      <c r="AL3190" s="10" t="s">
        <v>1876</v>
      </c>
      <c r="AM3190" s="10"/>
      <c r="AN3190" s="10"/>
      <c r="AO3190" s="13" t="b">
        <v>0</v>
      </c>
      <c r="AP3190" s="22" t="s">
        <v>104</v>
      </c>
      <c r="AQ3190" s="10">
        <f ca="1">IFERROR(__xludf.DUMMYFUNCTION("""COMPUTED_VALUE"""),4825050)</f>
        <v>4825050</v>
      </c>
      <c r="AR3190" s="17">
        <v>78240</v>
      </c>
      <c r="AS3190" s="17">
        <v>51416</v>
      </c>
      <c r="AT3190" s="17">
        <v>1201870</v>
      </c>
      <c r="AU3190" s="17">
        <v>549.1</v>
      </c>
      <c r="AV3190" s="17">
        <v>202.8</v>
      </c>
      <c r="AW3190" s="10" t="s">
        <v>105</v>
      </c>
      <c r="AX3190" s="17">
        <v>16680</v>
      </c>
      <c r="AY3190" s="18">
        <v>23.375408433172552</v>
      </c>
      <c r="AZ3190" s="10"/>
      <c r="BA3190" s="20" t="b">
        <v>0</v>
      </c>
      <c r="BB3190" s="10"/>
      <c r="BC3190" s="17">
        <v>78240</v>
      </c>
      <c r="BD3190" s="17">
        <v>51416</v>
      </c>
      <c r="BE3190" s="17">
        <v>1201870</v>
      </c>
      <c r="BF3190" s="17">
        <v>202.8</v>
      </c>
      <c r="BG3190" s="11">
        <f ca="1">IFERROR(__xludf.DUMMYFUNCTION("""COMPUTED_VALUE"""),46026.5625)</f>
        <v>46026.5625</v>
      </c>
      <c r="BH3190" s="17" t="s">
        <v>105</v>
      </c>
      <c r="BI3190" s="17"/>
      <c r="BJ3190" s="15"/>
      <c r="BK3190" s="15"/>
      <c r="BL3190" s="13" t="b">
        <v>1</v>
      </c>
      <c r="BM3190" s="10"/>
      <c r="BN3190" s="10" t="s">
        <v>667</v>
      </c>
      <c r="BO3190" s="11">
        <v>46010.148611111108</v>
      </c>
      <c r="BP3190" s="11">
        <v>46021.403078703705</v>
      </c>
      <c r="BQ3190" s="15">
        <v>46014.997025462966</v>
      </c>
      <c r="BR3190" s="15">
        <v>46023.930613425924</v>
      </c>
      <c r="BS3190" s="10" t="s">
        <v>667</v>
      </c>
      <c r="BT3190" s="10" t="s">
        <v>279</v>
      </c>
      <c r="BU3190" s="10" t="s">
        <v>298</v>
      </c>
      <c r="BV3190" s="10"/>
      <c r="BW3190" s="10"/>
      <c r="BX3190" s="10"/>
      <c r="BY3190" s="23"/>
      <c r="BZ3190" s="23"/>
      <c r="CA3190" s="19" t="s">
        <v>23252</v>
      </c>
      <c r="CB3190" s="19" t="s">
        <v>23253</v>
      </c>
      <c r="CC3190" s="23"/>
      <c r="CD3190" s="19" t="s">
        <v>23254</v>
      </c>
      <c r="CE3190" s="23"/>
      <c r="CF3190" s="23"/>
      <c r="CG3190" s="23"/>
      <c r="CH3190" s="23"/>
      <c r="CI3190" s="23"/>
    </row>
    <row r="3191" spans="1:87" x14ac:dyDescent="0.3">
      <c r="A3191" s="9" t="s">
        <v>23255</v>
      </c>
      <c r="B3191" s="10" t="s">
        <v>23256</v>
      </c>
      <c r="C3191" s="11">
        <v>46026.791666666664</v>
      </c>
      <c r="D3191" s="12">
        <v>8.3333333333333329E-2</v>
      </c>
      <c r="E3191" s="11">
        <v>46026.875</v>
      </c>
      <c r="F3191" s="22" t="s">
        <v>3511</v>
      </c>
      <c r="G3191" s="13" t="b">
        <v>0</v>
      </c>
      <c r="H3191" s="22" t="s">
        <v>123</v>
      </c>
      <c r="I3191" s="10" t="s">
        <v>3548</v>
      </c>
      <c r="J3191" s="13" t="b">
        <v>0</v>
      </c>
      <c r="K3191" s="13" t="b">
        <v>1</v>
      </c>
      <c r="L3191" s="10" t="s">
        <v>124</v>
      </c>
      <c r="M3191" s="10" t="s">
        <v>91</v>
      </c>
      <c r="N3191" s="10" t="s">
        <v>3513</v>
      </c>
      <c r="O3191" s="19" t="s">
        <v>23257</v>
      </c>
      <c r="P3191" s="10"/>
      <c r="Q3191" s="10" t="s">
        <v>126</v>
      </c>
      <c r="R3191" s="10"/>
      <c r="S3191" s="19" t="s">
        <v>23258</v>
      </c>
      <c r="T3191" s="10"/>
      <c r="U3191" s="10" t="s">
        <v>3661</v>
      </c>
      <c r="V3191" s="10" t="s">
        <v>3676</v>
      </c>
      <c r="W3191" s="10" t="s">
        <v>3519</v>
      </c>
      <c r="X3191" s="10" t="s">
        <v>130</v>
      </c>
      <c r="Y3191" s="10" t="s">
        <v>130</v>
      </c>
      <c r="Z3191" s="10" t="s">
        <v>99</v>
      </c>
      <c r="AA3191" s="10" t="s">
        <v>131</v>
      </c>
      <c r="AB3191" s="10" t="s">
        <v>3520</v>
      </c>
      <c r="AC3191" s="10" t="s">
        <v>3521</v>
      </c>
      <c r="AD3191" s="10" t="s">
        <v>23259</v>
      </c>
      <c r="AE3191" s="10" t="s">
        <v>23260</v>
      </c>
      <c r="AF3191" s="15"/>
      <c r="AG3191" s="10" t="s">
        <v>3524</v>
      </c>
      <c r="AH3191" s="10" t="s">
        <v>3539</v>
      </c>
      <c r="AI3191" s="10" t="s">
        <v>3539</v>
      </c>
      <c r="AJ3191" s="10" t="s">
        <v>23261</v>
      </c>
      <c r="AK3191" s="10" t="s">
        <v>102</v>
      </c>
      <c r="AL3191" s="10" t="s">
        <v>1876</v>
      </c>
      <c r="AM3191" s="10"/>
      <c r="AN3191" s="10"/>
      <c r="AO3191" s="13" t="b">
        <v>1</v>
      </c>
      <c r="AP3191" s="22" t="s">
        <v>104</v>
      </c>
      <c r="AQ3191" s="10">
        <f ca="1">IFERROR(__xludf.DUMMYFUNCTION("""COMPUTED_VALUE"""),4824481)</f>
        <v>4824481</v>
      </c>
      <c r="AR3191" s="17">
        <v>253448</v>
      </c>
      <c r="AS3191" s="17">
        <v>174463</v>
      </c>
      <c r="AT3191" s="17">
        <v>4753758.75</v>
      </c>
      <c r="AU3191" s="17">
        <v>1567.9</v>
      </c>
      <c r="AV3191" s="17">
        <v>452</v>
      </c>
      <c r="AW3191" s="10" t="s">
        <v>105</v>
      </c>
      <c r="AX3191" s="17">
        <v>55766</v>
      </c>
      <c r="AY3191" s="18">
        <v>27.247947988971873</v>
      </c>
      <c r="AZ3191" s="10"/>
      <c r="BA3191" s="20" t="b">
        <v>0</v>
      </c>
      <c r="BB3191" s="10"/>
      <c r="BC3191" s="17">
        <v>253448</v>
      </c>
      <c r="BD3191" s="17">
        <v>174463</v>
      </c>
      <c r="BE3191" s="17">
        <v>4753758.75</v>
      </c>
      <c r="BF3191" s="17">
        <v>452</v>
      </c>
      <c r="BG3191" s="11">
        <f ca="1">IFERROR(__xludf.DUMMYFUNCTION("""COMPUTED_VALUE"""),46026.7916666666)</f>
        <v>46026.791666666599</v>
      </c>
      <c r="BH3191" s="17" t="s">
        <v>105</v>
      </c>
      <c r="BI3191" s="17"/>
      <c r="BJ3191" s="15"/>
      <c r="BK3191" s="15"/>
      <c r="BL3191" s="13" t="b">
        <v>0</v>
      </c>
      <c r="BM3191" s="10"/>
      <c r="BN3191" s="10" t="s">
        <v>667</v>
      </c>
      <c r="BO3191" s="11">
        <v>46010.148611111108</v>
      </c>
      <c r="BP3191" s="11">
        <v>46014.491990740738</v>
      </c>
      <c r="BQ3191" s="15">
        <v>46014.995925925927</v>
      </c>
      <c r="BR3191" s="15">
        <v>46023.070601851854</v>
      </c>
      <c r="BS3191" s="10" t="s">
        <v>667</v>
      </c>
      <c r="BT3191" s="10" t="s">
        <v>99</v>
      </c>
      <c r="BU3191" s="10" t="s">
        <v>421</v>
      </c>
      <c r="BV3191" s="10" t="s">
        <v>124</v>
      </c>
      <c r="BW3191" s="10"/>
      <c r="BX3191" s="10"/>
      <c r="BY3191" s="23"/>
      <c r="BZ3191" s="23"/>
      <c r="CA3191" s="19" t="s">
        <v>23262</v>
      </c>
      <c r="CB3191" s="19" t="s">
        <v>23263</v>
      </c>
      <c r="CC3191" s="23"/>
      <c r="CD3191" s="19" t="s">
        <v>23264</v>
      </c>
      <c r="CE3191" s="23"/>
      <c r="CF3191" s="23"/>
      <c r="CG3191" s="23"/>
      <c r="CH3191" s="23"/>
      <c r="CI3191" s="23"/>
    </row>
    <row r="3192" spans="1:87" x14ac:dyDescent="0.3">
      <c r="A3192" s="9" t="s">
        <v>23265</v>
      </c>
      <c r="B3192" s="10" t="s">
        <v>23266</v>
      </c>
      <c r="C3192" s="11">
        <v>46027.645833333336</v>
      </c>
      <c r="D3192" s="12">
        <v>8.3333333333333329E-2</v>
      </c>
      <c r="E3192" s="11">
        <v>46027.729166666664</v>
      </c>
      <c r="F3192" s="22" t="s">
        <v>3511</v>
      </c>
      <c r="G3192" s="13" t="b">
        <v>0</v>
      </c>
      <c r="H3192" s="22" t="s">
        <v>123</v>
      </c>
      <c r="I3192" s="10" t="s">
        <v>3548</v>
      </c>
      <c r="J3192" s="13" t="b">
        <v>0</v>
      </c>
      <c r="K3192" s="13" t="b">
        <v>1</v>
      </c>
      <c r="L3192" s="10" t="s">
        <v>124</v>
      </c>
      <c r="M3192" s="10" t="s">
        <v>91</v>
      </c>
      <c r="N3192" s="10" t="s">
        <v>3513</v>
      </c>
      <c r="O3192" s="19" t="s">
        <v>23267</v>
      </c>
      <c r="P3192" s="10"/>
      <c r="Q3192" s="10" t="s">
        <v>126</v>
      </c>
      <c r="R3192" s="10"/>
      <c r="S3192" s="19" t="s">
        <v>23268</v>
      </c>
      <c r="T3192" s="10"/>
      <c r="U3192" s="10" t="s">
        <v>3518</v>
      </c>
      <c r="V3192" s="10" t="s">
        <v>3622</v>
      </c>
      <c r="W3192" s="10" t="s">
        <v>3519</v>
      </c>
      <c r="X3192" s="10" t="s">
        <v>130</v>
      </c>
      <c r="Y3192" s="10" t="s">
        <v>130</v>
      </c>
      <c r="Z3192" s="10" t="s">
        <v>99</v>
      </c>
      <c r="AA3192" s="10" t="s">
        <v>131</v>
      </c>
      <c r="AB3192" s="10" t="s">
        <v>3520</v>
      </c>
      <c r="AC3192" s="10" t="s">
        <v>3521</v>
      </c>
      <c r="AD3192" s="10" t="s">
        <v>23269</v>
      </c>
      <c r="AE3192" s="10" t="s">
        <v>23270</v>
      </c>
      <c r="AF3192" s="15"/>
      <c r="AG3192" s="10" t="s">
        <v>3524</v>
      </c>
      <c r="AH3192" s="10" t="s">
        <v>3539</v>
      </c>
      <c r="AI3192" s="10" t="s">
        <v>3539</v>
      </c>
      <c r="AJ3192" s="10" t="s">
        <v>23271</v>
      </c>
      <c r="AK3192" s="10" t="s">
        <v>102</v>
      </c>
      <c r="AL3192" s="10" t="s">
        <v>1876</v>
      </c>
      <c r="AM3192" s="10"/>
      <c r="AN3192" s="10"/>
      <c r="AO3192" s="13" t="b">
        <v>0</v>
      </c>
      <c r="AP3192" s="22" t="s">
        <v>104</v>
      </c>
      <c r="AQ3192" s="10">
        <f ca="1">IFERROR(__xludf.DUMMYFUNCTION("""COMPUTED_VALUE"""),4827312)</f>
        <v>4827312</v>
      </c>
      <c r="AR3192" s="17">
        <v>161948</v>
      </c>
      <c r="AS3192" s="17">
        <v>112965</v>
      </c>
      <c r="AT3192" s="17">
        <v>2800145.75</v>
      </c>
      <c r="AU3192" s="17">
        <v>815.05</v>
      </c>
      <c r="AV3192" s="17">
        <v>213.55</v>
      </c>
      <c r="AW3192" s="10" t="s">
        <v>105</v>
      </c>
      <c r="AX3192" s="17">
        <v>36209</v>
      </c>
      <c r="AY3192" s="18">
        <v>24.78772849997787</v>
      </c>
      <c r="AZ3192" s="10"/>
      <c r="BA3192" s="20" t="b">
        <v>0</v>
      </c>
      <c r="BB3192" s="10"/>
      <c r="BC3192" s="17">
        <v>161948</v>
      </c>
      <c r="BD3192" s="17">
        <v>112965</v>
      </c>
      <c r="BE3192" s="17">
        <v>2800145.75</v>
      </c>
      <c r="BF3192" s="17">
        <v>213.55</v>
      </c>
      <c r="BG3192" s="11">
        <f ca="1">IFERROR(__xludf.DUMMYFUNCTION("""COMPUTED_VALUE"""),46027.6458333333)</f>
        <v>46027.645833333299</v>
      </c>
      <c r="BH3192" s="17" t="s">
        <v>105</v>
      </c>
      <c r="BI3192" s="17"/>
      <c r="BJ3192" s="15"/>
      <c r="BK3192" s="15"/>
      <c r="BL3192" s="13" t="b">
        <v>0</v>
      </c>
      <c r="BM3192" s="10"/>
      <c r="BN3192" s="10" t="s">
        <v>455</v>
      </c>
      <c r="BO3192" s="11">
        <v>46010.149050925924</v>
      </c>
      <c r="BP3192" s="11">
        <v>46014.521840277775</v>
      </c>
      <c r="BQ3192" s="15">
        <v>46014.997337962966</v>
      </c>
      <c r="BR3192" s="15">
        <v>46025.582881944443</v>
      </c>
      <c r="BS3192" s="10" t="s">
        <v>455</v>
      </c>
      <c r="BT3192" s="10" t="s">
        <v>99</v>
      </c>
      <c r="BU3192" s="10" t="s">
        <v>298</v>
      </c>
      <c r="BV3192" s="10"/>
      <c r="BW3192" s="10"/>
      <c r="BX3192" s="10"/>
      <c r="BY3192" s="23"/>
      <c r="BZ3192" s="23"/>
      <c r="CA3192" s="19" t="s">
        <v>23272</v>
      </c>
      <c r="CB3192" s="19" t="s">
        <v>23273</v>
      </c>
      <c r="CC3192" s="23"/>
      <c r="CD3192" s="19" t="s">
        <v>23274</v>
      </c>
      <c r="CE3192" s="23"/>
      <c r="CF3192" s="23"/>
      <c r="CG3192" s="23"/>
      <c r="CH3192" s="23"/>
      <c r="CI3192" s="23"/>
    </row>
    <row r="3193" spans="1:87" x14ac:dyDescent="0.3">
      <c r="A3193" s="9" t="s">
        <v>23275</v>
      </c>
      <c r="B3193" s="10" t="s">
        <v>23276</v>
      </c>
      <c r="C3193" s="11">
        <v>46027.791666666664</v>
      </c>
      <c r="D3193" s="12">
        <v>8.3333333333333329E-2</v>
      </c>
      <c r="E3193" s="11">
        <v>46027.875</v>
      </c>
      <c r="F3193" s="22" t="s">
        <v>3511</v>
      </c>
      <c r="G3193" s="13" t="b">
        <v>0</v>
      </c>
      <c r="H3193" s="22" t="s">
        <v>123</v>
      </c>
      <c r="I3193" s="10" t="s">
        <v>3548</v>
      </c>
      <c r="J3193" s="13" t="b">
        <v>0</v>
      </c>
      <c r="K3193" s="13" t="b">
        <v>1</v>
      </c>
      <c r="L3193" s="10" t="s">
        <v>124</v>
      </c>
      <c r="M3193" s="10" t="s">
        <v>91</v>
      </c>
      <c r="N3193" s="10" t="s">
        <v>3513</v>
      </c>
      <c r="O3193" s="19" t="s">
        <v>23277</v>
      </c>
      <c r="P3193" s="10"/>
      <c r="Q3193" s="10" t="s">
        <v>126</v>
      </c>
      <c r="R3193" s="10"/>
      <c r="S3193" s="19" t="s">
        <v>23278</v>
      </c>
      <c r="T3193" s="10"/>
      <c r="U3193" s="10" t="s">
        <v>3662</v>
      </c>
      <c r="V3193" s="10" t="s">
        <v>3609</v>
      </c>
      <c r="W3193" s="10" t="s">
        <v>3519</v>
      </c>
      <c r="X3193" s="10" t="s">
        <v>130</v>
      </c>
      <c r="Y3193" s="10" t="s">
        <v>130</v>
      </c>
      <c r="Z3193" s="10" t="s">
        <v>99</v>
      </c>
      <c r="AA3193" s="10" t="s">
        <v>131</v>
      </c>
      <c r="AB3193" s="10" t="s">
        <v>3520</v>
      </c>
      <c r="AC3193" s="10" t="s">
        <v>3521</v>
      </c>
      <c r="AD3193" s="10" t="s">
        <v>23279</v>
      </c>
      <c r="AE3193" s="10" t="s">
        <v>23280</v>
      </c>
      <c r="AF3193" s="15"/>
      <c r="AG3193" s="10" t="s">
        <v>3524</v>
      </c>
      <c r="AH3193" s="10" t="s">
        <v>3539</v>
      </c>
      <c r="AI3193" s="10" t="s">
        <v>3539</v>
      </c>
      <c r="AJ3193" s="10" t="s">
        <v>23281</v>
      </c>
      <c r="AK3193" s="10" t="s">
        <v>102</v>
      </c>
      <c r="AL3193" s="10" t="s">
        <v>1876</v>
      </c>
      <c r="AM3193" s="10"/>
      <c r="AN3193" s="10"/>
      <c r="AO3193" s="13" t="b">
        <v>1</v>
      </c>
      <c r="AP3193" s="22" t="s">
        <v>104</v>
      </c>
      <c r="AQ3193" s="10">
        <f ca="1">IFERROR(__xludf.DUMMYFUNCTION("""COMPUTED_VALUE"""),4827313)</f>
        <v>4827313</v>
      </c>
      <c r="AR3193" s="17">
        <v>689391</v>
      </c>
      <c r="AS3193" s="17">
        <v>360007</v>
      </c>
      <c r="AT3193" s="17">
        <v>17946531.5</v>
      </c>
      <c r="AU3193" s="17">
        <v>13015.1</v>
      </c>
      <c r="AV3193" s="17">
        <v>3358</v>
      </c>
      <c r="AW3193" s="10" t="s">
        <v>297</v>
      </c>
      <c r="AX3193" s="17">
        <v>181177</v>
      </c>
      <c r="AY3193" s="18">
        <v>49.850507073473572</v>
      </c>
      <c r="AZ3193" s="10"/>
      <c r="BA3193" s="20" t="b">
        <v>0</v>
      </c>
      <c r="BB3193" s="10"/>
      <c r="BC3193" s="17">
        <v>689391</v>
      </c>
      <c r="BD3193" s="17">
        <v>360007</v>
      </c>
      <c r="BE3193" s="17">
        <v>17946531.5</v>
      </c>
      <c r="BF3193" s="17">
        <v>3358</v>
      </c>
      <c r="BG3193" s="11">
        <f ca="1">IFERROR(__xludf.DUMMYFUNCTION("""COMPUTED_VALUE"""),46027.7916666666)</f>
        <v>46027.791666666599</v>
      </c>
      <c r="BH3193" s="17" t="s">
        <v>297</v>
      </c>
      <c r="BI3193" s="17"/>
      <c r="BJ3193" s="15"/>
      <c r="BK3193" s="15"/>
      <c r="BL3193" s="13" t="b">
        <v>0</v>
      </c>
      <c r="BM3193" s="10"/>
      <c r="BN3193" s="10" t="s">
        <v>455</v>
      </c>
      <c r="BO3193" s="11">
        <v>46010.148611111108</v>
      </c>
      <c r="BP3193" s="11">
        <v>46014.526979166665</v>
      </c>
      <c r="BQ3193" s="15">
        <v>46014.997673611113</v>
      </c>
      <c r="BR3193" s="15">
        <v>46025.583043981482</v>
      </c>
      <c r="BS3193" s="10" t="s">
        <v>455</v>
      </c>
      <c r="BT3193" s="10" t="s">
        <v>99</v>
      </c>
      <c r="BU3193" s="10" t="s">
        <v>280</v>
      </c>
      <c r="BV3193" s="10" t="s">
        <v>281</v>
      </c>
      <c r="BW3193" s="10" t="s">
        <v>2100</v>
      </c>
      <c r="BX3193" s="10"/>
      <c r="BY3193" s="23"/>
      <c r="BZ3193" s="23"/>
      <c r="CA3193" s="19" t="s">
        <v>23282</v>
      </c>
      <c r="CB3193" s="19" t="s">
        <v>23283</v>
      </c>
      <c r="CC3193" s="23"/>
      <c r="CD3193" s="19" t="s">
        <v>23284</v>
      </c>
      <c r="CE3193" s="23"/>
      <c r="CF3193" s="23"/>
      <c r="CG3193" s="23"/>
      <c r="CH3193" s="23"/>
      <c r="CI3193" s="23"/>
    </row>
    <row r="3194" spans="1:87" x14ac:dyDescent="0.3">
      <c r="A3194" s="9" t="s">
        <v>23285</v>
      </c>
      <c r="B3194" s="10" t="s">
        <v>23286</v>
      </c>
      <c r="C3194" s="11">
        <v>46031.645833333336</v>
      </c>
      <c r="D3194" s="12">
        <v>8.3333333333333329E-2</v>
      </c>
      <c r="E3194" s="11">
        <v>46031.729166666664</v>
      </c>
      <c r="F3194" s="22" t="s">
        <v>3511</v>
      </c>
      <c r="G3194" s="13" t="b">
        <v>0</v>
      </c>
      <c r="H3194" s="22" t="s">
        <v>236</v>
      </c>
      <c r="I3194" s="10" t="s">
        <v>212</v>
      </c>
      <c r="J3194" s="13" t="b">
        <v>1</v>
      </c>
      <c r="K3194" s="13" t="b">
        <v>0</v>
      </c>
      <c r="L3194" s="10" t="s">
        <v>124</v>
      </c>
      <c r="M3194" s="10" t="s">
        <v>91</v>
      </c>
      <c r="N3194" s="10" t="s">
        <v>3513</v>
      </c>
      <c r="O3194" s="19" t="s">
        <v>23287</v>
      </c>
      <c r="P3194" s="10"/>
      <c r="Q3194" s="10" t="s">
        <v>126</v>
      </c>
      <c r="R3194" s="10"/>
      <c r="S3194" s="19" t="s">
        <v>23288</v>
      </c>
      <c r="T3194" s="19" t="s">
        <v>23289</v>
      </c>
      <c r="U3194" s="10" t="s">
        <v>3648</v>
      </c>
      <c r="V3194" s="10" t="s">
        <v>3517</v>
      </c>
      <c r="W3194" s="10" t="s">
        <v>3519</v>
      </c>
      <c r="X3194" s="10" t="s">
        <v>130</v>
      </c>
      <c r="Y3194" s="10" t="s">
        <v>130</v>
      </c>
      <c r="Z3194" s="10" t="s">
        <v>99</v>
      </c>
      <c r="AA3194" s="10" t="s">
        <v>131</v>
      </c>
      <c r="AB3194" s="10" t="s">
        <v>3520</v>
      </c>
      <c r="AC3194" s="10" t="s">
        <v>3521</v>
      </c>
      <c r="AD3194" s="10" t="s">
        <v>23290</v>
      </c>
      <c r="AE3194" s="10" t="s">
        <v>23291</v>
      </c>
      <c r="AF3194" s="15"/>
      <c r="AG3194" s="10" t="s">
        <v>3524</v>
      </c>
      <c r="AH3194" s="10" t="s">
        <v>3539</v>
      </c>
      <c r="AI3194" s="10" t="s">
        <v>3539</v>
      </c>
      <c r="AJ3194" s="10"/>
      <c r="AK3194" s="10" t="s">
        <v>102</v>
      </c>
      <c r="AL3194" s="10" t="s">
        <v>1988</v>
      </c>
      <c r="AM3194" s="10"/>
      <c r="AN3194" s="10"/>
      <c r="AO3194" s="13" t="b">
        <v>0</v>
      </c>
      <c r="AP3194" s="22" t="s">
        <v>104</v>
      </c>
      <c r="AQ3194" s="10">
        <f ca="1">IFERROR(__xludf.DUMMYFUNCTION("""COMPUTED_VALUE"""),4832164)</f>
        <v>4832164</v>
      </c>
      <c r="AR3194" s="17">
        <v>241526</v>
      </c>
      <c r="AS3194" s="17">
        <v>142985</v>
      </c>
      <c r="AT3194" s="17">
        <v>5130953.25</v>
      </c>
      <c r="AU3194" s="17">
        <v>798.85</v>
      </c>
      <c r="AV3194" s="17">
        <v>167.75</v>
      </c>
      <c r="AW3194" s="10" t="s">
        <v>105</v>
      </c>
      <c r="AX3194" s="17">
        <v>66245</v>
      </c>
      <c r="AY3194" s="18">
        <v>35.884556072315277</v>
      </c>
      <c r="AZ3194" s="10"/>
      <c r="BA3194" s="20" t="b">
        <v>0</v>
      </c>
      <c r="BB3194" s="10"/>
      <c r="BC3194" s="17">
        <v>241526</v>
      </c>
      <c r="BD3194" s="17">
        <v>142985</v>
      </c>
      <c r="BE3194" s="17">
        <v>5130953.25</v>
      </c>
      <c r="BF3194" s="17">
        <v>167.75</v>
      </c>
      <c r="BG3194" s="11">
        <f ca="1">IFERROR(__xludf.DUMMYFUNCTION("""COMPUTED_VALUE"""),46031.6458333333)</f>
        <v>46031.645833333299</v>
      </c>
      <c r="BH3194" s="17" t="s">
        <v>105</v>
      </c>
      <c r="BI3194" s="17"/>
      <c r="BJ3194" s="15"/>
      <c r="BK3194" s="15"/>
      <c r="BL3194" s="13" t="b">
        <v>0</v>
      </c>
      <c r="BM3194" s="10"/>
      <c r="BN3194" s="10" t="s">
        <v>149</v>
      </c>
      <c r="BO3194" s="11">
        <v>46010.148611111108</v>
      </c>
      <c r="BP3194" s="11">
        <v>46025.482349537036</v>
      </c>
      <c r="BQ3194" s="15">
        <v>46029.408252314817</v>
      </c>
      <c r="BR3194" s="15">
        <v>46028.613391203704</v>
      </c>
      <c r="BS3194" s="10" t="s">
        <v>149</v>
      </c>
      <c r="BT3194" s="10" t="s">
        <v>99</v>
      </c>
      <c r="BU3194" s="10" t="s">
        <v>280</v>
      </c>
      <c r="BV3194" s="10"/>
      <c r="BW3194" s="10"/>
      <c r="BX3194" s="10"/>
      <c r="BY3194" s="23"/>
      <c r="BZ3194" s="23"/>
      <c r="CA3194" s="19" t="s">
        <v>23292</v>
      </c>
      <c r="CB3194" s="19" t="s">
        <v>23293</v>
      </c>
      <c r="CC3194" s="23"/>
      <c r="CD3194" s="19" t="s">
        <v>23294</v>
      </c>
      <c r="CE3194" s="23"/>
      <c r="CF3194" s="23"/>
      <c r="CG3194" s="23"/>
      <c r="CH3194" s="23"/>
      <c r="CI3194" s="23"/>
    </row>
    <row r="3195" spans="1:87" x14ac:dyDescent="0.3">
      <c r="A3195" s="9" t="s">
        <v>23295</v>
      </c>
      <c r="B3195" s="10" t="s">
        <v>23296</v>
      </c>
      <c r="C3195" s="11">
        <v>46031.791666666664</v>
      </c>
      <c r="D3195" s="12">
        <v>8.3333333333333329E-2</v>
      </c>
      <c r="E3195" s="11">
        <v>46031.875</v>
      </c>
      <c r="F3195" s="22" t="s">
        <v>3511</v>
      </c>
      <c r="G3195" s="13" t="b">
        <v>0</v>
      </c>
      <c r="H3195" s="22" t="s">
        <v>123</v>
      </c>
      <c r="I3195" s="10" t="s">
        <v>3548</v>
      </c>
      <c r="J3195" s="13" t="b">
        <v>0</v>
      </c>
      <c r="K3195" s="13" t="b">
        <v>1</v>
      </c>
      <c r="L3195" s="10" t="s">
        <v>124</v>
      </c>
      <c r="M3195" s="10" t="s">
        <v>91</v>
      </c>
      <c r="N3195" s="10" t="s">
        <v>3513</v>
      </c>
      <c r="O3195" s="19" t="s">
        <v>23297</v>
      </c>
      <c r="P3195" s="10"/>
      <c r="Q3195" s="10" t="s">
        <v>126</v>
      </c>
      <c r="R3195" s="10"/>
      <c r="S3195" s="19" t="s">
        <v>23298</v>
      </c>
      <c r="T3195" s="10"/>
      <c r="U3195" s="10" t="s">
        <v>3535</v>
      </c>
      <c r="V3195" s="10" t="s">
        <v>3661</v>
      </c>
      <c r="W3195" s="10" t="s">
        <v>3519</v>
      </c>
      <c r="X3195" s="10" t="s">
        <v>130</v>
      </c>
      <c r="Y3195" s="10" t="s">
        <v>130</v>
      </c>
      <c r="Z3195" s="10" t="s">
        <v>99</v>
      </c>
      <c r="AA3195" s="10" t="s">
        <v>131</v>
      </c>
      <c r="AB3195" s="10" t="s">
        <v>3520</v>
      </c>
      <c r="AC3195" s="10" t="s">
        <v>3521</v>
      </c>
      <c r="AD3195" s="10" t="s">
        <v>23299</v>
      </c>
      <c r="AE3195" s="10" t="s">
        <v>23300</v>
      </c>
      <c r="AF3195" s="15"/>
      <c r="AG3195" s="10"/>
      <c r="AH3195" s="10" t="s">
        <v>3539</v>
      </c>
      <c r="AI3195" s="10" t="s">
        <v>3539</v>
      </c>
      <c r="AJ3195" s="10"/>
      <c r="AK3195" s="10" t="s">
        <v>102</v>
      </c>
      <c r="AL3195" s="10" t="s">
        <v>1988</v>
      </c>
      <c r="AM3195" s="10"/>
      <c r="AN3195" s="10"/>
      <c r="AO3195" s="13" t="b">
        <v>0</v>
      </c>
      <c r="AP3195" s="22" t="s">
        <v>104</v>
      </c>
      <c r="AQ3195" s="10">
        <f ca="1">IFERROR(__xludf.DUMMYFUNCTION("""COMPUTED_VALUE"""),4832166)</f>
        <v>4832166</v>
      </c>
      <c r="AR3195" s="17">
        <v>289640</v>
      </c>
      <c r="AS3195" s="17">
        <v>190297</v>
      </c>
      <c r="AT3195" s="17">
        <v>5626676.5</v>
      </c>
      <c r="AU3195" s="17">
        <v>2058.4</v>
      </c>
      <c r="AV3195" s="17">
        <v>481.7</v>
      </c>
      <c r="AW3195" s="10" t="s">
        <v>105</v>
      </c>
      <c r="AX3195" s="17">
        <v>55043</v>
      </c>
      <c r="AY3195" s="18">
        <v>29.567867596441353</v>
      </c>
      <c r="AZ3195" s="10"/>
      <c r="BA3195" s="20" t="b">
        <v>0</v>
      </c>
      <c r="BB3195" s="10"/>
      <c r="BC3195" s="17">
        <v>289640</v>
      </c>
      <c r="BD3195" s="17">
        <v>190297</v>
      </c>
      <c r="BE3195" s="17">
        <v>5626676.5</v>
      </c>
      <c r="BF3195" s="17">
        <v>481.7</v>
      </c>
      <c r="BG3195" s="11">
        <f ca="1">IFERROR(__xludf.DUMMYFUNCTION("""COMPUTED_VALUE"""),46031.7916666666)</f>
        <v>46031.791666666599</v>
      </c>
      <c r="BH3195" s="17" t="s">
        <v>105</v>
      </c>
      <c r="BI3195" s="17"/>
      <c r="BJ3195" s="15"/>
      <c r="BK3195" s="15"/>
      <c r="BL3195" s="13" t="b">
        <v>0</v>
      </c>
      <c r="BM3195" s="10"/>
      <c r="BN3195" s="10" t="s">
        <v>149</v>
      </c>
      <c r="BO3195" s="11">
        <v>46010.148611111108</v>
      </c>
      <c r="BP3195" s="11">
        <v>46025.485879629632</v>
      </c>
      <c r="BQ3195" s="15">
        <v>46029.40766203704</v>
      </c>
      <c r="BR3195" s="15">
        <v>46028.613541666666</v>
      </c>
      <c r="BS3195" s="10" t="s">
        <v>149</v>
      </c>
      <c r="BT3195" s="10" t="s">
        <v>99</v>
      </c>
      <c r="BU3195" s="10" t="s">
        <v>280</v>
      </c>
      <c r="BV3195" s="10"/>
      <c r="BW3195" s="10"/>
      <c r="BX3195" s="10"/>
      <c r="BY3195" s="23"/>
      <c r="BZ3195" s="23"/>
      <c r="CA3195" s="19" t="s">
        <v>23301</v>
      </c>
      <c r="CB3195" s="19" t="s">
        <v>23302</v>
      </c>
      <c r="CC3195" s="23"/>
      <c r="CD3195" s="19" t="s">
        <v>23303</v>
      </c>
      <c r="CE3195" s="23"/>
      <c r="CF3195" s="23"/>
      <c r="CG3195" s="23"/>
      <c r="CH3195" s="23"/>
      <c r="CI3195" s="23"/>
    </row>
    <row r="3196" spans="1:87" x14ac:dyDescent="0.3">
      <c r="A3196" s="9" t="s">
        <v>23304</v>
      </c>
      <c r="B3196" s="10" t="s">
        <v>23305</v>
      </c>
      <c r="C3196" s="11">
        <v>46032.645833333336</v>
      </c>
      <c r="D3196" s="12">
        <v>8.3333333333333329E-2</v>
      </c>
      <c r="E3196" s="11">
        <v>46032.729166666664</v>
      </c>
      <c r="F3196" s="22" t="s">
        <v>3511</v>
      </c>
      <c r="G3196" s="13" t="b">
        <v>0</v>
      </c>
      <c r="H3196" s="22" t="s">
        <v>123</v>
      </c>
      <c r="I3196" s="10" t="s">
        <v>3548</v>
      </c>
      <c r="J3196" s="13" t="b">
        <v>0</v>
      </c>
      <c r="K3196" s="13" t="b">
        <v>1</v>
      </c>
      <c r="L3196" s="10" t="s">
        <v>124</v>
      </c>
      <c r="M3196" s="10" t="s">
        <v>91</v>
      </c>
      <c r="N3196" s="10" t="s">
        <v>3513</v>
      </c>
      <c r="O3196" s="19" t="s">
        <v>23306</v>
      </c>
      <c r="P3196" s="10"/>
      <c r="Q3196" s="10" t="s">
        <v>126</v>
      </c>
      <c r="R3196" s="10"/>
      <c r="S3196" s="19" t="s">
        <v>23307</v>
      </c>
      <c r="T3196" s="10"/>
      <c r="U3196" s="10" t="s">
        <v>3551</v>
      </c>
      <c r="V3196" s="10" t="s">
        <v>3623</v>
      </c>
      <c r="W3196" s="10" t="s">
        <v>3519</v>
      </c>
      <c r="X3196" s="10" t="s">
        <v>130</v>
      </c>
      <c r="Y3196" s="10" t="s">
        <v>130</v>
      </c>
      <c r="Z3196" s="10" t="s">
        <v>99</v>
      </c>
      <c r="AA3196" s="10" t="s">
        <v>131</v>
      </c>
      <c r="AB3196" s="10" t="s">
        <v>3520</v>
      </c>
      <c r="AC3196" s="10" t="s">
        <v>3521</v>
      </c>
      <c r="AD3196" s="10" t="s">
        <v>23308</v>
      </c>
      <c r="AE3196" s="10" t="s">
        <v>23309</v>
      </c>
      <c r="AF3196" s="15"/>
      <c r="AG3196" s="10" t="s">
        <v>3524</v>
      </c>
      <c r="AH3196" s="10" t="s">
        <v>3539</v>
      </c>
      <c r="AI3196" s="10" t="s">
        <v>3539</v>
      </c>
      <c r="AJ3196" s="10"/>
      <c r="AK3196" s="10" t="s">
        <v>102</v>
      </c>
      <c r="AL3196" s="10" t="s">
        <v>1988</v>
      </c>
      <c r="AM3196" s="10"/>
      <c r="AN3196" s="10"/>
      <c r="AO3196" s="13" t="b">
        <v>1</v>
      </c>
      <c r="AP3196" s="22" t="s">
        <v>104</v>
      </c>
      <c r="AQ3196" s="10">
        <f ca="1">IFERROR(__xludf.DUMMYFUNCTION("""COMPUTED_VALUE"""),4832276)</f>
        <v>4832276</v>
      </c>
      <c r="AR3196" s="17">
        <v>317046</v>
      </c>
      <c r="AS3196" s="17">
        <v>154741</v>
      </c>
      <c r="AT3196" s="17">
        <v>6685971.75</v>
      </c>
      <c r="AU3196" s="17">
        <v>3438.05</v>
      </c>
      <c r="AV3196" s="17">
        <v>1225.7</v>
      </c>
      <c r="AW3196" s="10" t="s">
        <v>297</v>
      </c>
      <c r="AX3196" s="17">
        <v>88481</v>
      </c>
      <c r="AY3196" s="18">
        <v>43.207499951531915</v>
      </c>
      <c r="AZ3196" s="10"/>
      <c r="BA3196" s="20" t="b">
        <v>0</v>
      </c>
      <c r="BB3196" s="10"/>
      <c r="BC3196" s="17">
        <v>317046</v>
      </c>
      <c r="BD3196" s="17">
        <v>154741</v>
      </c>
      <c r="BE3196" s="17">
        <v>6685971.75</v>
      </c>
      <c r="BF3196" s="17">
        <v>1225.7</v>
      </c>
      <c r="BG3196" s="11">
        <f ca="1">IFERROR(__xludf.DUMMYFUNCTION("""COMPUTED_VALUE"""),46032.6458333333)</f>
        <v>46032.645833333299</v>
      </c>
      <c r="BH3196" s="17" t="s">
        <v>297</v>
      </c>
      <c r="BI3196" s="17"/>
      <c r="BJ3196" s="15"/>
      <c r="BK3196" s="15"/>
      <c r="BL3196" s="13" t="b">
        <v>0</v>
      </c>
      <c r="BM3196" s="10"/>
      <c r="BN3196" s="10" t="s">
        <v>149</v>
      </c>
      <c r="BO3196" s="11">
        <v>46010.148611111108</v>
      </c>
      <c r="BP3196" s="11">
        <v>46025.486932870372</v>
      </c>
      <c r="BQ3196" s="15">
        <v>46029.408946759257</v>
      </c>
      <c r="BR3196" s="15">
        <v>46029.453310185185</v>
      </c>
      <c r="BS3196" s="10" t="s">
        <v>149</v>
      </c>
      <c r="BT3196" s="10" t="s">
        <v>99</v>
      </c>
      <c r="BU3196" s="10" t="s">
        <v>1888</v>
      </c>
      <c r="BV3196" s="10" t="s">
        <v>124</v>
      </c>
      <c r="BW3196" s="10"/>
      <c r="BX3196" s="10"/>
      <c r="BY3196" s="23"/>
      <c r="BZ3196" s="23"/>
      <c r="CA3196" s="19" t="s">
        <v>23310</v>
      </c>
      <c r="CB3196" s="19" t="s">
        <v>23311</v>
      </c>
      <c r="CC3196" s="23"/>
      <c r="CD3196" s="19" t="s">
        <v>23312</v>
      </c>
      <c r="CE3196" s="23"/>
      <c r="CF3196" s="23"/>
      <c r="CG3196" s="23"/>
      <c r="CH3196" s="23"/>
      <c r="CI3196" s="23"/>
    </row>
    <row r="3197" spans="1:87" x14ac:dyDescent="0.3">
      <c r="A3197" s="9" t="s">
        <v>23313</v>
      </c>
      <c r="B3197" s="10" t="s">
        <v>23314</v>
      </c>
      <c r="C3197" s="11">
        <v>46032.791666666664</v>
      </c>
      <c r="D3197" s="12">
        <v>8.3333333333333329E-2</v>
      </c>
      <c r="E3197" s="11">
        <v>46032.875</v>
      </c>
      <c r="F3197" s="22" t="s">
        <v>3511</v>
      </c>
      <c r="G3197" s="13" t="b">
        <v>0</v>
      </c>
      <c r="H3197" s="22" t="s">
        <v>3512</v>
      </c>
      <c r="I3197" s="10" t="s">
        <v>212</v>
      </c>
      <c r="J3197" s="13" t="b">
        <v>1</v>
      </c>
      <c r="K3197" s="13" t="b">
        <v>0</v>
      </c>
      <c r="L3197" s="10" t="s">
        <v>124</v>
      </c>
      <c r="M3197" s="10" t="s">
        <v>91</v>
      </c>
      <c r="N3197" s="10" t="s">
        <v>3513</v>
      </c>
      <c r="O3197" s="19" t="s">
        <v>23315</v>
      </c>
      <c r="P3197" s="10"/>
      <c r="Q3197" s="10" t="s">
        <v>126</v>
      </c>
      <c r="R3197" s="10"/>
      <c r="S3197" s="19" t="s">
        <v>23316</v>
      </c>
      <c r="T3197" s="19" t="s">
        <v>23317</v>
      </c>
      <c r="U3197" s="10" t="s">
        <v>3635</v>
      </c>
      <c r="V3197" s="10" t="s">
        <v>3552</v>
      </c>
      <c r="W3197" s="10" t="s">
        <v>3519</v>
      </c>
      <c r="X3197" s="10" t="s">
        <v>130</v>
      </c>
      <c r="Y3197" s="10" t="s">
        <v>130</v>
      </c>
      <c r="Z3197" s="10" t="s">
        <v>99</v>
      </c>
      <c r="AA3197" s="10" t="s">
        <v>131</v>
      </c>
      <c r="AB3197" s="10" t="s">
        <v>3520</v>
      </c>
      <c r="AC3197" s="10" t="s">
        <v>3521</v>
      </c>
      <c r="AD3197" s="10" t="s">
        <v>23318</v>
      </c>
      <c r="AE3197" s="10" t="s">
        <v>23319</v>
      </c>
      <c r="AF3197" s="15"/>
      <c r="AG3197" s="10" t="s">
        <v>3524</v>
      </c>
      <c r="AH3197" s="10" t="s">
        <v>3539</v>
      </c>
      <c r="AI3197" s="10" t="s">
        <v>3539</v>
      </c>
      <c r="AJ3197" s="10"/>
      <c r="AK3197" s="10" t="s">
        <v>102</v>
      </c>
      <c r="AL3197" s="10" t="s">
        <v>1988</v>
      </c>
      <c r="AM3197" s="10"/>
      <c r="AN3197" s="10"/>
      <c r="AO3197" s="13" t="b">
        <v>0</v>
      </c>
      <c r="AP3197" s="22" t="s">
        <v>104</v>
      </c>
      <c r="AQ3197" s="10">
        <f ca="1">IFERROR(__xludf.DUMMYFUNCTION("""COMPUTED_VALUE"""),4832288)</f>
        <v>4832288</v>
      </c>
      <c r="AR3197" s="17">
        <v>197147</v>
      </c>
      <c r="AS3197" s="17">
        <v>117712</v>
      </c>
      <c r="AT3197" s="17">
        <v>3516519.5</v>
      </c>
      <c r="AU3197" s="17">
        <v>929.75</v>
      </c>
      <c r="AV3197" s="17">
        <v>292</v>
      </c>
      <c r="AW3197" s="10" t="s">
        <v>105</v>
      </c>
      <c r="AX3197" s="17">
        <v>41266</v>
      </c>
      <c r="AY3197" s="18">
        <v>29.873925343210548</v>
      </c>
      <c r="AZ3197" s="10"/>
      <c r="BA3197" s="20" t="b">
        <v>0</v>
      </c>
      <c r="BB3197" s="10"/>
      <c r="BC3197" s="17">
        <v>197147</v>
      </c>
      <c r="BD3197" s="17">
        <v>117712</v>
      </c>
      <c r="BE3197" s="17">
        <v>3516519.5</v>
      </c>
      <c r="BF3197" s="17">
        <v>292</v>
      </c>
      <c r="BG3197" s="11">
        <f ca="1">IFERROR(__xludf.DUMMYFUNCTION("""COMPUTED_VALUE"""),46032.7916666666)</f>
        <v>46032.791666666599</v>
      </c>
      <c r="BH3197" s="17" t="s">
        <v>105</v>
      </c>
      <c r="BI3197" s="17"/>
      <c r="BJ3197" s="15"/>
      <c r="BK3197" s="15"/>
      <c r="BL3197" s="13" t="b">
        <v>1</v>
      </c>
      <c r="BM3197" s="10"/>
      <c r="BN3197" s="10" t="s">
        <v>149</v>
      </c>
      <c r="BO3197" s="11">
        <v>46010.148611111108</v>
      </c>
      <c r="BP3197" s="11">
        <v>46025.490810185183</v>
      </c>
      <c r="BQ3197" s="15">
        <v>46029.40960648148</v>
      </c>
      <c r="BR3197" s="15">
        <v>46029.455000000002</v>
      </c>
      <c r="BS3197" s="10" t="s">
        <v>149</v>
      </c>
      <c r="BT3197" s="10" t="s">
        <v>279</v>
      </c>
      <c r="BU3197" s="10" t="s">
        <v>498</v>
      </c>
      <c r="BV3197" s="10"/>
      <c r="BW3197" s="10"/>
      <c r="BX3197" s="10"/>
      <c r="BY3197" s="23"/>
      <c r="BZ3197" s="23"/>
      <c r="CA3197" s="19" t="s">
        <v>23320</v>
      </c>
      <c r="CB3197" s="19" t="s">
        <v>23321</v>
      </c>
      <c r="CC3197" s="23"/>
      <c r="CD3197" s="19" t="s">
        <v>23322</v>
      </c>
      <c r="CE3197" s="23"/>
      <c r="CF3197" s="23"/>
      <c r="CG3197" s="23"/>
      <c r="CH3197" s="23"/>
      <c r="CI3197" s="23"/>
    </row>
    <row r="3198" spans="1:87" x14ac:dyDescent="0.3">
      <c r="A3198" s="9" t="s">
        <v>23323</v>
      </c>
      <c r="B3198" s="10" t="s">
        <v>23324</v>
      </c>
      <c r="C3198" s="11">
        <v>46033.645833333336</v>
      </c>
      <c r="D3198" s="12">
        <v>8.3333333333333329E-2</v>
      </c>
      <c r="E3198" s="11">
        <v>46033.729166666664</v>
      </c>
      <c r="F3198" s="22" t="s">
        <v>3511</v>
      </c>
      <c r="G3198" s="13" t="b">
        <v>0</v>
      </c>
      <c r="H3198" s="22" t="s">
        <v>123</v>
      </c>
      <c r="I3198" s="10" t="s">
        <v>3548</v>
      </c>
      <c r="J3198" s="13" t="b">
        <v>0</v>
      </c>
      <c r="K3198" s="13" t="b">
        <v>1</v>
      </c>
      <c r="L3198" s="10" t="s">
        <v>124</v>
      </c>
      <c r="M3198" s="10" t="s">
        <v>91</v>
      </c>
      <c r="N3198" s="10" t="s">
        <v>3513</v>
      </c>
      <c r="O3198" s="19" t="s">
        <v>23325</v>
      </c>
      <c r="P3198" s="10"/>
      <c r="Q3198" s="10" t="s">
        <v>20191</v>
      </c>
      <c r="R3198" s="10"/>
      <c r="S3198" s="19" t="s">
        <v>23326</v>
      </c>
      <c r="T3198" s="10"/>
      <c r="U3198" s="10" t="s">
        <v>3609</v>
      </c>
      <c r="V3198" s="10" t="s">
        <v>3647</v>
      </c>
      <c r="W3198" s="10" t="s">
        <v>3519</v>
      </c>
      <c r="X3198" s="10" t="s">
        <v>130</v>
      </c>
      <c r="Y3198" s="10" t="s">
        <v>130</v>
      </c>
      <c r="Z3198" s="10" t="s">
        <v>99</v>
      </c>
      <c r="AA3198" s="10" t="s">
        <v>131</v>
      </c>
      <c r="AB3198" s="10" t="s">
        <v>3520</v>
      </c>
      <c r="AC3198" s="10" t="s">
        <v>3521</v>
      </c>
      <c r="AD3198" s="10" t="s">
        <v>23327</v>
      </c>
      <c r="AE3198" s="10" t="s">
        <v>23328</v>
      </c>
      <c r="AF3198" s="15"/>
      <c r="AG3198" s="10" t="s">
        <v>3524</v>
      </c>
      <c r="AH3198" s="10" t="s">
        <v>3539</v>
      </c>
      <c r="AI3198" s="10" t="s">
        <v>3539</v>
      </c>
      <c r="AJ3198" s="10"/>
      <c r="AK3198" s="10" t="s">
        <v>102</v>
      </c>
      <c r="AL3198" s="10" t="s">
        <v>1988</v>
      </c>
      <c r="AM3198" s="10"/>
      <c r="AN3198" s="10"/>
      <c r="AO3198" s="13" t="b">
        <v>1</v>
      </c>
      <c r="AP3198" s="22" t="s">
        <v>104</v>
      </c>
      <c r="AQ3198" s="10">
        <f ca="1">IFERROR(__xludf.DUMMYFUNCTION("""COMPUTED_VALUE"""),4832519)</f>
        <v>4832519</v>
      </c>
      <c r="AR3198" s="17"/>
      <c r="AS3198" s="17"/>
      <c r="AT3198" s="17"/>
      <c r="AU3198" s="17"/>
      <c r="AV3198" s="17"/>
      <c r="AW3198" s="10"/>
      <c r="AX3198" s="17"/>
      <c r="AY3198" s="18" t="s">
        <v>257</v>
      </c>
      <c r="AZ3198" s="10"/>
      <c r="BA3198" s="20" t="b">
        <v>0</v>
      </c>
      <c r="BB3198" s="10"/>
      <c r="BC3198" s="17" t="s">
        <v>257</v>
      </c>
      <c r="BD3198" s="17" t="s">
        <v>257</v>
      </c>
      <c r="BE3198" s="17" t="s">
        <v>257</v>
      </c>
      <c r="BF3198" s="17" t="s">
        <v>257</v>
      </c>
      <c r="BG3198" s="11">
        <f ca="1">IFERROR(__xludf.DUMMYFUNCTION("""COMPUTED_VALUE"""),46033.6458333333)</f>
        <v>46033.645833333299</v>
      </c>
      <c r="BH3198" s="17"/>
      <c r="BI3198" s="17"/>
      <c r="BJ3198" s="15"/>
      <c r="BK3198" s="15"/>
      <c r="BL3198" s="13" t="b">
        <v>0</v>
      </c>
      <c r="BM3198" s="10"/>
      <c r="BN3198" s="10" t="s">
        <v>634</v>
      </c>
      <c r="BO3198" s="11">
        <v>46010.148611111108</v>
      </c>
      <c r="BP3198" s="11">
        <v>46028.564930555556</v>
      </c>
      <c r="BQ3198" s="15">
        <v>46029.429710648146</v>
      </c>
      <c r="BR3198" s="15">
        <v>46030.38082175926</v>
      </c>
      <c r="BS3198" s="10" t="s">
        <v>634</v>
      </c>
      <c r="BT3198" s="10" t="s">
        <v>279</v>
      </c>
      <c r="BU3198" s="10" t="s">
        <v>421</v>
      </c>
      <c r="BV3198" s="10" t="s">
        <v>499</v>
      </c>
      <c r="BW3198" s="10" t="s">
        <v>2532</v>
      </c>
      <c r="BX3198" s="10"/>
      <c r="BY3198" s="23"/>
      <c r="BZ3198" s="23"/>
      <c r="CA3198" s="19" t="s">
        <v>23329</v>
      </c>
      <c r="CB3198" s="19" t="s">
        <v>23330</v>
      </c>
      <c r="CC3198" s="23"/>
      <c r="CD3198" s="19" t="s">
        <v>23331</v>
      </c>
      <c r="CE3198" s="23"/>
      <c r="CF3198" s="23"/>
      <c r="CG3198" s="23"/>
      <c r="CH3198" s="23"/>
      <c r="CI3198" s="23"/>
    </row>
    <row r="3199" spans="1:87" x14ac:dyDescent="0.3">
      <c r="A3199" s="9" t="s">
        <v>23332</v>
      </c>
      <c r="B3199" s="10" t="s">
        <v>23333</v>
      </c>
      <c r="C3199" s="11">
        <v>46033.645833333336</v>
      </c>
      <c r="D3199" s="12">
        <v>8.3333333333333329E-2</v>
      </c>
      <c r="E3199" s="11">
        <v>46033.729166666664</v>
      </c>
      <c r="F3199" s="22" t="s">
        <v>3511</v>
      </c>
      <c r="G3199" s="13" t="b">
        <v>0</v>
      </c>
      <c r="H3199" s="22" t="s">
        <v>3512</v>
      </c>
      <c r="I3199" s="10" t="s">
        <v>3548</v>
      </c>
      <c r="J3199" s="13" t="b">
        <v>0</v>
      </c>
      <c r="K3199" s="13" t="b">
        <v>1</v>
      </c>
      <c r="L3199" s="10" t="s">
        <v>124</v>
      </c>
      <c r="M3199" s="10" t="s">
        <v>91</v>
      </c>
      <c r="N3199" s="10" t="s">
        <v>3513</v>
      </c>
      <c r="O3199" s="19" t="s">
        <v>23334</v>
      </c>
      <c r="P3199" s="10"/>
      <c r="Q3199" s="10" t="s">
        <v>126</v>
      </c>
      <c r="R3199" s="10"/>
      <c r="S3199" s="19" t="s">
        <v>23335</v>
      </c>
      <c r="T3199" s="19" t="s">
        <v>23336</v>
      </c>
      <c r="U3199" s="10" t="s">
        <v>3676</v>
      </c>
      <c r="V3199" s="10" t="s">
        <v>3662</v>
      </c>
      <c r="W3199" s="10" t="s">
        <v>3519</v>
      </c>
      <c r="X3199" s="10" t="s">
        <v>130</v>
      </c>
      <c r="Y3199" s="10" t="s">
        <v>130</v>
      </c>
      <c r="Z3199" s="10" t="s">
        <v>99</v>
      </c>
      <c r="AA3199" s="10" t="s">
        <v>131</v>
      </c>
      <c r="AB3199" s="10" t="s">
        <v>3520</v>
      </c>
      <c r="AC3199" s="10" t="s">
        <v>3521</v>
      </c>
      <c r="AD3199" s="10" t="s">
        <v>23337</v>
      </c>
      <c r="AE3199" s="10" t="s">
        <v>23338</v>
      </c>
      <c r="AF3199" s="15"/>
      <c r="AG3199" s="10" t="s">
        <v>3524</v>
      </c>
      <c r="AH3199" s="10" t="s">
        <v>3539</v>
      </c>
      <c r="AI3199" s="10" t="s">
        <v>3539</v>
      </c>
      <c r="AJ3199" s="10"/>
      <c r="AK3199" s="10" t="s">
        <v>102</v>
      </c>
      <c r="AL3199" s="10" t="s">
        <v>1988</v>
      </c>
      <c r="AM3199" s="10"/>
      <c r="AN3199" s="10"/>
      <c r="AO3199" s="13" t="b">
        <v>0</v>
      </c>
      <c r="AP3199" s="22" t="s">
        <v>104</v>
      </c>
      <c r="AQ3199" s="10">
        <f ca="1">IFERROR(__xludf.DUMMYFUNCTION("""COMPUTED_VALUE"""),4832536)</f>
        <v>4832536</v>
      </c>
      <c r="AR3199" s="17"/>
      <c r="AS3199" s="17"/>
      <c r="AT3199" s="17"/>
      <c r="AU3199" s="17"/>
      <c r="AV3199" s="17"/>
      <c r="AW3199" s="10"/>
      <c r="AX3199" s="17"/>
      <c r="AY3199" s="18" t="s">
        <v>257</v>
      </c>
      <c r="AZ3199" s="10"/>
      <c r="BA3199" s="20" t="b">
        <v>0</v>
      </c>
      <c r="BB3199" s="10"/>
      <c r="BC3199" s="17" t="s">
        <v>257</v>
      </c>
      <c r="BD3199" s="17" t="s">
        <v>257</v>
      </c>
      <c r="BE3199" s="17" t="s">
        <v>257</v>
      </c>
      <c r="BF3199" s="17" t="s">
        <v>257</v>
      </c>
      <c r="BG3199" s="11">
        <f ca="1">IFERROR(__xludf.DUMMYFUNCTION("""COMPUTED_VALUE"""),46033.6458333333)</f>
        <v>46033.645833333299</v>
      </c>
      <c r="BH3199" s="17"/>
      <c r="BI3199" s="17"/>
      <c r="BJ3199" s="15"/>
      <c r="BK3199" s="15"/>
      <c r="BL3199" s="13" t="b">
        <v>1</v>
      </c>
      <c r="BM3199" s="10"/>
      <c r="BN3199" s="10" t="s">
        <v>634</v>
      </c>
      <c r="BO3199" s="11">
        <v>46010.148611111108</v>
      </c>
      <c r="BP3199" s="11">
        <v>46025.510752314818</v>
      </c>
      <c r="BQ3199" s="15">
        <v>46029.414849537039</v>
      </c>
      <c r="BR3199" s="15">
        <v>46030.431273148148</v>
      </c>
      <c r="BS3199" s="10" t="s">
        <v>634</v>
      </c>
      <c r="BT3199" s="10" t="s">
        <v>279</v>
      </c>
      <c r="BU3199" s="10" t="s">
        <v>793</v>
      </c>
      <c r="BV3199" s="10"/>
      <c r="BW3199" s="10"/>
      <c r="BX3199" s="10"/>
      <c r="BY3199" s="23"/>
      <c r="BZ3199" s="23"/>
      <c r="CA3199" s="19" t="s">
        <v>23339</v>
      </c>
      <c r="CB3199" s="19" t="s">
        <v>23340</v>
      </c>
      <c r="CC3199" s="23"/>
      <c r="CD3199" s="19" t="s">
        <v>23341</v>
      </c>
      <c r="CE3199" s="23"/>
      <c r="CF3199" s="23"/>
      <c r="CG3199" s="23"/>
      <c r="CH3199" s="23"/>
      <c r="CI3199" s="23"/>
    </row>
    <row r="3200" spans="1:87" x14ac:dyDescent="0.3">
      <c r="A3200" s="9" t="s">
        <v>23342</v>
      </c>
      <c r="B3200" s="10" t="s">
        <v>23343</v>
      </c>
      <c r="C3200" s="11">
        <v>46033.645833333336</v>
      </c>
      <c r="D3200" s="12">
        <v>8.3333333333333329E-2</v>
      </c>
      <c r="E3200" s="11">
        <v>46033.729166666664</v>
      </c>
      <c r="F3200" s="22" t="s">
        <v>3511</v>
      </c>
      <c r="G3200" s="13" t="b">
        <v>0</v>
      </c>
      <c r="H3200" s="22" t="s">
        <v>3512</v>
      </c>
      <c r="I3200" s="10" t="s">
        <v>212</v>
      </c>
      <c r="J3200" s="13" t="b">
        <v>1</v>
      </c>
      <c r="K3200" s="13" t="b">
        <v>0</v>
      </c>
      <c r="L3200" s="10" t="s">
        <v>124</v>
      </c>
      <c r="M3200" s="10" t="s">
        <v>91</v>
      </c>
      <c r="N3200" s="10" t="s">
        <v>3513</v>
      </c>
      <c r="O3200" s="19" t="s">
        <v>23344</v>
      </c>
      <c r="P3200" s="10"/>
      <c r="Q3200" s="10" t="s">
        <v>126</v>
      </c>
      <c r="R3200" s="10"/>
      <c r="S3200" s="19" t="s">
        <v>23345</v>
      </c>
      <c r="T3200" s="19" t="s">
        <v>23346</v>
      </c>
      <c r="U3200" s="10" t="s">
        <v>3610</v>
      </c>
      <c r="V3200" s="10" t="s">
        <v>3636</v>
      </c>
      <c r="W3200" s="10" t="s">
        <v>3519</v>
      </c>
      <c r="X3200" s="10" t="s">
        <v>130</v>
      </c>
      <c r="Y3200" s="10" t="s">
        <v>130</v>
      </c>
      <c r="Z3200" s="10" t="s">
        <v>99</v>
      </c>
      <c r="AA3200" s="10" t="s">
        <v>131</v>
      </c>
      <c r="AB3200" s="10" t="s">
        <v>3520</v>
      </c>
      <c r="AC3200" s="10" t="s">
        <v>3521</v>
      </c>
      <c r="AD3200" s="10" t="s">
        <v>23347</v>
      </c>
      <c r="AE3200" s="10" t="s">
        <v>23348</v>
      </c>
      <c r="AF3200" s="15"/>
      <c r="AG3200" s="10" t="s">
        <v>3524</v>
      </c>
      <c r="AH3200" s="10" t="s">
        <v>3539</v>
      </c>
      <c r="AI3200" s="10" t="s">
        <v>3539</v>
      </c>
      <c r="AJ3200" s="10"/>
      <c r="AK3200" s="10" t="s">
        <v>102</v>
      </c>
      <c r="AL3200" s="10" t="s">
        <v>1988</v>
      </c>
      <c r="AM3200" s="10"/>
      <c r="AN3200" s="10"/>
      <c r="AO3200" s="13" t="b">
        <v>0</v>
      </c>
      <c r="AP3200" s="22" t="s">
        <v>104</v>
      </c>
      <c r="AQ3200" s="10">
        <f ca="1">IFERROR(__xludf.DUMMYFUNCTION("""COMPUTED_VALUE"""),4832537)</f>
        <v>4832537</v>
      </c>
      <c r="AR3200" s="17"/>
      <c r="AS3200" s="17"/>
      <c r="AT3200" s="17"/>
      <c r="AU3200" s="17"/>
      <c r="AV3200" s="17"/>
      <c r="AW3200" s="10"/>
      <c r="AX3200" s="17"/>
      <c r="AY3200" s="18" t="s">
        <v>257</v>
      </c>
      <c r="AZ3200" s="10"/>
      <c r="BA3200" s="20" t="b">
        <v>0</v>
      </c>
      <c r="BB3200" s="10"/>
      <c r="BC3200" s="17" t="s">
        <v>257</v>
      </c>
      <c r="BD3200" s="17" t="s">
        <v>257</v>
      </c>
      <c r="BE3200" s="17" t="s">
        <v>257</v>
      </c>
      <c r="BF3200" s="17" t="s">
        <v>257</v>
      </c>
      <c r="BG3200" s="11">
        <f ca="1">IFERROR(__xludf.DUMMYFUNCTION("""COMPUTED_VALUE"""),46033.6458333333)</f>
        <v>46033.645833333299</v>
      </c>
      <c r="BH3200" s="17"/>
      <c r="BI3200" s="17"/>
      <c r="BJ3200" s="15"/>
      <c r="BK3200" s="15"/>
      <c r="BL3200" s="13" t="b">
        <v>1</v>
      </c>
      <c r="BM3200" s="10"/>
      <c r="BN3200" s="10" t="s">
        <v>634</v>
      </c>
      <c r="BO3200" s="11">
        <v>46010.148611111108</v>
      </c>
      <c r="BP3200" s="11">
        <v>46025.512789351851</v>
      </c>
      <c r="BQ3200" s="15">
        <v>46029.41002314815</v>
      </c>
      <c r="BR3200" s="15">
        <v>46030.431493055556</v>
      </c>
      <c r="BS3200" s="10" t="s">
        <v>634</v>
      </c>
      <c r="BT3200" s="10" t="s">
        <v>279</v>
      </c>
      <c r="BU3200" s="10" t="s">
        <v>793</v>
      </c>
      <c r="BV3200" s="10"/>
      <c r="BW3200" s="10"/>
      <c r="BX3200" s="10"/>
      <c r="BY3200" s="23"/>
      <c r="BZ3200" s="23"/>
      <c r="CA3200" s="19" t="s">
        <v>23349</v>
      </c>
      <c r="CB3200" s="19" t="s">
        <v>23350</v>
      </c>
      <c r="CC3200" s="23"/>
      <c r="CD3200" s="19" t="s">
        <v>23351</v>
      </c>
      <c r="CE3200" s="23"/>
      <c r="CF3200" s="23"/>
      <c r="CG3200" s="23"/>
      <c r="CH3200" s="23"/>
      <c r="CI3200" s="23"/>
    </row>
    <row r="3201" spans="1:87" x14ac:dyDescent="0.3">
      <c r="A3201" s="9" t="s">
        <v>23352</v>
      </c>
      <c r="B3201" s="10" t="s">
        <v>23353</v>
      </c>
      <c r="C3201" s="11">
        <v>46034.645833333336</v>
      </c>
      <c r="D3201" s="12">
        <v>8.3333333333333329E-2</v>
      </c>
      <c r="E3201" s="11">
        <v>46034.729166666664</v>
      </c>
      <c r="F3201" s="22" t="s">
        <v>3511</v>
      </c>
      <c r="G3201" s="13" t="b">
        <v>0</v>
      </c>
      <c r="H3201" s="22" t="s">
        <v>236</v>
      </c>
      <c r="I3201" s="10" t="s">
        <v>212</v>
      </c>
      <c r="J3201" s="13" t="b">
        <v>1</v>
      </c>
      <c r="K3201" s="13" t="b">
        <v>0</v>
      </c>
      <c r="L3201" s="10" t="s">
        <v>124</v>
      </c>
      <c r="M3201" s="10" t="s">
        <v>91</v>
      </c>
      <c r="N3201" s="10" t="s">
        <v>3513</v>
      </c>
      <c r="O3201" s="10"/>
      <c r="P3201" s="10"/>
      <c r="Q3201" s="10" t="s">
        <v>126</v>
      </c>
      <c r="R3201" s="10"/>
      <c r="S3201" s="19" t="s">
        <v>23354</v>
      </c>
      <c r="T3201" s="19" t="s">
        <v>23355</v>
      </c>
      <c r="U3201" s="10" t="s">
        <v>3677</v>
      </c>
      <c r="V3201" s="10" t="s">
        <v>3518</v>
      </c>
      <c r="W3201" s="10" t="s">
        <v>3519</v>
      </c>
      <c r="X3201" s="10" t="s">
        <v>130</v>
      </c>
      <c r="Y3201" s="10" t="s">
        <v>130</v>
      </c>
      <c r="Z3201" s="10" t="s">
        <v>99</v>
      </c>
      <c r="AA3201" s="10" t="s">
        <v>131</v>
      </c>
      <c r="AB3201" s="10" t="s">
        <v>3520</v>
      </c>
      <c r="AC3201" s="10" t="s">
        <v>3521</v>
      </c>
      <c r="AD3201" s="10" t="s">
        <v>23356</v>
      </c>
      <c r="AE3201" s="10" t="s">
        <v>23357</v>
      </c>
      <c r="AF3201" s="15"/>
      <c r="AG3201" s="10" t="s">
        <v>3524</v>
      </c>
      <c r="AH3201" s="10" t="s">
        <v>3539</v>
      </c>
      <c r="AI3201" s="10" t="s">
        <v>3539</v>
      </c>
      <c r="AJ3201" s="10"/>
      <c r="AK3201" s="10"/>
      <c r="AL3201" s="10" t="s">
        <v>1988</v>
      </c>
      <c r="AM3201" s="10"/>
      <c r="AN3201" s="10"/>
      <c r="AO3201" s="13" t="b">
        <v>0</v>
      </c>
      <c r="AP3201" s="22" t="s">
        <v>104</v>
      </c>
      <c r="AQ3201" s="10"/>
      <c r="AR3201" s="17"/>
      <c r="AS3201" s="17"/>
      <c r="AT3201" s="17"/>
      <c r="AU3201" s="17"/>
      <c r="AV3201" s="17"/>
      <c r="AW3201" s="10"/>
      <c r="AX3201" s="17"/>
      <c r="AY3201" s="18" t="s">
        <v>257</v>
      </c>
      <c r="AZ3201" s="10"/>
      <c r="BA3201" s="20" t="b">
        <v>0</v>
      </c>
      <c r="BB3201" s="10"/>
      <c r="BC3201" s="17" t="s">
        <v>257</v>
      </c>
      <c r="BD3201" s="17" t="s">
        <v>257</v>
      </c>
      <c r="BE3201" s="17" t="s">
        <v>257</v>
      </c>
      <c r="BF3201" s="17" t="s">
        <v>257</v>
      </c>
      <c r="BG3201" s="11">
        <f ca="1">IFERROR(__xludf.DUMMYFUNCTION("""COMPUTED_VALUE"""),46034.6458333333)</f>
        <v>46034.645833333299</v>
      </c>
      <c r="BH3201" s="17"/>
      <c r="BI3201" s="17"/>
      <c r="BJ3201" s="15"/>
      <c r="BK3201" s="15"/>
      <c r="BL3201" s="13" t="b">
        <v>0</v>
      </c>
      <c r="BM3201" s="10"/>
      <c r="BN3201" s="10" t="s">
        <v>23358</v>
      </c>
      <c r="BO3201" s="11">
        <v>46010.148611111108</v>
      </c>
      <c r="BP3201" s="11">
        <v>46025.513749999998</v>
      </c>
      <c r="BQ3201" s="15">
        <v>46029.414363425924</v>
      </c>
      <c r="BR3201" s="15"/>
      <c r="BS3201" s="10"/>
      <c r="BT3201" s="10" t="s">
        <v>99</v>
      </c>
      <c r="BU3201" s="10"/>
      <c r="BV3201" s="10"/>
      <c r="BW3201" s="10"/>
      <c r="BX3201" s="10"/>
      <c r="BY3201" s="23"/>
      <c r="BZ3201" s="23"/>
      <c r="CA3201" s="19" t="s">
        <v>23359</v>
      </c>
      <c r="CB3201" s="19" t="s">
        <v>23360</v>
      </c>
      <c r="CC3201" s="23"/>
      <c r="CD3201" s="19" t="s">
        <v>23361</v>
      </c>
      <c r="CE3201" s="23"/>
      <c r="CF3201" s="23"/>
      <c r="CG3201" s="23"/>
      <c r="CH3201" s="23"/>
      <c r="CI3201" s="23"/>
    </row>
    <row r="3202" spans="1:87" x14ac:dyDescent="0.3">
      <c r="A3202" s="9" t="s">
        <v>23362</v>
      </c>
      <c r="B3202" s="10" t="s">
        <v>23363</v>
      </c>
      <c r="C3202" s="11">
        <v>46034.791666666664</v>
      </c>
      <c r="D3202" s="12">
        <v>8.3333333333333329E-2</v>
      </c>
      <c r="E3202" s="11">
        <v>46034.875</v>
      </c>
      <c r="F3202" s="22" t="s">
        <v>3511</v>
      </c>
      <c r="G3202" s="13" t="b">
        <v>0</v>
      </c>
      <c r="H3202" s="22" t="s">
        <v>123</v>
      </c>
      <c r="I3202" s="10" t="s">
        <v>3548</v>
      </c>
      <c r="J3202" s="13" t="b">
        <v>0</v>
      </c>
      <c r="K3202" s="13" t="b">
        <v>1</v>
      </c>
      <c r="L3202" s="10" t="s">
        <v>124</v>
      </c>
      <c r="M3202" s="10" t="s">
        <v>91</v>
      </c>
      <c r="N3202" s="10" t="s">
        <v>3513</v>
      </c>
      <c r="O3202" s="19" t="s">
        <v>23364</v>
      </c>
      <c r="P3202" s="10"/>
      <c r="Q3202" s="10" t="s">
        <v>126</v>
      </c>
      <c r="R3202" s="10"/>
      <c r="S3202" s="19" t="s">
        <v>23365</v>
      </c>
      <c r="T3202" s="10"/>
      <c r="U3202" s="10" t="s">
        <v>3536</v>
      </c>
      <c r="V3202" s="10" t="s">
        <v>3622</v>
      </c>
      <c r="W3202" s="10" t="s">
        <v>3519</v>
      </c>
      <c r="X3202" s="10" t="s">
        <v>130</v>
      </c>
      <c r="Y3202" s="10" t="s">
        <v>130</v>
      </c>
      <c r="Z3202" s="10" t="s">
        <v>99</v>
      </c>
      <c r="AA3202" s="10" t="s">
        <v>131</v>
      </c>
      <c r="AB3202" s="10" t="s">
        <v>3520</v>
      </c>
      <c r="AC3202" s="10" t="s">
        <v>3521</v>
      </c>
      <c r="AD3202" s="10" t="s">
        <v>23366</v>
      </c>
      <c r="AE3202" s="10" t="s">
        <v>23367</v>
      </c>
      <c r="AF3202" s="15"/>
      <c r="AG3202" s="10" t="s">
        <v>3524</v>
      </c>
      <c r="AH3202" s="10" t="s">
        <v>3539</v>
      </c>
      <c r="AI3202" s="10" t="s">
        <v>3539</v>
      </c>
      <c r="AJ3202" s="10"/>
      <c r="AK3202" s="10" t="s">
        <v>102</v>
      </c>
      <c r="AL3202" s="10" t="s">
        <v>1988</v>
      </c>
      <c r="AM3202" s="10"/>
      <c r="AN3202" s="10"/>
      <c r="AO3202" s="13" t="b">
        <v>0</v>
      </c>
      <c r="AP3202" s="22" t="s">
        <v>104</v>
      </c>
      <c r="AQ3202" s="10">
        <f ca="1">IFERROR(__xludf.DUMMYFUNCTION("""COMPUTED_VALUE"""),4834098)</f>
        <v>4834098</v>
      </c>
      <c r="AR3202" s="17"/>
      <c r="AS3202" s="17"/>
      <c r="AT3202" s="17"/>
      <c r="AU3202" s="17"/>
      <c r="AV3202" s="17"/>
      <c r="AW3202" s="10"/>
      <c r="AX3202" s="17"/>
      <c r="AY3202" s="18" t="s">
        <v>257</v>
      </c>
      <c r="AZ3202" s="10"/>
      <c r="BA3202" s="20" t="b">
        <v>0</v>
      </c>
      <c r="BB3202" s="10"/>
      <c r="BC3202" s="17" t="s">
        <v>257</v>
      </c>
      <c r="BD3202" s="17" t="s">
        <v>257</v>
      </c>
      <c r="BE3202" s="17" t="s">
        <v>257</v>
      </c>
      <c r="BF3202" s="17" t="s">
        <v>257</v>
      </c>
      <c r="BG3202" s="11">
        <f ca="1">IFERROR(__xludf.DUMMYFUNCTION("""COMPUTED_VALUE"""),46034.7916666666)</f>
        <v>46034.791666666599</v>
      </c>
      <c r="BH3202" s="17"/>
      <c r="BI3202" s="17"/>
      <c r="BJ3202" s="15"/>
      <c r="BK3202" s="15"/>
      <c r="BL3202" s="13" t="b">
        <v>0</v>
      </c>
      <c r="BM3202" s="10"/>
      <c r="BN3202" s="10" t="s">
        <v>149</v>
      </c>
      <c r="BO3202" s="11">
        <v>46010.148611111108</v>
      </c>
      <c r="BP3202" s="11">
        <v>46025.514560185184</v>
      </c>
      <c r="BQ3202" s="15">
        <v>46029.414641203701</v>
      </c>
      <c r="BR3202" s="15">
        <v>46031.485335648147</v>
      </c>
      <c r="BS3202" s="10" t="s">
        <v>149</v>
      </c>
      <c r="BT3202" s="10" t="s">
        <v>99</v>
      </c>
      <c r="BU3202" s="10"/>
      <c r="BV3202" s="10"/>
      <c r="BW3202" s="10"/>
      <c r="BX3202" s="10"/>
      <c r="BY3202" s="23"/>
      <c r="BZ3202" s="23"/>
      <c r="CA3202" s="19" t="s">
        <v>23368</v>
      </c>
      <c r="CB3202" s="19" t="s">
        <v>23369</v>
      </c>
      <c r="CC3202" s="23"/>
      <c r="CD3202" s="19" t="s">
        <v>23370</v>
      </c>
      <c r="CE3202" s="23"/>
      <c r="CF3202" s="23"/>
      <c r="CG3202" s="23"/>
      <c r="CH3202" s="23"/>
      <c r="CI3202" s="23"/>
    </row>
    <row r="3203" spans="1:87" x14ac:dyDescent="0.3">
      <c r="A3203" s="9" t="s">
        <v>23371</v>
      </c>
      <c r="B3203" s="10" t="s">
        <v>23372</v>
      </c>
      <c r="C3203" s="11">
        <v>46045.645833333336</v>
      </c>
      <c r="D3203" s="12">
        <v>8.3333333333333329E-2</v>
      </c>
      <c r="E3203" s="11">
        <v>46045.729166666664</v>
      </c>
      <c r="F3203" s="22" t="s">
        <v>3511</v>
      </c>
      <c r="G3203" s="13" t="b">
        <v>0</v>
      </c>
      <c r="H3203" s="22" t="s">
        <v>236</v>
      </c>
      <c r="I3203" s="10" t="s">
        <v>212</v>
      </c>
      <c r="J3203" s="13" t="b">
        <v>1</v>
      </c>
      <c r="K3203" s="13" t="b">
        <v>0</v>
      </c>
      <c r="L3203" s="10" t="s">
        <v>124</v>
      </c>
      <c r="M3203" s="10" t="s">
        <v>91</v>
      </c>
      <c r="N3203" s="10" t="s">
        <v>3513</v>
      </c>
      <c r="O3203" s="10"/>
      <c r="P3203" s="10"/>
      <c r="Q3203" s="10" t="s">
        <v>126</v>
      </c>
      <c r="R3203" s="10"/>
      <c r="S3203" s="10"/>
      <c r="T3203" s="10"/>
      <c r="U3203" s="10" t="s">
        <v>3636</v>
      </c>
      <c r="V3203" s="10" t="s">
        <v>3517</v>
      </c>
      <c r="W3203" s="10" t="s">
        <v>3519</v>
      </c>
      <c r="X3203" s="10" t="s">
        <v>130</v>
      </c>
      <c r="Y3203" s="10" t="s">
        <v>130</v>
      </c>
      <c r="Z3203" s="10" t="s">
        <v>99</v>
      </c>
      <c r="AA3203" s="10" t="s">
        <v>131</v>
      </c>
      <c r="AB3203" s="10" t="s">
        <v>3520</v>
      </c>
      <c r="AC3203" s="10" t="s">
        <v>3521</v>
      </c>
      <c r="AD3203" s="10" t="s">
        <v>23373</v>
      </c>
      <c r="AE3203" s="10" t="s">
        <v>23374</v>
      </c>
      <c r="AF3203" s="15"/>
      <c r="AG3203" s="10" t="s">
        <v>3524</v>
      </c>
      <c r="AH3203" s="10" t="s">
        <v>3539</v>
      </c>
      <c r="AI3203" s="10" t="s">
        <v>3539</v>
      </c>
      <c r="AJ3203" s="10"/>
      <c r="AK3203" s="10"/>
      <c r="AL3203" s="10" t="s">
        <v>2098</v>
      </c>
      <c r="AM3203" s="10"/>
      <c r="AN3203" s="10"/>
      <c r="AO3203" s="13" t="b">
        <v>0</v>
      </c>
      <c r="AP3203" s="22" t="s">
        <v>104</v>
      </c>
      <c r="AQ3203" s="10"/>
      <c r="AR3203" s="17"/>
      <c r="AS3203" s="17"/>
      <c r="AT3203" s="17"/>
      <c r="AU3203" s="17"/>
      <c r="AV3203" s="17"/>
      <c r="AW3203" s="10"/>
      <c r="AX3203" s="17"/>
      <c r="AY3203" s="18" t="s">
        <v>257</v>
      </c>
      <c r="AZ3203" s="10"/>
      <c r="BA3203" s="20" t="b">
        <v>0</v>
      </c>
      <c r="BB3203" s="10"/>
      <c r="BC3203" s="17" t="s">
        <v>257</v>
      </c>
      <c r="BD3203" s="17" t="s">
        <v>257</v>
      </c>
      <c r="BE3203" s="17" t="s">
        <v>257</v>
      </c>
      <c r="BF3203" s="17" t="s">
        <v>257</v>
      </c>
      <c r="BG3203" s="11">
        <f ca="1">IFERROR(__xludf.DUMMYFUNCTION("""COMPUTED_VALUE"""),46045.6458333333)</f>
        <v>46045.645833333299</v>
      </c>
      <c r="BH3203" s="17"/>
      <c r="BI3203" s="17"/>
      <c r="BJ3203" s="15"/>
      <c r="BK3203" s="15"/>
      <c r="BL3203" s="13" t="b">
        <v>0</v>
      </c>
      <c r="BM3203" s="10"/>
      <c r="BN3203" s="10" t="s">
        <v>18577</v>
      </c>
      <c r="BO3203" s="11">
        <v>46010.148611111108</v>
      </c>
      <c r="BP3203" s="11">
        <v>46030.84884259259</v>
      </c>
      <c r="BQ3203" s="15"/>
      <c r="BR3203" s="15"/>
      <c r="BS3203" s="10"/>
      <c r="BT3203" s="10" t="s">
        <v>99</v>
      </c>
      <c r="BU3203" s="10"/>
      <c r="BV3203" s="10"/>
      <c r="BW3203" s="10"/>
      <c r="BX3203" s="10"/>
      <c r="BY3203" s="23"/>
      <c r="BZ3203" s="23"/>
      <c r="CA3203" s="10"/>
      <c r="CB3203" s="23"/>
      <c r="CC3203" s="23"/>
      <c r="CD3203" s="23"/>
      <c r="CE3203" s="23"/>
      <c r="CF3203" s="23"/>
      <c r="CG3203" s="23"/>
      <c r="CH3203" s="23"/>
      <c r="CI3203" s="23"/>
    </row>
    <row r="3204" spans="1:87" x14ac:dyDescent="0.3">
      <c r="A3204" s="9" t="s">
        <v>23375</v>
      </c>
      <c r="B3204" s="10" t="s">
        <v>23376</v>
      </c>
      <c r="C3204" s="11">
        <v>46045.791666666664</v>
      </c>
      <c r="D3204" s="12">
        <v>8.3333333333333329E-2</v>
      </c>
      <c r="E3204" s="11">
        <v>46045.875</v>
      </c>
      <c r="F3204" s="22" t="s">
        <v>3511</v>
      </c>
      <c r="G3204" s="13" t="b">
        <v>0</v>
      </c>
      <c r="H3204" s="22" t="s">
        <v>123</v>
      </c>
      <c r="I3204" s="10" t="s">
        <v>3548</v>
      </c>
      <c r="J3204" s="13" t="b">
        <v>0</v>
      </c>
      <c r="K3204" s="13" t="b">
        <v>1</v>
      </c>
      <c r="L3204" s="10" t="s">
        <v>124</v>
      </c>
      <c r="M3204" s="10" t="s">
        <v>91</v>
      </c>
      <c r="N3204" s="10" t="s">
        <v>3513</v>
      </c>
      <c r="O3204" s="10"/>
      <c r="P3204" s="10"/>
      <c r="Q3204" s="10" t="s">
        <v>126</v>
      </c>
      <c r="R3204" s="10"/>
      <c r="S3204" s="10"/>
      <c r="T3204" s="10"/>
      <c r="U3204" s="10" t="s">
        <v>3647</v>
      </c>
      <c r="V3204" s="10" t="s">
        <v>3635</v>
      </c>
      <c r="W3204" s="10" t="s">
        <v>3519</v>
      </c>
      <c r="X3204" s="10" t="s">
        <v>130</v>
      </c>
      <c r="Y3204" s="10" t="s">
        <v>130</v>
      </c>
      <c r="Z3204" s="10" t="s">
        <v>99</v>
      </c>
      <c r="AA3204" s="10" t="s">
        <v>131</v>
      </c>
      <c r="AB3204" s="10" t="s">
        <v>3520</v>
      </c>
      <c r="AC3204" s="10" t="s">
        <v>3521</v>
      </c>
      <c r="AD3204" s="10" t="s">
        <v>23377</v>
      </c>
      <c r="AE3204" s="10" t="s">
        <v>23378</v>
      </c>
      <c r="AF3204" s="15"/>
      <c r="AG3204" s="10" t="s">
        <v>3524</v>
      </c>
      <c r="AH3204" s="10" t="s">
        <v>3539</v>
      </c>
      <c r="AI3204" s="10" t="s">
        <v>3539</v>
      </c>
      <c r="AJ3204" s="10"/>
      <c r="AK3204" s="10"/>
      <c r="AL3204" s="10" t="s">
        <v>2098</v>
      </c>
      <c r="AM3204" s="10"/>
      <c r="AN3204" s="10"/>
      <c r="AO3204" s="13" t="b">
        <v>1</v>
      </c>
      <c r="AP3204" s="22" t="s">
        <v>104</v>
      </c>
      <c r="AQ3204" s="10"/>
      <c r="AR3204" s="17"/>
      <c r="AS3204" s="17"/>
      <c r="AT3204" s="17"/>
      <c r="AU3204" s="17"/>
      <c r="AV3204" s="17"/>
      <c r="AW3204" s="10"/>
      <c r="AX3204" s="17"/>
      <c r="AY3204" s="18" t="s">
        <v>257</v>
      </c>
      <c r="AZ3204" s="10"/>
      <c r="BA3204" s="20" t="b">
        <v>0</v>
      </c>
      <c r="BB3204" s="10"/>
      <c r="BC3204" s="17" t="s">
        <v>257</v>
      </c>
      <c r="BD3204" s="17" t="s">
        <v>257</v>
      </c>
      <c r="BE3204" s="17" t="s">
        <v>257</v>
      </c>
      <c r="BF3204" s="17" t="s">
        <v>257</v>
      </c>
      <c r="BG3204" s="11">
        <f ca="1">IFERROR(__xludf.DUMMYFUNCTION("""COMPUTED_VALUE"""),46045.7916666666)</f>
        <v>46045.791666666599</v>
      </c>
      <c r="BH3204" s="17"/>
      <c r="BI3204" s="17"/>
      <c r="BJ3204" s="15"/>
      <c r="BK3204" s="15"/>
      <c r="BL3204" s="13" t="b">
        <v>0</v>
      </c>
      <c r="BM3204" s="10"/>
      <c r="BN3204" s="10" t="s">
        <v>18577</v>
      </c>
      <c r="BO3204" s="11">
        <v>46010.148611111108</v>
      </c>
      <c r="BP3204" s="11">
        <v>46030.878611111111</v>
      </c>
      <c r="BQ3204" s="15"/>
      <c r="BR3204" s="15"/>
      <c r="BS3204" s="10"/>
      <c r="BT3204" s="10"/>
      <c r="BU3204" s="10"/>
      <c r="BV3204" s="10" t="s">
        <v>281</v>
      </c>
      <c r="BW3204" s="10" t="s">
        <v>282</v>
      </c>
      <c r="BX3204" s="10"/>
      <c r="BY3204" s="23"/>
      <c r="BZ3204" s="23"/>
      <c r="CA3204" s="10"/>
      <c r="CB3204" s="23"/>
      <c r="CC3204" s="23"/>
      <c r="CD3204" s="23"/>
      <c r="CE3204" s="23"/>
      <c r="CF3204" s="23"/>
      <c r="CG3204" s="23"/>
      <c r="CH3204" s="23"/>
      <c r="CI3204" s="23"/>
    </row>
    <row r="3205" spans="1:87" x14ac:dyDescent="0.3">
      <c r="A3205" s="9" t="s">
        <v>23379</v>
      </c>
      <c r="B3205" s="10" t="s">
        <v>4528</v>
      </c>
      <c r="C3205" s="11">
        <v>46046.645833333336</v>
      </c>
      <c r="D3205" s="12">
        <v>8.3333333333333329E-2</v>
      </c>
      <c r="E3205" s="11">
        <v>46046.729166666664</v>
      </c>
      <c r="F3205" s="22" t="s">
        <v>3511</v>
      </c>
      <c r="G3205" s="13" t="b">
        <v>0</v>
      </c>
      <c r="H3205" s="22" t="s">
        <v>3512</v>
      </c>
      <c r="I3205" s="10" t="s">
        <v>212</v>
      </c>
      <c r="J3205" s="13" t="b">
        <v>1</v>
      </c>
      <c r="K3205" s="13" t="b">
        <v>0</v>
      </c>
      <c r="L3205" s="10" t="s">
        <v>124</v>
      </c>
      <c r="M3205" s="10" t="s">
        <v>91</v>
      </c>
      <c r="N3205" s="10" t="s">
        <v>3513</v>
      </c>
      <c r="O3205" s="10"/>
      <c r="P3205" s="10"/>
      <c r="Q3205" s="10" t="s">
        <v>126</v>
      </c>
      <c r="R3205" s="10"/>
      <c r="S3205" s="10"/>
      <c r="T3205" s="10"/>
      <c r="U3205" s="10" t="s">
        <v>3518</v>
      </c>
      <c r="V3205" s="10" t="s">
        <v>3648</v>
      </c>
      <c r="W3205" s="10" t="s">
        <v>3519</v>
      </c>
      <c r="X3205" s="10" t="s">
        <v>130</v>
      </c>
      <c r="Y3205" s="10" t="s">
        <v>130</v>
      </c>
      <c r="Z3205" s="10" t="s">
        <v>99</v>
      </c>
      <c r="AA3205" s="10" t="s">
        <v>131</v>
      </c>
      <c r="AB3205" s="10" t="s">
        <v>3520</v>
      </c>
      <c r="AC3205" s="10" t="s">
        <v>3521</v>
      </c>
      <c r="AD3205" s="10" t="s">
        <v>4531</v>
      </c>
      <c r="AE3205" s="10" t="s">
        <v>4532</v>
      </c>
      <c r="AF3205" s="15"/>
      <c r="AG3205" s="10" t="s">
        <v>3524</v>
      </c>
      <c r="AH3205" s="10" t="s">
        <v>3539</v>
      </c>
      <c r="AI3205" s="10" t="s">
        <v>3539</v>
      </c>
      <c r="AJ3205" s="10"/>
      <c r="AK3205" s="10"/>
      <c r="AL3205" s="10" t="s">
        <v>2098</v>
      </c>
      <c r="AM3205" s="10"/>
      <c r="AN3205" s="10"/>
      <c r="AO3205" s="13" t="b">
        <v>0</v>
      </c>
      <c r="AP3205" s="22" t="s">
        <v>104</v>
      </c>
      <c r="AQ3205" s="10"/>
      <c r="AR3205" s="17"/>
      <c r="AS3205" s="17"/>
      <c r="AT3205" s="17"/>
      <c r="AU3205" s="17"/>
      <c r="AV3205" s="17"/>
      <c r="AW3205" s="10"/>
      <c r="AX3205" s="17"/>
      <c r="AY3205" s="18" t="s">
        <v>257</v>
      </c>
      <c r="AZ3205" s="10"/>
      <c r="BA3205" s="20" t="b">
        <v>0</v>
      </c>
      <c r="BB3205" s="10"/>
      <c r="BC3205" s="17" t="s">
        <v>257</v>
      </c>
      <c r="BD3205" s="17" t="s">
        <v>257</v>
      </c>
      <c r="BE3205" s="17" t="s">
        <v>257</v>
      </c>
      <c r="BF3205" s="17" t="s">
        <v>257</v>
      </c>
      <c r="BG3205" s="11">
        <f ca="1">IFERROR(__xludf.DUMMYFUNCTION("""COMPUTED_VALUE"""),46046.6458333333)</f>
        <v>46046.645833333299</v>
      </c>
      <c r="BH3205" s="17"/>
      <c r="BI3205" s="17"/>
      <c r="BJ3205" s="15"/>
      <c r="BK3205" s="15"/>
      <c r="BL3205" s="13" t="b">
        <v>0</v>
      </c>
      <c r="BM3205" s="10"/>
      <c r="BN3205" s="10" t="s">
        <v>18577</v>
      </c>
      <c r="BO3205" s="11">
        <v>46010.148611111108</v>
      </c>
      <c r="BP3205" s="11">
        <v>46030.879259259258</v>
      </c>
      <c r="BQ3205" s="15"/>
      <c r="BR3205" s="15"/>
      <c r="BS3205" s="10"/>
      <c r="BT3205" s="10" t="s">
        <v>99</v>
      </c>
      <c r="BU3205" s="10"/>
      <c r="BV3205" s="10" t="s">
        <v>124</v>
      </c>
      <c r="BW3205" s="10"/>
      <c r="BX3205" s="10"/>
      <c r="BY3205" s="23"/>
      <c r="BZ3205" s="23"/>
      <c r="CA3205" s="10"/>
      <c r="CB3205" s="23"/>
      <c r="CC3205" s="23"/>
      <c r="CD3205" s="23"/>
      <c r="CE3205" s="23"/>
      <c r="CF3205" s="23"/>
      <c r="CG3205" s="23"/>
      <c r="CH3205" s="23"/>
      <c r="CI3205" s="23"/>
    </row>
    <row r="3206" spans="1:87" x14ac:dyDescent="0.3">
      <c r="A3206" s="9" t="s">
        <v>23380</v>
      </c>
      <c r="B3206" s="10" t="s">
        <v>23381</v>
      </c>
      <c r="C3206" s="11">
        <v>46046.645833333336</v>
      </c>
      <c r="D3206" s="12">
        <v>8.3333333333333329E-2</v>
      </c>
      <c r="E3206" s="11">
        <v>46046.729166666664</v>
      </c>
      <c r="F3206" s="22" t="s">
        <v>3511</v>
      </c>
      <c r="G3206" s="13" t="b">
        <v>0</v>
      </c>
      <c r="H3206" s="22" t="s">
        <v>123</v>
      </c>
      <c r="I3206" s="10" t="s">
        <v>3548</v>
      </c>
      <c r="J3206" s="13" t="b">
        <v>0</v>
      </c>
      <c r="K3206" s="13" t="b">
        <v>1</v>
      </c>
      <c r="L3206" s="10" t="s">
        <v>124</v>
      </c>
      <c r="M3206" s="10" t="s">
        <v>91</v>
      </c>
      <c r="N3206" s="10" t="s">
        <v>3513</v>
      </c>
      <c r="O3206" s="10"/>
      <c r="P3206" s="10"/>
      <c r="Q3206" s="10" t="s">
        <v>126</v>
      </c>
      <c r="R3206" s="10"/>
      <c r="S3206" s="10"/>
      <c r="T3206" s="10"/>
      <c r="U3206" s="10" t="s">
        <v>3661</v>
      </c>
      <c r="V3206" s="10" t="s">
        <v>3610</v>
      </c>
      <c r="W3206" s="10" t="s">
        <v>3519</v>
      </c>
      <c r="X3206" s="10" t="s">
        <v>130</v>
      </c>
      <c r="Y3206" s="10" t="s">
        <v>130</v>
      </c>
      <c r="Z3206" s="10" t="s">
        <v>99</v>
      </c>
      <c r="AA3206" s="10" t="s">
        <v>131</v>
      </c>
      <c r="AB3206" s="10" t="s">
        <v>3520</v>
      </c>
      <c r="AC3206" s="10" t="s">
        <v>3521</v>
      </c>
      <c r="AD3206" s="10" t="s">
        <v>23382</v>
      </c>
      <c r="AE3206" s="10" t="s">
        <v>23383</v>
      </c>
      <c r="AF3206" s="15"/>
      <c r="AG3206" s="10" t="s">
        <v>3524</v>
      </c>
      <c r="AH3206" s="10" t="s">
        <v>3539</v>
      </c>
      <c r="AI3206" s="10" t="s">
        <v>3539</v>
      </c>
      <c r="AJ3206" s="10"/>
      <c r="AK3206" s="10"/>
      <c r="AL3206" s="10" t="s">
        <v>2098</v>
      </c>
      <c r="AM3206" s="10"/>
      <c r="AN3206" s="10"/>
      <c r="AO3206" s="13" t="b">
        <v>0</v>
      </c>
      <c r="AP3206" s="22" t="s">
        <v>104</v>
      </c>
      <c r="AQ3206" s="10"/>
      <c r="AR3206" s="17"/>
      <c r="AS3206" s="17"/>
      <c r="AT3206" s="17"/>
      <c r="AU3206" s="17"/>
      <c r="AV3206" s="17"/>
      <c r="AW3206" s="10"/>
      <c r="AX3206" s="17"/>
      <c r="AY3206" s="18" t="s">
        <v>257</v>
      </c>
      <c r="AZ3206" s="10"/>
      <c r="BA3206" s="20" t="b">
        <v>0</v>
      </c>
      <c r="BB3206" s="10"/>
      <c r="BC3206" s="17" t="s">
        <v>257</v>
      </c>
      <c r="BD3206" s="17" t="s">
        <v>257</v>
      </c>
      <c r="BE3206" s="17" t="s">
        <v>257</v>
      </c>
      <c r="BF3206" s="17" t="s">
        <v>257</v>
      </c>
      <c r="BG3206" s="11">
        <f ca="1">IFERROR(__xludf.DUMMYFUNCTION("""COMPUTED_VALUE"""),46046.6458333333)</f>
        <v>46046.645833333299</v>
      </c>
      <c r="BH3206" s="17"/>
      <c r="BI3206" s="17"/>
      <c r="BJ3206" s="15"/>
      <c r="BK3206" s="15"/>
      <c r="BL3206" s="13" t="b">
        <v>0</v>
      </c>
      <c r="BM3206" s="10"/>
      <c r="BN3206" s="10" t="s">
        <v>18577</v>
      </c>
      <c r="BO3206" s="11">
        <v>46010.148611111108</v>
      </c>
      <c r="BP3206" s="11">
        <v>46030.878692129627</v>
      </c>
      <c r="BQ3206" s="15"/>
      <c r="BR3206" s="15"/>
      <c r="BS3206" s="10"/>
      <c r="BT3206" s="10" t="s">
        <v>99</v>
      </c>
      <c r="BU3206" s="10"/>
      <c r="BV3206" s="10"/>
      <c r="BW3206" s="10"/>
      <c r="BX3206" s="10"/>
      <c r="BY3206" s="23"/>
      <c r="BZ3206" s="23"/>
      <c r="CA3206" s="10"/>
      <c r="CB3206" s="23"/>
      <c r="CC3206" s="23"/>
      <c r="CD3206" s="23"/>
      <c r="CE3206" s="23"/>
      <c r="CF3206" s="23"/>
      <c r="CG3206" s="23"/>
      <c r="CH3206" s="23"/>
      <c r="CI3206" s="23"/>
    </row>
    <row r="3207" spans="1:87" x14ac:dyDescent="0.3">
      <c r="A3207" s="9" t="s">
        <v>23384</v>
      </c>
      <c r="B3207" s="10" t="s">
        <v>23385</v>
      </c>
      <c r="C3207" s="11">
        <v>46046.791666666664</v>
      </c>
      <c r="D3207" s="12">
        <v>8.3333333333333329E-2</v>
      </c>
      <c r="E3207" s="11">
        <v>46046.875</v>
      </c>
      <c r="F3207" s="22" t="s">
        <v>3511</v>
      </c>
      <c r="G3207" s="13" t="b">
        <v>0</v>
      </c>
      <c r="H3207" s="22" t="s">
        <v>3512</v>
      </c>
      <c r="I3207" s="10" t="s">
        <v>212</v>
      </c>
      <c r="J3207" s="13" t="b">
        <v>1</v>
      </c>
      <c r="K3207" s="13" t="b">
        <v>0</v>
      </c>
      <c r="L3207" s="10" t="s">
        <v>124</v>
      </c>
      <c r="M3207" s="10" t="s">
        <v>91</v>
      </c>
      <c r="N3207" s="10" t="s">
        <v>3513</v>
      </c>
      <c r="O3207" s="10"/>
      <c r="P3207" s="10"/>
      <c r="Q3207" s="10" t="s">
        <v>126</v>
      </c>
      <c r="R3207" s="10"/>
      <c r="S3207" s="10"/>
      <c r="T3207" s="10"/>
      <c r="U3207" s="10" t="s">
        <v>3536</v>
      </c>
      <c r="V3207" s="10" t="s">
        <v>3535</v>
      </c>
      <c r="W3207" s="10" t="s">
        <v>3519</v>
      </c>
      <c r="X3207" s="10" t="s">
        <v>130</v>
      </c>
      <c r="Y3207" s="10" t="s">
        <v>130</v>
      </c>
      <c r="Z3207" s="10" t="s">
        <v>99</v>
      </c>
      <c r="AA3207" s="10" t="s">
        <v>131</v>
      </c>
      <c r="AB3207" s="10" t="s">
        <v>3520</v>
      </c>
      <c r="AC3207" s="10" t="s">
        <v>3521</v>
      </c>
      <c r="AD3207" s="10" t="s">
        <v>23386</v>
      </c>
      <c r="AE3207" s="10" t="s">
        <v>23387</v>
      </c>
      <c r="AF3207" s="15"/>
      <c r="AG3207" s="10" t="s">
        <v>3524</v>
      </c>
      <c r="AH3207" s="10" t="s">
        <v>3539</v>
      </c>
      <c r="AI3207" s="10" t="s">
        <v>3539</v>
      </c>
      <c r="AJ3207" s="10"/>
      <c r="AK3207" s="10"/>
      <c r="AL3207" s="10" t="s">
        <v>2098</v>
      </c>
      <c r="AM3207" s="10"/>
      <c r="AN3207" s="10"/>
      <c r="AO3207" s="13" t="b">
        <v>0</v>
      </c>
      <c r="AP3207" s="22" t="s">
        <v>104</v>
      </c>
      <c r="AQ3207" s="10"/>
      <c r="AR3207" s="17"/>
      <c r="AS3207" s="17"/>
      <c r="AT3207" s="17"/>
      <c r="AU3207" s="17"/>
      <c r="AV3207" s="17"/>
      <c r="AW3207" s="10"/>
      <c r="AX3207" s="17"/>
      <c r="AY3207" s="18" t="s">
        <v>257</v>
      </c>
      <c r="AZ3207" s="10"/>
      <c r="BA3207" s="20" t="b">
        <v>0</v>
      </c>
      <c r="BB3207" s="10"/>
      <c r="BC3207" s="17" t="s">
        <v>257</v>
      </c>
      <c r="BD3207" s="17" t="s">
        <v>257</v>
      </c>
      <c r="BE3207" s="17" t="s">
        <v>257</v>
      </c>
      <c r="BF3207" s="17" t="s">
        <v>257</v>
      </c>
      <c r="BG3207" s="11">
        <f ca="1">IFERROR(__xludf.DUMMYFUNCTION("""COMPUTED_VALUE"""),46046.7916666666)</f>
        <v>46046.791666666599</v>
      </c>
      <c r="BH3207" s="17"/>
      <c r="BI3207" s="17"/>
      <c r="BJ3207" s="15"/>
      <c r="BK3207" s="15"/>
      <c r="BL3207" s="13" t="b">
        <v>0</v>
      </c>
      <c r="BM3207" s="10"/>
      <c r="BN3207" s="10" t="s">
        <v>18577</v>
      </c>
      <c r="BO3207" s="11">
        <v>46010.148611111108</v>
      </c>
      <c r="BP3207" s="11">
        <v>46030.88082175926</v>
      </c>
      <c r="BQ3207" s="15"/>
      <c r="BR3207" s="15"/>
      <c r="BS3207" s="10"/>
      <c r="BT3207" s="10" t="s">
        <v>99</v>
      </c>
      <c r="BU3207" s="10"/>
      <c r="BV3207" s="10"/>
      <c r="BW3207" s="10"/>
      <c r="BX3207" s="10"/>
      <c r="BY3207" s="23"/>
      <c r="BZ3207" s="23"/>
      <c r="CA3207" s="10"/>
      <c r="CB3207" s="23"/>
      <c r="CC3207" s="23"/>
      <c r="CD3207" s="23"/>
      <c r="CE3207" s="23"/>
      <c r="CF3207" s="23"/>
      <c r="CG3207" s="23"/>
      <c r="CH3207" s="23"/>
      <c r="CI3207" s="23"/>
    </row>
    <row r="3208" spans="1:87" x14ac:dyDescent="0.3">
      <c r="A3208" s="9" t="s">
        <v>23388</v>
      </c>
      <c r="B3208" s="10" t="s">
        <v>23389</v>
      </c>
      <c r="C3208" s="11">
        <v>46046.791666666664</v>
      </c>
      <c r="D3208" s="12">
        <v>8.3333333333333329E-2</v>
      </c>
      <c r="E3208" s="11">
        <v>46046.875</v>
      </c>
      <c r="F3208" s="22" t="s">
        <v>3511</v>
      </c>
      <c r="G3208" s="13" t="b">
        <v>0</v>
      </c>
      <c r="H3208" s="22" t="s">
        <v>123</v>
      </c>
      <c r="I3208" s="10" t="s">
        <v>3548</v>
      </c>
      <c r="J3208" s="13" t="b">
        <v>0</v>
      </c>
      <c r="K3208" s="13" t="b">
        <v>1</v>
      </c>
      <c r="L3208" s="10" t="s">
        <v>124</v>
      </c>
      <c r="M3208" s="10" t="s">
        <v>91</v>
      </c>
      <c r="N3208" s="10" t="s">
        <v>3513</v>
      </c>
      <c r="O3208" s="10"/>
      <c r="P3208" s="10"/>
      <c r="Q3208" s="10" t="s">
        <v>126</v>
      </c>
      <c r="R3208" s="10"/>
      <c r="S3208" s="10"/>
      <c r="T3208" s="10"/>
      <c r="U3208" s="10" t="s">
        <v>3623</v>
      </c>
      <c r="V3208" s="10" t="s">
        <v>3662</v>
      </c>
      <c r="W3208" s="10" t="s">
        <v>3519</v>
      </c>
      <c r="X3208" s="10" t="s">
        <v>130</v>
      </c>
      <c r="Y3208" s="10" t="s">
        <v>130</v>
      </c>
      <c r="Z3208" s="10" t="s">
        <v>99</v>
      </c>
      <c r="AA3208" s="10" t="s">
        <v>131</v>
      </c>
      <c r="AB3208" s="10" t="s">
        <v>3520</v>
      </c>
      <c r="AC3208" s="10" t="s">
        <v>3521</v>
      </c>
      <c r="AD3208" s="10" t="s">
        <v>23390</v>
      </c>
      <c r="AE3208" s="10" t="s">
        <v>23391</v>
      </c>
      <c r="AF3208" s="15"/>
      <c r="AG3208" s="10" t="s">
        <v>3524</v>
      </c>
      <c r="AH3208" s="10" t="s">
        <v>3539</v>
      </c>
      <c r="AI3208" s="10" t="s">
        <v>3539</v>
      </c>
      <c r="AJ3208" s="10"/>
      <c r="AK3208" s="10"/>
      <c r="AL3208" s="10" t="s">
        <v>2098</v>
      </c>
      <c r="AM3208" s="10"/>
      <c r="AN3208" s="10"/>
      <c r="AO3208" s="13" t="b">
        <v>0</v>
      </c>
      <c r="AP3208" s="22" t="s">
        <v>104</v>
      </c>
      <c r="AQ3208" s="10"/>
      <c r="AR3208" s="17"/>
      <c r="AS3208" s="17"/>
      <c r="AT3208" s="17"/>
      <c r="AU3208" s="17"/>
      <c r="AV3208" s="17"/>
      <c r="AW3208" s="10"/>
      <c r="AX3208" s="17"/>
      <c r="AY3208" s="18" t="s">
        <v>257</v>
      </c>
      <c r="AZ3208" s="10"/>
      <c r="BA3208" s="20" t="b">
        <v>0</v>
      </c>
      <c r="BB3208" s="10"/>
      <c r="BC3208" s="17" t="s">
        <v>257</v>
      </c>
      <c r="BD3208" s="17" t="s">
        <v>257</v>
      </c>
      <c r="BE3208" s="17" t="s">
        <v>257</v>
      </c>
      <c r="BF3208" s="17" t="s">
        <v>257</v>
      </c>
      <c r="BG3208" s="11">
        <f ca="1">IFERROR(__xludf.DUMMYFUNCTION("""COMPUTED_VALUE"""),46046.7916666666)</f>
        <v>46046.791666666599</v>
      </c>
      <c r="BH3208" s="17"/>
      <c r="BI3208" s="17"/>
      <c r="BJ3208" s="15"/>
      <c r="BK3208" s="15"/>
      <c r="BL3208" s="13" t="b">
        <v>0</v>
      </c>
      <c r="BM3208" s="10"/>
      <c r="BN3208" s="10" t="s">
        <v>18577</v>
      </c>
      <c r="BO3208" s="11">
        <v>46010.148611111108</v>
      </c>
      <c r="BP3208" s="11">
        <v>46030.880162037036</v>
      </c>
      <c r="BQ3208" s="15"/>
      <c r="BR3208" s="15"/>
      <c r="BS3208" s="10"/>
      <c r="BT3208" s="10" t="s">
        <v>99</v>
      </c>
      <c r="BU3208" s="10"/>
      <c r="BV3208" s="10"/>
      <c r="BW3208" s="10"/>
      <c r="BX3208" s="10"/>
      <c r="BY3208" s="23"/>
      <c r="BZ3208" s="23"/>
      <c r="CA3208" s="10"/>
      <c r="CB3208" s="23"/>
      <c r="CC3208" s="23"/>
      <c r="CD3208" s="23"/>
      <c r="CE3208" s="23"/>
      <c r="CF3208" s="23"/>
      <c r="CG3208" s="23"/>
      <c r="CH3208" s="23"/>
      <c r="CI3208" s="23"/>
    </row>
    <row r="3209" spans="1:87" x14ac:dyDescent="0.3">
      <c r="A3209" s="9" t="s">
        <v>23392</v>
      </c>
      <c r="B3209" s="10" t="s">
        <v>23393</v>
      </c>
      <c r="C3209" s="11">
        <v>46047.645833333336</v>
      </c>
      <c r="D3209" s="12">
        <v>8.3333333333333329E-2</v>
      </c>
      <c r="E3209" s="11">
        <v>46047.729166666664</v>
      </c>
      <c r="F3209" s="22" t="s">
        <v>3511</v>
      </c>
      <c r="G3209" s="13" t="b">
        <v>0</v>
      </c>
      <c r="H3209" s="22" t="s">
        <v>123</v>
      </c>
      <c r="I3209" s="10" t="s">
        <v>3548</v>
      </c>
      <c r="J3209" s="13" t="b">
        <v>0</v>
      </c>
      <c r="K3209" s="13" t="b">
        <v>1</v>
      </c>
      <c r="L3209" s="10" t="s">
        <v>124</v>
      </c>
      <c r="M3209" s="10" t="s">
        <v>91</v>
      </c>
      <c r="N3209" s="10" t="s">
        <v>3513</v>
      </c>
      <c r="O3209" s="10"/>
      <c r="P3209" s="10"/>
      <c r="Q3209" s="10" t="s">
        <v>126</v>
      </c>
      <c r="R3209" s="10"/>
      <c r="S3209" s="10"/>
      <c r="T3209" s="10"/>
      <c r="U3209" s="10" t="s">
        <v>3552</v>
      </c>
      <c r="V3209" s="10" t="s">
        <v>3551</v>
      </c>
      <c r="W3209" s="10" t="s">
        <v>3519</v>
      </c>
      <c r="X3209" s="10" t="s">
        <v>130</v>
      </c>
      <c r="Y3209" s="10" t="s">
        <v>130</v>
      </c>
      <c r="Z3209" s="10" t="s">
        <v>99</v>
      </c>
      <c r="AA3209" s="10" t="s">
        <v>131</v>
      </c>
      <c r="AB3209" s="10" t="s">
        <v>3520</v>
      </c>
      <c r="AC3209" s="10" t="s">
        <v>3521</v>
      </c>
      <c r="AD3209" s="10" t="s">
        <v>23394</v>
      </c>
      <c r="AE3209" s="10" t="s">
        <v>23395</v>
      </c>
      <c r="AF3209" s="15"/>
      <c r="AG3209" s="10" t="s">
        <v>3524</v>
      </c>
      <c r="AH3209" s="10" t="s">
        <v>3539</v>
      </c>
      <c r="AI3209" s="10" t="s">
        <v>3539</v>
      </c>
      <c r="AJ3209" s="10"/>
      <c r="AK3209" s="10"/>
      <c r="AL3209" s="10" t="s">
        <v>2098</v>
      </c>
      <c r="AM3209" s="10"/>
      <c r="AN3209" s="10"/>
      <c r="AO3209" s="13" t="b">
        <v>1</v>
      </c>
      <c r="AP3209" s="22" t="s">
        <v>104</v>
      </c>
      <c r="AQ3209" s="10"/>
      <c r="AR3209" s="17"/>
      <c r="AS3209" s="17"/>
      <c r="AT3209" s="17"/>
      <c r="AU3209" s="17"/>
      <c r="AV3209" s="17"/>
      <c r="AW3209" s="10"/>
      <c r="AX3209" s="17"/>
      <c r="AY3209" s="18" t="s">
        <v>257</v>
      </c>
      <c r="AZ3209" s="10"/>
      <c r="BA3209" s="20" t="b">
        <v>0</v>
      </c>
      <c r="BB3209" s="10"/>
      <c r="BC3209" s="17" t="s">
        <v>257</v>
      </c>
      <c r="BD3209" s="17" t="s">
        <v>257</v>
      </c>
      <c r="BE3209" s="17" t="s">
        <v>257</v>
      </c>
      <c r="BF3209" s="17" t="s">
        <v>257</v>
      </c>
      <c r="BG3209" s="11">
        <f ca="1">IFERROR(__xludf.DUMMYFUNCTION("""COMPUTED_VALUE"""),46047.6458333333)</f>
        <v>46047.645833333299</v>
      </c>
      <c r="BH3209" s="17"/>
      <c r="BI3209" s="17"/>
      <c r="BJ3209" s="15"/>
      <c r="BK3209" s="15"/>
      <c r="BL3209" s="13" t="b">
        <v>0</v>
      </c>
      <c r="BM3209" s="10" t="s">
        <v>107</v>
      </c>
      <c r="BN3209" s="10" t="s">
        <v>18577</v>
      </c>
      <c r="BO3209" s="11">
        <v>46010.148611111108</v>
      </c>
      <c r="BP3209" s="11">
        <v>46030.901666666665</v>
      </c>
      <c r="BQ3209" s="15"/>
      <c r="BR3209" s="15"/>
      <c r="BS3209" s="10"/>
      <c r="BT3209" s="10" t="s">
        <v>99</v>
      </c>
      <c r="BU3209" s="10"/>
      <c r="BV3209" s="10" t="s">
        <v>124</v>
      </c>
      <c r="BW3209" s="10"/>
      <c r="BX3209" s="10"/>
      <c r="BY3209" s="23"/>
      <c r="BZ3209" s="23"/>
      <c r="CA3209" s="10"/>
      <c r="CB3209" s="23"/>
      <c r="CC3209" s="23"/>
      <c r="CD3209" s="23"/>
      <c r="CE3209" s="23"/>
      <c r="CF3209" s="23"/>
      <c r="CG3209" s="23"/>
      <c r="CH3209" s="23"/>
      <c r="CI3209" s="23"/>
    </row>
    <row r="3210" spans="1:87" x14ac:dyDescent="0.3">
      <c r="A3210" s="9" t="s">
        <v>23396</v>
      </c>
      <c r="B3210" s="10" t="s">
        <v>23397</v>
      </c>
      <c r="C3210" s="11">
        <v>46047.791666666664</v>
      </c>
      <c r="D3210" s="12">
        <v>8.3333333333333329E-2</v>
      </c>
      <c r="E3210" s="11">
        <v>46047.875</v>
      </c>
      <c r="F3210" s="22" t="s">
        <v>3511</v>
      </c>
      <c r="G3210" s="13" t="b">
        <v>0</v>
      </c>
      <c r="H3210" s="22" t="s">
        <v>123</v>
      </c>
      <c r="I3210" s="10" t="s">
        <v>3548</v>
      </c>
      <c r="J3210" s="13" t="b">
        <v>0</v>
      </c>
      <c r="K3210" s="13" t="b">
        <v>1</v>
      </c>
      <c r="L3210" s="10" t="s">
        <v>124</v>
      </c>
      <c r="M3210" s="10" t="s">
        <v>91</v>
      </c>
      <c r="N3210" s="10" t="s">
        <v>3513</v>
      </c>
      <c r="O3210" s="10"/>
      <c r="P3210" s="10"/>
      <c r="Q3210" s="10" t="s">
        <v>126</v>
      </c>
      <c r="R3210" s="10"/>
      <c r="S3210" s="10"/>
      <c r="T3210" s="10"/>
      <c r="U3210" s="10" t="s">
        <v>3609</v>
      </c>
      <c r="V3210" s="10" t="s">
        <v>3677</v>
      </c>
      <c r="W3210" s="10" t="s">
        <v>3519</v>
      </c>
      <c r="X3210" s="10" t="s">
        <v>130</v>
      </c>
      <c r="Y3210" s="10" t="s">
        <v>130</v>
      </c>
      <c r="Z3210" s="10" t="s">
        <v>99</v>
      </c>
      <c r="AA3210" s="10" t="s">
        <v>131</v>
      </c>
      <c r="AB3210" s="10" t="s">
        <v>3520</v>
      </c>
      <c r="AC3210" s="10" t="s">
        <v>3521</v>
      </c>
      <c r="AD3210" s="10" t="s">
        <v>23398</v>
      </c>
      <c r="AE3210" s="10" t="s">
        <v>23399</v>
      </c>
      <c r="AF3210" s="15"/>
      <c r="AG3210" s="10" t="s">
        <v>3524</v>
      </c>
      <c r="AH3210" s="10" t="s">
        <v>3539</v>
      </c>
      <c r="AI3210" s="10" t="s">
        <v>3539</v>
      </c>
      <c r="AJ3210" s="10"/>
      <c r="AK3210" s="10"/>
      <c r="AL3210" s="10" t="s">
        <v>2098</v>
      </c>
      <c r="AM3210" s="10"/>
      <c r="AN3210" s="10"/>
      <c r="AO3210" s="13" t="b">
        <v>1</v>
      </c>
      <c r="AP3210" s="22" t="s">
        <v>104</v>
      </c>
      <c r="AQ3210" s="10"/>
      <c r="AR3210" s="17"/>
      <c r="AS3210" s="17"/>
      <c r="AT3210" s="17"/>
      <c r="AU3210" s="17"/>
      <c r="AV3210" s="17"/>
      <c r="AW3210" s="10"/>
      <c r="AX3210" s="17"/>
      <c r="AY3210" s="18" t="s">
        <v>257</v>
      </c>
      <c r="AZ3210" s="10"/>
      <c r="BA3210" s="20"/>
      <c r="BB3210" s="10"/>
      <c r="BC3210" s="17" t="s">
        <v>257</v>
      </c>
      <c r="BD3210" s="17" t="s">
        <v>257</v>
      </c>
      <c r="BE3210" s="17" t="s">
        <v>257</v>
      </c>
      <c r="BF3210" s="17" t="s">
        <v>257</v>
      </c>
      <c r="BG3210" s="11">
        <f ca="1">IFERROR(__xludf.DUMMYFUNCTION("""COMPUTED_VALUE"""),46047.7916666666)</f>
        <v>46047.791666666599</v>
      </c>
      <c r="BH3210" s="17"/>
      <c r="BI3210" s="17"/>
      <c r="BJ3210" s="15"/>
      <c r="BK3210" s="15"/>
      <c r="BL3210" s="13" t="b">
        <v>0</v>
      </c>
      <c r="BM3210" s="10" t="s">
        <v>107</v>
      </c>
      <c r="BN3210" s="10" t="s">
        <v>18577</v>
      </c>
      <c r="BO3210" s="11">
        <v>46010.148611111108</v>
      </c>
      <c r="BP3210" s="11">
        <v>46030.901759259257</v>
      </c>
      <c r="BQ3210" s="15"/>
      <c r="BR3210" s="15"/>
      <c r="BS3210" s="10"/>
      <c r="BT3210" s="10" t="s">
        <v>99</v>
      </c>
      <c r="BU3210" s="10"/>
      <c r="BV3210" s="10" t="s">
        <v>281</v>
      </c>
      <c r="BW3210" s="10" t="s">
        <v>2100</v>
      </c>
      <c r="BX3210" s="10"/>
      <c r="BY3210" s="23"/>
      <c r="BZ3210" s="23"/>
      <c r="CA3210" s="10"/>
      <c r="CB3210" s="23"/>
      <c r="CC3210" s="23"/>
      <c r="CD3210" s="23"/>
      <c r="CE3210" s="23"/>
      <c r="CF3210" s="23"/>
      <c r="CG3210" s="23"/>
      <c r="CH3210" s="23"/>
      <c r="CI3210" s="23"/>
    </row>
    <row r="3211" spans="1:87" x14ac:dyDescent="0.3">
      <c r="A3211" s="9" t="s">
        <v>23400</v>
      </c>
      <c r="B3211" s="10" t="s">
        <v>23401</v>
      </c>
      <c r="C3211" s="11">
        <v>46048.791666666664</v>
      </c>
      <c r="D3211" s="12">
        <v>8.3333333333333329E-2</v>
      </c>
      <c r="E3211" s="11">
        <v>46048.875</v>
      </c>
      <c r="F3211" s="22" t="s">
        <v>3511</v>
      </c>
      <c r="G3211" s="13" t="b">
        <v>0</v>
      </c>
      <c r="H3211" s="22" t="s">
        <v>123</v>
      </c>
      <c r="I3211" s="10" t="s">
        <v>3548</v>
      </c>
      <c r="J3211" s="13" t="b">
        <v>0</v>
      </c>
      <c r="K3211" s="13" t="b">
        <v>1</v>
      </c>
      <c r="L3211" s="10" t="s">
        <v>124</v>
      </c>
      <c r="M3211" s="10" t="s">
        <v>91</v>
      </c>
      <c r="N3211" s="10" t="s">
        <v>3513</v>
      </c>
      <c r="O3211" s="10"/>
      <c r="P3211" s="10"/>
      <c r="Q3211" s="10" t="s">
        <v>126</v>
      </c>
      <c r="R3211" s="10"/>
      <c r="S3211" s="10"/>
      <c r="T3211" s="10"/>
      <c r="U3211" s="10" t="s">
        <v>3622</v>
      </c>
      <c r="V3211" s="10" t="s">
        <v>3676</v>
      </c>
      <c r="W3211" s="10" t="s">
        <v>3519</v>
      </c>
      <c r="X3211" s="10" t="s">
        <v>130</v>
      </c>
      <c r="Y3211" s="10" t="s">
        <v>130</v>
      </c>
      <c r="Z3211" s="10" t="s">
        <v>99</v>
      </c>
      <c r="AA3211" s="10" t="s">
        <v>131</v>
      </c>
      <c r="AB3211" s="10" t="s">
        <v>3520</v>
      </c>
      <c r="AC3211" s="10" t="s">
        <v>3521</v>
      </c>
      <c r="AD3211" s="10" t="s">
        <v>23402</v>
      </c>
      <c r="AE3211" s="10" t="s">
        <v>23403</v>
      </c>
      <c r="AF3211" s="15"/>
      <c r="AG3211" s="10" t="s">
        <v>3524</v>
      </c>
      <c r="AH3211" s="10" t="s">
        <v>3539</v>
      </c>
      <c r="AI3211" s="10" t="s">
        <v>3539</v>
      </c>
      <c r="AJ3211" s="10"/>
      <c r="AK3211" s="10"/>
      <c r="AL3211" s="10" t="s">
        <v>2098</v>
      </c>
      <c r="AM3211" s="10"/>
      <c r="AN3211" s="10"/>
      <c r="AO3211" s="13" t="b">
        <v>1</v>
      </c>
      <c r="AP3211" s="22" t="s">
        <v>104</v>
      </c>
      <c r="AQ3211" s="10"/>
      <c r="AR3211" s="17"/>
      <c r="AS3211" s="17"/>
      <c r="AT3211" s="17"/>
      <c r="AU3211" s="17"/>
      <c r="AV3211" s="17"/>
      <c r="AW3211" s="10"/>
      <c r="AX3211" s="17"/>
      <c r="AY3211" s="18" t="s">
        <v>257</v>
      </c>
      <c r="AZ3211" s="10"/>
      <c r="BA3211" s="20" t="b">
        <v>0</v>
      </c>
      <c r="BB3211" s="10"/>
      <c r="BC3211" s="17" t="s">
        <v>257</v>
      </c>
      <c r="BD3211" s="17" t="s">
        <v>257</v>
      </c>
      <c r="BE3211" s="17" t="s">
        <v>257</v>
      </c>
      <c r="BF3211" s="17" t="s">
        <v>257</v>
      </c>
      <c r="BG3211" s="11">
        <f ca="1">IFERROR(__xludf.DUMMYFUNCTION("""COMPUTED_VALUE"""),46048.7916666666)</f>
        <v>46048.791666666599</v>
      </c>
      <c r="BH3211" s="17"/>
      <c r="BI3211" s="17"/>
      <c r="BJ3211" s="15"/>
      <c r="BK3211" s="15"/>
      <c r="BL3211" s="13" t="b">
        <v>0</v>
      </c>
      <c r="BM3211" s="10"/>
      <c r="BN3211" s="10" t="s">
        <v>18577</v>
      </c>
      <c r="BO3211" s="11">
        <v>46010.148611111108</v>
      </c>
      <c r="BP3211" s="11">
        <v>46030.900312500002</v>
      </c>
      <c r="BQ3211" s="15"/>
      <c r="BR3211" s="15"/>
      <c r="BS3211" s="10"/>
      <c r="BT3211" s="10" t="s">
        <v>99</v>
      </c>
      <c r="BU3211" s="10"/>
      <c r="BV3211" s="10" t="s">
        <v>124</v>
      </c>
      <c r="BW3211" s="10"/>
      <c r="BX3211" s="10"/>
      <c r="BY3211" s="23"/>
      <c r="BZ3211" s="23"/>
      <c r="CA3211" s="10"/>
      <c r="CB3211" s="23"/>
      <c r="CC3211" s="23"/>
      <c r="CD3211" s="23"/>
      <c r="CE3211" s="23"/>
      <c r="CF3211" s="23"/>
      <c r="CG3211" s="23"/>
      <c r="CH3211" s="23"/>
      <c r="CI3211" s="23"/>
    </row>
    <row r="3212" spans="1:87" x14ac:dyDescent="0.3">
      <c r="A3212" s="9" t="s">
        <v>23404</v>
      </c>
      <c r="B3212" s="10" t="s">
        <v>23405</v>
      </c>
      <c r="C3212" s="11">
        <v>46052.645833333336</v>
      </c>
      <c r="D3212" s="12">
        <v>8.3333333333333329E-2</v>
      </c>
      <c r="E3212" s="11">
        <v>46052.729166666664</v>
      </c>
      <c r="F3212" s="22" t="s">
        <v>3511</v>
      </c>
      <c r="G3212" s="13" t="b">
        <v>0</v>
      </c>
      <c r="H3212" s="22" t="s">
        <v>123</v>
      </c>
      <c r="I3212" s="10" t="s">
        <v>3548</v>
      </c>
      <c r="J3212" s="13" t="b">
        <v>0</v>
      </c>
      <c r="K3212" s="13" t="b">
        <v>1</v>
      </c>
      <c r="L3212" s="10" t="s">
        <v>124</v>
      </c>
      <c r="M3212" s="10" t="s">
        <v>91</v>
      </c>
      <c r="N3212" s="10" t="s">
        <v>3513</v>
      </c>
      <c r="O3212" s="10"/>
      <c r="P3212" s="10"/>
      <c r="Q3212" s="10" t="s">
        <v>126</v>
      </c>
      <c r="R3212" s="10"/>
      <c r="S3212" s="10"/>
      <c r="T3212" s="10"/>
      <c r="U3212" s="10" t="s">
        <v>3662</v>
      </c>
      <c r="V3212" s="10" t="s">
        <v>3661</v>
      </c>
      <c r="W3212" s="10" t="s">
        <v>3519</v>
      </c>
      <c r="X3212" s="10" t="s">
        <v>130</v>
      </c>
      <c r="Y3212" s="10" t="s">
        <v>130</v>
      </c>
      <c r="Z3212" s="10" t="s">
        <v>99</v>
      </c>
      <c r="AA3212" s="10" t="s">
        <v>131</v>
      </c>
      <c r="AB3212" s="10" t="s">
        <v>3520</v>
      </c>
      <c r="AC3212" s="10" t="s">
        <v>3521</v>
      </c>
      <c r="AD3212" s="10" t="s">
        <v>23406</v>
      </c>
      <c r="AE3212" s="10" t="s">
        <v>23407</v>
      </c>
      <c r="AF3212" s="15"/>
      <c r="AG3212" s="10" t="s">
        <v>3524</v>
      </c>
      <c r="AH3212" s="10" t="s">
        <v>3539</v>
      </c>
      <c r="AI3212" s="10" t="s">
        <v>3539</v>
      </c>
      <c r="AJ3212" s="10"/>
      <c r="AK3212" s="10"/>
      <c r="AL3212" s="10" t="s">
        <v>2201</v>
      </c>
      <c r="AM3212" s="10"/>
      <c r="AN3212" s="10"/>
      <c r="AO3212" s="13" t="b">
        <v>0</v>
      </c>
      <c r="AP3212" s="22" t="s">
        <v>104</v>
      </c>
      <c r="AQ3212" s="10"/>
      <c r="AR3212" s="17"/>
      <c r="AS3212" s="17"/>
      <c r="AT3212" s="17"/>
      <c r="AU3212" s="17"/>
      <c r="AV3212" s="17"/>
      <c r="AW3212" s="10"/>
      <c r="AX3212" s="17"/>
      <c r="AY3212" s="18" t="s">
        <v>257</v>
      </c>
      <c r="AZ3212" s="10"/>
      <c r="BA3212" s="20" t="b">
        <v>0</v>
      </c>
      <c r="BB3212" s="10"/>
      <c r="BC3212" s="17" t="s">
        <v>257</v>
      </c>
      <c r="BD3212" s="17" t="s">
        <v>257</v>
      </c>
      <c r="BE3212" s="17" t="s">
        <v>257</v>
      </c>
      <c r="BF3212" s="17" t="s">
        <v>257</v>
      </c>
      <c r="BG3212" s="11">
        <f ca="1">IFERROR(__xludf.DUMMYFUNCTION("""COMPUTED_VALUE"""),46052.6458333333)</f>
        <v>46052.645833333299</v>
      </c>
      <c r="BH3212" s="17"/>
      <c r="BI3212" s="17"/>
      <c r="BJ3212" s="15"/>
      <c r="BK3212" s="15"/>
      <c r="BL3212" s="13" t="b">
        <v>0</v>
      </c>
      <c r="BM3212" s="10"/>
      <c r="BN3212" s="10" t="s">
        <v>18577</v>
      </c>
      <c r="BO3212" s="11">
        <v>46010.148611111108</v>
      </c>
      <c r="BP3212" s="11">
        <v>46030.882662037038</v>
      </c>
      <c r="BQ3212" s="15"/>
      <c r="BR3212" s="15"/>
      <c r="BS3212" s="10"/>
      <c r="BT3212" s="10" t="s">
        <v>99</v>
      </c>
      <c r="BU3212" s="10"/>
      <c r="BV3212" s="10"/>
      <c r="BW3212" s="10"/>
      <c r="BX3212" s="10"/>
      <c r="BY3212" s="23"/>
      <c r="BZ3212" s="23"/>
      <c r="CA3212" s="10"/>
      <c r="CB3212" s="23"/>
      <c r="CC3212" s="23"/>
      <c r="CD3212" s="23"/>
      <c r="CE3212" s="23"/>
      <c r="CF3212" s="23"/>
      <c r="CG3212" s="23"/>
      <c r="CH3212" s="23"/>
      <c r="CI3212" s="23"/>
    </row>
    <row r="3213" spans="1:87" x14ac:dyDescent="0.3">
      <c r="A3213" s="9" t="s">
        <v>23408</v>
      </c>
      <c r="B3213" s="10" t="s">
        <v>23409</v>
      </c>
      <c r="C3213" s="11">
        <v>46052.791666666664</v>
      </c>
      <c r="D3213" s="12">
        <v>8.3333333333333329E-2</v>
      </c>
      <c r="E3213" s="11">
        <v>46052.875</v>
      </c>
      <c r="F3213" s="22" t="s">
        <v>3511</v>
      </c>
      <c r="G3213" s="13" t="b">
        <v>0</v>
      </c>
      <c r="H3213" s="22" t="s">
        <v>123</v>
      </c>
      <c r="I3213" s="10" t="s">
        <v>3548</v>
      </c>
      <c r="J3213" s="13" t="b">
        <v>0</v>
      </c>
      <c r="K3213" s="13" t="b">
        <v>1</v>
      </c>
      <c r="L3213" s="10" t="s">
        <v>124</v>
      </c>
      <c r="M3213" s="10" t="s">
        <v>91</v>
      </c>
      <c r="N3213" s="10" t="s">
        <v>3513</v>
      </c>
      <c r="O3213" s="10"/>
      <c r="P3213" s="10"/>
      <c r="Q3213" s="10" t="s">
        <v>126</v>
      </c>
      <c r="R3213" s="10"/>
      <c r="S3213" s="10"/>
      <c r="T3213" s="10"/>
      <c r="U3213" s="10" t="s">
        <v>3648</v>
      </c>
      <c r="V3213" s="10" t="s">
        <v>3647</v>
      </c>
      <c r="W3213" s="10" t="s">
        <v>3519</v>
      </c>
      <c r="X3213" s="10" t="s">
        <v>130</v>
      </c>
      <c r="Y3213" s="10" t="s">
        <v>130</v>
      </c>
      <c r="Z3213" s="10" t="s">
        <v>99</v>
      </c>
      <c r="AA3213" s="10" t="s">
        <v>131</v>
      </c>
      <c r="AB3213" s="10" t="s">
        <v>3520</v>
      </c>
      <c r="AC3213" s="10" t="s">
        <v>3521</v>
      </c>
      <c r="AD3213" s="10" t="s">
        <v>23410</v>
      </c>
      <c r="AE3213" s="10" t="s">
        <v>23411</v>
      </c>
      <c r="AF3213" s="15"/>
      <c r="AG3213" s="10" t="s">
        <v>3524</v>
      </c>
      <c r="AH3213" s="10" t="s">
        <v>3539</v>
      </c>
      <c r="AI3213" s="10" t="s">
        <v>3539</v>
      </c>
      <c r="AJ3213" s="10"/>
      <c r="AK3213" s="10"/>
      <c r="AL3213" s="10" t="s">
        <v>2201</v>
      </c>
      <c r="AM3213" s="10"/>
      <c r="AN3213" s="10"/>
      <c r="AO3213" s="13" t="b">
        <v>1</v>
      </c>
      <c r="AP3213" s="22" t="s">
        <v>104</v>
      </c>
      <c r="AQ3213" s="10"/>
      <c r="AR3213" s="17"/>
      <c r="AS3213" s="17"/>
      <c r="AT3213" s="17"/>
      <c r="AU3213" s="17"/>
      <c r="AV3213" s="17"/>
      <c r="AW3213" s="10"/>
      <c r="AX3213" s="17"/>
      <c r="AY3213" s="18" t="s">
        <v>257</v>
      </c>
      <c r="AZ3213" s="10"/>
      <c r="BA3213" s="20" t="b">
        <v>0</v>
      </c>
      <c r="BB3213" s="10"/>
      <c r="BC3213" s="17" t="s">
        <v>257</v>
      </c>
      <c r="BD3213" s="17" t="s">
        <v>257</v>
      </c>
      <c r="BE3213" s="17" t="s">
        <v>257</v>
      </c>
      <c r="BF3213" s="17" t="s">
        <v>257</v>
      </c>
      <c r="BG3213" s="11">
        <f ca="1">IFERROR(__xludf.DUMMYFUNCTION("""COMPUTED_VALUE"""),46052.7916666666)</f>
        <v>46052.791666666599</v>
      </c>
      <c r="BH3213" s="17"/>
      <c r="BI3213" s="17"/>
      <c r="BJ3213" s="15"/>
      <c r="BK3213" s="15"/>
      <c r="BL3213" s="13" t="b">
        <v>0</v>
      </c>
      <c r="BM3213" s="10"/>
      <c r="BN3213" s="10" t="s">
        <v>18577</v>
      </c>
      <c r="BO3213" s="11">
        <v>46010.148611111108</v>
      </c>
      <c r="BP3213" s="11">
        <v>46030.882974537039</v>
      </c>
      <c r="BQ3213" s="15"/>
      <c r="BR3213" s="15"/>
      <c r="BS3213" s="10"/>
      <c r="BT3213" s="10" t="s">
        <v>99</v>
      </c>
      <c r="BU3213" s="10"/>
      <c r="BV3213" s="10"/>
      <c r="BW3213" s="10"/>
      <c r="BX3213" s="10"/>
      <c r="BY3213" s="23"/>
      <c r="BZ3213" s="23"/>
      <c r="CA3213" s="10"/>
      <c r="CB3213" s="23"/>
      <c r="CC3213" s="23"/>
      <c r="CD3213" s="23"/>
      <c r="CE3213" s="23"/>
      <c r="CF3213" s="23"/>
      <c r="CG3213" s="23"/>
      <c r="CH3213" s="23"/>
      <c r="CI3213" s="23"/>
    </row>
    <row r="3214" spans="1:87" x14ac:dyDescent="0.3">
      <c r="A3214" s="9" t="s">
        <v>23412</v>
      </c>
      <c r="B3214" s="10" t="s">
        <v>23413</v>
      </c>
      <c r="C3214" s="11">
        <v>46053.645833333336</v>
      </c>
      <c r="D3214" s="12">
        <v>8.3333333333333329E-2</v>
      </c>
      <c r="E3214" s="11">
        <v>46053.729166666664</v>
      </c>
      <c r="F3214" s="22" t="s">
        <v>3511</v>
      </c>
      <c r="G3214" s="13" t="b">
        <v>0</v>
      </c>
      <c r="H3214" s="22" t="s">
        <v>3512</v>
      </c>
      <c r="I3214" s="10" t="s">
        <v>212</v>
      </c>
      <c r="J3214" s="13" t="b">
        <v>1</v>
      </c>
      <c r="K3214" s="13" t="b">
        <v>0</v>
      </c>
      <c r="L3214" s="10" t="s">
        <v>124</v>
      </c>
      <c r="M3214" s="10" t="s">
        <v>91</v>
      </c>
      <c r="N3214" s="10" t="s">
        <v>3513</v>
      </c>
      <c r="O3214" s="10"/>
      <c r="P3214" s="10"/>
      <c r="Q3214" s="10" t="s">
        <v>126</v>
      </c>
      <c r="R3214" s="10"/>
      <c r="S3214" s="10"/>
      <c r="T3214" s="10"/>
      <c r="U3214" s="10" t="s">
        <v>3636</v>
      </c>
      <c r="V3214" s="10" t="s">
        <v>3609</v>
      </c>
      <c r="W3214" s="10" t="s">
        <v>3519</v>
      </c>
      <c r="X3214" s="10" t="s">
        <v>130</v>
      </c>
      <c r="Y3214" s="10" t="s">
        <v>130</v>
      </c>
      <c r="Z3214" s="10" t="s">
        <v>99</v>
      </c>
      <c r="AA3214" s="10" t="s">
        <v>131</v>
      </c>
      <c r="AB3214" s="10" t="s">
        <v>3520</v>
      </c>
      <c r="AC3214" s="10" t="s">
        <v>3521</v>
      </c>
      <c r="AD3214" s="10" t="s">
        <v>23414</v>
      </c>
      <c r="AE3214" s="10" t="s">
        <v>23415</v>
      </c>
      <c r="AF3214" s="15"/>
      <c r="AG3214" s="10"/>
      <c r="AH3214" s="10"/>
      <c r="AI3214" s="10"/>
      <c r="AJ3214" s="10"/>
      <c r="AK3214" s="10"/>
      <c r="AL3214" s="10" t="s">
        <v>2201</v>
      </c>
      <c r="AM3214" s="10"/>
      <c r="AN3214" s="10"/>
      <c r="AO3214" s="13" t="b">
        <v>1</v>
      </c>
      <c r="AP3214" s="22" t="s">
        <v>104</v>
      </c>
      <c r="AQ3214" s="10"/>
      <c r="AR3214" s="17"/>
      <c r="AS3214" s="17"/>
      <c r="AT3214" s="17"/>
      <c r="AU3214" s="17"/>
      <c r="AV3214" s="17"/>
      <c r="AW3214" s="10"/>
      <c r="AX3214" s="17"/>
      <c r="AY3214" s="18" t="s">
        <v>257</v>
      </c>
      <c r="AZ3214" s="10"/>
      <c r="BA3214" s="20" t="b">
        <v>0</v>
      </c>
      <c r="BB3214" s="10"/>
      <c r="BC3214" s="17" t="s">
        <v>257</v>
      </c>
      <c r="BD3214" s="17" t="s">
        <v>257</v>
      </c>
      <c r="BE3214" s="17" t="s">
        <v>257</v>
      </c>
      <c r="BF3214" s="17" t="s">
        <v>257</v>
      </c>
      <c r="BG3214" s="11">
        <f ca="1">IFERROR(__xludf.DUMMYFUNCTION("""COMPUTED_VALUE"""),46053.6458333333)</f>
        <v>46053.645833333299</v>
      </c>
      <c r="BH3214" s="17"/>
      <c r="BI3214" s="17"/>
      <c r="BJ3214" s="15"/>
      <c r="BK3214" s="15"/>
      <c r="BL3214" s="13" t="b">
        <v>0</v>
      </c>
      <c r="BM3214" s="10"/>
      <c r="BN3214" s="10" t="s">
        <v>18577</v>
      </c>
      <c r="BO3214" s="11">
        <v>46010.149050925924</v>
      </c>
      <c r="BP3214" s="11">
        <v>46030.883391203701</v>
      </c>
      <c r="BQ3214" s="15"/>
      <c r="BR3214" s="15"/>
      <c r="BS3214" s="10"/>
      <c r="BT3214" s="10"/>
      <c r="BU3214" s="10"/>
      <c r="BV3214" s="10"/>
      <c r="BW3214" s="10"/>
      <c r="BX3214" s="10"/>
      <c r="BY3214" s="23"/>
      <c r="BZ3214" s="23"/>
      <c r="CA3214" s="10"/>
      <c r="CB3214" s="23"/>
      <c r="CC3214" s="23"/>
      <c r="CD3214" s="23"/>
      <c r="CE3214" s="23"/>
      <c r="CF3214" s="23"/>
      <c r="CG3214" s="23"/>
      <c r="CH3214" s="23"/>
      <c r="CI3214" s="23"/>
    </row>
    <row r="3215" spans="1:87" x14ac:dyDescent="0.3">
      <c r="A3215" s="9" t="s">
        <v>23416</v>
      </c>
      <c r="B3215" s="10" t="s">
        <v>23417</v>
      </c>
      <c r="C3215" s="11">
        <v>46053.791666666664</v>
      </c>
      <c r="D3215" s="12">
        <v>8.3333333333333329E-2</v>
      </c>
      <c r="E3215" s="11">
        <v>46053.875</v>
      </c>
      <c r="F3215" s="22" t="s">
        <v>3511</v>
      </c>
      <c r="G3215" s="13" t="b">
        <v>0</v>
      </c>
      <c r="H3215" s="22" t="s">
        <v>236</v>
      </c>
      <c r="I3215" s="10" t="s">
        <v>212</v>
      </c>
      <c r="J3215" s="13" t="b">
        <v>1</v>
      </c>
      <c r="K3215" s="13" t="b">
        <v>0</v>
      </c>
      <c r="L3215" s="10" t="s">
        <v>124</v>
      </c>
      <c r="M3215" s="10" t="s">
        <v>91</v>
      </c>
      <c r="N3215" s="10" t="s">
        <v>3513</v>
      </c>
      <c r="O3215" s="10"/>
      <c r="P3215" s="10"/>
      <c r="Q3215" s="10" t="s">
        <v>126</v>
      </c>
      <c r="R3215" s="10"/>
      <c r="S3215" s="10"/>
      <c r="T3215" s="10"/>
      <c r="U3215" s="10" t="s">
        <v>3623</v>
      </c>
      <c r="V3215" s="10" t="s">
        <v>3518</v>
      </c>
      <c r="W3215" s="10" t="s">
        <v>3519</v>
      </c>
      <c r="X3215" s="10" t="s">
        <v>130</v>
      </c>
      <c r="Y3215" s="10" t="s">
        <v>130</v>
      </c>
      <c r="Z3215" s="10" t="s">
        <v>99</v>
      </c>
      <c r="AA3215" s="10" t="s">
        <v>131</v>
      </c>
      <c r="AB3215" s="10" t="s">
        <v>3520</v>
      </c>
      <c r="AC3215" s="10" t="s">
        <v>3521</v>
      </c>
      <c r="AD3215" s="10" t="s">
        <v>23418</v>
      </c>
      <c r="AE3215" s="10" t="s">
        <v>23419</v>
      </c>
      <c r="AF3215" s="15"/>
      <c r="AG3215" s="10"/>
      <c r="AH3215" s="10"/>
      <c r="AI3215" s="10"/>
      <c r="AJ3215" s="10"/>
      <c r="AK3215" s="10"/>
      <c r="AL3215" s="10" t="s">
        <v>2201</v>
      </c>
      <c r="AM3215" s="10"/>
      <c r="AN3215" s="10"/>
      <c r="AO3215" s="13" t="b">
        <v>0</v>
      </c>
      <c r="AP3215" s="22" t="s">
        <v>104</v>
      </c>
      <c r="AQ3215" s="10"/>
      <c r="AR3215" s="17"/>
      <c r="AS3215" s="17"/>
      <c r="AT3215" s="17"/>
      <c r="AU3215" s="17"/>
      <c r="AV3215" s="17"/>
      <c r="AW3215" s="10"/>
      <c r="AX3215" s="17"/>
      <c r="AY3215" s="18" t="s">
        <v>257</v>
      </c>
      <c r="AZ3215" s="10"/>
      <c r="BA3215" s="20" t="b">
        <v>0</v>
      </c>
      <c r="BB3215" s="10"/>
      <c r="BC3215" s="17" t="s">
        <v>257</v>
      </c>
      <c r="BD3215" s="17" t="s">
        <v>257</v>
      </c>
      <c r="BE3215" s="17" t="s">
        <v>257</v>
      </c>
      <c r="BF3215" s="17" t="s">
        <v>257</v>
      </c>
      <c r="BG3215" s="11">
        <f ca="1">IFERROR(__xludf.DUMMYFUNCTION("""COMPUTED_VALUE"""),46053.7916666666)</f>
        <v>46053.791666666599</v>
      </c>
      <c r="BH3215" s="17"/>
      <c r="BI3215" s="17"/>
      <c r="BJ3215" s="15"/>
      <c r="BK3215" s="15"/>
      <c r="BL3215" s="13" t="b">
        <v>0</v>
      </c>
      <c r="BM3215" s="10"/>
      <c r="BN3215" s="10" t="s">
        <v>18577</v>
      </c>
      <c r="BO3215" s="11">
        <v>46010.149050925924</v>
      </c>
      <c r="BP3215" s="11">
        <v>46030.884444444448</v>
      </c>
      <c r="BQ3215" s="15"/>
      <c r="BR3215" s="15"/>
      <c r="BS3215" s="10"/>
      <c r="BT3215" s="10" t="s">
        <v>99</v>
      </c>
      <c r="BU3215" s="10"/>
      <c r="BV3215" s="10"/>
      <c r="BW3215" s="10"/>
      <c r="BX3215" s="10"/>
      <c r="BY3215" s="23"/>
      <c r="BZ3215" s="23"/>
      <c r="CA3215" s="10"/>
      <c r="CB3215" s="23"/>
      <c r="CC3215" s="23"/>
      <c r="CD3215" s="23"/>
      <c r="CE3215" s="23"/>
      <c r="CF3215" s="23"/>
      <c r="CG3215" s="23"/>
      <c r="CH3215" s="23"/>
      <c r="CI3215" s="23"/>
    </row>
    <row r="3216" spans="1:87" x14ac:dyDescent="0.3">
      <c r="A3216" s="9" t="s">
        <v>23420</v>
      </c>
      <c r="B3216" s="10" t="s">
        <v>23421</v>
      </c>
      <c r="C3216" s="11">
        <v>46053.791666666664</v>
      </c>
      <c r="D3216" s="12">
        <v>8.3333333333333329E-2</v>
      </c>
      <c r="E3216" s="11">
        <v>46053.875</v>
      </c>
      <c r="F3216" s="22" t="s">
        <v>3511</v>
      </c>
      <c r="G3216" s="13" t="b">
        <v>0</v>
      </c>
      <c r="H3216" s="22" t="s">
        <v>3512</v>
      </c>
      <c r="I3216" s="10" t="s">
        <v>212</v>
      </c>
      <c r="J3216" s="13" t="b">
        <v>1</v>
      </c>
      <c r="K3216" s="13" t="b">
        <v>0</v>
      </c>
      <c r="L3216" s="10" t="s">
        <v>124</v>
      </c>
      <c r="M3216" s="10" t="s">
        <v>91</v>
      </c>
      <c r="N3216" s="10" t="s">
        <v>3513</v>
      </c>
      <c r="O3216" s="10"/>
      <c r="P3216" s="10"/>
      <c r="Q3216" s="10" t="s">
        <v>126</v>
      </c>
      <c r="R3216" s="10"/>
      <c r="S3216" s="10"/>
      <c r="T3216" s="10"/>
      <c r="U3216" s="10" t="s">
        <v>3635</v>
      </c>
      <c r="V3216" s="10" t="s">
        <v>3677</v>
      </c>
      <c r="W3216" s="10" t="s">
        <v>3519</v>
      </c>
      <c r="X3216" s="10" t="s">
        <v>130</v>
      </c>
      <c r="Y3216" s="10" t="s">
        <v>130</v>
      </c>
      <c r="Z3216" s="10" t="s">
        <v>99</v>
      </c>
      <c r="AA3216" s="10" t="s">
        <v>131</v>
      </c>
      <c r="AB3216" s="10" t="s">
        <v>3520</v>
      </c>
      <c r="AC3216" s="10" t="s">
        <v>3521</v>
      </c>
      <c r="AD3216" s="10" t="s">
        <v>23422</v>
      </c>
      <c r="AE3216" s="10" t="s">
        <v>23423</v>
      </c>
      <c r="AF3216" s="15"/>
      <c r="AG3216" s="10"/>
      <c r="AH3216" s="10"/>
      <c r="AI3216" s="10"/>
      <c r="AJ3216" s="10"/>
      <c r="AK3216" s="10"/>
      <c r="AL3216" s="10" t="s">
        <v>2201</v>
      </c>
      <c r="AM3216" s="10"/>
      <c r="AN3216" s="10"/>
      <c r="AO3216" s="13" t="b">
        <v>0</v>
      </c>
      <c r="AP3216" s="22" t="s">
        <v>104</v>
      </c>
      <c r="AQ3216" s="10"/>
      <c r="AR3216" s="17"/>
      <c r="AS3216" s="17"/>
      <c r="AT3216" s="17"/>
      <c r="AU3216" s="17"/>
      <c r="AV3216" s="17"/>
      <c r="AW3216" s="10"/>
      <c r="AX3216" s="17"/>
      <c r="AY3216" s="18" t="s">
        <v>257</v>
      </c>
      <c r="AZ3216" s="10"/>
      <c r="BA3216" s="20" t="b">
        <v>0</v>
      </c>
      <c r="BB3216" s="10"/>
      <c r="BC3216" s="17" t="s">
        <v>257</v>
      </c>
      <c r="BD3216" s="17" t="s">
        <v>257</v>
      </c>
      <c r="BE3216" s="17" t="s">
        <v>257</v>
      </c>
      <c r="BF3216" s="17" t="s">
        <v>257</v>
      </c>
      <c r="BG3216" s="11">
        <f ca="1">IFERROR(__xludf.DUMMYFUNCTION("""COMPUTED_VALUE"""),46053.7916666666)</f>
        <v>46053.791666666599</v>
      </c>
      <c r="BH3216" s="17"/>
      <c r="BI3216" s="17"/>
      <c r="BJ3216" s="15"/>
      <c r="BK3216" s="15"/>
      <c r="BL3216" s="13" t="b">
        <v>0</v>
      </c>
      <c r="BM3216" s="10"/>
      <c r="BN3216" s="10" t="s">
        <v>18577</v>
      </c>
      <c r="BO3216" s="11">
        <v>46010.149050925924</v>
      </c>
      <c r="BP3216" s="11">
        <v>46030.883831018517</v>
      </c>
      <c r="BQ3216" s="15"/>
      <c r="BR3216" s="15"/>
      <c r="BS3216" s="10"/>
      <c r="BT3216" s="10" t="s">
        <v>99</v>
      </c>
      <c r="BU3216" s="10"/>
      <c r="BV3216" s="10"/>
      <c r="BW3216" s="10"/>
      <c r="BX3216" s="10"/>
      <c r="BY3216" s="23"/>
      <c r="BZ3216" s="23"/>
      <c r="CA3216" s="10"/>
      <c r="CB3216" s="23"/>
      <c r="CC3216" s="23"/>
      <c r="CD3216" s="23"/>
      <c r="CE3216" s="23"/>
      <c r="CF3216" s="23"/>
      <c r="CG3216" s="23"/>
      <c r="CH3216" s="23"/>
      <c r="CI3216" s="23"/>
    </row>
    <row r="3217" spans="1:87" x14ac:dyDescent="0.3">
      <c r="A3217" s="9" t="s">
        <v>23424</v>
      </c>
      <c r="B3217" s="10" t="s">
        <v>23425</v>
      </c>
      <c r="C3217" s="11">
        <v>46054.645833333336</v>
      </c>
      <c r="D3217" s="12">
        <v>8.3333333333333329E-2</v>
      </c>
      <c r="E3217" s="11">
        <v>46054.729166666664</v>
      </c>
      <c r="F3217" s="22" t="s">
        <v>3511</v>
      </c>
      <c r="G3217" s="13" t="b">
        <v>0</v>
      </c>
      <c r="H3217" s="22" t="s">
        <v>236</v>
      </c>
      <c r="I3217" s="10" t="s">
        <v>212</v>
      </c>
      <c r="J3217" s="13" t="b">
        <v>1</v>
      </c>
      <c r="K3217" s="13" t="b">
        <v>0</v>
      </c>
      <c r="L3217" s="10" t="s">
        <v>124</v>
      </c>
      <c r="M3217" s="10" t="s">
        <v>91</v>
      </c>
      <c r="N3217" s="10" t="s">
        <v>3513</v>
      </c>
      <c r="O3217" s="10"/>
      <c r="P3217" s="10"/>
      <c r="Q3217" s="10" t="s">
        <v>126</v>
      </c>
      <c r="R3217" s="10"/>
      <c r="S3217" s="10"/>
      <c r="T3217" s="10"/>
      <c r="U3217" s="10" t="s">
        <v>3517</v>
      </c>
      <c r="V3217" s="10" t="s">
        <v>3552</v>
      </c>
      <c r="W3217" s="10" t="s">
        <v>3519</v>
      </c>
      <c r="X3217" s="10" t="s">
        <v>130</v>
      </c>
      <c r="Y3217" s="10" t="s">
        <v>130</v>
      </c>
      <c r="Z3217" s="10" t="s">
        <v>99</v>
      </c>
      <c r="AA3217" s="10" t="s">
        <v>131</v>
      </c>
      <c r="AB3217" s="10" t="s">
        <v>3520</v>
      </c>
      <c r="AC3217" s="10" t="s">
        <v>3521</v>
      </c>
      <c r="AD3217" s="10" t="s">
        <v>23426</v>
      </c>
      <c r="AE3217" s="10" t="s">
        <v>23427</v>
      </c>
      <c r="AF3217" s="15"/>
      <c r="AG3217" s="10"/>
      <c r="AH3217" s="10"/>
      <c r="AI3217" s="10"/>
      <c r="AJ3217" s="10"/>
      <c r="AK3217" s="10"/>
      <c r="AL3217" s="10" t="s">
        <v>2201</v>
      </c>
      <c r="AM3217" s="10"/>
      <c r="AN3217" s="10"/>
      <c r="AO3217" s="13" t="b">
        <v>0</v>
      </c>
      <c r="AP3217" s="22" t="s">
        <v>104</v>
      </c>
      <c r="AQ3217" s="10"/>
      <c r="AR3217" s="17"/>
      <c r="AS3217" s="17"/>
      <c r="AT3217" s="17"/>
      <c r="AU3217" s="17"/>
      <c r="AV3217" s="17"/>
      <c r="AW3217" s="10"/>
      <c r="AX3217" s="17"/>
      <c r="AY3217" s="18" t="s">
        <v>257</v>
      </c>
      <c r="AZ3217" s="10"/>
      <c r="BA3217" s="20" t="b">
        <v>0</v>
      </c>
      <c r="BB3217" s="10"/>
      <c r="BC3217" s="17" t="s">
        <v>257</v>
      </c>
      <c r="BD3217" s="17" t="s">
        <v>257</v>
      </c>
      <c r="BE3217" s="17" t="s">
        <v>257</v>
      </c>
      <c r="BF3217" s="17" t="s">
        <v>257</v>
      </c>
      <c r="BG3217" s="11">
        <f ca="1">IFERROR(__xludf.DUMMYFUNCTION("""COMPUTED_VALUE"""),46054.6458333333)</f>
        <v>46054.645833333299</v>
      </c>
      <c r="BH3217" s="17"/>
      <c r="BI3217" s="17"/>
      <c r="BJ3217" s="15"/>
      <c r="BK3217" s="15"/>
      <c r="BL3217" s="13" t="b">
        <v>0</v>
      </c>
      <c r="BM3217" s="10"/>
      <c r="BN3217" s="10" t="s">
        <v>18577</v>
      </c>
      <c r="BO3217" s="11">
        <v>46010.149050925924</v>
      </c>
      <c r="BP3217" s="11">
        <v>46030.88490740741</v>
      </c>
      <c r="BQ3217" s="15"/>
      <c r="BR3217" s="15"/>
      <c r="BS3217" s="10"/>
      <c r="BT3217" s="10" t="s">
        <v>99</v>
      </c>
      <c r="BU3217" s="10"/>
      <c r="BV3217" s="10"/>
      <c r="BW3217" s="10"/>
      <c r="BX3217" s="10"/>
      <c r="BY3217" s="23"/>
      <c r="BZ3217" s="23"/>
      <c r="CA3217" s="10"/>
      <c r="CB3217" s="23"/>
      <c r="CC3217" s="23"/>
      <c r="CD3217" s="23"/>
      <c r="CE3217" s="23"/>
      <c r="CF3217" s="23"/>
      <c r="CG3217" s="23"/>
      <c r="CH3217" s="23"/>
      <c r="CI3217" s="23"/>
    </row>
    <row r="3218" spans="1:87" x14ac:dyDescent="0.3">
      <c r="A3218" s="9" t="s">
        <v>23428</v>
      </c>
      <c r="B3218" s="10" t="s">
        <v>23429</v>
      </c>
      <c r="C3218" s="11">
        <v>46054.791666666664</v>
      </c>
      <c r="D3218" s="12">
        <v>8.3333333333333329E-2</v>
      </c>
      <c r="E3218" s="11">
        <v>46054.875</v>
      </c>
      <c r="F3218" s="22" t="s">
        <v>3511</v>
      </c>
      <c r="G3218" s="13" t="b">
        <v>0</v>
      </c>
      <c r="H3218" s="22" t="s">
        <v>123</v>
      </c>
      <c r="I3218" s="10" t="s">
        <v>3548</v>
      </c>
      <c r="J3218" s="13" t="b">
        <v>0</v>
      </c>
      <c r="K3218" s="13" t="b">
        <v>1</v>
      </c>
      <c r="L3218" s="10" t="s">
        <v>124</v>
      </c>
      <c r="M3218" s="10" t="s">
        <v>91</v>
      </c>
      <c r="N3218" s="10" t="s">
        <v>3513</v>
      </c>
      <c r="O3218" s="10"/>
      <c r="P3218" s="10"/>
      <c r="Q3218" s="10" t="s">
        <v>126</v>
      </c>
      <c r="R3218" s="10"/>
      <c r="S3218" s="10"/>
      <c r="T3218" s="10"/>
      <c r="U3218" s="10" t="s">
        <v>3551</v>
      </c>
      <c r="V3218" s="10" t="s">
        <v>3622</v>
      </c>
      <c r="W3218" s="10" t="s">
        <v>3519</v>
      </c>
      <c r="X3218" s="10" t="s">
        <v>130</v>
      </c>
      <c r="Y3218" s="10" t="s">
        <v>130</v>
      </c>
      <c r="Z3218" s="10" t="s">
        <v>99</v>
      </c>
      <c r="AA3218" s="10" t="s">
        <v>131</v>
      </c>
      <c r="AB3218" s="10" t="s">
        <v>3520</v>
      </c>
      <c r="AC3218" s="10" t="s">
        <v>3521</v>
      </c>
      <c r="AD3218" s="10" t="s">
        <v>23430</v>
      </c>
      <c r="AE3218" s="10" t="s">
        <v>23431</v>
      </c>
      <c r="AF3218" s="15"/>
      <c r="AG3218" s="10"/>
      <c r="AH3218" s="10"/>
      <c r="AI3218" s="10"/>
      <c r="AJ3218" s="10"/>
      <c r="AK3218" s="10"/>
      <c r="AL3218" s="10" t="s">
        <v>2201</v>
      </c>
      <c r="AM3218" s="10"/>
      <c r="AN3218" s="10"/>
      <c r="AO3218" s="13" t="b">
        <v>1</v>
      </c>
      <c r="AP3218" s="22" t="s">
        <v>104</v>
      </c>
      <c r="AQ3218" s="10"/>
      <c r="AR3218" s="17"/>
      <c r="AS3218" s="17"/>
      <c r="AT3218" s="17"/>
      <c r="AU3218" s="17"/>
      <c r="AV3218" s="17"/>
      <c r="AW3218" s="10"/>
      <c r="AX3218" s="17"/>
      <c r="AY3218" s="18" t="s">
        <v>257</v>
      </c>
      <c r="AZ3218" s="10"/>
      <c r="BA3218" s="20" t="b">
        <v>0</v>
      </c>
      <c r="BB3218" s="10"/>
      <c r="BC3218" s="17" t="s">
        <v>257</v>
      </c>
      <c r="BD3218" s="17" t="s">
        <v>257</v>
      </c>
      <c r="BE3218" s="17" t="s">
        <v>257</v>
      </c>
      <c r="BF3218" s="17" t="s">
        <v>257</v>
      </c>
      <c r="BG3218" s="11">
        <f ca="1">IFERROR(__xludf.DUMMYFUNCTION("""COMPUTED_VALUE"""),46054.7916666666)</f>
        <v>46054.791666666599</v>
      </c>
      <c r="BH3218" s="17"/>
      <c r="BI3218" s="17"/>
      <c r="BJ3218" s="15"/>
      <c r="BK3218" s="15"/>
      <c r="BL3218" s="13" t="b">
        <v>0</v>
      </c>
      <c r="BM3218" s="10"/>
      <c r="BN3218" s="10" t="s">
        <v>18577</v>
      </c>
      <c r="BO3218" s="11">
        <v>46010.149050925924</v>
      </c>
      <c r="BP3218" s="11">
        <v>46030.886400462965</v>
      </c>
      <c r="BQ3218" s="15"/>
      <c r="BR3218" s="15"/>
      <c r="BS3218" s="10"/>
      <c r="BT3218" s="10" t="s">
        <v>99</v>
      </c>
      <c r="BU3218" s="10"/>
      <c r="BV3218" s="10"/>
      <c r="BW3218" s="10"/>
      <c r="BX3218" s="10"/>
      <c r="BY3218" s="23"/>
      <c r="BZ3218" s="23"/>
      <c r="CA3218" s="10"/>
      <c r="CB3218" s="23"/>
      <c r="CC3218" s="23"/>
      <c r="CD3218" s="23"/>
      <c r="CE3218" s="23"/>
      <c r="CF3218" s="23"/>
      <c r="CG3218" s="23"/>
      <c r="CH3218" s="23"/>
      <c r="CI3218" s="23"/>
    </row>
    <row r="3219" spans="1:87" x14ac:dyDescent="0.3">
      <c r="A3219" s="9" t="s">
        <v>23432</v>
      </c>
      <c r="B3219" s="10" t="s">
        <v>23433</v>
      </c>
      <c r="C3219" s="11">
        <v>46055.645833333336</v>
      </c>
      <c r="D3219" s="12">
        <v>8.3333333333333329E-2</v>
      </c>
      <c r="E3219" s="11">
        <v>46055.729166666664</v>
      </c>
      <c r="F3219" s="22" t="s">
        <v>3511</v>
      </c>
      <c r="G3219" s="13" t="b">
        <v>0</v>
      </c>
      <c r="H3219" s="22" t="s">
        <v>123</v>
      </c>
      <c r="I3219" s="10" t="s">
        <v>3548</v>
      </c>
      <c r="J3219" s="13" t="b">
        <v>0</v>
      </c>
      <c r="K3219" s="13" t="b">
        <v>1</v>
      </c>
      <c r="L3219" s="10" t="s">
        <v>124</v>
      </c>
      <c r="M3219" s="10" t="s">
        <v>91</v>
      </c>
      <c r="N3219" s="10" t="s">
        <v>3513</v>
      </c>
      <c r="O3219" s="10"/>
      <c r="P3219" s="10"/>
      <c r="Q3219" s="10" t="s">
        <v>126</v>
      </c>
      <c r="R3219" s="10"/>
      <c r="S3219" s="10"/>
      <c r="T3219" s="10"/>
      <c r="U3219" s="10" t="s">
        <v>3676</v>
      </c>
      <c r="V3219" s="10" t="s">
        <v>3536</v>
      </c>
      <c r="W3219" s="10" t="s">
        <v>3519</v>
      </c>
      <c r="X3219" s="10" t="s">
        <v>130</v>
      </c>
      <c r="Y3219" s="10" t="s">
        <v>130</v>
      </c>
      <c r="Z3219" s="10" t="s">
        <v>99</v>
      </c>
      <c r="AA3219" s="10" t="s">
        <v>131</v>
      </c>
      <c r="AB3219" s="10" t="s">
        <v>3520</v>
      </c>
      <c r="AC3219" s="10" t="s">
        <v>3521</v>
      </c>
      <c r="AD3219" s="10" t="s">
        <v>23434</v>
      </c>
      <c r="AE3219" s="10" t="s">
        <v>23435</v>
      </c>
      <c r="AF3219" s="15"/>
      <c r="AG3219" s="10"/>
      <c r="AH3219" s="10"/>
      <c r="AI3219" s="10"/>
      <c r="AJ3219" s="10"/>
      <c r="AK3219" s="10"/>
      <c r="AL3219" s="10" t="s">
        <v>2201</v>
      </c>
      <c r="AM3219" s="10"/>
      <c r="AN3219" s="10"/>
      <c r="AO3219" s="13" t="b">
        <v>0</v>
      </c>
      <c r="AP3219" s="22" t="s">
        <v>104</v>
      </c>
      <c r="AQ3219" s="10"/>
      <c r="AR3219" s="17"/>
      <c r="AS3219" s="17"/>
      <c r="AT3219" s="17"/>
      <c r="AU3219" s="17"/>
      <c r="AV3219" s="17"/>
      <c r="AW3219" s="10"/>
      <c r="AX3219" s="17"/>
      <c r="AY3219" s="18" t="s">
        <v>257</v>
      </c>
      <c r="AZ3219" s="10"/>
      <c r="BA3219" s="20" t="b">
        <v>0</v>
      </c>
      <c r="BB3219" s="10"/>
      <c r="BC3219" s="17" t="s">
        <v>257</v>
      </c>
      <c r="BD3219" s="17" t="s">
        <v>257</v>
      </c>
      <c r="BE3219" s="17" t="s">
        <v>257</v>
      </c>
      <c r="BF3219" s="17" t="s">
        <v>257</v>
      </c>
      <c r="BG3219" s="11">
        <f ca="1">IFERROR(__xludf.DUMMYFUNCTION("""COMPUTED_VALUE"""),46055.6458333333)</f>
        <v>46055.645833333299</v>
      </c>
      <c r="BH3219" s="17"/>
      <c r="BI3219" s="17"/>
      <c r="BJ3219" s="15"/>
      <c r="BK3219" s="15"/>
      <c r="BL3219" s="13" t="b">
        <v>0</v>
      </c>
      <c r="BM3219" s="10"/>
      <c r="BN3219" s="10" t="s">
        <v>18577</v>
      </c>
      <c r="BO3219" s="11">
        <v>46010.149050925924</v>
      </c>
      <c r="BP3219" s="11">
        <v>46030.886770833335</v>
      </c>
      <c r="BQ3219" s="15"/>
      <c r="BR3219" s="15"/>
      <c r="BS3219" s="10"/>
      <c r="BT3219" s="10" t="s">
        <v>99</v>
      </c>
      <c r="BU3219" s="10"/>
      <c r="BV3219" s="10"/>
      <c r="BW3219" s="10"/>
      <c r="BX3219" s="10"/>
      <c r="BY3219" s="23"/>
      <c r="BZ3219" s="23"/>
      <c r="CA3219" s="10"/>
      <c r="CB3219" s="23"/>
      <c r="CC3219" s="23"/>
      <c r="CD3219" s="23"/>
      <c r="CE3219" s="23"/>
      <c r="CF3219" s="23"/>
      <c r="CG3219" s="23"/>
      <c r="CH3219" s="23"/>
      <c r="CI3219" s="23"/>
    </row>
    <row r="3220" spans="1:87" x14ac:dyDescent="0.3">
      <c r="A3220" s="9" t="s">
        <v>23436</v>
      </c>
      <c r="B3220" s="10" t="s">
        <v>23437</v>
      </c>
      <c r="C3220" s="11">
        <v>46055.791666666664</v>
      </c>
      <c r="D3220" s="12">
        <v>8.3333333333333329E-2</v>
      </c>
      <c r="E3220" s="11">
        <v>46055.875</v>
      </c>
      <c r="F3220" s="22" t="s">
        <v>3511</v>
      </c>
      <c r="G3220" s="13" t="b">
        <v>0</v>
      </c>
      <c r="H3220" s="22" t="s">
        <v>236</v>
      </c>
      <c r="I3220" s="10" t="s">
        <v>212</v>
      </c>
      <c r="J3220" s="13" t="b">
        <v>1</v>
      </c>
      <c r="K3220" s="13" t="b">
        <v>0</v>
      </c>
      <c r="L3220" s="10" t="s">
        <v>124</v>
      </c>
      <c r="M3220" s="10" t="s">
        <v>91</v>
      </c>
      <c r="N3220" s="10" t="s">
        <v>3513</v>
      </c>
      <c r="O3220" s="10"/>
      <c r="P3220" s="10"/>
      <c r="Q3220" s="10" t="s">
        <v>126</v>
      </c>
      <c r="R3220" s="10"/>
      <c r="S3220" s="10"/>
      <c r="T3220" s="10"/>
      <c r="U3220" s="10" t="s">
        <v>3535</v>
      </c>
      <c r="V3220" s="10" t="s">
        <v>3610</v>
      </c>
      <c r="W3220" s="10" t="s">
        <v>3519</v>
      </c>
      <c r="X3220" s="10" t="s">
        <v>130</v>
      </c>
      <c r="Y3220" s="10" t="s">
        <v>130</v>
      </c>
      <c r="Z3220" s="10" t="s">
        <v>99</v>
      </c>
      <c r="AA3220" s="10" t="s">
        <v>131</v>
      </c>
      <c r="AB3220" s="10" t="s">
        <v>3520</v>
      </c>
      <c r="AC3220" s="10" t="s">
        <v>3521</v>
      </c>
      <c r="AD3220" s="10" t="s">
        <v>23438</v>
      </c>
      <c r="AE3220" s="10" t="s">
        <v>23439</v>
      </c>
      <c r="AF3220" s="15"/>
      <c r="AG3220" s="10"/>
      <c r="AH3220" s="10"/>
      <c r="AI3220" s="10"/>
      <c r="AJ3220" s="10"/>
      <c r="AK3220" s="10"/>
      <c r="AL3220" s="10" t="s">
        <v>2201</v>
      </c>
      <c r="AM3220" s="10"/>
      <c r="AN3220" s="10"/>
      <c r="AO3220" s="13" t="b">
        <v>0</v>
      </c>
      <c r="AP3220" s="22" t="s">
        <v>104</v>
      </c>
      <c r="AQ3220" s="10"/>
      <c r="AR3220" s="17"/>
      <c r="AS3220" s="17"/>
      <c r="AT3220" s="17"/>
      <c r="AU3220" s="17"/>
      <c r="AV3220" s="17"/>
      <c r="AW3220" s="10"/>
      <c r="AX3220" s="17"/>
      <c r="AY3220" s="18" t="s">
        <v>257</v>
      </c>
      <c r="AZ3220" s="10"/>
      <c r="BA3220" s="20" t="b">
        <v>0</v>
      </c>
      <c r="BB3220" s="10"/>
      <c r="BC3220" s="17" t="s">
        <v>257</v>
      </c>
      <c r="BD3220" s="17" t="s">
        <v>257</v>
      </c>
      <c r="BE3220" s="17" t="s">
        <v>257</v>
      </c>
      <c r="BF3220" s="17" t="s">
        <v>257</v>
      </c>
      <c r="BG3220" s="11">
        <f ca="1">IFERROR(__xludf.DUMMYFUNCTION("""COMPUTED_VALUE"""),46055.7916666666)</f>
        <v>46055.791666666599</v>
      </c>
      <c r="BH3220" s="17"/>
      <c r="BI3220" s="17"/>
      <c r="BJ3220" s="15"/>
      <c r="BK3220" s="15"/>
      <c r="BL3220" s="13" t="b">
        <v>0</v>
      </c>
      <c r="BM3220" s="10"/>
      <c r="BN3220" s="10" t="s">
        <v>18577</v>
      </c>
      <c r="BO3220" s="11">
        <v>46010.149050925924</v>
      </c>
      <c r="BP3220" s="11">
        <v>46030.887129629627</v>
      </c>
      <c r="BQ3220" s="15"/>
      <c r="BR3220" s="15"/>
      <c r="BS3220" s="10"/>
      <c r="BT3220" s="10" t="s">
        <v>99</v>
      </c>
      <c r="BU3220" s="10"/>
      <c r="BV3220" s="10"/>
      <c r="BW3220" s="10"/>
      <c r="BX3220" s="10"/>
      <c r="BY3220" s="23"/>
      <c r="BZ3220" s="23"/>
      <c r="CA3220" s="10"/>
      <c r="CB3220" s="23"/>
      <c r="CC3220" s="23"/>
      <c r="CD3220" s="23"/>
      <c r="CE3220" s="23"/>
      <c r="CF3220" s="23"/>
      <c r="CG3220" s="23"/>
      <c r="CH3220" s="23"/>
      <c r="CI3220" s="23"/>
    </row>
    <row r="3221" spans="1:87" x14ac:dyDescent="0.3">
      <c r="A3221" s="9" t="s">
        <v>23440</v>
      </c>
      <c r="B3221" s="10" t="s">
        <v>23441</v>
      </c>
      <c r="C3221" s="11">
        <v>46059.645833333336</v>
      </c>
      <c r="D3221" s="12">
        <v>8.3333333333333329E-2</v>
      </c>
      <c r="E3221" s="11">
        <v>46059.729166666664</v>
      </c>
      <c r="F3221" s="22" t="s">
        <v>3511</v>
      </c>
      <c r="G3221" s="13" t="b">
        <v>0</v>
      </c>
      <c r="H3221" s="22" t="s">
        <v>236</v>
      </c>
      <c r="I3221" s="10" t="s">
        <v>212</v>
      </c>
      <c r="J3221" s="13" t="b">
        <v>1</v>
      </c>
      <c r="K3221" s="13" t="b">
        <v>0</v>
      </c>
      <c r="L3221" s="10" t="s">
        <v>124</v>
      </c>
      <c r="M3221" s="10" t="s">
        <v>91</v>
      </c>
      <c r="N3221" s="10" t="s">
        <v>3513</v>
      </c>
      <c r="O3221" s="10"/>
      <c r="P3221" s="10"/>
      <c r="Q3221" s="10"/>
      <c r="R3221" s="10"/>
      <c r="S3221" s="10"/>
      <c r="T3221" s="10"/>
      <c r="U3221" s="10" t="s">
        <v>3552</v>
      </c>
      <c r="V3221" s="10" t="s">
        <v>3636</v>
      </c>
      <c r="W3221" s="10" t="s">
        <v>3519</v>
      </c>
      <c r="X3221" s="10" t="s">
        <v>130</v>
      </c>
      <c r="Y3221" s="10" t="s">
        <v>130</v>
      </c>
      <c r="Z3221" s="10" t="s">
        <v>99</v>
      </c>
      <c r="AA3221" s="10" t="s">
        <v>131</v>
      </c>
      <c r="AB3221" s="10" t="s">
        <v>3520</v>
      </c>
      <c r="AC3221" s="10" t="s">
        <v>3521</v>
      </c>
      <c r="AD3221" s="10" t="s">
        <v>23442</v>
      </c>
      <c r="AE3221" s="10" t="s">
        <v>23443</v>
      </c>
      <c r="AF3221" s="15"/>
      <c r="AG3221" s="10"/>
      <c r="AH3221" s="10"/>
      <c r="AI3221" s="10"/>
      <c r="AJ3221" s="10"/>
      <c r="AK3221" s="10"/>
      <c r="AL3221" s="10" t="s">
        <v>2303</v>
      </c>
      <c r="AM3221" s="10"/>
      <c r="AN3221" s="10"/>
      <c r="AO3221" s="13" t="b">
        <v>0</v>
      </c>
      <c r="AP3221" s="22" t="s">
        <v>104</v>
      </c>
      <c r="AQ3221" s="10"/>
      <c r="AR3221" s="17"/>
      <c r="AS3221" s="17"/>
      <c r="AT3221" s="17"/>
      <c r="AU3221" s="17"/>
      <c r="AV3221" s="17"/>
      <c r="AW3221" s="10"/>
      <c r="AX3221" s="17"/>
      <c r="AY3221" s="18" t="s">
        <v>257</v>
      </c>
      <c r="AZ3221" s="10"/>
      <c r="BA3221" s="20" t="b">
        <v>0</v>
      </c>
      <c r="BB3221" s="10"/>
      <c r="BC3221" s="17" t="s">
        <v>257</v>
      </c>
      <c r="BD3221" s="17" t="s">
        <v>257</v>
      </c>
      <c r="BE3221" s="17" t="s">
        <v>257</v>
      </c>
      <c r="BF3221" s="17" t="s">
        <v>257</v>
      </c>
      <c r="BG3221" s="11">
        <f ca="1">IFERROR(__xludf.DUMMYFUNCTION("""COMPUTED_VALUE"""),46059.6458333333)</f>
        <v>46059.645833333299</v>
      </c>
      <c r="BH3221" s="17"/>
      <c r="BI3221" s="17"/>
      <c r="BJ3221" s="15"/>
      <c r="BK3221" s="15"/>
      <c r="BL3221" s="13" t="b">
        <v>0</v>
      </c>
      <c r="BM3221" s="10"/>
      <c r="BN3221" s="10" t="s">
        <v>223</v>
      </c>
      <c r="BO3221" s="11">
        <v>46010.149050925924</v>
      </c>
      <c r="BP3221" s="11">
        <v>46010.149050925924</v>
      </c>
      <c r="BQ3221" s="15"/>
      <c r="BR3221" s="15"/>
      <c r="BS3221" s="10"/>
      <c r="BT3221" s="10"/>
      <c r="BU3221" s="10"/>
      <c r="BV3221" s="10"/>
      <c r="BW3221" s="10"/>
      <c r="BX3221" s="10"/>
      <c r="BY3221" s="23"/>
      <c r="BZ3221" s="23"/>
      <c r="CA3221" s="10"/>
      <c r="CB3221" s="23"/>
      <c r="CC3221" s="23"/>
      <c r="CD3221" s="23"/>
      <c r="CE3221" s="23"/>
      <c r="CF3221" s="23"/>
      <c r="CG3221" s="23"/>
      <c r="CH3221" s="23"/>
      <c r="CI3221" s="23"/>
    </row>
    <row r="3222" spans="1:87" x14ac:dyDescent="0.3">
      <c r="A3222" s="9" t="s">
        <v>23444</v>
      </c>
      <c r="B3222" s="10" t="s">
        <v>23445</v>
      </c>
      <c r="C3222" s="11">
        <v>46059.791666666664</v>
      </c>
      <c r="D3222" s="12">
        <v>8.3333333333333329E-2</v>
      </c>
      <c r="E3222" s="11">
        <v>46059.875</v>
      </c>
      <c r="F3222" s="22" t="s">
        <v>3511</v>
      </c>
      <c r="G3222" s="13" t="b">
        <v>0</v>
      </c>
      <c r="H3222" s="22" t="s">
        <v>123</v>
      </c>
      <c r="I3222" s="10" t="s">
        <v>3548</v>
      </c>
      <c r="J3222" s="13" t="b">
        <v>0</v>
      </c>
      <c r="K3222" s="13" t="b">
        <v>1</v>
      </c>
      <c r="L3222" s="10" t="s">
        <v>124</v>
      </c>
      <c r="M3222" s="10" t="s">
        <v>91</v>
      </c>
      <c r="N3222" s="10" t="s">
        <v>3513</v>
      </c>
      <c r="O3222" s="10"/>
      <c r="P3222" s="10"/>
      <c r="Q3222" s="10"/>
      <c r="R3222" s="10"/>
      <c r="S3222" s="10"/>
      <c r="T3222" s="10"/>
      <c r="U3222" s="10" t="s">
        <v>3609</v>
      </c>
      <c r="V3222" s="10" t="s">
        <v>3623</v>
      </c>
      <c r="W3222" s="10" t="s">
        <v>3519</v>
      </c>
      <c r="X3222" s="10" t="s">
        <v>130</v>
      </c>
      <c r="Y3222" s="10" t="s">
        <v>130</v>
      </c>
      <c r="Z3222" s="10" t="s">
        <v>99</v>
      </c>
      <c r="AA3222" s="10" t="s">
        <v>131</v>
      </c>
      <c r="AB3222" s="10" t="s">
        <v>3520</v>
      </c>
      <c r="AC3222" s="10" t="s">
        <v>3521</v>
      </c>
      <c r="AD3222" s="10" t="s">
        <v>23446</v>
      </c>
      <c r="AE3222" s="10" t="s">
        <v>23447</v>
      </c>
      <c r="AF3222" s="15"/>
      <c r="AG3222" s="10"/>
      <c r="AH3222" s="10"/>
      <c r="AI3222" s="10"/>
      <c r="AJ3222" s="10"/>
      <c r="AK3222" s="10"/>
      <c r="AL3222" s="10" t="s">
        <v>2303</v>
      </c>
      <c r="AM3222" s="10"/>
      <c r="AN3222" s="10"/>
      <c r="AO3222" s="13" t="b">
        <v>1</v>
      </c>
      <c r="AP3222" s="22" t="s">
        <v>104</v>
      </c>
      <c r="AQ3222" s="10"/>
      <c r="AR3222" s="17"/>
      <c r="AS3222" s="17"/>
      <c r="AT3222" s="17"/>
      <c r="AU3222" s="17"/>
      <c r="AV3222" s="17"/>
      <c r="AW3222" s="10"/>
      <c r="AX3222" s="17"/>
      <c r="AY3222" s="18" t="s">
        <v>257</v>
      </c>
      <c r="AZ3222" s="10"/>
      <c r="BA3222" s="20" t="b">
        <v>0</v>
      </c>
      <c r="BB3222" s="10"/>
      <c r="BC3222" s="17" t="s">
        <v>257</v>
      </c>
      <c r="BD3222" s="17" t="s">
        <v>257</v>
      </c>
      <c r="BE3222" s="17" t="s">
        <v>257</v>
      </c>
      <c r="BF3222" s="17" t="s">
        <v>257</v>
      </c>
      <c r="BG3222" s="11">
        <f ca="1">IFERROR(__xludf.DUMMYFUNCTION("""COMPUTED_VALUE"""),46059.7916666666)</f>
        <v>46059.791666666599</v>
      </c>
      <c r="BH3222" s="17"/>
      <c r="BI3222" s="17"/>
      <c r="BJ3222" s="15"/>
      <c r="BK3222" s="15"/>
      <c r="BL3222" s="13" t="b">
        <v>0</v>
      </c>
      <c r="BM3222" s="10"/>
      <c r="BN3222" s="10" t="s">
        <v>223</v>
      </c>
      <c r="BO3222" s="11">
        <v>46010.149050925924</v>
      </c>
      <c r="BP3222" s="11">
        <v>46010.149050925924</v>
      </c>
      <c r="BQ3222" s="15"/>
      <c r="BR3222" s="15"/>
      <c r="BS3222" s="10"/>
      <c r="BT3222" s="10"/>
      <c r="BU3222" s="10"/>
      <c r="BV3222" s="10"/>
      <c r="BW3222" s="10"/>
      <c r="BX3222" s="10"/>
      <c r="BY3222" s="23"/>
      <c r="BZ3222" s="23"/>
      <c r="CA3222" s="10"/>
      <c r="CB3222" s="23"/>
      <c r="CC3222" s="23"/>
      <c r="CD3222" s="23"/>
      <c r="CE3222" s="23"/>
      <c r="CF3222" s="23"/>
      <c r="CG3222" s="23"/>
      <c r="CH3222" s="23"/>
      <c r="CI3222" s="23"/>
    </row>
    <row r="3223" spans="1:87" x14ac:dyDescent="0.3">
      <c r="A3223" s="9" t="s">
        <v>23448</v>
      </c>
      <c r="B3223" s="10" t="s">
        <v>23449</v>
      </c>
      <c r="C3223" s="11">
        <v>46060.645833333336</v>
      </c>
      <c r="D3223" s="12">
        <v>8.3333333333333329E-2</v>
      </c>
      <c r="E3223" s="11">
        <v>46060.729166666664</v>
      </c>
      <c r="F3223" s="22" t="s">
        <v>3511</v>
      </c>
      <c r="G3223" s="13" t="b">
        <v>0</v>
      </c>
      <c r="H3223" s="22" t="s">
        <v>3512</v>
      </c>
      <c r="I3223" s="10" t="s">
        <v>212</v>
      </c>
      <c r="J3223" s="13" t="b">
        <v>1</v>
      </c>
      <c r="K3223" s="13" t="b">
        <v>0</v>
      </c>
      <c r="L3223" s="10" t="s">
        <v>124</v>
      </c>
      <c r="M3223" s="10" t="s">
        <v>91</v>
      </c>
      <c r="N3223" s="10" t="s">
        <v>3513</v>
      </c>
      <c r="O3223" s="10"/>
      <c r="P3223" s="10"/>
      <c r="Q3223" s="10"/>
      <c r="R3223" s="10"/>
      <c r="S3223" s="10"/>
      <c r="T3223" s="10"/>
      <c r="U3223" s="10" t="s">
        <v>3518</v>
      </c>
      <c r="V3223" s="10" t="s">
        <v>3517</v>
      </c>
      <c r="W3223" s="10" t="s">
        <v>3519</v>
      </c>
      <c r="X3223" s="10" t="s">
        <v>130</v>
      </c>
      <c r="Y3223" s="10" t="s">
        <v>130</v>
      </c>
      <c r="Z3223" s="10" t="s">
        <v>99</v>
      </c>
      <c r="AA3223" s="10" t="s">
        <v>131</v>
      </c>
      <c r="AB3223" s="10" t="s">
        <v>3520</v>
      </c>
      <c r="AC3223" s="10" t="s">
        <v>3521</v>
      </c>
      <c r="AD3223" s="10" t="s">
        <v>23450</v>
      </c>
      <c r="AE3223" s="10" t="s">
        <v>23451</v>
      </c>
      <c r="AF3223" s="15"/>
      <c r="AG3223" s="10"/>
      <c r="AH3223" s="10"/>
      <c r="AI3223" s="10"/>
      <c r="AJ3223" s="10"/>
      <c r="AK3223" s="10"/>
      <c r="AL3223" s="10" t="s">
        <v>2303</v>
      </c>
      <c r="AM3223" s="10"/>
      <c r="AN3223" s="10"/>
      <c r="AO3223" s="13" t="b">
        <v>0</v>
      </c>
      <c r="AP3223" s="22" t="s">
        <v>104</v>
      </c>
      <c r="AQ3223" s="10"/>
      <c r="AR3223" s="17"/>
      <c r="AS3223" s="17"/>
      <c r="AT3223" s="17"/>
      <c r="AU3223" s="17"/>
      <c r="AV3223" s="17"/>
      <c r="AW3223" s="10"/>
      <c r="AX3223" s="17"/>
      <c r="AY3223" s="18" t="s">
        <v>257</v>
      </c>
      <c r="AZ3223" s="10"/>
      <c r="BA3223" s="20" t="b">
        <v>0</v>
      </c>
      <c r="BB3223" s="10"/>
      <c r="BC3223" s="17" t="s">
        <v>257</v>
      </c>
      <c r="BD3223" s="17" t="s">
        <v>257</v>
      </c>
      <c r="BE3223" s="17" t="s">
        <v>257</v>
      </c>
      <c r="BF3223" s="17" t="s">
        <v>257</v>
      </c>
      <c r="BG3223" s="11">
        <f ca="1">IFERROR(__xludf.DUMMYFUNCTION("""COMPUTED_VALUE"""),46060.6458333333)</f>
        <v>46060.645833333299</v>
      </c>
      <c r="BH3223" s="17"/>
      <c r="BI3223" s="17"/>
      <c r="BJ3223" s="15"/>
      <c r="BK3223" s="15"/>
      <c r="BL3223" s="13" t="b">
        <v>0</v>
      </c>
      <c r="BM3223" s="10"/>
      <c r="BN3223" s="10" t="s">
        <v>223</v>
      </c>
      <c r="BO3223" s="11">
        <v>46010.149050925924</v>
      </c>
      <c r="BP3223" s="11">
        <v>46010.149050925924</v>
      </c>
      <c r="BQ3223" s="15"/>
      <c r="BR3223" s="15"/>
      <c r="BS3223" s="10"/>
      <c r="BT3223" s="10"/>
      <c r="BU3223" s="10"/>
      <c r="BV3223" s="10"/>
      <c r="BW3223" s="10"/>
      <c r="BX3223" s="10"/>
      <c r="BY3223" s="23"/>
      <c r="BZ3223" s="23"/>
      <c r="CA3223" s="10"/>
      <c r="CB3223" s="23"/>
      <c r="CC3223" s="23"/>
      <c r="CD3223" s="23"/>
      <c r="CE3223" s="23"/>
      <c r="CF3223" s="23"/>
      <c r="CG3223" s="23"/>
      <c r="CH3223" s="23"/>
      <c r="CI3223" s="23"/>
    </row>
    <row r="3224" spans="1:87" x14ac:dyDescent="0.3">
      <c r="A3224" s="9" t="s">
        <v>23452</v>
      </c>
      <c r="B3224" s="10" t="s">
        <v>3850</v>
      </c>
      <c r="C3224" s="11">
        <v>46060.645833333336</v>
      </c>
      <c r="D3224" s="12">
        <v>8.3333333333333329E-2</v>
      </c>
      <c r="E3224" s="11">
        <v>46060.729166666664</v>
      </c>
      <c r="F3224" s="22" t="s">
        <v>3511</v>
      </c>
      <c r="G3224" s="13" t="b">
        <v>0</v>
      </c>
      <c r="H3224" s="22" t="s">
        <v>123</v>
      </c>
      <c r="I3224" s="10" t="s">
        <v>3548</v>
      </c>
      <c r="J3224" s="13" t="b">
        <v>0</v>
      </c>
      <c r="K3224" s="13" t="b">
        <v>1</v>
      </c>
      <c r="L3224" s="10" t="s">
        <v>124</v>
      </c>
      <c r="M3224" s="10" t="s">
        <v>91</v>
      </c>
      <c r="N3224" s="10" t="s">
        <v>3513</v>
      </c>
      <c r="O3224" s="10"/>
      <c r="P3224" s="10"/>
      <c r="Q3224" s="10"/>
      <c r="R3224" s="10"/>
      <c r="S3224" s="10"/>
      <c r="T3224" s="10"/>
      <c r="U3224" s="10" t="s">
        <v>3622</v>
      </c>
      <c r="V3224" s="10" t="s">
        <v>3662</v>
      </c>
      <c r="W3224" s="10" t="s">
        <v>3519</v>
      </c>
      <c r="X3224" s="10" t="s">
        <v>130</v>
      </c>
      <c r="Y3224" s="10" t="s">
        <v>130</v>
      </c>
      <c r="Z3224" s="10" t="s">
        <v>99</v>
      </c>
      <c r="AA3224" s="10" t="s">
        <v>131</v>
      </c>
      <c r="AB3224" s="10" t="s">
        <v>3520</v>
      </c>
      <c r="AC3224" s="10" t="s">
        <v>3521</v>
      </c>
      <c r="AD3224" s="10" t="s">
        <v>3853</v>
      </c>
      <c r="AE3224" s="10" t="s">
        <v>3854</v>
      </c>
      <c r="AF3224" s="15"/>
      <c r="AG3224" s="10"/>
      <c r="AH3224" s="10"/>
      <c r="AI3224" s="10"/>
      <c r="AJ3224" s="10"/>
      <c r="AK3224" s="10"/>
      <c r="AL3224" s="10" t="s">
        <v>2303</v>
      </c>
      <c r="AM3224" s="10"/>
      <c r="AN3224" s="10"/>
      <c r="AO3224" s="13" t="b">
        <v>0</v>
      </c>
      <c r="AP3224" s="22" t="s">
        <v>104</v>
      </c>
      <c r="AQ3224" s="10"/>
      <c r="AR3224" s="17"/>
      <c r="AS3224" s="17"/>
      <c r="AT3224" s="17"/>
      <c r="AU3224" s="17"/>
      <c r="AV3224" s="17"/>
      <c r="AW3224" s="10"/>
      <c r="AX3224" s="17"/>
      <c r="AY3224" s="18" t="s">
        <v>257</v>
      </c>
      <c r="AZ3224" s="10"/>
      <c r="BA3224" s="20" t="b">
        <v>0</v>
      </c>
      <c r="BB3224" s="10"/>
      <c r="BC3224" s="17" t="s">
        <v>257</v>
      </c>
      <c r="BD3224" s="17" t="s">
        <v>257</v>
      </c>
      <c r="BE3224" s="17" t="s">
        <v>257</v>
      </c>
      <c r="BF3224" s="17" t="s">
        <v>257</v>
      </c>
      <c r="BG3224" s="11">
        <f ca="1">IFERROR(__xludf.DUMMYFUNCTION("""COMPUTED_VALUE"""),46060.6458333333)</f>
        <v>46060.645833333299</v>
      </c>
      <c r="BH3224" s="17"/>
      <c r="BI3224" s="17"/>
      <c r="BJ3224" s="15"/>
      <c r="BK3224" s="15"/>
      <c r="BL3224" s="13" t="b">
        <v>0</v>
      </c>
      <c r="BM3224" s="10"/>
      <c r="BN3224" s="10" t="s">
        <v>223</v>
      </c>
      <c r="BO3224" s="11">
        <v>46010.149050925924</v>
      </c>
      <c r="BP3224" s="11">
        <v>46010.149050925924</v>
      </c>
      <c r="BQ3224" s="15"/>
      <c r="BR3224" s="15"/>
      <c r="BS3224" s="10"/>
      <c r="BT3224" s="10"/>
      <c r="BU3224" s="10"/>
      <c r="BV3224" s="10"/>
      <c r="BW3224" s="10"/>
      <c r="BX3224" s="10"/>
      <c r="BY3224" s="23"/>
      <c r="BZ3224" s="23"/>
      <c r="CA3224" s="10"/>
      <c r="CB3224" s="23"/>
      <c r="CC3224" s="23"/>
      <c r="CD3224" s="23"/>
      <c r="CE3224" s="23"/>
      <c r="CF3224" s="23"/>
      <c r="CG3224" s="23"/>
      <c r="CH3224" s="23"/>
      <c r="CI3224" s="23"/>
    </row>
    <row r="3225" spans="1:87" x14ac:dyDescent="0.3">
      <c r="A3225" s="9" t="s">
        <v>23453</v>
      </c>
      <c r="B3225" s="10" t="s">
        <v>23454</v>
      </c>
      <c r="C3225" s="11">
        <v>46060.791666666664</v>
      </c>
      <c r="D3225" s="12">
        <v>8.3333333333333329E-2</v>
      </c>
      <c r="E3225" s="11">
        <v>46060.875</v>
      </c>
      <c r="F3225" s="22" t="s">
        <v>3511</v>
      </c>
      <c r="G3225" s="13" t="b">
        <v>0</v>
      </c>
      <c r="H3225" s="22" t="s">
        <v>3512</v>
      </c>
      <c r="I3225" s="10" t="s">
        <v>212</v>
      </c>
      <c r="J3225" s="13" t="b">
        <v>1</v>
      </c>
      <c r="K3225" s="13" t="b">
        <v>0</v>
      </c>
      <c r="L3225" s="10" t="s">
        <v>124</v>
      </c>
      <c r="M3225" s="10" t="s">
        <v>91</v>
      </c>
      <c r="N3225" s="10" t="s">
        <v>3513</v>
      </c>
      <c r="O3225" s="10"/>
      <c r="P3225" s="10"/>
      <c r="Q3225" s="10"/>
      <c r="R3225" s="10"/>
      <c r="S3225" s="10"/>
      <c r="T3225" s="10"/>
      <c r="U3225" s="10" t="s">
        <v>3536</v>
      </c>
      <c r="V3225" s="10" t="s">
        <v>3635</v>
      </c>
      <c r="W3225" s="10" t="s">
        <v>3519</v>
      </c>
      <c r="X3225" s="10" t="s">
        <v>130</v>
      </c>
      <c r="Y3225" s="10" t="s">
        <v>130</v>
      </c>
      <c r="Z3225" s="10" t="s">
        <v>99</v>
      </c>
      <c r="AA3225" s="10" t="s">
        <v>131</v>
      </c>
      <c r="AB3225" s="10" t="s">
        <v>3520</v>
      </c>
      <c r="AC3225" s="10" t="s">
        <v>3521</v>
      </c>
      <c r="AD3225" s="10" t="s">
        <v>23455</v>
      </c>
      <c r="AE3225" s="10" t="s">
        <v>23456</v>
      </c>
      <c r="AF3225" s="15"/>
      <c r="AG3225" s="10"/>
      <c r="AH3225" s="10"/>
      <c r="AI3225" s="10"/>
      <c r="AJ3225" s="10"/>
      <c r="AK3225" s="10"/>
      <c r="AL3225" s="10" t="s">
        <v>2303</v>
      </c>
      <c r="AM3225" s="10"/>
      <c r="AN3225" s="10"/>
      <c r="AO3225" s="13" t="b">
        <v>0</v>
      </c>
      <c r="AP3225" s="22" t="s">
        <v>104</v>
      </c>
      <c r="AQ3225" s="10"/>
      <c r="AR3225" s="17"/>
      <c r="AS3225" s="17"/>
      <c r="AT3225" s="17"/>
      <c r="AU3225" s="17"/>
      <c r="AV3225" s="17"/>
      <c r="AW3225" s="10"/>
      <c r="AX3225" s="17"/>
      <c r="AY3225" s="18" t="s">
        <v>257</v>
      </c>
      <c r="AZ3225" s="10"/>
      <c r="BA3225" s="20" t="b">
        <v>0</v>
      </c>
      <c r="BB3225" s="10"/>
      <c r="BC3225" s="17" t="s">
        <v>257</v>
      </c>
      <c r="BD3225" s="17" t="s">
        <v>257</v>
      </c>
      <c r="BE3225" s="17" t="s">
        <v>257</v>
      </c>
      <c r="BF3225" s="17" t="s">
        <v>257</v>
      </c>
      <c r="BG3225" s="11">
        <f ca="1">IFERROR(__xludf.DUMMYFUNCTION("""COMPUTED_VALUE"""),46060.7916666666)</f>
        <v>46060.791666666599</v>
      </c>
      <c r="BH3225" s="17"/>
      <c r="BI3225" s="17"/>
      <c r="BJ3225" s="15"/>
      <c r="BK3225" s="15"/>
      <c r="BL3225" s="13" t="b">
        <v>0</v>
      </c>
      <c r="BM3225" s="10"/>
      <c r="BN3225" s="10" t="s">
        <v>223</v>
      </c>
      <c r="BO3225" s="11">
        <v>46010.149050925924</v>
      </c>
      <c r="BP3225" s="11">
        <v>46010.149050925924</v>
      </c>
      <c r="BQ3225" s="15"/>
      <c r="BR3225" s="15"/>
      <c r="BS3225" s="10"/>
      <c r="BT3225" s="10"/>
      <c r="BU3225" s="10"/>
      <c r="BV3225" s="10"/>
      <c r="BW3225" s="10"/>
      <c r="BX3225" s="10"/>
      <c r="BY3225" s="23"/>
      <c r="BZ3225" s="23"/>
      <c r="CA3225" s="10"/>
      <c r="CB3225" s="23"/>
      <c r="CC3225" s="23"/>
      <c r="CD3225" s="23"/>
      <c r="CE3225" s="23"/>
      <c r="CF3225" s="23"/>
      <c r="CG3225" s="23"/>
      <c r="CH3225" s="23"/>
      <c r="CI3225" s="23"/>
    </row>
    <row r="3226" spans="1:87" x14ac:dyDescent="0.3">
      <c r="A3226" s="9" t="s">
        <v>23457</v>
      </c>
      <c r="B3226" s="10" t="s">
        <v>23458</v>
      </c>
      <c r="C3226" s="11">
        <v>46060.791666666664</v>
      </c>
      <c r="D3226" s="12">
        <v>8.3333333333333329E-2</v>
      </c>
      <c r="E3226" s="11">
        <v>46060.875</v>
      </c>
      <c r="F3226" s="22" t="s">
        <v>3511</v>
      </c>
      <c r="G3226" s="13" t="b">
        <v>0</v>
      </c>
      <c r="H3226" s="22" t="s">
        <v>123</v>
      </c>
      <c r="I3226" s="10" t="s">
        <v>3548</v>
      </c>
      <c r="J3226" s="13" t="b">
        <v>0</v>
      </c>
      <c r="K3226" s="13" t="b">
        <v>1</v>
      </c>
      <c r="L3226" s="10" t="s">
        <v>124</v>
      </c>
      <c r="M3226" s="10" t="s">
        <v>91</v>
      </c>
      <c r="N3226" s="10" t="s">
        <v>3513</v>
      </c>
      <c r="O3226" s="10"/>
      <c r="P3226" s="10"/>
      <c r="Q3226" s="10"/>
      <c r="R3226" s="10"/>
      <c r="S3226" s="10"/>
      <c r="T3226" s="10"/>
      <c r="U3226" s="10" t="s">
        <v>3661</v>
      </c>
      <c r="V3226" s="10" t="s">
        <v>3551</v>
      </c>
      <c r="W3226" s="10" t="s">
        <v>3519</v>
      </c>
      <c r="X3226" s="10" t="s">
        <v>130</v>
      </c>
      <c r="Y3226" s="10" t="s">
        <v>130</v>
      </c>
      <c r="Z3226" s="10" t="s">
        <v>99</v>
      </c>
      <c r="AA3226" s="10" t="s">
        <v>131</v>
      </c>
      <c r="AB3226" s="10" t="s">
        <v>3520</v>
      </c>
      <c r="AC3226" s="10" t="s">
        <v>3521</v>
      </c>
      <c r="AD3226" s="10" t="s">
        <v>23459</v>
      </c>
      <c r="AE3226" s="10" t="s">
        <v>23460</v>
      </c>
      <c r="AF3226" s="15"/>
      <c r="AG3226" s="10"/>
      <c r="AH3226" s="10"/>
      <c r="AI3226" s="10"/>
      <c r="AJ3226" s="10"/>
      <c r="AK3226" s="10"/>
      <c r="AL3226" s="10" t="s">
        <v>2303</v>
      </c>
      <c r="AM3226" s="10"/>
      <c r="AN3226" s="10"/>
      <c r="AO3226" s="13" t="b">
        <v>1</v>
      </c>
      <c r="AP3226" s="22" t="s">
        <v>104</v>
      </c>
      <c r="AQ3226" s="10"/>
      <c r="AR3226" s="17"/>
      <c r="AS3226" s="17"/>
      <c r="AT3226" s="17"/>
      <c r="AU3226" s="17"/>
      <c r="AV3226" s="17"/>
      <c r="AW3226" s="10"/>
      <c r="AX3226" s="17"/>
      <c r="AY3226" s="18" t="s">
        <v>257</v>
      </c>
      <c r="AZ3226" s="10"/>
      <c r="BA3226" s="20" t="b">
        <v>0</v>
      </c>
      <c r="BB3226" s="10"/>
      <c r="BC3226" s="17" t="s">
        <v>257</v>
      </c>
      <c r="BD3226" s="17" t="s">
        <v>257</v>
      </c>
      <c r="BE3226" s="17" t="s">
        <v>257</v>
      </c>
      <c r="BF3226" s="17" t="s">
        <v>257</v>
      </c>
      <c r="BG3226" s="11">
        <f ca="1">IFERROR(__xludf.DUMMYFUNCTION("""COMPUTED_VALUE"""),46060.7916666666)</f>
        <v>46060.791666666599</v>
      </c>
      <c r="BH3226" s="17"/>
      <c r="BI3226" s="17"/>
      <c r="BJ3226" s="15"/>
      <c r="BK3226" s="15"/>
      <c r="BL3226" s="13" t="b">
        <v>0</v>
      </c>
      <c r="BM3226" s="10"/>
      <c r="BN3226" s="10" t="s">
        <v>223</v>
      </c>
      <c r="BO3226" s="11">
        <v>46010.149050925924</v>
      </c>
      <c r="BP3226" s="11">
        <v>46010.149050925924</v>
      </c>
      <c r="BQ3226" s="15"/>
      <c r="BR3226" s="15"/>
      <c r="BS3226" s="10"/>
      <c r="BT3226" s="10"/>
      <c r="BU3226" s="10"/>
      <c r="BV3226" s="10"/>
      <c r="BW3226" s="10"/>
      <c r="BX3226" s="10"/>
      <c r="BY3226" s="23"/>
      <c r="BZ3226" s="23"/>
      <c r="CA3226" s="10"/>
      <c r="CB3226" s="23"/>
      <c r="CC3226" s="23"/>
      <c r="CD3226" s="23"/>
      <c r="CE3226" s="23"/>
      <c r="CF3226" s="23"/>
      <c r="CG3226" s="23"/>
      <c r="CH3226" s="23"/>
      <c r="CI3226" s="23"/>
    </row>
    <row r="3227" spans="1:87" x14ac:dyDescent="0.3">
      <c r="A3227" s="9" t="s">
        <v>23461</v>
      </c>
      <c r="B3227" s="10" t="s">
        <v>23462</v>
      </c>
      <c r="C3227" s="11">
        <v>46061.645833333336</v>
      </c>
      <c r="D3227" s="12">
        <v>8.3333333333333329E-2</v>
      </c>
      <c r="E3227" s="11">
        <v>46061.729166666664</v>
      </c>
      <c r="F3227" s="22" t="s">
        <v>3511</v>
      </c>
      <c r="G3227" s="13" t="b">
        <v>0</v>
      </c>
      <c r="H3227" s="22" t="s">
        <v>3512</v>
      </c>
      <c r="I3227" s="10" t="s">
        <v>212</v>
      </c>
      <c r="J3227" s="13" t="b">
        <v>1</v>
      </c>
      <c r="K3227" s="13" t="b">
        <v>0</v>
      </c>
      <c r="L3227" s="10" t="s">
        <v>124</v>
      </c>
      <c r="M3227" s="10" t="s">
        <v>91</v>
      </c>
      <c r="N3227" s="10" t="s">
        <v>3513</v>
      </c>
      <c r="O3227" s="10"/>
      <c r="P3227" s="10"/>
      <c r="Q3227" s="10"/>
      <c r="R3227" s="10"/>
      <c r="S3227" s="10"/>
      <c r="T3227" s="10"/>
      <c r="U3227" s="10" t="s">
        <v>3610</v>
      </c>
      <c r="V3227" s="10" t="s">
        <v>3648</v>
      </c>
      <c r="W3227" s="10" t="s">
        <v>3519</v>
      </c>
      <c r="X3227" s="10" t="s">
        <v>130</v>
      </c>
      <c r="Y3227" s="10" t="s">
        <v>130</v>
      </c>
      <c r="Z3227" s="10" t="s">
        <v>99</v>
      </c>
      <c r="AA3227" s="10" t="s">
        <v>131</v>
      </c>
      <c r="AB3227" s="10" t="s">
        <v>3520</v>
      </c>
      <c r="AC3227" s="10" t="s">
        <v>3521</v>
      </c>
      <c r="AD3227" s="10" t="s">
        <v>23463</v>
      </c>
      <c r="AE3227" s="10" t="s">
        <v>23464</v>
      </c>
      <c r="AF3227" s="15"/>
      <c r="AG3227" s="10"/>
      <c r="AH3227" s="10"/>
      <c r="AI3227" s="10"/>
      <c r="AJ3227" s="10"/>
      <c r="AK3227" s="10"/>
      <c r="AL3227" s="10" t="s">
        <v>2303</v>
      </c>
      <c r="AM3227" s="10"/>
      <c r="AN3227" s="10"/>
      <c r="AO3227" s="13" t="b">
        <v>0</v>
      </c>
      <c r="AP3227" s="22" t="s">
        <v>104</v>
      </c>
      <c r="AQ3227" s="10"/>
      <c r="AR3227" s="17"/>
      <c r="AS3227" s="17"/>
      <c r="AT3227" s="17"/>
      <c r="AU3227" s="17"/>
      <c r="AV3227" s="17"/>
      <c r="AW3227" s="10"/>
      <c r="AX3227" s="17"/>
      <c r="AY3227" s="18" t="s">
        <v>257</v>
      </c>
      <c r="AZ3227" s="10"/>
      <c r="BA3227" s="20" t="b">
        <v>0</v>
      </c>
      <c r="BB3227" s="10"/>
      <c r="BC3227" s="17" t="s">
        <v>257</v>
      </c>
      <c r="BD3227" s="17" t="s">
        <v>257</v>
      </c>
      <c r="BE3227" s="17" t="s">
        <v>257</v>
      </c>
      <c r="BF3227" s="17" t="s">
        <v>257</v>
      </c>
      <c r="BG3227" s="11">
        <f ca="1">IFERROR(__xludf.DUMMYFUNCTION("""COMPUTED_VALUE"""),46061.6458333333)</f>
        <v>46061.645833333299</v>
      </c>
      <c r="BH3227" s="17"/>
      <c r="BI3227" s="17"/>
      <c r="BJ3227" s="15"/>
      <c r="BK3227" s="15"/>
      <c r="BL3227" s="13" t="b">
        <v>0</v>
      </c>
      <c r="BM3227" s="10"/>
      <c r="BN3227" s="10" t="s">
        <v>223</v>
      </c>
      <c r="BO3227" s="11">
        <v>46010.149050925924</v>
      </c>
      <c r="BP3227" s="11">
        <v>46010.149050925924</v>
      </c>
      <c r="BQ3227" s="15"/>
      <c r="BR3227" s="15"/>
      <c r="BS3227" s="10"/>
      <c r="BT3227" s="10"/>
      <c r="BU3227" s="10"/>
      <c r="BV3227" s="10"/>
      <c r="BW3227" s="10"/>
      <c r="BX3227" s="10"/>
      <c r="BY3227" s="23"/>
      <c r="BZ3227" s="23"/>
      <c r="CA3227" s="10"/>
      <c r="CB3227" s="23"/>
      <c r="CC3227" s="23"/>
      <c r="CD3227" s="23"/>
      <c r="CE3227" s="23"/>
      <c r="CF3227" s="23"/>
      <c r="CG3227" s="23"/>
      <c r="CH3227" s="23"/>
      <c r="CI3227" s="23"/>
    </row>
    <row r="3228" spans="1:87" x14ac:dyDescent="0.3">
      <c r="A3228" s="9" t="s">
        <v>23465</v>
      </c>
      <c r="B3228" s="10" t="s">
        <v>23466</v>
      </c>
      <c r="C3228" s="11">
        <v>46061.645833333336</v>
      </c>
      <c r="D3228" s="12">
        <v>8.3333333333333329E-2</v>
      </c>
      <c r="E3228" s="11">
        <v>46061.729166666664</v>
      </c>
      <c r="F3228" s="22" t="s">
        <v>3511</v>
      </c>
      <c r="G3228" s="13" t="b">
        <v>0</v>
      </c>
      <c r="H3228" s="22" t="s">
        <v>123</v>
      </c>
      <c r="I3228" s="10" t="s">
        <v>3548</v>
      </c>
      <c r="J3228" s="13" t="b">
        <v>0</v>
      </c>
      <c r="K3228" s="13" t="b">
        <v>1</v>
      </c>
      <c r="L3228" s="10" t="s">
        <v>124</v>
      </c>
      <c r="M3228" s="10" t="s">
        <v>91</v>
      </c>
      <c r="N3228" s="10" t="s">
        <v>3513</v>
      </c>
      <c r="O3228" s="10"/>
      <c r="P3228" s="10"/>
      <c r="Q3228" s="10"/>
      <c r="R3228" s="10"/>
      <c r="S3228" s="10"/>
      <c r="T3228" s="10"/>
      <c r="U3228" s="10" t="s">
        <v>3677</v>
      </c>
      <c r="V3228" s="10" t="s">
        <v>3535</v>
      </c>
      <c r="W3228" s="10" t="s">
        <v>3519</v>
      </c>
      <c r="X3228" s="10" t="s">
        <v>130</v>
      </c>
      <c r="Y3228" s="10" t="s">
        <v>130</v>
      </c>
      <c r="Z3228" s="10" t="s">
        <v>99</v>
      </c>
      <c r="AA3228" s="10" t="s">
        <v>131</v>
      </c>
      <c r="AB3228" s="10" t="s">
        <v>3520</v>
      </c>
      <c r="AC3228" s="10" t="s">
        <v>3521</v>
      </c>
      <c r="AD3228" s="10" t="s">
        <v>23467</v>
      </c>
      <c r="AE3228" s="10" t="s">
        <v>23468</v>
      </c>
      <c r="AF3228" s="15"/>
      <c r="AG3228" s="10"/>
      <c r="AH3228" s="10"/>
      <c r="AI3228" s="10"/>
      <c r="AJ3228" s="10"/>
      <c r="AK3228" s="10"/>
      <c r="AL3228" s="10" t="s">
        <v>2303</v>
      </c>
      <c r="AM3228" s="10"/>
      <c r="AN3228" s="10"/>
      <c r="AO3228" s="13" t="b">
        <v>0</v>
      </c>
      <c r="AP3228" s="22" t="s">
        <v>104</v>
      </c>
      <c r="AQ3228" s="10"/>
      <c r="AR3228" s="17"/>
      <c r="AS3228" s="17"/>
      <c r="AT3228" s="17"/>
      <c r="AU3228" s="17"/>
      <c r="AV3228" s="17"/>
      <c r="AW3228" s="10"/>
      <c r="AX3228" s="17"/>
      <c r="AY3228" s="18" t="s">
        <v>257</v>
      </c>
      <c r="AZ3228" s="10"/>
      <c r="BA3228" s="20" t="b">
        <v>0</v>
      </c>
      <c r="BB3228" s="10"/>
      <c r="BC3228" s="17" t="s">
        <v>257</v>
      </c>
      <c r="BD3228" s="17" t="s">
        <v>257</v>
      </c>
      <c r="BE3228" s="17" t="s">
        <v>257</v>
      </c>
      <c r="BF3228" s="17" t="s">
        <v>257</v>
      </c>
      <c r="BG3228" s="11">
        <f ca="1">IFERROR(__xludf.DUMMYFUNCTION("""COMPUTED_VALUE"""),46061.6458333333)</f>
        <v>46061.645833333299</v>
      </c>
      <c r="BH3228" s="17"/>
      <c r="BI3228" s="17"/>
      <c r="BJ3228" s="15"/>
      <c r="BK3228" s="15"/>
      <c r="BL3228" s="13" t="b">
        <v>0</v>
      </c>
      <c r="BM3228" s="10"/>
      <c r="BN3228" s="10" t="s">
        <v>223</v>
      </c>
      <c r="BO3228" s="11">
        <v>46010.149050925924</v>
      </c>
      <c r="BP3228" s="11">
        <v>46010.149050925924</v>
      </c>
      <c r="BQ3228" s="15"/>
      <c r="BR3228" s="15"/>
      <c r="BS3228" s="10"/>
      <c r="BT3228" s="10"/>
      <c r="BU3228" s="10"/>
      <c r="BV3228" s="10"/>
      <c r="BW3228" s="10"/>
      <c r="BX3228" s="10"/>
      <c r="BY3228" s="23"/>
      <c r="BZ3228" s="23"/>
      <c r="CA3228" s="10"/>
      <c r="CB3228" s="23"/>
      <c r="CC3228" s="23"/>
      <c r="CD3228" s="23"/>
      <c r="CE3228" s="23"/>
      <c r="CF3228" s="23"/>
      <c r="CG3228" s="23"/>
      <c r="CH3228" s="23"/>
      <c r="CI3228" s="23"/>
    </row>
    <row r="3229" spans="1:87" x14ac:dyDescent="0.3">
      <c r="A3229" s="9" t="s">
        <v>23469</v>
      </c>
      <c r="B3229" s="10" t="s">
        <v>23470</v>
      </c>
      <c r="C3229" s="11">
        <v>46061.791666666664</v>
      </c>
      <c r="D3229" s="12">
        <v>8.3333333333333329E-2</v>
      </c>
      <c r="E3229" s="11">
        <v>46061.875</v>
      </c>
      <c r="F3229" s="22" t="s">
        <v>3511</v>
      </c>
      <c r="G3229" s="13" t="b">
        <v>0</v>
      </c>
      <c r="H3229" s="22" t="s">
        <v>123</v>
      </c>
      <c r="I3229" s="10" t="s">
        <v>3548</v>
      </c>
      <c r="J3229" s="13" t="b">
        <v>0</v>
      </c>
      <c r="K3229" s="13" t="b">
        <v>1</v>
      </c>
      <c r="L3229" s="10" t="s">
        <v>124</v>
      </c>
      <c r="M3229" s="10" t="s">
        <v>91</v>
      </c>
      <c r="N3229" s="10" t="s">
        <v>3513</v>
      </c>
      <c r="O3229" s="10"/>
      <c r="P3229" s="10"/>
      <c r="Q3229" s="10"/>
      <c r="R3229" s="10"/>
      <c r="S3229" s="10"/>
      <c r="T3229" s="10"/>
      <c r="U3229" s="10" t="s">
        <v>3647</v>
      </c>
      <c r="V3229" s="10" t="s">
        <v>3676</v>
      </c>
      <c r="W3229" s="10" t="s">
        <v>3519</v>
      </c>
      <c r="X3229" s="10" t="s">
        <v>130</v>
      </c>
      <c r="Y3229" s="10" t="s">
        <v>130</v>
      </c>
      <c r="Z3229" s="10" t="s">
        <v>99</v>
      </c>
      <c r="AA3229" s="10" t="s">
        <v>131</v>
      </c>
      <c r="AB3229" s="10" t="s">
        <v>3520</v>
      </c>
      <c r="AC3229" s="10" t="s">
        <v>3521</v>
      </c>
      <c r="AD3229" s="10" t="s">
        <v>23471</v>
      </c>
      <c r="AE3229" s="10" t="s">
        <v>23472</v>
      </c>
      <c r="AF3229" s="15"/>
      <c r="AG3229" s="10"/>
      <c r="AH3229" s="10"/>
      <c r="AI3229" s="10"/>
      <c r="AJ3229" s="10"/>
      <c r="AK3229" s="10"/>
      <c r="AL3229" s="10" t="s">
        <v>2303</v>
      </c>
      <c r="AM3229" s="10"/>
      <c r="AN3229" s="10"/>
      <c r="AO3229" s="13" t="b">
        <v>1</v>
      </c>
      <c r="AP3229" s="22" t="s">
        <v>104</v>
      </c>
      <c r="AQ3229" s="10"/>
      <c r="AR3229" s="17"/>
      <c r="AS3229" s="17"/>
      <c r="AT3229" s="17"/>
      <c r="AU3229" s="17"/>
      <c r="AV3229" s="17"/>
      <c r="AW3229" s="10"/>
      <c r="AX3229" s="17"/>
      <c r="AY3229" s="18" t="s">
        <v>257</v>
      </c>
      <c r="AZ3229" s="10"/>
      <c r="BA3229" s="20" t="b">
        <v>0</v>
      </c>
      <c r="BB3229" s="10"/>
      <c r="BC3229" s="17" t="s">
        <v>257</v>
      </c>
      <c r="BD3229" s="17" t="s">
        <v>257</v>
      </c>
      <c r="BE3229" s="17" t="s">
        <v>257</v>
      </c>
      <c r="BF3229" s="17" t="s">
        <v>257</v>
      </c>
      <c r="BG3229" s="11">
        <f ca="1">IFERROR(__xludf.DUMMYFUNCTION("""COMPUTED_VALUE"""),46061.7916666666)</f>
        <v>46061.791666666599</v>
      </c>
      <c r="BH3229" s="17"/>
      <c r="BI3229" s="17"/>
      <c r="BJ3229" s="15"/>
      <c r="BK3229" s="15"/>
      <c r="BL3229" s="13" t="b">
        <v>0</v>
      </c>
      <c r="BM3229" s="10"/>
      <c r="BN3229" s="10" t="s">
        <v>223</v>
      </c>
      <c r="BO3229" s="11">
        <v>46010.149050925924</v>
      </c>
      <c r="BP3229" s="11">
        <v>46010.149050925924</v>
      </c>
      <c r="BQ3229" s="15"/>
      <c r="BR3229" s="15"/>
      <c r="BS3229" s="10"/>
      <c r="BT3229" s="10"/>
      <c r="BU3229" s="10"/>
      <c r="BV3229" s="10"/>
      <c r="BW3229" s="10"/>
      <c r="BX3229" s="10"/>
      <c r="BY3229" s="23"/>
      <c r="BZ3229" s="23"/>
      <c r="CA3229" s="10"/>
      <c r="CB3229" s="23"/>
      <c r="CC3229" s="23"/>
      <c r="CD3229" s="23"/>
      <c r="CE3229" s="23"/>
      <c r="CF3229" s="23"/>
      <c r="CG3229" s="23"/>
      <c r="CH3229" s="23"/>
      <c r="CI3229" s="23"/>
    </row>
    <row r="3230" spans="1:87" x14ac:dyDescent="0.3">
      <c r="A3230" s="9" t="s">
        <v>23473</v>
      </c>
      <c r="B3230" s="10" t="s">
        <v>23474</v>
      </c>
      <c r="C3230" s="11">
        <v>46066.645833333336</v>
      </c>
      <c r="D3230" s="12">
        <v>8.3333333333333329E-2</v>
      </c>
      <c r="E3230" s="11">
        <v>46066.729166666664</v>
      </c>
      <c r="F3230" s="22" t="s">
        <v>3511</v>
      </c>
      <c r="G3230" s="13" t="b">
        <v>0</v>
      </c>
      <c r="H3230" s="22" t="s">
        <v>236</v>
      </c>
      <c r="I3230" s="10" t="s">
        <v>212</v>
      </c>
      <c r="J3230" s="13" t="b">
        <v>1</v>
      </c>
      <c r="K3230" s="13" t="b">
        <v>0</v>
      </c>
      <c r="L3230" s="10" t="s">
        <v>124</v>
      </c>
      <c r="M3230" s="10" t="s">
        <v>91</v>
      </c>
      <c r="N3230" s="10" t="s">
        <v>3513</v>
      </c>
      <c r="O3230" s="10"/>
      <c r="P3230" s="10"/>
      <c r="Q3230" s="10"/>
      <c r="R3230" s="10"/>
      <c r="S3230" s="10"/>
      <c r="T3230" s="10"/>
      <c r="U3230" s="10" t="s">
        <v>3636</v>
      </c>
      <c r="V3230" s="10" t="s">
        <v>3635</v>
      </c>
      <c r="W3230" s="10" t="s">
        <v>3519</v>
      </c>
      <c r="X3230" s="10" t="s">
        <v>130</v>
      </c>
      <c r="Y3230" s="10" t="s">
        <v>130</v>
      </c>
      <c r="Z3230" s="10" t="s">
        <v>99</v>
      </c>
      <c r="AA3230" s="10" t="s">
        <v>131</v>
      </c>
      <c r="AB3230" s="10" t="s">
        <v>3520</v>
      </c>
      <c r="AC3230" s="10" t="s">
        <v>3521</v>
      </c>
      <c r="AD3230" s="10" t="s">
        <v>23475</v>
      </c>
      <c r="AE3230" s="10" t="s">
        <v>23476</v>
      </c>
      <c r="AF3230" s="15"/>
      <c r="AG3230" s="10"/>
      <c r="AH3230" s="10"/>
      <c r="AI3230" s="10"/>
      <c r="AJ3230" s="10"/>
      <c r="AK3230" s="10"/>
      <c r="AL3230" s="10" t="s">
        <v>2405</v>
      </c>
      <c r="AM3230" s="10"/>
      <c r="AN3230" s="10"/>
      <c r="AO3230" s="13" t="b">
        <v>0</v>
      </c>
      <c r="AP3230" s="22" t="s">
        <v>104</v>
      </c>
      <c r="AQ3230" s="10"/>
      <c r="AR3230" s="17"/>
      <c r="AS3230" s="17"/>
      <c r="AT3230" s="17"/>
      <c r="AU3230" s="17"/>
      <c r="AV3230" s="17"/>
      <c r="AW3230" s="10"/>
      <c r="AX3230" s="17"/>
      <c r="AY3230" s="18" t="s">
        <v>257</v>
      </c>
      <c r="AZ3230" s="10"/>
      <c r="BA3230" s="20" t="b">
        <v>0</v>
      </c>
      <c r="BB3230" s="10"/>
      <c r="BC3230" s="17" t="s">
        <v>257</v>
      </c>
      <c r="BD3230" s="17" t="s">
        <v>257</v>
      </c>
      <c r="BE3230" s="17" t="s">
        <v>257</v>
      </c>
      <c r="BF3230" s="17" t="s">
        <v>257</v>
      </c>
      <c r="BG3230" s="11">
        <f ca="1">IFERROR(__xludf.DUMMYFUNCTION("""COMPUTED_VALUE"""),46066.6458333333)</f>
        <v>46066.645833333299</v>
      </c>
      <c r="BH3230" s="17"/>
      <c r="BI3230" s="17"/>
      <c r="BJ3230" s="15"/>
      <c r="BK3230" s="15"/>
      <c r="BL3230" s="13" t="b">
        <v>0</v>
      </c>
      <c r="BM3230" s="10"/>
      <c r="BN3230" s="10" t="s">
        <v>223</v>
      </c>
      <c r="BO3230" s="11">
        <v>46010.149050925924</v>
      </c>
      <c r="BP3230" s="11">
        <v>46010.149050925924</v>
      </c>
      <c r="BQ3230" s="15"/>
      <c r="BR3230" s="15"/>
      <c r="BS3230" s="10"/>
      <c r="BT3230" s="10"/>
      <c r="BU3230" s="10"/>
      <c r="BV3230" s="10"/>
      <c r="BW3230" s="10"/>
      <c r="BX3230" s="10"/>
      <c r="BY3230" s="23"/>
      <c r="BZ3230" s="23"/>
      <c r="CA3230" s="10"/>
      <c r="CB3230" s="23"/>
      <c r="CC3230" s="23"/>
      <c r="CD3230" s="23"/>
      <c r="CE3230" s="23"/>
      <c r="CF3230" s="23"/>
      <c r="CG3230" s="23"/>
      <c r="CH3230" s="23"/>
      <c r="CI3230" s="23"/>
    </row>
    <row r="3231" spans="1:87" x14ac:dyDescent="0.3">
      <c r="A3231" s="9" t="s">
        <v>23477</v>
      </c>
      <c r="B3231" s="10" t="s">
        <v>23478</v>
      </c>
      <c r="C3231" s="11">
        <v>46066.645833333336</v>
      </c>
      <c r="D3231" s="12">
        <v>8.3333333333333329E-2</v>
      </c>
      <c r="E3231" s="11">
        <v>46066.729166666664</v>
      </c>
      <c r="F3231" s="22" t="s">
        <v>3511</v>
      </c>
      <c r="G3231" s="13" t="b">
        <v>0</v>
      </c>
      <c r="H3231" s="22" t="s">
        <v>3512</v>
      </c>
      <c r="I3231" s="10" t="s">
        <v>212</v>
      </c>
      <c r="J3231" s="13" t="b">
        <v>1</v>
      </c>
      <c r="K3231" s="13" t="b">
        <v>0</v>
      </c>
      <c r="L3231" s="10" t="s">
        <v>124</v>
      </c>
      <c r="M3231" s="10" t="s">
        <v>91</v>
      </c>
      <c r="N3231" s="10" t="s">
        <v>3513</v>
      </c>
      <c r="O3231" s="10"/>
      <c r="P3231" s="10"/>
      <c r="Q3231" s="10"/>
      <c r="R3231" s="10"/>
      <c r="S3231" s="10"/>
      <c r="T3231" s="10"/>
      <c r="U3231" s="10" t="s">
        <v>3662</v>
      </c>
      <c r="V3231" s="10" t="s">
        <v>3552</v>
      </c>
      <c r="W3231" s="10" t="s">
        <v>3519</v>
      </c>
      <c r="X3231" s="10" t="s">
        <v>130</v>
      </c>
      <c r="Y3231" s="10" t="s">
        <v>130</v>
      </c>
      <c r="Z3231" s="10" t="s">
        <v>99</v>
      </c>
      <c r="AA3231" s="10" t="s">
        <v>131</v>
      </c>
      <c r="AB3231" s="10" t="s">
        <v>3520</v>
      </c>
      <c r="AC3231" s="10" t="s">
        <v>3521</v>
      </c>
      <c r="AD3231" s="10" t="s">
        <v>23479</v>
      </c>
      <c r="AE3231" s="10" t="s">
        <v>23480</v>
      </c>
      <c r="AF3231" s="15"/>
      <c r="AG3231" s="10"/>
      <c r="AH3231" s="10"/>
      <c r="AI3231" s="10"/>
      <c r="AJ3231" s="10"/>
      <c r="AK3231" s="10"/>
      <c r="AL3231" s="10" t="s">
        <v>2405</v>
      </c>
      <c r="AM3231" s="10"/>
      <c r="AN3231" s="10"/>
      <c r="AO3231" s="13" t="b">
        <v>0</v>
      </c>
      <c r="AP3231" s="22" t="s">
        <v>104</v>
      </c>
      <c r="AQ3231" s="10"/>
      <c r="AR3231" s="17"/>
      <c r="AS3231" s="17"/>
      <c r="AT3231" s="17"/>
      <c r="AU3231" s="17"/>
      <c r="AV3231" s="17"/>
      <c r="AW3231" s="10"/>
      <c r="AX3231" s="17"/>
      <c r="AY3231" s="18" t="s">
        <v>257</v>
      </c>
      <c r="AZ3231" s="10"/>
      <c r="BA3231" s="20" t="b">
        <v>0</v>
      </c>
      <c r="BB3231" s="10"/>
      <c r="BC3231" s="17" t="s">
        <v>257</v>
      </c>
      <c r="BD3231" s="17" t="s">
        <v>257</v>
      </c>
      <c r="BE3231" s="17" t="s">
        <v>257</v>
      </c>
      <c r="BF3231" s="17" t="s">
        <v>257</v>
      </c>
      <c r="BG3231" s="11">
        <f ca="1">IFERROR(__xludf.DUMMYFUNCTION("""COMPUTED_VALUE"""),46066.6458333333)</f>
        <v>46066.645833333299</v>
      </c>
      <c r="BH3231" s="17"/>
      <c r="BI3231" s="17"/>
      <c r="BJ3231" s="15"/>
      <c r="BK3231" s="15"/>
      <c r="BL3231" s="13" t="b">
        <v>0</v>
      </c>
      <c r="BM3231" s="10"/>
      <c r="BN3231" s="10" t="s">
        <v>223</v>
      </c>
      <c r="BO3231" s="11">
        <v>46010.149050925924</v>
      </c>
      <c r="BP3231" s="11">
        <v>46010.149050925924</v>
      </c>
      <c r="BQ3231" s="15"/>
      <c r="BR3231" s="15"/>
      <c r="BS3231" s="10"/>
      <c r="BT3231" s="10"/>
      <c r="BU3231" s="10"/>
      <c r="BV3231" s="10"/>
      <c r="BW3231" s="10"/>
      <c r="BX3231" s="10"/>
      <c r="BY3231" s="23"/>
      <c r="BZ3231" s="23"/>
      <c r="CA3231" s="10"/>
      <c r="CB3231" s="23"/>
      <c r="CC3231" s="23"/>
      <c r="CD3231" s="23"/>
      <c r="CE3231" s="23"/>
      <c r="CF3231" s="23"/>
      <c r="CG3231" s="23"/>
      <c r="CH3231" s="23"/>
      <c r="CI3231" s="23"/>
    </row>
    <row r="3232" spans="1:87" x14ac:dyDescent="0.3">
      <c r="A3232" s="9" t="s">
        <v>23481</v>
      </c>
      <c r="B3232" s="10" t="s">
        <v>23482</v>
      </c>
      <c r="C3232" s="11">
        <v>46066.791666666664</v>
      </c>
      <c r="D3232" s="12">
        <v>8.3333333333333329E-2</v>
      </c>
      <c r="E3232" s="11">
        <v>46066.875</v>
      </c>
      <c r="F3232" s="22" t="s">
        <v>3511</v>
      </c>
      <c r="G3232" s="13" t="b">
        <v>0</v>
      </c>
      <c r="H3232" s="22" t="s">
        <v>236</v>
      </c>
      <c r="I3232" s="10" t="s">
        <v>212</v>
      </c>
      <c r="J3232" s="13" t="b">
        <v>1</v>
      </c>
      <c r="K3232" s="13" t="b">
        <v>0</v>
      </c>
      <c r="L3232" s="10" t="s">
        <v>124</v>
      </c>
      <c r="M3232" s="10" t="s">
        <v>91</v>
      </c>
      <c r="N3232" s="10" t="s">
        <v>3513</v>
      </c>
      <c r="O3232" s="10"/>
      <c r="P3232" s="10"/>
      <c r="Q3232" s="10"/>
      <c r="R3232" s="10"/>
      <c r="S3232" s="10"/>
      <c r="T3232" s="10"/>
      <c r="U3232" s="10" t="s">
        <v>3623</v>
      </c>
      <c r="V3232" s="10" t="s">
        <v>3536</v>
      </c>
      <c r="W3232" s="10" t="s">
        <v>3519</v>
      </c>
      <c r="X3232" s="10" t="s">
        <v>130</v>
      </c>
      <c r="Y3232" s="10" t="s">
        <v>130</v>
      </c>
      <c r="Z3232" s="10" t="s">
        <v>99</v>
      </c>
      <c r="AA3232" s="10" t="s">
        <v>131</v>
      </c>
      <c r="AB3232" s="10" t="s">
        <v>3520</v>
      </c>
      <c r="AC3232" s="10" t="s">
        <v>3521</v>
      </c>
      <c r="AD3232" s="10" t="s">
        <v>23483</v>
      </c>
      <c r="AE3232" s="10" t="s">
        <v>23484</v>
      </c>
      <c r="AF3232" s="15"/>
      <c r="AG3232" s="10"/>
      <c r="AH3232" s="10"/>
      <c r="AI3232" s="10"/>
      <c r="AJ3232" s="10"/>
      <c r="AK3232" s="10"/>
      <c r="AL3232" s="10" t="s">
        <v>2405</v>
      </c>
      <c r="AM3232" s="10"/>
      <c r="AN3232" s="10"/>
      <c r="AO3232" s="13" t="b">
        <v>0</v>
      </c>
      <c r="AP3232" s="22" t="s">
        <v>104</v>
      </c>
      <c r="AQ3232" s="10"/>
      <c r="AR3232" s="17"/>
      <c r="AS3232" s="17"/>
      <c r="AT3232" s="17"/>
      <c r="AU3232" s="17"/>
      <c r="AV3232" s="17"/>
      <c r="AW3232" s="10"/>
      <c r="AX3232" s="17"/>
      <c r="AY3232" s="18" t="s">
        <v>257</v>
      </c>
      <c r="AZ3232" s="10"/>
      <c r="BA3232" s="20" t="b">
        <v>0</v>
      </c>
      <c r="BB3232" s="10"/>
      <c r="BC3232" s="17" t="s">
        <v>257</v>
      </c>
      <c r="BD3232" s="17" t="s">
        <v>257</v>
      </c>
      <c r="BE3232" s="17" t="s">
        <v>257</v>
      </c>
      <c r="BF3232" s="17" t="s">
        <v>257</v>
      </c>
      <c r="BG3232" s="11">
        <f ca="1">IFERROR(__xludf.DUMMYFUNCTION("""COMPUTED_VALUE"""),46066.7916666666)</f>
        <v>46066.791666666599</v>
      </c>
      <c r="BH3232" s="17"/>
      <c r="BI3232" s="17"/>
      <c r="BJ3232" s="15"/>
      <c r="BK3232" s="15"/>
      <c r="BL3232" s="13" t="b">
        <v>0</v>
      </c>
      <c r="BM3232" s="10"/>
      <c r="BN3232" s="10" t="s">
        <v>223</v>
      </c>
      <c r="BO3232" s="11">
        <v>46010.149050925924</v>
      </c>
      <c r="BP3232" s="11">
        <v>46010.149050925924</v>
      </c>
      <c r="BQ3232" s="15"/>
      <c r="BR3232" s="15"/>
      <c r="BS3232" s="10"/>
      <c r="BT3232" s="10"/>
      <c r="BU3232" s="10"/>
      <c r="BV3232" s="10"/>
      <c r="BW3232" s="10"/>
      <c r="BX3232" s="10"/>
      <c r="BY3232" s="23"/>
      <c r="BZ3232" s="23"/>
      <c r="CA3232" s="10"/>
      <c r="CB3232" s="23"/>
      <c r="CC3232" s="23"/>
      <c r="CD3232" s="23"/>
      <c r="CE3232" s="23"/>
      <c r="CF3232" s="23"/>
      <c r="CG3232" s="23"/>
      <c r="CH3232" s="23"/>
      <c r="CI3232" s="23"/>
    </row>
    <row r="3233" spans="1:87" x14ac:dyDescent="0.3">
      <c r="A3233" s="25" t="s">
        <v>23485</v>
      </c>
      <c r="B3233" s="10" t="s">
        <v>23486</v>
      </c>
      <c r="C3233" s="11">
        <v>46067.645833333336</v>
      </c>
      <c r="D3233" s="12">
        <v>8.3333333333333329E-2</v>
      </c>
      <c r="E3233" s="11">
        <v>46067.729166666664</v>
      </c>
      <c r="F3233" s="22" t="s">
        <v>3511</v>
      </c>
      <c r="G3233" s="13" t="b">
        <v>0</v>
      </c>
      <c r="H3233" s="22" t="s">
        <v>123</v>
      </c>
      <c r="I3233" s="10" t="s">
        <v>3548</v>
      </c>
      <c r="J3233" s="13" t="b">
        <v>0</v>
      </c>
      <c r="K3233" s="13" t="b">
        <v>1</v>
      </c>
      <c r="L3233" s="10" t="s">
        <v>124</v>
      </c>
      <c r="M3233" s="10" t="s">
        <v>91</v>
      </c>
      <c r="N3233" s="10" t="s">
        <v>3513</v>
      </c>
      <c r="O3233" s="10"/>
      <c r="P3233" s="10"/>
      <c r="Q3233" s="10"/>
      <c r="R3233" s="10"/>
      <c r="S3233" s="10"/>
      <c r="T3233" s="10"/>
      <c r="U3233" s="10" t="s">
        <v>3535</v>
      </c>
      <c r="V3233" s="10" t="s">
        <v>3622</v>
      </c>
      <c r="W3233" s="10" t="s">
        <v>3519</v>
      </c>
      <c r="X3233" s="10" t="s">
        <v>130</v>
      </c>
      <c r="Y3233" s="10" t="s">
        <v>130</v>
      </c>
      <c r="Z3233" s="10" t="s">
        <v>99</v>
      </c>
      <c r="AA3233" s="10" t="s">
        <v>131</v>
      </c>
      <c r="AB3233" s="10" t="s">
        <v>3520</v>
      </c>
      <c r="AC3233" s="10" t="s">
        <v>3521</v>
      </c>
      <c r="AD3233" s="10" t="s">
        <v>23487</v>
      </c>
      <c r="AE3233" s="10" t="s">
        <v>23488</v>
      </c>
      <c r="AF3233" s="15"/>
      <c r="AG3233" s="10"/>
      <c r="AH3233" s="10"/>
      <c r="AI3233" s="10"/>
      <c r="AJ3233" s="10"/>
      <c r="AK3233" s="10"/>
      <c r="AL3233" s="10" t="s">
        <v>2405</v>
      </c>
      <c r="AM3233" s="10"/>
      <c r="AN3233" s="10"/>
      <c r="AO3233" s="13" t="b">
        <v>0</v>
      </c>
      <c r="AP3233" s="22" t="s">
        <v>104</v>
      </c>
      <c r="AQ3233" s="10"/>
      <c r="AR3233" s="17"/>
      <c r="AS3233" s="17"/>
      <c r="AT3233" s="17"/>
      <c r="AU3233" s="17"/>
      <c r="AV3233" s="17"/>
      <c r="AW3233" s="10"/>
      <c r="AX3233" s="17"/>
      <c r="AY3233" s="18" t="s">
        <v>257</v>
      </c>
      <c r="AZ3233" s="10"/>
      <c r="BA3233" s="20" t="b">
        <v>0</v>
      </c>
      <c r="BB3233" s="10"/>
      <c r="BC3233" s="17" t="s">
        <v>257</v>
      </c>
      <c r="BD3233" s="17" t="s">
        <v>257</v>
      </c>
      <c r="BE3233" s="17" t="s">
        <v>257</v>
      </c>
      <c r="BF3233" s="17" t="s">
        <v>257</v>
      </c>
      <c r="BG3233" s="11">
        <f ca="1">IFERROR(__xludf.DUMMYFUNCTION("""COMPUTED_VALUE"""),46067.6458333333)</f>
        <v>46067.645833333299</v>
      </c>
      <c r="BH3233" s="17"/>
      <c r="BI3233" s="17"/>
      <c r="BJ3233" s="15"/>
      <c r="BK3233" s="15"/>
      <c r="BL3233" s="13" t="b">
        <v>0</v>
      </c>
      <c r="BM3233" s="10"/>
      <c r="BN3233" s="10" t="s">
        <v>223</v>
      </c>
      <c r="BO3233" s="11">
        <v>46010.149050925924</v>
      </c>
      <c r="BP3233" s="11">
        <v>46010.149050925924</v>
      </c>
      <c r="BQ3233" s="15"/>
      <c r="BR3233" s="15"/>
      <c r="BS3233" s="10"/>
      <c r="BT3233" s="10"/>
      <c r="BU3233" s="10"/>
      <c r="BV3233" s="10"/>
      <c r="BW3233" s="10"/>
      <c r="BX3233" s="10"/>
      <c r="BY3233" s="23"/>
      <c r="BZ3233" s="23"/>
      <c r="CA3233" s="10"/>
      <c r="CB3233" s="23"/>
      <c r="CC3233" s="23"/>
      <c r="CD3233" s="23"/>
      <c r="CE3233" s="23"/>
      <c r="CF3233" s="23"/>
      <c r="CG3233" s="23"/>
      <c r="CH3233" s="23"/>
      <c r="CI3233" s="23"/>
    </row>
    <row r="3234" spans="1:87" x14ac:dyDescent="0.3">
      <c r="A3234" s="9" t="s">
        <v>23489</v>
      </c>
      <c r="B3234" s="10" t="s">
        <v>23490</v>
      </c>
      <c r="C3234" s="11">
        <v>46067.791666666664</v>
      </c>
      <c r="D3234" s="12">
        <v>8.3333333333333329E-2</v>
      </c>
      <c r="E3234" s="11">
        <v>46067.875</v>
      </c>
      <c r="F3234" s="22" t="s">
        <v>3511</v>
      </c>
      <c r="G3234" s="13" t="b">
        <v>0</v>
      </c>
      <c r="H3234" s="22" t="s">
        <v>123</v>
      </c>
      <c r="I3234" s="10" t="s">
        <v>3548</v>
      </c>
      <c r="J3234" s="13" t="b">
        <v>0</v>
      </c>
      <c r="K3234" s="13" t="b">
        <v>1</v>
      </c>
      <c r="L3234" s="10" t="s">
        <v>124</v>
      </c>
      <c r="M3234" s="10" t="s">
        <v>91</v>
      </c>
      <c r="N3234" s="10" t="s">
        <v>3513</v>
      </c>
      <c r="O3234" s="10"/>
      <c r="P3234" s="10"/>
      <c r="Q3234" s="10"/>
      <c r="R3234" s="10"/>
      <c r="S3234" s="10"/>
      <c r="T3234" s="10"/>
      <c r="U3234" s="10" t="s">
        <v>3551</v>
      </c>
      <c r="V3234" s="10" t="s">
        <v>3518</v>
      </c>
      <c r="W3234" s="10" t="s">
        <v>3519</v>
      </c>
      <c r="X3234" s="10" t="s">
        <v>130</v>
      </c>
      <c r="Y3234" s="10" t="s">
        <v>130</v>
      </c>
      <c r="Z3234" s="10" t="s">
        <v>99</v>
      </c>
      <c r="AA3234" s="10" t="s">
        <v>131</v>
      </c>
      <c r="AB3234" s="10" t="s">
        <v>3520</v>
      </c>
      <c r="AC3234" s="10" t="s">
        <v>3521</v>
      </c>
      <c r="AD3234" s="10" t="s">
        <v>23491</v>
      </c>
      <c r="AE3234" s="10" t="s">
        <v>23492</v>
      </c>
      <c r="AF3234" s="15"/>
      <c r="AG3234" s="10"/>
      <c r="AH3234" s="10"/>
      <c r="AI3234" s="10"/>
      <c r="AJ3234" s="10"/>
      <c r="AK3234" s="10"/>
      <c r="AL3234" s="10" t="s">
        <v>2405</v>
      </c>
      <c r="AM3234" s="10"/>
      <c r="AN3234" s="10"/>
      <c r="AO3234" s="13" t="b">
        <v>1</v>
      </c>
      <c r="AP3234" s="22" t="s">
        <v>104</v>
      </c>
      <c r="AQ3234" s="10"/>
      <c r="AR3234" s="17"/>
      <c r="AS3234" s="17"/>
      <c r="AT3234" s="17"/>
      <c r="AU3234" s="17"/>
      <c r="AV3234" s="17"/>
      <c r="AW3234" s="10"/>
      <c r="AX3234" s="17"/>
      <c r="AY3234" s="18" t="s">
        <v>257</v>
      </c>
      <c r="AZ3234" s="10"/>
      <c r="BA3234" s="20" t="b">
        <v>0</v>
      </c>
      <c r="BB3234" s="10"/>
      <c r="BC3234" s="17" t="s">
        <v>257</v>
      </c>
      <c r="BD3234" s="17" t="s">
        <v>257</v>
      </c>
      <c r="BE3234" s="17" t="s">
        <v>257</v>
      </c>
      <c r="BF3234" s="17" t="s">
        <v>257</v>
      </c>
      <c r="BG3234" s="11">
        <f ca="1">IFERROR(__xludf.DUMMYFUNCTION("""COMPUTED_VALUE"""),46067.7916666666)</f>
        <v>46067.791666666599</v>
      </c>
      <c r="BH3234" s="17"/>
      <c r="BI3234" s="17"/>
      <c r="BJ3234" s="15"/>
      <c r="BK3234" s="15"/>
      <c r="BL3234" s="13" t="b">
        <v>0</v>
      </c>
      <c r="BM3234" s="10"/>
      <c r="BN3234" s="10" t="s">
        <v>223</v>
      </c>
      <c r="BO3234" s="11">
        <v>46010.149050925924</v>
      </c>
      <c r="BP3234" s="11">
        <v>46010.149050925924</v>
      </c>
      <c r="BQ3234" s="15"/>
      <c r="BR3234" s="15"/>
      <c r="BS3234" s="10"/>
      <c r="BT3234" s="10"/>
      <c r="BU3234" s="10"/>
      <c r="BV3234" s="10"/>
      <c r="BW3234" s="10"/>
      <c r="BX3234" s="10"/>
      <c r="BY3234" s="23"/>
      <c r="BZ3234" s="23"/>
      <c r="CA3234" s="10"/>
      <c r="CB3234" s="23"/>
      <c r="CC3234" s="23"/>
      <c r="CD3234" s="23"/>
      <c r="CE3234" s="23"/>
      <c r="CF3234" s="23"/>
      <c r="CG3234" s="23"/>
      <c r="CH3234" s="23"/>
      <c r="CI3234" s="23"/>
    </row>
    <row r="3235" spans="1:87" x14ac:dyDescent="0.3">
      <c r="A3235" s="9" t="s">
        <v>23493</v>
      </c>
      <c r="B3235" s="10" t="s">
        <v>23494</v>
      </c>
      <c r="C3235" s="11">
        <v>46068.645833333336</v>
      </c>
      <c r="D3235" s="12">
        <v>8.3333333333333329E-2</v>
      </c>
      <c r="E3235" s="11">
        <v>46068.729166666664</v>
      </c>
      <c r="F3235" s="22" t="s">
        <v>3511</v>
      </c>
      <c r="G3235" s="13" t="b">
        <v>0</v>
      </c>
      <c r="H3235" s="22" t="s">
        <v>123</v>
      </c>
      <c r="I3235" s="10" t="s">
        <v>3548</v>
      </c>
      <c r="J3235" s="13" t="b">
        <v>0</v>
      </c>
      <c r="K3235" s="13" t="b">
        <v>1</v>
      </c>
      <c r="L3235" s="10" t="s">
        <v>124</v>
      </c>
      <c r="M3235" s="10" t="s">
        <v>91</v>
      </c>
      <c r="N3235" s="10" t="s">
        <v>3513</v>
      </c>
      <c r="O3235" s="10"/>
      <c r="P3235" s="10"/>
      <c r="Q3235" s="10"/>
      <c r="R3235" s="10"/>
      <c r="S3235" s="10"/>
      <c r="T3235" s="10"/>
      <c r="U3235" s="10" t="s">
        <v>3676</v>
      </c>
      <c r="V3235" s="10" t="s">
        <v>3610</v>
      </c>
      <c r="W3235" s="10" t="s">
        <v>3519</v>
      </c>
      <c r="X3235" s="10" t="s">
        <v>130</v>
      </c>
      <c r="Y3235" s="10" t="s">
        <v>130</v>
      </c>
      <c r="Z3235" s="10" t="s">
        <v>99</v>
      </c>
      <c r="AA3235" s="10" t="s">
        <v>131</v>
      </c>
      <c r="AB3235" s="10" t="s">
        <v>3520</v>
      </c>
      <c r="AC3235" s="10" t="s">
        <v>3521</v>
      </c>
      <c r="AD3235" s="10" t="s">
        <v>23495</v>
      </c>
      <c r="AE3235" s="10" t="s">
        <v>23496</v>
      </c>
      <c r="AF3235" s="15"/>
      <c r="AG3235" s="10"/>
      <c r="AH3235" s="10"/>
      <c r="AI3235" s="10"/>
      <c r="AJ3235" s="10"/>
      <c r="AK3235" s="10"/>
      <c r="AL3235" s="10" t="s">
        <v>2405</v>
      </c>
      <c r="AM3235" s="10"/>
      <c r="AN3235" s="10"/>
      <c r="AO3235" s="13" t="b">
        <v>0</v>
      </c>
      <c r="AP3235" s="22" t="s">
        <v>104</v>
      </c>
      <c r="AQ3235" s="10"/>
      <c r="AR3235" s="17"/>
      <c r="AS3235" s="17"/>
      <c r="AT3235" s="17"/>
      <c r="AU3235" s="17"/>
      <c r="AV3235" s="17"/>
      <c r="AW3235" s="10"/>
      <c r="AX3235" s="17"/>
      <c r="AY3235" s="18" t="s">
        <v>257</v>
      </c>
      <c r="AZ3235" s="10"/>
      <c r="BA3235" s="20" t="b">
        <v>0</v>
      </c>
      <c r="BB3235" s="10"/>
      <c r="BC3235" s="17" t="s">
        <v>257</v>
      </c>
      <c r="BD3235" s="17" t="s">
        <v>257</v>
      </c>
      <c r="BE3235" s="17" t="s">
        <v>257</v>
      </c>
      <c r="BF3235" s="17" t="s">
        <v>257</v>
      </c>
      <c r="BG3235" s="11">
        <f ca="1">IFERROR(__xludf.DUMMYFUNCTION("""COMPUTED_VALUE"""),46068.6458333333)</f>
        <v>46068.645833333299</v>
      </c>
      <c r="BH3235" s="17"/>
      <c r="BI3235" s="17"/>
      <c r="BJ3235" s="15"/>
      <c r="BK3235" s="15"/>
      <c r="BL3235" s="13" t="b">
        <v>0</v>
      </c>
      <c r="BM3235" s="10"/>
      <c r="BN3235" s="10" t="s">
        <v>223</v>
      </c>
      <c r="BO3235" s="11">
        <v>46010.149050925924</v>
      </c>
      <c r="BP3235" s="11">
        <v>46010.149050925924</v>
      </c>
      <c r="BQ3235" s="15"/>
      <c r="BR3235" s="15"/>
      <c r="BS3235" s="10"/>
      <c r="BT3235" s="10"/>
      <c r="BU3235" s="10"/>
      <c r="BV3235" s="10"/>
      <c r="BW3235" s="10"/>
      <c r="BX3235" s="10"/>
      <c r="BY3235" s="23"/>
      <c r="BZ3235" s="23"/>
      <c r="CA3235" s="10"/>
      <c r="CB3235" s="23"/>
      <c r="CC3235" s="23"/>
      <c r="CD3235" s="23"/>
      <c r="CE3235" s="23"/>
      <c r="CF3235" s="23"/>
      <c r="CG3235" s="23"/>
      <c r="CH3235" s="23"/>
      <c r="CI3235" s="23"/>
    </row>
    <row r="3236" spans="1:87" x14ac:dyDescent="0.3">
      <c r="A3236" s="9" t="s">
        <v>23497</v>
      </c>
      <c r="B3236" s="10" t="s">
        <v>23498</v>
      </c>
      <c r="C3236" s="11">
        <v>46068.791666666664</v>
      </c>
      <c r="D3236" s="12">
        <v>8.3333333333333329E-2</v>
      </c>
      <c r="E3236" s="11">
        <v>46068.875</v>
      </c>
      <c r="F3236" s="22" t="s">
        <v>3511</v>
      </c>
      <c r="G3236" s="13" t="b">
        <v>0</v>
      </c>
      <c r="H3236" s="22" t="s">
        <v>123</v>
      </c>
      <c r="I3236" s="10" t="s">
        <v>3548</v>
      </c>
      <c r="J3236" s="13" t="b">
        <v>0</v>
      </c>
      <c r="K3236" s="13" t="b">
        <v>1</v>
      </c>
      <c r="L3236" s="10" t="s">
        <v>124</v>
      </c>
      <c r="M3236" s="10" t="s">
        <v>91</v>
      </c>
      <c r="N3236" s="10" t="s">
        <v>3513</v>
      </c>
      <c r="O3236" s="10"/>
      <c r="P3236" s="10"/>
      <c r="Q3236" s="10"/>
      <c r="R3236" s="10"/>
      <c r="S3236" s="10"/>
      <c r="T3236" s="10"/>
      <c r="U3236" s="10" t="s">
        <v>3661</v>
      </c>
      <c r="V3236" s="10" t="s">
        <v>3647</v>
      </c>
      <c r="W3236" s="10" t="s">
        <v>3519</v>
      </c>
      <c r="X3236" s="10" t="s">
        <v>130</v>
      </c>
      <c r="Y3236" s="10" t="s">
        <v>130</v>
      </c>
      <c r="Z3236" s="10" t="s">
        <v>99</v>
      </c>
      <c r="AA3236" s="10" t="s">
        <v>131</v>
      </c>
      <c r="AB3236" s="10" t="s">
        <v>3520</v>
      </c>
      <c r="AC3236" s="10" t="s">
        <v>3521</v>
      </c>
      <c r="AD3236" s="10" t="s">
        <v>23499</v>
      </c>
      <c r="AE3236" s="10" t="s">
        <v>23500</v>
      </c>
      <c r="AF3236" s="15"/>
      <c r="AG3236" s="10"/>
      <c r="AH3236" s="10"/>
      <c r="AI3236" s="10"/>
      <c r="AJ3236" s="10"/>
      <c r="AK3236" s="10"/>
      <c r="AL3236" s="10" t="s">
        <v>2405</v>
      </c>
      <c r="AM3236" s="10"/>
      <c r="AN3236" s="10"/>
      <c r="AO3236" s="13" t="b">
        <v>1</v>
      </c>
      <c r="AP3236" s="22" t="s">
        <v>104</v>
      </c>
      <c r="AQ3236" s="10"/>
      <c r="AR3236" s="17"/>
      <c r="AS3236" s="17"/>
      <c r="AT3236" s="17"/>
      <c r="AU3236" s="17"/>
      <c r="AV3236" s="17"/>
      <c r="AW3236" s="10"/>
      <c r="AX3236" s="17"/>
      <c r="AY3236" s="18" t="s">
        <v>257</v>
      </c>
      <c r="AZ3236" s="10"/>
      <c r="BA3236" s="20" t="b">
        <v>0</v>
      </c>
      <c r="BB3236" s="10"/>
      <c r="BC3236" s="17" t="s">
        <v>257</v>
      </c>
      <c r="BD3236" s="17" t="s">
        <v>257</v>
      </c>
      <c r="BE3236" s="17" t="s">
        <v>257</v>
      </c>
      <c r="BF3236" s="17" t="s">
        <v>257</v>
      </c>
      <c r="BG3236" s="11">
        <f ca="1">IFERROR(__xludf.DUMMYFUNCTION("""COMPUTED_VALUE"""),46068.7916666666)</f>
        <v>46068.791666666599</v>
      </c>
      <c r="BH3236" s="17"/>
      <c r="BI3236" s="17"/>
      <c r="BJ3236" s="15"/>
      <c r="BK3236" s="15"/>
      <c r="BL3236" s="13" t="b">
        <v>0</v>
      </c>
      <c r="BM3236" s="10"/>
      <c r="BN3236" s="10" t="s">
        <v>223</v>
      </c>
      <c r="BO3236" s="11">
        <v>46010.149050925924</v>
      </c>
      <c r="BP3236" s="11">
        <v>46010.149050925924</v>
      </c>
      <c r="BQ3236" s="15"/>
      <c r="BR3236" s="15"/>
      <c r="BS3236" s="10"/>
      <c r="BT3236" s="10"/>
      <c r="BU3236" s="10"/>
      <c r="BV3236" s="10"/>
      <c r="BW3236" s="10"/>
      <c r="BX3236" s="10"/>
      <c r="BY3236" s="23"/>
      <c r="BZ3236" s="23"/>
      <c r="CA3236" s="10"/>
      <c r="CB3236" s="23"/>
      <c r="CC3236" s="23"/>
      <c r="CD3236" s="23"/>
      <c r="CE3236" s="23"/>
      <c r="CF3236" s="23"/>
      <c r="CG3236" s="23"/>
      <c r="CH3236" s="23"/>
      <c r="CI3236" s="23"/>
    </row>
    <row r="3237" spans="1:87" x14ac:dyDescent="0.3">
      <c r="A3237" s="9" t="s">
        <v>23501</v>
      </c>
      <c r="B3237" s="10" t="s">
        <v>23502</v>
      </c>
      <c r="C3237" s="11">
        <v>46069.645833333336</v>
      </c>
      <c r="D3237" s="12">
        <v>8.3333333333333329E-2</v>
      </c>
      <c r="E3237" s="11">
        <v>46069.729166666664</v>
      </c>
      <c r="F3237" s="22" t="s">
        <v>3511</v>
      </c>
      <c r="G3237" s="13" t="b">
        <v>0</v>
      </c>
      <c r="H3237" s="22" t="s">
        <v>123</v>
      </c>
      <c r="I3237" s="10" t="s">
        <v>3548</v>
      </c>
      <c r="J3237" s="13" t="b">
        <v>0</v>
      </c>
      <c r="K3237" s="13" t="b">
        <v>1</v>
      </c>
      <c r="L3237" s="10" t="s">
        <v>124</v>
      </c>
      <c r="M3237" s="10" t="s">
        <v>91</v>
      </c>
      <c r="N3237" s="10" t="s">
        <v>3513</v>
      </c>
      <c r="O3237" s="10"/>
      <c r="P3237" s="10"/>
      <c r="Q3237" s="10"/>
      <c r="R3237" s="10"/>
      <c r="S3237" s="10"/>
      <c r="T3237" s="10"/>
      <c r="U3237" s="10" t="s">
        <v>3648</v>
      </c>
      <c r="V3237" s="10" t="s">
        <v>3677</v>
      </c>
      <c r="W3237" s="10" t="s">
        <v>3519</v>
      </c>
      <c r="X3237" s="10" t="s">
        <v>130</v>
      </c>
      <c r="Y3237" s="10" t="s">
        <v>130</v>
      </c>
      <c r="Z3237" s="10" t="s">
        <v>99</v>
      </c>
      <c r="AA3237" s="10" t="s">
        <v>131</v>
      </c>
      <c r="AB3237" s="10" t="s">
        <v>3520</v>
      </c>
      <c r="AC3237" s="10" t="s">
        <v>3521</v>
      </c>
      <c r="AD3237" s="10" t="s">
        <v>23503</v>
      </c>
      <c r="AE3237" s="10" t="s">
        <v>23504</v>
      </c>
      <c r="AF3237" s="15"/>
      <c r="AG3237" s="10"/>
      <c r="AH3237" s="10"/>
      <c r="AI3237" s="10"/>
      <c r="AJ3237" s="10"/>
      <c r="AK3237" s="10"/>
      <c r="AL3237" s="10" t="s">
        <v>2405</v>
      </c>
      <c r="AM3237" s="10"/>
      <c r="AN3237" s="10"/>
      <c r="AO3237" s="13" t="b">
        <v>0</v>
      </c>
      <c r="AP3237" s="22" t="s">
        <v>104</v>
      </c>
      <c r="AQ3237" s="10"/>
      <c r="AR3237" s="17"/>
      <c r="AS3237" s="17"/>
      <c r="AT3237" s="17"/>
      <c r="AU3237" s="17"/>
      <c r="AV3237" s="17"/>
      <c r="AW3237" s="10"/>
      <c r="AX3237" s="17"/>
      <c r="AY3237" s="18" t="s">
        <v>257</v>
      </c>
      <c r="AZ3237" s="10"/>
      <c r="BA3237" s="20" t="b">
        <v>0</v>
      </c>
      <c r="BB3237" s="10"/>
      <c r="BC3237" s="17" t="s">
        <v>257</v>
      </c>
      <c r="BD3237" s="17" t="s">
        <v>257</v>
      </c>
      <c r="BE3237" s="17" t="s">
        <v>257</v>
      </c>
      <c r="BF3237" s="17" t="s">
        <v>257</v>
      </c>
      <c r="BG3237" s="11">
        <f ca="1">IFERROR(__xludf.DUMMYFUNCTION("""COMPUTED_VALUE"""),46069.6458333333)</f>
        <v>46069.645833333299</v>
      </c>
      <c r="BH3237" s="17"/>
      <c r="BI3237" s="17"/>
      <c r="BJ3237" s="15"/>
      <c r="BK3237" s="15"/>
      <c r="BL3237" s="13" t="b">
        <v>0</v>
      </c>
      <c r="BM3237" s="10"/>
      <c r="BN3237" s="10" t="s">
        <v>223</v>
      </c>
      <c r="BO3237" s="11">
        <v>46010.149050925924</v>
      </c>
      <c r="BP3237" s="11">
        <v>46010.149050925924</v>
      </c>
      <c r="BQ3237" s="15"/>
      <c r="BR3237" s="15"/>
      <c r="BS3237" s="10"/>
      <c r="BT3237" s="10"/>
      <c r="BU3237" s="10"/>
      <c r="BV3237" s="10"/>
      <c r="BW3237" s="10"/>
      <c r="BX3237" s="10"/>
      <c r="BY3237" s="23"/>
      <c r="BZ3237" s="23"/>
      <c r="CA3237" s="10"/>
      <c r="CB3237" s="23"/>
      <c r="CC3237" s="23"/>
      <c r="CD3237" s="23"/>
      <c r="CE3237" s="23"/>
      <c r="CF3237" s="23"/>
      <c r="CG3237" s="23"/>
      <c r="CH3237" s="23"/>
      <c r="CI3237" s="23"/>
    </row>
    <row r="3238" spans="1:87" x14ac:dyDescent="0.3">
      <c r="A3238" s="9" t="s">
        <v>23505</v>
      </c>
      <c r="B3238" s="10" t="s">
        <v>23506</v>
      </c>
      <c r="C3238" s="11">
        <v>46069.791666666664</v>
      </c>
      <c r="D3238" s="12">
        <v>8.3333333333333329E-2</v>
      </c>
      <c r="E3238" s="11">
        <v>46069.875</v>
      </c>
      <c r="F3238" s="22" t="s">
        <v>3511</v>
      </c>
      <c r="G3238" s="13" t="b">
        <v>0</v>
      </c>
      <c r="H3238" s="22" t="s">
        <v>123</v>
      </c>
      <c r="I3238" s="10" t="s">
        <v>3548</v>
      </c>
      <c r="J3238" s="13" t="b">
        <v>0</v>
      </c>
      <c r="K3238" s="13" t="b">
        <v>1</v>
      </c>
      <c r="L3238" s="10" t="s">
        <v>124</v>
      </c>
      <c r="M3238" s="10" t="s">
        <v>91</v>
      </c>
      <c r="N3238" s="10" t="s">
        <v>3513</v>
      </c>
      <c r="O3238" s="10"/>
      <c r="P3238" s="10"/>
      <c r="Q3238" s="10"/>
      <c r="R3238" s="10"/>
      <c r="S3238" s="10"/>
      <c r="T3238" s="10"/>
      <c r="U3238" s="10" t="s">
        <v>3517</v>
      </c>
      <c r="V3238" s="10" t="s">
        <v>3609</v>
      </c>
      <c r="W3238" s="10" t="s">
        <v>3519</v>
      </c>
      <c r="X3238" s="10" t="s">
        <v>130</v>
      </c>
      <c r="Y3238" s="10" t="s">
        <v>130</v>
      </c>
      <c r="Z3238" s="10" t="s">
        <v>99</v>
      </c>
      <c r="AA3238" s="10" t="s">
        <v>131</v>
      </c>
      <c r="AB3238" s="10" t="s">
        <v>3520</v>
      </c>
      <c r="AC3238" s="10" t="s">
        <v>3521</v>
      </c>
      <c r="AD3238" s="10" t="s">
        <v>23507</v>
      </c>
      <c r="AE3238" s="10" t="s">
        <v>23508</v>
      </c>
      <c r="AF3238" s="15"/>
      <c r="AG3238" s="10"/>
      <c r="AH3238" s="10"/>
      <c r="AI3238" s="10"/>
      <c r="AJ3238" s="10"/>
      <c r="AK3238" s="10"/>
      <c r="AL3238" s="10" t="s">
        <v>2405</v>
      </c>
      <c r="AM3238" s="10"/>
      <c r="AN3238" s="10"/>
      <c r="AO3238" s="13" t="b">
        <v>1</v>
      </c>
      <c r="AP3238" s="22" t="s">
        <v>104</v>
      </c>
      <c r="AQ3238" s="10"/>
      <c r="AR3238" s="17"/>
      <c r="AS3238" s="17"/>
      <c r="AT3238" s="17"/>
      <c r="AU3238" s="17"/>
      <c r="AV3238" s="17"/>
      <c r="AW3238" s="10"/>
      <c r="AX3238" s="17"/>
      <c r="AY3238" s="18" t="s">
        <v>257</v>
      </c>
      <c r="AZ3238" s="10"/>
      <c r="BA3238" s="20" t="b">
        <v>0</v>
      </c>
      <c r="BB3238" s="10"/>
      <c r="BC3238" s="17" t="s">
        <v>257</v>
      </c>
      <c r="BD3238" s="17" t="s">
        <v>257</v>
      </c>
      <c r="BE3238" s="17" t="s">
        <v>257</v>
      </c>
      <c r="BF3238" s="17" t="s">
        <v>257</v>
      </c>
      <c r="BG3238" s="11">
        <f ca="1">IFERROR(__xludf.DUMMYFUNCTION("""COMPUTED_VALUE"""),46069.7916666666)</f>
        <v>46069.791666666599</v>
      </c>
      <c r="BH3238" s="17"/>
      <c r="BI3238" s="17"/>
      <c r="BJ3238" s="15"/>
      <c r="BK3238" s="15"/>
      <c r="BL3238" s="13" t="b">
        <v>0</v>
      </c>
      <c r="BM3238" s="10"/>
      <c r="BN3238" s="10" t="s">
        <v>223</v>
      </c>
      <c r="BO3238" s="11">
        <v>46010.149050925924</v>
      </c>
      <c r="BP3238" s="11">
        <v>46010.149050925924</v>
      </c>
      <c r="BQ3238" s="15"/>
      <c r="BR3238" s="15"/>
      <c r="BS3238" s="10"/>
      <c r="BT3238" s="10"/>
      <c r="BU3238" s="10"/>
      <c r="BV3238" s="10"/>
      <c r="BW3238" s="10"/>
      <c r="BX3238" s="10"/>
      <c r="BY3238" s="23"/>
      <c r="BZ3238" s="23"/>
      <c r="CA3238" s="10"/>
      <c r="CB3238" s="23"/>
      <c r="CC3238" s="23"/>
      <c r="CD3238" s="23"/>
      <c r="CE3238" s="23"/>
      <c r="CF3238" s="23"/>
      <c r="CG3238" s="23"/>
      <c r="CH3238" s="23"/>
      <c r="CI3238" s="23"/>
    </row>
    <row r="3239" spans="1:87" x14ac:dyDescent="0.3">
      <c r="A3239" s="9" t="s">
        <v>23509</v>
      </c>
      <c r="B3239" s="10" t="s">
        <v>23510</v>
      </c>
      <c r="C3239" s="11">
        <v>46073.854166666664</v>
      </c>
      <c r="D3239" s="12">
        <v>8.3333333333333329E-2</v>
      </c>
      <c r="E3239" s="11">
        <v>46073.9375</v>
      </c>
      <c r="F3239" s="22" t="s">
        <v>3511</v>
      </c>
      <c r="G3239" s="13" t="b">
        <v>0</v>
      </c>
      <c r="H3239" s="22" t="s">
        <v>3512</v>
      </c>
      <c r="I3239" s="10" t="s">
        <v>212</v>
      </c>
      <c r="J3239" s="13" t="b">
        <v>1</v>
      </c>
      <c r="K3239" s="13" t="b">
        <v>0</v>
      </c>
      <c r="L3239" s="10" t="s">
        <v>124</v>
      </c>
      <c r="M3239" s="10" t="s">
        <v>91</v>
      </c>
      <c r="N3239" s="10" t="s">
        <v>3513</v>
      </c>
      <c r="O3239" s="10"/>
      <c r="P3239" s="10"/>
      <c r="Q3239" s="10"/>
      <c r="R3239" s="10"/>
      <c r="S3239" s="10"/>
      <c r="T3239" s="10"/>
      <c r="U3239" s="10" t="s">
        <v>3662</v>
      </c>
      <c r="V3239" s="10" t="s">
        <v>3518</v>
      </c>
      <c r="W3239" s="10" t="s">
        <v>3519</v>
      </c>
      <c r="X3239" s="10" t="s">
        <v>130</v>
      </c>
      <c r="Y3239" s="10" t="s">
        <v>130</v>
      </c>
      <c r="Z3239" s="10" t="s">
        <v>99</v>
      </c>
      <c r="AA3239" s="10" t="s">
        <v>131</v>
      </c>
      <c r="AB3239" s="10" t="s">
        <v>3520</v>
      </c>
      <c r="AC3239" s="10" t="s">
        <v>3521</v>
      </c>
      <c r="AD3239" s="10" t="s">
        <v>23511</v>
      </c>
      <c r="AE3239" s="10" t="s">
        <v>23512</v>
      </c>
      <c r="AF3239" s="15"/>
      <c r="AG3239" s="10"/>
      <c r="AH3239" s="10"/>
      <c r="AI3239" s="10"/>
      <c r="AJ3239" s="10"/>
      <c r="AK3239" s="10"/>
      <c r="AL3239" s="10" t="s">
        <v>2509</v>
      </c>
      <c r="AM3239" s="10"/>
      <c r="AN3239" s="10"/>
      <c r="AO3239" s="13" t="b">
        <v>0</v>
      </c>
      <c r="AP3239" s="22" t="s">
        <v>104</v>
      </c>
      <c r="AQ3239" s="10"/>
      <c r="AR3239" s="17"/>
      <c r="AS3239" s="17"/>
      <c r="AT3239" s="17"/>
      <c r="AU3239" s="17"/>
      <c r="AV3239" s="17"/>
      <c r="AW3239" s="10"/>
      <c r="AX3239" s="17"/>
      <c r="AY3239" s="18" t="s">
        <v>257</v>
      </c>
      <c r="AZ3239" s="10"/>
      <c r="BA3239" s="20" t="b">
        <v>0</v>
      </c>
      <c r="BB3239" s="10"/>
      <c r="BC3239" s="17" t="s">
        <v>257</v>
      </c>
      <c r="BD3239" s="17" t="s">
        <v>257</v>
      </c>
      <c r="BE3239" s="17" t="s">
        <v>257</v>
      </c>
      <c r="BF3239" s="17" t="s">
        <v>257</v>
      </c>
      <c r="BG3239" s="11">
        <f ca="1">IFERROR(__xludf.DUMMYFUNCTION("""COMPUTED_VALUE"""),46073.8541666666)</f>
        <v>46073.854166666599</v>
      </c>
      <c r="BH3239" s="17"/>
      <c r="BI3239" s="17"/>
      <c r="BJ3239" s="15"/>
      <c r="BK3239" s="15"/>
      <c r="BL3239" s="13" t="b">
        <v>0</v>
      </c>
      <c r="BM3239" s="10"/>
      <c r="BN3239" s="10" t="s">
        <v>223</v>
      </c>
      <c r="BO3239" s="11">
        <v>46010.149050925924</v>
      </c>
      <c r="BP3239" s="11">
        <v>46010.149050925924</v>
      </c>
      <c r="BQ3239" s="15"/>
      <c r="BR3239" s="15"/>
      <c r="BS3239" s="10"/>
      <c r="BT3239" s="10"/>
      <c r="BU3239" s="10"/>
      <c r="BV3239" s="10"/>
      <c r="BW3239" s="10"/>
      <c r="BX3239" s="10"/>
      <c r="BY3239" s="23"/>
      <c r="BZ3239" s="23"/>
      <c r="CA3239" s="10"/>
      <c r="CB3239" s="23"/>
      <c r="CC3239" s="23"/>
      <c r="CD3239" s="23"/>
      <c r="CE3239" s="23"/>
      <c r="CF3239" s="23"/>
      <c r="CG3239" s="23"/>
      <c r="CH3239" s="23"/>
      <c r="CI3239" s="23"/>
    </row>
    <row r="3240" spans="1:87" x14ac:dyDescent="0.3">
      <c r="A3240" s="9" t="s">
        <v>23513</v>
      </c>
      <c r="B3240" s="10" t="s">
        <v>23514</v>
      </c>
      <c r="C3240" s="11">
        <v>46073.854166666664</v>
      </c>
      <c r="D3240" s="12">
        <v>8.3333333333333329E-2</v>
      </c>
      <c r="E3240" s="11">
        <v>46073.9375</v>
      </c>
      <c r="F3240" s="22" t="s">
        <v>3511</v>
      </c>
      <c r="G3240" s="13" t="b">
        <v>0</v>
      </c>
      <c r="H3240" s="22" t="s">
        <v>123</v>
      </c>
      <c r="I3240" s="10" t="s">
        <v>3548</v>
      </c>
      <c r="J3240" s="13" t="b">
        <v>0</v>
      </c>
      <c r="K3240" s="13" t="b">
        <v>1</v>
      </c>
      <c r="L3240" s="10" t="s">
        <v>124</v>
      </c>
      <c r="M3240" s="10" t="s">
        <v>91</v>
      </c>
      <c r="N3240" s="10" t="s">
        <v>3513</v>
      </c>
      <c r="O3240" s="10"/>
      <c r="P3240" s="10"/>
      <c r="Q3240" s="10"/>
      <c r="R3240" s="10"/>
      <c r="S3240" s="10"/>
      <c r="T3240" s="10"/>
      <c r="U3240" s="10" t="s">
        <v>3647</v>
      </c>
      <c r="V3240" s="10" t="s">
        <v>3535</v>
      </c>
      <c r="W3240" s="10" t="s">
        <v>3519</v>
      </c>
      <c r="X3240" s="10" t="s">
        <v>130</v>
      </c>
      <c r="Y3240" s="10" t="s">
        <v>130</v>
      </c>
      <c r="Z3240" s="10" t="s">
        <v>99</v>
      </c>
      <c r="AA3240" s="10" t="s">
        <v>131</v>
      </c>
      <c r="AB3240" s="10" t="s">
        <v>3520</v>
      </c>
      <c r="AC3240" s="10" t="s">
        <v>3521</v>
      </c>
      <c r="AD3240" s="10" t="s">
        <v>23515</v>
      </c>
      <c r="AE3240" s="10" t="s">
        <v>23516</v>
      </c>
      <c r="AF3240" s="15"/>
      <c r="AG3240" s="10"/>
      <c r="AH3240" s="10"/>
      <c r="AI3240" s="10"/>
      <c r="AJ3240" s="10"/>
      <c r="AK3240" s="10"/>
      <c r="AL3240" s="10" t="s">
        <v>2509</v>
      </c>
      <c r="AM3240" s="10"/>
      <c r="AN3240" s="10"/>
      <c r="AO3240" s="13" t="b">
        <v>1</v>
      </c>
      <c r="AP3240" s="22" t="s">
        <v>104</v>
      </c>
      <c r="AQ3240" s="10"/>
      <c r="AR3240" s="17"/>
      <c r="AS3240" s="17"/>
      <c r="AT3240" s="17"/>
      <c r="AU3240" s="17"/>
      <c r="AV3240" s="17"/>
      <c r="AW3240" s="10"/>
      <c r="AX3240" s="17"/>
      <c r="AY3240" s="18" t="s">
        <v>257</v>
      </c>
      <c r="AZ3240" s="10"/>
      <c r="BA3240" s="20" t="b">
        <v>0</v>
      </c>
      <c r="BB3240" s="10"/>
      <c r="BC3240" s="17" t="s">
        <v>257</v>
      </c>
      <c r="BD3240" s="17" t="s">
        <v>257</v>
      </c>
      <c r="BE3240" s="17" t="s">
        <v>257</v>
      </c>
      <c r="BF3240" s="17" t="s">
        <v>257</v>
      </c>
      <c r="BG3240" s="11">
        <f ca="1">IFERROR(__xludf.DUMMYFUNCTION("""COMPUTED_VALUE"""),46073.8541666666)</f>
        <v>46073.854166666599</v>
      </c>
      <c r="BH3240" s="17"/>
      <c r="BI3240" s="17"/>
      <c r="BJ3240" s="15"/>
      <c r="BK3240" s="15"/>
      <c r="BL3240" s="13" t="b">
        <v>0</v>
      </c>
      <c r="BM3240" s="10"/>
      <c r="BN3240" s="10" t="s">
        <v>223</v>
      </c>
      <c r="BO3240" s="11">
        <v>46010.149050925924</v>
      </c>
      <c r="BP3240" s="11">
        <v>46010.149050925924</v>
      </c>
      <c r="BQ3240" s="15"/>
      <c r="BR3240" s="15"/>
      <c r="BS3240" s="10"/>
      <c r="BT3240" s="10"/>
      <c r="BU3240" s="10"/>
      <c r="BV3240" s="10"/>
      <c r="BW3240" s="10"/>
      <c r="BX3240" s="10"/>
      <c r="BY3240" s="23"/>
      <c r="BZ3240" s="23"/>
      <c r="CA3240" s="10"/>
      <c r="CB3240" s="23"/>
      <c r="CC3240" s="23"/>
      <c r="CD3240" s="23"/>
      <c r="CE3240" s="23"/>
      <c r="CF3240" s="23"/>
      <c r="CG3240" s="23"/>
      <c r="CH3240" s="23"/>
      <c r="CI3240" s="23"/>
    </row>
    <row r="3241" spans="1:87" x14ac:dyDescent="0.3">
      <c r="A3241" s="9" t="s">
        <v>23517</v>
      </c>
      <c r="B3241" s="10" t="s">
        <v>23518</v>
      </c>
      <c r="C3241" s="11">
        <v>46073.854166666664</v>
      </c>
      <c r="D3241" s="12">
        <v>8.3333333333333329E-2</v>
      </c>
      <c r="E3241" s="11">
        <v>46073.9375</v>
      </c>
      <c r="F3241" s="22" t="s">
        <v>3511</v>
      </c>
      <c r="G3241" s="13" t="b">
        <v>0</v>
      </c>
      <c r="H3241" s="22" t="s">
        <v>3512</v>
      </c>
      <c r="I3241" s="10" t="s">
        <v>212</v>
      </c>
      <c r="J3241" s="13" t="b">
        <v>1</v>
      </c>
      <c r="K3241" s="13" t="b">
        <v>0</v>
      </c>
      <c r="L3241" s="10" t="s">
        <v>124</v>
      </c>
      <c r="M3241" s="10" t="s">
        <v>91</v>
      </c>
      <c r="N3241" s="10" t="s">
        <v>3513</v>
      </c>
      <c r="O3241" s="10"/>
      <c r="P3241" s="10"/>
      <c r="Q3241" s="10"/>
      <c r="R3241" s="10"/>
      <c r="S3241" s="10"/>
      <c r="T3241" s="10"/>
      <c r="U3241" s="10" t="s">
        <v>3610</v>
      </c>
      <c r="V3241" s="10" t="s">
        <v>3623</v>
      </c>
      <c r="W3241" s="10" t="s">
        <v>3519</v>
      </c>
      <c r="X3241" s="10" t="s">
        <v>130</v>
      </c>
      <c r="Y3241" s="10" t="s">
        <v>130</v>
      </c>
      <c r="Z3241" s="10" t="s">
        <v>99</v>
      </c>
      <c r="AA3241" s="10" t="s">
        <v>131</v>
      </c>
      <c r="AB3241" s="10" t="s">
        <v>3520</v>
      </c>
      <c r="AC3241" s="10" t="s">
        <v>3521</v>
      </c>
      <c r="AD3241" s="10" t="s">
        <v>23519</v>
      </c>
      <c r="AE3241" s="10" t="s">
        <v>23520</v>
      </c>
      <c r="AF3241" s="15"/>
      <c r="AG3241" s="10"/>
      <c r="AH3241" s="10"/>
      <c r="AI3241" s="10"/>
      <c r="AJ3241" s="10"/>
      <c r="AK3241" s="10"/>
      <c r="AL3241" s="10" t="s">
        <v>2509</v>
      </c>
      <c r="AM3241" s="10"/>
      <c r="AN3241" s="10"/>
      <c r="AO3241" s="13" t="b">
        <v>0</v>
      </c>
      <c r="AP3241" s="22" t="s">
        <v>104</v>
      </c>
      <c r="AQ3241" s="10"/>
      <c r="AR3241" s="17"/>
      <c r="AS3241" s="17"/>
      <c r="AT3241" s="17"/>
      <c r="AU3241" s="17"/>
      <c r="AV3241" s="17"/>
      <c r="AW3241" s="10"/>
      <c r="AX3241" s="17"/>
      <c r="AY3241" s="18" t="s">
        <v>257</v>
      </c>
      <c r="AZ3241" s="10"/>
      <c r="BA3241" s="20" t="b">
        <v>0</v>
      </c>
      <c r="BB3241" s="10"/>
      <c r="BC3241" s="17" t="s">
        <v>257</v>
      </c>
      <c r="BD3241" s="17" t="s">
        <v>257</v>
      </c>
      <c r="BE3241" s="17" t="s">
        <v>257</v>
      </c>
      <c r="BF3241" s="17" t="s">
        <v>257</v>
      </c>
      <c r="BG3241" s="11">
        <f ca="1">IFERROR(__xludf.DUMMYFUNCTION("""COMPUTED_VALUE"""),46073.8541666666)</f>
        <v>46073.854166666599</v>
      </c>
      <c r="BH3241" s="17"/>
      <c r="BI3241" s="17"/>
      <c r="BJ3241" s="15"/>
      <c r="BK3241" s="15"/>
      <c r="BL3241" s="13" t="b">
        <v>0</v>
      </c>
      <c r="BM3241" s="10"/>
      <c r="BN3241" s="10" t="s">
        <v>223</v>
      </c>
      <c r="BO3241" s="11">
        <v>46010.149050925924</v>
      </c>
      <c r="BP3241" s="11">
        <v>46010.149050925924</v>
      </c>
      <c r="BQ3241" s="15"/>
      <c r="BR3241" s="15"/>
      <c r="BS3241" s="10"/>
      <c r="BT3241" s="10"/>
      <c r="BU3241" s="10"/>
      <c r="BV3241" s="10"/>
      <c r="BW3241" s="10"/>
      <c r="BX3241" s="10"/>
      <c r="BY3241" s="23"/>
      <c r="BZ3241" s="23"/>
      <c r="CA3241" s="10"/>
      <c r="CB3241" s="23"/>
      <c r="CC3241" s="23"/>
      <c r="CD3241" s="23"/>
      <c r="CE3241" s="23"/>
      <c r="CF3241" s="23"/>
      <c r="CG3241" s="23"/>
      <c r="CH3241" s="23"/>
      <c r="CI3241" s="23"/>
    </row>
    <row r="3242" spans="1:87" x14ac:dyDescent="0.3">
      <c r="A3242" s="9" t="s">
        <v>23521</v>
      </c>
      <c r="B3242" s="10" t="s">
        <v>23522</v>
      </c>
      <c r="C3242" s="11">
        <v>46074.854166666664</v>
      </c>
      <c r="D3242" s="12">
        <v>8.3333333333333329E-2</v>
      </c>
      <c r="E3242" s="11">
        <v>46074.9375</v>
      </c>
      <c r="F3242" s="22" t="s">
        <v>3511</v>
      </c>
      <c r="G3242" s="13" t="b">
        <v>0</v>
      </c>
      <c r="H3242" s="22" t="s">
        <v>123</v>
      </c>
      <c r="I3242" s="10" t="s">
        <v>3548</v>
      </c>
      <c r="J3242" s="13" t="b">
        <v>0</v>
      </c>
      <c r="K3242" s="13" t="b">
        <v>1</v>
      </c>
      <c r="L3242" s="10" t="s">
        <v>124</v>
      </c>
      <c r="M3242" s="10" t="s">
        <v>91</v>
      </c>
      <c r="N3242" s="10" t="s">
        <v>3513</v>
      </c>
      <c r="O3242" s="10"/>
      <c r="P3242" s="10"/>
      <c r="Q3242" s="10"/>
      <c r="R3242" s="10"/>
      <c r="S3242" s="10"/>
      <c r="T3242" s="10"/>
      <c r="U3242" s="10" t="s">
        <v>3536</v>
      </c>
      <c r="V3242" s="10" t="s">
        <v>3551</v>
      </c>
      <c r="W3242" s="10" t="s">
        <v>3519</v>
      </c>
      <c r="X3242" s="10" t="s">
        <v>130</v>
      </c>
      <c r="Y3242" s="10" t="s">
        <v>130</v>
      </c>
      <c r="Z3242" s="10" t="s">
        <v>99</v>
      </c>
      <c r="AA3242" s="10" t="s">
        <v>131</v>
      </c>
      <c r="AB3242" s="10" t="s">
        <v>3520</v>
      </c>
      <c r="AC3242" s="10" t="s">
        <v>3521</v>
      </c>
      <c r="AD3242" s="10" t="s">
        <v>23523</v>
      </c>
      <c r="AE3242" s="10" t="s">
        <v>23524</v>
      </c>
      <c r="AF3242" s="15"/>
      <c r="AG3242" s="10"/>
      <c r="AH3242" s="10"/>
      <c r="AI3242" s="10"/>
      <c r="AJ3242" s="10"/>
      <c r="AK3242" s="10"/>
      <c r="AL3242" s="10" t="s">
        <v>2509</v>
      </c>
      <c r="AM3242" s="10"/>
      <c r="AN3242" s="10"/>
      <c r="AO3242" s="13" t="b">
        <v>1</v>
      </c>
      <c r="AP3242" s="22" t="s">
        <v>104</v>
      </c>
      <c r="AQ3242" s="10"/>
      <c r="AR3242" s="17"/>
      <c r="AS3242" s="17"/>
      <c r="AT3242" s="17"/>
      <c r="AU3242" s="17"/>
      <c r="AV3242" s="17"/>
      <c r="AW3242" s="10"/>
      <c r="AX3242" s="17"/>
      <c r="AY3242" s="18" t="s">
        <v>257</v>
      </c>
      <c r="AZ3242" s="10"/>
      <c r="BA3242" s="20" t="b">
        <v>0</v>
      </c>
      <c r="BB3242" s="10"/>
      <c r="BC3242" s="17" t="s">
        <v>257</v>
      </c>
      <c r="BD3242" s="17" t="s">
        <v>257</v>
      </c>
      <c r="BE3242" s="17" t="s">
        <v>257</v>
      </c>
      <c r="BF3242" s="17" t="s">
        <v>257</v>
      </c>
      <c r="BG3242" s="11">
        <f ca="1">IFERROR(__xludf.DUMMYFUNCTION("""COMPUTED_VALUE"""),46074.8541666666)</f>
        <v>46074.854166666599</v>
      </c>
      <c r="BH3242" s="17"/>
      <c r="BI3242" s="17"/>
      <c r="BJ3242" s="15"/>
      <c r="BK3242" s="15"/>
      <c r="BL3242" s="13" t="b">
        <v>0</v>
      </c>
      <c r="BM3242" s="10"/>
      <c r="BN3242" s="10" t="s">
        <v>223</v>
      </c>
      <c r="BO3242" s="11">
        <v>46010.149050925924</v>
      </c>
      <c r="BP3242" s="11">
        <v>46010.149050925924</v>
      </c>
      <c r="BQ3242" s="15"/>
      <c r="BR3242" s="15"/>
      <c r="BS3242" s="10"/>
      <c r="BT3242" s="10"/>
      <c r="BU3242" s="10"/>
      <c r="BV3242" s="10"/>
      <c r="BW3242" s="10"/>
      <c r="BX3242" s="10"/>
      <c r="BY3242" s="23"/>
      <c r="BZ3242" s="23"/>
      <c r="CA3242" s="10"/>
      <c r="CB3242" s="23"/>
      <c r="CC3242" s="23"/>
      <c r="CD3242" s="23"/>
      <c r="CE3242" s="23"/>
      <c r="CF3242" s="23"/>
      <c r="CG3242" s="23"/>
      <c r="CH3242" s="23"/>
      <c r="CI3242" s="23"/>
    </row>
    <row r="3243" spans="1:87" x14ac:dyDescent="0.3">
      <c r="A3243" s="9" t="s">
        <v>23525</v>
      </c>
      <c r="B3243" s="10" t="s">
        <v>23526</v>
      </c>
      <c r="C3243" s="11">
        <v>46074.854166666664</v>
      </c>
      <c r="D3243" s="12">
        <v>8.3333333333333329E-2</v>
      </c>
      <c r="E3243" s="11">
        <v>46074.9375</v>
      </c>
      <c r="F3243" s="22" t="s">
        <v>3511</v>
      </c>
      <c r="G3243" s="13" t="b">
        <v>0</v>
      </c>
      <c r="H3243" s="22" t="s">
        <v>3512</v>
      </c>
      <c r="I3243" s="10" t="s">
        <v>3548</v>
      </c>
      <c r="J3243" s="13" t="b">
        <v>0</v>
      </c>
      <c r="K3243" s="13" t="b">
        <v>1</v>
      </c>
      <c r="L3243" s="10" t="s">
        <v>124</v>
      </c>
      <c r="M3243" s="10" t="s">
        <v>91</v>
      </c>
      <c r="N3243" s="10" t="s">
        <v>3513</v>
      </c>
      <c r="O3243" s="10"/>
      <c r="P3243" s="10"/>
      <c r="Q3243" s="10"/>
      <c r="R3243" s="10"/>
      <c r="S3243" s="10"/>
      <c r="T3243" s="10"/>
      <c r="U3243" s="10" t="s">
        <v>3635</v>
      </c>
      <c r="V3243" s="10" t="s">
        <v>3676</v>
      </c>
      <c r="W3243" s="10" t="s">
        <v>3519</v>
      </c>
      <c r="X3243" s="10" t="s">
        <v>130</v>
      </c>
      <c r="Y3243" s="10" t="s">
        <v>130</v>
      </c>
      <c r="Z3243" s="10" t="s">
        <v>99</v>
      </c>
      <c r="AA3243" s="10" t="s">
        <v>131</v>
      </c>
      <c r="AB3243" s="10" t="s">
        <v>3520</v>
      </c>
      <c r="AC3243" s="10" t="s">
        <v>3521</v>
      </c>
      <c r="AD3243" s="10" t="s">
        <v>23527</v>
      </c>
      <c r="AE3243" s="10" t="s">
        <v>23528</v>
      </c>
      <c r="AF3243" s="15"/>
      <c r="AG3243" s="10"/>
      <c r="AH3243" s="10"/>
      <c r="AI3243" s="10"/>
      <c r="AJ3243" s="10"/>
      <c r="AK3243" s="10"/>
      <c r="AL3243" s="10" t="s">
        <v>2509</v>
      </c>
      <c r="AM3243" s="10"/>
      <c r="AN3243" s="10"/>
      <c r="AO3243" s="13" t="b">
        <v>0</v>
      </c>
      <c r="AP3243" s="22" t="s">
        <v>104</v>
      </c>
      <c r="AQ3243" s="10"/>
      <c r="AR3243" s="17"/>
      <c r="AS3243" s="17"/>
      <c r="AT3243" s="17"/>
      <c r="AU3243" s="17"/>
      <c r="AV3243" s="17"/>
      <c r="AW3243" s="10"/>
      <c r="AX3243" s="17"/>
      <c r="AY3243" s="18" t="s">
        <v>257</v>
      </c>
      <c r="AZ3243" s="10"/>
      <c r="BA3243" s="20" t="b">
        <v>0</v>
      </c>
      <c r="BB3243" s="10"/>
      <c r="BC3243" s="17" t="s">
        <v>257</v>
      </c>
      <c r="BD3243" s="17" t="s">
        <v>257</v>
      </c>
      <c r="BE3243" s="17" t="s">
        <v>257</v>
      </c>
      <c r="BF3243" s="17" t="s">
        <v>257</v>
      </c>
      <c r="BG3243" s="11">
        <f ca="1">IFERROR(__xludf.DUMMYFUNCTION("""COMPUTED_VALUE"""),46074.8541666666)</f>
        <v>46074.854166666599</v>
      </c>
      <c r="BH3243" s="17"/>
      <c r="BI3243" s="17"/>
      <c r="BJ3243" s="15"/>
      <c r="BK3243" s="15"/>
      <c r="BL3243" s="13" t="b">
        <v>0</v>
      </c>
      <c r="BM3243" s="10"/>
      <c r="BN3243" s="10" t="s">
        <v>223</v>
      </c>
      <c r="BO3243" s="11">
        <v>46010.149050925924</v>
      </c>
      <c r="BP3243" s="11">
        <v>46010.149050925924</v>
      </c>
      <c r="BQ3243" s="15"/>
      <c r="BR3243" s="15"/>
      <c r="BS3243" s="10"/>
      <c r="BT3243" s="10"/>
      <c r="BU3243" s="10"/>
      <c r="BV3243" s="10"/>
      <c r="BW3243" s="10"/>
      <c r="BX3243" s="10"/>
      <c r="BY3243" s="23"/>
      <c r="BZ3243" s="23"/>
      <c r="CA3243" s="10"/>
      <c r="CB3243" s="23"/>
      <c r="CC3243" s="23"/>
      <c r="CD3243" s="23"/>
      <c r="CE3243" s="23"/>
      <c r="CF3243" s="23"/>
      <c r="CG3243" s="23"/>
      <c r="CH3243" s="23"/>
      <c r="CI3243" s="23"/>
    </row>
    <row r="3244" spans="1:87" x14ac:dyDescent="0.3">
      <c r="A3244" s="9" t="s">
        <v>23529</v>
      </c>
      <c r="B3244" s="10" t="s">
        <v>3870</v>
      </c>
      <c r="C3244" s="11">
        <v>46074.854166666664</v>
      </c>
      <c r="D3244" s="12">
        <v>8.3333333333333329E-2</v>
      </c>
      <c r="E3244" s="11">
        <v>46074.9375</v>
      </c>
      <c r="F3244" s="22" t="s">
        <v>3511</v>
      </c>
      <c r="G3244" s="13" t="b">
        <v>0</v>
      </c>
      <c r="H3244" s="22" t="s">
        <v>3512</v>
      </c>
      <c r="I3244" s="10" t="s">
        <v>3548</v>
      </c>
      <c r="J3244" s="13" t="b">
        <v>0</v>
      </c>
      <c r="K3244" s="13" t="b">
        <v>1</v>
      </c>
      <c r="L3244" s="10" t="s">
        <v>124</v>
      </c>
      <c r="M3244" s="10" t="s">
        <v>91</v>
      </c>
      <c r="N3244" s="10" t="s">
        <v>3513</v>
      </c>
      <c r="O3244" s="10"/>
      <c r="P3244" s="10"/>
      <c r="Q3244" s="10"/>
      <c r="R3244" s="10"/>
      <c r="S3244" s="10"/>
      <c r="T3244" s="10"/>
      <c r="U3244" s="10" t="s">
        <v>3677</v>
      </c>
      <c r="V3244" s="10" t="s">
        <v>3636</v>
      </c>
      <c r="W3244" s="10" t="s">
        <v>3519</v>
      </c>
      <c r="X3244" s="10" t="s">
        <v>130</v>
      </c>
      <c r="Y3244" s="10" t="s">
        <v>130</v>
      </c>
      <c r="Z3244" s="10" t="s">
        <v>99</v>
      </c>
      <c r="AA3244" s="10" t="s">
        <v>131</v>
      </c>
      <c r="AB3244" s="10" t="s">
        <v>3520</v>
      </c>
      <c r="AC3244" s="10" t="s">
        <v>3521</v>
      </c>
      <c r="AD3244" s="10" t="s">
        <v>3873</v>
      </c>
      <c r="AE3244" s="10" t="s">
        <v>3874</v>
      </c>
      <c r="AF3244" s="15"/>
      <c r="AG3244" s="10"/>
      <c r="AH3244" s="10"/>
      <c r="AI3244" s="10"/>
      <c r="AJ3244" s="10"/>
      <c r="AK3244" s="10"/>
      <c r="AL3244" s="10" t="s">
        <v>2509</v>
      </c>
      <c r="AM3244" s="10"/>
      <c r="AN3244" s="10"/>
      <c r="AO3244" s="13" t="b">
        <v>0</v>
      </c>
      <c r="AP3244" s="22" t="s">
        <v>104</v>
      </c>
      <c r="AQ3244" s="10"/>
      <c r="AR3244" s="17"/>
      <c r="AS3244" s="17"/>
      <c r="AT3244" s="17"/>
      <c r="AU3244" s="17"/>
      <c r="AV3244" s="17"/>
      <c r="AW3244" s="10"/>
      <c r="AX3244" s="17"/>
      <c r="AY3244" s="18" t="s">
        <v>257</v>
      </c>
      <c r="AZ3244" s="10"/>
      <c r="BA3244" s="20" t="b">
        <v>0</v>
      </c>
      <c r="BB3244" s="10"/>
      <c r="BC3244" s="17" t="s">
        <v>257</v>
      </c>
      <c r="BD3244" s="17" t="s">
        <v>257</v>
      </c>
      <c r="BE3244" s="17" t="s">
        <v>257</v>
      </c>
      <c r="BF3244" s="17" t="s">
        <v>257</v>
      </c>
      <c r="BG3244" s="11">
        <f ca="1">IFERROR(__xludf.DUMMYFUNCTION("""COMPUTED_VALUE"""),46074.8541666666)</f>
        <v>46074.854166666599</v>
      </c>
      <c r="BH3244" s="17"/>
      <c r="BI3244" s="17"/>
      <c r="BJ3244" s="15"/>
      <c r="BK3244" s="15"/>
      <c r="BL3244" s="13" t="b">
        <v>0</v>
      </c>
      <c r="BM3244" s="10"/>
      <c r="BN3244" s="10" t="s">
        <v>223</v>
      </c>
      <c r="BO3244" s="11">
        <v>46010.149050925924</v>
      </c>
      <c r="BP3244" s="11">
        <v>46010.149050925924</v>
      </c>
      <c r="BQ3244" s="15"/>
      <c r="BR3244" s="15"/>
      <c r="BS3244" s="10"/>
      <c r="BT3244" s="10"/>
      <c r="BU3244" s="10"/>
      <c r="BV3244" s="10"/>
      <c r="BW3244" s="10"/>
      <c r="BX3244" s="10"/>
      <c r="BY3244" s="23"/>
      <c r="BZ3244" s="23"/>
      <c r="CA3244" s="10"/>
      <c r="CB3244" s="23"/>
      <c r="CC3244" s="23"/>
      <c r="CD3244" s="23"/>
      <c r="CE3244" s="23"/>
      <c r="CF3244" s="23"/>
      <c r="CG3244" s="23"/>
      <c r="CH3244" s="23"/>
      <c r="CI3244" s="23"/>
    </row>
    <row r="3245" spans="1:87" x14ac:dyDescent="0.3">
      <c r="A3245" s="9" t="s">
        <v>23530</v>
      </c>
      <c r="B3245" s="10" t="s">
        <v>23531</v>
      </c>
      <c r="C3245" s="11">
        <v>46075.854166666664</v>
      </c>
      <c r="D3245" s="12">
        <v>8.3333333333333329E-2</v>
      </c>
      <c r="E3245" s="11">
        <v>46075.9375</v>
      </c>
      <c r="F3245" s="22" t="s">
        <v>3511</v>
      </c>
      <c r="G3245" s="13" t="b">
        <v>0</v>
      </c>
      <c r="H3245" s="22" t="s">
        <v>3512</v>
      </c>
      <c r="I3245" s="10" t="s">
        <v>3548</v>
      </c>
      <c r="J3245" s="13" t="b">
        <v>0</v>
      </c>
      <c r="K3245" s="13" t="b">
        <v>1</v>
      </c>
      <c r="L3245" s="10" t="s">
        <v>124</v>
      </c>
      <c r="M3245" s="10" t="s">
        <v>91</v>
      </c>
      <c r="N3245" s="10" t="s">
        <v>3513</v>
      </c>
      <c r="O3245" s="10"/>
      <c r="P3245" s="10"/>
      <c r="Q3245" s="10"/>
      <c r="R3245" s="10"/>
      <c r="S3245" s="10"/>
      <c r="T3245" s="10"/>
      <c r="U3245" s="10" t="s">
        <v>3622</v>
      </c>
      <c r="V3245" s="10" t="s">
        <v>3517</v>
      </c>
      <c r="W3245" s="10" t="s">
        <v>3519</v>
      </c>
      <c r="X3245" s="10" t="s">
        <v>130</v>
      </c>
      <c r="Y3245" s="10" t="s">
        <v>130</v>
      </c>
      <c r="Z3245" s="10" t="s">
        <v>99</v>
      </c>
      <c r="AA3245" s="10" t="s">
        <v>131</v>
      </c>
      <c r="AB3245" s="10" t="s">
        <v>3520</v>
      </c>
      <c r="AC3245" s="10" t="s">
        <v>3521</v>
      </c>
      <c r="AD3245" s="10" t="s">
        <v>23532</v>
      </c>
      <c r="AE3245" s="10" t="s">
        <v>23533</v>
      </c>
      <c r="AF3245" s="15"/>
      <c r="AG3245" s="10"/>
      <c r="AH3245" s="10"/>
      <c r="AI3245" s="10"/>
      <c r="AJ3245" s="10"/>
      <c r="AK3245" s="10"/>
      <c r="AL3245" s="10" t="s">
        <v>2509</v>
      </c>
      <c r="AM3245" s="10"/>
      <c r="AN3245" s="10"/>
      <c r="AO3245" s="13" t="b">
        <v>0</v>
      </c>
      <c r="AP3245" s="22" t="s">
        <v>104</v>
      </c>
      <c r="AQ3245" s="10"/>
      <c r="AR3245" s="17"/>
      <c r="AS3245" s="17"/>
      <c r="AT3245" s="17"/>
      <c r="AU3245" s="17"/>
      <c r="AV3245" s="17"/>
      <c r="AW3245" s="10"/>
      <c r="AX3245" s="17"/>
      <c r="AY3245" s="18" t="s">
        <v>257</v>
      </c>
      <c r="AZ3245" s="10"/>
      <c r="BA3245" s="20" t="b">
        <v>0</v>
      </c>
      <c r="BB3245" s="10"/>
      <c r="BC3245" s="17" t="s">
        <v>257</v>
      </c>
      <c r="BD3245" s="17" t="s">
        <v>257</v>
      </c>
      <c r="BE3245" s="17" t="s">
        <v>257</v>
      </c>
      <c r="BF3245" s="17" t="s">
        <v>257</v>
      </c>
      <c r="BG3245" s="11">
        <f ca="1">IFERROR(__xludf.DUMMYFUNCTION("""COMPUTED_VALUE"""),46075.8541666666)</f>
        <v>46075.854166666599</v>
      </c>
      <c r="BH3245" s="17"/>
      <c r="BI3245" s="17"/>
      <c r="BJ3245" s="15"/>
      <c r="BK3245" s="15"/>
      <c r="BL3245" s="13" t="b">
        <v>0</v>
      </c>
      <c r="BM3245" s="10"/>
      <c r="BN3245" s="10" t="s">
        <v>223</v>
      </c>
      <c r="BO3245" s="11">
        <v>46010.149050925924</v>
      </c>
      <c r="BP3245" s="11">
        <v>46010.149050925924</v>
      </c>
      <c r="BQ3245" s="15"/>
      <c r="BR3245" s="15"/>
      <c r="BS3245" s="10"/>
      <c r="BT3245" s="10"/>
      <c r="BU3245" s="10"/>
      <c r="BV3245" s="10"/>
      <c r="BW3245" s="10"/>
      <c r="BX3245" s="10"/>
      <c r="BY3245" s="23"/>
      <c r="BZ3245" s="23"/>
      <c r="CA3245" s="10"/>
      <c r="CB3245" s="23"/>
      <c r="CC3245" s="23"/>
      <c r="CD3245" s="23"/>
      <c r="CE3245" s="23"/>
      <c r="CF3245" s="23"/>
      <c r="CG3245" s="23"/>
      <c r="CH3245" s="23"/>
      <c r="CI3245" s="23"/>
    </row>
    <row r="3246" spans="1:87" x14ac:dyDescent="0.3">
      <c r="A3246" s="9" t="s">
        <v>23534</v>
      </c>
      <c r="B3246" s="10" t="s">
        <v>23535</v>
      </c>
      <c r="C3246" s="11">
        <v>46075.854166666664</v>
      </c>
      <c r="D3246" s="12">
        <v>8.3333333333333329E-2</v>
      </c>
      <c r="E3246" s="11">
        <v>46075.9375</v>
      </c>
      <c r="F3246" s="22" t="s">
        <v>3511</v>
      </c>
      <c r="G3246" s="13" t="b">
        <v>0</v>
      </c>
      <c r="H3246" s="22" t="s">
        <v>123</v>
      </c>
      <c r="I3246" s="10" t="s">
        <v>3548</v>
      </c>
      <c r="J3246" s="13" t="b">
        <v>0</v>
      </c>
      <c r="K3246" s="13" t="b">
        <v>1</v>
      </c>
      <c r="L3246" s="10" t="s">
        <v>124</v>
      </c>
      <c r="M3246" s="10" t="s">
        <v>91</v>
      </c>
      <c r="N3246" s="10" t="s">
        <v>3513</v>
      </c>
      <c r="O3246" s="10"/>
      <c r="P3246" s="10"/>
      <c r="Q3246" s="10"/>
      <c r="R3246" s="10"/>
      <c r="S3246" s="10"/>
      <c r="T3246" s="10"/>
      <c r="U3246" s="10" t="s">
        <v>3609</v>
      </c>
      <c r="V3246" s="10" t="s">
        <v>3648</v>
      </c>
      <c r="W3246" s="10" t="s">
        <v>3519</v>
      </c>
      <c r="X3246" s="10" t="s">
        <v>130</v>
      </c>
      <c r="Y3246" s="10" t="s">
        <v>130</v>
      </c>
      <c r="Z3246" s="10" t="s">
        <v>99</v>
      </c>
      <c r="AA3246" s="10" t="s">
        <v>131</v>
      </c>
      <c r="AB3246" s="10" t="s">
        <v>3520</v>
      </c>
      <c r="AC3246" s="10" t="s">
        <v>3521</v>
      </c>
      <c r="AD3246" s="10" t="s">
        <v>23536</v>
      </c>
      <c r="AE3246" s="10" t="s">
        <v>23537</v>
      </c>
      <c r="AF3246" s="15"/>
      <c r="AG3246" s="10"/>
      <c r="AH3246" s="10"/>
      <c r="AI3246" s="10"/>
      <c r="AJ3246" s="10"/>
      <c r="AK3246" s="10"/>
      <c r="AL3246" s="10" t="s">
        <v>2509</v>
      </c>
      <c r="AM3246" s="10"/>
      <c r="AN3246" s="10"/>
      <c r="AO3246" s="13" t="b">
        <v>1</v>
      </c>
      <c r="AP3246" s="22" t="s">
        <v>104</v>
      </c>
      <c r="AQ3246" s="10"/>
      <c r="AR3246" s="17"/>
      <c r="AS3246" s="17"/>
      <c r="AT3246" s="17"/>
      <c r="AU3246" s="17"/>
      <c r="AV3246" s="17"/>
      <c r="AW3246" s="10"/>
      <c r="AX3246" s="17"/>
      <c r="AY3246" s="18" t="s">
        <v>257</v>
      </c>
      <c r="AZ3246" s="10"/>
      <c r="BA3246" s="20" t="b">
        <v>0</v>
      </c>
      <c r="BB3246" s="10"/>
      <c r="BC3246" s="17" t="s">
        <v>257</v>
      </c>
      <c r="BD3246" s="17" t="s">
        <v>257</v>
      </c>
      <c r="BE3246" s="17" t="s">
        <v>257</v>
      </c>
      <c r="BF3246" s="17" t="s">
        <v>257</v>
      </c>
      <c r="BG3246" s="11">
        <f ca="1">IFERROR(__xludf.DUMMYFUNCTION("""COMPUTED_VALUE"""),46075.8541666666)</f>
        <v>46075.854166666599</v>
      </c>
      <c r="BH3246" s="17"/>
      <c r="BI3246" s="17"/>
      <c r="BJ3246" s="15"/>
      <c r="BK3246" s="15"/>
      <c r="BL3246" s="13" t="b">
        <v>0</v>
      </c>
      <c r="BM3246" s="10"/>
      <c r="BN3246" s="10" t="s">
        <v>223</v>
      </c>
      <c r="BO3246" s="11">
        <v>46010.149050925924</v>
      </c>
      <c r="BP3246" s="11">
        <v>46010.149050925924</v>
      </c>
      <c r="BQ3246" s="15"/>
      <c r="BR3246" s="15"/>
      <c r="BS3246" s="10"/>
      <c r="BT3246" s="10"/>
      <c r="BU3246" s="10"/>
      <c r="BV3246" s="10"/>
      <c r="BW3246" s="10"/>
      <c r="BX3246" s="10"/>
      <c r="BY3246" s="23"/>
      <c r="BZ3246" s="23"/>
      <c r="CA3246" s="10"/>
      <c r="CB3246" s="23"/>
      <c r="CC3246" s="23"/>
      <c r="CD3246" s="23"/>
      <c r="CE3246" s="23"/>
      <c r="CF3246" s="23"/>
      <c r="CG3246" s="23"/>
      <c r="CH3246" s="23"/>
      <c r="CI3246" s="23"/>
    </row>
    <row r="3247" spans="1:87" x14ac:dyDescent="0.3">
      <c r="A3247" s="9" t="s">
        <v>23538</v>
      </c>
      <c r="B3247" s="10" t="s">
        <v>23539</v>
      </c>
      <c r="C3247" s="11">
        <v>46076.854166666664</v>
      </c>
      <c r="D3247" s="12">
        <v>8.3333333333333329E-2</v>
      </c>
      <c r="E3247" s="11">
        <v>46076.9375</v>
      </c>
      <c r="F3247" s="22" t="s">
        <v>3511</v>
      </c>
      <c r="G3247" s="13" t="b">
        <v>0</v>
      </c>
      <c r="H3247" s="22" t="s">
        <v>123</v>
      </c>
      <c r="I3247" s="10" t="s">
        <v>3548</v>
      </c>
      <c r="J3247" s="13" t="b">
        <v>0</v>
      </c>
      <c r="K3247" s="13" t="b">
        <v>1</v>
      </c>
      <c r="L3247" s="10" t="s">
        <v>124</v>
      </c>
      <c r="M3247" s="10" t="s">
        <v>91</v>
      </c>
      <c r="N3247" s="10" t="s">
        <v>3513</v>
      </c>
      <c r="O3247" s="10"/>
      <c r="P3247" s="10"/>
      <c r="Q3247" s="10"/>
      <c r="R3247" s="10"/>
      <c r="S3247" s="10"/>
      <c r="T3247" s="10"/>
      <c r="U3247" s="10" t="s">
        <v>3552</v>
      </c>
      <c r="V3247" s="10" t="s">
        <v>3661</v>
      </c>
      <c r="W3247" s="10" t="s">
        <v>3519</v>
      </c>
      <c r="X3247" s="10" t="s">
        <v>130</v>
      </c>
      <c r="Y3247" s="10" t="s">
        <v>130</v>
      </c>
      <c r="Z3247" s="10" t="s">
        <v>99</v>
      </c>
      <c r="AA3247" s="10" t="s">
        <v>131</v>
      </c>
      <c r="AB3247" s="10" t="s">
        <v>3520</v>
      </c>
      <c r="AC3247" s="10" t="s">
        <v>3521</v>
      </c>
      <c r="AD3247" s="10" t="s">
        <v>23540</v>
      </c>
      <c r="AE3247" s="10" t="s">
        <v>23541</v>
      </c>
      <c r="AF3247" s="15"/>
      <c r="AG3247" s="10"/>
      <c r="AH3247" s="10"/>
      <c r="AI3247" s="10"/>
      <c r="AJ3247" s="10"/>
      <c r="AK3247" s="10"/>
      <c r="AL3247" s="10" t="s">
        <v>2509</v>
      </c>
      <c r="AM3247" s="10"/>
      <c r="AN3247" s="10"/>
      <c r="AO3247" s="13" t="b">
        <v>0</v>
      </c>
      <c r="AP3247" s="22" t="s">
        <v>104</v>
      </c>
      <c r="AQ3247" s="10"/>
      <c r="AR3247" s="17"/>
      <c r="AS3247" s="17"/>
      <c r="AT3247" s="17"/>
      <c r="AU3247" s="17"/>
      <c r="AV3247" s="17"/>
      <c r="AW3247" s="10"/>
      <c r="AX3247" s="17"/>
      <c r="AY3247" s="18" t="s">
        <v>257</v>
      </c>
      <c r="AZ3247" s="10"/>
      <c r="BA3247" s="20" t="b">
        <v>0</v>
      </c>
      <c r="BB3247" s="10"/>
      <c r="BC3247" s="17" t="s">
        <v>257</v>
      </c>
      <c r="BD3247" s="17" t="s">
        <v>257</v>
      </c>
      <c r="BE3247" s="17" t="s">
        <v>257</v>
      </c>
      <c r="BF3247" s="17" t="s">
        <v>257</v>
      </c>
      <c r="BG3247" s="11">
        <f ca="1">IFERROR(__xludf.DUMMYFUNCTION("""COMPUTED_VALUE"""),46076.8541666666)</f>
        <v>46076.854166666599</v>
      </c>
      <c r="BH3247" s="17"/>
      <c r="BI3247" s="17"/>
      <c r="BJ3247" s="15"/>
      <c r="BK3247" s="15"/>
      <c r="BL3247" s="13" t="b">
        <v>0</v>
      </c>
      <c r="BM3247" s="10"/>
      <c r="BN3247" s="10" t="s">
        <v>223</v>
      </c>
      <c r="BO3247" s="11">
        <v>46010.149050925924</v>
      </c>
      <c r="BP3247" s="11">
        <v>46010.149050925924</v>
      </c>
      <c r="BQ3247" s="15"/>
      <c r="BR3247" s="15"/>
      <c r="BS3247" s="10"/>
      <c r="BT3247" s="10"/>
      <c r="BU3247" s="10"/>
      <c r="BV3247" s="10"/>
      <c r="BW3247" s="10"/>
      <c r="BX3247" s="10"/>
      <c r="BY3247" s="23"/>
      <c r="BZ3247" s="23"/>
      <c r="CA3247" s="10"/>
      <c r="CB3247" s="23"/>
      <c r="CC3247" s="23"/>
      <c r="CD3247" s="23"/>
      <c r="CE3247" s="23"/>
      <c r="CF3247" s="23"/>
      <c r="CG3247" s="23"/>
      <c r="CH3247" s="23"/>
      <c r="CI3247" s="23"/>
    </row>
    <row r="3248" spans="1:87" x14ac:dyDescent="0.3">
      <c r="A3248" s="9" t="s">
        <v>23542</v>
      </c>
      <c r="B3248" s="10" t="s">
        <v>23543</v>
      </c>
      <c r="C3248" s="11">
        <v>46077.770833333336</v>
      </c>
      <c r="D3248" s="12">
        <v>8.3333333333333329E-2</v>
      </c>
      <c r="E3248" s="11">
        <v>46077.854166666664</v>
      </c>
      <c r="F3248" s="22" t="s">
        <v>3511</v>
      </c>
      <c r="G3248" s="13" t="b">
        <v>0</v>
      </c>
      <c r="H3248" s="22" t="s">
        <v>123</v>
      </c>
      <c r="I3248" s="10" t="s">
        <v>3548</v>
      </c>
      <c r="J3248" s="13" t="b">
        <v>0</v>
      </c>
      <c r="K3248" s="13" t="b">
        <v>1</v>
      </c>
      <c r="L3248" s="10" t="s">
        <v>124</v>
      </c>
      <c r="M3248" s="10" t="s">
        <v>91</v>
      </c>
      <c r="N3248" s="10" t="s">
        <v>3513</v>
      </c>
      <c r="O3248" s="10"/>
      <c r="P3248" s="10"/>
      <c r="Q3248" s="10"/>
      <c r="R3248" s="10"/>
      <c r="S3248" s="10"/>
      <c r="T3248" s="10"/>
      <c r="U3248" s="10" t="s">
        <v>3623</v>
      </c>
      <c r="V3248" s="10" t="s">
        <v>3647</v>
      </c>
      <c r="W3248" s="10" t="s">
        <v>3519</v>
      </c>
      <c r="X3248" s="10" t="s">
        <v>130</v>
      </c>
      <c r="Y3248" s="10" t="s">
        <v>130</v>
      </c>
      <c r="Z3248" s="10" t="s">
        <v>99</v>
      </c>
      <c r="AA3248" s="10" t="s">
        <v>131</v>
      </c>
      <c r="AB3248" s="10" t="s">
        <v>3520</v>
      </c>
      <c r="AC3248" s="10" t="s">
        <v>3521</v>
      </c>
      <c r="AD3248" s="10" t="s">
        <v>23544</v>
      </c>
      <c r="AE3248" s="10" t="s">
        <v>23545</v>
      </c>
      <c r="AF3248" s="15"/>
      <c r="AG3248" s="10"/>
      <c r="AH3248" s="10"/>
      <c r="AI3248" s="10"/>
      <c r="AJ3248" s="10"/>
      <c r="AK3248" s="10"/>
      <c r="AL3248" s="10" t="s">
        <v>2553</v>
      </c>
      <c r="AM3248" s="10"/>
      <c r="AN3248" s="10"/>
      <c r="AO3248" s="13" t="b">
        <v>1</v>
      </c>
      <c r="AP3248" s="22" t="s">
        <v>104</v>
      </c>
      <c r="AQ3248" s="10"/>
      <c r="AR3248" s="17"/>
      <c r="AS3248" s="17"/>
      <c r="AT3248" s="17"/>
      <c r="AU3248" s="17"/>
      <c r="AV3248" s="17"/>
      <c r="AW3248" s="10"/>
      <c r="AX3248" s="17"/>
      <c r="AY3248" s="18" t="s">
        <v>257</v>
      </c>
      <c r="AZ3248" s="10"/>
      <c r="BA3248" s="20" t="b">
        <v>0</v>
      </c>
      <c r="BB3248" s="10"/>
      <c r="BC3248" s="17" t="s">
        <v>257</v>
      </c>
      <c r="BD3248" s="17" t="s">
        <v>257</v>
      </c>
      <c r="BE3248" s="17" t="s">
        <v>257</v>
      </c>
      <c r="BF3248" s="17" t="s">
        <v>257</v>
      </c>
      <c r="BG3248" s="11">
        <f ca="1">IFERROR(__xludf.DUMMYFUNCTION("""COMPUTED_VALUE"""),46077.7708333333)</f>
        <v>46077.770833333299</v>
      </c>
      <c r="BH3248" s="17"/>
      <c r="BI3248" s="17"/>
      <c r="BJ3248" s="15"/>
      <c r="BK3248" s="15"/>
      <c r="BL3248" s="13" t="b">
        <v>0</v>
      </c>
      <c r="BM3248" s="10"/>
      <c r="BN3248" s="10" t="s">
        <v>223</v>
      </c>
      <c r="BO3248" s="11">
        <v>46010.149050925924</v>
      </c>
      <c r="BP3248" s="11">
        <v>46010.149050925924</v>
      </c>
      <c r="BQ3248" s="15"/>
      <c r="BR3248" s="15"/>
      <c r="BS3248" s="10"/>
      <c r="BT3248" s="10"/>
      <c r="BU3248" s="10"/>
      <c r="BV3248" s="10"/>
      <c r="BW3248" s="10"/>
      <c r="BX3248" s="10"/>
      <c r="BY3248" s="23"/>
      <c r="BZ3248" s="23"/>
      <c r="CA3248" s="10"/>
      <c r="CB3248" s="23"/>
      <c r="CC3248" s="23"/>
      <c r="CD3248" s="23"/>
      <c r="CE3248" s="23"/>
      <c r="CF3248" s="23"/>
      <c r="CG3248" s="23"/>
      <c r="CH3248" s="23"/>
      <c r="CI3248" s="23"/>
    </row>
    <row r="3249" spans="1:87" x14ac:dyDescent="0.3">
      <c r="A3249" s="9" t="s">
        <v>23546</v>
      </c>
      <c r="B3249" s="10" t="s">
        <v>23547</v>
      </c>
      <c r="C3249" s="11">
        <v>46077.854166666664</v>
      </c>
      <c r="D3249" s="12">
        <v>8.3333333333333329E-2</v>
      </c>
      <c r="E3249" s="11">
        <v>46077.9375</v>
      </c>
      <c r="F3249" s="22" t="s">
        <v>3511</v>
      </c>
      <c r="G3249" s="13" t="b">
        <v>0</v>
      </c>
      <c r="H3249" s="22" t="s">
        <v>236</v>
      </c>
      <c r="I3249" s="10" t="s">
        <v>212</v>
      </c>
      <c r="J3249" s="13" t="b">
        <v>1</v>
      </c>
      <c r="K3249" s="13" t="b">
        <v>0</v>
      </c>
      <c r="L3249" s="10" t="s">
        <v>124</v>
      </c>
      <c r="M3249" s="10" t="s">
        <v>91</v>
      </c>
      <c r="N3249" s="10" t="s">
        <v>3513</v>
      </c>
      <c r="O3249" s="10"/>
      <c r="P3249" s="10"/>
      <c r="Q3249" s="10"/>
      <c r="R3249" s="10"/>
      <c r="S3249" s="10"/>
      <c r="T3249" s="10"/>
      <c r="U3249" s="10" t="s">
        <v>3518</v>
      </c>
      <c r="V3249" s="10" t="s">
        <v>3610</v>
      </c>
      <c r="W3249" s="10" t="s">
        <v>3519</v>
      </c>
      <c r="X3249" s="10" t="s">
        <v>130</v>
      </c>
      <c r="Y3249" s="10" t="s">
        <v>130</v>
      </c>
      <c r="Z3249" s="10" t="s">
        <v>99</v>
      </c>
      <c r="AA3249" s="10" t="s">
        <v>131</v>
      </c>
      <c r="AB3249" s="10" t="s">
        <v>3520</v>
      </c>
      <c r="AC3249" s="10" t="s">
        <v>3521</v>
      </c>
      <c r="AD3249" s="10" t="s">
        <v>23548</v>
      </c>
      <c r="AE3249" s="10" t="s">
        <v>23549</v>
      </c>
      <c r="AF3249" s="15"/>
      <c r="AG3249" s="10"/>
      <c r="AH3249" s="10"/>
      <c r="AI3249" s="10"/>
      <c r="AJ3249" s="10"/>
      <c r="AK3249" s="10"/>
      <c r="AL3249" s="10" t="s">
        <v>2553</v>
      </c>
      <c r="AM3249" s="10"/>
      <c r="AN3249" s="10"/>
      <c r="AO3249" s="13" t="b">
        <v>0</v>
      </c>
      <c r="AP3249" s="22" t="s">
        <v>104</v>
      </c>
      <c r="AQ3249" s="10"/>
      <c r="AR3249" s="17"/>
      <c r="AS3249" s="17"/>
      <c r="AT3249" s="17"/>
      <c r="AU3249" s="17"/>
      <c r="AV3249" s="17"/>
      <c r="AW3249" s="10"/>
      <c r="AX3249" s="17"/>
      <c r="AY3249" s="18" t="s">
        <v>257</v>
      </c>
      <c r="AZ3249" s="10"/>
      <c r="BA3249" s="20" t="b">
        <v>0</v>
      </c>
      <c r="BB3249" s="10"/>
      <c r="BC3249" s="17" t="s">
        <v>257</v>
      </c>
      <c r="BD3249" s="17" t="s">
        <v>257</v>
      </c>
      <c r="BE3249" s="17" t="s">
        <v>257</v>
      </c>
      <c r="BF3249" s="17" t="s">
        <v>257</v>
      </c>
      <c r="BG3249" s="11">
        <f ca="1">IFERROR(__xludf.DUMMYFUNCTION("""COMPUTED_VALUE"""),46077.8541666666)</f>
        <v>46077.854166666599</v>
      </c>
      <c r="BH3249" s="17"/>
      <c r="BI3249" s="17"/>
      <c r="BJ3249" s="15"/>
      <c r="BK3249" s="15"/>
      <c r="BL3249" s="13" t="b">
        <v>0</v>
      </c>
      <c r="BM3249" s="10"/>
      <c r="BN3249" s="10" t="s">
        <v>223</v>
      </c>
      <c r="BO3249" s="11">
        <v>46010.149050925924</v>
      </c>
      <c r="BP3249" s="11">
        <v>46010.149050925924</v>
      </c>
      <c r="BQ3249" s="15"/>
      <c r="BR3249" s="15"/>
      <c r="BS3249" s="10"/>
      <c r="BT3249" s="10"/>
      <c r="BU3249" s="10"/>
      <c r="BV3249" s="10"/>
      <c r="BW3249" s="10"/>
      <c r="BX3249" s="10"/>
      <c r="BY3249" s="23"/>
      <c r="BZ3249" s="23"/>
      <c r="CA3249" s="10"/>
      <c r="CB3249" s="23"/>
      <c r="CC3249" s="23"/>
      <c r="CD3249" s="23"/>
      <c r="CE3249" s="23"/>
      <c r="CF3249" s="23"/>
      <c r="CG3249" s="23"/>
      <c r="CH3249" s="23"/>
      <c r="CI3249" s="23"/>
    </row>
    <row r="3250" spans="1:87" x14ac:dyDescent="0.3">
      <c r="A3250" s="9" t="s">
        <v>23550</v>
      </c>
      <c r="B3250" s="10" t="s">
        <v>23551</v>
      </c>
      <c r="C3250" s="11">
        <v>46078.854166666664</v>
      </c>
      <c r="D3250" s="12">
        <v>8.3333333333333329E-2</v>
      </c>
      <c r="E3250" s="11">
        <v>46078.9375</v>
      </c>
      <c r="F3250" s="22" t="s">
        <v>3511</v>
      </c>
      <c r="G3250" s="13" t="b">
        <v>0</v>
      </c>
      <c r="H3250" s="22" t="s">
        <v>123</v>
      </c>
      <c r="I3250" s="10" t="s">
        <v>3548</v>
      </c>
      <c r="J3250" s="13" t="b">
        <v>0</v>
      </c>
      <c r="K3250" s="13" t="b">
        <v>1</v>
      </c>
      <c r="L3250" s="10" t="s">
        <v>124</v>
      </c>
      <c r="M3250" s="10" t="s">
        <v>91</v>
      </c>
      <c r="N3250" s="10" t="s">
        <v>3513</v>
      </c>
      <c r="O3250" s="10"/>
      <c r="P3250" s="10"/>
      <c r="Q3250" s="10"/>
      <c r="R3250" s="10"/>
      <c r="S3250" s="10"/>
      <c r="T3250" s="10"/>
      <c r="U3250" s="10" t="s">
        <v>3551</v>
      </c>
      <c r="V3250" s="10" t="s">
        <v>3535</v>
      </c>
      <c r="W3250" s="10" t="s">
        <v>3519</v>
      </c>
      <c r="X3250" s="10" t="s">
        <v>130</v>
      </c>
      <c r="Y3250" s="10" t="s">
        <v>130</v>
      </c>
      <c r="Z3250" s="10" t="s">
        <v>99</v>
      </c>
      <c r="AA3250" s="10" t="s">
        <v>131</v>
      </c>
      <c r="AB3250" s="10" t="s">
        <v>3520</v>
      </c>
      <c r="AC3250" s="10" t="s">
        <v>3521</v>
      </c>
      <c r="AD3250" s="10" t="s">
        <v>16630</v>
      </c>
      <c r="AE3250" s="10" t="s">
        <v>23552</v>
      </c>
      <c r="AF3250" s="15"/>
      <c r="AG3250" s="10"/>
      <c r="AH3250" s="10"/>
      <c r="AI3250" s="10"/>
      <c r="AJ3250" s="10"/>
      <c r="AK3250" s="10"/>
      <c r="AL3250" s="10" t="s">
        <v>2553</v>
      </c>
      <c r="AM3250" s="10"/>
      <c r="AN3250" s="10"/>
      <c r="AO3250" s="13" t="b">
        <v>1</v>
      </c>
      <c r="AP3250" s="22" t="s">
        <v>104</v>
      </c>
      <c r="AQ3250" s="10"/>
      <c r="AR3250" s="17"/>
      <c r="AS3250" s="17"/>
      <c r="AT3250" s="17"/>
      <c r="AU3250" s="17"/>
      <c r="AV3250" s="17"/>
      <c r="AW3250" s="10"/>
      <c r="AX3250" s="17"/>
      <c r="AY3250" s="18" t="s">
        <v>257</v>
      </c>
      <c r="AZ3250" s="10"/>
      <c r="BA3250" s="20" t="b">
        <v>0</v>
      </c>
      <c r="BB3250" s="10"/>
      <c r="BC3250" s="17" t="s">
        <v>257</v>
      </c>
      <c r="BD3250" s="17" t="s">
        <v>257</v>
      </c>
      <c r="BE3250" s="17" t="s">
        <v>257</v>
      </c>
      <c r="BF3250" s="17" t="s">
        <v>257</v>
      </c>
      <c r="BG3250" s="11">
        <f ca="1">IFERROR(__xludf.DUMMYFUNCTION("""COMPUTED_VALUE"""),46078.8541666666)</f>
        <v>46078.854166666599</v>
      </c>
      <c r="BH3250" s="17"/>
      <c r="BI3250" s="17"/>
      <c r="BJ3250" s="15"/>
      <c r="BK3250" s="15"/>
      <c r="BL3250" s="13" t="b">
        <v>0</v>
      </c>
      <c r="BM3250" s="10"/>
      <c r="BN3250" s="10" t="s">
        <v>223</v>
      </c>
      <c r="BO3250" s="11">
        <v>46010.149050925924</v>
      </c>
      <c r="BP3250" s="11">
        <v>46010.149050925924</v>
      </c>
      <c r="BQ3250" s="15"/>
      <c r="BR3250" s="15"/>
      <c r="BS3250" s="10"/>
      <c r="BT3250" s="10"/>
      <c r="BU3250" s="10"/>
      <c r="BV3250" s="10"/>
      <c r="BW3250" s="10"/>
      <c r="BX3250" s="10"/>
      <c r="BY3250" s="23"/>
      <c r="BZ3250" s="23"/>
      <c r="CA3250" s="10"/>
      <c r="CB3250" s="23"/>
      <c r="CC3250" s="23"/>
      <c r="CD3250" s="23"/>
      <c r="CE3250" s="23"/>
      <c r="CF3250" s="23"/>
      <c r="CG3250" s="23"/>
      <c r="CH3250" s="23"/>
      <c r="CI3250" s="23"/>
    </row>
    <row r="3251" spans="1:87" x14ac:dyDescent="0.3">
      <c r="A3251" s="9" t="s">
        <v>23553</v>
      </c>
      <c r="B3251" s="10" t="s">
        <v>23554</v>
      </c>
      <c r="C3251" s="11">
        <v>46079.854166666664</v>
      </c>
      <c r="D3251" s="12">
        <v>8.3333333333333329E-2</v>
      </c>
      <c r="E3251" s="11">
        <v>46079.9375</v>
      </c>
      <c r="F3251" s="22" t="s">
        <v>3511</v>
      </c>
      <c r="G3251" s="13" t="b">
        <v>0</v>
      </c>
      <c r="H3251" s="22" t="s">
        <v>3512</v>
      </c>
      <c r="I3251" s="10" t="s">
        <v>3548</v>
      </c>
      <c r="J3251" s="13" t="b">
        <v>0</v>
      </c>
      <c r="K3251" s="13" t="b">
        <v>1</v>
      </c>
      <c r="L3251" s="10" t="s">
        <v>124</v>
      </c>
      <c r="M3251" s="10" t="s">
        <v>91</v>
      </c>
      <c r="N3251" s="10" t="s">
        <v>3513</v>
      </c>
      <c r="O3251" s="10"/>
      <c r="P3251" s="10"/>
      <c r="Q3251" s="10"/>
      <c r="R3251" s="10"/>
      <c r="S3251" s="10"/>
      <c r="T3251" s="10"/>
      <c r="U3251" s="10" t="s">
        <v>3648</v>
      </c>
      <c r="V3251" s="10" t="s">
        <v>3622</v>
      </c>
      <c r="W3251" s="10" t="s">
        <v>3519</v>
      </c>
      <c r="X3251" s="10" t="s">
        <v>130</v>
      </c>
      <c r="Y3251" s="10" t="s">
        <v>130</v>
      </c>
      <c r="Z3251" s="10" t="s">
        <v>99</v>
      </c>
      <c r="AA3251" s="10" t="s">
        <v>131</v>
      </c>
      <c r="AB3251" s="10" t="s">
        <v>3520</v>
      </c>
      <c r="AC3251" s="10" t="s">
        <v>3521</v>
      </c>
      <c r="AD3251" s="10" t="s">
        <v>23555</v>
      </c>
      <c r="AE3251" s="10" t="s">
        <v>23556</v>
      </c>
      <c r="AF3251" s="15"/>
      <c r="AG3251" s="10"/>
      <c r="AH3251" s="10"/>
      <c r="AI3251" s="10"/>
      <c r="AJ3251" s="10"/>
      <c r="AK3251" s="10"/>
      <c r="AL3251" s="10" t="s">
        <v>2553</v>
      </c>
      <c r="AM3251" s="10"/>
      <c r="AN3251" s="10"/>
      <c r="AO3251" s="13" t="b">
        <v>0</v>
      </c>
      <c r="AP3251" s="22" t="s">
        <v>104</v>
      </c>
      <c r="AQ3251" s="10"/>
      <c r="AR3251" s="17"/>
      <c r="AS3251" s="17"/>
      <c r="AT3251" s="17"/>
      <c r="AU3251" s="17"/>
      <c r="AV3251" s="17"/>
      <c r="AW3251" s="10"/>
      <c r="AX3251" s="17"/>
      <c r="AY3251" s="18" t="s">
        <v>257</v>
      </c>
      <c r="AZ3251" s="10"/>
      <c r="BA3251" s="20" t="b">
        <v>0</v>
      </c>
      <c r="BB3251" s="10"/>
      <c r="BC3251" s="17" t="s">
        <v>257</v>
      </c>
      <c r="BD3251" s="17" t="s">
        <v>257</v>
      </c>
      <c r="BE3251" s="17" t="s">
        <v>257</v>
      </c>
      <c r="BF3251" s="17" t="s">
        <v>257</v>
      </c>
      <c r="BG3251" s="11">
        <f ca="1">IFERROR(__xludf.DUMMYFUNCTION("""COMPUTED_VALUE"""),46079.8541666666)</f>
        <v>46079.854166666599</v>
      </c>
      <c r="BH3251" s="17"/>
      <c r="BI3251" s="17"/>
      <c r="BJ3251" s="15"/>
      <c r="BK3251" s="15"/>
      <c r="BL3251" s="13" t="b">
        <v>0</v>
      </c>
      <c r="BM3251" s="10"/>
      <c r="BN3251" s="10" t="s">
        <v>223</v>
      </c>
      <c r="BO3251" s="11">
        <v>46010.149050925924</v>
      </c>
      <c r="BP3251" s="11">
        <v>46010.149050925924</v>
      </c>
      <c r="BQ3251" s="15"/>
      <c r="BR3251" s="15"/>
      <c r="BS3251" s="10"/>
      <c r="BT3251" s="10"/>
      <c r="BU3251" s="10"/>
      <c r="BV3251" s="10"/>
      <c r="BW3251" s="10"/>
      <c r="BX3251" s="10"/>
      <c r="BY3251" s="23"/>
      <c r="BZ3251" s="23"/>
      <c r="CA3251" s="10"/>
      <c r="CB3251" s="23"/>
      <c r="CC3251" s="23"/>
      <c r="CD3251" s="23"/>
      <c r="CE3251" s="23"/>
      <c r="CF3251" s="23"/>
      <c r="CG3251" s="23"/>
      <c r="CH3251" s="23"/>
      <c r="CI3251" s="23"/>
    </row>
    <row r="3252" spans="1:87" x14ac:dyDescent="0.3">
      <c r="A3252" s="9" t="s">
        <v>23557</v>
      </c>
      <c r="B3252" s="10" t="s">
        <v>23558</v>
      </c>
      <c r="C3252" s="11">
        <v>46079.854166666664</v>
      </c>
      <c r="D3252" s="12">
        <v>8.3333333333333329E-2</v>
      </c>
      <c r="E3252" s="11">
        <v>46079.9375</v>
      </c>
      <c r="F3252" s="22" t="s">
        <v>3511</v>
      </c>
      <c r="G3252" s="13" t="b">
        <v>0</v>
      </c>
      <c r="H3252" s="22" t="s">
        <v>123</v>
      </c>
      <c r="I3252" s="10" t="s">
        <v>3548</v>
      </c>
      <c r="J3252" s="13" t="b">
        <v>0</v>
      </c>
      <c r="K3252" s="13" t="b">
        <v>1</v>
      </c>
      <c r="L3252" s="10" t="s">
        <v>124</v>
      </c>
      <c r="M3252" s="10" t="s">
        <v>91</v>
      </c>
      <c r="N3252" s="10" t="s">
        <v>3513</v>
      </c>
      <c r="O3252" s="10"/>
      <c r="P3252" s="10"/>
      <c r="Q3252" s="10"/>
      <c r="R3252" s="10"/>
      <c r="S3252" s="10"/>
      <c r="T3252" s="10"/>
      <c r="U3252" s="10" t="s">
        <v>3609</v>
      </c>
      <c r="V3252" s="10" t="s">
        <v>3635</v>
      </c>
      <c r="W3252" s="10" t="s">
        <v>3519</v>
      </c>
      <c r="X3252" s="10" t="s">
        <v>130</v>
      </c>
      <c r="Y3252" s="10" t="s">
        <v>130</v>
      </c>
      <c r="Z3252" s="10" t="s">
        <v>99</v>
      </c>
      <c r="AA3252" s="10" t="s">
        <v>131</v>
      </c>
      <c r="AB3252" s="10" t="s">
        <v>3520</v>
      </c>
      <c r="AC3252" s="10" t="s">
        <v>3521</v>
      </c>
      <c r="AD3252" s="10" t="s">
        <v>23559</v>
      </c>
      <c r="AE3252" s="10" t="s">
        <v>23560</v>
      </c>
      <c r="AF3252" s="15"/>
      <c r="AG3252" s="10"/>
      <c r="AH3252" s="10"/>
      <c r="AI3252" s="10"/>
      <c r="AJ3252" s="10"/>
      <c r="AK3252" s="10"/>
      <c r="AL3252" s="10" t="s">
        <v>2553</v>
      </c>
      <c r="AM3252" s="10"/>
      <c r="AN3252" s="10"/>
      <c r="AO3252" s="13" t="b">
        <v>1</v>
      </c>
      <c r="AP3252" s="22" t="s">
        <v>104</v>
      </c>
      <c r="AQ3252" s="10"/>
      <c r="AR3252" s="17"/>
      <c r="AS3252" s="17"/>
      <c r="AT3252" s="17"/>
      <c r="AU3252" s="17"/>
      <c r="AV3252" s="17"/>
      <c r="AW3252" s="10"/>
      <c r="AX3252" s="17"/>
      <c r="AY3252" s="18" t="s">
        <v>257</v>
      </c>
      <c r="AZ3252" s="10"/>
      <c r="BA3252" s="20" t="b">
        <v>0</v>
      </c>
      <c r="BB3252" s="10"/>
      <c r="BC3252" s="17" t="s">
        <v>257</v>
      </c>
      <c r="BD3252" s="17" t="s">
        <v>257</v>
      </c>
      <c r="BE3252" s="17" t="s">
        <v>257</v>
      </c>
      <c r="BF3252" s="17" t="s">
        <v>257</v>
      </c>
      <c r="BG3252" s="11">
        <f ca="1">IFERROR(__xludf.DUMMYFUNCTION("""COMPUTED_VALUE"""),46079.8541666666)</f>
        <v>46079.854166666599</v>
      </c>
      <c r="BH3252" s="17"/>
      <c r="BI3252" s="17"/>
      <c r="BJ3252" s="15"/>
      <c r="BK3252" s="15"/>
      <c r="BL3252" s="13" t="b">
        <v>0</v>
      </c>
      <c r="BM3252" s="10"/>
      <c r="BN3252" s="10" t="s">
        <v>223</v>
      </c>
      <c r="BO3252" s="11">
        <v>46010.149050925924</v>
      </c>
      <c r="BP3252" s="11">
        <v>46010.149050925924</v>
      </c>
      <c r="BQ3252" s="15"/>
      <c r="BR3252" s="15"/>
      <c r="BS3252" s="10"/>
      <c r="BT3252" s="10"/>
      <c r="BU3252" s="10"/>
      <c r="BV3252" s="10"/>
      <c r="BW3252" s="10"/>
      <c r="BX3252" s="10"/>
      <c r="BY3252" s="23"/>
      <c r="BZ3252" s="23"/>
      <c r="CA3252" s="10"/>
      <c r="CB3252" s="23"/>
      <c r="CC3252" s="23"/>
      <c r="CD3252" s="23"/>
      <c r="CE3252" s="23"/>
      <c r="CF3252" s="23"/>
      <c r="CG3252" s="23"/>
      <c r="CH3252" s="23"/>
      <c r="CI3252" s="23"/>
    </row>
    <row r="3253" spans="1:87" x14ac:dyDescent="0.3">
      <c r="A3253" s="9" t="s">
        <v>23561</v>
      </c>
      <c r="B3253" s="10" t="s">
        <v>23562</v>
      </c>
      <c r="C3253" s="11">
        <v>46079.854166666664</v>
      </c>
      <c r="D3253" s="12">
        <v>8.3333333333333329E-2</v>
      </c>
      <c r="E3253" s="11">
        <v>46079.9375</v>
      </c>
      <c r="F3253" s="22" t="s">
        <v>3511</v>
      </c>
      <c r="G3253" s="13" t="b">
        <v>0</v>
      </c>
      <c r="H3253" s="22" t="s">
        <v>3512</v>
      </c>
      <c r="I3253" s="10" t="s">
        <v>3548</v>
      </c>
      <c r="J3253" s="13" t="b">
        <v>0</v>
      </c>
      <c r="K3253" s="13" t="b">
        <v>1</v>
      </c>
      <c r="L3253" s="10" t="s">
        <v>124</v>
      </c>
      <c r="M3253" s="10" t="s">
        <v>91</v>
      </c>
      <c r="N3253" s="10" t="s">
        <v>3513</v>
      </c>
      <c r="O3253" s="10"/>
      <c r="P3253" s="10"/>
      <c r="Q3253" s="10"/>
      <c r="R3253" s="10"/>
      <c r="S3253" s="10"/>
      <c r="T3253" s="10"/>
      <c r="U3253" s="10" t="s">
        <v>3517</v>
      </c>
      <c r="V3253" s="10" t="s">
        <v>3676</v>
      </c>
      <c r="W3253" s="10" t="s">
        <v>3519</v>
      </c>
      <c r="X3253" s="10" t="s">
        <v>130</v>
      </c>
      <c r="Y3253" s="10" t="s">
        <v>130</v>
      </c>
      <c r="Z3253" s="10" t="s">
        <v>99</v>
      </c>
      <c r="AA3253" s="10" t="s">
        <v>131</v>
      </c>
      <c r="AB3253" s="10" t="s">
        <v>3520</v>
      </c>
      <c r="AC3253" s="10" t="s">
        <v>3521</v>
      </c>
      <c r="AD3253" s="10" t="s">
        <v>23563</v>
      </c>
      <c r="AE3253" s="10" t="s">
        <v>23564</v>
      </c>
      <c r="AF3253" s="15"/>
      <c r="AG3253" s="10"/>
      <c r="AH3253" s="10"/>
      <c r="AI3253" s="10"/>
      <c r="AJ3253" s="10"/>
      <c r="AK3253" s="10"/>
      <c r="AL3253" s="10" t="s">
        <v>2553</v>
      </c>
      <c r="AM3253" s="10"/>
      <c r="AN3253" s="10"/>
      <c r="AO3253" s="13" t="b">
        <v>0</v>
      </c>
      <c r="AP3253" s="22" t="s">
        <v>104</v>
      </c>
      <c r="AQ3253" s="10"/>
      <c r="AR3253" s="17"/>
      <c r="AS3253" s="17"/>
      <c r="AT3253" s="17"/>
      <c r="AU3253" s="17"/>
      <c r="AV3253" s="17"/>
      <c r="AW3253" s="10"/>
      <c r="AX3253" s="17"/>
      <c r="AY3253" s="18" t="s">
        <v>257</v>
      </c>
      <c r="AZ3253" s="10"/>
      <c r="BA3253" s="20" t="b">
        <v>0</v>
      </c>
      <c r="BB3253" s="10"/>
      <c r="BC3253" s="17" t="s">
        <v>257</v>
      </c>
      <c r="BD3253" s="17" t="s">
        <v>257</v>
      </c>
      <c r="BE3253" s="17" t="s">
        <v>257</v>
      </c>
      <c r="BF3253" s="17" t="s">
        <v>257</v>
      </c>
      <c r="BG3253" s="11">
        <f ca="1">IFERROR(__xludf.DUMMYFUNCTION("""COMPUTED_VALUE"""),46079.8541666666)</f>
        <v>46079.854166666599</v>
      </c>
      <c r="BH3253" s="17"/>
      <c r="BI3253" s="17"/>
      <c r="BJ3253" s="15"/>
      <c r="BK3253" s="15"/>
      <c r="BL3253" s="13" t="b">
        <v>0</v>
      </c>
      <c r="BM3253" s="10"/>
      <c r="BN3253" s="10" t="s">
        <v>223</v>
      </c>
      <c r="BO3253" s="11">
        <v>46010.149050925924</v>
      </c>
      <c r="BP3253" s="11">
        <v>46010.149050925924</v>
      </c>
      <c r="BQ3253" s="15"/>
      <c r="BR3253" s="15"/>
      <c r="BS3253" s="10"/>
      <c r="BT3253" s="10"/>
      <c r="BU3253" s="10"/>
      <c r="BV3253" s="10"/>
      <c r="BW3253" s="10"/>
      <c r="BX3253" s="10"/>
      <c r="BY3253" s="23"/>
      <c r="BZ3253" s="23"/>
      <c r="CA3253" s="10"/>
      <c r="CB3253" s="23"/>
      <c r="CC3253" s="23"/>
      <c r="CD3253" s="23"/>
      <c r="CE3253" s="23"/>
      <c r="CF3253" s="23"/>
      <c r="CG3253" s="23"/>
      <c r="CH3253" s="23"/>
      <c r="CI3253" s="23"/>
    </row>
    <row r="3254" spans="1:87" x14ac:dyDescent="0.3">
      <c r="A3254" s="9" t="s">
        <v>23565</v>
      </c>
      <c r="B3254" s="10" t="s">
        <v>23566</v>
      </c>
      <c r="C3254" s="11">
        <v>46080.854166666664</v>
      </c>
      <c r="D3254" s="12">
        <v>8.3333333333333329E-2</v>
      </c>
      <c r="E3254" s="11">
        <v>46080.9375</v>
      </c>
      <c r="F3254" s="22" t="s">
        <v>3511</v>
      </c>
      <c r="G3254" s="13" t="b">
        <v>0</v>
      </c>
      <c r="H3254" s="22" t="s">
        <v>236</v>
      </c>
      <c r="I3254" s="10" t="s">
        <v>212</v>
      </c>
      <c r="J3254" s="13" t="b">
        <v>1</v>
      </c>
      <c r="K3254" s="13" t="b">
        <v>0</v>
      </c>
      <c r="L3254" s="10" t="s">
        <v>124</v>
      </c>
      <c r="M3254" s="10" t="s">
        <v>91</v>
      </c>
      <c r="N3254" s="10" t="s">
        <v>3513</v>
      </c>
      <c r="O3254" s="10"/>
      <c r="P3254" s="10"/>
      <c r="Q3254" s="10"/>
      <c r="R3254" s="10"/>
      <c r="S3254" s="10"/>
      <c r="T3254" s="10"/>
      <c r="U3254" s="10" t="s">
        <v>3677</v>
      </c>
      <c r="V3254" s="10" t="s">
        <v>3552</v>
      </c>
      <c r="W3254" s="10" t="s">
        <v>3519</v>
      </c>
      <c r="X3254" s="10" t="s">
        <v>130</v>
      </c>
      <c r="Y3254" s="10" t="s">
        <v>130</v>
      </c>
      <c r="Z3254" s="10" t="s">
        <v>99</v>
      </c>
      <c r="AA3254" s="10" t="s">
        <v>131</v>
      </c>
      <c r="AB3254" s="10" t="s">
        <v>3520</v>
      </c>
      <c r="AC3254" s="10" t="s">
        <v>3521</v>
      </c>
      <c r="AD3254" s="10" t="s">
        <v>23567</v>
      </c>
      <c r="AE3254" s="10" t="s">
        <v>23568</v>
      </c>
      <c r="AF3254" s="15"/>
      <c r="AG3254" s="10"/>
      <c r="AH3254" s="10"/>
      <c r="AI3254" s="10"/>
      <c r="AJ3254" s="10"/>
      <c r="AK3254" s="10"/>
      <c r="AL3254" s="10" t="s">
        <v>2553</v>
      </c>
      <c r="AM3254" s="10"/>
      <c r="AN3254" s="10"/>
      <c r="AO3254" s="13" t="b">
        <v>0</v>
      </c>
      <c r="AP3254" s="22" t="s">
        <v>104</v>
      </c>
      <c r="AQ3254" s="10"/>
      <c r="AR3254" s="17"/>
      <c r="AS3254" s="17"/>
      <c r="AT3254" s="17"/>
      <c r="AU3254" s="17"/>
      <c r="AV3254" s="17"/>
      <c r="AW3254" s="10"/>
      <c r="AX3254" s="17"/>
      <c r="AY3254" s="18" t="s">
        <v>257</v>
      </c>
      <c r="AZ3254" s="10"/>
      <c r="BA3254" s="20" t="b">
        <v>0</v>
      </c>
      <c r="BB3254" s="10"/>
      <c r="BC3254" s="17" t="s">
        <v>257</v>
      </c>
      <c r="BD3254" s="17" t="s">
        <v>257</v>
      </c>
      <c r="BE3254" s="17" t="s">
        <v>257</v>
      </c>
      <c r="BF3254" s="17" t="s">
        <v>257</v>
      </c>
      <c r="BG3254" s="11">
        <f ca="1">IFERROR(__xludf.DUMMYFUNCTION("""COMPUTED_VALUE"""),46080.8541666666)</f>
        <v>46080.854166666599</v>
      </c>
      <c r="BH3254" s="17"/>
      <c r="BI3254" s="17"/>
      <c r="BJ3254" s="15"/>
      <c r="BK3254" s="15"/>
      <c r="BL3254" s="13" t="b">
        <v>0</v>
      </c>
      <c r="BM3254" s="10"/>
      <c r="BN3254" s="10" t="s">
        <v>223</v>
      </c>
      <c r="BO3254" s="11">
        <v>46010.149050925924</v>
      </c>
      <c r="BP3254" s="11">
        <v>46010.149050925924</v>
      </c>
      <c r="BQ3254" s="15"/>
      <c r="BR3254" s="15"/>
      <c r="BS3254" s="10"/>
      <c r="BT3254" s="10"/>
      <c r="BU3254" s="10"/>
      <c r="BV3254" s="10"/>
      <c r="BW3254" s="10"/>
      <c r="BX3254" s="10"/>
      <c r="BY3254" s="23"/>
      <c r="BZ3254" s="23"/>
      <c r="CA3254" s="10"/>
      <c r="CB3254" s="23"/>
      <c r="CC3254" s="23"/>
      <c r="CD3254" s="23"/>
      <c r="CE3254" s="23"/>
      <c r="CF3254" s="23"/>
      <c r="CG3254" s="23"/>
      <c r="CH3254" s="23"/>
      <c r="CI3254" s="23"/>
    </row>
    <row r="3255" spans="1:87" x14ac:dyDescent="0.3">
      <c r="A3255" s="9" t="s">
        <v>23569</v>
      </c>
      <c r="B3255" s="10" t="s">
        <v>23570</v>
      </c>
      <c r="C3255" s="11">
        <v>46081.854166666664</v>
      </c>
      <c r="D3255" s="12">
        <v>8.3333333333333329E-2</v>
      </c>
      <c r="E3255" s="11">
        <v>46081.9375</v>
      </c>
      <c r="F3255" s="22" t="s">
        <v>3511</v>
      </c>
      <c r="G3255" s="13" t="b">
        <v>0</v>
      </c>
      <c r="H3255" s="22" t="s">
        <v>123</v>
      </c>
      <c r="I3255" s="10" t="s">
        <v>3548</v>
      </c>
      <c r="J3255" s="13" t="b">
        <v>0</v>
      </c>
      <c r="K3255" s="13" t="b">
        <v>1</v>
      </c>
      <c r="L3255" s="10" t="s">
        <v>124</v>
      </c>
      <c r="M3255" s="10" t="s">
        <v>91</v>
      </c>
      <c r="N3255" s="10" t="s">
        <v>3513</v>
      </c>
      <c r="O3255" s="10"/>
      <c r="P3255" s="10"/>
      <c r="Q3255" s="10"/>
      <c r="R3255" s="10"/>
      <c r="S3255" s="10"/>
      <c r="T3255" s="10"/>
      <c r="U3255" s="10" t="s">
        <v>3661</v>
      </c>
      <c r="V3255" s="10" t="s">
        <v>3536</v>
      </c>
      <c r="W3255" s="10" t="s">
        <v>3519</v>
      </c>
      <c r="X3255" s="10" t="s">
        <v>130</v>
      </c>
      <c r="Y3255" s="10" t="s">
        <v>130</v>
      </c>
      <c r="Z3255" s="10" t="s">
        <v>99</v>
      </c>
      <c r="AA3255" s="10" t="s">
        <v>131</v>
      </c>
      <c r="AB3255" s="10" t="s">
        <v>3520</v>
      </c>
      <c r="AC3255" s="10" t="s">
        <v>3521</v>
      </c>
      <c r="AD3255" s="10" t="s">
        <v>23571</v>
      </c>
      <c r="AE3255" s="10" t="s">
        <v>23572</v>
      </c>
      <c r="AF3255" s="15"/>
      <c r="AG3255" s="10"/>
      <c r="AH3255" s="10"/>
      <c r="AI3255" s="10"/>
      <c r="AJ3255" s="10"/>
      <c r="AK3255" s="10"/>
      <c r="AL3255" s="10" t="s">
        <v>2553</v>
      </c>
      <c r="AM3255" s="10"/>
      <c r="AN3255" s="10"/>
      <c r="AO3255" s="13" t="b">
        <v>0</v>
      </c>
      <c r="AP3255" s="22" t="s">
        <v>104</v>
      </c>
      <c r="AQ3255" s="10"/>
      <c r="AR3255" s="17"/>
      <c r="AS3255" s="17"/>
      <c r="AT3255" s="17"/>
      <c r="AU3255" s="17"/>
      <c r="AV3255" s="17"/>
      <c r="AW3255" s="10"/>
      <c r="AX3255" s="17"/>
      <c r="AY3255" s="18" t="s">
        <v>257</v>
      </c>
      <c r="AZ3255" s="10"/>
      <c r="BA3255" s="20" t="b">
        <v>0</v>
      </c>
      <c r="BB3255" s="10"/>
      <c r="BC3255" s="17" t="s">
        <v>257</v>
      </c>
      <c r="BD3255" s="17" t="s">
        <v>257</v>
      </c>
      <c r="BE3255" s="17" t="s">
        <v>257</v>
      </c>
      <c r="BF3255" s="17" t="s">
        <v>257</v>
      </c>
      <c r="BG3255" s="11">
        <f ca="1">IFERROR(__xludf.DUMMYFUNCTION("""COMPUTED_VALUE"""),46081.8541666666)</f>
        <v>46081.854166666599</v>
      </c>
      <c r="BH3255" s="17"/>
      <c r="BI3255" s="17"/>
      <c r="BJ3255" s="15"/>
      <c r="BK3255" s="15"/>
      <c r="BL3255" s="13" t="b">
        <v>0</v>
      </c>
      <c r="BM3255" s="10"/>
      <c r="BN3255" s="10" t="s">
        <v>223</v>
      </c>
      <c r="BO3255" s="11">
        <v>46010.149050925924</v>
      </c>
      <c r="BP3255" s="11">
        <v>46010.149050925924</v>
      </c>
      <c r="BQ3255" s="15"/>
      <c r="BR3255" s="15"/>
      <c r="BS3255" s="10"/>
      <c r="BT3255" s="10"/>
      <c r="BU3255" s="10"/>
      <c r="BV3255" s="10"/>
      <c r="BW3255" s="10"/>
      <c r="BX3255" s="10"/>
      <c r="BY3255" s="23"/>
      <c r="BZ3255" s="23"/>
      <c r="CA3255" s="10"/>
      <c r="CB3255" s="23"/>
      <c r="CC3255" s="23"/>
      <c r="CD3255" s="23"/>
      <c r="CE3255" s="23"/>
      <c r="CF3255" s="23"/>
      <c r="CG3255" s="23"/>
      <c r="CH3255" s="23"/>
      <c r="CI3255" s="23"/>
    </row>
    <row r="3256" spans="1:87" x14ac:dyDescent="0.3">
      <c r="A3256" s="9" t="s">
        <v>23573</v>
      </c>
      <c r="B3256" s="10" t="s">
        <v>23574</v>
      </c>
      <c r="C3256" s="11">
        <v>46082.854166666664</v>
      </c>
      <c r="D3256" s="12">
        <v>8.3333333333333329E-2</v>
      </c>
      <c r="E3256" s="11">
        <v>46082.9375</v>
      </c>
      <c r="F3256" s="22" t="s">
        <v>3511</v>
      </c>
      <c r="G3256" s="13" t="b">
        <v>0</v>
      </c>
      <c r="H3256" s="22" t="s">
        <v>236</v>
      </c>
      <c r="I3256" s="10" t="s">
        <v>3548</v>
      </c>
      <c r="J3256" s="13" t="b">
        <v>0</v>
      </c>
      <c r="K3256" s="13" t="b">
        <v>1</v>
      </c>
      <c r="L3256" s="10" t="s">
        <v>124</v>
      </c>
      <c r="M3256" s="10" t="s">
        <v>91</v>
      </c>
      <c r="N3256" s="10" t="s">
        <v>3513</v>
      </c>
      <c r="O3256" s="10"/>
      <c r="P3256" s="10"/>
      <c r="Q3256" s="10"/>
      <c r="R3256" s="10"/>
      <c r="S3256" s="10"/>
      <c r="T3256" s="10"/>
      <c r="U3256" s="10" t="s">
        <v>3636</v>
      </c>
      <c r="V3256" s="10" t="s">
        <v>3662</v>
      </c>
      <c r="W3256" s="10" t="s">
        <v>3519</v>
      </c>
      <c r="X3256" s="10" t="s">
        <v>130</v>
      </c>
      <c r="Y3256" s="10" t="s">
        <v>130</v>
      </c>
      <c r="Z3256" s="10" t="s">
        <v>99</v>
      </c>
      <c r="AA3256" s="10" t="s">
        <v>131</v>
      </c>
      <c r="AB3256" s="10" t="s">
        <v>3520</v>
      </c>
      <c r="AC3256" s="10" t="s">
        <v>3521</v>
      </c>
      <c r="AD3256" s="10" t="s">
        <v>23575</v>
      </c>
      <c r="AE3256" s="10" t="s">
        <v>23576</v>
      </c>
      <c r="AF3256" s="15"/>
      <c r="AG3256" s="10"/>
      <c r="AH3256" s="10"/>
      <c r="AI3256" s="10"/>
      <c r="AJ3256" s="10"/>
      <c r="AK3256" s="10"/>
      <c r="AL3256" s="10" t="s">
        <v>2553</v>
      </c>
      <c r="AM3256" s="10"/>
      <c r="AN3256" s="10"/>
      <c r="AO3256" s="13" t="b">
        <v>0</v>
      </c>
      <c r="AP3256" s="22" t="s">
        <v>104</v>
      </c>
      <c r="AQ3256" s="10"/>
      <c r="AR3256" s="17"/>
      <c r="AS3256" s="17"/>
      <c r="AT3256" s="17"/>
      <c r="AU3256" s="17"/>
      <c r="AV3256" s="17"/>
      <c r="AW3256" s="10"/>
      <c r="AX3256" s="17"/>
      <c r="AY3256" s="18" t="s">
        <v>257</v>
      </c>
      <c r="AZ3256" s="10"/>
      <c r="BA3256" s="20" t="b">
        <v>0</v>
      </c>
      <c r="BB3256" s="10"/>
      <c r="BC3256" s="17" t="s">
        <v>257</v>
      </c>
      <c r="BD3256" s="17" t="s">
        <v>257</v>
      </c>
      <c r="BE3256" s="17" t="s">
        <v>257</v>
      </c>
      <c r="BF3256" s="17" t="s">
        <v>257</v>
      </c>
      <c r="BG3256" s="11">
        <f ca="1">IFERROR(__xludf.DUMMYFUNCTION("""COMPUTED_VALUE"""),46082.8541666666)</f>
        <v>46082.854166666599</v>
      </c>
      <c r="BH3256" s="17"/>
      <c r="BI3256" s="17"/>
      <c r="BJ3256" s="15"/>
      <c r="BK3256" s="15"/>
      <c r="BL3256" s="13" t="b">
        <v>0</v>
      </c>
      <c r="BM3256" s="10"/>
      <c r="BN3256" s="10" t="s">
        <v>223</v>
      </c>
      <c r="BO3256" s="11">
        <v>46010.149050925924</v>
      </c>
      <c r="BP3256" s="11">
        <v>46010.149050925924</v>
      </c>
      <c r="BQ3256" s="15"/>
      <c r="BR3256" s="15"/>
      <c r="BS3256" s="10"/>
      <c r="BT3256" s="10"/>
      <c r="BU3256" s="10"/>
      <c r="BV3256" s="10"/>
      <c r="BW3256" s="10"/>
      <c r="BX3256" s="10"/>
      <c r="BY3256" s="23"/>
      <c r="BZ3256" s="23"/>
      <c r="CA3256" s="10"/>
      <c r="CB3256" s="23"/>
      <c r="CC3256" s="23"/>
      <c r="CD3256" s="23"/>
      <c r="CE3256" s="23"/>
      <c r="CF3256" s="23"/>
      <c r="CG3256" s="23"/>
      <c r="CH3256" s="23"/>
      <c r="CI3256" s="23"/>
    </row>
    <row r="3257" spans="1:87" x14ac:dyDescent="0.3">
      <c r="A3257" s="9" t="s">
        <v>23577</v>
      </c>
      <c r="B3257" s="10" t="s">
        <v>23578</v>
      </c>
      <c r="C3257" s="11">
        <v>46083.854166666664</v>
      </c>
      <c r="D3257" s="12">
        <v>8.3333333333333329E-2</v>
      </c>
      <c r="E3257" s="11">
        <v>46083.9375</v>
      </c>
      <c r="F3257" s="22" t="s">
        <v>3511</v>
      </c>
      <c r="G3257" s="13" t="b">
        <v>0</v>
      </c>
      <c r="H3257" s="22" t="s">
        <v>3512</v>
      </c>
      <c r="I3257" s="10" t="s">
        <v>3548</v>
      </c>
      <c r="J3257" s="13" t="b">
        <v>0</v>
      </c>
      <c r="K3257" s="13" t="b">
        <v>1</v>
      </c>
      <c r="L3257" s="10" t="s">
        <v>124</v>
      </c>
      <c r="M3257" s="10" t="s">
        <v>91</v>
      </c>
      <c r="N3257" s="10" t="s">
        <v>3513</v>
      </c>
      <c r="O3257" s="10"/>
      <c r="P3257" s="10"/>
      <c r="Q3257" s="10"/>
      <c r="R3257" s="10"/>
      <c r="S3257" s="10"/>
      <c r="T3257" s="10"/>
      <c r="U3257" s="10" t="s">
        <v>3622</v>
      </c>
      <c r="V3257" s="10" t="s">
        <v>3518</v>
      </c>
      <c r="W3257" s="10" t="s">
        <v>3519</v>
      </c>
      <c r="X3257" s="10" t="s">
        <v>130</v>
      </c>
      <c r="Y3257" s="10" t="s">
        <v>130</v>
      </c>
      <c r="Z3257" s="10" t="s">
        <v>99</v>
      </c>
      <c r="AA3257" s="10" t="s">
        <v>131</v>
      </c>
      <c r="AB3257" s="10" t="s">
        <v>3520</v>
      </c>
      <c r="AC3257" s="10" t="s">
        <v>3521</v>
      </c>
      <c r="AD3257" s="10" t="s">
        <v>23579</v>
      </c>
      <c r="AE3257" s="10" t="s">
        <v>23580</v>
      </c>
      <c r="AF3257" s="15"/>
      <c r="AG3257" s="10"/>
      <c r="AH3257" s="10"/>
      <c r="AI3257" s="10"/>
      <c r="AJ3257" s="10"/>
      <c r="AK3257" s="10"/>
      <c r="AL3257" s="10" t="s">
        <v>2596</v>
      </c>
      <c r="AM3257" s="10"/>
      <c r="AN3257" s="10"/>
      <c r="AO3257" s="13" t="b">
        <v>0</v>
      </c>
      <c r="AP3257" s="22" t="s">
        <v>104</v>
      </c>
      <c r="AQ3257" s="10"/>
      <c r="AR3257" s="17"/>
      <c r="AS3257" s="17"/>
      <c r="AT3257" s="17"/>
      <c r="AU3257" s="17"/>
      <c r="AV3257" s="17"/>
      <c r="AW3257" s="10"/>
      <c r="AX3257" s="17"/>
      <c r="AY3257" s="18" t="s">
        <v>257</v>
      </c>
      <c r="AZ3257" s="10"/>
      <c r="BA3257" s="20" t="b">
        <v>0</v>
      </c>
      <c r="BB3257" s="10"/>
      <c r="BC3257" s="17" t="s">
        <v>257</v>
      </c>
      <c r="BD3257" s="17" t="s">
        <v>257</v>
      </c>
      <c r="BE3257" s="17" t="s">
        <v>257</v>
      </c>
      <c r="BF3257" s="17" t="s">
        <v>257</v>
      </c>
      <c r="BG3257" s="11">
        <f ca="1">IFERROR(__xludf.DUMMYFUNCTION("""COMPUTED_VALUE"""),46083.8541666666)</f>
        <v>46083.854166666599</v>
      </c>
      <c r="BH3257" s="17"/>
      <c r="BI3257" s="17"/>
      <c r="BJ3257" s="15"/>
      <c r="BK3257" s="15"/>
      <c r="BL3257" s="13" t="b">
        <v>0</v>
      </c>
      <c r="BM3257" s="10"/>
      <c r="BN3257" s="10" t="s">
        <v>223</v>
      </c>
      <c r="BO3257" s="11">
        <v>46010.149050925924</v>
      </c>
      <c r="BP3257" s="11">
        <v>46010.149050925924</v>
      </c>
      <c r="BQ3257" s="15"/>
      <c r="BR3257" s="15"/>
      <c r="BS3257" s="10"/>
      <c r="BT3257" s="10"/>
      <c r="BU3257" s="10"/>
      <c r="BV3257" s="10"/>
      <c r="BW3257" s="10"/>
      <c r="BX3257" s="10"/>
      <c r="BY3257" s="23"/>
      <c r="BZ3257" s="23"/>
      <c r="CA3257" s="10"/>
      <c r="CB3257" s="23"/>
      <c r="CC3257" s="23"/>
      <c r="CD3257" s="23"/>
      <c r="CE3257" s="23"/>
      <c r="CF3257" s="23"/>
      <c r="CG3257" s="23"/>
      <c r="CH3257" s="23"/>
      <c r="CI3257" s="23"/>
    </row>
    <row r="3258" spans="1:87" x14ac:dyDescent="0.3">
      <c r="A3258" s="9" t="s">
        <v>23581</v>
      </c>
      <c r="B3258" s="10" t="s">
        <v>23582</v>
      </c>
      <c r="C3258" s="11">
        <v>46083.854166666664</v>
      </c>
      <c r="D3258" s="12">
        <v>8.3333333333333329E-2</v>
      </c>
      <c r="E3258" s="11">
        <v>46083.9375</v>
      </c>
      <c r="F3258" s="22" t="s">
        <v>3511</v>
      </c>
      <c r="G3258" s="13" t="b">
        <v>0</v>
      </c>
      <c r="H3258" s="22" t="s">
        <v>3512</v>
      </c>
      <c r="I3258" s="10" t="s">
        <v>3548</v>
      </c>
      <c r="J3258" s="13" t="b">
        <v>0</v>
      </c>
      <c r="K3258" s="13" t="b">
        <v>1</v>
      </c>
      <c r="L3258" s="10" t="s">
        <v>124</v>
      </c>
      <c r="M3258" s="10" t="s">
        <v>91</v>
      </c>
      <c r="N3258" s="10" t="s">
        <v>3513</v>
      </c>
      <c r="O3258" s="10"/>
      <c r="P3258" s="10"/>
      <c r="Q3258" s="10"/>
      <c r="R3258" s="10"/>
      <c r="S3258" s="10"/>
      <c r="T3258" s="10"/>
      <c r="U3258" s="10" t="s">
        <v>3535</v>
      </c>
      <c r="V3258" s="10" t="s">
        <v>3648</v>
      </c>
      <c r="W3258" s="10" t="s">
        <v>3519</v>
      </c>
      <c r="X3258" s="10" t="s">
        <v>130</v>
      </c>
      <c r="Y3258" s="10" t="s">
        <v>130</v>
      </c>
      <c r="Z3258" s="10" t="s">
        <v>99</v>
      </c>
      <c r="AA3258" s="10" t="s">
        <v>131</v>
      </c>
      <c r="AB3258" s="10" t="s">
        <v>3520</v>
      </c>
      <c r="AC3258" s="10" t="s">
        <v>3521</v>
      </c>
      <c r="AD3258" s="10" t="s">
        <v>23583</v>
      </c>
      <c r="AE3258" s="10" t="s">
        <v>23584</v>
      </c>
      <c r="AF3258" s="15"/>
      <c r="AG3258" s="10"/>
      <c r="AH3258" s="10"/>
      <c r="AI3258" s="10"/>
      <c r="AJ3258" s="10"/>
      <c r="AK3258" s="10"/>
      <c r="AL3258" s="10" t="s">
        <v>2596</v>
      </c>
      <c r="AM3258" s="10"/>
      <c r="AN3258" s="10"/>
      <c r="AO3258" s="13" t="b">
        <v>0</v>
      </c>
      <c r="AP3258" s="22" t="s">
        <v>104</v>
      </c>
      <c r="AQ3258" s="10"/>
      <c r="AR3258" s="17"/>
      <c r="AS3258" s="17"/>
      <c r="AT3258" s="17"/>
      <c r="AU3258" s="17"/>
      <c r="AV3258" s="17"/>
      <c r="AW3258" s="10"/>
      <c r="AX3258" s="17"/>
      <c r="AY3258" s="18" t="s">
        <v>257</v>
      </c>
      <c r="AZ3258" s="10"/>
      <c r="BA3258" s="20" t="b">
        <v>0</v>
      </c>
      <c r="BB3258" s="10"/>
      <c r="BC3258" s="17" t="s">
        <v>257</v>
      </c>
      <c r="BD3258" s="17" t="s">
        <v>257</v>
      </c>
      <c r="BE3258" s="17" t="s">
        <v>257</v>
      </c>
      <c r="BF3258" s="17" t="s">
        <v>257</v>
      </c>
      <c r="BG3258" s="11">
        <f ca="1">IFERROR(__xludf.DUMMYFUNCTION("""COMPUTED_VALUE"""),46083.8541666666)</f>
        <v>46083.854166666599</v>
      </c>
      <c r="BH3258" s="17"/>
      <c r="BI3258" s="17"/>
      <c r="BJ3258" s="15"/>
      <c r="BK3258" s="15"/>
      <c r="BL3258" s="13" t="b">
        <v>0</v>
      </c>
      <c r="BM3258" s="10"/>
      <c r="BN3258" s="10" t="s">
        <v>223</v>
      </c>
      <c r="BO3258" s="11">
        <v>46010.149050925924</v>
      </c>
      <c r="BP3258" s="11">
        <v>46010.149050925924</v>
      </c>
      <c r="BQ3258" s="15"/>
      <c r="BR3258" s="15"/>
      <c r="BS3258" s="10"/>
      <c r="BT3258" s="10"/>
      <c r="BU3258" s="10"/>
      <c r="BV3258" s="10"/>
      <c r="BW3258" s="10"/>
      <c r="BX3258" s="10"/>
      <c r="BY3258" s="23"/>
      <c r="BZ3258" s="23"/>
      <c r="CA3258" s="10"/>
      <c r="CB3258" s="23"/>
      <c r="CC3258" s="23"/>
      <c r="CD3258" s="23"/>
      <c r="CE3258" s="23"/>
      <c r="CF3258" s="23"/>
      <c r="CG3258" s="23"/>
      <c r="CH3258" s="23"/>
      <c r="CI3258" s="23"/>
    </row>
    <row r="3259" spans="1:87" x14ac:dyDescent="0.3">
      <c r="A3259" s="9" t="s">
        <v>23585</v>
      </c>
      <c r="B3259" s="10" t="s">
        <v>23586</v>
      </c>
      <c r="C3259" s="11">
        <v>46083.854166666664</v>
      </c>
      <c r="D3259" s="12">
        <v>8.3333333333333329E-2</v>
      </c>
      <c r="E3259" s="11">
        <v>46083.9375</v>
      </c>
      <c r="F3259" s="22" t="s">
        <v>3511</v>
      </c>
      <c r="G3259" s="13" t="b">
        <v>0</v>
      </c>
      <c r="H3259" s="22" t="s">
        <v>123</v>
      </c>
      <c r="I3259" s="10" t="s">
        <v>3548</v>
      </c>
      <c r="J3259" s="13" t="b">
        <v>0</v>
      </c>
      <c r="K3259" s="13" t="b">
        <v>1</v>
      </c>
      <c r="L3259" s="10" t="s">
        <v>124</v>
      </c>
      <c r="M3259" s="10" t="s">
        <v>91</v>
      </c>
      <c r="N3259" s="10" t="s">
        <v>3513</v>
      </c>
      <c r="O3259" s="10"/>
      <c r="P3259" s="10"/>
      <c r="Q3259" s="10"/>
      <c r="R3259" s="10"/>
      <c r="S3259" s="10"/>
      <c r="T3259" s="10"/>
      <c r="U3259" s="10" t="s">
        <v>3551</v>
      </c>
      <c r="V3259" s="10" t="s">
        <v>3609</v>
      </c>
      <c r="W3259" s="10" t="s">
        <v>3519</v>
      </c>
      <c r="X3259" s="10" t="s">
        <v>130</v>
      </c>
      <c r="Y3259" s="10" t="s">
        <v>130</v>
      </c>
      <c r="Z3259" s="10" t="s">
        <v>99</v>
      </c>
      <c r="AA3259" s="10" t="s">
        <v>131</v>
      </c>
      <c r="AB3259" s="10" t="s">
        <v>3520</v>
      </c>
      <c r="AC3259" s="10" t="s">
        <v>3521</v>
      </c>
      <c r="AD3259" s="10" t="s">
        <v>23587</v>
      </c>
      <c r="AE3259" s="10" t="s">
        <v>23588</v>
      </c>
      <c r="AF3259" s="15"/>
      <c r="AG3259" s="10"/>
      <c r="AH3259" s="10"/>
      <c r="AI3259" s="10"/>
      <c r="AJ3259" s="10"/>
      <c r="AK3259" s="10"/>
      <c r="AL3259" s="10" t="s">
        <v>2596</v>
      </c>
      <c r="AM3259" s="10"/>
      <c r="AN3259" s="10"/>
      <c r="AO3259" s="13" t="b">
        <v>1</v>
      </c>
      <c r="AP3259" s="22" t="s">
        <v>104</v>
      </c>
      <c r="AQ3259" s="10"/>
      <c r="AR3259" s="17"/>
      <c r="AS3259" s="17"/>
      <c r="AT3259" s="17"/>
      <c r="AU3259" s="17"/>
      <c r="AV3259" s="17"/>
      <c r="AW3259" s="10"/>
      <c r="AX3259" s="17"/>
      <c r="AY3259" s="18" t="s">
        <v>257</v>
      </c>
      <c r="AZ3259" s="10"/>
      <c r="BA3259" s="20" t="b">
        <v>0</v>
      </c>
      <c r="BB3259" s="10"/>
      <c r="BC3259" s="17" t="s">
        <v>257</v>
      </c>
      <c r="BD3259" s="17" t="s">
        <v>257</v>
      </c>
      <c r="BE3259" s="17" t="s">
        <v>257</v>
      </c>
      <c r="BF3259" s="17" t="s">
        <v>257</v>
      </c>
      <c r="BG3259" s="11">
        <f ca="1">IFERROR(__xludf.DUMMYFUNCTION("""COMPUTED_VALUE"""),46083.8541666666)</f>
        <v>46083.854166666599</v>
      </c>
      <c r="BH3259" s="17"/>
      <c r="BI3259" s="17"/>
      <c r="BJ3259" s="15"/>
      <c r="BK3259" s="15"/>
      <c r="BL3259" s="13" t="b">
        <v>0</v>
      </c>
      <c r="BM3259" s="10"/>
      <c r="BN3259" s="10" t="s">
        <v>223</v>
      </c>
      <c r="BO3259" s="11">
        <v>46010.149050925924</v>
      </c>
      <c r="BP3259" s="11">
        <v>46010.149050925924</v>
      </c>
      <c r="BQ3259" s="15"/>
      <c r="BR3259" s="15"/>
      <c r="BS3259" s="10"/>
      <c r="BT3259" s="10"/>
      <c r="BU3259" s="10"/>
      <c r="BV3259" s="10"/>
      <c r="BW3259" s="10"/>
      <c r="BX3259" s="10"/>
      <c r="BY3259" s="23"/>
      <c r="BZ3259" s="23"/>
      <c r="CA3259" s="10"/>
      <c r="CB3259" s="23"/>
      <c r="CC3259" s="23"/>
      <c r="CD3259" s="23"/>
      <c r="CE3259" s="23"/>
      <c r="CF3259" s="23"/>
      <c r="CG3259" s="23"/>
      <c r="CH3259" s="23"/>
      <c r="CI3259" s="23"/>
    </row>
    <row r="3260" spans="1:87" x14ac:dyDescent="0.3">
      <c r="A3260" s="9" t="s">
        <v>23589</v>
      </c>
      <c r="B3260" s="10" t="s">
        <v>23590</v>
      </c>
      <c r="C3260" s="11">
        <v>46084.854166666664</v>
      </c>
      <c r="D3260" s="12">
        <v>8.3333333333333329E-2</v>
      </c>
      <c r="E3260" s="11">
        <v>46084.9375</v>
      </c>
      <c r="F3260" s="22" t="s">
        <v>3511</v>
      </c>
      <c r="G3260" s="13" t="b">
        <v>0</v>
      </c>
      <c r="H3260" s="22" t="s">
        <v>3512</v>
      </c>
      <c r="I3260" s="10" t="s">
        <v>212</v>
      </c>
      <c r="J3260" s="13" t="b">
        <v>1</v>
      </c>
      <c r="K3260" s="13" t="b">
        <v>0</v>
      </c>
      <c r="L3260" s="10" t="s">
        <v>124</v>
      </c>
      <c r="M3260" s="10" t="s">
        <v>91</v>
      </c>
      <c r="N3260" s="10" t="s">
        <v>3513</v>
      </c>
      <c r="O3260" s="10"/>
      <c r="P3260" s="10"/>
      <c r="Q3260" s="10"/>
      <c r="R3260" s="10"/>
      <c r="S3260" s="10"/>
      <c r="T3260" s="10"/>
      <c r="U3260" s="10" t="s">
        <v>3635</v>
      </c>
      <c r="V3260" s="10" t="s">
        <v>3623</v>
      </c>
      <c r="W3260" s="10" t="s">
        <v>3519</v>
      </c>
      <c r="X3260" s="10" t="s">
        <v>130</v>
      </c>
      <c r="Y3260" s="10" t="s">
        <v>130</v>
      </c>
      <c r="Z3260" s="10" t="s">
        <v>99</v>
      </c>
      <c r="AA3260" s="10" t="s">
        <v>131</v>
      </c>
      <c r="AB3260" s="10" t="s">
        <v>3520</v>
      </c>
      <c r="AC3260" s="10" t="s">
        <v>3521</v>
      </c>
      <c r="AD3260" s="10" t="s">
        <v>23591</v>
      </c>
      <c r="AE3260" s="10" t="s">
        <v>23592</v>
      </c>
      <c r="AF3260" s="15"/>
      <c r="AG3260" s="10"/>
      <c r="AH3260" s="10"/>
      <c r="AI3260" s="10"/>
      <c r="AJ3260" s="10"/>
      <c r="AK3260" s="10"/>
      <c r="AL3260" s="10" t="s">
        <v>2596</v>
      </c>
      <c r="AM3260" s="10"/>
      <c r="AN3260" s="10"/>
      <c r="AO3260" s="13" t="b">
        <v>0</v>
      </c>
      <c r="AP3260" s="22" t="s">
        <v>104</v>
      </c>
      <c r="AQ3260" s="10"/>
      <c r="AR3260" s="17"/>
      <c r="AS3260" s="17"/>
      <c r="AT3260" s="17"/>
      <c r="AU3260" s="17"/>
      <c r="AV3260" s="17"/>
      <c r="AW3260" s="10"/>
      <c r="AX3260" s="17"/>
      <c r="AY3260" s="18" t="s">
        <v>257</v>
      </c>
      <c r="AZ3260" s="10"/>
      <c r="BA3260" s="20" t="b">
        <v>0</v>
      </c>
      <c r="BB3260" s="10"/>
      <c r="BC3260" s="17" t="s">
        <v>257</v>
      </c>
      <c r="BD3260" s="17" t="s">
        <v>257</v>
      </c>
      <c r="BE3260" s="17" t="s">
        <v>257</v>
      </c>
      <c r="BF3260" s="17" t="s">
        <v>257</v>
      </c>
      <c r="BG3260" s="11">
        <f ca="1">IFERROR(__xludf.DUMMYFUNCTION("""COMPUTED_VALUE"""),46084.8541666666)</f>
        <v>46084.854166666599</v>
      </c>
      <c r="BH3260" s="17"/>
      <c r="BI3260" s="17"/>
      <c r="BJ3260" s="15"/>
      <c r="BK3260" s="15"/>
      <c r="BL3260" s="13" t="b">
        <v>0</v>
      </c>
      <c r="BM3260" s="10"/>
      <c r="BN3260" s="10" t="s">
        <v>223</v>
      </c>
      <c r="BO3260" s="11">
        <v>46010.149050925924</v>
      </c>
      <c r="BP3260" s="11">
        <v>46010.149050925924</v>
      </c>
      <c r="BQ3260" s="15"/>
      <c r="BR3260" s="15"/>
      <c r="BS3260" s="10"/>
      <c r="BT3260" s="10"/>
      <c r="BU3260" s="10"/>
      <c r="BV3260" s="10"/>
      <c r="BW3260" s="10"/>
      <c r="BX3260" s="10"/>
      <c r="BY3260" s="23"/>
      <c r="BZ3260" s="23"/>
      <c r="CA3260" s="10"/>
      <c r="CB3260" s="23"/>
      <c r="CC3260" s="23"/>
      <c r="CD3260" s="23"/>
      <c r="CE3260" s="23"/>
      <c r="CF3260" s="23"/>
      <c r="CG3260" s="23"/>
      <c r="CH3260" s="23"/>
      <c r="CI3260" s="23"/>
    </row>
    <row r="3261" spans="1:87" x14ac:dyDescent="0.3">
      <c r="A3261" s="25" t="s">
        <v>23593</v>
      </c>
      <c r="B3261" s="10" t="s">
        <v>23594</v>
      </c>
      <c r="C3261" s="11">
        <v>46084.854166666664</v>
      </c>
      <c r="D3261" s="12">
        <v>8.3333333333333329E-2</v>
      </c>
      <c r="E3261" s="11">
        <v>46084.9375</v>
      </c>
      <c r="F3261" s="22" t="s">
        <v>3511</v>
      </c>
      <c r="G3261" s="13" t="b">
        <v>0</v>
      </c>
      <c r="H3261" s="22" t="s">
        <v>123</v>
      </c>
      <c r="I3261" s="10" t="s">
        <v>3548</v>
      </c>
      <c r="J3261" s="13" t="b">
        <v>0</v>
      </c>
      <c r="K3261" s="13" t="b">
        <v>1</v>
      </c>
      <c r="L3261" s="10" t="s">
        <v>124</v>
      </c>
      <c r="M3261" s="10" t="s">
        <v>91</v>
      </c>
      <c r="N3261" s="10" t="s">
        <v>3513</v>
      </c>
      <c r="O3261" s="10"/>
      <c r="P3261" s="10"/>
      <c r="Q3261" s="10"/>
      <c r="R3261" s="10"/>
      <c r="S3261" s="10"/>
      <c r="T3261" s="10"/>
      <c r="U3261" s="10" t="s">
        <v>3647</v>
      </c>
      <c r="V3261" s="10" t="s">
        <v>3517</v>
      </c>
      <c r="W3261" s="10" t="s">
        <v>3519</v>
      </c>
      <c r="X3261" s="10" t="s">
        <v>130</v>
      </c>
      <c r="Y3261" s="10" t="s">
        <v>130</v>
      </c>
      <c r="Z3261" s="10" t="s">
        <v>99</v>
      </c>
      <c r="AA3261" s="10" t="s">
        <v>131</v>
      </c>
      <c r="AB3261" s="10" t="s">
        <v>3520</v>
      </c>
      <c r="AC3261" s="10" t="s">
        <v>3521</v>
      </c>
      <c r="AD3261" s="10" t="s">
        <v>23595</v>
      </c>
      <c r="AE3261" s="10" t="s">
        <v>23596</v>
      </c>
      <c r="AF3261" s="15"/>
      <c r="AG3261" s="10"/>
      <c r="AH3261" s="10"/>
      <c r="AI3261" s="10"/>
      <c r="AJ3261" s="10"/>
      <c r="AK3261" s="10"/>
      <c r="AL3261" s="10" t="s">
        <v>2596</v>
      </c>
      <c r="AM3261" s="10"/>
      <c r="AN3261" s="10"/>
      <c r="AO3261" s="13" t="b">
        <v>1</v>
      </c>
      <c r="AP3261" s="22" t="s">
        <v>104</v>
      </c>
      <c r="AQ3261" s="10"/>
      <c r="AR3261" s="17"/>
      <c r="AS3261" s="17"/>
      <c r="AT3261" s="17"/>
      <c r="AU3261" s="17"/>
      <c r="AV3261" s="17"/>
      <c r="AW3261" s="10"/>
      <c r="AX3261" s="17"/>
      <c r="AY3261" s="18" t="s">
        <v>257</v>
      </c>
      <c r="AZ3261" s="10"/>
      <c r="BA3261" s="20" t="b">
        <v>0</v>
      </c>
      <c r="BB3261" s="10"/>
      <c r="BC3261" s="17" t="s">
        <v>257</v>
      </c>
      <c r="BD3261" s="17" t="s">
        <v>257</v>
      </c>
      <c r="BE3261" s="17" t="s">
        <v>257</v>
      </c>
      <c r="BF3261" s="17" t="s">
        <v>257</v>
      </c>
      <c r="BG3261" s="11">
        <f ca="1">IFERROR(__xludf.DUMMYFUNCTION("""COMPUTED_VALUE"""),46084.8541666666)</f>
        <v>46084.854166666599</v>
      </c>
      <c r="BH3261" s="17"/>
      <c r="BI3261" s="17"/>
      <c r="BJ3261" s="15"/>
      <c r="BK3261" s="15"/>
      <c r="BL3261" s="13" t="b">
        <v>0</v>
      </c>
      <c r="BM3261" s="10"/>
      <c r="BN3261" s="10" t="s">
        <v>223</v>
      </c>
      <c r="BO3261" s="11">
        <v>46010.149050925924</v>
      </c>
      <c r="BP3261" s="11">
        <v>46010.149050925924</v>
      </c>
      <c r="BQ3261" s="15"/>
      <c r="BR3261" s="15"/>
      <c r="BS3261" s="10"/>
      <c r="BT3261" s="10"/>
      <c r="BU3261" s="10"/>
      <c r="BV3261" s="10"/>
      <c r="BW3261" s="10"/>
      <c r="BX3261" s="10"/>
      <c r="BY3261" s="23"/>
      <c r="BZ3261" s="23"/>
      <c r="CA3261" s="10"/>
      <c r="CB3261" s="23"/>
      <c r="CC3261" s="23"/>
      <c r="CD3261" s="23"/>
      <c r="CE3261" s="23"/>
      <c r="CF3261" s="23"/>
      <c r="CG3261" s="23"/>
      <c r="CH3261" s="23"/>
      <c r="CI3261" s="23"/>
    </row>
    <row r="3262" spans="1:87" x14ac:dyDescent="0.3">
      <c r="A3262" s="9" t="s">
        <v>23597</v>
      </c>
      <c r="B3262" s="10" t="s">
        <v>23598</v>
      </c>
      <c r="C3262" s="11">
        <v>46085.854166666664</v>
      </c>
      <c r="D3262" s="12">
        <v>8.3333333333333329E-2</v>
      </c>
      <c r="E3262" s="11">
        <v>46085.9375</v>
      </c>
      <c r="F3262" s="22" t="s">
        <v>3511</v>
      </c>
      <c r="G3262" s="13" t="b">
        <v>0</v>
      </c>
      <c r="H3262" s="22" t="s">
        <v>236</v>
      </c>
      <c r="I3262" s="10" t="s">
        <v>212</v>
      </c>
      <c r="J3262" s="13" t="b">
        <v>1</v>
      </c>
      <c r="K3262" s="13" t="b">
        <v>0</v>
      </c>
      <c r="L3262" s="10" t="s">
        <v>124</v>
      </c>
      <c r="M3262" s="10" t="s">
        <v>91</v>
      </c>
      <c r="N3262" s="10" t="s">
        <v>3513</v>
      </c>
      <c r="O3262" s="10"/>
      <c r="P3262" s="10"/>
      <c r="Q3262" s="10"/>
      <c r="R3262" s="10"/>
      <c r="S3262" s="10"/>
      <c r="T3262" s="10"/>
      <c r="U3262" s="10" t="s">
        <v>3610</v>
      </c>
      <c r="V3262" s="10" t="s">
        <v>3552</v>
      </c>
      <c r="W3262" s="10" t="s">
        <v>3519</v>
      </c>
      <c r="X3262" s="10" t="s">
        <v>130</v>
      </c>
      <c r="Y3262" s="10" t="s">
        <v>130</v>
      </c>
      <c r="Z3262" s="10" t="s">
        <v>99</v>
      </c>
      <c r="AA3262" s="10" t="s">
        <v>131</v>
      </c>
      <c r="AB3262" s="10" t="s">
        <v>3520</v>
      </c>
      <c r="AC3262" s="10" t="s">
        <v>3521</v>
      </c>
      <c r="AD3262" s="10" t="s">
        <v>23599</v>
      </c>
      <c r="AE3262" s="10" t="s">
        <v>23600</v>
      </c>
      <c r="AF3262" s="15"/>
      <c r="AG3262" s="10"/>
      <c r="AH3262" s="10"/>
      <c r="AI3262" s="10"/>
      <c r="AJ3262" s="10"/>
      <c r="AK3262" s="10"/>
      <c r="AL3262" s="10" t="s">
        <v>2596</v>
      </c>
      <c r="AM3262" s="10"/>
      <c r="AN3262" s="10"/>
      <c r="AO3262" s="13" t="b">
        <v>0</v>
      </c>
      <c r="AP3262" s="22" t="s">
        <v>104</v>
      </c>
      <c r="AQ3262" s="10"/>
      <c r="AR3262" s="17"/>
      <c r="AS3262" s="17"/>
      <c r="AT3262" s="17"/>
      <c r="AU3262" s="17"/>
      <c r="AV3262" s="17"/>
      <c r="AW3262" s="10"/>
      <c r="AX3262" s="17"/>
      <c r="AY3262" s="18" t="s">
        <v>257</v>
      </c>
      <c r="AZ3262" s="10"/>
      <c r="BA3262" s="20" t="b">
        <v>0</v>
      </c>
      <c r="BB3262" s="10"/>
      <c r="BC3262" s="17" t="s">
        <v>257</v>
      </c>
      <c r="BD3262" s="17" t="s">
        <v>257</v>
      </c>
      <c r="BE3262" s="17" t="s">
        <v>257</v>
      </c>
      <c r="BF3262" s="17" t="s">
        <v>257</v>
      </c>
      <c r="BG3262" s="11">
        <f ca="1">IFERROR(__xludf.DUMMYFUNCTION("""COMPUTED_VALUE"""),46085.8541666666)</f>
        <v>46085.854166666599</v>
      </c>
      <c r="BH3262" s="17"/>
      <c r="BI3262" s="17"/>
      <c r="BJ3262" s="15"/>
      <c r="BK3262" s="15"/>
      <c r="BL3262" s="13" t="b">
        <v>0</v>
      </c>
      <c r="BM3262" s="10"/>
      <c r="BN3262" s="10" t="s">
        <v>223</v>
      </c>
      <c r="BO3262" s="11">
        <v>46010.149050925924</v>
      </c>
      <c r="BP3262" s="11">
        <v>46010.149050925924</v>
      </c>
      <c r="BQ3262" s="15"/>
      <c r="BR3262" s="15"/>
      <c r="BS3262" s="10"/>
      <c r="BT3262" s="10"/>
      <c r="BU3262" s="10"/>
      <c r="BV3262" s="10"/>
      <c r="BW3262" s="10"/>
      <c r="BX3262" s="10"/>
      <c r="BY3262" s="23"/>
      <c r="BZ3262" s="23"/>
      <c r="CA3262" s="10"/>
      <c r="CB3262" s="23"/>
      <c r="CC3262" s="23"/>
      <c r="CD3262" s="23"/>
      <c r="CE3262" s="23"/>
      <c r="CF3262" s="23"/>
      <c r="CG3262" s="23"/>
      <c r="CH3262" s="23"/>
      <c r="CI3262" s="23"/>
    </row>
    <row r="3263" spans="1:87" x14ac:dyDescent="0.3">
      <c r="A3263" s="9" t="s">
        <v>23601</v>
      </c>
      <c r="B3263" s="10" t="s">
        <v>23602</v>
      </c>
      <c r="C3263" s="11">
        <v>46086.854166666664</v>
      </c>
      <c r="D3263" s="12">
        <v>8.3333333333333329E-2</v>
      </c>
      <c r="E3263" s="11">
        <v>46086.9375</v>
      </c>
      <c r="F3263" s="22" t="s">
        <v>3511</v>
      </c>
      <c r="G3263" s="13" t="b">
        <v>0</v>
      </c>
      <c r="H3263" s="22" t="s">
        <v>3512</v>
      </c>
      <c r="I3263" s="10" t="s">
        <v>3548</v>
      </c>
      <c r="J3263" s="13" t="b">
        <v>0</v>
      </c>
      <c r="K3263" s="13" t="b">
        <v>1</v>
      </c>
      <c r="L3263" s="10" t="s">
        <v>124</v>
      </c>
      <c r="M3263" s="10" t="s">
        <v>91</v>
      </c>
      <c r="N3263" s="10" t="s">
        <v>3513</v>
      </c>
      <c r="O3263" s="10"/>
      <c r="P3263" s="10"/>
      <c r="Q3263" s="10"/>
      <c r="R3263" s="10"/>
      <c r="S3263" s="10"/>
      <c r="T3263" s="10"/>
      <c r="U3263" s="10" t="s">
        <v>3662</v>
      </c>
      <c r="V3263" s="10" t="s">
        <v>3677</v>
      </c>
      <c r="W3263" s="10" t="s">
        <v>3519</v>
      </c>
      <c r="X3263" s="10" t="s">
        <v>130</v>
      </c>
      <c r="Y3263" s="10" t="s">
        <v>130</v>
      </c>
      <c r="Z3263" s="10" t="s">
        <v>99</v>
      </c>
      <c r="AA3263" s="10" t="s">
        <v>131</v>
      </c>
      <c r="AB3263" s="10" t="s">
        <v>3520</v>
      </c>
      <c r="AC3263" s="10" t="s">
        <v>3521</v>
      </c>
      <c r="AD3263" s="10" t="s">
        <v>23603</v>
      </c>
      <c r="AE3263" s="10" t="s">
        <v>23604</v>
      </c>
      <c r="AF3263" s="15"/>
      <c r="AG3263" s="10"/>
      <c r="AH3263" s="10"/>
      <c r="AI3263" s="10"/>
      <c r="AJ3263" s="10"/>
      <c r="AK3263" s="10"/>
      <c r="AL3263" s="10" t="s">
        <v>2596</v>
      </c>
      <c r="AM3263" s="10"/>
      <c r="AN3263" s="10"/>
      <c r="AO3263" s="13" t="b">
        <v>0</v>
      </c>
      <c r="AP3263" s="22" t="s">
        <v>104</v>
      </c>
      <c r="AQ3263" s="10"/>
      <c r="AR3263" s="17"/>
      <c r="AS3263" s="17"/>
      <c r="AT3263" s="17"/>
      <c r="AU3263" s="17"/>
      <c r="AV3263" s="17"/>
      <c r="AW3263" s="10"/>
      <c r="AX3263" s="17"/>
      <c r="AY3263" s="18" t="s">
        <v>257</v>
      </c>
      <c r="AZ3263" s="10"/>
      <c r="BA3263" s="20" t="b">
        <v>0</v>
      </c>
      <c r="BB3263" s="10"/>
      <c r="BC3263" s="17" t="s">
        <v>257</v>
      </c>
      <c r="BD3263" s="17" t="s">
        <v>257</v>
      </c>
      <c r="BE3263" s="17" t="s">
        <v>257</v>
      </c>
      <c r="BF3263" s="17" t="s">
        <v>257</v>
      </c>
      <c r="BG3263" s="11">
        <f ca="1">IFERROR(__xludf.DUMMYFUNCTION("""COMPUTED_VALUE"""),46086.8541666666)</f>
        <v>46086.854166666599</v>
      </c>
      <c r="BH3263" s="17"/>
      <c r="BI3263" s="17"/>
      <c r="BJ3263" s="15"/>
      <c r="BK3263" s="15"/>
      <c r="BL3263" s="13" t="b">
        <v>0</v>
      </c>
      <c r="BM3263" s="10"/>
      <c r="BN3263" s="10" t="s">
        <v>223</v>
      </c>
      <c r="BO3263" s="11">
        <v>46010.149050925924</v>
      </c>
      <c r="BP3263" s="11">
        <v>46010.149050925924</v>
      </c>
      <c r="BQ3263" s="15"/>
      <c r="BR3263" s="15"/>
      <c r="BS3263" s="10"/>
      <c r="BT3263" s="10"/>
      <c r="BU3263" s="10"/>
      <c r="BV3263" s="10"/>
      <c r="BW3263" s="10"/>
      <c r="BX3263" s="10"/>
      <c r="BY3263" s="23"/>
      <c r="BZ3263" s="23"/>
      <c r="CA3263" s="10"/>
      <c r="CB3263" s="23"/>
      <c r="CC3263" s="23"/>
      <c r="CD3263" s="23"/>
      <c r="CE3263" s="23"/>
      <c r="CF3263" s="23"/>
      <c r="CG3263" s="23"/>
      <c r="CH3263" s="23"/>
      <c r="CI3263" s="23"/>
    </row>
    <row r="3264" spans="1:87" x14ac:dyDescent="0.3">
      <c r="A3264" s="9" t="s">
        <v>23605</v>
      </c>
      <c r="B3264" s="10" t="s">
        <v>23606</v>
      </c>
      <c r="C3264" s="11">
        <v>46086.854166666664</v>
      </c>
      <c r="D3264" s="12">
        <v>8.3333333333333329E-2</v>
      </c>
      <c r="E3264" s="11">
        <v>46086.9375</v>
      </c>
      <c r="F3264" s="22" t="s">
        <v>3511</v>
      </c>
      <c r="G3264" s="13" t="b">
        <v>0</v>
      </c>
      <c r="H3264" s="22" t="s">
        <v>236</v>
      </c>
      <c r="I3264" s="10" t="s">
        <v>212</v>
      </c>
      <c r="J3264" s="13" t="b">
        <v>1</v>
      </c>
      <c r="K3264" s="13" t="b">
        <v>0</v>
      </c>
      <c r="L3264" s="10" t="s">
        <v>124</v>
      </c>
      <c r="M3264" s="10" t="s">
        <v>91</v>
      </c>
      <c r="N3264" s="10" t="s">
        <v>3513</v>
      </c>
      <c r="O3264" s="10"/>
      <c r="P3264" s="10"/>
      <c r="Q3264" s="10"/>
      <c r="R3264" s="10"/>
      <c r="S3264" s="10"/>
      <c r="T3264" s="10"/>
      <c r="U3264" s="10" t="s">
        <v>3536</v>
      </c>
      <c r="V3264" s="10" t="s">
        <v>3636</v>
      </c>
      <c r="W3264" s="10" t="s">
        <v>3519</v>
      </c>
      <c r="X3264" s="10" t="s">
        <v>130</v>
      </c>
      <c r="Y3264" s="10" t="s">
        <v>130</v>
      </c>
      <c r="Z3264" s="10" t="s">
        <v>99</v>
      </c>
      <c r="AA3264" s="10" t="s">
        <v>131</v>
      </c>
      <c r="AB3264" s="10" t="s">
        <v>3520</v>
      </c>
      <c r="AC3264" s="10" t="s">
        <v>3521</v>
      </c>
      <c r="AD3264" s="10" t="s">
        <v>23607</v>
      </c>
      <c r="AE3264" s="10" t="s">
        <v>23608</v>
      </c>
      <c r="AF3264" s="15"/>
      <c r="AG3264" s="10"/>
      <c r="AH3264" s="10"/>
      <c r="AI3264" s="10"/>
      <c r="AJ3264" s="10"/>
      <c r="AK3264" s="10"/>
      <c r="AL3264" s="10" t="s">
        <v>2596</v>
      </c>
      <c r="AM3264" s="10"/>
      <c r="AN3264" s="10"/>
      <c r="AO3264" s="13" t="b">
        <v>0</v>
      </c>
      <c r="AP3264" s="22" t="s">
        <v>104</v>
      </c>
      <c r="AQ3264" s="10"/>
      <c r="AR3264" s="17"/>
      <c r="AS3264" s="17"/>
      <c r="AT3264" s="17"/>
      <c r="AU3264" s="17"/>
      <c r="AV3264" s="17"/>
      <c r="AW3264" s="10"/>
      <c r="AX3264" s="17"/>
      <c r="AY3264" s="18" t="s">
        <v>257</v>
      </c>
      <c r="AZ3264" s="10"/>
      <c r="BA3264" s="20" t="b">
        <v>0</v>
      </c>
      <c r="BB3264" s="10"/>
      <c r="BC3264" s="17" t="s">
        <v>257</v>
      </c>
      <c r="BD3264" s="17" t="s">
        <v>257</v>
      </c>
      <c r="BE3264" s="17" t="s">
        <v>257</v>
      </c>
      <c r="BF3264" s="17" t="s">
        <v>257</v>
      </c>
      <c r="BG3264" s="11">
        <f ca="1">IFERROR(__xludf.DUMMYFUNCTION("""COMPUTED_VALUE"""),46086.8541666666)</f>
        <v>46086.854166666599</v>
      </c>
      <c r="BH3264" s="17"/>
      <c r="BI3264" s="17"/>
      <c r="BJ3264" s="15"/>
      <c r="BK3264" s="15"/>
      <c r="BL3264" s="13" t="b">
        <v>0</v>
      </c>
      <c r="BM3264" s="10"/>
      <c r="BN3264" s="10" t="s">
        <v>223</v>
      </c>
      <c r="BO3264" s="11">
        <v>46010.149050925924</v>
      </c>
      <c r="BP3264" s="11">
        <v>46010.149050925924</v>
      </c>
      <c r="BQ3264" s="15"/>
      <c r="BR3264" s="15"/>
      <c r="BS3264" s="10"/>
      <c r="BT3264" s="10"/>
      <c r="BU3264" s="10"/>
      <c r="BV3264" s="10"/>
      <c r="BW3264" s="10"/>
      <c r="BX3264" s="10"/>
      <c r="BY3264" s="23"/>
      <c r="BZ3264" s="23"/>
      <c r="CA3264" s="10"/>
      <c r="CB3264" s="23"/>
      <c r="CC3264" s="23"/>
      <c r="CD3264" s="23"/>
      <c r="CE3264" s="23"/>
      <c r="CF3264" s="23"/>
      <c r="CG3264" s="23"/>
      <c r="CH3264" s="23"/>
      <c r="CI3264" s="23"/>
    </row>
    <row r="3265" spans="1:87" x14ac:dyDescent="0.3">
      <c r="A3265" s="9" t="s">
        <v>23609</v>
      </c>
      <c r="B3265" s="10" t="s">
        <v>23610</v>
      </c>
      <c r="C3265" s="11">
        <v>46087.854166666664</v>
      </c>
      <c r="D3265" s="12">
        <v>8.3333333333333329E-2</v>
      </c>
      <c r="E3265" s="11">
        <v>46087.9375</v>
      </c>
      <c r="F3265" s="22" t="s">
        <v>3511</v>
      </c>
      <c r="G3265" s="13" t="b">
        <v>0</v>
      </c>
      <c r="H3265" s="22" t="s">
        <v>123</v>
      </c>
      <c r="I3265" s="10" t="s">
        <v>3548</v>
      </c>
      <c r="J3265" s="13" t="b">
        <v>0</v>
      </c>
      <c r="K3265" s="13" t="b">
        <v>1</v>
      </c>
      <c r="L3265" s="10" t="s">
        <v>124</v>
      </c>
      <c r="M3265" s="10" t="s">
        <v>91</v>
      </c>
      <c r="N3265" s="10" t="s">
        <v>3513</v>
      </c>
      <c r="O3265" s="10"/>
      <c r="P3265" s="10"/>
      <c r="Q3265" s="10"/>
      <c r="R3265" s="10"/>
      <c r="S3265" s="10"/>
      <c r="T3265" s="10"/>
      <c r="U3265" s="10" t="s">
        <v>3676</v>
      </c>
      <c r="V3265" s="10" t="s">
        <v>3661</v>
      </c>
      <c r="W3265" s="10" t="s">
        <v>3519</v>
      </c>
      <c r="X3265" s="10" t="s">
        <v>130</v>
      </c>
      <c r="Y3265" s="10" t="s">
        <v>130</v>
      </c>
      <c r="Z3265" s="10" t="s">
        <v>99</v>
      </c>
      <c r="AA3265" s="10" t="s">
        <v>131</v>
      </c>
      <c r="AB3265" s="10" t="s">
        <v>3520</v>
      </c>
      <c r="AC3265" s="10" t="s">
        <v>3521</v>
      </c>
      <c r="AD3265" s="10" t="s">
        <v>23611</v>
      </c>
      <c r="AE3265" s="10" t="s">
        <v>23612</v>
      </c>
      <c r="AF3265" s="15"/>
      <c r="AG3265" s="10"/>
      <c r="AH3265" s="10"/>
      <c r="AI3265" s="10"/>
      <c r="AJ3265" s="10"/>
      <c r="AK3265" s="10"/>
      <c r="AL3265" s="10" t="s">
        <v>2596</v>
      </c>
      <c r="AM3265" s="10"/>
      <c r="AN3265" s="10"/>
      <c r="AO3265" s="13" t="b">
        <v>1</v>
      </c>
      <c r="AP3265" s="22" t="s">
        <v>104</v>
      </c>
      <c r="AQ3265" s="10"/>
      <c r="AR3265" s="17"/>
      <c r="AS3265" s="17"/>
      <c r="AT3265" s="17"/>
      <c r="AU3265" s="17"/>
      <c r="AV3265" s="17"/>
      <c r="AW3265" s="10"/>
      <c r="AX3265" s="17"/>
      <c r="AY3265" s="18" t="s">
        <v>257</v>
      </c>
      <c r="AZ3265" s="10"/>
      <c r="BA3265" s="20" t="b">
        <v>0</v>
      </c>
      <c r="BB3265" s="10"/>
      <c r="BC3265" s="17" t="s">
        <v>257</v>
      </c>
      <c r="BD3265" s="17" t="s">
        <v>257</v>
      </c>
      <c r="BE3265" s="17" t="s">
        <v>257</v>
      </c>
      <c r="BF3265" s="17" t="s">
        <v>257</v>
      </c>
      <c r="BG3265" s="11">
        <f ca="1">IFERROR(__xludf.DUMMYFUNCTION("""COMPUTED_VALUE"""),46087.8541666666)</f>
        <v>46087.854166666599</v>
      </c>
      <c r="BH3265" s="17"/>
      <c r="BI3265" s="17"/>
      <c r="BJ3265" s="15"/>
      <c r="BK3265" s="15"/>
      <c r="BL3265" s="13" t="b">
        <v>0</v>
      </c>
      <c r="BM3265" s="10"/>
      <c r="BN3265" s="10" t="s">
        <v>223</v>
      </c>
      <c r="BO3265" s="11">
        <v>46010.149050925924</v>
      </c>
      <c r="BP3265" s="11">
        <v>46010.149050925924</v>
      </c>
      <c r="BQ3265" s="15"/>
      <c r="BR3265" s="15"/>
      <c r="BS3265" s="10"/>
      <c r="BT3265" s="10"/>
      <c r="BU3265" s="10"/>
      <c r="BV3265" s="10"/>
      <c r="BW3265" s="10"/>
      <c r="BX3265" s="10"/>
      <c r="BY3265" s="23"/>
      <c r="BZ3265" s="23"/>
      <c r="CA3265" s="10"/>
      <c r="CB3265" s="23"/>
      <c r="CC3265" s="23"/>
      <c r="CD3265" s="23"/>
      <c r="CE3265" s="23"/>
      <c r="CF3265" s="23"/>
      <c r="CG3265" s="23"/>
      <c r="CH3265" s="23"/>
      <c r="CI3265" s="23"/>
    </row>
    <row r="3266" spans="1:87" x14ac:dyDescent="0.3">
      <c r="A3266" s="9" t="s">
        <v>23613</v>
      </c>
      <c r="B3266" s="10" t="s">
        <v>23614</v>
      </c>
      <c r="C3266" s="11">
        <v>46088.770833333336</v>
      </c>
      <c r="D3266" s="12">
        <v>8.3333333333333329E-2</v>
      </c>
      <c r="E3266" s="11">
        <v>46088.854166666664</v>
      </c>
      <c r="F3266" s="22" t="s">
        <v>3511</v>
      </c>
      <c r="G3266" s="13" t="b">
        <v>0</v>
      </c>
      <c r="H3266" s="22" t="s">
        <v>236</v>
      </c>
      <c r="I3266" s="10" t="s">
        <v>3548</v>
      </c>
      <c r="J3266" s="13" t="b">
        <v>0</v>
      </c>
      <c r="K3266" s="13" t="b">
        <v>1</v>
      </c>
      <c r="L3266" s="10" t="s">
        <v>124</v>
      </c>
      <c r="M3266" s="10" t="s">
        <v>91</v>
      </c>
      <c r="N3266" s="10" t="s">
        <v>3513</v>
      </c>
      <c r="O3266" s="10"/>
      <c r="P3266" s="10"/>
      <c r="Q3266" s="10"/>
      <c r="R3266" s="10"/>
      <c r="S3266" s="10"/>
      <c r="T3266" s="10"/>
      <c r="U3266" s="10" t="s">
        <v>3623</v>
      </c>
      <c r="V3266" s="10" t="s">
        <v>3535</v>
      </c>
      <c r="W3266" s="10" t="s">
        <v>3519</v>
      </c>
      <c r="X3266" s="10" t="s">
        <v>130</v>
      </c>
      <c r="Y3266" s="10" t="s">
        <v>130</v>
      </c>
      <c r="Z3266" s="10" t="s">
        <v>99</v>
      </c>
      <c r="AA3266" s="10" t="s">
        <v>131</v>
      </c>
      <c r="AB3266" s="10" t="s">
        <v>3520</v>
      </c>
      <c r="AC3266" s="10" t="s">
        <v>3521</v>
      </c>
      <c r="AD3266" s="10" t="s">
        <v>23615</v>
      </c>
      <c r="AE3266" s="10" t="s">
        <v>23616</v>
      </c>
      <c r="AF3266" s="15"/>
      <c r="AG3266" s="10"/>
      <c r="AH3266" s="10"/>
      <c r="AI3266" s="10"/>
      <c r="AJ3266" s="10"/>
      <c r="AK3266" s="10"/>
      <c r="AL3266" s="10" t="s">
        <v>2638</v>
      </c>
      <c r="AM3266" s="10"/>
      <c r="AN3266" s="10"/>
      <c r="AO3266" s="13" t="b">
        <v>0</v>
      </c>
      <c r="AP3266" s="22" t="s">
        <v>104</v>
      </c>
      <c r="AQ3266" s="10"/>
      <c r="AR3266" s="17"/>
      <c r="AS3266" s="17"/>
      <c r="AT3266" s="17"/>
      <c r="AU3266" s="17"/>
      <c r="AV3266" s="17"/>
      <c r="AW3266" s="10"/>
      <c r="AX3266" s="17"/>
      <c r="AY3266" s="18" t="s">
        <v>257</v>
      </c>
      <c r="AZ3266" s="10"/>
      <c r="BA3266" s="20" t="b">
        <v>0</v>
      </c>
      <c r="BB3266" s="10"/>
      <c r="BC3266" s="17" t="s">
        <v>257</v>
      </c>
      <c r="BD3266" s="17" t="s">
        <v>257</v>
      </c>
      <c r="BE3266" s="17" t="s">
        <v>257</v>
      </c>
      <c r="BF3266" s="17" t="s">
        <v>257</v>
      </c>
      <c r="BG3266" s="11">
        <f ca="1">IFERROR(__xludf.DUMMYFUNCTION("""COMPUTED_VALUE"""),46088.7708333333)</f>
        <v>46088.770833333299</v>
      </c>
      <c r="BH3266" s="17"/>
      <c r="BI3266" s="17"/>
      <c r="BJ3266" s="15"/>
      <c r="BK3266" s="15"/>
      <c r="BL3266" s="13" t="b">
        <v>0</v>
      </c>
      <c r="BM3266" s="10"/>
      <c r="BN3266" s="10" t="s">
        <v>223</v>
      </c>
      <c r="BO3266" s="11">
        <v>46010.149050925924</v>
      </c>
      <c r="BP3266" s="11">
        <v>46010.149050925924</v>
      </c>
      <c r="BQ3266" s="15"/>
      <c r="BR3266" s="15"/>
      <c r="BS3266" s="10"/>
      <c r="BT3266" s="10"/>
      <c r="BU3266" s="10"/>
      <c r="BV3266" s="10"/>
      <c r="BW3266" s="10"/>
      <c r="BX3266" s="10"/>
      <c r="BY3266" s="23"/>
      <c r="BZ3266" s="23"/>
      <c r="CA3266" s="10"/>
      <c r="CB3266" s="23"/>
      <c r="CC3266" s="23"/>
      <c r="CD3266" s="23"/>
      <c r="CE3266" s="23"/>
      <c r="CF3266" s="23"/>
      <c r="CG3266" s="23"/>
      <c r="CH3266" s="23"/>
      <c r="CI3266" s="23"/>
    </row>
    <row r="3267" spans="1:87" x14ac:dyDescent="0.3">
      <c r="A3267" s="9" t="s">
        <v>23617</v>
      </c>
      <c r="B3267" s="10" t="s">
        <v>23618</v>
      </c>
      <c r="C3267" s="11">
        <v>46088.854166666664</v>
      </c>
      <c r="D3267" s="12">
        <v>8.3333333333333329E-2</v>
      </c>
      <c r="E3267" s="11">
        <v>46088.9375</v>
      </c>
      <c r="F3267" s="22" t="s">
        <v>3511</v>
      </c>
      <c r="G3267" s="13" t="b">
        <v>0</v>
      </c>
      <c r="H3267" s="22" t="s">
        <v>3512</v>
      </c>
      <c r="I3267" s="10" t="s">
        <v>3548</v>
      </c>
      <c r="J3267" s="13" t="b">
        <v>0</v>
      </c>
      <c r="K3267" s="13" t="b">
        <v>1</v>
      </c>
      <c r="L3267" s="10" t="s">
        <v>124</v>
      </c>
      <c r="M3267" s="10" t="s">
        <v>91</v>
      </c>
      <c r="N3267" s="10" t="s">
        <v>3513</v>
      </c>
      <c r="O3267" s="10"/>
      <c r="P3267" s="10"/>
      <c r="Q3267" s="10"/>
      <c r="R3267" s="10"/>
      <c r="S3267" s="10"/>
      <c r="T3267" s="10"/>
      <c r="U3267" s="10" t="s">
        <v>3517</v>
      </c>
      <c r="V3267" s="10" t="s">
        <v>3551</v>
      </c>
      <c r="W3267" s="10" t="s">
        <v>3519</v>
      </c>
      <c r="X3267" s="10" t="s">
        <v>130</v>
      </c>
      <c r="Y3267" s="10" t="s">
        <v>130</v>
      </c>
      <c r="Z3267" s="10" t="s">
        <v>99</v>
      </c>
      <c r="AA3267" s="10" t="s">
        <v>131</v>
      </c>
      <c r="AB3267" s="10" t="s">
        <v>3520</v>
      </c>
      <c r="AC3267" s="10" t="s">
        <v>3521</v>
      </c>
      <c r="AD3267" s="10" t="s">
        <v>23619</v>
      </c>
      <c r="AE3267" s="10" t="s">
        <v>23620</v>
      </c>
      <c r="AF3267" s="15"/>
      <c r="AG3267" s="10"/>
      <c r="AH3267" s="10"/>
      <c r="AI3267" s="10"/>
      <c r="AJ3267" s="10"/>
      <c r="AK3267" s="10"/>
      <c r="AL3267" s="10" t="s">
        <v>2638</v>
      </c>
      <c r="AM3267" s="10"/>
      <c r="AN3267" s="10"/>
      <c r="AO3267" s="13" t="b">
        <v>1</v>
      </c>
      <c r="AP3267" s="22" t="s">
        <v>104</v>
      </c>
      <c r="AQ3267" s="10"/>
      <c r="AR3267" s="17"/>
      <c r="AS3267" s="17"/>
      <c r="AT3267" s="17"/>
      <c r="AU3267" s="17"/>
      <c r="AV3267" s="17"/>
      <c r="AW3267" s="10"/>
      <c r="AX3267" s="17"/>
      <c r="AY3267" s="18" t="s">
        <v>257</v>
      </c>
      <c r="AZ3267" s="10"/>
      <c r="BA3267" s="20" t="b">
        <v>0</v>
      </c>
      <c r="BB3267" s="10"/>
      <c r="BC3267" s="17" t="s">
        <v>257</v>
      </c>
      <c r="BD3267" s="17" t="s">
        <v>257</v>
      </c>
      <c r="BE3267" s="17" t="s">
        <v>257</v>
      </c>
      <c r="BF3267" s="17" t="s">
        <v>257</v>
      </c>
      <c r="BG3267" s="11">
        <f ca="1">IFERROR(__xludf.DUMMYFUNCTION("""COMPUTED_VALUE"""),46088.8541666666)</f>
        <v>46088.854166666599</v>
      </c>
      <c r="BH3267" s="17"/>
      <c r="BI3267" s="17"/>
      <c r="BJ3267" s="15"/>
      <c r="BK3267" s="15"/>
      <c r="BL3267" s="13" t="b">
        <v>0</v>
      </c>
      <c r="BM3267" s="10"/>
      <c r="BN3267" s="10" t="s">
        <v>223</v>
      </c>
      <c r="BO3267" s="11">
        <v>46010.149050925924</v>
      </c>
      <c r="BP3267" s="11">
        <v>46010.149050925924</v>
      </c>
      <c r="BQ3267" s="15"/>
      <c r="BR3267" s="15"/>
      <c r="BS3267" s="10"/>
      <c r="BT3267" s="10"/>
      <c r="BU3267" s="10"/>
      <c r="BV3267" s="10"/>
      <c r="BW3267" s="10"/>
      <c r="BX3267" s="10"/>
      <c r="BY3267" s="23"/>
      <c r="BZ3267" s="23"/>
      <c r="CA3267" s="10"/>
      <c r="CB3267" s="23"/>
      <c r="CC3267" s="23"/>
      <c r="CD3267" s="23"/>
      <c r="CE3267" s="23"/>
      <c r="CF3267" s="23"/>
      <c r="CG3267" s="23"/>
      <c r="CH3267" s="23"/>
      <c r="CI3267" s="23"/>
    </row>
    <row r="3268" spans="1:87" x14ac:dyDescent="0.3">
      <c r="A3268" s="9" t="s">
        <v>23621</v>
      </c>
      <c r="B3268" s="10" t="s">
        <v>23622</v>
      </c>
      <c r="C3268" s="11">
        <v>46088.854166666664</v>
      </c>
      <c r="D3268" s="12">
        <v>8.3333333333333329E-2</v>
      </c>
      <c r="E3268" s="11">
        <v>46088.9375</v>
      </c>
      <c r="F3268" s="22" t="s">
        <v>3511</v>
      </c>
      <c r="G3268" s="13" t="b">
        <v>0</v>
      </c>
      <c r="H3268" s="22" t="s">
        <v>236</v>
      </c>
      <c r="I3268" s="10" t="s">
        <v>212</v>
      </c>
      <c r="J3268" s="13" t="b">
        <v>1</v>
      </c>
      <c r="K3268" s="13" t="b">
        <v>0</v>
      </c>
      <c r="L3268" s="10" t="s">
        <v>124</v>
      </c>
      <c r="M3268" s="10" t="s">
        <v>91</v>
      </c>
      <c r="N3268" s="10" t="s">
        <v>3513</v>
      </c>
      <c r="O3268" s="10"/>
      <c r="P3268" s="10"/>
      <c r="Q3268" s="10"/>
      <c r="R3268" s="10"/>
      <c r="S3268" s="10"/>
      <c r="T3268" s="10"/>
      <c r="U3268" s="10" t="s">
        <v>3648</v>
      </c>
      <c r="V3268" s="10" t="s">
        <v>3635</v>
      </c>
      <c r="W3268" s="10" t="s">
        <v>3519</v>
      </c>
      <c r="X3268" s="10" t="s">
        <v>130</v>
      </c>
      <c r="Y3268" s="10" t="s">
        <v>130</v>
      </c>
      <c r="Z3268" s="10" t="s">
        <v>99</v>
      </c>
      <c r="AA3268" s="10" t="s">
        <v>131</v>
      </c>
      <c r="AB3268" s="10" t="s">
        <v>3520</v>
      </c>
      <c r="AC3268" s="10" t="s">
        <v>3521</v>
      </c>
      <c r="AD3268" s="10" t="s">
        <v>23623</v>
      </c>
      <c r="AE3268" s="10" t="s">
        <v>23624</v>
      </c>
      <c r="AF3268" s="15"/>
      <c r="AG3268" s="10"/>
      <c r="AH3268" s="10"/>
      <c r="AI3268" s="10"/>
      <c r="AJ3268" s="10"/>
      <c r="AK3268" s="10"/>
      <c r="AL3268" s="10" t="s">
        <v>2638</v>
      </c>
      <c r="AM3268" s="10"/>
      <c r="AN3268" s="10"/>
      <c r="AO3268" s="13" t="b">
        <v>0</v>
      </c>
      <c r="AP3268" s="22" t="s">
        <v>104</v>
      </c>
      <c r="AQ3268" s="10"/>
      <c r="AR3268" s="17"/>
      <c r="AS3268" s="17"/>
      <c r="AT3268" s="17"/>
      <c r="AU3268" s="17"/>
      <c r="AV3268" s="17"/>
      <c r="AW3268" s="10"/>
      <c r="AX3268" s="17"/>
      <c r="AY3268" s="18" t="s">
        <v>257</v>
      </c>
      <c r="AZ3268" s="10"/>
      <c r="BA3268" s="20" t="b">
        <v>0</v>
      </c>
      <c r="BB3268" s="10"/>
      <c r="BC3268" s="17" t="s">
        <v>257</v>
      </c>
      <c r="BD3268" s="17" t="s">
        <v>257</v>
      </c>
      <c r="BE3268" s="17" t="s">
        <v>257</v>
      </c>
      <c r="BF3268" s="17" t="s">
        <v>257</v>
      </c>
      <c r="BG3268" s="11">
        <f ca="1">IFERROR(__xludf.DUMMYFUNCTION("""COMPUTED_VALUE"""),46088.8541666666)</f>
        <v>46088.854166666599</v>
      </c>
      <c r="BH3268" s="17"/>
      <c r="BI3268" s="17"/>
      <c r="BJ3268" s="15"/>
      <c r="BK3268" s="15"/>
      <c r="BL3268" s="13" t="b">
        <v>0</v>
      </c>
      <c r="BM3268" s="10"/>
      <c r="BN3268" s="10" t="s">
        <v>223</v>
      </c>
      <c r="BO3268" s="11">
        <v>46010.149050925924</v>
      </c>
      <c r="BP3268" s="11">
        <v>46010.149050925924</v>
      </c>
      <c r="BQ3268" s="15"/>
      <c r="BR3268" s="15"/>
      <c r="BS3268" s="10"/>
      <c r="BT3268" s="10"/>
      <c r="BU3268" s="10"/>
      <c r="BV3268" s="10"/>
      <c r="BW3268" s="10"/>
      <c r="BX3268" s="10"/>
      <c r="BY3268" s="23"/>
      <c r="BZ3268" s="23"/>
      <c r="CA3268" s="10"/>
      <c r="CB3268" s="23"/>
      <c r="CC3268" s="23"/>
      <c r="CD3268" s="23"/>
      <c r="CE3268" s="23"/>
      <c r="CF3268" s="23"/>
      <c r="CG3268" s="23"/>
      <c r="CH3268" s="23"/>
      <c r="CI3268" s="23"/>
    </row>
    <row r="3269" spans="1:87" x14ac:dyDescent="0.3">
      <c r="A3269" s="9" t="s">
        <v>23625</v>
      </c>
      <c r="B3269" s="10" t="s">
        <v>23626</v>
      </c>
      <c r="C3269" s="11">
        <v>46089.854166666664</v>
      </c>
      <c r="D3269" s="12">
        <v>8.3333333333333329E-2</v>
      </c>
      <c r="E3269" s="11">
        <v>46089.9375</v>
      </c>
      <c r="F3269" s="22" t="s">
        <v>3511</v>
      </c>
      <c r="G3269" s="13" t="b">
        <v>0</v>
      </c>
      <c r="H3269" s="22" t="s">
        <v>123</v>
      </c>
      <c r="I3269" s="10" t="s">
        <v>3548</v>
      </c>
      <c r="J3269" s="13" t="b">
        <v>0</v>
      </c>
      <c r="K3269" s="13" t="b">
        <v>1</v>
      </c>
      <c r="L3269" s="10" t="s">
        <v>124</v>
      </c>
      <c r="M3269" s="10" t="s">
        <v>91</v>
      </c>
      <c r="N3269" s="10" t="s">
        <v>3513</v>
      </c>
      <c r="O3269" s="10"/>
      <c r="P3269" s="10"/>
      <c r="Q3269" s="10"/>
      <c r="R3269" s="10"/>
      <c r="S3269" s="10"/>
      <c r="T3269" s="10"/>
      <c r="U3269" s="10" t="s">
        <v>3647</v>
      </c>
      <c r="V3269" s="10" t="s">
        <v>3622</v>
      </c>
      <c r="W3269" s="10" t="s">
        <v>3519</v>
      </c>
      <c r="X3269" s="10" t="s">
        <v>130</v>
      </c>
      <c r="Y3269" s="10" t="s">
        <v>130</v>
      </c>
      <c r="Z3269" s="10" t="s">
        <v>99</v>
      </c>
      <c r="AA3269" s="10" t="s">
        <v>131</v>
      </c>
      <c r="AB3269" s="10" t="s">
        <v>3520</v>
      </c>
      <c r="AC3269" s="10" t="s">
        <v>3521</v>
      </c>
      <c r="AD3269" s="10" t="s">
        <v>23627</v>
      </c>
      <c r="AE3269" s="10" t="s">
        <v>23628</v>
      </c>
      <c r="AF3269" s="15"/>
      <c r="AG3269" s="10"/>
      <c r="AH3269" s="10"/>
      <c r="AI3269" s="10"/>
      <c r="AJ3269" s="10"/>
      <c r="AK3269" s="10"/>
      <c r="AL3269" s="10" t="s">
        <v>2638</v>
      </c>
      <c r="AM3269" s="10"/>
      <c r="AN3269" s="10"/>
      <c r="AO3269" s="13" t="b">
        <v>1</v>
      </c>
      <c r="AP3269" s="22" t="s">
        <v>104</v>
      </c>
      <c r="AQ3269" s="10"/>
      <c r="AR3269" s="17"/>
      <c r="AS3269" s="17"/>
      <c r="AT3269" s="17"/>
      <c r="AU3269" s="17"/>
      <c r="AV3269" s="17"/>
      <c r="AW3269" s="10"/>
      <c r="AX3269" s="17"/>
      <c r="AY3269" s="18" t="s">
        <v>257</v>
      </c>
      <c r="AZ3269" s="10"/>
      <c r="BA3269" s="20" t="b">
        <v>0</v>
      </c>
      <c r="BB3269" s="10"/>
      <c r="BC3269" s="17" t="s">
        <v>257</v>
      </c>
      <c r="BD3269" s="17" t="s">
        <v>257</v>
      </c>
      <c r="BE3269" s="17" t="s">
        <v>257</v>
      </c>
      <c r="BF3269" s="17" t="s">
        <v>257</v>
      </c>
      <c r="BG3269" s="11">
        <f ca="1">IFERROR(__xludf.DUMMYFUNCTION("""COMPUTED_VALUE"""),46089.8541666666)</f>
        <v>46089.854166666599</v>
      </c>
      <c r="BH3269" s="17"/>
      <c r="BI3269" s="17"/>
      <c r="BJ3269" s="15"/>
      <c r="BK3269" s="15"/>
      <c r="BL3269" s="13" t="b">
        <v>0</v>
      </c>
      <c r="BM3269" s="10"/>
      <c r="BN3269" s="10" t="s">
        <v>223</v>
      </c>
      <c r="BO3269" s="11">
        <v>46010.149050925924</v>
      </c>
      <c r="BP3269" s="11">
        <v>46010.149050925924</v>
      </c>
      <c r="BQ3269" s="15"/>
      <c r="BR3269" s="15"/>
      <c r="BS3269" s="10"/>
      <c r="BT3269" s="10"/>
      <c r="BU3269" s="10"/>
      <c r="BV3269" s="10"/>
      <c r="BW3269" s="10"/>
      <c r="BX3269" s="10"/>
      <c r="BY3269" s="23"/>
      <c r="BZ3269" s="23"/>
      <c r="CA3269" s="10"/>
      <c r="CB3269" s="23"/>
      <c r="CC3269" s="23"/>
      <c r="CD3269" s="23"/>
      <c r="CE3269" s="23"/>
      <c r="CF3269" s="23"/>
      <c r="CG3269" s="23"/>
      <c r="CH3269" s="23"/>
      <c r="CI3269" s="23"/>
    </row>
    <row r="3270" spans="1:87" x14ac:dyDescent="0.3">
      <c r="A3270" s="9" t="s">
        <v>23629</v>
      </c>
      <c r="B3270" s="10" t="s">
        <v>23630</v>
      </c>
      <c r="C3270" s="11">
        <v>46090.854166666664</v>
      </c>
      <c r="D3270" s="12">
        <v>8.3333333333333329E-2</v>
      </c>
      <c r="E3270" s="11">
        <v>46090.9375</v>
      </c>
      <c r="F3270" s="22" t="s">
        <v>3511</v>
      </c>
      <c r="G3270" s="13" t="b">
        <v>0</v>
      </c>
      <c r="H3270" s="22" t="s">
        <v>123</v>
      </c>
      <c r="I3270" s="10" t="s">
        <v>3548</v>
      </c>
      <c r="J3270" s="13" t="b">
        <v>0</v>
      </c>
      <c r="K3270" s="13" t="b">
        <v>1</v>
      </c>
      <c r="L3270" s="10" t="s">
        <v>124</v>
      </c>
      <c r="M3270" s="10" t="s">
        <v>91</v>
      </c>
      <c r="N3270" s="10" t="s">
        <v>3513</v>
      </c>
      <c r="O3270" s="10"/>
      <c r="P3270" s="10"/>
      <c r="Q3270" s="10"/>
      <c r="R3270" s="10"/>
      <c r="S3270" s="10"/>
      <c r="T3270" s="10"/>
      <c r="U3270" s="10" t="s">
        <v>3609</v>
      </c>
      <c r="V3270" s="10" t="s">
        <v>3662</v>
      </c>
      <c r="W3270" s="10" t="s">
        <v>3519</v>
      </c>
      <c r="X3270" s="10" t="s">
        <v>130</v>
      </c>
      <c r="Y3270" s="10" t="s">
        <v>130</v>
      </c>
      <c r="Z3270" s="10" t="s">
        <v>99</v>
      </c>
      <c r="AA3270" s="10" t="s">
        <v>131</v>
      </c>
      <c r="AB3270" s="10" t="s">
        <v>3520</v>
      </c>
      <c r="AC3270" s="10" t="s">
        <v>3521</v>
      </c>
      <c r="AD3270" s="10" t="s">
        <v>23631</v>
      </c>
      <c r="AE3270" s="10" t="s">
        <v>23632</v>
      </c>
      <c r="AF3270" s="15"/>
      <c r="AG3270" s="10"/>
      <c r="AH3270" s="10"/>
      <c r="AI3270" s="10"/>
      <c r="AJ3270" s="10"/>
      <c r="AK3270" s="10"/>
      <c r="AL3270" s="10" t="s">
        <v>2638</v>
      </c>
      <c r="AM3270" s="10"/>
      <c r="AN3270" s="10"/>
      <c r="AO3270" s="13" t="b">
        <v>1</v>
      </c>
      <c r="AP3270" s="22" t="s">
        <v>104</v>
      </c>
      <c r="AQ3270" s="10"/>
      <c r="AR3270" s="17"/>
      <c r="AS3270" s="17"/>
      <c r="AT3270" s="17"/>
      <c r="AU3270" s="17"/>
      <c r="AV3270" s="17"/>
      <c r="AW3270" s="10"/>
      <c r="AX3270" s="17"/>
      <c r="AY3270" s="18" t="s">
        <v>257</v>
      </c>
      <c r="AZ3270" s="10"/>
      <c r="BA3270" s="20" t="b">
        <v>0</v>
      </c>
      <c r="BB3270" s="10"/>
      <c r="BC3270" s="17" t="s">
        <v>257</v>
      </c>
      <c r="BD3270" s="17" t="s">
        <v>257</v>
      </c>
      <c r="BE3270" s="17" t="s">
        <v>257</v>
      </c>
      <c r="BF3270" s="17" t="s">
        <v>257</v>
      </c>
      <c r="BG3270" s="11">
        <f ca="1">IFERROR(__xludf.DUMMYFUNCTION("""COMPUTED_VALUE"""),46090.8541666666)</f>
        <v>46090.854166666599</v>
      </c>
      <c r="BH3270" s="17"/>
      <c r="BI3270" s="17"/>
      <c r="BJ3270" s="15"/>
      <c r="BK3270" s="15"/>
      <c r="BL3270" s="13" t="b">
        <v>0</v>
      </c>
      <c r="BM3270" s="10"/>
      <c r="BN3270" s="10" t="s">
        <v>223</v>
      </c>
      <c r="BO3270" s="11">
        <v>46010.149050925924</v>
      </c>
      <c r="BP3270" s="11">
        <v>46010.149050925924</v>
      </c>
      <c r="BQ3270" s="15"/>
      <c r="BR3270" s="15"/>
      <c r="BS3270" s="10"/>
      <c r="BT3270" s="10"/>
      <c r="BU3270" s="10"/>
      <c r="BV3270" s="10"/>
      <c r="BW3270" s="10"/>
      <c r="BX3270" s="10"/>
      <c r="BY3270" s="23"/>
      <c r="BZ3270" s="23"/>
      <c r="CA3270" s="10"/>
      <c r="CB3270" s="23"/>
      <c r="CC3270" s="23"/>
      <c r="CD3270" s="23"/>
      <c r="CE3270" s="23"/>
      <c r="CF3270" s="23"/>
      <c r="CG3270" s="23"/>
      <c r="CH3270" s="23"/>
      <c r="CI3270" s="23"/>
    </row>
    <row r="3271" spans="1:87" x14ac:dyDescent="0.3">
      <c r="A3271" s="9" t="s">
        <v>23633</v>
      </c>
      <c r="B3271" s="10" t="s">
        <v>23634</v>
      </c>
      <c r="C3271" s="11">
        <v>46090.854166666664</v>
      </c>
      <c r="D3271" s="12">
        <v>8.3333333333333329E-2</v>
      </c>
      <c r="E3271" s="11">
        <v>46090.9375</v>
      </c>
      <c r="F3271" s="22" t="s">
        <v>3511</v>
      </c>
      <c r="G3271" s="13" t="b">
        <v>0</v>
      </c>
      <c r="H3271" s="22" t="s">
        <v>3512</v>
      </c>
      <c r="I3271" s="10" t="s">
        <v>212</v>
      </c>
      <c r="J3271" s="13" t="b">
        <v>1</v>
      </c>
      <c r="K3271" s="13" t="b">
        <v>0</v>
      </c>
      <c r="L3271" s="10" t="s">
        <v>124</v>
      </c>
      <c r="M3271" s="10" t="s">
        <v>91</v>
      </c>
      <c r="N3271" s="10" t="s">
        <v>3513</v>
      </c>
      <c r="O3271" s="10"/>
      <c r="P3271" s="10"/>
      <c r="Q3271" s="10"/>
      <c r="R3271" s="10"/>
      <c r="S3271" s="10"/>
      <c r="T3271" s="10"/>
      <c r="U3271" s="10" t="s">
        <v>3677</v>
      </c>
      <c r="V3271" s="10" t="s">
        <v>3610</v>
      </c>
      <c r="W3271" s="10" t="s">
        <v>3519</v>
      </c>
      <c r="X3271" s="10" t="s">
        <v>130</v>
      </c>
      <c r="Y3271" s="10" t="s">
        <v>130</v>
      </c>
      <c r="Z3271" s="10" t="s">
        <v>99</v>
      </c>
      <c r="AA3271" s="10" t="s">
        <v>131</v>
      </c>
      <c r="AB3271" s="10" t="s">
        <v>3520</v>
      </c>
      <c r="AC3271" s="10" t="s">
        <v>3521</v>
      </c>
      <c r="AD3271" s="10" t="s">
        <v>23635</v>
      </c>
      <c r="AE3271" s="10" t="s">
        <v>23636</v>
      </c>
      <c r="AF3271" s="15"/>
      <c r="AG3271" s="10"/>
      <c r="AH3271" s="10"/>
      <c r="AI3271" s="10"/>
      <c r="AJ3271" s="10"/>
      <c r="AK3271" s="10"/>
      <c r="AL3271" s="10" t="s">
        <v>2638</v>
      </c>
      <c r="AM3271" s="10"/>
      <c r="AN3271" s="10"/>
      <c r="AO3271" s="13" t="b">
        <v>0</v>
      </c>
      <c r="AP3271" s="22" t="s">
        <v>104</v>
      </c>
      <c r="AQ3271" s="10"/>
      <c r="AR3271" s="17"/>
      <c r="AS3271" s="17"/>
      <c r="AT3271" s="17"/>
      <c r="AU3271" s="17"/>
      <c r="AV3271" s="17"/>
      <c r="AW3271" s="10"/>
      <c r="AX3271" s="17"/>
      <c r="AY3271" s="18" t="s">
        <v>257</v>
      </c>
      <c r="AZ3271" s="10"/>
      <c r="BA3271" s="20" t="b">
        <v>0</v>
      </c>
      <c r="BB3271" s="10"/>
      <c r="BC3271" s="17" t="s">
        <v>257</v>
      </c>
      <c r="BD3271" s="17" t="s">
        <v>257</v>
      </c>
      <c r="BE3271" s="17" t="s">
        <v>257</v>
      </c>
      <c r="BF3271" s="17" t="s">
        <v>257</v>
      </c>
      <c r="BG3271" s="11">
        <f ca="1">IFERROR(__xludf.DUMMYFUNCTION("""COMPUTED_VALUE"""),46090.8541666666)</f>
        <v>46090.854166666599</v>
      </c>
      <c r="BH3271" s="17"/>
      <c r="BI3271" s="17"/>
      <c r="BJ3271" s="15"/>
      <c r="BK3271" s="15"/>
      <c r="BL3271" s="13" t="b">
        <v>0</v>
      </c>
      <c r="BM3271" s="10"/>
      <c r="BN3271" s="10" t="s">
        <v>223</v>
      </c>
      <c r="BO3271" s="11">
        <v>46010.149050925924</v>
      </c>
      <c r="BP3271" s="11">
        <v>46010.149050925924</v>
      </c>
      <c r="BQ3271" s="15"/>
      <c r="BR3271" s="15"/>
      <c r="BS3271" s="10"/>
      <c r="BT3271" s="10"/>
      <c r="BU3271" s="10"/>
      <c r="BV3271" s="10"/>
      <c r="BW3271" s="10"/>
      <c r="BX3271" s="10"/>
      <c r="BY3271" s="23"/>
      <c r="BZ3271" s="23"/>
      <c r="CA3271" s="10"/>
      <c r="CB3271" s="23"/>
      <c r="CC3271" s="23"/>
      <c r="CD3271" s="23"/>
      <c r="CE3271" s="23"/>
      <c r="CF3271" s="23"/>
      <c r="CG3271" s="23"/>
      <c r="CH3271" s="23"/>
      <c r="CI3271" s="23"/>
    </row>
    <row r="3272" spans="1:87" x14ac:dyDescent="0.3">
      <c r="A3272" s="9" t="s">
        <v>23637</v>
      </c>
      <c r="B3272" s="10" t="s">
        <v>23638</v>
      </c>
      <c r="C3272" s="11">
        <v>46091.854166666664</v>
      </c>
      <c r="D3272" s="12">
        <v>8.3333333333333329E-2</v>
      </c>
      <c r="E3272" s="11">
        <v>46091.9375</v>
      </c>
      <c r="F3272" s="22" t="s">
        <v>3511</v>
      </c>
      <c r="G3272" s="13" t="b">
        <v>0</v>
      </c>
      <c r="H3272" s="22" t="s">
        <v>123</v>
      </c>
      <c r="I3272" s="10" t="s">
        <v>3548</v>
      </c>
      <c r="J3272" s="13" t="b">
        <v>0</v>
      </c>
      <c r="K3272" s="13" t="b">
        <v>1</v>
      </c>
      <c r="L3272" s="10" t="s">
        <v>124</v>
      </c>
      <c r="M3272" s="10" t="s">
        <v>91</v>
      </c>
      <c r="N3272" s="10" t="s">
        <v>3513</v>
      </c>
      <c r="O3272" s="10"/>
      <c r="P3272" s="10"/>
      <c r="Q3272" s="10"/>
      <c r="R3272" s="10"/>
      <c r="S3272" s="10"/>
      <c r="T3272" s="10"/>
      <c r="U3272" s="10" t="s">
        <v>3518</v>
      </c>
      <c r="V3272" s="10" t="s">
        <v>3676</v>
      </c>
      <c r="W3272" s="10" t="s">
        <v>3519</v>
      </c>
      <c r="X3272" s="10" t="s">
        <v>130</v>
      </c>
      <c r="Y3272" s="10" t="s">
        <v>130</v>
      </c>
      <c r="Z3272" s="10" t="s">
        <v>99</v>
      </c>
      <c r="AA3272" s="10" t="s">
        <v>131</v>
      </c>
      <c r="AB3272" s="10" t="s">
        <v>3520</v>
      </c>
      <c r="AC3272" s="10" t="s">
        <v>3521</v>
      </c>
      <c r="AD3272" s="10" t="s">
        <v>23639</v>
      </c>
      <c r="AE3272" s="10" t="s">
        <v>23640</v>
      </c>
      <c r="AF3272" s="15"/>
      <c r="AG3272" s="10"/>
      <c r="AH3272" s="10"/>
      <c r="AI3272" s="10"/>
      <c r="AJ3272" s="10"/>
      <c r="AK3272" s="10"/>
      <c r="AL3272" s="10" t="s">
        <v>2638</v>
      </c>
      <c r="AM3272" s="10"/>
      <c r="AN3272" s="10"/>
      <c r="AO3272" s="13" t="b">
        <v>0</v>
      </c>
      <c r="AP3272" s="22" t="s">
        <v>104</v>
      </c>
      <c r="AQ3272" s="10"/>
      <c r="AR3272" s="17"/>
      <c r="AS3272" s="17"/>
      <c r="AT3272" s="17"/>
      <c r="AU3272" s="17"/>
      <c r="AV3272" s="17"/>
      <c r="AW3272" s="10"/>
      <c r="AX3272" s="17"/>
      <c r="AY3272" s="18" t="s">
        <v>257</v>
      </c>
      <c r="AZ3272" s="10"/>
      <c r="BA3272" s="20" t="b">
        <v>0</v>
      </c>
      <c r="BB3272" s="10"/>
      <c r="BC3272" s="17" t="s">
        <v>257</v>
      </c>
      <c r="BD3272" s="17" t="s">
        <v>257</v>
      </c>
      <c r="BE3272" s="17" t="s">
        <v>257</v>
      </c>
      <c r="BF3272" s="17" t="s">
        <v>257</v>
      </c>
      <c r="BG3272" s="11">
        <f ca="1">IFERROR(__xludf.DUMMYFUNCTION("""COMPUTED_VALUE"""),46091.8541666666)</f>
        <v>46091.854166666599</v>
      </c>
      <c r="BH3272" s="17"/>
      <c r="BI3272" s="17"/>
      <c r="BJ3272" s="15"/>
      <c r="BK3272" s="15"/>
      <c r="BL3272" s="13" t="b">
        <v>0</v>
      </c>
      <c r="BM3272" s="10"/>
      <c r="BN3272" s="10" t="s">
        <v>223</v>
      </c>
      <c r="BO3272" s="11">
        <v>46010.149050925924</v>
      </c>
      <c r="BP3272" s="11">
        <v>46010.149050925924</v>
      </c>
      <c r="BQ3272" s="15"/>
      <c r="BR3272" s="15"/>
      <c r="BS3272" s="10"/>
      <c r="BT3272" s="10"/>
      <c r="BU3272" s="10"/>
      <c r="BV3272" s="10"/>
      <c r="BW3272" s="10"/>
      <c r="BX3272" s="10"/>
      <c r="BY3272" s="23"/>
      <c r="BZ3272" s="23"/>
      <c r="CA3272" s="10"/>
      <c r="CB3272" s="23"/>
      <c r="CC3272" s="23"/>
      <c r="CD3272" s="23"/>
      <c r="CE3272" s="23"/>
      <c r="CF3272" s="23"/>
      <c r="CG3272" s="23"/>
      <c r="CH3272" s="23"/>
      <c r="CI3272" s="23"/>
    </row>
    <row r="3273" spans="1:87" x14ac:dyDescent="0.3">
      <c r="A3273" s="9" t="s">
        <v>23641</v>
      </c>
      <c r="B3273" s="10" t="s">
        <v>23642</v>
      </c>
      <c r="C3273" s="11">
        <v>46092.854166666664</v>
      </c>
      <c r="D3273" s="12">
        <v>8.3333333333333329E-2</v>
      </c>
      <c r="E3273" s="11">
        <v>46092.9375</v>
      </c>
      <c r="F3273" s="22" t="s">
        <v>3511</v>
      </c>
      <c r="G3273" s="13" t="b">
        <v>0</v>
      </c>
      <c r="H3273" s="22" t="s">
        <v>236</v>
      </c>
      <c r="I3273" s="10" t="s">
        <v>212</v>
      </c>
      <c r="J3273" s="13" t="b">
        <v>1</v>
      </c>
      <c r="K3273" s="13" t="b">
        <v>0</v>
      </c>
      <c r="L3273" s="10" t="s">
        <v>124</v>
      </c>
      <c r="M3273" s="10" t="s">
        <v>91</v>
      </c>
      <c r="N3273" s="10" t="s">
        <v>3513</v>
      </c>
      <c r="O3273" s="10"/>
      <c r="P3273" s="10"/>
      <c r="Q3273" s="10"/>
      <c r="R3273" s="10"/>
      <c r="S3273" s="10"/>
      <c r="T3273" s="10"/>
      <c r="U3273" s="10" t="s">
        <v>3552</v>
      </c>
      <c r="V3273" s="10" t="s">
        <v>3536</v>
      </c>
      <c r="W3273" s="10" t="s">
        <v>3519</v>
      </c>
      <c r="X3273" s="10" t="s">
        <v>130</v>
      </c>
      <c r="Y3273" s="10" t="s">
        <v>130</v>
      </c>
      <c r="Z3273" s="10" t="s">
        <v>99</v>
      </c>
      <c r="AA3273" s="10" t="s">
        <v>131</v>
      </c>
      <c r="AB3273" s="10" t="s">
        <v>3520</v>
      </c>
      <c r="AC3273" s="10" t="s">
        <v>3521</v>
      </c>
      <c r="AD3273" s="10" t="s">
        <v>23643</v>
      </c>
      <c r="AE3273" s="10" t="s">
        <v>23644</v>
      </c>
      <c r="AF3273" s="15"/>
      <c r="AG3273" s="10"/>
      <c r="AH3273" s="10"/>
      <c r="AI3273" s="10"/>
      <c r="AJ3273" s="10"/>
      <c r="AK3273" s="10"/>
      <c r="AL3273" s="10" t="s">
        <v>2638</v>
      </c>
      <c r="AM3273" s="10"/>
      <c r="AN3273" s="10"/>
      <c r="AO3273" s="13" t="b">
        <v>0</v>
      </c>
      <c r="AP3273" s="22" t="s">
        <v>104</v>
      </c>
      <c r="AQ3273" s="10"/>
      <c r="AR3273" s="17"/>
      <c r="AS3273" s="17"/>
      <c r="AT3273" s="17"/>
      <c r="AU3273" s="17"/>
      <c r="AV3273" s="17"/>
      <c r="AW3273" s="10"/>
      <c r="AX3273" s="17"/>
      <c r="AY3273" s="18" t="s">
        <v>257</v>
      </c>
      <c r="AZ3273" s="10"/>
      <c r="BA3273" s="20" t="b">
        <v>0</v>
      </c>
      <c r="BB3273" s="10"/>
      <c r="BC3273" s="17" t="s">
        <v>257</v>
      </c>
      <c r="BD3273" s="17" t="s">
        <v>257</v>
      </c>
      <c r="BE3273" s="17" t="s">
        <v>257</v>
      </c>
      <c r="BF3273" s="17" t="s">
        <v>257</v>
      </c>
      <c r="BG3273" s="11">
        <f ca="1">IFERROR(__xludf.DUMMYFUNCTION("""COMPUTED_VALUE"""),46092.8541666666)</f>
        <v>46092.854166666599</v>
      </c>
      <c r="BH3273" s="17"/>
      <c r="BI3273" s="17"/>
      <c r="BJ3273" s="15"/>
      <c r="BK3273" s="15"/>
      <c r="BL3273" s="13" t="b">
        <v>0</v>
      </c>
      <c r="BM3273" s="10"/>
      <c r="BN3273" s="10" t="s">
        <v>223</v>
      </c>
      <c r="BO3273" s="11">
        <v>46010.149050925924</v>
      </c>
      <c r="BP3273" s="11">
        <v>46010.149050925924</v>
      </c>
      <c r="BQ3273" s="15"/>
      <c r="BR3273" s="15"/>
      <c r="BS3273" s="10"/>
      <c r="BT3273" s="10"/>
      <c r="BU3273" s="10"/>
      <c r="BV3273" s="10"/>
      <c r="BW3273" s="10"/>
      <c r="BX3273" s="10"/>
      <c r="BY3273" s="23"/>
      <c r="BZ3273" s="23"/>
      <c r="CA3273" s="10"/>
      <c r="CB3273" s="23"/>
      <c r="CC3273" s="23"/>
      <c r="CD3273" s="23"/>
      <c r="CE3273" s="23"/>
      <c r="CF3273" s="23"/>
      <c r="CG3273" s="23"/>
      <c r="CH3273" s="23"/>
      <c r="CI3273" s="23"/>
    </row>
    <row r="3274" spans="1:87" x14ac:dyDescent="0.3">
      <c r="A3274" s="9" t="s">
        <v>23645</v>
      </c>
      <c r="B3274" s="10" t="s">
        <v>23646</v>
      </c>
      <c r="C3274" s="11">
        <v>46093.854166666664</v>
      </c>
      <c r="D3274" s="12">
        <v>8.3333333333333329E-2</v>
      </c>
      <c r="E3274" s="11">
        <v>46093.9375</v>
      </c>
      <c r="F3274" s="22" t="s">
        <v>3511</v>
      </c>
      <c r="G3274" s="13" t="b">
        <v>0</v>
      </c>
      <c r="H3274" s="22" t="s">
        <v>123</v>
      </c>
      <c r="I3274" s="10" t="s">
        <v>3548</v>
      </c>
      <c r="J3274" s="13" t="b">
        <v>0</v>
      </c>
      <c r="K3274" s="13" t="b">
        <v>1</v>
      </c>
      <c r="L3274" s="10" t="s">
        <v>124</v>
      </c>
      <c r="M3274" s="10" t="s">
        <v>91</v>
      </c>
      <c r="N3274" s="10" t="s">
        <v>3513</v>
      </c>
      <c r="O3274" s="10"/>
      <c r="P3274" s="10"/>
      <c r="Q3274" s="10"/>
      <c r="R3274" s="10"/>
      <c r="S3274" s="10"/>
      <c r="T3274" s="10"/>
      <c r="U3274" s="10" t="s">
        <v>3636</v>
      </c>
      <c r="V3274" s="10" t="s">
        <v>3661</v>
      </c>
      <c r="W3274" s="10" t="s">
        <v>3519</v>
      </c>
      <c r="X3274" s="10" t="s">
        <v>130</v>
      </c>
      <c r="Y3274" s="10" t="s">
        <v>130</v>
      </c>
      <c r="Z3274" s="10" t="s">
        <v>99</v>
      </c>
      <c r="AA3274" s="10" t="s">
        <v>131</v>
      </c>
      <c r="AB3274" s="10" t="s">
        <v>3520</v>
      </c>
      <c r="AC3274" s="10" t="s">
        <v>3521</v>
      </c>
      <c r="AD3274" s="10" t="s">
        <v>23647</v>
      </c>
      <c r="AE3274" s="10" t="s">
        <v>23648</v>
      </c>
      <c r="AF3274" s="15"/>
      <c r="AG3274" s="10"/>
      <c r="AH3274" s="10"/>
      <c r="AI3274" s="10"/>
      <c r="AJ3274" s="10"/>
      <c r="AK3274" s="10"/>
      <c r="AL3274" s="10" t="s">
        <v>2638</v>
      </c>
      <c r="AM3274" s="10"/>
      <c r="AN3274" s="10"/>
      <c r="AO3274" s="13" t="b">
        <v>0</v>
      </c>
      <c r="AP3274" s="22" t="s">
        <v>104</v>
      </c>
      <c r="AQ3274" s="10"/>
      <c r="AR3274" s="17"/>
      <c r="AS3274" s="17"/>
      <c r="AT3274" s="17"/>
      <c r="AU3274" s="17"/>
      <c r="AV3274" s="17"/>
      <c r="AW3274" s="10"/>
      <c r="AX3274" s="17"/>
      <c r="AY3274" s="18" t="s">
        <v>257</v>
      </c>
      <c r="AZ3274" s="10"/>
      <c r="BA3274" s="20" t="b">
        <v>0</v>
      </c>
      <c r="BB3274" s="10"/>
      <c r="BC3274" s="17" t="s">
        <v>257</v>
      </c>
      <c r="BD3274" s="17" t="s">
        <v>257</v>
      </c>
      <c r="BE3274" s="17" t="s">
        <v>257</v>
      </c>
      <c r="BF3274" s="17" t="s">
        <v>257</v>
      </c>
      <c r="BG3274" s="11">
        <f ca="1">IFERROR(__xludf.DUMMYFUNCTION("""COMPUTED_VALUE"""),46093.8541666666)</f>
        <v>46093.854166666599</v>
      </c>
      <c r="BH3274" s="17"/>
      <c r="BI3274" s="17"/>
      <c r="BJ3274" s="15"/>
      <c r="BK3274" s="15"/>
      <c r="BL3274" s="13" t="b">
        <v>0</v>
      </c>
      <c r="BM3274" s="10"/>
      <c r="BN3274" s="10" t="s">
        <v>223</v>
      </c>
      <c r="BO3274" s="11">
        <v>46010.149050925924</v>
      </c>
      <c r="BP3274" s="11">
        <v>46010.149050925924</v>
      </c>
      <c r="BQ3274" s="15"/>
      <c r="BR3274" s="15"/>
      <c r="BS3274" s="10"/>
      <c r="BT3274" s="10"/>
      <c r="BU3274" s="10"/>
      <c r="BV3274" s="10"/>
      <c r="BW3274" s="10"/>
      <c r="BX3274" s="10"/>
      <c r="BY3274" s="23"/>
      <c r="BZ3274" s="23"/>
      <c r="CA3274" s="10"/>
      <c r="CB3274" s="23"/>
      <c r="CC3274" s="23"/>
      <c r="CD3274" s="23"/>
      <c r="CE3274" s="23"/>
      <c r="CF3274" s="23"/>
      <c r="CG3274" s="23"/>
      <c r="CH3274" s="23"/>
      <c r="CI3274" s="23"/>
    </row>
    <row r="3275" spans="1:87" x14ac:dyDescent="0.3">
      <c r="A3275" s="9" t="s">
        <v>23649</v>
      </c>
      <c r="B3275" s="10" t="s">
        <v>23650</v>
      </c>
      <c r="C3275" s="11">
        <v>46115.645833333336</v>
      </c>
      <c r="D3275" s="12">
        <v>8.3333333333333329E-2</v>
      </c>
      <c r="E3275" s="11">
        <v>46115.729166666664</v>
      </c>
      <c r="F3275" s="22" t="s">
        <v>3511</v>
      </c>
      <c r="G3275" s="13" t="b">
        <v>0</v>
      </c>
      <c r="H3275" s="22" t="s">
        <v>123</v>
      </c>
      <c r="I3275" s="10" t="s">
        <v>3548</v>
      </c>
      <c r="J3275" s="13" t="b">
        <v>0</v>
      </c>
      <c r="K3275" s="13" t="b">
        <v>1</v>
      </c>
      <c r="L3275" s="10" t="s">
        <v>124</v>
      </c>
      <c r="M3275" s="10" t="s">
        <v>91</v>
      </c>
      <c r="N3275" s="10" t="s">
        <v>3513</v>
      </c>
      <c r="O3275" s="10"/>
      <c r="P3275" s="10"/>
      <c r="Q3275" s="10"/>
      <c r="R3275" s="10"/>
      <c r="S3275" s="10"/>
      <c r="T3275" s="10"/>
      <c r="U3275" s="10" t="s">
        <v>3676</v>
      </c>
      <c r="V3275" s="10" t="s">
        <v>3623</v>
      </c>
      <c r="W3275" s="10" t="s">
        <v>3519</v>
      </c>
      <c r="X3275" s="10" t="s">
        <v>130</v>
      </c>
      <c r="Y3275" s="10" t="s">
        <v>130</v>
      </c>
      <c r="Z3275" s="10" t="s">
        <v>99</v>
      </c>
      <c r="AA3275" s="10" t="s">
        <v>131</v>
      </c>
      <c r="AB3275" s="10" t="s">
        <v>3520</v>
      </c>
      <c r="AC3275" s="10" t="s">
        <v>3521</v>
      </c>
      <c r="AD3275" s="10" t="s">
        <v>23651</v>
      </c>
      <c r="AE3275" s="10" t="s">
        <v>23652</v>
      </c>
      <c r="AF3275" s="15"/>
      <c r="AG3275" s="10"/>
      <c r="AH3275" s="10"/>
      <c r="AI3275" s="10"/>
      <c r="AJ3275" s="10"/>
      <c r="AK3275" s="10"/>
      <c r="AL3275" s="10" t="s">
        <v>2679</v>
      </c>
      <c r="AM3275" s="10"/>
      <c r="AN3275" s="10"/>
      <c r="AO3275" s="13" t="b">
        <v>0</v>
      </c>
      <c r="AP3275" s="22" t="s">
        <v>104</v>
      </c>
      <c r="AQ3275" s="10"/>
      <c r="AR3275" s="17"/>
      <c r="AS3275" s="17"/>
      <c r="AT3275" s="17"/>
      <c r="AU3275" s="17"/>
      <c r="AV3275" s="17"/>
      <c r="AW3275" s="10"/>
      <c r="AX3275" s="17"/>
      <c r="AY3275" s="18" t="s">
        <v>257</v>
      </c>
      <c r="AZ3275" s="10"/>
      <c r="BA3275" s="20" t="b">
        <v>0</v>
      </c>
      <c r="BB3275" s="10"/>
      <c r="BC3275" s="17" t="s">
        <v>257</v>
      </c>
      <c r="BD3275" s="17" t="s">
        <v>257</v>
      </c>
      <c r="BE3275" s="17" t="s">
        <v>257</v>
      </c>
      <c r="BF3275" s="17" t="s">
        <v>257</v>
      </c>
      <c r="BG3275" s="11">
        <f ca="1">IFERROR(__xludf.DUMMYFUNCTION("""COMPUTED_VALUE"""),46115.6458333333)</f>
        <v>46115.645833333299</v>
      </c>
      <c r="BH3275" s="17"/>
      <c r="BI3275" s="17"/>
      <c r="BJ3275" s="15"/>
      <c r="BK3275" s="15"/>
      <c r="BL3275" s="13" t="b">
        <v>0</v>
      </c>
      <c r="BM3275" s="10"/>
      <c r="BN3275" s="10" t="s">
        <v>223</v>
      </c>
      <c r="BO3275" s="11">
        <v>46010.149050925924</v>
      </c>
      <c r="BP3275" s="11">
        <v>46010.149050925924</v>
      </c>
      <c r="BQ3275" s="15"/>
      <c r="BR3275" s="15"/>
      <c r="BS3275" s="10"/>
      <c r="BT3275" s="10"/>
      <c r="BU3275" s="10"/>
      <c r="BV3275" s="10"/>
      <c r="BW3275" s="10"/>
      <c r="BX3275" s="10"/>
      <c r="BY3275" s="23"/>
      <c r="BZ3275" s="23"/>
      <c r="CA3275" s="10"/>
      <c r="CB3275" s="23"/>
      <c r="CC3275" s="23"/>
      <c r="CD3275" s="23"/>
      <c r="CE3275" s="23"/>
      <c r="CF3275" s="23"/>
      <c r="CG3275" s="23"/>
      <c r="CH3275" s="23"/>
      <c r="CI3275" s="23"/>
    </row>
    <row r="3276" spans="1:87" x14ac:dyDescent="0.3">
      <c r="A3276" s="9" t="s">
        <v>23653</v>
      </c>
      <c r="B3276" s="10" t="s">
        <v>23654</v>
      </c>
      <c r="C3276" s="11">
        <v>46115.791666666664</v>
      </c>
      <c r="D3276" s="12">
        <v>8.3333333333333329E-2</v>
      </c>
      <c r="E3276" s="11">
        <v>46115.875</v>
      </c>
      <c r="F3276" s="22" t="s">
        <v>3511</v>
      </c>
      <c r="G3276" s="13" t="b">
        <v>0</v>
      </c>
      <c r="H3276" s="22" t="s">
        <v>123</v>
      </c>
      <c r="I3276" s="10" t="s">
        <v>3548</v>
      </c>
      <c r="J3276" s="13" t="b">
        <v>0</v>
      </c>
      <c r="K3276" s="13" t="b">
        <v>1</v>
      </c>
      <c r="L3276" s="10" t="s">
        <v>124</v>
      </c>
      <c r="M3276" s="10" t="s">
        <v>91</v>
      </c>
      <c r="N3276" s="10" t="s">
        <v>3513</v>
      </c>
      <c r="O3276" s="10"/>
      <c r="P3276" s="10"/>
      <c r="Q3276" s="10"/>
      <c r="R3276" s="10"/>
      <c r="S3276" s="10"/>
      <c r="T3276" s="10"/>
      <c r="U3276" s="10" t="s">
        <v>3622</v>
      </c>
      <c r="V3276" s="10" t="s">
        <v>3552</v>
      </c>
      <c r="W3276" s="10" t="s">
        <v>3519</v>
      </c>
      <c r="X3276" s="10" t="s">
        <v>130</v>
      </c>
      <c r="Y3276" s="10" t="s">
        <v>130</v>
      </c>
      <c r="Z3276" s="10" t="s">
        <v>99</v>
      </c>
      <c r="AA3276" s="10" t="s">
        <v>131</v>
      </c>
      <c r="AB3276" s="10" t="s">
        <v>3520</v>
      </c>
      <c r="AC3276" s="10" t="s">
        <v>3521</v>
      </c>
      <c r="AD3276" s="10" t="s">
        <v>23655</v>
      </c>
      <c r="AE3276" s="10" t="s">
        <v>23656</v>
      </c>
      <c r="AF3276" s="15"/>
      <c r="AG3276" s="10"/>
      <c r="AH3276" s="10"/>
      <c r="AI3276" s="10"/>
      <c r="AJ3276" s="10"/>
      <c r="AK3276" s="10"/>
      <c r="AL3276" s="10" t="s">
        <v>2679</v>
      </c>
      <c r="AM3276" s="10"/>
      <c r="AN3276" s="10"/>
      <c r="AO3276" s="13" t="b">
        <v>0</v>
      </c>
      <c r="AP3276" s="22" t="s">
        <v>104</v>
      </c>
      <c r="AQ3276" s="10"/>
      <c r="AR3276" s="17"/>
      <c r="AS3276" s="17"/>
      <c r="AT3276" s="17"/>
      <c r="AU3276" s="17"/>
      <c r="AV3276" s="17"/>
      <c r="AW3276" s="10"/>
      <c r="AX3276" s="17"/>
      <c r="AY3276" s="18" t="s">
        <v>257</v>
      </c>
      <c r="AZ3276" s="10"/>
      <c r="BA3276" s="20" t="b">
        <v>0</v>
      </c>
      <c r="BB3276" s="10"/>
      <c r="BC3276" s="17" t="s">
        <v>257</v>
      </c>
      <c r="BD3276" s="17" t="s">
        <v>257</v>
      </c>
      <c r="BE3276" s="17" t="s">
        <v>257</v>
      </c>
      <c r="BF3276" s="17" t="s">
        <v>257</v>
      </c>
      <c r="BG3276" s="11">
        <f ca="1">IFERROR(__xludf.DUMMYFUNCTION("""COMPUTED_VALUE"""),46115.7916666666)</f>
        <v>46115.791666666599</v>
      </c>
      <c r="BH3276" s="17"/>
      <c r="BI3276" s="17"/>
      <c r="BJ3276" s="15"/>
      <c r="BK3276" s="15"/>
      <c r="BL3276" s="13" t="b">
        <v>0</v>
      </c>
      <c r="BM3276" s="10"/>
      <c r="BN3276" s="10" t="s">
        <v>223</v>
      </c>
      <c r="BO3276" s="11">
        <v>46010.149050925924</v>
      </c>
      <c r="BP3276" s="11">
        <v>46010.149050925924</v>
      </c>
      <c r="BQ3276" s="15"/>
      <c r="BR3276" s="15"/>
      <c r="BS3276" s="10"/>
      <c r="BT3276" s="10"/>
      <c r="BU3276" s="10"/>
      <c r="BV3276" s="10"/>
      <c r="BW3276" s="10"/>
      <c r="BX3276" s="10"/>
      <c r="BY3276" s="23"/>
      <c r="BZ3276" s="23"/>
      <c r="CA3276" s="10"/>
      <c r="CB3276" s="23"/>
      <c r="CC3276" s="23"/>
      <c r="CD3276" s="23"/>
      <c r="CE3276" s="23"/>
      <c r="CF3276" s="23"/>
      <c r="CG3276" s="23"/>
      <c r="CH3276" s="23"/>
      <c r="CI3276" s="23"/>
    </row>
    <row r="3277" spans="1:87" x14ac:dyDescent="0.3">
      <c r="A3277" s="9" t="s">
        <v>23657</v>
      </c>
      <c r="B3277" s="10" t="s">
        <v>23658</v>
      </c>
      <c r="C3277" s="11">
        <v>46116.645833333336</v>
      </c>
      <c r="D3277" s="12">
        <v>8.3333333333333329E-2</v>
      </c>
      <c r="E3277" s="11">
        <v>46116.729166666664</v>
      </c>
      <c r="F3277" s="22" t="s">
        <v>3511</v>
      </c>
      <c r="G3277" s="13" t="b">
        <v>0</v>
      </c>
      <c r="H3277" s="22" t="s">
        <v>236</v>
      </c>
      <c r="I3277" s="10" t="s">
        <v>3548</v>
      </c>
      <c r="J3277" s="13" t="b">
        <v>0</v>
      </c>
      <c r="K3277" s="13" t="b">
        <v>1</v>
      </c>
      <c r="L3277" s="10" t="s">
        <v>124</v>
      </c>
      <c r="M3277" s="10" t="s">
        <v>91</v>
      </c>
      <c r="N3277" s="10" t="s">
        <v>3513</v>
      </c>
      <c r="O3277" s="10"/>
      <c r="P3277" s="10"/>
      <c r="Q3277" s="10"/>
      <c r="R3277" s="10"/>
      <c r="S3277" s="10"/>
      <c r="T3277" s="10"/>
      <c r="U3277" s="10" t="s">
        <v>3535</v>
      </c>
      <c r="V3277" s="10" t="s">
        <v>3636</v>
      </c>
      <c r="W3277" s="10" t="s">
        <v>3519</v>
      </c>
      <c r="X3277" s="10" t="s">
        <v>130</v>
      </c>
      <c r="Y3277" s="10" t="s">
        <v>130</v>
      </c>
      <c r="Z3277" s="10" t="s">
        <v>99</v>
      </c>
      <c r="AA3277" s="10" t="s">
        <v>131</v>
      </c>
      <c r="AB3277" s="10" t="s">
        <v>3520</v>
      </c>
      <c r="AC3277" s="10" t="s">
        <v>3521</v>
      </c>
      <c r="AD3277" s="10" t="s">
        <v>23659</v>
      </c>
      <c r="AE3277" s="10" t="s">
        <v>23660</v>
      </c>
      <c r="AF3277" s="15"/>
      <c r="AG3277" s="10"/>
      <c r="AH3277" s="10"/>
      <c r="AI3277" s="10"/>
      <c r="AJ3277" s="10"/>
      <c r="AK3277" s="10"/>
      <c r="AL3277" s="10" t="s">
        <v>2679</v>
      </c>
      <c r="AM3277" s="10"/>
      <c r="AN3277" s="10"/>
      <c r="AO3277" s="13" t="b">
        <v>0</v>
      </c>
      <c r="AP3277" s="22" t="s">
        <v>104</v>
      </c>
      <c r="AQ3277" s="10"/>
      <c r="AR3277" s="17"/>
      <c r="AS3277" s="17"/>
      <c r="AT3277" s="17"/>
      <c r="AU3277" s="17"/>
      <c r="AV3277" s="17"/>
      <c r="AW3277" s="10"/>
      <c r="AX3277" s="17"/>
      <c r="AY3277" s="18" t="s">
        <v>257</v>
      </c>
      <c r="AZ3277" s="10"/>
      <c r="BA3277" s="20" t="b">
        <v>0</v>
      </c>
      <c r="BB3277" s="10"/>
      <c r="BC3277" s="17" t="s">
        <v>257</v>
      </c>
      <c r="BD3277" s="17" t="s">
        <v>257</v>
      </c>
      <c r="BE3277" s="17" t="s">
        <v>257</v>
      </c>
      <c r="BF3277" s="17" t="s">
        <v>257</v>
      </c>
      <c r="BG3277" s="11">
        <f ca="1">IFERROR(__xludf.DUMMYFUNCTION("""COMPUTED_VALUE"""),46116.6458333333)</f>
        <v>46116.645833333299</v>
      </c>
      <c r="BH3277" s="17"/>
      <c r="BI3277" s="17"/>
      <c r="BJ3277" s="15"/>
      <c r="BK3277" s="15"/>
      <c r="BL3277" s="13" t="b">
        <v>0</v>
      </c>
      <c r="BM3277" s="10"/>
      <c r="BN3277" s="10" t="s">
        <v>223</v>
      </c>
      <c r="BO3277" s="11">
        <v>46010.149050925924</v>
      </c>
      <c r="BP3277" s="11">
        <v>46010.149050925924</v>
      </c>
      <c r="BQ3277" s="15"/>
      <c r="BR3277" s="15"/>
      <c r="BS3277" s="10"/>
      <c r="BT3277" s="10"/>
      <c r="BU3277" s="10"/>
      <c r="BV3277" s="10"/>
      <c r="BW3277" s="10"/>
      <c r="BX3277" s="10"/>
      <c r="BY3277" s="23"/>
      <c r="BZ3277" s="23"/>
      <c r="CA3277" s="10"/>
      <c r="CB3277" s="23"/>
      <c r="CC3277" s="23"/>
      <c r="CD3277" s="23"/>
      <c r="CE3277" s="23"/>
      <c r="CF3277" s="23"/>
      <c r="CG3277" s="23"/>
      <c r="CH3277" s="23"/>
      <c r="CI3277" s="23"/>
    </row>
    <row r="3278" spans="1:87" x14ac:dyDescent="0.3">
      <c r="A3278" s="9" t="s">
        <v>23661</v>
      </c>
      <c r="B3278" s="10" t="s">
        <v>23662</v>
      </c>
      <c r="C3278" s="11">
        <v>46116.791666666664</v>
      </c>
      <c r="D3278" s="12">
        <v>8.3333333333333329E-2</v>
      </c>
      <c r="E3278" s="11">
        <v>46116.875</v>
      </c>
      <c r="F3278" s="22" t="s">
        <v>3511</v>
      </c>
      <c r="G3278" s="13" t="b">
        <v>0</v>
      </c>
      <c r="H3278" s="22" t="s">
        <v>123</v>
      </c>
      <c r="I3278" s="10" t="s">
        <v>3548</v>
      </c>
      <c r="J3278" s="13" t="b">
        <v>0</v>
      </c>
      <c r="K3278" s="13" t="b">
        <v>1</v>
      </c>
      <c r="L3278" s="10" t="s">
        <v>124</v>
      </c>
      <c r="M3278" s="10" t="s">
        <v>91</v>
      </c>
      <c r="N3278" s="10" t="s">
        <v>3513</v>
      </c>
      <c r="O3278" s="10"/>
      <c r="P3278" s="10"/>
      <c r="Q3278" s="10"/>
      <c r="R3278" s="10"/>
      <c r="S3278" s="10"/>
      <c r="T3278" s="10"/>
      <c r="U3278" s="10" t="s">
        <v>3551</v>
      </c>
      <c r="V3278" s="10" t="s">
        <v>3648</v>
      </c>
      <c r="W3278" s="10" t="s">
        <v>3519</v>
      </c>
      <c r="X3278" s="10" t="s">
        <v>130</v>
      </c>
      <c r="Y3278" s="10" t="s">
        <v>130</v>
      </c>
      <c r="Z3278" s="10" t="s">
        <v>99</v>
      </c>
      <c r="AA3278" s="10" t="s">
        <v>131</v>
      </c>
      <c r="AB3278" s="10" t="s">
        <v>3520</v>
      </c>
      <c r="AC3278" s="10" t="s">
        <v>3521</v>
      </c>
      <c r="AD3278" s="10" t="s">
        <v>23663</v>
      </c>
      <c r="AE3278" s="10" t="s">
        <v>23664</v>
      </c>
      <c r="AF3278" s="15"/>
      <c r="AG3278" s="10"/>
      <c r="AH3278" s="10"/>
      <c r="AI3278" s="10"/>
      <c r="AJ3278" s="10"/>
      <c r="AK3278" s="10"/>
      <c r="AL3278" s="10" t="s">
        <v>2679</v>
      </c>
      <c r="AM3278" s="10"/>
      <c r="AN3278" s="10"/>
      <c r="AO3278" s="13" t="b">
        <v>1</v>
      </c>
      <c r="AP3278" s="22" t="s">
        <v>104</v>
      </c>
      <c r="AQ3278" s="10"/>
      <c r="AR3278" s="17"/>
      <c r="AS3278" s="17"/>
      <c r="AT3278" s="17"/>
      <c r="AU3278" s="17"/>
      <c r="AV3278" s="17"/>
      <c r="AW3278" s="10"/>
      <c r="AX3278" s="17"/>
      <c r="AY3278" s="18" t="s">
        <v>257</v>
      </c>
      <c r="AZ3278" s="10"/>
      <c r="BA3278" s="20" t="b">
        <v>0</v>
      </c>
      <c r="BB3278" s="10"/>
      <c r="BC3278" s="17" t="s">
        <v>257</v>
      </c>
      <c r="BD3278" s="17" t="s">
        <v>257</v>
      </c>
      <c r="BE3278" s="17" t="s">
        <v>257</v>
      </c>
      <c r="BF3278" s="17" t="s">
        <v>257</v>
      </c>
      <c r="BG3278" s="11">
        <f ca="1">IFERROR(__xludf.DUMMYFUNCTION("""COMPUTED_VALUE"""),46116.7916666666)</f>
        <v>46116.791666666599</v>
      </c>
      <c r="BH3278" s="17"/>
      <c r="BI3278" s="17"/>
      <c r="BJ3278" s="15"/>
      <c r="BK3278" s="15"/>
      <c r="BL3278" s="13" t="b">
        <v>0</v>
      </c>
      <c r="BM3278" s="10"/>
      <c r="BN3278" s="10" t="s">
        <v>223</v>
      </c>
      <c r="BO3278" s="11">
        <v>46010.149050925924</v>
      </c>
      <c r="BP3278" s="11">
        <v>46010.149050925924</v>
      </c>
      <c r="BQ3278" s="15"/>
      <c r="BR3278" s="15"/>
      <c r="BS3278" s="10"/>
      <c r="BT3278" s="10"/>
      <c r="BU3278" s="10"/>
      <c r="BV3278" s="10"/>
      <c r="BW3278" s="10"/>
      <c r="BX3278" s="10"/>
      <c r="BY3278" s="23"/>
      <c r="BZ3278" s="23"/>
      <c r="CA3278" s="10"/>
      <c r="CB3278" s="23"/>
      <c r="CC3278" s="23"/>
      <c r="CD3278" s="23"/>
      <c r="CE3278" s="23"/>
      <c r="CF3278" s="23"/>
      <c r="CG3278" s="23"/>
      <c r="CH3278" s="23"/>
      <c r="CI3278" s="23"/>
    </row>
    <row r="3279" spans="1:87" x14ac:dyDescent="0.3">
      <c r="A3279" s="9" t="s">
        <v>23665</v>
      </c>
      <c r="B3279" s="10" t="s">
        <v>23666</v>
      </c>
      <c r="C3279" s="11">
        <v>46117.645833333336</v>
      </c>
      <c r="D3279" s="12">
        <v>8.3333333333333329E-2</v>
      </c>
      <c r="E3279" s="11">
        <v>46117.729166666664</v>
      </c>
      <c r="F3279" s="22" t="s">
        <v>3511</v>
      </c>
      <c r="G3279" s="13" t="b">
        <v>0</v>
      </c>
      <c r="H3279" s="22" t="s">
        <v>123</v>
      </c>
      <c r="I3279" s="10" t="s">
        <v>3548</v>
      </c>
      <c r="J3279" s="13" t="b">
        <v>0</v>
      </c>
      <c r="K3279" s="13" t="b">
        <v>1</v>
      </c>
      <c r="L3279" s="10" t="s">
        <v>124</v>
      </c>
      <c r="M3279" s="10" t="s">
        <v>91</v>
      </c>
      <c r="N3279" s="10" t="s">
        <v>3513</v>
      </c>
      <c r="O3279" s="10"/>
      <c r="P3279" s="10"/>
      <c r="Q3279" s="10"/>
      <c r="R3279" s="10"/>
      <c r="S3279" s="10"/>
      <c r="T3279" s="10"/>
      <c r="U3279" s="10" t="s">
        <v>3518</v>
      </c>
      <c r="V3279" s="10" t="s">
        <v>3647</v>
      </c>
      <c r="W3279" s="10" t="s">
        <v>3519</v>
      </c>
      <c r="X3279" s="10" t="s">
        <v>130</v>
      </c>
      <c r="Y3279" s="10" t="s">
        <v>130</v>
      </c>
      <c r="Z3279" s="10" t="s">
        <v>99</v>
      </c>
      <c r="AA3279" s="10" t="s">
        <v>131</v>
      </c>
      <c r="AB3279" s="10" t="s">
        <v>3520</v>
      </c>
      <c r="AC3279" s="10" t="s">
        <v>3521</v>
      </c>
      <c r="AD3279" s="10" t="s">
        <v>23667</v>
      </c>
      <c r="AE3279" s="10" t="s">
        <v>23668</v>
      </c>
      <c r="AF3279" s="15"/>
      <c r="AG3279" s="10"/>
      <c r="AH3279" s="10"/>
      <c r="AI3279" s="10"/>
      <c r="AJ3279" s="10"/>
      <c r="AK3279" s="10"/>
      <c r="AL3279" s="10" t="s">
        <v>2679</v>
      </c>
      <c r="AM3279" s="10"/>
      <c r="AN3279" s="10"/>
      <c r="AO3279" s="13" t="b">
        <v>1</v>
      </c>
      <c r="AP3279" s="22" t="s">
        <v>104</v>
      </c>
      <c r="AQ3279" s="10"/>
      <c r="AR3279" s="17"/>
      <c r="AS3279" s="17"/>
      <c r="AT3279" s="17"/>
      <c r="AU3279" s="17"/>
      <c r="AV3279" s="17"/>
      <c r="AW3279" s="10"/>
      <c r="AX3279" s="17"/>
      <c r="AY3279" s="18" t="s">
        <v>257</v>
      </c>
      <c r="AZ3279" s="10"/>
      <c r="BA3279" s="20" t="b">
        <v>0</v>
      </c>
      <c r="BB3279" s="10"/>
      <c r="BC3279" s="17" t="s">
        <v>257</v>
      </c>
      <c r="BD3279" s="17" t="s">
        <v>257</v>
      </c>
      <c r="BE3279" s="17" t="s">
        <v>257</v>
      </c>
      <c r="BF3279" s="17" t="s">
        <v>257</v>
      </c>
      <c r="BG3279" s="11">
        <f ca="1">IFERROR(__xludf.DUMMYFUNCTION("""COMPUTED_VALUE"""),46117.6458333333)</f>
        <v>46117.645833333299</v>
      </c>
      <c r="BH3279" s="17"/>
      <c r="BI3279" s="17"/>
      <c r="BJ3279" s="15"/>
      <c r="BK3279" s="15"/>
      <c r="BL3279" s="13" t="b">
        <v>0</v>
      </c>
      <c r="BM3279" s="10"/>
      <c r="BN3279" s="10" t="s">
        <v>223</v>
      </c>
      <c r="BO3279" s="11">
        <v>46010.149050925924</v>
      </c>
      <c r="BP3279" s="11">
        <v>46010.149050925924</v>
      </c>
      <c r="BQ3279" s="15"/>
      <c r="BR3279" s="15"/>
      <c r="BS3279" s="10"/>
      <c r="BT3279" s="10"/>
      <c r="BU3279" s="10"/>
      <c r="BV3279" s="10"/>
      <c r="BW3279" s="10"/>
      <c r="BX3279" s="10"/>
      <c r="BY3279" s="23"/>
      <c r="BZ3279" s="23"/>
      <c r="CA3279" s="10"/>
      <c r="CB3279" s="23"/>
      <c r="CC3279" s="23"/>
      <c r="CD3279" s="23"/>
      <c r="CE3279" s="23"/>
      <c r="CF3279" s="23"/>
      <c r="CG3279" s="23"/>
      <c r="CH3279" s="23"/>
      <c r="CI3279" s="23"/>
    </row>
    <row r="3280" spans="1:87" x14ac:dyDescent="0.3">
      <c r="A3280" s="9" t="s">
        <v>23669</v>
      </c>
      <c r="B3280" s="10" t="s">
        <v>23670</v>
      </c>
      <c r="C3280" s="11">
        <v>46117.791666666664</v>
      </c>
      <c r="D3280" s="12">
        <v>8.3333333333333329E-2</v>
      </c>
      <c r="E3280" s="11">
        <v>46117.875</v>
      </c>
      <c r="F3280" s="22" t="s">
        <v>3511</v>
      </c>
      <c r="G3280" s="13" t="b">
        <v>0</v>
      </c>
      <c r="H3280" s="22" t="s">
        <v>236</v>
      </c>
      <c r="I3280" s="10" t="s">
        <v>212</v>
      </c>
      <c r="J3280" s="13" t="b">
        <v>1</v>
      </c>
      <c r="K3280" s="13" t="b">
        <v>0</v>
      </c>
      <c r="L3280" s="10" t="s">
        <v>124</v>
      </c>
      <c r="M3280" s="10" t="s">
        <v>91</v>
      </c>
      <c r="N3280" s="10" t="s">
        <v>3513</v>
      </c>
      <c r="O3280" s="10"/>
      <c r="P3280" s="10"/>
      <c r="Q3280" s="10"/>
      <c r="R3280" s="10"/>
      <c r="S3280" s="10"/>
      <c r="T3280" s="10"/>
      <c r="U3280" s="10" t="s">
        <v>3635</v>
      </c>
      <c r="V3280" s="10" t="s">
        <v>3517</v>
      </c>
      <c r="W3280" s="10" t="s">
        <v>3519</v>
      </c>
      <c r="X3280" s="10" t="s">
        <v>130</v>
      </c>
      <c r="Y3280" s="10" t="s">
        <v>130</v>
      </c>
      <c r="Z3280" s="10" t="s">
        <v>99</v>
      </c>
      <c r="AA3280" s="10" t="s">
        <v>131</v>
      </c>
      <c r="AB3280" s="10" t="s">
        <v>3520</v>
      </c>
      <c r="AC3280" s="10" t="s">
        <v>3521</v>
      </c>
      <c r="AD3280" s="10" t="s">
        <v>23671</v>
      </c>
      <c r="AE3280" s="10" t="s">
        <v>23672</v>
      </c>
      <c r="AF3280" s="15"/>
      <c r="AG3280" s="10"/>
      <c r="AH3280" s="10"/>
      <c r="AI3280" s="10"/>
      <c r="AJ3280" s="10"/>
      <c r="AK3280" s="10"/>
      <c r="AL3280" s="10" t="s">
        <v>2679</v>
      </c>
      <c r="AM3280" s="10"/>
      <c r="AN3280" s="10"/>
      <c r="AO3280" s="13" t="b">
        <v>0</v>
      </c>
      <c r="AP3280" s="22" t="s">
        <v>104</v>
      </c>
      <c r="AQ3280" s="10"/>
      <c r="AR3280" s="17"/>
      <c r="AS3280" s="17"/>
      <c r="AT3280" s="17"/>
      <c r="AU3280" s="17"/>
      <c r="AV3280" s="17"/>
      <c r="AW3280" s="10"/>
      <c r="AX3280" s="17"/>
      <c r="AY3280" s="18" t="s">
        <v>257</v>
      </c>
      <c r="AZ3280" s="10"/>
      <c r="BA3280" s="20" t="b">
        <v>0</v>
      </c>
      <c r="BB3280" s="10"/>
      <c r="BC3280" s="17" t="s">
        <v>257</v>
      </c>
      <c r="BD3280" s="17" t="s">
        <v>257</v>
      </c>
      <c r="BE3280" s="17" t="s">
        <v>257</v>
      </c>
      <c r="BF3280" s="17" t="s">
        <v>257</v>
      </c>
      <c r="BG3280" s="11">
        <f ca="1">IFERROR(__xludf.DUMMYFUNCTION("""COMPUTED_VALUE"""),46117.7916666666)</f>
        <v>46117.791666666599</v>
      </c>
      <c r="BH3280" s="17"/>
      <c r="BI3280" s="17"/>
      <c r="BJ3280" s="15"/>
      <c r="BK3280" s="15"/>
      <c r="BL3280" s="13" t="b">
        <v>0</v>
      </c>
      <c r="BM3280" s="10"/>
      <c r="BN3280" s="10" t="s">
        <v>223</v>
      </c>
      <c r="BO3280" s="11">
        <v>46010.149050925924</v>
      </c>
      <c r="BP3280" s="11">
        <v>46010.149050925924</v>
      </c>
      <c r="BQ3280" s="15"/>
      <c r="BR3280" s="15"/>
      <c r="BS3280" s="10"/>
      <c r="BT3280" s="10"/>
      <c r="BU3280" s="10"/>
      <c r="BV3280" s="10"/>
      <c r="BW3280" s="10"/>
      <c r="BX3280" s="10"/>
      <c r="BY3280" s="23"/>
      <c r="BZ3280" s="23"/>
      <c r="CA3280" s="10"/>
      <c r="CB3280" s="23"/>
      <c r="CC3280" s="23"/>
      <c r="CD3280" s="23"/>
      <c r="CE3280" s="23"/>
      <c r="CF3280" s="23"/>
      <c r="CG3280" s="23"/>
      <c r="CH3280" s="23"/>
      <c r="CI3280" s="23"/>
    </row>
    <row r="3281" spans="1:87" x14ac:dyDescent="0.3">
      <c r="A3281" s="9" t="s">
        <v>23673</v>
      </c>
      <c r="B3281" s="10" t="s">
        <v>23674</v>
      </c>
      <c r="C3281" s="11">
        <v>46117.791666666664</v>
      </c>
      <c r="D3281" s="12">
        <v>8.3333333333333329E-2</v>
      </c>
      <c r="E3281" s="11">
        <v>46117.875</v>
      </c>
      <c r="F3281" s="22" t="s">
        <v>3511</v>
      </c>
      <c r="G3281" s="13" t="b">
        <v>0</v>
      </c>
      <c r="H3281" s="22" t="s">
        <v>3512</v>
      </c>
      <c r="I3281" s="10" t="s">
        <v>3548</v>
      </c>
      <c r="J3281" s="13" t="b">
        <v>0</v>
      </c>
      <c r="K3281" s="13" t="b">
        <v>1</v>
      </c>
      <c r="L3281" s="10" t="s">
        <v>124</v>
      </c>
      <c r="M3281" s="10" t="s">
        <v>91</v>
      </c>
      <c r="N3281" s="10" t="s">
        <v>3513</v>
      </c>
      <c r="O3281" s="10"/>
      <c r="P3281" s="10"/>
      <c r="Q3281" s="10"/>
      <c r="R3281" s="10"/>
      <c r="S3281" s="10"/>
      <c r="T3281" s="10"/>
      <c r="U3281" s="10" t="s">
        <v>3610</v>
      </c>
      <c r="V3281" s="10" t="s">
        <v>3609</v>
      </c>
      <c r="W3281" s="10" t="s">
        <v>3519</v>
      </c>
      <c r="X3281" s="10" t="s">
        <v>130</v>
      </c>
      <c r="Y3281" s="10" t="s">
        <v>130</v>
      </c>
      <c r="Z3281" s="10" t="s">
        <v>99</v>
      </c>
      <c r="AA3281" s="10" t="s">
        <v>131</v>
      </c>
      <c r="AB3281" s="10" t="s">
        <v>3520</v>
      </c>
      <c r="AC3281" s="10" t="s">
        <v>3521</v>
      </c>
      <c r="AD3281" s="10" t="s">
        <v>23675</v>
      </c>
      <c r="AE3281" s="10" t="s">
        <v>23676</v>
      </c>
      <c r="AF3281" s="15"/>
      <c r="AG3281" s="10"/>
      <c r="AH3281" s="10"/>
      <c r="AI3281" s="10"/>
      <c r="AJ3281" s="10"/>
      <c r="AK3281" s="10"/>
      <c r="AL3281" s="10" t="s">
        <v>2679</v>
      </c>
      <c r="AM3281" s="10"/>
      <c r="AN3281" s="10"/>
      <c r="AO3281" s="13" t="b">
        <v>1</v>
      </c>
      <c r="AP3281" s="22" t="s">
        <v>104</v>
      </c>
      <c r="AQ3281" s="10"/>
      <c r="AR3281" s="17"/>
      <c r="AS3281" s="17"/>
      <c r="AT3281" s="17"/>
      <c r="AU3281" s="17"/>
      <c r="AV3281" s="17"/>
      <c r="AW3281" s="10"/>
      <c r="AX3281" s="17"/>
      <c r="AY3281" s="18" t="s">
        <v>257</v>
      </c>
      <c r="AZ3281" s="10"/>
      <c r="BA3281" s="20" t="b">
        <v>0</v>
      </c>
      <c r="BB3281" s="10"/>
      <c r="BC3281" s="17" t="s">
        <v>257</v>
      </c>
      <c r="BD3281" s="17" t="s">
        <v>257</v>
      </c>
      <c r="BE3281" s="17" t="s">
        <v>257</v>
      </c>
      <c r="BF3281" s="17" t="s">
        <v>257</v>
      </c>
      <c r="BG3281" s="11">
        <f ca="1">IFERROR(__xludf.DUMMYFUNCTION("""COMPUTED_VALUE"""),46117.7916666666)</f>
        <v>46117.791666666599</v>
      </c>
      <c r="BH3281" s="17"/>
      <c r="BI3281" s="17"/>
      <c r="BJ3281" s="15"/>
      <c r="BK3281" s="15"/>
      <c r="BL3281" s="13" t="b">
        <v>0</v>
      </c>
      <c r="BM3281" s="10"/>
      <c r="BN3281" s="10" t="s">
        <v>223</v>
      </c>
      <c r="BO3281" s="11">
        <v>46010.149050925924</v>
      </c>
      <c r="BP3281" s="11">
        <v>46010.149050925924</v>
      </c>
      <c r="BQ3281" s="15"/>
      <c r="BR3281" s="15"/>
      <c r="BS3281" s="10"/>
      <c r="BT3281" s="10"/>
      <c r="BU3281" s="10"/>
      <c r="BV3281" s="10"/>
      <c r="BW3281" s="10"/>
      <c r="BX3281" s="10"/>
      <c r="BY3281" s="23"/>
      <c r="BZ3281" s="23"/>
      <c r="CA3281" s="10"/>
      <c r="CB3281" s="23"/>
      <c r="CC3281" s="23"/>
      <c r="CD3281" s="23"/>
      <c r="CE3281" s="23"/>
      <c r="CF3281" s="23"/>
      <c r="CG3281" s="23"/>
      <c r="CH3281" s="23"/>
      <c r="CI3281" s="23"/>
    </row>
    <row r="3282" spans="1:87" x14ac:dyDescent="0.3">
      <c r="A3282" s="9" t="s">
        <v>23677</v>
      </c>
      <c r="B3282" s="10" t="s">
        <v>23678</v>
      </c>
      <c r="C3282" s="11">
        <v>46118.645833333336</v>
      </c>
      <c r="D3282" s="12">
        <v>8.3333333333333329E-2</v>
      </c>
      <c r="E3282" s="11">
        <v>46118.729166666664</v>
      </c>
      <c r="F3282" s="22" t="s">
        <v>3511</v>
      </c>
      <c r="G3282" s="13" t="b">
        <v>0</v>
      </c>
      <c r="H3282" s="22" t="s">
        <v>236</v>
      </c>
      <c r="I3282" s="10" t="s">
        <v>212</v>
      </c>
      <c r="J3282" s="13" t="b">
        <v>1</v>
      </c>
      <c r="K3282" s="13" t="b">
        <v>0</v>
      </c>
      <c r="L3282" s="10" t="s">
        <v>124</v>
      </c>
      <c r="M3282" s="10" t="s">
        <v>91</v>
      </c>
      <c r="N3282" s="10" t="s">
        <v>3513</v>
      </c>
      <c r="O3282" s="10"/>
      <c r="P3282" s="10"/>
      <c r="Q3282" s="10"/>
      <c r="R3282" s="10"/>
      <c r="S3282" s="10"/>
      <c r="T3282" s="10"/>
      <c r="U3282" s="10" t="s">
        <v>3662</v>
      </c>
      <c r="V3282" s="10" t="s">
        <v>3536</v>
      </c>
      <c r="W3282" s="10" t="s">
        <v>3519</v>
      </c>
      <c r="X3282" s="10" t="s">
        <v>130</v>
      </c>
      <c r="Y3282" s="10" t="s">
        <v>130</v>
      </c>
      <c r="Z3282" s="10" t="s">
        <v>99</v>
      </c>
      <c r="AA3282" s="10" t="s">
        <v>131</v>
      </c>
      <c r="AB3282" s="10" t="s">
        <v>3520</v>
      </c>
      <c r="AC3282" s="10" t="s">
        <v>3521</v>
      </c>
      <c r="AD3282" s="10" t="s">
        <v>23679</v>
      </c>
      <c r="AE3282" s="10" t="s">
        <v>23680</v>
      </c>
      <c r="AF3282" s="15"/>
      <c r="AG3282" s="10"/>
      <c r="AH3282" s="10"/>
      <c r="AI3282" s="10"/>
      <c r="AJ3282" s="10"/>
      <c r="AK3282" s="10"/>
      <c r="AL3282" s="10" t="s">
        <v>2679</v>
      </c>
      <c r="AM3282" s="10"/>
      <c r="AN3282" s="10"/>
      <c r="AO3282" s="13" t="b">
        <v>0</v>
      </c>
      <c r="AP3282" s="22" t="s">
        <v>104</v>
      </c>
      <c r="AQ3282" s="10"/>
      <c r="AR3282" s="17"/>
      <c r="AS3282" s="17"/>
      <c r="AT3282" s="17"/>
      <c r="AU3282" s="17"/>
      <c r="AV3282" s="17"/>
      <c r="AW3282" s="10"/>
      <c r="AX3282" s="17"/>
      <c r="AY3282" s="18" t="s">
        <v>257</v>
      </c>
      <c r="AZ3282" s="10"/>
      <c r="BA3282" s="20" t="b">
        <v>0</v>
      </c>
      <c r="BB3282" s="10"/>
      <c r="BC3282" s="17" t="s">
        <v>257</v>
      </c>
      <c r="BD3282" s="17" t="s">
        <v>257</v>
      </c>
      <c r="BE3282" s="17" t="s">
        <v>257</v>
      </c>
      <c r="BF3282" s="17" t="s">
        <v>257</v>
      </c>
      <c r="BG3282" s="11">
        <f ca="1">IFERROR(__xludf.DUMMYFUNCTION("""COMPUTED_VALUE"""),46118.6458333333)</f>
        <v>46118.645833333299</v>
      </c>
      <c r="BH3282" s="17"/>
      <c r="BI3282" s="17"/>
      <c r="BJ3282" s="15"/>
      <c r="BK3282" s="15"/>
      <c r="BL3282" s="13" t="b">
        <v>0</v>
      </c>
      <c r="BM3282" s="10"/>
      <c r="BN3282" s="10" t="s">
        <v>223</v>
      </c>
      <c r="BO3282" s="11">
        <v>46010.149050925924</v>
      </c>
      <c r="BP3282" s="11">
        <v>46010.149050925924</v>
      </c>
      <c r="BQ3282" s="15"/>
      <c r="BR3282" s="15"/>
      <c r="BS3282" s="10"/>
      <c r="BT3282" s="10"/>
      <c r="BU3282" s="10"/>
      <c r="BV3282" s="10"/>
      <c r="BW3282" s="10"/>
      <c r="BX3282" s="10"/>
      <c r="BY3282" s="23"/>
      <c r="BZ3282" s="23"/>
      <c r="CA3282" s="10"/>
      <c r="CB3282" s="23"/>
      <c r="CC3282" s="23"/>
      <c r="CD3282" s="23"/>
      <c r="CE3282" s="23"/>
      <c r="CF3282" s="23"/>
      <c r="CG3282" s="23"/>
      <c r="CH3282" s="23"/>
      <c r="CI3282" s="23"/>
    </row>
    <row r="3283" spans="1:87" x14ac:dyDescent="0.3">
      <c r="A3283" s="9" t="s">
        <v>23681</v>
      </c>
      <c r="B3283" s="10" t="s">
        <v>23682</v>
      </c>
      <c r="C3283" s="11">
        <v>46118.791666666664</v>
      </c>
      <c r="D3283" s="12">
        <v>8.3333333333333329E-2</v>
      </c>
      <c r="E3283" s="11">
        <v>46118.875</v>
      </c>
      <c r="F3283" s="22" t="s">
        <v>3511</v>
      </c>
      <c r="G3283" s="13" t="b">
        <v>0</v>
      </c>
      <c r="H3283" s="22" t="s">
        <v>123</v>
      </c>
      <c r="I3283" s="10" t="s">
        <v>3548</v>
      </c>
      <c r="J3283" s="13" t="b">
        <v>0</v>
      </c>
      <c r="K3283" s="13" t="b">
        <v>1</v>
      </c>
      <c r="L3283" s="10" t="s">
        <v>124</v>
      </c>
      <c r="M3283" s="10" t="s">
        <v>91</v>
      </c>
      <c r="N3283" s="10" t="s">
        <v>3513</v>
      </c>
      <c r="O3283" s="10"/>
      <c r="P3283" s="10"/>
      <c r="Q3283" s="10"/>
      <c r="R3283" s="10"/>
      <c r="S3283" s="10"/>
      <c r="T3283" s="10"/>
      <c r="U3283" s="10" t="s">
        <v>3661</v>
      </c>
      <c r="V3283" s="10" t="s">
        <v>3677</v>
      </c>
      <c r="W3283" s="10" t="s">
        <v>3519</v>
      </c>
      <c r="X3283" s="10" t="s">
        <v>130</v>
      </c>
      <c r="Y3283" s="10" t="s">
        <v>130</v>
      </c>
      <c r="Z3283" s="10" t="s">
        <v>99</v>
      </c>
      <c r="AA3283" s="10" t="s">
        <v>131</v>
      </c>
      <c r="AB3283" s="10" t="s">
        <v>3520</v>
      </c>
      <c r="AC3283" s="10" t="s">
        <v>3521</v>
      </c>
      <c r="AD3283" s="10" t="s">
        <v>23683</v>
      </c>
      <c r="AE3283" s="10" t="s">
        <v>23684</v>
      </c>
      <c r="AF3283" s="15"/>
      <c r="AG3283" s="10"/>
      <c r="AH3283" s="10"/>
      <c r="AI3283" s="10"/>
      <c r="AJ3283" s="10"/>
      <c r="AK3283" s="10"/>
      <c r="AL3283" s="10" t="s">
        <v>2679</v>
      </c>
      <c r="AM3283" s="10"/>
      <c r="AN3283" s="10"/>
      <c r="AO3283" s="13" t="b">
        <v>0</v>
      </c>
      <c r="AP3283" s="22" t="s">
        <v>104</v>
      </c>
      <c r="AQ3283" s="10"/>
      <c r="AR3283" s="17"/>
      <c r="AS3283" s="17"/>
      <c r="AT3283" s="17"/>
      <c r="AU3283" s="17"/>
      <c r="AV3283" s="17"/>
      <c r="AW3283" s="10"/>
      <c r="AX3283" s="17"/>
      <c r="AY3283" s="18" t="s">
        <v>257</v>
      </c>
      <c r="AZ3283" s="10"/>
      <c r="BA3283" s="20" t="b">
        <v>0</v>
      </c>
      <c r="BB3283" s="10"/>
      <c r="BC3283" s="17" t="s">
        <v>257</v>
      </c>
      <c r="BD3283" s="17" t="s">
        <v>257</v>
      </c>
      <c r="BE3283" s="17" t="s">
        <v>257</v>
      </c>
      <c r="BF3283" s="17" t="s">
        <v>257</v>
      </c>
      <c r="BG3283" s="11">
        <f ca="1">IFERROR(__xludf.DUMMYFUNCTION("""COMPUTED_VALUE"""),46118.7916666666)</f>
        <v>46118.791666666599</v>
      </c>
      <c r="BH3283" s="17"/>
      <c r="BI3283" s="17"/>
      <c r="BJ3283" s="15"/>
      <c r="BK3283" s="15"/>
      <c r="BL3283" s="13" t="b">
        <v>0</v>
      </c>
      <c r="BM3283" s="10"/>
      <c r="BN3283" s="10" t="s">
        <v>223</v>
      </c>
      <c r="BO3283" s="11">
        <v>46010.149050925924</v>
      </c>
      <c r="BP3283" s="11">
        <v>46010.149050925924</v>
      </c>
      <c r="BQ3283" s="15"/>
      <c r="BR3283" s="15"/>
      <c r="BS3283" s="10"/>
      <c r="BT3283" s="10"/>
      <c r="BU3283" s="10"/>
      <c r="BV3283" s="10"/>
      <c r="BW3283" s="10"/>
      <c r="BX3283" s="10"/>
      <c r="BY3283" s="23"/>
      <c r="BZ3283" s="23"/>
      <c r="CA3283" s="10"/>
      <c r="CB3283" s="23"/>
      <c r="CC3283" s="23"/>
      <c r="CD3283" s="23"/>
      <c r="CE3283" s="23"/>
      <c r="CF3283" s="23"/>
      <c r="CG3283" s="23"/>
      <c r="CH3283" s="23"/>
      <c r="CI3283" s="23"/>
    </row>
    <row r="3284" spans="1:87" x14ac:dyDescent="0.3">
      <c r="A3284" s="9" t="s">
        <v>23685</v>
      </c>
      <c r="B3284" s="10" t="s">
        <v>23686</v>
      </c>
      <c r="C3284" s="11">
        <v>46122.645833333336</v>
      </c>
      <c r="D3284" s="12">
        <v>8.3333333333333329E-2</v>
      </c>
      <c r="E3284" s="11">
        <v>46122.729166666664</v>
      </c>
      <c r="F3284" s="22" t="s">
        <v>3511</v>
      </c>
      <c r="G3284" s="13" t="b">
        <v>0</v>
      </c>
      <c r="H3284" s="22" t="s">
        <v>236</v>
      </c>
      <c r="I3284" s="10" t="s">
        <v>212</v>
      </c>
      <c r="J3284" s="13" t="b">
        <v>1</v>
      </c>
      <c r="K3284" s="13" t="b">
        <v>0</v>
      </c>
      <c r="L3284" s="10" t="s">
        <v>124</v>
      </c>
      <c r="M3284" s="10" t="s">
        <v>91</v>
      </c>
      <c r="N3284" s="10" t="s">
        <v>3513</v>
      </c>
      <c r="O3284" s="10"/>
      <c r="P3284" s="10"/>
      <c r="Q3284" s="10"/>
      <c r="R3284" s="10"/>
      <c r="S3284" s="10"/>
      <c r="T3284" s="10"/>
      <c r="U3284" s="10" t="s">
        <v>3552</v>
      </c>
      <c r="V3284" s="10" t="s">
        <v>3535</v>
      </c>
      <c r="W3284" s="10" t="s">
        <v>3519</v>
      </c>
      <c r="X3284" s="10" t="s">
        <v>130</v>
      </c>
      <c r="Y3284" s="10" t="s">
        <v>130</v>
      </c>
      <c r="Z3284" s="10" t="s">
        <v>99</v>
      </c>
      <c r="AA3284" s="10" t="s">
        <v>131</v>
      </c>
      <c r="AB3284" s="10" t="s">
        <v>3520</v>
      </c>
      <c r="AC3284" s="10" t="s">
        <v>3521</v>
      </c>
      <c r="AD3284" s="10" t="s">
        <v>23687</v>
      </c>
      <c r="AE3284" s="10" t="s">
        <v>23688</v>
      </c>
      <c r="AF3284" s="15"/>
      <c r="AG3284" s="10"/>
      <c r="AH3284" s="10"/>
      <c r="AI3284" s="10"/>
      <c r="AJ3284" s="10"/>
      <c r="AK3284" s="10"/>
      <c r="AL3284" s="10" t="s">
        <v>2720</v>
      </c>
      <c r="AM3284" s="10"/>
      <c r="AN3284" s="10"/>
      <c r="AO3284" s="13" t="b">
        <v>0</v>
      </c>
      <c r="AP3284" s="22" t="s">
        <v>104</v>
      </c>
      <c r="AQ3284" s="10"/>
      <c r="AR3284" s="17"/>
      <c r="AS3284" s="17"/>
      <c r="AT3284" s="17"/>
      <c r="AU3284" s="17"/>
      <c r="AV3284" s="17"/>
      <c r="AW3284" s="10"/>
      <c r="AX3284" s="17"/>
      <c r="AY3284" s="18" t="s">
        <v>257</v>
      </c>
      <c r="AZ3284" s="10"/>
      <c r="BA3284" s="20" t="b">
        <v>0</v>
      </c>
      <c r="BB3284" s="10"/>
      <c r="BC3284" s="17" t="s">
        <v>257</v>
      </c>
      <c r="BD3284" s="17" t="s">
        <v>257</v>
      </c>
      <c r="BE3284" s="17" t="s">
        <v>257</v>
      </c>
      <c r="BF3284" s="17" t="s">
        <v>257</v>
      </c>
      <c r="BG3284" s="11">
        <f ca="1">IFERROR(__xludf.DUMMYFUNCTION("""COMPUTED_VALUE"""),46122.6458333333)</f>
        <v>46122.645833333299</v>
      </c>
      <c r="BH3284" s="17"/>
      <c r="BI3284" s="17"/>
      <c r="BJ3284" s="15"/>
      <c r="BK3284" s="15"/>
      <c r="BL3284" s="13" t="b">
        <v>0</v>
      </c>
      <c r="BM3284" s="10"/>
      <c r="BN3284" s="10" t="s">
        <v>223</v>
      </c>
      <c r="BO3284" s="11">
        <v>46010.149050925924</v>
      </c>
      <c r="BP3284" s="11">
        <v>46010.149050925924</v>
      </c>
      <c r="BQ3284" s="15"/>
      <c r="BR3284" s="15"/>
      <c r="BS3284" s="10"/>
      <c r="BT3284" s="10"/>
      <c r="BU3284" s="10"/>
      <c r="BV3284" s="10"/>
      <c r="BW3284" s="10"/>
      <c r="BX3284" s="10"/>
      <c r="BY3284" s="23"/>
      <c r="BZ3284" s="23"/>
      <c r="CA3284" s="10"/>
      <c r="CB3284" s="23"/>
      <c r="CC3284" s="23"/>
      <c r="CD3284" s="23"/>
      <c r="CE3284" s="23"/>
      <c r="CF3284" s="23"/>
      <c r="CG3284" s="23"/>
      <c r="CH3284" s="23"/>
      <c r="CI3284" s="23"/>
    </row>
    <row r="3285" spans="1:87" x14ac:dyDescent="0.3">
      <c r="A3285" s="9" t="s">
        <v>23689</v>
      </c>
      <c r="B3285" s="10" t="s">
        <v>23690</v>
      </c>
      <c r="C3285" s="11">
        <v>46122.791666666664</v>
      </c>
      <c r="D3285" s="12">
        <v>8.3333333333333329E-2</v>
      </c>
      <c r="E3285" s="11">
        <v>46122.875</v>
      </c>
      <c r="F3285" s="22" t="s">
        <v>3511</v>
      </c>
      <c r="G3285" s="13" t="b">
        <v>0</v>
      </c>
      <c r="H3285" s="22" t="s">
        <v>123</v>
      </c>
      <c r="I3285" s="10" t="s">
        <v>3548</v>
      </c>
      <c r="J3285" s="13" t="b">
        <v>0</v>
      </c>
      <c r="K3285" s="13" t="b">
        <v>1</v>
      </c>
      <c r="L3285" s="10" t="s">
        <v>124</v>
      </c>
      <c r="M3285" s="10" t="s">
        <v>91</v>
      </c>
      <c r="N3285" s="10" t="s">
        <v>3513</v>
      </c>
      <c r="O3285" s="10"/>
      <c r="P3285" s="10"/>
      <c r="Q3285" s="10"/>
      <c r="R3285" s="10"/>
      <c r="S3285" s="10"/>
      <c r="T3285" s="10"/>
      <c r="U3285" s="10" t="s">
        <v>3648</v>
      </c>
      <c r="V3285" s="10" t="s">
        <v>3676</v>
      </c>
      <c r="W3285" s="10" t="s">
        <v>3519</v>
      </c>
      <c r="X3285" s="10" t="s">
        <v>130</v>
      </c>
      <c r="Y3285" s="10" t="s">
        <v>130</v>
      </c>
      <c r="Z3285" s="10" t="s">
        <v>99</v>
      </c>
      <c r="AA3285" s="10" t="s">
        <v>131</v>
      </c>
      <c r="AB3285" s="10" t="s">
        <v>3520</v>
      </c>
      <c r="AC3285" s="10" t="s">
        <v>3521</v>
      </c>
      <c r="AD3285" s="10" t="s">
        <v>23691</v>
      </c>
      <c r="AE3285" s="10" t="s">
        <v>23692</v>
      </c>
      <c r="AF3285" s="15"/>
      <c r="AG3285" s="10"/>
      <c r="AH3285" s="10"/>
      <c r="AI3285" s="10"/>
      <c r="AJ3285" s="10"/>
      <c r="AK3285" s="10"/>
      <c r="AL3285" s="10" t="s">
        <v>2720</v>
      </c>
      <c r="AM3285" s="10"/>
      <c r="AN3285" s="10"/>
      <c r="AO3285" s="13" t="b">
        <v>0</v>
      </c>
      <c r="AP3285" s="22" t="s">
        <v>104</v>
      </c>
      <c r="AQ3285" s="10"/>
      <c r="AR3285" s="17"/>
      <c r="AS3285" s="17"/>
      <c r="AT3285" s="17"/>
      <c r="AU3285" s="17"/>
      <c r="AV3285" s="17"/>
      <c r="AW3285" s="10"/>
      <c r="AX3285" s="17"/>
      <c r="AY3285" s="18" t="s">
        <v>257</v>
      </c>
      <c r="AZ3285" s="10"/>
      <c r="BA3285" s="20" t="b">
        <v>0</v>
      </c>
      <c r="BB3285" s="10"/>
      <c r="BC3285" s="17" t="s">
        <v>257</v>
      </c>
      <c r="BD3285" s="17" t="s">
        <v>257</v>
      </c>
      <c r="BE3285" s="17" t="s">
        <v>257</v>
      </c>
      <c r="BF3285" s="17" t="s">
        <v>257</v>
      </c>
      <c r="BG3285" s="11">
        <f ca="1">IFERROR(__xludf.DUMMYFUNCTION("""COMPUTED_VALUE"""),46122.7916666666)</f>
        <v>46122.791666666599</v>
      </c>
      <c r="BH3285" s="17"/>
      <c r="BI3285" s="17"/>
      <c r="BJ3285" s="15"/>
      <c r="BK3285" s="15"/>
      <c r="BL3285" s="13" t="b">
        <v>0</v>
      </c>
      <c r="BM3285" s="10"/>
      <c r="BN3285" s="10" t="s">
        <v>223</v>
      </c>
      <c r="BO3285" s="11">
        <v>46010.149050925924</v>
      </c>
      <c r="BP3285" s="11">
        <v>46010.149050925924</v>
      </c>
      <c r="BQ3285" s="15"/>
      <c r="BR3285" s="15"/>
      <c r="BS3285" s="10"/>
      <c r="BT3285" s="10"/>
      <c r="BU3285" s="10"/>
      <c r="BV3285" s="10"/>
      <c r="BW3285" s="10"/>
      <c r="BX3285" s="10"/>
      <c r="BY3285" s="23"/>
      <c r="BZ3285" s="23"/>
      <c r="CA3285" s="10"/>
      <c r="CB3285" s="23"/>
      <c r="CC3285" s="23"/>
      <c r="CD3285" s="23"/>
      <c r="CE3285" s="23"/>
      <c r="CF3285" s="23"/>
      <c r="CG3285" s="23"/>
      <c r="CH3285" s="23"/>
      <c r="CI3285" s="23"/>
    </row>
    <row r="3286" spans="1:87" x14ac:dyDescent="0.3">
      <c r="A3286" s="9" t="s">
        <v>23693</v>
      </c>
      <c r="B3286" s="10" t="s">
        <v>23694</v>
      </c>
      <c r="C3286" s="11">
        <v>46123.645833333336</v>
      </c>
      <c r="D3286" s="12">
        <v>8.3333333333333329E-2</v>
      </c>
      <c r="E3286" s="11">
        <v>46123.729166666664</v>
      </c>
      <c r="F3286" s="22" t="s">
        <v>3511</v>
      </c>
      <c r="G3286" s="13" t="b">
        <v>0</v>
      </c>
      <c r="H3286" s="22" t="s">
        <v>236</v>
      </c>
      <c r="I3286" s="10" t="s">
        <v>212</v>
      </c>
      <c r="J3286" s="13" t="b">
        <v>1</v>
      </c>
      <c r="K3286" s="13" t="b">
        <v>0</v>
      </c>
      <c r="L3286" s="10" t="s">
        <v>124</v>
      </c>
      <c r="M3286" s="10" t="s">
        <v>91</v>
      </c>
      <c r="N3286" s="10" t="s">
        <v>3513</v>
      </c>
      <c r="O3286" s="10"/>
      <c r="P3286" s="10"/>
      <c r="Q3286" s="10"/>
      <c r="R3286" s="10"/>
      <c r="S3286" s="10"/>
      <c r="T3286" s="10"/>
      <c r="U3286" s="10" t="s">
        <v>3517</v>
      </c>
      <c r="V3286" s="10" t="s">
        <v>3677</v>
      </c>
      <c r="W3286" s="10" t="s">
        <v>3519</v>
      </c>
      <c r="X3286" s="10" t="s">
        <v>130</v>
      </c>
      <c r="Y3286" s="10" t="s">
        <v>130</v>
      </c>
      <c r="Z3286" s="10" t="s">
        <v>99</v>
      </c>
      <c r="AA3286" s="10" t="s">
        <v>131</v>
      </c>
      <c r="AB3286" s="10" t="s">
        <v>3520</v>
      </c>
      <c r="AC3286" s="10" t="s">
        <v>3521</v>
      </c>
      <c r="AD3286" s="10" t="s">
        <v>23695</v>
      </c>
      <c r="AE3286" s="10" t="s">
        <v>23696</v>
      </c>
      <c r="AF3286" s="15"/>
      <c r="AG3286" s="10"/>
      <c r="AH3286" s="10"/>
      <c r="AI3286" s="10"/>
      <c r="AJ3286" s="10"/>
      <c r="AK3286" s="10"/>
      <c r="AL3286" s="10" t="s">
        <v>2720</v>
      </c>
      <c r="AM3286" s="10"/>
      <c r="AN3286" s="10"/>
      <c r="AO3286" s="13" t="b">
        <v>0</v>
      </c>
      <c r="AP3286" s="22" t="s">
        <v>104</v>
      </c>
      <c r="AQ3286" s="10"/>
      <c r="AR3286" s="17"/>
      <c r="AS3286" s="17"/>
      <c r="AT3286" s="17"/>
      <c r="AU3286" s="17"/>
      <c r="AV3286" s="17"/>
      <c r="AW3286" s="10"/>
      <c r="AX3286" s="17"/>
      <c r="AY3286" s="18" t="s">
        <v>257</v>
      </c>
      <c r="AZ3286" s="10"/>
      <c r="BA3286" s="20" t="b">
        <v>0</v>
      </c>
      <c r="BB3286" s="10"/>
      <c r="BC3286" s="17" t="s">
        <v>257</v>
      </c>
      <c r="BD3286" s="17" t="s">
        <v>257</v>
      </c>
      <c r="BE3286" s="17" t="s">
        <v>257</v>
      </c>
      <c r="BF3286" s="17" t="s">
        <v>257</v>
      </c>
      <c r="BG3286" s="11">
        <f ca="1">IFERROR(__xludf.DUMMYFUNCTION("""COMPUTED_VALUE"""),46123.6458333333)</f>
        <v>46123.645833333299</v>
      </c>
      <c r="BH3286" s="17"/>
      <c r="BI3286" s="17"/>
      <c r="BJ3286" s="15"/>
      <c r="BK3286" s="15"/>
      <c r="BL3286" s="13" t="b">
        <v>0</v>
      </c>
      <c r="BM3286" s="10"/>
      <c r="BN3286" s="10" t="s">
        <v>223</v>
      </c>
      <c r="BO3286" s="11">
        <v>46010.149050925924</v>
      </c>
      <c r="BP3286" s="11">
        <v>46010.149050925924</v>
      </c>
      <c r="BQ3286" s="15"/>
      <c r="BR3286" s="15"/>
      <c r="BS3286" s="10"/>
      <c r="BT3286" s="10"/>
      <c r="BU3286" s="10"/>
      <c r="BV3286" s="10"/>
      <c r="BW3286" s="10"/>
      <c r="BX3286" s="10"/>
      <c r="BY3286" s="23"/>
      <c r="BZ3286" s="23"/>
      <c r="CA3286" s="10"/>
      <c r="CB3286" s="23"/>
      <c r="CC3286" s="23"/>
      <c r="CD3286" s="23"/>
      <c r="CE3286" s="23"/>
      <c r="CF3286" s="23"/>
      <c r="CG3286" s="23"/>
      <c r="CH3286" s="23"/>
      <c r="CI3286" s="23"/>
    </row>
    <row r="3287" spans="1:87" x14ac:dyDescent="0.3">
      <c r="A3287" s="9" t="s">
        <v>23697</v>
      </c>
      <c r="B3287" s="10" t="s">
        <v>23698</v>
      </c>
      <c r="C3287" s="11">
        <v>46123.791666666664</v>
      </c>
      <c r="D3287" s="12">
        <v>8.3333333333333329E-2</v>
      </c>
      <c r="E3287" s="11">
        <v>46123.875</v>
      </c>
      <c r="F3287" s="22" t="s">
        <v>3511</v>
      </c>
      <c r="G3287" s="13" t="b">
        <v>0</v>
      </c>
      <c r="H3287" s="22" t="s">
        <v>3512</v>
      </c>
      <c r="I3287" s="10" t="s">
        <v>212</v>
      </c>
      <c r="J3287" s="13" t="b">
        <v>1</v>
      </c>
      <c r="K3287" s="13" t="b">
        <v>0</v>
      </c>
      <c r="L3287" s="10" t="s">
        <v>124</v>
      </c>
      <c r="M3287" s="10" t="s">
        <v>91</v>
      </c>
      <c r="N3287" s="10" t="s">
        <v>3513</v>
      </c>
      <c r="O3287" s="10"/>
      <c r="P3287" s="10"/>
      <c r="Q3287" s="10"/>
      <c r="R3287" s="10"/>
      <c r="S3287" s="10"/>
      <c r="T3287" s="10"/>
      <c r="U3287" s="10" t="s">
        <v>3536</v>
      </c>
      <c r="V3287" s="10" t="s">
        <v>3518</v>
      </c>
      <c r="W3287" s="10" t="s">
        <v>3519</v>
      </c>
      <c r="X3287" s="10" t="s">
        <v>130</v>
      </c>
      <c r="Y3287" s="10" t="s">
        <v>130</v>
      </c>
      <c r="Z3287" s="10" t="s">
        <v>99</v>
      </c>
      <c r="AA3287" s="10" t="s">
        <v>131</v>
      </c>
      <c r="AB3287" s="10" t="s">
        <v>3520</v>
      </c>
      <c r="AC3287" s="10" t="s">
        <v>3521</v>
      </c>
      <c r="AD3287" s="10" t="s">
        <v>23699</v>
      </c>
      <c r="AE3287" s="10" t="s">
        <v>23700</v>
      </c>
      <c r="AF3287" s="15"/>
      <c r="AG3287" s="10"/>
      <c r="AH3287" s="10"/>
      <c r="AI3287" s="10"/>
      <c r="AJ3287" s="10"/>
      <c r="AK3287" s="10"/>
      <c r="AL3287" s="10" t="s">
        <v>2720</v>
      </c>
      <c r="AM3287" s="10"/>
      <c r="AN3287" s="10"/>
      <c r="AO3287" s="13" t="b">
        <v>0</v>
      </c>
      <c r="AP3287" s="22" t="s">
        <v>104</v>
      </c>
      <c r="AQ3287" s="10"/>
      <c r="AR3287" s="17"/>
      <c r="AS3287" s="17"/>
      <c r="AT3287" s="17"/>
      <c r="AU3287" s="17"/>
      <c r="AV3287" s="17"/>
      <c r="AW3287" s="10"/>
      <c r="AX3287" s="17"/>
      <c r="AY3287" s="18" t="s">
        <v>257</v>
      </c>
      <c r="AZ3287" s="10"/>
      <c r="BA3287" s="20" t="b">
        <v>0</v>
      </c>
      <c r="BB3287" s="10"/>
      <c r="BC3287" s="17" t="s">
        <v>257</v>
      </c>
      <c r="BD3287" s="17" t="s">
        <v>257</v>
      </c>
      <c r="BE3287" s="17" t="s">
        <v>257</v>
      </c>
      <c r="BF3287" s="17" t="s">
        <v>257</v>
      </c>
      <c r="BG3287" s="11">
        <f ca="1">IFERROR(__xludf.DUMMYFUNCTION("""COMPUTED_VALUE"""),46123.7916666666)</f>
        <v>46123.791666666599</v>
      </c>
      <c r="BH3287" s="17"/>
      <c r="BI3287" s="17"/>
      <c r="BJ3287" s="15"/>
      <c r="BK3287" s="15"/>
      <c r="BL3287" s="13" t="b">
        <v>0</v>
      </c>
      <c r="BM3287" s="10"/>
      <c r="BN3287" s="10" t="s">
        <v>223</v>
      </c>
      <c r="BO3287" s="11">
        <v>46010.149050925924</v>
      </c>
      <c r="BP3287" s="11">
        <v>46010.149050925924</v>
      </c>
      <c r="BQ3287" s="15"/>
      <c r="BR3287" s="15"/>
      <c r="BS3287" s="10"/>
      <c r="BT3287" s="10"/>
      <c r="BU3287" s="10"/>
      <c r="BV3287" s="10"/>
      <c r="BW3287" s="10"/>
      <c r="BX3287" s="10"/>
      <c r="BY3287" s="23"/>
      <c r="BZ3287" s="23"/>
      <c r="CA3287" s="10"/>
      <c r="CB3287" s="23"/>
      <c r="CC3287" s="23"/>
      <c r="CD3287" s="23"/>
      <c r="CE3287" s="23"/>
      <c r="CF3287" s="23"/>
      <c r="CG3287" s="23"/>
      <c r="CH3287" s="23"/>
      <c r="CI3287" s="23"/>
    </row>
    <row r="3288" spans="1:87" x14ac:dyDescent="0.3">
      <c r="A3288" s="9" t="s">
        <v>23701</v>
      </c>
      <c r="B3288" s="10" t="s">
        <v>23702</v>
      </c>
      <c r="C3288" s="11">
        <v>46123.791666666664</v>
      </c>
      <c r="D3288" s="12">
        <v>8.3333333333333329E-2</v>
      </c>
      <c r="E3288" s="11">
        <v>46123.875</v>
      </c>
      <c r="F3288" s="22" t="s">
        <v>3511</v>
      </c>
      <c r="G3288" s="13" t="b">
        <v>0</v>
      </c>
      <c r="H3288" s="22" t="s">
        <v>123</v>
      </c>
      <c r="I3288" s="10" t="s">
        <v>3548</v>
      </c>
      <c r="J3288" s="13" t="b">
        <v>0</v>
      </c>
      <c r="K3288" s="13" t="b">
        <v>1</v>
      </c>
      <c r="L3288" s="10" t="s">
        <v>124</v>
      </c>
      <c r="M3288" s="10" t="s">
        <v>91</v>
      </c>
      <c r="N3288" s="10" t="s">
        <v>3513</v>
      </c>
      <c r="O3288" s="10"/>
      <c r="P3288" s="10"/>
      <c r="Q3288" s="10"/>
      <c r="R3288" s="10"/>
      <c r="S3288" s="10"/>
      <c r="T3288" s="10"/>
      <c r="U3288" s="10" t="s">
        <v>3647</v>
      </c>
      <c r="V3288" s="10" t="s">
        <v>3551</v>
      </c>
      <c r="W3288" s="10" t="s">
        <v>3519</v>
      </c>
      <c r="X3288" s="10" t="s">
        <v>130</v>
      </c>
      <c r="Y3288" s="10" t="s">
        <v>130</v>
      </c>
      <c r="Z3288" s="10" t="s">
        <v>99</v>
      </c>
      <c r="AA3288" s="10" t="s">
        <v>131</v>
      </c>
      <c r="AB3288" s="10" t="s">
        <v>3520</v>
      </c>
      <c r="AC3288" s="10" t="s">
        <v>3521</v>
      </c>
      <c r="AD3288" s="10" t="s">
        <v>23703</v>
      </c>
      <c r="AE3288" s="10" t="s">
        <v>23704</v>
      </c>
      <c r="AF3288" s="15"/>
      <c r="AG3288" s="10"/>
      <c r="AH3288" s="10"/>
      <c r="AI3288" s="10"/>
      <c r="AJ3288" s="10"/>
      <c r="AK3288" s="10"/>
      <c r="AL3288" s="10" t="s">
        <v>2720</v>
      </c>
      <c r="AM3288" s="10"/>
      <c r="AN3288" s="10"/>
      <c r="AO3288" s="13" t="b">
        <v>1</v>
      </c>
      <c r="AP3288" s="22" t="s">
        <v>104</v>
      </c>
      <c r="AQ3288" s="10"/>
      <c r="AR3288" s="17"/>
      <c r="AS3288" s="17"/>
      <c r="AT3288" s="17"/>
      <c r="AU3288" s="17"/>
      <c r="AV3288" s="17"/>
      <c r="AW3288" s="10"/>
      <c r="AX3288" s="17"/>
      <c r="AY3288" s="18" t="s">
        <v>257</v>
      </c>
      <c r="AZ3288" s="10"/>
      <c r="BA3288" s="20" t="b">
        <v>0</v>
      </c>
      <c r="BB3288" s="10"/>
      <c r="BC3288" s="17" t="s">
        <v>257</v>
      </c>
      <c r="BD3288" s="17" t="s">
        <v>257</v>
      </c>
      <c r="BE3288" s="17" t="s">
        <v>257</v>
      </c>
      <c r="BF3288" s="17" t="s">
        <v>257</v>
      </c>
      <c r="BG3288" s="11">
        <f ca="1">IFERROR(__xludf.DUMMYFUNCTION("""COMPUTED_VALUE"""),46123.7916666666)</f>
        <v>46123.791666666599</v>
      </c>
      <c r="BH3288" s="17"/>
      <c r="BI3288" s="17"/>
      <c r="BJ3288" s="15"/>
      <c r="BK3288" s="15"/>
      <c r="BL3288" s="13" t="b">
        <v>0</v>
      </c>
      <c r="BM3288" s="10"/>
      <c r="BN3288" s="10" t="s">
        <v>223</v>
      </c>
      <c r="BO3288" s="11">
        <v>46010.149050925924</v>
      </c>
      <c r="BP3288" s="11">
        <v>46010.149050925924</v>
      </c>
      <c r="BQ3288" s="15"/>
      <c r="BR3288" s="15"/>
      <c r="BS3288" s="10"/>
      <c r="BT3288" s="10"/>
      <c r="BU3288" s="10"/>
      <c r="BV3288" s="10"/>
      <c r="BW3288" s="10"/>
      <c r="BX3288" s="10"/>
      <c r="BY3288" s="23"/>
      <c r="BZ3288" s="23"/>
      <c r="CA3288" s="10"/>
      <c r="CB3288" s="23"/>
      <c r="CC3288" s="23"/>
      <c r="CD3288" s="23"/>
      <c r="CE3288" s="23"/>
      <c r="CF3288" s="23"/>
      <c r="CG3288" s="23"/>
      <c r="CH3288" s="23"/>
      <c r="CI3288" s="23"/>
    </row>
    <row r="3289" spans="1:87" x14ac:dyDescent="0.3">
      <c r="A3289" s="9" t="s">
        <v>23705</v>
      </c>
      <c r="B3289" s="10" t="s">
        <v>23706</v>
      </c>
      <c r="C3289" s="11">
        <v>46123.791666666664</v>
      </c>
      <c r="D3289" s="12">
        <v>8.3333333333333329E-2</v>
      </c>
      <c r="E3289" s="11">
        <v>46123.875</v>
      </c>
      <c r="F3289" s="22" t="s">
        <v>3511</v>
      </c>
      <c r="G3289" s="13" t="b">
        <v>0</v>
      </c>
      <c r="H3289" s="22" t="s">
        <v>236</v>
      </c>
      <c r="I3289" s="10" t="s">
        <v>212</v>
      </c>
      <c r="J3289" s="13" t="b">
        <v>1</v>
      </c>
      <c r="K3289" s="13" t="b">
        <v>0</v>
      </c>
      <c r="L3289" s="10" t="s">
        <v>124</v>
      </c>
      <c r="M3289" s="10" t="s">
        <v>91</v>
      </c>
      <c r="N3289" s="10" t="s">
        <v>3513</v>
      </c>
      <c r="O3289" s="10"/>
      <c r="P3289" s="10"/>
      <c r="Q3289" s="10"/>
      <c r="R3289" s="10"/>
      <c r="S3289" s="10"/>
      <c r="T3289" s="10"/>
      <c r="U3289" s="10" t="s">
        <v>3635</v>
      </c>
      <c r="V3289" s="10" t="s">
        <v>3662</v>
      </c>
      <c r="W3289" s="10" t="s">
        <v>3519</v>
      </c>
      <c r="X3289" s="10" t="s">
        <v>130</v>
      </c>
      <c r="Y3289" s="10" t="s">
        <v>130</v>
      </c>
      <c r="Z3289" s="10" t="s">
        <v>99</v>
      </c>
      <c r="AA3289" s="10" t="s">
        <v>131</v>
      </c>
      <c r="AB3289" s="10" t="s">
        <v>3520</v>
      </c>
      <c r="AC3289" s="10" t="s">
        <v>3521</v>
      </c>
      <c r="AD3289" s="10" t="s">
        <v>23707</v>
      </c>
      <c r="AE3289" s="10" t="s">
        <v>23708</v>
      </c>
      <c r="AF3289" s="15"/>
      <c r="AG3289" s="10"/>
      <c r="AH3289" s="10"/>
      <c r="AI3289" s="10"/>
      <c r="AJ3289" s="10"/>
      <c r="AK3289" s="10"/>
      <c r="AL3289" s="10" t="s">
        <v>2720</v>
      </c>
      <c r="AM3289" s="10"/>
      <c r="AN3289" s="10"/>
      <c r="AO3289" s="13" t="b">
        <v>0</v>
      </c>
      <c r="AP3289" s="22" t="s">
        <v>104</v>
      </c>
      <c r="AQ3289" s="10"/>
      <c r="AR3289" s="17"/>
      <c r="AS3289" s="17"/>
      <c r="AT3289" s="17"/>
      <c r="AU3289" s="17"/>
      <c r="AV3289" s="17"/>
      <c r="AW3289" s="10"/>
      <c r="AX3289" s="17"/>
      <c r="AY3289" s="18" t="s">
        <v>257</v>
      </c>
      <c r="AZ3289" s="10"/>
      <c r="BA3289" s="20" t="b">
        <v>0</v>
      </c>
      <c r="BB3289" s="10"/>
      <c r="BC3289" s="17" t="s">
        <v>257</v>
      </c>
      <c r="BD3289" s="17" t="s">
        <v>257</v>
      </c>
      <c r="BE3289" s="17" t="s">
        <v>257</v>
      </c>
      <c r="BF3289" s="17" t="s">
        <v>257</v>
      </c>
      <c r="BG3289" s="11">
        <f ca="1">IFERROR(__xludf.DUMMYFUNCTION("""COMPUTED_VALUE"""),46123.7916666666)</f>
        <v>46123.791666666599</v>
      </c>
      <c r="BH3289" s="17"/>
      <c r="BI3289" s="17"/>
      <c r="BJ3289" s="15"/>
      <c r="BK3289" s="15"/>
      <c r="BL3289" s="13" t="b">
        <v>0</v>
      </c>
      <c r="BM3289" s="10"/>
      <c r="BN3289" s="10" t="s">
        <v>223</v>
      </c>
      <c r="BO3289" s="11">
        <v>46010.149050925924</v>
      </c>
      <c r="BP3289" s="11">
        <v>46010.149050925924</v>
      </c>
      <c r="BQ3289" s="15"/>
      <c r="BR3289" s="15"/>
      <c r="BS3289" s="10"/>
      <c r="BT3289" s="10"/>
      <c r="BU3289" s="10"/>
      <c r="BV3289" s="10"/>
      <c r="BW3289" s="10"/>
      <c r="BX3289" s="10"/>
      <c r="BY3289" s="23"/>
      <c r="BZ3289" s="23"/>
      <c r="CA3289" s="10"/>
      <c r="CB3289" s="23"/>
      <c r="CC3289" s="23"/>
      <c r="CD3289" s="23"/>
      <c r="CE3289" s="23"/>
      <c r="CF3289" s="23"/>
      <c r="CG3289" s="23"/>
      <c r="CH3289" s="23"/>
      <c r="CI3289" s="23"/>
    </row>
    <row r="3290" spans="1:87" x14ac:dyDescent="0.3">
      <c r="A3290" s="9" t="s">
        <v>23709</v>
      </c>
      <c r="B3290" s="10" t="s">
        <v>23710</v>
      </c>
      <c r="C3290" s="11">
        <v>46124.645833333336</v>
      </c>
      <c r="D3290" s="12">
        <v>8.3333333333333329E-2</v>
      </c>
      <c r="E3290" s="11">
        <v>46124.729166666664</v>
      </c>
      <c r="F3290" s="22" t="s">
        <v>3511</v>
      </c>
      <c r="G3290" s="13" t="b">
        <v>0</v>
      </c>
      <c r="H3290" s="22" t="s">
        <v>236</v>
      </c>
      <c r="I3290" s="10" t="s">
        <v>212</v>
      </c>
      <c r="J3290" s="13" t="b">
        <v>1</v>
      </c>
      <c r="K3290" s="13" t="b">
        <v>0</v>
      </c>
      <c r="L3290" s="10" t="s">
        <v>124</v>
      </c>
      <c r="M3290" s="10" t="s">
        <v>91</v>
      </c>
      <c r="N3290" s="10" t="s">
        <v>3513</v>
      </c>
      <c r="O3290" s="10"/>
      <c r="P3290" s="10"/>
      <c r="Q3290" s="10"/>
      <c r="R3290" s="10"/>
      <c r="S3290" s="10"/>
      <c r="T3290" s="10"/>
      <c r="U3290" s="10" t="s">
        <v>3636</v>
      </c>
      <c r="V3290" s="10" t="s">
        <v>3610</v>
      </c>
      <c r="W3290" s="10" t="s">
        <v>3519</v>
      </c>
      <c r="X3290" s="10" t="s">
        <v>130</v>
      </c>
      <c r="Y3290" s="10" t="s">
        <v>130</v>
      </c>
      <c r="Z3290" s="10" t="s">
        <v>99</v>
      </c>
      <c r="AA3290" s="10" t="s">
        <v>131</v>
      </c>
      <c r="AB3290" s="10" t="s">
        <v>3520</v>
      </c>
      <c r="AC3290" s="10" t="s">
        <v>3521</v>
      </c>
      <c r="AD3290" s="10" t="s">
        <v>23711</v>
      </c>
      <c r="AE3290" s="10" t="s">
        <v>23712</v>
      </c>
      <c r="AF3290" s="15"/>
      <c r="AG3290" s="10"/>
      <c r="AH3290" s="10"/>
      <c r="AI3290" s="10"/>
      <c r="AJ3290" s="10"/>
      <c r="AK3290" s="10"/>
      <c r="AL3290" s="10" t="s">
        <v>2720</v>
      </c>
      <c r="AM3290" s="10"/>
      <c r="AN3290" s="10"/>
      <c r="AO3290" s="13" t="b">
        <v>0</v>
      </c>
      <c r="AP3290" s="22" t="s">
        <v>104</v>
      </c>
      <c r="AQ3290" s="10"/>
      <c r="AR3290" s="17"/>
      <c r="AS3290" s="17"/>
      <c r="AT3290" s="17"/>
      <c r="AU3290" s="17"/>
      <c r="AV3290" s="17"/>
      <c r="AW3290" s="10"/>
      <c r="AX3290" s="17"/>
      <c r="AY3290" s="18" t="s">
        <v>257</v>
      </c>
      <c r="AZ3290" s="10"/>
      <c r="BA3290" s="20" t="b">
        <v>0</v>
      </c>
      <c r="BB3290" s="10"/>
      <c r="BC3290" s="17" t="s">
        <v>257</v>
      </c>
      <c r="BD3290" s="17" t="s">
        <v>257</v>
      </c>
      <c r="BE3290" s="17" t="s">
        <v>257</v>
      </c>
      <c r="BF3290" s="17" t="s">
        <v>257</v>
      </c>
      <c r="BG3290" s="11">
        <f ca="1">IFERROR(__xludf.DUMMYFUNCTION("""COMPUTED_VALUE"""),46124.6458333333)</f>
        <v>46124.645833333299</v>
      </c>
      <c r="BH3290" s="17"/>
      <c r="BI3290" s="17"/>
      <c r="BJ3290" s="15"/>
      <c r="BK3290" s="15"/>
      <c r="BL3290" s="13" t="b">
        <v>0</v>
      </c>
      <c r="BM3290" s="10"/>
      <c r="BN3290" s="10" t="s">
        <v>223</v>
      </c>
      <c r="BO3290" s="11">
        <v>46010.149050925924</v>
      </c>
      <c r="BP3290" s="11">
        <v>46010.149050925924</v>
      </c>
      <c r="BQ3290" s="15"/>
      <c r="BR3290" s="15"/>
      <c r="BS3290" s="10"/>
      <c r="BT3290" s="10"/>
      <c r="BU3290" s="10"/>
      <c r="BV3290" s="10"/>
      <c r="BW3290" s="10"/>
      <c r="BX3290" s="10"/>
      <c r="BY3290" s="23"/>
      <c r="BZ3290" s="23"/>
      <c r="CA3290" s="10"/>
      <c r="CB3290" s="23"/>
      <c r="CC3290" s="23"/>
      <c r="CD3290" s="23"/>
      <c r="CE3290" s="23"/>
      <c r="CF3290" s="23"/>
      <c r="CG3290" s="23"/>
      <c r="CH3290" s="23"/>
      <c r="CI3290" s="23"/>
    </row>
    <row r="3291" spans="1:87" x14ac:dyDescent="0.3">
      <c r="A3291" s="9" t="s">
        <v>23713</v>
      </c>
      <c r="B3291" s="10" t="s">
        <v>23714</v>
      </c>
      <c r="C3291" s="11">
        <v>46124.791666666664</v>
      </c>
      <c r="D3291" s="12">
        <v>8.3333333333333329E-2</v>
      </c>
      <c r="E3291" s="11">
        <v>46124.875</v>
      </c>
      <c r="F3291" s="22" t="s">
        <v>3511</v>
      </c>
      <c r="G3291" s="13" t="b">
        <v>0</v>
      </c>
      <c r="H3291" s="22" t="s">
        <v>3512</v>
      </c>
      <c r="I3291" s="10" t="s">
        <v>3548</v>
      </c>
      <c r="J3291" s="13" t="b">
        <v>0</v>
      </c>
      <c r="K3291" s="13" t="b">
        <v>1</v>
      </c>
      <c r="L3291" s="10" t="s">
        <v>124</v>
      </c>
      <c r="M3291" s="10" t="s">
        <v>91</v>
      </c>
      <c r="N3291" s="10" t="s">
        <v>3513</v>
      </c>
      <c r="O3291" s="10"/>
      <c r="P3291" s="10"/>
      <c r="Q3291" s="10"/>
      <c r="R3291" s="10"/>
      <c r="S3291" s="10"/>
      <c r="T3291" s="10"/>
      <c r="U3291" s="10" t="s">
        <v>3623</v>
      </c>
      <c r="V3291" s="10" t="s">
        <v>3622</v>
      </c>
      <c r="W3291" s="10" t="s">
        <v>3519</v>
      </c>
      <c r="X3291" s="10" t="s">
        <v>130</v>
      </c>
      <c r="Y3291" s="10" t="s">
        <v>130</v>
      </c>
      <c r="Z3291" s="10" t="s">
        <v>99</v>
      </c>
      <c r="AA3291" s="10" t="s">
        <v>131</v>
      </c>
      <c r="AB3291" s="10" t="s">
        <v>3520</v>
      </c>
      <c r="AC3291" s="10" t="s">
        <v>3521</v>
      </c>
      <c r="AD3291" s="10" t="s">
        <v>23715</v>
      </c>
      <c r="AE3291" s="10" t="s">
        <v>23716</v>
      </c>
      <c r="AF3291" s="15"/>
      <c r="AG3291" s="10"/>
      <c r="AH3291" s="10"/>
      <c r="AI3291" s="10"/>
      <c r="AJ3291" s="10"/>
      <c r="AK3291" s="10"/>
      <c r="AL3291" s="10" t="s">
        <v>2720</v>
      </c>
      <c r="AM3291" s="10"/>
      <c r="AN3291" s="10"/>
      <c r="AO3291" s="13" t="b">
        <v>0</v>
      </c>
      <c r="AP3291" s="22" t="s">
        <v>104</v>
      </c>
      <c r="AQ3291" s="10"/>
      <c r="AR3291" s="17"/>
      <c r="AS3291" s="17"/>
      <c r="AT3291" s="17"/>
      <c r="AU3291" s="17"/>
      <c r="AV3291" s="17"/>
      <c r="AW3291" s="10"/>
      <c r="AX3291" s="17"/>
      <c r="AY3291" s="18" t="s">
        <v>257</v>
      </c>
      <c r="AZ3291" s="10"/>
      <c r="BA3291" s="20" t="b">
        <v>0</v>
      </c>
      <c r="BB3291" s="10"/>
      <c r="BC3291" s="17" t="s">
        <v>257</v>
      </c>
      <c r="BD3291" s="17" t="s">
        <v>257</v>
      </c>
      <c r="BE3291" s="17" t="s">
        <v>257</v>
      </c>
      <c r="BF3291" s="17" t="s">
        <v>257</v>
      </c>
      <c r="BG3291" s="11">
        <f ca="1">IFERROR(__xludf.DUMMYFUNCTION("""COMPUTED_VALUE"""),46124.7916666666)</f>
        <v>46124.791666666599</v>
      </c>
      <c r="BH3291" s="17"/>
      <c r="BI3291" s="17"/>
      <c r="BJ3291" s="15"/>
      <c r="BK3291" s="15"/>
      <c r="BL3291" s="13" t="b">
        <v>0</v>
      </c>
      <c r="BM3291" s="10"/>
      <c r="BN3291" s="10" t="s">
        <v>223</v>
      </c>
      <c r="BO3291" s="11">
        <v>46010.149050925924</v>
      </c>
      <c r="BP3291" s="11">
        <v>46010.149050925924</v>
      </c>
      <c r="BQ3291" s="15"/>
      <c r="BR3291" s="15"/>
      <c r="BS3291" s="10"/>
      <c r="BT3291" s="10"/>
      <c r="BU3291" s="10"/>
      <c r="BV3291" s="10"/>
      <c r="BW3291" s="10"/>
      <c r="BX3291" s="10"/>
      <c r="BY3291" s="23"/>
      <c r="BZ3291" s="23"/>
      <c r="CA3291" s="10"/>
      <c r="CB3291" s="23"/>
      <c r="CC3291" s="23"/>
      <c r="CD3291" s="23"/>
      <c r="CE3291" s="23"/>
      <c r="CF3291" s="23"/>
      <c r="CG3291" s="23"/>
      <c r="CH3291" s="23"/>
      <c r="CI3291" s="23"/>
    </row>
    <row r="3292" spans="1:87" x14ac:dyDescent="0.3">
      <c r="A3292" s="9" t="s">
        <v>23717</v>
      </c>
      <c r="B3292" s="10" t="s">
        <v>23718</v>
      </c>
      <c r="C3292" s="11">
        <v>46124.791666666664</v>
      </c>
      <c r="D3292" s="12">
        <v>8.3333333333333329E-2</v>
      </c>
      <c r="E3292" s="11">
        <v>46124.875</v>
      </c>
      <c r="F3292" s="22" t="s">
        <v>3511</v>
      </c>
      <c r="G3292" s="13" t="b">
        <v>0</v>
      </c>
      <c r="H3292" s="22" t="s">
        <v>123</v>
      </c>
      <c r="I3292" s="10" t="s">
        <v>3548</v>
      </c>
      <c r="J3292" s="13" t="b">
        <v>0</v>
      </c>
      <c r="K3292" s="13" t="b">
        <v>1</v>
      </c>
      <c r="L3292" s="10" t="s">
        <v>124</v>
      </c>
      <c r="M3292" s="10" t="s">
        <v>91</v>
      </c>
      <c r="N3292" s="10" t="s">
        <v>3513</v>
      </c>
      <c r="O3292" s="10"/>
      <c r="P3292" s="10"/>
      <c r="Q3292" s="10"/>
      <c r="R3292" s="10"/>
      <c r="S3292" s="10"/>
      <c r="T3292" s="10"/>
      <c r="U3292" s="10" t="s">
        <v>3609</v>
      </c>
      <c r="V3292" s="10" t="s">
        <v>3661</v>
      </c>
      <c r="W3292" s="10" t="s">
        <v>3519</v>
      </c>
      <c r="X3292" s="10" t="s">
        <v>130</v>
      </c>
      <c r="Y3292" s="10" t="s">
        <v>130</v>
      </c>
      <c r="Z3292" s="10" t="s">
        <v>99</v>
      </c>
      <c r="AA3292" s="10" t="s">
        <v>131</v>
      </c>
      <c r="AB3292" s="10" t="s">
        <v>3520</v>
      </c>
      <c r="AC3292" s="10" t="s">
        <v>3521</v>
      </c>
      <c r="AD3292" s="10" t="s">
        <v>23719</v>
      </c>
      <c r="AE3292" s="10" t="s">
        <v>23720</v>
      </c>
      <c r="AF3292" s="15"/>
      <c r="AG3292" s="10"/>
      <c r="AH3292" s="10"/>
      <c r="AI3292" s="10"/>
      <c r="AJ3292" s="10"/>
      <c r="AK3292" s="10"/>
      <c r="AL3292" s="10" t="s">
        <v>2720</v>
      </c>
      <c r="AM3292" s="10"/>
      <c r="AN3292" s="10"/>
      <c r="AO3292" s="13" t="b">
        <v>1</v>
      </c>
      <c r="AP3292" s="22" t="s">
        <v>104</v>
      </c>
      <c r="AQ3292" s="10"/>
      <c r="AR3292" s="17"/>
      <c r="AS3292" s="17"/>
      <c r="AT3292" s="17"/>
      <c r="AU3292" s="17"/>
      <c r="AV3292" s="17"/>
      <c r="AW3292" s="10"/>
      <c r="AX3292" s="17"/>
      <c r="AY3292" s="18" t="s">
        <v>257</v>
      </c>
      <c r="AZ3292" s="10"/>
      <c r="BA3292" s="20" t="b">
        <v>0</v>
      </c>
      <c r="BB3292" s="10"/>
      <c r="BC3292" s="17" t="s">
        <v>257</v>
      </c>
      <c r="BD3292" s="17" t="s">
        <v>257</v>
      </c>
      <c r="BE3292" s="17" t="s">
        <v>257</v>
      </c>
      <c r="BF3292" s="17" t="s">
        <v>257</v>
      </c>
      <c r="BG3292" s="11">
        <f ca="1">IFERROR(__xludf.DUMMYFUNCTION("""COMPUTED_VALUE"""),46124.7916666666)</f>
        <v>46124.791666666599</v>
      </c>
      <c r="BH3292" s="17"/>
      <c r="BI3292" s="17"/>
      <c r="BJ3292" s="15"/>
      <c r="BK3292" s="15"/>
      <c r="BL3292" s="13" t="b">
        <v>0</v>
      </c>
      <c r="BM3292" s="10"/>
      <c r="BN3292" s="10" t="s">
        <v>223</v>
      </c>
      <c r="BO3292" s="11">
        <v>46010.149050925924</v>
      </c>
      <c r="BP3292" s="11">
        <v>46010.149050925924</v>
      </c>
      <c r="BQ3292" s="15"/>
      <c r="BR3292" s="15"/>
      <c r="BS3292" s="10"/>
      <c r="BT3292" s="10"/>
      <c r="BU3292" s="10"/>
      <c r="BV3292" s="10"/>
      <c r="BW3292" s="10"/>
      <c r="BX3292" s="10"/>
      <c r="BY3292" s="23"/>
      <c r="BZ3292" s="23"/>
      <c r="CA3292" s="10"/>
      <c r="CB3292" s="23"/>
      <c r="CC3292" s="23"/>
      <c r="CD3292" s="23"/>
      <c r="CE3292" s="23"/>
      <c r="CF3292" s="23"/>
      <c r="CG3292" s="23"/>
      <c r="CH3292" s="23"/>
      <c r="CI3292" s="23"/>
    </row>
    <row r="3293" spans="1:87" x14ac:dyDescent="0.3">
      <c r="A3293" s="9" t="s">
        <v>23721</v>
      </c>
      <c r="B3293" s="10" t="s">
        <v>23722</v>
      </c>
      <c r="C3293" s="11">
        <v>46129.645833333336</v>
      </c>
      <c r="D3293" s="12">
        <v>8.3333333333333329E-2</v>
      </c>
      <c r="E3293" s="11">
        <v>46129.729166666664</v>
      </c>
      <c r="F3293" s="22" t="s">
        <v>3511</v>
      </c>
      <c r="G3293" s="13" t="b">
        <v>0</v>
      </c>
      <c r="H3293" s="22" t="s">
        <v>236</v>
      </c>
      <c r="I3293" s="10" t="s">
        <v>212</v>
      </c>
      <c r="J3293" s="13" t="b">
        <v>1</v>
      </c>
      <c r="K3293" s="13" t="b">
        <v>0</v>
      </c>
      <c r="L3293" s="10" t="s">
        <v>124</v>
      </c>
      <c r="M3293" s="10" t="s">
        <v>91</v>
      </c>
      <c r="N3293" s="10" t="s">
        <v>3513</v>
      </c>
      <c r="O3293" s="10"/>
      <c r="P3293" s="10"/>
      <c r="Q3293" s="10"/>
      <c r="R3293" s="10"/>
      <c r="S3293" s="10"/>
      <c r="T3293" s="10"/>
      <c r="U3293" s="10" t="s">
        <v>3518</v>
      </c>
      <c r="V3293" s="10" t="s">
        <v>3552</v>
      </c>
      <c r="W3293" s="10" t="s">
        <v>3519</v>
      </c>
      <c r="X3293" s="10" t="s">
        <v>130</v>
      </c>
      <c r="Y3293" s="10" t="s">
        <v>130</v>
      </c>
      <c r="Z3293" s="10" t="s">
        <v>99</v>
      </c>
      <c r="AA3293" s="10" t="s">
        <v>131</v>
      </c>
      <c r="AB3293" s="10" t="s">
        <v>3520</v>
      </c>
      <c r="AC3293" s="10" t="s">
        <v>3521</v>
      </c>
      <c r="AD3293" s="10" t="s">
        <v>23723</v>
      </c>
      <c r="AE3293" s="10" t="s">
        <v>23724</v>
      </c>
      <c r="AF3293" s="15"/>
      <c r="AG3293" s="10"/>
      <c r="AH3293" s="10"/>
      <c r="AI3293" s="10"/>
      <c r="AJ3293" s="10"/>
      <c r="AK3293" s="10"/>
      <c r="AL3293" s="10" t="s">
        <v>2761</v>
      </c>
      <c r="AM3293" s="10"/>
      <c r="AN3293" s="10"/>
      <c r="AO3293" s="13" t="b">
        <v>0</v>
      </c>
      <c r="AP3293" s="22" t="s">
        <v>104</v>
      </c>
      <c r="AQ3293" s="10"/>
      <c r="AR3293" s="17"/>
      <c r="AS3293" s="17"/>
      <c r="AT3293" s="17"/>
      <c r="AU3293" s="17"/>
      <c r="AV3293" s="17"/>
      <c r="AW3293" s="10"/>
      <c r="AX3293" s="17"/>
      <c r="AY3293" s="18" t="s">
        <v>257</v>
      </c>
      <c r="AZ3293" s="10"/>
      <c r="BA3293" s="20" t="b">
        <v>0</v>
      </c>
      <c r="BB3293" s="10"/>
      <c r="BC3293" s="17" t="s">
        <v>257</v>
      </c>
      <c r="BD3293" s="17" t="s">
        <v>257</v>
      </c>
      <c r="BE3293" s="17" t="s">
        <v>257</v>
      </c>
      <c r="BF3293" s="17" t="s">
        <v>257</v>
      </c>
      <c r="BG3293" s="11">
        <f ca="1">IFERROR(__xludf.DUMMYFUNCTION("""COMPUTED_VALUE"""),46129.6458333333)</f>
        <v>46129.645833333299</v>
      </c>
      <c r="BH3293" s="17"/>
      <c r="BI3293" s="17"/>
      <c r="BJ3293" s="15"/>
      <c r="BK3293" s="15"/>
      <c r="BL3293" s="13" t="b">
        <v>0</v>
      </c>
      <c r="BM3293" s="10"/>
      <c r="BN3293" s="10" t="s">
        <v>223</v>
      </c>
      <c r="BO3293" s="11">
        <v>46010.149050925924</v>
      </c>
      <c r="BP3293" s="11">
        <v>46010.149050925924</v>
      </c>
      <c r="BQ3293" s="15"/>
      <c r="BR3293" s="15"/>
      <c r="BS3293" s="10"/>
      <c r="BT3293" s="10"/>
      <c r="BU3293" s="10"/>
      <c r="BV3293" s="10"/>
      <c r="BW3293" s="10"/>
      <c r="BX3293" s="10"/>
      <c r="BY3293" s="23"/>
      <c r="BZ3293" s="23"/>
      <c r="CA3293" s="10"/>
      <c r="CB3293" s="23"/>
      <c r="CC3293" s="23"/>
      <c r="CD3293" s="23"/>
      <c r="CE3293" s="23"/>
      <c r="CF3293" s="23"/>
      <c r="CG3293" s="23"/>
      <c r="CH3293" s="23"/>
      <c r="CI3293" s="23"/>
    </row>
    <row r="3294" spans="1:87" x14ac:dyDescent="0.3">
      <c r="A3294" s="9" t="s">
        <v>23725</v>
      </c>
      <c r="B3294" s="10" t="s">
        <v>23726</v>
      </c>
      <c r="C3294" s="11">
        <v>46129.791666666664</v>
      </c>
      <c r="D3294" s="12">
        <v>8.3333333333333329E-2</v>
      </c>
      <c r="E3294" s="11">
        <v>46129.875</v>
      </c>
      <c r="F3294" s="22" t="s">
        <v>3511</v>
      </c>
      <c r="G3294" s="13" t="b">
        <v>0</v>
      </c>
      <c r="H3294" s="22" t="s">
        <v>123</v>
      </c>
      <c r="I3294" s="10" t="s">
        <v>3548</v>
      </c>
      <c r="J3294" s="13" t="b">
        <v>0</v>
      </c>
      <c r="K3294" s="13" t="b">
        <v>1</v>
      </c>
      <c r="L3294" s="10" t="s">
        <v>124</v>
      </c>
      <c r="M3294" s="10" t="s">
        <v>91</v>
      </c>
      <c r="N3294" s="10" t="s">
        <v>3513</v>
      </c>
      <c r="O3294" s="10"/>
      <c r="P3294" s="10"/>
      <c r="Q3294" s="10"/>
      <c r="R3294" s="10"/>
      <c r="S3294" s="10"/>
      <c r="T3294" s="10"/>
      <c r="U3294" s="10" t="s">
        <v>3551</v>
      </c>
      <c r="V3294" s="10" t="s">
        <v>3635</v>
      </c>
      <c r="W3294" s="10" t="s">
        <v>3519</v>
      </c>
      <c r="X3294" s="10" t="s">
        <v>130</v>
      </c>
      <c r="Y3294" s="10" t="s">
        <v>130</v>
      </c>
      <c r="Z3294" s="10" t="s">
        <v>99</v>
      </c>
      <c r="AA3294" s="10" t="s">
        <v>131</v>
      </c>
      <c r="AB3294" s="10" t="s">
        <v>3520</v>
      </c>
      <c r="AC3294" s="10" t="s">
        <v>3521</v>
      </c>
      <c r="AD3294" s="10" t="s">
        <v>23727</v>
      </c>
      <c r="AE3294" s="10" t="s">
        <v>23728</v>
      </c>
      <c r="AF3294" s="15"/>
      <c r="AG3294" s="10"/>
      <c r="AH3294" s="10"/>
      <c r="AI3294" s="10"/>
      <c r="AJ3294" s="10"/>
      <c r="AK3294" s="10"/>
      <c r="AL3294" s="10" t="s">
        <v>2761</v>
      </c>
      <c r="AM3294" s="10"/>
      <c r="AN3294" s="10"/>
      <c r="AO3294" s="13" t="b">
        <v>1</v>
      </c>
      <c r="AP3294" s="22" t="s">
        <v>104</v>
      </c>
      <c r="AQ3294" s="10"/>
      <c r="AR3294" s="17"/>
      <c r="AS3294" s="17"/>
      <c r="AT3294" s="17"/>
      <c r="AU3294" s="17"/>
      <c r="AV3294" s="17"/>
      <c r="AW3294" s="10"/>
      <c r="AX3294" s="17"/>
      <c r="AY3294" s="18" t="s">
        <v>257</v>
      </c>
      <c r="AZ3294" s="10"/>
      <c r="BA3294" s="20" t="b">
        <v>0</v>
      </c>
      <c r="BB3294" s="10"/>
      <c r="BC3294" s="17" t="s">
        <v>257</v>
      </c>
      <c r="BD3294" s="17" t="s">
        <v>257</v>
      </c>
      <c r="BE3294" s="17" t="s">
        <v>257</v>
      </c>
      <c r="BF3294" s="17" t="s">
        <v>257</v>
      </c>
      <c r="BG3294" s="11">
        <f ca="1">IFERROR(__xludf.DUMMYFUNCTION("""COMPUTED_VALUE"""),46129.7916666666)</f>
        <v>46129.791666666599</v>
      </c>
      <c r="BH3294" s="17"/>
      <c r="BI3294" s="17"/>
      <c r="BJ3294" s="15"/>
      <c r="BK3294" s="15"/>
      <c r="BL3294" s="13" t="b">
        <v>0</v>
      </c>
      <c r="BM3294" s="10"/>
      <c r="BN3294" s="10" t="s">
        <v>223</v>
      </c>
      <c r="BO3294" s="11">
        <v>46010.149050925924</v>
      </c>
      <c r="BP3294" s="11">
        <v>46010.149050925924</v>
      </c>
      <c r="BQ3294" s="15"/>
      <c r="BR3294" s="15"/>
      <c r="BS3294" s="10"/>
      <c r="BT3294" s="10"/>
      <c r="BU3294" s="10"/>
      <c r="BV3294" s="10"/>
      <c r="BW3294" s="10"/>
      <c r="BX3294" s="10"/>
      <c r="BY3294" s="23"/>
      <c r="BZ3294" s="23"/>
      <c r="CA3294" s="10"/>
      <c r="CB3294" s="23"/>
      <c r="CC3294" s="23"/>
      <c r="CD3294" s="23"/>
      <c r="CE3294" s="23"/>
      <c r="CF3294" s="23"/>
      <c r="CG3294" s="23"/>
      <c r="CH3294" s="23"/>
      <c r="CI3294" s="23"/>
    </row>
    <row r="3295" spans="1:87" x14ac:dyDescent="0.3">
      <c r="A3295" s="9" t="s">
        <v>23729</v>
      </c>
      <c r="B3295" s="10" t="s">
        <v>23730</v>
      </c>
      <c r="C3295" s="11">
        <v>46130.645833333336</v>
      </c>
      <c r="D3295" s="12">
        <v>8.3333333333333329E-2</v>
      </c>
      <c r="E3295" s="11">
        <v>46130.729166666664</v>
      </c>
      <c r="F3295" s="22" t="s">
        <v>3511</v>
      </c>
      <c r="G3295" s="13" t="b">
        <v>0</v>
      </c>
      <c r="H3295" s="22" t="s">
        <v>123</v>
      </c>
      <c r="I3295" s="10" t="s">
        <v>3548</v>
      </c>
      <c r="J3295" s="13" t="b">
        <v>0</v>
      </c>
      <c r="K3295" s="13" t="b">
        <v>1</v>
      </c>
      <c r="L3295" s="10" t="s">
        <v>124</v>
      </c>
      <c r="M3295" s="10" t="s">
        <v>91</v>
      </c>
      <c r="N3295" s="10" t="s">
        <v>3513</v>
      </c>
      <c r="O3295" s="10"/>
      <c r="P3295" s="10"/>
      <c r="Q3295" s="10"/>
      <c r="R3295" s="10"/>
      <c r="S3295" s="10"/>
      <c r="T3295" s="10"/>
      <c r="U3295" s="10" t="s">
        <v>3676</v>
      </c>
      <c r="V3295" s="10" t="s">
        <v>3636</v>
      </c>
      <c r="W3295" s="10" t="s">
        <v>3519</v>
      </c>
      <c r="X3295" s="10" t="s">
        <v>130</v>
      </c>
      <c r="Y3295" s="10" t="s">
        <v>130</v>
      </c>
      <c r="Z3295" s="10" t="s">
        <v>99</v>
      </c>
      <c r="AA3295" s="10" t="s">
        <v>131</v>
      </c>
      <c r="AB3295" s="10" t="s">
        <v>3520</v>
      </c>
      <c r="AC3295" s="10" t="s">
        <v>3521</v>
      </c>
      <c r="AD3295" s="10" t="s">
        <v>23731</v>
      </c>
      <c r="AE3295" s="10" t="s">
        <v>23732</v>
      </c>
      <c r="AF3295" s="15"/>
      <c r="AG3295" s="10"/>
      <c r="AH3295" s="10"/>
      <c r="AI3295" s="10"/>
      <c r="AJ3295" s="10"/>
      <c r="AK3295" s="10"/>
      <c r="AL3295" s="10" t="s">
        <v>2761</v>
      </c>
      <c r="AM3295" s="10"/>
      <c r="AN3295" s="10"/>
      <c r="AO3295" s="13" t="b">
        <v>0</v>
      </c>
      <c r="AP3295" s="22" t="s">
        <v>104</v>
      </c>
      <c r="AQ3295" s="10"/>
      <c r="AR3295" s="17"/>
      <c r="AS3295" s="17"/>
      <c r="AT3295" s="17"/>
      <c r="AU3295" s="17"/>
      <c r="AV3295" s="17"/>
      <c r="AW3295" s="10"/>
      <c r="AX3295" s="17"/>
      <c r="AY3295" s="18" t="s">
        <v>257</v>
      </c>
      <c r="AZ3295" s="10"/>
      <c r="BA3295" s="20" t="b">
        <v>0</v>
      </c>
      <c r="BB3295" s="10"/>
      <c r="BC3295" s="17" t="s">
        <v>257</v>
      </c>
      <c r="BD3295" s="17" t="s">
        <v>257</v>
      </c>
      <c r="BE3295" s="17" t="s">
        <v>257</v>
      </c>
      <c r="BF3295" s="17" t="s">
        <v>257</v>
      </c>
      <c r="BG3295" s="11">
        <f ca="1">IFERROR(__xludf.DUMMYFUNCTION("""COMPUTED_VALUE"""),46130.6458333333)</f>
        <v>46130.645833333299</v>
      </c>
      <c r="BH3295" s="17"/>
      <c r="BI3295" s="17"/>
      <c r="BJ3295" s="15"/>
      <c r="BK3295" s="15"/>
      <c r="BL3295" s="13" t="b">
        <v>0</v>
      </c>
      <c r="BM3295" s="10"/>
      <c r="BN3295" s="10" t="s">
        <v>223</v>
      </c>
      <c r="BO3295" s="11">
        <v>46010.149050925924</v>
      </c>
      <c r="BP3295" s="11">
        <v>46010.149050925924</v>
      </c>
      <c r="BQ3295" s="15"/>
      <c r="BR3295" s="15"/>
      <c r="BS3295" s="10"/>
      <c r="BT3295" s="10"/>
      <c r="BU3295" s="10"/>
      <c r="BV3295" s="10"/>
      <c r="BW3295" s="10"/>
      <c r="BX3295" s="10"/>
      <c r="BY3295" s="23"/>
      <c r="BZ3295" s="23"/>
      <c r="CA3295" s="10"/>
      <c r="CB3295" s="23"/>
      <c r="CC3295" s="23"/>
      <c r="CD3295" s="23"/>
      <c r="CE3295" s="23"/>
      <c r="CF3295" s="23"/>
      <c r="CG3295" s="23"/>
      <c r="CH3295" s="23"/>
      <c r="CI3295" s="23"/>
    </row>
    <row r="3296" spans="1:87" x14ac:dyDescent="0.3">
      <c r="A3296" s="9" t="s">
        <v>23733</v>
      </c>
      <c r="B3296" s="10" t="s">
        <v>23734</v>
      </c>
      <c r="C3296" s="11">
        <v>46130.791666666664</v>
      </c>
      <c r="D3296" s="12">
        <v>8.3333333333333329E-2</v>
      </c>
      <c r="E3296" s="11">
        <v>46130.875</v>
      </c>
      <c r="F3296" s="22" t="s">
        <v>3511</v>
      </c>
      <c r="G3296" s="13" t="b">
        <v>0</v>
      </c>
      <c r="H3296" s="22" t="s">
        <v>3512</v>
      </c>
      <c r="I3296" s="10" t="s">
        <v>212</v>
      </c>
      <c r="J3296" s="13" t="b">
        <v>1</v>
      </c>
      <c r="K3296" s="13" t="b">
        <v>0</v>
      </c>
      <c r="L3296" s="10" t="s">
        <v>124</v>
      </c>
      <c r="M3296" s="10" t="s">
        <v>91</v>
      </c>
      <c r="N3296" s="10" t="s">
        <v>3513</v>
      </c>
      <c r="O3296" s="10"/>
      <c r="P3296" s="10"/>
      <c r="Q3296" s="10"/>
      <c r="R3296" s="10"/>
      <c r="S3296" s="10"/>
      <c r="T3296" s="10"/>
      <c r="U3296" s="10" t="s">
        <v>3535</v>
      </c>
      <c r="V3296" s="10" t="s">
        <v>3517</v>
      </c>
      <c r="W3296" s="10" t="s">
        <v>3519</v>
      </c>
      <c r="X3296" s="10" t="s">
        <v>130</v>
      </c>
      <c r="Y3296" s="10" t="s">
        <v>130</v>
      </c>
      <c r="Z3296" s="10" t="s">
        <v>99</v>
      </c>
      <c r="AA3296" s="10" t="s">
        <v>131</v>
      </c>
      <c r="AB3296" s="10" t="s">
        <v>3520</v>
      </c>
      <c r="AC3296" s="10" t="s">
        <v>3521</v>
      </c>
      <c r="AD3296" s="10" t="s">
        <v>23735</v>
      </c>
      <c r="AE3296" s="10" t="s">
        <v>23736</v>
      </c>
      <c r="AF3296" s="15"/>
      <c r="AG3296" s="10"/>
      <c r="AH3296" s="10"/>
      <c r="AI3296" s="10"/>
      <c r="AJ3296" s="10"/>
      <c r="AK3296" s="10"/>
      <c r="AL3296" s="10" t="s">
        <v>2761</v>
      </c>
      <c r="AM3296" s="10"/>
      <c r="AN3296" s="10"/>
      <c r="AO3296" s="13" t="b">
        <v>0</v>
      </c>
      <c r="AP3296" s="22" t="s">
        <v>104</v>
      </c>
      <c r="AQ3296" s="10"/>
      <c r="AR3296" s="17"/>
      <c r="AS3296" s="17"/>
      <c r="AT3296" s="17"/>
      <c r="AU3296" s="17"/>
      <c r="AV3296" s="17"/>
      <c r="AW3296" s="10"/>
      <c r="AX3296" s="17"/>
      <c r="AY3296" s="18" t="s">
        <v>257</v>
      </c>
      <c r="AZ3296" s="10"/>
      <c r="BA3296" s="20" t="b">
        <v>0</v>
      </c>
      <c r="BB3296" s="10"/>
      <c r="BC3296" s="17" t="s">
        <v>257</v>
      </c>
      <c r="BD3296" s="17" t="s">
        <v>257</v>
      </c>
      <c r="BE3296" s="17" t="s">
        <v>257</v>
      </c>
      <c r="BF3296" s="17" t="s">
        <v>257</v>
      </c>
      <c r="BG3296" s="11">
        <f ca="1">IFERROR(__xludf.DUMMYFUNCTION("""COMPUTED_VALUE"""),46130.7916666666)</f>
        <v>46130.791666666599</v>
      </c>
      <c r="BH3296" s="17"/>
      <c r="BI3296" s="17"/>
      <c r="BJ3296" s="15"/>
      <c r="BK3296" s="15"/>
      <c r="BL3296" s="13" t="b">
        <v>0</v>
      </c>
      <c r="BM3296" s="10"/>
      <c r="BN3296" s="10" t="s">
        <v>223</v>
      </c>
      <c r="BO3296" s="11">
        <v>46010.149050925924</v>
      </c>
      <c r="BP3296" s="11">
        <v>46010.149050925924</v>
      </c>
      <c r="BQ3296" s="15"/>
      <c r="BR3296" s="15"/>
      <c r="BS3296" s="10"/>
      <c r="BT3296" s="10"/>
      <c r="BU3296" s="10"/>
      <c r="BV3296" s="10"/>
      <c r="BW3296" s="10"/>
      <c r="BX3296" s="10"/>
      <c r="BY3296" s="23"/>
      <c r="BZ3296" s="23"/>
      <c r="CA3296" s="10"/>
      <c r="CB3296" s="23"/>
      <c r="CC3296" s="23"/>
      <c r="CD3296" s="23"/>
      <c r="CE3296" s="23"/>
      <c r="CF3296" s="23"/>
      <c r="CG3296" s="23"/>
      <c r="CH3296" s="23"/>
      <c r="CI3296" s="23"/>
    </row>
    <row r="3297" spans="1:87" x14ac:dyDescent="0.3">
      <c r="A3297" s="9" t="s">
        <v>23737</v>
      </c>
      <c r="B3297" s="10" t="s">
        <v>23738</v>
      </c>
      <c r="C3297" s="11">
        <v>46130.791666666664</v>
      </c>
      <c r="D3297" s="12">
        <v>8.3333333333333329E-2</v>
      </c>
      <c r="E3297" s="11">
        <v>46130.875</v>
      </c>
      <c r="F3297" s="22" t="s">
        <v>3511</v>
      </c>
      <c r="G3297" s="13" t="b">
        <v>0</v>
      </c>
      <c r="H3297" s="22" t="s">
        <v>123</v>
      </c>
      <c r="I3297" s="10" t="s">
        <v>3548</v>
      </c>
      <c r="J3297" s="13" t="b">
        <v>0</v>
      </c>
      <c r="K3297" s="13" t="b">
        <v>1</v>
      </c>
      <c r="L3297" s="10" t="s">
        <v>124</v>
      </c>
      <c r="M3297" s="10" t="s">
        <v>91</v>
      </c>
      <c r="N3297" s="10" t="s">
        <v>3513</v>
      </c>
      <c r="O3297" s="10"/>
      <c r="P3297" s="10"/>
      <c r="Q3297" s="10"/>
      <c r="R3297" s="10"/>
      <c r="S3297" s="10"/>
      <c r="T3297" s="10"/>
      <c r="U3297" s="10" t="s">
        <v>3677</v>
      </c>
      <c r="V3297" s="10" t="s">
        <v>3647</v>
      </c>
      <c r="W3297" s="10" t="s">
        <v>3519</v>
      </c>
      <c r="X3297" s="10" t="s">
        <v>130</v>
      </c>
      <c r="Y3297" s="10" t="s">
        <v>130</v>
      </c>
      <c r="Z3297" s="10" t="s">
        <v>99</v>
      </c>
      <c r="AA3297" s="10" t="s">
        <v>131</v>
      </c>
      <c r="AB3297" s="10" t="s">
        <v>3520</v>
      </c>
      <c r="AC3297" s="10" t="s">
        <v>3521</v>
      </c>
      <c r="AD3297" s="10" t="s">
        <v>23739</v>
      </c>
      <c r="AE3297" s="10" t="s">
        <v>23740</v>
      </c>
      <c r="AF3297" s="15"/>
      <c r="AG3297" s="10"/>
      <c r="AH3297" s="10"/>
      <c r="AI3297" s="10"/>
      <c r="AJ3297" s="10"/>
      <c r="AK3297" s="10"/>
      <c r="AL3297" s="10" t="s">
        <v>2761</v>
      </c>
      <c r="AM3297" s="10"/>
      <c r="AN3297" s="10"/>
      <c r="AO3297" s="13" t="b">
        <v>1</v>
      </c>
      <c r="AP3297" s="22" t="s">
        <v>104</v>
      </c>
      <c r="AQ3297" s="10"/>
      <c r="AR3297" s="17"/>
      <c r="AS3297" s="17"/>
      <c r="AT3297" s="17"/>
      <c r="AU3297" s="17"/>
      <c r="AV3297" s="17"/>
      <c r="AW3297" s="10"/>
      <c r="AX3297" s="17"/>
      <c r="AY3297" s="18" t="s">
        <v>257</v>
      </c>
      <c r="AZ3297" s="10"/>
      <c r="BA3297" s="20" t="b">
        <v>0</v>
      </c>
      <c r="BB3297" s="10"/>
      <c r="BC3297" s="17" t="s">
        <v>257</v>
      </c>
      <c r="BD3297" s="17" t="s">
        <v>257</v>
      </c>
      <c r="BE3297" s="17" t="s">
        <v>257</v>
      </c>
      <c r="BF3297" s="17" t="s">
        <v>257</v>
      </c>
      <c r="BG3297" s="11">
        <f ca="1">IFERROR(__xludf.DUMMYFUNCTION("""COMPUTED_VALUE"""),46130.7916666666)</f>
        <v>46130.791666666599</v>
      </c>
      <c r="BH3297" s="17"/>
      <c r="BI3297" s="17"/>
      <c r="BJ3297" s="15"/>
      <c r="BK3297" s="15"/>
      <c r="BL3297" s="13" t="b">
        <v>0</v>
      </c>
      <c r="BM3297" s="10"/>
      <c r="BN3297" s="10" t="s">
        <v>223</v>
      </c>
      <c r="BO3297" s="11">
        <v>46010.149050925924</v>
      </c>
      <c r="BP3297" s="11">
        <v>46010.149050925924</v>
      </c>
      <c r="BQ3297" s="15"/>
      <c r="BR3297" s="15"/>
      <c r="BS3297" s="10"/>
      <c r="BT3297" s="10"/>
      <c r="BU3297" s="10"/>
      <c r="BV3297" s="10"/>
      <c r="BW3297" s="10"/>
      <c r="BX3297" s="10"/>
      <c r="BY3297" s="23"/>
      <c r="BZ3297" s="23"/>
      <c r="CA3297" s="10"/>
      <c r="CB3297" s="23"/>
      <c r="CC3297" s="23"/>
      <c r="CD3297" s="23"/>
      <c r="CE3297" s="23"/>
      <c r="CF3297" s="23"/>
      <c r="CG3297" s="23"/>
      <c r="CH3297" s="23"/>
      <c r="CI3297" s="23"/>
    </row>
    <row r="3298" spans="1:87" x14ac:dyDescent="0.3">
      <c r="A3298" s="9" t="s">
        <v>23741</v>
      </c>
      <c r="B3298" s="10" t="s">
        <v>23742</v>
      </c>
      <c r="C3298" s="11">
        <v>46131.645833333336</v>
      </c>
      <c r="D3298" s="12">
        <v>8.3333333333333329E-2</v>
      </c>
      <c r="E3298" s="11">
        <v>46131.729166666664</v>
      </c>
      <c r="F3298" s="22" t="s">
        <v>3511</v>
      </c>
      <c r="G3298" s="13" t="b">
        <v>0</v>
      </c>
      <c r="H3298" s="22" t="s">
        <v>236</v>
      </c>
      <c r="I3298" s="10" t="s">
        <v>3548</v>
      </c>
      <c r="J3298" s="13" t="b">
        <v>0</v>
      </c>
      <c r="K3298" s="13" t="b">
        <v>1</v>
      </c>
      <c r="L3298" s="10" t="s">
        <v>124</v>
      </c>
      <c r="M3298" s="10" t="s">
        <v>91</v>
      </c>
      <c r="N3298" s="10" t="s">
        <v>3513</v>
      </c>
      <c r="O3298" s="10"/>
      <c r="P3298" s="10"/>
      <c r="Q3298" s="10"/>
      <c r="R3298" s="10"/>
      <c r="S3298" s="10"/>
      <c r="T3298" s="10"/>
      <c r="U3298" s="10" t="s">
        <v>3662</v>
      </c>
      <c r="V3298" s="10" t="s">
        <v>3648</v>
      </c>
      <c r="W3298" s="10" t="s">
        <v>3519</v>
      </c>
      <c r="X3298" s="10" t="s">
        <v>130</v>
      </c>
      <c r="Y3298" s="10" t="s">
        <v>130</v>
      </c>
      <c r="Z3298" s="10" t="s">
        <v>99</v>
      </c>
      <c r="AA3298" s="10" t="s">
        <v>131</v>
      </c>
      <c r="AB3298" s="10" t="s">
        <v>3520</v>
      </c>
      <c r="AC3298" s="10" t="s">
        <v>3521</v>
      </c>
      <c r="AD3298" s="10" t="s">
        <v>23743</v>
      </c>
      <c r="AE3298" s="10" t="s">
        <v>23744</v>
      </c>
      <c r="AF3298" s="15"/>
      <c r="AG3298" s="10"/>
      <c r="AH3298" s="10"/>
      <c r="AI3298" s="10"/>
      <c r="AJ3298" s="10"/>
      <c r="AK3298" s="10"/>
      <c r="AL3298" s="10" t="s">
        <v>2761</v>
      </c>
      <c r="AM3298" s="10"/>
      <c r="AN3298" s="10"/>
      <c r="AO3298" s="13" t="b">
        <v>0</v>
      </c>
      <c r="AP3298" s="22" t="s">
        <v>104</v>
      </c>
      <c r="AQ3298" s="10"/>
      <c r="AR3298" s="17"/>
      <c r="AS3298" s="17"/>
      <c r="AT3298" s="17"/>
      <c r="AU3298" s="17"/>
      <c r="AV3298" s="17"/>
      <c r="AW3298" s="10"/>
      <c r="AX3298" s="17"/>
      <c r="AY3298" s="18" t="s">
        <v>257</v>
      </c>
      <c r="AZ3298" s="10"/>
      <c r="BA3298" s="20" t="b">
        <v>0</v>
      </c>
      <c r="BB3298" s="10"/>
      <c r="BC3298" s="17" t="s">
        <v>257</v>
      </c>
      <c r="BD3298" s="17" t="s">
        <v>257</v>
      </c>
      <c r="BE3298" s="17" t="s">
        <v>257</v>
      </c>
      <c r="BF3298" s="17" t="s">
        <v>257</v>
      </c>
      <c r="BG3298" s="11">
        <f ca="1">IFERROR(__xludf.DUMMYFUNCTION("""COMPUTED_VALUE"""),46131.6458333333)</f>
        <v>46131.645833333299</v>
      </c>
      <c r="BH3298" s="17"/>
      <c r="BI3298" s="17"/>
      <c r="BJ3298" s="15"/>
      <c r="BK3298" s="15"/>
      <c r="BL3298" s="13" t="b">
        <v>0</v>
      </c>
      <c r="BM3298" s="10"/>
      <c r="BN3298" s="10" t="s">
        <v>223</v>
      </c>
      <c r="BO3298" s="11">
        <v>46010.149050925924</v>
      </c>
      <c r="BP3298" s="11">
        <v>46010.149050925924</v>
      </c>
      <c r="BQ3298" s="15"/>
      <c r="BR3298" s="15"/>
      <c r="BS3298" s="10"/>
      <c r="BT3298" s="10"/>
      <c r="BU3298" s="10"/>
      <c r="BV3298" s="10"/>
      <c r="BW3298" s="10"/>
      <c r="BX3298" s="10"/>
      <c r="BY3298" s="23"/>
      <c r="BZ3298" s="23"/>
      <c r="CA3298" s="10"/>
      <c r="CB3298" s="23"/>
      <c r="CC3298" s="23"/>
      <c r="CD3298" s="23"/>
      <c r="CE3298" s="23"/>
      <c r="CF3298" s="23"/>
      <c r="CG3298" s="23"/>
      <c r="CH3298" s="23"/>
      <c r="CI3298" s="23"/>
    </row>
    <row r="3299" spans="1:87" x14ac:dyDescent="0.3">
      <c r="A3299" s="9" t="s">
        <v>23745</v>
      </c>
      <c r="B3299" s="10" t="s">
        <v>23746</v>
      </c>
      <c r="C3299" s="11">
        <v>46131.791666666664</v>
      </c>
      <c r="D3299" s="12">
        <v>8.3333333333333329E-2</v>
      </c>
      <c r="E3299" s="11">
        <v>46131.875</v>
      </c>
      <c r="F3299" s="22" t="s">
        <v>3511</v>
      </c>
      <c r="G3299" s="13" t="b">
        <v>0</v>
      </c>
      <c r="H3299" s="22" t="s">
        <v>123</v>
      </c>
      <c r="I3299" s="10" t="s">
        <v>3548</v>
      </c>
      <c r="J3299" s="13" t="b">
        <v>0</v>
      </c>
      <c r="K3299" s="13" t="b">
        <v>1</v>
      </c>
      <c r="L3299" s="10" t="s">
        <v>124</v>
      </c>
      <c r="M3299" s="10" t="s">
        <v>91</v>
      </c>
      <c r="N3299" s="10" t="s">
        <v>3513</v>
      </c>
      <c r="O3299" s="10"/>
      <c r="P3299" s="10"/>
      <c r="Q3299" s="10"/>
      <c r="R3299" s="10"/>
      <c r="S3299" s="10"/>
      <c r="T3299" s="10"/>
      <c r="U3299" s="10" t="s">
        <v>3661</v>
      </c>
      <c r="V3299" s="10" t="s">
        <v>3623</v>
      </c>
      <c r="W3299" s="10" t="s">
        <v>3519</v>
      </c>
      <c r="X3299" s="10" t="s">
        <v>130</v>
      </c>
      <c r="Y3299" s="10" t="s">
        <v>130</v>
      </c>
      <c r="Z3299" s="10" t="s">
        <v>99</v>
      </c>
      <c r="AA3299" s="10" t="s">
        <v>131</v>
      </c>
      <c r="AB3299" s="10" t="s">
        <v>3520</v>
      </c>
      <c r="AC3299" s="10" t="s">
        <v>3521</v>
      </c>
      <c r="AD3299" s="10" t="s">
        <v>23747</v>
      </c>
      <c r="AE3299" s="10" t="s">
        <v>23748</v>
      </c>
      <c r="AF3299" s="15"/>
      <c r="AG3299" s="10"/>
      <c r="AH3299" s="10"/>
      <c r="AI3299" s="10"/>
      <c r="AJ3299" s="10"/>
      <c r="AK3299" s="10"/>
      <c r="AL3299" s="10" t="s">
        <v>2761</v>
      </c>
      <c r="AM3299" s="10"/>
      <c r="AN3299" s="10"/>
      <c r="AO3299" s="13" t="b">
        <v>0</v>
      </c>
      <c r="AP3299" s="22" t="s">
        <v>104</v>
      </c>
      <c r="AQ3299" s="10"/>
      <c r="AR3299" s="17"/>
      <c r="AS3299" s="17"/>
      <c r="AT3299" s="17"/>
      <c r="AU3299" s="17"/>
      <c r="AV3299" s="17"/>
      <c r="AW3299" s="10"/>
      <c r="AX3299" s="17"/>
      <c r="AY3299" s="18" t="s">
        <v>257</v>
      </c>
      <c r="AZ3299" s="10"/>
      <c r="BA3299" s="20" t="b">
        <v>0</v>
      </c>
      <c r="BB3299" s="10"/>
      <c r="BC3299" s="17" t="s">
        <v>257</v>
      </c>
      <c r="BD3299" s="17" t="s">
        <v>257</v>
      </c>
      <c r="BE3299" s="17" t="s">
        <v>257</v>
      </c>
      <c r="BF3299" s="17" t="s">
        <v>257</v>
      </c>
      <c r="BG3299" s="11">
        <f ca="1">IFERROR(__xludf.DUMMYFUNCTION("""COMPUTED_VALUE"""),46131.7916666666)</f>
        <v>46131.791666666599</v>
      </c>
      <c r="BH3299" s="17"/>
      <c r="BI3299" s="17"/>
      <c r="BJ3299" s="15"/>
      <c r="BK3299" s="15"/>
      <c r="BL3299" s="13" t="b">
        <v>0</v>
      </c>
      <c r="BM3299" s="10"/>
      <c r="BN3299" s="10" t="s">
        <v>223</v>
      </c>
      <c r="BO3299" s="11">
        <v>46010.149050925924</v>
      </c>
      <c r="BP3299" s="11">
        <v>46010.149050925924</v>
      </c>
      <c r="BQ3299" s="15"/>
      <c r="BR3299" s="15"/>
      <c r="BS3299" s="10"/>
      <c r="BT3299" s="10"/>
      <c r="BU3299" s="10"/>
      <c r="BV3299" s="10"/>
      <c r="BW3299" s="10"/>
      <c r="BX3299" s="10"/>
      <c r="BY3299" s="23"/>
      <c r="BZ3299" s="23"/>
      <c r="CA3299" s="10"/>
      <c r="CB3299" s="23"/>
      <c r="CC3299" s="23"/>
      <c r="CD3299" s="23"/>
      <c r="CE3299" s="23"/>
      <c r="CF3299" s="23"/>
      <c r="CG3299" s="23"/>
      <c r="CH3299" s="23"/>
      <c r="CI3299" s="23"/>
    </row>
    <row r="3300" spans="1:87" x14ac:dyDescent="0.3">
      <c r="A3300" s="9" t="s">
        <v>23749</v>
      </c>
      <c r="B3300" s="10" t="s">
        <v>23750</v>
      </c>
      <c r="C3300" s="11">
        <v>46132.645833333336</v>
      </c>
      <c r="D3300" s="12">
        <v>8.3333333333333329E-2</v>
      </c>
      <c r="E3300" s="11">
        <v>46132.729166666664</v>
      </c>
      <c r="F3300" s="22" t="s">
        <v>3511</v>
      </c>
      <c r="G3300" s="13" t="b">
        <v>0</v>
      </c>
      <c r="H3300" s="22" t="s">
        <v>236</v>
      </c>
      <c r="I3300" s="10" t="s">
        <v>212</v>
      </c>
      <c r="J3300" s="13" t="b">
        <v>1</v>
      </c>
      <c r="K3300" s="13" t="b">
        <v>0</v>
      </c>
      <c r="L3300" s="10" t="s">
        <v>124</v>
      </c>
      <c r="M3300" s="10" t="s">
        <v>91</v>
      </c>
      <c r="N3300" s="10" t="s">
        <v>3513</v>
      </c>
      <c r="O3300" s="10"/>
      <c r="P3300" s="10"/>
      <c r="Q3300" s="10"/>
      <c r="R3300" s="10"/>
      <c r="S3300" s="10"/>
      <c r="T3300" s="10"/>
      <c r="U3300" s="10" t="s">
        <v>3610</v>
      </c>
      <c r="V3300" s="10" t="s">
        <v>3536</v>
      </c>
      <c r="W3300" s="10" t="s">
        <v>3519</v>
      </c>
      <c r="X3300" s="10" t="s">
        <v>130</v>
      </c>
      <c r="Y3300" s="10" t="s">
        <v>130</v>
      </c>
      <c r="Z3300" s="10" t="s">
        <v>99</v>
      </c>
      <c r="AA3300" s="10" t="s">
        <v>131</v>
      </c>
      <c r="AB3300" s="10" t="s">
        <v>3520</v>
      </c>
      <c r="AC3300" s="10" t="s">
        <v>3521</v>
      </c>
      <c r="AD3300" s="10" t="s">
        <v>23751</v>
      </c>
      <c r="AE3300" s="10" t="s">
        <v>23752</v>
      </c>
      <c r="AF3300" s="15"/>
      <c r="AG3300" s="10"/>
      <c r="AH3300" s="10"/>
      <c r="AI3300" s="10"/>
      <c r="AJ3300" s="10"/>
      <c r="AK3300" s="10"/>
      <c r="AL3300" s="10" t="s">
        <v>2761</v>
      </c>
      <c r="AM3300" s="10"/>
      <c r="AN3300" s="10"/>
      <c r="AO3300" s="13" t="b">
        <v>0</v>
      </c>
      <c r="AP3300" s="22" t="s">
        <v>104</v>
      </c>
      <c r="AQ3300" s="10"/>
      <c r="AR3300" s="17"/>
      <c r="AS3300" s="17"/>
      <c r="AT3300" s="17"/>
      <c r="AU3300" s="17"/>
      <c r="AV3300" s="17"/>
      <c r="AW3300" s="10"/>
      <c r="AX3300" s="17"/>
      <c r="AY3300" s="18" t="s">
        <v>257</v>
      </c>
      <c r="AZ3300" s="10"/>
      <c r="BA3300" s="20" t="b">
        <v>0</v>
      </c>
      <c r="BB3300" s="10"/>
      <c r="BC3300" s="17" t="s">
        <v>257</v>
      </c>
      <c r="BD3300" s="17" t="s">
        <v>257</v>
      </c>
      <c r="BE3300" s="17" t="s">
        <v>257</v>
      </c>
      <c r="BF3300" s="17" t="s">
        <v>257</v>
      </c>
      <c r="BG3300" s="11">
        <f ca="1">IFERROR(__xludf.DUMMYFUNCTION("""COMPUTED_VALUE"""),46132.6458333333)</f>
        <v>46132.645833333299</v>
      </c>
      <c r="BH3300" s="17"/>
      <c r="BI3300" s="17"/>
      <c r="BJ3300" s="15"/>
      <c r="BK3300" s="15"/>
      <c r="BL3300" s="13" t="b">
        <v>0</v>
      </c>
      <c r="BM3300" s="10"/>
      <c r="BN3300" s="10" t="s">
        <v>223</v>
      </c>
      <c r="BO3300" s="11">
        <v>46010.149050925924</v>
      </c>
      <c r="BP3300" s="11">
        <v>46010.149050925924</v>
      </c>
      <c r="BQ3300" s="15"/>
      <c r="BR3300" s="15"/>
      <c r="BS3300" s="10"/>
      <c r="BT3300" s="10"/>
      <c r="BU3300" s="10"/>
      <c r="BV3300" s="10"/>
      <c r="BW3300" s="10"/>
      <c r="BX3300" s="10"/>
      <c r="BY3300" s="23"/>
      <c r="BZ3300" s="23"/>
      <c r="CA3300" s="10"/>
      <c r="CB3300" s="23"/>
      <c r="CC3300" s="23"/>
      <c r="CD3300" s="23"/>
      <c r="CE3300" s="23"/>
      <c r="CF3300" s="23"/>
      <c r="CG3300" s="23"/>
      <c r="CH3300" s="23"/>
      <c r="CI3300" s="23"/>
    </row>
    <row r="3301" spans="1:87" x14ac:dyDescent="0.3">
      <c r="A3301" s="9" t="s">
        <v>23753</v>
      </c>
      <c r="B3301" s="10" t="s">
        <v>23754</v>
      </c>
      <c r="C3301" s="11">
        <v>46132.791666666664</v>
      </c>
      <c r="D3301" s="12">
        <v>8.3333333333333329E-2</v>
      </c>
      <c r="E3301" s="11">
        <v>46132.875</v>
      </c>
      <c r="F3301" s="22" t="s">
        <v>3511</v>
      </c>
      <c r="G3301" s="13" t="b">
        <v>0</v>
      </c>
      <c r="H3301" s="22" t="s">
        <v>123</v>
      </c>
      <c r="I3301" s="10" t="s">
        <v>3548</v>
      </c>
      <c r="J3301" s="13" t="b">
        <v>0</v>
      </c>
      <c r="K3301" s="13" t="b">
        <v>1</v>
      </c>
      <c r="L3301" s="10" t="s">
        <v>124</v>
      </c>
      <c r="M3301" s="10" t="s">
        <v>91</v>
      </c>
      <c r="N3301" s="10" t="s">
        <v>3513</v>
      </c>
      <c r="O3301" s="10"/>
      <c r="P3301" s="10"/>
      <c r="Q3301" s="10"/>
      <c r="R3301" s="10"/>
      <c r="S3301" s="10"/>
      <c r="T3301" s="10"/>
      <c r="U3301" s="10" t="s">
        <v>3622</v>
      </c>
      <c r="V3301" s="10" t="s">
        <v>3609</v>
      </c>
      <c r="W3301" s="10" t="s">
        <v>3519</v>
      </c>
      <c r="X3301" s="10" t="s">
        <v>130</v>
      </c>
      <c r="Y3301" s="10" t="s">
        <v>130</v>
      </c>
      <c r="Z3301" s="10" t="s">
        <v>99</v>
      </c>
      <c r="AA3301" s="10" t="s">
        <v>131</v>
      </c>
      <c r="AB3301" s="10" t="s">
        <v>3520</v>
      </c>
      <c r="AC3301" s="10" t="s">
        <v>3521</v>
      </c>
      <c r="AD3301" s="10" t="s">
        <v>23755</v>
      </c>
      <c r="AE3301" s="10" t="s">
        <v>23756</v>
      </c>
      <c r="AF3301" s="15"/>
      <c r="AG3301" s="10"/>
      <c r="AH3301" s="10"/>
      <c r="AI3301" s="10"/>
      <c r="AJ3301" s="10"/>
      <c r="AK3301" s="10"/>
      <c r="AL3301" s="10" t="s">
        <v>2761</v>
      </c>
      <c r="AM3301" s="10"/>
      <c r="AN3301" s="10"/>
      <c r="AO3301" s="13" t="b">
        <v>1</v>
      </c>
      <c r="AP3301" s="22" t="s">
        <v>104</v>
      </c>
      <c r="AQ3301" s="10"/>
      <c r="AR3301" s="17"/>
      <c r="AS3301" s="17"/>
      <c r="AT3301" s="17"/>
      <c r="AU3301" s="17"/>
      <c r="AV3301" s="17"/>
      <c r="AW3301" s="10"/>
      <c r="AX3301" s="17"/>
      <c r="AY3301" s="18" t="s">
        <v>257</v>
      </c>
      <c r="AZ3301" s="10"/>
      <c r="BA3301" s="20" t="b">
        <v>0</v>
      </c>
      <c r="BB3301" s="10"/>
      <c r="BC3301" s="17" t="s">
        <v>257</v>
      </c>
      <c r="BD3301" s="17" t="s">
        <v>257</v>
      </c>
      <c r="BE3301" s="17" t="s">
        <v>257</v>
      </c>
      <c r="BF3301" s="17" t="s">
        <v>257</v>
      </c>
      <c r="BG3301" s="11">
        <f ca="1">IFERROR(__xludf.DUMMYFUNCTION("""COMPUTED_VALUE"""),46132.7916666666)</f>
        <v>46132.791666666599</v>
      </c>
      <c r="BH3301" s="17"/>
      <c r="BI3301" s="17"/>
      <c r="BJ3301" s="15"/>
      <c r="BK3301" s="15"/>
      <c r="BL3301" s="13" t="b">
        <v>0</v>
      </c>
      <c r="BM3301" s="10"/>
      <c r="BN3301" s="10" t="s">
        <v>223</v>
      </c>
      <c r="BO3301" s="11">
        <v>46010.149050925924</v>
      </c>
      <c r="BP3301" s="11">
        <v>46010.149050925924</v>
      </c>
      <c r="BQ3301" s="15"/>
      <c r="BR3301" s="15"/>
      <c r="BS3301" s="10"/>
      <c r="BT3301" s="10"/>
      <c r="BU3301" s="10"/>
      <c r="BV3301" s="10"/>
      <c r="BW3301" s="10"/>
      <c r="BX3301" s="10"/>
      <c r="BY3301" s="23"/>
      <c r="BZ3301" s="23"/>
      <c r="CA3301" s="10"/>
      <c r="CB3301" s="23"/>
      <c r="CC3301" s="23"/>
      <c r="CD3301" s="23"/>
      <c r="CE3301" s="23"/>
      <c r="CF3301" s="23"/>
      <c r="CG3301" s="23"/>
      <c r="CH3301" s="23"/>
      <c r="CI3301" s="23"/>
    </row>
    <row r="3302" spans="1:87" x14ac:dyDescent="0.3">
      <c r="A3302" s="9" t="s">
        <v>23757</v>
      </c>
      <c r="B3302" s="10" t="s">
        <v>23758</v>
      </c>
      <c r="C3302" s="11">
        <v>46134.645833333336</v>
      </c>
      <c r="D3302" s="12">
        <v>8.3333333333333329E-2</v>
      </c>
      <c r="E3302" s="11">
        <v>46134.729166666664</v>
      </c>
      <c r="F3302" s="22" t="s">
        <v>3511</v>
      </c>
      <c r="G3302" s="13" t="b">
        <v>0</v>
      </c>
      <c r="H3302" s="22" t="s">
        <v>236</v>
      </c>
      <c r="I3302" s="10" t="s">
        <v>212</v>
      </c>
      <c r="J3302" s="13" t="b">
        <v>1</v>
      </c>
      <c r="K3302" s="13" t="b">
        <v>0</v>
      </c>
      <c r="L3302" s="10" t="s">
        <v>124</v>
      </c>
      <c r="M3302" s="10" t="s">
        <v>91</v>
      </c>
      <c r="N3302" s="10" t="s">
        <v>3513</v>
      </c>
      <c r="O3302" s="10"/>
      <c r="P3302" s="10"/>
      <c r="Q3302" s="10"/>
      <c r="R3302" s="10"/>
      <c r="S3302" s="10"/>
      <c r="T3302" s="10"/>
      <c r="U3302" s="10" t="s">
        <v>3636</v>
      </c>
      <c r="V3302" s="10" t="s">
        <v>3518</v>
      </c>
      <c r="W3302" s="10" t="s">
        <v>3519</v>
      </c>
      <c r="X3302" s="10" t="s">
        <v>130</v>
      </c>
      <c r="Y3302" s="10" t="s">
        <v>130</v>
      </c>
      <c r="Z3302" s="10" t="s">
        <v>99</v>
      </c>
      <c r="AA3302" s="10" t="s">
        <v>131</v>
      </c>
      <c r="AB3302" s="10" t="s">
        <v>3520</v>
      </c>
      <c r="AC3302" s="10" t="s">
        <v>3521</v>
      </c>
      <c r="AD3302" s="10" t="s">
        <v>23759</v>
      </c>
      <c r="AE3302" s="10" t="s">
        <v>23760</v>
      </c>
      <c r="AF3302" s="15"/>
      <c r="AG3302" s="10"/>
      <c r="AH3302" s="10"/>
      <c r="AI3302" s="10"/>
      <c r="AJ3302" s="10"/>
      <c r="AK3302" s="10"/>
      <c r="AL3302" s="10" t="s">
        <v>2802</v>
      </c>
      <c r="AM3302" s="10"/>
      <c r="AN3302" s="10"/>
      <c r="AO3302" s="13" t="b">
        <v>0</v>
      </c>
      <c r="AP3302" s="22" t="s">
        <v>104</v>
      </c>
      <c r="AQ3302" s="10"/>
      <c r="AR3302" s="17"/>
      <c r="AS3302" s="17"/>
      <c r="AT3302" s="17"/>
      <c r="AU3302" s="17"/>
      <c r="AV3302" s="17"/>
      <c r="AW3302" s="10"/>
      <c r="AX3302" s="17"/>
      <c r="AY3302" s="18" t="s">
        <v>257</v>
      </c>
      <c r="AZ3302" s="10"/>
      <c r="BA3302" s="20" t="b">
        <v>0</v>
      </c>
      <c r="BB3302" s="10"/>
      <c r="BC3302" s="17" t="s">
        <v>257</v>
      </c>
      <c r="BD3302" s="17" t="s">
        <v>257</v>
      </c>
      <c r="BE3302" s="17" t="s">
        <v>257</v>
      </c>
      <c r="BF3302" s="17" t="s">
        <v>257</v>
      </c>
      <c r="BG3302" s="11">
        <f ca="1">IFERROR(__xludf.DUMMYFUNCTION("""COMPUTED_VALUE"""),46134.6458333333)</f>
        <v>46134.645833333299</v>
      </c>
      <c r="BH3302" s="17"/>
      <c r="BI3302" s="17"/>
      <c r="BJ3302" s="15"/>
      <c r="BK3302" s="15"/>
      <c r="BL3302" s="13" t="b">
        <v>0</v>
      </c>
      <c r="BM3302" s="10"/>
      <c r="BN3302" s="10" t="s">
        <v>223</v>
      </c>
      <c r="BO3302" s="11">
        <v>46010.149050925924</v>
      </c>
      <c r="BP3302" s="11">
        <v>46010.149050925924</v>
      </c>
      <c r="BQ3302" s="15"/>
      <c r="BR3302" s="15"/>
      <c r="BS3302" s="10"/>
      <c r="BT3302" s="10"/>
      <c r="BU3302" s="10"/>
      <c r="BV3302" s="10"/>
      <c r="BW3302" s="10"/>
      <c r="BX3302" s="10"/>
      <c r="BY3302" s="23"/>
      <c r="BZ3302" s="23"/>
      <c r="CA3302" s="10"/>
      <c r="CB3302" s="23"/>
      <c r="CC3302" s="23"/>
      <c r="CD3302" s="23"/>
      <c r="CE3302" s="23"/>
      <c r="CF3302" s="23"/>
      <c r="CG3302" s="23"/>
      <c r="CH3302" s="23"/>
      <c r="CI3302" s="23"/>
    </row>
    <row r="3303" spans="1:87" x14ac:dyDescent="0.3">
      <c r="A3303" s="9" t="s">
        <v>23761</v>
      </c>
      <c r="B3303" s="10" t="s">
        <v>23762</v>
      </c>
      <c r="C3303" s="11">
        <v>46134.791666666664</v>
      </c>
      <c r="D3303" s="12">
        <v>8.3333333333333329E-2</v>
      </c>
      <c r="E3303" s="11">
        <v>46134.875</v>
      </c>
      <c r="F3303" s="22" t="s">
        <v>3511</v>
      </c>
      <c r="G3303" s="13" t="b">
        <v>0</v>
      </c>
      <c r="H3303" s="22" t="s">
        <v>123</v>
      </c>
      <c r="I3303" s="10" t="s">
        <v>3548</v>
      </c>
      <c r="J3303" s="13" t="b">
        <v>0</v>
      </c>
      <c r="K3303" s="13" t="b">
        <v>1</v>
      </c>
      <c r="L3303" s="10" t="s">
        <v>124</v>
      </c>
      <c r="M3303" s="10" t="s">
        <v>91</v>
      </c>
      <c r="N3303" s="10" t="s">
        <v>3513</v>
      </c>
      <c r="O3303" s="10"/>
      <c r="P3303" s="10"/>
      <c r="Q3303" s="10"/>
      <c r="R3303" s="10"/>
      <c r="S3303" s="10"/>
      <c r="T3303" s="10"/>
      <c r="U3303" s="10" t="s">
        <v>3552</v>
      </c>
      <c r="V3303" s="10" t="s">
        <v>3647</v>
      </c>
      <c r="W3303" s="10" t="s">
        <v>3519</v>
      </c>
      <c r="X3303" s="10" t="s">
        <v>130</v>
      </c>
      <c r="Y3303" s="10" t="s">
        <v>130</v>
      </c>
      <c r="Z3303" s="10" t="s">
        <v>99</v>
      </c>
      <c r="AA3303" s="10" t="s">
        <v>131</v>
      </c>
      <c r="AB3303" s="10" t="s">
        <v>3520</v>
      </c>
      <c r="AC3303" s="10" t="s">
        <v>3521</v>
      </c>
      <c r="AD3303" s="10" t="s">
        <v>23763</v>
      </c>
      <c r="AE3303" s="10" t="s">
        <v>23764</v>
      </c>
      <c r="AF3303" s="15"/>
      <c r="AG3303" s="10"/>
      <c r="AH3303" s="10"/>
      <c r="AI3303" s="10"/>
      <c r="AJ3303" s="10"/>
      <c r="AK3303" s="10"/>
      <c r="AL3303" s="10" t="s">
        <v>2802</v>
      </c>
      <c r="AM3303" s="10"/>
      <c r="AN3303" s="10"/>
      <c r="AO3303" s="13" t="b">
        <v>1</v>
      </c>
      <c r="AP3303" s="22" t="s">
        <v>104</v>
      </c>
      <c r="AQ3303" s="10"/>
      <c r="AR3303" s="17"/>
      <c r="AS3303" s="17"/>
      <c r="AT3303" s="17"/>
      <c r="AU3303" s="17"/>
      <c r="AV3303" s="17"/>
      <c r="AW3303" s="10"/>
      <c r="AX3303" s="17"/>
      <c r="AY3303" s="18" t="s">
        <v>257</v>
      </c>
      <c r="AZ3303" s="10"/>
      <c r="BA3303" s="20" t="b">
        <v>0</v>
      </c>
      <c r="BB3303" s="10"/>
      <c r="BC3303" s="17" t="s">
        <v>257</v>
      </c>
      <c r="BD3303" s="17" t="s">
        <v>257</v>
      </c>
      <c r="BE3303" s="17" t="s">
        <v>257</v>
      </c>
      <c r="BF3303" s="17" t="s">
        <v>257</v>
      </c>
      <c r="BG3303" s="11">
        <f ca="1">IFERROR(__xludf.DUMMYFUNCTION("""COMPUTED_VALUE"""),46134.7916666666)</f>
        <v>46134.791666666599</v>
      </c>
      <c r="BH3303" s="17"/>
      <c r="BI3303" s="17"/>
      <c r="BJ3303" s="15"/>
      <c r="BK3303" s="15"/>
      <c r="BL3303" s="13" t="b">
        <v>0</v>
      </c>
      <c r="BM3303" s="10"/>
      <c r="BN3303" s="10" t="s">
        <v>223</v>
      </c>
      <c r="BO3303" s="11">
        <v>46010.149050925924</v>
      </c>
      <c r="BP3303" s="11">
        <v>46010.149050925924</v>
      </c>
      <c r="BQ3303" s="15"/>
      <c r="BR3303" s="15"/>
      <c r="BS3303" s="10"/>
      <c r="BT3303" s="10"/>
      <c r="BU3303" s="10"/>
      <c r="BV3303" s="10"/>
      <c r="BW3303" s="10"/>
      <c r="BX3303" s="10"/>
      <c r="BY3303" s="23"/>
      <c r="BZ3303" s="23"/>
      <c r="CA3303" s="10"/>
      <c r="CB3303" s="23"/>
      <c r="CC3303" s="23"/>
      <c r="CD3303" s="23"/>
      <c r="CE3303" s="23"/>
      <c r="CF3303" s="23"/>
      <c r="CG3303" s="23"/>
      <c r="CH3303" s="23"/>
      <c r="CI3303" s="23"/>
    </row>
    <row r="3304" spans="1:87" x14ac:dyDescent="0.3">
      <c r="A3304" s="9" t="s">
        <v>23765</v>
      </c>
      <c r="B3304" s="10" t="s">
        <v>23766</v>
      </c>
      <c r="C3304" s="11">
        <v>46135.645833333336</v>
      </c>
      <c r="D3304" s="12">
        <v>8.3333333333333329E-2</v>
      </c>
      <c r="E3304" s="11">
        <v>46135.729166666664</v>
      </c>
      <c r="F3304" s="22" t="s">
        <v>3511</v>
      </c>
      <c r="G3304" s="13" t="b">
        <v>0</v>
      </c>
      <c r="H3304" s="22" t="s">
        <v>3512</v>
      </c>
      <c r="I3304" s="10" t="s">
        <v>3548</v>
      </c>
      <c r="J3304" s="13" t="b">
        <v>0</v>
      </c>
      <c r="K3304" s="13" t="b">
        <v>1</v>
      </c>
      <c r="L3304" s="10" t="s">
        <v>124</v>
      </c>
      <c r="M3304" s="10" t="s">
        <v>91</v>
      </c>
      <c r="N3304" s="10" t="s">
        <v>3513</v>
      </c>
      <c r="O3304" s="10"/>
      <c r="P3304" s="10"/>
      <c r="Q3304" s="10"/>
      <c r="R3304" s="10"/>
      <c r="S3304" s="10"/>
      <c r="T3304" s="10"/>
      <c r="U3304" s="10" t="s">
        <v>3535</v>
      </c>
      <c r="V3304" s="10" t="s">
        <v>3662</v>
      </c>
      <c r="W3304" s="10" t="s">
        <v>3519</v>
      </c>
      <c r="X3304" s="10" t="s">
        <v>130</v>
      </c>
      <c r="Y3304" s="10" t="s">
        <v>130</v>
      </c>
      <c r="Z3304" s="10" t="s">
        <v>99</v>
      </c>
      <c r="AA3304" s="10" t="s">
        <v>131</v>
      </c>
      <c r="AB3304" s="10" t="s">
        <v>3520</v>
      </c>
      <c r="AC3304" s="10" t="s">
        <v>3521</v>
      </c>
      <c r="AD3304" s="10" t="s">
        <v>23767</v>
      </c>
      <c r="AE3304" s="10" t="s">
        <v>23768</v>
      </c>
      <c r="AF3304" s="15"/>
      <c r="AG3304" s="10"/>
      <c r="AH3304" s="10"/>
      <c r="AI3304" s="10"/>
      <c r="AJ3304" s="10"/>
      <c r="AK3304" s="10"/>
      <c r="AL3304" s="10" t="s">
        <v>2802</v>
      </c>
      <c r="AM3304" s="10"/>
      <c r="AN3304" s="10"/>
      <c r="AO3304" s="13" t="b">
        <v>0</v>
      </c>
      <c r="AP3304" s="22" t="s">
        <v>104</v>
      </c>
      <c r="AQ3304" s="10"/>
      <c r="AR3304" s="17"/>
      <c r="AS3304" s="17"/>
      <c r="AT3304" s="17"/>
      <c r="AU3304" s="17"/>
      <c r="AV3304" s="17"/>
      <c r="AW3304" s="10"/>
      <c r="AX3304" s="17"/>
      <c r="AY3304" s="18" t="s">
        <v>257</v>
      </c>
      <c r="AZ3304" s="10"/>
      <c r="BA3304" s="20" t="b">
        <v>0</v>
      </c>
      <c r="BB3304" s="10"/>
      <c r="BC3304" s="17" t="s">
        <v>257</v>
      </c>
      <c r="BD3304" s="17" t="s">
        <v>257</v>
      </c>
      <c r="BE3304" s="17" t="s">
        <v>257</v>
      </c>
      <c r="BF3304" s="17" t="s">
        <v>257</v>
      </c>
      <c r="BG3304" s="11">
        <f ca="1">IFERROR(__xludf.DUMMYFUNCTION("""COMPUTED_VALUE"""),46135.6458333333)</f>
        <v>46135.645833333299</v>
      </c>
      <c r="BH3304" s="17"/>
      <c r="BI3304" s="17"/>
      <c r="BJ3304" s="15"/>
      <c r="BK3304" s="15"/>
      <c r="BL3304" s="13" t="b">
        <v>0</v>
      </c>
      <c r="BM3304" s="10"/>
      <c r="BN3304" s="10" t="s">
        <v>223</v>
      </c>
      <c r="BO3304" s="11">
        <v>46010.149050925924</v>
      </c>
      <c r="BP3304" s="11">
        <v>46010.149050925924</v>
      </c>
      <c r="BQ3304" s="15"/>
      <c r="BR3304" s="15"/>
      <c r="BS3304" s="10"/>
      <c r="BT3304" s="10"/>
      <c r="BU3304" s="10"/>
      <c r="BV3304" s="10"/>
      <c r="BW3304" s="10"/>
      <c r="BX3304" s="10"/>
      <c r="BY3304" s="23"/>
      <c r="BZ3304" s="23"/>
      <c r="CA3304" s="10"/>
      <c r="CB3304" s="23"/>
      <c r="CC3304" s="23"/>
      <c r="CD3304" s="23"/>
      <c r="CE3304" s="23"/>
      <c r="CF3304" s="23"/>
      <c r="CG3304" s="23"/>
      <c r="CH3304" s="23"/>
      <c r="CI3304" s="23"/>
    </row>
    <row r="3305" spans="1:87" x14ac:dyDescent="0.3">
      <c r="A3305" s="9" t="s">
        <v>23769</v>
      </c>
      <c r="B3305" s="10" t="s">
        <v>23770</v>
      </c>
      <c r="C3305" s="11">
        <v>46135.645833333336</v>
      </c>
      <c r="D3305" s="12">
        <v>8.3333333333333329E-2</v>
      </c>
      <c r="E3305" s="11">
        <v>46135.729166666664</v>
      </c>
      <c r="F3305" s="22" t="s">
        <v>3511</v>
      </c>
      <c r="G3305" s="13" t="b">
        <v>0</v>
      </c>
      <c r="H3305" s="22" t="s">
        <v>123</v>
      </c>
      <c r="I3305" s="10" t="s">
        <v>3548</v>
      </c>
      <c r="J3305" s="13" t="b">
        <v>0</v>
      </c>
      <c r="K3305" s="13" t="b">
        <v>1</v>
      </c>
      <c r="L3305" s="10" t="s">
        <v>124</v>
      </c>
      <c r="M3305" s="10" t="s">
        <v>91</v>
      </c>
      <c r="N3305" s="10" t="s">
        <v>3513</v>
      </c>
      <c r="O3305" s="10"/>
      <c r="P3305" s="10"/>
      <c r="Q3305" s="10"/>
      <c r="R3305" s="10"/>
      <c r="S3305" s="10"/>
      <c r="T3305" s="10"/>
      <c r="U3305" s="10" t="s">
        <v>3648</v>
      </c>
      <c r="V3305" s="10" t="s">
        <v>3661</v>
      </c>
      <c r="W3305" s="10" t="s">
        <v>3519</v>
      </c>
      <c r="X3305" s="10" t="s">
        <v>130</v>
      </c>
      <c r="Y3305" s="10" t="s">
        <v>130</v>
      </c>
      <c r="Z3305" s="10" t="s">
        <v>99</v>
      </c>
      <c r="AA3305" s="10" t="s">
        <v>131</v>
      </c>
      <c r="AB3305" s="10" t="s">
        <v>3520</v>
      </c>
      <c r="AC3305" s="10" t="s">
        <v>3521</v>
      </c>
      <c r="AD3305" s="10" t="s">
        <v>23771</v>
      </c>
      <c r="AE3305" s="10" t="s">
        <v>23772</v>
      </c>
      <c r="AF3305" s="15"/>
      <c r="AG3305" s="10"/>
      <c r="AH3305" s="10"/>
      <c r="AI3305" s="10"/>
      <c r="AJ3305" s="10"/>
      <c r="AK3305" s="10"/>
      <c r="AL3305" s="10" t="s">
        <v>2802</v>
      </c>
      <c r="AM3305" s="10"/>
      <c r="AN3305" s="10"/>
      <c r="AO3305" s="13" t="b">
        <v>0</v>
      </c>
      <c r="AP3305" s="22" t="s">
        <v>104</v>
      </c>
      <c r="AQ3305" s="10"/>
      <c r="AR3305" s="17"/>
      <c r="AS3305" s="17"/>
      <c r="AT3305" s="17"/>
      <c r="AU3305" s="17"/>
      <c r="AV3305" s="17"/>
      <c r="AW3305" s="10"/>
      <c r="AX3305" s="17"/>
      <c r="AY3305" s="18" t="s">
        <v>257</v>
      </c>
      <c r="AZ3305" s="10"/>
      <c r="BA3305" s="20" t="b">
        <v>0</v>
      </c>
      <c r="BB3305" s="10"/>
      <c r="BC3305" s="17" t="s">
        <v>257</v>
      </c>
      <c r="BD3305" s="17" t="s">
        <v>257</v>
      </c>
      <c r="BE3305" s="17" t="s">
        <v>257</v>
      </c>
      <c r="BF3305" s="17" t="s">
        <v>257</v>
      </c>
      <c r="BG3305" s="11">
        <f ca="1">IFERROR(__xludf.DUMMYFUNCTION("""COMPUTED_VALUE"""),46135.6458333333)</f>
        <v>46135.645833333299</v>
      </c>
      <c r="BH3305" s="17"/>
      <c r="BI3305" s="17"/>
      <c r="BJ3305" s="15"/>
      <c r="BK3305" s="15"/>
      <c r="BL3305" s="13" t="b">
        <v>0</v>
      </c>
      <c r="BM3305" s="10"/>
      <c r="BN3305" s="10" t="s">
        <v>223</v>
      </c>
      <c r="BO3305" s="11">
        <v>46010.149050925924</v>
      </c>
      <c r="BP3305" s="11">
        <v>46010.149050925924</v>
      </c>
      <c r="BQ3305" s="15"/>
      <c r="BR3305" s="15"/>
      <c r="BS3305" s="10"/>
      <c r="BT3305" s="10"/>
      <c r="BU3305" s="10"/>
      <c r="BV3305" s="10"/>
      <c r="BW3305" s="10"/>
      <c r="BX3305" s="10"/>
      <c r="BY3305" s="23"/>
      <c r="BZ3305" s="23"/>
      <c r="CA3305" s="10"/>
      <c r="CB3305" s="23"/>
      <c r="CC3305" s="23"/>
      <c r="CD3305" s="23"/>
      <c r="CE3305" s="23"/>
      <c r="CF3305" s="23"/>
      <c r="CG3305" s="23"/>
      <c r="CH3305" s="23"/>
      <c r="CI3305" s="23"/>
    </row>
    <row r="3306" spans="1:87" x14ac:dyDescent="0.3">
      <c r="A3306" s="9" t="s">
        <v>23773</v>
      </c>
      <c r="B3306" s="10" t="s">
        <v>23774</v>
      </c>
      <c r="C3306" s="11">
        <v>46135.791666666664</v>
      </c>
      <c r="D3306" s="12">
        <v>8.3333333333333329E-2</v>
      </c>
      <c r="E3306" s="11">
        <v>46135.875</v>
      </c>
      <c r="F3306" s="22" t="s">
        <v>3511</v>
      </c>
      <c r="G3306" s="13" t="b">
        <v>0</v>
      </c>
      <c r="H3306" s="22" t="s">
        <v>123</v>
      </c>
      <c r="I3306" s="10" t="s">
        <v>3548</v>
      </c>
      <c r="J3306" s="13" t="b">
        <v>0</v>
      </c>
      <c r="K3306" s="13" t="b">
        <v>1</v>
      </c>
      <c r="L3306" s="10" t="s">
        <v>124</v>
      </c>
      <c r="M3306" s="10" t="s">
        <v>91</v>
      </c>
      <c r="N3306" s="10" t="s">
        <v>3513</v>
      </c>
      <c r="O3306" s="10"/>
      <c r="P3306" s="10"/>
      <c r="Q3306" s="10"/>
      <c r="R3306" s="10"/>
      <c r="S3306" s="10"/>
      <c r="T3306" s="10"/>
      <c r="U3306" s="10" t="s">
        <v>3623</v>
      </c>
      <c r="V3306" s="10" t="s">
        <v>3551</v>
      </c>
      <c r="W3306" s="10" t="s">
        <v>3519</v>
      </c>
      <c r="X3306" s="10" t="s">
        <v>130</v>
      </c>
      <c r="Y3306" s="10" t="s">
        <v>130</v>
      </c>
      <c r="Z3306" s="10" t="s">
        <v>99</v>
      </c>
      <c r="AA3306" s="10" t="s">
        <v>131</v>
      </c>
      <c r="AB3306" s="10" t="s">
        <v>3520</v>
      </c>
      <c r="AC3306" s="10" t="s">
        <v>3521</v>
      </c>
      <c r="AD3306" s="10" t="s">
        <v>23775</v>
      </c>
      <c r="AE3306" s="10" t="s">
        <v>23776</v>
      </c>
      <c r="AF3306" s="15"/>
      <c r="AG3306" s="10"/>
      <c r="AH3306" s="10"/>
      <c r="AI3306" s="10"/>
      <c r="AJ3306" s="10"/>
      <c r="AK3306" s="10"/>
      <c r="AL3306" s="10" t="s">
        <v>2802</v>
      </c>
      <c r="AM3306" s="10"/>
      <c r="AN3306" s="10"/>
      <c r="AO3306" s="13" t="b">
        <v>1</v>
      </c>
      <c r="AP3306" s="22" t="s">
        <v>104</v>
      </c>
      <c r="AQ3306" s="10"/>
      <c r="AR3306" s="17"/>
      <c r="AS3306" s="17"/>
      <c r="AT3306" s="17"/>
      <c r="AU3306" s="17"/>
      <c r="AV3306" s="17"/>
      <c r="AW3306" s="10"/>
      <c r="AX3306" s="17"/>
      <c r="AY3306" s="18" t="s">
        <v>257</v>
      </c>
      <c r="AZ3306" s="10"/>
      <c r="BA3306" s="20" t="b">
        <v>0</v>
      </c>
      <c r="BB3306" s="10"/>
      <c r="BC3306" s="17" t="s">
        <v>257</v>
      </c>
      <c r="BD3306" s="17" t="s">
        <v>257</v>
      </c>
      <c r="BE3306" s="17" t="s">
        <v>257</v>
      </c>
      <c r="BF3306" s="17" t="s">
        <v>257</v>
      </c>
      <c r="BG3306" s="11">
        <f ca="1">IFERROR(__xludf.DUMMYFUNCTION("""COMPUTED_VALUE"""),46135.7916666666)</f>
        <v>46135.791666666599</v>
      </c>
      <c r="BH3306" s="17"/>
      <c r="BI3306" s="17"/>
      <c r="BJ3306" s="15"/>
      <c r="BK3306" s="15"/>
      <c r="BL3306" s="13" t="b">
        <v>0</v>
      </c>
      <c r="BM3306" s="10"/>
      <c r="BN3306" s="10" t="s">
        <v>223</v>
      </c>
      <c r="BO3306" s="11">
        <v>46010.149050925924</v>
      </c>
      <c r="BP3306" s="11">
        <v>46010.149050925924</v>
      </c>
      <c r="BQ3306" s="15"/>
      <c r="BR3306" s="15"/>
      <c r="BS3306" s="10"/>
      <c r="BT3306" s="10"/>
      <c r="BU3306" s="10"/>
      <c r="BV3306" s="10"/>
      <c r="BW3306" s="10"/>
      <c r="BX3306" s="10"/>
      <c r="BY3306" s="23"/>
      <c r="BZ3306" s="23"/>
      <c r="CA3306" s="10"/>
      <c r="CB3306" s="23"/>
      <c r="CC3306" s="23"/>
      <c r="CD3306" s="23"/>
      <c r="CE3306" s="23"/>
      <c r="CF3306" s="23"/>
      <c r="CG3306" s="23"/>
      <c r="CH3306" s="23"/>
      <c r="CI3306" s="23"/>
    </row>
    <row r="3307" spans="1:87" x14ac:dyDescent="0.3">
      <c r="A3307" s="9" t="s">
        <v>23777</v>
      </c>
      <c r="B3307" s="10" t="s">
        <v>23778</v>
      </c>
      <c r="C3307" s="11">
        <v>46136.645833333336</v>
      </c>
      <c r="D3307" s="12">
        <v>8.3333333333333329E-2</v>
      </c>
      <c r="E3307" s="11">
        <v>46136.729166666664</v>
      </c>
      <c r="F3307" s="22" t="s">
        <v>3511</v>
      </c>
      <c r="G3307" s="13" t="b">
        <v>0</v>
      </c>
      <c r="H3307" s="22" t="s">
        <v>236</v>
      </c>
      <c r="I3307" s="10" t="s">
        <v>212</v>
      </c>
      <c r="J3307" s="13" t="b">
        <v>1</v>
      </c>
      <c r="K3307" s="13" t="b">
        <v>0</v>
      </c>
      <c r="L3307" s="10" t="s">
        <v>124</v>
      </c>
      <c r="M3307" s="10" t="s">
        <v>91</v>
      </c>
      <c r="N3307" s="10" t="s">
        <v>3513</v>
      </c>
      <c r="O3307" s="10"/>
      <c r="P3307" s="10"/>
      <c r="Q3307" s="10"/>
      <c r="R3307" s="10"/>
      <c r="S3307" s="10"/>
      <c r="T3307" s="10"/>
      <c r="U3307" s="10" t="s">
        <v>3536</v>
      </c>
      <c r="V3307" s="10" t="s">
        <v>3677</v>
      </c>
      <c r="W3307" s="10" t="s">
        <v>3519</v>
      </c>
      <c r="X3307" s="10" t="s">
        <v>130</v>
      </c>
      <c r="Y3307" s="10" t="s">
        <v>130</v>
      </c>
      <c r="Z3307" s="10" t="s">
        <v>99</v>
      </c>
      <c r="AA3307" s="10" t="s">
        <v>131</v>
      </c>
      <c r="AB3307" s="10" t="s">
        <v>3520</v>
      </c>
      <c r="AC3307" s="10" t="s">
        <v>3521</v>
      </c>
      <c r="AD3307" s="10" t="s">
        <v>23779</v>
      </c>
      <c r="AE3307" s="10" t="s">
        <v>23780</v>
      </c>
      <c r="AF3307" s="15"/>
      <c r="AG3307" s="10"/>
      <c r="AH3307" s="10"/>
      <c r="AI3307" s="10"/>
      <c r="AJ3307" s="10"/>
      <c r="AK3307" s="10"/>
      <c r="AL3307" s="10" t="s">
        <v>2802</v>
      </c>
      <c r="AM3307" s="10"/>
      <c r="AN3307" s="10"/>
      <c r="AO3307" s="13" t="b">
        <v>0</v>
      </c>
      <c r="AP3307" s="22" t="s">
        <v>104</v>
      </c>
      <c r="AQ3307" s="10"/>
      <c r="AR3307" s="17"/>
      <c r="AS3307" s="17"/>
      <c r="AT3307" s="17"/>
      <c r="AU3307" s="17"/>
      <c r="AV3307" s="17"/>
      <c r="AW3307" s="10"/>
      <c r="AX3307" s="17"/>
      <c r="AY3307" s="18" t="s">
        <v>257</v>
      </c>
      <c r="AZ3307" s="10"/>
      <c r="BA3307" s="20" t="b">
        <v>0</v>
      </c>
      <c r="BB3307" s="10"/>
      <c r="BC3307" s="17" t="s">
        <v>257</v>
      </c>
      <c r="BD3307" s="17" t="s">
        <v>257</v>
      </c>
      <c r="BE3307" s="17" t="s">
        <v>257</v>
      </c>
      <c r="BF3307" s="17" t="s">
        <v>257</v>
      </c>
      <c r="BG3307" s="11">
        <f ca="1">IFERROR(__xludf.DUMMYFUNCTION("""COMPUTED_VALUE"""),46136.6458333333)</f>
        <v>46136.645833333299</v>
      </c>
      <c r="BH3307" s="17"/>
      <c r="BI3307" s="17"/>
      <c r="BJ3307" s="15"/>
      <c r="BK3307" s="15"/>
      <c r="BL3307" s="13" t="b">
        <v>0</v>
      </c>
      <c r="BM3307" s="10"/>
      <c r="BN3307" s="10" t="s">
        <v>223</v>
      </c>
      <c r="BO3307" s="11">
        <v>46010.149050925924</v>
      </c>
      <c r="BP3307" s="11">
        <v>46010.149050925924</v>
      </c>
      <c r="BQ3307" s="15"/>
      <c r="BR3307" s="15"/>
      <c r="BS3307" s="10"/>
      <c r="BT3307" s="10"/>
      <c r="BU3307" s="10"/>
      <c r="BV3307" s="10"/>
      <c r="BW3307" s="10"/>
      <c r="BX3307" s="10"/>
      <c r="BY3307" s="23"/>
      <c r="BZ3307" s="23"/>
      <c r="CA3307" s="10"/>
      <c r="CB3307" s="23"/>
      <c r="CC3307" s="23"/>
      <c r="CD3307" s="23"/>
      <c r="CE3307" s="23"/>
      <c r="CF3307" s="23"/>
      <c r="CG3307" s="23"/>
      <c r="CH3307" s="23"/>
      <c r="CI3307" s="23"/>
    </row>
    <row r="3308" spans="1:87" x14ac:dyDescent="0.3">
      <c r="A3308" s="9" t="s">
        <v>23781</v>
      </c>
      <c r="B3308" s="10" t="s">
        <v>23782</v>
      </c>
      <c r="C3308" s="11">
        <v>46136.791666666664</v>
      </c>
      <c r="D3308" s="12">
        <v>8.3333333333333329E-2</v>
      </c>
      <c r="E3308" s="11">
        <v>46136.875</v>
      </c>
      <c r="F3308" s="22" t="s">
        <v>3511</v>
      </c>
      <c r="G3308" s="13" t="b">
        <v>0</v>
      </c>
      <c r="H3308" s="22" t="s">
        <v>123</v>
      </c>
      <c r="I3308" s="10" t="s">
        <v>3548</v>
      </c>
      <c r="J3308" s="13" t="b">
        <v>0</v>
      </c>
      <c r="K3308" s="13" t="b">
        <v>1</v>
      </c>
      <c r="L3308" s="10" t="s">
        <v>124</v>
      </c>
      <c r="M3308" s="10" t="s">
        <v>91</v>
      </c>
      <c r="N3308" s="10" t="s">
        <v>3513</v>
      </c>
      <c r="O3308" s="10"/>
      <c r="P3308" s="10"/>
      <c r="Q3308" s="10"/>
      <c r="R3308" s="10"/>
      <c r="S3308" s="10"/>
      <c r="T3308" s="10"/>
      <c r="U3308" s="10" t="s">
        <v>3609</v>
      </c>
      <c r="V3308" s="10" t="s">
        <v>3676</v>
      </c>
      <c r="W3308" s="10" t="s">
        <v>3519</v>
      </c>
      <c r="X3308" s="10" t="s">
        <v>130</v>
      </c>
      <c r="Y3308" s="10" t="s">
        <v>130</v>
      </c>
      <c r="Z3308" s="10" t="s">
        <v>99</v>
      </c>
      <c r="AA3308" s="10" t="s">
        <v>131</v>
      </c>
      <c r="AB3308" s="10" t="s">
        <v>3520</v>
      </c>
      <c r="AC3308" s="10" t="s">
        <v>3521</v>
      </c>
      <c r="AD3308" s="10" t="s">
        <v>23783</v>
      </c>
      <c r="AE3308" s="10" t="s">
        <v>23784</v>
      </c>
      <c r="AF3308" s="15"/>
      <c r="AG3308" s="10"/>
      <c r="AH3308" s="10"/>
      <c r="AI3308" s="10"/>
      <c r="AJ3308" s="10"/>
      <c r="AK3308" s="10"/>
      <c r="AL3308" s="10" t="s">
        <v>2802</v>
      </c>
      <c r="AM3308" s="10"/>
      <c r="AN3308" s="10"/>
      <c r="AO3308" s="13" t="b">
        <v>1</v>
      </c>
      <c r="AP3308" s="22" t="s">
        <v>104</v>
      </c>
      <c r="AQ3308" s="10"/>
      <c r="AR3308" s="17"/>
      <c r="AS3308" s="17"/>
      <c r="AT3308" s="17"/>
      <c r="AU3308" s="17"/>
      <c r="AV3308" s="17"/>
      <c r="AW3308" s="10"/>
      <c r="AX3308" s="17"/>
      <c r="AY3308" s="18" t="s">
        <v>257</v>
      </c>
      <c r="AZ3308" s="10"/>
      <c r="BA3308" s="20" t="b">
        <v>0</v>
      </c>
      <c r="BB3308" s="10"/>
      <c r="BC3308" s="17" t="s">
        <v>257</v>
      </c>
      <c r="BD3308" s="17" t="s">
        <v>257</v>
      </c>
      <c r="BE3308" s="17" t="s">
        <v>257</v>
      </c>
      <c r="BF3308" s="17" t="s">
        <v>257</v>
      </c>
      <c r="BG3308" s="11">
        <f ca="1">IFERROR(__xludf.DUMMYFUNCTION("""COMPUTED_VALUE"""),46136.7916666666)</f>
        <v>46136.791666666599</v>
      </c>
      <c r="BH3308" s="17"/>
      <c r="BI3308" s="17"/>
      <c r="BJ3308" s="15"/>
      <c r="BK3308" s="15"/>
      <c r="BL3308" s="13" t="b">
        <v>0</v>
      </c>
      <c r="BM3308" s="10"/>
      <c r="BN3308" s="10" t="s">
        <v>223</v>
      </c>
      <c r="BO3308" s="11">
        <v>46010.149050925924</v>
      </c>
      <c r="BP3308" s="11">
        <v>46010.149050925924</v>
      </c>
      <c r="BQ3308" s="15"/>
      <c r="BR3308" s="15"/>
      <c r="BS3308" s="10"/>
      <c r="BT3308" s="10"/>
      <c r="BU3308" s="10"/>
      <c r="BV3308" s="10"/>
      <c r="BW3308" s="10"/>
      <c r="BX3308" s="10"/>
      <c r="BY3308" s="23"/>
      <c r="BZ3308" s="23"/>
      <c r="CA3308" s="10"/>
      <c r="CB3308" s="23"/>
      <c r="CC3308" s="23"/>
      <c r="CD3308" s="23"/>
      <c r="CE3308" s="23"/>
      <c r="CF3308" s="23"/>
      <c r="CG3308" s="23"/>
      <c r="CH3308" s="23"/>
      <c r="CI3308" s="23"/>
    </row>
    <row r="3309" spans="1:87" x14ac:dyDescent="0.3">
      <c r="A3309" s="9" t="s">
        <v>23785</v>
      </c>
      <c r="B3309" s="10" t="s">
        <v>23786</v>
      </c>
      <c r="C3309" s="11">
        <v>46137.645833333336</v>
      </c>
      <c r="D3309" s="12">
        <v>8.3333333333333329E-2</v>
      </c>
      <c r="E3309" s="11">
        <v>46137.729166666664</v>
      </c>
      <c r="F3309" s="22" t="s">
        <v>3511</v>
      </c>
      <c r="G3309" s="13" t="b">
        <v>0</v>
      </c>
      <c r="H3309" s="22" t="s">
        <v>236</v>
      </c>
      <c r="I3309" s="10" t="s">
        <v>212</v>
      </c>
      <c r="J3309" s="13" t="b">
        <v>1</v>
      </c>
      <c r="K3309" s="13" t="b">
        <v>0</v>
      </c>
      <c r="L3309" s="10" t="s">
        <v>124</v>
      </c>
      <c r="M3309" s="10" t="s">
        <v>91</v>
      </c>
      <c r="N3309" s="10" t="s">
        <v>3513</v>
      </c>
      <c r="O3309" s="10"/>
      <c r="P3309" s="10"/>
      <c r="Q3309" s="10"/>
      <c r="R3309" s="10"/>
      <c r="S3309" s="10"/>
      <c r="T3309" s="10"/>
      <c r="U3309" s="10" t="s">
        <v>3517</v>
      </c>
      <c r="V3309" s="10" t="s">
        <v>3610</v>
      </c>
      <c r="W3309" s="10" t="s">
        <v>3519</v>
      </c>
      <c r="X3309" s="10" t="s">
        <v>130</v>
      </c>
      <c r="Y3309" s="10" t="s">
        <v>130</v>
      </c>
      <c r="Z3309" s="10" t="s">
        <v>99</v>
      </c>
      <c r="AA3309" s="10" t="s">
        <v>131</v>
      </c>
      <c r="AB3309" s="10" t="s">
        <v>3520</v>
      </c>
      <c r="AC3309" s="10" t="s">
        <v>3521</v>
      </c>
      <c r="AD3309" s="10" t="s">
        <v>23787</v>
      </c>
      <c r="AE3309" s="10" t="s">
        <v>23788</v>
      </c>
      <c r="AF3309" s="15"/>
      <c r="AG3309" s="10"/>
      <c r="AH3309" s="10"/>
      <c r="AI3309" s="10"/>
      <c r="AJ3309" s="10"/>
      <c r="AK3309" s="10"/>
      <c r="AL3309" s="10" t="s">
        <v>2802</v>
      </c>
      <c r="AM3309" s="10"/>
      <c r="AN3309" s="10"/>
      <c r="AO3309" s="13" t="b">
        <v>0</v>
      </c>
      <c r="AP3309" s="22" t="s">
        <v>104</v>
      </c>
      <c r="AQ3309" s="10"/>
      <c r="AR3309" s="17"/>
      <c r="AS3309" s="17"/>
      <c r="AT3309" s="17"/>
      <c r="AU3309" s="17"/>
      <c r="AV3309" s="17"/>
      <c r="AW3309" s="10"/>
      <c r="AX3309" s="17"/>
      <c r="AY3309" s="18" t="s">
        <v>257</v>
      </c>
      <c r="AZ3309" s="10"/>
      <c r="BA3309" s="20" t="b">
        <v>0</v>
      </c>
      <c r="BB3309" s="10"/>
      <c r="BC3309" s="17" t="s">
        <v>257</v>
      </c>
      <c r="BD3309" s="17" t="s">
        <v>257</v>
      </c>
      <c r="BE3309" s="17" t="s">
        <v>257</v>
      </c>
      <c r="BF3309" s="17" t="s">
        <v>257</v>
      </c>
      <c r="BG3309" s="11">
        <f ca="1">IFERROR(__xludf.DUMMYFUNCTION("""COMPUTED_VALUE"""),46137.6458333333)</f>
        <v>46137.645833333299</v>
      </c>
      <c r="BH3309" s="17"/>
      <c r="BI3309" s="17"/>
      <c r="BJ3309" s="15"/>
      <c r="BK3309" s="15"/>
      <c r="BL3309" s="13" t="b">
        <v>0</v>
      </c>
      <c r="BM3309" s="10"/>
      <c r="BN3309" s="10" t="s">
        <v>223</v>
      </c>
      <c r="BO3309" s="11">
        <v>46010.149050925924</v>
      </c>
      <c r="BP3309" s="11">
        <v>46010.149050925924</v>
      </c>
      <c r="BQ3309" s="15"/>
      <c r="BR3309" s="15"/>
      <c r="BS3309" s="10"/>
      <c r="BT3309" s="10"/>
      <c r="BU3309" s="10"/>
      <c r="BV3309" s="10"/>
      <c r="BW3309" s="10"/>
      <c r="BX3309" s="10"/>
      <c r="BY3309" s="23"/>
      <c r="BZ3309" s="23"/>
      <c r="CA3309" s="10"/>
      <c r="CB3309" s="23"/>
      <c r="CC3309" s="23"/>
      <c r="CD3309" s="23"/>
      <c r="CE3309" s="23"/>
      <c r="CF3309" s="23"/>
      <c r="CG3309" s="23"/>
      <c r="CH3309" s="23"/>
      <c r="CI3309" s="23"/>
    </row>
    <row r="3310" spans="1:87" x14ac:dyDescent="0.3">
      <c r="A3310" s="9" t="s">
        <v>23789</v>
      </c>
      <c r="B3310" s="10" t="s">
        <v>23790</v>
      </c>
      <c r="C3310" s="11">
        <v>46137.791666666664</v>
      </c>
      <c r="D3310" s="12">
        <v>8.3333333333333329E-2</v>
      </c>
      <c r="E3310" s="11">
        <v>46137.875</v>
      </c>
      <c r="F3310" s="22" t="s">
        <v>3511</v>
      </c>
      <c r="G3310" s="13" t="b">
        <v>0</v>
      </c>
      <c r="H3310" s="22" t="s">
        <v>123</v>
      </c>
      <c r="I3310" s="10" t="s">
        <v>3548</v>
      </c>
      <c r="J3310" s="13" t="b">
        <v>0</v>
      </c>
      <c r="K3310" s="13" t="b">
        <v>1</v>
      </c>
      <c r="L3310" s="10" t="s">
        <v>124</v>
      </c>
      <c r="M3310" s="10" t="s">
        <v>91</v>
      </c>
      <c r="N3310" s="10" t="s">
        <v>3513</v>
      </c>
      <c r="O3310" s="10"/>
      <c r="P3310" s="10"/>
      <c r="Q3310" s="10"/>
      <c r="R3310" s="10"/>
      <c r="S3310" s="10"/>
      <c r="T3310" s="10"/>
      <c r="U3310" s="10" t="s">
        <v>3635</v>
      </c>
      <c r="V3310" s="10" t="s">
        <v>3622</v>
      </c>
      <c r="W3310" s="10" t="s">
        <v>3519</v>
      </c>
      <c r="X3310" s="10" t="s">
        <v>130</v>
      </c>
      <c r="Y3310" s="10" t="s">
        <v>130</v>
      </c>
      <c r="Z3310" s="10" t="s">
        <v>99</v>
      </c>
      <c r="AA3310" s="10" t="s">
        <v>131</v>
      </c>
      <c r="AB3310" s="10" t="s">
        <v>3520</v>
      </c>
      <c r="AC3310" s="10" t="s">
        <v>3521</v>
      </c>
      <c r="AD3310" s="10" t="s">
        <v>23791</v>
      </c>
      <c r="AE3310" s="10" t="s">
        <v>23792</v>
      </c>
      <c r="AF3310" s="15"/>
      <c r="AG3310" s="10"/>
      <c r="AH3310" s="10"/>
      <c r="AI3310" s="10"/>
      <c r="AJ3310" s="10"/>
      <c r="AK3310" s="10"/>
      <c r="AL3310" s="10" t="s">
        <v>2802</v>
      </c>
      <c r="AM3310" s="10"/>
      <c r="AN3310" s="10"/>
      <c r="AO3310" s="13" t="b">
        <v>0</v>
      </c>
      <c r="AP3310" s="22" t="s">
        <v>104</v>
      </c>
      <c r="AQ3310" s="10"/>
      <c r="AR3310" s="17"/>
      <c r="AS3310" s="17"/>
      <c r="AT3310" s="17"/>
      <c r="AU3310" s="17"/>
      <c r="AV3310" s="17"/>
      <c r="AW3310" s="10"/>
      <c r="AX3310" s="17"/>
      <c r="AY3310" s="18" t="s">
        <v>257</v>
      </c>
      <c r="AZ3310" s="10"/>
      <c r="BA3310" s="20" t="b">
        <v>0</v>
      </c>
      <c r="BB3310" s="10"/>
      <c r="BC3310" s="17" t="s">
        <v>257</v>
      </c>
      <c r="BD3310" s="17" t="s">
        <v>257</v>
      </c>
      <c r="BE3310" s="17" t="s">
        <v>257</v>
      </c>
      <c r="BF3310" s="17" t="s">
        <v>257</v>
      </c>
      <c r="BG3310" s="11">
        <f ca="1">IFERROR(__xludf.DUMMYFUNCTION("""COMPUTED_VALUE"""),46137.7916666666)</f>
        <v>46137.791666666599</v>
      </c>
      <c r="BH3310" s="17"/>
      <c r="BI3310" s="17"/>
      <c r="BJ3310" s="15"/>
      <c r="BK3310" s="15"/>
      <c r="BL3310" s="13" t="b">
        <v>0</v>
      </c>
      <c r="BM3310" s="10"/>
      <c r="BN3310" s="10" t="s">
        <v>223</v>
      </c>
      <c r="BO3310" s="11">
        <v>46010.149050925924</v>
      </c>
      <c r="BP3310" s="11">
        <v>46010.149050925924</v>
      </c>
      <c r="BQ3310" s="15"/>
      <c r="BR3310" s="15"/>
      <c r="BS3310" s="10"/>
      <c r="BT3310" s="10"/>
      <c r="BU3310" s="10"/>
      <c r="BV3310" s="10"/>
      <c r="BW3310" s="10"/>
      <c r="BX3310" s="10"/>
      <c r="BY3310" s="23"/>
      <c r="BZ3310" s="23"/>
      <c r="CA3310" s="10"/>
      <c r="CB3310" s="23"/>
      <c r="CC3310" s="23"/>
      <c r="CD3310" s="23"/>
      <c r="CE3310" s="23"/>
      <c r="CF3310" s="23"/>
      <c r="CG3310" s="23"/>
      <c r="CH3310" s="23"/>
      <c r="CI3310" s="23"/>
    </row>
    <row r="3311" spans="1:87" x14ac:dyDescent="0.3">
      <c r="A3311" s="9" t="s">
        <v>23793</v>
      </c>
      <c r="B3311" s="10" t="s">
        <v>23794</v>
      </c>
      <c r="C3311" s="11">
        <v>46139.645833333336</v>
      </c>
      <c r="D3311" s="12">
        <v>8.3333333333333329E-2</v>
      </c>
      <c r="E3311" s="11">
        <v>46139.729166666664</v>
      </c>
      <c r="F3311" s="22" t="s">
        <v>3511</v>
      </c>
      <c r="G3311" s="13" t="b">
        <v>0</v>
      </c>
      <c r="H3311" s="22" t="s">
        <v>123</v>
      </c>
      <c r="I3311" s="10" t="s">
        <v>3548</v>
      </c>
      <c r="J3311" s="13" t="b">
        <v>0</v>
      </c>
      <c r="K3311" s="13" t="b">
        <v>1</v>
      </c>
      <c r="L3311" s="10" t="s">
        <v>124</v>
      </c>
      <c r="M3311" s="10" t="s">
        <v>91</v>
      </c>
      <c r="N3311" s="10" t="s">
        <v>3513</v>
      </c>
      <c r="O3311" s="10"/>
      <c r="P3311" s="10"/>
      <c r="Q3311" s="10"/>
      <c r="R3311" s="10"/>
      <c r="S3311" s="10"/>
      <c r="T3311" s="10"/>
      <c r="U3311" s="10" t="s">
        <v>3661</v>
      </c>
      <c r="V3311" s="10" t="s">
        <v>3535</v>
      </c>
      <c r="W3311" s="10" t="s">
        <v>3519</v>
      </c>
      <c r="X3311" s="10" t="s">
        <v>130</v>
      </c>
      <c r="Y3311" s="10" t="s">
        <v>130</v>
      </c>
      <c r="Z3311" s="10" t="s">
        <v>99</v>
      </c>
      <c r="AA3311" s="10" t="s">
        <v>131</v>
      </c>
      <c r="AB3311" s="10" t="s">
        <v>3520</v>
      </c>
      <c r="AC3311" s="10" t="s">
        <v>3521</v>
      </c>
      <c r="AD3311" s="10" t="s">
        <v>23795</v>
      </c>
      <c r="AE3311" s="10" t="s">
        <v>23796</v>
      </c>
      <c r="AF3311" s="15"/>
      <c r="AG3311" s="10"/>
      <c r="AH3311" s="10"/>
      <c r="AI3311" s="10"/>
      <c r="AJ3311" s="10"/>
      <c r="AK3311" s="10"/>
      <c r="AL3311" s="10" t="s">
        <v>2843</v>
      </c>
      <c r="AM3311" s="10"/>
      <c r="AN3311" s="10"/>
      <c r="AO3311" s="13" t="b">
        <v>0</v>
      </c>
      <c r="AP3311" s="22" t="s">
        <v>104</v>
      </c>
      <c r="AQ3311" s="10"/>
      <c r="AR3311" s="17"/>
      <c r="AS3311" s="17"/>
      <c r="AT3311" s="17"/>
      <c r="AU3311" s="17"/>
      <c r="AV3311" s="17"/>
      <c r="AW3311" s="10"/>
      <c r="AX3311" s="17"/>
      <c r="AY3311" s="18" t="s">
        <v>257</v>
      </c>
      <c r="AZ3311" s="10"/>
      <c r="BA3311" s="20" t="b">
        <v>0</v>
      </c>
      <c r="BB3311" s="10"/>
      <c r="BC3311" s="17" t="s">
        <v>257</v>
      </c>
      <c r="BD3311" s="17" t="s">
        <v>257</v>
      </c>
      <c r="BE3311" s="17" t="s">
        <v>257</v>
      </c>
      <c r="BF3311" s="17" t="s">
        <v>257</v>
      </c>
      <c r="BG3311" s="11">
        <f ca="1">IFERROR(__xludf.DUMMYFUNCTION("""COMPUTED_VALUE"""),46139.6458333333)</f>
        <v>46139.645833333299</v>
      </c>
      <c r="BH3311" s="17"/>
      <c r="BI3311" s="17"/>
      <c r="BJ3311" s="15"/>
      <c r="BK3311" s="15"/>
      <c r="BL3311" s="13" t="b">
        <v>0</v>
      </c>
      <c r="BM3311" s="10"/>
      <c r="BN3311" s="10" t="s">
        <v>223</v>
      </c>
      <c r="BO3311" s="11">
        <v>46010.149050925924</v>
      </c>
      <c r="BP3311" s="11">
        <v>46010.149050925924</v>
      </c>
      <c r="BQ3311" s="15"/>
      <c r="BR3311" s="15"/>
      <c r="BS3311" s="10"/>
      <c r="BT3311" s="10"/>
      <c r="BU3311" s="10"/>
      <c r="BV3311" s="10"/>
      <c r="BW3311" s="10"/>
      <c r="BX3311" s="10"/>
      <c r="BY3311" s="23"/>
      <c r="BZ3311" s="23"/>
      <c r="CA3311" s="10"/>
      <c r="CB3311" s="23"/>
      <c r="CC3311" s="23"/>
      <c r="CD3311" s="23"/>
      <c r="CE3311" s="23"/>
      <c r="CF3311" s="23"/>
      <c r="CG3311" s="23"/>
      <c r="CH3311" s="23"/>
      <c r="CI3311" s="23"/>
    </row>
    <row r="3312" spans="1:87" x14ac:dyDescent="0.3">
      <c r="A3312" s="9" t="s">
        <v>23797</v>
      </c>
      <c r="B3312" s="10" t="s">
        <v>23798</v>
      </c>
      <c r="C3312" s="11">
        <v>46139.791666666664</v>
      </c>
      <c r="D3312" s="12">
        <v>8.3333333333333329E-2</v>
      </c>
      <c r="E3312" s="11">
        <v>46139.875</v>
      </c>
      <c r="F3312" s="22" t="s">
        <v>3511</v>
      </c>
      <c r="G3312" s="13" t="b">
        <v>0</v>
      </c>
      <c r="H3312" s="22" t="s">
        <v>123</v>
      </c>
      <c r="I3312" s="10" t="s">
        <v>3548</v>
      </c>
      <c r="J3312" s="13" t="b">
        <v>0</v>
      </c>
      <c r="K3312" s="13" t="b">
        <v>1</v>
      </c>
      <c r="L3312" s="10" t="s">
        <v>124</v>
      </c>
      <c r="M3312" s="10" t="s">
        <v>91</v>
      </c>
      <c r="N3312" s="10" t="s">
        <v>3513</v>
      </c>
      <c r="O3312" s="10"/>
      <c r="P3312" s="10"/>
      <c r="Q3312" s="10"/>
      <c r="R3312" s="10"/>
      <c r="S3312" s="10"/>
      <c r="T3312" s="10"/>
      <c r="U3312" s="10" t="s">
        <v>3647</v>
      </c>
      <c r="V3312" s="10" t="s">
        <v>3636</v>
      </c>
      <c r="W3312" s="10" t="s">
        <v>3519</v>
      </c>
      <c r="X3312" s="10" t="s">
        <v>130</v>
      </c>
      <c r="Y3312" s="10" t="s">
        <v>130</v>
      </c>
      <c r="Z3312" s="10" t="s">
        <v>99</v>
      </c>
      <c r="AA3312" s="10" t="s">
        <v>131</v>
      </c>
      <c r="AB3312" s="10" t="s">
        <v>3520</v>
      </c>
      <c r="AC3312" s="10" t="s">
        <v>3521</v>
      </c>
      <c r="AD3312" s="10" t="s">
        <v>23799</v>
      </c>
      <c r="AE3312" s="10" t="s">
        <v>23800</v>
      </c>
      <c r="AF3312" s="15"/>
      <c r="AG3312" s="10"/>
      <c r="AH3312" s="10"/>
      <c r="AI3312" s="10"/>
      <c r="AJ3312" s="10"/>
      <c r="AK3312" s="10"/>
      <c r="AL3312" s="10" t="s">
        <v>2843</v>
      </c>
      <c r="AM3312" s="10"/>
      <c r="AN3312" s="10"/>
      <c r="AO3312" s="13" t="b">
        <v>1</v>
      </c>
      <c r="AP3312" s="22" t="s">
        <v>104</v>
      </c>
      <c r="AQ3312" s="10"/>
      <c r="AR3312" s="17"/>
      <c r="AS3312" s="17"/>
      <c r="AT3312" s="17"/>
      <c r="AU3312" s="17"/>
      <c r="AV3312" s="17"/>
      <c r="AW3312" s="10"/>
      <c r="AX3312" s="17"/>
      <c r="AY3312" s="18" t="s">
        <v>257</v>
      </c>
      <c r="AZ3312" s="10"/>
      <c r="BA3312" s="20" t="b">
        <v>0</v>
      </c>
      <c r="BB3312" s="10"/>
      <c r="BC3312" s="17" t="s">
        <v>257</v>
      </c>
      <c r="BD3312" s="17" t="s">
        <v>257</v>
      </c>
      <c r="BE3312" s="17" t="s">
        <v>257</v>
      </c>
      <c r="BF3312" s="17" t="s">
        <v>257</v>
      </c>
      <c r="BG3312" s="11">
        <f ca="1">IFERROR(__xludf.DUMMYFUNCTION("""COMPUTED_VALUE"""),46139.7916666666)</f>
        <v>46139.791666666599</v>
      </c>
      <c r="BH3312" s="17"/>
      <c r="BI3312" s="17"/>
      <c r="BJ3312" s="15"/>
      <c r="BK3312" s="15"/>
      <c r="BL3312" s="13" t="b">
        <v>0</v>
      </c>
      <c r="BM3312" s="10"/>
      <c r="BN3312" s="10" t="s">
        <v>223</v>
      </c>
      <c r="BO3312" s="11">
        <v>46010.149050925924</v>
      </c>
      <c r="BP3312" s="11">
        <v>46010.149050925924</v>
      </c>
      <c r="BQ3312" s="15"/>
      <c r="BR3312" s="15"/>
      <c r="BS3312" s="10"/>
      <c r="BT3312" s="10"/>
      <c r="BU3312" s="10"/>
      <c r="BV3312" s="10"/>
      <c r="BW3312" s="10"/>
      <c r="BX3312" s="10"/>
      <c r="BY3312" s="23"/>
      <c r="BZ3312" s="23"/>
      <c r="CA3312" s="10"/>
      <c r="CB3312" s="23"/>
      <c r="CC3312" s="23"/>
      <c r="CD3312" s="23"/>
      <c r="CE3312" s="23"/>
      <c r="CF3312" s="23"/>
      <c r="CG3312" s="23"/>
      <c r="CH3312" s="23"/>
      <c r="CI3312" s="23"/>
    </row>
    <row r="3313" spans="1:87" x14ac:dyDescent="0.3">
      <c r="A3313" s="9" t="s">
        <v>23801</v>
      </c>
      <c r="B3313" s="10" t="s">
        <v>23802</v>
      </c>
      <c r="C3313" s="11">
        <v>46140.645833333336</v>
      </c>
      <c r="D3313" s="12">
        <v>8.3333333333333329E-2</v>
      </c>
      <c r="E3313" s="11">
        <v>46140.729166666664</v>
      </c>
      <c r="F3313" s="22" t="s">
        <v>3511</v>
      </c>
      <c r="G3313" s="13" t="b">
        <v>0</v>
      </c>
      <c r="H3313" s="22" t="s">
        <v>123</v>
      </c>
      <c r="I3313" s="10" t="s">
        <v>3548</v>
      </c>
      <c r="J3313" s="13" t="b">
        <v>0</v>
      </c>
      <c r="K3313" s="13" t="b">
        <v>1</v>
      </c>
      <c r="L3313" s="10" t="s">
        <v>124</v>
      </c>
      <c r="M3313" s="10" t="s">
        <v>91</v>
      </c>
      <c r="N3313" s="10" t="s">
        <v>3513</v>
      </c>
      <c r="O3313" s="10"/>
      <c r="P3313" s="10"/>
      <c r="Q3313" s="10"/>
      <c r="R3313" s="10"/>
      <c r="S3313" s="10"/>
      <c r="T3313" s="10"/>
      <c r="U3313" s="10" t="s">
        <v>3676</v>
      </c>
      <c r="V3313" s="10" t="s">
        <v>3551</v>
      </c>
      <c r="W3313" s="10" t="s">
        <v>3519</v>
      </c>
      <c r="X3313" s="10" t="s">
        <v>130</v>
      </c>
      <c r="Y3313" s="10" t="s">
        <v>130</v>
      </c>
      <c r="Z3313" s="10" t="s">
        <v>99</v>
      </c>
      <c r="AA3313" s="10" t="s">
        <v>131</v>
      </c>
      <c r="AB3313" s="10" t="s">
        <v>3520</v>
      </c>
      <c r="AC3313" s="10" t="s">
        <v>3521</v>
      </c>
      <c r="AD3313" s="10" t="s">
        <v>23803</v>
      </c>
      <c r="AE3313" s="10" t="s">
        <v>23804</v>
      </c>
      <c r="AF3313" s="15"/>
      <c r="AG3313" s="10"/>
      <c r="AH3313" s="10"/>
      <c r="AI3313" s="10"/>
      <c r="AJ3313" s="10"/>
      <c r="AK3313" s="10"/>
      <c r="AL3313" s="10" t="s">
        <v>2843</v>
      </c>
      <c r="AM3313" s="10"/>
      <c r="AN3313" s="10"/>
      <c r="AO3313" s="13" t="b">
        <v>1</v>
      </c>
      <c r="AP3313" s="22" t="s">
        <v>104</v>
      </c>
      <c r="AQ3313" s="10"/>
      <c r="AR3313" s="17"/>
      <c r="AS3313" s="17"/>
      <c r="AT3313" s="17"/>
      <c r="AU3313" s="17"/>
      <c r="AV3313" s="17"/>
      <c r="AW3313" s="10"/>
      <c r="AX3313" s="17"/>
      <c r="AY3313" s="18" t="s">
        <v>257</v>
      </c>
      <c r="AZ3313" s="10"/>
      <c r="BA3313" s="20" t="b">
        <v>0</v>
      </c>
      <c r="BB3313" s="10"/>
      <c r="BC3313" s="17" t="s">
        <v>257</v>
      </c>
      <c r="BD3313" s="17" t="s">
        <v>257</v>
      </c>
      <c r="BE3313" s="17" t="s">
        <v>257</v>
      </c>
      <c r="BF3313" s="17" t="s">
        <v>257</v>
      </c>
      <c r="BG3313" s="11">
        <f ca="1">IFERROR(__xludf.DUMMYFUNCTION("""COMPUTED_VALUE"""),46140.6458333333)</f>
        <v>46140.645833333299</v>
      </c>
      <c r="BH3313" s="17"/>
      <c r="BI3313" s="17"/>
      <c r="BJ3313" s="15"/>
      <c r="BK3313" s="15"/>
      <c r="BL3313" s="13" t="b">
        <v>0</v>
      </c>
      <c r="BM3313" s="10"/>
      <c r="BN3313" s="10" t="s">
        <v>223</v>
      </c>
      <c r="BO3313" s="11">
        <v>46010.149050925924</v>
      </c>
      <c r="BP3313" s="11">
        <v>46010.149050925924</v>
      </c>
      <c r="BQ3313" s="15"/>
      <c r="BR3313" s="15"/>
      <c r="BS3313" s="10"/>
      <c r="BT3313" s="10"/>
      <c r="BU3313" s="10"/>
      <c r="BV3313" s="10"/>
      <c r="BW3313" s="10"/>
      <c r="BX3313" s="10"/>
      <c r="BY3313" s="23"/>
      <c r="BZ3313" s="23"/>
      <c r="CA3313" s="10"/>
      <c r="CB3313" s="23"/>
      <c r="CC3313" s="23"/>
      <c r="CD3313" s="23"/>
      <c r="CE3313" s="23"/>
      <c r="CF3313" s="23"/>
      <c r="CG3313" s="23"/>
      <c r="CH3313" s="23"/>
      <c r="CI3313" s="23"/>
    </row>
    <row r="3314" spans="1:87" x14ac:dyDescent="0.3">
      <c r="A3314" s="9" t="s">
        <v>23805</v>
      </c>
      <c r="B3314" s="10" t="s">
        <v>23806</v>
      </c>
      <c r="C3314" s="11">
        <v>46140.645833333336</v>
      </c>
      <c r="D3314" s="12">
        <v>8.3333333333333329E-2</v>
      </c>
      <c r="E3314" s="11">
        <v>46140.729166666664</v>
      </c>
      <c r="F3314" s="22" t="s">
        <v>3511</v>
      </c>
      <c r="G3314" s="13" t="b">
        <v>0</v>
      </c>
      <c r="H3314" s="22" t="s">
        <v>236</v>
      </c>
      <c r="I3314" s="10" t="s">
        <v>3548</v>
      </c>
      <c r="J3314" s="13" t="b">
        <v>0</v>
      </c>
      <c r="K3314" s="13" t="b">
        <v>1</v>
      </c>
      <c r="L3314" s="10" t="s">
        <v>124</v>
      </c>
      <c r="M3314" s="10" t="s">
        <v>91</v>
      </c>
      <c r="N3314" s="10" t="s">
        <v>3513</v>
      </c>
      <c r="O3314" s="10"/>
      <c r="P3314" s="10"/>
      <c r="Q3314" s="10"/>
      <c r="R3314" s="10"/>
      <c r="S3314" s="10"/>
      <c r="T3314" s="10"/>
      <c r="U3314" s="10" t="s">
        <v>3677</v>
      </c>
      <c r="V3314" s="10" t="s">
        <v>3623</v>
      </c>
      <c r="W3314" s="10" t="s">
        <v>3519</v>
      </c>
      <c r="X3314" s="10" t="s">
        <v>130</v>
      </c>
      <c r="Y3314" s="10" t="s">
        <v>130</v>
      </c>
      <c r="Z3314" s="10" t="s">
        <v>99</v>
      </c>
      <c r="AA3314" s="10" t="s">
        <v>131</v>
      </c>
      <c r="AB3314" s="10" t="s">
        <v>3520</v>
      </c>
      <c r="AC3314" s="10" t="s">
        <v>3521</v>
      </c>
      <c r="AD3314" s="10" t="s">
        <v>23807</v>
      </c>
      <c r="AE3314" s="10" t="s">
        <v>23808</v>
      </c>
      <c r="AF3314" s="15"/>
      <c r="AG3314" s="10"/>
      <c r="AH3314" s="10"/>
      <c r="AI3314" s="10"/>
      <c r="AJ3314" s="10"/>
      <c r="AK3314" s="10"/>
      <c r="AL3314" s="10" t="s">
        <v>2843</v>
      </c>
      <c r="AM3314" s="10"/>
      <c r="AN3314" s="10"/>
      <c r="AO3314" s="13" t="b">
        <v>0</v>
      </c>
      <c r="AP3314" s="22" t="s">
        <v>104</v>
      </c>
      <c r="AQ3314" s="10"/>
      <c r="AR3314" s="17"/>
      <c r="AS3314" s="17"/>
      <c r="AT3314" s="17"/>
      <c r="AU3314" s="17"/>
      <c r="AV3314" s="17"/>
      <c r="AW3314" s="10"/>
      <c r="AX3314" s="17"/>
      <c r="AY3314" s="18" t="s">
        <v>257</v>
      </c>
      <c r="AZ3314" s="10"/>
      <c r="BA3314" s="20" t="b">
        <v>0</v>
      </c>
      <c r="BB3314" s="10"/>
      <c r="BC3314" s="17" t="s">
        <v>257</v>
      </c>
      <c r="BD3314" s="17" t="s">
        <v>257</v>
      </c>
      <c r="BE3314" s="17" t="s">
        <v>257</v>
      </c>
      <c r="BF3314" s="17" t="s">
        <v>257</v>
      </c>
      <c r="BG3314" s="11">
        <f ca="1">IFERROR(__xludf.DUMMYFUNCTION("""COMPUTED_VALUE"""),46140.6458333333)</f>
        <v>46140.645833333299</v>
      </c>
      <c r="BH3314" s="17"/>
      <c r="BI3314" s="17"/>
      <c r="BJ3314" s="15"/>
      <c r="BK3314" s="15"/>
      <c r="BL3314" s="13" t="b">
        <v>0</v>
      </c>
      <c r="BM3314" s="10"/>
      <c r="BN3314" s="10" t="s">
        <v>223</v>
      </c>
      <c r="BO3314" s="11">
        <v>46010.149050925924</v>
      </c>
      <c r="BP3314" s="11">
        <v>46010.149050925924</v>
      </c>
      <c r="BQ3314" s="15"/>
      <c r="BR3314" s="15"/>
      <c r="BS3314" s="10"/>
      <c r="BT3314" s="10"/>
      <c r="BU3314" s="10"/>
      <c r="BV3314" s="10"/>
      <c r="BW3314" s="10"/>
      <c r="BX3314" s="10"/>
      <c r="BY3314" s="23"/>
      <c r="BZ3314" s="23"/>
      <c r="CA3314" s="10"/>
      <c r="CB3314" s="23"/>
      <c r="CC3314" s="23"/>
      <c r="CD3314" s="23"/>
      <c r="CE3314" s="23"/>
      <c r="CF3314" s="23"/>
      <c r="CG3314" s="23"/>
      <c r="CH3314" s="23"/>
      <c r="CI3314" s="23"/>
    </row>
    <row r="3315" spans="1:87" x14ac:dyDescent="0.3">
      <c r="A3315" s="9" t="s">
        <v>23809</v>
      </c>
      <c r="B3315" s="10" t="s">
        <v>23810</v>
      </c>
      <c r="C3315" s="11">
        <v>46141.645833333336</v>
      </c>
      <c r="D3315" s="12">
        <v>8.3333333333333329E-2</v>
      </c>
      <c r="E3315" s="11">
        <v>46141.729166666664</v>
      </c>
      <c r="F3315" s="22" t="s">
        <v>3511</v>
      </c>
      <c r="G3315" s="13" t="b">
        <v>0</v>
      </c>
      <c r="H3315" s="22" t="s">
        <v>236</v>
      </c>
      <c r="I3315" s="10" t="s">
        <v>212</v>
      </c>
      <c r="J3315" s="13" t="b">
        <v>1</v>
      </c>
      <c r="K3315" s="13" t="b">
        <v>0</v>
      </c>
      <c r="L3315" s="10" t="s">
        <v>124</v>
      </c>
      <c r="M3315" s="10" t="s">
        <v>91</v>
      </c>
      <c r="N3315" s="10" t="s">
        <v>3513</v>
      </c>
      <c r="O3315" s="10"/>
      <c r="P3315" s="10"/>
      <c r="Q3315" s="10"/>
      <c r="R3315" s="10"/>
      <c r="S3315" s="10"/>
      <c r="T3315" s="10"/>
      <c r="U3315" s="10" t="s">
        <v>3610</v>
      </c>
      <c r="V3315" s="10" t="s">
        <v>3635</v>
      </c>
      <c r="W3315" s="10" t="s">
        <v>3519</v>
      </c>
      <c r="X3315" s="10" t="s">
        <v>130</v>
      </c>
      <c r="Y3315" s="10" t="s">
        <v>130</v>
      </c>
      <c r="Z3315" s="10" t="s">
        <v>99</v>
      </c>
      <c r="AA3315" s="10" t="s">
        <v>131</v>
      </c>
      <c r="AB3315" s="10" t="s">
        <v>3520</v>
      </c>
      <c r="AC3315" s="10" t="s">
        <v>3521</v>
      </c>
      <c r="AD3315" s="10" t="s">
        <v>23811</v>
      </c>
      <c r="AE3315" s="10" t="s">
        <v>23812</v>
      </c>
      <c r="AF3315" s="15"/>
      <c r="AG3315" s="10"/>
      <c r="AH3315" s="10"/>
      <c r="AI3315" s="10"/>
      <c r="AJ3315" s="10"/>
      <c r="AK3315" s="10"/>
      <c r="AL3315" s="10" t="s">
        <v>2843</v>
      </c>
      <c r="AM3315" s="10"/>
      <c r="AN3315" s="10"/>
      <c r="AO3315" s="13" t="b">
        <v>0</v>
      </c>
      <c r="AP3315" s="22" t="s">
        <v>104</v>
      </c>
      <c r="AQ3315" s="10"/>
      <c r="AR3315" s="17"/>
      <c r="AS3315" s="17"/>
      <c r="AT3315" s="17"/>
      <c r="AU3315" s="17"/>
      <c r="AV3315" s="17"/>
      <c r="AW3315" s="10"/>
      <c r="AX3315" s="17"/>
      <c r="AY3315" s="18" t="s">
        <v>257</v>
      </c>
      <c r="AZ3315" s="10"/>
      <c r="BA3315" s="20" t="b">
        <v>0</v>
      </c>
      <c r="BB3315" s="10"/>
      <c r="BC3315" s="17" t="s">
        <v>257</v>
      </c>
      <c r="BD3315" s="17" t="s">
        <v>257</v>
      </c>
      <c r="BE3315" s="17" t="s">
        <v>257</v>
      </c>
      <c r="BF3315" s="17" t="s">
        <v>257</v>
      </c>
      <c r="BG3315" s="11">
        <f ca="1">IFERROR(__xludf.DUMMYFUNCTION("""COMPUTED_VALUE"""),46141.6458333333)</f>
        <v>46141.645833333299</v>
      </c>
      <c r="BH3315" s="17"/>
      <c r="BI3315" s="17"/>
      <c r="BJ3315" s="15"/>
      <c r="BK3315" s="15"/>
      <c r="BL3315" s="13" t="b">
        <v>0</v>
      </c>
      <c r="BM3315" s="10"/>
      <c r="BN3315" s="10" t="s">
        <v>223</v>
      </c>
      <c r="BO3315" s="11">
        <v>46010.149050925924</v>
      </c>
      <c r="BP3315" s="11">
        <v>46010.149050925924</v>
      </c>
      <c r="BQ3315" s="15"/>
      <c r="BR3315" s="15"/>
      <c r="BS3315" s="10"/>
      <c r="BT3315" s="10"/>
      <c r="BU3315" s="10"/>
      <c r="BV3315" s="10"/>
      <c r="BW3315" s="10"/>
      <c r="BX3315" s="10"/>
      <c r="BY3315" s="23"/>
      <c r="BZ3315" s="23"/>
      <c r="CA3315" s="10"/>
      <c r="CB3315" s="23"/>
      <c r="CC3315" s="23"/>
      <c r="CD3315" s="23"/>
      <c r="CE3315" s="23"/>
      <c r="CF3315" s="23"/>
      <c r="CG3315" s="23"/>
      <c r="CH3315" s="23"/>
      <c r="CI3315" s="23"/>
    </row>
    <row r="3316" spans="1:87" x14ac:dyDescent="0.3">
      <c r="A3316" s="9" t="s">
        <v>23813</v>
      </c>
      <c r="B3316" s="10" t="s">
        <v>23814</v>
      </c>
      <c r="C3316" s="11">
        <v>46141.645833333336</v>
      </c>
      <c r="D3316" s="12">
        <v>8.3333333333333329E-2</v>
      </c>
      <c r="E3316" s="11">
        <v>46141.729166666664</v>
      </c>
      <c r="F3316" s="22" t="s">
        <v>3511</v>
      </c>
      <c r="G3316" s="13" t="b">
        <v>0</v>
      </c>
      <c r="H3316" s="22" t="s">
        <v>3512</v>
      </c>
      <c r="I3316" s="10" t="s">
        <v>212</v>
      </c>
      <c r="J3316" s="13" t="b">
        <v>1</v>
      </c>
      <c r="K3316" s="13" t="b">
        <v>0</v>
      </c>
      <c r="L3316" s="10" t="s">
        <v>124</v>
      </c>
      <c r="M3316" s="10" t="s">
        <v>91</v>
      </c>
      <c r="N3316" s="10" t="s">
        <v>3513</v>
      </c>
      <c r="O3316" s="10"/>
      <c r="P3316" s="10"/>
      <c r="Q3316" s="10"/>
      <c r="R3316" s="10"/>
      <c r="S3316" s="10"/>
      <c r="T3316" s="10"/>
      <c r="U3316" s="10" t="s">
        <v>3662</v>
      </c>
      <c r="V3316" s="10" t="s">
        <v>3517</v>
      </c>
      <c r="W3316" s="10" t="s">
        <v>3519</v>
      </c>
      <c r="X3316" s="10" t="s">
        <v>130</v>
      </c>
      <c r="Y3316" s="10" t="s">
        <v>130</v>
      </c>
      <c r="Z3316" s="10" t="s">
        <v>99</v>
      </c>
      <c r="AA3316" s="10" t="s">
        <v>131</v>
      </c>
      <c r="AB3316" s="10" t="s">
        <v>3520</v>
      </c>
      <c r="AC3316" s="10" t="s">
        <v>3521</v>
      </c>
      <c r="AD3316" s="10" t="s">
        <v>23815</v>
      </c>
      <c r="AE3316" s="10" t="s">
        <v>23816</v>
      </c>
      <c r="AF3316" s="15"/>
      <c r="AG3316" s="10"/>
      <c r="AH3316" s="10"/>
      <c r="AI3316" s="10"/>
      <c r="AJ3316" s="10"/>
      <c r="AK3316" s="10"/>
      <c r="AL3316" s="10" t="s">
        <v>2843</v>
      </c>
      <c r="AM3316" s="10"/>
      <c r="AN3316" s="10"/>
      <c r="AO3316" s="13" t="b">
        <v>0</v>
      </c>
      <c r="AP3316" s="22" t="s">
        <v>104</v>
      </c>
      <c r="AQ3316" s="10"/>
      <c r="AR3316" s="17"/>
      <c r="AS3316" s="17"/>
      <c r="AT3316" s="17"/>
      <c r="AU3316" s="17"/>
      <c r="AV3316" s="17"/>
      <c r="AW3316" s="10"/>
      <c r="AX3316" s="17"/>
      <c r="AY3316" s="18" t="s">
        <v>257</v>
      </c>
      <c r="AZ3316" s="10"/>
      <c r="BA3316" s="20" t="b">
        <v>0</v>
      </c>
      <c r="BB3316" s="10"/>
      <c r="BC3316" s="17" t="s">
        <v>257</v>
      </c>
      <c r="BD3316" s="17" t="s">
        <v>257</v>
      </c>
      <c r="BE3316" s="17" t="s">
        <v>257</v>
      </c>
      <c r="BF3316" s="17" t="s">
        <v>257</v>
      </c>
      <c r="BG3316" s="11">
        <f ca="1">IFERROR(__xludf.DUMMYFUNCTION("""COMPUTED_VALUE"""),46141.6458333333)</f>
        <v>46141.645833333299</v>
      </c>
      <c r="BH3316" s="17"/>
      <c r="BI3316" s="17"/>
      <c r="BJ3316" s="15"/>
      <c r="BK3316" s="15"/>
      <c r="BL3316" s="13" t="b">
        <v>0</v>
      </c>
      <c r="BM3316" s="10"/>
      <c r="BN3316" s="10" t="s">
        <v>223</v>
      </c>
      <c r="BO3316" s="11">
        <v>46010.149050925924</v>
      </c>
      <c r="BP3316" s="11">
        <v>46010.149050925924</v>
      </c>
      <c r="BQ3316" s="15"/>
      <c r="BR3316" s="15"/>
      <c r="BS3316" s="10"/>
      <c r="BT3316" s="10"/>
      <c r="BU3316" s="10"/>
      <c r="BV3316" s="10"/>
      <c r="BW3316" s="10"/>
      <c r="BX3316" s="10"/>
      <c r="BY3316" s="23"/>
      <c r="BZ3316" s="23"/>
      <c r="CA3316" s="10"/>
      <c r="CB3316" s="23"/>
      <c r="CC3316" s="23"/>
      <c r="CD3316" s="23"/>
      <c r="CE3316" s="23"/>
      <c r="CF3316" s="23"/>
      <c r="CG3316" s="23"/>
      <c r="CH3316" s="23"/>
      <c r="CI3316" s="23"/>
    </row>
    <row r="3317" spans="1:87" x14ac:dyDescent="0.3">
      <c r="A3317" s="9" t="s">
        <v>23817</v>
      </c>
      <c r="B3317" s="10" t="s">
        <v>23818</v>
      </c>
      <c r="C3317" s="11">
        <v>46141.791666666664</v>
      </c>
      <c r="D3317" s="12">
        <v>8.3333333333333329E-2</v>
      </c>
      <c r="E3317" s="11">
        <v>46141.875</v>
      </c>
      <c r="F3317" s="22" t="s">
        <v>3511</v>
      </c>
      <c r="G3317" s="13" t="b">
        <v>0</v>
      </c>
      <c r="H3317" s="22" t="s">
        <v>123</v>
      </c>
      <c r="I3317" s="10" t="s">
        <v>3548</v>
      </c>
      <c r="J3317" s="13" t="b">
        <v>0</v>
      </c>
      <c r="K3317" s="13" t="b">
        <v>1</v>
      </c>
      <c r="L3317" s="10" t="s">
        <v>124</v>
      </c>
      <c r="M3317" s="10" t="s">
        <v>91</v>
      </c>
      <c r="N3317" s="10" t="s">
        <v>3513</v>
      </c>
      <c r="O3317" s="10"/>
      <c r="P3317" s="10"/>
      <c r="Q3317" s="10"/>
      <c r="R3317" s="10"/>
      <c r="S3317" s="10"/>
      <c r="T3317" s="10"/>
      <c r="U3317" s="10" t="s">
        <v>3622</v>
      </c>
      <c r="V3317" s="10" t="s">
        <v>3536</v>
      </c>
      <c r="W3317" s="10" t="s">
        <v>3519</v>
      </c>
      <c r="X3317" s="10" t="s">
        <v>130</v>
      </c>
      <c r="Y3317" s="10" t="s">
        <v>130</v>
      </c>
      <c r="Z3317" s="10" t="s">
        <v>99</v>
      </c>
      <c r="AA3317" s="10" t="s">
        <v>131</v>
      </c>
      <c r="AB3317" s="10" t="s">
        <v>3520</v>
      </c>
      <c r="AC3317" s="10" t="s">
        <v>3521</v>
      </c>
      <c r="AD3317" s="10" t="s">
        <v>23819</v>
      </c>
      <c r="AE3317" s="10" t="s">
        <v>23820</v>
      </c>
      <c r="AF3317" s="15"/>
      <c r="AG3317" s="10"/>
      <c r="AH3317" s="10"/>
      <c r="AI3317" s="10"/>
      <c r="AJ3317" s="10"/>
      <c r="AK3317" s="10"/>
      <c r="AL3317" s="10" t="s">
        <v>2843</v>
      </c>
      <c r="AM3317" s="10"/>
      <c r="AN3317" s="10"/>
      <c r="AO3317" s="13" t="b">
        <v>0</v>
      </c>
      <c r="AP3317" s="22" t="s">
        <v>104</v>
      </c>
      <c r="AQ3317" s="10"/>
      <c r="AR3317" s="17"/>
      <c r="AS3317" s="17"/>
      <c r="AT3317" s="17"/>
      <c r="AU3317" s="17"/>
      <c r="AV3317" s="17"/>
      <c r="AW3317" s="10"/>
      <c r="AX3317" s="17"/>
      <c r="AY3317" s="18" t="s">
        <v>257</v>
      </c>
      <c r="AZ3317" s="10"/>
      <c r="BA3317" s="20" t="b">
        <v>0</v>
      </c>
      <c r="BB3317" s="10"/>
      <c r="BC3317" s="17" t="s">
        <v>257</v>
      </c>
      <c r="BD3317" s="17" t="s">
        <v>257</v>
      </c>
      <c r="BE3317" s="17" t="s">
        <v>257</v>
      </c>
      <c r="BF3317" s="17" t="s">
        <v>257</v>
      </c>
      <c r="BG3317" s="11">
        <f ca="1">IFERROR(__xludf.DUMMYFUNCTION("""COMPUTED_VALUE"""),46141.7916666666)</f>
        <v>46141.791666666599</v>
      </c>
      <c r="BH3317" s="17"/>
      <c r="BI3317" s="17"/>
      <c r="BJ3317" s="15"/>
      <c r="BK3317" s="15"/>
      <c r="BL3317" s="13" t="b">
        <v>0</v>
      </c>
      <c r="BM3317" s="10"/>
      <c r="BN3317" s="10" t="s">
        <v>223</v>
      </c>
      <c r="BO3317" s="11">
        <v>46010.149050925924</v>
      </c>
      <c r="BP3317" s="11">
        <v>46010.149050925924</v>
      </c>
      <c r="BQ3317" s="15"/>
      <c r="BR3317" s="15"/>
      <c r="BS3317" s="10"/>
      <c r="BT3317" s="10"/>
      <c r="BU3317" s="10"/>
      <c r="BV3317" s="10"/>
      <c r="BW3317" s="10"/>
      <c r="BX3317" s="10"/>
      <c r="BY3317" s="23"/>
      <c r="BZ3317" s="23"/>
      <c r="CA3317" s="10"/>
      <c r="CB3317" s="23"/>
      <c r="CC3317" s="23"/>
      <c r="CD3317" s="23"/>
      <c r="CE3317" s="23"/>
      <c r="CF3317" s="23"/>
      <c r="CG3317" s="23"/>
      <c r="CH3317" s="23"/>
      <c r="CI3317" s="23"/>
    </row>
    <row r="3318" spans="1:87" x14ac:dyDescent="0.3">
      <c r="A3318" s="9" t="s">
        <v>23821</v>
      </c>
      <c r="B3318" s="10" t="s">
        <v>23822</v>
      </c>
      <c r="C3318" s="11">
        <v>46142.645833333336</v>
      </c>
      <c r="D3318" s="12">
        <v>8.3333333333333329E-2</v>
      </c>
      <c r="E3318" s="11">
        <v>46142.729166666664</v>
      </c>
      <c r="F3318" s="22" t="s">
        <v>3511</v>
      </c>
      <c r="G3318" s="13" t="b">
        <v>0</v>
      </c>
      <c r="H3318" s="22" t="s">
        <v>236</v>
      </c>
      <c r="I3318" s="10" t="s">
        <v>212</v>
      </c>
      <c r="J3318" s="13" t="b">
        <v>1</v>
      </c>
      <c r="K3318" s="13" t="b">
        <v>0</v>
      </c>
      <c r="L3318" s="10" t="s">
        <v>124</v>
      </c>
      <c r="M3318" s="10" t="s">
        <v>91</v>
      </c>
      <c r="N3318" s="10" t="s">
        <v>3513</v>
      </c>
      <c r="O3318" s="10"/>
      <c r="P3318" s="10"/>
      <c r="Q3318" s="10"/>
      <c r="R3318" s="10"/>
      <c r="S3318" s="10"/>
      <c r="T3318" s="10"/>
      <c r="U3318" s="10" t="s">
        <v>3552</v>
      </c>
      <c r="V3318" s="10" t="s">
        <v>3648</v>
      </c>
      <c r="W3318" s="10" t="s">
        <v>3519</v>
      </c>
      <c r="X3318" s="10" t="s">
        <v>130</v>
      </c>
      <c r="Y3318" s="10" t="s">
        <v>130</v>
      </c>
      <c r="Z3318" s="10" t="s">
        <v>99</v>
      </c>
      <c r="AA3318" s="10" t="s">
        <v>131</v>
      </c>
      <c r="AB3318" s="10" t="s">
        <v>3520</v>
      </c>
      <c r="AC3318" s="10" t="s">
        <v>3521</v>
      </c>
      <c r="AD3318" s="10" t="s">
        <v>23823</v>
      </c>
      <c r="AE3318" s="10" t="s">
        <v>23824</v>
      </c>
      <c r="AF3318" s="15"/>
      <c r="AG3318" s="10"/>
      <c r="AH3318" s="10"/>
      <c r="AI3318" s="10"/>
      <c r="AJ3318" s="10"/>
      <c r="AK3318" s="10"/>
      <c r="AL3318" s="10" t="s">
        <v>2843</v>
      </c>
      <c r="AM3318" s="10"/>
      <c r="AN3318" s="10"/>
      <c r="AO3318" s="13" t="b">
        <v>0</v>
      </c>
      <c r="AP3318" s="22" t="s">
        <v>104</v>
      </c>
      <c r="AQ3318" s="10"/>
      <c r="AR3318" s="17"/>
      <c r="AS3318" s="17"/>
      <c r="AT3318" s="17"/>
      <c r="AU3318" s="17"/>
      <c r="AV3318" s="17"/>
      <c r="AW3318" s="10"/>
      <c r="AX3318" s="17"/>
      <c r="AY3318" s="18" t="s">
        <v>257</v>
      </c>
      <c r="AZ3318" s="10"/>
      <c r="BA3318" s="20" t="b">
        <v>0</v>
      </c>
      <c r="BB3318" s="10"/>
      <c r="BC3318" s="17" t="s">
        <v>257</v>
      </c>
      <c r="BD3318" s="17" t="s">
        <v>257</v>
      </c>
      <c r="BE3318" s="17" t="s">
        <v>257</v>
      </c>
      <c r="BF3318" s="17" t="s">
        <v>257</v>
      </c>
      <c r="BG3318" s="11">
        <f ca="1">IFERROR(__xludf.DUMMYFUNCTION("""COMPUTED_VALUE"""),46142.6458333333)</f>
        <v>46142.645833333299</v>
      </c>
      <c r="BH3318" s="17"/>
      <c r="BI3318" s="17"/>
      <c r="BJ3318" s="15"/>
      <c r="BK3318" s="15"/>
      <c r="BL3318" s="13" t="b">
        <v>0</v>
      </c>
      <c r="BM3318" s="10"/>
      <c r="BN3318" s="10" t="s">
        <v>223</v>
      </c>
      <c r="BO3318" s="11">
        <v>46010.149050925924</v>
      </c>
      <c r="BP3318" s="11">
        <v>46010.149050925924</v>
      </c>
      <c r="BQ3318" s="15"/>
      <c r="BR3318" s="15"/>
      <c r="BS3318" s="10"/>
      <c r="BT3318" s="10"/>
      <c r="BU3318" s="10"/>
      <c r="BV3318" s="10"/>
      <c r="BW3318" s="10"/>
      <c r="BX3318" s="10"/>
      <c r="BY3318" s="23"/>
      <c r="BZ3318" s="23"/>
      <c r="CA3318" s="10"/>
      <c r="CB3318" s="23"/>
      <c r="CC3318" s="23"/>
      <c r="CD3318" s="23"/>
      <c r="CE3318" s="23"/>
      <c r="CF3318" s="23"/>
      <c r="CG3318" s="23"/>
      <c r="CH3318" s="23"/>
      <c r="CI3318" s="23"/>
    </row>
    <row r="3319" spans="1:87" x14ac:dyDescent="0.3">
      <c r="A3319" s="9" t="s">
        <v>23825</v>
      </c>
      <c r="B3319" s="10" t="s">
        <v>23826</v>
      </c>
      <c r="C3319" s="11">
        <v>46142.791666666664</v>
      </c>
      <c r="D3319" s="12">
        <v>8.3333333333333329E-2</v>
      </c>
      <c r="E3319" s="11">
        <v>46142.875</v>
      </c>
      <c r="F3319" s="22" t="s">
        <v>3511</v>
      </c>
      <c r="G3319" s="13" t="b">
        <v>0</v>
      </c>
      <c r="H3319" s="22" t="s">
        <v>123</v>
      </c>
      <c r="I3319" s="10" t="s">
        <v>3548</v>
      </c>
      <c r="J3319" s="13" t="b">
        <v>0</v>
      </c>
      <c r="K3319" s="13" t="b">
        <v>1</v>
      </c>
      <c r="L3319" s="10" t="s">
        <v>124</v>
      </c>
      <c r="M3319" s="10" t="s">
        <v>91</v>
      </c>
      <c r="N3319" s="10" t="s">
        <v>3513</v>
      </c>
      <c r="O3319" s="10"/>
      <c r="P3319" s="10"/>
      <c r="Q3319" s="10"/>
      <c r="R3319" s="10"/>
      <c r="S3319" s="10"/>
      <c r="T3319" s="10"/>
      <c r="U3319" s="10" t="s">
        <v>3518</v>
      </c>
      <c r="V3319" s="10" t="s">
        <v>3609</v>
      </c>
      <c r="W3319" s="10" t="s">
        <v>3519</v>
      </c>
      <c r="X3319" s="10" t="s">
        <v>130</v>
      </c>
      <c r="Y3319" s="10" t="s">
        <v>130</v>
      </c>
      <c r="Z3319" s="10" t="s">
        <v>99</v>
      </c>
      <c r="AA3319" s="10" t="s">
        <v>131</v>
      </c>
      <c r="AB3319" s="10" t="s">
        <v>3520</v>
      </c>
      <c r="AC3319" s="10" t="s">
        <v>3521</v>
      </c>
      <c r="AD3319" s="10" t="s">
        <v>23827</v>
      </c>
      <c r="AE3319" s="10" t="s">
        <v>23828</v>
      </c>
      <c r="AF3319" s="15"/>
      <c r="AG3319" s="10"/>
      <c r="AH3319" s="10"/>
      <c r="AI3319" s="10"/>
      <c r="AJ3319" s="10"/>
      <c r="AK3319" s="10"/>
      <c r="AL3319" s="10" t="s">
        <v>2843</v>
      </c>
      <c r="AM3319" s="10"/>
      <c r="AN3319" s="10"/>
      <c r="AO3319" s="13" t="b">
        <v>1</v>
      </c>
      <c r="AP3319" s="22" t="s">
        <v>104</v>
      </c>
      <c r="AQ3319" s="10"/>
      <c r="AR3319" s="17"/>
      <c r="AS3319" s="17"/>
      <c r="AT3319" s="17"/>
      <c r="AU3319" s="17"/>
      <c r="AV3319" s="17"/>
      <c r="AW3319" s="10"/>
      <c r="AX3319" s="17"/>
      <c r="AY3319" s="18" t="s">
        <v>257</v>
      </c>
      <c r="AZ3319" s="10"/>
      <c r="BA3319" s="20" t="b">
        <v>0</v>
      </c>
      <c r="BB3319" s="10"/>
      <c r="BC3319" s="17" t="s">
        <v>257</v>
      </c>
      <c r="BD3319" s="17" t="s">
        <v>257</v>
      </c>
      <c r="BE3319" s="17" t="s">
        <v>257</v>
      </c>
      <c r="BF3319" s="17" t="s">
        <v>257</v>
      </c>
      <c r="BG3319" s="11">
        <f ca="1">IFERROR(__xludf.DUMMYFUNCTION("""COMPUTED_VALUE"""),46142.7916666666)</f>
        <v>46142.791666666599</v>
      </c>
      <c r="BH3319" s="17"/>
      <c r="BI3319" s="17"/>
      <c r="BJ3319" s="15"/>
      <c r="BK3319" s="15"/>
      <c r="BL3319" s="13" t="b">
        <v>0</v>
      </c>
      <c r="BM3319" s="10"/>
      <c r="BN3319" s="10" t="s">
        <v>223</v>
      </c>
      <c r="BO3319" s="11">
        <v>46010.149050925924</v>
      </c>
      <c r="BP3319" s="11">
        <v>46010.149050925924</v>
      </c>
      <c r="BQ3319" s="15"/>
      <c r="BR3319" s="15"/>
      <c r="BS3319" s="10"/>
      <c r="BT3319" s="10"/>
      <c r="BU3319" s="10"/>
      <c r="BV3319" s="10"/>
      <c r="BW3319" s="10"/>
      <c r="BX3319" s="10"/>
      <c r="BY3319" s="23"/>
      <c r="BZ3319" s="23"/>
      <c r="CA3319" s="10"/>
      <c r="CB3319" s="23"/>
      <c r="CC3319" s="23"/>
      <c r="CD3319" s="23"/>
      <c r="CE3319" s="23"/>
      <c r="CF3319" s="23"/>
      <c r="CG3319" s="23"/>
      <c r="CH3319" s="23"/>
      <c r="CI3319" s="23"/>
    </row>
    <row r="3320" spans="1:87" x14ac:dyDescent="0.3">
      <c r="A3320" s="9" t="s">
        <v>23829</v>
      </c>
      <c r="B3320" s="10" t="s">
        <v>23830</v>
      </c>
      <c r="C3320" s="11">
        <v>46144.645833333336</v>
      </c>
      <c r="D3320" s="12">
        <v>8.3333333333333329E-2</v>
      </c>
      <c r="E3320" s="11">
        <v>46144.729166666664</v>
      </c>
      <c r="F3320" s="22" t="s">
        <v>3511</v>
      </c>
      <c r="G3320" s="13" t="b">
        <v>0</v>
      </c>
      <c r="H3320" s="22" t="s">
        <v>123</v>
      </c>
      <c r="I3320" s="10" t="s">
        <v>3548</v>
      </c>
      <c r="J3320" s="13" t="b">
        <v>0</v>
      </c>
      <c r="K3320" s="13" t="b">
        <v>1</v>
      </c>
      <c r="L3320" s="10" t="s">
        <v>124</v>
      </c>
      <c r="M3320" s="10" t="s">
        <v>91</v>
      </c>
      <c r="N3320" s="10" t="s">
        <v>3513</v>
      </c>
      <c r="O3320" s="10"/>
      <c r="P3320" s="10"/>
      <c r="Q3320" s="10"/>
      <c r="R3320" s="10"/>
      <c r="S3320" s="10"/>
      <c r="T3320" s="10"/>
      <c r="U3320" s="10" t="s">
        <v>3551</v>
      </c>
      <c r="V3320" s="10" t="s">
        <v>3677</v>
      </c>
      <c r="W3320" s="10" t="s">
        <v>3519</v>
      </c>
      <c r="X3320" s="10" t="s">
        <v>130</v>
      </c>
      <c r="Y3320" s="10" t="s">
        <v>130</v>
      </c>
      <c r="Z3320" s="10" t="s">
        <v>99</v>
      </c>
      <c r="AA3320" s="10" t="s">
        <v>131</v>
      </c>
      <c r="AB3320" s="10" t="s">
        <v>3520</v>
      </c>
      <c r="AC3320" s="10" t="s">
        <v>3521</v>
      </c>
      <c r="AD3320" s="10" t="s">
        <v>23831</v>
      </c>
      <c r="AE3320" s="10" t="s">
        <v>23832</v>
      </c>
      <c r="AF3320" s="15"/>
      <c r="AG3320" s="10"/>
      <c r="AH3320" s="10"/>
      <c r="AI3320" s="10"/>
      <c r="AJ3320" s="10"/>
      <c r="AK3320" s="10"/>
      <c r="AL3320" s="10" t="s">
        <v>2885</v>
      </c>
      <c r="AM3320" s="10"/>
      <c r="AN3320" s="10"/>
      <c r="AO3320" s="13" t="b">
        <v>1</v>
      </c>
      <c r="AP3320" s="22" t="s">
        <v>104</v>
      </c>
      <c r="AQ3320" s="10"/>
      <c r="AR3320" s="17"/>
      <c r="AS3320" s="17"/>
      <c r="AT3320" s="17"/>
      <c r="AU3320" s="17"/>
      <c r="AV3320" s="17"/>
      <c r="AW3320" s="10"/>
      <c r="AX3320" s="17"/>
      <c r="AY3320" s="18" t="s">
        <v>257</v>
      </c>
      <c r="AZ3320" s="10"/>
      <c r="BA3320" s="20" t="b">
        <v>0</v>
      </c>
      <c r="BB3320" s="10"/>
      <c r="BC3320" s="17" t="s">
        <v>257</v>
      </c>
      <c r="BD3320" s="17" t="s">
        <v>257</v>
      </c>
      <c r="BE3320" s="17" t="s">
        <v>257</v>
      </c>
      <c r="BF3320" s="17" t="s">
        <v>257</v>
      </c>
      <c r="BG3320" s="11">
        <f ca="1">IFERROR(__xludf.DUMMYFUNCTION("""COMPUTED_VALUE"""),46144.6458333333)</f>
        <v>46144.645833333299</v>
      </c>
      <c r="BH3320" s="17"/>
      <c r="BI3320" s="17"/>
      <c r="BJ3320" s="15"/>
      <c r="BK3320" s="15"/>
      <c r="BL3320" s="13" t="b">
        <v>0</v>
      </c>
      <c r="BM3320" s="10"/>
      <c r="BN3320" s="10" t="s">
        <v>223</v>
      </c>
      <c r="BO3320" s="11">
        <v>46010.149050925924</v>
      </c>
      <c r="BP3320" s="11">
        <v>46010.149050925924</v>
      </c>
      <c r="BQ3320" s="15"/>
      <c r="BR3320" s="15"/>
      <c r="BS3320" s="10"/>
      <c r="BT3320" s="10"/>
      <c r="BU3320" s="10"/>
      <c r="BV3320" s="10"/>
      <c r="BW3320" s="10"/>
      <c r="BX3320" s="10"/>
      <c r="BY3320" s="23"/>
      <c r="BZ3320" s="23"/>
      <c r="CA3320" s="10"/>
      <c r="CB3320" s="23"/>
      <c r="CC3320" s="23"/>
      <c r="CD3320" s="23"/>
      <c r="CE3320" s="23"/>
      <c r="CF3320" s="23"/>
      <c r="CG3320" s="23"/>
      <c r="CH3320" s="23"/>
      <c r="CI3320" s="23"/>
    </row>
    <row r="3321" spans="1:87" x14ac:dyDescent="0.3">
      <c r="A3321" s="9" t="s">
        <v>23833</v>
      </c>
      <c r="B3321" s="10" t="s">
        <v>23834</v>
      </c>
      <c r="C3321" s="11">
        <v>46144.791666666664</v>
      </c>
      <c r="D3321" s="12">
        <v>8.3333333333333329E-2</v>
      </c>
      <c r="E3321" s="11">
        <v>46144.875</v>
      </c>
      <c r="F3321" s="22" t="s">
        <v>3511</v>
      </c>
      <c r="G3321" s="13" t="b">
        <v>0</v>
      </c>
      <c r="H3321" s="22" t="s">
        <v>236</v>
      </c>
      <c r="I3321" s="10" t="s">
        <v>3548</v>
      </c>
      <c r="J3321" s="13" t="b">
        <v>0</v>
      </c>
      <c r="K3321" s="13" t="b">
        <v>1</v>
      </c>
      <c r="L3321" s="10" t="s">
        <v>124</v>
      </c>
      <c r="M3321" s="10" t="s">
        <v>91</v>
      </c>
      <c r="N3321" s="10" t="s">
        <v>3513</v>
      </c>
      <c r="O3321" s="10"/>
      <c r="P3321" s="10"/>
      <c r="Q3321" s="10"/>
      <c r="R3321" s="10"/>
      <c r="S3321" s="10"/>
      <c r="T3321" s="10"/>
      <c r="U3321" s="10" t="s">
        <v>3623</v>
      </c>
      <c r="V3321" s="10" t="s">
        <v>3636</v>
      </c>
      <c r="W3321" s="10" t="s">
        <v>3519</v>
      </c>
      <c r="X3321" s="10" t="s">
        <v>130</v>
      </c>
      <c r="Y3321" s="10" t="s">
        <v>130</v>
      </c>
      <c r="Z3321" s="10" t="s">
        <v>99</v>
      </c>
      <c r="AA3321" s="10" t="s">
        <v>131</v>
      </c>
      <c r="AB3321" s="10" t="s">
        <v>3520</v>
      </c>
      <c r="AC3321" s="10" t="s">
        <v>3521</v>
      </c>
      <c r="AD3321" s="10" t="s">
        <v>23835</v>
      </c>
      <c r="AE3321" s="10" t="s">
        <v>23836</v>
      </c>
      <c r="AF3321" s="15"/>
      <c r="AG3321" s="10"/>
      <c r="AH3321" s="10"/>
      <c r="AI3321" s="10"/>
      <c r="AJ3321" s="10"/>
      <c r="AK3321" s="10"/>
      <c r="AL3321" s="10" t="s">
        <v>2885</v>
      </c>
      <c r="AM3321" s="10"/>
      <c r="AN3321" s="10"/>
      <c r="AO3321" s="13" t="b">
        <v>0</v>
      </c>
      <c r="AP3321" s="22" t="s">
        <v>104</v>
      </c>
      <c r="AQ3321" s="10"/>
      <c r="AR3321" s="17"/>
      <c r="AS3321" s="17"/>
      <c r="AT3321" s="17"/>
      <c r="AU3321" s="17"/>
      <c r="AV3321" s="17"/>
      <c r="AW3321" s="10"/>
      <c r="AX3321" s="17"/>
      <c r="AY3321" s="18" t="s">
        <v>257</v>
      </c>
      <c r="AZ3321" s="10"/>
      <c r="BA3321" s="20" t="b">
        <v>0</v>
      </c>
      <c r="BB3321" s="10"/>
      <c r="BC3321" s="17" t="s">
        <v>257</v>
      </c>
      <c r="BD3321" s="17" t="s">
        <v>257</v>
      </c>
      <c r="BE3321" s="17" t="s">
        <v>257</v>
      </c>
      <c r="BF3321" s="17" t="s">
        <v>257</v>
      </c>
      <c r="BG3321" s="11">
        <f ca="1">IFERROR(__xludf.DUMMYFUNCTION("""COMPUTED_VALUE"""),46144.7916666666)</f>
        <v>46144.791666666599</v>
      </c>
      <c r="BH3321" s="17"/>
      <c r="BI3321" s="17"/>
      <c r="BJ3321" s="15"/>
      <c r="BK3321" s="15"/>
      <c r="BL3321" s="13" t="b">
        <v>0</v>
      </c>
      <c r="BM3321" s="10"/>
      <c r="BN3321" s="10" t="s">
        <v>223</v>
      </c>
      <c r="BO3321" s="11">
        <v>46010.149050925924</v>
      </c>
      <c r="BP3321" s="11">
        <v>46010.149050925924</v>
      </c>
      <c r="BQ3321" s="15"/>
      <c r="BR3321" s="15"/>
      <c r="BS3321" s="10"/>
      <c r="BT3321" s="10"/>
      <c r="BU3321" s="10"/>
      <c r="BV3321" s="10"/>
      <c r="BW3321" s="10"/>
      <c r="BX3321" s="10"/>
      <c r="BY3321" s="23"/>
      <c r="BZ3321" s="23"/>
      <c r="CA3321" s="10"/>
      <c r="CB3321" s="23"/>
      <c r="CC3321" s="23"/>
      <c r="CD3321" s="23"/>
      <c r="CE3321" s="23"/>
      <c r="CF3321" s="23"/>
      <c r="CG3321" s="23"/>
      <c r="CH3321" s="23"/>
      <c r="CI3321" s="23"/>
    </row>
    <row r="3322" spans="1:87" x14ac:dyDescent="0.3">
      <c r="A3322" s="9" t="s">
        <v>23837</v>
      </c>
      <c r="B3322" s="10" t="s">
        <v>23838</v>
      </c>
      <c r="C3322" s="11">
        <v>46145.645833333336</v>
      </c>
      <c r="D3322" s="12">
        <v>8.3333333333333329E-2</v>
      </c>
      <c r="E3322" s="11">
        <v>46145.729166666664</v>
      </c>
      <c r="F3322" s="22" t="s">
        <v>3511</v>
      </c>
      <c r="G3322" s="13" t="b">
        <v>0</v>
      </c>
      <c r="H3322" s="22" t="s">
        <v>123</v>
      </c>
      <c r="I3322" s="10" t="s">
        <v>3548</v>
      </c>
      <c r="J3322" s="13" t="b">
        <v>0</v>
      </c>
      <c r="K3322" s="13" t="b">
        <v>1</v>
      </c>
      <c r="L3322" s="10" t="s">
        <v>124</v>
      </c>
      <c r="M3322" s="10" t="s">
        <v>91</v>
      </c>
      <c r="N3322" s="10" t="s">
        <v>3513</v>
      </c>
      <c r="O3322" s="10"/>
      <c r="P3322" s="10"/>
      <c r="Q3322" s="10"/>
      <c r="R3322" s="10"/>
      <c r="S3322" s="10"/>
      <c r="T3322" s="10"/>
      <c r="U3322" s="10" t="s">
        <v>3662</v>
      </c>
      <c r="V3322" s="10" t="s">
        <v>3676</v>
      </c>
      <c r="W3322" s="10" t="s">
        <v>3519</v>
      </c>
      <c r="X3322" s="10" t="s">
        <v>130</v>
      </c>
      <c r="Y3322" s="10" t="s">
        <v>130</v>
      </c>
      <c r="Z3322" s="10" t="s">
        <v>99</v>
      </c>
      <c r="AA3322" s="10" t="s">
        <v>131</v>
      </c>
      <c r="AB3322" s="10" t="s">
        <v>3520</v>
      </c>
      <c r="AC3322" s="10" t="s">
        <v>3521</v>
      </c>
      <c r="AD3322" s="10" t="s">
        <v>23839</v>
      </c>
      <c r="AE3322" s="10" t="s">
        <v>23840</v>
      </c>
      <c r="AF3322" s="15"/>
      <c r="AG3322" s="10"/>
      <c r="AH3322" s="10"/>
      <c r="AI3322" s="10"/>
      <c r="AJ3322" s="10"/>
      <c r="AK3322" s="10"/>
      <c r="AL3322" s="10" t="s">
        <v>2885</v>
      </c>
      <c r="AM3322" s="10"/>
      <c r="AN3322" s="10"/>
      <c r="AO3322" s="13" t="b">
        <v>0</v>
      </c>
      <c r="AP3322" s="22" t="s">
        <v>104</v>
      </c>
      <c r="AQ3322" s="10"/>
      <c r="AR3322" s="17"/>
      <c r="AS3322" s="17"/>
      <c r="AT3322" s="17"/>
      <c r="AU3322" s="17"/>
      <c r="AV3322" s="17"/>
      <c r="AW3322" s="10"/>
      <c r="AX3322" s="17"/>
      <c r="AY3322" s="18" t="s">
        <v>257</v>
      </c>
      <c r="AZ3322" s="10"/>
      <c r="BA3322" s="20" t="b">
        <v>0</v>
      </c>
      <c r="BB3322" s="10"/>
      <c r="BC3322" s="17" t="s">
        <v>257</v>
      </c>
      <c r="BD3322" s="17" t="s">
        <v>257</v>
      </c>
      <c r="BE3322" s="17" t="s">
        <v>257</v>
      </c>
      <c r="BF3322" s="17" t="s">
        <v>257</v>
      </c>
      <c r="BG3322" s="11">
        <f ca="1">IFERROR(__xludf.DUMMYFUNCTION("""COMPUTED_VALUE"""),46145.6458333333)</f>
        <v>46145.645833333299</v>
      </c>
      <c r="BH3322" s="17"/>
      <c r="BI3322" s="17"/>
      <c r="BJ3322" s="15"/>
      <c r="BK3322" s="15"/>
      <c r="BL3322" s="13" t="b">
        <v>0</v>
      </c>
      <c r="BM3322" s="10"/>
      <c r="BN3322" s="10" t="s">
        <v>223</v>
      </c>
      <c r="BO3322" s="11">
        <v>46010.149050925924</v>
      </c>
      <c r="BP3322" s="11">
        <v>46010.149050925924</v>
      </c>
      <c r="BQ3322" s="15"/>
      <c r="BR3322" s="15"/>
      <c r="BS3322" s="10"/>
      <c r="BT3322" s="10"/>
      <c r="BU3322" s="10"/>
      <c r="BV3322" s="10"/>
      <c r="BW3322" s="10"/>
      <c r="BX3322" s="10"/>
      <c r="BY3322" s="23"/>
      <c r="BZ3322" s="23"/>
      <c r="CA3322" s="10"/>
      <c r="CB3322" s="23"/>
      <c r="CC3322" s="23"/>
      <c r="CD3322" s="23"/>
      <c r="CE3322" s="23"/>
      <c r="CF3322" s="23"/>
      <c r="CG3322" s="23"/>
      <c r="CH3322" s="23"/>
      <c r="CI3322" s="23"/>
    </row>
    <row r="3323" spans="1:87" x14ac:dyDescent="0.3">
      <c r="A3323" s="9" t="s">
        <v>23841</v>
      </c>
      <c r="B3323" s="10" t="s">
        <v>23842</v>
      </c>
      <c r="C3323" s="11">
        <v>46145.791666666664</v>
      </c>
      <c r="D3323" s="12">
        <v>8.3333333333333329E-2</v>
      </c>
      <c r="E3323" s="11">
        <v>46145.875</v>
      </c>
      <c r="F3323" s="22" t="s">
        <v>3511</v>
      </c>
      <c r="G3323" s="13" t="b">
        <v>0</v>
      </c>
      <c r="H3323" s="22" t="s">
        <v>123</v>
      </c>
      <c r="I3323" s="10" t="s">
        <v>3548</v>
      </c>
      <c r="J3323" s="13" t="b">
        <v>0</v>
      </c>
      <c r="K3323" s="13" t="b">
        <v>1</v>
      </c>
      <c r="L3323" s="10" t="s">
        <v>124</v>
      </c>
      <c r="M3323" s="10" t="s">
        <v>91</v>
      </c>
      <c r="N3323" s="10" t="s">
        <v>3513</v>
      </c>
      <c r="O3323" s="10"/>
      <c r="P3323" s="10"/>
      <c r="Q3323" s="10"/>
      <c r="R3323" s="10"/>
      <c r="S3323" s="10"/>
      <c r="T3323" s="10"/>
      <c r="U3323" s="10" t="s">
        <v>3622</v>
      </c>
      <c r="V3323" s="10" t="s">
        <v>3610</v>
      </c>
      <c r="W3323" s="10" t="s">
        <v>3519</v>
      </c>
      <c r="X3323" s="10" t="s">
        <v>130</v>
      </c>
      <c r="Y3323" s="10" t="s">
        <v>130</v>
      </c>
      <c r="Z3323" s="10" t="s">
        <v>99</v>
      </c>
      <c r="AA3323" s="10" t="s">
        <v>131</v>
      </c>
      <c r="AB3323" s="10" t="s">
        <v>3520</v>
      </c>
      <c r="AC3323" s="10" t="s">
        <v>3521</v>
      </c>
      <c r="AD3323" s="10" t="s">
        <v>23843</v>
      </c>
      <c r="AE3323" s="10" t="s">
        <v>23844</v>
      </c>
      <c r="AF3323" s="15"/>
      <c r="AG3323" s="10"/>
      <c r="AH3323" s="10"/>
      <c r="AI3323" s="10"/>
      <c r="AJ3323" s="10"/>
      <c r="AK3323" s="10"/>
      <c r="AL3323" s="10" t="s">
        <v>2885</v>
      </c>
      <c r="AM3323" s="10"/>
      <c r="AN3323" s="10"/>
      <c r="AO3323" s="13" t="b">
        <v>0</v>
      </c>
      <c r="AP3323" s="22" t="s">
        <v>104</v>
      </c>
      <c r="AQ3323" s="10"/>
      <c r="AR3323" s="17"/>
      <c r="AS3323" s="17"/>
      <c r="AT3323" s="17"/>
      <c r="AU3323" s="17"/>
      <c r="AV3323" s="17"/>
      <c r="AW3323" s="10"/>
      <c r="AX3323" s="17"/>
      <c r="AY3323" s="18" t="s">
        <v>257</v>
      </c>
      <c r="AZ3323" s="10"/>
      <c r="BA3323" s="20" t="b">
        <v>0</v>
      </c>
      <c r="BB3323" s="10"/>
      <c r="BC3323" s="17" t="s">
        <v>257</v>
      </c>
      <c r="BD3323" s="17" t="s">
        <v>257</v>
      </c>
      <c r="BE3323" s="17" t="s">
        <v>257</v>
      </c>
      <c r="BF3323" s="17" t="s">
        <v>257</v>
      </c>
      <c r="BG3323" s="11">
        <f ca="1">IFERROR(__xludf.DUMMYFUNCTION("""COMPUTED_VALUE"""),46145.7916666666)</f>
        <v>46145.791666666599</v>
      </c>
      <c r="BH3323" s="17"/>
      <c r="BI3323" s="17"/>
      <c r="BJ3323" s="15"/>
      <c r="BK3323" s="15"/>
      <c r="BL3323" s="13" t="b">
        <v>0</v>
      </c>
      <c r="BM3323" s="10"/>
      <c r="BN3323" s="10" t="s">
        <v>223</v>
      </c>
      <c r="BO3323" s="11">
        <v>46010.149050925924</v>
      </c>
      <c r="BP3323" s="11">
        <v>46010.149050925924</v>
      </c>
      <c r="BQ3323" s="15"/>
      <c r="BR3323" s="15"/>
      <c r="BS3323" s="10"/>
      <c r="BT3323" s="10"/>
      <c r="BU3323" s="10"/>
      <c r="BV3323" s="10"/>
      <c r="BW3323" s="10"/>
      <c r="BX3323" s="10"/>
      <c r="BY3323" s="23"/>
      <c r="BZ3323" s="23"/>
      <c r="CA3323" s="10"/>
      <c r="CB3323" s="23"/>
      <c r="CC3323" s="23"/>
      <c r="CD3323" s="23"/>
      <c r="CE3323" s="23"/>
      <c r="CF3323" s="23"/>
      <c r="CG3323" s="23"/>
      <c r="CH3323" s="23"/>
      <c r="CI3323" s="23"/>
    </row>
    <row r="3324" spans="1:87" x14ac:dyDescent="0.3">
      <c r="A3324" s="9" t="s">
        <v>23845</v>
      </c>
      <c r="B3324" s="10" t="s">
        <v>23846</v>
      </c>
      <c r="C3324" s="11">
        <v>46146.645833333336</v>
      </c>
      <c r="D3324" s="12">
        <v>8.3333333333333329E-2</v>
      </c>
      <c r="E3324" s="11">
        <v>46146.729166666664</v>
      </c>
      <c r="F3324" s="22" t="s">
        <v>3511</v>
      </c>
      <c r="G3324" s="13" t="b">
        <v>0</v>
      </c>
      <c r="H3324" s="22" t="s">
        <v>3512</v>
      </c>
      <c r="I3324" s="10" t="s">
        <v>212</v>
      </c>
      <c r="J3324" s="13" t="b">
        <v>1</v>
      </c>
      <c r="K3324" s="13" t="b">
        <v>0</v>
      </c>
      <c r="L3324" s="10" t="s">
        <v>124</v>
      </c>
      <c r="M3324" s="10" t="s">
        <v>91</v>
      </c>
      <c r="N3324" s="10" t="s">
        <v>3513</v>
      </c>
      <c r="O3324" s="10"/>
      <c r="P3324" s="10"/>
      <c r="Q3324" s="10"/>
      <c r="R3324" s="10"/>
      <c r="S3324" s="10"/>
      <c r="T3324" s="10"/>
      <c r="U3324" s="10" t="s">
        <v>3535</v>
      </c>
      <c r="V3324" s="10" t="s">
        <v>3518</v>
      </c>
      <c r="W3324" s="10" t="s">
        <v>3519</v>
      </c>
      <c r="X3324" s="10" t="s">
        <v>130</v>
      </c>
      <c r="Y3324" s="10" t="s">
        <v>130</v>
      </c>
      <c r="Z3324" s="10" t="s">
        <v>99</v>
      </c>
      <c r="AA3324" s="10" t="s">
        <v>131</v>
      </c>
      <c r="AB3324" s="10" t="s">
        <v>3520</v>
      </c>
      <c r="AC3324" s="10" t="s">
        <v>3521</v>
      </c>
      <c r="AD3324" s="10" t="s">
        <v>23847</v>
      </c>
      <c r="AE3324" s="10" t="s">
        <v>23848</v>
      </c>
      <c r="AF3324" s="15"/>
      <c r="AG3324" s="10"/>
      <c r="AH3324" s="10"/>
      <c r="AI3324" s="10"/>
      <c r="AJ3324" s="10"/>
      <c r="AK3324" s="10"/>
      <c r="AL3324" s="10" t="s">
        <v>2885</v>
      </c>
      <c r="AM3324" s="10"/>
      <c r="AN3324" s="10"/>
      <c r="AO3324" s="13" t="b">
        <v>0</v>
      </c>
      <c r="AP3324" s="22" t="s">
        <v>104</v>
      </c>
      <c r="AQ3324" s="10"/>
      <c r="AR3324" s="17"/>
      <c r="AS3324" s="17"/>
      <c r="AT3324" s="17"/>
      <c r="AU3324" s="17"/>
      <c r="AV3324" s="17"/>
      <c r="AW3324" s="10"/>
      <c r="AX3324" s="17"/>
      <c r="AY3324" s="18" t="s">
        <v>257</v>
      </c>
      <c r="AZ3324" s="10"/>
      <c r="BA3324" s="20" t="b">
        <v>0</v>
      </c>
      <c r="BB3324" s="10"/>
      <c r="BC3324" s="17" t="s">
        <v>257</v>
      </c>
      <c r="BD3324" s="17" t="s">
        <v>257</v>
      </c>
      <c r="BE3324" s="17" t="s">
        <v>257</v>
      </c>
      <c r="BF3324" s="17" t="s">
        <v>257</v>
      </c>
      <c r="BG3324" s="11">
        <f ca="1">IFERROR(__xludf.DUMMYFUNCTION("""COMPUTED_VALUE"""),46146.6458333333)</f>
        <v>46146.645833333299</v>
      </c>
      <c r="BH3324" s="17"/>
      <c r="BI3324" s="17"/>
      <c r="BJ3324" s="15"/>
      <c r="BK3324" s="15"/>
      <c r="BL3324" s="13" t="b">
        <v>0</v>
      </c>
      <c r="BM3324" s="10"/>
      <c r="BN3324" s="10" t="s">
        <v>223</v>
      </c>
      <c r="BO3324" s="11">
        <v>46010.149050925924</v>
      </c>
      <c r="BP3324" s="11">
        <v>46010.149050925924</v>
      </c>
      <c r="BQ3324" s="15"/>
      <c r="BR3324" s="15"/>
      <c r="BS3324" s="10"/>
      <c r="BT3324" s="10"/>
      <c r="BU3324" s="10"/>
      <c r="BV3324" s="10"/>
      <c r="BW3324" s="10"/>
      <c r="BX3324" s="10"/>
      <c r="BY3324" s="23"/>
      <c r="BZ3324" s="23"/>
      <c r="CA3324" s="10"/>
      <c r="CB3324" s="23"/>
      <c r="CC3324" s="23"/>
      <c r="CD3324" s="23"/>
      <c r="CE3324" s="23"/>
      <c r="CF3324" s="23"/>
      <c r="CG3324" s="23"/>
      <c r="CH3324" s="23"/>
      <c r="CI3324" s="23"/>
    </row>
    <row r="3325" spans="1:87" x14ac:dyDescent="0.3">
      <c r="A3325" s="9" t="s">
        <v>23849</v>
      </c>
      <c r="B3325" s="10" t="s">
        <v>23850</v>
      </c>
      <c r="C3325" s="11">
        <v>46146.645833333336</v>
      </c>
      <c r="D3325" s="12">
        <v>8.3333333333333329E-2</v>
      </c>
      <c r="E3325" s="11">
        <v>46146.729166666664</v>
      </c>
      <c r="F3325" s="22" t="s">
        <v>3511</v>
      </c>
      <c r="G3325" s="13" t="b">
        <v>0</v>
      </c>
      <c r="H3325" s="22" t="s">
        <v>123</v>
      </c>
      <c r="I3325" s="10" t="s">
        <v>3548</v>
      </c>
      <c r="J3325" s="13" t="b">
        <v>0</v>
      </c>
      <c r="K3325" s="13" t="b">
        <v>1</v>
      </c>
      <c r="L3325" s="10" t="s">
        <v>124</v>
      </c>
      <c r="M3325" s="10" t="s">
        <v>91</v>
      </c>
      <c r="N3325" s="10" t="s">
        <v>3513</v>
      </c>
      <c r="O3325" s="10"/>
      <c r="P3325" s="10"/>
      <c r="Q3325" s="10"/>
      <c r="R3325" s="10"/>
      <c r="S3325" s="10"/>
      <c r="T3325" s="10"/>
      <c r="U3325" s="10" t="s">
        <v>3609</v>
      </c>
      <c r="V3325" s="10" t="s">
        <v>3552</v>
      </c>
      <c r="W3325" s="10" t="s">
        <v>3519</v>
      </c>
      <c r="X3325" s="10" t="s">
        <v>130</v>
      </c>
      <c r="Y3325" s="10" t="s">
        <v>130</v>
      </c>
      <c r="Z3325" s="10" t="s">
        <v>99</v>
      </c>
      <c r="AA3325" s="10" t="s">
        <v>131</v>
      </c>
      <c r="AB3325" s="10" t="s">
        <v>3520</v>
      </c>
      <c r="AC3325" s="10" t="s">
        <v>3521</v>
      </c>
      <c r="AD3325" s="10" t="s">
        <v>23851</v>
      </c>
      <c r="AE3325" s="10" t="s">
        <v>23852</v>
      </c>
      <c r="AF3325" s="15"/>
      <c r="AG3325" s="10"/>
      <c r="AH3325" s="10"/>
      <c r="AI3325" s="10"/>
      <c r="AJ3325" s="10"/>
      <c r="AK3325" s="10"/>
      <c r="AL3325" s="10" t="s">
        <v>2885</v>
      </c>
      <c r="AM3325" s="10"/>
      <c r="AN3325" s="10"/>
      <c r="AO3325" s="13" t="b">
        <v>1</v>
      </c>
      <c r="AP3325" s="22" t="s">
        <v>104</v>
      </c>
      <c r="AQ3325" s="10"/>
      <c r="AR3325" s="17"/>
      <c r="AS3325" s="17"/>
      <c r="AT3325" s="17"/>
      <c r="AU3325" s="17"/>
      <c r="AV3325" s="17"/>
      <c r="AW3325" s="10"/>
      <c r="AX3325" s="17"/>
      <c r="AY3325" s="18" t="s">
        <v>257</v>
      </c>
      <c r="AZ3325" s="10"/>
      <c r="BA3325" s="20" t="b">
        <v>0</v>
      </c>
      <c r="BB3325" s="10"/>
      <c r="BC3325" s="17" t="s">
        <v>257</v>
      </c>
      <c r="BD3325" s="17" t="s">
        <v>257</v>
      </c>
      <c r="BE3325" s="17" t="s">
        <v>257</v>
      </c>
      <c r="BF3325" s="17" t="s">
        <v>257</v>
      </c>
      <c r="BG3325" s="11">
        <f ca="1">IFERROR(__xludf.DUMMYFUNCTION("""COMPUTED_VALUE"""),46146.6458333333)</f>
        <v>46146.645833333299</v>
      </c>
      <c r="BH3325" s="17"/>
      <c r="BI3325" s="17"/>
      <c r="BJ3325" s="15"/>
      <c r="BK3325" s="15"/>
      <c r="BL3325" s="13" t="b">
        <v>0</v>
      </c>
      <c r="BM3325" s="10"/>
      <c r="BN3325" s="10" t="s">
        <v>223</v>
      </c>
      <c r="BO3325" s="11">
        <v>46010.149050925924</v>
      </c>
      <c r="BP3325" s="11">
        <v>46010.149050925924</v>
      </c>
      <c r="BQ3325" s="15"/>
      <c r="BR3325" s="15"/>
      <c r="BS3325" s="10"/>
      <c r="BT3325" s="10"/>
      <c r="BU3325" s="10"/>
      <c r="BV3325" s="10"/>
      <c r="BW3325" s="10"/>
      <c r="BX3325" s="10"/>
      <c r="BY3325" s="23"/>
      <c r="BZ3325" s="23"/>
      <c r="CA3325" s="10"/>
      <c r="CB3325" s="23"/>
      <c r="CC3325" s="23"/>
      <c r="CD3325" s="23"/>
      <c r="CE3325" s="23"/>
      <c r="CF3325" s="23"/>
      <c r="CG3325" s="23"/>
      <c r="CH3325" s="23"/>
      <c r="CI3325" s="23"/>
    </row>
    <row r="3326" spans="1:87" x14ac:dyDescent="0.3">
      <c r="A3326" s="9" t="s">
        <v>23853</v>
      </c>
      <c r="B3326" s="10" t="s">
        <v>23854</v>
      </c>
      <c r="C3326" s="11">
        <v>46146.791666666664</v>
      </c>
      <c r="D3326" s="12">
        <v>8.3333333333333329E-2</v>
      </c>
      <c r="E3326" s="11">
        <v>46146.875</v>
      </c>
      <c r="F3326" s="22" t="s">
        <v>3511</v>
      </c>
      <c r="G3326" s="13" t="b">
        <v>0</v>
      </c>
      <c r="H3326" s="22" t="s">
        <v>123</v>
      </c>
      <c r="I3326" s="10" t="s">
        <v>3548</v>
      </c>
      <c r="J3326" s="13" t="b">
        <v>0</v>
      </c>
      <c r="K3326" s="13" t="b">
        <v>1</v>
      </c>
      <c r="L3326" s="10" t="s">
        <v>124</v>
      </c>
      <c r="M3326" s="10" t="s">
        <v>91</v>
      </c>
      <c r="N3326" s="10" t="s">
        <v>3513</v>
      </c>
      <c r="O3326" s="10"/>
      <c r="P3326" s="10"/>
      <c r="Q3326" s="10"/>
      <c r="R3326" s="10"/>
      <c r="S3326" s="10"/>
      <c r="T3326" s="10"/>
      <c r="U3326" s="10" t="s">
        <v>3536</v>
      </c>
      <c r="V3326" s="10" t="s">
        <v>3647</v>
      </c>
      <c r="W3326" s="10" t="s">
        <v>3519</v>
      </c>
      <c r="X3326" s="10" t="s">
        <v>130</v>
      </c>
      <c r="Y3326" s="10" t="s">
        <v>130</v>
      </c>
      <c r="Z3326" s="10" t="s">
        <v>99</v>
      </c>
      <c r="AA3326" s="10" t="s">
        <v>131</v>
      </c>
      <c r="AB3326" s="10" t="s">
        <v>3520</v>
      </c>
      <c r="AC3326" s="10" t="s">
        <v>3521</v>
      </c>
      <c r="AD3326" s="10" t="s">
        <v>23855</v>
      </c>
      <c r="AE3326" s="10" t="s">
        <v>23856</v>
      </c>
      <c r="AF3326" s="15"/>
      <c r="AG3326" s="10"/>
      <c r="AH3326" s="10"/>
      <c r="AI3326" s="10"/>
      <c r="AJ3326" s="10"/>
      <c r="AK3326" s="10"/>
      <c r="AL3326" s="10" t="s">
        <v>2885</v>
      </c>
      <c r="AM3326" s="10"/>
      <c r="AN3326" s="10"/>
      <c r="AO3326" s="13" t="b">
        <v>1</v>
      </c>
      <c r="AP3326" s="22" t="s">
        <v>104</v>
      </c>
      <c r="AQ3326" s="10"/>
      <c r="AR3326" s="17"/>
      <c r="AS3326" s="17"/>
      <c r="AT3326" s="17"/>
      <c r="AU3326" s="17"/>
      <c r="AV3326" s="17"/>
      <c r="AW3326" s="10"/>
      <c r="AX3326" s="17"/>
      <c r="AY3326" s="18" t="s">
        <v>257</v>
      </c>
      <c r="AZ3326" s="10"/>
      <c r="BA3326" s="20" t="b">
        <v>0</v>
      </c>
      <c r="BB3326" s="10"/>
      <c r="BC3326" s="17" t="s">
        <v>257</v>
      </c>
      <c r="BD3326" s="17" t="s">
        <v>257</v>
      </c>
      <c r="BE3326" s="17" t="s">
        <v>257</v>
      </c>
      <c r="BF3326" s="17" t="s">
        <v>257</v>
      </c>
      <c r="BG3326" s="11">
        <f ca="1">IFERROR(__xludf.DUMMYFUNCTION("""COMPUTED_VALUE"""),46146.7916666666)</f>
        <v>46146.791666666599</v>
      </c>
      <c r="BH3326" s="17"/>
      <c r="BI3326" s="17"/>
      <c r="BJ3326" s="15"/>
      <c r="BK3326" s="15"/>
      <c r="BL3326" s="13" t="b">
        <v>0</v>
      </c>
      <c r="BM3326" s="10"/>
      <c r="BN3326" s="10" t="s">
        <v>223</v>
      </c>
      <c r="BO3326" s="11">
        <v>46010.149050925924</v>
      </c>
      <c r="BP3326" s="11">
        <v>46010.149050925924</v>
      </c>
      <c r="BQ3326" s="15"/>
      <c r="BR3326" s="15"/>
      <c r="BS3326" s="10"/>
      <c r="BT3326" s="10"/>
      <c r="BU3326" s="10"/>
      <c r="BV3326" s="10"/>
      <c r="BW3326" s="10"/>
      <c r="BX3326" s="10"/>
      <c r="BY3326" s="23"/>
      <c r="BZ3326" s="23"/>
      <c r="CA3326" s="10"/>
      <c r="CB3326" s="23"/>
      <c r="CC3326" s="23"/>
      <c r="CD3326" s="23"/>
      <c r="CE3326" s="23"/>
      <c r="CF3326" s="23"/>
      <c r="CG3326" s="23"/>
      <c r="CH3326" s="23"/>
      <c r="CI3326" s="23"/>
    </row>
    <row r="3327" spans="1:87" x14ac:dyDescent="0.3">
      <c r="A3327" s="9" t="s">
        <v>23857</v>
      </c>
      <c r="B3327" s="10" t="s">
        <v>23858</v>
      </c>
      <c r="C3327" s="11">
        <v>46147.645833333336</v>
      </c>
      <c r="D3327" s="12">
        <v>8.3333333333333329E-2</v>
      </c>
      <c r="E3327" s="11">
        <v>46147.729166666664</v>
      </c>
      <c r="F3327" s="22" t="s">
        <v>3511</v>
      </c>
      <c r="G3327" s="13" t="b">
        <v>0</v>
      </c>
      <c r="H3327" s="22" t="s">
        <v>236</v>
      </c>
      <c r="I3327" s="10" t="s">
        <v>212</v>
      </c>
      <c r="J3327" s="13" t="b">
        <v>1</v>
      </c>
      <c r="K3327" s="13" t="b">
        <v>0</v>
      </c>
      <c r="L3327" s="10" t="s">
        <v>124</v>
      </c>
      <c r="M3327" s="10" t="s">
        <v>91</v>
      </c>
      <c r="N3327" s="10" t="s">
        <v>3513</v>
      </c>
      <c r="O3327" s="10"/>
      <c r="P3327" s="10"/>
      <c r="Q3327" s="10"/>
      <c r="R3327" s="10"/>
      <c r="S3327" s="10"/>
      <c r="T3327" s="10"/>
      <c r="U3327" s="10" t="s">
        <v>3517</v>
      </c>
      <c r="V3327" s="10" t="s">
        <v>3648</v>
      </c>
      <c r="W3327" s="10" t="s">
        <v>3519</v>
      </c>
      <c r="X3327" s="10" t="s">
        <v>130</v>
      </c>
      <c r="Y3327" s="10" t="s">
        <v>130</v>
      </c>
      <c r="Z3327" s="10" t="s">
        <v>99</v>
      </c>
      <c r="AA3327" s="10" t="s">
        <v>131</v>
      </c>
      <c r="AB3327" s="10" t="s">
        <v>3520</v>
      </c>
      <c r="AC3327" s="10" t="s">
        <v>3521</v>
      </c>
      <c r="AD3327" s="10" t="s">
        <v>23859</v>
      </c>
      <c r="AE3327" s="10" t="s">
        <v>23860</v>
      </c>
      <c r="AF3327" s="15"/>
      <c r="AG3327" s="10"/>
      <c r="AH3327" s="10"/>
      <c r="AI3327" s="10"/>
      <c r="AJ3327" s="10"/>
      <c r="AK3327" s="10"/>
      <c r="AL3327" s="10" t="s">
        <v>2885</v>
      </c>
      <c r="AM3327" s="10"/>
      <c r="AN3327" s="10"/>
      <c r="AO3327" s="13" t="b">
        <v>0</v>
      </c>
      <c r="AP3327" s="22" t="s">
        <v>104</v>
      </c>
      <c r="AQ3327" s="10"/>
      <c r="AR3327" s="17"/>
      <c r="AS3327" s="17"/>
      <c r="AT3327" s="17"/>
      <c r="AU3327" s="17"/>
      <c r="AV3327" s="17"/>
      <c r="AW3327" s="10"/>
      <c r="AX3327" s="17"/>
      <c r="AY3327" s="18" t="s">
        <v>257</v>
      </c>
      <c r="AZ3327" s="10"/>
      <c r="BA3327" s="20" t="b">
        <v>0</v>
      </c>
      <c r="BB3327" s="10"/>
      <c r="BC3327" s="17" t="s">
        <v>257</v>
      </c>
      <c r="BD3327" s="17" t="s">
        <v>257</v>
      </c>
      <c r="BE3327" s="17" t="s">
        <v>257</v>
      </c>
      <c r="BF3327" s="17" t="s">
        <v>257</v>
      </c>
      <c r="BG3327" s="11">
        <f ca="1">IFERROR(__xludf.DUMMYFUNCTION("""COMPUTED_VALUE"""),46147.6458333333)</f>
        <v>46147.645833333299</v>
      </c>
      <c r="BH3327" s="17"/>
      <c r="BI3327" s="17"/>
      <c r="BJ3327" s="15"/>
      <c r="BK3327" s="15"/>
      <c r="BL3327" s="13" t="b">
        <v>0</v>
      </c>
      <c r="BM3327" s="10"/>
      <c r="BN3327" s="10" t="s">
        <v>223</v>
      </c>
      <c r="BO3327" s="11">
        <v>46010.149050925924</v>
      </c>
      <c r="BP3327" s="11">
        <v>46010.149050925924</v>
      </c>
      <c r="BQ3327" s="15"/>
      <c r="BR3327" s="15"/>
      <c r="BS3327" s="10"/>
      <c r="BT3327" s="10"/>
      <c r="BU3327" s="10"/>
      <c r="BV3327" s="10"/>
      <c r="BW3327" s="10"/>
      <c r="BX3327" s="10"/>
      <c r="BY3327" s="23"/>
      <c r="BZ3327" s="23"/>
      <c r="CA3327" s="10"/>
      <c r="CB3327" s="23"/>
      <c r="CC3327" s="23"/>
      <c r="CD3327" s="23"/>
      <c r="CE3327" s="23"/>
      <c r="CF3327" s="23"/>
      <c r="CG3327" s="23"/>
      <c r="CH3327" s="23"/>
      <c r="CI3327" s="23"/>
    </row>
    <row r="3328" spans="1:87" x14ac:dyDescent="0.3">
      <c r="A3328" s="9" t="s">
        <v>23861</v>
      </c>
      <c r="B3328" s="10" t="s">
        <v>23862</v>
      </c>
      <c r="C3328" s="11">
        <v>46147.791666666664</v>
      </c>
      <c r="D3328" s="12">
        <v>8.3333333333333329E-2</v>
      </c>
      <c r="E3328" s="11">
        <v>46147.875</v>
      </c>
      <c r="F3328" s="22" t="s">
        <v>3511</v>
      </c>
      <c r="G3328" s="13" t="b">
        <v>0</v>
      </c>
      <c r="H3328" s="22" t="s">
        <v>123</v>
      </c>
      <c r="I3328" s="10" t="s">
        <v>3548</v>
      </c>
      <c r="J3328" s="13" t="b">
        <v>0</v>
      </c>
      <c r="K3328" s="13" t="b">
        <v>1</v>
      </c>
      <c r="L3328" s="10" t="s">
        <v>124</v>
      </c>
      <c r="M3328" s="10" t="s">
        <v>91</v>
      </c>
      <c r="N3328" s="10" t="s">
        <v>3513</v>
      </c>
      <c r="O3328" s="10"/>
      <c r="P3328" s="10"/>
      <c r="Q3328" s="10"/>
      <c r="R3328" s="10"/>
      <c r="S3328" s="10"/>
      <c r="T3328" s="10"/>
      <c r="U3328" s="10" t="s">
        <v>3635</v>
      </c>
      <c r="V3328" s="10" t="s">
        <v>3661</v>
      </c>
      <c r="W3328" s="10" t="s">
        <v>3519</v>
      </c>
      <c r="X3328" s="10" t="s">
        <v>130</v>
      </c>
      <c r="Y3328" s="10" t="s">
        <v>130</v>
      </c>
      <c r="Z3328" s="10" t="s">
        <v>99</v>
      </c>
      <c r="AA3328" s="10" t="s">
        <v>131</v>
      </c>
      <c r="AB3328" s="10" t="s">
        <v>3520</v>
      </c>
      <c r="AC3328" s="10" t="s">
        <v>3521</v>
      </c>
      <c r="AD3328" s="10" t="s">
        <v>23863</v>
      </c>
      <c r="AE3328" s="10" t="s">
        <v>23864</v>
      </c>
      <c r="AF3328" s="15"/>
      <c r="AG3328" s="10"/>
      <c r="AH3328" s="10"/>
      <c r="AI3328" s="10"/>
      <c r="AJ3328" s="10"/>
      <c r="AK3328" s="10"/>
      <c r="AL3328" s="10" t="s">
        <v>2885</v>
      </c>
      <c r="AM3328" s="10"/>
      <c r="AN3328" s="10"/>
      <c r="AO3328" s="13" t="b">
        <v>0</v>
      </c>
      <c r="AP3328" s="22" t="s">
        <v>104</v>
      </c>
      <c r="AQ3328" s="10"/>
      <c r="AR3328" s="17"/>
      <c r="AS3328" s="17"/>
      <c r="AT3328" s="17"/>
      <c r="AU3328" s="17"/>
      <c r="AV3328" s="17"/>
      <c r="AW3328" s="10"/>
      <c r="AX3328" s="17"/>
      <c r="AY3328" s="18" t="s">
        <v>257</v>
      </c>
      <c r="AZ3328" s="10"/>
      <c r="BA3328" s="20" t="b">
        <v>0</v>
      </c>
      <c r="BB3328" s="10"/>
      <c r="BC3328" s="17" t="s">
        <v>257</v>
      </c>
      <c r="BD3328" s="17" t="s">
        <v>257</v>
      </c>
      <c r="BE3328" s="17" t="s">
        <v>257</v>
      </c>
      <c r="BF3328" s="17" t="s">
        <v>257</v>
      </c>
      <c r="BG3328" s="11">
        <f ca="1">IFERROR(__xludf.DUMMYFUNCTION("""COMPUTED_VALUE"""),46147.7916666666)</f>
        <v>46147.791666666599</v>
      </c>
      <c r="BH3328" s="17"/>
      <c r="BI3328" s="17"/>
      <c r="BJ3328" s="15"/>
      <c r="BK3328" s="15"/>
      <c r="BL3328" s="13" t="b">
        <v>0</v>
      </c>
      <c r="BM3328" s="10"/>
      <c r="BN3328" s="10" t="s">
        <v>223</v>
      </c>
      <c r="BO3328" s="11">
        <v>46010.149050925924</v>
      </c>
      <c r="BP3328" s="11">
        <v>46010.149050925924</v>
      </c>
      <c r="BQ3328" s="15"/>
      <c r="BR3328" s="15"/>
      <c r="BS3328" s="10"/>
      <c r="BT3328" s="10"/>
      <c r="BU3328" s="10"/>
      <c r="BV3328" s="10"/>
      <c r="BW3328" s="10"/>
      <c r="BX3328" s="10"/>
      <c r="BY3328" s="23"/>
      <c r="BZ3328" s="23"/>
      <c r="CA3328" s="10"/>
      <c r="CB3328" s="23"/>
      <c r="CC3328" s="23"/>
      <c r="CD3328" s="23"/>
      <c r="CE3328" s="23"/>
      <c r="CF3328" s="23"/>
      <c r="CG3328" s="23"/>
      <c r="CH3328" s="23"/>
      <c r="CI3328" s="23"/>
    </row>
    <row r="3329" spans="1:87" x14ac:dyDescent="0.3">
      <c r="A3329" s="9" t="s">
        <v>23865</v>
      </c>
      <c r="B3329" s="10" t="s">
        <v>23866</v>
      </c>
      <c r="C3329" s="11">
        <v>46150.645833333336</v>
      </c>
      <c r="D3329" s="12">
        <v>8.3333333333333329E-2</v>
      </c>
      <c r="E3329" s="11">
        <v>46150.729166666664</v>
      </c>
      <c r="F3329" s="22" t="s">
        <v>3511</v>
      </c>
      <c r="G3329" s="13" t="b">
        <v>0</v>
      </c>
      <c r="H3329" s="22" t="s">
        <v>236</v>
      </c>
      <c r="I3329" s="10" t="s">
        <v>212</v>
      </c>
      <c r="J3329" s="13" t="b">
        <v>1</v>
      </c>
      <c r="K3329" s="13" t="b">
        <v>0</v>
      </c>
      <c r="L3329" s="10" t="s">
        <v>124</v>
      </c>
      <c r="M3329" s="10" t="s">
        <v>91</v>
      </c>
      <c r="N3329" s="10" t="s">
        <v>3513</v>
      </c>
      <c r="O3329" s="10"/>
      <c r="P3329" s="10"/>
      <c r="Q3329" s="10"/>
      <c r="R3329" s="10"/>
      <c r="S3329" s="10"/>
      <c r="T3329" s="10"/>
      <c r="U3329" s="10" t="s">
        <v>3610</v>
      </c>
      <c r="V3329" s="10" t="s">
        <v>3662</v>
      </c>
      <c r="W3329" s="10" t="s">
        <v>3519</v>
      </c>
      <c r="X3329" s="10" t="s">
        <v>130</v>
      </c>
      <c r="Y3329" s="10" t="s">
        <v>130</v>
      </c>
      <c r="Z3329" s="10" t="s">
        <v>99</v>
      </c>
      <c r="AA3329" s="10" t="s">
        <v>131</v>
      </c>
      <c r="AB3329" s="10" t="s">
        <v>3520</v>
      </c>
      <c r="AC3329" s="10" t="s">
        <v>3521</v>
      </c>
      <c r="AD3329" s="10" t="s">
        <v>23867</v>
      </c>
      <c r="AE3329" s="10" t="s">
        <v>23868</v>
      </c>
      <c r="AF3329" s="15"/>
      <c r="AG3329" s="10"/>
      <c r="AH3329" s="10"/>
      <c r="AI3329" s="10"/>
      <c r="AJ3329" s="10"/>
      <c r="AK3329" s="10"/>
      <c r="AL3329" s="10" t="s">
        <v>2926</v>
      </c>
      <c r="AM3329" s="10"/>
      <c r="AN3329" s="10"/>
      <c r="AO3329" s="13" t="b">
        <v>0</v>
      </c>
      <c r="AP3329" s="22" t="s">
        <v>104</v>
      </c>
      <c r="AQ3329" s="10"/>
      <c r="AR3329" s="17"/>
      <c r="AS3329" s="17"/>
      <c r="AT3329" s="17"/>
      <c r="AU3329" s="17"/>
      <c r="AV3329" s="17"/>
      <c r="AW3329" s="10"/>
      <c r="AX3329" s="17"/>
      <c r="AY3329" s="18" t="s">
        <v>257</v>
      </c>
      <c r="AZ3329" s="10"/>
      <c r="BA3329" s="20" t="b">
        <v>0</v>
      </c>
      <c r="BB3329" s="10"/>
      <c r="BC3329" s="17" t="s">
        <v>257</v>
      </c>
      <c r="BD3329" s="17" t="s">
        <v>257</v>
      </c>
      <c r="BE3329" s="17" t="s">
        <v>257</v>
      </c>
      <c r="BF3329" s="17" t="s">
        <v>257</v>
      </c>
      <c r="BG3329" s="11">
        <f ca="1">IFERROR(__xludf.DUMMYFUNCTION("""COMPUTED_VALUE"""),46150.6458333333)</f>
        <v>46150.645833333299</v>
      </c>
      <c r="BH3329" s="17"/>
      <c r="BI3329" s="17"/>
      <c r="BJ3329" s="15"/>
      <c r="BK3329" s="15"/>
      <c r="BL3329" s="13" t="b">
        <v>0</v>
      </c>
      <c r="BM3329" s="10"/>
      <c r="BN3329" s="10" t="s">
        <v>223</v>
      </c>
      <c r="BO3329" s="11">
        <v>46010.149050925924</v>
      </c>
      <c r="BP3329" s="11">
        <v>46010.149050925924</v>
      </c>
      <c r="BQ3329" s="15"/>
      <c r="BR3329" s="15"/>
      <c r="BS3329" s="10"/>
      <c r="BT3329" s="10"/>
      <c r="BU3329" s="10"/>
      <c r="BV3329" s="10"/>
      <c r="BW3329" s="10"/>
      <c r="BX3329" s="10"/>
      <c r="BY3329" s="23"/>
      <c r="BZ3329" s="23"/>
      <c r="CA3329" s="10"/>
      <c r="CB3329" s="23"/>
      <c r="CC3329" s="23"/>
      <c r="CD3329" s="23"/>
      <c r="CE3329" s="23"/>
      <c r="CF3329" s="23"/>
      <c r="CG3329" s="23"/>
      <c r="CH3329" s="23"/>
      <c r="CI3329" s="23"/>
    </row>
    <row r="3330" spans="1:87" x14ac:dyDescent="0.3">
      <c r="A3330" s="9" t="s">
        <v>23869</v>
      </c>
      <c r="B3330" s="10" t="s">
        <v>23870</v>
      </c>
      <c r="C3330" s="11">
        <v>46150.791666666664</v>
      </c>
      <c r="D3330" s="12">
        <v>8.3333333333333329E-2</v>
      </c>
      <c r="E3330" s="11">
        <v>46150.875</v>
      </c>
      <c r="F3330" s="22" t="s">
        <v>3511</v>
      </c>
      <c r="G3330" s="13" t="b">
        <v>0</v>
      </c>
      <c r="H3330" s="22" t="s">
        <v>123</v>
      </c>
      <c r="I3330" s="10" t="s">
        <v>3548</v>
      </c>
      <c r="J3330" s="13" t="b">
        <v>0</v>
      </c>
      <c r="K3330" s="13" t="b">
        <v>1</v>
      </c>
      <c r="L3330" s="10" t="s">
        <v>124</v>
      </c>
      <c r="M3330" s="10" t="s">
        <v>91</v>
      </c>
      <c r="N3330" s="10" t="s">
        <v>3513</v>
      </c>
      <c r="O3330" s="10"/>
      <c r="P3330" s="10"/>
      <c r="Q3330" s="10"/>
      <c r="R3330" s="10"/>
      <c r="S3330" s="10"/>
      <c r="T3330" s="10"/>
      <c r="U3330" s="10" t="s">
        <v>3677</v>
      </c>
      <c r="V3330" s="10" t="s">
        <v>3622</v>
      </c>
      <c r="W3330" s="10" t="s">
        <v>3519</v>
      </c>
      <c r="X3330" s="10" t="s">
        <v>130</v>
      </c>
      <c r="Y3330" s="10" t="s">
        <v>130</v>
      </c>
      <c r="Z3330" s="10" t="s">
        <v>99</v>
      </c>
      <c r="AA3330" s="10" t="s">
        <v>131</v>
      </c>
      <c r="AB3330" s="10" t="s">
        <v>3520</v>
      </c>
      <c r="AC3330" s="10" t="s">
        <v>3521</v>
      </c>
      <c r="AD3330" s="10" t="s">
        <v>23871</v>
      </c>
      <c r="AE3330" s="10" t="s">
        <v>23872</v>
      </c>
      <c r="AF3330" s="15"/>
      <c r="AG3330" s="10"/>
      <c r="AH3330" s="10"/>
      <c r="AI3330" s="10"/>
      <c r="AJ3330" s="10"/>
      <c r="AK3330" s="10"/>
      <c r="AL3330" s="10" t="s">
        <v>2926</v>
      </c>
      <c r="AM3330" s="10"/>
      <c r="AN3330" s="10"/>
      <c r="AO3330" s="13" t="b">
        <v>0</v>
      </c>
      <c r="AP3330" s="22" t="s">
        <v>104</v>
      </c>
      <c r="AQ3330" s="10"/>
      <c r="AR3330" s="17"/>
      <c r="AS3330" s="17"/>
      <c r="AT3330" s="17"/>
      <c r="AU3330" s="17"/>
      <c r="AV3330" s="17"/>
      <c r="AW3330" s="10"/>
      <c r="AX3330" s="17"/>
      <c r="AY3330" s="18" t="s">
        <v>257</v>
      </c>
      <c r="AZ3330" s="10"/>
      <c r="BA3330" s="20" t="b">
        <v>0</v>
      </c>
      <c r="BB3330" s="10"/>
      <c r="BC3330" s="17" t="s">
        <v>257</v>
      </c>
      <c r="BD3330" s="17" t="s">
        <v>257</v>
      </c>
      <c r="BE3330" s="17" t="s">
        <v>257</v>
      </c>
      <c r="BF3330" s="17" t="s">
        <v>257</v>
      </c>
      <c r="BG3330" s="11">
        <f ca="1">IFERROR(__xludf.DUMMYFUNCTION("""COMPUTED_VALUE"""),46150.7916666666)</f>
        <v>46150.791666666599</v>
      </c>
      <c r="BH3330" s="17"/>
      <c r="BI3330" s="17"/>
      <c r="BJ3330" s="15"/>
      <c r="BK3330" s="15"/>
      <c r="BL3330" s="13" t="b">
        <v>0</v>
      </c>
      <c r="BM3330" s="10"/>
      <c r="BN3330" s="10" t="s">
        <v>223</v>
      </c>
      <c r="BO3330" s="11">
        <v>46010.149050925924</v>
      </c>
      <c r="BP3330" s="11">
        <v>46010.149050925924</v>
      </c>
      <c r="BQ3330" s="15"/>
      <c r="BR3330" s="15"/>
      <c r="BS3330" s="10"/>
      <c r="BT3330" s="10"/>
      <c r="BU3330" s="10"/>
      <c r="BV3330" s="10"/>
      <c r="BW3330" s="10"/>
      <c r="BX3330" s="10"/>
      <c r="BY3330" s="23"/>
      <c r="BZ3330" s="23"/>
      <c r="CA3330" s="10"/>
      <c r="CB3330" s="23"/>
      <c r="CC3330" s="23"/>
      <c r="CD3330" s="23"/>
      <c r="CE3330" s="23"/>
      <c r="CF3330" s="23"/>
      <c r="CG3330" s="23"/>
      <c r="CH3330" s="23"/>
      <c r="CI3330" s="23"/>
    </row>
    <row r="3331" spans="1:87" x14ac:dyDescent="0.3">
      <c r="A3331" s="9" t="s">
        <v>23873</v>
      </c>
      <c r="B3331" s="10" t="s">
        <v>23874</v>
      </c>
      <c r="C3331" s="11">
        <v>46151.645833333336</v>
      </c>
      <c r="D3331" s="12">
        <v>8.3333333333333329E-2</v>
      </c>
      <c r="E3331" s="11">
        <v>46151.729166666664</v>
      </c>
      <c r="F3331" s="22" t="s">
        <v>3511</v>
      </c>
      <c r="G3331" s="13" t="b">
        <v>0</v>
      </c>
      <c r="H3331" s="22" t="s">
        <v>123</v>
      </c>
      <c r="I3331" s="10" t="s">
        <v>212</v>
      </c>
      <c r="J3331" s="13" t="b">
        <v>1</v>
      </c>
      <c r="K3331" s="13" t="b">
        <v>0</v>
      </c>
      <c r="L3331" s="10" t="s">
        <v>124</v>
      </c>
      <c r="M3331" s="10" t="s">
        <v>91</v>
      </c>
      <c r="N3331" s="10" t="s">
        <v>3513</v>
      </c>
      <c r="O3331" s="10"/>
      <c r="P3331" s="10"/>
      <c r="Q3331" s="10"/>
      <c r="R3331" s="10"/>
      <c r="S3331" s="10"/>
      <c r="T3331" s="10"/>
      <c r="U3331" s="10" t="s">
        <v>3676</v>
      </c>
      <c r="V3331" s="10" t="s">
        <v>3535</v>
      </c>
      <c r="W3331" s="10" t="s">
        <v>3519</v>
      </c>
      <c r="X3331" s="10" t="s">
        <v>130</v>
      </c>
      <c r="Y3331" s="10" t="s">
        <v>130</v>
      </c>
      <c r="Z3331" s="10" t="s">
        <v>99</v>
      </c>
      <c r="AA3331" s="10" t="s">
        <v>131</v>
      </c>
      <c r="AB3331" s="10" t="s">
        <v>3520</v>
      </c>
      <c r="AC3331" s="10" t="s">
        <v>3521</v>
      </c>
      <c r="AD3331" s="10" t="s">
        <v>23875</v>
      </c>
      <c r="AE3331" s="10" t="s">
        <v>23876</v>
      </c>
      <c r="AF3331" s="15"/>
      <c r="AG3331" s="10"/>
      <c r="AH3331" s="10"/>
      <c r="AI3331" s="10"/>
      <c r="AJ3331" s="10"/>
      <c r="AK3331" s="10"/>
      <c r="AL3331" s="10" t="s">
        <v>2926</v>
      </c>
      <c r="AM3331" s="10"/>
      <c r="AN3331" s="10"/>
      <c r="AO3331" s="13" t="b">
        <v>0</v>
      </c>
      <c r="AP3331" s="22" t="s">
        <v>104</v>
      </c>
      <c r="AQ3331" s="10"/>
      <c r="AR3331" s="17"/>
      <c r="AS3331" s="17"/>
      <c r="AT3331" s="17"/>
      <c r="AU3331" s="17"/>
      <c r="AV3331" s="17"/>
      <c r="AW3331" s="10"/>
      <c r="AX3331" s="17"/>
      <c r="AY3331" s="18" t="s">
        <v>257</v>
      </c>
      <c r="AZ3331" s="10"/>
      <c r="BA3331" s="20" t="b">
        <v>0</v>
      </c>
      <c r="BB3331" s="10"/>
      <c r="BC3331" s="17" t="s">
        <v>257</v>
      </c>
      <c r="BD3331" s="17" t="s">
        <v>257</v>
      </c>
      <c r="BE3331" s="17" t="s">
        <v>257</v>
      </c>
      <c r="BF3331" s="17" t="s">
        <v>257</v>
      </c>
      <c r="BG3331" s="11">
        <f ca="1">IFERROR(__xludf.DUMMYFUNCTION("""COMPUTED_VALUE"""),46151.6458333333)</f>
        <v>46151.645833333299</v>
      </c>
      <c r="BH3331" s="17"/>
      <c r="BI3331" s="17"/>
      <c r="BJ3331" s="15"/>
      <c r="BK3331" s="15"/>
      <c r="BL3331" s="13" t="b">
        <v>0</v>
      </c>
      <c r="BM3331" s="10"/>
      <c r="BN3331" s="10" t="s">
        <v>223</v>
      </c>
      <c r="BO3331" s="11">
        <v>46010.149050925924</v>
      </c>
      <c r="BP3331" s="11">
        <v>46010.149050925924</v>
      </c>
      <c r="BQ3331" s="15"/>
      <c r="BR3331" s="15"/>
      <c r="BS3331" s="10"/>
      <c r="BT3331" s="10"/>
      <c r="BU3331" s="10"/>
      <c r="BV3331" s="10"/>
      <c r="BW3331" s="10"/>
      <c r="BX3331" s="10"/>
      <c r="BY3331" s="23"/>
      <c r="BZ3331" s="23"/>
      <c r="CA3331" s="10"/>
      <c r="CB3331" s="23"/>
      <c r="CC3331" s="23"/>
      <c r="CD3331" s="23"/>
      <c r="CE3331" s="23"/>
      <c r="CF3331" s="23"/>
      <c r="CG3331" s="23"/>
      <c r="CH3331" s="23"/>
      <c r="CI3331" s="23"/>
    </row>
    <row r="3332" spans="1:87" x14ac:dyDescent="0.3">
      <c r="A3332" s="9" t="s">
        <v>23877</v>
      </c>
      <c r="B3332" s="10" t="s">
        <v>23878</v>
      </c>
      <c r="C3332" s="11">
        <v>46151.791666666664</v>
      </c>
      <c r="D3332" s="12">
        <v>8.3333333333333329E-2</v>
      </c>
      <c r="E3332" s="11">
        <v>46151.875</v>
      </c>
      <c r="F3332" s="22" t="s">
        <v>3511</v>
      </c>
      <c r="G3332" s="13" t="b">
        <v>0</v>
      </c>
      <c r="H3332" s="22" t="s">
        <v>123</v>
      </c>
      <c r="I3332" s="10" t="s">
        <v>3548</v>
      </c>
      <c r="J3332" s="13" t="b">
        <v>0</v>
      </c>
      <c r="K3332" s="13" t="b">
        <v>1</v>
      </c>
      <c r="L3332" s="10" t="s">
        <v>124</v>
      </c>
      <c r="M3332" s="10" t="s">
        <v>91</v>
      </c>
      <c r="N3332" s="10" t="s">
        <v>3513</v>
      </c>
      <c r="O3332" s="10"/>
      <c r="P3332" s="10"/>
      <c r="Q3332" s="10"/>
      <c r="R3332" s="10"/>
      <c r="S3332" s="10"/>
      <c r="T3332" s="10"/>
      <c r="U3332" s="10" t="s">
        <v>3636</v>
      </c>
      <c r="V3332" s="10" t="s">
        <v>3551</v>
      </c>
      <c r="W3332" s="10" t="s">
        <v>3519</v>
      </c>
      <c r="X3332" s="10" t="s">
        <v>130</v>
      </c>
      <c r="Y3332" s="10" t="s">
        <v>130</v>
      </c>
      <c r="Z3332" s="10" t="s">
        <v>99</v>
      </c>
      <c r="AA3332" s="10" t="s">
        <v>131</v>
      </c>
      <c r="AB3332" s="10" t="s">
        <v>3520</v>
      </c>
      <c r="AC3332" s="10" t="s">
        <v>3521</v>
      </c>
      <c r="AD3332" s="10" t="s">
        <v>23879</v>
      </c>
      <c r="AE3332" s="10" t="s">
        <v>23880</v>
      </c>
      <c r="AF3332" s="15"/>
      <c r="AG3332" s="10"/>
      <c r="AH3332" s="10"/>
      <c r="AI3332" s="10"/>
      <c r="AJ3332" s="10"/>
      <c r="AK3332" s="10"/>
      <c r="AL3332" s="10" t="s">
        <v>2926</v>
      </c>
      <c r="AM3332" s="10"/>
      <c r="AN3332" s="10"/>
      <c r="AO3332" s="13" t="b">
        <v>1</v>
      </c>
      <c r="AP3332" s="22" t="s">
        <v>104</v>
      </c>
      <c r="AQ3332" s="10"/>
      <c r="AR3332" s="17"/>
      <c r="AS3332" s="17"/>
      <c r="AT3332" s="17"/>
      <c r="AU3332" s="17"/>
      <c r="AV3332" s="17"/>
      <c r="AW3332" s="10"/>
      <c r="AX3332" s="17"/>
      <c r="AY3332" s="18" t="s">
        <v>257</v>
      </c>
      <c r="AZ3332" s="10"/>
      <c r="BA3332" s="20" t="b">
        <v>0</v>
      </c>
      <c r="BB3332" s="10"/>
      <c r="BC3332" s="17" t="s">
        <v>257</v>
      </c>
      <c r="BD3332" s="17" t="s">
        <v>257</v>
      </c>
      <c r="BE3332" s="17" t="s">
        <v>257</v>
      </c>
      <c r="BF3332" s="17" t="s">
        <v>257</v>
      </c>
      <c r="BG3332" s="11">
        <f ca="1">IFERROR(__xludf.DUMMYFUNCTION("""COMPUTED_VALUE"""),46151.7916666666)</f>
        <v>46151.791666666599</v>
      </c>
      <c r="BH3332" s="17"/>
      <c r="BI3332" s="17"/>
      <c r="BJ3332" s="15"/>
      <c r="BK3332" s="15"/>
      <c r="BL3332" s="13" t="b">
        <v>0</v>
      </c>
      <c r="BM3332" s="10"/>
      <c r="BN3332" s="10" t="s">
        <v>223</v>
      </c>
      <c r="BO3332" s="11">
        <v>46010.149050925924</v>
      </c>
      <c r="BP3332" s="11">
        <v>46010.149050925924</v>
      </c>
      <c r="BQ3332" s="15"/>
      <c r="BR3332" s="15"/>
      <c r="BS3332" s="10"/>
      <c r="BT3332" s="10"/>
      <c r="BU3332" s="10"/>
      <c r="BV3332" s="10"/>
      <c r="BW3332" s="10"/>
      <c r="BX3332" s="10"/>
      <c r="BY3332" s="23"/>
      <c r="BZ3332" s="23"/>
      <c r="CA3332" s="10"/>
      <c r="CB3332" s="23"/>
      <c r="CC3332" s="23"/>
      <c r="CD3332" s="23"/>
      <c r="CE3332" s="23"/>
      <c r="CF3332" s="23"/>
      <c r="CG3332" s="23"/>
      <c r="CH3332" s="23"/>
      <c r="CI3332" s="23"/>
    </row>
    <row r="3333" spans="1:87" x14ac:dyDescent="0.3">
      <c r="A3333" s="9" t="s">
        <v>23881</v>
      </c>
      <c r="B3333" s="10" t="s">
        <v>23882</v>
      </c>
      <c r="C3333" s="11">
        <v>46152.645833333336</v>
      </c>
      <c r="D3333" s="12">
        <v>8.3333333333333329E-2</v>
      </c>
      <c r="E3333" s="11">
        <v>46152.729166666664</v>
      </c>
      <c r="F3333" s="22" t="s">
        <v>3511</v>
      </c>
      <c r="G3333" s="13" t="b">
        <v>0</v>
      </c>
      <c r="H3333" s="22" t="s">
        <v>123</v>
      </c>
      <c r="I3333" s="10" t="s">
        <v>3548</v>
      </c>
      <c r="J3333" s="13" t="b">
        <v>0</v>
      </c>
      <c r="K3333" s="13" t="b">
        <v>1</v>
      </c>
      <c r="L3333" s="10" t="s">
        <v>124</v>
      </c>
      <c r="M3333" s="10" t="s">
        <v>91</v>
      </c>
      <c r="N3333" s="10" t="s">
        <v>3513</v>
      </c>
      <c r="O3333" s="10"/>
      <c r="P3333" s="10"/>
      <c r="Q3333" s="10"/>
      <c r="R3333" s="10"/>
      <c r="S3333" s="10"/>
      <c r="T3333" s="10"/>
      <c r="U3333" s="10" t="s">
        <v>3647</v>
      </c>
      <c r="V3333" s="10" t="s">
        <v>3609</v>
      </c>
      <c r="W3333" s="10" t="s">
        <v>3519</v>
      </c>
      <c r="X3333" s="10" t="s">
        <v>130</v>
      </c>
      <c r="Y3333" s="10" t="s">
        <v>130</v>
      </c>
      <c r="Z3333" s="10" t="s">
        <v>99</v>
      </c>
      <c r="AA3333" s="10" t="s">
        <v>131</v>
      </c>
      <c r="AB3333" s="10" t="s">
        <v>3520</v>
      </c>
      <c r="AC3333" s="10" t="s">
        <v>3521</v>
      </c>
      <c r="AD3333" s="10" t="s">
        <v>23883</v>
      </c>
      <c r="AE3333" s="10" t="s">
        <v>23884</v>
      </c>
      <c r="AF3333" s="15"/>
      <c r="AG3333" s="10"/>
      <c r="AH3333" s="10"/>
      <c r="AI3333" s="10"/>
      <c r="AJ3333" s="10"/>
      <c r="AK3333" s="10"/>
      <c r="AL3333" s="10" t="s">
        <v>2926</v>
      </c>
      <c r="AM3333" s="10"/>
      <c r="AN3333" s="10"/>
      <c r="AO3333" s="13" t="b">
        <v>1</v>
      </c>
      <c r="AP3333" s="22" t="s">
        <v>104</v>
      </c>
      <c r="AQ3333" s="10"/>
      <c r="AR3333" s="17"/>
      <c r="AS3333" s="17"/>
      <c r="AT3333" s="17"/>
      <c r="AU3333" s="17"/>
      <c r="AV3333" s="17"/>
      <c r="AW3333" s="10"/>
      <c r="AX3333" s="17"/>
      <c r="AY3333" s="18" t="s">
        <v>257</v>
      </c>
      <c r="AZ3333" s="10"/>
      <c r="BA3333" s="20" t="b">
        <v>0</v>
      </c>
      <c r="BB3333" s="10"/>
      <c r="BC3333" s="17" t="s">
        <v>257</v>
      </c>
      <c r="BD3333" s="17" t="s">
        <v>257</v>
      </c>
      <c r="BE3333" s="17" t="s">
        <v>257</v>
      </c>
      <c r="BF3333" s="17" t="s">
        <v>257</v>
      </c>
      <c r="BG3333" s="11">
        <f ca="1">IFERROR(__xludf.DUMMYFUNCTION("""COMPUTED_VALUE"""),46152.6458333333)</f>
        <v>46152.645833333299</v>
      </c>
      <c r="BH3333" s="17"/>
      <c r="BI3333" s="17"/>
      <c r="BJ3333" s="15"/>
      <c r="BK3333" s="15"/>
      <c r="BL3333" s="13" t="b">
        <v>0</v>
      </c>
      <c r="BM3333" s="10"/>
      <c r="BN3333" s="10" t="s">
        <v>223</v>
      </c>
      <c r="BO3333" s="11">
        <v>46010.149050925924</v>
      </c>
      <c r="BP3333" s="11">
        <v>46010.149050925924</v>
      </c>
      <c r="BQ3333" s="15"/>
      <c r="BR3333" s="15"/>
      <c r="BS3333" s="10"/>
      <c r="BT3333" s="10"/>
      <c r="BU3333" s="10"/>
      <c r="BV3333" s="10"/>
      <c r="BW3333" s="10"/>
      <c r="BX3333" s="10"/>
      <c r="BY3333" s="23"/>
      <c r="BZ3333" s="23"/>
      <c r="CA3333" s="10"/>
      <c r="CB3333" s="23"/>
      <c r="CC3333" s="23"/>
      <c r="CD3333" s="23"/>
      <c r="CE3333" s="23"/>
      <c r="CF3333" s="23"/>
      <c r="CG3333" s="23"/>
      <c r="CH3333" s="23"/>
      <c r="CI3333" s="23"/>
    </row>
    <row r="3334" spans="1:87" x14ac:dyDescent="0.3">
      <c r="A3334" s="9" t="s">
        <v>23885</v>
      </c>
      <c r="B3334" s="10" t="s">
        <v>23886</v>
      </c>
      <c r="C3334" s="11">
        <v>46152.645833333336</v>
      </c>
      <c r="D3334" s="12">
        <v>8.3333333333333329E-2</v>
      </c>
      <c r="E3334" s="11">
        <v>46152.729166666664</v>
      </c>
      <c r="F3334" s="22" t="s">
        <v>3511</v>
      </c>
      <c r="G3334" s="13" t="b">
        <v>0</v>
      </c>
      <c r="H3334" s="22" t="s">
        <v>3512</v>
      </c>
      <c r="I3334" s="10" t="s">
        <v>212</v>
      </c>
      <c r="J3334" s="13" t="b">
        <v>1</v>
      </c>
      <c r="K3334" s="13" t="b">
        <v>0</v>
      </c>
      <c r="L3334" s="10" t="s">
        <v>124</v>
      </c>
      <c r="M3334" s="10" t="s">
        <v>91</v>
      </c>
      <c r="N3334" s="10" t="s">
        <v>3513</v>
      </c>
      <c r="O3334" s="10"/>
      <c r="P3334" s="10"/>
      <c r="Q3334" s="10"/>
      <c r="R3334" s="10"/>
      <c r="S3334" s="10"/>
      <c r="T3334" s="10"/>
      <c r="U3334" s="10" t="s">
        <v>3648</v>
      </c>
      <c r="V3334" s="10" t="s">
        <v>3536</v>
      </c>
      <c r="W3334" s="10" t="s">
        <v>3519</v>
      </c>
      <c r="X3334" s="10" t="s">
        <v>130</v>
      </c>
      <c r="Y3334" s="10" t="s">
        <v>130</v>
      </c>
      <c r="Z3334" s="10" t="s">
        <v>99</v>
      </c>
      <c r="AA3334" s="10" t="s">
        <v>131</v>
      </c>
      <c r="AB3334" s="10" t="s">
        <v>3520</v>
      </c>
      <c r="AC3334" s="10" t="s">
        <v>3521</v>
      </c>
      <c r="AD3334" s="10" t="s">
        <v>23887</v>
      </c>
      <c r="AE3334" s="10" t="s">
        <v>23888</v>
      </c>
      <c r="AF3334" s="15"/>
      <c r="AG3334" s="10"/>
      <c r="AH3334" s="10"/>
      <c r="AI3334" s="10"/>
      <c r="AJ3334" s="10"/>
      <c r="AK3334" s="10"/>
      <c r="AL3334" s="10" t="s">
        <v>2926</v>
      </c>
      <c r="AM3334" s="10"/>
      <c r="AN3334" s="10"/>
      <c r="AO3334" s="13" t="b">
        <v>0</v>
      </c>
      <c r="AP3334" s="22" t="s">
        <v>104</v>
      </c>
      <c r="AQ3334" s="10"/>
      <c r="AR3334" s="17"/>
      <c r="AS3334" s="17"/>
      <c r="AT3334" s="17"/>
      <c r="AU3334" s="17"/>
      <c r="AV3334" s="17"/>
      <c r="AW3334" s="10"/>
      <c r="AX3334" s="17"/>
      <c r="AY3334" s="18" t="s">
        <v>257</v>
      </c>
      <c r="AZ3334" s="10"/>
      <c r="BA3334" s="20" t="b">
        <v>0</v>
      </c>
      <c r="BB3334" s="10"/>
      <c r="BC3334" s="17" t="s">
        <v>257</v>
      </c>
      <c r="BD3334" s="17" t="s">
        <v>257</v>
      </c>
      <c r="BE3334" s="17" t="s">
        <v>257</v>
      </c>
      <c r="BF3334" s="17" t="s">
        <v>257</v>
      </c>
      <c r="BG3334" s="11">
        <f ca="1">IFERROR(__xludf.DUMMYFUNCTION("""COMPUTED_VALUE"""),46152.6458333333)</f>
        <v>46152.645833333299</v>
      </c>
      <c r="BH3334" s="17"/>
      <c r="BI3334" s="17"/>
      <c r="BJ3334" s="15"/>
      <c r="BK3334" s="15"/>
      <c r="BL3334" s="13" t="b">
        <v>0</v>
      </c>
      <c r="BM3334" s="10"/>
      <c r="BN3334" s="10" t="s">
        <v>223</v>
      </c>
      <c r="BO3334" s="11">
        <v>46010.149050925924</v>
      </c>
      <c r="BP3334" s="11">
        <v>46010.149050925924</v>
      </c>
      <c r="BQ3334" s="15"/>
      <c r="BR3334" s="15"/>
      <c r="BS3334" s="10"/>
      <c r="BT3334" s="10"/>
      <c r="BU3334" s="10"/>
      <c r="BV3334" s="10"/>
      <c r="BW3334" s="10"/>
      <c r="BX3334" s="10"/>
      <c r="BY3334" s="23"/>
      <c r="BZ3334" s="23"/>
      <c r="CA3334" s="10"/>
      <c r="CB3334" s="23"/>
      <c r="CC3334" s="23"/>
      <c r="CD3334" s="23"/>
      <c r="CE3334" s="23"/>
      <c r="CF3334" s="23"/>
      <c r="CG3334" s="23"/>
      <c r="CH3334" s="23"/>
      <c r="CI3334" s="23"/>
    </row>
    <row r="3335" spans="1:87" x14ac:dyDescent="0.3">
      <c r="A3335" s="9" t="s">
        <v>23889</v>
      </c>
      <c r="B3335" s="10" t="s">
        <v>23890</v>
      </c>
      <c r="C3335" s="11">
        <v>46152.791666666664</v>
      </c>
      <c r="D3335" s="12">
        <v>8.3333333333333329E-2</v>
      </c>
      <c r="E3335" s="11">
        <v>46152.875</v>
      </c>
      <c r="F3335" s="22" t="s">
        <v>3511</v>
      </c>
      <c r="G3335" s="13" t="b">
        <v>0</v>
      </c>
      <c r="H3335" s="22" t="s">
        <v>236</v>
      </c>
      <c r="I3335" s="10" t="s">
        <v>212</v>
      </c>
      <c r="J3335" s="13" t="b">
        <v>1</v>
      </c>
      <c r="K3335" s="13" t="b">
        <v>0</v>
      </c>
      <c r="L3335" s="10" t="s">
        <v>124</v>
      </c>
      <c r="M3335" s="10" t="s">
        <v>91</v>
      </c>
      <c r="N3335" s="10" t="s">
        <v>3513</v>
      </c>
      <c r="O3335" s="10"/>
      <c r="P3335" s="10"/>
      <c r="Q3335" s="10"/>
      <c r="R3335" s="10"/>
      <c r="S3335" s="10"/>
      <c r="T3335" s="10"/>
      <c r="U3335" s="10" t="s">
        <v>3552</v>
      </c>
      <c r="V3335" s="10" t="s">
        <v>3623</v>
      </c>
      <c r="W3335" s="10" t="s">
        <v>3519</v>
      </c>
      <c r="X3335" s="10" t="s">
        <v>130</v>
      </c>
      <c r="Y3335" s="10" t="s">
        <v>130</v>
      </c>
      <c r="Z3335" s="10" t="s">
        <v>99</v>
      </c>
      <c r="AA3335" s="10" t="s">
        <v>131</v>
      </c>
      <c r="AB3335" s="10" t="s">
        <v>3520</v>
      </c>
      <c r="AC3335" s="10" t="s">
        <v>3521</v>
      </c>
      <c r="AD3335" s="10" t="s">
        <v>23891</v>
      </c>
      <c r="AE3335" s="10" t="s">
        <v>23892</v>
      </c>
      <c r="AF3335" s="15"/>
      <c r="AG3335" s="10"/>
      <c r="AH3335" s="10"/>
      <c r="AI3335" s="10"/>
      <c r="AJ3335" s="10"/>
      <c r="AK3335" s="10"/>
      <c r="AL3335" s="10" t="s">
        <v>2926</v>
      </c>
      <c r="AM3335" s="10"/>
      <c r="AN3335" s="10"/>
      <c r="AO3335" s="13" t="b">
        <v>0</v>
      </c>
      <c r="AP3335" s="22" t="s">
        <v>104</v>
      </c>
      <c r="AQ3335" s="10"/>
      <c r="AR3335" s="17"/>
      <c r="AS3335" s="17"/>
      <c r="AT3335" s="17"/>
      <c r="AU3335" s="17"/>
      <c r="AV3335" s="17"/>
      <c r="AW3335" s="10"/>
      <c r="AX3335" s="17"/>
      <c r="AY3335" s="18" t="s">
        <v>257</v>
      </c>
      <c r="AZ3335" s="10"/>
      <c r="BA3335" s="20" t="b">
        <v>0</v>
      </c>
      <c r="BB3335" s="10"/>
      <c r="BC3335" s="17" t="s">
        <v>257</v>
      </c>
      <c r="BD3335" s="17" t="s">
        <v>257</v>
      </c>
      <c r="BE3335" s="17" t="s">
        <v>257</v>
      </c>
      <c r="BF3335" s="17" t="s">
        <v>257</v>
      </c>
      <c r="BG3335" s="11">
        <f ca="1">IFERROR(__xludf.DUMMYFUNCTION("""COMPUTED_VALUE"""),46152.7916666666)</f>
        <v>46152.791666666599</v>
      </c>
      <c r="BH3335" s="17"/>
      <c r="BI3335" s="17"/>
      <c r="BJ3335" s="15"/>
      <c r="BK3335" s="15"/>
      <c r="BL3335" s="13" t="b">
        <v>0</v>
      </c>
      <c r="BM3335" s="10"/>
      <c r="BN3335" s="10" t="s">
        <v>223</v>
      </c>
      <c r="BO3335" s="11">
        <v>46010.149050925924</v>
      </c>
      <c r="BP3335" s="11">
        <v>46010.149050925924</v>
      </c>
      <c r="BQ3335" s="15"/>
      <c r="BR3335" s="15"/>
      <c r="BS3335" s="10"/>
      <c r="BT3335" s="10"/>
      <c r="BU3335" s="10"/>
      <c r="BV3335" s="10"/>
      <c r="BW3335" s="10"/>
      <c r="BX3335" s="10"/>
      <c r="BY3335" s="23"/>
      <c r="BZ3335" s="23"/>
      <c r="CA3335" s="10"/>
      <c r="CB3335" s="23"/>
      <c r="CC3335" s="23"/>
      <c r="CD3335" s="23"/>
      <c r="CE3335" s="23"/>
      <c r="CF3335" s="23"/>
      <c r="CG3335" s="23"/>
      <c r="CH3335" s="23"/>
      <c r="CI3335" s="23"/>
    </row>
    <row r="3336" spans="1:87" x14ac:dyDescent="0.3">
      <c r="A3336" s="9" t="s">
        <v>23893</v>
      </c>
      <c r="B3336" s="10" t="s">
        <v>23894</v>
      </c>
      <c r="C3336" s="11">
        <v>46153.791666666664</v>
      </c>
      <c r="D3336" s="12">
        <v>8.3333333333333329E-2</v>
      </c>
      <c r="E3336" s="11">
        <v>46153.875</v>
      </c>
      <c r="F3336" s="22" t="s">
        <v>3511</v>
      </c>
      <c r="G3336" s="13" t="b">
        <v>0</v>
      </c>
      <c r="H3336" s="22" t="s">
        <v>236</v>
      </c>
      <c r="I3336" s="10" t="s">
        <v>212</v>
      </c>
      <c r="J3336" s="13" t="b">
        <v>1</v>
      </c>
      <c r="K3336" s="13" t="b">
        <v>0</v>
      </c>
      <c r="L3336" s="10" t="s">
        <v>124</v>
      </c>
      <c r="M3336" s="10" t="s">
        <v>91</v>
      </c>
      <c r="N3336" s="10" t="s">
        <v>3513</v>
      </c>
      <c r="O3336" s="10"/>
      <c r="P3336" s="10"/>
      <c r="Q3336" s="10"/>
      <c r="R3336" s="10"/>
      <c r="S3336" s="10"/>
      <c r="T3336" s="10"/>
      <c r="U3336" s="10" t="s">
        <v>3518</v>
      </c>
      <c r="V3336" s="10" t="s">
        <v>3635</v>
      </c>
      <c r="W3336" s="10" t="s">
        <v>3519</v>
      </c>
      <c r="X3336" s="10" t="s">
        <v>130</v>
      </c>
      <c r="Y3336" s="10" t="s">
        <v>130</v>
      </c>
      <c r="Z3336" s="10" t="s">
        <v>99</v>
      </c>
      <c r="AA3336" s="10" t="s">
        <v>131</v>
      </c>
      <c r="AB3336" s="10" t="s">
        <v>3520</v>
      </c>
      <c r="AC3336" s="10" t="s">
        <v>3521</v>
      </c>
      <c r="AD3336" s="10" t="s">
        <v>23895</v>
      </c>
      <c r="AE3336" s="10" t="s">
        <v>23896</v>
      </c>
      <c r="AF3336" s="15"/>
      <c r="AG3336" s="10"/>
      <c r="AH3336" s="10"/>
      <c r="AI3336" s="10"/>
      <c r="AJ3336" s="10"/>
      <c r="AK3336" s="10"/>
      <c r="AL3336" s="10" t="s">
        <v>2926</v>
      </c>
      <c r="AM3336" s="10"/>
      <c r="AN3336" s="10"/>
      <c r="AO3336" s="13" t="b">
        <v>0</v>
      </c>
      <c r="AP3336" s="22" t="s">
        <v>104</v>
      </c>
      <c r="AQ3336" s="10"/>
      <c r="AR3336" s="17"/>
      <c r="AS3336" s="17"/>
      <c r="AT3336" s="17"/>
      <c r="AU3336" s="17"/>
      <c r="AV3336" s="17"/>
      <c r="AW3336" s="10"/>
      <c r="AX3336" s="17"/>
      <c r="AY3336" s="18" t="s">
        <v>257</v>
      </c>
      <c r="AZ3336" s="10"/>
      <c r="BA3336" s="20" t="b">
        <v>0</v>
      </c>
      <c r="BB3336" s="10"/>
      <c r="BC3336" s="17" t="s">
        <v>257</v>
      </c>
      <c r="BD3336" s="17" t="s">
        <v>257</v>
      </c>
      <c r="BE3336" s="17" t="s">
        <v>257</v>
      </c>
      <c r="BF3336" s="17" t="s">
        <v>257</v>
      </c>
      <c r="BG3336" s="11">
        <f ca="1">IFERROR(__xludf.DUMMYFUNCTION("""COMPUTED_VALUE"""),46153.7916666666)</f>
        <v>46153.791666666599</v>
      </c>
      <c r="BH3336" s="17"/>
      <c r="BI3336" s="17"/>
      <c r="BJ3336" s="15"/>
      <c r="BK3336" s="15"/>
      <c r="BL3336" s="13" t="b">
        <v>0</v>
      </c>
      <c r="BM3336" s="10"/>
      <c r="BN3336" s="10" t="s">
        <v>223</v>
      </c>
      <c r="BO3336" s="11">
        <v>46010.149050925924</v>
      </c>
      <c r="BP3336" s="11">
        <v>46010.149050925924</v>
      </c>
      <c r="BQ3336" s="15"/>
      <c r="BR3336" s="15"/>
      <c r="BS3336" s="10"/>
      <c r="BT3336" s="10"/>
      <c r="BU3336" s="10"/>
      <c r="BV3336" s="10"/>
      <c r="BW3336" s="10"/>
      <c r="BX3336" s="10"/>
      <c r="BY3336" s="23"/>
      <c r="BZ3336" s="23"/>
      <c r="CA3336" s="10"/>
      <c r="CB3336" s="23"/>
      <c r="CC3336" s="23"/>
      <c r="CD3336" s="23"/>
      <c r="CE3336" s="23"/>
      <c r="CF3336" s="23"/>
      <c r="CG3336" s="23"/>
      <c r="CH3336" s="23"/>
      <c r="CI3336" s="23"/>
    </row>
    <row r="3337" spans="1:87" x14ac:dyDescent="0.3">
      <c r="A3337" s="9" t="s">
        <v>23897</v>
      </c>
      <c r="B3337" s="10" t="s">
        <v>23898</v>
      </c>
      <c r="C3337" s="11">
        <v>46153.791666666664</v>
      </c>
      <c r="D3337" s="12">
        <v>8.3333333333333329E-2</v>
      </c>
      <c r="E3337" s="11">
        <v>46153.875</v>
      </c>
      <c r="F3337" s="22" t="s">
        <v>3511</v>
      </c>
      <c r="G3337" s="13" t="b">
        <v>0</v>
      </c>
      <c r="H3337" s="22" t="s">
        <v>123</v>
      </c>
      <c r="I3337" s="10" t="s">
        <v>3548</v>
      </c>
      <c r="J3337" s="13" t="b">
        <v>0</v>
      </c>
      <c r="K3337" s="13" t="b">
        <v>1</v>
      </c>
      <c r="L3337" s="10" t="s">
        <v>124</v>
      </c>
      <c r="M3337" s="10" t="s">
        <v>91</v>
      </c>
      <c r="N3337" s="10" t="s">
        <v>3513</v>
      </c>
      <c r="O3337" s="10"/>
      <c r="P3337" s="10"/>
      <c r="Q3337" s="10"/>
      <c r="R3337" s="10"/>
      <c r="S3337" s="10"/>
      <c r="T3337" s="10"/>
      <c r="U3337" s="10" t="s">
        <v>3661</v>
      </c>
      <c r="V3337" s="10" t="s">
        <v>3517</v>
      </c>
      <c r="W3337" s="10" t="s">
        <v>3519</v>
      </c>
      <c r="X3337" s="10" t="s">
        <v>130</v>
      </c>
      <c r="Y3337" s="10" t="s">
        <v>130</v>
      </c>
      <c r="Z3337" s="10" t="s">
        <v>99</v>
      </c>
      <c r="AA3337" s="10" t="s">
        <v>131</v>
      </c>
      <c r="AB3337" s="10" t="s">
        <v>3520</v>
      </c>
      <c r="AC3337" s="10" t="s">
        <v>3521</v>
      </c>
      <c r="AD3337" s="10" t="s">
        <v>23899</v>
      </c>
      <c r="AE3337" s="10" t="s">
        <v>23900</v>
      </c>
      <c r="AF3337" s="15"/>
      <c r="AG3337" s="10"/>
      <c r="AH3337" s="10"/>
      <c r="AI3337" s="10"/>
      <c r="AJ3337" s="10"/>
      <c r="AK3337" s="10"/>
      <c r="AL3337" s="10" t="s">
        <v>2926</v>
      </c>
      <c r="AM3337" s="10"/>
      <c r="AN3337" s="10"/>
      <c r="AO3337" s="13" t="b">
        <v>0</v>
      </c>
      <c r="AP3337" s="22" t="s">
        <v>104</v>
      </c>
      <c r="AQ3337" s="10"/>
      <c r="AR3337" s="17"/>
      <c r="AS3337" s="17"/>
      <c r="AT3337" s="17"/>
      <c r="AU3337" s="17"/>
      <c r="AV3337" s="17"/>
      <c r="AW3337" s="10"/>
      <c r="AX3337" s="17"/>
      <c r="AY3337" s="18" t="s">
        <v>257</v>
      </c>
      <c r="AZ3337" s="10"/>
      <c r="BA3337" s="20" t="b">
        <v>0</v>
      </c>
      <c r="BB3337" s="10"/>
      <c r="BC3337" s="17" t="s">
        <v>257</v>
      </c>
      <c r="BD3337" s="17" t="s">
        <v>257</v>
      </c>
      <c r="BE3337" s="17" t="s">
        <v>257</v>
      </c>
      <c r="BF3337" s="17" t="s">
        <v>257</v>
      </c>
      <c r="BG3337" s="11">
        <f ca="1">IFERROR(__xludf.DUMMYFUNCTION("""COMPUTED_VALUE"""),46153.7916666666)</f>
        <v>46153.791666666599</v>
      </c>
      <c r="BH3337" s="17"/>
      <c r="BI3337" s="17"/>
      <c r="BJ3337" s="15"/>
      <c r="BK3337" s="15"/>
      <c r="BL3337" s="13" t="b">
        <v>0</v>
      </c>
      <c r="BM3337" s="10"/>
      <c r="BN3337" s="10" t="s">
        <v>223</v>
      </c>
      <c r="BO3337" s="11">
        <v>46010.149050925924</v>
      </c>
      <c r="BP3337" s="11">
        <v>46010.149050925924</v>
      </c>
      <c r="BQ3337" s="15"/>
      <c r="BR3337" s="15"/>
      <c r="BS3337" s="10"/>
      <c r="BT3337" s="10"/>
      <c r="BU3337" s="10"/>
      <c r="BV3337" s="10"/>
      <c r="BW3337" s="10"/>
      <c r="BX3337" s="10"/>
      <c r="BY3337" s="23"/>
      <c r="BZ3337" s="23"/>
      <c r="CA3337" s="10"/>
      <c r="CB3337" s="23"/>
      <c r="CC3337" s="23"/>
      <c r="CD3337" s="23"/>
      <c r="CE3337" s="23"/>
      <c r="CF3337" s="23"/>
      <c r="CG3337" s="23"/>
      <c r="CH3337" s="23"/>
      <c r="CI3337" s="23"/>
    </row>
    <row r="3338" spans="1:87" x14ac:dyDescent="0.3">
      <c r="A3338" s="9" t="s">
        <v>23901</v>
      </c>
      <c r="B3338" s="10" t="s">
        <v>23902</v>
      </c>
      <c r="C3338" s="11">
        <v>46157.645833333336</v>
      </c>
      <c r="D3338" s="12">
        <v>8.3333333333333329E-2</v>
      </c>
      <c r="E3338" s="11">
        <v>46157.729166666664</v>
      </c>
      <c r="F3338" s="22" t="s">
        <v>3511</v>
      </c>
      <c r="G3338" s="13" t="b">
        <v>0</v>
      </c>
      <c r="H3338" s="22" t="s">
        <v>3512</v>
      </c>
      <c r="I3338" s="10" t="s">
        <v>3548</v>
      </c>
      <c r="J3338" s="13" t="b">
        <v>0</v>
      </c>
      <c r="K3338" s="13" t="b">
        <v>1</v>
      </c>
      <c r="L3338" s="10" t="s">
        <v>124</v>
      </c>
      <c r="M3338" s="10" t="s">
        <v>91</v>
      </c>
      <c r="N3338" s="10" t="s">
        <v>3513</v>
      </c>
      <c r="O3338" s="10"/>
      <c r="P3338" s="10"/>
      <c r="Q3338" s="10"/>
      <c r="R3338" s="10"/>
      <c r="S3338" s="10"/>
      <c r="T3338" s="10"/>
      <c r="U3338" s="10" t="s">
        <v>3610</v>
      </c>
      <c r="V3338" s="10" t="s">
        <v>3551</v>
      </c>
      <c r="W3338" s="10" t="s">
        <v>3519</v>
      </c>
      <c r="X3338" s="10" t="s">
        <v>130</v>
      </c>
      <c r="Y3338" s="10" t="s">
        <v>130</v>
      </c>
      <c r="Z3338" s="10" t="s">
        <v>99</v>
      </c>
      <c r="AA3338" s="10" t="s">
        <v>131</v>
      </c>
      <c r="AB3338" s="10" t="s">
        <v>3520</v>
      </c>
      <c r="AC3338" s="10" t="s">
        <v>3521</v>
      </c>
      <c r="AD3338" s="10" t="s">
        <v>23903</v>
      </c>
      <c r="AE3338" s="10" t="s">
        <v>23904</v>
      </c>
      <c r="AF3338" s="15"/>
      <c r="AG3338" s="10"/>
      <c r="AH3338" s="10"/>
      <c r="AI3338" s="10"/>
      <c r="AJ3338" s="10"/>
      <c r="AK3338" s="10"/>
      <c r="AL3338" s="10" t="s">
        <v>2967</v>
      </c>
      <c r="AM3338" s="10"/>
      <c r="AN3338" s="10"/>
      <c r="AO3338" s="13" t="b">
        <v>1</v>
      </c>
      <c r="AP3338" s="22" t="s">
        <v>104</v>
      </c>
      <c r="AQ3338" s="10"/>
      <c r="AR3338" s="17"/>
      <c r="AS3338" s="17"/>
      <c r="AT3338" s="17"/>
      <c r="AU3338" s="17"/>
      <c r="AV3338" s="17"/>
      <c r="AW3338" s="10"/>
      <c r="AX3338" s="17"/>
      <c r="AY3338" s="18" t="s">
        <v>257</v>
      </c>
      <c r="AZ3338" s="10"/>
      <c r="BA3338" s="20" t="b">
        <v>0</v>
      </c>
      <c r="BB3338" s="10"/>
      <c r="BC3338" s="17" t="s">
        <v>257</v>
      </c>
      <c r="BD3338" s="17" t="s">
        <v>257</v>
      </c>
      <c r="BE3338" s="17" t="s">
        <v>257</v>
      </c>
      <c r="BF3338" s="17" t="s">
        <v>257</v>
      </c>
      <c r="BG3338" s="11">
        <f ca="1">IFERROR(__xludf.DUMMYFUNCTION("""COMPUTED_VALUE"""),46157.6458333333)</f>
        <v>46157.645833333299</v>
      </c>
      <c r="BH3338" s="17"/>
      <c r="BI3338" s="17"/>
      <c r="BJ3338" s="15"/>
      <c r="BK3338" s="15"/>
      <c r="BL3338" s="13" t="b">
        <v>0</v>
      </c>
      <c r="BM3338" s="10"/>
      <c r="BN3338" s="10" t="s">
        <v>223</v>
      </c>
      <c r="BO3338" s="11">
        <v>46010.149050925924</v>
      </c>
      <c r="BP3338" s="11">
        <v>46010.149050925924</v>
      </c>
      <c r="BQ3338" s="15"/>
      <c r="BR3338" s="15"/>
      <c r="BS3338" s="10"/>
      <c r="BT3338" s="10"/>
      <c r="BU3338" s="10"/>
      <c r="BV3338" s="10"/>
      <c r="BW3338" s="10"/>
      <c r="BX3338" s="10"/>
      <c r="BY3338" s="23"/>
      <c r="BZ3338" s="23"/>
      <c r="CA3338" s="10"/>
      <c r="CB3338" s="23"/>
      <c r="CC3338" s="23"/>
      <c r="CD3338" s="23"/>
      <c r="CE3338" s="23"/>
      <c r="CF3338" s="23"/>
      <c r="CG3338" s="23"/>
      <c r="CH3338" s="23"/>
      <c r="CI3338" s="23"/>
    </row>
    <row r="3339" spans="1:87" x14ac:dyDescent="0.3">
      <c r="A3339" s="9" t="s">
        <v>23905</v>
      </c>
      <c r="B3339" s="10" t="s">
        <v>23906</v>
      </c>
      <c r="C3339" s="11">
        <v>46157.791666666664</v>
      </c>
      <c r="D3339" s="12">
        <v>8.3333333333333329E-2</v>
      </c>
      <c r="E3339" s="11">
        <v>46157.875</v>
      </c>
      <c r="F3339" s="22" t="s">
        <v>3511</v>
      </c>
      <c r="G3339" s="13" t="b">
        <v>0</v>
      </c>
      <c r="H3339" s="22" t="s">
        <v>123</v>
      </c>
      <c r="I3339" s="10" t="s">
        <v>3548</v>
      </c>
      <c r="J3339" s="13" t="b">
        <v>0</v>
      </c>
      <c r="K3339" s="13" t="b">
        <v>1</v>
      </c>
      <c r="L3339" s="10" t="s">
        <v>124</v>
      </c>
      <c r="M3339" s="10" t="s">
        <v>91</v>
      </c>
      <c r="N3339" s="10" t="s">
        <v>3513</v>
      </c>
      <c r="O3339" s="10"/>
      <c r="P3339" s="10"/>
      <c r="Q3339" s="10"/>
      <c r="R3339" s="10"/>
      <c r="S3339" s="10"/>
      <c r="T3339" s="10"/>
      <c r="U3339" s="10" t="s">
        <v>3677</v>
      </c>
      <c r="V3339" s="10" t="s">
        <v>3676</v>
      </c>
      <c r="W3339" s="10" t="s">
        <v>3519</v>
      </c>
      <c r="X3339" s="10" t="s">
        <v>130</v>
      </c>
      <c r="Y3339" s="10" t="s">
        <v>130</v>
      </c>
      <c r="Z3339" s="10" t="s">
        <v>99</v>
      </c>
      <c r="AA3339" s="10" t="s">
        <v>131</v>
      </c>
      <c r="AB3339" s="10" t="s">
        <v>3520</v>
      </c>
      <c r="AC3339" s="10" t="s">
        <v>3521</v>
      </c>
      <c r="AD3339" s="10" t="s">
        <v>23907</v>
      </c>
      <c r="AE3339" s="10" t="s">
        <v>23908</v>
      </c>
      <c r="AF3339" s="15"/>
      <c r="AG3339" s="10"/>
      <c r="AH3339" s="10"/>
      <c r="AI3339" s="10"/>
      <c r="AJ3339" s="10"/>
      <c r="AK3339" s="10"/>
      <c r="AL3339" s="10" t="s">
        <v>2967</v>
      </c>
      <c r="AM3339" s="10"/>
      <c r="AN3339" s="10"/>
      <c r="AO3339" s="13" t="b">
        <v>0</v>
      </c>
      <c r="AP3339" s="22" t="s">
        <v>104</v>
      </c>
      <c r="AQ3339" s="10"/>
      <c r="AR3339" s="17"/>
      <c r="AS3339" s="17"/>
      <c r="AT3339" s="17"/>
      <c r="AU3339" s="17"/>
      <c r="AV3339" s="17"/>
      <c r="AW3339" s="10"/>
      <c r="AX3339" s="17"/>
      <c r="AY3339" s="18" t="s">
        <v>257</v>
      </c>
      <c r="AZ3339" s="10"/>
      <c r="BA3339" s="20" t="b">
        <v>0</v>
      </c>
      <c r="BB3339" s="10"/>
      <c r="BC3339" s="17" t="s">
        <v>257</v>
      </c>
      <c r="BD3339" s="17" t="s">
        <v>257</v>
      </c>
      <c r="BE3339" s="17" t="s">
        <v>257</v>
      </c>
      <c r="BF3339" s="17" t="s">
        <v>257</v>
      </c>
      <c r="BG3339" s="11">
        <f ca="1">IFERROR(__xludf.DUMMYFUNCTION("""COMPUTED_VALUE"""),46157.7916666666)</f>
        <v>46157.791666666599</v>
      </c>
      <c r="BH3339" s="17"/>
      <c r="BI3339" s="17"/>
      <c r="BJ3339" s="15"/>
      <c r="BK3339" s="15"/>
      <c r="BL3339" s="13" t="b">
        <v>0</v>
      </c>
      <c r="BM3339" s="10"/>
      <c r="BN3339" s="10" t="s">
        <v>223</v>
      </c>
      <c r="BO3339" s="11">
        <v>46010.149050925924</v>
      </c>
      <c r="BP3339" s="11">
        <v>46010.149050925924</v>
      </c>
      <c r="BQ3339" s="15"/>
      <c r="BR3339" s="15"/>
      <c r="BS3339" s="10"/>
      <c r="BT3339" s="10"/>
      <c r="BU3339" s="10"/>
      <c r="BV3339" s="10"/>
      <c r="BW3339" s="10"/>
      <c r="BX3339" s="10"/>
      <c r="BY3339" s="23"/>
      <c r="BZ3339" s="23"/>
      <c r="CA3339" s="10"/>
      <c r="CB3339" s="23"/>
      <c r="CC3339" s="23"/>
      <c r="CD3339" s="23"/>
      <c r="CE3339" s="23"/>
      <c r="CF3339" s="23"/>
      <c r="CG3339" s="23"/>
      <c r="CH3339" s="23"/>
      <c r="CI3339" s="23"/>
    </row>
    <row r="3340" spans="1:87" x14ac:dyDescent="0.3">
      <c r="A3340" s="25" t="s">
        <v>23909</v>
      </c>
      <c r="B3340" s="10" t="s">
        <v>23910</v>
      </c>
      <c r="C3340" s="11">
        <v>46158.645833333336</v>
      </c>
      <c r="D3340" s="12">
        <v>8.3333333333333329E-2</v>
      </c>
      <c r="E3340" s="11">
        <v>46158.729166666664</v>
      </c>
      <c r="F3340" s="22" t="s">
        <v>3511</v>
      </c>
      <c r="G3340" s="13" t="b">
        <v>0</v>
      </c>
      <c r="H3340" s="22" t="s">
        <v>123</v>
      </c>
      <c r="I3340" s="10" t="s">
        <v>3548</v>
      </c>
      <c r="J3340" s="13" t="b">
        <v>0</v>
      </c>
      <c r="K3340" s="13" t="b">
        <v>1</v>
      </c>
      <c r="L3340" s="10" t="s">
        <v>124</v>
      </c>
      <c r="M3340" s="10" t="s">
        <v>91</v>
      </c>
      <c r="N3340" s="10" t="s">
        <v>3513</v>
      </c>
      <c r="O3340" s="10"/>
      <c r="P3340" s="10"/>
      <c r="Q3340" s="10"/>
      <c r="R3340" s="10"/>
      <c r="S3340" s="10"/>
      <c r="T3340" s="10"/>
      <c r="U3340" s="10" t="s">
        <v>3662</v>
      </c>
      <c r="V3340" s="10" t="s">
        <v>3647</v>
      </c>
      <c r="W3340" s="10" t="s">
        <v>3519</v>
      </c>
      <c r="X3340" s="10" t="s">
        <v>130</v>
      </c>
      <c r="Y3340" s="10" t="s">
        <v>130</v>
      </c>
      <c r="Z3340" s="10" t="s">
        <v>99</v>
      </c>
      <c r="AA3340" s="10" t="s">
        <v>131</v>
      </c>
      <c r="AB3340" s="10" t="s">
        <v>3520</v>
      </c>
      <c r="AC3340" s="10" t="s">
        <v>3521</v>
      </c>
      <c r="AD3340" s="10" t="s">
        <v>23911</v>
      </c>
      <c r="AE3340" s="10" t="s">
        <v>23912</v>
      </c>
      <c r="AF3340" s="15"/>
      <c r="AG3340" s="10"/>
      <c r="AH3340" s="10"/>
      <c r="AI3340" s="10"/>
      <c r="AJ3340" s="10"/>
      <c r="AK3340" s="10"/>
      <c r="AL3340" s="10" t="s">
        <v>2967</v>
      </c>
      <c r="AM3340" s="10"/>
      <c r="AN3340" s="10"/>
      <c r="AO3340" s="13" t="b">
        <v>1</v>
      </c>
      <c r="AP3340" s="22" t="s">
        <v>104</v>
      </c>
      <c r="AQ3340" s="10"/>
      <c r="AR3340" s="17"/>
      <c r="AS3340" s="17"/>
      <c r="AT3340" s="17"/>
      <c r="AU3340" s="17"/>
      <c r="AV3340" s="17"/>
      <c r="AW3340" s="10"/>
      <c r="AX3340" s="17"/>
      <c r="AY3340" s="18" t="s">
        <v>257</v>
      </c>
      <c r="AZ3340" s="10"/>
      <c r="BA3340" s="20" t="b">
        <v>0</v>
      </c>
      <c r="BB3340" s="10"/>
      <c r="BC3340" s="17" t="s">
        <v>257</v>
      </c>
      <c r="BD3340" s="17" t="s">
        <v>257</v>
      </c>
      <c r="BE3340" s="17" t="s">
        <v>257</v>
      </c>
      <c r="BF3340" s="17" t="s">
        <v>257</v>
      </c>
      <c r="BG3340" s="11">
        <f ca="1">IFERROR(__xludf.DUMMYFUNCTION("""COMPUTED_VALUE"""),46158.6458333333)</f>
        <v>46158.645833333299</v>
      </c>
      <c r="BH3340" s="17"/>
      <c r="BI3340" s="17"/>
      <c r="BJ3340" s="15"/>
      <c r="BK3340" s="15"/>
      <c r="BL3340" s="13" t="b">
        <v>0</v>
      </c>
      <c r="BM3340" s="10"/>
      <c r="BN3340" s="10" t="s">
        <v>223</v>
      </c>
      <c r="BO3340" s="11">
        <v>46010.149050925924</v>
      </c>
      <c r="BP3340" s="11">
        <v>46010.149050925924</v>
      </c>
      <c r="BQ3340" s="15"/>
      <c r="BR3340" s="15"/>
      <c r="BS3340" s="10"/>
      <c r="BT3340" s="10"/>
      <c r="BU3340" s="10"/>
      <c r="BV3340" s="10"/>
      <c r="BW3340" s="10"/>
      <c r="BX3340" s="10"/>
      <c r="BY3340" s="23"/>
      <c r="BZ3340" s="23"/>
      <c r="CA3340" s="10"/>
      <c r="CB3340" s="23"/>
      <c r="CC3340" s="23"/>
      <c r="CD3340" s="23"/>
      <c r="CE3340" s="23"/>
      <c r="CF3340" s="23"/>
      <c r="CG3340" s="23"/>
      <c r="CH3340" s="23"/>
      <c r="CI3340" s="23"/>
    </row>
    <row r="3341" spans="1:87" x14ac:dyDescent="0.3">
      <c r="A3341" s="9" t="s">
        <v>23913</v>
      </c>
      <c r="B3341" s="10" t="s">
        <v>23914</v>
      </c>
      <c r="C3341" s="11">
        <v>46158.791666666664</v>
      </c>
      <c r="D3341" s="12">
        <v>8.3333333333333329E-2</v>
      </c>
      <c r="E3341" s="11">
        <v>46158.875</v>
      </c>
      <c r="F3341" s="22" t="s">
        <v>3511</v>
      </c>
      <c r="G3341" s="13" t="b">
        <v>0</v>
      </c>
      <c r="H3341" s="22" t="s">
        <v>123</v>
      </c>
      <c r="I3341" s="10" t="s">
        <v>3548</v>
      </c>
      <c r="J3341" s="13" t="b">
        <v>0</v>
      </c>
      <c r="K3341" s="13" t="b">
        <v>1</v>
      </c>
      <c r="L3341" s="10" t="s">
        <v>124</v>
      </c>
      <c r="M3341" s="10" t="s">
        <v>91</v>
      </c>
      <c r="N3341" s="10" t="s">
        <v>3513</v>
      </c>
      <c r="O3341" s="10"/>
      <c r="P3341" s="10"/>
      <c r="Q3341" s="10"/>
      <c r="R3341" s="10"/>
      <c r="S3341" s="10"/>
      <c r="T3341" s="10"/>
      <c r="U3341" s="10" t="s">
        <v>3636</v>
      </c>
      <c r="V3341" s="10" t="s">
        <v>3622</v>
      </c>
      <c r="W3341" s="10" t="s">
        <v>3519</v>
      </c>
      <c r="X3341" s="10" t="s">
        <v>130</v>
      </c>
      <c r="Y3341" s="10" t="s">
        <v>130</v>
      </c>
      <c r="Z3341" s="10" t="s">
        <v>99</v>
      </c>
      <c r="AA3341" s="10" t="s">
        <v>131</v>
      </c>
      <c r="AB3341" s="10" t="s">
        <v>3520</v>
      </c>
      <c r="AC3341" s="10" t="s">
        <v>3521</v>
      </c>
      <c r="AD3341" s="10" t="s">
        <v>23915</v>
      </c>
      <c r="AE3341" s="10" t="s">
        <v>23916</v>
      </c>
      <c r="AF3341" s="15"/>
      <c r="AG3341" s="10"/>
      <c r="AH3341" s="10"/>
      <c r="AI3341" s="10"/>
      <c r="AJ3341" s="10"/>
      <c r="AK3341" s="10"/>
      <c r="AL3341" s="10" t="s">
        <v>2967</v>
      </c>
      <c r="AM3341" s="10"/>
      <c r="AN3341" s="10"/>
      <c r="AO3341" s="13" t="b">
        <v>0</v>
      </c>
      <c r="AP3341" s="22" t="s">
        <v>104</v>
      </c>
      <c r="AQ3341" s="10"/>
      <c r="AR3341" s="17"/>
      <c r="AS3341" s="17"/>
      <c r="AT3341" s="17"/>
      <c r="AU3341" s="17"/>
      <c r="AV3341" s="17"/>
      <c r="AW3341" s="10"/>
      <c r="AX3341" s="17"/>
      <c r="AY3341" s="18" t="s">
        <v>257</v>
      </c>
      <c r="AZ3341" s="10"/>
      <c r="BA3341" s="20" t="b">
        <v>0</v>
      </c>
      <c r="BB3341" s="10"/>
      <c r="BC3341" s="17" t="s">
        <v>257</v>
      </c>
      <c r="BD3341" s="17" t="s">
        <v>257</v>
      </c>
      <c r="BE3341" s="17" t="s">
        <v>257</v>
      </c>
      <c r="BF3341" s="17" t="s">
        <v>257</v>
      </c>
      <c r="BG3341" s="11">
        <f ca="1">IFERROR(__xludf.DUMMYFUNCTION("""COMPUTED_VALUE"""),46158.7916666666)</f>
        <v>46158.791666666599</v>
      </c>
      <c r="BH3341" s="17"/>
      <c r="BI3341" s="17"/>
      <c r="BJ3341" s="15"/>
      <c r="BK3341" s="15"/>
      <c r="BL3341" s="13" t="b">
        <v>0</v>
      </c>
      <c r="BM3341" s="10"/>
      <c r="BN3341" s="10" t="s">
        <v>223</v>
      </c>
      <c r="BO3341" s="11">
        <v>46010.149050925924</v>
      </c>
      <c r="BP3341" s="11">
        <v>46010.149050925924</v>
      </c>
      <c r="BQ3341" s="15"/>
      <c r="BR3341" s="15"/>
      <c r="BS3341" s="10"/>
      <c r="BT3341" s="10"/>
      <c r="BU3341" s="10"/>
      <c r="BV3341" s="10"/>
      <c r="BW3341" s="10"/>
      <c r="BX3341" s="10"/>
      <c r="BY3341" s="23"/>
      <c r="BZ3341" s="23"/>
      <c r="CA3341" s="10"/>
      <c r="CB3341" s="23"/>
      <c r="CC3341" s="23"/>
      <c r="CD3341" s="23"/>
      <c r="CE3341" s="23"/>
      <c r="CF3341" s="23"/>
      <c r="CG3341" s="23"/>
      <c r="CH3341" s="23"/>
      <c r="CI3341" s="23"/>
    </row>
    <row r="3342" spans="1:87" x14ac:dyDescent="0.3">
      <c r="A3342" s="9" t="s">
        <v>23917</v>
      </c>
      <c r="B3342" s="10" t="s">
        <v>23918</v>
      </c>
      <c r="C3342" s="11">
        <v>46158.791666666664</v>
      </c>
      <c r="D3342" s="12">
        <v>8.3333333333333329E-2</v>
      </c>
      <c r="E3342" s="11">
        <v>46158.875</v>
      </c>
      <c r="F3342" s="22" t="s">
        <v>3511</v>
      </c>
      <c r="G3342" s="13" t="b">
        <v>0</v>
      </c>
      <c r="H3342" s="22" t="s">
        <v>3512</v>
      </c>
      <c r="I3342" s="10" t="s">
        <v>3548</v>
      </c>
      <c r="J3342" s="13" t="b">
        <v>0</v>
      </c>
      <c r="K3342" s="13" t="b">
        <v>1</v>
      </c>
      <c r="L3342" s="10" t="s">
        <v>124</v>
      </c>
      <c r="M3342" s="10" t="s">
        <v>91</v>
      </c>
      <c r="N3342" s="10" t="s">
        <v>3513</v>
      </c>
      <c r="O3342" s="10"/>
      <c r="P3342" s="10"/>
      <c r="Q3342" s="10"/>
      <c r="R3342" s="10"/>
      <c r="S3342" s="10"/>
      <c r="T3342" s="10"/>
      <c r="U3342" s="10" t="s">
        <v>3623</v>
      </c>
      <c r="V3342" s="10" t="s">
        <v>3648</v>
      </c>
      <c r="W3342" s="10" t="s">
        <v>3519</v>
      </c>
      <c r="X3342" s="10" t="s">
        <v>130</v>
      </c>
      <c r="Y3342" s="10" t="s">
        <v>130</v>
      </c>
      <c r="Z3342" s="10" t="s">
        <v>99</v>
      </c>
      <c r="AA3342" s="10" t="s">
        <v>131</v>
      </c>
      <c r="AB3342" s="10" t="s">
        <v>3520</v>
      </c>
      <c r="AC3342" s="10" t="s">
        <v>3521</v>
      </c>
      <c r="AD3342" s="10" t="s">
        <v>23919</v>
      </c>
      <c r="AE3342" s="10" t="s">
        <v>23920</v>
      </c>
      <c r="AF3342" s="15"/>
      <c r="AG3342" s="10"/>
      <c r="AH3342" s="10"/>
      <c r="AI3342" s="10"/>
      <c r="AJ3342" s="10"/>
      <c r="AK3342" s="10"/>
      <c r="AL3342" s="10" t="s">
        <v>2967</v>
      </c>
      <c r="AM3342" s="10"/>
      <c r="AN3342" s="10"/>
      <c r="AO3342" s="13" t="b">
        <v>0</v>
      </c>
      <c r="AP3342" s="22" t="s">
        <v>104</v>
      </c>
      <c r="AQ3342" s="10"/>
      <c r="AR3342" s="17"/>
      <c r="AS3342" s="17"/>
      <c r="AT3342" s="17"/>
      <c r="AU3342" s="17"/>
      <c r="AV3342" s="17"/>
      <c r="AW3342" s="10"/>
      <c r="AX3342" s="17"/>
      <c r="AY3342" s="18" t="s">
        <v>257</v>
      </c>
      <c r="AZ3342" s="10"/>
      <c r="BA3342" s="20" t="b">
        <v>0</v>
      </c>
      <c r="BB3342" s="10"/>
      <c r="BC3342" s="17" t="s">
        <v>257</v>
      </c>
      <c r="BD3342" s="17" t="s">
        <v>257</v>
      </c>
      <c r="BE3342" s="17" t="s">
        <v>257</v>
      </c>
      <c r="BF3342" s="17" t="s">
        <v>257</v>
      </c>
      <c r="BG3342" s="11">
        <f ca="1">IFERROR(__xludf.DUMMYFUNCTION("""COMPUTED_VALUE"""),46158.7916666666)</f>
        <v>46158.791666666599</v>
      </c>
      <c r="BH3342" s="17"/>
      <c r="BI3342" s="17"/>
      <c r="BJ3342" s="15"/>
      <c r="BK3342" s="15"/>
      <c r="BL3342" s="13" t="b">
        <v>0</v>
      </c>
      <c r="BM3342" s="10"/>
      <c r="BN3342" s="10" t="s">
        <v>223</v>
      </c>
      <c r="BO3342" s="11">
        <v>46010.149050925924</v>
      </c>
      <c r="BP3342" s="11">
        <v>46010.149050925924</v>
      </c>
      <c r="BQ3342" s="15"/>
      <c r="BR3342" s="15"/>
      <c r="BS3342" s="10"/>
      <c r="BT3342" s="10"/>
      <c r="BU3342" s="10"/>
      <c r="BV3342" s="10"/>
      <c r="BW3342" s="10"/>
      <c r="BX3342" s="10"/>
      <c r="BY3342" s="23"/>
      <c r="BZ3342" s="23"/>
      <c r="CA3342" s="10"/>
      <c r="CB3342" s="23"/>
      <c r="CC3342" s="23"/>
      <c r="CD3342" s="23"/>
      <c r="CE3342" s="23"/>
      <c r="CF3342" s="23"/>
      <c r="CG3342" s="23"/>
      <c r="CH3342" s="23"/>
      <c r="CI3342" s="23"/>
    </row>
    <row r="3343" spans="1:87" x14ac:dyDescent="0.3">
      <c r="A3343" s="9" t="s">
        <v>23921</v>
      </c>
      <c r="B3343" s="10" t="s">
        <v>23922</v>
      </c>
      <c r="C3343" s="11">
        <v>46159.645833333336</v>
      </c>
      <c r="D3343" s="12">
        <v>8.3333333333333329E-2</v>
      </c>
      <c r="E3343" s="11">
        <v>46159.729166666664</v>
      </c>
      <c r="F3343" s="22" t="s">
        <v>3511</v>
      </c>
      <c r="G3343" s="13" t="b">
        <v>0</v>
      </c>
      <c r="H3343" s="22" t="s">
        <v>123</v>
      </c>
      <c r="I3343" s="10" t="s">
        <v>3548</v>
      </c>
      <c r="J3343" s="13" t="b">
        <v>0</v>
      </c>
      <c r="K3343" s="13" t="b">
        <v>1</v>
      </c>
      <c r="L3343" s="10" t="s">
        <v>124</v>
      </c>
      <c r="M3343" s="10" t="s">
        <v>91</v>
      </c>
      <c r="N3343" s="10" t="s">
        <v>3513</v>
      </c>
      <c r="O3343" s="10"/>
      <c r="P3343" s="10"/>
      <c r="Q3343" s="10"/>
      <c r="R3343" s="10"/>
      <c r="S3343" s="10"/>
      <c r="T3343" s="10"/>
      <c r="U3343" s="10" t="s">
        <v>3661</v>
      </c>
      <c r="V3343" s="10" t="s">
        <v>3518</v>
      </c>
      <c r="W3343" s="10" t="s">
        <v>3519</v>
      </c>
      <c r="X3343" s="10" t="s">
        <v>130</v>
      </c>
      <c r="Y3343" s="10" t="s">
        <v>130</v>
      </c>
      <c r="Z3343" s="10" t="s">
        <v>99</v>
      </c>
      <c r="AA3343" s="10" t="s">
        <v>131</v>
      </c>
      <c r="AB3343" s="10" t="s">
        <v>3520</v>
      </c>
      <c r="AC3343" s="10" t="s">
        <v>3521</v>
      </c>
      <c r="AD3343" s="10" t="s">
        <v>23923</v>
      </c>
      <c r="AE3343" s="10" t="s">
        <v>23924</v>
      </c>
      <c r="AF3343" s="15"/>
      <c r="AG3343" s="10"/>
      <c r="AH3343" s="10"/>
      <c r="AI3343" s="10"/>
      <c r="AJ3343" s="10"/>
      <c r="AK3343" s="10"/>
      <c r="AL3343" s="10" t="s">
        <v>2967</v>
      </c>
      <c r="AM3343" s="10"/>
      <c r="AN3343" s="10"/>
      <c r="AO3343" s="13" t="b">
        <v>0</v>
      </c>
      <c r="AP3343" s="22" t="s">
        <v>104</v>
      </c>
      <c r="AQ3343" s="10"/>
      <c r="AR3343" s="17"/>
      <c r="AS3343" s="17"/>
      <c r="AT3343" s="17"/>
      <c r="AU3343" s="17"/>
      <c r="AV3343" s="17"/>
      <c r="AW3343" s="10"/>
      <c r="AX3343" s="17"/>
      <c r="AY3343" s="18" t="s">
        <v>257</v>
      </c>
      <c r="AZ3343" s="10"/>
      <c r="BA3343" s="20" t="b">
        <v>0</v>
      </c>
      <c r="BB3343" s="10"/>
      <c r="BC3343" s="17" t="s">
        <v>257</v>
      </c>
      <c r="BD3343" s="17" t="s">
        <v>257</v>
      </c>
      <c r="BE3343" s="17" t="s">
        <v>257</v>
      </c>
      <c r="BF3343" s="17" t="s">
        <v>257</v>
      </c>
      <c r="BG3343" s="11">
        <f ca="1">IFERROR(__xludf.DUMMYFUNCTION("""COMPUTED_VALUE"""),46159.6458333333)</f>
        <v>46159.645833333299</v>
      </c>
      <c r="BH3343" s="17"/>
      <c r="BI3343" s="17"/>
      <c r="BJ3343" s="15"/>
      <c r="BK3343" s="15"/>
      <c r="BL3343" s="13" t="b">
        <v>0</v>
      </c>
      <c r="BM3343" s="10"/>
      <c r="BN3343" s="10" t="s">
        <v>223</v>
      </c>
      <c r="BO3343" s="11">
        <v>46010.149050925924</v>
      </c>
      <c r="BP3343" s="11">
        <v>46010.149050925924</v>
      </c>
      <c r="BQ3343" s="15"/>
      <c r="BR3343" s="15"/>
      <c r="BS3343" s="10"/>
      <c r="BT3343" s="10"/>
      <c r="BU3343" s="10"/>
      <c r="BV3343" s="10"/>
      <c r="BW3343" s="10"/>
      <c r="BX3343" s="10"/>
      <c r="BY3343" s="23"/>
      <c r="BZ3343" s="23"/>
      <c r="CA3343" s="10"/>
      <c r="CB3343" s="23"/>
      <c r="CC3343" s="23"/>
      <c r="CD3343" s="23"/>
      <c r="CE3343" s="23"/>
      <c r="CF3343" s="23"/>
      <c r="CG3343" s="23"/>
      <c r="CH3343" s="23"/>
      <c r="CI3343" s="23"/>
    </row>
    <row r="3344" spans="1:87" x14ac:dyDescent="0.3">
      <c r="A3344" s="9" t="s">
        <v>23925</v>
      </c>
      <c r="B3344" s="10" t="s">
        <v>23926</v>
      </c>
      <c r="C3344" s="11">
        <v>46159.791666666664</v>
      </c>
      <c r="D3344" s="12">
        <v>8.3333333333333329E-2</v>
      </c>
      <c r="E3344" s="11">
        <v>46159.875</v>
      </c>
      <c r="F3344" s="22" t="s">
        <v>3511</v>
      </c>
      <c r="G3344" s="13" t="b">
        <v>0</v>
      </c>
      <c r="H3344" s="22" t="s">
        <v>3512</v>
      </c>
      <c r="I3344" s="10" t="s">
        <v>212</v>
      </c>
      <c r="J3344" s="13" t="b">
        <v>1</v>
      </c>
      <c r="K3344" s="13" t="b">
        <v>0</v>
      </c>
      <c r="L3344" s="10" t="s">
        <v>124</v>
      </c>
      <c r="M3344" s="10" t="s">
        <v>91</v>
      </c>
      <c r="N3344" s="10" t="s">
        <v>3513</v>
      </c>
      <c r="O3344" s="10"/>
      <c r="P3344" s="10"/>
      <c r="Q3344" s="10"/>
      <c r="R3344" s="10"/>
      <c r="S3344" s="10"/>
      <c r="T3344" s="10"/>
      <c r="U3344" s="10" t="s">
        <v>3536</v>
      </c>
      <c r="V3344" s="10" t="s">
        <v>3517</v>
      </c>
      <c r="W3344" s="10" t="s">
        <v>3519</v>
      </c>
      <c r="X3344" s="10" t="s">
        <v>130</v>
      </c>
      <c r="Y3344" s="10" t="s">
        <v>130</v>
      </c>
      <c r="Z3344" s="10" t="s">
        <v>99</v>
      </c>
      <c r="AA3344" s="10" t="s">
        <v>131</v>
      </c>
      <c r="AB3344" s="10" t="s">
        <v>3520</v>
      </c>
      <c r="AC3344" s="10" t="s">
        <v>3521</v>
      </c>
      <c r="AD3344" s="10" t="s">
        <v>23927</v>
      </c>
      <c r="AE3344" s="10" t="s">
        <v>23928</v>
      </c>
      <c r="AF3344" s="15"/>
      <c r="AG3344" s="10"/>
      <c r="AH3344" s="10"/>
      <c r="AI3344" s="10"/>
      <c r="AJ3344" s="10"/>
      <c r="AK3344" s="10"/>
      <c r="AL3344" s="10" t="s">
        <v>2967</v>
      </c>
      <c r="AM3344" s="10"/>
      <c r="AN3344" s="10"/>
      <c r="AO3344" s="13" t="b">
        <v>0</v>
      </c>
      <c r="AP3344" s="22" t="s">
        <v>104</v>
      </c>
      <c r="AQ3344" s="10"/>
      <c r="AR3344" s="17"/>
      <c r="AS3344" s="17"/>
      <c r="AT3344" s="17"/>
      <c r="AU3344" s="17"/>
      <c r="AV3344" s="17"/>
      <c r="AW3344" s="10"/>
      <c r="AX3344" s="17"/>
      <c r="AY3344" s="18" t="s">
        <v>257</v>
      </c>
      <c r="AZ3344" s="10"/>
      <c r="BA3344" s="20" t="b">
        <v>0</v>
      </c>
      <c r="BB3344" s="10"/>
      <c r="BC3344" s="17" t="s">
        <v>257</v>
      </c>
      <c r="BD3344" s="17" t="s">
        <v>257</v>
      </c>
      <c r="BE3344" s="17" t="s">
        <v>257</v>
      </c>
      <c r="BF3344" s="17" t="s">
        <v>257</v>
      </c>
      <c r="BG3344" s="11">
        <f ca="1">IFERROR(__xludf.DUMMYFUNCTION("""COMPUTED_VALUE"""),46159.7916666666)</f>
        <v>46159.791666666599</v>
      </c>
      <c r="BH3344" s="17"/>
      <c r="BI3344" s="17"/>
      <c r="BJ3344" s="15"/>
      <c r="BK3344" s="15"/>
      <c r="BL3344" s="13" t="b">
        <v>0</v>
      </c>
      <c r="BM3344" s="10"/>
      <c r="BN3344" s="10" t="s">
        <v>223</v>
      </c>
      <c r="BO3344" s="11">
        <v>46010.149050925924</v>
      </c>
      <c r="BP3344" s="11">
        <v>46010.149050925924</v>
      </c>
      <c r="BQ3344" s="15"/>
      <c r="BR3344" s="15"/>
      <c r="BS3344" s="10"/>
      <c r="BT3344" s="10"/>
      <c r="BU3344" s="10"/>
      <c r="BV3344" s="10"/>
      <c r="BW3344" s="10"/>
      <c r="BX3344" s="10"/>
      <c r="BY3344" s="23"/>
      <c r="BZ3344" s="23"/>
      <c r="CA3344" s="10"/>
      <c r="CB3344" s="23"/>
      <c r="CC3344" s="23"/>
      <c r="CD3344" s="23"/>
      <c r="CE3344" s="23"/>
      <c r="CF3344" s="23"/>
      <c r="CG3344" s="23"/>
      <c r="CH3344" s="23"/>
      <c r="CI3344" s="23"/>
    </row>
    <row r="3345" spans="1:87" x14ac:dyDescent="0.3">
      <c r="A3345" s="9" t="s">
        <v>23929</v>
      </c>
      <c r="B3345" s="10" t="s">
        <v>23930</v>
      </c>
      <c r="C3345" s="11">
        <v>46159.791666666664</v>
      </c>
      <c r="D3345" s="12">
        <v>8.3333333333333329E-2</v>
      </c>
      <c r="E3345" s="11">
        <v>46159.875</v>
      </c>
      <c r="F3345" s="22" t="s">
        <v>3511</v>
      </c>
      <c r="G3345" s="13" t="b">
        <v>0</v>
      </c>
      <c r="H3345" s="22" t="s">
        <v>3512</v>
      </c>
      <c r="I3345" s="10" t="s">
        <v>212</v>
      </c>
      <c r="J3345" s="13" t="b">
        <v>1</v>
      </c>
      <c r="K3345" s="13" t="b">
        <v>0</v>
      </c>
      <c r="L3345" s="10" t="s">
        <v>124</v>
      </c>
      <c r="M3345" s="10" t="s">
        <v>91</v>
      </c>
      <c r="N3345" s="10" t="s">
        <v>3513</v>
      </c>
      <c r="O3345" s="10"/>
      <c r="P3345" s="10"/>
      <c r="Q3345" s="10"/>
      <c r="R3345" s="10"/>
      <c r="S3345" s="10"/>
      <c r="T3345" s="10"/>
      <c r="U3345" s="10" t="s">
        <v>3552</v>
      </c>
      <c r="V3345" s="10" t="s">
        <v>3635</v>
      </c>
      <c r="W3345" s="10" t="s">
        <v>3519</v>
      </c>
      <c r="X3345" s="10" t="s">
        <v>130</v>
      </c>
      <c r="Y3345" s="10" t="s">
        <v>130</v>
      </c>
      <c r="Z3345" s="10" t="s">
        <v>99</v>
      </c>
      <c r="AA3345" s="10" t="s">
        <v>131</v>
      </c>
      <c r="AB3345" s="10" t="s">
        <v>3520</v>
      </c>
      <c r="AC3345" s="10" t="s">
        <v>3521</v>
      </c>
      <c r="AD3345" s="10" t="s">
        <v>23931</v>
      </c>
      <c r="AE3345" s="10" t="s">
        <v>23932</v>
      </c>
      <c r="AF3345" s="15"/>
      <c r="AG3345" s="10"/>
      <c r="AH3345" s="10"/>
      <c r="AI3345" s="10"/>
      <c r="AJ3345" s="10"/>
      <c r="AK3345" s="10"/>
      <c r="AL3345" s="10" t="s">
        <v>2967</v>
      </c>
      <c r="AM3345" s="10"/>
      <c r="AN3345" s="10"/>
      <c r="AO3345" s="13" t="b">
        <v>0</v>
      </c>
      <c r="AP3345" s="22" t="s">
        <v>104</v>
      </c>
      <c r="AQ3345" s="10"/>
      <c r="AR3345" s="17"/>
      <c r="AS3345" s="17"/>
      <c r="AT3345" s="17"/>
      <c r="AU3345" s="17"/>
      <c r="AV3345" s="17"/>
      <c r="AW3345" s="10"/>
      <c r="AX3345" s="17"/>
      <c r="AY3345" s="18" t="s">
        <v>257</v>
      </c>
      <c r="AZ3345" s="10"/>
      <c r="BA3345" s="20" t="b">
        <v>0</v>
      </c>
      <c r="BB3345" s="10"/>
      <c r="BC3345" s="17" t="s">
        <v>257</v>
      </c>
      <c r="BD3345" s="17" t="s">
        <v>257</v>
      </c>
      <c r="BE3345" s="17" t="s">
        <v>257</v>
      </c>
      <c r="BF3345" s="17" t="s">
        <v>257</v>
      </c>
      <c r="BG3345" s="11">
        <f ca="1">IFERROR(__xludf.DUMMYFUNCTION("""COMPUTED_VALUE"""),46159.7916666666)</f>
        <v>46159.791666666599</v>
      </c>
      <c r="BH3345" s="17"/>
      <c r="BI3345" s="17"/>
      <c r="BJ3345" s="15"/>
      <c r="BK3345" s="15"/>
      <c r="BL3345" s="13" t="b">
        <v>0</v>
      </c>
      <c r="BM3345" s="10"/>
      <c r="BN3345" s="10" t="s">
        <v>223</v>
      </c>
      <c r="BO3345" s="11">
        <v>46010.149050925924</v>
      </c>
      <c r="BP3345" s="11">
        <v>46010.149050925924</v>
      </c>
      <c r="BQ3345" s="15"/>
      <c r="BR3345" s="15"/>
      <c r="BS3345" s="10"/>
      <c r="BT3345" s="10"/>
      <c r="BU3345" s="10"/>
      <c r="BV3345" s="10"/>
      <c r="BW3345" s="10"/>
      <c r="BX3345" s="10"/>
      <c r="BY3345" s="23"/>
      <c r="BZ3345" s="23"/>
      <c r="CA3345" s="10"/>
      <c r="CB3345" s="23"/>
      <c r="CC3345" s="23"/>
      <c r="CD3345" s="23"/>
      <c r="CE3345" s="23"/>
      <c r="CF3345" s="23"/>
      <c r="CG3345" s="23"/>
      <c r="CH3345" s="23"/>
      <c r="CI3345" s="23"/>
    </row>
    <row r="3346" spans="1:87" x14ac:dyDescent="0.3">
      <c r="A3346" s="9" t="s">
        <v>23933</v>
      </c>
      <c r="B3346" s="10" t="s">
        <v>23934</v>
      </c>
      <c r="C3346" s="11">
        <v>46159.791666666664</v>
      </c>
      <c r="D3346" s="12">
        <v>8.3333333333333329E-2</v>
      </c>
      <c r="E3346" s="11">
        <v>46159.875</v>
      </c>
      <c r="F3346" s="22" t="s">
        <v>3511</v>
      </c>
      <c r="G3346" s="13" t="b">
        <v>0</v>
      </c>
      <c r="H3346" s="22" t="s">
        <v>123</v>
      </c>
      <c r="I3346" s="10" t="s">
        <v>3548</v>
      </c>
      <c r="J3346" s="13" t="b">
        <v>0</v>
      </c>
      <c r="K3346" s="13" t="b">
        <v>1</v>
      </c>
      <c r="L3346" s="10" t="s">
        <v>124</v>
      </c>
      <c r="M3346" s="10" t="s">
        <v>91</v>
      </c>
      <c r="N3346" s="10" t="s">
        <v>3513</v>
      </c>
      <c r="O3346" s="10"/>
      <c r="P3346" s="10"/>
      <c r="Q3346" s="10"/>
      <c r="R3346" s="10"/>
      <c r="S3346" s="10"/>
      <c r="T3346" s="10"/>
      <c r="U3346" s="10" t="s">
        <v>3535</v>
      </c>
      <c r="V3346" s="10" t="s">
        <v>3609</v>
      </c>
      <c r="W3346" s="10" t="s">
        <v>3519</v>
      </c>
      <c r="X3346" s="10" t="s">
        <v>130</v>
      </c>
      <c r="Y3346" s="10" t="s">
        <v>130</v>
      </c>
      <c r="Z3346" s="10" t="s">
        <v>99</v>
      </c>
      <c r="AA3346" s="10" t="s">
        <v>131</v>
      </c>
      <c r="AB3346" s="10" t="s">
        <v>3520</v>
      </c>
      <c r="AC3346" s="10" t="s">
        <v>3521</v>
      </c>
      <c r="AD3346" s="10" t="s">
        <v>23935</v>
      </c>
      <c r="AE3346" s="10" t="s">
        <v>23936</v>
      </c>
      <c r="AF3346" s="15"/>
      <c r="AG3346" s="10"/>
      <c r="AH3346" s="10"/>
      <c r="AI3346" s="10"/>
      <c r="AJ3346" s="10"/>
      <c r="AK3346" s="10"/>
      <c r="AL3346" s="10" t="s">
        <v>2967</v>
      </c>
      <c r="AM3346" s="10"/>
      <c r="AN3346" s="10"/>
      <c r="AO3346" s="13" t="b">
        <v>1</v>
      </c>
      <c r="AP3346" s="22" t="s">
        <v>104</v>
      </c>
      <c r="AQ3346" s="10"/>
      <c r="AR3346" s="17"/>
      <c r="AS3346" s="17"/>
      <c r="AT3346" s="17"/>
      <c r="AU3346" s="17"/>
      <c r="AV3346" s="17"/>
      <c r="AW3346" s="10"/>
      <c r="AX3346" s="17"/>
      <c r="AY3346" s="18" t="s">
        <v>257</v>
      </c>
      <c r="AZ3346" s="10"/>
      <c r="BA3346" s="20" t="b">
        <v>0</v>
      </c>
      <c r="BB3346" s="10"/>
      <c r="BC3346" s="17" t="s">
        <v>257</v>
      </c>
      <c r="BD3346" s="17" t="s">
        <v>257</v>
      </c>
      <c r="BE3346" s="17" t="s">
        <v>257</v>
      </c>
      <c r="BF3346" s="17" t="s">
        <v>257</v>
      </c>
      <c r="BG3346" s="11">
        <f ca="1">IFERROR(__xludf.DUMMYFUNCTION("""COMPUTED_VALUE"""),46159.7916666666)</f>
        <v>46159.791666666599</v>
      </c>
      <c r="BH3346" s="17"/>
      <c r="BI3346" s="17"/>
      <c r="BJ3346" s="15"/>
      <c r="BK3346" s="15"/>
      <c r="BL3346" s="13" t="b">
        <v>0</v>
      </c>
      <c r="BM3346" s="10"/>
      <c r="BN3346" s="10" t="s">
        <v>223</v>
      </c>
      <c r="BO3346" s="11">
        <v>46010.149050925924</v>
      </c>
      <c r="BP3346" s="11">
        <v>46010.149050925924</v>
      </c>
      <c r="BQ3346" s="15"/>
      <c r="BR3346" s="15"/>
      <c r="BS3346" s="10"/>
      <c r="BT3346" s="10"/>
      <c r="BU3346" s="10"/>
      <c r="BV3346" s="10"/>
      <c r="BW3346" s="10"/>
      <c r="BX3346" s="10"/>
      <c r="BY3346" s="23"/>
      <c r="BZ3346" s="23"/>
      <c r="CA3346" s="10"/>
      <c r="CB3346" s="23"/>
      <c r="CC3346" s="23"/>
      <c r="CD3346" s="23"/>
      <c r="CE3346" s="23"/>
      <c r="CF3346" s="23"/>
      <c r="CG3346" s="23"/>
      <c r="CH3346" s="23"/>
      <c r="CI3346" s="23"/>
    </row>
    <row r="3347" spans="1:87" x14ac:dyDescent="0.3">
      <c r="A3347" s="9" t="s">
        <v>23937</v>
      </c>
      <c r="B3347" s="10" t="s">
        <v>23938</v>
      </c>
      <c r="C3347" s="11">
        <v>46165.791666666664</v>
      </c>
      <c r="D3347" s="12">
        <v>8.3333333333333329E-2</v>
      </c>
      <c r="E3347" s="11">
        <v>46165.875</v>
      </c>
      <c r="F3347" s="22" t="s">
        <v>3511</v>
      </c>
      <c r="G3347" s="13" t="b">
        <v>0</v>
      </c>
      <c r="H3347" s="22" t="s">
        <v>3512</v>
      </c>
      <c r="I3347" s="10" t="s">
        <v>3548</v>
      </c>
      <c r="J3347" s="13" t="b">
        <v>0</v>
      </c>
      <c r="K3347" s="13" t="b">
        <v>1</v>
      </c>
      <c r="L3347" s="10" t="s">
        <v>124</v>
      </c>
      <c r="M3347" s="10" t="s">
        <v>91</v>
      </c>
      <c r="N3347" s="10" t="s">
        <v>3513</v>
      </c>
      <c r="O3347" s="10"/>
      <c r="P3347" s="10"/>
      <c r="Q3347" s="10"/>
      <c r="R3347" s="10"/>
      <c r="S3347" s="10"/>
      <c r="T3347" s="10"/>
      <c r="U3347" s="10" t="s">
        <v>3676</v>
      </c>
      <c r="V3347" s="10" t="s">
        <v>3552</v>
      </c>
      <c r="W3347" s="10" t="s">
        <v>3519</v>
      </c>
      <c r="X3347" s="10" t="s">
        <v>130</v>
      </c>
      <c r="Y3347" s="10" t="s">
        <v>130</v>
      </c>
      <c r="Z3347" s="10" t="s">
        <v>99</v>
      </c>
      <c r="AA3347" s="10" t="s">
        <v>131</v>
      </c>
      <c r="AB3347" s="10" t="s">
        <v>3520</v>
      </c>
      <c r="AC3347" s="10" t="s">
        <v>3521</v>
      </c>
      <c r="AD3347" s="10" t="s">
        <v>23939</v>
      </c>
      <c r="AE3347" s="10" t="s">
        <v>23940</v>
      </c>
      <c r="AF3347" s="15"/>
      <c r="AG3347" s="10"/>
      <c r="AH3347" s="10"/>
      <c r="AI3347" s="10"/>
      <c r="AJ3347" s="10"/>
      <c r="AK3347" s="10"/>
      <c r="AL3347" s="10" t="s">
        <v>3008</v>
      </c>
      <c r="AM3347" s="10"/>
      <c r="AN3347" s="10"/>
      <c r="AO3347" s="13" t="b">
        <v>0</v>
      </c>
      <c r="AP3347" s="22" t="s">
        <v>104</v>
      </c>
      <c r="AQ3347" s="10"/>
      <c r="AR3347" s="17"/>
      <c r="AS3347" s="17"/>
      <c r="AT3347" s="17"/>
      <c r="AU3347" s="17"/>
      <c r="AV3347" s="17"/>
      <c r="AW3347" s="10"/>
      <c r="AX3347" s="17"/>
      <c r="AY3347" s="18" t="s">
        <v>257</v>
      </c>
      <c r="AZ3347" s="10"/>
      <c r="BA3347" s="20" t="b">
        <v>0</v>
      </c>
      <c r="BB3347" s="10"/>
      <c r="BC3347" s="17" t="s">
        <v>257</v>
      </c>
      <c r="BD3347" s="17" t="s">
        <v>257</v>
      </c>
      <c r="BE3347" s="17" t="s">
        <v>257</v>
      </c>
      <c r="BF3347" s="17" t="s">
        <v>257</v>
      </c>
      <c r="BG3347" s="11">
        <f ca="1">IFERROR(__xludf.DUMMYFUNCTION("""COMPUTED_VALUE"""),46165.7916666666)</f>
        <v>46165.791666666599</v>
      </c>
      <c r="BH3347" s="17"/>
      <c r="BI3347" s="17"/>
      <c r="BJ3347" s="15"/>
      <c r="BK3347" s="15"/>
      <c r="BL3347" s="13" t="b">
        <v>0</v>
      </c>
      <c r="BM3347" s="10"/>
      <c r="BN3347" s="10" t="s">
        <v>223</v>
      </c>
      <c r="BO3347" s="11">
        <v>46010.149050925924</v>
      </c>
      <c r="BP3347" s="11">
        <v>46010.149050925924</v>
      </c>
      <c r="BQ3347" s="15"/>
      <c r="BR3347" s="15"/>
      <c r="BS3347" s="10"/>
      <c r="BT3347" s="10"/>
      <c r="BU3347" s="10"/>
      <c r="BV3347" s="10"/>
      <c r="BW3347" s="10"/>
      <c r="BX3347" s="10"/>
      <c r="BY3347" s="23"/>
      <c r="BZ3347" s="23"/>
      <c r="CA3347" s="10"/>
      <c r="CB3347" s="23"/>
      <c r="CC3347" s="23"/>
      <c r="CD3347" s="23"/>
      <c r="CE3347" s="23"/>
      <c r="CF3347" s="23"/>
      <c r="CG3347" s="23"/>
      <c r="CH3347" s="23"/>
      <c r="CI3347" s="23"/>
    </row>
    <row r="3348" spans="1:87" x14ac:dyDescent="0.3">
      <c r="A3348" s="9" t="s">
        <v>23941</v>
      </c>
      <c r="B3348" s="10" t="s">
        <v>23942</v>
      </c>
      <c r="C3348" s="11">
        <v>46165.791666666664</v>
      </c>
      <c r="D3348" s="12">
        <v>8.3333333333333329E-2</v>
      </c>
      <c r="E3348" s="11">
        <v>46165.875</v>
      </c>
      <c r="F3348" s="22" t="s">
        <v>3511</v>
      </c>
      <c r="G3348" s="13" t="b">
        <v>0</v>
      </c>
      <c r="H3348" s="22" t="s">
        <v>3512</v>
      </c>
      <c r="I3348" s="10" t="s">
        <v>212</v>
      </c>
      <c r="J3348" s="13" t="b">
        <v>1</v>
      </c>
      <c r="K3348" s="13" t="b">
        <v>0</v>
      </c>
      <c r="L3348" s="10" t="s">
        <v>124</v>
      </c>
      <c r="M3348" s="10" t="s">
        <v>91</v>
      </c>
      <c r="N3348" s="10" t="s">
        <v>3513</v>
      </c>
      <c r="O3348" s="10"/>
      <c r="P3348" s="10"/>
      <c r="Q3348" s="10"/>
      <c r="R3348" s="10"/>
      <c r="S3348" s="10"/>
      <c r="T3348" s="10"/>
      <c r="U3348" s="10" t="s">
        <v>3518</v>
      </c>
      <c r="V3348" s="10" t="s">
        <v>3677</v>
      </c>
      <c r="W3348" s="10" t="s">
        <v>3519</v>
      </c>
      <c r="X3348" s="10" t="s">
        <v>130</v>
      </c>
      <c r="Y3348" s="10" t="s">
        <v>130</v>
      </c>
      <c r="Z3348" s="10" t="s">
        <v>99</v>
      </c>
      <c r="AA3348" s="10" t="s">
        <v>131</v>
      </c>
      <c r="AB3348" s="10" t="s">
        <v>3520</v>
      </c>
      <c r="AC3348" s="10" t="s">
        <v>3521</v>
      </c>
      <c r="AD3348" s="10" t="s">
        <v>23943</v>
      </c>
      <c r="AE3348" s="10" t="s">
        <v>23944</v>
      </c>
      <c r="AF3348" s="15"/>
      <c r="AG3348" s="10"/>
      <c r="AH3348" s="10"/>
      <c r="AI3348" s="10"/>
      <c r="AJ3348" s="10"/>
      <c r="AK3348" s="10"/>
      <c r="AL3348" s="10" t="s">
        <v>3008</v>
      </c>
      <c r="AM3348" s="10"/>
      <c r="AN3348" s="10"/>
      <c r="AO3348" s="13" t="b">
        <v>0</v>
      </c>
      <c r="AP3348" s="22" t="s">
        <v>104</v>
      </c>
      <c r="AQ3348" s="10"/>
      <c r="AR3348" s="17"/>
      <c r="AS3348" s="17"/>
      <c r="AT3348" s="17"/>
      <c r="AU3348" s="17"/>
      <c r="AV3348" s="17"/>
      <c r="AW3348" s="10"/>
      <c r="AX3348" s="17"/>
      <c r="AY3348" s="18" t="s">
        <v>257</v>
      </c>
      <c r="AZ3348" s="10"/>
      <c r="BA3348" s="20" t="b">
        <v>0</v>
      </c>
      <c r="BB3348" s="10"/>
      <c r="BC3348" s="17" t="s">
        <v>257</v>
      </c>
      <c r="BD3348" s="17" t="s">
        <v>257</v>
      </c>
      <c r="BE3348" s="17" t="s">
        <v>257</v>
      </c>
      <c r="BF3348" s="17" t="s">
        <v>257</v>
      </c>
      <c r="BG3348" s="11">
        <f ca="1">IFERROR(__xludf.DUMMYFUNCTION("""COMPUTED_VALUE"""),46165.7916666666)</f>
        <v>46165.791666666599</v>
      </c>
      <c r="BH3348" s="17"/>
      <c r="BI3348" s="17"/>
      <c r="BJ3348" s="15"/>
      <c r="BK3348" s="15"/>
      <c r="BL3348" s="13" t="b">
        <v>0</v>
      </c>
      <c r="BM3348" s="10"/>
      <c r="BN3348" s="10" t="s">
        <v>223</v>
      </c>
      <c r="BO3348" s="11">
        <v>46010.149050925924</v>
      </c>
      <c r="BP3348" s="11">
        <v>46010.149050925924</v>
      </c>
      <c r="BQ3348" s="15"/>
      <c r="BR3348" s="15"/>
      <c r="BS3348" s="10"/>
      <c r="BT3348" s="10"/>
      <c r="BU3348" s="10"/>
      <c r="BV3348" s="10"/>
      <c r="BW3348" s="10"/>
      <c r="BX3348" s="10"/>
      <c r="BY3348" s="23"/>
      <c r="BZ3348" s="23"/>
      <c r="CA3348" s="10"/>
      <c r="CB3348" s="23"/>
      <c r="CC3348" s="23"/>
      <c r="CD3348" s="23"/>
      <c r="CE3348" s="23"/>
      <c r="CF3348" s="23"/>
      <c r="CG3348" s="23"/>
      <c r="CH3348" s="23"/>
      <c r="CI3348" s="23"/>
    </row>
    <row r="3349" spans="1:87" x14ac:dyDescent="0.3">
      <c r="A3349" s="9" t="s">
        <v>23945</v>
      </c>
      <c r="B3349" s="10" t="s">
        <v>23946</v>
      </c>
      <c r="C3349" s="11">
        <v>46165.791666666664</v>
      </c>
      <c r="D3349" s="12">
        <v>8.3333333333333329E-2</v>
      </c>
      <c r="E3349" s="11">
        <v>46165.875</v>
      </c>
      <c r="F3349" s="22" t="s">
        <v>3511</v>
      </c>
      <c r="G3349" s="13" t="b">
        <v>0</v>
      </c>
      <c r="H3349" s="22" t="s">
        <v>3512</v>
      </c>
      <c r="I3349" s="10" t="s">
        <v>212</v>
      </c>
      <c r="J3349" s="13" t="b">
        <v>1</v>
      </c>
      <c r="K3349" s="13" t="b">
        <v>0</v>
      </c>
      <c r="L3349" s="10" t="s">
        <v>124</v>
      </c>
      <c r="M3349" s="10" t="s">
        <v>91</v>
      </c>
      <c r="N3349" s="10" t="s">
        <v>3513</v>
      </c>
      <c r="O3349" s="10"/>
      <c r="P3349" s="10"/>
      <c r="Q3349" s="10"/>
      <c r="R3349" s="10"/>
      <c r="S3349" s="10"/>
      <c r="T3349" s="10"/>
      <c r="U3349" s="10" t="s">
        <v>3635</v>
      </c>
      <c r="V3349" s="10" t="s">
        <v>3535</v>
      </c>
      <c r="W3349" s="10" t="s">
        <v>3519</v>
      </c>
      <c r="X3349" s="10" t="s">
        <v>130</v>
      </c>
      <c r="Y3349" s="10" t="s">
        <v>130</v>
      </c>
      <c r="Z3349" s="10" t="s">
        <v>99</v>
      </c>
      <c r="AA3349" s="10" t="s">
        <v>131</v>
      </c>
      <c r="AB3349" s="10" t="s">
        <v>3520</v>
      </c>
      <c r="AC3349" s="10" t="s">
        <v>3521</v>
      </c>
      <c r="AD3349" s="10" t="s">
        <v>23947</v>
      </c>
      <c r="AE3349" s="10" t="s">
        <v>23948</v>
      </c>
      <c r="AF3349" s="15"/>
      <c r="AG3349" s="10"/>
      <c r="AH3349" s="10"/>
      <c r="AI3349" s="10"/>
      <c r="AJ3349" s="10"/>
      <c r="AK3349" s="10"/>
      <c r="AL3349" s="10" t="s">
        <v>3008</v>
      </c>
      <c r="AM3349" s="10"/>
      <c r="AN3349" s="10"/>
      <c r="AO3349" s="13" t="b">
        <v>0</v>
      </c>
      <c r="AP3349" s="22" t="s">
        <v>104</v>
      </c>
      <c r="AQ3349" s="10"/>
      <c r="AR3349" s="17"/>
      <c r="AS3349" s="17"/>
      <c r="AT3349" s="17"/>
      <c r="AU3349" s="17"/>
      <c r="AV3349" s="17"/>
      <c r="AW3349" s="10"/>
      <c r="AX3349" s="17"/>
      <c r="AY3349" s="18" t="s">
        <v>257</v>
      </c>
      <c r="AZ3349" s="10"/>
      <c r="BA3349" s="20" t="b">
        <v>0</v>
      </c>
      <c r="BB3349" s="10"/>
      <c r="BC3349" s="17" t="s">
        <v>257</v>
      </c>
      <c r="BD3349" s="17" t="s">
        <v>257</v>
      </c>
      <c r="BE3349" s="17" t="s">
        <v>257</v>
      </c>
      <c r="BF3349" s="17" t="s">
        <v>257</v>
      </c>
      <c r="BG3349" s="11">
        <f ca="1">IFERROR(__xludf.DUMMYFUNCTION("""COMPUTED_VALUE"""),46165.7916666666)</f>
        <v>46165.791666666599</v>
      </c>
      <c r="BH3349" s="17"/>
      <c r="BI3349" s="17"/>
      <c r="BJ3349" s="15"/>
      <c r="BK3349" s="15"/>
      <c r="BL3349" s="13" t="b">
        <v>0</v>
      </c>
      <c r="BM3349" s="10"/>
      <c r="BN3349" s="10" t="s">
        <v>223</v>
      </c>
      <c r="BO3349" s="11">
        <v>46010.149050925924</v>
      </c>
      <c r="BP3349" s="11">
        <v>46010.149050925924</v>
      </c>
      <c r="BQ3349" s="15"/>
      <c r="BR3349" s="15"/>
      <c r="BS3349" s="10"/>
      <c r="BT3349" s="10"/>
      <c r="BU3349" s="10"/>
      <c r="BV3349" s="10"/>
      <c r="BW3349" s="10"/>
      <c r="BX3349" s="10"/>
      <c r="BY3349" s="23"/>
      <c r="BZ3349" s="23"/>
      <c r="CA3349" s="10"/>
      <c r="CB3349" s="23"/>
      <c r="CC3349" s="23"/>
      <c r="CD3349" s="23"/>
      <c r="CE3349" s="23"/>
      <c r="CF3349" s="23"/>
      <c r="CG3349" s="23"/>
      <c r="CH3349" s="23"/>
      <c r="CI3349" s="23"/>
    </row>
    <row r="3350" spans="1:87" x14ac:dyDescent="0.3">
      <c r="A3350" s="9" t="s">
        <v>23949</v>
      </c>
      <c r="B3350" s="10" t="s">
        <v>23950</v>
      </c>
      <c r="C3350" s="11">
        <v>46165.791666666664</v>
      </c>
      <c r="D3350" s="12">
        <v>8.3333333333333329E-2</v>
      </c>
      <c r="E3350" s="11">
        <v>46165.875</v>
      </c>
      <c r="F3350" s="22" t="s">
        <v>3511</v>
      </c>
      <c r="G3350" s="13" t="b">
        <v>0</v>
      </c>
      <c r="H3350" s="22" t="s">
        <v>3512</v>
      </c>
      <c r="I3350" s="10" t="s">
        <v>212</v>
      </c>
      <c r="J3350" s="13" t="b">
        <v>1</v>
      </c>
      <c r="K3350" s="13" t="b">
        <v>0</v>
      </c>
      <c r="L3350" s="10" t="s">
        <v>124</v>
      </c>
      <c r="M3350" s="10" t="s">
        <v>91</v>
      </c>
      <c r="N3350" s="10" t="s">
        <v>3513</v>
      </c>
      <c r="O3350" s="10"/>
      <c r="P3350" s="10"/>
      <c r="Q3350" s="10"/>
      <c r="R3350" s="10"/>
      <c r="S3350" s="10"/>
      <c r="T3350" s="10"/>
      <c r="U3350" s="10" t="s">
        <v>3517</v>
      </c>
      <c r="V3350" s="10" t="s">
        <v>3623</v>
      </c>
      <c r="W3350" s="10" t="s">
        <v>3519</v>
      </c>
      <c r="X3350" s="10" t="s">
        <v>130</v>
      </c>
      <c r="Y3350" s="10" t="s">
        <v>130</v>
      </c>
      <c r="Z3350" s="10" t="s">
        <v>99</v>
      </c>
      <c r="AA3350" s="10" t="s">
        <v>131</v>
      </c>
      <c r="AB3350" s="10" t="s">
        <v>3520</v>
      </c>
      <c r="AC3350" s="10" t="s">
        <v>3521</v>
      </c>
      <c r="AD3350" s="10" t="s">
        <v>23951</v>
      </c>
      <c r="AE3350" s="10" t="s">
        <v>23952</v>
      </c>
      <c r="AF3350" s="15"/>
      <c r="AG3350" s="10"/>
      <c r="AH3350" s="10"/>
      <c r="AI3350" s="10"/>
      <c r="AJ3350" s="10"/>
      <c r="AK3350" s="10"/>
      <c r="AL3350" s="10" t="s">
        <v>3008</v>
      </c>
      <c r="AM3350" s="10"/>
      <c r="AN3350" s="10"/>
      <c r="AO3350" s="13" t="b">
        <v>0</v>
      </c>
      <c r="AP3350" s="22" t="s">
        <v>104</v>
      </c>
      <c r="AQ3350" s="10"/>
      <c r="AR3350" s="17"/>
      <c r="AS3350" s="17"/>
      <c r="AT3350" s="17"/>
      <c r="AU3350" s="17"/>
      <c r="AV3350" s="17"/>
      <c r="AW3350" s="10"/>
      <c r="AX3350" s="17"/>
      <c r="AY3350" s="18" t="s">
        <v>257</v>
      </c>
      <c r="AZ3350" s="10"/>
      <c r="BA3350" s="20" t="b">
        <v>0</v>
      </c>
      <c r="BB3350" s="10"/>
      <c r="BC3350" s="17" t="s">
        <v>257</v>
      </c>
      <c r="BD3350" s="17" t="s">
        <v>257</v>
      </c>
      <c r="BE3350" s="17" t="s">
        <v>257</v>
      </c>
      <c r="BF3350" s="17" t="s">
        <v>257</v>
      </c>
      <c r="BG3350" s="11">
        <f ca="1">IFERROR(__xludf.DUMMYFUNCTION("""COMPUTED_VALUE"""),46165.7916666666)</f>
        <v>46165.791666666599</v>
      </c>
      <c r="BH3350" s="17"/>
      <c r="BI3350" s="17"/>
      <c r="BJ3350" s="15"/>
      <c r="BK3350" s="15"/>
      <c r="BL3350" s="13" t="b">
        <v>0</v>
      </c>
      <c r="BM3350" s="10"/>
      <c r="BN3350" s="10" t="s">
        <v>223</v>
      </c>
      <c r="BO3350" s="11">
        <v>46010.149050925924</v>
      </c>
      <c r="BP3350" s="11">
        <v>46010.149050925924</v>
      </c>
      <c r="BQ3350" s="15"/>
      <c r="BR3350" s="15"/>
      <c r="BS3350" s="10"/>
      <c r="BT3350" s="10"/>
      <c r="BU3350" s="10"/>
      <c r="BV3350" s="10"/>
      <c r="BW3350" s="10"/>
      <c r="BX3350" s="10"/>
      <c r="BY3350" s="23"/>
      <c r="BZ3350" s="23"/>
      <c r="CA3350" s="10"/>
      <c r="CB3350" s="23"/>
      <c r="CC3350" s="23"/>
      <c r="CD3350" s="23"/>
      <c r="CE3350" s="23"/>
      <c r="CF3350" s="23"/>
      <c r="CG3350" s="23"/>
      <c r="CH3350" s="23"/>
      <c r="CI3350" s="23"/>
    </row>
    <row r="3351" spans="1:87" x14ac:dyDescent="0.3">
      <c r="A3351" s="9" t="s">
        <v>23953</v>
      </c>
      <c r="B3351" s="10" t="s">
        <v>23954</v>
      </c>
      <c r="C3351" s="11">
        <v>46165.791666666664</v>
      </c>
      <c r="D3351" s="12">
        <v>8.3333333333333329E-2</v>
      </c>
      <c r="E3351" s="11">
        <v>46165.875</v>
      </c>
      <c r="F3351" s="22" t="s">
        <v>3511</v>
      </c>
      <c r="G3351" s="13" t="b">
        <v>0</v>
      </c>
      <c r="H3351" s="22" t="s">
        <v>3512</v>
      </c>
      <c r="I3351" s="10" t="s">
        <v>3548</v>
      </c>
      <c r="J3351" s="13" t="b">
        <v>0</v>
      </c>
      <c r="K3351" s="13" t="b">
        <v>1</v>
      </c>
      <c r="L3351" s="10" t="s">
        <v>124</v>
      </c>
      <c r="M3351" s="10" t="s">
        <v>91</v>
      </c>
      <c r="N3351" s="10" t="s">
        <v>3513</v>
      </c>
      <c r="O3351" s="10"/>
      <c r="P3351" s="10"/>
      <c r="Q3351" s="10"/>
      <c r="R3351" s="10"/>
      <c r="S3351" s="10"/>
      <c r="T3351" s="10"/>
      <c r="U3351" s="10" t="s">
        <v>3648</v>
      </c>
      <c r="V3351" s="10" t="s">
        <v>3636</v>
      </c>
      <c r="W3351" s="10" t="s">
        <v>3519</v>
      </c>
      <c r="X3351" s="10" t="s">
        <v>130</v>
      </c>
      <c r="Y3351" s="10" t="s">
        <v>130</v>
      </c>
      <c r="Z3351" s="10" t="s">
        <v>99</v>
      </c>
      <c r="AA3351" s="10" t="s">
        <v>131</v>
      </c>
      <c r="AB3351" s="10" t="s">
        <v>3520</v>
      </c>
      <c r="AC3351" s="10" t="s">
        <v>3521</v>
      </c>
      <c r="AD3351" s="10" t="s">
        <v>23955</v>
      </c>
      <c r="AE3351" s="10" t="s">
        <v>23956</v>
      </c>
      <c r="AF3351" s="15"/>
      <c r="AG3351" s="10"/>
      <c r="AH3351" s="10"/>
      <c r="AI3351" s="10"/>
      <c r="AJ3351" s="10"/>
      <c r="AK3351" s="10"/>
      <c r="AL3351" s="10" t="s">
        <v>3008</v>
      </c>
      <c r="AM3351" s="10"/>
      <c r="AN3351" s="10"/>
      <c r="AO3351" s="13" t="b">
        <v>0</v>
      </c>
      <c r="AP3351" s="22" t="s">
        <v>104</v>
      </c>
      <c r="AQ3351" s="10"/>
      <c r="AR3351" s="17"/>
      <c r="AS3351" s="17"/>
      <c r="AT3351" s="17"/>
      <c r="AU3351" s="17"/>
      <c r="AV3351" s="17"/>
      <c r="AW3351" s="10"/>
      <c r="AX3351" s="17"/>
      <c r="AY3351" s="18" t="s">
        <v>257</v>
      </c>
      <c r="AZ3351" s="10"/>
      <c r="BA3351" s="20" t="b">
        <v>0</v>
      </c>
      <c r="BB3351" s="10"/>
      <c r="BC3351" s="17" t="s">
        <v>257</v>
      </c>
      <c r="BD3351" s="17" t="s">
        <v>257</v>
      </c>
      <c r="BE3351" s="17" t="s">
        <v>257</v>
      </c>
      <c r="BF3351" s="17" t="s">
        <v>257</v>
      </c>
      <c r="BG3351" s="11">
        <f ca="1">IFERROR(__xludf.DUMMYFUNCTION("""COMPUTED_VALUE"""),46165.7916666666)</f>
        <v>46165.791666666599</v>
      </c>
      <c r="BH3351" s="17"/>
      <c r="BI3351" s="17"/>
      <c r="BJ3351" s="15"/>
      <c r="BK3351" s="15"/>
      <c r="BL3351" s="13" t="b">
        <v>0</v>
      </c>
      <c r="BM3351" s="10"/>
      <c r="BN3351" s="10" t="s">
        <v>223</v>
      </c>
      <c r="BO3351" s="11">
        <v>46010.149050925924</v>
      </c>
      <c r="BP3351" s="11">
        <v>46010.149050925924</v>
      </c>
      <c r="BQ3351" s="15"/>
      <c r="BR3351" s="15"/>
      <c r="BS3351" s="10"/>
      <c r="BT3351" s="10"/>
      <c r="BU3351" s="10"/>
      <c r="BV3351" s="10"/>
      <c r="BW3351" s="10"/>
      <c r="BX3351" s="10"/>
      <c r="BY3351" s="23"/>
      <c r="BZ3351" s="23"/>
      <c r="CA3351" s="10"/>
      <c r="CB3351" s="23"/>
      <c r="CC3351" s="23"/>
      <c r="CD3351" s="23"/>
      <c r="CE3351" s="23"/>
      <c r="CF3351" s="23"/>
      <c r="CG3351" s="23"/>
      <c r="CH3351" s="23"/>
      <c r="CI3351" s="23"/>
    </row>
    <row r="3352" spans="1:87" x14ac:dyDescent="0.3">
      <c r="A3352" s="9" t="s">
        <v>23957</v>
      </c>
      <c r="B3352" s="10" t="s">
        <v>23958</v>
      </c>
      <c r="C3352" s="11">
        <v>46165.791666666664</v>
      </c>
      <c r="D3352" s="12">
        <v>8.3333333333333329E-2</v>
      </c>
      <c r="E3352" s="11">
        <v>46165.875</v>
      </c>
      <c r="F3352" s="22" t="s">
        <v>3511</v>
      </c>
      <c r="G3352" s="13" t="b">
        <v>0</v>
      </c>
      <c r="H3352" s="22" t="s">
        <v>123</v>
      </c>
      <c r="I3352" s="10" t="s">
        <v>3548</v>
      </c>
      <c r="J3352" s="13" t="b">
        <v>0</v>
      </c>
      <c r="K3352" s="13" t="b">
        <v>1</v>
      </c>
      <c r="L3352" s="10" t="s">
        <v>124</v>
      </c>
      <c r="M3352" s="10" t="s">
        <v>91</v>
      </c>
      <c r="N3352" s="10" t="s">
        <v>3513</v>
      </c>
      <c r="O3352" s="10"/>
      <c r="P3352" s="10"/>
      <c r="Q3352" s="10"/>
      <c r="R3352" s="10"/>
      <c r="S3352" s="10"/>
      <c r="T3352" s="10"/>
      <c r="U3352" s="10" t="s">
        <v>3622</v>
      </c>
      <c r="V3352" s="10" t="s">
        <v>3661</v>
      </c>
      <c r="W3352" s="10" t="s">
        <v>3519</v>
      </c>
      <c r="X3352" s="10" t="s">
        <v>130</v>
      </c>
      <c r="Y3352" s="10" t="s">
        <v>130</v>
      </c>
      <c r="Z3352" s="10" t="s">
        <v>99</v>
      </c>
      <c r="AA3352" s="10" t="s">
        <v>131</v>
      </c>
      <c r="AB3352" s="10" t="s">
        <v>3520</v>
      </c>
      <c r="AC3352" s="10" t="s">
        <v>3521</v>
      </c>
      <c r="AD3352" s="10" t="s">
        <v>23959</v>
      </c>
      <c r="AE3352" s="10" t="s">
        <v>23960</v>
      </c>
      <c r="AF3352" s="15"/>
      <c r="AG3352" s="10"/>
      <c r="AH3352" s="10"/>
      <c r="AI3352" s="10"/>
      <c r="AJ3352" s="10"/>
      <c r="AK3352" s="10"/>
      <c r="AL3352" s="10" t="s">
        <v>3008</v>
      </c>
      <c r="AM3352" s="10"/>
      <c r="AN3352" s="10"/>
      <c r="AO3352" s="13" t="b">
        <v>1</v>
      </c>
      <c r="AP3352" s="22" t="s">
        <v>104</v>
      </c>
      <c r="AQ3352" s="10"/>
      <c r="AR3352" s="17"/>
      <c r="AS3352" s="17"/>
      <c r="AT3352" s="17"/>
      <c r="AU3352" s="17"/>
      <c r="AV3352" s="17"/>
      <c r="AW3352" s="10"/>
      <c r="AX3352" s="17"/>
      <c r="AY3352" s="18" t="s">
        <v>257</v>
      </c>
      <c r="AZ3352" s="10"/>
      <c r="BA3352" s="20" t="b">
        <v>0</v>
      </c>
      <c r="BB3352" s="10"/>
      <c r="BC3352" s="17" t="s">
        <v>257</v>
      </c>
      <c r="BD3352" s="17" t="s">
        <v>257</v>
      </c>
      <c r="BE3352" s="17" t="s">
        <v>257</v>
      </c>
      <c r="BF3352" s="17" t="s">
        <v>257</v>
      </c>
      <c r="BG3352" s="11">
        <f ca="1">IFERROR(__xludf.DUMMYFUNCTION("""COMPUTED_VALUE"""),46165.7916666666)</f>
        <v>46165.791666666599</v>
      </c>
      <c r="BH3352" s="17"/>
      <c r="BI3352" s="17"/>
      <c r="BJ3352" s="15"/>
      <c r="BK3352" s="15"/>
      <c r="BL3352" s="13" t="b">
        <v>0</v>
      </c>
      <c r="BM3352" s="10"/>
      <c r="BN3352" s="10" t="s">
        <v>223</v>
      </c>
      <c r="BO3352" s="11">
        <v>46010.149050925924</v>
      </c>
      <c r="BP3352" s="11">
        <v>46010.149050925924</v>
      </c>
      <c r="BQ3352" s="15"/>
      <c r="BR3352" s="15"/>
      <c r="BS3352" s="10"/>
      <c r="BT3352" s="10"/>
      <c r="BU3352" s="10"/>
      <c r="BV3352" s="10"/>
      <c r="BW3352" s="10"/>
      <c r="BX3352" s="10"/>
      <c r="BY3352" s="23"/>
      <c r="BZ3352" s="23"/>
      <c r="CA3352" s="10"/>
      <c r="CB3352" s="23"/>
      <c r="CC3352" s="23"/>
      <c r="CD3352" s="23"/>
      <c r="CE3352" s="23"/>
      <c r="CF3352" s="23"/>
      <c r="CG3352" s="23"/>
      <c r="CH3352" s="23"/>
      <c r="CI3352" s="23"/>
    </row>
    <row r="3353" spans="1:87" x14ac:dyDescent="0.3">
      <c r="A3353" s="9" t="s">
        <v>23961</v>
      </c>
      <c r="B3353" s="10" t="s">
        <v>23962</v>
      </c>
      <c r="C3353" s="11">
        <v>46165.791666666664</v>
      </c>
      <c r="D3353" s="12">
        <v>8.3333333333333329E-2</v>
      </c>
      <c r="E3353" s="11">
        <v>46165.875</v>
      </c>
      <c r="F3353" s="22" t="s">
        <v>3511</v>
      </c>
      <c r="G3353" s="13" t="b">
        <v>0</v>
      </c>
      <c r="H3353" s="22" t="s">
        <v>123</v>
      </c>
      <c r="I3353" s="10" t="s">
        <v>3548</v>
      </c>
      <c r="J3353" s="13" t="b">
        <v>0</v>
      </c>
      <c r="K3353" s="13" t="b">
        <v>1</v>
      </c>
      <c r="L3353" s="10" t="s">
        <v>124</v>
      </c>
      <c r="M3353" s="10" t="s">
        <v>91</v>
      </c>
      <c r="N3353" s="10" t="s">
        <v>3513</v>
      </c>
      <c r="O3353" s="10"/>
      <c r="P3353" s="10"/>
      <c r="Q3353" s="10"/>
      <c r="R3353" s="10"/>
      <c r="S3353" s="10"/>
      <c r="T3353" s="10"/>
      <c r="U3353" s="10" t="s">
        <v>3609</v>
      </c>
      <c r="V3353" s="10" t="s">
        <v>3536</v>
      </c>
      <c r="W3353" s="10" t="s">
        <v>3519</v>
      </c>
      <c r="X3353" s="10" t="s">
        <v>130</v>
      </c>
      <c r="Y3353" s="10" t="s">
        <v>130</v>
      </c>
      <c r="Z3353" s="10" t="s">
        <v>99</v>
      </c>
      <c r="AA3353" s="10" t="s">
        <v>131</v>
      </c>
      <c r="AB3353" s="10" t="s">
        <v>3520</v>
      </c>
      <c r="AC3353" s="10" t="s">
        <v>3521</v>
      </c>
      <c r="AD3353" s="10" t="s">
        <v>23963</v>
      </c>
      <c r="AE3353" s="10" t="s">
        <v>23964</v>
      </c>
      <c r="AF3353" s="15"/>
      <c r="AG3353" s="10"/>
      <c r="AH3353" s="10"/>
      <c r="AI3353" s="10"/>
      <c r="AJ3353" s="10"/>
      <c r="AK3353" s="10"/>
      <c r="AL3353" s="10" t="s">
        <v>3008</v>
      </c>
      <c r="AM3353" s="10"/>
      <c r="AN3353" s="10"/>
      <c r="AO3353" s="13" t="b">
        <v>1</v>
      </c>
      <c r="AP3353" s="22" t="s">
        <v>104</v>
      </c>
      <c r="AQ3353" s="10"/>
      <c r="AR3353" s="17"/>
      <c r="AS3353" s="17"/>
      <c r="AT3353" s="17"/>
      <c r="AU3353" s="17"/>
      <c r="AV3353" s="17"/>
      <c r="AW3353" s="10"/>
      <c r="AX3353" s="17"/>
      <c r="AY3353" s="18" t="s">
        <v>257</v>
      </c>
      <c r="AZ3353" s="10"/>
      <c r="BA3353" s="20" t="b">
        <v>0</v>
      </c>
      <c r="BB3353" s="10"/>
      <c r="BC3353" s="17" t="s">
        <v>257</v>
      </c>
      <c r="BD3353" s="17" t="s">
        <v>257</v>
      </c>
      <c r="BE3353" s="17" t="s">
        <v>257</v>
      </c>
      <c r="BF3353" s="17" t="s">
        <v>257</v>
      </c>
      <c r="BG3353" s="11">
        <f ca="1">IFERROR(__xludf.DUMMYFUNCTION("""COMPUTED_VALUE"""),46165.7916666666)</f>
        <v>46165.791666666599</v>
      </c>
      <c r="BH3353" s="17"/>
      <c r="BI3353" s="17"/>
      <c r="BJ3353" s="15"/>
      <c r="BK3353" s="15"/>
      <c r="BL3353" s="13" t="b">
        <v>0</v>
      </c>
      <c r="BM3353" s="10"/>
      <c r="BN3353" s="10" t="s">
        <v>223</v>
      </c>
      <c r="BO3353" s="11">
        <v>46010.149050925924</v>
      </c>
      <c r="BP3353" s="11">
        <v>46010.149050925924</v>
      </c>
      <c r="BQ3353" s="15"/>
      <c r="BR3353" s="15"/>
      <c r="BS3353" s="10"/>
      <c r="BT3353" s="10"/>
      <c r="BU3353" s="10"/>
      <c r="BV3353" s="10"/>
      <c r="BW3353" s="10"/>
      <c r="BX3353" s="10"/>
      <c r="BY3353" s="23"/>
      <c r="BZ3353" s="23"/>
      <c r="CA3353" s="10"/>
      <c r="CB3353" s="23"/>
      <c r="CC3353" s="23"/>
      <c r="CD3353" s="23"/>
      <c r="CE3353" s="23"/>
      <c r="CF3353" s="23"/>
      <c r="CG3353" s="23"/>
      <c r="CH3353" s="23"/>
      <c r="CI3353" s="23"/>
    </row>
    <row r="3354" spans="1:87" x14ac:dyDescent="0.3">
      <c r="A3354" s="9" t="s">
        <v>23965</v>
      </c>
      <c r="B3354" s="10" t="s">
        <v>23966</v>
      </c>
      <c r="C3354" s="11">
        <v>46165.791666666664</v>
      </c>
      <c r="D3354" s="12">
        <v>8.3333333333333329E-2</v>
      </c>
      <c r="E3354" s="11">
        <v>46165.875</v>
      </c>
      <c r="F3354" s="22" t="s">
        <v>3511</v>
      </c>
      <c r="G3354" s="13" t="b">
        <v>0</v>
      </c>
      <c r="H3354" s="22" t="s">
        <v>123</v>
      </c>
      <c r="I3354" s="10" t="s">
        <v>3548</v>
      </c>
      <c r="J3354" s="13" t="b">
        <v>0</v>
      </c>
      <c r="K3354" s="13" t="b">
        <v>1</v>
      </c>
      <c r="L3354" s="10" t="s">
        <v>124</v>
      </c>
      <c r="M3354" s="10" t="s">
        <v>91</v>
      </c>
      <c r="N3354" s="10" t="s">
        <v>3513</v>
      </c>
      <c r="O3354" s="10"/>
      <c r="P3354" s="10"/>
      <c r="Q3354" s="10"/>
      <c r="R3354" s="10"/>
      <c r="S3354" s="10"/>
      <c r="T3354" s="10"/>
      <c r="U3354" s="10" t="s">
        <v>3647</v>
      </c>
      <c r="V3354" s="10" t="s">
        <v>3610</v>
      </c>
      <c r="W3354" s="10" t="s">
        <v>3519</v>
      </c>
      <c r="X3354" s="10" t="s">
        <v>130</v>
      </c>
      <c r="Y3354" s="10" t="s">
        <v>130</v>
      </c>
      <c r="Z3354" s="10" t="s">
        <v>99</v>
      </c>
      <c r="AA3354" s="10" t="s">
        <v>131</v>
      </c>
      <c r="AB3354" s="10" t="s">
        <v>3520</v>
      </c>
      <c r="AC3354" s="10" t="s">
        <v>3521</v>
      </c>
      <c r="AD3354" s="10" t="s">
        <v>23967</v>
      </c>
      <c r="AE3354" s="10" t="s">
        <v>23968</v>
      </c>
      <c r="AF3354" s="15"/>
      <c r="AG3354" s="10"/>
      <c r="AH3354" s="10"/>
      <c r="AI3354" s="10"/>
      <c r="AJ3354" s="10"/>
      <c r="AK3354" s="10"/>
      <c r="AL3354" s="10" t="s">
        <v>3008</v>
      </c>
      <c r="AM3354" s="10"/>
      <c r="AN3354" s="10"/>
      <c r="AO3354" s="13" t="b">
        <v>1</v>
      </c>
      <c r="AP3354" s="22" t="s">
        <v>104</v>
      </c>
      <c r="AQ3354" s="10"/>
      <c r="AR3354" s="17"/>
      <c r="AS3354" s="17"/>
      <c r="AT3354" s="17"/>
      <c r="AU3354" s="17"/>
      <c r="AV3354" s="17"/>
      <c r="AW3354" s="10"/>
      <c r="AX3354" s="17"/>
      <c r="AY3354" s="18" t="s">
        <v>257</v>
      </c>
      <c r="AZ3354" s="10"/>
      <c r="BA3354" s="20" t="b">
        <v>0</v>
      </c>
      <c r="BB3354" s="10"/>
      <c r="BC3354" s="17" t="s">
        <v>257</v>
      </c>
      <c r="BD3354" s="17" t="s">
        <v>257</v>
      </c>
      <c r="BE3354" s="17" t="s">
        <v>257</v>
      </c>
      <c r="BF3354" s="17" t="s">
        <v>257</v>
      </c>
      <c r="BG3354" s="11">
        <f ca="1">IFERROR(__xludf.DUMMYFUNCTION("""COMPUTED_VALUE"""),46165.7916666666)</f>
        <v>46165.791666666599</v>
      </c>
      <c r="BH3354" s="17"/>
      <c r="BI3354" s="17"/>
      <c r="BJ3354" s="15"/>
      <c r="BK3354" s="15"/>
      <c r="BL3354" s="13" t="b">
        <v>0</v>
      </c>
      <c r="BM3354" s="10"/>
      <c r="BN3354" s="10" t="s">
        <v>223</v>
      </c>
      <c r="BO3354" s="11">
        <v>46010.149050925924</v>
      </c>
      <c r="BP3354" s="11">
        <v>46010.149050925924</v>
      </c>
      <c r="BQ3354" s="15"/>
      <c r="BR3354" s="15"/>
      <c r="BS3354" s="10"/>
      <c r="BT3354" s="10"/>
      <c r="BU3354" s="10"/>
      <c r="BV3354" s="10"/>
      <c r="BW3354" s="10"/>
      <c r="BX3354" s="10"/>
      <c r="BY3354" s="23"/>
      <c r="BZ3354" s="23"/>
      <c r="CA3354" s="10"/>
      <c r="CB3354" s="23"/>
      <c r="CC3354" s="23"/>
      <c r="CD3354" s="23"/>
      <c r="CE3354" s="23"/>
      <c r="CF3354" s="23"/>
      <c r="CG3354" s="23"/>
      <c r="CH3354" s="23"/>
      <c r="CI3354" s="23"/>
    </row>
    <row r="3355" spans="1:87" x14ac:dyDescent="0.3">
      <c r="A3355" s="9" t="s">
        <v>23969</v>
      </c>
      <c r="B3355" s="10" t="s">
        <v>23970</v>
      </c>
      <c r="C3355" s="11">
        <v>46165.791666666664</v>
      </c>
      <c r="D3355" s="12">
        <v>8.3333333333333329E-2</v>
      </c>
      <c r="E3355" s="11">
        <v>46165.875</v>
      </c>
      <c r="F3355" s="22" t="s">
        <v>3511</v>
      </c>
      <c r="G3355" s="13" t="b">
        <v>0</v>
      </c>
      <c r="H3355" s="22" t="s">
        <v>123</v>
      </c>
      <c r="I3355" s="10" t="s">
        <v>3548</v>
      </c>
      <c r="J3355" s="13" t="b">
        <v>0</v>
      </c>
      <c r="K3355" s="13" t="b">
        <v>1</v>
      </c>
      <c r="L3355" s="10" t="s">
        <v>124</v>
      </c>
      <c r="M3355" s="10" t="s">
        <v>91</v>
      </c>
      <c r="N3355" s="10" t="s">
        <v>3513</v>
      </c>
      <c r="O3355" s="10"/>
      <c r="P3355" s="10"/>
      <c r="Q3355" s="10"/>
      <c r="R3355" s="10"/>
      <c r="S3355" s="10"/>
      <c r="T3355" s="10"/>
      <c r="U3355" s="10" t="s">
        <v>3551</v>
      </c>
      <c r="V3355" s="10" t="s">
        <v>3662</v>
      </c>
      <c r="W3355" s="10" t="s">
        <v>3519</v>
      </c>
      <c r="X3355" s="10" t="s">
        <v>130</v>
      </c>
      <c r="Y3355" s="10" t="s">
        <v>130</v>
      </c>
      <c r="Z3355" s="10" t="s">
        <v>99</v>
      </c>
      <c r="AA3355" s="10" t="s">
        <v>131</v>
      </c>
      <c r="AB3355" s="10" t="s">
        <v>3520</v>
      </c>
      <c r="AC3355" s="10" t="s">
        <v>3521</v>
      </c>
      <c r="AD3355" s="10" t="s">
        <v>23971</v>
      </c>
      <c r="AE3355" s="10" t="s">
        <v>23972</v>
      </c>
      <c r="AF3355" s="15"/>
      <c r="AG3355" s="10"/>
      <c r="AH3355" s="10"/>
      <c r="AI3355" s="10"/>
      <c r="AJ3355" s="10"/>
      <c r="AK3355" s="10"/>
      <c r="AL3355" s="10" t="s">
        <v>3008</v>
      </c>
      <c r="AM3355" s="10"/>
      <c r="AN3355" s="10"/>
      <c r="AO3355" s="13" t="b">
        <v>1</v>
      </c>
      <c r="AP3355" s="22" t="s">
        <v>104</v>
      </c>
      <c r="AQ3355" s="10"/>
      <c r="AR3355" s="17"/>
      <c r="AS3355" s="17"/>
      <c r="AT3355" s="17"/>
      <c r="AU3355" s="17"/>
      <c r="AV3355" s="17"/>
      <c r="AW3355" s="10"/>
      <c r="AX3355" s="17"/>
      <c r="AY3355" s="18" t="s">
        <v>257</v>
      </c>
      <c r="AZ3355" s="10"/>
      <c r="BA3355" s="20" t="b">
        <v>0</v>
      </c>
      <c r="BB3355" s="10"/>
      <c r="BC3355" s="17" t="s">
        <v>257</v>
      </c>
      <c r="BD3355" s="17" t="s">
        <v>257</v>
      </c>
      <c r="BE3355" s="17" t="s">
        <v>257</v>
      </c>
      <c r="BF3355" s="17" t="s">
        <v>257</v>
      </c>
      <c r="BG3355" s="11">
        <f ca="1">IFERROR(__xludf.DUMMYFUNCTION("""COMPUTED_VALUE"""),46165.7916666666)</f>
        <v>46165.791666666599</v>
      </c>
      <c r="BH3355" s="17"/>
      <c r="BI3355" s="17"/>
      <c r="BJ3355" s="15"/>
      <c r="BK3355" s="15"/>
      <c r="BL3355" s="13" t="b">
        <v>0</v>
      </c>
      <c r="BM3355" s="10"/>
      <c r="BN3355" s="10" t="s">
        <v>223</v>
      </c>
      <c r="BO3355" s="11">
        <v>46010.149050925924</v>
      </c>
      <c r="BP3355" s="11">
        <v>46010.149050925924</v>
      </c>
      <c r="BQ3355" s="15"/>
      <c r="BR3355" s="15"/>
      <c r="BS3355" s="10"/>
      <c r="BT3355" s="10"/>
      <c r="BU3355" s="10"/>
      <c r="BV3355" s="10"/>
      <c r="BW3355" s="10"/>
      <c r="BX3355" s="10"/>
      <c r="BY3355" s="23"/>
      <c r="BZ3355" s="23"/>
      <c r="CA3355" s="10"/>
      <c r="CB3355" s="23"/>
      <c r="CC3355" s="23"/>
      <c r="CD3355" s="23"/>
      <c r="CE3355" s="23"/>
      <c r="CF3355" s="23"/>
      <c r="CG3355" s="23"/>
      <c r="CH3355" s="23"/>
      <c r="CI3355" s="23"/>
    </row>
    <row r="3356" spans="1:87" x14ac:dyDescent="0.3">
      <c r="A3356" s="9" t="s">
        <v>23973</v>
      </c>
      <c r="B3356" s="10" t="s">
        <v>23974</v>
      </c>
      <c r="C3356" s="11">
        <v>46011.291666666664</v>
      </c>
      <c r="D3356" s="12">
        <v>0.29166666666666669</v>
      </c>
      <c r="E3356" s="11">
        <v>46011.583333333336</v>
      </c>
      <c r="F3356" s="22" t="s">
        <v>9016</v>
      </c>
      <c r="G3356" s="13" t="b">
        <v>0</v>
      </c>
      <c r="H3356" s="22" t="s">
        <v>9017</v>
      </c>
      <c r="I3356" s="10" t="s">
        <v>212</v>
      </c>
      <c r="J3356" s="13" t="b">
        <v>1</v>
      </c>
      <c r="K3356" s="13" t="b">
        <v>0</v>
      </c>
      <c r="L3356" s="10" t="s">
        <v>124</v>
      </c>
      <c r="M3356" s="10" t="s">
        <v>91</v>
      </c>
      <c r="N3356" s="10" t="s">
        <v>92</v>
      </c>
      <c r="O3356" s="19" t="s">
        <v>23975</v>
      </c>
      <c r="P3356" s="10"/>
      <c r="Q3356" s="10" t="s">
        <v>94</v>
      </c>
      <c r="R3356" s="19" t="s">
        <v>23976</v>
      </c>
      <c r="S3356" s="19" t="s">
        <v>23977</v>
      </c>
      <c r="T3356" s="10"/>
      <c r="U3356" s="10"/>
      <c r="V3356" s="10"/>
      <c r="W3356" s="10" t="s">
        <v>9020</v>
      </c>
      <c r="X3356" s="10" t="s">
        <v>130</v>
      </c>
      <c r="Y3356" s="10" t="s">
        <v>130</v>
      </c>
      <c r="Z3356" s="10" t="s">
        <v>99</v>
      </c>
      <c r="AA3356" s="10" t="s">
        <v>131</v>
      </c>
      <c r="AB3356" s="10" t="s">
        <v>9021</v>
      </c>
      <c r="AC3356" s="10" t="s">
        <v>9022</v>
      </c>
      <c r="AD3356" s="10" t="s">
        <v>165</v>
      </c>
      <c r="AE3356" s="10" t="s">
        <v>23978</v>
      </c>
      <c r="AF3356" s="15"/>
      <c r="AG3356" s="10"/>
      <c r="AH3356" s="10"/>
      <c r="AI3356" s="10"/>
      <c r="AJ3356" s="10"/>
      <c r="AK3356" s="10" t="s">
        <v>102</v>
      </c>
      <c r="AL3356" s="10"/>
      <c r="AM3356" s="10"/>
      <c r="AN3356" s="10"/>
      <c r="AO3356" s="13" t="b">
        <v>0</v>
      </c>
      <c r="AP3356" s="22" t="s">
        <v>104</v>
      </c>
      <c r="AQ3356" s="10">
        <f ca="1">IFERROR(__xludf.DUMMYFUNCTION("""COMPUTED_VALUE"""),20106)</f>
        <v>20106</v>
      </c>
      <c r="AR3356" s="17">
        <v>0</v>
      </c>
      <c r="AS3356" s="17">
        <v>0</v>
      </c>
      <c r="AT3356" s="17">
        <v>0</v>
      </c>
      <c r="AU3356" s="17">
        <v>0</v>
      </c>
      <c r="AV3356" s="17">
        <v>0</v>
      </c>
      <c r="AW3356" s="10" t="s">
        <v>105</v>
      </c>
      <c r="AX3356" s="17"/>
      <c r="AY3356" s="18">
        <v>4.0449255121042826</v>
      </c>
      <c r="AZ3356" s="10"/>
      <c r="BA3356" s="20" t="b">
        <v>1</v>
      </c>
      <c r="BB3356" s="10"/>
      <c r="BC3356" s="17">
        <v>1292</v>
      </c>
      <c r="BD3356" s="17">
        <v>1074</v>
      </c>
      <c r="BE3356" s="17">
        <v>4344.25</v>
      </c>
      <c r="BF3356" s="17">
        <v>0</v>
      </c>
      <c r="BG3356" s="11">
        <f ca="1">IFERROR(__xludf.DUMMYFUNCTION("""COMPUTED_VALUE"""),46011.2916666666)</f>
        <v>46011.291666666599</v>
      </c>
      <c r="BH3356" s="17" t="s">
        <v>105</v>
      </c>
      <c r="BI3356" s="17"/>
      <c r="BJ3356" s="15"/>
      <c r="BK3356" s="15"/>
      <c r="BL3356" s="13" t="b">
        <v>0</v>
      </c>
      <c r="BM3356" s="10"/>
      <c r="BN3356" s="10" t="s">
        <v>223</v>
      </c>
      <c r="BO3356" s="11">
        <v>46010.463194444441</v>
      </c>
      <c r="BP3356" s="11">
        <v>46010.544259259259</v>
      </c>
      <c r="BQ3356" s="15">
        <v>46022.444826388892</v>
      </c>
      <c r="BR3356" s="15">
        <v>46010.573171296295</v>
      </c>
      <c r="BS3356" s="10"/>
      <c r="BT3356" s="10"/>
      <c r="BU3356" s="10"/>
      <c r="BV3356" s="10"/>
      <c r="BW3356" s="10"/>
      <c r="BX3356" s="10"/>
      <c r="BY3356" s="23"/>
      <c r="BZ3356" s="23"/>
      <c r="CA3356" s="19" t="s">
        <v>9024</v>
      </c>
      <c r="CB3356" s="23"/>
      <c r="CC3356" s="23"/>
      <c r="CD3356" s="23"/>
      <c r="CE3356" s="23"/>
      <c r="CF3356" s="23"/>
      <c r="CG3356" s="23"/>
      <c r="CH3356" s="23"/>
      <c r="CI3356" s="23"/>
    </row>
    <row r="3357" spans="1:87" x14ac:dyDescent="0.3">
      <c r="A3357" s="9" t="s">
        <v>23979</v>
      </c>
      <c r="B3357" s="10" t="s">
        <v>23980</v>
      </c>
      <c r="C3357" s="11">
        <v>46011.291666666664</v>
      </c>
      <c r="D3357" s="12">
        <v>2.7777777777777776E-2</v>
      </c>
      <c r="E3357" s="11">
        <v>46011.319444444445</v>
      </c>
      <c r="F3357" s="22" t="s">
        <v>9016</v>
      </c>
      <c r="G3357" s="13" t="b">
        <v>0</v>
      </c>
      <c r="H3357" s="22" t="s">
        <v>9017</v>
      </c>
      <c r="I3357" s="10" t="s">
        <v>212</v>
      </c>
      <c r="J3357" s="13" t="b">
        <v>1</v>
      </c>
      <c r="K3357" s="13" t="b">
        <v>0</v>
      </c>
      <c r="L3357" s="10" t="s">
        <v>124</v>
      </c>
      <c r="M3357" s="10" t="s">
        <v>91</v>
      </c>
      <c r="N3357" s="10" t="s">
        <v>92</v>
      </c>
      <c r="O3357" s="19" t="s">
        <v>23981</v>
      </c>
      <c r="P3357" s="10"/>
      <c r="Q3357" s="10" t="s">
        <v>94</v>
      </c>
      <c r="R3357" s="10"/>
      <c r="S3357" s="10"/>
      <c r="T3357" s="10"/>
      <c r="U3357" s="10"/>
      <c r="V3357" s="10"/>
      <c r="W3357" s="10" t="s">
        <v>9020</v>
      </c>
      <c r="X3357" s="10" t="s">
        <v>130</v>
      </c>
      <c r="Y3357" s="10" t="s">
        <v>130</v>
      </c>
      <c r="Z3357" s="10" t="s">
        <v>99</v>
      </c>
      <c r="AA3357" s="10" t="s">
        <v>131</v>
      </c>
      <c r="AB3357" s="10" t="s">
        <v>9021</v>
      </c>
      <c r="AC3357" s="10" t="s">
        <v>9022</v>
      </c>
      <c r="AD3357" s="10" t="s">
        <v>165</v>
      </c>
      <c r="AE3357" s="10" t="s">
        <v>23982</v>
      </c>
      <c r="AF3357" s="15"/>
      <c r="AG3357" s="10"/>
      <c r="AH3357" s="10"/>
      <c r="AI3357" s="10"/>
      <c r="AJ3357" s="10"/>
      <c r="AK3357" s="10" t="s">
        <v>102</v>
      </c>
      <c r="AL3357" s="10"/>
      <c r="AM3357" s="10"/>
      <c r="AN3357" s="10"/>
      <c r="AO3357" s="13" t="b">
        <v>0</v>
      </c>
      <c r="AP3357" s="22" t="s">
        <v>104</v>
      </c>
      <c r="AQ3357" s="10">
        <f ca="1">IFERROR(__xludf.DUMMYFUNCTION("""COMPUTED_VALUE"""),4786442)</f>
        <v>4786442</v>
      </c>
      <c r="AR3357" s="21">
        <v>129</v>
      </c>
      <c r="AS3357" s="21">
        <v>107</v>
      </c>
      <c r="AT3357" s="21">
        <v>795.5</v>
      </c>
      <c r="AU3357" s="21">
        <v>0</v>
      </c>
      <c r="AV3357" s="21">
        <v>0</v>
      </c>
      <c r="AW3357" s="22" t="s">
        <v>105</v>
      </c>
      <c r="AX3357" s="21">
        <v>38</v>
      </c>
      <c r="AY3357" s="18">
        <v>7.4345794392523361</v>
      </c>
      <c r="AZ3357" s="10"/>
      <c r="BA3357" s="20" t="b">
        <v>0</v>
      </c>
      <c r="BB3357" s="10" t="s">
        <v>23973</v>
      </c>
      <c r="BC3357" s="17">
        <v>129</v>
      </c>
      <c r="BD3357" s="17">
        <v>107</v>
      </c>
      <c r="BE3357" s="17">
        <v>795.5</v>
      </c>
      <c r="BF3357" s="17">
        <v>0</v>
      </c>
      <c r="BG3357" s="11">
        <f ca="1">IFERROR(__xludf.DUMMYFUNCTION("""COMPUTED_VALUE"""),46011.2916666666)</f>
        <v>46011.291666666599</v>
      </c>
      <c r="BH3357" s="17" t="s">
        <v>105</v>
      </c>
      <c r="BI3357" s="17"/>
      <c r="BJ3357" s="15"/>
      <c r="BK3357" s="15"/>
      <c r="BL3357" s="13" t="b">
        <v>0</v>
      </c>
      <c r="BM3357" s="10"/>
      <c r="BN3357" s="10" t="s">
        <v>197</v>
      </c>
      <c r="BO3357" s="11">
        <v>46010.46597222222</v>
      </c>
      <c r="BP3357" s="11">
        <v>46010.466828703706</v>
      </c>
      <c r="BQ3357" s="15"/>
      <c r="BR3357" s="15">
        <v>46010.575636574074</v>
      </c>
      <c r="BS3357" s="10" t="s">
        <v>197</v>
      </c>
      <c r="BT3357" s="10"/>
      <c r="BU3357" s="10"/>
      <c r="BV3357" s="10"/>
      <c r="BW3357" s="10"/>
      <c r="BX3357" s="10"/>
      <c r="BY3357" s="23"/>
      <c r="BZ3357" s="23"/>
      <c r="CA3357" s="10"/>
      <c r="CB3357" s="23"/>
      <c r="CC3357" s="23"/>
      <c r="CD3357" s="23"/>
      <c r="CE3357" s="23"/>
      <c r="CF3357" s="23"/>
      <c r="CG3357" s="23"/>
      <c r="CH3357" s="23"/>
      <c r="CI3357" s="23"/>
    </row>
    <row r="3358" spans="1:87" x14ac:dyDescent="0.3">
      <c r="A3358" s="9" t="s">
        <v>23983</v>
      </c>
      <c r="B3358" s="10" t="s">
        <v>23984</v>
      </c>
      <c r="C3358" s="11">
        <v>46011.319444444445</v>
      </c>
      <c r="D3358" s="12">
        <v>2.7777777777777776E-2</v>
      </c>
      <c r="E3358" s="11">
        <v>46011.347222222219</v>
      </c>
      <c r="F3358" s="22" t="s">
        <v>9016</v>
      </c>
      <c r="G3358" s="13" t="b">
        <v>0</v>
      </c>
      <c r="H3358" s="22" t="s">
        <v>9017</v>
      </c>
      <c r="I3358" s="10" t="s">
        <v>212</v>
      </c>
      <c r="J3358" s="13" t="b">
        <v>1</v>
      </c>
      <c r="K3358" s="13" t="b">
        <v>0</v>
      </c>
      <c r="L3358" s="10" t="s">
        <v>124</v>
      </c>
      <c r="M3358" s="10" t="s">
        <v>91</v>
      </c>
      <c r="N3358" s="10" t="s">
        <v>92</v>
      </c>
      <c r="O3358" s="19" t="s">
        <v>23985</v>
      </c>
      <c r="P3358" s="10"/>
      <c r="Q3358" s="10" t="s">
        <v>94</v>
      </c>
      <c r="R3358" s="10"/>
      <c r="S3358" s="10"/>
      <c r="T3358" s="10"/>
      <c r="U3358" s="10"/>
      <c r="V3358" s="10"/>
      <c r="W3358" s="10" t="s">
        <v>9020</v>
      </c>
      <c r="X3358" s="10" t="s">
        <v>130</v>
      </c>
      <c r="Y3358" s="10" t="s">
        <v>130</v>
      </c>
      <c r="Z3358" s="10" t="s">
        <v>99</v>
      </c>
      <c r="AA3358" s="10" t="s">
        <v>131</v>
      </c>
      <c r="AB3358" s="10" t="s">
        <v>9021</v>
      </c>
      <c r="AC3358" s="10" t="s">
        <v>9022</v>
      </c>
      <c r="AD3358" s="10" t="s">
        <v>165</v>
      </c>
      <c r="AE3358" s="10" t="s">
        <v>23986</v>
      </c>
      <c r="AF3358" s="15"/>
      <c r="AG3358" s="10"/>
      <c r="AH3358" s="10"/>
      <c r="AI3358" s="10"/>
      <c r="AJ3358" s="10"/>
      <c r="AK3358" s="10" t="s">
        <v>102</v>
      </c>
      <c r="AL3358" s="10"/>
      <c r="AM3358" s="10"/>
      <c r="AN3358" s="10"/>
      <c r="AO3358" s="13" t="b">
        <v>0</v>
      </c>
      <c r="AP3358" s="22" t="s">
        <v>104</v>
      </c>
      <c r="AQ3358" s="10">
        <f ca="1">IFERROR(__xludf.DUMMYFUNCTION("""COMPUTED_VALUE"""),4786443)</f>
        <v>4786443</v>
      </c>
      <c r="AR3358" s="17">
        <v>185</v>
      </c>
      <c r="AS3358" s="17">
        <v>141</v>
      </c>
      <c r="AT3358" s="17">
        <v>923</v>
      </c>
      <c r="AU3358" s="17">
        <v>0</v>
      </c>
      <c r="AV3358" s="17">
        <v>0</v>
      </c>
      <c r="AW3358" s="10" t="s">
        <v>105</v>
      </c>
      <c r="AX3358" s="17">
        <v>55</v>
      </c>
      <c r="AY3358" s="18">
        <v>6.5460992907801421</v>
      </c>
      <c r="AZ3358" s="10"/>
      <c r="BA3358" s="20" t="b">
        <v>0</v>
      </c>
      <c r="BB3358" s="10" t="s">
        <v>23973</v>
      </c>
      <c r="BC3358" s="17">
        <v>185</v>
      </c>
      <c r="BD3358" s="17">
        <v>141</v>
      </c>
      <c r="BE3358" s="17">
        <v>923</v>
      </c>
      <c r="BF3358" s="17">
        <v>0</v>
      </c>
      <c r="BG3358" s="11">
        <f ca="1">IFERROR(__xludf.DUMMYFUNCTION("""COMPUTED_VALUE"""),46011.3194444444)</f>
        <v>46011.319444444402</v>
      </c>
      <c r="BH3358" s="17" t="s">
        <v>105</v>
      </c>
      <c r="BI3358" s="17"/>
      <c r="BJ3358" s="15"/>
      <c r="BK3358" s="15"/>
      <c r="BL3358" s="13" t="b">
        <v>0</v>
      </c>
      <c r="BM3358" s="10"/>
      <c r="BN3358" s="10" t="s">
        <v>197</v>
      </c>
      <c r="BO3358" s="11">
        <v>46010.468055555553</v>
      </c>
      <c r="BP3358" s="11">
        <v>46010.468715277777</v>
      </c>
      <c r="BQ3358" s="15"/>
      <c r="BR3358" s="15">
        <v>46010.575740740744</v>
      </c>
      <c r="BS3358" s="10" t="s">
        <v>197</v>
      </c>
      <c r="BT3358" s="10"/>
      <c r="BU3358" s="10"/>
      <c r="BV3358" s="10"/>
      <c r="BW3358" s="10"/>
      <c r="BX3358" s="10"/>
      <c r="BY3358" s="23"/>
      <c r="BZ3358" s="23"/>
      <c r="CA3358" s="10"/>
      <c r="CB3358" s="23"/>
      <c r="CC3358" s="23"/>
      <c r="CD3358" s="23"/>
      <c r="CE3358" s="23"/>
      <c r="CF3358" s="23"/>
      <c r="CG3358" s="23"/>
      <c r="CH3358" s="23"/>
      <c r="CI3358" s="23"/>
    </row>
    <row r="3359" spans="1:87" x14ac:dyDescent="0.3">
      <c r="A3359" s="9" t="s">
        <v>23987</v>
      </c>
      <c r="B3359" s="10" t="s">
        <v>23988</v>
      </c>
      <c r="C3359" s="11">
        <v>46011.347222222219</v>
      </c>
      <c r="D3359" s="12">
        <v>2.7777777777777776E-2</v>
      </c>
      <c r="E3359" s="11">
        <v>46011.375</v>
      </c>
      <c r="F3359" s="22" t="s">
        <v>9016</v>
      </c>
      <c r="G3359" s="13" t="b">
        <v>0</v>
      </c>
      <c r="H3359" s="22" t="s">
        <v>9017</v>
      </c>
      <c r="I3359" s="10" t="s">
        <v>212</v>
      </c>
      <c r="J3359" s="13" t="b">
        <v>1</v>
      </c>
      <c r="K3359" s="13" t="b">
        <v>0</v>
      </c>
      <c r="L3359" s="10" t="s">
        <v>124</v>
      </c>
      <c r="M3359" s="10" t="s">
        <v>91</v>
      </c>
      <c r="N3359" s="10" t="s">
        <v>92</v>
      </c>
      <c r="O3359" s="19" t="s">
        <v>23989</v>
      </c>
      <c r="P3359" s="10"/>
      <c r="Q3359" s="10" t="s">
        <v>94</v>
      </c>
      <c r="R3359" s="10"/>
      <c r="S3359" s="10"/>
      <c r="T3359" s="10"/>
      <c r="U3359" s="10"/>
      <c r="V3359" s="10"/>
      <c r="W3359" s="10" t="s">
        <v>9020</v>
      </c>
      <c r="X3359" s="10" t="s">
        <v>130</v>
      </c>
      <c r="Y3359" s="10" t="s">
        <v>130</v>
      </c>
      <c r="Z3359" s="10" t="s">
        <v>99</v>
      </c>
      <c r="AA3359" s="10" t="s">
        <v>131</v>
      </c>
      <c r="AB3359" s="10" t="s">
        <v>9021</v>
      </c>
      <c r="AC3359" s="10" t="s">
        <v>9022</v>
      </c>
      <c r="AD3359" s="10" t="s">
        <v>165</v>
      </c>
      <c r="AE3359" s="10" t="s">
        <v>23990</v>
      </c>
      <c r="AF3359" s="15"/>
      <c r="AG3359" s="10"/>
      <c r="AH3359" s="10"/>
      <c r="AI3359" s="10"/>
      <c r="AJ3359" s="10"/>
      <c r="AK3359" s="10" t="s">
        <v>102</v>
      </c>
      <c r="AL3359" s="10"/>
      <c r="AM3359" s="10"/>
      <c r="AN3359" s="10"/>
      <c r="AO3359" s="13" t="b">
        <v>0</v>
      </c>
      <c r="AP3359" s="22" t="s">
        <v>104</v>
      </c>
      <c r="AQ3359" s="10">
        <f ca="1">IFERROR(__xludf.DUMMYFUNCTION("""COMPUTED_VALUE"""),4786444)</f>
        <v>4786444</v>
      </c>
      <c r="AR3359" s="17">
        <v>166</v>
      </c>
      <c r="AS3359" s="17">
        <v>127</v>
      </c>
      <c r="AT3359" s="17">
        <v>869.5</v>
      </c>
      <c r="AU3359" s="17">
        <v>0</v>
      </c>
      <c r="AV3359" s="17">
        <v>0</v>
      </c>
      <c r="AW3359" s="10" t="s">
        <v>105</v>
      </c>
      <c r="AX3359" s="17">
        <v>45</v>
      </c>
      <c r="AY3359" s="18">
        <v>6.8464566929133861</v>
      </c>
      <c r="AZ3359" s="10"/>
      <c r="BA3359" s="20" t="b">
        <v>0</v>
      </c>
      <c r="BB3359" s="10" t="s">
        <v>23973</v>
      </c>
      <c r="BC3359" s="17">
        <v>166</v>
      </c>
      <c r="BD3359" s="17">
        <v>127</v>
      </c>
      <c r="BE3359" s="17">
        <v>869.5</v>
      </c>
      <c r="BF3359" s="17">
        <v>0</v>
      </c>
      <c r="BG3359" s="11">
        <f ca="1">IFERROR(__xludf.DUMMYFUNCTION("""COMPUTED_VALUE"""),46011.3472222222)</f>
        <v>46011.347222222197</v>
      </c>
      <c r="BH3359" s="17" t="s">
        <v>105</v>
      </c>
      <c r="BI3359" s="17"/>
      <c r="BJ3359" s="15"/>
      <c r="BK3359" s="15"/>
      <c r="BL3359" s="13" t="b">
        <v>0</v>
      </c>
      <c r="BM3359" s="10"/>
      <c r="BN3359" s="10" t="s">
        <v>197</v>
      </c>
      <c r="BO3359" s="11">
        <v>46010.46875</v>
      </c>
      <c r="BP3359" s="11">
        <v>46010.46943287037</v>
      </c>
      <c r="BQ3359" s="15"/>
      <c r="BR3359" s="15">
        <v>46010.575833333336</v>
      </c>
      <c r="BS3359" s="10" t="s">
        <v>197</v>
      </c>
      <c r="BT3359" s="10"/>
      <c r="BU3359" s="10"/>
      <c r="BV3359" s="10"/>
      <c r="BW3359" s="10"/>
      <c r="BX3359" s="10"/>
      <c r="BY3359" s="23"/>
      <c r="BZ3359" s="23"/>
      <c r="CA3359" s="10"/>
      <c r="CB3359" s="23"/>
      <c r="CC3359" s="23"/>
      <c r="CD3359" s="23"/>
      <c r="CE3359" s="23"/>
      <c r="CF3359" s="23"/>
      <c r="CG3359" s="23"/>
      <c r="CH3359" s="23"/>
      <c r="CI3359" s="23"/>
    </row>
    <row r="3360" spans="1:87" x14ac:dyDescent="0.3">
      <c r="A3360" s="9" t="s">
        <v>23991</v>
      </c>
      <c r="B3360" s="10" t="s">
        <v>23992</v>
      </c>
      <c r="C3360" s="11">
        <v>46011.375</v>
      </c>
      <c r="D3360" s="12">
        <v>2.7777777777777776E-2</v>
      </c>
      <c r="E3360" s="11">
        <v>46011.402777777781</v>
      </c>
      <c r="F3360" s="22" t="s">
        <v>9016</v>
      </c>
      <c r="G3360" s="13" t="b">
        <v>0</v>
      </c>
      <c r="H3360" s="22" t="s">
        <v>9017</v>
      </c>
      <c r="I3360" s="10" t="s">
        <v>212</v>
      </c>
      <c r="J3360" s="13" t="b">
        <v>1</v>
      </c>
      <c r="K3360" s="13" t="b">
        <v>0</v>
      </c>
      <c r="L3360" s="10" t="s">
        <v>124</v>
      </c>
      <c r="M3360" s="10" t="s">
        <v>91</v>
      </c>
      <c r="N3360" s="10" t="s">
        <v>92</v>
      </c>
      <c r="O3360" s="19" t="s">
        <v>23993</v>
      </c>
      <c r="P3360" s="10"/>
      <c r="Q3360" s="10" t="s">
        <v>94</v>
      </c>
      <c r="R3360" s="10"/>
      <c r="S3360" s="10"/>
      <c r="T3360" s="10"/>
      <c r="U3360" s="10"/>
      <c r="V3360" s="10"/>
      <c r="W3360" s="10" t="s">
        <v>9020</v>
      </c>
      <c r="X3360" s="10" t="s">
        <v>130</v>
      </c>
      <c r="Y3360" s="10" t="s">
        <v>130</v>
      </c>
      <c r="Z3360" s="10" t="s">
        <v>99</v>
      </c>
      <c r="AA3360" s="10" t="s">
        <v>131</v>
      </c>
      <c r="AB3360" s="10" t="s">
        <v>9021</v>
      </c>
      <c r="AC3360" s="10" t="s">
        <v>9022</v>
      </c>
      <c r="AD3360" s="10" t="s">
        <v>165</v>
      </c>
      <c r="AE3360" s="10" t="s">
        <v>23994</v>
      </c>
      <c r="AF3360" s="15"/>
      <c r="AG3360" s="10"/>
      <c r="AH3360" s="10"/>
      <c r="AI3360" s="10"/>
      <c r="AJ3360" s="10"/>
      <c r="AK3360" s="10" t="s">
        <v>102</v>
      </c>
      <c r="AL3360" s="10"/>
      <c r="AM3360" s="10"/>
      <c r="AN3360" s="10"/>
      <c r="AO3360" s="13" t="b">
        <v>0</v>
      </c>
      <c r="AP3360" s="22" t="s">
        <v>104</v>
      </c>
      <c r="AQ3360" s="10">
        <f ca="1">IFERROR(__xludf.DUMMYFUNCTION("""COMPUTED_VALUE"""),4786445)</f>
        <v>4786445</v>
      </c>
      <c r="AR3360" s="21">
        <v>143</v>
      </c>
      <c r="AS3360" s="21">
        <v>108</v>
      </c>
      <c r="AT3360" s="21">
        <v>510.25</v>
      </c>
      <c r="AU3360" s="21">
        <v>0</v>
      </c>
      <c r="AV3360" s="21">
        <v>0</v>
      </c>
      <c r="AW3360" s="22" t="s">
        <v>105</v>
      </c>
      <c r="AX3360" s="21">
        <v>44</v>
      </c>
      <c r="AY3360" s="18">
        <v>4.7245370370370372</v>
      </c>
      <c r="AZ3360" s="10"/>
      <c r="BA3360" s="20" t="b">
        <v>0</v>
      </c>
      <c r="BB3360" s="10" t="s">
        <v>23973</v>
      </c>
      <c r="BC3360" s="17">
        <v>143</v>
      </c>
      <c r="BD3360" s="17">
        <v>108</v>
      </c>
      <c r="BE3360" s="17">
        <v>510.25</v>
      </c>
      <c r="BF3360" s="17">
        <v>0</v>
      </c>
      <c r="BG3360" s="11">
        <f ca="1">IFERROR(__xludf.DUMMYFUNCTION("""COMPUTED_VALUE"""),46011.375)</f>
        <v>46011.375</v>
      </c>
      <c r="BH3360" s="17" t="s">
        <v>105</v>
      </c>
      <c r="BI3360" s="17"/>
      <c r="BJ3360" s="15"/>
      <c r="BK3360" s="15"/>
      <c r="BL3360" s="13" t="b">
        <v>0</v>
      </c>
      <c r="BM3360" s="10"/>
      <c r="BN3360" s="10" t="s">
        <v>197</v>
      </c>
      <c r="BO3360" s="11">
        <v>46010.469444444447</v>
      </c>
      <c r="BP3360" s="11">
        <v>46010.469722222224</v>
      </c>
      <c r="BQ3360" s="15"/>
      <c r="BR3360" s="15">
        <v>46010.575949074075</v>
      </c>
      <c r="BS3360" s="10" t="s">
        <v>197</v>
      </c>
      <c r="BT3360" s="10"/>
      <c r="BU3360" s="10"/>
      <c r="BV3360" s="10"/>
      <c r="BW3360" s="10"/>
      <c r="BX3360" s="10"/>
      <c r="BY3360" s="23"/>
      <c r="BZ3360" s="23"/>
      <c r="CA3360" s="10"/>
      <c r="CB3360" s="23"/>
      <c r="CC3360" s="23"/>
      <c r="CD3360" s="23"/>
      <c r="CE3360" s="23"/>
      <c r="CF3360" s="23"/>
      <c r="CG3360" s="23"/>
      <c r="CH3360" s="23"/>
      <c r="CI3360" s="23"/>
    </row>
    <row r="3361" spans="1:87" x14ac:dyDescent="0.3">
      <c r="A3361" s="9" t="s">
        <v>23995</v>
      </c>
      <c r="B3361" s="10" t="s">
        <v>23996</v>
      </c>
      <c r="C3361" s="11">
        <v>46011.402777777781</v>
      </c>
      <c r="D3361" s="12">
        <v>3.4722222222222224E-2</v>
      </c>
      <c r="E3361" s="11">
        <v>46011.4375</v>
      </c>
      <c r="F3361" s="22" t="s">
        <v>9016</v>
      </c>
      <c r="G3361" s="13" t="b">
        <v>0</v>
      </c>
      <c r="H3361" s="22" t="s">
        <v>9017</v>
      </c>
      <c r="I3361" s="10" t="s">
        <v>212</v>
      </c>
      <c r="J3361" s="13" t="b">
        <v>1</v>
      </c>
      <c r="K3361" s="13" t="b">
        <v>0</v>
      </c>
      <c r="L3361" s="10" t="s">
        <v>124</v>
      </c>
      <c r="M3361" s="10" t="s">
        <v>91</v>
      </c>
      <c r="N3361" s="10" t="s">
        <v>92</v>
      </c>
      <c r="O3361" s="19" t="s">
        <v>23997</v>
      </c>
      <c r="P3361" s="10"/>
      <c r="Q3361" s="10" t="s">
        <v>94</v>
      </c>
      <c r="R3361" s="10"/>
      <c r="S3361" s="10"/>
      <c r="T3361" s="10"/>
      <c r="U3361" s="10"/>
      <c r="V3361" s="10"/>
      <c r="W3361" s="10" t="s">
        <v>9020</v>
      </c>
      <c r="X3361" s="10" t="s">
        <v>130</v>
      </c>
      <c r="Y3361" s="10" t="s">
        <v>130</v>
      </c>
      <c r="Z3361" s="10" t="s">
        <v>99</v>
      </c>
      <c r="AA3361" s="10" t="s">
        <v>131</v>
      </c>
      <c r="AB3361" s="10" t="s">
        <v>9021</v>
      </c>
      <c r="AC3361" s="10" t="s">
        <v>9022</v>
      </c>
      <c r="AD3361" s="10" t="s">
        <v>165</v>
      </c>
      <c r="AE3361" s="10" t="s">
        <v>23998</v>
      </c>
      <c r="AF3361" s="15"/>
      <c r="AG3361" s="10"/>
      <c r="AH3361" s="10"/>
      <c r="AI3361" s="10"/>
      <c r="AJ3361" s="10"/>
      <c r="AK3361" s="10" t="s">
        <v>102</v>
      </c>
      <c r="AL3361" s="10"/>
      <c r="AM3361" s="10"/>
      <c r="AN3361" s="10"/>
      <c r="AO3361" s="13" t="b">
        <v>0</v>
      </c>
      <c r="AP3361" s="22" t="s">
        <v>104</v>
      </c>
      <c r="AQ3361" s="10">
        <f ca="1">IFERROR(__xludf.DUMMYFUNCTION("""COMPUTED_VALUE"""),4786446)</f>
        <v>4786446</v>
      </c>
      <c r="AR3361" s="21">
        <v>151</v>
      </c>
      <c r="AS3361" s="21">
        <v>134</v>
      </c>
      <c r="AT3361" s="21">
        <v>456.75</v>
      </c>
      <c r="AU3361" s="21">
        <v>0</v>
      </c>
      <c r="AV3361" s="21">
        <v>0</v>
      </c>
      <c r="AW3361" s="22" t="s">
        <v>105</v>
      </c>
      <c r="AX3361" s="21">
        <v>41</v>
      </c>
      <c r="AY3361" s="18">
        <v>3.408582089552239</v>
      </c>
      <c r="AZ3361" s="10"/>
      <c r="BA3361" s="20" t="b">
        <v>0</v>
      </c>
      <c r="BB3361" s="10" t="s">
        <v>23973</v>
      </c>
      <c r="BC3361" s="17">
        <v>151</v>
      </c>
      <c r="BD3361" s="17">
        <v>134</v>
      </c>
      <c r="BE3361" s="17">
        <v>456.75</v>
      </c>
      <c r="BF3361" s="17">
        <v>0</v>
      </c>
      <c r="BG3361" s="11">
        <f ca="1">IFERROR(__xludf.DUMMYFUNCTION("""COMPUTED_VALUE"""),46011.4027777777)</f>
        <v>46011.402777777701</v>
      </c>
      <c r="BH3361" s="17" t="s">
        <v>105</v>
      </c>
      <c r="BI3361" s="17"/>
      <c r="BJ3361" s="15"/>
      <c r="BK3361" s="15"/>
      <c r="BL3361" s="13" t="b">
        <v>0</v>
      </c>
      <c r="BM3361" s="10"/>
      <c r="BN3361" s="10" t="s">
        <v>197</v>
      </c>
      <c r="BO3361" s="11">
        <v>46010.469444444447</v>
      </c>
      <c r="BP3361" s="11">
        <v>46010.469965277778</v>
      </c>
      <c r="BQ3361" s="15"/>
      <c r="BR3361" s="15">
        <v>46010.57607638889</v>
      </c>
      <c r="BS3361" s="10" t="s">
        <v>197</v>
      </c>
      <c r="BT3361" s="10"/>
      <c r="BU3361" s="10"/>
      <c r="BV3361" s="10"/>
      <c r="BW3361" s="10"/>
      <c r="BX3361" s="10"/>
      <c r="BY3361" s="23"/>
      <c r="BZ3361" s="23"/>
      <c r="CA3361" s="10"/>
      <c r="CB3361" s="23"/>
      <c r="CC3361" s="23"/>
      <c r="CD3361" s="23"/>
      <c r="CE3361" s="23"/>
      <c r="CF3361" s="23"/>
      <c r="CG3361" s="23"/>
      <c r="CH3361" s="23"/>
      <c r="CI3361" s="23"/>
    </row>
    <row r="3362" spans="1:87" x14ac:dyDescent="0.3">
      <c r="A3362" s="9" t="s">
        <v>23999</v>
      </c>
      <c r="B3362" s="10" t="s">
        <v>24000</v>
      </c>
      <c r="C3362" s="11">
        <v>46011.4375</v>
      </c>
      <c r="D3362" s="12">
        <v>2.7777777777777776E-2</v>
      </c>
      <c r="E3362" s="11">
        <v>46011.465277777781</v>
      </c>
      <c r="F3362" s="22" t="s">
        <v>9016</v>
      </c>
      <c r="G3362" s="13" t="b">
        <v>0</v>
      </c>
      <c r="H3362" s="22" t="s">
        <v>9017</v>
      </c>
      <c r="I3362" s="10" t="s">
        <v>212</v>
      </c>
      <c r="J3362" s="13" t="b">
        <v>1</v>
      </c>
      <c r="K3362" s="13" t="b">
        <v>0</v>
      </c>
      <c r="L3362" s="10" t="s">
        <v>124</v>
      </c>
      <c r="M3362" s="10" t="s">
        <v>91</v>
      </c>
      <c r="N3362" s="10" t="s">
        <v>92</v>
      </c>
      <c r="O3362" s="19" t="s">
        <v>24001</v>
      </c>
      <c r="P3362" s="10"/>
      <c r="Q3362" s="10" t="s">
        <v>94</v>
      </c>
      <c r="R3362" s="10"/>
      <c r="S3362" s="10"/>
      <c r="T3362" s="10"/>
      <c r="U3362" s="10"/>
      <c r="V3362" s="10"/>
      <c r="W3362" s="10" t="s">
        <v>9020</v>
      </c>
      <c r="X3362" s="10" t="s">
        <v>130</v>
      </c>
      <c r="Y3362" s="10" t="s">
        <v>130</v>
      </c>
      <c r="Z3362" s="10" t="s">
        <v>99</v>
      </c>
      <c r="AA3362" s="10" t="s">
        <v>131</v>
      </c>
      <c r="AB3362" s="10" t="s">
        <v>9021</v>
      </c>
      <c r="AC3362" s="10" t="s">
        <v>9022</v>
      </c>
      <c r="AD3362" s="10" t="s">
        <v>165</v>
      </c>
      <c r="AE3362" s="10" t="s">
        <v>24002</v>
      </c>
      <c r="AF3362" s="15"/>
      <c r="AG3362" s="10"/>
      <c r="AH3362" s="10"/>
      <c r="AI3362" s="10"/>
      <c r="AJ3362" s="10"/>
      <c r="AK3362" s="10" t="s">
        <v>102</v>
      </c>
      <c r="AL3362" s="10"/>
      <c r="AM3362" s="10"/>
      <c r="AN3362" s="10"/>
      <c r="AO3362" s="13" t="b">
        <v>0</v>
      </c>
      <c r="AP3362" s="22" t="s">
        <v>104</v>
      </c>
      <c r="AQ3362" s="10">
        <f ca="1">IFERROR(__xludf.DUMMYFUNCTION("""COMPUTED_VALUE"""),4786447)</f>
        <v>4786447</v>
      </c>
      <c r="AR3362" s="17">
        <v>140</v>
      </c>
      <c r="AS3362" s="17">
        <v>119</v>
      </c>
      <c r="AT3362" s="17">
        <v>171.25</v>
      </c>
      <c r="AU3362" s="17">
        <v>0</v>
      </c>
      <c r="AV3362" s="17">
        <v>0</v>
      </c>
      <c r="AW3362" s="10" t="s">
        <v>105</v>
      </c>
      <c r="AX3362" s="17">
        <v>27</v>
      </c>
      <c r="AY3362" s="18">
        <v>1.4390756302521008</v>
      </c>
      <c r="AZ3362" s="10"/>
      <c r="BA3362" s="20" t="b">
        <v>0</v>
      </c>
      <c r="BB3362" s="10" t="s">
        <v>23973</v>
      </c>
      <c r="BC3362" s="17">
        <v>140</v>
      </c>
      <c r="BD3362" s="17">
        <v>119</v>
      </c>
      <c r="BE3362" s="17">
        <v>171.25</v>
      </c>
      <c r="BF3362" s="17">
        <v>0</v>
      </c>
      <c r="BG3362" s="11">
        <f ca="1">IFERROR(__xludf.DUMMYFUNCTION("""COMPUTED_VALUE"""),46011.4375)</f>
        <v>46011.4375</v>
      </c>
      <c r="BH3362" s="17" t="s">
        <v>105</v>
      </c>
      <c r="BI3362" s="17"/>
      <c r="BJ3362" s="15"/>
      <c r="BK3362" s="15"/>
      <c r="BL3362" s="13" t="b">
        <v>0</v>
      </c>
      <c r="BM3362" s="10"/>
      <c r="BN3362" s="10" t="s">
        <v>197</v>
      </c>
      <c r="BO3362" s="11">
        <v>46010.470138888886</v>
      </c>
      <c r="BP3362" s="11">
        <v>46010.470509259256</v>
      </c>
      <c r="BQ3362" s="15"/>
      <c r="BR3362" s="15">
        <v>46010.576180555552</v>
      </c>
      <c r="BS3362" s="10" t="s">
        <v>197</v>
      </c>
      <c r="BT3362" s="10"/>
      <c r="BU3362" s="10"/>
      <c r="BV3362" s="10"/>
      <c r="BW3362" s="10"/>
      <c r="BX3362" s="10"/>
      <c r="BY3362" s="23"/>
      <c r="BZ3362" s="23"/>
      <c r="CA3362" s="10"/>
      <c r="CB3362" s="23"/>
      <c r="CC3362" s="23"/>
      <c r="CD3362" s="23"/>
      <c r="CE3362" s="23"/>
      <c r="CF3362" s="23"/>
      <c r="CG3362" s="23"/>
      <c r="CH3362" s="23"/>
      <c r="CI3362" s="23"/>
    </row>
    <row r="3363" spans="1:87" x14ac:dyDescent="0.3">
      <c r="A3363" s="9" t="s">
        <v>24003</v>
      </c>
      <c r="B3363" s="10" t="s">
        <v>24004</v>
      </c>
      <c r="C3363" s="11">
        <v>46011.506944444445</v>
      </c>
      <c r="D3363" s="12">
        <v>4.5138888888888888E-2</v>
      </c>
      <c r="E3363" s="11">
        <v>46011.552083333336</v>
      </c>
      <c r="F3363" s="22" t="s">
        <v>9016</v>
      </c>
      <c r="G3363" s="13" t="b">
        <v>0</v>
      </c>
      <c r="H3363" s="22" t="s">
        <v>9017</v>
      </c>
      <c r="I3363" s="10" t="s">
        <v>212</v>
      </c>
      <c r="J3363" s="13" t="b">
        <v>1</v>
      </c>
      <c r="K3363" s="13" t="b">
        <v>0</v>
      </c>
      <c r="L3363" s="10" t="s">
        <v>124</v>
      </c>
      <c r="M3363" s="10" t="s">
        <v>91</v>
      </c>
      <c r="N3363" s="10" t="s">
        <v>92</v>
      </c>
      <c r="O3363" s="19" t="s">
        <v>24005</v>
      </c>
      <c r="P3363" s="10"/>
      <c r="Q3363" s="10" t="s">
        <v>94</v>
      </c>
      <c r="R3363" s="10"/>
      <c r="S3363" s="10"/>
      <c r="T3363" s="10"/>
      <c r="U3363" s="10"/>
      <c r="V3363" s="10"/>
      <c r="W3363" s="10" t="s">
        <v>9020</v>
      </c>
      <c r="X3363" s="10" t="s">
        <v>130</v>
      </c>
      <c r="Y3363" s="10" t="s">
        <v>130</v>
      </c>
      <c r="Z3363" s="10" t="s">
        <v>99</v>
      </c>
      <c r="AA3363" s="10" t="s">
        <v>131</v>
      </c>
      <c r="AB3363" s="10" t="s">
        <v>9021</v>
      </c>
      <c r="AC3363" s="10" t="s">
        <v>9022</v>
      </c>
      <c r="AD3363" s="10" t="s">
        <v>165</v>
      </c>
      <c r="AE3363" s="10" t="s">
        <v>24006</v>
      </c>
      <c r="AF3363" s="15"/>
      <c r="AG3363" s="10"/>
      <c r="AH3363" s="10"/>
      <c r="AI3363" s="10"/>
      <c r="AJ3363" s="10"/>
      <c r="AK3363" s="10" t="s">
        <v>102</v>
      </c>
      <c r="AL3363" s="10"/>
      <c r="AM3363" s="10"/>
      <c r="AN3363" s="10"/>
      <c r="AO3363" s="13" t="b">
        <v>0</v>
      </c>
      <c r="AP3363" s="22" t="s">
        <v>104</v>
      </c>
      <c r="AQ3363" s="10">
        <f ca="1">IFERROR(__xludf.DUMMYFUNCTION("""COMPUTED_VALUE"""),4786448)</f>
        <v>4786448</v>
      </c>
      <c r="AR3363" s="21">
        <v>242</v>
      </c>
      <c r="AS3363" s="21">
        <v>213</v>
      </c>
      <c r="AT3363" s="21">
        <v>325.5</v>
      </c>
      <c r="AU3363" s="21">
        <v>0</v>
      </c>
      <c r="AV3363" s="21">
        <v>0</v>
      </c>
      <c r="AW3363" s="22" t="s">
        <v>105</v>
      </c>
      <c r="AX3363" s="21">
        <v>23</v>
      </c>
      <c r="AY3363" s="18">
        <v>1.528169014084507</v>
      </c>
      <c r="AZ3363" s="10"/>
      <c r="BA3363" s="20" t="b">
        <v>0</v>
      </c>
      <c r="BB3363" s="10" t="s">
        <v>23973</v>
      </c>
      <c r="BC3363" s="17">
        <v>242</v>
      </c>
      <c r="BD3363" s="17">
        <v>213</v>
      </c>
      <c r="BE3363" s="17">
        <v>325.5</v>
      </c>
      <c r="BF3363" s="17">
        <v>0</v>
      </c>
      <c r="BG3363" s="11">
        <f ca="1">IFERROR(__xludf.DUMMYFUNCTION("""COMPUTED_VALUE"""),46011.5069444444)</f>
        <v>46011.506944444402</v>
      </c>
      <c r="BH3363" s="17" t="s">
        <v>105</v>
      </c>
      <c r="BI3363" s="17"/>
      <c r="BJ3363" s="15"/>
      <c r="BK3363" s="15"/>
      <c r="BL3363" s="13" t="b">
        <v>0</v>
      </c>
      <c r="BM3363" s="10"/>
      <c r="BN3363" s="10" t="s">
        <v>197</v>
      </c>
      <c r="BO3363" s="11">
        <v>46010.470833333333</v>
      </c>
      <c r="BP3363" s="11">
        <v>46010.472048611111</v>
      </c>
      <c r="BQ3363" s="15"/>
      <c r="BR3363" s="15">
        <v>46010.576273148145</v>
      </c>
      <c r="BS3363" s="10" t="s">
        <v>197</v>
      </c>
      <c r="BT3363" s="10"/>
      <c r="BU3363" s="10"/>
      <c r="BV3363" s="10"/>
      <c r="BW3363" s="10"/>
      <c r="BX3363" s="10"/>
      <c r="BY3363" s="23"/>
      <c r="BZ3363" s="23"/>
      <c r="CA3363" s="10"/>
      <c r="CB3363" s="23"/>
      <c r="CC3363" s="23"/>
      <c r="CD3363" s="23"/>
      <c r="CE3363" s="23"/>
      <c r="CF3363" s="23"/>
      <c r="CG3363" s="23"/>
      <c r="CH3363" s="23"/>
      <c r="CI3363" s="23"/>
    </row>
    <row r="3364" spans="1:87" x14ac:dyDescent="0.3">
      <c r="A3364" s="9" t="s">
        <v>24007</v>
      </c>
      <c r="B3364" s="10" t="s">
        <v>24008</v>
      </c>
      <c r="C3364" s="11">
        <v>46011.552083333336</v>
      </c>
      <c r="D3364" s="12">
        <v>4.1666666666666664E-2</v>
      </c>
      <c r="E3364" s="11">
        <v>46011.59375</v>
      </c>
      <c r="F3364" s="22" t="s">
        <v>9016</v>
      </c>
      <c r="G3364" s="13" t="b">
        <v>0</v>
      </c>
      <c r="H3364" s="22" t="s">
        <v>9017</v>
      </c>
      <c r="I3364" s="10" t="s">
        <v>212</v>
      </c>
      <c r="J3364" s="13" t="b">
        <v>1</v>
      </c>
      <c r="K3364" s="13" t="b">
        <v>0</v>
      </c>
      <c r="L3364" s="10" t="s">
        <v>124</v>
      </c>
      <c r="M3364" s="10" t="s">
        <v>91</v>
      </c>
      <c r="N3364" s="10" t="s">
        <v>92</v>
      </c>
      <c r="O3364" s="19" t="s">
        <v>24009</v>
      </c>
      <c r="P3364" s="10"/>
      <c r="Q3364" s="10" t="s">
        <v>94</v>
      </c>
      <c r="R3364" s="10"/>
      <c r="S3364" s="10"/>
      <c r="T3364" s="10"/>
      <c r="U3364" s="10"/>
      <c r="V3364" s="10"/>
      <c r="W3364" s="10" t="s">
        <v>9020</v>
      </c>
      <c r="X3364" s="10" t="s">
        <v>130</v>
      </c>
      <c r="Y3364" s="10" t="s">
        <v>130</v>
      </c>
      <c r="Z3364" s="10" t="s">
        <v>99</v>
      </c>
      <c r="AA3364" s="10" t="s">
        <v>131</v>
      </c>
      <c r="AB3364" s="10" t="s">
        <v>9021</v>
      </c>
      <c r="AC3364" s="10" t="s">
        <v>9022</v>
      </c>
      <c r="AD3364" s="10" t="s">
        <v>165</v>
      </c>
      <c r="AE3364" s="10" t="s">
        <v>24010</v>
      </c>
      <c r="AF3364" s="15"/>
      <c r="AG3364" s="10"/>
      <c r="AH3364" s="10"/>
      <c r="AI3364" s="10"/>
      <c r="AJ3364" s="10"/>
      <c r="AK3364" s="10" t="s">
        <v>102</v>
      </c>
      <c r="AL3364" s="10"/>
      <c r="AM3364" s="10"/>
      <c r="AN3364" s="10"/>
      <c r="AO3364" s="13" t="b">
        <v>0</v>
      </c>
      <c r="AP3364" s="22" t="s">
        <v>104</v>
      </c>
      <c r="AQ3364" s="10">
        <f ca="1">IFERROR(__xludf.DUMMYFUNCTION("""COMPUTED_VALUE"""),4786449)</f>
        <v>4786449</v>
      </c>
      <c r="AR3364" s="21">
        <v>136</v>
      </c>
      <c r="AS3364" s="21">
        <v>125</v>
      </c>
      <c r="AT3364" s="21">
        <v>292.5</v>
      </c>
      <c r="AU3364" s="21">
        <v>0</v>
      </c>
      <c r="AV3364" s="21">
        <v>0</v>
      </c>
      <c r="AW3364" s="22" t="s">
        <v>105</v>
      </c>
      <c r="AX3364" s="21">
        <v>25</v>
      </c>
      <c r="AY3364" s="18">
        <v>2.34</v>
      </c>
      <c r="AZ3364" s="10"/>
      <c r="BA3364" s="20" t="b">
        <v>0</v>
      </c>
      <c r="BB3364" s="10" t="s">
        <v>23973</v>
      </c>
      <c r="BC3364" s="17">
        <v>136</v>
      </c>
      <c r="BD3364" s="17">
        <v>125</v>
      </c>
      <c r="BE3364" s="17">
        <v>292.5</v>
      </c>
      <c r="BF3364" s="17">
        <v>0</v>
      </c>
      <c r="BG3364" s="11">
        <f ca="1">IFERROR(__xludf.DUMMYFUNCTION("""COMPUTED_VALUE"""),46011.5520833333)</f>
        <v>46011.552083333299</v>
      </c>
      <c r="BH3364" s="17" t="s">
        <v>105</v>
      </c>
      <c r="BI3364" s="17"/>
      <c r="BJ3364" s="15"/>
      <c r="BK3364" s="15"/>
      <c r="BL3364" s="13" t="b">
        <v>0</v>
      </c>
      <c r="BM3364" s="10"/>
      <c r="BN3364" s="10" t="s">
        <v>197</v>
      </c>
      <c r="BO3364" s="11">
        <v>46010.47152777778</v>
      </c>
      <c r="BP3364" s="11">
        <v>46010.472291666665</v>
      </c>
      <c r="BQ3364" s="15"/>
      <c r="BR3364" s="15">
        <v>46010.576377314814</v>
      </c>
      <c r="BS3364" s="10" t="s">
        <v>197</v>
      </c>
      <c r="BT3364" s="10"/>
      <c r="BU3364" s="10"/>
      <c r="BV3364" s="10"/>
      <c r="BW3364" s="10"/>
      <c r="BX3364" s="10"/>
      <c r="BY3364" s="23"/>
      <c r="BZ3364" s="23"/>
      <c r="CA3364" s="10"/>
      <c r="CB3364" s="23"/>
      <c r="CC3364" s="23"/>
      <c r="CD3364" s="23"/>
      <c r="CE3364" s="23"/>
      <c r="CF3364" s="23"/>
      <c r="CG3364" s="23"/>
      <c r="CH3364" s="23"/>
      <c r="CI3364" s="23"/>
    </row>
    <row r="3365" spans="1:87" x14ac:dyDescent="0.3">
      <c r="A3365" s="9" t="s">
        <v>24011</v>
      </c>
      <c r="B3365" s="10" t="s">
        <v>24012</v>
      </c>
      <c r="C3365" s="11">
        <v>46012.291666666664</v>
      </c>
      <c r="D3365" s="12">
        <v>0.27430555555555558</v>
      </c>
      <c r="E3365" s="11">
        <v>46012.565972222219</v>
      </c>
      <c r="F3365" s="22" t="s">
        <v>9016</v>
      </c>
      <c r="G3365" s="13" t="b">
        <v>0</v>
      </c>
      <c r="H3365" s="22" t="s">
        <v>9017</v>
      </c>
      <c r="I3365" s="10" t="s">
        <v>212</v>
      </c>
      <c r="J3365" s="13" t="b">
        <v>1</v>
      </c>
      <c r="K3365" s="13" t="b">
        <v>0</v>
      </c>
      <c r="L3365" s="10" t="s">
        <v>124</v>
      </c>
      <c r="M3365" s="10" t="s">
        <v>91</v>
      </c>
      <c r="N3365" s="10" t="s">
        <v>92</v>
      </c>
      <c r="O3365" s="19" t="s">
        <v>24013</v>
      </c>
      <c r="P3365" s="10"/>
      <c r="Q3365" s="10" t="s">
        <v>94</v>
      </c>
      <c r="R3365" s="19" t="s">
        <v>23976</v>
      </c>
      <c r="S3365" s="19" t="s">
        <v>23977</v>
      </c>
      <c r="T3365" s="10"/>
      <c r="U3365" s="10"/>
      <c r="V3365" s="10"/>
      <c r="W3365" s="10" t="s">
        <v>9020</v>
      </c>
      <c r="X3365" s="10" t="s">
        <v>130</v>
      </c>
      <c r="Y3365" s="10" t="s">
        <v>130</v>
      </c>
      <c r="Z3365" s="10" t="s">
        <v>99</v>
      </c>
      <c r="AA3365" s="10" t="s">
        <v>131</v>
      </c>
      <c r="AB3365" s="10" t="s">
        <v>9021</v>
      </c>
      <c r="AC3365" s="10" t="s">
        <v>9022</v>
      </c>
      <c r="AD3365" s="10" t="s">
        <v>165</v>
      </c>
      <c r="AE3365" s="10" t="s">
        <v>24014</v>
      </c>
      <c r="AF3365" s="15"/>
      <c r="AG3365" s="10"/>
      <c r="AH3365" s="10"/>
      <c r="AI3365" s="10"/>
      <c r="AJ3365" s="10"/>
      <c r="AK3365" s="10" t="s">
        <v>102</v>
      </c>
      <c r="AL3365" s="10"/>
      <c r="AM3365" s="10"/>
      <c r="AN3365" s="10"/>
      <c r="AO3365" s="13" t="b">
        <v>0</v>
      </c>
      <c r="AP3365" s="22" t="s">
        <v>104</v>
      </c>
      <c r="AQ3365" s="10">
        <f ca="1">IFERROR(__xludf.DUMMYFUNCTION("""COMPUTED_VALUE"""),20107)</f>
        <v>20107</v>
      </c>
      <c r="AR3365" s="17">
        <v>0</v>
      </c>
      <c r="AS3365" s="17">
        <v>0</v>
      </c>
      <c r="AT3365" s="17">
        <v>0</v>
      </c>
      <c r="AU3365" s="17">
        <v>0</v>
      </c>
      <c r="AV3365" s="17">
        <v>0</v>
      </c>
      <c r="AW3365" s="10" t="s">
        <v>105</v>
      </c>
      <c r="AX3365" s="17"/>
      <c r="AY3365" s="18">
        <v>7.8658382476832349</v>
      </c>
      <c r="AZ3365" s="10"/>
      <c r="BA3365" s="20" t="b">
        <v>1</v>
      </c>
      <c r="BB3365" s="10"/>
      <c r="BC3365" s="17">
        <v>1507</v>
      </c>
      <c r="BD3365" s="17">
        <v>1187</v>
      </c>
      <c r="BE3365" s="17">
        <v>9336.75</v>
      </c>
      <c r="BF3365" s="17">
        <v>0.75</v>
      </c>
      <c r="BG3365" s="11">
        <f ca="1">IFERROR(__xludf.DUMMYFUNCTION("""COMPUTED_VALUE"""),46012.2916666666)</f>
        <v>46012.291666666599</v>
      </c>
      <c r="BH3365" s="17" t="s">
        <v>105</v>
      </c>
      <c r="BI3365" s="17"/>
      <c r="BJ3365" s="15"/>
      <c r="BK3365" s="15"/>
      <c r="BL3365" s="13" t="b">
        <v>0</v>
      </c>
      <c r="BM3365" s="10"/>
      <c r="BN3365" s="10" t="s">
        <v>223</v>
      </c>
      <c r="BO3365" s="11">
        <v>46010.544444444444</v>
      </c>
      <c r="BP3365" s="11">
        <v>46010.544791666667</v>
      </c>
      <c r="BQ3365" s="15">
        <v>46022.445</v>
      </c>
      <c r="BR3365" s="15">
        <v>46010.595868055556</v>
      </c>
      <c r="BS3365" s="10"/>
      <c r="BT3365" s="10"/>
      <c r="BU3365" s="10"/>
      <c r="BV3365" s="10"/>
      <c r="BW3365" s="10"/>
      <c r="BX3365" s="10"/>
      <c r="BY3365" s="23"/>
      <c r="BZ3365" s="23"/>
      <c r="CA3365" s="19" t="s">
        <v>9024</v>
      </c>
      <c r="CB3365" s="23"/>
      <c r="CC3365" s="23"/>
      <c r="CD3365" s="23"/>
      <c r="CE3365" s="23"/>
      <c r="CF3365" s="23"/>
      <c r="CG3365" s="23"/>
      <c r="CH3365" s="23"/>
      <c r="CI3365" s="23"/>
    </row>
    <row r="3366" spans="1:87" x14ac:dyDescent="0.3">
      <c r="A3366" s="9" t="s">
        <v>24015</v>
      </c>
      <c r="B3366" s="10" t="s">
        <v>24016</v>
      </c>
      <c r="C3366" s="11">
        <v>46012.291666666664</v>
      </c>
      <c r="D3366" s="12">
        <v>2.4305555555555556E-2</v>
      </c>
      <c r="E3366" s="11">
        <v>46012.315972222219</v>
      </c>
      <c r="F3366" s="22" t="s">
        <v>9016</v>
      </c>
      <c r="G3366" s="13" t="b">
        <v>0</v>
      </c>
      <c r="H3366" s="22" t="s">
        <v>9017</v>
      </c>
      <c r="I3366" s="10" t="s">
        <v>212</v>
      </c>
      <c r="J3366" s="13" t="b">
        <v>1</v>
      </c>
      <c r="K3366" s="13" t="b">
        <v>0</v>
      </c>
      <c r="L3366" s="10" t="s">
        <v>124</v>
      </c>
      <c r="M3366" s="10" t="s">
        <v>91</v>
      </c>
      <c r="N3366" s="10" t="s">
        <v>92</v>
      </c>
      <c r="O3366" s="19" t="s">
        <v>24017</v>
      </c>
      <c r="P3366" s="10"/>
      <c r="Q3366" s="10" t="s">
        <v>94</v>
      </c>
      <c r="R3366" s="19" t="s">
        <v>23976</v>
      </c>
      <c r="S3366" s="10"/>
      <c r="T3366" s="10"/>
      <c r="U3366" s="10"/>
      <c r="V3366" s="10"/>
      <c r="W3366" s="10" t="s">
        <v>9020</v>
      </c>
      <c r="X3366" s="10" t="s">
        <v>130</v>
      </c>
      <c r="Y3366" s="10" t="s">
        <v>130</v>
      </c>
      <c r="Z3366" s="10" t="s">
        <v>99</v>
      </c>
      <c r="AA3366" s="10" t="s">
        <v>131</v>
      </c>
      <c r="AB3366" s="10" t="s">
        <v>9021</v>
      </c>
      <c r="AC3366" s="10" t="s">
        <v>9022</v>
      </c>
      <c r="AD3366" s="10" t="s">
        <v>165</v>
      </c>
      <c r="AE3366" s="10" t="s">
        <v>24018</v>
      </c>
      <c r="AF3366" s="15"/>
      <c r="AG3366" s="10"/>
      <c r="AH3366" s="10"/>
      <c r="AI3366" s="10"/>
      <c r="AJ3366" s="10"/>
      <c r="AK3366" s="10" t="s">
        <v>102</v>
      </c>
      <c r="AL3366" s="10"/>
      <c r="AM3366" s="10"/>
      <c r="AN3366" s="10"/>
      <c r="AO3366" s="13" t="b">
        <v>0</v>
      </c>
      <c r="AP3366" s="22" t="s">
        <v>104</v>
      </c>
      <c r="AQ3366" s="10">
        <f ca="1">IFERROR(__xludf.DUMMYFUNCTION("""COMPUTED_VALUE"""),4786452)</f>
        <v>4786452</v>
      </c>
      <c r="AR3366" s="17">
        <v>105</v>
      </c>
      <c r="AS3366" s="17">
        <v>90</v>
      </c>
      <c r="AT3366" s="17">
        <v>713.5</v>
      </c>
      <c r="AU3366" s="17">
        <v>0</v>
      </c>
      <c r="AV3366" s="17">
        <v>0</v>
      </c>
      <c r="AW3366" s="10" t="s">
        <v>105</v>
      </c>
      <c r="AX3366" s="17">
        <v>33</v>
      </c>
      <c r="AY3366" s="18">
        <v>7.927777777777778</v>
      </c>
      <c r="AZ3366" s="10"/>
      <c r="BA3366" s="20" t="b">
        <v>0</v>
      </c>
      <c r="BB3366" s="10" t="s">
        <v>24011</v>
      </c>
      <c r="BC3366" s="17">
        <v>105</v>
      </c>
      <c r="BD3366" s="17">
        <v>90</v>
      </c>
      <c r="BE3366" s="17">
        <v>713.5</v>
      </c>
      <c r="BF3366" s="17">
        <v>0</v>
      </c>
      <c r="BG3366" s="11">
        <f ca="1">IFERROR(__xludf.DUMMYFUNCTION("""COMPUTED_VALUE"""),46012.2916666666)</f>
        <v>46012.291666666599</v>
      </c>
      <c r="BH3366" s="17" t="s">
        <v>105</v>
      </c>
      <c r="BI3366" s="17"/>
      <c r="BJ3366" s="15"/>
      <c r="BK3366" s="15"/>
      <c r="BL3366" s="13" t="b">
        <v>0</v>
      </c>
      <c r="BM3366" s="10"/>
      <c r="BN3366" s="10" t="s">
        <v>197</v>
      </c>
      <c r="BO3366" s="11">
        <v>46010.548611111109</v>
      </c>
      <c r="BP3366" s="11">
        <v>46010.549097222225</v>
      </c>
      <c r="BQ3366" s="15"/>
      <c r="BR3366" s="15">
        <v>46010.59542824074</v>
      </c>
      <c r="BS3366" s="10" t="s">
        <v>197</v>
      </c>
      <c r="BT3366" s="10"/>
      <c r="BU3366" s="10"/>
      <c r="BV3366" s="10"/>
      <c r="BW3366" s="10"/>
      <c r="BX3366" s="10"/>
      <c r="BY3366" s="23"/>
      <c r="BZ3366" s="23"/>
      <c r="CA3366" s="10"/>
      <c r="CB3366" s="23"/>
      <c r="CC3366" s="23"/>
      <c r="CD3366" s="23"/>
      <c r="CE3366" s="23"/>
      <c r="CF3366" s="23"/>
      <c r="CG3366" s="23"/>
      <c r="CH3366" s="23"/>
      <c r="CI3366" s="23"/>
    </row>
    <row r="3367" spans="1:87" x14ac:dyDescent="0.3">
      <c r="A3367" s="9" t="s">
        <v>24019</v>
      </c>
      <c r="B3367" s="10" t="s">
        <v>24020</v>
      </c>
      <c r="C3367" s="11">
        <v>46012.291666666664</v>
      </c>
      <c r="D3367" s="12">
        <v>2.4305555555555556E-2</v>
      </c>
      <c r="E3367" s="11">
        <v>46012.315972222219</v>
      </c>
      <c r="F3367" s="22" t="s">
        <v>9016</v>
      </c>
      <c r="G3367" s="13" t="b">
        <v>0</v>
      </c>
      <c r="H3367" s="22" t="s">
        <v>9017</v>
      </c>
      <c r="I3367" s="10" t="s">
        <v>212</v>
      </c>
      <c r="J3367" s="13" t="b">
        <v>1</v>
      </c>
      <c r="K3367" s="13" t="b">
        <v>0</v>
      </c>
      <c r="L3367" s="10" t="s">
        <v>124</v>
      </c>
      <c r="M3367" s="10" t="s">
        <v>91</v>
      </c>
      <c r="N3367" s="10" t="s">
        <v>92</v>
      </c>
      <c r="O3367" s="19" t="s">
        <v>24021</v>
      </c>
      <c r="P3367" s="10"/>
      <c r="Q3367" s="10" t="s">
        <v>94</v>
      </c>
      <c r="R3367" s="19" t="s">
        <v>23976</v>
      </c>
      <c r="S3367" s="10"/>
      <c r="T3367" s="10"/>
      <c r="U3367" s="10"/>
      <c r="V3367" s="10"/>
      <c r="W3367" s="10" t="s">
        <v>9020</v>
      </c>
      <c r="X3367" s="10" t="s">
        <v>130</v>
      </c>
      <c r="Y3367" s="10" t="s">
        <v>130</v>
      </c>
      <c r="Z3367" s="10" t="s">
        <v>99</v>
      </c>
      <c r="AA3367" s="10" t="s">
        <v>131</v>
      </c>
      <c r="AB3367" s="10" t="s">
        <v>9021</v>
      </c>
      <c r="AC3367" s="10" t="s">
        <v>9022</v>
      </c>
      <c r="AD3367" s="10" t="s">
        <v>165</v>
      </c>
      <c r="AE3367" s="10" t="s">
        <v>24022</v>
      </c>
      <c r="AF3367" s="15"/>
      <c r="AG3367" s="10"/>
      <c r="AH3367" s="10"/>
      <c r="AI3367" s="10"/>
      <c r="AJ3367" s="10"/>
      <c r="AK3367" s="10" t="s">
        <v>102</v>
      </c>
      <c r="AL3367" s="10"/>
      <c r="AM3367" s="10"/>
      <c r="AN3367" s="10"/>
      <c r="AO3367" s="13" t="b">
        <v>0</v>
      </c>
      <c r="AP3367" s="22" t="s">
        <v>104</v>
      </c>
      <c r="AQ3367" s="10">
        <f ca="1">IFERROR(__xludf.DUMMYFUNCTION("""COMPUTED_VALUE"""),4786451)</f>
        <v>4786451</v>
      </c>
      <c r="AR3367" s="21">
        <v>178</v>
      </c>
      <c r="AS3367" s="21">
        <v>141</v>
      </c>
      <c r="AT3367" s="21">
        <v>1277</v>
      </c>
      <c r="AU3367" s="21">
        <v>0</v>
      </c>
      <c r="AV3367" s="21">
        <v>0</v>
      </c>
      <c r="AW3367" s="22" t="s">
        <v>105</v>
      </c>
      <c r="AX3367" s="21">
        <v>50</v>
      </c>
      <c r="AY3367" s="18">
        <v>9.0567375886524815</v>
      </c>
      <c r="AZ3367" s="10"/>
      <c r="BA3367" s="20" t="b">
        <v>0</v>
      </c>
      <c r="BB3367" s="10" t="s">
        <v>24011</v>
      </c>
      <c r="BC3367" s="17">
        <v>178</v>
      </c>
      <c r="BD3367" s="17">
        <v>141</v>
      </c>
      <c r="BE3367" s="17">
        <v>1277</v>
      </c>
      <c r="BF3367" s="17">
        <v>0</v>
      </c>
      <c r="BG3367" s="11">
        <f ca="1">IFERROR(__xludf.DUMMYFUNCTION("""COMPUTED_VALUE"""),46012.2916666666)</f>
        <v>46012.291666666599</v>
      </c>
      <c r="BH3367" s="17" t="s">
        <v>105</v>
      </c>
      <c r="BI3367" s="17"/>
      <c r="BJ3367" s="15"/>
      <c r="BK3367" s="15"/>
      <c r="BL3367" s="13" t="b">
        <v>0</v>
      </c>
      <c r="BM3367" s="10"/>
      <c r="BN3367" s="10" t="s">
        <v>197</v>
      </c>
      <c r="BO3367" s="11">
        <v>46010.548611111109</v>
      </c>
      <c r="BP3367" s="11">
        <v>46010.549386574072</v>
      </c>
      <c r="BQ3367" s="15"/>
      <c r="BR3367" s="15">
        <v>46010.596226851849</v>
      </c>
      <c r="BS3367" s="10" t="s">
        <v>197</v>
      </c>
      <c r="BT3367" s="10"/>
      <c r="BU3367" s="10"/>
      <c r="BV3367" s="10"/>
      <c r="BW3367" s="10"/>
      <c r="BX3367" s="10"/>
      <c r="BY3367" s="23"/>
      <c r="BZ3367" s="23"/>
      <c r="CA3367" s="10"/>
      <c r="CB3367" s="23"/>
      <c r="CC3367" s="23"/>
      <c r="CD3367" s="23"/>
      <c r="CE3367" s="23"/>
      <c r="CF3367" s="23"/>
      <c r="CG3367" s="23"/>
      <c r="CH3367" s="23"/>
      <c r="CI3367" s="23"/>
    </row>
    <row r="3368" spans="1:87" x14ac:dyDescent="0.3">
      <c r="A3368" s="9" t="s">
        <v>24023</v>
      </c>
      <c r="B3368" s="10" t="s">
        <v>24024</v>
      </c>
      <c r="C3368" s="11">
        <v>46012.347222222219</v>
      </c>
      <c r="D3368" s="12">
        <v>2.4305555555555556E-2</v>
      </c>
      <c r="E3368" s="11">
        <v>46012.371527777781</v>
      </c>
      <c r="F3368" s="22" t="s">
        <v>9016</v>
      </c>
      <c r="G3368" s="13" t="b">
        <v>0</v>
      </c>
      <c r="H3368" s="22" t="s">
        <v>9017</v>
      </c>
      <c r="I3368" s="10" t="s">
        <v>212</v>
      </c>
      <c r="J3368" s="13" t="b">
        <v>1</v>
      </c>
      <c r="K3368" s="13" t="b">
        <v>0</v>
      </c>
      <c r="L3368" s="10" t="s">
        <v>124</v>
      </c>
      <c r="M3368" s="10" t="s">
        <v>91</v>
      </c>
      <c r="N3368" s="10" t="s">
        <v>92</v>
      </c>
      <c r="O3368" s="19" t="s">
        <v>24025</v>
      </c>
      <c r="P3368" s="10"/>
      <c r="Q3368" s="10" t="s">
        <v>94</v>
      </c>
      <c r="R3368" s="19" t="s">
        <v>23976</v>
      </c>
      <c r="S3368" s="10"/>
      <c r="T3368" s="10"/>
      <c r="U3368" s="10"/>
      <c r="V3368" s="10"/>
      <c r="W3368" s="10" t="s">
        <v>9020</v>
      </c>
      <c r="X3368" s="10" t="s">
        <v>130</v>
      </c>
      <c r="Y3368" s="10" t="s">
        <v>130</v>
      </c>
      <c r="Z3368" s="10" t="s">
        <v>99</v>
      </c>
      <c r="AA3368" s="10" t="s">
        <v>131</v>
      </c>
      <c r="AB3368" s="10" t="s">
        <v>9021</v>
      </c>
      <c r="AC3368" s="10" t="s">
        <v>9022</v>
      </c>
      <c r="AD3368" s="10" t="s">
        <v>165</v>
      </c>
      <c r="AE3368" s="10" t="s">
        <v>24026</v>
      </c>
      <c r="AF3368" s="15"/>
      <c r="AG3368" s="10"/>
      <c r="AH3368" s="10"/>
      <c r="AI3368" s="10"/>
      <c r="AJ3368" s="10"/>
      <c r="AK3368" s="10" t="s">
        <v>102</v>
      </c>
      <c r="AL3368" s="10"/>
      <c r="AM3368" s="10"/>
      <c r="AN3368" s="10"/>
      <c r="AO3368" s="13" t="b">
        <v>0</v>
      </c>
      <c r="AP3368" s="22" t="s">
        <v>104</v>
      </c>
      <c r="AQ3368" s="10">
        <f ca="1">IFERROR(__xludf.DUMMYFUNCTION("""COMPUTED_VALUE"""),4786453)</f>
        <v>4786453</v>
      </c>
      <c r="AR3368" s="21">
        <v>169</v>
      </c>
      <c r="AS3368" s="21">
        <v>142</v>
      </c>
      <c r="AT3368" s="21">
        <v>727.5</v>
      </c>
      <c r="AU3368" s="21">
        <v>0</v>
      </c>
      <c r="AV3368" s="21">
        <v>0</v>
      </c>
      <c r="AW3368" s="22" t="s">
        <v>105</v>
      </c>
      <c r="AX3368" s="21">
        <v>62</v>
      </c>
      <c r="AY3368" s="18">
        <v>5.123239436619718</v>
      </c>
      <c r="AZ3368" s="10"/>
      <c r="BA3368" s="20" t="b">
        <v>0</v>
      </c>
      <c r="BB3368" s="10" t="s">
        <v>24011</v>
      </c>
      <c r="BC3368" s="17">
        <v>169</v>
      </c>
      <c r="BD3368" s="17">
        <v>142</v>
      </c>
      <c r="BE3368" s="17">
        <v>727.5</v>
      </c>
      <c r="BF3368" s="17">
        <v>0</v>
      </c>
      <c r="BG3368" s="11">
        <f ca="1">IFERROR(__xludf.DUMMYFUNCTION("""COMPUTED_VALUE"""),46012.3472222222)</f>
        <v>46012.347222222197</v>
      </c>
      <c r="BH3368" s="17" t="s">
        <v>105</v>
      </c>
      <c r="BI3368" s="17"/>
      <c r="BJ3368" s="15"/>
      <c r="BK3368" s="15"/>
      <c r="BL3368" s="13" t="b">
        <v>0</v>
      </c>
      <c r="BM3368" s="10"/>
      <c r="BN3368" s="10" t="s">
        <v>197</v>
      </c>
      <c r="BO3368" s="11">
        <v>46010.549305555556</v>
      </c>
      <c r="BP3368" s="11">
        <v>46010.54965277778</v>
      </c>
      <c r="BQ3368" s="15"/>
      <c r="BR3368" s="15">
        <v>46010.596319444441</v>
      </c>
      <c r="BS3368" s="10" t="s">
        <v>197</v>
      </c>
      <c r="BT3368" s="10"/>
      <c r="BU3368" s="10"/>
      <c r="BV3368" s="10"/>
      <c r="BW3368" s="10"/>
      <c r="BX3368" s="10"/>
      <c r="BY3368" s="23"/>
      <c r="BZ3368" s="23"/>
      <c r="CA3368" s="10"/>
      <c r="CB3368" s="23"/>
      <c r="CC3368" s="23"/>
      <c r="CD3368" s="23"/>
      <c r="CE3368" s="23"/>
      <c r="CF3368" s="23"/>
      <c r="CG3368" s="23"/>
      <c r="CH3368" s="23"/>
      <c r="CI3368" s="23"/>
    </row>
    <row r="3369" spans="1:87" x14ac:dyDescent="0.3">
      <c r="A3369" s="9" t="s">
        <v>24027</v>
      </c>
      <c r="B3369" s="10" t="s">
        <v>24024</v>
      </c>
      <c r="C3369" s="11">
        <v>46012.375</v>
      </c>
      <c r="D3369" s="12">
        <v>2.4305555555555556E-2</v>
      </c>
      <c r="E3369" s="11">
        <v>46012.399305555555</v>
      </c>
      <c r="F3369" s="22" t="s">
        <v>9016</v>
      </c>
      <c r="G3369" s="13" t="b">
        <v>0</v>
      </c>
      <c r="H3369" s="22" t="s">
        <v>9017</v>
      </c>
      <c r="I3369" s="10" t="s">
        <v>212</v>
      </c>
      <c r="J3369" s="13" t="b">
        <v>1</v>
      </c>
      <c r="K3369" s="13" t="b">
        <v>0</v>
      </c>
      <c r="L3369" s="10" t="s">
        <v>124</v>
      </c>
      <c r="M3369" s="10" t="s">
        <v>91</v>
      </c>
      <c r="N3369" s="10" t="s">
        <v>92</v>
      </c>
      <c r="O3369" s="19" t="s">
        <v>24028</v>
      </c>
      <c r="P3369" s="10"/>
      <c r="Q3369" s="10" t="s">
        <v>94</v>
      </c>
      <c r="R3369" s="19" t="s">
        <v>23976</v>
      </c>
      <c r="S3369" s="10"/>
      <c r="T3369" s="10"/>
      <c r="U3369" s="10"/>
      <c r="V3369" s="10"/>
      <c r="W3369" s="10" t="s">
        <v>9020</v>
      </c>
      <c r="X3369" s="10" t="s">
        <v>130</v>
      </c>
      <c r="Y3369" s="10" t="s">
        <v>130</v>
      </c>
      <c r="Z3369" s="10" t="s">
        <v>99</v>
      </c>
      <c r="AA3369" s="10" t="s">
        <v>131</v>
      </c>
      <c r="AB3369" s="10" t="s">
        <v>9021</v>
      </c>
      <c r="AC3369" s="10" t="s">
        <v>9022</v>
      </c>
      <c r="AD3369" s="10" t="s">
        <v>165</v>
      </c>
      <c r="AE3369" s="10" t="s">
        <v>24026</v>
      </c>
      <c r="AF3369" s="15"/>
      <c r="AG3369" s="10"/>
      <c r="AH3369" s="10"/>
      <c r="AI3369" s="10"/>
      <c r="AJ3369" s="10"/>
      <c r="AK3369" s="10" t="s">
        <v>102</v>
      </c>
      <c r="AL3369" s="10"/>
      <c r="AM3369" s="10"/>
      <c r="AN3369" s="10"/>
      <c r="AO3369" s="13" t="b">
        <v>0</v>
      </c>
      <c r="AP3369" s="22" t="s">
        <v>104</v>
      </c>
      <c r="AQ3369" s="10">
        <f ca="1">IFERROR(__xludf.DUMMYFUNCTION("""COMPUTED_VALUE"""),4786457)</f>
        <v>4786457</v>
      </c>
      <c r="AR3369" s="21">
        <v>297</v>
      </c>
      <c r="AS3369" s="21">
        <v>223</v>
      </c>
      <c r="AT3369" s="21">
        <v>1141</v>
      </c>
      <c r="AU3369" s="21">
        <v>0.5</v>
      </c>
      <c r="AV3369" s="21">
        <v>0</v>
      </c>
      <c r="AW3369" s="22" t="s">
        <v>105</v>
      </c>
      <c r="AX3369" s="21">
        <v>88</v>
      </c>
      <c r="AY3369" s="18">
        <v>5.116591928251121</v>
      </c>
      <c r="AZ3369" s="10"/>
      <c r="BA3369" s="20" t="b">
        <v>0</v>
      </c>
      <c r="BB3369" s="10" t="s">
        <v>24011</v>
      </c>
      <c r="BC3369" s="17">
        <v>297</v>
      </c>
      <c r="BD3369" s="17">
        <v>223</v>
      </c>
      <c r="BE3369" s="17">
        <v>1141</v>
      </c>
      <c r="BF3369" s="17">
        <v>0</v>
      </c>
      <c r="BG3369" s="11">
        <f ca="1">IFERROR(__xludf.DUMMYFUNCTION("""COMPUTED_VALUE"""),46012.375)</f>
        <v>46012.375</v>
      </c>
      <c r="BH3369" s="17" t="s">
        <v>105</v>
      </c>
      <c r="BI3369" s="17"/>
      <c r="BJ3369" s="15"/>
      <c r="BK3369" s="15"/>
      <c r="BL3369" s="13" t="b">
        <v>0</v>
      </c>
      <c r="BM3369" s="10"/>
      <c r="BN3369" s="10" t="s">
        <v>197</v>
      </c>
      <c r="BO3369" s="11">
        <v>46010.549305555556</v>
      </c>
      <c r="BP3369" s="11">
        <v>46010.550057870372</v>
      </c>
      <c r="BQ3369" s="15"/>
      <c r="BR3369" s="15">
        <v>46010.596446759257</v>
      </c>
      <c r="BS3369" s="10" t="s">
        <v>197</v>
      </c>
      <c r="BT3369" s="10"/>
      <c r="BU3369" s="10"/>
      <c r="BV3369" s="10"/>
      <c r="BW3369" s="10"/>
      <c r="BX3369" s="10"/>
      <c r="BY3369" s="23"/>
      <c r="BZ3369" s="23"/>
      <c r="CA3369" s="10"/>
      <c r="CB3369" s="23"/>
      <c r="CC3369" s="23"/>
      <c r="CD3369" s="23"/>
      <c r="CE3369" s="23"/>
      <c r="CF3369" s="23"/>
      <c r="CG3369" s="23"/>
      <c r="CH3369" s="23"/>
      <c r="CI3369" s="23"/>
    </row>
    <row r="3370" spans="1:87" x14ac:dyDescent="0.3">
      <c r="A3370" s="9" t="s">
        <v>24029</v>
      </c>
      <c r="B3370" s="10" t="s">
        <v>24024</v>
      </c>
      <c r="C3370" s="11">
        <v>46012.402777777781</v>
      </c>
      <c r="D3370" s="12">
        <v>2.4305555555555556E-2</v>
      </c>
      <c r="E3370" s="11">
        <v>46012.427083333336</v>
      </c>
      <c r="F3370" s="22" t="s">
        <v>9016</v>
      </c>
      <c r="G3370" s="13" t="b">
        <v>0</v>
      </c>
      <c r="H3370" s="22" t="s">
        <v>9017</v>
      </c>
      <c r="I3370" s="10" t="s">
        <v>212</v>
      </c>
      <c r="J3370" s="13" t="b">
        <v>1</v>
      </c>
      <c r="K3370" s="13" t="b">
        <v>0</v>
      </c>
      <c r="L3370" s="10" t="s">
        <v>124</v>
      </c>
      <c r="M3370" s="10" t="s">
        <v>91</v>
      </c>
      <c r="N3370" s="10" t="s">
        <v>92</v>
      </c>
      <c r="O3370" s="19" t="s">
        <v>24030</v>
      </c>
      <c r="P3370" s="10"/>
      <c r="Q3370" s="10" t="s">
        <v>94</v>
      </c>
      <c r="R3370" s="19" t="s">
        <v>23976</v>
      </c>
      <c r="S3370" s="10"/>
      <c r="T3370" s="10"/>
      <c r="U3370" s="10"/>
      <c r="V3370" s="10"/>
      <c r="W3370" s="10" t="s">
        <v>9020</v>
      </c>
      <c r="X3370" s="10" t="s">
        <v>130</v>
      </c>
      <c r="Y3370" s="10" t="s">
        <v>130</v>
      </c>
      <c r="Z3370" s="10" t="s">
        <v>99</v>
      </c>
      <c r="AA3370" s="10" t="s">
        <v>131</v>
      </c>
      <c r="AB3370" s="10" t="s">
        <v>9021</v>
      </c>
      <c r="AC3370" s="10" t="s">
        <v>9022</v>
      </c>
      <c r="AD3370" s="10" t="s">
        <v>165</v>
      </c>
      <c r="AE3370" s="10" t="s">
        <v>24026</v>
      </c>
      <c r="AF3370" s="15"/>
      <c r="AG3370" s="10"/>
      <c r="AH3370" s="10"/>
      <c r="AI3370" s="10"/>
      <c r="AJ3370" s="10"/>
      <c r="AK3370" s="10" t="s">
        <v>102</v>
      </c>
      <c r="AL3370" s="10"/>
      <c r="AM3370" s="10"/>
      <c r="AN3370" s="10"/>
      <c r="AO3370" s="13" t="b">
        <v>0</v>
      </c>
      <c r="AP3370" s="22" t="s">
        <v>104</v>
      </c>
      <c r="AQ3370" s="10">
        <f ca="1">IFERROR(__xludf.DUMMYFUNCTION("""COMPUTED_VALUE"""),4786458)</f>
        <v>4786458</v>
      </c>
      <c r="AR3370" s="21">
        <v>246</v>
      </c>
      <c r="AS3370" s="21">
        <v>185</v>
      </c>
      <c r="AT3370" s="21">
        <v>1983.75</v>
      </c>
      <c r="AU3370" s="21">
        <v>0</v>
      </c>
      <c r="AV3370" s="21">
        <v>0</v>
      </c>
      <c r="AW3370" s="22" t="s">
        <v>105</v>
      </c>
      <c r="AX3370" s="21">
        <v>91</v>
      </c>
      <c r="AY3370" s="18">
        <v>10.722972972972974</v>
      </c>
      <c r="AZ3370" s="10"/>
      <c r="BA3370" s="20" t="b">
        <v>0</v>
      </c>
      <c r="BB3370" s="10" t="s">
        <v>24011</v>
      </c>
      <c r="BC3370" s="17">
        <v>246</v>
      </c>
      <c r="BD3370" s="17">
        <v>185</v>
      </c>
      <c r="BE3370" s="17">
        <v>1983.75</v>
      </c>
      <c r="BF3370" s="17">
        <v>0</v>
      </c>
      <c r="BG3370" s="11">
        <f ca="1">IFERROR(__xludf.DUMMYFUNCTION("""COMPUTED_VALUE"""),46012.4027777777)</f>
        <v>46012.402777777701</v>
      </c>
      <c r="BH3370" s="17" t="s">
        <v>105</v>
      </c>
      <c r="BI3370" s="17"/>
      <c r="BJ3370" s="15"/>
      <c r="BK3370" s="15"/>
      <c r="BL3370" s="13" t="b">
        <v>0</v>
      </c>
      <c r="BM3370" s="10"/>
      <c r="BN3370" s="10" t="s">
        <v>197</v>
      </c>
      <c r="BO3370" s="11">
        <v>46010.55</v>
      </c>
      <c r="BP3370" s="11">
        <v>46010.550370370373</v>
      </c>
      <c r="BQ3370" s="15"/>
      <c r="BR3370" s="15">
        <v>46010.596539351849</v>
      </c>
      <c r="BS3370" s="10" t="s">
        <v>197</v>
      </c>
      <c r="BT3370" s="10"/>
      <c r="BU3370" s="10"/>
      <c r="BV3370" s="10"/>
      <c r="BW3370" s="10"/>
      <c r="BX3370" s="10"/>
      <c r="BY3370" s="23"/>
      <c r="BZ3370" s="23"/>
      <c r="CA3370" s="10"/>
      <c r="CB3370" s="23"/>
      <c r="CC3370" s="23"/>
      <c r="CD3370" s="23"/>
      <c r="CE3370" s="23"/>
      <c r="CF3370" s="23"/>
      <c r="CG3370" s="23"/>
      <c r="CH3370" s="23"/>
      <c r="CI3370" s="23"/>
    </row>
    <row r="3371" spans="1:87" x14ac:dyDescent="0.3">
      <c r="A3371" s="9" t="s">
        <v>24031</v>
      </c>
      <c r="B3371" s="10" t="s">
        <v>24032</v>
      </c>
      <c r="C3371" s="11">
        <v>46012.5</v>
      </c>
      <c r="D3371" s="12">
        <v>3.125E-2</v>
      </c>
      <c r="E3371" s="11">
        <v>46012.53125</v>
      </c>
      <c r="F3371" s="22" t="s">
        <v>9016</v>
      </c>
      <c r="G3371" s="13" t="b">
        <v>0</v>
      </c>
      <c r="H3371" s="22" t="s">
        <v>9017</v>
      </c>
      <c r="I3371" s="10" t="s">
        <v>212</v>
      </c>
      <c r="J3371" s="13" t="b">
        <v>1</v>
      </c>
      <c r="K3371" s="13" t="b">
        <v>0</v>
      </c>
      <c r="L3371" s="10" t="s">
        <v>124</v>
      </c>
      <c r="M3371" s="10" t="s">
        <v>91</v>
      </c>
      <c r="N3371" s="10" t="s">
        <v>92</v>
      </c>
      <c r="O3371" s="19" t="s">
        <v>24033</v>
      </c>
      <c r="P3371" s="10"/>
      <c r="Q3371" s="10" t="s">
        <v>94</v>
      </c>
      <c r="R3371" s="19" t="s">
        <v>23976</v>
      </c>
      <c r="S3371" s="10"/>
      <c r="T3371" s="10"/>
      <c r="U3371" s="10"/>
      <c r="V3371" s="10"/>
      <c r="W3371" s="10" t="s">
        <v>9020</v>
      </c>
      <c r="X3371" s="10" t="s">
        <v>130</v>
      </c>
      <c r="Y3371" s="10" t="s">
        <v>130</v>
      </c>
      <c r="Z3371" s="10" t="s">
        <v>99</v>
      </c>
      <c r="AA3371" s="10" t="s">
        <v>131</v>
      </c>
      <c r="AB3371" s="10" t="s">
        <v>9021</v>
      </c>
      <c r="AC3371" s="10" t="s">
        <v>9022</v>
      </c>
      <c r="AD3371" s="10" t="s">
        <v>165</v>
      </c>
      <c r="AE3371" s="10" t="s">
        <v>24034</v>
      </c>
      <c r="AF3371" s="15"/>
      <c r="AG3371" s="10"/>
      <c r="AH3371" s="10"/>
      <c r="AI3371" s="10"/>
      <c r="AJ3371" s="10"/>
      <c r="AK3371" s="10" t="s">
        <v>102</v>
      </c>
      <c r="AL3371" s="10"/>
      <c r="AM3371" s="10"/>
      <c r="AN3371" s="10"/>
      <c r="AO3371" s="13" t="b">
        <v>0</v>
      </c>
      <c r="AP3371" s="22" t="s">
        <v>104</v>
      </c>
      <c r="AQ3371" s="10">
        <f ca="1">IFERROR(__xludf.DUMMYFUNCTION("""COMPUTED_VALUE"""),4786459)</f>
        <v>4786459</v>
      </c>
      <c r="AR3371" s="21">
        <v>310</v>
      </c>
      <c r="AS3371" s="21">
        <v>242</v>
      </c>
      <c r="AT3371" s="21">
        <v>1852</v>
      </c>
      <c r="AU3371" s="21">
        <v>0</v>
      </c>
      <c r="AV3371" s="21">
        <v>0</v>
      </c>
      <c r="AW3371" s="22" t="s">
        <v>105</v>
      </c>
      <c r="AX3371" s="21">
        <v>54</v>
      </c>
      <c r="AY3371" s="18">
        <v>7.6528925619834709</v>
      </c>
      <c r="AZ3371" s="10"/>
      <c r="BA3371" s="20" t="b">
        <v>0</v>
      </c>
      <c r="BB3371" s="10" t="s">
        <v>24011</v>
      </c>
      <c r="BC3371" s="17">
        <v>310</v>
      </c>
      <c r="BD3371" s="17">
        <v>242</v>
      </c>
      <c r="BE3371" s="17">
        <v>1852</v>
      </c>
      <c r="BF3371" s="17">
        <v>0</v>
      </c>
      <c r="BG3371" s="11">
        <f ca="1">IFERROR(__xludf.DUMMYFUNCTION("""COMPUTED_VALUE"""),46012.5)</f>
        <v>46012.5</v>
      </c>
      <c r="BH3371" s="17" t="s">
        <v>105</v>
      </c>
      <c r="BI3371" s="17"/>
      <c r="BJ3371" s="15"/>
      <c r="BK3371" s="15"/>
      <c r="BL3371" s="13" t="b">
        <v>0</v>
      </c>
      <c r="BM3371" s="10"/>
      <c r="BN3371" s="10" t="s">
        <v>197</v>
      </c>
      <c r="BO3371" s="11">
        <v>46010.550694444442</v>
      </c>
      <c r="BP3371" s="11">
        <v>46010.551030092596</v>
      </c>
      <c r="BQ3371" s="15"/>
      <c r="BR3371" s="15">
        <v>46010.596643518518</v>
      </c>
      <c r="BS3371" s="10" t="s">
        <v>197</v>
      </c>
      <c r="BT3371" s="10"/>
      <c r="BU3371" s="10"/>
      <c r="BV3371" s="10"/>
      <c r="BW3371" s="10"/>
      <c r="BX3371" s="10"/>
      <c r="BY3371" s="23"/>
      <c r="BZ3371" s="23"/>
      <c r="CA3371" s="10"/>
      <c r="CB3371" s="23"/>
      <c r="CC3371" s="23"/>
      <c r="CD3371" s="23"/>
      <c r="CE3371" s="23"/>
      <c r="CF3371" s="23"/>
      <c r="CG3371" s="23"/>
      <c r="CH3371" s="23"/>
      <c r="CI3371" s="23"/>
    </row>
    <row r="3372" spans="1:87" x14ac:dyDescent="0.3">
      <c r="A3372" s="9" t="s">
        <v>24035</v>
      </c>
      <c r="B3372" s="10" t="s">
        <v>24036</v>
      </c>
      <c r="C3372" s="11">
        <v>46012.534722222219</v>
      </c>
      <c r="D3372" s="12">
        <v>3.125E-2</v>
      </c>
      <c r="E3372" s="11">
        <v>46012.565972222219</v>
      </c>
      <c r="F3372" s="22" t="s">
        <v>9016</v>
      </c>
      <c r="G3372" s="13" t="b">
        <v>0</v>
      </c>
      <c r="H3372" s="22" t="s">
        <v>9017</v>
      </c>
      <c r="I3372" s="10" t="s">
        <v>212</v>
      </c>
      <c r="J3372" s="13" t="b">
        <v>1</v>
      </c>
      <c r="K3372" s="13" t="b">
        <v>0</v>
      </c>
      <c r="L3372" s="10" t="s">
        <v>124</v>
      </c>
      <c r="M3372" s="10" t="s">
        <v>91</v>
      </c>
      <c r="N3372" s="10" t="s">
        <v>92</v>
      </c>
      <c r="O3372" s="19" t="s">
        <v>24037</v>
      </c>
      <c r="P3372" s="10"/>
      <c r="Q3372" s="10" t="s">
        <v>94</v>
      </c>
      <c r="R3372" s="19" t="s">
        <v>23976</v>
      </c>
      <c r="S3372" s="10"/>
      <c r="T3372" s="10"/>
      <c r="U3372" s="10"/>
      <c r="V3372" s="10"/>
      <c r="W3372" s="10" t="s">
        <v>9020</v>
      </c>
      <c r="X3372" s="10" t="s">
        <v>130</v>
      </c>
      <c r="Y3372" s="10" t="s">
        <v>130</v>
      </c>
      <c r="Z3372" s="10" t="s">
        <v>99</v>
      </c>
      <c r="AA3372" s="10" t="s">
        <v>131</v>
      </c>
      <c r="AB3372" s="10" t="s">
        <v>9021</v>
      </c>
      <c r="AC3372" s="10" t="s">
        <v>9022</v>
      </c>
      <c r="AD3372" s="10" t="s">
        <v>165</v>
      </c>
      <c r="AE3372" s="10" t="s">
        <v>24038</v>
      </c>
      <c r="AF3372" s="15"/>
      <c r="AG3372" s="10"/>
      <c r="AH3372" s="10"/>
      <c r="AI3372" s="10"/>
      <c r="AJ3372" s="10"/>
      <c r="AK3372" s="10" t="s">
        <v>102</v>
      </c>
      <c r="AL3372" s="10"/>
      <c r="AM3372" s="10"/>
      <c r="AN3372" s="10"/>
      <c r="AO3372" s="13" t="b">
        <v>0</v>
      </c>
      <c r="AP3372" s="22" t="s">
        <v>104</v>
      </c>
      <c r="AQ3372" s="10">
        <f ca="1">IFERROR(__xludf.DUMMYFUNCTION("""COMPUTED_VALUE"""),4786460)</f>
        <v>4786460</v>
      </c>
      <c r="AR3372" s="21">
        <v>202</v>
      </c>
      <c r="AS3372" s="21">
        <v>164</v>
      </c>
      <c r="AT3372" s="21">
        <v>1642</v>
      </c>
      <c r="AU3372" s="21">
        <v>0.75</v>
      </c>
      <c r="AV3372" s="21">
        <v>0.75</v>
      </c>
      <c r="AW3372" s="22" t="s">
        <v>105</v>
      </c>
      <c r="AX3372" s="21">
        <v>72</v>
      </c>
      <c r="AY3372" s="18">
        <v>10.012195121951219</v>
      </c>
      <c r="AZ3372" s="10"/>
      <c r="BA3372" s="20" t="b">
        <v>0</v>
      </c>
      <c r="BB3372" s="10" t="s">
        <v>24011</v>
      </c>
      <c r="BC3372" s="17">
        <v>202</v>
      </c>
      <c r="BD3372" s="17">
        <v>164</v>
      </c>
      <c r="BE3372" s="17">
        <v>1642</v>
      </c>
      <c r="BF3372" s="17">
        <v>0.75</v>
      </c>
      <c r="BG3372" s="11">
        <f ca="1">IFERROR(__xludf.DUMMYFUNCTION("""COMPUTED_VALUE"""),46012.5347222222)</f>
        <v>46012.534722222197</v>
      </c>
      <c r="BH3372" s="17" t="s">
        <v>105</v>
      </c>
      <c r="BI3372" s="17"/>
      <c r="BJ3372" s="15"/>
      <c r="BK3372" s="15"/>
      <c r="BL3372" s="13" t="b">
        <v>0</v>
      </c>
      <c r="BM3372" s="10"/>
      <c r="BN3372" s="10" t="s">
        <v>197</v>
      </c>
      <c r="BO3372" s="11">
        <v>46010.550694444442</v>
      </c>
      <c r="BP3372" s="11">
        <v>46010.551435185182</v>
      </c>
      <c r="BQ3372" s="15"/>
      <c r="BR3372" s="15">
        <v>46010.596736111111</v>
      </c>
      <c r="BS3372" s="10" t="s">
        <v>197</v>
      </c>
      <c r="BT3372" s="10"/>
      <c r="BU3372" s="10"/>
      <c r="BV3372" s="10"/>
      <c r="BW3372" s="10"/>
      <c r="BX3372" s="10"/>
      <c r="BY3372" s="23"/>
      <c r="BZ3372" s="23"/>
      <c r="CA3372" s="10"/>
      <c r="CB3372" s="23"/>
      <c r="CC3372" s="23"/>
      <c r="CD3372" s="23"/>
      <c r="CE3372" s="23"/>
      <c r="CF3372" s="23"/>
      <c r="CG3372" s="23"/>
      <c r="CH3372" s="23"/>
      <c r="CI3372" s="23"/>
    </row>
    <row r="3373" spans="1:87" x14ac:dyDescent="0.3">
      <c r="A3373" s="9" t="s">
        <v>24039</v>
      </c>
      <c r="B3373" s="10" t="s">
        <v>24040</v>
      </c>
      <c r="C3373" s="11">
        <v>46012.5</v>
      </c>
      <c r="D3373" s="12">
        <v>0.15625</v>
      </c>
      <c r="E3373" s="11">
        <v>46012.65625</v>
      </c>
      <c r="F3373" s="22" t="s">
        <v>19136</v>
      </c>
      <c r="G3373" s="13" t="b">
        <v>0</v>
      </c>
      <c r="H3373" s="22" t="s">
        <v>9017</v>
      </c>
      <c r="I3373" s="10" t="s">
        <v>212</v>
      </c>
      <c r="J3373" s="13" t="b">
        <v>1</v>
      </c>
      <c r="K3373" s="13" t="b">
        <v>0</v>
      </c>
      <c r="L3373" s="10" t="s">
        <v>124</v>
      </c>
      <c r="M3373" s="10" t="s">
        <v>91</v>
      </c>
      <c r="N3373" s="10" t="s">
        <v>92</v>
      </c>
      <c r="O3373" s="19" t="s">
        <v>24041</v>
      </c>
      <c r="P3373" s="10"/>
      <c r="Q3373" s="10" t="s">
        <v>94</v>
      </c>
      <c r="R3373" s="19" t="s">
        <v>19142</v>
      </c>
      <c r="S3373" s="19" t="s">
        <v>19862</v>
      </c>
      <c r="T3373" s="10"/>
      <c r="U3373" s="10"/>
      <c r="V3373" s="10"/>
      <c r="W3373" s="10" t="s">
        <v>19139</v>
      </c>
      <c r="X3373" s="10" t="s">
        <v>130</v>
      </c>
      <c r="Y3373" s="10" t="s">
        <v>130</v>
      </c>
      <c r="Z3373" s="10" t="s">
        <v>99</v>
      </c>
      <c r="AA3373" s="10" t="s">
        <v>131</v>
      </c>
      <c r="AB3373" s="10" t="s">
        <v>19140</v>
      </c>
      <c r="AC3373" s="10" t="s">
        <v>9022</v>
      </c>
      <c r="AD3373" s="10" t="s">
        <v>165</v>
      </c>
      <c r="AE3373" s="10" t="s">
        <v>24042</v>
      </c>
      <c r="AF3373" s="15"/>
      <c r="AG3373" s="10"/>
      <c r="AH3373" s="10"/>
      <c r="AI3373" s="10"/>
      <c r="AJ3373" s="10"/>
      <c r="AK3373" s="10" t="s">
        <v>102</v>
      </c>
      <c r="AL3373" s="10" t="s">
        <v>220</v>
      </c>
      <c r="AM3373" s="10"/>
      <c r="AN3373" s="10"/>
      <c r="AO3373" s="13" t="b">
        <v>0</v>
      </c>
      <c r="AP3373" s="22" t="s">
        <v>104</v>
      </c>
      <c r="AQ3373" s="10">
        <f ca="1">IFERROR(__xludf.DUMMYFUNCTION("""COMPUTED_VALUE"""),20112)</f>
        <v>20112</v>
      </c>
      <c r="AR3373" s="17">
        <v>0</v>
      </c>
      <c r="AS3373" s="17">
        <v>0</v>
      </c>
      <c r="AT3373" s="17">
        <v>0</v>
      </c>
      <c r="AU3373" s="17">
        <v>0</v>
      </c>
      <c r="AV3373" s="17">
        <v>0</v>
      </c>
      <c r="AW3373" s="10" t="s">
        <v>105</v>
      </c>
      <c r="AX3373" s="17"/>
      <c r="AY3373" s="18">
        <v>14.4599609375</v>
      </c>
      <c r="AZ3373" s="10"/>
      <c r="BA3373" s="20" t="b">
        <v>1</v>
      </c>
      <c r="BB3373" s="10"/>
      <c r="BC3373" s="17">
        <v>1364</v>
      </c>
      <c r="BD3373" s="17">
        <v>768</v>
      </c>
      <c r="BE3373" s="17">
        <v>11105.25</v>
      </c>
      <c r="BF3373" s="17">
        <v>0</v>
      </c>
      <c r="BG3373" s="11">
        <f ca="1">IFERROR(__xludf.DUMMYFUNCTION("""COMPUTED_VALUE"""),46012.5)</f>
        <v>46012.5</v>
      </c>
      <c r="BH3373" s="17" t="s">
        <v>105</v>
      </c>
      <c r="BI3373" s="17"/>
      <c r="BJ3373" s="15"/>
      <c r="BK3373" s="15"/>
      <c r="BL3373" s="13" t="b">
        <v>0</v>
      </c>
      <c r="BM3373" s="10"/>
      <c r="BN3373" s="10" t="s">
        <v>223</v>
      </c>
      <c r="BO3373" s="11">
        <v>46010.552083333336</v>
      </c>
      <c r="BP3373" s="11">
        <v>46010.552210648151</v>
      </c>
      <c r="BQ3373" s="15">
        <v>46022.445104166669</v>
      </c>
      <c r="BR3373" s="15">
        <v>46010.598807870374</v>
      </c>
      <c r="BS3373" s="10"/>
      <c r="BT3373" s="10"/>
      <c r="BU3373" s="10"/>
      <c r="BV3373" s="10"/>
      <c r="BW3373" s="10"/>
      <c r="BX3373" s="10"/>
      <c r="BY3373" s="23"/>
      <c r="BZ3373" s="23"/>
      <c r="CA3373" s="19" t="s">
        <v>19142</v>
      </c>
      <c r="CB3373" s="23"/>
      <c r="CC3373" s="23"/>
      <c r="CD3373" s="23"/>
      <c r="CE3373" s="23"/>
      <c r="CF3373" s="23"/>
      <c r="CG3373" s="23"/>
      <c r="CH3373" s="23"/>
      <c r="CI3373" s="23"/>
    </row>
    <row r="3374" spans="1:87" x14ac:dyDescent="0.3">
      <c r="A3374" s="9" t="s">
        <v>24043</v>
      </c>
      <c r="B3374" s="10" t="s">
        <v>24044</v>
      </c>
      <c r="C3374" s="11">
        <v>46012.5</v>
      </c>
      <c r="D3374" s="12">
        <v>5.2083333333333336E-2</v>
      </c>
      <c r="E3374" s="11">
        <v>46012.552083333336</v>
      </c>
      <c r="F3374" s="22" t="s">
        <v>19136</v>
      </c>
      <c r="G3374" s="13" t="b">
        <v>0</v>
      </c>
      <c r="H3374" s="22" t="s">
        <v>9017</v>
      </c>
      <c r="I3374" s="10" t="s">
        <v>212</v>
      </c>
      <c r="J3374" s="13" t="b">
        <v>1</v>
      </c>
      <c r="K3374" s="13" t="b">
        <v>0</v>
      </c>
      <c r="L3374" s="10" t="s">
        <v>124</v>
      </c>
      <c r="M3374" s="10" t="s">
        <v>91</v>
      </c>
      <c r="N3374" s="10" t="s">
        <v>92</v>
      </c>
      <c r="O3374" s="19" t="s">
        <v>24045</v>
      </c>
      <c r="P3374" s="10"/>
      <c r="Q3374" s="10" t="s">
        <v>94</v>
      </c>
      <c r="R3374" s="19" t="s">
        <v>19142</v>
      </c>
      <c r="S3374" s="10"/>
      <c r="T3374" s="10"/>
      <c r="U3374" s="10"/>
      <c r="V3374" s="10"/>
      <c r="W3374" s="10" t="s">
        <v>19139</v>
      </c>
      <c r="X3374" s="10" t="s">
        <v>130</v>
      </c>
      <c r="Y3374" s="10" t="s">
        <v>130</v>
      </c>
      <c r="Z3374" s="10" t="s">
        <v>99</v>
      </c>
      <c r="AA3374" s="10" t="s">
        <v>131</v>
      </c>
      <c r="AB3374" s="10" t="s">
        <v>19140</v>
      </c>
      <c r="AC3374" s="10" t="s">
        <v>9022</v>
      </c>
      <c r="AD3374" s="10" t="s">
        <v>165</v>
      </c>
      <c r="AE3374" s="10" t="s">
        <v>24046</v>
      </c>
      <c r="AF3374" s="15"/>
      <c r="AG3374" s="10"/>
      <c r="AH3374" s="10"/>
      <c r="AI3374" s="10"/>
      <c r="AJ3374" s="10"/>
      <c r="AK3374" s="10" t="s">
        <v>102</v>
      </c>
      <c r="AL3374" s="10" t="s">
        <v>7897</v>
      </c>
      <c r="AM3374" s="10"/>
      <c r="AN3374" s="10"/>
      <c r="AO3374" s="13" t="b">
        <v>0</v>
      </c>
      <c r="AP3374" s="22" t="s">
        <v>104</v>
      </c>
      <c r="AQ3374" s="10">
        <f ca="1">IFERROR(__xludf.DUMMYFUNCTION("""COMPUTED_VALUE"""),4786462)</f>
        <v>4786462</v>
      </c>
      <c r="AR3374" s="17">
        <v>446</v>
      </c>
      <c r="AS3374" s="17">
        <v>247</v>
      </c>
      <c r="AT3374" s="17">
        <v>3397</v>
      </c>
      <c r="AU3374" s="17">
        <v>0</v>
      </c>
      <c r="AV3374" s="17">
        <v>0</v>
      </c>
      <c r="AW3374" s="10" t="s">
        <v>105</v>
      </c>
      <c r="AX3374" s="17">
        <v>107</v>
      </c>
      <c r="AY3374" s="18">
        <v>13.753036437246964</v>
      </c>
      <c r="AZ3374" s="10"/>
      <c r="BA3374" s="20" t="b">
        <v>0</v>
      </c>
      <c r="BB3374" s="10" t="s">
        <v>24039</v>
      </c>
      <c r="BC3374" s="17">
        <v>446</v>
      </c>
      <c r="BD3374" s="17">
        <v>247</v>
      </c>
      <c r="BE3374" s="17">
        <v>3397</v>
      </c>
      <c r="BF3374" s="17">
        <v>0</v>
      </c>
      <c r="BG3374" s="11">
        <f ca="1">IFERROR(__xludf.DUMMYFUNCTION("""COMPUTED_VALUE"""),46012.5)</f>
        <v>46012.5</v>
      </c>
      <c r="BH3374" s="17" t="s">
        <v>105</v>
      </c>
      <c r="BI3374" s="17"/>
      <c r="BJ3374" s="15"/>
      <c r="BK3374" s="15"/>
      <c r="BL3374" s="13" t="b">
        <v>0</v>
      </c>
      <c r="BM3374" s="10"/>
      <c r="BN3374" s="10" t="s">
        <v>197</v>
      </c>
      <c r="BO3374" s="11">
        <v>46010.553472222222</v>
      </c>
      <c r="BP3374" s="11">
        <v>46010.554212962961</v>
      </c>
      <c r="BQ3374" s="15"/>
      <c r="BR3374" s="15">
        <v>46010.598958333336</v>
      </c>
      <c r="BS3374" s="10" t="s">
        <v>197</v>
      </c>
      <c r="BT3374" s="10"/>
      <c r="BU3374" s="10"/>
      <c r="BV3374" s="10"/>
      <c r="BW3374" s="10"/>
      <c r="BX3374" s="10"/>
      <c r="BY3374" s="23"/>
      <c r="BZ3374" s="23"/>
      <c r="CA3374" s="10"/>
      <c r="CB3374" s="23"/>
      <c r="CC3374" s="23"/>
      <c r="CD3374" s="23"/>
      <c r="CE3374" s="23"/>
      <c r="CF3374" s="23"/>
      <c r="CG3374" s="23"/>
      <c r="CH3374" s="23"/>
      <c r="CI3374" s="23"/>
    </row>
    <row r="3375" spans="1:87" x14ac:dyDescent="0.3">
      <c r="A3375" s="9" t="s">
        <v>24047</v>
      </c>
      <c r="B3375" s="10" t="s">
        <v>24048</v>
      </c>
      <c r="C3375" s="11">
        <v>46012.552083333336</v>
      </c>
      <c r="D3375" s="12">
        <v>5.2083333333333336E-2</v>
      </c>
      <c r="E3375" s="11">
        <v>46012.604166666664</v>
      </c>
      <c r="F3375" s="22" t="s">
        <v>19136</v>
      </c>
      <c r="G3375" s="13" t="b">
        <v>0</v>
      </c>
      <c r="H3375" s="22" t="s">
        <v>9017</v>
      </c>
      <c r="I3375" s="10" t="s">
        <v>212</v>
      </c>
      <c r="J3375" s="13" t="b">
        <v>1</v>
      </c>
      <c r="K3375" s="13" t="b">
        <v>0</v>
      </c>
      <c r="L3375" s="10" t="s">
        <v>124</v>
      </c>
      <c r="M3375" s="10" t="s">
        <v>91</v>
      </c>
      <c r="N3375" s="10" t="s">
        <v>92</v>
      </c>
      <c r="O3375" s="19" t="s">
        <v>24049</v>
      </c>
      <c r="P3375" s="10"/>
      <c r="Q3375" s="10" t="s">
        <v>94</v>
      </c>
      <c r="R3375" s="19" t="s">
        <v>19142</v>
      </c>
      <c r="S3375" s="10"/>
      <c r="T3375" s="10"/>
      <c r="U3375" s="10"/>
      <c r="V3375" s="10"/>
      <c r="W3375" s="10" t="s">
        <v>19139</v>
      </c>
      <c r="X3375" s="10" t="s">
        <v>130</v>
      </c>
      <c r="Y3375" s="10" t="s">
        <v>130</v>
      </c>
      <c r="Z3375" s="10" t="s">
        <v>99</v>
      </c>
      <c r="AA3375" s="10" t="s">
        <v>131</v>
      </c>
      <c r="AB3375" s="10" t="s">
        <v>19140</v>
      </c>
      <c r="AC3375" s="10" t="s">
        <v>9022</v>
      </c>
      <c r="AD3375" s="10" t="s">
        <v>165</v>
      </c>
      <c r="AE3375" s="10" t="s">
        <v>24050</v>
      </c>
      <c r="AF3375" s="15"/>
      <c r="AG3375" s="10"/>
      <c r="AH3375" s="10"/>
      <c r="AI3375" s="10"/>
      <c r="AJ3375" s="10"/>
      <c r="AK3375" s="10" t="s">
        <v>102</v>
      </c>
      <c r="AL3375" s="10" t="s">
        <v>7897</v>
      </c>
      <c r="AM3375" s="10"/>
      <c r="AN3375" s="10"/>
      <c r="AO3375" s="13" t="b">
        <v>0</v>
      </c>
      <c r="AP3375" s="22" t="s">
        <v>104</v>
      </c>
      <c r="AQ3375" s="10">
        <f ca="1">IFERROR(__xludf.DUMMYFUNCTION("""COMPUTED_VALUE"""),4786464)</f>
        <v>4786464</v>
      </c>
      <c r="AR3375" s="17">
        <v>389</v>
      </c>
      <c r="AS3375" s="17">
        <v>228</v>
      </c>
      <c r="AT3375" s="17">
        <v>2949.25</v>
      </c>
      <c r="AU3375" s="17">
        <v>0</v>
      </c>
      <c r="AV3375" s="17">
        <v>0</v>
      </c>
      <c r="AW3375" s="10" t="s">
        <v>105</v>
      </c>
      <c r="AX3375" s="17">
        <v>118</v>
      </c>
      <c r="AY3375" s="18">
        <v>12.93530701754386</v>
      </c>
      <c r="AZ3375" s="10"/>
      <c r="BA3375" s="20" t="b">
        <v>0</v>
      </c>
      <c r="BB3375" s="10" t="s">
        <v>24039</v>
      </c>
      <c r="BC3375" s="17">
        <v>389</v>
      </c>
      <c r="BD3375" s="17">
        <v>228</v>
      </c>
      <c r="BE3375" s="17">
        <v>2949.25</v>
      </c>
      <c r="BF3375" s="17">
        <v>0</v>
      </c>
      <c r="BG3375" s="11">
        <f ca="1">IFERROR(__xludf.DUMMYFUNCTION("""COMPUTED_VALUE"""),46012.5520833333)</f>
        <v>46012.552083333299</v>
      </c>
      <c r="BH3375" s="17" t="s">
        <v>105</v>
      </c>
      <c r="BI3375" s="17"/>
      <c r="BJ3375" s="15"/>
      <c r="BK3375" s="15"/>
      <c r="BL3375" s="13" t="b">
        <v>0</v>
      </c>
      <c r="BM3375" s="10"/>
      <c r="BN3375" s="10" t="s">
        <v>197</v>
      </c>
      <c r="BO3375" s="11">
        <v>46010.554166666669</v>
      </c>
      <c r="BP3375" s="11">
        <v>46010.554837962962</v>
      </c>
      <c r="BQ3375" s="15"/>
      <c r="BR3375" s="15">
        <v>46010.599074074074</v>
      </c>
      <c r="BS3375" s="10" t="s">
        <v>197</v>
      </c>
      <c r="BT3375" s="10"/>
      <c r="BU3375" s="10"/>
      <c r="BV3375" s="10"/>
      <c r="BW3375" s="10"/>
      <c r="BX3375" s="10"/>
      <c r="BY3375" s="23"/>
      <c r="BZ3375" s="23"/>
      <c r="CA3375" s="10"/>
      <c r="CB3375" s="23"/>
      <c r="CC3375" s="23"/>
      <c r="CD3375" s="23"/>
      <c r="CE3375" s="23"/>
      <c r="CF3375" s="23"/>
      <c r="CG3375" s="23"/>
      <c r="CH3375" s="23"/>
      <c r="CI3375" s="23"/>
    </row>
    <row r="3376" spans="1:87" x14ac:dyDescent="0.3">
      <c r="A3376" s="9" t="s">
        <v>24051</v>
      </c>
      <c r="B3376" s="10" t="s">
        <v>24052</v>
      </c>
      <c r="C3376" s="11">
        <v>46012.604166666664</v>
      </c>
      <c r="D3376" s="12">
        <v>5.2083333333333336E-2</v>
      </c>
      <c r="E3376" s="11">
        <v>46012.65625</v>
      </c>
      <c r="F3376" s="22" t="s">
        <v>19136</v>
      </c>
      <c r="G3376" s="13" t="b">
        <v>0</v>
      </c>
      <c r="H3376" s="22" t="s">
        <v>9017</v>
      </c>
      <c r="I3376" s="10" t="s">
        <v>212</v>
      </c>
      <c r="J3376" s="13" t="b">
        <v>1</v>
      </c>
      <c r="K3376" s="13" t="b">
        <v>0</v>
      </c>
      <c r="L3376" s="10" t="s">
        <v>124</v>
      </c>
      <c r="M3376" s="10" t="s">
        <v>91</v>
      </c>
      <c r="N3376" s="10" t="s">
        <v>92</v>
      </c>
      <c r="O3376" s="19" t="s">
        <v>24053</v>
      </c>
      <c r="P3376" s="10"/>
      <c r="Q3376" s="10" t="s">
        <v>94</v>
      </c>
      <c r="R3376" s="19" t="s">
        <v>19142</v>
      </c>
      <c r="S3376" s="10"/>
      <c r="T3376" s="10"/>
      <c r="U3376" s="10"/>
      <c r="V3376" s="10"/>
      <c r="W3376" s="10" t="s">
        <v>19139</v>
      </c>
      <c r="X3376" s="10" t="s">
        <v>130</v>
      </c>
      <c r="Y3376" s="10" t="s">
        <v>130</v>
      </c>
      <c r="Z3376" s="10" t="s">
        <v>99</v>
      </c>
      <c r="AA3376" s="10" t="s">
        <v>131</v>
      </c>
      <c r="AB3376" s="10" t="s">
        <v>19140</v>
      </c>
      <c r="AC3376" s="10" t="s">
        <v>9022</v>
      </c>
      <c r="AD3376" s="10" t="s">
        <v>165</v>
      </c>
      <c r="AE3376" s="10" t="s">
        <v>24054</v>
      </c>
      <c r="AF3376" s="15"/>
      <c r="AG3376" s="10"/>
      <c r="AH3376" s="10"/>
      <c r="AI3376" s="10"/>
      <c r="AJ3376" s="10"/>
      <c r="AK3376" s="10" t="s">
        <v>102</v>
      </c>
      <c r="AL3376" s="10" t="s">
        <v>7897</v>
      </c>
      <c r="AM3376" s="10"/>
      <c r="AN3376" s="10"/>
      <c r="AO3376" s="13" t="b">
        <v>0</v>
      </c>
      <c r="AP3376" s="22" t="s">
        <v>104</v>
      </c>
      <c r="AQ3376" s="10">
        <f ca="1">IFERROR(__xludf.DUMMYFUNCTION("""COMPUTED_VALUE"""),4786463)</f>
        <v>4786463</v>
      </c>
      <c r="AR3376" s="17">
        <v>529</v>
      </c>
      <c r="AS3376" s="17">
        <v>293</v>
      </c>
      <c r="AT3376" s="17">
        <v>4759</v>
      </c>
      <c r="AU3376" s="17">
        <v>0</v>
      </c>
      <c r="AV3376" s="17">
        <v>0</v>
      </c>
      <c r="AW3376" s="10" t="s">
        <v>105</v>
      </c>
      <c r="AX3376" s="17">
        <v>108</v>
      </c>
      <c r="AY3376" s="18">
        <v>16.242320819112628</v>
      </c>
      <c r="AZ3376" s="10"/>
      <c r="BA3376" s="20" t="b">
        <v>0</v>
      </c>
      <c r="BB3376" s="10" t="s">
        <v>24039</v>
      </c>
      <c r="BC3376" s="17">
        <v>529</v>
      </c>
      <c r="BD3376" s="17">
        <v>293</v>
      </c>
      <c r="BE3376" s="17">
        <v>4759</v>
      </c>
      <c r="BF3376" s="17">
        <v>0</v>
      </c>
      <c r="BG3376" s="11">
        <f ca="1">IFERROR(__xludf.DUMMYFUNCTION("""COMPUTED_VALUE"""),46012.6041666666)</f>
        <v>46012.604166666599</v>
      </c>
      <c r="BH3376" s="17" t="s">
        <v>105</v>
      </c>
      <c r="BI3376" s="17"/>
      <c r="BJ3376" s="15"/>
      <c r="BK3376" s="15"/>
      <c r="BL3376" s="13" t="b">
        <v>0</v>
      </c>
      <c r="BM3376" s="10"/>
      <c r="BN3376" s="10" t="s">
        <v>197</v>
      </c>
      <c r="BO3376" s="11">
        <v>46010.554861111108</v>
      </c>
      <c r="BP3376" s="11">
        <v>46010.555162037039</v>
      </c>
      <c r="BQ3376" s="15"/>
      <c r="BR3376" s="15">
        <v>46010.59920138889</v>
      </c>
      <c r="BS3376" s="10" t="s">
        <v>197</v>
      </c>
      <c r="BT3376" s="10"/>
      <c r="BU3376" s="10"/>
      <c r="BV3376" s="10"/>
      <c r="BW3376" s="10"/>
      <c r="BX3376" s="10"/>
      <c r="BY3376" s="23"/>
      <c r="BZ3376" s="23"/>
      <c r="CA3376" s="10"/>
      <c r="CB3376" s="23"/>
      <c r="CC3376" s="23"/>
      <c r="CD3376" s="23"/>
      <c r="CE3376" s="23"/>
      <c r="CF3376" s="23"/>
      <c r="CG3376" s="23"/>
      <c r="CH3376" s="23"/>
      <c r="CI3376" s="23"/>
    </row>
    <row r="3377" spans="1:87" x14ac:dyDescent="0.3">
      <c r="A3377" s="9" t="s">
        <v>24055</v>
      </c>
      <c r="B3377" s="10" t="s">
        <v>24056</v>
      </c>
      <c r="C3377" s="11">
        <v>46027.020833333336</v>
      </c>
      <c r="D3377" s="12">
        <v>8.3333333333333329E-2</v>
      </c>
      <c r="E3377" s="11">
        <v>46027.104166666664</v>
      </c>
      <c r="F3377" s="22" t="s">
        <v>262</v>
      </c>
      <c r="G3377" s="13" t="b">
        <v>0</v>
      </c>
      <c r="H3377" s="22" t="s">
        <v>527</v>
      </c>
      <c r="I3377" s="10" t="s">
        <v>264</v>
      </c>
      <c r="J3377" s="13" t="b">
        <v>0</v>
      </c>
      <c r="K3377" s="13" t="b">
        <v>1</v>
      </c>
      <c r="L3377" s="10" t="s">
        <v>124</v>
      </c>
      <c r="M3377" s="10" t="s">
        <v>91</v>
      </c>
      <c r="N3377" s="10" t="s">
        <v>265</v>
      </c>
      <c r="O3377" s="19" t="s">
        <v>24057</v>
      </c>
      <c r="P3377" s="10"/>
      <c r="Q3377" s="10" t="s">
        <v>94</v>
      </c>
      <c r="R3377" s="10"/>
      <c r="S3377" s="19" t="s">
        <v>24058</v>
      </c>
      <c r="T3377" s="10"/>
      <c r="U3377" s="10" t="s">
        <v>334</v>
      </c>
      <c r="V3377" s="10" t="s">
        <v>346</v>
      </c>
      <c r="W3377" s="10" t="s">
        <v>272</v>
      </c>
      <c r="X3377" s="10" t="s">
        <v>130</v>
      </c>
      <c r="Y3377" s="10" t="s">
        <v>130</v>
      </c>
      <c r="Z3377" s="10" t="s">
        <v>99</v>
      </c>
      <c r="AA3377" s="10" t="s">
        <v>131</v>
      </c>
      <c r="AB3377" s="10" t="s">
        <v>273</v>
      </c>
      <c r="AC3377" s="10" t="s">
        <v>274</v>
      </c>
      <c r="AD3377" s="10" t="s">
        <v>2361</v>
      </c>
      <c r="AE3377" s="10" t="s">
        <v>24059</v>
      </c>
      <c r="AF3377" s="15"/>
      <c r="AG3377" s="10"/>
      <c r="AH3377" s="10"/>
      <c r="AI3377" s="10"/>
      <c r="AJ3377" s="10"/>
      <c r="AK3377" s="10" t="s">
        <v>102</v>
      </c>
      <c r="AL3377" s="10" t="s">
        <v>2303</v>
      </c>
      <c r="AM3377" s="10"/>
      <c r="AN3377" s="10"/>
      <c r="AO3377" s="13" t="b">
        <v>0</v>
      </c>
      <c r="AP3377" s="22" t="s">
        <v>104</v>
      </c>
      <c r="AQ3377" s="10">
        <f ca="1">IFERROR(__xludf.DUMMYFUNCTION("""COMPUTED_VALUE"""),4827311)</f>
        <v>4827311</v>
      </c>
      <c r="AR3377" s="17">
        <v>7273</v>
      </c>
      <c r="AS3377" s="17">
        <v>6243</v>
      </c>
      <c r="AT3377" s="17">
        <v>69221.5</v>
      </c>
      <c r="AU3377" s="17">
        <v>19</v>
      </c>
      <c r="AV3377" s="17">
        <v>5.0999999999999996</v>
      </c>
      <c r="AW3377" s="10" t="s">
        <v>105</v>
      </c>
      <c r="AX3377" s="17">
        <v>1401</v>
      </c>
      <c r="AY3377" s="18">
        <v>11.087858401409578</v>
      </c>
      <c r="AZ3377" s="10" t="s">
        <v>136</v>
      </c>
      <c r="BA3377" s="20" t="b">
        <v>0</v>
      </c>
      <c r="BB3377" s="10"/>
      <c r="BC3377" s="17">
        <v>7273</v>
      </c>
      <c r="BD3377" s="17">
        <v>6243</v>
      </c>
      <c r="BE3377" s="17">
        <v>69221.5</v>
      </c>
      <c r="BF3377" s="17">
        <v>5.0999999999999996</v>
      </c>
      <c r="BG3377" s="11">
        <f ca="1">IFERROR(__xludf.DUMMYFUNCTION("""COMPUTED_VALUE"""),46027.0208333333)</f>
        <v>46027.020833333299</v>
      </c>
      <c r="BH3377" s="17" t="s">
        <v>105</v>
      </c>
      <c r="BI3377" s="17"/>
      <c r="BJ3377" s="15"/>
      <c r="BK3377" s="15"/>
      <c r="BL3377" s="13" t="b">
        <v>0</v>
      </c>
      <c r="BM3377" s="10"/>
      <c r="BN3377" s="10" t="s">
        <v>149</v>
      </c>
      <c r="BO3377" s="11">
        <v>46010.670138888891</v>
      </c>
      <c r="BP3377" s="11">
        <v>46024.725162037037</v>
      </c>
      <c r="BQ3377" s="15">
        <v>46019.781585648147</v>
      </c>
      <c r="BR3377" s="15">
        <v>46025.582627314812</v>
      </c>
      <c r="BS3377" s="10" t="s">
        <v>149</v>
      </c>
      <c r="BT3377" s="10"/>
      <c r="BU3377" s="10"/>
      <c r="BV3377" s="10"/>
      <c r="BW3377" s="10"/>
      <c r="BX3377" s="10"/>
      <c r="BY3377" s="23"/>
      <c r="BZ3377" s="23"/>
      <c r="CA3377" s="19" t="s">
        <v>24060</v>
      </c>
      <c r="CB3377" s="23"/>
      <c r="CC3377" s="23"/>
      <c r="CD3377" s="23"/>
      <c r="CE3377" s="23"/>
      <c r="CF3377" s="23"/>
      <c r="CG3377" s="23"/>
      <c r="CH3377" s="23"/>
      <c r="CI3377" s="23"/>
    </row>
    <row r="3378" spans="1:87" x14ac:dyDescent="0.3">
      <c r="A3378" s="9" t="s">
        <v>24061</v>
      </c>
      <c r="B3378" s="10" t="s">
        <v>17421</v>
      </c>
      <c r="C3378" s="11">
        <v>46065.03125</v>
      </c>
      <c r="D3378" s="12">
        <v>8.3333333333333329E-2</v>
      </c>
      <c r="E3378" s="11">
        <v>46065.114583333336</v>
      </c>
      <c r="F3378" s="22" t="s">
        <v>16149</v>
      </c>
      <c r="G3378" s="13" t="b">
        <v>0</v>
      </c>
      <c r="H3378" s="22"/>
      <c r="I3378" s="10" t="s">
        <v>89</v>
      </c>
      <c r="J3378" s="13" t="b">
        <v>0</v>
      </c>
      <c r="K3378" s="13" t="b">
        <v>1</v>
      </c>
      <c r="L3378" s="10" t="s">
        <v>124</v>
      </c>
      <c r="M3378" s="10" t="s">
        <v>91</v>
      </c>
      <c r="N3378" s="10" t="s">
        <v>92</v>
      </c>
      <c r="O3378" s="10"/>
      <c r="P3378" s="10"/>
      <c r="Q3378" s="10" t="s">
        <v>126</v>
      </c>
      <c r="R3378" s="10"/>
      <c r="S3378" s="10"/>
      <c r="T3378" s="10"/>
      <c r="U3378" s="10" t="s">
        <v>16165</v>
      </c>
      <c r="V3378" s="10" t="s">
        <v>15259</v>
      </c>
      <c r="W3378" s="10" t="s">
        <v>16154</v>
      </c>
      <c r="X3378" s="10" t="s">
        <v>130</v>
      </c>
      <c r="Y3378" s="10" t="s">
        <v>130</v>
      </c>
      <c r="Z3378" s="10" t="s">
        <v>99</v>
      </c>
      <c r="AA3378" s="10" t="s">
        <v>131</v>
      </c>
      <c r="AB3378" s="10" t="s">
        <v>16155</v>
      </c>
      <c r="AC3378" s="10" t="s">
        <v>3571</v>
      </c>
      <c r="AD3378" s="10" t="s">
        <v>17423</v>
      </c>
      <c r="AE3378" s="10" t="s">
        <v>17424</v>
      </c>
      <c r="AF3378" s="15"/>
      <c r="AG3378" s="10"/>
      <c r="AH3378" s="10"/>
      <c r="AI3378" s="10"/>
      <c r="AJ3378" s="10"/>
      <c r="AK3378" s="10"/>
      <c r="AL3378" s="10"/>
      <c r="AM3378" s="10"/>
      <c r="AN3378" s="10"/>
      <c r="AO3378" s="13" t="b">
        <v>0</v>
      </c>
      <c r="AP3378" s="22" t="s">
        <v>135</v>
      </c>
      <c r="AQ3378" s="10"/>
      <c r="AR3378" s="17"/>
      <c r="AS3378" s="17"/>
      <c r="AT3378" s="17"/>
      <c r="AU3378" s="17"/>
      <c r="AV3378" s="17"/>
      <c r="AW3378" s="10"/>
      <c r="AX3378" s="17"/>
      <c r="AY3378" s="18" t="s">
        <v>257</v>
      </c>
      <c r="AZ3378" s="10"/>
      <c r="BA3378" s="20" t="b">
        <v>0</v>
      </c>
      <c r="BB3378" s="10"/>
      <c r="BC3378" s="17" t="s">
        <v>257</v>
      </c>
      <c r="BD3378" s="17" t="s">
        <v>257</v>
      </c>
      <c r="BE3378" s="17" t="s">
        <v>257</v>
      </c>
      <c r="BF3378" s="17" t="s">
        <v>257</v>
      </c>
      <c r="BG3378" s="11">
        <f ca="1">IFERROR(__xludf.DUMMYFUNCTION("""COMPUTED_VALUE"""),46065.03125)</f>
        <v>46065.03125</v>
      </c>
      <c r="BH3378" s="17"/>
      <c r="BI3378" s="17"/>
      <c r="BJ3378" s="15"/>
      <c r="BK3378" s="15"/>
      <c r="BL3378" s="13" t="b">
        <v>0</v>
      </c>
      <c r="BM3378" s="10"/>
      <c r="BN3378" s="10" t="s">
        <v>10672</v>
      </c>
      <c r="BO3378" s="11">
        <v>46010.670138888891</v>
      </c>
      <c r="BP3378" s="11">
        <v>46010.670416666668</v>
      </c>
      <c r="BQ3378" s="15"/>
      <c r="BR3378" s="15"/>
      <c r="BS3378" s="10"/>
      <c r="BT3378" s="10"/>
      <c r="BU3378" s="10"/>
      <c r="BV3378" s="10"/>
      <c r="BW3378" s="10"/>
      <c r="BX3378" s="10"/>
      <c r="BY3378" s="23"/>
      <c r="BZ3378" s="23"/>
      <c r="CA3378" s="10"/>
      <c r="CB3378" s="23"/>
      <c r="CC3378" s="23"/>
      <c r="CD3378" s="23"/>
      <c r="CE3378" s="23"/>
      <c r="CF3378" s="23"/>
      <c r="CG3378" s="23"/>
      <c r="CH3378" s="23"/>
      <c r="CI3378" s="23"/>
    </row>
    <row r="3379" spans="1:87" x14ac:dyDescent="0.3">
      <c r="A3379" s="9" t="s">
        <v>24062</v>
      </c>
      <c r="B3379" s="10" t="s">
        <v>24063</v>
      </c>
      <c r="C3379" s="11">
        <v>46065.125</v>
      </c>
      <c r="D3379" s="12">
        <v>8.3333333333333329E-2</v>
      </c>
      <c r="E3379" s="11">
        <v>46065.208333333336</v>
      </c>
      <c r="F3379" s="22" t="s">
        <v>16149</v>
      </c>
      <c r="G3379" s="13" t="b">
        <v>0</v>
      </c>
      <c r="H3379" s="22"/>
      <c r="I3379" s="10" t="s">
        <v>89</v>
      </c>
      <c r="J3379" s="13" t="b">
        <v>0</v>
      </c>
      <c r="K3379" s="13" t="b">
        <v>1</v>
      </c>
      <c r="L3379" s="10" t="s">
        <v>124</v>
      </c>
      <c r="M3379" s="10" t="s">
        <v>91</v>
      </c>
      <c r="N3379" s="10" t="s">
        <v>92</v>
      </c>
      <c r="O3379" s="10"/>
      <c r="P3379" s="10"/>
      <c r="Q3379" s="10" t="s">
        <v>126</v>
      </c>
      <c r="R3379" s="10"/>
      <c r="S3379" s="10"/>
      <c r="T3379" s="10"/>
      <c r="U3379" s="10" t="s">
        <v>16164</v>
      </c>
      <c r="V3379" s="10" t="s">
        <v>16191</v>
      </c>
      <c r="W3379" s="10" t="s">
        <v>16154</v>
      </c>
      <c r="X3379" s="10" t="s">
        <v>130</v>
      </c>
      <c r="Y3379" s="10" t="s">
        <v>130</v>
      </c>
      <c r="Z3379" s="10" t="s">
        <v>99</v>
      </c>
      <c r="AA3379" s="10" t="s">
        <v>131</v>
      </c>
      <c r="AB3379" s="10" t="s">
        <v>16155</v>
      </c>
      <c r="AC3379" s="10" t="s">
        <v>3571</v>
      </c>
      <c r="AD3379" s="10" t="s">
        <v>24064</v>
      </c>
      <c r="AE3379" s="10" t="s">
        <v>24065</v>
      </c>
      <c r="AF3379" s="15"/>
      <c r="AG3379" s="10"/>
      <c r="AH3379" s="10"/>
      <c r="AI3379" s="10"/>
      <c r="AJ3379" s="10"/>
      <c r="AK3379" s="10"/>
      <c r="AL3379" s="10"/>
      <c r="AM3379" s="10"/>
      <c r="AN3379" s="10"/>
      <c r="AO3379" s="13" t="b">
        <v>0</v>
      </c>
      <c r="AP3379" s="22" t="s">
        <v>135</v>
      </c>
      <c r="AQ3379" s="10"/>
      <c r="AR3379" s="17"/>
      <c r="AS3379" s="17"/>
      <c r="AT3379" s="17"/>
      <c r="AU3379" s="17"/>
      <c r="AV3379" s="17"/>
      <c r="AW3379" s="10"/>
      <c r="AX3379" s="17"/>
      <c r="AY3379" s="18" t="s">
        <v>257</v>
      </c>
      <c r="AZ3379" s="10"/>
      <c r="BA3379" s="20" t="b">
        <v>0</v>
      </c>
      <c r="BB3379" s="10"/>
      <c r="BC3379" s="17" t="s">
        <v>257</v>
      </c>
      <c r="BD3379" s="17" t="s">
        <v>257</v>
      </c>
      <c r="BE3379" s="17" t="s">
        <v>257</v>
      </c>
      <c r="BF3379" s="17" t="s">
        <v>257</v>
      </c>
      <c r="BG3379" s="11">
        <f ca="1">IFERROR(__xludf.DUMMYFUNCTION("""COMPUTED_VALUE"""),46065.125)</f>
        <v>46065.125</v>
      </c>
      <c r="BH3379" s="17"/>
      <c r="BI3379" s="17"/>
      <c r="BJ3379" s="15"/>
      <c r="BK3379" s="15"/>
      <c r="BL3379" s="13" t="b">
        <v>0</v>
      </c>
      <c r="BM3379" s="10"/>
      <c r="BN3379" s="10" t="s">
        <v>10672</v>
      </c>
      <c r="BO3379" s="11">
        <v>46010.671527777777</v>
      </c>
      <c r="BP3379" s="11">
        <v>46010.672199074077</v>
      </c>
      <c r="BQ3379" s="15"/>
      <c r="BR3379" s="15"/>
      <c r="BS3379" s="10"/>
      <c r="BT3379" s="10"/>
      <c r="BU3379" s="10"/>
      <c r="BV3379" s="10"/>
      <c r="BW3379" s="10"/>
      <c r="BX3379" s="10"/>
      <c r="BY3379" s="23"/>
      <c r="BZ3379" s="23"/>
      <c r="CA3379" s="10"/>
      <c r="CB3379" s="23"/>
      <c r="CC3379" s="23"/>
      <c r="CD3379" s="23"/>
      <c r="CE3379" s="23"/>
      <c r="CF3379" s="23"/>
      <c r="CG3379" s="23"/>
      <c r="CH3379" s="23"/>
      <c r="CI3379" s="23"/>
    </row>
    <row r="3380" spans="1:87" x14ac:dyDescent="0.3">
      <c r="A3380" s="9" t="s">
        <v>24066</v>
      </c>
      <c r="B3380" s="10" t="s">
        <v>24067</v>
      </c>
      <c r="C3380" s="11">
        <v>46066.03125</v>
      </c>
      <c r="D3380" s="12">
        <v>8.3333333333333329E-2</v>
      </c>
      <c r="E3380" s="11">
        <v>46066.114583333336</v>
      </c>
      <c r="F3380" s="22" t="s">
        <v>16149</v>
      </c>
      <c r="G3380" s="13" t="b">
        <v>0</v>
      </c>
      <c r="H3380" s="22"/>
      <c r="I3380" s="10" t="s">
        <v>89</v>
      </c>
      <c r="J3380" s="13" t="b">
        <v>0</v>
      </c>
      <c r="K3380" s="13" t="b">
        <v>1</v>
      </c>
      <c r="L3380" s="10" t="s">
        <v>124</v>
      </c>
      <c r="M3380" s="10" t="s">
        <v>91</v>
      </c>
      <c r="N3380" s="10" t="s">
        <v>92</v>
      </c>
      <c r="O3380" s="10"/>
      <c r="P3380" s="10"/>
      <c r="Q3380" s="10" t="s">
        <v>126</v>
      </c>
      <c r="R3380" s="10"/>
      <c r="S3380" s="10"/>
      <c r="T3380" s="10"/>
      <c r="U3380" s="10" t="s">
        <v>16227</v>
      </c>
      <c r="V3380" s="10" t="s">
        <v>16152</v>
      </c>
      <c r="W3380" s="10" t="s">
        <v>16154</v>
      </c>
      <c r="X3380" s="10" t="s">
        <v>130</v>
      </c>
      <c r="Y3380" s="10" t="s">
        <v>130</v>
      </c>
      <c r="Z3380" s="10" t="s">
        <v>99</v>
      </c>
      <c r="AA3380" s="10" t="s">
        <v>131</v>
      </c>
      <c r="AB3380" s="10" t="s">
        <v>16155</v>
      </c>
      <c r="AC3380" s="10" t="s">
        <v>3571</v>
      </c>
      <c r="AD3380" s="10" t="s">
        <v>24068</v>
      </c>
      <c r="AE3380" s="10" t="s">
        <v>24069</v>
      </c>
      <c r="AF3380" s="15"/>
      <c r="AG3380" s="10"/>
      <c r="AH3380" s="10"/>
      <c r="AI3380" s="10"/>
      <c r="AJ3380" s="10"/>
      <c r="AK3380" s="10"/>
      <c r="AL3380" s="10" t="s">
        <v>7897</v>
      </c>
      <c r="AM3380" s="10"/>
      <c r="AN3380" s="10"/>
      <c r="AO3380" s="13" t="b">
        <v>0</v>
      </c>
      <c r="AP3380" s="22" t="s">
        <v>135</v>
      </c>
      <c r="AQ3380" s="10"/>
      <c r="AR3380" s="17"/>
      <c r="AS3380" s="17"/>
      <c r="AT3380" s="17"/>
      <c r="AU3380" s="17"/>
      <c r="AV3380" s="17"/>
      <c r="AW3380" s="10"/>
      <c r="AX3380" s="17"/>
      <c r="AY3380" s="18" t="s">
        <v>257</v>
      </c>
      <c r="AZ3380" s="10"/>
      <c r="BA3380" s="20" t="b">
        <v>0</v>
      </c>
      <c r="BB3380" s="10"/>
      <c r="BC3380" s="17" t="s">
        <v>257</v>
      </c>
      <c r="BD3380" s="17" t="s">
        <v>257</v>
      </c>
      <c r="BE3380" s="17" t="s">
        <v>257</v>
      </c>
      <c r="BF3380" s="17" t="s">
        <v>257</v>
      </c>
      <c r="BG3380" s="11">
        <f ca="1">IFERROR(__xludf.DUMMYFUNCTION("""COMPUTED_VALUE"""),46066.03125)</f>
        <v>46066.03125</v>
      </c>
      <c r="BH3380" s="17"/>
      <c r="BI3380" s="17"/>
      <c r="BJ3380" s="15"/>
      <c r="BK3380" s="15"/>
      <c r="BL3380" s="13" t="b">
        <v>0</v>
      </c>
      <c r="BM3380" s="10"/>
      <c r="BN3380" s="10" t="s">
        <v>10672</v>
      </c>
      <c r="BO3380" s="11">
        <v>46010.672222222223</v>
      </c>
      <c r="BP3380" s="11">
        <v>46010.672777777778</v>
      </c>
      <c r="BQ3380" s="15"/>
      <c r="BR3380" s="15"/>
      <c r="BS3380" s="10"/>
      <c r="BT3380" s="10"/>
      <c r="BU3380" s="10"/>
      <c r="BV3380" s="10"/>
      <c r="BW3380" s="10"/>
      <c r="BX3380" s="10"/>
      <c r="BY3380" s="23"/>
      <c r="BZ3380" s="23"/>
      <c r="CA3380" s="10"/>
      <c r="CB3380" s="23"/>
      <c r="CC3380" s="23"/>
      <c r="CD3380" s="23"/>
      <c r="CE3380" s="23"/>
      <c r="CF3380" s="23"/>
      <c r="CG3380" s="23"/>
      <c r="CH3380" s="23"/>
      <c r="CI3380" s="23"/>
    </row>
    <row r="3381" spans="1:87" x14ac:dyDescent="0.3">
      <c r="A3381" s="9" t="s">
        <v>24070</v>
      </c>
      <c r="B3381" s="10" t="s">
        <v>16867</v>
      </c>
      <c r="C3381" s="11">
        <v>46066.125</v>
      </c>
      <c r="D3381" s="12">
        <v>8.3333333333333329E-2</v>
      </c>
      <c r="E3381" s="11">
        <v>46066.208333333336</v>
      </c>
      <c r="F3381" s="22" t="s">
        <v>16149</v>
      </c>
      <c r="G3381" s="13" t="b">
        <v>0</v>
      </c>
      <c r="H3381" s="22"/>
      <c r="I3381" s="10" t="s">
        <v>89</v>
      </c>
      <c r="J3381" s="13" t="b">
        <v>0</v>
      </c>
      <c r="K3381" s="13" t="b">
        <v>1</v>
      </c>
      <c r="L3381" s="10" t="s">
        <v>124</v>
      </c>
      <c r="M3381" s="10" t="s">
        <v>91</v>
      </c>
      <c r="N3381" s="10" t="s">
        <v>92</v>
      </c>
      <c r="O3381" s="10"/>
      <c r="P3381" s="10"/>
      <c r="Q3381" s="10" t="s">
        <v>126</v>
      </c>
      <c r="R3381" s="10"/>
      <c r="S3381" s="10"/>
      <c r="T3381" s="10"/>
      <c r="U3381" s="10" t="s">
        <v>16219</v>
      </c>
      <c r="V3381" s="10" t="s">
        <v>15258</v>
      </c>
      <c r="W3381" s="10" t="s">
        <v>16154</v>
      </c>
      <c r="X3381" s="10" t="s">
        <v>130</v>
      </c>
      <c r="Y3381" s="10" t="s">
        <v>130</v>
      </c>
      <c r="Z3381" s="10" t="s">
        <v>99</v>
      </c>
      <c r="AA3381" s="10" t="s">
        <v>131</v>
      </c>
      <c r="AB3381" s="10" t="s">
        <v>16155</v>
      </c>
      <c r="AC3381" s="10" t="s">
        <v>3571</v>
      </c>
      <c r="AD3381" s="10" t="s">
        <v>24071</v>
      </c>
      <c r="AE3381" s="10" t="s">
        <v>16871</v>
      </c>
      <c r="AF3381" s="15"/>
      <c r="AG3381" s="10"/>
      <c r="AH3381" s="10"/>
      <c r="AI3381" s="10"/>
      <c r="AJ3381" s="10"/>
      <c r="AK3381" s="10"/>
      <c r="AL3381" s="10"/>
      <c r="AM3381" s="10"/>
      <c r="AN3381" s="10"/>
      <c r="AO3381" s="13" t="b">
        <v>0</v>
      </c>
      <c r="AP3381" s="22" t="s">
        <v>135</v>
      </c>
      <c r="AQ3381" s="10"/>
      <c r="AR3381" s="17"/>
      <c r="AS3381" s="17"/>
      <c r="AT3381" s="17"/>
      <c r="AU3381" s="17"/>
      <c r="AV3381" s="17"/>
      <c r="AW3381" s="10"/>
      <c r="AX3381" s="17"/>
      <c r="AY3381" s="18" t="s">
        <v>257</v>
      </c>
      <c r="AZ3381" s="10"/>
      <c r="BA3381" s="20" t="b">
        <v>0</v>
      </c>
      <c r="BB3381" s="10"/>
      <c r="BC3381" s="17" t="s">
        <v>257</v>
      </c>
      <c r="BD3381" s="17" t="s">
        <v>257</v>
      </c>
      <c r="BE3381" s="17" t="s">
        <v>257</v>
      </c>
      <c r="BF3381" s="17" t="s">
        <v>257</v>
      </c>
      <c r="BG3381" s="11">
        <f ca="1">IFERROR(__xludf.DUMMYFUNCTION("""COMPUTED_VALUE"""),46066.125)</f>
        <v>46066.125</v>
      </c>
      <c r="BH3381" s="17"/>
      <c r="BI3381" s="17"/>
      <c r="BJ3381" s="15"/>
      <c r="BK3381" s="15"/>
      <c r="BL3381" s="13" t="b">
        <v>0</v>
      </c>
      <c r="BM3381" s="10"/>
      <c r="BN3381" s="10" t="s">
        <v>10672</v>
      </c>
      <c r="BO3381" s="11">
        <v>46010.67291666667</v>
      </c>
      <c r="BP3381" s="11">
        <v>46010.673275462963</v>
      </c>
      <c r="BQ3381" s="15"/>
      <c r="BR3381" s="15"/>
      <c r="BS3381" s="10"/>
      <c r="BT3381" s="10"/>
      <c r="BU3381" s="10"/>
      <c r="BV3381" s="10"/>
      <c r="BW3381" s="10"/>
      <c r="BX3381" s="10"/>
      <c r="BY3381" s="23"/>
      <c r="BZ3381" s="23"/>
      <c r="CA3381" s="10"/>
      <c r="CB3381" s="23"/>
      <c r="CC3381" s="23"/>
      <c r="CD3381" s="23"/>
      <c r="CE3381" s="23"/>
      <c r="CF3381" s="23"/>
      <c r="CG3381" s="23"/>
      <c r="CH3381" s="23"/>
      <c r="CI3381" s="23"/>
    </row>
    <row r="3382" spans="1:87" x14ac:dyDescent="0.3">
      <c r="A3382" s="9" t="s">
        <v>24072</v>
      </c>
      <c r="B3382" s="10" t="s">
        <v>16905</v>
      </c>
      <c r="C3382" s="11">
        <v>46072.03125</v>
      </c>
      <c r="D3382" s="12">
        <v>8.3333333333333329E-2</v>
      </c>
      <c r="E3382" s="11">
        <v>46072.114583333336</v>
      </c>
      <c r="F3382" s="22" t="s">
        <v>16149</v>
      </c>
      <c r="G3382" s="13" t="b">
        <v>0</v>
      </c>
      <c r="H3382" s="22"/>
      <c r="I3382" s="10" t="s">
        <v>89</v>
      </c>
      <c r="J3382" s="13" t="b">
        <v>0</v>
      </c>
      <c r="K3382" s="13" t="b">
        <v>1</v>
      </c>
      <c r="L3382" s="10" t="s">
        <v>124</v>
      </c>
      <c r="M3382" s="10" t="s">
        <v>91</v>
      </c>
      <c r="N3382" s="10" t="s">
        <v>92</v>
      </c>
      <c r="O3382" s="10"/>
      <c r="P3382" s="10"/>
      <c r="Q3382" s="10" t="s">
        <v>126</v>
      </c>
      <c r="R3382" s="10"/>
      <c r="S3382" s="10"/>
      <c r="T3382" s="10"/>
      <c r="U3382" s="10" t="s">
        <v>16191</v>
      </c>
      <c r="V3382" s="10" t="s">
        <v>16164</v>
      </c>
      <c r="W3382" s="10" t="s">
        <v>16154</v>
      </c>
      <c r="X3382" s="10" t="s">
        <v>130</v>
      </c>
      <c r="Y3382" s="10" t="s">
        <v>130</v>
      </c>
      <c r="Z3382" s="10" t="s">
        <v>99</v>
      </c>
      <c r="AA3382" s="10" t="s">
        <v>131</v>
      </c>
      <c r="AB3382" s="10" t="s">
        <v>16155</v>
      </c>
      <c r="AC3382" s="10" t="s">
        <v>3571</v>
      </c>
      <c r="AD3382" s="10" t="s">
        <v>24073</v>
      </c>
      <c r="AE3382" s="10" t="s">
        <v>16907</v>
      </c>
      <c r="AF3382" s="15"/>
      <c r="AG3382" s="10"/>
      <c r="AH3382" s="10"/>
      <c r="AI3382" s="10"/>
      <c r="AJ3382" s="10"/>
      <c r="AK3382" s="10"/>
      <c r="AL3382" s="10"/>
      <c r="AM3382" s="10"/>
      <c r="AN3382" s="10"/>
      <c r="AO3382" s="13" t="b">
        <v>0</v>
      </c>
      <c r="AP3382" s="22" t="s">
        <v>135</v>
      </c>
      <c r="AQ3382" s="10"/>
      <c r="AR3382" s="17"/>
      <c r="AS3382" s="17"/>
      <c r="AT3382" s="17"/>
      <c r="AU3382" s="17"/>
      <c r="AV3382" s="17"/>
      <c r="AW3382" s="10"/>
      <c r="AX3382" s="17"/>
      <c r="AY3382" s="18" t="s">
        <v>257</v>
      </c>
      <c r="AZ3382" s="10"/>
      <c r="BA3382" s="20" t="b">
        <v>0</v>
      </c>
      <c r="BB3382" s="10"/>
      <c r="BC3382" s="17" t="s">
        <v>257</v>
      </c>
      <c r="BD3382" s="17" t="s">
        <v>257</v>
      </c>
      <c r="BE3382" s="17" t="s">
        <v>257</v>
      </c>
      <c r="BF3382" s="17" t="s">
        <v>257</v>
      </c>
      <c r="BG3382" s="11">
        <f ca="1">IFERROR(__xludf.DUMMYFUNCTION("""COMPUTED_VALUE"""),46072.03125)</f>
        <v>46072.03125</v>
      </c>
      <c r="BH3382" s="17"/>
      <c r="BI3382" s="17"/>
      <c r="BJ3382" s="15"/>
      <c r="BK3382" s="15"/>
      <c r="BL3382" s="13" t="b">
        <v>0</v>
      </c>
      <c r="BM3382" s="10"/>
      <c r="BN3382" s="10" t="s">
        <v>10672</v>
      </c>
      <c r="BO3382" s="11">
        <v>46010.673611111109</v>
      </c>
      <c r="BP3382" s="11">
        <v>46010.673796296294</v>
      </c>
      <c r="BQ3382" s="15"/>
      <c r="BR3382" s="15"/>
      <c r="BS3382" s="10"/>
      <c r="BT3382" s="10"/>
      <c r="BU3382" s="10"/>
      <c r="BV3382" s="10"/>
      <c r="BW3382" s="10"/>
      <c r="BX3382" s="10"/>
      <c r="BY3382" s="23"/>
      <c r="BZ3382" s="23"/>
      <c r="CA3382" s="10"/>
      <c r="CB3382" s="23"/>
      <c r="CC3382" s="23"/>
      <c r="CD3382" s="23"/>
      <c r="CE3382" s="23"/>
      <c r="CF3382" s="23"/>
      <c r="CG3382" s="23"/>
      <c r="CH3382" s="23"/>
      <c r="CI3382" s="23"/>
    </row>
    <row r="3383" spans="1:87" x14ac:dyDescent="0.3">
      <c r="A3383" s="9" t="s">
        <v>24074</v>
      </c>
      <c r="B3383" s="10" t="s">
        <v>24075</v>
      </c>
      <c r="C3383" s="11">
        <v>46072.125</v>
      </c>
      <c r="D3383" s="12">
        <v>8.3333333333333329E-2</v>
      </c>
      <c r="E3383" s="11">
        <v>46072.208333333336</v>
      </c>
      <c r="F3383" s="22" t="s">
        <v>16149</v>
      </c>
      <c r="G3383" s="13" t="b">
        <v>0</v>
      </c>
      <c r="H3383" s="22"/>
      <c r="I3383" s="10" t="s">
        <v>89</v>
      </c>
      <c r="J3383" s="13" t="b">
        <v>0</v>
      </c>
      <c r="K3383" s="13" t="b">
        <v>1</v>
      </c>
      <c r="L3383" s="10" t="s">
        <v>124</v>
      </c>
      <c r="M3383" s="10" t="s">
        <v>91</v>
      </c>
      <c r="N3383" s="10" t="s">
        <v>92</v>
      </c>
      <c r="O3383" s="10"/>
      <c r="P3383" s="10"/>
      <c r="Q3383" s="10" t="s">
        <v>126</v>
      </c>
      <c r="R3383" s="10"/>
      <c r="S3383" s="10"/>
      <c r="T3383" s="10"/>
      <c r="U3383" s="10" t="s">
        <v>15259</v>
      </c>
      <c r="V3383" s="10" t="s">
        <v>16165</v>
      </c>
      <c r="W3383" s="10" t="s">
        <v>16154</v>
      </c>
      <c r="X3383" s="10" t="s">
        <v>130</v>
      </c>
      <c r="Y3383" s="10" t="s">
        <v>130</v>
      </c>
      <c r="Z3383" s="10" t="s">
        <v>99</v>
      </c>
      <c r="AA3383" s="10" t="s">
        <v>131</v>
      </c>
      <c r="AB3383" s="10" t="s">
        <v>16155</v>
      </c>
      <c r="AC3383" s="10" t="s">
        <v>3571</v>
      </c>
      <c r="AD3383" s="10" t="s">
        <v>24076</v>
      </c>
      <c r="AE3383" s="10" t="s">
        <v>24077</v>
      </c>
      <c r="AF3383" s="15"/>
      <c r="AG3383" s="10"/>
      <c r="AH3383" s="10"/>
      <c r="AI3383" s="10"/>
      <c r="AJ3383" s="10"/>
      <c r="AK3383" s="10"/>
      <c r="AL3383" s="10"/>
      <c r="AM3383" s="10"/>
      <c r="AN3383" s="10"/>
      <c r="AO3383" s="13" t="b">
        <v>0</v>
      </c>
      <c r="AP3383" s="22" t="s">
        <v>135</v>
      </c>
      <c r="AQ3383" s="10"/>
      <c r="AR3383" s="17"/>
      <c r="AS3383" s="17"/>
      <c r="AT3383" s="17"/>
      <c r="AU3383" s="17"/>
      <c r="AV3383" s="17"/>
      <c r="AW3383" s="10"/>
      <c r="AX3383" s="17"/>
      <c r="AY3383" s="18" t="s">
        <v>257</v>
      </c>
      <c r="AZ3383" s="10"/>
      <c r="BA3383" s="20" t="b">
        <v>0</v>
      </c>
      <c r="BB3383" s="10"/>
      <c r="BC3383" s="17" t="s">
        <v>257</v>
      </c>
      <c r="BD3383" s="17" t="s">
        <v>257</v>
      </c>
      <c r="BE3383" s="17" t="s">
        <v>257</v>
      </c>
      <c r="BF3383" s="17" t="s">
        <v>257</v>
      </c>
      <c r="BG3383" s="11">
        <f ca="1">IFERROR(__xludf.DUMMYFUNCTION("""COMPUTED_VALUE"""),46072.125)</f>
        <v>46072.125</v>
      </c>
      <c r="BH3383" s="17"/>
      <c r="BI3383" s="17"/>
      <c r="BJ3383" s="15"/>
      <c r="BK3383" s="15"/>
      <c r="BL3383" s="13" t="b">
        <v>0</v>
      </c>
      <c r="BM3383" s="10"/>
      <c r="BN3383" s="10" t="s">
        <v>10672</v>
      </c>
      <c r="BO3383" s="11">
        <v>46010.673611111109</v>
      </c>
      <c r="BP3383" s="11">
        <v>46010.674178240741</v>
      </c>
      <c r="BQ3383" s="15"/>
      <c r="BR3383" s="15"/>
      <c r="BS3383" s="10"/>
      <c r="BT3383" s="10"/>
      <c r="BU3383" s="10"/>
      <c r="BV3383" s="10"/>
      <c r="BW3383" s="10"/>
      <c r="BX3383" s="10"/>
      <c r="BY3383" s="23"/>
      <c r="BZ3383" s="23"/>
      <c r="CA3383" s="19" t="s">
        <v>24078</v>
      </c>
      <c r="CB3383" s="19" t="s">
        <v>24079</v>
      </c>
      <c r="CC3383" s="23"/>
      <c r="CD3383" s="23"/>
      <c r="CE3383" s="23"/>
      <c r="CF3383" s="23"/>
      <c r="CG3383" s="23"/>
      <c r="CH3383" s="23"/>
      <c r="CI3383" s="23"/>
    </row>
    <row r="3384" spans="1:87" x14ac:dyDescent="0.3">
      <c r="A3384" s="9" t="s">
        <v>24080</v>
      </c>
      <c r="B3384" s="10" t="s">
        <v>24081</v>
      </c>
      <c r="C3384" s="11">
        <v>46073.03125</v>
      </c>
      <c r="D3384" s="12">
        <v>8.3333333333333329E-2</v>
      </c>
      <c r="E3384" s="11">
        <v>46073.114583333336</v>
      </c>
      <c r="F3384" s="22" t="s">
        <v>16149</v>
      </c>
      <c r="G3384" s="13" t="b">
        <v>0</v>
      </c>
      <c r="H3384" s="22"/>
      <c r="I3384" s="10" t="s">
        <v>89</v>
      </c>
      <c r="J3384" s="13" t="b">
        <v>0</v>
      </c>
      <c r="K3384" s="13" t="b">
        <v>1</v>
      </c>
      <c r="L3384" s="10" t="s">
        <v>124</v>
      </c>
      <c r="M3384" s="10" t="s">
        <v>91</v>
      </c>
      <c r="N3384" s="10" t="s">
        <v>92</v>
      </c>
      <c r="O3384" s="10"/>
      <c r="P3384" s="10"/>
      <c r="Q3384" s="10" t="s">
        <v>126</v>
      </c>
      <c r="R3384" s="10"/>
      <c r="S3384" s="10"/>
      <c r="T3384" s="10"/>
      <c r="U3384" s="10" t="s">
        <v>16152</v>
      </c>
      <c r="V3384" s="10" t="s">
        <v>16227</v>
      </c>
      <c r="W3384" s="10" t="s">
        <v>16154</v>
      </c>
      <c r="X3384" s="10" t="s">
        <v>130</v>
      </c>
      <c r="Y3384" s="10" t="s">
        <v>130</v>
      </c>
      <c r="Z3384" s="10" t="s">
        <v>99</v>
      </c>
      <c r="AA3384" s="10" t="s">
        <v>131</v>
      </c>
      <c r="AB3384" s="10" t="s">
        <v>16155</v>
      </c>
      <c r="AC3384" s="10" t="s">
        <v>3571</v>
      </c>
      <c r="AD3384" s="10" t="s">
        <v>24082</v>
      </c>
      <c r="AE3384" s="10" t="s">
        <v>24083</v>
      </c>
      <c r="AF3384" s="15"/>
      <c r="AG3384" s="10"/>
      <c r="AH3384" s="10"/>
      <c r="AI3384" s="10"/>
      <c r="AJ3384" s="10"/>
      <c r="AK3384" s="10"/>
      <c r="AL3384" s="10"/>
      <c r="AM3384" s="10"/>
      <c r="AN3384" s="10"/>
      <c r="AO3384" s="13" t="b">
        <v>0</v>
      </c>
      <c r="AP3384" s="22" t="s">
        <v>135</v>
      </c>
      <c r="AQ3384" s="10"/>
      <c r="AR3384" s="17"/>
      <c r="AS3384" s="17"/>
      <c r="AT3384" s="17"/>
      <c r="AU3384" s="17"/>
      <c r="AV3384" s="17"/>
      <c r="AW3384" s="10"/>
      <c r="AX3384" s="17"/>
      <c r="AY3384" s="18" t="s">
        <v>257</v>
      </c>
      <c r="AZ3384" s="10"/>
      <c r="BA3384" s="20" t="b">
        <v>0</v>
      </c>
      <c r="BB3384" s="10"/>
      <c r="BC3384" s="17" t="s">
        <v>257</v>
      </c>
      <c r="BD3384" s="17" t="s">
        <v>257</v>
      </c>
      <c r="BE3384" s="17" t="s">
        <v>257</v>
      </c>
      <c r="BF3384" s="17" t="s">
        <v>257</v>
      </c>
      <c r="BG3384" s="11">
        <f ca="1">IFERROR(__xludf.DUMMYFUNCTION("""COMPUTED_VALUE"""),46073.03125)</f>
        <v>46073.03125</v>
      </c>
      <c r="BH3384" s="17"/>
      <c r="BI3384" s="17"/>
      <c r="BJ3384" s="15"/>
      <c r="BK3384" s="15"/>
      <c r="BL3384" s="13" t="b">
        <v>0</v>
      </c>
      <c r="BM3384" s="10"/>
      <c r="BN3384" s="10" t="s">
        <v>10672</v>
      </c>
      <c r="BO3384" s="11">
        <v>46010.674305555556</v>
      </c>
      <c r="BP3384" s="11">
        <v>46010.674710648149</v>
      </c>
      <c r="BQ3384" s="15"/>
      <c r="BR3384" s="15"/>
      <c r="BS3384" s="10"/>
      <c r="BT3384" s="10"/>
      <c r="BU3384" s="10"/>
      <c r="BV3384" s="10"/>
      <c r="BW3384" s="10"/>
      <c r="BX3384" s="10"/>
      <c r="BY3384" s="23"/>
      <c r="BZ3384" s="23"/>
      <c r="CA3384" s="10"/>
      <c r="CB3384" s="23"/>
      <c r="CC3384" s="23"/>
      <c r="CD3384" s="23"/>
      <c r="CE3384" s="23"/>
      <c r="CF3384" s="23"/>
      <c r="CG3384" s="23"/>
      <c r="CH3384" s="23"/>
      <c r="CI3384" s="23"/>
    </row>
    <row r="3385" spans="1:87" x14ac:dyDescent="0.3">
      <c r="A3385" s="9" t="s">
        <v>24084</v>
      </c>
      <c r="B3385" s="10" t="s">
        <v>24085</v>
      </c>
      <c r="C3385" s="11">
        <v>46073.125</v>
      </c>
      <c r="D3385" s="12">
        <v>8.3333333333333329E-2</v>
      </c>
      <c r="E3385" s="11">
        <v>46073.208333333336</v>
      </c>
      <c r="F3385" s="22" t="s">
        <v>16149</v>
      </c>
      <c r="G3385" s="13" t="b">
        <v>0</v>
      </c>
      <c r="H3385" s="22"/>
      <c r="I3385" s="10" t="s">
        <v>89</v>
      </c>
      <c r="J3385" s="13" t="b">
        <v>0</v>
      </c>
      <c r="K3385" s="13" t="b">
        <v>1</v>
      </c>
      <c r="L3385" s="10" t="s">
        <v>124</v>
      </c>
      <c r="M3385" s="10" t="s">
        <v>91</v>
      </c>
      <c r="N3385" s="10" t="s">
        <v>92</v>
      </c>
      <c r="O3385" s="10"/>
      <c r="P3385" s="10"/>
      <c r="Q3385" s="10" t="s">
        <v>126</v>
      </c>
      <c r="R3385" s="10"/>
      <c r="S3385" s="10"/>
      <c r="T3385" s="10"/>
      <c r="U3385" s="10" t="s">
        <v>15258</v>
      </c>
      <c r="V3385" s="10" t="s">
        <v>16219</v>
      </c>
      <c r="W3385" s="10" t="s">
        <v>16154</v>
      </c>
      <c r="X3385" s="10" t="s">
        <v>130</v>
      </c>
      <c r="Y3385" s="10" t="s">
        <v>130</v>
      </c>
      <c r="Z3385" s="10" t="s">
        <v>99</v>
      </c>
      <c r="AA3385" s="10" t="s">
        <v>131</v>
      </c>
      <c r="AB3385" s="10" t="s">
        <v>16155</v>
      </c>
      <c r="AC3385" s="10" t="s">
        <v>3571</v>
      </c>
      <c r="AD3385" s="10" t="s">
        <v>24086</v>
      </c>
      <c r="AE3385" s="10" t="s">
        <v>24087</v>
      </c>
      <c r="AF3385" s="15"/>
      <c r="AG3385" s="10"/>
      <c r="AH3385" s="10"/>
      <c r="AI3385" s="10"/>
      <c r="AJ3385" s="10"/>
      <c r="AK3385" s="10"/>
      <c r="AL3385" s="10"/>
      <c r="AM3385" s="10"/>
      <c r="AN3385" s="10"/>
      <c r="AO3385" s="13" t="b">
        <v>0</v>
      </c>
      <c r="AP3385" s="22" t="s">
        <v>135</v>
      </c>
      <c r="AQ3385" s="10"/>
      <c r="AR3385" s="17"/>
      <c r="AS3385" s="17"/>
      <c r="AT3385" s="17"/>
      <c r="AU3385" s="17"/>
      <c r="AV3385" s="17"/>
      <c r="AW3385" s="10"/>
      <c r="AX3385" s="17"/>
      <c r="AY3385" s="18" t="s">
        <v>257</v>
      </c>
      <c r="AZ3385" s="10"/>
      <c r="BA3385" s="20" t="b">
        <v>0</v>
      </c>
      <c r="BB3385" s="10"/>
      <c r="BC3385" s="17" t="s">
        <v>257</v>
      </c>
      <c r="BD3385" s="17" t="s">
        <v>257</v>
      </c>
      <c r="BE3385" s="17" t="s">
        <v>257</v>
      </c>
      <c r="BF3385" s="17" t="s">
        <v>257</v>
      </c>
      <c r="BG3385" s="11">
        <f ca="1">IFERROR(__xludf.DUMMYFUNCTION("""COMPUTED_VALUE"""),46073.125)</f>
        <v>46073.125</v>
      </c>
      <c r="BH3385" s="17"/>
      <c r="BI3385" s="17"/>
      <c r="BJ3385" s="15"/>
      <c r="BK3385" s="15"/>
      <c r="BL3385" s="13" t="b">
        <v>0</v>
      </c>
      <c r="BM3385" s="10"/>
      <c r="BN3385" s="10" t="s">
        <v>10672</v>
      </c>
      <c r="BO3385" s="11">
        <v>46010.675000000003</v>
      </c>
      <c r="BP3385" s="11">
        <v>46010.675138888888</v>
      </c>
      <c r="BQ3385" s="15"/>
      <c r="BR3385" s="15"/>
      <c r="BS3385" s="10"/>
      <c r="BT3385" s="10"/>
      <c r="BU3385" s="10"/>
      <c r="BV3385" s="10"/>
      <c r="BW3385" s="10"/>
      <c r="BX3385" s="10"/>
      <c r="BY3385" s="23"/>
      <c r="BZ3385" s="23"/>
      <c r="CA3385" s="10"/>
      <c r="CB3385" s="23"/>
      <c r="CC3385" s="23"/>
      <c r="CD3385" s="23"/>
      <c r="CE3385" s="23"/>
      <c r="CF3385" s="23"/>
      <c r="CG3385" s="23"/>
      <c r="CH3385" s="23"/>
      <c r="CI3385" s="23"/>
    </row>
    <row r="3386" spans="1:87" x14ac:dyDescent="0.3">
      <c r="A3386" s="9" t="s">
        <v>24088</v>
      </c>
      <c r="B3386" s="10" t="s">
        <v>24089</v>
      </c>
      <c r="C3386" s="11">
        <v>46025.625</v>
      </c>
      <c r="D3386" s="12">
        <v>2.0833333333333332E-2</v>
      </c>
      <c r="E3386" s="11">
        <v>46025.645833333336</v>
      </c>
      <c r="F3386" s="22" t="s">
        <v>3511</v>
      </c>
      <c r="G3386" s="13" t="b">
        <v>0</v>
      </c>
      <c r="H3386" s="22" t="s">
        <v>3512</v>
      </c>
      <c r="I3386" s="10" t="s">
        <v>212</v>
      </c>
      <c r="J3386" s="13" t="b">
        <v>1</v>
      </c>
      <c r="K3386" s="13" t="b">
        <v>0</v>
      </c>
      <c r="L3386" s="10" t="s">
        <v>124</v>
      </c>
      <c r="M3386" s="10" t="s">
        <v>91</v>
      </c>
      <c r="N3386" s="10" t="s">
        <v>92</v>
      </c>
      <c r="O3386" s="19" t="s">
        <v>24090</v>
      </c>
      <c r="P3386" s="10"/>
      <c r="Q3386" s="10" t="s">
        <v>94</v>
      </c>
      <c r="R3386" s="10"/>
      <c r="S3386" s="19" t="s">
        <v>24091</v>
      </c>
      <c r="T3386" s="10"/>
      <c r="U3386" s="10"/>
      <c r="V3386" s="10"/>
      <c r="W3386" s="10" t="s">
        <v>3519</v>
      </c>
      <c r="X3386" s="10" t="s">
        <v>130</v>
      </c>
      <c r="Y3386" s="10" t="s">
        <v>130</v>
      </c>
      <c r="Z3386" s="10" t="s">
        <v>99</v>
      </c>
      <c r="AA3386" s="10" t="s">
        <v>131</v>
      </c>
      <c r="AB3386" s="10" t="s">
        <v>3520</v>
      </c>
      <c r="AC3386" s="10" t="s">
        <v>3521</v>
      </c>
      <c r="AD3386" s="10" t="s">
        <v>165</v>
      </c>
      <c r="AE3386" s="10" t="s">
        <v>24092</v>
      </c>
      <c r="AF3386" s="15"/>
      <c r="AG3386" s="10"/>
      <c r="AH3386" s="10"/>
      <c r="AI3386" s="10"/>
      <c r="AJ3386" s="10"/>
      <c r="AK3386" s="10" t="s">
        <v>102</v>
      </c>
      <c r="AL3386" s="10"/>
      <c r="AM3386" s="10"/>
      <c r="AN3386" s="10"/>
      <c r="AO3386" s="13" t="b">
        <v>0</v>
      </c>
      <c r="AP3386" s="22" t="s">
        <v>104</v>
      </c>
      <c r="AQ3386" s="10">
        <f ca="1">IFERROR(__xludf.DUMMYFUNCTION("""COMPUTED_VALUE"""),4803412)</f>
        <v>4803412</v>
      </c>
      <c r="AR3386" s="17"/>
      <c r="AS3386" s="17"/>
      <c r="AT3386" s="17"/>
      <c r="AU3386" s="17"/>
      <c r="AV3386" s="17"/>
      <c r="AW3386" s="10"/>
      <c r="AX3386" s="17"/>
      <c r="AY3386" s="18" t="s">
        <v>257</v>
      </c>
      <c r="AZ3386" s="10"/>
      <c r="BA3386" s="20" t="b">
        <v>0</v>
      </c>
      <c r="BB3386" s="10"/>
      <c r="BC3386" s="17" t="s">
        <v>257</v>
      </c>
      <c r="BD3386" s="17" t="s">
        <v>257</v>
      </c>
      <c r="BE3386" s="17" t="s">
        <v>257</v>
      </c>
      <c r="BF3386" s="17" t="s">
        <v>257</v>
      </c>
      <c r="BG3386" s="11">
        <f ca="1">IFERROR(__xludf.DUMMYFUNCTION("""COMPUTED_VALUE"""),46025.625)</f>
        <v>46025.625</v>
      </c>
      <c r="BH3386" s="17"/>
      <c r="BI3386" s="17"/>
      <c r="BJ3386" s="15"/>
      <c r="BK3386" s="15"/>
      <c r="BL3386" s="13" t="b">
        <v>0</v>
      </c>
      <c r="BM3386" s="10"/>
      <c r="BN3386" s="10" t="s">
        <v>118</v>
      </c>
      <c r="BO3386" s="11">
        <v>46010.709027777775</v>
      </c>
      <c r="BP3386" s="11">
        <v>46010.709155092591</v>
      </c>
      <c r="BQ3386" s="15">
        <v>46014.987453703703</v>
      </c>
      <c r="BR3386" s="15">
        <v>46021.444502314815</v>
      </c>
      <c r="BS3386" s="10" t="s">
        <v>118</v>
      </c>
      <c r="BT3386" s="10"/>
      <c r="BU3386" s="10"/>
      <c r="BV3386" s="10"/>
      <c r="BW3386" s="10"/>
      <c r="BX3386" s="10"/>
      <c r="BY3386" s="23"/>
      <c r="BZ3386" s="23"/>
      <c r="CA3386" s="19" t="s">
        <v>24093</v>
      </c>
      <c r="CB3386" s="23"/>
      <c r="CC3386" s="23"/>
      <c r="CD3386" s="23"/>
      <c r="CE3386" s="23"/>
      <c r="CF3386" s="23"/>
      <c r="CG3386" s="23"/>
      <c r="CH3386" s="23"/>
      <c r="CI3386" s="23"/>
    </row>
    <row r="3387" spans="1:87" x14ac:dyDescent="0.3">
      <c r="A3387" s="9" t="s">
        <v>24094</v>
      </c>
      <c r="B3387" s="10" t="s">
        <v>24095</v>
      </c>
      <c r="C3387" s="11">
        <v>46025.770833333336</v>
      </c>
      <c r="D3387" s="12">
        <v>2.0833333333333332E-2</v>
      </c>
      <c r="E3387" s="11">
        <v>46025.791666666664</v>
      </c>
      <c r="F3387" s="22" t="s">
        <v>3511</v>
      </c>
      <c r="G3387" s="13" t="b">
        <v>0</v>
      </c>
      <c r="H3387" s="22" t="s">
        <v>3512</v>
      </c>
      <c r="I3387" s="10" t="s">
        <v>212</v>
      </c>
      <c r="J3387" s="13" t="b">
        <v>1</v>
      </c>
      <c r="K3387" s="13" t="b">
        <v>0</v>
      </c>
      <c r="L3387" s="10" t="s">
        <v>90</v>
      </c>
      <c r="M3387" s="10" t="s">
        <v>91</v>
      </c>
      <c r="N3387" s="10" t="s">
        <v>92</v>
      </c>
      <c r="O3387" s="19" t="s">
        <v>24090</v>
      </c>
      <c r="P3387" s="10"/>
      <c r="Q3387" s="10" t="s">
        <v>94</v>
      </c>
      <c r="R3387" s="10"/>
      <c r="S3387" s="19" t="s">
        <v>24096</v>
      </c>
      <c r="T3387" s="10"/>
      <c r="U3387" s="10"/>
      <c r="V3387" s="10"/>
      <c r="W3387" s="10" t="s">
        <v>3519</v>
      </c>
      <c r="X3387" s="10" t="s">
        <v>130</v>
      </c>
      <c r="Y3387" s="10" t="s">
        <v>130</v>
      </c>
      <c r="Z3387" s="10" t="s">
        <v>99</v>
      </c>
      <c r="AA3387" s="10" t="s">
        <v>131</v>
      </c>
      <c r="AB3387" s="10" t="s">
        <v>3520</v>
      </c>
      <c r="AC3387" s="10" t="s">
        <v>3521</v>
      </c>
      <c r="AD3387" s="10" t="s">
        <v>165</v>
      </c>
      <c r="AE3387" s="10" t="s">
        <v>24097</v>
      </c>
      <c r="AF3387" s="15"/>
      <c r="AG3387" s="10"/>
      <c r="AH3387" s="10"/>
      <c r="AI3387" s="10"/>
      <c r="AJ3387" s="10"/>
      <c r="AK3387" s="10" t="s">
        <v>102</v>
      </c>
      <c r="AL3387" s="10"/>
      <c r="AM3387" s="10"/>
      <c r="AN3387" s="10"/>
      <c r="AO3387" s="13" t="b">
        <v>0</v>
      </c>
      <c r="AP3387" s="22" t="s">
        <v>104</v>
      </c>
      <c r="AQ3387" s="10">
        <f ca="1">IFERROR(__xludf.DUMMYFUNCTION("""COMPUTED_VALUE"""),4803412)</f>
        <v>4803412</v>
      </c>
      <c r="AR3387" s="17">
        <v>25512</v>
      </c>
      <c r="AS3387" s="17">
        <v>18181</v>
      </c>
      <c r="AT3387" s="17">
        <v>107491</v>
      </c>
      <c r="AU3387" s="17">
        <v>329.2</v>
      </c>
      <c r="AV3387" s="17">
        <v>201.6</v>
      </c>
      <c r="AW3387" s="10" t="s">
        <v>105</v>
      </c>
      <c r="AX3387" s="17">
        <v>11605</v>
      </c>
      <c r="AY3387" s="18">
        <v>5.9122710521973492</v>
      </c>
      <c r="AZ3387" s="10"/>
      <c r="BA3387" s="20" t="b">
        <v>0</v>
      </c>
      <c r="BB3387" s="10"/>
      <c r="BC3387" s="17">
        <v>25512</v>
      </c>
      <c r="BD3387" s="17">
        <v>18181</v>
      </c>
      <c r="BE3387" s="17">
        <v>107491</v>
      </c>
      <c r="BF3387" s="17">
        <v>201.6</v>
      </c>
      <c r="BG3387" s="11">
        <f ca="1">IFERROR(__xludf.DUMMYFUNCTION("""COMPUTED_VALUE"""),46025.7708333333)</f>
        <v>46025.770833333299</v>
      </c>
      <c r="BH3387" s="17" t="s">
        <v>105</v>
      </c>
      <c r="BI3387" s="17"/>
      <c r="BJ3387" s="15"/>
      <c r="BK3387" s="15"/>
      <c r="BL3387" s="13" t="b">
        <v>0</v>
      </c>
      <c r="BM3387" s="10"/>
      <c r="BN3387" s="10" t="s">
        <v>118</v>
      </c>
      <c r="BO3387" s="11">
        <v>46010.709722222222</v>
      </c>
      <c r="BP3387" s="11">
        <v>46010.7109375</v>
      </c>
      <c r="BQ3387" s="15">
        <v>46014.996446759258</v>
      </c>
      <c r="BR3387" s="15">
        <v>46021.454421296294</v>
      </c>
      <c r="BS3387" s="10" t="s">
        <v>118</v>
      </c>
      <c r="BT3387" s="10"/>
      <c r="BU3387" s="10"/>
      <c r="BV3387" s="10"/>
      <c r="BW3387" s="10"/>
      <c r="BX3387" s="10"/>
      <c r="BY3387" s="23"/>
      <c r="BZ3387" s="23"/>
      <c r="CA3387" s="19" t="s">
        <v>24098</v>
      </c>
      <c r="CB3387" s="23"/>
      <c r="CC3387" s="23"/>
      <c r="CD3387" s="23"/>
      <c r="CE3387" s="23"/>
      <c r="CF3387" s="23"/>
      <c r="CG3387" s="23"/>
      <c r="CH3387" s="23"/>
      <c r="CI3387" s="23"/>
    </row>
    <row r="3388" spans="1:87" x14ac:dyDescent="0.3">
      <c r="A3388" s="9" t="s">
        <v>24099</v>
      </c>
      <c r="B3388" s="10" t="s">
        <v>24100</v>
      </c>
      <c r="C3388" s="11">
        <v>46026.770833333336</v>
      </c>
      <c r="D3388" s="12">
        <v>2.0833333333333332E-2</v>
      </c>
      <c r="E3388" s="11">
        <v>46026.791666666664</v>
      </c>
      <c r="F3388" s="22" t="s">
        <v>3511</v>
      </c>
      <c r="G3388" s="13" t="b">
        <v>0</v>
      </c>
      <c r="H3388" s="22" t="s">
        <v>3512</v>
      </c>
      <c r="I3388" s="10" t="s">
        <v>212</v>
      </c>
      <c r="J3388" s="13" t="b">
        <v>1</v>
      </c>
      <c r="K3388" s="13" t="b">
        <v>0</v>
      </c>
      <c r="L3388" s="10" t="s">
        <v>124</v>
      </c>
      <c r="M3388" s="10" t="s">
        <v>91</v>
      </c>
      <c r="N3388" s="10" t="s">
        <v>92</v>
      </c>
      <c r="O3388" s="19" t="s">
        <v>24101</v>
      </c>
      <c r="P3388" s="10"/>
      <c r="Q3388" s="10" t="s">
        <v>94</v>
      </c>
      <c r="R3388" s="10"/>
      <c r="S3388" s="19" t="s">
        <v>24096</v>
      </c>
      <c r="T3388" s="10"/>
      <c r="U3388" s="10"/>
      <c r="V3388" s="10"/>
      <c r="W3388" s="10" t="s">
        <v>3519</v>
      </c>
      <c r="X3388" s="10" t="s">
        <v>130</v>
      </c>
      <c r="Y3388" s="10" t="s">
        <v>130</v>
      </c>
      <c r="Z3388" s="10" t="s">
        <v>99</v>
      </c>
      <c r="AA3388" s="10" t="s">
        <v>131</v>
      </c>
      <c r="AB3388" s="10" t="s">
        <v>3520</v>
      </c>
      <c r="AC3388" s="10" t="s">
        <v>3521</v>
      </c>
      <c r="AD3388" s="10" t="s">
        <v>165</v>
      </c>
      <c r="AE3388" s="10" t="s">
        <v>24102</v>
      </c>
      <c r="AF3388" s="15"/>
      <c r="AG3388" s="10"/>
      <c r="AH3388" s="10"/>
      <c r="AI3388" s="10"/>
      <c r="AJ3388" s="10"/>
      <c r="AK3388" s="10" t="s">
        <v>102</v>
      </c>
      <c r="AL3388" s="10"/>
      <c r="AM3388" s="10"/>
      <c r="AN3388" s="10"/>
      <c r="AO3388" s="13" t="b">
        <v>0</v>
      </c>
      <c r="AP3388" s="22" t="s">
        <v>104</v>
      </c>
      <c r="AQ3388" s="10">
        <f ca="1">IFERROR(__xludf.DUMMYFUNCTION("""COMPUTED_VALUE"""),4824480)</f>
        <v>4824480</v>
      </c>
      <c r="AR3388" s="17">
        <v>12332</v>
      </c>
      <c r="AS3388" s="17">
        <v>10348</v>
      </c>
      <c r="AT3388" s="17">
        <v>49767</v>
      </c>
      <c r="AU3388" s="17">
        <v>36.049999999999997</v>
      </c>
      <c r="AV3388" s="17">
        <v>9.1999999999999993</v>
      </c>
      <c r="AW3388" s="10" t="s">
        <v>105</v>
      </c>
      <c r="AX3388" s="17">
        <v>5416</v>
      </c>
      <c r="AY3388" s="18">
        <v>4.8093351372245845</v>
      </c>
      <c r="AZ3388" s="10"/>
      <c r="BA3388" s="20" t="b">
        <v>0</v>
      </c>
      <c r="BB3388" s="10"/>
      <c r="BC3388" s="17">
        <v>12332</v>
      </c>
      <c r="BD3388" s="17">
        <v>10348</v>
      </c>
      <c r="BE3388" s="17">
        <v>49767</v>
      </c>
      <c r="BF3388" s="17">
        <v>9.1999999999999993</v>
      </c>
      <c r="BG3388" s="11">
        <f ca="1">IFERROR(__xludf.DUMMYFUNCTION("""COMPUTED_VALUE"""),46026.7708333333)</f>
        <v>46026.770833333299</v>
      </c>
      <c r="BH3388" s="17" t="s">
        <v>105</v>
      </c>
      <c r="BI3388" s="17"/>
      <c r="BJ3388" s="15"/>
      <c r="BK3388" s="15"/>
      <c r="BL3388" s="13" t="b">
        <v>0</v>
      </c>
      <c r="BM3388" s="10"/>
      <c r="BN3388" s="10" t="s">
        <v>197</v>
      </c>
      <c r="BO3388" s="11">
        <v>46010.711805555555</v>
      </c>
      <c r="BP3388" s="11">
        <v>46010.71234953704</v>
      </c>
      <c r="BQ3388" s="15">
        <v>46014.996122685188</v>
      </c>
      <c r="BR3388" s="15">
        <v>46023.069652777776</v>
      </c>
      <c r="BS3388" s="10" t="s">
        <v>197</v>
      </c>
      <c r="BT3388" s="10"/>
      <c r="BU3388" s="10"/>
      <c r="BV3388" s="10"/>
      <c r="BW3388" s="10"/>
      <c r="BX3388" s="10"/>
      <c r="BY3388" s="23"/>
      <c r="BZ3388" s="23"/>
      <c r="CA3388" s="19" t="s">
        <v>24098</v>
      </c>
      <c r="CB3388" s="23"/>
      <c r="CC3388" s="23"/>
      <c r="CD3388" s="23"/>
      <c r="CE3388" s="23"/>
      <c r="CF3388" s="23"/>
      <c r="CG3388" s="23"/>
      <c r="CH3388" s="23"/>
      <c r="CI3388" s="23"/>
    </row>
    <row r="3389" spans="1:87" x14ac:dyDescent="0.3">
      <c r="A3389" s="9" t="s">
        <v>24103</v>
      </c>
      <c r="B3389" s="10" t="s">
        <v>24104</v>
      </c>
      <c r="C3389" s="11">
        <v>46027.770833333336</v>
      </c>
      <c r="D3389" s="12">
        <v>2.0833333333333332E-2</v>
      </c>
      <c r="E3389" s="11">
        <v>46027.791666666664</v>
      </c>
      <c r="F3389" s="22" t="s">
        <v>3511</v>
      </c>
      <c r="G3389" s="13" t="b">
        <v>0</v>
      </c>
      <c r="H3389" s="22" t="s">
        <v>3512</v>
      </c>
      <c r="I3389" s="10" t="s">
        <v>212</v>
      </c>
      <c r="J3389" s="13" t="b">
        <v>1</v>
      </c>
      <c r="K3389" s="13" t="b">
        <v>0</v>
      </c>
      <c r="L3389" s="10" t="s">
        <v>124</v>
      </c>
      <c r="M3389" s="10" t="s">
        <v>91</v>
      </c>
      <c r="N3389" s="10" t="s">
        <v>92</v>
      </c>
      <c r="O3389" s="19" t="s">
        <v>24105</v>
      </c>
      <c r="P3389" s="10"/>
      <c r="Q3389" s="10" t="s">
        <v>94</v>
      </c>
      <c r="R3389" s="10"/>
      <c r="S3389" s="19" t="s">
        <v>24106</v>
      </c>
      <c r="T3389" s="10"/>
      <c r="U3389" s="10"/>
      <c r="V3389" s="10"/>
      <c r="W3389" s="10" t="s">
        <v>3519</v>
      </c>
      <c r="X3389" s="10" t="s">
        <v>130</v>
      </c>
      <c r="Y3389" s="10" t="s">
        <v>130</v>
      </c>
      <c r="Z3389" s="10" t="s">
        <v>99</v>
      </c>
      <c r="AA3389" s="10" t="s">
        <v>131</v>
      </c>
      <c r="AB3389" s="10" t="s">
        <v>3520</v>
      </c>
      <c r="AC3389" s="10" t="s">
        <v>3521</v>
      </c>
      <c r="AD3389" s="10" t="s">
        <v>165</v>
      </c>
      <c r="AE3389" s="10" t="s">
        <v>24107</v>
      </c>
      <c r="AF3389" s="15"/>
      <c r="AG3389" s="10"/>
      <c r="AH3389" s="10"/>
      <c r="AI3389" s="10"/>
      <c r="AJ3389" s="10"/>
      <c r="AK3389" s="10" t="s">
        <v>102</v>
      </c>
      <c r="AL3389" s="10"/>
      <c r="AM3389" s="10"/>
      <c r="AN3389" s="10"/>
      <c r="AO3389" s="13" t="b">
        <v>0</v>
      </c>
      <c r="AP3389" s="22" t="s">
        <v>104</v>
      </c>
      <c r="AQ3389" s="10">
        <f ca="1">IFERROR(__xludf.DUMMYFUNCTION("""COMPUTED_VALUE"""),4827681)</f>
        <v>4827681</v>
      </c>
      <c r="AR3389" s="17">
        <v>21076</v>
      </c>
      <c r="AS3389" s="17">
        <v>15939</v>
      </c>
      <c r="AT3389" s="17">
        <v>112949</v>
      </c>
      <c r="AU3389" s="17">
        <v>172.35</v>
      </c>
      <c r="AV3389" s="17">
        <v>57.55</v>
      </c>
      <c r="AW3389" s="10" t="s">
        <v>105</v>
      </c>
      <c r="AX3389" s="17">
        <v>9757</v>
      </c>
      <c r="AY3389" s="18">
        <v>7.0863291298073907</v>
      </c>
      <c r="AZ3389" s="10"/>
      <c r="BA3389" s="20" t="b">
        <v>0</v>
      </c>
      <c r="BB3389" s="10"/>
      <c r="BC3389" s="17">
        <v>21076</v>
      </c>
      <c r="BD3389" s="17">
        <v>15939</v>
      </c>
      <c r="BE3389" s="17">
        <v>112949</v>
      </c>
      <c r="BF3389" s="17">
        <v>57.55</v>
      </c>
      <c r="BG3389" s="11">
        <f ca="1">IFERROR(__xludf.DUMMYFUNCTION("""COMPUTED_VALUE"""),46027.7708333333)</f>
        <v>46027.770833333299</v>
      </c>
      <c r="BH3389" s="17" t="s">
        <v>105</v>
      </c>
      <c r="BI3389" s="17"/>
      <c r="BJ3389" s="15"/>
      <c r="BK3389" s="15"/>
      <c r="BL3389" s="13" t="b">
        <v>0</v>
      </c>
      <c r="BM3389" s="10"/>
      <c r="BN3389" s="10" t="s">
        <v>137</v>
      </c>
      <c r="BO3389" s="11">
        <v>46010.712500000001</v>
      </c>
      <c r="BP3389" s="11">
        <v>46010.712997685187</v>
      </c>
      <c r="BQ3389" s="15">
        <v>46014.997523148151</v>
      </c>
      <c r="BR3389" s="15">
        <v>46026.458379629628</v>
      </c>
      <c r="BS3389" s="10" t="s">
        <v>137</v>
      </c>
      <c r="BT3389" s="10"/>
      <c r="BU3389" s="10"/>
      <c r="BV3389" s="10"/>
      <c r="BW3389" s="10"/>
      <c r="BX3389" s="10"/>
      <c r="BY3389" s="23"/>
      <c r="BZ3389" s="23"/>
      <c r="CA3389" s="19" t="s">
        <v>24108</v>
      </c>
      <c r="CB3389" s="23"/>
      <c r="CC3389" s="23"/>
      <c r="CD3389" s="23"/>
      <c r="CE3389" s="23"/>
      <c r="CF3389" s="23"/>
      <c r="CG3389" s="23"/>
      <c r="CH3389" s="23"/>
      <c r="CI3389" s="23"/>
    </row>
    <row r="3390" spans="1:87" x14ac:dyDescent="0.3">
      <c r="A3390" s="9" t="s">
        <v>24109</v>
      </c>
      <c r="B3390" s="10" t="s">
        <v>24110</v>
      </c>
      <c r="C3390" s="11">
        <v>46011.875</v>
      </c>
      <c r="D3390" s="12">
        <v>8.3333333333333329E-2</v>
      </c>
      <c r="E3390" s="11">
        <v>46011.958333333336</v>
      </c>
      <c r="F3390" s="22" t="s">
        <v>21253</v>
      </c>
      <c r="G3390" s="13" t="b">
        <v>0</v>
      </c>
      <c r="H3390" s="22" t="s">
        <v>6271</v>
      </c>
      <c r="I3390" s="10" t="s">
        <v>89</v>
      </c>
      <c r="J3390" s="13" t="b">
        <v>0</v>
      </c>
      <c r="K3390" s="13" t="b">
        <v>1</v>
      </c>
      <c r="L3390" s="10" t="s">
        <v>124</v>
      </c>
      <c r="M3390" s="10" t="s">
        <v>91</v>
      </c>
      <c r="N3390" s="10" t="s">
        <v>265</v>
      </c>
      <c r="O3390" s="19" t="s">
        <v>24111</v>
      </c>
      <c r="P3390" s="10"/>
      <c r="Q3390" s="10" t="s">
        <v>94</v>
      </c>
      <c r="R3390" s="10"/>
      <c r="S3390" s="10"/>
      <c r="T3390" s="10"/>
      <c r="U3390" s="10" t="s">
        <v>24112</v>
      </c>
      <c r="V3390" s="10" t="s">
        <v>3581</v>
      </c>
      <c r="W3390" s="10" t="s">
        <v>21258</v>
      </c>
      <c r="X3390" s="10" t="s">
        <v>130</v>
      </c>
      <c r="Y3390" s="10" t="s">
        <v>130</v>
      </c>
      <c r="Z3390" s="10" t="s">
        <v>99</v>
      </c>
      <c r="AA3390" s="10" t="s">
        <v>131</v>
      </c>
      <c r="AB3390" s="10" t="s">
        <v>21259</v>
      </c>
      <c r="AC3390" s="10" t="s">
        <v>21260</v>
      </c>
      <c r="AD3390" s="10" t="s">
        <v>24113</v>
      </c>
      <c r="AE3390" s="10" t="s">
        <v>24114</v>
      </c>
      <c r="AF3390" s="15"/>
      <c r="AG3390" s="10"/>
      <c r="AH3390" s="10"/>
      <c r="AI3390" s="10"/>
      <c r="AJ3390" s="10"/>
      <c r="AK3390" s="10" t="s">
        <v>102</v>
      </c>
      <c r="AL3390" s="10" t="s">
        <v>1988</v>
      </c>
      <c r="AM3390" s="10"/>
      <c r="AN3390" s="10"/>
      <c r="AO3390" s="13" t="b">
        <v>0</v>
      </c>
      <c r="AP3390" s="22" t="s">
        <v>104</v>
      </c>
      <c r="AQ3390" s="10">
        <f ca="1">IFERROR(__xludf.DUMMYFUNCTION("""COMPUTED_VALUE"""),4788323)</f>
        <v>4788323</v>
      </c>
      <c r="AR3390" s="17">
        <v>4325</v>
      </c>
      <c r="AS3390" s="17">
        <v>3583</v>
      </c>
      <c r="AT3390" s="17">
        <v>32669.25</v>
      </c>
      <c r="AU3390" s="17">
        <v>11</v>
      </c>
      <c r="AV3390" s="17">
        <v>1.4</v>
      </c>
      <c r="AW3390" s="10" t="s">
        <v>105</v>
      </c>
      <c r="AX3390" s="17">
        <v>719</v>
      </c>
      <c r="AY3390" s="18">
        <v>9.1178481719229687</v>
      </c>
      <c r="AZ3390" s="10"/>
      <c r="BA3390" s="20" t="b">
        <v>0</v>
      </c>
      <c r="BB3390" s="10"/>
      <c r="BC3390" s="17">
        <v>4325</v>
      </c>
      <c r="BD3390" s="17">
        <v>3583</v>
      </c>
      <c r="BE3390" s="17">
        <v>32669.25</v>
      </c>
      <c r="BF3390" s="17">
        <v>1.4</v>
      </c>
      <c r="BG3390" s="11">
        <f ca="1">IFERROR(__xludf.DUMMYFUNCTION("""COMPUTED_VALUE"""),46011.875)</f>
        <v>46011.875</v>
      </c>
      <c r="BH3390" s="17" t="s">
        <v>105</v>
      </c>
      <c r="BI3390" s="17"/>
      <c r="BJ3390" s="15"/>
      <c r="BK3390" s="15"/>
      <c r="BL3390" s="13" t="b">
        <v>0</v>
      </c>
      <c r="BM3390" s="10"/>
      <c r="BN3390" s="10" t="s">
        <v>197</v>
      </c>
      <c r="BO3390" s="11">
        <v>46010.737500000003</v>
      </c>
      <c r="BP3390" s="11">
        <v>46010.737916666665</v>
      </c>
      <c r="BQ3390" s="15"/>
      <c r="BR3390" s="15">
        <v>46010.990324074075</v>
      </c>
      <c r="BS3390" s="10" t="s">
        <v>197</v>
      </c>
      <c r="BT3390" s="10" t="s">
        <v>99</v>
      </c>
      <c r="BU3390" s="10" t="s">
        <v>1275</v>
      </c>
      <c r="BV3390" s="10"/>
      <c r="BW3390" s="10"/>
      <c r="BX3390" s="10"/>
      <c r="BY3390" s="23"/>
      <c r="BZ3390" s="23"/>
      <c r="CA3390" s="19" t="s">
        <v>24115</v>
      </c>
      <c r="CB3390" s="23"/>
      <c r="CC3390" s="23"/>
      <c r="CD3390" s="23"/>
      <c r="CE3390" s="23"/>
      <c r="CF3390" s="23"/>
      <c r="CG3390" s="23"/>
      <c r="CH3390" s="23"/>
      <c r="CI3390" s="23"/>
    </row>
    <row r="3391" spans="1:87" x14ac:dyDescent="0.3">
      <c r="A3391" s="9" t="s">
        <v>24116</v>
      </c>
      <c r="B3391" s="10" t="s">
        <v>24117</v>
      </c>
      <c r="C3391" s="11">
        <v>46011.354166666664</v>
      </c>
      <c r="D3391" s="12">
        <v>3.4722222222222224E-2</v>
      </c>
      <c r="E3391" s="11">
        <v>46011.388888888891</v>
      </c>
      <c r="F3391" s="22" t="s">
        <v>21383</v>
      </c>
      <c r="G3391" s="13" t="b">
        <v>0</v>
      </c>
      <c r="H3391" s="22" t="s">
        <v>21384</v>
      </c>
      <c r="I3391" s="10" t="s">
        <v>9131</v>
      </c>
      <c r="J3391" s="13" t="b">
        <v>0</v>
      </c>
      <c r="K3391" s="13" t="b">
        <v>1</v>
      </c>
      <c r="L3391" s="10" t="s">
        <v>124</v>
      </c>
      <c r="M3391" s="10" t="s">
        <v>91</v>
      </c>
      <c r="N3391" s="10" t="s">
        <v>92</v>
      </c>
      <c r="O3391" s="19" t="s">
        <v>24118</v>
      </c>
      <c r="P3391" s="10"/>
      <c r="Q3391" s="10" t="s">
        <v>126</v>
      </c>
      <c r="R3391" s="10"/>
      <c r="S3391" s="19" t="s">
        <v>21444</v>
      </c>
      <c r="T3391" s="10"/>
      <c r="U3391" s="10" t="s">
        <v>21858</v>
      </c>
      <c r="V3391" s="10" t="s">
        <v>21858</v>
      </c>
      <c r="W3391" s="10" t="s">
        <v>21387</v>
      </c>
      <c r="X3391" s="10" t="s">
        <v>216</v>
      </c>
      <c r="Y3391" s="10" t="s">
        <v>216</v>
      </c>
      <c r="Z3391" s="10" t="s">
        <v>99</v>
      </c>
      <c r="AA3391" s="10" t="s">
        <v>131</v>
      </c>
      <c r="AB3391" s="10" t="s">
        <v>21388</v>
      </c>
      <c r="AC3391" s="10" t="s">
        <v>21389</v>
      </c>
      <c r="AD3391" s="10" t="s">
        <v>165</v>
      </c>
      <c r="AE3391" s="10" t="s">
        <v>24119</v>
      </c>
      <c r="AF3391" s="15"/>
      <c r="AG3391" s="10"/>
      <c r="AH3391" s="10"/>
      <c r="AI3391" s="10"/>
      <c r="AJ3391" s="10"/>
      <c r="AK3391" s="10" t="s">
        <v>102</v>
      </c>
      <c r="AL3391" s="10"/>
      <c r="AM3391" s="10"/>
      <c r="AN3391" s="10"/>
      <c r="AO3391" s="13" t="b">
        <v>0</v>
      </c>
      <c r="AP3391" s="22" t="s">
        <v>135</v>
      </c>
      <c r="AQ3391" s="10">
        <f ca="1">IFERROR(__xludf.DUMMYFUNCTION("""COMPUTED_VALUE"""),4788330)</f>
        <v>4788330</v>
      </c>
      <c r="AR3391" s="17">
        <v>7602</v>
      </c>
      <c r="AS3391" s="17">
        <v>5738</v>
      </c>
      <c r="AT3391" s="17">
        <v>463616</v>
      </c>
      <c r="AU3391" s="17">
        <v>50.75</v>
      </c>
      <c r="AV3391" s="17">
        <v>8.9499999999999993</v>
      </c>
      <c r="AW3391" s="10" t="s">
        <v>105</v>
      </c>
      <c r="AX3391" s="17">
        <v>3700</v>
      </c>
      <c r="AY3391" s="18">
        <v>80.797490414778665</v>
      </c>
      <c r="AZ3391" s="10"/>
      <c r="BA3391" s="20" t="b">
        <v>0</v>
      </c>
      <c r="BB3391" s="10" t="s">
        <v>21441</v>
      </c>
      <c r="BC3391" s="17">
        <v>7602</v>
      </c>
      <c r="BD3391" s="17">
        <v>5738</v>
      </c>
      <c r="BE3391" s="17">
        <v>463616</v>
      </c>
      <c r="BF3391" s="17">
        <v>8.9499999999999993</v>
      </c>
      <c r="BG3391" s="11">
        <f ca="1">IFERROR(__xludf.DUMMYFUNCTION("""COMPUTED_VALUE"""),46011.3541666666)</f>
        <v>46011.354166666599</v>
      </c>
      <c r="BH3391" s="17" t="s">
        <v>105</v>
      </c>
      <c r="BI3391" s="17"/>
      <c r="BJ3391" s="15"/>
      <c r="BK3391" s="15"/>
      <c r="BL3391" s="13" t="b">
        <v>0</v>
      </c>
      <c r="BM3391" s="10"/>
      <c r="BN3391" s="10" t="s">
        <v>634</v>
      </c>
      <c r="BO3391" s="11">
        <v>46010.997916666667</v>
      </c>
      <c r="BP3391" s="11">
        <v>46010.998842592591</v>
      </c>
      <c r="BQ3391" s="15"/>
      <c r="BR3391" s="15">
        <v>46011.023368055554</v>
      </c>
      <c r="BS3391" s="10" t="s">
        <v>634</v>
      </c>
      <c r="BT3391" s="10"/>
      <c r="BU3391" s="10"/>
      <c r="BV3391" s="10"/>
      <c r="BW3391" s="10"/>
      <c r="BX3391" s="10"/>
      <c r="BY3391" s="23"/>
      <c r="BZ3391" s="23"/>
      <c r="CA3391" s="19" t="s">
        <v>21446</v>
      </c>
      <c r="CB3391" s="23"/>
      <c r="CC3391" s="23"/>
      <c r="CD3391" s="19" t="s">
        <v>21447</v>
      </c>
      <c r="CE3391" s="23"/>
      <c r="CF3391" s="23"/>
      <c r="CG3391" s="23"/>
      <c r="CH3391" s="23"/>
      <c r="CI3391" s="23"/>
    </row>
    <row r="3392" spans="1:87" x14ac:dyDescent="0.3">
      <c r="A3392" s="9" t="s">
        <v>24120</v>
      </c>
      <c r="B3392" s="10" t="s">
        <v>24121</v>
      </c>
      <c r="C3392" s="11">
        <v>46011.388888888891</v>
      </c>
      <c r="D3392" s="12">
        <v>3.4722222222222224E-2</v>
      </c>
      <c r="E3392" s="11">
        <v>46011.423611111109</v>
      </c>
      <c r="F3392" s="22" t="s">
        <v>21383</v>
      </c>
      <c r="G3392" s="13" t="b">
        <v>0</v>
      </c>
      <c r="H3392" s="22" t="s">
        <v>21384</v>
      </c>
      <c r="I3392" s="10" t="s">
        <v>9131</v>
      </c>
      <c r="J3392" s="13" t="b">
        <v>0</v>
      </c>
      <c r="K3392" s="13" t="b">
        <v>1</v>
      </c>
      <c r="L3392" s="10" t="s">
        <v>124</v>
      </c>
      <c r="M3392" s="10" t="s">
        <v>91</v>
      </c>
      <c r="N3392" s="10" t="s">
        <v>92</v>
      </c>
      <c r="O3392" s="19" t="s">
        <v>24122</v>
      </c>
      <c r="P3392" s="10"/>
      <c r="Q3392" s="10" t="s">
        <v>126</v>
      </c>
      <c r="R3392" s="10"/>
      <c r="S3392" s="19" t="s">
        <v>21444</v>
      </c>
      <c r="T3392" s="10"/>
      <c r="U3392" s="10" t="s">
        <v>21858</v>
      </c>
      <c r="V3392" s="10" t="s">
        <v>21858</v>
      </c>
      <c r="W3392" s="10" t="s">
        <v>21387</v>
      </c>
      <c r="X3392" s="10" t="s">
        <v>216</v>
      </c>
      <c r="Y3392" s="10" t="s">
        <v>216</v>
      </c>
      <c r="Z3392" s="10" t="s">
        <v>99</v>
      </c>
      <c r="AA3392" s="10" t="s">
        <v>131</v>
      </c>
      <c r="AB3392" s="10" t="s">
        <v>21388</v>
      </c>
      <c r="AC3392" s="10" t="s">
        <v>21389</v>
      </c>
      <c r="AD3392" s="10" t="s">
        <v>165</v>
      </c>
      <c r="AE3392" s="10" t="s">
        <v>24123</v>
      </c>
      <c r="AF3392" s="15"/>
      <c r="AG3392" s="10"/>
      <c r="AH3392" s="10"/>
      <c r="AI3392" s="10"/>
      <c r="AJ3392" s="10"/>
      <c r="AK3392" s="10" t="s">
        <v>102</v>
      </c>
      <c r="AL3392" s="10"/>
      <c r="AM3392" s="10"/>
      <c r="AN3392" s="10"/>
      <c r="AO3392" s="13" t="b">
        <v>0</v>
      </c>
      <c r="AP3392" s="22" t="s">
        <v>135</v>
      </c>
      <c r="AQ3392" s="10">
        <f ca="1">IFERROR(__xludf.DUMMYFUNCTION("""COMPUTED_VALUE"""),4788329)</f>
        <v>4788329</v>
      </c>
      <c r="AR3392" s="17">
        <v>11377</v>
      </c>
      <c r="AS3392" s="17">
        <v>7528</v>
      </c>
      <c r="AT3392" s="17">
        <v>383010.25</v>
      </c>
      <c r="AU3392" s="17">
        <v>50.9</v>
      </c>
      <c r="AV3392" s="17">
        <v>9.75</v>
      </c>
      <c r="AW3392" s="10" t="s">
        <v>105</v>
      </c>
      <c r="AX3392" s="17">
        <v>5231</v>
      </c>
      <c r="AY3392" s="18">
        <v>50.87808846971307</v>
      </c>
      <c r="AZ3392" s="10"/>
      <c r="BA3392" s="20" t="b">
        <v>0</v>
      </c>
      <c r="BB3392" s="10" t="s">
        <v>21441</v>
      </c>
      <c r="BC3392" s="17">
        <v>11377</v>
      </c>
      <c r="BD3392" s="17">
        <v>7528</v>
      </c>
      <c r="BE3392" s="17">
        <v>383010.25</v>
      </c>
      <c r="BF3392" s="17">
        <v>9.75</v>
      </c>
      <c r="BG3392" s="11">
        <f ca="1">IFERROR(__xludf.DUMMYFUNCTION("""COMPUTED_VALUE"""),46011.3888888888)</f>
        <v>46011.388888888803</v>
      </c>
      <c r="BH3392" s="17" t="s">
        <v>105</v>
      </c>
      <c r="BI3392" s="17"/>
      <c r="BJ3392" s="15"/>
      <c r="BK3392" s="15"/>
      <c r="BL3392" s="13" t="b">
        <v>0</v>
      </c>
      <c r="BM3392" s="10"/>
      <c r="BN3392" s="10" t="s">
        <v>634</v>
      </c>
      <c r="BO3392" s="11">
        <v>46010.999305555553</v>
      </c>
      <c r="BP3392" s="11">
        <v>46010.999791666669</v>
      </c>
      <c r="BQ3392" s="15"/>
      <c r="BR3392" s="15">
        <v>46011.023495370369</v>
      </c>
      <c r="BS3392" s="10" t="s">
        <v>634</v>
      </c>
      <c r="BT3392" s="10"/>
      <c r="BU3392" s="10"/>
      <c r="BV3392" s="10"/>
      <c r="BW3392" s="10"/>
      <c r="BX3392" s="10"/>
      <c r="BY3392" s="23"/>
      <c r="BZ3392" s="23"/>
      <c r="CA3392" s="19" t="s">
        <v>21446</v>
      </c>
      <c r="CB3392" s="23"/>
      <c r="CC3392" s="23"/>
      <c r="CD3392" s="19" t="s">
        <v>21447</v>
      </c>
      <c r="CE3392" s="23"/>
      <c r="CF3392" s="23"/>
      <c r="CG3392" s="23"/>
      <c r="CH3392" s="23"/>
      <c r="CI3392" s="23"/>
    </row>
    <row r="3393" spans="1:87" x14ac:dyDescent="0.3">
      <c r="A3393" s="9" t="s">
        <v>24124</v>
      </c>
      <c r="B3393" s="10" t="s">
        <v>24125</v>
      </c>
      <c r="C3393" s="11">
        <v>46011.423611111109</v>
      </c>
      <c r="D3393" s="12">
        <v>3.4722222222222224E-2</v>
      </c>
      <c r="E3393" s="11">
        <v>46011.458333333336</v>
      </c>
      <c r="F3393" s="22" t="s">
        <v>21383</v>
      </c>
      <c r="G3393" s="13" t="b">
        <v>0</v>
      </c>
      <c r="H3393" s="22" t="s">
        <v>21384</v>
      </c>
      <c r="I3393" s="10" t="s">
        <v>9131</v>
      </c>
      <c r="J3393" s="13" t="b">
        <v>0</v>
      </c>
      <c r="K3393" s="13" t="b">
        <v>1</v>
      </c>
      <c r="L3393" s="10" t="s">
        <v>124</v>
      </c>
      <c r="M3393" s="10" t="s">
        <v>91</v>
      </c>
      <c r="N3393" s="10" t="s">
        <v>92</v>
      </c>
      <c r="O3393" s="19" t="s">
        <v>24126</v>
      </c>
      <c r="P3393" s="10"/>
      <c r="Q3393" s="10" t="s">
        <v>126</v>
      </c>
      <c r="R3393" s="10"/>
      <c r="S3393" s="19" t="s">
        <v>21444</v>
      </c>
      <c r="T3393" s="10"/>
      <c r="U3393" s="10" t="s">
        <v>21858</v>
      </c>
      <c r="V3393" s="10" t="s">
        <v>21858</v>
      </c>
      <c r="W3393" s="10" t="s">
        <v>21387</v>
      </c>
      <c r="X3393" s="10" t="s">
        <v>216</v>
      </c>
      <c r="Y3393" s="10" t="s">
        <v>216</v>
      </c>
      <c r="Z3393" s="10" t="s">
        <v>99</v>
      </c>
      <c r="AA3393" s="10" t="s">
        <v>131</v>
      </c>
      <c r="AB3393" s="10" t="s">
        <v>21388</v>
      </c>
      <c r="AC3393" s="10" t="s">
        <v>21389</v>
      </c>
      <c r="AD3393" s="10" t="s">
        <v>165</v>
      </c>
      <c r="AE3393" s="10" t="s">
        <v>24127</v>
      </c>
      <c r="AF3393" s="15"/>
      <c r="AG3393" s="10"/>
      <c r="AH3393" s="10"/>
      <c r="AI3393" s="10"/>
      <c r="AJ3393" s="10"/>
      <c r="AK3393" s="10" t="s">
        <v>102</v>
      </c>
      <c r="AL3393" s="10"/>
      <c r="AM3393" s="10"/>
      <c r="AN3393" s="10"/>
      <c r="AO3393" s="13" t="b">
        <v>0</v>
      </c>
      <c r="AP3393" s="22" t="s">
        <v>221</v>
      </c>
      <c r="AQ3393" s="10">
        <f ca="1">IFERROR(__xludf.DUMMYFUNCTION("""COMPUTED_VALUE"""),4788328)</f>
        <v>4788328</v>
      </c>
      <c r="AR3393" s="17">
        <v>10155</v>
      </c>
      <c r="AS3393" s="17">
        <v>7140</v>
      </c>
      <c r="AT3393" s="17">
        <v>282386.5</v>
      </c>
      <c r="AU3393" s="17">
        <v>49.5</v>
      </c>
      <c r="AV3393" s="17">
        <v>8.6</v>
      </c>
      <c r="AW3393" s="10" t="s">
        <v>105</v>
      </c>
      <c r="AX3393" s="17">
        <v>5426</v>
      </c>
      <c r="AY3393" s="18">
        <v>39.549929971988796</v>
      </c>
      <c r="AZ3393" s="10"/>
      <c r="BA3393" s="20" t="b">
        <v>0</v>
      </c>
      <c r="BB3393" s="10" t="s">
        <v>21441</v>
      </c>
      <c r="BC3393" s="17">
        <v>10155</v>
      </c>
      <c r="BD3393" s="17">
        <v>7140</v>
      </c>
      <c r="BE3393" s="17">
        <v>282386.5</v>
      </c>
      <c r="BF3393" s="17">
        <v>8.6</v>
      </c>
      <c r="BG3393" s="11">
        <f ca="1">IFERROR(__xludf.DUMMYFUNCTION("""COMPUTED_VALUE"""),46011.4236111111)</f>
        <v>46011.423611111102</v>
      </c>
      <c r="BH3393" s="17" t="s">
        <v>105</v>
      </c>
      <c r="BI3393" s="17"/>
      <c r="BJ3393" s="15"/>
      <c r="BK3393" s="15"/>
      <c r="BL3393" s="13" t="b">
        <v>0</v>
      </c>
      <c r="BM3393" s="10"/>
      <c r="BN3393" s="10" t="s">
        <v>634</v>
      </c>
      <c r="BO3393" s="11">
        <v>46011</v>
      </c>
      <c r="BP3393" s="11">
        <v>46011.001099537039</v>
      </c>
      <c r="BQ3393" s="15"/>
      <c r="BR3393" s="15">
        <v>46011.023634259262</v>
      </c>
      <c r="BS3393" s="10" t="s">
        <v>634</v>
      </c>
      <c r="BT3393" s="10"/>
      <c r="BU3393" s="10"/>
      <c r="BV3393" s="10"/>
      <c r="BW3393" s="10"/>
      <c r="BX3393" s="10"/>
      <c r="BY3393" s="23"/>
      <c r="BZ3393" s="23"/>
      <c r="CA3393" s="19" t="s">
        <v>21446</v>
      </c>
      <c r="CB3393" s="23"/>
      <c r="CC3393" s="23"/>
      <c r="CD3393" s="19" t="s">
        <v>21447</v>
      </c>
      <c r="CE3393" s="23"/>
      <c r="CF3393" s="23"/>
      <c r="CG3393" s="23"/>
      <c r="CH3393" s="23"/>
      <c r="CI3393" s="23"/>
    </row>
    <row r="3394" spans="1:87" x14ac:dyDescent="0.3">
      <c r="A3394" s="9" t="s">
        <v>24128</v>
      </c>
      <c r="B3394" s="10" t="s">
        <v>24129</v>
      </c>
      <c r="C3394" s="11">
        <v>46011.458333333336</v>
      </c>
      <c r="D3394" s="12">
        <v>3.4722222222222224E-2</v>
      </c>
      <c r="E3394" s="11">
        <v>46011.493055555555</v>
      </c>
      <c r="F3394" s="22" t="s">
        <v>21383</v>
      </c>
      <c r="G3394" s="13" t="b">
        <v>0</v>
      </c>
      <c r="H3394" s="22" t="s">
        <v>21384</v>
      </c>
      <c r="I3394" s="10" t="s">
        <v>9131</v>
      </c>
      <c r="J3394" s="13" t="b">
        <v>0</v>
      </c>
      <c r="K3394" s="13" t="b">
        <v>1</v>
      </c>
      <c r="L3394" s="10" t="s">
        <v>124</v>
      </c>
      <c r="M3394" s="10" t="s">
        <v>91</v>
      </c>
      <c r="N3394" s="10" t="s">
        <v>92</v>
      </c>
      <c r="O3394" s="19" t="s">
        <v>24130</v>
      </c>
      <c r="P3394" s="10"/>
      <c r="Q3394" s="10" t="s">
        <v>126</v>
      </c>
      <c r="R3394" s="10"/>
      <c r="S3394" s="19" t="s">
        <v>21444</v>
      </c>
      <c r="T3394" s="10"/>
      <c r="U3394" s="10" t="s">
        <v>21858</v>
      </c>
      <c r="V3394" s="10" t="s">
        <v>21858</v>
      </c>
      <c r="W3394" s="10" t="s">
        <v>21387</v>
      </c>
      <c r="X3394" s="10" t="s">
        <v>216</v>
      </c>
      <c r="Y3394" s="10" t="s">
        <v>216</v>
      </c>
      <c r="Z3394" s="10" t="s">
        <v>99</v>
      </c>
      <c r="AA3394" s="10" t="s">
        <v>131</v>
      </c>
      <c r="AB3394" s="10" t="s">
        <v>21388</v>
      </c>
      <c r="AC3394" s="10" t="s">
        <v>21389</v>
      </c>
      <c r="AD3394" s="10" t="s">
        <v>165</v>
      </c>
      <c r="AE3394" s="10" t="s">
        <v>24131</v>
      </c>
      <c r="AF3394" s="15"/>
      <c r="AG3394" s="10"/>
      <c r="AH3394" s="10"/>
      <c r="AI3394" s="10"/>
      <c r="AJ3394" s="10"/>
      <c r="AK3394" s="10" t="s">
        <v>102</v>
      </c>
      <c r="AL3394" s="10"/>
      <c r="AM3394" s="10"/>
      <c r="AN3394" s="10"/>
      <c r="AO3394" s="13" t="b">
        <v>0</v>
      </c>
      <c r="AP3394" s="22" t="s">
        <v>135</v>
      </c>
      <c r="AQ3394" s="10">
        <f ca="1">IFERROR(__xludf.DUMMYFUNCTION("""COMPUTED_VALUE"""),4788327)</f>
        <v>4788327</v>
      </c>
      <c r="AR3394" s="17">
        <v>10537</v>
      </c>
      <c r="AS3394" s="17">
        <v>7497</v>
      </c>
      <c r="AT3394" s="17">
        <v>245374</v>
      </c>
      <c r="AU3394" s="17">
        <v>57.95</v>
      </c>
      <c r="AV3394" s="17">
        <v>10.4</v>
      </c>
      <c r="AW3394" s="10" t="s">
        <v>105</v>
      </c>
      <c r="AX3394" s="17">
        <v>6116</v>
      </c>
      <c r="AY3394" s="18">
        <v>32.729625183406696</v>
      </c>
      <c r="AZ3394" s="10"/>
      <c r="BA3394" s="20" t="b">
        <v>0</v>
      </c>
      <c r="BB3394" s="10" t="s">
        <v>21441</v>
      </c>
      <c r="BC3394" s="17">
        <v>10537</v>
      </c>
      <c r="BD3394" s="17">
        <v>7497</v>
      </c>
      <c r="BE3394" s="17">
        <v>245374</v>
      </c>
      <c r="BF3394" s="17">
        <v>10.4</v>
      </c>
      <c r="BG3394" s="11">
        <f ca="1">IFERROR(__xludf.DUMMYFUNCTION("""COMPUTED_VALUE"""),46011.4583333333)</f>
        <v>46011.458333333299</v>
      </c>
      <c r="BH3394" s="17" t="s">
        <v>105</v>
      </c>
      <c r="BI3394" s="17"/>
      <c r="BJ3394" s="15"/>
      <c r="BK3394" s="15"/>
      <c r="BL3394" s="13" t="b">
        <v>0</v>
      </c>
      <c r="BM3394" s="10"/>
      <c r="BN3394" s="10" t="s">
        <v>634</v>
      </c>
      <c r="BO3394" s="11">
        <v>46011.000694444447</v>
      </c>
      <c r="BP3394" s="11">
        <v>46011.002106481479</v>
      </c>
      <c r="BQ3394" s="15"/>
      <c r="BR3394" s="15">
        <v>46011.023761574077</v>
      </c>
      <c r="BS3394" s="10" t="s">
        <v>634</v>
      </c>
      <c r="BT3394" s="10"/>
      <c r="BU3394" s="10"/>
      <c r="BV3394" s="10"/>
      <c r="BW3394" s="10"/>
      <c r="BX3394" s="10"/>
      <c r="BY3394" s="23"/>
      <c r="BZ3394" s="23"/>
      <c r="CA3394" s="19" t="s">
        <v>21446</v>
      </c>
      <c r="CB3394" s="23"/>
      <c r="CC3394" s="23"/>
      <c r="CD3394" s="19" t="s">
        <v>21447</v>
      </c>
      <c r="CE3394" s="23"/>
      <c r="CF3394" s="23"/>
      <c r="CG3394" s="23"/>
      <c r="CH3394" s="23"/>
      <c r="CI3394" s="23"/>
    </row>
    <row r="3395" spans="1:87" x14ac:dyDescent="0.3">
      <c r="A3395" s="9" t="s">
        <v>24132</v>
      </c>
      <c r="B3395" s="10" t="s">
        <v>24133</v>
      </c>
      <c r="C3395" s="11">
        <v>46011.493055555555</v>
      </c>
      <c r="D3395" s="12">
        <v>3.4722222222222224E-2</v>
      </c>
      <c r="E3395" s="11">
        <v>46011.527777777781</v>
      </c>
      <c r="F3395" s="22" t="s">
        <v>21383</v>
      </c>
      <c r="G3395" s="13" t="b">
        <v>0</v>
      </c>
      <c r="H3395" s="22" t="s">
        <v>21384</v>
      </c>
      <c r="I3395" s="10" t="s">
        <v>9131</v>
      </c>
      <c r="J3395" s="13" t="b">
        <v>0</v>
      </c>
      <c r="K3395" s="13" t="b">
        <v>1</v>
      </c>
      <c r="L3395" s="10" t="s">
        <v>124</v>
      </c>
      <c r="M3395" s="10" t="s">
        <v>91</v>
      </c>
      <c r="N3395" s="10" t="s">
        <v>92</v>
      </c>
      <c r="O3395" s="19" t="s">
        <v>24134</v>
      </c>
      <c r="P3395" s="10"/>
      <c r="Q3395" s="10" t="s">
        <v>126</v>
      </c>
      <c r="R3395" s="10"/>
      <c r="S3395" s="19" t="s">
        <v>21444</v>
      </c>
      <c r="T3395" s="10"/>
      <c r="U3395" s="10" t="s">
        <v>21858</v>
      </c>
      <c r="V3395" s="10" t="s">
        <v>21858</v>
      </c>
      <c r="W3395" s="10" t="s">
        <v>21387</v>
      </c>
      <c r="X3395" s="10" t="s">
        <v>216</v>
      </c>
      <c r="Y3395" s="10" t="s">
        <v>216</v>
      </c>
      <c r="Z3395" s="10" t="s">
        <v>99</v>
      </c>
      <c r="AA3395" s="10" t="s">
        <v>131</v>
      </c>
      <c r="AB3395" s="10" t="s">
        <v>21388</v>
      </c>
      <c r="AC3395" s="10" t="s">
        <v>21389</v>
      </c>
      <c r="AD3395" s="10" t="s">
        <v>165</v>
      </c>
      <c r="AE3395" s="10" t="s">
        <v>24135</v>
      </c>
      <c r="AF3395" s="15"/>
      <c r="AG3395" s="10"/>
      <c r="AH3395" s="10"/>
      <c r="AI3395" s="10"/>
      <c r="AJ3395" s="10"/>
      <c r="AK3395" s="10" t="s">
        <v>102</v>
      </c>
      <c r="AL3395" s="10"/>
      <c r="AM3395" s="10"/>
      <c r="AN3395" s="10"/>
      <c r="AO3395" s="13" t="b">
        <v>0</v>
      </c>
      <c r="AP3395" s="22" t="s">
        <v>104</v>
      </c>
      <c r="AQ3395" s="10">
        <f ca="1">IFERROR(__xludf.DUMMYFUNCTION("""COMPUTED_VALUE"""),4788326)</f>
        <v>4788326</v>
      </c>
      <c r="AR3395" s="17">
        <v>8917</v>
      </c>
      <c r="AS3395" s="17">
        <v>6773</v>
      </c>
      <c r="AT3395" s="17">
        <v>120250.5</v>
      </c>
      <c r="AU3395" s="17">
        <v>43.5</v>
      </c>
      <c r="AV3395" s="17">
        <v>10</v>
      </c>
      <c r="AW3395" s="10" t="s">
        <v>105</v>
      </c>
      <c r="AX3395" s="17">
        <v>6189</v>
      </c>
      <c r="AY3395" s="18">
        <v>17.754392440572865</v>
      </c>
      <c r="AZ3395" s="10"/>
      <c r="BA3395" s="20" t="b">
        <v>0</v>
      </c>
      <c r="BB3395" s="10" t="s">
        <v>21441</v>
      </c>
      <c r="BC3395" s="17">
        <v>8917</v>
      </c>
      <c r="BD3395" s="17">
        <v>6773</v>
      </c>
      <c r="BE3395" s="17">
        <v>120250.5</v>
      </c>
      <c r="BF3395" s="17">
        <v>10</v>
      </c>
      <c r="BG3395" s="11">
        <f ca="1">IFERROR(__xludf.DUMMYFUNCTION("""COMPUTED_VALUE"""),46011.4930555555)</f>
        <v>46011.493055555497</v>
      </c>
      <c r="BH3395" s="17" t="s">
        <v>105</v>
      </c>
      <c r="BI3395" s="17"/>
      <c r="BJ3395" s="15"/>
      <c r="BK3395" s="15"/>
      <c r="BL3395" s="13" t="b">
        <v>0</v>
      </c>
      <c r="BM3395" s="10"/>
      <c r="BN3395" s="10" t="s">
        <v>634</v>
      </c>
      <c r="BO3395" s="11">
        <v>46011.002083333333</v>
      </c>
      <c r="BP3395" s="11">
        <v>46011.00267361111</v>
      </c>
      <c r="BQ3395" s="15"/>
      <c r="BR3395" s="15">
        <v>46011.023888888885</v>
      </c>
      <c r="BS3395" s="10" t="s">
        <v>634</v>
      </c>
      <c r="BT3395" s="10"/>
      <c r="BU3395" s="10"/>
      <c r="BV3395" s="10"/>
      <c r="BW3395" s="10"/>
      <c r="BX3395" s="10"/>
      <c r="BY3395" s="23"/>
      <c r="BZ3395" s="23"/>
      <c r="CA3395" s="19" t="s">
        <v>21446</v>
      </c>
      <c r="CB3395" s="23"/>
      <c r="CC3395" s="23"/>
      <c r="CD3395" s="19" t="s">
        <v>21447</v>
      </c>
      <c r="CE3395" s="23"/>
      <c r="CF3395" s="23"/>
      <c r="CG3395" s="23"/>
      <c r="CH3395" s="23"/>
      <c r="CI3395" s="23"/>
    </row>
    <row r="3396" spans="1:87" x14ac:dyDescent="0.3">
      <c r="A3396" s="9" t="s">
        <v>24136</v>
      </c>
      <c r="B3396" s="10" t="s">
        <v>24137</v>
      </c>
      <c r="C3396" s="11">
        <v>46011.666666666664</v>
      </c>
      <c r="D3396" s="12">
        <v>3.4722222222222224E-2</v>
      </c>
      <c r="E3396" s="11">
        <v>46011.701388888891</v>
      </c>
      <c r="F3396" s="22" t="s">
        <v>21383</v>
      </c>
      <c r="G3396" s="13" t="b">
        <v>0</v>
      </c>
      <c r="H3396" s="22" t="s">
        <v>21384</v>
      </c>
      <c r="I3396" s="10" t="s">
        <v>9131</v>
      </c>
      <c r="J3396" s="13" t="b">
        <v>0</v>
      </c>
      <c r="K3396" s="13" t="b">
        <v>1</v>
      </c>
      <c r="L3396" s="10" t="s">
        <v>124</v>
      </c>
      <c r="M3396" s="10" t="s">
        <v>91</v>
      </c>
      <c r="N3396" s="10" t="s">
        <v>92</v>
      </c>
      <c r="O3396" s="19" t="s">
        <v>24138</v>
      </c>
      <c r="P3396" s="10"/>
      <c r="Q3396" s="10" t="s">
        <v>126</v>
      </c>
      <c r="R3396" s="10"/>
      <c r="S3396" s="19" t="s">
        <v>21449</v>
      </c>
      <c r="T3396" s="10"/>
      <c r="U3396" s="10"/>
      <c r="V3396" s="10"/>
      <c r="W3396" s="10" t="s">
        <v>21387</v>
      </c>
      <c r="X3396" s="10" t="s">
        <v>216</v>
      </c>
      <c r="Y3396" s="10" t="s">
        <v>216</v>
      </c>
      <c r="Z3396" s="10" t="s">
        <v>99</v>
      </c>
      <c r="AA3396" s="10" t="s">
        <v>131</v>
      </c>
      <c r="AB3396" s="10" t="s">
        <v>21388</v>
      </c>
      <c r="AC3396" s="10" t="s">
        <v>21389</v>
      </c>
      <c r="AD3396" s="10" t="s">
        <v>165</v>
      </c>
      <c r="AE3396" s="10" t="s">
        <v>24139</v>
      </c>
      <c r="AF3396" s="15"/>
      <c r="AG3396" s="10"/>
      <c r="AH3396" s="10"/>
      <c r="AI3396" s="10"/>
      <c r="AJ3396" s="10"/>
      <c r="AK3396" s="10" t="s">
        <v>102</v>
      </c>
      <c r="AL3396" s="10"/>
      <c r="AM3396" s="10"/>
      <c r="AN3396" s="10"/>
      <c r="AO3396" s="13" t="b">
        <v>0</v>
      </c>
      <c r="AP3396" s="22" t="s">
        <v>221</v>
      </c>
      <c r="AQ3396" s="10">
        <f ca="1">IFERROR(__xludf.DUMMYFUNCTION("""COMPUTED_VALUE"""),4788336)</f>
        <v>4788336</v>
      </c>
      <c r="AR3396" s="17">
        <v>16791</v>
      </c>
      <c r="AS3396" s="17">
        <v>12308</v>
      </c>
      <c r="AT3396" s="17">
        <v>724231</v>
      </c>
      <c r="AU3396" s="17">
        <v>86.8</v>
      </c>
      <c r="AV3396" s="17">
        <v>15.95</v>
      </c>
      <c r="AW3396" s="10" t="s">
        <v>105</v>
      </c>
      <c r="AX3396" s="17">
        <v>6804</v>
      </c>
      <c r="AY3396" s="18">
        <v>58.842297692557686</v>
      </c>
      <c r="AZ3396" s="10"/>
      <c r="BA3396" s="20" t="b">
        <v>0</v>
      </c>
      <c r="BB3396" s="10" t="s">
        <v>21448</v>
      </c>
      <c r="BC3396" s="17">
        <v>16791</v>
      </c>
      <c r="BD3396" s="17">
        <v>12308</v>
      </c>
      <c r="BE3396" s="17">
        <v>724231</v>
      </c>
      <c r="BF3396" s="17">
        <v>15.95</v>
      </c>
      <c r="BG3396" s="11">
        <f ca="1">IFERROR(__xludf.DUMMYFUNCTION("""COMPUTED_VALUE"""),46011.6666666666)</f>
        <v>46011.666666666599</v>
      </c>
      <c r="BH3396" s="17" t="s">
        <v>105</v>
      </c>
      <c r="BI3396" s="17"/>
      <c r="BJ3396" s="15"/>
      <c r="BK3396" s="15"/>
      <c r="BL3396" s="13" t="b">
        <v>0</v>
      </c>
      <c r="BM3396" s="10"/>
      <c r="BN3396" s="10" t="s">
        <v>634</v>
      </c>
      <c r="BO3396" s="11">
        <v>46011.00277777778</v>
      </c>
      <c r="BP3396" s="11">
        <v>46011.004027777781</v>
      </c>
      <c r="BQ3396" s="15"/>
      <c r="BR3396" s="15">
        <v>46011.022557870368</v>
      </c>
      <c r="BS3396" s="10" t="s">
        <v>634</v>
      </c>
      <c r="BT3396" s="10"/>
      <c r="BU3396" s="10"/>
      <c r="BV3396" s="10"/>
      <c r="BW3396" s="10"/>
      <c r="BX3396" s="10"/>
      <c r="BY3396" s="23"/>
      <c r="BZ3396" s="23"/>
      <c r="CA3396" s="19" t="s">
        <v>21450</v>
      </c>
      <c r="CB3396" s="23"/>
      <c r="CC3396" s="23"/>
      <c r="CD3396" s="19" t="s">
        <v>21451</v>
      </c>
      <c r="CE3396" s="23"/>
      <c r="CF3396" s="23"/>
      <c r="CG3396" s="23"/>
      <c r="CH3396" s="23"/>
      <c r="CI3396" s="23"/>
    </row>
    <row r="3397" spans="1:87" x14ac:dyDescent="0.3">
      <c r="A3397" s="9" t="s">
        <v>24140</v>
      </c>
      <c r="B3397" s="10" t="s">
        <v>24141</v>
      </c>
      <c r="C3397" s="11">
        <v>46011.701388888891</v>
      </c>
      <c r="D3397" s="12">
        <v>3.4722222222222224E-2</v>
      </c>
      <c r="E3397" s="11">
        <v>46011.736111111109</v>
      </c>
      <c r="F3397" s="22" t="s">
        <v>21383</v>
      </c>
      <c r="G3397" s="13" t="b">
        <v>0</v>
      </c>
      <c r="H3397" s="22" t="s">
        <v>21384</v>
      </c>
      <c r="I3397" s="10" t="s">
        <v>9131</v>
      </c>
      <c r="J3397" s="13" t="b">
        <v>0</v>
      </c>
      <c r="K3397" s="13" t="b">
        <v>1</v>
      </c>
      <c r="L3397" s="10" t="s">
        <v>124</v>
      </c>
      <c r="M3397" s="10" t="s">
        <v>91</v>
      </c>
      <c r="N3397" s="10" t="s">
        <v>92</v>
      </c>
      <c r="O3397" s="19" t="s">
        <v>24142</v>
      </c>
      <c r="P3397" s="10"/>
      <c r="Q3397" s="10" t="s">
        <v>126</v>
      </c>
      <c r="R3397" s="10"/>
      <c r="S3397" s="19" t="s">
        <v>21449</v>
      </c>
      <c r="T3397" s="10"/>
      <c r="U3397" s="10"/>
      <c r="V3397" s="10"/>
      <c r="W3397" s="10" t="s">
        <v>21387</v>
      </c>
      <c r="X3397" s="10" t="s">
        <v>216</v>
      </c>
      <c r="Y3397" s="10" t="s">
        <v>216</v>
      </c>
      <c r="Z3397" s="10" t="s">
        <v>99</v>
      </c>
      <c r="AA3397" s="10" t="s">
        <v>131</v>
      </c>
      <c r="AB3397" s="10" t="s">
        <v>21388</v>
      </c>
      <c r="AC3397" s="10" t="s">
        <v>21389</v>
      </c>
      <c r="AD3397" s="10" t="s">
        <v>165</v>
      </c>
      <c r="AE3397" s="10" t="s">
        <v>24143</v>
      </c>
      <c r="AF3397" s="15"/>
      <c r="AG3397" s="10"/>
      <c r="AH3397" s="10"/>
      <c r="AI3397" s="10"/>
      <c r="AJ3397" s="10"/>
      <c r="AK3397" s="10" t="s">
        <v>102</v>
      </c>
      <c r="AL3397" s="10"/>
      <c r="AM3397" s="10"/>
      <c r="AN3397" s="10"/>
      <c r="AO3397" s="13" t="b">
        <v>0</v>
      </c>
      <c r="AP3397" s="22" t="s">
        <v>135</v>
      </c>
      <c r="AQ3397" s="10">
        <f ca="1">IFERROR(__xludf.DUMMYFUNCTION("""COMPUTED_VALUE"""),4788335)</f>
        <v>4788335</v>
      </c>
      <c r="AR3397" s="17">
        <v>28417</v>
      </c>
      <c r="AS3397" s="17">
        <v>19129</v>
      </c>
      <c r="AT3397" s="17">
        <v>672697.75</v>
      </c>
      <c r="AU3397" s="17">
        <v>159.44999999999999</v>
      </c>
      <c r="AV3397" s="17">
        <v>25.6</v>
      </c>
      <c r="AW3397" s="10" t="s">
        <v>105</v>
      </c>
      <c r="AX3397" s="17">
        <v>11528</v>
      </c>
      <c r="AY3397" s="18">
        <v>35.166383501489882</v>
      </c>
      <c r="AZ3397" s="10"/>
      <c r="BA3397" s="20" t="b">
        <v>0</v>
      </c>
      <c r="BB3397" s="10" t="s">
        <v>21448</v>
      </c>
      <c r="BC3397" s="17">
        <v>28417</v>
      </c>
      <c r="BD3397" s="17">
        <v>19129</v>
      </c>
      <c r="BE3397" s="17">
        <v>672697.75</v>
      </c>
      <c r="BF3397" s="17">
        <v>25.6</v>
      </c>
      <c r="BG3397" s="11">
        <f ca="1">IFERROR(__xludf.DUMMYFUNCTION("""COMPUTED_VALUE"""),46011.7013888888)</f>
        <v>46011.701388888803</v>
      </c>
      <c r="BH3397" s="17" t="s">
        <v>105</v>
      </c>
      <c r="BI3397" s="17"/>
      <c r="BJ3397" s="15"/>
      <c r="BK3397" s="15"/>
      <c r="BL3397" s="13" t="b">
        <v>0</v>
      </c>
      <c r="BM3397" s="10"/>
      <c r="BN3397" s="10" t="s">
        <v>634</v>
      </c>
      <c r="BO3397" s="11">
        <v>46011.003472222219</v>
      </c>
      <c r="BP3397" s="11">
        <v>46011.00472222222</v>
      </c>
      <c r="BQ3397" s="15"/>
      <c r="BR3397" s="15">
        <v>46011.022696759261</v>
      </c>
      <c r="BS3397" s="10" t="s">
        <v>634</v>
      </c>
      <c r="BT3397" s="10"/>
      <c r="BU3397" s="10"/>
      <c r="BV3397" s="10"/>
      <c r="BW3397" s="10"/>
      <c r="BX3397" s="10"/>
      <c r="BY3397" s="23"/>
      <c r="BZ3397" s="23"/>
      <c r="CA3397" s="19" t="s">
        <v>21450</v>
      </c>
      <c r="CB3397" s="23"/>
      <c r="CC3397" s="23"/>
      <c r="CD3397" s="19" t="s">
        <v>21451</v>
      </c>
      <c r="CE3397" s="23"/>
      <c r="CF3397" s="23"/>
      <c r="CG3397" s="23"/>
      <c r="CH3397" s="23"/>
      <c r="CI3397" s="23"/>
    </row>
    <row r="3398" spans="1:87" x14ac:dyDescent="0.3">
      <c r="A3398" s="9" t="s">
        <v>24144</v>
      </c>
      <c r="B3398" s="10" t="s">
        <v>24145</v>
      </c>
      <c r="C3398" s="11">
        <v>46011.736111111109</v>
      </c>
      <c r="D3398" s="12">
        <v>3.4722222222222224E-2</v>
      </c>
      <c r="E3398" s="11">
        <v>46011.770833333336</v>
      </c>
      <c r="F3398" s="22" t="s">
        <v>21383</v>
      </c>
      <c r="G3398" s="13" t="b">
        <v>0</v>
      </c>
      <c r="H3398" s="22" t="s">
        <v>21384</v>
      </c>
      <c r="I3398" s="10" t="s">
        <v>9131</v>
      </c>
      <c r="J3398" s="13" t="b">
        <v>0</v>
      </c>
      <c r="K3398" s="13" t="b">
        <v>1</v>
      </c>
      <c r="L3398" s="10" t="s">
        <v>124</v>
      </c>
      <c r="M3398" s="10" t="s">
        <v>91</v>
      </c>
      <c r="N3398" s="10" t="s">
        <v>92</v>
      </c>
      <c r="O3398" s="19" t="s">
        <v>24146</v>
      </c>
      <c r="P3398" s="10"/>
      <c r="Q3398" s="10" t="s">
        <v>126</v>
      </c>
      <c r="R3398" s="10"/>
      <c r="S3398" s="19" t="s">
        <v>21449</v>
      </c>
      <c r="T3398" s="10"/>
      <c r="U3398" s="10"/>
      <c r="V3398" s="10"/>
      <c r="W3398" s="10" t="s">
        <v>21387</v>
      </c>
      <c r="X3398" s="10" t="s">
        <v>216</v>
      </c>
      <c r="Y3398" s="10" t="s">
        <v>216</v>
      </c>
      <c r="Z3398" s="10" t="s">
        <v>99</v>
      </c>
      <c r="AA3398" s="10" t="s">
        <v>131</v>
      </c>
      <c r="AB3398" s="10" t="s">
        <v>21388</v>
      </c>
      <c r="AC3398" s="10" t="s">
        <v>21389</v>
      </c>
      <c r="AD3398" s="10" t="s">
        <v>165</v>
      </c>
      <c r="AE3398" s="10" t="s">
        <v>24147</v>
      </c>
      <c r="AF3398" s="15"/>
      <c r="AG3398" s="10"/>
      <c r="AH3398" s="10"/>
      <c r="AI3398" s="10"/>
      <c r="AJ3398" s="10"/>
      <c r="AK3398" s="10" t="s">
        <v>102</v>
      </c>
      <c r="AL3398" s="10"/>
      <c r="AM3398" s="10"/>
      <c r="AN3398" s="10"/>
      <c r="AO3398" s="13" t="b">
        <v>0</v>
      </c>
      <c r="AP3398" s="22" t="s">
        <v>104</v>
      </c>
      <c r="AQ3398" s="10">
        <f ca="1">IFERROR(__xludf.DUMMYFUNCTION("""COMPUTED_VALUE"""),4788334)</f>
        <v>4788334</v>
      </c>
      <c r="AR3398" s="17">
        <v>27707</v>
      </c>
      <c r="AS3398" s="17">
        <v>19152</v>
      </c>
      <c r="AT3398" s="17">
        <v>448526</v>
      </c>
      <c r="AU3398" s="17">
        <v>179.55</v>
      </c>
      <c r="AV3398" s="17">
        <v>33.15</v>
      </c>
      <c r="AW3398" s="10" t="s">
        <v>105</v>
      </c>
      <c r="AX3398" s="17">
        <v>11942</v>
      </c>
      <c r="AY3398" s="18">
        <v>23.419277360066832</v>
      </c>
      <c r="AZ3398" s="10"/>
      <c r="BA3398" s="20" t="b">
        <v>0</v>
      </c>
      <c r="BB3398" s="10" t="s">
        <v>21448</v>
      </c>
      <c r="BC3398" s="17">
        <v>27707</v>
      </c>
      <c r="BD3398" s="17">
        <v>19152</v>
      </c>
      <c r="BE3398" s="17">
        <v>448526</v>
      </c>
      <c r="BF3398" s="17">
        <v>33.15</v>
      </c>
      <c r="BG3398" s="11">
        <f ca="1">IFERROR(__xludf.DUMMYFUNCTION("""COMPUTED_VALUE"""),46011.7361111111)</f>
        <v>46011.736111111102</v>
      </c>
      <c r="BH3398" s="17" t="s">
        <v>105</v>
      </c>
      <c r="BI3398" s="17"/>
      <c r="BJ3398" s="15"/>
      <c r="BK3398" s="15"/>
      <c r="BL3398" s="13" t="b">
        <v>0</v>
      </c>
      <c r="BM3398" s="10"/>
      <c r="BN3398" s="10" t="s">
        <v>634</v>
      </c>
      <c r="BO3398" s="11">
        <v>46011.004166666666</v>
      </c>
      <c r="BP3398" s="11">
        <v>46011.005370370367</v>
      </c>
      <c r="BQ3398" s="15"/>
      <c r="BR3398" s="15">
        <v>46011.022824074076</v>
      </c>
      <c r="BS3398" s="10" t="s">
        <v>634</v>
      </c>
      <c r="BT3398" s="10"/>
      <c r="BU3398" s="10"/>
      <c r="BV3398" s="10"/>
      <c r="BW3398" s="10"/>
      <c r="BX3398" s="10"/>
      <c r="BY3398" s="23"/>
      <c r="BZ3398" s="23"/>
      <c r="CA3398" s="19" t="s">
        <v>21450</v>
      </c>
      <c r="CB3398" s="23"/>
      <c r="CC3398" s="23"/>
      <c r="CD3398" s="19" t="s">
        <v>21451</v>
      </c>
      <c r="CE3398" s="23"/>
      <c r="CF3398" s="23"/>
      <c r="CG3398" s="23"/>
      <c r="CH3398" s="23"/>
      <c r="CI3398" s="23"/>
    </row>
    <row r="3399" spans="1:87" x14ac:dyDescent="0.3">
      <c r="A3399" s="9" t="s">
        <v>24148</v>
      </c>
      <c r="B3399" s="10" t="s">
        <v>24149</v>
      </c>
      <c r="C3399" s="11">
        <v>46011.770833333336</v>
      </c>
      <c r="D3399" s="12">
        <v>3.4722222222222224E-2</v>
      </c>
      <c r="E3399" s="11">
        <v>46011.805555555555</v>
      </c>
      <c r="F3399" s="22" t="s">
        <v>21383</v>
      </c>
      <c r="G3399" s="13" t="b">
        <v>0</v>
      </c>
      <c r="H3399" s="22" t="s">
        <v>21384</v>
      </c>
      <c r="I3399" s="10" t="s">
        <v>9131</v>
      </c>
      <c r="J3399" s="13" t="b">
        <v>0</v>
      </c>
      <c r="K3399" s="13" t="b">
        <v>1</v>
      </c>
      <c r="L3399" s="10" t="s">
        <v>124</v>
      </c>
      <c r="M3399" s="10" t="s">
        <v>91</v>
      </c>
      <c r="N3399" s="10" t="s">
        <v>92</v>
      </c>
      <c r="O3399" s="19" t="s">
        <v>24150</v>
      </c>
      <c r="P3399" s="10"/>
      <c r="Q3399" s="10" t="s">
        <v>126</v>
      </c>
      <c r="R3399" s="10"/>
      <c r="S3399" s="19" t="s">
        <v>21449</v>
      </c>
      <c r="T3399" s="10"/>
      <c r="U3399" s="10"/>
      <c r="V3399" s="10"/>
      <c r="W3399" s="10" t="s">
        <v>21387</v>
      </c>
      <c r="X3399" s="10" t="s">
        <v>216</v>
      </c>
      <c r="Y3399" s="10" t="s">
        <v>216</v>
      </c>
      <c r="Z3399" s="10" t="s">
        <v>99</v>
      </c>
      <c r="AA3399" s="10" t="s">
        <v>131</v>
      </c>
      <c r="AB3399" s="10" t="s">
        <v>21388</v>
      </c>
      <c r="AC3399" s="10" t="s">
        <v>21389</v>
      </c>
      <c r="AD3399" s="10" t="s">
        <v>165</v>
      </c>
      <c r="AE3399" s="10" t="s">
        <v>24151</v>
      </c>
      <c r="AF3399" s="15"/>
      <c r="AG3399" s="10"/>
      <c r="AH3399" s="10"/>
      <c r="AI3399" s="10"/>
      <c r="AJ3399" s="10"/>
      <c r="AK3399" s="10" t="s">
        <v>102</v>
      </c>
      <c r="AL3399" s="10"/>
      <c r="AM3399" s="10"/>
      <c r="AN3399" s="10"/>
      <c r="AO3399" s="13" t="b">
        <v>0</v>
      </c>
      <c r="AP3399" s="22" t="s">
        <v>104</v>
      </c>
      <c r="AQ3399" s="10">
        <f ca="1">IFERROR(__xludf.DUMMYFUNCTION("""COMPUTED_VALUE"""),4788333)</f>
        <v>4788333</v>
      </c>
      <c r="AR3399" s="17">
        <v>32145</v>
      </c>
      <c r="AS3399" s="17">
        <v>24731</v>
      </c>
      <c r="AT3399" s="17">
        <v>376790.5</v>
      </c>
      <c r="AU3399" s="17">
        <v>242.6</v>
      </c>
      <c r="AV3399" s="17">
        <v>36.5</v>
      </c>
      <c r="AW3399" s="10" t="s">
        <v>105</v>
      </c>
      <c r="AX3399" s="17">
        <v>18496</v>
      </c>
      <c r="AY3399" s="18">
        <v>15.235554567142453</v>
      </c>
      <c r="AZ3399" s="10"/>
      <c r="BA3399" s="20" t="b">
        <v>0</v>
      </c>
      <c r="BB3399" s="10" t="s">
        <v>21448</v>
      </c>
      <c r="BC3399" s="17">
        <v>32145</v>
      </c>
      <c r="BD3399" s="17">
        <v>24731</v>
      </c>
      <c r="BE3399" s="17">
        <v>376790.5</v>
      </c>
      <c r="BF3399" s="17">
        <v>36.5</v>
      </c>
      <c r="BG3399" s="11">
        <f ca="1">IFERROR(__xludf.DUMMYFUNCTION("""COMPUTED_VALUE"""),46011.7708333333)</f>
        <v>46011.770833333299</v>
      </c>
      <c r="BH3399" s="17" t="s">
        <v>105</v>
      </c>
      <c r="BI3399" s="17"/>
      <c r="BJ3399" s="15"/>
      <c r="BK3399" s="15"/>
      <c r="BL3399" s="13" t="b">
        <v>0</v>
      </c>
      <c r="BM3399" s="10"/>
      <c r="BN3399" s="10" t="s">
        <v>634</v>
      </c>
      <c r="BO3399" s="11">
        <v>46011.005555555559</v>
      </c>
      <c r="BP3399" s="11">
        <v>46011.005636574075</v>
      </c>
      <c r="BQ3399" s="15"/>
      <c r="BR3399" s="15">
        <v>46011.022974537038</v>
      </c>
      <c r="BS3399" s="10" t="s">
        <v>634</v>
      </c>
      <c r="BT3399" s="10" t="s">
        <v>99</v>
      </c>
      <c r="BU3399" s="10"/>
      <c r="BV3399" s="10"/>
      <c r="BW3399" s="10"/>
      <c r="BX3399" s="10"/>
      <c r="BY3399" s="23"/>
      <c r="BZ3399" s="23"/>
      <c r="CA3399" s="19" t="s">
        <v>21450</v>
      </c>
      <c r="CB3399" s="23"/>
      <c r="CC3399" s="23"/>
      <c r="CD3399" s="19" t="s">
        <v>21451</v>
      </c>
      <c r="CE3399" s="23"/>
      <c r="CF3399" s="23"/>
      <c r="CG3399" s="23"/>
      <c r="CH3399" s="23"/>
      <c r="CI3399" s="23"/>
    </row>
    <row r="3400" spans="1:87" x14ac:dyDescent="0.3">
      <c r="A3400" s="9" t="s">
        <v>24152</v>
      </c>
      <c r="B3400" s="10" t="s">
        <v>24153</v>
      </c>
      <c r="C3400" s="11">
        <v>46011.805555555555</v>
      </c>
      <c r="D3400" s="12">
        <v>3.4722222222222224E-2</v>
      </c>
      <c r="E3400" s="11">
        <v>46011.840277777781</v>
      </c>
      <c r="F3400" s="22" t="s">
        <v>21383</v>
      </c>
      <c r="G3400" s="13" t="b">
        <v>0</v>
      </c>
      <c r="H3400" s="22" t="s">
        <v>21384</v>
      </c>
      <c r="I3400" s="10" t="s">
        <v>9131</v>
      </c>
      <c r="J3400" s="13" t="b">
        <v>0</v>
      </c>
      <c r="K3400" s="13" t="b">
        <v>1</v>
      </c>
      <c r="L3400" s="10" t="s">
        <v>124</v>
      </c>
      <c r="M3400" s="10" t="s">
        <v>91</v>
      </c>
      <c r="N3400" s="10" t="s">
        <v>92</v>
      </c>
      <c r="O3400" s="19" t="s">
        <v>24154</v>
      </c>
      <c r="P3400" s="10"/>
      <c r="Q3400" s="10" t="s">
        <v>126</v>
      </c>
      <c r="R3400" s="10"/>
      <c r="S3400" s="19" t="s">
        <v>21449</v>
      </c>
      <c r="T3400" s="10"/>
      <c r="U3400" s="10"/>
      <c r="V3400" s="10"/>
      <c r="W3400" s="10" t="s">
        <v>21387</v>
      </c>
      <c r="X3400" s="10" t="s">
        <v>216</v>
      </c>
      <c r="Y3400" s="10" t="s">
        <v>216</v>
      </c>
      <c r="Z3400" s="10" t="s">
        <v>99</v>
      </c>
      <c r="AA3400" s="10" t="s">
        <v>131</v>
      </c>
      <c r="AB3400" s="10" t="s">
        <v>21388</v>
      </c>
      <c r="AC3400" s="10" t="s">
        <v>21389</v>
      </c>
      <c r="AD3400" s="10" t="s">
        <v>165</v>
      </c>
      <c r="AE3400" s="10" t="s">
        <v>24155</v>
      </c>
      <c r="AF3400" s="15"/>
      <c r="AG3400" s="10"/>
      <c r="AH3400" s="10"/>
      <c r="AI3400" s="10"/>
      <c r="AJ3400" s="10"/>
      <c r="AK3400" s="10" t="s">
        <v>102</v>
      </c>
      <c r="AL3400" s="10"/>
      <c r="AM3400" s="10"/>
      <c r="AN3400" s="10"/>
      <c r="AO3400" s="13" t="b">
        <v>0</v>
      </c>
      <c r="AP3400" s="22" t="s">
        <v>104</v>
      </c>
      <c r="AQ3400" s="10">
        <f ca="1">IFERROR(__xludf.DUMMYFUNCTION("""COMPUTED_VALUE"""),4788331)</f>
        <v>4788331</v>
      </c>
      <c r="AR3400" s="17">
        <v>21000</v>
      </c>
      <c r="AS3400" s="17">
        <v>14796</v>
      </c>
      <c r="AT3400" s="17">
        <v>213148.25</v>
      </c>
      <c r="AU3400" s="17">
        <v>104.25</v>
      </c>
      <c r="AV3400" s="17">
        <v>14.9</v>
      </c>
      <c r="AW3400" s="10" t="s">
        <v>105</v>
      </c>
      <c r="AX3400" s="17">
        <v>18891</v>
      </c>
      <c r="AY3400" s="18">
        <v>14.405802243849688</v>
      </c>
      <c r="AZ3400" s="10"/>
      <c r="BA3400" s="20" t="b">
        <v>0</v>
      </c>
      <c r="BB3400" s="10" t="s">
        <v>21448</v>
      </c>
      <c r="BC3400" s="17">
        <v>21000</v>
      </c>
      <c r="BD3400" s="17">
        <v>14796</v>
      </c>
      <c r="BE3400" s="17">
        <v>213148.25</v>
      </c>
      <c r="BF3400" s="17">
        <v>14.9</v>
      </c>
      <c r="BG3400" s="11">
        <f ca="1">IFERROR(__xludf.DUMMYFUNCTION("""COMPUTED_VALUE"""),46011.8055555555)</f>
        <v>46011.805555555497</v>
      </c>
      <c r="BH3400" s="17" t="s">
        <v>105</v>
      </c>
      <c r="BI3400" s="17"/>
      <c r="BJ3400" s="15"/>
      <c r="BK3400" s="15"/>
      <c r="BL3400" s="13" t="b">
        <v>0</v>
      </c>
      <c r="BM3400" s="10"/>
      <c r="BN3400" s="10" t="s">
        <v>634</v>
      </c>
      <c r="BO3400" s="11">
        <v>46011.006944444445</v>
      </c>
      <c r="BP3400" s="11">
        <v>46011.008229166669</v>
      </c>
      <c r="BQ3400" s="15"/>
      <c r="BR3400" s="15">
        <v>46011.023148148146</v>
      </c>
      <c r="BS3400" s="10" t="s">
        <v>634</v>
      </c>
      <c r="BT3400" s="10"/>
      <c r="BU3400" s="10"/>
      <c r="BV3400" s="10"/>
      <c r="BW3400" s="10"/>
      <c r="BX3400" s="10"/>
      <c r="BY3400" s="23"/>
      <c r="BZ3400" s="23"/>
      <c r="CA3400" s="19" t="s">
        <v>21450</v>
      </c>
      <c r="CB3400" s="23"/>
      <c r="CC3400" s="23"/>
      <c r="CD3400" s="19" t="s">
        <v>21451</v>
      </c>
      <c r="CE3400" s="23"/>
      <c r="CF3400" s="23"/>
      <c r="CG3400" s="23"/>
      <c r="CH3400" s="23"/>
      <c r="CI3400" s="23"/>
    </row>
    <row r="3401" spans="1:87" x14ac:dyDescent="0.3">
      <c r="A3401" s="9" t="s">
        <v>24156</v>
      </c>
      <c r="B3401" s="10" t="s">
        <v>24157</v>
      </c>
      <c r="C3401" s="11">
        <v>46018.375</v>
      </c>
      <c r="D3401" s="12">
        <v>0.16666666666666666</v>
      </c>
      <c r="E3401" s="11">
        <v>46018.541666666664</v>
      </c>
      <c r="F3401" s="22" t="s">
        <v>24158</v>
      </c>
      <c r="G3401" s="13" t="b">
        <v>0</v>
      </c>
      <c r="H3401" s="22" t="s">
        <v>88</v>
      </c>
      <c r="I3401" s="10" t="s">
        <v>89</v>
      </c>
      <c r="J3401" s="13" t="b">
        <v>0</v>
      </c>
      <c r="K3401" s="13" t="b">
        <v>1</v>
      </c>
      <c r="L3401" s="10" t="s">
        <v>124</v>
      </c>
      <c r="M3401" s="10" t="s">
        <v>91</v>
      </c>
      <c r="N3401" s="10" t="s">
        <v>265</v>
      </c>
      <c r="O3401" s="19" t="s">
        <v>24159</v>
      </c>
      <c r="P3401" s="10"/>
      <c r="Q3401" s="10" t="s">
        <v>126</v>
      </c>
      <c r="R3401" s="19" t="s">
        <v>24160</v>
      </c>
      <c r="S3401" s="19" t="s">
        <v>24161</v>
      </c>
      <c r="T3401" s="10"/>
      <c r="U3401" s="10"/>
      <c r="V3401" s="10"/>
      <c r="W3401" s="10" t="s">
        <v>24162</v>
      </c>
      <c r="X3401" s="10" t="s">
        <v>21724</v>
      </c>
      <c r="Y3401" s="10" t="s">
        <v>21724</v>
      </c>
      <c r="Z3401" s="10" t="s">
        <v>99</v>
      </c>
      <c r="AA3401" s="10" t="s">
        <v>131</v>
      </c>
      <c r="AB3401" s="10" t="s">
        <v>24163</v>
      </c>
      <c r="AC3401" s="10" t="s">
        <v>24164</v>
      </c>
      <c r="AD3401" s="10" t="s">
        <v>165</v>
      </c>
      <c r="AE3401" s="10" t="s">
        <v>24165</v>
      </c>
      <c r="AF3401" s="15"/>
      <c r="AG3401" s="10"/>
      <c r="AH3401" s="10"/>
      <c r="AI3401" s="10"/>
      <c r="AJ3401" s="10"/>
      <c r="AK3401" s="10" t="s">
        <v>102</v>
      </c>
      <c r="AL3401" s="10"/>
      <c r="AM3401" s="10"/>
      <c r="AN3401" s="10"/>
      <c r="AO3401" s="13" t="b">
        <v>0</v>
      </c>
      <c r="AP3401" s="22"/>
      <c r="AQ3401" s="10">
        <f ca="1">IFERROR(__xludf.DUMMYFUNCTION("""COMPUTED_VALUE"""),4796999)</f>
        <v>4796999</v>
      </c>
      <c r="AR3401" s="17">
        <v>4876</v>
      </c>
      <c r="AS3401" s="17">
        <v>3882</v>
      </c>
      <c r="AT3401" s="17">
        <v>69052.75</v>
      </c>
      <c r="AU3401" s="17">
        <v>12.25</v>
      </c>
      <c r="AV3401" s="17">
        <v>0.5</v>
      </c>
      <c r="AW3401" s="10" t="s">
        <v>105</v>
      </c>
      <c r="AX3401" s="17">
        <v>469</v>
      </c>
      <c r="AY3401" s="18">
        <v>17.787931478619267</v>
      </c>
      <c r="AZ3401" s="10" t="s">
        <v>148</v>
      </c>
      <c r="BA3401" s="20" t="b">
        <v>0</v>
      </c>
      <c r="BB3401" s="10"/>
      <c r="BC3401" s="17">
        <v>4876</v>
      </c>
      <c r="BD3401" s="17">
        <v>3882</v>
      </c>
      <c r="BE3401" s="17">
        <v>69052.75</v>
      </c>
      <c r="BF3401" s="17">
        <v>0.5</v>
      </c>
      <c r="BG3401" s="11">
        <f ca="1">IFERROR(__xludf.DUMMYFUNCTION("""COMPUTED_VALUE"""),46018.375)</f>
        <v>46018.375</v>
      </c>
      <c r="BH3401" s="17" t="s">
        <v>105</v>
      </c>
      <c r="BI3401" s="17"/>
      <c r="BJ3401" s="15"/>
      <c r="BK3401" s="15"/>
      <c r="BL3401" s="13" t="b">
        <v>0</v>
      </c>
      <c r="BM3401" s="10"/>
      <c r="BN3401" s="10" t="s">
        <v>4030</v>
      </c>
      <c r="BO3401" s="11">
        <v>46011.480555555558</v>
      </c>
      <c r="BP3401" s="11">
        <v>46017.84479166667</v>
      </c>
      <c r="BQ3401" s="15">
        <v>46017.890416666669</v>
      </c>
      <c r="BR3401" s="15">
        <v>46018.137743055559</v>
      </c>
      <c r="BS3401" s="10" t="s">
        <v>4030</v>
      </c>
      <c r="BT3401" s="10"/>
      <c r="BU3401" s="10"/>
      <c r="BV3401" s="10"/>
      <c r="BW3401" s="10"/>
      <c r="BX3401" s="10"/>
      <c r="BY3401" s="23"/>
      <c r="BZ3401" s="23"/>
      <c r="CA3401" s="19" t="s">
        <v>24166</v>
      </c>
      <c r="CB3401" s="23"/>
      <c r="CC3401" s="23"/>
      <c r="CD3401" s="19" t="s">
        <v>24167</v>
      </c>
      <c r="CE3401" s="23"/>
      <c r="CF3401" s="23"/>
      <c r="CG3401" s="23"/>
      <c r="CH3401" s="23"/>
      <c r="CI3401" s="23"/>
    </row>
    <row r="3402" spans="1:87" x14ac:dyDescent="0.3">
      <c r="A3402" s="9" t="s">
        <v>24168</v>
      </c>
      <c r="B3402" s="10" t="s">
        <v>24157</v>
      </c>
      <c r="C3402" s="11">
        <v>46018.666666666664</v>
      </c>
      <c r="D3402" s="12">
        <v>0.16666666666666666</v>
      </c>
      <c r="E3402" s="11">
        <v>46018.833333333336</v>
      </c>
      <c r="F3402" s="22" t="s">
        <v>24158</v>
      </c>
      <c r="G3402" s="13" t="b">
        <v>0</v>
      </c>
      <c r="H3402" s="22" t="s">
        <v>88</v>
      </c>
      <c r="I3402" s="10" t="s">
        <v>89</v>
      </c>
      <c r="J3402" s="13" t="b">
        <v>0</v>
      </c>
      <c r="K3402" s="13" t="b">
        <v>1</v>
      </c>
      <c r="L3402" s="10" t="s">
        <v>124</v>
      </c>
      <c r="M3402" s="10" t="s">
        <v>91</v>
      </c>
      <c r="N3402" s="10" t="s">
        <v>265</v>
      </c>
      <c r="O3402" s="19" t="s">
        <v>24169</v>
      </c>
      <c r="P3402" s="10"/>
      <c r="Q3402" s="10" t="s">
        <v>126</v>
      </c>
      <c r="R3402" s="19" t="s">
        <v>24160</v>
      </c>
      <c r="S3402" s="19" t="s">
        <v>24170</v>
      </c>
      <c r="T3402" s="10"/>
      <c r="U3402" s="10"/>
      <c r="V3402" s="10"/>
      <c r="W3402" s="10" t="s">
        <v>24162</v>
      </c>
      <c r="X3402" s="10" t="s">
        <v>21724</v>
      </c>
      <c r="Y3402" s="10" t="s">
        <v>21724</v>
      </c>
      <c r="Z3402" s="10" t="s">
        <v>99</v>
      </c>
      <c r="AA3402" s="10" t="s">
        <v>131</v>
      </c>
      <c r="AB3402" s="10" t="s">
        <v>24163</v>
      </c>
      <c r="AC3402" s="10" t="s">
        <v>24164</v>
      </c>
      <c r="AD3402" s="10" t="s">
        <v>165</v>
      </c>
      <c r="AE3402" s="10" t="s">
        <v>24165</v>
      </c>
      <c r="AF3402" s="15"/>
      <c r="AG3402" s="10"/>
      <c r="AH3402" s="10"/>
      <c r="AI3402" s="10"/>
      <c r="AJ3402" s="10"/>
      <c r="AK3402" s="10" t="s">
        <v>102</v>
      </c>
      <c r="AL3402" s="10"/>
      <c r="AM3402" s="10"/>
      <c r="AN3402" s="10"/>
      <c r="AO3402" s="13" t="b">
        <v>0</v>
      </c>
      <c r="AP3402" s="22"/>
      <c r="AQ3402" s="10">
        <f ca="1">IFERROR(__xludf.DUMMYFUNCTION("""COMPUTED_VALUE"""),4797000)</f>
        <v>4797000</v>
      </c>
      <c r="AR3402" s="17">
        <v>8460</v>
      </c>
      <c r="AS3402" s="17">
        <v>6886</v>
      </c>
      <c r="AT3402" s="17">
        <v>68786</v>
      </c>
      <c r="AU3402" s="17">
        <v>25.5</v>
      </c>
      <c r="AV3402" s="17">
        <v>4.25</v>
      </c>
      <c r="AW3402" s="10" t="s">
        <v>105</v>
      </c>
      <c r="AX3402" s="17">
        <v>674</v>
      </c>
      <c r="AY3402" s="18">
        <v>9.9892535579436537</v>
      </c>
      <c r="AZ3402" s="10" t="s">
        <v>148</v>
      </c>
      <c r="BA3402" s="20" t="b">
        <v>0</v>
      </c>
      <c r="BB3402" s="10"/>
      <c r="BC3402" s="17">
        <v>8460</v>
      </c>
      <c r="BD3402" s="17">
        <v>6886</v>
      </c>
      <c r="BE3402" s="17">
        <v>68786</v>
      </c>
      <c r="BF3402" s="17">
        <v>4.25</v>
      </c>
      <c r="BG3402" s="11">
        <f ca="1">IFERROR(__xludf.DUMMYFUNCTION("""COMPUTED_VALUE"""),46018.6666666666)</f>
        <v>46018.666666666599</v>
      </c>
      <c r="BH3402" s="17" t="s">
        <v>105</v>
      </c>
      <c r="BI3402" s="17"/>
      <c r="BJ3402" s="15"/>
      <c r="BK3402" s="15"/>
      <c r="BL3402" s="13" t="b">
        <v>0</v>
      </c>
      <c r="BM3402" s="10"/>
      <c r="BN3402" s="10" t="s">
        <v>4030</v>
      </c>
      <c r="BO3402" s="11">
        <v>46011.496527777781</v>
      </c>
      <c r="BP3402" s="11">
        <v>46017.845046296294</v>
      </c>
      <c r="BQ3402" s="15">
        <v>46017.890868055554</v>
      </c>
      <c r="BR3402" s="15">
        <v>46018.138287037036</v>
      </c>
      <c r="BS3402" s="10" t="s">
        <v>4030</v>
      </c>
      <c r="BT3402" s="10"/>
      <c r="BU3402" s="10"/>
      <c r="BV3402" s="10"/>
      <c r="BW3402" s="10"/>
      <c r="BX3402" s="10"/>
      <c r="BY3402" s="23"/>
      <c r="BZ3402" s="23"/>
      <c r="CA3402" s="19" t="s">
        <v>24171</v>
      </c>
      <c r="CB3402" s="23"/>
      <c r="CC3402" s="23"/>
      <c r="CD3402" s="19" t="s">
        <v>24172</v>
      </c>
      <c r="CE3402" s="23"/>
      <c r="CF3402" s="23"/>
      <c r="CG3402" s="23"/>
      <c r="CH3402" s="23"/>
      <c r="CI3402" s="23"/>
    </row>
    <row r="3403" spans="1:87" x14ac:dyDescent="0.3">
      <c r="A3403" s="9" t="s">
        <v>24173</v>
      </c>
      <c r="B3403" s="10" t="s">
        <v>24174</v>
      </c>
      <c r="C3403" s="11">
        <v>46019.375</v>
      </c>
      <c r="D3403" s="12">
        <v>0.16666666666666666</v>
      </c>
      <c r="E3403" s="11">
        <v>46019.541666666664</v>
      </c>
      <c r="F3403" s="22" t="s">
        <v>24158</v>
      </c>
      <c r="G3403" s="13" t="b">
        <v>0</v>
      </c>
      <c r="H3403" s="22" t="s">
        <v>88</v>
      </c>
      <c r="I3403" s="10" t="s">
        <v>89</v>
      </c>
      <c r="J3403" s="13" t="b">
        <v>0</v>
      </c>
      <c r="K3403" s="13" t="b">
        <v>1</v>
      </c>
      <c r="L3403" s="10" t="s">
        <v>124</v>
      </c>
      <c r="M3403" s="10" t="s">
        <v>91</v>
      </c>
      <c r="N3403" s="10" t="s">
        <v>265</v>
      </c>
      <c r="O3403" s="19" t="s">
        <v>24175</v>
      </c>
      <c r="P3403" s="10"/>
      <c r="Q3403" s="10" t="s">
        <v>126</v>
      </c>
      <c r="R3403" s="19" t="s">
        <v>24160</v>
      </c>
      <c r="S3403" s="19" t="s">
        <v>24176</v>
      </c>
      <c r="T3403" s="10"/>
      <c r="U3403" s="10"/>
      <c r="V3403" s="10"/>
      <c r="W3403" s="10" t="s">
        <v>24162</v>
      </c>
      <c r="X3403" s="10" t="s">
        <v>21724</v>
      </c>
      <c r="Y3403" s="10" t="s">
        <v>21724</v>
      </c>
      <c r="Z3403" s="10" t="s">
        <v>99</v>
      </c>
      <c r="AA3403" s="10" t="s">
        <v>131</v>
      </c>
      <c r="AB3403" s="10" t="s">
        <v>24163</v>
      </c>
      <c r="AC3403" s="10" t="s">
        <v>24164</v>
      </c>
      <c r="AD3403" s="10" t="s">
        <v>165</v>
      </c>
      <c r="AE3403" s="10" t="s">
        <v>24177</v>
      </c>
      <c r="AF3403" s="15"/>
      <c r="AG3403" s="10"/>
      <c r="AH3403" s="10"/>
      <c r="AI3403" s="10"/>
      <c r="AJ3403" s="10"/>
      <c r="AK3403" s="10" t="s">
        <v>102</v>
      </c>
      <c r="AL3403" s="10"/>
      <c r="AM3403" s="10"/>
      <c r="AN3403" s="10"/>
      <c r="AO3403" s="13" t="b">
        <v>0</v>
      </c>
      <c r="AP3403" s="22"/>
      <c r="AQ3403" s="10">
        <f ca="1">IFERROR(__xludf.DUMMYFUNCTION("""COMPUTED_VALUE"""),4797003)</f>
        <v>4797003</v>
      </c>
      <c r="AR3403" s="17">
        <v>4282</v>
      </c>
      <c r="AS3403" s="17">
        <v>3366</v>
      </c>
      <c r="AT3403" s="17">
        <v>70106.25</v>
      </c>
      <c r="AU3403" s="17">
        <v>15.9</v>
      </c>
      <c r="AV3403" s="17">
        <v>1.5</v>
      </c>
      <c r="AW3403" s="10" t="s">
        <v>105</v>
      </c>
      <c r="AX3403" s="17">
        <v>505</v>
      </c>
      <c r="AY3403" s="18">
        <v>20.827762923351159</v>
      </c>
      <c r="AZ3403" s="10" t="s">
        <v>148</v>
      </c>
      <c r="BA3403" s="20" t="b">
        <v>0</v>
      </c>
      <c r="BB3403" s="10"/>
      <c r="BC3403" s="17">
        <v>4282</v>
      </c>
      <c r="BD3403" s="17">
        <v>3366</v>
      </c>
      <c r="BE3403" s="17">
        <v>70106.25</v>
      </c>
      <c r="BF3403" s="17">
        <v>1.5</v>
      </c>
      <c r="BG3403" s="11">
        <f ca="1">IFERROR(__xludf.DUMMYFUNCTION("""COMPUTED_VALUE"""),46019.375)</f>
        <v>46019.375</v>
      </c>
      <c r="BH3403" s="17" t="s">
        <v>105</v>
      </c>
      <c r="BI3403" s="17"/>
      <c r="BJ3403" s="15"/>
      <c r="BK3403" s="15"/>
      <c r="BL3403" s="13" t="b">
        <v>0</v>
      </c>
      <c r="BM3403" s="10"/>
      <c r="BN3403" s="10" t="s">
        <v>4030</v>
      </c>
      <c r="BO3403" s="11">
        <v>46011.49722222222</v>
      </c>
      <c r="BP3403" s="11">
        <v>46017.845370370371</v>
      </c>
      <c r="BQ3403" s="15">
        <v>46017.891527777778</v>
      </c>
      <c r="BR3403" s="15">
        <v>46019.105138888888</v>
      </c>
      <c r="BS3403" s="10" t="s">
        <v>4030</v>
      </c>
      <c r="BT3403" s="10"/>
      <c r="BU3403" s="10"/>
      <c r="BV3403" s="10"/>
      <c r="BW3403" s="10"/>
      <c r="BX3403" s="10"/>
      <c r="BY3403" s="23"/>
      <c r="BZ3403" s="23"/>
      <c r="CA3403" s="19" t="s">
        <v>24178</v>
      </c>
      <c r="CB3403" s="23"/>
      <c r="CC3403" s="23"/>
      <c r="CD3403" s="19" t="s">
        <v>24179</v>
      </c>
      <c r="CE3403" s="23"/>
      <c r="CF3403" s="23"/>
      <c r="CG3403" s="23"/>
      <c r="CH3403" s="23"/>
      <c r="CI3403" s="23"/>
    </row>
    <row r="3404" spans="1:87" x14ac:dyDescent="0.3">
      <c r="A3404" s="9" t="s">
        <v>24180</v>
      </c>
      <c r="B3404" s="10" t="s">
        <v>24181</v>
      </c>
      <c r="C3404" s="11">
        <v>46012.541666666664</v>
      </c>
      <c r="D3404" s="12">
        <v>3.4722222222222224E-2</v>
      </c>
      <c r="E3404" s="11">
        <v>46012.576388888891</v>
      </c>
      <c r="F3404" s="22" t="s">
        <v>21383</v>
      </c>
      <c r="G3404" s="13" t="b">
        <v>0</v>
      </c>
      <c r="H3404" s="22" t="s">
        <v>21384</v>
      </c>
      <c r="I3404" s="10" t="s">
        <v>9131</v>
      </c>
      <c r="J3404" s="13" t="b">
        <v>0</v>
      </c>
      <c r="K3404" s="13" t="b">
        <v>1</v>
      </c>
      <c r="L3404" s="10" t="s">
        <v>124</v>
      </c>
      <c r="M3404" s="10" t="s">
        <v>91</v>
      </c>
      <c r="N3404" s="10" t="s">
        <v>92</v>
      </c>
      <c r="O3404" s="19" t="s">
        <v>24182</v>
      </c>
      <c r="P3404" s="10"/>
      <c r="Q3404" s="10" t="s">
        <v>126</v>
      </c>
      <c r="R3404" s="10"/>
      <c r="S3404" s="19" t="s">
        <v>21455</v>
      </c>
      <c r="T3404" s="10"/>
      <c r="U3404" s="10"/>
      <c r="V3404" s="10"/>
      <c r="W3404" s="10" t="s">
        <v>21387</v>
      </c>
      <c r="X3404" s="10" t="s">
        <v>216</v>
      </c>
      <c r="Y3404" s="10" t="s">
        <v>216</v>
      </c>
      <c r="Z3404" s="10" t="s">
        <v>99</v>
      </c>
      <c r="AA3404" s="10" t="s">
        <v>131</v>
      </c>
      <c r="AB3404" s="10" t="s">
        <v>21388</v>
      </c>
      <c r="AC3404" s="10" t="s">
        <v>21389</v>
      </c>
      <c r="AD3404" s="10" t="s">
        <v>165</v>
      </c>
      <c r="AE3404" s="10" t="s">
        <v>24183</v>
      </c>
      <c r="AF3404" s="15"/>
      <c r="AG3404" s="10"/>
      <c r="AH3404" s="10"/>
      <c r="AI3404" s="10"/>
      <c r="AJ3404" s="10"/>
      <c r="AK3404" s="10" t="s">
        <v>102</v>
      </c>
      <c r="AL3404" s="10"/>
      <c r="AM3404" s="10"/>
      <c r="AN3404" s="10"/>
      <c r="AO3404" s="13" t="b">
        <v>0</v>
      </c>
      <c r="AP3404" s="22" t="s">
        <v>221</v>
      </c>
      <c r="AQ3404" s="10">
        <f ca="1">IFERROR(__xludf.DUMMYFUNCTION("""COMPUTED_VALUE"""),4789246)</f>
        <v>4789246</v>
      </c>
      <c r="AR3404" s="17">
        <v>13011</v>
      </c>
      <c r="AS3404" s="17">
        <v>10049</v>
      </c>
      <c r="AT3404" s="17">
        <v>803834.25</v>
      </c>
      <c r="AU3404" s="17">
        <v>96.35</v>
      </c>
      <c r="AV3404" s="17">
        <v>16.75</v>
      </c>
      <c r="AW3404" s="10" t="s">
        <v>105</v>
      </c>
      <c r="AX3404" s="17">
        <v>5510</v>
      </c>
      <c r="AY3404" s="18">
        <v>79.991466812618171</v>
      </c>
      <c r="AZ3404" s="10"/>
      <c r="BA3404" s="20" t="b">
        <v>0</v>
      </c>
      <c r="BB3404" s="10" t="s">
        <v>21452</v>
      </c>
      <c r="BC3404" s="17">
        <v>13011</v>
      </c>
      <c r="BD3404" s="17">
        <v>10049</v>
      </c>
      <c r="BE3404" s="17">
        <v>803834.25</v>
      </c>
      <c r="BF3404" s="17">
        <v>16.75</v>
      </c>
      <c r="BG3404" s="11">
        <f ca="1">IFERROR(__xludf.DUMMYFUNCTION("""COMPUTED_VALUE"""),46012.5416666666)</f>
        <v>46012.541666666599</v>
      </c>
      <c r="BH3404" s="17" t="s">
        <v>105</v>
      </c>
      <c r="BI3404" s="17"/>
      <c r="BJ3404" s="15"/>
      <c r="BK3404" s="15"/>
      <c r="BL3404" s="13" t="b">
        <v>0</v>
      </c>
      <c r="BM3404" s="10"/>
      <c r="BN3404" s="10" t="s">
        <v>634</v>
      </c>
      <c r="BO3404" s="11">
        <v>46011.930555555555</v>
      </c>
      <c r="BP3404" s="11">
        <v>46011.931909722225</v>
      </c>
      <c r="BQ3404" s="15"/>
      <c r="BR3404" s="15">
        <v>46011.989189814813</v>
      </c>
      <c r="BS3404" s="10" t="s">
        <v>634</v>
      </c>
      <c r="BT3404" s="10"/>
      <c r="BU3404" s="10"/>
      <c r="BV3404" s="10"/>
      <c r="BW3404" s="10"/>
      <c r="BX3404" s="10"/>
      <c r="BY3404" s="23"/>
      <c r="BZ3404" s="23"/>
      <c r="CA3404" s="19" t="s">
        <v>21457</v>
      </c>
      <c r="CB3404" s="23"/>
      <c r="CC3404" s="23"/>
      <c r="CD3404" s="19" t="s">
        <v>21458</v>
      </c>
      <c r="CE3404" s="23"/>
      <c r="CF3404" s="23"/>
      <c r="CG3404" s="23"/>
      <c r="CH3404" s="23"/>
      <c r="CI3404" s="23"/>
    </row>
    <row r="3405" spans="1:87" x14ac:dyDescent="0.3">
      <c r="A3405" s="25" t="s">
        <v>24184</v>
      </c>
      <c r="B3405" s="10" t="s">
        <v>24185</v>
      </c>
      <c r="C3405" s="11">
        <v>46012.576388888891</v>
      </c>
      <c r="D3405" s="12">
        <v>3.4722222222222224E-2</v>
      </c>
      <c r="E3405" s="11">
        <v>46012.611111111109</v>
      </c>
      <c r="F3405" s="22" t="s">
        <v>21383</v>
      </c>
      <c r="G3405" s="13" t="b">
        <v>0</v>
      </c>
      <c r="H3405" s="22" t="s">
        <v>21384</v>
      </c>
      <c r="I3405" s="10" t="s">
        <v>9131</v>
      </c>
      <c r="J3405" s="13" t="b">
        <v>0</v>
      </c>
      <c r="K3405" s="13" t="b">
        <v>1</v>
      </c>
      <c r="L3405" s="10" t="s">
        <v>124</v>
      </c>
      <c r="M3405" s="10" t="s">
        <v>91</v>
      </c>
      <c r="N3405" s="10" t="s">
        <v>92</v>
      </c>
      <c r="O3405" s="19" t="s">
        <v>24186</v>
      </c>
      <c r="P3405" s="10"/>
      <c r="Q3405" s="10" t="s">
        <v>126</v>
      </c>
      <c r="R3405" s="10"/>
      <c r="S3405" s="19" t="s">
        <v>21455</v>
      </c>
      <c r="T3405" s="10"/>
      <c r="U3405" s="10"/>
      <c r="V3405" s="10"/>
      <c r="W3405" s="10" t="s">
        <v>21387</v>
      </c>
      <c r="X3405" s="10" t="s">
        <v>216</v>
      </c>
      <c r="Y3405" s="10" t="s">
        <v>216</v>
      </c>
      <c r="Z3405" s="10" t="s">
        <v>99</v>
      </c>
      <c r="AA3405" s="10" t="s">
        <v>131</v>
      </c>
      <c r="AB3405" s="10" t="s">
        <v>21388</v>
      </c>
      <c r="AC3405" s="10" t="s">
        <v>21389</v>
      </c>
      <c r="AD3405" s="10" t="s">
        <v>165</v>
      </c>
      <c r="AE3405" s="10" t="s">
        <v>24187</v>
      </c>
      <c r="AF3405" s="15"/>
      <c r="AG3405" s="10"/>
      <c r="AH3405" s="10"/>
      <c r="AI3405" s="10"/>
      <c r="AJ3405" s="10"/>
      <c r="AK3405" s="10" t="s">
        <v>102</v>
      </c>
      <c r="AL3405" s="10"/>
      <c r="AM3405" s="10"/>
      <c r="AN3405" s="10"/>
      <c r="AO3405" s="13" t="b">
        <v>0</v>
      </c>
      <c r="AP3405" s="22" t="s">
        <v>135</v>
      </c>
      <c r="AQ3405" s="10">
        <f ca="1">IFERROR(__xludf.DUMMYFUNCTION("""COMPUTED_VALUE"""),4789245)</f>
        <v>4789245</v>
      </c>
      <c r="AR3405" s="17">
        <v>14867</v>
      </c>
      <c r="AS3405" s="17">
        <v>10429</v>
      </c>
      <c r="AT3405" s="17">
        <v>503786.25</v>
      </c>
      <c r="AU3405" s="17">
        <v>78.05</v>
      </c>
      <c r="AV3405" s="17">
        <v>15.2</v>
      </c>
      <c r="AW3405" s="10" t="s">
        <v>105</v>
      </c>
      <c r="AX3405" s="17">
        <v>6528</v>
      </c>
      <c r="AY3405" s="18">
        <v>48.306285358135966</v>
      </c>
      <c r="AZ3405" s="10"/>
      <c r="BA3405" s="20" t="b">
        <v>0</v>
      </c>
      <c r="BB3405" s="10" t="s">
        <v>21452</v>
      </c>
      <c r="BC3405" s="17">
        <v>14867</v>
      </c>
      <c r="BD3405" s="17">
        <v>10429</v>
      </c>
      <c r="BE3405" s="17">
        <v>503786.25</v>
      </c>
      <c r="BF3405" s="17">
        <v>15.2</v>
      </c>
      <c r="BG3405" s="11">
        <f ca="1">IFERROR(__xludf.DUMMYFUNCTION("""COMPUTED_VALUE"""),46012.5763888888)</f>
        <v>46012.576388888803</v>
      </c>
      <c r="BH3405" s="17" t="s">
        <v>105</v>
      </c>
      <c r="BI3405" s="17"/>
      <c r="BJ3405" s="15"/>
      <c r="BK3405" s="15"/>
      <c r="BL3405" s="13" t="b">
        <v>0</v>
      </c>
      <c r="BM3405" s="10"/>
      <c r="BN3405" s="10" t="s">
        <v>634</v>
      </c>
      <c r="BO3405" s="11">
        <v>46011.931944444441</v>
      </c>
      <c r="BP3405" s="11">
        <v>46011.932037037041</v>
      </c>
      <c r="BQ3405" s="15"/>
      <c r="BR3405" s="15">
        <v>46011.989479166667</v>
      </c>
      <c r="BS3405" s="10" t="s">
        <v>634</v>
      </c>
      <c r="BT3405" s="10"/>
      <c r="BU3405" s="10"/>
      <c r="BV3405" s="10"/>
      <c r="BW3405" s="10"/>
      <c r="BX3405" s="10"/>
      <c r="BY3405" s="23"/>
      <c r="BZ3405" s="23"/>
      <c r="CA3405" s="19" t="s">
        <v>21457</v>
      </c>
      <c r="CB3405" s="23"/>
      <c r="CC3405" s="23"/>
      <c r="CD3405" s="19" t="s">
        <v>21458</v>
      </c>
      <c r="CE3405" s="23"/>
      <c r="CF3405" s="23"/>
      <c r="CG3405" s="23"/>
      <c r="CH3405" s="23"/>
      <c r="CI3405" s="23"/>
    </row>
    <row r="3406" spans="1:87" x14ac:dyDescent="0.3">
      <c r="A3406" s="9" t="s">
        <v>24188</v>
      </c>
      <c r="B3406" s="10" t="s">
        <v>24189</v>
      </c>
      <c r="C3406" s="11">
        <v>46012.611111111109</v>
      </c>
      <c r="D3406" s="12">
        <v>3.4722222222222224E-2</v>
      </c>
      <c r="E3406" s="11">
        <v>46012.645833333336</v>
      </c>
      <c r="F3406" s="22" t="s">
        <v>21383</v>
      </c>
      <c r="G3406" s="13" t="b">
        <v>0</v>
      </c>
      <c r="H3406" s="22" t="s">
        <v>21384</v>
      </c>
      <c r="I3406" s="10" t="s">
        <v>9131</v>
      </c>
      <c r="J3406" s="13" t="b">
        <v>0</v>
      </c>
      <c r="K3406" s="13" t="b">
        <v>1</v>
      </c>
      <c r="L3406" s="10" t="s">
        <v>124</v>
      </c>
      <c r="M3406" s="10" t="s">
        <v>91</v>
      </c>
      <c r="N3406" s="10" t="s">
        <v>92</v>
      </c>
      <c r="O3406" s="19" t="s">
        <v>24190</v>
      </c>
      <c r="P3406" s="10"/>
      <c r="Q3406" s="10" t="s">
        <v>126</v>
      </c>
      <c r="R3406" s="10"/>
      <c r="S3406" s="19" t="s">
        <v>21455</v>
      </c>
      <c r="T3406" s="10"/>
      <c r="U3406" s="10"/>
      <c r="V3406" s="10"/>
      <c r="W3406" s="10" t="s">
        <v>21387</v>
      </c>
      <c r="X3406" s="10" t="s">
        <v>216</v>
      </c>
      <c r="Y3406" s="10" t="s">
        <v>216</v>
      </c>
      <c r="Z3406" s="10" t="s">
        <v>99</v>
      </c>
      <c r="AA3406" s="10" t="s">
        <v>131</v>
      </c>
      <c r="AB3406" s="10" t="s">
        <v>21388</v>
      </c>
      <c r="AC3406" s="10" t="s">
        <v>21389</v>
      </c>
      <c r="AD3406" s="10" t="s">
        <v>165</v>
      </c>
      <c r="AE3406" s="10" t="s">
        <v>24191</v>
      </c>
      <c r="AF3406" s="15"/>
      <c r="AG3406" s="10"/>
      <c r="AH3406" s="10"/>
      <c r="AI3406" s="10"/>
      <c r="AJ3406" s="10"/>
      <c r="AK3406" s="10" t="s">
        <v>102</v>
      </c>
      <c r="AL3406" s="10"/>
      <c r="AM3406" s="10"/>
      <c r="AN3406" s="10"/>
      <c r="AO3406" s="13" t="b">
        <v>0</v>
      </c>
      <c r="AP3406" s="22" t="s">
        <v>135</v>
      </c>
      <c r="AQ3406" s="10">
        <f ca="1">IFERROR(__xludf.DUMMYFUNCTION("""COMPUTED_VALUE"""),4789244)</f>
        <v>4789244</v>
      </c>
      <c r="AR3406" s="17">
        <v>25354</v>
      </c>
      <c r="AS3406" s="17">
        <v>15073</v>
      </c>
      <c r="AT3406" s="17">
        <v>754053.25</v>
      </c>
      <c r="AU3406" s="17">
        <v>125.8</v>
      </c>
      <c r="AV3406" s="17">
        <v>22.45</v>
      </c>
      <c r="AW3406" s="10" t="s">
        <v>105</v>
      </c>
      <c r="AX3406" s="17">
        <v>9834</v>
      </c>
      <c r="AY3406" s="18">
        <v>50.026753134744247</v>
      </c>
      <c r="AZ3406" s="10"/>
      <c r="BA3406" s="20" t="b">
        <v>0</v>
      </c>
      <c r="BB3406" s="10" t="s">
        <v>21452</v>
      </c>
      <c r="BC3406" s="17">
        <v>25354</v>
      </c>
      <c r="BD3406" s="17">
        <v>15073</v>
      </c>
      <c r="BE3406" s="17">
        <v>754053.25</v>
      </c>
      <c r="BF3406" s="17">
        <v>22.45</v>
      </c>
      <c r="BG3406" s="11">
        <f ca="1">IFERROR(__xludf.DUMMYFUNCTION("""COMPUTED_VALUE"""),46012.6111111111)</f>
        <v>46012.611111111102</v>
      </c>
      <c r="BH3406" s="17" t="s">
        <v>105</v>
      </c>
      <c r="BI3406" s="17"/>
      <c r="BJ3406" s="15"/>
      <c r="BK3406" s="15"/>
      <c r="BL3406" s="13" t="b">
        <v>0</v>
      </c>
      <c r="BM3406" s="10"/>
      <c r="BN3406" s="10" t="s">
        <v>634</v>
      </c>
      <c r="BO3406" s="11">
        <v>46011.931944444441</v>
      </c>
      <c r="BP3406" s="11">
        <v>46011.932152777779</v>
      </c>
      <c r="BQ3406" s="15"/>
      <c r="BR3406" s="15">
        <v>46011.989872685182</v>
      </c>
      <c r="BS3406" s="10" t="s">
        <v>634</v>
      </c>
      <c r="BT3406" s="10"/>
      <c r="BU3406" s="10"/>
      <c r="BV3406" s="10"/>
      <c r="BW3406" s="10"/>
      <c r="BX3406" s="10"/>
      <c r="BY3406" s="23"/>
      <c r="BZ3406" s="23"/>
      <c r="CA3406" s="19" t="s">
        <v>21457</v>
      </c>
      <c r="CB3406" s="23"/>
      <c r="CC3406" s="23"/>
      <c r="CD3406" s="19" t="s">
        <v>21458</v>
      </c>
      <c r="CE3406" s="23"/>
      <c r="CF3406" s="23"/>
      <c r="CG3406" s="23"/>
      <c r="CH3406" s="23"/>
      <c r="CI3406" s="23"/>
    </row>
    <row r="3407" spans="1:87" x14ac:dyDescent="0.3">
      <c r="A3407" s="9" t="s">
        <v>24192</v>
      </c>
      <c r="B3407" s="10" t="s">
        <v>24193</v>
      </c>
      <c r="C3407" s="11">
        <v>46012.645833333336</v>
      </c>
      <c r="D3407" s="12">
        <v>3.4722222222222224E-2</v>
      </c>
      <c r="E3407" s="11">
        <v>46012.680555555555</v>
      </c>
      <c r="F3407" s="22" t="s">
        <v>21383</v>
      </c>
      <c r="G3407" s="13" t="b">
        <v>0</v>
      </c>
      <c r="H3407" s="22" t="s">
        <v>21384</v>
      </c>
      <c r="I3407" s="10" t="s">
        <v>9131</v>
      </c>
      <c r="J3407" s="13" t="b">
        <v>0</v>
      </c>
      <c r="K3407" s="13" t="b">
        <v>1</v>
      </c>
      <c r="L3407" s="10" t="s">
        <v>124</v>
      </c>
      <c r="M3407" s="10" t="s">
        <v>91</v>
      </c>
      <c r="N3407" s="10" t="s">
        <v>92</v>
      </c>
      <c r="O3407" s="19" t="s">
        <v>24194</v>
      </c>
      <c r="P3407" s="10"/>
      <c r="Q3407" s="10" t="s">
        <v>126</v>
      </c>
      <c r="R3407" s="10"/>
      <c r="S3407" s="19" t="s">
        <v>21455</v>
      </c>
      <c r="T3407" s="10"/>
      <c r="U3407" s="10"/>
      <c r="V3407" s="10"/>
      <c r="W3407" s="10" t="s">
        <v>21387</v>
      </c>
      <c r="X3407" s="10" t="s">
        <v>216</v>
      </c>
      <c r="Y3407" s="10" t="s">
        <v>216</v>
      </c>
      <c r="Z3407" s="10" t="s">
        <v>99</v>
      </c>
      <c r="AA3407" s="10" t="s">
        <v>131</v>
      </c>
      <c r="AB3407" s="10" t="s">
        <v>21388</v>
      </c>
      <c r="AC3407" s="10" t="s">
        <v>21389</v>
      </c>
      <c r="AD3407" s="10" t="s">
        <v>165</v>
      </c>
      <c r="AE3407" s="10" t="s">
        <v>24195</v>
      </c>
      <c r="AF3407" s="15"/>
      <c r="AG3407" s="10"/>
      <c r="AH3407" s="10"/>
      <c r="AI3407" s="10"/>
      <c r="AJ3407" s="10"/>
      <c r="AK3407" s="10" t="s">
        <v>102</v>
      </c>
      <c r="AL3407" s="10"/>
      <c r="AM3407" s="10"/>
      <c r="AN3407" s="10"/>
      <c r="AO3407" s="13" t="b">
        <v>0</v>
      </c>
      <c r="AP3407" s="22" t="s">
        <v>104</v>
      </c>
      <c r="AQ3407" s="10">
        <f ca="1">IFERROR(__xludf.DUMMYFUNCTION("""COMPUTED_VALUE"""),4789243)</f>
        <v>4789243</v>
      </c>
      <c r="AR3407" s="17">
        <v>14836</v>
      </c>
      <c r="AS3407" s="17">
        <v>11115</v>
      </c>
      <c r="AT3407" s="17">
        <v>324370</v>
      </c>
      <c r="AU3407" s="17">
        <v>79.75</v>
      </c>
      <c r="AV3407" s="17">
        <v>14.45</v>
      </c>
      <c r="AW3407" s="10" t="s">
        <v>105</v>
      </c>
      <c r="AX3407" s="17">
        <v>10479</v>
      </c>
      <c r="AY3407" s="18">
        <v>29.183085919928025</v>
      </c>
      <c r="AZ3407" s="10"/>
      <c r="BA3407" s="20" t="b">
        <v>0</v>
      </c>
      <c r="BB3407" s="10" t="s">
        <v>21452</v>
      </c>
      <c r="BC3407" s="17">
        <v>14836</v>
      </c>
      <c r="BD3407" s="17">
        <v>11115</v>
      </c>
      <c r="BE3407" s="17">
        <v>324370</v>
      </c>
      <c r="BF3407" s="17">
        <v>14.45</v>
      </c>
      <c r="BG3407" s="11">
        <f ca="1">IFERROR(__xludf.DUMMYFUNCTION("""COMPUTED_VALUE"""),46012.6458333333)</f>
        <v>46012.645833333299</v>
      </c>
      <c r="BH3407" s="17" t="s">
        <v>105</v>
      </c>
      <c r="BI3407" s="17"/>
      <c r="BJ3407" s="15"/>
      <c r="BK3407" s="15"/>
      <c r="BL3407" s="13" t="b">
        <v>0</v>
      </c>
      <c r="BM3407" s="10"/>
      <c r="BN3407" s="10" t="s">
        <v>634</v>
      </c>
      <c r="BO3407" s="11">
        <v>46011.931944444441</v>
      </c>
      <c r="BP3407" s="11">
        <v>46011.932280092595</v>
      </c>
      <c r="BQ3407" s="15"/>
      <c r="BR3407" s="15">
        <v>46011.990162037036</v>
      </c>
      <c r="BS3407" s="10" t="s">
        <v>634</v>
      </c>
      <c r="BT3407" s="10"/>
      <c r="BU3407" s="10"/>
      <c r="BV3407" s="10"/>
      <c r="BW3407" s="10"/>
      <c r="BX3407" s="10"/>
      <c r="BY3407" s="23"/>
      <c r="BZ3407" s="23"/>
      <c r="CA3407" s="19" t="s">
        <v>21457</v>
      </c>
      <c r="CB3407" s="23"/>
      <c r="CC3407" s="23"/>
      <c r="CD3407" s="19" t="s">
        <v>21458</v>
      </c>
      <c r="CE3407" s="23"/>
      <c r="CF3407" s="23"/>
      <c r="CG3407" s="23"/>
      <c r="CH3407" s="23"/>
      <c r="CI3407" s="23"/>
    </row>
    <row r="3408" spans="1:87" x14ac:dyDescent="0.3">
      <c r="A3408" s="9" t="s">
        <v>24196</v>
      </c>
      <c r="B3408" s="10" t="s">
        <v>24197</v>
      </c>
      <c r="C3408" s="11">
        <v>46012.680555555555</v>
      </c>
      <c r="D3408" s="12">
        <v>3.4722222222222224E-2</v>
      </c>
      <c r="E3408" s="11">
        <v>46012.715277777781</v>
      </c>
      <c r="F3408" s="22" t="s">
        <v>21383</v>
      </c>
      <c r="G3408" s="13" t="b">
        <v>0</v>
      </c>
      <c r="H3408" s="22" t="s">
        <v>21384</v>
      </c>
      <c r="I3408" s="10" t="s">
        <v>9131</v>
      </c>
      <c r="J3408" s="13" t="b">
        <v>0</v>
      </c>
      <c r="K3408" s="13" t="b">
        <v>1</v>
      </c>
      <c r="L3408" s="10" t="s">
        <v>124</v>
      </c>
      <c r="M3408" s="10" t="s">
        <v>91</v>
      </c>
      <c r="N3408" s="10" t="s">
        <v>92</v>
      </c>
      <c r="O3408" s="19" t="s">
        <v>24198</v>
      </c>
      <c r="P3408" s="10"/>
      <c r="Q3408" s="10" t="s">
        <v>126</v>
      </c>
      <c r="R3408" s="10"/>
      <c r="S3408" s="19" t="s">
        <v>21455</v>
      </c>
      <c r="T3408" s="10"/>
      <c r="U3408" s="10"/>
      <c r="V3408" s="10"/>
      <c r="W3408" s="10" t="s">
        <v>21387</v>
      </c>
      <c r="X3408" s="10" t="s">
        <v>216</v>
      </c>
      <c r="Y3408" s="10" t="s">
        <v>216</v>
      </c>
      <c r="Z3408" s="10" t="s">
        <v>99</v>
      </c>
      <c r="AA3408" s="10" t="s">
        <v>131</v>
      </c>
      <c r="AB3408" s="10" t="s">
        <v>21388</v>
      </c>
      <c r="AC3408" s="10" t="s">
        <v>21389</v>
      </c>
      <c r="AD3408" s="10" t="s">
        <v>165</v>
      </c>
      <c r="AE3408" s="10" t="s">
        <v>24199</v>
      </c>
      <c r="AF3408" s="15"/>
      <c r="AG3408" s="10"/>
      <c r="AH3408" s="10"/>
      <c r="AI3408" s="10"/>
      <c r="AJ3408" s="10"/>
      <c r="AK3408" s="10" t="s">
        <v>102</v>
      </c>
      <c r="AL3408" s="10"/>
      <c r="AM3408" s="10"/>
      <c r="AN3408" s="10"/>
      <c r="AO3408" s="13" t="b">
        <v>0</v>
      </c>
      <c r="AP3408" s="22" t="s">
        <v>104</v>
      </c>
      <c r="AQ3408" s="10">
        <f ca="1">IFERROR(__xludf.DUMMYFUNCTION("""COMPUTED_VALUE"""),4789242)</f>
        <v>4789242</v>
      </c>
      <c r="AR3408" s="17">
        <v>15943</v>
      </c>
      <c r="AS3408" s="17">
        <v>11531</v>
      </c>
      <c r="AT3408" s="17">
        <v>196481</v>
      </c>
      <c r="AU3408" s="17">
        <v>61.25</v>
      </c>
      <c r="AV3408" s="17">
        <v>6.2</v>
      </c>
      <c r="AW3408" s="10" t="s">
        <v>105</v>
      </c>
      <c r="AX3408" s="17">
        <v>10428</v>
      </c>
      <c r="AY3408" s="18">
        <v>17.039372127308994</v>
      </c>
      <c r="AZ3408" s="10"/>
      <c r="BA3408" s="20" t="b">
        <v>0</v>
      </c>
      <c r="BB3408" s="10" t="s">
        <v>21452</v>
      </c>
      <c r="BC3408" s="17">
        <v>15943</v>
      </c>
      <c r="BD3408" s="17">
        <v>11531</v>
      </c>
      <c r="BE3408" s="17">
        <v>196481</v>
      </c>
      <c r="BF3408" s="17">
        <v>6.2</v>
      </c>
      <c r="BG3408" s="11">
        <f ca="1">IFERROR(__xludf.DUMMYFUNCTION("""COMPUTED_VALUE"""),46012.6805555555)</f>
        <v>46012.680555555497</v>
      </c>
      <c r="BH3408" s="17" t="s">
        <v>105</v>
      </c>
      <c r="BI3408" s="17"/>
      <c r="BJ3408" s="15"/>
      <c r="BK3408" s="15"/>
      <c r="BL3408" s="13" t="b">
        <v>0</v>
      </c>
      <c r="BM3408" s="10"/>
      <c r="BN3408" s="10" t="s">
        <v>634</v>
      </c>
      <c r="BO3408" s="11">
        <v>46011.931944444441</v>
      </c>
      <c r="BP3408" s="11">
        <v>46011.932395833333</v>
      </c>
      <c r="BQ3408" s="15"/>
      <c r="BR3408" s="15">
        <v>46011.990833333337</v>
      </c>
      <c r="BS3408" s="10" t="s">
        <v>634</v>
      </c>
      <c r="BT3408" s="10"/>
      <c r="BU3408" s="10"/>
      <c r="BV3408" s="10"/>
      <c r="BW3408" s="10"/>
      <c r="BX3408" s="10"/>
      <c r="BY3408" s="23"/>
      <c r="BZ3408" s="23"/>
      <c r="CA3408" s="19" t="s">
        <v>21457</v>
      </c>
      <c r="CB3408" s="23"/>
      <c r="CC3408" s="23"/>
      <c r="CD3408" s="19" t="s">
        <v>21458</v>
      </c>
      <c r="CE3408" s="23"/>
      <c r="CF3408" s="23"/>
      <c r="CG3408" s="23"/>
      <c r="CH3408" s="23"/>
      <c r="CI3408" s="23"/>
    </row>
    <row r="3409" spans="1:87" x14ac:dyDescent="0.3">
      <c r="A3409" s="9" t="s">
        <v>24200</v>
      </c>
      <c r="B3409" s="10" t="s">
        <v>24174</v>
      </c>
      <c r="C3409" s="11">
        <v>46019.666666666664</v>
      </c>
      <c r="D3409" s="12">
        <v>0.16666666666666666</v>
      </c>
      <c r="E3409" s="11">
        <v>46019.833333333336</v>
      </c>
      <c r="F3409" s="22" t="s">
        <v>24158</v>
      </c>
      <c r="G3409" s="13" t="b">
        <v>0</v>
      </c>
      <c r="H3409" s="22" t="s">
        <v>88</v>
      </c>
      <c r="I3409" s="10" t="s">
        <v>89</v>
      </c>
      <c r="J3409" s="13" t="b">
        <v>0</v>
      </c>
      <c r="K3409" s="13" t="b">
        <v>1</v>
      </c>
      <c r="L3409" s="10" t="s">
        <v>124</v>
      </c>
      <c r="M3409" s="10" t="s">
        <v>91</v>
      </c>
      <c r="N3409" s="10" t="s">
        <v>265</v>
      </c>
      <c r="O3409" s="19" t="s">
        <v>24201</v>
      </c>
      <c r="P3409" s="10"/>
      <c r="Q3409" s="10" t="s">
        <v>126</v>
      </c>
      <c r="R3409" s="10"/>
      <c r="S3409" s="19" t="s">
        <v>24202</v>
      </c>
      <c r="T3409" s="10"/>
      <c r="U3409" s="10"/>
      <c r="V3409" s="10"/>
      <c r="W3409" s="10" t="s">
        <v>24162</v>
      </c>
      <c r="X3409" s="10" t="s">
        <v>21724</v>
      </c>
      <c r="Y3409" s="10" t="s">
        <v>21724</v>
      </c>
      <c r="Z3409" s="10" t="s">
        <v>99</v>
      </c>
      <c r="AA3409" s="10" t="s">
        <v>131</v>
      </c>
      <c r="AB3409" s="10" t="s">
        <v>24163</v>
      </c>
      <c r="AC3409" s="10" t="s">
        <v>24164</v>
      </c>
      <c r="AD3409" s="10" t="s">
        <v>165</v>
      </c>
      <c r="AE3409" s="10" t="s">
        <v>24177</v>
      </c>
      <c r="AF3409" s="15"/>
      <c r="AG3409" s="10"/>
      <c r="AH3409" s="10"/>
      <c r="AI3409" s="10"/>
      <c r="AJ3409" s="10"/>
      <c r="AK3409" s="10" t="s">
        <v>102</v>
      </c>
      <c r="AL3409" s="10"/>
      <c r="AM3409" s="10"/>
      <c r="AN3409" s="10"/>
      <c r="AO3409" s="13" t="b">
        <v>0</v>
      </c>
      <c r="AP3409" s="22"/>
      <c r="AQ3409" s="10">
        <f ca="1">IFERROR(__xludf.DUMMYFUNCTION("""COMPUTED_VALUE"""),4797004)</f>
        <v>4797004</v>
      </c>
      <c r="AR3409" s="17">
        <v>7923</v>
      </c>
      <c r="AS3409" s="17">
        <v>6085</v>
      </c>
      <c r="AT3409" s="17">
        <v>85366.25</v>
      </c>
      <c r="AU3409" s="17">
        <v>25.85</v>
      </c>
      <c r="AV3409" s="17">
        <v>3.95</v>
      </c>
      <c r="AW3409" s="10" t="s">
        <v>105</v>
      </c>
      <c r="AX3409" s="17">
        <v>716</v>
      </c>
      <c r="AY3409" s="18">
        <v>14.028964667214462</v>
      </c>
      <c r="AZ3409" s="10" t="s">
        <v>148</v>
      </c>
      <c r="BA3409" s="20" t="b">
        <v>0</v>
      </c>
      <c r="BB3409" s="10"/>
      <c r="BC3409" s="17">
        <v>7923</v>
      </c>
      <c r="BD3409" s="17">
        <v>6085</v>
      </c>
      <c r="BE3409" s="17">
        <v>85366.25</v>
      </c>
      <c r="BF3409" s="17">
        <v>3.95</v>
      </c>
      <c r="BG3409" s="11">
        <f ca="1">IFERROR(__xludf.DUMMYFUNCTION("""COMPUTED_VALUE"""),46019.6666666666)</f>
        <v>46019.666666666599</v>
      </c>
      <c r="BH3409" s="17" t="s">
        <v>105</v>
      </c>
      <c r="BI3409" s="17"/>
      <c r="BJ3409" s="15"/>
      <c r="BK3409" s="15"/>
      <c r="BL3409" s="13" t="b">
        <v>0</v>
      </c>
      <c r="BM3409" s="10"/>
      <c r="BN3409" s="10" t="s">
        <v>4030</v>
      </c>
      <c r="BO3409" s="11">
        <v>46013.44027777778</v>
      </c>
      <c r="BP3409" s="11">
        <v>46017.846932870372</v>
      </c>
      <c r="BQ3409" s="15">
        <v>46017.891770833332</v>
      </c>
      <c r="BR3409" s="15">
        <v>46019.105914351851</v>
      </c>
      <c r="BS3409" s="10" t="s">
        <v>4030</v>
      </c>
      <c r="BT3409" s="10"/>
      <c r="BU3409" s="10"/>
      <c r="BV3409" s="10"/>
      <c r="BW3409" s="10"/>
      <c r="BX3409" s="10"/>
      <c r="BY3409" s="23"/>
      <c r="BZ3409" s="23"/>
      <c r="CA3409" s="19" t="s">
        <v>24203</v>
      </c>
      <c r="CB3409" s="23"/>
      <c r="CC3409" s="23"/>
      <c r="CD3409" s="19" t="s">
        <v>24204</v>
      </c>
      <c r="CE3409" s="23"/>
      <c r="CF3409" s="23"/>
      <c r="CG3409" s="23"/>
      <c r="CH3409" s="23"/>
      <c r="CI3409" s="23"/>
    </row>
    <row r="3410" spans="1:87" x14ac:dyDescent="0.3">
      <c r="A3410" s="9" t="s">
        <v>24205</v>
      </c>
      <c r="B3410" s="10" t="s">
        <v>24174</v>
      </c>
      <c r="C3410" s="11">
        <v>46020.25</v>
      </c>
      <c r="D3410" s="12">
        <v>0.16666666666666666</v>
      </c>
      <c r="E3410" s="11">
        <v>46020.416666666664</v>
      </c>
      <c r="F3410" s="22" t="s">
        <v>24158</v>
      </c>
      <c r="G3410" s="13" t="b">
        <v>0</v>
      </c>
      <c r="H3410" s="22"/>
      <c r="I3410" s="10" t="s">
        <v>89</v>
      </c>
      <c r="J3410" s="13" t="b">
        <v>0</v>
      </c>
      <c r="K3410" s="13" t="b">
        <v>1</v>
      </c>
      <c r="L3410" s="10" t="s">
        <v>124</v>
      </c>
      <c r="M3410" s="10" t="s">
        <v>91</v>
      </c>
      <c r="N3410" s="10" t="s">
        <v>265</v>
      </c>
      <c r="O3410" s="10"/>
      <c r="P3410" s="10"/>
      <c r="Q3410" s="10" t="s">
        <v>126</v>
      </c>
      <c r="R3410" s="10"/>
      <c r="S3410" s="19" t="s">
        <v>24206</v>
      </c>
      <c r="T3410" s="10"/>
      <c r="U3410" s="10"/>
      <c r="V3410" s="10"/>
      <c r="W3410" s="10" t="s">
        <v>24162</v>
      </c>
      <c r="X3410" s="10" t="s">
        <v>21724</v>
      </c>
      <c r="Y3410" s="10" t="s">
        <v>21724</v>
      </c>
      <c r="Z3410" s="10" t="s">
        <v>99</v>
      </c>
      <c r="AA3410" s="10" t="s">
        <v>131</v>
      </c>
      <c r="AB3410" s="10" t="s">
        <v>24163</v>
      </c>
      <c r="AC3410" s="10" t="s">
        <v>24164</v>
      </c>
      <c r="AD3410" s="10" t="s">
        <v>165</v>
      </c>
      <c r="AE3410" s="10" t="s">
        <v>24177</v>
      </c>
      <c r="AF3410" s="15"/>
      <c r="AG3410" s="10"/>
      <c r="AH3410" s="10"/>
      <c r="AI3410" s="10"/>
      <c r="AJ3410" s="10"/>
      <c r="AK3410" s="10" t="s">
        <v>256</v>
      </c>
      <c r="AL3410" s="10"/>
      <c r="AM3410" s="10"/>
      <c r="AN3410" s="10"/>
      <c r="AO3410" s="13" t="b">
        <v>0</v>
      </c>
      <c r="AP3410" s="22"/>
      <c r="AQ3410" s="10"/>
      <c r="AR3410" s="17"/>
      <c r="AS3410" s="17"/>
      <c r="AT3410" s="17"/>
      <c r="AU3410" s="17"/>
      <c r="AV3410" s="17"/>
      <c r="AW3410" s="10"/>
      <c r="AX3410" s="17"/>
      <c r="AY3410" s="18" t="s">
        <v>257</v>
      </c>
      <c r="AZ3410" s="10" t="s">
        <v>148</v>
      </c>
      <c r="BA3410" s="20" t="b">
        <v>0</v>
      </c>
      <c r="BB3410" s="10"/>
      <c r="BC3410" s="17" t="s">
        <v>257</v>
      </c>
      <c r="BD3410" s="17" t="s">
        <v>257</v>
      </c>
      <c r="BE3410" s="17" t="s">
        <v>257</v>
      </c>
      <c r="BF3410" s="17" t="s">
        <v>257</v>
      </c>
      <c r="BG3410" s="11">
        <f ca="1">IFERROR(__xludf.DUMMYFUNCTION("""COMPUTED_VALUE"""),46020.25)</f>
        <v>46020.25</v>
      </c>
      <c r="BH3410" s="17"/>
      <c r="BI3410" s="17"/>
      <c r="BJ3410" s="15"/>
      <c r="BK3410" s="15"/>
      <c r="BL3410" s="13" t="b">
        <v>0</v>
      </c>
      <c r="BM3410" s="10"/>
      <c r="BN3410" s="10" t="s">
        <v>351</v>
      </c>
      <c r="BO3410" s="11">
        <v>46013.442361111112</v>
      </c>
      <c r="BP3410" s="11">
        <v>46013.442743055559</v>
      </c>
      <c r="BQ3410" s="15">
        <v>46017.447106481479</v>
      </c>
      <c r="BR3410" s="15"/>
      <c r="BS3410" s="10"/>
      <c r="BT3410" s="10"/>
      <c r="BU3410" s="10"/>
      <c r="BV3410" s="10"/>
      <c r="BW3410" s="10"/>
      <c r="BX3410" s="10"/>
      <c r="BY3410" s="23"/>
      <c r="BZ3410" s="23"/>
      <c r="CA3410" s="19" t="s">
        <v>24207</v>
      </c>
      <c r="CB3410" s="23"/>
      <c r="CC3410" s="23"/>
      <c r="CD3410" s="19" t="s">
        <v>24208</v>
      </c>
      <c r="CE3410" s="23"/>
      <c r="CF3410" s="23"/>
      <c r="CG3410" s="23"/>
      <c r="CH3410" s="23"/>
      <c r="CI3410" s="23"/>
    </row>
    <row r="3411" spans="1:87" x14ac:dyDescent="0.3">
      <c r="A3411" s="9" t="s">
        <v>24209</v>
      </c>
      <c r="B3411" s="10" t="s">
        <v>24210</v>
      </c>
      <c r="C3411" s="11">
        <v>46025.75</v>
      </c>
      <c r="D3411" s="12">
        <v>8.3333333333333329E-2</v>
      </c>
      <c r="E3411" s="11">
        <v>46025.833333333336</v>
      </c>
      <c r="F3411" s="22" t="s">
        <v>16639</v>
      </c>
      <c r="G3411" s="13" t="b">
        <v>0</v>
      </c>
      <c r="H3411" s="22" t="s">
        <v>16543</v>
      </c>
      <c r="I3411" s="10" t="s">
        <v>212</v>
      </c>
      <c r="J3411" s="13" t="b">
        <v>1</v>
      </c>
      <c r="K3411" s="13" t="b">
        <v>0</v>
      </c>
      <c r="L3411" s="10" t="s">
        <v>124</v>
      </c>
      <c r="M3411" s="10" t="s">
        <v>91</v>
      </c>
      <c r="N3411" s="10" t="s">
        <v>92</v>
      </c>
      <c r="O3411" s="19" t="s">
        <v>24211</v>
      </c>
      <c r="P3411" s="10"/>
      <c r="Q3411" s="10" t="s">
        <v>126</v>
      </c>
      <c r="R3411" s="10"/>
      <c r="S3411" s="19" t="s">
        <v>24212</v>
      </c>
      <c r="T3411" s="10"/>
      <c r="U3411" s="10" t="s">
        <v>16569</v>
      </c>
      <c r="V3411" s="10" t="s">
        <v>16680</v>
      </c>
      <c r="W3411" s="10" t="s">
        <v>16644</v>
      </c>
      <c r="X3411" s="10" t="s">
        <v>16549</v>
      </c>
      <c r="Y3411" s="10" t="s">
        <v>16549</v>
      </c>
      <c r="Z3411" s="10" t="s">
        <v>99</v>
      </c>
      <c r="AA3411" s="10" t="s">
        <v>131</v>
      </c>
      <c r="AB3411" s="10" t="s">
        <v>16645</v>
      </c>
      <c r="AC3411" s="10" t="s">
        <v>16551</v>
      </c>
      <c r="AD3411" s="10" t="s">
        <v>24213</v>
      </c>
      <c r="AE3411" s="10" t="s">
        <v>24214</v>
      </c>
      <c r="AF3411" s="15"/>
      <c r="AG3411" s="10"/>
      <c r="AH3411" s="10"/>
      <c r="AI3411" s="10"/>
      <c r="AJ3411" s="10"/>
      <c r="AK3411" s="10" t="s">
        <v>102</v>
      </c>
      <c r="AL3411" s="10"/>
      <c r="AM3411" s="10"/>
      <c r="AN3411" s="10"/>
      <c r="AO3411" s="13" t="b">
        <v>0</v>
      </c>
      <c r="AP3411" s="22" t="s">
        <v>135</v>
      </c>
      <c r="AQ3411" s="10">
        <f ca="1">IFERROR(__xludf.DUMMYFUNCTION("""COMPUTED_VALUE"""),4803429)</f>
        <v>4803429</v>
      </c>
      <c r="AR3411" s="17">
        <v>12236</v>
      </c>
      <c r="AS3411" s="17">
        <v>8308</v>
      </c>
      <c r="AT3411" s="17">
        <v>203537.25</v>
      </c>
      <c r="AU3411" s="17">
        <v>27.45</v>
      </c>
      <c r="AV3411" s="17">
        <v>6.35</v>
      </c>
      <c r="AW3411" s="10" t="s">
        <v>105</v>
      </c>
      <c r="AX3411" s="17">
        <v>1923</v>
      </c>
      <c r="AY3411" s="18">
        <v>24.498946798266729</v>
      </c>
      <c r="AZ3411" s="10" t="s">
        <v>136</v>
      </c>
      <c r="BA3411" s="20" t="b">
        <v>0</v>
      </c>
      <c r="BB3411" s="10"/>
      <c r="BC3411" s="17">
        <v>12236</v>
      </c>
      <c r="BD3411" s="17">
        <v>8308</v>
      </c>
      <c r="BE3411" s="17">
        <v>203537.25</v>
      </c>
      <c r="BF3411" s="17">
        <v>6.35</v>
      </c>
      <c r="BG3411" s="11">
        <f ca="1">IFERROR(__xludf.DUMMYFUNCTION("""COMPUTED_VALUE"""),46025.75)</f>
        <v>46025.75</v>
      </c>
      <c r="BH3411" s="17" t="s">
        <v>105</v>
      </c>
      <c r="BI3411" s="17"/>
      <c r="BJ3411" s="15"/>
      <c r="BK3411" s="15"/>
      <c r="BL3411" s="13" t="b">
        <v>0</v>
      </c>
      <c r="BM3411" s="10"/>
      <c r="BN3411" s="10" t="s">
        <v>19455</v>
      </c>
      <c r="BO3411" s="11">
        <v>46013.479861111111</v>
      </c>
      <c r="BP3411" s="11">
        <v>46013.480439814812</v>
      </c>
      <c r="BQ3411" s="15">
        <v>46014.571215277778</v>
      </c>
      <c r="BR3411" s="15">
        <v>46021.457777777781</v>
      </c>
      <c r="BS3411" s="10" t="s">
        <v>19455</v>
      </c>
      <c r="BT3411" s="10" t="s">
        <v>99</v>
      </c>
      <c r="BU3411" s="10" t="s">
        <v>421</v>
      </c>
      <c r="BV3411" s="10"/>
      <c r="BW3411" s="10"/>
      <c r="BX3411" s="10"/>
      <c r="BY3411" s="23"/>
      <c r="BZ3411" s="23"/>
      <c r="CA3411" s="19" t="s">
        <v>24215</v>
      </c>
      <c r="CB3411" s="23"/>
      <c r="CC3411" s="23"/>
      <c r="CD3411" s="19" t="s">
        <v>24216</v>
      </c>
      <c r="CE3411" s="23"/>
      <c r="CF3411" s="23"/>
      <c r="CG3411" s="23"/>
      <c r="CH3411" s="23"/>
      <c r="CI3411" s="23"/>
    </row>
    <row r="3412" spans="1:87" x14ac:dyDescent="0.3">
      <c r="A3412" s="9" t="s">
        <v>24217</v>
      </c>
      <c r="B3412" s="10" t="s">
        <v>24218</v>
      </c>
      <c r="C3412" s="11">
        <v>46025.833333333336</v>
      </c>
      <c r="D3412" s="12">
        <v>8.3333333333333329E-2</v>
      </c>
      <c r="E3412" s="11">
        <v>46025.916666666664</v>
      </c>
      <c r="F3412" s="22" t="s">
        <v>16639</v>
      </c>
      <c r="G3412" s="13" t="b">
        <v>0</v>
      </c>
      <c r="H3412" s="22" t="s">
        <v>16543</v>
      </c>
      <c r="I3412" s="10" t="s">
        <v>212</v>
      </c>
      <c r="J3412" s="13" t="b">
        <v>1</v>
      </c>
      <c r="K3412" s="13" t="b">
        <v>0</v>
      </c>
      <c r="L3412" s="10" t="s">
        <v>124</v>
      </c>
      <c r="M3412" s="10" t="s">
        <v>91</v>
      </c>
      <c r="N3412" s="10" t="s">
        <v>92</v>
      </c>
      <c r="O3412" s="19" t="s">
        <v>24219</v>
      </c>
      <c r="P3412" s="10"/>
      <c r="Q3412" s="10" t="s">
        <v>126</v>
      </c>
      <c r="R3412" s="10"/>
      <c r="S3412" s="19" t="s">
        <v>24220</v>
      </c>
      <c r="T3412" s="10"/>
      <c r="U3412" s="10" t="s">
        <v>16671</v>
      </c>
      <c r="V3412" s="10" t="s">
        <v>16547</v>
      </c>
      <c r="W3412" s="10" t="s">
        <v>16644</v>
      </c>
      <c r="X3412" s="10" t="s">
        <v>16549</v>
      </c>
      <c r="Y3412" s="10" t="s">
        <v>16549</v>
      </c>
      <c r="Z3412" s="10" t="s">
        <v>99</v>
      </c>
      <c r="AA3412" s="10" t="s">
        <v>131</v>
      </c>
      <c r="AB3412" s="10" t="s">
        <v>16645</v>
      </c>
      <c r="AC3412" s="10" t="s">
        <v>16551</v>
      </c>
      <c r="AD3412" s="10" t="s">
        <v>24221</v>
      </c>
      <c r="AE3412" s="10" t="s">
        <v>24222</v>
      </c>
      <c r="AF3412" s="15"/>
      <c r="AG3412" s="10"/>
      <c r="AH3412" s="10"/>
      <c r="AI3412" s="10"/>
      <c r="AJ3412" s="10"/>
      <c r="AK3412" s="10" t="s">
        <v>102</v>
      </c>
      <c r="AL3412" s="10"/>
      <c r="AM3412" s="10"/>
      <c r="AN3412" s="10"/>
      <c r="AO3412" s="13" t="b">
        <v>0</v>
      </c>
      <c r="AP3412" s="22" t="s">
        <v>135</v>
      </c>
      <c r="AQ3412" s="10">
        <f ca="1">IFERROR(__xludf.DUMMYFUNCTION("""COMPUTED_VALUE"""),4803432)</f>
        <v>4803432</v>
      </c>
      <c r="AR3412" s="17">
        <v>6895</v>
      </c>
      <c r="AS3412" s="17">
        <v>4880</v>
      </c>
      <c r="AT3412" s="17">
        <v>88132.25</v>
      </c>
      <c r="AU3412" s="17">
        <v>19.5</v>
      </c>
      <c r="AV3412" s="17">
        <v>4.05</v>
      </c>
      <c r="AW3412" s="10" t="s">
        <v>105</v>
      </c>
      <c r="AX3412" s="17">
        <v>2051</v>
      </c>
      <c r="AY3412" s="18">
        <v>18.059887295081968</v>
      </c>
      <c r="AZ3412" s="10" t="s">
        <v>136</v>
      </c>
      <c r="BA3412" s="20" t="b">
        <v>0</v>
      </c>
      <c r="BB3412" s="10"/>
      <c r="BC3412" s="17">
        <v>6895</v>
      </c>
      <c r="BD3412" s="17">
        <v>4880</v>
      </c>
      <c r="BE3412" s="17">
        <v>88132.25</v>
      </c>
      <c r="BF3412" s="17">
        <v>4.05</v>
      </c>
      <c r="BG3412" s="11">
        <f ca="1">IFERROR(__xludf.DUMMYFUNCTION("""COMPUTED_VALUE"""),46025.8333333333)</f>
        <v>46025.833333333299</v>
      </c>
      <c r="BH3412" s="17" t="s">
        <v>105</v>
      </c>
      <c r="BI3412" s="17"/>
      <c r="BJ3412" s="15"/>
      <c r="BK3412" s="15"/>
      <c r="BL3412" s="13" t="b">
        <v>0</v>
      </c>
      <c r="BM3412" s="10"/>
      <c r="BN3412" s="10" t="s">
        <v>19455</v>
      </c>
      <c r="BO3412" s="11">
        <v>46013.481249999997</v>
      </c>
      <c r="BP3412" s="11">
        <v>46013.481446759259</v>
      </c>
      <c r="BQ3412" s="15">
        <v>46014.571400462963</v>
      </c>
      <c r="BR3412" s="15">
        <v>46021.467847222222</v>
      </c>
      <c r="BS3412" s="10" t="s">
        <v>19455</v>
      </c>
      <c r="BT3412" s="10" t="s">
        <v>99</v>
      </c>
      <c r="BU3412" s="10" t="s">
        <v>298</v>
      </c>
      <c r="BV3412" s="10"/>
      <c r="BW3412" s="10"/>
      <c r="BX3412" s="10"/>
      <c r="BY3412" s="23"/>
      <c r="BZ3412" s="23"/>
      <c r="CA3412" s="19" t="s">
        <v>24223</v>
      </c>
      <c r="CB3412" s="23"/>
      <c r="CC3412" s="23"/>
      <c r="CD3412" s="19" t="s">
        <v>24224</v>
      </c>
      <c r="CE3412" s="23"/>
      <c r="CF3412" s="23"/>
      <c r="CG3412" s="23"/>
      <c r="CH3412" s="23"/>
      <c r="CI3412" s="23"/>
    </row>
    <row r="3413" spans="1:87" x14ac:dyDescent="0.3">
      <c r="A3413" s="9" t="s">
        <v>24225</v>
      </c>
      <c r="B3413" s="10" t="s">
        <v>24226</v>
      </c>
      <c r="C3413" s="11">
        <v>46025.916666666664</v>
      </c>
      <c r="D3413" s="12">
        <v>8.3333333333333329E-2</v>
      </c>
      <c r="E3413" s="11">
        <v>46026</v>
      </c>
      <c r="F3413" s="22" t="s">
        <v>16639</v>
      </c>
      <c r="G3413" s="13" t="b">
        <v>0</v>
      </c>
      <c r="H3413" s="22" t="s">
        <v>16543</v>
      </c>
      <c r="I3413" s="10" t="s">
        <v>212</v>
      </c>
      <c r="J3413" s="13" t="b">
        <v>1</v>
      </c>
      <c r="K3413" s="13" t="b">
        <v>0</v>
      </c>
      <c r="L3413" s="10" t="s">
        <v>124</v>
      </c>
      <c r="M3413" s="10" t="s">
        <v>91</v>
      </c>
      <c r="N3413" s="10" t="s">
        <v>92</v>
      </c>
      <c r="O3413" s="19" t="s">
        <v>24227</v>
      </c>
      <c r="P3413" s="10"/>
      <c r="Q3413" s="10" t="s">
        <v>126</v>
      </c>
      <c r="R3413" s="10"/>
      <c r="S3413" s="19" t="s">
        <v>24228</v>
      </c>
      <c r="T3413" s="10"/>
      <c r="U3413" s="10" t="s">
        <v>16643</v>
      </c>
      <c r="V3413" s="10" t="s">
        <v>16642</v>
      </c>
      <c r="W3413" s="10" t="s">
        <v>16644</v>
      </c>
      <c r="X3413" s="10" t="s">
        <v>16549</v>
      </c>
      <c r="Y3413" s="10" t="s">
        <v>16549</v>
      </c>
      <c r="Z3413" s="10" t="s">
        <v>99</v>
      </c>
      <c r="AA3413" s="10" t="s">
        <v>131</v>
      </c>
      <c r="AB3413" s="10" t="s">
        <v>16645</v>
      </c>
      <c r="AC3413" s="10" t="s">
        <v>16551</v>
      </c>
      <c r="AD3413" s="10" t="s">
        <v>24229</v>
      </c>
      <c r="AE3413" s="10" t="s">
        <v>24230</v>
      </c>
      <c r="AF3413" s="15"/>
      <c r="AG3413" s="10"/>
      <c r="AH3413" s="10"/>
      <c r="AI3413" s="10"/>
      <c r="AJ3413" s="10"/>
      <c r="AK3413" s="10" t="s">
        <v>102</v>
      </c>
      <c r="AL3413" s="10"/>
      <c r="AM3413" s="10"/>
      <c r="AN3413" s="10"/>
      <c r="AO3413" s="13" t="b">
        <v>0</v>
      </c>
      <c r="AP3413" s="22" t="s">
        <v>135</v>
      </c>
      <c r="AQ3413" s="10">
        <f ca="1">IFERROR(__xludf.DUMMYFUNCTION("""COMPUTED_VALUE"""),4824474)</f>
        <v>4824474</v>
      </c>
      <c r="AR3413" s="17">
        <v>7735</v>
      </c>
      <c r="AS3413" s="17">
        <v>5194</v>
      </c>
      <c r="AT3413" s="17">
        <v>191622</v>
      </c>
      <c r="AU3413" s="17">
        <v>29.65</v>
      </c>
      <c r="AV3413" s="17">
        <v>5.85</v>
      </c>
      <c r="AW3413" s="10" t="s">
        <v>105</v>
      </c>
      <c r="AX3413" s="17">
        <v>2194</v>
      </c>
      <c r="AY3413" s="18">
        <v>36.892953407778208</v>
      </c>
      <c r="AZ3413" s="10" t="s">
        <v>136</v>
      </c>
      <c r="BA3413" s="20" t="b">
        <v>0</v>
      </c>
      <c r="BB3413" s="10"/>
      <c r="BC3413" s="17">
        <v>7735</v>
      </c>
      <c r="BD3413" s="17">
        <v>5194</v>
      </c>
      <c r="BE3413" s="17">
        <v>191622</v>
      </c>
      <c r="BF3413" s="17">
        <v>5.85</v>
      </c>
      <c r="BG3413" s="11">
        <f ca="1">IFERROR(__xludf.DUMMYFUNCTION("""COMPUTED_VALUE"""),46025.9166666666)</f>
        <v>46025.916666666599</v>
      </c>
      <c r="BH3413" s="17" t="s">
        <v>105</v>
      </c>
      <c r="BI3413" s="17"/>
      <c r="BJ3413" s="15"/>
      <c r="BK3413" s="15"/>
      <c r="BL3413" s="13" t="b">
        <v>0</v>
      </c>
      <c r="BM3413" s="10"/>
      <c r="BN3413" s="10" t="s">
        <v>667</v>
      </c>
      <c r="BO3413" s="11">
        <v>46013.481944444444</v>
      </c>
      <c r="BP3413" s="11">
        <v>46013.482129629629</v>
      </c>
      <c r="BQ3413" s="15">
        <v>46014.571527777778</v>
      </c>
      <c r="BR3413" s="15">
        <v>46023.047777777778</v>
      </c>
      <c r="BS3413" s="10" t="s">
        <v>667</v>
      </c>
      <c r="BT3413" s="10" t="s">
        <v>99</v>
      </c>
      <c r="BU3413" s="10" t="s">
        <v>421</v>
      </c>
      <c r="BV3413" s="10"/>
      <c r="BW3413" s="10"/>
      <c r="BX3413" s="10"/>
      <c r="BY3413" s="23"/>
      <c r="BZ3413" s="23"/>
      <c r="CA3413" s="19" t="s">
        <v>24231</v>
      </c>
      <c r="CB3413" s="23"/>
      <c r="CC3413" s="23"/>
      <c r="CD3413" s="19" t="s">
        <v>24232</v>
      </c>
      <c r="CE3413" s="23"/>
      <c r="CF3413" s="23"/>
      <c r="CG3413" s="23"/>
      <c r="CH3413" s="23"/>
      <c r="CI3413" s="23"/>
    </row>
    <row r="3414" spans="1:87" x14ac:dyDescent="0.3">
      <c r="A3414" s="9" t="s">
        <v>24233</v>
      </c>
      <c r="B3414" s="10" t="s">
        <v>24234</v>
      </c>
      <c r="C3414" s="11">
        <v>46032.75</v>
      </c>
      <c r="D3414" s="12">
        <v>8.3333333333333329E-2</v>
      </c>
      <c r="E3414" s="11">
        <v>46032.833333333336</v>
      </c>
      <c r="F3414" s="22" t="s">
        <v>16639</v>
      </c>
      <c r="G3414" s="13" t="b">
        <v>0</v>
      </c>
      <c r="H3414" s="22" t="s">
        <v>16543</v>
      </c>
      <c r="I3414" s="10" t="s">
        <v>212</v>
      </c>
      <c r="J3414" s="13" t="b">
        <v>1</v>
      </c>
      <c r="K3414" s="13" t="b">
        <v>0</v>
      </c>
      <c r="L3414" s="10" t="s">
        <v>124</v>
      </c>
      <c r="M3414" s="10" t="s">
        <v>91</v>
      </c>
      <c r="N3414" s="10" t="s">
        <v>92</v>
      </c>
      <c r="O3414" s="19" t="s">
        <v>24235</v>
      </c>
      <c r="P3414" s="10"/>
      <c r="Q3414" s="10" t="s">
        <v>126</v>
      </c>
      <c r="R3414" s="10"/>
      <c r="S3414" s="19" t="s">
        <v>24236</v>
      </c>
      <c r="T3414" s="10"/>
      <c r="U3414" s="10" t="s">
        <v>16546</v>
      </c>
      <c r="V3414" s="10" t="s">
        <v>16671</v>
      </c>
      <c r="W3414" s="10" t="s">
        <v>16644</v>
      </c>
      <c r="X3414" s="10" t="s">
        <v>16549</v>
      </c>
      <c r="Y3414" s="10" t="s">
        <v>16549</v>
      </c>
      <c r="Z3414" s="10" t="s">
        <v>99</v>
      </c>
      <c r="AA3414" s="10" t="s">
        <v>131</v>
      </c>
      <c r="AB3414" s="10" t="s">
        <v>16645</v>
      </c>
      <c r="AC3414" s="10" t="s">
        <v>16551</v>
      </c>
      <c r="AD3414" s="10" t="s">
        <v>24237</v>
      </c>
      <c r="AE3414" s="10" t="s">
        <v>24238</v>
      </c>
      <c r="AF3414" s="15"/>
      <c r="AG3414" s="10"/>
      <c r="AH3414" s="10"/>
      <c r="AI3414" s="10"/>
      <c r="AJ3414" s="10"/>
      <c r="AK3414" s="10" t="s">
        <v>102</v>
      </c>
      <c r="AL3414" s="10"/>
      <c r="AM3414" s="10"/>
      <c r="AN3414" s="10"/>
      <c r="AO3414" s="13" t="b">
        <v>0</v>
      </c>
      <c r="AP3414" s="22" t="s">
        <v>135</v>
      </c>
      <c r="AQ3414" s="10">
        <f ca="1">IFERROR(__xludf.DUMMYFUNCTION("""COMPUTED_VALUE"""),4832285)</f>
        <v>4832285</v>
      </c>
      <c r="AR3414" s="17">
        <v>25627</v>
      </c>
      <c r="AS3414" s="17">
        <v>14626</v>
      </c>
      <c r="AT3414" s="17">
        <v>341573.5</v>
      </c>
      <c r="AU3414" s="17">
        <v>71.3</v>
      </c>
      <c r="AV3414" s="17">
        <v>27.15</v>
      </c>
      <c r="AW3414" s="10" t="s">
        <v>105</v>
      </c>
      <c r="AX3414" s="17">
        <v>3942</v>
      </c>
      <c r="AY3414" s="18">
        <v>23.353856146588267</v>
      </c>
      <c r="AZ3414" s="10" t="s">
        <v>136</v>
      </c>
      <c r="BA3414" s="20" t="b">
        <v>0</v>
      </c>
      <c r="BB3414" s="10"/>
      <c r="BC3414" s="17">
        <v>25627</v>
      </c>
      <c r="BD3414" s="17">
        <v>14626</v>
      </c>
      <c r="BE3414" s="17">
        <v>341573.5</v>
      </c>
      <c r="BF3414" s="17">
        <v>27.15</v>
      </c>
      <c r="BG3414" s="11">
        <f ca="1">IFERROR(__xludf.DUMMYFUNCTION("""COMPUTED_VALUE"""),46032.75)</f>
        <v>46032.75</v>
      </c>
      <c r="BH3414" s="17" t="s">
        <v>105</v>
      </c>
      <c r="BI3414" s="17"/>
      <c r="BJ3414" s="15"/>
      <c r="BK3414" s="15"/>
      <c r="BL3414" s="13" t="b">
        <v>0</v>
      </c>
      <c r="BM3414" s="10"/>
      <c r="BN3414" s="10" t="s">
        <v>149</v>
      </c>
      <c r="BO3414" s="11">
        <v>46013.482638888891</v>
      </c>
      <c r="BP3414" s="11">
        <v>46013.482777777775</v>
      </c>
      <c r="BQ3414" s="15">
        <v>46028.440833333334</v>
      </c>
      <c r="BR3414" s="15">
        <v>46029.454780092594</v>
      </c>
      <c r="BS3414" s="10" t="s">
        <v>149</v>
      </c>
      <c r="BT3414" s="10" t="s">
        <v>99</v>
      </c>
      <c r="BU3414" s="10" t="s">
        <v>24239</v>
      </c>
      <c r="BV3414" s="10"/>
      <c r="BW3414" s="10"/>
      <c r="BX3414" s="10"/>
      <c r="BY3414" s="23"/>
      <c r="BZ3414" s="23"/>
      <c r="CA3414" s="19" t="s">
        <v>24240</v>
      </c>
      <c r="CB3414" s="23"/>
      <c r="CC3414" s="23"/>
      <c r="CD3414" s="19" t="s">
        <v>24241</v>
      </c>
      <c r="CE3414" s="23"/>
      <c r="CF3414" s="23"/>
      <c r="CG3414" s="23"/>
      <c r="CH3414" s="23"/>
      <c r="CI3414" s="23"/>
    </row>
    <row r="3415" spans="1:87" x14ac:dyDescent="0.3">
      <c r="A3415" s="9" t="s">
        <v>24242</v>
      </c>
      <c r="B3415" s="10" t="s">
        <v>24243</v>
      </c>
      <c r="C3415" s="11">
        <v>46032.958333333336</v>
      </c>
      <c r="D3415" s="12">
        <v>8.3333333333333329E-2</v>
      </c>
      <c r="E3415" s="11">
        <v>46033.041666666664</v>
      </c>
      <c r="F3415" s="22" t="s">
        <v>16639</v>
      </c>
      <c r="G3415" s="13" t="b">
        <v>0</v>
      </c>
      <c r="H3415" s="22" t="s">
        <v>16543</v>
      </c>
      <c r="I3415" s="10" t="s">
        <v>212</v>
      </c>
      <c r="J3415" s="13" t="b">
        <v>1</v>
      </c>
      <c r="K3415" s="13" t="b">
        <v>0</v>
      </c>
      <c r="L3415" s="10" t="s">
        <v>124</v>
      </c>
      <c r="M3415" s="10" t="s">
        <v>91</v>
      </c>
      <c r="N3415" s="10" t="s">
        <v>92</v>
      </c>
      <c r="O3415" s="19" t="s">
        <v>24244</v>
      </c>
      <c r="P3415" s="10"/>
      <c r="Q3415" s="10" t="s">
        <v>126</v>
      </c>
      <c r="R3415" s="10"/>
      <c r="S3415" s="19" t="s">
        <v>24245</v>
      </c>
      <c r="T3415" s="10"/>
      <c r="U3415" s="10" t="s">
        <v>16547</v>
      </c>
      <c r="V3415" s="10" t="s">
        <v>16594</v>
      </c>
      <c r="W3415" s="10" t="s">
        <v>16644</v>
      </c>
      <c r="X3415" s="10" t="s">
        <v>16549</v>
      </c>
      <c r="Y3415" s="10" t="s">
        <v>16549</v>
      </c>
      <c r="Z3415" s="10" t="s">
        <v>99</v>
      </c>
      <c r="AA3415" s="10" t="s">
        <v>131</v>
      </c>
      <c r="AB3415" s="10" t="s">
        <v>16645</v>
      </c>
      <c r="AC3415" s="10" t="s">
        <v>16551</v>
      </c>
      <c r="AD3415" s="10" t="s">
        <v>16603</v>
      </c>
      <c r="AE3415" s="10" t="s">
        <v>24246</v>
      </c>
      <c r="AF3415" s="15"/>
      <c r="AG3415" s="10"/>
      <c r="AH3415" s="10"/>
      <c r="AI3415" s="10"/>
      <c r="AJ3415" s="10"/>
      <c r="AK3415" s="10" t="s">
        <v>102</v>
      </c>
      <c r="AL3415" s="10"/>
      <c r="AM3415" s="10"/>
      <c r="AN3415" s="10"/>
      <c r="AO3415" s="13" t="b">
        <v>0</v>
      </c>
      <c r="AP3415" s="22" t="s">
        <v>135</v>
      </c>
      <c r="AQ3415" s="10">
        <f ca="1">IFERROR(__xludf.DUMMYFUNCTION("""COMPUTED_VALUE"""),4832301)</f>
        <v>4832301</v>
      </c>
      <c r="AR3415" s="17"/>
      <c r="AS3415" s="17"/>
      <c r="AT3415" s="17"/>
      <c r="AU3415" s="17"/>
      <c r="AV3415" s="17"/>
      <c r="AW3415" s="10"/>
      <c r="AX3415" s="17"/>
      <c r="AY3415" s="18" t="s">
        <v>257</v>
      </c>
      <c r="AZ3415" s="10" t="s">
        <v>136</v>
      </c>
      <c r="BA3415" s="20" t="b">
        <v>0</v>
      </c>
      <c r="BB3415" s="10"/>
      <c r="BC3415" s="17" t="s">
        <v>257</v>
      </c>
      <c r="BD3415" s="17" t="s">
        <v>257</v>
      </c>
      <c r="BE3415" s="17" t="s">
        <v>257</v>
      </c>
      <c r="BF3415" s="17" t="s">
        <v>257</v>
      </c>
      <c r="BG3415" s="11">
        <f ca="1">IFERROR(__xludf.DUMMYFUNCTION("""COMPUTED_VALUE"""),46032.9583333333)</f>
        <v>46032.958333333299</v>
      </c>
      <c r="BH3415" s="17"/>
      <c r="BI3415" s="17"/>
      <c r="BJ3415" s="15"/>
      <c r="BK3415" s="15"/>
      <c r="BL3415" s="13" t="b">
        <v>0</v>
      </c>
      <c r="BM3415" s="10"/>
      <c r="BN3415" s="10" t="s">
        <v>149</v>
      </c>
      <c r="BO3415" s="11">
        <v>46013.48333333333</v>
      </c>
      <c r="BP3415" s="11">
        <v>46013.483368055553</v>
      </c>
      <c r="BQ3415" s="15">
        <v>46028.440625000003</v>
      </c>
      <c r="BR3415" s="15">
        <v>46029.476875</v>
      </c>
      <c r="BS3415" s="10" t="s">
        <v>149</v>
      </c>
      <c r="BT3415" s="10" t="s">
        <v>99</v>
      </c>
      <c r="BU3415" s="10" t="s">
        <v>421</v>
      </c>
      <c r="BV3415" s="10"/>
      <c r="BW3415" s="10"/>
      <c r="BX3415" s="10"/>
      <c r="BY3415" s="23"/>
      <c r="BZ3415" s="23"/>
      <c r="CA3415" s="19" t="s">
        <v>24247</v>
      </c>
      <c r="CB3415" s="23"/>
      <c r="CC3415" s="23"/>
      <c r="CD3415" s="19" t="s">
        <v>24248</v>
      </c>
      <c r="CE3415" s="23"/>
      <c r="CF3415" s="23"/>
      <c r="CG3415" s="23"/>
      <c r="CH3415" s="23"/>
      <c r="CI3415" s="23"/>
    </row>
    <row r="3416" spans="1:87" x14ac:dyDescent="0.3">
      <c r="A3416" s="9" t="s">
        <v>24249</v>
      </c>
      <c r="B3416" s="10" t="s">
        <v>24250</v>
      </c>
      <c r="C3416" s="11">
        <v>46033.75</v>
      </c>
      <c r="D3416" s="12">
        <v>8.3333333333333329E-2</v>
      </c>
      <c r="E3416" s="11">
        <v>46033.833333333336</v>
      </c>
      <c r="F3416" s="22" t="s">
        <v>16639</v>
      </c>
      <c r="G3416" s="13" t="b">
        <v>0</v>
      </c>
      <c r="H3416" s="22" t="s">
        <v>16543</v>
      </c>
      <c r="I3416" s="10" t="s">
        <v>212</v>
      </c>
      <c r="J3416" s="13" t="b">
        <v>1</v>
      </c>
      <c r="K3416" s="13" t="b">
        <v>0</v>
      </c>
      <c r="L3416" s="10" t="s">
        <v>124</v>
      </c>
      <c r="M3416" s="10" t="s">
        <v>91</v>
      </c>
      <c r="N3416" s="10" t="s">
        <v>92</v>
      </c>
      <c r="O3416" s="19" t="s">
        <v>24251</v>
      </c>
      <c r="P3416" s="10"/>
      <c r="Q3416" s="10" t="s">
        <v>126</v>
      </c>
      <c r="R3416" s="10"/>
      <c r="S3416" s="19" t="s">
        <v>24252</v>
      </c>
      <c r="T3416" s="10"/>
      <c r="U3416" s="10" t="s">
        <v>16570</v>
      </c>
      <c r="V3416" s="10" t="s">
        <v>16643</v>
      </c>
      <c r="W3416" s="10" t="s">
        <v>16644</v>
      </c>
      <c r="X3416" s="10" t="s">
        <v>16549</v>
      </c>
      <c r="Y3416" s="10" t="s">
        <v>16549</v>
      </c>
      <c r="Z3416" s="10" t="s">
        <v>99</v>
      </c>
      <c r="AA3416" s="10" t="s">
        <v>131</v>
      </c>
      <c r="AB3416" s="10" t="s">
        <v>16645</v>
      </c>
      <c r="AC3416" s="10" t="s">
        <v>16551</v>
      </c>
      <c r="AD3416" s="10" t="s">
        <v>24253</v>
      </c>
      <c r="AE3416" s="10" t="s">
        <v>24254</v>
      </c>
      <c r="AF3416" s="15"/>
      <c r="AG3416" s="10"/>
      <c r="AH3416" s="10"/>
      <c r="AI3416" s="10"/>
      <c r="AJ3416" s="10"/>
      <c r="AK3416" s="10" t="s">
        <v>102</v>
      </c>
      <c r="AL3416" s="10"/>
      <c r="AM3416" s="10"/>
      <c r="AN3416" s="10"/>
      <c r="AO3416" s="13" t="b">
        <v>0</v>
      </c>
      <c r="AP3416" s="22" t="s">
        <v>135</v>
      </c>
      <c r="AQ3416" s="10">
        <f ca="1">IFERROR(__xludf.DUMMYFUNCTION("""COMPUTED_VALUE"""),4832831)</f>
        <v>4832831</v>
      </c>
      <c r="AR3416" s="17"/>
      <c r="AS3416" s="17"/>
      <c r="AT3416" s="17"/>
      <c r="AU3416" s="17"/>
      <c r="AV3416" s="17"/>
      <c r="AW3416" s="10"/>
      <c r="AX3416" s="17"/>
      <c r="AY3416" s="18" t="s">
        <v>257</v>
      </c>
      <c r="AZ3416" s="10" t="s">
        <v>136</v>
      </c>
      <c r="BA3416" s="20" t="b">
        <v>0</v>
      </c>
      <c r="BB3416" s="10"/>
      <c r="BC3416" s="17" t="s">
        <v>257</v>
      </c>
      <c r="BD3416" s="17" t="s">
        <v>257</v>
      </c>
      <c r="BE3416" s="17" t="s">
        <v>257</v>
      </c>
      <c r="BF3416" s="17" t="s">
        <v>257</v>
      </c>
      <c r="BG3416" s="11">
        <f ca="1">IFERROR(__xludf.DUMMYFUNCTION("""COMPUTED_VALUE"""),46033.75)</f>
        <v>46033.75</v>
      </c>
      <c r="BH3416" s="17"/>
      <c r="BI3416" s="17"/>
      <c r="BJ3416" s="15"/>
      <c r="BK3416" s="15"/>
      <c r="BL3416" s="13" t="b">
        <v>0</v>
      </c>
      <c r="BM3416" s="10"/>
      <c r="BN3416" s="10" t="s">
        <v>634</v>
      </c>
      <c r="BO3416" s="11">
        <v>46013.484027777777</v>
      </c>
      <c r="BP3416" s="11">
        <v>46013.484178240738</v>
      </c>
      <c r="BQ3416" s="15">
        <v>46028.440995370373</v>
      </c>
      <c r="BR3416" s="15">
        <v>46030.574328703704</v>
      </c>
      <c r="BS3416" s="10" t="s">
        <v>634</v>
      </c>
      <c r="BT3416" s="10" t="s">
        <v>99</v>
      </c>
      <c r="BU3416" s="10" t="s">
        <v>5854</v>
      </c>
      <c r="BV3416" s="10"/>
      <c r="BW3416" s="10"/>
      <c r="BX3416" s="10"/>
      <c r="BY3416" s="23"/>
      <c r="BZ3416" s="23"/>
      <c r="CA3416" s="19" t="s">
        <v>24255</v>
      </c>
      <c r="CB3416" s="23"/>
      <c r="CC3416" s="23"/>
      <c r="CD3416" s="19" t="s">
        <v>24256</v>
      </c>
      <c r="CE3416" s="23"/>
      <c r="CF3416" s="23"/>
      <c r="CG3416" s="23"/>
      <c r="CH3416" s="23"/>
      <c r="CI3416" s="23"/>
    </row>
    <row r="3417" spans="1:87" x14ac:dyDescent="0.3">
      <c r="A3417" s="9" t="s">
        <v>24257</v>
      </c>
      <c r="B3417" s="10" t="s">
        <v>24258</v>
      </c>
      <c r="C3417" s="11">
        <v>46039.75</v>
      </c>
      <c r="D3417" s="12">
        <v>8.3333333333333329E-2</v>
      </c>
      <c r="E3417" s="11">
        <v>46039.833333333336</v>
      </c>
      <c r="F3417" s="22" t="s">
        <v>16639</v>
      </c>
      <c r="G3417" s="13" t="b">
        <v>0</v>
      </c>
      <c r="H3417" s="22" t="s">
        <v>16543</v>
      </c>
      <c r="I3417" s="10" t="s">
        <v>212</v>
      </c>
      <c r="J3417" s="13" t="b">
        <v>1</v>
      </c>
      <c r="K3417" s="13" t="b">
        <v>0</v>
      </c>
      <c r="L3417" s="10" t="s">
        <v>124</v>
      </c>
      <c r="M3417" s="10" t="s">
        <v>91</v>
      </c>
      <c r="N3417" s="10" t="s">
        <v>92</v>
      </c>
      <c r="O3417" s="10"/>
      <c r="P3417" s="10"/>
      <c r="Q3417" s="10" t="s">
        <v>126</v>
      </c>
      <c r="R3417" s="10"/>
      <c r="S3417" s="10"/>
      <c r="T3417" s="10"/>
      <c r="U3417" s="10" t="s">
        <v>16671</v>
      </c>
      <c r="V3417" s="10" t="s">
        <v>16642</v>
      </c>
      <c r="W3417" s="10" t="s">
        <v>16644</v>
      </c>
      <c r="X3417" s="10" t="s">
        <v>16549</v>
      </c>
      <c r="Y3417" s="10" t="s">
        <v>16549</v>
      </c>
      <c r="Z3417" s="10" t="s">
        <v>99</v>
      </c>
      <c r="AA3417" s="10" t="s">
        <v>131</v>
      </c>
      <c r="AB3417" s="10" t="s">
        <v>16645</v>
      </c>
      <c r="AC3417" s="10" t="s">
        <v>16551</v>
      </c>
      <c r="AD3417" s="10" t="s">
        <v>24259</v>
      </c>
      <c r="AE3417" s="10" t="s">
        <v>24260</v>
      </c>
      <c r="AF3417" s="15"/>
      <c r="AG3417" s="10"/>
      <c r="AH3417" s="10"/>
      <c r="AI3417" s="10"/>
      <c r="AJ3417" s="10"/>
      <c r="AK3417" s="10"/>
      <c r="AL3417" s="10"/>
      <c r="AM3417" s="10"/>
      <c r="AN3417" s="10"/>
      <c r="AO3417" s="13" t="b">
        <v>0</v>
      </c>
      <c r="AP3417" s="22" t="s">
        <v>135</v>
      </c>
      <c r="AQ3417" s="10"/>
      <c r="AR3417" s="17"/>
      <c r="AS3417" s="17"/>
      <c r="AT3417" s="17"/>
      <c r="AU3417" s="17"/>
      <c r="AV3417" s="17"/>
      <c r="AW3417" s="10"/>
      <c r="AX3417" s="17"/>
      <c r="AY3417" s="18" t="s">
        <v>257</v>
      </c>
      <c r="AZ3417" s="10"/>
      <c r="BA3417" s="20" t="b">
        <v>0</v>
      </c>
      <c r="BB3417" s="10"/>
      <c r="BC3417" s="17" t="s">
        <v>257</v>
      </c>
      <c r="BD3417" s="17" t="s">
        <v>257</v>
      </c>
      <c r="BE3417" s="17" t="s">
        <v>257</v>
      </c>
      <c r="BF3417" s="17" t="s">
        <v>257</v>
      </c>
      <c r="BG3417" s="11">
        <f ca="1">IFERROR(__xludf.DUMMYFUNCTION("""COMPUTED_VALUE"""),46039.75)</f>
        <v>46039.75</v>
      </c>
      <c r="BH3417" s="17"/>
      <c r="BI3417" s="17"/>
      <c r="BJ3417" s="15"/>
      <c r="BK3417" s="15"/>
      <c r="BL3417" s="13" t="b">
        <v>0</v>
      </c>
      <c r="BM3417" s="10"/>
      <c r="BN3417" s="10" t="s">
        <v>18456</v>
      </c>
      <c r="BO3417" s="11">
        <v>46013.484722222223</v>
      </c>
      <c r="BP3417" s="11">
        <v>46013.484942129631</v>
      </c>
      <c r="BQ3417" s="15"/>
      <c r="BR3417" s="15"/>
      <c r="BS3417" s="10"/>
      <c r="BT3417" s="10" t="s">
        <v>99</v>
      </c>
      <c r="BU3417" s="10"/>
      <c r="BV3417" s="10"/>
      <c r="BW3417" s="10"/>
      <c r="BX3417" s="10"/>
      <c r="BY3417" s="23"/>
      <c r="BZ3417" s="23"/>
      <c r="CA3417" s="19" t="s">
        <v>24261</v>
      </c>
      <c r="CB3417" s="23"/>
      <c r="CC3417" s="23"/>
      <c r="CD3417" s="23"/>
      <c r="CE3417" s="23"/>
      <c r="CF3417" s="23"/>
      <c r="CG3417" s="23"/>
      <c r="CH3417" s="23"/>
      <c r="CI3417" s="23"/>
    </row>
    <row r="3418" spans="1:87" x14ac:dyDescent="0.3">
      <c r="A3418" s="9" t="s">
        <v>24262</v>
      </c>
      <c r="B3418" s="10" t="s">
        <v>24263</v>
      </c>
      <c r="C3418" s="11">
        <v>46039.958333333336</v>
      </c>
      <c r="D3418" s="12">
        <v>8.3333333333333329E-2</v>
      </c>
      <c r="E3418" s="11">
        <v>46040.041666666664</v>
      </c>
      <c r="F3418" s="22" t="s">
        <v>16639</v>
      </c>
      <c r="G3418" s="13" t="b">
        <v>0</v>
      </c>
      <c r="H3418" s="22" t="s">
        <v>16543</v>
      </c>
      <c r="I3418" s="10" t="s">
        <v>212</v>
      </c>
      <c r="J3418" s="13" t="b">
        <v>1</v>
      </c>
      <c r="K3418" s="13" t="b">
        <v>0</v>
      </c>
      <c r="L3418" s="10" t="s">
        <v>124</v>
      </c>
      <c r="M3418" s="10" t="s">
        <v>91</v>
      </c>
      <c r="N3418" s="10" t="s">
        <v>92</v>
      </c>
      <c r="O3418" s="10"/>
      <c r="P3418" s="10"/>
      <c r="Q3418" s="10" t="s">
        <v>126</v>
      </c>
      <c r="R3418" s="10"/>
      <c r="S3418" s="10"/>
      <c r="T3418" s="10"/>
      <c r="U3418" s="10" t="s">
        <v>16547</v>
      </c>
      <c r="V3418" s="10" t="s">
        <v>16586</v>
      </c>
      <c r="W3418" s="10" t="s">
        <v>16644</v>
      </c>
      <c r="X3418" s="10" t="s">
        <v>16549</v>
      </c>
      <c r="Y3418" s="10" t="s">
        <v>16549</v>
      </c>
      <c r="Z3418" s="10" t="s">
        <v>99</v>
      </c>
      <c r="AA3418" s="10" t="s">
        <v>131</v>
      </c>
      <c r="AB3418" s="10" t="s">
        <v>16645</v>
      </c>
      <c r="AC3418" s="10" t="s">
        <v>16551</v>
      </c>
      <c r="AD3418" s="10" t="s">
        <v>24264</v>
      </c>
      <c r="AE3418" s="10" t="s">
        <v>24265</v>
      </c>
      <c r="AF3418" s="15"/>
      <c r="AG3418" s="10"/>
      <c r="AH3418" s="10"/>
      <c r="AI3418" s="10"/>
      <c r="AJ3418" s="10"/>
      <c r="AK3418" s="10"/>
      <c r="AL3418" s="10"/>
      <c r="AM3418" s="10"/>
      <c r="AN3418" s="10"/>
      <c r="AO3418" s="13" t="b">
        <v>0</v>
      </c>
      <c r="AP3418" s="22" t="s">
        <v>135</v>
      </c>
      <c r="AQ3418" s="10"/>
      <c r="AR3418" s="17"/>
      <c r="AS3418" s="17"/>
      <c r="AT3418" s="17"/>
      <c r="AU3418" s="17"/>
      <c r="AV3418" s="17"/>
      <c r="AW3418" s="10"/>
      <c r="AX3418" s="17"/>
      <c r="AY3418" s="18" t="s">
        <v>257</v>
      </c>
      <c r="AZ3418" s="10"/>
      <c r="BA3418" s="20" t="b">
        <v>0</v>
      </c>
      <c r="BB3418" s="10"/>
      <c r="BC3418" s="17" t="s">
        <v>257</v>
      </c>
      <c r="BD3418" s="17" t="s">
        <v>257</v>
      </c>
      <c r="BE3418" s="17" t="s">
        <v>257</v>
      </c>
      <c r="BF3418" s="17" t="s">
        <v>257</v>
      </c>
      <c r="BG3418" s="11">
        <f ca="1">IFERROR(__xludf.DUMMYFUNCTION("""COMPUTED_VALUE"""),46039.9583333333)</f>
        <v>46039.958333333299</v>
      </c>
      <c r="BH3418" s="17"/>
      <c r="BI3418" s="17"/>
      <c r="BJ3418" s="15"/>
      <c r="BK3418" s="15"/>
      <c r="BL3418" s="13" t="b">
        <v>0</v>
      </c>
      <c r="BM3418" s="10"/>
      <c r="BN3418" s="10" t="s">
        <v>18456</v>
      </c>
      <c r="BO3418" s="11">
        <v>46013.48541666667</v>
      </c>
      <c r="BP3418" s="11">
        <v>46013.485763888886</v>
      </c>
      <c r="BQ3418" s="15"/>
      <c r="BR3418" s="15"/>
      <c r="BS3418" s="10"/>
      <c r="BT3418" s="10" t="s">
        <v>99</v>
      </c>
      <c r="BU3418" s="10"/>
      <c r="BV3418" s="10"/>
      <c r="BW3418" s="10"/>
      <c r="BX3418" s="10"/>
      <c r="BY3418" s="23"/>
      <c r="BZ3418" s="23"/>
      <c r="CA3418" s="19" t="s">
        <v>24266</v>
      </c>
      <c r="CB3418" s="23"/>
      <c r="CC3418" s="23"/>
      <c r="CD3418" s="23"/>
      <c r="CE3418" s="23"/>
      <c r="CF3418" s="23"/>
      <c r="CG3418" s="23"/>
      <c r="CH3418" s="23"/>
      <c r="CI3418" s="23"/>
    </row>
    <row r="3419" spans="1:87" x14ac:dyDescent="0.3">
      <c r="A3419" s="9" t="s">
        <v>24267</v>
      </c>
      <c r="B3419" s="10" t="s">
        <v>24268</v>
      </c>
      <c r="C3419" s="11">
        <v>46040.958333333336</v>
      </c>
      <c r="D3419" s="12">
        <v>8.3333333333333329E-2</v>
      </c>
      <c r="E3419" s="11">
        <v>46041.041666666664</v>
      </c>
      <c r="F3419" s="22" t="s">
        <v>16639</v>
      </c>
      <c r="G3419" s="13" t="b">
        <v>0</v>
      </c>
      <c r="H3419" s="22" t="s">
        <v>16543</v>
      </c>
      <c r="I3419" s="10" t="s">
        <v>212</v>
      </c>
      <c r="J3419" s="13" t="b">
        <v>1</v>
      </c>
      <c r="K3419" s="13" t="b">
        <v>0</v>
      </c>
      <c r="L3419" s="10" t="s">
        <v>124</v>
      </c>
      <c r="M3419" s="10" t="s">
        <v>91</v>
      </c>
      <c r="N3419" s="10" t="s">
        <v>92</v>
      </c>
      <c r="O3419" s="10"/>
      <c r="P3419" s="10"/>
      <c r="Q3419" s="10" t="s">
        <v>126</v>
      </c>
      <c r="R3419" s="10"/>
      <c r="S3419" s="10"/>
      <c r="T3419" s="10"/>
      <c r="U3419" s="10" t="s">
        <v>16643</v>
      </c>
      <c r="V3419" s="10" t="s">
        <v>16680</v>
      </c>
      <c r="W3419" s="10" t="s">
        <v>16644</v>
      </c>
      <c r="X3419" s="10" t="s">
        <v>16549</v>
      </c>
      <c r="Y3419" s="10" t="s">
        <v>16549</v>
      </c>
      <c r="Z3419" s="10" t="s">
        <v>99</v>
      </c>
      <c r="AA3419" s="10" t="s">
        <v>131</v>
      </c>
      <c r="AB3419" s="10" t="s">
        <v>16645</v>
      </c>
      <c r="AC3419" s="10" t="s">
        <v>16551</v>
      </c>
      <c r="AD3419" s="10" t="s">
        <v>24269</v>
      </c>
      <c r="AE3419" s="10" t="s">
        <v>24270</v>
      </c>
      <c r="AF3419" s="15"/>
      <c r="AG3419" s="10"/>
      <c r="AH3419" s="10"/>
      <c r="AI3419" s="10"/>
      <c r="AJ3419" s="10"/>
      <c r="AK3419" s="10"/>
      <c r="AL3419" s="10"/>
      <c r="AM3419" s="10"/>
      <c r="AN3419" s="10"/>
      <c r="AO3419" s="13" t="b">
        <v>0</v>
      </c>
      <c r="AP3419" s="22" t="s">
        <v>135</v>
      </c>
      <c r="AQ3419" s="10"/>
      <c r="AR3419" s="17"/>
      <c r="AS3419" s="17"/>
      <c r="AT3419" s="17"/>
      <c r="AU3419" s="17"/>
      <c r="AV3419" s="17"/>
      <c r="AW3419" s="10"/>
      <c r="AX3419" s="17"/>
      <c r="AY3419" s="18" t="s">
        <v>257</v>
      </c>
      <c r="AZ3419" s="10"/>
      <c r="BA3419" s="20" t="b">
        <v>0</v>
      </c>
      <c r="BB3419" s="10"/>
      <c r="BC3419" s="17" t="s">
        <v>257</v>
      </c>
      <c r="BD3419" s="17" t="s">
        <v>257</v>
      </c>
      <c r="BE3419" s="17" t="s">
        <v>257</v>
      </c>
      <c r="BF3419" s="17" t="s">
        <v>257</v>
      </c>
      <c r="BG3419" s="11">
        <f ca="1">IFERROR(__xludf.DUMMYFUNCTION("""COMPUTED_VALUE"""),46040.9583333333)</f>
        <v>46040.958333333299</v>
      </c>
      <c r="BH3419" s="17"/>
      <c r="BI3419" s="17"/>
      <c r="BJ3419" s="15"/>
      <c r="BK3419" s="15"/>
      <c r="BL3419" s="13" t="b">
        <v>0</v>
      </c>
      <c r="BM3419" s="10"/>
      <c r="BN3419" s="10" t="s">
        <v>18456</v>
      </c>
      <c r="BO3419" s="11">
        <v>46013.486111111109</v>
      </c>
      <c r="BP3419" s="11">
        <v>46013.486504629633</v>
      </c>
      <c r="BQ3419" s="15"/>
      <c r="BR3419" s="15"/>
      <c r="BS3419" s="10"/>
      <c r="BT3419" s="10" t="s">
        <v>99</v>
      </c>
      <c r="BU3419" s="10"/>
      <c r="BV3419" s="10"/>
      <c r="BW3419" s="10"/>
      <c r="BX3419" s="10"/>
      <c r="BY3419" s="23"/>
      <c r="BZ3419" s="23"/>
      <c r="CA3419" s="19" t="s">
        <v>24271</v>
      </c>
      <c r="CB3419" s="23"/>
      <c r="CC3419" s="23"/>
      <c r="CD3419" s="23"/>
      <c r="CE3419" s="23"/>
      <c r="CF3419" s="23"/>
      <c r="CG3419" s="23"/>
      <c r="CH3419" s="23"/>
      <c r="CI3419" s="23"/>
    </row>
    <row r="3420" spans="1:87" x14ac:dyDescent="0.3">
      <c r="A3420" s="25" t="s">
        <v>24272</v>
      </c>
      <c r="B3420" s="10" t="s">
        <v>24273</v>
      </c>
      <c r="C3420" s="11">
        <v>46033.958333333336</v>
      </c>
      <c r="D3420" s="12">
        <v>8.3333333333333329E-2</v>
      </c>
      <c r="E3420" s="11">
        <v>46034.041666666664</v>
      </c>
      <c r="F3420" s="22" t="s">
        <v>16719</v>
      </c>
      <c r="G3420" s="13" t="b">
        <v>0</v>
      </c>
      <c r="H3420" s="22" t="s">
        <v>16543</v>
      </c>
      <c r="I3420" s="10" t="s">
        <v>212</v>
      </c>
      <c r="J3420" s="13" t="b">
        <v>1</v>
      </c>
      <c r="K3420" s="13" t="b">
        <v>0</v>
      </c>
      <c r="L3420" s="10" t="s">
        <v>124</v>
      </c>
      <c r="M3420" s="10" t="s">
        <v>91</v>
      </c>
      <c r="N3420" s="10" t="s">
        <v>92</v>
      </c>
      <c r="O3420" s="19" t="s">
        <v>24274</v>
      </c>
      <c r="P3420" s="10"/>
      <c r="Q3420" s="10" t="s">
        <v>126</v>
      </c>
      <c r="R3420" s="10"/>
      <c r="S3420" s="19" t="s">
        <v>24275</v>
      </c>
      <c r="T3420" s="10"/>
      <c r="U3420" s="10" t="s">
        <v>16733</v>
      </c>
      <c r="V3420" s="10" t="s">
        <v>16732</v>
      </c>
      <c r="W3420" s="10" t="s">
        <v>16644</v>
      </c>
      <c r="X3420" s="10" t="s">
        <v>16549</v>
      </c>
      <c r="Y3420" s="10" t="s">
        <v>16549</v>
      </c>
      <c r="Z3420" s="10" t="s">
        <v>99</v>
      </c>
      <c r="AA3420" s="10" t="s">
        <v>131</v>
      </c>
      <c r="AB3420" s="10" t="s">
        <v>16645</v>
      </c>
      <c r="AC3420" s="10" t="s">
        <v>16551</v>
      </c>
      <c r="AD3420" s="10" t="s">
        <v>24276</v>
      </c>
      <c r="AE3420" s="10" t="s">
        <v>24277</v>
      </c>
      <c r="AF3420" s="15"/>
      <c r="AG3420" s="10"/>
      <c r="AH3420" s="10"/>
      <c r="AI3420" s="10"/>
      <c r="AJ3420" s="10"/>
      <c r="AK3420" s="10" t="s">
        <v>102</v>
      </c>
      <c r="AL3420" s="10"/>
      <c r="AM3420" s="10"/>
      <c r="AN3420" s="10"/>
      <c r="AO3420" s="13" t="b">
        <v>0</v>
      </c>
      <c r="AP3420" s="22" t="s">
        <v>104</v>
      </c>
      <c r="AQ3420" s="10">
        <f ca="1">IFERROR(__xludf.DUMMYFUNCTION("""COMPUTED_VALUE"""),4832832)</f>
        <v>4832832</v>
      </c>
      <c r="AR3420" s="17"/>
      <c r="AS3420" s="17"/>
      <c r="AT3420" s="17"/>
      <c r="AU3420" s="17"/>
      <c r="AV3420" s="17"/>
      <c r="AW3420" s="10"/>
      <c r="AX3420" s="17"/>
      <c r="AY3420" s="18" t="s">
        <v>257</v>
      </c>
      <c r="AZ3420" s="10" t="s">
        <v>136</v>
      </c>
      <c r="BA3420" s="20" t="b">
        <v>0</v>
      </c>
      <c r="BB3420" s="10"/>
      <c r="BC3420" s="17" t="s">
        <v>257</v>
      </c>
      <c r="BD3420" s="17" t="s">
        <v>257</v>
      </c>
      <c r="BE3420" s="17" t="s">
        <v>257</v>
      </c>
      <c r="BF3420" s="17" t="s">
        <v>257</v>
      </c>
      <c r="BG3420" s="11">
        <f ca="1">IFERROR(__xludf.DUMMYFUNCTION("""COMPUTED_VALUE"""),46033.9583333333)</f>
        <v>46033.958333333299</v>
      </c>
      <c r="BH3420" s="17"/>
      <c r="BI3420" s="17"/>
      <c r="BJ3420" s="15"/>
      <c r="BK3420" s="15"/>
      <c r="BL3420" s="13" t="b">
        <v>0</v>
      </c>
      <c r="BM3420" s="10"/>
      <c r="BN3420" s="10" t="s">
        <v>634</v>
      </c>
      <c r="BO3420" s="11">
        <v>46013.486805555556</v>
      </c>
      <c r="BP3420" s="11">
        <v>46013.487222222226</v>
      </c>
      <c r="BQ3420" s="15">
        <v>46028.441168981481</v>
      </c>
      <c r="BR3420" s="15">
        <v>46030.574456018519</v>
      </c>
      <c r="BS3420" s="10" t="s">
        <v>634</v>
      </c>
      <c r="BT3420" s="10" t="s">
        <v>99</v>
      </c>
      <c r="BU3420" s="10" t="s">
        <v>5854</v>
      </c>
      <c r="BV3420" s="10"/>
      <c r="BW3420" s="10"/>
      <c r="BX3420" s="10"/>
      <c r="BY3420" s="23"/>
      <c r="BZ3420" s="23"/>
      <c r="CA3420" s="19" t="s">
        <v>24278</v>
      </c>
      <c r="CB3420" s="23"/>
      <c r="CC3420" s="23"/>
      <c r="CD3420" s="19" t="s">
        <v>24279</v>
      </c>
      <c r="CE3420" s="23"/>
      <c r="CF3420" s="23"/>
      <c r="CG3420" s="23"/>
      <c r="CH3420" s="23"/>
      <c r="CI3420" s="23"/>
    </row>
    <row r="3421" spans="1:87" x14ac:dyDescent="0.3">
      <c r="A3421" s="9" t="s">
        <v>24280</v>
      </c>
      <c r="B3421" s="10" t="s">
        <v>24281</v>
      </c>
      <c r="C3421" s="11">
        <v>46040.75</v>
      </c>
      <c r="D3421" s="12">
        <v>8.3333333333333329E-2</v>
      </c>
      <c r="E3421" s="11">
        <v>46040.833333333336</v>
      </c>
      <c r="F3421" s="22" t="s">
        <v>16719</v>
      </c>
      <c r="G3421" s="13" t="b">
        <v>0</v>
      </c>
      <c r="H3421" s="22" t="s">
        <v>16543</v>
      </c>
      <c r="I3421" s="10" t="s">
        <v>212</v>
      </c>
      <c r="J3421" s="13" t="b">
        <v>1</v>
      </c>
      <c r="K3421" s="13" t="b">
        <v>0</v>
      </c>
      <c r="L3421" s="10" t="s">
        <v>124</v>
      </c>
      <c r="M3421" s="10" t="s">
        <v>91</v>
      </c>
      <c r="N3421" s="10" t="s">
        <v>92</v>
      </c>
      <c r="O3421" s="10"/>
      <c r="P3421" s="10"/>
      <c r="Q3421" s="10" t="s">
        <v>126</v>
      </c>
      <c r="R3421" s="10"/>
      <c r="S3421" s="10"/>
      <c r="T3421" s="10"/>
      <c r="U3421" s="10" t="s">
        <v>16751</v>
      </c>
      <c r="V3421" s="10" t="s">
        <v>16733</v>
      </c>
      <c r="W3421" s="10" t="s">
        <v>16644</v>
      </c>
      <c r="X3421" s="10" t="s">
        <v>16549</v>
      </c>
      <c r="Y3421" s="10" t="s">
        <v>16549</v>
      </c>
      <c r="Z3421" s="10" t="s">
        <v>99</v>
      </c>
      <c r="AA3421" s="10" t="s">
        <v>131</v>
      </c>
      <c r="AB3421" s="10" t="s">
        <v>16645</v>
      </c>
      <c r="AC3421" s="10" t="s">
        <v>16551</v>
      </c>
      <c r="AD3421" s="10" t="s">
        <v>24282</v>
      </c>
      <c r="AE3421" s="10" t="s">
        <v>24283</v>
      </c>
      <c r="AF3421" s="15"/>
      <c r="AG3421" s="10"/>
      <c r="AH3421" s="10"/>
      <c r="AI3421" s="10"/>
      <c r="AJ3421" s="10"/>
      <c r="AK3421" s="10"/>
      <c r="AL3421" s="10"/>
      <c r="AM3421" s="10"/>
      <c r="AN3421" s="10"/>
      <c r="AO3421" s="13" t="b">
        <v>0</v>
      </c>
      <c r="AP3421" s="22" t="s">
        <v>104</v>
      </c>
      <c r="AQ3421" s="10"/>
      <c r="AR3421" s="17"/>
      <c r="AS3421" s="17"/>
      <c r="AT3421" s="17"/>
      <c r="AU3421" s="17"/>
      <c r="AV3421" s="17"/>
      <c r="AW3421" s="10"/>
      <c r="AX3421" s="17"/>
      <c r="AY3421" s="18" t="s">
        <v>257</v>
      </c>
      <c r="AZ3421" s="10"/>
      <c r="BA3421" s="20" t="b">
        <v>0</v>
      </c>
      <c r="BB3421" s="10"/>
      <c r="BC3421" s="17" t="s">
        <v>257</v>
      </c>
      <c r="BD3421" s="17" t="s">
        <v>257</v>
      </c>
      <c r="BE3421" s="17" t="s">
        <v>257</v>
      </c>
      <c r="BF3421" s="17" t="s">
        <v>257</v>
      </c>
      <c r="BG3421" s="11">
        <f ca="1">IFERROR(__xludf.DUMMYFUNCTION("""COMPUTED_VALUE"""),46040.75)</f>
        <v>46040.75</v>
      </c>
      <c r="BH3421" s="17"/>
      <c r="BI3421" s="17"/>
      <c r="BJ3421" s="15"/>
      <c r="BK3421" s="15"/>
      <c r="BL3421" s="13" t="b">
        <v>0</v>
      </c>
      <c r="BM3421" s="10"/>
      <c r="BN3421" s="10" t="s">
        <v>18456</v>
      </c>
      <c r="BO3421" s="11">
        <v>46013.487500000003</v>
      </c>
      <c r="BP3421" s="11">
        <v>46013.488020833334</v>
      </c>
      <c r="BQ3421" s="15"/>
      <c r="BR3421" s="15"/>
      <c r="BS3421" s="10"/>
      <c r="BT3421" s="10" t="s">
        <v>99</v>
      </c>
      <c r="BU3421" s="10"/>
      <c r="BV3421" s="10"/>
      <c r="BW3421" s="10"/>
      <c r="BX3421" s="10"/>
      <c r="BY3421" s="23"/>
      <c r="BZ3421" s="23"/>
      <c r="CA3421" s="10"/>
      <c r="CB3421" s="23"/>
      <c r="CC3421" s="23"/>
      <c r="CD3421" s="23"/>
      <c r="CE3421" s="23"/>
      <c r="CF3421" s="23"/>
      <c r="CG3421" s="23"/>
      <c r="CH3421" s="23"/>
      <c r="CI3421" s="23"/>
    </row>
    <row r="3422" spans="1:87" x14ac:dyDescent="0.3">
      <c r="A3422" s="9" t="s">
        <v>24284</v>
      </c>
      <c r="B3422" s="10" t="s">
        <v>24285</v>
      </c>
      <c r="C3422" s="11">
        <v>46040.854166666664</v>
      </c>
      <c r="D3422" s="12">
        <v>8.3333333333333329E-2</v>
      </c>
      <c r="E3422" s="11">
        <v>46040.9375</v>
      </c>
      <c r="F3422" s="22" t="s">
        <v>16719</v>
      </c>
      <c r="G3422" s="13" t="b">
        <v>0</v>
      </c>
      <c r="H3422" s="22" t="s">
        <v>16543</v>
      </c>
      <c r="I3422" s="10" t="s">
        <v>212</v>
      </c>
      <c r="J3422" s="13" t="b">
        <v>1</v>
      </c>
      <c r="K3422" s="13" t="b">
        <v>0</v>
      </c>
      <c r="L3422" s="10" t="s">
        <v>124</v>
      </c>
      <c r="M3422" s="10" t="s">
        <v>91</v>
      </c>
      <c r="N3422" s="10" t="s">
        <v>92</v>
      </c>
      <c r="O3422" s="10"/>
      <c r="P3422" s="10"/>
      <c r="Q3422" s="10" t="s">
        <v>126</v>
      </c>
      <c r="R3422" s="10"/>
      <c r="S3422" s="10"/>
      <c r="T3422" s="10"/>
      <c r="U3422" s="10" t="s">
        <v>16722</v>
      </c>
      <c r="V3422" s="10" t="s">
        <v>16742</v>
      </c>
      <c r="W3422" s="10" t="s">
        <v>16644</v>
      </c>
      <c r="X3422" s="10" t="s">
        <v>16549</v>
      </c>
      <c r="Y3422" s="10" t="s">
        <v>16549</v>
      </c>
      <c r="Z3422" s="10" t="s">
        <v>99</v>
      </c>
      <c r="AA3422" s="10" t="s">
        <v>131</v>
      </c>
      <c r="AB3422" s="10" t="s">
        <v>16645</v>
      </c>
      <c r="AC3422" s="10" t="s">
        <v>16551</v>
      </c>
      <c r="AD3422" s="10" t="s">
        <v>24286</v>
      </c>
      <c r="AE3422" s="10" t="s">
        <v>24287</v>
      </c>
      <c r="AF3422" s="15"/>
      <c r="AG3422" s="10"/>
      <c r="AH3422" s="10"/>
      <c r="AI3422" s="10"/>
      <c r="AJ3422" s="10"/>
      <c r="AK3422" s="10"/>
      <c r="AL3422" s="10"/>
      <c r="AM3422" s="10"/>
      <c r="AN3422" s="10"/>
      <c r="AO3422" s="13" t="b">
        <v>0</v>
      </c>
      <c r="AP3422" s="22" t="s">
        <v>104</v>
      </c>
      <c r="AQ3422" s="10"/>
      <c r="AR3422" s="17"/>
      <c r="AS3422" s="17"/>
      <c r="AT3422" s="17"/>
      <c r="AU3422" s="17"/>
      <c r="AV3422" s="17"/>
      <c r="AW3422" s="10"/>
      <c r="AX3422" s="17"/>
      <c r="AY3422" s="18" t="s">
        <v>257</v>
      </c>
      <c r="AZ3422" s="10"/>
      <c r="BA3422" s="20" t="b">
        <v>0</v>
      </c>
      <c r="BB3422" s="10"/>
      <c r="BC3422" s="17" t="s">
        <v>257</v>
      </c>
      <c r="BD3422" s="17" t="s">
        <v>257</v>
      </c>
      <c r="BE3422" s="17" t="s">
        <v>257</v>
      </c>
      <c r="BF3422" s="17" t="s">
        <v>257</v>
      </c>
      <c r="BG3422" s="11">
        <f ca="1">IFERROR(__xludf.DUMMYFUNCTION("""COMPUTED_VALUE"""),46040.8541666666)</f>
        <v>46040.854166666599</v>
      </c>
      <c r="BH3422" s="17"/>
      <c r="BI3422" s="17"/>
      <c r="BJ3422" s="15"/>
      <c r="BK3422" s="15"/>
      <c r="BL3422" s="13" t="b">
        <v>0</v>
      </c>
      <c r="BM3422" s="10"/>
      <c r="BN3422" s="10" t="s">
        <v>18456</v>
      </c>
      <c r="BO3422" s="11">
        <v>46013.488194444442</v>
      </c>
      <c r="BP3422" s="11">
        <v>46013.488749999997</v>
      </c>
      <c r="BQ3422" s="15"/>
      <c r="BR3422" s="15"/>
      <c r="BS3422" s="10"/>
      <c r="BT3422" s="10" t="s">
        <v>99</v>
      </c>
      <c r="BU3422" s="10"/>
      <c r="BV3422" s="10"/>
      <c r="BW3422" s="10"/>
      <c r="BX3422" s="10"/>
      <c r="BY3422" s="23"/>
      <c r="BZ3422" s="23"/>
      <c r="CA3422" s="10"/>
      <c r="CB3422" s="23"/>
      <c r="CC3422" s="23"/>
      <c r="CD3422" s="23"/>
      <c r="CE3422" s="23"/>
      <c r="CF3422" s="23"/>
      <c r="CG3422" s="23"/>
      <c r="CH3422" s="23"/>
      <c r="CI3422" s="23"/>
    </row>
    <row r="3423" spans="1:87" x14ac:dyDescent="0.3">
      <c r="A3423" s="9" t="s">
        <v>24288</v>
      </c>
      <c r="B3423" s="10" t="s">
        <v>24289</v>
      </c>
      <c r="C3423" s="11">
        <v>46032.416666666664</v>
      </c>
      <c r="D3423" s="12">
        <v>0.22916666666666666</v>
      </c>
      <c r="E3423" s="11">
        <v>46032.645833333336</v>
      </c>
      <c r="F3423" s="22" t="s">
        <v>23063</v>
      </c>
      <c r="G3423" s="13" t="b">
        <v>0</v>
      </c>
      <c r="H3423" s="22" t="s">
        <v>23064</v>
      </c>
      <c r="I3423" s="10" t="s">
        <v>8383</v>
      </c>
      <c r="J3423" s="13" t="b">
        <v>0</v>
      </c>
      <c r="K3423" s="13" t="b">
        <v>1</v>
      </c>
      <c r="L3423" s="10" t="s">
        <v>124</v>
      </c>
      <c r="M3423" s="10" t="s">
        <v>91</v>
      </c>
      <c r="N3423" s="10" t="s">
        <v>3513</v>
      </c>
      <c r="O3423" s="19" t="s">
        <v>24290</v>
      </c>
      <c r="P3423" s="10"/>
      <c r="Q3423" s="10" t="s">
        <v>126</v>
      </c>
      <c r="R3423" s="10"/>
      <c r="S3423" s="19" t="s">
        <v>24291</v>
      </c>
      <c r="T3423" s="10"/>
      <c r="U3423" s="10"/>
      <c r="V3423" s="10"/>
      <c r="W3423" s="10" t="s">
        <v>23066</v>
      </c>
      <c r="X3423" s="10" t="s">
        <v>98</v>
      </c>
      <c r="Y3423" s="10" t="s">
        <v>98</v>
      </c>
      <c r="Z3423" s="10" t="s">
        <v>99</v>
      </c>
      <c r="AA3423" s="10" t="s">
        <v>131</v>
      </c>
      <c r="AB3423" s="10" t="s">
        <v>23067</v>
      </c>
      <c r="AC3423" s="10" t="s">
        <v>23068</v>
      </c>
      <c r="AD3423" s="10" t="s">
        <v>165</v>
      </c>
      <c r="AE3423" s="10" t="s">
        <v>24292</v>
      </c>
      <c r="AF3423" s="15"/>
      <c r="AG3423" s="10"/>
      <c r="AH3423" s="10"/>
      <c r="AI3423" s="10"/>
      <c r="AJ3423" s="10"/>
      <c r="AK3423" s="10" t="s">
        <v>102</v>
      </c>
      <c r="AL3423" s="10"/>
      <c r="AM3423" s="10"/>
      <c r="AN3423" s="10"/>
      <c r="AO3423" s="13" t="b">
        <v>0</v>
      </c>
      <c r="AP3423" s="22"/>
      <c r="AQ3423" s="10">
        <f ca="1">IFERROR(__xludf.DUMMYFUNCTION("""COMPUTED_VALUE"""),20287)</f>
        <v>20287</v>
      </c>
      <c r="AR3423" s="17">
        <v>928</v>
      </c>
      <c r="AS3423" s="17">
        <v>789</v>
      </c>
      <c r="AT3423" s="17">
        <v>1918.5</v>
      </c>
      <c r="AU3423" s="17">
        <v>0</v>
      </c>
      <c r="AV3423" s="17">
        <v>0</v>
      </c>
      <c r="AW3423" s="10" t="s">
        <v>105</v>
      </c>
      <c r="AX3423" s="17"/>
      <c r="AY3423" s="18">
        <v>2.4315589353612168</v>
      </c>
      <c r="AZ3423" s="10" t="s">
        <v>196</v>
      </c>
      <c r="BA3423" s="20" t="b">
        <v>0</v>
      </c>
      <c r="BB3423" s="10"/>
      <c r="BC3423" s="17">
        <v>928</v>
      </c>
      <c r="BD3423" s="17">
        <v>789</v>
      </c>
      <c r="BE3423" s="17">
        <v>1918.5</v>
      </c>
      <c r="BF3423" s="17">
        <v>0</v>
      </c>
      <c r="BG3423" s="11">
        <f ca="1">IFERROR(__xludf.DUMMYFUNCTION("""COMPUTED_VALUE"""),46032.4166666666)</f>
        <v>46032.416666666599</v>
      </c>
      <c r="BH3423" s="17" t="s">
        <v>105</v>
      </c>
      <c r="BI3423" s="17"/>
      <c r="BJ3423" s="15"/>
      <c r="BK3423" s="15"/>
      <c r="BL3423" s="13" t="b">
        <v>0</v>
      </c>
      <c r="BM3423" s="10"/>
      <c r="BN3423" s="10" t="s">
        <v>149</v>
      </c>
      <c r="BO3423" s="11">
        <v>46013.5</v>
      </c>
      <c r="BP3423" s="11">
        <v>46030.656446759262</v>
      </c>
      <c r="BQ3423" s="15">
        <v>46031.751550925925</v>
      </c>
      <c r="BR3423" s="15">
        <v>46031.812094907407</v>
      </c>
      <c r="BS3423" s="10" t="s">
        <v>149</v>
      </c>
      <c r="BT3423" s="10"/>
      <c r="BU3423" s="10"/>
      <c r="BV3423" s="10"/>
      <c r="BW3423" s="10"/>
      <c r="BX3423" s="10"/>
      <c r="BY3423" s="23"/>
      <c r="BZ3423" s="23"/>
      <c r="CA3423" s="19" t="s">
        <v>24293</v>
      </c>
      <c r="CB3423" s="23"/>
      <c r="CC3423" s="23"/>
      <c r="CD3423" s="19" t="s">
        <v>24294</v>
      </c>
      <c r="CE3423" s="23"/>
      <c r="CF3423" s="23"/>
      <c r="CG3423" s="23"/>
      <c r="CH3423" s="23"/>
      <c r="CI3423" s="23"/>
    </row>
    <row r="3424" spans="1:87" x14ac:dyDescent="0.3">
      <c r="A3424" s="9" t="s">
        <v>24295</v>
      </c>
      <c r="B3424" s="10" t="s">
        <v>24296</v>
      </c>
      <c r="C3424" s="11">
        <v>46032.8125</v>
      </c>
      <c r="D3424" s="12">
        <v>8.3333333333333329E-2</v>
      </c>
      <c r="E3424" s="11">
        <v>46032.895833333336</v>
      </c>
      <c r="F3424" s="22" t="s">
        <v>15254</v>
      </c>
      <c r="G3424" s="13" t="b">
        <v>0</v>
      </c>
      <c r="H3424" s="22" t="s">
        <v>3564</v>
      </c>
      <c r="I3424" s="10" t="s">
        <v>89</v>
      </c>
      <c r="J3424" s="13" t="b">
        <v>0</v>
      </c>
      <c r="K3424" s="13" t="b">
        <v>1</v>
      </c>
      <c r="L3424" s="10" t="s">
        <v>124</v>
      </c>
      <c r="M3424" s="10" t="s">
        <v>91</v>
      </c>
      <c r="N3424" s="10" t="s">
        <v>265</v>
      </c>
      <c r="O3424" s="19" t="s">
        <v>24297</v>
      </c>
      <c r="P3424" s="10"/>
      <c r="Q3424" s="10" t="s">
        <v>126</v>
      </c>
      <c r="R3424" s="10"/>
      <c r="S3424" s="19" t="s">
        <v>24298</v>
      </c>
      <c r="T3424" s="10"/>
      <c r="U3424" s="10" t="s">
        <v>15259</v>
      </c>
      <c r="V3424" s="10" t="s">
        <v>15258</v>
      </c>
      <c r="W3424" s="10" t="s">
        <v>15260</v>
      </c>
      <c r="X3424" s="10" t="s">
        <v>130</v>
      </c>
      <c r="Y3424" s="10" t="s">
        <v>130</v>
      </c>
      <c r="Z3424" s="10" t="s">
        <v>99</v>
      </c>
      <c r="AA3424" s="10" t="s">
        <v>131</v>
      </c>
      <c r="AB3424" s="10" t="s">
        <v>15261</v>
      </c>
      <c r="AC3424" s="10" t="s">
        <v>274</v>
      </c>
      <c r="AD3424" s="10" t="s">
        <v>24299</v>
      </c>
      <c r="AE3424" s="10" t="s">
        <v>24300</v>
      </c>
      <c r="AF3424" s="15"/>
      <c r="AG3424" s="10"/>
      <c r="AH3424" s="10"/>
      <c r="AI3424" s="10"/>
      <c r="AJ3424" s="10" t="s">
        <v>24301</v>
      </c>
      <c r="AK3424" s="10" t="s">
        <v>102</v>
      </c>
      <c r="AL3424" s="10" t="s">
        <v>1467</v>
      </c>
      <c r="AM3424" s="10"/>
      <c r="AN3424" s="10"/>
      <c r="AO3424" s="13" t="b">
        <v>0</v>
      </c>
      <c r="AP3424" s="22" t="s">
        <v>135</v>
      </c>
      <c r="AQ3424" s="10">
        <f ca="1">IFERROR(__xludf.DUMMYFUNCTION("""COMPUTED_VALUE"""),4832294)</f>
        <v>4832294</v>
      </c>
      <c r="AR3424" s="17">
        <v>24369</v>
      </c>
      <c r="AS3424" s="17">
        <v>21239</v>
      </c>
      <c r="AT3424" s="17">
        <v>155444.5</v>
      </c>
      <c r="AU3424" s="17">
        <v>42</v>
      </c>
      <c r="AV3424" s="17">
        <v>10.85</v>
      </c>
      <c r="AW3424" s="10" t="s">
        <v>105</v>
      </c>
      <c r="AX3424" s="17">
        <v>3257</v>
      </c>
      <c r="AY3424" s="18">
        <v>7.3188238617637369</v>
      </c>
      <c r="AZ3424" s="10" t="s">
        <v>136</v>
      </c>
      <c r="BA3424" s="20" t="b">
        <v>0</v>
      </c>
      <c r="BB3424" s="10"/>
      <c r="BC3424" s="17">
        <v>24369</v>
      </c>
      <c r="BD3424" s="17">
        <v>21239</v>
      </c>
      <c r="BE3424" s="17">
        <v>155444.5</v>
      </c>
      <c r="BF3424" s="17">
        <v>10.85</v>
      </c>
      <c r="BG3424" s="11">
        <f ca="1">IFERROR(__xludf.DUMMYFUNCTION("""COMPUTED_VALUE"""),46032.8125)</f>
        <v>46032.8125</v>
      </c>
      <c r="BH3424" s="17" t="s">
        <v>105</v>
      </c>
      <c r="BI3424" s="17"/>
      <c r="BJ3424" s="15"/>
      <c r="BK3424" s="15"/>
      <c r="BL3424" s="13" t="b">
        <v>0</v>
      </c>
      <c r="BM3424" s="10"/>
      <c r="BN3424" s="10" t="s">
        <v>6278</v>
      </c>
      <c r="BO3424" s="11">
        <v>46013.847222222219</v>
      </c>
      <c r="BP3424" s="11">
        <v>46013.847777777781</v>
      </c>
      <c r="BQ3424" s="15">
        <v>46031.875694444447</v>
      </c>
      <c r="BR3424" s="15">
        <v>46029.455590277779</v>
      </c>
      <c r="BS3424" s="10" t="s">
        <v>6278</v>
      </c>
      <c r="BT3424" s="10" t="s">
        <v>279</v>
      </c>
      <c r="BU3424" s="10" t="s">
        <v>3574</v>
      </c>
      <c r="BV3424" s="10"/>
      <c r="BW3424" s="10"/>
      <c r="BX3424" s="10"/>
      <c r="BY3424" s="23"/>
      <c r="BZ3424" s="23"/>
      <c r="CA3424" s="19" t="s">
        <v>24302</v>
      </c>
      <c r="CB3424" s="19" t="s">
        <v>24303</v>
      </c>
      <c r="CC3424" s="23"/>
      <c r="CD3424" s="19" t="s">
        <v>24304</v>
      </c>
      <c r="CE3424" s="23"/>
      <c r="CF3424" s="23"/>
      <c r="CG3424" s="23"/>
      <c r="CH3424" s="23"/>
      <c r="CI3424" s="23"/>
    </row>
    <row r="3425" spans="1:87" x14ac:dyDescent="0.3">
      <c r="A3425" s="9" t="s">
        <v>24305</v>
      </c>
      <c r="B3425" s="10" t="s">
        <v>24306</v>
      </c>
      <c r="C3425" s="11">
        <v>46033.791666666664</v>
      </c>
      <c r="D3425" s="12">
        <v>8.3333333333333329E-2</v>
      </c>
      <c r="E3425" s="11">
        <v>46033.875</v>
      </c>
      <c r="F3425" s="22" t="s">
        <v>15254</v>
      </c>
      <c r="G3425" s="13" t="b">
        <v>0</v>
      </c>
      <c r="H3425" s="22" t="s">
        <v>3564</v>
      </c>
      <c r="I3425" s="10" t="s">
        <v>89</v>
      </c>
      <c r="J3425" s="13" t="b">
        <v>0</v>
      </c>
      <c r="K3425" s="13" t="b">
        <v>1</v>
      </c>
      <c r="L3425" s="10" t="s">
        <v>124</v>
      </c>
      <c r="M3425" s="10" t="s">
        <v>91</v>
      </c>
      <c r="N3425" s="10" t="s">
        <v>265</v>
      </c>
      <c r="O3425" s="19" t="s">
        <v>24307</v>
      </c>
      <c r="P3425" s="10"/>
      <c r="Q3425" s="10" t="s">
        <v>126</v>
      </c>
      <c r="R3425" s="10"/>
      <c r="S3425" s="19" t="s">
        <v>24308</v>
      </c>
      <c r="T3425" s="10"/>
      <c r="U3425" s="10" t="s">
        <v>15684</v>
      </c>
      <c r="V3425" s="10" t="s">
        <v>15683</v>
      </c>
      <c r="W3425" s="10" t="s">
        <v>15260</v>
      </c>
      <c r="X3425" s="10" t="s">
        <v>130</v>
      </c>
      <c r="Y3425" s="10" t="s">
        <v>130</v>
      </c>
      <c r="Z3425" s="10" t="s">
        <v>99</v>
      </c>
      <c r="AA3425" s="10" t="s">
        <v>131</v>
      </c>
      <c r="AB3425" s="10" t="s">
        <v>15261</v>
      </c>
      <c r="AC3425" s="10" t="s">
        <v>274</v>
      </c>
      <c r="AD3425" s="10" t="s">
        <v>24309</v>
      </c>
      <c r="AE3425" s="10" t="s">
        <v>24310</v>
      </c>
      <c r="AF3425" s="15"/>
      <c r="AG3425" s="10"/>
      <c r="AH3425" s="10"/>
      <c r="AI3425" s="10"/>
      <c r="AJ3425" s="10" t="s">
        <v>24311</v>
      </c>
      <c r="AK3425" s="10" t="s">
        <v>102</v>
      </c>
      <c r="AL3425" s="10" t="s">
        <v>1467</v>
      </c>
      <c r="AM3425" s="10"/>
      <c r="AN3425" s="10"/>
      <c r="AO3425" s="13" t="b">
        <v>0</v>
      </c>
      <c r="AP3425" s="22" t="s">
        <v>135</v>
      </c>
      <c r="AQ3425" s="10">
        <f ca="1">IFERROR(__xludf.DUMMYFUNCTION("""COMPUTED_VALUE"""),4833790)</f>
        <v>4833790</v>
      </c>
      <c r="AR3425" s="17"/>
      <c r="AS3425" s="17"/>
      <c r="AT3425" s="17"/>
      <c r="AU3425" s="17"/>
      <c r="AV3425" s="17"/>
      <c r="AW3425" s="10"/>
      <c r="AX3425" s="17"/>
      <c r="AY3425" s="18" t="s">
        <v>257</v>
      </c>
      <c r="AZ3425" s="10" t="s">
        <v>136</v>
      </c>
      <c r="BA3425" s="20" t="b">
        <v>0</v>
      </c>
      <c r="BB3425" s="10"/>
      <c r="BC3425" s="17" t="s">
        <v>257</v>
      </c>
      <c r="BD3425" s="17" t="s">
        <v>257</v>
      </c>
      <c r="BE3425" s="17" t="s">
        <v>257</v>
      </c>
      <c r="BF3425" s="17" t="s">
        <v>257</v>
      </c>
      <c r="BG3425" s="11">
        <f ca="1">IFERROR(__xludf.DUMMYFUNCTION("""COMPUTED_VALUE"""),46033.7916666666)</f>
        <v>46033.791666666599</v>
      </c>
      <c r="BH3425" s="17"/>
      <c r="BI3425" s="17"/>
      <c r="BJ3425" s="15"/>
      <c r="BK3425" s="15"/>
      <c r="BL3425" s="13" t="b">
        <v>0</v>
      </c>
      <c r="BM3425" s="10"/>
      <c r="BN3425" s="10" t="s">
        <v>634</v>
      </c>
      <c r="BO3425" s="11">
        <v>46013.850694444445</v>
      </c>
      <c r="BP3425" s="11">
        <v>46013.850856481484</v>
      </c>
      <c r="BQ3425" s="15">
        <v>46031.878425925926</v>
      </c>
      <c r="BR3425" s="15">
        <v>46030.838807870372</v>
      </c>
      <c r="BS3425" s="10" t="s">
        <v>634</v>
      </c>
      <c r="BT3425" s="10" t="s">
        <v>99</v>
      </c>
      <c r="BU3425" s="10" t="s">
        <v>6518</v>
      </c>
      <c r="BV3425" s="10"/>
      <c r="BW3425" s="10"/>
      <c r="BX3425" s="10"/>
      <c r="BY3425" s="23"/>
      <c r="BZ3425" s="23"/>
      <c r="CA3425" s="19" t="s">
        <v>24312</v>
      </c>
      <c r="CB3425" s="19" t="s">
        <v>24313</v>
      </c>
      <c r="CC3425" s="23"/>
      <c r="CD3425" s="19" t="s">
        <v>24314</v>
      </c>
      <c r="CE3425" s="23"/>
      <c r="CF3425" s="23"/>
      <c r="CG3425" s="23"/>
      <c r="CH3425" s="23"/>
      <c r="CI3425" s="23"/>
    </row>
    <row r="3426" spans="1:87" x14ac:dyDescent="0.3">
      <c r="A3426" s="9" t="s">
        <v>24315</v>
      </c>
      <c r="B3426" s="10" t="s">
        <v>24316</v>
      </c>
      <c r="C3426" s="11">
        <v>46033.895833333336</v>
      </c>
      <c r="D3426" s="12">
        <v>8.3333333333333329E-2</v>
      </c>
      <c r="E3426" s="11">
        <v>46033.979166666664</v>
      </c>
      <c r="F3426" s="22" t="s">
        <v>15254</v>
      </c>
      <c r="G3426" s="13" t="b">
        <v>0</v>
      </c>
      <c r="H3426" s="22" t="s">
        <v>3564</v>
      </c>
      <c r="I3426" s="10" t="s">
        <v>89</v>
      </c>
      <c r="J3426" s="13" t="b">
        <v>0</v>
      </c>
      <c r="K3426" s="13" t="b">
        <v>1</v>
      </c>
      <c r="L3426" s="10" t="s">
        <v>124</v>
      </c>
      <c r="M3426" s="10" t="s">
        <v>91</v>
      </c>
      <c r="N3426" s="10" t="s">
        <v>265</v>
      </c>
      <c r="O3426" s="19" t="s">
        <v>24317</v>
      </c>
      <c r="P3426" s="10"/>
      <c r="Q3426" s="10" t="s">
        <v>126</v>
      </c>
      <c r="R3426" s="10"/>
      <c r="S3426" s="19" t="s">
        <v>24318</v>
      </c>
      <c r="T3426" s="10"/>
      <c r="U3426" s="10" t="s">
        <v>15750</v>
      </c>
      <c r="V3426" s="10" t="s">
        <v>18393</v>
      </c>
      <c r="W3426" s="10" t="s">
        <v>15260</v>
      </c>
      <c r="X3426" s="10" t="s">
        <v>130</v>
      </c>
      <c r="Y3426" s="10" t="s">
        <v>130</v>
      </c>
      <c r="Z3426" s="10" t="s">
        <v>99</v>
      </c>
      <c r="AA3426" s="10" t="s">
        <v>131</v>
      </c>
      <c r="AB3426" s="10" t="s">
        <v>15261</v>
      </c>
      <c r="AC3426" s="10" t="s">
        <v>274</v>
      </c>
      <c r="AD3426" s="10" t="s">
        <v>24319</v>
      </c>
      <c r="AE3426" s="10" t="s">
        <v>24320</v>
      </c>
      <c r="AF3426" s="15"/>
      <c r="AG3426" s="10"/>
      <c r="AH3426" s="10"/>
      <c r="AI3426" s="10"/>
      <c r="AJ3426" s="10" t="s">
        <v>24321</v>
      </c>
      <c r="AK3426" s="10" t="s">
        <v>102</v>
      </c>
      <c r="AL3426" s="10" t="s">
        <v>1467</v>
      </c>
      <c r="AM3426" s="10"/>
      <c r="AN3426" s="10"/>
      <c r="AO3426" s="13" t="b">
        <v>0</v>
      </c>
      <c r="AP3426" s="22" t="s">
        <v>135</v>
      </c>
      <c r="AQ3426" s="10">
        <f ca="1">IFERROR(__xludf.DUMMYFUNCTION("""COMPUTED_VALUE"""),4833791)</f>
        <v>4833791</v>
      </c>
      <c r="AR3426" s="17"/>
      <c r="AS3426" s="17"/>
      <c r="AT3426" s="17"/>
      <c r="AU3426" s="17"/>
      <c r="AV3426" s="17"/>
      <c r="AW3426" s="10"/>
      <c r="AX3426" s="17"/>
      <c r="AY3426" s="18" t="s">
        <v>257</v>
      </c>
      <c r="AZ3426" s="10" t="s">
        <v>136</v>
      </c>
      <c r="BA3426" s="20" t="b">
        <v>0</v>
      </c>
      <c r="BB3426" s="10"/>
      <c r="BC3426" s="17" t="s">
        <v>257</v>
      </c>
      <c r="BD3426" s="17" t="s">
        <v>257</v>
      </c>
      <c r="BE3426" s="17" t="s">
        <v>257</v>
      </c>
      <c r="BF3426" s="17" t="s">
        <v>257</v>
      </c>
      <c r="BG3426" s="11">
        <f ca="1">IFERROR(__xludf.DUMMYFUNCTION("""COMPUTED_VALUE"""),46033.8958333333)</f>
        <v>46033.895833333299</v>
      </c>
      <c r="BH3426" s="17"/>
      <c r="BI3426" s="17"/>
      <c r="BJ3426" s="15"/>
      <c r="BK3426" s="15"/>
      <c r="BL3426" s="13" t="b">
        <v>0</v>
      </c>
      <c r="BM3426" s="10"/>
      <c r="BN3426" s="10" t="s">
        <v>634</v>
      </c>
      <c r="BO3426" s="11">
        <v>46013.852777777778</v>
      </c>
      <c r="BP3426" s="11">
        <v>46013.853125000001</v>
      </c>
      <c r="BQ3426" s="15">
        <v>46031.889907407407</v>
      </c>
      <c r="BR3426" s="15">
        <v>46030.8440162037</v>
      </c>
      <c r="BS3426" s="10" t="s">
        <v>634</v>
      </c>
      <c r="BT3426" s="10" t="s">
        <v>99</v>
      </c>
      <c r="BU3426" s="10" t="s">
        <v>6518</v>
      </c>
      <c r="BV3426" s="10"/>
      <c r="BW3426" s="10"/>
      <c r="BX3426" s="10"/>
      <c r="BY3426" s="23"/>
      <c r="BZ3426" s="23"/>
      <c r="CA3426" s="19" t="s">
        <v>24322</v>
      </c>
      <c r="CB3426" s="19" t="s">
        <v>24323</v>
      </c>
      <c r="CC3426" s="23"/>
      <c r="CD3426" s="19" t="s">
        <v>24324</v>
      </c>
      <c r="CE3426" s="23"/>
      <c r="CF3426" s="23"/>
      <c r="CG3426" s="23"/>
      <c r="CH3426" s="23"/>
      <c r="CI3426" s="23"/>
    </row>
    <row r="3427" spans="1:87" x14ac:dyDescent="0.3">
      <c r="A3427" s="9" t="s">
        <v>24325</v>
      </c>
      <c r="B3427" s="10" t="s">
        <v>24326</v>
      </c>
      <c r="C3427" s="11">
        <v>46047.788194444445</v>
      </c>
      <c r="D3427" s="12">
        <v>8.3333333333333329E-2</v>
      </c>
      <c r="E3427" s="11">
        <v>46047.871527777781</v>
      </c>
      <c r="F3427" s="22" t="s">
        <v>15254</v>
      </c>
      <c r="G3427" s="13" t="b">
        <v>0</v>
      </c>
      <c r="H3427" s="22" t="s">
        <v>3564</v>
      </c>
      <c r="I3427" s="10" t="s">
        <v>89</v>
      </c>
      <c r="J3427" s="13" t="b">
        <v>0</v>
      </c>
      <c r="K3427" s="13" t="b">
        <v>1</v>
      </c>
      <c r="L3427" s="10" t="s">
        <v>124</v>
      </c>
      <c r="M3427" s="10" t="s">
        <v>91</v>
      </c>
      <c r="N3427" s="10" t="s">
        <v>265</v>
      </c>
      <c r="O3427" s="10"/>
      <c r="P3427" s="10"/>
      <c r="Q3427" s="10" t="s">
        <v>126</v>
      </c>
      <c r="R3427" s="10"/>
      <c r="S3427" s="10"/>
      <c r="T3427" s="10"/>
      <c r="U3427" s="10" t="s">
        <v>24327</v>
      </c>
      <c r="V3427" s="10" t="s">
        <v>15258</v>
      </c>
      <c r="W3427" s="10" t="s">
        <v>15260</v>
      </c>
      <c r="X3427" s="10" t="s">
        <v>130</v>
      </c>
      <c r="Y3427" s="10" t="s">
        <v>130</v>
      </c>
      <c r="Z3427" s="10" t="s">
        <v>99</v>
      </c>
      <c r="AA3427" s="10" t="s">
        <v>131</v>
      </c>
      <c r="AB3427" s="10" t="s">
        <v>15261</v>
      </c>
      <c r="AC3427" s="10" t="s">
        <v>274</v>
      </c>
      <c r="AD3427" s="10" t="s">
        <v>24328</v>
      </c>
      <c r="AE3427" s="10" t="s">
        <v>24329</v>
      </c>
      <c r="AF3427" s="15"/>
      <c r="AG3427" s="10"/>
      <c r="AH3427" s="10"/>
      <c r="AI3427" s="10"/>
      <c r="AJ3427" s="10" t="s">
        <v>24330</v>
      </c>
      <c r="AK3427" s="10"/>
      <c r="AL3427" s="10" t="s">
        <v>1467</v>
      </c>
      <c r="AM3427" s="10"/>
      <c r="AN3427" s="10"/>
      <c r="AO3427" s="13" t="b">
        <v>0</v>
      </c>
      <c r="AP3427" s="22" t="s">
        <v>135</v>
      </c>
      <c r="AQ3427" s="10"/>
      <c r="AR3427" s="17"/>
      <c r="AS3427" s="17"/>
      <c r="AT3427" s="17"/>
      <c r="AU3427" s="17"/>
      <c r="AV3427" s="17"/>
      <c r="AW3427" s="10"/>
      <c r="AX3427" s="17"/>
      <c r="AY3427" s="18" t="s">
        <v>257</v>
      </c>
      <c r="AZ3427" s="10"/>
      <c r="BA3427" s="20" t="b">
        <v>0</v>
      </c>
      <c r="BB3427" s="10"/>
      <c r="BC3427" s="17" t="s">
        <v>257</v>
      </c>
      <c r="BD3427" s="17" t="s">
        <v>257</v>
      </c>
      <c r="BE3427" s="17" t="s">
        <v>257</v>
      </c>
      <c r="BF3427" s="17" t="s">
        <v>257</v>
      </c>
      <c r="BG3427" s="11">
        <f ca="1">IFERROR(__xludf.DUMMYFUNCTION("""COMPUTED_VALUE"""),46047.7881944444)</f>
        <v>46047.788194444402</v>
      </c>
      <c r="BH3427" s="17"/>
      <c r="BI3427" s="17"/>
      <c r="BJ3427" s="15"/>
      <c r="BK3427" s="15"/>
      <c r="BL3427" s="13" t="b">
        <v>0</v>
      </c>
      <c r="BM3427" s="10"/>
      <c r="BN3427" s="10" t="s">
        <v>2527</v>
      </c>
      <c r="BO3427" s="11">
        <v>46013.86041666667</v>
      </c>
      <c r="BP3427" s="11">
        <v>46014.759687500002</v>
      </c>
      <c r="BQ3427" s="15"/>
      <c r="BR3427" s="15"/>
      <c r="BS3427" s="10"/>
      <c r="BT3427" s="10" t="s">
        <v>99</v>
      </c>
      <c r="BU3427" s="10"/>
      <c r="BV3427" s="10"/>
      <c r="BW3427" s="10"/>
      <c r="BX3427" s="10"/>
      <c r="BY3427" s="23"/>
      <c r="BZ3427" s="23"/>
      <c r="CA3427" s="19" t="s">
        <v>24331</v>
      </c>
      <c r="CB3427" s="19" t="s">
        <v>24332</v>
      </c>
      <c r="CC3427" s="23"/>
      <c r="CD3427" s="23"/>
      <c r="CE3427" s="23"/>
      <c r="CF3427" s="23"/>
      <c r="CG3427" s="23"/>
      <c r="CH3427" s="23"/>
      <c r="CI3427" s="23"/>
    </row>
    <row r="3428" spans="1:87" x14ac:dyDescent="0.3">
      <c r="A3428" s="9" t="s">
        <v>24333</v>
      </c>
      <c r="B3428" s="10" t="s">
        <v>24334</v>
      </c>
      <c r="C3428" s="11">
        <v>46051.979166666664</v>
      </c>
      <c r="D3428" s="12">
        <v>0.125</v>
      </c>
      <c r="E3428" s="11">
        <v>46052.104166666664</v>
      </c>
      <c r="F3428" s="22" t="s">
        <v>24335</v>
      </c>
      <c r="G3428" s="13" t="b">
        <v>0</v>
      </c>
      <c r="H3428" s="22" t="s">
        <v>24336</v>
      </c>
      <c r="I3428" s="10" t="s">
        <v>20892</v>
      </c>
      <c r="J3428" s="13" t="b">
        <v>0</v>
      </c>
      <c r="K3428" s="13" t="b">
        <v>1</v>
      </c>
      <c r="L3428" s="10" t="s">
        <v>124</v>
      </c>
      <c r="M3428" s="10" t="s">
        <v>91</v>
      </c>
      <c r="N3428" s="10" t="s">
        <v>92</v>
      </c>
      <c r="O3428" s="10"/>
      <c r="P3428" s="10"/>
      <c r="Q3428" s="10" t="s">
        <v>126</v>
      </c>
      <c r="R3428" s="10"/>
      <c r="S3428" s="10"/>
      <c r="T3428" s="10"/>
      <c r="U3428" s="10"/>
      <c r="V3428" s="10"/>
      <c r="W3428" s="10" t="s">
        <v>24337</v>
      </c>
      <c r="X3428" s="10" t="s">
        <v>20896</v>
      </c>
      <c r="Y3428" s="10" t="s">
        <v>20896</v>
      </c>
      <c r="Z3428" s="10" t="s">
        <v>99</v>
      </c>
      <c r="AA3428" s="10" t="s">
        <v>131</v>
      </c>
      <c r="AB3428" s="10" t="s">
        <v>24338</v>
      </c>
      <c r="AC3428" s="10" t="s">
        <v>24339</v>
      </c>
      <c r="AD3428" s="10" t="s">
        <v>165</v>
      </c>
      <c r="AE3428" s="10" t="s">
        <v>24340</v>
      </c>
      <c r="AF3428" s="15"/>
      <c r="AG3428" s="10"/>
      <c r="AH3428" s="10"/>
      <c r="AI3428" s="10"/>
      <c r="AJ3428" s="10"/>
      <c r="AK3428" s="10"/>
      <c r="AL3428" s="10"/>
      <c r="AM3428" s="10"/>
      <c r="AN3428" s="10"/>
      <c r="AO3428" s="13" t="b">
        <v>0</v>
      </c>
      <c r="AP3428" s="22" t="s">
        <v>135</v>
      </c>
      <c r="AQ3428" s="10"/>
      <c r="AR3428" s="17"/>
      <c r="AS3428" s="17"/>
      <c r="AT3428" s="17"/>
      <c r="AU3428" s="17"/>
      <c r="AV3428" s="17"/>
      <c r="AW3428" s="10"/>
      <c r="AX3428" s="17"/>
      <c r="AY3428" s="18" t="s">
        <v>257</v>
      </c>
      <c r="AZ3428" s="10"/>
      <c r="BA3428" s="20" t="b">
        <v>0</v>
      </c>
      <c r="BB3428" s="10"/>
      <c r="BC3428" s="17" t="s">
        <v>257</v>
      </c>
      <c r="BD3428" s="17" t="s">
        <v>257</v>
      </c>
      <c r="BE3428" s="17" t="s">
        <v>257</v>
      </c>
      <c r="BF3428" s="17" t="s">
        <v>257</v>
      </c>
      <c r="BG3428" s="11">
        <f ca="1">IFERROR(__xludf.DUMMYFUNCTION("""COMPUTED_VALUE"""),46051.9791666666)</f>
        <v>46051.979166666599</v>
      </c>
      <c r="BH3428" s="17"/>
      <c r="BI3428" s="17"/>
      <c r="BJ3428" s="15"/>
      <c r="BK3428" s="15"/>
      <c r="BL3428" s="13" t="b">
        <v>0</v>
      </c>
      <c r="BM3428" s="10"/>
      <c r="BN3428" s="10" t="s">
        <v>18456</v>
      </c>
      <c r="BO3428" s="11">
        <v>46014.630555555559</v>
      </c>
      <c r="BP3428" s="11">
        <v>46014.630925925929</v>
      </c>
      <c r="BQ3428" s="15"/>
      <c r="BR3428" s="15"/>
      <c r="BS3428" s="10"/>
      <c r="BT3428" s="10"/>
      <c r="BU3428" s="10"/>
      <c r="BV3428" s="10"/>
      <c r="BW3428" s="10"/>
      <c r="BX3428" s="10"/>
      <c r="BY3428" s="23"/>
      <c r="BZ3428" s="23"/>
      <c r="CA3428" s="10"/>
      <c r="CB3428" s="23"/>
      <c r="CC3428" s="23"/>
      <c r="CD3428" s="23"/>
      <c r="CE3428" s="23"/>
      <c r="CF3428" s="23"/>
      <c r="CG3428" s="23"/>
      <c r="CH3428" s="23"/>
      <c r="CI3428" s="23"/>
    </row>
    <row r="3429" spans="1:87" x14ac:dyDescent="0.3">
      <c r="A3429" s="9" t="s">
        <v>24341</v>
      </c>
      <c r="B3429" s="10" t="s">
        <v>24342</v>
      </c>
      <c r="C3429" s="11">
        <v>46052.979166666664</v>
      </c>
      <c r="D3429" s="12">
        <v>0.125</v>
      </c>
      <c r="E3429" s="11">
        <v>46053.104166666664</v>
      </c>
      <c r="F3429" s="22" t="s">
        <v>24335</v>
      </c>
      <c r="G3429" s="13" t="b">
        <v>0</v>
      </c>
      <c r="H3429" s="22" t="s">
        <v>24336</v>
      </c>
      <c r="I3429" s="10" t="s">
        <v>20892</v>
      </c>
      <c r="J3429" s="13" t="b">
        <v>0</v>
      </c>
      <c r="K3429" s="13" t="b">
        <v>1</v>
      </c>
      <c r="L3429" s="10" t="s">
        <v>358</v>
      </c>
      <c r="M3429" s="10" t="s">
        <v>91</v>
      </c>
      <c r="N3429" s="10" t="s">
        <v>92</v>
      </c>
      <c r="O3429" s="10"/>
      <c r="P3429" s="10"/>
      <c r="Q3429" s="10" t="s">
        <v>126</v>
      </c>
      <c r="R3429" s="10"/>
      <c r="S3429" s="10"/>
      <c r="T3429" s="10"/>
      <c r="U3429" s="10"/>
      <c r="V3429" s="10"/>
      <c r="W3429" s="10" t="s">
        <v>24337</v>
      </c>
      <c r="X3429" s="10" t="s">
        <v>20896</v>
      </c>
      <c r="Y3429" s="10" t="s">
        <v>20896</v>
      </c>
      <c r="Z3429" s="10" t="s">
        <v>99</v>
      </c>
      <c r="AA3429" s="10" t="s">
        <v>131</v>
      </c>
      <c r="AB3429" s="10" t="s">
        <v>24338</v>
      </c>
      <c r="AC3429" s="10" t="s">
        <v>24339</v>
      </c>
      <c r="AD3429" s="10" t="s">
        <v>165</v>
      </c>
      <c r="AE3429" s="10" t="s">
        <v>24343</v>
      </c>
      <c r="AF3429" s="15"/>
      <c r="AG3429" s="10"/>
      <c r="AH3429" s="10"/>
      <c r="AI3429" s="10"/>
      <c r="AJ3429" s="10"/>
      <c r="AK3429" s="10"/>
      <c r="AL3429" s="10"/>
      <c r="AM3429" s="10"/>
      <c r="AN3429" s="10"/>
      <c r="AO3429" s="13" t="b">
        <v>0</v>
      </c>
      <c r="AP3429" s="22" t="s">
        <v>135</v>
      </c>
      <c r="AQ3429" s="10"/>
      <c r="AR3429" s="17"/>
      <c r="AS3429" s="17"/>
      <c r="AT3429" s="17"/>
      <c r="AU3429" s="17"/>
      <c r="AV3429" s="17"/>
      <c r="AW3429" s="10"/>
      <c r="AX3429" s="17"/>
      <c r="AY3429" s="18" t="s">
        <v>257</v>
      </c>
      <c r="AZ3429" s="10"/>
      <c r="BA3429" s="20" t="b">
        <v>0</v>
      </c>
      <c r="BB3429" s="10"/>
      <c r="BC3429" s="17" t="s">
        <v>257</v>
      </c>
      <c r="BD3429" s="17" t="s">
        <v>257</v>
      </c>
      <c r="BE3429" s="17" t="s">
        <v>257</v>
      </c>
      <c r="BF3429" s="17" t="s">
        <v>257</v>
      </c>
      <c r="BG3429" s="11">
        <f ca="1">IFERROR(__xludf.DUMMYFUNCTION("""COMPUTED_VALUE"""),46052.9791666666)</f>
        <v>46052.979166666599</v>
      </c>
      <c r="BH3429" s="17"/>
      <c r="BI3429" s="17"/>
      <c r="BJ3429" s="15"/>
      <c r="BK3429" s="15"/>
      <c r="BL3429" s="13" t="b">
        <v>0</v>
      </c>
      <c r="BM3429" s="10"/>
      <c r="BN3429" s="10" t="s">
        <v>18456</v>
      </c>
      <c r="BO3429" s="11">
        <v>46014.636805555558</v>
      </c>
      <c r="BP3429" s="11">
        <v>46014.637465277781</v>
      </c>
      <c r="BQ3429" s="15"/>
      <c r="BR3429" s="15"/>
      <c r="BS3429" s="10"/>
      <c r="BT3429" s="10"/>
      <c r="BU3429" s="10"/>
      <c r="BV3429" s="10"/>
      <c r="BW3429" s="10"/>
      <c r="BX3429" s="10"/>
      <c r="BY3429" s="23"/>
      <c r="BZ3429" s="23"/>
      <c r="CA3429" s="10"/>
      <c r="CB3429" s="23"/>
      <c r="CC3429" s="23"/>
      <c r="CD3429" s="23"/>
      <c r="CE3429" s="23"/>
      <c r="CF3429" s="23"/>
      <c r="CG3429" s="23"/>
      <c r="CH3429" s="23"/>
      <c r="CI3429" s="23"/>
    </row>
    <row r="3430" spans="1:87" x14ac:dyDescent="0.3">
      <c r="A3430" s="9" t="s">
        <v>24344</v>
      </c>
      <c r="B3430" s="10" t="s">
        <v>24345</v>
      </c>
      <c r="C3430" s="11">
        <v>46054.104166666664</v>
      </c>
      <c r="D3430" s="12">
        <v>0.125</v>
      </c>
      <c r="E3430" s="11">
        <v>46054.229166666664</v>
      </c>
      <c r="F3430" s="22" t="s">
        <v>24335</v>
      </c>
      <c r="G3430" s="13" t="b">
        <v>0</v>
      </c>
      <c r="H3430" s="22" t="s">
        <v>24336</v>
      </c>
      <c r="I3430" s="10" t="s">
        <v>20892</v>
      </c>
      <c r="J3430" s="13" t="b">
        <v>0</v>
      </c>
      <c r="K3430" s="13" t="b">
        <v>1</v>
      </c>
      <c r="L3430" s="10" t="s">
        <v>124</v>
      </c>
      <c r="M3430" s="10" t="s">
        <v>91</v>
      </c>
      <c r="N3430" s="10" t="s">
        <v>92</v>
      </c>
      <c r="O3430" s="10"/>
      <c r="P3430" s="10"/>
      <c r="Q3430" s="10" t="s">
        <v>126</v>
      </c>
      <c r="R3430" s="10"/>
      <c r="S3430" s="10"/>
      <c r="T3430" s="10"/>
      <c r="U3430" s="10"/>
      <c r="V3430" s="10"/>
      <c r="W3430" s="10" t="s">
        <v>24337</v>
      </c>
      <c r="X3430" s="10" t="s">
        <v>20896</v>
      </c>
      <c r="Y3430" s="10" t="s">
        <v>20896</v>
      </c>
      <c r="Z3430" s="10" t="s">
        <v>99</v>
      </c>
      <c r="AA3430" s="10" t="s">
        <v>131</v>
      </c>
      <c r="AB3430" s="10" t="s">
        <v>24338</v>
      </c>
      <c r="AC3430" s="10" t="s">
        <v>24339</v>
      </c>
      <c r="AD3430" s="10" t="s">
        <v>165</v>
      </c>
      <c r="AE3430" s="10" t="s">
        <v>24346</v>
      </c>
      <c r="AF3430" s="15"/>
      <c r="AG3430" s="10"/>
      <c r="AH3430" s="10"/>
      <c r="AI3430" s="10"/>
      <c r="AJ3430" s="10"/>
      <c r="AK3430" s="10"/>
      <c r="AL3430" s="10"/>
      <c r="AM3430" s="10"/>
      <c r="AN3430" s="10"/>
      <c r="AO3430" s="13" t="b">
        <v>0</v>
      </c>
      <c r="AP3430" s="22" t="s">
        <v>135</v>
      </c>
      <c r="AQ3430" s="10"/>
      <c r="AR3430" s="17"/>
      <c r="AS3430" s="17"/>
      <c r="AT3430" s="17"/>
      <c r="AU3430" s="17"/>
      <c r="AV3430" s="17"/>
      <c r="AW3430" s="10"/>
      <c r="AX3430" s="17"/>
      <c r="AY3430" s="18" t="s">
        <v>257</v>
      </c>
      <c r="AZ3430" s="10"/>
      <c r="BA3430" s="20" t="b">
        <v>0</v>
      </c>
      <c r="BB3430" s="10"/>
      <c r="BC3430" s="17" t="s">
        <v>257</v>
      </c>
      <c r="BD3430" s="17" t="s">
        <v>257</v>
      </c>
      <c r="BE3430" s="17" t="s">
        <v>257</v>
      </c>
      <c r="BF3430" s="17" t="s">
        <v>257</v>
      </c>
      <c r="BG3430" s="11">
        <f ca="1">IFERROR(__xludf.DUMMYFUNCTION("""COMPUTED_VALUE"""),46054.1041666666)</f>
        <v>46054.104166666599</v>
      </c>
      <c r="BH3430" s="17"/>
      <c r="BI3430" s="17"/>
      <c r="BJ3430" s="15"/>
      <c r="BK3430" s="15"/>
      <c r="BL3430" s="13" t="b">
        <v>0</v>
      </c>
      <c r="BM3430" s="10"/>
      <c r="BN3430" s="10" t="s">
        <v>18456</v>
      </c>
      <c r="BO3430" s="11">
        <v>46014.638888888891</v>
      </c>
      <c r="BP3430" s="11">
        <v>46014.639293981483</v>
      </c>
      <c r="BQ3430" s="15"/>
      <c r="BR3430" s="15"/>
      <c r="BS3430" s="10"/>
      <c r="BT3430" s="10"/>
      <c r="BU3430" s="10"/>
      <c r="BV3430" s="10"/>
      <c r="BW3430" s="10"/>
      <c r="BX3430" s="10"/>
      <c r="BY3430" s="23"/>
      <c r="BZ3430" s="23"/>
      <c r="CA3430" s="10"/>
      <c r="CB3430" s="23"/>
      <c r="CC3430" s="23"/>
      <c r="CD3430" s="23"/>
      <c r="CE3430" s="23"/>
      <c r="CF3430" s="23"/>
      <c r="CG3430" s="23"/>
      <c r="CH3430" s="23"/>
      <c r="CI3430" s="23"/>
    </row>
    <row r="3431" spans="1:87" x14ac:dyDescent="0.3">
      <c r="A3431" s="9" t="s">
        <v>24347</v>
      </c>
      <c r="B3431" s="10" t="s">
        <v>24348</v>
      </c>
      <c r="C3431" s="11">
        <v>46055.041666666664</v>
      </c>
      <c r="D3431" s="12">
        <v>0.125</v>
      </c>
      <c r="E3431" s="11">
        <v>46055.166666666664</v>
      </c>
      <c r="F3431" s="22" t="s">
        <v>24335</v>
      </c>
      <c r="G3431" s="13" t="b">
        <v>0</v>
      </c>
      <c r="H3431" s="22" t="s">
        <v>24336</v>
      </c>
      <c r="I3431" s="10" t="s">
        <v>20892</v>
      </c>
      <c r="J3431" s="13" t="b">
        <v>0</v>
      </c>
      <c r="K3431" s="13" t="b">
        <v>1</v>
      </c>
      <c r="L3431" s="10" t="s">
        <v>124</v>
      </c>
      <c r="M3431" s="10" t="s">
        <v>91</v>
      </c>
      <c r="N3431" s="10" t="s">
        <v>92</v>
      </c>
      <c r="O3431" s="10"/>
      <c r="P3431" s="10"/>
      <c r="Q3431" s="10" t="s">
        <v>126</v>
      </c>
      <c r="R3431" s="10"/>
      <c r="S3431" s="10"/>
      <c r="T3431" s="10"/>
      <c r="U3431" s="10"/>
      <c r="V3431" s="10"/>
      <c r="W3431" s="10" t="s">
        <v>24337</v>
      </c>
      <c r="X3431" s="10" t="s">
        <v>20896</v>
      </c>
      <c r="Y3431" s="10" t="s">
        <v>20896</v>
      </c>
      <c r="Z3431" s="10" t="s">
        <v>99</v>
      </c>
      <c r="AA3431" s="10" t="s">
        <v>131</v>
      </c>
      <c r="AB3431" s="10" t="s">
        <v>24338</v>
      </c>
      <c r="AC3431" s="10" t="s">
        <v>24339</v>
      </c>
      <c r="AD3431" s="10" t="s">
        <v>165</v>
      </c>
      <c r="AE3431" s="10" t="s">
        <v>24349</v>
      </c>
      <c r="AF3431" s="15"/>
      <c r="AG3431" s="10"/>
      <c r="AH3431" s="10"/>
      <c r="AI3431" s="10"/>
      <c r="AJ3431" s="10"/>
      <c r="AK3431" s="10"/>
      <c r="AL3431" s="10"/>
      <c r="AM3431" s="10"/>
      <c r="AN3431" s="10"/>
      <c r="AO3431" s="13" t="b">
        <v>0</v>
      </c>
      <c r="AP3431" s="22" t="s">
        <v>135</v>
      </c>
      <c r="AQ3431" s="10"/>
      <c r="AR3431" s="17"/>
      <c r="AS3431" s="17"/>
      <c r="AT3431" s="17"/>
      <c r="AU3431" s="17"/>
      <c r="AV3431" s="17"/>
      <c r="AW3431" s="10"/>
      <c r="AX3431" s="17"/>
      <c r="AY3431" s="18" t="s">
        <v>257</v>
      </c>
      <c r="AZ3431" s="10"/>
      <c r="BA3431" s="20" t="b">
        <v>0</v>
      </c>
      <c r="BB3431" s="10"/>
      <c r="BC3431" s="17" t="s">
        <v>257</v>
      </c>
      <c r="BD3431" s="17" t="s">
        <v>257</v>
      </c>
      <c r="BE3431" s="17" t="s">
        <v>257</v>
      </c>
      <c r="BF3431" s="17" t="s">
        <v>257</v>
      </c>
      <c r="BG3431" s="11">
        <f ca="1">IFERROR(__xludf.DUMMYFUNCTION("""COMPUTED_VALUE"""),46055.0416666666)</f>
        <v>46055.041666666599</v>
      </c>
      <c r="BH3431" s="17"/>
      <c r="BI3431" s="17"/>
      <c r="BJ3431" s="15"/>
      <c r="BK3431" s="15"/>
      <c r="BL3431" s="13" t="b">
        <v>0</v>
      </c>
      <c r="BM3431" s="10"/>
      <c r="BN3431" s="10" t="s">
        <v>18456</v>
      </c>
      <c r="BO3431" s="11">
        <v>46014.63958333333</v>
      </c>
      <c r="BP3431" s="11">
        <v>46014.640023148146</v>
      </c>
      <c r="BQ3431" s="15"/>
      <c r="BR3431" s="15"/>
      <c r="BS3431" s="10"/>
      <c r="BT3431" s="10"/>
      <c r="BU3431" s="10"/>
      <c r="BV3431" s="10"/>
      <c r="BW3431" s="10"/>
      <c r="BX3431" s="10"/>
      <c r="BY3431" s="23"/>
      <c r="BZ3431" s="23"/>
      <c r="CA3431" s="10"/>
      <c r="CB3431" s="23"/>
      <c r="CC3431" s="23"/>
      <c r="CD3431" s="23"/>
      <c r="CE3431" s="23"/>
      <c r="CF3431" s="23"/>
      <c r="CG3431" s="23"/>
      <c r="CH3431" s="23"/>
      <c r="CI3431" s="23"/>
    </row>
    <row r="3432" spans="1:87" x14ac:dyDescent="0.3">
      <c r="A3432" s="9" t="s">
        <v>24350</v>
      </c>
      <c r="B3432" s="10" t="s">
        <v>24351</v>
      </c>
      <c r="C3432" s="11">
        <v>46036.125</v>
      </c>
      <c r="D3432" s="12">
        <v>8.3333333333333329E-2</v>
      </c>
      <c r="E3432" s="11">
        <v>46036.208333333336</v>
      </c>
      <c r="F3432" s="22" t="s">
        <v>7877</v>
      </c>
      <c r="G3432" s="13" t="b">
        <v>0</v>
      </c>
      <c r="H3432" s="22"/>
      <c r="I3432" s="10" t="s">
        <v>89</v>
      </c>
      <c r="J3432" s="13" t="b">
        <v>0</v>
      </c>
      <c r="K3432" s="13" t="b">
        <v>1</v>
      </c>
      <c r="L3432" s="10" t="s">
        <v>124</v>
      </c>
      <c r="M3432" s="10" t="s">
        <v>91</v>
      </c>
      <c r="N3432" s="10" t="s">
        <v>92</v>
      </c>
      <c r="O3432" s="10"/>
      <c r="P3432" s="10"/>
      <c r="Q3432" s="10" t="s">
        <v>126</v>
      </c>
      <c r="R3432" s="10"/>
      <c r="S3432" s="19" t="s">
        <v>24352</v>
      </c>
      <c r="T3432" s="19" t="s">
        <v>24353</v>
      </c>
      <c r="U3432" s="10" t="s">
        <v>293</v>
      </c>
      <c r="V3432" s="10" t="s">
        <v>334</v>
      </c>
      <c r="W3432" s="10" t="s">
        <v>7883</v>
      </c>
      <c r="X3432" s="10" t="s">
        <v>130</v>
      </c>
      <c r="Y3432" s="10" t="s">
        <v>130</v>
      </c>
      <c r="Z3432" s="10" t="s">
        <v>99</v>
      </c>
      <c r="AA3432" s="10" t="s">
        <v>131</v>
      </c>
      <c r="AB3432" s="10" t="s">
        <v>7884</v>
      </c>
      <c r="AC3432" s="10" t="s">
        <v>7885</v>
      </c>
      <c r="AD3432" s="10" t="s">
        <v>1545</v>
      </c>
      <c r="AE3432" s="10" t="s">
        <v>24354</v>
      </c>
      <c r="AF3432" s="15"/>
      <c r="AG3432" s="10"/>
      <c r="AH3432" s="10"/>
      <c r="AI3432" s="10"/>
      <c r="AJ3432" s="10"/>
      <c r="AK3432" s="10"/>
      <c r="AL3432" s="10" t="s">
        <v>20102</v>
      </c>
      <c r="AM3432" s="10"/>
      <c r="AN3432" s="10"/>
      <c r="AO3432" s="13" t="b">
        <v>0</v>
      </c>
      <c r="AP3432" s="22" t="s">
        <v>104</v>
      </c>
      <c r="AQ3432" s="10"/>
      <c r="AR3432" s="17"/>
      <c r="AS3432" s="17"/>
      <c r="AT3432" s="17"/>
      <c r="AU3432" s="17"/>
      <c r="AV3432" s="17"/>
      <c r="AW3432" s="10"/>
      <c r="AX3432" s="17"/>
      <c r="AY3432" s="18" t="s">
        <v>257</v>
      </c>
      <c r="AZ3432" s="10" t="s">
        <v>136</v>
      </c>
      <c r="BA3432" s="20" t="b">
        <v>0</v>
      </c>
      <c r="BB3432" s="10"/>
      <c r="BC3432" s="17" t="s">
        <v>257</v>
      </c>
      <c r="BD3432" s="17" t="s">
        <v>257</v>
      </c>
      <c r="BE3432" s="17" t="s">
        <v>257</v>
      </c>
      <c r="BF3432" s="17" t="s">
        <v>257</v>
      </c>
      <c r="BG3432" s="11">
        <f ca="1">IFERROR(__xludf.DUMMYFUNCTION("""COMPUTED_VALUE"""),46036.125)</f>
        <v>46036.125</v>
      </c>
      <c r="BH3432" s="17"/>
      <c r="BI3432" s="17"/>
      <c r="BJ3432" s="15"/>
      <c r="BK3432" s="15"/>
      <c r="BL3432" s="13" t="b">
        <v>0</v>
      </c>
      <c r="BM3432" s="10"/>
      <c r="BN3432" s="10" t="s">
        <v>136</v>
      </c>
      <c r="BO3432" s="11">
        <v>46015.518750000003</v>
      </c>
      <c r="BP3432" s="11">
        <v>46015.521747685183</v>
      </c>
      <c r="BQ3432" s="15">
        <v>46028.444398148145</v>
      </c>
      <c r="BR3432" s="15"/>
      <c r="BS3432" s="10"/>
      <c r="BT3432" s="10" t="s">
        <v>99</v>
      </c>
      <c r="BU3432" s="10"/>
      <c r="BV3432" s="10"/>
      <c r="BW3432" s="10"/>
      <c r="BX3432" s="10"/>
      <c r="BY3432" s="23"/>
      <c r="BZ3432" s="23"/>
      <c r="CA3432" s="19" t="s">
        <v>24355</v>
      </c>
      <c r="CB3432" s="19" t="s">
        <v>24353</v>
      </c>
      <c r="CC3432" s="23"/>
      <c r="CD3432" s="19" t="s">
        <v>24356</v>
      </c>
      <c r="CE3432" s="23"/>
      <c r="CF3432" s="23"/>
      <c r="CG3432" s="23"/>
      <c r="CH3432" s="23"/>
      <c r="CI3432" s="23"/>
    </row>
    <row r="3433" spans="1:87" x14ac:dyDescent="0.3">
      <c r="A3433" s="9" t="s">
        <v>24357</v>
      </c>
      <c r="B3433" s="10" t="s">
        <v>24358</v>
      </c>
      <c r="C3433" s="11">
        <v>46037.125</v>
      </c>
      <c r="D3433" s="12">
        <v>8.3333333333333329E-2</v>
      </c>
      <c r="E3433" s="11">
        <v>46037.208333333336</v>
      </c>
      <c r="F3433" s="22" t="s">
        <v>7877</v>
      </c>
      <c r="G3433" s="13" t="b">
        <v>0</v>
      </c>
      <c r="H3433" s="22"/>
      <c r="I3433" s="10" t="s">
        <v>89</v>
      </c>
      <c r="J3433" s="13" t="b">
        <v>0</v>
      </c>
      <c r="K3433" s="13" t="b">
        <v>1</v>
      </c>
      <c r="L3433" s="10" t="s">
        <v>124</v>
      </c>
      <c r="M3433" s="10" t="s">
        <v>91</v>
      </c>
      <c r="N3433" s="10" t="s">
        <v>92</v>
      </c>
      <c r="O3433" s="10"/>
      <c r="P3433" s="10"/>
      <c r="Q3433" s="10" t="s">
        <v>126</v>
      </c>
      <c r="R3433" s="10"/>
      <c r="S3433" s="19" t="s">
        <v>24359</v>
      </c>
      <c r="T3433" s="19" t="s">
        <v>24360</v>
      </c>
      <c r="U3433" s="10" t="s">
        <v>346</v>
      </c>
      <c r="V3433" s="10" t="s">
        <v>362</v>
      </c>
      <c r="W3433" s="10" t="s">
        <v>7883</v>
      </c>
      <c r="X3433" s="10" t="s">
        <v>130</v>
      </c>
      <c r="Y3433" s="10" t="s">
        <v>130</v>
      </c>
      <c r="Z3433" s="10" t="s">
        <v>99</v>
      </c>
      <c r="AA3433" s="10" t="s">
        <v>131</v>
      </c>
      <c r="AB3433" s="10" t="s">
        <v>7884</v>
      </c>
      <c r="AC3433" s="10" t="s">
        <v>7885</v>
      </c>
      <c r="AD3433" s="10" t="s">
        <v>1587</v>
      </c>
      <c r="AE3433" s="10" t="s">
        <v>24361</v>
      </c>
      <c r="AF3433" s="15"/>
      <c r="AG3433" s="10"/>
      <c r="AH3433" s="10"/>
      <c r="AI3433" s="10"/>
      <c r="AJ3433" s="10"/>
      <c r="AK3433" s="10"/>
      <c r="AL3433" s="10" t="s">
        <v>20102</v>
      </c>
      <c r="AM3433" s="10"/>
      <c r="AN3433" s="10"/>
      <c r="AO3433" s="13" t="b">
        <v>0</v>
      </c>
      <c r="AP3433" s="22" t="s">
        <v>104</v>
      </c>
      <c r="AQ3433" s="10"/>
      <c r="AR3433" s="17"/>
      <c r="AS3433" s="17"/>
      <c r="AT3433" s="17"/>
      <c r="AU3433" s="17"/>
      <c r="AV3433" s="17"/>
      <c r="AW3433" s="10"/>
      <c r="AX3433" s="17"/>
      <c r="AY3433" s="18" t="s">
        <v>257</v>
      </c>
      <c r="AZ3433" s="10" t="s">
        <v>136</v>
      </c>
      <c r="BA3433" s="20" t="b">
        <v>0</v>
      </c>
      <c r="BB3433" s="10"/>
      <c r="BC3433" s="17" t="s">
        <v>257</v>
      </c>
      <c r="BD3433" s="17" t="s">
        <v>257</v>
      </c>
      <c r="BE3433" s="17" t="s">
        <v>257</v>
      </c>
      <c r="BF3433" s="17" t="s">
        <v>257</v>
      </c>
      <c r="BG3433" s="11">
        <f ca="1">IFERROR(__xludf.DUMMYFUNCTION("""COMPUTED_VALUE"""),46037.125)</f>
        <v>46037.125</v>
      </c>
      <c r="BH3433" s="17"/>
      <c r="BI3433" s="17"/>
      <c r="BJ3433" s="15"/>
      <c r="BK3433" s="15"/>
      <c r="BL3433" s="13" t="b">
        <v>0</v>
      </c>
      <c r="BM3433" s="10"/>
      <c r="BN3433" s="10" t="s">
        <v>136</v>
      </c>
      <c r="BO3433" s="11">
        <v>46015.520833333336</v>
      </c>
      <c r="BP3433" s="11">
        <v>46015.521041666667</v>
      </c>
      <c r="BQ3433" s="15">
        <v>46028.444756944446</v>
      </c>
      <c r="BR3433" s="15"/>
      <c r="BS3433" s="10"/>
      <c r="BT3433" s="10" t="s">
        <v>99</v>
      </c>
      <c r="BU3433" s="10"/>
      <c r="BV3433" s="10"/>
      <c r="BW3433" s="10"/>
      <c r="BX3433" s="10"/>
      <c r="BY3433" s="23"/>
      <c r="BZ3433" s="23"/>
      <c r="CA3433" s="19" t="s">
        <v>24362</v>
      </c>
      <c r="CB3433" s="19" t="s">
        <v>24360</v>
      </c>
      <c r="CC3433" s="23"/>
      <c r="CD3433" s="19" t="s">
        <v>24363</v>
      </c>
      <c r="CE3433" s="23"/>
      <c r="CF3433" s="23"/>
      <c r="CG3433" s="23"/>
      <c r="CH3433" s="23"/>
      <c r="CI3433" s="23"/>
    </row>
    <row r="3434" spans="1:87" x14ac:dyDescent="0.3">
      <c r="A3434" s="9" t="s">
        <v>24364</v>
      </c>
      <c r="B3434" s="10" t="s">
        <v>24365</v>
      </c>
      <c r="C3434" s="11">
        <v>46057.125</v>
      </c>
      <c r="D3434" s="12">
        <v>8.3333333333333329E-2</v>
      </c>
      <c r="E3434" s="11">
        <v>46057.208333333336</v>
      </c>
      <c r="F3434" s="22" t="s">
        <v>7877</v>
      </c>
      <c r="G3434" s="13" t="b">
        <v>0</v>
      </c>
      <c r="H3434" s="22"/>
      <c r="I3434" s="10" t="s">
        <v>89</v>
      </c>
      <c r="J3434" s="13" t="b">
        <v>0</v>
      </c>
      <c r="K3434" s="13" t="b">
        <v>1</v>
      </c>
      <c r="L3434" s="10" t="s">
        <v>124</v>
      </c>
      <c r="M3434" s="10" t="s">
        <v>91</v>
      </c>
      <c r="N3434" s="10" t="s">
        <v>92</v>
      </c>
      <c r="O3434" s="10"/>
      <c r="P3434" s="10"/>
      <c r="Q3434" s="10" t="s">
        <v>126</v>
      </c>
      <c r="R3434" s="10"/>
      <c r="S3434" s="10"/>
      <c r="T3434" s="10"/>
      <c r="U3434" s="10" t="s">
        <v>362</v>
      </c>
      <c r="V3434" s="10" t="s">
        <v>346</v>
      </c>
      <c r="W3434" s="10" t="s">
        <v>7883</v>
      </c>
      <c r="X3434" s="10" t="s">
        <v>130</v>
      </c>
      <c r="Y3434" s="10" t="s">
        <v>130</v>
      </c>
      <c r="Z3434" s="10" t="s">
        <v>99</v>
      </c>
      <c r="AA3434" s="10" t="s">
        <v>131</v>
      </c>
      <c r="AB3434" s="10" t="s">
        <v>7884</v>
      </c>
      <c r="AC3434" s="10" t="s">
        <v>7885</v>
      </c>
      <c r="AD3434" s="10" t="s">
        <v>2764</v>
      </c>
      <c r="AE3434" s="10" t="s">
        <v>24366</v>
      </c>
      <c r="AF3434" s="15"/>
      <c r="AG3434" s="10"/>
      <c r="AH3434" s="10"/>
      <c r="AI3434" s="10"/>
      <c r="AJ3434" s="10"/>
      <c r="AK3434" s="10"/>
      <c r="AL3434" s="10" t="s">
        <v>20102</v>
      </c>
      <c r="AM3434" s="10"/>
      <c r="AN3434" s="10"/>
      <c r="AO3434" s="13" t="b">
        <v>0</v>
      </c>
      <c r="AP3434" s="22" t="s">
        <v>104</v>
      </c>
      <c r="AQ3434" s="10"/>
      <c r="AR3434" s="17"/>
      <c r="AS3434" s="17"/>
      <c r="AT3434" s="17"/>
      <c r="AU3434" s="17"/>
      <c r="AV3434" s="17"/>
      <c r="AW3434" s="10"/>
      <c r="AX3434" s="17"/>
      <c r="AY3434" s="18" t="s">
        <v>257</v>
      </c>
      <c r="AZ3434" s="10"/>
      <c r="BA3434" s="20" t="b">
        <v>0</v>
      </c>
      <c r="BB3434" s="10"/>
      <c r="BC3434" s="17" t="s">
        <v>257</v>
      </c>
      <c r="BD3434" s="17" t="s">
        <v>257</v>
      </c>
      <c r="BE3434" s="17" t="s">
        <v>257</v>
      </c>
      <c r="BF3434" s="17" t="s">
        <v>257</v>
      </c>
      <c r="BG3434" s="11">
        <f ca="1">IFERROR(__xludf.DUMMYFUNCTION("""COMPUTED_VALUE"""),46057.125)</f>
        <v>46057.125</v>
      </c>
      <c r="BH3434" s="17"/>
      <c r="BI3434" s="17"/>
      <c r="BJ3434" s="15"/>
      <c r="BK3434" s="15"/>
      <c r="BL3434" s="13" t="b">
        <v>0</v>
      </c>
      <c r="BM3434" s="10"/>
      <c r="BN3434" s="10" t="s">
        <v>18577</v>
      </c>
      <c r="BO3434" s="11">
        <v>46015.521527777775</v>
      </c>
      <c r="BP3434" s="11">
        <v>46015.521956018521</v>
      </c>
      <c r="BQ3434" s="15"/>
      <c r="BR3434" s="15"/>
      <c r="BS3434" s="10"/>
      <c r="BT3434" s="10" t="s">
        <v>99</v>
      </c>
      <c r="BU3434" s="10"/>
      <c r="BV3434" s="10"/>
      <c r="BW3434" s="10"/>
      <c r="BX3434" s="10"/>
      <c r="BY3434" s="23"/>
      <c r="BZ3434" s="23"/>
      <c r="CA3434" s="10"/>
      <c r="CB3434" s="23"/>
      <c r="CC3434" s="23"/>
      <c r="CD3434" s="23"/>
      <c r="CE3434" s="23"/>
      <c r="CF3434" s="23"/>
      <c r="CG3434" s="23"/>
      <c r="CH3434" s="23"/>
      <c r="CI3434" s="23"/>
    </row>
    <row r="3435" spans="1:87" x14ac:dyDescent="0.3">
      <c r="A3435" s="9" t="s">
        <v>24367</v>
      </c>
      <c r="B3435" s="10" t="s">
        <v>24368</v>
      </c>
      <c r="C3435" s="11">
        <v>46059.125</v>
      </c>
      <c r="D3435" s="12">
        <v>8.3333333333333329E-2</v>
      </c>
      <c r="E3435" s="11">
        <v>46059.208333333336</v>
      </c>
      <c r="F3435" s="22" t="s">
        <v>7877</v>
      </c>
      <c r="G3435" s="13" t="b">
        <v>0</v>
      </c>
      <c r="H3435" s="22"/>
      <c r="I3435" s="10" t="s">
        <v>89</v>
      </c>
      <c r="J3435" s="13" t="b">
        <v>0</v>
      </c>
      <c r="K3435" s="13" t="b">
        <v>1</v>
      </c>
      <c r="L3435" s="10" t="s">
        <v>124</v>
      </c>
      <c r="M3435" s="10" t="s">
        <v>91</v>
      </c>
      <c r="N3435" s="10" t="s">
        <v>92</v>
      </c>
      <c r="O3435" s="10"/>
      <c r="P3435" s="10"/>
      <c r="Q3435" s="10" t="s">
        <v>126</v>
      </c>
      <c r="R3435" s="10"/>
      <c r="S3435" s="10"/>
      <c r="T3435" s="10"/>
      <c r="U3435" s="10" t="s">
        <v>334</v>
      </c>
      <c r="V3435" s="10" t="s">
        <v>293</v>
      </c>
      <c r="W3435" s="10" t="s">
        <v>7883</v>
      </c>
      <c r="X3435" s="10" t="s">
        <v>130</v>
      </c>
      <c r="Y3435" s="10" t="s">
        <v>130</v>
      </c>
      <c r="Z3435" s="10" t="s">
        <v>99</v>
      </c>
      <c r="AA3435" s="10" t="s">
        <v>131</v>
      </c>
      <c r="AB3435" s="10" t="s">
        <v>7884</v>
      </c>
      <c r="AC3435" s="10" t="s">
        <v>7885</v>
      </c>
      <c r="AD3435" s="10" t="s">
        <v>2739</v>
      </c>
      <c r="AE3435" s="10" t="s">
        <v>24369</v>
      </c>
      <c r="AF3435" s="15"/>
      <c r="AG3435" s="10"/>
      <c r="AH3435" s="10"/>
      <c r="AI3435" s="10"/>
      <c r="AJ3435" s="10"/>
      <c r="AK3435" s="10"/>
      <c r="AL3435" s="10" t="s">
        <v>20102</v>
      </c>
      <c r="AM3435" s="10"/>
      <c r="AN3435" s="10"/>
      <c r="AO3435" s="13" t="b">
        <v>0</v>
      </c>
      <c r="AP3435" s="22" t="s">
        <v>104</v>
      </c>
      <c r="AQ3435" s="10"/>
      <c r="AR3435" s="17"/>
      <c r="AS3435" s="17"/>
      <c r="AT3435" s="17"/>
      <c r="AU3435" s="17"/>
      <c r="AV3435" s="17"/>
      <c r="AW3435" s="10"/>
      <c r="AX3435" s="17"/>
      <c r="AY3435" s="18" t="s">
        <v>257</v>
      </c>
      <c r="AZ3435" s="10"/>
      <c r="BA3435" s="20" t="b">
        <v>0</v>
      </c>
      <c r="BB3435" s="10"/>
      <c r="BC3435" s="17" t="s">
        <v>257</v>
      </c>
      <c r="BD3435" s="17" t="s">
        <v>257</v>
      </c>
      <c r="BE3435" s="17" t="s">
        <v>257</v>
      </c>
      <c r="BF3435" s="17" t="s">
        <v>257</v>
      </c>
      <c r="BG3435" s="11">
        <f ca="1">IFERROR(__xludf.DUMMYFUNCTION("""COMPUTED_VALUE"""),46059.125)</f>
        <v>46059.125</v>
      </c>
      <c r="BH3435" s="17"/>
      <c r="BI3435" s="17"/>
      <c r="BJ3435" s="15"/>
      <c r="BK3435" s="15"/>
      <c r="BL3435" s="13" t="b">
        <v>0</v>
      </c>
      <c r="BM3435" s="10"/>
      <c r="BN3435" s="10" t="s">
        <v>18577</v>
      </c>
      <c r="BO3435" s="11">
        <v>46015.522222222222</v>
      </c>
      <c r="BP3435" s="11">
        <v>46015.523564814815</v>
      </c>
      <c r="BQ3435" s="15"/>
      <c r="BR3435" s="15"/>
      <c r="BS3435" s="10"/>
      <c r="BT3435" s="10" t="s">
        <v>99</v>
      </c>
      <c r="BU3435" s="10"/>
      <c r="BV3435" s="10"/>
      <c r="BW3435" s="10"/>
      <c r="BX3435" s="10"/>
      <c r="BY3435" s="23"/>
      <c r="BZ3435" s="23"/>
      <c r="CA3435" s="10"/>
      <c r="CB3435" s="23"/>
      <c r="CC3435" s="23"/>
      <c r="CD3435" s="23"/>
      <c r="CE3435" s="23"/>
      <c r="CF3435" s="23"/>
      <c r="CG3435" s="23"/>
      <c r="CH3435" s="23"/>
      <c r="CI3435" s="23"/>
    </row>
    <row r="3436" spans="1:87" x14ac:dyDescent="0.3">
      <c r="A3436" s="9" t="s">
        <v>24370</v>
      </c>
      <c r="B3436" s="10" t="s">
        <v>24371</v>
      </c>
      <c r="C3436" s="11">
        <v>46023.020833333336</v>
      </c>
      <c r="D3436" s="12">
        <v>8.3333333333333329E-2</v>
      </c>
      <c r="E3436" s="11">
        <v>46023.104166666664</v>
      </c>
      <c r="F3436" s="22" t="s">
        <v>9129</v>
      </c>
      <c r="G3436" s="13" t="b">
        <v>0</v>
      </c>
      <c r="H3436" s="22" t="s">
        <v>9130</v>
      </c>
      <c r="I3436" s="10" t="s">
        <v>9131</v>
      </c>
      <c r="J3436" s="13" t="b">
        <v>0</v>
      </c>
      <c r="K3436" s="13" t="b">
        <v>1</v>
      </c>
      <c r="L3436" s="10" t="s">
        <v>124</v>
      </c>
      <c r="M3436" s="10" t="s">
        <v>91</v>
      </c>
      <c r="N3436" s="10" t="s">
        <v>265</v>
      </c>
      <c r="O3436" s="19" t="s">
        <v>24372</v>
      </c>
      <c r="P3436" s="10"/>
      <c r="Q3436" s="10" t="s">
        <v>94</v>
      </c>
      <c r="R3436" s="10"/>
      <c r="S3436" s="10"/>
      <c r="T3436" s="10"/>
      <c r="U3436" s="10" t="s">
        <v>9161</v>
      </c>
      <c r="V3436" s="10" t="s">
        <v>9149</v>
      </c>
      <c r="W3436" s="10" t="s">
        <v>9136</v>
      </c>
      <c r="X3436" s="10" t="s">
        <v>130</v>
      </c>
      <c r="Y3436" s="10" t="s">
        <v>130</v>
      </c>
      <c r="Z3436" s="10" t="s">
        <v>99</v>
      </c>
      <c r="AA3436" s="10" t="s">
        <v>131</v>
      </c>
      <c r="AB3436" s="10" t="s">
        <v>9137</v>
      </c>
      <c r="AC3436" s="10" t="s">
        <v>9138</v>
      </c>
      <c r="AD3436" s="10" t="s">
        <v>24373</v>
      </c>
      <c r="AE3436" s="10" t="s">
        <v>24374</v>
      </c>
      <c r="AF3436" s="15"/>
      <c r="AG3436" s="10"/>
      <c r="AH3436" s="10"/>
      <c r="AI3436" s="10"/>
      <c r="AJ3436" s="10"/>
      <c r="AK3436" s="10" t="s">
        <v>102</v>
      </c>
      <c r="AL3436" s="10" t="s">
        <v>1467</v>
      </c>
      <c r="AM3436" s="10"/>
      <c r="AN3436" s="10"/>
      <c r="AO3436" s="13" t="b">
        <v>0</v>
      </c>
      <c r="AP3436" s="22" t="s">
        <v>104</v>
      </c>
      <c r="AQ3436" s="10">
        <f ca="1">IFERROR(__xludf.DUMMYFUNCTION("""COMPUTED_VALUE"""),4803404)</f>
        <v>4803404</v>
      </c>
      <c r="AR3436" s="17">
        <v>7019</v>
      </c>
      <c r="AS3436" s="17">
        <v>5699</v>
      </c>
      <c r="AT3436" s="17">
        <v>148704.5</v>
      </c>
      <c r="AU3436" s="17">
        <v>11.35</v>
      </c>
      <c r="AV3436" s="17">
        <v>3.6</v>
      </c>
      <c r="AW3436" s="10" t="s">
        <v>105</v>
      </c>
      <c r="AX3436" s="17">
        <v>1395</v>
      </c>
      <c r="AY3436" s="18">
        <v>26.093086506404632</v>
      </c>
      <c r="AZ3436" s="10"/>
      <c r="BA3436" s="20" t="b">
        <v>0</v>
      </c>
      <c r="BB3436" s="10"/>
      <c r="BC3436" s="17">
        <v>7019</v>
      </c>
      <c r="BD3436" s="17">
        <v>5699</v>
      </c>
      <c r="BE3436" s="17">
        <v>148704.5</v>
      </c>
      <c r="BF3436" s="17">
        <v>3.6</v>
      </c>
      <c r="BG3436" s="11">
        <f ca="1">IFERROR(__xludf.DUMMYFUNCTION("""COMPUTED_VALUE"""),46023.0208333333)</f>
        <v>46023.020833333299</v>
      </c>
      <c r="BH3436" s="17" t="s">
        <v>105</v>
      </c>
      <c r="BI3436" s="17"/>
      <c r="BJ3436" s="15"/>
      <c r="BK3436" s="15"/>
      <c r="BL3436" s="13" t="b">
        <v>0</v>
      </c>
      <c r="BM3436" s="10"/>
      <c r="BN3436" s="10" t="s">
        <v>455</v>
      </c>
      <c r="BO3436" s="11">
        <v>46015.555555555555</v>
      </c>
      <c r="BP3436" s="11">
        <v>46015.555844907409</v>
      </c>
      <c r="BQ3436" s="15"/>
      <c r="BR3436" s="15">
        <v>46021.423125000001</v>
      </c>
      <c r="BS3436" s="10" t="s">
        <v>455</v>
      </c>
      <c r="BT3436" s="10" t="s">
        <v>99</v>
      </c>
      <c r="BU3436" s="10" t="s">
        <v>6409</v>
      </c>
      <c r="BV3436" s="10"/>
      <c r="BW3436" s="10"/>
      <c r="BX3436" s="10"/>
      <c r="BY3436" s="23"/>
      <c r="BZ3436" s="23"/>
      <c r="CA3436" s="19" t="s">
        <v>24375</v>
      </c>
      <c r="CB3436" s="23"/>
      <c r="CC3436" s="23"/>
      <c r="CD3436" s="23"/>
      <c r="CE3436" s="23"/>
      <c r="CF3436" s="23"/>
      <c r="CG3436" s="23"/>
      <c r="CH3436" s="23"/>
      <c r="CI3436" s="23"/>
    </row>
    <row r="3437" spans="1:87" x14ac:dyDescent="0.3">
      <c r="A3437" s="9" t="s">
        <v>24376</v>
      </c>
      <c r="B3437" s="10" t="s">
        <v>24377</v>
      </c>
      <c r="C3437" s="11">
        <v>46026.020833333336</v>
      </c>
      <c r="D3437" s="12">
        <v>8.3333333333333329E-2</v>
      </c>
      <c r="E3437" s="11">
        <v>46026.104166666664</v>
      </c>
      <c r="F3437" s="22" t="s">
        <v>9129</v>
      </c>
      <c r="G3437" s="13" t="b">
        <v>0</v>
      </c>
      <c r="H3437" s="22" t="s">
        <v>9130</v>
      </c>
      <c r="I3437" s="10" t="s">
        <v>9131</v>
      </c>
      <c r="J3437" s="13" t="b">
        <v>0</v>
      </c>
      <c r="K3437" s="13" t="b">
        <v>1</v>
      </c>
      <c r="L3437" s="10" t="s">
        <v>124</v>
      </c>
      <c r="M3437" s="10" t="s">
        <v>91</v>
      </c>
      <c r="N3437" s="10" t="s">
        <v>265</v>
      </c>
      <c r="O3437" s="19" t="s">
        <v>24378</v>
      </c>
      <c r="P3437" s="10"/>
      <c r="Q3437" s="10" t="s">
        <v>126</v>
      </c>
      <c r="R3437" s="10"/>
      <c r="S3437" s="19" t="s">
        <v>24379</v>
      </c>
      <c r="T3437" s="10"/>
      <c r="U3437" s="10" t="s">
        <v>9134</v>
      </c>
      <c r="V3437" s="10" t="s">
        <v>21740</v>
      </c>
      <c r="W3437" s="10" t="s">
        <v>9136</v>
      </c>
      <c r="X3437" s="10" t="s">
        <v>130</v>
      </c>
      <c r="Y3437" s="10" t="s">
        <v>130</v>
      </c>
      <c r="Z3437" s="10" t="s">
        <v>99</v>
      </c>
      <c r="AA3437" s="10" t="s">
        <v>131</v>
      </c>
      <c r="AB3437" s="10" t="s">
        <v>9137</v>
      </c>
      <c r="AC3437" s="10" t="s">
        <v>9138</v>
      </c>
      <c r="AD3437" s="10" t="s">
        <v>24380</v>
      </c>
      <c r="AE3437" s="10" t="s">
        <v>24381</v>
      </c>
      <c r="AF3437" s="15"/>
      <c r="AG3437" s="10"/>
      <c r="AH3437" s="10"/>
      <c r="AI3437" s="10"/>
      <c r="AJ3437" s="10"/>
      <c r="AK3437" s="10" t="s">
        <v>102</v>
      </c>
      <c r="AL3437" s="10" t="s">
        <v>1569</v>
      </c>
      <c r="AM3437" s="10"/>
      <c r="AN3437" s="10"/>
      <c r="AO3437" s="13" t="b">
        <v>0</v>
      </c>
      <c r="AP3437" s="22" t="s">
        <v>104</v>
      </c>
      <c r="AQ3437" s="10">
        <f ca="1">IFERROR(__xludf.DUMMYFUNCTION("""COMPUTED_VALUE"""),4819781)</f>
        <v>4819781</v>
      </c>
      <c r="AR3437" s="17">
        <v>4443</v>
      </c>
      <c r="AS3437" s="17">
        <v>3738</v>
      </c>
      <c r="AT3437" s="17">
        <v>23700</v>
      </c>
      <c r="AU3437" s="17">
        <v>5.05</v>
      </c>
      <c r="AV3437" s="17">
        <v>0.95</v>
      </c>
      <c r="AW3437" s="10" t="s">
        <v>105</v>
      </c>
      <c r="AX3437" s="17">
        <v>849</v>
      </c>
      <c r="AY3437" s="18">
        <v>6.3402889245585872</v>
      </c>
      <c r="AZ3437" s="10" t="s">
        <v>136</v>
      </c>
      <c r="BA3437" s="20" t="b">
        <v>0</v>
      </c>
      <c r="BB3437" s="10"/>
      <c r="BC3437" s="17">
        <v>4443</v>
      </c>
      <c r="BD3437" s="17">
        <v>3738</v>
      </c>
      <c r="BE3437" s="17">
        <v>23700</v>
      </c>
      <c r="BF3437" s="17">
        <v>0.95</v>
      </c>
      <c r="BG3437" s="11">
        <f ca="1">IFERROR(__xludf.DUMMYFUNCTION("""COMPUTED_VALUE"""),46026.0208333333)</f>
        <v>46026.020833333299</v>
      </c>
      <c r="BH3437" s="17" t="s">
        <v>105</v>
      </c>
      <c r="BI3437" s="17"/>
      <c r="BJ3437" s="15"/>
      <c r="BK3437" s="15"/>
      <c r="BL3437" s="13" t="b">
        <v>0</v>
      </c>
      <c r="BM3437" s="10"/>
      <c r="BN3437" s="10" t="s">
        <v>278</v>
      </c>
      <c r="BO3437" s="11">
        <v>46015.558333333334</v>
      </c>
      <c r="BP3437" s="11">
        <v>46015.558680555558</v>
      </c>
      <c r="BQ3437" s="15">
        <v>46017.564085648148</v>
      </c>
      <c r="BR3437" s="15">
        <v>46022.410011574073</v>
      </c>
      <c r="BS3437" s="10" t="s">
        <v>278</v>
      </c>
      <c r="BT3437" s="10" t="s">
        <v>99</v>
      </c>
      <c r="BU3437" s="10" t="s">
        <v>5854</v>
      </c>
      <c r="BV3437" s="10"/>
      <c r="BW3437" s="10"/>
      <c r="BX3437" s="10"/>
      <c r="BY3437" s="23"/>
      <c r="BZ3437" s="23"/>
      <c r="CA3437" s="19" t="s">
        <v>24382</v>
      </c>
      <c r="CB3437" s="23"/>
      <c r="CC3437" s="23"/>
      <c r="CD3437" s="19" t="s">
        <v>24383</v>
      </c>
      <c r="CE3437" s="23"/>
      <c r="CF3437" s="23"/>
      <c r="CG3437" s="23"/>
      <c r="CH3437" s="23"/>
      <c r="CI3437" s="23"/>
    </row>
    <row r="3438" spans="1:87" x14ac:dyDescent="0.3">
      <c r="A3438" s="9" t="s">
        <v>24384</v>
      </c>
      <c r="B3438" s="10" t="s">
        <v>24385</v>
      </c>
      <c r="C3438" s="11">
        <v>46027.020833333336</v>
      </c>
      <c r="D3438" s="12">
        <v>8.3333333333333329E-2</v>
      </c>
      <c r="E3438" s="11">
        <v>46027.104166666664</v>
      </c>
      <c r="F3438" s="22" t="s">
        <v>9129</v>
      </c>
      <c r="G3438" s="13" t="b">
        <v>0</v>
      </c>
      <c r="H3438" s="22" t="s">
        <v>9130</v>
      </c>
      <c r="I3438" s="10" t="s">
        <v>9131</v>
      </c>
      <c r="J3438" s="13" t="b">
        <v>0</v>
      </c>
      <c r="K3438" s="13" t="b">
        <v>1</v>
      </c>
      <c r="L3438" s="10" t="s">
        <v>124</v>
      </c>
      <c r="M3438" s="10" t="s">
        <v>91</v>
      </c>
      <c r="N3438" s="10" t="s">
        <v>265</v>
      </c>
      <c r="O3438" s="19" t="s">
        <v>24386</v>
      </c>
      <c r="P3438" s="10"/>
      <c r="Q3438" s="10" t="s">
        <v>94</v>
      </c>
      <c r="R3438" s="10"/>
      <c r="S3438" s="10"/>
      <c r="T3438" s="10"/>
      <c r="U3438" s="10" t="s">
        <v>24387</v>
      </c>
      <c r="V3438" s="10" t="s">
        <v>9149</v>
      </c>
      <c r="W3438" s="10" t="s">
        <v>9136</v>
      </c>
      <c r="X3438" s="10" t="s">
        <v>130</v>
      </c>
      <c r="Y3438" s="10" t="s">
        <v>130</v>
      </c>
      <c r="Z3438" s="10" t="s">
        <v>99</v>
      </c>
      <c r="AA3438" s="10" t="s">
        <v>131</v>
      </c>
      <c r="AB3438" s="10" t="s">
        <v>9137</v>
      </c>
      <c r="AC3438" s="10" t="s">
        <v>9138</v>
      </c>
      <c r="AD3438" s="10" t="s">
        <v>24388</v>
      </c>
      <c r="AE3438" s="10" t="s">
        <v>24389</v>
      </c>
      <c r="AF3438" s="15"/>
      <c r="AG3438" s="10"/>
      <c r="AH3438" s="10"/>
      <c r="AI3438" s="10"/>
      <c r="AJ3438" s="10"/>
      <c r="AK3438" s="10" t="s">
        <v>102</v>
      </c>
      <c r="AL3438" s="10" t="s">
        <v>1569</v>
      </c>
      <c r="AM3438" s="10"/>
      <c r="AN3438" s="10"/>
      <c r="AO3438" s="13" t="b">
        <v>0</v>
      </c>
      <c r="AP3438" s="22" t="s">
        <v>104</v>
      </c>
      <c r="AQ3438" s="10">
        <f ca="1">IFERROR(__xludf.DUMMYFUNCTION("""COMPUTED_VALUE"""),4827322)</f>
        <v>4827322</v>
      </c>
      <c r="AR3438" s="17">
        <v>3649</v>
      </c>
      <c r="AS3438" s="17">
        <v>3053</v>
      </c>
      <c r="AT3438" s="17">
        <v>18414.25</v>
      </c>
      <c r="AU3438" s="17">
        <v>1</v>
      </c>
      <c r="AV3438" s="17">
        <v>0</v>
      </c>
      <c r="AW3438" s="10" t="s">
        <v>105</v>
      </c>
      <c r="AX3438" s="17">
        <v>590</v>
      </c>
      <c r="AY3438" s="18">
        <v>6.0315263675073698</v>
      </c>
      <c r="AZ3438" s="10"/>
      <c r="BA3438" s="20" t="b">
        <v>0</v>
      </c>
      <c r="BB3438" s="10"/>
      <c r="BC3438" s="17">
        <v>3649</v>
      </c>
      <c r="BD3438" s="17">
        <v>3053</v>
      </c>
      <c r="BE3438" s="17">
        <v>18414.25</v>
      </c>
      <c r="BF3438" s="17">
        <v>0</v>
      </c>
      <c r="BG3438" s="11">
        <f ca="1">IFERROR(__xludf.DUMMYFUNCTION("""COMPUTED_VALUE"""),46027.0208333333)</f>
        <v>46027.020833333299</v>
      </c>
      <c r="BH3438" s="17" t="s">
        <v>105</v>
      </c>
      <c r="BI3438" s="17"/>
      <c r="BJ3438" s="15"/>
      <c r="BK3438" s="15"/>
      <c r="BL3438" s="13" t="b">
        <v>0</v>
      </c>
      <c r="BM3438" s="10"/>
      <c r="BN3438" s="10" t="s">
        <v>149</v>
      </c>
      <c r="BO3438" s="11">
        <v>46015.55972222222</v>
      </c>
      <c r="BP3438" s="11">
        <v>46015.560034722221</v>
      </c>
      <c r="BQ3438" s="15"/>
      <c r="BR3438" s="15">
        <v>46025.617534722223</v>
      </c>
      <c r="BS3438" s="10" t="s">
        <v>149</v>
      </c>
      <c r="BT3438" s="10"/>
      <c r="BU3438" s="10"/>
      <c r="BV3438" s="10"/>
      <c r="BW3438" s="10"/>
      <c r="BX3438" s="10"/>
      <c r="BY3438" s="23"/>
      <c r="BZ3438" s="23"/>
      <c r="CA3438" s="19" t="s">
        <v>24390</v>
      </c>
      <c r="CB3438" s="23"/>
      <c r="CC3438" s="23"/>
      <c r="CD3438" s="23"/>
      <c r="CE3438" s="23"/>
      <c r="CF3438" s="23"/>
      <c r="CG3438" s="23"/>
      <c r="CH3438" s="23"/>
      <c r="CI3438" s="23"/>
    </row>
    <row r="3439" spans="1:87" x14ac:dyDescent="0.3">
      <c r="A3439" s="9" t="s">
        <v>24391</v>
      </c>
      <c r="B3439" s="10" t="s">
        <v>24392</v>
      </c>
      <c r="C3439" s="11">
        <v>46025.916666666664</v>
      </c>
      <c r="D3439" s="12">
        <v>8.3333333333333329E-2</v>
      </c>
      <c r="E3439" s="11">
        <v>46026</v>
      </c>
      <c r="F3439" s="22" t="s">
        <v>20865</v>
      </c>
      <c r="G3439" s="13" t="b">
        <v>0</v>
      </c>
      <c r="H3439" s="22" t="s">
        <v>9130</v>
      </c>
      <c r="I3439" s="10" t="s">
        <v>23056</v>
      </c>
      <c r="J3439" s="13" t="b">
        <v>0</v>
      </c>
      <c r="K3439" s="13" t="b">
        <v>1</v>
      </c>
      <c r="L3439" s="10" t="s">
        <v>124</v>
      </c>
      <c r="M3439" s="10" t="s">
        <v>91</v>
      </c>
      <c r="N3439" s="10" t="s">
        <v>265</v>
      </c>
      <c r="O3439" s="19" t="s">
        <v>24393</v>
      </c>
      <c r="P3439" s="10"/>
      <c r="Q3439" s="10" t="s">
        <v>94</v>
      </c>
      <c r="R3439" s="10"/>
      <c r="S3439" s="10"/>
      <c r="T3439" s="10"/>
      <c r="U3439" s="10" t="s">
        <v>20868</v>
      </c>
      <c r="V3439" s="10" t="s">
        <v>24394</v>
      </c>
      <c r="W3439" s="10" t="s">
        <v>20869</v>
      </c>
      <c r="X3439" s="10" t="s">
        <v>130</v>
      </c>
      <c r="Y3439" s="10" t="s">
        <v>130</v>
      </c>
      <c r="Z3439" s="10" t="s">
        <v>99</v>
      </c>
      <c r="AA3439" s="10" t="s">
        <v>131</v>
      </c>
      <c r="AB3439" s="10" t="s">
        <v>20870</v>
      </c>
      <c r="AC3439" s="10" t="s">
        <v>20871</v>
      </c>
      <c r="AD3439" s="10" t="s">
        <v>24395</v>
      </c>
      <c r="AE3439" s="10" t="s">
        <v>24396</v>
      </c>
      <c r="AF3439" s="15"/>
      <c r="AG3439" s="10"/>
      <c r="AH3439" s="10"/>
      <c r="AI3439" s="10"/>
      <c r="AJ3439" s="10"/>
      <c r="AK3439" s="10" t="s">
        <v>102</v>
      </c>
      <c r="AL3439" s="10" t="s">
        <v>2405</v>
      </c>
      <c r="AM3439" s="10"/>
      <c r="AN3439" s="10"/>
      <c r="AO3439" s="13" t="b">
        <v>0</v>
      </c>
      <c r="AP3439" s="22" t="s">
        <v>104</v>
      </c>
      <c r="AQ3439" s="10">
        <f ca="1">IFERROR(__xludf.DUMMYFUNCTION("""COMPUTED_VALUE"""),4819769)</f>
        <v>4819769</v>
      </c>
      <c r="AR3439" s="17">
        <v>2151</v>
      </c>
      <c r="AS3439" s="17">
        <v>1903</v>
      </c>
      <c r="AT3439" s="17">
        <v>6408.75</v>
      </c>
      <c r="AU3439" s="17">
        <v>7.4</v>
      </c>
      <c r="AV3439" s="17">
        <v>2.25</v>
      </c>
      <c r="AW3439" s="10" t="s">
        <v>105</v>
      </c>
      <c r="AX3439" s="17">
        <v>246</v>
      </c>
      <c r="AY3439" s="18">
        <v>3.3677088807146611</v>
      </c>
      <c r="AZ3439" s="10"/>
      <c r="BA3439" s="20" t="b">
        <v>0</v>
      </c>
      <c r="BB3439" s="10"/>
      <c r="BC3439" s="17">
        <v>2151</v>
      </c>
      <c r="BD3439" s="17">
        <v>1903</v>
      </c>
      <c r="BE3439" s="17">
        <v>6408.75</v>
      </c>
      <c r="BF3439" s="17">
        <v>2.25</v>
      </c>
      <c r="BG3439" s="11">
        <f ca="1">IFERROR(__xludf.DUMMYFUNCTION("""COMPUTED_VALUE"""),46025.9166666666)</f>
        <v>46025.916666666599</v>
      </c>
      <c r="BH3439" s="17" t="s">
        <v>105</v>
      </c>
      <c r="BI3439" s="17"/>
      <c r="BJ3439" s="15"/>
      <c r="BK3439" s="15"/>
      <c r="BL3439" s="13" t="b">
        <v>0</v>
      </c>
      <c r="BM3439" s="10"/>
      <c r="BN3439" s="10" t="s">
        <v>1149</v>
      </c>
      <c r="BO3439" s="11">
        <v>46015.5625</v>
      </c>
      <c r="BP3439" s="11">
        <v>46015.563171296293</v>
      </c>
      <c r="BQ3439" s="15"/>
      <c r="BR3439" s="15">
        <v>46022.407905092594</v>
      </c>
      <c r="BS3439" s="10" t="s">
        <v>1149</v>
      </c>
      <c r="BT3439" s="10"/>
      <c r="BU3439" s="10"/>
      <c r="BV3439" s="10"/>
      <c r="BW3439" s="10"/>
      <c r="BX3439" s="10"/>
      <c r="BY3439" s="23"/>
      <c r="BZ3439" s="23"/>
      <c r="CA3439" s="19" t="s">
        <v>24397</v>
      </c>
      <c r="CB3439" s="23"/>
      <c r="CC3439" s="23"/>
      <c r="CD3439" s="23"/>
      <c r="CE3439" s="23"/>
      <c r="CF3439" s="23"/>
      <c r="CG3439" s="23"/>
      <c r="CH3439" s="23"/>
      <c r="CI3439" s="23"/>
    </row>
    <row r="3440" spans="1:87" x14ac:dyDescent="0.3">
      <c r="A3440" s="9" t="s">
        <v>24398</v>
      </c>
      <c r="B3440" s="10" t="s">
        <v>24399</v>
      </c>
      <c r="C3440" s="11">
        <v>46022.934027777781</v>
      </c>
      <c r="D3440" s="12">
        <v>8.3333333333333329E-2</v>
      </c>
      <c r="E3440" s="11">
        <v>46023.017361111109</v>
      </c>
      <c r="F3440" s="22" t="s">
        <v>9129</v>
      </c>
      <c r="G3440" s="13" t="b">
        <v>0</v>
      </c>
      <c r="H3440" s="22" t="s">
        <v>9146</v>
      </c>
      <c r="I3440" s="10" t="s">
        <v>9131</v>
      </c>
      <c r="J3440" s="13" t="b">
        <v>0</v>
      </c>
      <c r="K3440" s="13" t="b">
        <v>1</v>
      </c>
      <c r="L3440" s="10" t="s">
        <v>124</v>
      </c>
      <c r="M3440" s="10" t="s">
        <v>91</v>
      </c>
      <c r="N3440" s="10" t="s">
        <v>265</v>
      </c>
      <c r="O3440" s="19" t="s">
        <v>24400</v>
      </c>
      <c r="P3440" s="10"/>
      <c r="Q3440" s="10" t="s">
        <v>94</v>
      </c>
      <c r="R3440" s="10"/>
      <c r="S3440" s="10"/>
      <c r="T3440" s="10"/>
      <c r="U3440" s="10" t="s">
        <v>14963</v>
      </c>
      <c r="V3440" s="10" t="s">
        <v>9134</v>
      </c>
      <c r="W3440" s="10" t="s">
        <v>9136</v>
      </c>
      <c r="X3440" s="10" t="s">
        <v>130</v>
      </c>
      <c r="Y3440" s="10" t="s">
        <v>130</v>
      </c>
      <c r="Z3440" s="10" t="s">
        <v>99</v>
      </c>
      <c r="AA3440" s="10" t="s">
        <v>131</v>
      </c>
      <c r="AB3440" s="10" t="s">
        <v>9137</v>
      </c>
      <c r="AC3440" s="10" t="s">
        <v>9138</v>
      </c>
      <c r="AD3440" s="10" t="s">
        <v>24401</v>
      </c>
      <c r="AE3440" s="10" t="s">
        <v>24402</v>
      </c>
      <c r="AF3440" s="15"/>
      <c r="AG3440" s="10"/>
      <c r="AH3440" s="10"/>
      <c r="AI3440" s="10"/>
      <c r="AJ3440" s="10"/>
      <c r="AK3440" s="10" t="s">
        <v>102</v>
      </c>
      <c r="AL3440" s="10" t="s">
        <v>1467</v>
      </c>
      <c r="AM3440" s="10"/>
      <c r="AN3440" s="10"/>
      <c r="AO3440" s="13" t="b">
        <v>0</v>
      </c>
      <c r="AP3440" s="22" t="s">
        <v>104</v>
      </c>
      <c r="AQ3440" s="10">
        <f ca="1">IFERROR(__xludf.DUMMYFUNCTION("""COMPUTED_VALUE"""),4802061)</f>
        <v>4802061</v>
      </c>
      <c r="AR3440" s="17">
        <v>9383</v>
      </c>
      <c r="AS3440" s="17">
        <v>7919</v>
      </c>
      <c r="AT3440" s="17">
        <v>71597.25</v>
      </c>
      <c r="AU3440" s="17">
        <v>29.7</v>
      </c>
      <c r="AV3440" s="17">
        <v>2.4</v>
      </c>
      <c r="AW3440" s="10" t="s">
        <v>105</v>
      </c>
      <c r="AX3440" s="17">
        <v>1170</v>
      </c>
      <c r="AY3440" s="18">
        <v>9.0411983836342973</v>
      </c>
      <c r="AZ3440" s="10"/>
      <c r="BA3440" s="20" t="b">
        <v>0</v>
      </c>
      <c r="BB3440" s="10"/>
      <c r="BC3440" s="17">
        <v>9383</v>
      </c>
      <c r="BD3440" s="17">
        <v>7919</v>
      </c>
      <c r="BE3440" s="17">
        <v>71597.25</v>
      </c>
      <c r="BF3440" s="17">
        <v>2.4</v>
      </c>
      <c r="BG3440" s="11">
        <f ca="1">IFERROR(__xludf.DUMMYFUNCTION("""COMPUTED_VALUE"""),46022.9340277777)</f>
        <v>46022.934027777701</v>
      </c>
      <c r="BH3440" s="17" t="s">
        <v>105</v>
      </c>
      <c r="BI3440" s="17"/>
      <c r="BJ3440" s="15"/>
      <c r="BK3440" s="15"/>
      <c r="BL3440" s="13" t="b">
        <v>0</v>
      </c>
      <c r="BM3440" s="10"/>
      <c r="BN3440" s="10" t="s">
        <v>455</v>
      </c>
      <c r="BO3440" s="11">
        <v>46015.565972222219</v>
      </c>
      <c r="BP3440" s="11">
        <v>46015.566238425927</v>
      </c>
      <c r="BQ3440" s="15"/>
      <c r="BR3440" s="15">
        <v>46020.580081018517</v>
      </c>
      <c r="BS3440" s="10" t="s">
        <v>455</v>
      </c>
      <c r="BT3440" s="10" t="s">
        <v>99</v>
      </c>
      <c r="BU3440" s="10" t="s">
        <v>3394</v>
      </c>
      <c r="BV3440" s="10"/>
      <c r="BW3440" s="10"/>
      <c r="BX3440" s="10"/>
      <c r="BY3440" s="23"/>
      <c r="BZ3440" s="23"/>
      <c r="CA3440" s="19" t="s">
        <v>24403</v>
      </c>
      <c r="CB3440" s="23"/>
      <c r="CC3440" s="23"/>
      <c r="CD3440" s="23"/>
      <c r="CE3440" s="23"/>
      <c r="CF3440" s="23"/>
      <c r="CG3440" s="23"/>
      <c r="CH3440" s="23"/>
      <c r="CI3440" s="23"/>
    </row>
    <row r="3441" spans="1:87" x14ac:dyDescent="0.3">
      <c r="A3441" s="9" t="s">
        <v>24404</v>
      </c>
      <c r="B3441" s="10" t="s">
        <v>24405</v>
      </c>
      <c r="C3441" s="11">
        <v>46038.8125</v>
      </c>
      <c r="D3441" s="12">
        <v>0.16666666666666666</v>
      </c>
      <c r="E3441" s="11">
        <v>46038.979166666664</v>
      </c>
      <c r="F3441" s="22" t="s">
        <v>24406</v>
      </c>
      <c r="G3441" s="13" t="b">
        <v>0</v>
      </c>
      <c r="H3441" s="22" t="s">
        <v>20189</v>
      </c>
      <c r="I3441" s="10" t="s">
        <v>8383</v>
      </c>
      <c r="J3441" s="13" t="b">
        <v>0</v>
      </c>
      <c r="K3441" s="13" t="b">
        <v>1</v>
      </c>
      <c r="L3441" s="10" t="s">
        <v>124</v>
      </c>
      <c r="M3441" s="10" t="s">
        <v>91</v>
      </c>
      <c r="N3441" s="10" t="s">
        <v>92</v>
      </c>
      <c r="O3441" s="10"/>
      <c r="P3441" s="10"/>
      <c r="Q3441" s="10" t="s">
        <v>20191</v>
      </c>
      <c r="R3441" s="10"/>
      <c r="S3441" s="10"/>
      <c r="T3441" s="10"/>
      <c r="U3441" s="10"/>
      <c r="V3441" s="10"/>
      <c r="W3441" s="10" t="s">
        <v>20194</v>
      </c>
      <c r="X3441" s="10" t="s">
        <v>8408</v>
      </c>
      <c r="Y3441" s="10" t="s">
        <v>20195</v>
      </c>
      <c r="Z3441" s="10" t="s">
        <v>99</v>
      </c>
      <c r="AA3441" s="10" t="s">
        <v>100</v>
      </c>
      <c r="AB3441" s="10" t="s">
        <v>24407</v>
      </c>
      <c r="AC3441" s="10" t="s">
        <v>20197</v>
      </c>
      <c r="AD3441" s="10" t="s">
        <v>165</v>
      </c>
      <c r="AE3441" s="10" t="s">
        <v>24408</v>
      </c>
      <c r="AF3441" s="15"/>
      <c r="AG3441" s="10"/>
      <c r="AH3441" s="10"/>
      <c r="AI3441" s="10"/>
      <c r="AJ3441" s="10" t="s">
        <v>20199</v>
      </c>
      <c r="AK3441" s="10"/>
      <c r="AL3441" s="10"/>
      <c r="AM3441" s="10"/>
      <c r="AN3441" s="10"/>
      <c r="AO3441" s="13" t="b">
        <v>0</v>
      </c>
      <c r="AP3441" s="22"/>
      <c r="AQ3441" s="10"/>
      <c r="AR3441" s="17"/>
      <c r="AS3441" s="17"/>
      <c r="AT3441" s="17"/>
      <c r="AU3441" s="17"/>
      <c r="AV3441" s="17"/>
      <c r="AW3441" s="10"/>
      <c r="AX3441" s="17"/>
      <c r="AY3441" s="18" t="s">
        <v>257</v>
      </c>
      <c r="AZ3441" s="10"/>
      <c r="BA3441" s="20" t="b">
        <v>0</v>
      </c>
      <c r="BB3441" s="10"/>
      <c r="BC3441" s="17" t="s">
        <v>257</v>
      </c>
      <c r="BD3441" s="17" t="s">
        <v>257</v>
      </c>
      <c r="BE3441" s="17" t="s">
        <v>257</v>
      </c>
      <c r="BF3441" s="17" t="s">
        <v>257</v>
      </c>
      <c r="BG3441" s="11">
        <f ca="1">IFERROR(__xludf.DUMMYFUNCTION("""COMPUTED_VALUE"""),46038.8125)</f>
        <v>46038.8125</v>
      </c>
      <c r="BH3441" s="17"/>
      <c r="BI3441" s="17"/>
      <c r="BJ3441" s="15"/>
      <c r="BK3441" s="15"/>
      <c r="BL3441" s="13" t="b">
        <v>0</v>
      </c>
      <c r="BM3441" s="10"/>
      <c r="BN3441" s="10" t="s">
        <v>8437</v>
      </c>
      <c r="BO3441" s="11">
        <v>46016.631944444445</v>
      </c>
      <c r="BP3441" s="11">
        <v>46016.632453703707</v>
      </c>
      <c r="BQ3441" s="15"/>
      <c r="BR3441" s="15"/>
      <c r="BS3441" s="10"/>
      <c r="BT3441" s="10"/>
      <c r="BU3441" s="10"/>
      <c r="BV3441" s="10"/>
      <c r="BW3441" s="10"/>
      <c r="BX3441" s="10"/>
      <c r="BY3441" s="23"/>
      <c r="BZ3441" s="23"/>
      <c r="CA3441" s="10"/>
      <c r="CB3441" s="23"/>
      <c r="CC3441" s="23"/>
      <c r="CD3441" s="23"/>
      <c r="CE3441" s="23"/>
      <c r="CF3441" s="23"/>
      <c r="CG3441" s="23"/>
      <c r="CH3441" s="23"/>
      <c r="CI3441" s="23"/>
    </row>
    <row r="3442" spans="1:87" x14ac:dyDescent="0.3">
      <c r="A3442" s="9" t="s">
        <v>24409</v>
      </c>
      <c r="B3442" s="10" t="s">
        <v>24410</v>
      </c>
      <c r="C3442" s="11">
        <v>46045.8125</v>
      </c>
      <c r="D3442" s="12">
        <v>0.16666666666666666</v>
      </c>
      <c r="E3442" s="11">
        <v>46045.979166666664</v>
      </c>
      <c r="F3442" s="22" t="s">
        <v>24406</v>
      </c>
      <c r="G3442" s="13" t="b">
        <v>0</v>
      </c>
      <c r="H3442" s="22" t="s">
        <v>20189</v>
      </c>
      <c r="I3442" s="10" t="s">
        <v>8383</v>
      </c>
      <c r="J3442" s="13" t="b">
        <v>0</v>
      </c>
      <c r="K3442" s="13" t="b">
        <v>1</v>
      </c>
      <c r="L3442" s="10" t="s">
        <v>124</v>
      </c>
      <c r="M3442" s="10" t="s">
        <v>91</v>
      </c>
      <c r="N3442" s="10" t="s">
        <v>92</v>
      </c>
      <c r="O3442" s="10"/>
      <c r="P3442" s="10"/>
      <c r="Q3442" s="10" t="s">
        <v>20191</v>
      </c>
      <c r="R3442" s="10"/>
      <c r="S3442" s="10"/>
      <c r="T3442" s="10"/>
      <c r="U3442" s="10"/>
      <c r="V3442" s="10"/>
      <c r="W3442" s="10" t="s">
        <v>20194</v>
      </c>
      <c r="X3442" s="10" t="s">
        <v>8408</v>
      </c>
      <c r="Y3442" s="10" t="s">
        <v>20195</v>
      </c>
      <c r="Z3442" s="10" t="s">
        <v>99</v>
      </c>
      <c r="AA3442" s="10" t="s">
        <v>100</v>
      </c>
      <c r="AB3442" s="10" t="s">
        <v>24407</v>
      </c>
      <c r="AC3442" s="10" t="s">
        <v>20197</v>
      </c>
      <c r="AD3442" s="10" t="s">
        <v>165</v>
      </c>
      <c r="AE3442" s="10" t="s">
        <v>24411</v>
      </c>
      <c r="AF3442" s="15"/>
      <c r="AG3442" s="10"/>
      <c r="AH3442" s="10"/>
      <c r="AI3442" s="10"/>
      <c r="AJ3442" s="10" t="s">
        <v>20199</v>
      </c>
      <c r="AK3442" s="10"/>
      <c r="AL3442" s="10"/>
      <c r="AM3442" s="10"/>
      <c r="AN3442" s="10"/>
      <c r="AO3442" s="13" t="b">
        <v>0</v>
      </c>
      <c r="AP3442" s="22"/>
      <c r="AQ3442" s="10"/>
      <c r="AR3442" s="17"/>
      <c r="AS3442" s="17"/>
      <c r="AT3442" s="17"/>
      <c r="AU3442" s="17"/>
      <c r="AV3442" s="17"/>
      <c r="AW3442" s="10"/>
      <c r="AX3442" s="17"/>
      <c r="AY3442" s="18" t="s">
        <v>257</v>
      </c>
      <c r="AZ3442" s="10"/>
      <c r="BA3442" s="20" t="b">
        <v>0</v>
      </c>
      <c r="BB3442" s="10"/>
      <c r="BC3442" s="17" t="s">
        <v>257</v>
      </c>
      <c r="BD3442" s="17" t="s">
        <v>257</v>
      </c>
      <c r="BE3442" s="17" t="s">
        <v>257</v>
      </c>
      <c r="BF3442" s="17" t="s">
        <v>257</v>
      </c>
      <c r="BG3442" s="11">
        <f ca="1">IFERROR(__xludf.DUMMYFUNCTION("""COMPUTED_VALUE"""),46045.8125)</f>
        <v>46045.8125</v>
      </c>
      <c r="BH3442" s="17"/>
      <c r="BI3442" s="17"/>
      <c r="BJ3442" s="15"/>
      <c r="BK3442" s="15"/>
      <c r="BL3442" s="13" t="b">
        <v>0</v>
      </c>
      <c r="BM3442" s="10"/>
      <c r="BN3442" s="10" t="s">
        <v>8437</v>
      </c>
      <c r="BO3442" s="11">
        <v>46016.633333333331</v>
      </c>
      <c r="BP3442" s="11">
        <v>46016.63380787037</v>
      </c>
      <c r="BQ3442" s="15"/>
      <c r="BR3442" s="15"/>
      <c r="BS3442" s="10"/>
      <c r="BT3442" s="10"/>
      <c r="BU3442" s="10"/>
      <c r="BV3442" s="10"/>
      <c r="BW3442" s="10"/>
      <c r="BX3442" s="10"/>
      <c r="BY3442" s="23"/>
      <c r="BZ3442" s="23"/>
      <c r="CA3442" s="10"/>
      <c r="CB3442" s="23"/>
      <c r="CC3442" s="23"/>
      <c r="CD3442" s="23"/>
      <c r="CE3442" s="23"/>
      <c r="CF3442" s="23"/>
      <c r="CG3442" s="23"/>
      <c r="CH3442" s="23"/>
      <c r="CI3442" s="23"/>
    </row>
    <row r="3443" spans="1:87" x14ac:dyDescent="0.3">
      <c r="A3443" s="9" t="s">
        <v>24412</v>
      </c>
      <c r="B3443" s="10" t="s">
        <v>24413</v>
      </c>
      <c r="C3443" s="11">
        <v>46046.375</v>
      </c>
      <c r="D3443" s="12">
        <v>0.16666666666666666</v>
      </c>
      <c r="E3443" s="11">
        <v>46046.541666666664</v>
      </c>
      <c r="F3443" s="22" t="s">
        <v>24406</v>
      </c>
      <c r="G3443" s="13" t="b">
        <v>0</v>
      </c>
      <c r="H3443" s="22" t="s">
        <v>20189</v>
      </c>
      <c r="I3443" s="10" t="s">
        <v>8383</v>
      </c>
      <c r="J3443" s="13" t="b">
        <v>0</v>
      </c>
      <c r="K3443" s="13" t="b">
        <v>1</v>
      </c>
      <c r="L3443" s="10" t="s">
        <v>124</v>
      </c>
      <c r="M3443" s="10" t="s">
        <v>91</v>
      </c>
      <c r="N3443" s="10" t="s">
        <v>92</v>
      </c>
      <c r="O3443" s="10"/>
      <c r="P3443" s="10"/>
      <c r="Q3443" s="10" t="s">
        <v>20191</v>
      </c>
      <c r="R3443" s="10"/>
      <c r="S3443" s="10"/>
      <c r="T3443" s="10"/>
      <c r="U3443" s="10"/>
      <c r="V3443" s="10"/>
      <c r="W3443" s="10" t="s">
        <v>20194</v>
      </c>
      <c r="X3443" s="10" t="s">
        <v>8408</v>
      </c>
      <c r="Y3443" s="10" t="s">
        <v>20195</v>
      </c>
      <c r="Z3443" s="10" t="s">
        <v>99</v>
      </c>
      <c r="AA3443" s="10" t="s">
        <v>100</v>
      </c>
      <c r="AB3443" s="10" t="s">
        <v>24407</v>
      </c>
      <c r="AC3443" s="10" t="s">
        <v>20197</v>
      </c>
      <c r="AD3443" s="10" t="s">
        <v>165</v>
      </c>
      <c r="AE3443" s="10" t="s">
        <v>24414</v>
      </c>
      <c r="AF3443" s="15"/>
      <c r="AG3443" s="10"/>
      <c r="AH3443" s="10"/>
      <c r="AI3443" s="10"/>
      <c r="AJ3443" s="10" t="s">
        <v>20199</v>
      </c>
      <c r="AK3443" s="10"/>
      <c r="AL3443" s="10"/>
      <c r="AM3443" s="10"/>
      <c r="AN3443" s="10"/>
      <c r="AO3443" s="13" t="b">
        <v>0</v>
      </c>
      <c r="AP3443" s="22"/>
      <c r="AQ3443" s="10"/>
      <c r="AR3443" s="17"/>
      <c r="AS3443" s="17"/>
      <c r="AT3443" s="17"/>
      <c r="AU3443" s="17"/>
      <c r="AV3443" s="17"/>
      <c r="AW3443" s="10"/>
      <c r="AX3443" s="17"/>
      <c r="AY3443" s="18" t="s">
        <v>257</v>
      </c>
      <c r="AZ3443" s="10"/>
      <c r="BA3443" s="20" t="b">
        <v>0</v>
      </c>
      <c r="BB3443" s="10"/>
      <c r="BC3443" s="17" t="s">
        <v>257</v>
      </c>
      <c r="BD3443" s="17" t="s">
        <v>257</v>
      </c>
      <c r="BE3443" s="17" t="s">
        <v>257</v>
      </c>
      <c r="BF3443" s="17" t="s">
        <v>257</v>
      </c>
      <c r="BG3443" s="11">
        <f ca="1">IFERROR(__xludf.DUMMYFUNCTION("""COMPUTED_VALUE"""),46046.375)</f>
        <v>46046.375</v>
      </c>
      <c r="BH3443" s="17"/>
      <c r="BI3443" s="17"/>
      <c r="BJ3443" s="15"/>
      <c r="BK3443" s="15"/>
      <c r="BL3443" s="13" t="b">
        <v>0</v>
      </c>
      <c r="BM3443" s="10"/>
      <c r="BN3443" s="10" t="s">
        <v>8437</v>
      </c>
      <c r="BO3443" s="11">
        <v>46016.634722222225</v>
      </c>
      <c r="BP3443" s="11">
        <v>46016.634791666664</v>
      </c>
      <c r="BQ3443" s="15"/>
      <c r="BR3443" s="15"/>
      <c r="BS3443" s="10"/>
      <c r="BT3443" s="10"/>
      <c r="BU3443" s="10"/>
      <c r="BV3443" s="10"/>
      <c r="BW3443" s="10"/>
      <c r="BX3443" s="10"/>
      <c r="BY3443" s="23"/>
      <c r="BZ3443" s="23"/>
      <c r="CA3443" s="10"/>
      <c r="CB3443" s="23"/>
      <c r="CC3443" s="23"/>
      <c r="CD3443" s="23"/>
      <c r="CE3443" s="23"/>
      <c r="CF3443" s="23"/>
      <c r="CG3443" s="23"/>
      <c r="CH3443" s="23"/>
      <c r="CI3443" s="23"/>
    </row>
    <row r="3444" spans="1:87" x14ac:dyDescent="0.3">
      <c r="A3444" s="9" t="s">
        <v>24415</v>
      </c>
      <c r="B3444" s="10" t="s">
        <v>24416</v>
      </c>
      <c r="C3444" s="11">
        <v>46052.8125</v>
      </c>
      <c r="D3444" s="12">
        <v>0.16666666666666666</v>
      </c>
      <c r="E3444" s="11">
        <v>46052.979166666664</v>
      </c>
      <c r="F3444" s="22" t="s">
        <v>24406</v>
      </c>
      <c r="G3444" s="13" t="b">
        <v>0</v>
      </c>
      <c r="H3444" s="22" t="s">
        <v>20189</v>
      </c>
      <c r="I3444" s="10" t="s">
        <v>8383</v>
      </c>
      <c r="J3444" s="13" t="b">
        <v>0</v>
      </c>
      <c r="K3444" s="13" t="b">
        <v>1</v>
      </c>
      <c r="L3444" s="10" t="s">
        <v>124</v>
      </c>
      <c r="M3444" s="10" t="s">
        <v>91</v>
      </c>
      <c r="N3444" s="10" t="s">
        <v>92</v>
      </c>
      <c r="O3444" s="10"/>
      <c r="P3444" s="10"/>
      <c r="Q3444" s="10" t="s">
        <v>20191</v>
      </c>
      <c r="R3444" s="10"/>
      <c r="S3444" s="10"/>
      <c r="T3444" s="10"/>
      <c r="U3444" s="10"/>
      <c r="V3444" s="10"/>
      <c r="W3444" s="10" t="s">
        <v>20194</v>
      </c>
      <c r="X3444" s="10" t="s">
        <v>8408</v>
      </c>
      <c r="Y3444" s="10" t="s">
        <v>20195</v>
      </c>
      <c r="Z3444" s="10" t="s">
        <v>99</v>
      </c>
      <c r="AA3444" s="10" t="s">
        <v>100</v>
      </c>
      <c r="AB3444" s="10" t="s">
        <v>24407</v>
      </c>
      <c r="AC3444" s="10" t="s">
        <v>20197</v>
      </c>
      <c r="AD3444" s="10" t="s">
        <v>165</v>
      </c>
      <c r="AE3444" s="10" t="s">
        <v>24417</v>
      </c>
      <c r="AF3444" s="15"/>
      <c r="AG3444" s="10"/>
      <c r="AH3444" s="10"/>
      <c r="AI3444" s="10"/>
      <c r="AJ3444" s="10" t="s">
        <v>20199</v>
      </c>
      <c r="AK3444" s="10"/>
      <c r="AL3444" s="10"/>
      <c r="AM3444" s="10"/>
      <c r="AN3444" s="10"/>
      <c r="AO3444" s="13" t="b">
        <v>0</v>
      </c>
      <c r="AP3444" s="22"/>
      <c r="AQ3444" s="10"/>
      <c r="AR3444" s="17"/>
      <c r="AS3444" s="17"/>
      <c r="AT3444" s="17"/>
      <c r="AU3444" s="17"/>
      <c r="AV3444" s="17"/>
      <c r="AW3444" s="10"/>
      <c r="AX3444" s="17"/>
      <c r="AY3444" s="18" t="s">
        <v>257</v>
      </c>
      <c r="AZ3444" s="10"/>
      <c r="BA3444" s="20" t="b">
        <v>0</v>
      </c>
      <c r="BB3444" s="10"/>
      <c r="BC3444" s="17" t="s">
        <v>257</v>
      </c>
      <c r="BD3444" s="17" t="s">
        <v>257</v>
      </c>
      <c r="BE3444" s="17" t="s">
        <v>257</v>
      </c>
      <c r="BF3444" s="17" t="s">
        <v>257</v>
      </c>
      <c r="BG3444" s="11">
        <f ca="1">IFERROR(__xludf.DUMMYFUNCTION("""COMPUTED_VALUE"""),46052.8125)</f>
        <v>46052.8125</v>
      </c>
      <c r="BH3444" s="17"/>
      <c r="BI3444" s="17"/>
      <c r="BJ3444" s="15"/>
      <c r="BK3444" s="15"/>
      <c r="BL3444" s="13" t="b">
        <v>0</v>
      </c>
      <c r="BM3444" s="10"/>
      <c r="BN3444" s="10" t="s">
        <v>8437</v>
      </c>
      <c r="BO3444" s="11">
        <v>46016.635416666664</v>
      </c>
      <c r="BP3444" s="11">
        <v>46016.635752314818</v>
      </c>
      <c r="BQ3444" s="15"/>
      <c r="BR3444" s="15"/>
      <c r="BS3444" s="10"/>
      <c r="BT3444" s="10"/>
      <c r="BU3444" s="10"/>
      <c r="BV3444" s="10"/>
      <c r="BW3444" s="10"/>
      <c r="BX3444" s="10"/>
      <c r="BY3444" s="23"/>
      <c r="BZ3444" s="23"/>
      <c r="CA3444" s="10"/>
      <c r="CB3444" s="23"/>
      <c r="CC3444" s="23"/>
      <c r="CD3444" s="23"/>
      <c r="CE3444" s="23"/>
      <c r="CF3444" s="23"/>
      <c r="CG3444" s="23"/>
      <c r="CH3444" s="23"/>
      <c r="CI3444" s="23"/>
    </row>
    <row r="3445" spans="1:87" x14ac:dyDescent="0.3">
      <c r="A3445" s="9" t="s">
        <v>24418</v>
      </c>
      <c r="B3445" s="10" t="s">
        <v>24419</v>
      </c>
      <c r="C3445" s="11">
        <v>46025.791666666664</v>
      </c>
      <c r="D3445" s="12">
        <v>0.14583333333333334</v>
      </c>
      <c r="E3445" s="11">
        <v>46025.9375</v>
      </c>
      <c r="F3445" s="22" t="s">
        <v>24420</v>
      </c>
      <c r="G3445" s="13" t="b">
        <v>0</v>
      </c>
      <c r="H3445" s="22" t="s">
        <v>8403</v>
      </c>
      <c r="I3445" s="10" t="s">
        <v>212</v>
      </c>
      <c r="J3445" s="13" t="b">
        <v>1</v>
      </c>
      <c r="K3445" s="13" t="b">
        <v>0</v>
      </c>
      <c r="L3445" s="10" t="s">
        <v>124</v>
      </c>
      <c r="M3445" s="10" t="s">
        <v>91</v>
      </c>
      <c r="N3445" s="10" t="s">
        <v>92</v>
      </c>
      <c r="O3445" s="19" t="s">
        <v>24421</v>
      </c>
      <c r="P3445" s="10"/>
      <c r="Q3445" s="10" t="s">
        <v>126</v>
      </c>
      <c r="R3445" s="19" t="s">
        <v>24422</v>
      </c>
      <c r="S3445" s="19" t="s">
        <v>24423</v>
      </c>
      <c r="T3445" s="10"/>
      <c r="U3445" s="10"/>
      <c r="V3445" s="10"/>
      <c r="W3445" s="10" t="s">
        <v>8407</v>
      </c>
      <c r="X3445" s="10" t="s">
        <v>8408</v>
      </c>
      <c r="Y3445" s="10" t="s">
        <v>8409</v>
      </c>
      <c r="Z3445" s="10" t="s">
        <v>99</v>
      </c>
      <c r="AA3445" s="10" t="s">
        <v>100</v>
      </c>
      <c r="AB3445" s="10" t="s">
        <v>24424</v>
      </c>
      <c r="AC3445" s="10" t="s">
        <v>24425</v>
      </c>
      <c r="AD3445" s="10" t="s">
        <v>165</v>
      </c>
      <c r="AE3445" s="10" t="s">
        <v>24426</v>
      </c>
      <c r="AF3445" s="15"/>
      <c r="AG3445" s="10"/>
      <c r="AH3445" s="10"/>
      <c r="AI3445" s="10"/>
      <c r="AJ3445" s="10"/>
      <c r="AK3445" s="10" t="s">
        <v>102</v>
      </c>
      <c r="AL3445" s="10"/>
      <c r="AM3445" s="10"/>
      <c r="AN3445" s="10"/>
      <c r="AO3445" s="13" t="b">
        <v>0</v>
      </c>
      <c r="AP3445" s="22"/>
      <c r="AQ3445" s="10">
        <f ca="1">IFERROR(__xludf.DUMMYFUNCTION("""COMPUTED_VALUE"""),4824473)</f>
        <v>4824473</v>
      </c>
      <c r="AR3445" s="17">
        <v>7180</v>
      </c>
      <c r="AS3445" s="17">
        <v>5436</v>
      </c>
      <c r="AT3445" s="17">
        <v>68742</v>
      </c>
      <c r="AU3445" s="17">
        <v>10.85</v>
      </c>
      <c r="AV3445" s="17">
        <v>3.3</v>
      </c>
      <c r="AW3445" s="10" t="s">
        <v>105</v>
      </c>
      <c r="AX3445" s="17">
        <v>1050</v>
      </c>
      <c r="AY3445" s="18">
        <v>12.64569536423841</v>
      </c>
      <c r="AZ3445" s="10" t="s">
        <v>6778</v>
      </c>
      <c r="BA3445" s="20" t="b">
        <v>0</v>
      </c>
      <c r="BB3445" s="10"/>
      <c r="BC3445" s="17">
        <v>7180</v>
      </c>
      <c r="BD3445" s="17">
        <v>5436</v>
      </c>
      <c r="BE3445" s="17">
        <v>68742</v>
      </c>
      <c r="BF3445" s="17">
        <v>3.3</v>
      </c>
      <c r="BG3445" s="11">
        <f ca="1">IFERROR(__xludf.DUMMYFUNCTION("""COMPUTED_VALUE"""),46025.7916666666)</f>
        <v>46025.791666666599</v>
      </c>
      <c r="BH3445" s="17" t="s">
        <v>105</v>
      </c>
      <c r="BI3445" s="17"/>
      <c r="BJ3445" s="15"/>
      <c r="BK3445" s="15"/>
      <c r="BL3445" s="13" t="b">
        <v>0</v>
      </c>
      <c r="BM3445" s="10"/>
      <c r="BN3445" s="10" t="s">
        <v>197</v>
      </c>
      <c r="BO3445" s="11">
        <v>46017.40347222222</v>
      </c>
      <c r="BP3445" s="11">
        <v>46017.637916666667</v>
      </c>
      <c r="BQ3445" s="15">
        <v>46022.834629629629</v>
      </c>
      <c r="BR3445" s="15">
        <v>46023.047511574077</v>
      </c>
      <c r="BS3445" s="10" t="s">
        <v>197</v>
      </c>
      <c r="BT3445" s="10"/>
      <c r="BU3445" s="10"/>
      <c r="BV3445" s="10"/>
      <c r="BW3445" s="10"/>
      <c r="BX3445" s="10"/>
      <c r="BY3445" s="23"/>
      <c r="BZ3445" s="23"/>
      <c r="CA3445" s="19" t="s">
        <v>24427</v>
      </c>
      <c r="CB3445" s="23"/>
      <c r="CC3445" s="23"/>
      <c r="CD3445" s="19" t="s">
        <v>24428</v>
      </c>
      <c r="CE3445" s="23"/>
      <c r="CF3445" s="23"/>
      <c r="CG3445" s="23"/>
      <c r="CH3445" s="23"/>
      <c r="CI3445" s="23"/>
    </row>
    <row r="3446" spans="1:87" x14ac:dyDescent="0.3">
      <c r="A3446" s="9" t="s">
        <v>24429</v>
      </c>
      <c r="B3446" s="10" t="s">
        <v>24430</v>
      </c>
      <c r="C3446" s="11">
        <v>46028.333333333336</v>
      </c>
      <c r="D3446" s="12">
        <v>0.16666666666666666</v>
      </c>
      <c r="E3446" s="11">
        <v>46028.5</v>
      </c>
      <c r="F3446" s="22" t="s">
        <v>24431</v>
      </c>
      <c r="G3446" s="13" t="b">
        <v>0</v>
      </c>
      <c r="H3446" s="22" t="s">
        <v>3215</v>
      </c>
      <c r="I3446" s="10" t="s">
        <v>89</v>
      </c>
      <c r="J3446" s="13" t="b">
        <v>0</v>
      </c>
      <c r="K3446" s="13" t="b">
        <v>1</v>
      </c>
      <c r="L3446" s="10" t="s">
        <v>124</v>
      </c>
      <c r="M3446" s="10" t="s">
        <v>91</v>
      </c>
      <c r="N3446" s="10" t="s">
        <v>265</v>
      </c>
      <c r="O3446" s="19" t="s">
        <v>24432</v>
      </c>
      <c r="P3446" s="10"/>
      <c r="Q3446" s="10" t="s">
        <v>126</v>
      </c>
      <c r="R3446" s="10"/>
      <c r="S3446" s="19" t="s">
        <v>24433</v>
      </c>
      <c r="T3446" s="10"/>
      <c r="U3446" s="10"/>
      <c r="V3446" s="10"/>
      <c r="W3446" s="10" t="s">
        <v>24434</v>
      </c>
      <c r="X3446" s="10" t="s">
        <v>21724</v>
      </c>
      <c r="Y3446" s="10" t="s">
        <v>21724</v>
      </c>
      <c r="Z3446" s="10" t="s">
        <v>99</v>
      </c>
      <c r="AA3446" s="10" t="s">
        <v>131</v>
      </c>
      <c r="AB3446" s="10" t="s">
        <v>24435</v>
      </c>
      <c r="AC3446" s="10" t="s">
        <v>24436</v>
      </c>
      <c r="AD3446" s="10" t="s">
        <v>165</v>
      </c>
      <c r="AE3446" s="10" t="s">
        <v>24437</v>
      </c>
      <c r="AF3446" s="15"/>
      <c r="AG3446" s="10"/>
      <c r="AH3446" s="10"/>
      <c r="AI3446" s="10"/>
      <c r="AJ3446" s="10"/>
      <c r="AK3446" s="10" t="s">
        <v>102</v>
      </c>
      <c r="AL3446" s="10"/>
      <c r="AM3446" s="10"/>
      <c r="AN3446" s="10"/>
      <c r="AO3446" s="13" t="b">
        <v>0</v>
      </c>
      <c r="AP3446" s="22" t="s">
        <v>135</v>
      </c>
      <c r="AQ3446" s="10">
        <f ca="1">IFERROR(__xludf.DUMMYFUNCTION("""COMPUTED_VALUE"""),4831356)</f>
        <v>4831356</v>
      </c>
      <c r="AR3446" s="17">
        <v>3953</v>
      </c>
      <c r="AS3446" s="17">
        <v>2197</v>
      </c>
      <c r="AT3446" s="17">
        <v>39748.75</v>
      </c>
      <c r="AU3446" s="17">
        <v>16.55</v>
      </c>
      <c r="AV3446" s="17">
        <v>4.75</v>
      </c>
      <c r="AW3446" s="10" t="s">
        <v>105</v>
      </c>
      <c r="AX3446" s="17">
        <v>344</v>
      </c>
      <c r="AY3446" s="18">
        <v>18.092284934000912</v>
      </c>
      <c r="AZ3446" s="10" t="s">
        <v>148</v>
      </c>
      <c r="BA3446" s="20" t="b">
        <v>0</v>
      </c>
      <c r="BB3446" s="10"/>
      <c r="BC3446" s="17">
        <v>3953</v>
      </c>
      <c r="BD3446" s="17">
        <v>2197</v>
      </c>
      <c r="BE3446" s="17">
        <v>39748.75</v>
      </c>
      <c r="BF3446" s="17">
        <v>4.75</v>
      </c>
      <c r="BG3446" s="11">
        <f ca="1">IFERROR(__xludf.DUMMYFUNCTION("""COMPUTED_VALUE"""),46028.3333333333)</f>
        <v>46028.333333333299</v>
      </c>
      <c r="BH3446" s="17" t="s">
        <v>105</v>
      </c>
      <c r="BI3446" s="17"/>
      <c r="BJ3446" s="15"/>
      <c r="BK3446" s="15"/>
      <c r="BL3446" s="13" t="b">
        <v>0</v>
      </c>
      <c r="BM3446" s="10"/>
      <c r="BN3446" s="10" t="s">
        <v>4030</v>
      </c>
      <c r="BO3446" s="11">
        <v>46017.430555555555</v>
      </c>
      <c r="BP3446" s="11">
        <v>46024.850844907407</v>
      </c>
      <c r="BQ3446" s="15">
        <v>46027.616122685184</v>
      </c>
      <c r="BR3446" s="15">
        <v>46027.796898148146</v>
      </c>
      <c r="BS3446" s="10" t="s">
        <v>4030</v>
      </c>
      <c r="BT3446" s="10"/>
      <c r="BU3446" s="10"/>
      <c r="BV3446" s="10"/>
      <c r="BW3446" s="10"/>
      <c r="BX3446" s="10"/>
      <c r="BY3446" s="23"/>
      <c r="BZ3446" s="23"/>
      <c r="CA3446" s="19" t="s">
        <v>24438</v>
      </c>
      <c r="CB3446" s="23"/>
      <c r="CC3446" s="23"/>
      <c r="CD3446" s="19" t="s">
        <v>24439</v>
      </c>
      <c r="CE3446" s="23"/>
      <c r="CF3446" s="23"/>
      <c r="CG3446" s="23"/>
      <c r="CH3446" s="23"/>
      <c r="CI3446" s="23"/>
    </row>
    <row r="3447" spans="1:87" x14ac:dyDescent="0.3">
      <c r="A3447" s="9" t="s">
        <v>24440</v>
      </c>
      <c r="B3447" s="10" t="s">
        <v>24441</v>
      </c>
      <c r="C3447" s="11">
        <v>46028.708333333336</v>
      </c>
      <c r="D3447" s="12">
        <v>0.10416666666666667</v>
      </c>
      <c r="E3447" s="11">
        <v>46028.8125</v>
      </c>
      <c r="F3447" s="22" t="s">
        <v>24431</v>
      </c>
      <c r="G3447" s="13" t="b">
        <v>0</v>
      </c>
      <c r="H3447" s="22" t="s">
        <v>3215</v>
      </c>
      <c r="I3447" s="10" t="s">
        <v>89</v>
      </c>
      <c r="J3447" s="13" t="b">
        <v>0</v>
      </c>
      <c r="K3447" s="13" t="b">
        <v>1</v>
      </c>
      <c r="L3447" s="10" t="s">
        <v>124</v>
      </c>
      <c r="M3447" s="10" t="s">
        <v>91</v>
      </c>
      <c r="N3447" s="10" t="s">
        <v>265</v>
      </c>
      <c r="O3447" s="19" t="s">
        <v>24442</v>
      </c>
      <c r="P3447" s="10"/>
      <c r="Q3447" s="10" t="s">
        <v>126</v>
      </c>
      <c r="R3447" s="10"/>
      <c r="S3447" s="19" t="s">
        <v>24443</v>
      </c>
      <c r="T3447" s="10"/>
      <c r="U3447" s="10"/>
      <c r="V3447" s="10"/>
      <c r="W3447" s="10" t="s">
        <v>24434</v>
      </c>
      <c r="X3447" s="10" t="s">
        <v>21724</v>
      </c>
      <c r="Y3447" s="10" t="s">
        <v>21724</v>
      </c>
      <c r="Z3447" s="10" t="s">
        <v>99</v>
      </c>
      <c r="AA3447" s="10" t="s">
        <v>131</v>
      </c>
      <c r="AB3447" s="10" t="s">
        <v>24435</v>
      </c>
      <c r="AC3447" s="10" t="s">
        <v>24436</v>
      </c>
      <c r="AD3447" s="10" t="s">
        <v>165</v>
      </c>
      <c r="AE3447" s="10" t="s">
        <v>24444</v>
      </c>
      <c r="AF3447" s="15"/>
      <c r="AG3447" s="10"/>
      <c r="AH3447" s="10"/>
      <c r="AI3447" s="10"/>
      <c r="AJ3447" s="10"/>
      <c r="AK3447" s="10" t="s">
        <v>102</v>
      </c>
      <c r="AL3447" s="10"/>
      <c r="AM3447" s="10"/>
      <c r="AN3447" s="10"/>
      <c r="AO3447" s="13" t="b">
        <v>0</v>
      </c>
      <c r="AP3447" s="22" t="s">
        <v>135</v>
      </c>
      <c r="AQ3447" s="10">
        <f ca="1">IFERROR(__xludf.DUMMYFUNCTION("""COMPUTED_VALUE"""),4831357)</f>
        <v>4831357</v>
      </c>
      <c r="AR3447" s="17">
        <v>6351</v>
      </c>
      <c r="AS3447" s="17">
        <v>3708</v>
      </c>
      <c r="AT3447" s="17">
        <v>54692.5</v>
      </c>
      <c r="AU3447" s="17">
        <v>19.7</v>
      </c>
      <c r="AV3447" s="17">
        <v>4.05</v>
      </c>
      <c r="AW3447" s="10" t="s">
        <v>105</v>
      </c>
      <c r="AX3447" s="17">
        <v>778</v>
      </c>
      <c r="AY3447" s="18">
        <v>14.749865156418554</v>
      </c>
      <c r="AZ3447" s="10" t="s">
        <v>148</v>
      </c>
      <c r="BA3447" s="20" t="b">
        <v>0</v>
      </c>
      <c r="BB3447" s="10"/>
      <c r="BC3447" s="17">
        <v>6351</v>
      </c>
      <c r="BD3447" s="17">
        <v>3708</v>
      </c>
      <c r="BE3447" s="17">
        <v>54692.5</v>
      </c>
      <c r="BF3447" s="17">
        <v>4.05</v>
      </c>
      <c r="BG3447" s="11">
        <f ca="1">IFERROR(__xludf.DUMMYFUNCTION("""COMPUTED_VALUE"""),46028.7083333333)</f>
        <v>46028.708333333299</v>
      </c>
      <c r="BH3447" s="17" t="s">
        <v>105</v>
      </c>
      <c r="BI3447" s="17"/>
      <c r="BJ3447" s="15"/>
      <c r="BK3447" s="15"/>
      <c r="BL3447" s="13" t="b">
        <v>0</v>
      </c>
      <c r="BM3447" s="10"/>
      <c r="BN3447" s="10" t="s">
        <v>4030</v>
      </c>
      <c r="BO3447" s="11">
        <v>46017.432638888888</v>
      </c>
      <c r="BP3447" s="11">
        <v>46024.850925925923</v>
      </c>
      <c r="BQ3447" s="15">
        <v>46027.616273148145</v>
      </c>
      <c r="BR3447" s="15">
        <v>46027.83971064815</v>
      </c>
      <c r="BS3447" s="10" t="s">
        <v>4030</v>
      </c>
      <c r="BT3447" s="10"/>
      <c r="BU3447" s="10"/>
      <c r="BV3447" s="10"/>
      <c r="BW3447" s="10"/>
      <c r="BX3447" s="10"/>
      <c r="BY3447" s="23"/>
      <c r="BZ3447" s="23"/>
      <c r="CA3447" s="19" t="s">
        <v>24445</v>
      </c>
      <c r="CB3447" s="23"/>
      <c r="CC3447" s="23"/>
      <c r="CD3447" s="19" t="s">
        <v>24446</v>
      </c>
      <c r="CE3447" s="23"/>
      <c r="CF3447" s="23"/>
      <c r="CG3447" s="23"/>
      <c r="CH3447" s="23"/>
      <c r="CI3447" s="23"/>
    </row>
    <row r="3448" spans="1:87" x14ac:dyDescent="0.3">
      <c r="A3448" s="9" t="s">
        <v>24447</v>
      </c>
      <c r="B3448" s="10" t="s">
        <v>24448</v>
      </c>
      <c r="C3448" s="11">
        <v>46029.333333333336</v>
      </c>
      <c r="D3448" s="12">
        <v>0.39583333333333331</v>
      </c>
      <c r="E3448" s="11">
        <v>46029.729166666664</v>
      </c>
      <c r="F3448" s="22" t="s">
        <v>24431</v>
      </c>
      <c r="G3448" s="13" t="b">
        <v>0</v>
      </c>
      <c r="H3448" s="22" t="s">
        <v>3215</v>
      </c>
      <c r="I3448" s="10" t="s">
        <v>89</v>
      </c>
      <c r="J3448" s="13" t="b">
        <v>0</v>
      </c>
      <c r="K3448" s="13" t="b">
        <v>1</v>
      </c>
      <c r="L3448" s="10" t="s">
        <v>124</v>
      </c>
      <c r="M3448" s="10" t="s">
        <v>91</v>
      </c>
      <c r="N3448" s="10" t="s">
        <v>265</v>
      </c>
      <c r="O3448" s="19" t="s">
        <v>24449</v>
      </c>
      <c r="P3448" s="10"/>
      <c r="Q3448" s="10" t="s">
        <v>126</v>
      </c>
      <c r="R3448" s="10"/>
      <c r="S3448" s="19" t="s">
        <v>24450</v>
      </c>
      <c r="T3448" s="10"/>
      <c r="U3448" s="10"/>
      <c r="V3448" s="10"/>
      <c r="W3448" s="10" t="s">
        <v>24434</v>
      </c>
      <c r="X3448" s="10" t="s">
        <v>21724</v>
      </c>
      <c r="Y3448" s="10" t="s">
        <v>21724</v>
      </c>
      <c r="Z3448" s="10" t="s">
        <v>99</v>
      </c>
      <c r="AA3448" s="10" t="s">
        <v>131</v>
      </c>
      <c r="AB3448" s="10" t="s">
        <v>24435</v>
      </c>
      <c r="AC3448" s="10" t="s">
        <v>24436</v>
      </c>
      <c r="AD3448" s="10" t="s">
        <v>165</v>
      </c>
      <c r="AE3448" s="10" t="s">
        <v>24451</v>
      </c>
      <c r="AF3448" s="15"/>
      <c r="AG3448" s="10"/>
      <c r="AH3448" s="10"/>
      <c r="AI3448" s="10"/>
      <c r="AJ3448" s="10"/>
      <c r="AK3448" s="10" t="s">
        <v>102</v>
      </c>
      <c r="AL3448" s="10"/>
      <c r="AM3448" s="10"/>
      <c r="AN3448" s="10"/>
      <c r="AO3448" s="13" t="b">
        <v>0</v>
      </c>
      <c r="AP3448" s="22" t="s">
        <v>135</v>
      </c>
      <c r="AQ3448" s="10">
        <f ca="1">IFERROR(__xludf.DUMMYFUNCTION("""COMPUTED_VALUE"""),4831358)</f>
        <v>4831358</v>
      </c>
      <c r="AR3448" s="17">
        <v>10596</v>
      </c>
      <c r="AS3448" s="17">
        <v>4667</v>
      </c>
      <c r="AT3448" s="17">
        <v>147318.25</v>
      </c>
      <c r="AU3448" s="17">
        <v>24.9</v>
      </c>
      <c r="AV3448" s="17">
        <v>7.6</v>
      </c>
      <c r="AW3448" s="10" t="s">
        <v>105</v>
      </c>
      <c r="AX3448" s="17">
        <v>517</v>
      </c>
      <c r="AY3448" s="18">
        <v>31.565941718448681</v>
      </c>
      <c r="AZ3448" s="10" t="s">
        <v>148</v>
      </c>
      <c r="BA3448" s="20" t="b">
        <v>0</v>
      </c>
      <c r="BB3448" s="10"/>
      <c r="BC3448" s="17">
        <v>10596</v>
      </c>
      <c r="BD3448" s="17">
        <v>4667</v>
      </c>
      <c r="BE3448" s="17">
        <v>147318.25</v>
      </c>
      <c r="BF3448" s="17">
        <v>7.6</v>
      </c>
      <c r="BG3448" s="11">
        <f ca="1">IFERROR(__xludf.DUMMYFUNCTION("""COMPUTED_VALUE"""),46029.3333333333)</f>
        <v>46029.333333333299</v>
      </c>
      <c r="BH3448" s="17" t="s">
        <v>105</v>
      </c>
      <c r="BI3448" s="17"/>
      <c r="BJ3448" s="15"/>
      <c r="BK3448" s="15"/>
      <c r="BL3448" s="13" t="b">
        <v>0</v>
      </c>
      <c r="BM3448" s="10"/>
      <c r="BN3448" s="10" t="s">
        <v>4030</v>
      </c>
      <c r="BO3448" s="11">
        <v>46017.434027777781</v>
      </c>
      <c r="BP3448" s="11">
        <v>46024.851273148146</v>
      </c>
      <c r="BQ3448" s="15">
        <v>46027.616446759261</v>
      </c>
      <c r="BR3448" s="15">
        <v>46027.842476851853</v>
      </c>
      <c r="BS3448" s="10" t="s">
        <v>4030</v>
      </c>
      <c r="BT3448" s="10"/>
      <c r="BU3448" s="10"/>
      <c r="BV3448" s="10"/>
      <c r="BW3448" s="10"/>
      <c r="BX3448" s="10"/>
      <c r="BY3448" s="23"/>
      <c r="BZ3448" s="23"/>
      <c r="CA3448" s="19" t="s">
        <v>24452</v>
      </c>
      <c r="CB3448" s="23"/>
      <c r="CC3448" s="23"/>
      <c r="CD3448" s="19" t="s">
        <v>24453</v>
      </c>
      <c r="CE3448" s="23"/>
      <c r="CF3448" s="23"/>
      <c r="CG3448" s="23"/>
      <c r="CH3448" s="23"/>
      <c r="CI3448" s="23"/>
    </row>
    <row r="3449" spans="1:87" x14ac:dyDescent="0.3">
      <c r="A3449" s="9" t="s">
        <v>24454</v>
      </c>
      <c r="B3449" s="10" t="s">
        <v>24455</v>
      </c>
      <c r="C3449" s="11">
        <v>46030.333333333336</v>
      </c>
      <c r="D3449" s="12">
        <v>0.47916666666666669</v>
      </c>
      <c r="E3449" s="11">
        <v>46030.8125</v>
      </c>
      <c r="F3449" s="22" t="s">
        <v>24431</v>
      </c>
      <c r="G3449" s="13" t="b">
        <v>0</v>
      </c>
      <c r="H3449" s="22" t="s">
        <v>3215</v>
      </c>
      <c r="I3449" s="10" t="s">
        <v>89</v>
      </c>
      <c r="J3449" s="13" t="b">
        <v>0</v>
      </c>
      <c r="K3449" s="13" t="b">
        <v>1</v>
      </c>
      <c r="L3449" s="10" t="s">
        <v>124</v>
      </c>
      <c r="M3449" s="10" t="s">
        <v>91</v>
      </c>
      <c r="N3449" s="10" t="s">
        <v>265</v>
      </c>
      <c r="O3449" s="19" t="s">
        <v>24456</v>
      </c>
      <c r="P3449" s="10"/>
      <c r="Q3449" s="10" t="s">
        <v>126</v>
      </c>
      <c r="R3449" s="10"/>
      <c r="S3449" s="19" t="s">
        <v>24457</v>
      </c>
      <c r="T3449" s="10"/>
      <c r="U3449" s="10"/>
      <c r="V3449" s="10"/>
      <c r="W3449" s="10" t="s">
        <v>24434</v>
      </c>
      <c r="X3449" s="10" t="s">
        <v>21724</v>
      </c>
      <c r="Y3449" s="10" t="s">
        <v>21724</v>
      </c>
      <c r="Z3449" s="10" t="s">
        <v>99</v>
      </c>
      <c r="AA3449" s="10" t="s">
        <v>131</v>
      </c>
      <c r="AB3449" s="10" t="s">
        <v>24435</v>
      </c>
      <c r="AC3449" s="10" t="s">
        <v>24436</v>
      </c>
      <c r="AD3449" s="10" t="s">
        <v>165</v>
      </c>
      <c r="AE3449" s="10" t="s">
        <v>24458</v>
      </c>
      <c r="AF3449" s="15"/>
      <c r="AG3449" s="10"/>
      <c r="AH3449" s="10"/>
      <c r="AI3449" s="10"/>
      <c r="AJ3449" s="10"/>
      <c r="AK3449" s="10" t="s">
        <v>102</v>
      </c>
      <c r="AL3449" s="10"/>
      <c r="AM3449" s="10"/>
      <c r="AN3449" s="10"/>
      <c r="AO3449" s="13" t="b">
        <v>0</v>
      </c>
      <c r="AP3449" s="22" t="s">
        <v>135</v>
      </c>
      <c r="AQ3449" s="10">
        <f ca="1">IFERROR(__xludf.DUMMYFUNCTION("""COMPUTED_VALUE"""),4831359)</f>
        <v>4831359</v>
      </c>
      <c r="AR3449" s="17">
        <v>18842</v>
      </c>
      <c r="AS3449" s="17">
        <v>7052</v>
      </c>
      <c r="AT3449" s="17">
        <v>325670</v>
      </c>
      <c r="AU3449" s="17">
        <v>61.6</v>
      </c>
      <c r="AV3449" s="17">
        <v>19.649999999999999</v>
      </c>
      <c r="AW3449" s="10" t="s">
        <v>105</v>
      </c>
      <c r="AX3449" s="17">
        <v>1202</v>
      </c>
      <c r="AY3449" s="18">
        <v>46.181225184344868</v>
      </c>
      <c r="AZ3449" s="10" t="s">
        <v>148</v>
      </c>
      <c r="BA3449" s="20" t="b">
        <v>0</v>
      </c>
      <c r="BB3449" s="10"/>
      <c r="BC3449" s="17">
        <v>18842</v>
      </c>
      <c r="BD3449" s="17">
        <v>7052</v>
      </c>
      <c r="BE3449" s="17">
        <v>325670</v>
      </c>
      <c r="BF3449" s="17">
        <v>19.649999999999999</v>
      </c>
      <c r="BG3449" s="11">
        <f ca="1">IFERROR(__xludf.DUMMYFUNCTION("""COMPUTED_VALUE"""),46030.3333333333)</f>
        <v>46030.333333333299</v>
      </c>
      <c r="BH3449" s="17" t="s">
        <v>105</v>
      </c>
      <c r="BI3449" s="17"/>
      <c r="BJ3449" s="15"/>
      <c r="BK3449" s="15"/>
      <c r="BL3449" s="13" t="b">
        <v>0</v>
      </c>
      <c r="BM3449" s="10"/>
      <c r="BN3449" s="10" t="s">
        <v>4030</v>
      </c>
      <c r="BO3449" s="11">
        <v>46017.435416666667</v>
      </c>
      <c r="BP3449" s="11">
        <v>46024.852523148147</v>
      </c>
      <c r="BQ3449" s="15">
        <v>46027.617268518516</v>
      </c>
      <c r="BR3449" s="15">
        <v>46027.842800925922</v>
      </c>
      <c r="BS3449" s="10" t="s">
        <v>4030</v>
      </c>
      <c r="BT3449" s="10"/>
      <c r="BU3449" s="10"/>
      <c r="BV3449" s="10"/>
      <c r="BW3449" s="10"/>
      <c r="BX3449" s="10"/>
      <c r="BY3449" s="23"/>
      <c r="BZ3449" s="23"/>
      <c r="CA3449" s="19" t="s">
        <v>24459</v>
      </c>
      <c r="CB3449" s="23"/>
      <c r="CC3449" s="23"/>
      <c r="CD3449" s="19" t="s">
        <v>24460</v>
      </c>
      <c r="CE3449" s="23"/>
      <c r="CF3449" s="23"/>
      <c r="CG3449" s="23"/>
      <c r="CH3449" s="23"/>
      <c r="CI3449" s="23"/>
    </row>
    <row r="3450" spans="1:87" x14ac:dyDescent="0.3">
      <c r="A3450" s="9" t="s">
        <v>24461</v>
      </c>
      <c r="B3450" s="10" t="s">
        <v>24462</v>
      </c>
      <c r="C3450" s="11">
        <v>46031.333333333336</v>
      </c>
      <c r="D3450" s="12">
        <v>0.25</v>
      </c>
      <c r="E3450" s="11">
        <v>46031.583333333336</v>
      </c>
      <c r="F3450" s="22" t="s">
        <v>24431</v>
      </c>
      <c r="G3450" s="13" t="b">
        <v>0</v>
      </c>
      <c r="H3450" s="22" t="s">
        <v>3215</v>
      </c>
      <c r="I3450" s="10" t="s">
        <v>89</v>
      </c>
      <c r="J3450" s="13" t="b">
        <v>0</v>
      </c>
      <c r="K3450" s="13" t="b">
        <v>1</v>
      </c>
      <c r="L3450" s="10" t="s">
        <v>124</v>
      </c>
      <c r="M3450" s="10" t="s">
        <v>91</v>
      </c>
      <c r="N3450" s="10" t="s">
        <v>265</v>
      </c>
      <c r="O3450" s="19" t="s">
        <v>24463</v>
      </c>
      <c r="P3450" s="10"/>
      <c r="Q3450" s="10" t="s">
        <v>126</v>
      </c>
      <c r="R3450" s="10"/>
      <c r="S3450" s="19" t="s">
        <v>24464</v>
      </c>
      <c r="T3450" s="10"/>
      <c r="U3450" s="10"/>
      <c r="V3450" s="10"/>
      <c r="W3450" s="10" t="s">
        <v>24434</v>
      </c>
      <c r="X3450" s="10" t="s">
        <v>21724</v>
      </c>
      <c r="Y3450" s="10" t="s">
        <v>21724</v>
      </c>
      <c r="Z3450" s="10" t="s">
        <v>99</v>
      </c>
      <c r="AA3450" s="10" t="s">
        <v>131</v>
      </c>
      <c r="AB3450" s="10" t="s">
        <v>24435</v>
      </c>
      <c r="AC3450" s="10" t="s">
        <v>24436</v>
      </c>
      <c r="AD3450" s="10" t="s">
        <v>165</v>
      </c>
      <c r="AE3450" s="10" t="s">
        <v>24465</v>
      </c>
      <c r="AF3450" s="15"/>
      <c r="AG3450" s="10"/>
      <c r="AH3450" s="10"/>
      <c r="AI3450" s="10"/>
      <c r="AJ3450" s="10"/>
      <c r="AK3450" s="10" t="s">
        <v>102</v>
      </c>
      <c r="AL3450" s="10" t="s">
        <v>19004</v>
      </c>
      <c r="AM3450" s="10"/>
      <c r="AN3450" s="10"/>
      <c r="AO3450" s="13" t="b">
        <v>0</v>
      </c>
      <c r="AP3450" s="22" t="s">
        <v>135</v>
      </c>
      <c r="AQ3450" s="10">
        <f ca="1">IFERROR(__xludf.DUMMYFUNCTION("""COMPUTED_VALUE"""),4832230)</f>
        <v>4832230</v>
      </c>
      <c r="AR3450" s="17">
        <v>11951</v>
      </c>
      <c r="AS3450" s="17">
        <v>5619</v>
      </c>
      <c r="AT3450" s="17">
        <v>293138.75</v>
      </c>
      <c r="AU3450" s="17">
        <v>49.15</v>
      </c>
      <c r="AV3450" s="17">
        <v>20.25</v>
      </c>
      <c r="AW3450" s="10" t="s">
        <v>105</v>
      </c>
      <c r="AX3450" s="17">
        <v>1188</v>
      </c>
      <c r="AY3450" s="18">
        <v>52.169202705107672</v>
      </c>
      <c r="AZ3450" s="10" t="s">
        <v>148</v>
      </c>
      <c r="BA3450" s="20" t="b">
        <v>0</v>
      </c>
      <c r="BB3450" s="10"/>
      <c r="BC3450" s="17">
        <v>11951</v>
      </c>
      <c r="BD3450" s="17">
        <v>5619</v>
      </c>
      <c r="BE3450" s="17">
        <v>293138.75</v>
      </c>
      <c r="BF3450" s="17">
        <v>20.25</v>
      </c>
      <c r="BG3450" s="11">
        <f ca="1">IFERROR(__xludf.DUMMYFUNCTION("""COMPUTED_VALUE"""),46031.3333333333)</f>
        <v>46031.333333333299</v>
      </c>
      <c r="BH3450" s="17" t="s">
        <v>105</v>
      </c>
      <c r="BI3450" s="17"/>
      <c r="BJ3450" s="15"/>
      <c r="BK3450" s="15"/>
      <c r="BL3450" s="13" t="b">
        <v>0</v>
      </c>
      <c r="BM3450" s="10"/>
      <c r="BN3450" s="10" t="s">
        <v>118</v>
      </c>
      <c r="BO3450" s="11">
        <v>46017.438194444447</v>
      </c>
      <c r="BP3450" s="11">
        <v>46024.85260416667</v>
      </c>
      <c r="BQ3450" s="15">
        <v>46028.475532407407</v>
      </c>
      <c r="BR3450" s="15">
        <v>46029.378865740742</v>
      </c>
      <c r="BS3450" s="10" t="s">
        <v>118</v>
      </c>
      <c r="BT3450" s="10"/>
      <c r="BU3450" s="10"/>
      <c r="BV3450" s="10"/>
      <c r="BW3450" s="10"/>
      <c r="BX3450" s="10"/>
      <c r="BY3450" s="23"/>
      <c r="BZ3450" s="23"/>
      <c r="CA3450" s="19" t="s">
        <v>24466</v>
      </c>
      <c r="CB3450" s="23"/>
      <c r="CC3450" s="23"/>
      <c r="CD3450" s="19" t="s">
        <v>24467</v>
      </c>
      <c r="CE3450" s="23"/>
      <c r="CF3450" s="23"/>
      <c r="CG3450" s="23"/>
      <c r="CH3450" s="23"/>
      <c r="CI3450" s="23"/>
    </row>
    <row r="3451" spans="1:87" x14ac:dyDescent="0.3">
      <c r="A3451" s="9" t="s">
        <v>24468</v>
      </c>
      <c r="B3451" s="10" t="s">
        <v>24469</v>
      </c>
      <c r="C3451" s="11">
        <v>46032.333333333336</v>
      </c>
      <c r="D3451" s="12">
        <v>8.3333333333333329E-2</v>
      </c>
      <c r="E3451" s="11">
        <v>46032.416666666664</v>
      </c>
      <c r="F3451" s="22" t="s">
        <v>24431</v>
      </c>
      <c r="G3451" s="13" t="b">
        <v>0</v>
      </c>
      <c r="H3451" s="22" t="s">
        <v>3215</v>
      </c>
      <c r="I3451" s="10" t="s">
        <v>89</v>
      </c>
      <c r="J3451" s="13" t="b">
        <v>0</v>
      </c>
      <c r="K3451" s="13" t="b">
        <v>1</v>
      </c>
      <c r="L3451" s="10" t="s">
        <v>124</v>
      </c>
      <c r="M3451" s="10" t="s">
        <v>91</v>
      </c>
      <c r="N3451" s="10" t="s">
        <v>265</v>
      </c>
      <c r="O3451" s="19" t="s">
        <v>24470</v>
      </c>
      <c r="P3451" s="10"/>
      <c r="Q3451" s="10" t="s">
        <v>126</v>
      </c>
      <c r="R3451" s="10"/>
      <c r="S3451" s="19" t="s">
        <v>24471</v>
      </c>
      <c r="T3451" s="10"/>
      <c r="U3451" s="10"/>
      <c r="V3451" s="10"/>
      <c r="W3451" s="10" t="s">
        <v>24434</v>
      </c>
      <c r="X3451" s="10" t="s">
        <v>21724</v>
      </c>
      <c r="Y3451" s="10" t="s">
        <v>21724</v>
      </c>
      <c r="Z3451" s="10" t="s">
        <v>99</v>
      </c>
      <c r="AA3451" s="10" t="s">
        <v>131</v>
      </c>
      <c r="AB3451" s="10" t="s">
        <v>24435</v>
      </c>
      <c r="AC3451" s="10" t="s">
        <v>24436</v>
      </c>
      <c r="AD3451" s="10" t="s">
        <v>165</v>
      </c>
      <c r="AE3451" s="10" t="s">
        <v>24472</v>
      </c>
      <c r="AF3451" s="15"/>
      <c r="AG3451" s="10"/>
      <c r="AH3451" s="10"/>
      <c r="AI3451" s="10"/>
      <c r="AJ3451" s="10"/>
      <c r="AK3451" s="10" t="s">
        <v>102</v>
      </c>
      <c r="AL3451" s="10" t="s">
        <v>20102</v>
      </c>
      <c r="AM3451" s="10"/>
      <c r="AN3451" s="10"/>
      <c r="AO3451" s="13" t="b">
        <v>0</v>
      </c>
      <c r="AP3451" s="22" t="s">
        <v>135</v>
      </c>
      <c r="AQ3451" s="10">
        <f ca="1">IFERROR(__xludf.DUMMYFUNCTION("""COMPUTED_VALUE"""),4832272)</f>
        <v>4832272</v>
      </c>
      <c r="AR3451" s="17">
        <v>4151</v>
      </c>
      <c r="AS3451" s="17">
        <v>2622</v>
      </c>
      <c r="AT3451" s="17">
        <v>77485.5</v>
      </c>
      <c r="AU3451" s="17">
        <v>13.15</v>
      </c>
      <c r="AV3451" s="17">
        <v>4.5</v>
      </c>
      <c r="AW3451" s="10" t="s">
        <v>105</v>
      </c>
      <c r="AX3451" s="17">
        <v>1123</v>
      </c>
      <c r="AY3451" s="18">
        <v>29.552059496567505</v>
      </c>
      <c r="AZ3451" s="10" t="s">
        <v>148</v>
      </c>
      <c r="BA3451" s="20" t="b">
        <v>0</v>
      </c>
      <c r="BB3451" s="10"/>
      <c r="BC3451" s="17">
        <v>4151</v>
      </c>
      <c r="BD3451" s="17">
        <v>2622</v>
      </c>
      <c r="BE3451" s="17">
        <v>77485.5</v>
      </c>
      <c r="BF3451" s="17">
        <v>4.5</v>
      </c>
      <c r="BG3451" s="11">
        <f ca="1">IFERROR(__xludf.DUMMYFUNCTION("""COMPUTED_VALUE"""),46032.3333333333)</f>
        <v>46032.333333333299</v>
      </c>
      <c r="BH3451" s="17" t="s">
        <v>105</v>
      </c>
      <c r="BI3451" s="17"/>
      <c r="BJ3451" s="15"/>
      <c r="BK3451" s="15"/>
      <c r="BL3451" s="13" t="b">
        <v>0</v>
      </c>
      <c r="BM3451" s="10"/>
      <c r="BN3451" s="10" t="s">
        <v>118</v>
      </c>
      <c r="BO3451" s="11">
        <v>46017.439583333333</v>
      </c>
      <c r="BP3451" s="11">
        <v>46024.852685185186</v>
      </c>
      <c r="BQ3451" s="15">
        <v>46028.47828703704</v>
      </c>
      <c r="BR3451" s="15">
        <v>46029.452303240738</v>
      </c>
      <c r="BS3451" s="10" t="s">
        <v>118</v>
      </c>
      <c r="BT3451" s="10"/>
      <c r="BU3451" s="10"/>
      <c r="BV3451" s="10"/>
      <c r="BW3451" s="10"/>
      <c r="BX3451" s="10"/>
      <c r="BY3451" s="23"/>
      <c r="BZ3451" s="23"/>
      <c r="CA3451" s="19" t="s">
        <v>24473</v>
      </c>
      <c r="CB3451" s="23"/>
      <c r="CC3451" s="23"/>
      <c r="CD3451" s="19" t="s">
        <v>24474</v>
      </c>
      <c r="CE3451" s="23"/>
      <c r="CF3451" s="23"/>
      <c r="CG3451" s="23"/>
      <c r="CH3451" s="23"/>
      <c r="CI3451" s="23"/>
    </row>
    <row r="3452" spans="1:87" x14ac:dyDescent="0.3">
      <c r="A3452" s="9" t="s">
        <v>24475</v>
      </c>
      <c r="B3452" s="10" t="s">
        <v>24469</v>
      </c>
      <c r="C3452" s="11">
        <v>46032.5</v>
      </c>
      <c r="D3452" s="12">
        <v>8.3333333333333329E-2</v>
      </c>
      <c r="E3452" s="11">
        <v>46032.583333333336</v>
      </c>
      <c r="F3452" s="22" t="s">
        <v>24431</v>
      </c>
      <c r="G3452" s="13" t="b">
        <v>0</v>
      </c>
      <c r="H3452" s="22" t="s">
        <v>3215</v>
      </c>
      <c r="I3452" s="10" t="s">
        <v>89</v>
      </c>
      <c r="J3452" s="13" t="b">
        <v>0</v>
      </c>
      <c r="K3452" s="13" t="b">
        <v>1</v>
      </c>
      <c r="L3452" s="10" t="s">
        <v>124</v>
      </c>
      <c r="M3452" s="10" t="s">
        <v>91</v>
      </c>
      <c r="N3452" s="10" t="s">
        <v>265</v>
      </c>
      <c r="O3452" s="19" t="s">
        <v>24476</v>
      </c>
      <c r="P3452" s="10"/>
      <c r="Q3452" s="10" t="s">
        <v>94</v>
      </c>
      <c r="R3452" s="10"/>
      <c r="S3452" s="19" t="s">
        <v>24477</v>
      </c>
      <c r="T3452" s="10"/>
      <c r="U3452" s="10"/>
      <c r="V3452" s="10"/>
      <c r="W3452" s="10" t="s">
        <v>24434</v>
      </c>
      <c r="X3452" s="10" t="s">
        <v>21724</v>
      </c>
      <c r="Y3452" s="10" t="s">
        <v>21724</v>
      </c>
      <c r="Z3452" s="10" t="s">
        <v>99</v>
      </c>
      <c r="AA3452" s="10" t="s">
        <v>131</v>
      </c>
      <c r="AB3452" s="10" t="s">
        <v>24435</v>
      </c>
      <c r="AC3452" s="10" t="s">
        <v>24436</v>
      </c>
      <c r="AD3452" s="10" t="s">
        <v>165</v>
      </c>
      <c r="AE3452" s="10" t="s">
        <v>24472</v>
      </c>
      <c r="AF3452" s="15"/>
      <c r="AG3452" s="10"/>
      <c r="AH3452" s="10"/>
      <c r="AI3452" s="10"/>
      <c r="AJ3452" s="10"/>
      <c r="AK3452" s="10" t="s">
        <v>102</v>
      </c>
      <c r="AL3452" s="10" t="s">
        <v>20102</v>
      </c>
      <c r="AM3452" s="10"/>
      <c r="AN3452" s="10"/>
      <c r="AO3452" s="13" t="b">
        <v>0</v>
      </c>
      <c r="AP3452" s="22"/>
      <c r="AQ3452" s="10">
        <f ca="1">IFERROR(__xludf.DUMMYFUNCTION("""COMPUTED_VALUE"""),4832274)</f>
        <v>4832274</v>
      </c>
      <c r="AR3452" s="17">
        <v>3135</v>
      </c>
      <c r="AS3452" s="17">
        <v>1946</v>
      </c>
      <c r="AT3452" s="17">
        <v>39629.5</v>
      </c>
      <c r="AU3452" s="17">
        <v>2.85</v>
      </c>
      <c r="AV3452" s="17">
        <v>1.75</v>
      </c>
      <c r="AW3452" s="10" t="s">
        <v>105</v>
      </c>
      <c r="AX3452" s="17">
        <v>864</v>
      </c>
      <c r="AY3452" s="18">
        <v>20.36459403905447</v>
      </c>
      <c r="AZ3452" s="10" t="s">
        <v>148</v>
      </c>
      <c r="BA3452" s="20" t="b">
        <v>0</v>
      </c>
      <c r="BB3452" s="10"/>
      <c r="BC3452" s="17">
        <v>3135</v>
      </c>
      <c r="BD3452" s="17">
        <v>1946</v>
      </c>
      <c r="BE3452" s="17">
        <v>39629.5</v>
      </c>
      <c r="BF3452" s="17">
        <v>1.75</v>
      </c>
      <c r="BG3452" s="11">
        <f ca="1">IFERROR(__xludf.DUMMYFUNCTION("""COMPUTED_VALUE"""),46032.5)</f>
        <v>46032.5</v>
      </c>
      <c r="BH3452" s="17" t="s">
        <v>105</v>
      </c>
      <c r="BI3452" s="17"/>
      <c r="BJ3452" s="15"/>
      <c r="BK3452" s="15"/>
      <c r="BL3452" s="13" t="b">
        <v>0</v>
      </c>
      <c r="BM3452" s="10"/>
      <c r="BN3452" s="10" t="s">
        <v>118</v>
      </c>
      <c r="BO3452" s="11">
        <v>46017.44027777778</v>
      </c>
      <c r="BP3452" s="11">
        <v>46025.5234837963</v>
      </c>
      <c r="BQ3452" s="15">
        <v>46028.478460648148</v>
      </c>
      <c r="BR3452" s="15">
        <v>46029.452743055554</v>
      </c>
      <c r="BS3452" s="10" t="s">
        <v>118</v>
      </c>
      <c r="BT3452" s="10"/>
      <c r="BU3452" s="10"/>
      <c r="BV3452" s="10"/>
      <c r="BW3452" s="10"/>
      <c r="BX3452" s="10"/>
      <c r="BY3452" s="23"/>
      <c r="BZ3452" s="23"/>
      <c r="CA3452" s="19" t="s">
        <v>24473</v>
      </c>
      <c r="CB3452" s="23"/>
      <c r="CC3452" s="23"/>
      <c r="CD3452" s="23"/>
      <c r="CE3452" s="23"/>
      <c r="CF3452" s="23"/>
      <c r="CG3452" s="23"/>
      <c r="CH3452" s="23"/>
      <c r="CI3452" s="23"/>
    </row>
    <row r="3453" spans="1:87" x14ac:dyDescent="0.3">
      <c r="A3453" s="9" t="s">
        <v>24478</v>
      </c>
      <c r="B3453" s="10" t="s">
        <v>24479</v>
      </c>
      <c r="C3453" s="11">
        <v>46033.541666666664</v>
      </c>
      <c r="D3453" s="12">
        <v>8.3333333333333329E-2</v>
      </c>
      <c r="E3453" s="11">
        <v>46033.625</v>
      </c>
      <c r="F3453" s="22" t="s">
        <v>24431</v>
      </c>
      <c r="G3453" s="13" t="b">
        <v>0</v>
      </c>
      <c r="H3453" s="22" t="s">
        <v>3215</v>
      </c>
      <c r="I3453" s="10" t="s">
        <v>89</v>
      </c>
      <c r="J3453" s="13" t="b">
        <v>0</v>
      </c>
      <c r="K3453" s="13" t="b">
        <v>1</v>
      </c>
      <c r="L3453" s="10" t="s">
        <v>124</v>
      </c>
      <c r="M3453" s="10" t="s">
        <v>91</v>
      </c>
      <c r="N3453" s="10" t="s">
        <v>265</v>
      </c>
      <c r="O3453" s="19" t="s">
        <v>24480</v>
      </c>
      <c r="P3453" s="10"/>
      <c r="Q3453" s="10" t="s">
        <v>126</v>
      </c>
      <c r="R3453" s="10"/>
      <c r="S3453" s="19" t="s">
        <v>24481</v>
      </c>
      <c r="T3453" s="10"/>
      <c r="U3453" s="10"/>
      <c r="V3453" s="10"/>
      <c r="W3453" s="10" t="s">
        <v>24434</v>
      </c>
      <c r="X3453" s="10" t="s">
        <v>21724</v>
      </c>
      <c r="Y3453" s="10" t="s">
        <v>21724</v>
      </c>
      <c r="Z3453" s="10" t="s">
        <v>99</v>
      </c>
      <c r="AA3453" s="10" t="s">
        <v>131</v>
      </c>
      <c r="AB3453" s="10" t="s">
        <v>24435</v>
      </c>
      <c r="AC3453" s="10" t="s">
        <v>24436</v>
      </c>
      <c r="AD3453" s="10" t="s">
        <v>165</v>
      </c>
      <c r="AE3453" s="10" t="s">
        <v>24482</v>
      </c>
      <c r="AF3453" s="15"/>
      <c r="AG3453" s="10"/>
      <c r="AH3453" s="10"/>
      <c r="AI3453" s="10"/>
      <c r="AJ3453" s="10"/>
      <c r="AK3453" s="10" t="s">
        <v>102</v>
      </c>
      <c r="AL3453" s="10" t="s">
        <v>220</v>
      </c>
      <c r="AM3453" s="10"/>
      <c r="AN3453" s="10"/>
      <c r="AO3453" s="13" t="b">
        <v>0</v>
      </c>
      <c r="AP3453" s="22" t="s">
        <v>135</v>
      </c>
      <c r="AQ3453" s="10">
        <f ca="1">IFERROR(__xludf.DUMMYFUNCTION("""COMPUTED_VALUE"""),4832534)</f>
        <v>4832534</v>
      </c>
      <c r="AR3453" s="17"/>
      <c r="AS3453" s="17"/>
      <c r="AT3453" s="17"/>
      <c r="AU3453" s="17"/>
      <c r="AV3453" s="17"/>
      <c r="AW3453" s="10"/>
      <c r="AX3453" s="17"/>
      <c r="AY3453" s="18" t="s">
        <v>257</v>
      </c>
      <c r="AZ3453" s="10" t="s">
        <v>148</v>
      </c>
      <c r="BA3453" s="20" t="b">
        <v>0</v>
      </c>
      <c r="BB3453" s="10"/>
      <c r="BC3453" s="17" t="s">
        <v>257</v>
      </c>
      <c r="BD3453" s="17" t="s">
        <v>257</v>
      </c>
      <c r="BE3453" s="17" t="s">
        <v>257</v>
      </c>
      <c r="BF3453" s="17" t="s">
        <v>257</v>
      </c>
      <c r="BG3453" s="11">
        <f ca="1">IFERROR(__xludf.DUMMYFUNCTION("""COMPUTED_VALUE"""),46033.5416666666)</f>
        <v>46033.541666666599</v>
      </c>
      <c r="BH3453" s="17"/>
      <c r="BI3453" s="17"/>
      <c r="BJ3453" s="15"/>
      <c r="BK3453" s="15"/>
      <c r="BL3453" s="13" t="b">
        <v>0</v>
      </c>
      <c r="BM3453" s="10"/>
      <c r="BN3453" s="10" t="s">
        <v>149</v>
      </c>
      <c r="BO3453" s="11">
        <v>46017.440972222219</v>
      </c>
      <c r="BP3453" s="11">
        <v>46024.852835648147</v>
      </c>
      <c r="BQ3453" s="15">
        <v>46027.618090277778</v>
      </c>
      <c r="BR3453" s="15">
        <v>46030.417974537035</v>
      </c>
      <c r="BS3453" s="10" t="s">
        <v>149</v>
      </c>
      <c r="BT3453" s="10"/>
      <c r="BU3453" s="10"/>
      <c r="BV3453" s="10"/>
      <c r="BW3453" s="10"/>
      <c r="BX3453" s="10"/>
      <c r="BY3453" s="23"/>
      <c r="BZ3453" s="23"/>
      <c r="CA3453" s="19" t="s">
        <v>24483</v>
      </c>
      <c r="CB3453" s="23"/>
      <c r="CC3453" s="23"/>
      <c r="CD3453" s="19" t="s">
        <v>24484</v>
      </c>
      <c r="CE3453" s="23"/>
      <c r="CF3453" s="23"/>
      <c r="CG3453" s="23"/>
      <c r="CH3453" s="23"/>
      <c r="CI3453" s="23"/>
    </row>
    <row r="3454" spans="1:87" x14ac:dyDescent="0.3">
      <c r="A3454" s="9" t="s">
        <v>24485</v>
      </c>
      <c r="B3454" s="10" t="s">
        <v>24486</v>
      </c>
      <c r="C3454" s="11">
        <v>46030.291666666664</v>
      </c>
      <c r="D3454" s="12">
        <v>0.29166666666666669</v>
      </c>
      <c r="E3454" s="11">
        <v>46030.583333333336</v>
      </c>
      <c r="F3454" s="22" t="s">
        <v>24487</v>
      </c>
      <c r="G3454" s="13" t="b">
        <v>0</v>
      </c>
      <c r="H3454" s="22" t="s">
        <v>88</v>
      </c>
      <c r="I3454" s="10" t="s">
        <v>89</v>
      </c>
      <c r="J3454" s="13" t="b">
        <v>0</v>
      </c>
      <c r="K3454" s="13" t="b">
        <v>1</v>
      </c>
      <c r="L3454" s="10" t="s">
        <v>90</v>
      </c>
      <c r="M3454" s="10" t="s">
        <v>91</v>
      </c>
      <c r="N3454" s="10" t="s">
        <v>265</v>
      </c>
      <c r="O3454" s="19" t="s">
        <v>24488</v>
      </c>
      <c r="P3454" s="10"/>
      <c r="Q3454" s="10" t="s">
        <v>94</v>
      </c>
      <c r="R3454" s="10"/>
      <c r="S3454" s="19" t="s">
        <v>24489</v>
      </c>
      <c r="T3454" s="10"/>
      <c r="U3454" s="10"/>
      <c r="V3454" s="10"/>
      <c r="W3454" s="10" t="s">
        <v>24434</v>
      </c>
      <c r="X3454" s="10" t="s">
        <v>21724</v>
      </c>
      <c r="Y3454" s="10" t="s">
        <v>21724</v>
      </c>
      <c r="Z3454" s="10" t="s">
        <v>99</v>
      </c>
      <c r="AA3454" s="10" t="s">
        <v>131</v>
      </c>
      <c r="AB3454" s="10" t="s">
        <v>24490</v>
      </c>
      <c r="AC3454" s="10" t="s">
        <v>24436</v>
      </c>
      <c r="AD3454" s="10" t="s">
        <v>165</v>
      </c>
      <c r="AE3454" s="10" t="s">
        <v>24491</v>
      </c>
      <c r="AF3454" s="15"/>
      <c r="AG3454" s="10"/>
      <c r="AH3454" s="10"/>
      <c r="AI3454" s="10"/>
      <c r="AJ3454" s="10"/>
      <c r="AK3454" s="10" t="s">
        <v>102</v>
      </c>
      <c r="AL3454" s="10"/>
      <c r="AM3454" s="10"/>
      <c r="AN3454" s="10"/>
      <c r="AO3454" s="13" t="b">
        <v>0</v>
      </c>
      <c r="AP3454" s="22" t="s">
        <v>135</v>
      </c>
      <c r="AQ3454" s="10">
        <f ca="1">IFERROR(__xludf.DUMMYFUNCTION("""COMPUTED_VALUE"""),4832225)</f>
        <v>4832225</v>
      </c>
      <c r="AR3454" s="17">
        <v>5420</v>
      </c>
      <c r="AS3454" s="17">
        <v>2982</v>
      </c>
      <c r="AT3454" s="17">
        <v>48250.25</v>
      </c>
      <c r="AU3454" s="17">
        <v>4.8</v>
      </c>
      <c r="AV3454" s="17">
        <v>1</v>
      </c>
      <c r="AW3454" s="10" t="s">
        <v>105</v>
      </c>
      <c r="AX3454" s="17">
        <v>368</v>
      </c>
      <c r="AY3454" s="18">
        <v>16.180499664654594</v>
      </c>
      <c r="AZ3454" s="10" t="s">
        <v>148</v>
      </c>
      <c r="BA3454" s="20" t="b">
        <v>0</v>
      </c>
      <c r="BB3454" s="10"/>
      <c r="BC3454" s="17">
        <v>5420</v>
      </c>
      <c r="BD3454" s="17">
        <v>2982</v>
      </c>
      <c r="BE3454" s="17">
        <v>48250.25</v>
      </c>
      <c r="BF3454" s="17">
        <v>1</v>
      </c>
      <c r="BG3454" s="11">
        <f ca="1">IFERROR(__xludf.DUMMYFUNCTION("""COMPUTED_VALUE"""),46030.2916666666)</f>
        <v>46030.291666666599</v>
      </c>
      <c r="BH3454" s="17" t="s">
        <v>105</v>
      </c>
      <c r="BI3454" s="17"/>
      <c r="BJ3454" s="15"/>
      <c r="BK3454" s="15"/>
      <c r="BL3454" s="13" t="b">
        <v>0</v>
      </c>
      <c r="BM3454" s="10"/>
      <c r="BN3454" s="10" t="s">
        <v>118</v>
      </c>
      <c r="BO3454" s="11">
        <v>46017.442361111112</v>
      </c>
      <c r="BP3454" s="11">
        <v>46024.848981481482</v>
      </c>
      <c r="BQ3454" s="15">
        <v>46028.845868055556</v>
      </c>
      <c r="BR3454" s="15">
        <v>46029.383703703701</v>
      </c>
      <c r="BS3454" s="10" t="s">
        <v>118</v>
      </c>
      <c r="BT3454" s="10"/>
      <c r="BU3454" s="10"/>
      <c r="BV3454" s="10"/>
      <c r="BW3454" s="10"/>
      <c r="BX3454" s="10"/>
      <c r="BY3454" s="23"/>
      <c r="BZ3454" s="23"/>
      <c r="CA3454" s="19" t="s">
        <v>24492</v>
      </c>
      <c r="CB3454" s="23"/>
      <c r="CC3454" s="23"/>
      <c r="CD3454" s="23"/>
      <c r="CE3454" s="23"/>
      <c r="CF3454" s="23"/>
      <c r="CG3454" s="23"/>
      <c r="CH3454" s="23"/>
      <c r="CI3454" s="23"/>
    </row>
    <row r="3455" spans="1:87" x14ac:dyDescent="0.3">
      <c r="A3455" s="9" t="s">
        <v>24493</v>
      </c>
      <c r="B3455" s="10" t="s">
        <v>24494</v>
      </c>
      <c r="C3455" s="11">
        <v>46031.229166666664</v>
      </c>
      <c r="D3455" s="12">
        <v>0.35416666666666669</v>
      </c>
      <c r="E3455" s="11">
        <v>46031.583333333336</v>
      </c>
      <c r="F3455" s="22" t="s">
        <v>24487</v>
      </c>
      <c r="G3455" s="13" t="b">
        <v>0</v>
      </c>
      <c r="H3455" s="22" t="s">
        <v>88</v>
      </c>
      <c r="I3455" s="10" t="s">
        <v>89</v>
      </c>
      <c r="J3455" s="13" t="b">
        <v>0</v>
      </c>
      <c r="K3455" s="13" t="b">
        <v>1</v>
      </c>
      <c r="L3455" s="10" t="s">
        <v>124</v>
      </c>
      <c r="M3455" s="10" t="s">
        <v>91</v>
      </c>
      <c r="N3455" s="10" t="s">
        <v>265</v>
      </c>
      <c r="O3455" s="19" t="s">
        <v>24495</v>
      </c>
      <c r="P3455" s="10"/>
      <c r="Q3455" s="10" t="s">
        <v>94</v>
      </c>
      <c r="R3455" s="10"/>
      <c r="S3455" s="19" t="s">
        <v>24496</v>
      </c>
      <c r="T3455" s="10"/>
      <c r="U3455" s="10"/>
      <c r="V3455" s="10"/>
      <c r="W3455" s="10" t="s">
        <v>24434</v>
      </c>
      <c r="X3455" s="10" t="s">
        <v>21724</v>
      </c>
      <c r="Y3455" s="10" t="s">
        <v>21724</v>
      </c>
      <c r="Z3455" s="10" t="s">
        <v>99</v>
      </c>
      <c r="AA3455" s="10" t="s">
        <v>131</v>
      </c>
      <c r="AB3455" s="10" t="s">
        <v>24490</v>
      </c>
      <c r="AC3455" s="10" t="s">
        <v>24436</v>
      </c>
      <c r="AD3455" s="10" t="s">
        <v>165</v>
      </c>
      <c r="AE3455" s="10" t="s">
        <v>24497</v>
      </c>
      <c r="AF3455" s="15"/>
      <c r="AG3455" s="10"/>
      <c r="AH3455" s="10"/>
      <c r="AI3455" s="10"/>
      <c r="AJ3455" s="10"/>
      <c r="AK3455" s="10" t="s">
        <v>102</v>
      </c>
      <c r="AL3455" s="10" t="s">
        <v>19004</v>
      </c>
      <c r="AM3455" s="10"/>
      <c r="AN3455" s="10"/>
      <c r="AO3455" s="13" t="b">
        <v>0</v>
      </c>
      <c r="AP3455" s="22" t="s">
        <v>135</v>
      </c>
      <c r="AQ3455" s="10">
        <f ca="1">IFERROR(__xludf.DUMMYFUNCTION("""COMPUTED_VALUE"""),4832229)</f>
        <v>4832229</v>
      </c>
      <c r="AR3455" s="17">
        <v>9134</v>
      </c>
      <c r="AS3455" s="17">
        <v>5297</v>
      </c>
      <c r="AT3455" s="17">
        <v>102128</v>
      </c>
      <c r="AU3455" s="17">
        <v>16.5</v>
      </c>
      <c r="AV3455" s="17">
        <v>6.9</v>
      </c>
      <c r="AW3455" s="10" t="s">
        <v>105</v>
      </c>
      <c r="AX3455" s="17">
        <v>437</v>
      </c>
      <c r="AY3455" s="18">
        <v>19.28034736643383</v>
      </c>
      <c r="AZ3455" s="10" t="s">
        <v>148</v>
      </c>
      <c r="BA3455" s="20" t="b">
        <v>0</v>
      </c>
      <c r="BB3455" s="10"/>
      <c r="BC3455" s="17">
        <v>9134</v>
      </c>
      <c r="BD3455" s="17">
        <v>5297</v>
      </c>
      <c r="BE3455" s="17">
        <v>102128</v>
      </c>
      <c r="BF3455" s="17">
        <v>6.9</v>
      </c>
      <c r="BG3455" s="11">
        <f ca="1">IFERROR(__xludf.DUMMYFUNCTION("""COMPUTED_VALUE"""),46031.2291666666)</f>
        <v>46031.229166666599</v>
      </c>
      <c r="BH3455" s="17" t="s">
        <v>105</v>
      </c>
      <c r="BI3455" s="17"/>
      <c r="BJ3455" s="15"/>
      <c r="BK3455" s="15"/>
      <c r="BL3455" s="13" t="b">
        <v>0</v>
      </c>
      <c r="BM3455" s="10"/>
      <c r="BN3455" s="10" t="s">
        <v>118</v>
      </c>
      <c r="BO3455" s="11">
        <v>46017.443749999999</v>
      </c>
      <c r="BP3455" s="11">
        <v>46024.849861111114</v>
      </c>
      <c r="BQ3455" s="15">
        <v>46028.846122685187</v>
      </c>
      <c r="BR3455" s="15">
        <v>46029.378738425927</v>
      </c>
      <c r="BS3455" s="10" t="s">
        <v>118</v>
      </c>
      <c r="BT3455" s="10"/>
      <c r="BU3455" s="10"/>
      <c r="BV3455" s="10"/>
      <c r="BW3455" s="10"/>
      <c r="BX3455" s="10"/>
      <c r="BY3455" s="23"/>
      <c r="BZ3455" s="23"/>
      <c r="CA3455" s="19" t="s">
        <v>24498</v>
      </c>
      <c r="CB3455" s="23"/>
      <c r="CC3455" s="23"/>
      <c r="CD3455" s="23"/>
      <c r="CE3455" s="23"/>
      <c r="CF3455" s="23"/>
      <c r="CG3455" s="23"/>
      <c r="CH3455" s="23"/>
      <c r="CI3455" s="23"/>
    </row>
    <row r="3456" spans="1:87" x14ac:dyDescent="0.3">
      <c r="A3456" s="9" t="s">
        <v>24499</v>
      </c>
      <c r="B3456" s="10" t="s">
        <v>24500</v>
      </c>
      <c r="C3456" s="11">
        <v>46032.479166666664</v>
      </c>
      <c r="D3456" s="12">
        <v>0.16666666666666666</v>
      </c>
      <c r="E3456" s="11">
        <v>46032.645833333336</v>
      </c>
      <c r="F3456" s="22" t="s">
        <v>24487</v>
      </c>
      <c r="G3456" s="13" t="b">
        <v>0</v>
      </c>
      <c r="H3456" s="22" t="s">
        <v>88</v>
      </c>
      <c r="I3456" s="10" t="s">
        <v>89</v>
      </c>
      <c r="J3456" s="13" t="b">
        <v>0</v>
      </c>
      <c r="K3456" s="13" t="b">
        <v>1</v>
      </c>
      <c r="L3456" s="10" t="s">
        <v>124</v>
      </c>
      <c r="M3456" s="10" t="s">
        <v>91</v>
      </c>
      <c r="N3456" s="10" t="s">
        <v>265</v>
      </c>
      <c r="O3456" s="19" t="s">
        <v>24501</v>
      </c>
      <c r="P3456" s="10"/>
      <c r="Q3456" s="10" t="s">
        <v>94</v>
      </c>
      <c r="R3456" s="10"/>
      <c r="S3456" s="19" t="s">
        <v>24502</v>
      </c>
      <c r="T3456" s="10"/>
      <c r="U3456" s="10"/>
      <c r="V3456" s="10"/>
      <c r="W3456" s="10" t="s">
        <v>24434</v>
      </c>
      <c r="X3456" s="10" t="s">
        <v>21724</v>
      </c>
      <c r="Y3456" s="10" t="s">
        <v>21724</v>
      </c>
      <c r="Z3456" s="10" t="s">
        <v>99</v>
      </c>
      <c r="AA3456" s="10" t="s">
        <v>131</v>
      </c>
      <c r="AB3456" s="10" t="s">
        <v>24490</v>
      </c>
      <c r="AC3456" s="10" t="s">
        <v>24436</v>
      </c>
      <c r="AD3456" s="10" t="s">
        <v>165</v>
      </c>
      <c r="AE3456" s="10" t="s">
        <v>24503</v>
      </c>
      <c r="AF3456" s="15"/>
      <c r="AG3456" s="10"/>
      <c r="AH3456" s="10"/>
      <c r="AI3456" s="10"/>
      <c r="AJ3456" s="10"/>
      <c r="AK3456" s="10" t="s">
        <v>102</v>
      </c>
      <c r="AL3456" s="10" t="s">
        <v>20102</v>
      </c>
      <c r="AM3456" s="10"/>
      <c r="AN3456" s="10"/>
      <c r="AO3456" s="13" t="b">
        <v>0</v>
      </c>
      <c r="AP3456" s="22" t="s">
        <v>135</v>
      </c>
      <c r="AQ3456" s="10">
        <f ca="1">IFERROR(__xludf.DUMMYFUNCTION("""COMPUTED_VALUE"""),4832273)</f>
        <v>4832273</v>
      </c>
      <c r="AR3456" s="17">
        <v>6805</v>
      </c>
      <c r="AS3456" s="17">
        <v>3542</v>
      </c>
      <c r="AT3456" s="17">
        <v>81570.5</v>
      </c>
      <c r="AU3456" s="17">
        <v>16.95</v>
      </c>
      <c r="AV3456" s="17">
        <v>6.55</v>
      </c>
      <c r="AW3456" s="10" t="s">
        <v>105</v>
      </c>
      <c r="AX3456" s="17">
        <v>658</v>
      </c>
      <c r="AY3456" s="18">
        <v>23.029503105590063</v>
      </c>
      <c r="AZ3456" s="10" t="s">
        <v>148</v>
      </c>
      <c r="BA3456" s="20" t="b">
        <v>0</v>
      </c>
      <c r="BB3456" s="10"/>
      <c r="BC3456" s="17">
        <v>6805</v>
      </c>
      <c r="BD3456" s="17">
        <v>3542</v>
      </c>
      <c r="BE3456" s="17">
        <v>81570.5</v>
      </c>
      <c r="BF3456" s="17">
        <v>6.55</v>
      </c>
      <c r="BG3456" s="11">
        <f ca="1">IFERROR(__xludf.DUMMYFUNCTION("""COMPUTED_VALUE"""),46032.4791666666)</f>
        <v>46032.479166666599</v>
      </c>
      <c r="BH3456" s="17" t="s">
        <v>105</v>
      </c>
      <c r="BI3456" s="17"/>
      <c r="BJ3456" s="15"/>
      <c r="BK3456" s="15"/>
      <c r="BL3456" s="13" t="b">
        <v>0</v>
      </c>
      <c r="BM3456" s="10"/>
      <c r="BN3456" s="10" t="s">
        <v>118</v>
      </c>
      <c r="BO3456" s="11">
        <v>46017.445138888892</v>
      </c>
      <c r="BP3456" s="11">
        <v>46024.849930555552</v>
      </c>
      <c r="BQ3456" s="15">
        <v>46028.846273148149</v>
      </c>
      <c r="BR3456" s="15">
        <v>46029.452592592592</v>
      </c>
      <c r="BS3456" s="10" t="s">
        <v>118</v>
      </c>
      <c r="BT3456" s="10"/>
      <c r="BU3456" s="10"/>
      <c r="BV3456" s="10"/>
      <c r="BW3456" s="10"/>
      <c r="BX3456" s="10"/>
      <c r="BY3456" s="23"/>
      <c r="BZ3456" s="23"/>
      <c r="CA3456" s="19" t="s">
        <v>24504</v>
      </c>
      <c r="CB3456" s="23"/>
      <c r="CC3456" s="23"/>
      <c r="CD3456" s="23"/>
      <c r="CE3456" s="23"/>
      <c r="CF3456" s="23"/>
      <c r="CG3456" s="23"/>
      <c r="CH3456" s="23"/>
      <c r="CI3456" s="23"/>
    </row>
    <row r="3457" spans="1:87" x14ac:dyDescent="0.3">
      <c r="A3457" s="9" t="s">
        <v>24505</v>
      </c>
      <c r="B3457" s="10" t="s">
        <v>24506</v>
      </c>
      <c r="C3457" s="11">
        <v>46033.458333333336</v>
      </c>
      <c r="D3457" s="12">
        <v>0.10416666666666667</v>
      </c>
      <c r="E3457" s="11">
        <v>46033.5625</v>
      </c>
      <c r="F3457" s="22" t="s">
        <v>24487</v>
      </c>
      <c r="G3457" s="13" t="b">
        <v>0</v>
      </c>
      <c r="H3457" s="22" t="s">
        <v>88</v>
      </c>
      <c r="I3457" s="10" t="s">
        <v>89</v>
      </c>
      <c r="J3457" s="13" t="b">
        <v>0</v>
      </c>
      <c r="K3457" s="13" t="b">
        <v>1</v>
      </c>
      <c r="L3457" s="10" t="s">
        <v>124</v>
      </c>
      <c r="M3457" s="10" t="s">
        <v>91</v>
      </c>
      <c r="N3457" s="10" t="s">
        <v>265</v>
      </c>
      <c r="O3457" s="19" t="s">
        <v>24507</v>
      </c>
      <c r="P3457" s="10"/>
      <c r="Q3457" s="10" t="s">
        <v>94</v>
      </c>
      <c r="R3457" s="10"/>
      <c r="S3457" s="19" t="s">
        <v>24508</v>
      </c>
      <c r="T3457" s="10"/>
      <c r="U3457" s="10"/>
      <c r="V3457" s="10"/>
      <c r="W3457" s="10" t="s">
        <v>24434</v>
      </c>
      <c r="X3457" s="10" t="s">
        <v>21724</v>
      </c>
      <c r="Y3457" s="10" t="s">
        <v>21724</v>
      </c>
      <c r="Z3457" s="10" t="s">
        <v>99</v>
      </c>
      <c r="AA3457" s="10" t="s">
        <v>131</v>
      </c>
      <c r="AB3457" s="10" t="s">
        <v>24490</v>
      </c>
      <c r="AC3457" s="10" t="s">
        <v>24436</v>
      </c>
      <c r="AD3457" s="10" t="s">
        <v>165</v>
      </c>
      <c r="AE3457" s="10" t="s">
        <v>24509</v>
      </c>
      <c r="AF3457" s="15"/>
      <c r="AG3457" s="10"/>
      <c r="AH3457" s="10"/>
      <c r="AI3457" s="10"/>
      <c r="AJ3457" s="10"/>
      <c r="AK3457" s="10" t="s">
        <v>102</v>
      </c>
      <c r="AL3457" s="10" t="s">
        <v>220</v>
      </c>
      <c r="AM3457" s="10"/>
      <c r="AN3457" s="10"/>
      <c r="AO3457" s="13" t="b">
        <v>0</v>
      </c>
      <c r="AP3457" s="22" t="s">
        <v>135</v>
      </c>
      <c r="AQ3457" s="10">
        <f ca="1">IFERROR(__xludf.DUMMYFUNCTION("""COMPUTED_VALUE"""),4832529)</f>
        <v>4832529</v>
      </c>
      <c r="AR3457" s="17"/>
      <c r="AS3457" s="17"/>
      <c r="AT3457" s="17"/>
      <c r="AU3457" s="17"/>
      <c r="AV3457" s="17"/>
      <c r="AW3457" s="10"/>
      <c r="AX3457" s="17"/>
      <c r="AY3457" s="18" t="s">
        <v>257</v>
      </c>
      <c r="AZ3457" s="10" t="s">
        <v>148</v>
      </c>
      <c r="BA3457" s="20" t="b">
        <v>0</v>
      </c>
      <c r="BB3457" s="10"/>
      <c r="BC3457" s="17" t="s">
        <v>257</v>
      </c>
      <c r="BD3457" s="17" t="s">
        <v>257</v>
      </c>
      <c r="BE3457" s="17" t="s">
        <v>257</v>
      </c>
      <c r="BF3457" s="17" t="s">
        <v>257</v>
      </c>
      <c r="BG3457" s="11">
        <f ca="1">IFERROR(__xludf.DUMMYFUNCTION("""COMPUTED_VALUE"""),46033.4583333333)</f>
        <v>46033.458333333299</v>
      </c>
      <c r="BH3457" s="17"/>
      <c r="BI3457" s="17"/>
      <c r="BJ3457" s="15"/>
      <c r="BK3457" s="15"/>
      <c r="BL3457" s="13" t="b">
        <v>0</v>
      </c>
      <c r="BM3457" s="10"/>
      <c r="BN3457" s="10" t="s">
        <v>4030</v>
      </c>
      <c r="BO3457" s="11">
        <v>46017.445833333331</v>
      </c>
      <c r="BP3457" s="11">
        <v>46024.850011574075</v>
      </c>
      <c r="BQ3457" s="15">
        <v>46028.846435185187</v>
      </c>
      <c r="BR3457" s="15">
        <v>46030.409953703704</v>
      </c>
      <c r="BS3457" s="10" t="s">
        <v>4030</v>
      </c>
      <c r="BT3457" s="10"/>
      <c r="BU3457" s="10"/>
      <c r="BV3457" s="10"/>
      <c r="BW3457" s="10"/>
      <c r="BX3457" s="10"/>
      <c r="BY3457" s="23"/>
      <c r="BZ3457" s="23"/>
      <c r="CA3457" s="19" t="s">
        <v>24510</v>
      </c>
      <c r="CB3457" s="23"/>
      <c r="CC3457" s="23"/>
      <c r="CD3457" s="23"/>
      <c r="CE3457" s="23"/>
      <c r="CF3457" s="23"/>
      <c r="CG3457" s="23"/>
      <c r="CH3457" s="23"/>
      <c r="CI3457" s="23"/>
    </row>
    <row r="3458" spans="1:87" x14ac:dyDescent="0.3">
      <c r="A3458" s="9" t="s">
        <v>24511</v>
      </c>
      <c r="B3458" s="10" t="s">
        <v>24512</v>
      </c>
      <c r="C3458" s="11">
        <v>46047.666666666664</v>
      </c>
      <c r="D3458" s="12">
        <v>0.29166666666666669</v>
      </c>
      <c r="E3458" s="11">
        <v>46047.958333333336</v>
      </c>
      <c r="F3458" s="22" t="s">
        <v>24512</v>
      </c>
      <c r="G3458" s="13" t="b">
        <v>0</v>
      </c>
      <c r="H3458" s="22" t="s">
        <v>24513</v>
      </c>
      <c r="I3458" s="10" t="s">
        <v>212</v>
      </c>
      <c r="J3458" s="13" t="b">
        <v>1</v>
      </c>
      <c r="K3458" s="13" t="b">
        <v>0</v>
      </c>
      <c r="L3458" s="10" t="s">
        <v>124</v>
      </c>
      <c r="M3458" s="10" t="s">
        <v>91</v>
      </c>
      <c r="N3458" s="10" t="s">
        <v>3513</v>
      </c>
      <c r="O3458" s="10"/>
      <c r="P3458" s="10"/>
      <c r="Q3458" s="10" t="s">
        <v>126</v>
      </c>
      <c r="R3458" s="10"/>
      <c r="S3458" s="10"/>
      <c r="T3458" s="10"/>
      <c r="U3458" s="10"/>
      <c r="V3458" s="10"/>
      <c r="W3458" s="10" t="s">
        <v>24514</v>
      </c>
      <c r="X3458" s="10" t="s">
        <v>98</v>
      </c>
      <c r="Y3458" s="10" t="s">
        <v>98</v>
      </c>
      <c r="Z3458" s="10" t="s">
        <v>99</v>
      </c>
      <c r="AA3458" s="10" t="s">
        <v>131</v>
      </c>
      <c r="AB3458" s="10" t="s">
        <v>24515</v>
      </c>
      <c r="AC3458" s="10" t="s">
        <v>23185</v>
      </c>
      <c r="AD3458" s="10" t="s">
        <v>165</v>
      </c>
      <c r="AE3458" s="10" t="s">
        <v>24516</v>
      </c>
      <c r="AF3458" s="15"/>
      <c r="AG3458" s="10"/>
      <c r="AH3458" s="10"/>
      <c r="AI3458" s="10"/>
      <c r="AJ3458" s="10"/>
      <c r="AK3458" s="10"/>
      <c r="AL3458" s="10"/>
      <c r="AM3458" s="10"/>
      <c r="AN3458" s="10"/>
      <c r="AO3458" s="13" t="b">
        <v>1</v>
      </c>
      <c r="AP3458" s="22"/>
      <c r="AQ3458" s="10"/>
      <c r="AR3458" s="17"/>
      <c r="AS3458" s="17"/>
      <c r="AT3458" s="17"/>
      <c r="AU3458" s="17"/>
      <c r="AV3458" s="17"/>
      <c r="AW3458" s="10"/>
      <c r="AX3458" s="17"/>
      <c r="AY3458" s="18" t="s">
        <v>257</v>
      </c>
      <c r="AZ3458" s="10"/>
      <c r="BA3458" s="20" t="b">
        <v>1</v>
      </c>
      <c r="BB3458" s="10"/>
      <c r="BC3458" s="17" t="s">
        <v>257</v>
      </c>
      <c r="BD3458" s="17" t="s">
        <v>257</v>
      </c>
      <c r="BE3458" s="17" t="s">
        <v>257</v>
      </c>
      <c r="BF3458" s="17" t="s">
        <v>257</v>
      </c>
      <c r="BG3458" s="11">
        <f ca="1">IFERROR(__xludf.DUMMYFUNCTION("""COMPUTED_VALUE"""),46047.6666666666)</f>
        <v>46047.666666666599</v>
      </c>
      <c r="BH3458" s="17" t="s">
        <v>105</v>
      </c>
      <c r="BI3458" s="17"/>
      <c r="BJ3458" s="15"/>
      <c r="BK3458" s="15"/>
      <c r="BL3458" s="13" t="b">
        <v>0</v>
      </c>
      <c r="BM3458" s="10"/>
      <c r="BN3458" s="10" t="s">
        <v>351</v>
      </c>
      <c r="BO3458" s="11">
        <v>46020.561805555553</v>
      </c>
      <c r="BP3458" s="11">
        <v>46028.675567129627</v>
      </c>
      <c r="BQ3458" s="15"/>
      <c r="BR3458" s="15"/>
      <c r="BS3458" s="10"/>
      <c r="BT3458" s="10"/>
      <c r="BU3458" s="10"/>
      <c r="BV3458" s="10"/>
      <c r="BW3458" s="10"/>
      <c r="BX3458" s="10"/>
      <c r="BY3458" s="23"/>
      <c r="BZ3458" s="23"/>
      <c r="CA3458" s="10"/>
      <c r="CB3458" s="23"/>
      <c r="CC3458" s="23"/>
      <c r="CD3458" s="23"/>
      <c r="CE3458" s="23"/>
      <c r="CF3458" s="23"/>
      <c r="CG3458" s="23"/>
      <c r="CH3458" s="23"/>
      <c r="CI3458" s="23"/>
    </row>
    <row r="3459" spans="1:87" x14ac:dyDescent="0.3">
      <c r="A3459" s="9" t="s">
        <v>24517</v>
      </c>
      <c r="B3459" s="10" t="s">
        <v>24512</v>
      </c>
      <c r="C3459" s="11">
        <v>46047.82708333333</v>
      </c>
      <c r="D3459" s="12">
        <v>0.20833333333333334</v>
      </c>
      <c r="E3459" s="11">
        <v>46048.035416666666</v>
      </c>
      <c r="F3459" s="22" t="s">
        <v>24512</v>
      </c>
      <c r="G3459" s="13" t="b">
        <v>0</v>
      </c>
      <c r="H3459" s="22" t="s">
        <v>24513</v>
      </c>
      <c r="I3459" s="10" t="s">
        <v>23071</v>
      </c>
      <c r="J3459" s="13" t="b">
        <v>0</v>
      </c>
      <c r="K3459" s="13" t="b">
        <v>1</v>
      </c>
      <c r="L3459" s="10" t="s">
        <v>124</v>
      </c>
      <c r="M3459" s="10" t="s">
        <v>91</v>
      </c>
      <c r="N3459" s="10" t="s">
        <v>3513</v>
      </c>
      <c r="O3459" s="10"/>
      <c r="P3459" s="10"/>
      <c r="Q3459" s="10" t="s">
        <v>126</v>
      </c>
      <c r="R3459" s="10"/>
      <c r="S3459" s="10"/>
      <c r="T3459" s="10"/>
      <c r="U3459" s="10"/>
      <c r="V3459" s="10"/>
      <c r="W3459" s="10" t="s">
        <v>24514</v>
      </c>
      <c r="X3459" s="10" t="s">
        <v>98</v>
      </c>
      <c r="Y3459" s="10" t="s">
        <v>98</v>
      </c>
      <c r="Z3459" s="10" t="s">
        <v>99</v>
      </c>
      <c r="AA3459" s="10" t="s">
        <v>131</v>
      </c>
      <c r="AB3459" s="10" t="s">
        <v>24515</v>
      </c>
      <c r="AC3459" s="10" t="s">
        <v>23185</v>
      </c>
      <c r="AD3459" s="10" t="s">
        <v>165</v>
      </c>
      <c r="AE3459" s="10" t="s">
        <v>24516</v>
      </c>
      <c r="AF3459" s="15"/>
      <c r="AG3459" s="10"/>
      <c r="AH3459" s="10"/>
      <c r="AI3459" s="10"/>
      <c r="AJ3459" s="10"/>
      <c r="AK3459" s="10"/>
      <c r="AL3459" s="10"/>
      <c r="AM3459" s="10"/>
      <c r="AN3459" s="10"/>
      <c r="AO3459" s="13" t="b">
        <v>1</v>
      </c>
      <c r="AP3459" s="22"/>
      <c r="AQ3459" s="10"/>
      <c r="AR3459" s="17"/>
      <c r="AS3459" s="17"/>
      <c r="AT3459" s="17"/>
      <c r="AU3459" s="17"/>
      <c r="AV3459" s="17"/>
      <c r="AW3459" s="10"/>
      <c r="AX3459" s="17"/>
      <c r="AY3459" s="18" t="s">
        <v>257</v>
      </c>
      <c r="AZ3459" s="10"/>
      <c r="BA3459" s="20" t="b">
        <v>1</v>
      </c>
      <c r="BB3459" s="10"/>
      <c r="BC3459" s="17" t="s">
        <v>257</v>
      </c>
      <c r="BD3459" s="17" t="s">
        <v>257</v>
      </c>
      <c r="BE3459" s="17" t="s">
        <v>257</v>
      </c>
      <c r="BF3459" s="17" t="s">
        <v>257</v>
      </c>
      <c r="BG3459" s="11">
        <f ca="1">IFERROR(__xludf.DUMMYFUNCTION("""COMPUTED_VALUE"""),46047.8270833333)</f>
        <v>46047.827083333301</v>
      </c>
      <c r="BH3459" s="17" t="s">
        <v>105</v>
      </c>
      <c r="BI3459" s="17"/>
      <c r="BJ3459" s="15"/>
      <c r="BK3459" s="15"/>
      <c r="BL3459" s="13" t="b">
        <v>0</v>
      </c>
      <c r="BM3459" s="10"/>
      <c r="BN3459" s="10" t="s">
        <v>351</v>
      </c>
      <c r="BO3459" s="11">
        <v>46020.564583333333</v>
      </c>
      <c r="BP3459" s="11">
        <v>46028.675694444442</v>
      </c>
      <c r="BQ3459" s="15"/>
      <c r="BR3459" s="15"/>
      <c r="BS3459" s="10"/>
      <c r="BT3459" s="10"/>
      <c r="BU3459" s="10"/>
      <c r="BV3459" s="10"/>
      <c r="BW3459" s="10"/>
      <c r="BX3459" s="10"/>
      <c r="BY3459" s="23"/>
      <c r="BZ3459" s="23"/>
      <c r="CA3459" s="10"/>
      <c r="CB3459" s="23"/>
      <c r="CC3459" s="23"/>
      <c r="CD3459" s="23"/>
      <c r="CE3459" s="23"/>
      <c r="CF3459" s="23"/>
      <c r="CG3459" s="23"/>
      <c r="CH3459" s="23"/>
      <c r="CI3459" s="23"/>
    </row>
    <row r="3460" spans="1:87" x14ac:dyDescent="0.3">
      <c r="A3460" s="9" t="s">
        <v>24518</v>
      </c>
      <c r="B3460" s="10" t="s">
        <v>24519</v>
      </c>
      <c r="C3460" s="11">
        <v>46054.375</v>
      </c>
      <c r="D3460" s="12">
        <v>0.25</v>
      </c>
      <c r="E3460" s="11">
        <v>46054.625</v>
      </c>
      <c r="F3460" s="22" t="s">
        <v>23179</v>
      </c>
      <c r="G3460" s="13" t="b">
        <v>0</v>
      </c>
      <c r="H3460" s="22"/>
      <c r="I3460" s="10" t="s">
        <v>23180</v>
      </c>
      <c r="J3460" s="13" t="b">
        <v>0</v>
      </c>
      <c r="K3460" s="13" t="b">
        <v>1</v>
      </c>
      <c r="L3460" s="10" t="s">
        <v>124</v>
      </c>
      <c r="M3460" s="10" t="s">
        <v>91</v>
      </c>
      <c r="N3460" s="10" t="s">
        <v>92</v>
      </c>
      <c r="O3460" s="10"/>
      <c r="P3460" s="10"/>
      <c r="Q3460" s="10" t="s">
        <v>20191</v>
      </c>
      <c r="R3460" s="19" t="s">
        <v>24520</v>
      </c>
      <c r="S3460" s="10"/>
      <c r="T3460" s="10"/>
      <c r="U3460" s="10"/>
      <c r="V3460" s="10"/>
      <c r="W3460" s="10" t="s">
        <v>23182</v>
      </c>
      <c r="X3460" s="10" t="s">
        <v>8408</v>
      </c>
      <c r="Y3460" s="10" t="s">
        <v>23183</v>
      </c>
      <c r="Z3460" s="10" t="s">
        <v>99</v>
      </c>
      <c r="AA3460" s="10" t="s">
        <v>100</v>
      </c>
      <c r="AB3460" s="10" t="s">
        <v>23184</v>
      </c>
      <c r="AC3460" s="10" t="s">
        <v>23185</v>
      </c>
      <c r="AD3460" s="10" t="s">
        <v>165</v>
      </c>
      <c r="AE3460" s="10" t="s">
        <v>24521</v>
      </c>
      <c r="AF3460" s="15"/>
      <c r="AG3460" s="10"/>
      <c r="AH3460" s="10"/>
      <c r="AI3460" s="10"/>
      <c r="AJ3460" s="10"/>
      <c r="AK3460" s="10"/>
      <c r="AL3460" s="10"/>
      <c r="AM3460" s="10"/>
      <c r="AN3460" s="10"/>
      <c r="AO3460" s="13" t="b">
        <v>0</v>
      </c>
      <c r="AP3460" s="22"/>
      <c r="AQ3460" s="10"/>
      <c r="AR3460" s="17"/>
      <c r="AS3460" s="17"/>
      <c r="AT3460" s="17"/>
      <c r="AU3460" s="17"/>
      <c r="AV3460" s="17"/>
      <c r="AW3460" s="10"/>
      <c r="AX3460" s="17"/>
      <c r="AY3460" s="18" t="s">
        <v>257</v>
      </c>
      <c r="AZ3460" s="10"/>
      <c r="BA3460" s="20" t="b">
        <v>0</v>
      </c>
      <c r="BB3460" s="10"/>
      <c r="BC3460" s="17" t="s">
        <v>257</v>
      </c>
      <c r="BD3460" s="17" t="s">
        <v>257</v>
      </c>
      <c r="BE3460" s="17" t="s">
        <v>257</v>
      </c>
      <c r="BF3460" s="17" t="s">
        <v>257</v>
      </c>
      <c r="BG3460" s="11">
        <f ca="1">IFERROR(__xludf.DUMMYFUNCTION("""COMPUTED_VALUE"""),46054.375)</f>
        <v>46054.375</v>
      </c>
      <c r="BH3460" s="17"/>
      <c r="BI3460" s="17"/>
      <c r="BJ3460" s="15"/>
      <c r="BK3460" s="15"/>
      <c r="BL3460" s="13" t="b">
        <v>0</v>
      </c>
      <c r="BM3460" s="10"/>
      <c r="BN3460" s="10" t="s">
        <v>12382</v>
      </c>
      <c r="BO3460" s="11">
        <v>46020.620138888888</v>
      </c>
      <c r="BP3460" s="11">
        <v>46020.62059027778</v>
      </c>
      <c r="BQ3460" s="15"/>
      <c r="BR3460" s="15"/>
      <c r="BS3460" s="10"/>
      <c r="BT3460" s="10"/>
      <c r="BU3460" s="10"/>
      <c r="BV3460" s="10" t="s">
        <v>499</v>
      </c>
      <c r="BW3460" s="10" t="s">
        <v>23187</v>
      </c>
      <c r="BX3460" s="10"/>
      <c r="BY3460" s="23"/>
      <c r="BZ3460" s="23"/>
      <c r="CA3460" s="10"/>
      <c r="CB3460" s="23"/>
      <c r="CC3460" s="23"/>
      <c r="CD3460" s="23"/>
      <c r="CE3460" s="23"/>
      <c r="CF3460" s="23"/>
      <c r="CG3460" s="23"/>
      <c r="CH3460" s="23"/>
      <c r="CI3460" s="23"/>
    </row>
    <row r="3461" spans="1:87" x14ac:dyDescent="0.3">
      <c r="A3461" s="9" t="s">
        <v>24522</v>
      </c>
      <c r="B3461" s="10" t="s">
        <v>24523</v>
      </c>
      <c r="C3461" s="11">
        <v>46027.958333333336</v>
      </c>
      <c r="D3461" s="12">
        <v>8.3333333333333329E-2</v>
      </c>
      <c r="E3461" s="11">
        <v>46028.041666666664</v>
      </c>
      <c r="F3461" s="22" t="s">
        <v>20550</v>
      </c>
      <c r="G3461" s="13" t="b">
        <v>0</v>
      </c>
      <c r="H3461" s="22" t="s">
        <v>3578</v>
      </c>
      <c r="I3461" s="10" t="s">
        <v>89</v>
      </c>
      <c r="J3461" s="13" t="b">
        <v>0</v>
      </c>
      <c r="K3461" s="13" t="b">
        <v>1</v>
      </c>
      <c r="L3461" s="10" t="s">
        <v>124</v>
      </c>
      <c r="M3461" s="10" t="s">
        <v>91</v>
      </c>
      <c r="N3461" s="10" t="s">
        <v>265</v>
      </c>
      <c r="O3461" s="19" t="s">
        <v>24524</v>
      </c>
      <c r="P3461" s="10"/>
      <c r="Q3461" s="10" t="s">
        <v>126</v>
      </c>
      <c r="R3461" s="10"/>
      <c r="S3461" s="19" t="s">
        <v>24525</v>
      </c>
      <c r="T3461" s="10"/>
      <c r="U3461" s="10" t="s">
        <v>20575</v>
      </c>
      <c r="V3461" s="10" t="s">
        <v>20586</v>
      </c>
      <c r="W3461" s="10" t="s">
        <v>20555</v>
      </c>
      <c r="X3461" s="10" t="s">
        <v>130</v>
      </c>
      <c r="Y3461" s="10" t="s">
        <v>130</v>
      </c>
      <c r="Z3461" s="10" t="s">
        <v>99</v>
      </c>
      <c r="AA3461" s="10" t="s">
        <v>131</v>
      </c>
      <c r="AB3461" s="10" t="s">
        <v>20556</v>
      </c>
      <c r="AC3461" s="10" t="s">
        <v>20557</v>
      </c>
      <c r="AD3461" s="10" t="s">
        <v>24526</v>
      </c>
      <c r="AE3461" s="10" t="s">
        <v>24527</v>
      </c>
      <c r="AF3461" s="15"/>
      <c r="AG3461" s="10"/>
      <c r="AH3461" s="10"/>
      <c r="AI3461" s="10"/>
      <c r="AJ3461" s="10"/>
      <c r="AK3461" s="10" t="s">
        <v>102</v>
      </c>
      <c r="AL3461" s="10" t="s">
        <v>24528</v>
      </c>
      <c r="AM3461" s="10"/>
      <c r="AN3461" s="10"/>
      <c r="AO3461" s="13" t="b">
        <v>0</v>
      </c>
      <c r="AP3461" s="22" t="s">
        <v>104</v>
      </c>
      <c r="AQ3461" s="10">
        <f ca="1">IFERROR(__xludf.DUMMYFUNCTION("""COMPUTED_VALUE"""),4827325)</f>
        <v>4827325</v>
      </c>
      <c r="AR3461" s="17">
        <v>24333</v>
      </c>
      <c r="AS3461" s="17">
        <v>19088</v>
      </c>
      <c r="AT3461" s="17">
        <v>680032.5</v>
      </c>
      <c r="AU3461" s="17">
        <v>113.05</v>
      </c>
      <c r="AV3461" s="17">
        <v>18.3</v>
      </c>
      <c r="AW3461" s="10" t="s">
        <v>105</v>
      </c>
      <c r="AX3461" s="17">
        <v>5957</v>
      </c>
      <c r="AY3461" s="18">
        <v>35.626178751047782</v>
      </c>
      <c r="AZ3461" s="10" t="s">
        <v>106</v>
      </c>
      <c r="BA3461" s="20" t="b">
        <v>0</v>
      </c>
      <c r="BB3461" s="10"/>
      <c r="BC3461" s="17">
        <v>24333</v>
      </c>
      <c r="BD3461" s="17">
        <v>19088</v>
      </c>
      <c r="BE3461" s="17">
        <v>680032.5</v>
      </c>
      <c r="BF3461" s="17">
        <v>18.3</v>
      </c>
      <c r="BG3461" s="11">
        <f ca="1">IFERROR(__xludf.DUMMYFUNCTION("""COMPUTED_VALUE"""),46027.9583333333)</f>
        <v>46027.958333333299</v>
      </c>
      <c r="BH3461" s="17" t="s">
        <v>105</v>
      </c>
      <c r="BI3461" s="17"/>
      <c r="BJ3461" s="15"/>
      <c r="BK3461" s="15"/>
      <c r="BL3461" s="13" t="b">
        <v>0</v>
      </c>
      <c r="BM3461" s="10"/>
      <c r="BN3461" s="10" t="s">
        <v>149</v>
      </c>
      <c r="BO3461" s="11">
        <v>46020.679861111108</v>
      </c>
      <c r="BP3461" s="11">
        <v>46022.92491898148</v>
      </c>
      <c r="BQ3461" s="15">
        <v>46025.601307870369</v>
      </c>
      <c r="BR3461" s="15">
        <v>46025.692847222221</v>
      </c>
      <c r="BS3461" s="10" t="s">
        <v>149</v>
      </c>
      <c r="BT3461" s="10"/>
      <c r="BU3461" s="10"/>
      <c r="BV3461" s="10"/>
      <c r="BW3461" s="10"/>
      <c r="BX3461" s="10"/>
      <c r="BY3461" s="23"/>
      <c r="BZ3461" s="23"/>
      <c r="CA3461" s="19" t="s">
        <v>24529</v>
      </c>
      <c r="CB3461" s="23"/>
      <c r="CC3461" s="23"/>
      <c r="CD3461" s="19" t="s">
        <v>24530</v>
      </c>
      <c r="CE3461" s="23"/>
      <c r="CF3461" s="23"/>
      <c r="CG3461" s="23"/>
      <c r="CH3461" s="23"/>
      <c r="CI3461" s="23"/>
    </row>
    <row r="3462" spans="1:87" x14ac:dyDescent="0.3">
      <c r="A3462" s="9" t="s">
        <v>24531</v>
      </c>
      <c r="B3462" s="10" t="s">
        <v>24532</v>
      </c>
      <c r="C3462" s="11">
        <v>46028.958333333336</v>
      </c>
      <c r="D3462" s="12">
        <v>8.3333333333333329E-2</v>
      </c>
      <c r="E3462" s="11">
        <v>46029.041666666664</v>
      </c>
      <c r="F3462" s="22" t="s">
        <v>20550</v>
      </c>
      <c r="G3462" s="13" t="b">
        <v>0</v>
      </c>
      <c r="H3462" s="22" t="s">
        <v>3578</v>
      </c>
      <c r="I3462" s="10" t="s">
        <v>89</v>
      </c>
      <c r="J3462" s="13" t="b">
        <v>0</v>
      </c>
      <c r="K3462" s="13" t="b">
        <v>1</v>
      </c>
      <c r="L3462" s="10" t="s">
        <v>124</v>
      </c>
      <c r="M3462" s="10" t="s">
        <v>91</v>
      </c>
      <c r="N3462" s="10" t="s">
        <v>265</v>
      </c>
      <c r="O3462" s="19" t="s">
        <v>24533</v>
      </c>
      <c r="P3462" s="10"/>
      <c r="Q3462" s="10" t="s">
        <v>126</v>
      </c>
      <c r="R3462" s="10"/>
      <c r="S3462" s="19" t="s">
        <v>24534</v>
      </c>
      <c r="T3462" s="10"/>
      <c r="U3462" s="10" t="s">
        <v>20632</v>
      </c>
      <c r="V3462" s="10" t="s">
        <v>20585</v>
      </c>
      <c r="W3462" s="10" t="s">
        <v>20555</v>
      </c>
      <c r="X3462" s="10" t="s">
        <v>130</v>
      </c>
      <c r="Y3462" s="10" t="s">
        <v>130</v>
      </c>
      <c r="Z3462" s="10" t="s">
        <v>99</v>
      </c>
      <c r="AA3462" s="10" t="s">
        <v>131</v>
      </c>
      <c r="AB3462" s="10" t="s">
        <v>20556</v>
      </c>
      <c r="AC3462" s="10" t="s">
        <v>20557</v>
      </c>
      <c r="AD3462" s="10" t="s">
        <v>24535</v>
      </c>
      <c r="AE3462" s="10" t="s">
        <v>24536</v>
      </c>
      <c r="AF3462" s="15"/>
      <c r="AG3462" s="10"/>
      <c r="AH3462" s="10"/>
      <c r="AI3462" s="10"/>
      <c r="AJ3462" s="10"/>
      <c r="AK3462" s="10" t="s">
        <v>102</v>
      </c>
      <c r="AL3462" s="10" t="s">
        <v>24528</v>
      </c>
      <c r="AM3462" s="10"/>
      <c r="AN3462" s="10"/>
      <c r="AO3462" s="13" t="b">
        <v>0</v>
      </c>
      <c r="AP3462" s="22" t="s">
        <v>104</v>
      </c>
      <c r="AQ3462" s="10">
        <f ca="1">IFERROR(__xludf.DUMMYFUNCTION("""COMPUTED_VALUE"""),4827326)</f>
        <v>4827326</v>
      </c>
      <c r="AR3462" s="17">
        <v>22560</v>
      </c>
      <c r="AS3462" s="17">
        <v>17062</v>
      </c>
      <c r="AT3462" s="17">
        <v>588699.5</v>
      </c>
      <c r="AU3462" s="17">
        <v>109.6</v>
      </c>
      <c r="AV3462" s="17">
        <v>15.85</v>
      </c>
      <c r="AW3462" s="10" t="s">
        <v>105</v>
      </c>
      <c r="AX3462" s="17">
        <v>5607</v>
      </c>
      <c r="AY3462" s="18">
        <v>34.503545891454692</v>
      </c>
      <c r="AZ3462" s="10" t="s">
        <v>106</v>
      </c>
      <c r="BA3462" s="20" t="b">
        <v>0</v>
      </c>
      <c r="BB3462" s="10"/>
      <c r="BC3462" s="17">
        <v>22560</v>
      </c>
      <c r="BD3462" s="17">
        <v>17062</v>
      </c>
      <c r="BE3462" s="17">
        <v>588699.5</v>
      </c>
      <c r="BF3462" s="17">
        <v>15.85</v>
      </c>
      <c r="BG3462" s="11">
        <f ca="1">IFERROR(__xludf.DUMMYFUNCTION("""COMPUTED_VALUE"""),46028.9583333333)</f>
        <v>46028.958333333299</v>
      </c>
      <c r="BH3462" s="17" t="s">
        <v>105</v>
      </c>
      <c r="BI3462" s="17"/>
      <c r="BJ3462" s="15"/>
      <c r="BK3462" s="15"/>
      <c r="BL3462" s="13" t="b">
        <v>0</v>
      </c>
      <c r="BM3462" s="10"/>
      <c r="BN3462" s="10" t="s">
        <v>149</v>
      </c>
      <c r="BO3462" s="11">
        <v>46020.681250000001</v>
      </c>
      <c r="BP3462" s="11">
        <v>46022.925081018519</v>
      </c>
      <c r="BQ3462" s="15">
        <v>46025.601805555554</v>
      </c>
      <c r="BR3462" s="15">
        <v>46025.693078703705</v>
      </c>
      <c r="BS3462" s="10" t="s">
        <v>149</v>
      </c>
      <c r="BT3462" s="10"/>
      <c r="BU3462" s="10"/>
      <c r="BV3462" s="10"/>
      <c r="BW3462" s="10"/>
      <c r="BX3462" s="10"/>
      <c r="BY3462" s="23"/>
      <c r="BZ3462" s="23"/>
      <c r="CA3462" s="19" t="s">
        <v>24537</v>
      </c>
      <c r="CB3462" s="23"/>
      <c r="CC3462" s="23"/>
      <c r="CD3462" s="19" t="s">
        <v>24538</v>
      </c>
      <c r="CE3462" s="23"/>
      <c r="CF3462" s="23"/>
      <c r="CG3462" s="23"/>
      <c r="CH3462" s="23"/>
      <c r="CI3462" s="23"/>
    </row>
    <row r="3463" spans="1:87" x14ac:dyDescent="0.3">
      <c r="A3463" s="9" t="s">
        <v>24539</v>
      </c>
      <c r="B3463" s="10" t="s">
        <v>24540</v>
      </c>
      <c r="C3463" s="11">
        <v>46029.083333333336</v>
      </c>
      <c r="D3463" s="12">
        <v>8.3333333333333329E-2</v>
      </c>
      <c r="E3463" s="11">
        <v>46029.166666666664</v>
      </c>
      <c r="F3463" s="22" t="s">
        <v>20550</v>
      </c>
      <c r="G3463" s="13" t="b">
        <v>0</v>
      </c>
      <c r="H3463" s="22" t="s">
        <v>3578</v>
      </c>
      <c r="I3463" s="10" t="s">
        <v>89</v>
      </c>
      <c r="J3463" s="13" t="b">
        <v>0</v>
      </c>
      <c r="K3463" s="13" t="b">
        <v>1</v>
      </c>
      <c r="L3463" s="10" t="s">
        <v>124</v>
      </c>
      <c r="M3463" s="10" t="s">
        <v>91</v>
      </c>
      <c r="N3463" s="10" t="s">
        <v>265</v>
      </c>
      <c r="O3463" s="19" t="s">
        <v>24541</v>
      </c>
      <c r="P3463" s="10"/>
      <c r="Q3463" s="10" t="s">
        <v>126</v>
      </c>
      <c r="R3463" s="10"/>
      <c r="S3463" s="19" t="s">
        <v>24542</v>
      </c>
      <c r="T3463" s="10"/>
      <c r="U3463" s="10" t="s">
        <v>20725</v>
      </c>
      <c r="V3463" s="10" t="s">
        <v>20623</v>
      </c>
      <c r="W3463" s="10" t="s">
        <v>20555</v>
      </c>
      <c r="X3463" s="10" t="s">
        <v>130</v>
      </c>
      <c r="Y3463" s="10" t="s">
        <v>130</v>
      </c>
      <c r="Z3463" s="10" t="s">
        <v>99</v>
      </c>
      <c r="AA3463" s="10" t="s">
        <v>131</v>
      </c>
      <c r="AB3463" s="10" t="s">
        <v>20556</v>
      </c>
      <c r="AC3463" s="10" t="s">
        <v>20557</v>
      </c>
      <c r="AD3463" s="10" t="s">
        <v>24543</v>
      </c>
      <c r="AE3463" s="10" t="s">
        <v>24544</v>
      </c>
      <c r="AF3463" s="15"/>
      <c r="AG3463" s="10"/>
      <c r="AH3463" s="10"/>
      <c r="AI3463" s="10"/>
      <c r="AJ3463" s="10"/>
      <c r="AK3463" s="10" t="s">
        <v>102</v>
      </c>
      <c r="AL3463" s="10" t="s">
        <v>24528</v>
      </c>
      <c r="AM3463" s="10"/>
      <c r="AN3463" s="10"/>
      <c r="AO3463" s="13" t="b">
        <v>0</v>
      </c>
      <c r="AP3463" s="22" t="s">
        <v>104</v>
      </c>
      <c r="AQ3463" s="10">
        <f ca="1">IFERROR(__xludf.DUMMYFUNCTION("""COMPUTED_VALUE"""),4827330)</f>
        <v>4827330</v>
      </c>
      <c r="AR3463" s="17">
        <v>8102</v>
      </c>
      <c r="AS3463" s="17">
        <v>5847</v>
      </c>
      <c r="AT3463" s="17">
        <v>239616.25</v>
      </c>
      <c r="AU3463" s="17">
        <v>14.85</v>
      </c>
      <c r="AV3463" s="17">
        <v>4.0999999999999996</v>
      </c>
      <c r="AW3463" s="10" t="s">
        <v>105</v>
      </c>
      <c r="AX3463" s="17">
        <v>3825</v>
      </c>
      <c r="AY3463" s="18">
        <v>40.981058662561999</v>
      </c>
      <c r="AZ3463" s="10" t="s">
        <v>106</v>
      </c>
      <c r="BA3463" s="20" t="b">
        <v>0</v>
      </c>
      <c r="BB3463" s="10"/>
      <c r="BC3463" s="17">
        <v>8102</v>
      </c>
      <c r="BD3463" s="17">
        <v>5847</v>
      </c>
      <c r="BE3463" s="17">
        <v>239616.25</v>
      </c>
      <c r="BF3463" s="17">
        <v>4.0999999999999996</v>
      </c>
      <c r="BG3463" s="11">
        <f ca="1">IFERROR(__xludf.DUMMYFUNCTION("""COMPUTED_VALUE"""),46029.0833333333)</f>
        <v>46029.083333333299</v>
      </c>
      <c r="BH3463" s="17" t="s">
        <v>105</v>
      </c>
      <c r="BI3463" s="17"/>
      <c r="BJ3463" s="15"/>
      <c r="BK3463" s="15"/>
      <c r="BL3463" s="13" t="b">
        <v>0</v>
      </c>
      <c r="BM3463" s="10"/>
      <c r="BN3463" s="10" t="s">
        <v>24545</v>
      </c>
      <c r="BO3463" s="11">
        <v>46020.681944444441</v>
      </c>
      <c r="BP3463" s="11">
        <v>46023.653599537036</v>
      </c>
      <c r="BQ3463" s="15">
        <v>46025.601967592593</v>
      </c>
      <c r="BR3463" s="15">
        <v>46025.780601851853</v>
      </c>
      <c r="BS3463" s="10"/>
      <c r="BT3463" s="10"/>
      <c r="BU3463" s="10"/>
      <c r="BV3463" s="10"/>
      <c r="BW3463" s="10"/>
      <c r="BX3463" s="10"/>
      <c r="BY3463" s="23"/>
      <c r="BZ3463" s="23"/>
      <c r="CA3463" s="19" t="s">
        <v>24546</v>
      </c>
      <c r="CB3463" s="23"/>
      <c r="CC3463" s="23"/>
      <c r="CD3463" s="23"/>
      <c r="CE3463" s="23"/>
      <c r="CF3463" s="23"/>
      <c r="CG3463" s="23"/>
      <c r="CH3463" s="23"/>
      <c r="CI3463" s="23"/>
    </row>
    <row r="3464" spans="1:87" x14ac:dyDescent="0.3">
      <c r="A3464" s="9" t="s">
        <v>24547</v>
      </c>
      <c r="B3464" s="10" t="s">
        <v>24548</v>
      </c>
      <c r="C3464" s="11">
        <v>46037</v>
      </c>
      <c r="D3464" s="12">
        <v>8.3333333333333329E-2</v>
      </c>
      <c r="E3464" s="11">
        <v>46037.083333333336</v>
      </c>
      <c r="F3464" s="22" t="s">
        <v>20550</v>
      </c>
      <c r="G3464" s="13" t="b">
        <v>0</v>
      </c>
      <c r="H3464" s="22" t="s">
        <v>3578</v>
      </c>
      <c r="I3464" s="10" t="s">
        <v>89</v>
      </c>
      <c r="J3464" s="13" t="b">
        <v>0</v>
      </c>
      <c r="K3464" s="13" t="b">
        <v>1</v>
      </c>
      <c r="L3464" s="10" t="s">
        <v>124</v>
      </c>
      <c r="M3464" s="10" t="s">
        <v>91</v>
      </c>
      <c r="N3464" s="10" t="s">
        <v>265</v>
      </c>
      <c r="O3464" s="10"/>
      <c r="P3464" s="10"/>
      <c r="Q3464" s="10" t="s">
        <v>126</v>
      </c>
      <c r="R3464" s="10"/>
      <c r="S3464" s="10"/>
      <c r="T3464" s="10"/>
      <c r="U3464" s="10"/>
      <c r="V3464" s="10"/>
      <c r="W3464" s="10" t="s">
        <v>20555</v>
      </c>
      <c r="X3464" s="10" t="s">
        <v>130</v>
      </c>
      <c r="Y3464" s="10" t="s">
        <v>130</v>
      </c>
      <c r="Z3464" s="10" t="s">
        <v>99</v>
      </c>
      <c r="AA3464" s="10" t="s">
        <v>131</v>
      </c>
      <c r="AB3464" s="10" t="s">
        <v>20556</v>
      </c>
      <c r="AC3464" s="10" t="s">
        <v>20557</v>
      </c>
      <c r="AD3464" s="10" t="s">
        <v>165</v>
      </c>
      <c r="AE3464" s="10" t="s">
        <v>24549</v>
      </c>
      <c r="AF3464" s="15"/>
      <c r="AG3464" s="10"/>
      <c r="AH3464" s="10"/>
      <c r="AI3464" s="10"/>
      <c r="AJ3464" s="10"/>
      <c r="AK3464" s="10"/>
      <c r="AL3464" s="10" t="s">
        <v>20102</v>
      </c>
      <c r="AM3464" s="10"/>
      <c r="AN3464" s="10"/>
      <c r="AO3464" s="13" t="b">
        <v>0</v>
      </c>
      <c r="AP3464" s="22" t="s">
        <v>104</v>
      </c>
      <c r="AQ3464" s="10"/>
      <c r="AR3464" s="17"/>
      <c r="AS3464" s="17"/>
      <c r="AT3464" s="17"/>
      <c r="AU3464" s="17"/>
      <c r="AV3464" s="17"/>
      <c r="AW3464" s="10"/>
      <c r="AX3464" s="17"/>
      <c r="AY3464" s="18" t="s">
        <v>257</v>
      </c>
      <c r="AZ3464" s="10"/>
      <c r="BA3464" s="20" t="b">
        <v>0</v>
      </c>
      <c r="BB3464" s="10"/>
      <c r="BC3464" s="17" t="s">
        <v>257</v>
      </c>
      <c r="BD3464" s="17" t="s">
        <v>257</v>
      </c>
      <c r="BE3464" s="17" t="s">
        <v>257</v>
      </c>
      <c r="BF3464" s="17" t="s">
        <v>257</v>
      </c>
      <c r="BG3464" s="11">
        <f ca="1">IFERROR(__xludf.DUMMYFUNCTION("""COMPUTED_VALUE"""),46037)</f>
        <v>46037</v>
      </c>
      <c r="BH3464" s="17"/>
      <c r="BI3464" s="17"/>
      <c r="BJ3464" s="15"/>
      <c r="BK3464" s="15"/>
      <c r="BL3464" s="13" t="b">
        <v>0</v>
      </c>
      <c r="BM3464" s="10"/>
      <c r="BN3464" s="10" t="s">
        <v>351</v>
      </c>
      <c r="BO3464" s="11">
        <v>46020.682638888888</v>
      </c>
      <c r="BP3464" s="11">
        <v>46020.683159722219</v>
      </c>
      <c r="BQ3464" s="15"/>
      <c r="BR3464" s="15"/>
      <c r="BS3464" s="10"/>
      <c r="BT3464" s="10"/>
      <c r="BU3464" s="10"/>
      <c r="BV3464" s="10"/>
      <c r="BW3464" s="10"/>
      <c r="BX3464" s="10"/>
      <c r="BY3464" s="23"/>
      <c r="BZ3464" s="23"/>
      <c r="CA3464" s="10"/>
      <c r="CB3464" s="23"/>
      <c r="CC3464" s="23"/>
      <c r="CD3464" s="23"/>
      <c r="CE3464" s="23"/>
      <c r="CF3464" s="23"/>
      <c r="CG3464" s="23"/>
      <c r="CH3464" s="23"/>
      <c r="CI3464" s="23"/>
    </row>
    <row r="3465" spans="1:87" x14ac:dyDescent="0.3">
      <c r="A3465" s="9" t="s">
        <v>24550</v>
      </c>
      <c r="B3465" s="10" t="s">
        <v>24548</v>
      </c>
      <c r="C3465" s="11">
        <v>46037.125</v>
      </c>
      <c r="D3465" s="12">
        <v>8.3333333333333329E-2</v>
      </c>
      <c r="E3465" s="11">
        <v>46037.208333333336</v>
      </c>
      <c r="F3465" s="22" t="s">
        <v>20550</v>
      </c>
      <c r="G3465" s="13" t="b">
        <v>0</v>
      </c>
      <c r="H3465" s="22" t="s">
        <v>3578</v>
      </c>
      <c r="I3465" s="10" t="s">
        <v>89</v>
      </c>
      <c r="J3465" s="13" t="b">
        <v>0</v>
      </c>
      <c r="K3465" s="13" t="b">
        <v>1</v>
      </c>
      <c r="L3465" s="10" t="s">
        <v>124</v>
      </c>
      <c r="M3465" s="10" t="s">
        <v>91</v>
      </c>
      <c r="N3465" s="10" t="s">
        <v>265</v>
      </c>
      <c r="O3465" s="10"/>
      <c r="P3465" s="10"/>
      <c r="Q3465" s="10" t="s">
        <v>126</v>
      </c>
      <c r="R3465" s="10"/>
      <c r="S3465" s="10"/>
      <c r="T3465" s="10"/>
      <c r="U3465" s="10"/>
      <c r="V3465" s="10"/>
      <c r="W3465" s="10" t="s">
        <v>20555</v>
      </c>
      <c r="X3465" s="10" t="s">
        <v>130</v>
      </c>
      <c r="Y3465" s="10" t="s">
        <v>130</v>
      </c>
      <c r="Z3465" s="10" t="s">
        <v>99</v>
      </c>
      <c r="AA3465" s="10" t="s">
        <v>131</v>
      </c>
      <c r="AB3465" s="10" t="s">
        <v>20556</v>
      </c>
      <c r="AC3465" s="10" t="s">
        <v>20557</v>
      </c>
      <c r="AD3465" s="10" t="s">
        <v>165</v>
      </c>
      <c r="AE3465" s="10" t="s">
        <v>24549</v>
      </c>
      <c r="AF3465" s="15"/>
      <c r="AG3465" s="10"/>
      <c r="AH3465" s="10"/>
      <c r="AI3465" s="10"/>
      <c r="AJ3465" s="10"/>
      <c r="AK3465" s="10"/>
      <c r="AL3465" s="10" t="s">
        <v>20102</v>
      </c>
      <c r="AM3465" s="10"/>
      <c r="AN3465" s="10"/>
      <c r="AO3465" s="13" t="b">
        <v>0</v>
      </c>
      <c r="AP3465" s="22" t="s">
        <v>104</v>
      </c>
      <c r="AQ3465" s="10"/>
      <c r="AR3465" s="17"/>
      <c r="AS3465" s="17"/>
      <c r="AT3465" s="17"/>
      <c r="AU3465" s="17"/>
      <c r="AV3465" s="17"/>
      <c r="AW3465" s="10"/>
      <c r="AX3465" s="17"/>
      <c r="AY3465" s="18" t="s">
        <v>257</v>
      </c>
      <c r="AZ3465" s="10"/>
      <c r="BA3465" s="20" t="b">
        <v>0</v>
      </c>
      <c r="BB3465" s="10"/>
      <c r="BC3465" s="17" t="s">
        <v>257</v>
      </c>
      <c r="BD3465" s="17" t="s">
        <v>257</v>
      </c>
      <c r="BE3465" s="17" t="s">
        <v>257</v>
      </c>
      <c r="BF3465" s="17" t="s">
        <v>257</v>
      </c>
      <c r="BG3465" s="11">
        <f ca="1">IFERROR(__xludf.DUMMYFUNCTION("""COMPUTED_VALUE"""),46037.125)</f>
        <v>46037.125</v>
      </c>
      <c r="BH3465" s="17"/>
      <c r="BI3465" s="17"/>
      <c r="BJ3465" s="15"/>
      <c r="BK3465" s="15"/>
      <c r="BL3465" s="13" t="b">
        <v>0</v>
      </c>
      <c r="BM3465" s="10"/>
      <c r="BN3465" s="10" t="s">
        <v>351</v>
      </c>
      <c r="BO3465" s="11">
        <v>46020.683333333334</v>
      </c>
      <c r="BP3465" s="11">
        <v>46020.683993055558</v>
      </c>
      <c r="BQ3465" s="15"/>
      <c r="BR3465" s="15"/>
      <c r="BS3465" s="10"/>
      <c r="BT3465" s="10"/>
      <c r="BU3465" s="10"/>
      <c r="BV3465" s="10"/>
      <c r="BW3465" s="10"/>
      <c r="BX3465" s="10"/>
      <c r="BY3465" s="23"/>
      <c r="BZ3465" s="23"/>
      <c r="CA3465" s="10"/>
      <c r="CB3465" s="23"/>
      <c r="CC3465" s="23"/>
      <c r="CD3465" s="23"/>
      <c r="CE3465" s="23"/>
      <c r="CF3465" s="23"/>
      <c r="CG3465" s="23"/>
      <c r="CH3465" s="23"/>
      <c r="CI3465" s="23"/>
    </row>
    <row r="3466" spans="1:87" x14ac:dyDescent="0.3">
      <c r="A3466" s="9" t="s">
        <v>24551</v>
      </c>
      <c r="B3466" s="10" t="s">
        <v>24552</v>
      </c>
      <c r="C3466" s="11">
        <v>46025.958333333336</v>
      </c>
      <c r="D3466" s="12">
        <v>8.3333333333333329E-2</v>
      </c>
      <c r="E3466" s="11">
        <v>46026.041666666664</v>
      </c>
      <c r="F3466" s="22" t="s">
        <v>20550</v>
      </c>
      <c r="G3466" s="13" t="b">
        <v>0</v>
      </c>
      <c r="H3466" s="22" t="s">
        <v>3564</v>
      </c>
      <c r="I3466" s="10" t="s">
        <v>89</v>
      </c>
      <c r="J3466" s="13" t="b">
        <v>0</v>
      </c>
      <c r="K3466" s="13" t="b">
        <v>1</v>
      </c>
      <c r="L3466" s="10" t="s">
        <v>124</v>
      </c>
      <c r="M3466" s="10" t="s">
        <v>91</v>
      </c>
      <c r="N3466" s="10" t="s">
        <v>265</v>
      </c>
      <c r="O3466" s="19" t="s">
        <v>24553</v>
      </c>
      <c r="P3466" s="10"/>
      <c r="Q3466" s="10" t="s">
        <v>126</v>
      </c>
      <c r="R3466" s="10"/>
      <c r="S3466" s="19" t="s">
        <v>24554</v>
      </c>
      <c r="T3466" s="10"/>
      <c r="U3466" s="10" t="s">
        <v>20594</v>
      </c>
      <c r="V3466" s="10" t="s">
        <v>20633</v>
      </c>
      <c r="W3466" s="10" t="s">
        <v>20555</v>
      </c>
      <c r="X3466" s="10" t="s">
        <v>130</v>
      </c>
      <c r="Y3466" s="10" t="s">
        <v>130</v>
      </c>
      <c r="Z3466" s="10" t="s">
        <v>99</v>
      </c>
      <c r="AA3466" s="10" t="s">
        <v>131</v>
      </c>
      <c r="AB3466" s="10" t="s">
        <v>20556</v>
      </c>
      <c r="AC3466" s="10" t="s">
        <v>20557</v>
      </c>
      <c r="AD3466" s="10" t="s">
        <v>24555</v>
      </c>
      <c r="AE3466" s="10" t="s">
        <v>24556</v>
      </c>
      <c r="AF3466" s="15"/>
      <c r="AG3466" s="10"/>
      <c r="AH3466" s="10"/>
      <c r="AI3466" s="10"/>
      <c r="AJ3466" s="10"/>
      <c r="AK3466" s="10" t="s">
        <v>102</v>
      </c>
      <c r="AL3466" s="10" t="s">
        <v>24528</v>
      </c>
      <c r="AM3466" s="10"/>
      <c r="AN3466" s="10"/>
      <c r="AO3466" s="13" t="b">
        <v>0</v>
      </c>
      <c r="AP3466" s="22" t="s">
        <v>104</v>
      </c>
      <c r="AQ3466" s="10">
        <f ca="1">IFERROR(__xludf.DUMMYFUNCTION("""COMPUTED_VALUE"""),4825768)</f>
        <v>4825768</v>
      </c>
      <c r="AR3466" s="17">
        <v>20319</v>
      </c>
      <c r="AS3466" s="17">
        <v>16086</v>
      </c>
      <c r="AT3466" s="17">
        <v>368714.75</v>
      </c>
      <c r="AU3466" s="17">
        <v>83.55</v>
      </c>
      <c r="AV3466" s="17">
        <v>19.100000000000001</v>
      </c>
      <c r="AW3466" s="10" t="s">
        <v>105</v>
      </c>
      <c r="AX3466" s="17">
        <v>4991</v>
      </c>
      <c r="AY3466" s="18">
        <v>22.921468979236604</v>
      </c>
      <c r="AZ3466" s="10" t="s">
        <v>106</v>
      </c>
      <c r="BA3466" s="20" t="b">
        <v>0</v>
      </c>
      <c r="BB3466" s="10"/>
      <c r="BC3466" s="17">
        <v>20319</v>
      </c>
      <c r="BD3466" s="17">
        <v>16086</v>
      </c>
      <c r="BE3466" s="17">
        <v>368714.75</v>
      </c>
      <c r="BF3466" s="17">
        <v>19.100000000000001</v>
      </c>
      <c r="BG3466" s="11">
        <f ca="1">IFERROR(__xludf.DUMMYFUNCTION("""COMPUTED_VALUE"""),46025.9583333333)</f>
        <v>46025.958333333299</v>
      </c>
      <c r="BH3466" s="17" t="s">
        <v>105</v>
      </c>
      <c r="BI3466" s="17"/>
      <c r="BJ3466" s="15"/>
      <c r="BK3466" s="15"/>
      <c r="BL3466" s="13" t="b">
        <v>0</v>
      </c>
      <c r="BM3466" s="10"/>
      <c r="BN3466" s="10" t="s">
        <v>149</v>
      </c>
      <c r="BO3466" s="11">
        <v>46020.686111111114</v>
      </c>
      <c r="BP3466" s="11">
        <v>46023.652222222219</v>
      </c>
      <c r="BQ3466" s="15">
        <v>46024.632199074076</v>
      </c>
      <c r="BR3466" s="15">
        <v>46024.688761574071</v>
      </c>
      <c r="BS3466" s="10" t="s">
        <v>149</v>
      </c>
      <c r="BT3466" s="10"/>
      <c r="BU3466" s="10"/>
      <c r="BV3466" s="10"/>
      <c r="BW3466" s="10"/>
      <c r="BX3466" s="10"/>
      <c r="BY3466" s="23"/>
      <c r="BZ3466" s="23"/>
      <c r="CA3466" s="19" t="s">
        <v>24557</v>
      </c>
      <c r="CB3466" s="23"/>
      <c r="CC3466" s="23"/>
      <c r="CD3466" s="19" t="s">
        <v>24558</v>
      </c>
      <c r="CE3466" s="23"/>
      <c r="CF3466" s="23"/>
      <c r="CG3466" s="23"/>
      <c r="CH3466" s="23"/>
      <c r="CI3466" s="23"/>
    </row>
    <row r="3467" spans="1:87" x14ac:dyDescent="0.3">
      <c r="A3467" s="9" t="s">
        <v>24559</v>
      </c>
      <c r="B3467" s="10" t="s">
        <v>24560</v>
      </c>
      <c r="C3467" s="11">
        <v>46026.083333333336</v>
      </c>
      <c r="D3467" s="12">
        <v>8.3333333333333329E-2</v>
      </c>
      <c r="E3467" s="11">
        <v>46026.166666666664</v>
      </c>
      <c r="F3467" s="22" t="s">
        <v>20550</v>
      </c>
      <c r="G3467" s="13" t="b">
        <v>0</v>
      </c>
      <c r="H3467" s="22" t="s">
        <v>3564</v>
      </c>
      <c r="I3467" s="10" t="s">
        <v>89</v>
      </c>
      <c r="J3467" s="13" t="b">
        <v>0</v>
      </c>
      <c r="K3467" s="13" t="b">
        <v>1</v>
      </c>
      <c r="L3467" s="10" t="s">
        <v>124</v>
      </c>
      <c r="M3467" s="10" t="s">
        <v>91</v>
      </c>
      <c r="N3467" s="10" t="s">
        <v>265</v>
      </c>
      <c r="O3467" s="19" t="s">
        <v>24561</v>
      </c>
      <c r="P3467" s="10"/>
      <c r="Q3467" s="10" t="s">
        <v>126</v>
      </c>
      <c r="R3467" s="10"/>
      <c r="S3467" s="19" t="s">
        <v>24562</v>
      </c>
      <c r="T3467" s="10"/>
      <c r="U3467" s="10" t="s">
        <v>20553</v>
      </c>
      <c r="V3467" s="10" t="s">
        <v>20614</v>
      </c>
      <c r="W3467" s="10" t="s">
        <v>20555</v>
      </c>
      <c r="X3467" s="10" t="s">
        <v>130</v>
      </c>
      <c r="Y3467" s="10" t="s">
        <v>130</v>
      </c>
      <c r="Z3467" s="10" t="s">
        <v>99</v>
      </c>
      <c r="AA3467" s="10" t="s">
        <v>131</v>
      </c>
      <c r="AB3467" s="10" t="s">
        <v>20556</v>
      </c>
      <c r="AC3467" s="10" t="s">
        <v>20557</v>
      </c>
      <c r="AD3467" s="10" t="s">
        <v>24563</v>
      </c>
      <c r="AE3467" s="10" t="s">
        <v>24564</v>
      </c>
      <c r="AF3467" s="15"/>
      <c r="AG3467" s="10"/>
      <c r="AH3467" s="10"/>
      <c r="AI3467" s="10"/>
      <c r="AJ3467" s="10"/>
      <c r="AK3467" s="10" t="s">
        <v>102</v>
      </c>
      <c r="AL3467" s="10" t="s">
        <v>24528</v>
      </c>
      <c r="AM3467" s="10"/>
      <c r="AN3467" s="10"/>
      <c r="AO3467" s="13" t="b">
        <v>0</v>
      </c>
      <c r="AP3467" s="22" t="s">
        <v>104</v>
      </c>
      <c r="AQ3467" s="10">
        <f ca="1">IFERROR(__xludf.DUMMYFUNCTION("""COMPUTED_VALUE"""),4825769)</f>
        <v>4825769</v>
      </c>
      <c r="AR3467" s="17">
        <v>9374</v>
      </c>
      <c r="AS3467" s="17">
        <v>6821</v>
      </c>
      <c r="AT3467" s="17">
        <v>221828.5</v>
      </c>
      <c r="AU3467" s="17">
        <v>14.05</v>
      </c>
      <c r="AV3467" s="17">
        <v>2.2000000000000002</v>
      </c>
      <c r="AW3467" s="10" t="s">
        <v>105</v>
      </c>
      <c r="AX3467" s="17">
        <v>2583</v>
      </c>
      <c r="AY3467" s="18">
        <v>32.521404486145727</v>
      </c>
      <c r="AZ3467" s="10" t="s">
        <v>106</v>
      </c>
      <c r="BA3467" s="20" t="b">
        <v>0</v>
      </c>
      <c r="BB3467" s="10"/>
      <c r="BC3467" s="17">
        <v>9374</v>
      </c>
      <c r="BD3467" s="17">
        <v>6821</v>
      </c>
      <c r="BE3467" s="17">
        <v>221828.5</v>
      </c>
      <c r="BF3467" s="17">
        <v>2.2000000000000002</v>
      </c>
      <c r="BG3467" s="11">
        <f ca="1">IFERROR(__xludf.DUMMYFUNCTION("""COMPUTED_VALUE"""),46026.0833333333)</f>
        <v>46026.083333333299</v>
      </c>
      <c r="BH3467" s="17" t="s">
        <v>105</v>
      </c>
      <c r="BI3467" s="17"/>
      <c r="BJ3467" s="15"/>
      <c r="BK3467" s="15"/>
      <c r="BL3467" s="13" t="b">
        <v>0</v>
      </c>
      <c r="BM3467" s="10"/>
      <c r="BN3467" s="10" t="s">
        <v>136</v>
      </c>
      <c r="BO3467" s="11">
        <v>46020.6875</v>
      </c>
      <c r="BP3467" s="11">
        <v>46022.924155092594</v>
      </c>
      <c r="BQ3467" s="15">
        <v>46025.600891203707</v>
      </c>
      <c r="BR3467" s="15">
        <v>46024.688981481479</v>
      </c>
      <c r="BS3467" s="10"/>
      <c r="BT3467" s="10"/>
      <c r="BU3467" s="10"/>
      <c r="BV3467" s="10"/>
      <c r="BW3467" s="10"/>
      <c r="BX3467" s="10"/>
      <c r="BY3467" s="23"/>
      <c r="BZ3467" s="23"/>
      <c r="CA3467" s="19" t="s">
        <v>24565</v>
      </c>
      <c r="CB3467" s="23"/>
      <c r="CC3467" s="23"/>
      <c r="CD3467" s="19" t="s">
        <v>24566</v>
      </c>
      <c r="CE3467" s="23"/>
      <c r="CF3467" s="23"/>
      <c r="CG3467" s="23"/>
      <c r="CH3467" s="23"/>
      <c r="CI3467" s="23"/>
    </row>
    <row r="3468" spans="1:87" x14ac:dyDescent="0.3">
      <c r="A3468" s="9" t="s">
        <v>24567</v>
      </c>
      <c r="B3468" s="10" t="s">
        <v>24568</v>
      </c>
      <c r="C3468" s="11">
        <v>46026.958333333336</v>
      </c>
      <c r="D3468" s="12">
        <v>8.3333333333333329E-2</v>
      </c>
      <c r="E3468" s="11">
        <v>46027.041666666664</v>
      </c>
      <c r="F3468" s="22" t="s">
        <v>20550</v>
      </c>
      <c r="G3468" s="13" t="b">
        <v>0</v>
      </c>
      <c r="H3468" s="22" t="s">
        <v>3564</v>
      </c>
      <c r="I3468" s="10" t="s">
        <v>89</v>
      </c>
      <c r="J3468" s="13" t="b">
        <v>0</v>
      </c>
      <c r="K3468" s="13" t="b">
        <v>1</v>
      </c>
      <c r="L3468" s="10" t="s">
        <v>124</v>
      </c>
      <c r="M3468" s="10" t="s">
        <v>91</v>
      </c>
      <c r="N3468" s="10" t="s">
        <v>265</v>
      </c>
      <c r="O3468" s="19" t="s">
        <v>24569</v>
      </c>
      <c r="P3468" s="10"/>
      <c r="Q3468" s="10" t="s">
        <v>126</v>
      </c>
      <c r="R3468" s="10"/>
      <c r="S3468" s="19" t="s">
        <v>24570</v>
      </c>
      <c r="T3468" s="10"/>
      <c r="U3468" s="10" t="s">
        <v>20665</v>
      </c>
      <c r="V3468" s="10" t="s">
        <v>20605</v>
      </c>
      <c r="W3468" s="10" t="s">
        <v>20555</v>
      </c>
      <c r="X3468" s="10" t="s">
        <v>130</v>
      </c>
      <c r="Y3468" s="10" t="s">
        <v>130</v>
      </c>
      <c r="Z3468" s="10" t="s">
        <v>99</v>
      </c>
      <c r="AA3468" s="10" t="s">
        <v>131</v>
      </c>
      <c r="AB3468" s="10" t="s">
        <v>20556</v>
      </c>
      <c r="AC3468" s="10" t="s">
        <v>20557</v>
      </c>
      <c r="AD3468" s="10" t="s">
        <v>24571</v>
      </c>
      <c r="AE3468" s="10" t="s">
        <v>24572</v>
      </c>
      <c r="AF3468" s="15"/>
      <c r="AG3468" s="10"/>
      <c r="AH3468" s="10"/>
      <c r="AI3468" s="10"/>
      <c r="AJ3468" s="10"/>
      <c r="AK3468" s="10" t="s">
        <v>102</v>
      </c>
      <c r="AL3468" s="10" t="s">
        <v>24528</v>
      </c>
      <c r="AM3468" s="10"/>
      <c r="AN3468" s="10"/>
      <c r="AO3468" s="13" t="b">
        <v>0</v>
      </c>
      <c r="AP3468" s="22" t="s">
        <v>104</v>
      </c>
      <c r="AQ3468" s="10">
        <f ca="1">IFERROR(__xludf.DUMMYFUNCTION("""COMPUTED_VALUE"""),4827327)</f>
        <v>4827327</v>
      </c>
      <c r="AR3468" s="17">
        <v>18981</v>
      </c>
      <c r="AS3468" s="17">
        <v>15100</v>
      </c>
      <c r="AT3468" s="17">
        <v>353475.75</v>
      </c>
      <c r="AU3468" s="17">
        <v>54.45</v>
      </c>
      <c r="AV3468" s="17">
        <v>17.149999999999999</v>
      </c>
      <c r="AW3468" s="10" t="s">
        <v>105</v>
      </c>
      <c r="AX3468" s="17">
        <v>5437</v>
      </c>
      <c r="AY3468" s="18">
        <v>23.408990066225165</v>
      </c>
      <c r="AZ3468" s="10" t="s">
        <v>106</v>
      </c>
      <c r="BA3468" s="20" t="b">
        <v>0</v>
      </c>
      <c r="BB3468" s="10"/>
      <c r="BC3468" s="17">
        <v>18981</v>
      </c>
      <c r="BD3468" s="17">
        <v>15100</v>
      </c>
      <c r="BE3468" s="17">
        <v>353475.75</v>
      </c>
      <c r="BF3468" s="17">
        <v>17.149999999999999</v>
      </c>
      <c r="BG3468" s="11">
        <f ca="1">IFERROR(__xludf.DUMMYFUNCTION("""COMPUTED_VALUE"""),46026.9583333333)</f>
        <v>46026.958333333299</v>
      </c>
      <c r="BH3468" s="17" t="s">
        <v>105</v>
      </c>
      <c r="BI3468" s="17"/>
      <c r="BJ3468" s="15"/>
      <c r="BK3468" s="15"/>
      <c r="BL3468" s="13" t="b">
        <v>0</v>
      </c>
      <c r="BM3468" s="10"/>
      <c r="BN3468" s="10" t="s">
        <v>149</v>
      </c>
      <c r="BO3468" s="11">
        <v>46020.688194444447</v>
      </c>
      <c r="BP3468" s="11">
        <v>46022.92459490741</v>
      </c>
      <c r="BQ3468" s="15">
        <v>46025.601111111115</v>
      </c>
      <c r="BR3468" s="15">
        <v>46025.695983796293</v>
      </c>
      <c r="BS3468" s="10" t="s">
        <v>149</v>
      </c>
      <c r="BT3468" s="10"/>
      <c r="BU3468" s="10"/>
      <c r="BV3468" s="10"/>
      <c r="BW3468" s="10"/>
      <c r="BX3468" s="10"/>
      <c r="BY3468" s="23"/>
      <c r="BZ3468" s="23"/>
      <c r="CA3468" s="19" t="s">
        <v>24573</v>
      </c>
      <c r="CB3468" s="23"/>
      <c r="CC3468" s="23"/>
      <c r="CD3468" s="19" t="s">
        <v>24574</v>
      </c>
      <c r="CE3468" s="23"/>
      <c r="CF3468" s="23"/>
      <c r="CG3468" s="23"/>
      <c r="CH3468" s="23"/>
      <c r="CI3468" s="23"/>
    </row>
    <row r="3469" spans="1:87" x14ac:dyDescent="0.3">
      <c r="A3469" s="9" t="s">
        <v>24575</v>
      </c>
      <c r="B3469" s="10" t="s">
        <v>24576</v>
      </c>
      <c r="C3469" s="11">
        <v>46027.083333333336</v>
      </c>
      <c r="D3469" s="12">
        <v>8.3333333333333329E-2</v>
      </c>
      <c r="E3469" s="11">
        <v>46027.166666666664</v>
      </c>
      <c r="F3469" s="22" t="s">
        <v>20550</v>
      </c>
      <c r="G3469" s="13" t="b">
        <v>0</v>
      </c>
      <c r="H3469" s="22" t="s">
        <v>3564</v>
      </c>
      <c r="I3469" s="10" t="s">
        <v>89</v>
      </c>
      <c r="J3469" s="13" t="b">
        <v>0</v>
      </c>
      <c r="K3469" s="13" t="b">
        <v>1</v>
      </c>
      <c r="L3469" s="10" t="s">
        <v>124</v>
      </c>
      <c r="M3469" s="10" t="s">
        <v>91</v>
      </c>
      <c r="N3469" s="10" t="s">
        <v>265</v>
      </c>
      <c r="O3469" s="19" t="s">
        <v>24577</v>
      </c>
      <c r="P3469" s="10"/>
      <c r="Q3469" s="10" t="s">
        <v>126</v>
      </c>
      <c r="R3469" s="10"/>
      <c r="S3469" s="19" t="s">
        <v>24578</v>
      </c>
      <c r="T3469" s="10"/>
      <c r="U3469" s="10" t="s">
        <v>20566</v>
      </c>
      <c r="V3469" s="10" t="s">
        <v>20726</v>
      </c>
      <c r="W3469" s="10" t="s">
        <v>20555</v>
      </c>
      <c r="X3469" s="10" t="s">
        <v>130</v>
      </c>
      <c r="Y3469" s="10" t="s">
        <v>130</v>
      </c>
      <c r="Z3469" s="10" t="s">
        <v>99</v>
      </c>
      <c r="AA3469" s="10" t="s">
        <v>131</v>
      </c>
      <c r="AB3469" s="10" t="s">
        <v>20556</v>
      </c>
      <c r="AC3469" s="10" t="s">
        <v>20557</v>
      </c>
      <c r="AD3469" s="10" t="s">
        <v>24579</v>
      </c>
      <c r="AE3469" s="10" t="s">
        <v>24580</v>
      </c>
      <c r="AF3469" s="15"/>
      <c r="AG3469" s="10"/>
      <c r="AH3469" s="10"/>
      <c r="AI3469" s="10"/>
      <c r="AJ3469" s="10"/>
      <c r="AK3469" s="10" t="s">
        <v>102</v>
      </c>
      <c r="AL3469" s="10" t="s">
        <v>24528</v>
      </c>
      <c r="AM3469" s="10"/>
      <c r="AN3469" s="10"/>
      <c r="AO3469" s="13" t="b">
        <v>0</v>
      </c>
      <c r="AP3469" s="22" t="s">
        <v>104</v>
      </c>
      <c r="AQ3469" s="10">
        <f ca="1">IFERROR(__xludf.DUMMYFUNCTION("""COMPUTED_VALUE"""),4827328)</f>
        <v>4827328</v>
      </c>
      <c r="AR3469" s="17"/>
      <c r="AS3469" s="17"/>
      <c r="AT3469" s="17"/>
      <c r="AU3469" s="17"/>
      <c r="AV3469" s="17"/>
      <c r="AW3469" s="10"/>
      <c r="AX3469" s="17"/>
      <c r="AY3469" s="18" t="s">
        <v>257</v>
      </c>
      <c r="AZ3469" s="10" t="s">
        <v>106</v>
      </c>
      <c r="BA3469" s="20" t="b">
        <v>0</v>
      </c>
      <c r="BB3469" s="10"/>
      <c r="BC3469" s="17" t="s">
        <v>257</v>
      </c>
      <c r="BD3469" s="17" t="s">
        <v>257</v>
      </c>
      <c r="BE3469" s="17" t="s">
        <v>257</v>
      </c>
      <c r="BF3469" s="17" t="s">
        <v>257</v>
      </c>
      <c r="BG3469" s="11">
        <f ca="1">IFERROR(__xludf.DUMMYFUNCTION("""COMPUTED_VALUE"""),46027.0833333333)</f>
        <v>46027.083333333299</v>
      </c>
      <c r="BH3469" s="17"/>
      <c r="BI3469" s="17"/>
      <c r="BJ3469" s="15"/>
      <c r="BK3469" s="15"/>
      <c r="BL3469" s="13" t="b">
        <v>0</v>
      </c>
      <c r="BM3469" s="10"/>
      <c r="BN3469" s="10" t="s">
        <v>149</v>
      </c>
      <c r="BO3469" s="11">
        <v>46020.688194444447</v>
      </c>
      <c r="BP3469" s="11">
        <v>46023.65284722222</v>
      </c>
      <c r="BQ3469" s="15">
        <v>46025.601458333331</v>
      </c>
      <c r="BR3469" s="15">
        <v>46025.696446759262</v>
      </c>
      <c r="BS3469" s="10" t="s">
        <v>149</v>
      </c>
      <c r="BT3469" s="10"/>
      <c r="BU3469" s="10"/>
      <c r="BV3469" s="10"/>
      <c r="BW3469" s="10"/>
      <c r="BX3469" s="10"/>
      <c r="BY3469" s="23"/>
      <c r="BZ3469" s="23"/>
      <c r="CA3469" s="19" t="s">
        <v>24581</v>
      </c>
      <c r="CB3469" s="23"/>
      <c r="CC3469" s="23"/>
      <c r="CD3469" s="19" t="s">
        <v>24582</v>
      </c>
      <c r="CE3469" s="23"/>
      <c r="CF3469" s="23"/>
      <c r="CG3469" s="23"/>
      <c r="CH3469" s="23"/>
      <c r="CI3469" s="23"/>
    </row>
    <row r="3470" spans="1:87" x14ac:dyDescent="0.3">
      <c r="A3470" s="9" t="s">
        <v>24583</v>
      </c>
      <c r="B3470" s="10" t="s">
        <v>24584</v>
      </c>
      <c r="C3470" s="11">
        <v>46028.083333333336</v>
      </c>
      <c r="D3470" s="12">
        <v>8.3333333333333329E-2</v>
      </c>
      <c r="E3470" s="11">
        <v>46028.166666666664</v>
      </c>
      <c r="F3470" s="22" t="s">
        <v>20550</v>
      </c>
      <c r="G3470" s="13" t="b">
        <v>0</v>
      </c>
      <c r="H3470" s="22" t="s">
        <v>3564</v>
      </c>
      <c r="I3470" s="10" t="s">
        <v>89</v>
      </c>
      <c r="J3470" s="13" t="b">
        <v>0</v>
      </c>
      <c r="K3470" s="13" t="b">
        <v>1</v>
      </c>
      <c r="L3470" s="10" t="s">
        <v>124</v>
      </c>
      <c r="M3470" s="10" t="s">
        <v>91</v>
      </c>
      <c r="N3470" s="10" t="s">
        <v>265</v>
      </c>
      <c r="O3470" s="19" t="s">
        <v>24585</v>
      </c>
      <c r="P3470" s="10"/>
      <c r="Q3470" s="10" t="s">
        <v>126</v>
      </c>
      <c r="R3470" s="10"/>
      <c r="S3470" s="19" t="s">
        <v>24586</v>
      </c>
      <c r="T3470" s="10"/>
      <c r="U3470" s="10" t="s">
        <v>20604</v>
      </c>
      <c r="V3470" s="10" t="s">
        <v>20703</v>
      </c>
      <c r="W3470" s="10" t="s">
        <v>20555</v>
      </c>
      <c r="X3470" s="10" t="s">
        <v>130</v>
      </c>
      <c r="Y3470" s="10" t="s">
        <v>130</v>
      </c>
      <c r="Z3470" s="10" t="s">
        <v>99</v>
      </c>
      <c r="AA3470" s="10" t="s">
        <v>131</v>
      </c>
      <c r="AB3470" s="10" t="s">
        <v>20556</v>
      </c>
      <c r="AC3470" s="10" t="s">
        <v>20557</v>
      </c>
      <c r="AD3470" s="10" t="s">
        <v>24587</v>
      </c>
      <c r="AE3470" s="10" t="s">
        <v>24588</v>
      </c>
      <c r="AF3470" s="15"/>
      <c r="AG3470" s="10"/>
      <c r="AH3470" s="10"/>
      <c r="AI3470" s="10"/>
      <c r="AJ3470" s="10"/>
      <c r="AK3470" s="10" t="s">
        <v>102</v>
      </c>
      <c r="AL3470" s="10" t="s">
        <v>24528</v>
      </c>
      <c r="AM3470" s="10"/>
      <c r="AN3470" s="10"/>
      <c r="AO3470" s="13" t="b">
        <v>0</v>
      </c>
      <c r="AP3470" s="22" t="s">
        <v>104</v>
      </c>
      <c r="AQ3470" s="10">
        <f ca="1">IFERROR(__xludf.DUMMYFUNCTION("""COMPUTED_VALUE"""),4827329)</f>
        <v>4827329</v>
      </c>
      <c r="AR3470" s="17">
        <v>7761</v>
      </c>
      <c r="AS3470" s="17">
        <v>5970</v>
      </c>
      <c r="AT3470" s="17">
        <v>322675.75</v>
      </c>
      <c r="AU3470" s="17">
        <v>16.45</v>
      </c>
      <c r="AV3470" s="17">
        <v>1.3</v>
      </c>
      <c r="AW3470" s="10" t="s">
        <v>105</v>
      </c>
      <c r="AX3470" s="17">
        <v>2159</v>
      </c>
      <c r="AY3470" s="18">
        <v>54.049539363484087</v>
      </c>
      <c r="AZ3470" s="10" t="s">
        <v>106</v>
      </c>
      <c r="BA3470" s="20" t="b">
        <v>0</v>
      </c>
      <c r="BB3470" s="10"/>
      <c r="BC3470" s="17">
        <v>7761</v>
      </c>
      <c r="BD3470" s="17">
        <v>5970</v>
      </c>
      <c r="BE3470" s="17">
        <v>322675.75</v>
      </c>
      <c r="BF3470" s="17">
        <v>1.3</v>
      </c>
      <c r="BG3470" s="11">
        <f ca="1">IFERROR(__xludf.DUMMYFUNCTION("""COMPUTED_VALUE"""),46028.0833333333)</f>
        <v>46028.083333333299</v>
      </c>
      <c r="BH3470" s="17" t="s">
        <v>105</v>
      </c>
      <c r="BI3470" s="17"/>
      <c r="BJ3470" s="15"/>
      <c r="BK3470" s="15"/>
      <c r="BL3470" s="13" t="b">
        <v>0</v>
      </c>
      <c r="BM3470" s="10"/>
      <c r="BN3470" s="10" t="s">
        <v>149</v>
      </c>
      <c r="BO3470" s="11">
        <v>46020.688888888886</v>
      </c>
      <c r="BP3470" s="11">
        <v>46023.653356481482</v>
      </c>
      <c r="BQ3470" s="15">
        <v>46025.601643518516</v>
      </c>
      <c r="BR3470" s="15">
        <v>46025.695289351854</v>
      </c>
      <c r="BS3470" s="10" t="s">
        <v>149</v>
      </c>
      <c r="BT3470" s="10"/>
      <c r="BU3470" s="10"/>
      <c r="BV3470" s="10"/>
      <c r="BW3470" s="10"/>
      <c r="BX3470" s="10"/>
      <c r="BY3470" s="23"/>
      <c r="BZ3470" s="23"/>
      <c r="CA3470" s="19" t="s">
        <v>24589</v>
      </c>
      <c r="CB3470" s="23"/>
      <c r="CC3470" s="23"/>
      <c r="CD3470" s="19" t="s">
        <v>24590</v>
      </c>
      <c r="CE3470" s="23"/>
      <c r="CF3470" s="23"/>
      <c r="CG3470" s="23"/>
      <c r="CH3470" s="23"/>
      <c r="CI3470" s="23"/>
    </row>
    <row r="3471" spans="1:87" x14ac:dyDescent="0.3">
      <c r="A3471" s="9" t="s">
        <v>24591</v>
      </c>
      <c r="B3471" s="10" t="s">
        <v>24592</v>
      </c>
      <c r="C3471" s="11">
        <v>46031.958333333336</v>
      </c>
      <c r="D3471" s="12">
        <v>8.3333333333333329E-2</v>
      </c>
      <c r="E3471" s="11">
        <v>46032.041666666664</v>
      </c>
      <c r="F3471" s="22" t="s">
        <v>20550</v>
      </c>
      <c r="G3471" s="13" t="b">
        <v>0</v>
      </c>
      <c r="H3471" s="22" t="s">
        <v>3564</v>
      </c>
      <c r="I3471" s="10" t="s">
        <v>89</v>
      </c>
      <c r="J3471" s="13" t="b">
        <v>0</v>
      </c>
      <c r="K3471" s="13" t="b">
        <v>1</v>
      </c>
      <c r="L3471" s="10" t="s">
        <v>124</v>
      </c>
      <c r="M3471" s="10" t="s">
        <v>91</v>
      </c>
      <c r="N3471" s="10" t="s">
        <v>265</v>
      </c>
      <c r="O3471" s="19" t="s">
        <v>24593</v>
      </c>
      <c r="P3471" s="10"/>
      <c r="Q3471" s="10" t="s">
        <v>126</v>
      </c>
      <c r="R3471" s="10"/>
      <c r="S3471" s="19" t="s">
        <v>24594</v>
      </c>
      <c r="T3471" s="10"/>
      <c r="U3471" s="10" t="s">
        <v>20553</v>
      </c>
      <c r="V3471" s="10" t="s">
        <v>20594</v>
      </c>
      <c r="W3471" s="10" t="s">
        <v>20555</v>
      </c>
      <c r="X3471" s="10" t="s">
        <v>130</v>
      </c>
      <c r="Y3471" s="10" t="s">
        <v>130</v>
      </c>
      <c r="Z3471" s="10" t="s">
        <v>99</v>
      </c>
      <c r="AA3471" s="10" t="s">
        <v>131</v>
      </c>
      <c r="AB3471" s="10" t="s">
        <v>20556</v>
      </c>
      <c r="AC3471" s="10" t="s">
        <v>20557</v>
      </c>
      <c r="AD3471" s="10" t="s">
        <v>24595</v>
      </c>
      <c r="AE3471" s="10" t="s">
        <v>24596</v>
      </c>
      <c r="AF3471" s="15"/>
      <c r="AG3471" s="10"/>
      <c r="AH3471" s="10"/>
      <c r="AI3471" s="10"/>
      <c r="AJ3471" s="10"/>
      <c r="AK3471" s="10" t="s">
        <v>102</v>
      </c>
      <c r="AL3471" s="10" t="s">
        <v>19004</v>
      </c>
      <c r="AM3471" s="10"/>
      <c r="AN3471" s="10"/>
      <c r="AO3471" s="13" t="b">
        <v>0</v>
      </c>
      <c r="AP3471" s="22" t="s">
        <v>104</v>
      </c>
      <c r="AQ3471" s="10">
        <f ca="1">IFERROR(__xludf.DUMMYFUNCTION("""COMPUTED_VALUE"""),4833007)</f>
        <v>4833007</v>
      </c>
      <c r="AR3471" s="17">
        <v>25200</v>
      </c>
      <c r="AS3471" s="17">
        <v>20913</v>
      </c>
      <c r="AT3471" s="17">
        <v>601220.75</v>
      </c>
      <c r="AU3471" s="17">
        <v>119.75</v>
      </c>
      <c r="AV3471" s="17">
        <v>25.55</v>
      </c>
      <c r="AW3471" s="10" t="s">
        <v>105</v>
      </c>
      <c r="AX3471" s="17">
        <v>7235</v>
      </c>
      <c r="AY3471" s="18">
        <v>28.748661119877589</v>
      </c>
      <c r="AZ3471" s="10" t="s">
        <v>136</v>
      </c>
      <c r="BA3471" s="20" t="b">
        <v>0</v>
      </c>
      <c r="BB3471" s="10"/>
      <c r="BC3471" s="17">
        <v>25200</v>
      </c>
      <c r="BD3471" s="17">
        <v>20913</v>
      </c>
      <c r="BE3471" s="17">
        <v>601220.75</v>
      </c>
      <c r="BF3471" s="17">
        <v>25.55</v>
      </c>
      <c r="BG3471" s="11">
        <f ca="1">IFERROR(__xludf.DUMMYFUNCTION("""COMPUTED_VALUE"""),46031.9583333333)</f>
        <v>46031.958333333299</v>
      </c>
      <c r="BH3471" s="17" t="s">
        <v>105</v>
      </c>
      <c r="BI3471" s="17"/>
      <c r="BJ3471" s="15"/>
      <c r="BK3471" s="15"/>
      <c r="BL3471" s="13" t="b">
        <v>0</v>
      </c>
      <c r="BM3471" s="10"/>
      <c r="BN3471" s="10" t="s">
        <v>136</v>
      </c>
      <c r="BO3471" s="11">
        <v>46020.689583333333</v>
      </c>
      <c r="BP3471" s="11">
        <v>46026.376458333332</v>
      </c>
      <c r="BQ3471" s="15">
        <v>46030.639513888891</v>
      </c>
      <c r="BR3471" s="15">
        <v>46030.625231481485</v>
      </c>
      <c r="BS3471" s="10"/>
      <c r="BT3471" s="10"/>
      <c r="BU3471" s="10"/>
      <c r="BV3471" s="10"/>
      <c r="BW3471" s="10"/>
      <c r="BX3471" s="10"/>
      <c r="BY3471" s="23"/>
      <c r="BZ3471" s="23"/>
      <c r="CA3471" s="19" t="s">
        <v>24597</v>
      </c>
      <c r="CB3471" s="23"/>
      <c r="CC3471" s="23"/>
      <c r="CD3471" s="19" t="s">
        <v>24598</v>
      </c>
      <c r="CE3471" s="23"/>
      <c r="CF3471" s="23"/>
      <c r="CG3471" s="23"/>
      <c r="CH3471" s="23"/>
      <c r="CI3471" s="23"/>
    </row>
    <row r="3472" spans="1:87" x14ac:dyDescent="0.3">
      <c r="A3472" s="9" t="s">
        <v>24599</v>
      </c>
      <c r="B3472" s="10" t="s">
        <v>24600</v>
      </c>
      <c r="C3472" s="11">
        <v>46032.083333333336</v>
      </c>
      <c r="D3472" s="12">
        <v>8.3333333333333329E-2</v>
      </c>
      <c r="E3472" s="11">
        <v>46032.166666666664</v>
      </c>
      <c r="F3472" s="22" t="s">
        <v>20550</v>
      </c>
      <c r="G3472" s="13" t="b">
        <v>0</v>
      </c>
      <c r="H3472" s="22" t="s">
        <v>6271</v>
      </c>
      <c r="I3472" s="10" t="s">
        <v>89</v>
      </c>
      <c r="J3472" s="13" t="b">
        <v>0</v>
      </c>
      <c r="K3472" s="13" t="b">
        <v>1</v>
      </c>
      <c r="L3472" s="10" t="s">
        <v>124</v>
      </c>
      <c r="M3472" s="10" t="s">
        <v>91</v>
      </c>
      <c r="N3472" s="10" t="s">
        <v>265</v>
      </c>
      <c r="O3472" s="19" t="s">
        <v>24601</v>
      </c>
      <c r="P3472" s="10"/>
      <c r="Q3472" s="10" t="s">
        <v>126</v>
      </c>
      <c r="R3472" s="10"/>
      <c r="S3472" s="19" t="s">
        <v>24602</v>
      </c>
      <c r="T3472" s="10"/>
      <c r="U3472" s="10" t="s">
        <v>20726</v>
      </c>
      <c r="V3472" s="10" t="s">
        <v>20665</v>
      </c>
      <c r="W3472" s="10" t="s">
        <v>20555</v>
      </c>
      <c r="X3472" s="10" t="s">
        <v>130</v>
      </c>
      <c r="Y3472" s="10" t="s">
        <v>130</v>
      </c>
      <c r="Z3472" s="10" t="s">
        <v>99</v>
      </c>
      <c r="AA3472" s="10" t="s">
        <v>131</v>
      </c>
      <c r="AB3472" s="10" t="s">
        <v>20556</v>
      </c>
      <c r="AC3472" s="10" t="s">
        <v>20557</v>
      </c>
      <c r="AD3472" s="10" t="s">
        <v>24603</v>
      </c>
      <c r="AE3472" s="10" t="s">
        <v>24604</v>
      </c>
      <c r="AF3472" s="15"/>
      <c r="AG3472" s="10"/>
      <c r="AH3472" s="10"/>
      <c r="AI3472" s="10"/>
      <c r="AJ3472" s="10"/>
      <c r="AK3472" s="10" t="s">
        <v>102</v>
      </c>
      <c r="AL3472" s="10" t="s">
        <v>19004</v>
      </c>
      <c r="AM3472" s="10"/>
      <c r="AN3472" s="10"/>
      <c r="AO3472" s="13" t="b">
        <v>0</v>
      </c>
      <c r="AP3472" s="22" t="s">
        <v>104</v>
      </c>
      <c r="AQ3472" s="10">
        <f ca="1">IFERROR(__xludf.DUMMYFUNCTION("""COMPUTED_VALUE"""),4833008)</f>
        <v>4833008</v>
      </c>
      <c r="AR3472" s="17">
        <v>15131</v>
      </c>
      <c r="AS3472" s="17">
        <v>10736</v>
      </c>
      <c r="AT3472" s="17">
        <v>650399.75</v>
      </c>
      <c r="AU3472" s="17">
        <v>44.6</v>
      </c>
      <c r="AV3472" s="17">
        <v>14.05</v>
      </c>
      <c r="AW3472" s="10" t="s">
        <v>105</v>
      </c>
      <c r="AX3472" s="17">
        <v>5082</v>
      </c>
      <c r="AY3472" s="18">
        <v>60.581198770491802</v>
      </c>
      <c r="AZ3472" s="10" t="s">
        <v>136</v>
      </c>
      <c r="BA3472" s="20" t="b">
        <v>0</v>
      </c>
      <c r="BB3472" s="10"/>
      <c r="BC3472" s="17">
        <v>15131</v>
      </c>
      <c r="BD3472" s="17">
        <v>10736</v>
      </c>
      <c r="BE3472" s="17">
        <v>650399.75</v>
      </c>
      <c r="BF3472" s="17">
        <v>14.05</v>
      </c>
      <c r="BG3472" s="11">
        <f ca="1">IFERROR(__xludf.DUMMYFUNCTION("""COMPUTED_VALUE"""),46032.0833333333)</f>
        <v>46032.083333333299</v>
      </c>
      <c r="BH3472" s="17" t="s">
        <v>105</v>
      </c>
      <c r="BI3472" s="17"/>
      <c r="BJ3472" s="15"/>
      <c r="BK3472" s="15"/>
      <c r="BL3472" s="13" t="b">
        <v>0</v>
      </c>
      <c r="BM3472" s="10"/>
      <c r="BN3472" s="10" t="s">
        <v>136</v>
      </c>
      <c r="BO3472" s="11">
        <v>46020.690972222219</v>
      </c>
      <c r="BP3472" s="11">
        <v>46027.671689814815</v>
      </c>
      <c r="BQ3472" s="15">
        <v>46030.639722222222</v>
      </c>
      <c r="BR3472" s="15">
        <v>46030.628819444442</v>
      </c>
      <c r="BS3472" s="10"/>
      <c r="BT3472" s="10"/>
      <c r="BU3472" s="10"/>
      <c r="BV3472" s="10"/>
      <c r="BW3472" s="10"/>
      <c r="BX3472" s="10"/>
      <c r="BY3472" s="23"/>
      <c r="BZ3472" s="23"/>
      <c r="CA3472" s="19" t="s">
        <v>24605</v>
      </c>
      <c r="CB3472" s="23"/>
      <c r="CC3472" s="23"/>
      <c r="CD3472" s="19" t="s">
        <v>24606</v>
      </c>
      <c r="CE3472" s="23"/>
      <c r="CF3472" s="23"/>
      <c r="CG3472" s="23"/>
      <c r="CH3472" s="23"/>
      <c r="CI3472" s="23"/>
    </row>
    <row r="3473" spans="1:87" x14ac:dyDescent="0.3">
      <c r="A3473" s="25" t="s">
        <v>24607</v>
      </c>
      <c r="B3473" s="10" t="s">
        <v>24608</v>
      </c>
      <c r="C3473" s="11">
        <v>46033.083333333336</v>
      </c>
      <c r="D3473" s="12">
        <v>8.3333333333333329E-2</v>
      </c>
      <c r="E3473" s="11">
        <v>46033.166666666664</v>
      </c>
      <c r="F3473" s="22" t="s">
        <v>20550</v>
      </c>
      <c r="G3473" s="13" t="b">
        <v>0</v>
      </c>
      <c r="H3473" s="22" t="s">
        <v>6271</v>
      </c>
      <c r="I3473" s="10" t="s">
        <v>89</v>
      </c>
      <c r="J3473" s="13" t="b">
        <v>0</v>
      </c>
      <c r="K3473" s="13" t="b">
        <v>1</v>
      </c>
      <c r="L3473" s="10" t="s">
        <v>124</v>
      </c>
      <c r="M3473" s="10" t="s">
        <v>91</v>
      </c>
      <c r="N3473" s="10" t="s">
        <v>265</v>
      </c>
      <c r="O3473" s="19" t="s">
        <v>24609</v>
      </c>
      <c r="P3473" s="10"/>
      <c r="Q3473" s="10" t="s">
        <v>126</v>
      </c>
      <c r="R3473" s="10"/>
      <c r="S3473" s="19" t="s">
        <v>24610</v>
      </c>
      <c r="T3473" s="10"/>
      <c r="U3473" s="10" t="s">
        <v>20575</v>
      </c>
      <c r="V3473" s="10" t="s">
        <v>20725</v>
      </c>
      <c r="W3473" s="10" t="s">
        <v>20555</v>
      </c>
      <c r="X3473" s="10" t="s">
        <v>130</v>
      </c>
      <c r="Y3473" s="10" t="s">
        <v>130</v>
      </c>
      <c r="Z3473" s="10" t="s">
        <v>99</v>
      </c>
      <c r="AA3473" s="10" t="s">
        <v>131</v>
      </c>
      <c r="AB3473" s="10" t="s">
        <v>20556</v>
      </c>
      <c r="AC3473" s="10" t="s">
        <v>20557</v>
      </c>
      <c r="AD3473" s="10" t="s">
        <v>24611</v>
      </c>
      <c r="AE3473" s="10" t="s">
        <v>24612</v>
      </c>
      <c r="AF3473" s="15"/>
      <c r="AG3473" s="10"/>
      <c r="AH3473" s="10"/>
      <c r="AI3473" s="10"/>
      <c r="AJ3473" s="10"/>
      <c r="AK3473" s="10" t="s">
        <v>102</v>
      </c>
      <c r="AL3473" s="10" t="s">
        <v>19004</v>
      </c>
      <c r="AM3473" s="10"/>
      <c r="AN3473" s="10"/>
      <c r="AO3473" s="13" t="b">
        <v>0</v>
      </c>
      <c r="AP3473" s="22" t="s">
        <v>104</v>
      </c>
      <c r="AQ3473" s="10">
        <f ca="1">IFERROR(__xludf.DUMMYFUNCTION("""COMPUTED_VALUE"""),4833012)</f>
        <v>4833012</v>
      </c>
      <c r="AR3473" s="17"/>
      <c r="AS3473" s="17"/>
      <c r="AT3473" s="17"/>
      <c r="AU3473" s="17"/>
      <c r="AV3473" s="17"/>
      <c r="AW3473" s="10"/>
      <c r="AX3473" s="17"/>
      <c r="AY3473" s="18" t="s">
        <v>257</v>
      </c>
      <c r="AZ3473" s="10" t="s">
        <v>136</v>
      </c>
      <c r="BA3473" s="20" t="b">
        <v>0</v>
      </c>
      <c r="BB3473" s="10"/>
      <c r="BC3473" s="17" t="s">
        <v>257</v>
      </c>
      <c r="BD3473" s="17" t="s">
        <v>257</v>
      </c>
      <c r="BE3473" s="17" t="s">
        <v>257</v>
      </c>
      <c r="BF3473" s="17" t="s">
        <v>257</v>
      </c>
      <c r="BG3473" s="11">
        <f ca="1">IFERROR(__xludf.DUMMYFUNCTION("""COMPUTED_VALUE"""),46033.0833333333)</f>
        <v>46033.083333333299</v>
      </c>
      <c r="BH3473" s="17"/>
      <c r="BI3473" s="17"/>
      <c r="BJ3473" s="15"/>
      <c r="BK3473" s="15"/>
      <c r="BL3473" s="13" t="b">
        <v>0</v>
      </c>
      <c r="BM3473" s="10"/>
      <c r="BN3473" s="10" t="s">
        <v>667</v>
      </c>
      <c r="BO3473" s="11">
        <v>46020.691666666666</v>
      </c>
      <c r="BP3473" s="11">
        <v>46029.529803240737</v>
      </c>
      <c r="BQ3473" s="15">
        <v>46030.640104166669</v>
      </c>
      <c r="BR3473" s="15">
        <v>46030.648969907408</v>
      </c>
      <c r="BS3473" s="10" t="s">
        <v>667</v>
      </c>
      <c r="BT3473" s="10" t="s">
        <v>99</v>
      </c>
      <c r="BU3473" s="10" t="s">
        <v>11615</v>
      </c>
      <c r="BV3473" s="10"/>
      <c r="BW3473" s="10"/>
      <c r="BX3473" s="10"/>
      <c r="BY3473" s="23"/>
      <c r="BZ3473" s="23"/>
      <c r="CA3473" s="19" t="s">
        <v>24613</v>
      </c>
      <c r="CB3473" s="23"/>
      <c r="CC3473" s="23"/>
      <c r="CD3473" s="19" t="s">
        <v>24614</v>
      </c>
      <c r="CE3473" s="23"/>
      <c r="CF3473" s="23"/>
      <c r="CG3473" s="23"/>
      <c r="CH3473" s="23"/>
      <c r="CI3473" s="23"/>
    </row>
    <row r="3474" spans="1:87" x14ac:dyDescent="0.3">
      <c r="A3474" s="9" t="s">
        <v>24615</v>
      </c>
      <c r="B3474" s="10" t="s">
        <v>24616</v>
      </c>
      <c r="C3474" s="11">
        <v>46070.958333333336</v>
      </c>
      <c r="D3474" s="12">
        <v>8.3333333333333329E-2</v>
      </c>
      <c r="E3474" s="11">
        <v>46071.041666666664</v>
      </c>
      <c r="F3474" s="22" t="s">
        <v>20550</v>
      </c>
      <c r="G3474" s="13" t="b">
        <v>0</v>
      </c>
      <c r="H3474" s="22" t="s">
        <v>3564</v>
      </c>
      <c r="I3474" s="10" t="s">
        <v>89</v>
      </c>
      <c r="J3474" s="13" t="b">
        <v>0</v>
      </c>
      <c r="K3474" s="13" t="b">
        <v>1</v>
      </c>
      <c r="L3474" s="10" t="s">
        <v>124</v>
      </c>
      <c r="M3474" s="10" t="s">
        <v>91</v>
      </c>
      <c r="N3474" s="10" t="s">
        <v>265</v>
      </c>
      <c r="O3474" s="10"/>
      <c r="P3474" s="10"/>
      <c r="Q3474" s="10" t="s">
        <v>126</v>
      </c>
      <c r="R3474" s="10"/>
      <c r="S3474" s="10"/>
      <c r="T3474" s="10"/>
      <c r="U3474" s="10"/>
      <c r="V3474" s="10"/>
      <c r="W3474" s="10" t="s">
        <v>20555</v>
      </c>
      <c r="X3474" s="10" t="s">
        <v>130</v>
      </c>
      <c r="Y3474" s="10" t="s">
        <v>130</v>
      </c>
      <c r="Z3474" s="10" t="s">
        <v>99</v>
      </c>
      <c r="AA3474" s="10" t="s">
        <v>131</v>
      </c>
      <c r="AB3474" s="10" t="s">
        <v>20556</v>
      </c>
      <c r="AC3474" s="10" t="s">
        <v>20557</v>
      </c>
      <c r="AD3474" s="10" t="s">
        <v>165</v>
      </c>
      <c r="AE3474" s="10" t="s">
        <v>24617</v>
      </c>
      <c r="AF3474" s="15"/>
      <c r="AG3474" s="10"/>
      <c r="AH3474" s="10"/>
      <c r="AI3474" s="10"/>
      <c r="AJ3474" s="10"/>
      <c r="AK3474" s="10"/>
      <c r="AL3474" s="10" t="s">
        <v>20120</v>
      </c>
      <c r="AM3474" s="10"/>
      <c r="AN3474" s="10"/>
      <c r="AO3474" s="13" t="b">
        <v>0</v>
      </c>
      <c r="AP3474" s="22" t="s">
        <v>104</v>
      </c>
      <c r="AQ3474" s="10"/>
      <c r="AR3474" s="17"/>
      <c r="AS3474" s="17"/>
      <c r="AT3474" s="17"/>
      <c r="AU3474" s="17"/>
      <c r="AV3474" s="17"/>
      <c r="AW3474" s="10"/>
      <c r="AX3474" s="17"/>
      <c r="AY3474" s="18" t="s">
        <v>257</v>
      </c>
      <c r="AZ3474" s="10"/>
      <c r="BA3474" s="20" t="b">
        <v>0</v>
      </c>
      <c r="BB3474" s="10"/>
      <c r="BC3474" s="17" t="s">
        <v>257</v>
      </c>
      <c r="BD3474" s="17" t="s">
        <v>257</v>
      </c>
      <c r="BE3474" s="17" t="s">
        <v>257</v>
      </c>
      <c r="BF3474" s="17" t="s">
        <v>257</v>
      </c>
      <c r="BG3474" s="11">
        <f ca="1">IFERROR(__xludf.DUMMYFUNCTION("""COMPUTED_VALUE"""),46070.9583333333)</f>
        <v>46070.958333333299</v>
      </c>
      <c r="BH3474" s="17"/>
      <c r="BI3474" s="17"/>
      <c r="BJ3474" s="15"/>
      <c r="BK3474" s="15"/>
      <c r="BL3474" s="13" t="b">
        <v>0</v>
      </c>
      <c r="BM3474" s="10"/>
      <c r="BN3474" s="10" t="s">
        <v>351</v>
      </c>
      <c r="BO3474" s="11">
        <v>46020.693055555559</v>
      </c>
      <c r="BP3474" s="11">
        <v>46020.693194444444</v>
      </c>
      <c r="BQ3474" s="15"/>
      <c r="BR3474" s="15"/>
      <c r="BS3474" s="10"/>
      <c r="BT3474" s="10"/>
      <c r="BU3474" s="10"/>
      <c r="BV3474" s="10"/>
      <c r="BW3474" s="10"/>
      <c r="BX3474" s="10"/>
      <c r="BY3474" s="23"/>
      <c r="BZ3474" s="23"/>
      <c r="CA3474" s="10"/>
      <c r="CB3474" s="23"/>
      <c r="CC3474" s="23"/>
      <c r="CD3474" s="23"/>
      <c r="CE3474" s="23"/>
      <c r="CF3474" s="23"/>
      <c r="CG3474" s="23"/>
      <c r="CH3474" s="23"/>
      <c r="CI3474" s="23"/>
    </row>
    <row r="3475" spans="1:87" x14ac:dyDescent="0.3">
      <c r="A3475" s="9" t="s">
        <v>24618</v>
      </c>
      <c r="B3475" s="10" t="s">
        <v>24619</v>
      </c>
      <c r="C3475" s="11">
        <v>46072.083333333336</v>
      </c>
      <c r="D3475" s="12">
        <v>8.3333333333333329E-2</v>
      </c>
      <c r="E3475" s="11">
        <v>46072.166666666664</v>
      </c>
      <c r="F3475" s="22" t="s">
        <v>20550</v>
      </c>
      <c r="G3475" s="13" t="b">
        <v>0</v>
      </c>
      <c r="H3475" s="22" t="s">
        <v>3564</v>
      </c>
      <c r="I3475" s="10" t="s">
        <v>89</v>
      </c>
      <c r="J3475" s="13" t="b">
        <v>0</v>
      </c>
      <c r="K3475" s="13" t="b">
        <v>1</v>
      </c>
      <c r="L3475" s="10" t="s">
        <v>124</v>
      </c>
      <c r="M3475" s="10" t="s">
        <v>91</v>
      </c>
      <c r="N3475" s="10" t="s">
        <v>265</v>
      </c>
      <c r="O3475" s="10"/>
      <c r="P3475" s="10"/>
      <c r="Q3475" s="10" t="s">
        <v>126</v>
      </c>
      <c r="R3475" s="10"/>
      <c r="S3475" s="10"/>
      <c r="T3475" s="10"/>
      <c r="U3475" s="10"/>
      <c r="V3475" s="10"/>
      <c r="W3475" s="10" t="s">
        <v>20555</v>
      </c>
      <c r="X3475" s="10" t="s">
        <v>130</v>
      </c>
      <c r="Y3475" s="10" t="s">
        <v>130</v>
      </c>
      <c r="Z3475" s="10" t="s">
        <v>99</v>
      </c>
      <c r="AA3475" s="10" t="s">
        <v>131</v>
      </c>
      <c r="AB3475" s="10" t="s">
        <v>20556</v>
      </c>
      <c r="AC3475" s="10" t="s">
        <v>20557</v>
      </c>
      <c r="AD3475" s="10" t="s">
        <v>165</v>
      </c>
      <c r="AE3475" s="10" t="s">
        <v>24620</v>
      </c>
      <c r="AF3475" s="15"/>
      <c r="AG3475" s="10"/>
      <c r="AH3475" s="10"/>
      <c r="AI3475" s="10"/>
      <c r="AJ3475" s="10"/>
      <c r="AK3475" s="10"/>
      <c r="AL3475" s="10" t="s">
        <v>220</v>
      </c>
      <c r="AM3475" s="10"/>
      <c r="AN3475" s="10"/>
      <c r="AO3475" s="13" t="b">
        <v>1</v>
      </c>
      <c r="AP3475" s="22" t="s">
        <v>104</v>
      </c>
      <c r="AQ3475" s="10"/>
      <c r="AR3475" s="17"/>
      <c r="AS3475" s="17"/>
      <c r="AT3475" s="17"/>
      <c r="AU3475" s="17"/>
      <c r="AV3475" s="17"/>
      <c r="AW3475" s="10"/>
      <c r="AX3475" s="17"/>
      <c r="AY3475" s="18" t="s">
        <v>257</v>
      </c>
      <c r="AZ3475" s="10"/>
      <c r="BA3475" s="20" t="b">
        <v>0</v>
      </c>
      <c r="BB3475" s="10"/>
      <c r="BC3475" s="17" t="s">
        <v>257</v>
      </c>
      <c r="BD3475" s="17" t="s">
        <v>257</v>
      </c>
      <c r="BE3475" s="17" t="s">
        <v>257</v>
      </c>
      <c r="BF3475" s="17" t="s">
        <v>257</v>
      </c>
      <c r="BG3475" s="11">
        <f ca="1">IFERROR(__xludf.DUMMYFUNCTION("""COMPUTED_VALUE"""),46072.0833333333)</f>
        <v>46072.083333333299</v>
      </c>
      <c r="BH3475" s="17"/>
      <c r="BI3475" s="17"/>
      <c r="BJ3475" s="15"/>
      <c r="BK3475" s="15"/>
      <c r="BL3475" s="13" t="b">
        <v>0</v>
      </c>
      <c r="BM3475" s="10"/>
      <c r="BN3475" s="10" t="s">
        <v>351</v>
      </c>
      <c r="BO3475" s="11">
        <v>46020.693055555559</v>
      </c>
      <c r="BP3475" s="11">
        <v>46020.693703703706</v>
      </c>
      <c r="BQ3475" s="15"/>
      <c r="BR3475" s="15"/>
      <c r="BS3475" s="10"/>
      <c r="BT3475" s="10"/>
      <c r="BU3475" s="10"/>
      <c r="BV3475" s="10"/>
      <c r="BW3475" s="10"/>
      <c r="BX3475" s="10"/>
      <c r="BY3475" s="23"/>
      <c r="BZ3475" s="23"/>
      <c r="CA3475" s="10"/>
      <c r="CB3475" s="23"/>
      <c r="CC3475" s="23"/>
      <c r="CD3475" s="23"/>
      <c r="CE3475" s="23"/>
      <c r="CF3475" s="23"/>
      <c r="CG3475" s="23"/>
      <c r="CH3475" s="23"/>
      <c r="CI3475" s="23"/>
    </row>
    <row r="3476" spans="1:87" x14ac:dyDescent="0.3">
      <c r="A3476" s="9" t="s">
        <v>24621</v>
      </c>
      <c r="B3476" s="10" t="s">
        <v>24622</v>
      </c>
      <c r="C3476" s="11">
        <v>46032.958333333336</v>
      </c>
      <c r="D3476" s="12">
        <v>8.3333333333333329E-2</v>
      </c>
      <c r="E3476" s="11">
        <v>46033.041666666664</v>
      </c>
      <c r="F3476" s="22" t="s">
        <v>20550</v>
      </c>
      <c r="G3476" s="13" t="b">
        <v>0</v>
      </c>
      <c r="H3476" s="22" t="s">
        <v>6271</v>
      </c>
      <c r="I3476" s="10" t="s">
        <v>89</v>
      </c>
      <c r="J3476" s="13" t="b">
        <v>0</v>
      </c>
      <c r="K3476" s="13" t="b">
        <v>1</v>
      </c>
      <c r="L3476" s="10" t="s">
        <v>124</v>
      </c>
      <c r="M3476" s="10" t="s">
        <v>91</v>
      </c>
      <c r="N3476" s="10" t="s">
        <v>265</v>
      </c>
      <c r="O3476" s="19" t="s">
        <v>24623</v>
      </c>
      <c r="P3476" s="10"/>
      <c r="Q3476" s="10" t="s">
        <v>126</v>
      </c>
      <c r="R3476" s="10"/>
      <c r="S3476" s="19" t="s">
        <v>24624</v>
      </c>
      <c r="T3476" s="10"/>
      <c r="U3476" s="10" t="s">
        <v>20632</v>
      </c>
      <c r="V3476" s="10" t="s">
        <v>20604</v>
      </c>
      <c r="W3476" s="10" t="s">
        <v>20555</v>
      </c>
      <c r="X3476" s="10" t="s">
        <v>130</v>
      </c>
      <c r="Y3476" s="10" t="s">
        <v>130</v>
      </c>
      <c r="Z3476" s="10" t="s">
        <v>99</v>
      </c>
      <c r="AA3476" s="10" t="s">
        <v>131</v>
      </c>
      <c r="AB3476" s="10" t="s">
        <v>20556</v>
      </c>
      <c r="AC3476" s="10" t="s">
        <v>20557</v>
      </c>
      <c r="AD3476" s="10" t="s">
        <v>24625</v>
      </c>
      <c r="AE3476" s="10" t="s">
        <v>24626</v>
      </c>
      <c r="AF3476" s="15"/>
      <c r="AG3476" s="10"/>
      <c r="AH3476" s="10"/>
      <c r="AI3476" s="10"/>
      <c r="AJ3476" s="10"/>
      <c r="AK3476" s="10" t="s">
        <v>102</v>
      </c>
      <c r="AL3476" s="10" t="s">
        <v>19004</v>
      </c>
      <c r="AM3476" s="10"/>
      <c r="AN3476" s="10"/>
      <c r="AO3476" s="13" t="b">
        <v>0</v>
      </c>
      <c r="AP3476" s="22" t="s">
        <v>104</v>
      </c>
      <c r="AQ3476" s="10">
        <f ca="1">IFERROR(__xludf.DUMMYFUNCTION("""COMPUTED_VALUE"""),4833010)</f>
        <v>4833010</v>
      </c>
      <c r="AR3476" s="17"/>
      <c r="AS3476" s="17"/>
      <c r="AT3476" s="17"/>
      <c r="AU3476" s="17"/>
      <c r="AV3476" s="17"/>
      <c r="AW3476" s="10"/>
      <c r="AX3476" s="17"/>
      <c r="AY3476" s="18" t="s">
        <v>257</v>
      </c>
      <c r="AZ3476" s="10" t="s">
        <v>136</v>
      </c>
      <c r="BA3476" s="20" t="b">
        <v>0</v>
      </c>
      <c r="BB3476" s="10"/>
      <c r="BC3476" s="17" t="s">
        <v>257</v>
      </c>
      <c r="BD3476" s="17" t="s">
        <v>257</v>
      </c>
      <c r="BE3476" s="17" t="s">
        <v>257</v>
      </c>
      <c r="BF3476" s="17" t="s">
        <v>257</v>
      </c>
      <c r="BG3476" s="11">
        <f ca="1">IFERROR(__xludf.DUMMYFUNCTION("""COMPUTED_VALUE"""),46032.9583333333)</f>
        <v>46032.958333333299</v>
      </c>
      <c r="BH3476" s="17"/>
      <c r="BI3476" s="17"/>
      <c r="BJ3476" s="15"/>
      <c r="BK3476" s="15"/>
      <c r="BL3476" s="13" t="b">
        <v>0</v>
      </c>
      <c r="BM3476" s="10"/>
      <c r="BN3476" s="10" t="s">
        <v>3422</v>
      </c>
      <c r="BO3476" s="11">
        <v>46020.695833333331</v>
      </c>
      <c r="BP3476" s="11">
        <v>46029.52920138889</v>
      </c>
      <c r="BQ3476" s="15">
        <v>46030.639907407407</v>
      </c>
      <c r="BR3476" s="15">
        <v>46030.646724537037</v>
      </c>
      <c r="BS3476" s="10"/>
      <c r="BT3476" s="10" t="s">
        <v>99</v>
      </c>
      <c r="BU3476" s="10"/>
      <c r="BV3476" s="10"/>
      <c r="BW3476" s="10"/>
      <c r="BX3476" s="10"/>
      <c r="BY3476" s="23"/>
      <c r="BZ3476" s="23"/>
      <c r="CA3476" s="19" t="s">
        <v>24627</v>
      </c>
      <c r="CB3476" s="23"/>
      <c r="CC3476" s="23"/>
      <c r="CD3476" s="19" t="s">
        <v>24628</v>
      </c>
      <c r="CE3476" s="23"/>
      <c r="CF3476" s="23"/>
      <c r="CG3476" s="23"/>
      <c r="CH3476" s="23"/>
      <c r="CI3476" s="23"/>
    </row>
    <row r="3477" spans="1:87" x14ac:dyDescent="0.3">
      <c r="A3477" s="9" t="s">
        <v>24629</v>
      </c>
      <c r="B3477" s="10" t="s">
        <v>24630</v>
      </c>
      <c r="C3477" s="11">
        <v>46032.083333333336</v>
      </c>
      <c r="D3477" s="12">
        <v>8.3333333333333329E-2</v>
      </c>
      <c r="E3477" s="11">
        <v>46032.166666666664</v>
      </c>
      <c r="F3477" s="22" t="s">
        <v>3687</v>
      </c>
      <c r="G3477" s="13" t="b">
        <v>0</v>
      </c>
      <c r="H3477" s="22" t="s">
        <v>88</v>
      </c>
      <c r="I3477" s="10" t="s">
        <v>89</v>
      </c>
      <c r="J3477" s="13" t="b">
        <v>0</v>
      </c>
      <c r="K3477" s="13" t="b">
        <v>1</v>
      </c>
      <c r="L3477" s="10" t="s">
        <v>124</v>
      </c>
      <c r="M3477" s="10" t="s">
        <v>91</v>
      </c>
      <c r="N3477" s="10" t="s">
        <v>92</v>
      </c>
      <c r="O3477" s="19" t="s">
        <v>24631</v>
      </c>
      <c r="P3477" s="10"/>
      <c r="Q3477" s="10" t="s">
        <v>126</v>
      </c>
      <c r="R3477" s="10"/>
      <c r="S3477" s="19" t="s">
        <v>24632</v>
      </c>
      <c r="T3477" s="10"/>
      <c r="U3477" s="10" t="s">
        <v>7720</v>
      </c>
      <c r="V3477" s="10" t="s">
        <v>8476</v>
      </c>
      <c r="W3477" s="10" t="s">
        <v>3692</v>
      </c>
      <c r="X3477" s="10" t="s">
        <v>130</v>
      </c>
      <c r="Y3477" s="10" t="s">
        <v>130</v>
      </c>
      <c r="Z3477" s="10" t="s">
        <v>99</v>
      </c>
      <c r="AA3477" s="10" t="s">
        <v>131</v>
      </c>
      <c r="AB3477" s="10" t="s">
        <v>3693</v>
      </c>
      <c r="AC3477" s="10" t="s">
        <v>3694</v>
      </c>
      <c r="AD3477" s="10" t="s">
        <v>24633</v>
      </c>
      <c r="AE3477" s="10" t="s">
        <v>24634</v>
      </c>
      <c r="AF3477" s="15"/>
      <c r="AG3477" s="10"/>
      <c r="AH3477" s="10"/>
      <c r="AI3477" s="10"/>
      <c r="AJ3477" s="10"/>
      <c r="AK3477" s="10" t="s">
        <v>256</v>
      </c>
      <c r="AL3477" s="10" t="s">
        <v>2098</v>
      </c>
      <c r="AM3477" s="10"/>
      <c r="AN3477" s="10"/>
      <c r="AO3477" s="13" t="b">
        <v>0</v>
      </c>
      <c r="AP3477" s="22" t="s">
        <v>104</v>
      </c>
      <c r="AQ3477" s="10">
        <f ca="1">IFERROR(__xludf.DUMMYFUNCTION("""COMPUTED_VALUE"""),4832261)</f>
        <v>4832261</v>
      </c>
      <c r="AR3477" s="17"/>
      <c r="AS3477" s="17"/>
      <c r="AT3477" s="17"/>
      <c r="AU3477" s="17"/>
      <c r="AV3477" s="17"/>
      <c r="AW3477" s="10"/>
      <c r="AX3477" s="17"/>
      <c r="AY3477" s="18" t="s">
        <v>257</v>
      </c>
      <c r="AZ3477" s="10" t="s">
        <v>136</v>
      </c>
      <c r="BA3477" s="20" t="b">
        <v>0</v>
      </c>
      <c r="BB3477" s="10"/>
      <c r="BC3477" s="17" t="s">
        <v>257</v>
      </c>
      <c r="BD3477" s="17" t="s">
        <v>257</v>
      </c>
      <c r="BE3477" s="17" t="s">
        <v>257</v>
      </c>
      <c r="BF3477" s="17" t="s">
        <v>257</v>
      </c>
      <c r="BG3477" s="11">
        <f ca="1">IFERROR(__xludf.DUMMYFUNCTION("""COMPUTED_VALUE"""),46032.0833333333)</f>
        <v>46032.083333333299</v>
      </c>
      <c r="BH3477" s="17"/>
      <c r="BI3477" s="17"/>
      <c r="BJ3477" s="15"/>
      <c r="BK3477" s="15"/>
      <c r="BL3477" s="13" t="b">
        <v>0</v>
      </c>
      <c r="BM3477" s="10"/>
      <c r="BN3477" s="10" t="s">
        <v>8437</v>
      </c>
      <c r="BO3477" s="11">
        <v>46020.775694444441</v>
      </c>
      <c r="BP3477" s="11">
        <v>46024.84716435185</v>
      </c>
      <c r="BQ3477" s="15">
        <v>46028.435914351852</v>
      </c>
      <c r="BR3477" s="15">
        <v>46029.434062499997</v>
      </c>
      <c r="BS3477" s="10"/>
      <c r="BT3477" s="10" t="s">
        <v>99</v>
      </c>
      <c r="BU3477" s="10"/>
      <c r="BV3477" s="10"/>
      <c r="BW3477" s="10"/>
      <c r="BX3477" s="10"/>
      <c r="BY3477" s="23"/>
      <c r="BZ3477" s="23"/>
      <c r="CA3477" s="19" t="s">
        <v>24635</v>
      </c>
      <c r="CB3477" s="19" t="s">
        <v>24636</v>
      </c>
      <c r="CC3477" s="23"/>
      <c r="CD3477" s="19" t="s">
        <v>24637</v>
      </c>
      <c r="CE3477" s="23"/>
      <c r="CF3477" s="23"/>
      <c r="CG3477" s="23"/>
      <c r="CH3477" s="23"/>
      <c r="CI3477" s="23"/>
    </row>
    <row r="3478" spans="1:87" x14ac:dyDescent="0.3">
      <c r="A3478" s="9" t="s">
        <v>24638</v>
      </c>
      <c r="B3478" s="10" t="s">
        <v>24639</v>
      </c>
      <c r="C3478" s="11">
        <v>46089.166666666664</v>
      </c>
      <c r="D3478" s="12">
        <v>0.25</v>
      </c>
      <c r="E3478" s="11">
        <v>46089.416666666664</v>
      </c>
      <c r="F3478" s="22" t="s">
        <v>23179</v>
      </c>
      <c r="G3478" s="13" t="b">
        <v>0</v>
      </c>
      <c r="H3478" s="22"/>
      <c r="I3478" s="10" t="s">
        <v>23180</v>
      </c>
      <c r="J3478" s="13" t="b">
        <v>0</v>
      </c>
      <c r="K3478" s="13" t="b">
        <v>1</v>
      </c>
      <c r="L3478" s="10" t="s">
        <v>124</v>
      </c>
      <c r="M3478" s="10" t="s">
        <v>91</v>
      </c>
      <c r="N3478" s="10" t="s">
        <v>92</v>
      </c>
      <c r="O3478" s="10"/>
      <c r="P3478" s="10"/>
      <c r="Q3478" s="10" t="s">
        <v>20191</v>
      </c>
      <c r="R3478" s="10"/>
      <c r="S3478" s="10"/>
      <c r="T3478" s="10"/>
      <c r="U3478" s="10"/>
      <c r="V3478" s="10"/>
      <c r="W3478" s="10" t="s">
        <v>23182</v>
      </c>
      <c r="X3478" s="10" t="s">
        <v>8408</v>
      </c>
      <c r="Y3478" s="10" t="s">
        <v>23183</v>
      </c>
      <c r="Z3478" s="10" t="s">
        <v>99</v>
      </c>
      <c r="AA3478" s="10" t="s">
        <v>100</v>
      </c>
      <c r="AB3478" s="10" t="s">
        <v>23184</v>
      </c>
      <c r="AC3478" s="10" t="s">
        <v>23185</v>
      </c>
      <c r="AD3478" s="10" t="s">
        <v>165</v>
      </c>
      <c r="AE3478" s="10" t="s">
        <v>24640</v>
      </c>
      <c r="AF3478" s="15"/>
      <c r="AG3478" s="10"/>
      <c r="AH3478" s="10"/>
      <c r="AI3478" s="10"/>
      <c r="AJ3478" s="10"/>
      <c r="AK3478" s="10"/>
      <c r="AL3478" s="10"/>
      <c r="AM3478" s="10"/>
      <c r="AN3478" s="10"/>
      <c r="AO3478" s="13" t="b">
        <v>0</v>
      </c>
      <c r="AP3478" s="22"/>
      <c r="AQ3478" s="10"/>
      <c r="AR3478" s="17"/>
      <c r="AS3478" s="17"/>
      <c r="AT3478" s="17"/>
      <c r="AU3478" s="17"/>
      <c r="AV3478" s="17"/>
      <c r="AW3478" s="10"/>
      <c r="AX3478" s="17"/>
      <c r="AY3478" s="18" t="s">
        <v>257</v>
      </c>
      <c r="AZ3478" s="10"/>
      <c r="BA3478" s="20" t="b">
        <v>0</v>
      </c>
      <c r="BB3478" s="10"/>
      <c r="BC3478" s="17" t="s">
        <v>257</v>
      </c>
      <c r="BD3478" s="17" t="s">
        <v>257</v>
      </c>
      <c r="BE3478" s="17" t="s">
        <v>257</v>
      </c>
      <c r="BF3478" s="17" t="s">
        <v>257</v>
      </c>
      <c r="BG3478" s="11">
        <f ca="1">IFERROR(__xludf.DUMMYFUNCTION("""COMPUTED_VALUE"""),46089.1666666666)</f>
        <v>46089.166666666599</v>
      </c>
      <c r="BH3478" s="17"/>
      <c r="BI3478" s="17"/>
      <c r="BJ3478" s="15"/>
      <c r="BK3478" s="15"/>
      <c r="BL3478" s="13" t="b">
        <v>0</v>
      </c>
      <c r="BM3478" s="10"/>
      <c r="BN3478" s="10" t="s">
        <v>18456</v>
      </c>
      <c r="BO3478" s="11">
        <v>46020.842361111114</v>
      </c>
      <c r="BP3478" s="11">
        <v>46020.842962962961</v>
      </c>
      <c r="BQ3478" s="15"/>
      <c r="BR3478" s="15"/>
      <c r="BS3478" s="10"/>
      <c r="BT3478" s="10"/>
      <c r="BU3478" s="10"/>
      <c r="BV3478" s="10"/>
      <c r="BW3478" s="10"/>
      <c r="BX3478" s="10"/>
      <c r="BY3478" s="23"/>
      <c r="BZ3478" s="23"/>
      <c r="CA3478" s="10"/>
      <c r="CB3478" s="23"/>
      <c r="CC3478" s="23"/>
      <c r="CD3478" s="23"/>
      <c r="CE3478" s="23"/>
      <c r="CF3478" s="23"/>
      <c r="CG3478" s="23"/>
      <c r="CH3478" s="23"/>
      <c r="CI3478" s="23"/>
    </row>
    <row r="3479" spans="1:87" x14ac:dyDescent="0.3">
      <c r="A3479" s="9" t="s">
        <v>24641</v>
      </c>
      <c r="B3479" s="10" t="s">
        <v>24642</v>
      </c>
      <c r="C3479" s="11">
        <v>46061.375</v>
      </c>
      <c r="D3479" s="12">
        <v>0.25</v>
      </c>
      <c r="E3479" s="11">
        <v>46061.625</v>
      </c>
      <c r="F3479" s="22" t="s">
        <v>23179</v>
      </c>
      <c r="G3479" s="13" t="b">
        <v>0</v>
      </c>
      <c r="H3479" s="22"/>
      <c r="I3479" s="10" t="s">
        <v>23180</v>
      </c>
      <c r="J3479" s="13" t="b">
        <v>0</v>
      </c>
      <c r="K3479" s="13" t="b">
        <v>1</v>
      </c>
      <c r="L3479" s="10" t="s">
        <v>124</v>
      </c>
      <c r="M3479" s="10" t="s">
        <v>91</v>
      </c>
      <c r="N3479" s="10" t="s">
        <v>92</v>
      </c>
      <c r="O3479" s="10"/>
      <c r="P3479" s="10"/>
      <c r="Q3479" s="10" t="s">
        <v>20191</v>
      </c>
      <c r="R3479" s="10"/>
      <c r="S3479" s="10"/>
      <c r="T3479" s="10"/>
      <c r="U3479" s="10"/>
      <c r="V3479" s="10"/>
      <c r="W3479" s="10" t="s">
        <v>23182</v>
      </c>
      <c r="X3479" s="10" t="s">
        <v>8408</v>
      </c>
      <c r="Y3479" s="10" t="s">
        <v>23183</v>
      </c>
      <c r="Z3479" s="10" t="s">
        <v>99</v>
      </c>
      <c r="AA3479" s="10" t="s">
        <v>100</v>
      </c>
      <c r="AB3479" s="10" t="s">
        <v>23184</v>
      </c>
      <c r="AC3479" s="10" t="s">
        <v>23185</v>
      </c>
      <c r="AD3479" s="10" t="s">
        <v>165</v>
      </c>
      <c r="AE3479" s="10" t="s">
        <v>24643</v>
      </c>
      <c r="AF3479" s="15"/>
      <c r="AG3479" s="10"/>
      <c r="AH3479" s="10"/>
      <c r="AI3479" s="10"/>
      <c r="AJ3479" s="10"/>
      <c r="AK3479" s="10"/>
      <c r="AL3479" s="10"/>
      <c r="AM3479" s="10"/>
      <c r="AN3479" s="10"/>
      <c r="AO3479" s="13" t="b">
        <v>0</v>
      </c>
      <c r="AP3479" s="22"/>
      <c r="AQ3479" s="10"/>
      <c r="AR3479" s="17"/>
      <c r="AS3479" s="17"/>
      <c r="AT3479" s="17"/>
      <c r="AU3479" s="17"/>
      <c r="AV3479" s="17"/>
      <c r="AW3479" s="10"/>
      <c r="AX3479" s="17"/>
      <c r="AY3479" s="18" t="s">
        <v>257</v>
      </c>
      <c r="AZ3479" s="10"/>
      <c r="BA3479" s="20" t="b">
        <v>0</v>
      </c>
      <c r="BB3479" s="10"/>
      <c r="BC3479" s="17" t="s">
        <v>257</v>
      </c>
      <c r="BD3479" s="17" t="s">
        <v>257</v>
      </c>
      <c r="BE3479" s="17" t="s">
        <v>257</v>
      </c>
      <c r="BF3479" s="17" t="s">
        <v>257</v>
      </c>
      <c r="BG3479" s="11">
        <f ca="1">IFERROR(__xludf.DUMMYFUNCTION("""COMPUTED_VALUE"""),46061.375)</f>
        <v>46061.375</v>
      </c>
      <c r="BH3479" s="17"/>
      <c r="BI3479" s="17"/>
      <c r="BJ3479" s="15"/>
      <c r="BK3479" s="15"/>
      <c r="BL3479" s="13" t="b">
        <v>0</v>
      </c>
      <c r="BM3479" s="10"/>
      <c r="BN3479" s="10" t="s">
        <v>18456</v>
      </c>
      <c r="BO3479" s="11">
        <v>46020.844444444447</v>
      </c>
      <c r="BP3479" s="11">
        <v>46020.845150462963</v>
      </c>
      <c r="BQ3479" s="15"/>
      <c r="BR3479" s="15"/>
      <c r="BS3479" s="10"/>
      <c r="BT3479" s="10"/>
      <c r="BU3479" s="10"/>
      <c r="BV3479" s="10"/>
      <c r="BW3479" s="10"/>
      <c r="BX3479" s="10"/>
      <c r="BY3479" s="23"/>
      <c r="BZ3479" s="23"/>
      <c r="CA3479" s="10"/>
      <c r="CB3479" s="23"/>
      <c r="CC3479" s="23"/>
      <c r="CD3479" s="23"/>
      <c r="CE3479" s="23"/>
      <c r="CF3479" s="23"/>
      <c r="CG3479" s="23"/>
      <c r="CH3479" s="23"/>
      <c r="CI3479" s="23"/>
    </row>
    <row r="3480" spans="1:87" x14ac:dyDescent="0.3">
      <c r="A3480" s="9" t="s">
        <v>24644</v>
      </c>
      <c r="B3480" s="10" t="s">
        <v>24645</v>
      </c>
      <c r="C3480" s="11">
        <v>46075.375</v>
      </c>
      <c r="D3480" s="12">
        <v>0.25</v>
      </c>
      <c r="E3480" s="11">
        <v>46075.625</v>
      </c>
      <c r="F3480" s="22" t="s">
        <v>23179</v>
      </c>
      <c r="G3480" s="13" t="b">
        <v>0</v>
      </c>
      <c r="H3480" s="22"/>
      <c r="I3480" s="10" t="s">
        <v>23180</v>
      </c>
      <c r="J3480" s="13" t="b">
        <v>0</v>
      </c>
      <c r="K3480" s="13" t="b">
        <v>1</v>
      </c>
      <c r="L3480" s="10" t="s">
        <v>124</v>
      </c>
      <c r="M3480" s="10" t="s">
        <v>91</v>
      </c>
      <c r="N3480" s="10" t="s">
        <v>92</v>
      </c>
      <c r="O3480" s="10"/>
      <c r="P3480" s="10"/>
      <c r="Q3480" s="10" t="s">
        <v>20191</v>
      </c>
      <c r="R3480" s="10"/>
      <c r="S3480" s="10"/>
      <c r="T3480" s="10"/>
      <c r="U3480" s="10"/>
      <c r="V3480" s="10"/>
      <c r="W3480" s="10" t="s">
        <v>23182</v>
      </c>
      <c r="X3480" s="10" t="s">
        <v>8408</v>
      </c>
      <c r="Y3480" s="10" t="s">
        <v>23183</v>
      </c>
      <c r="Z3480" s="10" t="s">
        <v>99</v>
      </c>
      <c r="AA3480" s="10" t="s">
        <v>100</v>
      </c>
      <c r="AB3480" s="10" t="s">
        <v>23184</v>
      </c>
      <c r="AC3480" s="10" t="s">
        <v>23185</v>
      </c>
      <c r="AD3480" s="10" t="s">
        <v>165</v>
      </c>
      <c r="AE3480" s="10" t="s">
        <v>24646</v>
      </c>
      <c r="AF3480" s="15"/>
      <c r="AG3480" s="10"/>
      <c r="AH3480" s="10"/>
      <c r="AI3480" s="10"/>
      <c r="AJ3480" s="10"/>
      <c r="AK3480" s="10"/>
      <c r="AL3480" s="10"/>
      <c r="AM3480" s="10"/>
      <c r="AN3480" s="10"/>
      <c r="AO3480" s="13" t="b">
        <v>0</v>
      </c>
      <c r="AP3480" s="22"/>
      <c r="AQ3480" s="10"/>
      <c r="AR3480" s="17"/>
      <c r="AS3480" s="17"/>
      <c r="AT3480" s="17"/>
      <c r="AU3480" s="17"/>
      <c r="AV3480" s="17"/>
      <c r="AW3480" s="10"/>
      <c r="AX3480" s="17"/>
      <c r="AY3480" s="18" t="s">
        <v>257</v>
      </c>
      <c r="AZ3480" s="10"/>
      <c r="BA3480" s="20" t="b">
        <v>0</v>
      </c>
      <c r="BB3480" s="10"/>
      <c r="BC3480" s="17" t="s">
        <v>257</v>
      </c>
      <c r="BD3480" s="17" t="s">
        <v>257</v>
      </c>
      <c r="BE3480" s="17" t="s">
        <v>257</v>
      </c>
      <c r="BF3480" s="17" t="s">
        <v>257</v>
      </c>
      <c r="BG3480" s="11">
        <f ca="1">IFERROR(__xludf.DUMMYFUNCTION("""COMPUTED_VALUE"""),46075.375)</f>
        <v>46075.375</v>
      </c>
      <c r="BH3480" s="17"/>
      <c r="BI3480" s="17"/>
      <c r="BJ3480" s="15"/>
      <c r="BK3480" s="15"/>
      <c r="BL3480" s="13" t="b">
        <v>0</v>
      </c>
      <c r="BM3480" s="10"/>
      <c r="BN3480" s="10" t="s">
        <v>18456</v>
      </c>
      <c r="BO3480" s="11">
        <v>46020.84652777778</v>
      </c>
      <c r="BP3480" s="11">
        <v>46020.847222222219</v>
      </c>
      <c r="BQ3480" s="15"/>
      <c r="BR3480" s="15"/>
      <c r="BS3480" s="10"/>
      <c r="BT3480" s="10"/>
      <c r="BU3480" s="10"/>
      <c r="BV3480" s="10"/>
      <c r="BW3480" s="10"/>
      <c r="BX3480" s="10"/>
      <c r="BY3480" s="23"/>
      <c r="BZ3480" s="23"/>
      <c r="CA3480" s="10"/>
      <c r="CB3480" s="23"/>
      <c r="CC3480" s="23"/>
      <c r="CD3480" s="23"/>
      <c r="CE3480" s="23"/>
      <c r="CF3480" s="23"/>
      <c r="CG3480" s="23"/>
      <c r="CH3480" s="23"/>
      <c r="CI3480" s="23"/>
    </row>
    <row r="3481" spans="1:87" x14ac:dyDescent="0.3">
      <c r="A3481" s="9" t="s">
        <v>24647</v>
      </c>
      <c r="B3481" s="10" t="s">
        <v>24648</v>
      </c>
      <c r="C3481" s="11">
        <v>46082.375</v>
      </c>
      <c r="D3481" s="12">
        <v>0.25</v>
      </c>
      <c r="E3481" s="11">
        <v>46082.625</v>
      </c>
      <c r="F3481" s="22" t="s">
        <v>23179</v>
      </c>
      <c r="G3481" s="13" t="b">
        <v>0</v>
      </c>
      <c r="H3481" s="22"/>
      <c r="I3481" s="10" t="s">
        <v>23180</v>
      </c>
      <c r="J3481" s="13" t="b">
        <v>0</v>
      </c>
      <c r="K3481" s="13" t="b">
        <v>1</v>
      </c>
      <c r="L3481" s="10" t="s">
        <v>124</v>
      </c>
      <c r="M3481" s="10" t="s">
        <v>91</v>
      </c>
      <c r="N3481" s="10" t="s">
        <v>92</v>
      </c>
      <c r="O3481" s="10"/>
      <c r="P3481" s="10"/>
      <c r="Q3481" s="10" t="s">
        <v>20191</v>
      </c>
      <c r="R3481" s="10"/>
      <c r="S3481" s="10"/>
      <c r="T3481" s="10"/>
      <c r="U3481" s="10"/>
      <c r="V3481" s="10"/>
      <c r="W3481" s="10" t="s">
        <v>23182</v>
      </c>
      <c r="X3481" s="10" t="s">
        <v>8408</v>
      </c>
      <c r="Y3481" s="10" t="s">
        <v>23183</v>
      </c>
      <c r="Z3481" s="10" t="s">
        <v>99</v>
      </c>
      <c r="AA3481" s="10" t="s">
        <v>100</v>
      </c>
      <c r="AB3481" s="10" t="s">
        <v>23184</v>
      </c>
      <c r="AC3481" s="10" t="s">
        <v>23185</v>
      </c>
      <c r="AD3481" s="10" t="s">
        <v>165</v>
      </c>
      <c r="AE3481" s="10" t="s">
        <v>24649</v>
      </c>
      <c r="AF3481" s="15"/>
      <c r="AG3481" s="10"/>
      <c r="AH3481" s="10"/>
      <c r="AI3481" s="10"/>
      <c r="AJ3481" s="10"/>
      <c r="AK3481" s="10"/>
      <c r="AL3481" s="10"/>
      <c r="AM3481" s="10"/>
      <c r="AN3481" s="10"/>
      <c r="AO3481" s="13" t="b">
        <v>0</v>
      </c>
      <c r="AP3481" s="22"/>
      <c r="AQ3481" s="10"/>
      <c r="AR3481" s="17"/>
      <c r="AS3481" s="17"/>
      <c r="AT3481" s="17"/>
      <c r="AU3481" s="17"/>
      <c r="AV3481" s="17"/>
      <c r="AW3481" s="10"/>
      <c r="AX3481" s="17"/>
      <c r="AY3481" s="18" t="s">
        <v>257</v>
      </c>
      <c r="AZ3481" s="10"/>
      <c r="BA3481" s="20" t="b">
        <v>0</v>
      </c>
      <c r="BB3481" s="10"/>
      <c r="BC3481" s="17" t="s">
        <v>257</v>
      </c>
      <c r="BD3481" s="17" t="s">
        <v>257</v>
      </c>
      <c r="BE3481" s="17" t="s">
        <v>257</v>
      </c>
      <c r="BF3481" s="17" t="s">
        <v>257</v>
      </c>
      <c r="BG3481" s="11">
        <f ca="1">IFERROR(__xludf.DUMMYFUNCTION("""COMPUTED_VALUE"""),46082.375)</f>
        <v>46082.375</v>
      </c>
      <c r="BH3481" s="17"/>
      <c r="BI3481" s="17"/>
      <c r="BJ3481" s="15"/>
      <c r="BK3481" s="15"/>
      <c r="BL3481" s="13" t="b">
        <v>0</v>
      </c>
      <c r="BM3481" s="10"/>
      <c r="BN3481" s="10" t="s">
        <v>18456</v>
      </c>
      <c r="BO3481" s="11">
        <v>46020.847916666666</v>
      </c>
      <c r="BP3481" s="11">
        <v>46020.848263888889</v>
      </c>
      <c r="BQ3481" s="15"/>
      <c r="BR3481" s="15"/>
      <c r="BS3481" s="10"/>
      <c r="BT3481" s="10"/>
      <c r="BU3481" s="10"/>
      <c r="BV3481" s="10"/>
      <c r="BW3481" s="10"/>
      <c r="BX3481" s="10"/>
      <c r="BY3481" s="23"/>
      <c r="BZ3481" s="23"/>
      <c r="CA3481" s="10"/>
      <c r="CB3481" s="23"/>
      <c r="CC3481" s="23"/>
      <c r="CD3481" s="23"/>
      <c r="CE3481" s="23"/>
      <c r="CF3481" s="23"/>
      <c r="CG3481" s="23"/>
      <c r="CH3481" s="23"/>
      <c r="CI3481" s="23"/>
    </row>
    <row r="3482" spans="1:87" x14ac:dyDescent="0.3">
      <c r="A3482" s="9" t="s">
        <v>24650</v>
      </c>
      <c r="B3482" s="10" t="s">
        <v>24651</v>
      </c>
      <c r="C3482" s="11">
        <v>46026.1875</v>
      </c>
      <c r="D3482" s="12">
        <v>0.14583333333333334</v>
      </c>
      <c r="E3482" s="11">
        <v>46026.333333333336</v>
      </c>
      <c r="F3482" s="22" t="s">
        <v>15270</v>
      </c>
      <c r="G3482" s="13" t="b">
        <v>0</v>
      </c>
      <c r="H3482" s="22" t="s">
        <v>15271</v>
      </c>
      <c r="I3482" s="10" t="s">
        <v>3213</v>
      </c>
      <c r="J3482" s="13" t="b">
        <v>0</v>
      </c>
      <c r="K3482" s="13" t="b">
        <v>1</v>
      </c>
      <c r="L3482" s="10" t="s">
        <v>124</v>
      </c>
      <c r="M3482" s="10" t="s">
        <v>91</v>
      </c>
      <c r="N3482" s="10" t="s">
        <v>92</v>
      </c>
      <c r="O3482" s="19" t="s">
        <v>24652</v>
      </c>
      <c r="P3482" s="10"/>
      <c r="Q3482" s="10" t="s">
        <v>126</v>
      </c>
      <c r="R3482" s="10"/>
      <c r="S3482" s="19" t="s">
        <v>24653</v>
      </c>
      <c r="T3482" s="10"/>
      <c r="U3482" s="10" t="s">
        <v>15317</v>
      </c>
      <c r="V3482" s="10" t="s">
        <v>19855</v>
      </c>
      <c r="W3482" s="10" t="s">
        <v>15276</v>
      </c>
      <c r="X3482" s="10" t="s">
        <v>15277</v>
      </c>
      <c r="Y3482" s="10" t="s">
        <v>15277</v>
      </c>
      <c r="Z3482" s="10" t="s">
        <v>99</v>
      </c>
      <c r="AA3482" s="10" t="s">
        <v>131</v>
      </c>
      <c r="AB3482" s="10" t="s">
        <v>15278</v>
      </c>
      <c r="AC3482" s="10" t="s">
        <v>15279</v>
      </c>
      <c r="AD3482" s="10" t="s">
        <v>165</v>
      </c>
      <c r="AE3482" s="10" t="s">
        <v>24654</v>
      </c>
      <c r="AF3482" s="15"/>
      <c r="AG3482" s="10"/>
      <c r="AH3482" s="10"/>
      <c r="AI3482" s="10"/>
      <c r="AJ3482" s="10"/>
      <c r="AK3482" s="10" t="s">
        <v>256</v>
      </c>
      <c r="AL3482" s="10" t="s">
        <v>2098</v>
      </c>
      <c r="AM3482" s="10"/>
      <c r="AN3482" s="10"/>
      <c r="AO3482" s="13" t="b">
        <v>0</v>
      </c>
      <c r="AP3482" s="22" t="s">
        <v>104</v>
      </c>
      <c r="AQ3482" s="10">
        <f ca="1">IFERROR(__xludf.DUMMYFUNCTION("""COMPUTED_VALUE"""),4825569)</f>
        <v>4825569</v>
      </c>
      <c r="AR3482" s="17"/>
      <c r="AS3482" s="17"/>
      <c r="AT3482" s="17"/>
      <c r="AU3482" s="17"/>
      <c r="AV3482" s="17"/>
      <c r="AW3482" s="10"/>
      <c r="AX3482" s="17"/>
      <c r="AY3482" s="18" t="s">
        <v>257</v>
      </c>
      <c r="AZ3482" s="10"/>
      <c r="BA3482" s="20" t="b">
        <v>0</v>
      </c>
      <c r="BB3482" s="10"/>
      <c r="BC3482" s="17" t="s">
        <v>257</v>
      </c>
      <c r="BD3482" s="17" t="s">
        <v>257</v>
      </c>
      <c r="BE3482" s="17" t="s">
        <v>257</v>
      </c>
      <c r="BF3482" s="17" t="s">
        <v>257</v>
      </c>
      <c r="BG3482" s="11">
        <f ca="1">IFERROR(__xludf.DUMMYFUNCTION("""COMPUTED_VALUE"""),46026.1875)</f>
        <v>46026.1875</v>
      </c>
      <c r="BH3482" s="17"/>
      <c r="BI3482" s="17"/>
      <c r="BJ3482" s="15"/>
      <c r="BK3482" s="15"/>
      <c r="BL3482" s="13" t="b">
        <v>0</v>
      </c>
      <c r="BM3482" s="10"/>
      <c r="BN3482" s="10" t="s">
        <v>8437</v>
      </c>
      <c r="BO3482" s="11">
        <v>46021.615277777775</v>
      </c>
      <c r="BP3482" s="11">
        <v>46021.615335648145</v>
      </c>
      <c r="BQ3482" s="15">
        <v>46022.620671296296</v>
      </c>
      <c r="BR3482" s="15">
        <v>46024.025358796294</v>
      </c>
      <c r="BS3482" s="10"/>
      <c r="BT3482" s="10"/>
      <c r="BU3482" s="10"/>
      <c r="BV3482" s="10"/>
      <c r="BW3482" s="10"/>
      <c r="BX3482" s="10"/>
      <c r="BY3482" s="23"/>
      <c r="BZ3482" s="23"/>
      <c r="CA3482" s="19" t="s">
        <v>24655</v>
      </c>
      <c r="CB3482" s="19" t="s">
        <v>24656</v>
      </c>
      <c r="CC3482" s="23"/>
      <c r="CD3482" s="19" t="s">
        <v>24657</v>
      </c>
      <c r="CE3482" s="23"/>
      <c r="CF3482" s="23"/>
      <c r="CG3482" s="23"/>
      <c r="CH3482" s="23"/>
      <c r="CI3482" s="23"/>
    </row>
    <row r="3483" spans="1:87" x14ac:dyDescent="0.3">
      <c r="A3483" s="9" t="s">
        <v>24658</v>
      </c>
      <c r="B3483" s="10" t="s">
        <v>24659</v>
      </c>
      <c r="C3483" s="11">
        <v>46026.333333333336</v>
      </c>
      <c r="D3483" s="12">
        <v>0.14583333333333334</v>
      </c>
      <c r="E3483" s="11">
        <v>46026.479166666664</v>
      </c>
      <c r="F3483" s="22" t="s">
        <v>15270</v>
      </c>
      <c r="G3483" s="13" t="b">
        <v>0</v>
      </c>
      <c r="H3483" s="22" t="s">
        <v>15271</v>
      </c>
      <c r="I3483" s="10" t="s">
        <v>3213</v>
      </c>
      <c r="J3483" s="13" t="b">
        <v>0</v>
      </c>
      <c r="K3483" s="13" t="b">
        <v>1</v>
      </c>
      <c r="L3483" s="10" t="s">
        <v>124</v>
      </c>
      <c r="M3483" s="10" t="s">
        <v>91</v>
      </c>
      <c r="N3483" s="10" t="s">
        <v>92</v>
      </c>
      <c r="O3483" s="19" t="s">
        <v>24660</v>
      </c>
      <c r="P3483" s="10" t="s">
        <v>3215</v>
      </c>
      <c r="Q3483" s="10" t="s">
        <v>126</v>
      </c>
      <c r="R3483" s="10"/>
      <c r="S3483" s="19" t="s">
        <v>24661</v>
      </c>
      <c r="T3483" s="10"/>
      <c r="U3483" s="10" t="s">
        <v>15654</v>
      </c>
      <c r="V3483" s="10" t="s">
        <v>15987</v>
      </c>
      <c r="W3483" s="10" t="s">
        <v>15276</v>
      </c>
      <c r="X3483" s="10" t="s">
        <v>15277</v>
      </c>
      <c r="Y3483" s="10" t="s">
        <v>15277</v>
      </c>
      <c r="Z3483" s="10" t="s">
        <v>99</v>
      </c>
      <c r="AA3483" s="10" t="s">
        <v>131</v>
      </c>
      <c r="AB3483" s="10" t="s">
        <v>15278</v>
      </c>
      <c r="AC3483" s="10" t="s">
        <v>15279</v>
      </c>
      <c r="AD3483" s="10" t="s">
        <v>165</v>
      </c>
      <c r="AE3483" s="10" t="s">
        <v>24662</v>
      </c>
      <c r="AF3483" s="15"/>
      <c r="AG3483" s="10"/>
      <c r="AH3483" s="10"/>
      <c r="AI3483" s="10"/>
      <c r="AJ3483" s="10"/>
      <c r="AK3483" s="10" t="s">
        <v>102</v>
      </c>
      <c r="AL3483" s="10" t="s">
        <v>2098</v>
      </c>
      <c r="AM3483" s="10"/>
      <c r="AN3483" s="10"/>
      <c r="AO3483" s="13" t="b">
        <v>0</v>
      </c>
      <c r="AP3483" s="22" t="s">
        <v>104</v>
      </c>
      <c r="AQ3483" s="10">
        <f ca="1">IFERROR(__xludf.DUMMYFUNCTION("""COMPUTED_VALUE"""),4825571)</f>
        <v>4825571</v>
      </c>
      <c r="AR3483" s="17">
        <v>4097</v>
      </c>
      <c r="AS3483" s="17">
        <v>2877</v>
      </c>
      <c r="AT3483" s="17">
        <v>71842.75</v>
      </c>
      <c r="AU3483" s="17">
        <v>24.25</v>
      </c>
      <c r="AV3483" s="17">
        <v>11.55</v>
      </c>
      <c r="AW3483" s="10" t="s">
        <v>105</v>
      </c>
      <c r="AX3483" s="17">
        <v>626</v>
      </c>
      <c r="AY3483" s="18">
        <v>24.971411192214113</v>
      </c>
      <c r="AZ3483" s="10"/>
      <c r="BA3483" s="20" t="b">
        <v>0</v>
      </c>
      <c r="BB3483" s="10"/>
      <c r="BC3483" s="17">
        <v>4097</v>
      </c>
      <c r="BD3483" s="17">
        <v>2877</v>
      </c>
      <c r="BE3483" s="17">
        <v>71842.75</v>
      </c>
      <c r="BF3483" s="17">
        <v>11.55</v>
      </c>
      <c r="BG3483" s="11">
        <f ca="1">IFERROR(__xludf.DUMMYFUNCTION("""COMPUTED_VALUE"""),46026.3333333333)</f>
        <v>46026.333333333299</v>
      </c>
      <c r="BH3483" s="17" t="s">
        <v>105</v>
      </c>
      <c r="BI3483" s="17"/>
      <c r="BJ3483" s="15"/>
      <c r="BK3483" s="15"/>
      <c r="BL3483" s="13" t="b">
        <v>0</v>
      </c>
      <c r="BM3483" s="10"/>
      <c r="BN3483" s="10" t="s">
        <v>8437</v>
      </c>
      <c r="BO3483" s="11">
        <v>46021.615972222222</v>
      </c>
      <c r="BP3483" s="11">
        <v>46021.616493055553</v>
      </c>
      <c r="BQ3483" s="15">
        <v>46022.620833333334</v>
      </c>
      <c r="BR3483" s="15">
        <v>46024.025625000002</v>
      </c>
      <c r="BS3483" s="10"/>
      <c r="BT3483" s="10"/>
      <c r="BU3483" s="10"/>
      <c r="BV3483" s="10"/>
      <c r="BW3483" s="10"/>
      <c r="BX3483" s="10"/>
      <c r="BY3483" s="23"/>
      <c r="BZ3483" s="23"/>
      <c r="CA3483" s="19" t="s">
        <v>24663</v>
      </c>
      <c r="CB3483" s="19" t="s">
        <v>24664</v>
      </c>
      <c r="CC3483" s="23"/>
      <c r="CD3483" s="19" t="s">
        <v>24665</v>
      </c>
      <c r="CE3483" s="23"/>
      <c r="CF3483" s="23"/>
      <c r="CG3483" s="23"/>
      <c r="CH3483" s="23"/>
      <c r="CI3483" s="23"/>
    </row>
    <row r="3484" spans="1:87" x14ac:dyDescent="0.3">
      <c r="A3484" s="9" t="s">
        <v>24666</v>
      </c>
      <c r="B3484" s="10" t="s">
        <v>24667</v>
      </c>
      <c r="C3484" s="11">
        <v>46027.041666666664</v>
      </c>
      <c r="D3484" s="12">
        <v>0.14583333333333334</v>
      </c>
      <c r="E3484" s="11">
        <v>46027.1875</v>
      </c>
      <c r="F3484" s="22" t="s">
        <v>15270</v>
      </c>
      <c r="G3484" s="13" t="b">
        <v>0</v>
      </c>
      <c r="H3484" s="22" t="s">
        <v>15271</v>
      </c>
      <c r="I3484" s="10" t="s">
        <v>3213</v>
      </c>
      <c r="J3484" s="13" t="b">
        <v>0</v>
      </c>
      <c r="K3484" s="13" t="b">
        <v>1</v>
      </c>
      <c r="L3484" s="10" t="s">
        <v>124</v>
      </c>
      <c r="M3484" s="10" t="s">
        <v>91</v>
      </c>
      <c r="N3484" s="10" t="s">
        <v>92</v>
      </c>
      <c r="O3484" s="19" t="s">
        <v>24668</v>
      </c>
      <c r="P3484" s="10" t="s">
        <v>88</v>
      </c>
      <c r="Q3484" s="10" t="s">
        <v>126</v>
      </c>
      <c r="R3484" s="10"/>
      <c r="S3484" s="19" t="s">
        <v>24669</v>
      </c>
      <c r="T3484" s="10"/>
      <c r="U3484" s="10" t="s">
        <v>15307</v>
      </c>
      <c r="V3484" s="10" t="s">
        <v>15274</v>
      </c>
      <c r="W3484" s="10" t="s">
        <v>15276</v>
      </c>
      <c r="X3484" s="10" t="s">
        <v>15277</v>
      </c>
      <c r="Y3484" s="10" t="s">
        <v>15277</v>
      </c>
      <c r="Z3484" s="10" t="s">
        <v>99</v>
      </c>
      <c r="AA3484" s="10" t="s">
        <v>131</v>
      </c>
      <c r="AB3484" s="10" t="s">
        <v>15278</v>
      </c>
      <c r="AC3484" s="10" t="s">
        <v>15279</v>
      </c>
      <c r="AD3484" s="10" t="s">
        <v>165</v>
      </c>
      <c r="AE3484" s="10" t="s">
        <v>24670</v>
      </c>
      <c r="AF3484" s="15"/>
      <c r="AG3484" s="10"/>
      <c r="AH3484" s="10"/>
      <c r="AI3484" s="10"/>
      <c r="AJ3484" s="10"/>
      <c r="AK3484" s="10" t="s">
        <v>102</v>
      </c>
      <c r="AL3484" s="10" t="s">
        <v>2098</v>
      </c>
      <c r="AM3484" s="10"/>
      <c r="AN3484" s="10"/>
      <c r="AO3484" s="13" t="b">
        <v>0</v>
      </c>
      <c r="AP3484" s="22" t="s">
        <v>104</v>
      </c>
      <c r="AQ3484" s="10">
        <f ca="1">IFERROR(__xludf.DUMMYFUNCTION("""COMPUTED_VALUE"""),4827333)</f>
        <v>4827333</v>
      </c>
      <c r="AR3484" s="17">
        <v>1049</v>
      </c>
      <c r="AS3484" s="17">
        <v>902</v>
      </c>
      <c r="AT3484" s="17">
        <v>10796.25</v>
      </c>
      <c r="AU3484" s="17">
        <v>1.5</v>
      </c>
      <c r="AV3484" s="17">
        <v>0</v>
      </c>
      <c r="AW3484" s="10" t="s">
        <v>105</v>
      </c>
      <c r="AX3484" s="17">
        <v>143</v>
      </c>
      <c r="AY3484" s="18">
        <v>11.969235033259423</v>
      </c>
      <c r="AZ3484" s="10"/>
      <c r="BA3484" s="20" t="b">
        <v>0</v>
      </c>
      <c r="BB3484" s="10"/>
      <c r="BC3484" s="17">
        <v>1049</v>
      </c>
      <c r="BD3484" s="17">
        <v>902</v>
      </c>
      <c r="BE3484" s="17">
        <v>10796.25</v>
      </c>
      <c r="BF3484" s="17">
        <v>0</v>
      </c>
      <c r="BG3484" s="11">
        <f ca="1">IFERROR(__xludf.DUMMYFUNCTION("""COMPUTED_VALUE"""),46027.0416666666)</f>
        <v>46027.041666666599</v>
      </c>
      <c r="BH3484" s="17" t="s">
        <v>105</v>
      </c>
      <c r="BI3484" s="17"/>
      <c r="BJ3484" s="15"/>
      <c r="BK3484" s="15"/>
      <c r="BL3484" s="13" t="b">
        <v>0</v>
      </c>
      <c r="BM3484" s="10"/>
      <c r="BN3484" s="10" t="s">
        <v>137</v>
      </c>
      <c r="BO3484" s="11">
        <v>46021.617361111108</v>
      </c>
      <c r="BP3484" s="11">
        <v>46021.617650462962</v>
      </c>
      <c r="BQ3484" s="15">
        <v>46022.621296296296</v>
      </c>
      <c r="BR3484" s="15">
        <v>46025.704085648147</v>
      </c>
      <c r="BS3484" s="10" t="s">
        <v>137</v>
      </c>
      <c r="BT3484" s="10"/>
      <c r="BU3484" s="10"/>
      <c r="BV3484" s="10"/>
      <c r="BW3484" s="10"/>
      <c r="BX3484" s="10"/>
      <c r="BY3484" s="23"/>
      <c r="BZ3484" s="23"/>
      <c r="CA3484" s="19" t="s">
        <v>24671</v>
      </c>
      <c r="CB3484" s="19" t="s">
        <v>24672</v>
      </c>
      <c r="CC3484" s="23"/>
      <c r="CD3484" s="19" t="s">
        <v>24673</v>
      </c>
      <c r="CE3484" s="23"/>
      <c r="CF3484" s="23"/>
      <c r="CG3484" s="23"/>
      <c r="CH3484" s="23"/>
      <c r="CI3484" s="23"/>
    </row>
    <row r="3485" spans="1:87" x14ac:dyDescent="0.3">
      <c r="A3485" s="9" t="s">
        <v>24674</v>
      </c>
      <c r="B3485" s="10" t="s">
        <v>24675</v>
      </c>
      <c r="C3485" s="11">
        <v>46027.184027777781</v>
      </c>
      <c r="D3485" s="12">
        <v>0.14583333333333334</v>
      </c>
      <c r="E3485" s="11">
        <v>46027.329861111109</v>
      </c>
      <c r="F3485" s="22" t="s">
        <v>15270</v>
      </c>
      <c r="G3485" s="13" t="b">
        <v>0</v>
      </c>
      <c r="H3485" s="22" t="s">
        <v>15271</v>
      </c>
      <c r="I3485" s="10" t="s">
        <v>3213</v>
      </c>
      <c r="J3485" s="13" t="b">
        <v>0</v>
      </c>
      <c r="K3485" s="13" t="b">
        <v>1</v>
      </c>
      <c r="L3485" s="10" t="s">
        <v>124</v>
      </c>
      <c r="M3485" s="10" t="s">
        <v>91</v>
      </c>
      <c r="N3485" s="10" t="s">
        <v>92</v>
      </c>
      <c r="O3485" s="19" t="s">
        <v>24676</v>
      </c>
      <c r="P3485" s="10" t="s">
        <v>88</v>
      </c>
      <c r="Q3485" s="10" t="s">
        <v>126</v>
      </c>
      <c r="R3485" s="10"/>
      <c r="S3485" s="19" t="s">
        <v>24677</v>
      </c>
      <c r="T3485" s="10"/>
      <c r="U3485" s="10" t="s">
        <v>15510</v>
      </c>
      <c r="V3485" s="10" t="s">
        <v>15326</v>
      </c>
      <c r="W3485" s="10" t="s">
        <v>15276</v>
      </c>
      <c r="X3485" s="10" t="s">
        <v>15277</v>
      </c>
      <c r="Y3485" s="10" t="s">
        <v>15277</v>
      </c>
      <c r="Z3485" s="10" t="s">
        <v>99</v>
      </c>
      <c r="AA3485" s="10" t="s">
        <v>131</v>
      </c>
      <c r="AB3485" s="10" t="s">
        <v>15278</v>
      </c>
      <c r="AC3485" s="10" t="s">
        <v>15279</v>
      </c>
      <c r="AD3485" s="10" t="s">
        <v>165</v>
      </c>
      <c r="AE3485" s="10" t="s">
        <v>24678</v>
      </c>
      <c r="AF3485" s="15"/>
      <c r="AG3485" s="10"/>
      <c r="AH3485" s="10"/>
      <c r="AI3485" s="10"/>
      <c r="AJ3485" s="10"/>
      <c r="AK3485" s="10" t="s">
        <v>102</v>
      </c>
      <c r="AL3485" s="10" t="s">
        <v>2098</v>
      </c>
      <c r="AM3485" s="10"/>
      <c r="AN3485" s="10"/>
      <c r="AO3485" s="13" t="b">
        <v>0</v>
      </c>
      <c r="AP3485" s="22" t="s">
        <v>104</v>
      </c>
      <c r="AQ3485" s="10">
        <f ca="1">IFERROR(__xludf.DUMMYFUNCTION("""COMPUTED_VALUE"""),4827334)</f>
        <v>4827334</v>
      </c>
      <c r="AR3485" s="17">
        <v>2321</v>
      </c>
      <c r="AS3485" s="17">
        <v>2052</v>
      </c>
      <c r="AT3485" s="17">
        <v>23265</v>
      </c>
      <c r="AU3485" s="17">
        <v>3</v>
      </c>
      <c r="AV3485" s="17">
        <v>1</v>
      </c>
      <c r="AW3485" s="10" t="s">
        <v>105</v>
      </c>
      <c r="AX3485" s="17">
        <v>249</v>
      </c>
      <c r="AY3485" s="18">
        <v>11.337719298245615</v>
      </c>
      <c r="AZ3485" s="10"/>
      <c r="BA3485" s="20" t="b">
        <v>0</v>
      </c>
      <c r="BB3485" s="10"/>
      <c r="BC3485" s="17">
        <v>2321</v>
      </c>
      <c r="BD3485" s="17">
        <v>2052</v>
      </c>
      <c r="BE3485" s="17">
        <v>23265</v>
      </c>
      <c r="BF3485" s="17">
        <v>1</v>
      </c>
      <c r="BG3485" s="11">
        <f ca="1">IFERROR(__xludf.DUMMYFUNCTION("""COMPUTED_VALUE"""),46027.1840277777)</f>
        <v>46027.184027777701</v>
      </c>
      <c r="BH3485" s="17" t="s">
        <v>105</v>
      </c>
      <c r="BI3485" s="17"/>
      <c r="BJ3485" s="15"/>
      <c r="BK3485" s="15"/>
      <c r="BL3485" s="13" t="b">
        <v>0</v>
      </c>
      <c r="BM3485" s="10"/>
      <c r="BN3485" s="10" t="s">
        <v>137</v>
      </c>
      <c r="BO3485" s="11">
        <v>46021.618055555555</v>
      </c>
      <c r="BP3485" s="11">
        <v>46021.618541666663</v>
      </c>
      <c r="BQ3485" s="15">
        <v>46022.621134259258</v>
      </c>
      <c r="BR3485" s="15">
        <v>46025.704212962963</v>
      </c>
      <c r="BS3485" s="10" t="s">
        <v>137</v>
      </c>
      <c r="BT3485" s="10"/>
      <c r="BU3485" s="10"/>
      <c r="BV3485" s="10"/>
      <c r="BW3485" s="10"/>
      <c r="BX3485" s="10"/>
      <c r="BY3485" s="23"/>
      <c r="BZ3485" s="23"/>
      <c r="CA3485" s="19" t="s">
        <v>24679</v>
      </c>
      <c r="CB3485" s="19" t="s">
        <v>24680</v>
      </c>
      <c r="CC3485" s="23"/>
      <c r="CD3485" s="19" t="s">
        <v>24681</v>
      </c>
      <c r="CE3485" s="23"/>
      <c r="CF3485" s="23"/>
      <c r="CG3485" s="23"/>
      <c r="CH3485" s="23"/>
      <c r="CI3485" s="23"/>
    </row>
    <row r="3486" spans="1:87" x14ac:dyDescent="0.3">
      <c r="A3486" s="9" t="s">
        <v>24682</v>
      </c>
      <c r="B3486" s="10" t="s">
        <v>24683</v>
      </c>
      <c r="C3486" s="11">
        <v>46027.347222222219</v>
      </c>
      <c r="D3486" s="12">
        <v>0.14583333333333334</v>
      </c>
      <c r="E3486" s="11">
        <v>46027.493055555555</v>
      </c>
      <c r="F3486" s="22" t="s">
        <v>15270</v>
      </c>
      <c r="G3486" s="13" t="b">
        <v>0</v>
      </c>
      <c r="H3486" s="22" t="s">
        <v>15271</v>
      </c>
      <c r="I3486" s="10" t="s">
        <v>3213</v>
      </c>
      <c r="J3486" s="13" t="b">
        <v>0</v>
      </c>
      <c r="K3486" s="13" t="b">
        <v>1</v>
      </c>
      <c r="L3486" s="10" t="s">
        <v>124</v>
      </c>
      <c r="M3486" s="10" t="s">
        <v>91</v>
      </c>
      <c r="N3486" s="10" t="s">
        <v>92</v>
      </c>
      <c r="O3486" s="19" t="s">
        <v>24684</v>
      </c>
      <c r="P3486" s="10" t="s">
        <v>3215</v>
      </c>
      <c r="Q3486" s="10" t="s">
        <v>126</v>
      </c>
      <c r="R3486" s="10"/>
      <c r="S3486" s="19" t="s">
        <v>24685</v>
      </c>
      <c r="T3486" s="10"/>
      <c r="U3486" s="10" t="s">
        <v>15490</v>
      </c>
      <c r="V3486" s="10" t="s">
        <v>15673</v>
      </c>
      <c r="W3486" s="10" t="s">
        <v>15276</v>
      </c>
      <c r="X3486" s="10" t="s">
        <v>15277</v>
      </c>
      <c r="Y3486" s="10" t="s">
        <v>15277</v>
      </c>
      <c r="Z3486" s="10" t="s">
        <v>99</v>
      </c>
      <c r="AA3486" s="10" t="s">
        <v>131</v>
      </c>
      <c r="AB3486" s="10" t="s">
        <v>15278</v>
      </c>
      <c r="AC3486" s="10" t="s">
        <v>15279</v>
      </c>
      <c r="AD3486" s="10" t="s">
        <v>165</v>
      </c>
      <c r="AE3486" s="10" t="s">
        <v>24686</v>
      </c>
      <c r="AF3486" s="15"/>
      <c r="AG3486" s="10"/>
      <c r="AH3486" s="10"/>
      <c r="AI3486" s="10"/>
      <c r="AJ3486" s="10"/>
      <c r="AK3486" s="10" t="s">
        <v>102</v>
      </c>
      <c r="AL3486" s="10" t="s">
        <v>2098</v>
      </c>
      <c r="AM3486" s="10"/>
      <c r="AN3486" s="10"/>
      <c r="AO3486" s="13" t="b">
        <v>0</v>
      </c>
      <c r="AP3486" s="22" t="s">
        <v>104</v>
      </c>
      <c r="AQ3486" s="10">
        <f ca="1">IFERROR(__xludf.DUMMYFUNCTION("""COMPUTED_VALUE"""),4827335)</f>
        <v>4827335</v>
      </c>
      <c r="AR3486" s="17">
        <v>3012</v>
      </c>
      <c r="AS3486" s="17">
        <v>2122</v>
      </c>
      <c r="AT3486" s="17">
        <v>63246.25</v>
      </c>
      <c r="AU3486" s="17">
        <v>11.15</v>
      </c>
      <c r="AV3486" s="17">
        <v>0</v>
      </c>
      <c r="AW3486" s="10" t="s">
        <v>105</v>
      </c>
      <c r="AX3486" s="17">
        <v>559</v>
      </c>
      <c r="AY3486" s="18">
        <v>29.805018850141376</v>
      </c>
      <c r="AZ3486" s="10"/>
      <c r="BA3486" s="20" t="b">
        <v>0</v>
      </c>
      <c r="BB3486" s="10"/>
      <c r="BC3486" s="17">
        <v>3012</v>
      </c>
      <c r="BD3486" s="17">
        <v>2122</v>
      </c>
      <c r="BE3486" s="17">
        <v>63246.25</v>
      </c>
      <c r="BF3486" s="17">
        <v>0</v>
      </c>
      <c r="BG3486" s="11">
        <f ca="1">IFERROR(__xludf.DUMMYFUNCTION("""COMPUTED_VALUE"""),46027.3472222222)</f>
        <v>46027.347222222197</v>
      </c>
      <c r="BH3486" s="17" t="s">
        <v>105</v>
      </c>
      <c r="BI3486" s="17"/>
      <c r="BJ3486" s="15"/>
      <c r="BK3486" s="15"/>
      <c r="BL3486" s="13" t="b">
        <v>0</v>
      </c>
      <c r="BM3486" s="10"/>
      <c r="BN3486" s="10" t="s">
        <v>137</v>
      </c>
      <c r="BO3486" s="11">
        <v>46021.618750000001</v>
      </c>
      <c r="BP3486" s="11">
        <v>46021.619305555556</v>
      </c>
      <c r="BQ3486" s="15">
        <v>46022.621435185189</v>
      </c>
      <c r="BR3486" s="15">
        <v>46025.704317129632</v>
      </c>
      <c r="BS3486" s="10" t="s">
        <v>137</v>
      </c>
      <c r="BT3486" s="10"/>
      <c r="BU3486" s="10"/>
      <c r="BV3486" s="10"/>
      <c r="BW3486" s="10"/>
      <c r="BX3486" s="10"/>
      <c r="BY3486" s="23"/>
      <c r="BZ3486" s="23"/>
      <c r="CA3486" s="19" t="s">
        <v>24687</v>
      </c>
      <c r="CB3486" s="19" t="s">
        <v>24688</v>
      </c>
      <c r="CC3486" s="23"/>
      <c r="CD3486" s="19" t="s">
        <v>24689</v>
      </c>
      <c r="CE3486" s="23"/>
      <c r="CF3486" s="23"/>
      <c r="CG3486" s="23"/>
      <c r="CH3486" s="23"/>
      <c r="CI3486" s="23"/>
    </row>
    <row r="3487" spans="1:87" x14ac:dyDescent="0.3">
      <c r="A3487" s="9" t="s">
        <v>24690</v>
      </c>
      <c r="B3487" s="10" t="s">
        <v>24691</v>
      </c>
      <c r="C3487" s="11">
        <v>46032.791666666664</v>
      </c>
      <c r="D3487" s="12">
        <v>0.14583333333333334</v>
      </c>
      <c r="E3487" s="11">
        <v>46032.9375</v>
      </c>
      <c r="F3487" s="22" t="s">
        <v>24420</v>
      </c>
      <c r="G3487" s="13" t="b">
        <v>0</v>
      </c>
      <c r="H3487" s="22" t="s">
        <v>8403</v>
      </c>
      <c r="I3487" s="10" t="s">
        <v>212</v>
      </c>
      <c r="J3487" s="13" t="b">
        <v>1</v>
      </c>
      <c r="K3487" s="13" t="b">
        <v>0</v>
      </c>
      <c r="L3487" s="10" t="s">
        <v>124</v>
      </c>
      <c r="M3487" s="10" t="s">
        <v>91</v>
      </c>
      <c r="N3487" s="10" t="s">
        <v>92</v>
      </c>
      <c r="O3487" s="19" t="s">
        <v>24692</v>
      </c>
      <c r="P3487" s="10"/>
      <c r="Q3487" s="10" t="s">
        <v>126</v>
      </c>
      <c r="R3487" s="19" t="s">
        <v>24693</v>
      </c>
      <c r="S3487" s="19" t="s">
        <v>24694</v>
      </c>
      <c r="T3487" s="10"/>
      <c r="U3487" s="10"/>
      <c r="V3487" s="10"/>
      <c r="W3487" s="10" t="s">
        <v>8407</v>
      </c>
      <c r="X3487" s="10" t="s">
        <v>8408</v>
      </c>
      <c r="Y3487" s="10" t="s">
        <v>8409</v>
      </c>
      <c r="Z3487" s="10" t="s">
        <v>99</v>
      </c>
      <c r="AA3487" s="10" t="s">
        <v>100</v>
      </c>
      <c r="AB3487" s="10" t="s">
        <v>24424</v>
      </c>
      <c r="AC3487" s="10" t="s">
        <v>24425</v>
      </c>
      <c r="AD3487" s="10" t="s">
        <v>165</v>
      </c>
      <c r="AE3487" s="10" t="s">
        <v>24695</v>
      </c>
      <c r="AF3487" s="15"/>
      <c r="AG3487" s="10"/>
      <c r="AH3487" s="10"/>
      <c r="AI3487" s="10"/>
      <c r="AJ3487" s="10"/>
      <c r="AK3487" s="10" t="s">
        <v>102</v>
      </c>
      <c r="AL3487" s="10"/>
      <c r="AM3487" s="10"/>
      <c r="AN3487" s="10"/>
      <c r="AO3487" s="13" t="b">
        <v>0</v>
      </c>
      <c r="AP3487" s="22"/>
      <c r="AQ3487" s="10">
        <f ca="1">IFERROR(__xludf.DUMMYFUNCTION("""COMPUTED_VALUE"""),4832290)</f>
        <v>4832290</v>
      </c>
      <c r="AR3487" s="17">
        <v>7387</v>
      </c>
      <c r="AS3487" s="17">
        <v>5612</v>
      </c>
      <c r="AT3487" s="17">
        <v>72064.75</v>
      </c>
      <c r="AU3487" s="17">
        <v>14.05</v>
      </c>
      <c r="AV3487" s="17">
        <v>4.95</v>
      </c>
      <c r="AW3487" s="10" t="s">
        <v>105</v>
      </c>
      <c r="AX3487" s="17">
        <v>973</v>
      </c>
      <c r="AY3487" s="18">
        <v>12.841188524590164</v>
      </c>
      <c r="AZ3487" s="10" t="s">
        <v>6778</v>
      </c>
      <c r="BA3487" s="20" t="b">
        <v>0</v>
      </c>
      <c r="BB3487" s="10"/>
      <c r="BC3487" s="17">
        <v>7387</v>
      </c>
      <c r="BD3487" s="17">
        <v>5612</v>
      </c>
      <c r="BE3487" s="17">
        <v>72064.75</v>
      </c>
      <c r="BF3487" s="17">
        <v>4.95</v>
      </c>
      <c r="BG3487" s="11">
        <f ca="1">IFERROR(__xludf.DUMMYFUNCTION("""COMPUTED_VALUE"""),46032.7916666666)</f>
        <v>46032.791666666599</v>
      </c>
      <c r="BH3487" s="17" t="s">
        <v>105</v>
      </c>
      <c r="BI3487" s="17"/>
      <c r="BJ3487" s="15"/>
      <c r="BK3487" s="15"/>
      <c r="BL3487" s="13" t="b">
        <v>0</v>
      </c>
      <c r="BM3487" s="10"/>
      <c r="BN3487" s="10" t="s">
        <v>118</v>
      </c>
      <c r="BO3487" s="11">
        <v>46021.711805555555</v>
      </c>
      <c r="BP3487" s="11">
        <v>46021.712187500001</v>
      </c>
      <c r="BQ3487" s="15">
        <v>46028.574953703705</v>
      </c>
      <c r="BR3487" s="15">
        <v>46029.45511574074</v>
      </c>
      <c r="BS3487" s="10" t="s">
        <v>118</v>
      </c>
      <c r="BT3487" s="10"/>
      <c r="BU3487" s="10"/>
      <c r="BV3487" s="10"/>
      <c r="BW3487" s="10"/>
      <c r="BX3487" s="10"/>
      <c r="BY3487" s="23"/>
      <c r="BZ3487" s="23"/>
      <c r="CA3487" s="19" t="s">
        <v>24696</v>
      </c>
      <c r="CB3487" s="23"/>
      <c r="CC3487" s="23"/>
      <c r="CD3487" s="19" t="s">
        <v>24697</v>
      </c>
      <c r="CE3487" s="23"/>
      <c r="CF3487" s="23"/>
      <c r="CG3487" s="23"/>
      <c r="CH3487" s="23"/>
      <c r="CI3487" s="23"/>
    </row>
    <row r="3488" spans="1:87" x14ac:dyDescent="0.3">
      <c r="A3488" s="9" t="s">
        <v>24698</v>
      </c>
      <c r="B3488" s="10" t="s">
        <v>24699</v>
      </c>
      <c r="C3488" s="11">
        <v>46030.333333333336</v>
      </c>
      <c r="D3488" s="12">
        <v>0.54166666666666663</v>
      </c>
      <c r="E3488" s="11">
        <v>46030.875</v>
      </c>
      <c r="F3488" s="22" t="s">
        <v>24700</v>
      </c>
      <c r="G3488" s="13" t="b">
        <v>0</v>
      </c>
      <c r="H3488" s="22" t="s">
        <v>21384</v>
      </c>
      <c r="I3488" s="10" t="s">
        <v>9131</v>
      </c>
      <c r="J3488" s="13" t="b">
        <v>0</v>
      </c>
      <c r="K3488" s="13" t="b">
        <v>1</v>
      </c>
      <c r="L3488" s="10" t="s">
        <v>124</v>
      </c>
      <c r="M3488" s="10" t="s">
        <v>91</v>
      </c>
      <c r="N3488" s="10" t="s">
        <v>92</v>
      </c>
      <c r="O3488" s="19" t="s">
        <v>24701</v>
      </c>
      <c r="P3488" s="10"/>
      <c r="Q3488" s="10" t="s">
        <v>126</v>
      </c>
      <c r="R3488" s="10"/>
      <c r="S3488" s="19" t="s">
        <v>24702</v>
      </c>
      <c r="T3488" s="10"/>
      <c r="U3488" s="10"/>
      <c r="V3488" s="10"/>
      <c r="W3488" s="10" t="s">
        <v>24703</v>
      </c>
      <c r="X3488" s="10" t="s">
        <v>216</v>
      </c>
      <c r="Y3488" s="10" t="s">
        <v>216</v>
      </c>
      <c r="Z3488" s="10" t="s">
        <v>99</v>
      </c>
      <c r="AA3488" s="10" t="s">
        <v>131</v>
      </c>
      <c r="AB3488" s="10" t="s">
        <v>24704</v>
      </c>
      <c r="AC3488" s="10" t="s">
        <v>21389</v>
      </c>
      <c r="AD3488" s="10" t="s">
        <v>165</v>
      </c>
      <c r="AE3488" s="10" t="s">
        <v>24705</v>
      </c>
      <c r="AF3488" s="15"/>
      <c r="AG3488" s="10"/>
      <c r="AH3488" s="10"/>
      <c r="AI3488" s="10"/>
      <c r="AJ3488" s="10"/>
      <c r="AK3488" s="10" t="s">
        <v>102</v>
      </c>
      <c r="AL3488" s="10" t="s">
        <v>24528</v>
      </c>
      <c r="AM3488" s="10"/>
      <c r="AN3488" s="10"/>
      <c r="AO3488" s="13" t="b">
        <v>0</v>
      </c>
      <c r="AP3488" s="22"/>
      <c r="AQ3488" s="10">
        <f ca="1">IFERROR(__xludf.DUMMYFUNCTION("""COMPUTED_VALUE"""),18249)</f>
        <v>18249</v>
      </c>
      <c r="AR3488" s="17"/>
      <c r="AS3488" s="17"/>
      <c r="AT3488" s="17"/>
      <c r="AU3488" s="17"/>
      <c r="AV3488" s="17"/>
      <c r="AW3488" s="10"/>
      <c r="AX3488" s="17"/>
      <c r="AY3488" s="18" t="s">
        <v>257</v>
      </c>
      <c r="AZ3488" s="10" t="s">
        <v>136</v>
      </c>
      <c r="BA3488" s="20" t="b">
        <v>1</v>
      </c>
      <c r="BB3488" s="10"/>
      <c r="BC3488" s="17" t="s">
        <v>257</v>
      </c>
      <c r="BD3488" s="17" t="s">
        <v>257</v>
      </c>
      <c r="BE3488" s="17" t="s">
        <v>257</v>
      </c>
      <c r="BF3488" s="17" t="s">
        <v>257</v>
      </c>
      <c r="BG3488" s="11">
        <f ca="1">IFERROR(__xludf.DUMMYFUNCTION("""COMPUTED_VALUE"""),46030.3333333333)</f>
        <v>46030.333333333299</v>
      </c>
      <c r="BH3488" s="17" t="s">
        <v>105</v>
      </c>
      <c r="BI3488" s="17"/>
      <c r="BJ3488" s="15"/>
      <c r="BK3488" s="15"/>
      <c r="BL3488" s="13" t="b">
        <v>0</v>
      </c>
      <c r="BM3488" s="10"/>
      <c r="BN3488" s="10" t="s">
        <v>197</v>
      </c>
      <c r="BO3488" s="11">
        <v>46022.640972222223</v>
      </c>
      <c r="BP3488" s="11">
        <v>46029.811180555553</v>
      </c>
      <c r="BQ3488" s="15">
        <v>46029.867905092593</v>
      </c>
      <c r="BR3488" s="15">
        <v>46029.912997685184</v>
      </c>
      <c r="BS3488" s="10" t="s">
        <v>197</v>
      </c>
      <c r="BT3488" s="10" t="s">
        <v>99</v>
      </c>
      <c r="BU3488" s="10" t="s">
        <v>5046</v>
      </c>
      <c r="BV3488" s="10"/>
      <c r="BW3488" s="10"/>
      <c r="BX3488" s="10"/>
      <c r="BY3488" s="23"/>
      <c r="BZ3488" s="23"/>
      <c r="CA3488" s="19" t="s">
        <v>24706</v>
      </c>
      <c r="CB3488" s="23"/>
      <c r="CC3488" s="23"/>
      <c r="CD3488" s="19" t="s">
        <v>24707</v>
      </c>
      <c r="CE3488" s="23"/>
      <c r="CF3488" s="23"/>
      <c r="CG3488" s="23"/>
      <c r="CH3488" s="23"/>
      <c r="CI3488" s="23"/>
    </row>
    <row r="3489" spans="1:87" x14ac:dyDescent="0.3">
      <c r="A3489" s="9" t="s">
        <v>24708</v>
      </c>
      <c r="B3489" s="10" t="s">
        <v>24709</v>
      </c>
      <c r="C3489" s="11">
        <v>46030.75</v>
      </c>
      <c r="D3489" s="12">
        <v>0.125</v>
      </c>
      <c r="E3489" s="11">
        <v>46030.875</v>
      </c>
      <c r="F3489" s="22" t="s">
        <v>24700</v>
      </c>
      <c r="G3489" s="13" t="b">
        <v>0</v>
      </c>
      <c r="H3489" s="22" t="s">
        <v>21384</v>
      </c>
      <c r="I3489" s="10" t="s">
        <v>9131</v>
      </c>
      <c r="J3489" s="13" t="b">
        <v>0</v>
      </c>
      <c r="K3489" s="13" t="b">
        <v>1</v>
      </c>
      <c r="L3489" s="10" t="s">
        <v>124</v>
      </c>
      <c r="M3489" s="10" t="s">
        <v>91</v>
      </c>
      <c r="N3489" s="10" t="s">
        <v>92</v>
      </c>
      <c r="O3489" s="10"/>
      <c r="P3489" s="10"/>
      <c r="Q3489" s="10" t="s">
        <v>94</v>
      </c>
      <c r="R3489" s="10"/>
      <c r="S3489" s="10"/>
      <c r="T3489" s="10"/>
      <c r="U3489" s="10"/>
      <c r="V3489" s="10"/>
      <c r="W3489" s="10" t="s">
        <v>24703</v>
      </c>
      <c r="X3489" s="10" t="s">
        <v>216</v>
      </c>
      <c r="Y3489" s="10" t="s">
        <v>216</v>
      </c>
      <c r="Z3489" s="10" t="s">
        <v>99</v>
      </c>
      <c r="AA3489" s="10" t="s">
        <v>131</v>
      </c>
      <c r="AB3489" s="10" t="s">
        <v>24704</v>
      </c>
      <c r="AC3489" s="10" t="s">
        <v>21389</v>
      </c>
      <c r="AD3489" s="10" t="s">
        <v>165</v>
      </c>
      <c r="AE3489" s="10" t="s">
        <v>24710</v>
      </c>
      <c r="AF3489" s="15"/>
      <c r="AG3489" s="10"/>
      <c r="AH3489" s="10"/>
      <c r="AI3489" s="10"/>
      <c r="AJ3489" s="10"/>
      <c r="AK3489" s="10" t="s">
        <v>256</v>
      </c>
      <c r="AL3489" s="10"/>
      <c r="AM3489" s="10"/>
      <c r="AN3489" s="10"/>
      <c r="AO3489" s="13" t="b">
        <v>0</v>
      </c>
      <c r="AP3489" s="22"/>
      <c r="AQ3489" s="10"/>
      <c r="AR3489" s="17"/>
      <c r="AS3489" s="17"/>
      <c r="AT3489" s="17"/>
      <c r="AU3489" s="17"/>
      <c r="AV3489" s="17"/>
      <c r="AW3489" s="10"/>
      <c r="AX3489" s="17"/>
      <c r="AY3489" s="18" t="s">
        <v>257</v>
      </c>
      <c r="AZ3489" s="10"/>
      <c r="BA3489" s="20" t="b">
        <v>1</v>
      </c>
      <c r="BB3489" s="10"/>
      <c r="BC3489" s="17" t="s">
        <v>257</v>
      </c>
      <c r="BD3489" s="17" t="s">
        <v>257</v>
      </c>
      <c r="BE3489" s="17" t="s">
        <v>257</v>
      </c>
      <c r="BF3489" s="17" t="s">
        <v>257</v>
      </c>
      <c r="BG3489" s="11">
        <f ca="1">IFERROR(__xludf.DUMMYFUNCTION("""COMPUTED_VALUE"""),46030.75)</f>
        <v>46030.75</v>
      </c>
      <c r="BH3489" s="17" t="s">
        <v>105</v>
      </c>
      <c r="BI3489" s="17"/>
      <c r="BJ3489" s="15"/>
      <c r="BK3489" s="15"/>
      <c r="BL3489" s="13" t="b">
        <v>0</v>
      </c>
      <c r="BM3489" s="10"/>
      <c r="BN3489" s="10" t="s">
        <v>5685</v>
      </c>
      <c r="BO3489" s="11">
        <v>46022.645138888889</v>
      </c>
      <c r="BP3489" s="11">
        <v>46022.645451388889</v>
      </c>
      <c r="BQ3489" s="15"/>
      <c r="BR3489" s="15"/>
      <c r="BS3489" s="10"/>
      <c r="BT3489" s="10"/>
      <c r="BU3489" s="10"/>
      <c r="BV3489" s="10"/>
      <c r="BW3489" s="10"/>
      <c r="BX3489" s="10"/>
      <c r="BY3489" s="23"/>
      <c r="BZ3489" s="23"/>
      <c r="CA3489" s="10"/>
      <c r="CB3489" s="23"/>
      <c r="CC3489" s="23"/>
      <c r="CD3489" s="23"/>
      <c r="CE3489" s="23"/>
      <c r="CF3489" s="23"/>
      <c r="CG3489" s="23"/>
      <c r="CH3489" s="23"/>
      <c r="CI3489" s="23"/>
    </row>
    <row r="3490" spans="1:87" x14ac:dyDescent="0.3">
      <c r="A3490" s="9" t="s">
        <v>24711</v>
      </c>
      <c r="B3490" s="10" t="s">
        <v>24712</v>
      </c>
      <c r="C3490" s="11">
        <v>46030.333333333336</v>
      </c>
      <c r="D3490" s="12">
        <v>0.54166666666666663</v>
      </c>
      <c r="E3490" s="11">
        <v>46030.875</v>
      </c>
      <c r="F3490" s="22" t="s">
        <v>24700</v>
      </c>
      <c r="G3490" s="13" t="b">
        <v>0</v>
      </c>
      <c r="H3490" s="22" t="s">
        <v>21384</v>
      </c>
      <c r="I3490" s="10" t="s">
        <v>9131</v>
      </c>
      <c r="J3490" s="13" t="b">
        <v>0</v>
      </c>
      <c r="K3490" s="13" t="b">
        <v>1</v>
      </c>
      <c r="L3490" s="10" t="s">
        <v>124</v>
      </c>
      <c r="M3490" s="10" t="s">
        <v>91</v>
      </c>
      <c r="N3490" s="10" t="s">
        <v>92</v>
      </c>
      <c r="O3490" s="19" t="s">
        <v>24713</v>
      </c>
      <c r="P3490" s="10"/>
      <c r="Q3490" s="10" t="s">
        <v>126</v>
      </c>
      <c r="R3490" s="10"/>
      <c r="S3490" s="19" t="s">
        <v>24714</v>
      </c>
      <c r="T3490" s="10"/>
      <c r="U3490" s="10"/>
      <c r="V3490" s="10"/>
      <c r="W3490" s="10" t="s">
        <v>24703</v>
      </c>
      <c r="X3490" s="10" t="s">
        <v>216</v>
      </c>
      <c r="Y3490" s="10" t="s">
        <v>216</v>
      </c>
      <c r="Z3490" s="10" t="s">
        <v>99</v>
      </c>
      <c r="AA3490" s="10" t="s">
        <v>131</v>
      </c>
      <c r="AB3490" s="10" t="s">
        <v>24704</v>
      </c>
      <c r="AC3490" s="10" t="s">
        <v>21389</v>
      </c>
      <c r="AD3490" s="10" t="s">
        <v>165</v>
      </c>
      <c r="AE3490" s="10" t="s">
        <v>24715</v>
      </c>
      <c r="AF3490" s="15"/>
      <c r="AG3490" s="10"/>
      <c r="AH3490" s="10"/>
      <c r="AI3490" s="10"/>
      <c r="AJ3490" s="10"/>
      <c r="AK3490" s="10" t="s">
        <v>102</v>
      </c>
      <c r="AL3490" s="10" t="s">
        <v>24528</v>
      </c>
      <c r="AM3490" s="10"/>
      <c r="AN3490" s="10"/>
      <c r="AO3490" s="13" t="b">
        <v>0</v>
      </c>
      <c r="AP3490" s="22"/>
      <c r="AQ3490" s="10">
        <f ca="1">IFERROR(__xludf.DUMMYFUNCTION("""COMPUTED_VALUE"""),18250)</f>
        <v>18250</v>
      </c>
      <c r="AR3490" s="17"/>
      <c r="AS3490" s="17"/>
      <c r="AT3490" s="17"/>
      <c r="AU3490" s="17"/>
      <c r="AV3490" s="17"/>
      <c r="AW3490" s="10"/>
      <c r="AX3490" s="17"/>
      <c r="AY3490" s="18" t="s">
        <v>257</v>
      </c>
      <c r="AZ3490" s="10" t="s">
        <v>136</v>
      </c>
      <c r="BA3490" s="20" t="b">
        <v>1</v>
      </c>
      <c r="BB3490" s="10"/>
      <c r="BC3490" s="17" t="s">
        <v>257</v>
      </c>
      <c r="BD3490" s="17" t="s">
        <v>257</v>
      </c>
      <c r="BE3490" s="17" t="s">
        <v>257</v>
      </c>
      <c r="BF3490" s="17" t="s">
        <v>257</v>
      </c>
      <c r="BG3490" s="11">
        <f ca="1">IFERROR(__xludf.DUMMYFUNCTION("""COMPUTED_VALUE"""),46030.3333333333)</f>
        <v>46030.333333333299</v>
      </c>
      <c r="BH3490" s="17" t="s">
        <v>105</v>
      </c>
      <c r="BI3490" s="17"/>
      <c r="BJ3490" s="15"/>
      <c r="BK3490" s="15"/>
      <c r="BL3490" s="13" t="b">
        <v>0</v>
      </c>
      <c r="BM3490" s="10"/>
      <c r="BN3490" s="10" t="s">
        <v>197</v>
      </c>
      <c r="BO3490" s="11">
        <v>46022.646527777775</v>
      </c>
      <c r="BP3490" s="11">
        <v>46029.811828703707</v>
      </c>
      <c r="BQ3490" s="15">
        <v>46029.868437500001</v>
      </c>
      <c r="BR3490" s="15">
        <v>46029.913518518515</v>
      </c>
      <c r="BS3490" s="10" t="s">
        <v>197</v>
      </c>
      <c r="BT3490" s="10" t="s">
        <v>99</v>
      </c>
      <c r="BU3490" s="10" t="s">
        <v>931</v>
      </c>
      <c r="BV3490" s="10"/>
      <c r="BW3490" s="10"/>
      <c r="BX3490" s="10"/>
      <c r="BY3490" s="23"/>
      <c r="BZ3490" s="23"/>
      <c r="CA3490" s="19" t="s">
        <v>24716</v>
      </c>
      <c r="CB3490" s="23"/>
      <c r="CC3490" s="23"/>
      <c r="CD3490" s="19" t="s">
        <v>24717</v>
      </c>
      <c r="CE3490" s="23"/>
      <c r="CF3490" s="23"/>
      <c r="CG3490" s="23"/>
      <c r="CH3490" s="23"/>
      <c r="CI3490" s="23"/>
    </row>
    <row r="3491" spans="1:87" x14ac:dyDescent="0.3">
      <c r="A3491" s="9" t="s">
        <v>24718</v>
      </c>
      <c r="B3491" s="10" t="s">
        <v>24719</v>
      </c>
      <c r="C3491" s="11">
        <v>46030.666666666664</v>
      </c>
      <c r="D3491" s="12">
        <v>0.20833333333333334</v>
      </c>
      <c r="E3491" s="11">
        <v>46030.875</v>
      </c>
      <c r="F3491" s="22" t="s">
        <v>24700</v>
      </c>
      <c r="G3491" s="13" t="b">
        <v>0</v>
      </c>
      <c r="H3491" s="22" t="s">
        <v>21384</v>
      </c>
      <c r="I3491" s="10" t="s">
        <v>9131</v>
      </c>
      <c r="J3491" s="13" t="b">
        <v>0</v>
      </c>
      <c r="K3491" s="13" t="b">
        <v>1</v>
      </c>
      <c r="L3491" s="10" t="s">
        <v>124</v>
      </c>
      <c r="M3491" s="10" t="s">
        <v>91</v>
      </c>
      <c r="N3491" s="10" t="s">
        <v>92</v>
      </c>
      <c r="O3491" s="10"/>
      <c r="P3491" s="10"/>
      <c r="Q3491" s="10" t="s">
        <v>94</v>
      </c>
      <c r="R3491" s="10"/>
      <c r="S3491" s="10"/>
      <c r="T3491" s="10"/>
      <c r="U3491" s="10"/>
      <c r="V3491" s="10"/>
      <c r="W3491" s="10" t="s">
        <v>24703</v>
      </c>
      <c r="X3491" s="10" t="s">
        <v>216</v>
      </c>
      <c r="Y3491" s="10" t="s">
        <v>216</v>
      </c>
      <c r="Z3491" s="10" t="s">
        <v>99</v>
      </c>
      <c r="AA3491" s="10" t="s">
        <v>131</v>
      </c>
      <c r="AB3491" s="10" t="s">
        <v>24704</v>
      </c>
      <c r="AC3491" s="10" t="s">
        <v>21389</v>
      </c>
      <c r="AD3491" s="10" t="s">
        <v>165</v>
      </c>
      <c r="AE3491" s="10" t="s">
        <v>24720</v>
      </c>
      <c r="AF3491" s="15"/>
      <c r="AG3491" s="10"/>
      <c r="AH3491" s="10"/>
      <c r="AI3491" s="10"/>
      <c r="AJ3491" s="10"/>
      <c r="AK3491" s="10" t="s">
        <v>256</v>
      </c>
      <c r="AL3491" s="10"/>
      <c r="AM3491" s="10"/>
      <c r="AN3491" s="10"/>
      <c r="AO3491" s="13" t="b">
        <v>0</v>
      </c>
      <c r="AP3491" s="22"/>
      <c r="AQ3491" s="10"/>
      <c r="AR3491" s="17"/>
      <c r="AS3491" s="17"/>
      <c r="AT3491" s="17"/>
      <c r="AU3491" s="17"/>
      <c r="AV3491" s="17"/>
      <c r="AW3491" s="10"/>
      <c r="AX3491" s="17"/>
      <c r="AY3491" s="18" t="s">
        <v>257</v>
      </c>
      <c r="AZ3491" s="10"/>
      <c r="BA3491" s="20" t="b">
        <v>1</v>
      </c>
      <c r="BB3491" s="10"/>
      <c r="BC3491" s="17" t="s">
        <v>257</v>
      </c>
      <c r="BD3491" s="17" t="s">
        <v>257</v>
      </c>
      <c r="BE3491" s="17" t="s">
        <v>257</v>
      </c>
      <c r="BF3491" s="17" t="s">
        <v>257</v>
      </c>
      <c r="BG3491" s="11">
        <f ca="1">IFERROR(__xludf.DUMMYFUNCTION("""COMPUTED_VALUE"""),46030.6666666666)</f>
        <v>46030.666666666599</v>
      </c>
      <c r="BH3491" s="17" t="s">
        <v>105</v>
      </c>
      <c r="BI3491" s="17"/>
      <c r="BJ3491" s="15"/>
      <c r="BK3491" s="15"/>
      <c r="BL3491" s="13" t="b">
        <v>0</v>
      </c>
      <c r="BM3491" s="10"/>
      <c r="BN3491" s="10" t="s">
        <v>5685</v>
      </c>
      <c r="BO3491" s="11">
        <v>46022.647916666669</v>
      </c>
      <c r="BP3491" s="11">
        <v>46022.647962962961</v>
      </c>
      <c r="BQ3491" s="15"/>
      <c r="BR3491" s="15"/>
      <c r="BS3491" s="10"/>
      <c r="BT3491" s="10"/>
      <c r="BU3491" s="10"/>
      <c r="BV3491" s="10"/>
      <c r="BW3491" s="10"/>
      <c r="BX3491" s="10"/>
      <c r="BY3491" s="23"/>
      <c r="BZ3491" s="23"/>
      <c r="CA3491" s="10"/>
      <c r="CB3491" s="23"/>
      <c r="CC3491" s="23"/>
      <c r="CD3491" s="23"/>
      <c r="CE3491" s="23"/>
      <c r="CF3491" s="23"/>
      <c r="CG3491" s="23"/>
      <c r="CH3491" s="23"/>
      <c r="CI3491" s="23"/>
    </row>
    <row r="3492" spans="1:87" x14ac:dyDescent="0.3">
      <c r="A3492" s="9" t="s">
        <v>24721</v>
      </c>
      <c r="B3492" s="10" t="s">
        <v>24722</v>
      </c>
      <c r="C3492" s="11">
        <v>46030.340277777781</v>
      </c>
      <c r="D3492" s="12">
        <v>0.58333333333333337</v>
      </c>
      <c r="E3492" s="11">
        <v>46030.923611111109</v>
      </c>
      <c r="F3492" s="22" t="s">
        <v>24700</v>
      </c>
      <c r="G3492" s="13" t="b">
        <v>0</v>
      </c>
      <c r="H3492" s="22" t="s">
        <v>21384</v>
      </c>
      <c r="I3492" s="10" t="s">
        <v>9131</v>
      </c>
      <c r="J3492" s="13" t="b">
        <v>0</v>
      </c>
      <c r="K3492" s="13" t="b">
        <v>1</v>
      </c>
      <c r="L3492" s="10" t="s">
        <v>124</v>
      </c>
      <c r="M3492" s="10" t="s">
        <v>91</v>
      </c>
      <c r="N3492" s="10" t="s">
        <v>92</v>
      </c>
      <c r="O3492" s="19" t="s">
        <v>24723</v>
      </c>
      <c r="P3492" s="10"/>
      <c r="Q3492" s="10" t="s">
        <v>94</v>
      </c>
      <c r="R3492" s="10"/>
      <c r="S3492" s="19" t="s">
        <v>24724</v>
      </c>
      <c r="T3492" s="10"/>
      <c r="U3492" s="10"/>
      <c r="V3492" s="10"/>
      <c r="W3492" s="10" t="s">
        <v>24703</v>
      </c>
      <c r="X3492" s="10" t="s">
        <v>216</v>
      </c>
      <c r="Y3492" s="10" t="s">
        <v>216</v>
      </c>
      <c r="Z3492" s="10" t="s">
        <v>99</v>
      </c>
      <c r="AA3492" s="10" t="s">
        <v>131</v>
      </c>
      <c r="AB3492" s="10" t="s">
        <v>24704</v>
      </c>
      <c r="AC3492" s="10" t="s">
        <v>21389</v>
      </c>
      <c r="AD3492" s="10" t="s">
        <v>165</v>
      </c>
      <c r="AE3492" s="10" t="s">
        <v>24725</v>
      </c>
      <c r="AF3492" s="15"/>
      <c r="AG3492" s="10"/>
      <c r="AH3492" s="10"/>
      <c r="AI3492" s="10"/>
      <c r="AJ3492" s="10"/>
      <c r="AK3492" s="10" t="s">
        <v>102</v>
      </c>
      <c r="AL3492" s="10" t="s">
        <v>24528</v>
      </c>
      <c r="AM3492" s="10"/>
      <c r="AN3492" s="10"/>
      <c r="AO3492" s="13" t="b">
        <v>0</v>
      </c>
      <c r="AP3492" s="22"/>
      <c r="AQ3492" s="10">
        <f ca="1">IFERROR(__xludf.DUMMYFUNCTION("""COMPUTED_VALUE"""),18252)</f>
        <v>18252</v>
      </c>
      <c r="AR3492" s="17"/>
      <c r="AS3492" s="17"/>
      <c r="AT3492" s="17"/>
      <c r="AU3492" s="17"/>
      <c r="AV3492" s="17"/>
      <c r="AW3492" s="10"/>
      <c r="AX3492" s="17"/>
      <c r="AY3492" s="18" t="s">
        <v>257</v>
      </c>
      <c r="AZ3492" s="10" t="s">
        <v>136</v>
      </c>
      <c r="BA3492" s="20" t="b">
        <v>1</v>
      </c>
      <c r="BB3492" s="10"/>
      <c r="BC3492" s="17" t="s">
        <v>257</v>
      </c>
      <c r="BD3492" s="17" t="s">
        <v>257</v>
      </c>
      <c r="BE3492" s="17" t="s">
        <v>257</v>
      </c>
      <c r="BF3492" s="17" t="s">
        <v>257</v>
      </c>
      <c r="BG3492" s="11">
        <f ca="1">IFERROR(__xludf.DUMMYFUNCTION("""COMPUTED_VALUE"""),46030.3402777777)</f>
        <v>46030.340277777701</v>
      </c>
      <c r="BH3492" s="17" t="s">
        <v>105</v>
      </c>
      <c r="BI3492" s="17"/>
      <c r="BJ3492" s="15"/>
      <c r="BK3492" s="15"/>
      <c r="BL3492" s="13" t="b">
        <v>0</v>
      </c>
      <c r="BM3492" s="10"/>
      <c r="BN3492" s="10" t="s">
        <v>1149</v>
      </c>
      <c r="BO3492" s="11">
        <v>46022.648611111108</v>
      </c>
      <c r="BP3492" s="11">
        <v>46029.811921296299</v>
      </c>
      <c r="BQ3492" s="15">
        <v>46029.869131944448</v>
      </c>
      <c r="BR3492" s="15">
        <v>46029.922013888892</v>
      </c>
      <c r="BS3492" s="10" t="s">
        <v>1149</v>
      </c>
      <c r="BT3492" s="10"/>
      <c r="BU3492" s="10"/>
      <c r="BV3492" s="10"/>
      <c r="BW3492" s="10"/>
      <c r="BX3492" s="10"/>
      <c r="BY3492" s="23"/>
      <c r="BZ3492" s="23"/>
      <c r="CA3492" s="19" t="s">
        <v>24726</v>
      </c>
      <c r="CB3492" s="23"/>
      <c r="CC3492" s="23"/>
      <c r="CD3492" s="23"/>
      <c r="CE3492" s="23"/>
      <c r="CF3492" s="23"/>
      <c r="CG3492" s="23"/>
      <c r="CH3492" s="23"/>
      <c r="CI3492" s="23"/>
    </row>
    <row r="3493" spans="1:87" x14ac:dyDescent="0.3">
      <c r="A3493" s="9" t="s">
        <v>24727</v>
      </c>
      <c r="B3493" s="10" t="s">
        <v>24728</v>
      </c>
      <c r="C3493" s="11">
        <v>46031.333333333336</v>
      </c>
      <c r="D3493" s="12">
        <v>0.5</v>
      </c>
      <c r="E3493" s="11">
        <v>46031.833333333336</v>
      </c>
      <c r="F3493" s="22" t="s">
        <v>24700</v>
      </c>
      <c r="G3493" s="13" t="b">
        <v>0</v>
      </c>
      <c r="H3493" s="22" t="s">
        <v>21384</v>
      </c>
      <c r="I3493" s="10" t="s">
        <v>9131</v>
      </c>
      <c r="J3493" s="13" t="b">
        <v>0</v>
      </c>
      <c r="K3493" s="13" t="b">
        <v>1</v>
      </c>
      <c r="L3493" s="10" t="s">
        <v>358</v>
      </c>
      <c r="M3493" s="10" t="s">
        <v>91</v>
      </c>
      <c r="N3493" s="10" t="s">
        <v>92</v>
      </c>
      <c r="O3493" s="19" t="s">
        <v>24701</v>
      </c>
      <c r="P3493" s="10"/>
      <c r="Q3493" s="10" t="s">
        <v>126</v>
      </c>
      <c r="R3493" s="10"/>
      <c r="S3493" s="19" t="s">
        <v>24729</v>
      </c>
      <c r="T3493" s="10"/>
      <c r="U3493" s="10"/>
      <c r="V3493" s="10"/>
      <c r="W3493" s="10" t="s">
        <v>24703</v>
      </c>
      <c r="X3493" s="10" t="s">
        <v>216</v>
      </c>
      <c r="Y3493" s="10" t="s">
        <v>216</v>
      </c>
      <c r="Z3493" s="10" t="s">
        <v>99</v>
      </c>
      <c r="AA3493" s="10" t="s">
        <v>131</v>
      </c>
      <c r="AB3493" s="10" t="s">
        <v>24704</v>
      </c>
      <c r="AC3493" s="10" t="s">
        <v>21389</v>
      </c>
      <c r="AD3493" s="10" t="s">
        <v>165</v>
      </c>
      <c r="AE3493" s="10" t="s">
        <v>24730</v>
      </c>
      <c r="AF3493" s="15"/>
      <c r="AG3493" s="10"/>
      <c r="AH3493" s="10"/>
      <c r="AI3493" s="10"/>
      <c r="AJ3493" s="10"/>
      <c r="AK3493" s="10" t="s">
        <v>102</v>
      </c>
      <c r="AL3493" s="10" t="s">
        <v>19004</v>
      </c>
      <c r="AM3493" s="10"/>
      <c r="AN3493" s="10"/>
      <c r="AO3493" s="13" t="b">
        <v>0</v>
      </c>
      <c r="AP3493" s="22"/>
      <c r="AQ3493" s="10">
        <f ca="1">IFERROR(__xludf.DUMMYFUNCTION("""COMPUTED_VALUE"""),18249)</f>
        <v>18249</v>
      </c>
      <c r="AR3493" s="17"/>
      <c r="AS3493" s="17"/>
      <c r="AT3493" s="17"/>
      <c r="AU3493" s="17"/>
      <c r="AV3493" s="17"/>
      <c r="AW3493" s="10"/>
      <c r="AX3493" s="17"/>
      <c r="AY3493" s="18" t="s">
        <v>257</v>
      </c>
      <c r="AZ3493" s="10" t="s">
        <v>136</v>
      </c>
      <c r="BA3493" s="20" t="b">
        <v>1</v>
      </c>
      <c r="BB3493" s="10"/>
      <c r="BC3493" s="17" t="s">
        <v>257</v>
      </c>
      <c r="BD3493" s="17" t="s">
        <v>257</v>
      </c>
      <c r="BE3493" s="17" t="s">
        <v>257</v>
      </c>
      <c r="BF3493" s="17" t="s">
        <v>257</v>
      </c>
      <c r="BG3493" s="11">
        <f ca="1">IFERROR(__xludf.DUMMYFUNCTION("""COMPUTED_VALUE"""),46031.3333333333)</f>
        <v>46031.333333333299</v>
      </c>
      <c r="BH3493" s="17" t="s">
        <v>105</v>
      </c>
      <c r="BI3493" s="17"/>
      <c r="BJ3493" s="15"/>
      <c r="BK3493" s="15"/>
      <c r="BL3493" s="13" t="b">
        <v>0</v>
      </c>
      <c r="BM3493" s="10"/>
      <c r="BN3493" s="10" t="s">
        <v>667</v>
      </c>
      <c r="BO3493" s="11">
        <v>46022.65</v>
      </c>
      <c r="BP3493" s="11">
        <v>46022.65053240741</v>
      </c>
      <c r="BQ3493" s="15">
        <v>46030.578344907408</v>
      </c>
      <c r="BR3493" s="15">
        <v>46030.855416666665</v>
      </c>
      <c r="BS3493" s="10" t="s">
        <v>667</v>
      </c>
      <c r="BT3493" s="10" t="s">
        <v>99</v>
      </c>
      <c r="BU3493" s="10" t="s">
        <v>498</v>
      </c>
      <c r="BV3493" s="10" t="s">
        <v>124</v>
      </c>
      <c r="BW3493" s="10" t="s">
        <v>24731</v>
      </c>
      <c r="BX3493" s="10"/>
      <c r="BY3493" s="23"/>
      <c r="BZ3493" s="23"/>
      <c r="CA3493" s="19" t="s">
        <v>24732</v>
      </c>
      <c r="CB3493" s="23"/>
      <c r="CC3493" s="23"/>
      <c r="CD3493" s="19" t="s">
        <v>24733</v>
      </c>
      <c r="CE3493" s="23"/>
      <c r="CF3493" s="23"/>
      <c r="CG3493" s="23"/>
      <c r="CH3493" s="23"/>
      <c r="CI3493" s="23"/>
    </row>
    <row r="3494" spans="1:87" x14ac:dyDescent="0.3">
      <c r="A3494" s="9" t="s">
        <v>24734</v>
      </c>
      <c r="B3494" s="10" t="s">
        <v>24735</v>
      </c>
      <c r="C3494" s="11">
        <v>46031.333333333336</v>
      </c>
      <c r="D3494" s="12">
        <v>0.41666666666666669</v>
      </c>
      <c r="E3494" s="11">
        <v>46031.75</v>
      </c>
      <c r="F3494" s="22" t="s">
        <v>24700</v>
      </c>
      <c r="G3494" s="13" t="b">
        <v>0</v>
      </c>
      <c r="H3494" s="22" t="s">
        <v>21384</v>
      </c>
      <c r="I3494" s="10" t="s">
        <v>9131</v>
      </c>
      <c r="J3494" s="13" t="b">
        <v>0</v>
      </c>
      <c r="K3494" s="13" t="b">
        <v>1</v>
      </c>
      <c r="L3494" s="10" t="s">
        <v>358</v>
      </c>
      <c r="M3494" s="10" t="s">
        <v>91</v>
      </c>
      <c r="N3494" s="10" t="s">
        <v>92</v>
      </c>
      <c r="O3494" s="19" t="s">
        <v>24713</v>
      </c>
      <c r="P3494" s="10"/>
      <c r="Q3494" s="10" t="s">
        <v>126</v>
      </c>
      <c r="R3494" s="10"/>
      <c r="S3494" s="19" t="s">
        <v>24736</v>
      </c>
      <c r="T3494" s="10"/>
      <c r="U3494" s="10"/>
      <c r="V3494" s="10"/>
      <c r="W3494" s="10" t="s">
        <v>24703</v>
      </c>
      <c r="X3494" s="10" t="s">
        <v>216</v>
      </c>
      <c r="Y3494" s="10" t="s">
        <v>216</v>
      </c>
      <c r="Z3494" s="10" t="s">
        <v>99</v>
      </c>
      <c r="AA3494" s="10" t="s">
        <v>131</v>
      </c>
      <c r="AB3494" s="10" t="s">
        <v>24704</v>
      </c>
      <c r="AC3494" s="10" t="s">
        <v>21389</v>
      </c>
      <c r="AD3494" s="10" t="s">
        <v>165</v>
      </c>
      <c r="AE3494" s="10" t="s">
        <v>24737</v>
      </c>
      <c r="AF3494" s="15"/>
      <c r="AG3494" s="10"/>
      <c r="AH3494" s="10"/>
      <c r="AI3494" s="10"/>
      <c r="AJ3494" s="10"/>
      <c r="AK3494" s="10" t="s">
        <v>102</v>
      </c>
      <c r="AL3494" s="10" t="s">
        <v>19004</v>
      </c>
      <c r="AM3494" s="10"/>
      <c r="AN3494" s="10"/>
      <c r="AO3494" s="13" t="b">
        <v>0</v>
      </c>
      <c r="AP3494" s="22"/>
      <c r="AQ3494" s="10">
        <f ca="1">IFERROR(__xludf.DUMMYFUNCTION("""COMPUTED_VALUE"""),18250)</f>
        <v>18250</v>
      </c>
      <c r="AR3494" s="17"/>
      <c r="AS3494" s="17"/>
      <c r="AT3494" s="17"/>
      <c r="AU3494" s="17"/>
      <c r="AV3494" s="17"/>
      <c r="AW3494" s="10"/>
      <c r="AX3494" s="17"/>
      <c r="AY3494" s="18" t="s">
        <v>257</v>
      </c>
      <c r="AZ3494" s="10" t="s">
        <v>136</v>
      </c>
      <c r="BA3494" s="20" t="b">
        <v>1</v>
      </c>
      <c r="BB3494" s="10"/>
      <c r="BC3494" s="17" t="s">
        <v>257</v>
      </c>
      <c r="BD3494" s="17" t="s">
        <v>257</v>
      </c>
      <c r="BE3494" s="17" t="s">
        <v>257</v>
      </c>
      <c r="BF3494" s="17" t="s">
        <v>257</v>
      </c>
      <c r="BG3494" s="11">
        <f ca="1">IFERROR(__xludf.DUMMYFUNCTION("""COMPUTED_VALUE"""),46031.3333333333)</f>
        <v>46031.333333333299</v>
      </c>
      <c r="BH3494" s="17" t="s">
        <v>105</v>
      </c>
      <c r="BI3494" s="17"/>
      <c r="BJ3494" s="15"/>
      <c r="BK3494" s="15"/>
      <c r="BL3494" s="13" t="b">
        <v>0</v>
      </c>
      <c r="BM3494" s="10"/>
      <c r="BN3494" s="10" t="s">
        <v>667</v>
      </c>
      <c r="BO3494" s="11">
        <v>46022.651388888888</v>
      </c>
      <c r="BP3494" s="11">
        <v>46022.651817129627</v>
      </c>
      <c r="BQ3494" s="15">
        <v>46030.578483796293</v>
      </c>
      <c r="BR3494" s="15">
        <v>46031.014687499999</v>
      </c>
      <c r="BS3494" s="10" t="s">
        <v>667</v>
      </c>
      <c r="BT3494" s="10" t="s">
        <v>99</v>
      </c>
      <c r="BU3494" s="10" t="s">
        <v>816</v>
      </c>
      <c r="BV3494" s="10"/>
      <c r="BW3494" s="10"/>
      <c r="BX3494" s="10"/>
      <c r="BY3494" s="23"/>
      <c r="BZ3494" s="23"/>
      <c r="CA3494" s="19" t="s">
        <v>24738</v>
      </c>
      <c r="CB3494" s="23"/>
      <c r="CC3494" s="23"/>
      <c r="CD3494" s="19" t="s">
        <v>24739</v>
      </c>
      <c r="CE3494" s="23"/>
      <c r="CF3494" s="23"/>
      <c r="CG3494" s="23"/>
      <c r="CH3494" s="23"/>
      <c r="CI3494" s="23"/>
    </row>
    <row r="3495" spans="1:87" x14ac:dyDescent="0.3">
      <c r="A3495" s="9" t="s">
        <v>24740</v>
      </c>
      <c r="B3495" s="10" t="s">
        <v>24741</v>
      </c>
      <c r="C3495" s="11">
        <v>46031.666666666664</v>
      </c>
      <c r="D3495" s="12">
        <v>8.3333333333333329E-2</v>
      </c>
      <c r="E3495" s="11">
        <v>46031.75</v>
      </c>
      <c r="F3495" s="22" t="s">
        <v>24700</v>
      </c>
      <c r="G3495" s="13" t="b">
        <v>0</v>
      </c>
      <c r="H3495" s="22" t="s">
        <v>21384</v>
      </c>
      <c r="I3495" s="10" t="s">
        <v>9131</v>
      </c>
      <c r="J3495" s="13" t="b">
        <v>0</v>
      </c>
      <c r="K3495" s="13" t="b">
        <v>1</v>
      </c>
      <c r="L3495" s="10" t="s">
        <v>358</v>
      </c>
      <c r="M3495" s="10" t="s">
        <v>91</v>
      </c>
      <c r="N3495" s="10" t="s">
        <v>92</v>
      </c>
      <c r="O3495" s="19" t="s">
        <v>24723</v>
      </c>
      <c r="P3495" s="10"/>
      <c r="Q3495" s="10" t="s">
        <v>94</v>
      </c>
      <c r="R3495" s="10"/>
      <c r="S3495" s="19" t="s">
        <v>24742</v>
      </c>
      <c r="T3495" s="10"/>
      <c r="U3495" s="10"/>
      <c r="V3495" s="10"/>
      <c r="W3495" s="10" t="s">
        <v>24703</v>
      </c>
      <c r="X3495" s="10" t="s">
        <v>216</v>
      </c>
      <c r="Y3495" s="10" t="s">
        <v>216</v>
      </c>
      <c r="Z3495" s="10" t="s">
        <v>99</v>
      </c>
      <c r="AA3495" s="10" t="s">
        <v>131</v>
      </c>
      <c r="AB3495" s="10" t="s">
        <v>24704</v>
      </c>
      <c r="AC3495" s="10" t="s">
        <v>21389</v>
      </c>
      <c r="AD3495" s="10" t="s">
        <v>165</v>
      </c>
      <c r="AE3495" s="10" t="s">
        <v>24743</v>
      </c>
      <c r="AF3495" s="15"/>
      <c r="AG3495" s="10"/>
      <c r="AH3495" s="10"/>
      <c r="AI3495" s="10"/>
      <c r="AJ3495" s="10"/>
      <c r="AK3495" s="10" t="s">
        <v>102</v>
      </c>
      <c r="AL3495" s="10" t="s">
        <v>19004</v>
      </c>
      <c r="AM3495" s="10"/>
      <c r="AN3495" s="10"/>
      <c r="AO3495" s="13" t="b">
        <v>0</v>
      </c>
      <c r="AP3495" s="22"/>
      <c r="AQ3495" s="10">
        <f ca="1">IFERROR(__xludf.DUMMYFUNCTION("""COMPUTED_VALUE"""),18252)</f>
        <v>18252</v>
      </c>
      <c r="AR3495" s="17"/>
      <c r="AS3495" s="17"/>
      <c r="AT3495" s="17"/>
      <c r="AU3495" s="17"/>
      <c r="AV3495" s="17"/>
      <c r="AW3495" s="10"/>
      <c r="AX3495" s="17"/>
      <c r="AY3495" s="18" t="s">
        <v>257</v>
      </c>
      <c r="AZ3495" s="10" t="s">
        <v>136</v>
      </c>
      <c r="BA3495" s="20" t="b">
        <v>1</v>
      </c>
      <c r="BB3495" s="10"/>
      <c r="BC3495" s="17" t="s">
        <v>257</v>
      </c>
      <c r="BD3495" s="17" t="s">
        <v>257</v>
      </c>
      <c r="BE3495" s="17" t="s">
        <v>257</v>
      </c>
      <c r="BF3495" s="17" t="s">
        <v>257</v>
      </c>
      <c r="BG3495" s="11">
        <f ca="1">IFERROR(__xludf.DUMMYFUNCTION("""COMPUTED_VALUE"""),46031.6666666666)</f>
        <v>46031.666666666599</v>
      </c>
      <c r="BH3495" s="17" t="s">
        <v>105</v>
      </c>
      <c r="BI3495" s="17"/>
      <c r="BJ3495" s="15"/>
      <c r="BK3495" s="15"/>
      <c r="BL3495" s="13" t="b">
        <v>0</v>
      </c>
      <c r="BM3495" s="10"/>
      <c r="BN3495" s="10" t="s">
        <v>157</v>
      </c>
      <c r="BO3495" s="11">
        <v>46022.652777777781</v>
      </c>
      <c r="BP3495" s="11">
        <v>46030.791550925926</v>
      </c>
      <c r="BQ3495" s="15">
        <v>46030.578634259262</v>
      </c>
      <c r="BR3495" s="15">
        <v>46030.861400462964</v>
      </c>
      <c r="BS3495" s="10" t="s">
        <v>157</v>
      </c>
      <c r="BT3495" s="10"/>
      <c r="BU3495" s="10"/>
      <c r="BV3495" s="10"/>
      <c r="BW3495" s="10"/>
      <c r="BX3495" s="10"/>
      <c r="BY3495" s="23"/>
      <c r="BZ3495" s="23"/>
      <c r="CA3495" s="19" t="s">
        <v>24744</v>
      </c>
      <c r="CB3495" s="23"/>
      <c r="CC3495" s="23"/>
      <c r="CD3495" s="23"/>
      <c r="CE3495" s="23"/>
      <c r="CF3495" s="23"/>
      <c r="CG3495" s="23"/>
      <c r="CH3495" s="23"/>
      <c r="CI3495" s="23"/>
    </row>
    <row r="3496" spans="1:87" x14ac:dyDescent="0.3">
      <c r="A3496" s="9" t="s">
        <v>24745</v>
      </c>
      <c r="B3496" s="10" t="s">
        <v>24746</v>
      </c>
      <c r="C3496" s="11">
        <v>46032.375</v>
      </c>
      <c r="D3496" s="12">
        <v>0.41666666666666669</v>
      </c>
      <c r="E3496" s="11">
        <v>46032.791666666664</v>
      </c>
      <c r="F3496" s="22" t="s">
        <v>24700</v>
      </c>
      <c r="G3496" s="13" t="b">
        <v>0</v>
      </c>
      <c r="H3496" s="22" t="s">
        <v>21384</v>
      </c>
      <c r="I3496" s="10" t="s">
        <v>9131</v>
      </c>
      <c r="J3496" s="13" t="b">
        <v>0</v>
      </c>
      <c r="K3496" s="13" t="b">
        <v>1</v>
      </c>
      <c r="L3496" s="10" t="s">
        <v>124</v>
      </c>
      <c r="M3496" s="10" t="s">
        <v>91</v>
      </c>
      <c r="N3496" s="10" t="s">
        <v>92</v>
      </c>
      <c r="O3496" s="19" t="s">
        <v>24747</v>
      </c>
      <c r="P3496" s="10"/>
      <c r="Q3496" s="10" t="s">
        <v>126</v>
      </c>
      <c r="R3496" s="10"/>
      <c r="S3496" s="19" t="s">
        <v>24748</v>
      </c>
      <c r="T3496" s="10"/>
      <c r="U3496" s="10"/>
      <c r="V3496" s="10"/>
      <c r="W3496" s="10" t="s">
        <v>24703</v>
      </c>
      <c r="X3496" s="10" t="s">
        <v>216</v>
      </c>
      <c r="Y3496" s="10" t="s">
        <v>216</v>
      </c>
      <c r="Z3496" s="10" t="s">
        <v>99</v>
      </c>
      <c r="AA3496" s="10" t="s">
        <v>131</v>
      </c>
      <c r="AB3496" s="10" t="s">
        <v>24704</v>
      </c>
      <c r="AC3496" s="10" t="s">
        <v>21389</v>
      </c>
      <c r="AD3496" s="10" t="s">
        <v>165</v>
      </c>
      <c r="AE3496" s="10" t="s">
        <v>24749</v>
      </c>
      <c r="AF3496" s="15"/>
      <c r="AG3496" s="10"/>
      <c r="AH3496" s="10"/>
      <c r="AI3496" s="10"/>
      <c r="AJ3496" s="10"/>
      <c r="AK3496" s="10" t="s">
        <v>102</v>
      </c>
      <c r="AL3496" s="10" t="s">
        <v>20102</v>
      </c>
      <c r="AM3496" s="10"/>
      <c r="AN3496" s="10"/>
      <c r="AO3496" s="13" t="b">
        <v>0</v>
      </c>
      <c r="AP3496" s="22"/>
      <c r="AQ3496" s="10">
        <f ca="1">IFERROR(__xludf.DUMMYFUNCTION("""COMPUTED_VALUE"""),18249)</f>
        <v>18249</v>
      </c>
      <c r="AR3496" s="17"/>
      <c r="AS3496" s="17"/>
      <c r="AT3496" s="17"/>
      <c r="AU3496" s="17"/>
      <c r="AV3496" s="17"/>
      <c r="AW3496" s="10"/>
      <c r="AX3496" s="17"/>
      <c r="AY3496" s="18" t="s">
        <v>257</v>
      </c>
      <c r="AZ3496" s="10" t="s">
        <v>136</v>
      </c>
      <c r="BA3496" s="20" t="b">
        <v>1</v>
      </c>
      <c r="BB3496" s="10"/>
      <c r="BC3496" s="17" t="s">
        <v>257</v>
      </c>
      <c r="BD3496" s="17" t="s">
        <v>257</v>
      </c>
      <c r="BE3496" s="17" t="s">
        <v>257</v>
      </c>
      <c r="BF3496" s="17" t="s">
        <v>257</v>
      </c>
      <c r="BG3496" s="11">
        <f ca="1">IFERROR(__xludf.DUMMYFUNCTION("""COMPUTED_VALUE"""),46032.375)</f>
        <v>46032.375</v>
      </c>
      <c r="BH3496" s="17" t="s">
        <v>105</v>
      </c>
      <c r="BI3496" s="17"/>
      <c r="BJ3496" s="15"/>
      <c r="BK3496" s="15"/>
      <c r="BL3496" s="13" t="b">
        <v>0</v>
      </c>
      <c r="BM3496" s="10"/>
      <c r="BN3496" s="10" t="s">
        <v>667</v>
      </c>
      <c r="BO3496" s="11">
        <v>46022.65347222222</v>
      </c>
      <c r="BP3496" s="11">
        <v>46022.653749999998</v>
      </c>
      <c r="BQ3496" s="15">
        <v>46031.916666666664</v>
      </c>
      <c r="BR3496" s="15">
        <v>46031.955046296294</v>
      </c>
      <c r="BS3496" s="10" t="s">
        <v>667</v>
      </c>
      <c r="BT3496" s="10" t="s">
        <v>99</v>
      </c>
      <c r="BU3496" s="10" t="s">
        <v>298</v>
      </c>
      <c r="BV3496" s="10" t="s">
        <v>124</v>
      </c>
      <c r="BW3496" s="10"/>
      <c r="BX3496" s="10"/>
      <c r="BY3496" s="23"/>
      <c r="BZ3496" s="23"/>
      <c r="CA3496" s="19" t="s">
        <v>24750</v>
      </c>
      <c r="CB3496" s="23"/>
      <c r="CC3496" s="23"/>
      <c r="CD3496" s="19" t="s">
        <v>24751</v>
      </c>
      <c r="CE3496" s="23"/>
      <c r="CF3496" s="23"/>
      <c r="CG3496" s="23"/>
      <c r="CH3496" s="23"/>
      <c r="CI3496" s="23"/>
    </row>
    <row r="3497" spans="1:87" x14ac:dyDescent="0.3">
      <c r="A3497" s="9" t="s">
        <v>24752</v>
      </c>
      <c r="B3497" s="10" t="s">
        <v>24753</v>
      </c>
      <c r="C3497" s="11">
        <v>46033.458333333336</v>
      </c>
      <c r="D3497" s="12">
        <v>0.20833333333333334</v>
      </c>
      <c r="E3497" s="11">
        <v>46033.666666666664</v>
      </c>
      <c r="F3497" s="22" t="s">
        <v>24700</v>
      </c>
      <c r="G3497" s="13" t="b">
        <v>0</v>
      </c>
      <c r="H3497" s="22" t="s">
        <v>21384</v>
      </c>
      <c r="I3497" s="10" t="s">
        <v>9131</v>
      </c>
      <c r="J3497" s="13" t="b">
        <v>0</v>
      </c>
      <c r="K3497" s="13" t="b">
        <v>1</v>
      </c>
      <c r="L3497" s="10" t="s">
        <v>124</v>
      </c>
      <c r="M3497" s="10" t="s">
        <v>91</v>
      </c>
      <c r="N3497" s="10" t="s">
        <v>92</v>
      </c>
      <c r="O3497" s="19" t="s">
        <v>24754</v>
      </c>
      <c r="P3497" s="10"/>
      <c r="Q3497" s="10" t="s">
        <v>126</v>
      </c>
      <c r="R3497" s="10"/>
      <c r="S3497" s="19" t="s">
        <v>24755</v>
      </c>
      <c r="T3497" s="10"/>
      <c r="U3497" s="10"/>
      <c r="V3497" s="10"/>
      <c r="W3497" s="10" t="s">
        <v>24703</v>
      </c>
      <c r="X3497" s="10" t="s">
        <v>216</v>
      </c>
      <c r="Y3497" s="10" t="s">
        <v>216</v>
      </c>
      <c r="Z3497" s="10" t="s">
        <v>99</v>
      </c>
      <c r="AA3497" s="10" t="s">
        <v>131</v>
      </c>
      <c r="AB3497" s="10" t="s">
        <v>24704</v>
      </c>
      <c r="AC3497" s="10" t="s">
        <v>21389</v>
      </c>
      <c r="AD3497" s="10" t="s">
        <v>165</v>
      </c>
      <c r="AE3497" s="10" t="s">
        <v>24756</v>
      </c>
      <c r="AF3497" s="15"/>
      <c r="AG3497" s="10"/>
      <c r="AH3497" s="10"/>
      <c r="AI3497" s="10"/>
      <c r="AJ3497" s="10"/>
      <c r="AK3497" s="10" t="s">
        <v>102</v>
      </c>
      <c r="AL3497" s="10" t="s">
        <v>220</v>
      </c>
      <c r="AM3497" s="10"/>
      <c r="AN3497" s="10"/>
      <c r="AO3497" s="13" t="b">
        <v>0</v>
      </c>
      <c r="AP3497" s="22"/>
      <c r="AQ3497" s="10">
        <f ca="1">IFERROR(__xludf.DUMMYFUNCTION("""COMPUTED_VALUE"""),18249)</f>
        <v>18249</v>
      </c>
      <c r="AR3497" s="17"/>
      <c r="AS3497" s="17"/>
      <c r="AT3497" s="17"/>
      <c r="AU3497" s="17"/>
      <c r="AV3497" s="17"/>
      <c r="AW3497" s="10"/>
      <c r="AX3497" s="17"/>
      <c r="AY3497" s="18" t="s">
        <v>257</v>
      </c>
      <c r="AZ3497" s="10" t="s">
        <v>136</v>
      </c>
      <c r="BA3497" s="20" t="b">
        <v>1</v>
      </c>
      <c r="BB3497" s="10"/>
      <c r="BC3497" s="17" t="s">
        <v>257</v>
      </c>
      <c r="BD3497" s="17" t="s">
        <v>257</v>
      </c>
      <c r="BE3497" s="17" t="s">
        <v>257</v>
      </c>
      <c r="BF3497" s="17" t="s">
        <v>257</v>
      </c>
      <c r="BG3497" s="11">
        <f ca="1">IFERROR(__xludf.DUMMYFUNCTION("""COMPUTED_VALUE"""),46033.4583333333)</f>
        <v>46033.458333333299</v>
      </c>
      <c r="BH3497" s="17" t="s">
        <v>105</v>
      </c>
      <c r="BI3497" s="17"/>
      <c r="BJ3497" s="15"/>
      <c r="BK3497" s="15"/>
      <c r="BL3497" s="13" t="b">
        <v>0</v>
      </c>
      <c r="BM3497" s="10"/>
      <c r="BN3497" s="10" t="s">
        <v>6278</v>
      </c>
      <c r="BO3497" s="11">
        <v>46022.654861111114</v>
      </c>
      <c r="BP3497" s="11">
        <v>46022.655127314814</v>
      </c>
      <c r="BQ3497" s="15">
        <v>46032.839548611111</v>
      </c>
      <c r="BR3497" s="15">
        <v>46032.896840277775</v>
      </c>
      <c r="BS3497" s="10" t="s">
        <v>6278</v>
      </c>
      <c r="BT3497" s="10"/>
      <c r="BU3497" s="10"/>
      <c r="BV3497" s="10" t="s">
        <v>124</v>
      </c>
      <c r="BW3497" s="10"/>
      <c r="BX3497" s="10"/>
      <c r="BY3497" s="23"/>
      <c r="BZ3497" s="23"/>
      <c r="CA3497" s="19" t="s">
        <v>24757</v>
      </c>
      <c r="CB3497" s="23"/>
      <c r="CC3497" s="23"/>
      <c r="CD3497" s="19" t="s">
        <v>24758</v>
      </c>
      <c r="CE3497" s="23"/>
      <c r="CF3497" s="23"/>
      <c r="CG3497" s="23"/>
      <c r="CH3497" s="23"/>
      <c r="CI3497" s="23"/>
    </row>
    <row r="3498" spans="1:87" x14ac:dyDescent="0.3">
      <c r="A3498" s="9" t="s">
        <v>24759</v>
      </c>
      <c r="B3498" s="10" t="s">
        <v>24760</v>
      </c>
      <c r="C3498" s="11">
        <v>46031.125</v>
      </c>
      <c r="D3498" s="12">
        <v>8.3333333333333329E-2</v>
      </c>
      <c r="E3498" s="11">
        <v>46031.208333333336</v>
      </c>
      <c r="F3498" s="22" t="s">
        <v>262</v>
      </c>
      <c r="G3498" s="13" t="b">
        <v>0</v>
      </c>
      <c r="H3498" s="22" t="s">
        <v>527</v>
      </c>
      <c r="I3498" s="10" t="s">
        <v>264</v>
      </c>
      <c r="J3498" s="13" t="b">
        <v>0</v>
      </c>
      <c r="K3498" s="13" t="b">
        <v>1</v>
      </c>
      <c r="L3498" s="10" t="s">
        <v>124</v>
      </c>
      <c r="M3498" s="10" t="s">
        <v>91</v>
      </c>
      <c r="N3498" s="10" t="s">
        <v>265</v>
      </c>
      <c r="O3498" s="19" t="s">
        <v>24761</v>
      </c>
      <c r="P3498" s="10"/>
      <c r="Q3498" s="10" t="s">
        <v>94</v>
      </c>
      <c r="R3498" s="10"/>
      <c r="S3498" s="19" t="s">
        <v>24762</v>
      </c>
      <c r="T3498" s="10"/>
      <c r="U3498" s="10" t="s">
        <v>362</v>
      </c>
      <c r="V3498" s="10" t="s">
        <v>270</v>
      </c>
      <c r="W3498" s="10" t="s">
        <v>272</v>
      </c>
      <c r="X3498" s="10" t="s">
        <v>130</v>
      </c>
      <c r="Y3498" s="10" t="s">
        <v>130</v>
      </c>
      <c r="Z3498" s="10" t="s">
        <v>99</v>
      </c>
      <c r="AA3498" s="10" t="s">
        <v>131</v>
      </c>
      <c r="AB3498" s="10" t="s">
        <v>273</v>
      </c>
      <c r="AC3498" s="10" t="s">
        <v>274</v>
      </c>
      <c r="AD3498" s="10" t="s">
        <v>2414</v>
      </c>
      <c r="AE3498" s="10" t="s">
        <v>24763</v>
      </c>
      <c r="AF3498" s="15"/>
      <c r="AG3498" s="10"/>
      <c r="AH3498" s="10"/>
      <c r="AI3498" s="10"/>
      <c r="AJ3498" s="10"/>
      <c r="AK3498" s="10" t="s">
        <v>102</v>
      </c>
      <c r="AL3498" s="10" t="s">
        <v>2405</v>
      </c>
      <c r="AM3498" s="10"/>
      <c r="AN3498" s="10"/>
      <c r="AO3498" s="13" t="b">
        <v>0</v>
      </c>
      <c r="AP3498" s="22" t="s">
        <v>104</v>
      </c>
      <c r="AQ3498" s="10">
        <f ca="1">IFERROR(__xludf.DUMMYFUNCTION("""COMPUTED_VALUE"""),4832227)</f>
        <v>4832227</v>
      </c>
      <c r="AR3498" s="17">
        <v>2835</v>
      </c>
      <c r="AS3498" s="17">
        <v>2631</v>
      </c>
      <c r="AT3498" s="17">
        <v>13820.25</v>
      </c>
      <c r="AU3498" s="17">
        <v>10.95</v>
      </c>
      <c r="AV3498" s="17">
        <v>5.25</v>
      </c>
      <c r="AW3498" s="10" t="s">
        <v>105</v>
      </c>
      <c r="AX3498" s="17">
        <v>326</v>
      </c>
      <c r="AY3498" s="18">
        <v>5.2528506271379705</v>
      </c>
      <c r="AZ3498" s="10"/>
      <c r="BA3498" s="20" t="b">
        <v>0</v>
      </c>
      <c r="BB3498" s="10"/>
      <c r="BC3498" s="17">
        <v>2835</v>
      </c>
      <c r="BD3498" s="17">
        <v>2631</v>
      </c>
      <c r="BE3498" s="17">
        <v>13820.25</v>
      </c>
      <c r="BF3498" s="17">
        <v>5.25</v>
      </c>
      <c r="BG3498" s="11">
        <f ca="1">IFERROR(__xludf.DUMMYFUNCTION("""COMPUTED_VALUE"""),46031.125)</f>
        <v>46031.125</v>
      </c>
      <c r="BH3498" s="17" t="s">
        <v>105</v>
      </c>
      <c r="BI3498" s="17"/>
      <c r="BJ3498" s="15"/>
      <c r="BK3498" s="15"/>
      <c r="BL3498" s="13" t="b">
        <v>0</v>
      </c>
      <c r="BM3498" s="10"/>
      <c r="BN3498" s="10" t="s">
        <v>118</v>
      </c>
      <c r="BO3498" s="11">
        <v>46022.663194444445</v>
      </c>
      <c r="BP3498" s="11">
        <v>46028.459374999999</v>
      </c>
      <c r="BQ3498" s="15">
        <v>46022.759270833332</v>
      </c>
      <c r="BR3498" s="15">
        <v>46029.378506944442</v>
      </c>
      <c r="BS3498" s="10" t="s">
        <v>118</v>
      </c>
      <c r="BT3498" s="10"/>
      <c r="BU3498" s="10"/>
      <c r="BV3498" s="10"/>
      <c r="BW3498" s="10"/>
      <c r="BX3498" s="10"/>
      <c r="BY3498" s="23"/>
      <c r="BZ3498" s="23"/>
      <c r="CA3498" s="19" t="s">
        <v>24764</v>
      </c>
      <c r="CB3498" s="19" t="s">
        <v>24765</v>
      </c>
      <c r="CC3498" s="23"/>
      <c r="CD3498" s="23"/>
      <c r="CE3498" s="23"/>
      <c r="CF3498" s="23"/>
      <c r="CG3498" s="23"/>
      <c r="CH3498" s="23"/>
      <c r="CI3498" s="23"/>
    </row>
    <row r="3499" spans="1:87" x14ac:dyDescent="0.3">
      <c r="A3499" s="9" t="s">
        <v>24766</v>
      </c>
      <c r="B3499" s="10" t="s">
        <v>24709</v>
      </c>
      <c r="C3499" s="11">
        <v>46028.333333333336</v>
      </c>
      <c r="D3499" s="12">
        <v>0.54166666666666663</v>
      </c>
      <c r="E3499" s="11">
        <v>46028.875</v>
      </c>
      <c r="F3499" s="22" t="s">
        <v>24700</v>
      </c>
      <c r="G3499" s="13" t="b">
        <v>0</v>
      </c>
      <c r="H3499" s="22" t="s">
        <v>21384</v>
      </c>
      <c r="I3499" s="10" t="s">
        <v>9131</v>
      </c>
      <c r="J3499" s="13" t="b">
        <v>0</v>
      </c>
      <c r="K3499" s="13" t="b">
        <v>1</v>
      </c>
      <c r="L3499" s="10" t="s">
        <v>124</v>
      </c>
      <c r="M3499" s="10" t="s">
        <v>91</v>
      </c>
      <c r="N3499" s="10" t="s">
        <v>92</v>
      </c>
      <c r="O3499" s="19" t="s">
        <v>24767</v>
      </c>
      <c r="P3499" s="10"/>
      <c r="Q3499" s="10" t="s">
        <v>126</v>
      </c>
      <c r="R3499" s="10"/>
      <c r="S3499" s="19" t="s">
        <v>24768</v>
      </c>
      <c r="T3499" s="10"/>
      <c r="U3499" s="10"/>
      <c r="V3499" s="10"/>
      <c r="W3499" s="10" t="s">
        <v>24703</v>
      </c>
      <c r="X3499" s="10" t="s">
        <v>216</v>
      </c>
      <c r="Y3499" s="10" t="s">
        <v>216</v>
      </c>
      <c r="Z3499" s="10" t="s">
        <v>99</v>
      </c>
      <c r="AA3499" s="10" t="s">
        <v>131</v>
      </c>
      <c r="AB3499" s="10" t="s">
        <v>24704</v>
      </c>
      <c r="AC3499" s="10" t="s">
        <v>21389</v>
      </c>
      <c r="AD3499" s="10" t="s">
        <v>165</v>
      </c>
      <c r="AE3499" s="10" t="s">
        <v>24710</v>
      </c>
      <c r="AF3499" s="15"/>
      <c r="AG3499" s="10"/>
      <c r="AH3499" s="10"/>
      <c r="AI3499" s="10"/>
      <c r="AJ3499" s="10"/>
      <c r="AK3499" s="10" t="s">
        <v>102</v>
      </c>
      <c r="AL3499" s="10"/>
      <c r="AM3499" s="10"/>
      <c r="AN3499" s="10"/>
      <c r="AO3499" s="13" t="b">
        <v>0</v>
      </c>
      <c r="AP3499" s="22" t="s">
        <v>221</v>
      </c>
      <c r="AQ3499" s="10">
        <f ca="1">IFERROR(__xludf.DUMMYFUNCTION("""COMPUTED_VALUE"""),18249)</f>
        <v>18249</v>
      </c>
      <c r="AR3499" s="17"/>
      <c r="AS3499" s="17"/>
      <c r="AT3499" s="17"/>
      <c r="AU3499" s="17"/>
      <c r="AV3499" s="17"/>
      <c r="AW3499" s="10"/>
      <c r="AX3499" s="17"/>
      <c r="AY3499" s="18" t="s">
        <v>257</v>
      </c>
      <c r="AZ3499" s="10" t="s">
        <v>117</v>
      </c>
      <c r="BA3499" s="20" t="b">
        <v>1</v>
      </c>
      <c r="BB3499" s="10"/>
      <c r="BC3499" s="17" t="s">
        <v>257</v>
      </c>
      <c r="BD3499" s="17" t="s">
        <v>257</v>
      </c>
      <c r="BE3499" s="17" t="s">
        <v>257</v>
      </c>
      <c r="BF3499" s="17" t="s">
        <v>257</v>
      </c>
      <c r="BG3499" s="11">
        <f ca="1">IFERROR(__xludf.DUMMYFUNCTION("""COMPUTED_VALUE"""),46028.3333333333)</f>
        <v>46028.333333333299</v>
      </c>
      <c r="BH3499" s="17" t="s">
        <v>105</v>
      </c>
      <c r="BI3499" s="17"/>
      <c r="BJ3499" s="15"/>
      <c r="BK3499" s="15"/>
      <c r="BL3499" s="13" t="b">
        <v>0</v>
      </c>
      <c r="BM3499" s="10"/>
      <c r="BN3499" s="10" t="s">
        <v>634</v>
      </c>
      <c r="BO3499" s="11">
        <v>46022.663888888892</v>
      </c>
      <c r="BP3499" s="11">
        <v>46022.664583333331</v>
      </c>
      <c r="BQ3499" s="15">
        <v>46026.754837962966</v>
      </c>
      <c r="BR3499" s="15">
        <v>46027.420277777775</v>
      </c>
      <c r="BS3499" s="10" t="s">
        <v>634</v>
      </c>
      <c r="BT3499" s="10" t="s">
        <v>99</v>
      </c>
      <c r="BU3499" s="10" t="s">
        <v>24769</v>
      </c>
      <c r="BV3499" s="10" t="s">
        <v>124</v>
      </c>
      <c r="BW3499" s="10"/>
      <c r="BX3499" s="10"/>
      <c r="BY3499" s="23"/>
      <c r="BZ3499" s="23"/>
      <c r="CA3499" s="19" t="s">
        <v>24770</v>
      </c>
      <c r="CB3499" s="23"/>
      <c r="CC3499" s="23"/>
      <c r="CD3499" s="19" t="s">
        <v>24771</v>
      </c>
      <c r="CE3499" s="23"/>
      <c r="CF3499" s="23"/>
      <c r="CG3499" s="23"/>
      <c r="CH3499" s="23"/>
      <c r="CI3499" s="23"/>
    </row>
    <row r="3500" spans="1:87" x14ac:dyDescent="0.3">
      <c r="A3500" s="9" t="s">
        <v>24772</v>
      </c>
      <c r="B3500" s="10" t="s">
        <v>24709</v>
      </c>
      <c r="C3500" s="11">
        <v>46028.75</v>
      </c>
      <c r="D3500" s="12">
        <v>0.10416666666666667</v>
      </c>
      <c r="E3500" s="11">
        <v>46028.854166666664</v>
      </c>
      <c r="F3500" s="22" t="s">
        <v>24700</v>
      </c>
      <c r="G3500" s="13" t="b">
        <v>0</v>
      </c>
      <c r="H3500" s="22" t="s">
        <v>21384</v>
      </c>
      <c r="I3500" s="10" t="s">
        <v>9131</v>
      </c>
      <c r="J3500" s="13" t="b">
        <v>0</v>
      </c>
      <c r="K3500" s="13" t="b">
        <v>1</v>
      </c>
      <c r="L3500" s="10" t="s">
        <v>124</v>
      </c>
      <c r="M3500" s="10" t="s">
        <v>91</v>
      </c>
      <c r="N3500" s="10" t="s">
        <v>92</v>
      </c>
      <c r="O3500" s="10"/>
      <c r="P3500" s="10"/>
      <c r="Q3500" s="10" t="s">
        <v>94</v>
      </c>
      <c r="R3500" s="10"/>
      <c r="S3500" s="19" t="s">
        <v>24773</v>
      </c>
      <c r="T3500" s="10"/>
      <c r="U3500" s="10"/>
      <c r="V3500" s="10"/>
      <c r="W3500" s="10" t="s">
        <v>24703</v>
      </c>
      <c r="X3500" s="10" t="s">
        <v>216</v>
      </c>
      <c r="Y3500" s="10" t="s">
        <v>216</v>
      </c>
      <c r="Z3500" s="10" t="s">
        <v>99</v>
      </c>
      <c r="AA3500" s="10" t="s">
        <v>131</v>
      </c>
      <c r="AB3500" s="10" t="s">
        <v>24704</v>
      </c>
      <c r="AC3500" s="10" t="s">
        <v>21389</v>
      </c>
      <c r="AD3500" s="10" t="s">
        <v>165</v>
      </c>
      <c r="AE3500" s="10" t="s">
        <v>24710</v>
      </c>
      <c r="AF3500" s="15"/>
      <c r="AG3500" s="10"/>
      <c r="AH3500" s="10"/>
      <c r="AI3500" s="10"/>
      <c r="AJ3500" s="10"/>
      <c r="AK3500" s="10" t="s">
        <v>256</v>
      </c>
      <c r="AL3500" s="10"/>
      <c r="AM3500" s="10"/>
      <c r="AN3500" s="10"/>
      <c r="AO3500" s="13" t="b">
        <v>0</v>
      </c>
      <c r="AP3500" s="22" t="s">
        <v>221</v>
      </c>
      <c r="AQ3500" s="10"/>
      <c r="AR3500" s="17"/>
      <c r="AS3500" s="17"/>
      <c r="AT3500" s="17"/>
      <c r="AU3500" s="17"/>
      <c r="AV3500" s="17"/>
      <c r="AW3500" s="10"/>
      <c r="AX3500" s="17"/>
      <c r="AY3500" s="18" t="s">
        <v>257</v>
      </c>
      <c r="AZ3500" s="10" t="s">
        <v>117</v>
      </c>
      <c r="BA3500" s="20" t="b">
        <v>1</v>
      </c>
      <c r="BB3500" s="10"/>
      <c r="BC3500" s="17" t="s">
        <v>257</v>
      </c>
      <c r="BD3500" s="17" t="s">
        <v>257</v>
      </c>
      <c r="BE3500" s="17" t="s">
        <v>257</v>
      </c>
      <c r="BF3500" s="17" t="s">
        <v>257</v>
      </c>
      <c r="BG3500" s="11">
        <f ca="1">IFERROR(__xludf.DUMMYFUNCTION("""COMPUTED_VALUE"""),46028.75)</f>
        <v>46028.75</v>
      </c>
      <c r="BH3500" s="17" t="s">
        <v>105</v>
      </c>
      <c r="BI3500" s="17"/>
      <c r="BJ3500" s="15"/>
      <c r="BK3500" s="15"/>
      <c r="BL3500" s="13" t="b">
        <v>0</v>
      </c>
      <c r="BM3500" s="10"/>
      <c r="BN3500" s="10" t="s">
        <v>5685</v>
      </c>
      <c r="BO3500" s="11">
        <v>46022.667361111111</v>
      </c>
      <c r="BP3500" s="11">
        <v>46022.73165509259</v>
      </c>
      <c r="BQ3500" s="15">
        <v>46026.755243055559</v>
      </c>
      <c r="BR3500" s="15"/>
      <c r="BS3500" s="10"/>
      <c r="BT3500" s="10"/>
      <c r="BU3500" s="10"/>
      <c r="BV3500" s="10"/>
      <c r="BW3500" s="10"/>
      <c r="BX3500" s="10"/>
      <c r="BY3500" s="23"/>
      <c r="BZ3500" s="23"/>
      <c r="CA3500" s="19" t="s">
        <v>24774</v>
      </c>
      <c r="CB3500" s="23"/>
      <c r="CC3500" s="23"/>
      <c r="CD3500" s="23"/>
      <c r="CE3500" s="23"/>
      <c r="CF3500" s="23"/>
      <c r="CG3500" s="23"/>
      <c r="CH3500" s="23"/>
      <c r="CI3500" s="23"/>
    </row>
    <row r="3501" spans="1:87" x14ac:dyDescent="0.3">
      <c r="A3501" s="9" t="s">
        <v>24775</v>
      </c>
      <c r="B3501" s="10" t="s">
        <v>24719</v>
      </c>
      <c r="C3501" s="11">
        <v>46028.336805555555</v>
      </c>
      <c r="D3501" s="12">
        <v>0.54166666666666663</v>
      </c>
      <c r="E3501" s="11">
        <v>46028.878472222219</v>
      </c>
      <c r="F3501" s="22" t="s">
        <v>24700</v>
      </c>
      <c r="G3501" s="13" t="b">
        <v>0</v>
      </c>
      <c r="H3501" s="22" t="s">
        <v>21384</v>
      </c>
      <c r="I3501" s="10" t="s">
        <v>9131</v>
      </c>
      <c r="J3501" s="13" t="b">
        <v>0</v>
      </c>
      <c r="K3501" s="13" t="b">
        <v>1</v>
      </c>
      <c r="L3501" s="10" t="s">
        <v>124</v>
      </c>
      <c r="M3501" s="10" t="s">
        <v>91</v>
      </c>
      <c r="N3501" s="10" t="s">
        <v>92</v>
      </c>
      <c r="O3501" s="19" t="s">
        <v>24776</v>
      </c>
      <c r="P3501" s="10"/>
      <c r="Q3501" s="10" t="s">
        <v>94</v>
      </c>
      <c r="R3501" s="10"/>
      <c r="S3501" s="19" t="s">
        <v>24777</v>
      </c>
      <c r="T3501" s="10"/>
      <c r="U3501" s="10"/>
      <c r="V3501" s="10"/>
      <c r="W3501" s="10" t="s">
        <v>24703</v>
      </c>
      <c r="X3501" s="10" t="s">
        <v>216</v>
      </c>
      <c r="Y3501" s="10" t="s">
        <v>216</v>
      </c>
      <c r="Z3501" s="10" t="s">
        <v>99</v>
      </c>
      <c r="AA3501" s="10" t="s">
        <v>131</v>
      </c>
      <c r="AB3501" s="10" t="s">
        <v>24704</v>
      </c>
      <c r="AC3501" s="10" t="s">
        <v>21389</v>
      </c>
      <c r="AD3501" s="10" t="s">
        <v>165</v>
      </c>
      <c r="AE3501" s="10" t="s">
        <v>24720</v>
      </c>
      <c r="AF3501" s="15"/>
      <c r="AG3501" s="10"/>
      <c r="AH3501" s="10"/>
      <c r="AI3501" s="10"/>
      <c r="AJ3501" s="10"/>
      <c r="AK3501" s="10" t="s">
        <v>102</v>
      </c>
      <c r="AL3501" s="10"/>
      <c r="AM3501" s="10"/>
      <c r="AN3501" s="10"/>
      <c r="AO3501" s="13" t="b">
        <v>0</v>
      </c>
      <c r="AP3501" s="22" t="s">
        <v>221</v>
      </c>
      <c r="AQ3501" s="10">
        <f ca="1">IFERROR(__xludf.DUMMYFUNCTION("""COMPUTED_VALUE"""),18250)</f>
        <v>18250</v>
      </c>
      <c r="AR3501" s="17"/>
      <c r="AS3501" s="17"/>
      <c r="AT3501" s="17"/>
      <c r="AU3501" s="17"/>
      <c r="AV3501" s="17"/>
      <c r="AW3501" s="10"/>
      <c r="AX3501" s="17"/>
      <c r="AY3501" s="18" t="s">
        <v>257</v>
      </c>
      <c r="AZ3501" s="10" t="s">
        <v>117</v>
      </c>
      <c r="BA3501" s="20" t="b">
        <v>1</v>
      </c>
      <c r="BB3501" s="10"/>
      <c r="BC3501" s="17" t="s">
        <v>257</v>
      </c>
      <c r="BD3501" s="17" t="s">
        <v>257</v>
      </c>
      <c r="BE3501" s="17" t="s">
        <v>257</v>
      </c>
      <c r="BF3501" s="17" t="s">
        <v>257</v>
      </c>
      <c r="BG3501" s="11">
        <f ca="1">IFERROR(__xludf.DUMMYFUNCTION("""COMPUTED_VALUE"""),46028.3368055555)</f>
        <v>46028.336805555497</v>
      </c>
      <c r="BH3501" s="17" t="s">
        <v>105</v>
      </c>
      <c r="BI3501" s="17"/>
      <c r="BJ3501" s="15"/>
      <c r="BK3501" s="15"/>
      <c r="BL3501" s="13" t="b">
        <v>0</v>
      </c>
      <c r="BM3501" s="10"/>
      <c r="BN3501" s="10" t="s">
        <v>5685</v>
      </c>
      <c r="BO3501" s="11">
        <v>46022.668749999997</v>
      </c>
      <c r="BP3501" s="11">
        <v>46022.732071759259</v>
      </c>
      <c r="BQ3501" s="15">
        <v>46026.754965277774</v>
      </c>
      <c r="BR3501" s="15">
        <v>46027.420393518521</v>
      </c>
      <c r="BS3501" s="10"/>
      <c r="BT3501" s="10"/>
      <c r="BU3501" s="10"/>
      <c r="BV3501" s="10"/>
      <c r="BW3501" s="10"/>
      <c r="BX3501" s="10"/>
      <c r="BY3501" s="23"/>
      <c r="BZ3501" s="23"/>
      <c r="CA3501" s="19" t="s">
        <v>24778</v>
      </c>
      <c r="CB3501" s="23"/>
      <c r="CC3501" s="23"/>
      <c r="CD3501" s="23"/>
      <c r="CE3501" s="23"/>
      <c r="CF3501" s="23"/>
      <c r="CG3501" s="23"/>
      <c r="CH3501" s="23"/>
      <c r="CI3501" s="23"/>
    </row>
    <row r="3502" spans="1:87" x14ac:dyDescent="0.3">
      <c r="A3502" s="9" t="s">
        <v>24779</v>
      </c>
      <c r="B3502" s="10" t="s">
        <v>24780</v>
      </c>
      <c r="C3502" s="11">
        <v>46039.8125</v>
      </c>
      <c r="D3502" s="12">
        <v>8.3333333333333329E-2</v>
      </c>
      <c r="E3502" s="11">
        <v>46039.895833333336</v>
      </c>
      <c r="F3502" s="22" t="s">
        <v>262</v>
      </c>
      <c r="G3502" s="13" t="b">
        <v>0</v>
      </c>
      <c r="H3502" s="22" t="s">
        <v>305</v>
      </c>
      <c r="I3502" s="10" t="s">
        <v>264</v>
      </c>
      <c r="J3502" s="13" t="b">
        <v>0</v>
      </c>
      <c r="K3502" s="13" t="b">
        <v>1</v>
      </c>
      <c r="L3502" s="10" t="s">
        <v>124</v>
      </c>
      <c r="M3502" s="10" t="s">
        <v>91</v>
      </c>
      <c r="N3502" s="10" t="s">
        <v>265</v>
      </c>
      <c r="O3502" s="10"/>
      <c r="P3502" s="10"/>
      <c r="Q3502" s="10" t="s">
        <v>94</v>
      </c>
      <c r="R3502" s="10"/>
      <c r="S3502" s="10"/>
      <c r="T3502" s="10"/>
      <c r="U3502" s="10" t="s">
        <v>361</v>
      </c>
      <c r="V3502" s="10" t="s">
        <v>334</v>
      </c>
      <c r="W3502" s="10" t="s">
        <v>272</v>
      </c>
      <c r="X3502" s="10" t="s">
        <v>130</v>
      </c>
      <c r="Y3502" s="10" t="s">
        <v>130</v>
      </c>
      <c r="Z3502" s="10" t="s">
        <v>99</v>
      </c>
      <c r="AA3502" s="10" t="s">
        <v>131</v>
      </c>
      <c r="AB3502" s="10" t="s">
        <v>273</v>
      </c>
      <c r="AC3502" s="10" t="s">
        <v>274</v>
      </c>
      <c r="AD3502" s="10" t="s">
        <v>2530</v>
      </c>
      <c r="AE3502" s="10" t="s">
        <v>24781</v>
      </c>
      <c r="AF3502" s="15"/>
      <c r="AG3502" s="10"/>
      <c r="AH3502" s="10"/>
      <c r="AI3502" s="10"/>
      <c r="AJ3502" s="10"/>
      <c r="AK3502" s="10"/>
      <c r="AL3502" s="10" t="s">
        <v>2509</v>
      </c>
      <c r="AM3502" s="10"/>
      <c r="AN3502" s="10"/>
      <c r="AO3502" s="13" t="b">
        <v>0</v>
      </c>
      <c r="AP3502" s="22" t="s">
        <v>104</v>
      </c>
      <c r="AQ3502" s="10"/>
      <c r="AR3502" s="17"/>
      <c r="AS3502" s="17"/>
      <c r="AT3502" s="17"/>
      <c r="AU3502" s="17"/>
      <c r="AV3502" s="17"/>
      <c r="AW3502" s="10"/>
      <c r="AX3502" s="17"/>
      <c r="AY3502" s="18" t="s">
        <v>257</v>
      </c>
      <c r="AZ3502" s="10"/>
      <c r="BA3502" s="20" t="b">
        <v>0</v>
      </c>
      <c r="BB3502" s="10"/>
      <c r="BC3502" s="17" t="s">
        <v>257</v>
      </c>
      <c r="BD3502" s="17" t="s">
        <v>257</v>
      </c>
      <c r="BE3502" s="17" t="s">
        <v>257</v>
      </c>
      <c r="BF3502" s="17" t="s">
        <v>257</v>
      </c>
      <c r="BG3502" s="11">
        <f ca="1">IFERROR(__xludf.DUMMYFUNCTION("""COMPUTED_VALUE"""),46039.8125)</f>
        <v>46039.8125</v>
      </c>
      <c r="BH3502" s="17"/>
      <c r="BI3502" s="17"/>
      <c r="BJ3502" s="15"/>
      <c r="BK3502" s="15"/>
      <c r="BL3502" s="13" t="b">
        <v>0</v>
      </c>
      <c r="BM3502" s="10"/>
      <c r="BN3502" s="10" t="s">
        <v>351</v>
      </c>
      <c r="BO3502" s="11">
        <v>46022.667361111111</v>
      </c>
      <c r="BP3502" s="11">
        <v>46022.668067129627</v>
      </c>
      <c r="BQ3502" s="15"/>
      <c r="BR3502" s="15"/>
      <c r="BS3502" s="10"/>
      <c r="BT3502" s="10"/>
      <c r="BU3502" s="10"/>
      <c r="BV3502" s="10"/>
      <c r="BW3502" s="10"/>
      <c r="BX3502" s="10"/>
      <c r="BY3502" s="23"/>
      <c r="BZ3502" s="23"/>
      <c r="CA3502" s="10"/>
      <c r="CB3502" s="23"/>
      <c r="CC3502" s="23"/>
      <c r="CD3502" s="23"/>
      <c r="CE3502" s="23"/>
      <c r="CF3502" s="23"/>
      <c r="CG3502" s="23"/>
      <c r="CH3502" s="23"/>
      <c r="CI3502" s="23"/>
    </row>
    <row r="3503" spans="1:87" x14ac:dyDescent="0.3">
      <c r="A3503" s="9" t="s">
        <v>24782</v>
      </c>
      <c r="B3503" s="10" t="s">
        <v>24783</v>
      </c>
      <c r="C3503" s="11">
        <v>46028.340277777781</v>
      </c>
      <c r="D3503" s="12">
        <v>0.58333333333333337</v>
      </c>
      <c r="E3503" s="11">
        <v>46028.923611111109</v>
      </c>
      <c r="F3503" s="22" t="s">
        <v>24700</v>
      </c>
      <c r="G3503" s="13" t="b">
        <v>0</v>
      </c>
      <c r="H3503" s="22" t="s">
        <v>21384</v>
      </c>
      <c r="I3503" s="10" t="s">
        <v>9131</v>
      </c>
      <c r="J3503" s="13" t="b">
        <v>0</v>
      </c>
      <c r="K3503" s="13" t="b">
        <v>1</v>
      </c>
      <c r="L3503" s="10" t="s">
        <v>124</v>
      </c>
      <c r="M3503" s="10" t="s">
        <v>91</v>
      </c>
      <c r="N3503" s="10" t="s">
        <v>92</v>
      </c>
      <c r="O3503" s="19" t="s">
        <v>24784</v>
      </c>
      <c r="P3503" s="10"/>
      <c r="Q3503" s="10" t="s">
        <v>94</v>
      </c>
      <c r="R3503" s="10"/>
      <c r="S3503" s="19" t="s">
        <v>24785</v>
      </c>
      <c r="T3503" s="10"/>
      <c r="U3503" s="10"/>
      <c r="V3503" s="10"/>
      <c r="W3503" s="10" t="s">
        <v>24703</v>
      </c>
      <c r="X3503" s="10" t="s">
        <v>216</v>
      </c>
      <c r="Y3503" s="10" t="s">
        <v>216</v>
      </c>
      <c r="Z3503" s="10" t="s">
        <v>99</v>
      </c>
      <c r="AA3503" s="10" t="s">
        <v>131</v>
      </c>
      <c r="AB3503" s="10" t="s">
        <v>24704</v>
      </c>
      <c r="AC3503" s="10" t="s">
        <v>21389</v>
      </c>
      <c r="AD3503" s="10" t="s">
        <v>165</v>
      </c>
      <c r="AE3503" s="10" t="s">
        <v>24786</v>
      </c>
      <c r="AF3503" s="15"/>
      <c r="AG3503" s="10"/>
      <c r="AH3503" s="10"/>
      <c r="AI3503" s="10"/>
      <c r="AJ3503" s="10"/>
      <c r="AK3503" s="10" t="s">
        <v>102</v>
      </c>
      <c r="AL3503" s="10"/>
      <c r="AM3503" s="10"/>
      <c r="AN3503" s="10"/>
      <c r="AO3503" s="13" t="b">
        <v>0</v>
      </c>
      <c r="AP3503" s="22" t="s">
        <v>221</v>
      </c>
      <c r="AQ3503" s="10">
        <f ca="1">IFERROR(__xludf.DUMMYFUNCTION("""COMPUTED_VALUE"""),18252)</f>
        <v>18252</v>
      </c>
      <c r="AR3503" s="17"/>
      <c r="AS3503" s="17"/>
      <c r="AT3503" s="17"/>
      <c r="AU3503" s="17"/>
      <c r="AV3503" s="17"/>
      <c r="AW3503" s="10"/>
      <c r="AX3503" s="17"/>
      <c r="AY3503" s="18" t="s">
        <v>257</v>
      </c>
      <c r="AZ3503" s="10" t="s">
        <v>117</v>
      </c>
      <c r="BA3503" s="20" t="b">
        <v>1</v>
      </c>
      <c r="BB3503" s="10"/>
      <c r="BC3503" s="17" t="s">
        <v>257</v>
      </c>
      <c r="BD3503" s="17" t="s">
        <v>257</v>
      </c>
      <c r="BE3503" s="17" t="s">
        <v>257</v>
      </c>
      <c r="BF3503" s="17" t="s">
        <v>257</v>
      </c>
      <c r="BG3503" s="11">
        <f ca="1">IFERROR(__xludf.DUMMYFUNCTION("""COMPUTED_VALUE"""),46028.3402777777)</f>
        <v>46028.340277777701</v>
      </c>
      <c r="BH3503" s="17" t="s">
        <v>105</v>
      </c>
      <c r="BI3503" s="17"/>
      <c r="BJ3503" s="15"/>
      <c r="BK3503" s="15"/>
      <c r="BL3503" s="13" t="b">
        <v>0</v>
      </c>
      <c r="BM3503" s="10"/>
      <c r="BN3503" s="10" t="s">
        <v>5685</v>
      </c>
      <c r="BO3503" s="11">
        <v>46022.668749999997</v>
      </c>
      <c r="BP3503" s="11">
        <v>46022.731886574074</v>
      </c>
      <c r="BQ3503" s="15">
        <v>46026.755104166667</v>
      </c>
      <c r="BR3503" s="15">
        <v>46027.420567129629</v>
      </c>
      <c r="BS3503" s="10"/>
      <c r="BT3503" s="10"/>
      <c r="BU3503" s="10"/>
      <c r="BV3503" s="10"/>
      <c r="BW3503" s="10"/>
      <c r="BX3503" s="10"/>
      <c r="BY3503" s="23"/>
      <c r="BZ3503" s="23"/>
      <c r="CA3503" s="19" t="s">
        <v>24787</v>
      </c>
      <c r="CB3503" s="23"/>
      <c r="CC3503" s="23"/>
      <c r="CD3503" s="23"/>
      <c r="CE3503" s="23"/>
      <c r="CF3503" s="23"/>
      <c r="CG3503" s="23"/>
      <c r="CH3503" s="23"/>
      <c r="CI3503" s="23"/>
    </row>
    <row r="3504" spans="1:87" x14ac:dyDescent="0.3">
      <c r="A3504" s="9" t="s">
        <v>24788</v>
      </c>
      <c r="B3504" s="10" t="s">
        <v>24709</v>
      </c>
      <c r="C3504" s="11">
        <v>46029.333333333336</v>
      </c>
      <c r="D3504" s="12">
        <v>0.54166666666666663</v>
      </c>
      <c r="E3504" s="11">
        <v>46029.875</v>
      </c>
      <c r="F3504" s="22" t="s">
        <v>24700</v>
      </c>
      <c r="G3504" s="13" t="b">
        <v>0</v>
      </c>
      <c r="H3504" s="22" t="s">
        <v>21384</v>
      </c>
      <c r="I3504" s="10" t="s">
        <v>9131</v>
      </c>
      <c r="J3504" s="13" t="b">
        <v>0</v>
      </c>
      <c r="K3504" s="13" t="b">
        <v>1</v>
      </c>
      <c r="L3504" s="10" t="s">
        <v>124</v>
      </c>
      <c r="M3504" s="10" t="s">
        <v>91</v>
      </c>
      <c r="N3504" s="10" t="s">
        <v>92</v>
      </c>
      <c r="O3504" s="19" t="s">
        <v>24767</v>
      </c>
      <c r="P3504" s="10"/>
      <c r="Q3504" s="10" t="s">
        <v>126</v>
      </c>
      <c r="R3504" s="10"/>
      <c r="S3504" s="19" t="s">
        <v>24789</v>
      </c>
      <c r="T3504" s="10"/>
      <c r="U3504" s="10"/>
      <c r="V3504" s="10"/>
      <c r="W3504" s="10" t="s">
        <v>24703</v>
      </c>
      <c r="X3504" s="10" t="s">
        <v>216</v>
      </c>
      <c r="Y3504" s="10" t="s">
        <v>216</v>
      </c>
      <c r="Z3504" s="10" t="s">
        <v>99</v>
      </c>
      <c r="AA3504" s="10" t="s">
        <v>131</v>
      </c>
      <c r="AB3504" s="10" t="s">
        <v>24704</v>
      </c>
      <c r="AC3504" s="10" t="s">
        <v>21389</v>
      </c>
      <c r="AD3504" s="10" t="s">
        <v>165</v>
      </c>
      <c r="AE3504" s="10" t="s">
        <v>24710</v>
      </c>
      <c r="AF3504" s="15"/>
      <c r="AG3504" s="10"/>
      <c r="AH3504" s="10"/>
      <c r="AI3504" s="10"/>
      <c r="AJ3504" s="10"/>
      <c r="AK3504" s="10" t="s">
        <v>102</v>
      </c>
      <c r="AL3504" s="10"/>
      <c r="AM3504" s="10"/>
      <c r="AN3504" s="10"/>
      <c r="AO3504" s="13" t="b">
        <v>0</v>
      </c>
      <c r="AP3504" s="22" t="s">
        <v>221</v>
      </c>
      <c r="AQ3504" s="10">
        <f ca="1">IFERROR(__xludf.DUMMYFUNCTION("""COMPUTED_VALUE"""),18249)</f>
        <v>18249</v>
      </c>
      <c r="AR3504" s="17"/>
      <c r="AS3504" s="17"/>
      <c r="AT3504" s="17"/>
      <c r="AU3504" s="17"/>
      <c r="AV3504" s="17"/>
      <c r="AW3504" s="10"/>
      <c r="AX3504" s="17"/>
      <c r="AY3504" s="18" t="s">
        <v>257</v>
      </c>
      <c r="AZ3504" s="10" t="s">
        <v>106</v>
      </c>
      <c r="BA3504" s="20" t="b">
        <v>1</v>
      </c>
      <c r="BB3504" s="10"/>
      <c r="BC3504" s="17" t="s">
        <v>257</v>
      </c>
      <c r="BD3504" s="17" t="s">
        <v>257</v>
      </c>
      <c r="BE3504" s="17" t="s">
        <v>257</v>
      </c>
      <c r="BF3504" s="17" t="s">
        <v>257</v>
      </c>
      <c r="BG3504" s="11">
        <f ca="1">IFERROR(__xludf.DUMMYFUNCTION("""COMPUTED_VALUE"""),46029.3333333333)</f>
        <v>46029.333333333299</v>
      </c>
      <c r="BH3504" s="17" t="s">
        <v>105</v>
      </c>
      <c r="BI3504" s="17"/>
      <c r="BJ3504" s="15"/>
      <c r="BK3504" s="15"/>
      <c r="BL3504" s="13" t="b">
        <v>0</v>
      </c>
      <c r="BM3504" s="10"/>
      <c r="BN3504" s="10" t="s">
        <v>634</v>
      </c>
      <c r="BO3504" s="11">
        <v>46022.670138888891</v>
      </c>
      <c r="BP3504" s="11">
        <v>46022.670439814814</v>
      </c>
      <c r="BQ3504" s="15">
        <v>46028.694155092591</v>
      </c>
      <c r="BR3504" s="15">
        <v>46028.743125000001</v>
      </c>
      <c r="BS3504" s="10" t="s">
        <v>634</v>
      </c>
      <c r="BT3504" s="10" t="s">
        <v>99</v>
      </c>
      <c r="BU3504" s="10" t="s">
        <v>24790</v>
      </c>
      <c r="BV3504" s="10"/>
      <c r="BW3504" s="10"/>
      <c r="BX3504" s="10"/>
      <c r="BY3504" s="23"/>
      <c r="BZ3504" s="23"/>
      <c r="CA3504" s="19" t="s">
        <v>24791</v>
      </c>
      <c r="CB3504" s="23"/>
      <c r="CC3504" s="23"/>
      <c r="CD3504" s="19" t="s">
        <v>24792</v>
      </c>
      <c r="CE3504" s="23"/>
      <c r="CF3504" s="23"/>
      <c r="CG3504" s="23"/>
      <c r="CH3504" s="23"/>
      <c r="CI3504" s="23"/>
    </row>
    <row r="3505" spans="1:87" x14ac:dyDescent="0.3">
      <c r="A3505" s="9" t="s">
        <v>24793</v>
      </c>
      <c r="B3505" s="10" t="s">
        <v>24709</v>
      </c>
      <c r="C3505" s="11">
        <v>46029.75</v>
      </c>
      <c r="D3505" s="12">
        <v>0.10416666666666667</v>
      </c>
      <c r="E3505" s="11">
        <v>46029.854166666664</v>
      </c>
      <c r="F3505" s="22" t="s">
        <v>24700</v>
      </c>
      <c r="G3505" s="13" t="b">
        <v>0</v>
      </c>
      <c r="H3505" s="22" t="s">
        <v>21384</v>
      </c>
      <c r="I3505" s="10" t="s">
        <v>9131</v>
      </c>
      <c r="J3505" s="13" t="b">
        <v>0</v>
      </c>
      <c r="K3505" s="13" t="b">
        <v>1</v>
      </c>
      <c r="L3505" s="10" t="s">
        <v>124</v>
      </c>
      <c r="M3505" s="10" t="s">
        <v>91</v>
      </c>
      <c r="N3505" s="10" t="s">
        <v>92</v>
      </c>
      <c r="O3505" s="10"/>
      <c r="P3505" s="10"/>
      <c r="Q3505" s="10" t="s">
        <v>94</v>
      </c>
      <c r="R3505" s="10"/>
      <c r="S3505" s="10"/>
      <c r="T3505" s="10"/>
      <c r="U3505" s="10"/>
      <c r="V3505" s="10"/>
      <c r="W3505" s="10" t="s">
        <v>24703</v>
      </c>
      <c r="X3505" s="10" t="s">
        <v>216</v>
      </c>
      <c r="Y3505" s="10" t="s">
        <v>216</v>
      </c>
      <c r="Z3505" s="10" t="s">
        <v>99</v>
      </c>
      <c r="AA3505" s="10" t="s">
        <v>131</v>
      </c>
      <c r="AB3505" s="10" t="s">
        <v>24704</v>
      </c>
      <c r="AC3505" s="10" t="s">
        <v>21389</v>
      </c>
      <c r="AD3505" s="10" t="s">
        <v>165</v>
      </c>
      <c r="AE3505" s="10" t="s">
        <v>24710</v>
      </c>
      <c r="AF3505" s="15"/>
      <c r="AG3505" s="10"/>
      <c r="AH3505" s="10"/>
      <c r="AI3505" s="10"/>
      <c r="AJ3505" s="10"/>
      <c r="AK3505" s="10" t="s">
        <v>256</v>
      </c>
      <c r="AL3505" s="10"/>
      <c r="AM3505" s="10"/>
      <c r="AN3505" s="10"/>
      <c r="AO3505" s="13" t="b">
        <v>0</v>
      </c>
      <c r="AP3505" s="22" t="s">
        <v>221</v>
      </c>
      <c r="AQ3505" s="10"/>
      <c r="AR3505" s="17"/>
      <c r="AS3505" s="17"/>
      <c r="AT3505" s="17"/>
      <c r="AU3505" s="17"/>
      <c r="AV3505" s="17"/>
      <c r="AW3505" s="10"/>
      <c r="AX3505" s="17"/>
      <c r="AY3505" s="18" t="s">
        <v>257</v>
      </c>
      <c r="AZ3505" s="10"/>
      <c r="BA3505" s="20" t="b">
        <v>1</v>
      </c>
      <c r="BB3505" s="10"/>
      <c r="BC3505" s="17" t="s">
        <v>257</v>
      </c>
      <c r="BD3505" s="17" t="s">
        <v>257</v>
      </c>
      <c r="BE3505" s="17" t="s">
        <v>257</v>
      </c>
      <c r="BF3505" s="17" t="s">
        <v>257</v>
      </c>
      <c r="BG3505" s="11">
        <f ca="1">IFERROR(__xludf.DUMMYFUNCTION("""COMPUTED_VALUE"""),46029.75)</f>
        <v>46029.75</v>
      </c>
      <c r="BH3505" s="17" t="s">
        <v>105</v>
      </c>
      <c r="BI3505" s="17"/>
      <c r="BJ3505" s="15"/>
      <c r="BK3505" s="15"/>
      <c r="BL3505" s="13" t="b">
        <v>0</v>
      </c>
      <c r="BM3505" s="10"/>
      <c r="BN3505" s="10" t="s">
        <v>5685</v>
      </c>
      <c r="BO3505" s="11">
        <v>46022.67083333333</v>
      </c>
      <c r="BP3505" s="11">
        <v>46022.735520833332</v>
      </c>
      <c r="BQ3505" s="15"/>
      <c r="BR3505" s="15"/>
      <c r="BS3505" s="10"/>
      <c r="BT3505" s="10"/>
      <c r="BU3505" s="10"/>
      <c r="BV3505" s="10"/>
      <c r="BW3505" s="10"/>
      <c r="BX3505" s="10"/>
      <c r="BY3505" s="23"/>
      <c r="BZ3505" s="23"/>
      <c r="CA3505" s="10"/>
      <c r="CB3505" s="23"/>
      <c r="CC3505" s="23"/>
      <c r="CD3505" s="23"/>
      <c r="CE3505" s="23"/>
      <c r="CF3505" s="23"/>
      <c r="CG3505" s="23"/>
      <c r="CH3505" s="23"/>
      <c r="CI3505" s="23"/>
    </row>
    <row r="3506" spans="1:87" x14ac:dyDescent="0.3">
      <c r="A3506" s="9" t="s">
        <v>24794</v>
      </c>
      <c r="B3506" s="10" t="s">
        <v>24719</v>
      </c>
      <c r="C3506" s="11">
        <v>46029.333333333336</v>
      </c>
      <c r="D3506" s="12">
        <v>0.54166666666666663</v>
      </c>
      <c r="E3506" s="11">
        <v>46029.875</v>
      </c>
      <c r="F3506" s="22" t="s">
        <v>24700</v>
      </c>
      <c r="G3506" s="13" t="b">
        <v>0</v>
      </c>
      <c r="H3506" s="22" t="s">
        <v>21384</v>
      </c>
      <c r="I3506" s="10" t="s">
        <v>9131</v>
      </c>
      <c r="J3506" s="13" t="b">
        <v>0</v>
      </c>
      <c r="K3506" s="13" t="b">
        <v>1</v>
      </c>
      <c r="L3506" s="10" t="s">
        <v>124</v>
      </c>
      <c r="M3506" s="10" t="s">
        <v>91</v>
      </c>
      <c r="N3506" s="10" t="s">
        <v>92</v>
      </c>
      <c r="O3506" s="19" t="s">
        <v>24795</v>
      </c>
      <c r="P3506" s="10"/>
      <c r="Q3506" s="10" t="s">
        <v>126</v>
      </c>
      <c r="R3506" s="10"/>
      <c r="S3506" s="19" t="s">
        <v>24796</v>
      </c>
      <c r="T3506" s="10"/>
      <c r="U3506" s="10"/>
      <c r="V3506" s="10"/>
      <c r="W3506" s="10" t="s">
        <v>24703</v>
      </c>
      <c r="X3506" s="10" t="s">
        <v>216</v>
      </c>
      <c r="Y3506" s="10" t="s">
        <v>216</v>
      </c>
      <c r="Z3506" s="10" t="s">
        <v>99</v>
      </c>
      <c r="AA3506" s="10" t="s">
        <v>131</v>
      </c>
      <c r="AB3506" s="10" t="s">
        <v>24704</v>
      </c>
      <c r="AC3506" s="10" t="s">
        <v>21389</v>
      </c>
      <c r="AD3506" s="10" t="s">
        <v>165</v>
      </c>
      <c r="AE3506" s="10" t="s">
        <v>24720</v>
      </c>
      <c r="AF3506" s="15"/>
      <c r="AG3506" s="10"/>
      <c r="AH3506" s="10"/>
      <c r="AI3506" s="10"/>
      <c r="AJ3506" s="10"/>
      <c r="AK3506" s="10" t="s">
        <v>102</v>
      </c>
      <c r="AL3506" s="10"/>
      <c r="AM3506" s="10"/>
      <c r="AN3506" s="10"/>
      <c r="AO3506" s="13" t="b">
        <v>0</v>
      </c>
      <c r="AP3506" s="22" t="s">
        <v>221</v>
      </c>
      <c r="AQ3506" s="10">
        <f ca="1">IFERROR(__xludf.DUMMYFUNCTION("""COMPUTED_VALUE"""),18250)</f>
        <v>18250</v>
      </c>
      <c r="AR3506" s="17">
        <v>986</v>
      </c>
      <c r="AS3506" s="17">
        <v>800</v>
      </c>
      <c r="AT3506" s="17">
        <v>3432.75</v>
      </c>
      <c r="AU3506" s="17">
        <v>1.75</v>
      </c>
      <c r="AV3506" s="17">
        <v>0</v>
      </c>
      <c r="AW3506" s="10" t="s">
        <v>105</v>
      </c>
      <c r="AX3506" s="17"/>
      <c r="AY3506" s="18">
        <v>19.28041091883237</v>
      </c>
      <c r="AZ3506" s="10" t="s">
        <v>106</v>
      </c>
      <c r="BA3506" s="20" t="b">
        <v>1</v>
      </c>
      <c r="BB3506" s="10"/>
      <c r="BC3506" s="17">
        <v>105835</v>
      </c>
      <c r="BD3506" s="17">
        <v>64952</v>
      </c>
      <c r="BE3506" s="17">
        <v>1252301.25</v>
      </c>
      <c r="BF3506" s="17">
        <v>114.85</v>
      </c>
      <c r="BG3506" s="11">
        <f ca="1">IFERROR(__xludf.DUMMYFUNCTION("""COMPUTED_VALUE"""),46029.3333333333)</f>
        <v>46029.333333333299</v>
      </c>
      <c r="BH3506" s="17" t="s">
        <v>105</v>
      </c>
      <c r="BI3506" s="17"/>
      <c r="BJ3506" s="15"/>
      <c r="BK3506" s="15"/>
      <c r="BL3506" s="13" t="b">
        <v>0</v>
      </c>
      <c r="BM3506" s="10"/>
      <c r="BN3506" s="10" t="s">
        <v>634</v>
      </c>
      <c r="BO3506" s="11">
        <v>46022.67083333333</v>
      </c>
      <c r="BP3506" s="11">
        <v>46022.671539351853</v>
      </c>
      <c r="BQ3506" s="15">
        <v>46028.694340277776</v>
      </c>
      <c r="BR3506" s="15">
        <v>46028.742812500001</v>
      </c>
      <c r="BS3506" s="10" t="s">
        <v>634</v>
      </c>
      <c r="BT3506" s="10" t="s">
        <v>99</v>
      </c>
      <c r="BU3506" s="10" t="s">
        <v>24790</v>
      </c>
      <c r="BV3506" s="10"/>
      <c r="BW3506" s="10"/>
      <c r="BX3506" s="10"/>
      <c r="BY3506" s="23"/>
      <c r="BZ3506" s="23"/>
      <c r="CA3506" s="19" t="s">
        <v>24797</v>
      </c>
      <c r="CB3506" s="23"/>
      <c r="CC3506" s="23"/>
      <c r="CD3506" s="19" t="s">
        <v>24798</v>
      </c>
      <c r="CE3506" s="23"/>
      <c r="CF3506" s="23"/>
      <c r="CG3506" s="23"/>
      <c r="CH3506" s="23"/>
      <c r="CI3506" s="23"/>
    </row>
    <row r="3507" spans="1:87" x14ac:dyDescent="0.3">
      <c r="A3507" s="9" t="s">
        <v>24799</v>
      </c>
      <c r="B3507" s="10" t="s">
        <v>24719</v>
      </c>
      <c r="C3507" s="11">
        <v>46029.666666666664</v>
      </c>
      <c r="D3507" s="12">
        <v>0.16666666666666666</v>
      </c>
      <c r="E3507" s="11">
        <v>46029.833333333336</v>
      </c>
      <c r="F3507" s="22" t="s">
        <v>24700</v>
      </c>
      <c r="G3507" s="13" t="b">
        <v>0</v>
      </c>
      <c r="H3507" s="22" t="s">
        <v>21384</v>
      </c>
      <c r="I3507" s="10" t="s">
        <v>9131</v>
      </c>
      <c r="J3507" s="13" t="b">
        <v>0</v>
      </c>
      <c r="K3507" s="13" t="b">
        <v>1</v>
      </c>
      <c r="L3507" s="10" t="s">
        <v>124</v>
      </c>
      <c r="M3507" s="10" t="s">
        <v>91</v>
      </c>
      <c r="N3507" s="10" t="s">
        <v>92</v>
      </c>
      <c r="O3507" s="10"/>
      <c r="P3507" s="10"/>
      <c r="Q3507" s="10" t="s">
        <v>94</v>
      </c>
      <c r="R3507" s="10"/>
      <c r="S3507" s="10"/>
      <c r="T3507" s="10"/>
      <c r="U3507" s="10"/>
      <c r="V3507" s="10"/>
      <c r="W3507" s="10" t="s">
        <v>24703</v>
      </c>
      <c r="X3507" s="10" t="s">
        <v>216</v>
      </c>
      <c r="Y3507" s="10" t="s">
        <v>216</v>
      </c>
      <c r="Z3507" s="10" t="s">
        <v>99</v>
      </c>
      <c r="AA3507" s="10" t="s">
        <v>131</v>
      </c>
      <c r="AB3507" s="10" t="s">
        <v>24704</v>
      </c>
      <c r="AC3507" s="10" t="s">
        <v>21389</v>
      </c>
      <c r="AD3507" s="10" t="s">
        <v>165</v>
      </c>
      <c r="AE3507" s="10" t="s">
        <v>24720</v>
      </c>
      <c r="AF3507" s="15"/>
      <c r="AG3507" s="10"/>
      <c r="AH3507" s="10"/>
      <c r="AI3507" s="10"/>
      <c r="AJ3507" s="10"/>
      <c r="AK3507" s="10" t="s">
        <v>256</v>
      </c>
      <c r="AL3507" s="10"/>
      <c r="AM3507" s="10"/>
      <c r="AN3507" s="10"/>
      <c r="AO3507" s="13" t="b">
        <v>0</v>
      </c>
      <c r="AP3507" s="22" t="s">
        <v>221</v>
      </c>
      <c r="AQ3507" s="10"/>
      <c r="AR3507" s="17"/>
      <c r="AS3507" s="17"/>
      <c r="AT3507" s="17"/>
      <c r="AU3507" s="17"/>
      <c r="AV3507" s="17"/>
      <c r="AW3507" s="10"/>
      <c r="AX3507" s="17"/>
      <c r="AY3507" s="18" t="s">
        <v>257</v>
      </c>
      <c r="AZ3507" s="10"/>
      <c r="BA3507" s="20" t="b">
        <v>1</v>
      </c>
      <c r="BB3507" s="10"/>
      <c r="BC3507" s="17" t="s">
        <v>257</v>
      </c>
      <c r="BD3507" s="17" t="s">
        <v>257</v>
      </c>
      <c r="BE3507" s="17" t="s">
        <v>257</v>
      </c>
      <c r="BF3507" s="17" t="s">
        <v>257</v>
      </c>
      <c r="BG3507" s="11">
        <f ca="1">IFERROR(__xludf.DUMMYFUNCTION("""COMPUTED_VALUE"""),46029.6666666666)</f>
        <v>46029.666666666599</v>
      </c>
      <c r="BH3507" s="17" t="s">
        <v>105</v>
      </c>
      <c r="BI3507" s="17"/>
      <c r="BJ3507" s="15"/>
      <c r="BK3507" s="15"/>
      <c r="BL3507" s="13" t="b">
        <v>0</v>
      </c>
      <c r="BM3507" s="10"/>
      <c r="BN3507" s="10" t="s">
        <v>5685</v>
      </c>
      <c r="BO3507" s="11">
        <v>46022.672222222223</v>
      </c>
      <c r="BP3507" s="11">
        <v>46022.735393518517</v>
      </c>
      <c r="BQ3507" s="15"/>
      <c r="BR3507" s="15"/>
      <c r="BS3507" s="10"/>
      <c r="BT3507" s="10"/>
      <c r="BU3507" s="10"/>
      <c r="BV3507" s="10"/>
      <c r="BW3507" s="10"/>
      <c r="BX3507" s="10"/>
      <c r="BY3507" s="23"/>
      <c r="BZ3507" s="23"/>
      <c r="CA3507" s="10"/>
      <c r="CB3507" s="23"/>
      <c r="CC3507" s="23"/>
      <c r="CD3507" s="23"/>
      <c r="CE3507" s="23"/>
      <c r="CF3507" s="23"/>
      <c r="CG3507" s="23"/>
      <c r="CH3507" s="23"/>
      <c r="CI3507" s="23"/>
    </row>
    <row r="3508" spans="1:87" x14ac:dyDescent="0.3">
      <c r="A3508" s="9" t="s">
        <v>24800</v>
      </c>
      <c r="B3508" s="10" t="s">
        <v>24783</v>
      </c>
      <c r="C3508" s="11">
        <v>46029.340277777781</v>
      </c>
      <c r="D3508" s="12">
        <v>0.58333333333333337</v>
      </c>
      <c r="E3508" s="11">
        <v>46029.923611111109</v>
      </c>
      <c r="F3508" s="22" t="s">
        <v>24700</v>
      </c>
      <c r="G3508" s="13" t="b">
        <v>0</v>
      </c>
      <c r="H3508" s="22" t="s">
        <v>21384</v>
      </c>
      <c r="I3508" s="10" t="s">
        <v>9131</v>
      </c>
      <c r="J3508" s="13" t="b">
        <v>0</v>
      </c>
      <c r="K3508" s="13" t="b">
        <v>1</v>
      </c>
      <c r="L3508" s="10" t="s">
        <v>124</v>
      </c>
      <c r="M3508" s="10" t="s">
        <v>91</v>
      </c>
      <c r="N3508" s="10" t="s">
        <v>92</v>
      </c>
      <c r="O3508" s="19" t="s">
        <v>24784</v>
      </c>
      <c r="P3508" s="10"/>
      <c r="Q3508" s="10" t="s">
        <v>94</v>
      </c>
      <c r="R3508" s="10"/>
      <c r="S3508" s="19" t="s">
        <v>24801</v>
      </c>
      <c r="T3508" s="10"/>
      <c r="U3508" s="10"/>
      <c r="V3508" s="10"/>
      <c r="W3508" s="10" t="s">
        <v>24703</v>
      </c>
      <c r="X3508" s="10" t="s">
        <v>216</v>
      </c>
      <c r="Y3508" s="10" t="s">
        <v>216</v>
      </c>
      <c r="Z3508" s="10" t="s">
        <v>99</v>
      </c>
      <c r="AA3508" s="10" t="s">
        <v>131</v>
      </c>
      <c r="AB3508" s="10" t="s">
        <v>24704</v>
      </c>
      <c r="AC3508" s="10" t="s">
        <v>21389</v>
      </c>
      <c r="AD3508" s="10" t="s">
        <v>165</v>
      </c>
      <c r="AE3508" s="10" t="s">
        <v>24786</v>
      </c>
      <c r="AF3508" s="15"/>
      <c r="AG3508" s="10"/>
      <c r="AH3508" s="10"/>
      <c r="AI3508" s="10"/>
      <c r="AJ3508" s="10"/>
      <c r="AK3508" s="10" t="s">
        <v>102</v>
      </c>
      <c r="AL3508" s="10"/>
      <c r="AM3508" s="10"/>
      <c r="AN3508" s="10"/>
      <c r="AO3508" s="13" t="b">
        <v>0</v>
      </c>
      <c r="AP3508" s="22" t="s">
        <v>221</v>
      </c>
      <c r="AQ3508" s="10">
        <f ca="1">IFERROR(__xludf.DUMMYFUNCTION("""COMPUTED_VALUE"""),18252)</f>
        <v>18252</v>
      </c>
      <c r="AR3508" s="17">
        <v>1912</v>
      </c>
      <c r="AS3508" s="17">
        <v>1556</v>
      </c>
      <c r="AT3508" s="17">
        <v>658.5</v>
      </c>
      <c r="AU3508" s="17">
        <v>0</v>
      </c>
      <c r="AV3508" s="17">
        <v>0</v>
      </c>
      <c r="AW3508" s="10" t="s">
        <v>105</v>
      </c>
      <c r="AX3508" s="17"/>
      <c r="AY3508" s="18">
        <v>14.587852937506382</v>
      </c>
      <c r="AZ3508" s="10" t="s">
        <v>106</v>
      </c>
      <c r="BA3508" s="20" t="b">
        <v>1</v>
      </c>
      <c r="BB3508" s="10"/>
      <c r="BC3508" s="17">
        <v>136328</v>
      </c>
      <c r="BD3508" s="17">
        <v>88153</v>
      </c>
      <c r="BE3508" s="17">
        <v>1285963</v>
      </c>
      <c r="BF3508" s="17">
        <v>130.15</v>
      </c>
      <c r="BG3508" s="11">
        <f ca="1">IFERROR(__xludf.DUMMYFUNCTION("""COMPUTED_VALUE"""),46029.3402777777)</f>
        <v>46029.340277777701</v>
      </c>
      <c r="BH3508" s="17" t="s">
        <v>105</v>
      </c>
      <c r="BI3508" s="17"/>
      <c r="BJ3508" s="15"/>
      <c r="BK3508" s="15"/>
      <c r="BL3508" s="13" t="b">
        <v>0</v>
      </c>
      <c r="BM3508" s="10"/>
      <c r="BN3508" s="10" t="s">
        <v>634</v>
      </c>
      <c r="BO3508" s="11">
        <v>46022.67291666667</v>
      </c>
      <c r="BP3508" s="11">
        <v>46022.734675925924</v>
      </c>
      <c r="BQ3508" s="15">
        <v>46028.694560185184</v>
      </c>
      <c r="BR3508" s="15">
        <v>46028.743368055555</v>
      </c>
      <c r="BS3508" s="10" t="s">
        <v>634</v>
      </c>
      <c r="BT3508" s="10" t="s">
        <v>99</v>
      </c>
      <c r="BU3508" s="10" t="s">
        <v>24790</v>
      </c>
      <c r="BV3508" s="10"/>
      <c r="BW3508" s="10"/>
      <c r="BX3508" s="10"/>
      <c r="BY3508" s="23"/>
      <c r="BZ3508" s="23"/>
      <c r="CA3508" s="19" t="s">
        <v>24802</v>
      </c>
      <c r="CB3508" s="23"/>
      <c r="CC3508" s="23"/>
      <c r="CD3508" s="23"/>
      <c r="CE3508" s="23"/>
      <c r="CF3508" s="23"/>
      <c r="CG3508" s="23"/>
      <c r="CH3508" s="23"/>
      <c r="CI3508" s="23"/>
    </row>
    <row r="3509" spans="1:87" x14ac:dyDescent="0.3">
      <c r="A3509" s="9" t="s">
        <v>24803</v>
      </c>
      <c r="B3509" s="10" t="s">
        <v>24804</v>
      </c>
      <c r="C3509" s="11">
        <v>46035.541666666664</v>
      </c>
      <c r="D3509" s="12">
        <v>6.25E-2</v>
      </c>
      <c r="E3509" s="11">
        <v>46035.604166666664</v>
      </c>
      <c r="F3509" s="22" t="s">
        <v>24805</v>
      </c>
      <c r="G3509" s="13" t="b">
        <v>0</v>
      </c>
      <c r="H3509" s="22" t="s">
        <v>6271</v>
      </c>
      <c r="I3509" s="10" t="s">
        <v>89</v>
      </c>
      <c r="J3509" s="13" t="b">
        <v>0</v>
      </c>
      <c r="K3509" s="13" t="b">
        <v>1</v>
      </c>
      <c r="L3509" s="10" t="s">
        <v>124</v>
      </c>
      <c r="M3509" s="10" t="s">
        <v>91</v>
      </c>
      <c r="N3509" s="10" t="s">
        <v>92</v>
      </c>
      <c r="O3509" s="10"/>
      <c r="P3509" s="10"/>
      <c r="Q3509" s="10" t="s">
        <v>94</v>
      </c>
      <c r="R3509" s="10"/>
      <c r="S3509" s="10"/>
      <c r="T3509" s="10"/>
      <c r="U3509" s="10"/>
      <c r="V3509" s="10"/>
      <c r="W3509" s="10" t="s">
        <v>24806</v>
      </c>
      <c r="X3509" s="10" t="s">
        <v>21724</v>
      </c>
      <c r="Y3509" s="10" t="s">
        <v>21724</v>
      </c>
      <c r="Z3509" s="10" t="s">
        <v>99</v>
      </c>
      <c r="AA3509" s="10" t="s">
        <v>131</v>
      </c>
      <c r="AB3509" s="10" t="s">
        <v>24807</v>
      </c>
      <c r="AC3509" s="10" t="s">
        <v>21726</v>
      </c>
      <c r="AD3509" s="10" t="s">
        <v>165</v>
      </c>
      <c r="AE3509" s="10" t="s">
        <v>24808</v>
      </c>
      <c r="AF3509" s="15"/>
      <c r="AG3509" s="10"/>
      <c r="AH3509" s="10"/>
      <c r="AI3509" s="10"/>
      <c r="AJ3509" s="10"/>
      <c r="AK3509" s="10"/>
      <c r="AL3509" s="10"/>
      <c r="AM3509" s="10"/>
      <c r="AN3509" s="10"/>
      <c r="AO3509" s="13" t="b">
        <v>0</v>
      </c>
      <c r="AP3509" s="22" t="s">
        <v>135</v>
      </c>
      <c r="AQ3509" s="10"/>
      <c r="AR3509" s="17"/>
      <c r="AS3509" s="17"/>
      <c r="AT3509" s="17"/>
      <c r="AU3509" s="17"/>
      <c r="AV3509" s="17"/>
      <c r="AW3509" s="10"/>
      <c r="AX3509" s="17"/>
      <c r="AY3509" s="18" t="s">
        <v>257</v>
      </c>
      <c r="AZ3509" s="10"/>
      <c r="BA3509" s="20" t="b">
        <v>0</v>
      </c>
      <c r="BB3509" s="10"/>
      <c r="BC3509" s="17" t="s">
        <v>257</v>
      </c>
      <c r="BD3509" s="17" t="s">
        <v>257</v>
      </c>
      <c r="BE3509" s="17" t="s">
        <v>257</v>
      </c>
      <c r="BF3509" s="17" t="s">
        <v>257</v>
      </c>
      <c r="BG3509" s="11">
        <f ca="1">IFERROR(__xludf.DUMMYFUNCTION("""COMPUTED_VALUE"""),46035.5416666666)</f>
        <v>46035.541666666599</v>
      </c>
      <c r="BH3509" s="17"/>
      <c r="BI3509" s="17"/>
      <c r="BJ3509" s="15"/>
      <c r="BK3509" s="15"/>
      <c r="BL3509" s="13" t="b">
        <v>0</v>
      </c>
      <c r="BM3509" s="10"/>
      <c r="BN3509" s="10" t="s">
        <v>18577</v>
      </c>
      <c r="BO3509" s="11">
        <v>46022.722916666666</v>
      </c>
      <c r="BP3509" s="11">
        <v>46022.723275462966</v>
      </c>
      <c r="BQ3509" s="15"/>
      <c r="BR3509" s="15"/>
      <c r="BS3509" s="10"/>
      <c r="BT3509" s="10"/>
      <c r="BU3509" s="10"/>
      <c r="BV3509" s="10"/>
      <c r="BW3509" s="10"/>
      <c r="BX3509" s="10"/>
      <c r="BY3509" s="23"/>
      <c r="BZ3509" s="23"/>
      <c r="CA3509" s="10"/>
      <c r="CB3509" s="23"/>
      <c r="CC3509" s="23"/>
      <c r="CD3509" s="23"/>
      <c r="CE3509" s="23"/>
      <c r="CF3509" s="23"/>
      <c r="CG3509" s="23"/>
      <c r="CH3509" s="23"/>
      <c r="CI3509" s="23"/>
    </row>
    <row r="3510" spans="1:87" x14ac:dyDescent="0.3">
      <c r="A3510" s="9" t="s">
        <v>24809</v>
      </c>
      <c r="B3510" s="10" t="s">
        <v>24810</v>
      </c>
      <c r="C3510" s="11">
        <v>46035.625</v>
      </c>
      <c r="D3510" s="12">
        <v>6.25E-2</v>
      </c>
      <c r="E3510" s="11">
        <v>46035.6875</v>
      </c>
      <c r="F3510" s="22" t="s">
        <v>24805</v>
      </c>
      <c r="G3510" s="13" t="b">
        <v>0</v>
      </c>
      <c r="H3510" s="22" t="s">
        <v>6271</v>
      </c>
      <c r="I3510" s="10" t="s">
        <v>89</v>
      </c>
      <c r="J3510" s="13" t="b">
        <v>0</v>
      </c>
      <c r="K3510" s="13" t="b">
        <v>1</v>
      </c>
      <c r="L3510" s="10" t="s">
        <v>124</v>
      </c>
      <c r="M3510" s="10" t="s">
        <v>91</v>
      </c>
      <c r="N3510" s="10" t="s">
        <v>92</v>
      </c>
      <c r="O3510" s="10"/>
      <c r="P3510" s="10"/>
      <c r="Q3510" s="10" t="s">
        <v>94</v>
      </c>
      <c r="R3510" s="10"/>
      <c r="S3510" s="10"/>
      <c r="T3510" s="10"/>
      <c r="U3510" s="10"/>
      <c r="V3510" s="10"/>
      <c r="W3510" s="10" t="s">
        <v>24806</v>
      </c>
      <c r="X3510" s="10" t="s">
        <v>21724</v>
      </c>
      <c r="Y3510" s="10" t="s">
        <v>21724</v>
      </c>
      <c r="Z3510" s="10" t="s">
        <v>99</v>
      </c>
      <c r="AA3510" s="10" t="s">
        <v>131</v>
      </c>
      <c r="AB3510" s="10" t="s">
        <v>24807</v>
      </c>
      <c r="AC3510" s="10" t="s">
        <v>21726</v>
      </c>
      <c r="AD3510" s="10" t="s">
        <v>165</v>
      </c>
      <c r="AE3510" s="10" t="s">
        <v>24811</v>
      </c>
      <c r="AF3510" s="15"/>
      <c r="AG3510" s="10"/>
      <c r="AH3510" s="10"/>
      <c r="AI3510" s="10"/>
      <c r="AJ3510" s="10"/>
      <c r="AK3510" s="10"/>
      <c r="AL3510" s="10"/>
      <c r="AM3510" s="10"/>
      <c r="AN3510" s="10"/>
      <c r="AO3510" s="13" t="b">
        <v>0</v>
      </c>
      <c r="AP3510" s="22" t="s">
        <v>104</v>
      </c>
      <c r="AQ3510" s="10"/>
      <c r="AR3510" s="17"/>
      <c r="AS3510" s="17"/>
      <c r="AT3510" s="17"/>
      <c r="AU3510" s="17"/>
      <c r="AV3510" s="17"/>
      <c r="AW3510" s="10"/>
      <c r="AX3510" s="17"/>
      <c r="AY3510" s="18" t="s">
        <v>257</v>
      </c>
      <c r="AZ3510" s="10"/>
      <c r="BA3510" s="20" t="b">
        <v>0</v>
      </c>
      <c r="BB3510" s="10"/>
      <c r="BC3510" s="17" t="s">
        <v>257</v>
      </c>
      <c r="BD3510" s="17" t="s">
        <v>257</v>
      </c>
      <c r="BE3510" s="17" t="s">
        <v>257</v>
      </c>
      <c r="BF3510" s="17" t="s">
        <v>257</v>
      </c>
      <c r="BG3510" s="11">
        <f ca="1">IFERROR(__xludf.DUMMYFUNCTION("""COMPUTED_VALUE"""),46035.625)</f>
        <v>46035.625</v>
      </c>
      <c r="BH3510" s="17"/>
      <c r="BI3510" s="17"/>
      <c r="BJ3510" s="15"/>
      <c r="BK3510" s="15"/>
      <c r="BL3510" s="13" t="b">
        <v>0</v>
      </c>
      <c r="BM3510" s="10"/>
      <c r="BN3510" s="10" t="s">
        <v>18577</v>
      </c>
      <c r="BO3510" s="11">
        <v>46022.725694444445</v>
      </c>
      <c r="BP3510" s="11">
        <v>46022.726111111115</v>
      </c>
      <c r="BQ3510" s="15"/>
      <c r="BR3510" s="15"/>
      <c r="BS3510" s="10"/>
      <c r="BT3510" s="10"/>
      <c r="BU3510" s="10"/>
      <c r="BV3510" s="10"/>
      <c r="BW3510" s="10"/>
      <c r="BX3510" s="10"/>
      <c r="BY3510" s="23"/>
      <c r="BZ3510" s="23"/>
      <c r="CA3510" s="10"/>
      <c r="CB3510" s="23"/>
      <c r="CC3510" s="23"/>
      <c r="CD3510" s="23"/>
      <c r="CE3510" s="23"/>
      <c r="CF3510" s="23"/>
      <c r="CG3510" s="23"/>
      <c r="CH3510" s="23"/>
      <c r="CI3510" s="23"/>
    </row>
    <row r="3511" spans="1:87" x14ac:dyDescent="0.3">
      <c r="A3511" s="9" t="s">
        <v>24812</v>
      </c>
      <c r="B3511" s="10" t="s">
        <v>24813</v>
      </c>
      <c r="C3511" s="11">
        <v>46036.541666666664</v>
      </c>
      <c r="D3511" s="12">
        <v>6.25E-2</v>
      </c>
      <c r="E3511" s="11">
        <v>46036.604166666664</v>
      </c>
      <c r="F3511" s="22" t="s">
        <v>24805</v>
      </c>
      <c r="G3511" s="13" t="b">
        <v>0</v>
      </c>
      <c r="H3511" s="22" t="s">
        <v>6271</v>
      </c>
      <c r="I3511" s="10" t="s">
        <v>89</v>
      </c>
      <c r="J3511" s="13" t="b">
        <v>0</v>
      </c>
      <c r="K3511" s="13" t="b">
        <v>1</v>
      </c>
      <c r="L3511" s="10" t="s">
        <v>124</v>
      </c>
      <c r="M3511" s="10" t="s">
        <v>91</v>
      </c>
      <c r="N3511" s="10" t="s">
        <v>92</v>
      </c>
      <c r="O3511" s="10"/>
      <c r="P3511" s="10"/>
      <c r="Q3511" s="10" t="s">
        <v>94</v>
      </c>
      <c r="R3511" s="10"/>
      <c r="S3511" s="10"/>
      <c r="T3511" s="10"/>
      <c r="U3511" s="10"/>
      <c r="V3511" s="10"/>
      <c r="W3511" s="10" t="s">
        <v>24806</v>
      </c>
      <c r="X3511" s="10" t="s">
        <v>21724</v>
      </c>
      <c r="Y3511" s="10" t="s">
        <v>21724</v>
      </c>
      <c r="Z3511" s="10" t="s">
        <v>99</v>
      </c>
      <c r="AA3511" s="10" t="s">
        <v>131</v>
      </c>
      <c r="AB3511" s="10" t="s">
        <v>24807</v>
      </c>
      <c r="AC3511" s="10" t="s">
        <v>21726</v>
      </c>
      <c r="AD3511" s="10" t="s">
        <v>165</v>
      </c>
      <c r="AE3511" s="10" t="s">
        <v>24814</v>
      </c>
      <c r="AF3511" s="15"/>
      <c r="AG3511" s="10"/>
      <c r="AH3511" s="10"/>
      <c r="AI3511" s="10"/>
      <c r="AJ3511" s="10"/>
      <c r="AK3511" s="10"/>
      <c r="AL3511" s="10"/>
      <c r="AM3511" s="10"/>
      <c r="AN3511" s="10"/>
      <c r="AO3511" s="13" t="b">
        <v>0</v>
      </c>
      <c r="AP3511" s="22" t="s">
        <v>135</v>
      </c>
      <c r="AQ3511" s="10"/>
      <c r="AR3511" s="17"/>
      <c r="AS3511" s="17"/>
      <c r="AT3511" s="17"/>
      <c r="AU3511" s="17"/>
      <c r="AV3511" s="17"/>
      <c r="AW3511" s="10"/>
      <c r="AX3511" s="17"/>
      <c r="AY3511" s="18" t="s">
        <v>257</v>
      </c>
      <c r="AZ3511" s="10"/>
      <c r="BA3511" s="20" t="b">
        <v>0</v>
      </c>
      <c r="BB3511" s="10"/>
      <c r="BC3511" s="17" t="s">
        <v>257</v>
      </c>
      <c r="BD3511" s="17" t="s">
        <v>257</v>
      </c>
      <c r="BE3511" s="17" t="s">
        <v>257</v>
      </c>
      <c r="BF3511" s="17" t="s">
        <v>257</v>
      </c>
      <c r="BG3511" s="11">
        <f ca="1">IFERROR(__xludf.DUMMYFUNCTION("""COMPUTED_VALUE"""),46036.5416666666)</f>
        <v>46036.541666666599</v>
      </c>
      <c r="BH3511" s="17"/>
      <c r="BI3511" s="17"/>
      <c r="BJ3511" s="15"/>
      <c r="BK3511" s="15"/>
      <c r="BL3511" s="13"/>
      <c r="BM3511" s="10" t="s">
        <v>107</v>
      </c>
      <c r="BN3511" s="10" t="s">
        <v>18577</v>
      </c>
      <c r="BO3511" s="11">
        <v>46022.726388888892</v>
      </c>
      <c r="BP3511" s="11">
        <v>46022.728703703702</v>
      </c>
      <c r="BQ3511" s="15"/>
      <c r="BR3511" s="15"/>
      <c r="BS3511" s="10"/>
      <c r="BT3511" s="10"/>
      <c r="BU3511" s="10"/>
      <c r="BV3511" s="10"/>
      <c r="BW3511" s="10"/>
      <c r="BX3511" s="10"/>
      <c r="BY3511" s="23"/>
      <c r="BZ3511" s="23"/>
      <c r="CA3511" s="10"/>
      <c r="CB3511" s="23"/>
      <c r="CC3511" s="23"/>
      <c r="CD3511" s="23"/>
      <c r="CE3511" s="23"/>
      <c r="CF3511" s="23"/>
      <c r="CG3511" s="23"/>
      <c r="CH3511" s="23"/>
      <c r="CI3511" s="23"/>
    </row>
    <row r="3512" spans="1:87" x14ac:dyDescent="0.3">
      <c r="A3512" s="9" t="s">
        <v>24815</v>
      </c>
      <c r="B3512" s="10" t="s">
        <v>24816</v>
      </c>
      <c r="C3512" s="11">
        <v>46036.645833333336</v>
      </c>
      <c r="D3512" s="12">
        <v>8.3333333333333329E-2</v>
      </c>
      <c r="E3512" s="11">
        <v>46036.729166666664</v>
      </c>
      <c r="F3512" s="22" t="s">
        <v>24805</v>
      </c>
      <c r="G3512" s="13" t="b">
        <v>0</v>
      </c>
      <c r="H3512" s="22" t="s">
        <v>6271</v>
      </c>
      <c r="I3512" s="10" t="s">
        <v>89</v>
      </c>
      <c r="J3512" s="13" t="b">
        <v>0</v>
      </c>
      <c r="K3512" s="13" t="b">
        <v>1</v>
      </c>
      <c r="L3512" s="10" t="s">
        <v>124</v>
      </c>
      <c r="M3512" s="10" t="s">
        <v>91</v>
      </c>
      <c r="N3512" s="10" t="s">
        <v>92</v>
      </c>
      <c r="O3512" s="10"/>
      <c r="P3512" s="10"/>
      <c r="Q3512" s="10" t="s">
        <v>94</v>
      </c>
      <c r="R3512" s="10"/>
      <c r="S3512" s="10"/>
      <c r="T3512" s="10"/>
      <c r="U3512" s="10"/>
      <c r="V3512" s="10"/>
      <c r="W3512" s="10" t="s">
        <v>24806</v>
      </c>
      <c r="X3512" s="10" t="s">
        <v>21724</v>
      </c>
      <c r="Y3512" s="10" t="s">
        <v>21724</v>
      </c>
      <c r="Z3512" s="10" t="s">
        <v>99</v>
      </c>
      <c r="AA3512" s="10" t="s">
        <v>131</v>
      </c>
      <c r="AB3512" s="10" t="s">
        <v>24807</v>
      </c>
      <c r="AC3512" s="10" t="s">
        <v>21726</v>
      </c>
      <c r="AD3512" s="10" t="s">
        <v>165</v>
      </c>
      <c r="AE3512" s="10" t="s">
        <v>24817</v>
      </c>
      <c r="AF3512" s="15"/>
      <c r="AG3512" s="10"/>
      <c r="AH3512" s="10"/>
      <c r="AI3512" s="10"/>
      <c r="AJ3512" s="10"/>
      <c r="AK3512" s="10"/>
      <c r="AL3512" s="10"/>
      <c r="AM3512" s="10"/>
      <c r="AN3512" s="10"/>
      <c r="AO3512" s="13" t="b">
        <v>0</v>
      </c>
      <c r="AP3512" s="22"/>
      <c r="AQ3512" s="10"/>
      <c r="AR3512" s="17"/>
      <c r="AS3512" s="17"/>
      <c r="AT3512" s="17"/>
      <c r="AU3512" s="17"/>
      <c r="AV3512" s="17"/>
      <c r="AW3512" s="10"/>
      <c r="AX3512" s="17"/>
      <c r="AY3512" s="18" t="s">
        <v>257</v>
      </c>
      <c r="AZ3512" s="10"/>
      <c r="BA3512" s="20" t="b">
        <v>0</v>
      </c>
      <c r="BB3512" s="10"/>
      <c r="BC3512" s="17" t="s">
        <v>257</v>
      </c>
      <c r="BD3512" s="17" t="s">
        <v>257</v>
      </c>
      <c r="BE3512" s="17" t="s">
        <v>257</v>
      </c>
      <c r="BF3512" s="17" t="s">
        <v>257</v>
      </c>
      <c r="BG3512" s="11">
        <f ca="1">IFERROR(__xludf.DUMMYFUNCTION("""COMPUTED_VALUE"""),46036.6458333333)</f>
        <v>46036.645833333299</v>
      </c>
      <c r="BH3512" s="17"/>
      <c r="BI3512" s="17"/>
      <c r="BJ3512" s="15"/>
      <c r="BK3512" s="15"/>
      <c r="BL3512" s="13" t="b">
        <v>0</v>
      </c>
      <c r="BM3512" s="10"/>
      <c r="BN3512" s="10" t="s">
        <v>18577</v>
      </c>
      <c r="BO3512" s="11">
        <v>46022.730555555558</v>
      </c>
      <c r="BP3512" s="11">
        <v>46022.730879629627</v>
      </c>
      <c r="BQ3512" s="15"/>
      <c r="BR3512" s="15"/>
      <c r="BS3512" s="10"/>
      <c r="BT3512" s="10"/>
      <c r="BU3512" s="10"/>
      <c r="BV3512" s="10"/>
      <c r="BW3512" s="10"/>
      <c r="BX3512" s="10"/>
      <c r="BY3512" s="23"/>
      <c r="BZ3512" s="23"/>
      <c r="CA3512" s="10"/>
      <c r="CB3512" s="23"/>
      <c r="CC3512" s="23"/>
      <c r="CD3512" s="23"/>
      <c r="CE3512" s="23"/>
      <c r="CF3512" s="23"/>
      <c r="CG3512" s="23"/>
      <c r="CH3512" s="23"/>
      <c r="CI3512" s="23"/>
    </row>
    <row r="3513" spans="1:87" x14ac:dyDescent="0.3">
      <c r="A3513" s="9" t="s">
        <v>24818</v>
      </c>
      <c r="B3513" s="10" t="s">
        <v>24819</v>
      </c>
      <c r="C3513" s="11">
        <v>46037.291666666664</v>
      </c>
      <c r="D3513" s="12">
        <v>0.33333333333333331</v>
      </c>
      <c r="E3513" s="11">
        <v>46037.625</v>
      </c>
      <c r="F3513" s="22" t="s">
        <v>24805</v>
      </c>
      <c r="G3513" s="13" t="b">
        <v>0</v>
      </c>
      <c r="H3513" s="22" t="s">
        <v>3578</v>
      </c>
      <c r="I3513" s="10" t="s">
        <v>89</v>
      </c>
      <c r="J3513" s="13" t="b">
        <v>0</v>
      </c>
      <c r="K3513" s="13" t="b">
        <v>1</v>
      </c>
      <c r="L3513" s="10" t="s">
        <v>124</v>
      </c>
      <c r="M3513" s="10" t="s">
        <v>91</v>
      </c>
      <c r="N3513" s="10" t="s">
        <v>92</v>
      </c>
      <c r="O3513" s="10"/>
      <c r="P3513" s="10"/>
      <c r="Q3513" s="10" t="s">
        <v>94</v>
      </c>
      <c r="R3513" s="10"/>
      <c r="S3513" s="10"/>
      <c r="T3513" s="10"/>
      <c r="U3513" s="10"/>
      <c r="V3513" s="10"/>
      <c r="W3513" s="10" t="s">
        <v>24806</v>
      </c>
      <c r="X3513" s="10" t="s">
        <v>21724</v>
      </c>
      <c r="Y3513" s="10" t="s">
        <v>21724</v>
      </c>
      <c r="Z3513" s="10" t="s">
        <v>99</v>
      </c>
      <c r="AA3513" s="10" t="s">
        <v>131</v>
      </c>
      <c r="AB3513" s="10" t="s">
        <v>24807</v>
      </c>
      <c r="AC3513" s="10" t="s">
        <v>21726</v>
      </c>
      <c r="AD3513" s="10" t="s">
        <v>165</v>
      </c>
      <c r="AE3513" s="10" t="s">
        <v>24820</v>
      </c>
      <c r="AF3513" s="15"/>
      <c r="AG3513" s="10"/>
      <c r="AH3513" s="10"/>
      <c r="AI3513" s="10"/>
      <c r="AJ3513" s="10"/>
      <c r="AK3513" s="10"/>
      <c r="AL3513" s="10"/>
      <c r="AM3513" s="10"/>
      <c r="AN3513" s="10"/>
      <c r="AO3513" s="13" t="b">
        <v>0</v>
      </c>
      <c r="AP3513" s="22"/>
      <c r="AQ3513" s="10"/>
      <c r="AR3513" s="17"/>
      <c r="AS3513" s="17"/>
      <c r="AT3513" s="17"/>
      <c r="AU3513" s="17"/>
      <c r="AV3513" s="17"/>
      <c r="AW3513" s="10"/>
      <c r="AX3513" s="17"/>
      <c r="AY3513" s="18" t="s">
        <v>257</v>
      </c>
      <c r="AZ3513" s="10"/>
      <c r="BA3513" s="20" t="b">
        <v>0</v>
      </c>
      <c r="BB3513" s="10"/>
      <c r="BC3513" s="17" t="s">
        <v>257</v>
      </c>
      <c r="BD3513" s="17" t="s">
        <v>257</v>
      </c>
      <c r="BE3513" s="17" t="s">
        <v>257</v>
      </c>
      <c r="BF3513" s="17" t="s">
        <v>257</v>
      </c>
      <c r="BG3513" s="11">
        <f ca="1">IFERROR(__xludf.DUMMYFUNCTION("""COMPUTED_VALUE"""),46037.2916666666)</f>
        <v>46037.291666666599</v>
      </c>
      <c r="BH3513" s="17"/>
      <c r="BI3513" s="17"/>
      <c r="BJ3513" s="15"/>
      <c r="BK3513" s="15"/>
      <c r="BL3513" s="13" t="b">
        <v>0</v>
      </c>
      <c r="BM3513" s="10"/>
      <c r="BN3513" s="10" t="s">
        <v>18577</v>
      </c>
      <c r="BO3513" s="11">
        <v>46022.731249999997</v>
      </c>
      <c r="BP3513" s="11">
        <v>46022.73170138889</v>
      </c>
      <c r="BQ3513" s="15"/>
      <c r="BR3513" s="15"/>
      <c r="BS3513" s="10"/>
      <c r="BT3513" s="10"/>
      <c r="BU3513" s="10"/>
      <c r="BV3513" s="10"/>
      <c r="BW3513" s="10"/>
      <c r="BX3513" s="10"/>
      <c r="BY3513" s="23"/>
      <c r="BZ3513" s="23"/>
      <c r="CA3513" s="10"/>
      <c r="CB3513" s="23"/>
      <c r="CC3513" s="23"/>
      <c r="CD3513" s="23"/>
      <c r="CE3513" s="23"/>
      <c r="CF3513" s="23"/>
      <c r="CG3513" s="23"/>
      <c r="CH3513" s="23"/>
      <c r="CI3513" s="23"/>
    </row>
    <row r="3514" spans="1:87" x14ac:dyDescent="0.3">
      <c r="A3514" s="25" t="s">
        <v>24821</v>
      </c>
      <c r="B3514" s="10" t="s">
        <v>24822</v>
      </c>
      <c r="C3514" s="11">
        <v>46037.541666666664</v>
      </c>
      <c r="D3514" s="12">
        <v>6.25E-2</v>
      </c>
      <c r="E3514" s="11">
        <v>46037.604166666664</v>
      </c>
      <c r="F3514" s="22" t="s">
        <v>24805</v>
      </c>
      <c r="G3514" s="13" t="b">
        <v>0</v>
      </c>
      <c r="H3514" s="22" t="s">
        <v>6271</v>
      </c>
      <c r="I3514" s="10" t="s">
        <v>89</v>
      </c>
      <c r="J3514" s="13" t="b">
        <v>0</v>
      </c>
      <c r="K3514" s="13" t="b">
        <v>1</v>
      </c>
      <c r="L3514" s="10" t="s">
        <v>124</v>
      </c>
      <c r="M3514" s="10" t="s">
        <v>91</v>
      </c>
      <c r="N3514" s="10" t="s">
        <v>92</v>
      </c>
      <c r="O3514" s="10"/>
      <c r="P3514" s="10"/>
      <c r="Q3514" s="10" t="s">
        <v>94</v>
      </c>
      <c r="R3514" s="10"/>
      <c r="S3514" s="10"/>
      <c r="T3514" s="10"/>
      <c r="U3514" s="10"/>
      <c r="V3514" s="10"/>
      <c r="W3514" s="10" t="s">
        <v>24806</v>
      </c>
      <c r="X3514" s="10" t="s">
        <v>21724</v>
      </c>
      <c r="Y3514" s="10" t="s">
        <v>21724</v>
      </c>
      <c r="Z3514" s="10" t="s">
        <v>99</v>
      </c>
      <c r="AA3514" s="10" t="s">
        <v>131</v>
      </c>
      <c r="AB3514" s="10" t="s">
        <v>24807</v>
      </c>
      <c r="AC3514" s="10" t="s">
        <v>21726</v>
      </c>
      <c r="AD3514" s="10" t="s">
        <v>165</v>
      </c>
      <c r="AE3514" s="10" t="s">
        <v>24823</v>
      </c>
      <c r="AF3514" s="15"/>
      <c r="AG3514" s="10"/>
      <c r="AH3514" s="10"/>
      <c r="AI3514" s="10"/>
      <c r="AJ3514" s="10"/>
      <c r="AK3514" s="10"/>
      <c r="AL3514" s="10"/>
      <c r="AM3514" s="10"/>
      <c r="AN3514" s="10"/>
      <c r="AO3514" s="13" t="b">
        <v>0</v>
      </c>
      <c r="AP3514" s="22"/>
      <c r="AQ3514" s="10"/>
      <c r="AR3514" s="17"/>
      <c r="AS3514" s="17"/>
      <c r="AT3514" s="17"/>
      <c r="AU3514" s="17"/>
      <c r="AV3514" s="17"/>
      <c r="AW3514" s="10"/>
      <c r="AX3514" s="17"/>
      <c r="AY3514" s="18" t="s">
        <v>257</v>
      </c>
      <c r="AZ3514" s="10"/>
      <c r="BA3514" s="20" t="b">
        <v>0</v>
      </c>
      <c r="BB3514" s="10"/>
      <c r="BC3514" s="17" t="s">
        <v>257</v>
      </c>
      <c r="BD3514" s="17" t="s">
        <v>257</v>
      </c>
      <c r="BE3514" s="17" t="s">
        <v>257</v>
      </c>
      <c r="BF3514" s="17" t="s">
        <v>257</v>
      </c>
      <c r="BG3514" s="11">
        <f ca="1">IFERROR(__xludf.DUMMYFUNCTION("""COMPUTED_VALUE"""),46037.5416666666)</f>
        <v>46037.541666666599</v>
      </c>
      <c r="BH3514" s="17"/>
      <c r="BI3514" s="17"/>
      <c r="BJ3514" s="15"/>
      <c r="BK3514" s="15"/>
      <c r="BL3514" s="13" t="b">
        <v>0</v>
      </c>
      <c r="BM3514" s="10"/>
      <c r="BN3514" s="10" t="s">
        <v>18577</v>
      </c>
      <c r="BO3514" s="11">
        <v>46022.731944444444</v>
      </c>
      <c r="BP3514" s="11">
        <v>46022.732465277775</v>
      </c>
      <c r="BQ3514" s="15"/>
      <c r="BR3514" s="15"/>
      <c r="BS3514" s="10"/>
      <c r="BT3514" s="10"/>
      <c r="BU3514" s="10"/>
      <c r="BV3514" s="10"/>
      <c r="BW3514" s="10"/>
      <c r="BX3514" s="10"/>
      <c r="BY3514" s="23"/>
      <c r="BZ3514" s="23"/>
      <c r="CA3514" s="10"/>
      <c r="CB3514" s="23"/>
      <c r="CC3514" s="23"/>
      <c r="CD3514" s="23"/>
      <c r="CE3514" s="23"/>
      <c r="CF3514" s="23"/>
      <c r="CG3514" s="23"/>
      <c r="CH3514" s="23"/>
      <c r="CI3514" s="23"/>
    </row>
    <row r="3515" spans="1:87" x14ac:dyDescent="0.3">
      <c r="A3515" s="9" t="s">
        <v>24824</v>
      </c>
      <c r="B3515" s="10" t="s">
        <v>24825</v>
      </c>
      <c r="C3515" s="11">
        <v>46037.625</v>
      </c>
      <c r="D3515" s="12">
        <v>6.25E-2</v>
      </c>
      <c r="E3515" s="11">
        <v>46037.6875</v>
      </c>
      <c r="F3515" s="22" t="s">
        <v>24805</v>
      </c>
      <c r="G3515" s="13" t="b">
        <v>0</v>
      </c>
      <c r="H3515" s="22" t="s">
        <v>6271</v>
      </c>
      <c r="I3515" s="10" t="s">
        <v>89</v>
      </c>
      <c r="J3515" s="13" t="b">
        <v>0</v>
      </c>
      <c r="K3515" s="13" t="b">
        <v>1</v>
      </c>
      <c r="L3515" s="10" t="s">
        <v>124</v>
      </c>
      <c r="M3515" s="10" t="s">
        <v>91</v>
      </c>
      <c r="N3515" s="10" t="s">
        <v>92</v>
      </c>
      <c r="O3515" s="10"/>
      <c r="P3515" s="10"/>
      <c r="Q3515" s="10" t="s">
        <v>94</v>
      </c>
      <c r="R3515" s="10"/>
      <c r="S3515" s="10"/>
      <c r="T3515" s="10"/>
      <c r="U3515" s="10"/>
      <c r="V3515" s="10"/>
      <c r="W3515" s="10" t="s">
        <v>24806</v>
      </c>
      <c r="X3515" s="10" t="s">
        <v>21724</v>
      </c>
      <c r="Y3515" s="10" t="s">
        <v>21724</v>
      </c>
      <c r="Z3515" s="10" t="s">
        <v>99</v>
      </c>
      <c r="AA3515" s="10" t="s">
        <v>131</v>
      </c>
      <c r="AB3515" s="10" t="s">
        <v>24807</v>
      </c>
      <c r="AC3515" s="10" t="s">
        <v>21726</v>
      </c>
      <c r="AD3515" s="10" t="s">
        <v>165</v>
      </c>
      <c r="AE3515" s="10" t="s">
        <v>24826</v>
      </c>
      <c r="AF3515" s="15"/>
      <c r="AG3515" s="10"/>
      <c r="AH3515" s="10"/>
      <c r="AI3515" s="10"/>
      <c r="AJ3515" s="10"/>
      <c r="AK3515" s="10"/>
      <c r="AL3515" s="10"/>
      <c r="AM3515" s="10"/>
      <c r="AN3515" s="10"/>
      <c r="AO3515" s="13" t="b">
        <v>0</v>
      </c>
      <c r="AP3515" s="22" t="s">
        <v>104</v>
      </c>
      <c r="AQ3515" s="10"/>
      <c r="AR3515" s="17"/>
      <c r="AS3515" s="17"/>
      <c r="AT3515" s="17"/>
      <c r="AU3515" s="17"/>
      <c r="AV3515" s="17"/>
      <c r="AW3515" s="10"/>
      <c r="AX3515" s="17"/>
      <c r="AY3515" s="18" t="s">
        <v>257</v>
      </c>
      <c r="AZ3515" s="10"/>
      <c r="BA3515" s="20" t="b">
        <v>0</v>
      </c>
      <c r="BB3515" s="10"/>
      <c r="BC3515" s="17" t="s">
        <v>257</v>
      </c>
      <c r="BD3515" s="17" t="s">
        <v>257</v>
      </c>
      <c r="BE3515" s="17" t="s">
        <v>257</v>
      </c>
      <c r="BF3515" s="17" t="s">
        <v>257</v>
      </c>
      <c r="BG3515" s="11">
        <f ca="1">IFERROR(__xludf.DUMMYFUNCTION("""COMPUTED_VALUE"""),46037.625)</f>
        <v>46037.625</v>
      </c>
      <c r="BH3515" s="17"/>
      <c r="BI3515" s="17"/>
      <c r="BJ3515" s="15"/>
      <c r="BK3515" s="15"/>
      <c r="BL3515" s="13" t="b">
        <v>0</v>
      </c>
      <c r="BM3515" s="10"/>
      <c r="BN3515" s="10" t="s">
        <v>18577</v>
      </c>
      <c r="BO3515" s="11">
        <v>46022.732638888891</v>
      </c>
      <c r="BP3515" s="11">
        <v>46022.733252314814</v>
      </c>
      <c r="BQ3515" s="15"/>
      <c r="BR3515" s="15"/>
      <c r="BS3515" s="10"/>
      <c r="BT3515" s="10"/>
      <c r="BU3515" s="10"/>
      <c r="BV3515" s="10"/>
      <c r="BW3515" s="10"/>
      <c r="BX3515" s="10"/>
      <c r="BY3515" s="23"/>
      <c r="BZ3515" s="23"/>
      <c r="CA3515" s="10"/>
      <c r="CB3515" s="23"/>
      <c r="CC3515" s="23"/>
      <c r="CD3515" s="23"/>
      <c r="CE3515" s="23"/>
      <c r="CF3515" s="23"/>
      <c r="CG3515" s="23"/>
      <c r="CH3515" s="23"/>
      <c r="CI3515" s="23"/>
    </row>
    <row r="3516" spans="1:87" x14ac:dyDescent="0.3">
      <c r="A3516" s="9" t="s">
        <v>24827</v>
      </c>
      <c r="B3516" s="10" t="s">
        <v>24828</v>
      </c>
      <c r="C3516" s="11">
        <v>46038.541666666664</v>
      </c>
      <c r="D3516" s="12">
        <v>6.25E-2</v>
      </c>
      <c r="E3516" s="11">
        <v>46038.604166666664</v>
      </c>
      <c r="F3516" s="22" t="s">
        <v>24805</v>
      </c>
      <c r="G3516" s="13" t="b">
        <v>0</v>
      </c>
      <c r="H3516" s="22" t="s">
        <v>6271</v>
      </c>
      <c r="I3516" s="10" t="s">
        <v>89</v>
      </c>
      <c r="J3516" s="13" t="b">
        <v>0</v>
      </c>
      <c r="K3516" s="13" t="b">
        <v>1</v>
      </c>
      <c r="L3516" s="10" t="s">
        <v>124</v>
      </c>
      <c r="M3516" s="10" t="s">
        <v>91</v>
      </c>
      <c r="N3516" s="10" t="s">
        <v>92</v>
      </c>
      <c r="O3516" s="10"/>
      <c r="P3516" s="10"/>
      <c r="Q3516" s="10" t="s">
        <v>94</v>
      </c>
      <c r="R3516" s="10"/>
      <c r="S3516" s="10"/>
      <c r="T3516" s="10"/>
      <c r="U3516" s="10"/>
      <c r="V3516" s="10"/>
      <c r="W3516" s="10" t="s">
        <v>24806</v>
      </c>
      <c r="X3516" s="10" t="s">
        <v>21724</v>
      </c>
      <c r="Y3516" s="10" t="s">
        <v>21724</v>
      </c>
      <c r="Z3516" s="10" t="s">
        <v>99</v>
      </c>
      <c r="AA3516" s="10" t="s">
        <v>131</v>
      </c>
      <c r="AB3516" s="10" t="s">
        <v>24807</v>
      </c>
      <c r="AC3516" s="10" t="s">
        <v>21726</v>
      </c>
      <c r="AD3516" s="10" t="s">
        <v>165</v>
      </c>
      <c r="AE3516" s="10" t="s">
        <v>24829</v>
      </c>
      <c r="AF3516" s="15"/>
      <c r="AG3516" s="10"/>
      <c r="AH3516" s="10"/>
      <c r="AI3516" s="10"/>
      <c r="AJ3516" s="10"/>
      <c r="AK3516" s="10"/>
      <c r="AL3516" s="10"/>
      <c r="AM3516" s="10"/>
      <c r="AN3516" s="10"/>
      <c r="AO3516" s="13" t="b">
        <v>0</v>
      </c>
      <c r="AP3516" s="22" t="s">
        <v>104</v>
      </c>
      <c r="AQ3516" s="10"/>
      <c r="AR3516" s="17"/>
      <c r="AS3516" s="17"/>
      <c r="AT3516" s="17"/>
      <c r="AU3516" s="17"/>
      <c r="AV3516" s="17"/>
      <c r="AW3516" s="10"/>
      <c r="AX3516" s="17"/>
      <c r="AY3516" s="18" t="s">
        <v>257</v>
      </c>
      <c r="AZ3516" s="10"/>
      <c r="BA3516" s="20" t="b">
        <v>0</v>
      </c>
      <c r="BB3516" s="10"/>
      <c r="BC3516" s="17" t="s">
        <v>257</v>
      </c>
      <c r="BD3516" s="17" t="s">
        <v>257</v>
      </c>
      <c r="BE3516" s="17" t="s">
        <v>257</v>
      </c>
      <c r="BF3516" s="17" t="s">
        <v>257</v>
      </c>
      <c r="BG3516" s="11">
        <f ca="1">IFERROR(__xludf.DUMMYFUNCTION("""COMPUTED_VALUE"""),46038.5416666666)</f>
        <v>46038.541666666599</v>
      </c>
      <c r="BH3516" s="17"/>
      <c r="BI3516" s="17"/>
      <c r="BJ3516" s="15"/>
      <c r="BK3516" s="15"/>
      <c r="BL3516" s="13" t="b">
        <v>0</v>
      </c>
      <c r="BM3516" s="10"/>
      <c r="BN3516" s="10" t="s">
        <v>18577</v>
      </c>
      <c r="BO3516" s="11">
        <v>46022.73333333333</v>
      </c>
      <c r="BP3516" s="11">
        <v>46022.733877314815</v>
      </c>
      <c r="BQ3516" s="15"/>
      <c r="BR3516" s="15"/>
      <c r="BS3516" s="10"/>
      <c r="BT3516" s="10"/>
      <c r="BU3516" s="10"/>
      <c r="BV3516" s="10"/>
      <c r="BW3516" s="10"/>
      <c r="BX3516" s="10"/>
      <c r="BY3516" s="23"/>
      <c r="BZ3516" s="23"/>
      <c r="CA3516" s="10"/>
      <c r="CB3516" s="23"/>
      <c r="CC3516" s="23"/>
      <c r="CD3516" s="23"/>
      <c r="CE3516" s="23"/>
      <c r="CF3516" s="23"/>
      <c r="CG3516" s="23"/>
      <c r="CH3516" s="23"/>
      <c r="CI3516" s="23"/>
    </row>
    <row r="3517" spans="1:87" x14ac:dyDescent="0.3">
      <c r="A3517" s="9" t="s">
        <v>24830</v>
      </c>
      <c r="B3517" s="10" t="s">
        <v>24831</v>
      </c>
      <c r="C3517" s="11">
        <v>46038.666666666664</v>
      </c>
      <c r="D3517" s="12">
        <v>0.10416666666666667</v>
      </c>
      <c r="E3517" s="11">
        <v>46038.770833333336</v>
      </c>
      <c r="F3517" s="22" t="s">
        <v>24805</v>
      </c>
      <c r="G3517" s="13" t="b">
        <v>0</v>
      </c>
      <c r="H3517" s="22" t="s">
        <v>6271</v>
      </c>
      <c r="I3517" s="10" t="s">
        <v>89</v>
      </c>
      <c r="J3517" s="13" t="b">
        <v>0</v>
      </c>
      <c r="K3517" s="13" t="b">
        <v>1</v>
      </c>
      <c r="L3517" s="10" t="s">
        <v>124</v>
      </c>
      <c r="M3517" s="10" t="s">
        <v>91</v>
      </c>
      <c r="N3517" s="10" t="s">
        <v>92</v>
      </c>
      <c r="O3517" s="10"/>
      <c r="P3517" s="10"/>
      <c r="Q3517" s="10" t="s">
        <v>94</v>
      </c>
      <c r="R3517" s="10"/>
      <c r="S3517" s="10"/>
      <c r="T3517" s="10"/>
      <c r="U3517" s="10"/>
      <c r="V3517" s="10"/>
      <c r="W3517" s="10" t="s">
        <v>24806</v>
      </c>
      <c r="X3517" s="10" t="s">
        <v>21724</v>
      </c>
      <c r="Y3517" s="10" t="s">
        <v>21724</v>
      </c>
      <c r="Z3517" s="10" t="s">
        <v>99</v>
      </c>
      <c r="AA3517" s="10" t="s">
        <v>131</v>
      </c>
      <c r="AB3517" s="10" t="s">
        <v>24807</v>
      </c>
      <c r="AC3517" s="10" t="s">
        <v>21726</v>
      </c>
      <c r="AD3517" s="10" t="s">
        <v>165</v>
      </c>
      <c r="AE3517" s="10" t="s">
        <v>24832</v>
      </c>
      <c r="AF3517" s="15"/>
      <c r="AG3517" s="10"/>
      <c r="AH3517" s="10"/>
      <c r="AI3517" s="10"/>
      <c r="AJ3517" s="10"/>
      <c r="AK3517" s="10"/>
      <c r="AL3517" s="10"/>
      <c r="AM3517" s="10"/>
      <c r="AN3517" s="10"/>
      <c r="AO3517" s="13" t="b">
        <v>0</v>
      </c>
      <c r="AP3517" s="22"/>
      <c r="AQ3517" s="10"/>
      <c r="AR3517" s="17"/>
      <c r="AS3517" s="17"/>
      <c r="AT3517" s="17"/>
      <c r="AU3517" s="17"/>
      <c r="AV3517" s="17"/>
      <c r="AW3517" s="10"/>
      <c r="AX3517" s="17"/>
      <c r="AY3517" s="18" t="s">
        <v>257</v>
      </c>
      <c r="AZ3517" s="10"/>
      <c r="BA3517" s="20" t="b">
        <v>0</v>
      </c>
      <c r="BB3517" s="10"/>
      <c r="BC3517" s="17" t="s">
        <v>257</v>
      </c>
      <c r="BD3517" s="17" t="s">
        <v>257</v>
      </c>
      <c r="BE3517" s="17" t="s">
        <v>257</v>
      </c>
      <c r="BF3517" s="17" t="s">
        <v>257</v>
      </c>
      <c r="BG3517" s="11">
        <f ca="1">IFERROR(__xludf.DUMMYFUNCTION("""COMPUTED_VALUE"""),46038.6666666666)</f>
        <v>46038.666666666599</v>
      </c>
      <c r="BH3517" s="17"/>
      <c r="BI3517" s="17"/>
      <c r="BJ3517" s="15"/>
      <c r="BK3517" s="15"/>
      <c r="BL3517" s="13" t="b">
        <v>0</v>
      </c>
      <c r="BM3517" s="10"/>
      <c r="BN3517" s="10" t="s">
        <v>18577</v>
      </c>
      <c r="BO3517" s="11">
        <v>46022.734027777777</v>
      </c>
      <c r="BP3517" s="11">
        <v>46022.734317129631</v>
      </c>
      <c r="BQ3517" s="15"/>
      <c r="BR3517" s="15"/>
      <c r="BS3517" s="10"/>
      <c r="BT3517" s="10"/>
      <c r="BU3517" s="10"/>
      <c r="BV3517" s="10"/>
      <c r="BW3517" s="10"/>
      <c r="BX3517" s="10"/>
      <c r="BY3517" s="23"/>
      <c r="BZ3517" s="23"/>
      <c r="CA3517" s="10"/>
      <c r="CB3517" s="23"/>
      <c r="CC3517" s="23"/>
      <c r="CD3517" s="23"/>
      <c r="CE3517" s="23"/>
      <c r="CF3517" s="23"/>
      <c r="CG3517" s="23"/>
      <c r="CH3517" s="23"/>
      <c r="CI3517" s="23"/>
    </row>
    <row r="3518" spans="1:87" x14ac:dyDescent="0.3">
      <c r="A3518" s="9" t="s">
        <v>24833</v>
      </c>
      <c r="B3518" s="10" t="s">
        <v>24834</v>
      </c>
      <c r="C3518" s="11">
        <v>46039.333333333336</v>
      </c>
      <c r="D3518" s="12">
        <v>8.3333333333333329E-2</v>
      </c>
      <c r="E3518" s="11">
        <v>46039.416666666664</v>
      </c>
      <c r="F3518" s="22" t="s">
        <v>24805</v>
      </c>
      <c r="G3518" s="13" t="b">
        <v>0</v>
      </c>
      <c r="H3518" s="22" t="s">
        <v>6271</v>
      </c>
      <c r="I3518" s="10" t="s">
        <v>89</v>
      </c>
      <c r="J3518" s="13" t="b">
        <v>0</v>
      </c>
      <c r="K3518" s="13" t="b">
        <v>1</v>
      </c>
      <c r="L3518" s="10" t="s">
        <v>124</v>
      </c>
      <c r="M3518" s="10" t="s">
        <v>91</v>
      </c>
      <c r="N3518" s="10" t="s">
        <v>92</v>
      </c>
      <c r="O3518" s="10"/>
      <c r="P3518" s="10"/>
      <c r="Q3518" s="10" t="s">
        <v>94</v>
      </c>
      <c r="R3518" s="10"/>
      <c r="S3518" s="10"/>
      <c r="T3518" s="10"/>
      <c r="U3518" s="10"/>
      <c r="V3518" s="10"/>
      <c r="W3518" s="10" t="s">
        <v>24806</v>
      </c>
      <c r="X3518" s="10" t="s">
        <v>21724</v>
      </c>
      <c r="Y3518" s="10" t="s">
        <v>21724</v>
      </c>
      <c r="Z3518" s="10" t="s">
        <v>99</v>
      </c>
      <c r="AA3518" s="10" t="s">
        <v>131</v>
      </c>
      <c r="AB3518" s="10" t="s">
        <v>24807</v>
      </c>
      <c r="AC3518" s="10" t="s">
        <v>21726</v>
      </c>
      <c r="AD3518" s="10" t="s">
        <v>165</v>
      </c>
      <c r="AE3518" s="10" t="s">
        <v>24835</v>
      </c>
      <c r="AF3518" s="15"/>
      <c r="AG3518" s="10"/>
      <c r="AH3518" s="10"/>
      <c r="AI3518" s="10"/>
      <c r="AJ3518" s="10"/>
      <c r="AK3518" s="10"/>
      <c r="AL3518" s="10"/>
      <c r="AM3518" s="10"/>
      <c r="AN3518" s="10"/>
      <c r="AO3518" s="13" t="b">
        <v>0</v>
      </c>
      <c r="AP3518" s="22"/>
      <c r="AQ3518" s="10"/>
      <c r="AR3518" s="17"/>
      <c r="AS3518" s="17"/>
      <c r="AT3518" s="17"/>
      <c r="AU3518" s="17"/>
      <c r="AV3518" s="17"/>
      <c r="AW3518" s="10"/>
      <c r="AX3518" s="17"/>
      <c r="AY3518" s="18" t="s">
        <v>257</v>
      </c>
      <c r="AZ3518" s="10"/>
      <c r="BA3518" s="20" t="b">
        <v>0</v>
      </c>
      <c r="BB3518" s="10"/>
      <c r="BC3518" s="17" t="s">
        <v>257</v>
      </c>
      <c r="BD3518" s="17" t="s">
        <v>257</v>
      </c>
      <c r="BE3518" s="17" t="s">
        <v>257</v>
      </c>
      <c r="BF3518" s="17" t="s">
        <v>257</v>
      </c>
      <c r="BG3518" s="11">
        <f ca="1">IFERROR(__xludf.DUMMYFUNCTION("""COMPUTED_VALUE"""),46039.3333333333)</f>
        <v>46039.333333333299</v>
      </c>
      <c r="BH3518" s="17"/>
      <c r="BI3518" s="17"/>
      <c r="BJ3518" s="15"/>
      <c r="BK3518" s="15"/>
      <c r="BL3518" s="13" t="b">
        <v>0</v>
      </c>
      <c r="BM3518" s="10"/>
      <c r="BN3518" s="10" t="s">
        <v>18577</v>
      </c>
      <c r="BO3518" s="11">
        <v>46022.734722222223</v>
      </c>
      <c r="BP3518" s="11">
        <v>46022.735277777778</v>
      </c>
      <c r="BQ3518" s="15"/>
      <c r="BR3518" s="15"/>
      <c r="BS3518" s="10"/>
      <c r="BT3518" s="10"/>
      <c r="BU3518" s="10"/>
      <c r="BV3518" s="10"/>
      <c r="BW3518" s="10"/>
      <c r="BX3518" s="10"/>
      <c r="BY3518" s="23"/>
      <c r="BZ3518" s="23"/>
      <c r="CA3518" s="10"/>
      <c r="CB3518" s="23"/>
      <c r="CC3518" s="23"/>
      <c r="CD3518" s="23"/>
      <c r="CE3518" s="23"/>
      <c r="CF3518" s="23"/>
      <c r="CG3518" s="23"/>
      <c r="CH3518" s="23"/>
      <c r="CI3518" s="23"/>
    </row>
    <row r="3519" spans="1:87" x14ac:dyDescent="0.3">
      <c r="A3519" s="9" t="s">
        <v>24836</v>
      </c>
      <c r="B3519" s="10" t="s">
        <v>24837</v>
      </c>
      <c r="C3519" s="11">
        <v>46040.291666666664</v>
      </c>
      <c r="D3519" s="12">
        <v>0.25</v>
      </c>
      <c r="E3519" s="11">
        <v>46040.541666666664</v>
      </c>
      <c r="F3519" s="22" t="s">
        <v>24805</v>
      </c>
      <c r="G3519" s="13" t="b">
        <v>0</v>
      </c>
      <c r="H3519" s="22" t="s">
        <v>3578</v>
      </c>
      <c r="I3519" s="10" t="s">
        <v>89</v>
      </c>
      <c r="J3519" s="13" t="b">
        <v>0</v>
      </c>
      <c r="K3519" s="13" t="b">
        <v>1</v>
      </c>
      <c r="L3519" s="10" t="s">
        <v>124</v>
      </c>
      <c r="M3519" s="10" t="s">
        <v>91</v>
      </c>
      <c r="N3519" s="10" t="s">
        <v>92</v>
      </c>
      <c r="O3519" s="10"/>
      <c r="P3519" s="10"/>
      <c r="Q3519" s="10" t="s">
        <v>126</v>
      </c>
      <c r="R3519" s="10"/>
      <c r="S3519" s="10"/>
      <c r="T3519" s="10"/>
      <c r="U3519" s="10"/>
      <c r="V3519" s="10"/>
      <c r="W3519" s="10" t="s">
        <v>24806</v>
      </c>
      <c r="X3519" s="10" t="s">
        <v>21724</v>
      </c>
      <c r="Y3519" s="10" t="s">
        <v>21724</v>
      </c>
      <c r="Z3519" s="10" t="s">
        <v>99</v>
      </c>
      <c r="AA3519" s="10" t="s">
        <v>131</v>
      </c>
      <c r="AB3519" s="10" t="s">
        <v>24807</v>
      </c>
      <c r="AC3519" s="10" t="s">
        <v>21726</v>
      </c>
      <c r="AD3519" s="10" t="s">
        <v>165</v>
      </c>
      <c r="AE3519" s="10" t="s">
        <v>24838</v>
      </c>
      <c r="AF3519" s="15"/>
      <c r="AG3519" s="10"/>
      <c r="AH3519" s="10"/>
      <c r="AI3519" s="10"/>
      <c r="AJ3519" s="10"/>
      <c r="AK3519" s="10"/>
      <c r="AL3519" s="10" t="s">
        <v>7897</v>
      </c>
      <c r="AM3519" s="10"/>
      <c r="AN3519" s="10"/>
      <c r="AO3519" s="13" t="b">
        <v>0</v>
      </c>
      <c r="AP3519" s="22"/>
      <c r="AQ3519" s="10"/>
      <c r="AR3519" s="17"/>
      <c r="AS3519" s="17"/>
      <c r="AT3519" s="17"/>
      <c r="AU3519" s="17"/>
      <c r="AV3519" s="17"/>
      <c r="AW3519" s="10"/>
      <c r="AX3519" s="17"/>
      <c r="AY3519" s="18" t="s">
        <v>257</v>
      </c>
      <c r="AZ3519" s="10"/>
      <c r="BA3519" s="20" t="b">
        <v>0</v>
      </c>
      <c r="BB3519" s="10"/>
      <c r="BC3519" s="17" t="s">
        <v>257</v>
      </c>
      <c r="BD3519" s="17" t="s">
        <v>257</v>
      </c>
      <c r="BE3519" s="17" t="s">
        <v>257</v>
      </c>
      <c r="BF3519" s="17" t="s">
        <v>257</v>
      </c>
      <c r="BG3519" s="11">
        <f ca="1">IFERROR(__xludf.DUMMYFUNCTION("""COMPUTED_VALUE"""),46040.2916666666)</f>
        <v>46040.291666666599</v>
      </c>
      <c r="BH3519" s="17"/>
      <c r="BI3519" s="17"/>
      <c r="BJ3519" s="15"/>
      <c r="BK3519" s="15"/>
      <c r="BL3519" s="13" t="b">
        <v>0</v>
      </c>
      <c r="BM3519" s="10"/>
      <c r="BN3519" s="10" t="s">
        <v>18577</v>
      </c>
      <c r="BO3519" s="11">
        <v>46022.736111111109</v>
      </c>
      <c r="BP3519" s="11">
        <v>46022.736238425925</v>
      </c>
      <c r="BQ3519" s="15"/>
      <c r="BR3519" s="15"/>
      <c r="BS3519" s="10"/>
      <c r="BT3519" s="10"/>
      <c r="BU3519" s="10"/>
      <c r="BV3519" s="10"/>
      <c r="BW3519" s="10"/>
      <c r="BX3519" s="10"/>
      <c r="BY3519" s="23"/>
      <c r="BZ3519" s="23"/>
      <c r="CA3519" s="10"/>
      <c r="CB3519" s="23"/>
      <c r="CC3519" s="23"/>
      <c r="CD3519" s="23"/>
      <c r="CE3519" s="23"/>
      <c r="CF3519" s="23"/>
      <c r="CG3519" s="23"/>
      <c r="CH3519" s="23"/>
      <c r="CI3519" s="23"/>
    </row>
    <row r="3520" spans="1:87" x14ac:dyDescent="0.3">
      <c r="A3520" s="9" t="s">
        <v>24839</v>
      </c>
      <c r="B3520" s="10" t="s">
        <v>24840</v>
      </c>
      <c r="C3520" s="11">
        <v>46040.3125</v>
      </c>
      <c r="D3520" s="12">
        <v>0.2986111111111111</v>
      </c>
      <c r="E3520" s="11">
        <v>46040.611111111109</v>
      </c>
      <c r="F3520" s="22" t="s">
        <v>24805</v>
      </c>
      <c r="G3520" s="13" t="b">
        <v>0</v>
      </c>
      <c r="H3520" s="22" t="s">
        <v>6271</v>
      </c>
      <c r="I3520" s="10" t="s">
        <v>89</v>
      </c>
      <c r="J3520" s="13" t="b">
        <v>0</v>
      </c>
      <c r="K3520" s="13" t="b">
        <v>1</v>
      </c>
      <c r="L3520" s="10" t="s">
        <v>124</v>
      </c>
      <c r="M3520" s="10" t="s">
        <v>91</v>
      </c>
      <c r="N3520" s="10" t="s">
        <v>92</v>
      </c>
      <c r="O3520" s="10"/>
      <c r="P3520" s="10"/>
      <c r="Q3520" s="10" t="s">
        <v>126</v>
      </c>
      <c r="R3520" s="10"/>
      <c r="S3520" s="10"/>
      <c r="T3520" s="10"/>
      <c r="U3520" s="10"/>
      <c r="V3520" s="10"/>
      <c r="W3520" s="10" t="s">
        <v>24806</v>
      </c>
      <c r="X3520" s="10" t="s">
        <v>21724</v>
      </c>
      <c r="Y3520" s="10" t="s">
        <v>21724</v>
      </c>
      <c r="Z3520" s="10" t="s">
        <v>99</v>
      </c>
      <c r="AA3520" s="10" t="s">
        <v>131</v>
      </c>
      <c r="AB3520" s="10" t="s">
        <v>24807</v>
      </c>
      <c r="AC3520" s="10" t="s">
        <v>21726</v>
      </c>
      <c r="AD3520" s="10" t="s">
        <v>165</v>
      </c>
      <c r="AE3520" s="10" t="s">
        <v>24841</v>
      </c>
      <c r="AF3520" s="15"/>
      <c r="AG3520" s="10"/>
      <c r="AH3520" s="10"/>
      <c r="AI3520" s="10"/>
      <c r="AJ3520" s="10"/>
      <c r="AK3520" s="10"/>
      <c r="AL3520" s="10" t="s">
        <v>7897</v>
      </c>
      <c r="AM3520" s="10"/>
      <c r="AN3520" s="10"/>
      <c r="AO3520" s="13" t="b">
        <v>0</v>
      </c>
      <c r="AP3520" s="22"/>
      <c r="AQ3520" s="10"/>
      <c r="AR3520" s="17"/>
      <c r="AS3520" s="17"/>
      <c r="AT3520" s="17"/>
      <c r="AU3520" s="17"/>
      <c r="AV3520" s="17"/>
      <c r="AW3520" s="10"/>
      <c r="AX3520" s="17"/>
      <c r="AY3520" s="18" t="s">
        <v>257</v>
      </c>
      <c r="AZ3520" s="10"/>
      <c r="BA3520" s="20" t="b">
        <v>0</v>
      </c>
      <c r="BB3520" s="10"/>
      <c r="BC3520" s="17" t="s">
        <v>257</v>
      </c>
      <c r="BD3520" s="17" t="s">
        <v>257</v>
      </c>
      <c r="BE3520" s="17" t="s">
        <v>257</v>
      </c>
      <c r="BF3520" s="17" t="s">
        <v>257</v>
      </c>
      <c r="BG3520" s="11">
        <f ca="1">IFERROR(__xludf.DUMMYFUNCTION("""COMPUTED_VALUE"""),46040.3125)</f>
        <v>46040.3125</v>
      </c>
      <c r="BH3520" s="17"/>
      <c r="BI3520" s="17"/>
      <c r="BJ3520" s="15"/>
      <c r="BK3520" s="15"/>
      <c r="BL3520" s="13" t="b">
        <v>0</v>
      </c>
      <c r="BM3520" s="10"/>
      <c r="BN3520" s="10" t="s">
        <v>18577</v>
      </c>
      <c r="BO3520" s="11">
        <v>46022.736805555556</v>
      </c>
      <c r="BP3520" s="11">
        <v>46022.737488425926</v>
      </c>
      <c r="BQ3520" s="15"/>
      <c r="BR3520" s="15"/>
      <c r="BS3520" s="10"/>
      <c r="BT3520" s="10"/>
      <c r="BU3520" s="10"/>
      <c r="BV3520" s="10"/>
      <c r="BW3520" s="10"/>
      <c r="BX3520" s="10"/>
      <c r="BY3520" s="23"/>
      <c r="BZ3520" s="23"/>
      <c r="CA3520" s="10"/>
      <c r="CB3520" s="23"/>
      <c r="CC3520" s="23"/>
      <c r="CD3520" s="23"/>
      <c r="CE3520" s="23"/>
      <c r="CF3520" s="23"/>
      <c r="CG3520" s="23"/>
      <c r="CH3520" s="23"/>
      <c r="CI3520" s="23"/>
    </row>
    <row r="3521" spans="1:87" x14ac:dyDescent="0.3">
      <c r="A3521" s="9" t="s">
        <v>24842</v>
      </c>
      <c r="B3521" s="10" t="s">
        <v>24843</v>
      </c>
      <c r="C3521" s="11">
        <v>46040.3125</v>
      </c>
      <c r="D3521" s="12">
        <v>0.3125</v>
      </c>
      <c r="E3521" s="11">
        <v>46040.625</v>
      </c>
      <c r="F3521" s="22" t="s">
        <v>24805</v>
      </c>
      <c r="G3521" s="13" t="b">
        <v>0</v>
      </c>
      <c r="H3521" s="22" t="s">
        <v>3564</v>
      </c>
      <c r="I3521" s="10" t="s">
        <v>89</v>
      </c>
      <c r="J3521" s="13" t="b">
        <v>0</v>
      </c>
      <c r="K3521" s="13" t="b">
        <v>1</v>
      </c>
      <c r="L3521" s="10" t="s">
        <v>124</v>
      </c>
      <c r="M3521" s="10" t="s">
        <v>91</v>
      </c>
      <c r="N3521" s="10" t="s">
        <v>92</v>
      </c>
      <c r="O3521" s="10"/>
      <c r="P3521" s="10"/>
      <c r="Q3521" s="10" t="s">
        <v>126</v>
      </c>
      <c r="R3521" s="10"/>
      <c r="S3521" s="10"/>
      <c r="T3521" s="10"/>
      <c r="U3521" s="10"/>
      <c r="V3521" s="10"/>
      <c r="W3521" s="10" t="s">
        <v>24806</v>
      </c>
      <c r="X3521" s="10" t="s">
        <v>21724</v>
      </c>
      <c r="Y3521" s="10" t="s">
        <v>21724</v>
      </c>
      <c r="Z3521" s="10" t="s">
        <v>99</v>
      </c>
      <c r="AA3521" s="10" t="s">
        <v>131</v>
      </c>
      <c r="AB3521" s="10" t="s">
        <v>24807</v>
      </c>
      <c r="AC3521" s="10" t="s">
        <v>21726</v>
      </c>
      <c r="AD3521" s="10" t="s">
        <v>165</v>
      </c>
      <c r="AE3521" s="10" t="s">
        <v>24844</v>
      </c>
      <c r="AF3521" s="15"/>
      <c r="AG3521" s="10"/>
      <c r="AH3521" s="10"/>
      <c r="AI3521" s="10"/>
      <c r="AJ3521" s="10"/>
      <c r="AK3521" s="10"/>
      <c r="AL3521" s="10" t="s">
        <v>7897</v>
      </c>
      <c r="AM3521" s="10"/>
      <c r="AN3521" s="10"/>
      <c r="AO3521" s="13" t="b">
        <v>0</v>
      </c>
      <c r="AP3521" s="22"/>
      <c r="AQ3521" s="10"/>
      <c r="AR3521" s="17"/>
      <c r="AS3521" s="17"/>
      <c r="AT3521" s="17"/>
      <c r="AU3521" s="17"/>
      <c r="AV3521" s="17"/>
      <c r="AW3521" s="10"/>
      <c r="AX3521" s="17"/>
      <c r="AY3521" s="18" t="s">
        <v>257</v>
      </c>
      <c r="AZ3521" s="10"/>
      <c r="BA3521" s="20" t="b">
        <v>0</v>
      </c>
      <c r="BB3521" s="10"/>
      <c r="BC3521" s="17" t="s">
        <v>257</v>
      </c>
      <c r="BD3521" s="17" t="s">
        <v>257</v>
      </c>
      <c r="BE3521" s="17" t="s">
        <v>257</v>
      </c>
      <c r="BF3521" s="17" t="s">
        <v>257</v>
      </c>
      <c r="BG3521" s="11">
        <f ca="1">IFERROR(__xludf.DUMMYFUNCTION("""COMPUTED_VALUE"""),46040.3125)</f>
        <v>46040.3125</v>
      </c>
      <c r="BH3521" s="17"/>
      <c r="BI3521" s="17"/>
      <c r="BJ3521" s="15"/>
      <c r="BK3521" s="15"/>
      <c r="BL3521" s="13" t="b">
        <v>0</v>
      </c>
      <c r="BM3521" s="10"/>
      <c r="BN3521" s="10" t="s">
        <v>18577</v>
      </c>
      <c r="BO3521" s="11">
        <v>46022.738888888889</v>
      </c>
      <c r="BP3521" s="11">
        <v>46022.738969907405</v>
      </c>
      <c r="BQ3521" s="15"/>
      <c r="BR3521" s="15"/>
      <c r="BS3521" s="10"/>
      <c r="BT3521" s="10"/>
      <c r="BU3521" s="10"/>
      <c r="BV3521" s="10"/>
      <c r="BW3521" s="10"/>
      <c r="BX3521" s="10"/>
      <c r="BY3521" s="23"/>
      <c r="BZ3521" s="23"/>
      <c r="CA3521" s="10"/>
      <c r="CB3521" s="23"/>
      <c r="CC3521" s="23"/>
      <c r="CD3521" s="23"/>
      <c r="CE3521" s="23"/>
      <c r="CF3521" s="23"/>
      <c r="CG3521" s="23"/>
      <c r="CH3521" s="23"/>
      <c r="CI3521" s="23"/>
    </row>
    <row r="3522" spans="1:87" x14ac:dyDescent="0.3">
      <c r="A3522" s="9" t="s">
        <v>24845</v>
      </c>
      <c r="B3522" s="10" t="s">
        <v>24846</v>
      </c>
      <c r="C3522" s="11">
        <v>46040.541666666664</v>
      </c>
      <c r="D3522" s="12">
        <v>0.20833333333333334</v>
      </c>
      <c r="E3522" s="11">
        <v>46040.75</v>
      </c>
      <c r="F3522" s="22" t="s">
        <v>24805</v>
      </c>
      <c r="G3522" s="13" t="b">
        <v>0</v>
      </c>
      <c r="H3522" s="22" t="s">
        <v>3578</v>
      </c>
      <c r="I3522" s="10" t="s">
        <v>89</v>
      </c>
      <c r="J3522" s="13" t="b">
        <v>0</v>
      </c>
      <c r="K3522" s="13" t="b">
        <v>1</v>
      </c>
      <c r="L3522" s="10" t="s">
        <v>124</v>
      </c>
      <c r="M3522" s="10" t="s">
        <v>91</v>
      </c>
      <c r="N3522" s="10" t="s">
        <v>92</v>
      </c>
      <c r="O3522" s="10"/>
      <c r="P3522" s="10"/>
      <c r="Q3522" s="10" t="s">
        <v>126</v>
      </c>
      <c r="R3522" s="10"/>
      <c r="S3522" s="10"/>
      <c r="T3522" s="10"/>
      <c r="U3522" s="10"/>
      <c r="V3522" s="10"/>
      <c r="W3522" s="10" t="s">
        <v>24806</v>
      </c>
      <c r="X3522" s="10" t="s">
        <v>21724</v>
      </c>
      <c r="Y3522" s="10" t="s">
        <v>21724</v>
      </c>
      <c r="Z3522" s="10" t="s">
        <v>99</v>
      </c>
      <c r="AA3522" s="10" t="s">
        <v>131</v>
      </c>
      <c r="AB3522" s="10" t="s">
        <v>24807</v>
      </c>
      <c r="AC3522" s="10" t="s">
        <v>21726</v>
      </c>
      <c r="AD3522" s="10" t="s">
        <v>165</v>
      </c>
      <c r="AE3522" s="10" t="s">
        <v>24847</v>
      </c>
      <c r="AF3522" s="15"/>
      <c r="AG3522" s="10"/>
      <c r="AH3522" s="10"/>
      <c r="AI3522" s="10"/>
      <c r="AJ3522" s="10"/>
      <c r="AK3522" s="10"/>
      <c r="AL3522" s="10" t="s">
        <v>7897</v>
      </c>
      <c r="AM3522" s="10"/>
      <c r="AN3522" s="10"/>
      <c r="AO3522" s="13" t="b">
        <v>0</v>
      </c>
      <c r="AP3522" s="22"/>
      <c r="AQ3522" s="10"/>
      <c r="AR3522" s="17"/>
      <c r="AS3522" s="17"/>
      <c r="AT3522" s="17"/>
      <c r="AU3522" s="17"/>
      <c r="AV3522" s="17"/>
      <c r="AW3522" s="10"/>
      <c r="AX3522" s="17"/>
      <c r="AY3522" s="18" t="s">
        <v>257</v>
      </c>
      <c r="AZ3522" s="10"/>
      <c r="BA3522" s="20" t="b">
        <v>0</v>
      </c>
      <c r="BB3522" s="10"/>
      <c r="BC3522" s="17" t="s">
        <v>257</v>
      </c>
      <c r="BD3522" s="17" t="s">
        <v>257</v>
      </c>
      <c r="BE3522" s="17" t="s">
        <v>257</v>
      </c>
      <c r="BF3522" s="17" t="s">
        <v>257</v>
      </c>
      <c r="BG3522" s="11">
        <f ca="1">IFERROR(__xludf.DUMMYFUNCTION("""COMPUTED_VALUE"""),46040.5416666666)</f>
        <v>46040.541666666599</v>
      </c>
      <c r="BH3522" s="17"/>
      <c r="BI3522" s="17"/>
      <c r="BJ3522" s="15"/>
      <c r="BK3522" s="15"/>
      <c r="BL3522" s="13" t="b">
        <v>0</v>
      </c>
      <c r="BM3522" s="10"/>
      <c r="BN3522" s="10" t="s">
        <v>18577</v>
      </c>
      <c r="BO3522" s="11">
        <v>46022.739583333336</v>
      </c>
      <c r="BP3522" s="11">
        <v>46022.739976851852</v>
      </c>
      <c r="BQ3522" s="15"/>
      <c r="BR3522" s="15"/>
      <c r="BS3522" s="10"/>
      <c r="BT3522" s="10"/>
      <c r="BU3522" s="10"/>
      <c r="BV3522" s="10"/>
      <c r="BW3522" s="10"/>
      <c r="BX3522" s="10"/>
      <c r="BY3522" s="23"/>
      <c r="BZ3522" s="23"/>
      <c r="CA3522" s="10"/>
      <c r="CB3522" s="23"/>
      <c r="CC3522" s="23"/>
      <c r="CD3522" s="23"/>
      <c r="CE3522" s="23"/>
      <c r="CF3522" s="23"/>
      <c r="CG3522" s="23"/>
      <c r="CH3522" s="23"/>
      <c r="CI3522" s="23"/>
    </row>
    <row r="3523" spans="1:87" x14ac:dyDescent="0.3">
      <c r="A3523" s="9" t="s">
        <v>24848</v>
      </c>
      <c r="B3523" s="10" t="s">
        <v>24849</v>
      </c>
      <c r="C3523" s="11">
        <v>46040.611111111109</v>
      </c>
      <c r="D3523" s="12">
        <v>0.22222222222222221</v>
      </c>
      <c r="E3523" s="11">
        <v>46040.833333333336</v>
      </c>
      <c r="F3523" s="22" t="s">
        <v>24805</v>
      </c>
      <c r="G3523" s="13" t="b">
        <v>0</v>
      </c>
      <c r="H3523" s="22" t="s">
        <v>6271</v>
      </c>
      <c r="I3523" s="10" t="s">
        <v>89</v>
      </c>
      <c r="J3523" s="13" t="b">
        <v>0</v>
      </c>
      <c r="K3523" s="13" t="b">
        <v>1</v>
      </c>
      <c r="L3523" s="10" t="s">
        <v>124</v>
      </c>
      <c r="M3523" s="10" t="s">
        <v>91</v>
      </c>
      <c r="N3523" s="10" t="s">
        <v>92</v>
      </c>
      <c r="O3523" s="10"/>
      <c r="P3523" s="10"/>
      <c r="Q3523" s="10" t="s">
        <v>126</v>
      </c>
      <c r="R3523" s="10"/>
      <c r="S3523" s="10"/>
      <c r="T3523" s="10"/>
      <c r="U3523" s="10"/>
      <c r="V3523" s="10"/>
      <c r="W3523" s="10" t="s">
        <v>24806</v>
      </c>
      <c r="X3523" s="10" t="s">
        <v>21724</v>
      </c>
      <c r="Y3523" s="10" t="s">
        <v>21724</v>
      </c>
      <c r="Z3523" s="10" t="s">
        <v>99</v>
      </c>
      <c r="AA3523" s="10" t="s">
        <v>131</v>
      </c>
      <c r="AB3523" s="10" t="s">
        <v>24807</v>
      </c>
      <c r="AC3523" s="10" t="s">
        <v>21726</v>
      </c>
      <c r="AD3523" s="10" t="s">
        <v>165</v>
      </c>
      <c r="AE3523" s="10" t="s">
        <v>24850</v>
      </c>
      <c r="AF3523" s="15"/>
      <c r="AG3523" s="10"/>
      <c r="AH3523" s="10"/>
      <c r="AI3523" s="10"/>
      <c r="AJ3523" s="10"/>
      <c r="AK3523" s="10"/>
      <c r="AL3523" s="10" t="s">
        <v>7897</v>
      </c>
      <c r="AM3523" s="10"/>
      <c r="AN3523" s="10"/>
      <c r="AO3523" s="13" t="b">
        <v>0</v>
      </c>
      <c r="AP3523" s="22"/>
      <c r="AQ3523" s="10"/>
      <c r="AR3523" s="17"/>
      <c r="AS3523" s="17"/>
      <c r="AT3523" s="17"/>
      <c r="AU3523" s="17"/>
      <c r="AV3523" s="17"/>
      <c r="AW3523" s="10"/>
      <c r="AX3523" s="17"/>
      <c r="AY3523" s="18" t="s">
        <v>257</v>
      </c>
      <c r="AZ3523" s="10"/>
      <c r="BA3523" s="20" t="b">
        <v>0</v>
      </c>
      <c r="BB3523" s="10"/>
      <c r="BC3523" s="17" t="s">
        <v>257</v>
      </c>
      <c r="BD3523" s="17" t="s">
        <v>257</v>
      </c>
      <c r="BE3523" s="17" t="s">
        <v>257</v>
      </c>
      <c r="BF3523" s="17" t="s">
        <v>257</v>
      </c>
      <c r="BG3523" s="11">
        <f ca="1">IFERROR(__xludf.DUMMYFUNCTION("""COMPUTED_VALUE"""),46040.6111111111)</f>
        <v>46040.611111111102</v>
      </c>
      <c r="BH3523" s="17"/>
      <c r="BI3523" s="17"/>
      <c r="BJ3523" s="15"/>
      <c r="BK3523" s="15"/>
      <c r="BL3523" s="13" t="b">
        <v>0</v>
      </c>
      <c r="BM3523" s="10"/>
      <c r="BN3523" s="10" t="s">
        <v>18577</v>
      </c>
      <c r="BO3523" s="11">
        <v>46022.740277777775</v>
      </c>
      <c r="BP3523" s="11">
        <v>46022.740787037037</v>
      </c>
      <c r="BQ3523" s="15"/>
      <c r="BR3523" s="15"/>
      <c r="BS3523" s="10"/>
      <c r="BT3523" s="10"/>
      <c r="BU3523" s="10"/>
      <c r="BV3523" s="10"/>
      <c r="BW3523" s="10"/>
      <c r="BX3523" s="10"/>
      <c r="BY3523" s="23"/>
      <c r="BZ3523" s="23"/>
      <c r="CA3523" s="10"/>
      <c r="CB3523" s="23"/>
      <c r="CC3523" s="23"/>
      <c r="CD3523" s="23"/>
      <c r="CE3523" s="23"/>
      <c r="CF3523" s="23"/>
      <c r="CG3523" s="23"/>
      <c r="CH3523" s="23"/>
      <c r="CI3523" s="23"/>
    </row>
    <row r="3524" spans="1:87" x14ac:dyDescent="0.3">
      <c r="A3524" s="9" t="s">
        <v>24851</v>
      </c>
      <c r="B3524" s="10" t="s">
        <v>24852</v>
      </c>
      <c r="C3524" s="11">
        <v>46040.625</v>
      </c>
      <c r="D3524" s="12">
        <v>0.20833333333333334</v>
      </c>
      <c r="E3524" s="11">
        <v>46040.833333333336</v>
      </c>
      <c r="F3524" s="22" t="s">
        <v>24805</v>
      </c>
      <c r="G3524" s="13" t="b">
        <v>0</v>
      </c>
      <c r="H3524" s="22" t="s">
        <v>3564</v>
      </c>
      <c r="I3524" s="10" t="s">
        <v>89</v>
      </c>
      <c r="J3524" s="13" t="b">
        <v>0</v>
      </c>
      <c r="K3524" s="13" t="b">
        <v>1</v>
      </c>
      <c r="L3524" s="10" t="s">
        <v>124</v>
      </c>
      <c r="M3524" s="10" t="s">
        <v>91</v>
      </c>
      <c r="N3524" s="10" t="s">
        <v>92</v>
      </c>
      <c r="O3524" s="10"/>
      <c r="P3524" s="10"/>
      <c r="Q3524" s="10" t="s">
        <v>126</v>
      </c>
      <c r="R3524" s="10"/>
      <c r="S3524" s="10"/>
      <c r="T3524" s="10"/>
      <c r="U3524" s="10"/>
      <c r="V3524" s="10"/>
      <c r="W3524" s="10" t="s">
        <v>24806</v>
      </c>
      <c r="X3524" s="10" t="s">
        <v>21724</v>
      </c>
      <c r="Y3524" s="10" t="s">
        <v>21724</v>
      </c>
      <c r="Z3524" s="10" t="s">
        <v>99</v>
      </c>
      <c r="AA3524" s="10" t="s">
        <v>131</v>
      </c>
      <c r="AB3524" s="10" t="s">
        <v>24807</v>
      </c>
      <c r="AC3524" s="10" t="s">
        <v>21726</v>
      </c>
      <c r="AD3524" s="10" t="s">
        <v>165</v>
      </c>
      <c r="AE3524" s="10" t="s">
        <v>24853</v>
      </c>
      <c r="AF3524" s="15"/>
      <c r="AG3524" s="10"/>
      <c r="AH3524" s="10"/>
      <c r="AI3524" s="10"/>
      <c r="AJ3524" s="10"/>
      <c r="AK3524" s="10"/>
      <c r="AL3524" s="10" t="s">
        <v>7897</v>
      </c>
      <c r="AM3524" s="10"/>
      <c r="AN3524" s="10"/>
      <c r="AO3524" s="13" t="b">
        <v>0</v>
      </c>
      <c r="AP3524" s="22"/>
      <c r="AQ3524" s="10"/>
      <c r="AR3524" s="17"/>
      <c r="AS3524" s="17"/>
      <c r="AT3524" s="17"/>
      <c r="AU3524" s="17"/>
      <c r="AV3524" s="17"/>
      <c r="AW3524" s="10"/>
      <c r="AX3524" s="17"/>
      <c r="AY3524" s="18" t="s">
        <v>257</v>
      </c>
      <c r="AZ3524" s="10"/>
      <c r="BA3524" s="20" t="b">
        <v>0</v>
      </c>
      <c r="BB3524" s="10"/>
      <c r="BC3524" s="17" t="s">
        <v>257</v>
      </c>
      <c r="BD3524" s="17" t="s">
        <v>257</v>
      </c>
      <c r="BE3524" s="17" t="s">
        <v>257</v>
      </c>
      <c r="BF3524" s="17" t="s">
        <v>257</v>
      </c>
      <c r="BG3524" s="11">
        <f ca="1">IFERROR(__xludf.DUMMYFUNCTION("""COMPUTED_VALUE"""),46040.625)</f>
        <v>46040.625</v>
      </c>
      <c r="BH3524" s="17"/>
      <c r="BI3524" s="17"/>
      <c r="BJ3524" s="15"/>
      <c r="BK3524" s="15"/>
      <c r="BL3524" s="13" t="b">
        <v>0</v>
      </c>
      <c r="BM3524" s="10"/>
      <c r="BN3524" s="10" t="s">
        <v>18577</v>
      </c>
      <c r="BO3524" s="11">
        <v>46022.740972222222</v>
      </c>
      <c r="BP3524" s="11">
        <v>46022.741331018522</v>
      </c>
      <c r="BQ3524" s="15"/>
      <c r="BR3524" s="15"/>
      <c r="BS3524" s="10"/>
      <c r="BT3524" s="10"/>
      <c r="BU3524" s="10"/>
      <c r="BV3524" s="10"/>
      <c r="BW3524" s="10"/>
      <c r="BX3524" s="10"/>
      <c r="BY3524" s="23"/>
      <c r="BZ3524" s="23"/>
      <c r="CA3524" s="10"/>
      <c r="CB3524" s="23"/>
      <c r="CC3524" s="23"/>
      <c r="CD3524" s="23"/>
      <c r="CE3524" s="23"/>
      <c r="CF3524" s="23"/>
      <c r="CG3524" s="23"/>
      <c r="CH3524" s="23"/>
      <c r="CI3524" s="23"/>
    </row>
    <row r="3525" spans="1:87" x14ac:dyDescent="0.3">
      <c r="A3525" s="9" t="s">
        <v>24854</v>
      </c>
      <c r="B3525" s="10" t="s">
        <v>24855</v>
      </c>
      <c r="C3525" s="11">
        <v>46041.291666666664</v>
      </c>
      <c r="D3525" s="12">
        <v>0.25</v>
      </c>
      <c r="E3525" s="11">
        <v>46041.541666666664</v>
      </c>
      <c r="F3525" s="22" t="s">
        <v>24805</v>
      </c>
      <c r="G3525" s="13" t="b">
        <v>0</v>
      </c>
      <c r="H3525" s="22" t="s">
        <v>3578</v>
      </c>
      <c r="I3525" s="10" t="s">
        <v>89</v>
      </c>
      <c r="J3525" s="13" t="b">
        <v>0</v>
      </c>
      <c r="K3525" s="13" t="b">
        <v>1</v>
      </c>
      <c r="L3525" s="10" t="s">
        <v>124</v>
      </c>
      <c r="M3525" s="10" t="s">
        <v>91</v>
      </c>
      <c r="N3525" s="10" t="s">
        <v>92</v>
      </c>
      <c r="O3525" s="10"/>
      <c r="P3525" s="10"/>
      <c r="Q3525" s="10" t="s">
        <v>126</v>
      </c>
      <c r="R3525" s="10"/>
      <c r="S3525" s="10"/>
      <c r="T3525" s="10"/>
      <c r="U3525" s="10"/>
      <c r="V3525" s="10"/>
      <c r="W3525" s="10" t="s">
        <v>24806</v>
      </c>
      <c r="X3525" s="10" t="s">
        <v>21724</v>
      </c>
      <c r="Y3525" s="10" t="s">
        <v>21724</v>
      </c>
      <c r="Z3525" s="10" t="s">
        <v>99</v>
      </c>
      <c r="AA3525" s="10" t="s">
        <v>131</v>
      </c>
      <c r="AB3525" s="10" t="s">
        <v>24807</v>
      </c>
      <c r="AC3525" s="10" t="s">
        <v>21726</v>
      </c>
      <c r="AD3525" s="10" t="s">
        <v>165</v>
      </c>
      <c r="AE3525" s="10" t="s">
        <v>24856</v>
      </c>
      <c r="AF3525" s="15"/>
      <c r="AG3525" s="10"/>
      <c r="AH3525" s="10"/>
      <c r="AI3525" s="10"/>
      <c r="AJ3525" s="10"/>
      <c r="AK3525" s="10"/>
      <c r="AL3525" s="10" t="s">
        <v>7897</v>
      </c>
      <c r="AM3525" s="10"/>
      <c r="AN3525" s="10"/>
      <c r="AO3525" s="13" t="b">
        <v>0</v>
      </c>
      <c r="AP3525" s="22"/>
      <c r="AQ3525" s="10"/>
      <c r="AR3525" s="17"/>
      <c r="AS3525" s="17"/>
      <c r="AT3525" s="17"/>
      <c r="AU3525" s="17"/>
      <c r="AV3525" s="17"/>
      <c r="AW3525" s="10"/>
      <c r="AX3525" s="17"/>
      <c r="AY3525" s="18" t="s">
        <v>257</v>
      </c>
      <c r="AZ3525" s="10"/>
      <c r="BA3525" s="20" t="b">
        <v>0</v>
      </c>
      <c r="BB3525" s="10"/>
      <c r="BC3525" s="17" t="s">
        <v>257</v>
      </c>
      <c r="BD3525" s="17" t="s">
        <v>257</v>
      </c>
      <c r="BE3525" s="17" t="s">
        <v>257</v>
      </c>
      <c r="BF3525" s="17" t="s">
        <v>257</v>
      </c>
      <c r="BG3525" s="11">
        <f ca="1">IFERROR(__xludf.DUMMYFUNCTION("""COMPUTED_VALUE"""),46041.2916666666)</f>
        <v>46041.291666666599</v>
      </c>
      <c r="BH3525" s="17"/>
      <c r="BI3525" s="17"/>
      <c r="BJ3525" s="15"/>
      <c r="BK3525" s="15"/>
      <c r="BL3525" s="13" t="b">
        <v>0</v>
      </c>
      <c r="BM3525" s="10"/>
      <c r="BN3525" s="10" t="s">
        <v>18577</v>
      </c>
      <c r="BO3525" s="11">
        <v>46022.741666666669</v>
      </c>
      <c r="BP3525" s="11">
        <v>46022.741967592592</v>
      </c>
      <c r="BQ3525" s="15"/>
      <c r="BR3525" s="15"/>
      <c r="BS3525" s="10"/>
      <c r="BT3525" s="10"/>
      <c r="BU3525" s="10"/>
      <c r="BV3525" s="10"/>
      <c r="BW3525" s="10"/>
      <c r="BX3525" s="10"/>
      <c r="BY3525" s="23"/>
      <c r="BZ3525" s="23"/>
      <c r="CA3525" s="10"/>
      <c r="CB3525" s="23"/>
      <c r="CC3525" s="23"/>
      <c r="CD3525" s="23"/>
      <c r="CE3525" s="23"/>
      <c r="CF3525" s="23"/>
      <c r="CG3525" s="23"/>
      <c r="CH3525" s="23"/>
      <c r="CI3525" s="23"/>
    </row>
    <row r="3526" spans="1:87" x14ac:dyDescent="0.3">
      <c r="A3526" s="9" t="s">
        <v>24857</v>
      </c>
      <c r="B3526" s="10" t="s">
        <v>24858</v>
      </c>
      <c r="C3526" s="11">
        <v>46041.3125</v>
      </c>
      <c r="D3526" s="12">
        <v>0.2986111111111111</v>
      </c>
      <c r="E3526" s="11">
        <v>46041.611111111109</v>
      </c>
      <c r="F3526" s="22" t="s">
        <v>24805</v>
      </c>
      <c r="G3526" s="13" t="b">
        <v>0</v>
      </c>
      <c r="H3526" s="22" t="s">
        <v>6271</v>
      </c>
      <c r="I3526" s="10" t="s">
        <v>89</v>
      </c>
      <c r="J3526" s="13" t="b">
        <v>0</v>
      </c>
      <c r="K3526" s="13" t="b">
        <v>1</v>
      </c>
      <c r="L3526" s="10" t="s">
        <v>124</v>
      </c>
      <c r="M3526" s="10" t="s">
        <v>91</v>
      </c>
      <c r="N3526" s="10" t="s">
        <v>92</v>
      </c>
      <c r="O3526" s="10"/>
      <c r="P3526" s="10"/>
      <c r="Q3526" s="10" t="s">
        <v>126</v>
      </c>
      <c r="R3526" s="10"/>
      <c r="S3526" s="10"/>
      <c r="T3526" s="10"/>
      <c r="U3526" s="10"/>
      <c r="V3526" s="10"/>
      <c r="W3526" s="10" t="s">
        <v>24806</v>
      </c>
      <c r="X3526" s="10" t="s">
        <v>21724</v>
      </c>
      <c r="Y3526" s="10" t="s">
        <v>21724</v>
      </c>
      <c r="Z3526" s="10" t="s">
        <v>99</v>
      </c>
      <c r="AA3526" s="10" t="s">
        <v>131</v>
      </c>
      <c r="AB3526" s="10" t="s">
        <v>24807</v>
      </c>
      <c r="AC3526" s="10" t="s">
        <v>21726</v>
      </c>
      <c r="AD3526" s="10" t="s">
        <v>165</v>
      </c>
      <c r="AE3526" s="10" t="s">
        <v>24859</v>
      </c>
      <c r="AF3526" s="15"/>
      <c r="AG3526" s="10"/>
      <c r="AH3526" s="10"/>
      <c r="AI3526" s="10"/>
      <c r="AJ3526" s="10"/>
      <c r="AK3526" s="10"/>
      <c r="AL3526" s="10" t="s">
        <v>7897</v>
      </c>
      <c r="AM3526" s="10"/>
      <c r="AN3526" s="10"/>
      <c r="AO3526" s="13" t="b">
        <v>0</v>
      </c>
      <c r="AP3526" s="22"/>
      <c r="AQ3526" s="10"/>
      <c r="AR3526" s="17"/>
      <c r="AS3526" s="17"/>
      <c r="AT3526" s="17"/>
      <c r="AU3526" s="17"/>
      <c r="AV3526" s="17"/>
      <c r="AW3526" s="10"/>
      <c r="AX3526" s="17"/>
      <c r="AY3526" s="18" t="s">
        <v>257</v>
      </c>
      <c r="AZ3526" s="10"/>
      <c r="BA3526" s="20" t="b">
        <v>0</v>
      </c>
      <c r="BB3526" s="10"/>
      <c r="BC3526" s="17" t="s">
        <v>257</v>
      </c>
      <c r="BD3526" s="17" t="s">
        <v>257</v>
      </c>
      <c r="BE3526" s="17" t="s">
        <v>257</v>
      </c>
      <c r="BF3526" s="17" t="s">
        <v>257</v>
      </c>
      <c r="BG3526" s="11">
        <f ca="1">IFERROR(__xludf.DUMMYFUNCTION("""COMPUTED_VALUE"""),46041.3125)</f>
        <v>46041.3125</v>
      </c>
      <c r="BH3526" s="17"/>
      <c r="BI3526" s="17"/>
      <c r="BJ3526" s="15"/>
      <c r="BK3526" s="15"/>
      <c r="BL3526" s="13" t="b">
        <v>0</v>
      </c>
      <c r="BM3526" s="10"/>
      <c r="BN3526" s="10" t="s">
        <v>18577</v>
      </c>
      <c r="BO3526" s="11">
        <v>46022.741666666669</v>
      </c>
      <c r="BP3526" s="11">
        <v>46022.742407407408</v>
      </c>
      <c r="BQ3526" s="15"/>
      <c r="BR3526" s="15"/>
      <c r="BS3526" s="10"/>
      <c r="BT3526" s="10"/>
      <c r="BU3526" s="10"/>
      <c r="BV3526" s="10"/>
      <c r="BW3526" s="10"/>
      <c r="BX3526" s="10"/>
      <c r="BY3526" s="23"/>
      <c r="BZ3526" s="23"/>
      <c r="CA3526" s="10"/>
      <c r="CB3526" s="23"/>
      <c r="CC3526" s="23"/>
      <c r="CD3526" s="23"/>
      <c r="CE3526" s="23"/>
      <c r="CF3526" s="23"/>
      <c r="CG3526" s="23"/>
      <c r="CH3526" s="23"/>
      <c r="CI3526" s="23"/>
    </row>
    <row r="3527" spans="1:87" x14ac:dyDescent="0.3">
      <c r="A3527" s="9" t="s">
        <v>24860</v>
      </c>
      <c r="B3527" s="10" t="s">
        <v>24861</v>
      </c>
      <c r="C3527" s="11">
        <v>46041.3125</v>
      </c>
      <c r="D3527" s="12">
        <v>0.3125</v>
      </c>
      <c r="E3527" s="11">
        <v>46041.625</v>
      </c>
      <c r="F3527" s="22" t="s">
        <v>24805</v>
      </c>
      <c r="G3527" s="13" t="b">
        <v>0</v>
      </c>
      <c r="H3527" s="22" t="s">
        <v>3564</v>
      </c>
      <c r="I3527" s="10" t="s">
        <v>89</v>
      </c>
      <c r="J3527" s="13" t="b">
        <v>0</v>
      </c>
      <c r="K3527" s="13" t="b">
        <v>1</v>
      </c>
      <c r="L3527" s="10" t="s">
        <v>124</v>
      </c>
      <c r="M3527" s="10" t="s">
        <v>91</v>
      </c>
      <c r="N3527" s="10" t="s">
        <v>92</v>
      </c>
      <c r="O3527" s="10"/>
      <c r="P3527" s="10"/>
      <c r="Q3527" s="10" t="s">
        <v>126</v>
      </c>
      <c r="R3527" s="10"/>
      <c r="S3527" s="10"/>
      <c r="T3527" s="10"/>
      <c r="U3527" s="10"/>
      <c r="V3527" s="10"/>
      <c r="W3527" s="10" t="s">
        <v>24806</v>
      </c>
      <c r="X3527" s="10" t="s">
        <v>21724</v>
      </c>
      <c r="Y3527" s="10" t="s">
        <v>21724</v>
      </c>
      <c r="Z3527" s="10" t="s">
        <v>99</v>
      </c>
      <c r="AA3527" s="10" t="s">
        <v>131</v>
      </c>
      <c r="AB3527" s="10" t="s">
        <v>24807</v>
      </c>
      <c r="AC3527" s="10" t="s">
        <v>21726</v>
      </c>
      <c r="AD3527" s="10" t="s">
        <v>165</v>
      </c>
      <c r="AE3527" s="10" t="s">
        <v>24862</v>
      </c>
      <c r="AF3527" s="15"/>
      <c r="AG3527" s="10"/>
      <c r="AH3527" s="10"/>
      <c r="AI3527" s="10"/>
      <c r="AJ3527" s="10"/>
      <c r="AK3527" s="10"/>
      <c r="AL3527" s="10" t="s">
        <v>7897</v>
      </c>
      <c r="AM3527" s="10"/>
      <c r="AN3527" s="10"/>
      <c r="AO3527" s="13" t="b">
        <v>0</v>
      </c>
      <c r="AP3527" s="22"/>
      <c r="AQ3527" s="10"/>
      <c r="AR3527" s="17"/>
      <c r="AS3527" s="17"/>
      <c r="AT3527" s="17"/>
      <c r="AU3527" s="17"/>
      <c r="AV3527" s="17"/>
      <c r="AW3527" s="10"/>
      <c r="AX3527" s="17"/>
      <c r="AY3527" s="18" t="s">
        <v>257</v>
      </c>
      <c r="AZ3527" s="10"/>
      <c r="BA3527" s="20" t="b">
        <v>0</v>
      </c>
      <c r="BB3527" s="10"/>
      <c r="BC3527" s="17" t="s">
        <v>257</v>
      </c>
      <c r="BD3527" s="17" t="s">
        <v>257</v>
      </c>
      <c r="BE3527" s="17" t="s">
        <v>257</v>
      </c>
      <c r="BF3527" s="17" t="s">
        <v>257</v>
      </c>
      <c r="BG3527" s="11">
        <f ca="1">IFERROR(__xludf.DUMMYFUNCTION("""COMPUTED_VALUE"""),46041.3125)</f>
        <v>46041.3125</v>
      </c>
      <c r="BH3527" s="17"/>
      <c r="BI3527" s="17"/>
      <c r="BJ3527" s="15"/>
      <c r="BK3527" s="15"/>
      <c r="BL3527" s="13" t="b">
        <v>0</v>
      </c>
      <c r="BM3527" s="10"/>
      <c r="BN3527" s="10" t="s">
        <v>18577</v>
      </c>
      <c r="BO3527" s="11">
        <v>46022.742361111108</v>
      </c>
      <c r="BP3527" s="11">
        <v>46022.742928240739</v>
      </c>
      <c r="BQ3527" s="15"/>
      <c r="BR3527" s="15"/>
      <c r="BS3527" s="10"/>
      <c r="BT3527" s="10"/>
      <c r="BU3527" s="10"/>
      <c r="BV3527" s="10"/>
      <c r="BW3527" s="10"/>
      <c r="BX3527" s="10"/>
      <c r="BY3527" s="23"/>
      <c r="BZ3527" s="23"/>
      <c r="CA3527" s="10"/>
      <c r="CB3527" s="23"/>
      <c r="CC3527" s="23"/>
      <c r="CD3527" s="23"/>
      <c r="CE3527" s="23"/>
      <c r="CF3527" s="23"/>
      <c r="CG3527" s="23"/>
      <c r="CH3527" s="23"/>
      <c r="CI3527" s="23"/>
    </row>
    <row r="3528" spans="1:87" x14ac:dyDescent="0.3">
      <c r="A3528" s="9" t="s">
        <v>24863</v>
      </c>
      <c r="B3528" s="10" t="s">
        <v>24864</v>
      </c>
      <c r="C3528" s="11">
        <v>46041.541666666664</v>
      </c>
      <c r="D3528" s="12">
        <v>0.20833333333333334</v>
      </c>
      <c r="E3528" s="11">
        <v>46041.75</v>
      </c>
      <c r="F3528" s="22" t="s">
        <v>24805</v>
      </c>
      <c r="G3528" s="13" t="b">
        <v>0</v>
      </c>
      <c r="H3528" s="22" t="s">
        <v>3578</v>
      </c>
      <c r="I3528" s="10" t="s">
        <v>89</v>
      </c>
      <c r="J3528" s="13" t="b">
        <v>0</v>
      </c>
      <c r="K3528" s="13" t="b">
        <v>1</v>
      </c>
      <c r="L3528" s="10" t="s">
        <v>124</v>
      </c>
      <c r="M3528" s="10" t="s">
        <v>91</v>
      </c>
      <c r="N3528" s="10" t="s">
        <v>92</v>
      </c>
      <c r="O3528" s="10"/>
      <c r="P3528" s="10"/>
      <c r="Q3528" s="10" t="s">
        <v>126</v>
      </c>
      <c r="R3528" s="10"/>
      <c r="S3528" s="10"/>
      <c r="T3528" s="10"/>
      <c r="U3528" s="10"/>
      <c r="V3528" s="10"/>
      <c r="W3528" s="10" t="s">
        <v>24806</v>
      </c>
      <c r="X3528" s="10" t="s">
        <v>21724</v>
      </c>
      <c r="Y3528" s="10" t="s">
        <v>21724</v>
      </c>
      <c r="Z3528" s="10" t="s">
        <v>99</v>
      </c>
      <c r="AA3528" s="10" t="s">
        <v>131</v>
      </c>
      <c r="AB3528" s="10" t="s">
        <v>24807</v>
      </c>
      <c r="AC3528" s="10" t="s">
        <v>21726</v>
      </c>
      <c r="AD3528" s="10" t="s">
        <v>165</v>
      </c>
      <c r="AE3528" s="10" t="s">
        <v>24865</v>
      </c>
      <c r="AF3528" s="15"/>
      <c r="AG3528" s="10"/>
      <c r="AH3528" s="10"/>
      <c r="AI3528" s="10"/>
      <c r="AJ3528" s="10"/>
      <c r="AK3528" s="10"/>
      <c r="AL3528" s="10" t="s">
        <v>7897</v>
      </c>
      <c r="AM3528" s="10"/>
      <c r="AN3528" s="10"/>
      <c r="AO3528" s="13" t="b">
        <v>0</v>
      </c>
      <c r="AP3528" s="22"/>
      <c r="AQ3528" s="10"/>
      <c r="AR3528" s="17"/>
      <c r="AS3528" s="17"/>
      <c r="AT3528" s="17"/>
      <c r="AU3528" s="17"/>
      <c r="AV3528" s="17"/>
      <c r="AW3528" s="10"/>
      <c r="AX3528" s="17"/>
      <c r="AY3528" s="18" t="s">
        <v>257</v>
      </c>
      <c r="AZ3528" s="10"/>
      <c r="BA3528" s="20" t="b">
        <v>0</v>
      </c>
      <c r="BB3528" s="10"/>
      <c r="BC3528" s="17" t="s">
        <v>257</v>
      </c>
      <c r="BD3528" s="17" t="s">
        <v>257</v>
      </c>
      <c r="BE3528" s="17" t="s">
        <v>257</v>
      </c>
      <c r="BF3528" s="17" t="s">
        <v>257</v>
      </c>
      <c r="BG3528" s="11">
        <f ca="1">IFERROR(__xludf.DUMMYFUNCTION("""COMPUTED_VALUE"""),46041.5416666666)</f>
        <v>46041.541666666599</v>
      </c>
      <c r="BH3528" s="17"/>
      <c r="BI3528" s="17"/>
      <c r="BJ3528" s="15"/>
      <c r="BK3528" s="15"/>
      <c r="BL3528" s="13" t="b">
        <v>0</v>
      </c>
      <c r="BM3528" s="10"/>
      <c r="BN3528" s="10" t="s">
        <v>18577</v>
      </c>
      <c r="BO3528" s="11">
        <v>46022.743055555555</v>
      </c>
      <c r="BP3528" s="11">
        <v>46022.743483796294</v>
      </c>
      <c r="BQ3528" s="15"/>
      <c r="BR3528" s="15"/>
      <c r="BS3528" s="10"/>
      <c r="BT3528" s="10"/>
      <c r="BU3528" s="10"/>
      <c r="BV3528" s="10"/>
      <c r="BW3528" s="10"/>
      <c r="BX3528" s="10"/>
      <c r="BY3528" s="23"/>
      <c r="BZ3528" s="23"/>
      <c r="CA3528" s="10"/>
      <c r="CB3528" s="23"/>
      <c r="CC3528" s="23"/>
      <c r="CD3528" s="23"/>
      <c r="CE3528" s="23"/>
      <c r="CF3528" s="23"/>
      <c r="CG3528" s="23"/>
      <c r="CH3528" s="23"/>
      <c r="CI3528" s="23"/>
    </row>
    <row r="3529" spans="1:87" x14ac:dyDescent="0.3">
      <c r="A3529" s="9" t="s">
        <v>24866</v>
      </c>
      <c r="B3529" s="10" t="s">
        <v>24867</v>
      </c>
      <c r="C3529" s="11">
        <v>46041.611111111109</v>
      </c>
      <c r="D3529" s="12">
        <v>0.22222222222222221</v>
      </c>
      <c r="E3529" s="11">
        <v>46041.833333333336</v>
      </c>
      <c r="F3529" s="22" t="s">
        <v>24805</v>
      </c>
      <c r="G3529" s="13" t="b">
        <v>0</v>
      </c>
      <c r="H3529" s="22" t="s">
        <v>6271</v>
      </c>
      <c r="I3529" s="10" t="s">
        <v>89</v>
      </c>
      <c r="J3529" s="13" t="b">
        <v>0</v>
      </c>
      <c r="K3529" s="13" t="b">
        <v>1</v>
      </c>
      <c r="L3529" s="10" t="s">
        <v>124</v>
      </c>
      <c r="M3529" s="10" t="s">
        <v>91</v>
      </c>
      <c r="N3529" s="10" t="s">
        <v>92</v>
      </c>
      <c r="O3529" s="10"/>
      <c r="P3529" s="10"/>
      <c r="Q3529" s="10" t="s">
        <v>126</v>
      </c>
      <c r="R3529" s="10"/>
      <c r="S3529" s="10"/>
      <c r="T3529" s="10"/>
      <c r="U3529" s="10"/>
      <c r="V3529" s="10"/>
      <c r="W3529" s="10" t="s">
        <v>24806</v>
      </c>
      <c r="X3529" s="10" t="s">
        <v>21724</v>
      </c>
      <c r="Y3529" s="10" t="s">
        <v>21724</v>
      </c>
      <c r="Z3529" s="10" t="s">
        <v>99</v>
      </c>
      <c r="AA3529" s="10" t="s">
        <v>131</v>
      </c>
      <c r="AB3529" s="10" t="s">
        <v>24807</v>
      </c>
      <c r="AC3529" s="10" t="s">
        <v>21726</v>
      </c>
      <c r="AD3529" s="10" t="s">
        <v>165</v>
      </c>
      <c r="AE3529" s="10" t="s">
        <v>24868</v>
      </c>
      <c r="AF3529" s="15"/>
      <c r="AG3529" s="10"/>
      <c r="AH3529" s="10"/>
      <c r="AI3529" s="10"/>
      <c r="AJ3529" s="10"/>
      <c r="AK3529" s="10"/>
      <c r="AL3529" s="10"/>
      <c r="AM3529" s="10"/>
      <c r="AN3529" s="10"/>
      <c r="AO3529" s="13" t="b">
        <v>0</v>
      </c>
      <c r="AP3529" s="22"/>
      <c r="AQ3529" s="10"/>
      <c r="AR3529" s="17"/>
      <c r="AS3529" s="17"/>
      <c r="AT3529" s="17"/>
      <c r="AU3529" s="17"/>
      <c r="AV3529" s="17"/>
      <c r="AW3529" s="10"/>
      <c r="AX3529" s="17"/>
      <c r="AY3529" s="18" t="s">
        <v>257</v>
      </c>
      <c r="AZ3529" s="10"/>
      <c r="BA3529" s="20" t="b">
        <v>0</v>
      </c>
      <c r="BB3529" s="10"/>
      <c r="BC3529" s="17" t="s">
        <v>257</v>
      </c>
      <c r="BD3529" s="17" t="s">
        <v>257</v>
      </c>
      <c r="BE3529" s="17" t="s">
        <v>257</v>
      </c>
      <c r="BF3529" s="17" t="s">
        <v>257</v>
      </c>
      <c r="BG3529" s="11">
        <f ca="1">IFERROR(__xludf.DUMMYFUNCTION("""COMPUTED_VALUE"""),46041.6111111111)</f>
        <v>46041.611111111102</v>
      </c>
      <c r="BH3529" s="17"/>
      <c r="BI3529" s="17"/>
      <c r="BJ3529" s="15"/>
      <c r="BK3529" s="15"/>
      <c r="BL3529" s="13" t="b">
        <v>0</v>
      </c>
      <c r="BM3529" s="10"/>
      <c r="BN3529" s="10" t="s">
        <v>18577</v>
      </c>
      <c r="BO3529" s="11">
        <v>46022.743750000001</v>
      </c>
      <c r="BP3529" s="11">
        <v>46022.74391203704</v>
      </c>
      <c r="BQ3529" s="15"/>
      <c r="BR3529" s="15"/>
      <c r="BS3529" s="10"/>
      <c r="BT3529" s="10"/>
      <c r="BU3529" s="10"/>
      <c r="BV3529" s="10"/>
      <c r="BW3529" s="10"/>
      <c r="BX3529" s="10"/>
      <c r="BY3529" s="23"/>
      <c r="BZ3529" s="23"/>
      <c r="CA3529" s="10"/>
      <c r="CB3529" s="23"/>
      <c r="CC3529" s="23"/>
      <c r="CD3529" s="23"/>
      <c r="CE3529" s="23"/>
      <c r="CF3529" s="23"/>
      <c r="CG3529" s="23"/>
      <c r="CH3529" s="23"/>
      <c r="CI3529" s="23"/>
    </row>
    <row r="3530" spans="1:87" x14ac:dyDescent="0.3">
      <c r="A3530" s="9" t="s">
        <v>24869</v>
      </c>
      <c r="B3530" s="10" t="s">
        <v>24870</v>
      </c>
      <c r="C3530" s="11">
        <v>46041.625</v>
      </c>
      <c r="D3530" s="12">
        <v>0.20833333333333334</v>
      </c>
      <c r="E3530" s="11">
        <v>46041.833333333336</v>
      </c>
      <c r="F3530" s="22" t="s">
        <v>24805</v>
      </c>
      <c r="G3530" s="13" t="b">
        <v>0</v>
      </c>
      <c r="H3530" s="22" t="s">
        <v>3564</v>
      </c>
      <c r="I3530" s="10" t="s">
        <v>89</v>
      </c>
      <c r="J3530" s="13" t="b">
        <v>0</v>
      </c>
      <c r="K3530" s="13" t="b">
        <v>1</v>
      </c>
      <c r="L3530" s="10" t="s">
        <v>124</v>
      </c>
      <c r="M3530" s="10" t="s">
        <v>91</v>
      </c>
      <c r="N3530" s="10" t="s">
        <v>92</v>
      </c>
      <c r="O3530" s="10"/>
      <c r="P3530" s="10"/>
      <c r="Q3530" s="10" t="s">
        <v>126</v>
      </c>
      <c r="R3530" s="10"/>
      <c r="S3530" s="10"/>
      <c r="T3530" s="10"/>
      <c r="U3530" s="10"/>
      <c r="V3530" s="10"/>
      <c r="W3530" s="10" t="s">
        <v>24806</v>
      </c>
      <c r="X3530" s="10" t="s">
        <v>21724</v>
      </c>
      <c r="Y3530" s="10" t="s">
        <v>21724</v>
      </c>
      <c r="Z3530" s="10" t="s">
        <v>99</v>
      </c>
      <c r="AA3530" s="10" t="s">
        <v>131</v>
      </c>
      <c r="AB3530" s="10" t="s">
        <v>24807</v>
      </c>
      <c r="AC3530" s="10" t="s">
        <v>21726</v>
      </c>
      <c r="AD3530" s="10" t="s">
        <v>165</v>
      </c>
      <c r="AE3530" s="10" t="s">
        <v>24871</v>
      </c>
      <c r="AF3530" s="15"/>
      <c r="AG3530" s="10"/>
      <c r="AH3530" s="10"/>
      <c r="AI3530" s="10"/>
      <c r="AJ3530" s="10"/>
      <c r="AK3530" s="10"/>
      <c r="AL3530" s="10" t="s">
        <v>7897</v>
      </c>
      <c r="AM3530" s="10"/>
      <c r="AN3530" s="10"/>
      <c r="AO3530" s="13" t="b">
        <v>0</v>
      </c>
      <c r="AP3530" s="22"/>
      <c r="AQ3530" s="10"/>
      <c r="AR3530" s="17"/>
      <c r="AS3530" s="17"/>
      <c r="AT3530" s="17"/>
      <c r="AU3530" s="17"/>
      <c r="AV3530" s="17"/>
      <c r="AW3530" s="10"/>
      <c r="AX3530" s="17"/>
      <c r="AY3530" s="18" t="s">
        <v>257</v>
      </c>
      <c r="AZ3530" s="10"/>
      <c r="BA3530" s="20" t="b">
        <v>0</v>
      </c>
      <c r="BB3530" s="10"/>
      <c r="BC3530" s="17" t="s">
        <v>257</v>
      </c>
      <c r="BD3530" s="17" t="s">
        <v>257</v>
      </c>
      <c r="BE3530" s="17" t="s">
        <v>257</v>
      </c>
      <c r="BF3530" s="17" t="s">
        <v>257</v>
      </c>
      <c r="BG3530" s="11">
        <f ca="1">IFERROR(__xludf.DUMMYFUNCTION("""COMPUTED_VALUE"""),46041.625)</f>
        <v>46041.625</v>
      </c>
      <c r="BH3530" s="17"/>
      <c r="BI3530" s="17"/>
      <c r="BJ3530" s="15"/>
      <c r="BK3530" s="15"/>
      <c r="BL3530" s="13" t="b">
        <v>0</v>
      </c>
      <c r="BM3530" s="10"/>
      <c r="BN3530" s="10" t="s">
        <v>18577</v>
      </c>
      <c r="BO3530" s="11">
        <v>46022.743750000001</v>
      </c>
      <c r="BP3530" s="11">
        <v>46022.744930555556</v>
      </c>
      <c r="BQ3530" s="15"/>
      <c r="BR3530" s="15"/>
      <c r="BS3530" s="10"/>
      <c r="BT3530" s="10"/>
      <c r="BU3530" s="10"/>
      <c r="BV3530" s="10"/>
      <c r="BW3530" s="10"/>
      <c r="BX3530" s="10"/>
      <c r="BY3530" s="23"/>
      <c r="BZ3530" s="23"/>
      <c r="CA3530" s="10"/>
      <c r="CB3530" s="23"/>
      <c r="CC3530" s="23"/>
      <c r="CD3530" s="23"/>
      <c r="CE3530" s="23"/>
      <c r="CF3530" s="23"/>
      <c r="CG3530" s="23"/>
      <c r="CH3530" s="23"/>
      <c r="CI3530" s="23"/>
    </row>
    <row r="3531" spans="1:87" x14ac:dyDescent="0.3">
      <c r="A3531" s="9" t="s">
        <v>24872</v>
      </c>
      <c r="B3531" s="10" t="s">
        <v>24873</v>
      </c>
      <c r="C3531" s="11">
        <v>46042.291666666664</v>
      </c>
      <c r="D3531" s="12">
        <v>0.25</v>
      </c>
      <c r="E3531" s="11">
        <v>46042.541666666664</v>
      </c>
      <c r="F3531" s="22" t="s">
        <v>24805</v>
      </c>
      <c r="G3531" s="13" t="b">
        <v>0</v>
      </c>
      <c r="H3531" s="22" t="s">
        <v>3578</v>
      </c>
      <c r="I3531" s="10" t="s">
        <v>89</v>
      </c>
      <c r="J3531" s="13" t="b">
        <v>0</v>
      </c>
      <c r="K3531" s="13" t="b">
        <v>1</v>
      </c>
      <c r="L3531" s="10" t="s">
        <v>124</v>
      </c>
      <c r="M3531" s="10" t="s">
        <v>91</v>
      </c>
      <c r="N3531" s="10" t="s">
        <v>92</v>
      </c>
      <c r="O3531" s="10"/>
      <c r="P3531" s="10"/>
      <c r="Q3531" s="10" t="s">
        <v>126</v>
      </c>
      <c r="R3531" s="10"/>
      <c r="S3531" s="10"/>
      <c r="T3531" s="10"/>
      <c r="U3531" s="10"/>
      <c r="V3531" s="10"/>
      <c r="W3531" s="10" t="s">
        <v>24806</v>
      </c>
      <c r="X3531" s="10" t="s">
        <v>21724</v>
      </c>
      <c r="Y3531" s="10" t="s">
        <v>21724</v>
      </c>
      <c r="Z3531" s="10" t="s">
        <v>99</v>
      </c>
      <c r="AA3531" s="10" t="s">
        <v>131</v>
      </c>
      <c r="AB3531" s="10" t="s">
        <v>24807</v>
      </c>
      <c r="AC3531" s="10" t="s">
        <v>21726</v>
      </c>
      <c r="AD3531" s="10" t="s">
        <v>165</v>
      </c>
      <c r="AE3531" s="10" t="s">
        <v>24874</v>
      </c>
      <c r="AF3531" s="15"/>
      <c r="AG3531" s="10"/>
      <c r="AH3531" s="10"/>
      <c r="AI3531" s="10"/>
      <c r="AJ3531" s="10"/>
      <c r="AK3531" s="10"/>
      <c r="AL3531" s="10" t="s">
        <v>7897</v>
      </c>
      <c r="AM3531" s="10"/>
      <c r="AN3531" s="10"/>
      <c r="AO3531" s="13" t="b">
        <v>0</v>
      </c>
      <c r="AP3531" s="22"/>
      <c r="AQ3531" s="10"/>
      <c r="AR3531" s="17"/>
      <c r="AS3531" s="17"/>
      <c r="AT3531" s="17"/>
      <c r="AU3531" s="17"/>
      <c r="AV3531" s="17"/>
      <c r="AW3531" s="10"/>
      <c r="AX3531" s="17"/>
      <c r="AY3531" s="18" t="s">
        <v>257</v>
      </c>
      <c r="AZ3531" s="10"/>
      <c r="BA3531" s="20" t="b">
        <v>0</v>
      </c>
      <c r="BB3531" s="10"/>
      <c r="BC3531" s="17" t="s">
        <v>257</v>
      </c>
      <c r="BD3531" s="17" t="s">
        <v>257</v>
      </c>
      <c r="BE3531" s="17" t="s">
        <v>257</v>
      </c>
      <c r="BF3531" s="17" t="s">
        <v>257</v>
      </c>
      <c r="BG3531" s="11">
        <f ca="1">IFERROR(__xludf.DUMMYFUNCTION("""COMPUTED_VALUE"""),46042.2916666666)</f>
        <v>46042.291666666599</v>
      </c>
      <c r="BH3531" s="17"/>
      <c r="BI3531" s="17"/>
      <c r="BJ3531" s="15"/>
      <c r="BK3531" s="15"/>
      <c r="BL3531" s="13" t="b">
        <v>0</v>
      </c>
      <c r="BM3531" s="10"/>
      <c r="BN3531" s="10" t="s">
        <v>18577</v>
      </c>
      <c r="BO3531" s="11">
        <v>46022.744444444441</v>
      </c>
      <c r="BP3531" s="11">
        <v>46022.745092592595</v>
      </c>
      <c r="BQ3531" s="15"/>
      <c r="BR3531" s="15"/>
      <c r="BS3531" s="10"/>
      <c r="BT3531" s="10"/>
      <c r="BU3531" s="10"/>
      <c r="BV3531" s="10"/>
      <c r="BW3531" s="10"/>
      <c r="BX3531" s="10"/>
      <c r="BY3531" s="23"/>
      <c r="BZ3531" s="23"/>
      <c r="CA3531" s="10"/>
      <c r="CB3531" s="23"/>
      <c r="CC3531" s="23"/>
      <c r="CD3531" s="23"/>
      <c r="CE3531" s="23"/>
      <c r="CF3531" s="23"/>
      <c r="CG3531" s="23"/>
      <c r="CH3531" s="23"/>
      <c r="CI3531" s="23"/>
    </row>
    <row r="3532" spans="1:87" x14ac:dyDescent="0.3">
      <c r="A3532" s="9" t="s">
        <v>24875</v>
      </c>
      <c r="B3532" s="10" t="s">
        <v>24876</v>
      </c>
      <c r="C3532" s="11">
        <v>46040</v>
      </c>
      <c r="D3532" s="12">
        <v>8.3333333333333329E-2</v>
      </c>
      <c r="E3532" s="11">
        <v>46040.083333333336</v>
      </c>
      <c r="F3532" s="22" t="s">
        <v>21253</v>
      </c>
      <c r="G3532" s="13" t="b">
        <v>0</v>
      </c>
      <c r="H3532" s="22" t="s">
        <v>6271</v>
      </c>
      <c r="I3532" s="10" t="s">
        <v>89</v>
      </c>
      <c r="J3532" s="13" t="b">
        <v>0</v>
      </c>
      <c r="K3532" s="13" t="b">
        <v>1</v>
      </c>
      <c r="L3532" s="10" t="s">
        <v>124</v>
      </c>
      <c r="M3532" s="10" t="s">
        <v>91</v>
      </c>
      <c r="N3532" s="10" t="s">
        <v>265</v>
      </c>
      <c r="O3532" s="10"/>
      <c r="P3532" s="10"/>
      <c r="Q3532" s="10" t="s">
        <v>126</v>
      </c>
      <c r="R3532" s="10"/>
      <c r="S3532" s="10"/>
      <c r="T3532" s="10"/>
      <c r="U3532" s="10" t="s">
        <v>11518</v>
      </c>
      <c r="V3532" s="10" t="s">
        <v>24877</v>
      </c>
      <c r="W3532" s="10" t="s">
        <v>21258</v>
      </c>
      <c r="X3532" s="10" t="s">
        <v>130</v>
      </c>
      <c r="Y3532" s="10" t="s">
        <v>130</v>
      </c>
      <c r="Z3532" s="10" t="s">
        <v>99</v>
      </c>
      <c r="AA3532" s="10" t="s">
        <v>131</v>
      </c>
      <c r="AB3532" s="10" t="s">
        <v>21259</v>
      </c>
      <c r="AC3532" s="10" t="s">
        <v>21260</v>
      </c>
      <c r="AD3532" s="10" t="s">
        <v>24878</v>
      </c>
      <c r="AE3532" s="10" t="s">
        <v>24879</v>
      </c>
      <c r="AF3532" s="15"/>
      <c r="AG3532" s="10"/>
      <c r="AH3532" s="10"/>
      <c r="AI3532" s="10"/>
      <c r="AJ3532" s="10"/>
      <c r="AK3532" s="10"/>
      <c r="AL3532" s="10" t="s">
        <v>2098</v>
      </c>
      <c r="AM3532" s="10"/>
      <c r="AN3532" s="10"/>
      <c r="AO3532" s="13" t="b">
        <v>0</v>
      </c>
      <c r="AP3532" s="22" t="s">
        <v>104</v>
      </c>
      <c r="AQ3532" s="10"/>
      <c r="AR3532" s="17"/>
      <c r="AS3532" s="17"/>
      <c r="AT3532" s="17"/>
      <c r="AU3532" s="17"/>
      <c r="AV3532" s="17"/>
      <c r="AW3532" s="10"/>
      <c r="AX3532" s="17"/>
      <c r="AY3532" s="18" t="s">
        <v>257</v>
      </c>
      <c r="AZ3532" s="10"/>
      <c r="BA3532" s="20" t="b">
        <v>0</v>
      </c>
      <c r="BB3532" s="10"/>
      <c r="BC3532" s="17" t="s">
        <v>257</v>
      </c>
      <c r="BD3532" s="17" t="s">
        <v>257</v>
      </c>
      <c r="BE3532" s="17" t="s">
        <v>257</v>
      </c>
      <c r="BF3532" s="17" t="s">
        <v>257</v>
      </c>
      <c r="BG3532" s="11">
        <f ca="1">IFERROR(__xludf.DUMMYFUNCTION("""COMPUTED_VALUE"""),46040)</f>
        <v>46040</v>
      </c>
      <c r="BH3532" s="17"/>
      <c r="BI3532" s="17"/>
      <c r="BJ3532" s="15"/>
      <c r="BK3532" s="15"/>
      <c r="BL3532" s="13" t="b">
        <v>0</v>
      </c>
      <c r="BM3532" s="10"/>
      <c r="BN3532" s="10" t="s">
        <v>108</v>
      </c>
      <c r="BO3532" s="11">
        <v>46022.745138888888</v>
      </c>
      <c r="BP3532" s="11">
        <v>46022.745289351849</v>
      </c>
      <c r="BQ3532" s="15"/>
      <c r="BR3532" s="15"/>
      <c r="BS3532" s="10"/>
      <c r="BT3532" s="10" t="s">
        <v>99</v>
      </c>
      <c r="BU3532" s="10"/>
      <c r="BV3532" s="10"/>
      <c r="BW3532" s="10"/>
      <c r="BX3532" s="10"/>
      <c r="BY3532" s="23"/>
      <c r="BZ3532" s="23"/>
      <c r="CA3532" s="10"/>
      <c r="CB3532" s="23"/>
      <c r="CC3532" s="23"/>
      <c r="CD3532" s="23"/>
      <c r="CE3532" s="23"/>
      <c r="CF3532" s="23"/>
      <c r="CG3532" s="23"/>
      <c r="CH3532" s="23"/>
      <c r="CI3532" s="23"/>
    </row>
    <row r="3533" spans="1:87" x14ac:dyDescent="0.3">
      <c r="A3533" s="9" t="s">
        <v>24880</v>
      </c>
      <c r="B3533" s="10" t="s">
        <v>24881</v>
      </c>
      <c r="C3533" s="11">
        <v>46042.3125</v>
      </c>
      <c r="D3533" s="12">
        <v>0.2986111111111111</v>
      </c>
      <c r="E3533" s="11">
        <v>46042.611111111109</v>
      </c>
      <c r="F3533" s="22" t="s">
        <v>24805</v>
      </c>
      <c r="G3533" s="13" t="b">
        <v>0</v>
      </c>
      <c r="H3533" s="22" t="s">
        <v>6271</v>
      </c>
      <c r="I3533" s="10" t="s">
        <v>89</v>
      </c>
      <c r="J3533" s="13" t="b">
        <v>0</v>
      </c>
      <c r="K3533" s="13" t="b">
        <v>1</v>
      </c>
      <c r="L3533" s="10" t="s">
        <v>124</v>
      </c>
      <c r="M3533" s="10" t="s">
        <v>91</v>
      </c>
      <c r="N3533" s="10" t="s">
        <v>92</v>
      </c>
      <c r="O3533" s="10"/>
      <c r="P3533" s="10"/>
      <c r="Q3533" s="10" t="s">
        <v>126</v>
      </c>
      <c r="R3533" s="10"/>
      <c r="S3533" s="10"/>
      <c r="T3533" s="10"/>
      <c r="U3533" s="10"/>
      <c r="V3533" s="10"/>
      <c r="W3533" s="10" t="s">
        <v>24806</v>
      </c>
      <c r="X3533" s="10" t="s">
        <v>21724</v>
      </c>
      <c r="Y3533" s="10" t="s">
        <v>21724</v>
      </c>
      <c r="Z3533" s="10" t="s">
        <v>99</v>
      </c>
      <c r="AA3533" s="10" t="s">
        <v>131</v>
      </c>
      <c r="AB3533" s="10" t="s">
        <v>24807</v>
      </c>
      <c r="AC3533" s="10" t="s">
        <v>21726</v>
      </c>
      <c r="AD3533" s="10" t="s">
        <v>165</v>
      </c>
      <c r="AE3533" s="10" t="s">
        <v>24882</v>
      </c>
      <c r="AF3533" s="15"/>
      <c r="AG3533" s="10"/>
      <c r="AH3533" s="10"/>
      <c r="AI3533" s="10"/>
      <c r="AJ3533" s="10"/>
      <c r="AK3533" s="10"/>
      <c r="AL3533" s="10" t="s">
        <v>7897</v>
      </c>
      <c r="AM3533" s="10"/>
      <c r="AN3533" s="10"/>
      <c r="AO3533" s="13" t="b">
        <v>0</v>
      </c>
      <c r="AP3533" s="22"/>
      <c r="AQ3533" s="10"/>
      <c r="AR3533" s="17"/>
      <c r="AS3533" s="17"/>
      <c r="AT3533" s="17"/>
      <c r="AU3533" s="17"/>
      <c r="AV3533" s="17"/>
      <c r="AW3533" s="10"/>
      <c r="AX3533" s="17"/>
      <c r="AY3533" s="18" t="s">
        <v>257</v>
      </c>
      <c r="AZ3533" s="10"/>
      <c r="BA3533" s="20" t="b">
        <v>0</v>
      </c>
      <c r="BB3533" s="10"/>
      <c r="BC3533" s="17" t="s">
        <v>257</v>
      </c>
      <c r="BD3533" s="17" t="s">
        <v>257</v>
      </c>
      <c r="BE3533" s="17" t="s">
        <v>257</v>
      </c>
      <c r="BF3533" s="17" t="s">
        <v>257</v>
      </c>
      <c r="BG3533" s="11">
        <f ca="1">IFERROR(__xludf.DUMMYFUNCTION("""COMPUTED_VALUE"""),46042.3125)</f>
        <v>46042.3125</v>
      </c>
      <c r="BH3533" s="17"/>
      <c r="BI3533" s="17"/>
      <c r="BJ3533" s="15"/>
      <c r="BK3533" s="15"/>
      <c r="BL3533" s="13" t="b">
        <v>0</v>
      </c>
      <c r="BM3533" s="10"/>
      <c r="BN3533" s="10" t="s">
        <v>18577</v>
      </c>
      <c r="BO3533" s="11">
        <v>46022.745138888888</v>
      </c>
      <c r="BP3533" s="11">
        <v>46022.745833333334</v>
      </c>
      <c r="BQ3533" s="15"/>
      <c r="BR3533" s="15"/>
      <c r="BS3533" s="10"/>
      <c r="BT3533" s="10"/>
      <c r="BU3533" s="10"/>
      <c r="BV3533" s="10"/>
      <c r="BW3533" s="10"/>
      <c r="BX3533" s="10"/>
      <c r="BY3533" s="23"/>
      <c r="BZ3533" s="23"/>
      <c r="CA3533" s="10"/>
      <c r="CB3533" s="23"/>
      <c r="CC3533" s="23"/>
      <c r="CD3533" s="23"/>
      <c r="CE3533" s="23"/>
      <c r="CF3533" s="23"/>
      <c r="CG3533" s="23"/>
      <c r="CH3533" s="23"/>
      <c r="CI3533" s="23"/>
    </row>
    <row r="3534" spans="1:87" x14ac:dyDescent="0.3">
      <c r="A3534" s="9" t="s">
        <v>24883</v>
      </c>
      <c r="B3534" s="10" t="s">
        <v>24884</v>
      </c>
      <c r="C3534" s="11">
        <v>46040.875</v>
      </c>
      <c r="D3534" s="12">
        <v>8.3333333333333329E-2</v>
      </c>
      <c r="E3534" s="11">
        <v>46040.958333333336</v>
      </c>
      <c r="F3534" s="22" t="s">
        <v>21253</v>
      </c>
      <c r="G3534" s="13" t="b">
        <v>0</v>
      </c>
      <c r="H3534" s="22" t="s">
        <v>6271</v>
      </c>
      <c r="I3534" s="10" t="s">
        <v>89</v>
      </c>
      <c r="J3534" s="13" t="b">
        <v>0</v>
      </c>
      <c r="K3534" s="13" t="b">
        <v>1</v>
      </c>
      <c r="L3534" s="10" t="s">
        <v>124</v>
      </c>
      <c r="M3534" s="10" t="s">
        <v>91</v>
      </c>
      <c r="N3534" s="10" t="s">
        <v>265</v>
      </c>
      <c r="O3534" s="10"/>
      <c r="P3534" s="10"/>
      <c r="Q3534" s="10" t="s">
        <v>126</v>
      </c>
      <c r="R3534" s="10"/>
      <c r="S3534" s="10"/>
      <c r="T3534" s="10"/>
      <c r="U3534" s="10" t="s">
        <v>24885</v>
      </c>
      <c r="V3534" s="10" t="s">
        <v>21256</v>
      </c>
      <c r="W3534" s="10" t="s">
        <v>21258</v>
      </c>
      <c r="X3534" s="10" t="s">
        <v>130</v>
      </c>
      <c r="Y3534" s="10" t="s">
        <v>130</v>
      </c>
      <c r="Z3534" s="10" t="s">
        <v>99</v>
      </c>
      <c r="AA3534" s="10" t="s">
        <v>131</v>
      </c>
      <c r="AB3534" s="10" t="s">
        <v>21259</v>
      </c>
      <c r="AC3534" s="10" t="s">
        <v>21260</v>
      </c>
      <c r="AD3534" s="10" t="s">
        <v>24886</v>
      </c>
      <c r="AE3534" s="10" t="s">
        <v>24887</v>
      </c>
      <c r="AF3534" s="15"/>
      <c r="AG3534" s="10"/>
      <c r="AH3534" s="10"/>
      <c r="AI3534" s="10"/>
      <c r="AJ3534" s="10"/>
      <c r="AK3534" s="10"/>
      <c r="AL3534" s="10" t="s">
        <v>2098</v>
      </c>
      <c r="AM3534" s="10"/>
      <c r="AN3534" s="10"/>
      <c r="AO3534" s="13" t="b">
        <v>0</v>
      </c>
      <c r="AP3534" s="22" t="s">
        <v>104</v>
      </c>
      <c r="AQ3534" s="10"/>
      <c r="AR3534" s="17"/>
      <c r="AS3534" s="17"/>
      <c r="AT3534" s="17"/>
      <c r="AU3534" s="17"/>
      <c r="AV3534" s="17"/>
      <c r="AW3534" s="10"/>
      <c r="AX3534" s="17"/>
      <c r="AY3534" s="18" t="s">
        <v>257</v>
      </c>
      <c r="AZ3534" s="10"/>
      <c r="BA3534" s="20" t="b">
        <v>0</v>
      </c>
      <c r="BB3534" s="10"/>
      <c r="BC3534" s="17" t="s">
        <v>257</v>
      </c>
      <c r="BD3534" s="17" t="s">
        <v>257</v>
      </c>
      <c r="BE3534" s="17" t="s">
        <v>257</v>
      </c>
      <c r="BF3534" s="17" t="s">
        <v>257</v>
      </c>
      <c r="BG3534" s="11">
        <f ca="1">IFERROR(__xludf.DUMMYFUNCTION("""COMPUTED_VALUE"""),46040.875)</f>
        <v>46040.875</v>
      </c>
      <c r="BH3534" s="17"/>
      <c r="BI3534" s="17"/>
      <c r="BJ3534" s="15"/>
      <c r="BK3534" s="15"/>
      <c r="BL3534" s="13" t="b">
        <v>0</v>
      </c>
      <c r="BM3534" s="10"/>
      <c r="BN3534" s="10" t="s">
        <v>108</v>
      </c>
      <c r="BO3534" s="11">
        <v>46022.745833333334</v>
      </c>
      <c r="BP3534" s="11">
        <v>46022.745995370373</v>
      </c>
      <c r="BQ3534" s="15"/>
      <c r="BR3534" s="15"/>
      <c r="BS3534" s="10"/>
      <c r="BT3534" s="10" t="s">
        <v>99</v>
      </c>
      <c r="BU3534" s="10"/>
      <c r="BV3534" s="10"/>
      <c r="BW3534" s="10"/>
      <c r="BX3534" s="10"/>
      <c r="BY3534" s="23"/>
      <c r="BZ3534" s="23"/>
      <c r="CA3534" s="10"/>
      <c r="CB3534" s="23"/>
      <c r="CC3534" s="23"/>
      <c r="CD3534" s="23"/>
      <c r="CE3534" s="23"/>
      <c r="CF3534" s="23"/>
      <c r="CG3534" s="23"/>
      <c r="CH3534" s="23"/>
      <c r="CI3534" s="23"/>
    </row>
    <row r="3535" spans="1:87" x14ac:dyDescent="0.3">
      <c r="A3535" s="9" t="s">
        <v>24888</v>
      </c>
      <c r="B3535" s="10" t="s">
        <v>24889</v>
      </c>
      <c r="C3535" s="11">
        <v>46042.3125</v>
      </c>
      <c r="D3535" s="12">
        <v>0.3125</v>
      </c>
      <c r="E3535" s="11">
        <v>46042.625</v>
      </c>
      <c r="F3535" s="22" t="s">
        <v>24805</v>
      </c>
      <c r="G3535" s="13" t="b">
        <v>0</v>
      </c>
      <c r="H3535" s="22" t="s">
        <v>3564</v>
      </c>
      <c r="I3535" s="10" t="s">
        <v>89</v>
      </c>
      <c r="J3535" s="13" t="b">
        <v>0</v>
      </c>
      <c r="K3535" s="13" t="b">
        <v>1</v>
      </c>
      <c r="L3535" s="10" t="s">
        <v>124</v>
      </c>
      <c r="M3535" s="10" t="s">
        <v>91</v>
      </c>
      <c r="N3535" s="10" t="s">
        <v>92</v>
      </c>
      <c r="O3535" s="10"/>
      <c r="P3535" s="10"/>
      <c r="Q3535" s="10" t="s">
        <v>126</v>
      </c>
      <c r="R3535" s="10"/>
      <c r="S3535" s="10"/>
      <c r="T3535" s="10"/>
      <c r="U3535" s="10"/>
      <c r="V3535" s="10"/>
      <c r="W3535" s="10" t="s">
        <v>24806</v>
      </c>
      <c r="X3535" s="10" t="s">
        <v>21724</v>
      </c>
      <c r="Y3535" s="10" t="s">
        <v>21724</v>
      </c>
      <c r="Z3535" s="10" t="s">
        <v>99</v>
      </c>
      <c r="AA3535" s="10" t="s">
        <v>131</v>
      </c>
      <c r="AB3535" s="10" t="s">
        <v>24807</v>
      </c>
      <c r="AC3535" s="10" t="s">
        <v>21726</v>
      </c>
      <c r="AD3535" s="10" t="s">
        <v>165</v>
      </c>
      <c r="AE3535" s="10" t="s">
        <v>24890</v>
      </c>
      <c r="AF3535" s="15"/>
      <c r="AG3535" s="10"/>
      <c r="AH3535" s="10"/>
      <c r="AI3535" s="10"/>
      <c r="AJ3535" s="10"/>
      <c r="AK3535" s="10"/>
      <c r="AL3535" s="10" t="s">
        <v>7897</v>
      </c>
      <c r="AM3535" s="10"/>
      <c r="AN3535" s="10"/>
      <c r="AO3535" s="13" t="b">
        <v>0</v>
      </c>
      <c r="AP3535" s="22"/>
      <c r="AQ3535" s="10"/>
      <c r="AR3535" s="17"/>
      <c r="AS3535" s="17"/>
      <c r="AT3535" s="17"/>
      <c r="AU3535" s="17"/>
      <c r="AV3535" s="17"/>
      <c r="AW3535" s="10"/>
      <c r="AX3535" s="17"/>
      <c r="AY3535" s="18" t="s">
        <v>257</v>
      </c>
      <c r="AZ3535" s="10"/>
      <c r="BA3535" s="20" t="b">
        <v>0</v>
      </c>
      <c r="BB3535" s="10"/>
      <c r="BC3535" s="17" t="s">
        <v>257</v>
      </c>
      <c r="BD3535" s="17" t="s">
        <v>257</v>
      </c>
      <c r="BE3535" s="17" t="s">
        <v>257</v>
      </c>
      <c r="BF3535" s="17" t="s">
        <v>257</v>
      </c>
      <c r="BG3535" s="11">
        <f ca="1">IFERROR(__xludf.DUMMYFUNCTION("""COMPUTED_VALUE"""),46042.3125)</f>
        <v>46042.3125</v>
      </c>
      <c r="BH3535" s="17"/>
      <c r="BI3535" s="17"/>
      <c r="BJ3535" s="15"/>
      <c r="BK3535" s="15"/>
      <c r="BL3535" s="13" t="b">
        <v>0</v>
      </c>
      <c r="BM3535" s="10"/>
      <c r="BN3535" s="10" t="s">
        <v>18577</v>
      </c>
      <c r="BO3535" s="11">
        <v>46022.745833333334</v>
      </c>
      <c r="BP3535" s="11">
        <v>46022.746261574073</v>
      </c>
      <c r="BQ3535" s="15"/>
      <c r="BR3535" s="15"/>
      <c r="BS3535" s="10"/>
      <c r="BT3535" s="10"/>
      <c r="BU3535" s="10"/>
      <c r="BV3535" s="10"/>
      <c r="BW3535" s="10"/>
      <c r="BX3535" s="10"/>
      <c r="BY3535" s="23"/>
      <c r="BZ3535" s="23"/>
      <c r="CA3535" s="10"/>
      <c r="CB3535" s="23"/>
      <c r="CC3535" s="23"/>
      <c r="CD3535" s="23"/>
      <c r="CE3535" s="23"/>
      <c r="CF3535" s="23"/>
      <c r="CG3535" s="23"/>
      <c r="CH3535" s="23"/>
      <c r="CI3535" s="23"/>
    </row>
    <row r="3536" spans="1:87" x14ac:dyDescent="0.3">
      <c r="A3536" s="9" t="s">
        <v>24891</v>
      </c>
      <c r="B3536" s="10" t="s">
        <v>24892</v>
      </c>
      <c r="C3536" s="11">
        <v>46042.541666666664</v>
      </c>
      <c r="D3536" s="12">
        <v>0.20833333333333334</v>
      </c>
      <c r="E3536" s="11">
        <v>46042.75</v>
      </c>
      <c r="F3536" s="22" t="s">
        <v>24805</v>
      </c>
      <c r="G3536" s="13" t="b">
        <v>0</v>
      </c>
      <c r="H3536" s="22" t="s">
        <v>3578</v>
      </c>
      <c r="I3536" s="10" t="s">
        <v>89</v>
      </c>
      <c r="J3536" s="13" t="b">
        <v>0</v>
      </c>
      <c r="K3536" s="13" t="b">
        <v>1</v>
      </c>
      <c r="L3536" s="10" t="s">
        <v>124</v>
      </c>
      <c r="M3536" s="10" t="s">
        <v>91</v>
      </c>
      <c r="N3536" s="10" t="s">
        <v>92</v>
      </c>
      <c r="O3536" s="10"/>
      <c r="P3536" s="10"/>
      <c r="Q3536" s="10" t="s">
        <v>126</v>
      </c>
      <c r="R3536" s="10"/>
      <c r="S3536" s="10"/>
      <c r="T3536" s="10"/>
      <c r="U3536" s="10"/>
      <c r="V3536" s="10"/>
      <c r="W3536" s="10" t="s">
        <v>24806</v>
      </c>
      <c r="X3536" s="10" t="s">
        <v>21724</v>
      </c>
      <c r="Y3536" s="10" t="s">
        <v>21724</v>
      </c>
      <c r="Z3536" s="10" t="s">
        <v>99</v>
      </c>
      <c r="AA3536" s="10" t="s">
        <v>131</v>
      </c>
      <c r="AB3536" s="10" t="s">
        <v>24807</v>
      </c>
      <c r="AC3536" s="10" t="s">
        <v>21726</v>
      </c>
      <c r="AD3536" s="10" t="s">
        <v>165</v>
      </c>
      <c r="AE3536" s="10" t="s">
        <v>24893</v>
      </c>
      <c r="AF3536" s="15"/>
      <c r="AG3536" s="10"/>
      <c r="AH3536" s="10"/>
      <c r="AI3536" s="10"/>
      <c r="AJ3536" s="10"/>
      <c r="AK3536" s="10"/>
      <c r="AL3536" s="10" t="s">
        <v>7897</v>
      </c>
      <c r="AM3536" s="10"/>
      <c r="AN3536" s="10"/>
      <c r="AO3536" s="13" t="b">
        <v>0</v>
      </c>
      <c r="AP3536" s="22"/>
      <c r="AQ3536" s="10"/>
      <c r="AR3536" s="17"/>
      <c r="AS3536" s="17"/>
      <c r="AT3536" s="17"/>
      <c r="AU3536" s="17"/>
      <c r="AV3536" s="17"/>
      <c r="AW3536" s="10"/>
      <c r="AX3536" s="17"/>
      <c r="AY3536" s="18" t="s">
        <v>257</v>
      </c>
      <c r="AZ3536" s="10"/>
      <c r="BA3536" s="20" t="b">
        <v>0</v>
      </c>
      <c r="BB3536" s="10"/>
      <c r="BC3536" s="17" t="s">
        <v>257</v>
      </c>
      <c r="BD3536" s="17" t="s">
        <v>257</v>
      </c>
      <c r="BE3536" s="17" t="s">
        <v>257</v>
      </c>
      <c r="BF3536" s="17" t="s">
        <v>257</v>
      </c>
      <c r="BG3536" s="11">
        <f ca="1">IFERROR(__xludf.DUMMYFUNCTION("""COMPUTED_VALUE"""),46042.5416666666)</f>
        <v>46042.541666666599</v>
      </c>
      <c r="BH3536" s="17"/>
      <c r="BI3536" s="17"/>
      <c r="BJ3536" s="15"/>
      <c r="BK3536" s="15"/>
      <c r="BL3536" s="13" t="b">
        <v>0</v>
      </c>
      <c r="BM3536" s="10"/>
      <c r="BN3536" s="10" t="s">
        <v>18577</v>
      </c>
      <c r="BO3536" s="11">
        <v>46022.746527777781</v>
      </c>
      <c r="BP3536" s="11">
        <v>46022.747152777774</v>
      </c>
      <c r="BQ3536" s="15"/>
      <c r="BR3536" s="15"/>
      <c r="BS3536" s="10"/>
      <c r="BT3536" s="10"/>
      <c r="BU3536" s="10"/>
      <c r="BV3536" s="10"/>
      <c r="BW3536" s="10"/>
      <c r="BX3536" s="10"/>
      <c r="BY3536" s="23"/>
      <c r="BZ3536" s="23"/>
      <c r="CA3536" s="10"/>
      <c r="CB3536" s="23"/>
      <c r="CC3536" s="23"/>
      <c r="CD3536" s="23"/>
      <c r="CE3536" s="23"/>
      <c r="CF3536" s="23"/>
      <c r="CG3536" s="23"/>
      <c r="CH3536" s="23"/>
      <c r="CI3536" s="23"/>
    </row>
    <row r="3537" spans="1:87" x14ac:dyDescent="0.3">
      <c r="A3537" s="9" t="s">
        <v>24894</v>
      </c>
      <c r="B3537" s="10" t="s">
        <v>24895</v>
      </c>
      <c r="C3537" s="11">
        <v>46041</v>
      </c>
      <c r="D3537" s="12">
        <v>8.3333333333333329E-2</v>
      </c>
      <c r="E3537" s="11">
        <v>46041.083333333336</v>
      </c>
      <c r="F3537" s="22" t="s">
        <v>21253</v>
      </c>
      <c r="G3537" s="13" t="b">
        <v>0</v>
      </c>
      <c r="H3537" s="22" t="s">
        <v>6271</v>
      </c>
      <c r="I3537" s="10" t="s">
        <v>89</v>
      </c>
      <c r="J3537" s="13" t="b">
        <v>0</v>
      </c>
      <c r="K3537" s="13" t="b">
        <v>1</v>
      </c>
      <c r="L3537" s="10" t="s">
        <v>124</v>
      </c>
      <c r="M3537" s="10" t="s">
        <v>91</v>
      </c>
      <c r="N3537" s="10" t="s">
        <v>265</v>
      </c>
      <c r="O3537" s="10"/>
      <c r="P3537" s="10"/>
      <c r="Q3537" s="10" t="s">
        <v>126</v>
      </c>
      <c r="R3537" s="10"/>
      <c r="S3537" s="10"/>
      <c r="T3537" s="10"/>
      <c r="U3537" s="10" t="s">
        <v>24896</v>
      </c>
      <c r="V3537" s="10" t="s">
        <v>3581</v>
      </c>
      <c r="W3537" s="10" t="s">
        <v>21258</v>
      </c>
      <c r="X3537" s="10" t="s">
        <v>130</v>
      </c>
      <c r="Y3537" s="10" t="s">
        <v>130</v>
      </c>
      <c r="Z3537" s="10" t="s">
        <v>99</v>
      </c>
      <c r="AA3537" s="10" t="s">
        <v>131</v>
      </c>
      <c r="AB3537" s="10" t="s">
        <v>21259</v>
      </c>
      <c r="AC3537" s="10" t="s">
        <v>21260</v>
      </c>
      <c r="AD3537" s="10" t="s">
        <v>24897</v>
      </c>
      <c r="AE3537" s="10" t="s">
        <v>24898</v>
      </c>
      <c r="AF3537" s="15"/>
      <c r="AG3537" s="10"/>
      <c r="AH3537" s="10"/>
      <c r="AI3537" s="10"/>
      <c r="AJ3537" s="10"/>
      <c r="AK3537" s="10"/>
      <c r="AL3537" s="10" t="s">
        <v>2098</v>
      </c>
      <c r="AM3537" s="10"/>
      <c r="AN3537" s="10"/>
      <c r="AO3537" s="13" t="b">
        <v>0</v>
      </c>
      <c r="AP3537" s="22" t="s">
        <v>104</v>
      </c>
      <c r="AQ3537" s="10"/>
      <c r="AR3537" s="17"/>
      <c r="AS3537" s="17"/>
      <c r="AT3537" s="17"/>
      <c r="AU3537" s="17"/>
      <c r="AV3537" s="17"/>
      <c r="AW3537" s="10"/>
      <c r="AX3537" s="17"/>
      <c r="AY3537" s="18" t="s">
        <v>257</v>
      </c>
      <c r="AZ3537" s="10"/>
      <c r="BA3537" s="20" t="b">
        <v>0</v>
      </c>
      <c r="BB3537" s="10"/>
      <c r="BC3537" s="17" t="s">
        <v>257</v>
      </c>
      <c r="BD3537" s="17" t="s">
        <v>257</v>
      </c>
      <c r="BE3537" s="17" t="s">
        <v>257</v>
      </c>
      <c r="BF3537" s="17" t="s">
        <v>257</v>
      </c>
      <c r="BG3537" s="11">
        <f ca="1">IFERROR(__xludf.DUMMYFUNCTION("""COMPUTED_VALUE"""),46041)</f>
        <v>46041</v>
      </c>
      <c r="BH3537" s="17"/>
      <c r="BI3537" s="17"/>
      <c r="BJ3537" s="15"/>
      <c r="BK3537" s="15"/>
      <c r="BL3537" s="13" t="b">
        <v>0</v>
      </c>
      <c r="BM3537" s="10"/>
      <c r="BN3537" s="10" t="s">
        <v>108</v>
      </c>
      <c r="BO3537" s="11">
        <v>46022.746527777781</v>
      </c>
      <c r="BP3537" s="11">
        <v>46022.746863425928</v>
      </c>
      <c r="BQ3537" s="15"/>
      <c r="BR3537" s="15"/>
      <c r="BS3537" s="10"/>
      <c r="BT3537" s="10" t="s">
        <v>99</v>
      </c>
      <c r="BU3537" s="10"/>
      <c r="BV3537" s="10"/>
      <c r="BW3537" s="10"/>
      <c r="BX3537" s="10"/>
      <c r="BY3537" s="23"/>
      <c r="BZ3537" s="23"/>
      <c r="CA3537" s="10"/>
      <c r="CB3537" s="23"/>
      <c r="CC3537" s="23"/>
      <c r="CD3537" s="23"/>
      <c r="CE3537" s="23"/>
      <c r="CF3537" s="23"/>
      <c r="CG3537" s="23"/>
      <c r="CH3537" s="23"/>
      <c r="CI3537" s="23"/>
    </row>
    <row r="3538" spans="1:87" x14ac:dyDescent="0.3">
      <c r="A3538" s="9" t="s">
        <v>24899</v>
      </c>
      <c r="B3538" s="10" t="s">
        <v>24900</v>
      </c>
      <c r="C3538" s="11">
        <v>46042.611111111109</v>
      </c>
      <c r="D3538" s="12">
        <v>0.22222222222222221</v>
      </c>
      <c r="E3538" s="11">
        <v>46042.833333333336</v>
      </c>
      <c r="F3538" s="22" t="s">
        <v>24805</v>
      </c>
      <c r="G3538" s="13" t="b">
        <v>0</v>
      </c>
      <c r="H3538" s="22" t="s">
        <v>6271</v>
      </c>
      <c r="I3538" s="10" t="s">
        <v>89</v>
      </c>
      <c r="J3538" s="13" t="b">
        <v>0</v>
      </c>
      <c r="K3538" s="13" t="b">
        <v>1</v>
      </c>
      <c r="L3538" s="10" t="s">
        <v>124</v>
      </c>
      <c r="M3538" s="10" t="s">
        <v>91</v>
      </c>
      <c r="N3538" s="10" t="s">
        <v>92</v>
      </c>
      <c r="O3538" s="10"/>
      <c r="P3538" s="10"/>
      <c r="Q3538" s="10" t="s">
        <v>126</v>
      </c>
      <c r="R3538" s="10"/>
      <c r="S3538" s="10"/>
      <c r="T3538" s="10"/>
      <c r="U3538" s="10"/>
      <c r="V3538" s="10"/>
      <c r="W3538" s="10" t="s">
        <v>24806</v>
      </c>
      <c r="X3538" s="10" t="s">
        <v>21724</v>
      </c>
      <c r="Y3538" s="10" t="s">
        <v>21724</v>
      </c>
      <c r="Z3538" s="10" t="s">
        <v>99</v>
      </c>
      <c r="AA3538" s="10" t="s">
        <v>131</v>
      </c>
      <c r="AB3538" s="10" t="s">
        <v>24807</v>
      </c>
      <c r="AC3538" s="10" t="s">
        <v>21726</v>
      </c>
      <c r="AD3538" s="10" t="s">
        <v>165</v>
      </c>
      <c r="AE3538" s="10" t="s">
        <v>24901</v>
      </c>
      <c r="AF3538" s="15"/>
      <c r="AG3538" s="10"/>
      <c r="AH3538" s="10"/>
      <c r="AI3538" s="10"/>
      <c r="AJ3538" s="10"/>
      <c r="AK3538" s="10"/>
      <c r="AL3538" s="10" t="s">
        <v>7897</v>
      </c>
      <c r="AM3538" s="10"/>
      <c r="AN3538" s="10"/>
      <c r="AO3538" s="13" t="b">
        <v>0</v>
      </c>
      <c r="AP3538" s="22"/>
      <c r="AQ3538" s="10"/>
      <c r="AR3538" s="17"/>
      <c r="AS3538" s="17"/>
      <c r="AT3538" s="17"/>
      <c r="AU3538" s="17"/>
      <c r="AV3538" s="17"/>
      <c r="AW3538" s="10"/>
      <c r="AX3538" s="17"/>
      <c r="AY3538" s="18" t="s">
        <v>257</v>
      </c>
      <c r="AZ3538" s="10"/>
      <c r="BA3538" s="20" t="b">
        <v>0</v>
      </c>
      <c r="BB3538" s="10"/>
      <c r="BC3538" s="17" t="s">
        <v>257</v>
      </c>
      <c r="BD3538" s="17" t="s">
        <v>257</v>
      </c>
      <c r="BE3538" s="17" t="s">
        <v>257</v>
      </c>
      <c r="BF3538" s="17" t="s">
        <v>257</v>
      </c>
      <c r="BG3538" s="11">
        <f ca="1">IFERROR(__xludf.DUMMYFUNCTION("""COMPUTED_VALUE"""),46042.6111111111)</f>
        <v>46042.611111111102</v>
      </c>
      <c r="BH3538" s="17"/>
      <c r="BI3538" s="17"/>
      <c r="BJ3538" s="15"/>
      <c r="BK3538" s="15"/>
      <c r="BL3538" s="13" t="b">
        <v>0</v>
      </c>
      <c r="BM3538" s="10"/>
      <c r="BN3538" s="10" t="s">
        <v>18577</v>
      </c>
      <c r="BO3538" s="11">
        <v>46022.74722222222</v>
      </c>
      <c r="BP3538" s="11">
        <v>46022.747523148151</v>
      </c>
      <c r="BQ3538" s="15"/>
      <c r="BR3538" s="15"/>
      <c r="BS3538" s="10"/>
      <c r="BT3538" s="10"/>
      <c r="BU3538" s="10"/>
      <c r="BV3538" s="10"/>
      <c r="BW3538" s="10"/>
      <c r="BX3538" s="10"/>
      <c r="BY3538" s="23"/>
      <c r="BZ3538" s="23"/>
      <c r="CA3538" s="10"/>
      <c r="CB3538" s="23"/>
      <c r="CC3538" s="23"/>
      <c r="CD3538" s="23"/>
      <c r="CE3538" s="23"/>
      <c r="CF3538" s="23"/>
      <c r="CG3538" s="23"/>
      <c r="CH3538" s="23"/>
      <c r="CI3538" s="23"/>
    </row>
    <row r="3539" spans="1:87" x14ac:dyDescent="0.3">
      <c r="A3539" s="9" t="s">
        <v>24902</v>
      </c>
      <c r="B3539" s="10" t="s">
        <v>24903</v>
      </c>
      <c r="C3539" s="11">
        <v>46042.625</v>
      </c>
      <c r="D3539" s="12">
        <v>0.20833333333333334</v>
      </c>
      <c r="E3539" s="11">
        <v>46042.833333333336</v>
      </c>
      <c r="F3539" s="22" t="s">
        <v>24805</v>
      </c>
      <c r="G3539" s="13" t="b">
        <v>0</v>
      </c>
      <c r="H3539" s="22" t="s">
        <v>3564</v>
      </c>
      <c r="I3539" s="10" t="s">
        <v>89</v>
      </c>
      <c r="J3539" s="13" t="b">
        <v>0</v>
      </c>
      <c r="K3539" s="13" t="b">
        <v>1</v>
      </c>
      <c r="L3539" s="10" t="s">
        <v>124</v>
      </c>
      <c r="M3539" s="10" t="s">
        <v>91</v>
      </c>
      <c r="N3539" s="10" t="s">
        <v>92</v>
      </c>
      <c r="O3539" s="10"/>
      <c r="P3539" s="10"/>
      <c r="Q3539" s="10" t="s">
        <v>126</v>
      </c>
      <c r="R3539" s="10"/>
      <c r="S3539" s="10"/>
      <c r="T3539" s="10"/>
      <c r="U3539" s="10"/>
      <c r="V3539" s="10"/>
      <c r="W3539" s="10" t="s">
        <v>24806</v>
      </c>
      <c r="X3539" s="10" t="s">
        <v>21724</v>
      </c>
      <c r="Y3539" s="10" t="s">
        <v>21724</v>
      </c>
      <c r="Z3539" s="10" t="s">
        <v>99</v>
      </c>
      <c r="AA3539" s="10" t="s">
        <v>131</v>
      </c>
      <c r="AB3539" s="10" t="s">
        <v>24807</v>
      </c>
      <c r="AC3539" s="10" t="s">
        <v>21726</v>
      </c>
      <c r="AD3539" s="10" t="s">
        <v>165</v>
      </c>
      <c r="AE3539" s="10" t="s">
        <v>24904</v>
      </c>
      <c r="AF3539" s="15"/>
      <c r="AG3539" s="10"/>
      <c r="AH3539" s="10"/>
      <c r="AI3539" s="10"/>
      <c r="AJ3539" s="10"/>
      <c r="AK3539" s="10"/>
      <c r="AL3539" s="10"/>
      <c r="AM3539" s="10"/>
      <c r="AN3539" s="10"/>
      <c r="AO3539" s="13" t="b">
        <v>0</v>
      </c>
      <c r="AP3539" s="22"/>
      <c r="AQ3539" s="10"/>
      <c r="AR3539" s="17"/>
      <c r="AS3539" s="17"/>
      <c r="AT3539" s="17"/>
      <c r="AU3539" s="17"/>
      <c r="AV3539" s="17"/>
      <c r="AW3539" s="10"/>
      <c r="AX3539" s="17"/>
      <c r="AY3539" s="18" t="s">
        <v>257</v>
      </c>
      <c r="AZ3539" s="10"/>
      <c r="BA3539" s="20" t="b">
        <v>0</v>
      </c>
      <c r="BB3539" s="10"/>
      <c r="BC3539" s="17" t="s">
        <v>257</v>
      </c>
      <c r="BD3539" s="17" t="s">
        <v>257</v>
      </c>
      <c r="BE3539" s="17" t="s">
        <v>257</v>
      </c>
      <c r="BF3539" s="17" t="s">
        <v>257</v>
      </c>
      <c r="BG3539" s="11">
        <f ca="1">IFERROR(__xludf.DUMMYFUNCTION("""COMPUTED_VALUE"""),46042.625)</f>
        <v>46042.625</v>
      </c>
      <c r="BH3539" s="17"/>
      <c r="BI3539" s="17"/>
      <c r="BJ3539" s="15"/>
      <c r="BK3539" s="15"/>
      <c r="BL3539" s="13" t="b">
        <v>0</v>
      </c>
      <c r="BM3539" s="10"/>
      <c r="BN3539" s="10" t="s">
        <v>18577</v>
      </c>
      <c r="BO3539" s="11">
        <v>46022.747916666667</v>
      </c>
      <c r="BP3539" s="11">
        <v>46022.748055555552</v>
      </c>
      <c r="BQ3539" s="15"/>
      <c r="BR3539" s="15"/>
      <c r="BS3539" s="10"/>
      <c r="BT3539" s="10"/>
      <c r="BU3539" s="10"/>
      <c r="BV3539" s="10"/>
      <c r="BW3539" s="10"/>
      <c r="BX3539" s="10"/>
      <c r="BY3539" s="23"/>
      <c r="BZ3539" s="23"/>
      <c r="CA3539" s="10"/>
      <c r="CB3539" s="23"/>
      <c r="CC3539" s="23"/>
      <c r="CD3539" s="23"/>
      <c r="CE3539" s="23"/>
      <c r="CF3539" s="23"/>
      <c r="CG3539" s="23"/>
      <c r="CH3539" s="23"/>
      <c r="CI3539" s="23"/>
    </row>
    <row r="3540" spans="1:87" x14ac:dyDescent="0.3">
      <c r="A3540" s="9" t="s">
        <v>24905</v>
      </c>
      <c r="B3540" s="10" t="s">
        <v>24906</v>
      </c>
      <c r="C3540" s="11">
        <v>46042</v>
      </c>
      <c r="D3540" s="12">
        <v>8.3333333333333329E-2</v>
      </c>
      <c r="E3540" s="11">
        <v>46042.083333333336</v>
      </c>
      <c r="F3540" s="22" t="s">
        <v>21253</v>
      </c>
      <c r="G3540" s="13" t="b">
        <v>0</v>
      </c>
      <c r="H3540" s="22" t="s">
        <v>3564</v>
      </c>
      <c r="I3540" s="10" t="s">
        <v>89</v>
      </c>
      <c r="J3540" s="13" t="b">
        <v>0</v>
      </c>
      <c r="K3540" s="13" t="b">
        <v>1</v>
      </c>
      <c r="L3540" s="10" t="s">
        <v>124</v>
      </c>
      <c r="M3540" s="10" t="s">
        <v>91</v>
      </c>
      <c r="N3540" s="10" t="s">
        <v>265</v>
      </c>
      <c r="O3540" s="10"/>
      <c r="P3540" s="10"/>
      <c r="Q3540" s="10" t="s">
        <v>126</v>
      </c>
      <c r="R3540" s="10"/>
      <c r="S3540" s="10"/>
      <c r="T3540" s="10"/>
      <c r="U3540" s="10" t="s">
        <v>21257</v>
      </c>
      <c r="V3540" s="10" t="s">
        <v>24907</v>
      </c>
      <c r="W3540" s="10" t="s">
        <v>21258</v>
      </c>
      <c r="X3540" s="10" t="s">
        <v>130</v>
      </c>
      <c r="Y3540" s="10" t="s">
        <v>130</v>
      </c>
      <c r="Z3540" s="10" t="s">
        <v>99</v>
      </c>
      <c r="AA3540" s="10" t="s">
        <v>131</v>
      </c>
      <c r="AB3540" s="10" t="s">
        <v>21259</v>
      </c>
      <c r="AC3540" s="10" t="s">
        <v>21260</v>
      </c>
      <c r="AD3540" s="10" t="s">
        <v>24908</v>
      </c>
      <c r="AE3540" s="10" t="s">
        <v>24909</v>
      </c>
      <c r="AF3540" s="15"/>
      <c r="AG3540" s="10"/>
      <c r="AH3540" s="10"/>
      <c r="AI3540" s="10"/>
      <c r="AJ3540" s="10"/>
      <c r="AK3540" s="10"/>
      <c r="AL3540" s="10" t="s">
        <v>2098</v>
      </c>
      <c r="AM3540" s="10"/>
      <c r="AN3540" s="10"/>
      <c r="AO3540" s="13" t="b">
        <v>0</v>
      </c>
      <c r="AP3540" s="22" t="s">
        <v>104</v>
      </c>
      <c r="AQ3540" s="10"/>
      <c r="AR3540" s="17"/>
      <c r="AS3540" s="17"/>
      <c r="AT3540" s="17"/>
      <c r="AU3540" s="17"/>
      <c r="AV3540" s="17"/>
      <c r="AW3540" s="10"/>
      <c r="AX3540" s="17"/>
      <c r="AY3540" s="18" t="s">
        <v>257</v>
      </c>
      <c r="AZ3540" s="10"/>
      <c r="BA3540" s="20" t="b">
        <v>0</v>
      </c>
      <c r="BB3540" s="10"/>
      <c r="BC3540" s="17" t="s">
        <v>257</v>
      </c>
      <c r="BD3540" s="17" t="s">
        <v>257</v>
      </c>
      <c r="BE3540" s="17" t="s">
        <v>257</v>
      </c>
      <c r="BF3540" s="17" t="s">
        <v>257</v>
      </c>
      <c r="BG3540" s="11">
        <f ca="1">IFERROR(__xludf.DUMMYFUNCTION("""COMPUTED_VALUE"""),46042)</f>
        <v>46042</v>
      </c>
      <c r="BH3540" s="17"/>
      <c r="BI3540" s="17"/>
      <c r="BJ3540" s="15"/>
      <c r="BK3540" s="15"/>
      <c r="BL3540" s="13" t="b">
        <v>0</v>
      </c>
      <c r="BM3540" s="10"/>
      <c r="BN3540" s="10" t="s">
        <v>108</v>
      </c>
      <c r="BO3540" s="11">
        <v>46022.74722222222</v>
      </c>
      <c r="BP3540" s="11">
        <v>46022.747928240744</v>
      </c>
      <c r="BQ3540" s="15"/>
      <c r="BR3540" s="15"/>
      <c r="BS3540" s="10"/>
      <c r="BT3540" s="10" t="s">
        <v>99</v>
      </c>
      <c r="BU3540" s="10"/>
      <c r="BV3540" s="10"/>
      <c r="BW3540" s="10"/>
      <c r="BX3540" s="10"/>
      <c r="BY3540" s="23"/>
      <c r="BZ3540" s="23"/>
      <c r="CA3540" s="10"/>
      <c r="CB3540" s="23"/>
      <c r="CC3540" s="23"/>
      <c r="CD3540" s="23"/>
      <c r="CE3540" s="23"/>
      <c r="CF3540" s="23"/>
      <c r="CG3540" s="23"/>
      <c r="CH3540" s="23"/>
      <c r="CI3540" s="23"/>
    </row>
    <row r="3541" spans="1:87" x14ac:dyDescent="0.3">
      <c r="A3541" s="9" t="s">
        <v>24910</v>
      </c>
      <c r="B3541" s="10" t="s">
        <v>24911</v>
      </c>
      <c r="C3541" s="11">
        <v>46046</v>
      </c>
      <c r="D3541" s="12">
        <v>8.3333333333333329E-2</v>
      </c>
      <c r="E3541" s="11">
        <v>46046.083333333336</v>
      </c>
      <c r="F3541" s="22" t="s">
        <v>21253</v>
      </c>
      <c r="G3541" s="13" t="b">
        <v>0</v>
      </c>
      <c r="H3541" s="22" t="s">
        <v>6271</v>
      </c>
      <c r="I3541" s="10" t="s">
        <v>89</v>
      </c>
      <c r="J3541" s="13" t="b">
        <v>0</v>
      </c>
      <c r="K3541" s="13" t="b">
        <v>1</v>
      </c>
      <c r="L3541" s="10" t="s">
        <v>124</v>
      </c>
      <c r="M3541" s="10" t="s">
        <v>91</v>
      </c>
      <c r="N3541" s="10" t="s">
        <v>265</v>
      </c>
      <c r="O3541" s="10"/>
      <c r="P3541" s="10"/>
      <c r="Q3541" s="10" t="s">
        <v>126</v>
      </c>
      <c r="R3541" s="10"/>
      <c r="S3541" s="10"/>
      <c r="T3541" s="10"/>
      <c r="U3541" s="10" t="s">
        <v>21256</v>
      </c>
      <c r="V3541" s="10" t="s">
        <v>22197</v>
      </c>
      <c r="W3541" s="10" t="s">
        <v>21258</v>
      </c>
      <c r="X3541" s="10" t="s">
        <v>130</v>
      </c>
      <c r="Y3541" s="10" t="s">
        <v>130</v>
      </c>
      <c r="Z3541" s="10" t="s">
        <v>99</v>
      </c>
      <c r="AA3541" s="10" t="s">
        <v>131</v>
      </c>
      <c r="AB3541" s="10" t="s">
        <v>21259</v>
      </c>
      <c r="AC3541" s="10" t="s">
        <v>21260</v>
      </c>
      <c r="AD3541" s="10" t="s">
        <v>24912</v>
      </c>
      <c r="AE3541" s="10" t="s">
        <v>24913</v>
      </c>
      <c r="AF3541" s="15"/>
      <c r="AG3541" s="10"/>
      <c r="AH3541" s="10"/>
      <c r="AI3541" s="10"/>
      <c r="AJ3541" s="10"/>
      <c r="AK3541" s="10"/>
      <c r="AL3541" s="10" t="s">
        <v>2201</v>
      </c>
      <c r="AM3541" s="10"/>
      <c r="AN3541" s="10"/>
      <c r="AO3541" s="13" t="b">
        <v>0</v>
      </c>
      <c r="AP3541" s="22" t="s">
        <v>104</v>
      </c>
      <c r="AQ3541" s="10"/>
      <c r="AR3541" s="17"/>
      <c r="AS3541" s="17"/>
      <c r="AT3541" s="17"/>
      <c r="AU3541" s="17"/>
      <c r="AV3541" s="17"/>
      <c r="AW3541" s="10"/>
      <c r="AX3541" s="17"/>
      <c r="AY3541" s="18" t="s">
        <v>257</v>
      </c>
      <c r="AZ3541" s="10"/>
      <c r="BA3541" s="20" t="b">
        <v>0</v>
      </c>
      <c r="BB3541" s="10"/>
      <c r="BC3541" s="17" t="s">
        <v>257</v>
      </c>
      <c r="BD3541" s="17" t="s">
        <v>257</v>
      </c>
      <c r="BE3541" s="17" t="s">
        <v>257</v>
      </c>
      <c r="BF3541" s="17" t="s">
        <v>257</v>
      </c>
      <c r="BG3541" s="11">
        <f ca="1">IFERROR(__xludf.DUMMYFUNCTION("""COMPUTED_VALUE"""),46046)</f>
        <v>46046</v>
      </c>
      <c r="BH3541" s="17"/>
      <c r="BI3541" s="17"/>
      <c r="BJ3541" s="15"/>
      <c r="BK3541" s="15"/>
      <c r="BL3541" s="13" t="b">
        <v>0</v>
      </c>
      <c r="BM3541" s="10"/>
      <c r="BN3541" s="10" t="s">
        <v>108</v>
      </c>
      <c r="BO3541" s="11">
        <v>46022.747916666667</v>
      </c>
      <c r="BP3541" s="11">
        <v>46022.748622685183</v>
      </c>
      <c r="BQ3541" s="15"/>
      <c r="BR3541" s="15"/>
      <c r="BS3541" s="10"/>
      <c r="BT3541" s="10" t="s">
        <v>99</v>
      </c>
      <c r="BU3541" s="10"/>
      <c r="BV3541" s="10"/>
      <c r="BW3541" s="10"/>
      <c r="BX3541" s="10"/>
      <c r="BY3541" s="23"/>
      <c r="BZ3541" s="23"/>
      <c r="CA3541" s="10"/>
      <c r="CB3541" s="23"/>
      <c r="CC3541" s="23"/>
      <c r="CD3541" s="23"/>
      <c r="CE3541" s="23"/>
      <c r="CF3541" s="23"/>
      <c r="CG3541" s="23"/>
      <c r="CH3541" s="23"/>
      <c r="CI3541" s="23"/>
    </row>
    <row r="3542" spans="1:87" x14ac:dyDescent="0.3">
      <c r="A3542" s="25" t="s">
        <v>24914</v>
      </c>
      <c r="B3542" s="10" t="s">
        <v>24915</v>
      </c>
      <c r="C3542" s="11">
        <v>46047</v>
      </c>
      <c r="D3542" s="12">
        <v>8.3333333333333329E-2</v>
      </c>
      <c r="E3542" s="11">
        <v>46047.083333333336</v>
      </c>
      <c r="F3542" s="22" t="s">
        <v>21253</v>
      </c>
      <c r="G3542" s="13" t="b">
        <v>0</v>
      </c>
      <c r="H3542" s="22" t="s">
        <v>6271</v>
      </c>
      <c r="I3542" s="10" t="s">
        <v>89</v>
      </c>
      <c r="J3542" s="13" t="b">
        <v>0</v>
      </c>
      <c r="K3542" s="13" t="b">
        <v>1</v>
      </c>
      <c r="L3542" s="10" t="s">
        <v>124</v>
      </c>
      <c r="M3542" s="10" t="s">
        <v>91</v>
      </c>
      <c r="N3542" s="10" t="s">
        <v>265</v>
      </c>
      <c r="O3542" s="10"/>
      <c r="P3542" s="10"/>
      <c r="Q3542" s="10" t="s">
        <v>126</v>
      </c>
      <c r="R3542" s="10"/>
      <c r="S3542" s="10"/>
      <c r="T3542" s="10"/>
      <c r="U3542" s="10" t="s">
        <v>24916</v>
      </c>
      <c r="V3542" s="10" t="s">
        <v>11518</v>
      </c>
      <c r="W3542" s="10" t="s">
        <v>21258</v>
      </c>
      <c r="X3542" s="10" t="s">
        <v>130</v>
      </c>
      <c r="Y3542" s="10" t="s">
        <v>130</v>
      </c>
      <c r="Z3542" s="10" t="s">
        <v>99</v>
      </c>
      <c r="AA3542" s="10" t="s">
        <v>131</v>
      </c>
      <c r="AB3542" s="10" t="s">
        <v>21259</v>
      </c>
      <c r="AC3542" s="10" t="s">
        <v>21260</v>
      </c>
      <c r="AD3542" s="10" t="s">
        <v>24917</v>
      </c>
      <c r="AE3542" s="10" t="s">
        <v>24918</v>
      </c>
      <c r="AF3542" s="15"/>
      <c r="AG3542" s="10"/>
      <c r="AH3542" s="10"/>
      <c r="AI3542" s="10"/>
      <c r="AJ3542" s="10"/>
      <c r="AK3542" s="10"/>
      <c r="AL3542" s="10" t="s">
        <v>2201</v>
      </c>
      <c r="AM3542" s="10"/>
      <c r="AN3542" s="10"/>
      <c r="AO3542" s="13" t="b">
        <v>0</v>
      </c>
      <c r="AP3542" s="22" t="s">
        <v>104</v>
      </c>
      <c r="AQ3542" s="10"/>
      <c r="AR3542" s="17"/>
      <c r="AS3542" s="17"/>
      <c r="AT3542" s="17"/>
      <c r="AU3542" s="17"/>
      <c r="AV3542" s="17"/>
      <c r="AW3542" s="10"/>
      <c r="AX3542" s="17"/>
      <c r="AY3542" s="18" t="s">
        <v>257</v>
      </c>
      <c r="AZ3542" s="10"/>
      <c r="BA3542" s="20" t="b">
        <v>0</v>
      </c>
      <c r="BB3542" s="10"/>
      <c r="BC3542" s="17" t="s">
        <v>257</v>
      </c>
      <c r="BD3542" s="17" t="s">
        <v>257</v>
      </c>
      <c r="BE3542" s="17" t="s">
        <v>257</v>
      </c>
      <c r="BF3542" s="17" t="s">
        <v>257</v>
      </c>
      <c r="BG3542" s="11">
        <f ca="1">IFERROR(__xludf.DUMMYFUNCTION("""COMPUTED_VALUE"""),46047)</f>
        <v>46047</v>
      </c>
      <c r="BH3542" s="17"/>
      <c r="BI3542" s="17"/>
      <c r="BJ3542" s="15"/>
      <c r="BK3542" s="15"/>
      <c r="BL3542" s="13" t="b">
        <v>0</v>
      </c>
      <c r="BM3542" s="10"/>
      <c r="BN3542" s="10" t="s">
        <v>108</v>
      </c>
      <c r="BO3542" s="11">
        <v>46022.749305555553</v>
      </c>
      <c r="BP3542" s="11">
        <v>46022.749803240738</v>
      </c>
      <c r="BQ3542" s="15"/>
      <c r="BR3542" s="15"/>
      <c r="BS3542" s="10"/>
      <c r="BT3542" s="10" t="s">
        <v>99</v>
      </c>
      <c r="BU3542" s="10"/>
      <c r="BV3542" s="10"/>
      <c r="BW3542" s="10"/>
      <c r="BX3542" s="10"/>
      <c r="BY3542" s="23"/>
      <c r="BZ3542" s="23"/>
      <c r="CA3542" s="10"/>
      <c r="CB3542" s="23"/>
      <c r="CC3542" s="23"/>
      <c r="CD3542" s="23"/>
      <c r="CE3542" s="23"/>
      <c r="CF3542" s="23"/>
      <c r="CG3542" s="23"/>
      <c r="CH3542" s="23"/>
      <c r="CI3542" s="23"/>
    </row>
    <row r="3543" spans="1:87" x14ac:dyDescent="0.3">
      <c r="A3543" s="9" t="s">
        <v>24919</v>
      </c>
      <c r="B3543" s="10" t="s">
        <v>24920</v>
      </c>
      <c r="C3543" s="11">
        <v>46048</v>
      </c>
      <c r="D3543" s="12">
        <v>8.3333333333333329E-2</v>
      </c>
      <c r="E3543" s="11">
        <v>46048.083333333336</v>
      </c>
      <c r="F3543" s="22" t="s">
        <v>21253</v>
      </c>
      <c r="G3543" s="13" t="b">
        <v>0</v>
      </c>
      <c r="H3543" s="22" t="s">
        <v>6271</v>
      </c>
      <c r="I3543" s="10" t="s">
        <v>89</v>
      </c>
      <c r="J3543" s="13" t="b">
        <v>0</v>
      </c>
      <c r="K3543" s="13" t="b">
        <v>1</v>
      </c>
      <c r="L3543" s="10" t="s">
        <v>124</v>
      </c>
      <c r="M3543" s="10" t="s">
        <v>91</v>
      </c>
      <c r="N3543" s="10" t="s">
        <v>265</v>
      </c>
      <c r="O3543" s="10"/>
      <c r="P3543" s="10"/>
      <c r="Q3543" s="10" t="s">
        <v>126</v>
      </c>
      <c r="R3543" s="10"/>
      <c r="S3543" s="10"/>
      <c r="T3543" s="10"/>
      <c r="U3543" s="10" t="s">
        <v>3581</v>
      </c>
      <c r="V3543" s="10" t="s">
        <v>24921</v>
      </c>
      <c r="W3543" s="10" t="s">
        <v>21258</v>
      </c>
      <c r="X3543" s="10" t="s">
        <v>130</v>
      </c>
      <c r="Y3543" s="10" t="s">
        <v>130</v>
      </c>
      <c r="Z3543" s="10" t="s">
        <v>99</v>
      </c>
      <c r="AA3543" s="10" t="s">
        <v>131</v>
      </c>
      <c r="AB3543" s="10" t="s">
        <v>21259</v>
      </c>
      <c r="AC3543" s="10" t="s">
        <v>21260</v>
      </c>
      <c r="AD3543" s="10" t="s">
        <v>24922</v>
      </c>
      <c r="AE3543" s="10" t="s">
        <v>24923</v>
      </c>
      <c r="AF3543" s="15"/>
      <c r="AG3543" s="10"/>
      <c r="AH3543" s="10"/>
      <c r="AI3543" s="10"/>
      <c r="AJ3543" s="10"/>
      <c r="AK3543" s="10"/>
      <c r="AL3543" s="10" t="s">
        <v>2201</v>
      </c>
      <c r="AM3543" s="10"/>
      <c r="AN3543" s="10"/>
      <c r="AO3543" s="13" t="b">
        <v>0</v>
      </c>
      <c r="AP3543" s="22" t="s">
        <v>104</v>
      </c>
      <c r="AQ3543" s="10"/>
      <c r="AR3543" s="17"/>
      <c r="AS3543" s="17"/>
      <c r="AT3543" s="17"/>
      <c r="AU3543" s="17"/>
      <c r="AV3543" s="17"/>
      <c r="AW3543" s="10"/>
      <c r="AX3543" s="17"/>
      <c r="AY3543" s="18" t="s">
        <v>257</v>
      </c>
      <c r="AZ3543" s="10"/>
      <c r="BA3543" s="20" t="b">
        <v>0</v>
      </c>
      <c r="BB3543" s="10"/>
      <c r="BC3543" s="17" t="s">
        <v>257</v>
      </c>
      <c r="BD3543" s="17" t="s">
        <v>257</v>
      </c>
      <c r="BE3543" s="17" t="s">
        <v>257</v>
      </c>
      <c r="BF3543" s="17" t="s">
        <v>257</v>
      </c>
      <c r="BG3543" s="11">
        <f ca="1">IFERROR(__xludf.DUMMYFUNCTION("""COMPUTED_VALUE"""),46048)</f>
        <v>46048</v>
      </c>
      <c r="BH3543" s="17"/>
      <c r="BI3543" s="17"/>
      <c r="BJ3543" s="15"/>
      <c r="BK3543" s="15"/>
      <c r="BL3543" s="13" t="b">
        <v>0</v>
      </c>
      <c r="BM3543" s="10"/>
      <c r="BN3543" s="10" t="s">
        <v>108</v>
      </c>
      <c r="BO3543" s="11">
        <v>46022.75</v>
      </c>
      <c r="BP3543" s="11">
        <v>46022.750405092593</v>
      </c>
      <c r="BQ3543" s="15"/>
      <c r="BR3543" s="15"/>
      <c r="BS3543" s="10"/>
      <c r="BT3543" s="10" t="s">
        <v>99</v>
      </c>
      <c r="BU3543" s="10"/>
      <c r="BV3543" s="10"/>
      <c r="BW3543" s="10"/>
      <c r="BX3543" s="10"/>
      <c r="BY3543" s="23"/>
      <c r="BZ3543" s="23"/>
      <c r="CA3543" s="10"/>
      <c r="CB3543" s="23"/>
      <c r="CC3543" s="23"/>
      <c r="CD3543" s="23"/>
      <c r="CE3543" s="23"/>
      <c r="CF3543" s="23"/>
      <c r="CG3543" s="23"/>
      <c r="CH3543" s="23"/>
      <c r="CI3543" s="23"/>
    </row>
    <row r="3544" spans="1:87" x14ac:dyDescent="0.3">
      <c r="A3544" s="9" t="s">
        <v>24924</v>
      </c>
      <c r="B3544" s="10" t="s">
        <v>24925</v>
      </c>
      <c r="C3544" s="11">
        <v>46049</v>
      </c>
      <c r="D3544" s="12">
        <v>8.3333333333333329E-2</v>
      </c>
      <c r="E3544" s="11">
        <v>46049.083333333336</v>
      </c>
      <c r="F3544" s="22" t="s">
        <v>21253</v>
      </c>
      <c r="G3544" s="13" t="b">
        <v>0</v>
      </c>
      <c r="H3544" s="22" t="s">
        <v>3564</v>
      </c>
      <c r="I3544" s="10" t="s">
        <v>89</v>
      </c>
      <c r="J3544" s="13" t="b">
        <v>0</v>
      </c>
      <c r="K3544" s="13" t="b">
        <v>1</v>
      </c>
      <c r="L3544" s="10" t="s">
        <v>124</v>
      </c>
      <c r="M3544" s="10" t="s">
        <v>91</v>
      </c>
      <c r="N3544" s="10" t="s">
        <v>265</v>
      </c>
      <c r="O3544" s="10"/>
      <c r="P3544" s="10"/>
      <c r="Q3544" s="10" t="s">
        <v>126</v>
      </c>
      <c r="R3544" s="10"/>
      <c r="S3544" s="10"/>
      <c r="T3544" s="10"/>
      <c r="U3544" s="10" t="s">
        <v>24112</v>
      </c>
      <c r="V3544" s="10" t="s">
        <v>21257</v>
      </c>
      <c r="W3544" s="10" t="s">
        <v>21258</v>
      </c>
      <c r="X3544" s="10" t="s">
        <v>130</v>
      </c>
      <c r="Y3544" s="10" t="s">
        <v>130</v>
      </c>
      <c r="Z3544" s="10" t="s">
        <v>99</v>
      </c>
      <c r="AA3544" s="10" t="s">
        <v>131</v>
      </c>
      <c r="AB3544" s="10" t="s">
        <v>21259</v>
      </c>
      <c r="AC3544" s="10" t="s">
        <v>21260</v>
      </c>
      <c r="AD3544" s="10" t="s">
        <v>24926</v>
      </c>
      <c r="AE3544" s="10" t="s">
        <v>24927</v>
      </c>
      <c r="AF3544" s="15"/>
      <c r="AG3544" s="10"/>
      <c r="AH3544" s="10"/>
      <c r="AI3544" s="10"/>
      <c r="AJ3544" s="10"/>
      <c r="AK3544" s="10"/>
      <c r="AL3544" s="10" t="s">
        <v>2201</v>
      </c>
      <c r="AM3544" s="10"/>
      <c r="AN3544" s="10"/>
      <c r="AO3544" s="13" t="b">
        <v>0</v>
      </c>
      <c r="AP3544" s="22" t="s">
        <v>104</v>
      </c>
      <c r="AQ3544" s="10"/>
      <c r="AR3544" s="17"/>
      <c r="AS3544" s="17"/>
      <c r="AT3544" s="17"/>
      <c r="AU3544" s="17"/>
      <c r="AV3544" s="17"/>
      <c r="AW3544" s="10"/>
      <c r="AX3544" s="17"/>
      <c r="AY3544" s="18" t="s">
        <v>257</v>
      </c>
      <c r="AZ3544" s="10"/>
      <c r="BA3544" s="20" t="b">
        <v>0</v>
      </c>
      <c r="BB3544" s="10"/>
      <c r="BC3544" s="17" t="s">
        <v>257</v>
      </c>
      <c r="BD3544" s="17" t="s">
        <v>257</v>
      </c>
      <c r="BE3544" s="17" t="s">
        <v>257</v>
      </c>
      <c r="BF3544" s="17" t="s">
        <v>257</v>
      </c>
      <c r="BG3544" s="11">
        <f ca="1">IFERROR(__xludf.DUMMYFUNCTION("""COMPUTED_VALUE"""),46049)</f>
        <v>46049</v>
      </c>
      <c r="BH3544" s="17"/>
      <c r="BI3544" s="17"/>
      <c r="BJ3544" s="15"/>
      <c r="BK3544" s="15"/>
      <c r="BL3544" s="13" t="b">
        <v>0</v>
      </c>
      <c r="BM3544" s="10"/>
      <c r="BN3544" s="10" t="s">
        <v>108</v>
      </c>
      <c r="BO3544" s="11">
        <v>46022.750694444447</v>
      </c>
      <c r="BP3544" s="11">
        <v>46022.750914351855</v>
      </c>
      <c r="BQ3544" s="15"/>
      <c r="BR3544" s="15"/>
      <c r="BS3544" s="10"/>
      <c r="BT3544" s="10" t="s">
        <v>99</v>
      </c>
      <c r="BU3544" s="10"/>
      <c r="BV3544" s="10"/>
      <c r="BW3544" s="10"/>
      <c r="BX3544" s="10"/>
      <c r="BY3544" s="23"/>
      <c r="BZ3544" s="23"/>
      <c r="CA3544" s="10"/>
      <c r="CB3544" s="23"/>
      <c r="CC3544" s="23"/>
      <c r="CD3544" s="23"/>
      <c r="CE3544" s="23"/>
      <c r="CF3544" s="23"/>
      <c r="CG3544" s="23"/>
      <c r="CH3544" s="23"/>
      <c r="CI3544" s="23"/>
    </row>
    <row r="3545" spans="1:87" x14ac:dyDescent="0.3">
      <c r="A3545" s="9" t="s">
        <v>24928</v>
      </c>
      <c r="B3545" s="10" t="s">
        <v>24929</v>
      </c>
      <c r="C3545" s="11">
        <v>46053</v>
      </c>
      <c r="D3545" s="12">
        <v>8.3333333333333329E-2</v>
      </c>
      <c r="E3545" s="11">
        <v>46053.083333333336</v>
      </c>
      <c r="F3545" s="22" t="s">
        <v>21253</v>
      </c>
      <c r="G3545" s="13" t="b">
        <v>0</v>
      </c>
      <c r="H3545" s="22" t="s">
        <v>3578</v>
      </c>
      <c r="I3545" s="10" t="s">
        <v>89</v>
      </c>
      <c r="J3545" s="13" t="b">
        <v>0</v>
      </c>
      <c r="K3545" s="13" t="b">
        <v>1</v>
      </c>
      <c r="L3545" s="10" t="s">
        <v>124</v>
      </c>
      <c r="M3545" s="10" t="s">
        <v>91</v>
      </c>
      <c r="N3545" s="10" t="s">
        <v>265</v>
      </c>
      <c r="O3545" s="10"/>
      <c r="P3545" s="10"/>
      <c r="Q3545" s="10" t="s">
        <v>126</v>
      </c>
      <c r="R3545" s="10"/>
      <c r="S3545" s="10"/>
      <c r="T3545" s="10"/>
      <c r="U3545" s="10"/>
      <c r="V3545" s="10"/>
      <c r="W3545" s="10" t="s">
        <v>21258</v>
      </c>
      <c r="X3545" s="10" t="s">
        <v>130</v>
      </c>
      <c r="Y3545" s="10" t="s">
        <v>130</v>
      </c>
      <c r="Z3545" s="10" t="s">
        <v>99</v>
      </c>
      <c r="AA3545" s="10" t="s">
        <v>131</v>
      </c>
      <c r="AB3545" s="10" t="s">
        <v>21259</v>
      </c>
      <c r="AC3545" s="10" t="s">
        <v>21260</v>
      </c>
      <c r="AD3545" s="10" t="s">
        <v>165</v>
      </c>
      <c r="AE3545" s="10" t="s">
        <v>24930</v>
      </c>
      <c r="AF3545" s="15"/>
      <c r="AG3545" s="10"/>
      <c r="AH3545" s="10"/>
      <c r="AI3545" s="10"/>
      <c r="AJ3545" s="10"/>
      <c r="AK3545" s="10"/>
      <c r="AL3545" s="10" t="s">
        <v>2303</v>
      </c>
      <c r="AM3545" s="10"/>
      <c r="AN3545" s="10"/>
      <c r="AO3545" s="13" t="b">
        <v>0</v>
      </c>
      <c r="AP3545" s="22" t="s">
        <v>104</v>
      </c>
      <c r="AQ3545" s="10"/>
      <c r="AR3545" s="17"/>
      <c r="AS3545" s="17"/>
      <c r="AT3545" s="17"/>
      <c r="AU3545" s="17"/>
      <c r="AV3545" s="17"/>
      <c r="AW3545" s="10"/>
      <c r="AX3545" s="17"/>
      <c r="AY3545" s="18" t="s">
        <v>257</v>
      </c>
      <c r="AZ3545" s="10"/>
      <c r="BA3545" s="20" t="b">
        <v>0</v>
      </c>
      <c r="BB3545" s="10"/>
      <c r="BC3545" s="17" t="s">
        <v>257</v>
      </c>
      <c r="BD3545" s="17" t="s">
        <v>257</v>
      </c>
      <c r="BE3545" s="17" t="s">
        <v>257</v>
      </c>
      <c r="BF3545" s="17" t="s">
        <v>257</v>
      </c>
      <c r="BG3545" s="11">
        <f ca="1">IFERROR(__xludf.DUMMYFUNCTION("""COMPUTED_VALUE"""),46053)</f>
        <v>46053</v>
      </c>
      <c r="BH3545" s="17"/>
      <c r="BI3545" s="17"/>
      <c r="BJ3545" s="15"/>
      <c r="BK3545" s="15"/>
      <c r="BL3545" s="13" t="b">
        <v>0</v>
      </c>
      <c r="BM3545" s="10"/>
      <c r="BN3545" s="10" t="s">
        <v>108</v>
      </c>
      <c r="BO3545" s="11">
        <v>46022.751388888886</v>
      </c>
      <c r="BP3545" s="11">
        <v>46022.751550925925</v>
      </c>
      <c r="BQ3545" s="15"/>
      <c r="BR3545" s="15"/>
      <c r="BS3545" s="10"/>
      <c r="BT3545" s="10"/>
      <c r="BU3545" s="10"/>
      <c r="BV3545" s="10"/>
      <c r="BW3545" s="10"/>
      <c r="BX3545" s="10"/>
      <c r="BY3545" s="23"/>
      <c r="BZ3545" s="23"/>
      <c r="CA3545" s="10"/>
      <c r="CB3545" s="23"/>
      <c r="CC3545" s="23"/>
      <c r="CD3545" s="23"/>
      <c r="CE3545" s="23"/>
      <c r="CF3545" s="23"/>
      <c r="CG3545" s="23"/>
      <c r="CH3545" s="23"/>
      <c r="CI3545" s="23"/>
    </row>
    <row r="3546" spans="1:87" x14ac:dyDescent="0.3">
      <c r="A3546" s="9" t="s">
        <v>24931</v>
      </c>
      <c r="B3546" s="10" t="s">
        <v>24932</v>
      </c>
      <c r="C3546" s="11">
        <v>46029.125</v>
      </c>
      <c r="D3546" s="12">
        <v>8.3333333333333329E-2</v>
      </c>
      <c r="E3546" s="11">
        <v>46029.208333333336</v>
      </c>
      <c r="F3546" s="22" t="s">
        <v>20865</v>
      </c>
      <c r="G3546" s="13" t="b">
        <v>0</v>
      </c>
      <c r="H3546" s="22" t="s">
        <v>9130</v>
      </c>
      <c r="I3546" s="10" t="s">
        <v>9131</v>
      </c>
      <c r="J3546" s="13" t="b">
        <v>0</v>
      </c>
      <c r="K3546" s="13" t="b">
        <v>1</v>
      </c>
      <c r="L3546" s="10" t="s">
        <v>124</v>
      </c>
      <c r="M3546" s="10" t="s">
        <v>91</v>
      </c>
      <c r="N3546" s="10" t="s">
        <v>265</v>
      </c>
      <c r="O3546" s="19" t="s">
        <v>24933</v>
      </c>
      <c r="P3546" s="10"/>
      <c r="Q3546" s="10" t="s">
        <v>94</v>
      </c>
      <c r="R3546" s="10"/>
      <c r="S3546" s="10"/>
      <c r="T3546" s="10"/>
      <c r="U3546" s="10" t="s">
        <v>3567</v>
      </c>
      <c r="V3546" s="10" t="s">
        <v>13794</v>
      </c>
      <c r="W3546" s="10" t="s">
        <v>20869</v>
      </c>
      <c r="X3546" s="10" t="s">
        <v>130</v>
      </c>
      <c r="Y3546" s="10" t="s">
        <v>130</v>
      </c>
      <c r="Z3546" s="10" t="s">
        <v>99</v>
      </c>
      <c r="AA3546" s="10" t="s">
        <v>131</v>
      </c>
      <c r="AB3546" s="10" t="s">
        <v>20870</v>
      </c>
      <c r="AC3546" s="10" t="s">
        <v>20871</v>
      </c>
      <c r="AD3546" s="10" t="s">
        <v>24934</v>
      </c>
      <c r="AE3546" s="10" t="s">
        <v>24935</v>
      </c>
      <c r="AF3546" s="15"/>
      <c r="AG3546" s="10"/>
      <c r="AH3546" s="10"/>
      <c r="AI3546" s="10"/>
      <c r="AJ3546" s="10"/>
      <c r="AK3546" s="10" t="s">
        <v>102</v>
      </c>
      <c r="AL3546" s="10" t="s">
        <v>1360</v>
      </c>
      <c r="AM3546" s="10"/>
      <c r="AN3546" s="10"/>
      <c r="AO3546" s="13" t="b">
        <v>0</v>
      </c>
      <c r="AP3546" s="22" t="s">
        <v>104</v>
      </c>
      <c r="AQ3546" s="10">
        <f ca="1">IFERROR(__xludf.DUMMYFUNCTION("""COMPUTED_VALUE"""),4831592)</f>
        <v>4831592</v>
      </c>
      <c r="AR3546" s="17">
        <v>1450</v>
      </c>
      <c r="AS3546" s="17">
        <v>1216</v>
      </c>
      <c r="AT3546" s="17">
        <v>9735.75</v>
      </c>
      <c r="AU3546" s="17">
        <v>0.35</v>
      </c>
      <c r="AV3546" s="17">
        <v>0</v>
      </c>
      <c r="AW3546" s="10" t="s">
        <v>105</v>
      </c>
      <c r="AX3546" s="17">
        <v>284</v>
      </c>
      <c r="AY3546" s="18">
        <v>8.0063733552631575</v>
      </c>
      <c r="AZ3546" s="10"/>
      <c r="BA3546" s="20" t="b">
        <v>0</v>
      </c>
      <c r="BB3546" s="10"/>
      <c r="BC3546" s="17">
        <v>1450</v>
      </c>
      <c r="BD3546" s="17">
        <v>1216</v>
      </c>
      <c r="BE3546" s="17">
        <v>9735.75</v>
      </c>
      <c r="BF3546" s="17">
        <v>0</v>
      </c>
      <c r="BG3546" s="11">
        <f ca="1">IFERROR(__xludf.DUMMYFUNCTION("""COMPUTED_VALUE"""),46029.125)</f>
        <v>46029.125</v>
      </c>
      <c r="BH3546" s="17" t="s">
        <v>105</v>
      </c>
      <c r="BI3546" s="17"/>
      <c r="BJ3546" s="15"/>
      <c r="BK3546" s="15"/>
      <c r="BL3546" s="13" t="b">
        <v>0</v>
      </c>
      <c r="BM3546" s="10"/>
      <c r="BN3546" s="10" t="s">
        <v>4030</v>
      </c>
      <c r="BO3546" s="11">
        <v>46022.760416666664</v>
      </c>
      <c r="BP3546" s="11">
        <v>46022.76059027778</v>
      </c>
      <c r="BQ3546" s="15"/>
      <c r="BR3546" s="15">
        <v>46027.843055555553</v>
      </c>
      <c r="BS3546" s="10" t="s">
        <v>4030</v>
      </c>
      <c r="BT3546" s="10"/>
      <c r="BU3546" s="10"/>
      <c r="BV3546" s="10"/>
      <c r="BW3546" s="10"/>
      <c r="BX3546" s="10"/>
      <c r="BY3546" s="23"/>
      <c r="BZ3546" s="23"/>
      <c r="CA3546" s="19" t="s">
        <v>24936</v>
      </c>
      <c r="CB3546" s="23"/>
      <c r="CC3546" s="23"/>
      <c r="CD3546" s="23"/>
      <c r="CE3546" s="23"/>
      <c r="CF3546" s="23"/>
      <c r="CG3546" s="23"/>
      <c r="CH3546" s="23"/>
      <c r="CI3546" s="23"/>
    </row>
    <row r="3547" spans="1:87" x14ac:dyDescent="0.3">
      <c r="A3547" s="9" t="s">
        <v>24937</v>
      </c>
      <c r="B3547" s="10" t="s">
        <v>24938</v>
      </c>
      <c r="C3547" s="11">
        <v>46033.875</v>
      </c>
      <c r="D3547" s="12">
        <v>8.3333333333333329E-2</v>
      </c>
      <c r="E3547" s="11">
        <v>46033.958333333336</v>
      </c>
      <c r="F3547" s="22" t="s">
        <v>20865</v>
      </c>
      <c r="G3547" s="13" t="b">
        <v>0</v>
      </c>
      <c r="H3547" s="22" t="s">
        <v>9130</v>
      </c>
      <c r="I3547" s="10" t="s">
        <v>9131</v>
      </c>
      <c r="J3547" s="13" t="b">
        <v>0</v>
      </c>
      <c r="K3547" s="13" t="b">
        <v>1</v>
      </c>
      <c r="L3547" s="10" t="s">
        <v>124</v>
      </c>
      <c r="M3547" s="10" t="s">
        <v>91</v>
      </c>
      <c r="N3547" s="10" t="s">
        <v>265</v>
      </c>
      <c r="O3547" s="19" t="s">
        <v>24939</v>
      </c>
      <c r="P3547" s="10"/>
      <c r="Q3547" s="10" t="s">
        <v>94</v>
      </c>
      <c r="R3547" s="10"/>
      <c r="S3547" s="10"/>
      <c r="T3547" s="10"/>
      <c r="U3547" s="10" t="s">
        <v>24394</v>
      </c>
      <c r="V3547" s="10" t="s">
        <v>20885</v>
      </c>
      <c r="W3547" s="10" t="s">
        <v>20869</v>
      </c>
      <c r="X3547" s="10" t="s">
        <v>130</v>
      </c>
      <c r="Y3547" s="10" t="s">
        <v>130</v>
      </c>
      <c r="Z3547" s="10" t="s">
        <v>99</v>
      </c>
      <c r="AA3547" s="10" t="s">
        <v>131</v>
      </c>
      <c r="AB3547" s="10" t="s">
        <v>20870</v>
      </c>
      <c r="AC3547" s="10" t="s">
        <v>20871</v>
      </c>
      <c r="AD3547" s="10" t="s">
        <v>24940</v>
      </c>
      <c r="AE3547" s="10" t="s">
        <v>24941</v>
      </c>
      <c r="AF3547" s="15"/>
      <c r="AG3547" s="10"/>
      <c r="AH3547" s="10"/>
      <c r="AI3547" s="10"/>
      <c r="AJ3547" s="10"/>
      <c r="AK3547" s="10" t="s">
        <v>102</v>
      </c>
      <c r="AL3547" s="10" t="s">
        <v>2509</v>
      </c>
      <c r="AM3547" s="10"/>
      <c r="AN3547" s="10"/>
      <c r="AO3547" s="13" t="b">
        <v>0</v>
      </c>
      <c r="AP3547" s="22" t="s">
        <v>104</v>
      </c>
      <c r="AQ3547" s="10">
        <f ca="1">IFERROR(__xludf.DUMMYFUNCTION("""COMPUTED_VALUE"""),4832543)</f>
        <v>4832543</v>
      </c>
      <c r="AR3547" s="17"/>
      <c r="AS3547" s="17"/>
      <c r="AT3547" s="17"/>
      <c r="AU3547" s="17"/>
      <c r="AV3547" s="17"/>
      <c r="AW3547" s="10"/>
      <c r="AX3547" s="17"/>
      <c r="AY3547" s="18" t="s">
        <v>257</v>
      </c>
      <c r="AZ3547" s="10"/>
      <c r="BA3547" s="20" t="b">
        <v>0</v>
      </c>
      <c r="BB3547" s="10"/>
      <c r="BC3547" s="17" t="s">
        <v>257</v>
      </c>
      <c r="BD3547" s="17" t="s">
        <v>257</v>
      </c>
      <c r="BE3547" s="17" t="s">
        <v>257</v>
      </c>
      <c r="BF3547" s="17" t="s">
        <v>257</v>
      </c>
      <c r="BG3547" s="11">
        <f ca="1">IFERROR(__xludf.DUMMYFUNCTION("""COMPUTED_VALUE"""),46033.875)</f>
        <v>46033.875</v>
      </c>
      <c r="BH3547" s="17"/>
      <c r="BI3547" s="17"/>
      <c r="BJ3547" s="15"/>
      <c r="BK3547" s="15"/>
      <c r="BL3547" s="13" t="b">
        <v>0</v>
      </c>
      <c r="BM3547" s="10"/>
      <c r="BN3547" s="10" t="s">
        <v>149</v>
      </c>
      <c r="BO3547" s="11">
        <v>46022.761111111111</v>
      </c>
      <c r="BP3547" s="11">
        <v>46022.761516203704</v>
      </c>
      <c r="BQ3547" s="15"/>
      <c r="BR3547" s="15">
        <v>46030.442164351851</v>
      </c>
      <c r="BS3547" s="10" t="s">
        <v>149</v>
      </c>
      <c r="BT3547" s="10"/>
      <c r="BU3547" s="10"/>
      <c r="BV3547" s="10"/>
      <c r="BW3547" s="10"/>
      <c r="BX3547" s="10"/>
      <c r="BY3547" s="23"/>
      <c r="BZ3547" s="23"/>
      <c r="CA3547" s="19" t="s">
        <v>24942</v>
      </c>
      <c r="CB3547" s="23"/>
      <c r="CC3547" s="23"/>
      <c r="CD3547" s="23"/>
      <c r="CE3547" s="23"/>
      <c r="CF3547" s="23"/>
      <c r="CG3547" s="23"/>
      <c r="CH3547" s="23"/>
      <c r="CI3547" s="23"/>
    </row>
    <row r="3548" spans="1:87" x14ac:dyDescent="0.3">
      <c r="A3548" s="9" t="s">
        <v>24943</v>
      </c>
      <c r="B3548" s="10" t="s">
        <v>24944</v>
      </c>
      <c r="C3548" s="11">
        <v>46030.913194444445</v>
      </c>
      <c r="D3548" s="12">
        <v>8.3333333333333329E-2</v>
      </c>
      <c r="E3548" s="11">
        <v>46030.996527777781</v>
      </c>
      <c r="F3548" s="22" t="s">
        <v>9129</v>
      </c>
      <c r="G3548" s="13" t="b">
        <v>0</v>
      </c>
      <c r="H3548" s="22" t="s">
        <v>9130</v>
      </c>
      <c r="I3548" s="10" t="s">
        <v>9131</v>
      </c>
      <c r="J3548" s="13" t="b">
        <v>0</v>
      </c>
      <c r="K3548" s="13" t="b">
        <v>1</v>
      </c>
      <c r="L3548" s="10" t="s">
        <v>124</v>
      </c>
      <c r="M3548" s="10" t="s">
        <v>91</v>
      </c>
      <c r="N3548" s="10" t="s">
        <v>265</v>
      </c>
      <c r="O3548" s="19" t="s">
        <v>24945</v>
      </c>
      <c r="P3548" s="10"/>
      <c r="Q3548" s="10" t="s">
        <v>94</v>
      </c>
      <c r="R3548" s="10"/>
      <c r="S3548" s="10"/>
      <c r="T3548" s="10"/>
      <c r="U3548" s="10" t="s">
        <v>9149</v>
      </c>
      <c r="V3548" s="10" t="s">
        <v>21746</v>
      </c>
      <c r="W3548" s="10" t="s">
        <v>9136</v>
      </c>
      <c r="X3548" s="10" t="s">
        <v>130</v>
      </c>
      <c r="Y3548" s="10" t="s">
        <v>130</v>
      </c>
      <c r="Z3548" s="10" t="s">
        <v>99</v>
      </c>
      <c r="AA3548" s="10" t="s">
        <v>131</v>
      </c>
      <c r="AB3548" s="10" t="s">
        <v>9137</v>
      </c>
      <c r="AC3548" s="10" t="s">
        <v>9138</v>
      </c>
      <c r="AD3548" s="10" t="s">
        <v>24946</v>
      </c>
      <c r="AE3548" s="10" t="s">
        <v>24947</v>
      </c>
      <c r="AF3548" s="15"/>
      <c r="AG3548" s="10"/>
      <c r="AH3548" s="10"/>
      <c r="AI3548" s="10"/>
      <c r="AJ3548" s="10"/>
      <c r="AK3548" s="10" t="s">
        <v>102</v>
      </c>
      <c r="AL3548" s="10" t="s">
        <v>1671</v>
      </c>
      <c r="AM3548" s="10"/>
      <c r="AN3548" s="10"/>
      <c r="AO3548" s="13" t="b">
        <v>0</v>
      </c>
      <c r="AP3548" s="22" t="s">
        <v>104</v>
      </c>
      <c r="AQ3548" s="10">
        <f ca="1">IFERROR(__xludf.DUMMYFUNCTION("""COMPUTED_VALUE"""),4830788)</f>
        <v>4830788</v>
      </c>
      <c r="AR3548" s="17">
        <v>11482</v>
      </c>
      <c r="AS3548" s="17">
        <v>9907</v>
      </c>
      <c r="AT3548" s="17">
        <v>142466.5</v>
      </c>
      <c r="AU3548" s="17">
        <v>89.15</v>
      </c>
      <c r="AV3548" s="17">
        <v>16.25</v>
      </c>
      <c r="AW3548" s="10" t="s">
        <v>105</v>
      </c>
      <c r="AX3548" s="17">
        <v>1873</v>
      </c>
      <c r="AY3548" s="18">
        <v>14.380387604723932</v>
      </c>
      <c r="AZ3548" s="10"/>
      <c r="BA3548" s="20" t="b">
        <v>0</v>
      </c>
      <c r="BB3548" s="10"/>
      <c r="BC3548" s="17">
        <v>11482</v>
      </c>
      <c r="BD3548" s="17">
        <v>9907</v>
      </c>
      <c r="BE3548" s="17">
        <v>142466.5</v>
      </c>
      <c r="BF3548" s="17">
        <v>16.25</v>
      </c>
      <c r="BG3548" s="11">
        <f ca="1">IFERROR(__xludf.DUMMYFUNCTION("""COMPUTED_VALUE"""),46030.9131944444)</f>
        <v>46030.913194444402</v>
      </c>
      <c r="BH3548" s="17" t="s">
        <v>105</v>
      </c>
      <c r="BI3548" s="17"/>
      <c r="BJ3548" s="15"/>
      <c r="BK3548" s="15"/>
      <c r="BL3548" s="13" t="b">
        <v>0</v>
      </c>
      <c r="BM3548" s="10"/>
      <c r="BN3548" s="10" t="s">
        <v>118</v>
      </c>
      <c r="BO3548" s="11">
        <v>46022.916666666664</v>
      </c>
      <c r="BP3548" s="11">
        <v>46022.916932870372</v>
      </c>
      <c r="BQ3548" s="15"/>
      <c r="BR3548" s="15">
        <v>46027.443379629629</v>
      </c>
      <c r="BS3548" s="10" t="s">
        <v>118</v>
      </c>
      <c r="BT3548" s="10"/>
      <c r="BU3548" s="10"/>
      <c r="BV3548" s="10"/>
      <c r="BW3548" s="10"/>
      <c r="BX3548" s="10"/>
      <c r="BY3548" s="23"/>
      <c r="BZ3548" s="23"/>
      <c r="CA3548" s="19" t="s">
        <v>24948</v>
      </c>
      <c r="CB3548" s="23"/>
      <c r="CC3548" s="23"/>
      <c r="CD3548" s="23"/>
      <c r="CE3548" s="23"/>
      <c r="CF3548" s="23"/>
      <c r="CG3548" s="23"/>
      <c r="CH3548" s="23"/>
      <c r="CI3548" s="23"/>
    </row>
    <row r="3549" spans="1:87" x14ac:dyDescent="0.3">
      <c r="A3549" s="9" t="s">
        <v>24949</v>
      </c>
      <c r="B3549" s="10" t="s">
        <v>24950</v>
      </c>
      <c r="C3549" s="11">
        <v>46032.020833333336</v>
      </c>
      <c r="D3549" s="12">
        <v>8.3333333333333329E-2</v>
      </c>
      <c r="E3549" s="11">
        <v>46032.104166666664</v>
      </c>
      <c r="F3549" s="22" t="s">
        <v>9129</v>
      </c>
      <c r="G3549" s="13" t="b">
        <v>0</v>
      </c>
      <c r="H3549" s="22" t="s">
        <v>9130</v>
      </c>
      <c r="I3549" s="10" t="s">
        <v>9131</v>
      </c>
      <c r="J3549" s="13" t="b">
        <v>0</v>
      </c>
      <c r="K3549" s="13" t="b">
        <v>1</v>
      </c>
      <c r="L3549" s="10" t="s">
        <v>124</v>
      </c>
      <c r="M3549" s="10" t="s">
        <v>91</v>
      </c>
      <c r="N3549" s="10" t="s">
        <v>265</v>
      </c>
      <c r="O3549" s="19" t="s">
        <v>24951</v>
      </c>
      <c r="P3549" s="10"/>
      <c r="Q3549" s="10" t="s">
        <v>94</v>
      </c>
      <c r="R3549" s="10"/>
      <c r="S3549" s="10"/>
      <c r="T3549" s="10"/>
      <c r="U3549" s="10" t="s">
        <v>9161</v>
      </c>
      <c r="V3549" s="10" t="s">
        <v>9134</v>
      </c>
      <c r="W3549" s="10" t="s">
        <v>9136</v>
      </c>
      <c r="X3549" s="10" t="s">
        <v>130</v>
      </c>
      <c r="Y3549" s="10" t="s">
        <v>130</v>
      </c>
      <c r="Z3549" s="10" t="s">
        <v>99</v>
      </c>
      <c r="AA3549" s="10" t="s">
        <v>131</v>
      </c>
      <c r="AB3549" s="10" t="s">
        <v>9137</v>
      </c>
      <c r="AC3549" s="10" t="s">
        <v>9138</v>
      </c>
      <c r="AD3549" s="10" t="s">
        <v>24952</v>
      </c>
      <c r="AE3549" s="10" t="s">
        <v>24953</v>
      </c>
      <c r="AF3549" s="15"/>
      <c r="AG3549" s="10"/>
      <c r="AH3549" s="10"/>
      <c r="AI3549" s="10"/>
      <c r="AJ3549" s="10"/>
      <c r="AK3549" s="10" t="s">
        <v>102</v>
      </c>
      <c r="AL3549" s="10" t="s">
        <v>1671</v>
      </c>
      <c r="AM3549" s="10"/>
      <c r="AN3549" s="10"/>
      <c r="AO3549" s="13" t="b">
        <v>0</v>
      </c>
      <c r="AP3549" s="22" t="s">
        <v>104</v>
      </c>
      <c r="AQ3549" s="10">
        <f ca="1">IFERROR(__xludf.DUMMYFUNCTION("""COMPUTED_VALUE"""),4832260)</f>
        <v>4832260</v>
      </c>
      <c r="AR3549" s="17">
        <v>5070</v>
      </c>
      <c r="AS3549" s="17">
        <v>4325</v>
      </c>
      <c r="AT3549" s="17">
        <v>91847.25</v>
      </c>
      <c r="AU3549" s="17">
        <v>6.05</v>
      </c>
      <c r="AV3549" s="17">
        <v>0.85</v>
      </c>
      <c r="AW3549" s="10" t="s">
        <v>105</v>
      </c>
      <c r="AX3549" s="17">
        <v>1185</v>
      </c>
      <c r="AY3549" s="18">
        <v>21.236358381502889</v>
      </c>
      <c r="AZ3549" s="10"/>
      <c r="BA3549" s="20" t="b">
        <v>0</v>
      </c>
      <c r="BB3549" s="10"/>
      <c r="BC3549" s="17">
        <v>5070</v>
      </c>
      <c r="BD3549" s="17">
        <v>4325</v>
      </c>
      <c r="BE3549" s="17">
        <v>91847.25</v>
      </c>
      <c r="BF3549" s="17">
        <v>0.85</v>
      </c>
      <c r="BG3549" s="11">
        <f ca="1">IFERROR(__xludf.DUMMYFUNCTION("""COMPUTED_VALUE"""),46032.0208333333)</f>
        <v>46032.020833333299</v>
      </c>
      <c r="BH3549" s="17" t="s">
        <v>105</v>
      </c>
      <c r="BI3549" s="17"/>
      <c r="BJ3549" s="15"/>
      <c r="BK3549" s="15"/>
      <c r="BL3549" s="13" t="b">
        <v>0</v>
      </c>
      <c r="BM3549" s="10"/>
      <c r="BN3549" s="10" t="s">
        <v>118</v>
      </c>
      <c r="BO3549" s="11">
        <v>46022.918055555558</v>
      </c>
      <c r="BP3549" s="11">
        <v>46022.918483796297</v>
      </c>
      <c r="BQ3549" s="15"/>
      <c r="BR3549" s="15">
        <v>46029.433958333335</v>
      </c>
      <c r="BS3549" s="10" t="s">
        <v>118</v>
      </c>
      <c r="BT3549" s="10"/>
      <c r="BU3549" s="10"/>
      <c r="BV3549" s="10"/>
      <c r="BW3549" s="10"/>
      <c r="BX3549" s="10"/>
      <c r="BY3549" s="23"/>
      <c r="BZ3549" s="23"/>
      <c r="CA3549" s="19" t="s">
        <v>24954</v>
      </c>
      <c r="CB3549" s="23"/>
      <c r="CC3549" s="23"/>
      <c r="CD3549" s="23"/>
      <c r="CE3549" s="23"/>
      <c r="CF3549" s="23"/>
      <c r="CG3549" s="23"/>
      <c r="CH3549" s="23"/>
      <c r="CI3549" s="23"/>
    </row>
    <row r="3550" spans="1:87" x14ac:dyDescent="0.3">
      <c r="A3550" s="9" t="s">
        <v>24955</v>
      </c>
      <c r="B3550" s="10" t="s">
        <v>24956</v>
      </c>
      <c r="C3550" s="11">
        <v>46032.625</v>
      </c>
      <c r="D3550" s="12">
        <v>2.0833333333333332E-2</v>
      </c>
      <c r="E3550" s="11">
        <v>46032.645833333336</v>
      </c>
      <c r="F3550" s="22" t="s">
        <v>3511</v>
      </c>
      <c r="G3550" s="13" t="b">
        <v>0</v>
      </c>
      <c r="H3550" s="22" t="s">
        <v>3512</v>
      </c>
      <c r="I3550" s="10" t="s">
        <v>212</v>
      </c>
      <c r="J3550" s="13" t="b">
        <v>1</v>
      </c>
      <c r="K3550" s="13" t="b">
        <v>0</v>
      </c>
      <c r="L3550" s="10" t="s">
        <v>90</v>
      </c>
      <c r="M3550" s="10" t="s">
        <v>91</v>
      </c>
      <c r="N3550" s="10" t="s">
        <v>92</v>
      </c>
      <c r="O3550" s="19" t="s">
        <v>24957</v>
      </c>
      <c r="P3550" s="10"/>
      <c r="Q3550" s="10" t="s">
        <v>94</v>
      </c>
      <c r="R3550" s="10"/>
      <c r="S3550" s="19" t="s">
        <v>23307</v>
      </c>
      <c r="T3550" s="10"/>
      <c r="U3550" s="10"/>
      <c r="V3550" s="10"/>
      <c r="W3550" s="10" t="s">
        <v>3519</v>
      </c>
      <c r="X3550" s="10" t="s">
        <v>130</v>
      </c>
      <c r="Y3550" s="10" t="s">
        <v>130</v>
      </c>
      <c r="Z3550" s="10" t="s">
        <v>99</v>
      </c>
      <c r="AA3550" s="10" t="s">
        <v>131</v>
      </c>
      <c r="AB3550" s="10" t="s">
        <v>3520</v>
      </c>
      <c r="AC3550" s="10" t="s">
        <v>3521</v>
      </c>
      <c r="AD3550" s="10" t="s">
        <v>165</v>
      </c>
      <c r="AE3550" s="10" t="s">
        <v>24958</v>
      </c>
      <c r="AF3550" s="15"/>
      <c r="AG3550" s="10"/>
      <c r="AH3550" s="10"/>
      <c r="AI3550" s="10"/>
      <c r="AJ3550" s="10"/>
      <c r="AK3550" s="10" t="s">
        <v>102</v>
      </c>
      <c r="AL3550" s="10"/>
      <c r="AM3550" s="10"/>
      <c r="AN3550" s="10"/>
      <c r="AO3550" s="13" t="b">
        <v>0</v>
      </c>
      <c r="AP3550" s="22" t="s">
        <v>104</v>
      </c>
      <c r="AQ3550" s="10">
        <f ca="1">IFERROR(__xludf.DUMMYFUNCTION("""COMPUTED_VALUE"""),4832275)</f>
        <v>4832275</v>
      </c>
      <c r="AR3550" s="17"/>
      <c r="AS3550" s="17"/>
      <c r="AT3550" s="17"/>
      <c r="AU3550" s="17"/>
      <c r="AV3550" s="17"/>
      <c r="AW3550" s="10"/>
      <c r="AX3550" s="17"/>
      <c r="AY3550" s="18" t="s">
        <v>257</v>
      </c>
      <c r="AZ3550" s="10"/>
      <c r="BA3550" s="20" t="b">
        <v>0</v>
      </c>
      <c r="BB3550" s="10"/>
      <c r="BC3550" s="17" t="s">
        <v>257</v>
      </c>
      <c r="BD3550" s="17" t="s">
        <v>257</v>
      </c>
      <c r="BE3550" s="17" t="s">
        <v>257</v>
      </c>
      <c r="BF3550" s="17" t="s">
        <v>257</v>
      </c>
      <c r="BG3550" s="11">
        <f ca="1">IFERROR(__xludf.DUMMYFUNCTION("""COMPUTED_VALUE"""),46032.625)</f>
        <v>46032.625</v>
      </c>
      <c r="BH3550" s="17"/>
      <c r="BI3550" s="17"/>
      <c r="BJ3550" s="15"/>
      <c r="BK3550" s="15"/>
      <c r="BL3550" s="13" t="b">
        <v>0</v>
      </c>
      <c r="BM3550" s="10" t="s">
        <v>240</v>
      </c>
      <c r="BN3550" s="10" t="s">
        <v>3527</v>
      </c>
      <c r="BO3550" s="11">
        <v>46025.51458333333</v>
      </c>
      <c r="BP3550" s="11">
        <v>46029.521527777775</v>
      </c>
      <c r="BQ3550" s="15">
        <v>46029.409062500003</v>
      </c>
      <c r="BR3550" s="15">
        <v>46029.452905092592</v>
      </c>
      <c r="BS3550" s="10"/>
      <c r="BT3550" s="10"/>
      <c r="BU3550" s="10"/>
      <c r="BV3550" s="10"/>
      <c r="BW3550" s="10"/>
      <c r="BX3550" s="10"/>
      <c r="BY3550" s="23"/>
      <c r="BZ3550" s="23"/>
      <c r="CA3550" s="19" t="s">
        <v>24959</v>
      </c>
      <c r="CB3550" s="23"/>
      <c r="CC3550" s="23"/>
      <c r="CD3550" s="23"/>
      <c r="CE3550" s="23"/>
      <c r="CF3550" s="23"/>
      <c r="CG3550" s="23"/>
      <c r="CH3550" s="23"/>
      <c r="CI3550" s="23"/>
    </row>
    <row r="3551" spans="1:87" x14ac:dyDescent="0.3">
      <c r="A3551" s="9" t="s">
        <v>24960</v>
      </c>
      <c r="B3551" s="10" t="s">
        <v>24961</v>
      </c>
      <c r="C3551" s="11">
        <v>46033.625</v>
      </c>
      <c r="D3551" s="12">
        <v>2.0833333333333332E-2</v>
      </c>
      <c r="E3551" s="11">
        <v>46033.645833333336</v>
      </c>
      <c r="F3551" s="22" t="s">
        <v>3511</v>
      </c>
      <c r="G3551" s="13" t="b">
        <v>0</v>
      </c>
      <c r="H3551" s="22" t="s">
        <v>3512</v>
      </c>
      <c r="I3551" s="10" t="s">
        <v>212</v>
      </c>
      <c r="J3551" s="13" t="b">
        <v>1</v>
      </c>
      <c r="K3551" s="13" t="b">
        <v>0</v>
      </c>
      <c r="L3551" s="10" t="s">
        <v>124</v>
      </c>
      <c r="M3551" s="10" t="s">
        <v>91</v>
      </c>
      <c r="N3551" s="10" t="s">
        <v>92</v>
      </c>
      <c r="O3551" s="19" t="s">
        <v>24962</v>
      </c>
      <c r="P3551" s="10"/>
      <c r="Q3551" s="10" t="s">
        <v>94</v>
      </c>
      <c r="R3551" s="10"/>
      <c r="S3551" s="19" t="s">
        <v>24963</v>
      </c>
      <c r="T3551" s="10"/>
      <c r="U3551" s="10"/>
      <c r="V3551" s="10"/>
      <c r="W3551" s="10" t="s">
        <v>3519</v>
      </c>
      <c r="X3551" s="10" t="s">
        <v>130</v>
      </c>
      <c r="Y3551" s="10" t="s">
        <v>130</v>
      </c>
      <c r="Z3551" s="10" t="s">
        <v>99</v>
      </c>
      <c r="AA3551" s="10" t="s">
        <v>131</v>
      </c>
      <c r="AB3551" s="10" t="s">
        <v>3520</v>
      </c>
      <c r="AC3551" s="10" t="s">
        <v>3521</v>
      </c>
      <c r="AD3551" s="10" t="s">
        <v>165</v>
      </c>
      <c r="AE3551" s="10" t="s">
        <v>24964</v>
      </c>
      <c r="AF3551" s="15"/>
      <c r="AG3551" s="10"/>
      <c r="AH3551" s="10"/>
      <c r="AI3551" s="10"/>
      <c r="AJ3551" s="10"/>
      <c r="AK3551" s="10" t="s">
        <v>102</v>
      </c>
      <c r="AL3551" s="10"/>
      <c r="AM3551" s="10"/>
      <c r="AN3551" s="10"/>
      <c r="AO3551" s="13" t="b">
        <v>0</v>
      </c>
      <c r="AP3551" s="22" t="s">
        <v>104</v>
      </c>
      <c r="AQ3551" s="10">
        <f ca="1">IFERROR(__xludf.DUMMYFUNCTION("""COMPUTED_VALUE"""),4832996)</f>
        <v>4832996</v>
      </c>
      <c r="AR3551" s="17"/>
      <c r="AS3551" s="17"/>
      <c r="AT3551" s="17"/>
      <c r="AU3551" s="17"/>
      <c r="AV3551" s="17"/>
      <c r="AW3551" s="10"/>
      <c r="AX3551" s="17"/>
      <c r="AY3551" s="18" t="s">
        <v>257</v>
      </c>
      <c r="AZ3551" s="10"/>
      <c r="BA3551" s="20" t="b">
        <v>0</v>
      </c>
      <c r="BB3551" s="10"/>
      <c r="BC3551" s="17" t="s">
        <v>257</v>
      </c>
      <c r="BD3551" s="17" t="s">
        <v>257</v>
      </c>
      <c r="BE3551" s="17" t="s">
        <v>257</v>
      </c>
      <c r="BF3551" s="17" t="s">
        <v>257</v>
      </c>
      <c r="BG3551" s="11">
        <f ca="1">IFERROR(__xludf.DUMMYFUNCTION("""COMPUTED_VALUE"""),46033.625)</f>
        <v>46033.625</v>
      </c>
      <c r="BH3551" s="17"/>
      <c r="BI3551" s="17"/>
      <c r="BJ3551" s="15"/>
      <c r="BK3551" s="15"/>
      <c r="BL3551" s="13" t="b">
        <v>0</v>
      </c>
      <c r="BM3551" s="10"/>
      <c r="BN3551" s="10" t="s">
        <v>137</v>
      </c>
      <c r="BO3551" s="11">
        <v>46025.515277777777</v>
      </c>
      <c r="BP3551" s="11">
        <v>46025.515879629631</v>
      </c>
      <c r="BQ3551" s="15">
        <v>46029.415196759262</v>
      </c>
      <c r="BR3551" s="15">
        <v>46030.579444444447</v>
      </c>
      <c r="BS3551" s="10" t="s">
        <v>137</v>
      </c>
      <c r="BT3551" s="10"/>
      <c r="BU3551" s="10"/>
      <c r="BV3551" s="10"/>
      <c r="BW3551" s="10"/>
      <c r="BX3551" s="10"/>
      <c r="BY3551" s="23"/>
      <c r="BZ3551" s="23"/>
      <c r="CA3551" s="19" t="s">
        <v>24965</v>
      </c>
      <c r="CB3551" s="23"/>
      <c r="CC3551" s="23"/>
      <c r="CD3551" s="23"/>
      <c r="CE3551" s="23"/>
      <c r="CF3551" s="23"/>
      <c r="CG3551" s="23"/>
      <c r="CH3551" s="23"/>
      <c r="CI3551" s="23"/>
    </row>
    <row r="3552" spans="1:87" x14ac:dyDescent="0.3">
      <c r="A3552" s="9" t="s">
        <v>24966</v>
      </c>
      <c r="B3552" s="10" t="s">
        <v>24462</v>
      </c>
      <c r="C3552" s="11">
        <v>46031.645833333336</v>
      </c>
      <c r="D3552" s="12">
        <v>8.3333333333333329E-2</v>
      </c>
      <c r="E3552" s="11">
        <v>46031.729166666664</v>
      </c>
      <c r="F3552" s="22" t="s">
        <v>24431</v>
      </c>
      <c r="G3552" s="13" t="b">
        <v>0</v>
      </c>
      <c r="H3552" s="22" t="s">
        <v>3215</v>
      </c>
      <c r="I3552" s="10" t="s">
        <v>89</v>
      </c>
      <c r="J3552" s="13" t="b">
        <v>0</v>
      </c>
      <c r="K3552" s="13" t="b">
        <v>1</v>
      </c>
      <c r="L3552" s="10" t="s">
        <v>124</v>
      </c>
      <c r="M3552" s="10" t="s">
        <v>91</v>
      </c>
      <c r="N3552" s="10" t="s">
        <v>265</v>
      </c>
      <c r="O3552" s="19" t="s">
        <v>24967</v>
      </c>
      <c r="P3552" s="10"/>
      <c r="Q3552" s="10" t="s">
        <v>94</v>
      </c>
      <c r="R3552" s="10"/>
      <c r="S3552" s="19" t="s">
        <v>24968</v>
      </c>
      <c r="T3552" s="10"/>
      <c r="U3552" s="10"/>
      <c r="V3552" s="10"/>
      <c r="W3552" s="10" t="s">
        <v>24434</v>
      </c>
      <c r="X3552" s="10" t="s">
        <v>21724</v>
      </c>
      <c r="Y3552" s="10" t="s">
        <v>21724</v>
      </c>
      <c r="Z3552" s="10" t="s">
        <v>99</v>
      </c>
      <c r="AA3552" s="10" t="s">
        <v>131</v>
      </c>
      <c r="AB3552" s="10" t="s">
        <v>24435</v>
      </c>
      <c r="AC3552" s="10" t="s">
        <v>24436</v>
      </c>
      <c r="AD3552" s="10" t="s">
        <v>165</v>
      </c>
      <c r="AE3552" s="10" t="s">
        <v>24465</v>
      </c>
      <c r="AF3552" s="15"/>
      <c r="AG3552" s="10"/>
      <c r="AH3552" s="10"/>
      <c r="AI3552" s="10"/>
      <c r="AJ3552" s="10"/>
      <c r="AK3552" s="10" t="s">
        <v>102</v>
      </c>
      <c r="AL3552" s="10" t="s">
        <v>19004</v>
      </c>
      <c r="AM3552" s="10"/>
      <c r="AN3552" s="10"/>
      <c r="AO3552" s="13" t="b">
        <v>0</v>
      </c>
      <c r="AP3552" s="22" t="s">
        <v>135</v>
      </c>
      <c r="AQ3552" s="10">
        <f ca="1">IFERROR(__xludf.DUMMYFUNCTION("""COMPUTED_VALUE"""),4832233)</f>
        <v>4832233</v>
      </c>
      <c r="AR3552" s="17">
        <v>3475</v>
      </c>
      <c r="AS3552" s="17">
        <v>1934</v>
      </c>
      <c r="AT3552" s="17">
        <v>50413</v>
      </c>
      <c r="AU3552" s="17">
        <v>8.4</v>
      </c>
      <c r="AV3552" s="17">
        <v>4.25</v>
      </c>
      <c r="AW3552" s="10" t="s">
        <v>105</v>
      </c>
      <c r="AX3552" s="17">
        <v>901</v>
      </c>
      <c r="AY3552" s="18">
        <v>26.066701137538779</v>
      </c>
      <c r="AZ3552" s="10" t="s">
        <v>148</v>
      </c>
      <c r="BA3552" s="20" t="b">
        <v>0</v>
      </c>
      <c r="BB3552" s="10"/>
      <c r="BC3552" s="17">
        <v>3475</v>
      </c>
      <c r="BD3552" s="17">
        <v>1934</v>
      </c>
      <c r="BE3552" s="17">
        <v>50413</v>
      </c>
      <c r="BF3552" s="17">
        <v>4.25</v>
      </c>
      <c r="BG3552" s="11">
        <f ca="1">IFERROR(__xludf.DUMMYFUNCTION("""COMPUTED_VALUE"""),46031.6458333333)</f>
        <v>46031.645833333299</v>
      </c>
      <c r="BH3552" s="17" t="s">
        <v>105</v>
      </c>
      <c r="BI3552" s="17"/>
      <c r="BJ3552" s="15"/>
      <c r="BK3552" s="15"/>
      <c r="BL3552" s="13" t="b">
        <v>0</v>
      </c>
      <c r="BM3552" s="10"/>
      <c r="BN3552" s="10" t="s">
        <v>118</v>
      </c>
      <c r="BO3552" s="11">
        <v>46025.520138888889</v>
      </c>
      <c r="BP3552" s="11">
        <v>46025.52076388889</v>
      </c>
      <c r="BQ3552" s="15">
        <v>46028.475659722222</v>
      </c>
      <c r="BR3552" s="15">
        <v>46029.379155092596</v>
      </c>
      <c r="BS3552" s="10" t="s">
        <v>118</v>
      </c>
      <c r="BT3552" s="10"/>
      <c r="BU3552" s="10"/>
      <c r="BV3552" s="10"/>
      <c r="BW3552" s="10"/>
      <c r="BX3552" s="10"/>
      <c r="BY3552" s="23"/>
      <c r="BZ3552" s="23"/>
      <c r="CA3552" s="19" t="s">
        <v>24969</v>
      </c>
      <c r="CB3552" s="23"/>
      <c r="CC3552" s="23"/>
      <c r="CD3552" s="23"/>
      <c r="CE3552" s="23"/>
      <c r="CF3552" s="23"/>
      <c r="CG3552" s="23"/>
      <c r="CH3552" s="23"/>
      <c r="CI3552" s="23"/>
    </row>
    <row r="3553" spans="1:87" x14ac:dyDescent="0.3">
      <c r="A3553" s="9" t="s">
        <v>24970</v>
      </c>
      <c r="B3553" s="10" t="s">
        <v>24971</v>
      </c>
      <c r="C3553" s="11">
        <v>46051.666666666664</v>
      </c>
      <c r="D3553" s="12">
        <v>0.10416666666666667</v>
      </c>
      <c r="E3553" s="11">
        <v>46051.770833333336</v>
      </c>
      <c r="F3553" s="22" t="s">
        <v>22219</v>
      </c>
      <c r="G3553" s="13" t="b">
        <v>0</v>
      </c>
      <c r="H3553" s="22" t="s">
        <v>22220</v>
      </c>
      <c r="I3553" s="10" t="s">
        <v>89</v>
      </c>
      <c r="J3553" s="13" t="b">
        <v>0</v>
      </c>
      <c r="K3553" s="13" t="b">
        <v>1</v>
      </c>
      <c r="L3553" s="10" t="s">
        <v>124</v>
      </c>
      <c r="M3553" s="10" t="s">
        <v>91</v>
      </c>
      <c r="N3553" s="10" t="s">
        <v>3513</v>
      </c>
      <c r="O3553" s="10"/>
      <c r="P3553" s="10" t="s">
        <v>575</v>
      </c>
      <c r="Q3553" s="10" t="s">
        <v>126</v>
      </c>
      <c r="R3553" s="10"/>
      <c r="S3553" s="10"/>
      <c r="T3553" s="10"/>
      <c r="U3553" s="10" t="s">
        <v>22402</v>
      </c>
      <c r="V3553" s="10" t="s">
        <v>22374</v>
      </c>
      <c r="W3553" s="10" t="s">
        <v>22225</v>
      </c>
      <c r="X3553" s="10" t="s">
        <v>16549</v>
      </c>
      <c r="Y3553" s="10" t="s">
        <v>16549</v>
      </c>
      <c r="Z3553" s="10" t="s">
        <v>99</v>
      </c>
      <c r="AA3553" s="10" t="s">
        <v>131</v>
      </c>
      <c r="AB3553" s="10" t="s">
        <v>22226</v>
      </c>
      <c r="AC3553" s="10" t="s">
        <v>22227</v>
      </c>
      <c r="AD3553" s="10" t="s">
        <v>24972</v>
      </c>
      <c r="AE3553" s="10" t="s">
        <v>24973</v>
      </c>
      <c r="AF3553" s="15"/>
      <c r="AG3553" s="10"/>
      <c r="AH3553" s="10"/>
      <c r="AI3553" s="10"/>
      <c r="AJ3553" s="10"/>
      <c r="AK3553" s="10"/>
      <c r="AL3553" s="10"/>
      <c r="AM3553" s="10"/>
      <c r="AN3553" s="10"/>
      <c r="AO3553" s="13" t="b">
        <v>0</v>
      </c>
      <c r="AP3553" s="22" t="s">
        <v>104</v>
      </c>
      <c r="AQ3553" s="10"/>
      <c r="AR3553" s="17"/>
      <c r="AS3553" s="17"/>
      <c r="AT3553" s="17"/>
      <c r="AU3553" s="17"/>
      <c r="AV3553" s="17"/>
      <c r="AW3553" s="10"/>
      <c r="AX3553" s="17"/>
      <c r="AY3553" s="18" t="s">
        <v>257</v>
      </c>
      <c r="AZ3553" s="10"/>
      <c r="BA3553" s="20" t="b">
        <v>0</v>
      </c>
      <c r="BB3553" s="10"/>
      <c r="BC3553" s="17" t="s">
        <v>257</v>
      </c>
      <c r="BD3553" s="17" t="s">
        <v>257</v>
      </c>
      <c r="BE3553" s="17" t="s">
        <v>257</v>
      </c>
      <c r="BF3553" s="17" t="s">
        <v>257</v>
      </c>
      <c r="BG3553" s="11">
        <f ca="1">IFERROR(__xludf.DUMMYFUNCTION("""COMPUTED_VALUE"""),46051.6666666666)</f>
        <v>46051.666666666599</v>
      </c>
      <c r="BH3553" s="17"/>
      <c r="BI3553" s="17"/>
      <c r="BJ3553" s="15"/>
      <c r="BK3553" s="15"/>
      <c r="BL3553" s="13" t="b">
        <v>0</v>
      </c>
      <c r="BM3553" s="10"/>
      <c r="BN3553" s="10" t="s">
        <v>108</v>
      </c>
      <c r="BO3553" s="11">
        <v>46027.4</v>
      </c>
      <c r="BP3553" s="11">
        <v>46027.400370370371</v>
      </c>
      <c r="BQ3553" s="15"/>
      <c r="BR3553" s="15"/>
      <c r="BS3553" s="10"/>
      <c r="BT3553" s="10" t="s">
        <v>99</v>
      </c>
      <c r="BU3553" s="10"/>
      <c r="BV3553" s="10"/>
      <c r="BW3553" s="10"/>
      <c r="BX3553" s="10"/>
      <c r="BY3553" s="23"/>
      <c r="BZ3553" s="23"/>
      <c r="CA3553" s="10"/>
      <c r="CB3553" s="23"/>
      <c r="CC3553" s="23"/>
      <c r="CD3553" s="23"/>
      <c r="CE3553" s="23"/>
      <c r="CF3553" s="23"/>
      <c r="CG3553" s="23"/>
      <c r="CH3553" s="23"/>
      <c r="CI3553" s="23"/>
    </row>
    <row r="3554" spans="1:87" x14ac:dyDescent="0.3">
      <c r="A3554" s="9" t="s">
        <v>24974</v>
      </c>
      <c r="B3554" s="10" t="s">
        <v>24975</v>
      </c>
      <c r="C3554" s="11">
        <v>46051.791666666664</v>
      </c>
      <c r="D3554" s="12">
        <v>0.10416666666666667</v>
      </c>
      <c r="E3554" s="11">
        <v>46051.895833333336</v>
      </c>
      <c r="F3554" s="22" t="s">
        <v>22219</v>
      </c>
      <c r="G3554" s="13" t="b">
        <v>0</v>
      </c>
      <c r="H3554" s="22" t="s">
        <v>22220</v>
      </c>
      <c r="I3554" s="10" t="s">
        <v>89</v>
      </c>
      <c r="J3554" s="13" t="b">
        <v>0</v>
      </c>
      <c r="K3554" s="13" t="b">
        <v>1</v>
      </c>
      <c r="L3554" s="10" t="s">
        <v>124</v>
      </c>
      <c r="M3554" s="10" t="s">
        <v>91</v>
      </c>
      <c r="N3554" s="10" t="s">
        <v>3513</v>
      </c>
      <c r="O3554" s="10"/>
      <c r="P3554" s="10" t="s">
        <v>575</v>
      </c>
      <c r="Q3554" s="10" t="s">
        <v>126</v>
      </c>
      <c r="R3554" s="10"/>
      <c r="S3554" s="10"/>
      <c r="T3554" s="10"/>
      <c r="U3554" s="10" t="s">
        <v>22363</v>
      </c>
      <c r="V3554" s="10" t="s">
        <v>22353</v>
      </c>
      <c r="W3554" s="10" t="s">
        <v>22225</v>
      </c>
      <c r="X3554" s="10" t="s">
        <v>16549</v>
      </c>
      <c r="Y3554" s="10" t="s">
        <v>16549</v>
      </c>
      <c r="Z3554" s="10" t="s">
        <v>99</v>
      </c>
      <c r="AA3554" s="10" t="s">
        <v>131</v>
      </c>
      <c r="AB3554" s="10" t="s">
        <v>22226</v>
      </c>
      <c r="AC3554" s="10" t="s">
        <v>22227</v>
      </c>
      <c r="AD3554" s="10" t="s">
        <v>24976</v>
      </c>
      <c r="AE3554" s="10" t="s">
        <v>24977</v>
      </c>
      <c r="AF3554" s="15"/>
      <c r="AG3554" s="10"/>
      <c r="AH3554" s="10"/>
      <c r="AI3554" s="10"/>
      <c r="AJ3554" s="10"/>
      <c r="AK3554" s="10"/>
      <c r="AL3554" s="10"/>
      <c r="AM3554" s="10"/>
      <c r="AN3554" s="10"/>
      <c r="AO3554" s="13" t="b">
        <v>0</v>
      </c>
      <c r="AP3554" s="22" t="s">
        <v>135</v>
      </c>
      <c r="AQ3554" s="10"/>
      <c r="AR3554" s="17"/>
      <c r="AS3554" s="17"/>
      <c r="AT3554" s="17"/>
      <c r="AU3554" s="17"/>
      <c r="AV3554" s="17"/>
      <c r="AW3554" s="10"/>
      <c r="AX3554" s="17"/>
      <c r="AY3554" s="18" t="s">
        <v>257</v>
      </c>
      <c r="AZ3554" s="10"/>
      <c r="BA3554" s="20" t="b">
        <v>0</v>
      </c>
      <c r="BB3554" s="10"/>
      <c r="BC3554" s="17" t="s">
        <v>257</v>
      </c>
      <c r="BD3554" s="17" t="s">
        <v>257</v>
      </c>
      <c r="BE3554" s="17" t="s">
        <v>257</v>
      </c>
      <c r="BF3554" s="17" t="s">
        <v>257</v>
      </c>
      <c r="BG3554" s="11">
        <f ca="1">IFERROR(__xludf.DUMMYFUNCTION("""COMPUTED_VALUE"""),46051.7916666666)</f>
        <v>46051.791666666599</v>
      </c>
      <c r="BH3554" s="17"/>
      <c r="BI3554" s="17"/>
      <c r="BJ3554" s="15"/>
      <c r="BK3554" s="15"/>
      <c r="BL3554" s="13" t="b">
        <v>0</v>
      </c>
      <c r="BM3554" s="10"/>
      <c r="BN3554" s="10" t="s">
        <v>108</v>
      </c>
      <c r="BO3554" s="11">
        <v>46027.401388888888</v>
      </c>
      <c r="BP3554" s="11">
        <v>46027.402418981481</v>
      </c>
      <c r="BQ3554" s="15"/>
      <c r="BR3554" s="15"/>
      <c r="BS3554" s="10"/>
      <c r="BT3554" s="10" t="s">
        <v>99</v>
      </c>
      <c r="BU3554" s="10"/>
      <c r="BV3554" s="10"/>
      <c r="BW3554" s="10"/>
      <c r="BX3554" s="10"/>
      <c r="BY3554" s="23"/>
      <c r="BZ3554" s="23"/>
      <c r="CA3554" s="10"/>
      <c r="CB3554" s="23"/>
      <c r="CC3554" s="23"/>
      <c r="CD3554" s="23"/>
      <c r="CE3554" s="23"/>
      <c r="CF3554" s="23"/>
      <c r="CG3554" s="23"/>
      <c r="CH3554" s="23"/>
      <c r="CI3554" s="23"/>
    </row>
    <row r="3555" spans="1:87" x14ac:dyDescent="0.3">
      <c r="A3555" s="9" t="s">
        <v>24978</v>
      </c>
      <c r="B3555" s="10" t="s">
        <v>24979</v>
      </c>
      <c r="C3555" s="11">
        <v>46052.666666666664</v>
      </c>
      <c r="D3555" s="12">
        <v>0.10416666666666667</v>
      </c>
      <c r="E3555" s="11">
        <v>46052.770833333336</v>
      </c>
      <c r="F3555" s="22" t="s">
        <v>22219</v>
      </c>
      <c r="G3555" s="13" t="b">
        <v>0</v>
      </c>
      <c r="H3555" s="22" t="s">
        <v>22220</v>
      </c>
      <c r="I3555" s="10" t="s">
        <v>89</v>
      </c>
      <c r="J3555" s="13" t="b">
        <v>0</v>
      </c>
      <c r="K3555" s="13" t="b">
        <v>1</v>
      </c>
      <c r="L3555" s="10" t="s">
        <v>124</v>
      </c>
      <c r="M3555" s="10" t="s">
        <v>91</v>
      </c>
      <c r="N3555" s="10" t="s">
        <v>3513</v>
      </c>
      <c r="O3555" s="10"/>
      <c r="P3555" s="10" t="s">
        <v>575</v>
      </c>
      <c r="Q3555" s="10" t="s">
        <v>126</v>
      </c>
      <c r="R3555" s="10"/>
      <c r="S3555" s="10"/>
      <c r="T3555" s="10"/>
      <c r="U3555" s="10" t="s">
        <v>22223</v>
      </c>
      <c r="V3555" s="10" t="s">
        <v>22342</v>
      </c>
      <c r="W3555" s="10" t="s">
        <v>22225</v>
      </c>
      <c r="X3555" s="10" t="s">
        <v>16549</v>
      </c>
      <c r="Y3555" s="10" t="s">
        <v>16549</v>
      </c>
      <c r="Z3555" s="10" t="s">
        <v>99</v>
      </c>
      <c r="AA3555" s="10" t="s">
        <v>131</v>
      </c>
      <c r="AB3555" s="10" t="s">
        <v>22226</v>
      </c>
      <c r="AC3555" s="10" t="s">
        <v>22227</v>
      </c>
      <c r="AD3555" s="10" t="s">
        <v>24980</v>
      </c>
      <c r="AE3555" s="10" t="s">
        <v>24981</v>
      </c>
      <c r="AF3555" s="15"/>
      <c r="AG3555" s="10"/>
      <c r="AH3555" s="10"/>
      <c r="AI3555" s="10"/>
      <c r="AJ3555" s="10"/>
      <c r="AK3555" s="10"/>
      <c r="AL3555" s="10"/>
      <c r="AM3555" s="10"/>
      <c r="AN3555" s="10"/>
      <c r="AO3555" s="13" t="b">
        <v>0</v>
      </c>
      <c r="AP3555" s="22" t="s">
        <v>135</v>
      </c>
      <c r="AQ3555" s="10"/>
      <c r="AR3555" s="17"/>
      <c r="AS3555" s="17"/>
      <c r="AT3555" s="17"/>
      <c r="AU3555" s="17"/>
      <c r="AV3555" s="17"/>
      <c r="AW3555" s="10"/>
      <c r="AX3555" s="17"/>
      <c r="AY3555" s="18" t="s">
        <v>257</v>
      </c>
      <c r="AZ3555" s="10"/>
      <c r="BA3555" s="20" t="b">
        <v>0</v>
      </c>
      <c r="BB3555" s="10"/>
      <c r="BC3555" s="17" t="s">
        <v>257</v>
      </c>
      <c r="BD3555" s="17" t="s">
        <v>257</v>
      </c>
      <c r="BE3555" s="17" t="s">
        <v>257</v>
      </c>
      <c r="BF3555" s="17" t="s">
        <v>257</v>
      </c>
      <c r="BG3555" s="11">
        <f ca="1">IFERROR(__xludf.DUMMYFUNCTION("""COMPUTED_VALUE"""),46052.6666666666)</f>
        <v>46052.666666666599</v>
      </c>
      <c r="BH3555" s="17"/>
      <c r="BI3555" s="17"/>
      <c r="BJ3555" s="15"/>
      <c r="BK3555" s="15"/>
      <c r="BL3555" s="13" t="b">
        <v>0</v>
      </c>
      <c r="BM3555" s="10"/>
      <c r="BN3555" s="10" t="s">
        <v>108</v>
      </c>
      <c r="BO3555" s="11">
        <v>46027.402777777781</v>
      </c>
      <c r="BP3555" s="11">
        <v>46027.40283564815</v>
      </c>
      <c r="BQ3555" s="15"/>
      <c r="BR3555" s="15"/>
      <c r="BS3555" s="10"/>
      <c r="BT3555" s="10" t="s">
        <v>99</v>
      </c>
      <c r="BU3555" s="10"/>
      <c r="BV3555" s="10"/>
      <c r="BW3555" s="10"/>
      <c r="BX3555" s="10"/>
      <c r="BY3555" s="23"/>
      <c r="BZ3555" s="23"/>
      <c r="CA3555" s="10"/>
      <c r="CB3555" s="23"/>
      <c r="CC3555" s="23"/>
      <c r="CD3555" s="23"/>
      <c r="CE3555" s="23"/>
      <c r="CF3555" s="23"/>
      <c r="CG3555" s="23"/>
      <c r="CH3555" s="23"/>
      <c r="CI3555" s="23"/>
    </row>
    <row r="3556" spans="1:87" x14ac:dyDescent="0.3">
      <c r="A3556" s="9" t="s">
        <v>24982</v>
      </c>
      <c r="B3556" s="10" t="s">
        <v>24983</v>
      </c>
      <c r="C3556" s="11">
        <v>46052.791666666664</v>
      </c>
      <c r="D3556" s="12">
        <v>0.10416666666666667</v>
      </c>
      <c r="E3556" s="11">
        <v>46052.895833333336</v>
      </c>
      <c r="F3556" s="22" t="s">
        <v>22219</v>
      </c>
      <c r="G3556" s="13" t="b">
        <v>0</v>
      </c>
      <c r="H3556" s="22" t="s">
        <v>22220</v>
      </c>
      <c r="I3556" s="10" t="s">
        <v>89</v>
      </c>
      <c r="J3556" s="13" t="b">
        <v>0</v>
      </c>
      <c r="K3556" s="13" t="b">
        <v>1</v>
      </c>
      <c r="L3556" s="10" t="s">
        <v>124</v>
      </c>
      <c r="M3556" s="10" t="s">
        <v>91</v>
      </c>
      <c r="N3556" s="10" t="s">
        <v>3513</v>
      </c>
      <c r="O3556" s="10"/>
      <c r="P3556" s="10" t="s">
        <v>575</v>
      </c>
      <c r="Q3556" s="10" t="s">
        <v>126</v>
      </c>
      <c r="R3556" s="10"/>
      <c r="S3556" s="10"/>
      <c r="T3556" s="10"/>
      <c r="U3556" s="10" t="s">
        <v>22224</v>
      </c>
      <c r="V3556" s="10" t="s">
        <v>22341</v>
      </c>
      <c r="W3556" s="10" t="s">
        <v>22225</v>
      </c>
      <c r="X3556" s="10" t="s">
        <v>16549</v>
      </c>
      <c r="Y3556" s="10" t="s">
        <v>16549</v>
      </c>
      <c r="Z3556" s="10" t="s">
        <v>99</v>
      </c>
      <c r="AA3556" s="10" t="s">
        <v>131</v>
      </c>
      <c r="AB3556" s="10" t="s">
        <v>22226</v>
      </c>
      <c r="AC3556" s="10" t="s">
        <v>22227</v>
      </c>
      <c r="AD3556" s="10" t="s">
        <v>24984</v>
      </c>
      <c r="AE3556" s="10" t="s">
        <v>24985</v>
      </c>
      <c r="AF3556" s="15"/>
      <c r="AG3556" s="10"/>
      <c r="AH3556" s="10"/>
      <c r="AI3556" s="10"/>
      <c r="AJ3556" s="10"/>
      <c r="AK3556" s="10"/>
      <c r="AL3556" s="10"/>
      <c r="AM3556" s="10"/>
      <c r="AN3556" s="10"/>
      <c r="AO3556" s="13" t="b">
        <v>0</v>
      </c>
      <c r="AP3556" s="22" t="s">
        <v>135</v>
      </c>
      <c r="AQ3556" s="10"/>
      <c r="AR3556" s="17"/>
      <c r="AS3556" s="17"/>
      <c r="AT3556" s="17"/>
      <c r="AU3556" s="17"/>
      <c r="AV3556" s="17"/>
      <c r="AW3556" s="10"/>
      <c r="AX3556" s="17"/>
      <c r="AY3556" s="18" t="s">
        <v>257</v>
      </c>
      <c r="AZ3556" s="10"/>
      <c r="BA3556" s="20" t="b">
        <v>0</v>
      </c>
      <c r="BB3556" s="10"/>
      <c r="BC3556" s="17" t="s">
        <v>257</v>
      </c>
      <c r="BD3556" s="17" t="s">
        <v>257</v>
      </c>
      <c r="BE3556" s="17" t="s">
        <v>257</v>
      </c>
      <c r="BF3556" s="17" t="s">
        <v>257</v>
      </c>
      <c r="BG3556" s="11">
        <f ca="1">IFERROR(__xludf.DUMMYFUNCTION("""COMPUTED_VALUE"""),46052.7916666666)</f>
        <v>46052.791666666599</v>
      </c>
      <c r="BH3556" s="17"/>
      <c r="BI3556" s="17"/>
      <c r="BJ3556" s="15"/>
      <c r="BK3556" s="15"/>
      <c r="BL3556" s="13" t="b">
        <v>0</v>
      </c>
      <c r="BM3556" s="10"/>
      <c r="BN3556" s="10" t="s">
        <v>108</v>
      </c>
      <c r="BO3556" s="11">
        <v>46027.40347222222</v>
      </c>
      <c r="BP3556" s="11">
        <v>46027.403634259259</v>
      </c>
      <c r="BQ3556" s="15"/>
      <c r="BR3556" s="15"/>
      <c r="BS3556" s="10"/>
      <c r="BT3556" s="10" t="s">
        <v>99</v>
      </c>
      <c r="BU3556" s="10"/>
      <c r="BV3556" s="10"/>
      <c r="BW3556" s="10"/>
      <c r="BX3556" s="10"/>
      <c r="BY3556" s="23"/>
      <c r="BZ3556" s="23"/>
      <c r="CA3556" s="10"/>
      <c r="CB3556" s="23"/>
      <c r="CC3556" s="23"/>
      <c r="CD3556" s="23"/>
      <c r="CE3556" s="23"/>
      <c r="CF3556" s="23"/>
      <c r="CG3556" s="23"/>
      <c r="CH3556" s="23"/>
      <c r="CI3556" s="23"/>
    </row>
    <row r="3557" spans="1:87" x14ac:dyDescent="0.3">
      <c r="A3557" s="9" t="s">
        <v>24986</v>
      </c>
      <c r="B3557" s="10" t="s">
        <v>24987</v>
      </c>
      <c r="C3557" s="11">
        <v>46053.666666666664</v>
      </c>
      <c r="D3557" s="12">
        <v>0.10416666666666667</v>
      </c>
      <c r="E3557" s="11">
        <v>46053.770833333336</v>
      </c>
      <c r="F3557" s="22" t="s">
        <v>22219</v>
      </c>
      <c r="G3557" s="13" t="b">
        <v>0</v>
      </c>
      <c r="H3557" s="22" t="s">
        <v>22220</v>
      </c>
      <c r="I3557" s="10" t="s">
        <v>89</v>
      </c>
      <c r="J3557" s="13" t="b">
        <v>0</v>
      </c>
      <c r="K3557" s="13" t="b">
        <v>1</v>
      </c>
      <c r="L3557" s="10" t="s">
        <v>124</v>
      </c>
      <c r="M3557" s="10" t="s">
        <v>91</v>
      </c>
      <c r="N3557" s="10" t="s">
        <v>3513</v>
      </c>
      <c r="O3557" s="10"/>
      <c r="P3557" s="10" t="s">
        <v>575</v>
      </c>
      <c r="Q3557" s="10" t="s">
        <v>126</v>
      </c>
      <c r="R3557" s="10"/>
      <c r="S3557" s="10"/>
      <c r="T3557" s="10"/>
      <c r="U3557" s="10" t="s">
        <v>22353</v>
      </c>
      <c r="V3557" s="10" t="s">
        <v>22223</v>
      </c>
      <c r="W3557" s="10" t="s">
        <v>22225</v>
      </c>
      <c r="X3557" s="10" t="s">
        <v>16549</v>
      </c>
      <c r="Y3557" s="10" t="s">
        <v>16549</v>
      </c>
      <c r="Z3557" s="10" t="s">
        <v>99</v>
      </c>
      <c r="AA3557" s="10" t="s">
        <v>131</v>
      </c>
      <c r="AB3557" s="10" t="s">
        <v>22226</v>
      </c>
      <c r="AC3557" s="10" t="s">
        <v>22227</v>
      </c>
      <c r="AD3557" s="10" t="s">
        <v>24988</v>
      </c>
      <c r="AE3557" s="10" t="s">
        <v>24989</v>
      </c>
      <c r="AF3557" s="15"/>
      <c r="AG3557" s="10"/>
      <c r="AH3557" s="10"/>
      <c r="AI3557" s="10"/>
      <c r="AJ3557" s="10"/>
      <c r="AK3557" s="10"/>
      <c r="AL3557" s="10"/>
      <c r="AM3557" s="10"/>
      <c r="AN3557" s="10"/>
      <c r="AO3557" s="13" t="b">
        <v>0</v>
      </c>
      <c r="AP3557" s="22" t="s">
        <v>135</v>
      </c>
      <c r="AQ3557" s="10"/>
      <c r="AR3557" s="17"/>
      <c r="AS3557" s="17"/>
      <c r="AT3557" s="17"/>
      <c r="AU3557" s="17"/>
      <c r="AV3557" s="17"/>
      <c r="AW3557" s="10"/>
      <c r="AX3557" s="17"/>
      <c r="AY3557" s="18" t="s">
        <v>257</v>
      </c>
      <c r="AZ3557" s="10"/>
      <c r="BA3557" s="20" t="b">
        <v>0</v>
      </c>
      <c r="BB3557" s="10"/>
      <c r="BC3557" s="17" t="s">
        <v>257</v>
      </c>
      <c r="BD3557" s="17" t="s">
        <v>257</v>
      </c>
      <c r="BE3557" s="17" t="s">
        <v>257</v>
      </c>
      <c r="BF3557" s="17" t="s">
        <v>257</v>
      </c>
      <c r="BG3557" s="11">
        <f ca="1">IFERROR(__xludf.DUMMYFUNCTION("""COMPUTED_VALUE"""),46053.6666666666)</f>
        <v>46053.666666666599</v>
      </c>
      <c r="BH3557" s="17"/>
      <c r="BI3557" s="17"/>
      <c r="BJ3557" s="15"/>
      <c r="BK3557" s="15"/>
      <c r="BL3557" s="13" t="b">
        <v>0</v>
      </c>
      <c r="BM3557" s="10"/>
      <c r="BN3557" s="10" t="s">
        <v>108</v>
      </c>
      <c r="BO3557" s="11">
        <v>46027.404166666667</v>
      </c>
      <c r="BP3557" s="11">
        <v>46027.404780092591</v>
      </c>
      <c r="BQ3557" s="15"/>
      <c r="BR3557" s="15"/>
      <c r="BS3557" s="10"/>
      <c r="BT3557" s="10" t="s">
        <v>99</v>
      </c>
      <c r="BU3557" s="10"/>
      <c r="BV3557" s="10"/>
      <c r="BW3557" s="10"/>
      <c r="BX3557" s="10"/>
      <c r="BY3557" s="23"/>
      <c r="BZ3557" s="23"/>
      <c r="CA3557" s="10"/>
      <c r="CB3557" s="23"/>
      <c r="CC3557" s="23"/>
      <c r="CD3557" s="23"/>
      <c r="CE3557" s="23"/>
      <c r="CF3557" s="23"/>
      <c r="CG3557" s="23"/>
      <c r="CH3557" s="23"/>
      <c r="CI3557" s="23"/>
    </row>
    <row r="3558" spans="1:87" x14ac:dyDescent="0.3">
      <c r="A3558" s="9" t="s">
        <v>24990</v>
      </c>
      <c r="B3558" s="10" t="s">
        <v>24991</v>
      </c>
      <c r="C3558" s="11">
        <v>46053.791666666664</v>
      </c>
      <c r="D3558" s="12">
        <v>0.10416666666666667</v>
      </c>
      <c r="E3558" s="11">
        <v>46053.895833333336</v>
      </c>
      <c r="F3558" s="22" t="s">
        <v>22219</v>
      </c>
      <c r="G3558" s="13" t="b">
        <v>0</v>
      </c>
      <c r="H3558" s="22" t="s">
        <v>22220</v>
      </c>
      <c r="I3558" s="10" t="s">
        <v>89</v>
      </c>
      <c r="J3558" s="13" t="b">
        <v>0</v>
      </c>
      <c r="K3558" s="13" t="b">
        <v>1</v>
      </c>
      <c r="L3558" s="10" t="s">
        <v>124</v>
      </c>
      <c r="M3558" s="10" t="s">
        <v>91</v>
      </c>
      <c r="N3558" s="10" t="s">
        <v>3513</v>
      </c>
      <c r="O3558" s="10"/>
      <c r="P3558" s="10" t="s">
        <v>575</v>
      </c>
      <c r="Q3558" s="10" t="s">
        <v>126</v>
      </c>
      <c r="R3558" s="10"/>
      <c r="S3558" s="10"/>
      <c r="T3558" s="10"/>
      <c r="U3558" s="10" t="s">
        <v>22373</v>
      </c>
      <c r="V3558" s="10" t="s">
        <v>22239</v>
      </c>
      <c r="W3558" s="10" t="s">
        <v>22225</v>
      </c>
      <c r="X3558" s="10" t="s">
        <v>16549</v>
      </c>
      <c r="Y3558" s="10" t="s">
        <v>16549</v>
      </c>
      <c r="Z3558" s="10" t="s">
        <v>99</v>
      </c>
      <c r="AA3558" s="10" t="s">
        <v>131</v>
      </c>
      <c r="AB3558" s="10" t="s">
        <v>22226</v>
      </c>
      <c r="AC3558" s="10" t="s">
        <v>22227</v>
      </c>
      <c r="AD3558" s="10" t="s">
        <v>24992</v>
      </c>
      <c r="AE3558" s="10" t="s">
        <v>24993</v>
      </c>
      <c r="AF3558" s="15"/>
      <c r="AG3558" s="10"/>
      <c r="AH3558" s="10"/>
      <c r="AI3558" s="10"/>
      <c r="AJ3558" s="10"/>
      <c r="AK3558" s="10"/>
      <c r="AL3558" s="10"/>
      <c r="AM3558" s="10"/>
      <c r="AN3558" s="10"/>
      <c r="AO3558" s="13" t="b">
        <v>0</v>
      </c>
      <c r="AP3558" s="22" t="s">
        <v>104</v>
      </c>
      <c r="AQ3558" s="10"/>
      <c r="AR3558" s="17"/>
      <c r="AS3558" s="17"/>
      <c r="AT3558" s="17"/>
      <c r="AU3558" s="17"/>
      <c r="AV3558" s="17"/>
      <c r="AW3558" s="10"/>
      <c r="AX3558" s="17"/>
      <c r="AY3558" s="18" t="s">
        <v>257</v>
      </c>
      <c r="AZ3558" s="10"/>
      <c r="BA3558" s="20" t="b">
        <v>0</v>
      </c>
      <c r="BB3558" s="10"/>
      <c r="BC3558" s="17" t="s">
        <v>257</v>
      </c>
      <c r="BD3558" s="17" t="s">
        <v>257</v>
      </c>
      <c r="BE3558" s="17" t="s">
        <v>257</v>
      </c>
      <c r="BF3558" s="17" t="s">
        <v>257</v>
      </c>
      <c r="BG3558" s="11">
        <f ca="1">IFERROR(__xludf.DUMMYFUNCTION("""COMPUTED_VALUE"""),46053.7916666666)</f>
        <v>46053.791666666599</v>
      </c>
      <c r="BH3558" s="17"/>
      <c r="BI3558" s="17"/>
      <c r="BJ3558" s="15"/>
      <c r="BK3558" s="15"/>
      <c r="BL3558" s="13" t="b">
        <v>0</v>
      </c>
      <c r="BM3558" s="10" t="s">
        <v>240</v>
      </c>
      <c r="BN3558" s="10" t="s">
        <v>2527</v>
      </c>
      <c r="BO3558" s="11">
        <v>46027.404861111114</v>
      </c>
      <c r="BP3558" s="11">
        <v>46030.430972222224</v>
      </c>
      <c r="BQ3558" s="15"/>
      <c r="BR3558" s="15"/>
      <c r="BS3558" s="10"/>
      <c r="BT3558" s="10" t="s">
        <v>99</v>
      </c>
      <c r="BU3558" s="10"/>
      <c r="BV3558" s="10"/>
      <c r="BW3558" s="10"/>
      <c r="BX3558" s="10"/>
      <c r="BY3558" s="23"/>
      <c r="BZ3558" s="23"/>
      <c r="CA3558" s="10"/>
      <c r="CB3558" s="23"/>
      <c r="CC3558" s="23"/>
      <c r="CD3558" s="23"/>
      <c r="CE3558" s="23"/>
      <c r="CF3558" s="23"/>
      <c r="CG3558" s="23"/>
      <c r="CH3558" s="23"/>
      <c r="CI3558" s="23"/>
    </row>
    <row r="3559" spans="1:87" x14ac:dyDescent="0.3">
      <c r="A3559" s="9" t="s">
        <v>24994</v>
      </c>
      <c r="B3559" s="10" t="s">
        <v>24995</v>
      </c>
      <c r="C3559" s="11">
        <v>46054.541666666664</v>
      </c>
      <c r="D3559" s="12">
        <v>0.10416666666666667</v>
      </c>
      <c r="E3559" s="11">
        <v>46054.645833333336</v>
      </c>
      <c r="F3559" s="22" t="s">
        <v>22219</v>
      </c>
      <c r="G3559" s="13" t="b">
        <v>0</v>
      </c>
      <c r="H3559" s="22" t="s">
        <v>22220</v>
      </c>
      <c r="I3559" s="10" t="s">
        <v>89</v>
      </c>
      <c r="J3559" s="13" t="b">
        <v>0</v>
      </c>
      <c r="K3559" s="13" t="b">
        <v>1</v>
      </c>
      <c r="L3559" s="10" t="s">
        <v>124</v>
      </c>
      <c r="M3559" s="10" t="s">
        <v>91</v>
      </c>
      <c r="N3559" s="10" t="s">
        <v>3513</v>
      </c>
      <c r="O3559" s="10"/>
      <c r="P3559" s="10" t="s">
        <v>575</v>
      </c>
      <c r="Q3559" s="10" t="s">
        <v>126</v>
      </c>
      <c r="R3559" s="10"/>
      <c r="S3559" s="10"/>
      <c r="T3559" s="10"/>
      <c r="U3559" s="10" t="s">
        <v>22341</v>
      </c>
      <c r="V3559" s="10" t="s">
        <v>22352</v>
      </c>
      <c r="W3559" s="10" t="s">
        <v>22225</v>
      </c>
      <c r="X3559" s="10" t="s">
        <v>16549</v>
      </c>
      <c r="Y3559" s="10" t="s">
        <v>16549</v>
      </c>
      <c r="Z3559" s="10" t="s">
        <v>99</v>
      </c>
      <c r="AA3559" s="10" t="s">
        <v>131</v>
      </c>
      <c r="AB3559" s="10" t="s">
        <v>22226</v>
      </c>
      <c r="AC3559" s="10" t="s">
        <v>22227</v>
      </c>
      <c r="AD3559" s="10" t="s">
        <v>24996</v>
      </c>
      <c r="AE3559" s="10" t="s">
        <v>24997</v>
      </c>
      <c r="AF3559" s="15"/>
      <c r="AG3559" s="10"/>
      <c r="AH3559" s="10"/>
      <c r="AI3559" s="10"/>
      <c r="AJ3559" s="10"/>
      <c r="AK3559" s="10"/>
      <c r="AL3559" s="10"/>
      <c r="AM3559" s="10"/>
      <c r="AN3559" s="10"/>
      <c r="AO3559" s="13" t="b">
        <v>0</v>
      </c>
      <c r="AP3559" s="22" t="s">
        <v>135</v>
      </c>
      <c r="AQ3559" s="10"/>
      <c r="AR3559" s="17"/>
      <c r="AS3559" s="17"/>
      <c r="AT3559" s="17"/>
      <c r="AU3559" s="17"/>
      <c r="AV3559" s="17"/>
      <c r="AW3559" s="10"/>
      <c r="AX3559" s="17"/>
      <c r="AY3559" s="18" t="s">
        <v>257</v>
      </c>
      <c r="AZ3559" s="10"/>
      <c r="BA3559" s="20" t="b">
        <v>0</v>
      </c>
      <c r="BB3559" s="10"/>
      <c r="BC3559" s="17" t="s">
        <v>257</v>
      </c>
      <c r="BD3559" s="17" t="s">
        <v>257</v>
      </c>
      <c r="BE3559" s="17" t="s">
        <v>257</v>
      </c>
      <c r="BF3559" s="17" t="s">
        <v>257</v>
      </c>
      <c r="BG3559" s="11">
        <f ca="1">IFERROR(__xludf.DUMMYFUNCTION("""COMPUTED_VALUE"""),46054.5416666666)</f>
        <v>46054.541666666599</v>
      </c>
      <c r="BH3559" s="17"/>
      <c r="BI3559" s="17"/>
      <c r="BJ3559" s="15"/>
      <c r="BK3559" s="15"/>
      <c r="BL3559" s="13" t="b">
        <v>0</v>
      </c>
      <c r="BM3559" s="10"/>
      <c r="BN3559" s="10" t="s">
        <v>108</v>
      </c>
      <c r="BO3559" s="11">
        <v>46027.405555555553</v>
      </c>
      <c r="BP3559" s="11">
        <v>46027.406134259261</v>
      </c>
      <c r="BQ3559" s="15"/>
      <c r="BR3559" s="15"/>
      <c r="BS3559" s="10"/>
      <c r="BT3559" s="10" t="s">
        <v>99</v>
      </c>
      <c r="BU3559" s="10"/>
      <c r="BV3559" s="10"/>
      <c r="BW3559" s="10"/>
      <c r="BX3559" s="10"/>
      <c r="BY3559" s="23"/>
      <c r="BZ3559" s="23"/>
      <c r="CA3559" s="10"/>
      <c r="CB3559" s="23"/>
      <c r="CC3559" s="23"/>
      <c r="CD3559" s="23"/>
      <c r="CE3559" s="23"/>
      <c r="CF3559" s="23"/>
      <c r="CG3559" s="23"/>
      <c r="CH3559" s="23"/>
      <c r="CI3559" s="23"/>
    </row>
    <row r="3560" spans="1:87" x14ac:dyDescent="0.3">
      <c r="A3560" s="9" t="s">
        <v>24998</v>
      </c>
      <c r="B3560" s="10" t="s">
        <v>24999</v>
      </c>
      <c r="C3560" s="11">
        <v>46054.666666666664</v>
      </c>
      <c r="D3560" s="12">
        <v>0.10416666666666667</v>
      </c>
      <c r="E3560" s="11">
        <v>46054.770833333336</v>
      </c>
      <c r="F3560" s="22" t="s">
        <v>22219</v>
      </c>
      <c r="G3560" s="13" t="b">
        <v>0</v>
      </c>
      <c r="H3560" s="22" t="s">
        <v>22220</v>
      </c>
      <c r="I3560" s="10" t="s">
        <v>89</v>
      </c>
      <c r="J3560" s="13" t="b">
        <v>0</v>
      </c>
      <c r="K3560" s="13" t="b">
        <v>1</v>
      </c>
      <c r="L3560" s="10" t="s">
        <v>124</v>
      </c>
      <c r="M3560" s="10" t="s">
        <v>91</v>
      </c>
      <c r="N3560" s="10" t="s">
        <v>3513</v>
      </c>
      <c r="O3560" s="10"/>
      <c r="P3560" s="10" t="s">
        <v>575</v>
      </c>
      <c r="Q3560" s="10" t="s">
        <v>126</v>
      </c>
      <c r="R3560" s="10"/>
      <c r="S3560" s="10"/>
      <c r="T3560" s="10"/>
      <c r="U3560" s="10" t="s">
        <v>22402</v>
      </c>
      <c r="V3560" s="10" t="s">
        <v>22238</v>
      </c>
      <c r="W3560" s="10" t="s">
        <v>22225</v>
      </c>
      <c r="X3560" s="10" t="s">
        <v>16549</v>
      </c>
      <c r="Y3560" s="10" t="s">
        <v>16549</v>
      </c>
      <c r="Z3560" s="10" t="s">
        <v>99</v>
      </c>
      <c r="AA3560" s="10" t="s">
        <v>131</v>
      </c>
      <c r="AB3560" s="10" t="s">
        <v>22226</v>
      </c>
      <c r="AC3560" s="10" t="s">
        <v>22227</v>
      </c>
      <c r="AD3560" s="10" t="s">
        <v>25000</v>
      </c>
      <c r="AE3560" s="10" t="s">
        <v>25001</v>
      </c>
      <c r="AF3560" s="15"/>
      <c r="AG3560" s="10"/>
      <c r="AH3560" s="10"/>
      <c r="AI3560" s="10"/>
      <c r="AJ3560" s="10"/>
      <c r="AK3560" s="10"/>
      <c r="AL3560" s="10"/>
      <c r="AM3560" s="10"/>
      <c r="AN3560" s="10"/>
      <c r="AO3560" s="13" t="b">
        <v>0</v>
      </c>
      <c r="AP3560" s="22" t="s">
        <v>104</v>
      </c>
      <c r="AQ3560" s="10"/>
      <c r="AR3560" s="17"/>
      <c r="AS3560" s="17"/>
      <c r="AT3560" s="17"/>
      <c r="AU3560" s="17"/>
      <c r="AV3560" s="17"/>
      <c r="AW3560" s="10"/>
      <c r="AX3560" s="17"/>
      <c r="AY3560" s="18" t="s">
        <v>257</v>
      </c>
      <c r="AZ3560" s="10"/>
      <c r="BA3560" s="20" t="b">
        <v>0</v>
      </c>
      <c r="BB3560" s="10"/>
      <c r="BC3560" s="17" t="s">
        <v>257</v>
      </c>
      <c r="BD3560" s="17" t="s">
        <v>257</v>
      </c>
      <c r="BE3560" s="17" t="s">
        <v>257</v>
      </c>
      <c r="BF3560" s="17" t="s">
        <v>257</v>
      </c>
      <c r="BG3560" s="11">
        <f ca="1">IFERROR(__xludf.DUMMYFUNCTION("""COMPUTED_VALUE"""),46054.6666666666)</f>
        <v>46054.666666666599</v>
      </c>
      <c r="BH3560" s="17"/>
      <c r="BI3560" s="17"/>
      <c r="BJ3560" s="15"/>
      <c r="BK3560" s="15"/>
      <c r="BL3560" s="13" t="b">
        <v>0</v>
      </c>
      <c r="BM3560" s="10"/>
      <c r="BN3560" s="10" t="s">
        <v>108</v>
      </c>
      <c r="BO3560" s="11">
        <v>46027.40625</v>
      </c>
      <c r="BP3560" s="11">
        <v>46027.406851851854</v>
      </c>
      <c r="BQ3560" s="15"/>
      <c r="BR3560" s="15"/>
      <c r="BS3560" s="10"/>
      <c r="BT3560" s="10" t="s">
        <v>99</v>
      </c>
      <c r="BU3560" s="10"/>
      <c r="BV3560" s="10"/>
      <c r="BW3560" s="10"/>
      <c r="BX3560" s="10"/>
      <c r="BY3560" s="23"/>
      <c r="BZ3560" s="23"/>
      <c r="CA3560" s="10"/>
      <c r="CB3560" s="23"/>
      <c r="CC3560" s="23"/>
      <c r="CD3560" s="23"/>
      <c r="CE3560" s="23"/>
      <c r="CF3560" s="23"/>
      <c r="CG3560" s="23"/>
      <c r="CH3560" s="23"/>
      <c r="CI3560" s="23"/>
    </row>
    <row r="3561" spans="1:87" x14ac:dyDescent="0.3">
      <c r="A3561" s="9" t="s">
        <v>25002</v>
      </c>
      <c r="B3561" s="10" t="s">
        <v>25003</v>
      </c>
      <c r="C3561" s="11">
        <v>46054.791666666664</v>
      </c>
      <c r="D3561" s="12">
        <v>0.10416666666666667</v>
      </c>
      <c r="E3561" s="11">
        <v>46054.895833333336</v>
      </c>
      <c r="F3561" s="22" t="s">
        <v>22219</v>
      </c>
      <c r="G3561" s="13" t="b">
        <v>0</v>
      </c>
      <c r="H3561" s="22" t="s">
        <v>22220</v>
      </c>
      <c r="I3561" s="10" t="s">
        <v>89</v>
      </c>
      <c r="J3561" s="13" t="b">
        <v>0</v>
      </c>
      <c r="K3561" s="13" t="b">
        <v>1</v>
      </c>
      <c r="L3561" s="10" t="s">
        <v>124</v>
      </c>
      <c r="M3561" s="10" t="s">
        <v>91</v>
      </c>
      <c r="N3561" s="10" t="s">
        <v>3513</v>
      </c>
      <c r="O3561" s="10"/>
      <c r="P3561" s="10" t="s">
        <v>575</v>
      </c>
      <c r="Q3561" s="10" t="s">
        <v>126</v>
      </c>
      <c r="R3561" s="10"/>
      <c r="S3561" s="10"/>
      <c r="T3561" s="10"/>
      <c r="U3561" s="10" t="s">
        <v>22363</v>
      </c>
      <c r="V3561" s="10" t="s">
        <v>22224</v>
      </c>
      <c r="W3561" s="10" t="s">
        <v>22225</v>
      </c>
      <c r="X3561" s="10" t="s">
        <v>16549</v>
      </c>
      <c r="Y3561" s="10" t="s">
        <v>16549</v>
      </c>
      <c r="Z3561" s="10" t="s">
        <v>99</v>
      </c>
      <c r="AA3561" s="10" t="s">
        <v>131</v>
      </c>
      <c r="AB3561" s="10" t="s">
        <v>22226</v>
      </c>
      <c r="AC3561" s="10" t="s">
        <v>22227</v>
      </c>
      <c r="AD3561" s="10" t="s">
        <v>25004</v>
      </c>
      <c r="AE3561" s="10" t="s">
        <v>25005</v>
      </c>
      <c r="AF3561" s="15"/>
      <c r="AG3561" s="10"/>
      <c r="AH3561" s="10"/>
      <c r="AI3561" s="10"/>
      <c r="AJ3561" s="10"/>
      <c r="AK3561" s="10"/>
      <c r="AL3561" s="10"/>
      <c r="AM3561" s="10"/>
      <c r="AN3561" s="10"/>
      <c r="AO3561" s="13" t="b">
        <v>0</v>
      </c>
      <c r="AP3561" s="22" t="s">
        <v>135</v>
      </c>
      <c r="AQ3561" s="10"/>
      <c r="AR3561" s="17"/>
      <c r="AS3561" s="17"/>
      <c r="AT3561" s="17"/>
      <c r="AU3561" s="17"/>
      <c r="AV3561" s="17"/>
      <c r="AW3561" s="10"/>
      <c r="AX3561" s="17"/>
      <c r="AY3561" s="18" t="s">
        <v>257</v>
      </c>
      <c r="AZ3561" s="10"/>
      <c r="BA3561" s="20" t="b">
        <v>0</v>
      </c>
      <c r="BB3561" s="10"/>
      <c r="BC3561" s="17" t="s">
        <v>257</v>
      </c>
      <c r="BD3561" s="17" t="s">
        <v>257</v>
      </c>
      <c r="BE3561" s="17" t="s">
        <v>257</v>
      </c>
      <c r="BF3561" s="17" t="s">
        <v>257</v>
      </c>
      <c r="BG3561" s="11">
        <f ca="1">IFERROR(__xludf.DUMMYFUNCTION("""COMPUTED_VALUE"""),46054.7916666666)</f>
        <v>46054.791666666599</v>
      </c>
      <c r="BH3561" s="17"/>
      <c r="BI3561" s="17"/>
      <c r="BJ3561" s="15"/>
      <c r="BK3561" s="15"/>
      <c r="BL3561" s="13" t="b">
        <v>0</v>
      </c>
      <c r="BM3561" s="10"/>
      <c r="BN3561" s="10" t="s">
        <v>108</v>
      </c>
      <c r="BO3561" s="11">
        <v>46027.406944444447</v>
      </c>
      <c r="BP3561" s="11">
        <v>46027.407372685186</v>
      </c>
      <c r="BQ3561" s="15"/>
      <c r="BR3561" s="15"/>
      <c r="BS3561" s="10"/>
      <c r="BT3561" s="10" t="s">
        <v>99</v>
      </c>
      <c r="BU3561" s="10"/>
      <c r="BV3561" s="10"/>
      <c r="BW3561" s="10"/>
      <c r="BX3561" s="10"/>
      <c r="BY3561" s="23"/>
      <c r="BZ3561" s="23"/>
      <c r="CA3561" s="10"/>
      <c r="CB3561" s="23"/>
      <c r="CC3561" s="23"/>
      <c r="CD3561" s="23"/>
      <c r="CE3561" s="23"/>
      <c r="CF3561" s="23"/>
      <c r="CG3561" s="23"/>
      <c r="CH3561" s="23"/>
      <c r="CI3561" s="23"/>
    </row>
    <row r="3562" spans="1:87" x14ac:dyDescent="0.3">
      <c r="A3562" s="9" t="s">
        <v>25006</v>
      </c>
      <c r="B3562" s="10" t="s">
        <v>25007</v>
      </c>
      <c r="C3562" s="11">
        <v>46058.666666666664</v>
      </c>
      <c r="D3562" s="12">
        <v>0.10416666666666667</v>
      </c>
      <c r="E3562" s="11">
        <v>46058.770833333336</v>
      </c>
      <c r="F3562" s="22" t="s">
        <v>22219</v>
      </c>
      <c r="G3562" s="13" t="b">
        <v>0</v>
      </c>
      <c r="H3562" s="22" t="s">
        <v>22220</v>
      </c>
      <c r="I3562" s="10" t="s">
        <v>89</v>
      </c>
      <c r="J3562" s="13" t="b">
        <v>0</v>
      </c>
      <c r="K3562" s="13" t="b">
        <v>1</v>
      </c>
      <c r="L3562" s="10" t="s">
        <v>124</v>
      </c>
      <c r="M3562" s="10" t="s">
        <v>91</v>
      </c>
      <c r="N3562" s="10" t="s">
        <v>3513</v>
      </c>
      <c r="O3562" s="10"/>
      <c r="P3562" s="10" t="s">
        <v>575</v>
      </c>
      <c r="Q3562" s="10" t="s">
        <v>126</v>
      </c>
      <c r="R3562" s="10"/>
      <c r="S3562" s="10"/>
      <c r="T3562" s="10"/>
      <c r="U3562" s="10" t="s">
        <v>22373</v>
      </c>
      <c r="V3562" s="10" t="s">
        <v>22238</v>
      </c>
      <c r="W3562" s="10" t="s">
        <v>22225</v>
      </c>
      <c r="X3562" s="10" t="s">
        <v>16549</v>
      </c>
      <c r="Y3562" s="10" t="s">
        <v>16549</v>
      </c>
      <c r="Z3562" s="10" t="s">
        <v>99</v>
      </c>
      <c r="AA3562" s="10" t="s">
        <v>131</v>
      </c>
      <c r="AB3562" s="10" t="s">
        <v>22226</v>
      </c>
      <c r="AC3562" s="10" t="s">
        <v>22227</v>
      </c>
      <c r="AD3562" s="10" t="s">
        <v>25008</v>
      </c>
      <c r="AE3562" s="10" t="s">
        <v>25009</v>
      </c>
      <c r="AF3562" s="15"/>
      <c r="AG3562" s="10"/>
      <c r="AH3562" s="10"/>
      <c r="AI3562" s="10"/>
      <c r="AJ3562" s="10"/>
      <c r="AK3562" s="10"/>
      <c r="AL3562" s="10"/>
      <c r="AM3562" s="10"/>
      <c r="AN3562" s="10"/>
      <c r="AO3562" s="13" t="b">
        <v>1</v>
      </c>
      <c r="AP3562" s="22" t="s">
        <v>104</v>
      </c>
      <c r="AQ3562" s="10"/>
      <c r="AR3562" s="17"/>
      <c r="AS3562" s="17"/>
      <c r="AT3562" s="17"/>
      <c r="AU3562" s="17"/>
      <c r="AV3562" s="17"/>
      <c r="AW3562" s="10"/>
      <c r="AX3562" s="17"/>
      <c r="AY3562" s="18" t="s">
        <v>257</v>
      </c>
      <c r="AZ3562" s="10"/>
      <c r="BA3562" s="20" t="b">
        <v>0</v>
      </c>
      <c r="BB3562" s="10"/>
      <c r="BC3562" s="17" t="s">
        <v>257</v>
      </c>
      <c r="BD3562" s="17" t="s">
        <v>257</v>
      </c>
      <c r="BE3562" s="17" t="s">
        <v>257</v>
      </c>
      <c r="BF3562" s="17" t="s">
        <v>257</v>
      </c>
      <c r="BG3562" s="11">
        <f ca="1">IFERROR(__xludf.DUMMYFUNCTION("""COMPUTED_VALUE"""),46058.6666666666)</f>
        <v>46058.666666666599</v>
      </c>
      <c r="BH3562" s="17"/>
      <c r="BI3562" s="17"/>
      <c r="BJ3562" s="15"/>
      <c r="BK3562" s="15"/>
      <c r="BL3562" s="13" t="b">
        <v>0</v>
      </c>
      <c r="BM3562" s="10" t="s">
        <v>240</v>
      </c>
      <c r="BN3562" s="10" t="s">
        <v>2527</v>
      </c>
      <c r="BO3562" s="11">
        <v>46027.407638888886</v>
      </c>
      <c r="BP3562" s="11">
        <v>46030.432013888887</v>
      </c>
      <c r="BQ3562" s="15"/>
      <c r="BR3562" s="15"/>
      <c r="BS3562" s="10"/>
      <c r="BT3562" s="10" t="s">
        <v>99</v>
      </c>
      <c r="BU3562" s="10"/>
      <c r="BV3562" s="10"/>
      <c r="BW3562" s="10"/>
      <c r="BX3562" s="10"/>
      <c r="BY3562" s="23"/>
      <c r="BZ3562" s="23"/>
      <c r="CA3562" s="10"/>
      <c r="CB3562" s="23"/>
      <c r="CC3562" s="23"/>
      <c r="CD3562" s="23"/>
      <c r="CE3562" s="23"/>
      <c r="CF3562" s="23"/>
      <c r="CG3562" s="23"/>
      <c r="CH3562" s="23"/>
      <c r="CI3562" s="23"/>
    </row>
    <row r="3563" spans="1:87" x14ac:dyDescent="0.3">
      <c r="A3563" s="9" t="s">
        <v>25010</v>
      </c>
      <c r="B3563" s="10" t="s">
        <v>22338</v>
      </c>
      <c r="C3563" s="11">
        <v>46058.791666666664</v>
      </c>
      <c r="D3563" s="12">
        <v>0.10416666666666667</v>
      </c>
      <c r="E3563" s="11">
        <v>46058.895833333336</v>
      </c>
      <c r="F3563" s="22" t="s">
        <v>22219</v>
      </c>
      <c r="G3563" s="13" t="b">
        <v>0</v>
      </c>
      <c r="H3563" s="22" t="s">
        <v>22220</v>
      </c>
      <c r="I3563" s="10" t="s">
        <v>89</v>
      </c>
      <c r="J3563" s="13" t="b">
        <v>0</v>
      </c>
      <c r="K3563" s="13" t="b">
        <v>1</v>
      </c>
      <c r="L3563" s="10" t="s">
        <v>124</v>
      </c>
      <c r="M3563" s="10" t="s">
        <v>91</v>
      </c>
      <c r="N3563" s="10" t="s">
        <v>3513</v>
      </c>
      <c r="O3563" s="10"/>
      <c r="P3563" s="10" t="s">
        <v>575</v>
      </c>
      <c r="Q3563" s="10" t="s">
        <v>126</v>
      </c>
      <c r="R3563" s="10"/>
      <c r="S3563" s="10"/>
      <c r="T3563" s="10"/>
      <c r="U3563" s="10" t="s">
        <v>22341</v>
      </c>
      <c r="V3563" s="10" t="s">
        <v>22342</v>
      </c>
      <c r="W3563" s="10" t="s">
        <v>22225</v>
      </c>
      <c r="X3563" s="10" t="s">
        <v>16549</v>
      </c>
      <c r="Y3563" s="10" t="s">
        <v>16549</v>
      </c>
      <c r="Z3563" s="10" t="s">
        <v>99</v>
      </c>
      <c r="AA3563" s="10" t="s">
        <v>131</v>
      </c>
      <c r="AB3563" s="10" t="s">
        <v>22226</v>
      </c>
      <c r="AC3563" s="10" t="s">
        <v>22227</v>
      </c>
      <c r="AD3563" s="10" t="s">
        <v>22343</v>
      </c>
      <c r="AE3563" s="10" t="s">
        <v>22344</v>
      </c>
      <c r="AF3563" s="15"/>
      <c r="AG3563" s="10"/>
      <c r="AH3563" s="10"/>
      <c r="AI3563" s="10"/>
      <c r="AJ3563" s="10"/>
      <c r="AK3563" s="10"/>
      <c r="AL3563" s="10"/>
      <c r="AM3563" s="10"/>
      <c r="AN3563" s="10"/>
      <c r="AO3563" s="13" t="b">
        <v>0</v>
      </c>
      <c r="AP3563" s="22" t="s">
        <v>135</v>
      </c>
      <c r="AQ3563" s="10"/>
      <c r="AR3563" s="17"/>
      <c r="AS3563" s="17"/>
      <c r="AT3563" s="17"/>
      <c r="AU3563" s="17"/>
      <c r="AV3563" s="17"/>
      <c r="AW3563" s="10"/>
      <c r="AX3563" s="17"/>
      <c r="AY3563" s="18" t="s">
        <v>257</v>
      </c>
      <c r="AZ3563" s="10"/>
      <c r="BA3563" s="20" t="b">
        <v>0</v>
      </c>
      <c r="BB3563" s="10"/>
      <c r="BC3563" s="17" t="s">
        <v>257</v>
      </c>
      <c r="BD3563" s="17" t="s">
        <v>257</v>
      </c>
      <c r="BE3563" s="17" t="s">
        <v>257</v>
      </c>
      <c r="BF3563" s="17" t="s">
        <v>257</v>
      </c>
      <c r="BG3563" s="11">
        <f ca="1">IFERROR(__xludf.DUMMYFUNCTION("""COMPUTED_VALUE"""),46058.7916666666)</f>
        <v>46058.791666666599</v>
      </c>
      <c r="BH3563" s="17"/>
      <c r="BI3563" s="17"/>
      <c r="BJ3563" s="15"/>
      <c r="BK3563" s="15"/>
      <c r="BL3563" s="13" t="b">
        <v>0</v>
      </c>
      <c r="BM3563" s="10"/>
      <c r="BN3563" s="10" t="s">
        <v>108</v>
      </c>
      <c r="BO3563" s="11">
        <v>46027.40902777778</v>
      </c>
      <c r="BP3563" s="11">
        <v>46027.409062500003</v>
      </c>
      <c r="BQ3563" s="15"/>
      <c r="BR3563" s="15"/>
      <c r="BS3563" s="10"/>
      <c r="BT3563" s="10" t="s">
        <v>99</v>
      </c>
      <c r="BU3563" s="10"/>
      <c r="BV3563" s="10"/>
      <c r="BW3563" s="10"/>
      <c r="BX3563" s="10"/>
      <c r="BY3563" s="23"/>
      <c r="BZ3563" s="23"/>
      <c r="CA3563" s="10"/>
      <c r="CB3563" s="23"/>
      <c r="CC3563" s="23"/>
      <c r="CD3563" s="23"/>
      <c r="CE3563" s="23"/>
      <c r="CF3563" s="23"/>
      <c r="CG3563" s="23"/>
      <c r="CH3563" s="23"/>
      <c r="CI3563" s="23"/>
    </row>
    <row r="3564" spans="1:87" x14ac:dyDescent="0.3">
      <c r="A3564" s="9" t="s">
        <v>25011</v>
      </c>
      <c r="B3564" s="10" t="s">
        <v>25012</v>
      </c>
      <c r="C3564" s="11">
        <v>46059.666666666664</v>
      </c>
      <c r="D3564" s="12">
        <v>0.10416666666666667</v>
      </c>
      <c r="E3564" s="11">
        <v>46059.770833333336</v>
      </c>
      <c r="F3564" s="22" t="s">
        <v>22219</v>
      </c>
      <c r="G3564" s="13" t="b">
        <v>0</v>
      </c>
      <c r="H3564" s="22" t="s">
        <v>22220</v>
      </c>
      <c r="I3564" s="10" t="s">
        <v>89</v>
      </c>
      <c r="J3564" s="13" t="b">
        <v>0</v>
      </c>
      <c r="K3564" s="13" t="b">
        <v>1</v>
      </c>
      <c r="L3564" s="10" t="s">
        <v>124</v>
      </c>
      <c r="M3564" s="10" t="s">
        <v>91</v>
      </c>
      <c r="N3564" s="10" t="s">
        <v>3513</v>
      </c>
      <c r="O3564" s="10"/>
      <c r="P3564" s="10" t="s">
        <v>575</v>
      </c>
      <c r="Q3564" s="10" t="s">
        <v>126</v>
      </c>
      <c r="R3564" s="10"/>
      <c r="S3564" s="10"/>
      <c r="T3564" s="10"/>
      <c r="U3564" s="10" t="s">
        <v>22363</v>
      </c>
      <c r="V3564" s="10" t="s">
        <v>22223</v>
      </c>
      <c r="W3564" s="10" t="s">
        <v>22225</v>
      </c>
      <c r="X3564" s="10" t="s">
        <v>16549</v>
      </c>
      <c r="Y3564" s="10" t="s">
        <v>16549</v>
      </c>
      <c r="Z3564" s="10" t="s">
        <v>99</v>
      </c>
      <c r="AA3564" s="10" t="s">
        <v>131</v>
      </c>
      <c r="AB3564" s="10" t="s">
        <v>22226</v>
      </c>
      <c r="AC3564" s="10" t="s">
        <v>22227</v>
      </c>
      <c r="AD3564" s="10" t="s">
        <v>25013</v>
      </c>
      <c r="AE3564" s="10" t="s">
        <v>25014</v>
      </c>
      <c r="AF3564" s="15"/>
      <c r="AG3564" s="10"/>
      <c r="AH3564" s="10"/>
      <c r="AI3564" s="10"/>
      <c r="AJ3564" s="10"/>
      <c r="AK3564" s="10"/>
      <c r="AL3564" s="10"/>
      <c r="AM3564" s="10"/>
      <c r="AN3564" s="10"/>
      <c r="AO3564" s="13" t="b">
        <v>1</v>
      </c>
      <c r="AP3564" s="22" t="s">
        <v>135</v>
      </c>
      <c r="AQ3564" s="10"/>
      <c r="AR3564" s="17"/>
      <c r="AS3564" s="17"/>
      <c r="AT3564" s="17"/>
      <c r="AU3564" s="17"/>
      <c r="AV3564" s="17"/>
      <c r="AW3564" s="10"/>
      <c r="AX3564" s="17"/>
      <c r="AY3564" s="18" t="s">
        <v>257</v>
      </c>
      <c r="AZ3564" s="10"/>
      <c r="BA3564" s="20" t="b">
        <v>0</v>
      </c>
      <c r="BB3564" s="10"/>
      <c r="BC3564" s="17" t="s">
        <v>257</v>
      </c>
      <c r="BD3564" s="17" t="s">
        <v>257</v>
      </c>
      <c r="BE3564" s="17" t="s">
        <v>257</v>
      </c>
      <c r="BF3564" s="17" t="s">
        <v>257</v>
      </c>
      <c r="BG3564" s="11">
        <f ca="1">IFERROR(__xludf.DUMMYFUNCTION("""COMPUTED_VALUE"""),46059.6666666666)</f>
        <v>46059.666666666599</v>
      </c>
      <c r="BH3564" s="17"/>
      <c r="BI3564" s="17"/>
      <c r="BJ3564" s="15"/>
      <c r="BK3564" s="15"/>
      <c r="BL3564" s="13" t="b">
        <v>0</v>
      </c>
      <c r="BM3564" s="10"/>
      <c r="BN3564" s="10" t="s">
        <v>108</v>
      </c>
      <c r="BO3564" s="11">
        <v>46027.40902777778</v>
      </c>
      <c r="BP3564" s="11">
        <v>46027.409687500003</v>
      </c>
      <c r="BQ3564" s="15"/>
      <c r="BR3564" s="15"/>
      <c r="BS3564" s="10"/>
      <c r="BT3564" s="10" t="s">
        <v>99</v>
      </c>
      <c r="BU3564" s="10"/>
      <c r="BV3564" s="10"/>
      <c r="BW3564" s="10"/>
      <c r="BX3564" s="10"/>
      <c r="BY3564" s="23"/>
      <c r="BZ3564" s="23"/>
      <c r="CA3564" s="10"/>
      <c r="CB3564" s="23"/>
      <c r="CC3564" s="23"/>
      <c r="CD3564" s="23"/>
      <c r="CE3564" s="23"/>
      <c r="CF3564" s="23"/>
      <c r="CG3564" s="23"/>
      <c r="CH3564" s="23"/>
      <c r="CI3564" s="23"/>
    </row>
    <row r="3565" spans="1:87" x14ac:dyDescent="0.3">
      <c r="A3565" s="9" t="s">
        <v>25015</v>
      </c>
      <c r="B3565" s="10" t="s">
        <v>25016</v>
      </c>
      <c r="C3565" s="11">
        <v>46059.791666666664</v>
      </c>
      <c r="D3565" s="12">
        <v>0.10416666666666667</v>
      </c>
      <c r="E3565" s="11">
        <v>46059.895833333336</v>
      </c>
      <c r="F3565" s="22" t="s">
        <v>22219</v>
      </c>
      <c r="G3565" s="13" t="b">
        <v>0</v>
      </c>
      <c r="H3565" s="22" t="s">
        <v>22220</v>
      </c>
      <c r="I3565" s="10" t="s">
        <v>89</v>
      </c>
      <c r="J3565" s="13" t="b">
        <v>0</v>
      </c>
      <c r="K3565" s="13" t="b">
        <v>1</v>
      </c>
      <c r="L3565" s="10" t="s">
        <v>124</v>
      </c>
      <c r="M3565" s="10" t="s">
        <v>91</v>
      </c>
      <c r="N3565" s="10" t="s">
        <v>3513</v>
      </c>
      <c r="O3565" s="10"/>
      <c r="P3565" s="10" t="s">
        <v>575</v>
      </c>
      <c r="Q3565" s="10" t="s">
        <v>126</v>
      </c>
      <c r="R3565" s="10"/>
      <c r="S3565" s="10"/>
      <c r="T3565" s="10"/>
      <c r="U3565" s="10" t="s">
        <v>22353</v>
      </c>
      <c r="V3565" s="10" t="s">
        <v>22224</v>
      </c>
      <c r="W3565" s="10" t="s">
        <v>22225</v>
      </c>
      <c r="X3565" s="10" t="s">
        <v>16549</v>
      </c>
      <c r="Y3565" s="10" t="s">
        <v>16549</v>
      </c>
      <c r="Z3565" s="10" t="s">
        <v>99</v>
      </c>
      <c r="AA3565" s="10" t="s">
        <v>131</v>
      </c>
      <c r="AB3565" s="10" t="s">
        <v>22226</v>
      </c>
      <c r="AC3565" s="10" t="s">
        <v>22227</v>
      </c>
      <c r="AD3565" s="10" t="s">
        <v>25017</v>
      </c>
      <c r="AE3565" s="10" t="s">
        <v>25018</v>
      </c>
      <c r="AF3565" s="15"/>
      <c r="AG3565" s="10"/>
      <c r="AH3565" s="10"/>
      <c r="AI3565" s="10"/>
      <c r="AJ3565" s="10"/>
      <c r="AK3565" s="10"/>
      <c r="AL3565" s="10"/>
      <c r="AM3565" s="10"/>
      <c r="AN3565" s="10"/>
      <c r="AO3565" s="13" t="b">
        <v>0</v>
      </c>
      <c r="AP3565" s="22" t="s">
        <v>135</v>
      </c>
      <c r="AQ3565" s="10"/>
      <c r="AR3565" s="17"/>
      <c r="AS3565" s="17"/>
      <c r="AT3565" s="17"/>
      <c r="AU3565" s="17"/>
      <c r="AV3565" s="17"/>
      <c r="AW3565" s="10"/>
      <c r="AX3565" s="17"/>
      <c r="AY3565" s="18" t="s">
        <v>257</v>
      </c>
      <c r="AZ3565" s="10"/>
      <c r="BA3565" s="20" t="b">
        <v>0</v>
      </c>
      <c r="BB3565" s="10"/>
      <c r="BC3565" s="17" t="s">
        <v>257</v>
      </c>
      <c r="BD3565" s="17" t="s">
        <v>257</v>
      </c>
      <c r="BE3565" s="17" t="s">
        <v>257</v>
      </c>
      <c r="BF3565" s="17" t="s">
        <v>257</v>
      </c>
      <c r="BG3565" s="11">
        <f ca="1">IFERROR(__xludf.DUMMYFUNCTION("""COMPUTED_VALUE"""),46059.7916666666)</f>
        <v>46059.791666666599</v>
      </c>
      <c r="BH3565" s="17"/>
      <c r="BI3565" s="17"/>
      <c r="BJ3565" s="15"/>
      <c r="BK3565" s="15"/>
      <c r="BL3565" s="13" t="b">
        <v>0</v>
      </c>
      <c r="BM3565" s="10"/>
      <c r="BN3565" s="10" t="s">
        <v>108</v>
      </c>
      <c r="BO3565" s="11">
        <v>46027.409722222219</v>
      </c>
      <c r="BP3565" s="11">
        <v>46027.410439814812</v>
      </c>
      <c r="BQ3565" s="15"/>
      <c r="BR3565" s="15"/>
      <c r="BS3565" s="10"/>
      <c r="BT3565" s="10" t="s">
        <v>99</v>
      </c>
      <c r="BU3565" s="10"/>
      <c r="BV3565" s="10"/>
      <c r="BW3565" s="10"/>
      <c r="BX3565" s="10"/>
      <c r="BY3565" s="23"/>
      <c r="BZ3565" s="23"/>
      <c r="CA3565" s="10"/>
      <c r="CB3565" s="23"/>
      <c r="CC3565" s="23"/>
      <c r="CD3565" s="23"/>
      <c r="CE3565" s="23"/>
      <c r="CF3565" s="23"/>
      <c r="CG3565" s="23"/>
      <c r="CH3565" s="23"/>
      <c r="CI3565" s="23"/>
    </row>
    <row r="3566" spans="1:87" x14ac:dyDescent="0.3">
      <c r="A3566" s="9" t="s">
        <v>25019</v>
      </c>
      <c r="B3566" s="10" t="s">
        <v>25020</v>
      </c>
      <c r="C3566" s="11">
        <v>46060.666666666664</v>
      </c>
      <c r="D3566" s="12">
        <v>0.10416666666666667</v>
      </c>
      <c r="E3566" s="11">
        <v>46060.770833333336</v>
      </c>
      <c r="F3566" s="22" t="s">
        <v>22219</v>
      </c>
      <c r="G3566" s="13" t="b">
        <v>0</v>
      </c>
      <c r="H3566" s="22" t="s">
        <v>22220</v>
      </c>
      <c r="I3566" s="10" t="s">
        <v>89</v>
      </c>
      <c r="J3566" s="13" t="b">
        <v>0</v>
      </c>
      <c r="K3566" s="13" t="b">
        <v>1</v>
      </c>
      <c r="L3566" s="10" t="s">
        <v>124</v>
      </c>
      <c r="M3566" s="10" t="s">
        <v>91</v>
      </c>
      <c r="N3566" s="10" t="s">
        <v>3513</v>
      </c>
      <c r="O3566" s="10"/>
      <c r="P3566" s="10" t="s">
        <v>575</v>
      </c>
      <c r="Q3566" s="10" t="s">
        <v>126</v>
      </c>
      <c r="R3566" s="10"/>
      <c r="S3566" s="10"/>
      <c r="T3566" s="10"/>
      <c r="U3566" s="10" t="s">
        <v>22342</v>
      </c>
      <c r="V3566" s="10" t="s">
        <v>22352</v>
      </c>
      <c r="W3566" s="10" t="s">
        <v>22225</v>
      </c>
      <c r="X3566" s="10" t="s">
        <v>16549</v>
      </c>
      <c r="Y3566" s="10" t="s">
        <v>16549</v>
      </c>
      <c r="Z3566" s="10" t="s">
        <v>99</v>
      </c>
      <c r="AA3566" s="10" t="s">
        <v>131</v>
      </c>
      <c r="AB3566" s="10" t="s">
        <v>22226</v>
      </c>
      <c r="AC3566" s="10" t="s">
        <v>22227</v>
      </c>
      <c r="AD3566" s="10" t="s">
        <v>25021</v>
      </c>
      <c r="AE3566" s="10" t="s">
        <v>25022</v>
      </c>
      <c r="AF3566" s="15"/>
      <c r="AG3566" s="10"/>
      <c r="AH3566" s="10"/>
      <c r="AI3566" s="10"/>
      <c r="AJ3566" s="10"/>
      <c r="AK3566" s="10"/>
      <c r="AL3566" s="10"/>
      <c r="AM3566" s="10"/>
      <c r="AN3566" s="10"/>
      <c r="AO3566" s="13" t="b">
        <v>0</v>
      </c>
      <c r="AP3566" s="22" t="s">
        <v>135</v>
      </c>
      <c r="AQ3566" s="10"/>
      <c r="AR3566" s="17"/>
      <c r="AS3566" s="17"/>
      <c r="AT3566" s="17"/>
      <c r="AU3566" s="17"/>
      <c r="AV3566" s="17"/>
      <c r="AW3566" s="10"/>
      <c r="AX3566" s="17"/>
      <c r="AY3566" s="18" t="s">
        <v>257</v>
      </c>
      <c r="AZ3566" s="10"/>
      <c r="BA3566" s="20" t="b">
        <v>0</v>
      </c>
      <c r="BB3566" s="10"/>
      <c r="BC3566" s="17" t="s">
        <v>257</v>
      </c>
      <c r="BD3566" s="17" t="s">
        <v>257</v>
      </c>
      <c r="BE3566" s="17" t="s">
        <v>257</v>
      </c>
      <c r="BF3566" s="17" t="s">
        <v>257</v>
      </c>
      <c r="BG3566" s="11">
        <f ca="1">IFERROR(__xludf.DUMMYFUNCTION("""COMPUTED_VALUE"""),46060.6666666666)</f>
        <v>46060.666666666599</v>
      </c>
      <c r="BH3566" s="17"/>
      <c r="BI3566" s="17"/>
      <c r="BJ3566" s="15"/>
      <c r="BK3566" s="15"/>
      <c r="BL3566" s="13" t="b">
        <v>0</v>
      </c>
      <c r="BM3566" s="10"/>
      <c r="BN3566" s="10" t="s">
        <v>108</v>
      </c>
      <c r="BO3566" s="11">
        <v>46027.410416666666</v>
      </c>
      <c r="BP3566" s="11">
        <v>46027.411041666666</v>
      </c>
      <c r="BQ3566" s="15"/>
      <c r="BR3566" s="15"/>
      <c r="BS3566" s="10"/>
      <c r="BT3566" s="10" t="s">
        <v>99</v>
      </c>
      <c r="BU3566" s="10"/>
      <c r="BV3566" s="10"/>
      <c r="BW3566" s="10"/>
      <c r="BX3566" s="10"/>
      <c r="BY3566" s="23"/>
      <c r="BZ3566" s="23"/>
      <c r="CA3566" s="10"/>
      <c r="CB3566" s="23"/>
      <c r="CC3566" s="23"/>
      <c r="CD3566" s="23"/>
      <c r="CE3566" s="23"/>
      <c r="CF3566" s="23"/>
      <c r="CG3566" s="23"/>
      <c r="CH3566" s="23"/>
      <c r="CI3566" s="23"/>
    </row>
    <row r="3567" spans="1:87" x14ac:dyDescent="0.3">
      <c r="A3567" s="9" t="s">
        <v>25023</v>
      </c>
      <c r="B3567" s="10" t="s">
        <v>22235</v>
      </c>
      <c r="C3567" s="11">
        <v>46060.791666666664</v>
      </c>
      <c r="D3567" s="12">
        <v>0.10416666666666667</v>
      </c>
      <c r="E3567" s="11">
        <v>46060.895833333336</v>
      </c>
      <c r="F3567" s="22" t="s">
        <v>22219</v>
      </c>
      <c r="G3567" s="13" t="b">
        <v>0</v>
      </c>
      <c r="H3567" s="22" t="s">
        <v>22220</v>
      </c>
      <c r="I3567" s="10" t="s">
        <v>89</v>
      </c>
      <c r="J3567" s="13" t="b">
        <v>0</v>
      </c>
      <c r="K3567" s="13" t="b">
        <v>1</v>
      </c>
      <c r="L3567" s="10" t="s">
        <v>124</v>
      </c>
      <c r="M3567" s="10" t="s">
        <v>91</v>
      </c>
      <c r="N3567" s="10" t="s">
        <v>3513</v>
      </c>
      <c r="O3567" s="10"/>
      <c r="P3567" s="10" t="s">
        <v>575</v>
      </c>
      <c r="Q3567" s="10" t="s">
        <v>126</v>
      </c>
      <c r="R3567" s="10"/>
      <c r="S3567" s="10"/>
      <c r="T3567" s="10"/>
      <c r="U3567" s="10" t="s">
        <v>22238</v>
      </c>
      <c r="V3567" s="10" t="s">
        <v>22239</v>
      </c>
      <c r="W3567" s="10" t="s">
        <v>22225</v>
      </c>
      <c r="X3567" s="10" t="s">
        <v>16549</v>
      </c>
      <c r="Y3567" s="10" t="s">
        <v>16549</v>
      </c>
      <c r="Z3567" s="10" t="s">
        <v>99</v>
      </c>
      <c r="AA3567" s="10" t="s">
        <v>131</v>
      </c>
      <c r="AB3567" s="10" t="s">
        <v>22226</v>
      </c>
      <c r="AC3567" s="10" t="s">
        <v>22227</v>
      </c>
      <c r="AD3567" s="10" t="s">
        <v>22240</v>
      </c>
      <c r="AE3567" s="10" t="s">
        <v>22241</v>
      </c>
      <c r="AF3567" s="15"/>
      <c r="AG3567" s="10"/>
      <c r="AH3567" s="10"/>
      <c r="AI3567" s="10"/>
      <c r="AJ3567" s="10"/>
      <c r="AK3567" s="10"/>
      <c r="AL3567" s="10"/>
      <c r="AM3567" s="10"/>
      <c r="AN3567" s="10"/>
      <c r="AO3567" s="13" t="b">
        <v>0</v>
      </c>
      <c r="AP3567" s="22" t="s">
        <v>104</v>
      </c>
      <c r="AQ3567" s="10"/>
      <c r="AR3567" s="17"/>
      <c r="AS3567" s="17"/>
      <c r="AT3567" s="17"/>
      <c r="AU3567" s="17"/>
      <c r="AV3567" s="17"/>
      <c r="AW3567" s="10"/>
      <c r="AX3567" s="17"/>
      <c r="AY3567" s="18" t="s">
        <v>257</v>
      </c>
      <c r="AZ3567" s="10"/>
      <c r="BA3567" s="20" t="b">
        <v>0</v>
      </c>
      <c r="BB3567" s="10"/>
      <c r="BC3567" s="17" t="s">
        <v>257</v>
      </c>
      <c r="BD3567" s="17" t="s">
        <v>257</v>
      </c>
      <c r="BE3567" s="17" t="s">
        <v>257</v>
      </c>
      <c r="BF3567" s="17" t="s">
        <v>257</v>
      </c>
      <c r="BG3567" s="11">
        <f ca="1">IFERROR(__xludf.DUMMYFUNCTION("""COMPUTED_VALUE"""),46060.7916666666)</f>
        <v>46060.791666666599</v>
      </c>
      <c r="BH3567" s="17"/>
      <c r="BI3567" s="17"/>
      <c r="BJ3567" s="15"/>
      <c r="BK3567" s="15"/>
      <c r="BL3567" s="13" t="b">
        <v>0</v>
      </c>
      <c r="BM3567" s="10"/>
      <c r="BN3567" s="10" t="s">
        <v>108</v>
      </c>
      <c r="BO3567" s="11">
        <v>46027.411111111112</v>
      </c>
      <c r="BP3567" s="11">
        <v>46027.411724537036</v>
      </c>
      <c r="BQ3567" s="15"/>
      <c r="BR3567" s="15"/>
      <c r="BS3567" s="10"/>
      <c r="BT3567" s="10" t="s">
        <v>99</v>
      </c>
      <c r="BU3567" s="10"/>
      <c r="BV3567" s="10"/>
      <c r="BW3567" s="10"/>
      <c r="BX3567" s="10"/>
      <c r="BY3567" s="23"/>
      <c r="BZ3567" s="23"/>
      <c r="CA3567" s="10"/>
      <c r="CB3567" s="23"/>
      <c r="CC3567" s="23"/>
      <c r="CD3567" s="23"/>
      <c r="CE3567" s="23"/>
      <c r="CF3567" s="23"/>
      <c r="CG3567" s="23"/>
      <c r="CH3567" s="23"/>
      <c r="CI3567" s="23"/>
    </row>
    <row r="3568" spans="1:87" x14ac:dyDescent="0.3">
      <c r="A3568" s="9" t="s">
        <v>25024</v>
      </c>
      <c r="B3568" s="10" t="s">
        <v>24975</v>
      </c>
      <c r="C3568" s="11">
        <v>46061.541666666664</v>
      </c>
      <c r="D3568" s="12">
        <v>0.10416666666666667</v>
      </c>
      <c r="E3568" s="11">
        <v>46061.645833333336</v>
      </c>
      <c r="F3568" s="22" t="s">
        <v>22219</v>
      </c>
      <c r="G3568" s="13" t="b">
        <v>0</v>
      </c>
      <c r="H3568" s="22" t="s">
        <v>22220</v>
      </c>
      <c r="I3568" s="10" t="s">
        <v>89</v>
      </c>
      <c r="J3568" s="13" t="b">
        <v>0</v>
      </c>
      <c r="K3568" s="13" t="b">
        <v>1</v>
      </c>
      <c r="L3568" s="10" t="s">
        <v>124</v>
      </c>
      <c r="M3568" s="10" t="s">
        <v>91</v>
      </c>
      <c r="N3568" s="10" t="s">
        <v>3513</v>
      </c>
      <c r="O3568" s="10"/>
      <c r="P3568" s="10" t="s">
        <v>575</v>
      </c>
      <c r="Q3568" s="10" t="s">
        <v>126</v>
      </c>
      <c r="R3568" s="10"/>
      <c r="S3568" s="10"/>
      <c r="T3568" s="10"/>
      <c r="U3568" s="10" t="s">
        <v>22363</v>
      </c>
      <c r="V3568" s="10" t="s">
        <v>22353</v>
      </c>
      <c r="W3568" s="10" t="s">
        <v>22225</v>
      </c>
      <c r="X3568" s="10" t="s">
        <v>16549</v>
      </c>
      <c r="Y3568" s="10" t="s">
        <v>16549</v>
      </c>
      <c r="Z3568" s="10" t="s">
        <v>99</v>
      </c>
      <c r="AA3568" s="10" t="s">
        <v>131</v>
      </c>
      <c r="AB3568" s="10" t="s">
        <v>22226</v>
      </c>
      <c r="AC3568" s="10" t="s">
        <v>22227</v>
      </c>
      <c r="AD3568" s="10" t="s">
        <v>24976</v>
      </c>
      <c r="AE3568" s="10" t="s">
        <v>24977</v>
      </c>
      <c r="AF3568" s="15"/>
      <c r="AG3568" s="10"/>
      <c r="AH3568" s="10"/>
      <c r="AI3568" s="10"/>
      <c r="AJ3568" s="10"/>
      <c r="AK3568" s="10"/>
      <c r="AL3568" s="10"/>
      <c r="AM3568" s="10"/>
      <c r="AN3568" s="10"/>
      <c r="AO3568" s="13" t="b">
        <v>0</v>
      </c>
      <c r="AP3568" s="22" t="s">
        <v>135</v>
      </c>
      <c r="AQ3568" s="10"/>
      <c r="AR3568" s="17"/>
      <c r="AS3568" s="17"/>
      <c r="AT3568" s="17"/>
      <c r="AU3568" s="17"/>
      <c r="AV3568" s="17"/>
      <c r="AW3568" s="10"/>
      <c r="AX3568" s="17"/>
      <c r="AY3568" s="18" t="s">
        <v>257</v>
      </c>
      <c r="AZ3568" s="10"/>
      <c r="BA3568" s="20" t="b">
        <v>0</v>
      </c>
      <c r="BB3568" s="10"/>
      <c r="BC3568" s="17" t="s">
        <v>257</v>
      </c>
      <c r="BD3568" s="17" t="s">
        <v>257</v>
      </c>
      <c r="BE3568" s="17" t="s">
        <v>257</v>
      </c>
      <c r="BF3568" s="17" t="s">
        <v>257</v>
      </c>
      <c r="BG3568" s="11">
        <f ca="1">IFERROR(__xludf.DUMMYFUNCTION("""COMPUTED_VALUE"""),46061.5416666666)</f>
        <v>46061.541666666599</v>
      </c>
      <c r="BH3568" s="17"/>
      <c r="BI3568" s="17"/>
      <c r="BJ3568" s="15"/>
      <c r="BK3568" s="15"/>
      <c r="BL3568" s="13" t="b">
        <v>0</v>
      </c>
      <c r="BM3568" s="10"/>
      <c r="BN3568" s="10" t="s">
        <v>108</v>
      </c>
      <c r="BO3568" s="11">
        <v>46027.411805555559</v>
      </c>
      <c r="BP3568" s="11">
        <v>46027.41238425926</v>
      </c>
      <c r="BQ3568" s="15"/>
      <c r="BR3568" s="15"/>
      <c r="BS3568" s="10"/>
      <c r="BT3568" s="10" t="s">
        <v>99</v>
      </c>
      <c r="BU3568" s="10"/>
      <c r="BV3568" s="10"/>
      <c r="BW3568" s="10"/>
      <c r="BX3568" s="10"/>
      <c r="BY3568" s="23"/>
      <c r="BZ3568" s="23"/>
      <c r="CA3568" s="10"/>
      <c r="CB3568" s="23"/>
      <c r="CC3568" s="23"/>
      <c r="CD3568" s="23"/>
      <c r="CE3568" s="23"/>
      <c r="CF3568" s="23"/>
      <c r="CG3568" s="23"/>
      <c r="CH3568" s="23"/>
      <c r="CI3568" s="23"/>
    </row>
    <row r="3569" spans="1:87" x14ac:dyDescent="0.3">
      <c r="A3569" s="25" t="s">
        <v>25025</v>
      </c>
      <c r="B3569" s="10" t="s">
        <v>22370</v>
      </c>
      <c r="C3569" s="11">
        <v>46061.666666666664</v>
      </c>
      <c r="D3569" s="12">
        <v>0.10416666666666667</v>
      </c>
      <c r="E3569" s="11">
        <v>46061.770833333336</v>
      </c>
      <c r="F3569" s="22" t="s">
        <v>22219</v>
      </c>
      <c r="G3569" s="13" t="b">
        <v>0</v>
      </c>
      <c r="H3569" s="22" t="s">
        <v>22220</v>
      </c>
      <c r="I3569" s="10" t="s">
        <v>89</v>
      </c>
      <c r="J3569" s="13" t="b">
        <v>0</v>
      </c>
      <c r="K3569" s="13" t="b">
        <v>1</v>
      </c>
      <c r="L3569" s="10" t="s">
        <v>124</v>
      </c>
      <c r="M3569" s="10" t="s">
        <v>91</v>
      </c>
      <c r="N3569" s="10" t="s">
        <v>3513</v>
      </c>
      <c r="O3569" s="10"/>
      <c r="P3569" s="10" t="s">
        <v>575</v>
      </c>
      <c r="Q3569" s="10" t="s">
        <v>126</v>
      </c>
      <c r="R3569" s="10"/>
      <c r="S3569" s="10"/>
      <c r="T3569" s="10"/>
      <c r="U3569" s="10" t="s">
        <v>22373</v>
      </c>
      <c r="V3569" s="10" t="s">
        <v>22374</v>
      </c>
      <c r="W3569" s="10" t="s">
        <v>22225</v>
      </c>
      <c r="X3569" s="10" t="s">
        <v>16549</v>
      </c>
      <c r="Y3569" s="10" t="s">
        <v>16549</v>
      </c>
      <c r="Z3569" s="10" t="s">
        <v>99</v>
      </c>
      <c r="AA3569" s="10" t="s">
        <v>131</v>
      </c>
      <c r="AB3569" s="10" t="s">
        <v>22226</v>
      </c>
      <c r="AC3569" s="10" t="s">
        <v>22227</v>
      </c>
      <c r="AD3569" s="10" t="s">
        <v>22375</v>
      </c>
      <c r="AE3569" s="10" t="s">
        <v>22376</v>
      </c>
      <c r="AF3569" s="15"/>
      <c r="AG3569" s="10"/>
      <c r="AH3569" s="10"/>
      <c r="AI3569" s="10"/>
      <c r="AJ3569" s="10"/>
      <c r="AK3569" s="10"/>
      <c r="AL3569" s="10"/>
      <c r="AM3569" s="10"/>
      <c r="AN3569" s="10"/>
      <c r="AO3569" s="13" t="b">
        <v>0</v>
      </c>
      <c r="AP3569" s="22" t="s">
        <v>104</v>
      </c>
      <c r="AQ3569" s="10"/>
      <c r="AR3569" s="17"/>
      <c r="AS3569" s="17"/>
      <c r="AT3569" s="17"/>
      <c r="AU3569" s="17"/>
      <c r="AV3569" s="17"/>
      <c r="AW3569" s="10"/>
      <c r="AX3569" s="17"/>
      <c r="AY3569" s="18" t="s">
        <v>257</v>
      </c>
      <c r="AZ3569" s="10"/>
      <c r="BA3569" s="20" t="b">
        <v>0</v>
      </c>
      <c r="BB3569" s="10"/>
      <c r="BC3569" s="17" t="s">
        <v>257</v>
      </c>
      <c r="BD3569" s="17" t="s">
        <v>257</v>
      </c>
      <c r="BE3569" s="17" t="s">
        <v>257</v>
      </c>
      <c r="BF3569" s="17" t="s">
        <v>257</v>
      </c>
      <c r="BG3569" s="11">
        <f ca="1">IFERROR(__xludf.DUMMYFUNCTION("""COMPUTED_VALUE"""),46061.6666666666)</f>
        <v>46061.666666666599</v>
      </c>
      <c r="BH3569" s="17"/>
      <c r="BI3569" s="17"/>
      <c r="BJ3569" s="15"/>
      <c r="BK3569" s="15"/>
      <c r="BL3569" s="13" t="b">
        <v>0</v>
      </c>
      <c r="BM3569" s="10" t="s">
        <v>240</v>
      </c>
      <c r="BN3569" s="10" t="s">
        <v>2527</v>
      </c>
      <c r="BO3569" s="11">
        <v>46027.412499999999</v>
      </c>
      <c r="BP3569" s="11">
        <v>46030.432175925926</v>
      </c>
      <c r="BQ3569" s="15"/>
      <c r="BR3569" s="15"/>
      <c r="BS3569" s="10"/>
      <c r="BT3569" s="10" t="s">
        <v>99</v>
      </c>
      <c r="BU3569" s="10"/>
      <c r="BV3569" s="10"/>
      <c r="BW3569" s="10"/>
      <c r="BX3569" s="10"/>
      <c r="BY3569" s="23"/>
      <c r="BZ3569" s="23"/>
      <c r="CA3569" s="10"/>
      <c r="CB3569" s="23"/>
      <c r="CC3569" s="23"/>
      <c r="CD3569" s="23"/>
      <c r="CE3569" s="23"/>
      <c r="CF3569" s="23"/>
      <c r="CG3569" s="23"/>
      <c r="CH3569" s="23"/>
      <c r="CI3569" s="23"/>
    </row>
    <row r="3570" spans="1:87" x14ac:dyDescent="0.3">
      <c r="A3570" s="9" t="s">
        <v>25026</v>
      </c>
      <c r="B3570" s="10" t="s">
        <v>25027</v>
      </c>
      <c r="C3570" s="11">
        <v>46061.791666666664</v>
      </c>
      <c r="D3570" s="12">
        <v>0.10416666666666667</v>
      </c>
      <c r="E3570" s="11">
        <v>46061.895833333336</v>
      </c>
      <c r="F3570" s="22" t="s">
        <v>22219</v>
      </c>
      <c r="G3570" s="13" t="b">
        <v>0</v>
      </c>
      <c r="H3570" s="22" t="s">
        <v>22220</v>
      </c>
      <c r="I3570" s="10" t="s">
        <v>89</v>
      </c>
      <c r="J3570" s="13" t="b">
        <v>0</v>
      </c>
      <c r="K3570" s="13" t="b">
        <v>1</v>
      </c>
      <c r="L3570" s="10" t="s">
        <v>124</v>
      </c>
      <c r="M3570" s="10" t="s">
        <v>91</v>
      </c>
      <c r="N3570" s="10" t="s">
        <v>3513</v>
      </c>
      <c r="O3570" s="10"/>
      <c r="P3570" s="10" t="s">
        <v>575</v>
      </c>
      <c r="Q3570" s="10" t="s">
        <v>126</v>
      </c>
      <c r="R3570" s="10"/>
      <c r="S3570" s="10"/>
      <c r="T3570" s="10"/>
      <c r="U3570" s="10" t="s">
        <v>22341</v>
      </c>
      <c r="V3570" s="10" t="s">
        <v>22224</v>
      </c>
      <c r="W3570" s="10" t="s">
        <v>22225</v>
      </c>
      <c r="X3570" s="10" t="s">
        <v>16549</v>
      </c>
      <c r="Y3570" s="10" t="s">
        <v>16549</v>
      </c>
      <c r="Z3570" s="10" t="s">
        <v>99</v>
      </c>
      <c r="AA3570" s="10" t="s">
        <v>131</v>
      </c>
      <c r="AB3570" s="10" t="s">
        <v>22226</v>
      </c>
      <c r="AC3570" s="10" t="s">
        <v>22227</v>
      </c>
      <c r="AD3570" s="10" t="s">
        <v>25028</v>
      </c>
      <c r="AE3570" s="10" t="s">
        <v>25029</v>
      </c>
      <c r="AF3570" s="15"/>
      <c r="AG3570" s="10"/>
      <c r="AH3570" s="10"/>
      <c r="AI3570" s="10"/>
      <c r="AJ3570" s="10"/>
      <c r="AK3570" s="10"/>
      <c r="AL3570" s="10"/>
      <c r="AM3570" s="10"/>
      <c r="AN3570" s="10"/>
      <c r="AO3570" s="13" t="b">
        <v>0</v>
      </c>
      <c r="AP3570" s="22" t="s">
        <v>135</v>
      </c>
      <c r="AQ3570" s="10"/>
      <c r="AR3570" s="17"/>
      <c r="AS3570" s="17"/>
      <c r="AT3570" s="17"/>
      <c r="AU3570" s="17"/>
      <c r="AV3570" s="17"/>
      <c r="AW3570" s="10"/>
      <c r="AX3570" s="17"/>
      <c r="AY3570" s="18" t="s">
        <v>257</v>
      </c>
      <c r="AZ3570" s="10"/>
      <c r="BA3570" s="20" t="b">
        <v>0</v>
      </c>
      <c r="BB3570" s="10"/>
      <c r="BC3570" s="17" t="s">
        <v>257</v>
      </c>
      <c r="BD3570" s="17" t="s">
        <v>257</v>
      </c>
      <c r="BE3570" s="17" t="s">
        <v>257</v>
      </c>
      <c r="BF3570" s="17" t="s">
        <v>257</v>
      </c>
      <c r="BG3570" s="11">
        <f ca="1">IFERROR(__xludf.DUMMYFUNCTION("""COMPUTED_VALUE"""),46061.7916666666)</f>
        <v>46061.791666666599</v>
      </c>
      <c r="BH3570" s="17"/>
      <c r="BI3570" s="17"/>
      <c r="BJ3570" s="15"/>
      <c r="BK3570" s="15"/>
      <c r="BL3570" s="13" t="b">
        <v>0</v>
      </c>
      <c r="BM3570" s="10"/>
      <c r="BN3570" s="10" t="s">
        <v>108</v>
      </c>
      <c r="BO3570" s="11">
        <v>46027.413194444445</v>
      </c>
      <c r="BP3570" s="11">
        <v>46027.413449074076</v>
      </c>
      <c r="BQ3570" s="15"/>
      <c r="BR3570" s="15"/>
      <c r="BS3570" s="10"/>
      <c r="BT3570" s="10" t="s">
        <v>99</v>
      </c>
      <c r="BU3570" s="10"/>
      <c r="BV3570" s="10"/>
      <c r="BW3570" s="10"/>
      <c r="BX3570" s="10"/>
      <c r="BY3570" s="23"/>
      <c r="BZ3570" s="23"/>
      <c r="CA3570" s="10"/>
      <c r="CB3570" s="23"/>
      <c r="CC3570" s="23"/>
      <c r="CD3570" s="23"/>
      <c r="CE3570" s="23"/>
      <c r="CF3570" s="23"/>
      <c r="CG3570" s="23"/>
      <c r="CH3570" s="23"/>
      <c r="CI3570" s="23"/>
    </row>
    <row r="3571" spans="1:87" x14ac:dyDescent="0.3">
      <c r="A3571" s="9" t="s">
        <v>25030</v>
      </c>
      <c r="B3571" s="10" t="s">
        <v>25031</v>
      </c>
      <c r="C3571" s="11">
        <v>46033.1875</v>
      </c>
      <c r="D3571" s="12">
        <v>0.14583333333333334</v>
      </c>
      <c r="E3571" s="11">
        <v>46033.333333333336</v>
      </c>
      <c r="F3571" s="22" t="s">
        <v>15270</v>
      </c>
      <c r="G3571" s="13" t="b">
        <v>0</v>
      </c>
      <c r="H3571" s="22" t="s">
        <v>15271</v>
      </c>
      <c r="I3571" s="10" t="s">
        <v>3213</v>
      </c>
      <c r="J3571" s="13" t="b">
        <v>0</v>
      </c>
      <c r="K3571" s="13" t="b">
        <v>1</v>
      </c>
      <c r="L3571" s="10" t="s">
        <v>124</v>
      </c>
      <c r="M3571" s="10" t="s">
        <v>91</v>
      </c>
      <c r="N3571" s="10" t="s">
        <v>92</v>
      </c>
      <c r="O3571" s="19" t="s">
        <v>25032</v>
      </c>
      <c r="P3571" s="10" t="s">
        <v>88</v>
      </c>
      <c r="Q3571" s="10" t="s">
        <v>126</v>
      </c>
      <c r="R3571" s="10"/>
      <c r="S3571" s="19" t="s">
        <v>25033</v>
      </c>
      <c r="T3571" s="19" t="s">
        <v>25034</v>
      </c>
      <c r="U3571" s="10" t="s">
        <v>19855</v>
      </c>
      <c r="V3571" s="10" t="s">
        <v>15519</v>
      </c>
      <c r="W3571" s="10" t="s">
        <v>15276</v>
      </c>
      <c r="X3571" s="10" t="s">
        <v>15277</v>
      </c>
      <c r="Y3571" s="10" t="s">
        <v>15277</v>
      </c>
      <c r="Z3571" s="10" t="s">
        <v>99</v>
      </c>
      <c r="AA3571" s="10" t="s">
        <v>131</v>
      </c>
      <c r="AB3571" s="10" t="s">
        <v>15278</v>
      </c>
      <c r="AC3571" s="10" t="s">
        <v>15279</v>
      </c>
      <c r="AD3571" s="10" t="s">
        <v>165</v>
      </c>
      <c r="AE3571" s="10" t="s">
        <v>25035</v>
      </c>
      <c r="AF3571" s="15"/>
      <c r="AG3571" s="10"/>
      <c r="AH3571" s="10"/>
      <c r="AI3571" s="10"/>
      <c r="AJ3571" s="10"/>
      <c r="AK3571" s="10" t="s">
        <v>102</v>
      </c>
      <c r="AL3571" s="10" t="s">
        <v>2201</v>
      </c>
      <c r="AM3571" s="10"/>
      <c r="AN3571" s="10"/>
      <c r="AO3571" s="13" t="b">
        <v>0</v>
      </c>
      <c r="AP3571" s="22" t="s">
        <v>104</v>
      </c>
      <c r="AQ3571" s="10">
        <f ca="1">IFERROR(__xludf.DUMMYFUNCTION("""COMPUTED_VALUE"""),4834226)</f>
        <v>4834226</v>
      </c>
      <c r="AR3571" s="17"/>
      <c r="AS3571" s="17"/>
      <c r="AT3571" s="17"/>
      <c r="AU3571" s="17"/>
      <c r="AV3571" s="17"/>
      <c r="AW3571" s="10"/>
      <c r="AX3571" s="17"/>
      <c r="AY3571" s="18" t="s">
        <v>257</v>
      </c>
      <c r="AZ3571" s="10"/>
      <c r="BA3571" s="20" t="b">
        <v>0</v>
      </c>
      <c r="BB3571" s="10"/>
      <c r="BC3571" s="17" t="s">
        <v>257</v>
      </c>
      <c r="BD3571" s="17" t="s">
        <v>257</v>
      </c>
      <c r="BE3571" s="17" t="s">
        <v>257</v>
      </c>
      <c r="BF3571" s="17" t="s">
        <v>257</v>
      </c>
      <c r="BG3571" s="11">
        <f ca="1">IFERROR(__xludf.DUMMYFUNCTION("""COMPUTED_VALUE"""),46033.1875)</f>
        <v>46033.1875</v>
      </c>
      <c r="BH3571" s="17"/>
      <c r="BI3571" s="17"/>
      <c r="BJ3571" s="15"/>
      <c r="BK3571" s="15"/>
      <c r="BL3571" s="13" t="b">
        <v>0</v>
      </c>
      <c r="BM3571" s="10"/>
      <c r="BN3571" s="10" t="s">
        <v>8529</v>
      </c>
      <c r="BO3571" s="11">
        <v>46027.54791666667</v>
      </c>
      <c r="BP3571" s="11">
        <v>46027.548587962963</v>
      </c>
      <c r="BQ3571" s="15">
        <v>46030.731064814812</v>
      </c>
      <c r="BR3571" s="15">
        <v>46031.662615740737</v>
      </c>
      <c r="BS3571" s="10"/>
      <c r="BT3571" s="10"/>
      <c r="BU3571" s="10"/>
      <c r="BV3571" s="10"/>
      <c r="BW3571" s="10"/>
      <c r="BX3571" s="10"/>
      <c r="BY3571" s="23"/>
      <c r="BZ3571" s="23"/>
      <c r="CA3571" s="19" t="s">
        <v>25036</v>
      </c>
      <c r="CB3571" s="19" t="s">
        <v>25037</v>
      </c>
      <c r="CC3571" s="23"/>
      <c r="CD3571" s="19" t="s">
        <v>25038</v>
      </c>
      <c r="CE3571" s="23"/>
      <c r="CF3571" s="23"/>
      <c r="CG3571" s="23"/>
      <c r="CH3571" s="23"/>
      <c r="CI3571" s="23"/>
    </row>
    <row r="3572" spans="1:87" x14ac:dyDescent="0.3">
      <c r="A3572" s="9" t="s">
        <v>25039</v>
      </c>
      <c r="B3572" s="10" t="s">
        <v>25040</v>
      </c>
      <c r="C3572" s="11">
        <v>46033.333333333336</v>
      </c>
      <c r="D3572" s="12">
        <v>0.14583333333333334</v>
      </c>
      <c r="E3572" s="11">
        <v>46033.479166666664</v>
      </c>
      <c r="F3572" s="22" t="s">
        <v>15270</v>
      </c>
      <c r="G3572" s="13" t="b">
        <v>0</v>
      </c>
      <c r="H3572" s="22" t="s">
        <v>15271</v>
      </c>
      <c r="I3572" s="10" t="s">
        <v>3213</v>
      </c>
      <c r="J3572" s="13" t="b">
        <v>0</v>
      </c>
      <c r="K3572" s="13" t="b">
        <v>1</v>
      </c>
      <c r="L3572" s="10" t="s">
        <v>124</v>
      </c>
      <c r="M3572" s="10" t="s">
        <v>91</v>
      </c>
      <c r="N3572" s="10" t="s">
        <v>92</v>
      </c>
      <c r="O3572" s="19" t="s">
        <v>25041</v>
      </c>
      <c r="P3572" s="10" t="s">
        <v>3215</v>
      </c>
      <c r="Q3572" s="10" t="s">
        <v>126</v>
      </c>
      <c r="R3572" s="10"/>
      <c r="S3572" s="19" t="s">
        <v>25042</v>
      </c>
      <c r="T3572" s="19" t="s">
        <v>25043</v>
      </c>
      <c r="U3572" s="10" t="s">
        <v>15290</v>
      </c>
      <c r="V3572" s="10" t="s">
        <v>15274</v>
      </c>
      <c r="W3572" s="10" t="s">
        <v>15276</v>
      </c>
      <c r="X3572" s="10" t="s">
        <v>15277</v>
      </c>
      <c r="Y3572" s="10" t="s">
        <v>15277</v>
      </c>
      <c r="Z3572" s="10" t="s">
        <v>99</v>
      </c>
      <c r="AA3572" s="10" t="s">
        <v>131</v>
      </c>
      <c r="AB3572" s="10" t="s">
        <v>15278</v>
      </c>
      <c r="AC3572" s="10" t="s">
        <v>15279</v>
      </c>
      <c r="AD3572" s="10" t="s">
        <v>165</v>
      </c>
      <c r="AE3572" s="10" t="s">
        <v>25044</v>
      </c>
      <c r="AF3572" s="15"/>
      <c r="AG3572" s="10"/>
      <c r="AH3572" s="10"/>
      <c r="AI3572" s="10"/>
      <c r="AJ3572" s="10"/>
      <c r="AK3572" s="10" t="s">
        <v>102</v>
      </c>
      <c r="AL3572" s="10" t="s">
        <v>2201</v>
      </c>
      <c r="AM3572" s="10"/>
      <c r="AN3572" s="10"/>
      <c r="AO3572" s="13" t="b">
        <v>0</v>
      </c>
      <c r="AP3572" s="22" t="s">
        <v>104</v>
      </c>
      <c r="AQ3572" s="10">
        <f ca="1">IFERROR(__xludf.DUMMYFUNCTION("""COMPUTED_VALUE"""),4834800)</f>
        <v>4834800</v>
      </c>
      <c r="AR3572" s="17"/>
      <c r="AS3572" s="17"/>
      <c r="AT3572" s="17"/>
      <c r="AU3572" s="17"/>
      <c r="AV3572" s="17"/>
      <c r="AW3572" s="10"/>
      <c r="AX3572" s="17"/>
      <c r="AY3572" s="18" t="s">
        <v>257</v>
      </c>
      <c r="AZ3572" s="10"/>
      <c r="BA3572" s="20" t="b">
        <v>0</v>
      </c>
      <c r="BB3572" s="10"/>
      <c r="BC3572" s="17" t="s">
        <v>257</v>
      </c>
      <c r="BD3572" s="17" t="s">
        <v>257</v>
      </c>
      <c r="BE3572" s="17" t="s">
        <v>257</v>
      </c>
      <c r="BF3572" s="17" t="s">
        <v>257</v>
      </c>
      <c r="BG3572" s="11">
        <f ca="1">IFERROR(__xludf.DUMMYFUNCTION("""COMPUTED_VALUE"""),46033.3333333333)</f>
        <v>46033.333333333299</v>
      </c>
      <c r="BH3572" s="17"/>
      <c r="BI3572" s="17"/>
      <c r="BJ3572" s="15"/>
      <c r="BK3572" s="15"/>
      <c r="BL3572" s="13" t="b">
        <v>0</v>
      </c>
      <c r="BM3572" s="10"/>
      <c r="BN3572" s="10" t="s">
        <v>8529</v>
      </c>
      <c r="BO3572" s="11">
        <v>46027.552777777775</v>
      </c>
      <c r="BP3572" s="11">
        <v>46027.553391203706</v>
      </c>
      <c r="BQ3572" s="15">
        <v>46030.73159722222</v>
      </c>
      <c r="BR3572" s="15">
        <v>46031.710358796299</v>
      </c>
      <c r="BS3572" s="10"/>
      <c r="BT3572" s="10"/>
      <c r="BU3572" s="10"/>
      <c r="BV3572" s="10"/>
      <c r="BW3572" s="10"/>
      <c r="BX3572" s="10"/>
      <c r="BY3572" s="23"/>
      <c r="BZ3572" s="23"/>
      <c r="CA3572" s="19" t="s">
        <v>25045</v>
      </c>
      <c r="CB3572" s="19" t="s">
        <v>25046</v>
      </c>
      <c r="CC3572" s="23"/>
      <c r="CD3572" s="19" t="s">
        <v>25047</v>
      </c>
      <c r="CE3572" s="23"/>
      <c r="CF3572" s="23"/>
      <c r="CG3572" s="23"/>
      <c r="CH3572" s="23"/>
      <c r="CI3572" s="23"/>
    </row>
    <row r="3573" spans="1:87" x14ac:dyDescent="0.3">
      <c r="A3573" s="9" t="s">
        <v>25048</v>
      </c>
      <c r="B3573" s="10" t="s">
        <v>25049</v>
      </c>
      <c r="C3573" s="11">
        <v>46034.041666666664</v>
      </c>
      <c r="D3573" s="12">
        <v>0.14583333333333334</v>
      </c>
      <c r="E3573" s="11">
        <v>46034.1875</v>
      </c>
      <c r="F3573" s="22" t="s">
        <v>15270</v>
      </c>
      <c r="G3573" s="13" t="b">
        <v>0</v>
      </c>
      <c r="H3573" s="22" t="s">
        <v>15271</v>
      </c>
      <c r="I3573" s="10" t="s">
        <v>3213</v>
      </c>
      <c r="J3573" s="13" t="b">
        <v>0</v>
      </c>
      <c r="K3573" s="13" t="b">
        <v>1</v>
      </c>
      <c r="L3573" s="10" t="s">
        <v>124</v>
      </c>
      <c r="M3573" s="10" t="s">
        <v>91</v>
      </c>
      <c r="N3573" s="10" t="s">
        <v>92</v>
      </c>
      <c r="O3573" s="19" t="s">
        <v>25050</v>
      </c>
      <c r="P3573" s="10" t="s">
        <v>88</v>
      </c>
      <c r="Q3573" s="10" t="s">
        <v>126</v>
      </c>
      <c r="R3573" s="10"/>
      <c r="S3573" s="19" t="s">
        <v>25051</v>
      </c>
      <c r="T3573" s="19" t="s">
        <v>25052</v>
      </c>
      <c r="U3573" s="10" t="s">
        <v>15518</v>
      </c>
      <c r="V3573" s="10" t="s">
        <v>15637</v>
      </c>
      <c r="W3573" s="10" t="s">
        <v>15276</v>
      </c>
      <c r="X3573" s="10" t="s">
        <v>15277</v>
      </c>
      <c r="Y3573" s="10" t="s">
        <v>15277</v>
      </c>
      <c r="Z3573" s="10" t="s">
        <v>99</v>
      </c>
      <c r="AA3573" s="10" t="s">
        <v>131</v>
      </c>
      <c r="AB3573" s="10" t="s">
        <v>15278</v>
      </c>
      <c r="AC3573" s="10" t="s">
        <v>15279</v>
      </c>
      <c r="AD3573" s="10" t="s">
        <v>165</v>
      </c>
      <c r="AE3573" s="10" t="s">
        <v>25053</v>
      </c>
      <c r="AF3573" s="15"/>
      <c r="AG3573" s="10"/>
      <c r="AH3573" s="10"/>
      <c r="AI3573" s="10"/>
      <c r="AJ3573" s="10"/>
      <c r="AK3573" s="10" t="s">
        <v>102</v>
      </c>
      <c r="AL3573" s="10" t="s">
        <v>2201</v>
      </c>
      <c r="AM3573" s="10"/>
      <c r="AN3573" s="10"/>
      <c r="AO3573" s="13" t="b">
        <v>0</v>
      </c>
      <c r="AP3573" s="22" t="s">
        <v>104</v>
      </c>
      <c r="AQ3573" s="10">
        <f ca="1">IFERROR(__xludf.DUMMYFUNCTION("""COMPUTED_VALUE"""),4834232)</f>
        <v>4834232</v>
      </c>
      <c r="AR3573" s="17"/>
      <c r="AS3573" s="17"/>
      <c r="AT3573" s="17"/>
      <c r="AU3573" s="17"/>
      <c r="AV3573" s="17"/>
      <c r="AW3573" s="10"/>
      <c r="AX3573" s="17"/>
      <c r="AY3573" s="18" t="s">
        <v>257</v>
      </c>
      <c r="AZ3573" s="10"/>
      <c r="BA3573" s="20" t="b">
        <v>0</v>
      </c>
      <c r="BB3573" s="10"/>
      <c r="BC3573" s="17" t="s">
        <v>257</v>
      </c>
      <c r="BD3573" s="17" t="s">
        <v>257</v>
      </c>
      <c r="BE3573" s="17" t="s">
        <v>257</v>
      </c>
      <c r="BF3573" s="17" t="s">
        <v>257</v>
      </c>
      <c r="BG3573" s="11">
        <f ca="1">IFERROR(__xludf.DUMMYFUNCTION("""COMPUTED_VALUE"""),46034.0416666666)</f>
        <v>46034.041666666599</v>
      </c>
      <c r="BH3573" s="17"/>
      <c r="BI3573" s="17"/>
      <c r="BJ3573" s="15"/>
      <c r="BK3573" s="15"/>
      <c r="BL3573" s="13" t="b">
        <v>0</v>
      </c>
      <c r="BM3573" s="10"/>
      <c r="BN3573" s="10" t="s">
        <v>8529</v>
      </c>
      <c r="BO3573" s="11">
        <v>46027.554166666669</v>
      </c>
      <c r="BP3573" s="11">
        <v>46027.554328703707</v>
      </c>
      <c r="BQ3573" s="15">
        <v>46030.731724537036</v>
      </c>
      <c r="BR3573" s="15">
        <v>46031.664085648146</v>
      </c>
      <c r="BS3573" s="10"/>
      <c r="BT3573" s="10"/>
      <c r="BU3573" s="10"/>
      <c r="BV3573" s="10"/>
      <c r="BW3573" s="10"/>
      <c r="BX3573" s="10"/>
      <c r="BY3573" s="23"/>
      <c r="BZ3573" s="23"/>
      <c r="CA3573" s="19" t="s">
        <v>25054</v>
      </c>
      <c r="CB3573" s="19" t="s">
        <v>25055</v>
      </c>
      <c r="CC3573" s="23"/>
      <c r="CD3573" s="19" t="s">
        <v>25056</v>
      </c>
      <c r="CE3573" s="23"/>
      <c r="CF3573" s="23"/>
      <c r="CG3573" s="23"/>
      <c r="CH3573" s="23"/>
      <c r="CI3573" s="23"/>
    </row>
    <row r="3574" spans="1:87" x14ac:dyDescent="0.3">
      <c r="A3574" s="9" t="s">
        <v>25057</v>
      </c>
      <c r="B3574" s="10" t="s">
        <v>25058</v>
      </c>
      <c r="C3574" s="11">
        <v>46034.1875</v>
      </c>
      <c r="D3574" s="12">
        <v>0.14583333333333334</v>
      </c>
      <c r="E3574" s="11">
        <v>46034.333333333336</v>
      </c>
      <c r="F3574" s="22" t="s">
        <v>15270</v>
      </c>
      <c r="G3574" s="13" t="b">
        <v>0</v>
      </c>
      <c r="H3574" s="22" t="s">
        <v>15271</v>
      </c>
      <c r="I3574" s="10" t="s">
        <v>3213</v>
      </c>
      <c r="J3574" s="13" t="b">
        <v>0</v>
      </c>
      <c r="K3574" s="13" t="b">
        <v>1</v>
      </c>
      <c r="L3574" s="10" t="s">
        <v>124</v>
      </c>
      <c r="M3574" s="10" t="s">
        <v>91</v>
      </c>
      <c r="N3574" s="10" t="s">
        <v>92</v>
      </c>
      <c r="O3574" s="19" t="s">
        <v>25059</v>
      </c>
      <c r="P3574" s="10" t="s">
        <v>88</v>
      </c>
      <c r="Q3574" s="10" t="s">
        <v>126</v>
      </c>
      <c r="R3574" s="10"/>
      <c r="S3574" s="19" t="s">
        <v>25060</v>
      </c>
      <c r="T3574" s="19" t="s">
        <v>25061</v>
      </c>
      <c r="U3574" s="10" t="s">
        <v>15299</v>
      </c>
      <c r="V3574" s="10" t="s">
        <v>15654</v>
      </c>
      <c r="W3574" s="10" t="s">
        <v>15276</v>
      </c>
      <c r="X3574" s="10" t="s">
        <v>15277</v>
      </c>
      <c r="Y3574" s="10" t="s">
        <v>15277</v>
      </c>
      <c r="Z3574" s="10" t="s">
        <v>99</v>
      </c>
      <c r="AA3574" s="10" t="s">
        <v>131</v>
      </c>
      <c r="AB3574" s="10" t="s">
        <v>15278</v>
      </c>
      <c r="AC3574" s="10" t="s">
        <v>15279</v>
      </c>
      <c r="AD3574" s="10" t="s">
        <v>165</v>
      </c>
      <c r="AE3574" s="10" t="s">
        <v>25062</v>
      </c>
      <c r="AF3574" s="15"/>
      <c r="AG3574" s="10"/>
      <c r="AH3574" s="10"/>
      <c r="AI3574" s="10"/>
      <c r="AJ3574" s="10"/>
      <c r="AK3574" s="10" t="s">
        <v>102</v>
      </c>
      <c r="AL3574" s="10" t="s">
        <v>2201</v>
      </c>
      <c r="AM3574" s="10"/>
      <c r="AN3574" s="10"/>
      <c r="AO3574" s="13" t="b">
        <v>0</v>
      </c>
      <c r="AP3574" s="22" t="s">
        <v>104</v>
      </c>
      <c r="AQ3574" s="10">
        <f ca="1">IFERROR(__xludf.DUMMYFUNCTION("""COMPUTED_VALUE"""),4834234)</f>
        <v>4834234</v>
      </c>
      <c r="AR3574" s="17"/>
      <c r="AS3574" s="17"/>
      <c r="AT3574" s="17"/>
      <c r="AU3574" s="17"/>
      <c r="AV3574" s="17"/>
      <c r="AW3574" s="10"/>
      <c r="AX3574" s="17"/>
      <c r="AY3574" s="18" t="s">
        <v>257</v>
      </c>
      <c r="AZ3574" s="10"/>
      <c r="BA3574" s="20" t="b">
        <v>0</v>
      </c>
      <c r="BB3574" s="10"/>
      <c r="BC3574" s="17" t="s">
        <v>257</v>
      </c>
      <c r="BD3574" s="17" t="s">
        <v>257</v>
      </c>
      <c r="BE3574" s="17" t="s">
        <v>257</v>
      </c>
      <c r="BF3574" s="17" t="s">
        <v>257</v>
      </c>
      <c r="BG3574" s="11">
        <f ca="1">IFERROR(__xludf.DUMMYFUNCTION("""COMPUTED_VALUE"""),46034.1875)</f>
        <v>46034.1875</v>
      </c>
      <c r="BH3574" s="17"/>
      <c r="BI3574" s="17"/>
      <c r="BJ3574" s="15"/>
      <c r="BK3574" s="15"/>
      <c r="BL3574" s="13" t="b">
        <v>0</v>
      </c>
      <c r="BM3574" s="10"/>
      <c r="BN3574" s="10" t="s">
        <v>8529</v>
      </c>
      <c r="BO3574" s="11">
        <v>46027.554861111108</v>
      </c>
      <c r="BP3574" s="11">
        <v>46027.555266203701</v>
      </c>
      <c r="BQ3574" s="15">
        <v>46030.731851851851</v>
      </c>
      <c r="BR3574" s="15">
        <v>46031.668564814812</v>
      </c>
      <c r="BS3574" s="10"/>
      <c r="BT3574" s="10"/>
      <c r="BU3574" s="10"/>
      <c r="BV3574" s="10"/>
      <c r="BW3574" s="10"/>
      <c r="BX3574" s="10"/>
      <c r="BY3574" s="23"/>
      <c r="BZ3574" s="23"/>
      <c r="CA3574" s="19" t="s">
        <v>25063</v>
      </c>
      <c r="CB3574" s="19" t="s">
        <v>25064</v>
      </c>
      <c r="CC3574" s="23"/>
      <c r="CD3574" s="19" t="s">
        <v>25065</v>
      </c>
      <c r="CE3574" s="23"/>
      <c r="CF3574" s="23"/>
      <c r="CG3574" s="23"/>
      <c r="CH3574" s="23"/>
      <c r="CI3574" s="23"/>
    </row>
    <row r="3575" spans="1:87" x14ac:dyDescent="0.3">
      <c r="A3575" s="9" t="s">
        <v>25066</v>
      </c>
      <c r="B3575" s="10" t="s">
        <v>25067</v>
      </c>
      <c r="C3575" s="11">
        <v>46034.34375</v>
      </c>
      <c r="D3575" s="12">
        <v>0.14583333333333334</v>
      </c>
      <c r="E3575" s="11">
        <v>46034.489583333336</v>
      </c>
      <c r="F3575" s="22" t="s">
        <v>15270</v>
      </c>
      <c r="G3575" s="13" t="b">
        <v>0</v>
      </c>
      <c r="H3575" s="22" t="s">
        <v>15271</v>
      </c>
      <c r="I3575" s="10" t="s">
        <v>3213</v>
      </c>
      <c r="J3575" s="13" t="b">
        <v>0</v>
      </c>
      <c r="K3575" s="13" t="b">
        <v>1</v>
      </c>
      <c r="L3575" s="10" t="s">
        <v>124</v>
      </c>
      <c r="M3575" s="10" t="s">
        <v>91</v>
      </c>
      <c r="N3575" s="10" t="s">
        <v>92</v>
      </c>
      <c r="O3575" s="19" t="s">
        <v>25068</v>
      </c>
      <c r="P3575" s="10" t="s">
        <v>3215</v>
      </c>
      <c r="Q3575" s="10" t="s">
        <v>126</v>
      </c>
      <c r="R3575" s="10"/>
      <c r="S3575" s="19" t="s">
        <v>25069</v>
      </c>
      <c r="T3575" s="19" t="s">
        <v>25070</v>
      </c>
      <c r="U3575" s="10" t="s">
        <v>16288</v>
      </c>
      <c r="V3575" s="10" t="s">
        <v>15326</v>
      </c>
      <c r="W3575" s="10" t="s">
        <v>15276</v>
      </c>
      <c r="X3575" s="10" t="s">
        <v>15277</v>
      </c>
      <c r="Y3575" s="10" t="s">
        <v>15277</v>
      </c>
      <c r="Z3575" s="10" t="s">
        <v>99</v>
      </c>
      <c r="AA3575" s="10" t="s">
        <v>131</v>
      </c>
      <c r="AB3575" s="10" t="s">
        <v>15278</v>
      </c>
      <c r="AC3575" s="10" t="s">
        <v>15279</v>
      </c>
      <c r="AD3575" s="10" t="s">
        <v>165</v>
      </c>
      <c r="AE3575" s="10" t="s">
        <v>25071</v>
      </c>
      <c r="AF3575" s="15"/>
      <c r="AG3575" s="10"/>
      <c r="AH3575" s="10"/>
      <c r="AI3575" s="10"/>
      <c r="AJ3575" s="10"/>
      <c r="AK3575" s="10" t="s">
        <v>102</v>
      </c>
      <c r="AL3575" s="10" t="s">
        <v>2201</v>
      </c>
      <c r="AM3575" s="10"/>
      <c r="AN3575" s="10"/>
      <c r="AO3575" s="13" t="b">
        <v>0</v>
      </c>
      <c r="AP3575" s="22" t="s">
        <v>104</v>
      </c>
      <c r="AQ3575" s="10">
        <f ca="1">IFERROR(__xludf.DUMMYFUNCTION("""COMPUTED_VALUE"""),4834801)</f>
        <v>4834801</v>
      </c>
      <c r="AR3575" s="17"/>
      <c r="AS3575" s="17"/>
      <c r="AT3575" s="17"/>
      <c r="AU3575" s="17"/>
      <c r="AV3575" s="17"/>
      <c r="AW3575" s="10"/>
      <c r="AX3575" s="17"/>
      <c r="AY3575" s="18" t="s">
        <v>257</v>
      </c>
      <c r="AZ3575" s="10"/>
      <c r="BA3575" s="20" t="b">
        <v>0</v>
      </c>
      <c r="BB3575" s="10"/>
      <c r="BC3575" s="17" t="s">
        <v>257</v>
      </c>
      <c r="BD3575" s="17" t="s">
        <v>257</v>
      </c>
      <c r="BE3575" s="17" t="s">
        <v>257</v>
      </c>
      <c r="BF3575" s="17" t="s">
        <v>257</v>
      </c>
      <c r="BG3575" s="11">
        <f ca="1">IFERROR(__xludf.DUMMYFUNCTION("""COMPUTED_VALUE"""),46034.34375)</f>
        <v>46034.34375</v>
      </c>
      <c r="BH3575" s="17"/>
      <c r="BI3575" s="17"/>
      <c r="BJ3575" s="15"/>
      <c r="BK3575" s="15"/>
      <c r="BL3575" s="13" t="b">
        <v>0</v>
      </c>
      <c r="BM3575" s="10" t="s">
        <v>107</v>
      </c>
      <c r="BN3575" s="10" t="s">
        <v>8529</v>
      </c>
      <c r="BO3575" s="11">
        <v>46027.555555555555</v>
      </c>
      <c r="BP3575" s="11">
        <v>46033.419583333336</v>
      </c>
      <c r="BQ3575" s="15">
        <v>46030.732071759259</v>
      </c>
      <c r="BR3575" s="15">
        <v>46031.71292824074</v>
      </c>
      <c r="BS3575" s="10"/>
      <c r="BT3575" s="10"/>
      <c r="BU3575" s="10"/>
      <c r="BV3575" s="10"/>
      <c r="BW3575" s="10"/>
      <c r="BX3575" s="10"/>
      <c r="BY3575" s="23"/>
      <c r="BZ3575" s="23"/>
      <c r="CA3575" s="19" t="s">
        <v>25072</v>
      </c>
      <c r="CB3575" s="19" t="s">
        <v>25073</v>
      </c>
      <c r="CC3575" s="23"/>
      <c r="CD3575" s="19" t="s">
        <v>25074</v>
      </c>
      <c r="CE3575" s="23"/>
      <c r="CF3575" s="23"/>
      <c r="CG3575" s="23"/>
      <c r="CH3575" s="23"/>
      <c r="CI3575" s="23"/>
    </row>
    <row r="3576" spans="1:87" x14ac:dyDescent="0.3">
      <c r="A3576" s="9" t="s">
        <v>25075</v>
      </c>
      <c r="B3576" s="10" t="s">
        <v>25076</v>
      </c>
      <c r="C3576" s="11">
        <v>46035.34375</v>
      </c>
      <c r="D3576" s="12">
        <v>0.14583333333333334</v>
      </c>
      <c r="E3576" s="11">
        <v>46035.489583333336</v>
      </c>
      <c r="F3576" s="22" t="s">
        <v>15270</v>
      </c>
      <c r="G3576" s="13" t="b">
        <v>0</v>
      </c>
      <c r="H3576" s="22" t="s">
        <v>15271</v>
      </c>
      <c r="I3576" s="10" t="s">
        <v>3213</v>
      </c>
      <c r="J3576" s="13" t="b">
        <v>0</v>
      </c>
      <c r="K3576" s="13" t="b">
        <v>1</v>
      </c>
      <c r="L3576" s="10" t="s">
        <v>124</v>
      </c>
      <c r="M3576" s="10" t="s">
        <v>91</v>
      </c>
      <c r="N3576" s="10" t="s">
        <v>92</v>
      </c>
      <c r="O3576" s="19" t="s">
        <v>25077</v>
      </c>
      <c r="P3576" s="10" t="s">
        <v>3215</v>
      </c>
      <c r="Q3576" s="10" t="s">
        <v>126</v>
      </c>
      <c r="R3576" s="10"/>
      <c r="S3576" s="19" t="s">
        <v>25078</v>
      </c>
      <c r="T3576" s="19" t="s">
        <v>25079</v>
      </c>
      <c r="U3576" s="10" t="s">
        <v>15490</v>
      </c>
      <c r="V3576" s="10" t="s">
        <v>15316</v>
      </c>
      <c r="W3576" s="10" t="s">
        <v>15276</v>
      </c>
      <c r="X3576" s="10" t="s">
        <v>15277</v>
      </c>
      <c r="Y3576" s="10" t="s">
        <v>15277</v>
      </c>
      <c r="Z3576" s="10" t="s">
        <v>99</v>
      </c>
      <c r="AA3576" s="10" t="s">
        <v>131</v>
      </c>
      <c r="AB3576" s="10" t="s">
        <v>15278</v>
      </c>
      <c r="AC3576" s="10" t="s">
        <v>15279</v>
      </c>
      <c r="AD3576" s="10" t="s">
        <v>165</v>
      </c>
      <c r="AE3576" s="10" t="s">
        <v>25080</v>
      </c>
      <c r="AF3576" s="15"/>
      <c r="AG3576" s="10"/>
      <c r="AH3576" s="10"/>
      <c r="AI3576" s="10"/>
      <c r="AJ3576" s="10"/>
      <c r="AK3576" s="10" t="s">
        <v>102</v>
      </c>
      <c r="AL3576" s="10" t="s">
        <v>2201</v>
      </c>
      <c r="AM3576" s="10"/>
      <c r="AN3576" s="10"/>
      <c r="AO3576" s="13" t="b">
        <v>0</v>
      </c>
      <c r="AP3576" s="22" t="s">
        <v>104</v>
      </c>
      <c r="AQ3576" s="10">
        <f ca="1">IFERROR(__xludf.DUMMYFUNCTION("""COMPUTED_VALUE"""),4834972)</f>
        <v>4834972</v>
      </c>
      <c r="AR3576" s="17"/>
      <c r="AS3576" s="17"/>
      <c r="AT3576" s="17"/>
      <c r="AU3576" s="17"/>
      <c r="AV3576" s="17"/>
      <c r="AW3576" s="10"/>
      <c r="AX3576" s="17"/>
      <c r="AY3576" s="18" t="s">
        <v>257</v>
      </c>
      <c r="AZ3576" s="10"/>
      <c r="BA3576" s="20" t="b">
        <v>0</v>
      </c>
      <c r="BB3576" s="10"/>
      <c r="BC3576" s="17" t="s">
        <v>257</v>
      </c>
      <c r="BD3576" s="17" t="s">
        <v>257</v>
      </c>
      <c r="BE3576" s="17" t="s">
        <v>257</v>
      </c>
      <c r="BF3576" s="17" t="s">
        <v>257</v>
      </c>
      <c r="BG3576" s="11">
        <f ca="1">IFERROR(__xludf.DUMMYFUNCTION("""COMPUTED_VALUE"""),46035.34375)</f>
        <v>46035.34375</v>
      </c>
      <c r="BH3576" s="17"/>
      <c r="BI3576" s="17"/>
      <c r="BJ3576" s="15"/>
      <c r="BK3576" s="15"/>
      <c r="BL3576" s="13" t="b">
        <v>0</v>
      </c>
      <c r="BM3576" s="10" t="s">
        <v>107</v>
      </c>
      <c r="BN3576" s="10" t="s">
        <v>8529</v>
      </c>
      <c r="BO3576" s="11">
        <v>46027.556944444441</v>
      </c>
      <c r="BP3576" s="11">
        <v>46033.419895833336</v>
      </c>
      <c r="BQ3576" s="15">
        <v>46030.732453703706</v>
      </c>
      <c r="BR3576" s="15">
        <v>46031.842766203707</v>
      </c>
      <c r="BS3576" s="10"/>
      <c r="BT3576" s="10"/>
      <c r="BU3576" s="10"/>
      <c r="BV3576" s="10"/>
      <c r="BW3576" s="10"/>
      <c r="BX3576" s="10"/>
      <c r="BY3576" s="23"/>
      <c r="BZ3576" s="23"/>
      <c r="CA3576" s="19" t="s">
        <v>25081</v>
      </c>
      <c r="CB3576" s="19" t="s">
        <v>25082</v>
      </c>
      <c r="CC3576" s="23"/>
      <c r="CD3576" s="19" t="s">
        <v>25083</v>
      </c>
      <c r="CE3576" s="23"/>
      <c r="CF3576" s="23"/>
      <c r="CG3576" s="23"/>
      <c r="CH3576" s="23"/>
      <c r="CI3576" s="23"/>
    </row>
    <row r="3577" spans="1:87" x14ac:dyDescent="0.3">
      <c r="A3577" s="9" t="s">
        <v>25084</v>
      </c>
      <c r="B3577" s="10" t="s">
        <v>25085</v>
      </c>
      <c r="C3577" s="11">
        <v>46028.333333333336</v>
      </c>
      <c r="D3577" s="12">
        <v>3.4722222222222224E-2</v>
      </c>
      <c r="E3577" s="11">
        <v>46028.368055555555</v>
      </c>
      <c r="F3577" s="22" t="s">
        <v>24700</v>
      </c>
      <c r="G3577" s="13" t="b">
        <v>0</v>
      </c>
      <c r="H3577" s="22" t="s">
        <v>21384</v>
      </c>
      <c r="I3577" s="10" t="s">
        <v>9131</v>
      </c>
      <c r="J3577" s="13" t="b">
        <v>0</v>
      </c>
      <c r="K3577" s="13" t="b">
        <v>1</v>
      </c>
      <c r="L3577" s="10" t="s">
        <v>124</v>
      </c>
      <c r="M3577" s="10" t="s">
        <v>91</v>
      </c>
      <c r="N3577" s="10" t="s">
        <v>92</v>
      </c>
      <c r="O3577" s="19" t="s">
        <v>25086</v>
      </c>
      <c r="P3577" s="10"/>
      <c r="Q3577" s="10" t="s">
        <v>126</v>
      </c>
      <c r="R3577" s="10"/>
      <c r="S3577" s="19" t="s">
        <v>24768</v>
      </c>
      <c r="T3577" s="10"/>
      <c r="U3577" s="10"/>
      <c r="V3577" s="10"/>
      <c r="W3577" s="10" t="s">
        <v>24703</v>
      </c>
      <c r="X3577" s="10" t="s">
        <v>216</v>
      </c>
      <c r="Y3577" s="10" t="s">
        <v>216</v>
      </c>
      <c r="Z3577" s="10" t="s">
        <v>99</v>
      </c>
      <c r="AA3577" s="10" t="s">
        <v>131</v>
      </c>
      <c r="AB3577" s="10" t="s">
        <v>24704</v>
      </c>
      <c r="AC3577" s="10" t="s">
        <v>21389</v>
      </c>
      <c r="AD3577" s="10" t="s">
        <v>165</v>
      </c>
      <c r="AE3577" s="10" t="s">
        <v>25087</v>
      </c>
      <c r="AF3577" s="15"/>
      <c r="AG3577" s="10"/>
      <c r="AH3577" s="10"/>
      <c r="AI3577" s="10"/>
      <c r="AJ3577" s="10"/>
      <c r="AK3577" s="10" t="s">
        <v>102</v>
      </c>
      <c r="AL3577" s="10"/>
      <c r="AM3577" s="10"/>
      <c r="AN3577" s="10"/>
      <c r="AO3577" s="13" t="b">
        <v>0</v>
      </c>
      <c r="AP3577" s="22" t="s">
        <v>135</v>
      </c>
      <c r="AQ3577" s="10">
        <f ca="1">IFERROR(__xludf.DUMMYFUNCTION("""COMPUTED_VALUE"""),4831476)</f>
        <v>4831476</v>
      </c>
      <c r="AR3577" s="17">
        <v>5416</v>
      </c>
      <c r="AS3577" s="17">
        <v>3744</v>
      </c>
      <c r="AT3577" s="17">
        <v>152013</v>
      </c>
      <c r="AU3577" s="17">
        <v>74.3</v>
      </c>
      <c r="AV3577" s="17">
        <v>11.25</v>
      </c>
      <c r="AW3577" s="10" t="s">
        <v>105</v>
      </c>
      <c r="AX3577" s="17">
        <v>1623</v>
      </c>
      <c r="AY3577" s="18">
        <v>40.601762820512818</v>
      </c>
      <c r="AZ3577" s="10"/>
      <c r="BA3577" s="20" t="b">
        <v>0</v>
      </c>
      <c r="BB3577" s="10" t="s">
        <v>24766</v>
      </c>
      <c r="BC3577" s="17">
        <v>5416</v>
      </c>
      <c r="BD3577" s="17">
        <v>3744</v>
      </c>
      <c r="BE3577" s="17">
        <v>152013</v>
      </c>
      <c r="BF3577" s="17">
        <v>11.25</v>
      </c>
      <c r="BG3577" s="11">
        <f ca="1">IFERROR(__xludf.DUMMYFUNCTION("""COMPUTED_VALUE"""),46028.3333333333)</f>
        <v>46028.333333333299</v>
      </c>
      <c r="BH3577" s="17" t="s">
        <v>105</v>
      </c>
      <c r="BI3577" s="17"/>
      <c r="BJ3577" s="15"/>
      <c r="BK3577" s="15"/>
      <c r="BL3577" s="13" t="b">
        <v>0</v>
      </c>
      <c r="BM3577" s="10"/>
      <c r="BN3577" s="10" t="s">
        <v>118</v>
      </c>
      <c r="BO3577" s="11">
        <v>46027.704861111109</v>
      </c>
      <c r="BP3577" s="11">
        <v>46027.705393518518</v>
      </c>
      <c r="BQ3577" s="15"/>
      <c r="BR3577" s="15">
        <v>46027.816851851851</v>
      </c>
      <c r="BS3577" s="10" t="s">
        <v>118</v>
      </c>
      <c r="BT3577" s="10"/>
      <c r="BU3577" s="10"/>
      <c r="BV3577" s="10"/>
      <c r="BW3577" s="10"/>
      <c r="BX3577" s="10"/>
      <c r="BY3577" s="23"/>
      <c r="BZ3577" s="23"/>
      <c r="CA3577" s="19" t="s">
        <v>24770</v>
      </c>
      <c r="CB3577" s="23"/>
      <c r="CC3577" s="23"/>
      <c r="CD3577" s="19" t="s">
        <v>24771</v>
      </c>
      <c r="CE3577" s="23"/>
      <c r="CF3577" s="23"/>
      <c r="CG3577" s="23"/>
      <c r="CH3577" s="23"/>
      <c r="CI3577" s="23"/>
    </row>
    <row r="3578" spans="1:87" x14ac:dyDescent="0.3">
      <c r="A3578" s="9" t="s">
        <v>25088</v>
      </c>
      <c r="B3578" s="10" t="s">
        <v>25089</v>
      </c>
      <c r="C3578" s="11">
        <v>46028.368055555555</v>
      </c>
      <c r="D3578" s="12">
        <v>3.4722222222222224E-2</v>
      </c>
      <c r="E3578" s="11">
        <v>46028.402777777781</v>
      </c>
      <c r="F3578" s="22" t="s">
        <v>24700</v>
      </c>
      <c r="G3578" s="13" t="b">
        <v>0</v>
      </c>
      <c r="H3578" s="22" t="s">
        <v>21384</v>
      </c>
      <c r="I3578" s="10" t="s">
        <v>9131</v>
      </c>
      <c r="J3578" s="13" t="b">
        <v>0</v>
      </c>
      <c r="K3578" s="13" t="b">
        <v>1</v>
      </c>
      <c r="L3578" s="10" t="s">
        <v>124</v>
      </c>
      <c r="M3578" s="10" t="s">
        <v>91</v>
      </c>
      <c r="N3578" s="10" t="s">
        <v>92</v>
      </c>
      <c r="O3578" s="19" t="s">
        <v>25090</v>
      </c>
      <c r="P3578" s="10"/>
      <c r="Q3578" s="10" t="s">
        <v>126</v>
      </c>
      <c r="R3578" s="10"/>
      <c r="S3578" s="19" t="s">
        <v>24768</v>
      </c>
      <c r="T3578" s="10"/>
      <c r="U3578" s="10"/>
      <c r="V3578" s="10"/>
      <c r="W3578" s="10" t="s">
        <v>24703</v>
      </c>
      <c r="X3578" s="10" t="s">
        <v>216</v>
      </c>
      <c r="Y3578" s="10" t="s">
        <v>216</v>
      </c>
      <c r="Z3578" s="10" t="s">
        <v>99</v>
      </c>
      <c r="AA3578" s="10" t="s">
        <v>131</v>
      </c>
      <c r="AB3578" s="10" t="s">
        <v>24704</v>
      </c>
      <c r="AC3578" s="10" t="s">
        <v>21389</v>
      </c>
      <c r="AD3578" s="10" t="s">
        <v>165</v>
      </c>
      <c r="AE3578" s="10" t="s">
        <v>25091</v>
      </c>
      <c r="AF3578" s="15"/>
      <c r="AG3578" s="10"/>
      <c r="AH3578" s="10"/>
      <c r="AI3578" s="10"/>
      <c r="AJ3578" s="10"/>
      <c r="AK3578" s="10" t="s">
        <v>102</v>
      </c>
      <c r="AL3578" s="10"/>
      <c r="AM3578" s="10"/>
      <c r="AN3578" s="10"/>
      <c r="AO3578" s="13" t="b">
        <v>0</v>
      </c>
      <c r="AP3578" s="22" t="s">
        <v>135</v>
      </c>
      <c r="AQ3578" s="10">
        <f ca="1">IFERROR(__xludf.DUMMYFUNCTION("""COMPUTED_VALUE"""),4831477)</f>
        <v>4831477</v>
      </c>
      <c r="AR3578" s="17">
        <v>7940</v>
      </c>
      <c r="AS3578" s="17">
        <v>5016</v>
      </c>
      <c r="AT3578" s="17">
        <v>210061.25</v>
      </c>
      <c r="AU3578" s="17">
        <v>123.75</v>
      </c>
      <c r="AV3578" s="17">
        <v>22.55</v>
      </c>
      <c r="AW3578" s="10" t="s">
        <v>105</v>
      </c>
      <c r="AX3578" s="17">
        <v>3261</v>
      </c>
      <c r="AY3578" s="18">
        <v>41.878239633173841</v>
      </c>
      <c r="AZ3578" s="10"/>
      <c r="BA3578" s="20" t="b">
        <v>0</v>
      </c>
      <c r="BB3578" s="10" t="s">
        <v>24766</v>
      </c>
      <c r="BC3578" s="17">
        <v>7940</v>
      </c>
      <c r="BD3578" s="17">
        <v>5016</v>
      </c>
      <c r="BE3578" s="17">
        <v>210061.25</v>
      </c>
      <c r="BF3578" s="17">
        <v>22.55</v>
      </c>
      <c r="BG3578" s="11">
        <f ca="1">IFERROR(__xludf.DUMMYFUNCTION("""COMPUTED_VALUE"""),46028.3680555555)</f>
        <v>46028.368055555497</v>
      </c>
      <c r="BH3578" s="17" t="s">
        <v>105</v>
      </c>
      <c r="BI3578" s="17"/>
      <c r="BJ3578" s="15"/>
      <c r="BK3578" s="15"/>
      <c r="BL3578" s="13" t="b">
        <v>0</v>
      </c>
      <c r="BM3578" s="10"/>
      <c r="BN3578" s="10" t="s">
        <v>118</v>
      </c>
      <c r="BO3578" s="11">
        <v>46027.705555555556</v>
      </c>
      <c r="BP3578" s="11">
        <v>46027.706076388888</v>
      </c>
      <c r="BQ3578" s="15"/>
      <c r="BR3578" s="15">
        <v>46027.816990740743</v>
      </c>
      <c r="BS3578" s="10" t="s">
        <v>118</v>
      </c>
      <c r="BT3578" s="10"/>
      <c r="BU3578" s="10"/>
      <c r="BV3578" s="10"/>
      <c r="BW3578" s="10"/>
      <c r="BX3578" s="10"/>
      <c r="BY3578" s="23"/>
      <c r="BZ3578" s="23"/>
      <c r="CA3578" s="19" t="s">
        <v>24770</v>
      </c>
      <c r="CB3578" s="23"/>
      <c r="CC3578" s="23"/>
      <c r="CD3578" s="19" t="s">
        <v>24771</v>
      </c>
      <c r="CE3578" s="23"/>
      <c r="CF3578" s="23"/>
      <c r="CG3578" s="23"/>
      <c r="CH3578" s="23"/>
      <c r="CI3578" s="23"/>
    </row>
    <row r="3579" spans="1:87" x14ac:dyDescent="0.3">
      <c r="A3579" s="9" t="s">
        <v>25092</v>
      </c>
      <c r="B3579" s="10" t="s">
        <v>25093</v>
      </c>
      <c r="C3579" s="11">
        <v>46028.402777777781</v>
      </c>
      <c r="D3579" s="12">
        <v>3.4722222222222224E-2</v>
      </c>
      <c r="E3579" s="11">
        <v>46028.4375</v>
      </c>
      <c r="F3579" s="22" t="s">
        <v>24700</v>
      </c>
      <c r="G3579" s="13" t="b">
        <v>0</v>
      </c>
      <c r="H3579" s="22" t="s">
        <v>21384</v>
      </c>
      <c r="I3579" s="10" t="s">
        <v>9131</v>
      </c>
      <c r="J3579" s="13" t="b">
        <v>0</v>
      </c>
      <c r="K3579" s="13" t="b">
        <v>1</v>
      </c>
      <c r="L3579" s="10" t="s">
        <v>124</v>
      </c>
      <c r="M3579" s="10" t="s">
        <v>91</v>
      </c>
      <c r="N3579" s="10" t="s">
        <v>92</v>
      </c>
      <c r="O3579" s="19" t="s">
        <v>25094</v>
      </c>
      <c r="P3579" s="10"/>
      <c r="Q3579" s="10" t="s">
        <v>126</v>
      </c>
      <c r="R3579" s="10"/>
      <c r="S3579" s="19" t="s">
        <v>24768</v>
      </c>
      <c r="T3579" s="10"/>
      <c r="U3579" s="10"/>
      <c r="V3579" s="10"/>
      <c r="W3579" s="10" t="s">
        <v>24703</v>
      </c>
      <c r="X3579" s="10" t="s">
        <v>216</v>
      </c>
      <c r="Y3579" s="10" t="s">
        <v>216</v>
      </c>
      <c r="Z3579" s="10" t="s">
        <v>99</v>
      </c>
      <c r="AA3579" s="10" t="s">
        <v>131</v>
      </c>
      <c r="AB3579" s="10" t="s">
        <v>24704</v>
      </c>
      <c r="AC3579" s="10" t="s">
        <v>21389</v>
      </c>
      <c r="AD3579" s="10" t="s">
        <v>165</v>
      </c>
      <c r="AE3579" s="10" t="s">
        <v>25095</v>
      </c>
      <c r="AF3579" s="15"/>
      <c r="AG3579" s="10"/>
      <c r="AH3579" s="10"/>
      <c r="AI3579" s="10"/>
      <c r="AJ3579" s="10"/>
      <c r="AK3579" s="10" t="s">
        <v>102</v>
      </c>
      <c r="AL3579" s="10"/>
      <c r="AM3579" s="10"/>
      <c r="AN3579" s="10"/>
      <c r="AO3579" s="13" t="b">
        <v>0</v>
      </c>
      <c r="AP3579" s="22" t="s">
        <v>104</v>
      </c>
      <c r="AQ3579" s="10">
        <f ca="1">IFERROR(__xludf.DUMMYFUNCTION("""COMPUTED_VALUE"""),4831481)</f>
        <v>4831481</v>
      </c>
      <c r="AR3579" s="17">
        <v>7988</v>
      </c>
      <c r="AS3579" s="17">
        <v>4993</v>
      </c>
      <c r="AT3579" s="17">
        <v>172626.25</v>
      </c>
      <c r="AU3579" s="17">
        <v>91.5</v>
      </c>
      <c r="AV3579" s="17">
        <v>17.350000000000001</v>
      </c>
      <c r="AW3579" s="10" t="s">
        <v>105</v>
      </c>
      <c r="AX3579" s="17">
        <v>3588</v>
      </c>
      <c r="AY3579" s="18">
        <v>34.573653114360106</v>
      </c>
      <c r="AZ3579" s="10"/>
      <c r="BA3579" s="20" t="b">
        <v>0</v>
      </c>
      <c r="BB3579" s="10" t="s">
        <v>24766</v>
      </c>
      <c r="BC3579" s="17">
        <v>7988</v>
      </c>
      <c r="BD3579" s="17">
        <v>4993</v>
      </c>
      <c r="BE3579" s="17">
        <v>172626.25</v>
      </c>
      <c r="BF3579" s="17">
        <v>17.350000000000001</v>
      </c>
      <c r="BG3579" s="11">
        <f ca="1">IFERROR(__xludf.DUMMYFUNCTION("""COMPUTED_VALUE"""),46028.4027777777)</f>
        <v>46028.402777777701</v>
      </c>
      <c r="BH3579" s="17" t="s">
        <v>105</v>
      </c>
      <c r="BI3579" s="17"/>
      <c r="BJ3579" s="15"/>
      <c r="BK3579" s="15"/>
      <c r="BL3579" s="13" t="b">
        <v>0</v>
      </c>
      <c r="BM3579" s="10"/>
      <c r="BN3579" s="10" t="s">
        <v>118</v>
      </c>
      <c r="BO3579" s="11">
        <v>46027.705555555556</v>
      </c>
      <c r="BP3579" s="11">
        <v>46027.706296296295</v>
      </c>
      <c r="BQ3579" s="15"/>
      <c r="BR3579" s="15">
        <v>46027.817118055558</v>
      </c>
      <c r="BS3579" s="10" t="s">
        <v>118</v>
      </c>
      <c r="BT3579" s="10"/>
      <c r="BU3579" s="10"/>
      <c r="BV3579" s="10"/>
      <c r="BW3579" s="10"/>
      <c r="BX3579" s="10"/>
      <c r="BY3579" s="23"/>
      <c r="BZ3579" s="23"/>
      <c r="CA3579" s="19" t="s">
        <v>24770</v>
      </c>
      <c r="CB3579" s="23"/>
      <c r="CC3579" s="23"/>
      <c r="CD3579" s="19" t="s">
        <v>24771</v>
      </c>
      <c r="CE3579" s="23"/>
      <c r="CF3579" s="23"/>
      <c r="CG3579" s="23"/>
      <c r="CH3579" s="23"/>
      <c r="CI3579" s="23"/>
    </row>
    <row r="3580" spans="1:87" x14ac:dyDescent="0.3">
      <c r="A3580" s="9" t="s">
        <v>25096</v>
      </c>
      <c r="B3580" s="10" t="s">
        <v>25097</v>
      </c>
      <c r="C3580" s="11">
        <v>46028.4375</v>
      </c>
      <c r="D3580" s="12">
        <v>3.4722222222222224E-2</v>
      </c>
      <c r="E3580" s="11">
        <v>46028.472222222219</v>
      </c>
      <c r="F3580" s="22" t="s">
        <v>24700</v>
      </c>
      <c r="G3580" s="13" t="b">
        <v>0</v>
      </c>
      <c r="H3580" s="22" t="s">
        <v>21384</v>
      </c>
      <c r="I3580" s="10" t="s">
        <v>9131</v>
      </c>
      <c r="J3580" s="13" t="b">
        <v>0</v>
      </c>
      <c r="K3580" s="13" t="b">
        <v>1</v>
      </c>
      <c r="L3580" s="10" t="s">
        <v>124</v>
      </c>
      <c r="M3580" s="10" t="s">
        <v>91</v>
      </c>
      <c r="N3580" s="10" t="s">
        <v>92</v>
      </c>
      <c r="O3580" s="19" t="s">
        <v>25098</v>
      </c>
      <c r="P3580" s="10"/>
      <c r="Q3580" s="10" t="s">
        <v>126</v>
      </c>
      <c r="R3580" s="10"/>
      <c r="S3580" s="19" t="s">
        <v>24768</v>
      </c>
      <c r="T3580" s="10"/>
      <c r="U3580" s="10"/>
      <c r="V3580" s="10"/>
      <c r="W3580" s="10" t="s">
        <v>24703</v>
      </c>
      <c r="X3580" s="10" t="s">
        <v>216</v>
      </c>
      <c r="Y3580" s="10" t="s">
        <v>216</v>
      </c>
      <c r="Z3580" s="10" t="s">
        <v>99</v>
      </c>
      <c r="AA3580" s="10" t="s">
        <v>131</v>
      </c>
      <c r="AB3580" s="10" t="s">
        <v>24704</v>
      </c>
      <c r="AC3580" s="10" t="s">
        <v>21389</v>
      </c>
      <c r="AD3580" s="10" t="s">
        <v>165</v>
      </c>
      <c r="AE3580" s="10" t="s">
        <v>25099</v>
      </c>
      <c r="AF3580" s="15"/>
      <c r="AG3580" s="10"/>
      <c r="AH3580" s="10"/>
      <c r="AI3580" s="10"/>
      <c r="AJ3580" s="10"/>
      <c r="AK3580" s="10" t="s">
        <v>102</v>
      </c>
      <c r="AL3580" s="10"/>
      <c r="AM3580" s="10"/>
      <c r="AN3580" s="10"/>
      <c r="AO3580" s="13" t="b">
        <v>0</v>
      </c>
      <c r="AP3580" s="22" t="s">
        <v>135</v>
      </c>
      <c r="AQ3580" s="10">
        <f ca="1">IFERROR(__xludf.DUMMYFUNCTION("""COMPUTED_VALUE"""),4831548)</f>
        <v>4831548</v>
      </c>
      <c r="AR3580" s="17"/>
      <c r="AS3580" s="17"/>
      <c r="AT3580" s="17"/>
      <c r="AU3580" s="17"/>
      <c r="AV3580" s="17"/>
      <c r="AW3580" s="10"/>
      <c r="AX3580" s="17"/>
      <c r="AY3580" s="18" t="s">
        <v>257</v>
      </c>
      <c r="AZ3580" s="10"/>
      <c r="BA3580" s="20" t="b">
        <v>0</v>
      </c>
      <c r="BB3580" s="10" t="s">
        <v>24766</v>
      </c>
      <c r="BC3580" s="17" t="s">
        <v>257</v>
      </c>
      <c r="BD3580" s="17" t="s">
        <v>257</v>
      </c>
      <c r="BE3580" s="17" t="s">
        <v>257</v>
      </c>
      <c r="BF3580" s="17" t="s">
        <v>257</v>
      </c>
      <c r="BG3580" s="11">
        <f ca="1">IFERROR(__xludf.DUMMYFUNCTION("""COMPUTED_VALUE"""),46028.4375)</f>
        <v>46028.4375</v>
      </c>
      <c r="BH3580" s="17"/>
      <c r="BI3580" s="17"/>
      <c r="BJ3580" s="15"/>
      <c r="BK3580" s="15"/>
      <c r="BL3580" s="13" t="b">
        <v>0</v>
      </c>
      <c r="BM3580" s="10"/>
      <c r="BN3580" s="10" t="s">
        <v>118</v>
      </c>
      <c r="BO3580" s="11">
        <v>46027.706250000003</v>
      </c>
      <c r="BP3580" s="11">
        <v>46027.706689814811</v>
      </c>
      <c r="BQ3580" s="15"/>
      <c r="BR3580" s="15">
        <v>46027.817245370374</v>
      </c>
      <c r="BS3580" s="10" t="s">
        <v>118</v>
      </c>
      <c r="BT3580" s="10"/>
      <c r="BU3580" s="10"/>
      <c r="BV3580" s="10"/>
      <c r="BW3580" s="10"/>
      <c r="BX3580" s="10"/>
      <c r="BY3580" s="23"/>
      <c r="BZ3580" s="23"/>
      <c r="CA3580" s="19" t="s">
        <v>24770</v>
      </c>
      <c r="CB3580" s="23"/>
      <c r="CC3580" s="23"/>
      <c r="CD3580" s="19" t="s">
        <v>24771</v>
      </c>
      <c r="CE3580" s="23"/>
      <c r="CF3580" s="23"/>
      <c r="CG3580" s="23"/>
      <c r="CH3580" s="23"/>
      <c r="CI3580" s="23"/>
    </row>
    <row r="3581" spans="1:87" x14ac:dyDescent="0.3">
      <c r="A3581" s="9" t="s">
        <v>25100</v>
      </c>
      <c r="B3581" s="10" t="s">
        <v>25101</v>
      </c>
      <c r="C3581" s="11">
        <v>46028.472222222219</v>
      </c>
      <c r="D3581" s="12">
        <v>3.4722222222222224E-2</v>
      </c>
      <c r="E3581" s="11">
        <v>46028.506944444445</v>
      </c>
      <c r="F3581" s="22" t="s">
        <v>24700</v>
      </c>
      <c r="G3581" s="13" t="b">
        <v>0</v>
      </c>
      <c r="H3581" s="22" t="s">
        <v>21384</v>
      </c>
      <c r="I3581" s="10" t="s">
        <v>9131</v>
      </c>
      <c r="J3581" s="13" t="b">
        <v>0</v>
      </c>
      <c r="K3581" s="13" t="b">
        <v>1</v>
      </c>
      <c r="L3581" s="10" t="s">
        <v>124</v>
      </c>
      <c r="M3581" s="10" t="s">
        <v>91</v>
      </c>
      <c r="N3581" s="10" t="s">
        <v>92</v>
      </c>
      <c r="O3581" s="19" t="s">
        <v>25098</v>
      </c>
      <c r="P3581" s="10"/>
      <c r="Q3581" s="10" t="s">
        <v>126</v>
      </c>
      <c r="R3581" s="10"/>
      <c r="S3581" s="19" t="s">
        <v>24768</v>
      </c>
      <c r="T3581" s="10"/>
      <c r="U3581" s="10"/>
      <c r="V3581" s="10"/>
      <c r="W3581" s="10" t="s">
        <v>24703</v>
      </c>
      <c r="X3581" s="10" t="s">
        <v>216</v>
      </c>
      <c r="Y3581" s="10" t="s">
        <v>216</v>
      </c>
      <c r="Z3581" s="10" t="s">
        <v>99</v>
      </c>
      <c r="AA3581" s="10" t="s">
        <v>131</v>
      </c>
      <c r="AB3581" s="10" t="s">
        <v>24704</v>
      </c>
      <c r="AC3581" s="10" t="s">
        <v>21389</v>
      </c>
      <c r="AD3581" s="10" t="s">
        <v>165</v>
      </c>
      <c r="AE3581" s="10" t="s">
        <v>25102</v>
      </c>
      <c r="AF3581" s="15"/>
      <c r="AG3581" s="10"/>
      <c r="AH3581" s="10"/>
      <c r="AI3581" s="10"/>
      <c r="AJ3581" s="10"/>
      <c r="AK3581" s="10" t="s">
        <v>102</v>
      </c>
      <c r="AL3581" s="10"/>
      <c r="AM3581" s="10"/>
      <c r="AN3581" s="10"/>
      <c r="AO3581" s="13" t="b">
        <v>0</v>
      </c>
      <c r="AP3581" s="22" t="s">
        <v>221</v>
      </c>
      <c r="AQ3581" s="10">
        <f ca="1">IFERROR(__xludf.DUMMYFUNCTION("""COMPUTED_VALUE"""),4831548)</f>
        <v>4831548</v>
      </c>
      <c r="AR3581" s="17">
        <v>4420</v>
      </c>
      <c r="AS3581" s="17">
        <v>3243</v>
      </c>
      <c r="AT3581" s="17">
        <v>83635.75</v>
      </c>
      <c r="AU3581" s="17">
        <v>38.799999999999997</v>
      </c>
      <c r="AV3581" s="17">
        <v>7</v>
      </c>
      <c r="AW3581" s="10" t="s">
        <v>105</v>
      </c>
      <c r="AX3581" s="17">
        <v>3598</v>
      </c>
      <c r="AY3581" s="18">
        <v>25.789623805118719</v>
      </c>
      <c r="AZ3581" s="10"/>
      <c r="BA3581" s="20" t="b">
        <v>0</v>
      </c>
      <c r="BB3581" s="10" t="s">
        <v>24766</v>
      </c>
      <c r="BC3581" s="17">
        <v>4420</v>
      </c>
      <c r="BD3581" s="17">
        <v>3243</v>
      </c>
      <c r="BE3581" s="17">
        <v>83635.75</v>
      </c>
      <c r="BF3581" s="17">
        <v>7</v>
      </c>
      <c r="BG3581" s="11">
        <f ca="1">IFERROR(__xludf.DUMMYFUNCTION("""COMPUTED_VALUE"""),46028.4722222222)</f>
        <v>46028.472222222197</v>
      </c>
      <c r="BH3581" s="17" t="s">
        <v>105</v>
      </c>
      <c r="BI3581" s="17"/>
      <c r="BJ3581" s="15"/>
      <c r="BK3581" s="15"/>
      <c r="BL3581" s="13" t="b">
        <v>0</v>
      </c>
      <c r="BM3581" s="10"/>
      <c r="BN3581" s="10" t="s">
        <v>118</v>
      </c>
      <c r="BO3581" s="11">
        <v>46027.706250000003</v>
      </c>
      <c r="BP3581" s="11">
        <v>46027.707199074073</v>
      </c>
      <c r="BQ3581" s="15"/>
      <c r="BR3581" s="15">
        <v>46027.817372685182</v>
      </c>
      <c r="BS3581" s="10" t="s">
        <v>118</v>
      </c>
      <c r="BT3581" s="10"/>
      <c r="BU3581" s="10"/>
      <c r="BV3581" s="10"/>
      <c r="BW3581" s="10"/>
      <c r="BX3581" s="10"/>
      <c r="BY3581" s="23"/>
      <c r="BZ3581" s="23"/>
      <c r="CA3581" s="19" t="s">
        <v>24770</v>
      </c>
      <c r="CB3581" s="23"/>
      <c r="CC3581" s="23"/>
      <c r="CD3581" s="19" t="s">
        <v>24771</v>
      </c>
      <c r="CE3581" s="23"/>
      <c r="CF3581" s="23"/>
      <c r="CG3581" s="23"/>
      <c r="CH3581" s="23"/>
      <c r="CI3581" s="23"/>
    </row>
    <row r="3582" spans="1:87" x14ac:dyDescent="0.3">
      <c r="A3582" s="9" t="s">
        <v>25103</v>
      </c>
      <c r="B3582" s="10" t="s">
        <v>25104</v>
      </c>
      <c r="C3582" s="11">
        <v>46028.506944444445</v>
      </c>
      <c r="D3582" s="12">
        <v>3.4722222222222224E-2</v>
      </c>
      <c r="E3582" s="11">
        <v>46028.541666666664</v>
      </c>
      <c r="F3582" s="22" t="s">
        <v>24700</v>
      </c>
      <c r="G3582" s="13" t="b">
        <v>0</v>
      </c>
      <c r="H3582" s="22" t="s">
        <v>21384</v>
      </c>
      <c r="I3582" s="10" t="s">
        <v>9131</v>
      </c>
      <c r="J3582" s="13" t="b">
        <v>0</v>
      </c>
      <c r="K3582" s="13" t="b">
        <v>1</v>
      </c>
      <c r="L3582" s="10" t="s">
        <v>124</v>
      </c>
      <c r="M3582" s="10" t="s">
        <v>91</v>
      </c>
      <c r="N3582" s="10" t="s">
        <v>92</v>
      </c>
      <c r="O3582" s="19" t="s">
        <v>25105</v>
      </c>
      <c r="P3582" s="10"/>
      <c r="Q3582" s="10" t="s">
        <v>126</v>
      </c>
      <c r="R3582" s="10"/>
      <c r="S3582" s="19" t="s">
        <v>24768</v>
      </c>
      <c r="T3582" s="10"/>
      <c r="U3582" s="10"/>
      <c r="V3582" s="10"/>
      <c r="W3582" s="10" t="s">
        <v>24703</v>
      </c>
      <c r="X3582" s="10" t="s">
        <v>216</v>
      </c>
      <c r="Y3582" s="10" t="s">
        <v>216</v>
      </c>
      <c r="Z3582" s="10" t="s">
        <v>99</v>
      </c>
      <c r="AA3582" s="10" t="s">
        <v>131</v>
      </c>
      <c r="AB3582" s="10" t="s">
        <v>24704</v>
      </c>
      <c r="AC3582" s="10" t="s">
        <v>21389</v>
      </c>
      <c r="AD3582" s="10" t="s">
        <v>165</v>
      </c>
      <c r="AE3582" s="10" t="s">
        <v>25106</v>
      </c>
      <c r="AF3582" s="15"/>
      <c r="AG3582" s="10"/>
      <c r="AH3582" s="10"/>
      <c r="AI3582" s="10"/>
      <c r="AJ3582" s="10"/>
      <c r="AK3582" s="10" t="s">
        <v>102</v>
      </c>
      <c r="AL3582" s="10"/>
      <c r="AM3582" s="10"/>
      <c r="AN3582" s="10"/>
      <c r="AO3582" s="13" t="b">
        <v>0</v>
      </c>
      <c r="AP3582" s="22" t="s">
        <v>104</v>
      </c>
      <c r="AQ3582" s="10">
        <f ca="1">IFERROR(__xludf.DUMMYFUNCTION("""COMPUTED_VALUE"""),4831550)</f>
        <v>4831550</v>
      </c>
      <c r="AR3582" s="17">
        <v>14370</v>
      </c>
      <c r="AS3582" s="17">
        <v>7584</v>
      </c>
      <c r="AT3582" s="17">
        <v>276298.75</v>
      </c>
      <c r="AU3582" s="17">
        <v>136.25</v>
      </c>
      <c r="AV3582" s="17">
        <v>30.1</v>
      </c>
      <c r="AW3582" s="10" t="s">
        <v>105</v>
      </c>
      <c r="AX3582" s="17">
        <v>4612</v>
      </c>
      <c r="AY3582" s="18">
        <v>36.431797204641349</v>
      </c>
      <c r="AZ3582" s="10"/>
      <c r="BA3582" s="20" t="b">
        <v>0</v>
      </c>
      <c r="BB3582" s="10" t="s">
        <v>24766</v>
      </c>
      <c r="BC3582" s="17">
        <v>14370</v>
      </c>
      <c r="BD3582" s="17">
        <v>7584</v>
      </c>
      <c r="BE3582" s="17">
        <v>276298.75</v>
      </c>
      <c r="BF3582" s="17">
        <v>30.1</v>
      </c>
      <c r="BG3582" s="11">
        <f ca="1">IFERROR(__xludf.DUMMYFUNCTION("""COMPUTED_VALUE"""),46028.5069444444)</f>
        <v>46028.506944444402</v>
      </c>
      <c r="BH3582" s="17" t="s">
        <v>105</v>
      </c>
      <c r="BI3582" s="17"/>
      <c r="BJ3582" s="15"/>
      <c r="BK3582" s="15"/>
      <c r="BL3582" s="13" t="b">
        <v>0</v>
      </c>
      <c r="BM3582" s="10"/>
      <c r="BN3582" s="10" t="s">
        <v>118</v>
      </c>
      <c r="BO3582" s="11">
        <v>46027.706944444442</v>
      </c>
      <c r="BP3582" s="11">
        <v>46027.707569444443</v>
      </c>
      <c r="BQ3582" s="15"/>
      <c r="BR3582" s="15">
        <v>46027.81753472222</v>
      </c>
      <c r="BS3582" s="10" t="s">
        <v>118</v>
      </c>
      <c r="BT3582" s="10"/>
      <c r="BU3582" s="10"/>
      <c r="BV3582" s="10"/>
      <c r="BW3582" s="10"/>
      <c r="BX3582" s="10"/>
      <c r="BY3582" s="23"/>
      <c r="BZ3582" s="23"/>
      <c r="CA3582" s="19" t="s">
        <v>24770</v>
      </c>
      <c r="CB3582" s="23"/>
      <c r="CC3582" s="23"/>
      <c r="CD3582" s="19" t="s">
        <v>24771</v>
      </c>
      <c r="CE3582" s="23"/>
      <c r="CF3582" s="23"/>
      <c r="CG3582" s="23"/>
      <c r="CH3582" s="23"/>
      <c r="CI3582" s="23"/>
    </row>
    <row r="3583" spans="1:87" x14ac:dyDescent="0.3">
      <c r="A3583" s="9" t="s">
        <v>25107</v>
      </c>
      <c r="B3583" s="10" t="s">
        <v>25108</v>
      </c>
      <c r="C3583" s="11">
        <v>46028.541666666664</v>
      </c>
      <c r="D3583" s="12">
        <v>3.4722222222222224E-2</v>
      </c>
      <c r="E3583" s="11">
        <v>46028.576388888891</v>
      </c>
      <c r="F3583" s="22" t="s">
        <v>24700</v>
      </c>
      <c r="G3583" s="13" t="b">
        <v>0</v>
      </c>
      <c r="H3583" s="22" t="s">
        <v>21384</v>
      </c>
      <c r="I3583" s="10" t="s">
        <v>9131</v>
      </c>
      <c r="J3583" s="13" t="b">
        <v>0</v>
      </c>
      <c r="K3583" s="13" t="b">
        <v>1</v>
      </c>
      <c r="L3583" s="10" t="s">
        <v>358</v>
      </c>
      <c r="M3583" s="10" t="s">
        <v>91</v>
      </c>
      <c r="N3583" s="10" t="s">
        <v>92</v>
      </c>
      <c r="O3583" s="19" t="s">
        <v>25109</v>
      </c>
      <c r="P3583" s="10"/>
      <c r="Q3583" s="10" t="s">
        <v>126</v>
      </c>
      <c r="R3583" s="10"/>
      <c r="S3583" s="19" t="s">
        <v>24768</v>
      </c>
      <c r="T3583" s="10"/>
      <c r="U3583" s="10"/>
      <c r="V3583" s="10"/>
      <c r="W3583" s="10" t="s">
        <v>24703</v>
      </c>
      <c r="X3583" s="10" t="s">
        <v>216</v>
      </c>
      <c r="Y3583" s="10" t="s">
        <v>216</v>
      </c>
      <c r="Z3583" s="10" t="s">
        <v>99</v>
      </c>
      <c r="AA3583" s="10" t="s">
        <v>131</v>
      </c>
      <c r="AB3583" s="10" t="s">
        <v>24704</v>
      </c>
      <c r="AC3583" s="10" t="s">
        <v>21389</v>
      </c>
      <c r="AD3583" s="10" t="s">
        <v>165</v>
      </c>
      <c r="AE3583" s="10" t="s">
        <v>25110</v>
      </c>
      <c r="AF3583" s="15"/>
      <c r="AG3583" s="10"/>
      <c r="AH3583" s="10"/>
      <c r="AI3583" s="10"/>
      <c r="AJ3583" s="10"/>
      <c r="AK3583" s="10" t="s">
        <v>102</v>
      </c>
      <c r="AL3583" s="10"/>
      <c r="AM3583" s="10"/>
      <c r="AN3583" s="10"/>
      <c r="AO3583" s="13" t="b">
        <v>0</v>
      </c>
      <c r="AP3583" s="22" t="s">
        <v>221</v>
      </c>
      <c r="AQ3583" s="10">
        <f ca="1">IFERROR(__xludf.DUMMYFUNCTION("""COMPUTED_VALUE"""),4831551)</f>
        <v>4831551</v>
      </c>
      <c r="AR3583" s="17">
        <v>13766</v>
      </c>
      <c r="AS3583" s="17">
        <v>9973</v>
      </c>
      <c r="AT3583" s="17">
        <v>236023.5</v>
      </c>
      <c r="AU3583" s="17">
        <v>202.8</v>
      </c>
      <c r="AV3583" s="17">
        <v>39.549999999999997</v>
      </c>
      <c r="AW3583" s="10" t="s">
        <v>105</v>
      </c>
      <c r="AX3583" s="17">
        <v>7486</v>
      </c>
      <c r="AY3583" s="18">
        <v>23.666248871954277</v>
      </c>
      <c r="AZ3583" s="10"/>
      <c r="BA3583" s="20" t="b">
        <v>0</v>
      </c>
      <c r="BB3583" s="10" t="s">
        <v>24766</v>
      </c>
      <c r="BC3583" s="17">
        <v>13766</v>
      </c>
      <c r="BD3583" s="17">
        <v>9973</v>
      </c>
      <c r="BE3583" s="17">
        <v>236023.5</v>
      </c>
      <c r="BF3583" s="17">
        <v>39.549999999999997</v>
      </c>
      <c r="BG3583" s="11">
        <f ca="1">IFERROR(__xludf.DUMMYFUNCTION("""COMPUTED_VALUE"""),46028.5416666666)</f>
        <v>46028.541666666599</v>
      </c>
      <c r="BH3583" s="17" t="s">
        <v>105</v>
      </c>
      <c r="BI3583" s="17"/>
      <c r="BJ3583" s="15"/>
      <c r="BK3583" s="15"/>
      <c r="BL3583" s="13" t="b">
        <v>0</v>
      </c>
      <c r="BM3583" s="10"/>
      <c r="BN3583" s="10" t="s">
        <v>118</v>
      </c>
      <c r="BO3583" s="11">
        <v>46027.707638888889</v>
      </c>
      <c r="BP3583" s="11">
        <v>46027.707731481481</v>
      </c>
      <c r="BQ3583" s="15"/>
      <c r="BR3583" s="15">
        <v>46027.817673611113</v>
      </c>
      <c r="BS3583" s="10" t="s">
        <v>118</v>
      </c>
      <c r="BT3583" s="10" t="s">
        <v>99</v>
      </c>
      <c r="BU3583" s="10"/>
      <c r="BV3583" s="10"/>
      <c r="BW3583" s="10"/>
      <c r="BX3583" s="10"/>
      <c r="BY3583" s="23"/>
      <c r="BZ3583" s="23"/>
      <c r="CA3583" s="19" t="s">
        <v>24770</v>
      </c>
      <c r="CB3583" s="23"/>
      <c r="CC3583" s="23"/>
      <c r="CD3583" s="19" t="s">
        <v>24771</v>
      </c>
      <c r="CE3583" s="23"/>
      <c r="CF3583" s="23"/>
      <c r="CG3583" s="23"/>
      <c r="CH3583" s="23"/>
      <c r="CI3583" s="23"/>
    </row>
    <row r="3584" spans="1:87" x14ac:dyDescent="0.3">
      <c r="A3584" s="9" t="s">
        <v>25111</v>
      </c>
      <c r="B3584" s="10" t="s">
        <v>25112</v>
      </c>
      <c r="C3584" s="11">
        <v>46028.576388888891</v>
      </c>
      <c r="D3584" s="12">
        <v>3.4722222222222224E-2</v>
      </c>
      <c r="E3584" s="11">
        <v>46028.611111111109</v>
      </c>
      <c r="F3584" s="22" t="s">
        <v>24700</v>
      </c>
      <c r="G3584" s="13" t="b">
        <v>0</v>
      </c>
      <c r="H3584" s="22" t="s">
        <v>21384</v>
      </c>
      <c r="I3584" s="10" t="s">
        <v>9131</v>
      </c>
      <c r="J3584" s="13" t="b">
        <v>0</v>
      </c>
      <c r="K3584" s="13" t="b">
        <v>1</v>
      </c>
      <c r="L3584" s="10" t="s">
        <v>124</v>
      </c>
      <c r="M3584" s="10" t="s">
        <v>91</v>
      </c>
      <c r="N3584" s="10" t="s">
        <v>92</v>
      </c>
      <c r="O3584" s="19" t="s">
        <v>25113</v>
      </c>
      <c r="P3584" s="10"/>
      <c r="Q3584" s="10" t="s">
        <v>126</v>
      </c>
      <c r="R3584" s="10"/>
      <c r="S3584" s="19" t="s">
        <v>24768</v>
      </c>
      <c r="T3584" s="10"/>
      <c r="U3584" s="10"/>
      <c r="V3584" s="10"/>
      <c r="W3584" s="10" t="s">
        <v>24703</v>
      </c>
      <c r="X3584" s="10" t="s">
        <v>216</v>
      </c>
      <c r="Y3584" s="10" t="s">
        <v>216</v>
      </c>
      <c r="Z3584" s="10" t="s">
        <v>99</v>
      </c>
      <c r="AA3584" s="10" t="s">
        <v>131</v>
      </c>
      <c r="AB3584" s="10" t="s">
        <v>24704</v>
      </c>
      <c r="AC3584" s="10" t="s">
        <v>21389</v>
      </c>
      <c r="AD3584" s="10" t="s">
        <v>165</v>
      </c>
      <c r="AE3584" s="10" t="s">
        <v>25114</v>
      </c>
      <c r="AF3584" s="15"/>
      <c r="AG3584" s="10"/>
      <c r="AH3584" s="10"/>
      <c r="AI3584" s="10"/>
      <c r="AJ3584" s="10"/>
      <c r="AK3584" s="10" t="s">
        <v>102</v>
      </c>
      <c r="AL3584" s="10"/>
      <c r="AM3584" s="10"/>
      <c r="AN3584" s="10"/>
      <c r="AO3584" s="13" t="b">
        <v>0</v>
      </c>
      <c r="AP3584" s="22" t="s">
        <v>104</v>
      </c>
      <c r="AQ3584" s="10">
        <f ca="1">IFERROR(__xludf.DUMMYFUNCTION("""COMPUTED_VALUE"""),4831552)</f>
        <v>4831552</v>
      </c>
      <c r="AR3584" s="17">
        <v>7184</v>
      </c>
      <c r="AS3584" s="17">
        <v>5037</v>
      </c>
      <c r="AT3584" s="17">
        <v>123223.25</v>
      </c>
      <c r="AU3584" s="17">
        <v>54.15</v>
      </c>
      <c r="AV3584" s="17">
        <v>15.15</v>
      </c>
      <c r="AW3584" s="10" t="s">
        <v>105</v>
      </c>
      <c r="AX3584" s="17">
        <v>7486</v>
      </c>
      <c r="AY3584" s="18">
        <v>24.463619217788366</v>
      </c>
      <c r="AZ3584" s="10"/>
      <c r="BA3584" s="20" t="b">
        <v>0</v>
      </c>
      <c r="BB3584" s="10" t="s">
        <v>24766</v>
      </c>
      <c r="BC3584" s="17">
        <v>7184</v>
      </c>
      <c r="BD3584" s="17">
        <v>5037</v>
      </c>
      <c r="BE3584" s="17">
        <v>123223.25</v>
      </c>
      <c r="BF3584" s="17">
        <v>15.15</v>
      </c>
      <c r="BG3584" s="11">
        <f ca="1">IFERROR(__xludf.DUMMYFUNCTION("""COMPUTED_VALUE"""),46028.5763888888)</f>
        <v>46028.576388888803</v>
      </c>
      <c r="BH3584" s="17" t="s">
        <v>105</v>
      </c>
      <c r="BI3584" s="17"/>
      <c r="BJ3584" s="15"/>
      <c r="BK3584" s="15"/>
      <c r="BL3584" s="13" t="b">
        <v>0</v>
      </c>
      <c r="BM3584" s="10"/>
      <c r="BN3584" s="10" t="s">
        <v>118</v>
      </c>
      <c r="BO3584" s="11">
        <v>46027.707638888889</v>
      </c>
      <c r="BP3584" s="11">
        <v>46027.70820601852</v>
      </c>
      <c r="BQ3584" s="15"/>
      <c r="BR3584" s="15">
        <v>46027.817800925928</v>
      </c>
      <c r="BS3584" s="10" t="s">
        <v>118</v>
      </c>
      <c r="BT3584" s="10"/>
      <c r="BU3584" s="10"/>
      <c r="BV3584" s="10"/>
      <c r="BW3584" s="10"/>
      <c r="BX3584" s="10"/>
      <c r="BY3584" s="23"/>
      <c r="BZ3584" s="23"/>
      <c r="CA3584" s="19" t="s">
        <v>24770</v>
      </c>
      <c r="CB3584" s="23"/>
      <c r="CC3584" s="23"/>
      <c r="CD3584" s="19" t="s">
        <v>24771</v>
      </c>
      <c r="CE3584" s="23"/>
      <c r="CF3584" s="23"/>
      <c r="CG3584" s="23"/>
      <c r="CH3584" s="23"/>
      <c r="CI3584" s="23"/>
    </row>
    <row r="3585" spans="1:87" x14ac:dyDescent="0.3">
      <c r="A3585" s="9" t="s">
        <v>25115</v>
      </c>
      <c r="B3585" s="10" t="s">
        <v>25116</v>
      </c>
      <c r="C3585" s="11">
        <v>46028.611111111109</v>
      </c>
      <c r="D3585" s="12">
        <v>3.4722222222222224E-2</v>
      </c>
      <c r="E3585" s="11">
        <v>46028.645833333336</v>
      </c>
      <c r="F3585" s="22" t="s">
        <v>24700</v>
      </c>
      <c r="G3585" s="13" t="b">
        <v>0</v>
      </c>
      <c r="H3585" s="22" t="s">
        <v>21384</v>
      </c>
      <c r="I3585" s="10" t="s">
        <v>9131</v>
      </c>
      <c r="J3585" s="13" t="b">
        <v>0</v>
      </c>
      <c r="K3585" s="13" t="b">
        <v>1</v>
      </c>
      <c r="L3585" s="10" t="s">
        <v>124</v>
      </c>
      <c r="M3585" s="10" t="s">
        <v>91</v>
      </c>
      <c r="N3585" s="10" t="s">
        <v>92</v>
      </c>
      <c r="O3585" s="19" t="s">
        <v>25117</v>
      </c>
      <c r="P3585" s="10"/>
      <c r="Q3585" s="10" t="s">
        <v>126</v>
      </c>
      <c r="R3585" s="10"/>
      <c r="S3585" s="19" t="s">
        <v>24768</v>
      </c>
      <c r="T3585" s="10"/>
      <c r="U3585" s="10"/>
      <c r="V3585" s="10"/>
      <c r="W3585" s="10" t="s">
        <v>24703</v>
      </c>
      <c r="X3585" s="10" t="s">
        <v>216</v>
      </c>
      <c r="Y3585" s="10" t="s">
        <v>216</v>
      </c>
      <c r="Z3585" s="10" t="s">
        <v>99</v>
      </c>
      <c r="AA3585" s="10" t="s">
        <v>131</v>
      </c>
      <c r="AB3585" s="10" t="s">
        <v>24704</v>
      </c>
      <c r="AC3585" s="10" t="s">
        <v>21389</v>
      </c>
      <c r="AD3585" s="10" t="s">
        <v>165</v>
      </c>
      <c r="AE3585" s="10" t="s">
        <v>25118</v>
      </c>
      <c r="AF3585" s="15"/>
      <c r="AG3585" s="10"/>
      <c r="AH3585" s="10"/>
      <c r="AI3585" s="10"/>
      <c r="AJ3585" s="10"/>
      <c r="AK3585" s="10" t="s">
        <v>102</v>
      </c>
      <c r="AL3585" s="10"/>
      <c r="AM3585" s="10"/>
      <c r="AN3585" s="10"/>
      <c r="AO3585" s="13" t="b">
        <v>0</v>
      </c>
      <c r="AP3585" s="22" t="s">
        <v>104</v>
      </c>
      <c r="AQ3585" s="10">
        <f ca="1">IFERROR(__xludf.DUMMYFUNCTION("""COMPUTED_VALUE"""),4831553)</f>
        <v>4831553</v>
      </c>
      <c r="AR3585" s="17">
        <v>6683</v>
      </c>
      <c r="AS3585" s="17">
        <v>4785</v>
      </c>
      <c r="AT3585" s="17">
        <v>134542.75</v>
      </c>
      <c r="AU3585" s="17">
        <v>68.55</v>
      </c>
      <c r="AV3585" s="17">
        <v>14.1</v>
      </c>
      <c r="AW3585" s="10" t="s">
        <v>105</v>
      </c>
      <c r="AX3585" s="17">
        <v>3767</v>
      </c>
      <c r="AY3585" s="18">
        <v>28.117607105538141</v>
      </c>
      <c r="AZ3585" s="10"/>
      <c r="BA3585" s="20" t="b">
        <v>0</v>
      </c>
      <c r="BB3585" s="10" t="s">
        <v>24766</v>
      </c>
      <c r="BC3585" s="17">
        <v>6683</v>
      </c>
      <c r="BD3585" s="17">
        <v>4785</v>
      </c>
      <c r="BE3585" s="17">
        <v>134542.75</v>
      </c>
      <c r="BF3585" s="17">
        <v>14.1</v>
      </c>
      <c r="BG3585" s="11">
        <f ca="1">IFERROR(__xludf.DUMMYFUNCTION("""COMPUTED_VALUE"""),46028.6111111111)</f>
        <v>46028.611111111102</v>
      </c>
      <c r="BH3585" s="17" t="s">
        <v>105</v>
      </c>
      <c r="BI3585" s="17"/>
      <c r="BJ3585" s="15"/>
      <c r="BK3585" s="15"/>
      <c r="BL3585" s="13" t="b">
        <v>0</v>
      </c>
      <c r="BM3585" s="10"/>
      <c r="BN3585" s="10" t="s">
        <v>118</v>
      </c>
      <c r="BO3585" s="11">
        <v>46027.707638888889</v>
      </c>
      <c r="BP3585" s="11">
        <v>46027.708310185182</v>
      </c>
      <c r="BQ3585" s="15"/>
      <c r="BR3585" s="15">
        <v>46027.818009259259</v>
      </c>
      <c r="BS3585" s="10" t="s">
        <v>118</v>
      </c>
      <c r="BT3585" s="10"/>
      <c r="BU3585" s="10"/>
      <c r="BV3585" s="10"/>
      <c r="BW3585" s="10"/>
      <c r="BX3585" s="10"/>
      <c r="BY3585" s="23"/>
      <c r="BZ3585" s="23"/>
      <c r="CA3585" s="19" t="s">
        <v>24770</v>
      </c>
      <c r="CB3585" s="23"/>
      <c r="CC3585" s="23"/>
      <c r="CD3585" s="19" t="s">
        <v>24771</v>
      </c>
      <c r="CE3585" s="23"/>
      <c r="CF3585" s="23"/>
      <c r="CG3585" s="23"/>
      <c r="CH3585" s="23"/>
      <c r="CI3585" s="23"/>
    </row>
    <row r="3586" spans="1:87" x14ac:dyDescent="0.3">
      <c r="A3586" s="9" t="s">
        <v>25119</v>
      </c>
      <c r="B3586" s="10" t="s">
        <v>25120</v>
      </c>
      <c r="C3586" s="11">
        <v>46028.645833333336</v>
      </c>
      <c r="D3586" s="12">
        <v>3.4722222222222224E-2</v>
      </c>
      <c r="E3586" s="11">
        <v>46028.680555555555</v>
      </c>
      <c r="F3586" s="22" t="s">
        <v>24700</v>
      </c>
      <c r="G3586" s="13" t="b">
        <v>0</v>
      </c>
      <c r="H3586" s="22" t="s">
        <v>21384</v>
      </c>
      <c r="I3586" s="10" t="s">
        <v>9131</v>
      </c>
      <c r="J3586" s="13" t="b">
        <v>0</v>
      </c>
      <c r="K3586" s="13" t="b">
        <v>1</v>
      </c>
      <c r="L3586" s="10" t="s">
        <v>124</v>
      </c>
      <c r="M3586" s="10" t="s">
        <v>91</v>
      </c>
      <c r="N3586" s="10" t="s">
        <v>92</v>
      </c>
      <c r="O3586" s="19" t="s">
        <v>25121</v>
      </c>
      <c r="P3586" s="10"/>
      <c r="Q3586" s="10" t="s">
        <v>126</v>
      </c>
      <c r="R3586" s="10"/>
      <c r="S3586" s="19" t="s">
        <v>24768</v>
      </c>
      <c r="T3586" s="10"/>
      <c r="U3586" s="10"/>
      <c r="V3586" s="10"/>
      <c r="W3586" s="10" t="s">
        <v>24703</v>
      </c>
      <c r="X3586" s="10" t="s">
        <v>216</v>
      </c>
      <c r="Y3586" s="10" t="s">
        <v>216</v>
      </c>
      <c r="Z3586" s="10" t="s">
        <v>99</v>
      </c>
      <c r="AA3586" s="10" t="s">
        <v>131</v>
      </c>
      <c r="AB3586" s="10" t="s">
        <v>24704</v>
      </c>
      <c r="AC3586" s="10" t="s">
        <v>21389</v>
      </c>
      <c r="AD3586" s="10" t="s">
        <v>165</v>
      </c>
      <c r="AE3586" s="10" t="s">
        <v>25122</v>
      </c>
      <c r="AF3586" s="15"/>
      <c r="AG3586" s="10"/>
      <c r="AH3586" s="10"/>
      <c r="AI3586" s="10"/>
      <c r="AJ3586" s="10"/>
      <c r="AK3586" s="10" t="s">
        <v>102</v>
      </c>
      <c r="AL3586" s="10"/>
      <c r="AM3586" s="10"/>
      <c r="AN3586" s="10"/>
      <c r="AO3586" s="13" t="b">
        <v>0</v>
      </c>
      <c r="AP3586" s="22" t="s">
        <v>104</v>
      </c>
      <c r="AQ3586" s="10">
        <f ca="1">IFERROR(__xludf.DUMMYFUNCTION("""COMPUTED_VALUE"""),4831554)</f>
        <v>4831554</v>
      </c>
      <c r="AR3586" s="17">
        <v>12638</v>
      </c>
      <c r="AS3586" s="17">
        <v>8359</v>
      </c>
      <c r="AT3586" s="17">
        <v>191057.25</v>
      </c>
      <c r="AU3586" s="17">
        <v>107.85</v>
      </c>
      <c r="AV3586" s="17">
        <v>22.3</v>
      </c>
      <c r="AW3586" s="10" t="s">
        <v>105</v>
      </c>
      <c r="AX3586" s="17">
        <v>4741</v>
      </c>
      <c r="AY3586" s="18">
        <v>22.856472066036606</v>
      </c>
      <c r="AZ3586" s="10"/>
      <c r="BA3586" s="20" t="b">
        <v>0</v>
      </c>
      <c r="BB3586" s="10" t="s">
        <v>24766</v>
      </c>
      <c r="BC3586" s="17">
        <v>12638</v>
      </c>
      <c r="BD3586" s="17">
        <v>8359</v>
      </c>
      <c r="BE3586" s="17">
        <v>191057.25</v>
      </c>
      <c r="BF3586" s="17">
        <v>22.3</v>
      </c>
      <c r="BG3586" s="11">
        <f ca="1">IFERROR(__xludf.DUMMYFUNCTION("""COMPUTED_VALUE"""),46028.6458333333)</f>
        <v>46028.645833333299</v>
      </c>
      <c r="BH3586" s="17" t="s">
        <v>105</v>
      </c>
      <c r="BI3586" s="17"/>
      <c r="BJ3586" s="15"/>
      <c r="BK3586" s="15"/>
      <c r="BL3586" s="13" t="b">
        <v>0</v>
      </c>
      <c r="BM3586" s="10"/>
      <c r="BN3586" s="10" t="s">
        <v>118</v>
      </c>
      <c r="BO3586" s="11">
        <v>46027.708333333336</v>
      </c>
      <c r="BP3586" s="11">
        <v>46027.708425925928</v>
      </c>
      <c r="BQ3586" s="15"/>
      <c r="BR3586" s="15">
        <v>46027.818136574075</v>
      </c>
      <c r="BS3586" s="10" t="s">
        <v>118</v>
      </c>
      <c r="BT3586" s="10"/>
      <c r="BU3586" s="10"/>
      <c r="BV3586" s="10"/>
      <c r="BW3586" s="10"/>
      <c r="BX3586" s="10"/>
      <c r="BY3586" s="23"/>
      <c r="BZ3586" s="23"/>
      <c r="CA3586" s="19" t="s">
        <v>24770</v>
      </c>
      <c r="CB3586" s="23"/>
      <c r="CC3586" s="23"/>
      <c r="CD3586" s="19" t="s">
        <v>24771</v>
      </c>
      <c r="CE3586" s="23"/>
      <c r="CF3586" s="23"/>
      <c r="CG3586" s="23"/>
      <c r="CH3586" s="23"/>
      <c r="CI3586" s="23"/>
    </row>
    <row r="3587" spans="1:87" x14ac:dyDescent="0.3">
      <c r="A3587" s="9" t="s">
        <v>25123</v>
      </c>
      <c r="B3587" s="10" t="s">
        <v>25124</v>
      </c>
      <c r="C3587" s="11">
        <v>46028.680555555555</v>
      </c>
      <c r="D3587" s="12">
        <v>3.4722222222222224E-2</v>
      </c>
      <c r="E3587" s="11">
        <v>46028.715277777781</v>
      </c>
      <c r="F3587" s="22" t="s">
        <v>24700</v>
      </c>
      <c r="G3587" s="13" t="b">
        <v>0</v>
      </c>
      <c r="H3587" s="22" t="s">
        <v>21384</v>
      </c>
      <c r="I3587" s="10" t="s">
        <v>9131</v>
      </c>
      <c r="J3587" s="13" t="b">
        <v>0</v>
      </c>
      <c r="K3587" s="13" t="b">
        <v>1</v>
      </c>
      <c r="L3587" s="10" t="s">
        <v>124</v>
      </c>
      <c r="M3587" s="10" t="s">
        <v>91</v>
      </c>
      <c r="N3587" s="10" t="s">
        <v>92</v>
      </c>
      <c r="O3587" s="19" t="s">
        <v>25125</v>
      </c>
      <c r="P3587" s="10"/>
      <c r="Q3587" s="10" t="s">
        <v>126</v>
      </c>
      <c r="R3587" s="10"/>
      <c r="S3587" s="19" t="s">
        <v>24768</v>
      </c>
      <c r="T3587" s="10"/>
      <c r="U3587" s="10"/>
      <c r="V3587" s="10"/>
      <c r="W3587" s="10" t="s">
        <v>24703</v>
      </c>
      <c r="X3587" s="10" t="s">
        <v>216</v>
      </c>
      <c r="Y3587" s="10" t="s">
        <v>216</v>
      </c>
      <c r="Z3587" s="10" t="s">
        <v>99</v>
      </c>
      <c r="AA3587" s="10" t="s">
        <v>131</v>
      </c>
      <c r="AB3587" s="10" t="s">
        <v>24704</v>
      </c>
      <c r="AC3587" s="10" t="s">
        <v>21389</v>
      </c>
      <c r="AD3587" s="10" t="s">
        <v>165</v>
      </c>
      <c r="AE3587" s="10" t="s">
        <v>25126</v>
      </c>
      <c r="AF3587" s="15"/>
      <c r="AG3587" s="10"/>
      <c r="AH3587" s="10"/>
      <c r="AI3587" s="10"/>
      <c r="AJ3587" s="10"/>
      <c r="AK3587" s="10" t="s">
        <v>102</v>
      </c>
      <c r="AL3587" s="10"/>
      <c r="AM3587" s="10"/>
      <c r="AN3587" s="10"/>
      <c r="AO3587" s="13" t="b">
        <v>0</v>
      </c>
      <c r="AP3587" s="22" t="s">
        <v>104</v>
      </c>
      <c r="AQ3587" s="10">
        <f ca="1">IFERROR(__xludf.DUMMYFUNCTION("""COMPUTED_VALUE"""),4831555)</f>
        <v>4831555</v>
      </c>
      <c r="AR3587" s="17">
        <v>13209</v>
      </c>
      <c r="AS3587" s="17">
        <v>8990</v>
      </c>
      <c r="AT3587" s="17">
        <v>139674.25</v>
      </c>
      <c r="AU3587" s="17">
        <v>95.25</v>
      </c>
      <c r="AV3587" s="17">
        <v>17.600000000000001</v>
      </c>
      <c r="AW3587" s="10" t="s">
        <v>105</v>
      </c>
      <c r="AX3587" s="17">
        <v>4612</v>
      </c>
      <c r="AY3587" s="18">
        <v>15.536624026696328</v>
      </c>
      <c r="AZ3587" s="10"/>
      <c r="BA3587" s="20" t="b">
        <v>0</v>
      </c>
      <c r="BB3587" s="10" t="s">
        <v>24766</v>
      </c>
      <c r="BC3587" s="17">
        <v>13209</v>
      </c>
      <c r="BD3587" s="17">
        <v>8990</v>
      </c>
      <c r="BE3587" s="17">
        <v>139674.25</v>
      </c>
      <c r="BF3587" s="17">
        <v>17.600000000000001</v>
      </c>
      <c r="BG3587" s="11">
        <f ca="1">IFERROR(__xludf.DUMMYFUNCTION("""COMPUTED_VALUE"""),46028.6805555555)</f>
        <v>46028.680555555497</v>
      </c>
      <c r="BH3587" s="17" t="s">
        <v>105</v>
      </c>
      <c r="BI3587" s="17"/>
      <c r="BJ3587" s="15"/>
      <c r="BK3587" s="15"/>
      <c r="BL3587" s="13" t="b">
        <v>0</v>
      </c>
      <c r="BM3587" s="10"/>
      <c r="BN3587" s="10" t="s">
        <v>118</v>
      </c>
      <c r="BO3587" s="11">
        <v>46027.708333333336</v>
      </c>
      <c r="BP3587" s="11">
        <v>46027.70853009259</v>
      </c>
      <c r="BQ3587" s="15"/>
      <c r="BR3587" s="15">
        <v>46027.81826388889</v>
      </c>
      <c r="BS3587" s="10" t="s">
        <v>118</v>
      </c>
      <c r="BT3587" s="10"/>
      <c r="BU3587" s="10"/>
      <c r="BV3587" s="10"/>
      <c r="BW3587" s="10"/>
      <c r="BX3587" s="10"/>
      <c r="BY3587" s="23"/>
      <c r="BZ3587" s="23"/>
      <c r="CA3587" s="19" t="s">
        <v>24770</v>
      </c>
      <c r="CB3587" s="23"/>
      <c r="CC3587" s="23"/>
      <c r="CD3587" s="19" t="s">
        <v>24771</v>
      </c>
      <c r="CE3587" s="23"/>
      <c r="CF3587" s="23"/>
      <c r="CG3587" s="23"/>
      <c r="CH3587" s="23"/>
      <c r="CI3587" s="23"/>
    </row>
    <row r="3588" spans="1:87" x14ac:dyDescent="0.3">
      <c r="A3588" s="9" t="s">
        <v>25127</v>
      </c>
      <c r="B3588" s="10" t="s">
        <v>25128</v>
      </c>
      <c r="C3588" s="11">
        <v>46028.715277777781</v>
      </c>
      <c r="D3588" s="12">
        <v>3.4722222222222224E-2</v>
      </c>
      <c r="E3588" s="11">
        <v>46028.75</v>
      </c>
      <c r="F3588" s="22" t="s">
        <v>24700</v>
      </c>
      <c r="G3588" s="13" t="b">
        <v>0</v>
      </c>
      <c r="H3588" s="22" t="s">
        <v>21384</v>
      </c>
      <c r="I3588" s="10" t="s">
        <v>9131</v>
      </c>
      <c r="J3588" s="13" t="b">
        <v>0</v>
      </c>
      <c r="K3588" s="13" t="b">
        <v>1</v>
      </c>
      <c r="L3588" s="10" t="s">
        <v>124</v>
      </c>
      <c r="M3588" s="10" t="s">
        <v>91</v>
      </c>
      <c r="N3588" s="10" t="s">
        <v>92</v>
      </c>
      <c r="O3588" s="19" t="s">
        <v>25129</v>
      </c>
      <c r="P3588" s="10"/>
      <c r="Q3588" s="10" t="s">
        <v>126</v>
      </c>
      <c r="R3588" s="10"/>
      <c r="S3588" s="19" t="s">
        <v>24768</v>
      </c>
      <c r="T3588" s="10"/>
      <c r="U3588" s="10"/>
      <c r="V3588" s="10"/>
      <c r="W3588" s="10" t="s">
        <v>24703</v>
      </c>
      <c r="X3588" s="10" t="s">
        <v>216</v>
      </c>
      <c r="Y3588" s="10" t="s">
        <v>216</v>
      </c>
      <c r="Z3588" s="10" t="s">
        <v>99</v>
      </c>
      <c r="AA3588" s="10" t="s">
        <v>131</v>
      </c>
      <c r="AB3588" s="10" t="s">
        <v>24704</v>
      </c>
      <c r="AC3588" s="10" t="s">
        <v>21389</v>
      </c>
      <c r="AD3588" s="10" t="s">
        <v>165</v>
      </c>
      <c r="AE3588" s="10" t="s">
        <v>25130</v>
      </c>
      <c r="AF3588" s="15"/>
      <c r="AG3588" s="10"/>
      <c r="AH3588" s="10"/>
      <c r="AI3588" s="10"/>
      <c r="AJ3588" s="10"/>
      <c r="AK3588" s="10" t="s">
        <v>102</v>
      </c>
      <c r="AL3588" s="10"/>
      <c r="AM3588" s="10"/>
      <c r="AN3588" s="10"/>
      <c r="AO3588" s="13" t="b">
        <v>0</v>
      </c>
      <c r="AP3588" s="22" t="s">
        <v>104</v>
      </c>
      <c r="AQ3588" s="10">
        <f ca="1">IFERROR(__xludf.DUMMYFUNCTION("""COMPUTED_VALUE"""),4831556)</f>
        <v>4831556</v>
      </c>
      <c r="AR3588" s="17">
        <v>11049</v>
      </c>
      <c r="AS3588" s="17">
        <v>7414</v>
      </c>
      <c r="AT3588" s="17">
        <v>62600.75</v>
      </c>
      <c r="AU3588" s="17">
        <v>47.45</v>
      </c>
      <c r="AV3588" s="17">
        <v>6.7</v>
      </c>
      <c r="AW3588" s="10" t="s">
        <v>105</v>
      </c>
      <c r="AX3588" s="17">
        <v>3437</v>
      </c>
      <c r="AY3588" s="18">
        <v>8.4435864580523337</v>
      </c>
      <c r="AZ3588" s="10"/>
      <c r="BA3588" s="20" t="b">
        <v>0</v>
      </c>
      <c r="BB3588" s="10" t="s">
        <v>24766</v>
      </c>
      <c r="BC3588" s="17">
        <v>11049</v>
      </c>
      <c r="BD3588" s="17">
        <v>7414</v>
      </c>
      <c r="BE3588" s="17">
        <v>62600.75</v>
      </c>
      <c r="BF3588" s="17">
        <v>6.7</v>
      </c>
      <c r="BG3588" s="11">
        <f ca="1">IFERROR(__xludf.DUMMYFUNCTION("""COMPUTED_VALUE"""),46028.7152777777)</f>
        <v>46028.715277777701</v>
      </c>
      <c r="BH3588" s="17" t="s">
        <v>105</v>
      </c>
      <c r="BI3588" s="17"/>
      <c r="BJ3588" s="15"/>
      <c r="BK3588" s="15"/>
      <c r="BL3588" s="13" t="b">
        <v>0</v>
      </c>
      <c r="BM3588" s="10"/>
      <c r="BN3588" s="10" t="s">
        <v>118</v>
      </c>
      <c r="BO3588" s="11">
        <v>46027.708333333336</v>
      </c>
      <c r="BP3588" s="11">
        <v>46027.708773148152</v>
      </c>
      <c r="BQ3588" s="15"/>
      <c r="BR3588" s="15">
        <v>46027.818391203706</v>
      </c>
      <c r="BS3588" s="10" t="s">
        <v>118</v>
      </c>
      <c r="BT3588" s="10"/>
      <c r="BU3588" s="10"/>
      <c r="BV3588" s="10"/>
      <c r="BW3588" s="10"/>
      <c r="BX3588" s="10"/>
      <c r="BY3588" s="23"/>
      <c r="BZ3588" s="23"/>
      <c r="CA3588" s="19" t="s">
        <v>24770</v>
      </c>
      <c r="CB3588" s="23"/>
      <c r="CC3588" s="23"/>
      <c r="CD3588" s="19" t="s">
        <v>24771</v>
      </c>
      <c r="CE3588" s="23"/>
      <c r="CF3588" s="23"/>
      <c r="CG3588" s="23"/>
      <c r="CH3588" s="23"/>
      <c r="CI3588" s="23"/>
    </row>
    <row r="3589" spans="1:87" x14ac:dyDescent="0.3">
      <c r="A3589" s="9" t="s">
        <v>25131</v>
      </c>
      <c r="B3589" s="10" t="s">
        <v>25132</v>
      </c>
      <c r="C3589" s="11">
        <v>46028.822916666664</v>
      </c>
      <c r="D3589" s="12">
        <v>3.4722222222222224E-2</v>
      </c>
      <c r="E3589" s="11">
        <v>46028.857638888891</v>
      </c>
      <c r="F3589" s="22" t="s">
        <v>24700</v>
      </c>
      <c r="G3589" s="13" t="b">
        <v>0</v>
      </c>
      <c r="H3589" s="22" t="s">
        <v>21384</v>
      </c>
      <c r="I3589" s="10" t="s">
        <v>9131</v>
      </c>
      <c r="J3589" s="13" t="b">
        <v>0</v>
      </c>
      <c r="K3589" s="13" t="b">
        <v>1</v>
      </c>
      <c r="L3589" s="10" t="s">
        <v>124</v>
      </c>
      <c r="M3589" s="10" t="s">
        <v>91</v>
      </c>
      <c r="N3589" s="10" t="s">
        <v>92</v>
      </c>
      <c r="O3589" s="19" t="s">
        <v>25133</v>
      </c>
      <c r="P3589" s="10"/>
      <c r="Q3589" s="10" t="s">
        <v>126</v>
      </c>
      <c r="R3589" s="10"/>
      <c r="S3589" s="19" t="s">
        <v>24768</v>
      </c>
      <c r="T3589" s="10"/>
      <c r="U3589" s="10"/>
      <c r="V3589" s="10"/>
      <c r="W3589" s="10" t="s">
        <v>24703</v>
      </c>
      <c r="X3589" s="10" t="s">
        <v>216</v>
      </c>
      <c r="Y3589" s="10" t="s">
        <v>216</v>
      </c>
      <c r="Z3589" s="10" t="s">
        <v>99</v>
      </c>
      <c r="AA3589" s="10" t="s">
        <v>131</v>
      </c>
      <c r="AB3589" s="10" t="s">
        <v>24704</v>
      </c>
      <c r="AC3589" s="10" t="s">
        <v>21389</v>
      </c>
      <c r="AD3589" s="10" t="s">
        <v>165</v>
      </c>
      <c r="AE3589" s="10" t="s">
        <v>25134</v>
      </c>
      <c r="AF3589" s="15"/>
      <c r="AG3589" s="10"/>
      <c r="AH3589" s="10"/>
      <c r="AI3589" s="10"/>
      <c r="AJ3589" s="10"/>
      <c r="AK3589" s="10" t="s">
        <v>102</v>
      </c>
      <c r="AL3589" s="10"/>
      <c r="AM3589" s="10"/>
      <c r="AN3589" s="10"/>
      <c r="AO3589" s="13" t="b">
        <v>0</v>
      </c>
      <c r="AP3589" s="22" t="s">
        <v>135</v>
      </c>
      <c r="AQ3589" s="10">
        <f ca="1">IFERROR(__xludf.DUMMYFUNCTION("""COMPUTED_VALUE"""),4832216)</f>
        <v>4832216</v>
      </c>
      <c r="AR3589" s="17">
        <v>6072</v>
      </c>
      <c r="AS3589" s="17">
        <v>4040</v>
      </c>
      <c r="AT3589" s="17">
        <v>45214.75</v>
      </c>
      <c r="AU3589" s="17">
        <v>29.65</v>
      </c>
      <c r="AV3589" s="17">
        <v>8.1999999999999993</v>
      </c>
      <c r="AW3589" s="10" t="s">
        <v>105</v>
      </c>
      <c r="AX3589" s="17">
        <v>1400</v>
      </c>
      <c r="AY3589" s="18">
        <v>11.191769801980199</v>
      </c>
      <c r="AZ3589" s="10"/>
      <c r="BA3589" s="20" t="b">
        <v>0</v>
      </c>
      <c r="BB3589" s="10" t="s">
        <v>24775</v>
      </c>
      <c r="BC3589" s="17">
        <v>6072</v>
      </c>
      <c r="BD3589" s="17">
        <v>4040</v>
      </c>
      <c r="BE3589" s="17">
        <v>45214.75</v>
      </c>
      <c r="BF3589" s="17">
        <v>8.1999999999999993</v>
      </c>
      <c r="BG3589" s="11">
        <f ca="1">IFERROR(__xludf.DUMMYFUNCTION("""COMPUTED_VALUE"""),46028.8229166666)</f>
        <v>46028.822916666599</v>
      </c>
      <c r="BH3589" s="17" t="s">
        <v>105</v>
      </c>
      <c r="BI3589" s="17"/>
      <c r="BJ3589" s="15"/>
      <c r="BK3589" s="15"/>
      <c r="BL3589" s="13" t="b">
        <v>0</v>
      </c>
      <c r="BM3589" s="10"/>
      <c r="BN3589" s="10" t="s">
        <v>197</v>
      </c>
      <c r="BO3589" s="11">
        <v>46027.708333333336</v>
      </c>
      <c r="BP3589" s="11">
        <v>46028.876354166663</v>
      </c>
      <c r="BQ3589" s="15"/>
      <c r="BR3589" s="15">
        <v>46028.895729166667</v>
      </c>
      <c r="BS3589" s="10" t="s">
        <v>197</v>
      </c>
      <c r="BT3589" s="10"/>
      <c r="BU3589" s="10"/>
      <c r="BV3589" s="10"/>
      <c r="BW3589" s="10"/>
      <c r="BX3589" s="10"/>
      <c r="BY3589" s="23"/>
      <c r="BZ3589" s="23"/>
      <c r="CA3589" s="19" t="s">
        <v>24770</v>
      </c>
      <c r="CB3589" s="23"/>
      <c r="CC3589" s="23"/>
      <c r="CD3589" s="19" t="s">
        <v>24771</v>
      </c>
      <c r="CE3589" s="23"/>
      <c r="CF3589" s="23"/>
      <c r="CG3589" s="23"/>
      <c r="CH3589" s="23"/>
      <c r="CI3589" s="23"/>
    </row>
    <row r="3590" spans="1:87" x14ac:dyDescent="0.3">
      <c r="A3590" s="9" t="s">
        <v>25135</v>
      </c>
      <c r="B3590" s="10" t="s">
        <v>25136</v>
      </c>
      <c r="C3590" s="11">
        <v>46039.791666666664</v>
      </c>
      <c r="D3590" s="12">
        <v>0.14583333333333334</v>
      </c>
      <c r="E3590" s="11">
        <v>46039.9375</v>
      </c>
      <c r="F3590" s="22" t="s">
        <v>24420</v>
      </c>
      <c r="G3590" s="13" t="b">
        <v>0</v>
      </c>
      <c r="H3590" s="22" t="s">
        <v>8403</v>
      </c>
      <c r="I3590" s="10" t="s">
        <v>212</v>
      </c>
      <c r="J3590" s="13" t="b">
        <v>1</v>
      </c>
      <c r="K3590" s="13" t="b">
        <v>0</v>
      </c>
      <c r="L3590" s="10" t="s">
        <v>124</v>
      </c>
      <c r="M3590" s="10" t="s">
        <v>91</v>
      </c>
      <c r="N3590" s="10" t="s">
        <v>92</v>
      </c>
      <c r="O3590" s="10"/>
      <c r="P3590" s="10"/>
      <c r="Q3590" s="10" t="s">
        <v>126</v>
      </c>
      <c r="R3590" s="19" t="s">
        <v>25137</v>
      </c>
      <c r="S3590" s="10"/>
      <c r="T3590" s="10"/>
      <c r="U3590" s="10"/>
      <c r="V3590" s="10"/>
      <c r="W3590" s="10" t="s">
        <v>8407</v>
      </c>
      <c r="X3590" s="10" t="s">
        <v>8408</v>
      </c>
      <c r="Y3590" s="10" t="s">
        <v>8409</v>
      </c>
      <c r="Z3590" s="10" t="s">
        <v>99</v>
      </c>
      <c r="AA3590" s="10" t="s">
        <v>100</v>
      </c>
      <c r="AB3590" s="10" t="s">
        <v>24424</v>
      </c>
      <c r="AC3590" s="10" t="s">
        <v>24425</v>
      </c>
      <c r="AD3590" s="10" t="s">
        <v>165</v>
      </c>
      <c r="AE3590" s="10" t="s">
        <v>25138</v>
      </c>
      <c r="AF3590" s="15"/>
      <c r="AG3590" s="10"/>
      <c r="AH3590" s="10"/>
      <c r="AI3590" s="10"/>
      <c r="AJ3590" s="10"/>
      <c r="AK3590" s="10"/>
      <c r="AL3590" s="10"/>
      <c r="AM3590" s="10"/>
      <c r="AN3590" s="10"/>
      <c r="AO3590" s="13" t="b">
        <v>0</v>
      </c>
      <c r="AP3590" s="22" t="s">
        <v>221</v>
      </c>
      <c r="AQ3590" s="10"/>
      <c r="AR3590" s="17"/>
      <c r="AS3590" s="17"/>
      <c r="AT3590" s="17"/>
      <c r="AU3590" s="17"/>
      <c r="AV3590" s="17"/>
      <c r="AW3590" s="10"/>
      <c r="AX3590" s="17"/>
      <c r="AY3590" s="18" t="s">
        <v>257</v>
      </c>
      <c r="AZ3590" s="10"/>
      <c r="BA3590" s="20" t="b">
        <v>0</v>
      </c>
      <c r="BB3590" s="10"/>
      <c r="BC3590" s="17" t="s">
        <v>257</v>
      </c>
      <c r="BD3590" s="17" t="s">
        <v>257</v>
      </c>
      <c r="BE3590" s="17" t="s">
        <v>257</v>
      </c>
      <c r="BF3590" s="17" t="s">
        <v>257</v>
      </c>
      <c r="BG3590" s="11">
        <f ca="1">IFERROR(__xludf.DUMMYFUNCTION("""COMPUTED_VALUE"""),46039.7916666666)</f>
        <v>46039.791666666599</v>
      </c>
      <c r="BH3590" s="17"/>
      <c r="BI3590" s="17"/>
      <c r="BJ3590" s="15"/>
      <c r="BK3590" s="15"/>
      <c r="BL3590" s="13" t="b">
        <v>0</v>
      </c>
      <c r="BM3590" s="10"/>
      <c r="BN3590" s="10" t="s">
        <v>3527</v>
      </c>
      <c r="BO3590" s="11">
        <v>46027.695833333331</v>
      </c>
      <c r="BP3590" s="11">
        <v>46027.69703703704</v>
      </c>
      <c r="BQ3590" s="15"/>
      <c r="BR3590" s="15"/>
      <c r="BS3590" s="10"/>
      <c r="BT3590" s="10"/>
      <c r="BU3590" s="10"/>
      <c r="BV3590" s="10"/>
      <c r="BW3590" s="10"/>
      <c r="BX3590" s="10"/>
      <c r="BY3590" s="23"/>
      <c r="BZ3590" s="23"/>
      <c r="CA3590" s="10"/>
      <c r="CB3590" s="23"/>
      <c r="CC3590" s="23"/>
      <c r="CD3590" s="23"/>
      <c r="CE3590" s="23"/>
      <c r="CF3590" s="23"/>
      <c r="CG3590" s="23"/>
      <c r="CH3590" s="23"/>
      <c r="CI3590" s="23"/>
    </row>
    <row r="3591" spans="1:87" x14ac:dyDescent="0.3">
      <c r="A3591" s="9" t="s">
        <v>25139</v>
      </c>
      <c r="B3591" s="10" t="s">
        <v>25140</v>
      </c>
      <c r="C3591" s="11">
        <v>46028.336805555555</v>
      </c>
      <c r="D3591" s="12">
        <v>3.4722222222222224E-2</v>
      </c>
      <c r="E3591" s="11">
        <v>46028.371527777781</v>
      </c>
      <c r="F3591" s="22" t="s">
        <v>24700</v>
      </c>
      <c r="G3591" s="13" t="b">
        <v>0</v>
      </c>
      <c r="H3591" s="22" t="s">
        <v>21384</v>
      </c>
      <c r="I3591" s="10" t="s">
        <v>9131</v>
      </c>
      <c r="J3591" s="13" t="b">
        <v>0</v>
      </c>
      <c r="K3591" s="13" t="b">
        <v>1</v>
      </c>
      <c r="L3591" s="10" t="s">
        <v>124</v>
      </c>
      <c r="M3591" s="10" t="s">
        <v>91</v>
      </c>
      <c r="N3591" s="10" t="s">
        <v>92</v>
      </c>
      <c r="O3591" s="19" t="s">
        <v>25141</v>
      </c>
      <c r="P3591" s="10"/>
      <c r="Q3591" s="10" t="s">
        <v>94</v>
      </c>
      <c r="R3591" s="10"/>
      <c r="S3591" s="19" t="s">
        <v>24777</v>
      </c>
      <c r="T3591" s="10"/>
      <c r="U3591" s="10"/>
      <c r="V3591" s="10"/>
      <c r="W3591" s="10" t="s">
        <v>24703</v>
      </c>
      <c r="X3591" s="10" t="s">
        <v>216</v>
      </c>
      <c r="Y3591" s="10" t="s">
        <v>216</v>
      </c>
      <c r="Z3591" s="10" t="s">
        <v>99</v>
      </c>
      <c r="AA3591" s="10" t="s">
        <v>131</v>
      </c>
      <c r="AB3591" s="10" t="s">
        <v>24704</v>
      </c>
      <c r="AC3591" s="10" t="s">
        <v>21389</v>
      </c>
      <c r="AD3591" s="10" t="s">
        <v>165</v>
      </c>
      <c r="AE3591" s="10" t="s">
        <v>25142</v>
      </c>
      <c r="AF3591" s="15"/>
      <c r="AG3591" s="10"/>
      <c r="AH3591" s="10"/>
      <c r="AI3591" s="10"/>
      <c r="AJ3591" s="10"/>
      <c r="AK3591" s="10" t="s">
        <v>102</v>
      </c>
      <c r="AL3591" s="10"/>
      <c r="AM3591" s="10"/>
      <c r="AN3591" s="10"/>
      <c r="AO3591" s="13" t="b">
        <v>0</v>
      </c>
      <c r="AP3591" s="22" t="s">
        <v>135</v>
      </c>
      <c r="AQ3591" s="10">
        <f ca="1">IFERROR(__xludf.DUMMYFUNCTION("""COMPUTED_VALUE"""),4831559)</f>
        <v>4831559</v>
      </c>
      <c r="AR3591" s="17">
        <v>1664</v>
      </c>
      <c r="AS3591" s="17">
        <v>1291</v>
      </c>
      <c r="AT3591" s="17">
        <v>9867.5</v>
      </c>
      <c r="AU3591" s="17">
        <v>9.5</v>
      </c>
      <c r="AV3591" s="17">
        <v>0.5</v>
      </c>
      <c r="AW3591" s="10" t="s">
        <v>105</v>
      </c>
      <c r="AX3591" s="17">
        <v>320</v>
      </c>
      <c r="AY3591" s="18">
        <v>7.6432997676219987</v>
      </c>
      <c r="AZ3591" s="10"/>
      <c r="BA3591" s="20" t="b">
        <v>0</v>
      </c>
      <c r="BB3591" s="10" t="s">
        <v>24775</v>
      </c>
      <c r="BC3591" s="17">
        <v>1664</v>
      </c>
      <c r="BD3591" s="17">
        <v>1291</v>
      </c>
      <c r="BE3591" s="17">
        <v>9867.5</v>
      </c>
      <c r="BF3591" s="17">
        <v>0.5</v>
      </c>
      <c r="BG3591" s="11">
        <f ca="1">IFERROR(__xludf.DUMMYFUNCTION("""COMPUTED_VALUE"""),46028.3368055555)</f>
        <v>46028.336805555497</v>
      </c>
      <c r="BH3591" s="17" t="s">
        <v>105</v>
      </c>
      <c r="BI3591" s="17"/>
      <c r="BJ3591" s="15"/>
      <c r="BK3591" s="15"/>
      <c r="BL3591" s="13" t="b">
        <v>0</v>
      </c>
      <c r="BM3591" s="10"/>
      <c r="BN3591" s="10" t="s">
        <v>118</v>
      </c>
      <c r="BO3591" s="11">
        <v>46027.711805555555</v>
      </c>
      <c r="BP3591" s="11">
        <v>46027.712430555555</v>
      </c>
      <c r="BQ3591" s="15"/>
      <c r="BR3591" s="15">
        <v>46027.81890046296</v>
      </c>
      <c r="BS3591" s="10" t="s">
        <v>118</v>
      </c>
      <c r="BT3591" s="10"/>
      <c r="BU3591" s="10"/>
      <c r="BV3591" s="10"/>
      <c r="BW3591" s="10"/>
      <c r="BX3591" s="10"/>
      <c r="BY3591" s="23"/>
      <c r="BZ3591" s="23"/>
      <c r="CA3591" s="19" t="s">
        <v>24778</v>
      </c>
      <c r="CB3591" s="23"/>
      <c r="CC3591" s="23"/>
      <c r="CD3591" s="23"/>
      <c r="CE3591" s="23"/>
      <c r="CF3591" s="23"/>
      <c r="CG3591" s="23"/>
      <c r="CH3591" s="23"/>
      <c r="CI3591" s="23"/>
    </row>
    <row r="3592" spans="1:87" x14ac:dyDescent="0.3">
      <c r="A3592" s="9" t="s">
        <v>25143</v>
      </c>
      <c r="B3592" s="10" t="s">
        <v>25144</v>
      </c>
      <c r="C3592" s="11">
        <v>46028.371527777781</v>
      </c>
      <c r="D3592" s="12">
        <v>3.4722222222222224E-2</v>
      </c>
      <c r="E3592" s="11">
        <v>46028.40625</v>
      </c>
      <c r="F3592" s="22" t="s">
        <v>24700</v>
      </c>
      <c r="G3592" s="13" t="b">
        <v>0</v>
      </c>
      <c r="H3592" s="22" t="s">
        <v>21384</v>
      </c>
      <c r="I3592" s="10" t="s">
        <v>9131</v>
      </c>
      <c r="J3592" s="13" t="b">
        <v>0</v>
      </c>
      <c r="K3592" s="13" t="b">
        <v>1</v>
      </c>
      <c r="L3592" s="10" t="s">
        <v>124</v>
      </c>
      <c r="M3592" s="10" t="s">
        <v>91</v>
      </c>
      <c r="N3592" s="10" t="s">
        <v>92</v>
      </c>
      <c r="O3592" s="19" t="s">
        <v>25145</v>
      </c>
      <c r="P3592" s="10"/>
      <c r="Q3592" s="10" t="s">
        <v>94</v>
      </c>
      <c r="R3592" s="10"/>
      <c r="S3592" s="19" t="s">
        <v>24777</v>
      </c>
      <c r="T3592" s="10"/>
      <c r="U3592" s="10"/>
      <c r="V3592" s="10"/>
      <c r="W3592" s="10" t="s">
        <v>24703</v>
      </c>
      <c r="X3592" s="10" t="s">
        <v>216</v>
      </c>
      <c r="Y3592" s="10" t="s">
        <v>216</v>
      </c>
      <c r="Z3592" s="10" t="s">
        <v>99</v>
      </c>
      <c r="AA3592" s="10" t="s">
        <v>131</v>
      </c>
      <c r="AB3592" s="10" t="s">
        <v>24704</v>
      </c>
      <c r="AC3592" s="10" t="s">
        <v>21389</v>
      </c>
      <c r="AD3592" s="10" t="s">
        <v>165</v>
      </c>
      <c r="AE3592" s="10" t="s">
        <v>25146</v>
      </c>
      <c r="AF3592" s="15"/>
      <c r="AG3592" s="10"/>
      <c r="AH3592" s="10"/>
      <c r="AI3592" s="10"/>
      <c r="AJ3592" s="10"/>
      <c r="AK3592" s="10" t="s">
        <v>102</v>
      </c>
      <c r="AL3592" s="10"/>
      <c r="AM3592" s="10"/>
      <c r="AN3592" s="10"/>
      <c r="AO3592" s="13" t="b">
        <v>0</v>
      </c>
      <c r="AP3592" s="22" t="s">
        <v>135</v>
      </c>
      <c r="AQ3592" s="10">
        <f ca="1">IFERROR(__xludf.DUMMYFUNCTION("""COMPUTED_VALUE"""),4831560)</f>
        <v>4831560</v>
      </c>
      <c r="AR3592" s="17">
        <v>2358</v>
      </c>
      <c r="AS3592" s="17">
        <v>1724</v>
      </c>
      <c r="AT3592" s="17">
        <v>13901.25</v>
      </c>
      <c r="AU3592" s="17">
        <v>8.35</v>
      </c>
      <c r="AV3592" s="17">
        <v>1.1000000000000001</v>
      </c>
      <c r="AW3592" s="10" t="s">
        <v>105</v>
      </c>
      <c r="AX3592" s="17">
        <v>490</v>
      </c>
      <c r="AY3592" s="18">
        <v>8.0633700696055683</v>
      </c>
      <c r="AZ3592" s="10"/>
      <c r="BA3592" s="20" t="b">
        <v>0</v>
      </c>
      <c r="BB3592" s="10" t="s">
        <v>24775</v>
      </c>
      <c r="BC3592" s="17">
        <v>2358</v>
      </c>
      <c r="BD3592" s="17">
        <v>1724</v>
      </c>
      <c r="BE3592" s="17">
        <v>13901.25</v>
      </c>
      <c r="BF3592" s="17">
        <v>1.1000000000000001</v>
      </c>
      <c r="BG3592" s="11">
        <f ca="1">IFERROR(__xludf.DUMMYFUNCTION("""COMPUTED_VALUE"""),46028.3715277777)</f>
        <v>46028.371527777701</v>
      </c>
      <c r="BH3592" s="17" t="s">
        <v>105</v>
      </c>
      <c r="BI3592" s="17"/>
      <c r="BJ3592" s="15"/>
      <c r="BK3592" s="15"/>
      <c r="BL3592" s="13" t="b">
        <v>0</v>
      </c>
      <c r="BM3592" s="10"/>
      <c r="BN3592" s="10" t="s">
        <v>118</v>
      </c>
      <c r="BO3592" s="11">
        <v>46027.712500000001</v>
      </c>
      <c r="BP3592" s="11">
        <v>46027.712824074071</v>
      </c>
      <c r="BQ3592" s="15"/>
      <c r="BR3592" s="15">
        <v>46027.819027777776</v>
      </c>
      <c r="BS3592" s="10" t="s">
        <v>118</v>
      </c>
      <c r="BT3592" s="10"/>
      <c r="BU3592" s="10"/>
      <c r="BV3592" s="10"/>
      <c r="BW3592" s="10"/>
      <c r="BX3592" s="10"/>
      <c r="BY3592" s="23"/>
      <c r="BZ3592" s="23"/>
      <c r="CA3592" s="19" t="s">
        <v>24778</v>
      </c>
      <c r="CB3592" s="23"/>
      <c r="CC3592" s="23"/>
      <c r="CD3592" s="23"/>
      <c r="CE3592" s="23"/>
      <c r="CF3592" s="23"/>
      <c r="CG3592" s="23"/>
      <c r="CH3592" s="23"/>
      <c r="CI3592" s="23"/>
    </row>
    <row r="3593" spans="1:87" x14ac:dyDescent="0.3">
      <c r="A3593" s="9" t="s">
        <v>25147</v>
      </c>
      <c r="B3593" s="10" t="s">
        <v>25148</v>
      </c>
      <c r="C3593" s="11">
        <v>46028.40625</v>
      </c>
      <c r="D3593" s="12">
        <v>3.4722222222222224E-2</v>
      </c>
      <c r="E3593" s="11">
        <v>46028.440972222219</v>
      </c>
      <c r="F3593" s="22" t="s">
        <v>24700</v>
      </c>
      <c r="G3593" s="13" t="b">
        <v>0</v>
      </c>
      <c r="H3593" s="22" t="s">
        <v>21384</v>
      </c>
      <c r="I3593" s="10" t="s">
        <v>9131</v>
      </c>
      <c r="J3593" s="13" t="b">
        <v>0</v>
      </c>
      <c r="K3593" s="13" t="b">
        <v>1</v>
      </c>
      <c r="L3593" s="10" t="s">
        <v>358</v>
      </c>
      <c r="M3593" s="10" t="s">
        <v>91</v>
      </c>
      <c r="N3593" s="10" t="s">
        <v>92</v>
      </c>
      <c r="O3593" s="19" t="s">
        <v>25149</v>
      </c>
      <c r="P3593" s="10"/>
      <c r="Q3593" s="10" t="s">
        <v>94</v>
      </c>
      <c r="R3593" s="10"/>
      <c r="S3593" s="19" t="s">
        <v>24777</v>
      </c>
      <c r="T3593" s="10"/>
      <c r="U3593" s="10"/>
      <c r="V3593" s="10"/>
      <c r="W3593" s="10" t="s">
        <v>24703</v>
      </c>
      <c r="X3593" s="10" t="s">
        <v>216</v>
      </c>
      <c r="Y3593" s="10" t="s">
        <v>216</v>
      </c>
      <c r="Z3593" s="10" t="s">
        <v>99</v>
      </c>
      <c r="AA3593" s="10" t="s">
        <v>131</v>
      </c>
      <c r="AB3593" s="10" t="s">
        <v>24704</v>
      </c>
      <c r="AC3593" s="10" t="s">
        <v>21389</v>
      </c>
      <c r="AD3593" s="10" t="s">
        <v>165</v>
      </c>
      <c r="AE3593" s="10" t="s">
        <v>25150</v>
      </c>
      <c r="AF3593" s="15"/>
      <c r="AG3593" s="10"/>
      <c r="AH3593" s="10"/>
      <c r="AI3593" s="10"/>
      <c r="AJ3593" s="10"/>
      <c r="AK3593" s="10" t="s">
        <v>102</v>
      </c>
      <c r="AL3593" s="10"/>
      <c r="AM3593" s="10"/>
      <c r="AN3593" s="10"/>
      <c r="AO3593" s="13" t="b">
        <v>0</v>
      </c>
      <c r="AP3593" s="22" t="s">
        <v>221</v>
      </c>
      <c r="AQ3593" s="10">
        <f ca="1">IFERROR(__xludf.DUMMYFUNCTION("""COMPUTED_VALUE"""),4831561)</f>
        <v>4831561</v>
      </c>
      <c r="AR3593" s="17">
        <v>2295</v>
      </c>
      <c r="AS3593" s="17">
        <v>1644</v>
      </c>
      <c r="AT3593" s="17">
        <v>7855.5</v>
      </c>
      <c r="AU3593" s="17">
        <v>7.05</v>
      </c>
      <c r="AV3593" s="17">
        <v>2.4</v>
      </c>
      <c r="AW3593" s="10" t="s">
        <v>105</v>
      </c>
      <c r="AX3593" s="17">
        <v>856</v>
      </c>
      <c r="AY3593" s="18">
        <v>4.7782846715328464</v>
      </c>
      <c r="AZ3593" s="10"/>
      <c r="BA3593" s="20" t="b">
        <v>0</v>
      </c>
      <c r="BB3593" s="10" t="s">
        <v>24775</v>
      </c>
      <c r="BC3593" s="17">
        <v>2295</v>
      </c>
      <c r="BD3593" s="17">
        <v>1644</v>
      </c>
      <c r="BE3593" s="17">
        <v>7855.5</v>
      </c>
      <c r="BF3593" s="17">
        <v>2.4</v>
      </c>
      <c r="BG3593" s="11">
        <f ca="1">IFERROR(__xludf.DUMMYFUNCTION("""COMPUTED_VALUE"""),46028.40625)</f>
        <v>46028.40625</v>
      </c>
      <c r="BH3593" s="17" t="s">
        <v>105</v>
      </c>
      <c r="BI3593" s="17"/>
      <c r="BJ3593" s="15"/>
      <c r="BK3593" s="15"/>
      <c r="BL3593" s="13" t="b">
        <v>0</v>
      </c>
      <c r="BM3593" s="10"/>
      <c r="BN3593" s="10" t="s">
        <v>118</v>
      </c>
      <c r="BO3593" s="11">
        <v>46027.713194444441</v>
      </c>
      <c r="BP3593" s="11">
        <v>46027.71334490741</v>
      </c>
      <c r="BQ3593" s="15"/>
      <c r="BR3593" s="15">
        <v>46027.819155092591</v>
      </c>
      <c r="BS3593" s="10" t="s">
        <v>118</v>
      </c>
      <c r="BT3593" s="10"/>
      <c r="BU3593" s="10"/>
      <c r="BV3593" s="10"/>
      <c r="BW3593" s="10"/>
      <c r="BX3593" s="10"/>
      <c r="BY3593" s="23"/>
      <c r="BZ3593" s="23"/>
      <c r="CA3593" s="19" t="s">
        <v>24778</v>
      </c>
      <c r="CB3593" s="23"/>
      <c r="CC3593" s="23"/>
      <c r="CD3593" s="23"/>
      <c r="CE3593" s="23"/>
      <c r="CF3593" s="23"/>
      <c r="CG3593" s="23"/>
      <c r="CH3593" s="23"/>
      <c r="CI3593" s="23"/>
    </row>
    <row r="3594" spans="1:87" x14ac:dyDescent="0.3">
      <c r="A3594" s="9" t="s">
        <v>25151</v>
      </c>
      <c r="B3594" s="10" t="s">
        <v>25152</v>
      </c>
      <c r="C3594" s="11">
        <v>46028.440972222219</v>
      </c>
      <c r="D3594" s="12">
        <v>3.4722222222222224E-2</v>
      </c>
      <c r="E3594" s="11">
        <v>46028.475694444445</v>
      </c>
      <c r="F3594" s="22" t="s">
        <v>24700</v>
      </c>
      <c r="G3594" s="13" t="b">
        <v>0</v>
      </c>
      <c r="H3594" s="22" t="s">
        <v>21384</v>
      </c>
      <c r="I3594" s="10" t="s">
        <v>9131</v>
      </c>
      <c r="J3594" s="13" t="b">
        <v>0</v>
      </c>
      <c r="K3594" s="13" t="b">
        <v>1</v>
      </c>
      <c r="L3594" s="10" t="s">
        <v>124</v>
      </c>
      <c r="M3594" s="10" t="s">
        <v>91</v>
      </c>
      <c r="N3594" s="10" t="s">
        <v>92</v>
      </c>
      <c r="O3594" s="19" t="s">
        <v>25153</v>
      </c>
      <c r="P3594" s="10"/>
      <c r="Q3594" s="10" t="s">
        <v>94</v>
      </c>
      <c r="R3594" s="10"/>
      <c r="S3594" s="19" t="s">
        <v>24777</v>
      </c>
      <c r="T3594" s="10"/>
      <c r="U3594" s="10"/>
      <c r="V3594" s="10"/>
      <c r="W3594" s="10" t="s">
        <v>24703</v>
      </c>
      <c r="X3594" s="10" t="s">
        <v>216</v>
      </c>
      <c r="Y3594" s="10" t="s">
        <v>216</v>
      </c>
      <c r="Z3594" s="10" t="s">
        <v>99</v>
      </c>
      <c r="AA3594" s="10" t="s">
        <v>131</v>
      </c>
      <c r="AB3594" s="10" t="s">
        <v>24704</v>
      </c>
      <c r="AC3594" s="10" t="s">
        <v>21389</v>
      </c>
      <c r="AD3594" s="10" t="s">
        <v>165</v>
      </c>
      <c r="AE3594" s="10" t="s">
        <v>25154</v>
      </c>
      <c r="AF3594" s="15"/>
      <c r="AG3594" s="10"/>
      <c r="AH3594" s="10"/>
      <c r="AI3594" s="10"/>
      <c r="AJ3594" s="10"/>
      <c r="AK3594" s="10" t="s">
        <v>102</v>
      </c>
      <c r="AL3594" s="10"/>
      <c r="AM3594" s="10"/>
      <c r="AN3594" s="10"/>
      <c r="AO3594" s="13" t="b">
        <v>0</v>
      </c>
      <c r="AP3594" s="22" t="s">
        <v>135</v>
      </c>
      <c r="AQ3594" s="10">
        <f ca="1">IFERROR(__xludf.DUMMYFUNCTION("""COMPUTED_VALUE"""),4831563)</f>
        <v>4831563</v>
      </c>
      <c r="AR3594" s="17">
        <v>3645</v>
      </c>
      <c r="AS3594" s="17">
        <v>2419</v>
      </c>
      <c r="AT3594" s="17">
        <v>13015.75</v>
      </c>
      <c r="AU3594" s="17">
        <v>5.4</v>
      </c>
      <c r="AV3594" s="17">
        <v>0.95</v>
      </c>
      <c r="AW3594" s="10" t="s">
        <v>105</v>
      </c>
      <c r="AX3594" s="17">
        <v>964</v>
      </c>
      <c r="AY3594" s="18">
        <v>5.3806324927656055</v>
      </c>
      <c r="AZ3594" s="10"/>
      <c r="BA3594" s="20" t="b">
        <v>0</v>
      </c>
      <c r="BB3594" s="10" t="s">
        <v>24775</v>
      </c>
      <c r="BC3594" s="17">
        <v>3645</v>
      </c>
      <c r="BD3594" s="17">
        <v>2419</v>
      </c>
      <c r="BE3594" s="17">
        <v>13015.75</v>
      </c>
      <c r="BF3594" s="17">
        <v>0.95</v>
      </c>
      <c r="BG3594" s="11">
        <f ca="1">IFERROR(__xludf.DUMMYFUNCTION("""COMPUTED_VALUE"""),46028.4409722222)</f>
        <v>46028.440972222197</v>
      </c>
      <c r="BH3594" s="17" t="s">
        <v>105</v>
      </c>
      <c r="BI3594" s="17"/>
      <c r="BJ3594" s="15"/>
      <c r="BK3594" s="15"/>
      <c r="BL3594" s="13" t="b">
        <v>0</v>
      </c>
      <c r="BM3594" s="10"/>
      <c r="BN3594" s="10" t="s">
        <v>118</v>
      </c>
      <c r="BO3594" s="11">
        <v>46027.713194444441</v>
      </c>
      <c r="BP3594" s="11">
        <v>46027.713564814818</v>
      </c>
      <c r="BQ3594" s="15"/>
      <c r="BR3594" s="15">
        <v>46027.819293981483</v>
      </c>
      <c r="BS3594" s="10" t="s">
        <v>118</v>
      </c>
      <c r="BT3594" s="10"/>
      <c r="BU3594" s="10"/>
      <c r="BV3594" s="10"/>
      <c r="BW3594" s="10"/>
      <c r="BX3594" s="10"/>
      <c r="BY3594" s="23"/>
      <c r="BZ3594" s="23"/>
      <c r="CA3594" s="19" t="s">
        <v>24778</v>
      </c>
      <c r="CB3594" s="23"/>
      <c r="CC3594" s="23"/>
      <c r="CD3594" s="23"/>
      <c r="CE3594" s="23"/>
      <c r="CF3594" s="23"/>
      <c r="CG3594" s="23"/>
      <c r="CH3594" s="23"/>
      <c r="CI3594" s="23"/>
    </row>
    <row r="3595" spans="1:87" x14ac:dyDescent="0.3">
      <c r="A3595" s="9" t="s">
        <v>25155</v>
      </c>
      <c r="B3595" s="10" t="s">
        <v>25156</v>
      </c>
      <c r="C3595" s="11">
        <v>46028.475694444445</v>
      </c>
      <c r="D3595" s="12">
        <v>3.4722222222222224E-2</v>
      </c>
      <c r="E3595" s="11">
        <v>46028.510416666664</v>
      </c>
      <c r="F3595" s="22" t="s">
        <v>24700</v>
      </c>
      <c r="G3595" s="13" t="b">
        <v>0</v>
      </c>
      <c r="H3595" s="22" t="s">
        <v>21384</v>
      </c>
      <c r="I3595" s="10" t="s">
        <v>9131</v>
      </c>
      <c r="J3595" s="13" t="b">
        <v>0</v>
      </c>
      <c r="K3595" s="13" t="b">
        <v>1</v>
      </c>
      <c r="L3595" s="10" t="s">
        <v>124</v>
      </c>
      <c r="M3595" s="10" t="s">
        <v>91</v>
      </c>
      <c r="N3595" s="10" t="s">
        <v>92</v>
      </c>
      <c r="O3595" s="19" t="s">
        <v>25157</v>
      </c>
      <c r="P3595" s="10"/>
      <c r="Q3595" s="10" t="s">
        <v>94</v>
      </c>
      <c r="R3595" s="10"/>
      <c r="S3595" s="19" t="s">
        <v>24777</v>
      </c>
      <c r="T3595" s="10"/>
      <c r="U3595" s="10"/>
      <c r="V3595" s="10"/>
      <c r="W3595" s="10" t="s">
        <v>24703</v>
      </c>
      <c r="X3595" s="10" t="s">
        <v>216</v>
      </c>
      <c r="Y3595" s="10" t="s">
        <v>216</v>
      </c>
      <c r="Z3595" s="10" t="s">
        <v>99</v>
      </c>
      <c r="AA3595" s="10" t="s">
        <v>131</v>
      </c>
      <c r="AB3595" s="10" t="s">
        <v>24704</v>
      </c>
      <c r="AC3595" s="10" t="s">
        <v>21389</v>
      </c>
      <c r="AD3595" s="10" t="s">
        <v>165</v>
      </c>
      <c r="AE3595" s="10" t="s">
        <v>25158</v>
      </c>
      <c r="AF3595" s="15"/>
      <c r="AG3595" s="10"/>
      <c r="AH3595" s="10"/>
      <c r="AI3595" s="10"/>
      <c r="AJ3595" s="10"/>
      <c r="AK3595" s="10" t="s">
        <v>102</v>
      </c>
      <c r="AL3595" s="10"/>
      <c r="AM3595" s="10"/>
      <c r="AN3595" s="10"/>
      <c r="AO3595" s="13" t="b">
        <v>0</v>
      </c>
      <c r="AP3595" s="22" t="s">
        <v>104</v>
      </c>
      <c r="AQ3595" s="10">
        <f ca="1">IFERROR(__xludf.DUMMYFUNCTION("""COMPUTED_VALUE"""),4831562)</f>
        <v>4831562</v>
      </c>
      <c r="AR3595" s="17">
        <v>2385</v>
      </c>
      <c r="AS3595" s="17">
        <v>1841</v>
      </c>
      <c r="AT3595" s="17">
        <v>8123.75</v>
      </c>
      <c r="AU3595" s="17">
        <v>5.15</v>
      </c>
      <c r="AV3595" s="17">
        <v>0.25</v>
      </c>
      <c r="AW3595" s="10" t="s">
        <v>105</v>
      </c>
      <c r="AX3595" s="17">
        <v>639</v>
      </c>
      <c r="AY3595" s="18">
        <v>4.4126833242802821</v>
      </c>
      <c r="AZ3595" s="10"/>
      <c r="BA3595" s="20" t="b">
        <v>0</v>
      </c>
      <c r="BB3595" s="10" t="s">
        <v>24775</v>
      </c>
      <c r="BC3595" s="17">
        <v>2385</v>
      </c>
      <c r="BD3595" s="17">
        <v>1841</v>
      </c>
      <c r="BE3595" s="17">
        <v>8123.75</v>
      </c>
      <c r="BF3595" s="17">
        <v>0.25</v>
      </c>
      <c r="BG3595" s="11">
        <f ca="1">IFERROR(__xludf.DUMMYFUNCTION("""COMPUTED_VALUE"""),46028.4756944444)</f>
        <v>46028.475694444402</v>
      </c>
      <c r="BH3595" s="17" t="s">
        <v>105</v>
      </c>
      <c r="BI3595" s="17"/>
      <c r="BJ3595" s="15"/>
      <c r="BK3595" s="15"/>
      <c r="BL3595" s="13" t="b">
        <v>0</v>
      </c>
      <c r="BM3595" s="10"/>
      <c r="BN3595" s="10" t="s">
        <v>118</v>
      </c>
      <c r="BO3595" s="11">
        <v>46027.713194444441</v>
      </c>
      <c r="BP3595" s="11">
        <v>46027.713761574072</v>
      </c>
      <c r="BQ3595" s="15"/>
      <c r="BR3595" s="15">
        <v>46027.819467592592</v>
      </c>
      <c r="BS3595" s="10" t="s">
        <v>118</v>
      </c>
      <c r="BT3595" s="10"/>
      <c r="BU3595" s="10"/>
      <c r="BV3595" s="10"/>
      <c r="BW3595" s="10"/>
      <c r="BX3595" s="10"/>
      <c r="BY3595" s="23"/>
      <c r="BZ3595" s="23"/>
      <c r="CA3595" s="19" t="s">
        <v>24778</v>
      </c>
      <c r="CB3595" s="23"/>
      <c r="CC3595" s="23"/>
      <c r="CD3595" s="23"/>
      <c r="CE3595" s="23"/>
      <c r="CF3595" s="23"/>
      <c r="CG3595" s="23"/>
      <c r="CH3595" s="23"/>
      <c r="CI3595" s="23"/>
    </row>
    <row r="3596" spans="1:87" x14ac:dyDescent="0.3">
      <c r="A3596" s="9" t="s">
        <v>25159</v>
      </c>
      <c r="B3596" s="10" t="s">
        <v>25160</v>
      </c>
      <c r="C3596" s="11">
        <v>46028.510416666664</v>
      </c>
      <c r="D3596" s="12">
        <v>3.4722222222222224E-2</v>
      </c>
      <c r="E3596" s="11">
        <v>46028.545138888891</v>
      </c>
      <c r="F3596" s="22" t="s">
        <v>24700</v>
      </c>
      <c r="G3596" s="13" t="b">
        <v>0</v>
      </c>
      <c r="H3596" s="22" t="s">
        <v>21384</v>
      </c>
      <c r="I3596" s="10" t="s">
        <v>9131</v>
      </c>
      <c r="J3596" s="13" t="b">
        <v>0</v>
      </c>
      <c r="K3596" s="13" t="b">
        <v>1</v>
      </c>
      <c r="L3596" s="10" t="s">
        <v>124</v>
      </c>
      <c r="M3596" s="10" t="s">
        <v>91</v>
      </c>
      <c r="N3596" s="10" t="s">
        <v>92</v>
      </c>
      <c r="O3596" s="19" t="s">
        <v>25161</v>
      </c>
      <c r="P3596" s="10"/>
      <c r="Q3596" s="10" t="s">
        <v>94</v>
      </c>
      <c r="R3596" s="10"/>
      <c r="S3596" s="19" t="s">
        <v>24777</v>
      </c>
      <c r="T3596" s="10"/>
      <c r="U3596" s="10"/>
      <c r="V3596" s="10"/>
      <c r="W3596" s="10" t="s">
        <v>24703</v>
      </c>
      <c r="X3596" s="10" t="s">
        <v>216</v>
      </c>
      <c r="Y3596" s="10" t="s">
        <v>216</v>
      </c>
      <c r="Z3596" s="10" t="s">
        <v>99</v>
      </c>
      <c r="AA3596" s="10" t="s">
        <v>131</v>
      </c>
      <c r="AB3596" s="10" t="s">
        <v>24704</v>
      </c>
      <c r="AC3596" s="10" t="s">
        <v>21389</v>
      </c>
      <c r="AD3596" s="10" t="s">
        <v>165</v>
      </c>
      <c r="AE3596" s="10" t="s">
        <v>25162</v>
      </c>
      <c r="AF3596" s="15"/>
      <c r="AG3596" s="10"/>
      <c r="AH3596" s="10"/>
      <c r="AI3596" s="10"/>
      <c r="AJ3596" s="10"/>
      <c r="AK3596" s="10" t="s">
        <v>102</v>
      </c>
      <c r="AL3596" s="10"/>
      <c r="AM3596" s="10"/>
      <c r="AN3596" s="10"/>
      <c r="AO3596" s="13" t="b">
        <v>0</v>
      </c>
      <c r="AP3596" s="22" t="s">
        <v>221</v>
      </c>
      <c r="AQ3596" s="10">
        <f ca="1">IFERROR(__xludf.DUMMYFUNCTION("""COMPUTED_VALUE"""),4831564)</f>
        <v>4831564</v>
      </c>
      <c r="AR3596" s="17">
        <v>873</v>
      </c>
      <c r="AS3596" s="17">
        <v>750</v>
      </c>
      <c r="AT3596" s="17">
        <v>2965.5</v>
      </c>
      <c r="AU3596" s="17">
        <v>1.5</v>
      </c>
      <c r="AV3596" s="17">
        <v>0.5</v>
      </c>
      <c r="AW3596" s="10" t="s">
        <v>105</v>
      </c>
      <c r="AX3596" s="17">
        <v>522</v>
      </c>
      <c r="AY3596" s="18">
        <v>3.9540000000000002</v>
      </c>
      <c r="AZ3596" s="10"/>
      <c r="BA3596" s="20" t="b">
        <v>0</v>
      </c>
      <c r="BB3596" s="10" t="s">
        <v>24775</v>
      </c>
      <c r="BC3596" s="17">
        <v>873</v>
      </c>
      <c r="BD3596" s="17">
        <v>750</v>
      </c>
      <c r="BE3596" s="17">
        <v>2965.5</v>
      </c>
      <c r="BF3596" s="17">
        <v>0.5</v>
      </c>
      <c r="BG3596" s="11">
        <f ca="1">IFERROR(__xludf.DUMMYFUNCTION("""COMPUTED_VALUE"""),46028.5104166666)</f>
        <v>46028.510416666599</v>
      </c>
      <c r="BH3596" s="17" t="s">
        <v>105</v>
      </c>
      <c r="BI3596" s="17"/>
      <c r="BJ3596" s="15"/>
      <c r="BK3596" s="15"/>
      <c r="BL3596" s="13" t="b">
        <v>0</v>
      </c>
      <c r="BM3596" s="10"/>
      <c r="BN3596" s="10" t="s">
        <v>118</v>
      </c>
      <c r="BO3596" s="11">
        <v>46027.713888888888</v>
      </c>
      <c r="BP3596" s="11">
        <v>46027.713935185187</v>
      </c>
      <c r="BQ3596" s="15"/>
      <c r="BR3596" s="15">
        <v>46027.819606481484</v>
      </c>
      <c r="BS3596" s="10" t="s">
        <v>118</v>
      </c>
      <c r="BT3596" s="10"/>
      <c r="BU3596" s="10"/>
      <c r="BV3596" s="10"/>
      <c r="BW3596" s="10"/>
      <c r="BX3596" s="10"/>
      <c r="BY3596" s="23"/>
      <c r="BZ3596" s="23"/>
      <c r="CA3596" s="19" t="s">
        <v>24778</v>
      </c>
      <c r="CB3596" s="23"/>
      <c r="CC3596" s="23"/>
      <c r="CD3596" s="23"/>
      <c r="CE3596" s="23"/>
      <c r="CF3596" s="23"/>
      <c r="CG3596" s="23"/>
      <c r="CH3596" s="23"/>
      <c r="CI3596" s="23"/>
    </row>
    <row r="3597" spans="1:87" x14ac:dyDescent="0.3">
      <c r="A3597" s="9" t="s">
        <v>25163</v>
      </c>
      <c r="B3597" s="10" t="s">
        <v>25164</v>
      </c>
      <c r="C3597" s="11">
        <v>46028.545138888891</v>
      </c>
      <c r="D3597" s="12">
        <v>3.4722222222222224E-2</v>
      </c>
      <c r="E3597" s="11">
        <v>46028.579861111109</v>
      </c>
      <c r="F3597" s="22" t="s">
        <v>24700</v>
      </c>
      <c r="G3597" s="13" t="b">
        <v>0</v>
      </c>
      <c r="H3597" s="22" t="s">
        <v>21384</v>
      </c>
      <c r="I3597" s="10" t="s">
        <v>9131</v>
      </c>
      <c r="J3597" s="13" t="b">
        <v>0</v>
      </c>
      <c r="K3597" s="13" t="b">
        <v>1</v>
      </c>
      <c r="L3597" s="10" t="s">
        <v>124</v>
      </c>
      <c r="M3597" s="10" t="s">
        <v>91</v>
      </c>
      <c r="N3597" s="10" t="s">
        <v>92</v>
      </c>
      <c r="O3597" s="19" t="s">
        <v>25165</v>
      </c>
      <c r="P3597" s="10"/>
      <c r="Q3597" s="10" t="s">
        <v>94</v>
      </c>
      <c r="R3597" s="10"/>
      <c r="S3597" s="19" t="s">
        <v>24777</v>
      </c>
      <c r="T3597" s="10"/>
      <c r="U3597" s="10"/>
      <c r="V3597" s="10"/>
      <c r="W3597" s="10" t="s">
        <v>24703</v>
      </c>
      <c r="X3597" s="10" t="s">
        <v>216</v>
      </c>
      <c r="Y3597" s="10" t="s">
        <v>216</v>
      </c>
      <c r="Z3597" s="10" t="s">
        <v>99</v>
      </c>
      <c r="AA3597" s="10" t="s">
        <v>131</v>
      </c>
      <c r="AB3597" s="10" t="s">
        <v>24704</v>
      </c>
      <c r="AC3597" s="10" t="s">
        <v>21389</v>
      </c>
      <c r="AD3597" s="10" t="s">
        <v>165</v>
      </c>
      <c r="AE3597" s="10" t="s">
        <v>25166</v>
      </c>
      <c r="AF3597" s="15"/>
      <c r="AG3597" s="10"/>
      <c r="AH3597" s="10"/>
      <c r="AI3597" s="10"/>
      <c r="AJ3597" s="10"/>
      <c r="AK3597" s="10" t="s">
        <v>102</v>
      </c>
      <c r="AL3597" s="10"/>
      <c r="AM3597" s="10"/>
      <c r="AN3597" s="10"/>
      <c r="AO3597" s="13" t="b">
        <v>0</v>
      </c>
      <c r="AP3597" s="22" t="s">
        <v>104</v>
      </c>
      <c r="AQ3597" s="10">
        <f ca="1">IFERROR(__xludf.DUMMYFUNCTION("""COMPUTED_VALUE"""),4831565)</f>
        <v>4831565</v>
      </c>
      <c r="AR3597" s="17">
        <v>8616</v>
      </c>
      <c r="AS3597" s="17">
        <v>4529</v>
      </c>
      <c r="AT3597" s="17">
        <v>43541</v>
      </c>
      <c r="AU3597" s="17">
        <v>20.149999999999999</v>
      </c>
      <c r="AV3597" s="17">
        <v>2.2000000000000002</v>
      </c>
      <c r="AW3597" s="10" t="s">
        <v>105</v>
      </c>
      <c r="AX3597" s="17">
        <v>1313</v>
      </c>
      <c r="AY3597" s="18">
        <v>9.6138220357694859</v>
      </c>
      <c r="AZ3597" s="10"/>
      <c r="BA3597" s="20" t="b">
        <v>0</v>
      </c>
      <c r="BB3597" s="10" t="s">
        <v>24775</v>
      </c>
      <c r="BC3597" s="17">
        <v>8616</v>
      </c>
      <c r="BD3597" s="17">
        <v>4529</v>
      </c>
      <c r="BE3597" s="17">
        <v>43541</v>
      </c>
      <c r="BF3597" s="17">
        <v>2.2000000000000002</v>
      </c>
      <c r="BG3597" s="11">
        <f ca="1">IFERROR(__xludf.DUMMYFUNCTION("""COMPUTED_VALUE"""),46028.5451388888)</f>
        <v>46028.545138888803</v>
      </c>
      <c r="BH3597" s="17" t="s">
        <v>105</v>
      </c>
      <c r="BI3597" s="17"/>
      <c r="BJ3597" s="15"/>
      <c r="BK3597" s="15"/>
      <c r="BL3597" s="13" t="b">
        <v>0</v>
      </c>
      <c r="BM3597" s="10"/>
      <c r="BN3597" s="10" t="s">
        <v>118</v>
      </c>
      <c r="BO3597" s="11">
        <v>46027.713888888888</v>
      </c>
      <c r="BP3597" s="11">
        <v>46027.714120370372</v>
      </c>
      <c r="BQ3597" s="15"/>
      <c r="BR3597" s="15">
        <v>46027.819733796299</v>
      </c>
      <c r="BS3597" s="10" t="s">
        <v>118</v>
      </c>
      <c r="BT3597" s="10"/>
      <c r="BU3597" s="10"/>
      <c r="BV3597" s="10"/>
      <c r="BW3597" s="10"/>
      <c r="BX3597" s="10"/>
      <c r="BY3597" s="23"/>
      <c r="BZ3597" s="23"/>
      <c r="CA3597" s="19" t="s">
        <v>24778</v>
      </c>
      <c r="CB3597" s="23"/>
      <c r="CC3597" s="23"/>
      <c r="CD3597" s="23"/>
      <c r="CE3597" s="23"/>
      <c r="CF3597" s="23"/>
      <c r="CG3597" s="23"/>
      <c r="CH3597" s="23"/>
      <c r="CI3597" s="23"/>
    </row>
    <row r="3598" spans="1:87" x14ac:dyDescent="0.3">
      <c r="A3598" s="9" t="s">
        <v>25167</v>
      </c>
      <c r="B3598" s="10" t="s">
        <v>25168</v>
      </c>
      <c r="C3598" s="11">
        <v>46028.579861111109</v>
      </c>
      <c r="D3598" s="12">
        <v>3.4722222222222224E-2</v>
      </c>
      <c r="E3598" s="11">
        <v>46028.614583333336</v>
      </c>
      <c r="F3598" s="22" t="s">
        <v>24700</v>
      </c>
      <c r="G3598" s="13" t="b">
        <v>0</v>
      </c>
      <c r="H3598" s="22" t="s">
        <v>21384</v>
      </c>
      <c r="I3598" s="10" t="s">
        <v>9131</v>
      </c>
      <c r="J3598" s="13" t="b">
        <v>0</v>
      </c>
      <c r="K3598" s="13" t="b">
        <v>1</v>
      </c>
      <c r="L3598" s="10" t="s">
        <v>124</v>
      </c>
      <c r="M3598" s="10" t="s">
        <v>91</v>
      </c>
      <c r="N3598" s="10" t="s">
        <v>92</v>
      </c>
      <c r="O3598" s="19" t="s">
        <v>25169</v>
      </c>
      <c r="P3598" s="10"/>
      <c r="Q3598" s="10" t="s">
        <v>94</v>
      </c>
      <c r="R3598" s="10"/>
      <c r="S3598" s="19" t="s">
        <v>24777</v>
      </c>
      <c r="T3598" s="10"/>
      <c r="U3598" s="10"/>
      <c r="V3598" s="10"/>
      <c r="W3598" s="10" t="s">
        <v>24703</v>
      </c>
      <c r="X3598" s="10" t="s">
        <v>216</v>
      </c>
      <c r="Y3598" s="10" t="s">
        <v>216</v>
      </c>
      <c r="Z3598" s="10" t="s">
        <v>99</v>
      </c>
      <c r="AA3598" s="10" t="s">
        <v>131</v>
      </c>
      <c r="AB3598" s="10" t="s">
        <v>24704</v>
      </c>
      <c r="AC3598" s="10" t="s">
        <v>21389</v>
      </c>
      <c r="AD3598" s="10" t="s">
        <v>165</v>
      </c>
      <c r="AE3598" s="10" t="s">
        <v>25170</v>
      </c>
      <c r="AF3598" s="15"/>
      <c r="AG3598" s="10"/>
      <c r="AH3598" s="10"/>
      <c r="AI3598" s="10"/>
      <c r="AJ3598" s="10"/>
      <c r="AK3598" s="10" t="s">
        <v>102</v>
      </c>
      <c r="AL3598" s="10"/>
      <c r="AM3598" s="10"/>
      <c r="AN3598" s="10"/>
      <c r="AO3598" s="13" t="b">
        <v>0</v>
      </c>
      <c r="AP3598" s="22" t="s">
        <v>104</v>
      </c>
      <c r="AQ3598" s="10">
        <f ca="1">IFERROR(__xludf.DUMMYFUNCTION("""COMPUTED_VALUE"""),4831566)</f>
        <v>4831566</v>
      </c>
      <c r="AR3598" s="17">
        <v>5031</v>
      </c>
      <c r="AS3598" s="17">
        <v>3362</v>
      </c>
      <c r="AT3598" s="17">
        <v>33931.5</v>
      </c>
      <c r="AU3598" s="17">
        <v>21.7</v>
      </c>
      <c r="AV3598" s="17">
        <v>5.6</v>
      </c>
      <c r="AW3598" s="10" t="s">
        <v>105</v>
      </c>
      <c r="AX3598" s="17">
        <v>1459</v>
      </c>
      <c r="AY3598" s="18">
        <v>10.092653182629387</v>
      </c>
      <c r="AZ3598" s="10"/>
      <c r="BA3598" s="20" t="b">
        <v>0</v>
      </c>
      <c r="BB3598" s="10" t="s">
        <v>24775</v>
      </c>
      <c r="BC3598" s="17">
        <v>5031</v>
      </c>
      <c r="BD3598" s="17">
        <v>3362</v>
      </c>
      <c r="BE3598" s="17">
        <v>33931.5</v>
      </c>
      <c r="BF3598" s="17">
        <v>5.6</v>
      </c>
      <c r="BG3598" s="11">
        <f ca="1">IFERROR(__xludf.DUMMYFUNCTION("""COMPUTED_VALUE"""),46028.5798611111)</f>
        <v>46028.579861111102</v>
      </c>
      <c r="BH3598" s="17" t="s">
        <v>105</v>
      </c>
      <c r="BI3598" s="17"/>
      <c r="BJ3598" s="15"/>
      <c r="BK3598" s="15"/>
      <c r="BL3598" s="13" t="b">
        <v>0</v>
      </c>
      <c r="BM3598" s="10"/>
      <c r="BN3598" s="10" t="s">
        <v>118</v>
      </c>
      <c r="BO3598" s="11">
        <v>46027.713888888888</v>
      </c>
      <c r="BP3598" s="11">
        <v>46027.714282407411</v>
      </c>
      <c r="BQ3598" s="15"/>
      <c r="BR3598" s="15">
        <v>46027.819861111115</v>
      </c>
      <c r="BS3598" s="10" t="s">
        <v>118</v>
      </c>
      <c r="BT3598" s="10"/>
      <c r="BU3598" s="10"/>
      <c r="BV3598" s="10"/>
      <c r="BW3598" s="10"/>
      <c r="BX3598" s="10"/>
      <c r="BY3598" s="23"/>
      <c r="BZ3598" s="23"/>
      <c r="CA3598" s="19" t="s">
        <v>24778</v>
      </c>
      <c r="CB3598" s="23"/>
      <c r="CC3598" s="23"/>
      <c r="CD3598" s="23"/>
      <c r="CE3598" s="23"/>
      <c r="CF3598" s="23"/>
      <c r="CG3598" s="23"/>
      <c r="CH3598" s="23"/>
      <c r="CI3598" s="23"/>
    </row>
    <row r="3599" spans="1:87" x14ac:dyDescent="0.3">
      <c r="A3599" s="9" t="s">
        <v>25171</v>
      </c>
      <c r="B3599" s="10" t="s">
        <v>25172</v>
      </c>
      <c r="C3599" s="11">
        <v>46028.614583333336</v>
      </c>
      <c r="D3599" s="12">
        <v>3.4722222222222224E-2</v>
      </c>
      <c r="E3599" s="11">
        <v>46028.649305555555</v>
      </c>
      <c r="F3599" s="22" t="s">
        <v>24700</v>
      </c>
      <c r="G3599" s="13" t="b">
        <v>0</v>
      </c>
      <c r="H3599" s="22" t="s">
        <v>21384</v>
      </c>
      <c r="I3599" s="10" t="s">
        <v>9131</v>
      </c>
      <c r="J3599" s="13" t="b">
        <v>0</v>
      </c>
      <c r="K3599" s="13" t="b">
        <v>1</v>
      </c>
      <c r="L3599" s="10" t="s">
        <v>124</v>
      </c>
      <c r="M3599" s="10" t="s">
        <v>91</v>
      </c>
      <c r="N3599" s="10" t="s">
        <v>92</v>
      </c>
      <c r="O3599" s="19" t="s">
        <v>25173</v>
      </c>
      <c r="P3599" s="10"/>
      <c r="Q3599" s="10" t="s">
        <v>94</v>
      </c>
      <c r="R3599" s="10"/>
      <c r="S3599" s="19" t="s">
        <v>24777</v>
      </c>
      <c r="T3599" s="10"/>
      <c r="U3599" s="10"/>
      <c r="V3599" s="10"/>
      <c r="W3599" s="10" t="s">
        <v>24703</v>
      </c>
      <c r="X3599" s="10" t="s">
        <v>216</v>
      </c>
      <c r="Y3599" s="10" t="s">
        <v>216</v>
      </c>
      <c r="Z3599" s="10" t="s">
        <v>99</v>
      </c>
      <c r="AA3599" s="10" t="s">
        <v>131</v>
      </c>
      <c r="AB3599" s="10" t="s">
        <v>24704</v>
      </c>
      <c r="AC3599" s="10" t="s">
        <v>21389</v>
      </c>
      <c r="AD3599" s="10" t="s">
        <v>165</v>
      </c>
      <c r="AE3599" s="10" t="s">
        <v>25174</v>
      </c>
      <c r="AF3599" s="15"/>
      <c r="AG3599" s="10"/>
      <c r="AH3599" s="10"/>
      <c r="AI3599" s="10"/>
      <c r="AJ3599" s="10"/>
      <c r="AK3599" s="10" t="s">
        <v>102</v>
      </c>
      <c r="AL3599" s="10"/>
      <c r="AM3599" s="10"/>
      <c r="AN3599" s="10"/>
      <c r="AO3599" s="13" t="b">
        <v>0</v>
      </c>
      <c r="AP3599" s="22" t="s">
        <v>104</v>
      </c>
      <c r="AQ3599" s="10">
        <f ca="1">IFERROR(__xludf.DUMMYFUNCTION("""COMPUTED_VALUE"""),4831567)</f>
        <v>4831567</v>
      </c>
      <c r="AR3599" s="17">
        <v>5221</v>
      </c>
      <c r="AS3599" s="17">
        <v>3317</v>
      </c>
      <c r="AT3599" s="17">
        <v>29689</v>
      </c>
      <c r="AU3599" s="17">
        <v>14.8</v>
      </c>
      <c r="AV3599" s="17">
        <v>5.05</v>
      </c>
      <c r="AW3599" s="10" t="s">
        <v>105</v>
      </c>
      <c r="AX3599" s="17">
        <v>1714</v>
      </c>
      <c r="AY3599" s="18">
        <v>8.9505577328911663</v>
      </c>
      <c r="AZ3599" s="10"/>
      <c r="BA3599" s="20" t="b">
        <v>0</v>
      </c>
      <c r="BB3599" s="10" t="s">
        <v>24775</v>
      </c>
      <c r="BC3599" s="17">
        <v>5221</v>
      </c>
      <c r="BD3599" s="17">
        <v>3317</v>
      </c>
      <c r="BE3599" s="17">
        <v>29689</v>
      </c>
      <c r="BF3599" s="17">
        <v>5.05</v>
      </c>
      <c r="BG3599" s="11">
        <f ca="1">IFERROR(__xludf.DUMMYFUNCTION("""COMPUTED_VALUE"""),46028.6145833333)</f>
        <v>46028.614583333299</v>
      </c>
      <c r="BH3599" s="17" t="s">
        <v>105</v>
      </c>
      <c r="BI3599" s="17"/>
      <c r="BJ3599" s="15"/>
      <c r="BK3599" s="15"/>
      <c r="BL3599" s="13" t="b">
        <v>0</v>
      </c>
      <c r="BM3599" s="10"/>
      <c r="BN3599" s="10" t="s">
        <v>118</v>
      </c>
      <c r="BO3599" s="11">
        <v>46027.713888888888</v>
      </c>
      <c r="BP3599" s="11">
        <v>46027.714467592596</v>
      </c>
      <c r="BQ3599" s="15"/>
      <c r="BR3599" s="15">
        <v>46027.82</v>
      </c>
      <c r="BS3599" s="10" t="s">
        <v>118</v>
      </c>
      <c r="BT3599" s="10"/>
      <c r="BU3599" s="10"/>
      <c r="BV3599" s="10"/>
      <c r="BW3599" s="10"/>
      <c r="BX3599" s="10"/>
      <c r="BY3599" s="23"/>
      <c r="BZ3599" s="23"/>
      <c r="CA3599" s="19" t="s">
        <v>24778</v>
      </c>
      <c r="CB3599" s="23"/>
      <c r="CC3599" s="23"/>
      <c r="CD3599" s="23"/>
      <c r="CE3599" s="23"/>
      <c r="CF3599" s="23"/>
      <c r="CG3599" s="23"/>
      <c r="CH3599" s="23"/>
      <c r="CI3599" s="23"/>
    </row>
    <row r="3600" spans="1:87" x14ac:dyDescent="0.3">
      <c r="A3600" s="9" t="s">
        <v>25175</v>
      </c>
      <c r="B3600" s="10" t="s">
        <v>25176</v>
      </c>
      <c r="C3600" s="11">
        <v>46028.649305555555</v>
      </c>
      <c r="D3600" s="12">
        <v>3.4722222222222224E-2</v>
      </c>
      <c r="E3600" s="11">
        <v>46028.684027777781</v>
      </c>
      <c r="F3600" s="22" t="s">
        <v>24700</v>
      </c>
      <c r="G3600" s="13" t="b">
        <v>0</v>
      </c>
      <c r="H3600" s="22" t="s">
        <v>21384</v>
      </c>
      <c r="I3600" s="10" t="s">
        <v>9131</v>
      </c>
      <c r="J3600" s="13" t="b">
        <v>0</v>
      </c>
      <c r="K3600" s="13" t="b">
        <v>1</v>
      </c>
      <c r="L3600" s="10" t="s">
        <v>124</v>
      </c>
      <c r="M3600" s="10" t="s">
        <v>91</v>
      </c>
      <c r="N3600" s="10" t="s">
        <v>92</v>
      </c>
      <c r="O3600" s="19" t="s">
        <v>25177</v>
      </c>
      <c r="P3600" s="10"/>
      <c r="Q3600" s="10" t="s">
        <v>94</v>
      </c>
      <c r="R3600" s="10"/>
      <c r="S3600" s="19" t="s">
        <v>24777</v>
      </c>
      <c r="T3600" s="10"/>
      <c r="U3600" s="10"/>
      <c r="V3600" s="10"/>
      <c r="W3600" s="10" t="s">
        <v>24703</v>
      </c>
      <c r="X3600" s="10" t="s">
        <v>216</v>
      </c>
      <c r="Y3600" s="10" t="s">
        <v>216</v>
      </c>
      <c r="Z3600" s="10" t="s">
        <v>99</v>
      </c>
      <c r="AA3600" s="10" t="s">
        <v>131</v>
      </c>
      <c r="AB3600" s="10" t="s">
        <v>24704</v>
      </c>
      <c r="AC3600" s="10" t="s">
        <v>21389</v>
      </c>
      <c r="AD3600" s="10" t="s">
        <v>165</v>
      </c>
      <c r="AE3600" s="10" t="s">
        <v>25178</v>
      </c>
      <c r="AF3600" s="15"/>
      <c r="AG3600" s="10"/>
      <c r="AH3600" s="10"/>
      <c r="AI3600" s="10"/>
      <c r="AJ3600" s="10"/>
      <c r="AK3600" s="10" t="s">
        <v>102</v>
      </c>
      <c r="AL3600" s="10"/>
      <c r="AM3600" s="10"/>
      <c r="AN3600" s="10"/>
      <c r="AO3600" s="13" t="b">
        <v>0</v>
      </c>
      <c r="AP3600" s="22" t="s">
        <v>104</v>
      </c>
      <c r="AQ3600" s="10">
        <f ca="1">IFERROR(__xludf.DUMMYFUNCTION("""COMPUTED_VALUE"""),4831568)</f>
        <v>4831568</v>
      </c>
      <c r="AR3600" s="17">
        <v>3628</v>
      </c>
      <c r="AS3600" s="17">
        <v>2661</v>
      </c>
      <c r="AT3600" s="17">
        <v>15938.5</v>
      </c>
      <c r="AU3600" s="17">
        <v>7.5</v>
      </c>
      <c r="AV3600" s="17">
        <v>0.45</v>
      </c>
      <c r="AW3600" s="10" t="s">
        <v>105</v>
      </c>
      <c r="AX3600" s="17">
        <v>1768</v>
      </c>
      <c r="AY3600" s="18">
        <v>5.989665539270951</v>
      </c>
      <c r="AZ3600" s="10"/>
      <c r="BA3600" s="20" t="b">
        <v>0</v>
      </c>
      <c r="BB3600" s="10" t="s">
        <v>24775</v>
      </c>
      <c r="BC3600" s="17">
        <v>3628</v>
      </c>
      <c r="BD3600" s="17">
        <v>2661</v>
      </c>
      <c r="BE3600" s="17">
        <v>15938.5</v>
      </c>
      <c r="BF3600" s="17">
        <v>0.45</v>
      </c>
      <c r="BG3600" s="11">
        <f ca="1">IFERROR(__xludf.DUMMYFUNCTION("""COMPUTED_VALUE"""),46028.6493055555)</f>
        <v>46028.649305555497</v>
      </c>
      <c r="BH3600" s="17" t="s">
        <v>105</v>
      </c>
      <c r="BI3600" s="17"/>
      <c r="BJ3600" s="15"/>
      <c r="BK3600" s="15"/>
      <c r="BL3600" s="13" t="b">
        <v>0</v>
      </c>
      <c r="BM3600" s="10"/>
      <c r="BN3600" s="10" t="s">
        <v>118</v>
      </c>
      <c r="BO3600" s="11">
        <v>46027.713888888888</v>
      </c>
      <c r="BP3600" s="11">
        <v>46027.714594907404</v>
      </c>
      <c r="BQ3600" s="15"/>
      <c r="BR3600" s="15">
        <v>46027.820115740738</v>
      </c>
      <c r="BS3600" s="10" t="s">
        <v>118</v>
      </c>
      <c r="BT3600" s="10"/>
      <c r="BU3600" s="10"/>
      <c r="BV3600" s="10"/>
      <c r="BW3600" s="10"/>
      <c r="BX3600" s="10"/>
      <c r="BY3600" s="23"/>
      <c r="BZ3600" s="23"/>
      <c r="CA3600" s="19" t="s">
        <v>24778</v>
      </c>
      <c r="CB3600" s="23"/>
      <c r="CC3600" s="23"/>
      <c r="CD3600" s="23"/>
      <c r="CE3600" s="23"/>
      <c r="CF3600" s="23"/>
      <c r="CG3600" s="23"/>
      <c r="CH3600" s="23"/>
      <c r="CI3600" s="23"/>
    </row>
    <row r="3601" spans="1:87" x14ac:dyDescent="0.3">
      <c r="A3601" s="9" t="s">
        <v>25179</v>
      </c>
      <c r="B3601" s="10" t="s">
        <v>25180</v>
      </c>
      <c r="C3601" s="11">
        <v>46028.684027777781</v>
      </c>
      <c r="D3601" s="12">
        <v>3.4722222222222224E-2</v>
      </c>
      <c r="E3601" s="11">
        <v>46028.71875</v>
      </c>
      <c r="F3601" s="22" t="s">
        <v>24700</v>
      </c>
      <c r="G3601" s="13" t="b">
        <v>0</v>
      </c>
      <c r="H3601" s="22" t="s">
        <v>21384</v>
      </c>
      <c r="I3601" s="10" t="s">
        <v>9131</v>
      </c>
      <c r="J3601" s="13" t="b">
        <v>0</v>
      </c>
      <c r="K3601" s="13" t="b">
        <v>1</v>
      </c>
      <c r="L3601" s="10" t="s">
        <v>124</v>
      </c>
      <c r="M3601" s="10" t="s">
        <v>91</v>
      </c>
      <c r="N3601" s="10" t="s">
        <v>92</v>
      </c>
      <c r="O3601" s="19" t="s">
        <v>25181</v>
      </c>
      <c r="P3601" s="10"/>
      <c r="Q3601" s="10" t="s">
        <v>94</v>
      </c>
      <c r="R3601" s="10"/>
      <c r="S3601" s="19" t="s">
        <v>24777</v>
      </c>
      <c r="T3601" s="10"/>
      <c r="U3601" s="10"/>
      <c r="V3601" s="10"/>
      <c r="W3601" s="10" t="s">
        <v>24703</v>
      </c>
      <c r="X3601" s="10" t="s">
        <v>216</v>
      </c>
      <c r="Y3601" s="10" t="s">
        <v>216</v>
      </c>
      <c r="Z3601" s="10" t="s">
        <v>99</v>
      </c>
      <c r="AA3601" s="10" t="s">
        <v>131</v>
      </c>
      <c r="AB3601" s="10" t="s">
        <v>24704</v>
      </c>
      <c r="AC3601" s="10" t="s">
        <v>21389</v>
      </c>
      <c r="AD3601" s="10" t="s">
        <v>165</v>
      </c>
      <c r="AE3601" s="10" t="s">
        <v>25182</v>
      </c>
      <c r="AF3601" s="15"/>
      <c r="AG3601" s="10"/>
      <c r="AH3601" s="10"/>
      <c r="AI3601" s="10"/>
      <c r="AJ3601" s="10"/>
      <c r="AK3601" s="10" t="s">
        <v>102</v>
      </c>
      <c r="AL3601" s="10"/>
      <c r="AM3601" s="10"/>
      <c r="AN3601" s="10"/>
      <c r="AO3601" s="13" t="b">
        <v>0</v>
      </c>
      <c r="AP3601" s="22" t="s">
        <v>135</v>
      </c>
      <c r="AQ3601" s="10">
        <f ca="1">IFERROR(__xludf.DUMMYFUNCTION("""COMPUTED_VALUE"""),4831569)</f>
        <v>4831569</v>
      </c>
      <c r="AR3601" s="17">
        <v>3932</v>
      </c>
      <c r="AS3601" s="17">
        <v>2824</v>
      </c>
      <c r="AT3601" s="17">
        <v>12622.75</v>
      </c>
      <c r="AU3601" s="17">
        <v>4.7</v>
      </c>
      <c r="AV3601" s="17">
        <v>0.9</v>
      </c>
      <c r="AW3601" s="10" t="s">
        <v>105</v>
      </c>
      <c r="AX3601" s="17">
        <v>987</v>
      </c>
      <c r="AY3601" s="18">
        <v>4.4698123229461757</v>
      </c>
      <c r="AZ3601" s="10"/>
      <c r="BA3601" s="20" t="b">
        <v>0</v>
      </c>
      <c r="BB3601" s="10" t="s">
        <v>24775</v>
      </c>
      <c r="BC3601" s="17">
        <v>3932</v>
      </c>
      <c r="BD3601" s="17">
        <v>2824</v>
      </c>
      <c r="BE3601" s="17">
        <v>12622.75</v>
      </c>
      <c r="BF3601" s="17">
        <v>0.9</v>
      </c>
      <c r="BG3601" s="11">
        <f ca="1">IFERROR(__xludf.DUMMYFUNCTION("""COMPUTED_VALUE"""),46028.6840277777)</f>
        <v>46028.684027777701</v>
      </c>
      <c r="BH3601" s="17" t="s">
        <v>105</v>
      </c>
      <c r="BI3601" s="17"/>
      <c r="BJ3601" s="15"/>
      <c r="BK3601" s="15"/>
      <c r="BL3601" s="13" t="b">
        <v>0</v>
      </c>
      <c r="BM3601" s="10"/>
      <c r="BN3601" s="10" t="s">
        <v>118</v>
      </c>
      <c r="BO3601" s="11">
        <v>46027.714583333334</v>
      </c>
      <c r="BP3601" s="11">
        <v>46027.714768518519</v>
      </c>
      <c r="BQ3601" s="15"/>
      <c r="BR3601" s="15">
        <v>46027.820231481484</v>
      </c>
      <c r="BS3601" s="10" t="s">
        <v>118</v>
      </c>
      <c r="BT3601" s="10"/>
      <c r="BU3601" s="10"/>
      <c r="BV3601" s="10"/>
      <c r="BW3601" s="10"/>
      <c r="BX3601" s="10"/>
      <c r="BY3601" s="23"/>
      <c r="BZ3601" s="23"/>
      <c r="CA3601" s="19" t="s">
        <v>24778</v>
      </c>
      <c r="CB3601" s="23"/>
      <c r="CC3601" s="23"/>
      <c r="CD3601" s="23"/>
      <c r="CE3601" s="23"/>
      <c r="CF3601" s="23"/>
      <c r="CG3601" s="23"/>
      <c r="CH3601" s="23"/>
      <c r="CI3601" s="23"/>
    </row>
    <row r="3602" spans="1:87" x14ac:dyDescent="0.3">
      <c r="A3602" s="9" t="s">
        <v>25183</v>
      </c>
      <c r="B3602" s="10" t="s">
        <v>25184</v>
      </c>
      <c r="C3602" s="11">
        <v>46028.71875</v>
      </c>
      <c r="D3602" s="12">
        <v>3.4722222222222224E-2</v>
      </c>
      <c r="E3602" s="11">
        <v>46028.753472222219</v>
      </c>
      <c r="F3602" s="22" t="s">
        <v>24700</v>
      </c>
      <c r="G3602" s="13" t="b">
        <v>0</v>
      </c>
      <c r="H3602" s="22" t="s">
        <v>21384</v>
      </c>
      <c r="I3602" s="10" t="s">
        <v>9131</v>
      </c>
      <c r="J3602" s="13" t="b">
        <v>0</v>
      </c>
      <c r="K3602" s="13" t="b">
        <v>1</v>
      </c>
      <c r="L3602" s="10" t="s">
        <v>124</v>
      </c>
      <c r="M3602" s="10" t="s">
        <v>91</v>
      </c>
      <c r="N3602" s="10" t="s">
        <v>92</v>
      </c>
      <c r="O3602" s="19" t="s">
        <v>25185</v>
      </c>
      <c r="P3602" s="10"/>
      <c r="Q3602" s="10" t="s">
        <v>94</v>
      </c>
      <c r="R3602" s="10"/>
      <c r="S3602" s="19" t="s">
        <v>24777</v>
      </c>
      <c r="T3602" s="10"/>
      <c r="U3602" s="10"/>
      <c r="V3602" s="10"/>
      <c r="W3602" s="10" t="s">
        <v>24703</v>
      </c>
      <c r="X3602" s="10" t="s">
        <v>216</v>
      </c>
      <c r="Y3602" s="10" t="s">
        <v>216</v>
      </c>
      <c r="Z3602" s="10" t="s">
        <v>99</v>
      </c>
      <c r="AA3602" s="10" t="s">
        <v>131</v>
      </c>
      <c r="AB3602" s="10" t="s">
        <v>24704</v>
      </c>
      <c r="AC3602" s="10" t="s">
        <v>21389</v>
      </c>
      <c r="AD3602" s="10" t="s">
        <v>165</v>
      </c>
      <c r="AE3602" s="10" t="s">
        <v>25186</v>
      </c>
      <c r="AF3602" s="15"/>
      <c r="AG3602" s="10"/>
      <c r="AH3602" s="10"/>
      <c r="AI3602" s="10"/>
      <c r="AJ3602" s="10"/>
      <c r="AK3602" s="10" t="s">
        <v>102</v>
      </c>
      <c r="AL3602" s="10"/>
      <c r="AM3602" s="10"/>
      <c r="AN3602" s="10"/>
      <c r="AO3602" s="13" t="b">
        <v>0</v>
      </c>
      <c r="AP3602" s="22" t="s">
        <v>135</v>
      </c>
      <c r="AQ3602" s="10">
        <f ca="1">IFERROR(__xludf.DUMMYFUNCTION("""COMPUTED_VALUE"""),4831570)</f>
        <v>4831570</v>
      </c>
      <c r="AR3602" s="17"/>
      <c r="AS3602" s="17"/>
      <c r="AT3602" s="17"/>
      <c r="AU3602" s="17"/>
      <c r="AV3602" s="17"/>
      <c r="AW3602" s="10"/>
      <c r="AX3602" s="17"/>
      <c r="AY3602" s="18" t="s">
        <v>257</v>
      </c>
      <c r="AZ3602" s="10"/>
      <c r="BA3602" s="20" t="b">
        <v>0</v>
      </c>
      <c r="BB3602" s="10" t="s">
        <v>24775</v>
      </c>
      <c r="BC3602" s="17" t="s">
        <v>257</v>
      </c>
      <c r="BD3602" s="17" t="s">
        <v>257</v>
      </c>
      <c r="BE3602" s="17" t="s">
        <v>257</v>
      </c>
      <c r="BF3602" s="17" t="s">
        <v>257</v>
      </c>
      <c r="BG3602" s="11">
        <f ca="1">IFERROR(__xludf.DUMMYFUNCTION("""COMPUTED_VALUE"""),46028.71875)</f>
        <v>46028.71875</v>
      </c>
      <c r="BH3602" s="17"/>
      <c r="BI3602" s="17"/>
      <c r="BJ3602" s="15"/>
      <c r="BK3602" s="15"/>
      <c r="BL3602" s="13" t="b">
        <v>0</v>
      </c>
      <c r="BM3602" s="10"/>
      <c r="BN3602" s="10" t="s">
        <v>118</v>
      </c>
      <c r="BO3602" s="11">
        <v>46027.714583333334</v>
      </c>
      <c r="BP3602" s="11">
        <v>46027.715266203704</v>
      </c>
      <c r="BQ3602" s="15"/>
      <c r="BR3602" s="15">
        <v>46027.820347222223</v>
      </c>
      <c r="BS3602" s="10" t="s">
        <v>118</v>
      </c>
      <c r="BT3602" s="10"/>
      <c r="BU3602" s="10"/>
      <c r="BV3602" s="10"/>
      <c r="BW3602" s="10"/>
      <c r="BX3602" s="10"/>
      <c r="BY3602" s="23"/>
      <c r="BZ3602" s="23"/>
      <c r="CA3602" s="19" t="s">
        <v>24778</v>
      </c>
      <c r="CB3602" s="23"/>
      <c r="CC3602" s="23"/>
      <c r="CD3602" s="23"/>
      <c r="CE3602" s="23"/>
      <c r="CF3602" s="23"/>
      <c r="CG3602" s="23"/>
      <c r="CH3602" s="23"/>
      <c r="CI3602" s="23"/>
    </row>
    <row r="3603" spans="1:87" x14ac:dyDescent="0.3">
      <c r="A3603" s="25" t="s">
        <v>25187</v>
      </c>
      <c r="B3603" s="10" t="s">
        <v>25188</v>
      </c>
      <c r="C3603" s="11">
        <v>46028.753472222219</v>
      </c>
      <c r="D3603" s="12">
        <v>3.4722222222222224E-2</v>
      </c>
      <c r="E3603" s="11">
        <v>46028.788194444445</v>
      </c>
      <c r="F3603" s="22" t="s">
        <v>24700</v>
      </c>
      <c r="G3603" s="13" t="b">
        <v>0</v>
      </c>
      <c r="H3603" s="22" t="s">
        <v>21384</v>
      </c>
      <c r="I3603" s="10" t="s">
        <v>9131</v>
      </c>
      <c r="J3603" s="13" t="b">
        <v>0</v>
      </c>
      <c r="K3603" s="13" t="b">
        <v>1</v>
      </c>
      <c r="L3603" s="10" t="s">
        <v>124</v>
      </c>
      <c r="M3603" s="10" t="s">
        <v>91</v>
      </c>
      <c r="N3603" s="10" t="s">
        <v>92</v>
      </c>
      <c r="O3603" s="19" t="s">
        <v>25189</v>
      </c>
      <c r="P3603" s="10"/>
      <c r="Q3603" s="10" t="s">
        <v>94</v>
      </c>
      <c r="R3603" s="10"/>
      <c r="S3603" s="19" t="s">
        <v>24777</v>
      </c>
      <c r="T3603" s="10"/>
      <c r="U3603" s="10"/>
      <c r="V3603" s="10"/>
      <c r="W3603" s="10" t="s">
        <v>24703</v>
      </c>
      <c r="X3603" s="10" t="s">
        <v>216</v>
      </c>
      <c r="Y3603" s="10" t="s">
        <v>216</v>
      </c>
      <c r="Z3603" s="10" t="s">
        <v>99</v>
      </c>
      <c r="AA3603" s="10" t="s">
        <v>131</v>
      </c>
      <c r="AB3603" s="10" t="s">
        <v>24704</v>
      </c>
      <c r="AC3603" s="10" t="s">
        <v>21389</v>
      </c>
      <c r="AD3603" s="10" t="s">
        <v>165</v>
      </c>
      <c r="AE3603" s="10" t="s">
        <v>25190</v>
      </c>
      <c r="AF3603" s="15"/>
      <c r="AG3603" s="10"/>
      <c r="AH3603" s="10"/>
      <c r="AI3603" s="10"/>
      <c r="AJ3603" s="10"/>
      <c r="AK3603" s="10" t="s">
        <v>102</v>
      </c>
      <c r="AL3603" s="10"/>
      <c r="AM3603" s="10"/>
      <c r="AN3603" s="10"/>
      <c r="AO3603" s="13" t="b">
        <v>0</v>
      </c>
      <c r="AP3603" s="22" t="s">
        <v>104</v>
      </c>
      <c r="AQ3603" s="10">
        <f ca="1">IFERROR(__xludf.DUMMYFUNCTION("""COMPUTED_VALUE"""),4831571)</f>
        <v>4831571</v>
      </c>
      <c r="AR3603" s="17">
        <v>8365</v>
      </c>
      <c r="AS3603" s="17">
        <v>5821</v>
      </c>
      <c r="AT3603" s="17">
        <v>38846</v>
      </c>
      <c r="AU3603" s="17">
        <v>14.55</v>
      </c>
      <c r="AV3603" s="17">
        <v>3.4</v>
      </c>
      <c r="AW3603" s="10" t="s">
        <v>105</v>
      </c>
      <c r="AX3603" s="17">
        <v>1580</v>
      </c>
      <c r="AY3603" s="18">
        <v>6.6734238103418653</v>
      </c>
      <c r="AZ3603" s="10"/>
      <c r="BA3603" s="20" t="b">
        <v>0</v>
      </c>
      <c r="BB3603" s="10" t="s">
        <v>24775</v>
      </c>
      <c r="BC3603" s="17">
        <v>8365</v>
      </c>
      <c r="BD3603" s="17">
        <v>5821</v>
      </c>
      <c r="BE3603" s="17">
        <v>38846</v>
      </c>
      <c r="BF3603" s="17">
        <v>3.4</v>
      </c>
      <c r="BG3603" s="11">
        <f ca="1">IFERROR(__xludf.DUMMYFUNCTION("""COMPUTED_VALUE"""),46028.7534722222)</f>
        <v>46028.753472222197</v>
      </c>
      <c r="BH3603" s="17" t="s">
        <v>105</v>
      </c>
      <c r="BI3603" s="17"/>
      <c r="BJ3603" s="15"/>
      <c r="BK3603" s="15"/>
      <c r="BL3603" s="13" t="b">
        <v>0</v>
      </c>
      <c r="BM3603" s="10"/>
      <c r="BN3603" s="10" t="s">
        <v>4030</v>
      </c>
      <c r="BO3603" s="11">
        <v>46027.715277777781</v>
      </c>
      <c r="BP3603" s="11">
        <v>46027.715416666666</v>
      </c>
      <c r="BQ3603" s="15"/>
      <c r="BR3603" s="15">
        <v>46027.84103009259</v>
      </c>
      <c r="BS3603" s="10" t="s">
        <v>4030</v>
      </c>
      <c r="BT3603" s="10"/>
      <c r="BU3603" s="10"/>
      <c r="BV3603" s="10"/>
      <c r="BW3603" s="10"/>
      <c r="BX3603" s="10"/>
      <c r="BY3603" s="23"/>
      <c r="BZ3603" s="23"/>
      <c r="CA3603" s="19" t="s">
        <v>24778</v>
      </c>
      <c r="CB3603" s="23"/>
      <c r="CC3603" s="23"/>
      <c r="CD3603" s="23"/>
      <c r="CE3603" s="23"/>
      <c r="CF3603" s="23"/>
      <c r="CG3603" s="23"/>
      <c r="CH3603" s="23"/>
      <c r="CI3603" s="23"/>
    </row>
    <row r="3604" spans="1:87" x14ac:dyDescent="0.3">
      <c r="A3604" s="9" t="s">
        <v>25191</v>
      </c>
      <c r="B3604" s="10" t="s">
        <v>25192</v>
      </c>
      <c r="C3604" s="11">
        <v>46028.340277777781</v>
      </c>
      <c r="D3604" s="12">
        <v>3.4722222222222224E-2</v>
      </c>
      <c r="E3604" s="11">
        <v>46028.375</v>
      </c>
      <c r="F3604" s="22" t="s">
        <v>24700</v>
      </c>
      <c r="G3604" s="13" t="b">
        <v>0</v>
      </c>
      <c r="H3604" s="22" t="s">
        <v>21384</v>
      </c>
      <c r="I3604" s="10" t="s">
        <v>9131</v>
      </c>
      <c r="J3604" s="13" t="b">
        <v>0</v>
      </c>
      <c r="K3604" s="13" t="b">
        <v>1</v>
      </c>
      <c r="L3604" s="10" t="s">
        <v>124</v>
      </c>
      <c r="M3604" s="10" t="s">
        <v>91</v>
      </c>
      <c r="N3604" s="10" t="s">
        <v>92</v>
      </c>
      <c r="O3604" s="19" t="s">
        <v>25193</v>
      </c>
      <c r="P3604" s="10"/>
      <c r="Q3604" s="10" t="s">
        <v>94</v>
      </c>
      <c r="R3604" s="10"/>
      <c r="S3604" s="19" t="s">
        <v>24785</v>
      </c>
      <c r="T3604" s="10"/>
      <c r="U3604" s="10"/>
      <c r="V3604" s="10"/>
      <c r="W3604" s="10" t="s">
        <v>24703</v>
      </c>
      <c r="X3604" s="10" t="s">
        <v>216</v>
      </c>
      <c r="Y3604" s="10" t="s">
        <v>216</v>
      </c>
      <c r="Z3604" s="10" t="s">
        <v>99</v>
      </c>
      <c r="AA3604" s="10" t="s">
        <v>131</v>
      </c>
      <c r="AB3604" s="10" t="s">
        <v>24704</v>
      </c>
      <c r="AC3604" s="10" t="s">
        <v>21389</v>
      </c>
      <c r="AD3604" s="10" t="s">
        <v>165</v>
      </c>
      <c r="AE3604" s="10" t="s">
        <v>25194</v>
      </c>
      <c r="AF3604" s="15"/>
      <c r="AG3604" s="10"/>
      <c r="AH3604" s="10"/>
      <c r="AI3604" s="10"/>
      <c r="AJ3604" s="10"/>
      <c r="AK3604" s="10" t="s">
        <v>102</v>
      </c>
      <c r="AL3604" s="10"/>
      <c r="AM3604" s="10"/>
      <c r="AN3604" s="10"/>
      <c r="AO3604" s="13" t="b">
        <v>0</v>
      </c>
      <c r="AP3604" s="22" t="s">
        <v>221</v>
      </c>
      <c r="AQ3604" s="10">
        <f ca="1">IFERROR(__xludf.DUMMYFUNCTION("""COMPUTED_VALUE"""),4831572)</f>
        <v>4831572</v>
      </c>
      <c r="AR3604" s="17">
        <v>2782</v>
      </c>
      <c r="AS3604" s="17">
        <v>1979</v>
      </c>
      <c r="AT3604" s="17">
        <v>21602.75</v>
      </c>
      <c r="AU3604" s="17">
        <v>12.8</v>
      </c>
      <c r="AV3604" s="17">
        <v>3.55</v>
      </c>
      <c r="AW3604" s="10" t="s">
        <v>105</v>
      </c>
      <c r="AX3604" s="17">
        <v>499</v>
      </c>
      <c r="AY3604" s="18">
        <v>10.91599292572006</v>
      </c>
      <c r="AZ3604" s="10"/>
      <c r="BA3604" s="20" t="b">
        <v>0</v>
      </c>
      <c r="BB3604" s="10" t="s">
        <v>24782</v>
      </c>
      <c r="BC3604" s="17">
        <v>2782</v>
      </c>
      <c r="BD3604" s="17">
        <v>1979</v>
      </c>
      <c r="BE3604" s="17">
        <v>21602.75</v>
      </c>
      <c r="BF3604" s="17">
        <v>3.55</v>
      </c>
      <c r="BG3604" s="11">
        <f ca="1">IFERROR(__xludf.DUMMYFUNCTION("""COMPUTED_VALUE"""),46028.3402777777)</f>
        <v>46028.340277777701</v>
      </c>
      <c r="BH3604" s="17" t="s">
        <v>105</v>
      </c>
      <c r="BI3604" s="17"/>
      <c r="BJ3604" s="15"/>
      <c r="BK3604" s="15"/>
      <c r="BL3604" s="13" t="b">
        <v>0</v>
      </c>
      <c r="BM3604" s="10"/>
      <c r="BN3604" s="10" t="s">
        <v>118</v>
      </c>
      <c r="BO3604" s="11">
        <v>46027.719444444447</v>
      </c>
      <c r="BP3604" s="11">
        <v>46027.720011574071</v>
      </c>
      <c r="BQ3604" s="15"/>
      <c r="BR3604" s="15">
        <v>46027.807152777779</v>
      </c>
      <c r="BS3604" s="10" t="s">
        <v>118</v>
      </c>
      <c r="BT3604" s="10"/>
      <c r="BU3604" s="10"/>
      <c r="BV3604" s="10"/>
      <c r="BW3604" s="10"/>
      <c r="BX3604" s="10"/>
      <c r="BY3604" s="23"/>
      <c r="BZ3604" s="23"/>
      <c r="CA3604" s="19" t="s">
        <v>24787</v>
      </c>
      <c r="CB3604" s="23"/>
      <c r="CC3604" s="23"/>
      <c r="CD3604" s="23"/>
      <c r="CE3604" s="23"/>
      <c r="CF3604" s="23"/>
      <c r="CG3604" s="23"/>
      <c r="CH3604" s="23"/>
      <c r="CI3604" s="23"/>
    </row>
    <row r="3605" spans="1:87" x14ac:dyDescent="0.3">
      <c r="A3605" s="9" t="s">
        <v>25195</v>
      </c>
      <c r="B3605" s="10" t="s">
        <v>25196</v>
      </c>
      <c r="C3605" s="11">
        <v>46028.375</v>
      </c>
      <c r="D3605" s="12">
        <v>3.4722222222222224E-2</v>
      </c>
      <c r="E3605" s="11">
        <v>46028.409722222219</v>
      </c>
      <c r="F3605" s="22" t="s">
        <v>24700</v>
      </c>
      <c r="G3605" s="13" t="b">
        <v>0</v>
      </c>
      <c r="H3605" s="22" t="s">
        <v>21384</v>
      </c>
      <c r="I3605" s="10" t="s">
        <v>9131</v>
      </c>
      <c r="J3605" s="13" t="b">
        <v>0</v>
      </c>
      <c r="K3605" s="13" t="b">
        <v>1</v>
      </c>
      <c r="L3605" s="10" t="s">
        <v>124</v>
      </c>
      <c r="M3605" s="10" t="s">
        <v>91</v>
      </c>
      <c r="N3605" s="10" t="s">
        <v>92</v>
      </c>
      <c r="O3605" s="19" t="s">
        <v>25197</v>
      </c>
      <c r="P3605" s="10"/>
      <c r="Q3605" s="10" t="s">
        <v>94</v>
      </c>
      <c r="R3605" s="10"/>
      <c r="S3605" s="19" t="s">
        <v>24785</v>
      </c>
      <c r="T3605" s="10"/>
      <c r="U3605" s="10"/>
      <c r="V3605" s="10"/>
      <c r="W3605" s="10" t="s">
        <v>24703</v>
      </c>
      <c r="X3605" s="10" t="s">
        <v>216</v>
      </c>
      <c r="Y3605" s="10" t="s">
        <v>216</v>
      </c>
      <c r="Z3605" s="10" t="s">
        <v>99</v>
      </c>
      <c r="AA3605" s="10" t="s">
        <v>131</v>
      </c>
      <c r="AB3605" s="10" t="s">
        <v>24704</v>
      </c>
      <c r="AC3605" s="10" t="s">
        <v>21389</v>
      </c>
      <c r="AD3605" s="10" t="s">
        <v>165</v>
      </c>
      <c r="AE3605" s="10" t="s">
        <v>25198</v>
      </c>
      <c r="AF3605" s="15"/>
      <c r="AG3605" s="10"/>
      <c r="AH3605" s="10"/>
      <c r="AI3605" s="10"/>
      <c r="AJ3605" s="10"/>
      <c r="AK3605" s="10" t="s">
        <v>102</v>
      </c>
      <c r="AL3605" s="10"/>
      <c r="AM3605" s="10"/>
      <c r="AN3605" s="10"/>
      <c r="AO3605" s="13" t="b">
        <v>0</v>
      </c>
      <c r="AP3605" s="22" t="s">
        <v>135</v>
      </c>
      <c r="AQ3605" s="10">
        <f ca="1">IFERROR(__xludf.DUMMYFUNCTION("""COMPUTED_VALUE"""),4831573)</f>
        <v>4831573</v>
      </c>
      <c r="AR3605" s="17">
        <v>1743</v>
      </c>
      <c r="AS3605" s="17">
        <v>1316</v>
      </c>
      <c r="AT3605" s="17">
        <v>9434.5</v>
      </c>
      <c r="AU3605" s="17">
        <v>6.2</v>
      </c>
      <c r="AV3605" s="17">
        <v>0.5</v>
      </c>
      <c r="AW3605" s="10" t="s">
        <v>105</v>
      </c>
      <c r="AX3605" s="17">
        <v>520</v>
      </c>
      <c r="AY3605" s="18">
        <v>7.1690729483282674</v>
      </c>
      <c r="AZ3605" s="10"/>
      <c r="BA3605" s="20" t="b">
        <v>0</v>
      </c>
      <c r="BB3605" s="10" t="s">
        <v>24782</v>
      </c>
      <c r="BC3605" s="17">
        <v>1743</v>
      </c>
      <c r="BD3605" s="17">
        <v>1316</v>
      </c>
      <c r="BE3605" s="17">
        <v>9434.5</v>
      </c>
      <c r="BF3605" s="17">
        <v>0.5</v>
      </c>
      <c r="BG3605" s="11">
        <f ca="1">IFERROR(__xludf.DUMMYFUNCTION("""COMPUTED_VALUE"""),46028.375)</f>
        <v>46028.375</v>
      </c>
      <c r="BH3605" s="17" t="s">
        <v>105</v>
      </c>
      <c r="BI3605" s="17"/>
      <c r="BJ3605" s="15"/>
      <c r="BK3605" s="15"/>
      <c r="BL3605" s="13" t="b">
        <v>0</v>
      </c>
      <c r="BM3605" s="10"/>
      <c r="BN3605" s="10" t="s">
        <v>118</v>
      </c>
      <c r="BO3605" s="11">
        <v>46027.720138888886</v>
      </c>
      <c r="BP3605" s="11">
        <v>46027.720266203702</v>
      </c>
      <c r="BQ3605" s="15"/>
      <c r="BR3605" s="15">
        <v>46027.807303240741</v>
      </c>
      <c r="BS3605" s="10" t="s">
        <v>118</v>
      </c>
      <c r="BT3605" s="10"/>
      <c r="BU3605" s="10"/>
      <c r="BV3605" s="10"/>
      <c r="BW3605" s="10"/>
      <c r="BX3605" s="10"/>
      <c r="BY3605" s="23"/>
      <c r="BZ3605" s="23"/>
      <c r="CA3605" s="19" t="s">
        <v>24787</v>
      </c>
      <c r="CB3605" s="23"/>
      <c r="CC3605" s="23"/>
      <c r="CD3605" s="23"/>
      <c r="CE3605" s="23"/>
      <c r="CF3605" s="23"/>
      <c r="CG3605" s="23"/>
      <c r="CH3605" s="23"/>
      <c r="CI3605" s="23"/>
    </row>
    <row r="3606" spans="1:87" x14ac:dyDescent="0.3">
      <c r="A3606" s="9" t="s">
        <v>25199</v>
      </c>
      <c r="B3606" s="10" t="s">
        <v>25200</v>
      </c>
      <c r="C3606" s="11">
        <v>46028.409722222219</v>
      </c>
      <c r="D3606" s="12">
        <v>3.4722222222222224E-2</v>
      </c>
      <c r="E3606" s="11">
        <v>46028.444444444445</v>
      </c>
      <c r="F3606" s="22" t="s">
        <v>24700</v>
      </c>
      <c r="G3606" s="13" t="b">
        <v>0</v>
      </c>
      <c r="H3606" s="22" t="s">
        <v>21384</v>
      </c>
      <c r="I3606" s="10" t="s">
        <v>9131</v>
      </c>
      <c r="J3606" s="13" t="b">
        <v>0</v>
      </c>
      <c r="K3606" s="13" t="b">
        <v>1</v>
      </c>
      <c r="L3606" s="10" t="s">
        <v>124</v>
      </c>
      <c r="M3606" s="10" t="s">
        <v>91</v>
      </c>
      <c r="N3606" s="10" t="s">
        <v>92</v>
      </c>
      <c r="O3606" s="19" t="s">
        <v>25201</v>
      </c>
      <c r="P3606" s="10"/>
      <c r="Q3606" s="10" t="s">
        <v>94</v>
      </c>
      <c r="R3606" s="10"/>
      <c r="S3606" s="19" t="s">
        <v>24785</v>
      </c>
      <c r="T3606" s="10"/>
      <c r="U3606" s="10"/>
      <c r="V3606" s="10"/>
      <c r="W3606" s="10" t="s">
        <v>24703</v>
      </c>
      <c r="X3606" s="10" t="s">
        <v>216</v>
      </c>
      <c r="Y3606" s="10" t="s">
        <v>216</v>
      </c>
      <c r="Z3606" s="10" t="s">
        <v>99</v>
      </c>
      <c r="AA3606" s="10" t="s">
        <v>131</v>
      </c>
      <c r="AB3606" s="10" t="s">
        <v>24704</v>
      </c>
      <c r="AC3606" s="10" t="s">
        <v>21389</v>
      </c>
      <c r="AD3606" s="10" t="s">
        <v>165</v>
      </c>
      <c r="AE3606" s="10" t="s">
        <v>25202</v>
      </c>
      <c r="AF3606" s="15"/>
      <c r="AG3606" s="10"/>
      <c r="AH3606" s="10"/>
      <c r="AI3606" s="10"/>
      <c r="AJ3606" s="10"/>
      <c r="AK3606" s="10" t="s">
        <v>102</v>
      </c>
      <c r="AL3606" s="10"/>
      <c r="AM3606" s="10"/>
      <c r="AN3606" s="10"/>
      <c r="AO3606" s="13" t="b">
        <v>0</v>
      </c>
      <c r="AP3606" s="22" t="s">
        <v>221</v>
      </c>
      <c r="AQ3606" s="10">
        <f ca="1">IFERROR(__xludf.DUMMYFUNCTION("""COMPUTED_VALUE"""),4831574)</f>
        <v>4831574</v>
      </c>
      <c r="AR3606" s="17">
        <v>4231</v>
      </c>
      <c r="AS3606" s="17">
        <v>2635</v>
      </c>
      <c r="AT3606" s="17">
        <v>31841.5</v>
      </c>
      <c r="AU3606" s="17">
        <v>13.35</v>
      </c>
      <c r="AV3606" s="17">
        <v>2.5</v>
      </c>
      <c r="AW3606" s="10" t="s">
        <v>105</v>
      </c>
      <c r="AX3606" s="17">
        <v>1042</v>
      </c>
      <c r="AY3606" s="18">
        <v>12.084060721062619</v>
      </c>
      <c r="AZ3606" s="10"/>
      <c r="BA3606" s="20" t="b">
        <v>0</v>
      </c>
      <c r="BB3606" s="10" t="s">
        <v>24782</v>
      </c>
      <c r="BC3606" s="17">
        <v>4231</v>
      </c>
      <c r="BD3606" s="17">
        <v>2635</v>
      </c>
      <c r="BE3606" s="17">
        <v>31841.5</v>
      </c>
      <c r="BF3606" s="17">
        <v>2.5</v>
      </c>
      <c r="BG3606" s="11">
        <f ca="1">IFERROR(__xludf.DUMMYFUNCTION("""COMPUTED_VALUE"""),46028.4097222222)</f>
        <v>46028.409722222197</v>
      </c>
      <c r="BH3606" s="17" t="s">
        <v>105</v>
      </c>
      <c r="BI3606" s="17"/>
      <c r="BJ3606" s="15"/>
      <c r="BK3606" s="15"/>
      <c r="BL3606" s="13" t="b">
        <v>0</v>
      </c>
      <c r="BM3606" s="10"/>
      <c r="BN3606" s="10" t="s">
        <v>118</v>
      </c>
      <c r="BO3606" s="11">
        <v>46027.720138888886</v>
      </c>
      <c r="BP3606" s="11">
        <v>46027.72047453704</v>
      </c>
      <c r="BQ3606" s="15"/>
      <c r="BR3606" s="15">
        <v>46027.807430555556</v>
      </c>
      <c r="BS3606" s="10" t="s">
        <v>118</v>
      </c>
      <c r="BT3606" s="10"/>
      <c r="BU3606" s="10"/>
      <c r="BV3606" s="10"/>
      <c r="BW3606" s="10"/>
      <c r="BX3606" s="10"/>
      <c r="BY3606" s="23"/>
      <c r="BZ3606" s="23"/>
      <c r="CA3606" s="19" t="s">
        <v>24787</v>
      </c>
      <c r="CB3606" s="23"/>
      <c r="CC3606" s="23"/>
      <c r="CD3606" s="23"/>
      <c r="CE3606" s="23"/>
      <c r="CF3606" s="23"/>
      <c r="CG3606" s="23"/>
      <c r="CH3606" s="23"/>
      <c r="CI3606" s="23"/>
    </row>
    <row r="3607" spans="1:87" x14ac:dyDescent="0.3">
      <c r="A3607" s="9" t="s">
        <v>25203</v>
      </c>
      <c r="B3607" s="10" t="s">
        <v>25204</v>
      </c>
      <c r="C3607" s="11">
        <v>46028.444444444445</v>
      </c>
      <c r="D3607" s="12">
        <v>3.4722222222222224E-2</v>
      </c>
      <c r="E3607" s="11">
        <v>46028.479166666664</v>
      </c>
      <c r="F3607" s="22" t="s">
        <v>24700</v>
      </c>
      <c r="G3607" s="13" t="b">
        <v>0</v>
      </c>
      <c r="H3607" s="22" t="s">
        <v>21384</v>
      </c>
      <c r="I3607" s="10" t="s">
        <v>9131</v>
      </c>
      <c r="J3607" s="13" t="b">
        <v>0</v>
      </c>
      <c r="K3607" s="13" t="b">
        <v>1</v>
      </c>
      <c r="L3607" s="10" t="s">
        <v>124</v>
      </c>
      <c r="M3607" s="10" t="s">
        <v>91</v>
      </c>
      <c r="N3607" s="10" t="s">
        <v>92</v>
      </c>
      <c r="O3607" s="19" t="s">
        <v>25205</v>
      </c>
      <c r="P3607" s="10"/>
      <c r="Q3607" s="10" t="s">
        <v>94</v>
      </c>
      <c r="R3607" s="10"/>
      <c r="S3607" s="19" t="s">
        <v>24785</v>
      </c>
      <c r="T3607" s="10"/>
      <c r="U3607" s="10"/>
      <c r="V3607" s="10"/>
      <c r="W3607" s="10" t="s">
        <v>24703</v>
      </c>
      <c r="X3607" s="10" t="s">
        <v>216</v>
      </c>
      <c r="Y3607" s="10" t="s">
        <v>216</v>
      </c>
      <c r="Z3607" s="10" t="s">
        <v>99</v>
      </c>
      <c r="AA3607" s="10" t="s">
        <v>131</v>
      </c>
      <c r="AB3607" s="10" t="s">
        <v>24704</v>
      </c>
      <c r="AC3607" s="10" t="s">
        <v>21389</v>
      </c>
      <c r="AD3607" s="10" t="s">
        <v>165</v>
      </c>
      <c r="AE3607" s="10" t="s">
        <v>25206</v>
      </c>
      <c r="AF3607" s="15"/>
      <c r="AG3607" s="10"/>
      <c r="AH3607" s="10"/>
      <c r="AI3607" s="10"/>
      <c r="AJ3607" s="10"/>
      <c r="AK3607" s="10" t="s">
        <v>102</v>
      </c>
      <c r="AL3607" s="10"/>
      <c r="AM3607" s="10"/>
      <c r="AN3607" s="10"/>
      <c r="AO3607" s="13" t="b">
        <v>0</v>
      </c>
      <c r="AP3607" s="22" t="s">
        <v>104</v>
      </c>
      <c r="AQ3607" s="10">
        <f ca="1">IFERROR(__xludf.DUMMYFUNCTION("""COMPUTED_VALUE"""),4831575)</f>
        <v>4831575</v>
      </c>
      <c r="AR3607" s="17">
        <v>6947</v>
      </c>
      <c r="AS3607" s="17">
        <v>4304</v>
      </c>
      <c r="AT3607" s="17">
        <v>66832.5</v>
      </c>
      <c r="AU3607" s="17">
        <v>25.3</v>
      </c>
      <c r="AV3607" s="17">
        <v>6.4</v>
      </c>
      <c r="AW3607" s="10" t="s">
        <v>105</v>
      </c>
      <c r="AX3607" s="17">
        <v>1165</v>
      </c>
      <c r="AY3607" s="18">
        <v>15.527997211895912</v>
      </c>
      <c r="AZ3607" s="10"/>
      <c r="BA3607" s="20" t="b">
        <v>0</v>
      </c>
      <c r="BB3607" s="10" t="s">
        <v>24782</v>
      </c>
      <c r="BC3607" s="17">
        <v>6947</v>
      </c>
      <c r="BD3607" s="17">
        <v>4304</v>
      </c>
      <c r="BE3607" s="17">
        <v>66832.5</v>
      </c>
      <c r="BF3607" s="17">
        <v>6.4</v>
      </c>
      <c r="BG3607" s="11">
        <f ca="1">IFERROR(__xludf.DUMMYFUNCTION("""COMPUTED_VALUE"""),46028.4444444444)</f>
        <v>46028.444444444402</v>
      </c>
      <c r="BH3607" s="17" t="s">
        <v>105</v>
      </c>
      <c r="BI3607" s="17"/>
      <c r="BJ3607" s="15"/>
      <c r="BK3607" s="15"/>
      <c r="BL3607" s="13" t="b">
        <v>0</v>
      </c>
      <c r="BM3607" s="10"/>
      <c r="BN3607" s="10" t="s">
        <v>118</v>
      </c>
      <c r="BO3607" s="11">
        <v>46027.720138888886</v>
      </c>
      <c r="BP3607" s="11">
        <v>46027.720648148148</v>
      </c>
      <c r="BQ3607" s="15"/>
      <c r="BR3607" s="15">
        <v>46027.807569444441</v>
      </c>
      <c r="BS3607" s="10" t="s">
        <v>118</v>
      </c>
      <c r="BT3607" s="10"/>
      <c r="BU3607" s="10"/>
      <c r="BV3607" s="10"/>
      <c r="BW3607" s="10"/>
      <c r="BX3607" s="10"/>
      <c r="BY3607" s="23"/>
      <c r="BZ3607" s="23"/>
      <c r="CA3607" s="19" t="s">
        <v>24787</v>
      </c>
      <c r="CB3607" s="23"/>
      <c r="CC3607" s="23"/>
      <c r="CD3607" s="23"/>
      <c r="CE3607" s="23"/>
      <c r="CF3607" s="23"/>
      <c r="CG3607" s="23"/>
      <c r="CH3607" s="23"/>
      <c r="CI3607" s="23"/>
    </row>
    <row r="3608" spans="1:87" x14ac:dyDescent="0.3">
      <c r="A3608" s="9" t="s">
        <v>25207</v>
      </c>
      <c r="B3608" s="10" t="s">
        <v>25208</v>
      </c>
      <c r="C3608" s="11">
        <v>46028.479166666664</v>
      </c>
      <c r="D3608" s="12">
        <v>3.4722222222222224E-2</v>
      </c>
      <c r="E3608" s="11">
        <v>46028.513888888891</v>
      </c>
      <c r="F3608" s="22" t="s">
        <v>24700</v>
      </c>
      <c r="G3608" s="13" t="b">
        <v>0</v>
      </c>
      <c r="H3608" s="22" t="s">
        <v>21384</v>
      </c>
      <c r="I3608" s="10" t="s">
        <v>9131</v>
      </c>
      <c r="J3608" s="13" t="b">
        <v>0</v>
      </c>
      <c r="K3608" s="13" t="b">
        <v>1</v>
      </c>
      <c r="L3608" s="10" t="s">
        <v>124</v>
      </c>
      <c r="M3608" s="10" t="s">
        <v>91</v>
      </c>
      <c r="N3608" s="10" t="s">
        <v>92</v>
      </c>
      <c r="O3608" s="19" t="s">
        <v>25209</v>
      </c>
      <c r="P3608" s="10"/>
      <c r="Q3608" s="10" t="s">
        <v>94</v>
      </c>
      <c r="R3608" s="10"/>
      <c r="S3608" s="19" t="s">
        <v>24785</v>
      </c>
      <c r="T3608" s="10"/>
      <c r="U3608" s="10"/>
      <c r="V3608" s="10"/>
      <c r="W3608" s="10" t="s">
        <v>24703</v>
      </c>
      <c r="X3608" s="10" t="s">
        <v>216</v>
      </c>
      <c r="Y3608" s="10" t="s">
        <v>216</v>
      </c>
      <c r="Z3608" s="10" t="s">
        <v>99</v>
      </c>
      <c r="AA3608" s="10" t="s">
        <v>131</v>
      </c>
      <c r="AB3608" s="10" t="s">
        <v>24704</v>
      </c>
      <c r="AC3608" s="10" t="s">
        <v>21389</v>
      </c>
      <c r="AD3608" s="10" t="s">
        <v>165</v>
      </c>
      <c r="AE3608" s="10" t="s">
        <v>25210</v>
      </c>
      <c r="AF3608" s="15"/>
      <c r="AG3608" s="10"/>
      <c r="AH3608" s="10"/>
      <c r="AI3608" s="10"/>
      <c r="AJ3608" s="10"/>
      <c r="AK3608" s="10" t="s">
        <v>102</v>
      </c>
      <c r="AL3608" s="10"/>
      <c r="AM3608" s="10"/>
      <c r="AN3608" s="10"/>
      <c r="AO3608" s="13" t="b">
        <v>0</v>
      </c>
      <c r="AP3608" s="22" t="s">
        <v>221</v>
      </c>
      <c r="AQ3608" s="10">
        <f ca="1">IFERROR(__xludf.DUMMYFUNCTION("""COMPUTED_VALUE"""),4831576)</f>
        <v>4831576</v>
      </c>
      <c r="AR3608" s="17">
        <v>2877</v>
      </c>
      <c r="AS3608" s="17">
        <v>2077</v>
      </c>
      <c r="AT3608" s="17">
        <v>9976.25</v>
      </c>
      <c r="AU3608" s="17">
        <v>5.3</v>
      </c>
      <c r="AV3608" s="17">
        <v>0.8</v>
      </c>
      <c r="AW3608" s="10" t="s">
        <v>105</v>
      </c>
      <c r="AX3608" s="17">
        <v>1202</v>
      </c>
      <c r="AY3608" s="18">
        <v>4.8032017332691384</v>
      </c>
      <c r="AZ3608" s="10"/>
      <c r="BA3608" s="20" t="b">
        <v>0</v>
      </c>
      <c r="BB3608" s="10" t="s">
        <v>24782</v>
      </c>
      <c r="BC3608" s="17">
        <v>2877</v>
      </c>
      <c r="BD3608" s="17">
        <v>2077</v>
      </c>
      <c r="BE3608" s="17">
        <v>9976.25</v>
      </c>
      <c r="BF3608" s="17">
        <v>0.8</v>
      </c>
      <c r="BG3608" s="11">
        <f ca="1">IFERROR(__xludf.DUMMYFUNCTION("""COMPUTED_VALUE"""),46028.4791666666)</f>
        <v>46028.479166666599</v>
      </c>
      <c r="BH3608" s="17" t="s">
        <v>105</v>
      </c>
      <c r="BI3608" s="17"/>
      <c r="BJ3608" s="15"/>
      <c r="BK3608" s="15"/>
      <c r="BL3608" s="13" t="b">
        <v>0</v>
      </c>
      <c r="BM3608" s="10"/>
      <c r="BN3608" s="10" t="s">
        <v>118</v>
      </c>
      <c r="BO3608" s="11">
        <v>46027.720138888886</v>
      </c>
      <c r="BP3608" s="11">
        <v>46027.72084490741</v>
      </c>
      <c r="BQ3608" s="15"/>
      <c r="BR3608" s="15">
        <v>46027.807708333334</v>
      </c>
      <c r="BS3608" s="10" t="s">
        <v>118</v>
      </c>
      <c r="BT3608" s="10"/>
      <c r="BU3608" s="10"/>
      <c r="BV3608" s="10"/>
      <c r="BW3608" s="10"/>
      <c r="BX3608" s="10"/>
      <c r="BY3608" s="23"/>
      <c r="BZ3608" s="23"/>
      <c r="CA3608" s="19" t="s">
        <v>24787</v>
      </c>
      <c r="CB3608" s="23"/>
      <c r="CC3608" s="23"/>
      <c r="CD3608" s="23"/>
      <c r="CE3608" s="23"/>
      <c r="CF3608" s="23"/>
      <c r="CG3608" s="23"/>
      <c r="CH3608" s="23"/>
      <c r="CI3608" s="23"/>
    </row>
    <row r="3609" spans="1:87" x14ac:dyDescent="0.3">
      <c r="A3609" s="9" t="s">
        <v>25211</v>
      </c>
      <c r="B3609" s="10" t="s">
        <v>25212</v>
      </c>
      <c r="C3609" s="11">
        <v>46028.513888888891</v>
      </c>
      <c r="D3609" s="12">
        <v>3.4722222222222224E-2</v>
      </c>
      <c r="E3609" s="11">
        <v>46028.548611111109</v>
      </c>
      <c r="F3609" s="22" t="s">
        <v>24700</v>
      </c>
      <c r="G3609" s="13" t="b">
        <v>0</v>
      </c>
      <c r="H3609" s="22" t="s">
        <v>21384</v>
      </c>
      <c r="I3609" s="10" t="s">
        <v>9131</v>
      </c>
      <c r="J3609" s="13" t="b">
        <v>0</v>
      </c>
      <c r="K3609" s="13" t="b">
        <v>1</v>
      </c>
      <c r="L3609" s="10" t="s">
        <v>124</v>
      </c>
      <c r="M3609" s="10" t="s">
        <v>91</v>
      </c>
      <c r="N3609" s="10" t="s">
        <v>92</v>
      </c>
      <c r="O3609" s="19" t="s">
        <v>25213</v>
      </c>
      <c r="P3609" s="10"/>
      <c r="Q3609" s="10" t="s">
        <v>94</v>
      </c>
      <c r="R3609" s="10"/>
      <c r="S3609" s="19" t="s">
        <v>24785</v>
      </c>
      <c r="T3609" s="10"/>
      <c r="U3609" s="10"/>
      <c r="V3609" s="10"/>
      <c r="W3609" s="10" t="s">
        <v>24703</v>
      </c>
      <c r="X3609" s="10" t="s">
        <v>216</v>
      </c>
      <c r="Y3609" s="10" t="s">
        <v>216</v>
      </c>
      <c r="Z3609" s="10" t="s">
        <v>99</v>
      </c>
      <c r="AA3609" s="10" t="s">
        <v>131</v>
      </c>
      <c r="AB3609" s="10" t="s">
        <v>24704</v>
      </c>
      <c r="AC3609" s="10" t="s">
        <v>21389</v>
      </c>
      <c r="AD3609" s="10" t="s">
        <v>165</v>
      </c>
      <c r="AE3609" s="10" t="s">
        <v>25214</v>
      </c>
      <c r="AF3609" s="15"/>
      <c r="AG3609" s="10"/>
      <c r="AH3609" s="10"/>
      <c r="AI3609" s="10"/>
      <c r="AJ3609" s="10"/>
      <c r="AK3609" s="10" t="s">
        <v>102</v>
      </c>
      <c r="AL3609" s="10"/>
      <c r="AM3609" s="10"/>
      <c r="AN3609" s="10"/>
      <c r="AO3609" s="13" t="b">
        <v>0</v>
      </c>
      <c r="AP3609" s="22" t="s">
        <v>135</v>
      </c>
      <c r="AQ3609" s="10">
        <f ca="1">IFERROR(__xludf.DUMMYFUNCTION("""COMPUTED_VALUE"""),4831577)</f>
        <v>4831577</v>
      </c>
      <c r="AR3609" s="17">
        <v>7197</v>
      </c>
      <c r="AS3609" s="17">
        <v>3989</v>
      </c>
      <c r="AT3609" s="17">
        <v>30507.5</v>
      </c>
      <c r="AU3609" s="17">
        <v>11.25</v>
      </c>
      <c r="AV3609" s="17">
        <v>2.8</v>
      </c>
      <c r="AW3609" s="10" t="s">
        <v>105</v>
      </c>
      <c r="AX3609" s="17">
        <v>988</v>
      </c>
      <c r="AY3609" s="18">
        <v>7.6479067435447483</v>
      </c>
      <c r="AZ3609" s="10"/>
      <c r="BA3609" s="20" t="b">
        <v>0</v>
      </c>
      <c r="BB3609" s="10" t="s">
        <v>24782</v>
      </c>
      <c r="BC3609" s="17">
        <v>7197</v>
      </c>
      <c r="BD3609" s="17">
        <v>3989</v>
      </c>
      <c r="BE3609" s="17">
        <v>30507.5</v>
      </c>
      <c r="BF3609" s="17">
        <v>2.8</v>
      </c>
      <c r="BG3609" s="11">
        <f ca="1">IFERROR(__xludf.DUMMYFUNCTION("""COMPUTED_VALUE"""),46028.5138888888)</f>
        <v>46028.513888888803</v>
      </c>
      <c r="BH3609" s="17" t="s">
        <v>105</v>
      </c>
      <c r="BI3609" s="17"/>
      <c r="BJ3609" s="15"/>
      <c r="BK3609" s="15"/>
      <c r="BL3609" s="13" t="b">
        <v>0</v>
      </c>
      <c r="BM3609" s="10"/>
      <c r="BN3609" s="10" t="s">
        <v>118</v>
      </c>
      <c r="BO3609" s="11">
        <v>46027.720833333333</v>
      </c>
      <c r="BP3609" s="11">
        <v>46027.721053240741</v>
      </c>
      <c r="BQ3609" s="15"/>
      <c r="BR3609" s="15">
        <v>46027.807835648149</v>
      </c>
      <c r="BS3609" s="10" t="s">
        <v>118</v>
      </c>
      <c r="BT3609" s="10"/>
      <c r="BU3609" s="10"/>
      <c r="BV3609" s="10"/>
      <c r="BW3609" s="10"/>
      <c r="BX3609" s="10"/>
      <c r="BY3609" s="23"/>
      <c r="BZ3609" s="23"/>
      <c r="CA3609" s="19" t="s">
        <v>24787</v>
      </c>
      <c r="CB3609" s="23"/>
      <c r="CC3609" s="23"/>
      <c r="CD3609" s="23"/>
      <c r="CE3609" s="23"/>
      <c r="CF3609" s="23"/>
      <c r="CG3609" s="23"/>
      <c r="CH3609" s="23"/>
      <c r="CI3609" s="23"/>
    </row>
    <row r="3610" spans="1:87" x14ac:dyDescent="0.3">
      <c r="A3610" s="9" t="s">
        <v>25215</v>
      </c>
      <c r="B3610" s="10" t="s">
        <v>25216</v>
      </c>
      <c r="C3610" s="11">
        <v>46028.548611111109</v>
      </c>
      <c r="D3610" s="12">
        <v>3.4722222222222224E-2</v>
      </c>
      <c r="E3610" s="11">
        <v>46028.583333333336</v>
      </c>
      <c r="F3610" s="22" t="s">
        <v>24700</v>
      </c>
      <c r="G3610" s="13" t="b">
        <v>0</v>
      </c>
      <c r="H3610" s="22" t="s">
        <v>21384</v>
      </c>
      <c r="I3610" s="10" t="s">
        <v>9131</v>
      </c>
      <c r="J3610" s="13" t="b">
        <v>0</v>
      </c>
      <c r="K3610" s="13" t="b">
        <v>1</v>
      </c>
      <c r="L3610" s="10" t="s">
        <v>358</v>
      </c>
      <c r="M3610" s="10" t="s">
        <v>91</v>
      </c>
      <c r="N3610" s="10" t="s">
        <v>92</v>
      </c>
      <c r="O3610" s="19" t="s">
        <v>25217</v>
      </c>
      <c r="P3610" s="10"/>
      <c r="Q3610" s="10" t="s">
        <v>94</v>
      </c>
      <c r="R3610" s="10"/>
      <c r="S3610" s="19" t="s">
        <v>24785</v>
      </c>
      <c r="T3610" s="10"/>
      <c r="U3610" s="10"/>
      <c r="V3610" s="10"/>
      <c r="W3610" s="10" t="s">
        <v>24703</v>
      </c>
      <c r="X3610" s="10" t="s">
        <v>216</v>
      </c>
      <c r="Y3610" s="10" t="s">
        <v>216</v>
      </c>
      <c r="Z3610" s="10" t="s">
        <v>99</v>
      </c>
      <c r="AA3610" s="10" t="s">
        <v>131</v>
      </c>
      <c r="AB3610" s="10" t="s">
        <v>24704</v>
      </c>
      <c r="AC3610" s="10" t="s">
        <v>21389</v>
      </c>
      <c r="AD3610" s="10" t="s">
        <v>165</v>
      </c>
      <c r="AE3610" s="10" t="s">
        <v>25218</v>
      </c>
      <c r="AF3610" s="15"/>
      <c r="AG3610" s="10"/>
      <c r="AH3610" s="10"/>
      <c r="AI3610" s="10"/>
      <c r="AJ3610" s="10"/>
      <c r="AK3610" s="10" t="s">
        <v>102</v>
      </c>
      <c r="AL3610" s="10"/>
      <c r="AM3610" s="10"/>
      <c r="AN3610" s="10"/>
      <c r="AO3610" s="13" t="b">
        <v>0</v>
      </c>
      <c r="AP3610" s="22" t="s">
        <v>221</v>
      </c>
      <c r="AQ3610" s="10">
        <f ca="1">IFERROR(__xludf.DUMMYFUNCTION("""COMPUTED_VALUE"""),4831578)</f>
        <v>4831578</v>
      </c>
      <c r="AR3610" s="17">
        <v>3122</v>
      </c>
      <c r="AS3610" s="17">
        <v>2249</v>
      </c>
      <c r="AT3610" s="17">
        <v>8074.5</v>
      </c>
      <c r="AU3610" s="17">
        <v>2.35</v>
      </c>
      <c r="AV3610" s="17">
        <v>0</v>
      </c>
      <c r="AW3610" s="10" t="s">
        <v>105</v>
      </c>
      <c r="AX3610" s="17">
        <v>1001</v>
      </c>
      <c r="AY3610" s="18">
        <v>3.5902623388172521</v>
      </c>
      <c r="AZ3610" s="10"/>
      <c r="BA3610" s="20" t="b">
        <v>0</v>
      </c>
      <c r="BB3610" s="10" t="s">
        <v>24782</v>
      </c>
      <c r="BC3610" s="17">
        <v>3122</v>
      </c>
      <c r="BD3610" s="17">
        <v>2249</v>
      </c>
      <c r="BE3610" s="17">
        <v>8074.5</v>
      </c>
      <c r="BF3610" s="17">
        <v>0</v>
      </c>
      <c r="BG3610" s="11">
        <f ca="1">IFERROR(__xludf.DUMMYFUNCTION("""COMPUTED_VALUE"""),46028.5486111111)</f>
        <v>46028.548611111102</v>
      </c>
      <c r="BH3610" s="17" t="s">
        <v>105</v>
      </c>
      <c r="BI3610" s="17"/>
      <c r="BJ3610" s="15"/>
      <c r="BK3610" s="15"/>
      <c r="BL3610" s="13" t="b">
        <v>0</v>
      </c>
      <c r="BM3610" s="10"/>
      <c r="BN3610" s="10" t="s">
        <v>118</v>
      </c>
      <c r="BO3610" s="11">
        <v>46027.720833333333</v>
      </c>
      <c r="BP3610" s="11">
        <v>46027.721284722225</v>
      </c>
      <c r="BQ3610" s="15"/>
      <c r="BR3610" s="15">
        <v>46027.807962962965</v>
      </c>
      <c r="BS3610" s="10" t="s">
        <v>118</v>
      </c>
      <c r="BT3610" s="10"/>
      <c r="BU3610" s="10"/>
      <c r="BV3610" s="10"/>
      <c r="BW3610" s="10"/>
      <c r="BX3610" s="10"/>
      <c r="BY3610" s="23"/>
      <c r="BZ3610" s="23"/>
      <c r="CA3610" s="19" t="s">
        <v>24787</v>
      </c>
      <c r="CB3610" s="23"/>
      <c r="CC3610" s="23"/>
      <c r="CD3610" s="23"/>
      <c r="CE3610" s="23"/>
      <c r="CF3610" s="23"/>
      <c r="CG3610" s="23"/>
      <c r="CH3610" s="23"/>
      <c r="CI3610" s="23"/>
    </row>
    <row r="3611" spans="1:87" x14ac:dyDescent="0.3">
      <c r="A3611" s="9" t="s">
        <v>25219</v>
      </c>
      <c r="B3611" s="10" t="s">
        <v>25220</v>
      </c>
      <c r="C3611" s="11">
        <v>46028.583333333336</v>
      </c>
      <c r="D3611" s="12">
        <v>3.4722222222222224E-2</v>
      </c>
      <c r="E3611" s="11">
        <v>46028.618055555555</v>
      </c>
      <c r="F3611" s="22" t="s">
        <v>24700</v>
      </c>
      <c r="G3611" s="13" t="b">
        <v>0</v>
      </c>
      <c r="H3611" s="22" t="s">
        <v>21384</v>
      </c>
      <c r="I3611" s="10" t="s">
        <v>9131</v>
      </c>
      <c r="J3611" s="13" t="b">
        <v>0</v>
      </c>
      <c r="K3611" s="13" t="b">
        <v>1</v>
      </c>
      <c r="L3611" s="10" t="s">
        <v>124</v>
      </c>
      <c r="M3611" s="10" t="s">
        <v>91</v>
      </c>
      <c r="N3611" s="10" t="s">
        <v>92</v>
      </c>
      <c r="O3611" s="19" t="s">
        <v>25221</v>
      </c>
      <c r="P3611" s="10"/>
      <c r="Q3611" s="10" t="s">
        <v>94</v>
      </c>
      <c r="R3611" s="10"/>
      <c r="S3611" s="19" t="s">
        <v>24785</v>
      </c>
      <c r="T3611" s="10"/>
      <c r="U3611" s="10"/>
      <c r="V3611" s="10"/>
      <c r="W3611" s="10" t="s">
        <v>24703</v>
      </c>
      <c r="X3611" s="10" t="s">
        <v>216</v>
      </c>
      <c r="Y3611" s="10" t="s">
        <v>216</v>
      </c>
      <c r="Z3611" s="10" t="s">
        <v>99</v>
      </c>
      <c r="AA3611" s="10" t="s">
        <v>131</v>
      </c>
      <c r="AB3611" s="10" t="s">
        <v>24704</v>
      </c>
      <c r="AC3611" s="10" t="s">
        <v>21389</v>
      </c>
      <c r="AD3611" s="10" t="s">
        <v>165</v>
      </c>
      <c r="AE3611" s="10" t="s">
        <v>25222</v>
      </c>
      <c r="AF3611" s="15"/>
      <c r="AG3611" s="10"/>
      <c r="AH3611" s="10"/>
      <c r="AI3611" s="10"/>
      <c r="AJ3611" s="10"/>
      <c r="AK3611" s="10" t="s">
        <v>102</v>
      </c>
      <c r="AL3611" s="10"/>
      <c r="AM3611" s="10"/>
      <c r="AN3611" s="10"/>
      <c r="AO3611" s="13" t="b">
        <v>0</v>
      </c>
      <c r="AP3611" s="22" t="s">
        <v>104</v>
      </c>
      <c r="AQ3611" s="10">
        <f ca="1">IFERROR(__xludf.DUMMYFUNCTION("""COMPUTED_VALUE"""),4831579)</f>
        <v>4831579</v>
      </c>
      <c r="AR3611" s="17">
        <v>4912</v>
      </c>
      <c r="AS3611" s="17">
        <v>3493</v>
      </c>
      <c r="AT3611" s="17">
        <v>20389</v>
      </c>
      <c r="AU3611" s="17">
        <v>8.85</v>
      </c>
      <c r="AV3611" s="17">
        <v>2.0499999999999998</v>
      </c>
      <c r="AW3611" s="10" t="s">
        <v>105</v>
      </c>
      <c r="AX3611" s="17">
        <v>1159</v>
      </c>
      <c r="AY3611" s="18">
        <v>5.8371027769825368</v>
      </c>
      <c r="AZ3611" s="10"/>
      <c r="BA3611" s="20" t="b">
        <v>0</v>
      </c>
      <c r="BB3611" s="10" t="s">
        <v>24782</v>
      </c>
      <c r="BC3611" s="17">
        <v>4912</v>
      </c>
      <c r="BD3611" s="17">
        <v>3493</v>
      </c>
      <c r="BE3611" s="17">
        <v>20389</v>
      </c>
      <c r="BF3611" s="17">
        <v>2.0499999999999998</v>
      </c>
      <c r="BG3611" s="11">
        <f ca="1">IFERROR(__xludf.DUMMYFUNCTION("""COMPUTED_VALUE"""),46028.5833333333)</f>
        <v>46028.583333333299</v>
      </c>
      <c r="BH3611" s="17" t="s">
        <v>105</v>
      </c>
      <c r="BI3611" s="17"/>
      <c r="BJ3611" s="15"/>
      <c r="BK3611" s="15"/>
      <c r="BL3611" s="13" t="b">
        <v>0</v>
      </c>
      <c r="BM3611" s="10"/>
      <c r="BN3611" s="10" t="s">
        <v>118</v>
      </c>
      <c r="BO3611" s="11">
        <v>46027.72152777778</v>
      </c>
      <c r="BP3611" s="11">
        <v>46027.721574074072</v>
      </c>
      <c r="BQ3611" s="15"/>
      <c r="BR3611" s="15">
        <v>46027.80809027778</v>
      </c>
      <c r="BS3611" s="10" t="s">
        <v>118</v>
      </c>
      <c r="BT3611" s="10"/>
      <c r="BU3611" s="10"/>
      <c r="BV3611" s="10"/>
      <c r="BW3611" s="10"/>
      <c r="BX3611" s="10"/>
      <c r="BY3611" s="23"/>
      <c r="BZ3611" s="23"/>
      <c r="CA3611" s="19" t="s">
        <v>24787</v>
      </c>
      <c r="CB3611" s="23"/>
      <c r="CC3611" s="23"/>
      <c r="CD3611" s="23"/>
      <c r="CE3611" s="23"/>
      <c r="CF3611" s="23"/>
      <c r="CG3611" s="23"/>
      <c r="CH3611" s="23"/>
      <c r="CI3611" s="23"/>
    </row>
    <row r="3612" spans="1:87" x14ac:dyDescent="0.3">
      <c r="A3612" s="9" t="s">
        <v>25223</v>
      </c>
      <c r="B3612" s="10" t="s">
        <v>25224</v>
      </c>
      <c r="C3612" s="11">
        <v>46028.618055555555</v>
      </c>
      <c r="D3612" s="12">
        <v>3.4722222222222224E-2</v>
      </c>
      <c r="E3612" s="11">
        <v>46028.652777777781</v>
      </c>
      <c r="F3612" s="22" t="s">
        <v>24700</v>
      </c>
      <c r="G3612" s="13" t="b">
        <v>0</v>
      </c>
      <c r="H3612" s="22" t="s">
        <v>21384</v>
      </c>
      <c r="I3612" s="10" t="s">
        <v>9131</v>
      </c>
      <c r="J3612" s="13" t="b">
        <v>0</v>
      </c>
      <c r="K3612" s="13" t="b">
        <v>1</v>
      </c>
      <c r="L3612" s="10" t="s">
        <v>124</v>
      </c>
      <c r="M3612" s="10" t="s">
        <v>91</v>
      </c>
      <c r="N3612" s="10" t="s">
        <v>92</v>
      </c>
      <c r="O3612" s="19" t="s">
        <v>25225</v>
      </c>
      <c r="P3612" s="10"/>
      <c r="Q3612" s="10" t="s">
        <v>94</v>
      </c>
      <c r="R3612" s="10"/>
      <c r="S3612" s="19" t="s">
        <v>24785</v>
      </c>
      <c r="T3612" s="10"/>
      <c r="U3612" s="10"/>
      <c r="V3612" s="10"/>
      <c r="W3612" s="10" t="s">
        <v>24703</v>
      </c>
      <c r="X3612" s="10" t="s">
        <v>216</v>
      </c>
      <c r="Y3612" s="10" t="s">
        <v>216</v>
      </c>
      <c r="Z3612" s="10" t="s">
        <v>99</v>
      </c>
      <c r="AA3612" s="10" t="s">
        <v>131</v>
      </c>
      <c r="AB3612" s="10" t="s">
        <v>24704</v>
      </c>
      <c r="AC3612" s="10" t="s">
        <v>21389</v>
      </c>
      <c r="AD3612" s="10" t="s">
        <v>165</v>
      </c>
      <c r="AE3612" s="10" t="s">
        <v>25226</v>
      </c>
      <c r="AF3612" s="15"/>
      <c r="AG3612" s="10"/>
      <c r="AH3612" s="10"/>
      <c r="AI3612" s="10"/>
      <c r="AJ3612" s="10"/>
      <c r="AK3612" s="10" t="s">
        <v>102</v>
      </c>
      <c r="AL3612" s="10"/>
      <c r="AM3612" s="10"/>
      <c r="AN3612" s="10"/>
      <c r="AO3612" s="13" t="b">
        <v>0</v>
      </c>
      <c r="AP3612" s="22" t="s">
        <v>135</v>
      </c>
      <c r="AQ3612" s="10">
        <f ca="1">IFERROR(__xludf.DUMMYFUNCTION("""COMPUTED_VALUE"""),4831580)</f>
        <v>4831580</v>
      </c>
      <c r="AR3612" s="17">
        <v>2654</v>
      </c>
      <c r="AS3612" s="17">
        <v>2087</v>
      </c>
      <c r="AT3612" s="17">
        <v>5930</v>
      </c>
      <c r="AU3612" s="17">
        <v>4.4000000000000004</v>
      </c>
      <c r="AV3612" s="17">
        <v>0.25</v>
      </c>
      <c r="AW3612" s="10" t="s">
        <v>105</v>
      </c>
      <c r="AX3612" s="17">
        <v>933</v>
      </c>
      <c r="AY3612" s="18">
        <v>2.8413991375179686</v>
      </c>
      <c r="AZ3612" s="10"/>
      <c r="BA3612" s="20" t="b">
        <v>0</v>
      </c>
      <c r="BB3612" s="10" t="s">
        <v>24782</v>
      </c>
      <c r="BC3612" s="17">
        <v>2654</v>
      </c>
      <c r="BD3612" s="17">
        <v>2087</v>
      </c>
      <c r="BE3612" s="17">
        <v>5930</v>
      </c>
      <c r="BF3612" s="17">
        <v>0.25</v>
      </c>
      <c r="BG3612" s="11">
        <f ca="1">IFERROR(__xludf.DUMMYFUNCTION("""COMPUTED_VALUE"""),46028.6180555555)</f>
        <v>46028.618055555497</v>
      </c>
      <c r="BH3612" s="17" t="s">
        <v>105</v>
      </c>
      <c r="BI3612" s="17"/>
      <c r="BJ3612" s="15"/>
      <c r="BK3612" s="15"/>
      <c r="BL3612" s="13" t="b">
        <v>0</v>
      </c>
      <c r="BM3612" s="10"/>
      <c r="BN3612" s="10" t="s">
        <v>118</v>
      </c>
      <c r="BO3612" s="11">
        <v>46027.72152777778</v>
      </c>
      <c r="BP3612" s="11">
        <v>46027.721759259257</v>
      </c>
      <c r="BQ3612" s="15"/>
      <c r="BR3612" s="15">
        <v>46027.808217592596</v>
      </c>
      <c r="BS3612" s="10" t="s">
        <v>118</v>
      </c>
      <c r="BT3612" s="10"/>
      <c r="BU3612" s="10"/>
      <c r="BV3612" s="10"/>
      <c r="BW3612" s="10"/>
      <c r="BX3612" s="10"/>
      <c r="BY3612" s="23"/>
      <c r="BZ3612" s="23"/>
      <c r="CA3612" s="19" t="s">
        <v>24787</v>
      </c>
      <c r="CB3612" s="23"/>
      <c r="CC3612" s="23"/>
      <c r="CD3612" s="23"/>
      <c r="CE3612" s="23"/>
      <c r="CF3612" s="23"/>
      <c r="CG3612" s="23"/>
      <c r="CH3612" s="23"/>
      <c r="CI3612" s="23"/>
    </row>
    <row r="3613" spans="1:87" x14ac:dyDescent="0.3">
      <c r="A3613" s="9" t="s">
        <v>25227</v>
      </c>
      <c r="B3613" s="10" t="s">
        <v>25228</v>
      </c>
      <c r="C3613" s="11">
        <v>46028.652777777781</v>
      </c>
      <c r="D3613" s="12">
        <v>3.4722222222222224E-2</v>
      </c>
      <c r="E3613" s="11">
        <v>46028.6875</v>
      </c>
      <c r="F3613" s="22" t="s">
        <v>24700</v>
      </c>
      <c r="G3613" s="13" t="b">
        <v>0</v>
      </c>
      <c r="H3613" s="22" t="s">
        <v>21384</v>
      </c>
      <c r="I3613" s="10" t="s">
        <v>9131</v>
      </c>
      <c r="J3613" s="13" t="b">
        <v>0</v>
      </c>
      <c r="K3613" s="13" t="b">
        <v>1</v>
      </c>
      <c r="L3613" s="10" t="s">
        <v>124</v>
      </c>
      <c r="M3613" s="10" t="s">
        <v>91</v>
      </c>
      <c r="N3613" s="10" t="s">
        <v>92</v>
      </c>
      <c r="O3613" s="19" t="s">
        <v>25229</v>
      </c>
      <c r="P3613" s="10"/>
      <c r="Q3613" s="10" t="s">
        <v>94</v>
      </c>
      <c r="R3613" s="10"/>
      <c r="S3613" s="19" t="s">
        <v>24785</v>
      </c>
      <c r="T3613" s="10"/>
      <c r="U3613" s="10"/>
      <c r="V3613" s="10"/>
      <c r="W3613" s="10" t="s">
        <v>24703</v>
      </c>
      <c r="X3613" s="10" t="s">
        <v>216</v>
      </c>
      <c r="Y3613" s="10" t="s">
        <v>216</v>
      </c>
      <c r="Z3613" s="10" t="s">
        <v>99</v>
      </c>
      <c r="AA3613" s="10" t="s">
        <v>131</v>
      </c>
      <c r="AB3613" s="10" t="s">
        <v>24704</v>
      </c>
      <c r="AC3613" s="10" t="s">
        <v>21389</v>
      </c>
      <c r="AD3613" s="10" t="s">
        <v>165</v>
      </c>
      <c r="AE3613" s="10" t="s">
        <v>25230</v>
      </c>
      <c r="AF3613" s="15"/>
      <c r="AG3613" s="10"/>
      <c r="AH3613" s="10"/>
      <c r="AI3613" s="10"/>
      <c r="AJ3613" s="10"/>
      <c r="AK3613" s="10" t="s">
        <v>102</v>
      </c>
      <c r="AL3613" s="10"/>
      <c r="AM3613" s="10"/>
      <c r="AN3613" s="10"/>
      <c r="AO3613" s="13" t="b">
        <v>0</v>
      </c>
      <c r="AP3613" s="22" t="s">
        <v>135</v>
      </c>
      <c r="AQ3613" s="10">
        <f ca="1">IFERROR(__xludf.DUMMYFUNCTION("""COMPUTED_VALUE"""),4831581)</f>
        <v>4831581</v>
      </c>
      <c r="AR3613" s="17">
        <v>3438</v>
      </c>
      <c r="AS3613" s="17">
        <v>2615</v>
      </c>
      <c r="AT3613" s="17">
        <v>20232.75</v>
      </c>
      <c r="AU3613" s="17">
        <v>12.8</v>
      </c>
      <c r="AV3613" s="17">
        <v>2.2000000000000002</v>
      </c>
      <c r="AW3613" s="10" t="s">
        <v>105</v>
      </c>
      <c r="AX3613" s="17">
        <v>873</v>
      </c>
      <c r="AY3613" s="18">
        <v>7.7371892925430208</v>
      </c>
      <c r="AZ3613" s="10"/>
      <c r="BA3613" s="20" t="b">
        <v>0</v>
      </c>
      <c r="BB3613" s="10" t="s">
        <v>24782</v>
      </c>
      <c r="BC3613" s="17">
        <v>3438</v>
      </c>
      <c r="BD3613" s="17">
        <v>2615</v>
      </c>
      <c r="BE3613" s="17">
        <v>20232.75</v>
      </c>
      <c r="BF3613" s="17">
        <v>2.2000000000000002</v>
      </c>
      <c r="BG3613" s="11">
        <f ca="1">IFERROR(__xludf.DUMMYFUNCTION("""COMPUTED_VALUE"""),46028.6527777777)</f>
        <v>46028.652777777701</v>
      </c>
      <c r="BH3613" s="17" t="s">
        <v>105</v>
      </c>
      <c r="BI3613" s="17"/>
      <c r="BJ3613" s="15"/>
      <c r="BK3613" s="15"/>
      <c r="BL3613" s="13" t="b">
        <v>0</v>
      </c>
      <c r="BM3613" s="10"/>
      <c r="BN3613" s="10" t="s">
        <v>118</v>
      </c>
      <c r="BO3613" s="11">
        <v>46027.72152777778</v>
      </c>
      <c r="BP3613" s="11">
        <v>46027.721921296295</v>
      </c>
      <c r="BQ3613" s="15"/>
      <c r="BR3613" s="15">
        <v>46027.808333333334</v>
      </c>
      <c r="BS3613" s="10" t="s">
        <v>118</v>
      </c>
      <c r="BT3613" s="10"/>
      <c r="BU3613" s="10"/>
      <c r="BV3613" s="10"/>
      <c r="BW3613" s="10"/>
      <c r="BX3613" s="10"/>
      <c r="BY3613" s="23"/>
      <c r="BZ3613" s="23"/>
      <c r="CA3613" s="19" t="s">
        <v>24787</v>
      </c>
      <c r="CB3613" s="23"/>
      <c r="CC3613" s="23"/>
      <c r="CD3613" s="23"/>
      <c r="CE3613" s="23"/>
      <c r="CF3613" s="23"/>
      <c r="CG3613" s="23"/>
      <c r="CH3613" s="23"/>
      <c r="CI3613" s="23"/>
    </row>
    <row r="3614" spans="1:87" x14ac:dyDescent="0.3">
      <c r="A3614" s="25" t="s">
        <v>25231</v>
      </c>
      <c r="B3614" s="10" t="s">
        <v>25232</v>
      </c>
      <c r="C3614" s="11">
        <v>46028.6875</v>
      </c>
      <c r="D3614" s="12">
        <v>3.4722222222222224E-2</v>
      </c>
      <c r="E3614" s="11">
        <v>46028.722222222219</v>
      </c>
      <c r="F3614" s="22" t="s">
        <v>24700</v>
      </c>
      <c r="G3614" s="13" t="b">
        <v>0</v>
      </c>
      <c r="H3614" s="22" t="s">
        <v>21384</v>
      </c>
      <c r="I3614" s="10" t="s">
        <v>9131</v>
      </c>
      <c r="J3614" s="13" t="b">
        <v>0</v>
      </c>
      <c r="K3614" s="13" t="b">
        <v>1</v>
      </c>
      <c r="L3614" s="10" t="s">
        <v>124</v>
      </c>
      <c r="M3614" s="10" t="s">
        <v>91</v>
      </c>
      <c r="N3614" s="10" t="s">
        <v>92</v>
      </c>
      <c r="O3614" s="19" t="s">
        <v>25233</v>
      </c>
      <c r="P3614" s="10"/>
      <c r="Q3614" s="10" t="s">
        <v>94</v>
      </c>
      <c r="R3614" s="10"/>
      <c r="S3614" s="19" t="s">
        <v>24785</v>
      </c>
      <c r="T3614" s="10"/>
      <c r="U3614" s="10"/>
      <c r="V3614" s="10"/>
      <c r="W3614" s="10" t="s">
        <v>24703</v>
      </c>
      <c r="X3614" s="10" t="s">
        <v>216</v>
      </c>
      <c r="Y3614" s="10" t="s">
        <v>216</v>
      </c>
      <c r="Z3614" s="10" t="s">
        <v>99</v>
      </c>
      <c r="AA3614" s="10" t="s">
        <v>131</v>
      </c>
      <c r="AB3614" s="10" t="s">
        <v>24704</v>
      </c>
      <c r="AC3614" s="10" t="s">
        <v>21389</v>
      </c>
      <c r="AD3614" s="10" t="s">
        <v>165</v>
      </c>
      <c r="AE3614" s="10" t="s">
        <v>25234</v>
      </c>
      <c r="AF3614" s="15"/>
      <c r="AG3614" s="10"/>
      <c r="AH3614" s="10"/>
      <c r="AI3614" s="10"/>
      <c r="AJ3614" s="10"/>
      <c r="AK3614" s="10" t="s">
        <v>102</v>
      </c>
      <c r="AL3614" s="10"/>
      <c r="AM3614" s="10"/>
      <c r="AN3614" s="10"/>
      <c r="AO3614" s="13" t="b">
        <v>0</v>
      </c>
      <c r="AP3614" s="22" t="s">
        <v>135</v>
      </c>
      <c r="AQ3614" s="10">
        <f ca="1">IFERROR(__xludf.DUMMYFUNCTION("""COMPUTED_VALUE"""),4831582)</f>
        <v>4831582</v>
      </c>
      <c r="AR3614" s="17">
        <v>3986</v>
      </c>
      <c r="AS3614" s="17">
        <v>3117</v>
      </c>
      <c r="AT3614" s="17">
        <v>17749.75</v>
      </c>
      <c r="AU3614" s="17">
        <v>5.7</v>
      </c>
      <c r="AV3614" s="17">
        <v>0.45</v>
      </c>
      <c r="AW3614" s="10" t="s">
        <v>105</v>
      </c>
      <c r="AX3614" s="17">
        <v>1252</v>
      </c>
      <c r="AY3614" s="18">
        <v>5.6944979146615333</v>
      </c>
      <c r="AZ3614" s="10"/>
      <c r="BA3614" s="20" t="b">
        <v>0</v>
      </c>
      <c r="BB3614" s="10" t="s">
        <v>24782</v>
      </c>
      <c r="BC3614" s="17">
        <v>3986</v>
      </c>
      <c r="BD3614" s="17">
        <v>3117</v>
      </c>
      <c r="BE3614" s="17">
        <v>17749.75</v>
      </c>
      <c r="BF3614" s="17">
        <v>0.45</v>
      </c>
      <c r="BG3614" s="11">
        <f ca="1">IFERROR(__xludf.DUMMYFUNCTION("""COMPUTED_VALUE"""),46028.6875)</f>
        <v>46028.6875</v>
      </c>
      <c r="BH3614" s="17" t="s">
        <v>105</v>
      </c>
      <c r="BI3614" s="17"/>
      <c r="BJ3614" s="15"/>
      <c r="BK3614" s="15"/>
      <c r="BL3614" s="13" t="b">
        <v>0</v>
      </c>
      <c r="BM3614" s="10"/>
      <c r="BN3614" s="10" t="s">
        <v>118</v>
      </c>
      <c r="BO3614" s="11">
        <v>46027.72152777778</v>
      </c>
      <c r="BP3614" s="11">
        <v>46027.722118055557</v>
      </c>
      <c r="BQ3614" s="15"/>
      <c r="BR3614" s="15">
        <v>46027.80846064815</v>
      </c>
      <c r="BS3614" s="10" t="s">
        <v>118</v>
      </c>
      <c r="BT3614" s="10"/>
      <c r="BU3614" s="10"/>
      <c r="BV3614" s="10"/>
      <c r="BW3614" s="10"/>
      <c r="BX3614" s="10"/>
      <c r="BY3614" s="23"/>
      <c r="BZ3614" s="23"/>
      <c r="CA3614" s="19" t="s">
        <v>24787</v>
      </c>
      <c r="CB3614" s="23"/>
      <c r="CC3614" s="23"/>
      <c r="CD3614" s="23"/>
      <c r="CE3614" s="23"/>
      <c r="CF3614" s="23"/>
      <c r="CG3614" s="23"/>
      <c r="CH3614" s="23"/>
      <c r="CI3614" s="23"/>
    </row>
    <row r="3615" spans="1:87" x14ac:dyDescent="0.3">
      <c r="A3615" s="9" t="s">
        <v>25235</v>
      </c>
      <c r="B3615" s="10" t="s">
        <v>25236</v>
      </c>
      <c r="C3615" s="11">
        <v>46028.722222222219</v>
      </c>
      <c r="D3615" s="12">
        <v>3.4722222222222224E-2</v>
      </c>
      <c r="E3615" s="11">
        <v>46028.756944444445</v>
      </c>
      <c r="F3615" s="22" t="s">
        <v>24700</v>
      </c>
      <c r="G3615" s="13" t="b">
        <v>0</v>
      </c>
      <c r="H3615" s="22" t="s">
        <v>21384</v>
      </c>
      <c r="I3615" s="10" t="s">
        <v>9131</v>
      </c>
      <c r="J3615" s="13" t="b">
        <v>0</v>
      </c>
      <c r="K3615" s="13" t="b">
        <v>1</v>
      </c>
      <c r="L3615" s="10" t="s">
        <v>124</v>
      </c>
      <c r="M3615" s="10" t="s">
        <v>91</v>
      </c>
      <c r="N3615" s="10" t="s">
        <v>92</v>
      </c>
      <c r="O3615" s="19" t="s">
        <v>25237</v>
      </c>
      <c r="P3615" s="10"/>
      <c r="Q3615" s="10" t="s">
        <v>94</v>
      </c>
      <c r="R3615" s="10"/>
      <c r="S3615" s="19" t="s">
        <v>24785</v>
      </c>
      <c r="T3615" s="10"/>
      <c r="U3615" s="10"/>
      <c r="V3615" s="10"/>
      <c r="W3615" s="10" t="s">
        <v>24703</v>
      </c>
      <c r="X3615" s="10" t="s">
        <v>216</v>
      </c>
      <c r="Y3615" s="10" t="s">
        <v>216</v>
      </c>
      <c r="Z3615" s="10" t="s">
        <v>99</v>
      </c>
      <c r="AA3615" s="10" t="s">
        <v>131</v>
      </c>
      <c r="AB3615" s="10" t="s">
        <v>24704</v>
      </c>
      <c r="AC3615" s="10" t="s">
        <v>21389</v>
      </c>
      <c r="AD3615" s="10" t="s">
        <v>165</v>
      </c>
      <c r="AE3615" s="10" t="s">
        <v>25238</v>
      </c>
      <c r="AF3615" s="15"/>
      <c r="AG3615" s="10"/>
      <c r="AH3615" s="10"/>
      <c r="AI3615" s="10"/>
      <c r="AJ3615" s="10"/>
      <c r="AK3615" s="10" t="s">
        <v>102</v>
      </c>
      <c r="AL3615" s="10"/>
      <c r="AM3615" s="10"/>
      <c r="AN3615" s="10"/>
      <c r="AO3615" s="13" t="b">
        <v>0</v>
      </c>
      <c r="AP3615" s="22" t="s">
        <v>135</v>
      </c>
      <c r="AQ3615" s="10">
        <f ca="1">IFERROR(__xludf.DUMMYFUNCTION("""COMPUTED_VALUE"""),4831583)</f>
        <v>4831583</v>
      </c>
      <c r="AR3615" s="17">
        <v>4080</v>
      </c>
      <c r="AS3615" s="17">
        <v>3141</v>
      </c>
      <c r="AT3615" s="17">
        <v>14656.5</v>
      </c>
      <c r="AU3615" s="17">
        <v>5.15</v>
      </c>
      <c r="AV3615" s="17">
        <v>0.8</v>
      </c>
      <c r="AW3615" s="10" t="s">
        <v>105</v>
      </c>
      <c r="AX3615" s="17">
        <v>1104</v>
      </c>
      <c r="AY3615" s="18">
        <v>4.6661891117478511</v>
      </c>
      <c r="AZ3615" s="10"/>
      <c r="BA3615" s="20" t="b">
        <v>0</v>
      </c>
      <c r="BB3615" s="10" t="s">
        <v>24782</v>
      </c>
      <c r="BC3615" s="17">
        <v>4080</v>
      </c>
      <c r="BD3615" s="17">
        <v>3141</v>
      </c>
      <c r="BE3615" s="17">
        <v>14656.5</v>
      </c>
      <c r="BF3615" s="17">
        <v>0.8</v>
      </c>
      <c r="BG3615" s="11">
        <f ca="1">IFERROR(__xludf.DUMMYFUNCTION("""COMPUTED_VALUE"""),46028.7222222222)</f>
        <v>46028.722222222197</v>
      </c>
      <c r="BH3615" s="17" t="s">
        <v>105</v>
      </c>
      <c r="BI3615" s="17"/>
      <c r="BJ3615" s="15"/>
      <c r="BK3615" s="15"/>
      <c r="BL3615" s="13" t="b">
        <v>0</v>
      </c>
      <c r="BM3615" s="10"/>
      <c r="BN3615" s="10" t="s">
        <v>118</v>
      </c>
      <c r="BO3615" s="11">
        <v>46027.722222222219</v>
      </c>
      <c r="BP3615" s="11">
        <v>46027.722314814811</v>
      </c>
      <c r="BQ3615" s="15"/>
      <c r="BR3615" s="15">
        <v>46027.808564814812</v>
      </c>
      <c r="BS3615" s="10" t="s">
        <v>118</v>
      </c>
      <c r="BT3615" s="10"/>
      <c r="BU3615" s="10"/>
      <c r="BV3615" s="10"/>
      <c r="BW3615" s="10"/>
      <c r="BX3615" s="10"/>
      <c r="BY3615" s="23"/>
      <c r="BZ3615" s="23"/>
      <c r="CA3615" s="19" t="s">
        <v>24787</v>
      </c>
      <c r="CB3615" s="23"/>
      <c r="CC3615" s="23"/>
      <c r="CD3615" s="23"/>
      <c r="CE3615" s="23"/>
      <c r="CF3615" s="23"/>
      <c r="CG3615" s="23"/>
      <c r="CH3615" s="23"/>
      <c r="CI3615" s="23"/>
    </row>
    <row r="3616" spans="1:87" x14ac:dyDescent="0.3">
      <c r="A3616" s="9" t="s">
        <v>25239</v>
      </c>
      <c r="B3616" s="10" t="s">
        <v>25240</v>
      </c>
      <c r="C3616" s="11">
        <v>46028.788194444445</v>
      </c>
      <c r="D3616" s="12">
        <v>3.4722222222222224E-2</v>
      </c>
      <c r="E3616" s="11">
        <v>46028.822916666664</v>
      </c>
      <c r="F3616" s="22" t="s">
        <v>24700</v>
      </c>
      <c r="G3616" s="13" t="b">
        <v>0</v>
      </c>
      <c r="H3616" s="22" t="s">
        <v>21384</v>
      </c>
      <c r="I3616" s="10" t="s">
        <v>9131</v>
      </c>
      <c r="J3616" s="13" t="b">
        <v>0</v>
      </c>
      <c r="K3616" s="13" t="b">
        <v>1</v>
      </c>
      <c r="L3616" s="10" t="s">
        <v>124</v>
      </c>
      <c r="M3616" s="10" t="s">
        <v>91</v>
      </c>
      <c r="N3616" s="10" t="s">
        <v>92</v>
      </c>
      <c r="O3616" s="19" t="s">
        <v>25241</v>
      </c>
      <c r="P3616" s="10"/>
      <c r="Q3616" s="10" t="s">
        <v>94</v>
      </c>
      <c r="R3616" s="10"/>
      <c r="S3616" s="19" t="s">
        <v>24785</v>
      </c>
      <c r="T3616" s="10"/>
      <c r="U3616" s="10"/>
      <c r="V3616" s="10"/>
      <c r="W3616" s="10" t="s">
        <v>24703</v>
      </c>
      <c r="X3616" s="10" t="s">
        <v>216</v>
      </c>
      <c r="Y3616" s="10" t="s">
        <v>216</v>
      </c>
      <c r="Z3616" s="10" t="s">
        <v>99</v>
      </c>
      <c r="AA3616" s="10" t="s">
        <v>131</v>
      </c>
      <c r="AB3616" s="10" t="s">
        <v>24704</v>
      </c>
      <c r="AC3616" s="10" t="s">
        <v>21389</v>
      </c>
      <c r="AD3616" s="10" t="s">
        <v>165</v>
      </c>
      <c r="AE3616" s="10" t="s">
        <v>25242</v>
      </c>
      <c r="AF3616" s="15"/>
      <c r="AG3616" s="10"/>
      <c r="AH3616" s="10"/>
      <c r="AI3616" s="10"/>
      <c r="AJ3616" s="10"/>
      <c r="AK3616" s="10" t="s">
        <v>102</v>
      </c>
      <c r="AL3616" s="10"/>
      <c r="AM3616" s="10"/>
      <c r="AN3616" s="10"/>
      <c r="AO3616" s="13" t="b">
        <v>0</v>
      </c>
      <c r="AP3616" s="22" t="s">
        <v>135</v>
      </c>
      <c r="AQ3616" s="10">
        <f ca="1">IFERROR(__xludf.DUMMYFUNCTION("""COMPUTED_VALUE"""),4832215)</f>
        <v>4832215</v>
      </c>
      <c r="AR3616" s="17">
        <v>5612</v>
      </c>
      <c r="AS3616" s="17">
        <v>4016</v>
      </c>
      <c r="AT3616" s="17">
        <v>16601.25</v>
      </c>
      <c r="AU3616" s="17">
        <v>10</v>
      </c>
      <c r="AV3616" s="17">
        <v>2.15</v>
      </c>
      <c r="AW3616" s="10" t="s">
        <v>105</v>
      </c>
      <c r="AX3616" s="17">
        <v>1146</v>
      </c>
      <c r="AY3616" s="18">
        <v>4.1337773904382473</v>
      </c>
      <c r="AZ3616" s="10"/>
      <c r="BA3616" s="20" t="b">
        <v>0</v>
      </c>
      <c r="BB3616" s="10" t="s">
        <v>24775</v>
      </c>
      <c r="BC3616" s="17">
        <v>5612</v>
      </c>
      <c r="BD3616" s="17">
        <v>4016</v>
      </c>
      <c r="BE3616" s="17">
        <v>16601.25</v>
      </c>
      <c r="BF3616" s="17">
        <v>2.15</v>
      </c>
      <c r="BG3616" s="11">
        <f ca="1">IFERROR(__xludf.DUMMYFUNCTION("""COMPUTED_VALUE"""),46028.7881944444)</f>
        <v>46028.788194444402</v>
      </c>
      <c r="BH3616" s="17" t="s">
        <v>105</v>
      </c>
      <c r="BI3616" s="17"/>
      <c r="BJ3616" s="15"/>
      <c r="BK3616" s="15"/>
      <c r="BL3616" s="13" t="b">
        <v>0</v>
      </c>
      <c r="BM3616" s="10"/>
      <c r="BN3616" s="10" t="s">
        <v>634</v>
      </c>
      <c r="BO3616" s="11">
        <v>46027.722222222219</v>
      </c>
      <c r="BP3616" s="11">
        <v>46028.689016203702</v>
      </c>
      <c r="BQ3616" s="15"/>
      <c r="BR3616" s="15">
        <v>46028.709699074076</v>
      </c>
      <c r="BS3616" s="10" t="s">
        <v>634</v>
      </c>
      <c r="BT3616" s="10"/>
      <c r="BU3616" s="10"/>
      <c r="BV3616" s="10"/>
      <c r="BW3616" s="10"/>
      <c r="BX3616" s="10"/>
      <c r="BY3616" s="23"/>
      <c r="BZ3616" s="23"/>
      <c r="CA3616" s="19" t="s">
        <v>24787</v>
      </c>
      <c r="CB3616" s="23"/>
      <c r="CC3616" s="23"/>
      <c r="CD3616" s="23"/>
      <c r="CE3616" s="23"/>
      <c r="CF3616" s="23"/>
      <c r="CG3616" s="23"/>
      <c r="CH3616" s="23"/>
      <c r="CI3616" s="23"/>
    </row>
    <row r="3617" spans="1:87" x14ac:dyDescent="0.3">
      <c r="A3617" s="9" t="s">
        <v>25243</v>
      </c>
      <c r="B3617" s="10" t="s">
        <v>25244</v>
      </c>
      <c r="C3617" s="11">
        <v>46028.791666666664</v>
      </c>
      <c r="D3617" s="12">
        <v>3.4722222222222224E-2</v>
      </c>
      <c r="E3617" s="11">
        <v>46028.826388888891</v>
      </c>
      <c r="F3617" s="22" t="s">
        <v>24700</v>
      </c>
      <c r="G3617" s="13" t="b">
        <v>0</v>
      </c>
      <c r="H3617" s="22" t="s">
        <v>21384</v>
      </c>
      <c r="I3617" s="10" t="s">
        <v>9131</v>
      </c>
      <c r="J3617" s="13" t="b">
        <v>0</v>
      </c>
      <c r="K3617" s="13" t="b">
        <v>1</v>
      </c>
      <c r="L3617" s="10" t="s">
        <v>124</v>
      </c>
      <c r="M3617" s="10" t="s">
        <v>91</v>
      </c>
      <c r="N3617" s="10" t="s">
        <v>92</v>
      </c>
      <c r="O3617" s="19" t="s">
        <v>25245</v>
      </c>
      <c r="P3617" s="10"/>
      <c r="Q3617" s="10" t="s">
        <v>94</v>
      </c>
      <c r="R3617" s="10"/>
      <c r="S3617" s="19" t="s">
        <v>24785</v>
      </c>
      <c r="T3617" s="10"/>
      <c r="U3617" s="10"/>
      <c r="V3617" s="10"/>
      <c r="W3617" s="10" t="s">
        <v>24703</v>
      </c>
      <c r="X3617" s="10" t="s">
        <v>216</v>
      </c>
      <c r="Y3617" s="10" t="s">
        <v>216</v>
      </c>
      <c r="Z3617" s="10" t="s">
        <v>99</v>
      </c>
      <c r="AA3617" s="10" t="s">
        <v>131</v>
      </c>
      <c r="AB3617" s="10" t="s">
        <v>24704</v>
      </c>
      <c r="AC3617" s="10" t="s">
        <v>21389</v>
      </c>
      <c r="AD3617" s="10" t="s">
        <v>165</v>
      </c>
      <c r="AE3617" s="10" t="s">
        <v>25246</v>
      </c>
      <c r="AF3617" s="15"/>
      <c r="AG3617" s="10"/>
      <c r="AH3617" s="10"/>
      <c r="AI3617" s="10"/>
      <c r="AJ3617" s="10"/>
      <c r="AK3617" s="10" t="s">
        <v>102</v>
      </c>
      <c r="AL3617" s="10"/>
      <c r="AM3617" s="10"/>
      <c r="AN3617" s="10"/>
      <c r="AO3617" s="13" t="b">
        <v>0</v>
      </c>
      <c r="AP3617" s="22" t="s">
        <v>104</v>
      </c>
      <c r="AQ3617" s="10">
        <f ca="1">IFERROR(__xludf.DUMMYFUNCTION("""COMPUTED_VALUE"""),4831585)</f>
        <v>4831585</v>
      </c>
      <c r="AR3617" s="17">
        <v>7055</v>
      </c>
      <c r="AS3617" s="17">
        <v>5020</v>
      </c>
      <c r="AT3617" s="17">
        <v>80805.75</v>
      </c>
      <c r="AU3617" s="17">
        <v>53.85</v>
      </c>
      <c r="AV3617" s="17">
        <v>10.95</v>
      </c>
      <c r="AW3617" s="10" t="s">
        <v>105</v>
      </c>
      <c r="AX3617" s="17">
        <v>2589</v>
      </c>
      <c r="AY3617" s="18">
        <v>16.096762948207171</v>
      </c>
      <c r="AZ3617" s="10"/>
      <c r="BA3617" s="20" t="b">
        <v>0</v>
      </c>
      <c r="BB3617" s="10" t="s">
        <v>24782</v>
      </c>
      <c r="BC3617" s="17">
        <v>7055</v>
      </c>
      <c r="BD3617" s="17">
        <v>5020</v>
      </c>
      <c r="BE3617" s="17">
        <v>80805.75</v>
      </c>
      <c r="BF3617" s="17">
        <v>10.95</v>
      </c>
      <c r="BG3617" s="11">
        <f ca="1">IFERROR(__xludf.DUMMYFUNCTION("""COMPUTED_VALUE"""),46028.7916666666)</f>
        <v>46028.791666666599</v>
      </c>
      <c r="BH3617" s="17" t="s">
        <v>105</v>
      </c>
      <c r="BI3617" s="17"/>
      <c r="BJ3617" s="15"/>
      <c r="BK3617" s="15"/>
      <c r="BL3617" s="13" t="b">
        <v>0</v>
      </c>
      <c r="BM3617" s="10"/>
      <c r="BN3617" s="10" t="s">
        <v>118</v>
      </c>
      <c r="BO3617" s="11">
        <v>46027.722222222219</v>
      </c>
      <c r="BP3617" s="11">
        <v>46027.722708333335</v>
      </c>
      <c r="BQ3617" s="15"/>
      <c r="BR3617" s="15">
        <v>46027.808807870373</v>
      </c>
      <c r="BS3617" s="10" t="s">
        <v>118</v>
      </c>
      <c r="BT3617" s="10"/>
      <c r="BU3617" s="10"/>
      <c r="BV3617" s="10"/>
      <c r="BW3617" s="10"/>
      <c r="BX3617" s="10"/>
      <c r="BY3617" s="23"/>
      <c r="BZ3617" s="23"/>
      <c r="CA3617" s="19" t="s">
        <v>24787</v>
      </c>
      <c r="CB3617" s="23"/>
      <c r="CC3617" s="23"/>
      <c r="CD3617" s="23"/>
      <c r="CE3617" s="23"/>
      <c r="CF3617" s="23"/>
      <c r="CG3617" s="23"/>
      <c r="CH3617" s="23"/>
      <c r="CI3617" s="23"/>
    </row>
    <row r="3618" spans="1:87" x14ac:dyDescent="0.3">
      <c r="A3618" s="9" t="s">
        <v>25247</v>
      </c>
      <c r="B3618" s="10" t="s">
        <v>25248</v>
      </c>
      <c r="C3618" s="11">
        <v>46047.6875</v>
      </c>
      <c r="D3618" s="12">
        <v>1.2500000000000001E-2</v>
      </c>
      <c r="E3618" s="11">
        <v>46047.7</v>
      </c>
      <c r="F3618" s="22" t="s">
        <v>24512</v>
      </c>
      <c r="G3618" s="13" t="b">
        <v>0</v>
      </c>
      <c r="H3618" s="22"/>
      <c r="I3618" s="10" t="s">
        <v>212</v>
      </c>
      <c r="J3618" s="13" t="b">
        <v>1</v>
      </c>
      <c r="K3618" s="13" t="b">
        <v>0</v>
      </c>
      <c r="L3618" s="10" t="s">
        <v>124</v>
      </c>
      <c r="M3618" s="10" t="s">
        <v>91</v>
      </c>
      <c r="N3618" s="10" t="s">
        <v>3513</v>
      </c>
      <c r="O3618" s="10"/>
      <c r="P3618" s="10"/>
      <c r="Q3618" s="10" t="s">
        <v>126</v>
      </c>
      <c r="R3618" s="10"/>
      <c r="S3618" s="10"/>
      <c r="T3618" s="10"/>
      <c r="U3618" s="10"/>
      <c r="V3618" s="10"/>
      <c r="W3618" s="10" t="s">
        <v>24514</v>
      </c>
      <c r="X3618" s="10" t="s">
        <v>98</v>
      </c>
      <c r="Y3618" s="10" t="s">
        <v>98</v>
      </c>
      <c r="Z3618" s="10" t="s">
        <v>99</v>
      </c>
      <c r="AA3618" s="10" t="s">
        <v>131</v>
      </c>
      <c r="AB3618" s="10" t="s">
        <v>24515</v>
      </c>
      <c r="AC3618" s="10" t="s">
        <v>23185</v>
      </c>
      <c r="AD3618" s="10" t="s">
        <v>165</v>
      </c>
      <c r="AE3618" s="10" t="s">
        <v>25249</v>
      </c>
      <c r="AF3618" s="15"/>
      <c r="AG3618" s="10"/>
      <c r="AH3618" s="10"/>
      <c r="AI3618" s="10"/>
      <c r="AJ3618" s="10"/>
      <c r="AK3618" s="10"/>
      <c r="AL3618" s="10"/>
      <c r="AM3618" s="10"/>
      <c r="AN3618" s="10"/>
      <c r="AO3618" s="13" t="b">
        <v>0</v>
      </c>
      <c r="AP3618" s="22"/>
      <c r="AQ3618" s="10"/>
      <c r="AR3618" s="17"/>
      <c r="AS3618" s="17"/>
      <c r="AT3618" s="17"/>
      <c r="AU3618" s="17"/>
      <c r="AV3618" s="17"/>
      <c r="AW3618" s="10"/>
      <c r="AX3618" s="17"/>
      <c r="AY3618" s="18" t="s">
        <v>257</v>
      </c>
      <c r="AZ3618" s="10"/>
      <c r="BA3618" s="20" t="b">
        <v>0</v>
      </c>
      <c r="BB3618" s="10" t="s">
        <v>24511</v>
      </c>
      <c r="BC3618" s="17" t="s">
        <v>257</v>
      </c>
      <c r="BD3618" s="17" t="s">
        <v>257</v>
      </c>
      <c r="BE3618" s="17" t="s">
        <v>257</v>
      </c>
      <c r="BF3618" s="17" t="s">
        <v>257</v>
      </c>
      <c r="BG3618" s="11">
        <f ca="1">IFERROR(__xludf.DUMMYFUNCTION("""COMPUTED_VALUE"""),46047.6875)</f>
        <v>46047.6875</v>
      </c>
      <c r="BH3618" s="17"/>
      <c r="BI3618" s="17"/>
      <c r="BJ3618" s="15"/>
      <c r="BK3618" s="15"/>
      <c r="BL3618" s="13" t="b">
        <v>0</v>
      </c>
      <c r="BM3618" s="10"/>
      <c r="BN3618" s="10" t="s">
        <v>351</v>
      </c>
      <c r="BO3618" s="11">
        <v>46028.474999999999</v>
      </c>
      <c r="BP3618" s="11">
        <v>46028.475393518522</v>
      </c>
      <c r="BQ3618" s="15"/>
      <c r="BR3618" s="15"/>
      <c r="BS3618" s="10" t="s">
        <v>351</v>
      </c>
      <c r="BT3618" s="10"/>
      <c r="BU3618" s="10"/>
      <c r="BV3618" s="10"/>
      <c r="BW3618" s="10"/>
      <c r="BX3618" s="10"/>
      <c r="BY3618" s="23"/>
      <c r="BZ3618" s="23"/>
      <c r="CA3618" s="10"/>
      <c r="CB3618" s="23"/>
      <c r="CC3618" s="23"/>
      <c r="CD3618" s="23"/>
      <c r="CE3618" s="23"/>
      <c r="CF3618" s="23"/>
      <c r="CG3618" s="23"/>
      <c r="CH3618" s="23"/>
      <c r="CI3618" s="23"/>
    </row>
    <row r="3619" spans="1:87" x14ac:dyDescent="0.3">
      <c r="A3619" s="9" t="s">
        <v>25250</v>
      </c>
      <c r="B3619" s="10" t="s">
        <v>25251</v>
      </c>
      <c r="C3619" s="11">
        <v>46047.7</v>
      </c>
      <c r="D3619" s="12">
        <v>1.2500000000000001E-2</v>
      </c>
      <c r="E3619" s="11">
        <v>46047.712500000001</v>
      </c>
      <c r="F3619" s="22" t="s">
        <v>24512</v>
      </c>
      <c r="G3619" s="13" t="b">
        <v>0</v>
      </c>
      <c r="H3619" s="22"/>
      <c r="I3619" s="10" t="s">
        <v>212</v>
      </c>
      <c r="J3619" s="13" t="b">
        <v>1</v>
      </c>
      <c r="K3619" s="13" t="b">
        <v>0</v>
      </c>
      <c r="L3619" s="10" t="s">
        <v>124</v>
      </c>
      <c r="M3619" s="10" t="s">
        <v>91</v>
      </c>
      <c r="N3619" s="10" t="s">
        <v>3513</v>
      </c>
      <c r="O3619" s="10"/>
      <c r="P3619" s="10"/>
      <c r="Q3619" s="10" t="s">
        <v>126</v>
      </c>
      <c r="R3619" s="10"/>
      <c r="S3619" s="10"/>
      <c r="T3619" s="10"/>
      <c r="U3619" s="10"/>
      <c r="V3619" s="10"/>
      <c r="W3619" s="10" t="s">
        <v>24514</v>
      </c>
      <c r="X3619" s="10" t="s">
        <v>98</v>
      </c>
      <c r="Y3619" s="10" t="s">
        <v>98</v>
      </c>
      <c r="Z3619" s="10" t="s">
        <v>99</v>
      </c>
      <c r="AA3619" s="10" t="s">
        <v>131</v>
      </c>
      <c r="AB3619" s="10" t="s">
        <v>24515</v>
      </c>
      <c r="AC3619" s="10" t="s">
        <v>23185</v>
      </c>
      <c r="AD3619" s="10" t="s">
        <v>165</v>
      </c>
      <c r="AE3619" s="10" t="s">
        <v>25252</v>
      </c>
      <c r="AF3619" s="15"/>
      <c r="AG3619" s="10"/>
      <c r="AH3619" s="10"/>
      <c r="AI3619" s="10"/>
      <c r="AJ3619" s="10"/>
      <c r="AK3619" s="10"/>
      <c r="AL3619" s="10"/>
      <c r="AM3619" s="10"/>
      <c r="AN3619" s="10"/>
      <c r="AO3619" s="13" t="b">
        <v>0</v>
      </c>
      <c r="AP3619" s="22"/>
      <c r="AQ3619" s="10"/>
      <c r="AR3619" s="17"/>
      <c r="AS3619" s="17"/>
      <c r="AT3619" s="17"/>
      <c r="AU3619" s="17"/>
      <c r="AV3619" s="17"/>
      <c r="AW3619" s="10"/>
      <c r="AX3619" s="17"/>
      <c r="AY3619" s="18" t="s">
        <v>257</v>
      </c>
      <c r="AZ3619" s="10"/>
      <c r="BA3619" s="20" t="b">
        <v>0</v>
      </c>
      <c r="BB3619" s="10" t="s">
        <v>24511</v>
      </c>
      <c r="BC3619" s="17" t="s">
        <v>257</v>
      </c>
      <c r="BD3619" s="17" t="s">
        <v>257</v>
      </c>
      <c r="BE3619" s="17" t="s">
        <v>257</v>
      </c>
      <c r="BF3619" s="17" t="s">
        <v>257</v>
      </c>
      <c r="BG3619" s="11">
        <f ca="1">IFERROR(__xludf.DUMMYFUNCTION("""COMPUTED_VALUE"""),46047.7)</f>
        <v>46047.7</v>
      </c>
      <c r="BH3619" s="17"/>
      <c r="BI3619" s="17"/>
      <c r="BJ3619" s="15"/>
      <c r="BK3619" s="15"/>
      <c r="BL3619" s="13" t="b">
        <v>0</v>
      </c>
      <c r="BM3619" s="10"/>
      <c r="BN3619" s="10" t="s">
        <v>351</v>
      </c>
      <c r="BO3619" s="11">
        <v>46028.481249999997</v>
      </c>
      <c r="BP3619" s="11">
        <v>46028.482303240744</v>
      </c>
      <c r="BQ3619" s="15"/>
      <c r="BR3619" s="15"/>
      <c r="BS3619" s="10" t="s">
        <v>351</v>
      </c>
      <c r="BT3619" s="10"/>
      <c r="BU3619" s="10"/>
      <c r="BV3619" s="10"/>
      <c r="BW3619" s="10"/>
      <c r="BX3619" s="10"/>
      <c r="BY3619" s="23"/>
      <c r="BZ3619" s="23"/>
      <c r="CA3619" s="10"/>
      <c r="CB3619" s="23"/>
      <c r="CC3619" s="23"/>
      <c r="CD3619" s="23"/>
      <c r="CE3619" s="23"/>
      <c r="CF3619" s="23"/>
      <c r="CG3619" s="23"/>
      <c r="CH3619" s="23"/>
      <c r="CI3619" s="23"/>
    </row>
    <row r="3620" spans="1:87" x14ac:dyDescent="0.3">
      <c r="A3620" s="9" t="s">
        <v>25253</v>
      </c>
      <c r="B3620" s="10" t="s">
        <v>25254</v>
      </c>
      <c r="C3620" s="11">
        <v>46047.712500000001</v>
      </c>
      <c r="D3620" s="12">
        <v>1.4583333333333334E-2</v>
      </c>
      <c r="E3620" s="11">
        <v>46047.727083333331</v>
      </c>
      <c r="F3620" s="22" t="s">
        <v>24512</v>
      </c>
      <c r="G3620" s="13" t="b">
        <v>0</v>
      </c>
      <c r="H3620" s="22"/>
      <c r="I3620" s="10" t="s">
        <v>212</v>
      </c>
      <c r="J3620" s="13" t="b">
        <v>1</v>
      </c>
      <c r="K3620" s="13" t="b">
        <v>0</v>
      </c>
      <c r="L3620" s="10" t="s">
        <v>124</v>
      </c>
      <c r="M3620" s="10" t="s">
        <v>91</v>
      </c>
      <c r="N3620" s="10" t="s">
        <v>3513</v>
      </c>
      <c r="O3620" s="10"/>
      <c r="P3620" s="10"/>
      <c r="Q3620" s="10" t="s">
        <v>126</v>
      </c>
      <c r="R3620" s="10"/>
      <c r="S3620" s="10"/>
      <c r="T3620" s="10"/>
      <c r="U3620" s="10"/>
      <c r="V3620" s="10"/>
      <c r="W3620" s="10" t="s">
        <v>24514</v>
      </c>
      <c r="X3620" s="10" t="s">
        <v>98</v>
      </c>
      <c r="Y3620" s="10" t="s">
        <v>98</v>
      </c>
      <c r="Z3620" s="10" t="s">
        <v>99</v>
      </c>
      <c r="AA3620" s="10" t="s">
        <v>131</v>
      </c>
      <c r="AB3620" s="10" t="s">
        <v>24515</v>
      </c>
      <c r="AC3620" s="10" t="s">
        <v>23185</v>
      </c>
      <c r="AD3620" s="10" t="s">
        <v>165</v>
      </c>
      <c r="AE3620" s="10" t="s">
        <v>25255</v>
      </c>
      <c r="AF3620" s="15"/>
      <c r="AG3620" s="10"/>
      <c r="AH3620" s="10"/>
      <c r="AI3620" s="10"/>
      <c r="AJ3620" s="10"/>
      <c r="AK3620" s="10"/>
      <c r="AL3620" s="10"/>
      <c r="AM3620" s="10"/>
      <c r="AN3620" s="10"/>
      <c r="AO3620" s="13" t="b">
        <v>0</v>
      </c>
      <c r="AP3620" s="22"/>
      <c r="AQ3620" s="10"/>
      <c r="AR3620" s="17"/>
      <c r="AS3620" s="17"/>
      <c r="AT3620" s="17"/>
      <c r="AU3620" s="17"/>
      <c r="AV3620" s="17"/>
      <c r="AW3620" s="10"/>
      <c r="AX3620" s="17"/>
      <c r="AY3620" s="18" t="s">
        <v>257</v>
      </c>
      <c r="AZ3620" s="10"/>
      <c r="BA3620" s="20" t="b">
        <v>0</v>
      </c>
      <c r="BB3620" s="10" t="s">
        <v>24511</v>
      </c>
      <c r="BC3620" s="17" t="s">
        <v>257</v>
      </c>
      <c r="BD3620" s="17" t="s">
        <v>257</v>
      </c>
      <c r="BE3620" s="17" t="s">
        <v>257</v>
      </c>
      <c r="BF3620" s="17" t="s">
        <v>257</v>
      </c>
      <c r="BG3620" s="11">
        <f ca="1">IFERROR(__xludf.DUMMYFUNCTION("""COMPUTED_VALUE"""),46047.7125)</f>
        <v>46047.712500000001</v>
      </c>
      <c r="BH3620" s="17"/>
      <c r="BI3620" s="17"/>
      <c r="BJ3620" s="15"/>
      <c r="BK3620" s="15"/>
      <c r="BL3620" s="13" t="b">
        <v>0</v>
      </c>
      <c r="BM3620" s="10"/>
      <c r="BN3620" s="10" t="s">
        <v>351</v>
      </c>
      <c r="BO3620" s="11">
        <v>46028.481944444444</v>
      </c>
      <c r="BP3620" s="11">
        <v>46028.482928240737</v>
      </c>
      <c r="BQ3620" s="15"/>
      <c r="BR3620" s="15"/>
      <c r="BS3620" s="10" t="s">
        <v>351</v>
      </c>
      <c r="BT3620" s="10"/>
      <c r="BU3620" s="10"/>
      <c r="BV3620" s="10"/>
      <c r="BW3620" s="10"/>
      <c r="BX3620" s="10"/>
      <c r="BY3620" s="23"/>
      <c r="BZ3620" s="23"/>
      <c r="CA3620" s="10"/>
      <c r="CB3620" s="23"/>
      <c r="CC3620" s="23"/>
      <c r="CD3620" s="23"/>
      <c r="CE3620" s="23"/>
      <c r="CF3620" s="23"/>
      <c r="CG3620" s="23"/>
      <c r="CH3620" s="23"/>
      <c r="CI3620" s="23"/>
    </row>
    <row r="3621" spans="1:87" x14ac:dyDescent="0.3">
      <c r="A3621" s="9" t="s">
        <v>25256</v>
      </c>
      <c r="B3621" s="10" t="s">
        <v>25257</v>
      </c>
      <c r="C3621" s="11">
        <v>46047.727083333331</v>
      </c>
      <c r="D3621" s="12">
        <v>1.4583333333333334E-2</v>
      </c>
      <c r="E3621" s="11">
        <v>46047.741666666669</v>
      </c>
      <c r="F3621" s="22" t="s">
        <v>24512</v>
      </c>
      <c r="G3621" s="13" t="b">
        <v>0</v>
      </c>
      <c r="H3621" s="22"/>
      <c r="I3621" s="10" t="s">
        <v>212</v>
      </c>
      <c r="J3621" s="13" t="b">
        <v>1</v>
      </c>
      <c r="K3621" s="13" t="b">
        <v>0</v>
      </c>
      <c r="L3621" s="10" t="s">
        <v>124</v>
      </c>
      <c r="M3621" s="10" t="s">
        <v>91</v>
      </c>
      <c r="N3621" s="10" t="s">
        <v>3513</v>
      </c>
      <c r="O3621" s="10"/>
      <c r="P3621" s="10"/>
      <c r="Q3621" s="10" t="s">
        <v>126</v>
      </c>
      <c r="R3621" s="10"/>
      <c r="S3621" s="10"/>
      <c r="T3621" s="10"/>
      <c r="U3621" s="10"/>
      <c r="V3621" s="10"/>
      <c r="W3621" s="10" t="s">
        <v>24514</v>
      </c>
      <c r="X3621" s="10" t="s">
        <v>98</v>
      </c>
      <c r="Y3621" s="10" t="s">
        <v>98</v>
      </c>
      <c r="Z3621" s="10" t="s">
        <v>99</v>
      </c>
      <c r="AA3621" s="10" t="s">
        <v>131</v>
      </c>
      <c r="AB3621" s="10" t="s">
        <v>24515</v>
      </c>
      <c r="AC3621" s="10" t="s">
        <v>23185</v>
      </c>
      <c r="AD3621" s="10" t="s">
        <v>165</v>
      </c>
      <c r="AE3621" s="10" t="s">
        <v>25258</v>
      </c>
      <c r="AF3621" s="15"/>
      <c r="AG3621" s="10"/>
      <c r="AH3621" s="10"/>
      <c r="AI3621" s="10"/>
      <c r="AJ3621" s="10"/>
      <c r="AK3621" s="10"/>
      <c r="AL3621" s="10"/>
      <c r="AM3621" s="10"/>
      <c r="AN3621" s="10"/>
      <c r="AO3621" s="13" t="b">
        <v>0</v>
      </c>
      <c r="AP3621" s="22"/>
      <c r="AQ3621" s="10"/>
      <c r="AR3621" s="17"/>
      <c r="AS3621" s="17"/>
      <c r="AT3621" s="17"/>
      <c r="AU3621" s="17"/>
      <c r="AV3621" s="17"/>
      <c r="AW3621" s="10"/>
      <c r="AX3621" s="17"/>
      <c r="AY3621" s="18" t="s">
        <v>257</v>
      </c>
      <c r="AZ3621" s="10"/>
      <c r="BA3621" s="20" t="b">
        <v>0</v>
      </c>
      <c r="BB3621" s="10" t="s">
        <v>24511</v>
      </c>
      <c r="BC3621" s="17" t="s">
        <v>257</v>
      </c>
      <c r="BD3621" s="17" t="s">
        <v>257</v>
      </c>
      <c r="BE3621" s="17" t="s">
        <v>257</v>
      </c>
      <c r="BF3621" s="17" t="s">
        <v>257</v>
      </c>
      <c r="BG3621" s="11">
        <f ca="1">IFERROR(__xludf.DUMMYFUNCTION("""COMPUTED_VALUE"""),46047.7270833333)</f>
        <v>46047.727083333302</v>
      </c>
      <c r="BH3621" s="17"/>
      <c r="BI3621" s="17"/>
      <c r="BJ3621" s="15"/>
      <c r="BK3621" s="15"/>
      <c r="BL3621" s="13" t="b">
        <v>0</v>
      </c>
      <c r="BM3621" s="10"/>
      <c r="BN3621" s="10" t="s">
        <v>351</v>
      </c>
      <c r="BO3621" s="11">
        <v>46028.550694444442</v>
      </c>
      <c r="BP3621" s="11">
        <v>46028.551400462966</v>
      </c>
      <c r="BQ3621" s="15"/>
      <c r="BR3621" s="15"/>
      <c r="BS3621" s="10" t="s">
        <v>351</v>
      </c>
      <c r="BT3621" s="10"/>
      <c r="BU3621" s="10"/>
      <c r="BV3621" s="10"/>
      <c r="BW3621" s="10"/>
      <c r="BX3621" s="10"/>
      <c r="BY3621" s="23"/>
      <c r="BZ3621" s="23"/>
      <c r="CA3621" s="10"/>
      <c r="CB3621" s="23"/>
      <c r="CC3621" s="23"/>
      <c r="CD3621" s="23"/>
      <c r="CE3621" s="23"/>
      <c r="CF3621" s="23"/>
      <c r="CG3621" s="23"/>
      <c r="CH3621" s="23"/>
      <c r="CI3621" s="23"/>
    </row>
    <row r="3622" spans="1:87" x14ac:dyDescent="0.3">
      <c r="A3622" s="9" t="s">
        <v>25259</v>
      </c>
      <c r="B3622" s="10" t="s">
        <v>25260</v>
      </c>
      <c r="C3622" s="11">
        <v>46047.741666666669</v>
      </c>
      <c r="D3622" s="12">
        <v>1.4583333333333334E-2</v>
      </c>
      <c r="E3622" s="11">
        <v>46047.756249999999</v>
      </c>
      <c r="F3622" s="22" t="s">
        <v>24512</v>
      </c>
      <c r="G3622" s="13" t="b">
        <v>0</v>
      </c>
      <c r="H3622" s="22"/>
      <c r="I3622" s="10" t="s">
        <v>212</v>
      </c>
      <c r="J3622" s="13" t="b">
        <v>1</v>
      </c>
      <c r="K3622" s="13" t="b">
        <v>0</v>
      </c>
      <c r="L3622" s="10" t="s">
        <v>124</v>
      </c>
      <c r="M3622" s="10" t="s">
        <v>91</v>
      </c>
      <c r="N3622" s="10" t="s">
        <v>3513</v>
      </c>
      <c r="O3622" s="10"/>
      <c r="P3622" s="10"/>
      <c r="Q3622" s="10" t="s">
        <v>126</v>
      </c>
      <c r="R3622" s="10"/>
      <c r="S3622" s="10"/>
      <c r="T3622" s="10"/>
      <c r="U3622" s="10"/>
      <c r="V3622" s="10"/>
      <c r="W3622" s="10" t="s">
        <v>24514</v>
      </c>
      <c r="X3622" s="10" t="s">
        <v>98</v>
      </c>
      <c r="Y3622" s="10" t="s">
        <v>98</v>
      </c>
      <c r="Z3622" s="10" t="s">
        <v>99</v>
      </c>
      <c r="AA3622" s="10" t="s">
        <v>131</v>
      </c>
      <c r="AB3622" s="10" t="s">
        <v>24515</v>
      </c>
      <c r="AC3622" s="10" t="s">
        <v>23185</v>
      </c>
      <c r="AD3622" s="10" t="s">
        <v>165</v>
      </c>
      <c r="AE3622" s="10" t="s">
        <v>25261</v>
      </c>
      <c r="AF3622" s="15"/>
      <c r="AG3622" s="10"/>
      <c r="AH3622" s="10"/>
      <c r="AI3622" s="10"/>
      <c r="AJ3622" s="10"/>
      <c r="AK3622" s="10"/>
      <c r="AL3622" s="10"/>
      <c r="AM3622" s="10"/>
      <c r="AN3622" s="10"/>
      <c r="AO3622" s="13" t="b">
        <v>0</v>
      </c>
      <c r="AP3622" s="22"/>
      <c r="AQ3622" s="10"/>
      <c r="AR3622" s="17"/>
      <c r="AS3622" s="17"/>
      <c r="AT3622" s="17"/>
      <c r="AU3622" s="17"/>
      <c r="AV3622" s="17"/>
      <c r="AW3622" s="10"/>
      <c r="AX3622" s="17"/>
      <c r="AY3622" s="18" t="s">
        <v>257</v>
      </c>
      <c r="AZ3622" s="10"/>
      <c r="BA3622" s="20" t="b">
        <v>0</v>
      </c>
      <c r="BB3622" s="10" t="s">
        <v>24511</v>
      </c>
      <c r="BC3622" s="17" t="s">
        <v>257</v>
      </c>
      <c r="BD3622" s="17" t="s">
        <v>257</v>
      </c>
      <c r="BE3622" s="17" t="s">
        <v>257</v>
      </c>
      <c r="BF3622" s="17" t="s">
        <v>257</v>
      </c>
      <c r="BG3622" s="11">
        <f ca="1">IFERROR(__xludf.DUMMYFUNCTION("""COMPUTED_VALUE"""),46047.7416666666)</f>
        <v>46047.741666666603</v>
      </c>
      <c r="BH3622" s="17"/>
      <c r="BI3622" s="17"/>
      <c r="BJ3622" s="15"/>
      <c r="BK3622" s="15"/>
      <c r="BL3622" s="13" t="b">
        <v>0</v>
      </c>
      <c r="BM3622" s="10"/>
      <c r="BN3622" s="10" t="s">
        <v>351</v>
      </c>
      <c r="BO3622" s="11">
        <v>46028.551388888889</v>
      </c>
      <c r="BP3622" s="11">
        <v>46028.552164351851</v>
      </c>
      <c r="BQ3622" s="15"/>
      <c r="BR3622" s="15"/>
      <c r="BS3622" s="10" t="s">
        <v>351</v>
      </c>
      <c r="BT3622" s="10"/>
      <c r="BU3622" s="10"/>
      <c r="BV3622" s="10"/>
      <c r="BW3622" s="10"/>
      <c r="BX3622" s="10"/>
      <c r="BY3622" s="23"/>
      <c r="BZ3622" s="23"/>
      <c r="CA3622" s="10"/>
      <c r="CB3622" s="23"/>
      <c r="CC3622" s="23"/>
      <c r="CD3622" s="23"/>
      <c r="CE3622" s="23"/>
      <c r="CF3622" s="23"/>
      <c r="CG3622" s="23"/>
      <c r="CH3622" s="23"/>
      <c r="CI3622" s="23"/>
    </row>
    <row r="3623" spans="1:87" x14ac:dyDescent="0.3">
      <c r="A3623" s="9" t="s">
        <v>25262</v>
      </c>
      <c r="B3623" s="10" t="s">
        <v>25263</v>
      </c>
      <c r="C3623" s="11">
        <v>46047.756249999999</v>
      </c>
      <c r="D3623" s="12">
        <v>1.4583333333333334E-2</v>
      </c>
      <c r="E3623" s="11">
        <v>46047.770833333336</v>
      </c>
      <c r="F3623" s="22" t="s">
        <v>24512</v>
      </c>
      <c r="G3623" s="13" t="b">
        <v>0</v>
      </c>
      <c r="H3623" s="22"/>
      <c r="I3623" s="10" t="s">
        <v>212</v>
      </c>
      <c r="J3623" s="13" t="b">
        <v>1</v>
      </c>
      <c r="K3623" s="13" t="b">
        <v>0</v>
      </c>
      <c r="L3623" s="10" t="s">
        <v>124</v>
      </c>
      <c r="M3623" s="10" t="s">
        <v>91</v>
      </c>
      <c r="N3623" s="10" t="s">
        <v>3513</v>
      </c>
      <c r="O3623" s="10"/>
      <c r="P3623" s="10"/>
      <c r="Q3623" s="10" t="s">
        <v>126</v>
      </c>
      <c r="R3623" s="10"/>
      <c r="S3623" s="10"/>
      <c r="T3623" s="10"/>
      <c r="U3623" s="10"/>
      <c r="V3623" s="10"/>
      <c r="W3623" s="10" t="s">
        <v>24514</v>
      </c>
      <c r="X3623" s="10" t="s">
        <v>98</v>
      </c>
      <c r="Y3623" s="10" t="s">
        <v>98</v>
      </c>
      <c r="Z3623" s="10" t="s">
        <v>99</v>
      </c>
      <c r="AA3623" s="10" t="s">
        <v>131</v>
      </c>
      <c r="AB3623" s="10" t="s">
        <v>24515</v>
      </c>
      <c r="AC3623" s="10" t="s">
        <v>23185</v>
      </c>
      <c r="AD3623" s="10" t="s">
        <v>165</v>
      </c>
      <c r="AE3623" s="10" t="s">
        <v>25264</v>
      </c>
      <c r="AF3623" s="15"/>
      <c r="AG3623" s="10"/>
      <c r="AH3623" s="10"/>
      <c r="AI3623" s="10"/>
      <c r="AJ3623" s="10"/>
      <c r="AK3623" s="10"/>
      <c r="AL3623" s="10"/>
      <c r="AM3623" s="10"/>
      <c r="AN3623" s="10"/>
      <c r="AO3623" s="13" t="b">
        <v>0</v>
      </c>
      <c r="AP3623" s="22"/>
      <c r="AQ3623" s="10"/>
      <c r="AR3623" s="17"/>
      <c r="AS3623" s="17"/>
      <c r="AT3623" s="17"/>
      <c r="AU3623" s="17"/>
      <c r="AV3623" s="17"/>
      <c r="AW3623" s="10"/>
      <c r="AX3623" s="17"/>
      <c r="AY3623" s="18" t="s">
        <v>257</v>
      </c>
      <c r="AZ3623" s="10"/>
      <c r="BA3623" s="20" t="b">
        <v>0</v>
      </c>
      <c r="BB3623" s="10" t="s">
        <v>24511</v>
      </c>
      <c r="BC3623" s="17" t="s">
        <v>257</v>
      </c>
      <c r="BD3623" s="17" t="s">
        <v>257</v>
      </c>
      <c r="BE3623" s="17" t="s">
        <v>257</v>
      </c>
      <c r="BF3623" s="17" t="s">
        <v>257</v>
      </c>
      <c r="BG3623" s="11">
        <f ca="1">IFERROR(__xludf.DUMMYFUNCTION("""COMPUTED_VALUE"""),46047.75625)</f>
        <v>46047.756249999999</v>
      </c>
      <c r="BH3623" s="17"/>
      <c r="BI3623" s="17"/>
      <c r="BJ3623" s="15"/>
      <c r="BK3623" s="15"/>
      <c r="BL3623" s="13" t="b">
        <v>0</v>
      </c>
      <c r="BM3623" s="10"/>
      <c r="BN3623" s="10" t="s">
        <v>351</v>
      </c>
      <c r="BO3623" s="11">
        <v>46028.552083333336</v>
      </c>
      <c r="BP3623" s="11">
        <v>46028.554918981485</v>
      </c>
      <c r="BQ3623" s="15"/>
      <c r="BR3623" s="15"/>
      <c r="BS3623" s="10" t="s">
        <v>351</v>
      </c>
      <c r="BT3623" s="10"/>
      <c r="BU3623" s="10"/>
      <c r="BV3623" s="10"/>
      <c r="BW3623" s="10"/>
      <c r="BX3623" s="10"/>
      <c r="BY3623" s="23"/>
      <c r="BZ3623" s="23"/>
      <c r="CA3623" s="10"/>
      <c r="CB3623" s="23"/>
      <c r="CC3623" s="23"/>
      <c r="CD3623" s="23"/>
      <c r="CE3623" s="23"/>
      <c r="CF3623" s="23"/>
      <c r="CG3623" s="23"/>
      <c r="CH3623" s="23"/>
      <c r="CI3623" s="23"/>
    </row>
    <row r="3624" spans="1:87" x14ac:dyDescent="0.3">
      <c r="A3624" s="9" t="s">
        <v>25265</v>
      </c>
      <c r="B3624" s="10" t="s">
        <v>25266</v>
      </c>
      <c r="C3624" s="11">
        <v>46047.770833333336</v>
      </c>
      <c r="D3624" s="12">
        <v>1.4583333333333334E-2</v>
      </c>
      <c r="E3624" s="11">
        <v>46047.785416666666</v>
      </c>
      <c r="F3624" s="22" t="s">
        <v>24512</v>
      </c>
      <c r="G3624" s="13" t="b">
        <v>0</v>
      </c>
      <c r="H3624" s="22"/>
      <c r="I3624" s="10" t="s">
        <v>212</v>
      </c>
      <c r="J3624" s="13" t="b">
        <v>1</v>
      </c>
      <c r="K3624" s="13" t="b">
        <v>0</v>
      </c>
      <c r="L3624" s="10" t="s">
        <v>124</v>
      </c>
      <c r="M3624" s="10" t="s">
        <v>91</v>
      </c>
      <c r="N3624" s="10" t="s">
        <v>3513</v>
      </c>
      <c r="O3624" s="10"/>
      <c r="P3624" s="10"/>
      <c r="Q3624" s="10" t="s">
        <v>126</v>
      </c>
      <c r="R3624" s="10"/>
      <c r="S3624" s="10"/>
      <c r="T3624" s="10"/>
      <c r="U3624" s="10"/>
      <c r="V3624" s="10"/>
      <c r="W3624" s="10" t="s">
        <v>24514</v>
      </c>
      <c r="X3624" s="10" t="s">
        <v>98</v>
      </c>
      <c r="Y3624" s="10" t="s">
        <v>98</v>
      </c>
      <c r="Z3624" s="10" t="s">
        <v>99</v>
      </c>
      <c r="AA3624" s="10" t="s">
        <v>131</v>
      </c>
      <c r="AB3624" s="10" t="s">
        <v>24515</v>
      </c>
      <c r="AC3624" s="10" t="s">
        <v>23185</v>
      </c>
      <c r="AD3624" s="10" t="s">
        <v>165</v>
      </c>
      <c r="AE3624" s="10" t="s">
        <v>25267</v>
      </c>
      <c r="AF3624" s="15"/>
      <c r="AG3624" s="10"/>
      <c r="AH3624" s="10"/>
      <c r="AI3624" s="10"/>
      <c r="AJ3624" s="10"/>
      <c r="AK3624" s="10"/>
      <c r="AL3624" s="10"/>
      <c r="AM3624" s="10"/>
      <c r="AN3624" s="10"/>
      <c r="AO3624" s="13" t="b">
        <v>0</v>
      </c>
      <c r="AP3624" s="22"/>
      <c r="AQ3624" s="10"/>
      <c r="AR3624" s="17"/>
      <c r="AS3624" s="17"/>
      <c r="AT3624" s="17"/>
      <c r="AU3624" s="17"/>
      <c r="AV3624" s="17"/>
      <c r="AW3624" s="10"/>
      <c r="AX3624" s="17"/>
      <c r="AY3624" s="18" t="s">
        <v>257</v>
      </c>
      <c r="AZ3624" s="10"/>
      <c r="BA3624" s="20" t="b">
        <v>0</v>
      </c>
      <c r="BB3624" s="10" t="s">
        <v>24511</v>
      </c>
      <c r="BC3624" s="17" t="s">
        <v>257</v>
      </c>
      <c r="BD3624" s="17" t="s">
        <v>257</v>
      </c>
      <c r="BE3624" s="17" t="s">
        <v>257</v>
      </c>
      <c r="BF3624" s="17" t="s">
        <v>257</v>
      </c>
      <c r="BG3624" s="11">
        <f ca="1">IFERROR(__xludf.DUMMYFUNCTION("""COMPUTED_VALUE"""),46047.7708333333)</f>
        <v>46047.770833333299</v>
      </c>
      <c r="BH3624" s="17"/>
      <c r="BI3624" s="17"/>
      <c r="BJ3624" s="15"/>
      <c r="BK3624" s="15"/>
      <c r="BL3624" s="13" t="b">
        <v>0</v>
      </c>
      <c r="BM3624" s="10"/>
      <c r="BN3624" s="10" t="s">
        <v>351</v>
      </c>
      <c r="BO3624" s="11">
        <v>46028.555555555555</v>
      </c>
      <c r="BP3624" s="11">
        <v>46028.556261574071</v>
      </c>
      <c r="BQ3624" s="15"/>
      <c r="BR3624" s="15"/>
      <c r="BS3624" s="10" t="s">
        <v>351</v>
      </c>
      <c r="BT3624" s="10"/>
      <c r="BU3624" s="10"/>
      <c r="BV3624" s="10"/>
      <c r="BW3624" s="10"/>
      <c r="BX3624" s="10"/>
      <c r="BY3624" s="23"/>
      <c r="BZ3624" s="23"/>
      <c r="CA3624" s="10"/>
      <c r="CB3624" s="23"/>
      <c r="CC3624" s="23"/>
      <c r="CD3624" s="23"/>
      <c r="CE3624" s="23"/>
      <c r="CF3624" s="23"/>
      <c r="CG3624" s="23"/>
      <c r="CH3624" s="23"/>
      <c r="CI3624" s="23"/>
    </row>
    <row r="3625" spans="1:87" x14ac:dyDescent="0.3">
      <c r="A3625" s="9" t="s">
        <v>25268</v>
      </c>
      <c r="B3625" s="10" t="s">
        <v>25269</v>
      </c>
      <c r="C3625" s="11">
        <v>46047.785416666666</v>
      </c>
      <c r="D3625" s="12">
        <v>1.2500000000000001E-2</v>
      </c>
      <c r="E3625" s="11">
        <v>46047.79791666667</v>
      </c>
      <c r="F3625" s="22" t="s">
        <v>24512</v>
      </c>
      <c r="G3625" s="13" t="b">
        <v>0</v>
      </c>
      <c r="H3625" s="22"/>
      <c r="I3625" s="10" t="s">
        <v>212</v>
      </c>
      <c r="J3625" s="13" t="b">
        <v>1</v>
      </c>
      <c r="K3625" s="13" t="b">
        <v>0</v>
      </c>
      <c r="L3625" s="10" t="s">
        <v>124</v>
      </c>
      <c r="M3625" s="10" t="s">
        <v>91</v>
      </c>
      <c r="N3625" s="10" t="s">
        <v>3513</v>
      </c>
      <c r="O3625" s="10"/>
      <c r="P3625" s="10"/>
      <c r="Q3625" s="10" t="s">
        <v>126</v>
      </c>
      <c r="R3625" s="10"/>
      <c r="S3625" s="10"/>
      <c r="T3625" s="10"/>
      <c r="U3625" s="10"/>
      <c r="V3625" s="10"/>
      <c r="W3625" s="10" t="s">
        <v>24514</v>
      </c>
      <c r="X3625" s="10" t="s">
        <v>98</v>
      </c>
      <c r="Y3625" s="10" t="s">
        <v>98</v>
      </c>
      <c r="Z3625" s="10" t="s">
        <v>99</v>
      </c>
      <c r="AA3625" s="10" t="s">
        <v>131</v>
      </c>
      <c r="AB3625" s="10" t="s">
        <v>24515</v>
      </c>
      <c r="AC3625" s="10" t="s">
        <v>23185</v>
      </c>
      <c r="AD3625" s="10" t="s">
        <v>165</v>
      </c>
      <c r="AE3625" s="10" t="s">
        <v>25270</v>
      </c>
      <c r="AF3625" s="15"/>
      <c r="AG3625" s="10"/>
      <c r="AH3625" s="10"/>
      <c r="AI3625" s="10"/>
      <c r="AJ3625" s="10"/>
      <c r="AK3625" s="10"/>
      <c r="AL3625" s="10"/>
      <c r="AM3625" s="10"/>
      <c r="AN3625" s="10"/>
      <c r="AO3625" s="13" t="b">
        <v>0</v>
      </c>
      <c r="AP3625" s="22"/>
      <c r="AQ3625" s="10"/>
      <c r="AR3625" s="17"/>
      <c r="AS3625" s="17"/>
      <c r="AT3625" s="17"/>
      <c r="AU3625" s="17"/>
      <c r="AV3625" s="17"/>
      <c r="AW3625" s="10"/>
      <c r="AX3625" s="17"/>
      <c r="AY3625" s="18" t="s">
        <v>257</v>
      </c>
      <c r="AZ3625" s="10"/>
      <c r="BA3625" s="20" t="b">
        <v>0</v>
      </c>
      <c r="BB3625" s="10" t="s">
        <v>24511</v>
      </c>
      <c r="BC3625" s="17" t="s">
        <v>257</v>
      </c>
      <c r="BD3625" s="17" t="s">
        <v>257</v>
      </c>
      <c r="BE3625" s="17" t="s">
        <v>257</v>
      </c>
      <c r="BF3625" s="17" t="s">
        <v>257</v>
      </c>
      <c r="BG3625" s="11">
        <f ca="1">IFERROR(__xludf.DUMMYFUNCTION("""COMPUTED_VALUE"""),46047.7854166666)</f>
        <v>46047.7854166666</v>
      </c>
      <c r="BH3625" s="17"/>
      <c r="BI3625" s="17"/>
      <c r="BJ3625" s="15"/>
      <c r="BK3625" s="15"/>
      <c r="BL3625" s="13" t="b">
        <v>0</v>
      </c>
      <c r="BM3625" s="10"/>
      <c r="BN3625" s="10" t="s">
        <v>351</v>
      </c>
      <c r="BO3625" s="11">
        <v>46028.556250000001</v>
      </c>
      <c r="BP3625" s="11">
        <v>46028.556909722225</v>
      </c>
      <c r="BQ3625" s="15"/>
      <c r="BR3625" s="15"/>
      <c r="BS3625" s="10" t="s">
        <v>351</v>
      </c>
      <c r="BT3625" s="10"/>
      <c r="BU3625" s="10"/>
      <c r="BV3625" s="10"/>
      <c r="BW3625" s="10"/>
      <c r="BX3625" s="10"/>
      <c r="BY3625" s="23"/>
      <c r="BZ3625" s="23"/>
      <c r="CA3625" s="10"/>
      <c r="CB3625" s="23"/>
      <c r="CC3625" s="23"/>
      <c r="CD3625" s="23"/>
      <c r="CE3625" s="23"/>
      <c r="CF3625" s="23"/>
      <c r="CG3625" s="23"/>
      <c r="CH3625" s="23"/>
      <c r="CI3625" s="23"/>
    </row>
    <row r="3626" spans="1:87" x14ac:dyDescent="0.3">
      <c r="A3626" s="9" t="s">
        <v>25271</v>
      </c>
      <c r="B3626" s="10" t="s">
        <v>25272</v>
      </c>
      <c r="C3626" s="11">
        <v>46047.79791666667</v>
      </c>
      <c r="D3626" s="12">
        <v>1.4583333333333334E-2</v>
      </c>
      <c r="E3626" s="11">
        <v>46047.8125</v>
      </c>
      <c r="F3626" s="22" t="s">
        <v>24512</v>
      </c>
      <c r="G3626" s="13" t="b">
        <v>0</v>
      </c>
      <c r="H3626" s="22"/>
      <c r="I3626" s="10" t="s">
        <v>212</v>
      </c>
      <c r="J3626" s="13" t="b">
        <v>1</v>
      </c>
      <c r="K3626" s="13" t="b">
        <v>0</v>
      </c>
      <c r="L3626" s="10" t="s">
        <v>124</v>
      </c>
      <c r="M3626" s="10" t="s">
        <v>91</v>
      </c>
      <c r="N3626" s="10" t="s">
        <v>3513</v>
      </c>
      <c r="O3626" s="10"/>
      <c r="P3626" s="10"/>
      <c r="Q3626" s="10" t="s">
        <v>126</v>
      </c>
      <c r="R3626" s="10"/>
      <c r="S3626" s="10"/>
      <c r="T3626" s="10"/>
      <c r="U3626" s="10"/>
      <c r="V3626" s="10"/>
      <c r="W3626" s="10" t="s">
        <v>24514</v>
      </c>
      <c r="X3626" s="10" t="s">
        <v>98</v>
      </c>
      <c r="Y3626" s="10" t="s">
        <v>98</v>
      </c>
      <c r="Z3626" s="10" t="s">
        <v>99</v>
      </c>
      <c r="AA3626" s="10" t="s">
        <v>131</v>
      </c>
      <c r="AB3626" s="10" t="s">
        <v>24515</v>
      </c>
      <c r="AC3626" s="10" t="s">
        <v>23185</v>
      </c>
      <c r="AD3626" s="10" t="s">
        <v>165</v>
      </c>
      <c r="AE3626" s="10" t="s">
        <v>25273</v>
      </c>
      <c r="AF3626" s="15"/>
      <c r="AG3626" s="10"/>
      <c r="AH3626" s="10"/>
      <c r="AI3626" s="10"/>
      <c r="AJ3626" s="10"/>
      <c r="AK3626" s="10"/>
      <c r="AL3626" s="10"/>
      <c r="AM3626" s="10"/>
      <c r="AN3626" s="10"/>
      <c r="AO3626" s="13" t="b">
        <v>0</v>
      </c>
      <c r="AP3626" s="22"/>
      <c r="AQ3626" s="10"/>
      <c r="AR3626" s="17"/>
      <c r="AS3626" s="17"/>
      <c r="AT3626" s="17"/>
      <c r="AU3626" s="17"/>
      <c r="AV3626" s="17"/>
      <c r="AW3626" s="10"/>
      <c r="AX3626" s="17"/>
      <c r="AY3626" s="18" t="s">
        <v>257</v>
      </c>
      <c r="AZ3626" s="10"/>
      <c r="BA3626" s="20" t="b">
        <v>0</v>
      </c>
      <c r="BB3626" s="10" t="s">
        <v>24511</v>
      </c>
      <c r="BC3626" s="17" t="s">
        <v>257</v>
      </c>
      <c r="BD3626" s="17" t="s">
        <v>257</v>
      </c>
      <c r="BE3626" s="17" t="s">
        <v>257</v>
      </c>
      <c r="BF3626" s="17" t="s">
        <v>257</v>
      </c>
      <c r="BG3626" s="11">
        <f ca="1">IFERROR(__xludf.DUMMYFUNCTION("""COMPUTED_VALUE"""),46047.7979166666)</f>
        <v>46047.797916666597</v>
      </c>
      <c r="BH3626" s="17"/>
      <c r="BI3626" s="17"/>
      <c r="BJ3626" s="15"/>
      <c r="BK3626" s="15"/>
      <c r="BL3626" s="13" t="b">
        <v>0</v>
      </c>
      <c r="BM3626" s="10"/>
      <c r="BN3626" s="10" t="s">
        <v>351</v>
      </c>
      <c r="BO3626" s="11">
        <v>46028.556944444441</v>
      </c>
      <c r="BP3626" s="11">
        <v>46028.55741898148</v>
      </c>
      <c r="BQ3626" s="15"/>
      <c r="BR3626" s="15"/>
      <c r="BS3626" s="10" t="s">
        <v>351</v>
      </c>
      <c r="BT3626" s="10"/>
      <c r="BU3626" s="10"/>
      <c r="BV3626" s="10"/>
      <c r="BW3626" s="10"/>
      <c r="BX3626" s="10"/>
      <c r="BY3626" s="23"/>
      <c r="BZ3626" s="23"/>
      <c r="CA3626" s="10"/>
      <c r="CB3626" s="23"/>
      <c r="CC3626" s="23"/>
      <c r="CD3626" s="23"/>
      <c r="CE3626" s="23"/>
      <c r="CF3626" s="23"/>
      <c r="CG3626" s="23"/>
      <c r="CH3626" s="23"/>
      <c r="CI3626" s="23"/>
    </row>
    <row r="3627" spans="1:87" x14ac:dyDescent="0.3">
      <c r="A3627" s="9" t="s">
        <v>25274</v>
      </c>
      <c r="B3627" s="10" t="s">
        <v>25275</v>
      </c>
      <c r="C3627" s="11">
        <v>46047.8125</v>
      </c>
      <c r="D3627" s="12">
        <v>1.4583333333333334E-2</v>
      </c>
      <c r="E3627" s="11">
        <v>46047.82708333333</v>
      </c>
      <c r="F3627" s="22" t="s">
        <v>24512</v>
      </c>
      <c r="G3627" s="13" t="b">
        <v>0</v>
      </c>
      <c r="H3627" s="22"/>
      <c r="I3627" s="10" t="s">
        <v>212</v>
      </c>
      <c r="J3627" s="13" t="b">
        <v>1</v>
      </c>
      <c r="K3627" s="13" t="b">
        <v>0</v>
      </c>
      <c r="L3627" s="10" t="s">
        <v>124</v>
      </c>
      <c r="M3627" s="10" t="s">
        <v>91</v>
      </c>
      <c r="N3627" s="10" t="s">
        <v>3513</v>
      </c>
      <c r="O3627" s="10"/>
      <c r="P3627" s="10"/>
      <c r="Q3627" s="10" t="s">
        <v>126</v>
      </c>
      <c r="R3627" s="10"/>
      <c r="S3627" s="10"/>
      <c r="T3627" s="10"/>
      <c r="U3627" s="10"/>
      <c r="V3627" s="10"/>
      <c r="W3627" s="10" t="s">
        <v>24514</v>
      </c>
      <c r="X3627" s="10" t="s">
        <v>98</v>
      </c>
      <c r="Y3627" s="10" t="s">
        <v>98</v>
      </c>
      <c r="Z3627" s="10" t="s">
        <v>99</v>
      </c>
      <c r="AA3627" s="10" t="s">
        <v>131</v>
      </c>
      <c r="AB3627" s="10" t="s">
        <v>24515</v>
      </c>
      <c r="AC3627" s="10" t="s">
        <v>23185</v>
      </c>
      <c r="AD3627" s="10" t="s">
        <v>165</v>
      </c>
      <c r="AE3627" s="10" t="s">
        <v>25276</v>
      </c>
      <c r="AF3627" s="15"/>
      <c r="AG3627" s="10"/>
      <c r="AH3627" s="10"/>
      <c r="AI3627" s="10"/>
      <c r="AJ3627" s="10"/>
      <c r="AK3627" s="10"/>
      <c r="AL3627" s="10"/>
      <c r="AM3627" s="10"/>
      <c r="AN3627" s="10"/>
      <c r="AO3627" s="13" t="b">
        <v>0</v>
      </c>
      <c r="AP3627" s="22"/>
      <c r="AQ3627" s="10"/>
      <c r="AR3627" s="17"/>
      <c r="AS3627" s="17"/>
      <c r="AT3627" s="17"/>
      <c r="AU3627" s="17"/>
      <c r="AV3627" s="17"/>
      <c r="AW3627" s="10"/>
      <c r="AX3627" s="17"/>
      <c r="AY3627" s="18" t="s">
        <v>257</v>
      </c>
      <c r="AZ3627" s="10"/>
      <c r="BA3627" s="20" t="b">
        <v>0</v>
      </c>
      <c r="BB3627" s="10" t="s">
        <v>24511</v>
      </c>
      <c r="BC3627" s="17" t="s">
        <v>257</v>
      </c>
      <c r="BD3627" s="17" t="s">
        <v>257</v>
      </c>
      <c r="BE3627" s="17" t="s">
        <v>257</v>
      </c>
      <c r="BF3627" s="17" t="s">
        <v>257</v>
      </c>
      <c r="BG3627" s="11">
        <f ca="1">IFERROR(__xludf.DUMMYFUNCTION("""COMPUTED_VALUE"""),46047.8125)</f>
        <v>46047.8125</v>
      </c>
      <c r="BH3627" s="17"/>
      <c r="BI3627" s="17"/>
      <c r="BJ3627" s="15"/>
      <c r="BK3627" s="15"/>
      <c r="BL3627" s="13" t="b">
        <v>0</v>
      </c>
      <c r="BM3627" s="10"/>
      <c r="BN3627" s="10" t="s">
        <v>351</v>
      </c>
      <c r="BO3627" s="11">
        <v>46028.556944444441</v>
      </c>
      <c r="BP3627" s="11">
        <v>46028.557974537034</v>
      </c>
      <c r="BQ3627" s="15"/>
      <c r="BR3627" s="15"/>
      <c r="BS3627" s="10" t="s">
        <v>351</v>
      </c>
      <c r="BT3627" s="10"/>
      <c r="BU3627" s="10"/>
      <c r="BV3627" s="10"/>
      <c r="BW3627" s="10"/>
      <c r="BX3627" s="10"/>
      <c r="BY3627" s="23"/>
      <c r="BZ3627" s="23"/>
      <c r="CA3627" s="10"/>
      <c r="CB3627" s="23"/>
      <c r="CC3627" s="23"/>
      <c r="CD3627" s="23"/>
      <c r="CE3627" s="23"/>
      <c r="CF3627" s="23"/>
      <c r="CG3627" s="23"/>
      <c r="CH3627" s="23"/>
      <c r="CI3627" s="23"/>
    </row>
    <row r="3628" spans="1:87" x14ac:dyDescent="0.3">
      <c r="A3628" s="9" t="s">
        <v>25277</v>
      </c>
      <c r="B3628" s="10" t="s">
        <v>25278</v>
      </c>
      <c r="C3628" s="11">
        <v>46047.82708333333</v>
      </c>
      <c r="D3628" s="12">
        <v>1.2500000000000001E-2</v>
      </c>
      <c r="E3628" s="11">
        <v>46047.839583333334</v>
      </c>
      <c r="F3628" s="22" t="s">
        <v>24512</v>
      </c>
      <c r="G3628" s="13" t="b">
        <v>0</v>
      </c>
      <c r="H3628" s="22"/>
      <c r="I3628" s="10" t="s">
        <v>23071</v>
      </c>
      <c r="J3628" s="13" t="b">
        <v>0</v>
      </c>
      <c r="K3628" s="13" t="b">
        <v>1</v>
      </c>
      <c r="L3628" s="10" t="s">
        <v>124</v>
      </c>
      <c r="M3628" s="10" t="s">
        <v>91</v>
      </c>
      <c r="N3628" s="10" t="s">
        <v>3513</v>
      </c>
      <c r="O3628" s="10"/>
      <c r="P3628" s="10"/>
      <c r="Q3628" s="10" t="s">
        <v>126</v>
      </c>
      <c r="R3628" s="10"/>
      <c r="S3628" s="10"/>
      <c r="T3628" s="10"/>
      <c r="U3628" s="10"/>
      <c r="V3628" s="10"/>
      <c r="W3628" s="10" t="s">
        <v>24514</v>
      </c>
      <c r="X3628" s="10" t="s">
        <v>98</v>
      </c>
      <c r="Y3628" s="10" t="s">
        <v>98</v>
      </c>
      <c r="Z3628" s="10" t="s">
        <v>99</v>
      </c>
      <c r="AA3628" s="10" t="s">
        <v>131</v>
      </c>
      <c r="AB3628" s="10" t="s">
        <v>24515</v>
      </c>
      <c r="AC3628" s="10" t="s">
        <v>23185</v>
      </c>
      <c r="AD3628" s="10" t="s">
        <v>165</v>
      </c>
      <c r="AE3628" s="10" t="s">
        <v>25279</v>
      </c>
      <c r="AF3628" s="15"/>
      <c r="AG3628" s="10"/>
      <c r="AH3628" s="10"/>
      <c r="AI3628" s="10"/>
      <c r="AJ3628" s="10"/>
      <c r="AK3628" s="10"/>
      <c r="AL3628" s="10"/>
      <c r="AM3628" s="10"/>
      <c r="AN3628" s="10"/>
      <c r="AO3628" s="13" t="b">
        <v>0</v>
      </c>
      <c r="AP3628" s="22"/>
      <c r="AQ3628" s="10"/>
      <c r="AR3628" s="17"/>
      <c r="AS3628" s="17"/>
      <c r="AT3628" s="17"/>
      <c r="AU3628" s="17"/>
      <c r="AV3628" s="17"/>
      <c r="AW3628" s="10"/>
      <c r="AX3628" s="17"/>
      <c r="AY3628" s="18" t="s">
        <v>257</v>
      </c>
      <c r="AZ3628" s="10"/>
      <c r="BA3628" s="20" t="b">
        <v>0</v>
      </c>
      <c r="BB3628" s="10" t="s">
        <v>24517</v>
      </c>
      <c r="BC3628" s="17" t="s">
        <v>257</v>
      </c>
      <c r="BD3628" s="17" t="s">
        <v>257</v>
      </c>
      <c r="BE3628" s="17" t="s">
        <v>257</v>
      </c>
      <c r="BF3628" s="17" t="s">
        <v>257</v>
      </c>
      <c r="BG3628" s="11">
        <f ca="1">IFERROR(__xludf.DUMMYFUNCTION("""COMPUTED_VALUE"""),46047.8270833333)</f>
        <v>46047.827083333301</v>
      </c>
      <c r="BH3628" s="17"/>
      <c r="BI3628" s="17"/>
      <c r="BJ3628" s="15"/>
      <c r="BK3628" s="15"/>
      <c r="BL3628" s="13" t="b">
        <v>0</v>
      </c>
      <c r="BM3628" s="10"/>
      <c r="BN3628" s="10" t="s">
        <v>351</v>
      </c>
      <c r="BO3628" s="11">
        <v>46028.559027777781</v>
      </c>
      <c r="BP3628" s="11">
        <v>46028.560023148151</v>
      </c>
      <c r="BQ3628" s="15"/>
      <c r="BR3628" s="15"/>
      <c r="BS3628" s="10" t="s">
        <v>351</v>
      </c>
      <c r="BT3628" s="10"/>
      <c r="BU3628" s="10"/>
      <c r="BV3628" s="10"/>
      <c r="BW3628" s="10"/>
      <c r="BX3628" s="10"/>
      <c r="BY3628" s="23"/>
      <c r="BZ3628" s="23"/>
      <c r="CA3628" s="10"/>
      <c r="CB3628" s="23"/>
      <c r="CC3628" s="23"/>
      <c r="CD3628" s="23"/>
      <c r="CE3628" s="23"/>
      <c r="CF3628" s="23"/>
      <c r="CG3628" s="23"/>
      <c r="CH3628" s="23"/>
      <c r="CI3628" s="23"/>
    </row>
    <row r="3629" spans="1:87" x14ac:dyDescent="0.3">
      <c r="A3629" s="9" t="s">
        <v>25280</v>
      </c>
      <c r="B3629" s="10" t="s">
        <v>25281</v>
      </c>
      <c r="C3629" s="11">
        <v>46047.839583333334</v>
      </c>
      <c r="D3629" s="12">
        <v>1.4583333333333334E-2</v>
      </c>
      <c r="E3629" s="11">
        <v>46047.854166666664</v>
      </c>
      <c r="F3629" s="22" t="s">
        <v>24512</v>
      </c>
      <c r="G3629" s="13" t="b">
        <v>0</v>
      </c>
      <c r="H3629" s="22"/>
      <c r="I3629" s="10" t="s">
        <v>23071</v>
      </c>
      <c r="J3629" s="13" t="b">
        <v>0</v>
      </c>
      <c r="K3629" s="13" t="b">
        <v>1</v>
      </c>
      <c r="L3629" s="10" t="s">
        <v>124</v>
      </c>
      <c r="M3629" s="10" t="s">
        <v>91</v>
      </c>
      <c r="N3629" s="10" t="s">
        <v>3513</v>
      </c>
      <c r="O3629" s="10"/>
      <c r="P3629" s="10"/>
      <c r="Q3629" s="10" t="s">
        <v>126</v>
      </c>
      <c r="R3629" s="10"/>
      <c r="S3629" s="10"/>
      <c r="T3629" s="10"/>
      <c r="U3629" s="10"/>
      <c r="V3629" s="10"/>
      <c r="W3629" s="10" t="s">
        <v>24514</v>
      </c>
      <c r="X3629" s="10" t="s">
        <v>98</v>
      </c>
      <c r="Y3629" s="10" t="s">
        <v>98</v>
      </c>
      <c r="Z3629" s="10" t="s">
        <v>99</v>
      </c>
      <c r="AA3629" s="10" t="s">
        <v>131</v>
      </c>
      <c r="AB3629" s="10" t="s">
        <v>24515</v>
      </c>
      <c r="AC3629" s="10" t="s">
        <v>23185</v>
      </c>
      <c r="AD3629" s="10" t="s">
        <v>165</v>
      </c>
      <c r="AE3629" s="10" t="s">
        <v>25282</v>
      </c>
      <c r="AF3629" s="15"/>
      <c r="AG3629" s="10"/>
      <c r="AH3629" s="10"/>
      <c r="AI3629" s="10"/>
      <c r="AJ3629" s="10"/>
      <c r="AK3629" s="10"/>
      <c r="AL3629" s="10"/>
      <c r="AM3629" s="10"/>
      <c r="AN3629" s="10"/>
      <c r="AO3629" s="13" t="b">
        <v>0</v>
      </c>
      <c r="AP3629" s="22"/>
      <c r="AQ3629" s="10"/>
      <c r="AR3629" s="17"/>
      <c r="AS3629" s="17"/>
      <c r="AT3629" s="17"/>
      <c r="AU3629" s="17"/>
      <c r="AV3629" s="17"/>
      <c r="AW3629" s="10"/>
      <c r="AX3629" s="17"/>
      <c r="AY3629" s="18" t="s">
        <v>257</v>
      </c>
      <c r="AZ3629" s="10"/>
      <c r="BA3629" s="20" t="b">
        <v>0</v>
      </c>
      <c r="BB3629" s="10" t="s">
        <v>24517</v>
      </c>
      <c r="BC3629" s="17" t="s">
        <v>257</v>
      </c>
      <c r="BD3629" s="17" t="s">
        <v>257</v>
      </c>
      <c r="BE3629" s="17" t="s">
        <v>257</v>
      </c>
      <c r="BF3629" s="17" t="s">
        <v>257</v>
      </c>
      <c r="BG3629" s="11">
        <f ca="1">IFERROR(__xludf.DUMMYFUNCTION("""COMPUTED_VALUE"""),46047.8395833333)</f>
        <v>46047.839583333298</v>
      </c>
      <c r="BH3629" s="17"/>
      <c r="BI3629" s="17"/>
      <c r="BJ3629" s="15"/>
      <c r="BK3629" s="15"/>
      <c r="BL3629" s="13" t="b">
        <v>0</v>
      </c>
      <c r="BM3629" s="10"/>
      <c r="BN3629" s="10" t="s">
        <v>351</v>
      </c>
      <c r="BO3629" s="11">
        <v>46028.563194444447</v>
      </c>
      <c r="BP3629" s="11">
        <v>46028.564189814817</v>
      </c>
      <c r="BQ3629" s="15"/>
      <c r="BR3629" s="15"/>
      <c r="BS3629" s="10" t="s">
        <v>351</v>
      </c>
      <c r="BT3629" s="10"/>
      <c r="BU3629" s="10"/>
      <c r="BV3629" s="10"/>
      <c r="BW3629" s="10"/>
      <c r="BX3629" s="10"/>
      <c r="BY3629" s="23"/>
      <c r="BZ3629" s="23"/>
      <c r="CA3629" s="10"/>
      <c r="CB3629" s="23"/>
      <c r="CC3629" s="23"/>
      <c r="CD3629" s="23"/>
      <c r="CE3629" s="23"/>
      <c r="CF3629" s="23"/>
      <c r="CG3629" s="23"/>
      <c r="CH3629" s="23"/>
      <c r="CI3629" s="23"/>
    </row>
    <row r="3630" spans="1:87" x14ac:dyDescent="0.3">
      <c r="A3630" s="9" t="s">
        <v>25283</v>
      </c>
      <c r="B3630" s="10" t="s">
        <v>25284</v>
      </c>
      <c r="C3630" s="11">
        <v>46047.854166666664</v>
      </c>
      <c r="D3630" s="12">
        <v>1.2500000000000001E-2</v>
      </c>
      <c r="E3630" s="11">
        <v>46047.866666666669</v>
      </c>
      <c r="F3630" s="22" t="s">
        <v>24512</v>
      </c>
      <c r="G3630" s="13" t="b">
        <v>0</v>
      </c>
      <c r="H3630" s="22"/>
      <c r="I3630" s="10" t="s">
        <v>23071</v>
      </c>
      <c r="J3630" s="13" t="b">
        <v>0</v>
      </c>
      <c r="K3630" s="13" t="b">
        <v>1</v>
      </c>
      <c r="L3630" s="10" t="s">
        <v>124</v>
      </c>
      <c r="M3630" s="10" t="s">
        <v>91</v>
      </c>
      <c r="N3630" s="10" t="s">
        <v>3513</v>
      </c>
      <c r="O3630" s="10"/>
      <c r="P3630" s="10"/>
      <c r="Q3630" s="10" t="s">
        <v>126</v>
      </c>
      <c r="R3630" s="10"/>
      <c r="S3630" s="10"/>
      <c r="T3630" s="10"/>
      <c r="U3630" s="10"/>
      <c r="V3630" s="10"/>
      <c r="W3630" s="10" t="s">
        <v>24514</v>
      </c>
      <c r="X3630" s="10" t="s">
        <v>98</v>
      </c>
      <c r="Y3630" s="10" t="s">
        <v>98</v>
      </c>
      <c r="Z3630" s="10" t="s">
        <v>99</v>
      </c>
      <c r="AA3630" s="10" t="s">
        <v>131</v>
      </c>
      <c r="AB3630" s="10" t="s">
        <v>24515</v>
      </c>
      <c r="AC3630" s="10" t="s">
        <v>23185</v>
      </c>
      <c r="AD3630" s="10" t="s">
        <v>165</v>
      </c>
      <c r="AE3630" s="10" t="s">
        <v>25285</v>
      </c>
      <c r="AF3630" s="15"/>
      <c r="AG3630" s="10"/>
      <c r="AH3630" s="10"/>
      <c r="AI3630" s="10"/>
      <c r="AJ3630" s="10"/>
      <c r="AK3630" s="10"/>
      <c r="AL3630" s="10"/>
      <c r="AM3630" s="10"/>
      <c r="AN3630" s="10"/>
      <c r="AO3630" s="13" t="b">
        <v>0</v>
      </c>
      <c r="AP3630" s="22"/>
      <c r="AQ3630" s="10"/>
      <c r="AR3630" s="17"/>
      <c r="AS3630" s="17"/>
      <c r="AT3630" s="17"/>
      <c r="AU3630" s="17"/>
      <c r="AV3630" s="17"/>
      <c r="AW3630" s="10"/>
      <c r="AX3630" s="17"/>
      <c r="AY3630" s="18" t="s">
        <v>257</v>
      </c>
      <c r="AZ3630" s="10"/>
      <c r="BA3630" s="20" t="b">
        <v>0</v>
      </c>
      <c r="BB3630" s="10" t="s">
        <v>24517</v>
      </c>
      <c r="BC3630" s="17" t="s">
        <v>257</v>
      </c>
      <c r="BD3630" s="17" t="s">
        <v>257</v>
      </c>
      <c r="BE3630" s="17" t="s">
        <v>257</v>
      </c>
      <c r="BF3630" s="17" t="s">
        <v>257</v>
      </c>
      <c r="BG3630" s="11">
        <f ca="1">IFERROR(__xludf.DUMMYFUNCTION("""COMPUTED_VALUE"""),46047.8541666666)</f>
        <v>46047.854166666599</v>
      </c>
      <c r="BH3630" s="17"/>
      <c r="BI3630" s="17"/>
      <c r="BJ3630" s="15"/>
      <c r="BK3630" s="15"/>
      <c r="BL3630" s="13" t="b">
        <v>0</v>
      </c>
      <c r="BM3630" s="10"/>
      <c r="BN3630" s="10" t="s">
        <v>351</v>
      </c>
      <c r="BO3630" s="11">
        <v>46028.565972222219</v>
      </c>
      <c r="BP3630" s="11">
        <v>46028.566689814812</v>
      </c>
      <c r="BQ3630" s="15"/>
      <c r="BR3630" s="15"/>
      <c r="BS3630" s="10" t="s">
        <v>351</v>
      </c>
      <c r="BT3630" s="10"/>
      <c r="BU3630" s="10"/>
      <c r="BV3630" s="10"/>
      <c r="BW3630" s="10"/>
      <c r="BX3630" s="10"/>
      <c r="BY3630" s="23"/>
      <c r="BZ3630" s="23"/>
      <c r="CA3630" s="10"/>
      <c r="CB3630" s="23"/>
      <c r="CC3630" s="23"/>
      <c r="CD3630" s="23"/>
      <c r="CE3630" s="23"/>
      <c r="CF3630" s="23"/>
      <c r="CG3630" s="23"/>
      <c r="CH3630" s="23"/>
      <c r="CI3630" s="23"/>
    </row>
    <row r="3631" spans="1:87" x14ac:dyDescent="0.3">
      <c r="A3631" s="9" t="s">
        <v>25286</v>
      </c>
      <c r="B3631" s="10" t="s">
        <v>25287</v>
      </c>
      <c r="C3631" s="11">
        <v>46047.866666666669</v>
      </c>
      <c r="D3631" s="12">
        <v>2.1527777777777778E-2</v>
      </c>
      <c r="E3631" s="11">
        <v>46047.888194444444</v>
      </c>
      <c r="F3631" s="22" t="s">
        <v>24512</v>
      </c>
      <c r="G3631" s="13" t="b">
        <v>0</v>
      </c>
      <c r="H3631" s="22"/>
      <c r="I3631" s="10" t="s">
        <v>23071</v>
      </c>
      <c r="J3631" s="13" t="b">
        <v>0</v>
      </c>
      <c r="K3631" s="13" t="b">
        <v>1</v>
      </c>
      <c r="L3631" s="10" t="s">
        <v>124</v>
      </c>
      <c r="M3631" s="10" t="s">
        <v>91</v>
      </c>
      <c r="N3631" s="10" t="s">
        <v>3513</v>
      </c>
      <c r="O3631" s="10"/>
      <c r="P3631" s="10"/>
      <c r="Q3631" s="10" t="s">
        <v>126</v>
      </c>
      <c r="R3631" s="10"/>
      <c r="S3631" s="10"/>
      <c r="T3631" s="10"/>
      <c r="U3631" s="10"/>
      <c r="V3631" s="10"/>
      <c r="W3631" s="10" t="s">
        <v>24514</v>
      </c>
      <c r="X3631" s="10" t="s">
        <v>98</v>
      </c>
      <c r="Y3631" s="10" t="s">
        <v>98</v>
      </c>
      <c r="Z3631" s="10" t="s">
        <v>99</v>
      </c>
      <c r="AA3631" s="10" t="s">
        <v>131</v>
      </c>
      <c r="AB3631" s="10" t="s">
        <v>24515</v>
      </c>
      <c r="AC3631" s="10" t="s">
        <v>23185</v>
      </c>
      <c r="AD3631" s="10" t="s">
        <v>165</v>
      </c>
      <c r="AE3631" s="10" t="s">
        <v>25288</v>
      </c>
      <c r="AF3631" s="15"/>
      <c r="AG3631" s="10"/>
      <c r="AH3631" s="10"/>
      <c r="AI3631" s="10"/>
      <c r="AJ3631" s="10"/>
      <c r="AK3631" s="10"/>
      <c r="AL3631" s="10"/>
      <c r="AM3631" s="10"/>
      <c r="AN3631" s="10"/>
      <c r="AO3631" s="13" t="b">
        <v>0</v>
      </c>
      <c r="AP3631" s="22"/>
      <c r="AQ3631" s="10"/>
      <c r="AR3631" s="17"/>
      <c r="AS3631" s="17"/>
      <c r="AT3631" s="17"/>
      <c r="AU3631" s="17"/>
      <c r="AV3631" s="17"/>
      <c r="AW3631" s="10"/>
      <c r="AX3631" s="17"/>
      <c r="AY3631" s="18" t="s">
        <v>257</v>
      </c>
      <c r="AZ3631" s="10"/>
      <c r="BA3631" s="20" t="b">
        <v>0</v>
      </c>
      <c r="BB3631" s="10" t="s">
        <v>24517</v>
      </c>
      <c r="BC3631" s="17" t="s">
        <v>257</v>
      </c>
      <c r="BD3631" s="17" t="s">
        <v>257</v>
      </c>
      <c r="BE3631" s="17" t="s">
        <v>257</v>
      </c>
      <c r="BF3631" s="17" t="s">
        <v>257</v>
      </c>
      <c r="BG3631" s="11">
        <f ca="1">IFERROR(__xludf.DUMMYFUNCTION("""COMPUTED_VALUE"""),46047.8666666666)</f>
        <v>46047.866666666603</v>
      </c>
      <c r="BH3631" s="17"/>
      <c r="BI3631" s="17"/>
      <c r="BJ3631" s="15"/>
      <c r="BK3631" s="15"/>
      <c r="BL3631" s="13" t="b">
        <v>0</v>
      </c>
      <c r="BM3631" s="10"/>
      <c r="BN3631" s="10" t="s">
        <v>351</v>
      </c>
      <c r="BO3631" s="11">
        <v>46028.566666666666</v>
      </c>
      <c r="BP3631" s="11">
        <v>46028.567465277774</v>
      </c>
      <c r="BQ3631" s="15"/>
      <c r="BR3631" s="15"/>
      <c r="BS3631" s="10" t="s">
        <v>351</v>
      </c>
      <c r="BT3631" s="10"/>
      <c r="BU3631" s="10"/>
      <c r="BV3631" s="10"/>
      <c r="BW3631" s="10"/>
      <c r="BX3631" s="10"/>
      <c r="BY3631" s="23"/>
      <c r="BZ3631" s="23"/>
      <c r="CA3631" s="10"/>
      <c r="CB3631" s="23"/>
      <c r="CC3631" s="23"/>
      <c r="CD3631" s="23"/>
      <c r="CE3631" s="23"/>
      <c r="CF3631" s="23"/>
      <c r="CG3631" s="23"/>
      <c r="CH3631" s="23"/>
      <c r="CI3631" s="23"/>
    </row>
    <row r="3632" spans="1:87" x14ac:dyDescent="0.3">
      <c r="A3632" s="9" t="s">
        <v>25289</v>
      </c>
      <c r="B3632" s="10" t="s">
        <v>25290</v>
      </c>
      <c r="C3632" s="11">
        <v>46047.888194444444</v>
      </c>
      <c r="D3632" s="12">
        <v>1.5972222222222221E-2</v>
      </c>
      <c r="E3632" s="11">
        <v>46047.904166666667</v>
      </c>
      <c r="F3632" s="22" t="s">
        <v>24512</v>
      </c>
      <c r="G3632" s="13" t="b">
        <v>0</v>
      </c>
      <c r="H3632" s="22"/>
      <c r="I3632" s="10" t="s">
        <v>23071</v>
      </c>
      <c r="J3632" s="13" t="b">
        <v>0</v>
      </c>
      <c r="K3632" s="13" t="b">
        <v>1</v>
      </c>
      <c r="L3632" s="10" t="s">
        <v>124</v>
      </c>
      <c r="M3632" s="10" t="s">
        <v>91</v>
      </c>
      <c r="N3632" s="10" t="s">
        <v>3513</v>
      </c>
      <c r="O3632" s="10"/>
      <c r="P3632" s="10"/>
      <c r="Q3632" s="10" t="s">
        <v>126</v>
      </c>
      <c r="R3632" s="10"/>
      <c r="S3632" s="10"/>
      <c r="T3632" s="10"/>
      <c r="U3632" s="10"/>
      <c r="V3632" s="10"/>
      <c r="W3632" s="10" t="s">
        <v>24514</v>
      </c>
      <c r="X3632" s="10" t="s">
        <v>98</v>
      </c>
      <c r="Y3632" s="10" t="s">
        <v>98</v>
      </c>
      <c r="Z3632" s="10" t="s">
        <v>99</v>
      </c>
      <c r="AA3632" s="10" t="s">
        <v>131</v>
      </c>
      <c r="AB3632" s="10" t="s">
        <v>24515</v>
      </c>
      <c r="AC3632" s="10" t="s">
        <v>23185</v>
      </c>
      <c r="AD3632" s="10" t="s">
        <v>165</v>
      </c>
      <c r="AE3632" s="10" t="s">
        <v>25291</v>
      </c>
      <c r="AF3632" s="15"/>
      <c r="AG3632" s="10"/>
      <c r="AH3632" s="10"/>
      <c r="AI3632" s="10"/>
      <c r="AJ3632" s="10"/>
      <c r="AK3632" s="10"/>
      <c r="AL3632" s="10"/>
      <c r="AM3632" s="10"/>
      <c r="AN3632" s="10"/>
      <c r="AO3632" s="13" t="b">
        <v>0</v>
      </c>
      <c r="AP3632" s="22"/>
      <c r="AQ3632" s="10"/>
      <c r="AR3632" s="17"/>
      <c r="AS3632" s="17"/>
      <c r="AT3632" s="17"/>
      <c r="AU3632" s="17"/>
      <c r="AV3632" s="17"/>
      <c r="AW3632" s="10"/>
      <c r="AX3632" s="17"/>
      <c r="AY3632" s="18" t="s">
        <v>257</v>
      </c>
      <c r="AZ3632" s="10"/>
      <c r="BA3632" s="20" t="b">
        <v>0</v>
      </c>
      <c r="BB3632" s="10" t="s">
        <v>24517</v>
      </c>
      <c r="BC3632" s="17" t="s">
        <v>257</v>
      </c>
      <c r="BD3632" s="17" t="s">
        <v>257</v>
      </c>
      <c r="BE3632" s="17" t="s">
        <v>257</v>
      </c>
      <c r="BF3632" s="17" t="s">
        <v>257</v>
      </c>
      <c r="BG3632" s="11">
        <f ca="1">IFERROR(__xludf.DUMMYFUNCTION("""COMPUTED_VALUE"""),46047.8881944444)</f>
        <v>46047.8881944444</v>
      </c>
      <c r="BH3632" s="17"/>
      <c r="BI3632" s="17"/>
      <c r="BJ3632" s="15"/>
      <c r="BK3632" s="15"/>
      <c r="BL3632" s="13" t="b">
        <v>0</v>
      </c>
      <c r="BM3632" s="10"/>
      <c r="BN3632" s="10" t="s">
        <v>351</v>
      </c>
      <c r="BO3632" s="11">
        <v>46028.568055555559</v>
      </c>
      <c r="BP3632" s="11">
        <v>46028.568784722222</v>
      </c>
      <c r="BQ3632" s="15"/>
      <c r="BR3632" s="15"/>
      <c r="BS3632" s="10" t="s">
        <v>351</v>
      </c>
      <c r="BT3632" s="10"/>
      <c r="BU3632" s="10"/>
      <c r="BV3632" s="10"/>
      <c r="BW3632" s="10"/>
      <c r="BX3632" s="10"/>
      <c r="BY3632" s="23"/>
      <c r="BZ3632" s="23"/>
      <c r="CA3632" s="10"/>
      <c r="CB3632" s="23"/>
      <c r="CC3632" s="23"/>
      <c r="CD3632" s="23"/>
      <c r="CE3632" s="23"/>
      <c r="CF3632" s="23"/>
      <c r="CG3632" s="23"/>
      <c r="CH3632" s="23"/>
      <c r="CI3632" s="23"/>
    </row>
    <row r="3633" spans="1:87" x14ac:dyDescent="0.3">
      <c r="A3633" s="9" t="s">
        <v>25292</v>
      </c>
      <c r="B3633" s="10" t="s">
        <v>25293</v>
      </c>
      <c r="C3633" s="11">
        <v>46047.904166666667</v>
      </c>
      <c r="D3633" s="12">
        <v>1.4583333333333334E-2</v>
      </c>
      <c r="E3633" s="11">
        <v>46047.918749999997</v>
      </c>
      <c r="F3633" s="22" t="s">
        <v>24512</v>
      </c>
      <c r="G3633" s="13" t="b">
        <v>0</v>
      </c>
      <c r="H3633" s="22"/>
      <c r="I3633" s="10" t="s">
        <v>23071</v>
      </c>
      <c r="J3633" s="13" t="b">
        <v>0</v>
      </c>
      <c r="K3633" s="13" t="b">
        <v>1</v>
      </c>
      <c r="L3633" s="10" t="s">
        <v>124</v>
      </c>
      <c r="M3633" s="10" t="s">
        <v>91</v>
      </c>
      <c r="N3633" s="10" t="s">
        <v>3513</v>
      </c>
      <c r="O3633" s="10"/>
      <c r="P3633" s="10"/>
      <c r="Q3633" s="10" t="s">
        <v>126</v>
      </c>
      <c r="R3633" s="10"/>
      <c r="S3633" s="10"/>
      <c r="T3633" s="10"/>
      <c r="U3633" s="10"/>
      <c r="V3633" s="10"/>
      <c r="W3633" s="10" t="s">
        <v>24514</v>
      </c>
      <c r="X3633" s="10" t="s">
        <v>98</v>
      </c>
      <c r="Y3633" s="10" t="s">
        <v>98</v>
      </c>
      <c r="Z3633" s="10" t="s">
        <v>99</v>
      </c>
      <c r="AA3633" s="10" t="s">
        <v>131</v>
      </c>
      <c r="AB3633" s="10" t="s">
        <v>24515</v>
      </c>
      <c r="AC3633" s="10" t="s">
        <v>23185</v>
      </c>
      <c r="AD3633" s="10" t="s">
        <v>165</v>
      </c>
      <c r="AE3633" s="10" t="s">
        <v>25294</v>
      </c>
      <c r="AF3633" s="15"/>
      <c r="AG3633" s="10"/>
      <c r="AH3633" s="10"/>
      <c r="AI3633" s="10"/>
      <c r="AJ3633" s="10"/>
      <c r="AK3633" s="10"/>
      <c r="AL3633" s="10"/>
      <c r="AM3633" s="10"/>
      <c r="AN3633" s="10"/>
      <c r="AO3633" s="13" t="b">
        <v>0</v>
      </c>
      <c r="AP3633" s="22"/>
      <c r="AQ3633" s="10"/>
      <c r="AR3633" s="17"/>
      <c r="AS3633" s="17"/>
      <c r="AT3633" s="17"/>
      <c r="AU3633" s="17"/>
      <c r="AV3633" s="17"/>
      <c r="AW3633" s="10"/>
      <c r="AX3633" s="17"/>
      <c r="AY3633" s="18" t="s">
        <v>257</v>
      </c>
      <c r="AZ3633" s="10"/>
      <c r="BA3633" s="20" t="b">
        <v>0</v>
      </c>
      <c r="BB3633" s="10" t="s">
        <v>24517</v>
      </c>
      <c r="BC3633" s="17" t="s">
        <v>257</v>
      </c>
      <c r="BD3633" s="17" t="s">
        <v>257</v>
      </c>
      <c r="BE3633" s="17" t="s">
        <v>257</v>
      </c>
      <c r="BF3633" s="17" t="s">
        <v>257</v>
      </c>
      <c r="BG3633" s="11">
        <f ca="1">IFERROR(__xludf.DUMMYFUNCTION("""COMPUTED_VALUE"""),46047.9041666666)</f>
        <v>46047.904166666602</v>
      </c>
      <c r="BH3633" s="17"/>
      <c r="BI3633" s="17"/>
      <c r="BJ3633" s="15"/>
      <c r="BK3633" s="15"/>
      <c r="BL3633" s="13" t="b">
        <v>0</v>
      </c>
      <c r="BM3633" s="10"/>
      <c r="BN3633" s="10" t="s">
        <v>351</v>
      </c>
      <c r="BO3633" s="11">
        <v>46028.568749999999</v>
      </c>
      <c r="BP3633" s="11">
        <v>46028.574652777781</v>
      </c>
      <c r="BQ3633" s="15"/>
      <c r="BR3633" s="15"/>
      <c r="BS3633" s="10" t="s">
        <v>351</v>
      </c>
      <c r="BT3633" s="10"/>
      <c r="BU3633" s="10"/>
      <c r="BV3633" s="10"/>
      <c r="BW3633" s="10"/>
      <c r="BX3633" s="10"/>
      <c r="BY3633" s="23"/>
      <c r="BZ3633" s="23"/>
      <c r="CA3633" s="10"/>
      <c r="CB3633" s="23"/>
      <c r="CC3633" s="23"/>
      <c r="CD3633" s="23"/>
      <c r="CE3633" s="23"/>
      <c r="CF3633" s="23"/>
      <c r="CG3633" s="23"/>
      <c r="CH3633" s="23"/>
      <c r="CI3633" s="23"/>
    </row>
    <row r="3634" spans="1:87" x14ac:dyDescent="0.3">
      <c r="A3634" s="9" t="s">
        <v>25295</v>
      </c>
      <c r="B3634" s="10" t="s">
        <v>25296</v>
      </c>
      <c r="C3634" s="11">
        <v>46047.918749999997</v>
      </c>
      <c r="D3634" s="12">
        <v>1.4583333333333334E-2</v>
      </c>
      <c r="E3634" s="11">
        <v>46047.933333333334</v>
      </c>
      <c r="F3634" s="22" t="s">
        <v>24512</v>
      </c>
      <c r="G3634" s="13" t="b">
        <v>0</v>
      </c>
      <c r="H3634" s="22"/>
      <c r="I3634" s="10" t="s">
        <v>23071</v>
      </c>
      <c r="J3634" s="13" t="b">
        <v>0</v>
      </c>
      <c r="K3634" s="13" t="b">
        <v>1</v>
      </c>
      <c r="L3634" s="10" t="s">
        <v>124</v>
      </c>
      <c r="M3634" s="10" t="s">
        <v>91</v>
      </c>
      <c r="N3634" s="10" t="s">
        <v>3513</v>
      </c>
      <c r="O3634" s="10"/>
      <c r="P3634" s="10"/>
      <c r="Q3634" s="10" t="s">
        <v>126</v>
      </c>
      <c r="R3634" s="10"/>
      <c r="S3634" s="10"/>
      <c r="T3634" s="10"/>
      <c r="U3634" s="10"/>
      <c r="V3634" s="10"/>
      <c r="W3634" s="10" t="s">
        <v>24514</v>
      </c>
      <c r="X3634" s="10" t="s">
        <v>98</v>
      </c>
      <c r="Y3634" s="10" t="s">
        <v>98</v>
      </c>
      <c r="Z3634" s="10" t="s">
        <v>99</v>
      </c>
      <c r="AA3634" s="10" t="s">
        <v>131</v>
      </c>
      <c r="AB3634" s="10" t="s">
        <v>24515</v>
      </c>
      <c r="AC3634" s="10" t="s">
        <v>23185</v>
      </c>
      <c r="AD3634" s="10" t="s">
        <v>165</v>
      </c>
      <c r="AE3634" s="10" t="s">
        <v>25297</v>
      </c>
      <c r="AF3634" s="15"/>
      <c r="AG3634" s="10"/>
      <c r="AH3634" s="10"/>
      <c r="AI3634" s="10"/>
      <c r="AJ3634" s="10"/>
      <c r="AK3634" s="10"/>
      <c r="AL3634" s="10"/>
      <c r="AM3634" s="10"/>
      <c r="AN3634" s="10"/>
      <c r="AO3634" s="13" t="b">
        <v>0</v>
      </c>
      <c r="AP3634" s="22"/>
      <c r="AQ3634" s="10"/>
      <c r="AR3634" s="17"/>
      <c r="AS3634" s="17"/>
      <c r="AT3634" s="17"/>
      <c r="AU3634" s="17"/>
      <c r="AV3634" s="17"/>
      <c r="AW3634" s="10"/>
      <c r="AX3634" s="17"/>
      <c r="AY3634" s="18" t="s">
        <v>257</v>
      </c>
      <c r="AZ3634" s="10"/>
      <c r="BA3634" s="20" t="b">
        <v>0</v>
      </c>
      <c r="BB3634" s="10" t="s">
        <v>24517</v>
      </c>
      <c r="BC3634" s="17" t="s">
        <v>257</v>
      </c>
      <c r="BD3634" s="17" t="s">
        <v>257</v>
      </c>
      <c r="BE3634" s="17" t="s">
        <v>257</v>
      </c>
      <c r="BF3634" s="17" t="s">
        <v>257</v>
      </c>
      <c r="BG3634" s="11">
        <f ca="1">IFERROR(__xludf.DUMMYFUNCTION("""COMPUTED_VALUE"""),46047.91875)</f>
        <v>46047.918749999997</v>
      </c>
      <c r="BH3634" s="17"/>
      <c r="BI3634" s="17"/>
      <c r="BJ3634" s="15"/>
      <c r="BK3634" s="15"/>
      <c r="BL3634" s="13" t="b">
        <v>0</v>
      </c>
      <c r="BM3634" s="10"/>
      <c r="BN3634" s="10" t="s">
        <v>351</v>
      </c>
      <c r="BO3634" s="11">
        <v>46028.59097222222</v>
      </c>
      <c r="BP3634" s="11">
        <v>46028.59175925926</v>
      </c>
      <c r="BQ3634" s="15"/>
      <c r="BR3634" s="15"/>
      <c r="BS3634" s="10" t="s">
        <v>351</v>
      </c>
      <c r="BT3634" s="10"/>
      <c r="BU3634" s="10"/>
      <c r="BV3634" s="10"/>
      <c r="BW3634" s="10"/>
      <c r="BX3634" s="10"/>
      <c r="BY3634" s="23"/>
      <c r="BZ3634" s="23"/>
      <c r="CA3634" s="10"/>
      <c r="CB3634" s="23"/>
      <c r="CC3634" s="23"/>
      <c r="CD3634" s="23"/>
      <c r="CE3634" s="23"/>
      <c r="CF3634" s="23"/>
      <c r="CG3634" s="23"/>
      <c r="CH3634" s="23"/>
      <c r="CI3634" s="23"/>
    </row>
    <row r="3635" spans="1:87" x14ac:dyDescent="0.3">
      <c r="A3635" s="9" t="s">
        <v>25298</v>
      </c>
      <c r="B3635" s="10" t="s">
        <v>25299</v>
      </c>
      <c r="C3635" s="11">
        <v>46047.933333333334</v>
      </c>
      <c r="D3635" s="12">
        <v>1.5972222222222221E-2</v>
      </c>
      <c r="E3635" s="11">
        <v>46047.949305555558</v>
      </c>
      <c r="F3635" s="22" t="s">
        <v>24512</v>
      </c>
      <c r="G3635" s="13" t="b">
        <v>0</v>
      </c>
      <c r="H3635" s="22"/>
      <c r="I3635" s="10" t="s">
        <v>23071</v>
      </c>
      <c r="J3635" s="13" t="b">
        <v>0</v>
      </c>
      <c r="K3635" s="13" t="b">
        <v>1</v>
      </c>
      <c r="L3635" s="10" t="s">
        <v>124</v>
      </c>
      <c r="M3635" s="10" t="s">
        <v>91</v>
      </c>
      <c r="N3635" s="10" t="s">
        <v>3513</v>
      </c>
      <c r="O3635" s="10"/>
      <c r="P3635" s="10"/>
      <c r="Q3635" s="10" t="s">
        <v>126</v>
      </c>
      <c r="R3635" s="10"/>
      <c r="S3635" s="10"/>
      <c r="T3635" s="10"/>
      <c r="U3635" s="10"/>
      <c r="V3635" s="10"/>
      <c r="W3635" s="10" t="s">
        <v>24514</v>
      </c>
      <c r="X3635" s="10" t="s">
        <v>98</v>
      </c>
      <c r="Y3635" s="10" t="s">
        <v>98</v>
      </c>
      <c r="Z3635" s="10" t="s">
        <v>99</v>
      </c>
      <c r="AA3635" s="10" t="s">
        <v>131</v>
      </c>
      <c r="AB3635" s="10" t="s">
        <v>24515</v>
      </c>
      <c r="AC3635" s="10" t="s">
        <v>23185</v>
      </c>
      <c r="AD3635" s="10" t="s">
        <v>165</v>
      </c>
      <c r="AE3635" s="10" t="s">
        <v>25300</v>
      </c>
      <c r="AF3635" s="15"/>
      <c r="AG3635" s="10"/>
      <c r="AH3635" s="10"/>
      <c r="AI3635" s="10"/>
      <c r="AJ3635" s="10"/>
      <c r="AK3635" s="10"/>
      <c r="AL3635" s="10"/>
      <c r="AM3635" s="10"/>
      <c r="AN3635" s="10"/>
      <c r="AO3635" s="13" t="b">
        <v>0</v>
      </c>
      <c r="AP3635" s="22"/>
      <c r="AQ3635" s="10"/>
      <c r="AR3635" s="17"/>
      <c r="AS3635" s="17"/>
      <c r="AT3635" s="17"/>
      <c r="AU3635" s="17"/>
      <c r="AV3635" s="17"/>
      <c r="AW3635" s="10"/>
      <c r="AX3635" s="17"/>
      <c r="AY3635" s="18" t="s">
        <v>257</v>
      </c>
      <c r="AZ3635" s="10"/>
      <c r="BA3635" s="20" t="b">
        <v>0</v>
      </c>
      <c r="BB3635" s="10" t="s">
        <v>24517</v>
      </c>
      <c r="BC3635" s="17" t="s">
        <v>257</v>
      </c>
      <c r="BD3635" s="17" t="s">
        <v>257</v>
      </c>
      <c r="BE3635" s="17" t="s">
        <v>257</v>
      </c>
      <c r="BF3635" s="17" t="s">
        <v>257</v>
      </c>
      <c r="BG3635" s="11">
        <f ca="1">IFERROR(__xludf.DUMMYFUNCTION("""COMPUTED_VALUE"""),46047.9333333333)</f>
        <v>46047.933333333298</v>
      </c>
      <c r="BH3635" s="17"/>
      <c r="BI3635" s="17"/>
      <c r="BJ3635" s="15"/>
      <c r="BK3635" s="15"/>
      <c r="BL3635" s="13" t="b">
        <v>0</v>
      </c>
      <c r="BM3635" s="10"/>
      <c r="BN3635" s="10" t="s">
        <v>351</v>
      </c>
      <c r="BO3635" s="11">
        <v>46028.591666666667</v>
      </c>
      <c r="BP3635" s="11">
        <v>46028.592222222222</v>
      </c>
      <c r="BQ3635" s="15"/>
      <c r="BR3635" s="15"/>
      <c r="BS3635" s="10" t="s">
        <v>351</v>
      </c>
      <c r="BT3635" s="10"/>
      <c r="BU3635" s="10"/>
      <c r="BV3635" s="10"/>
      <c r="BW3635" s="10"/>
      <c r="BX3635" s="10"/>
      <c r="BY3635" s="23"/>
      <c r="BZ3635" s="23"/>
      <c r="CA3635" s="10"/>
      <c r="CB3635" s="23"/>
      <c r="CC3635" s="23"/>
      <c r="CD3635" s="23"/>
      <c r="CE3635" s="23"/>
      <c r="CF3635" s="23"/>
      <c r="CG3635" s="23"/>
      <c r="CH3635" s="23"/>
      <c r="CI3635" s="23"/>
    </row>
    <row r="3636" spans="1:87" x14ac:dyDescent="0.3">
      <c r="A3636" s="9" t="s">
        <v>25301</v>
      </c>
      <c r="B3636" s="10" t="s">
        <v>25302</v>
      </c>
      <c r="C3636" s="11">
        <v>46047.949305555558</v>
      </c>
      <c r="D3636" s="12">
        <v>2.5000000000000001E-2</v>
      </c>
      <c r="E3636" s="11">
        <v>46047.974305555559</v>
      </c>
      <c r="F3636" s="22" t="s">
        <v>24512</v>
      </c>
      <c r="G3636" s="13" t="b">
        <v>0</v>
      </c>
      <c r="H3636" s="22"/>
      <c r="I3636" s="10" t="s">
        <v>23071</v>
      </c>
      <c r="J3636" s="13" t="b">
        <v>0</v>
      </c>
      <c r="K3636" s="13" t="b">
        <v>1</v>
      </c>
      <c r="L3636" s="10" t="s">
        <v>124</v>
      </c>
      <c r="M3636" s="10" t="s">
        <v>91</v>
      </c>
      <c r="N3636" s="10" t="s">
        <v>3513</v>
      </c>
      <c r="O3636" s="10"/>
      <c r="P3636" s="10"/>
      <c r="Q3636" s="10" t="s">
        <v>126</v>
      </c>
      <c r="R3636" s="10"/>
      <c r="S3636" s="10"/>
      <c r="T3636" s="10"/>
      <c r="U3636" s="10"/>
      <c r="V3636" s="10"/>
      <c r="W3636" s="10" t="s">
        <v>24514</v>
      </c>
      <c r="X3636" s="10" t="s">
        <v>98</v>
      </c>
      <c r="Y3636" s="10" t="s">
        <v>98</v>
      </c>
      <c r="Z3636" s="10" t="s">
        <v>99</v>
      </c>
      <c r="AA3636" s="10" t="s">
        <v>131</v>
      </c>
      <c r="AB3636" s="10" t="s">
        <v>24515</v>
      </c>
      <c r="AC3636" s="10" t="s">
        <v>23185</v>
      </c>
      <c r="AD3636" s="10" t="s">
        <v>165</v>
      </c>
      <c r="AE3636" s="10" t="s">
        <v>25303</v>
      </c>
      <c r="AF3636" s="15"/>
      <c r="AG3636" s="10"/>
      <c r="AH3636" s="10"/>
      <c r="AI3636" s="10"/>
      <c r="AJ3636" s="10"/>
      <c r="AK3636" s="10"/>
      <c r="AL3636" s="10"/>
      <c r="AM3636" s="10"/>
      <c r="AN3636" s="10"/>
      <c r="AO3636" s="13" t="b">
        <v>0</v>
      </c>
      <c r="AP3636" s="22"/>
      <c r="AQ3636" s="10"/>
      <c r="AR3636" s="17"/>
      <c r="AS3636" s="17"/>
      <c r="AT3636" s="17"/>
      <c r="AU3636" s="17"/>
      <c r="AV3636" s="17"/>
      <c r="AW3636" s="10"/>
      <c r="AX3636" s="17"/>
      <c r="AY3636" s="18" t="s">
        <v>257</v>
      </c>
      <c r="AZ3636" s="10"/>
      <c r="BA3636" s="20" t="b">
        <v>0</v>
      </c>
      <c r="BB3636" s="10" t="s">
        <v>24517</v>
      </c>
      <c r="BC3636" s="17" t="s">
        <v>257</v>
      </c>
      <c r="BD3636" s="17" t="s">
        <v>257</v>
      </c>
      <c r="BE3636" s="17" t="s">
        <v>257</v>
      </c>
      <c r="BF3636" s="17" t="s">
        <v>257</v>
      </c>
      <c r="BG3636" s="11">
        <f ca="1">IFERROR(__xludf.DUMMYFUNCTION("""COMPUTED_VALUE"""),46047.9493055555)</f>
        <v>46047.949305555499</v>
      </c>
      <c r="BH3636" s="17"/>
      <c r="BI3636" s="17"/>
      <c r="BJ3636" s="15"/>
      <c r="BK3636" s="15"/>
      <c r="BL3636" s="13" t="b">
        <v>0</v>
      </c>
      <c r="BM3636" s="10"/>
      <c r="BN3636" s="10" t="s">
        <v>351</v>
      </c>
      <c r="BO3636" s="11">
        <v>46028.592361111114</v>
      </c>
      <c r="BP3636" s="11">
        <v>46028.592777777776</v>
      </c>
      <c r="BQ3636" s="15"/>
      <c r="BR3636" s="15"/>
      <c r="BS3636" s="10" t="s">
        <v>351</v>
      </c>
      <c r="BT3636" s="10"/>
      <c r="BU3636" s="10"/>
      <c r="BV3636" s="10"/>
      <c r="BW3636" s="10"/>
      <c r="BX3636" s="10"/>
      <c r="BY3636" s="23"/>
      <c r="BZ3636" s="23"/>
      <c r="CA3636" s="10"/>
      <c r="CB3636" s="23"/>
      <c r="CC3636" s="23"/>
      <c r="CD3636" s="23"/>
      <c r="CE3636" s="23"/>
      <c r="CF3636" s="23"/>
      <c r="CG3636" s="23"/>
      <c r="CH3636" s="23"/>
      <c r="CI3636" s="23"/>
    </row>
    <row r="3637" spans="1:87" x14ac:dyDescent="0.3">
      <c r="A3637" s="9" t="s">
        <v>25304</v>
      </c>
      <c r="B3637" s="10" t="s">
        <v>25305</v>
      </c>
      <c r="C3637" s="11">
        <v>46029.333333333336</v>
      </c>
      <c r="D3637" s="12">
        <v>3.4722222222222224E-2</v>
      </c>
      <c r="E3637" s="11">
        <v>46029.368055555555</v>
      </c>
      <c r="F3637" s="22" t="s">
        <v>24700</v>
      </c>
      <c r="G3637" s="13" t="b">
        <v>0</v>
      </c>
      <c r="H3637" s="22" t="s">
        <v>21384</v>
      </c>
      <c r="I3637" s="10" t="s">
        <v>9131</v>
      </c>
      <c r="J3637" s="13" t="b">
        <v>0</v>
      </c>
      <c r="K3637" s="13" t="b">
        <v>1</v>
      </c>
      <c r="L3637" s="10" t="s">
        <v>124</v>
      </c>
      <c r="M3637" s="10" t="s">
        <v>91</v>
      </c>
      <c r="N3637" s="10" t="s">
        <v>92</v>
      </c>
      <c r="O3637" s="19" t="s">
        <v>25306</v>
      </c>
      <c r="P3637" s="10"/>
      <c r="Q3637" s="10" t="s">
        <v>126</v>
      </c>
      <c r="R3637" s="10"/>
      <c r="S3637" s="10"/>
      <c r="T3637" s="10"/>
      <c r="U3637" s="10"/>
      <c r="V3637" s="10"/>
      <c r="W3637" s="10" t="s">
        <v>24703</v>
      </c>
      <c r="X3637" s="10" t="s">
        <v>216</v>
      </c>
      <c r="Y3637" s="10" t="s">
        <v>216</v>
      </c>
      <c r="Z3637" s="10" t="s">
        <v>99</v>
      </c>
      <c r="AA3637" s="10" t="s">
        <v>131</v>
      </c>
      <c r="AB3637" s="10" t="s">
        <v>24704</v>
      </c>
      <c r="AC3637" s="10" t="s">
        <v>21389</v>
      </c>
      <c r="AD3637" s="10" t="s">
        <v>165</v>
      </c>
      <c r="AE3637" s="10" t="s">
        <v>25307</v>
      </c>
      <c r="AF3637" s="15"/>
      <c r="AG3637" s="10"/>
      <c r="AH3637" s="10"/>
      <c r="AI3637" s="10"/>
      <c r="AJ3637" s="10"/>
      <c r="AK3637" s="10" t="s">
        <v>102</v>
      </c>
      <c r="AL3637" s="10"/>
      <c r="AM3637" s="10"/>
      <c r="AN3637" s="10"/>
      <c r="AO3637" s="13" t="b">
        <v>0</v>
      </c>
      <c r="AP3637" s="22" t="s">
        <v>221</v>
      </c>
      <c r="AQ3637" s="10">
        <f ca="1">IFERROR(__xludf.DUMMYFUNCTION("""COMPUTED_VALUE"""),4832167)</f>
        <v>4832167</v>
      </c>
      <c r="AR3637" s="17">
        <v>6142</v>
      </c>
      <c r="AS3637" s="17">
        <v>3896</v>
      </c>
      <c r="AT3637" s="17">
        <v>121289.75</v>
      </c>
      <c r="AU3637" s="17">
        <v>30.75</v>
      </c>
      <c r="AV3637" s="17">
        <v>10.3</v>
      </c>
      <c r="AW3637" s="10" t="s">
        <v>105</v>
      </c>
      <c r="AX3637" s="17">
        <v>1902</v>
      </c>
      <c r="AY3637" s="18">
        <v>31.131866016427104</v>
      </c>
      <c r="AZ3637" s="10"/>
      <c r="BA3637" s="20" t="b">
        <v>0</v>
      </c>
      <c r="BB3637" s="10" t="s">
        <v>24788</v>
      </c>
      <c r="BC3637" s="17">
        <v>6142</v>
      </c>
      <c r="BD3637" s="17">
        <v>3896</v>
      </c>
      <c r="BE3637" s="17">
        <v>121289.75</v>
      </c>
      <c r="BF3637" s="17">
        <v>10.3</v>
      </c>
      <c r="BG3637" s="11">
        <f ca="1">IFERROR(__xludf.DUMMYFUNCTION("""COMPUTED_VALUE"""),46029.3333333333)</f>
        <v>46029.333333333299</v>
      </c>
      <c r="BH3637" s="17" t="s">
        <v>105</v>
      </c>
      <c r="BI3637" s="17"/>
      <c r="BJ3637" s="15"/>
      <c r="BK3637" s="15"/>
      <c r="BL3637" s="13" t="b">
        <v>0</v>
      </c>
      <c r="BM3637" s="10"/>
      <c r="BN3637" s="10" t="s">
        <v>118</v>
      </c>
      <c r="BO3637" s="11">
        <v>46028.612500000003</v>
      </c>
      <c r="BP3637" s="11">
        <v>46028.613125000003</v>
      </c>
      <c r="BQ3637" s="15"/>
      <c r="BR3637" s="15">
        <v>46028.618148148147</v>
      </c>
      <c r="BS3637" s="10" t="s">
        <v>118</v>
      </c>
      <c r="BT3637" s="10"/>
      <c r="BU3637" s="10"/>
      <c r="BV3637" s="10"/>
      <c r="BW3637" s="10"/>
      <c r="BX3637" s="10"/>
      <c r="BY3637" s="23"/>
      <c r="BZ3637" s="23"/>
      <c r="CA3637" s="10"/>
      <c r="CB3637" s="23"/>
      <c r="CC3637" s="23"/>
      <c r="CD3637" s="23"/>
      <c r="CE3637" s="23"/>
      <c r="CF3637" s="23"/>
      <c r="CG3637" s="23"/>
      <c r="CH3637" s="23"/>
      <c r="CI3637" s="23"/>
    </row>
    <row r="3638" spans="1:87" x14ac:dyDescent="0.3">
      <c r="A3638" s="9" t="s">
        <v>25308</v>
      </c>
      <c r="B3638" s="10" t="s">
        <v>25309</v>
      </c>
      <c r="C3638" s="11">
        <v>46029.368055555555</v>
      </c>
      <c r="D3638" s="12">
        <v>3.4722222222222224E-2</v>
      </c>
      <c r="E3638" s="11">
        <v>46029.402777777781</v>
      </c>
      <c r="F3638" s="22" t="s">
        <v>24700</v>
      </c>
      <c r="G3638" s="13" t="b">
        <v>0</v>
      </c>
      <c r="H3638" s="22" t="s">
        <v>21384</v>
      </c>
      <c r="I3638" s="10" t="s">
        <v>9131</v>
      </c>
      <c r="J3638" s="13" t="b">
        <v>0</v>
      </c>
      <c r="K3638" s="13" t="b">
        <v>1</v>
      </c>
      <c r="L3638" s="10" t="s">
        <v>124</v>
      </c>
      <c r="M3638" s="10" t="s">
        <v>91</v>
      </c>
      <c r="N3638" s="10" t="s">
        <v>92</v>
      </c>
      <c r="O3638" s="19" t="s">
        <v>25310</v>
      </c>
      <c r="P3638" s="10"/>
      <c r="Q3638" s="10" t="s">
        <v>126</v>
      </c>
      <c r="R3638" s="10"/>
      <c r="S3638" s="10"/>
      <c r="T3638" s="10"/>
      <c r="U3638" s="10"/>
      <c r="V3638" s="10"/>
      <c r="W3638" s="10" t="s">
        <v>24703</v>
      </c>
      <c r="X3638" s="10" t="s">
        <v>216</v>
      </c>
      <c r="Y3638" s="10" t="s">
        <v>216</v>
      </c>
      <c r="Z3638" s="10" t="s">
        <v>99</v>
      </c>
      <c r="AA3638" s="10" t="s">
        <v>131</v>
      </c>
      <c r="AB3638" s="10" t="s">
        <v>24704</v>
      </c>
      <c r="AC3638" s="10" t="s">
        <v>21389</v>
      </c>
      <c r="AD3638" s="10" t="s">
        <v>165</v>
      </c>
      <c r="AE3638" s="10" t="s">
        <v>25311</v>
      </c>
      <c r="AF3638" s="15"/>
      <c r="AG3638" s="10"/>
      <c r="AH3638" s="10"/>
      <c r="AI3638" s="10"/>
      <c r="AJ3638" s="10"/>
      <c r="AK3638" s="10" t="s">
        <v>102</v>
      </c>
      <c r="AL3638" s="10"/>
      <c r="AM3638" s="10"/>
      <c r="AN3638" s="10"/>
      <c r="AO3638" s="13" t="b">
        <v>0</v>
      </c>
      <c r="AP3638" s="22" t="s">
        <v>135</v>
      </c>
      <c r="AQ3638" s="10">
        <f ca="1">IFERROR(__xludf.DUMMYFUNCTION("""COMPUTED_VALUE"""),4832168)</f>
        <v>4832168</v>
      </c>
      <c r="AR3638" s="17">
        <v>5277</v>
      </c>
      <c r="AS3638" s="17">
        <v>3675</v>
      </c>
      <c r="AT3638" s="17">
        <v>69374</v>
      </c>
      <c r="AU3638" s="17">
        <v>17.5</v>
      </c>
      <c r="AV3638" s="17">
        <v>4.7</v>
      </c>
      <c r="AW3638" s="10" t="s">
        <v>105</v>
      </c>
      <c r="AX3638" s="17">
        <v>1902</v>
      </c>
      <c r="AY3638" s="18">
        <v>18.877278911564627</v>
      </c>
      <c r="AZ3638" s="10"/>
      <c r="BA3638" s="20" t="b">
        <v>0</v>
      </c>
      <c r="BB3638" s="10" t="s">
        <v>24788</v>
      </c>
      <c r="BC3638" s="17">
        <v>5277</v>
      </c>
      <c r="BD3638" s="17">
        <v>3675</v>
      </c>
      <c r="BE3638" s="17">
        <v>69374</v>
      </c>
      <c r="BF3638" s="17">
        <v>4.7</v>
      </c>
      <c r="BG3638" s="11">
        <f ca="1">IFERROR(__xludf.DUMMYFUNCTION("""COMPUTED_VALUE"""),46029.3680555555)</f>
        <v>46029.368055555497</v>
      </c>
      <c r="BH3638" s="17" t="s">
        <v>105</v>
      </c>
      <c r="BI3638" s="17"/>
      <c r="BJ3638" s="15"/>
      <c r="BK3638" s="15"/>
      <c r="BL3638" s="13" t="b">
        <v>0</v>
      </c>
      <c r="BM3638" s="10"/>
      <c r="BN3638" s="10" t="s">
        <v>118</v>
      </c>
      <c r="BO3638" s="11">
        <v>46028.613194444442</v>
      </c>
      <c r="BP3638" s="11">
        <v>46028.613298611112</v>
      </c>
      <c r="BQ3638" s="15"/>
      <c r="BR3638" s="15">
        <v>46028.618287037039</v>
      </c>
      <c r="BS3638" s="10" t="s">
        <v>118</v>
      </c>
      <c r="BT3638" s="10"/>
      <c r="BU3638" s="10"/>
      <c r="BV3638" s="10"/>
      <c r="BW3638" s="10"/>
      <c r="BX3638" s="10"/>
      <c r="BY3638" s="23"/>
      <c r="BZ3638" s="23"/>
      <c r="CA3638" s="10"/>
      <c r="CB3638" s="23"/>
      <c r="CC3638" s="23"/>
      <c r="CD3638" s="23"/>
      <c r="CE3638" s="23"/>
      <c r="CF3638" s="23"/>
      <c r="CG3638" s="23"/>
      <c r="CH3638" s="23"/>
      <c r="CI3638" s="23"/>
    </row>
    <row r="3639" spans="1:87" x14ac:dyDescent="0.3">
      <c r="A3639" s="9" t="s">
        <v>25312</v>
      </c>
      <c r="B3639" s="10" t="s">
        <v>25313</v>
      </c>
      <c r="C3639" s="11">
        <v>46029.402777777781</v>
      </c>
      <c r="D3639" s="12">
        <v>3.4722222222222224E-2</v>
      </c>
      <c r="E3639" s="11">
        <v>46029.4375</v>
      </c>
      <c r="F3639" s="22" t="s">
        <v>24700</v>
      </c>
      <c r="G3639" s="13" t="b">
        <v>0</v>
      </c>
      <c r="H3639" s="22" t="s">
        <v>21384</v>
      </c>
      <c r="I3639" s="10" t="s">
        <v>9131</v>
      </c>
      <c r="J3639" s="13" t="b">
        <v>0</v>
      </c>
      <c r="K3639" s="13" t="b">
        <v>1</v>
      </c>
      <c r="L3639" s="10" t="s">
        <v>124</v>
      </c>
      <c r="M3639" s="10" t="s">
        <v>91</v>
      </c>
      <c r="N3639" s="10" t="s">
        <v>92</v>
      </c>
      <c r="O3639" s="19" t="s">
        <v>25314</v>
      </c>
      <c r="P3639" s="10"/>
      <c r="Q3639" s="10" t="s">
        <v>126</v>
      </c>
      <c r="R3639" s="10"/>
      <c r="S3639" s="10"/>
      <c r="T3639" s="10"/>
      <c r="U3639" s="10"/>
      <c r="V3639" s="10"/>
      <c r="W3639" s="10" t="s">
        <v>24703</v>
      </c>
      <c r="X3639" s="10" t="s">
        <v>216</v>
      </c>
      <c r="Y3639" s="10" t="s">
        <v>216</v>
      </c>
      <c r="Z3639" s="10" t="s">
        <v>99</v>
      </c>
      <c r="AA3639" s="10" t="s">
        <v>131</v>
      </c>
      <c r="AB3639" s="10" t="s">
        <v>24704</v>
      </c>
      <c r="AC3639" s="10" t="s">
        <v>21389</v>
      </c>
      <c r="AD3639" s="10" t="s">
        <v>165</v>
      </c>
      <c r="AE3639" s="10" t="s">
        <v>25315</v>
      </c>
      <c r="AF3639" s="15"/>
      <c r="AG3639" s="10"/>
      <c r="AH3639" s="10"/>
      <c r="AI3639" s="10"/>
      <c r="AJ3639" s="10"/>
      <c r="AK3639" s="10" t="s">
        <v>102</v>
      </c>
      <c r="AL3639" s="10"/>
      <c r="AM3639" s="10"/>
      <c r="AN3639" s="10"/>
      <c r="AO3639" s="13" t="b">
        <v>0</v>
      </c>
      <c r="AP3639" s="22" t="s">
        <v>104</v>
      </c>
      <c r="AQ3639" s="10">
        <f ca="1">IFERROR(__xludf.DUMMYFUNCTION("""COMPUTED_VALUE"""),4832169)</f>
        <v>4832169</v>
      </c>
      <c r="AR3639" s="17">
        <v>5972</v>
      </c>
      <c r="AS3639" s="17">
        <v>4091</v>
      </c>
      <c r="AT3639" s="17">
        <v>63420.25</v>
      </c>
      <c r="AU3639" s="17">
        <v>27</v>
      </c>
      <c r="AV3639" s="17">
        <v>13.5</v>
      </c>
      <c r="AW3639" s="10" t="s">
        <v>105</v>
      </c>
      <c r="AX3639" s="17">
        <v>1942</v>
      </c>
      <c r="AY3639" s="18">
        <v>15.502383280371546</v>
      </c>
      <c r="AZ3639" s="10"/>
      <c r="BA3639" s="20" t="b">
        <v>0</v>
      </c>
      <c r="BB3639" s="10" t="s">
        <v>24788</v>
      </c>
      <c r="BC3639" s="17">
        <v>5972</v>
      </c>
      <c r="BD3639" s="17">
        <v>4091</v>
      </c>
      <c r="BE3639" s="17">
        <v>63420.25</v>
      </c>
      <c r="BF3639" s="17">
        <v>13.5</v>
      </c>
      <c r="BG3639" s="11">
        <f ca="1">IFERROR(__xludf.DUMMYFUNCTION("""COMPUTED_VALUE"""),46029.4027777777)</f>
        <v>46029.402777777701</v>
      </c>
      <c r="BH3639" s="17" t="s">
        <v>105</v>
      </c>
      <c r="BI3639" s="17"/>
      <c r="BJ3639" s="15"/>
      <c r="BK3639" s="15"/>
      <c r="BL3639" s="13" t="b">
        <v>0</v>
      </c>
      <c r="BM3639" s="10"/>
      <c r="BN3639" s="10" t="s">
        <v>118</v>
      </c>
      <c r="BO3639" s="11">
        <v>46028.613194444442</v>
      </c>
      <c r="BP3639" s="11">
        <v>46028.613483796296</v>
      </c>
      <c r="BQ3639" s="15"/>
      <c r="BR3639" s="15">
        <v>46028.618414351855</v>
      </c>
      <c r="BS3639" s="10" t="s">
        <v>118</v>
      </c>
      <c r="BT3639" s="10"/>
      <c r="BU3639" s="10"/>
      <c r="BV3639" s="10"/>
      <c r="BW3639" s="10"/>
      <c r="BX3639" s="10"/>
      <c r="BY3639" s="23"/>
      <c r="BZ3639" s="23"/>
      <c r="CA3639" s="10"/>
      <c r="CB3639" s="23"/>
      <c r="CC3639" s="23"/>
      <c r="CD3639" s="23"/>
      <c r="CE3639" s="23"/>
      <c r="CF3639" s="23"/>
      <c r="CG3639" s="23"/>
      <c r="CH3639" s="23"/>
      <c r="CI3639" s="23"/>
    </row>
    <row r="3640" spans="1:87" x14ac:dyDescent="0.3">
      <c r="A3640" s="9" t="s">
        <v>25316</v>
      </c>
      <c r="B3640" s="10" t="s">
        <v>25317</v>
      </c>
      <c r="C3640" s="11">
        <v>46029.4375</v>
      </c>
      <c r="D3640" s="12">
        <v>3.4722222222222224E-2</v>
      </c>
      <c r="E3640" s="11">
        <v>46029.472222222219</v>
      </c>
      <c r="F3640" s="22" t="s">
        <v>24700</v>
      </c>
      <c r="G3640" s="13" t="b">
        <v>0</v>
      </c>
      <c r="H3640" s="22" t="s">
        <v>21384</v>
      </c>
      <c r="I3640" s="10" t="s">
        <v>9131</v>
      </c>
      <c r="J3640" s="13" t="b">
        <v>0</v>
      </c>
      <c r="K3640" s="13" t="b">
        <v>1</v>
      </c>
      <c r="L3640" s="10" t="s">
        <v>124</v>
      </c>
      <c r="M3640" s="10" t="s">
        <v>91</v>
      </c>
      <c r="N3640" s="10" t="s">
        <v>92</v>
      </c>
      <c r="O3640" s="19" t="s">
        <v>25318</v>
      </c>
      <c r="P3640" s="10"/>
      <c r="Q3640" s="10" t="s">
        <v>126</v>
      </c>
      <c r="R3640" s="10"/>
      <c r="S3640" s="10"/>
      <c r="T3640" s="10"/>
      <c r="U3640" s="10"/>
      <c r="V3640" s="10"/>
      <c r="W3640" s="10" t="s">
        <v>24703</v>
      </c>
      <c r="X3640" s="10" t="s">
        <v>216</v>
      </c>
      <c r="Y3640" s="10" t="s">
        <v>216</v>
      </c>
      <c r="Z3640" s="10" t="s">
        <v>99</v>
      </c>
      <c r="AA3640" s="10" t="s">
        <v>131</v>
      </c>
      <c r="AB3640" s="10" t="s">
        <v>24704</v>
      </c>
      <c r="AC3640" s="10" t="s">
        <v>21389</v>
      </c>
      <c r="AD3640" s="10" t="s">
        <v>165</v>
      </c>
      <c r="AE3640" s="10" t="s">
        <v>25319</v>
      </c>
      <c r="AF3640" s="15"/>
      <c r="AG3640" s="10"/>
      <c r="AH3640" s="10"/>
      <c r="AI3640" s="10"/>
      <c r="AJ3640" s="10"/>
      <c r="AK3640" s="10" t="s">
        <v>102</v>
      </c>
      <c r="AL3640" s="10"/>
      <c r="AM3640" s="10"/>
      <c r="AN3640" s="10"/>
      <c r="AO3640" s="13" t="b">
        <v>0</v>
      </c>
      <c r="AP3640" s="22" t="s">
        <v>135</v>
      </c>
      <c r="AQ3640" s="10">
        <f ca="1">IFERROR(__xludf.DUMMYFUNCTION("""COMPUTED_VALUE"""),4832171)</f>
        <v>4832171</v>
      </c>
      <c r="AR3640" s="17">
        <v>5857</v>
      </c>
      <c r="AS3640" s="17">
        <v>4018</v>
      </c>
      <c r="AT3640" s="17">
        <v>53340.75</v>
      </c>
      <c r="AU3640" s="17">
        <v>16.649999999999999</v>
      </c>
      <c r="AV3640" s="17">
        <v>6.25</v>
      </c>
      <c r="AW3640" s="10" t="s">
        <v>105</v>
      </c>
      <c r="AX3640" s="17">
        <v>2362</v>
      </c>
      <c r="AY3640" s="18">
        <v>13.275447984071677</v>
      </c>
      <c r="AZ3640" s="10"/>
      <c r="BA3640" s="20" t="b">
        <v>0</v>
      </c>
      <c r="BB3640" s="10" t="s">
        <v>24788</v>
      </c>
      <c r="BC3640" s="17">
        <v>5857</v>
      </c>
      <c r="BD3640" s="17">
        <v>4018</v>
      </c>
      <c r="BE3640" s="17">
        <v>53340.75</v>
      </c>
      <c r="BF3640" s="17">
        <v>6.25</v>
      </c>
      <c r="BG3640" s="11">
        <f ca="1">IFERROR(__xludf.DUMMYFUNCTION("""COMPUTED_VALUE"""),46029.4375)</f>
        <v>46029.4375</v>
      </c>
      <c r="BH3640" s="17" t="s">
        <v>105</v>
      </c>
      <c r="BI3640" s="17"/>
      <c r="BJ3640" s="15"/>
      <c r="BK3640" s="15"/>
      <c r="BL3640" s="13" t="b">
        <v>0</v>
      </c>
      <c r="BM3640" s="10"/>
      <c r="BN3640" s="10" t="s">
        <v>118</v>
      </c>
      <c r="BO3640" s="11">
        <v>46028.613194444442</v>
      </c>
      <c r="BP3640" s="11">
        <v>46028.613657407404</v>
      </c>
      <c r="BQ3640" s="15"/>
      <c r="BR3640" s="15">
        <v>46028.618622685186</v>
      </c>
      <c r="BS3640" s="10" t="s">
        <v>118</v>
      </c>
      <c r="BT3640" s="10"/>
      <c r="BU3640" s="10"/>
      <c r="BV3640" s="10"/>
      <c r="BW3640" s="10"/>
      <c r="BX3640" s="10"/>
      <c r="BY3640" s="23"/>
      <c r="BZ3640" s="23"/>
      <c r="CA3640" s="10"/>
      <c r="CB3640" s="23"/>
      <c r="CC3640" s="23"/>
      <c r="CD3640" s="23"/>
      <c r="CE3640" s="23"/>
      <c r="CF3640" s="23"/>
      <c r="CG3640" s="23"/>
      <c r="CH3640" s="23"/>
      <c r="CI3640" s="23"/>
    </row>
    <row r="3641" spans="1:87" x14ac:dyDescent="0.3">
      <c r="A3641" s="9" t="s">
        <v>25320</v>
      </c>
      <c r="B3641" s="10" t="s">
        <v>25321</v>
      </c>
      <c r="C3641" s="11">
        <v>46029.472222222219</v>
      </c>
      <c r="D3641" s="12">
        <v>3.4722222222222224E-2</v>
      </c>
      <c r="E3641" s="11">
        <v>46029.506944444445</v>
      </c>
      <c r="F3641" s="22" t="s">
        <v>24700</v>
      </c>
      <c r="G3641" s="13" t="b">
        <v>0</v>
      </c>
      <c r="H3641" s="22" t="s">
        <v>21384</v>
      </c>
      <c r="I3641" s="10" t="s">
        <v>9131</v>
      </c>
      <c r="J3641" s="13" t="b">
        <v>0</v>
      </c>
      <c r="K3641" s="13" t="b">
        <v>1</v>
      </c>
      <c r="L3641" s="10" t="s">
        <v>124</v>
      </c>
      <c r="M3641" s="10" t="s">
        <v>91</v>
      </c>
      <c r="N3641" s="10" t="s">
        <v>92</v>
      </c>
      <c r="O3641" s="19" t="s">
        <v>25322</v>
      </c>
      <c r="P3641" s="10"/>
      <c r="Q3641" s="10" t="s">
        <v>126</v>
      </c>
      <c r="R3641" s="10"/>
      <c r="S3641" s="10"/>
      <c r="T3641" s="10"/>
      <c r="U3641" s="10"/>
      <c r="V3641" s="10"/>
      <c r="W3641" s="10" t="s">
        <v>24703</v>
      </c>
      <c r="X3641" s="10" t="s">
        <v>216</v>
      </c>
      <c r="Y3641" s="10" t="s">
        <v>216</v>
      </c>
      <c r="Z3641" s="10" t="s">
        <v>99</v>
      </c>
      <c r="AA3641" s="10" t="s">
        <v>131</v>
      </c>
      <c r="AB3641" s="10" t="s">
        <v>24704</v>
      </c>
      <c r="AC3641" s="10" t="s">
        <v>21389</v>
      </c>
      <c r="AD3641" s="10" t="s">
        <v>165</v>
      </c>
      <c r="AE3641" s="10" t="s">
        <v>25323</v>
      </c>
      <c r="AF3641" s="15"/>
      <c r="AG3641" s="10"/>
      <c r="AH3641" s="10"/>
      <c r="AI3641" s="10"/>
      <c r="AJ3641" s="10"/>
      <c r="AK3641" s="10" t="s">
        <v>102</v>
      </c>
      <c r="AL3641" s="10"/>
      <c r="AM3641" s="10"/>
      <c r="AN3641" s="10"/>
      <c r="AO3641" s="13" t="b">
        <v>0</v>
      </c>
      <c r="AP3641" s="22" t="s">
        <v>135</v>
      </c>
      <c r="AQ3641" s="10">
        <f ca="1">IFERROR(__xludf.DUMMYFUNCTION("""COMPUTED_VALUE"""),4832170)</f>
        <v>4832170</v>
      </c>
      <c r="AR3641" s="17">
        <v>18845</v>
      </c>
      <c r="AS3641" s="17">
        <v>7825</v>
      </c>
      <c r="AT3641" s="17">
        <v>132926.5</v>
      </c>
      <c r="AU3641" s="17">
        <v>44.5</v>
      </c>
      <c r="AV3641" s="17">
        <v>11.15</v>
      </c>
      <c r="AW3641" s="10" t="s">
        <v>105</v>
      </c>
      <c r="AX3641" s="17">
        <v>3984</v>
      </c>
      <c r="AY3641" s="18">
        <v>16.987412140575081</v>
      </c>
      <c r="AZ3641" s="10"/>
      <c r="BA3641" s="20" t="b">
        <v>0</v>
      </c>
      <c r="BB3641" s="10" t="s">
        <v>24788</v>
      </c>
      <c r="BC3641" s="17">
        <v>18845</v>
      </c>
      <c r="BD3641" s="17">
        <v>7825</v>
      </c>
      <c r="BE3641" s="17">
        <v>132926.5</v>
      </c>
      <c r="BF3641" s="17">
        <v>11.15</v>
      </c>
      <c r="BG3641" s="11">
        <f ca="1">IFERROR(__xludf.DUMMYFUNCTION("""COMPUTED_VALUE"""),46029.4722222222)</f>
        <v>46029.472222222197</v>
      </c>
      <c r="BH3641" s="17" t="s">
        <v>105</v>
      </c>
      <c r="BI3641" s="17"/>
      <c r="BJ3641" s="15"/>
      <c r="BK3641" s="15"/>
      <c r="BL3641" s="13" t="b">
        <v>0</v>
      </c>
      <c r="BM3641" s="10"/>
      <c r="BN3641" s="10" t="s">
        <v>118</v>
      </c>
      <c r="BO3641" s="11">
        <v>46028.613194444442</v>
      </c>
      <c r="BP3641" s="11">
        <v>46028.613807870373</v>
      </c>
      <c r="BQ3641" s="15"/>
      <c r="BR3641" s="15">
        <v>46028.618750000001</v>
      </c>
      <c r="BS3641" s="10" t="s">
        <v>118</v>
      </c>
      <c r="BT3641" s="10" t="s">
        <v>99</v>
      </c>
      <c r="BU3641" s="10"/>
      <c r="BV3641" s="10"/>
      <c r="BW3641" s="10"/>
      <c r="BX3641" s="10"/>
      <c r="BY3641" s="23"/>
      <c r="BZ3641" s="23"/>
      <c r="CA3641" s="10"/>
      <c r="CB3641" s="23"/>
      <c r="CC3641" s="23"/>
      <c r="CD3641" s="23"/>
      <c r="CE3641" s="23"/>
      <c r="CF3641" s="23"/>
      <c r="CG3641" s="23"/>
      <c r="CH3641" s="23"/>
      <c r="CI3641" s="23"/>
    </row>
    <row r="3642" spans="1:87" x14ac:dyDescent="0.3">
      <c r="A3642" s="9" t="s">
        <v>25324</v>
      </c>
      <c r="B3642" s="10" t="s">
        <v>25325</v>
      </c>
      <c r="C3642" s="11">
        <v>46029.506944444445</v>
      </c>
      <c r="D3642" s="12">
        <v>3.4722222222222224E-2</v>
      </c>
      <c r="E3642" s="11">
        <v>46029.541666666664</v>
      </c>
      <c r="F3642" s="22" t="s">
        <v>24700</v>
      </c>
      <c r="G3642" s="13" t="b">
        <v>0</v>
      </c>
      <c r="H3642" s="22" t="s">
        <v>21384</v>
      </c>
      <c r="I3642" s="10" t="s">
        <v>9131</v>
      </c>
      <c r="J3642" s="13" t="b">
        <v>0</v>
      </c>
      <c r="K3642" s="13" t="b">
        <v>1</v>
      </c>
      <c r="L3642" s="10" t="s">
        <v>124</v>
      </c>
      <c r="M3642" s="10" t="s">
        <v>91</v>
      </c>
      <c r="N3642" s="10" t="s">
        <v>92</v>
      </c>
      <c r="O3642" s="19" t="s">
        <v>25326</v>
      </c>
      <c r="P3642" s="10"/>
      <c r="Q3642" s="10" t="s">
        <v>126</v>
      </c>
      <c r="R3642" s="10"/>
      <c r="S3642" s="10"/>
      <c r="T3642" s="10"/>
      <c r="U3642" s="10"/>
      <c r="V3642" s="10"/>
      <c r="W3642" s="10" t="s">
        <v>24703</v>
      </c>
      <c r="X3642" s="10" t="s">
        <v>216</v>
      </c>
      <c r="Y3642" s="10" t="s">
        <v>216</v>
      </c>
      <c r="Z3642" s="10" t="s">
        <v>99</v>
      </c>
      <c r="AA3642" s="10" t="s">
        <v>131</v>
      </c>
      <c r="AB3642" s="10" t="s">
        <v>24704</v>
      </c>
      <c r="AC3642" s="10" t="s">
        <v>21389</v>
      </c>
      <c r="AD3642" s="10" t="s">
        <v>165</v>
      </c>
      <c r="AE3642" s="10" t="s">
        <v>25327</v>
      </c>
      <c r="AF3642" s="15"/>
      <c r="AG3642" s="10"/>
      <c r="AH3642" s="10"/>
      <c r="AI3642" s="10"/>
      <c r="AJ3642" s="10"/>
      <c r="AK3642" s="10" t="s">
        <v>102</v>
      </c>
      <c r="AL3642" s="10"/>
      <c r="AM3642" s="10"/>
      <c r="AN3642" s="10"/>
      <c r="AO3642" s="13" t="b">
        <v>0</v>
      </c>
      <c r="AP3642" s="22" t="s">
        <v>221</v>
      </c>
      <c r="AQ3642" s="10">
        <f ca="1">IFERROR(__xludf.DUMMYFUNCTION("""COMPUTED_VALUE"""),4832172)</f>
        <v>4832172</v>
      </c>
      <c r="AR3642" s="17">
        <v>10106</v>
      </c>
      <c r="AS3642" s="17">
        <v>6634</v>
      </c>
      <c r="AT3642" s="17">
        <v>89554</v>
      </c>
      <c r="AU3642" s="17">
        <v>24.7</v>
      </c>
      <c r="AV3642" s="17">
        <v>7.2</v>
      </c>
      <c r="AW3642" s="10" t="s">
        <v>105</v>
      </c>
      <c r="AX3642" s="17">
        <v>4044</v>
      </c>
      <c r="AY3642" s="18">
        <v>13.499246306903828</v>
      </c>
      <c r="AZ3642" s="10"/>
      <c r="BA3642" s="20" t="b">
        <v>0</v>
      </c>
      <c r="BB3642" s="10" t="s">
        <v>24788</v>
      </c>
      <c r="BC3642" s="17">
        <v>10106</v>
      </c>
      <c r="BD3642" s="17">
        <v>6634</v>
      </c>
      <c r="BE3642" s="17">
        <v>89554</v>
      </c>
      <c r="BF3642" s="17">
        <v>7.2</v>
      </c>
      <c r="BG3642" s="11">
        <f ca="1">IFERROR(__xludf.DUMMYFUNCTION("""COMPUTED_VALUE"""),46029.5069444444)</f>
        <v>46029.506944444402</v>
      </c>
      <c r="BH3642" s="17" t="s">
        <v>105</v>
      </c>
      <c r="BI3642" s="17"/>
      <c r="BJ3642" s="15"/>
      <c r="BK3642" s="15"/>
      <c r="BL3642" s="13" t="b">
        <v>0</v>
      </c>
      <c r="BM3642" s="10"/>
      <c r="BN3642" s="10" t="s">
        <v>118</v>
      </c>
      <c r="BO3642" s="11">
        <v>46028.613888888889</v>
      </c>
      <c r="BP3642" s="11">
        <v>46028.613958333335</v>
      </c>
      <c r="BQ3642" s="15"/>
      <c r="BR3642" s="15">
        <v>46028.618877314817</v>
      </c>
      <c r="BS3642" s="10" t="s">
        <v>118</v>
      </c>
      <c r="BT3642" s="10"/>
      <c r="BU3642" s="10"/>
      <c r="BV3642" s="10"/>
      <c r="BW3642" s="10"/>
      <c r="BX3642" s="10"/>
      <c r="BY3642" s="23"/>
      <c r="BZ3642" s="23"/>
      <c r="CA3642" s="10"/>
      <c r="CB3642" s="23"/>
      <c r="CC3642" s="23"/>
      <c r="CD3642" s="23"/>
      <c r="CE3642" s="23"/>
      <c r="CF3642" s="23"/>
      <c r="CG3642" s="23"/>
      <c r="CH3642" s="23"/>
      <c r="CI3642" s="23"/>
    </row>
    <row r="3643" spans="1:87" x14ac:dyDescent="0.3">
      <c r="A3643" s="9" t="s">
        <v>25328</v>
      </c>
      <c r="B3643" s="10" t="s">
        <v>25329</v>
      </c>
      <c r="C3643" s="11">
        <v>46029.541666666664</v>
      </c>
      <c r="D3643" s="12">
        <v>3.4722222222222224E-2</v>
      </c>
      <c r="E3643" s="11">
        <v>46029.576388888891</v>
      </c>
      <c r="F3643" s="22" t="s">
        <v>24700</v>
      </c>
      <c r="G3643" s="13" t="b">
        <v>0</v>
      </c>
      <c r="H3643" s="22" t="s">
        <v>21384</v>
      </c>
      <c r="I3643" s="10" t="s">
        <v>9131</v>
      </c>
      <c r="J3643" s="13" t="b">
        <v>0</v>
      </c>
      <c r="K3643" s="13" t="b">
        <v>1</v>
      </c>
      <c r="L3643" s="10" t="s">
        <v>124</v>
      </c>
      <c r="M3643" s="10" t="s">
        <v>91</v>
      </c>
      <c r="N3643" s="10" t="s">
        <v>92</v>
      </c>
      <c r="O3643" s="19" t="s">
        <v>25330</v>
      </c>
      <c r="P3643" s="10"/>
      <c r="Q3643" s="10" t="s">
        <v>126</v>
      </c>
      <c r="R3643" s="10"/>
      <c r="S3643" s="10"/>
      <c r="T3643" s="10"/>
      <c r="U3643" s="10"/>
      <c r="V3643" s="10"/>
      <c r="W3643" s="10" t="s">
        <v>24703</v>
      </c>
      <c r="X3643" s="10" t="s">
        <v>216</v>
      </c>
      <c r="Y3643" s="10" t="s">
        <v>216</v>
      </c>
      <c r="Z3643" s="10" t="s">
        <v>99</v>
      </c>
      <c r="AA3643" s="10" t="s">
        <v>131</v>
      </c>
      <c r="AB3643" s="10" t="s">
        <v>24704</v>
      </c>
      <c r="AC3643" s="10" t="s">
        <v>21389</v>
      </c>
      <c r="AD3643" s="10" t="s">
        <v>165</v>
      </c>
      <c r="AE3643" s="10" t="s">
        <v>25331</v>
      </c>
      <c r="AF3643" s="15"/>
      <c r="AG3643" s="10"/>
      <c r="AH3643" s="10"/>
      <c r="AI3643" s="10"/>
      <c r="AJ3643" s="10"/>
      <c r="AK3643" s="10" t="s">
        <v>102</v>
      </c>
      <c r="AL3643" s="10"/>
      <c r="AM3643" s="10"/>
      <c r="AN3643" s="10"/>
      <c r="AO3643" s="13" t="b">
        <v>0</v>
      </c>
      <c r="AP3643" s="22" t="s">
        <v>104</v>
      </c>
      <c r="AQ3643" s="10">
        <f ca="1">IFERROR(__xludf.DUMMYFUNCTION("""COMPUTED_VALUE"""),4832173)</f>
        <v>4832173</v>
      </c>
      <c r="AR3643" s="17">
        <v>6639</v>
      </c>
      <c r="AS3643" s="17">
        <v>4563</v>
      </c>
      <c r="AT3643" s="17">
        <v>64772.75</v>
      </c>
      <c r="AU3643" s="17">
        <v>19.350000000000001</v>
      </c>
      <c r="AV3643" s="17">
        <v>3.9</v>
      </c>
      <c r="AW3643" s="10" t="s">
        <v>105</v>
      </c>
      <c r="AX3643" s="17">
        <v>2160</v>
      </c>
      <c r="AY3643" s="18">
        <v>14.195211483673022</v>
      </c>
      <c r="AZ3643" s="10"/>
      <c r="BA3643" s="20" t="b">
        <v>0</v>
      </c>
      <c r="BB3643" s="10" t="s">
        <v>24788</v>
      </c>
      <c r="BC3643" s="17">
        <v>6639</v>
      </c>
      <c r="BD3643" s="17">
        <v>4563</v>
      </c>
      <c r="BE3643" s="17">
        <v>64772.75</v>
      </c>
      <c r="BF3643" s="17">
        <v>3.9</v>
      </c>
      <c r="BG3643" s="11">
        <f ca="1">IFERROR(__xludf.DUMMYFUNCTION("""COMPUTED_VALUE"""),46029.5416666666)</f>
        <v>46029.541666666599</v>
      </c>
      <c r="BH3643" s="17" t="s">
        <v>105</v>
      </c>
      <c r="BI3643" s="17"/>
      <c r="BJ3643" s="15"/>
      <c r="BK3643" s="15"/>
      <c r="BL3643" s="13" t="b">
        <v>0</v>
      </c>
      <c r="BM3643" s="10"/>
      <c r="BN3643" s="10" t="s">
        <v>118</v>
      </c>
      <c r="BO3643" s="11">
        <v>46028.613888888889</v>
      </c>
      <c r="BP3643" s="11">
        <v>46028.614178240743</v>
      </c>
      <c r="BQ3643" s="15"/>
      <c r="BR3643" s="15">
        <v>46028.619016203702</v>
      </c>
      <c r="BS3643" s="10" t="s">
        <v>118</v>
      </c>
      <c r="BT3643" s="10"/>
      <c r="BU3643" s="10"/>
      <c r="BV3643" s="10"/>
      <c r="BW3643" s="10"/>
      <c r="BX3643" s="10"/>
      <c r="BY3643" s="23"/>
      <c r="BZ3643" s="23"/>
      <c r="CA3643" s="10"/>
      <c r="CB3643" s="23"/>
      <c r="CC3643" s="23"/>
      <c r="CD3643" s="23"/>
      <c r="CE3643" s="23"/>
      <c r="CF3643" s="23"/>
      <c r="CG3643" s="23"/>
      <c r="CH3643" s="23"/>
      <c r="CI3643" s="23"/>
    </row>
    <row r="3644" spans="1:87" x14ac:dyDescent="0.3">
      <c r="A3644" s="9" t="s">
        <v>25332</v>
      </c>
      <c r="B3644" s="10" t="s">
        <v>25333</v>
      </c>
      <c r="C3644" s="11">
        <v>46029.333333333336</v>
      </c>
      <c r="D3644" s="12">
        <v>3.4722222222222224E-2</v>
      </c>
      <c r="E3644" s="11">
        <v>46029.368055555555</v>
      </c>
      <c r="F3644" s="22" t="s">
        <v>24700</v>
      </c>
      <c r="G3644" s="13" t="b">
        <v>0</v>
      </c>
      <c r="H3644" s="22" t="s">
        <v>21384</v>
      </c>
      <c r="I3644" s="10" t="s">
        <v>9131</v>
      </c>
      <c r="J3644" s="13" t="b">
        <v>0</v>
      </c>
      <c r="K3644" s="13" t="b">
        <v>1</v>
      </c>
      <c r="L3644" s="10" t="s">
        <v>124</v>
      </c>
      <c r="M3644" s="10" t="s">
        <v>91</v>
      </c>
      <c r="N3644" s="10" t="s">
        <v>92</v>
      </c>
      <c r="O3644" s="19" t="s">
        <v>25334</v>
      </c>
      <c r="P3644" s="10"/>
      <c r="Q3644" s="10" t="s">
        <v>126</v>
      </c>
      <c r="R3644" s="10"/>
      <c r="S3644" s="10"/>
      <c r="T3644" s="10"/>
      <c r="U3644" s="10"/>
      <c r="V3644" s="10"/>
      <c r="W3644" s="10" t="s">
        <v>24703</v>
      </c>
      <c r="X3644" s="10" t="s">
        <v>216</v>
      </c>
      <c r="Y3644" s="10" t="s">
        <v>216</v>
      </c>
      <c r="Z3644" s="10" t="s">
        <v>99</v>
      </c>
      <c r="AA3644" s="10" t="s">
        <v>131</v>
      </c>
      <c r="AB3644" s="10" t="s">
        <v>24704</v>
      </c>
      <c r="AC3644" s="10" t="s">
        <v>21389</v>
      </c>
      <c r="AD3644" s="10" t="s">
        <v>165</v>
      </c>
      <c r="AE3644" s="10" t="s">
        <v>25335</v>
      </c>
      <c r="AF3644" s="15"/>
      <c r="AG3644" s="10"/>
      <c r="AH3644" s="10"/>
      <c r="AI3644" s="10"/>
      <c r="AJ3644" s="10"/>
      <c r="AK3644" s="10" t="s">
        <v>102</v>
      </c>
      <c r="AL3644" s="10"/>
      <c r="AM3644" s="10"/>
      <c r="AN3644" s="10"/>
      <c r="AO3644" s="13" t="b">
        <v>0</v>
      </c>
      <c r="AP3644" s="22" t="s">
        <v>104</v>
      </c>
      <c r="AQ3644" s="10">
        <f ca="1">IFERROR(__xludf.DUMMYFUNCTION("""COMPUTED_VALUE"""),4832180)</f>
        <v>4832180</v>
      </c>
      <c r="AR3644" s="17">
        <v>4055</v>
      </c>
      <c r="AS3644" s="17">
        <v>2719</v>
      </c>
      <c r="AT3644" s="17">
        <v>70627.25</v>
      </c>
      <c r="AU3644" s="17">
        <v>13.85</v>
      </c>
      <c r="AV3644" s="17">
        <v>3.5</v>
      </c>
      <c r="AW3644" s="10" t="s">
        <v>105</v>
      </c>
      <c r="AX3644" s="17">
        <v>1090</v>
      </c>
      <c r="AY3644" s="18">
        <v>25.975450533284295</v>
      </c>
      <c r="AZ3644" s="10"/>
      <c r="BA3644" s="20" t="b">
        <v>0</v>
      </c>
      <c r="BB3644" s="10" t="s">
        <v>24794</v>
      </c>
      <c r="BC3644" s="17">
        <v>4055</v>
      </c>
      <c r="BD3644" s="17">
        <v>2719</v>
      </c>
      <c r="BE3644" s="17">
        <v>70627.25</v>
      </c>
      <c r="BF3644" s="17">
        <v>3.5</v>
      </c>
      <c r="BG3644" s="11">
        <f ca="1">IFERROR(__xludf.DUMMYFUNCTION("""COMPUTED_VALUE"""),46029.3333333333)</f>
        <v>46029.333333333299</v>
      </c>
      <c r="BH3644" s="17" t="s">
        <v>105</v>
      </c>
      <c r="BI3644" s="17"/>
      <c r="BJ3644" s="15"/>
      <c r="BK3644" s="15"/>
      <c r="BL3644" s="13" t="b">
        <v>0</v>
      </c>
      <c r="BM3644" s="10"/>
      <c r="BN3644" s="10" t="s">
        <v>118</v>
      </c>
      <c r="BO3644" s="11">
        <v>46028.613888888889</v>
      </c>
      <c r="BP3644" s="11">
        <v>46028.614710648151</v>
      </c>
      <c r="BQ3644" s="15"/>
      <c r="BR3644" s="15">
        <v>46028.626215277778</v>
      </c>
      <c r="BS3644" s="10" t="s">
        <v>118</v>
      </c>
      <c r="BT3644" s="10"/>
      <c r="BU3644" s="10"/>
      <c r="BV3644" s="10"/>
      <c r="BW3644" s="10"/>
      <c r="BX3644" s="10"/>
      <c r="BY3644" s="23"/>
      <c r="BZ3644" s="23"/>
      <c r="CA3644" s="10"/>
      <c r="CB3644" s="23"/>
      <c r="CC3644" s="23"/>
      <c r="CD3644" s="23"/>
      <c r="CE3644" s="23"/>
      <c r="CF3644" s="23"/>
      <c r="CG3644" s="23"/>
      <c r="CH3644" s="23"/>
      <c r="CI3644" s="23"/>
    </row>
    <row r="3645" spans="1:87" x14ac:dyDescent="0.3">
      <c r="A3645" s="9" t="s">
        <v>25336</v>
      </c>
      <c r="B3645" s="10" t="s">
        <v>25337</v>
      </c>
      <c r="C3645" s="11">
        <v>46029.576388888891</v>
      </c>
      <c r="D3645" s="12">
        <v>3.4722222222222224E-2</v>
      </c>
      <c r="E3645" s="11">
        <v>46029.611111111109</v>
      </c>
      <c r="F3645" s="22" t="s">
        <v>24700</v>
      </c>
      <c r="G3645" s="13" t="b">
        <v>0</v>
      </c>
      <c r="H3645" s="22" t="s">
        <v>21384</v>
      </c>
      <c r="I3645" s="10" t="s">
        <v>9131</v>
      </c>
      <c r="J3645" s="13" t="b">
        <v>0</v>
      </c>
      <c r="K3645" s="13" t="b">
        <v>1</v>
      </c>
      <c r="L3645" s="10" t="s">
        <v>124</v>
      </c>
      <c r="M3645" s="10" t="s">
        <v>91</v>
      </c>
      <c r="N3645" s="10" t="s">
        <v>92</v>
      </c>
      <c r="O3645" s="19" t="s">
        <v>25338</v>
      </c>
      <c r="P3645" s="10"/>
      <c r="Q3645" s="10" t="s">
        <v>126</v>
      </c>
      <c r="R3645" s="10"/>
      <c r="S3645" s="10"/>
      <c r="T3645" s="10"/>
      <c r="U3645" s="10"/>
      <c r="V3645" s="10"/>
      <c r="W3645" s="10" t="s">
        <v>24703</v>
      </c>
      <c r="X3645" s="10" t="s">
        <v>216</v>
      </c>
      <c r="Y3645" s="10" t="s">
        <v>216</v>
      </c>
      <c r="Z3645" s="10" t="s">
        <v>99</v>
      </c>
      <c r="AA3645" s="10" t="s">
        <v>131</v>
      </c>
      <c r="AB3645" s="10" t="s">
        <v>24704</v>
      </c>
      <c r="AC3645" s="10" t="s">
        <v>21389</v>
      </c>
      <c r="AD3645" s="10" t="s">
        <v>165</v>
      </c>
      <c r="AE3645" s="10" t="s">
        <v>25339</v>
      </c>
      <c r="AF3645" s="15"/>
      <c r="AG3645" s="10"/>
      <c r="AH3645" s="10"/>
      <c r="AI3645" s="10"/>
      <c r="AJ3645" s="10"/>
      <c r="AK3645" s="10" t="s">
        <v>102</v>
      </c>
      <c r="AL3645" s="10"/>
      <c r="AM3645" s="10"/>
      <c r="AN3645" s="10"/>
      <c r="AO3645" s="13" t="b">
        <v>0</v>
      </c>
      <c r="AP3645" s="22" t="s">
        <v>135</v>
      </c>
      <c r="AQ3645" s="10">
        <f ca="1">IFERROR(__xludf.DUMMYFUNCTION("""COMPUTED_VALUE"""),4832174)</f>
        <v>4832174</v>
      </c>
      <c r="AR3645" s="17">
        <v>6160</v>
      </c>
      <c r="AS3645" s="17">
        <v>4346</v>
      </c>
      <c r="AT3645" s="17">
        <v>50417.75</v>
      </c>
      <c r="AU3645" s="17">
        <v>16.45</v>
      </c>
      <c r="AV3645" s="17">
        <v>7.6</v>
      </c>
      <c r="AW3645" s="10" t="s">
        <v>105</v>
      </c>
      <c r="AX3645" s="17">
        <v>2126</v>
      </c>
      <c r="AY3645" s="18">
        <v>11.600954901058445</v>
      </c>
      <c r="AZ3645" s="10"/>
      <c r="BA3645" s="20" t="b">
        <v>0</v>
      </c>
      <c r="BB3645" s="10" t="s">
        <v>24788</v>
      </c>
      <c r="BC3645" s="17">
        <v>6160</v>
      </c>
      <c r="BD3645" s="17">
        <v>4346</v>
      </c>
      <c r="BE3645" s="17">
        <v>50417.75</v>
      </c>
      <c r="BF3645" s="17">
        <v>7.6</v>
      </c>
      <c r="BG3645" s="11">
        <f ca="1">IFERROR(__xludf.DUMMYFUNCTION("""COMPUTED_VALUE"""),46029.5763888888)</f>
        <v>46029.576388888803</v>
      </c>
      <c r="BH3645" s="17" t="s">
        <v>105</v>
      </c>
      <c r="BI3645" s="17"/>
      <c r="BJ3645" s="15"/>
      <c r="BK3645" s="15"/>
      <c r="BL3645" s="13" t="b">
        <v>0</v>
      </c>
      <c r="BM3645" s="10"/>
      <c r="BN3645" s="10" t="s">
        <v>118</v>
      </c>
      <c r="BO3645" s="11">
        <v>46028.613888888889</v>
      </c>
      <c r="BP3645" s="11">
        <v>46028.614305555559</v>
      </c>
      <c r="BQ3645" s="15"/>
      <c r="BR3645" s="15">
        <v>46028.619155092594</v>
      </c>
      <c r="BS3645" s="10" t="s">
        <v>118</v>
      </c>
      <c r="BT3645" s="10"/>
      <c r="BU3645" s="10"/>
      <c r="BV3645" s="10"/>
      <c r="BW3645" s="10"/>
      <c r="BX3645" s="10"/>
      <c r="BY3645" s="23"/>
      <c r="BZ3645" s="23"/>
      <c r="CA3645" s="10"/>
      <c r="CB3645" s="23"/>
      <c r="CC3645" s="23"/>
      <c r="CD3645" s="23"/>
      <c r="CE3645" s="23"/>
      <c r="CF3645" s="23"/>
      <c r="CG3645" s="23"/>
      <c r="CH3645" s="23"/>
      <c r="CI3645" s="23"/>
    </row>
    <row r="3646" spans="1:87" x14ac:dyDescent="0.3">
      <c r="A3646" s="9" t="s">
        <v>25340</v>
      </c>
      <c r="B3646" s="10" t="s">
        <v>25341</v>
      </c>
      <c r="C3646" s="11">
        <v>46029.368055555555</v>
      </c>
      <c r="D3646" s="12">
        <v>3.4722222222222224E-2</v>
      </c>
      <c r="E3646" s="11">
        <v>46029.402777777781</v>
      </c>
      <c r="F3646" s="22" t="s">
        <v>24700</v>
      </c>
      <c r="G3646" s="13" t="b">
        <v>0</v>
      </c>
      <c r="H3646" s="22" t="s">
        <v>21384</v>
      </c>
      <c r="I3646" s="10" t="s">
        <v>9131</v>
      </c>
      <c r="J3646" s="13" t="b">
        <v>0</v>
      </c>
      <c r="K3646" s="13" t="b">
        <v>1</v>
      </c>
      <c r="L3646" s="10" t="s">
        <v>124</v>
      </c>
      <c r="M3646" s="10" t="s">
        <v>91</v>
      </c>
      <c r="N3646" s="10" t="s">
        <v>92</v>
      </c>
      <c r="O3646" s="19" t="s">
        <v>25342</v>
      </c>
      <c r="P3646" s="10"/>
      <c r="Q3646" s="10" t="s">
        <v>126</v>
      </c>
      <c r="R3646" s="10"/>
      <c r="S3646" s="10"/>
      <c r="T3646" s="10"/>
      <c r="U3646" s="10"/>
      <c r="V3646" s="10"/>
      <c r="W3646" s="10" t="s">
        <v>24703</v>
      </c>
      <c r="X3646" s="10" t="s">
        <v>216</v>
      </c>
      <c r="Y3646" s="10" t="s">
        <v>216</v>
      </c>
      <c r="Z3646" s="10" t="s">
        <v>99</v>
      </c>
      <c r="AA3646" s="10" t="s">
        <v>131</v>
      </c>
      <c r="AB3646" s="10" t="s">
        <v>24704</v>
      </c>
      <c r="AC3646" s="10" t="s">
        <v>21389</v>
      </c>
      <c r="AD3646" s="10" t="s">
        <v>165</v>
      </c>
      <c r="AE3646" s="10" t="s">
        <v>25343</v>
      </c>
      <c r="AF3646" s="15"/>
      <c r="AG3646" s="10"/>
      <c r="AH3646" s="10"/>
      <c r="AI3646" s="10"/>
      <c r="AJ3646" s="10"/>
      <c r="AK3646" s="10" t="s">
        <v>102</v>
      </c>
      <c r="AL3646" s="10"/>
      <c r="AM3646" s="10"/>
      <c r="AN3646" s="10"/>
      <c r="AO3646" s="13" t="b">
        <v>0</v>
      </c>
      <c r="AP3646" s="22" t="s">
        <v>221</v>
      </c>
      <c r="AQ3646" s="10">
        <f ca="1">IFERROR(__xludf.DUMMYFUNCTION("""COMPUTED_VALUE"""),4832181)</f>
        <v>4832181</v>
      </c>
      <c r="AR3646" s="17">
        <v>4250</v>
      </c>
      <c r="AS3646" s="17">
        <v>2882</v>
      </c>
      <c r="AT3646" s="17">
        <v>80700</v>
      </c>
      <c r="AU3646" s="17">
        <v>19.649999999999999</v>
      </c>
      <c r="AV3646" s="17">
        <v>6</v>
      </c>
      <c r="AW3646" s="10" t="s">
        <v>105</v>
      </c>
      <c r="AX3646" s="17">
        <v>1664</v>
      </c>
      <c r="AY3646" s="18">
        <v>28.001387925052047</v>
      </c>
      <c r="AZ3646" s="10"/>
      <c r="BA3646" s="20" t="b">
        <v>0</v>
      </c>
      <c r="BB3646" s="10" t="s">
        <v>24794</v>
      </c>
      <c r="BC3646" s="17">
        <v>4250</v>
      </c>
      <c r="BD3646" s="17">
        <v>2882</v>
      </c>
      <c r="BE3646" s="17">
        <v>80700</v>
      </c>
      <c r="BF3646" s="17">
        <v>6</v>
      </c>
      <c r="BG3646" s="11">
        <f ca="1">IFERROR(__xludf.DUMMYFUNCTION("""COMPUTED_VALUE"""),46029.3680555555)</f>
        <v>46029.368055555497</v>
      </c>
      <c r="BH3646" s="17" t="s">
        <v>105</v>
      </c>
      <c r="BI3646" s="17"/>
      <c r="BJ3646" s="15"/>
      <c r="BK3646" s="15"/>
      <c r="BL3646" s="13" t="b">
        <v>0</v>
      </c>
      <c r="BM3646" s="10"/>
      <c r="BN3646" s="10" t="s">
        <v>118</v>
      </c>
      <c r="BO3646" s="11">
        <v>46028.614583333336</v>
      </c>
      <c r="BP3646" s="11">
        <v>46028.614930555559</v>
      </c>
      <c r="BQ3646" s="15"/>
      <c r="BR3646" s="15">
        <v>46028.626342592594</v>
      </c>
      <c r="BS3646" s="10" t="s">
        <v>118</v>
      </c>
      <c r="BT3646" s="10"/>
      <c r="BU3646" s="10"/>
      <c r="BV3646" s="10"/>
      <c r="BW3646" s="10"/>
      <c r="BX3646" s="10"/>
      <c r="BY3646" s="23"/>
      <c r="BZ3646" s="23"/>
      <c r="CA3646" s="10"/>
      <c r="CB3646" s="23"/>
      <c r="CC3646" s="23"/>
      <c r="CD3646" s="23"/>
      <c r="CE3646" s="23"/>
      <c r="CF3646" s="23"/>
      <c r="CG3646" s="23"/>
      <c r="CH3646" s="23"/>
      <c r="CI3646" s="23"/>
    </row>
    <row r="3647" spans="1:87" x14ac:dyDescent="0.3">
      <c r="A3647" s="9" t="s">
        <v>25344</v>
      </c>
      <c r="B3647" s="10" t="s">
        <v>25345</v>
      </c>
      <c r="C3647" s="11">
        <v>46029.611111111109</v>
      </c>
      <c r="D3647" s="12">
        <v>3.4722222222222224E-2</v>
      </c>
      <c r="E3647" s="11">
        <v>46029.645833333336</v>
      </c>
      <c r="F3647" s="22" t="s">
        <v>24700</v>
      </c>
      <c r="G3647" s="13" t="b">
        <v>0</v>
      </c>
      <c r="H3647" s="22" t="s">
        <v>21384</v>
      </c>
      <c r="I3647" s="10" t="s">
        <v>9131</v>
      </c>
      <c r="J3647" s="13" t="b">
        <v>0</v>
      </c>
      <c r="K3647" s="13" t="b">
        <v>1</v>
      </c>
      <c r="L3647" s="10" t="s">
        <v>124</v>
      </c>
      <c r="M3647" s="10" t="s">
        <v>91</v>
      </c>
      <c r="N3647" s="10" t="s">
        <v>92</v>
      </c>
      <c r="O3647" s="19" t="s">
        <v>25346</v>
      </c>
      <c r="P3647" s="10"/>
      <c r="Q3647" s="10" t="s">
        <v>126</v>
      </c>
      <c r="R3647" s="10"/>
      <c r="S3647" s="10"/>
      <c r="T3647" s="10"/>
      <c r="U3647" s="10"/>
      <c r="V3647" s="10"/>
      <c r="W3647" s="10" t="s">
        <v>24703</v>
      </c>
      <c r="X3647" s="10" t="s">
        <v>216</v>
      </c>
      <c r="Y3647" s="10" t="s">
        <v>216</v>
      </c>
      <c r="Z3647" s="10" t="s">
        <v>99</v>
      </c>
      <c r="AA3647" s="10" t="s">
        <v>131</v>
      </c>
      <c r="AB3647" s="10" t="s">
        <v>24704</v>
      </c>
      <c r="AC3647" s="10" t="s">
        <v>21389</v>
      </c>
      <c r="AD3647" s="10" t="s">
        <v>165</v>
      </c>
      <c r="AE3647" s="10" t="s">
        <v>25347</v>
      </c>
      <c r="AF3647" s="15"/>
      <c r="AG3647" s="10"/>
      <c r="AH3647" s="10"/>
      <c r="AI3647" s="10"/>
      <c r="AJ3647" s="10"/>
      <c r="AK3647" s="10" t="s">
        <v>102</v>
      </c>
      <c r="AL3647" s="10"/>
      <c r="AM3647" s="10"/>
      <c r="AN3647" s="10"/>
      <c r="AO3647" s="13" t="b">
        <v>0</v>
      </c>
      <c r="AP3647" s="22" t="s">
        <v>104</v>
      </c>
      <c r="AQ3647" s="10">
        <f ca="1">IFERROR(__xludf.DUMMYFUNCTION("""COMPUTED_VALUE"""),4832175)</f>
        <v>4832175</v>
      </c>
      <c r="AR3647" s="17">
        <v>5370</v>
      </c>
      <c r="AS3647" s="17">
        <v>3706</v>
      </c>
      <c r="AT3647" s="17">
        <v>51792</v>
      </c>
      <c r="AU3647" s="17">
        <v>14.25</v>
      </c>
      <c r="AV3647" s="17">
        <v>6</v>
      </c>
      <c r="AW3647" s="10" t="s">
        <v>105</v>
      </c>
      <c r="AX3647" s="17">
        <v>1970</v>
      </c>
      <c r="AY3647" s="18">
        <v>13.975175391257421</v>
      </c>
      <c r="AZ3647" s="10"/>
      <c r="BA3647" s="20" t="b">
        <v>0</v>
      </c>
      <c r="BB3647" s="10" t="s">
        <v>24788</v>
      </c>
      <c r="BC3647" s="17">
        <v>5370</v>
      </c>
      <c r="BD3647" s="17">
        <v>3706</v>
      </c>
      <c r="BE3647" s="17">
        <v>51792</v>
      </c>
      <c r="BF3647" s="17">
        <v>6</v>
      </c>
      <c r="BG3647" s="11">
        <f ca="1">IFERROR(__xludf.DUMMYFUNCTION("""COMPUTED_VALUE"""),46029.6111111111)</f>
        <v>46029.611111111102</v>
      </c>
      <c r="BH3647" s="17" t="s">
        <v>105</v>
      </c>
      <c r="BI3647" s="17"/>
      <c r="BJ3647" s="15"/>
      <c r="BK3647" s="15"/>
      <c r="BL3647" s="13" t="b">
        <v>0</v>
      </c>
      <c r="BM3647" s="10"/>
      <c r="BN3647" s="10" t="s">
        <v>118</v>
      </c>
      <c r="BO3647" s="11">
        <v>46028.614583333336</v>
      </c>
      <c r="BP3647" s="11">
        <v>46028.614733796298</v>
      </c>
      <c r="BQ3647" s="15"/>
      <c r="BR3647" s="15">
        <v>46028.619293981479</v>
      </c>
      <c r="BS3647" s="10" t="s">
        <v>118</v>
      </c>
      <c r="BT3647" s="10"/>
      <c r="BU3647" s="10"/>
      <c r="BV3647" s="10"/>
      <c r="BW3647" s="10"/>
      <c r="BX3647" s="10"/>
      <c r="BY3647" s="23"/>
      <c r="BZ3647" s="23"/>
      <c r="CA3647" s="10"/>
      <c r="CB3647" s="23"/>
      <c r="CC3647" s="23"/>
      <c r="CD3647" s="23"/>
      <c r="CE3647" s="23"/>
      <c r="CF3647" s="23"/>
      <c r="CG3647" s="23"/>
      <c r="CH3647" s="23"/>
      <c r="CI3647" s="23"/>
    </row>
    <row r="3648" spans="1:87" x14ac:dyDescent="0.3">
      <c r="A3648" s="9" t="s">
        <v>25348</v>
      </c>
      <c r="B3648" s="10" t="s">
        <v>25349</v>
      </c>
      <c r="C3648" s="11">
        <v>46029.402777777781</v>
      </c>
      <c r="D3648" s="12">
        <v>3.4722222222222224E-2</v>
      </c>
      <c r="E3648" s="11">
        <v>46029.4375</v>
      </c>
      <c r="F3648" s="22" t="s">
        <v>24700</v>
      </c>
      <c r="G3648" s="13" t="b">
        <v>0</v>
      </c>
      <c r="H3648" s="22" t="s">
        <v>21384</v>
      </c>
      <c r="I3648" s="10" t="s">
        <v>9131</v>
      </c>
      <c r="J3648" s="13" t="b">
        <v>0</v>
      </c>
      <c r="K3648" s="13" t="b">
        <v>1</v>
      </c>
      <c r="L3648" s="10" t="s">
        <v>124</v>
      </c>
      <c r="M3648" s="10" t="s">
        <v>91</v>
      </c>
      <c r="N3648" s="10" t="s">
        <v>92</v>
      </c>
      <c r="O3648" s="19" t="s">
        <v>25350</v>
      </c>
      <c r="P3648" s="10"/>
      <c r="Q3648" s="10" t="s">
        <v>126</v>
      </c>
      <c r="R3648" s="10"/>
      <c r="S3648" s="10"/>
      <c r="T3648" s="10"/>
      <c r="U3648" s="10"/>
      <c r="V3648" s="10"/>
      <c r="W3648" s="10" t="s">
        <v>24703</v>
      </c>
      <c r="X3648" s="10" t="s">
        <v>216</v>
      </c>
      <c r="Y3648" s="10" t="s">
        <v>216</v>
      </c>
      <c r="Z3648" s="10" t="s">
        <v>99</v>
      </c>
      <c r="AA3648" s="10" t="s">
        <v>131</v>
      </c>
      <c r="AB3648" s="10" t="s">
        <v>24704</v>
      </c>
      <c r="AC3648" s="10" t="s">
        <v>21389</v>
      </c>
      <c r="AD3648" s="10" t="s">
        <v>165</v>
      </c>
      <c r="AE3648" s="10" t="s">
        <v>25351</v>
      </c>
      <c r="AF3648" s="15"/>
      <c r="AG3648" s="10"/>
      <c r="AH3648" s="10"/>
      <c r="AI3648" s="10"/>
      <c r="AJ3648" s="10"/>
      <c r="AK3648" s="10" t="s">
        <v>102</v>
      </c>
      <c r="AL3648" s="10"/>
      <c r="AM3648" s="10"/>
      <c r="AN3648" s="10"/>
      <c r="AO3648" s="13" t="b">
        <v>0</v>
      </c>
      <c r="AP3648" s="22" t="s">
        <v>104</v>
      </c>
      <c r="AQ3648" s="10">
        <f ca="1">IFERROR(__xludf.DUMMYFUNCTION("""COMPUTED_VALUE"""),4832184)</f>
        <v>4832184</v>
      </c>
      <c r="AR3648" s="17">
        <v>11551</v>
      </c>
      <c r="AS3648" s="17">
        <v>6217</v>
      </c>
      <c r="AT3648" s="17">
        <v>187629</v>
      </c>
      <c r="AU3648" s="17">
        <v>65.25</v>
      </c>
      <c r="AV3648" s="17">
        <v>22.95</v>
      </c>
      <c r="AW3648" s="10" t="s">
        <v>105</v>
      </c>
      <c r="AX3648" s="17">
        <v>3392</v>
      </c>
      <c r="AY3648" s="18">
        <v>30.179990349042946</v>
      </c>
      <c r="AZ3648" s="10"/>
      <c r="BA3648" s="20" t="b">
        <v>0</v>
      </c>
      <c r="BB3648" s="10" t="s">
        <v>24794</v>
      </c>
      <c r="BC3648" s="17">
        <v>11551</v>
      </c>
      <c r="BD3648" s="17">
        <v>6217</v>
      </c>
      <c r="BE3648" s="17">
        <v>187629</v>
      </c>
      <c r="BF3648" s="17">
        <v>22.95</v>
      </c>
      <c r="BG3648" s="11">
        <f ca="1">IFERROR(__xludf.DUMMYFUNCTION("""COMPUTED_VALUE"""),46029.4027777777)</f>
        <v>46029.402777777701</v>
      </c>
      <c r="BH3648" s="17" t="s">
        <v>105</v>
      </c>
      <c r="BI3648" s="17"/>
      <c r="BJ3648" s="15"/>
      <c r="BK3648" s="15"/>
      <c r="BL3648" s="13" t="b">
        <v>0</v>
      </c>
      <c r="BM3648" s="10"/>
      <c r="BN3648" s="10" t="s">
        <v>118</v>
      </c>
      <c r="BO3648" s="11">
        <v>46028.614583333336</v>
      </c>
      <c r="BP3648" s="11">
        <v>46028.615046296298</v>
      </c>
      <c r="BQ3648" s="15"/>
      <c r="BR3648" s="15">
        <v>46028.626458333332</v>
      </c>
      <c r="BS3648" s="10" t="s">
        <v>118</v>
      </c>
      <c r="BT3648" s="10"/>
      <c r="BU3648" s="10"/>
      <c r="BV3648" s="10"/>
      <c r="BW3648" s="10"/>
      <c r="BX3648" s="10"/>
      <c r="BY3648" s="23"/>
      <c r="BZ3648" s="23"/>
      <c r="CA3648" s="10"/>
      <c r="CB3648" s="23"/>
      <c r="CC3648" s="23"/>
      <c r="CD3648" s="23"/>
      <c r="CE3648" s="23"/>
      <c r="CF3648" s="23"/>
      <c r="CG3648" s="23"/>
      <c r="CH3648" s="23"/>
      <c r="CI3648" s="23"/>
    </row>
    <row r="3649" spans="1:87" x14ac:dyDescent="0.3">
      <c r="A3649" s="9" t="s">
        <v>25352</v>
      </c>
      <c r="B3649" s="10" t="s">
        <v>25353</v>
      </c>
      <c r="C3649" s="11">
        <v>46029.645833333336</v>
      </c>
      <c r="D3649" s="12">
        <v>3.4722222222222224E-2</v>
      </c>
      <c r="E3649" s="11">
        <v>46029.680555555555</v>
      </c>
      <c r="F3649" s="22" t="s">
        <v>24700</v>
      </c>
      <c r="G3649" s="13" t="b">
        <v>0</v>
      </c>
      <c r="H3649" s="22" t="s">
        <v>21384</v>
      </c>
      <c r="I3649" s="10" t="s">
        <v>9131</v>
      </c>
      <c r="J3649" s="13" t="b">
        <v>0</v>
      </c>
      <c r="K3649" s="13" t="b">
        <v>1</v>
      </c>
      <c r="L3649" s="10" t="s">
        <v>358</v>
      </c>
      <c r="M3649" s="10" t="s">
        <v>91</v>
      </c>
      <c r="N3649" s="10" t="s">
        <v>92</v>
      </c>
      <c r="O3649" s="19" t="s">
        <v>25354</v>
      </c>
      <c r="P3649" s="10"/>
      <c r="Q3649" s="10" t="s">
        <v>126</v>
      </c>
      <c r="R3649" s="10"/>
      <c r="S3649" s="10"/>
      <c r="T3649" s="10"/>
      <c r="U3649" s="10"/>
      <c r="V3649" s="10"/>
      <c r="W3649" s="10" t="s">
        <v>24703</v>
      </c>
      <c r="X3649" s="10" t="s">
        <v>216</v>
      </c>
      <c r="Y3649" s="10" t="s">
        <v>216</v>
      </c>
      <c r="Z3649" s="10" t="s">
        <v>99</v>
      </c>
      <c r="AA3649" s="10" t="s">
        <v>131</v>
      </c>
      <c r="AB3649" s="10" t="s">
        <v>24704</v>
      </c>
      <c r="AC3649" s="10" t="s">
        <v>21389</v>
      </c>
      <c r="AD3649" s="10" t="s">
        <v>165</v>
      </c>
      <c r="AE3649" s="10" t="s">
        <v>25355</v>
      </c>
      <c r="AF3649" s="15"/>
      <c r="AG3649" s="10"/>
      <c r="AH3649" s="10"/>
      <c r="AI3649" s="10"/>
      <c r="AJ3649" s="10"/>
      <c r="AK3649" s="10" t="s">
        <v>102</v>
      </c>
      <c r="AL3649" s="10"/>
      <c r="AM3649" s="10"/>
      <c r="AN3649" s="10"/>
      <c r="AO3649" s="13" t="b">
        <v>0</v>
      </c>
      <c r="AP3649" s="22" t="s">
        <v>104</v>
      </c>
      <c r="AQ3649" s="10">
        <f ca="1">IFERROR(__xludf.DUMMYFUNCTION("""COMPUTED_VALUE"""),4832176)</f>
        <v>4832176</v>
      </c>
      <c r="AR3649" s="17">
        <v>32298</v>
      </c>
      <c r="AS3649" s="17">
        <v>15993</v>
      </c>
      <c r="AT3649" s="17">
        <v>355415.25</v>
      </c>
      <c r="AU3649" s="17">
        <v>189.9</v>
      </c>
      <c r="AV3649" s="17">
        <v>47.7</v>
      </c>
      <c r="AW3649" s="10" t="s">
        <v>105</v>
      </c>
      <c r="AX3649" s="17">
        <v>9534</v>
      </c>
      <c r="AY3649" s="18">
        <v>22.223175764396924</v>
      </c>
      <c r="AZ3649" s="10"/>
      <c r="BA3649" s="20" t="b">
        <v>0</v>
      </c>
      <c r="BB3649" s="10" t="s">
        <v>24788</v>
      </c>
      <c r="BC3649" s="17">
        <v>32298</v>
      </c>
      <c r="BD3649" s="17">
        <v>15993</v>
      </c>
      <c r="BE3649" s="17">
        <v>355415.25</v>
      </c>
      <c r="BF3649" s="17">
        <v>47.7</v>
      </c>
      <c r="BG3649" s="11">
        <f ca="1">IFERROR(__xludf.DUMMYFUNCTION("""COMPUTED_VALUE"""),46029.6458333333)</f>
        <v>46029.645833333299</v>
      </c>
      <c r="BH3649" s="17" t="s">
        <v>105</v>
      </c>
      <c r="BI3649" s="17"/>
      <c r="BJ3649" s="15"/>
      <c r="BK3649" s="15"/>
      <c r="BL3649" s="13" t="b">
        <v>0</v>
      </c>
      <c r="BM3649" s="10"/>
      <c r="BN3649" s="10" t="s">
        <v>118</v>
      </c>
      <c r="BO3649" s="11">
        <v>46028.614583333336</v>
      </c>
      <c r="BP3649" s="11">
        <v>46028.614861111113</v>
      </c>
      <c r="BQ3649" s="15"/>
      <c r="BR3649" s="15">
        <v>46028.620648148149</v>
      </c>
      <c r="BS3649" s="10" t="s">
        <v>118</v>
      </c>
      <c r="BT3649" s="10"/>
      <c r="BU3649" s="10"/>
      <c r="BV3649" s="10"/>
      <c r="BW3649" s="10"/>
      <c r="BX3649" s="10"/>
      <c r="BY3649" s="23"/>
      <c r="BZ3649" s="23"/>
      <c r="CA3649" s="10"/>
      <c r="CB3649" s="23"/>
      <c r="CC3649" s="23"/>
      <c r="CD3649" s="23"/>
      <c r="CE3649" s="23"/>
      <c r="CF3649" s="23"/>
      <c r="CG3649" s="23"/>
      <c r="CH3649" s="23"/>
      <c r="CI3649" s="23"/>
    </row>
    <row r="3650" spans="1:87" x14ac:dyDescent="0.3">
      <c r="A3650" s="9" t="s">
        <v>25356</v>
      </c>
      <c r="B3650" s="10" t="s">
        <v>25357</v>
      </c>
      <c r="C3650" s="11">
        <v>46029.4375</v>
      </c>
      <c r="D3650" s="12">
        <v>3.4722222222222224E-2</v>
      </c>
      <c r="E3650" s="11">
        <v>46029.472222222219</v>
      </c>
      <c r="F3650" s="22" t="s">
        <v>24700</v>
      </c>
      <c r="G3650" s="13" t="b">
        <v>0</v>
      </c>
      <c r="H3650" s="22" t="s">
        <v>21384</v>
      </c>
      <c r="I3650" s="10" t="s">
        <v>9131</v>
      </c>
      <c r="J3650" s="13" t="b">
        <v>0</v>
      </c>
      <c r="K3650" s="13" t="b">
        <v>1</v>
      </c>
      <c r="L3650" s="10" t="s">
        <v>124</v>
      </c>
      <c r="M3650" s="10" t="s">
        <v>91</v>
      </c>
      <c r="N3650" s="10" t="s">
        <v>92</v>
      </c>
      <c r="O3650" s="19" t="s">
        <v>25358</v>
      </c>
      <c r="P3650" s="10"/>
      <c r="Q3650" s="10" t="s">
        <v>126</v>
      </c>
      <c r="R3650" s="10"/>
      <c r="S3650" s="10"/>
      <c r="T3650" s="10"/>
      <c r="U3650" s="10"/>
      <c r="V3650" s="10"/>
      <c r="W3650" s="10" t="s">
        <v>24703</v>
      </c>
      <c r="X3650" s="10" t="s">
        <v>216</v>
      </c>
      <c r="Y3650" s="10" t="s">
        <v>216</v>
      </c>
      <c r="Z3650" s="10" t="s">
        <v>99</v>
      </c>
      <c r="AA3650" s="10" t="s">
        <v>131</v>
      </c>
      <c r="AB3650" s="10" t="s">
        <v>24704</v>
      </c>
      <c r="AC3650" s="10" t="s">
        <v>21389</v>
      </c>
      <c r="AD3650" s="10" t="s">
        <v>165</v>
      </c>
      <c r="AE3650" s="10" t="s">
        <v>25359</v>
      </c>
      <c r="AF3650" s="15"/>
      <c r="AG3650" s="10"/>
      <c r="AH3650" s="10"/>
      <c r="AI3650" s="10"/>
      <c r="AJ3650" s="10"/>
      <c r="AK3650" s="10" t="s">
        <v>102</v>
      </c>
      <c r="AL3650" s="10"/>
      <c r="AM3650" s="10"/>
      <c r="AN3650" s="10"/>
      <c r="AO3650" s="13" t="b">
        <v>0</v>
      </c>
      <c r="AP3650" s="22" t="s">
        <v>135</v>
      </c>
      <c r="AQ3650" s="10">
        <f ca="1">IFERROR(__xludf.DUMMYFUNCTION("""COMPUTED_VALUE"""),4832182)</f>
        <v>4832182</v>
      </c>
      <c r="AR3650" s="17">
        <v>7224</v>
      </c>
      <c r="AS3650" s="17">
        <v>4488</v>
      </c>
      <c r="AT3650" s="17">
        <v>72808.25</v>
      </c>
      <c r="AU3650" s="17">
        <v>16.7</v>
      </c>
      <c r="AV3650" s="17">
        <v>5</v>
      </c>
      <c r="AW3650" s="10" t="s">
        <v>105</v>
      </c>
      <c r="AX3650" s="17">
        <v>3392</v>
      </c>
      <c r="AY3650" s="18">
        <v>16.222872103386809</v>
      </c>
      <c r="AZ3650" s="10"/>
      <c r="BA3650" s="20" t="b">
        <v>0</v>
      </c>
      <c r="BB3650" s="10" t="s">
        <v>24794</v>
      </c>
      <c r="BC3650" s="17">
        <v>7224</v>
      </c>
      <c r="BD3650" s="17">
        <v>4488</v>
      </c>
      <c r="BE3650" s="17">
        <v>72808.25</v>
      </c>
      <c r="BF3650" s="17">
        <v>5</v>
      </c>
      <c r="BG3650" s="11">
        <f ca="1">IFERROR(__xludf.DUMMYFUNCTION("""COMPUTED_VALUE"""),46029.4375)</f>
        <v>46029.4375</v>
      </c>
      <c r="BH3650" s="17" t="s">
        <v>105</v>
      </c>
      <c r="BI3650" s="17"/>
      <c r="BJ3650" s="15"/>
      <c r="BK3650" s="15"/>
      <c r="BL3650" s="13" t="b">
        <v>0</v>
      </c>
      <c r="BM3650" s="10"/>
      <c r="BN3650" s="10" t="s">
        <v>118</v>
      </c>
      <c r="BO3650" s="11">
        <v>46028.614583333336</v>
      </c>
      <c r="BP3650" s="11">
        <v>46028.615127314813</v>
      </c>
      <c r="BQ3650" s="15"/>
      <c r="BR3650" s="15">
        <v>46028.626585648148</v>
      </c>
      <c r="BS3650" s="10" t="s">
        <v>118</v>
      </c>
      <c r="BT3650" s="10"/>
      <c r="BU3650" s="10"/>
      <c r="BV3650" s="10"/>
      <c r="BW3650" s="10"/>
      <c r="BX3650" s="10"/>
      <c r="BY3650" s="23"/>
      <c r="BZ3650" s="23"/>
      <c r="CA3650" s="10"/>
      <c r="CB3650" s="23"/>
      <c r="CC3650" s="23"/>
      <c r="CD3650" s="23"/>
      <c r="CE3650" s="23"/>
      <c r="CF3650" s="23"/>
      <c r="CG3650" s="23"/>
      <c r="CH3650" s="23"/>
      <c r="CI3650" s="23"/>
    </row>
    <row r="3651" spans="1:87" x14ac:dyDescent="0.3">
      <c r="A3651" s="9" t="s">
        <v>25360</v>
      </c>
      <c r="B3651" s="10" t="s">
        <v>25361</v>
      </c>
      <c r="C3651" s="11">
        <v>46029.680555555555</v>
      </c>
      <c r="D3651" s="12">
        <v>3.4722222222222224E-2</v>
      </c>
      <c r="E3651" s="11">
        <v>46029.715277777781</v>
      </c>
      <c r="F3651" s="22" t="s">
        <v>24700</v>
      </c>
      <c r="G3651" s="13" t="b">
        <v>0</v>
      </c>
      <c r="H3651" s="22" t="s">
        <v>21384</v>
      </c>
      <c r="I3651" s="10" t="s">
        <v>9131</v>
      </c>
      <c r="J3651" s="13" t="b">
        <v>0</v>
      </c>
      <c r="K3651" s="13" t="b">
        <v>1</v>
      </c>
      <c r="L3651" s="10" t="s">
        <v>124</v>
      </c>
      <c r="M3651" s="10" t="s">
        <v>91</v>
      </c>
      <c r="N3651" s="10" t="s">
        <v>92</v>
      </c>
      <c r="O3651" s="19" t="s">
        <v>25362</v>
      </c>
      <c r="P3651" s="10"/>
      <c r="Q3651" s="10" t="s">
        <v>126</v>
      </c>
      <c r="R3651" s="10"/>
      <c r="S3651" s="10"/>
      <c r="T3651" s="10"/>
      <c r="U3651" s="10"/>
      <c r="V3651" s="10"/>
      <c r="W3651" s="10" t="s">
        <v>24703</v>
      </c>
      <c r="X3651" s="10" t="s">
        <v>216</v>
      </c>
      <c r="Y3651" s="10" t="s">
        <v>216</v>
      </c>
      <c r="Z3651" s="10" t="s">
        <v>99</v>
      </c>
      <c r="AA3651" s="10" t="s">
        <v>131</v>
      </c>
      <c r="AB3651" s="10" t="s">
        <v>24704</v>
      </c>
      <c r="AC3651" s="10" t="s">
        <v>21389</v>
      </c>
      <c r="AD3651" s="10" t="s">
        <v>165</v>
      </c>
      <c r="AE3651" s="10" t="s">
        <v>25363</v>
      </c>
      <c r="AF3651" s="15"/>
      <c r="AG3651" s="10"/>
      <c r="AH3651" s="10"/>
      <c r="AI3651" s="10"/>
      <c r="AJ3651" s="10"/>
      <c r="AK3651" s="10" t="s">
        <v>102</v>
      </c>
      <c r="AL3651" s="10"/>
      <c r="AM3651" s="10"/>
      <c r="AN3651" s="10"/>
      <c r="AO3651" s="13" t="b">
        <v>0</v>
      </c>
      <c r="AP3651" s="22" t="s">
        <v>221</v>
      </c>
      <c r="AQ3651" s="10">
        <f ca="1">IFERROR(__xludf.DUMMYFUNCTION("""COMPUTED_VALUE"""),4832177)</f>
        <v>4832177</v>
      </c>
      <c r="AR3651" s="17">
        <v>6915</v>
      </c>
      <c r="AS3651" s="17">
        <v>5199</v>
      </c>
      <c r="AT3651" s="17">
        <v>27313</v>
      </c>
      <c r="AU3651" s="17">
        <v>15.9</v>
      </c>
      <c r="AV3651" s="17">
        <v>5.45</v>
      </c>
      <c r="AW3651" s="10" t="s">
        <v>105</v>
      </c>
      <c r="AX3651" s="17">
        <v>9534</v>
      </c>
      <c r="AY3651" s="18">
        <v>5.2535102904404694</v>
      </c>
      <c r="AZ3651" s="10"/>
      <c r="BA3651" s="20" t="b">
        <v>0</v>
      </c>
      <c r="BB3651" s="10" t="s">
        <v>24788</v>
      </c>
      <c r="BC3651" s="17">
        <v>6915</v>
      </c>
      <c r="BD3651" s="17">
        <v>5199</v>
      </c>
      <c r="BE3651" s="17">
        <v>27313</v>
      </c>
      <c r="BF3651" s="17">
        <v>5.45</v>
      </c>
      <c r="BG3651" s="11">
        <f ca="1">IFERROR(__xludf.DUMMYFUNCTION("""COMPUTED_VALUE"""),46029.6805555555)</f>
        <v>46029.680555555497</v>
      </c>
      <c r="BH3651" s="17" t="s">
        <v>105</v>
      </c>
      <c r="BI3651" s="17"/>
      <c r="BJ3651" s="15"/>
      <c r="BK3651" s="15"/>
      <c r="BL3651" s="13" t="b">
        <v>0</v>
      </c>
      <c r="BM3651" s="10"/>
      <c r="BN3651" s="10" t="s">
        <v>118</v>
      </c>
      <c r="BO3651" s="11">
        <v>46028.614583333336</v>
      </c>
      <c r="BP3651" s="11">
        <v>46028.615034722221</v>
      </c>
      <c r="BQ3651" s="15"/>
      <c r="BR3651" s="15">
        <v>46028.620775462965</v>
      </c>
      <c r="BS3651" s="10" t="s">
        <v>118</v>
      </c>
      <c r="BT3651" s="10"/>
      <c r="BU3651" s="10"/>
      <c r="BV3651" s="10"/>
      <c r="BW3651" s="10"/>
      <c r="BX3651" s="10"/>
      <c r="BY3651" s="23"/>
      <c r="BZ3651" s="23"/>
      <c r="CA3651" s="10"/>
      <c r="CB3651" s="23"/>
      <c r="CC3651" s="23"/>
      <c r="CD3651" s="23"/>
      <c r="CE3651" s="23"/>
      <c r="CF3651" s="23"/>
      <c r="CG3651" s="23"/>
      <c r="CH3651" s="23"/>
      <c r="CI3651" s="23"/>
    </row>
    <row r="3652" spans="1:87" x14ac:dyDescent="0.3">
      <c r="A3652" s="9" t="s">
        <v>25364</v>
      </c>
      <c r="B3652" s="10" t="s">
        <v>25365</v>
      </c>
      <c r="C3652" s="11">
        <v>46029.472222222219</v>
      </c>
      <c r="D3652" s="12">
        <v>3.4722222222222224E-2</v>
      </c>
      <c r="E3652" s="11">
        <v>46029.506944444445</v>
      </c>
      <c r="F3652" s="22" t="s">
        <v>24700</v>
      </c>
      <c r="G3652" s="13" t="b">
        <v>0</v>
      </c>
      <c r="H3652" s="22" t="s">
        <v>21384</v>
      </c>
      <c r="I3652" s="10" t="s">
        <v>9131</v>
      </c>
      <c r="J3652" s="13" t="b">
        <v>0</v>
      </c>
      <c r="K3652" s="13" t="b">
        <v>1</v>
      </c>
      <c r="L3652" s="10" t="s">
        <v>124</v>
      </c>
      <c r="M3652" s="10" t="s">
        <v>91</v>
      </c>
      <c r="N3652" s="10" t="s">
        <v>92</v>
      </c>
      <c r="O3652" s="19" t="s">
        <v>25366</v>
      </c>
      <c r="P3652" s="10"/>
      <c r="Q3652" s="10" t="s">
        <v>126</v>
      </c>
      <c r="R3652" s="10"/>
      <c r="S3652" s="10"/>
      <c r="T3652" s="10"/>
      <c r="U3652" s="10"/>
      <c r="V3652" s="10"/>
      <c r="W3652" s="10" t="s">
        <v>24703</v>
      </c>
      <c r="X3652" s="10" t="s">
        <v>216</v>
      </c>
      <c r="Y3652" s="10" t="s">
        <v>216</v>
      </c>
      <c r="Z3652" s="10" t="s">
        <v>99</v>
      </c>
      <c r="AA3652" s="10" t="s">
        <v>131</v>
      </c>
      <c r="AB3652" s="10" t="s">
        <v>24704</v>
      </c>
      <c r="AC3652" s="10" t="s">
        <v>21389</v>
      </c>
      <c r="AD3652" s="10" t="s">
        <v>165</v>
      </c>
      <c r="AE3652" s="10" t="s">
        <v>25367</v>
      </c>
      <c r="AF3652" s="15"/>
      <c r="AG3652" s="10"/>
      <c r="AH3652" s="10"/>
      <c r="AI3652" s="10"/>
      <c r="AJ3652" s="10"/>
      <c r="AK3652" s="10" t="s">
        <v>102</v>
      </c>
      <c r="AL3652" s="10"/>
      <c r="AM3652" s="10"/>
      <c r="AN3652" s="10"/>
      <c r="AO3652" s="13" t="b">
        <v>0</v>
      </c>
      <c r="AP3652" s="22" t="s">
        <v>104</v>
      </c>
      <c r="AQ3652" s="10">
        <f ca="1">IFERROR(__xludf.DUMMYFUNCTION("""COMPUTED_VALUE"""),4832183)</f>
        <v>4832183</v>
      </c>
      <c r="AR3652" s="17">
        <v>29773</v>
      </c>
      <c r="AS3652" s="17">
        <v>15066</v>
      </c>
      <c r="AT3652" s="17">
        <v>504720.5</v>
      </c>
      <c r="AU3652" s="17">
        <v>204.55</v>
      </c>
      <c r="AV3652" s="17">
        <v>55.6</v>
      </c>
      <c r="AW3652" s="10" t="s">
        <v>105</v>
      </c>
      <c r="AX3652" s="17">
        <v>10072</v>
      </c>
      <c r="AY3652" s="18">
        <v>33.500630558874285</v>
      </c>
      <c r="AZ3652" s="10"/>
      <c r="BA3652" s="20" t="b">
        <v>0</v>
      </c>
      <c r="BB3652" s="10" t="s">
        <v>24794</v>
      </c>
      <c r="BC3652" s="17">
        <v>29773</v>
      </c>
      <c r="BD3652" s="17">
        <v>15066</v>
      </c>
      <c r="BE3652" s="17">
        <v>504720.5</v>
      </c>
      <c r="BF3652" s="17">
        <v>55.6</v>
      </c>
      <c r="BG3652" s="11">
        <f ca="1">IFERROR(__xludf.DUMMYFUNCTION("""COMPUTED_VALUE"""),46029.4722222222)</f>
        <v>46029.472222222197</v>
      </c>
      <c r="BH3652" s="17" t="s">
        <v>105</v>
      </c>
      <c r="BI3652" s="17"/>
      <c r="BJ3652" s="15"/>
      <c r="BK3652" s="15"/>
      <c r="BL3652" s="13" t="b">
        <v>0</v>
      </c>
      <c r="BM3652" s="10"/>
      <c r="BN3652" s="10" t="s">
        <v>118</v>
      </c>
      <c r="BO3652" s="11">
        <v>46028.614583333336</v>
      </c>
      <c r="BP3652" s="11">
        <v>46028.615219907406</v>
      </c>
      <c r="BQ3652" s="15"/>
      <c r="BR3652" s="15">
        <v>46028.626701388886</v>
      </c>
      <c r="BS3652" s="10" t="s">
        <v>118</v>
      </c>
      <c r="BT3652" s="10" t="s">
        <v>99</v>
      </c>
      <c r="BU3652" s="10"/>
      <c r="BV3652" s="10"/>
      <c r="BW3652" s="10"/>
      <c r="BX3652" s="10"/>
      <c r="BY3652" s="23"/>
      <c r="BZ3652" s="23"/>
      <c r="CA3652" s="10"/>
      <c r="CB3652" s="23"/>
      <c r="CC3652" s="23"/>
      <c r="CD3652" s="23"/>
      <c r="CE3652" s="23"/>
      <c r="CF3652" s="23"/>
      <c r="CG3652" s="23"/>
      <c r="CH3652" s="23"/>
      <c r="CI3652" s="23"/>
    </row>
    <row r="3653" spans="1:87" x14ac:dyDescent="0.3">
      <c r="A3653" s="9" t="s">
        <v>25368</v>
      </c>
      <c r="B3653" s="10" t="s">
        <v>25369</v>
      </c>
      <c r="C3653" s="11">
        <v>46029.506944444445</v>
      </c>
      <c r="D3653" s="12">
        <v>3.4722222222222224E-2</v>
      </c>
      <c r="E3653" s="11">
        <v>46029.541666666664</v>
      </c>
      <c r="F3653" s="22" t="s">
        <v>24700</v>
      </c>
      <c r="G3653" s="13" t="b">
        <v>0</v>
      </c>
      <c r="H3653" s="22" t="s">
        <v>21384</v>
      </c>
      <c r="I3653" s="10" t="s">
        <v>9131</v>
      </c>
      <c r="J3653" s="13" t="b">
        <v>0</v>
      </c>
      <c r="K3653" s="13" t="b">
        <v>1</v>
      </c>
      <c r="L3653" s="10" t="s">
        <v>124</v>
      </c>
      <c r="M3653" s="10" t="s">
        <v>91</v>
      </c>
      <c r="N3653" s="10" t="s">
        <v>92</v>
      </c>
      <c r="O3653" s="19" t="s">
        <v>25370</v>
      </c>
      <c r="P3653" s="10"/>
      <c r="Q3653" s="10" t="s">
        <v>126</v>
      </c>
      <c r="R3653" s="10"/>
      <c r="S3653" s="10"/>
      <c r="T3653" s="10"/>
      <c r="U3653" s="10"/>
      <c r="V3653" s="10"/>
      <c r="W3653" s="10" t="s">
        <v>24703</v>
      </c>
      <c r="X3653" s="10" t="s">
        <v>216</v>
      </c>
      <c r="Y3653" s="10" t="s">
        <v>216</v>
      </c>
      <c r="Z3653" s="10" t="s">
        <v>99</v>
      </c>
      <c r="AA3653" s="10" t="s">
        <v>131</v>
      </c>
      <c r="AB3653" s="10" t="s">
        <v>24704</v>
      </c>
      <c r="AC3653" s="10" t="s">
        <v>21389</v>
      </c>
      <c r="AD3653" s="10" t="s">
        <v>165</v>
      </c>
      <c r="AE3653" s="10" t="s">
        <v>25371</v>
      </c>
      <c r="AF3653" s="15"/>
      <c r="AG3653" s="10"/>
      <c r="AH3653" s="10"/>
      <c r="AI3653" s="10"/>
      <c r="AJ3653" s="10"/>
      <c r="AK3653" s="10" t="s">
        <v>102</v>
      </c>
      <c r="AL3653" s="10"/>
      <c r="AM3653" s="10"/>
      <c r="AN3653" s="10"/>
      <c r="AO3653" s="13" t="b">
        <v>0</v>
      </c>
      <c r="AP3653" s="22" t="s">
        <v>104</v>
      </c>
      <c r="AQ3653" s="10">
        <f ca="1">IFERROR(__xludf.DUMMYFUNCTION("""COMPUTED_VALUE"""),4832185)</f>
        <v>4832185</v>
      </c>
      <c r="AR3653" s="17">
        <v>8228</v>
      </c>
      <c r="AS3653" s="17">
        <v>5176</v>
      </c>
      <c r="AT3653" s="17">
        <v>91143</v>
      </c>
      <c r="AU3653" s="17">
        <v>19.899999999999999</v>
      </c>
      <c r="AV3653" s="17">
        <v>5.95</v>
      </c>
      <c r="AW3653" s="10" t="s">
        <v>105</v>
      </c>
      <c r="AX3653" s="17">
        <v>10106</v>
      </c>
      <c r="AY3653" s="18">
        <v>17.608771251931994</v>
      </c>
      <c r="AZ3653" s="10"/>
      <c r="BA3653" s="20" t="b">
        <v>0</v>
      </c>
      <c r="BB3653" s="10" t="s">
        <v>24794</v>
      </c>
      <c r="BC3653" s="17">
        <v>8228</v>
      </c>
      <c r="BD3653" s="17">
        <v>5176</v>
      </c>
      <c r="BE3653" s="17">
        <v>91143</v>
      </c>
      <c r="BF3653" s="17">
        <v>5.95</v>
      </c>
      <c r="BG3653" s="11">
        <f ca="1">IFERROR(__xludf.DUMMYFUNCTION("""COMPUTED_VALUE"""),46029.5069444444)</f>
        <v>46029.506944444402</v>
      </c>
      <c r="BH3653" s="17" t="s">
        <v>105</v>
      </c>
      <c r="BI3653" s="17"/>
      <c r="BJ3653" s="15"/>
      <c r="BK3653" s="15"/>
      <c r="BL3653" s="13" t="b">
        <v>0</v>
      </c>
      <c r="BM3653" s="10"/>
      <c r="BN3653" s="10" t="s">
        <v>118</v>
      </c>
      <c r="BO3653" s="11">
        <v>46028.615277777775</v>
      </c>
      <c r="BP3653" s="11">
        <v>46028.615416666667</v>
      </c>
      <c r="BQ3653" s="15"/>
      <c r="BR3653" s="15">
        <v>46028.626851851855</v>
      </c>
      <c r="BS3653" s="10" t="s">
        <v>118</v>
      </c>
      <c r="BT3653" s="10"/>
      <c r="BU3653" s="10"/>
      <c r="BV3653" s="10"/>
      <c r="BW3653" s="10"/>
      <c r="BX3653" s="10"/>
      <c r="BY3653" s="23"/>
      <c r="BZ3653" s="23"/>
      <c r="CA3653" s="10"/>
      <c r="CB3653" s="23"/>
      <c r="CC3653" s="23"/>
      <c r="CD3653" s="23"/>
      <c r="CE3653" s="23"/>
      <c r="CF3653" s="23"/>
      <c r="CG3653" s="23"/>
      <c r="CH3653" s="23"/>
      <c r="CI3653" s="23"/>
    </row>
    <row r="3654" spans="1:87" x14ac:dyDescent="0.3">
      <c r="A3654" s="25" t="s">
        <v>25372</v>
      </c>
      <c r="B3654" s="10" t="s">
        <v>25373</v>
      </c>
      <c r="C3654" s="11">
        <v>46029.715277777781</v>
      </c>
      <c r="D3654" s="12">
        <v>3.4722222222222224E-2</v>
      </c>
      <c r="E3654" s="11">
        <v>46029.75</v>
      </c>
      <c r="F3654" s="22" t="s">
        <v>24700</v>
      </c>
      <c r="G3654" s="13" t="b">
        <v>0</v>
      </c>
      <c r="H3654" s="22" t="s">
        <v>21384</v>
      </c>
      <c r="I3654" s="10" t="s">
        <v>9131</v>
      </c>
      <c r="J3654" s="13" t="b">
        <v>0</v>
      </c>
      <c r="K3654" s="13" t="b">
        <v>1</v>
      </c>
      <c r="L3654" s="10" t="s">
        <v>124</v>
      </c>
      <c r="M3654" s="10" t="s">
        <v>91</v>
      </c>
      <c r="N3654" s="10" t="s">
        <v>92</v>
      </c>
      <c r="O3654" s="19" t="s">
        <v>25374</v>
      </c>
      <c r="P3654" s="10"/>
      <c r="Q3654" s="10" t="s">
        <v>126</v>
      </c>
      <c r="R3654" s="10"/>
      <c r="S3654" s="10"/>
      <c r="T3654" s="10"/>
      <c r="U3654" s="10"/>
      <c r="V3654" s="10"/>
      <c r="W3654" s="10" t="s">
        <v>24703</v>
      </c>
      <c r="X3654" s="10" t="s">
        <v>216</v>
      </c>
      <c r="Y3654" s="10" t="s">
        <v>216</v>
      </c>
      <c r="Z3654" s="10" t="s">
        <v>99</v>
      </c>
      <c r="AA3654" s="10" t="s">
        <v>131</v>
      </c>
      <c r="AB3654" s="10" t="s">
        <v>24704</v>
      </c>
      <c r="AC3654" s="10" t="s">
        <v>21389</v>
      </c>
      <c r="AD3654" s="10" t="s">
        <v>165</v>
      </c>
      <c r="AE3654" s="10" t="s">
        <v>25375</v>
      </c>
      <c r="AF3654" s="15"/>
      <c r="AG3654" s="10"/>
      <c r="AH3654" s="10"/>
      <c r="AI3654" s="10"/>
      <c r="AJ3654" s="10"/>
      <c r="AK3654" s="10" t="s">
        <v>102</v>
      </c>
      <c r="AL3654" s="10"/>
      <c r="AM3654" s="10"/>
      <c r="AN3654" s="10"/>
      <c r="AO3654" s="13" t="b">
        <v>0</v>
      </c>
      <c r="AP3654" s="22" t="s">
        <v>135</v>
      </c>
      <c r="AQ3654" s="10">
        <f ca="1">IFERROR(__xludf.DUMMYFUNCTION("""COMPUTED_VALUE"""),4832178)</f>
        <v>4832178</v>
      </c>
      <c r="AR3654" s="17"/>
      <c r="AS3654" s="17"/>
      <c r="AT3654" s="17"/>
      <c r="AU3654" s="17"/>
      <c r="AV3654" s="17"/>
      <c r="AW3654" s="10"/>
      <c r="AX3654" s="17"/>
      <c r="AY3654" s="18" t="s">
        <v>257</v>
      </c>
      <c r="AZ3654" s="10"/>
      <c r="BA3654" s="20" t="b">
        <v>0</v>
      </c>
      <c r="BB3654" s="10" t="s">
        <v>24788</v>
      </c>
      <c r="BC3654" s="17" t="s">
        <v>257</v>
      </c>
      <c r="BD3654" s="17" t="s">
        <v>257</v>
      </c>
      <c r="BE3654" s="17" t="s">
        <v>257</v>
      </c>
      <c r="BF3654" s="17" t="s">
        <v>257</v>
      </c>
      <c r="BG3654" s="11">
        <f ca="1">IFERROR(__xludf.DUMMYFUNCTION("""COMPUTED_VALUE"""),46029.7152777777)</f>
        <v>46029.715277777701</v>
      </c>
      <c r="BH3654" s="17"/>
      <c r="BI3654" s="17"/>
      <c r="BJ3654" s="15"/>
      <c r="BK3654" s="15"/>
      <c r="BL3654" s="13" t="b">
        <v>0</v>
      </c>
      <c r="BM3654" s="10"/>
      <c r="BN3654" s="10" t="s">
        <v>118</v>
      </c>
      <c r="BO3654" s="11">
        <v>46028.614583333336</v>
      </c>
      <c r="BP3654" s="11">
        <v>46028.61513888889</v>
      </c>
      <c r="BQ3654" s="15"/>
      <c r="BR3654" s="15">
        <v>46028.62090277778</v>
      </c>
      <c r="BS3654" s="10" t="s">
        <v>118</v>
      </c>
      <c r="BT3654" s="10"/>
      <c r="BU3654" s="10"/>
      <c r="BV3654" s="10"/>
      <c r="BW3654" s="10"/>
      <c r="BX3654" s="10"/>
      <c r="BY3654" s="23"/>
      <c r="BZ3654" s="23"/>
      <c r="CA3654" s="10"/>
      <c r="CB3654" s="23"/>
      <c r="CC3654" s="23"/>
      <c r="CD3654" s="23"/>
      <c r="CE3654" s="23"/>
      <c r="CF3654" s="23"/>
      <c r="CG3654" s="23"/>
      <c r="CH3654" s="23"/>
      <c r="CI3654" s="23"/>
    </row>
    <row r="3655" spans="1:87" x14ac:dyDescent="0.3">
      <c r="A3655" s="9" t="s">
        <v>25376</v>
      </c>
      <c r="B3655" s="10" t="s">
        <v>25377</v>
      </c>
      <c r="C3655" s="11">
        <v>46029.541666666664</v>
      </c>
      <c r="D3655" s="12">
        <v>3.4722222222222224E-2</v>
      </c>
      <c r="E3655" s="11">
        <v>46029.576388888891</v>
      </c>
      <c r="F3655" s="22" t="s">
        <v>24700</v>
      </c>
      <c r="G3655" s="13" t="b">
        <v>0</v>
      </c>
      <c r="H3655" s="22" t="s">
        <v>21384</v>
      </c>
      <c r="I3655" s="10" t="s">
        <v>9131</v>
      </c>
      <c r="J3655" s="13" t="b">
        <v>0</v>
      </c>
      <c r="K3655" s="13" t="b">
        <v>1</v>
      </c>
      <c r="L3655" s="10" t="s">
        <v>124</v>
      </c>
      <c r="M3655" s="10" t="s">
        <v>91</v>
      </c>
      <c r="N3655" s="10" t="s">
        <v>92</v>
      </c>
      <c r="O3655" s="19" t="s">
        <v>25378</v>
      </c>
      <c r="P3655" s="10"/>
      <c r="Q3655" s="10" t="s">
        <v>126</v>
      </c>
      <c r="R3655" s="10"/>
      <c r="S3655" s="10"/>
      <c r="T3655" s="10"/>
      <c r="U3655" s="10"/>
      <c r="V3655" s="10"/>
      <c r="W3655" s="10" t="s">
        <v>24703</v>
      </c>
      <c r="X3655" s="10" t="s">
        <v>216</v>
      </c>
      <c r="Y3655" s="10" t="s">
        <v>216</v>
      </c>
      <c r="Z3655" s="10" t="s">
        <v>99</v>
      </c>
      <c r="AA3655" s="10" t="s">
        <v>131</v>
      </c>
      <c r="AB3655" s="10" t="s">
        <v>24704</v>
      </c>
      <c r="AC3655" s="10" t="s">
        <v>21389</v>
      </c>
      <c r="AD3655" s="10" t="s">
        <v>165</v>
      </c>
      <c r="AE3655" s="10" t="s">
        <v>25379</v>
      </c>
      <c r="AF3655" s="15"/>
      <c r="AG3655" s="10"/>
      <c r="AH3655" s="10"/>
      <c r="AI3655" s="10"/>
      <c r="AJ3655" s="10"/>
      <c r="AK3655" s="10" t="s">
        <v>102</v>
      </c>
      <c r="AL3655" s="10"/>
      <c r="AM3655" s="10"/>
      <c r="AN3655" s="10"/>
      <c r="AO3655" s="13" t="b">
        <v>0</v>
      </c>
      <c r="AP3655" s="22" t="s">
        <v>104</v>
      </c>
      <c r="AQ3655" s="10">
        <f ca="1">IFERROR(__xludf.DUMMYFUNCTION("""COMPUTED_VALUE"""),4832187)</f>
        <v>4832187</v>
      </c>
      <c r="AR3655" s="17">
        <v>6064</v>
      </c>
      <c r="AS3655" s="17">
        <v>3969</v>
      </c>
      <c r="AT3655" s="17">
        <v>60108.25</v>
      </c>
      <c r="AU3655" s="17">
        <v>12.6</v>
      </c>
      <c r="AV3655" s="17">
        <v>3.8</v>
      </c>
      <c r="AW3655" s="10" t="s">
        <v>105</v>
      </c>
      <c r="AX3655" s="17">
        <v>2941</v>
      </c>
      <c r="AY3655" s="18">
        <v>15.144431846812799</v>
      </c>
      <c r="AZ3655" s="10"/>
      <c r="BA3655" s="20" t="b">
        <v>0</v>
      </c>
      <c r="BB3655" s="10" t="s">
        <v>24794</v>
      </c>
      <c r="BC3655" s="17">
        <v>6064</v>
      </c>
      <c r="BD3655" s="17">
        <v>3969</v>
      </c>
      <c r="BE3655" s="17">
        <v>60108.25</v>
      </c>
      <c r="BF3655" s="17">
        <v>3.8</v>
      </c>
      <c r="BG3655" s="11">
        <f ca="1">IFERROR(__xludf.DUMMYFUNCTION("""COMPUTED_VALUE"""),46029.5416666666)</f>
        <v>46029.541666666599</v>
      </c>
      <c r="BH3655" s="17" t="s">
        <v>105</v>
      </c>
      <c r="BI3655" s="17"/>
      <c r="BJ3655" s="15"/>
      <c r="BK3655" s="15"/>
      <c r="BL3655" s="13" t="b">
        <v>0</v>
      </c>
      <c r="BM3655" s="10"/>
      <c r="BN3655" s="10" t="s">
        <v>118</v>
      </c>
      <c r="BO3655" s="11">
        <v>46028.615277777775</v>
      </c>
      <c r="BP3655" s="11">
        <v>46028.615555555552</v>
      </c>
      <c r="BQ3655" s="15"/>
      <c r="BR3655" s="15">
        <v>46028.626967592594</v>
      </c>
      <c r="BS3655" s="10" t="s">
        <v>118</v>
      </c>
      <c r="BT3655" s="10"/>
      <c r="BU3655" s="10"/>
      <c r="BV3655" s="10"/>
      <c r="BW3655" s="10"/>
      <c r="BX3655" s="10"/>
      <c r="BY3655" s="23"/>
      <c r="BZ3655" s="23"/>
      <c r="CA3655" s="10"/>
      <c r="CB3655" s="23"/>
      <c r="CC3655" s="23"/>
      <c r="CD3655" s="23"/>
      <c r="CE3655" s="23"/>
      <c r="CF3655" s="23"/>
      <c r="CG3655" s="23"/>
      <c r="CH3655" s="23"/>
      <c r="CI3655" s="23"/>
    </row>
    <row r="3656" spans="1:87" x14ac:dyDescent="0.3">
      <c r="A3656" s="9" t="s">
        <v>25380</v>
      </c>
      <c r="B3656" s="10" t="s">
        <v>25381</v>
      </c>
      <c r="C3656" s="11">
        <v>46029.75</v>
      </c>
      <c r="D3656" s="12">
        <v>3.4722222222222224E-2</v>
      </c>
      <c r="E3656" s="11">
        <v>46029.784722222219</v>
      </c>
      <c r="F3656" s="22" t="s">
        <v>24700</v>
      </c>
      <c r="G3656" s="13" t="b">
        <v>0</v>
      </c>
      <c r="H3656" s="22" t="s">
        <v>21384</v>
      </c>
      <c r="I3656" s="10" t="s">
        <v>9131</v>
      </c>
      <c r="J3656" s="13" t="b">
        <v>0</v>
      </c>
      <c r="K3656" s="13" t="b">
        <v>1</v>
      </c>
      <c r="L3656" s="10" t="s">
        <v>124</v>
      </c>
      <c r="M3656" s="10" t="s">
        <v>91</v>
      </c>
      <c r="N3656" s="10" t="s">
        <v>92</v>
      </c>
      <c r="O3656" s="19" t="s">
        <v>25382</v>
      </c>
      <c r="P3656" s="10"/>
      <c r="Q3656" s="10" t="s">
        <v>126</v>
      </c>
      <c r="R3656" s="10"/>
      <c r="S3656" s="10"/>
      <c r="T3656" s="10"/>
      <c r="U3656" s="10"/>
      <c r="V3656" s="10"/>
      <c r="W3656" s="10" t="s">
        <v>24703</v>
      </c>
      <c r="X3656" s="10" t="s">
        <v>216</v>
      </c>
      <c r="Y3656" s="10" t="s">
        <v>216</v>
      </c>
      <c r="Z3656" s="10" t="s">
        <v>99</v>
      </c>
      <c r="AA3656" s="10" t="s">
        <v>131</v>
      </c>
      <c r="AB3656" s="10" t="s">
        <v>24704</v>
      </c>
      <c r="AC3656" s="10" t="s">
        <v>21389</v>
      </c>
      <c r="AD3656" s="10" t="s">
        <v>165</v>
      </c>
      <c r="AE3656" s="10" t="s">
        <v>25383</v>
      </c>
      <c r="AF3656" s="15"/>
      <c r="AG3656" s="10"/>
      <c r="AH3656" s="10"/>
      <c r="AI3656" s="10"/>
      <c r="AJ3656" s="10"/>
      <c r="AK3656" s="10" t="s">
        <v>102</v>
      </c>
      <c r="AL3656" s="10"/>
      <c r="AM3656" s="10"/>
      <c r="AN3656" s="10"/>
      <c r="AO3656" s="13" t="b">
        <v>0</v>
      </c>
      <c r="AP3656" s="22" t="s">
        <v>135</v>
      </c>
      <c r="AQ3656" s="10">
        <f ca="1">IFERROR(__xludf.DUMMYFUNCTION("""COMPUTED_VALUE"""),4832179)</f>
        <v>4832179</v>
      </c>
      <c r="AR3656" s="17"/>
      <c r="AS3656" s="17"/>
      <c r="AT3656" s="17"/>
      <c r="AU3656" s="17"/>
      <c r="AV3656" s="17"/>
      <c r="AW3656" s="10"/>
      <c r="AX3656" s="17"/>
      <c r="AY3656" s="18" t="s">
        <v>257</v>
      </c>
      <c r="AZ3656" s="10"/>
      <c r="BA3656" s="20" t="b">
        <v>0</v>
      </c>
      <c r="BB3656" s="10" t="s">
        <v>24788</v>
      </c>
      <c r="BC3656" s="17" t="s">
        <v>257</v>
      </c>
      <c r="BD3656" s="17" t="s">
        <v>257</v>
      </c>
      <c r="BE3656" s="17" t="s">
        <v>257</v>
      </c>
      <c r="BF3656" s="17" t="s">
        <v>257</v>
      </c>
      <c r="BG3656" s="11">
        <f ca="1">IFERROR(__xludf.DUMMYFUNCTION("""COMPUTED_VALUE"""),46029.75)</f>
        <v>46029.75</v>
      </c>
      <c r="BH3656" s="17"/>
      <c r="BI3656" s="17"/>
      <c r="BJ3656" s="15"/>
      <c r="BK3656" s="15"/>
      <c r="BL3656" s="13" t="b">
        <v>0</v>
      </c>
      <c r="BM3656" s="10"/>
      <c r="BN3656" s="10" t="s">
        <v>118</v>
      </c>
      <c r="BO3656" s="11">
        <v>46028.615277777775</v>
      </c>
      <c r="BP3656" s="11">
        <v>46028.615312499998</v>
      </c>
      <c r="BQ3656" s="15"/>
      <c r="BR3656" s="15">
        <v>46028.621018518519</v>
      </c>
      <c r="BS3656" s="10" t="s">
        <v>118</v>
      </c>
      <c r="BT3656" s="10"/>
      <c r="BU3656" s="10"/>
      <c r="BV3656" s="10"/>
      <c r="BW3656" s="10"/>
      <c r="BX3656" s="10"/>
      <c r="BY3656" s="23"/>
      <c r="BZ3656" s="23"/>
      <c r="CA3656" s="10"/>
      <c r="CB3656" s="23"/>
      <c r="CC3656" s="23"/>
      <c r="CD3656" s="23"/>
      <c r="CE3656" s="23"/>
      <c r="CF3656" s="23"/>
      <c r="CG3656" s="23"/>
      <c r="CH3656" s="23"/>
      <c r="CI3656" s="23"/>
    </row>
    <row r="3657" spans="1:87" x14ac:dyDescent="0.3">
      <c r="A3657" s="9" t="s">
        <v>25384</v>
      </c>
      <c r="B3657" s="10" t="s">
        <v>25385</v>
      </c>
      <c r="C3657" s="11">
        <v>46029.576388888891</v>
      </c>
      <c r="D3657" s="12">
        <v>3.4722222222222224E-2</v>
      </c>
      <c r="E3657" s="11">
        <v>46029.611111111109</v>
      </c>
      <c r="F3657" s="22" t="s">
        <v>24700</v>
      </c>
      <c r="G3657" s="13" t="b">
        <v>0</v>
      </c>
      <c r="H3657" s="22" t="s">
        <v>21384</v>
      </c>
      <c r="I3657" s="10" t="s">
        <v>9131</v>
      </c>
      <c r="J3657" s="13" t="b">
        <v>0</v>
      </c>
      <c r="K3657" s="13" t="b">
        <v>1</v>
      </c>
      <c r="L3657" s="10" t="s">
        <v>124</v>
      </c>
      <c r="M3657" s="10" t="s">
        <v>91</v>
      </c>
      <c r="N3657" s="10" t="s">
        <v>92</v>
      </c>
      <c r="O3657" s="19" t="s">
        <v>25386</v>
      </c>
      <c r="P3657" s="10"/>
      <c r="Q3657" s="10" t="s">
        <v>126</v>
      </c>
      <c r="R3657" s="10"/>
      <c r="S3657" s="10"/>
      <c r="T3657" s="10"/>
      <c r="U3657" s="10"/>
      <c r="V3657" s="10"/>
      <c r="W3657" s="10" t="s">
        <v>24703</v>
      </c>
      <c r="X3657" s="10" t="s">
        <v>216</v>
      </c>
      <c r="Y3657" s="10" t="s">
        <v>216</v>
      </c>
      <c r="Z3657" s="10" t="s">
        <v>99</v>
      </c>
      <c r="AA3657" s="10" t="s">
        <v>131</v>
      </c>
      <c r="AB3657" s="10" t="s">
        <v>24704</v>
      </c>
      <c r="AC3657" s="10" t="s">
        <v>21389</v>
      </c>
      <c r="AD3657" s="10" t="s">
        <v>165</v>
      </c>
      <c r="AE3657" s="10" t="s">
        <v>25387</v>
      </c>
      <c r="AF3657" s="15"/>
      <c r="AG3657" s="10"/>
      <c r="AH3657" s="10"/>
      <c r="AI3657" s="10"/>
      <c r="AJ3657" s="10"/>
      <c r="AK3657" s="10" t="s">
        <v>102</v>
      </c>
      <c r="AL3657" s="10"/>
      <c r="AM3657" s="10"/>
      <c r="AN3657" s="10"/>
      <c r="AO3657" s="13" t="b">
        <v>0</v>
      </c>
      <c r="AP3657" s="22" t="s">
        <v>135</v>
      </c>
      <c r="AQ3657" s="10">
        <f ca="1">IFERROR(__xludf.DUMMYFUNCTION("""COMPUTED_VALUE"""),4832186)</f>
        <v>4832186</v>
      </c>
      <c r="AR3657" s="17">
        <v>5299</v>
      </c>
      <c r="AS3657" s="17">
        <v>3455</v>
      </c>
      <c r="AT3657" s="17">
        <v>28210</v>
      </c>
      <c r="AU3657" s="17">
        <v>7.65</v>
      </c>
      <c r="AV3657" s="17">
        <v>0.5</v>
      </c>
      <c r="AW3657" s="10" t="s">
        <v>105</v>
      </c>
      <c r="AX3657" s="17">
        <v>2667</v>
      </c>
      <c r="AY3657" s="18">
        <v>8.1649782923299572</v>
      </c>
      <c r="AZ3657" s="10"/>
      <c r="BA3657" s="20" t="b">
        <v>0</v>
      </c>
      <c r="BB3657" s="10" t="s">
        <v>24794</v>
      </c>
      <c r="BC3657" s="17">
        <v>5299</v>
      </c>
      <c r="BD3657" s="17">
        <v>3455</v>
      </c>
      <c r="BE3657" s="17">
        <v>28210</v>
      </c>
      <c r="BF3657" s="17">
        <v>0.5</v>
      </c>
      <c r="BG3657" s="11">
        <f ca="1">IFERROR(__xludf.DUMMYFUNCTION("""COMPUTED_VALUE"""),46029.5763888888)</f>
        <v>46029.576388888803</v>
      </c>
      <c r="BH3657" s="17" t="s">
        <v>105</v>
      </c>
      <c r="BI3657" s="17"/>
      <c r="BJ3657" s="15"/>
      <c r="BK3657" s="15"/>
      <c r="BL3657" s="13" t="b">
        <v>0</v>
      </c>
      <c r="BM3657" s="10"/>
      <c r="BN3657" s="10" t="s">
        <v>118</v>
      </c>
      <c r="BO3657" s="11">
        <v>46028.615277777775</v>
      </c>
      <c r="BP3657" s="11">
        <v>46028.615671296298</v>
      </c>
      <c r="BQ3657" s="15"/>
      <c r="BR3657" s="15">
        <v>46028.627106481479</v>
      </c>
      <c r="BS3657" s="10" t="s">
        <v>118</v>
      </c>
      <c r="BT3657" s="10"/>
      <c r="BU3657" s="10"/>
      <c r="BV3657" s="10"/>
      <c r="BW3657" s="10"/>
      <c r="BX3657" s="10"/>
      <c r="BY3657" s="23"/>
      <c r="BZ3657" s="23"/>
      <c r="CA3657" s="10"/>
      <c r="CB3657" s="23"/>
      <c r="CC3657" s="23"/>
      <c r="CD3657" s="23"/>
      <c r="CE3657" s="23"/>
      <c r="CF3657" s="23"/>
      <c r="CG3657" s="23"/>
      <c r="CH3657" s="23"/>
      <c r="CI3657" s="23"/>
    </row>
    <row r="3658" spans="1:87" x14ac:dyDescent="0.3">
      <c r="A3658" s="9" t="s">
        <v>25388</v>
      </c>
      <c r="B3658" s="10" t="s">
        <v>25389</v>
      </c>
      <c r="C3658" s="11">
        <v>46029.611111111109</v>
      </c>
      <c r="D3658" s="12">
        <v>3.4722222222222224E-2</v>
      </c>
      <c r="E3658" s="11">
        <v>46029.645833333336</v>
      </c>
      <c r="F3658" s="22" t="s">
        <v>24700</v>
      </c>
      <c r="G3658" s="13" t="b">
        <v>0</v>
      </c>
      <c r="H3658" s="22" t="s">
        <v>21384</v>
      </c>
      <c r="I3658" s="10" t="s">
        <v>9131</v>
      </c>
      <c r="J3658" s="13" t="b">
        <v>0</v>
      </c>
      <c r="K3658" s="13" t="b">
        <v>1</v>
      </c>
      <c r="L3658" s="10" t="s">
        <v>124</v>
      </c>
      <c r="M3658" s="10" t="s">
        <v>91</v>
      </c>
      <c r="N3658" s="10" t="s">
        <v>92</v>
      </c>
      <c r="O3658" s="19" t="s">
        <v>25390</v>
      </c>
      <c r="P3658" s="10"/>
      <c r="Q3658" s="10" t="s">
        <v>126</v>
      </c>
      <c r="R3658" s="10"/>
      <c r="S3658" s="10"/>
      <c r="T3658" s="10"/>
      <c r="U3658" s="10"/>
      <c r="V3658" s="10"/>
      <c r="W3658" s="10" t="s">
        <v>24703</v>
      </c>
      <c r="X3658" s="10" t="s">
        <v>216</v>
      </c>
      <c r="Y3658" s="10" t="s">
        <v>216</v>
      </c>
      <c r="Z3658" s="10" t="s">
        <v>99</v>
      </c>
      <c r="AA3658" s="10" t="s">
        <v>131</v>
      </c>
      <c r="AB3658" s="10" t="s">
        <v>24704</v>
      </c>
      <c r="AC3658" s="10" t="s">
        <v>21389</v>
      </c>
      <c r="AD3658" s="10" t="s">
        <v>165</v>
      </c>
      <c r="AE3658" s="10" t="s">
        <v>25391</v>
      </c>
      <c r="AF3658" s="15"/>
      <c r="AG3658" s="10"/>
      <c r="AH3658" s="10"/>
      <c r="AI3658" s="10"/>
      <c r="AJ3658" s="10"/>
      <c r="AK3658" s="10" t="s">
        <v>102</v>
      </c>
      <c r="AL3658" s="10"/>
      <c r="AM3658" s="10"/>
      <c r="AN3658" s="10"/>
      <c r="AO3658" s="13" t="b">
        <v>0</v>
      </c>
      <c r="AP3658" s="22" t="s">
        <v>135</v>
      </c>
      <c r="AQ3658" s="10">
        <f ca="1">IFERROR(__xludf.DUMMYFUNCTION("""COMPUTED_VALUE"""),4832188)</f>
        <v>4832188</v>
      </c>
      <c r="AR3658" s="17">
        <v>5325</v>
      </c>
      <c r="AS3658" s="17">
        <v>3303</v>
      </c>
      <c r="AT3658" s="17">
        <v>21258.25</v>
      </c>
      <c r="AU3658" s="17">
        <v>3.05</v>
      </c>
      <c r="AV3658" s="17">
        <v>0.35</v>
      </c>
      <c r="AW3658" s="10" t="s">
        <v>105</v>
      </c>
      <c r="AX3658" s="17">
        <v>1191</v>
      </c>
      <c r="AY3658" s="18">
        <v>6.4360429912201029</v>
      </c>
      <c r="AZ3658" s="10"/>
      <c r="BA3658" s="20" t="b">
        <v>0</v>
      </c>
      <c r="BB3658" s="10" t="s">
        <v>24794</v>
      </c>
      <c r="BC3658" s="17">
        <v>5325</v>
      </c>
      <c r="BD3658" s="17">
        <v>3303</v>
      </c>
      <c r="BE3658" s="17">
        <v>21258.25</v>
      </c>
      <c r="BF3658" s="17">
        <v>0.35</v>
      </c>
      <c r="BG3658" s="11">
        <f ca="1">IFERROR(__xludf.DUMMYFUNCTION("""COMPUTED_VALUE"""),46029.6111111111)</f>
        <v>46029.611111111102</v>
      </c>
      <c r="BH3658" s="17" t="s">
        <v>105</v>
      </c>
      <c r="BI3658" s="17"/>
      <c r="BJ3658" s="15"/>
      <c r="BK3658" s="15"/>
      <c r="BL3658" s="13" t="b">
        <v>0</v>
      </c>
      <c r="BM3658" s="10"/>
      <c r="BN3658" s="10" t="s">
        <v>118</v>
      </c>
      <c r="BO3658" s="11">
        <v>46028.615277777775</v>
      </c>
      <c r="BP3658" s="11">
        <v>46028.615787037037</v>
      </c>
      <c r="BQ3658" s="15"/>
      <c r="BR3658" s="15">
        <v>46028.627233796295</v>
      </c>
      <c r="BS3658" s="10" t="s">
        <v>118</v>
      </c>
      <c r="BT3658" s="10"/>
      <c r="BU3658" s="10"/>
      <c r="BV3658" s="10"/>
      <c r="BW3658" s="10"/>
      <c r="BX3658" s="10"/>
      <c r="BY3658" s="23"/>
      <c r="BZ3658" s="23"/>
      <c r="CA3658" s="10"/>
      <c r="CB3658" s="23"/>
      <c r="CC3658" s="23"/>
      <c r="CD3658" s="23"/>
      <c r="CE3658" s="23"/>
      <c r="CF3658" s="23"/>
      <c r="CG3658" s="23"/>
      <c r="CH3658" s="23"/>
      <c r="CI3658" s="23"/>
    </row>
    <row r="3659" spans="1:87" x14ac:dyDescent="0.3">
      <c r="A3659" s="9" t="s">
        <v>25392</v>
      </c>
      <c r="B3659" s="10" t="s">
        <v>25393</v>
      </c>
      <c r="C3659" s="11">
        <v>46029.645833333336</v>
      </c>
      <c r="D3659" s="12">
        <v>3.4722222222222224E-2</v>
      </c>
      <c r="E3659" s="11">
        <v>46029.680555555555</v>
      </c>
      <c r="F3659" s="22" t="s">
        <v>24700</v>
      </c>
      <c r="G3659" s="13" t="b">
        <v>0</v>
      </c>
      <c r="H3659" s="22" t="s">
        <v>21384</v>
      </c>
      <c r="I3659" s="10" t="s">
        <v>9131</v>
      </c>
      <c r="J3659" s="13" t="b">
        <v>0</v>
      </c>
      <c r="K3659" s="13" t="b">
        <v>1</v>
      </c>
      <c r="L3659" s="10" t="s">
        <v>124</v>
      </c>
      <c r="M3659" s="10" t="s">
        <v>91</v>
      </c>
      <c r="N3659" s="10" t="s">
        <v>92</v>
      </c>
      <c r="O3659" s="19" t="s">
        <v>25394</v>
      </c>
      <c r="P3659" s="10"/>
      <c r="Q3659" s="10" t="s">
        <v>126</v>
      </c>
      <c r="R3659" s="10"/>
      <c r="S3659" s="10"/>
      <c r="T3659" s="10"/>
      <c r="U3659" s="10"/>
      <c r="V3659" s="10"/>
      <c r="W3659" s="10" t="s">
        <v>24703</v>
      </c>
      <c r="X3659" s="10" t="s">
        <v>216</v>
      </c>
      <c r="Y3659" s="10" t="s">
        <v>216</v>
      </c>
      <c r="Z3659" s="10" t="s">
        <v>99</v>
      </c>
      <c r="AA3659" s="10" t="s">
        <v>131</v>
      </c>
      <c r="AB3659" s="10" t="s">
        <v>24704</v>
      </c>
      <c r="AC3659" s="10" t="s">
        <v>21389</v>
      </c>
      <c r="AD3659" s="10" t="s">
        <v>165</v>
      </c>
      <c r="AE3659" s="10" t="s">
        <v>25395</v>
      </c>
      <c r="AF3659" s="15"/>
      <c r="AG3659" s="10"/>
      <c r="AH3659" s="10"/>
      <c r="AI3659" s="10"/>
      <c r="AJ3659" s="10"/>
      <c r="AK3659" s="10" t="s">
        <v>102</v>
      </c>
      <c r="AL3659" s="10"/>
      <c r="AM3659" s="10"/>
      <c r="AN3659" s="10"/>
      <c r="AO3659" s="13" t="b">
        <v>0</v>
      </c>
      <c r="AP3659" s="22" t="s">
        <v>221</v>
      </c>
      <c r="AQ3659" s="10">
        <f ca="1">IFERROR(__xludf.DUMMYFUNCTION("""COMPUTED_VALUE"""),4832189)</f>
        <v>4832189</v>
      </c>
      <c r="AR3659" s="17">
        <v>3573</v>
      </c>
      <c r="AS3659" s="17">
        <v>2673</v>
      </c>
      <c r="AT3659" s="17">
        <v>12070.25</v>
      </c>
      <c r="AU3659" s="17">
        <v>3.35</v>
      </c>
      <c r="AV3659" s="17">
        <v>0.35</v>
      </c>
      <c r="AW3659" s="10" t="s">
        <v>105</v>
      </c>
      <c r="AX3659" s="17">
        <v>1248</v>
      </c>
      <c r="AY3659" s="18">
        <v>4.5156191545080437</v>
      </c>
      <c r="AZ3659" s="10"/>
      <c r="BA3659" s="20" t="b">
        <v>0</v>
      </c>
      <c r="BB3659" s="10" t="s">
        <v>24794</v>
      </c>
      <c r="BC3659" s="17">
        <v>3573</v>
      </c>
      <c r="BD3659" s="17">
        <v>2673</v>
      </c>
      <c r="BE3659" s="17">
        <v>12070.25</v>
      </c>
      <c r="BF3659" s="17">
        <v>0.35</v>
      </c>
      <c r="BG3659" s="11">
        <f ca="1">IFERROR(__xludf.DUMMYFUNCTION("""COMPUTED_VALUE"""),46029.6458333333)</f>
        <v>46029.645833333299</v>
      </c>
      <c r="BH3659" s="17" t="s">
        <v>105</v>
      </c>
      <c r="BI3659" s="17"/>
      <c r="BJ3659" s="15"/>
      <c r="BK3659" s="15"/>
      <c r="BL3659" s="13" t="b">
        <v>0</v>
      </c>
      <c r="BM3659" s="10"/>
      <c r="BN3659" s="10" t="s">
        <v>118</v>
      </c>
      <c r="BO3659" s="11">
        <v>46028.615277777775</v>
      </c>
      <c r="BP3659" s="11">
        <v>46028.615891203706</v>
      </c>
      <c r="BQ3659" s="15"/>
      <c r="BR3659" s="15">
        <v>46028.627372685187</v>
      </c>
      <c r="BS3659" s="10" t="s">
        <v>118</v>
      </c>
      <c r="BT3659" s="10"/>
      <c r="BU3659" s="10"/>
      <c r="BV3659" s="10"/>
      <c r="BW3659" s="10"/>
      <c r="BX3659" s="10"/>
      <c r="BY3659" s="23"/>
      <c r="BZ3659" s="23"/>
      <c r="CA3659" s="10"/>
      <c r="CB3659" s="23"/>
      <c r="CC3659" s="23"/>
      <c r="CD3659" s="23"/>
      <c r="CE3659" s="23"/>
      <c r="CF3659" s="23"/>
      <c r="CG3659" s="23"/>
      <c r="CH3659" s="23"/>
      <c r="CI3659" s="23"/>
    </row>
    <row r="3660" spans="1:87" x14ac:dyDescent="0.3">
      <c r="A3660" s="9" t="s">
        <v>25396</v>
      </c>
      <c r="B3660" s="10" t="s">
        <v>25397</v>
      </c>
      <c r="C3660" s="11">
        <v>46029.680555555555</v>
      </c>
      <c r="D3660" s="12">
        <v>3.4722222222222224E-2</v>
      </c>
      <c r="E3660" s="11">
        <v>46029.715277777781</v>
      </c>
      <c r="F3660" s="22" t="s">
        <v>24700</v>
      </c>
      <c r="G3660" s="13" t="b">
        <v>0</v>
      </c>
      <c r="H3660" s="22" t="s">
        <v>21384</v>
      </c>
      <c r="I3660" s="10" t="s">
        <v>9131</v>
      </c>
      <c r="J3660" s="13" t="b">
        <v>0</v>
      </c>
      <c r="K3660" s="13" t="b">
        <v>1</v>
      </c>
      <c r="L3660" s="10" t="s">
        <v>124</v>
      </c>
      <c r="M3660" s="10" t="s">
        <v>91</v>
      </c>
      <c r="N3660" s="10" t="s">
        <v>92</v>
      </c>
      <c r="O3660" s="19" t="s">
        <v>25398</v>
      </c>
      <c r="P3660" s="10"/>
      <c r="Q3660" s="10" t="s">
        <v>126</v>
      </c>
      <c r="R3660" s="10"/>
      <c r="S3660" s="10"/>
      <c r="T3660" s="10"/>
      <c r="U3660" s="10"/>
      <c r="V3660" s="10"/>
      <c r="W3660" s="10" t="s">
        <v>24703</v>
      </c>
      <c r="X3660" s="10" t="s">
        <v>216</v>
      </c>
      <c r="Y3660" s="10" t="s">
        <v>216</v>
      </c>
      <c r="Z3660" s="10" t="s">
        <v>99</v>
      </c>
      <c r="AA3660" s="10" t="s">
        <v>131</v>
      </c>
      <c r="AB3660" s="10" t="s">
        <v>24704</v>
      </c>
      <c r="AC3660" s="10" t="s">
        <v>21389</v>
      </c>
      <c r="AD3660" s="10" t="s">
        <v>165</v>
      </c>
      <c r="AE3660" s="10" t="s">
        <v>25399</v>
      </c>
      <c r="AF3660" s="15"/>
      <c r="AG3660" s="10"/>
      <c r="AH3660" s="10"/>
      <c r="AI3660" s="10"/>
      <c r="AJ3660" s="10"/>
      <c r="AK3660" s="10" t="s">
        <v>102</v>
      </c>
      <c r="AL3660" s="10"/>
      <c r="AM3660" s="10"/>
      <c r="AN3660" s="10"/>
      <c r="AO3660" s="13" t="b">
        <v>0</v>
      </c>
      <c r="AP3660" s="22" t="s">
        <v>104</v>
      </c>
      <c r="AQ3660" s="10">
        <f ca="1">IFERROR(__xludf.DUMMYFUNCTION("""COMPUTED_VALUE"""),4832190)</f>
        <v>4832190</v>
      </c>
      <c r="AR3660" s="17">
        <v>6949</v>
      </c>
      <c r="AS3660" s="17">
        <v>4946</v>
      </c>
      <c r="AT3660" s="17">
        <v>42354.5</v>
      </c>
      <c r="AU3660" s="17">
        <v>12.2</v>
      </c>
      <c r="AV3660" s="17">
        <v>3.1</v>
      </c>
      <c r="AW3660" s="10" t="s">
        <v>105</v>
      </c>
      <c r="AX3660" s="17">
        <v>1721</v>
      </c>
      <c r="AY3660" s="18">
        <v>8.5633845531742825</v>
      </c>
      <c r="AZ3660" s="10"/>
      <c r="BA3660" s="20" t="b">
        <v>0</v>
      </c>
      <c r="BB3660" s="10" t="s">
        <v>24794</v>
      </c>
      <c r="BC3660" s="17">
        <v>6949</v>
      </c>
      <c r="BD3660" s="17">
        <v>4946</v>
      </c>
      <c r="BE3660" s="17">
        <v>42354.5</v>
      </c>
      <c r="BF3660" s="17">
        <v>3.1</v>
      </c>
      <c r="BG3660" s="11">
        <f ca="1">IFERROR(__xludf.DUMMYFUNCTION("""COMPUTED_VALUE"""),46029.6805555555)</f>
        <v>46029.680555555497</v>
      </c>
      <c r="BH3660" s="17" t="s">
        <v>105</v>
      </c>
      <c r="BI3660" s="17"/>
      <c r="BJ3660" s="15"/>
      <c r="BK3660" s="15"/>
      <c r="BL3660" s="13" t="b">
        <v>0</v>
      </c>
      <c r="BM3660" s="10"/>
      <c r="BN3660" s="10" t="s">
        <v>118</v>
      </c>
      <c r="BO3660" s="11">
        <v>46028.615972222222</v>
      </c>
      <c r="BP3660" s="11">
        <v>46028.616076388891</v>
      </c>
      <c r="BQ3660" s="15"/>
      <c r="BR3660" s="15">
        <v>46028.627476851849</v>
      </c>
      <c r="BS3660" s="10" t="s">
        <v>118</v>
      </c>
      <c r="BT3660" s="10"/>
      <c r="BU3660" s="10"/>
      <c r="BV3660" s="10"/>
      <c r="BW3660" s="10"/>
      <c r="BX3660" s="10"/>
      <c r="BY3660" s="23"/>
      <c r="BZ3660" s="23"/>
      <c r="CA3660" s="10"/>
      <c r="CB3660" s="23"/>
      <c r="CC3660" s="23"/>
      <c r="CD3660" s="23"/>
      <c r="CE3660" s="23"/>
      <c r="CF3660" s="23"/>
      <c r="CG3660" s="23"/>
      <c r="CH3660" s="23"/>
      <c r="CI3660" s="23"/>
    </row>
    <row r="3661" spans="1:87" x14ac:dyDescent="0.3">
      <c r="A3661" s="9" t="s">
        <v>25400</v>
      </c>
      <c r="B3661" s="10" t="s">
        <v>25401</v>
      </c>
      <c r="C3661" s="11">
        <v>46029.715277777781</v>
      </c>
      <c r="D3661" s="12">
        <v>3.4722222222222224E-2</v>
      </c>
      <c r="E3661" s="11">
        <v>46029.75</v>
      </c>
      <c r="F3661" s="22" t="s">
        <v>24700</v>
      </c>
      <c r="G3661" s="13" t="b">
        <v>0</v>
      </c>
      <c r="H3661" s="22" t="s">
        <v>21384</v>
      </c>
      <c r="I3661" s="10" t="s">
        <v>9131</v>
      </c>
      <c r="J3661" s="13" t="b">
        <v>0</v>
      </c>
      <c r="K3661" s="13" t="b">
        <v>1</v>
      </c>
      <c r="L3661" s="10" t="s">
        <v>124</v>
      </c>
      <c r="M3661" s="10" t="s">
        <v>91</v>
      </c>
      <c r="N3661" s="10" t="s">
        <v>92</v>
      </c>
      <c r="O3661" s="19" t="s">
        <v>25402</v>
      </c>
      <c r="P3661" s="10"/>
      <c r="Q3661" s="10" t="s">
        <v>126</v>
      </c>
      <c r="R3661" s="10"/>
      <c r="S3661" s="10"/>
      <c r="T3661" s="10"/>
      <c r="U3661" s="10"/>
      <c r="V3661" s="10"/>
      <c r="W3661" s="10" t="s">
        <v>24703</v>
      </c>
      <c r="X3661" s="10" t="s">
        <v>216</v>
      </c>
      <c r="Y3661" s="10" t="s">
        <v>216</v>
      </c>
      <c r="Z3661" s="10" t="s">
        <v>99</v>
      </c>
      <c r="AA3661" s="10" t="s">
        <v>131</v>
      </c>
      <c r="AB3661" s="10" t="s">
        <v>24704</v>
      </c>
      <c r="AC3661" s="10" t="s">
        <v>21389</v>
      </c>
      <c r="AD3661" s="10" t="s">
        <v>165</v>
      </c>
      <c r="AE3661" s="10" t="s">
        <v>25403</v>
      </c>
      <c r="AF3661" s="15"/>
      <c r="AG3661" s="10"/>
      <c r="AH3661" s="10"/>
      <c r="AI3661" s="10"/>
      <c r="AJ3661" s="10"/>
      <c r="AK3661" s="10" t="s">
        <v>102</v>
      </c>
      <c r="AL3661" s="10"/>
      <c r="AM3661" s="10"/>
      <c r="AN3661" s="10"/>
      <c r="AO3661" s="13" t="b">
        <v>0</v>
      </c>
      <c r="AP3661" s="22" t="s">
        <v>104</v>
      </c>
      <c r="AQ3661" s="10">
        <f ca="1">IFERROR(__xludf.DUMMYFUNCTION("""COMPUTED_VALUE"""),4832191)</f>
        <v>4832191</v>
      </c>
      <c r="AR3661" s="17">
        <v>6807</v>
      </c>
      <c r="AS3661" s="17">
        <v>4782</v>
      </c>
      <c r="AT3661" s="17">
        <v>51020</v>
      </c>
      <c r="AU3661" s="17">
        <v>21.2</v>
      </c>
      <c r="AV3661" s="17">
        <v>4.3499999999999996</v>
      </c>
      <c r="AW3661" s="10" t="s">
        <v>105</v>
      </c>
      <c r="AX3661" s="17">
        <v>1816</v>
      </c>
      <c r="AY3661" s="18">
        <v>10.669176076955249</v>
      </c>
      <c r="AZ3661" s="10"/>
      <c r="BA3661" s="20" t="b">
        <v>0</v>
      </c>
      <c r="BB3661" s="10" t="s">
        <v>24794</v>
      </c>
      <c r="BC3661" s="17">
        <v>6807</v>
      </c>
      <c r="BD3661" s="17">
        <v>4782</v>
      </c>
      <c r="BE3661" s="17">
        <v>51020</v>
      </c>
      <c r="BF3661" s="17">
        <v>4.3499999999999996</v>
      </c>
      <c r="BG3661" s="11">
        <f ca="1">IFERROR(__xludf.DUMMYFUNCTION("""COMPUTED_VALUE"""),46029.7152777777)</f>
        <v>46029.715277777701</v>
      </c>
      <c r="BH3661" s="17" t="s">
        <v>105</v>
      </c>
      <c r="BI3661" s="17"/>
      <c r="BJ3661" s="15"/>
      <c r="BK3661" s="15"/>
      <c r="BL3661" s="13" t="b">
        <v>0</v>
      </c>
      <c r="BM3661" s="10"/>
      <c r="BN3661" s="10" t="s">
        <v>118</v>
      </c>
      <c r="BO3661" s="11">
        <v>46028.615972222222</v>
      </c>
      <c r="BP3661" s="11">
        <v>46028.61619212963</v>
      </c>
      <c r="BQ3661" s="15"/>
      <c r="BR3661" s="15">
        <v>46028.627592592595</v>
      </c>
      <c r="BS3661" s="10" t="s">
        <v>118</v>
      </c>
      <c r="BT3661" s="10"/>
      <c r="BU3661" s="10"/>
      <c r="BV3661" s="10"/>
      <c r="BW3661" s="10"/>
      <c r="BX3661" s="10"/>
      <c r="BY3661" s="23"/>
      <c r="BZ3661" s="23"/>
      <c r="CA3661" s="10"/>
      <c r="CB3661" s="23"/>
      <c r="CC3661" s="23"/>
      <c r="CD3661" s="23"/>
      <c r="CE3661" s="23"/>
      <c r="CF3661" s="23"/>
      <c r="CG3661" s="23"/>
      <c r="CH3661" s="23"/>
      <c r="CI3661" s="23"/>
    </row>
    <row r="3662" spans="1:87" x14ac:dyDescent="0.3">
      <c r="A3662" s="9" t="s">
        <v>25404</v>
      </c>
      <c r="B3662" s="10" t="s">
        <v>25405</v>
      </c>
      <c r="C3662" s="11">
        <v>46029.75</v>
      </c>
      <c r="D3662" s="12">
        <v>3.4722222222222224E-2</v>
      </c>
      <c r="E3662" s="11">
        <v>46029.784722222219</v>
      </c>
      <c r="F3662" s="22" t="s">
        <v>24700</v>
      </c>
      <c r="G3662" s="13" t="b">
        <v>0</v>
      </c>
      <c r="H3662" s="22" t="s">
        <v>21384</v>
      </c>
      <c r="I3662" s="10" t="s">
        <v>9131</v>
      </c>
      <c r="J3662" s="13" t="b">
        <v>0</v>
      </c>
      <c r="K3662" s="13" t="b">
        <v>1</v>
      </c>
      <c r="L3662" s="10" t="s">
        <v>124</v>
      </c>
      <c r="M3662" s="10" t="s">
        <v>91</v>
      </c>
      <c r="N3662" s="10" t="s">
        <v>92</v>
      </c>
      <c r="O3662" s="19" t="s">
        <v>25406</v>
      </c>
      <c r="P3662" s="10"/>
      <c r="Q3662" s="10" t="s">
        <v>126</v>
      </c>
      <c r="R3662" s="10"/>
      <c r="S3662" s="10"/>
      <c r="T3662" s="10"/>
      <c r="U3662" s="10"/>
      <c r="V3662" s="10"/>
      <c r="W3662" s="10" t="s">
        <v>24703</v>
      </c>
      <c r="X3662" s="10" t="s">
        <v>216</v>
      </c>
      <c r="Y3662" s="10" t="s">
        <v>216</v>
      </c>
      <c r="Z3662" s="10" t="s">
        <v>99</v>
      </c>
      <c r="AA3662" s="10" t="s">
        <v>131</v>
      </c>
      <c r="AB3662" s="10" t="s">
        <v>24704</v>
      </c>
      <c r="AC3662" s="10" t="s">
        <v>21389</v>
      </c>
      <c r="AD3662" s="10" t="s">
        <v>165</v>
      </c>
      <c r="AE3662" s="10" t="s">
        <v>25407</v>
      </c>
      <c r="AF3662" s="15"/>
      <c r="AG3662" s="10"/>
      <c r="AH3662" s="10"/>
      <c r="AI3662" s="10"/>
      <c r="AJ3662" s="10"/>
      <c r="AK3662" s="10" t="s">
        <v>102</v>
      </c>
      <c r="AL3662" s="10"/>
      <c r="AM3662" s="10"/>
      <c r="AN3662" s="10"/>
      <c r="AO3662" s="13" t="b">
        <v>0</v>
      </c>
      <c r="AP3662" s="22" t="s">
        <v>135</v>
      </c>
      <c r="AQ3662" s="10">
        <f ca="1">IFERROR(__xludf.DUMMYFUNCTION("""COMPUTED_VALUE"""),4832192)</f>
        <v>4832192</v>
      </c>
      <c r="AR3662" s="17">
        <v>5751</v>
      </c>
      <c r="AS3662" s="17">
        <v>4476</v>
      </c>
      <c r="AT3662" s="17">
        <v>26219.25</v>
      </c>
      <c r="AU3662" s="17">
        <v>20.350000000000001</v>
      </c>
      <c r="AV3662" s="17">
        <v>3.4</v>
      </c>
      <c r="AW3662" s="10" t="s">
        <v>105</v>
      </c>
      <c r="AX3662" s="17">
        <v>1680</v>
      </c>
      <c r="AY3662" s="18">
        <v>5.8577412868632708</v>
      </c>
      <c r="AZ3662" s="10"/>
      <c r="BA3662" s="20" t="b">
        <v>0</v>
      </c>
      <c r="BB3662" s="10" t="s">
        <v>24794</v>
      </c>
      <c r="BC3662" s="17">
        <v>5751</v>
      </c>
      <c r="BD3662" s="17">
        <v>4476</v>
      </c>
      <c r="BE3662" s="17">
        <v>26219.25</v>
      </c>
      <c r="BF3662" s="17">
        <v>3.4</v>
      </c>
      <c r="BG3662" s="11">
        <f ca="1">IFERROR(__xludf.DUMMYFUNCTION("""COMPUTED_VALUE"""),46029.75)</f>
        <v>46029.75</v>
      </c>
      <c r="BH3662" s="17" t="s">
        <v>105</v>
      </c>
      <c r="BI3662" s="17"/>
      <c r="BJ3662" s="15"/>
      <c r="BK3662" s="15"/>
      <c r="BL3662" s="13" t="b">
        <v>0</v>
      </c>
      <c r="BM3662" s="10"/>
      <c r="BN3662" s="10" t="s">
        <v>118</v>
      </c>
      <c r="BO3662" s="11">
        <v>46028.615972222222</v>
      </c>
      <c r="BP3662" s="11">
        <v>46028.616319444445</v>
      </c>
      <c r="BQ3662" s="15"/>
      <c r="BR3662" s="15">
        <v>46028.62773148148</v>
      </c>
      <c r="BS3662" s="10" t="s">
        <v>118</v>
      </c>
      <c r="BT3662" s="10"/>
      <c r="BU3662" s="10"/>
      <c r="BV3662" s="10"/>
      <c r="BW3662" s="10"/>
      <c r="BX3662" s="10"/>
      <c r="BY3662" s="23"/>
      <c r="BZ3662" s="23"/>
      <c r="CA3662" s="10"/>
      <c r="CB3662" s="23"/>
      <c r="CC3662" s="23"/>
      <c r="CD3662" s="23"/>
      <c r="CE3662" s="23"/>
      <c r="CF3662" s="23"/>
      <c r="CG3662" s="23"/>
      <c r="CH3662" s="23"/>
      <c r="CI3662" s="23"/>
    </row>
    <row r="3663" spans="1:87" x14ac:dyDescent="0.3">
      <c r="A3663" s="9" t="s">
        <v>25408</v>
      </c>
      <c r="B3663" s="10" t="s">
        <v>25409</v>
      </c>
      <c r="C3663" s="11">
        <v>46029.340277777781</v>
      </c>
      <c r="D3663" s="12">
        <v>3.4722222222222224E-2</v>
      </c>
      <c r="E3663" s="11">
        <v>46029.375</v>
      </c>
      <c r="F3663" s="22" t="s">
        <v>24700</v>
      </c>
      <c r="G3663" s="13" t="b">
        <v>0</v>
      </c>
      <c r="H3663" s="22" t="s">
        <v>21384</v>
      </c>
      <c r="I3663" s="10" t="s">
        <v>9131</v>
      </c>
      <c r="J3663" s="13" t="b">
        <v>0</v>
      </c>
      <c r="K3663" s="13" t="b">
        <v>1</v>
      </c>
      <c r="L3663" s="10" t="s">
        <v>124</v>
      </c>
      <c r="M3663" s="10" t="s">
        <v>91</v>
      </c>
      <c r="N3663" s="10" t="s">
        <v>92</v>
      </c>
      <c r="O3663" s="19" t="s">
        <v>25410</v>
      </c>
      <c r="P3663" s="10"/>
      <c r="Q3663" s="10" t="s">
        <v>94</v>
      </c>
      <c r="R3663" s="10"/>
      <c r="S3663" s="10"/>
      <c r="T3663" s="10"/>
      <c r="U3663" s="10"/>
      <c r="V3663" s="10"/>
      <c r="W3663" s="10" t="s">
        <v>24703</v>
      </c>
      <c r="X3663" s="10" t="s">
        <v>216</v>
      </c>
      <c r="Y3663" s="10" t="s">
        <v>216</v>
      </c>
      <c r="Z3663" s="10" t="s">
        <v>99</v>
      </c>
      <c r="AA3663" s="10" t="s">
        <v>131</v>
      </c>
      <c r="AB3663" s="10" t="s">
        <v>24704</v>
      </c>
      <c r="AC3663" s="10" t="s">
        <v>21389</v>
      </c>
      <c r="AD3663" s="10" t="s">
        <v>165</v>
      </c>
      <c r="AE3663" s="10" t="s">
        <v>25411</v>
      </c>
      <c r="AF3663" s="15"/>
      <c r="AG3663" s="10"/>
      <c r="AH3663" s="10"/>
      <c r="AI3663" s="10"/>
      <c r="AJ3663" s="10"/>
      <c r="AK3663" s="10" t="s">
        <v>102</v>
      </c>
      <c r="AL3663" s="10"/>
      <c r="AM3663" s="10"/>
      <c r="AN3663" s="10"/>
      <c r="AO3663" s="13" t="b">
        <v>0</v>
      </c>
      <c r="AP3663" s="22" t="s">
        <v>221</v>
      </c>
      <c r="AQ3663" s="10">
        <f ca="1">IFERROR(__xludf.DUMMYFUNCTION("""COMPUTED_VALUE"""),4832193)</f>
        <v>4832193</v>
      </c>
      <c r="AR3663" s="17">
        <v>4260</v>
      </c>
      <c r="AS3663" s="17">
        <v>2994</v>
      </c>
      <c r="AT3663" s="17">
        <v>34469.75</v>
      </c>
      <c r="AU3663" s="17">
        <v>8.6</v>
      </c>
      <c r="AV3663" s="17">
        <v>2.85</v>
      </c>
      <c r="AW3663" s="10" t="s">
        <v>105</v>
      </c>
      <c r="AX3663" s="17">
        <v>719</v>
      </c>
      <c r="AY3663" s="18">
        <v>11.512942551770207</v>
      </c>
      <c r="AZ3663" s="10"/>
      <c r="BA3663" s="20" t="b">
        <v>0</v>
      </c>
      <c r="BB3663" s="10" t="s">
        <v>24800</v>
      </c>
      <c r="BC3663" s="17">
        <v>4260</v>
      </c>
      <c r="BD3663" s="17">
        <v>2994</v>
      </c>
      <c r="BE3663" s="17">
        <v>34469.75</v>
      </c>
      <c r="BF3663" s="17">
        <v>2.85</v>
      </c>
      <c r="BG3663" s="11">
        <f ca="1">IFERROR(__xludf.DUMMYFUNCTION("""COMPUTED_VALUE"""),46029.3402777777)</f>
        <v>46029.340277777701</v>
      </c>
      <c r="BH3663" s="17" t="s">
        <v>105</v>
      </c>
      <c r="BI3663" s="17"/>
      <c r="BJ3663" s="15"/>
      <c r="BK3663" s="15"/>
      <c r="BL3663" s="13" t="b">
        <v>0</v>
      </c>
      <c r="BM3663" s="10"/>
      <c r="BN3663" s="10" t="s">
        <v>118</v>
      </c>
      <c r="BO3663" s="11">
        <v>46028.618750000001</v>
      </c>
      <c r="BP3663" s="11">
        <v>46028.618900462963</v>
      </c>
      <c r="BQ3663" s="15"/>
      <c r="BR3663" s="15">
        <v>46028.634050925924</v>
      </c>
      <c r="BS3663" s="10" t="s">
        <v>118</v>
      </c>
      <c r="BT3663" s="10"/>
      <c r="BU3663" s="10"/>
      <c r="BV3663" s="10"/>
      <c r="BW3663" s="10"/>
      <c r="BX3663" s="10"/>
      <c r="BY3663" s="23"/>
      <c r="BZ3663" s="23"/>
      <c r="CA3663" s="10"/>
      <c r="CB3663" s="23"/>
      <c r="CC3663" s="23"/>
      <c r="CD3663" s="23"/>
      <c r="CE3663" s="23"/>
      <c r="CF3663" s="23"/>
      <c r="CG3663" s="23"/>
      <c r="CH3663" s="23"/>
      <c r="CI3663" s="23"/>
    </row>
    <row r="3664" spans="1:87" x14ac:dyDescent="0.3">
      <c r="A3664" s="9" t="s">
        <v>25412</v>
      </c>
      <c r="B3664" s="10" t="s">
        <v>25413</v>
      </c>
      <c r="C3664" s="11">
        <v>46029.375</v>
      </c>
      <c r="D3664" s="12">
        <v>3.4722222222222224E-2</v>
      </c>
      <c r="E3664" s="11">
        <v>46029.409722222219</v>
      </c>
      <c r="F3664" s="22" t="s">
        <v>24700</v>
      </c>
      <c r="G3664" s="13" t="b">
        <v>0</v>
      </c>
      <c r="H3664" s="22" t="s">
        <v>21384</v>
      </c>
      <c r="I3664" s="10" t="s">
        <v>9131</v>
      </c>
      <c r="J3664" s="13" t="b">
        <v>0</v>
      </c>
      <c r="K3664" s="13" t="b">
        <v>1</v>
      </c>
      <c r="L3664" s="10" t="s">
        <v>124</v>
      </c>
      <c r="M3664" s="10" t="s">
        <v>91</v>
      </c>
      <c r="N3664" s="10" t="s">
        <v>92</v>
      </c>
      <c r="O3664" s="19" t="s">
        <v>25414</v>
      </c>
      <c r="P3664" s="10"/>
      <c r="Q3664" s="10" t="s">
        <v>94</v>
      </c>
      <c r="R3664" s="10"/>
      <c r="S3664" s="10"/>
      <c r="T3664" s="10"/>
      <c r="U3664" s="10"/>
      <c r="V3664" s="10"/>
      <c r="W3664" s="10" t="s">
        <v>24703</v>
      </c>
      <c r="X3664" s="10" t="s">
        <v>216</v>
      </c>
      <c r="Y3664" s="10" t="s">
        <v>216</v>
      </c>
      <c r="Z3664" s="10" t="s">
        <v>99</v>
      </c>
      <c r="AA3664" s="10" t="s">
        <v>131</v>
      </c>
      <c r="AB3664" s="10" t="s">
        <v>24704</v>
      </c>
      <c r="AC3664" s="10" t="s">
        <v>21389</v>
      </c>
      <c r="AD3664" s="10" t="s">
        <v>165</v>
      </c>
      <c r="AE3664" s="10" t="s">
        <v>25415</v>
      </c>
      <c r="AF3664" s="15"/>
      <c r="AG3664" s="10"/>
      <c r="AH3664" s="10"/>
      <c r="AI3664" s="10"/>
      <c r="AJ3664" s="10"/>
      <c r="AK3664" s="10" t="s">
        <v>102</v>
      </c>
      <c r="AL3664" s="10"/>
      <c r="AM3664" s="10"/>
      <c r="AN3664" s="10"/>
      <c r="AO3664" s="13" t="b">
        <v>0</v>
      </c>
      <c r="AP3664" s="22" t="s">
        <v>104</v>
      </c>
      <c r="AQ3664" s="10">
        <f ca="1">IFERROR(__xludf.DUMMYFUNCTION("""COMPUTED_VALUE"""),4832194)</f>
        <v>4832194</v>
      </c>
      <c r="AR3664" s="17">
        <v>6735</v>
      </c>
      <c r="AS3664" s="17">
        <v>4495</v>
      </c>
      <c r="AT3664" s="17">
        <v>57512</v>
      </c>
      <c r="AU3664" s="17">
        <v>21.8</v>
      </c>
      <c r="AV3664" s="17">
        <v>6.35</v>
      </c>
      <c r="AW3664" s="10" t="s">
        <v>105</v>
      </c>
      <c r="AX3664" s="17">
        <v>1417</v>
      </c>
      <c r="AY3664" s="18">
        <v>12.794660734149055</v>
      </c>
      <c r="AZ3664" s="10"/>
      <c r="BA3664" s="20" t="b">
        <v>0</v>
      </c>
      <c r="BB3664" s="10" t="s">
        <v>24800</v>
      </c>
      <c r="BC3664" s="17">
        <v>6735</v>
      </c>
      <c r="BD3664" s="17">
        <v>4495</v>
      </c>
      <c r="BE3664" s="17">
        <v>57512</v>
      </c>
      <c r="BF3664" s="17">
        <v>6.35</v>
      </c>
      <c r="BG3664" s="11">
        <f ca="1">IFERROR(__xludf.DUMMYFUNCTION("""COMPUTED_VALUE"""),46029.375)</f>
        <v>46029.375</v>
      </c>
      <c r="BH3664" s="17" t="s">
        <v>105</v>
      </c>
      <c r="BI3664" s="17"/>
      <c r="BJ3664" s="15"/>
      <c r="BK3664" s="15"/>
      <c r="BL3664" s="13" t="b">
        <v>0</v>
      </c>
      <c r="BM3664" s="10"/>
      <c r="BN3664" s="10" t="s">
        <v>118</v>
      </c>
      <c r="BO3664" s="11">
        <v>46028.618750000001</v>
      </c>
      <c r="BP3664" s="11">
        <v>46028.619351851848</v>
      </c>
      <c r="BQ3664" s="15"/>
      <c r="BR3664" s="15">
        <v>46028.634189814817</v>
      </c>
      <c r="BS3664" s="10" t="s">
        <v>118</v>
      </c>
      <c r="BT3664" s="10"/>
      <c r="BU3664" s="10"/>
      <c r="BV3664" s="10"/>
      <c r="BW3664" s="10"/>
      <c r="BX3664" s="10"/>
      <c r="BY3664" s="23"/>
      <c r="BZ3664" s="23"/>
      <c r="CA3664" s="10"/>
      <c r="CB3664" s="23"/>
      <c r="CC3664" s="23"/>
      <c r="CD3664" s="23"/>
      <c r="CE3664" s="23"/>
      <c r="CF3664" s="23"/>
      <c r="CG3664" s="23"/>
      <c r="CH3664" s="23"/>
      <c r="CI3664" s="23"/>
    </row>
    <row r="3665" spans="1:87" x14ac:dyDescent="0.3">
      <c r="A3665" s="9" t="s">
        <v>25416</v>
      </c>
      <c r="B3665" s="10" t="s">
        <v>25417</v>
      </c>
      <c r="C3665" s="11">
        <v>46029.409722222219</v>
      </c>
      <c r="D3665" s="12">
        <v>3.4722222222222224E-2</v>
      </c>
      <c r="E3665" s="11">
        <v>46029.444444444445</v>
      </c>
      <c r="F3665" s="22" t="s">
        <v>24700</v>
      </c>
      <c r="G3665" s="13" t="b">
        <v>0</v>
      </c>
      <c r="H3665" s="22" t="s">
        <v>21384</v>
      </c>
      <c r="I3665" s="10" t="s">
        <v>9131</v>
      </c>
      <c r="J3665" s="13" t="b">
        <v>0</v>
      </c>
      <c r="K3665" s="13" t="b">
        <v>1</v>
      </c>
      <c r="L3665" s="10" t="s">
        <v>124</v>
      </c>
      <c r="M3665" s="10" t="s">
        <v>91</v>
      </c>
      <c r="N3665" s="10" t="s">
        <v>92</v>
      </c>
      <c r="O3665" s="19" t="s">
        <v>25418</v>
      </c>
      <c r="P3665" s="10"/>
      <c r="Q3665" s="10" t="s">
        <v>94</v>
      </c>
      <c r="R3665" s="10"/>
      <c r="S3665" s="10"/>
      <c r="T3665" s="10"/>
      <c r="U3665" s="10"/>
      <c r="V3665" s="10"/>
      <c r="W3665" s="10" t="s">
        <v>24703</v>
      </c>
      <c r="X3665" s="10" t="s">
        <v>216</v>
      </c>
      <c r="Y3665" s="10" t="s">
        <v>216</v>
      </c>
      <c r="Z3665" s="10" t="s">
        <v>99</v>
      </c>
      <c r="AA3665" s="10" t="s">
        <v>131</v>
      </c>
      <c r="AB3665" s="10" t="s">
        <v>24704</v>
      </c>
      <c r="AC3665" s="10" t="s">
        <v>21389</v>
      </c>
      <c r="AD3665" s="10" t="s">
        <v>165</v>
      </c>
      <c r="AE3665" s="10" t="s">
        <v>25419</v>
      </c>
      <c r="AF3665" s="15"/>
      <c r="AG3665" s="10"/>
      <c r="AH3665" s="10"/>
      <c r="AI3665" s="10"/>
      <c r="AJ3665" s="10"/>
      <c r="AK3665" s="10" t="s">
        <v>102</v>
      </c>
      <c r="AL3665" s="10"/>
      <c r="AM3665" s="10"/>
      <c r="AN3665" s="10"/>
      <c r="AO3665" s="13" t="b">
        <v>0</v>
      </c>
      <c r="AP3665" s="22" t="s">
        <v>221</v>
      </c>
      <c r="AQ3665" s="10">
        <f ca="1">IFERROR(__xludf.DUMMYFUNCTION("""COMPUTED_VALUE"""),4832195)</f>
        <v>4832195</v>
      </c>
      <c r="AR3665" s="17">
        <v>13249</v>
      </c>
      <c r="AS3665" s="17">
        <v>7276</v>
      </c>
      <c r="AT3665" s="17">
        <v>98138.25</v>
      </c>
      <c r="AU3665" s="17">
        <v>41.35</v>
      </c>
      <c r="AV3665" s="17">
        <v>15.25</v>
      </c>
      <c r="AW3665" s="10" t="s">
        <v>105</v>
      </c>
      <c r="AX3665" s="17">
        <v>2486</v>
      </c>
      <c r="AY3665" s="18">
        <v>13.487939802089059</v>
      </c>
      <c r="AZ3665" s="10"/>
      <c r="BA3665" s="20" t="b">
        <v>0</v>
      </c>
      <c r="BB3665" s="10" t="s">
        <v>24800</v>
      </c>
      <c r="BC3665" s="17">
        <v>13249</v>
      </c>
      <c r="BD3665" s="17">
        <v>7276</v>
      </c>
      <c r="BE3665" s="17">
        <v>98138.25</v>
      </c>
      <c r="BF3665" s="17">
        <v>15.25</v>
      </c>
      <c r="BG3665" s="11">
        <f ca="1">IFERROR(__xludf.DUMMYFUNCTION("""COMPUTED_VALUE"""),46029.4097222222)</f>
        <v>46029.409722222197</v>
      </c>
      <c r="BH3665" s="17" t="s">
        <v>105</v>
      </c>
      <c r="BI3665" s="17"/>
      <c r="BJ3665" s="15"/>
      <c r="BK3665" s="15"/>
      <c r="BL3665" s="13" t="b">
        <v>0</v>
      </c>
      <c r="BM3665" s="10"/>
      <c r="BN3665" s="10" t="s">
        <v>118</v>
      </c>
      <c r="BO3665" s="11">
        <v>46028.619444444441</v>
      </c>
      <c r="BP3665" s="11">
        <v>46028.619525462964</v>
      </c>
      <c r="BQ3665" s="15"/>
      <c r="BR3665" s="15">
        <v>46028.634305555555</v>
      </c>
      <c r="BS3665" s="10" t="s">
        <v>118</v>
      </c>
      <c r="BT3665" s="10"/>
      <c r="BU3665" s="10"/>
      <c r="BV3665" s="10"/>
      <c r="BW3665" s="10"/>
      <c r="BX3665" s="10"/>
      <c r="BY3665" s="23"/>
      <c r="BZ3665" s="23"/>
      <c r="CA3665" s="10"/>
      <c r="CB3665" s="23"/>
      <c r="CC3665" s="23"/>
      <c r="CD3665" s="23"/>
      <c r="CE3665" s="23"/>
      <c r="CF3665" s="23"/>
      <c r="CG3665" s="23"/>
      <c r="CH3665" s="23"/>
      <c r="CI3665" s="23"/>
    </row>
    <row r="3666" spans="1:87" x14ac:dyDescent="0.3">
      <c r="A3666" s="9" t="s">
        <v>25420</v>
      </c>
      <c r="B3666" s="10" t="s">
        <v>25421</v>
      </c>
      <c r="C3666" s="11">
        <v>46029.444444444445</v>
      </c>
      <c r="D3666" s="12">
        <v>3.4722222222222224E-2</v>
      </c>
      <c r="E3666" s="11">
        <v>46029.479166666664</v>
      </c>
      <c r="F3666" s="22" t="s">
        <v>24700</v>
      </c>
      <c r="G3666" s="13" t="b">
        <v>0</v>
      </c>
      <c r="H3666" s="22" t="s">
        <v>21384</v>
      </c>
      <c r="I3666" s="10" t="s">
        <v>9131</v>
      </c>
      <c r="J3666" s="13" t="b">
        <v>0</v>
      </c>
      <c r="K3666" s="13" t="b">
        <v>1</v>
      </c>
      <c r="L3666" s="10" t="s">
        <v>358</v>
      </c>
      <c r="M3666" s="10" t="s">
        <v>91</v>
      </c>
      <c r="N3666" s="10" t="s">
        <v>92</v>
      </c>
      <c r="O3666" s="19" t="s">
        <v>25422</v>
      </c>
      <c r="P3666" s="10"/>
      <c r="Q3666" s="10" t="s">
        <v>94</v>
      </c>
      <c r="R3666" s="10"/>
      <c r="S3666" s="10"/>
      <c r="T3666" s="10"/>
      <c r="U3666" s="10"/>
      <c r="V3666" s="10"/>
      <c r="W3666" s="10" t="s">
        <v>24703</v>
      </c>
      <c r="X3666" s="10" t="s">
        <v>216</v>
      </c>
      <c r="Y3666" s="10" t="s">
        <v>216</v>
      </c>
      <c r="Z3666" s="10" t="s">
        <v>99</v>
      </c>
      <c r="AA3666" s="10" t="s">
        <v>131</v>
      </c>
      <c r="AB3666" s="10" t="s">
        <v>24704</v>
      </c>
      <c r="AC3666" s="10" t="s">
        <v>21389</v>
      </c>
      <c r="AD3666" s="10" t="s">
        <v>165</v>
      </c>
      <c r="AE3666" s="10" t="s">
        <v>25423</v>
      </c>
      <c r="AF3666" s="15"/>
      <c r="AG3666" s="10"/>
      <c r="AH3666" s="10"/>
      <c r="AI3666" s="10"/>
      <c r="AJ3666" s="10"/>
      <c r="AK3666" s="10" t="s">
        <v>102</v>
      </c>
      <c r="AL3666" s="10"/>
      <c r="AM3666" s="10"/>
      <c r="AN3666" s="10"/>
      <c r="AO3666" s="13" t="b">
        <v>0</v>
      </c>
      <c r="AP3666" s="22" t="s">
        <v>104</v>
      </c>
      <c r="AQ3666" s="10">
        <f ca="1">IFERROR(__xludf.DUMMYFUNCTION("""COMPUTED_VALUE"""),4832196)</f>
        <v>4832196</v>
      </c>
      <c r="AR3666" s="17">
        <v>13579</v>
      </c>
      <c r="AS3666" s="17">
        <v>8717</v>
      </c>
      <c r="AT3666" s="17">
        <v>128948</v>
      </c>
      <c r="AU3666" s="17">
        <v>83.65</v>
      </c>
      <c r="AV3666" s="17">
        <v>26.95</v>
      </c>
      <c r="AW3666" s="10" t="s">
        <v>105</v>
      </c>
      <c r="AX3666" s="17">
        <v>5608</v>
      </c>
      <c r="AY3666" s="18">
        <v>14.792703911896295</v>
      </c>
      <c r="AZ3666" s="10"/>
      <c r="BA3666" s="20" t="b">
        <v>0</v>
      </c>
      <c r="BB3666" s="10" t="s">
        <v>24800</v>
      </c>
      <c r="BC3666" s="17">
        <v>13579</v>
      </c>
      <c r="BD3666" s="17">
        <v>8717</v>
      </c>
      <c r="BE3666" s="17">
        <v>128948</v>
      </c>
      <c r="BF3666" s="17">
        <v>26.95</v>
      </c>
      <c r="BG3666" s="11">
        <f ca="1">IFERROR(__xludf.DUMMYFUNCTION("""COMPUTED_VALUE"""),46029.4444444444)</f>
        <v>46029.444444444402</v>
      </c>
      <c r="BH3666" s="17" t="s">
        <v>105</v>
      </c>
      <c r="BI3666" s="17"/>
      <c r="BJ3666" s="15"/>
      <c r="BK3666" s="15"/>
      <c r="BL3666" s="13" t="b">
        <v>0</v>
      </c>
      <c r="BM3666" s="10"/>
      <c r="BN3666" s="10" t="s">
        <v>118</v>
      </c>
      <c r="BO3666" s="11">
        <v>46028.619444444441</v>
      </c>
      <c r="BP3666" s="11">
        <v>46028.619699074072</v>
      </c>
      <c r="BQ3666" s="15"/>
      <c r="BR3666" s="15">
        <v>46028.634432870371</v>
      </c>
      <c r="BS3666" s="10" t="s">
        <v>118</v>
      </c>
      <c r="BT3666" s="10" t="s">
        <v>99</v>
      </c>
      <c r="BU3666" s="10"/>
      <c r="BV3666" s="10"/>
      <c r="BW3666" s="10"/>
      <c r="BX3666" s="10"/>
      <c r="BY3666" s="23"/>
      <c r="BZ3666" s="23"/>
      <c r="CA3666" s="10"/>
      <c r="CB3666" s="23"/>
      <c r="CC3666" s="23"/>
      <c r="CD3666" s="23"/>
      <c r="CE3666" s="23"/>
      <c r="CF3666" s="23"/>
      <c r="CG3666" s="23"/>
      <c r="CH3666" s="23"/>
      <c r="CI3666" s="23"/>
    </row>
    <row r="3667" spans="1:87" x14ac:dyDescent="0.3">
      <c r="A3667" s="9" t="s">
        <v>25424</v>
      </c>
      <c r="B3667" s="10" t="s">
        <v>25425</v>
      </c>
      <c r="C3667" s="11">
        <v>46029.479166666664</v>
      </c>
      <c r="D3667" s="12">
        <v>3.4722222222222224E-2</v>
      </c>
      <c r="E3667" s="11">
        <v>46029.513888888891</v>
      </c>
      <c r="F3667" s="22" t="s">
        <v>24700</v>
      </c>
      <c r="G3667" s="13" t="b">
        <v>0</v>
      </c>
      <c r="H3667" s="22" t="s">
        <v>21384</v>
      </c>
      <c r="I3667" s="10" t="s">
        <v>9131</v>
      </c>
      <c r="J3667" s="13" t="b">
        <v>0</v>
      </c>
      <c r="K3667" s="13" t="b">
        <v>1</v>
      </c>
      <c r="L3667" s="10" t="s">
        <v>124</v>
      </c>
      <c r="M3667" s="10" t="s">
        <v>91</v>
      </c>
      <c r="N3667" s="10" t="s">
        <v>92</v>
      </c>
      <c r="O3667" s="19" t="s">
        <v>25426</v>
      </c>
      <c r="P3667" s="10"/>
      <c r="Q3667" s="10" t="s">
        <v>94</v>
      </c>
      <c r="R3667" s="10"/>
      <c r="S3667" s="10"/>
      <c r="T3667" s="10"/>
      <c r="U3667" s="10"/>
      <c r="V3667" s="10"/>
      <c r="W3667" s="10" t="s">
        <v>24703</v>
      </c>
      <c r="X3667" s="10" t="s">
        <v>216</v>
      </c>
      <c r="Y3667" s="10" t="s">
        <v>216</v>
      </c>
      <c r="Z3667" s="10" t="s">
        <v>99</v>
      </c>
      <c r="AA3667" s="10" t="s">
        <v>131</v>
      </c>
      <c r="AB3667" s="10" t="s">
        <v>24704</v>
      </c>
      <c r="AC3667" s="10" t="s">
        <v>21389</v>
      </c>
      <c r="AD3667" s="10" t="s">
        <v>165</v>
      </c>
      <c r="AE3667" s="10" t="s">
        <v>25427</v>
      </c>
      <c r="AF3667" s="15"/>
      <c r="AG3667" s="10"/>
      <c r="AH3667" s="10"/>
      <c r="AI3667" s="10"/>
      <c r="AJ3667" s="10"/>
      <c r="AK3667" s="10" t="s">
        <v>102</v>
      </c>
      <c r="AL3667" s="10"/>
      <c r="AM3667" s="10"/>
      <c r="AN3667" s="10"/>
      <c r="AO3667" s="13" t="b">
        <v>0</v>
      </c>
      <c r="AP3667" s="22" t="s">
        <v>135</v>
      </c>
      <c r="AQ3667" s="10">
        <f ca="1">IFERROR(__xludf.DUMMYFUNCTION("""COMPUTED_VALUE"""),4832197)</f>
        <v>4832197</v>
      </c>
      <c r="AR3667" s="17">
        <v>3520</v>
      </c>
      <c r="AS3667" s="17">
        <v>2704</v>
      </c>
      <c r="AT3667" s="17">
        <v>7242</v>
      </c>
      <c r="AU3667" s="17">
        <v>1.25</v>
      </c>
      <c r="AV3667" s="17">
        <v>0.65</v>
      </c>
      <c r="AW3667" s="10" t="s">
        <v>105</v>
      </c>
      <c r="AX3667" s="17">
        <v>5211</v>
      </c>
      <c r="AY3667" s="18">
        <v>2.6782544378698225</v>
      </c>
      <c r="AZ3667" s="10"/>
      <c r="BA3667" s="20" t="b">
        <v>0</v>
      </c>
      <c r="BB3667" s="10" t="s">
        <v>24800</v>
      </c>
      <c r="BC3667" s="17">
        <v>3520</v>
      </c>
      <c r="BD3667" s="17">
        <v>2704</v>
      </c>
      <c r="BE3667" s="17">
        <v>7242</v>
      </c>
      <c r="BF3667" s="17">
        <v>0.65</v>
      </c>
      <c r="BG3667" s="11">
        <f ca="1">IFERROR(__xludf.DUMMYFUNCTION("""COMPUTED_VALUE"""),46029.4791666666)</f>
        <v>46029.479166666599</v>
      </c>
      <c r="BH3667" s="17" t="s">
        <v>105</v>
      </c>
      <c r="BI3667" s="17"/>
      <c r="BJ3667" s="15"/>
      <c r="BK3667" s="15"/>
      <c r="BL3667" s="13" t="b">
        <v>0</v>
      </c>
      <c r="BM3667" s="10"/>
      <c r="BN3667" s="10" t="s">
        <v>118</v>
      </c>
      <c r="BO3667" s="11">
        <v>46028.619444444441</v>
      </c>
      <c r="BP3667" s="11">
        <v>46028.61991898148</v>
      </c>
      <c r="BQ3667" s="15"/>
      <c r="BR3667" s="15">
        <v>46028.634583333333</v>
      </c>
      <c r="BS3667" s="10" t="s">
        <v>118</v>
      </c>
      <c r="BT3667" s="10"/>
      <c r="BU3667" s="10"/>
      <c r="BV3667" s="10"/>
      <c r="BW3667" s="10"/>
      <c r="BX3667" s="10"/>
      <c r="BY3667" s="23"/>
      <c r="BZ3667" s="23"/>
      <c r="CA3667" s="10"/>
      <c r="CB3667" s="23"/>
      <c r="CC3667" s="23"/>
      <c r="CD3667" s="23"/>
      <c r="CE3667" s="23"/>
      <c r="CF3667" s="23"/>
      <c r="CG3667" s="23"/>
      <c r="CH3667" s="23"/>
      <c r="CI3667" s="23"/>
    </row>
    <row r="3668" spans="1:87" x14ac:dyDescent="0.3">
      <c r="A3668" s="9" t="s">
        <v>25428</v>
      </c>
      <c r="B3668" s="10" t="s">
        <v>25429</v>
      </c>
      <c r="C3668" s="11">
        <v>46029.513888888891</v>
      </c>
      <c r="D3668" s="12">
        <v>3.4722222222222224E-2</v>
      </c>
      <c r="E3668" s="11">
        <v>46029.548611111109</v>
      </c>
      <c r="F3668" s="22" t="s">
        <v>24700</v>
      </c>
      <c r="G3668" s="13" t="b">
        <v>0</v>
      </c>
      <c r="H3668" s="22" t="s">
        <v>21384</v>
      </c>
      <c r="I3668" s="10" t="s">
        <v>9131</v>
      </c>
      <c r="J3668" s="13" t="b">
        <v>0</v>
      </c>
      <c r="K3668" s="13" t="b">
        <v>1</v>
      </c>
      <c r="L3668" s="10" t="s">
        <v>124</v>
      </c>
      <c r="M3668" s="10" t="s">
        <v>91</v>
      </c>
      <c r="N3668" s="10" t="s">
        <v>92</v>
      </c>
      <c r="O3668" s="19" t="s">
        <v>25430</v>
      </c>
      <c r="P3668" s="10"/>
      <c r="Q3668" s="10" t="s">
        <v>94</v>
      </c>
      <c r="R3668" s="10"/>
      <c r="S3668" s="10"/>
      <c r="T3668" s="10"/>
      <c r="U3668" s="10"/>
      <c r="V3668" s="10"/>
      <c r="W3668" s="10" t="s">
        <v>24703</v>
      </c>
      <c r="X3668" s="10" t="s">
        <v>216</v>
      </c>
      <c r="Y3668" s="10" t="s">
        <v>216</v>
      </c>
      <c r="Z3668" s="10" t="s">
        <v>99</v>
      </c>
      <c r="AA3668" s="10" t="s">
        <v>131</v>
      </c>
      <c r="AB3668" s="10" t="s">
        <v>24704</v>
      </c>
      <c r="AC3668" s="10" t="s">
        <v>21389</v>
      </c>
      <c r="AD3668" s="10" t="s">
        <v>165</v>
      </c>
      <c r="AE3668" s="10" t="s">
        <v>25431</v>
      </c>
      <c r="AF3668" s="15"/>
      <c r="AG3668" s="10"/>
      <c r="AH3668" s="10"/>
      <c r="AI3668" s="10"/>
      <c r="AJ3668" s="10"/>
      <c r="AK3668" s="10" t="s">
        <v>102</v>
      </c>
      <c r="AL3668" s="10"/>
      <c r="AM3668" s="10"/>
      <c r="AN3668" s="10"/>
      <c r="AO3668" s="13" t="b">
        <v>0</v>
      </c>
      <c r="AP3668" s="22" t="s">
        <v>104</v>
      </c>
      <c r="AQ3668" s="10">
        <f ca="1">IFERROR(__xludf.DUMMYFUNCTION("""COMPUTED_VALUE"""),4832198)</f>
        <v>4832198</v>
      </c>
      <c r="AR3668" s="17">
        <v>9472</v>
      </c>
      <c r="AS3668" s="17">
        <v>5767</v>
      </c>
      <c r="AT3668" s="17">
        <v>70730.5</v>
      </c>
      <c r="AU3668" s="17">
        <v>13.35</v>
      </c>
      <c r="AV3668" s="17">
        <v>2.5</v>
      </c>
      <c r="AW3668" s="10" t="s">
        <v>105</v>
      </c>
      <c r="AX3668" s="17">
        <v>2187</v>
      </c>
      <c r="AY3668" s="18">
        <v>12.264695682330501</v>
      </c>
      <c r="AZ3668" s="10"/>
      <c r="BA3668" s="20" t="b">
        <v>0</v>
      </c>
      <c r="BB3668" s="10" t="s">
        <v>24800</v>
      </c>
      <c r="BC3668" s="17">
        <v>9472</v>
      </c>
      <c r="BD3668" s="17">
        <v>5767</v>
      </c>
      <c r="BE3668" s="17">
        <v>70730.5</v>
      </c>
      <c r="BF3668" s="17">
        <v>2.5</v>
      </c>
      <c r="BG3668" s="11">
        <f ca="1">IFERROR(__xludf.DUMMYFUNCTION("""COMPUTED_VALUE"""),46029.5138888888)</f>
        <v>46029.513888888803</v>
      </c>
      <c r="BH3668" s="17" t="s">
        <v>105</v>
      </c>
      <c r="BI3668" s="17"/>
      <c r="BJ3668" s="15"/>
      <c r="BK3668" s="15"/>
      <c r="BL3668" s="13" t="b">
        <v>0</v>
      </c>
      <c r="BM3668" s="10"/>
      <c r="BN3668" s="10" t="s">
        <v>118</v>
      </c>
      <c r="BO3668" s="11">
        <v>46028.620138888888</v>
      </c>
      <c r="BP3668" s="11">
        <v>46028.620266203703</v>
      </c>
      <c r="BQ3668" s="15"/>
      <c r="BR3668" s="15">
        <v>46028.634699074071</v>
      </c>
      <c r="BS3668" s="10" t="s">
        <v>118</v>
      </c>
      <c r="BT3668" s="10"/>
      <c r="BU3668" s="10"/>
      <c r="BV3668" s="10"/>
      <c r="BW3668" s="10"/>
      <c r="BX3668" s="10"/>
      <c r="BY3668" s="23"/>
      <c r="BZ3668" s="23"/>
      <c r="CA3668" s="10"/>
      <c r="CB3668" s="23"/>
      <c r="CC3668" s="23"/>
      <c r="CD3668" s="23"/>
      <c r="CE3668" s="23"/>
      <c r="CF3668" s="23"/>
      <c r="CG3668" s="23"/>
      <c r="CH3668" s="23"/>
      <c r="CI3668" s="23"/>
    </row>
    <row r="3669" spans="1:87" x14ac:dyDescent="0.3">
      <c r="A3669" s="9" t="s">
        <v>25432</v>
      </c>
      <c r="B3669" s="10" t="s">
        <v>25433</v>
      </c>
      <c r="C3669" s="11">
        <v>46029.548611111109</v>
      </c>
      <c r="D3669" s="12">
        <v>3.4722222222222224E-2</v>
      </c>
      <c r="E3669" s="11">
        <v>46029.583333333336</v>
      </c>
      <c r="F3669" s="22" t="s">
        <v>24700</v>
      </c>
      <c r="G3669" s="13" t="b">
        <v>0</v>
      </c>
      <c r="H3669" s="22" t="s">
        <v>21384</v>
      </c>
      <c r="I3669" s="10" t="s">
        <v>9131</v>
      </c>
      <c r="J3669" s="13" t="b">
        <v>0</v>
      </c>
      <c r="K3669" s="13" t="b">
        <v>1</v>
      </c>
      <c r="L3669" s="10" t="s">
        <v>124</v>
      </c>
      <c r="M3669" s="10" t="s">
        <v>91</v>
      </c>
      <c r="N3669" s="10" t="s">
        <v>92</v>
      </c>
      <c r="O3669" s="19" t="s">
        <v>25434</v>
      </c>
      <c r="P3669" s="10"/>
      <c r="Q3669" s="10" t="s">
        <v>94</v>
      </c>
      <c r="R3669" s="10"/>
      <c r="S3669" s="10"/>
      <c r="T3669" s="10"/>
      <c r="U3669" s="10"/>
      <c r="V3669" s="10"/>
      <c r="W3669" s="10" t="s">
        <v>24703</v>
      </c>
      <c r="X3669" s="10" t="s">
        <v>216</v>
      </c>
      <c r="Y3669" s="10" t="s">
        <v>216</v>
      </c>
      <c r="Z3669" s="10" t="s">
        <v>99</v>
      </c>
      <c r="AA3669" s="10" t="s">
        <v>131</v>
      </c>
      <c r="AB3669" s="10" t="s">
        <v>24704</v>
      </c>
      <c r="AC3669" s="10" t="s">
        <v>21389</v>
      </c>
      <c r="AD3669" s="10" t="s">
        <v>165</v>
      </c>
      <c r="AE3669" s="10" t="s">
        <v>25435</v>
      </c>
      <c r="AF3669" s="15"/>
      <c r="AG3669" s="10"/>
      <c r="AH3669" s="10"/>
      <c r="AI3669" s="10"/>
      <c r="AJ3669" s="10"/>
      <c r="AK3669" s="10" t="s">
        <v>102</v>
      </c>
      <c r="AL3669" s="10"/>
      <c r="AM3669" s="10"/>
      <c r="AN3669" s="10"/>
      <c r="AO3669" s="13" t="b">
        <v>0</v>
      </c>
      <c r="AP3669" s="22" t="s">
        <v>104</v>
      </c>
      <c r="AQ3669" s="10">
        <f ca="1">IFERROR(__xludf.DUMMYFUNCTION("""COMPUTED_VALUE"""),4832199)</f>
        <v>4832199</v>
      </c>
      <c r="AR3669" s="17">
        <v>9119</v>
      </c>
      <c r="AS3669" s="17">
        <v>5477</v>
      </c>
      <c r="AT3669" s="17">
        <v>106366</v>
      </c>
      <c r="AU3669" s="17">
        <v>24.45</v>
      </c>
      <c r="AV3669" s="17">
        <v>6.5</v>
      </c>
      <c r="AW3669" s="10" t="s">
        <v>105</v>
      </c>
      <c r="AX3669" s="17">
        <v>2223</v>
      </c>
      <c r="AY3669" s="18">
        <v>19.420485667336134</v>
      </c>
      <c r="AZ3669" s="10"/>
      <c r="BA3669" s="20" t="b">
        <v>0</v>
      </c>
      <c r="BB3669" s="10" t="s">
        <v>24800</v>
      </c>
      <c r="BC3669" s="17">
        <v>9119</v>
      </c>
      <c r="BD3669" s="17">
        <v>5477</v>
      </c>
      <c r="BE3669" s="17">
        <v>106366</v>
      </c>
      <c r="BF3669" s="17">
        <v>6.5</v>
      </c>
      <c r="BG3669" s="11">
        <f ca="1">IFERROR(__xludf.DUMMYFUNCTION("""COMPUTED_VALUE"""),46029.5486111111)</f>
        <v>46029.548611111102</v>
      </c>
      <c r="BH3669" s="17" t="s">
        <v>105</v>
      </c>
      <c r="BI3669" s="17"/>
      <c r="BJ3669" s="15"/>
      <c r="BK3669" s="15"/>
      <c r="BL3669" s="13" t="b">
        <v>0</v>
      </c>
      <c r="BM3669" s="10"/>
      <c r="BN3669" s="10" t="s">
        <v>118</v>
      </c>
      <c r="BO3669" s="11">
        <v>46028.620138888888</v>
      </c>
      <c r="BP3669" s="11">
        <v>46028.620462962965</v>
      </c>
      <c r="BQ3669" s="15"/>
      <c r="BR3669" s="15">
        <v>46028.634826388887</v>
      </c>
      <c r="BS3669" s="10" t="s">
        <v>118</v>
      </c>
      <c r="BT3669" s="10"/>
      <c r="BU3669" s="10"/>
      <c r="BV3669" s="10"/>
      <c r="BW3669" s="10"/>
      <c r="BX3669" s="10"/>
      <c r="BY3669" s="23"/>
      <c r="BZ3669" s="23"/>
      <c r="CA3669" s="10"/>
      <c r="CB3669" s="23"/>
      <c r="CC3669" s="23"/>
      <c r="CD3669" s="23"/>
      <c r="CE3669" s="23"/>
      <c r="CF3669" s="23"/>
      <c r="CG3669" s="23"/>
      <c r="CH3669" s="23"/>
      <c r="CI3669" s="23"/>
    </row>
    <row r="3670" spans="1:87" x14ac:dyDescent="0.3">
      <c r="A3670" s="9" t="s">
        <v>25436</v>
      </c>
      <c r="B3670" s="10" t="s">
        <v>25437</v>
      </c>
      <c r="C3670" s="11">
        <v>46029.583333333336</v>
      </c>
      <c r="D3670" s="12">
        <v>3.4722222222222224E-2</v>
      </c>
      <c r="E3670" s="11">
        <v>46029.618055555555</v>
      </c>
      <c r="F3670" s="22" t="s">
        <v>24700</v>
      </c>
      <c r="G3670" s="13" t="b">
        <v>0</v>
      </c>
      <c r="H3670" s="22" t="s">
        <v>21384</v>
      </c>
      <c r="I3670" s="10" t="s">
        <v>9131</v>
      </c>
      <c r="J3670" s="13" t="b">
        <v>0</v>
      </c>
      <c r="K3670" s="13" t="b">
        <v>1</v>
      </c>
      <c r="L3670" s="10" t="s">
        <v>358</v>
      </c>
      <c r="M3670" s="10" t="s">
        <v>91</v>
      </c>
      <c r="N3670" s="10" t="s">
        <v>92</v>
      </c>
      <c r="O3670" s="19" t="s">
        <v>25438</v>
      </c>
      <c r="P3670" s="10"/>
      <c r="Q3670" s="10" t="s">
        <v>94</v>
      </c>
      <c r="R3670" s="10"/>
      <c r="S3670" s="10"/>
      <c r="T3670" s="10"/>
      <c r="U3670" s="10"/>
      <c r="V3670" s="10"/>
      <c r="W3670" s="10" t="s">
        <v>24703</v>
      </c>
      <c r="X3670" s="10" t="s">
        <v>216</v>
      </c>
      <c r="Y3670" s="10" t="s">
        <v>216</v>
      </c>
      <c r="Z3670" s="10" t="s">
        <v>99</v>
      </c>
      <c r="AA3670" s="10" t="s">
        <v>131</v>
      </c>
      <c r="AB3670" s="10" t="s">
        <v>24704</v>
      </c>
      <c r="AC3670" s="10" t="s">
        <v>21389</v>
      </c>
      <c r="AD3670" s="10" t="s">
        <v>165</v>
      </c>
      <c r="AE3670" s="10" t="s">
        <v>25439</v>
      </c>
      <c r="AF3670" s="15"/>
      <c r="AG3670" s="10"/>
      <c r="AH3670" s="10"/>
      <c r="AI3670" s="10"/>
      <c r="AJ3670" s="10"/>
      <c r="AK3670" s="10" t="s">
        <v>102</v>
      </c>
      <c r="AL3670" s="10"/>
      <c r="AM3670" s="10"/>
      <c r="AN3670" s="10"/>
      <c r="AO3670" s="13" t="b">
        <v>0</v>
      </c>
      <c r="AP3670" s="22" t="s">
        <v>221</v>
      </c>
      <c r="AQ3670" s="10">
        <f ca="1">IFERROR(__xludf.DUMMYFUNCTION("""COMPUTED_VALUE"""),4832200)</f>
        <v>4832200</v>
      </c>
      <c r="AR3670" s="17">
        <v>18447</v>
      </c>
      <c r="AS3670" s="17">
        <v>12058</v>
      </c>
      <c r="AT3670" s="17">
        <v>306227.5</v>
      </c>
      <c r="AU3670" s="17">
        <v>107.45</v>
      </c>
      <c r="AV3670" s="17">
        <v>24.8</v>
      </c>
      <c r="AW3670" s="10" t="s">
        <v>105</v>
      </c>
      <c r="AX3670" s="17">
        <v>6845</v>
      </c>
      <c r="AY3670" s="18">
        <v>25.396209985072151</v>
      </c>
      <c r="AZ3670" s="10"/>
      <c r="BA3670" s="20" t="b">
        <v>0</v>
      </c>
      <c r="BB3670" s="10" t="s">
        <v>24800</v>
      </c>
      <c r="BC3670" s="17">
        <v>18447</v>
      </c>
      <c r="BD3670" s="17">
        <v>12058</v>
      </c>
      <c r="BE3670" s="17">
        <v>306227.5</v>
      </c>
      <c r="BF3670" s="17">
        <v>24.8</v>
      </c>
      <c r="BG3670" s="11">
        <f ca="1">IFERROR(__xludf.DUMMYFUNCTION("""COMPUTED_VALUE"""),46029.5833333333)</f>
        <v>46029.583333333299</v>
      </c>
      <c r="BH3670" s="17" t="s">
        <v>105</v>
      </c>
      <c r="BI3670" s="17"/>
      <c r="BJ3670" s="15"/>
      <c r="BK3670" s="15"/>
      <c r="BL3670" s="13" t="b">
        <v>0</v>
      </c>
      <c r="BM3670" s="10"/>
      <c r="BN3670" s="10" t="s">
        <v>118</v>
      </c>
      <c r="BO3670" s="11">
        <v>46028.620138888888</v>
      </c>
      <c r="BP3670" s="11">
        <v>46028.62059027778</v>
      </c>
      <c r="BQ3670" s="15"/>
      <c r="BR3670" s="15">
        <v>46028.634988425925</v>
      </c>
      <c r="BS3670" s="10" t="s">
        <v>118</v>
      </c>
      <c r="BT3670" s="10" t="s">
        <v>99</v>
      </c>
      <c r="BU3670" s="10"/>
      <c r="BV3670" s="10"/>
      <c r="BW3670" s="10"/>
      <c r="BX3670" s="10"/>
      <c r="BY3670" s="23"/>
      <c r="BZ3670" s="23"/>
      <c r="CA3670" s="10"/>
      <c r="CB3670" s="23"/>
      <c r="CC3670" s="23"/>
      <c r="CD3670" s="23"/>
      <c r="CE3670" s="23"/>
      <c r="CF3670" s="23"/>
      <c r="CG3670" s="23"/>
      <c r="CH3670" s="23"/>
      <c r="CI3670" s="23"/>
    </row>
    <row r="3671" spans="1:87" x14ac:dyDescent="0.3">
      <c r="A3671" s="9" t="s">
        <v>25440</v>
      </c>
      <c r="B3671" s="10" t="s">
        <v>25441</v>
      </c>
      <c r="C3671" s="11">
        <v>46029.618055555555</v>
      </c>
      <c r="D3671" s="12">
        <v>3.4722222222222224E-2</v>
      </c>
      <c r="E3671" s="11">
        <v>46029.652777777781</v>
      </c>
      <c r="F3671" s="22" t="s">
        <v>24700</v>
      </c>
      <c r="G3671" s="13" t="b">
        <v>0</v>
      </c>
      <c r="H3671" s="22" t="s">
        <v>21384</v>
      </c>
      <c r="I3671" s="10" t="s">
        <v>9131</v>
      </c>
      <c r="J3671" s="13" t="b">
        <v>0</v>
      </c>
      <c r="K3671" s="13" t="b">
        <v>1</v>
      </c>
      <c r="L3671" s="10" t="s">
        <v>124</v>
      </c>
      <c r="M3671" s="10" t="s">
        <v>91</v>
      </c>
      <c r="N3671" s="10" t="s">
        <v>92</v>
      </c>
      <c r="O3671" s="19" t="s">
        <v>25442</v>
      </c>
      <c r="P3671" s="10"/>
      <c r="Q3671" s="10" t="s">
        <v>94</v>
      </c>
      <c r="R3671" s="10"/>
      <c r="S3671" s="10"/>
      <c r="T3671" s="10"/>
      <c r="U3671" s="10"/>
      <c r="V3671" s="10"/>
      <c r="W3671" s="10" t="s">
        <v>24703</v>
      </c>
      <c r="X3671" s="10" t="s">
        <v>216</v>
      </c>
      <c r="Y3671" s="10" t="s">
        <v>216</v>
      </c>
      <c r="Z3671" s="10" t="s">
        <v>99</v>
      </c>
      <c r="AA3671" s="10" t="s">
        <v>131</v>
      </c>
      <c r="AB3671" s="10" t="s">
        <v>24704</v>
      </c>
      <c r="AC3671" s="10" t="s">
        <v>21389</v>
      </c>
      <c r="AD3671" s="10" t="s">
        <v>165</v>
      </c>
      <c r="AE3671" s="10" t="s">
        <v>25443</v>
      </c>
      <c r="AF3671" s="15"/>
      <c r="AG3671" s="10"/>
      <c r="AH3671" s="10"/>
      <c r="AI3671" s="10"/>
      <c r="AJ3671" s="10"/>
      <c r="AK3671" s="10" t="s">
        <v>102</v>
      </c>
      <c r="AL3671" s="10"/>
      <c r="AM3671" s="10"/>
      <c r="AN3671" s="10"/>
      <c r="AO3671" s="13" t="b">
        <v>0</v>
      </c>
      <c r="AP3671" s="22" t="s">
        <v>104</v>
      </c>
      <c r="AQ3671" s="10">
        <f ca="1">IFERROR(__xludf.DUMMYFUNCTION("""COMPUTED_VALUE"""),4832201)</f>
        <v>4832201</v>
      </c>
      <c r="AR3671" s="17">
        <v>18430</v>
      </c>
      <c r="AS3671" s="17">
        <v>11499</v>
      </c>
      <c r="AT3671" s="17">
        <v>138375.25</v>
      </c>
      <c r="AU3671" s="17">
        <v>64.55</v>
      </c>
      <c r="AV3671" s="17">
        <v>17.7</v>
      </c>
      <c r="AW3671" s="10" t="s">
        <v>105</v>
      </c>
      <c r="AX3671" s="17">
        <v>6892</v>
      </c>
      <c r="AY3671" s="18">
        <v>12.033676841464475</v>
      </c>
      <c r="AZ3671" s="10"/>
      <c r="BA3671" s="20" t="b">
        <v>0</v>
      </c>
      <c r="BB3671" s="10" t="s">
        <v>24800</v>
      </c>
      <c r="BC3671" s="17">
        <v>18430</v>
      </c>
      <c r="BD3671" s="17">
        <v>11499</v>
      </c>
      <c r="BE3671" s="17">
        <v>138375.25</v>
      </c>
      <c r="BF3671" s="17">
        <v>17.7</v>
      </c>
      <c r="BG3671" s="11">
        <f ca="1">IFERROR(__xludf.DUMMYFUNCTION("""COMPUTED_VALUE"""),46029.6180555555)</f>
        <v>46029.618055555497</v>
      </c>
      <c r="BH3671" s="17" t="s">
        <v>105</v>
      </c>
      <c r="BI3671" s="17"/>
      <c r="BJ3671" s="15"/>
      <c r="BK3671" s="15"/>
      <c r="BL3671" s="13" t="b">
        <v>0</v>
      </c>
      <c r="BM3671" s="10"/>
      <c r="BN3671" s="10" t="s">
        <v>118</v>
      </c>
      <c r="BO3671" s="11">
        <v>46028.620138888888</v>
      </c>
      <c r="BP3671" s="11">
        <v>46028.620775462965</v>
      </c>
      <c r="BQ3671" s="15"/>
      <c r="BR3671" s="15">
        <v>46028.635115740741</v>
      </c>
      <c r="BS3671" s="10" t="s">
        <v>118</v>
      </c>
      <c r="BT3671" s="10" t="s">
        <v>99</v>
      </c>
      <c r="BU3671" s="10"/>
      <c r="BV3671" s="10"/>
      <c r="BW3671" s="10"/>
      <c r="BX3671" s="10"/>
      <c r="BY3671" s="23"/>
      <c r="BZ3671" s="23"/>
      <c r="CA3671" s="10"/>
      <c r="CB3671" s="23"/>
      <c r="CC3671" s="23"/>
      <c r="CD3671" s="23"/>
      <c r="CE3671" s="23"/>
      <c r="CF3671" s="23"/>
      <c r="CG3671" s="23"/>
      <c r="CH3671" s="23"/>
      <c r="CI3671" s="23"/>
    </row>
    <row r="3672" spans="1:87" x14ac:dyDescent="0.3">
      <c r="A3672" s="9" t="s">
        <v>25444</v>
      </c>
      <c r="B3672" s="10" t="s">
        <v>25445</v>
      </c>
      <c r="C3672" s="11">
        <v>46029.652777777781</v>
      </c>
      <c r="D3672" s="12">
        <v>3.4722222222222224E-2</v>
      </c>
      <c r="E3672" s="11">
        <v>46029.6875</v>
      </c>
      <c r="F3672" s="22" t="s">
        <v>24700</v>
      </c>
      <c r="G3672" s="13" t="b">
        <v>0</v>
      </c>
      <c r="H3672" s="22" t="s">
        <v>21384</v>
      </c>
      <c r="I3672" s="10" t="s">
        <v>9131</v>
      </c>
      <c r="J3672" s="13" t="b">
        <v>0</v>
      </c>
      <c r="K3672" s="13" t="b">
        <v>1</v>
      </c>
      <c r="L3672" s="10" t="s">
        <v>358</v>
      </c>
      <c r="M3672" s="10" t="s">
        <v>91</v>
      </c>
      <c r="N3672" s="10" t="s">
        <v>92</v>
      </c>
      <c r="O3672" s="19" t="s">
        <v>25446</v>
      </c>
      <c r="P3672" s="10"/>
      <c r="Q3672" s="10" t="s">
        <v>94</v>
      </c>
      <c r="R3672" s="10"/>
      <c r="S3672" s="10"/>
      <c r="T3672" s="10"/>
      <c r="U3672" s="10"/>
      <c r="V3672" s="10"/>
      <c r="W3672" s="10" t="s">
        <v>24703</v>
      </c>
      <c r="X3672" s="10" t="s">
        <v>216</v>
      </c>
      <c r="Y3672" s="10" t="s">
        <v>216</v>
      </c>
      <c r="Z3672" s="10" t="s">
        <v>99</v>
      </c>
      <c r="AA3672" s="10" t="s">
        <v>131</v>
      </c>
      <c r="AB3672" s="10" t="s">
        <v>24704</v>
      </c>
      <c r="AC3672" s="10" t="s">
        <v>21389</v>
      </c>
      <c r="AD3672" s="10" t="s">
        <v>165</v>
      </c>
      <c r="AE3672" s="10" t="s">
        <v>25447</v>
      </c>
      <c r="AF3672" s="15"/>
      <c r="AG3672" s="10"/>
      <c r="AH3672" s="10"/>
      <c r="AI3672" s="10"/>
      <c r="AJ3672" s="10"/>
      <c r="AK3672" s="10" t="s">
        <v>102</v>
      </c>
      <c r="AL3672" s="10"/>
      <c r="AM3672" s="10"/>
      <c r="AN3672" s="10"/>
      <c r="AO3672" s="13" t="b">
        <v>0</v>
      </c>
      <c r="AP3672" s="22" t="s">
        <v>135</v>
      </c>
      <c r="AQ3672" s="10">
        <f ca="1">IFERROR(__xludf.DUMMYFUNCTION("""COMPUTED_VALUE"""),4832202)</f>
        <v>4832202</v>
      </c>
      <c r="AR3672" s="17">
        <v>23237</v>
      </c>
      <c r="AS3672" s="17">
        <v>14843</v>
      </c>
      <c r="AT3672" s="17">
        <v>254163.75</v>
      </c>
      <c r="AU3672" s="17">
        <v>97.65</v>
      </c>
      <c r="AV3672" s="17">
        <v>20.399999999999999</v>
      </c>
      <c r="AW3672" s="10" t="s">
        <v>105</v>
      </c>
      <c r="AX3672" s="17">
        <v>9005</v>
      </c>
      <c r="AY3672" s="18">
        <v>17.123475712457051</v>
      </c>
      <c r="AZ3672" s="10"/>
      <c r="BA3672" s="20" t="b">
        <v>0</v>
      </c>
      <c r="BB3672" s="10" t="s">
        <v>24800</v>
      </c>
      <c r="BC3672" s="17">
        <v>23237</v>
      </c>
      <c r="BD3672" s="17">
        <v>14843</v>
      </c>
      <c r="BE3672" s="17">
        <v>254163.75</v>
      </c>
      <c r="BF3672" s="17">
        <v>20.399999999999999</v>
      </c>
      <c r="BG3672" s="11">
        <f ca="1">IFERROR(__xludf.DUMMYFUNCTION("""COMPUTED_VALUE"""),46029.6527777777)</f>
        <v>46029.652777777701</v>
      </c>
      <c r="BH3672" s="17" t="s">
        <v>105</v>
      </c>
      <c r="BI3672" s="17"/>
      <c r="BJ3672" s="15"/>
      <c r="BK3672" s="15"/>
      <c r="BL3672" s="13" t="b">
        <v>0</v>
      </c>
      <c r="BM3672" s="10"/>
      <c r="BN3672" s="10" t="s">
        <v>118</v>
      </c>
      <c r="BO3672" s="11">
        <v>46028.620833333334</v>
      </c>
      <c r="BP3672" s="11">
        <v>46028.62091435185</v>
      </c>
      <c r="BQ3672" s="15"/>
      <c r="BR3672" s="15">
        <v>46028.635254629633</v>
      </c>
      <c r="BS3672" s="10" t="s">
        <v>118</v>
      </c>
      <c r="BT3672" s="10" t="s">
        <v>99</v>
      </c>
      <c r="BU3672" s="10"/>
      <c r="BV3672" s="10"/>
      <c r="BW3672" s="10"/>
      <c r="BX3672" s="10"/>
      <c r="BY3672" s="23"/>
      <c r="BZ3672" s="23"/>
      <c r="CA3672" s="10"/>
      <c r="CB3672" s="23"/>
      <c r="CC3672" s="23"/>
      <c r="CD3672" s="23"/>
      <c r="CE3672" s="23"/>
      <c r="CF3672" s="23"/>
      <c r="CG3672" s="23"/>
      <c r="CH3672" s="23"/>
      <c r="CI3672" s="23"/>
    </row>
    <row r="3673" spans="1:87" x14ac:dyDescent="0.3">
      <c r="A3673" s="9" t="s">
        <v>25448</v>
      </c>
      <c r="B3673" s="10" t="s">
        <v>25449</v>
      </c>
      <c r="C3673" s="11">
        <v>46029.6875</v>
      </c>
      <c r="D3673" s="12">
        <v>3.4722222222222224E-2</v>
      </c>
      <c r="E3673" s="11">
        <v>46029.722222222219</v>
      </c>
      <c r="F3673" s="22" t="s">
        <v>24700</v>
      </c>
      <c r="G3673" s="13" t="b">
        <v>0</v>
      </c>
      <c r="H3673" s="22" t="s">
        <v>21384</v>
      </c>
      <c r="I3673" s="10" t="s">
        <v>9131</v>
      </c>
      <c r="J3673" s="13" t="b">
        <v>0</v>
      </c>
      <c r="K3673" s="13" t="b">
        <v>1</v>
      </c>
      <c r="L3673" s="10" t="s">
        <v>124</v>
      </c>
      <c r="M3673" s="10" t="s">
        <v>91</v>
      </c>
      <c r="N3673" s="10" t="s">
        <v>92</v>
      </c>
      <c r="O3673" s="19" t="s">
        <v>25450</v>
      </c>
      <c r="P3673" s="10"/>
      <c r="Q3673" s="10" t="s">
        <v>94</v>
      </c>
      <c r="R3673" s="10"/>
      <c r="S3673" s="10"/>
      <c r="T3673" s="10"/>
      <c r="U3673" s="10"/>
      <c r="V3673" s="10"/>
      <c r="W3673" s="10" t="s">
        <v>24703</v>
      </c>
      <c r="X3673" s="10" t="s">
        <v>216</v>
      </c>
      <c r="Y3673" s="10" t="s">
        <v>216</v>
      </c>
      <c r="Z3673" s="10" t="s">
        <v>99</v>
      </c>
      <c r="AA3673" s="10" t="s">
        <v>131</v>
      </c>
      <c r="AB3673" s="10" t="s">
        <v>24704</v>
      </c>
      <c r="AC3673" s="10" t="s">
        <v>21389</v>
      </c>
      <c r="AD3673" s="10" t="s">
        <v>165</v>
      </c>
      <c r="AE3673" s="10" t="s">
        <v>25451</v>
      </c>
      <c r="AF3673" s="15"/>
      <c r="AG3673" s="10"/>
      <c r="AH3673" s="10"/>
      <c r="AI3673" s="10"/>
      <c r="AJ3673" s="10"/>
      <c r="AK3673" s="10" t="s">
        <v>102</v>
      </c>
      <c r="AL3673" s="10"/>
      <c r="AM3673" s="10"/>
      <c r="AN3673" s="10"/>
      <c r="AO3673" s="13" t="b">
        <v>0</v>
      </c>
      <c r="AP3673" s="22" t="s">
        <v>135</v>
      </c>
      <c r="AQ3673" s="10">
        <f ca="1">IFERROR(__xludf.DUMMYFUNCTION("""COMPUTED_VALUE"""),4832203)</f>
        <v>4832203</v>
      </c>
      <c r="AR3673" s="17">
        <v>4931</v>
      </c>
      <c r="AS3673" s="17">
        <v>3689</v>
      </c>
      <c r="AT3673" s="17">
        <v>24630</v>
      </c>
      <c r="AU3673" s="17">
        <v>12.1</v>
      </c>
      <c r="AV3673" s="17">
        <v>3.3</v>
      </c>
      <c r="AW3673" s="10" t="s">
        <v>105</v>
      </c>
      <c r="AX3673" s="17">
        <v>9014</v>
      </c>
      <c r="AY3673" s="18">
        <v>6.676606126321496</v>
      </c>
      <c r="AZ3673" s="10"/>
      <c r="BA3673" s="20" t="b">
        <v>0</v>
      </c>
      <c r="BB3673" s="10" t="s">
        <v>24800</v>
      </c>
      <c r="BC3673" s="17">
        <v>4931</v>
      </c>
      <c r="BD3673" s="17">
        <v>3689</v>
      </c>
      <c r="BE3673" s="17">
        <v>24630</v>
      </c>
      <c r="BF3673" s="17">
        <v>3.3</v>
      </c>
      <c r="BG3673" s="11">
        <f ca="1">IFERROR(__xludf.DUMMYFUNCTION("""COMPUTED_VALUE"""),46029.6875)</f>
        <v>46029.6875</v>
      </c>
      <c r="BH3673" s="17" t="s">
        <v>105</v>
      </c>
      <c r="BI3673" s="17"/>
      <c r="BJ3673" s="15"/>
      <c r="BK3673" s="15"/>
      <c r="BL3673" s="13" t="b">
        <v>0</v>
      </c>
      <c r="BM3673" s="10"/>
      <c r="BN3673" s="10" t="s">
        <v>118</v>
      </c>
      <c r="BO3673" s="11">
        <v>46028.620833333334</v>
      </c>
      <c r="BP3673" s="11">
        <v>46028.621076388888</v>
      </c>
      <c r="BQ3673" s="15"/>
      <c r="BR3673" s="15">
        <v>46028.635381944441</v>
      </c>
      <c r="BS3673" s="10" t="s">
        <v>118</v>
      </c>
      <c r="BT3673" s="10"/>
      <c r="BU3673" s="10"/>
      <c r="BV3673" s="10"/>
      <c r="BW3673" s="10"/>
      <c r="BX3673" s="10"/>
      <c r="BY3673" s="23"/>
      <c r="BZ3673" s="23"/>
      <c r="CA3673" s="10"/>
      <c r="CB3673" s="23"/>
      <c r="CC3673" s="23"/>
      <c r="CD3673" s="23"/>
      <c r="CE3673" s="23"/>
      <c r="CF3673" s="23"/>
      <c r="CG3673" s="23"/>
      <c r="CH3673" s="23"/>
      <c r="CI3673" s="23"/>
    </row>
    <row r="3674" spans="1:87" x14ac:dyDescent="0.3">
      <c r="A3674" s="9" t="s">
        <v>25452</v>
      </c>
      <c r="B3674" s="10" t="s">
        <v>25453</v>
      </c>
      <c r="C3674" s="11">
        <v>46029.722222222219</v>
      </c>
      <c r="D3674" s="12">
        <v>3.4722222222222224E-2</v>
      </c>
      <c r="E3674" s="11">
        <v>46029.756944444445</v>
      </c>
      <c r="F3674" s="22" t="s">
        <v>24700</v>
      </c>
      <c r="G3674" s="13" t="b">
        <v>0</v>
      </c>
      <c r="H3674" s="22" t="s">
        <v>21384</v>
      </c>
      <c r="I3674" s="10" t="s">
        <v>9131</v>
      </c>
      <c r="J3674" s="13" t="b">
        <v>0</v>
      </c>
      <c r="K3674" s="13" t="b">
        <v>1</v>
      </c>
      <c r="L3674" s="10" t="s">
        <v>124</v>
      </c>
      <c r="M3674" s="10" t="s">
        <v>91</v>
      </c>
      <c r="N3674" s="10" t="s">
        <v>92</v>
      </c>
      <c r="O3674" s="19" t="s">
        <v>25454</v>
      </c>
      <c r="P3674" s="10"/>
      <c r="Q3674" s="10" t="s">
        <v>94</v>
      </c>
      <c r="R3674" s="10"/>
      <c r="S3674" s="10"/>
      <c r="T3674" s="10"/>
      <c r="U3674" s="10"/>
      <c r="V3674" s="10"/>
      <c r="W3674" s="10" t="s">
        <v>24703</v>
      </c>
      <c r="X3674" s="10" t="s">
        <v>216</v>
      </c>
      <c r="Y3674" s="10" t="s">
        <v>216</v>
      </c>
      <c r="Z3674" s="10" t="s">
        <v>99</v>
      </c>
      <c r="AA3674" s="10" t="s">
        <v>131</v>
      </c>
      <c r="AB3674" s="10" t="s">
        <v>24704</v>
      </c>
      <c r="AC3674" s="10" t="s">
        <v>21389</v>
      </c>
      <c r="AD3674" s="10" t="s">
        <v>165</v>
      </c>
      <c r="AE3674" s="10" t="s">
        <v>25455</v>
      </c>
      <c r="AF3674" s="15"/>
      <c r="AG3674" s="10"/>
      <c r="AH3674" s="10"/>
      <c r="AI3674" s="10"/>
      <c r="AJ3674" s="10"/>
      <c r="AK3674" s="10" t="s">
        <v>102</v>
      </c>
      <c r="AL3674" s="10"/>
      <c r="AM3674" s="10"/>
      <c r="AN3674" s="10"/>
      <c r="AO3674" s="13" t="b">
        <v>0</v>
      </c>
      <c r="AP3674" s="22" t="s">
        <v>135</v>
      </c>
      <c r="AQ3674" s="10">
        <f ca="1">IFERROR(__xludf.DUMMYFUNCTION("""COMPUTED_VALUE"""),4832204)</f>
        <v>4832204</v>
      </c>
      <c r="AR3674" s="17">
        <v>4526</v>
      </c>
      <c r="AS3674" s="17">
        <v>3419</v>
      </c>
      <c r="AT3674" s="17">
        <v>30700.25</v>
      </c>
      <c r="AU3674" s="17">
        <v>13.7</v>
      </c>
      <c r="AV3674" s="17">
        <v>1.5</v>
      </c>
      <c r="AW3674" s="10" t="s">
        <v>105</v>
      </c>
      <c r="AX3674" s="17">
        <v>2012</v>
      </c>
      <c r="AY3674" s="18">
        <v>8.9793068148581465</v>
      </c>
      <c r="AZ3674" s="10"/>
      <c r="BA3674" s="20" t="b">
        <v>0</v>
      </c>
      <c r="BB3674" s="10" t="s">
        <v>24800</v>
      </c>
      <c r="BC3674" s="17">
        <v>4526</v>
      </c>
      <c r="BD3674" s="17">
        <v>3419</v>
      </c>
      <c r="BE3674" s="17">
        <v>30700.25</v>
      </c>
      <c r="BF3674" s="17">
        <v>1.5</v>
      </c>
      <c r="BG3674" s="11">
        <f ca="1">IFERROR(__xludf.DUMMYFUNCTION("""COMPUTED_VALUE"""),46029.7222222222)</f>
        <v>46029.722222222197</v>
      </c>
      <c r="BH3674" s="17" t="s">
        <v>105</v>
      </c>
      <c r="BI3674" s="17"/>
      <c r="BJ3674" s="15"/>
      <c r="BK3674" s="15"/>
      <c r="BL3674" s="13" t="b">
        <v>0</v>
      </c>
      <c r="BM3674" s="10"/>
      <c r="BN3674" s="10" t="s">
        <v>118</v>
      </c>
      <c r="BO3674" s="11">
        <v>46028.620833333334</v>
      </c>
      <c r="BP3674" s="11">
        <v>46028.62127314815</v>
      </c>
      <c r="BQ3674" s="15"/>
      <c r="BR3674" s="15">
        <v>46028.635497685187</v>
      </c>
      <c r="BS3674" s="10" t="s">
        <v>118</v>
      </c>
      <c r="BT3674" s="10"/>
      <c r="BU3674" s="10"/>
      <c r="BV3674" s="10"/>
      <c r="BW3674" s="10"/>
      <c r="BX3674" s="10"/>
      <c r="BY3674" s="23"/>
      <c r="BZ3674" s="23"/>
      <c r="CA3674" s="10"/>
      <c r="CB3674" s="23"/>
      <c r="CC3674" s="23"/>
      <c r="CD3674" s="23"/>
      <c r="CE3674" s="23"/>
      <c r="CF3674" s="23"/>
      <c r="CG3674" s="23"/>
      <c r="CH3674" s="23"/>
      <c r="CI3674" s="23"/>
    </row>
    <row r="3675" spans="1:87" x14ac:dyDescent="0.3">
      <c r="A3675" s="9" t="s">
        <v>25456</v>
      </c>
      <c r="B3675" s="10" t="s">
        <v>25457</v>
      </c>
      <c r="C3675" s="11">
        <v>46029.756944444445</v>
      </c>
      <c r="D3675" s="12">
        <v>3.4722222222222224E-2</v>
      </c>
      <c r="E3675" s="11">
        <v>46029.791666666664</v>
      </c>
      <c r="F3675" s="22" t="s">
        <v>24700</v>
      </c>
      <c r="G3675" s="13" t="b">
        <v>0</v>
      </c>
      <c r="H3675" s="22" t="s">
        <v>21384</v>
      </c>
      <c r="I3675" s="10" t="s">
        <v>9131</v>
      </c>
      <c r="J3675" s="13" t="b">
        <v>0</v>
      </c>
      <c r="K3675" s="13" t="b">
        <v>1</v>
      </c>
      <c r="L3675" s="10" t="s">
        <v>124</v>
      </c>
      <c r="M3675" s="10" t="s">
        <v>91</v>
      </c>
      <c r="N3675" s="10" t="s">
        <v>92</v>
      </c>
      <c r="O3675" s="19" t="s">
        <v>25458</v>
      </c>
      <c r="P3675" s="10"/>
      <c r="Q3675" s="10" t="s">
        <v>94</v>
      </c>
      <c r="R3675" s="10"/>
      <c r="S3675" s="10"/>
      <c r="T3675" s="10"/>
      <c r="U3675" s="10"/>
      <c r="V3675" s="10"/>
      <c r="W3675" s="10" t="s">
        <v>24703</v>
      </c>
      <c r="X3675" s="10" t="s">
        <v>216</v>
      </c>
      <c r="Y3675" s="10" t="s">
        <v>216</v>
      </c>
      <c r="Z3675" s="10" t="s">
        <v>99</v>
      </c>
      <c r="AA3675" s="10" t="s">
        <v>131</v>
      </c>
      <c r="AB3675" s="10" t="s">
        <v>24704</v>
      </c>
      <c r="AC3675" s="10" t="s">
        <v>21389</v>
      </c>
      <c r="AD3675" s="10" t="s">
        <v>165</v>
      </c>
      <c r="AE3675" s="10" t="s">
        <v>25459</v>
      </c>
      <c r="AF3675" s="15"/>
      <c r="AG3675" s="10"/>
      <c r="AH3675" s="10"/>
      <c r="AI3675" s="10"/>
      <c r="AJ3675" s="10"/>
      <c r="AK3675" s="10" t="s">
        <v>102</v>
      </c>
      <c r="AL3675" s="10"/>
      <c r="AM3675" s="10"/>
      <c r="AN3675" s="10"/>
      <c r="AO3675" s="13" t="b">
        <v>0</v>
      </c>
      <c r="AP3675" s="22" t="s">
        <v>135</v>
      </c>
      <c r="AQ3675" s="10">
        <f ca="1">IFERROR(__xludf.DUMMYFUNCTION("""COMPUTED_VALUE"""),4832205)</f>
        <v>4832205</v>
      </c>
      <c r="AR3675" s="17">
        <v>4911</v>
      </c>
      <c r="AS3675" s="17">
        <v>3659</v>
      </c>
      <c r="AT3675" s="17">
        <v>27801.25</v>
      </c>
      <c r="AU3675" s="17">
        <v>16.600000000000001</v>
      </c>
      <c r="AV3675" s="17">
        <v>1.4</v>
      </c>
      <c r="AW3675" s="10" t="s">
        <v>105</v>
      </c>
      <c r="AX3675" s="17">
        <v>1609</v>
      </c>
      <c r="AY3675" s="18">
        <v>7.5980459141842029</v>
      </c>
      <c r="AZ3675" s="10"/>
      <c r="BA3675" s="20" t="b">
        <v>0</v>
      </c>
      <c r="BB3675" s="10" t="s">
        <v>24800</v>
      </c>
      <c r="BC3675" s="17">
        <v>4911</v>
      </c>
      <c r="BD3675" s="17">
        <v>3659</v>
      </c>
      <c r="BE3675" s="17">
        <v>27801.25</v>
      </c>
      <c r="BF3675" s="17">
        <v>1.4</v>
      </c>
      <c r="BG3675" s="11">
        <f ca="1">IFERROR(__xludf.DUMMYFUNCTION("""COMPUTED_VALUE"""),46029.7569444444)</f>
        <v>46029.756944444402</v>
      </c>
      <c r="BH3675" s="17" t="s">
        <v>105</v>
      </c>
      <c r="BI3675" s="17"/>
      <c r="BJ3675" s="15"/>
      <c r="BK3675" s="15"/>
      <c r="BL3675" s="13" t="b">
        <v>0</v>
      </c>
      <c r="BM3675" s="10"/>
      <c r="BN3675" s="10" t="s">
        <v>118</v>
      </c>
      <c r="BO3675" s="11">
        <v>46028.620833333334</v>
      </c>
      <c r="BP3675" s="11">
        <v>46028.621469907404</v>
      </c>
      <c r="BQ3675" s="15"/>
      <c r="BR3675" s="15">
        <v>46028.635613425926</v>
      </c>
      <c r="BS3675" s="10" t="s">
        <v>118</v>
      </c>
      <c r="BT3675" s="10"/>
      <c r="BU3675" s="10"/>
      <c r="BV3675" s="10"/>
      <c r="BW3675" s="10"/>
      <c r="BX3675" s="10"/>
      <c r="BY3675" s="23"/>
      <c r="BZ3675" s="23"/>
      <c r="CA3675" s="10"/>
      <c r="CB3675" s="23"/>
      <c r="CC3675" s="23"/>
      <c r="CD3675" s="23"/>
      <c r="CE3675" s="23"/>
      <c r="CF3675" s="23"/>
      <c r="CG3675" s="23"/>
      <c r="CH3675" s="23"/>
      <c r="CI3675" s="23"/>
    </row>
    <row r="3676" spans="1:87" x14ac:dyDescent="0.3">
      <c r="A3676" s="9" t="s">
        <v>25460</v>
      </c>
      <c r="B3676" s="10" t="s">
        <v>25461</v>
      </c>
      <c r="C3676" s="11">
        <v>46029.784722222219</v>
      </c>
      <c r="D3676" s="12">
        <v>3.4722222222222224E-2</v>
      </c>
      <c r="E3676" s="11">
        <v>46029.819444444445</v>
      </c>
      <c r="F3676" s="22" t="s">
        <v>24700</v>
      </c>
      <c r="G3676" s="13" t="b">
        <v>0</v>
      </c>
      <c r="H3676" s="22" t="s">
        <v>21384</v>
      </c>
      <c r="I3676" s="10" t="s">
        <v>9131</v>
      </c>
      <c r="J3676" s="13" t="b">
        <v>0</v>
      </c>
      <c r="K3676" s="13" t="b">
        <v>1</v>
      </c>
      <c r="L3676" s="10" t="s">
        <v>124</v>
      </c>
      <c r="M3676" s="10" t="s">
        <v>91</v>
      </c>
      <c r="N3676" s="10" t="s">
        <v>92</v>
      </c>
      <c r="O3676" s="19" t="s">
        <v>25462</v>
      </c>
      <c r="P3676" s="10"/>
      <c r="Q3676" s="10" t="s">
        <v>94</v>
      </c>
      <c r="R3676" s="10"/>
      <c r="S3676" s="10"/>
      <c r="T3676" s="10"/>
      <c r="U3676" s="10"/>
      <c r="V3676" s="10"/>
      <c r="W3676" s="10" t="s">
        <v>24703</v>
      </c>
      <c r="X3676" s="10" t="s">
        <v>216</v>
      </c>
      <c r="Y3676" s="10" t="s">
        <v>216</v>
      </c>
      <c r="Z3676" s="10" t="s">
        <v>99</v>
      </c>
      <c r="AA3676" s="10" t="s">
        <v>131</v>
      </c>
      <c r="AB3676" s="10" t="s">
        <v>24704</v>
      </c>
      <c r="AC3676" s="10" t="s">
        <v>21389</v>
      </c>
      <c r="AD3676" s="10" t="s">
        <v>165</v>
      </c>
      <c r="AE3676" s="10" t="s">
        <v>25463</v>
      </c>
      <c r="AF3676" s="15"/>
      <c r="AG3676" s="10"/>
      <c r="AH3676" s="10"/>
      <c r="AI3676" s="10"/>
      <c r="AJ3676" s="10"/>
      <c r="AK3676" s="10" t="s">
        <v>102</v>
      </c>
      <c r="AL3676" s="10"/>
      <c r="AM3676" s="10"/>
      <c r="AN3676" s="10"/>
      <c r="AO3676" s="13" t="b">
        <v>0</v>
      </c>
      <c r="AP3676" s="22" t="s">
        <v>135</v>
      </c>
      <c r="AQ3676" s="10">
        <f ca="1">IFERROR(__xludf.DUMMYFUNCTION("""COMPUTED_VALUE"""),4832321)</f>
        <v>4832321</v>
      </c>
      <c r="AR3676" s="17">
        <v>3427</v>
      </c>
      <c r="AS3676" s="17">
        <v>2759</v>
      </c>
      <c r="AT3676" s="17">
        <v>6429.75</v>
      </c>
      <c r="AU3676" s="17">
        <v>5.55</v>
      </c>
      <c r="AV3676" s="17">
        <v>3.35</v>
      </c>
      <c r="AW3676" s="10" t="s">
        <v>105</v>
      </c>
      <c r="AX3676" s="17">
        <v>1501</v>
      </c>
      <c r="AY3676" s="18">
        <v>2.3304639362087713</v>
      </c>
      <c r="AZ3676" s="10"/>
      <c r="BA3676" s="20" t="b">
        <v>0</v>
      </c>
      <c r="BB3676" s="10" t="s">
        <v>24788</v>
      </c>
      <c r="BC3676" s="17">
        <v>3427</v>
      </c>
      <c r="BD3676" s="17">
        <v>2759</v>
      </c>
      <c r="BE3676" s="17">
        <v>6429.75</v>
      </c>
      <c r="BF3676" s="17">
        <v>3.35</v>
      </c>
      <c r="BG3676" s="11">
        <f ca="1">IFERROR(__xludf.DUMMYFUNCTION("""COMPUTED_VALUE"""),46029.7847222222)</f>
        <v>46029.784722222197</v>
      </c>
      <c r="BH3676" s="17" t="s">
        <v>105</v>
      </c>
      <c r="BI3676" s="17"/>
      <c r="BJ3676" s="15"/>
      <c r="BK3676" s="15"/>
      <c r="BL3676" s="13" t="b">
        <v>0</v>
      </c>
      <c r="BM3676" s="10"/>
      <c r="BN3676" s="10" t="s">
        <v>634</v>
      </c>
      <c r="BO3676" s="11">
        <v>46028.621527777781</v>
      </c>
      <c r="BP3676" s="11">
        <v>46029.800266203703</v>
      </c>
      <c r="BQ3676" s="15"/>
      <c r="BR3676" s="15">
        <v>46029.820381944446</v>
      </c>
      <c r="BS3676" s="10" t="s">
        <v>634</v>
      </c>
      <c r="BT3676" s="10"/>
      <c r="BU3676" s="10"/>
      <c r="BV3676" s="10"/>
      <c r="BW3676" s="10"/>
      <c r="BX3676" s="10"/>
      <c r="BY3676" s="23"/>
      <c r="BZ3676" s="23"/>
      <c r="CA3676" s="10"/>
      <c r="CB3676" s="23"/>
      <c r="CC3676" s="23"/>
      <c r="CD3676" s="23"/>
      <c r="CE3676" s="23"/>
      <c r="CF3676" s="23"/>
      <c r="CG3676" s="23"/>
      <c r="CH3676" s="23"/>
      <c r="CI3676" s="23"/>
    </row>
    <row r="3677" spans="1:87" x14ac:dyDescent="0.3">
      <c r="A3677" s="9" t="s">
        <v>25464</v>
      </c>
      <c r="B3677" s="10" t="s">
        <v>25465</v>
      </c>
      <c r="C3677" s="11">
        <v>46034.3125</v>
      </c>
      <c r="D3677" s="12">
        <v>0.25</v>
      </c>
      <c r="E3677" s="11">
        <v>46034.5625</v>
      </c>
      <c r="F3677" s="22" t="s">
        <v>25466</v>
      </c>
      <c r="G3677" s="13" t="b">
        <v>0</v>
      </c>
      <c r="H3677" s="22" t="s">
        <v>25467</v>
      </c>
      <c r="I3677" s="10" t="s">
        <v>89</v>
      </c>
      <c r="J3677" s="13" t="b">
        <v>0</v>
      </c>
      <c r="K3677" s="13" t="b">
        <v>1</v>
      </c>
      <c r="L3677" s="10" t="s">
        <v>124</v>
      </c>
      <c r="M3677" s="10" t="s">
        <v>91</v>
      </c>
      <c r="N3677" s="10" t="s">
        <v>265</v>
      </c>
      <c r="O3677" s="10"/>
      <c r="P3677" s="10"/>
      <c r="Q3677" s="10" t="s">
        <v>126</v>
      </c>
      <c r="R3677" s="10"/>
      <c r="S3677" s="10"/>
      <c r="T3677" s="10"/>
      <c r="U3677" s="10"/>
      <c r="V3677" s="10"/>
      <c r="W3677" s="10" t="s">
        <v>24434</v>
      </c>
      <c r="X3677" s="10" t="s">
        <v>21724</v>
      </c>
      <c r="Y3677" s="10" t="s">
        <v>21724</v>
      </c>
      <c r="Z3677" s="10" t="s">
        <v>99</v>
      </c>
      <c r="AA3677" s="10" t="s">
        <v>131</v>
      </c>
      <c r="AB3677" s="10" t="s">
        <v>25468</v>
      </c>
      <c r="AC3677" s="10" t="s">
        <v>24436</v>
      </c>
      <c r="AD3677" s="10" t="s">
        <v>165</v>
      </c>
      <c r="AE3677" s="10" t="s">
        <v>25469</v>
      </c>
      <c r="AF3677" s="15"/>
      <c r="AG3677" s="10"/>
      <c r="AH3677" s="10"/>
      <c r="AI3677" s="10"/>
      <c r="AJ3677" s="10"/>
      <c r="AK3677" s="10"/>
      <c r="AL3677" s="10"/>
      <c r="AM3677" s="10"/>
      <c r="AN3677" s="10"/>
      <c r="AO3677" s="13" t="b">
        <v>0</v>
      </c>
      <c r="AP3677" s="22" t="s">
        <v>135</v>
      </c>
      <c r="AQ3677" s="10"/>
      <c r="AR3677" s="17"/>
      <c r="AS3677" s="17"/>
      <c r="AT3677" s="17"/>
      <c r="AU3677" s="17"/>
      <c r="AV3677" s="17"/>
      <c r="AW3677" s="10"/>
      <c r="AX3677" s="17"/>
      <c r="AY3677" s="18" t="s">
        <v>257</v>
      </c>
      <c r="AZ3677" s="10"/>
      <c r="BA3677" s="20" t="b">
        <v>0</v>
      </c>
      <c r="BB3677" s="10"/>
      <c r="BC3677" s="17" t="s">
        <v>257</v>
      </c>
      <c r="BD3677" s="17" t="s">
        <v>257</v>
      </c>
      <c r="BE3677" s="17" t="s">
        <v>257</v>
      </c>
      <c r="BF3677" s="17" t="s">
        <v>257</v>
      </c>
      <c r="BG3677" s="11">
        <f ca="1">IFERROR(__xludf.DUMMYFUNCTION("""COMPUTED_VALUE"""),46034.3125)</f>
        <v>46034.3125</v>
      </c>
      <c r="BH3677" s="17"/>
      <c r="BI3677" s="17"/>
      <c r="BJ3677" s="15"/>
      <c r="BK3677" s="15"/>
      <c r="BL3677" s="13" t="b">
        <v>0</v>
      </c>
      <c r="BM3677" s="10"/>
      <c r="BN3677" s="10" t="s">
        <v>3527</v>
      </c>
      <c r="BO3677" s="11">
        <v>46028.734027777777</v>
      </c>
      <c r="BP3677" s="11">
        <v>46033.329131944447</v>
      </c>
      <c r="BQ3677" s="15"/>
      <c r="BR3677" s="15"/>
      <c r="BS3677" s="10"/>
      <c r="BT3677" s="10"/>
      <c r="BU3677" s="10"/>
      <c r="BV3677" s="10"/>
      <c r="BW3677" s="10"/>
      <c r="BX3677" s="10"/>
      <c r="BY3677" s="23"/>
      <c r="BZ3677" s="23"/>
      <c r="CA3677" s="10"/>
      <c r="CB3677" s="23"/>
      <c r="CC3677" s="23"/>
      <c r="CD3677" s="23"/>
      <c r="CE3677" s="23"/>
      <c r="CF3677" s="23"/>
      <c r="CG3677" s="23"/>
      <c r="CH3677" s="23"/>
      <c r="CI3677" s="23"/>
    </row>
    <row r="3678" spans="1:87" x14ac:dyDescent="0.3">
      <c r="A3678" s="9" t="s">
        <v>25470</v>
      </c>
      <c r="B3678" s="10" t="s">
        <v>25465</v>
      </c>
      <c r="C3678" s="11">
        <v>46034.625</v>
      </c>
      <c r="D3678" s="12">
        <v>8.3333333333333329E-2</v>
      </c>
      <c r="E3678" s="11">
        <v>46034.708333333336</v>
      </c>
      <c r="F3678" s="22" t="s">
        <v>25466</v>
      </c>
      <c r="G3678" s="13" t="b">
        <v>0</v>
      </c>
      <c r="H3678" s="22" t="s">
        <v>3215</v>
      </c>
      <c r="I3678" s="10" t="s">
        <v>89</v>
      </c>
      <c r="J3678" s="13" t="b">
        <v>0</v>
      </c>
      <c r="K3678" s="13" t="b">
        <v>1</v>
      </c>
      <c r="L3678" s="10" t="s">
        <v>124</v>
      </c>
      <c r="M3678" s="10" t="s">
        <v>91</v>
      </c>
      <c r="N3678" s="10" t="s">
        <v>265</v>
      </c>
      <c r="O3678" s="10"/>
      <c r="P3678" s="10"/>
      <c r="Q3678" s="10" t="s">
        <v>94</v>
      </c>
      <c r="R3678" s="10"/>
      <c r="S3678" s="10"/>
      <c r="T3678" s="10"/>
      <c r="U3678" s="10"/>
      <c r="V3678" s="10"/>
      <c r="W3678" s="10" t="s">
        <v>24434</v>
      </c>
      <c r="X3678" s="10" t="s">
        <v>21724</v>
      </c>
      <c r="Y3678" s="10" t="s">
        <v>21724</v>
      </c>
      <c r="Z3678" s="10" t="s">
        <v>99</v>
      </c>
      <c r="AA3678" s="10" t="s">
        <v>131</v>
      </c>
      <c r="AB3678" s="10" t="s">
        <v>25468</v>
      </c>
      <c r="AC3678" s="10" t="s">
        <v>24436</v>
      </c>
      <c r="AD3678" s="10" t="s">
        <v>165</v>
      </c>
      <c r="AE3678" s="10" t="s">
        <v>25469</v>
      </c>
      <c r="AF3678" s="15"/>
      <c r="AG3678" s="10"/>
      <c r="AH3678" s="10"/>
      <c r="AI3678" s="10"/>
      <c r="AJ3678" s="10"/>
      <c r="AK3678" s="10"/>
      <c r="AL3678" s="10"/>
      <c r="AM3678" s="10"/>
      <c r="AN3678" s="10"/>
      <c r="AO3678" s="13" t="b">
        <v>0</v>
      </c>
      <c r="AP3678" s="22" t="s">
        <v>135</v>
      </c>
      <c r="AQ3678" s="10"/>
      <c r="AR3678" s="17"/>
      <c r="AS3678" s="17"/>
      <c r="AT3678" s="17"/>
      <c r="AU3678" s="17"/>
      <c r="AV3678" s="17"/>
      <c r="AW3678" s="10"/>
      <c r="AX3678" s="17"/>
      <c r="AY3678" s="18" t="s">
        <v>257</v>
      </c>
      <c r="AZ3678" s="10"/>
      <c r="BA3678" s="20" t="b">
        <v>0</v>
      </c>
      <c r="BB3678" s="10"/>
      <c r="BC3678" s="17" t="s">
        <v>257</v>
      </c>
      <c r="BD3678" s="17" t="s">
        <v>257</v>
      </c>
      <c r="BE3678" s="17" t="s">
        <v>257</v>
      </c>
      <c r="BF3678" s="17" t="s">
        <v>257</v>
      </c>
      <c r="BG3678" s="11">
        <f ca="1">IFERROR(__xludf.DUMMYFUNCTION("""COMPUTED_VALUE"""),46034.625)</f>
        <v>46034.625</v>
      </c>
      <c r="BH3678" s="17"/>
      <c r="BI3678" s="17"/>
      <c r="BJ3678" s="15"/>
      <c r="BK3678" s="15"/>
      <c r="BL3678" s="13" t="b">
        <v>0</v>
      </c>
      <c r="BM3678" s="10"/>
      <c r="BN3678" s="10" t="s">
        <v>3527</v>
      </c>
      <c r="BO3678" s="11">
        <v>46028.739583333336</v>
      </c>
      <c r="BP3678" s="11">
        <v>46033.330324074072</v>
      </c>
      <c r="BQ3678" s="15"/>
      <c r="BR3678" s="15"/>
      <c r="BS3678" s="10"/>
      <c r="BT3678" s="10"/>
      <c r="BU3678" s="10"/>
      <c r="BV3678" s="10"/>
      <c r="BW3678" s="10"/>
      <c r="BX3678" s="10"/>
      <c r="BY3678" s="23"/>
      <c r="BZ3678" s="23"/>
      <c r="CA3678" s="10"/>
      <c r="CB3678" s="23"/>
      <c r="CC3678" s="23"/>
      <c r="CD3678" s="23"/>
      <c r="CE3678" s="23"/>
      <c r="CF3678" s="23"/>
      <c r="CG3678" s="23"/>
      <c r="CH3678" s="23"/>
      <c r="CI3678" s="23"/>
    </row>
    <row r="3679" spans="1:87" x14ac:dyDescent="0.3">
      <c r="A3679" s="9" t="s">
        <v>25471</v>
      </c>
      <c r="B3679" s="10" t="s">
        <v>25472</v>
      </c>
      <c r="C3679" s="11">
        <v>46035.3125</v>
      </c>
      <c r="D3679" s="12">
        <v>0.25</v>
      </c>
      <c r="E3679" s="11">
        <v>46035.5625</v>
      </c>
      <c r="F3679" s="22" t="s">
        <v>25466</v>
      </c>
      <c r="G3679" s="13" t="b">
        <v>0</v>
      </c>
      <c r="H3679" s="22" t="s">
        <v>25467</v>
      </c>
      <c r="I3679" s="10" t="s">
        <v>89</v>
      </c>
      <c r="J3679" s="13" t="b">
        <v>0</v>
      </c>
      <c r="K3679" s="13" t="b">
        <v>1</v>
      </c>
      <c r="L3679" s="10" t="s">
        <v>124</v>
      </c>
      <c r="M3679" s="10" t="s">
        <v>91</v>
      </c>
      <c r="N3679" s="10" t="s">
        <v>265</v>
      </c>
      <c r="O3679" s="10"/>
      <c r="P3679" s="10"/>
      <c r="Q3679" s="10" t="s">
        <v>126</v>
      </c>
      <c r="R3679" s="10"/>
      <c r="S3679" s="10"/>
      <c r="T3679" s="10"/>
      <c r="U3679" s="10"/>
      <c r="V3679" s="10"/>
      <c r="W3679" s="10" t="s">
        <v>24434</v>
      </c>
      <c r="X3679" s="10" t="s">
        <v>21724</v>
      </c>
      <c r="Y3679" s="10" t="s">
        <v>21724</v>
      </c>
      <c r="Z3679" s="10" t="s">
        <v>99</v>
      </c>
      <c r="AA3679" s="10" t="s">
        <v>131</v>
      </c>
      <c r="AB3679" s="10" t="s">
        <v>25468</v>
      </c>
      <c r="AC3679" s="10" t="s">
        <v>24436</v>
      </c>
      <c r="AD3679" s="10" t="s">
        <v>165</v>
      </c>
      <c r="AE3679" s="10" t="s">
        <v>25473</v>
      </c>
      <c r="AF3679" s="15"/>
      <c r="AG3679" s="10"/>
      <c r="AH3679" s="10"/>
      <c r="AI3679" s="10"/>
      <c r="AJ3679" s="10"/>
      <c r="AK3679" s="10"/>
      <c r="AL3679" s="10"/>
      <c r="AM3679" s="10"/>
      <c r="AN3679" s="10"/>
      <c r="AO3679" s="13" t="b">
        <v>0</v>
      </c>
      <c r="AP3679" s="22" t="s">
        <v>135</v>
      </c>
      <c r="AQ3679" s="10"/>
      <c r="AR3679" s="17"/>
      <c r="AS3679" s="17"/>
      <c r="AT3679" s="17"/>
      <c r="AU3679" s="17"/>
      <c r="AV3679" s="17"/>
      <c r="AW3679" s="10"/>
      <c r="AX3679" s="17"/>
      <c r="AY3679" s="18" t="s">
        <v>257</v>
      </c>
      <c r="AZ3679" s="10"/>
      <c r="BA3679" s="20" t="b">
        <v>0</v>
      </c>
      <c r="BB3679" s="10"/>
      <c r="BC3679" s="17" t="s">
        <v>257</v>
      </c>
      <c r="BD3679" s="17" t="s">
        <v>257</v>
      </c>
      <c r="BE3679" s="17" t="s">
        <v>257</v>
      </c>
      <c r="BF3679" s="17" t="s">
        <v>257</v>
      </c>
      <c r="BG3679" s="11">
        <f ca="1">IFERROR(__xludf.DUMMYFUNCTION("""COMPUTED_VALUE"""),46035.3125)</f>
        <v>46035.3125</v>
      </c>
      <c r="BH3679" s="17"/>
      <c r="BI3679" s="17"/>
      <c r="BJ3679" s="15"/>
      <c r="BK3679" s="15"/>
      <c r="BL3679" s="13" t="b">
        <v>0</v>
      </c>
      <c r="BM3679" s="10"/>
      <c r="BN3679" s="10" t="s">
        <v>3527</v>
      </c>
      <c r="BO3679" s="11">
        <v>46028.746527777781</v>
      </c>
      <c r="BP3679" s="11">
        <v>46033.33085648148</v>
      </c>
      <c r="BQ3679" s="15"/>
      <c r="BR3679" s="15"/>
      <c r="BS3679" s="10"/>
      <c r="BT3679" s="10"/>
      <c r="BU3679" s="10"/>
      <c r="BV3679" s="10"/>
      <c r="BW3679" s="10"/>
      <c r="BX3679" s="10"/>
      <c r="BY3679" s="23"/>
      <c r="BZ3679" s="23"/>
      <c r="CA3679" s="10"/>
      <c r="CB3679" s="23"/>
      <c r="CC3679" s="23"/>
      <c r="CD3679" s="23"/>
      <c r="CE3679" s="23"/>
      <c r="CF3679" s="23"/>
      <c r="CG3679" s="23"/>
      <c r="CH3679" s="23"/>
      <c r="CI3679" s="23"/>
    </row>
    <row r="3680" spans="1:87" x14ac:dyDescent="0.3">
      <c r="A3680" s="9" t="s">
        <v>25474</v>
      </c>
      <c r="B3680" s="10" t="s">
        <v>25472</v>
      </c>
      <c r="C3680" s="11">
        <v>46035.6875</v>
      </c>
      <c r="D3680" s="12">
        <v>8.3333333333333329E-2</v>
      </c>
      <c r="E3680" s="11">
        <v>46035.770833333336</v>
      </c>
      <c r="F3680" s="22" t="s">
        <v>25466</v>
      </c>
      <c r="G3680" s="13" t="b">
        <v>0</v>
      </c>
      <c r="H3680" s="22" t="s">
        <v>3215</v>
      </c>
      <c r="I3680" s="10" t="s">
        <v>89</v>
      </c>
      <c r="J3680" s="13" t="b">
        <v>0</v>
      </c>
      <c r="K3680" s="13" t="b">
        <v>1</v>
      </c>
      <c r="L3680" s="10" t="s">
        <v>124</v>
      </c>
      <c r="M3680" s="10" t="s">
        <v>91</v>
      </c>
      <c r="N3680" s="10" t="s">
        <v>265</v>
      </c>
      <c r="O3680" s="10"/>
      <c r="P3680" s="10"/>
      <c r="Q3680" s="10" t="s">
        <v>94</v>
      </c>
      <c r="R3680" s="10"/>
      <c r="S3680" s="10"/>
      <c r="T3680" s="10"/>
      <c r="U3680" s="10"/>
      <c r="V3680" s="10"/>
      <c r="W3680" s="10" t="s">
        <v>24434</v>
      </c>
      <c r="X3680" s="10" t="s">
        <v>21724</v>
      </c>
      <c r="Y3680" s="10" t="s">
        <v>21724</v>
      </c>
      <c r="Z3680" s="10" t="s">
        <v>99</v>
      </c>
      <c r="AA3680" s="10" t="s">
        <v>131</v>
      </c>
      <c r="AB3680" s="10" t="s">
        <v>25468</v>
      </c>
      <c r="AC3680" s="10" t="s">
        <v>24436</v>
      </c>
      <c r="AD3680" s="10" t="s">
        <v>165</v>
      </c>
      <c r="AE3680" s="10" t="s">
        <v>25473</v>
      </c>
      <c r="AF3680" s="15"/>
      <c r="AG3680" s="10"/>
      <c r="AH3680" s="10"/>
      <c r="AI3680" s="10"/>
      <c r="AJ3680" s="10"/>
      <c r="AK3680" s="10"/>
      <c r="AL3680" s="10"/>
      <c r="AM3680" s="10"/>
      <c r="AN3680" s="10"/>
      <c r="AO3680" s="13" t="b">
        <v>0</v>
      </c>
      <c r="AP3680" s="22" t="s">
        <v>135</v>
      </c>
      <c r="AQ3680" s="10"/>
      <c r="AR3680" s="17"/>
      <c r="AS3680" s="17"/>
      <c r="AT3680" s="17"/>
      <c r="AU3680" s="17"/>
      <c r="AV3680" s="17"/>
      <c r="AW3680" s="10"/>
      <c r="AX3680" s="17"/>
      <c r="AY3680" s="18" t="s">
        <v>257</v>
      </c>
      <c r="AZ3680" s="10"/>
      <c r="BA3680" s="20" t="b">
        <v>0</v>
      </c>
      <c r="BB3680" s="10"/>
      <c r="BC3680" s="17" t="s">
        <v>257</v>
      </c>
      <c r="BD3680" s="17" t="s">
        <v>257</v>
      </c>
      <c r="BE3680" s="17" t="s">
        <v>257</v>
      </c>
      <c r="BF3680" s="17" t="s">
        <v>257</v>
      </c>
      <c r="BG3680" s="11">
        <f ca="1">IFERROR(__xludf.DUMMYFUNCTION("""COMPUTED_VALUE"""),46035.6875)</f>
        <v>46035.6875</v>
      </c>
      <c r="BH3680" s="17"/>
      <c r="BI3680" s="17"/>
      <c r="BJ3680" s="15"/>
      <c r="BK3680" s="15"/>
      <c r="BL3680" s="13" t="b">
        <v>0</v>
      </c>
      <c r="BM3680" s="10"/>
      <c r="BN3680" s="10" t="s">
        <v>3527</v>
      </c>
      <c r="BO3680" s="11">
        <v>46028.749305555553</v>
      </c>
      <c r="BP3680" s="11">
        <v>46033.331250000003</v>
      </c>
      <c r="BQ3680" s="15"/>
      <c r="BR3680" s="15"/>
      <c r="BS3680" s="10"/>
      <c r="BT3680" s="10"/>
      <c r="BU3680" s="10"/>
      <c r="BV3680" s="10"/>
      <c r="BW3680" s="10"/>
      <c r="BX3680" s="10"/>
      <c r="BY3680" s="23"/>
      <c r="BZ3680" s="23"/>
      <c r="CA3680" s="10"/>
      <c r="CB3680" s="23"/>
      <c r="CC3680" s="23"/>
      <c r="CD3680" s="23"/>
      <c r="CE3680" s="23"/>
      <c r="CF3680" s="23"/>
      <c r="CG3680" s="23"/>
      <c r="CH3680" s="23"/>
      <c r="CI3680" s="23"/>
    </row>
    <row r="3681" spans="1:87" x14ac:dyDescent="0.3">
      <c r="A3681" s="9" t="s">
        <v>25475</v>
      </c>
      <c r="B3681" s="10" t="s">
        <v>25476</v>
      </c>
      <c r="C3681" s="11">
        <v>46037.114583333336</v>
      </c>
      <c r="D3681" s="12">
        <v>8.3333333333333329E-2</v>
      </c>
      <c r="E3681" s="11">
        <v>46037.197916666664</v>
      </c>
      <c r="F3681" s="22" t="s">
        <v>20865</v>
      </c>
      <c r="G3681" s="13" t="b">
        <v>0</v>
      </c>
      <c r="H3681" s="22" t="s">
        <v>9130</v>
      </c>
      <c r="I3681" s="10" t="s">
        <v>9131</v>
      </c>
      <c r="J3681" s="13" t="b">
        <v>0</v>
      </c>
      <c r="K3681" s="13" t="b">
        <v>1</v>
      </c>
      <c r="L3681" s="10" t="s">
        <v>124</v>
      </c>
      <c r="M3681" s="10" t="s">
        <v>91</v>
      </c>
      <c r="N3681" s="10" t="s">
        <v>265</v>
      </c>
      <c r="O3681" s="10"/>
      <c r="P3681" s="10"/>
      <c r="Q3681" s="10" t="s">
        <v>94</v>
      </c>
      <c r="R3681" s="10"/>
      <c r="S3681" s="10"/>
      <c r="T3681" s="10"/>
      <c r="U3681" s="10" t="s">
        <v>21247</v>
      </c>
      <c r="V3681" s="10" t="s">
        <v>8547</v>
      </c>
      <c r="W3681" s="10" t="s">
        <v>20869</v>
      </c>
      <c r="X3681" s="10" t="s">
        <v>130</v>
      </c>
      <c r="Y3681" s="10" t="s">
        <v>130</v>
      </c>
      <c r="Z3681" s="10" t="s">
        <v>99</v>
      </c>
      <c r="AA3681" s="10" t="s">
        <v>131</v>
      </c>
      <c r="AB3681" s="10" t="s">
        <v>20870</v>
      </c>
      <c r="AC3681" s="10" t="s">
        <v>20871</v>
      </c>
      <c r="AD3681" s="10" t="s">
        <v>25477</v>
      </c>
      <c r="AE3681" s="10" t="s">
        <v>25478</v>
      </c>
      <c r="AF3681" s="15"/>
      <c r="AG3681" s="10"/>
      <c r="AH3681" s="10"/>
      <c r="AI3681" s="10"/>
      <c r="AJ3681" s="10"/>
      <c r="AK3681" s="10"/>
      <c r="AL3681" s="10" t="s">
        <v>1988</v>
      </c>
      <c r="AM3681" s="10"/>
      <c r="AN3681" s="10"/>
      <c r="AO3681" s="13" t="b">
        <v>0</v>
      </c>
      <c r="AP3681" s="22" t="s">
        <v>104</v>
      </c>
      <c r="AQ3681" s="10"/>
      <c r="AR3681" s="17"/>
      <c r="AS3681" s="17"/>
      <c r="AT3681" s="17"/>
      <c r="AU3681" s="17"/>
      <c r="AV3681" s="17"/>
      <c r="AW3681" s="10"/>
      <c r="AX3681" s="17"/>
      <c r="AY3681" s="18" t="s">
        <v>257</v>
      </c>
      <c r="AZ3681" s="10"/>
      <c r="BA3681" s="20" t="b">
        <v>0</v>
      </c>
      <c r="BB3681" s="10"/>
      <c r="BC3681" s="17" t="s">
        <v>257</v>
      </c>
      <c r="BD3681" s="17" t="s">
        <v>257</v>
      </c>
      <c r="BE3681" s="17" t="s">
        <v>257</v>
      </c>
      <c r="BF3681" s="17" t="s">
        <v>257</v>
      </c>
      <c r="BG3681" s="11">
        <f ca="1">IFERROR(__xludf.DUMMYFUNCTION("""COMPUTED_VALUE"""),46037.1145833333)</f>
        <v>46037.114583333299</v>
      </c>
      <c r="BH3681" s="17"/>
      <c r="BI3681" s="17"/>
      <c r="BJ3681" s="15"/>
      <c r="BK3681" s="15"/>
      <c r="BL3681" s="13" t="b">
        <v>0</v>
      </c>
      <c r="BM3681" s="10"/>
      <c r="BN3681" s="10" t="s">
        <v>108</v>
      </c>
      <c r="BO3681" s="11">
        <v>46029.462500000001</v>
      </c>
      <c r="BP3681" s="11">
        <v>46029.46303240741</v>
      </c>
      <c r="BQ3681" s="15"/>
      <c r="BR3681" s="15"/>
      <c r="BS3681" s="10"/>
      <c r="BT3681" s="10"/>
      <c r="BU3681" s="10"/>
      <c r="BV3681" s="10"/>
      <c r="BW3681" s="10"/>
      <c r="BX3681" s="10"/>
      <c r="BY3681" s="23"/>
      <c r="BZ3681" s="23"/>
      <c r="CA3681" s="10"/>
      <c r="CB3681" s="23"/>
      <c r="CC3681" s="23"/>
      <c r="CD3681" s="23"/>
      <c r="CE3681" s="23"/>
      <c r="CF3681" s="23"/>
      <c r="CG3681" s="23"/>
      <c r="CH3681" s="23"/>
      <c r="CI3681" s="23"/>
    </row>
    <row r="3682" spans="1:87" x14ac:dyDescent="0.3">
      <c r="A3682" s="9" t="s">
        <v>25479</v>
      </c>
      <c r="B3682" s="10" t="s">
        <v>25480</v>
      </c>
      <c r="C3682" s="11">
        <v>46036.3125</v>
      </c>
      <c r="D3682" s="12">
        <v>0.33333333333333331</v>
      </c>
      <c r="E3682" s="11">
        <v>46036.645833333336</v>
      </c>
      <c r="F3682" s="22" t="s">
        <v>25466</v>
      </c>
      <c r="G3682" s="13" t="b">
        <v>0</v>
      </c>
      <c r="H3682" s="22" t="s">
        <v>3215</v>
      </c>
      <c r="I3682" s="10" t="s">
        <v>89</v>
      </c>
      <c r="J3682" s="13" t="b">
        <v>0</v>
      </c>
      <c r="K3682" s="13" t="b">
        <v>1</v>
      </c>
      <c r="L3682" s="10" t="s">
        <v>124</v>
      </c>
      <c r="M3682" s="10" t="s">
        <v>91</v>
      </c>
      <c r="N3682" s="10" t="s">
        <v>265</v>
      </c>
      <c r="O3682" s="10"/>
      <c r="P3682" s="10"/>
      <c r="Q3682" s="10" t="s">
        <v>126</v>
      </c>
      <c r="R3682" s="10"/>
      <c r="S3682" s="10"/>
      <c r="T3682" s="10"/>
      <c r="U3682" s="10"/>
      <c r="V3682" s="10"/>
      <c r="W3682" s="10" t="s">
        <v>24434</v>
      </c>
      <c r="X3682" s="10" t="s">
        <v>21724</v>
      </c>
      <c r="Y3682" s="10" t="s">
        <v>21724</v>
      </c>
      <c r="Z3682" s="10" t="s">
        <v>99</v>
      </c>
      <c r="AA3682" s="10" t="s">
        <v>131</v>
      </c>
      <c r="AB3682" s="10" t="s">
        <v>25468</v>
      </c>
      <c r="AC3682" s="10" t="s">
        <v>24436</v>
      </c>
      <c r="AD3682" s="10" t="s">
        <v>165</v>
      </c>
      <c r="AE3682" s="10" t="s">
        <v>25481</v>
      </c>
      <c r="AF3682" s="15"/>
      <c r="AG3682" s="10"/>
      <c r="AH3682" s="10"/>
      <c r="AI3682" s="10"/>
      <c r="AJ3682" s="10"/>
      <c r="AK3682" s="10"/>
      <c r="AL3682" s="10"/>
      <c r="AM3682" s="10"/>
      <c r="AN3682" s="10"/>
      <c r="AO3682" s="13" t="b">
        <v>0</v>
      </c>
      <c r="AP3682" s="22" t="s">
        <v>135</v>
      </c>
      <c r="AQ3682" s="10"/>
      <c r="AR3682" s="17"/>
      <c r="AS3682" s="17"/>
      <c r="AT3682" s="17"/>
      <c r="AU3682" s="17"/>
      <c r="AV3682" s="17"/>
      <c r="AW3682" s="10"/>
      <c r="AX3682" s="17"/>
      <c r="AY3682" s="18" t="s">
        <v>257</v>
      </c>
      <c r="AZ3682" s="10"/>
      <c r="BA3682" s="20" t="b">
        <v>0</v>
      </c>
      <c r="BB3682" s="10"/>
      <c r="BC3682" s="17" t="s">
        <v>257</v>
      </c>
      <c r="BD3682" s="17" t="s">
        <v>257</v>
      </c>
      <c r="BE3682" s="17" t="s">
        <v>257</v>
      </c>
      <c r="BF3682" s="17" t="s">
        <v>257</v>
      </c>
      <c r="BG3682" s="11">
        <f ca="1">IFERROR(__xludf.DUMMYFUNCTION("""COMPUTED_VALUE"""),46036.3125)</f>
        <v>46036.3125</v>
      </c>
      <c r="BH3682" s="17"/>
      <c r="BI3682" s="17"/>
      <c r="BJ3682" s="15"/>
      <c r="BK3682" s="15"/>
      <c r="BL3682" s="13" t="b">
        <v>0</v>
      </c>
      <c r="BM3682" s="10"/>
      <c r="BN3682" s="10" t="s">
        <v>3527</v>
      </c>
      <c r="BO3682" s="11">
        <v>46029.484722222223</v>
      </c>
      <c r="BP3682" s="11">
        <v>46033.331793981481</v>
      </c>
      <c r="BQ3682" s="15"/>
      <c r="BR3682" s="15"/>
      <c r="BS3682" s="10"/>
      <c r="BT3682" s="10"/>
      <c r="BU3682" s="10"/>
      <c r="BV3682" s="10"/>
      <c r="BW3682" s="10"/>
      <c r="BX3682" s="10"/>
      <c r="BY3682" s="23"/>
      <c r="BZ3682" s="23"/>
      <c r="CA3682" s="10"/>
      <c r="CB3682" s="23"/>
      <c r="CC3682" s="23"/>
      <c r="CD3682" s="23"/>
      <c r="CE3682" s="23"/>
      <c r="CF3682" s="23"/>
      <c r="CG3682" s="23"/>
      <c r="CH3682" s="23"/>
      <c r="CI3682" s="23"/>
    </row>
    <row r="3683" spans="1:87" x14ac:dyDescent="0.3">
      <c r="A3683" s="9" t="s">
        <v>25482</v>
      </c>
      <c r="B3683" s="10" t="s">
        <v>25480</v>
      </c>
      <c r="C3683" s="11">
        <v>46036.6875</v>
      </c>
      <c r="D3683" s="12">
        <v>8.3333333333333329E-2</v>
      </c>
      <c r="E3683" s="11">
        <v>46036.770833333336</v>
      </c>
      <c r="F3683" s="22" t="s">
        <v>25466</v>
      </c>
      <c r="G3683" s="13" t="b">
        <v>0</v>
      </c>
      <c r="H3683" s="22" t="s">
        <v>3215</v>
      </c>
      <c r="I3683" s="10" t="s">
        <v>89</v>
      </c>
      <c r="J3683" s="13" t="b">
        <v>0</v>
      </c>
      <c r="K3683" s="13" t="b">
        <v>1</v>
      </c>
      <c r="L3683" s="10" t="s">
        <v>124</v>
      </c>
      <c r="M3683" s="10" t="s">
        <v>91</v>
      </c>
      <c r="N3683" s="10" t="s">
        <v>265</v>
      </c>
      <c r="O3683" s="10"/>
      <c r="P3683" s="10"/>
      <c r="Q3683" s="10" t="s">
        <v>94</v>
      </c>
      <c r="R3683" s="10"/>
      <c r="S3683" s="10"/>
      <c r="T3683" s="10"/>
      <c r="U3683" s="10"/>
      <c r="V3683" s="10"/>
      <c r="W3683" s="10" t="s">
        <v>24434</v>
      </c>
      <c r="X3683" s="10" t="s">
        <v>21724</v>
      </c>
      <c r="Y3683" s="10" t="s">
        <v>21724</v>
      </c>
      <c r="Z3683" s="10" t="s">
        <v>99</v>
      </c>
      <c r="AA3683" s="10" t="s">
        <v>131</v>
      </c>
      <c r="AB3683" s="10" t="s">
        <v>25468</v>
      </c>
      <c r="AC3683" s="10" t="s">
        <v>24436</v>
      </c>
      <c r="AD3683" s="10" t="s">
        <v>165</v>
      </c>
      <c r="AE3683" s="10" t="s">
        <v>25481</v>
      </c>
      <c r="AF3683" s="15"/>
      <c r="AG3683" s="10"/>
      <c r="AH3683" s="10"/>
      <c r="AI3683" s="10"/>
      <c r="AJ3683" s="10"/>
      <c r="AK3683" s="10"/>
      <c r="AL3683" s="10"/>
      <c r="AM3683" s="10"/>
      <c r="AN3683" s="10"/>
      <c r="AO3683" s="13" t="b">
        <v>0</v>
      </c>
      <c r="AP3683" s="22" t="s">
        <v>135</v>
      </c>
      <c r="AQ3683" s="10"/>
      <c r="AR3683" s="17"/>
      <c r="AS3683" s="17"/>
      <c r="AT3683" s="17"/>
      <c r="AU3683" s="17"/>
      <c r="AV3683" s="17"/>
      <c r="AW3683" s="10"/>
      <c r="AX3683" s="17"/>
      <c r="AY3683" s="18" t="s">
        <v>257</v>
      </c>
      <c r="AZ3683" s="10"/>
      <c r="BA3683" s="20" t="b">
        <v>0</v>
      </c>
      <c r="BB3683" s="10"/>
      <c r="BC3683" s="17" t="s">
        <v>257</v>
      </c>
      <c r="BD3683" s="17" t="s">
        <v>257</v>
      </c>
      <c r="BE3683" s="17" t="s">
        <v>257</v>
      </c>
      <c r="BF3683" s="17" t="s">
        <v>257</v>
      </c>
      <c r="BG3683" s="11">
        <f ca="1">IFERROR(__xludf.DUMMYFUNCTION("""COMPUTED_VALUE"""),46036.6875)</f>
        <v>46036.6875</v>
      </c>
      <c r="BH3683" s="17"/>
      <c r="BI3683" s="17"/>
      <c r="BJ3683" s="15"/>
      <c r="BK3683" s="15"/>
      <c r="BL3683" s="13" t="b">
        <v>0</v>
      </c>
      <c r="BM3683" s="10"/>
      <c r="BN3683" s="10" t="s">
        <v>3527</v>
      </c>
      <c r="BO3683" s="11">
        <v>46029.486111111109</v>
      </c>
      <c r="BP3683" s="11">
        <v>46033.332303240742</v>
      </c>
      <c r="BQ3683" s="15"/>
      <c r="BR3683" s="15"/>
      <c r="BS3683" s="10"/>
      <c r="BT3683" s="10"/>
      <c r="BU3683" s="10"/>
      <c r="BV3683" s="10"/>
      <c r="BW3683" s="10"/>
      <c r="BX3683" s="10"/>
      <c r="BY3683" s="23"/>
      <c r="BZ3683" s="23"/>
      <c r="CA3683" s="10"/>
      <c r="CB3683" s="23"/>
      <c r="CC3683" s="23"/>
      <c r="CD3683" s="23"/>
      <c r="CE3683" s="23"/>
      <c r="CF3683" s="23"/>
      <c r="CG3683" s="23"/>
      <c r="CH3683" s="23"/>
      <c r="CI3683" s="23"/>
    </row>
    <row r="3684" spans="1:87" x14ac:dyDescent="0.3">
      <c r="A3684" s="9" t="s">
        <v>25483</v>
      </c>
      <c r="B3684" s="10" t="s">
        <v>25484</v>
      </c>
      <c r="C3684" s="11">
        <v>46037.3125</v>
      </c>
      <c r="D3684" s="12">
        <v>0.25</v>
      </c>
      <c r="E3684" s="11">
        <v>46037.5625</v>
      </c>
      <c r="F3684" s="22" t="s">
        <v>25466</v>
      </c>
      <c r="G3684" s="13" t="b">
        <v>0</v>
      </c>
      <c r="H3684" s="22" t="s">
        <v>3215</v>
      </c>
      <c r="I3684" s="10" t="s">
        <v>89</v>
      </c>
      <c r="J3684" s="13" t="b">
        <v>0</v>
      </c>
      <c r="K3684" s="13" t="b">
        <v>1</v>
      </c>
      <c r="L3684" s="10" t="s">
        <v>124</v>
      </c>
      <c r="M3684" s="10" t="s">
        <v>91</v>
      </c>
      <c r="N3684" s="10" t="s">
        <v>265</v>
      </c>
      <c r="O3684" s="10"/>
      <c r="P3684" s="10"/>
      <c r="Q3684" s="10" t="s">
        <v>126</v>
      </c>
      <c r="R3684" s="10"/>
      <c r="S3684" s="10"/>
      <c r="T3684" s="10"/>
      <c r="U3684" s="10"/>
      <c r="V3684" s="10"/>
      <c r="W3684" s="10" t="s">
        <v>24434</v>
      </c>
      <c r="X3684" s="10" t="s">
        <v>21724</v>
      </c>
      <c r="Y3684" s="10" t="s">
        <v>21724</v>
      </c>
      <c r="Z3684" s="10" t="s">
        <v>99</v>
      </c>
      <c r="AA3684" s="10" t="s">
        <v>131</v>
      </c>
      <c r="AB3684" s="10" t="s">
        <v>25468</v>
      </c>
      <c r="AC3684" s="10" t="s">
        <v>24436</v>
      </c>
      <c r="AD3684" s="10" t="s">
        <v>165</v>
      </c>
      <c r="AE3684" s="10" t="s">
        <v>25485</v>
      </c>
      <c r="AF3684" s="15"/>
      <c r="AG3684" s="10"/>
      <c r="AH3684" s="10"/>
      <c r="AI3684" s="10"/>
      <c r="AJ3684" s="10"/>
      <c r="AK3684" s="10"/>
      <c r="AL3684" s="10" t="s">
        <v>19004</v>
      </c>
      <c r="AM3684" s="10"/>
      <c r="AN3684" s="10"/>
      <c r="AO3684" s="13" t="b">
        <v>0</v>
      </c>
      <c r="AP3684" s="22" t="s">
        <v>135</v>
      </c>
      <c r="AQ3684" s="10"/>
      <c r="AR3684" s="17"/>
      <c r="AS3684" s="17"/>
      <c r="AT3684" s="17"/>
      <c r="AU3684" s="17"/>
      <c r="AV3684" s="17"/>
      <c r="AW3684" s="10"/>
      <c r="AX3684" s="17"/>
      <c r="AY3684" s="18" t="s">
        <v>257</v>
      </c>
      <c r="AZ3684" s="10"/>
      <c r="BA3684" s="20" t="b">
        <v>0</v>
      </c>
      <c r="BB3684" s="10"/>
      <c r="BC3684" s="17" t="s">
        <v>257</v>
      </c>
      <c r="BD3684" s="17" t="s">
        <v>257</v>
      </c>
      <c r="BE3684" s="17" t="s">
        <v>257</v>
      </c>
      <c r="BF3684" s="17" t="s">
        <v>257</v>
      </c>
      <c r="BG3684" s="11">
        <f ca="1">IFERROR(__xludf.DUMMYFUNCTION("""COMPUTED_VALUE"""),46037.3125)</f>
        <v>46037.3125</v>
      </c>
      <c r="BH3684" s="17"/>
      <c r="BI3684" s="17"/>
      <c r="BJ3684" s="15"/>
      <c r="BK3684" s="15"/>
      <c r="BL3684" s="13" t="b">
        <v>0</v>
      </c>
      <c r="BM3684" s="10"/>
      <c r="BN3684" s="10" t="s">
        <v>3527</v>
      </c>
      <c r="BO3684" s="11">
        <v>46029.486805555556</v>
      </c>
      <c r="BP3684" s="11">
        <v>46033.332789351851</v>
      </c>
      <c r="BQ3684" s="15"/>
      <c r="BR3684" s="15"/>
      <c r="BS3684" s="10"/>
      <c r="BT3684" s="10"/>
      <c r="BU3684" s="10"/>
      <c r="BV3684" s="10"/>
      <c r="BW3684" s="10"/>
      <c r="BX3684" s="10"/>
      <c r="BY3684" s="23"/>
      <c r="BZ3684" s="23"/>
      <c r="CA3684" s="10"/>
      <c r="CB3684" s="23"/>
      <c r="CC3684" s="23"/>
      <c r="CD3684" s="23"/>
      <c r="CE3684" s="23"/>
      <c r="CF3684" s="23"/>
      <c r="CG3684" s="23"/>
      <c r="CH3684" s="23"/>
      <c r="CI3684" s="23"/>
    </row>
    <row r="3685" spans="1:87" x14ac:dyDescent="0.3">
      <c r="A3685" s="9" t="s">
        <v>25486</v>
      </c>
      <c r="B3685" s="10" t="s">
        <v>25484</v>
      </c>
      <c r="C3685" s="11">
        <v>46037.625</v>
      </c>
      <c r="D3685" s="12">
        <v>8.3333333333333329E-2</v>
      </c>
      <c r="E3685" s="11">
        <v>46037.708333333336</v>
      </c>
      <c r="F3685" s="22" t="s">
        <v>25466</v>
      </c>
      <c r="G3685" s="13" t="b">
        <v>0</v>
      </c>
      <c r="H3685" s="22" t="s">
        <v>3215</v>
      </c>
      <c r="I3685" s="10" t="s">
        <v>89</v>
      </c>
      <c r="J3685" s="13" t="b">
        <v>0</v>
      </c>
      <c r="K3685" s="13" t="b">
        <v>1</v>
      </c>
      <c r="L3685" s="10" t="s">
        <v>124</v>
      </c>
      <c r="M3685" s="10" t="s">
        <v>91</v>
      </c>
      <c r="N3685" s="10" t="s">
        <v>265</v>
      </c>
      <c r="O3685" s="10"/>
      <c r="P3685" s="10"/>
      <c r="Q3685" s="10" t="s">
        <v>94</v>
      </c>
      <c r="R3685" s="10"/>
      <c r="S3685" s="10"/>
      <c r="T3685" s="10"/>
      <c r="U3685" s="10"/>
      <c r="V3685" s="10"/>
      <c r="W3685" s="10" t="s">
        <v>24434</v>
      </c>
      <c r="X3685" s="10" t="s">
        <v>21724</v>
      </c>
      <c r="Y3685" s="10" t="s">
        <v>21724</v>
      </c>
      <c r="Z3685" s="10" t="s">
        <v>99</v>
      </c>
      <c r="AA3685" s="10" t="s">
        <v>131</v>
      </c>
      <c r="AB3685" s="10" t="s">
        <v>25468</v>
      </c>
      <c r="AC3685" s="10" t="s">
        <v>24436</v>
      </c>
      <c r="AD3685" s="10" t="s">
        <v>165</v>
      </c>
      <c r="AE3685" s="10" t="s">
        <v>25485</v>
      </c>
      <c r="AF3685" s="15"/>
      <c r="AG3685" s="10"/>
      <c r="AH3685" s="10"/>
      <c r="AI3685" s="10"/>
      <c r="AJ3685" s="10"/>
      <c r="AK3685" s="10"/>
      <c r="AL3685" s="10" t="s">
        <v>19004</v>
      </c>
      <c r="AM3685" s="10"/>
      <c r="AN3685" s="10"/>
      <c r="AO3685" s="13" t="b">
        <v>0</v>
      </c>
      <c r="AP3685" s="22" t="s">
        <v>135</v>
      </c>
      <c r="AQ3685" s="10"/>
      <c r="AR3685" s="17"/>
      <c r="AS3685" s="17"/>
      <c r="AT3685" s="17"/>
      <c r="AU3685" s="17"/>
      <c r="AV3685" s="17"/>
      <c r="AW3685" s="10"/>
      <c r="AX3685" s="17"/>
      <c r="AY3685" s="18" t="s">
        <v>257</v>
      </c>
      <c r="AZ3685" s="10"/>
      <c r="BA3685" s="20" t="b">
        <v>0</v>
      </c>
      <c r="BB3685" s="10"/>
      <c r="BC3685" s="17" t="s">
        <v>257</v>
      </c>
      <c r="BD3685" s="17" t="s">
        <v>257</v>
      </c>
      <c r="BE3685" s="17" t="s">
        <v>257</v>
      </c>
      <c r="BF3685" s="17" t="s">
        <v>257</v>
      </c>
      <c r="BG3685" s="11">
        <f ca="1">IFERROR(__xludf.DUMMYFUNCTION("""COMPUTED_VALUE"""),46037.625)</f>
        <v>46037.625</v>
      </c>
      <c r="BH3685" s="17"/>
      <c r="BI3685" s="17"/>
      <c r="BJ3685" s="15"/>
      <c r="BK3685" s="15"/>
      <c r="BL3685" s="13" t="b">
        <v>0</v>
      </c>
      <c r="BM3685" s="10"/>
      <c r="BN3685" s="10" t="s">
        <v>3527</v>
      </c>
      <c r="BO3685" s="11">
        <v>46029.488194444442</v>
      </c>
      <c r="BP3685" s="11">
        <v>46033.333229166667</v>
      </c>
      <c r="BQ3685" s="15"/>
      <c r="BR3685" s="15"/>
      <c r="BS3685" s="10"/>
      <c r="BT3685" s="10"/>
      <c r="BU3685" s="10"/>
      <c r="BV3685" s="10"/>
      <c r="BW3685" s="10"/>
      <c r="BX3685" s="10"/>
      <c r="BY3685" s="23"/>
      <c r="BZ3685" s="23"/>
      <c r="CA3685" s="10"/>
      <c r="CB3685" s="23"/>
      <c r="CC3685" s="23"/>
      <c r="CD3685" s="23"/>
      <c r="CE3685" s="23"/>
      <c r="CF3685" s="23"/>
      <c r="CG3685" s="23"/>
      <c r="CH3685" s="23"/>
      <c r="CI3685" s="23"/>
    </row>
    <row r="3686" spans="1:87" x14ac:dyDescent="0.3">
      <c r="A3686" s="9" t="s">
        <v>25487</v>
      </c>
      <c r="B3686" s="10" t="s">
        <v>25488</v>
      </c>
      <c r="C3686" s="11">
        <v>46054.5</v>
      </c>
      <c r="D3686" s="12">
        <v>0.20833333333333334</v>
      </c>
      <c r="E3686" s="11">
        <v>46054.708333333336</v>
      </c>
      <c r="F3686" s="22" t="s">
        <v>25489</v>
      </c>
      <c r="G3686" s="13" t="b">
        <v>0</v>
      </c>
      <c r="H3686" s="22"/>
      <c r="I3686" s="10" t="s">
        <v>8383</v>
      </c>
      <c r="J3686" s="13" t="b">
        <v>0</v>
      </c>
      <c r="K3686" s="13" t="b">
        <v>1</v>
      </c>
      <c r="L3686" s="10" t="s">
        <v>124</v>
      </c>
      <c r="M3686" s="10" t="s">
        <v>91</v>
      </c>
      <c r="N3686" s="10" t="s">
        <v>92</v>
      </c>
      <c r="O3686" s="10"/>
      <c r="P3686" s="10"/>
      <c r="Q3686" s="10" t="s">
        <v>126</v>
      </c>
      <c r="R3686" s="10"/>
      <c r="S3686" s="10"/>
      <c r="T3686" s="10"/>
      <c r="U3686" s="10"/>
      <c r="V3686" s="10"/>
      <c r="W3686" s="10" t="s">
        <v>25490</v>
      </c>
      <c r="X3686" s="10" t="s">
        <v>8408</v>
      </c>
      <c r="Y3686" s="10" t="s">
        <v>8408</v>
      </c>
      <c r="Z3686" s="10" t="s">
        <v>99</v>
      </c>
      <c r="AA3686" s="10" t="s">
        <v>131</v>
      </c>
      <c r="AB3686" s="10" t="s">
        <v>25491</v>
      </c>
      <c r="AC3686" s="10" t="s">
        <v>25492</v>
      </c>
      <c r="AD3686" s="10" t="s">
        <v>165</v>
      </c>
      <c r="AE3686" s="10" t="s">
        <v>25493</v>
      </c>
      <c r="AF3686" s="15"/>
      <c r="AG3686" s="10"/>
      <c r="AH3686" s="10"/>
      <c r="AI3686" s="10"/>
      <c r="AJ3686" s="10"/>
      <c r="AK3686" s="10"/>
      <c r="AL3686" s="10"/>
      <c r="AM3686" s="10"/>
      <c r="AN3686" s="10"/>
      <c r="AO3686" s="13" t="b">
        <v>0</v>
      </c>
      <c r="AP3686" s="22"/>
      <c r="AQ3686" s="10"/>
      <c r="AR3686" s="17"/>
      <c r="AS3686" s="17"/>
      <c r="AT3686" s="17"/>
      <c r="AU3686" s="17"/>
      <c r="AV3686" s="17"/>
      <c r="AW3686" s="10"/>
      <c r="AX3686" s="17"/>
      <c r="AY3686" s="18" t="s">
        <v>257</v>
      </c>
      <c r="AZ3686" s="10"/>
      <c r="BA3686" s="20" t="b">
        <v>0</v>
      </c>
      <c r="BB3686" s="10"/>
      <c r="BC3686" s="17" t="s">
        <v>257</v>
      </c>
      <c r="BD3686" s="17" t="s">
        <v>257</v>
      </c>
      <c r="BE3686" s="17" t="s">
        <v>257</v>
      </c>
      <c r="BF3686" s="17" t="s">
        <v>257</v>
      </c>
      <c r="BG3686" s="11">
        <f ca="1">IFERROR(__xludf.DUMMYFUNCTION("""COMPUTED_VALUE"""),46054.5)</f>
        <v>46054.5</v>
      </c>
      <c r="BH3686" s="17"/>
      <c r="BI3686" s="17"/>
      <c r="BJ3686" s="15"/>
      <c r="BK3686" s="15"/>
      <c r="BL3686" s="13" t="b">
        <v>0</v>
      </c>
      <c r="BM3686" s="10" t="s">
        <v>10266</v>
      </c>
      <c r="BN3686" s="10" t="s">
        <v>18456</v>
      </c>
      <c r="BO3686" s="11">
        <v>46029.505555555559</v>
      </c>
      <c r="BP3686" s="11">
        <v>46029.583229166667</v>
      </c>
      <c r="BQ3686" s="15"/>
      <c r="BR3686" s="15"/>
      <c r="BS3686" s="10"/>
      <c r="BT3686" s="10"/>
      <c r="BU3686" s="10"/>
      <c r="BV3686" s="10"/>
      <c r="BW3686" s="10"/>
      <c r="BX3686" s="10"/>
      <c r="BY3686" s="23"/>
      <c r="BZ3686" s="23"/>
      <c r="CA3686" s="10"/>
      <c r="CB3686" s="23"/>
      <c r="CC3686" s="23"/>
      <c r="CD3686" s="23"/>
      <c r="CE3686" s="23"/>
      <c r="CF3686" s="23"/>
      <c r="CG3686" s="23"/>
      <c r="CH3686" s="23"/>
      <c r="CI3686" s="23"/>
    </row>
    <row r="3687" spans="1:87" x14ac:dyDescent="0.3">
      <c r="A3687" s="9" t="s">
        <v>25494</v>
      </c>
      <c r="B3687" s="10" t="s">
        <v>25495</v>
      </c>
      <c r="C3687" s="11">
        <v>46038.3125</v>
      </c>
      <c r="D3687" s="12">
        <v>8.3333333333333329E-2</v>
      </c>
      <c r="E3687" s="11">
        <v>46038.395833333336</v>
      </c>
      <c r="F3687" s="22" t="s">
        <v>25466</v>
      </c>
      <c r="G3687" s="13" t="b">
        <v>0</v>
      </c>
      <c r="H3687" s="22" t="s">
        <v>3215</v>
      </c>
      <c r="I3687" s="10" t="s">
        <v>89</v>
      </c>
      <c r="J3687" s="13" t="b">
        <v>0</v>
      </c>
      <c r="K3687" s="13" t="b">
        <v>1</v>
      </c>
      <c r="L3687" s="10" t="s">
        <v>124</v>
      </c>
      <c r="M3687" s="10" t="s">
        <v>91</v>
      </c>
      <c r="N3687" s="10" t="s">
        <v>265</v>
      </c>
      <c r="O3687" s="10"/>
      <c r="P3687" s="10"/>
      <c r="Q3687" s="10" t="s">
        <v>126</v>
      </c>
      <c r="R3687" s="10"/>
      <c r="S3687" s="10"/>
      <c r="T3687" s="10"/>
      <c r="U3687" s="10"/>
      <c r="V3687" s="10"/>
      <c r="W3687" s="10" t="s">
        <v>24434</v>
      </c>
      <c r="X3687" s="10" t="s">
        <v>21724</v>
      </c>
      <c r="Y3687" s="10" t="s">
        <v>21724</v>
      </c>
      <c r="Z3687" s="10" t="s">
        <v>99</v>
      </c>
      <c r="AA3687" s="10" t="s">
        <v>131</v>
      </c>
      <c r="AB3687" s="10" t="s">
        <v>25468</v>
      </c>
      <c r="AC3687" s="10" t="s">
        <v>24436</v>
      </c>
      <c r="AD3687" s="10" t="s">
        <v>165</v>
      </c>
      <c r="AE3687" s="10" t="s">
        <v>25496</v>
      </c>
      <c r="AF3687" s="15"/>
      <c r="AG3687" s="10"/>
      <c r="AH3687" s="10"/>
      <c r="AI3687" s="10"/>
      <c r="AJ3687" s="10"/>
      <c r="AK3687" s="10"/>
      <c r="AL3687" s="10" t="s">
        <v>20102</v>
      </c>
      <c r="AM3687" s="10"/>
      <c r="AN3687" s="10"/>
      <c r="AO3687" s="13" t="b">
        <v>0</v>
      </c>
      <c r="AP3687" s="22" t="s">
        <v>135</v>
      </c>
      <c r="AQ3687" s="10"/>
      <c r="AR3687" s="17"/>
      <c r="AS3687" s="17"/>
      <c r="AT3687" s="17"/>
      <c r="AU3687" s="17"/>
      <c r="AV3687" s="17"/>
      <c r="AW3687" s="10"/>
      <c r="AX3687" s="17"/>
      <c r="AY3687" s="18" t="s">
        <v>257</v>
      </c>
      <c r="AZ3687" s="10"/>
      <c r="BA3687" s="20" t="b">
        <v>0</v>
      </c>
      <c r="BB3687" s="10"/>
      <c r="BC3687" s="17" t="s">
        <v>257</v>
      </c>
      <c r="BD3687" s="17" t="s">
        <v>257</v>
      </c>
      <c r="BE3687" s="17" t="s">
        <v>257</v>
      </c>
      <c r="BF3687" s="17" t="s">
        <v>257</v>
      </c>
      <c r="BG3687" s="11">
        <f ca="1">IFERROR(__xludf.DUMMYFUNCTION("""COMPUTED_VALUE"""),46038.3125)</f>
        <v>46038.3125</v>
      </c>
      <c r="BH3687" s="17"/>
      <c r="BI3687" s="17"/>
      <c r="BJ3687" s="15"/>
      <c r="BK3687" s="15"/>
      <c r="BL3687" s="13" t="b">
        <v>0</v>
      </c>
      <c r="BM3687" s="10"/>
      <c r="BN3687" s="10" t="s">
        <v>3527</v>
      </c>
      <c r="BO3687" s="11">
        <v>46029.534722222219</v>
      </c>
      <c r="BP3687" s="11">
        <v>46033.333726851852</v>
      </c>
      <c r="BQ3687" s="15"/>
      <c r="BR3687" s="15"/>
      <c r="BS3687" s="10"/>
      <c r="BT3687" s="10"/>
      <c r="BU3687" s="10"/>
      <c r="BV3687" s="10"/>
      <c r="BW3687" s="10"/>
      <c r="BX3687" s="10"/>
      <c r="BY3687" s="23"/>
      <c r="BZ3687" s="23"/>
      <c r="CA3687" s="10"/>
      <c r="CB3687" s="23"/>
      <c r="CC3687" s="23"/>
      <c r="CD3687" s="23"/>
      <c r="CE3687" s="23"/>
      <c r="CF3687" s="23"/>
      <c r="CG3687" s="23"/>
      <c r="CH3687" s="23"/>
      <c r="CI3687" s="23"/>
    </row>
    <row r="3688" spans="1:87" x14ac:dyDescent="0.3">
      <c r="A3688" s="9" t="s">
        <v>25497</v>
      </c>
      <c r="B3688" s="10" t="s">
        <v>25495</v>
      </c>
      <c r="C3688" s="11">
        <v>46038.479166666664</v>
      </c>
      <c r="D3688" s="12">
        <v>8.3333333333333329E-2</v>
      </c>
      <c r="E3688" s="11">
        <v>46038.5625</v>
      </c>
      <c r="F3688" s="22" t="s">
        <v>25466</v>
      </c>
      <c r="G3688" s="13" t="b">
        <v>0</v>
      </c>
      <c r="H3688" s="22" t="s">
        <v>3215</v>
      </c>
      <c r="I3688" s="10" t="s">
        <v>89</v>
      </c>
      <c r="J3688" s="13" t="b">
        <v>0</v>
      </c>
      <c r="K3688" s="13" t="b">
        <v>1</v>
      </c>
      <c r="L3688" s="10" t="s">
        <v>124</v>
      </c>
      <c r="M3688" s="10" t="s">
        <v>91</v>
      </c>
      <c r="N3688" s="10" t="s">
        <v>265</v>
      </c>
      <c r="O3688" s="10"/>
      <c r="P3688" s="10"/>
      <c r="Q3688" s="10" t="s">
        <v>126</v>
      </c>
      <c r="R3688" s="10"/>
      <c r="S3688" s="10"/>
      <c r="T3688" s="10"/>
      <c r="U3688" s="10"/>
      <c r="V3688" s="10"/>
      <c r="W3688" s="10" t="s">
        <v>24434</v>
      </c>
      <c r="X3688" s="10" t="s">
        <v>21724</v>
      </c>
      <c r="Y3688" s="10" t="s">
        <v>21724</v>
      </c>
      <c r="Z3688" s="10" t="s">
        <v>99</v>
      </c>
      <c r="AA3688" s="10" t="s">
        <v>131</v>
      </c>
      <c r="AB3688" s="10" t="s">
        <v>25468</v>
      </c>
      <c r="AC3688" s="10" t="s">
        <v>24436</v>
      </c>
      <c r="AD3688" s="10" t="s">
        <v>165</v>
      </c>
      <c r="AE3688" s="10" t="s">
        <v>25496</v>
      </c>
      <c r="AF3688" s="15"/>
      <c r="AG3688" s="10"/>
      <c r="AH3688" s="10"/>
      <c r="AI3688" s="10"/>
      <c r="AJ3688" s="10"/>
      <c r="AK3688" s="10"/>
      <c r="AL3688" s="10" t="s">
        <v>20102</v>
      </c>
      <c r="AM3688" s="10"/>
      <c r="AN3688" s="10"/>
      <c r="AO3688" s="13" t="b">
        <v>0</v>
      </c>
      <c r="AP3688" s="22" t="s">
        <v>135</v>
      </c>
      <c r="AQ3688" s="10"/>
      <c r="AR3688" s="17"/>
      <c r="AS3688" s="17"/>
      <c r="AT3688" s="17"/>
      <c r="AU3688" s="17"/>
      <c r="AV3688" s="17"/>
      <c r="AW3688" s="10"/>
      <c r="AX3688" s="17"/>
      <c r="AY3688" s="18" t="s">
        <v>257</v>
      </c>
      <c r="AZ3688" s="10"/>
      <c r="BA3688" s="20" t="b">
        <v>0</v>
      </c>
      <c r="BB3688" s="10"/>
      <c r="BC3688" s="17" t="s">
        <v>257</v>
      </c>
      <c r="BD3688" s="17" t="s">
        <v>257</v>
      </c>
      <c r="BE3688" s="17" t="s">
        <v>257</v>
      </c>
      <c r="BF3688" s="17" t="s">
        <v>257</v>
      </c>
      <c r="BG3688" s="11">
        <f ca="1">IFERROR(__xludf.DUMMYFUNCTION("""COMPUTED_VALUE"""),46038.4791666666)</f>
        <v>46038.479166666599</v>
      </c>
      <c r="BH3688" s="17"/>
      <c r="BI3688" s="17"/>
      <c r="BJ3688" s="15"/>
      <c r="BK3688" s="15"/>
      <c r="BL3688" s="13" t="b">
        <v>0</v>
      </c>
      <c r="BM3688" s="10"/>
      <c r="BN3688" s="10" t="s">
        <v>3527</v>
      </c>
      <c r="BO3688" s="11">
        <v>46029.536111111112</v>
      </c>
      <c r="BP3688" s="11">
        <v>46033.334050925929</v>
      </c>
      <c r="BQ3688" s="15"/>
      <c r="BR3688" s="15"/>
      <c r="BS3688" s="10"/>
      <c r="BT3688" s="10"/>
      <c r="BU3688" s="10"/>
      <c r="BV3688" s="10"/>
      <c r="BW3688" s="10"/>
      <c r="BX3688" s="10"/>
      <c r="BY3688" s="23"/>
      <c r="BZ3688" s="23"/>
      <c r="CA3688" s="10"/>
      <c r="CB3688" s="23"/>
      <c r="CC3688" s="23"/>
      <c r="CD3688" s="23"/>
      <c r="CE3688" s="23"/>
      <c r="CF3688" s="23"/>
      <c r="CG3688" s="23"/>
      <c r="CH3688" s="23"/>
      <c r="CI3688" s="23"/>
    </row>
    <row r="3689" spans="1:87" x14ac:dyDescent="0.3">
      <c r="A3689" s="9" t="s">
        <v>25498</v>
      </c>
      <c r="B3689" s="10" t="s">
        <v>25499</v>
      </c>
      <c r="C3689" s="11">
        <v>46039.375</v>
      </c>
      <c r="D3689" s="12">
        <v>8.3333333333333329E-2</v>
      </c>
      <c r="E3689" s="11">
        <v>46039.458333333336</v>
      </c>
      <c r="F3689" s="22" t="s">
        <v>25466</v>
      </c>
      <c r="G3689" s="13" t="b">
        <v>0</v>
      </c>
      <c r="H3689" s="22" t="s">
        <v>3215</v>
      </c>
      <c r="I3689" s="10" t="s">
        <v>89</v>
      </c>
      <c r="J3689" s="13" t="b">
        <v>0</v>
      </c>
      <c r="K3689" s="13" t="b">
        <v>1</v>
      </c>
      <c r="L3689" s="10" t="s">
        <v>124</v>
      </c>
      <c r="M3689" s="10" t="s">
        <v>91</v>
      </c>
      <c r="N3689" s="10" t="s">
        <v>265</v>
      </c>
      <c r="O3689" s="10"/>
      <c r="P3689" s="10"/>
      <c r="Q3689" s="10" t="s">
        <v>126</v>
      </c>
      <c r="R3689" s="10"/>
      <c r="S3689" s="10"/>
      <c r="T3689" s="10"/>
      <c r="U3689" s="10"/>
      <c r="V3689" s="10"/>
      <c r="W3689" s="10" t="s">
        <v>24434</v>
      </c>
      <c r="X3689" s="10" t="s">
        <v>21724</v>
      </c>
      <c r="Y3689" s="10" t="s">
        <v>21724</v>
      </c>
      <c r="Z3689" s="10" t="s">
        <v>99</v>
      </c>
      <c r="AA3689" s="10" t="s">
        <v>131</v>
      </c>
      <c r="AB3689" s="10" t="s">
        <v>25468</v>
      </c>
      <c r="AC3689" s="10" t="s">
        <v>24436</v>
      </c>
      <c r="AD3689" s="10" t="s">
        <v>165</v>
      </c>
      <c r="AE3689" s="10" t="s">
        <v>25500</v>
      </c>
      <c r="AF3689" s="15"/>
      <c r="AG3689" s="10"/>
      <c r="AH3689" s="10"/>
      <c r="AI3689" s="10"/>
      <c r="AJ3689" s="10"/>
      <c r="AK3689" s="10"/>
      <c r="AL3689" s="10" t="s">
        <v>220</v>
      </c>
      <c r="AM3689" s="10"/>
      <c r="AN3689" s="10"/>
      <c r="AO3689" s="13" t="b">
        <v>0</v>
      </c>
      <c r="AP3689" s="22" t="s">
        <v>135</v>
      </c>
      <c r="AQ3689" s="10"/>
      <c r="AR3689" s="17"/>
      <c r="AS3689" s="17"/>
      <c r="AT3689" s="17"/>
      <c r="AU3689" s="17"/>
      <c r="AV3689" s="17"/>
      <c r="AW3689" s="10"/>
      <c r="AX3689" s="17"/>
      <c r="AY3689" s="18" t="s">
        <v>257</v>
      </c>
      <c r="AZ3689" s="10"/>
      <c r="BA3689" s="20" t="b">
        <v>0</v>
      </c>
      <c r="BB3689" s="10"/>
      <c r="BC3689" s="17" t="s">
        <v>257</v>
      </c>
      <c r="BD3689" s="17" t="s">
        <v>257</v>
      </c>
      <c r="BE3689" s="17" t="s">
        <v>257</v>
      </c>
      <c r="BF3689" s="17" t="s">
        <v>257</v>
      </c>
      <c r="BG3689" s="11">
        <f ca="1">IFERROR(__xludf.DUMMYFUNCTION("""COMPUTED_VALUE"""),46039.375)</f>
        <v>46039.375</v>
      </c>
      <c r="BH3689" s="17"/>
      <c r="BI3689" s="17"/>
      <c r="BJ3689" s="15"/>
      <c r="BK3689" s="15"/>
      <c r="BL3689" s="13" t="b">
        <v>0</v>
      </c>
      <c r="BM3689" s="10"/>
      <c r="BN3689" s="10" t="s">
        <v>3527</v>
      </c>
      <c r="BO3689" s="11">
        <v>46029.536805555559</v>
      </c>
      <c r="BP3689" s="11">
        <v>46033.334456018521</v>
      </c>
      <c r="BQ3689" s="15"/>
      <c r="BR3689" s="15"/>
      <c r="BS3689" s="10"/>
      <c r="BT3689" s="10"/>
      <c r="BU3689" s="10"/>
      <c r="BV3689" s="10"/>
      <c r="BW3689" s="10"/>
      <c r="BX3689" s="10"/>
      <c r="BY3689" s="23"/>
      <c r="BZ3689" s="23"/>
      <c r="CA3689" s="10"/>
      <c r="CB3689" s="23"/>
      <c r="CC3689" s="23"/>
      <c r="CD3689" s="23"/>
      <c r="CE3689" s="23"/>
      <c r="CF3689" s="23"/>
      <c r="CG3689" s="23"/>
      <c r="CH3689" s="23"/>
      <c r="CI3689" s="23"/>
    </row>
    <row r="3690" spans="1:87" x14ac:dyDescent="0.3">
      <c r="A3690" s="9" t="s">
        <v>25501</v>
      </c>
      <c r="B3690" s="10" t="s">
        <v>25502</v>
      </c>
      <c r="C3690" s="11">
        <v>46036.333333333336</v>
      </c>
      <c r="D3690" s="12">
        <v>0.16666666666666666</v>
      </c>
      <c r="E3690" s="11">
        <v>46036.5</v>
      </c>
      <c r="F3690" s="22" t="s">
        <v>25503</v>
      </c>
      <c r="G3690" s="13" t="b">
        <v>0</v>
      </c>
      <c r="H3690" s="22" t="s">
        <v>3478</v>
      </c>
      <c r="I3690" s="10" t="s">
        <v>89</v>
      </c>
      <c r="J3690" s="13" t="b">
        <v>0</v>
      </c>
      <c r="K3690" s="13" t="b">
        <v>1</v>
      </c>
      <c r="L3690" s="10" t="s">
        <v>124</v>
      </c>
      <c r="M3690" s="10" t="s">
        <v>91</v>
      </c>
      <c r="N3690" s="10" t="s">
        <v>265</v>
      </c>
      <c r="O3690" s="10"/>
      <c r="P3690" s="10"/>
      <c r="Q3690" s="10" t="s">
        <v>94</v>
      </c>
      <c r="R3690" s="10"/>
      <c r="S3690" s="19" t="s">
        <v>25504</v>
      </c>
      <c r="T3690" s="10"/>
      <c r="U3690" s="10"/>
      <c r="V3690" s="10"/>
      <c r="W3690" s="10" t="s">
        <v>24434</v>
      </c>
      <c r="X3690" s="10" t="s">
        <v>21724</v>
      </c>
      <c r="Y3690" s="10" t="s">
        <v>21724</v>
      </c>
      <c r="Z3690" s="10" t="s">
        <v>99</v>
      </c>
      <c r="AA3690" s="10" t="s">
        <v>131</v>
      </c>
      <c r="AB3690" s="10" t="s">
        <v>25505</v>
      </c>
      <c r="AC3690" s="10" t="s">
        <v>24436</v>
      </c>
      <c r="AD3690" s="10" t="s">
        <v>165</v>
      </c>
      <c r="AE3690" s="10" t="s">
        <v>25506</v>
      </c>
      <c r="AF3690" s="15"/>
      <c r="AG3690" s="10"/>
      <c r="AH3690" s="10"/>
      <c r="AI3690" s="10"/>
      <c r="AJ3690" s="10"/>
      <c r="AK3690" s="10"/>
      <c r="AL3690" s="10" t="s">
        <v>24528</v>
      </c>
      <c r="AM3690" s="10"/>
      <c r="AN3690" s="10"/>
      <c r="AO3690" s="13" t="b">
        <v>0</v>
      </c>
      <c r="AP3690" s="22" t="s">
        <v>135</v>
      </c>
      <c r="AQ3690" s="10"/>
      <c r="AR3690" s="17"/>
      <c r="AS3690" s="17"/>
      <c r="AT3690" s="17"/>
      <c r="AU3690" s="17"/>
      <c r="AV3690" s="17"/>
      <c r="AW3690" s="10"/>
      <c r="AX3690" s="17"/>
      <c r="AY3690" s="18" t="s">
        <v>257</v>
      </c>
      <c r="AZ3690" s="10"/>
      <c r="BA3690" s="20" t="b">
        <v>0</v>
      </c>
      <c r="BB3690" s="10"/>
      <c r="BC3690" s="17" t="s">
        <v>257</v>
      </c>
      <c r="BD3690" s="17" t="s">
        <v>257</v>
      </c>
      <c r="BE3690" s="17" t="s">
        <v>257</v>
      </c>
      <c r="BF3690" s="17" t="s">
        <v>257</v>
      </c>
      <c r="BG3690" s="11">
        <f ca="1">IFERROR(__xludf.DUMMYFUNCTION("""COMPUTED_VALUE"""),46036.3333333333)</f>
        <v>46036.333333333299</v>
      </c>
      <c r="BH3690" s="17"/>
      <c r="BI3690" s="17"/>
      <c r="BJ3690" s="15"/>
      <c r="BK3690" s="15"/>
      <c r="BL3690" s="13" t="b">
        <v>0</v>
      </c>
      <c r="BM3690" s="10"/>
      <c r="BN3690" s="10" t="s">
        <v>3527</v>
      </c>
      <c r="BO3690" s="11">
        <v>46029.548611111109</v>
      </c>
      <c r="BP3690" s="11">
        <v>46033.464837962965</v>
      </c>
      <c r="BQ3690" s="15">
        <v>46032.959247685183</v>
      </c>
      <c r="BR3690" s="15"/>
      <c r="BS3690" s="10"/>
      <c r="BT3690" s="10"/>
      <c r="BU3690" s="10"/>
      <c r="BV3690" s="10"/>
      <c r="BW3690" s="10"/>
      <c r="BX3690" s="10"/>
      <c r="BY3690" s="23"/>
      <c r="BZ3690" s="23"/>
      <c r="CA3690" s="19" t="s">
        <v>25507</v>
      </c>
      <c r="CB3690" s="23"/>
      <c r="CC3690" s="23"/>
      <c r="CD3690" s="23"/>
      <c r="CE3690" s="23"/>
      <c r="CF3690" s="23"/>
      <c r="CG3690" s="23"/>
      <c r="CH3690" s="23"/>
      <c r="CI3690" s="23"/>
    </row>
    <row r="3691" spans="1:87" x14ac:dyDescent="0.3">
      <c r="A3691" s="9" t="s">
        <v>25508</v>
      </c>
      <c r="B3691" s="10" t="s">
        <v>25502</v>
      </c>
      <c r="C3691" s="11">
        <v>46036.604166666664</v>
      </c>
      <c r="D3691" s="12">
        <v>8.3333333333333329E-2</v>
      </c>
      <c r="E3691" s="11">
        <v>46036.6875</v>
      </c>
      <c r="F3691" s="22" t="s">
        <v>25503</v>
      </c>
      <c r="G3691" s="13" t="b">
        <v>0</v>
      </c>
      <c r="H3691" s="22" t="s">
        <v>3478</v>
      </c>
      <c r="I3691" s="10" t="s">
        <v>89</v>
      </c>
      <c r="J3691" s="13" t="b">
        <v>0</v>
      </c>
      <c r="K3691" s="13" t="b">
        <v>1</v>
      </c>
      <c r="L3691" s="10" t="s">
        <v>124</v>
      </c>
      <c r="M3691" s="10" t="s">
        <v>91</v>
      </c>
      <c r="N3691" s="10" t="s">
        <v>265</v>
      </c>
      <c r="O3691" s="10"/>
      <c r="P3691" s="10"/>
      <c r="Q3691" s="10" t="s">
        <v>94</v>
      </c>
      <c r="R3691" s="10"/>
      <c r="S3691" s="19" t="s">
        <v>25504</v>
      </c>
      <c r="T3691" s="10"/>
      <c r="U3691" s="10"/>
      <c r="V3691" s="10"/>
      <c r="W3691" s="10" t="s">
        <v>24434</v>
      </c>
      <c r="X3691" s="10" t="s">
        <v>21724</v>
      </c>
      <c r="Y3691" s="10" t="s">
        <v>21724</v>
      </c>
      <c r="Z3691" s="10" t="s">
        <v>99</v>
      </c>
      <c r="AA3691" s="10" t="s">
        <v>131</v>
      </c>
      <c r="AB3691" s="10" t="s">
        <v>25505</v>
      </c>
      <c r="AC3691" s="10" t="s">
        <v>24436</v>
      </c>
      <c r="AD3691" s="10" t="s">
        <v>165</v>
      </c>
      <c r="AE3691" s="10" t="s">
        <v>25506</v>
      </c>
      <c r="AF3691" s="15"/>
      <c r="AG3691" s="10"/>
      <c r="AH3691" s="10"/>
      <c r="AI3691" s="10"/>
      <c r="AJ3691" s="10"/>
      <c r="AK3691" s="10"/>
      <c r="AL3691" s="10" t="s">
        <v>24528</v>
      </c>
      <c r="AM3691" s="10"/>
      <c r="AN3691" s="10"/>
      <c r="AO3691" s="13" t="b">
        <v>0</v>
      </c>
      <c r="AP3691" s="22" t="s">
        <v>135</v>
      </c>
      <c r="AQ3691" s="10"/>
      <c r="AR3691" s="17"/>
      <c r="AS3691" s="17"/>
      <c r="AT3691" s="17"/>
      <c r="AU3691" s="17"/>
      <c r="AV3691" s="17"/>
      <c r="AW3691" s="10"/>
      <c r="AX3691" s="17"/>
      <c r="AY3691" s="18" t="s">
        <v>257</v>
      </c>
      <c r="AZ3691" s="10"/>
      <c r="BA3691" s="20" t="b">
        <v>0</v>
      </c>
      <c r="BB3691" s="10"/>
      <c r="BC3691" s="17" t="s">
        <v>257</v>
      </c>
      <c r="BD3691" s="17" t="s">
        <v>257</v>
      </c>
      <c r="BE3691" s="17" t="s">
        <v>257</v>
      </c>
      <c r="BF3691" s="17" t="s">
        <v>257</v>
      </c>
      <c r="BG3691" s="11">
        <f ca="1">IFERROR(__xludf.DUMMYFUNCTION("""COMPUTED_VALUE"""),46036.6041666666)</f>
        <v>46036.604166666599</v>
      </c>
      <c r="BH3691" s="17"/>
      <c r="BI3691" s="17"/>
      <c r="BJ3691" s="15"/>
      <c r="BK3691" s="15"/>
      <c r="BL3691" s="13" t="b">
        <v>0</v>
      </c>
      <c r="BM3691" s="10"/>
      <c r="BN3691" s="10" t="s">
        <v>3527</v>
      </c>
      <c r="BO3691" s="11">
        <v>46029.558333333334</v>
      </c>
      <c r="BP3691" s="11">
        <v>46033.465092592596</v>
      </c>
      <c r="BQ3691" s="15">
        <v>46032.959293981483</v>
      </c>
      <c r="BR3691" s="15"/>
      <c r="BS3691" s="10"/>
      <c r="BT3691" s="10"/>
      <c r="BU3691" s="10"/>
      <c r="BV3691" s="10"/>
      <c r="BW3691" s="10"/>
      <c r="BX3691" s="10"/>
      <c r="BY3691" s="23"/>
      <c r="BZ3691" s="23"/>
      <c r="CA3691" s="19" t="s">
        <v>25507</v>
      </c>
      <c r="CB3691" s="23"/>
      <c r="CC3691" s="23"/>
      <c r="CD3691" s="23"/>
      <c r="CE3691" s="23"/>
      <c r="CF3691" s="23"/>
      <c r="CG3691" s="23"/>
      <c r="CH3691" s="23"/>
      <c r="CI3691" s="23"/>
    </row>
    <row r="3692" spans="1:87" x14ac:dyDescent="0.3">
      <c r="A3692" s="9" t="s">
        <v>25509</v>
      </c>
      <c r="B3692" s="10" t="s">
        <v>25510</v>
      </c>
      <c r="C3692" s="11">
        <v>46037.375</v>
      </c>
      <c r="D3692" s="12">
        <v>0.33333333333333331</v>
      </c>
      <c r="E3692" s="11">
        <v>46037.708333333336</v>
      </c>
      <c r="F3692" s="22" t="s">
        <v>25503</v>
      </c>
      <c r="G3692" s="13" t="b">
        <v>0</v>
      </c>
      <c r="H3692" s="22" t="s">
        <v>3478</v>
      </c>
      <c r="I3692" s="10" t="s">
        <v>89</v>
      </c>
      <c r="J3692" s="13" t="b">
        <v>0</v>
      </c>
      <c r="K3692" s="13" t="b">
        <v>1</v>
      </c>
      <c r="L3692" s="10" t="s">
        <v>124</v>
      </c>
      <c r="M3692" s="10" t="s">
        <v>91</v>
      </c>
      <c r="N3692" s="10" t="s">
        <v>265</v>
      </c>
      <c r="O3692" s="10"/>
      <c r="P3692" s="10"/>
      <c r="Q3692" s="10" t="s">
        <v>94</v>
      </c>
      <c r="R3692" s="10"/>
      <c r="S3692" s="19" t="s">
        <v>25511</v>
      </c>
      <c r="T3692" s="10"/>
      <c r="U3692" s="10"/>
      <c r="V3692" s="10"/>
      <c r="W3692" s="10" t="s">
        <v>24434</v>
      </c>
      <c r="X3692" s="10" t="s">
        <v>21724</v>
      </c>
      <c r="Y3692" s="10" t="s">
        <v>21724</v>
      </c>
      <c r="Z3692" s="10" t="s">
        <v>99</v>
      </c>
      <c r="AA3692" s="10" t="s">
        <v>131</v>
      </c>
      <c r="AB3692" s="10" t="s">
        <v>25505</v>
      </c>
      <c r="AC3692" s="10" t="s">
        <v>24436</v>
      </c>
      <c r="AD3692" s="10" t="s">
        <v>165</v>
      </c>
      <c r="AE3692" s="10" t="s">
        <v>25512</v>
      </c>
      <c r="AF3692" s="15"/>
      <c r="AG3692" s="10"/>
      <c r="AH3692" s="10"/>
      <c r="AI3692" s="10"/>
      <c r="AJ3692" s="10"/>
      <c r="AK3692" s="10"/>
      <c r="AL3692" s="10" t="s">
        <v>19004</v>
      </c>
      <c r="AM3692" s="10"/>
      <c r="AN3692" s="10"/>
      <c r="AO3692" s="13" t="b">
        <v>0</v>
      </c>
      <c r="AP3692" s="22" t="s">
        <v>135</v>
      </c>
      <c r="AQ3692" s="10"/>
      <c r="AR3692" s="17"/>
      <c r="AS3692" s="17"/>
      <c r="AT3692" s="17"/>
      <c r="AU3692" s="17"/>
      <c r="AV3692" s="17"/>
      <c r="AW3692" s="10"/>
      <c r="AX3692" s="17"/>
      <c r="AY3692" s="18" t="s">
        <v>257</v>
      </c>
      <c r="AZ3692" s="10"/>
      <c r="BA3692" s="20" t="b">
        <v>0</v>
      </c>
      <c r="BB3692" s="10"/>
      <c r="BC3692" s="17" t="s">
        <v>257</v>
      </c>
      <c r="BD3692" s="17" t="s">
        <v>257</v>
      </c>
      <c r="BE3692" s="17" t="s">
        <v>257</v>
      </c>
      <c r="BF3692" s="17" t="s">
        <v>257</v>
      </c>
      <c r="BG3692" s="11">
        <f ca="1">IFERROR(__xludf.DUMMYFUNCTION("""COMPUTED_VALUE"""),46037.375)</f>
        <v>46037.375</v>
      </c>
      <c r="BH3692" s="17"/>
      <c r="BI3692" s="17"/>
      <c r="BJ3692" s="15"/>
      <c r="BK3692" s="15"/>
      <c r="BL3692" s="13" t="b">
        <v>0</v>
      </c>
      <c r="BM3692" s="10"/>
      <c r="BN3692" s="10" t="s">
        <v>3527</v>
      </c>
      <c r="BO3692" s="11">
        <v>46029.559027777781</v>
      </c>
      <c r="BP3692" s="11">
        <v>46033.46539351852</v>
      </c>
      <c r="BQ3692" s="15">
        <v>46032.959120370368</v>
      </c>
      <c r="BR3692" s="15"/>
      <c r="BS3692" s="10"/>
      <c r="BT3692" s="10"/>
      <c r="BU3692" s="10"/>
      <c r="BV3692" s="10"/>
      <c r="BW3692" s="10"/>
      <c r="BX3692" s="10"/>
      <c r="BY3692" s="23"/>
      <c r="BZ3692" s="23"/>
      <c r="CA3692" s="19" t="s">
        <v>25513</v>
      </c>
      <c r="CB3692" s="23"/>
      <c r="CC3692" s="23"/>
      <c r="CD3692" s="23"/>
      <c r="CE3692" s="23"/>
      <c r="CF3692" s="23"/>
      <c r="CG3692" s="23"/>
      <c r="CH3692" s="23"/>
      <c r="CI3692" s="23"/>
    </row>
    <row r="3693" spans="1:87" x14ac:dyDescent="0.3">
      <c r="A3693" s="9" t="s">
        <v>25514</v>
      </c>
      <c r="B3693" s="10" t="s">
        <v>25515</v>
      </c>
      <c r="C3693" s="11">
        <v>46038.458333333336</v>
      </c>
      <c r="D3693" s="12">
        <v>0.16666666666666666</v>
      </c>
      <c r="E3693" s="11">
        <v>46038.625</v>
      </c>
      <c r="F3693" s="22" t="s">
        <v>25503</v>
      </c>
      <c r="G3693" s="13" t="b">
        <v>0</v>
      </c>
      <c r="H3693" s="22" t="s">
        <v>3478</v>
      </c>
      <c r="I3693" s="10" t="s">
        <v>89</v>
      </c>
      <c r="J3693" s="13" t="b">
        <v>0</v>
      </c>
      <c r="K3693" s="13" t="b">
        <v>1</v>
      </c>
      <c r="L3693" s="10" t="s">
        <v>124</v>
      </c>
      <c r="M3693" s="10" t="s">
        <v>91</v>
      </c>
      <c r="N3693" s="10" t="s">
        <v>265</v>
      </c>
      <c r="O3693" s="10"/>
      <c r="P3693" s="10"/>
      <c r="Q3693" s="10" t="s">
        <v>94</v>
      </c>
      <c r="R3693" s="10"/>
      <c r="S3693" s="19" t="s">
        <v>25516</v>
      </c>
      <c r="T3693" s="10"/>
      <c r="U3693" s="10"/>
      <c r="V3693" s="10"/>
      <c r="W3693" s="10" t="s">
        <v>24434</v>
      </c>
      <c r="X3693" s="10" t="s">
        <v>21724</v>
      </c>
      <c r="Y3693" s="10" t="s">
        <v>21724</v>
      </c>
      <c r="Z3693" s="10" t="s">
        <v>99</v>
      </c>
      <c r="AA3693" s="10" t="s">
        <v>131</v>
      </c>
      <c r="AB3693" s="10" t="s">
        <v>25505</v>
      </c>
      <c r="AC3693" s="10" t="s">
        <v>24436</v>
      </c>
      <c r="AD3693" s="10" t="s">
        <v>165</v>
      </c>
      <c r="AE3693" s="10" t="s">
        <v>25517</v>
      </c>
      <c r="AF3693" s="15"/>
      <c r="AG3693" s="10"/>
      <c r="AH3693" s="10"/>
      <c r="AI3693" s="10"/>
      <c r="AJ3693" s="10"/>
      <c r="AK3693" s="10"/>
      <c r="AL3693" s="10" t="s">
        <v>20102</v>
      </c>
      <c r="AM3693" s="10"/>
      <c r="AN3693" s="10"/>
      <c r="AO3693" s="13" t="b">
        <v>0</v>
      </c>
      <c r="AP3693" s="22" t="s">
        <v>135</v>
      </c>
      <c r="AQ3693" s="10"/>
      <c r="AR3693" s="17"/>
      <c r="AS3693" s="17"/>
      <c r="AT3693" s="17"/>
      <c r="AU3693" s="17"/>
      <c r="AV3693" s="17"/>
      <c r="AW3693" s="10"/>
      <c r="AX3693" s="17"/>
      <c r="AY3693" s="18" t="s">
        <v>257</v>
      </c>
      <c r="AZ3693" s="10"/>
      <c r="BA3693" s="20" t="b">
        <v>0</v>
      </c>
      <c r="BB3693" s="10"/>
      <c r="BC3693" s="17" t="s">
        <v>257</v>
      </c>
      <c r="BD3693" s="17" t="s">
        <v>257</v>
      </c>
      <c r="BE3693" s="17" t="s">
        <v>257</v>
      </c>
      <c r="BF3693" s="17" t="s">
        <v>257</v>
      </c>
      <c r="BG3693" s="11">
        <f ca="1">IFERROR(__xludf.DUMMYFUNCTION("""COMPUTED_VALUE"""),46038.4583333333)</f>
        <v>46038.458333333299</v>
      </c>
      <c r="BH3693" s="17"/>
      <c r="BI3693" s="17"/>
      <c r="BJ3693" s="15"/>
      <c r="BK3693" s="15"/>
      <c r="BL3693" s="13" t="b">
        <v>0</v>
      </c>
      <c r="BM3693" s="10"/>
      <c r="BN3693" s="10" t="s">
        <v>3527</v>
      </c>
      <c r="BO3693" s="11">
        <v>46029.561805555553</v>
      </c>
      <c r="BP3693" s="11">
        <v>46033.465763888889</v>
      </c>
      <c r="BQ3693" s="15">
        <v>46032.959004629629</v>
      </c>
      <c r="BR3693" s="15"/>
      <c r="BS3693" s="10"/>
      <c r="BT3693" s="10"/>
      <c r="BU3693" s="10"/>
      <c r="BV3693" s="10"/>
      <c r="BW3693" s="10"/>
      <c r="BX3693" s="10"/>
      <c r="BY3693" s="23"/>
      <c r="BZ3693" s="23"/>
      <c r="CA3693" s="19" t="s">
        <v>25518</v>
      </c>
      <c r="CB3693" s="23"/>
      <c r="CC3693" s="23"/>
      <c r="CD3693" s="23"/>
      <c r="CE3693" s="23"/>
      <c r="CF3693" s="23"/>
      <c r="CG3693" s="23"/>
      <c r="CH3693" s="23"/>
      <c r="CI3693" s="23"/>
    </row>
    <row r="3694" spans="1:87" x14ac:dyDescent="0.3">
      <c r="A3694" s="9" t="s">
        <v>25519</v>
      </c>
      <c r="B3694" s="10" t="s">
        <v>25520</v>
      </c>
      <c r="C3694" s="11">
        <v>46039.375</v>
      </c>
      <c r="D3694" s="12">
        <v>8.3333333333333329E-2</v>
      </c>
      <c r="E3694" s="11">
        <v>46039.458333333336</v>
      </c>
      <c r="F3694" s="22" t="s">
        <v>25503</v>
      </c>
      <c r="G3694" s="13" t="b">
        <v>0</v>
      </c>
      <c r="H3694" s="22" t="s">
        <v>3478</v>
      </c>
      <c r="I3694" s="10" t="s">
        <v>89</v>
      </c>
      <c r="J3694" s="13" t="b">
        <v>0</v>
      </c>
      <c r="K3694" s="13" t="b">
        <v>1</v>
      </c>
      <c r="L3694" s="10" t="s">
        <v>124</v>
      </c>
      <c r="M3694" s="10" t="s">
        <v>91</v>
      </c>
      <c r="N3694" s="10" t="s">
        <v>265</v>
      </c>
      <c r="O3694" s="10"/>
      <c r="P3694" s="10"/>
      <c r="Q3694" s="10" t="s">
        <v>94</v>
      </c>
      <c r="R3694" s="10"/>
      <c r="S3694" s="19" t="s">
        <v>25521</v>
      </c>
      <c r="T3694" s="10"/>
      <c r="U3694" s="10"/>
      <c r="V3694" s="10"/>
      <c r="W3694" s="10" t="s">
        <v>24434</v>
      </c>
      <c r="X3694" s="10" t="s">
        <v>21724</v>
      </c>
      <c r="Y3694" s="10" t="s">
        <v>21724</v>
      </c>
      <c r="Z3694" s="10" t="s">
        <v>99</v>
      </c>
      <c r="AA3694" s="10" t="s">
        <v>131</v>
      </c>
      <c r="AB3694" s="10" t="s">
        <v>25505</v>
      </c>
      <c r="AC3694" s="10" t="s">
        <v>24436</v>
      </c>
      <c r="AD3694" s="10" t="s">
        <v>165</v>
      </c>
      <c r="AE3694" s="10" t="s">
        <v>25522</v>
      </c>
      <c r="AF3694" s="15"/>
      <c r="AG3694" s="10"/>
      <c r="AH3694" s="10"/>
      <c r="AI3694" s="10"/>
      <c r="AJ3694" s="10"/>
      <c r="AK3694" s="10"/>
      <c r="AL3694" s="10" t="s">
        <v>220</v>
      </c>
      <c r="AM3694" s="10"/>
      <c r="AN3694" s="10"/>
      <c r="AO3694" s="13" t="b">
        <v>0</v>
      </c>
      <c r="AP3694" s="22" t="s">
        <v>135</v>
      </c>
      <c r="AQ3694" s="10"/>
      <c r="AR3694" s="17"/>
      <c r="AS3694" s="17"/>
      <c r="AT3694" s="17"/>
      <c r="AU3694" s="17"/>
      <c r="AV3694" s="17"/>
      <c r="AW3694" s="10"/>
      <c r="AX3694" s="17"/>
      <c r="AY3694" s="18" t="s">
        <v>257</v>
      </c>
      <c r="AZ3694" s="10"/>
      <c r="BA3694" s="20" t="b">
        <v>0</v>
      </c>
      <c r="BB3694" s="10"/>
      <c r="BC3694" s="17" t="s">
        <v>257</v>
      </c>
      <c r="BD3694" s="17" t="s">
        <v>257</v>
      </c>
      <c r="BE3694" s="17" t="s">
        <v>257</v>
      </c>
      <c r="BF3694" s="17" t="s">
        <v>257</v>
      </c>
      <c r="BG3694" s="11">
        <f ca="1">IFERROR(__xludf.DUMMYFUNCTION("""COMPUTED_VALUE"""),46039.375)</f>
        <v>46039.375</v>
      </c>
      <c r="BH3694" s="17"/>
      <c r="BI3694" s="17"/>
      <c r="BJ3694" s="15"/>
      <c r="BK3694" s="15"/>
      <c r="BL3694" s="13" t="b">
        <v>0</v>
      </c>
      <c r="BM3694" s="10"/>
      <c r="BN3694" s="10" t="s">
        <v>3527</v>
      </c>
      <c r="BO3694" s="11">
        <v>46029.5625</v>
      </c>
      <c r="BP3694" s="11">
        <v>46033.466122685182</v>
      </c>
      <c r="BQ3694" s="15">
        <v>46032.95884259259</v>
      </c>
      <c r="BR3694" s="15"/>
      <c r="BS3694" s="10"/>
      <c r="BT3694" s="10"/>
      <c r="BU3694" s="10"/>
      <c r="BV3694" s="10"/>
      <c r="BW3694" s="10"/>
      <c r="BX3694" s="10"/>
      <c r="BY3694" s="23"/>
      <c r="BZ3694" s="23"/>
      <c r="CA3694" s="19" t="s">
        <v>25523</v>
      </c>
      <c r="CB3694" s="23"/>
      <c r="CC3694" s="23"/>
      <c r="CD3694" s="23"/>
      <c r="CE3694" s="23"/>
      <c r="CF3694" s="23"/>
      <c r="CG3694" s="23"/>
      <c r="CH3694" s="23"/>
      <c r="CI3694" s="23"/>
    </row>
    <row r="3695" spans="1:87" x14ac:dyDescent="0.3">
      <c r="A3695" s="9" t="s">
        <v>25524</v>
      </c>
      <c r="B3695" s="10" t="s">
        <v>25525</v>
      </c>
      <c r="C3695" s="11">
        <v>46053.666666666664</v>
      </c>
      <c r="D3695" s="12">
        <v>0.125</v>
      </c>
      <c r="E3695" s="11">
        <v>46053.791666666664</v>
      </c>
      <c r="F3695" s="22" t="s">
        <v>25525</v>
      </c>
      <c r="G3695" s="13" t="b">
        <v>0</v>
      </c>
      <c r="H3695" s="22"/>
      <c r="I3695" s="10" t="s">
        <v>8383</v>
      </c>
      <c r="J3695" s="13" t="b">
        <v>0</v>
      </c>
      <c r="K3695" s="13" t="b">
        <v>1</v>
      </c>
      <c r="L3695" s="10" t="s">
        <v>124</v>
      </c>
      <c r="M3695" s="10" t="s">
        <v>91</v>
      </c>
      <c r="N3695" s="10" t="s">
        <v>92</v>
      </c>
      <c r="O3695" s="10"/>
      <c r="P3695" s="10"/>
      <c r="Q3695" s="10" t="s">
        <v>126</v>
      </c>
      <c r="R3695" s="10"/>
      <c r="S3695" s="10"/>
      <c r="T3695" s="10"/>
      <c r="U3695" s="10"/>
      <c r="V3695" s="10"/>
      <c r="W3695" s="10" t="s">
        <v>25526</v>
      </c>
      <c r="X3695" s="10" t="s">
        <v>8408</v>
      </c>
      <c r="Y3695" s="10" t="s">
        <v>8408</v>
      </c>
      <c r="Z3695" s="10" t="s">
        <v>99</v>
      </c>
      <c r="AA3695" s="10" t="s">
        <v>131</v>
      </c>
      <c r="AB3695" s="10" t="s">
        <v>25527</v>
      </c>
      <c r="AC3695" s="10" t="s">
        <v>23185</v>
      </c>
      <c r="AD3695" s="10" t="s">
        <v>165</v>
      </c>
      <c r="AE3695" s="10" t="s">
        <v>25528</v>
      </c>
      <c r="AF3695" s="15"/>
      <c r="AG3695" s="10"/>
      <c r="AH3695" s="10"/>
      <c r="AI3695" s="10"/>
      <c r="AJ3695" s="10"/>
      <c r="AK3695" s="10"/>
      <c r="AL3695" s="10"/>
      <c r="AM3695" s="10"/>
      <c r="AN3695" s="10"/>
      <c r="AO3695" s="13" t="b">
        <v>0</v>
      </c>
      <c r="AP3695" s="22" t="s">
        <v>221</v>
      </c>
      <c r="AQ3695" s="10"/>
      <c r="AR3695" s="17"/>
      <c r="AS3695" s="17"/>
      <c r="AT3695" s="17"/>
      <c r="AU3695" s="17"/>
      <c r="AV3695" s="17"/>
      <c r="AW3695" s="10"/>
      <c r="AX3695" s="17"/>
      <c r="AY3695" s="18" t="s">
        <v>257</v>
      </c>
      <c r="AZ3695" s="10"/>
      <c r="BA3695" s="20" t="b">
        <v>0</v>
      </c>
      <c r="BB3695" s="10"/>
      <c r="BC3695" s="17" t="s">
        <v>257</v>
      </c>
      <c r="BD3695" s="17" t="s">
        <v>257</v>
      </c>
      <c r="BE3695" s="17" t="s">
        <v>257</v>
      </c>
      <c r="BF3695" s="17" t="s">
        <v>257</v>
      </c>
      <c r="BG3695" s="11">
        <f ca="1">IFERROR(__xludf.DUMMYFUNCTION("""COMPUTED_VALUE"""),46053.6666666666)</f>
        <v>46053.666666666599</v>
      </c>
      <c r="BH3695" s="17"/>
      <c r="BI3695" s="17"/>
      <c r="BJ3695" s="15"/>
      <c r="BK3695" s="15"/>
      <c r="BL3695" s="13" t="b">
        <v>0</v>
      </c>
      <c r="BM3695" s="10"/>
      <c r="BN3695" s="10" t="s">
        <v>8529</v>
      </c>
      <c r="BO3695" s="11">
        <v>46029.56527777778</v>
      </c>
      <c r="BP3695" s="11">
        <v>46029.565532407411</v>
      </c>
      <c r="BQ3695" s="15"/>
      <c r="BR3695" s="15"/>
      <c r="BS3695" s="10"/>
      <c r="BT3695" s="10"/>
      <c r="BU3695" s="10"/>
      <c r="BV3695" s="10"/>
      <c r="BW3695" s="10"/>
      <c r="BX3695" s="10"/>
      <c r="BY3695" s="23"/>
      <c r="BZ3695" s="23"/>
      <c r="CA3695" s="10"/>
      <c r="CB3695" s="23"/>
      <c r="CC3695" s="23"/>
      <c r="CD3695" s="23"/>
      <c r="CE3695" s="23"/>
      <c r="CF3695" s="23"/>
      <c r="CG3695" s="23"/>
      <c r="CH3695" s="23"/>
      <c r="CI3695" s="23"/>
    </row>
    <row r="3696" spans="1:87" x14ac:dyDescent="0.3">
      <c r="A3696" s="9" t="s">
        <v>25529</v>
      </c>
      <c r="B3696" s="10" t="s">
        <v>25525</v>
      </c>
      <c r="C3696" s="11">
        <v>46053.791666666664</v>
      </c>
      <c r="D3696" s="12">
        <v>0.16666666666666666</v>
      </c>
      <c r="E3696" s="11">
        <v>46053.958333333336</v>
      </c>
      <c r="F3696" s="22" t="s">
        <v>25525</v>
      </c>
      <c r="G3696" s="13" t="b">
        <v>0</v>
      </c>
      <c r="H3696" s="22"/>
      <c r="I3696" s="10" t="s">
        <v>23071</v>
      </c>
      <c r="J3696" s="13" t="b">
        <v>0</v>
      </c>
      <c r="K3696" s="13" t="b">
        <v>1</v>
      </c>
      <c r="L3696" s="10" t="s">
        <v>124</v>
      </c>
      <c r="M3696" s="10" t="s">
        <v>91</v>
      </c>
      <c r="N3696" s="10" t="s">
        <v>92</v>
      </c>
      <c r="O3696" s="10"/>
      <c r="P3696" s="10"/>
      <c r="Q3696" s="10" t="s">
        <v>126</v>
      </c>
      <c r="R3696" s="10"/>
      <c r="S3696" s="10"/>
      <c r="T3696" s="10"/>
      <c r="U3696" s="10"/>
      <c r="V3696" s="10"/>
      <c r="W3696" s="10" t="s">
        <v>25526</v>
      </c>
      <c r="X3696" s="10" t="s">
        <v>8408</v>
      </c>
      <c r="Y3696" s="10" t="s">
        <v>8408</v>
      </c>
      <c r="Z3696" s="10" t="s">
        <v>99</v>
      </c>
      <c r="AA3696" s="10" t="s">
        <v>131</v>
      </c>
      <c r="AB3696" s="10" t="s">
        <v>25527</v>
      </c>
      <c r="AC3696" s="10" t="s">
        <v>23185</v>
      </c>
      <c r="AD3696" s="10" t="s">
        <v>165</v>
      </c>
      <c r="AE3696" s="10" t="s">
        <v>25528</v>
      </c>
      <c r="AF3696" s="15"/>
      <c r="AG3696" s="10"/>
      <c r="AH3696" s="10"/>
      <c r="AI3696" s="10"/>
      <c r="AJ3696" s="10"/>
      <c r="AK3696" s="10"/>
      <c r="AL3696" s="10"/>
      <c r="AM3696" s="10"/>
      <c r="AN3696" s="10"/>
      <c r="AO3696" s="13" t="b">
        <v>0</v>
      </c>
      <c r="AP3696" s="22" t="s">
        <v>221</v>
      </c>
      <c r="AQ3696" s="10"/>
      <c r="AR3696" s="17"/>
      <c r="AS3696" s="17"/>
      <c r="AT3696" s="17"/>
      <c r="AU3696" s="17"/>
      <c r="AV3696" s="17"/>
      <c r="AW3696" s="10"/>
      <c r="AX3696" s="17"/>
      <c r="AY3696" s="18" t="s">
        <v>257</v>
      </c>
      <c r="AZ3696" s="10"/>
      <c r="BA3696" s="20" t="b">
        <v>0</v>
      </c>
      <c r="BB3696" s="10"/>
      <c r="BC3696" s="17" t="s">
        <v>257</v>
      </c>
      <c r="BD3696" s="17" t="s">
        <v>257</v>
      </c>
      <c r="BE3696" s="17" t="s">
        <v>257</v>
      </c>
      <c r="BF3696" s="17" t="s">
        <v>257</v>
      </c>
      <c r="BG3696" s="11">
        <f ca="1">IFERROR(__xludf.DUMMYFUNCTION("""COMPUTED_VALUE"""),46053.7916666666)</f>
        <v>46053.791666666599</v>
      </c>
      <c r="BH3696" s="17"/>
      <c r="BI3696" s="17"/>
      <c r="BJ3696" s="15"/>
      <c r="BK3696" s="15"/>
      <c r="BL3696" s="13" t="b">
        <v>0</v>
      </c>
      <c r="BM3696" s="10"/>
      <c r="BN3696" s="10" t="s">
        <v>8529</v>
      </c>
      <c r="BO3696" s="11">
        <v>46029.565972222219</v>
      </c>
      <c r="BP3696" s="11">
        <v>46029.566412037035</v>
      </c>
      <c r="BQ3696" s="15"/>
      <c r="BR3696" s="15"/>
      <c r="BS3696" s="10"/>
      <c r="BT3696" s="10"/>
      <c r="BU3696" s="10"/>
      <c r="BV3696" s="10"/>
      <c r="BW3696" s="10"/>
      <c r="BX3696" s="10"/>
      <c r="BY3696" s="23"/>
      <c r="BZ3696" s="23"/>
      <c r="CA3696" s="10"/>
      <c r="CB3696" s="23"/>
      <c r="CC3696" s="23"/>
      <c r="CD3696" s="23"/>
      <c r="CE3696" s="23"/>
      <c r="CF3696" s="23"/>
      <c r="CG3696" s="23"/>
      <c r="CH3696" s="23"/>
      <c r="CI3696" s="23"/>
    </row>
    <row r="3697" spans="1:87" x14ac:dyDescent="0.3">
      <c r="A3697" s="9" t="s">
        <v>25530</v>
      </c>
      <c r="B3697" s="10" t="s">
        <v>25531</v>
      </c>
      <c r="C3697" s="11">
        <v>46124.666666666664</v>
      </c>
      <c r="D3697" s="12">
        <v>0.16666666666666666</v>
      </c>
      <c r="E3697" s="11">
        <v>46124.833333333336</v>
      </c>
      <c r="F3697" s="22" t="s">
        <v>25531</v>
      </c>
      <c r="G3697" s="13" t="b">
        <v>0</v>
      </c>
      <c r="H3697" s="22" t="s">
        <v>25532</v>
      </c>
      <c r="I3697" s="10" t="s">
        <v>8383</v>
      </c>
      <c r="J3697" s="13" t="b">
        <v>0</v>
      </c>
      <c r="K3697" s="13" t="b">
        <v>1</v>
      </c>
      <c r="L3697" s="10" t="s">
        <v>124</v>
      </c>
      <c r="M3697" s="10" t="s">
        <v>91</v>
      </c>
      <c r="N3697" s="10" t="s">
        <v>3513</v>
      </c>
      <c r="O3697" s="10"/>
      <c r="P3697" s="10"/>
      <c r="Q3697" s="10" t="s">
        <v>126</v>
      </c>
      <c r="R3697" s="10"/>
      <c r="S3697" s="10"/>
      <c r="T3697" s="10"/>
      <c r="U3697" s="10"/>
      <c r="V3697" s="10"/>
      <c r="W3697" s="10" t="s">
        <v>25533</v>
      </c>
      <c r="X3697" s="10" t="s">
        <v>8408</v>
      </c>
      <c r="Y3697" s="10" t="s">
        <v>25534</v>
      </c>
      <c r="Z3697" s="10" t="s">
        <v>99</v>
      </c>
      <c r="AA3697" s="10" t="s">
        <v>131</v>
      </c>
      <c r="AB3697" s="10" t="s">
        <v>25535</v>
      </c>
      <c r="AC3697" s="10" t="s">
        <v>25536</v>
      </c>
      <c r="AD3697" s="10" t="s">
        <v>165</v>
      </c>
      <c r="AE3697" s="10" t="s">
        <v>25537</v>
      </c>
      <c r="AF3697" s="15"/>
      <c r="AG3697" s="10"/>
      <c r="AH3697" s="10"/>
      <c r="AI3697" s="10"/>
      <c r="AJ3697" s="10"/>
      <c r="AK3697" s="10"/>
      <c r="AL3697" s="10"/>
      <c r="AM3697" s="10"/>
      <c r="AN3697" s="10"/>
      <c r="AO3697" s="13" t="b">
        <v>0</v>
      </c>
      <c r="AP3697" s="22" t="s">
        <v>221</v>
      </c>
      <c r="AQ3697" s="10"/>
      <c r="AR3697" s="17"/>
      <c r="AS3697" s="17"/>
      <c r="AT3697" s="17"/>
      <c r="AU3697" s="17"/>
      <c r="AV3697" s="17"/>
      <c r="AW3697" s="10"/>
      <c r="AX3697" s="17"/>
      <c r="AY3697" s="18" t="s">
        <v>257</v>
      </c>
      <c r="AZ3697" s="10"/>
      <c r="BA3697" s="20" t="b">
        <v>1</v>
      </c>
      <c r="BB3697" s="10"/>
      <c r="BC3697" s="17" t="s">
        <v>257</v>
      </c>
      <c r="BD3697" s="17" t="s">
        <v>257</v>
      </c>
      <c r="BE3697" s="17" t="s">
        <v>257</v>
      </c>
      <c r="BF3697" s="17" t="s">
        <v>257</v>
      </c>
      <c r="BG3697" s="11">
        <f ca="1">IFERROR(__xludf.DUMMYFUNCTION("""COMPUTED_VALUE"""),46124.6666666666)</f>
        <v>46124.666666666599</v>
      </c>
      <c r="BH3697" s="17" t="s">
        <v>105</v>
      </c>
      <c r="BI3697" s="17"/>
      <c r="BJ3697" s="15"/>
      <c r="BK3697" s="15"/>
      <c r="BL3697" s="13" t="b">
        <v>0</v>
      </c>
      <c r="BM3697" s="10" t="s">
        <v>10266</v>
      </c>
      <c r="BN3697" s="10" t="s">
        <v>108</v>
      </c>
      <c r="BO3697" s="11">
        <v>46029.567361111112</v>
      </c>
      <c r="BP3697" s="11">
        <v>46029.603298611109</v>
      </c>
      <c r="BQ3697" s="15"/>
      <c r="BR3697" s="15"/>
      <c r="BS3697" s="10"/>
      <c r="BT3697" s="10"/>
      <c r="BU3697" s="10"/>
      <c r="BV3697" s="10"/>
      <c r="BW3697" s="10"/>
      <c r="BX3697" s="10"/>
      <c r="BY3697" s="23"/>
      <c r="BZ3697" s="23"/>
      <c r="CA3697" s="10"/>
      <c r="CB3697" s="23"/>
      <c r="CC3697" s="23"/>
      <c r="CD3697" s="23"/>
      <c r="CE3697" s="23"/>
      <c r="CF3697" s="23"/>
      <c r="CG3697" s="23"/>
      <c r="CH3697" s="23"/>
      <c r="CI3697" s="23"/>
    </row>
    <row r="3698" spans="1:87" x14ac:dyDescent="0.3">
      <c r="A3698" s="9" t="s">
        <v>25538</v>
      </c>
      <c r="B3698" s="10" t="s">
        <v>25539</v>
      </c>
      <c r="C3698" s="11">
        <v>46180.666666666664</v>
      </c>
      <c r="D3698" s="12">
        <v>0.16666666666666666</v>
      </c>
      <c r="E3698" s="11">
        <v>46180.833333333336</v>
      </c>
      <c r="F3698" s="22" t="s">
        <v>25539</v>
      </c>
      <c r="G3698" s="13" t="b">
        <v>0</v>
      </c>
      <c r="H3698" s="22" t="s">
        <v>25532</v>
      </c>
      <c r="I3698" s="10" t="s">
        <v>8383</v>
      </c>
      <c r="J3698" s="13" t="b">
        <v>0</v>
      </c>
      <c r="K3698" s="13" t="b">
        <v>1</v>
      </c>
      <c r="L3698" s="10" t="s">
        <v>124</v>
      </c>
      <c r="M3698" s="10" t="s">
        <v>91</v>
      </c>
      <c r="N3698" s="10" t="s">
        <v>3513</v>
      </c>
      <c r="O3698" s="10"/>
      <c r="P3698" s="10"/>
      <c r="Q3698" s="10" t="s">
        <v>126</v>
      </c>
      <c r="R3698" s="10"/>
      <c r="S3698" s="10"/>
      <c r="T3698" s="10"/>
      <c r="U3698" s="10"/>
      <c r="V3698" s="10"/>
      <c r="W3698" s="10" t="s">
        <v>25533</v>
      </c>
      <c r="X3698" s="10" t="s">
        <v>8408</v>
      </c>
      <c r="Y3698" s="10" t="s">
        <v>25534</v>
      </c>
      <c r="Z3698" s="10" t="s">
        <v>99</v>
      </c>
      <c r="AA3698" s="10" t="s">
        <v>131</v>
      </c>
      <c r="AB3698" s="10" t="s">
        <v>25540</v>
      </c>
      <c r="AC3698" s="10" t="s">
        <v>25536</v>
      </c>
      <c r="AD3698" s="10" t="s">
        <v>165</v>
      </c>
      <c r="AE3698" s="10" t="s">
        <v>25541</v>
      </c>
      <c r="AF3698" s="15"/>
      <c r="AG3698" s="10"/>
      <c r="AH3698" s="10"/>
      <c r="AI3698" s="10"/>
      <c r="AJ3698" s="10"/>
      <c r="AK3698" s="10"/>
      <c r="AL3698" s="10"/>
      <c r="AM3698" s="10"/>
      <c r="AN3698" s="10"/>
      <c r="AO3698" s="13" t="b">
        <v>0</v>
      </c>
      <c r="AP3698" s="22" t="s">
        <v>221</v>
      </c>
      <c r="AQ3698" s="10"/>
      <c r="AR3698" s="17"/>
      <c r="AS3698" s="17"/>
      <c r="AT3698" s="17"/>
      <c r="AU3698" s="17"/>
      <c r="AV3698" s="17"/>
      <c r="AW3698" s="10"/>
      <c r="AX3698" s="17"/>
      <c r="AY3698" s="18" t="s">
        <v>257</v>
      </c>
      <c r="AZ3698" s="10"/>
      <c r="BA3698" s="20" t="b">
        <v>1</v>
      </c>
      <c r="BB3698" s="10"/>
      <c r="BC3698" s="17" t="s">
        <v>257</v>
      </c>
      <c r="BD3698" s="17" t="s">
        <v>257</v>
      </c>
      <c r="BE3698" s="17" t="s">
        <v>257</v>
      </c>
      <c r="BF3698" s="17" t="s">
        <v>257</v>
      </c>
      <c r="BG3698" s="11">
        <f ca="1">IFERROR(__xludf.DUMMYFUNCTION("""COMPUTED_VALUE"""),46180.6666666666)</f>
        <v>46180.666666666599</v>
      </c>
      <c r="BH3698" s="17" t="s">
        <v>105</v>
      </c>
      <c r="BI3698" s="17"/>
      <c r="BJ3698" s="15"/>
      <c r="BK3698" s="15"/>
      <c r="BL3698" s="13" t="b">
        <v>0</v>
      </c>
      <c r="BM3698" s="10" t="s">
        <v>10266</v>
      </c>
      <c r="BN3698" s="10" t="s">
        <v>108</v>
      </c>
      <c r="BO3698" s="11">
        <v>46029.569444444445</v>
      </c>
      <c r="BP3698" s="11">
        <v>46029.60261574074</v>
      </c>
      <c r="BQ3698" s="15"/>
      <c r="BR3698" s="15"/>
      <c r="BS3698" s="10"/>
      <c r="BT3698" s="10"/>
      <c r="BU3698" s="10"/>
      <c r="BV3698" s="10"/>
      <c r="BW3698" s="10"/>
      <c r="BX3698" s="10"/>
      <c r="BY3698" s="23"/>
      <c r="BZ3698" s="23"/>
      <c r="CA3698" s="10"/>
      <c r="CB3698" s="23"/>
      <c r="CC3698" s="23"/>
      <c r="CD3698" s="23"/>
      <c r="CE3698" s="23"/>
      <c r="CF3698" s="23"/>
      <c r="CG3698" s="23"/>
      <c r="CH3698" s="23"/>
      <c r="CI3698" s="23"/>
    </row>
    <row r="3699" spans="1:87" x14ac:dyDescent="0.3">
      <c r="A3699" s="9" t="s">
        <v>25542</v>
      </c>
      <c r="B3699" s="10" t="s">
        <v>25543</v>
      </c>
      <c r="C3699" s="11">
        <v>46074.666666666664</v>
      </c>
      <c r="D3699" s="12">
        <v>0.25</v>
      </c>
      <c r="E3699" s="11">
        <v>46074.916666666664</v>
      </c>
      <c r="F3699" s="22" t="s">
        <v>25543</v>
      </c>
      <c r="G3699" s="13" t="b">
        <v>0</v>
      </c>
      <c r="H3699" s="22"/>
      <c r="I3699" s="10" t="s">
        <v>8383</v>
      </c>
      <c r="J3699" s="13" t="b">
        <v>0</v>
      </c>
      <c r="K3699" s="13" t="b">
        <v>1</v>
      </c>
      <c r="L3699" s="10" t="s">
        <v>124</v>
      </c>
      <c r="M3699" s="10" t="s">
        <v>91</v>
      </c>
      <c r="N3699" s="10" t="s">
        <v>3513</v>
      </c>
      <c r="O3699" s="10"/>
      <c r="P3699" s="10"/>
      <c r="Q3699" s="10" t="s">
        <v>126</v>
      </c>
      <c r="R3699" s="10"/>
      <c r="S3699" s="10"/>
      <c r="T3699" s="10"/>
      <c r="U3699" s="10"/>
      <c r="V3699" s="10"/>
      <c r="W3699" s="10" t="s">
        <v>25544</v>
      </c>
      <c r="X3699" s="10" t="s">
        <v>8408</v>
      </c>
      <c r="Y3699" s="10" t="s">
        <v>25534</v>
      </c>
      <c r="Z3699" s="10" t="s">
        <v>99</v>
      </c>
      <c r="AA3699" s="10" t="s">
        <v>131</v>
      </c>
      <c r="AB3699" s="10" t="s">
        <v>25545</v>
      </c>
      <c r="AC3699" s="10" t="s">
        <v>23185</v>
      </c>
      <c r="AD3699" s="10" t="s">
        <v>165</v>
      </c>
      <c r="AE3699" s="10" t="s">
        <v>25546</v>
      </c>
      <c r="AF3699" s="15"/>
      <c r="AG3699" s="10"/>
      <c r="AH3699" s="10"/>
      <c r="AI3699" s="10"/>
      <c r="AJ3699" s="10"/>
      <c r="AK3699" s="10"/>
      <c r="AL3699" s="10"/>
      <c r="AM3699" s="10"/>
      <c r="AN3699" s="10"/>
      <c r="AO3699" s="13" t="b">
        <v>0</v>
      </c>
      <c r="AP3699" s="22" t="s">
        <v>221</v>
      </c>
      <c r="AQ3699" s="10"/>
      <c r="AR3699" s="17"/>
      <c r="AS3699" s="17"/>
      <c r="AT3699" s="17"/>
      <c r="AU3699" s="17"/>
      <c r="AV3699" s="17"/>
      <c r="AW3699" s="10"/>
      <c r="AX3699" s="17"/>
      <c r="AY3699" s="18" t="s">
        <v>257</v>
      </c>
      <c r="AZ3699" s="10"/>
      <c r="BA3699" s="20" t="b">
        <v>1</v>
      </c>
      <c r="BB3699" s="10"/>
      <c r="BC3699" s="17" t="s">
        <v>257</v>
      </c>
      <c r="BD3699" s="17" t="s">
        <v>257</v>
      </c>
      <c r="BE3699" s="17" t="s">
        <v>257</v>
      </c>
      <c r="BF3699" s="17" t="s">
        <v>257</v>
      </c>
      <c r="BG3699" s="11">
        <f ca="1">IFERROR(__xludf.DUMMYFUNCTION("""COMPUTED_VALUE"""),46074.6666666666)</f>
        <v>46074.666666666599</v>
      </c>
      <c r="BH3699" s="17" t="s">
        <v>105</v>
      </c>
      <c r="BI3699" s="17"/>
      <c r="BJ3699" s="15"/>
      <c r="BK3699" s="15"/>
      <c r="BL3699" s="13" t="b">
        <v>0</v>
      </c>
      <c r="BM3699" s="10" t="s">
        <v>10266</v>
      </c>
      <c r="BN3699" s="10" t="s">
        <v>108</v>
      </c>
      <c r="BO3699" s="11">
        <v>46029.570138888892</v>
      </c>
      <c r="BP3699" s="11">
        <v>46029.601817129631</v>
      </c>
      <c r="BQ3699" s="15"/>
      <c r="BR3699" s="15"/>
      <c r="BS3699" s="10"/>
      <c r="BT3699" s="10"/>
      <c r="BU3699" s="10"/>
      <c r="BV3699" s="10"/>
      <c r="BW3699" s="10"/>
      <c r="BX3699" s="10"/>
      <c r="BY3699" s="23"/>
      <c r="BZ3699" s="23"/>
      <c r="CA3699" s="10"/>
      <c r="CB3699" s="23"/>
      <c r="CC3699" s="23"/>
      <c r="CD3699" s="23"/>
      <c r="CE3699" s="23"/>
      <c r="CF3699" s="23"/>
      <c r="CG3699" s="23"/>
      <c r="CH3699" s="23"/>
      <c r="CI3699" s="23"/>
    </row>
    <row r="3700" spans="1:87" x14ac:dyDescent="0.3">
      <c r="A3700" s="9" t="s">
        <v>25547</v>
      </c>
      <c r="B3700" s="10" t="s">
        <v>25488</v>
      </c>
      <c r="C3700" s="11">
        <v>46054.708333333336</v>
      </c>
      <c r="D3700" s="12">
        <v>0.20833333333333334</v>
      </c>
      <c r="E3700" s="11">
        <v>46054.916666666664</v>
      </c>
      <c r="F3700" s="22" t="s">
        <v>25489</v>
      </c>
      <c r="G3700" s="13" t="b">
        <v>0</v>
      </c>
      <c r="H3700" s="22"/>
      <c r="I3700" s="10" t="s">
        <v>23071</v>
      </c>
      <c r="J3700" s="13" t="b">
        <v>0</v>
      </c>
      <c r="K3700" s="13" t="b">
        <v>1</v>
      </c>
      <c r="L3700" s="10" t="s">
        <v>124</v>
      </c>
      <c r="M3700" s="10" t="s">
        <v>91</v>
      </c>
      <c r="N3700" s="10" t="s">
        <v>92</v>
      </c>
      <c r="O3700" s="10"/>
      <c r="P3700" s="10"/>
      <c r="Q3700" s="10" t="s">
        <v>126</v>
      </c>
      <c r="R3700" s="10"/>
      <c r="S3700" s="10"/>
      <c r="T3700" s="10"/>
      <c r="U3700" s="10"/>
      <c r="V3700" s="10"/>
      <c r="W3700" s="10" t="s">
        <v>25490</v>
      </c>
      <c r="X3700" s="10" t="s">
        <v>8408</v>
      </c>
      <c r="Y3700" s="10" t="s">
        <v>8408</v>
      </c>
      <c r="Z3700" s="10" t="s">
        <v>99</v>
      </c>
      <c r="AA3700" s="10" t="s">
        <v>131</v>
      </c>
      <c r="AB3700" s="10" t="s">
        <v>25491</v>
      </c>
      <c r="AC3700" s="10" t="s">
        <v>25492</v>
      </c>
      <c r="AD3700" s="10" t="s">
        <v>165</v>
      </c>
      <c r="AE3700" s="10" t="s">
        <v>25493</v>
      </c>
      <c r="AF3700" s="15"/>
      <c r="AG3700" s="10"/>
      <c r="AH3700" s="10"/>
      <c r="AI3700" s="10"/>
      <c r="AJ3700" s="10"/>
      <c r="AK3700" s="10"/>
      <c r="AL3700" s="10"/>
      <c r="AM3700" s="10"/>
      <c r="AN3700" s="10"/>
      <c r="AO3700" s="13" t="b">
        <v>0</v>
      </c>
      <c r="AP3700" s="22"/>
      <c r="AQ3700" s="10"/>
      <c r="AR3700" s="17"/>
      <c r="AS3700" s="17"/>
      <c r="AT3700" s="17"/>
      <c r="AU3700" s="17"/>
      <c r="AV3700" s="17"/>
      <c r="AW3700" s="10"/>
      <c r="AX3700" s="17"/>
      <c r="AY3700" s="18" t="s">
        <v>257</v>
      </c>
      <c r="AZ3700" s="10"/>
      <c r="BA3700" s="20" t="b">
        <v>0</v>
      </c>
      <c r="BB3700" s="10"/>
      <c r="BC3700" s="17" t="s">
        <v>257</v>
      </c>
      <c r="BD3700" s="17" t="s">
        <v>257</v>
      </c>
      <c r="BE3700" s="17" t="s">
        <v>257</v>
      </c>
      <c r="BF3700" s="17" t="s">
        <v>257</v>
      </c>
      <c r="BG3700" s="11">
        <f ca="1">IFERROR(__xludf.DUMMYFUNCTION("""COMPUTED_VALUE"""),46054.7083333333)</f>
        <v>46054.708333333299</v>
      </c>
      <c r="BH3700" s="17"/>
      <c r="BI3700" s="17"/>
      <c r="BJ3700" s="15"/>
      <c r="BK3700" s="15"/>
      <c r="BL3700" s="13" t="b">
        <v>0</v>
      </c>
      <c r="BM3700" s="10"/>
      <c r="BN3700" s="10" t="s">
        <v>18456</v>
      </c>
      <c r="BO3700" s="11">
        <v>46029.583333333336</v>
      </c>
      <c r="BP3700" s="11">
        <v>46029.583541666667</v>
      </c>
      <c r="BQ3700" s="15"/>
      <c r="BR3700" s="15"/>
      <c r="BS3700" s="10"/>
      <c r="BT3700" s="10"/>
      <c r="BU3700" s="10"/>
      <c r="BV3700" s="10"/>
      <c r="BW3700" s="10"/>
      <c r="BX3700" s="10"/>
      <c r="BY3700" s="23"/>
      <c r="BZ3700" s="23"/>
      <c r="CA3700" s="10"/>
      <c r="CB3700" s="23"/>
      <c r="CC3700" s="23"/>
      <c r="CD3700" s="23"/>
      <c r="CE3700" s="23"/>
      <c r="CF3700" s="23"/>
      <c r="CG3700" s="23"/>
      <c r="CH3700" s="23"/>
      <c r="CI3700" s="23"/>
    </row>
    <row r="3701" spans="1:87" x14ac:dyDescent="0.3">
      <c r="A3701" s="9" t="s">
        <v>25548</v>
      </c>
      <c r="B3701" s="10" t="s">
        <v>25543</v>
      </c>
      <c r="C3701" s="11">
        <v>46074.833333333336</v>
      </c>
      <c r="D3701" s="12">
        <v>0.20833333333333334</v>
      </c>
      <c r="E3701" s="11">
        <v>46075.041666666664</v>
      </c>
      <c r="F3701" s="22" t="s">
        <v>25543</v>
      </c>
      <c r="G3701" s="13" t="b">
        <v>0</v>
      </c>
      <c r="H3701" s="22"/>
      <c r="I3701" s="10" t="s">
        <v>23071</v>
      </c>
      <c r="J3701" s="13" t="b">
        <v>0</v>
      </c>
      <c r="K3701" s="13" t="b">
        <v>1</v>
      </c>
      <c r="L3701" s="10" t="s">
        <v>124</v>
      </c>
      <c r="M3701" s="10" t="s">
        <v>91</v>
      </c>
      <c r="N3701" s="10" t="s">
        <v>3513</v>
      </c>
      <c r="O3701" s="10"/>
      <c r="P3701" s="10"/>
      <c r="Q3701" s="10" t="s">
        <v>126</v>
      </c>
      <c r="R3701" s="10"/>
      <c r="S3701" s="10"/>
      <c r="T3701" s="10"/>
      <c r="U3701" s="10"/>
      <c r="V3701" s="10"/>
      <c r="W3701" s="10" t="s">
        <v>25544</v>
      </c>
      <c r="X3701" s="10" t="s">
        <v>8408</v>
      </c>
      <c r="Y3701" s="10" t="s">
        <v>25534</v>
      </c>
      <c r="Z3701" s="10" t="s">
        <v>99</v>
      </c>
      <c r="AA3701" s="10" t="s">
        <v>131</v>
      </c>
      <c r="AB3701" s="10" t="s">
        <v>25545</v>
      </c>
      <c r="AC3701" s="10" t="s">
        <v>23185</v>
      </c>
      <c r="AD3701" s="10" t="s">
        <v>165</v>
      </c>
      <c r="AE3701" s="10" t="s">
        <v>25546</v>
      </c>
      <c r="AF3701" s="15"/>
      <c r="AG3701" s="10"/>
      <c r="AH3701" s="10"/>
      <c r="AI3701" s="10"/>
      <c r="AJ3701" s="10"/>
      <c r="AK3701" s="10"/>
      <c r="AL3701" s="10"/>
      <c r="AM3701" s="10"/>
      <c r="AN3701" s="10"/>
      <c r="AO3701" s="13" t="b">
        <v>0</v>
      </c>
      <c r="AP3701" s="22" t="s">
        <v>221</v>
      </c>
      <c r="AQ3701" s="10"/>
      <c r="AR3701" s="17"/>
      <c r="AS3701" s="17"/>
      <c r="AT3701" s="17"/>
      <c r="AU3701" s="17"/>
      <c r="AV3701" s="17"/>
      <c r="AW3701" s="10"/>
      <c r="AX3701" s="17"/>
      <c r="AY3701" s="18" t="s">
        <v>257</v>
      </c>
      <c r="AZ3701" s="10"/>
      <c r="BA3701" s="20" t="b">
        <v>1</v>
      </c>
      <c r="BB3701" s="10"/>
      <c r="BC3701" s="17" t="s">
        <v>257</v>
      </c>
      <c r="BD3701" s="17" t="s">
        <v>257</v>
      </c>
      <c r="BE3701" s="17" t="s">
        <v>257</v>
      </c>
      <c r="BF3701" s="17" t="s">
        <v>257</v>
      </c>
      <c r="BG3701" s="11">
        <f ca="1">IFERROR(__xludf.DUMMYFUNCTION("""COMPUTED_VALUE"""),46074.8333333333)</f>
        <v>46074.833333333299</v>
      </c>
      <c r="BH3701" s="17" t="s">
        <v>105</v>
      </c>
      <c r="BI3701" s="17"/>
      <c r="BJ3701" s="15"/>
      <c r="BK3701" s="15"/>
      <c r="BL3701" s="13" t="b">
        <v>0</v>
      </c>
      <c r="BM3701" s="10"/>
      <c r="BN3701" s="10" t="s">
        <v>108</v>
      </c>
      <c r="BO3701" s="11">
        <v>46029.601388888892</v>
      </c>
      <c r="BP3701" s="11">
        <v>46029.602094907408</v>
      </c>
      <c r="BQ3701" s="15"/>
      <c r="BR3701" s="15"/>
      <c r="BS3701" s="10"/>
      <c r="BT3701" s="10"/>
      <c r="BU3701" s="10"/>
      <c r="BV3701" s="10"/>
      <c r="BW3701" s="10"/>
      <c r="BX3701" s="10"/>
      <c r="BY3701" s="23"/>
      <c r="BZ3701" s="23"/>
      <c r="CA3701" s="10"/>
      <c r="CB3701" s="23"/>
      <c r="CC3701" s="23"/>
      <c r="CD3701" s="23"/>
      <c r="CE3701" s="23"/>
      <c r="CF3701" s="23"/>
      <c r="CG3701" s="23"/>
      <c r="CH3701" s="23"/>
      <c r="CI3701" s="23"/>
    </row>
    <row r="3702" spans="1:87" x14ac:dyDescent="0.3">
      <c r="A3702" s="9" t="s">
        <v>25549</v>
      </c>
      <c r="B3702" s="10" t="s">
        <v>25539</v>
      </c>
      <c r="C3702" s="11">
        <v>46180.833333333336</v>
      </c>
      <c r="D3702" s="12">
        <v>0.16666666666666666</v>
      </c>
      <c r="E3702" s="11">
        <v>46181</v>
      </c>
      <c r="F3702" s="22" t="s">
        <v>25539</v>
      </c>
      <c r="G3702" s="13" t="b">
        <v>0</v>
      </c>
      <c r="H3702" s="22" t="s">
        <v>25532</v>
      </c>
      <c r="I3702" s="10" t="s">
        <v>23071</v>
      </c>
      <c r="J3702" s="13" t="b">
        <v>0</v>
      </c>
      <c r="K3702" s="13" t="b">
        <v>1</v>
      </c>
      <c r="L3702" s="10" t="s">
        <v>124</v>
      </c>
      <c r="M3702" s="10" t="s">
        <v>91</v>
      </c>
      <c r="N3702" s="10" t="s">
        <v>3513</v>
      </c>
      <c r="O3702" s="10"/>
      <c r="P3702" s="10"/>
      <c r="Q3702" s="10" t="s">
        <v>126</v>
      </c>
      <c r="R3702" s="10"/>
      <c r="S3702" s="10"/>
      <c r="T3702" s="10"/>
      <c r="U3702" s="10"/>
      <c r="V3702" s="10"/>
      <c r="W3702" s="10" t="s">
        <v>25533</v>
      </c>
      <c r="X3702" s="10" t="s">
        <v>8408</v>
      </c>
      <c r="Y3702" s="10" t="s">
        <v>25534</v>
      </c>
      <c r="Z3702" s="10" t="s">
        <v>99</v>
      </c>
      <c r="AA3702" s="10" t="s">
        <v>131</v>
      </c>
      <c r="AB3702" s="10" t="s">
        <v>25540</v>
      </c>
      <c r="AC3702" s="10" t="s">
        <v>25536</v>
      </c>
      <c r="AD3702" s="10" t="s">
        <v>165</v>
      </c>
      <c r="AE3702" s="10" t="s">
        <v>25541</v>
      </c>
      <c r="AF3702" s="15"/>
      <c r="AG3702" s="10"/>
      <c r="AH3702" s="10"/>
      <c r="AI3702" s="10"/>
      <c r="AJ3702" s="10"/>
      <c r="AK3702" s="10"/>
      <c r="AL3702" s="10"/>
      <c r="AM3702" s="10"/>
      <c r="AN3702" s="10"/>
      <c r="AO3702" s="13" t="b">
        <v>0</v>
      </c>
      <c r="AP3702" s="22" t="s">
        <v>221</v>
      </c>
      <c r="AQ3702" s="10"/>
      <c r="AR3702" s="17"/>
      <c r="AS3702" s="17"/>
      <c r="AT3702" s="17"/>
      <c r="AU3702" s="17"/>
      <c r="AV3702" s="17"/>
      <c r="AW3702" s="10"/>
      <c r="AX3702" s="17"/>
      <c r="AY3702" s="18" t="s">
        <v>257</v>
      </c>
      <c r="AZ3702" s="10"/>
      <c r="BA3702" s="20" t="b">
        <v>1</v>
      </c>
      <c r="BB3702" s="10"/>
      <c r="BC3702" s="17" t="s">
        <v>257</v>
      </c>
      <c r="BD3702" s="17" t="s">
        <v>257</v>
      </c>
      <c r="BE3702" s="17" t="s">
        <v>257</v>
      </c>
      <c r="BF3702" s="17" t="s">
        <v>257</v>
      </c>
      <c r="BG3702" s="11">
        <f ca="1">IFERROR(__xludf.DUMMYFUNCTION("""COMPUTED_VALUE"""),46180.8333333333)</f>
        <v>46180.833333333299</v>
      </c>
      <c r="BH3702" s="17" t="s">
        <v>105</v>
      </c>
      <c r="BI3702" s="17"/>
      <c r="BJ3702" s="15"/>
      <c r="BK3702" s="15"/>
      <c r="BL3702" s="13" t="b">
        <v>0</v>
      </c>
      <c r="BM3702" s="10"/>
      <c r="BN3702" s="10" t="s">
        <v>108</v>
      </c>
      <c r="BO3702" s="11">
        <v>46029.602083333331</v>
      </c>
      <c r="BP3702" s="11">
        <v>46029.602847222224</v>
      </c>
      <c r="BQ3702" s="15"/>
      <c r="BR3702" s="15"/>
      <c r="BS3702" s="10"/>
      <c r="BT3702" s="10"/>
      <c r="BU3702" s="10"/>
      <c r="BV3702" s="10"/>
      <c r="BW3702" s="10"/>
      <c r="BX3702" s="10"/>
      <c r="BY3702" s="23"/>
      <c r="BZ3702" s="23"/>
      <c r="CA3702" s="10"/>
      <c r="CB3702" s="23"/>
      <c r="CC3702" s="23"/>
      <c r="CD3702" s="23"/>
      <c r="CE3702" s="23"/>
      <c r="CF3702" s="23"/>
      <c r="CG3702" s="23"/>
      <c r="CH3702" s="23"/>
      <c r="CI3702" s="23"/>
    </row>
    <row r="3703" spans="1:87" x14ac:dyDescent="0.3">
      <c r="A3703" s="9" t="s">
        <v>25550</v>
      </c>
      <c r="B3703" s="10" t="s">
        <v>25531</v>
      </c>
      <c r="C3703" s="11">
        <v>46124.833333333336</v>
      </c>
      <c r="D3703" s="12">
        <v>0.16666666666666666</v>
      </c>
      <c r="E3703" s="11">
        <v>46125</v>
      </c>
      <c r="F3703" s="22" t="s">
        <v>25531</v>
      </c>
      <c r="G3703" s="13" t="b">
        <v>0</v>
      </c>
      <c r="H3703" s="22" t="s">
        <v>25532</v>
      </c>
      <c r="I3703" s="10" t="s">
        <v>23071</v>
      </c>
      <c r="J3703" s="13" t="b">
        <v>0</v>
      </c>
      <c r="K3703" s="13" t="b">
        <v>1</v>
      </c>
      <c r="L3703" s="10" t="s">
        <v>124</v>
      </c>
      <c r="M3703" s="10" t="s">
        <v>91</v>
      </c>
      <c r="N3703" s="10" t="s">
        <v>3513</v>
      </c>
      <c r="O3703" s="10"/>
      <c r="P3703" s="10"/>
      <c r="Q3703" s="10" t="s">
        <v>126</v>
      </c>
      <c r="R3703" s="10"/>
      <c r="S3703" s="10"/>
      <c r="T3703" s="10"/>
      <c r="U3703" s="10"/>
      <c r="V3703" s="10"/>
      <c r="W3703" s="10" t="s">
        <v>25533</v>
      </c>
      <c r="X3703" s="10" t="s">
        <v>8408</v>
      </c>
      <c r="Y3703" s="10" t="s">
        <v>25534</v>
      </c>
      <c r="Z3703" s="10" t="s">
        <v>99</v>
      </c>
      <c r="AA3703" s="10" t="s">
        <v>131</v>
      </c>
      <c r="AB3703" s="10" t="s">
        <v>25535</v>
      </c>
      <c r="AC3703" s="10" t="s">
        <v>25536</v>
      </c>
      <c r="AD3703" s="10" t="s">
        <v>165</v>
      </c>
      <c r="AE3703" s="10" t="s">
        <v>25537</v>
      </c>
      <c r="AF3703" s="15"/>
      <c r="AG3703" s="10"/>
      <c r="AH3703" s="10"/>
      <c r="AI3703" s="10"/>
      <c r="AJ3703" s="10"/>
      <c r="AK3703" s="10"/>
      <c r="AL3703" s="10"/>
      <c r="AM3703" s="10"/>
      <c r="AN3703" s="10"/>
      <c r="AO3703" s="13" t="b">
        <v>0</v>
      </c>
      <c r="AP3703" s="22" t="s">
        <v>221</v>
      </c>
      <c r="AQ3703" s="10"/>
      <c r="AR3703" s="17"/>
      <c r="AS3703" s="17"/>
      <c r="AT3703" s="17"/>
      <c r="AU3703" s="17"/>
      <c r="AV3703" s="17"/>
      <c r="AW3703" s="10"/>
      <c r="AX3703" s="17"/>
      <c r="AY3703" s="18" t="s">
        <v>257</v>
      </c>
      <c r="AZ3703" s="10"/>
      <c r="BA3703" s="20" t="b">
        <v>1</v>
      </c>
      <c r="BB3703" s="10"/>
      <c r="BC3703" s="17" t="s">
        <v>257</v>
      </c>
      <c r="BD3703" s="17" t="s">
        <v>257</v>
      </c>
      <c r="BE3703" s="17" t="s">
        <v>257</v>
      </c>
      <c r="BF3703" s="17" t="s">
        <v>257</v>
      </c>
      <c r="BG3703" s="11">
        <f ca="1">IFERROR(__xludf.DUMMYFUNCTION("""COMPUTED_VALUE"""),46124.8333333333)</f>
        <v>46124.833333333299</v>
      </c>
      <c r="BH3703" s="17" t="s">
        <v>105</v>
      </c>
      <c r="BI3703" s="17"/>
      <c r="BJ3703" s="15"/>
      <c r="BK3703" s="15"/>
      <c r="BL3703" s="13" t="b">
        <v>0</v>
      </c>
      <c r="BM3703" s="10"/>
      <c r="BN3703" s="10" t="s">
        <v>108</v>
      </c>
      <c r="BO3703" s="11">
        <v>46029.602777777778</v>
      </c>
      <c r="BP3703" s="11">
        <v>46029.603472222225</v>
      </c>
      <c r="BQ3703" s="15"/>
      <c r="BR3703" s="15"/>
      <c r="BS3703" s="10"/>
      <c r="BT3703" s="10"/>
      <c r="BU3703" s="10"/>
      <c r="BV3703" s="10"/>
      <c r="BW3703" s="10"/>
      <c r="BX3703" s="10"/>
      <c r="BY3703" s="23"/>
      <c r="BZ3703" s="23"/>
      <c r="CA3703" s="10"/>
      <c r="CB3703" s="23"/>
      <c r="CC3703" s="23"/>
      <c r="CD3703" s="23"/>
      <c r="CE3703" s="23"/>
      <c r="CF3703" s="23"/>
      <c r="CG3703" s="23"/>
      <c r="CH3703" s="23"/>
      <c r="CI3703" s="23"/>
    </row>
    <row r="3704" spans="1:87" x14ac:dyDescent="0.3">
      <c r="A3704" s="9" t="s">
        <v>25551</v>
      </c>
      <c r="B3704" s="10" t="s">
        <v>25552</v>
      </c>
      <c r="C3704" s="11">
        <v>46037.486111111109</v>
      </c>
      <c r="D3704" s="12">
        <v>0.41666666666666669</v>
      </c>
      <c r="E3704" s="11">
        <v>46037.902777777781</v>
      </c>
      <c r="F3704" s="22" t="s">
        <v>25553</v>
      </c>
      <c r="G3704" s="13" t="b">
        <v>0</v>
      </c>
      <c r="H3704" s="22" t="s">
        <v>21384</v>
      </c>
      <c r="I3704" s="10" t="s">
        <v>9131</v>
      </c>
      <c r="J3704" s="13" t="b">
        <v>0</v>
      </c>
      <c r="K3704" s="13" t="b">
        <v>1</v>
      </c>
      <c r="L3704" s="10" t="s">
        <v>124</v>
      </c>
      <c r="M3704" s="10" t="s">
        <v>91</v>
      </c>
      <c r="N3704" s="10" t="s">
        <v>92</v>
      </c>
      <c r="O3704" s="10"/>
      <c r="P3704" s="10"/>
      <c r="Q3704" s="10" t="s">
        <v>94</v>
      </c>
      <c r="R3704" s="10"/>
      <c r="S3704" s="10"/>
      <c r="T3704" s="10"/>
      <c r="U3704" s="10"/>
      <c r="V3704" s="10"/>
      <c r="W3704" s="10" t="s">
        <v>25554</v>
      </c>
      <c r="X3704" s="10" t="s">
        <v>216</v>
      </c>
      <c r="Y3704" s="10" t="s">
        <v>216</v>
      </c>
      <c r="Z3704" s="10" t="s">
        <v>99</v>
      </c>
      <c r="AA3704" s="10" t="s">
        <v>131</v>
      </c>
      <c r="AB3704" s="10" t="s">
        <v>25555</v>
      </c>
      <c r="AC3704" s="10" t="s">
        <v>21389</v>
      </c>
      <c r="AD3704" s="10" t="s">
        <v>165</v>
      </c>
      <c r="AE3704" s="10" t="s">
        <v>25556</v>
      </c>
      <c r="AF3704" s="15"/>
      <c r="AG3704" s="10"/>
      <c r="AH3704" s="10"/>
      <c r="AI3704" s="10"/>
      <c r="AJ3704" s="10"/>
      <c r="AK3704" s="10"/>
      <c r="AL3704" s="10" t="s">
        <v>24528</v>
      </c>
      <c r="AM3704" s="10"/>
      <c r="AN3704" s="10"/>
      <c r="AO3704" s="13" t="b">
        <v>0</v>
      </c>
      <c r="AP3704" s="22" t="s">
        <v>221</v>
      </c>
      <c r="AQ3704" s="10"/>
      <c r="AR3704" s="17"/>
      <c r="AS3704" s="17"/>
      <c r="AT3704" s="17"/>
      <c r="AU3704" s="17"/>
      <c r="AV3704" s="17"/>
      <c r="AW3704" s="10"/>
      <c r="AX3704" s="17"/>
      <c r="AY3704" s="18" t="s">
        <v>257</v>
      </c>
      <c r="AZ3704" s="10"/>
      <c r="BA3704" s="20" t="b">
        <v>1</v>
      </c>
      <c r="BB3704" s="10"/>
      <c r="BC3704" s="17" t="s">
        <v>257</v>
      </c>
      <c r="BD3704" s="17" t="s">
        <v>257</v>
      </c>
      <c r="BE3704" s="17" t="s">
        <v>257</v>
      </c>
      <c r="BF3704" s="17" t="s">
        <v>257</v>
      </c>
      <c r="BG3704" s="11">
        <f ca="1">IFERROR(__xludf.DUMMYFUNCTION("""COMPUTED_VALUE"""),46037.4861111111)</f>
        <v>46037.486111111102</v>
      </c>
      <c r="BH3704" s="17" t="s">
        <v>105</v>
      </c>
      <c r="BI3704" s="17"/>
      <c r="BJ3704" s="15"/>
      <c r="BK3704" s="15"/>
      <c r="BL3704" s="13" t="b">
        <v>0</v>
      </c>
      <c r="BM3704" s="10"/>
      <c r="BN3704" s="10" t="s">
        <v>18456</v>
      </c>
      <c r="BO3704" s="11">
        <v>46029.652777777781</v>
      </c>
      <c r="BP3704" s="11">
        <v>46029.66777777778</v>
      </c>
      <c r="BQ3704" s="15"/>
      <c r="BR3704" s="15"/>
      <c r="BS3704" s="10"/>
      <c r="BT3704" s="10"/>
      <c r="BU3704" s="10"/>
      <c r="BV3704" s="10"/>
      <c r="BW3704" s="10"/>
      <c r="BX3704" s="10"/>
      <c r="BY3704" s="23"/>
      <c r="BZ3704" s="23"/>
      <c r="CA3704" s="10"/>
      <c r="CB3704" s="23"/>
      <c r="CC3704" s="23"/>
      <c r="CD3704" s="23"/>
      <c r="CE3704" s="23"/>
      <c r="CF3704" s="23"/>
      <c r="CG3704" s="23"/>
      <c r="CH3704" s="23"/>
      <c r="CI3704" s="23"/>
    </row>
    <row r="3705" spans="1:87" x14ac:dyDescent="0.3">
      <c r="A3705" s="9" t="s">
        <v>25557</v>
      </c>
      <c r="B3705" s="10" t="s">
        <v>25558</v>
      </c>
      <c r="C3705" s="11">
        <v>46038.520833333336</v>
      </c>
      <c r="D3705" s="12">
        <v>0.41666666666666669</v>
      </c>
      <c r="E3705" s="11">
        <v>46038.9375</v>
      </c>
      <c r="F3705" s="22" t="s">
        <v>25553</v>
      </c>
      <c r="G3705" s="13" t="b">
        <v>0</v>
      </c>
      <c r="H3705" s="22" t="s">
        <v>21384</v>
      </c>
      <c r="I3705" s="10" t="s">
        <v>9131</v>
      </c>
      <c r="J3705" s="13" t="b">
        <v>0</v>
      </c>
      <c r="K3705" s="13" t="b">
        <v>1</v>
      </c>
      <c r="L3705" s="10" t="s">
        <v>124</v>
      </c>
      <c r="M3705" s="10" t="s">
        <v>91</v>
      </c>
      <c r="N3705" s="10" t="s">
        <v>92</v>
      </c>
      <c r="O3705" s="10"/>
      <c r="P3705" s="10"/>
      <c r="Q3705" s="10" t="s">
        <v>126</v>
      </c>
      <c r="R3705" s="10"/>
      <c r="S3705" s="10"/>
      <c r="T3705" s="10"/>
      <c r="U3705" s="10"/>
      <c r="V3705" s="10"/>
      <c r="W3705" s="10" t="s">
        <v>25554</v>
      </c>
      <c r="X3705" s="10" t="s">
        <v>216</v>
      </c>
      <c r="Y3705" s="10" t="s">
        <v>216</v>
      </c>
      <c r="Z3705" s="10" t="s">
        <v>99</v>
      </c>
      <c r="AA3705" s="10" t="s">
        <v>131</v>
      </c>
      <c r="AB3705" s="10" t="s">
        <v>25555</v>
      </c>
      <c r="AC3705" s="10" t="s">
        <v>21389</v>
      </c>
      <c r="AD3705" s="10" t="s">
        <v>165</v>
      </c>
      <c r="AE3705" s="10" t="s">
        <v>25559</v>
      </c>
      <c r="AF3705" s="15"/>
      <c r="AG3705" s="10"/>
      <c r="AH3705" s="10"/>
      <c r="AI3705" s="10"/>
      <c r="AJ3705" s="10"/>
      <c r="AK3705" s="10"/>
      <c r="AL3705" s="10" t="s">
        <v>19004</v>
      </c>
      <c r="AM3705" s="10"/>
      <c r="AN3705" s="10"/>
      <c r="AO3705" s="13" t="b">
        <v>0</v>
      </c>
      <c r="AP3705" s="22" t="s">
        <v>221</v>
      </c>
      <c r="AQ3705" s="10"/>
      <c r="AR3705" s="17"/>
      <c r="AS3705" s="17"/>
      <c r="AT3705" s="17"/>
      <c r="AU3705" s="17"/>
      <c r="AV3705" s="17"/>
      <c r="AW3705" s="10"/>
      <c r="AX3705" s="17"/>
      <c r="AY3705" s="18" t="s">
        <v>257</v>
      </c>
      <c r="AZ3705" s="10"/>
      <c r="BA3705" s="20" t="b">
        <v>1</v>
      </c>
      <c r="BB3705" s="10"/>
      <c r="BC3705" s="17" t="s">
        <v>257</v>
      </c>
      <c r="BD3705" s="17" t="s">
        <v>257</v>
      </c>
      <c r="BE3705" s="17" t="s">
        <v>257</v>
      </c>
      <c r="BF3705" s="17" t="s">
        <v>257</v>
      </c>
      <c r="BG3705" s="11">
        <f ca="1">IFERROR(__xludf.DUMMYFUNCTION("""COMPUTED_VALUE"""),46038.5208333333)</f>
        <v>46038.520833333299</v>
      </c>
      <c r="BH3705" s="17" t="s">
        <v>105</v>
      </c>
      <c r="BI3705" s="17"/>
      <c r="BJ3705" s="15"/>
      <c r="BK3705" s="15"/>
      <c r="BL3705" s="13" t="b">
        <v>0</v>
      </c>
      <c r="BM3705" s="10" t="s">
        <v>240</v>
      </c>
      <c r="BN3705" s="10" t="s">
        <v>108</v>
      </c>
      <c r="BO3705" s="11">
        <v>46029.655555555553</v>
      </c>
      <c r="BP3705" s="11">
        <v>46029.65834490741</v>
      </c>
      <c r="BQ3705" s="15"/>
      <c r="BR3705" s="15"/>
      <c r="BS3705" s="10"/>
      <c r="BT3705" s="10"/>
      <c r="BU3705" s="10"/>
      <c r="BV3705" s="10"/>
      <c r="BW3705" s="10"/>
      <c r="BX3705" s="10"/>
      <c r="BY3705" s="23"/>
      <c r="BZ3705" s="23"/>
      <c r="CA3705" s="10"/>
      <c r="CB3705" s="23"/>
      <c r="CC3705" s="23"/>
      <c r="CD3705" s="23"/>
      <c r="CE3705" s="23"/>
      <c r="CF3705" s="23"/>
      <c r="CG3705" s="23"/>
      <c r="CH3705" s="23"/>
      <c r="CI3705" s="23"/>
    </row>
    <row r="3706" spans="1:87" x14ac:dyDescent="0.3">
      <c r="A3706" s="9" t="s">
        <v>25560</v>
      </c>
      <c r="B3706" s="10" t="s">
        <v>25561</v>
      </c>
      <c r="C3706" s="11">
        <v>46038.520833333336</v>
      </c>
      <c r="D3706" s="12">
        <v>0.33333333333333331</v>
      </c>
      <c r="E3706" s="11">
        <v>46038.854166666664</v>
      </c>
      <c r="F3706" s="22" t="s">
        <v>25553</v>
      </c>
      <c r="G3706" s="13" t="b">
        <v>0</v>
      </c>
      <c r="H3706" s="22" t="s">
        <v>21384</v>
      </c>
      <c r="I3706" s="10" t="s">
        <v>9131</v>
      </c>
      <c r="J3706" s="13" t="b">
        <v>0</v>
      </c>
      <c r="K3706" s="13" t="b">
        <v>1</v>
      </c>
      <c r="L3706" s="10" t="s">
        <v>124</v>
      </c>
      <c r="M3706" s="10" t="s">
        <v>91</v>
      </c>
      <c r="N3706" s="10" t="s">
        <v>92</v>
      </c>
      <c r="O3706" s="10"/>
      <c r="P3706" s="10"/>
      <c r="Q3706" s="10" t="s">
        <v>126</v>
      </c>
      <c r="R3706" s="10"/>
      <c r="S3706" s="10"/>
      <c r="T3706" s="10"/>
      <c r="U3706" s="10"/>
      <c r="V3706" s="10"/>
      <c r="W3706" s="10" t="s">
        <v>25554</v>
      </c>
      <c r="X3706" s="10" t="s">
        <v>216</v>
      </c>
      <c r="Y3706" s="10" t="s">
        <v>216</v>
      </c>
      <c r="Z3706" s="10" t="s">
        <v>99</v>
      </c>
      <c r="AA3706" s="10" t="s">
        <v>131</v>
      </c>
      <c r="AB3706" s="10" t="s">
        <v>25555</v>
      </c>
      <c r="AC3706" s="10" t="s">
        <v>21389</v>
      </c>
      <c r="AD3706" s="10" t="s">
        <v>165</v>
      </c>
      <c r="AE3706" s="10" t="s">
        <v>25562</v>
      </c>
      <c r="AF3706" s="15"/>
      <c r="AG3706" s="10"/>
      <c r="AH3706" s="10"/>
      <c r="AI3706" s="10"/>
      <c r="AJ3706" s="10"/>
      <c r="AK3706" s="10"/>
      <c r="AL3706" s="10" t="s">
        <v>19004</v>
      </c>
      <c r="AM3706" s="10"/>
      <c r="AN3706" s="10"/>
      <c r="AO3706" s="13" t="b">
        <v>0</v>
      </c>
      <c r="AP3706" s="22" t="s">
        <v>221</v>
      </c>
      <c r="AQ3706" s="10"/>
      <c r="AR3706" s="17"/>
      <c r="AS3706" s="17"/>
      <c r="AT3706" s="17"/>
      <c r="AU3706" s="17"/>
      <c r="AV3706" s="17"/>
      <c r="AW3706" s="10"/>
      <c r="AX3706" s="17"/>
      <c r="AY3706" s="18" t="s">
        <v>257</v>
      </c>
      <c r="AZ3706" s="10"/>
      <c r="BA3706" s="20" t="b">
        <v>1</v>
      </c>
      <c r="BB3706" s="10"/>
      <c r="BC3706" s="17" t="s">
        <v>257</v>
      </c>
      <c r="BD3706" s="17" t="s">
        <v>257</v>
      </c>
      <c r="BE3706" s="17" t="s">
        <v>257</v>
      </c>
      <c r="BF3706" s="17" t="s">
        <v>257</v>
      </c>
      <c r="BG3706" s="11">
        <f ca="1">IFERROR(__xludf.DUMMYFUNCTION("""COMPUTED_VALUE"""),46038.5208333333)</f>
        <v>46038.520833333299</v>
      </c>
      <c r="BH3706" s="17" t="s">
        <v>105</v>
      </c>
      <c r="BI3706" s="17"/>
      <c r="BJ3706" s="15"/>
      <c r="BK3706" s="15"/>
      <c r="BL3706" s="13" t="b">
        <v>0</v>
      </c>
      <c r="BM3706" s="10"/>
      <c r="BN3706" s="10" t="s">
        <v>108</v>
      </c>
      <c r="BO3706" s="11">
        <v>46029.65625</v>
      </c>
      <c r="BP3706" s="11">
        <v>46029.656909722224</v>
      </c>
      <c r="BQ3706" s="15"/>
      <c r="BR3706" s="15"/>
      <c r="BS3706" s="10"/>
      <c r="BT3706" s="10"/>
      <c r="BU3706" s="10"/>
      <c r="BV3706" s="10"/>
      <c r="BW3706" s="10"/>
      <c r="BX3706" s="10"/>
      <c r="BY3706" s="23"/>
      <c r="BZ3706" s="23"/>
      <c r="CA3706" s="10"/>
      <c r="CB3706" s="23"/>
      <c r="CC3706" s="23"/>
      <c r="CD3706" s="23"/>
      <c r="CE3706" s="23"/>
      <c r="CF3706" s="23"/>
      <c r="CG3706" s="23"/>
      <c r="CH3706" s="23"/>
      <c r="CI3706" s="23"/>
    </row>
    <row r="3707" spans="1:87" x14ac:dyDescent="0.3">
      <c r="A3707" s="9" t="s">
        <v>25563</v>
      </c>
      <c r="B3707" s="10" t="s">
        <v>25564</v>
      </c>
      <c r="C3707" s="11">
        <v>46038.520833333336</v>
      </c>
      <c r="D3707" s="12">
        <v>0.10416666666666667</v>
      </c>
      <c r="E3707" s="11">
        <v>46038.625</v>
      </c>
      <c r="F3707" s="22" t="s">
        <v>25553</v>
      </c>
      <c r="G3707" s="13" t="b">
        <v>0</v>
      </c>
      <c r="H3707" s="22" t="s">
        <v>21384</v>
      </c>
      <c r="I3707" s="10" t="s">
        <v>9131</v>
      </c>
      <c r="J3707" s="13" t="b">
        <v>0</v>
      </c>
      <c r="K3707" s="13" t="b">
        <v>1</v>
      </c>
      <c r="L3707" s="10" t="s">
        <v>124</v>
      </c>
      <c r="M3707" s="10" t="s">
        <v>91</v>
      </c>
      <c r="N3707" s="10" t="s">
        <v>92</v>
      </c>
      <c r="O3707" s="10"/>
      <c r="P3707" s="10"/>
      <c r="Q3707" s="10" t="s">
        <v>94</v>
      </c>
      <c r="R3707" s="10"/>
      <c r="S3707" s="10"/>
      <c r="T3707" s="10"/>
      <c r="U3707" s="10"/>
      <c r="V3707" s="10"/>
      <c r="W3707" s="10" t="s">
        <v>25554</v>
      </c>
      <c r="X3707" s="10" t="s">
        <v>216</v>
      </c>
      <c r="Y3707" s="10" t="s">
        <v>216</v>
      </c>
      <c r="Z3707" s="10" t="s">
        <v>99</v>
      </c>
      <c r="AA3707" s="10" t="s">
        <v>131</v>
      </c>
      <c r="AB3707" s="10" t="s">
        <v>25555</v>
      </c>
      <c r="AC3707" s="10" t="s">
        <v>21389</v>
      </c>
      <c r="AD3707" s="10" t="s">
        <v>165</v>
      </c>
      <c r="AE3707" s="10" t="s">
        <v>25565</v>
      </c>
      <c r="AF3707" s="15"/>
      <c r="AG3707" s="10"/>
      <c r="AH3707" s="10"/>
      <c r="AI3707" s="10"/>
      <c r="AJ3707" s="10"/>
      <c r="AK3707" s="10"/>
      <c r="AL3707" s="10" t="s">
        <v>19004</v>
      </c>
      <c r="AM3707" s="10"/>
      <c r="AN3707" s="10"/>
      <c r="AO3707" s="13" t="b">
        <v>0</v>
      </c>
      <c r="AP3707" s="22" t="s">
        <v>221</v>
      </c>
      <c r="AQ3707" s="10"/>
      <c r="AR3707" s="17"/>
      <c r="AS3707" s="17"/>
      <c r="AT3707" s="17"/>
      <c r="AU3707" s="17"/>
      <c r="AV3707" s="17"/>
      <c r="AW3707" s="10"/>
      <c r="AX3707" s="17"/>
      <c r="AY3707" s="18" t="s">
        <v>257</v>
      </c>
      <c r="AZ3707" s="10"/>
      <c r="BA3707" s="20" t="b">
        <v>1</v>
      </c>
      <c r="BB3707" s="10"/>
      <c r="BC3707" s="17" t="s">
        <v>257</v>
      </c>
      <c r="BD3707" s="17" t="s">
        <v>257</v>
      </c>
      <c r="BE3707" s="17" t="s">
        <v>257</v>
      </c>
      <c r="BF3707" s="17" t="s">
        <v>257</v>
      </c>
      <c r="BG3707" s="11">
        <f ca="1">IFERROR(__xludf.DUMMYFUNCTION("""COMPUTED_VALUE"""),46038.5208333333)</f>
        <v>46038.520833333299</v>
      </c>
      <c r="BH3707" s="17" t="s">
        <v>105</v>
      </c>
      <c r="BI3707" s="17"/>
      <c r="BJ3707" s="15"/>
      <c r="BK3707" s="15"/>
      <c r="BL3707" s="13" t="b">
        <v>0</v>
      </c>
      <c r="BM3707" s="10"/>
      <c r="BN3707" s="10" t="s">
        <v>18456</v>
      </c>
      <c r="BO3707" s="11">
        <v>46029.656944444447</v>
      </c>
      <c r="BP3707" s="11">
        <v>46029.668090277781</v>
      </c>
      <c r="BQ3707" s="15"/>
      <c r="BR3707" s="15"/>
      <c r="BS3707" s="10"/>
      <c r="BT3707" s="10"/>
      <c r="BU3707" s="10"/>
      <c r="BV3707" s="10"/>
      <c r="BW3707" s="10"/>
      <c r="BX3707" s="10"/>
      <c r="BY3707" s="23"/>
      <c r="BZ3707" s="23"/>
      <c r="CA3707" s="10"/>
      <c r="CB3707" s="23"/>
      <c r="CC3707" s="23"/>
      <c r="CD3707" s="23"/>
      <c r="CE3707" s="23"/>
      <c r="CF3707" s="23"/>
      <c r="CG3707" s="23"/>
      <c r="CH3707" s="23"/>
      <c r="CI3707" s="23"/>
    </row>
    <row r="3708" spans="1:87" x14ac:dyDescent="0.3">
      <c r="A3708" s="9" t="s">
        <v>25566</v>
      </c>
      <c r="B3708" s="10" t="s">
        <v>25567</v>
      </c>
      <c r="C3708" s="11">
        <v>46039.520833333336</v>
      </c>
      <c r="D3708" s="12">
        <v>0.41666666666666669</v>
      </c>
      <c r="E3708" s="11">
        <v>46039.9375</v>
      </c>
      <c r="F3708" s="22" t="s">
        <v>25553</v>
      </c>
      <c r="G3708" s="13" t="b">
        <v>0</v>
      </c>
      <c r="H3708" s="22" t="s">
        <v>21384</v>
      </c>
      <c r="I3708" s="10" t="s">
        <v>9131</v>
      </c>
      <c r="J3708" s="13" t="b">
        <v>0</v>
      </c>
      <c r="K3708" s="13" t="b">
        <v>1</v>
      </c>
      <c r="L3708" s="10" t="s">
        <v>124</v>
      </c>
      <c r="M3708" s="10" t="s">
        <v>91</v>
      </c>
      <c r="N3708" s="10" t="s">
        <v>92</v>
      </c>
      <c r="O3708" s="10"/>
      <c r="P3708" s="10"/>
      <c r="Q3708" s="10" t="s">
        <v>126</v>
      </c>
      <c r="R3708" s="10"/>
      <c r="S3708" s="10"/>
      <c r="T3708" s="10"/>
      <c r="U3708" s="10"/>
      <c r="V3708" s="10"/>
      <c r="W3708" s="10" t="s">
        <v>25554</v>
      </c>
      <c r="X3708" s="10" t="s">
        <v>216</v>
      </c>
      <c r="Y3708" s="10" t="s">
        <v>216</v>
      </c>
      <c r="Z3708" s="10" t="s">
        <v>99</v>
      </c>
      <c r="AA3708" s="10" t="s">
        <v>131</v>
      </c>
      <c r="AB3708" s="10" t="s">
        <v>25555</v>
      </c>
      <c r="AC3708" s="10" t="s">
        <v>21389</v>
      </c>
      <c r="AD3708" s="10" t="s">
        <v>165</v>
      </c>
      <c r="AE3708" s="10" t="s">
        <v>25568</v>
      </c>
      <c r="AF3708" s="15"/>
      <c r="AG3708" s="10"/>
      <c r="AH3708" s="10"/>
      <c r="AI3708" s="10"/>
      <c r="AJ3708" s="10"/>
      <c r="AK3708" s="10"/>
      <c r="AL3708" s="10" t="s">
        <v>20102</v>
      </c>
      <c r="AM3708" s="10"/>
      <c r="AN3708" s="10"/>
      <c r="AO3708" s="13" t="b">
        <v>0</v>
      </c>
      <c r="AP3708" s="22" t="s">
        <v>221</v>
      </c>
      <c r="AQ3708" s="10"/>
      <c r="AR3708" s="17"/>
      <c r="AS3708" s="17"/>
      <c r="AT3708" s="17"/>
      <c r="AU3708" s="17"/>
      <c r="AV3708" s="17"/>
      <c r="AW3708" s="10"/>
      <c r="AX3708" s="17"/>
      <c r="AY3708" s="18" t="s">
        <v>257</v>
      </c>
      <c r="AZ3708" s="10"/>
      <c r="BA3708" s="20" t="b">
        <v>1</v>
      </c>
      <c r="BB3708" s="10"/>
      <c r="BC3708" s="17" t="s">
        <v>257</v>
      </c>
      <c r="BD3708" s="17" t="s">
        <v>257</v>
      </c>
      <c r="BE3708" s="17" t="s">
        <v>257</v>
      </c>
      <c r="BF3708" s="17" t="s">
        <v>257</v>
      </c>
      <c r="BG3708" s="11">
        <f ca="1">IFERROR(__xludf.DUMMYFUNCTION("""COMPUTED_VALUE"""),46039.5208333333)</f>
        <v>46039.520833333299</v>
      </c>
      <c r="BH3708" s="17" t="s">
        <v>105</v>
      </c>
      <c r="BI3708" s="17"/>
      <c r="BJ3708" s="15"/>
      <c r="BK3708" s="15"/>
      <c r="BL3708" s="13" t="b">
        <v>0</v>
      </c>
      <c r="BM3708" s="10"/>
      <c r="BN3708" s="10" t="s">
        <v>108</v>
      </c>
      <c r="BO3708" s="11">
        <v>46029.658333333333</v>
      </c>
      <c r="BP3708" s="11">
        <v>46029.658680555556</v>
      </c>
      <c r="BQ3708" s="15"/>
      <c r="BR3708" s="15"/>
      <c r="BS3708" s="10"/>
      <c r="BT3708" s="10"/>
      <c r="BU3708" s="10"/>
      <c r="BV3708" s="10"/>
      <c r="BW3708" s="10"/>
      <c r="BX3708" s="10"/>
      <c r="BY3708" s="23"/>
      <c r="BZ3708" s="23"/>
      <c r="CA3708" s="10"/>
      <c r="CB3708" s="23"/>
      <c r="CC3708" s="23"/>
      <c r="CD3708" s="23"/>
      <c r="CE3708" s="23"/>
      <c r="CF3708" s="23"/>
      <c r="CG3708" s="23"/>
      <c r="CH3708" s="23"/>
      <c r="CI3708" s="23"/>
    </row>
    <row r="3709" spans="1:87" x14ac:dyDescent="0.3">
      <c r="A3709" s="9" t="s">
        <v>25569</v>
      </c>
      <c r="B3709" s="10" t="s">
        <v>25570</v>
      </c>
      <c r="C3709" s="11">
        <v>46040.520833333336</v>
      </c>
      <c r="D3709" s="12">
        <v>0.20833333333333334</v>
      </c>
      <c r="E3709" s="11">
        <v>46040.729166666664</v>
      </c>
      <c r="F3709" s="22" t="s">
        <v>25553</v>
      </c>
      <c r="G3709" s="13" t="b">
        <v>0</v>
      </c>
      <c r="H3709" s="22" t="s">
        <v>21384</v>
      </c>
      <c r="I3709" s="10" t="s">
        <v>9131</v>
      </c>
      <c r="J3709" s="13" t="b">
        <v>0</v>
      </c>
      <c r="K3709" s="13" t="b">
        <v>1</v>
      </c>
      <c r="L3709" s="10" t="s">
        <v>124</v>
      </c>
      <c r="M3709" s="10" t="s">
        <v>91</v>
      </c>
      <c r="N3709" s="10" t="s">
        <v>92</v>
      </c>
      <c r="O3709" s="10"/>
      <c r="P3709" s="10"/>
      <c r="Q3709" s="10" t="s">
        <v>126</v>
      </c>
      <c r="R3709" s="10"/>
      <c r="S3709" s="10"/>
      <c r="T3709" s="10"/>
      <c r="U3709" s="10"/>
      <c r="V3709" s="10"/>
      <c r="W3709" s="10" t="s">
        <v>25554</v>
      </c>
      <c r="X3709" s="10" t="s">
        <v>216</v>
      </c>
      <c r="Y3709" s="10" t="s">
        <v>216</v>
      </c>
      <c r="Z3709" s="10" t="s">
        <v>99</v>
      </c>
      <c r="AA3709" s="10" t="s">
        <v>131</v>
      </c>
      <c r="AB3709" s="10" t="s">
        <v>25555</v>
      </c>
      <c r="AC3709" s="10" t="s">
        <v>21389</v>
      </c>
      <c r="AD3709" s="10" t="s">
        <v>165</v>
      </c>
      <c r="AE3709" s="10" t="s">
        <v>25571</v>
      </c>
      <c r="AF3709" s="15"/>
      <c r="AG3709" s="10"/>
      <c r="AH3709" s="10"/>
      <c r="AI3709" s="10"/>
      <c r="AJ3709" s="10"/>
      <c r="AK3709" s="10"/>
      <c r="AL3709" s="10" t="s">
        <v>220</v>
      </c>
      <c r="AM3709" s="10"/>
      <c r="AN3709" s="10"/>
      <c r="AO3709" s="13" t="b">
        <v>0</v>
      </c>
      <c r="AP3709" s="22" t="s">
        <v>221</v>
      </c>
      <c r="AQ3709" s="10"/>
      <c r="AR3709" s="17"/>
      <c r="AS3709" s="17"/>
      <c r="AT3709" s="17"/>
      <c r="AU3709" s="17"/>
      <c r="AV3709" s="17"/>
      <c r="AW3709" s="10"/>
      <c r="AX3709" s="17"/>
      <c r="AY3709" s="18" t="s">
        <v>257</v>
      </c>
      <c r="AZ3709" s="10"/>
      <c r="BA3709" s="20" t="b">
        <v>1</v>
      </c>
      <c r="BB3709" s="10"/>
      <c r="BC3709" s="17" t="s">
        <v>257</v>
      </c>
      <c r="BD3709" s="17" t="s">
        <v>257</v>
      </c>
      <c r="BE3709" s="17" t="s">
        <v>257</v>
      </c>
      <c r="BF3709" s="17" t="s">
        <v>257</v>
      </c>
      <c r="BG3709" s="11">
        <f ca="1">IFERROR(__xludf.DUMMYFUNCTION("""COMPUTED_VALUE"""),46040.5208333333)</f>
        <v>46040.520833333299</v>
      </c>
      <c r="BH3709" s="17" t="s">
        <v>105</v>
      </c>
      <c r="BI3709" s="17"/>
      <c r="BJ3709" s="15"/>
      <c r="BK3709" s="15"/>
      <c r="BL3709" s="13" t="b">
        <v>0</v>
      </c>
      <c r="BM3709" s="10"/>
      <c r="BN3709" s="10" t="s">
        <v>108</v>
      </c>
      <c r="BO3709" s="11">
        <v>46029.65902777778</v>
      </c>
      <c r="BP3709" s="11">
        <v>46029.659386574072</v>
      </c>
      <c r="BQ3709" s="15"/>
      <c r="BR3709" s="15"/>
      <c r="BS3709" s="10"/>
      <c r="BT3709" s="10"/>
      <c r="BU3709" s="10"/>
      <c r="BV3709" s="10"/>
      <c r="BW3709" s="10"/>
      <c r="BX3709" s="10"/>
      <c r="BY3709" s="23"/>
      <c r="BZ3709" s="23"/>
      <c r="CA3709" s="10"/>
      <c r="CB3709" s="23"/>
      <c r="CC3709" s="23"/>
      <c r="CD3709" s="23"/>
      <c r="CE3709" s="23"/>
      <c r="CF3709" s="23"/>
      <c r="CG3709" s="23"/>
      <c r="CH3709" s="23"/>
      <c r="CI3709" s="23"/>
    </row>
    <row r="3710" spans="1:87" x14ac:dyDescent="0.3">
      <c r="A3710" s="9" t="s">
        <v>25572</v>
      </c>
      <c r="B3710" s="10" t="s">
        <v>25573</v>
      </c>
      <c r="C3710" s="11">
        <v>46036.486111111109</v>
      </c>
      <c r="D3710" s="12">
        <v>0.41666666666666669</v>
      </c>
      <c r="E3710" s="11">
        <v>46036.902777777781</v>
      </c>
      <c r="F3710" s="22" t="s">
        <v>25553</v>
      </c>
      <c r="G3710" s="13" t="b">
        <v>0</v>
      </c>
      <c r="H3710" s="22" t="s">
        <v>21384</v>
      </c>
      <c r="I3710" s="10" t="s">
        <v>9131</v>
      </c>
      <c r="J3710" s="13" t="b">
        <v>0</v>
      </c>
      <c r="K3710" s="13" t="b">
        <v>1</v>
      </c>
      <c r="L3710" s="10" t="s">
        <v>124</v>
      </c>
      <c r="M3710" s="10" t="s">
        <v>91</v>
      </c>
      <c r="N3710" s="10" t="s">
        <v>92</v>
      </c>
      <c r="O3710" s="10"/>
      <c r="P3710" s="10"/>
      <c r="Q3710" s="10" t="s">
        <v>94</v>
      </c>
      <c r="R3710" s="10"/>
      <c r="S3710" s="10"/>
      <c r="T3710" s="10"/>
      <c r="U3710" s="10"/>
      <c r="V3710" s="10"/>
      <c r="W3710" s="10" t="s">
        <v>25554</v>
      </c>
      <c r="X3710" s="10" t="s">
        <v>216</v>
      </c>
      <c r="Y3710" s="10" t="s">
        <v>216</v>
      </c>
      <c r="Z3710" s="10" t="s">
        <v>99</v>
      </c>
      <c r="AA3710" s="10" t="s">
        <v>131</v>
      </c>
      <c r="AB3710" s="10" t="s">
        <v>25555</v>
      </c>
      <c r="AC3710" s="10" t="s">
        <v>21389</v>
      </c>
      <c r="AD3710" s="10" t="s">
        <v>165</v>
      </c>
      <c r="AE3710" s="10" t="s">
        <v>25574</v>
      </c>
      <c r="AF3710" s="15"/>
      <c r="AG3710" s="10"/>
      <c r="AH3710" s="10"/>
      <c r="AI3710" s="10"/>
      <c r="AJ3710" s="10"/>
      <c r="AK3710" s="10"/>
      <c r="AL3710" s="10"/>
      <c r="AM3710" s="10"/>
      <c r="AN3710" s="10"/>
      <c r="AO3710" s="13" t="b">
        <v>0</v>
      </c>
      <c r="AP3710" s="22"/>
      <c r="AQ3710" s="10"/>
      <c r="AR3710" s="17"/>
      <c r="AS3710" s="17"/>
      <c r="AT3710" s="17"/>
      <c r="AU3710" s="17"/>
      <c r="AV3710" s="17"/>
      <c r="AW3710" s="10"/>
      <c r="AX3710" s="17"/>
      <c r="AY3710" s="18" t="s">
        <v>257</v>
      </c>
      <c r="AZ3710" s="10"/>
      <c r="BA3710" s="20" t="b">
        <v>1</v>
      </c>
      <c r="BB3710" s="10"/>
      <c r="BC3710" s="17" t="s">
        <v>257</v>
      </c>
      <c r="BD3710" s="17" t="s">
        <v>257</v>
      </c>
      <c r="BE3710" s="17" t="s">
        <v>257</v>
      </c>
      <c r="BF3710" s="17" t="s">
        <v>257</v>
      </c>
      <c r="BG3710" s="11">
        <f ca="1">IFERROR(__xludf.DUMMYFUNCTION("""COMPUTED_VALUE"""),46036.4861111111)</f>
        <v>46036.486111111102</v>
      </c>
      <c r="BH3710" s="17" t="s">
        <v>105</v>
      </c>
      <c r="BI3710" s="17"/>
      <c r="BJ3710" s="15"/>
      <c r="BK3710" s="15"/>
      <c r="BL3710" s="13" t="b">
        <v>0</v>
      </c>
      <c r="BM3710" s="10"/>
      <c r="BN3710" s="10" t="s">
        <v>18456</v>
      </c>
      <c r="BO3710" s="11">
        <v>46029.660416666666</v>
      </c>
      <c r="BP3710" s="11">
        <v>46029.660613425927</v>
      </c>
      <c r="BQ3710" s="15"/>
      <c r="BR3710" s="15"/>
      <c r="BS3710" s="10"/>
      <c r="BT3710" s="10"/>
      <c r="BU3710" s="10"/>
      <c r="BV3710" s="10"/>
      <c r="BW3710" s="10"/>
      <c r="BX3710" s="10"/>
      <c r="BY3710" s="23"/>
      <c r="BZ3710" s="23"/>
      <c r="CA3710" s="10"/>
      <c r="CB3710" s="23"/>
      <c r="CC3710" s="23"/>
      <c r="CD3710" s="23"/>
      <c r="CE3710" s="23"/>
      <c r="CF3710" s="23"/>
      <c r="CG3710" s="23"/>
      <c r="CH3710" s="23"/>
      <c r="CI3710" s="23"/>
    </row>
    <row r="3711" spans="1:87" x14ac:dyDescent="0.3">
      <c r="A3711" s="9" t="s">
        <v>25575</v>
      </c>
      <c r="B3711" s="10" t="s">
        <v>25576</v>
      </c>
      <c r="C3711" s="11">
        <v>46036.486111111109</v>
      </c>
      <c r="D3711" s="12">
        <v>0.41666666666666669</v>
      </c>
      <c r="E3711" s="11">
        <v>46036.902777777781</v>
      </c>
      <c r="F3711" s="22" t="s">
        <v>25553</v>
      </c>
      <c r="G3711" s="13" t="b">
        <v>0</v>
      </c>
      <c r="H3711" s="22" t="s">
        <v>21384</v>
      </c>
      <c r="I3711" s="10" t="s">
        <v>9131</v>
      </c>
      <c r="J3711" s="13" t="b">
        <v>0</v>
      </c>
      <c r="K3711" s="13" t="b">
        <v>1</v>
      </c>
      <c r="L3711" s="10" t="s">
        <v>124</v>
      </c>
      <c r="M3711" s="10" t="s">
        <v>91</v>
      </c>
      <c r="N3711" s="10" t="s">
        <v>92</v>
      </c>
      <c r="O3711" s="10"/>
      <c r="P3711" s="10"/>
      <c r="Q3711" s="10" t="s">
        <v>94</v>
      </c>
      <c r="R3711" s="10"/>
      <c r="S3711" s="10"/>
      <c r="T3711" s="10"/>
      <c r="U3711" s="10"/>
      <c r="V3711" s="10"/>
      <c r="W3711" s="10" t="s">
        <v>25554</v>
      </c>
      <c r="X3711" s="10" t="s">
        <v>216</v>
      </c>
      <c r="Y3711" s="10" t="s">
        <v>216</v>
      </c>
      <c r="Z3711" s="10" t="s">
        <v>99</v>
      </c>
      <c r="AA3711" s="10" t="s">
        <v>131</v>
      </c>
      <c r="AB3711" s="10" t="s">
        <v>25555</v>
      </c>
      <c r="AC3711" s="10" t="s">
        <v>21389</v>
      </c>
      <c r="AD3711" s="10" t="s">
        <v>165</v>
      </c>
      <c r="AE3711" s="10" t="s">
        <v>25577</v>
      </c>
      <c r="AF3711" s="15"/>
      <c r="AG3711" s="10"/>
      <c r="AH3711" s="10"/>
      <c r="AI3711" s="10"/>
      <c r="AJ3711" s="10"/>
      <c r="AK3711" s="10"/>
      <c r="AL3711" s="10"/>
      <c r="AM3711" s="10"/>
      <c r="AN3711" s="10"/>
      <c r="AO3711" s="13" t="b">
        <v>0</v>
      </c>
      <c r="AP3711" s="22"/>
      <c r="AQ3711" s="10"/>
      <c r="AR3711" s="17"/>
      <c r="AS3711" s="17"/>
      <c r="AT3711" s="17"/>
      <c r="AU3711" s="17"/>
      <c r="AV3711" s="17"/>
      <c r="AW3711" s="10"/>
      <c r="AX3711" s="17"/>
      <c r="AY3711" s="18" t="s">
        <v>257</v>
      </c>
      <c r="AZ3711" s="10"/>
      <c r="BA3711" s="20" t="b">
        <v>1</v>
      </c>
      <c r="BB3711" s="10"/>
      <c r="BC3711" s="17" t="s">
        <v>257</v>
      </c>
      <c r="BD3711" s="17" t="s">
        <v>257</v>
      </c>
      <c r="BE3711" s="17" t="s">
        <v>257</v>
      </c>
      <c r="BF3711" s="17" t="s">
        <v>257</v>
      </c>
      <c r="BG3711" s="11">
        <f ca="1">IFERROR(__xludf.DUMMYFUNCTION("""COMPUTED_VALUE"""),46036.4861111111)</f>
        <v>46036.486111111102</v>
      </c>
      <c r="BH3711" s="17" t="s">
        <v>105</v>
      </c>
      <c r="BI3711" s="17"/>
      <c r="BJ3711" s="15"/>
      <c r="BK3711" s="15"/>
      <c r="BL3711" s="13" t="b">
        <v>0</v>
      </c>
      <c r="BM3711" s="10"/>
      <c r="BN3711" s="10" t="s">
        <v>18456</v>
      </c>
      <c r="BO3711" s="11">
        <v>46029.662499999999</v>
      </c>
      <c r="BP3711" s="11">
        <v>46029.663182870368</v>
      </c>
      <c r="BQ3711" s="15"/>
      <c r="BR3711" s="15"/>
      <c r="BS3711" s="10"/>
      <c r="BT3711" s="10"/>
      <c r="BU3711" s="10"/>
      <c r="BV3711" s="10"/>
      <c r="BW3711" s="10"/>
      <c r="BX3711" s="10"/>
      <c r="BY3711" s="23"/>
      <c r="BZ3711" s="23"/>
      <c r="CA3711" s="10"/>
      <c r="CB3711" s="23"/>
      <c r="CC3711" s="23"/>
      <c r="CD3711" s="23"/>
      <c r="CE3711" s="23"/>
      <c r="CF3711" s="23"/>
      <c r="CG3711" s="23"/>
      <c r="CH3711" s="23"/>
      <c r="CI3711" s="23"/>
    </row>
    <row r="3712" spans="1:87" x14ac:dyDescent="0.3">
      <c r="A3712" s="9" t="s">
        <v>25578</v>
      </c>
      <c r="B3712" s="10" t="s">
        <v>25579</v>
      </c>
      <c r="C3712" s="11">
        <v>46037.479166666664</v>
      </c>
      <c r="D3712" s="12">
        <v>0.41666666666666669</v>
      </c>
      <c r="E3712" s="11">
        <v>46037.895833333336</v>
      </c>
      <c r="F3712" s="22" t="s">
        <v>25553</v>
      </c>
      <c r="G3712" s="13" t="b">
        <v>0</v>
      </c>
      <c r="H3712" s="22" t="s">
        <v>21384</v>
      </c>
      <c r="I3712" s="10" t="s">
        <v>9131</v>
      </c>
      <c r="J3712" s="13" t="b">
        <v>0</v>
      </c>
      <c r="K3712" s="13" t="b">
        <v>1</v>
      </c>
      <c r="L3712" s="10" t="s">
        <v>124</v>
      </c>
      <c r="M3712" s="10" t="s">
        <v>91</v>
      </c>
      <c r="N3712" s="10" t="s">
        <v>92</v>
      </c>
      <c r="O3712" s="10"/>
      <c r="P3712" s="10"/>
      <c r="Q3712" s="10" t="s">
        <v>126</v>
      </c>
      <c r="R3712" s="10"/>
      <c r="S3712" s="10"/>
      <c r="T3712" s="10"/>
      <c r="U3712" s="10"/>
      <c r="V3712" s="10"/>
      <c r="W3712" s="10" t="s">
        <v>25554</v>
      </c>
      <c r="X3712" s="10" t="s">
        <v>216</v>
      </c>
      <c r="Y3712" s="10" t="s">
        <v>216</v>
      </c>
      <c r="Z3712" s="10" t="s">
        <v>99</v>
      </c>
      <c r="AA3712" s="10" t="s">
        <v>131</v>
      </c>
      <c r="AB3712" s="10" t="s">
        <v>25555</v>
      </c>
      <c r="AC3712" s="10" t="s">
        <v>21389</v>
      </c>
      <c r="AD3712" s="10" t="s">
        <v>165</v>
      </c>
      <c r="AE3712" s="10" t="s">
        <v>25580</v>
      </c>
      <c r="AF3712" s="15"/>
      <c r="AG3712" s="10"/>
      <c r="AH3712" s="10"/>
      <c r="AI3712" s="10"/>
      <c r="AJ3712" s="10"/>
      <c r="AK3712" s="10"/>
      <c r="AL3712" s="10" t="s">
        <v>24528</v>
      </c>
      <c r="AM3712" s="10"/>
      <c r="AN3712" s="10"/>
      <c r="AO3712" s="13" t="b">
        <v>0</v>
      </c>
      <c r="AP3712" s="22"/>
      <c r="AQ3712" s="10"/>
      <c r="AR3712" s="17"/>
      <c r="AS3712" s="17"/>
      <c r="AT3712" s="17"/>
      <c r="AU3712" s="17"/>
      <c r="AV3712" s="17"/>
      <c r="AW3712" s="10"/>
      <c r="AX3712" s="17"/>
      <c r="AY3712" s="18" t="s">
        <v>257</v>
      </c>
      <c r="AZ3712" s="10"/>
      <c r="BA3712" s="20" t="b">
        <v>0</v>
      </c>
      <c r="BB3712" s="10"/>
      <c r="BC3712" s="17" t="s">
        <v>257</v>
      </c>
      <c r="BD3712" s="17" t="s">
        <v>257</v>
      </c>
      <c r="BE3712" s="17" t="s">
        <v>257</v>
      </c>
      <c r="BF3712" s="17" t="s">
        <v>257</v>
      </c>
      <c r="BG3712" s="11">
        <f ca="1">IFERROR(__xludf.DUMMYFUNCTION("""COMPUTED_VALUE"""),46037.4791666666)</f>
        <v>46037.479166666599</v>
      </c>
      <c r="BH3712" s="17"/>
      <c r="BI3712" s="17"/>
      <c r="BJ3712" s="15"/>
      <c r="BK3712" s="15"/>
      <c r="BL3712" s="13" t="b">
        <v>0</v>
      </c>
      <c r="BM3712" s="10"/>
      <c r="BN3712" s="10" t="s">
        <v>18456</v>
      </c>
      <c r="BO3712" s="11">
        <v>46029.663888888892</v>
      </c>
      <c r="BP3712" s="11">
        <v>46029.664421296293</v>
      </c>
      <c r="BQ3712" s="15"/>
      <c r="BR3712" s="15"/>
      <c r="BS3712" s="10"/>
      <c r="BT3712" s="10"/>
      <c r="BU3712" s="10"/>
      <c r="BV3712" s="10"/>
      <c r="BW3712" s="10"/>
      <c r="BX3712" s="10"/>
      <c r="BY3712" s="23"/>
      <c r="BZ3712" s="23"/>
      <c r="CA3712" s="10"/>
      <c r="CB3712" s="23"/>
      <c r="CC3712" s="23"/>
      <c r="CD3712" s="23"/>
      <c r="CE3712" s="23"/>
      <c r="CF3712" s="23"/>
      <c r="CG3712" s="23"/>
      <c r="CH3712" s="23"/>
      <c r="CI3712" s="23"/>
    </row>
    <row r="3713" spans="1:87" x14ac:dyDescent="0.3">
      <c r="A3713" s="9" t="s">
        <v>25581</v>
      </c>
      <c r="B3713" s="10" t="s">
        <v>25582</v>
      </c>
      <c r="C3713" s="11">
        <v>46037.479166666664</v>
      </c>
      <c r="D3713" s="12">
        <v>0.41666666666666669</v>
      </c>
      <c r="E3713" s="11">
        <v>46037.895833333336</v>
      </c>
      <c r="F3713" s="22" t="s">
        <v>25553</v>
      </c>
      <c r="G3713" s="13" t="b">
        <v>0</v>
      </c>
      <c r="H3713" s="22" t="s">
        <v>21384</v>
      </c>
      <c r="I3713" s="10" t="s">
        <v>9131</v>
      </c>
      <c r="J3713" s="13" t="b">
        <v>0</v>
      </c>
      <c r="K3713" s="13" t="b">
        <v>1</v>
      </c>
      <c r="L3713" s="10" t="s">
        <v>124</v>
      </c>
      <c r="M3713" s="10" t="s">
        <v>91</v>
      </c>
      <c r="N3713" s="10" t="s">
        <v>92</v>
      </c>
      <c r="O3713" s="10"/>
      <c r="P3713" s="10"/>
      <c r="Q3713" s="10" t="s">
        <v>126</v>
      </c>
      <c r="R3713" s="10"/>
      <c r="S3713" s="10"/>
      <c r="T3713" s="10"/>
      <c r="U3713" s="10"/>
      <c r="V3713" s="10"/>
      <c r="W3713" s="10" t="s">
        <v>25554</v>
      </c>
      <c r="X3713" s="10" t="s">
        <v>216</v>
      </c>
      <c r="Y3713" s="10" t="s">
        <v>216</v>
      </c>
      <c r="Z3713" s="10" t="s">
        <v>99</v>
      </c>
      <c r="AA3713" s="10" t="s">
        <v>131</v>
      </c>
      <c r="AB3713" s="10" t="s">
        <v>25555</v>
      </c>
      <c r="AC3713" s="10" t="s">
        <v>21389</v>
      </c>
      <c r="AD3713" s="10" t="s">
        <v>165</v>
      </c>
      <c r="AE3713" s="10" t="s">
        <v>25583</v>
      </c>
      <c r="AF3713" s="15"/>
      <c r="AG3713" s="10"/>
      <c r="AH3713" s="10"/>
      <c r="AI3713" s="10"/>
      <c r="AJ3713" s="10"/>
      <c r="AK3713" s="10"/>
      <c r="AL3713" s="10" t="s">
        <v>24528</v>
      </c>
      <c r="AM3713" s="10"/>
      <c r="AN3713" s="10"/>
      <c r="AO3713" s="13" t="b">
        <v>0</v>
      </c>
      <c r="AP3713" s="22"/>
      <c r="AQ3713" s="10"/>
      <c r="AR3713" s="17"/>
      <c r="AS3713" s="17"/>
      <c r="AT3713" s="17"/>
      <c r="AU3713" s="17"/>
      <c r="AV3713" s="17"/>
      <c r="AW3713" s="10"/>
      <c r="AX3713" s="17"/>
      <c r="AY3713" s="18" t="s">
        <v>257</v>
      </c>
      <c r="AZ3713" s="10"/>
      <c r="BA3713" s="20" t="b">
        <v>1</v>
      </c>
      <c r="BB3713" s="10"/>
      <c r="BC3713" s="17" t="s">
        <v>257</v>
      </c>
      <c r="BD3713" s="17" t="s">
        <v>257</v>
      </c>
      <c r="BE3713" s="17" t="s">
        <v>257</v>
      </c>
      <c r="BF3713" s="17" t="s">
        <v>257</v>
      </c>
      <c r="BG3713" s="11">
        <f ca="1">IFERROR(__xludf.DUMMYFUNCTION("""COMPUTED_VALUE"""),46037.4791666666)</f>
        <v>46037.479166666599</v>
      </c>
      <c r="BH3713" s="17" t="s">
        <v>105</v>
      </c>
      <c r="BI3713" s="17"/>
      <c r="BJ3713" s="15"/>
      <c r="BK3713" s="15"/>
      <c r="BL3713" s="13" t="b">
        <v>0</v>
      </c>
      <c r="BM3713" s="10"/>
      <c r="BN3713" s="10" t="s">
        <v>18456</v>
      </c>
      <c r="BO3713" s="11">
        <v>46029.665277777778</v>
      </c>
      <c r="BP3713" s="11">
        <v>46029.665358796294</v>
      </c>
      <c r="BQ3713" s="15"/>
      <c r="BR3713" s="15"/>
      <c r="BS3713" s="10"/>
      <c r="BT3713" s="10"/>
      <c r="BU3713" s="10"/>
      <c r="BV3713" s="10"/>
      <c r="BW3713" s="10"/>
      <c r="BX3713" s="10"/>
      <c r="BY3713" s="23"/>
      <c r="BZ3713" s="23"/>
      <c r="CA3713" s="10"/>
      <c r="CB3713" s="23"/>
      <c r="CC3713" s="23"/>
      <c r="CD3713" s="23"/>
      <c r="CE3713" s="23"/>
      <c r="CF3713" s="23"/>
      <c r="CG3713" s="23"/>
      <c r="CH3713" s="23"/>
      <c r="CI3713" s="23"/>
    </row>
    <row r="3714" spans="1:87" x14ac:dyDescent="0.3">
      <c r="A3714" s="9" t="s">
        <v>25584</v>
      </c>
      <c r="B3714" s="10" t="s">
        <v>25585</v>
      </c>
      <c r="C3714" s="11">
        <v>46037.486111111109</v>
      </c>
      <c r="D3714" s="12">
        <v>0.41666666666666669</v>
      </c>
      <c r="E3714" s="11">
        <v>46037.902777777781</v>
      </c>
      <c r="F3714" s="22" t="s">
        <v>25553</v>
      </c>
      <c r="G3714" s="13" t="b">
        <v>0</v>
      </c>
      <c r="H3714" s="22" t="s">
        <v>21384</v>
      </c>
      <c r="I3714" s="10" t="s">
        <v>9131</v>
      </c>
      <c r="J3714" s="13" t="b">
        <v>0</v>
      </c>
      <c r="K3714" s="13" t="b">
        <v>1</v>
      </c>
      <c r="L3714" s="10" t="s">
        <v>124</v>
      </c>
      <c r="M3714" s="10" t="s">
        <v>91</v>
      </c>
      <c r="N3714" s="10" t="s">
        <v>92</v>
      </c>
      <c r="O3714" s="10"/>
      <c r="P3714" s="10"/>
      <c r="Q3714" s="10" t="s">
        <v>94</v>
      </c>
      <c r="R3714" s="10"/>
      <c r="S3714" s="10"/>
      <c r="T3714" s="10"/>
      <c r="U3714" s="10"/>
      <c r="V3714" s="10"/>
      <c r="W3714" s="10" t="s">
        <v>25554</v>
      </c>
      <c r="X3714" s="10" t="s">
        <v>216</v>
      </c>
      <c r="Y3714" s="10" t="s">
        <v>216</v>
      </c>
      <c r="Z3714" s="10" t="s">
        <v>99</v>
      </c>
      <c r="AA3714" s="10" t="s">
        <v>131</v>
      </c>
      <c r="AB3714" s="10" t="s">
        <v>25555</v>
      </c>
      <c r="AC3714" s="10" t="s">
        <v>21389</v>
      </c>
      <c r="AD3714" s="10" t="s">
        <v>165</v>
      </c>
      <c r="AE3714" s="10" t="s">
        <v>25586</v>
      </c>
      <c r="AF3714" s="15"/>
      <c r="AG3714" s="10"/>
      <c r="AH3714" s="10"/>
      <c r="AI3714" s="10"/>
      <c r="AJ3714" s="10"/>
      <c r="AK3714" s="10"/>
      <c r="AL3714" s="10" t="s">
        <v>24528</v>
      </c>
      <c r="AM3714" s="10"/>
      <c r="AN3714" s="10"/>
      <c r="AO3714" s="13" t="b">
        <v>0</v>
      </c>
      <c r="AP3714" s="22"/>
      <c r="AQ3714" s="10"/>
      <c r="AR3714" s="17"/>
      <c r="AS3714" s="17"/>
      <c r="AT3714" s="17"/>
      <c r="AU3714" s="17"/>
      <c r="AV3714" s="17"/>
      <c r="AW3714" s="10"/>
      <c r="AX3714" s="17"/>
      <c r="AY3714" s="18" t="s">
        <v>257</v>
      </c>
      <c r="AZ3714" s="10"/>
      <c r="BA3714" s="20" t="b">
        <v>1</v>
      </c>
      <c r="BB3714" s="10"/>
      <c r="BC3714" s="17" t="s">
        <v>257</v>
      </c>
      <c r="BD3714" s="17" t="s">
        <v>257</v>
      </c>
      <c r="BE3714" s="17" t="s">
        <v>257</v>
      </c>
      <c r="BF3714" s="17" t="s">
        <v>257</v>
      </c>
      <c r="BG3714" s="11">
        <f ca="1">IFERROR(__xludf.DUMMYFUNCTION("""COMPUTED_VALUE"""),46037.4861111111)</f>
        <v>46037.486111111102</v>
      </c>
      <c r="BH3714" s="17" t="s">
        <v>105</v>
      </c>
      <c r="BI3714" s="17"/>
      <c r="BJ3714" s="15"/>
      <c r="BK3714" s="15"/>
      <c r="BL3714" s="13" t="b">
        <v>0</v>
      </c>
      <c r="BM3714" s="10"/>
      <c r="BN3714" s="10" t="s">
        <v>18456</v>
      </c>
      <c r="BO3714" s="11">
        <v>46029.665972222225</v>
      </c>
      <c r="BP3714" s="11">
        <v>46029.666342592594</v>
      </c>
      <c r="BQ3714" s="15"/>
      <c r="BR3714" s="15"/>
      <c r="BS3714" s="10"/>
      <c r="BT3714" s="10"/>
      <c r="BU3714" s="10"/>
      <c r="BV3714" s="10"/>
      <c r="BW3714" s="10"/>
      <c r="BX3714" s="10"/>
      <c r="BY3714" s="23"/>
      <c r="BZ3714" s="23"/>
      <c r="CA3714" s="10"/>
      <c r="CB3714" s="23"/>
      <c r="CC3714" s="23"/>
      <c r="CD3714" s="23"/>
      <c r="CE3714" s="23"/>
      <c r="CF3714" s="23"/>
      <c r="CG3714" s="23"/>
      <c r="CH3714" s="23"/>
      <c r="CI3714" s="23"/>
    </row>
    <row r="3715" spans="1:87" x14ac:dyDescent="0.3">
      <c r="A3715" s="9" t="s">
        <v>25587</v>
      </c>
      <c r="B3715" s="10" t="s">
        <v>25588</v>
      </c>
      <c r="C3715" s="11">
        <v>46035.479166666664</v>
      </c>
      <c r="D3715" s="12">
        <v>0.41666666666666669</v>
      </c>
      <c r="E3715" s="11">
        <v>46035.895833333336</v>
      </c>
      <c r="F3715" s="22" t="s">
        <v>25553</v>
      </c>
      <c r="G3715" s="13" t="b">
        <v>0</v>
      </c>
      <c r="H3715" s="22" t="s">
        <v>21384</v>
      </c>
      <c r="I3715" s="10" t="s">
        <v>9131</v>
      </c>
      <c r="J3715" s="13" t="b">
        <v>0</v>
      </c>
      <c r="K3715" s="13" t="b">
        <v>1</v>
      </c>
      <c r="L3715" s="10" t="s">
        <v>124</v>
      </c>
      <c r="M3715" s="10" t="s">
        <v>91</v>
      </c>
      <c r="N3715" s="10" t="s">
        <v>92</v>
      </c>
      <c r="O3715" s="10"/>
      <c r="P3715" s="10"/>
      <c r="Q3715" s="10" t="s">
        <v>94</v>
      </c>
      <c r="R3715" s="10"/>
      <c r="S3715" s="10"/>
      <c r="T3715" s="10"/>
      <c r="U3715" s="10"/>
      <c r="V3715" s="10"/>
      <c r="W3715" s="10" t="s">
        <v>25554</v>
      </c>
      <c r="X3715" s="10" t="s">
        <v>216</v>
      </c>
      <c r="Y3715" s="10" t="s">
        <v>216</v>
      </c>
      <c r="Z3715" s="10" t="s">
        <v>99</v>
      </c>
      <c r="AA3715" s="10" t="s">
        <v>131</v>
      </c>
      <c r="AB3715" s="10" t="s">
        <v>25555</v>
      </c>
      <c r="AC3715" s="10" t="s">
        <v>21389</v>
      </c>
      <c r="AD3715" s="10" t="s">
        <v>165</v>
      </c>
      <c r="AE3715" s="10" t="s">
        <v>25589</v>
      </c>
      <c r="AF3715" s="15"/>
      <c r="AG3715" s="10"/>
      <c r="AH3715" s="10"/>
      <c r="AI3715" s="10"/>
      <c r="AJ3715" s="10"/>
      <c r="AK3715" s="10"/>
      <c r="AL3715" s="10"/>
      <c r="AM3715" s="10"/>
      <c r="AN3715" s="10"/>
      <c r="AO3715" s="13" t="b">
        <v>0</v>
      </c>
      <c r="AP3715" s="22" t="s">
        <v>221</v>
      </c>
      <c r="AQ3715" s="10"/>
      <c r="AR3715" s="17"/>
      <c r="AS3715" s="17"/>
      <c r="AT3715" s="17"/>
      <c r="AU3715" s="17"/>
      <c r="AV3715" s="17"/>
      <c r="AW3715" s="10"/>
      <c r="AX3715" s="17"/>
      <c r="AY3715" s="18" t="s">
        <v>257</v>
      </c>
      <c r="AZ3715" s="10"/>
      <c r="BA3715" s="20" t="b">
        <v>1</v>
      </c>
      <c r="BB3715" s="10"/>
      <c r="BC3715" s="17" t="s">
        <v>257</v>
      </c>
      <c r="BD3715" s="17" t="s">
        <v>257</v>
      </c>
      <c r="BE3715" s="17" t="s">
        <v>257</v>
      </c>
      <c r="BF3715" s="17" t="s">
        <v>257</v>
      </c>
      <c r="BG3715" s="11">
        <f ca="1">IFERROR(__xludf.DUMMYFUNCTION("""COMPUTED_VALUE"""),46035.4791666666)</f>
        <v>46035.479166666599</v>
      </c>
      <c r="BH3715" s="17" t="s">
        <v>105</v>
      </c>
      <c r="BI3715" s="17"/>
      <c r="BJ3715" s="15"/>
      <c r="BK3715" s="15"/>
      <c r="BL3715" s="13" t="b">
        <v>0</v>
      </c>
      <c r="BM3715" s="10"/>
      <c r="BN3715" s="10" t="s">
        <v>18577</v>
      </c>
      <c r="BO3715" s="11">
        <v>46029.696527777778</v>
      </c>
      <c r="BP3715" s="11">
        <v>46029.69672453704</v>
      </c>
      <c r="BQ3715" s="15"/>
      <c r="BR3715" s="15"/>
      <c r="BS3715" s="10"/>
      <c r="BT3715" s="10"/>
      <c r="BU3715" s="10"/>
      <c r="BV3715" s="10"/>
      <c r="BW3715" s="10"/>
      <c r="BX3715" s="10"/>
      <c r="BY3715" s="23"/>
      <c r="BZ3715" s="23"/>
      <c r="CA3715" s="10"/>
      <c r="CB3715" s="23"/>
      <c r="CC3715" s="23"/>
      <c r="CD3715" s="23"/>
      <c r="CE3715" s="23"/>
      <c r="CF3715" s="23"/>
      <c r="CG3715" s="23"/>
      <c r="CH3715" s="23"/>
      <c r="CI3715" s="23"/>
    </row>
    <row r="3716" spans="1:87" x14ac:dyDescent="0.3">
      <c r="A3716" s="9" t="s">
        <v>25590</v>
      </c>
      <c r="B3716" s="10" t="s">
        <v>25591</v>
      </c>
      <c r="C3716" s="11">
        <v>46035.486111111109</v>
      </c>
      <c r="D3716" s="12">
        <v>0.41666666666666669</v>
      </c>
      <c r="E3716" s="11">
        <v>46035.902777777781</v>
      </c>
      <c r="F3716" s="22" t="s">
        <v>25553</v>
      </c>
      <c r="G3716" s="13" t="b">
        <v>0</v>
      </c>
      <c r="H3716" s="22" t="s">
        <v>21384</v>
      </c>
      <c r="I3716" s="10" t="s">
        <v>9131</v>
      </c>
      <c r="J3716" s="13" t="b">
        <v>0</v>
      </c>
      <c r="K3716" s="13" t="b">
        <v>1</v>
      </c>
      <c r="L3716" s="10" t="s">
        <v>124</v>
      </c>
      <c r="M3716" s="10" t="s">
        <v>91</v>
      </c>
      <c r="N3716" s="10" t="s">
        <v>92</v>
      </c>
      <c r="O3716" s="10"/>
      <c r="P3716" s="10"/>
      <c r="Q3716" s="10" t="s">
        <v>94</v>
      </c>
      <c r="R3716" s="10"/>
      <c r="S3716" s="10"/>
      <c r="T3716" s="10"/>
      <c r="U3716" s="10"/>
      <c r="V3716" s="10"/>
      <c r="W3716" s="10" t="s">
        <v>25554</v>
      </c>
      <c r="X3716" s="10" t="s">
        <v>216</v>
      </c>
      <c r="Y3716" s="10" t="s">
        <v>216</v>
      </c>
      <c r="Z3716" s="10" t="s">
        <v>99</v>
      </c>
      <c r="AA3716" s="10" t="s">
        <v>131</v>
      </c>
      <c r="AB3716" s="10" t="s">
        <v>25555</v>
      </c>
      <c r="AC3716" s="10" t="s">
        <v>21389</v>
      </c>
      <c r="AD3716" s="10" t="s">
        <v>165</v>
      </c>
      <c r="AE3716" s="10" t="s">
        <v>25592</v>
      </c>
      <c r="AF3716" s="15"/>
      <c r="AG3716" s="10"/>
      <c r="AH3716" s="10"/>
      <c r="AI3716" s="10"/>
      <c r="AJ3716" s="10"/>
      <c r="AK3716" s="10"/>
      <c r="AL3716" s="10"/>
      <c r="AM3716" s="10"/>
      <c r="AN3716" s="10"/>
      <c r="AO3716" s="13" t="b">
        <v>0</v>
      </c>
      <c r="AP3716" s="22" t="s">
        <v>221</v>
      </c>
      <c r="AQ3716" s="10"/>
      <c r="AR3716" s="17"/>
      <c r="AS3716" s="17"/>
      <c r="AT3716" s="17"/>
      <c r="AU3716" s="17"/>
      <c r="AV3716" s="17"/>
      <c r="AW3716" s="10"/>
      <c r="AX3716" s="17"/>
      <c r="AY3716" s="18" t="s">
        <v>257</v>
      </c>
      <c r="AZ3716" s="10"/>
      <c r="BA3716" s="20" t="b">
        <v>1</v>
      </c>
      <c r="BB3716" s="10"/>
      <c r="BC3716" s="17" t="s">
        <v>257</v>
      </c>
      <c r="BD3716" s="17" t="s">
        <v>257</v>
      </c>
      <c r="BE3716" s="17" t="s">
        <v>257</v>
      </c>
      <c r="BF3716" s="17" t="s">
        <v>257</v>
      </c>
      <c r="BG3716" s="11">
        <f ca="1">IFERROR(__xludf.DUMMYFUNCTION("""COMPUTED_VALUE"""),46035.4861111111)</f>
        <v>46035.486111111102</v>
      </c>
      <c r="BH3716" s="17" t="s">
        <v>105</v>
      </c>
      <c r="BI3716" s="17"/>
      <c r="BJ3716" s="15"/>
      <c r="BK3716" s="15"/>
      <c r="BL3716" s="13" t="b">
        <v>0</v>
      </c>
      <c r="BM3716" s="10"/>
      <c r="BN3716" s="10" t="s">
        <v>18577</v>
      </c>
      <c r="BO3716" s="11">
        <v>46029.698611111111</v>
      </c>
      <c r="BP3716" s="11">
        <v>46029.699016203704</v>
      </c>
      <c r="BQ3716" s="15"/>
      <c r="BR3716" s="15"/>
      <c r="BS3716" s="10"/>
      <c r="BT3716" s="10"/>
      <c r="BU3716" s="10"/>
      <c r="BV3716" s="10"/>
      <c r="BW3716" s="10"/>
      <c r="BX3716" s="10"/>
      <c r="BY3716" s="23"/>
      <c r="BZ3716" s="23"/>
      <c r="CA3716" s="10"/>
      <c r="CB3716" s="23"/>
      <c r="CC3716" s="23"/>
      <c r="CD3716" s="23"/>
      <c r="CE3716" s="23"/>
      <c r="CF3716" s="23"/>
      <c r="CG3716" s="23"/>
      <c r="CH3716" s="23"/>
      <c r="CI3716" s="23"/>
    </row>
    <row r="3717" spans="1:87" x14ac:dyDescent="0.3">
      <c r="A3717" s="9" t="s">
        <v>25593</v>
      </c>
      <c r="B3717" s="10" t="s">
        <v>25573</v>
      </c>
      <c r="C3717" s="11">
        <v>46035.486111111109</v>
      </c>
      <c r="D3717" s="12">
        <v>0.41666666666666669</v>
      </c>
      <c r="E3717" s="11">
        <v>46035.902777777781</v>
      </c>
      <c r="F3717" s="22" t="s">
        <v>25553</v>
      </c>
      <c r="G3717" s="13" t="b">
        <v>0</v>
      </c>
      <c r="H3717" s="22" t="s">
        <v>21384</v>
      </c>
      <c r="I3717" s="10" t="s">
        <v>9131</v>
      </c>
      <c r="J3717" s="13" t="b">
        <v>0</v>
      </c>
      <c r="K3717" s="13" t="b">
        <v>1</v>
      </c>
      <c r="L3717" s="10" t="s">
        <v>124</v>
      </c>
      <c r="M3717" s="10" t="s">
        <v>91</v>
      </c>
      <c r="N3717" s="10" t="s">
        <v>92</v>
      </c>
      <c r="O3717" s="10"/>
      <c r="P3717" s="10"/>
      <c r="Q3717" s="10" t="s">
        <v>94</v>
      </c>
      <c r="R3717" s="10"/>
      <c r="S3717" s="10"/>
      <c r="T3717" s="10"/>
      <c r="U3717" s="10"/>
      <c r="V3717" s="10"/>
      <c r="W3717" s="10" t="s">
        <v>25554</v>
      </c>
      <c r="X3717" s="10" t="s">
        <v>216</v>
      </c>
      <c r="Y3717" s="10" t="s">
        <v>216</v>
      </c>
      <c r="Z3717" s="10" t="s">
        <v>99</v>
      </c>
      <c r="AA3717" s="10" t="s">
        <v>131</v>
      </c>
      <c r="AB3717" s="10" t="s">
        <v>25555</v>
      </c>
      <c r="AC3717" s="10" t="s">
        <v>21389</v>
      </c>
      <c r="AD3717" s="10" t="s">
        <v>165</v>
      </c>
      <c r="AE3717" s="10" t="s">
        <v>25574</v>
      </c>
      <c r="AF3717" s="15"/>
      <c r="AG3717" s="10"/>
      <c r="AH3717" s="10"/>
      <c r="AI3717" s="10"/>
      <c r="AJ3717" s="10"/>
      <c r="AK3717" s="10"/>
      <c r="AL3717" s="10"/>
      <c r="AM3717" s="10"/>
      <c r="AN3717" s="10"/>
      <c r="AO3717" s="13" t="b">
        <v>0</v>
      </c>
      <c r="AP3717" s="22" t="s">
        <v>221</v>
      </c>
      <c r="AQ3717" s="10"/>
      <c r="AR3717" s="17"/>
      <c r="AS3717" s="17"/>
      <c r="AT3717" s="17"/>
      <c r="AU3717" s="17"/>
      <c r="AV3717" s="17"/>
      <c r="AW3717" s="10"/>
      <c r="AX3717" s="17"/>
      <c r="AY3717" s="18" t="s">
        <v>257</v>
      </c>
      <c r="AZ3717" s="10"/>
      <c r="BA3717" s="20" t="b">
        <v>1</v>
      </c>
      <c r="BB3717" s="10"/>
      <c r="BC3717" s="17" t="s">
        <v>257</v>
      </c>
      <c r="BD3717" s="17" t="s">
        <v>257</v>
      </c>
      <c r="BE3717" s="17" t="s">
        <v>257</v>
      </c>
      <c r="BF3717" s="17" t="s">
        <v>257</v>
      </c>
      <c r="BG3717" s="11">
        <f ca="1">IFERROR(__xludf.DUMMYFUNCTION("""COMPUTED_VALUE"""),46035.4861111111)</f>
        <v>46035.486111111102</v>
      </c>
      <c r="BH3717" s="17" t="s">
        <v>105</v>
      </c>
      <c r="BI3717" s="17"/>
      <c r="BJ3717" s="15"/>
      <c r="BK3717" s="15"/>
      <c r="BL3717" s="13" t="b">
        <v>0</v>
      </c>
      <c r="BM3717" s="10"/>
      <c r="BN3717" s="10" t="s">
        <v>18577</v>
      </c>
      <c r="BO3717" s="11">
        <v>46029.7</v>
      </c>
      <c r="BP3717" s="11">
        <v>46029.702094907407</v>
      </c>
      <c r="BQ3717" s="15"/>
      <c r="BR3717" s="15"/>
      <c r="BS3717" s="10"/>
      <c r="BT3717" s="10"/>
      <c r="BU3717" s="10"/>
      <c r="BV3717" s="10"/>
      <c r="BW3717" s="10"/>
      <c r="BX3717" s="10"/>
      <c r="BY3717" s="23"/>
      <c r="BZ3717" s="23"/>
      <c r="CA3717" s="10"/>
      <c r="CB3717" s="23"/>
      <c r="CC3717" s="23"/>
      <c r="CD3717" s="23"/>
      <c r="CE3717" s="23"/>
      <c r="CF3717" s="23"/>
      <c r="CG3717" s="23"/>
      <c r="CH3717" s="23"/>
      <c r="CI3717" s="23"/>
    </row>
    <row r="3718" spans="1:87" x14ac:dyDescent="0.3">
      <c r="A3718" s="9" t="s">
        <v>25594</v>
      </c>
      <c r="B3718" s="10" t="s">
        <v>25576</v>
      </c>
      <c r="C3718" s="11">
        <v>46035.486111111109</v>
      </c>
      <c r="D3718" s="12">
        <v>0.41666666666666669</v>
      </c>
      <c r="E3718" s="11">
        <v>46035.902777777781</v>
      </c>
      <c r="F3718" s="22" t="s">
        <v>25553</v>
      </c>
      <c r="G3718" s="13" t="b">
        <v>0</v>
      </c>
      <c r="H3718" s="22" t="s">
        <v>21384</v>
      </c>
      <c r="I3718" s="10" t="s">
        <v>9131</v>
      </c>
      <c r="J3718" s="13" t="b">
        <v>0</v>
      </c>
      <c r="K3718" s="13" t="b">
        <v>1</v>
      </c>
      <c r="L3718" s="10" t="s">
        <v>124</v>
      </c>
      <c r="M3718" s="10" t="s">
        <v>91</v>
      </c>
      <c r="N3718" s="10" t="s">
        <v>92</v>
      </c>
      <c r="O3718" s="10"/>
      <c r="P3718" s="10"/>
      <c r="Q3718" s="10" t="s">
        <v>94</v>
      </c>
      <c r="R3718" s="10"/>
      <c r="S3718" s="10"/>
      <c r="T3718" s="10"/>
      <c r="U3718" s="10"/>
      <c r="V3718" s="10"/>
      <c r="W3718" s="10" t="s">
        <v>25554</v>
      </c>
      <c r="X3718" s="10" t="s">
        <v>216</v>
      </c>
      <c r="Y3718" s="10" t="s">
        <v>216</v>
      </c>
      <c r="Z3718" s="10" t="s">
        <v>99</v>
      </c>
      <c r="AA3718" s="10" t="s">
        <v>131</v>
      </c>
      <c r="AB3718" s="10" t="s">
        <v>25555</v>
      </c>
      <c r="AC3718" s="10" t="s">
        <v>21389</v>
      </c>
      <c r="AD3718" s="10" t="s">
        <v>165</v>
      </c>
      <c r="AE3718" s="10" t="s">
        <v>25577</v>
      </c>
      <c r="AF3718" s="15"/>
      <c r="AG3718" s="10"/>
      <c r="AH3718" s="10"/>
      <c r="AI3718" s="10"/>
      <c r="AJ3718" s="10"/>
      <c r="AK3718" s="10"/>
      <c r="AL3718" s="10"/>
      <c r="AM3718" s="10"/>
      <c r="AN3718" s="10"/>
      <c r="AO3718" s="13" t="b">
        <v>0</v>
      </c>
      <c r="AP3718" s="22" t="s">
        <v>221</v>
      </c>
      <c r="AQ3718" s="10"/>
      <c r="AR3718" s="17"/>
      <c r="AS3718" s="17"/>
      <c r="AT3718" s="17"/>
      <c r="AU3718" s="17"/>
      <c r="AV3718" s="17"/>
      <c r="AW3718" s="10"/>
      <c r="AX3718" s="17"/>
      <c r="AY3718" s="18" t="s">
        <v>257</v>
      </c>
      <c r="AZ3718" s="10"/>
      <c r="BA3718" s="20" t="b">
        <v>1</v>
      </c>
      <c r="BB3718" s="10"/>
      <c r="BC3718" s="17" t="s">
        <v>257</v>
      </c>
      <c r="BD3718" s="17" t="s">
        <v>257</v>
      </c>
      <c r="BE3718" s="17" t="s">
        <v>257</v>
      </c>
      <c r="BF3718" s="17" t="s">
        <v>257</v>
      </c>
      <c r="BG3718" s="11">
        <f ca="1">IFERROR(__xludf.DUMMYFUNCTION("""COMPUTED_VALUE"""),46035.4861111111)</f>
        <v>46035.486111111102</v>
      </c>
      <c r="BH3718" s="17" t="s">
        <v>105</v>
      </c>
      <c r="BI3718" s="17"/>
      <c r="BJ3718" s="15"/>
      <c r="BK3718" s="15"/>
      <c r="BL3718" s="13" t="b">
        <v>0</v>
      </c>
      <c r="BM3718" s="10"/>
      <c r="BN3718" s="10" t="s">
        <v>18577</v>
      </c>
      <c r="BO3718" s="11">
        <v>46029.700694444444</v>
      </c>
      <c r="BP3718" s="11">
        <v>46029.701377314814</v>
      </c>
      <c r="BQ3718" s="15"/>
      <c r="BR3718" s="15"/>
      <c r="BS3718" s="10"/>
      <c r="BT3718" s="10"/>
      <c r="BU3718" s="10"/>
      <c r="BV3718" s="10"/>
      <c r="BW3718" s="10"/>
      <c r="BX3718" s="10"/>
      <c r="BY3718" s="23"/>
      <c r="BZ3718" s="23"/>
      <c r="CA3718" s="10"/>
      <c r="CB3718" s="23"/>
      <c r="CC3718" s="23"/>
      <c r="CD3718" s="23"/>
      <c r="CE3718" s="23"/>
      <c r="CF3718" s="23"/>
      <c r="CG3718" s="23"/>
      <c r="CH3718" s="23"/>
      <c r="CI3718" s="23"/>
    </row>
    <row r="3719" spans="1:87" x14ac:dyDescent="0.3">
      <c r="A3719" s="9" t="s">
        <v>25595</v>
      </c>
      <c r="B3719" s="10" t="s">
        <v>25588</v>
      </c>
      <c r="C3719" s="11">
        <v>46036.479166666664</v>
      </c>
      <c r="D3719" s="12">
        <v>0.41666666666666669</v>
      </c>
      <c r="E3719" s="11">
        <v>46036.895833333336</v>
      </c>
      <c r="F3719" s="22" t="s">
        <v>25553</v>
      </c>
      <c r="G3719" s="13" t="b">
        <v>0</v>
      </c>
      <c r="H3719" s="22" t="s">
        <v>21384</v>
      </c>
      <c r="I3719" s="10" t="s">
        <v>9131</v>
      </c>
      <c r="J3719" s="13" t="b">
        <v>0</v>
      </c>
      <c r="K3719" s="13" t="b">
        <v>1</v>
      </c>
      <c r="L3719" s="10" t="s">
        <v>124</v>
      </c>
      <c r="M3719" s="10" t="s">
        <v>91</v>
      </c>
      <c r="N3719" s="10" t="s">
        <v>92</v>
      </c>
      <c r="O3719" s="10"/>
      <c r="P3719" s="10"/>
      <c r="Q3719" s="10" t="s">
        <v>126</v>
      </c>
      <c r="R3719" s="10"/>
      <c r="S3719" s="10"/>
      <c r="T3719" s="10"/>
      <c r="U3719" s="10"/>
      <c r="V3719" s="10"/>
      <c r="W3719" s="10" t="s">
        <v>25554</v>
      </c>
      <c r="X3719" s="10" t="s">
        <v>216</v>
      </c>
      <c r="Y3719" s="10" t="s">
        <v>216</v>
      </c>
      <c r="Z3719" s="10" t="s">
        <v>99</v>
      </c>
      <c r="AA3719" s="10" t="s">
        <v>131</v>
      </c>
      <c r="AB3719" s="10" t="s">
        <v>25555</v>
      </c>
      <c r="AC3719" s="10" t="s">
        <v>21389</v>
      </c>
      <c r="AD3719" s="10" t="s">
        <v>165</v>
      </c>
      <c r="AE3719" s="10" t="s">
        <v>25589</v>
      </c>
      <c r="AF3719" s="15"/>
      <c r="AG3719" s="10"/>
      <c r="AH3719" s="10"/>
      <c r="AI3719" s="10"/>
      <c r="AJ3719" s="10"/>
      <c r="AK3719" s="10"/>
      <c r="AL3719" s="10"/>
      <c r="AM3719" s="10"/>
      <c r="AN3719" s="10"/>
      <c r="AO3719" s="13" t="b">
        <v>0</v>
      </c>
      <c r="AP3719" s="22" t="s">
        <v>221</v>
      </c>
      <c r="AQ3719" s="10"/>
      <c r="AR3719" s="17"/>
      <c r="AS3719" s="17"/>
      <c r="AT3719" s="17"/>
      <c r="AU3719" s="17"/>
      <c r="AV3719" s="17"/>
      <c r="AW3719" s="10"/>
      <c r="AX3719" s="17"/>
      <c r="AY3719" s="18" t="s">
        <v>257</v>
      </c>
      <c r="AZ3719" s="10"/>
      <c r="BA3719" s="20" t="b">
        <v>1</v>
      </c>
      <c r="BB3719" s="10"/>
      <c r="BC3719" s="17" t="s">
        <v>257</v>
      </c>
      <c r="BD3719" s="17" t="s">
        <v>257</v>
      </c>
      <c r="BE3719" s="17" t="s">
        <v>257</v>
      </c>
      <c r="BF3719" s="17" t="s">
        <v>257</v>
      </c>
      <c r="BG3719" s="11">
        <f ca="1">IFERROR(__xludf.DUMMYFUNCTION("""COMPUTED_VALUE"""),46036.4791666666)</f>
        <v>46036.479166666599</v>
      </c>
      <c r="BH3719" s="17" t="s">
        <v>105</v>
      </c>
      <c r="BI3719" s="17"/>
      <c r="BJ3719" s="15"/>
      <c r="BK3719" s="15"/>
      <c r="BL3719" s="13" t="b">
        <v>0</v>
      </c>
      <c r="BM3719" s="10"/>
      <c r="BN3719" s="10" t="s">
        <v>18577</v>
      </c>
      <c r="BO3719" s="11">
        <v>46029.70208333333</v>
      </c>
      <c r="BP3719" s="11">
        <v>46029.702650462961</v>
      </c>
      <c r="BQ3719" s="15"/>
      <c r="BR3719" s="15"/>
      <c r="BS3719" s="10"/>
      <c r="BT3719" s="10"/>
      <c r="BU3719" s="10"/>
      <c r="BV3719" s="10"/>
      <c r="BW3719" s="10"/>
      <c r="BX3719" s="10"/>
      <c r="BY3719" s="23"/>
      <c r="BZ3719" s="23"/>
      <c r="CA3719" s="10"/>
      <c r="CB3719" s="23"/>
      <c r="CC3719" s="23"/>
      <c r="CD3719" s="23"/>
      <c r="CE3719" s="23"/>
      <c r="CF3719" s="23"/>
      <c r="CG3719" s="23"/>
      <c r="CH3719" s="23"/>
      <c r="CI3719" s="23"/>
    </row>
    <row r="3720" spans="1:87" x14ac:dyDescent="0.3">
      <c r="A3720" s="9" t="s">
        <v>25596</v>
      </c>
      <c r="B3720" s="10" t="s">
        <v>25591</v>
      </c>
      <c r="C3720" s="11">
        <v>46036.486111111109</v>
      </c>
      <c r="D3720" s="12">
        <v>0.41666666666666669</v>
      </c>
      <c r="E3720" s="11">
        <v>46036.902777777781</v>
      </c>
      <c r="F3720" s="22" t="s">
        <v>25553</v>
      </c>
      <c r="G3720" s="13" t="b">
        <v>0</v>
      </c>
      <c r="H3720" s="22" t="s">
        <v>21384</v>
      </c>
      <c r="I3720" s="10" t="s">
        <v>9131</v>
      </c>
      <c r="J3720" s="13" t="b">
        <v>0</v>
      </c>
      <c r="K3720" s="13" t="b">
        <v>1</v>
      </c>
      <c r="L3720" s="10" t="s">
        <v>124</v>
      </c>
      <c r="M3720" s="10" t="s">
        <v>91</v>
      </c>
      <c r="N3720" s="10" t="s">
        <v>92</v>
      </c>
      <c r="O3720" s="10"/>
      <c r="P3720" s="10"/>
      <c r="Q3720" s="10" t="s">
        <v>94</v>
      </c>
      <c r="R3720" s="10"/>
      <c r="S3720" s="10"/>
      <c r="T3720" s="10"/>
      <c r="U3720" s="10"/>
      <c r="V3720" s="10"/>
      <c r="W3720" s="10" t="s">
        <v>25554</v>
      </c>
      <c r="X3720" s="10" t="s">
        <v>216</v>
      </c>
      <c r="Y3720" s="10" t="s">
        <v>216</v>
      </c>
      <c r="Z3720" s="10" t="s">
        <v>99</v>
      </c>
      <c r="AA3720" s="10" t="s">
        <v>131</v>
      </c>
      <c r="AB3720" s="10" t="s">
        <v>25555</v>
      </c>
      <c r="AC3720" s="10" t="s">
        <v>21389</v>
      </c>
      <c r="AD3720" s="10" t="s">
        <v>165</v>
      </c>
      <c r="AE3720" s="10" t="s">
        <v>25592</v>
      </c>
      <c r="AF3720" s="15"/>
      <c r="AG3720" s="10"/>
      <c r="AH3720" s="10"/>
      <c r="AI3720" s="10"/>
      <c r="AJ3720" s="10"/>
      <c r="AK3720" s="10"/>
      <c r="AL3720" s="10"/>
      <c r="AM3720" s="10"/>
      <c r="AN3720" s="10"/>
      <c r="AO3720" s="13" t="b">
        <v>0</v>
      </c>
      <c r="AP3720" s="22" t="s">
        <v>221</v>
      </c>
      <c r="AQ3720" s="10"/>
      <c r="AR3720" s="17"/>
      <c r="AS3720" s="17"/>
      <c r="AT3720" s="17"/>
      <c r="AU3720" s="17"/>
      <c r="AV3720" s="17"/>
      <c r="AW3720" s="10"/>
      <c r="AX3720" s="17"/>
      <c r="AY3720" s="18" t="s">
        <v>257</v>
      </c>
      <c r="AZ3720" s="10"/>
      <c r="BA3720" s="20" t="b">
        <v>1</v>
      </c>
      <c r="BB3720" s="10"/>
      <c r="BC3720" s="17" t="s">
        <v>257</v>
      </c>
      <c r="BD3720" s="17" t="s">
        <v>257</v>
      </c>
      <c r="BE3720" s="17" t="s">
        <v>257</v>
      </c>
      <c r="BF3720" s="17" t="s">
        <v>257</v>
      </c>
      <c r="BG3720" s="11">
        <f ca="1">IFERROR(__xludf.DUMMYFUNCTION("""COMPUTED_VALUE"""),46036.4861111111)</f>
        <v>46036.486111111102</v>
      </c>
      <c r="BH3720" s="17" t="s">
        <v>105</v>
      </c>
      <c r="BI3720" s="17"/>
      <c r="BJ3720" s="15"/>
      <c r="BK3720" s="15"/>
      <c r="BL3720" s="13" t="b">
        <v>0</v>
      </c>
      <c r="BM3720" s="10"/>
      <c r="BN3720" s="10" t="s">
        <v>18577</v>
      </c>
      <c r="BO3720" s="11">
        <v>46029.702777777777</v>
      </c>
      <c r="BP3720" s="11">
        <v>46029.703067129631</v>
      </c>
      <c r="BQ3720" s="15"/>
      <c r="BR3720" s="15"/>
      <c r="BS3720" s="10"/>
      <c r="BT3720" s="10"/>
      <c r="BU3720" s="10"/>
      <c r="BV3720" s="10"/>
      <c r="BW3720" s="10"/>
      <c r="BX3720" s="10"/>
      <c r="BY3720" s="23"/>
      <c r="BZ3720" s="23"/>
      <c r="CA3720" s="10"/>
      <c r="CB3720" s="23"/>
      <c r="CC3720" s="23"/>
      <c r="CD3720" s="23"/>
      <c r="CE3720" s="23"/>
      <c r="CF3720" s="23"/>
      <c r="CG3720" s="23"/>
      <c r="CH3720" s="23"/>
      <c r="CI3720" s="23"/>
    </row>
    <row r="3721" spans="1:87" x14ac:dyDescent="0.3">
      <c r="A3721" s="9" t="s">
        <v>25597</v>
      </c>
      <c r="B3721" s="10" t="s">
        <v>25598</v>
      </c>
      <c r="C3721" s="11">
        <v>46030.333333333336</v>
      </c>
      <c r="D3721" s="12">
        <v>3.4722222222222224E-2</v>
      </c>
      <c r="E3721" s="11">
        <v>46030.368055555555</v>
      </c>
      <c r="F3721" s="22" t="s">
        <v>24700</v>
      </c>
      <c r="G3721" s="13" t="b">
        <v>0</v>
      </c>
      <c r="H3721" s="22" t="s">
        <v>21384</v>
      </c>
      <c r="I3721" s="10" t="s">
        <v>9131</v>
      </c>
      <c r="J3721" s="13" t="b">
        <v>0</v>
      </c>
      <c r="K3721" s="13" t="b">
        <v>1</v>
      </c>
      <c r="L3721" s="10" t="s">
        <v>124</v>
      </c>
      <c r="M3721" s="10" t="s">
        <v>91</v>
      </c>
      <c r="N3721" s="10" t="s">
        <v>92</v>
      </c>
      <c r="O3721" s="19" t="s">
        <v>25599</v>
      </c>
      <c r="P3721" s="10"/>
      <c r="Q3721" s="10" t="s">
        <v>126</v>
      </c>
      <c r="R3721" s="10"/>
      <c r="S3721" s="19" t="s">
        <v>24702</v>
      </c>
      <c r="T3721" s="10"/>
      <c r="U3721" s="10"/>
      <c r="V3721" s="10"/>
      <c r="W3721" s="10" t="s">
        <v>24703</v>
      </c>
      <c r="X3721" s="10" t="s">
        <v>216</v>
      </c>
      <c r="Y3721" s="10" t="s">
        <v>216</v>
      </c>
      <c r="Z3721" s="10" t="s">
        <v>99</v>
      </c>
      <c r="AA3721" s="10" t="s">
        <v>131</v>
      </c>
      <c r="AB3721" s="10" t="s">
        <v>24704</v>
      </c>
      <c r="AC3721" s="10" t="s">
        <v>21389</v>
      </c>
      <c r="AD3721" s="10" t="s">
        <v>165</v>
      </c>
      <c r="AE3721" s="10" t="s">
        <v>25600</v>
      </c>
      <c r="AF3721" s="15"/>
      <c r="AG3721" s="10"/>
      <c r="AH3721" s="10"/>
      <c r="AI3721" s="10"/>
      <c r="AJ3721" s="10"/>
      <c r="AK3721" s="10" t="s">
        <v>102</v>
      </c>
      <c r="AL3721" s="10"/>
      <c r="AM3721" s="10"/>
      <c r="AN3721" s="10"/>
      <c r="AO3721" s="13" t="b">
        <v>0</v>
      </c>
      <c r="AP3721" s="22" t="s">
        <v>135</v>
      </c>
      <c r="AQ3721" s="10">
        <f ca="1">IFERROR(__xludf.DUMMYFUNCTION("""COMPUTED_VALUE"""),4832325)</f>
        <v>4832325</v>
      </c>
      <c r="AR3721" s="17">
        <v>5707</v>
      </c>
      <c r="AS3721" s="17">
        <v>4179</v>
      </c>
      <c r="AT3721" s="17">
        <v>153407.5</v>
      </c>
      <c r="AU3721" s="17">
        <v>23.95</v>
      </c>
      <c r="AV3721" s="17">
        <v>11.25</v>
      </c>
      <c r="AW3721" s="10" t="s">
        <v>105</v>
      </c>
      <c r="AX3721" s="17">
        <v>2271</v>
      </c>
      <c r="AY3721" s="18">
        <v>36.709140942809285</v>
      </c>
      <c r="AZ3721" s="10"/>
      <c r="BA3721" s="20" t="b">
        <v>0</v>
      </c>
      <c r="BB3721" s="10" t="s">
        <v>24698</v>
      </c>
      <c r="BC3721" s="17">
        <v>5707</v>
      </c>
      <c r="BD3721" s="17">
        <v>4179</v>
      </c>
      <c r="BE3721" s="17">
        <v>153407.5</v>
      </c>
      <c r="BF3721" s="17">
        <v>11.25</v>
      </c>
      <c r="BG3721" s="11">
        <f ca="1">IFERROR(__xludf.DUMMYFUNCTION("""COMPUTED_VALUE"""),46030.3333333333)</f>
        <v>46030.333333333299</v>
      </c>
      <c r="BH3721" s="17" t="s">
        <v>105</v>
      </c>
      <c r="BI3721" s="17"/>
      <c r="BJ3721" s="15"/>
      <c r="BK3721" s="15"/>
      <c r="BL3721" s="13" t="b">
        <v>0</v>
      </c>
      <c r="BM3721" s="10"/>
      <c r="BN3721" s="10" t="s">
        <v>197</v>
      </c>
      <c r="BO3721" s="11">
        <v>46029.8125</v>
      </c>
      <c r="BP3721" s="11">
        <v>46029.812881944446</v>
      </c>
      <c r="BQ3721" s="15"/>
      <c r="BR3721" s="15">
        <v>46029.913229166668</v>
      </c>
      <c r="BS3721" s="10" t="s">
        <v>197</v>
      </c>
      <c r="BT3721" s="10"/>
      <c r="BU3721" s="10"/>
      <c r="BV3721" s="10"/>
      <c r="BW3721" s="10"/>
      <c r="BX3721" s="10"/>
      <c r="BY3721" s="23"/>
      <c r="BZ3721" s="23"/>
      <c r="CA3721" s="19" t="s">
        <v>24706</v>
      </c>
      <c r="CB3721" s="23"/>
      <c r="CC3721" s="23"/>
      <c r="CD3721" s="19" t="s">
        <v>24707</v>
      </c>
      <c r="CE3721" s="23"/>
      <c r="CF3721" s="23"/>
      <c r="CG3721" s="23"/>
      <c r="CH3721" s="23"/>
      <c r="CI3721" s="23"/>
    </row>
    <row r="3722" spans="1:87" x14ac:dyDescent="0.3">
      <c r="A3722" s="9" t="s">
        <v>25601</v>
      </c>
      <c r="B3722" s="10" t="s">
        <v>25602</v>
      </c>
      <c r="C3722" s="11">
        <v>46030.368055555555</v>
      </c>
      <c r="D3722" s="12">
        <v>3.4722222222222224E-2</v>
      </c>
      <c r="E3722" s="11">
        <v>46030.402777777781</v>
      </c>
      <c r="F3722" s="22" t="s">
        <v>24700</v>
      </c>
      <c r="G3722" s="13" t="b">
        <v>0</v>
      </c>
      <c r="H3722" s="22" t="s">
        <v>21384</v>
      </c>
      <c r="I3722" s="10" t="s">
        <v>9131</v>
      </c>
      <c r="J3722" s="13" t="b">
        <v>0</v>
      </c>
      <c r="K3722" s="13" t="b">
        <v>1</v>
      </c>
      <c r="L3722" s="10" t="s">
        <v>124</v>
      </c>
      <c r="M3722" s="10" t="s">
        <v>91</v>
      </c>
      <c r="N3722" s="10" t="s">
        <v>92</v>
      </c>
      <c r="O3722" s="19" t="s">
        <v>25603</v>
      </c>
      <c r="P3722" s="10"/>
      <c r="Q3722" s="10" t="s">
        <v>126</v>
      </c>
      <c r="R3722" s="10"/>
      <c r="S3722" s="19" t="s">
        <v>24702</v>
      </c>
      <c r="T3722" s="10"/>
      <c r="U3722" s="10"/>
      <c r="V3722" s="10"/>
      <c r="W3722" s="10" t="s">
        <v>24703</v>
      </c>
      <c r="X3722" s="10" t="s">
        <v>216</v>
      </c>
      <c r="Y3722" s="10" t="s">
        <v>216</v>
      </c>
      <c r="Z3722" s="10" t="s">
        <v>99</v>
      </c>
      <c r="AA3722" s="10" t="s">
        <v>131</v>
      </c>
      <c r="AB3722" s="10" t="s">
        <v>24704</v>
      </c>
      <c r="AC3722" s="10" t="s">
        <v>21389</v>
      </c>
      <c r="AD3722" s="10" t="s">
        <v>165</v>
      </c>
      <c r="AE3722" s="10" t="s">
        <v>25604</v>
      </c>
      <c r="AF3722" s="15"/>
      <c r="AG3722" s="10"/>
      <c r="AH3722" s="10"/>
      <c r="AI3722" s="10"/>
      <c r="AJ3722" s="10"/>
      <c r="AK3722" s="10" t="s">
        <v>102</v>
      </c>
      <c r="AL3722" s="10"/>
      <c r="AM3722" s="10"/>
      <c r="AN3722" s="10"/>
      <c r="AO3722" s="13" t="b">
        <v>0</v>
      </c>
      <c r="AP3722" s="22" t="s">
        <v>104</v>
      </c>
      <c r="AQ3722" s="10">
        <f ca="1">IFERROR(__xludf.DUMMYFUNCTION("""COMPUTED_VALUE"""),4832326)</f>
        <v>4832326</v>
      </c>
      <c r="AR3722" s="17">
        <v>11020</v>
      </c>
      <c r="AS3722" s="17">
        <v>6546</v>
      </c>
      <c r="AT3722" s="17">
        <v>221315.5</v>
      </c>
      <c r="AU3722" s="17">
        <v>36.299999999999997</v>
      </c>
      <c r="AV3722" s="17">
        <v>16.7</v>
      </c>
      <c r="AW3722" s="10" t="s">
        <v>105</v>
      </c>
      <c r="AX3722" s="17">
        <v>3610</v>
      </c>
      <c r="AY3722" s="18">
        <v>33.809272838374582</v>
      </c>
      <c r="AZ3722" s="10"/>
      <c r="BA3722" s="20" t="b">
        <v>0</v>
      </c>
      <c r="BB3722" s="10" t="s">
        <v>24698</v>
      </c>
      <c r="BC3722" s="17">
        <v>11020</v>
      </c>
      <c r="BD3722" s="17">
        <v>6546</v>
      </c>
      <c r="BE3722" s="17">
        <v>221315.5</v>
      </c>
      <c r="BF3722" s="17">
        <v>16.7</v>
      </c>
      <c r="BG3722" s="11">
        <f ca="1">IFERROR(__xludf.DUMMYFUNCTION("""COMPUTED_VALUE"""),46030.3680555555)</f>
        <v>46030.368055555497</v>
      </c>
      <c r="BH3722" s="17" t="s">
        <v>105</v>
      </c>
      <c r="BI3722" s="17"/>
      <c r="BJ3722" s="15"/>
      <c r="BK3722" s="15"/>
      <c r="BL3722" s="13" t="b">
        <v>0</v>
      </c>
      <c r="BM3722" s="10"/>
      <c r="BN3722" s="10" t="s">
        <v>197</v>
      </c>
      <c r="BO3722" s="11">
        <v>46029.8125</v>
      </c>
      <c r="BP3722" s="11">
        <v>46029.813159722224</v>
      </c>
      <c r="BQ3722" s="15"/>
      <c r="BR3722" s="15">
        <v>46029.91333333333</v>
      </c>
      <c r="BS3722" s="10" t="s">
        <v>197</v>
      </c>
      <c r="BT3722" s="10"/>
      <c r="BU3722" s="10"/>
      <c r="BV3722" s="10"/>
      <c r="BW3722" s="10"/>
      <c r="BX3722" s="10"/>
      <c r="BY3722" s="23"/>
      <c r="BZ3722" s="23"/>
      <c r="CA3722" s="19" t="s">
        <v>24706</v>
      </c>
      <c r="CB3722" s="23"/>
      <c r="CC3722" s="23"/>
      <c r="CD3722" s="19" t="s">
        <v>24707</v>
      </c>
      <c r="CE3722" s="23"/>
      <c r="CF3722" s="23"/>
      <c r="CG3722" s="23"/>
      <c r="CH3722" s="23"/>
      <c r="CI3722" s="23"/>
    </row>
    <row r="3723" spans="1:87" x14ac:dyDescent="0.3">
      <c r="A3723" s="9" t="s">
        <v>25605</v>
      </c>
      <c r="B3723" s="10" t="s">
        <v>25606</v>
      </c>
      <c r="C3723" s="11">
        <v>46030.402777777781</v>
      </c>
      <c r="D3723" s="12">
        <v>3.4722222222222224E-2</v>
      </c>
      <c r="E3723" s="11">
        <v>46030.4375</v>
      </c>
      <c r="F3723" s="22" t="s">
        <v>24700</v>
      </c>
      <c r="G3723" s="13" t="b">
        <v>0</v>
      </c>
      <c r="H3723" s="22" t="s">
        <v>21384</v>
      </c>
      <c r="I3723" s="10" t="s">
        <v>9131</v>
      </c>
      <c r="J3723" s="13" t="b">
        <v>0</v>
      </c>
      <c r="K3723" s="13" t="b">
        <v>1</v>
      </c>
      <c r="L3723" s="10" t="s">
        <v>124</v>
      </c>
      <c r="M3723" s="10" t="s">
        <v>91</v>
      </c>
      <c r="N3723" s="10" t="s">
        <v>92</v>
      </c>
      <c r="O3723" s="19" t="s">
        <v>25607</v>
      </c>
      <c r="P3723" s="10"/>
      <c r="Q3723" s="10" t="s">
        <v>126</v>
      </c>
      <c r="R3723" s="10"/>
      <c r="S3723" s="19" t="s">
        <v>24702</v>
      </c>
      <c r="T3723" s="10"/>
      <c r="U3723" s="10"/>
      <c r="V3723" s="10"/>
      <c r="W3723" s="10" t="s">
        <v>24703</v>
      </c>
      <c r="X3723" s="10" t="s">
        <v>216</v>
      </c>
      <c r="Y3723" s="10" t="s">
        <v>216</v>
      </c>
      <c r="Z3723" s="10" t="s">
        <v>99</v>
      </c>
      <c r="AA3723" s="10" t="s">
        <v>131</v>
      </c>
      <c r="AB3723" s="10" t="s">
        <v>24704</v>
      </c>
      <c r="AC3723" s="10" t="s">
        <v>21389</v>
      </c>
      <c r="AD3723" s="10" t="s">
        <v>165</v>
      </c>
      <c r="AE3723" s="10" t="s">
        <v>25608</v>
      </c>
      <c r="AF3723" s="15"/>
      <c r="AG3723" s="10"/>
      <c r="AH3723" s="10"/>
      <c r="AI3723" s="10"/>
      <c r="AJ3723" s="10"/>
      <c r="AK3723" s="10" t="s">
        <v>102</v>
      </c>
      <c r="AL3723" s="10"/>
      <c r="AM3723" s="10"/>
      <c r="AN3723" s="10"/>
      <c r="AO3723" s="13" t="b">
        <v>0</v>
      </c>
      <c r="AP3723" s="22" t="s">
        <v>104</v>
      </c>
      <c r="AQ3723" s="10">
        <f ca="1">IFERROR(__xludf.DUMMYFUNCTION("""COMPUTED_VALUE"""),4832327)</f>
        <v>4832327</v>
      </c>
      <c r="AR3723" s="17">
        <v>8097</v>
      </c>
      <c r="AS3723" s="17">
        <v>5279</v>
      </c>
      <c r="AT3723" s="17">
        <v>113268</v>
      </c>
      <c r="AU3723" s="17">
        <v>17.7</v>
      </c>
      <c r="AV3723" s="17">
        <v>6.4</v>
      </c>
      <c r="AW3723" s="10" t="s">
        <v>105</v>
      </c>
      <c r="AX3723" s="17">
        <v>3502</v>
      </c>
      <c r="AY3723" s="18">
        <v>21.456336427353666</v>
      </c>
      <c r="AZ3723" s="10"/>
      <c r="BA3723" s="20" t="b">
        <v>0</v>
      </c>
      <c r="BB3723" s="10" t="s">
        <v>24698</v>
      </c>
      <c r="BC3723" s="17">
        <v>8097</v>
      </c>
      <c r="BD3723" s="17">
        <v>5279</v>
      </c>
      <c r="BE3723" s="17">
        <v>113268</v>
      </c>
      <c r="BF3723" s="17">
        <v>6.4</v>
      </c>
      <c r="BG3723" s="11">
        <f ca="1">IFERROR(__xludf.DUMMYFUNCTION("""COMPUTED_VALUE"""),46030.4027777777)</f>
        <v>46030.402777777701</v>
      </c>
      <c r="BH3723" s="17" t="s">
        <v>105</v>
      </c>
      <c r="BI3723" s="17"/>
      <c r="BJ3723" s="15"/>
      <c r="BK3723" s="15"/>
      <c r="BL3723" s="13" t="b">
        <v>0</v>
      </c>
      <c r="BM3723" s="10"/>
      <c r="BN3723" s="10" t="s">
        <v>197</v>
      </c>
      <c r="BO3723" s="11">
        <v>46029.813194444447</v>
      </c>
      <c r="BP3723" s="11">
        <v>46029.813287037039</v>
      </c>
      <c r="BQ3723" s="15"/>
      <c r="BR3723" s="15">
        <v>46029.913437499999</v>
      </c>
      <c r="BS3723" s="10" t="s">
        <v>197</v>
      </c>
      <c r="BT3723" s="10"/>
      <c r="BU3723" s="10"/>
      <c r="BV3723" s="10"/>
      <c r="BW3723" s="10"/>
      <c r="BX3723" s="10"/>
      <c r="BY3723" s="23"/>
      <c r="BZ3723" s="23"/>
      <c r="CA3723" s="19" t="s">
        <v>24706</v>
      </c>
      <c r="CB3723" s="23"/>
      <c r="CC3723" s="23"/>
      <c r="CD3723" s="19" t="s">
        <v>24707</v>
      </c>
      <c r="CE3723" s="23"/>
      <c r="CF3723" s="23"/>
      <c r="CG3723" s="23"/>
      <c r="CH3723" s="23"/>
      <c r="CI3723" s="23"/>
    </row>
    <row r="3724" spans="1:87" x14ac:dyDescent="0.3">
      <c r="A3724" s="9" t="s">
        <v>25609</v>
      </c>
      <c r="B3724" s="10" t="s">
        <v>25610</v>
      </c>
      <c r="C3724" s="11">
        <v>46030.4375</v>
      </c>
      <c r="D3724" s="12">
        <v>3.4722222222222224E-2</v>
      </c>
      <c r="E3724" s="11">
        <v>46030.472222222219</v>
      </c>
      <c r="F3724" s="22" t="s">
        <v>24700</v>
      </c>
      <c r="G3724" s="13" t="b">
        <v>0</v>
      </c>
      <c r="H3724" s="22" t="s">
        <v>21384</v>
      </c>
      <c r="I3724" s="10" t="s">
        <v>9131</v>
      </c>
      <c r="J3724" s="13" t="b">
        <v>0</v>
      </c>
      <c r="K3724" s="13" t="b">
        <v>1</v>
      </c>
      <c r="L3724" s="10" t="s">
        <v>358</v>
      </c>
      <c r="M3724" s="10" t="s">
        <v>91</v>
      </c>
      <c r="N3724" s="10" t="s">
        <v>92</v>
      </c>
      <c r="O3724" s="19" t="s">
        <v>25611</v>
      </c>
      <c r="P3724" s="10"/>
      <c r="Q3724" s="10" t="s">
        <v>126</v>
      </c>
      <c r="R3724" s="10"/>
      <c r="S3724" s="19" t="s">
        <v>24702</v>
      </c>
      <c r="T3724" s="10"/>
      <c r="U3724" s="10"/>
      <c r="V3724" s="10"/>
      <c r="W3724" s="10" t="s">
        <v>24703</v>
      </c>
      <c r="X3724" s="10" t="s">
        <v>216</v>
      </c>
      <c r="Y3724" s="10" t="s">
        <v>216</v>
      </c>
      <c r="Z3724" s="10" t="s">
        <v>99</v>
      </c>
      <c r="AA3724" s="10" t="s">
        <v>131</v>
      </c>
      <c r="AB3724" s="10" t="s">
        <v>24704</v>
      </c>
      <c r="AC3724" s="10" t="s">
        <v>21389</v>
      </c>
      <c r="AD3724" s="10" t="s">
        <v>165</v>
      </c>
      <c r="AE3724" s="10" t="s">
        <v>25612</v>
      </c>
      <c r="AF3724" s="15"/>
      <c r="AG3724" s="10"/>
      <c r="AH3724" s="10"/>
      <c r="AI3724" s="10"/>
      <c r="AJ3724" s="10"/>
      <c r="AK3724" s="10" t="s">
        <v>102</v>
      </c>
      <c r="AL3724" s="10"/>
      <c r="AM3724" s="10"/>
      <c r="AN3724" s="10"/>
      <c r="AO3724" s="13" t="b">
        <v>0</v>
      </c>
      <c r="AP3724" s="22" t="s">
        <v>221</v>
      </c>
      <c r="AQ3724" s="10">
        <f ca="1">IFERROR(__xludf.DUMMYFUNCTION("""COMPUTED_VALUE"""),4832328)</f>
        <v>4832328</v>
      </c>
      <c r="AR3724" s="17">
        <v>12465</v>
      </c>
      <c r="AS3724" s="17">
        <v>6945</v>
      </c>
      <c r="AT3724" s="17">
        <v>130448.25</v>
      </c>
      <c r="AU3724" s="17">
        <v>22.15</v>
      </c>
      <c r="AV3724" s="17">
        <v>8.8000000000000007</v>
      </c>
      <c r="AW3724" s="10" t="s">
        <v>105</v>
      </c>
      <c r="AX3724" s="17">
        <v>3302</v>
      </c>
      <c r="AY3724" s="18">
        <v>18.783045356371492</v>
      </c>
      <c r="AZ3724" s="10"/>
      <c r="BA3724" s="20" t="b">
        <v>0</v>
      </c>
      <c r="BB3724" s="10" t="s">
        <v>24698</v>
      </c>
      <c r="BC3724" s="17">
        <v>12465</v>
      </c>
      <c r="BD3724" s="17">
        <v>6945</v>
      </c>
      <c r="BE3724" s="17">
        <v>130448.25</v>
      </c>
      <c r="BF3724" s="17">
        <v>8.8000000000000007</v>
      </c>
      <c r="BG3724" s="11">
        <f ca="1">IFERROR(__xludf.DUMMYFUNCTION("""COMPUTED_VALUE"""),46030.4375)</f>
        <v>46030.4375</v>
      </c>
      <c r="BH3724" s="17" t="s">
        <v>105</v>
      </c>
      <c r="BI3724" s="17"/>
      <c r="BJ3724" s="15"/>
      <c r="BK3724" s="15"/>
      <c r="BL3724" s="13" t="b">
        <v>0</v>
      </c>
      <c r="BM3724" s="10"/>
      <c r="BN3724" s="10" t="s">
        <v>197</v>
      </c>
      <c r="BO3724" s="11">
        <v>46029.813194444447</v>
      </c>
      <c r="BP3724" s="11">
        <v>46029.813472222224</v>
      </c>
      <c r="BQ3724" s="15"/>
      <c r="BR3724" s="15">
        <v>46029.913530092592</v>
      </c>
      <c r="BS3724" s="10" t="s">
        <v>197</v>
      </c>
      <c r="BT3724" s="10"/>
      <c r="BU3724" s="10"/>
      <c r="BV3724" s="10"/>
      <c r="BW3724" s="10"/>
      <c r="BX3724" s="10"/>
      <c r="BY3724" s="23"/>
      <c r="BZ3724" s="23"/>
      <c r="CA3724" s="19" t="s">
        <v>24706</v>
      </c>
      <c r="CB3724" s="23"/>
      <c r="CC3724" s="23"/>
      <c r="CD3724" s="19" t="s">
        <v>24707</v>
      </c>
      <c r="CE3724" s="23"/>
      <c r="CF3724" s="23"/>
      <c r="CG3724" s="23"/>
      <c r="CH3724" s="23"/>
      <c r="CI3724" s="23"/>
    </row>
    <row r="3725" spans="1:87" x14ac:dyDescent="0.3">
      <c r="A3725" s="9" t="s">
        <v>25613</v>
      </c>
      <c r="B3725" s="10" t="s">
        <v>25614</v>
      </c>
      <c r="C3725" s="11">
        <v>46030.472222222219</v>
      </c>
      <c r="D3725" s="12">
        <v>3.4722222222222224E-2</v>
      </c>
      <c r="E3725" s="11">
        <v>46030.506944444445</v>
      </c>
      <c r="F3725" s="22" t="s">
        <v>24700</v>
      </c>
      <c r="G3725" s="13" t="b">
        <v>0</v>
      </c>
      <c r="H3725" s="22" t="s">
        <v>21384</v>
      </c>
      <c r="I3725" s="10" t="s">
        <v>9131</v>
      </c>
      <c r="J3725" s="13" t="b">
        <v>0</v>
      </c>
      <c r="K3725" s="13" t="b">
        <v>1</v>
      </c>
      <c r="L3725" s="10" t="s">
        <v>358</v>
      </c>
      <c r="M3725" s="10" t="s">
        <v>91</v>
      </c>
      <c r="N3725" s="10" t="s">
        <v>92</v>
      </c>
      <c r="O3725" s="19" t="s">
        <v>25615</v>
      </c>
      <c r="P3725" s="10"/>
      <c r="Q3725" s="10" t="s">
        <v>126</v>
      </c>
      <c r="R3725" s="10"/>
      <c r="S3725" s="19" t="s">
        <v>24702</v>
      </c>
      <c r="T3725" s="10"/>
      <c r="U3725" s="10"/>
      <c r="V3725" s="10"/>
      <c r="W3725" s="10" t="s">
        <v>24703</v>
      </c>
      <c r="X3725" s="10" t="s">
        <v>216</v>
      </c>
      <c r="Y3725" s="10" t="s">
        <v>216</v>
      </c>
      <c r="Z3725" s="10" t="s">
        <v>99</v>
      </c>
      <c r="AA3725" s="10" t="s">
        <v>131</v>
      </c>
      <c r="AB3725" s="10" t="s">
        <v>24704</v>
      </c>
      <c r="AC3725" s="10" t="s">
        <v>21389</v>
      </c>
      <c r="AD3725" s="10" t="s">
        <v>165</v>
      </c>
      <c r="AE3725" s="10" t="s">
        <v>25616</v>
      </c>
      <c r="AF3725" s="15"/>
      <c r="AG3725" s="10"/>
      <c r="AH3725" s="10"/>
      <c r="AI3725" s="10"/>
      <c r="AJ3725" s="10"/>
      <c r="AK3725" s="10" t="s">
        <v>102</v>
      </c>
      <c r="AL3725" s="10"/>
      <c r="AM3725" s="10"/>
      <c r="AN3725" s="10"/>
      <c r="AO3725" s="13" t="b">
        <v>0</v>
      </c>
      <c r="AP3725" s="22" t="s">
        <v>135</v>
      </c>
      <c r="AQ3725" s="10">
        <f ca="1">IFERROR(__xludf.DUMMYFUNCTION("""COMPUTED_VALUE"""),4832329)</f>
        <v>4832329</v>
      </c>
      <c r="AR3725" s="17">
        <v>31396</v>
      </c>
      <c r="AS3725" s="17">
        <v>15676</v>
      </c>
      <c r="AT3725" s="17">
        <v>455319</v>
      </c>
      <c r="AU3725" s="17">
        <v>134.80000000000001</v>
      </c>
      <c r="AV3725" s="17">
        <v>43.75</v>
      </c>
      <c r="AW3725" s="10" t="s">
        <v>105</v>
      </c>
      <c r="AX3725" s="17">
        <v>11386</v>
      </c>
      <c r="AY3725" s="18">
        <v>29.045611125287063</v>
      </c>
      <c r="AZ3725" s="10"/>
      <c r="BA3725" s="20" t="b">
        <v>0</v>
      </c>
      <c r="BB3725" s="10" t="s">
        <v>24698</v>
      </c>
      <c r="BC3725" s="17">
        <v>31396</v>
      </c>
      <c r="BD3725" s="17">
        <v>15676</v>
      </c>
      <c r="BE3725" s="17">
        <v>455319</v>
      </c>
      <c r="BF3725" s="17">
        <v>43.75</v>
      </c>
      <c r="BG3725" s="11">
        <f ca="1">IFERROR(__xludf.DUMMYFUNCTION("""COMPUTED_VALUE"""),46030.4722222222)</f>
        <v>46030.472222222197</v>
      </c>
      <c r="BH3725" s="17" t="s">
        <v>105</v>
      </c>
      <c r="BI3725" s="17"/>
      <c r="BJ3725" s="15"/>
      <c r="BK3725" s="15"/>
      <c r="BL3725" s="13" t="b">
        <v>0</v>
      </c>
      <c r="BM3725" s="10"/>
      <c r="BN3725" s="10" t="s">
        <v>197</v>
      </c>
      <c r="BO3725" s="11">
        <v>46029.813194444447</v>
      </c>
      <c r="BP3725" s="11">
        <v>46029.813692129632</v>
      </c>
      <c r="BQ3725" s="15"/>
      <c r="BR3725" s="15">
        <v>46029.913634259261</v>
      </c>
      <c r="BS3725" s="10" t="s">
        <v>197</v>
      </c>
      <c r="BT3725" s="10" t="s">
        <v>99</v>
      </c>
      <c r="BU3725" s="10"/>
      <c r="BV3725" s="10"/>
      <c r="BW3725" s="10"/>
      <c r="BX3725" s="10"/>
      <c r="BY3725" s="23"/>
      <c r="BZ3725" s="23"/>
      <c r="CA3725" s="19" t="s">
        <v>24706</v>
      </c>
      <c r="CB3725" s="23"/>
      <c r="CC3725" s="23"/>
      <c r="CD3725" s="19" t="s">
        <v>24707</v>
      </c>
      <c r="CE3725" s="23"/>
      <c r="CF3725" s="23"/>
      <c r="CG3725" s="23"/>
      <c r="CH3725" s="23"/>
      <c r="CI3725" s="23"/>
    </row>
    <row r="3726" spans="1:87" x14ac:dyDescent="0.3">
      <c r="A3726" s="9" t="s">
        <v>25617</v>
      </c>
      <c r="B3726" s="10" t="s">
        <v>25618</v>
      </c>
      <c r="C3726" s="11">
        <v>46030.506944444445</v>
      </c>
      <c r="D3726" s="12">
        <v>3.4722222222222224E-2</v>
      </c>
      <c r="E3726" s="11">
        <v>46030.541666666664</v>
      </c>
      <c r="F3726" s="22" t="s">
        <v>24700</v>
      </c>
      <c r="G3726" s="13" t="b">
        <v>0</v>
      </c>
      <c r="H3726" s="22" t="s">
        <v>21384</v>
      </c>
      <c r="I3726" s="10" t="s">
        <v>9131</v>
      </c>
      <c r="J3726" s="13" t="b">
        <v>0</v>
      </c>
      <c r="K3726" s="13" t="b">
        <v>1</v>
      </c>
      <c r="L3726" s="10" t="s">
        <v>124</v>
      </c>
      <c r="M3726" s="10" t="s">
        <v>91</v>
      </c>
      <c r="N3726" s="10" t="s">
        <v>92</v>
      </c>
      <c r="O3726" s="19" t="s">
        <v>25619</v>
      </c>
      <c r="P3726" s="10"/>
      <c r="Q3726" s="10" t="s">
        <v>126</v>
      </c>
      <c r="R3726" s="10"/>
      <c r="S3726" s="19" t="s">
        <v>24702</v>
      </c>
      <c r="T3726" s="10"/>
      <c r="U3726" s="10"/>
      <c r="V3726" s="10"/>
      <c r="W3726" s="10" t="s">
        <v>24703</v>
      </c>
      <c r="X3726" s="10" t="s">
        <v>216</v>
      </c>
      <c r="Y3726" s="10" t="s">
        <v>216</v>
      </c>
      <c r="Z3726" s="10" t="s">
        <v>99</v>
      </c>
      <c r="AA3726" s="10" t="s">
        <v>131</v>
      </c>
      <c r="AB3726" s="10" t="s">
        <v>24704</v>
      </c>
      <c r="AC3726" s="10" t="s">
        <v>21389</v>
      </c>
      <c r="AD3726" s="10" t="s">
        <v>165</v>
      </c>
      <c r="AE3726" s="10" t="s">
        <v>25620</v>
      </c>
      <c r="AF3726" s="15"/>
      <c r="AG3726" s="10"/>
      <c r="AH3726" s="10"/>
      <c r="AI3726" s="10"/>
      <c r="AJ3726" s="10"/>
      <c r="AK3726" s="10" t="s">
        <v>102</v>
      </c>
      <c r="AL3726" s="10"/>
      <c r="AM3726" s="10"/>
      <c r="AN3726" s="10"/>
      <c r="AO3726" s="13" t="b">
        <v>0</v>
      </c>
      <c r="AP3726" s="22" t="s">
        <v>135</v>
      </c>
      <c r="AQ3726" s="10">
        <f ca="1">IFERROR(__xludf.DUMMYFUNCTION("""COMPUTED_VALUE"""),4832330)</f>
        <v>4832330</v>
      </c>
      <c r="AR3726" s="17">
        <v>9357</v>
      </c>
      <c r="AS3726" s="17">
        <v>6419</v>
      </c>
      <c r="AT3726" s="17">
        <v>92748.75</v>
      </c>
      <c r="AU3726" s="17">
        <v>18.75</v>
      </c>
      <c r="AV3726" s="17">
        <v>4.5999999999999996</v>
      </c>
      <c r="AW3726" s="10" t="s">
        <v>105</v>
      </c>
      <c r="AX3726" s="17">
        <v>11597</v>
      </c>
      <c r="AY3726" s="18">
        <v>14.449096432466117</v>
      </c>
      <c r="AZ3726" s="10"/>
      <c r="BA3726" s="20" t="b">
        <v>0</v>
      </c>
      <c r="BB3726" s="10" t="s">
        <v>24698</v>
      </c>
      <c r="BC3726" s="17">
        <v>9357</v>
      </c>
      <c r="BD3726" s="17">
        <v>6419</v>
      </c>
      <c r="BE3726" s="17">
        <v>92748.75</v>
      </c>
      <c r="BF3726" s="17">
        <v>4.5999999999999996</v>
      </c>
      <c r="BG3726" s="11">
        <f ca="1">IFERROR(__xludf.DUMMYFUNCTION("""COMPUTED_VALUE"""),46030.5069444444)</f>
        <v>46030.506944444402</v>
      </c>
      <c r="BH3726" s="17" t="s">
        <v>105</v>
      </c>
      <c r="BI3726" s="17"/>
      <c r="BJ3726" s="15"/>
      <c r="BK3726" s="15"/>
      <c r="BL3726" s="13" t="b">
        <v>0</v>
      </c>
      <c r="BM3726" s="10"/>
      <c r="BN3726" s="10" t="s">
        <v>197</v>
      </c>
      <c r="BO3726" s="11">
        <v>46029.813194444447</v>
      </c>
      <c r="BP3726" s="11">
        <v>46029.81386574074</v>
      </c>
      <c r="BQ3726" s="15"/>
      <c r="BR3726" s="15">
        <v>46029.913726851853</v>
      </c>
      <c r="BS3726" s="10" t="s">
        <v>197</v>
      </c>
      <c r="BT3726" s="10"/>
      <c r="BU3726" s="10"/>
      <c r="BV3726" s="10"/>
      <c r="BW3726" s="10"/>
      <c r="BX3726" s="10"/>
      <c r="BY3726" s="23"/>
      <c r="BZ3726" s="23"/>
      <c r="CA3726" s="19" t="s">
        <v>24706</v>
      </c>
      <c r="CB3726" s="23"/>
      <c r="CC3726" s="23"/>
      <c r="CD3726" s="19" t="s">
        <v>24707</v>
      </c>
      <c r="CE3726" s="23"/>
      <c r="CF3726" s="23"/>
      <c r="CG3726" s="23"/>
      <c r="CH3726" s="23"/>
      <c r="CI3726" s="23"/>
    </row>
    <row r="3727" spans="1:87" x14ac:dyDescent="0.3">
      <c r="A3727" s="9" t="s">
        <v>25621</v>
      </c>
      <c r="B3727" s="10" t="s">
        <v>25622</v>
      </c>
      <c r="C3727" s="11">
        <v>46030.541666666664</v>
      </c>
      <c r="D3727" s="12">
        <v>3.4722222222222224E-2</v>
      </c>
      <c r="E3727" s="11">
        <v>46030.576388888891</v>
      </c>
      <c r="F3727" s="22" t="s">
        <v>24700</v>
      </c>
      <c r="G3727" s="13" t="b">
        <v>0</v>
      </c>
      <c r="H3727" s="22" t="s">
        <v>21384</v>
      </c>
      <c r="I3727" s="10" t="s">
        <v>9131</v>
      </c>
      <c r="J3727" s="13" t="b">
        <v>0</v>
      </c>
      <c r="K3727" s="13" t="b">
        <v>1</v>
      </c>
      <c r="L3727" s="10" t="s">
        <v>124</v>
      </c>
      <c r="M3727" s="10" t="s">
        <v>91</v>
      </c>
      <c r="N3727" s="10" t="s">
        <v>92</v>
      </c>
      <c r="O3727" s="19" t="s">
        <v>25623</v>
      </c>
      <c r="P3727" s="10"/>
      <c r="Q3727" s="10" t="s">
        <v>126</v>
      </c>
      <c r="R3727" s="10"/>
      <c r="S3727" s="19" t="s">
        <v>24702</v>
      </c>
      <c r="T3727" s="10"/>
      <c r="U3727" s="10"/>
      <c r="V3727" s="10"/>
      <c r="W3727" s="10" t="s">
        <v>24703</v>
      </c>
      <c r="X3727" s="10" t="s">
        <v>216</v>
      </c>
      <c r="Y3727" s="10" t="s">
        <v>216</v>
      </c>
      <c r="Z3727" s="10" t="s">
        <v>99</v>
      </c>
      <c r="AA3727" s="10" t="s">
        <v>131</v>
      </c>
      <c r="AB3727" s="10" t="s">
        <v>24704</v>
      </c>
      <c r="AC3727" s="10" t="s">
        <v>21389</v>
      </c>
      <c r="AD3727" s="10" t="s">
        <v>165</v>
      </c>
      <c r="AE3727" s="10" t="s">
        <v>25624</v>
      </c>
      <c r="AF3727" s="15"/>
      <c r="AG3727" s="10"/>
      <c r="AH3727" s="10"/>
      <c r="AI3727" s="10"/>
      <c r="AJ3727" s="10"/>
      <c r="AK3727" s="10" t="s">
        <v>102</v>
      </c>
      <c r="AL3727" s="10"/>
      <c r="AM3727" s="10"/>
      <c r="AN3727" s="10"/>
      <c r="AO3727" s="13" t="b">
        <v>0</v>
      </c>
      <c r="AP3727" s="22" t="s">
        <v>221</v>
      </c>
      <c r="AQ3727" s="10">
        <f ca="1">IFERROR(__xludf.DUMMYFUNCTION("""COMPUTED_VALUE"""),4832332)</f>
        <v>4832332</v>
      </c>
      <c r="AR3727" s="17">
        <v>11118</v>
      </c>
      <c r="AS3727" s="17">
        <v>7031</v>
      </c>
      <c r="AT3727" s="17">
        <v>107475.75</v>
      </c>
      <c r="AU3727" s="17">
        <v>23.35</v>
      </c>
      <c r="AV3727" s="17">
        <v>9.3000000000000007</v>
      </c>
      <c r="AW3727" s="10" t="s">
        <v>105</v>
      </c>
      <c r="AX3727" s="17">
        <v>3418</v>
      </c>
      <c r="AY3727" s="18">
        <v>15.285983501635613</v>
      </c>
      <c r="AZ3727" s="10"/>
      <c r="BA3727" s="20" t="b">
        <v>0</v>
      </c>
      <c r="BB3727" s="10" t="s">
        <v>24698</v>
      </c>
      <c r="BC3727" s="17">
        <v>11118</v>
      </c>
      <c r="BD3727" s="17">
        <v>7031</v>
      </c>
      <c r="BE3727" s="17">
        <v>107475.75</v>
      </c>
      <c r="BF3727" s="17">
        <v>9.3000000000000007</v>
      </c>
      <c r="BG3727" s="11">
        <f ca="1">IFERROR(__xludf.DUMMYFUNCTION("""COMPUTED_VALUE"""),46030.5416666666)</f>
        <v>46030.541666666599</v>
      </c>
      <c r="BH3727" s="17" t="s">
        <v>105</v>
      </c>
      <c r="BI3727" s="17"/>
      <c r="BJ3727" s="15"/>
      <c r="BK3727" s="15"/>
      <c r="BL3727" s="13" t="b">
        <v>0</v>
      </c>
      <c r="BM3727" s="10"/>
      <c r="BN3727" s="10" t="s">
        <v>197</v>
      </c>
      <c r="BO3727" s="11">
        <v>46029.813888888886</v>
      </c>
      <c r="BP3727" s="11">
        <v>46029.814016203702</v>
      </c>
      <c r="BQ3727" s="15"/>
      <c r="BR3727" s="15">
        <v>46029.914027777777</v>
      </c>
      <c r="BS3727" s="10" t="s">
        <v>197</v>
      </c>
      <c r="BT3727" s="10"/>
      <c r="BU3727" s="10"/>
      <c r="BV3727" s="10"/>
      <c r="BW3727" s="10"/>
      <c r="BX3727" s="10"/>
      <c r="BY3727" s="23"/>
      <c r="BZ3727" s="23"/>
      <c r="CA3727" s="19" t="s">
        <v>24706</v>
      </c>
      <c r="CB3727" s="23"/>
      <c r="CC3727" s="23"/>
      <c r="CD3727" s="19" t="s">
        <v>24707</v>
      </c>
      <c r="CE3727" s="23"/>
      <c r="CF3727" s="23"/>
      <c r="CG3727" s="23"/>
      <c r="CH3727" s="23"/>
      <c r="CI3727" s="23"/>
    </row>
    <row r="3728" spans="1:87" x14ac:dyDescent="0.3">
      <c r="A3728" s="9" t="s">
        <v>25625</v>
      </c>
      <c r="B3728" s="10" t="s">
        <v>25626</v>
      </c>
      <c r="C3728" s="11">
        <v>46030.576388888891</v>
      </c>
      <c r="D3728" s="12">
        <v>3.4722222222222224E-2</v>
      </c>
      <c r="E3728" s="11">
        <v>46030.611111111109</v>
      </c>
      <c r="F3728" s="22" t="s">
        <v>24700</v>
      </c>
      <c r="G3728" s="13" t="b">
        <v>0</v>
      </c>
      <c r="H3728" s="22" t="s">
        <v>21384</v>
      </c>
      <c r="I3728" s="10" t="s">
        <v>9131</v>
      </c>
      <c r="J3728" s="13" t="b">
        <v>0</v>
      </c>
      <c r="K3728" s="13" t="b">
        <v>1</v>
      </c>
      <c r="L3728" s="10" t="s">
        <v>124</v>
      </c>
      <c r="M3728" s="10" t="s">
        <v>91</v>
      </c>
      <c r="N3728" s="10" t="s">
        <v>92</v>
      </c>
      <c r="O3728" s="19" t="s">
        <v>25627</v>
      </c>
      <c r="P3728" s="10"/>
      <c r="Q3728" s="10" t="s">
        <v>126</v>
      </c>
      <c r="R3728" s="10"/>
      <c r="S3728" s="19" t="s">
        <v>24702</v>
      </c>
      <c r="T3728" s="10"/>
      <c r="U3728" s="10"/>
      <c r="V3728" s="10"/>
      <c r="W3728" s="10" t="s">
        <v>24703</v>
      </c>
      <c r="X3728" s="10" t="s">
        <v>216</v>
      </c>
      <c r="Y3728" s="10" t="s">
        <v>216</v>
      </c>
      <c r="Z3728" s="10" t="s">
        <v>99</v>
      </c>
      <c r="AA3728" s="10" t="s">
        <v>131</v>
      </c>
      <c r="AB3728" s="10" t="s">
        <v>24704</v>
      </c>
      <c r="AC3728" s="10" t="s">
        <v>21389</v>
      </c>
      <c r="AD3728" s="10" t="s">
        <v>165</v>
      </c>
      <c r="AE3728" s="10" t="s">
        <v>25628</v>
      </c>
      <c r="AF3728" s="15"/>
      <c r="AG3728" s="10"/>
      <c r="AH3728" s="10"/>
      <c r="AI3728" s="10"/>
      <c r="AJ3728" s="10"/>
      <c r="AK3728" s="10" t="s">
        <v>102</v>
      </c>
      <c r="AL3728" s="10"/>
      <c r="AM3728" s="10"/>
      <c r="AN3728" s="10"/>
      <c r="AO3728" s="13" t="b">
        <v>0</v>
      </c>
      <c r="AP3728" s="22" t="s">
        <v>135</v>
      </c>
      <c r="AQ3728" s="10">
        <f ca="1">IFERROR(__xludf.DUMMYFUNCTION("""COMPUTED_VALUE"""),4832333)</f>
        <v>4832333</v>
      </c>
      <c r="AR3728" s="17"/>
      <c r="AS3728" s="17"/>
      <c r="AT3728" s="17"/>
      <c r="AU3728" s="17"/>
      <c r="AV3728" s="17"/>
      <c r="AW3728" s="10"/>
      <c r="AX3728" s="17"/>
      <c r="AY3728" s="18" t="s">
        <v>257</v>
      </c>
      <c r="AZ3728" s="10"/>
      <c r="BA3728" s="20" t="b">
        <v>0</v>
      </c>
      <c r="BB3728" s="10" t="s">
        <v>24698</v>
      </c>
      <c r="BC3728" s="17" t="s">
        <v>257</v>
      </c>
      <c r="BD3728" s="17" t="s">
        <v>257</v>
      </c>
      <c r="BE3728" s="17" t="s">
        <v>257</v>
      </c>
      <c r="BF3728" s="17" t="s">
        <v>257</v>
      </c>
      <c r="BG3728" s="11">
        <f ca="1">IFERROR(__xludf.DUMMYFUNCTION("""COMPUTED_VALUE"""),46030.5763888888)</f>
        <v>46030.576388888803</v>
      </c>
      <c r="BH3728" s="17"/>
      <c r="BI3728" s="17"/>
      <c r="BJ3728" s="15"/>
      <c r="BK3728" s="15"/>
      <c r="BL3728" s="13" t="b">
        <v>0</v>
      </c>
      <c r="BM3728" s="10"/>
      <c r="BN3728" s="10" t="s">
        <v>197</v>
      </c>
      <c r="BO3728" s="11">
        <v>46029.813888888886</v>
      </c>
      <c r="BP3728" s="11">
        <v>46029.866759259261</v>
      </c>
      <c r="BQ3728" s="15"/>
      <c r="BR3728" s="15">
        <v>46029.914502314816</v>
      </c>
      <c r="BS3728" s="10" t="s">
        <v>197</v>
      </c>
      <c r="BT3728" s="10"/>
      <c r="BU3728" s="10"/>
      <c r="BV3728" s="10"/>
      <c r="BW3728" s="10"/>
      <c r="BX3728" s="10"/>
      <c r="BY3728" s="23"/>
      <c r="BZ3728" s="23"/>
      <c r="CA3728" s="19" t="s">
        <v>24706</v>
      </c>
      <c r="CB3728" s="23"/>
      <c r="CC3728" s="23"/>
      <c r="CD3728" s="19" t="s">
        <v>24707</v>
      </c>
      <c r="CE3728" s="23"/>
      <c r="CF3728" s="23"/>
      <c r="CG3728" s="23"/>
      <c r="CH3728" s="23"/>
      <c r="CI3728" s="23"/>
    </row>
    <row r="3729" spans="1:87" x14ac:dyDescent="0.3">
      <c r="A3729" s="9" t="s">
        <v>25629</v>
      </c>
      <c r="B3729" s="10" t="s">
        <v>25630</v>
      </c>
      <c r="C3729" s="11">
        <v>46030.611111111109</v>
      </c>
      <c r="D3729" s="12">
        <v>3.4722222222222224E-2</v>
      </c>
      <c r="E3729" s="11">
        <v>46030.645833333336</v>
      </c>
      <c r="F3729" s="22" t="s">
        <v>24700</v>
      </c>
      <c r="G3729" s="13" t="b">
        <v>0</v>
      </c>
      <c r="H3729" s="22" t="s">
        <v>21384</v>
      </c>
      <c r="I3729" s="10" t="s">
        <v>9131</v>
      </c>
      <c r="J3729" s="13" t="b">
        <v>0</v>
      </c>
      <c r="K3729" s="13" t="b">
        <v>1</v>
      </c>
      <c r="L3729" s="10" t="s">
        <v>124</v>
      </c>
      <c r="M3729" s="10" t="s">
        <v>91</v>
      </c>
      <c r="N3729" s="10" t="s">
        <v>92</v>
      </c>
      <c r="O3729" s="19" t="s">
        <v>25627</v>
      </c>
      <c r="P3729" s="10"/>
      <c r="Q3729" s="10" t="s">
        <v>126</v>
      </c>
      <c r="R3729" s="10"/>
      <c r="S3729" s="19" t="s">
        <v>24702</v>
      </c>
      <c r="T3729" s="10"/>
      <c r="U3729" s="10"/>
      <c r="V3729" s="10"/>
      <c r="W3729" s="10" t="s">
        <v>24703</v>
      </c>
      <c r="X3729" s="10" t="s">
        <v>216</v>
      </c>
      <c r="Y3729" s="10" t="s">
        <v>216</v>
      </c>
      <c r="Z3729" s="10" t="s">
        <v>99</v>
      </c>
      <c r="AA3729" s="10" t="s">
        <v>131</v>
      </c>
      <c r="AB3729" s="10" t="s">
        <v>24704</v>
      </c>
      <c r="AC3729" s="10" t="s">
        <v>21389</v>
      </c>
      <c r="AD3729" s="10" t="s">
        <v>165</v>
      </c>
      <c r="AE3729" s="10" t="s">
        <v>25631</v>
      </c>
      <c r="AF3729" s="15"/>
      <c r="AG3729" s="10"/>
      <c r="AH3729" s="10"/>
      <c r="AI3729" s="10"/>
      <c r="AJ3729" s="10"/>
      <c r="AK3729" s="10" t="s">
        <v>102</v>
      </c>
      <c r="AL3729" s="10"/>
      <c r="AM3729" s="10"/>
      <c r="AN3729" s="10"/>
      <c r="AO3729" s="13" t="b">
        <v>0</v>
      </c>
      <c r="AP3729" s="22" t="s">
        <v>104</v>
      </c>
      <c r="AQ3729" s="10">
        <f ca="1">IFERROR(__xludf.DUMMYFUNCTION("""COMPUTED_VALUE"""),4832333)</f>
        <v>4832333</v>
      </c>
      <c r="AR3729" s="17">
        <v>10428</v>
      </c>
      <c r="AS3729" s="17">
        <v>6903</v>
      </c>
      <c r="AT3729" s="17">
        <v>134516</v>
      </c>
      <c r="AU3729" s="17">
        <v>25.65</v>
      </c>
      <c r="AV3729" s="17">
        <v>11.45</v>
      </c>
      <c r="AW3729" s="10" t="s">
        <v>105</v>
      </c>
      <c r="AX3729" s="17">
        <v>3168</v>
      </c>
      <c r="AY3729" s="18">
        <v>19.486600028972909</v>
      </c>
      <c r="AZ3729" s="10"/>
      <c r="BA3729" s="20" t="b">
        <v>0</v>
      </c>
      <c r="BB3729" s="10" t="s">
        <v>24698</v>
      </c>
      <c r="BC3729" s="17">
        <v>10428</v>
      </c>
      <c r="BD3729" s="17">
        <v>6903</v>
      </c>
      <c r="BE3729" s="17">
        <v>134516</v>
      </c>
      <c r="BF3729" s="17">
        <v>11.45</v>
      </c>
      <c r="BG3729" s="11">
        <f ca="1">IFERROR(__xludf.DUMMYFUNCTION("""COMPUTED_VALUE"""),46030.6111111111)</f>
        <v>46030.611111111102</v>
      </c>
      <c r="BH3729" s="17" t="s">
        <v>105</v>
      </c>
      <c r="BI3729" s="17"/>
      <c r="BJ3729" s="15"/>
      <c r="BK3729" s="15"/>
      <c r="BL3729" s="13" t="b">
        <v>0</v>
      </c>
      <c r="BM3729" s="10"/>
      <c r="BN3729" s="10" t="s">
        <v>4030</v>
      </c>
      <c r="BO3729" s="11">
        <v>46029.814583333333</v>
      </c>
      <c r="BP3729" s="11">
        <v>46029.834027777775</v>
      </c>
      <c r="BQ3729" s="15"/>
      <c r="BR3729" s="15">
        <v>46029.914976851855</v>
      </c>
      <c r="BS3729" s="10" t="s">
        <v>4030</v>
      </c>
      <c r="BT3729" s="10"/>
      <c r="BU3729" s="10"/>
      <c r="BV3729" s="10"/>
      <c r="BW3729" s="10"/>
      <c r="BX3729" s="10"/>
      <c r="BY3729" s="23"/>
      <c r="BZ3729" s="23"/>
      <c r="CA3729" s="19" t="s">
        <v>24706</v>
      </c>
      <c r="CB3729" s="23"/>
      <c r="CC3729" s="23"/>
      <c r="CD3729" s="19" t="s">
        <v>24707</v>
      </c>
      <c r="CE3729" s="23"/>
      <c r="CF3729" s="23"/>
      <c r="CG3729" s="23"/>
      <c r="CH3729" s="23"/>
      <c r="CI3729" s="23"/>
    </row>
    <row r="3730" spans="1:87" x14ac:dyDescent="0.3">
      <c r="A3730" s="9" t="s">
        <v>25632</v>
      </c>
      <c r="B3730" s="10" t="s">
        <v>25633</v>
      </c>
      <c r="C3730" s="11">
        <v>46030.645833333336</v>
      </c>
      <c r="D3730" s="12">
        <v>3.4722222222222224E-2</v>
      </c>
      <c r="E3730" s="11">
        <v>46030.680555555555</v>
      </c>
      <c r="F3730" s="22" t="s">
        <v>24700</v>
      </c>
      <c r="G3730" s="13" t="b">
        <v>0</v>
      </c>
      <c r="H3730" s="22" t="s">
        <v>21384</v>
      </c>
      <c r="I3730" s="10" t="s">
        <v>9131</v>
      </c>
      <c r="J3730" s="13" t="b">
        <v>0</v>
      </c>
      <c r="K3730" s="13" t="b">
        <v>1</v>
      </c>
      <c r="L3730" s="10" t="s">
        <v>358</v>
      </c>
      <c r="M3730" s="10" t="s">
        <v>91</v>
      </c>
      <c r="N3730" s="10" t="s">
        <v>92</v>
      </c>
      <c r="O3730" s="19" t="s">
        <v>25634</v>
      </c>
      <c r="P3730" s="10"/>
      <c r="Q3730" s="10" t="s">
        <v>126</v>
      </c>
      <c r="R3730" s="10"/>
      <c r="S3730" s="19" t="s">
        <v>24702</v>
      </c>
      <c r="T3730" s="10"/>
      <c r="U3730" s="10"/>
      <c r="V3730" s="10"/>
      <c r="W3730" s="10" t="s">
        <v>24703</v>
      </c>
      <c r="X3730" s="10" t="s">
        <v>216</v>
      </c>
      <c r="Y3730" s="10" t="s">
        <v>216</v>
      </c>
      <c r="Z3730" s="10" t="s">
        <v>99</v>
      </c>
      <c r="AA3730" s="10" t="s">
        <v>131</v>
      </c>
      <c r="AB3730" s="10" t="s">
        <v>24704</v>
      </c>
      <c r="AC3730" s="10" t="s">
        <v>21389</v>
      </c>
      <c r="AD3730" s="10" t="s">
        <v>165</v>
      </c>
      <c r="AE3730" s="10" t="s">
        <v>25635</v>
      </c>
      <c r="AF3730" s="15"/>
      <c r="AG3730" s="10"/>
      <c r="AH3730" s="10"/>
      <c r="AI3730" s="10"/>
      <c r="AJ3730" s="10"/>
      <c r="AK3730" s="10" t="s">
        <v>102</v>
      </c>
      <c r="AL3730" s="10"/>
      <c r="AM3730" s="10"/>
      <c r="AN3730" s="10"/>
      <c r="AO3730" s="13" t="b">
        <v>0</v>
      </c>
      <c r="AP3730" s="22" t="s">
        <v>104</v>
      </c>
      <c r="AQ3730" s="10">
        <f ca="1">IFERROR(__xludf.DUMMYFUNCTION("""COMPUTED_VALUE"""),4832341)</f>
        <v>4832341</v>
      </c>
      <c r="AR3730" s="17">
        <v>34198</v>
      </c>
      <c r="AS3730" s="17">
        <v>24064</v>
      </c>
      <c r="AT3730" s="17">
        <v>629867.75</v>
      </c>
      <c r="AU3730" s="17">
        <v>279.8</v>
      </c>
      <c r="AV3730" s="17">
        <v>92.2</v>
      </c>
      <c r="AW3730" s="10" t="s">
        <v>105</v>
      </c>
      <c r="AX3730" s="17">
        <v>17126</v>
      </c>
      <c r="AY3730" s="18">
        <v>26.174690408909573</v>
      </c>
      <c r="AZ3730" s="10"/>
      <c r="BA3730" s="20" t="b">
        <v>0</v>
      </c>
      <c r="BB3730" s="10" t="s">
        <v>24698</v>
      </c>
      <c r="BC3730" s="17">
        <v>34198</v>
      </c>
      <c r="BD3730" s="17">
        <v>24064</v>
      </c>
      <c r="BE3730" s="17">
        <v>629867.75</v>
      </c>
      <c r="BF3730" s="17">
        <v>92.2</v>
      </c>
      <c r="BG3730" s="11">
        <f ca="1">IFERROR(__xludf.DUMMYFUNCTION("""COMPUTED_VALUE"""),46030.6458333333)</f>
        <v>46030.645833333299</v>
      </c>
      <c r="BH3730" s="17" t="s">
        <v>105</v>
      </c>
      <c r="BI3730" s="17"/>
      <c r="BJ3730" s="15"/>
      <c r="BK3730" s="15"/>
      <c r="BL3730" s="13" t="b">
        <v>0</v>
      </c>
      <c r="BM3730" s="10"/>
      <c r="BN3730" s="10" t="s">
        <v>197</v>
      </c>
      <c r="BO3730" s="11">
        <v>46029.814583333333</v>
      </c>
      <c r="BP3730" s="11">
        <v>46029.815034722225</v>
      </c>
      <c r="BQ3730" s="15"/>
      <c r="BR3730" s="15">
        <v>46029.914768518516</v>
      </c>
      <c r="BS3730" s="10" t="s">
        <v>197</v>
      </c>
      <c r="BT3730" s="10" t="s">
        <v>99</v>
      </c>
      <c r="BU3730" s="10"/>
      <c r="BV3730" s="10"/>
      <c r="BW3730" s="10"/>
      <c r="BX3730" s="10"/>
      <c r="BY3730" s="23"/>
      <c r="BZ3730" s="23"/>
      <c r="CA3730" s="19" t="s">
        <v>24706</v>
      </c>
      <c r="CB3730" s="23"/>
      <c r="CC3730" s="23"/>
      <c r="CD3730" s="19" t="s">
        <v>24707</v>
      </c>
      <c r="CE3730" s="23"/>
      <c r="CF3730" s="23"/>
      <c r="CG3730" s="23"/>
      <c r="CH3730" s="23"/>
      <c r="CI3730" s="23"/>
    </row>
    <row r="3731" spans="1:87" x14ac:dyDescent="0.3">
      <c r="A3731" s="9" t="s">
        <v>25636</v>
      </c>
      <c r="B3731" s="10" t="s">
        <v>25637</v>
      </c>
      <c r="C3731" s="11">
        <v>46030.680555555555</v>
      </c>
      <c r="D3731" s="12">
        <v>3.4722222222222224E-2</v>
      </c>
      <c r="E3731" s="11">
        <v>46030.715277777781</v>
      </c>
      <c r="F3731" s="22" t="s">
        <v>24700</v>
      </c>
      <c r="G3731" s="13" t="b">
        <v>0</v>
      </c>
      <c r="H3731" s="22" t="s">
        <v>21384</v>
      </c>
      <c r="I3731" s="10" t="s">
        <v>9131</v>
      </c>
      <c r="J3731" s="13" t="b">
        <v>0</v>
      </c>
      <c r="K3731" s="13" t="b">
        <v>1</v>
      </c>
      <c r="L3731" s="10" t="s">
        <v>358</v>
      </c>
      <c r="M3731" s="10" t="s">
        <v>91</v>
      </c>
      <c r="N3731" s="10" t="s">
        <v>92</v>
      </c>
      <c r="O3731" s="19" t="s">
        <v>25638</v>
      </c>
      <c r="P3731" s="10"/>
      <c r="Q3731" s="10" t="s">
        <v>126</v>
      </c>
      <c r="R3731" s="10"/>
      <c r="S3731" s="19" t="s">
        <v>24702</v>
      </c>
      <c r="T3731" s="10"/>
      <c r="U3731" s="10"/>
      <c r="V3731" s="10"/>
      <c r="W3731" s="10" t="s">
        <v>24703</v>
      </c>
      <c r="X3731" s="10" t="s">
        <v>216</v>
      </c>
      <c r="Y3731" s="10" t="s">
        <v>216</v>
      </c>
      <c r="Z3731" s="10" t="s">
        <v>99</v>
      </c>
      <c r="AA3731" s="10" t="s">
        <v>131</v>
      </c>
      <c r="AB3731" s="10" t="s">
        <v>24704</v>
      </c>
      <c r="AC3731" s="10" t="s">
        <v>21389</v>
      </c>
      <c r="AD3731" s="10" t="s">
        <v>165</v>
      </c>
      <c r="AE3731" s="10" t="s">
        <v>25639</v>
      </c>
      <c r="AF3731" s="15"/>
      <c r="AG3731" s="10"/>
      <c r="AH3731" s="10"/>
      <c r="AI3731" s="10"/>
      <c r="AJ3731" s="10"/>
      <c r="AK3731" s="10" t="s">
        <v>102</v>
      </c>
      <c r="AL3731" s="10"/>
      <c r="AM3731" s="10"/>
      <c r="AN3731" s="10"/>
      <c r="AO3731" s="13" t="b">
        <v>0</v>
      </c>
      <c r="AP3731" s="22" t="s">
        <v>135</v>
      </c>
      <c r="AQ3731" s="10">
        <f ca="1">IFERROR(__xludf.DUMMYFUNCTION("""COMPUTED_VALUE"""),4832349)</f>
        <v>4832349</v>
      </c>
      <c r="AR3731" s="17">
        <v>32437</v>
      </c>
      <c r="AS3731" s="17">
        <v>21889</v>
      </c>
      <c r="AT3731" s="17">
        <v>522860.25</v>
      </c>
      <c r="AU3731" s="17">
        <v>225.5</v>
      </c>
      <c r="AV3731" s="17">
        <v>63.5</v>
      </c>
      <c r="AW3731" s="10" t="s">
        <v>105</v>
      </c>
      <c r="AX3731" s="17">
        <v>16991</v>
      </c>
      <c r="AY3731" s="18">
        <v>23.886895244186579</v>
      </c>
      <c r="AZ3731" s="10"/>
      <c r="BA3731" s="20" t="b">
        <v>0</v>
      </c>
      <c r="BB3731" s="10" t="s">
        <v>24698</v>
      </c>
      <c r="BC3731" s="17">
        <v>32437</v>
      </c>
      <c r="BD3731" s="17">
        <v>21889</v>
      </c>
      <c r="BE3731" s="17">
        <v>522860.25</v>
      </c>
      <c r="BF3731" s="17">
        <v>63.5</v>
      </c>
      <c r="BG3731" s="11">
        <f ca="1">IFERROR(__xludf.DUMMYFUNCTION("""COMPUTED_VALUE"""),46030.6805555555)</f>
        <v>46030.680555555497</v>
      </c>
      <c r="BH3731" s="17" t="s">
        <v>105</v>
      </c>
      <c r="BI3731" s="17"/>
      <c r="BJ3731" s="15"/>
      <c r="BK3731" s="15"/>
      <c r="BL3731" s="13" t="b">
        <v>0</v>
      </c>
      <c r="BM3731" s="10"/>
      <c r="BN3731" s="10" t="s">
        <v>4030</v>
      </c>
      <c r="BO3731" s="11">
        <v>46029.814583333333</v>
      </c>
      <c r="BP3731" s="11">
        <v>46029.815208333333</v>
      </c>
      <c r="BQ3731" s="15"/>
      <c r="BR3731" s="15">
        <v>46029.915324074071</v>
      </c>
      <c r="BS3731" s="10" t="s">
        <v>4030</v>
      </c>
      <c r="BT3731" s="10" t="s">
        <v>99</v>
      </c>
      <c r="BU3731" s="10"/>
      <c r="BV3731" s="10"/>
      <c r="BW3731" s="10"/>
      <c r="BX3731" s="10"/>
      <c r="BY3731" s="23"/>
      <c r="BZ3731" s="23"/>
      <c r="CA3731" s="19" t="s">
        <v>24706</v>
      </c>
      <c r="CB3731" s="23"/>
      <c r="CC3731" s="23"/>
      <c r="CD3731" s="19" t="s">
        <v>24707</v>
      </c>
      <c r="CE3731" s="23"/>
      <c r="CF3731" s="23"/>
      <c r="CG3731" s="23"/>
      <c r="CH3731" s="23"/>
      <c r="CI3731" s="23"/>
    </row>
    <row r="3732" spans="1:87" x14ac:dyDescent="0.3">
      <c r="A3732" s="9" t="s">
        <v>25640</v>
      </c>
      <c r="B3732" s="10" t="s">
        <v>25641</v>
      </c>
      <c r="C3732" s="11">
        <v>46030.715277777781</v>
      </c>
      <c r="D3732" s="12">
        <v>3.4722222222222224E-2</v>
      </c>
      <c r="E3732" s="11">
        <v>46030.75</v>
      </c>
      <c r="F3732" s="22" t="s">
        <v>24700</v>
      </c>
      <c r="G3732" s="13" t="b">
        <v>0</v>
      </c>
      <c r="H3732" s="22" t="s">
        <v>21384</v>
      </c>
      <c r="I3732" s="10" t="s">
        <v>9131</v>
      </c>
      <c r="J3732" s="13" t="b">
        <v>0</v>
      </c>
      <c r="K3732" s="13" t="b">
        <v>1</v>
      </c>
      <c r="L3732" s="10" t="s">
        <v>358</v>
      </c>
      <c r="M3732" s="10" t="s">
        <v>91</v>
      </c>
      <c r="N3732" s="10" t="s">
        <v>92</v>
      </c>
      <c r="O3732" s="19" t="s">
        <v>25642</v>
      </c>
      <c r="P3732" s="10"/>
      <c r="Q3732" s="10" t="s">
        <v>126</v>
      </c>
      <c r="R3732" s="10"/>
      <c r="S3732" s="19" t="s">
        <v>24702</v>
      </c>
      <c r="T3732" s="10"/>
      <c r="U3732" s="10"/>
      <c r="V3732" s="10"/>
      <c r="W3732" s="10" t="s">
        <v>24703</v>
      </c>
      <c r="X3732" s="10" t="s">
        <v>216</v>
      </c>
      <c r="Y3732" s="10" t="s">
        <v>216</v>
      </c>
      <c r="Z3732" s="10" t="s">
        <v>99</v>
      </c>
      <c r="AA3732" s="10" t="s">
        <v>131</v>
      </c>
      <c r="AB3732" s="10" t="s">
        <v>24704</v>
      </c>
      <c r="AC3732" s="10" t="s">
        <v>21389</v>
      </c>
      <c r="AD3732" s="10" t="s">
        <v>165</v>
      </c>
      <c r="AE3732" s="10" t="s">
        <v>25643</v>
      </c>
      <c r="AF3732" s="15"/>
      <c r="AG3732" s="10"/>
      <c r="AH3732" s="10"/>
      <c r="AI3732" s="10"/>
      <c r="AJ3732" s="10"/>
      <c r="AK3732" s="10" t="s">
        <v>102</v>
      </c>
      <c r="AL3732" s="10"/>
      <c r="AM3732" s="10"/>
      <c r="AN3732" s="10"/>
      <c r="AO3732" s="13" t="b">
        <v>0</v>
      </c>
      <c r="AP3732" s="22" t="s">
        <v>104</v>
      </c>
      <c r="AQ3732" s="10">
        <f ca="1">IFERROR(__xludf.DUMMYFUNCTION("""COMPUTED_VALUE"""),4832351)</f>
        <v>4832351</v>
      </c>
      <c r="AR3732" s="17">
        <v>73914</v>
      </c>
      <c r="AS3732" s="17">
        <v>31952</v>
      </c>
      <c r="AT3732" s="17">
        <v>760515.75</v>
      </c>
      <c r="AU3732" s="17">
        <v>379.85</v>
      </c>
      <c r="AV3732" s="17">
        <v>98.25</v>
      </c>
      <c r="AW3732" s="10" t="s">
        <v>105</v>
      </c>
      <c r="AX3732" s="17">
        <v>16911</v>
      </c>
      <c r="AY3732" s="18">
        <v>23.801819917376065</v>
      </c>
      <c r="AZ3732" s="10"/>
      <c r="BA3732" s="20" t="b">
        <v>0</v>
      </c>
      <c r="BB3732" s="10" t="s">
        <v>24698</v>
      </c>
      <c r="BC3732" s="17">
        <v>73914</v>
      </c>
      <c r="BD3732" s="17">
        <v>31952</v>
      </c>
      <c r="BE3732" s="17">
        <v>760515.75</v>
      </c>
      <c r="BF3732" s="17">
        <v>98.25</v>
      </c>
      <c r="BG3732" s="11">
        <f ca="1">IFERROR(__xludf.DUMMYFUNCTION("""COMPUTED_VALUE"""),46030.7152777777)</f>
        <v>46030.715277777701</v>
      </c>
      <c r="BH3732" s="17" t="s">
        <v>105</v>
      </c>
      <c r="BI3732" s="17"/>
      <c r="BJ3732" s="15"/>
      <c r="BK3732" s="15"/>
      <c r="BL3732" s="13" t="b">
        <v>0</v>
      </c>
      <c r="BM3732" s="10"/>
      <c r="BN3732" s="10" t="s">
        <v>197</v>
      </c>
      <c r="BO3732" s="11">
        <v>46029.81527777778</v>
      </c>
      <c r="BP3732" s="11">
        <v>46029.815335648149</v>
      </c>
      <c r="BQ3732" s="15"/>
      <c r="BR3732" s="15">
        <v>46029.915034722224</v>
      </c>
      <c r="BS3732" s="10" t="s">
        <v>197</v>
      </c>
      <c r="BT3732" s="10" t="s">
        <v>99</v>
      </c>
      <c r="BU3732" s="10"/>
      <c r="BV3732" s="10"/>
      <c r="BW3732" s="10"/>
      <c r="BX3732" s="10"/>
      <c r="BY3732" s="23"/>
      <c r="BZ3732" s="23"/>
      <c r="CA3732" s="19" t="s">
        <v>24706</v>
      </c>
      <c r="CB3732" s="23"/>
      <c r="CC3732" s="23"/>
      <c r="CD3732" s="19" t="s">
        <v>24707</v>
      </c>
      <c r="CE3732" s="23"/>
      <c r="CF3732" s="23"/>
      <c r="CG3732" s="23"/>
      <c r="CH3732" s="23"/>
      <c r="CI3732" s="23"/>
    </row>
    <row r="3733" spans="1:87" x14ac:dyDescent="0.3">
      <c r="A3733" s="9" t="s">
        <v>25644</v>
      </c>
      <c r="B3733" s="10" t="s">
        <v>25645</v>
      </c>
      <c r="C3733" s="11">
        <v>46030.75</v>
      </c>
      <c r="D3733" s="12">
        <v>3.4722222222222224E-2</v>
      </c>
      <c r="E3733" s="11">
        <v>46030.784722222219</v>
      </c>
      <c r="F3733" s="22" t="s">
        <v>24700</v>
      </c>
      <c r="G3733" s="13" t="b">
        <v>0</v>
      </c>
      <c r="H3733" s="22" t="s">
        <v>21384</v>
      </c>
      <c r="I3733" s="10" t="s">
        <v>9131</v>
      </c>
      <c r="J3733" s="13" t="b">
        <v>0</v>
      </c>
      <c r="K3733" s="13" t="b">
        <v>1</v>
      </c>
      <c r="L3733" s="10" t="s">
        <v>124</v>
      </c>
      <c r="M3733" s="10" t="s">
        <v>91</v>
      </c>
      <c r="N3733" s="10" t="s">
        <v>92</v>
      </c>
      <c r="O3733" s="19" t="s">
        <v>25646</v>
      </c>
      <c r="P3733" s="10"/>
      <c r="Q3733" s="10" t="s">
        <v>126</v>
      </c>
      <c r="R3733" s="10"/>
      <c r="S3733" s="19" t="s">
        <v>24702</v>
      </c>
      <c r="T3733" s="10"/>
      <c r="U3733" s="10"/>
      <c r="V3733" s="10"/>
      <c r="W3733" s="10" t="s">
        <v>24703</v>
      </c>
      <c r="X3733" s="10" t="s">
        <v>216</v>
      </c>
      <c r="Y3733" s="10" t="s">
        <v>216</v>
      </c>
      <c r="Z3733" s="10" t="s">
        <v>99</v>
      </c>
      <c r="AA3733" s="10" t="s">
        <v>131</v>
      </c>
      <c r="AB3733" s="10" t="s">
        <v>24704</v>
      </c>
      <c r="AC3733" s="10" t="s">
        <v>21389</v>
      </c>
      <c r="AD3733" s="10" t="s">
        <v>165</v>
      </c>
      <c r="AE3733" s="10" t="s">
        <v>25647</v>
      </c>
      <c r="AF3733" s="15"/>
      <c r="AG3733" s="10"/>
      <c r="AH3733" s="10"/>
      <c r="AI3733" s="10"/>
      <c r="AJ3733" s="10"/>
      <c r="AK3733" s="10" t="s">
        <v>102</v>
      </c>
      <c r="AL3733" s="10"/>
      <c r="AM3733" s="10"/>
      <c r="AN3733" s="10"/>
      <c r="AO3733" s="13" t="b">
        <v>0</v>
      </c>
      <c r="AP3733" s="22" t="s">
        <v>104</v>
      </c>
      <c r="AQ3733" s="10">
        <f ca="1">IFERROR(__xludf.DUMMYFUNCTION("""COMPUTED_VALUE"""),4832350)</f>
        <v>4832350</v>
      </c>
      <c r="AR3733" s="17">
        <v>14778</v>
      </c>
      <c r="AS3733" s="17">
        <v>10978</v>
      </c>
      <c r="AT3733" s="17">
        <v>137596.5</v>
      </c>
      <c r="AU3733" s="17">
        <v>78.75</v>
      </c>
      <c r="AV3733" s="17">
        <v>20.85</v>
      </c>
      <c r="AW3733" s="10" t="s">
        <v>105</v>
      </c>
      <c r="AX3733" s="17">
        <v>17278</v>
      </c>
      <c r="AY3733" s="18">
        <v>12.533840408088905</v>
      </c>
      <c r="AZ3733" s="10"/>
      <c r="BA3733" s="20" t="b">
        <v>0</v>
      </c>
      <c r="BB3733" s="10" t="s">
        <v>24698</v>
      </c>
      <c r="BC3733" s="17">
        <v>14778</v>
      </c>
      <c r="BD3733" s="17">
        <v>10978</v>
      </c>
      <c r="BE3733" s="17">
        <v>137596.5</v>
      </c>
      <c r="BF3733" s="17">
        <v>20.85</v>
      </c>
      <c r="BG3733" s="11">
        <f ca="1">IFERROR(__xludf.DUMMYFUNCTION("""COMPUTED_VALUE"""),46030.75)</f>
        <v>46030.75</v>
      </c>
      <c r="BH3733" s="17" t="s">
        <v>105</v>
      </c>
      <c r="BI3733" s="17"/>
      <c r="BJ3733" s="15"/>
      <c r="BK3733" s="15"/>
      <c r="BL3733" s="13" t="b">
        <v>0</v>
      </c>
      <c r="BM3733" s="10"/>
      <c r="BN3733" s="10" t="s">
        <v>197</v>
      </c>
      <c r="BO3733" s="11">
        <v>46029.81527777778</v>
      </c>
      <c r="BP3733" s="11">
        <v>46029.815486111111</v>
      </c>
      <c r="BQ3733" s="15"/>
      <c r="BR3733" s="15">
        <v>46029.915162037039</v>
      </c>
      <c r="BS3733" s="10" t="s">
        <v>197</v>
      </c>
      <c r="BT3733" s="10"/>
      <c r="BU3733" s="10"/>
      <c r="BV3733" s="10"/>
      <c r="BW3733" s="10"/>
      <c r="BX3733" s="10"/>
      <c r="BY3733" s="23"/>
      <c r="BZ3733" s="23"/>
      <c r="CA3733" s="19" t="s">
        <v>24706</v>
      </c>
      <c r="CB3733" s="23"/>
      <c r="CC3733" s="23"/>
      <c r="CD3733" s="19" t="s">
        <v>24707</v>
      </c>
      <c r="CE3733" s="23"/>
      <c r="CF3733" s="23"/>
      <c r="CG3733" s="23"/>
      <c r="CH3733" s="23"/>
      <c r="CI3733" s="23"/>
    </row>
    <row r="3734" spans="1:87" x14ac:dyDescent="0.3">
      <c r="A3734" s="9" t="s">
        <v>25648</v>
      </c>
      <c r="B3734" s="10" t="s">
        <v>25649</v>
      </c>
      <c r="C3734" s="11">
        <v>46030.333333333336</v>
      </c>
      <c r="D3734" s="12">
        <v>3.4722222222222224E-2</v>
      </c>
      <c r="E3734" s="11">
        <v>46030.368055555555</v>
      </c>
      <c r="F3734" s="22" t="s">
        <v>24700</v>
      </c>
      <c r="G3734" s="13" t="b">
        <v>0</v>
      </c>
      <c r="H3734" s="22" t="s">
        <v>21384</v>
      </c>
      <c r="I3734" s="10" t="s">
        <v>9131</v>
      </c>
      <c r="J3734" s="13" t="b">
        <v>0</v>
      </c>
      <c r="K3734" s="13" t="b">
        <v>1</v>
      </c>
      <c r="L3734" s="10" t="s">
        <v>124</v>
      </c>
      <c r="M3734" s="10" t="s">
        <v>91</v>
      </c>
      <c r="N3734" s="10" t="s">
        <v>92</v>
      </c>
      <c r="O3734" s="19" t="s">
        <v>25650</v>
      </c>
      <c r="P3734" s="10"/>
      <c r="Q3734" s="10" t="s">
        <v>126</v>
      </c>
      <c r="R3734" s="10"/>
      <c r="S3734" s="19" t="s">
        <v>24714</v>
      </c>
      <c r="T3734" s="10"/>
      <c r="U3734" s="10"/>
      <c r="V3734" s="10"/>
      <c r="W3734" s="10" t="s">
        <v>24703</v>
      </c>
      <c r="X3734" s="10" t="s">
        <v>216</v>
      </c>
      <c r="Y3734" s="10" t="s">
        <v>216</v>
      </c>
      <c r="Z3734" s="10" t="s">
        <v>99</v>
      </c>
      <c r="AA3734" s="10" t="s">
        <v>131</v>
      </c>
      <c r="AB3734" s="10" t="s">
        <v>24704</v>
      </c>
      <c r="AC3734" s="10" t="s">
        <v>21389</v>
      </c>
      <c r="AD3734" s="10" t="s">
        <v>165</v>
      </c>
      <c r="AE3734" s="10" t="s">
        <v>25651</v>
      </c>
      <c r="AF3734" s="15"/>
      <c r="AG3734" s="10"/>
      <c r="AH3734" s="10"/>
      <c r="AI3734" s="10"/>
      <c r="AJ3734" s="10"/>
      <c r="AK3734" s="10" t="s">
        <v>102</v>
      </c>
      <c r="AL3734" s="10"/>
      <c r="AM3734" s="10"/>
      <c r="AN3734" s="10"/>
      <c r="AO3734" s="13" t="b">
        <v>0</v>
      </c>
      <c r="AP3734" s="22" t="s">
        <v>221</v>
      </c>
      <c r="AQ3734" s="10">
        <f ca="1">IFERROR(__xludf.DUMMYFUNCTION("""COMPUTED_VALUE"""),4832334)</f>
        <v>4832334</v>
      </c>
      <c r="AR3734" s="17">
        <v>4323</v>
      </c>
      <c r="AS3734" s="17">
        <v>2965</v>
      </c>
      <c r="AT3734" s="17">
        <v>53298</v>
      </c>
      <c r="AU3734" s="17">
        <v>7.7</v>
      </c>
      <c r="AV3734" s="17">
        <v>2.1</v>
      </c>
      <c r="AW3734" s="10" t="s">
        <v>105</v>
      </c>
      <c r="AX3734" s="17">
        <v>1298</v>
      </c>
      <c r="AY3734" s="18">
        <v>17.975716694772345</v>
      </c>
      <c r="AZ3734" s="10"/>
      <c r="BA3734" s="20" t="b">
        <v>0</v>
      </c>
      <c r="BB3734" s="10" t="s">
        <v>24711</v>
      </c>
      <c r="BC3734" s="17">
        <v>4323</v>
      </c>
      <c r="BD3734" s="17">
        <v>2965</v>
      </c>
      <c r="BE3734" s="17">
        <v>53298</v>
      </c>
      <c r="BF3734" s="17">
        <v>2.1</v>
      </c>
      <c r="BG3734" s="11">
        <f ca="1">IFERROR(__xludf.DUMMYFUNCTION("""COMPUTED_VALUE"""),46030.3333333333)</f>
        <v>46030.333333333299</v>
      </c>
      <c r="BH3734" s="17" t="s">
        <v>105</v>
      </c>
      <c r="BI3734" s="17"/>
      <c r="BJ3734" s="15"/>
      <c r="BK3734" s="15"/>
      <c r="BL3734" s="13" t="b">
        <v>0</v>
      </c>
      <c r="BM3734" s="10"/>
      <c r="BN3734" s="10" t="s">
        <v>1149</v>
      </c>
      <c r="BO3734" s="11">
        <v>46029.816666666666</v>
      </c>
      <c r="BP3734" s="11">
        <v>46029.81690972222</v>
      </c>
      <c r="BQ3734" s="15"/>
      <c r="BR3734" s="15">
        <v>46029.911956018521</v>
      </c>
      <c r="BS3734" s="10" t="s">
        <v>1149</v>
      </c>
      <c r="BT3734" s="10"/>
      <c r="BU3734" s="10"/>
      <c r="BV3734" s="10"/>
      <c r="BW3734" s="10"/>
      <c r="BX3734" s="10"/>
      <c r="BY3734" s="23"/>
      <c r="BZ3734" s="23"/>
      <c r="CA3734" s="19" t="s">
        <v>24716</v>
      </c>
      <c r="CB3734" s="23"/>
      <c r="CC3734" s="23"/>
      <c r="CD3734" s="19" t="s">
        <v>24717</v>
      </c>
      <c r="CE3734" s="23"/>
      <c r="CF3734" s="23"/>
      <c r="CG3734" s="23"/>
      <c r="CH3734" s="23"/>
      <c r="CI3734" s="23"/>
    </row>
    <row r="3735" spans="1:87" x14ac:dyDescent="0.3">
      <c r="A3735" s="9" t="s">
        <v>25652</v>
      </c>
      <c r="B3735" s="10" t="s">
        <v>25653</v>
      </c>
      <c r="C3735" s="11">
        <v>46030.368055555555</v>
      </c>
      <c r="D3735" s="12">
        <v>3.4722222222222224E-2</v>
      </c>
      <c r="E3735" s="11">
        <v>46030.402777777781</v>
      </c>
      <c r="F3735" s="22" t="s">
        <v>24700</v>
      </c>
      <c r="G3735" s="13" t="b">
        <v>0</v>
      </c>
      <c r="H3735" s="22" t="s">
        <v>21384</v>
      </c>
      <c r="I3735" s="10" t="s">
        <v>9131</v>
      </c>
      <c r="J3735" s="13" t="b">
        <v>0</v>
      </c>
      <c r="K3735" s="13" t="b">
        <v>1</v>
      </c>
      <c r="L3735" s="10" t="s">
        <v>124</v>
      </c>
      <c r="M3735" s="10" t="s">
        <v>91</v>
      </c>
      <c r="N3735" s="10" t="s">
        <v>92</v>
      </c>
      <c r="O3735" s="19" t="s">
        <v>25654</v>
      </c>
      <c r="P3735" s="10"/>
      <c r="Q3735" s="10" t="s">
        <v>126</v>
      </c>
      <c r="R3735" s="10"/>
      <c r="S3735" s="19" t="s">
        <v>24714</v>
      </c>
      <c r="T3735" s="10"/>
      <c r="U3735" s="10"/>
      <c r="V3735" s="10"/>
      <c r="W3735" s="10" t="s">
        <v>24703</v>
      </c>
      <c r="X3735" s="10" t="s">
        <v>216</v>
      </c>
      <c r="Y3735" s="10" t="s">
        <v>216</v>
      </c>
      <c r="Z3735" s="10" t="s">
        <v>99</v>
      </c>
      <c r="AA3735" s="10" t="s">
        <v>131</v>
      </c>
      <c r="AB3735" s="10" t="s">
        <v>24704</v>
      </c>
      <c r="AC3735" s="10" t="s">
        <v>21389</v>
      </c>
      <c r="AD3735" s="10" t="s">
        <v>165</v>
      </c>
      <c r="AE3735" s="10" t="s">
        <v>25655</v>
      </c>
      <c r="AF3735" s="15"/>
      <c r="AG3735" s="10"/>
      <c r="AH3735" s="10"/>
      <c r="AI3735" s="10"/>
      <c r="AJ3735" s="10"/>
      <c r="AK3735" s="10" t="s">
        <v>102</v>
      </c>
      <c r="AL3735" s="10"/>
      <c r="AM3735" s="10"/>
      <c r="AN3735" s="10"/>
      <c r="AO3735" s="13" t="b">
        <v>0</v>
      </c>
      <c r="AP3735" s="22" t="s">
        <v>135</v>
      </c>
      <c r="AQ3735" s="10">
        <f ca="1">IFERROR(__xludf.DUMMYFUNCTION("""COMPUTED_VALUE"""),4832335)</f>
        <v>4832335</v>
      </c>
      <c r="AR3735" s="17">
        <v>4584</v>
      </c>
      <c r="AS3735" s="17">
        <v>3130</v>
      </c>
      <c r="AT3735" s="17">
        <v>44421.75</v>
      </c>
      <c r="AU3735" s="17">
        <v>8.15</v>
      </c>
      <c r="AV3735" s="17">
        <v>2.9</v>
      </c>
      <c r="AW3735" s="10" t="s">
        <v>105</v>
      </c>
      <c r="AX3735" s="17">
        <v>1299</v>
      </c>
      <c r="AY3735" s="18">
        <v>14.192252396166134</v>
      </c>
      <c r="AZ3735" s="10"/>
      <c r="BA3735" s="20" t="b">
        <v>0</v>
      </c>
      <c r="BB3735" s="10" t="s">
        <v>24711</v>
      </c>
      <c r="BC3735" s="17">
        <v>4584</v>
      </c>
      <c r="BD3735" s="17">
        <v>3130</v>
      </c>
      <c r="BE3735" s="17">
        <v>44421.75</v>
      </c>
      <c r="BF3735" s="17">
        <v>2.9</v>
      </c>
      <c r="BG3735" s="11">
        <f ca="1">IFERROR(__xludf.DUMMYFUNCTION("""COMPUTED_VALUE"""),46030.3680555555)</f>
        <v>46030.368055555497</v>
      </c>
      <c r="BH3735" s="17" t="s">
        <v>105</v>
      </c>
      <c r="BI3735" s="17"/>
      <c r="BJ3735" s="15"/>
      <c r="BK3735" s="15"/>
      <c r="BL3735" s="13" t="b">
        <v>0</v>
      </c>
      <c r="BM3735" s="10"/>
      <c r="BN3735" s="10" t="s">
        <v>1149</v>
      </c>
      <c r="BO3735" s="11">
        <v>46029.816666666666</v>
      </c>
      <c r="BP3735" s="11">
        <v>46029.817037037035</v>
      </c>
      <c r="BQ3735" s="15"/>
      <c r="BR3735" s="15">
        <v>46029.912060185183</v>
      </c>
      <c r="BS3735" s="10" t="s">
        <v>1149</v>
      </c>
      <c r="BT3735" s="10"/>
      <c r="BU3735" s="10"/>
      <c r="BV3735" s="10"/>
      <c r="BW3735" s="10"/>
      <c r="BX3735" s="10"/>
      <c r="BY3735" s="23"/>
      <c r="BZ3735" s="23"/>
      <c r="CA3735" s="19" t="s">
        <v>24716</v>
      </c>
      <c r="CB3735" s="23"/>
      <c r="CC3735" s="23"/>
      <c r="CD3735" s="19" t="s">
        <v>24717</v>
      </c>
      <c r="CE3735" s="23"/>
      <c r="CF3735" s="23"/>
      <c r="CG3735" s="23"/>
      <c r="CH3735" s="23"/>
      <c r="CI3735" s="23"/>
    </row>
    <row r="3736" spans="1:87" x14ac:dyDescent="0.3">
      <c r="A3736" s="9" t="s">
        <v>25656</v>
      </c>
      <c r="B3736" s="10" t="s">
        <v>25657</v>
      </c>
      <c r="C3736" s="11">
        <v>46030.402777777781</v>
      </c>
      <c r="D3736" s="12">
        <v>3.4722222222222224E-2</v>
      </c>
      <c r="E3736" s="11">
        <v>46030.4375</v>
      </c>
      <c r="F3736" s="22" t="s">
        <v>24700</v>
      </c>
      <c r="G3736" s="13" t="b">
        <v>0</v>
      </c>
      <c r="H3736" s="22" t="s">
        <v>21384</v>
      </c>
      <c r="I3736" s="10" t="s">
        <v>9131</v>
      </c>
      <c r="J3736" s="13" t="b">
        <v>0</v>
      </c>
      <c r="K3736" s="13" t="b">
        <v>1</v>
      </c>
      <c r="L3736" s="10" t="s">
        <v>124</v>
      </c>
      <c r="M3736" s="10" t="s">
        <v>91</v>
      </c>
      <c r="N3736" s="10" t="s">
        <v>92</v>
      </c>
      <c r="O3736" s="19" t="s">
        <v>25658</v>
      </c>
      <c r="P3736" s="10"/>
      <c r="Q3736" s="10" t="s">
        <v>126</v>
      </c>
      <c r="R3736" s="10"/>
      <c r="S3736" s="19" t="s">
        <v>24714</v>
      </c>
      <c r="T3736" s="10"/>
      <c r="U3736" s="10"/>
      <c r="V3736" s="10"/>
      <c r="W3736" s="10" t="s">
        <v>24703</v>
      </c>
      <c r="X3736" s="10" t="s">
        <v>216</v>
      </c>
      <c r="Y3736" s="10" t="s">
        <v>216</v>
      </c>
      <c r="Z3736" s="10" t="s">
        <v>99</v>
      </c>
      <c r="AA3736" s="10" t="s">
        <v>131</v>
      </c>
      <c r="AB3736" s="10" t="s">
        <v>24704</v>
      </c>
      <c r="AC3736" s="10" t="s">
        <v>21389</v>
      </c>
      <c r="AD3736" s="10" t="s">
        <v>165</v>
      </c>
      <c r="AE3736" s="10" t="s">
        <v>25659</v>
      </c>
      <c r="AF3736" s="15"/>
      <c r="AG3736" s="10"/>
      <c r="AH3736" s="10"/>
      <c r="AI3736" s="10"/>
      <c r="AJ3736" s="10"/>
      <c r="AK3736" s="10" t="s">
        <v>102</v>
      </c>
      <c r="AL3736" s="10"/>
      <c r="AM3736" s="10"/>
      <c r="AN3736" s="10"/>
      <c r="AO3736" s="13" t="b">
        <v>0</v>
      </c>
      <c r="AP3736" s="22" t="s">
        <v>135</v>
      </c>
      <c r="AQ3736" s="10">
        <f ca="1">IFERROR(__xludf.DUMMYFUNCTION("""COMPUTED_VALUE"""),4832336)</f>
        <v>4832336</v>
      </c>
      <c r="AR3736" s="17">
        <v>10254</v>
      </c>
      <c r="AS3736" s="17">
        <v>5993</v>
      </c>
      <c r="AT3736" s="17">
        <v>154633</v>
      </c>
      <c r="AU3736" s="17">
        <v>23.3</v>
      </c>
      <c r="AV3736" s="17">
        <v>9.4499999999999993</v>
      </c>
      <c r="AW3736" s="10" t="s">
        <v>105</v>
      </c>
      <c r="AX3736" s="17">
        <v>2357</v>
      </c>
      <c r="AY3736" s="18">
        <v>25.802269314199901</v>
      </c>
      <c r="AZ3736" s="10"/>
      <c r="BA3736" s="20" t="b">
        <v>0</v>
      </c>
      <c r="BB3736" s="10" t="s">
        <v>24711</v>
      </c>
      <c r="BC3736" s="17">
        <v>10254</v>
      </c>
      <c r="BD3736" s="17">
        <v>5993</v>
      </c>
      <c r="BE3736" s="17">
        <v>154633</v>
      </c>
      <c r="BF3736" s="17">
        <v>9.4499999999999993</v>
      </c>
      <c r="BG3736" s="11">
        <f ca="1">IFERROR(__xludf.DUMMYFUNCTION("""COMPUTED_VALUE"""),46030.4027777777)</f>
        <v>46030.402777777701</v>
      </c>
      <c r="BH3736" s="17" t="s">
        <v>105</v>
      </c>
      <c r="BI3736" s="17"/>
      <c r="BJ3736" s="15"/>
      <c r="BK3736" s="15"/>
      <c r="BL3736" s="13" t="b">
        <v>0</v>
      </c>
      <c r="BM3736" s="10"/>
      <c r="BN3736" s="10" t="s">
        <v>1149</v>
      </c>
      <c r="BO3736" s="11">
        <v>46029.816666666666</v>
      </c>
      <c r="BP3736" s="11">
        <v>46029.817141203705</v>
      </c>
      <c r="BQ3736" s="15"/>
      <c r="BR3736" s="15">
        <v>46029.912152777775</v>
      </c>
      <c r="BS3736" s="10" t="s">
        <v>1149</v>
      </c>
      <c r="BT3736" s="10"/>
      <c r="BU3736" s="10"/>
      <c r="BV3736" s="10"/>
      <c r="BW3736" s="10"/>
      <c r="BX3736" s="10"/>
      <c r="BY3736" s="23"/>
      <c r="BZ3736" s="23"/>
      <c r="CA3736" s="19" t="s">
        <v>24716</v>
      </c>
      <c r="CB3736" s="23"/>
      <c r="CC3736" s="23"/>
      <c r="CD3736" s="19" t="s">
        <v>24717</v>
      </c>
      <c r="CE3736" s="23"/>
      <c r="CF3736" s="23"/>
      <c r="CG3736" s="23"/>
      <c r="CH3736" s="23"/>
      <c r="CI3736" s="23"/>
    </row>
    <row r="3737" spans="1:87" x14ac:dyDescent="0.3">
      <c r="A3737" s="9" t="s">
        <v>25660</v>
      </c>
      <c r="B3737" s="10" t="s">
        <v>25661</v>
      </c>
      <c r="C3737" s="11">
        <v>46030.4375</v>
      </c>
      <c r="D3737" s="12">
        <v>3.4722222222222224E-2</v>
      </c>
      <c r="E3737" s="11">
        <v>46030.472222222219</v>
      </c>
      <c r="F3737" s="22" t="s">
        <v>24700</v>
      </c>
      <c r="G3737" s="13" t="b">
        <v>0</v>
      </c>
      <c r="H3737" s="22" t="s">
        <v>21384</v>
      </c>
      <c r="I3737" s="10" t="s">
        <v>9131</v>
      </c>
      <c r="J3737" s="13" t="b">
        <v>0</v>
      </c>
      <c r="K3737" s="13" t="b">
        <v>1</v>
      </c>
      <c r="L3737" s="10" t="s">
        <v>358</v>
      </c>
      <c r="M3737" s="10" t="s">
        <v>91</v>
      </c>
      <c r="N3737" s="10" t="s">
        <v>92</v>
      </c>
      <c r="O3737" s="19" t="s">
        <v>25662</v>
      </c>
      <c r="P3737" s="10"/>
      <c r="Q3737" s="10" t="s">
        <v>126</v>
      </c>
      <c r="R3737" s="10"/>
      <c r="S3737" s="19" t="s">
        <v>24714</v>
      </c>
      <c r="T3737" s="10"/>
      <c r="U3737" s="10"/>
      <c r="V3737" s="10"/>
      <c r="W3737" s="10" t="s">
        <v>24703</v>
      </c>
      <c r="X3737" s="10" t="s">
        <v>216</v>
      </c>
      <c r="Y3737" s="10" t="s">
        <v>216</v>
      </c>
      <c r="Z3737" s="10" t="s">
        <v>99</v>
      </c>
      <c r="AA3737" s="10" t="s">
        <v>131</v>
      </c>
      <c r="AB3737" s="10" t="s">
        <v>24704</v>
      </c>
      <c r="AC3737" s="10" t="s">
        <v>21389</v>
      </c>
      <c r="AD3737" s="10" t="s">
        <v>165</v>
      </c>
      <c r="AE3737" s="10" t="s">
        <v>25663</v>
      </c>
      <c r="AF3737" s="15"/>
      <c r="AG3737" s="10"/>
      <c r="AH3737" s="10"/>
      <c r="AI3737" s="10"/>
      <c r="AJ3737" s="10"/>
      <c r="AK3737" s="10" t="s">
        <v>102</v>
      </c>
      <c r="AL3737" s="10"/>
      <c r="AM3737" s="10"/>
      <c r="AN3737" s="10"/>
      <c r="AO3737" s="13" t="b">
        <v>0</v>
      </c>
      <c r="AP3737" s="22" t="s">
        <v>104</v>
      </c>
      <c r="AQ3737" s="10">
        <f ca="1">IFERROR(__xludf.DUMMYFUNCTION("""COMPUTED_VALUE"""),4832337)</f>
        <v>4832337</v>
      </c>
      <c r="AR3737" s="17">
        <v>10730</v>
      </c>
      <c r="AS3737" s="17">
        <v>6799</v>
      </c>
      <c r="AT3737" s="17">
        <v>210578.75</v>
      </c>
      <c r="AU3737" s="17">
        <v>30.1</v>
      </c>
      <c r="AV3737" s="17">
        <v>11.75</v>
      </c>
      <c r="AW3737" s="10" t="s">
        <v>105</v>
      </c>
      <c r="AX3737" s="17">
        <v>4534</v>
      </c>
      <c r="AY3737" s="18">
        <v>30.972017943815267</v>
      </c>
      <c r="AZ3737" s="10"/>
      <c r="BA3737" s="20" t="b">
        <v>0</v>
      </c>
      <c r="BB3737" s="10" t="s">
        <v>24711</v>
      </c>
      <c r="BC3737" s="17">
        <v>10730</v>
      </c>
      <c r="BD3737" s="17">
        <v>6799</v>
      </c>
      <c r="BE3737" s="17">
        <v>210578.75</v>
      </c>
      <c r="BF3737" s="17">
        <v>11.75</v>
      </c>
      <c r="BG3737" s="11">
        <f ca="1">IFERROR(__xludf.DUMMYFUNCTION("""COMPUTED_VALUE"""),46030.4375)</f>
        <v>46030.4375</v>
      </c>
      <c r="BH3737" s="17" t="s">
        <v>105</v>
      </c>
      <c r="BI3737" s="17"/>
      <c r="BJ3737" s="15"/>
      <c r="BK3737" s="15"/>
      <c r="BL3737" s="13" t="b">
        <v>0</v>
      </c>
      <c r="BM3737" s="10"/>
      <c r="BN3737" s="10" t="s">
        <v>1149</v>
      </c>
      <c r="BO3737" s="11">
        <v>46029.816666666666</v>
      </c>
      <c r="BP3737" s="11">
        <v>46029.817256944443</v>
      </c>
      <c r="BQ3737" s="15"/>
      <c r="BR3737" s="15">
        <v>46029.912256944444</v>
      </c>
      <c r="BS3737" s="10" t="s">
        <v>1149</v>
      </c>
      <c r="BT3737" s="10"/>
      <c r="BU3737" s="10"/>
      <c r="BV3737" s="10"/>
      <c r="BW3737" s="10"/>
      <c r="BX3737" s="10"/>
      <c r="BY3737" s="23"/>
      <c r="BZ3737" s="23"/>
      <c r="CA3737" s="19" t="s">
        <v>24716</v>
      </c>
      <c r="CB3737" s="23"/>
      <c r="CC3737" s="23"/>
      <c r="CD3737" s="19" t="s">
        <v>24717</v>
      </c>
      <c r="CE3737" s="23"/>
      <c r="CF3737" s="23"/>
      <c r="CG3737" s="23"/>
      <c r="CH3737" s="23"/>
      <c r="CI3737" s="23"/>
    </row>
    <row r="3738" spans="1:87" x14ac:dyDescent="0.3">
      <c r="A3738" s="9" t="s">
        <v>25664</v>
      </c>
      <c r="B3738" s="10" t="s">
        <v>25665</v>
      </c>
      <c r="C3738" s="11">
        <v>46030.472222222219</v>
      </c>
      <c r="D3738" s="12">
        <v>3.4722222222222224E-2</v>
      </c>
      <c r="E3738" s="11">
        <v>46030.506944444445</v>
      </c>
      <c r="F3738" s="22" t="s">
        <v>24700</v>
      </c>
      <c r="G3738" s="13" t="b">
        <v>0</v>
      </c>
      <c r="H3738" s="22" t="s">
        <v>21384</v>
      </c>
      <c r="I3738" s="10" t="s">
        <v>9131</v>
      </c>
      <c r="J3738" s="13" t="b">
        <v>0</v>
      </c>
      <c r="K3738" s="13" t="b">
        <v>1</v>
      </c>
      <c r="L3738" s="10" t="s">
        <v>358</v>
      </c>
      <c r="M3738" s="10" t="s">
        <v>91</v>
      </c>
      <c r="N3738" s="10" t="s">
        <v>92</v>
      </c>
      <c r="O3738" s="19" t="s">
        <v>25666</v>
      </c>
      <c r="P3738" s="10"/>
      <c r="Q3738" s="10" t="s">
        <v>126</v>
      </c>
      <c r="R3738" s="10"/>
      <c r="S3738" s="19" t="s">
        <v>24714</v>
      </c>
      <c r="T3738" s="10"/>
      <c r="U3738" s="10"/>
      <c r="V3738" s="10"/>
      <c r="W3738" s="10" t="s">
        <v>24703</v>
      </c>
      <c r="X3738" s="10" t="s">
        <v>216</v>
      </c>
      <c r="Y3738" s="10" t="s">
        <v>216</v>
      </c>
      <c r="Z3738" s="10" t="s">
        <v>99</v>
      </c>
      <c r="AA3738" s="10" t="s">
        <v>131</v>
      </c>
      <c r="AB3738" s="10" t="s">
        <v>24704</v>
      </c>
      <c r="AC3738" s="10" t="s">
        <v>21389</v>
      </c>
      <c r="AD3738" s="10" t="s">
        <v>165</v>
      </c>
      <c r="AE3738" s="10" t="s">
        <v>25667</v>
      </c>
      <c r="AF3738" s="15"/>
      <c r="AG3738" s="10"/>
      <c r="AH3738" s="10"/>
      <c r="AI3738" s="10"/>
      <c r="AJ3738" s="10"/>
      <c r="AK3738" s="10" t="s">
        <v>102</v>
      </c>
      <c r="AL3738" s="10"/>
      <c r="AM3738" s="10"/>
      <c r="AN3738" s="10"/>
      <c r="AO3738" s="13" t="b">
        <v>0</v>
      </c>
      <c r="AP3738" s="22" t="s">
        <v>104</v>
      </c>
      <c r="AQ3738" s="10">
        <f ca="1">IFERROR(__xludf.DUMMYFUNCTION("""COMPUTED_VALUE"""),4832338)</f>
        <v>4832338</v>
      </c>
      <c r="AR3738" s="17">
        <v>24937</v>
      </c>
      <c r="AS3738" s="17">
        <v>14744</v>
      </c>
      <c r="AT3738" s="17">
        <v>330088.5</v>
      </c>
      <c r="AU3738" s="17">
        <v>117.5</v>
      </c>
      <c r="AV3738" s="17">
        <v>38.35</v>
      </c>
      <c r="AW3738" s="10" t="s">
        <v>105</v>
      </c>
      <c r="AX3738" s="17">
        <v>9083</v>
      </c>
      <c r="AY3738" s="18">
        <v>22.387988334237654</v>
      </c>
      <c r="AZ3738" s="10"/>
      <c r="BA3738" s="20" t="b">
        <v>0</v>
      </c>
      <c r="BB3738" s="10" t="s">
        <v>24711</v>
      </c>
      <c r="BC3738" s="17">
        <v>24937</v>
      </c>
      <c r="BD3738" s="17">
        <v>14744</v>
      </c>
      <c r="BE3738" s="17">
        <v>330088.5</v>
      </c>
      <c r="BF3738" s="17">
        <v>38.35</v>
      </c>
      <c r="BG3738" s="11">
        <f ca="1">IFERROR(__xludf.DUMMYFUNCTION("""COMPUTED_VALUE"""),46030.4722222222)</f>
        <v>46030.472222222197</v>
      </c>
      <c r="BH3738" s="17" t="s">
        <v>105</v>
      </c>
      <c r="BI3738" s="17"/>
      <c r="BJ3738" s="15"/>
      <c r="BK3738" s="15"/>
      <c r="BL3738" s="13" t="b">
        <v>0</v>
      </c>
      <c r="BM3738" s="10"/>
      <c r="BN3738" s="10" t="s">
        <v>1149</v>
      </c>
      <c r="BO3738" s="11">
        <v>46029.816666666666</v>
      </c>
      <c r="BP3738" s="11">
        <v>46029.817361111112</v>
      </c>
      <c r="BQ3738" s="15"/>
      <c r="BR3738" s="15">
        <v>46029.912361111114</v>
      </c>
      <c r="BS3738" s="10" t="s">
        <v>1149</v>
      </c>
      <c r="BT3738" s="10" t="s">
        <v>99</v>
      </c>
      <c r="BU3738" s="10"/>
      <c r="BV3738" s="10"/>
      <c r="BW3738" s="10"/>
      <c r="BX3738" s="10"/>
      <c r="BY3738" s="23"/>
      <c r="BZ3738" s="23"/>
      <c r="CA3738" s="19" t="s">
        <v>24716</v>
      </c>
      <c r="CB3738" s="23"/>
      <c r="CC3738" s="23"/>
      <c r="CD3738" s="19" t="s">
        <v>24717</v>
      </c>
      <c r="CE3738" s="23"/>
      <c r="CF3738" s="23"/>
      <c r="CG3738" s="23"/>
      <c r="CH3738" s="23"/>
      <c r="CI3738" s="23"/>
    </row>
    <row r="3739" spans="1:87" x14ac:dyDescent="0.3">
      <c r="A3739" s="9" t="s">
        <v>25668</v>
      </c>
      <c r="B3739" s="10" t="s">
        <v>25669</v>
      </c>
      <c r="C3739" s="11">
        <v>46030.506944444445</v>
      </c>
      <c r="D3739" s="12">
        <v>3.4722222222222224E-2</v>
      </c>
      <c r="E3739" s="11">
        <v>46030.541666666664</v>
      </c>
      <c r="F3739" s="22" t="s">
        <v>24700</v>
      </c>
      <c r="G3739" s="13" t="b">
        <v>0</v>
      </c>
      <c r="H3739" s="22" t="s">
        <v>21384</v>
      </c>
      <c r="I3739" s="10" t="s">
        <v>9131</v>
      </c>
      <c r="J3739" s="13" t="b">
        <v>0</v>
      </c>
      <c r="K3739" s="13" t="b">
        <v>1</v>
      </c>
      <c r="L3739" s="10" t="s">
        <v>124</v>
      </c>
      <c r="M3739" s="10" t="s">
        <v>91</v>
      </c>
      <c r="N3739" s="10" t="s">
        <v>92</v>
      </c>
      <c r="O3739" s="19" t="s">
        <v>25670</v>
      </c>
      <c r="P3739" s="10"/>
      <c r="Q3739" s="10" t="s">
        <v>126</v>
      </c>
      <c r="R3739" s="10"/>
      <c r="S3739" s="19" t="s">
        <v>24714</v>
      </c>
      <c r="T3739" s="10"/>
      <c r="U3739" s="10"/>
      <c r="V3739" s="10"/>
      <c r="W3739" s="10" t="s">
        <v>24703</v>
      </c>
      <c r="X3739" s="10" t="s">
        <v>216</v>
      </c>
      <c r="Y3739" s="10" t="s">
        <v>216</v>
      </c>
      <c r="Z3739" s="10" t="s">
        <v>99</v>
      </c>
      <c r="AA3739" s="10" t="s">
        <v>131</v>
      </c>
      <c r="AB3739" s="10" t="s">
        <v>24704</v>
      </c>
      <c r="AC3739" s="10" t="s">
        <v>21389</v>
      </c>
      <c r="AD3739" s="10" t="s">
        <v>165</v>
      </c>
      <c r="AE3739" s="10" t="s">
        <v>25671</v>
      </c>
      <c r="AF3739" s="15"/>
      <c r="AG3739" s="10"/>
      <c r="AH3739" s="10"/>
      <c r="AI3739" s="10"/>
      <c r="AJ3739" s="10"/>
      <c r="AK3739" s="10" t="s">
        <v>102</v>
      </c>
      <c r="AL3739" s="10"/>
      <c r="AM3739" s="10"/>
      <c r="AN3739" s="10"/>
      <c r="AO3739" s="13" t="b">
        <v>0</v>
      </c>
      <c r="AP3739" s="22" t="s">
        <v>135</v>
      </c>
      <c r="AQ3739" s="10">
        <f ca="1">IFERROR(__xludf.DUMMYFUNCTION("""COMPUTED_VALUE"""),4832339)</f>
        <v>4832339</v>
      </c>
      <c r="AR3739" s="17">
        <v>8650</v>
      </c>
      <c r="AS3739" s="17">
        <v>6132</v>
      </c>
      <c r="AT3739" s="17">
        <v>51805.75</v>
      </c>
      <c r="AU3739" s="17">
        <v>11.25</v>
      </c>
      <c r="AV3739" s="17">
        <v>5.25</v>
      </c>
      <c r="AW3739" s="10" t="s">
        <v>105</v>
      </c>
      <c r="AX3739" s="17">
        <v>9043</v>
      </c>
      <c r="AY3739" s="18">
        <v>8.4484262883235495</v>
      </c>
      <c r="AZ3739" s="10"/>
      <c r="BA3739" s="20" t="b">
        <v>0</v>
      </c>
      <c r="BB3739" s="10" t="s">
        <v>24711</v>
      </c>
      <c r="BC3739" s="17">
        <v>8650</v>
      </c>
      <c r="BD3739" s="17">
        <v>6132</v>
      </c>
      <c r="BE3739" s="17">
        <v>51805.75</v>
      </c>
      <c r="BF3739" s="17">
        <v>5.25</v>
      </c>
      <c r="BG3739" s="11">
        <f ca="1">IFERROR(__xludf.DUMMYFUNCTION("""COMPUTED_VALUE"""),46030.5069444444)</f>
        <v>46030.506944444402</v>
      </c>
      <c r="BH3739" s="17" t="s">
        <v>105</v>
      </c>
      <c r="BI3739" s="17"/>
      <c r="BJ3739" s="15"/>
      <c r="BK3739" s="15"/>
      <c r="BL3739" s="13" t="b">
        <v>0</v>
      </c>
      <c r="BM3739" s="10"/>
      <c r="BN3739" s="10" t="s">
        <v>1149</v>
      </c>
      <c r="BO3739" s="11">
        <v>46029.817361111112</v>
      </c>
      <c r="BP3739" s="11">
        <v>46029.817488425928</v>
      </c>
      <c r="BQ3739" s="15"/>
      <c r="BR3739" s="15">
        <v>46029.912488425929</v>
      </c>
      <c r="BS3739" s="10" t="s">
        <v>1149</v>
      </c>
      <c r="BT3739" s="10"/>
      <c r="BU3739" s="10"/>
      <c r="BV3739" s="10"/>
      <c r="BW3739" s="10"/>
      <c r="BX3739" s="10"/>
      <c r="BY3739" s="23"/>
      <c r="BZ3739" s="23"/>
      <c r="CA3739" s="19" t="s">
        <v>24716</v>
      </c>
      <c r="CB3739" s="23"/>
      <c r="CC3739" s="23"/>
      <c r="CD3739" s="19" t="s">
        <v>24717</v>
      </c>
      <c r="CE3739" s="23"/>
      <c r="CF3739" s="23"/>
      <c r="CG3739" s="23"/>
      <c r="CH3739" s="23"/>
      <c r="CI3739" s="23"/>
    </row>
    <row r="3740" spans="1:87" x14ac:dyDescent="0.3">
      <c r="A3740" s="9" t="s">
        <v>25672</v>
      </c>
      <c r="B3740" s="10" t="s">
        <v>25673</v>
      </c>
      <c r="C3740" s="11">
        <v>46030.541666666664</v>
      </c>
      <c r="D3740" s="12">
        <v>3.4722222222222224E-2</v>
      </c>
      <c r="E3740" s="11">
        <v>46030.576388888891</v>
      </c>
      <c r="F3740" s="22" t="s">
        <v>24700</v>
      </c>
      <c r="G3740" s="13" t="b">
        <v>0</v>
      </c>
      <c r="H3740" s="22" t="s">
        <v>21384</v>
      </c>
      <c r="I3740" s="10" t="s">
        <v>9131</v>
      </c>
      <c r="J3740" s="13" t="b">
        <v>0</v>
      </c>
      <c r="K3740" s="13" t="b">
        <v>1</v>
      </c>
      <c r="L3740" s="10" t="s">
        <v>124</v>
      </c>
      <c r="M3740" s="10" t="s">
        <v>91</v>
      </c>
      <c r="N3740" s="10" t="s">
        <v>92</v>
      </c>
      <c r="O3740" s="19" t="s">
        <v>25674</v>
      </c>
      <c r="P3740" s="10"/>
      <c r="Q3740" s="10" t="s">
        <v>126</v>
      </c>
      <c r="R3740" s="10"/>
      <c r="S3740" s="19" t="s">
        <v>24714</v>
      </c>
      <c r="T3740" s="10"/>
      <c r="U3740" s="10"/>
      <c r="V3740" s="10"/>
      <c r="W3740" s="10" t="s">
        <v>24703</v>
      </c>
      <c r="X3740" s="10" t="s">
        <v>216</v>
      </c>
      <c r="Y3740" s="10" t="s">
        <v>216</v>
      </c>
      <c r="Z3740" s="10" t="s">
        <v>99</v>
      </c>
      <c r="AA3740" s="10" t="s">
        <v>131</v>
      </c>
      <c r="AB3740" s="10" t="s">
        <v>24704</v>
      </c>
      <c r="AC3740" s="10" t="s">
        <v>21389</v>
      </c>
      <c r="AD3740" s="10" t="s">
        <v>165</v>
      </c>
      <c r="AE3740" s="10" t="s">
        <v>25675</v>
      </c>
      <c r="AF3740" s="15"/>
      <c r="AG3740" s="10"/>
      <c r="AH3740" s="10"/>
      <c r="AI3740" s="10"/>
      <c r="AJ3740" s="10"/>
      <c r="AK3740" s="10" t="s">
        <v>102</v>
      </c>
      <c r="AL3740" s="10"/>
      <c r="AM3740" s="10"/>
      <c r="AN3740" s="10"/>
      <c r="AO3740" s="13" t="b">
        <v>0</v>
      </c>
      <c r="AP3740" s="22" t="s">
        <v>104</v>
      </c>
      <c r="AQ3740" s="10">
        <f ca="1">IFERROR(__xludf.DUMMYFUNCTION("""COMPUTED_VALUE"""),4832340)</f>
        <v>4832340</v>
      </c>
      <c r="AR3740" s="17">
        <v>7618</v>
      </c>
      <c r="AS3740" s="17">
        <v>5309</v>
      </c>
      <c r="AT3740" s="17">
        <v>109729.75</v>
      </c>
      <c r="AU3740" s="17">
        <v>14.95</v>
      </c>
      <c r="AV3740" s="17">
        <v>4.8</v>
      </c>
      <c r="AW3740" s="10" t="s">
        <v>105</v>
      </c>
      <c r="AX3740" s="17">
        <v>3498</v>
      </c>
      <c r="AY3740" s="18">
        <v>20.66862874364287</v>
      </c>
      <c r="AZ3740" s="10"/>
      <c r="BA3740" s="20" t="b">
        <v>0</v>
      </c>
      <c r="BB3740" s="10" t="s">
        <v>24711</v>
      </c>
      <c r="BC3740" s="17">
        <v>7618</v>
      </c>
      <c r="BD3740" s="17">
        <v>5309</v>
      </c>
      <c r="BE3740" s="17">
        <v>109729.75</v>
      </c>
      <c r="BF3740" s="17">
        <v>4.8</v>
      </c>
      <c r="BG3740" s="11">
        <f ca="1">IFERROR(__xludf.DUMMYFUNCTION("""COMPUTED_VALUE"""),46030.5416666666)</f>
        <v>46030.541666666599</v>
      </c>
      <c r="BH3740" s="17" t="s">
        <v>105</v>
      </c>
      <c r="BI3740" s="17"/>
      <c r="BJ3740" s="15"/>
      <c r="BK3740" s="15"/>
      <c r="BL3740" s="13" t="b">
        <v>0</v>
      </c>
      <c r="BM3740" s="10"/>
      <c r="BN3740" s="10" t="s">
        <v>1149</v>
      </c>
      <c r="BO3740" s="11">
        <v>46029.817361111112</v>
      </c>
      <c r="BP3740" s="11">
        <v>46029.817604166667</v>
      </c>
      <c r="BQ3740" s="15"/>
      <c r="BR3740" s="15">
        <v>46029.912615740737</v>
      </c>
      <c r="BS3740" s="10" t="s">
        <v>1149</v>
      </c>
      <c r="BT3740" s="10"/>
      <c r="BU3740" s="10"/>
      <c r="BV3740" s="10"/>
      <c r="BW3740" s="10"/>
      <c r="BX3740" s="10"/>
      <c r="BY3740" s="23"/>
      <c r="BZ3740" s="23"/>
      <c r="CA3740" s="19" t="s">
        <v>24716</v>
      </c>
      <c r="CB3740" s="23"/>
      <c r="CC3740" s="23"/>
      <c r="CD3740" s="19" t="s">
        <v>24717</v>
      </c>
      <c r="CE3740" s="23"/>
      <c r="CF3740" s="23"/>
      <c r="CG3740" s="23"/>
      <c r="CH3740" s="23"/>
      <c r="CI3740" s="23"/>
    </row>
    <row r="3741" spans="1:87" x14ac:dyDescent="0.3">
      <c r="A3741" s="9" t="s">
        <v>25676</v>
      </c>
      <c r="B3741" s="10" t="s">
        <v>25677</v>
      </c>
      <c r="C3741" s="11">
        <v>46030.576388888891</v>
      </c>
      <c r="D3741" s="12">
        <v>3.4722222222222224E-2</v>
      </c>
      <c r="E3741" s="11">
        <v>46030.611111111109</v>
      </c>
      <c r="F3741" s="22" t="s">
        <v>24700</v>
      </c>
      <c r="G3741" s="13" t="b">
        <v>0</v>
      </c>
      <c r="H3741" s="22" t="s">
        <v>21384</v>
      </c>
      <c r="I3741" s="10" t="s">
        <v>9131</v>
      </c>
      <c r="J3741" s="13" t="b">
        <v>0</v>
      </c>
      <c r="K3741" s="13" t="b">
        <v>1</v>
      </c>
      <c r="L3741" s="10" t="s">
        <v>124</v>
      </c>
      <c r="M3741" s="10" t="s">
        <v>91</v>
      </c>
      <c r="N3741" s="10" t="s">
        <v>92</v>
      </c>
      <c r="O3741" s="19" t="s">
        <v>25678</v>
      </c>
      <c r="P3741" s="10"/>
      <c r="Q3741" s="10" t="s">
        <v>126</v>
      </c>
      <c r="R3741" s="10"/>
      <c r="S3741" s="19" t="s">
        <v>24714</v>
      </c>
      <c r="T3741" s="10"/>
      <c r="U3741" s="10"/>
      <c r="V3741" s="10"/>
      <c r="W3741" s="10" t="s">
        <v>24703</v>
      </c>
      <c r="X3741" s="10" t="s">
        <v>216</v>
      </c>
      <c r="Y3741" s="10" t="s">
        <v>216</v>
      </c>
      <c r="Z3741" s="10" t="s">
        <v>99</v>
      </c>
      <c r="AA3741" s="10" t="s">
        <v>131</v>
      </c>
      <c r="AB3741" s="10" t="s">
        <v>24704</v>
      </c>
      <c r="AC3741" s="10" t="s">
        <v>21389</v>
      </c>
      <c r="AD3741" s="10" t="s">
        <v>165</v>
      </c>
      <c r="AE3741" s="10" t="s">
        <v>25679</v>
      </c>
      <c r="AF3741" s="15"/>
      <c r="AG3741" s="10"/>
      <c r="AH3741" s="10"/>
      <c r="AI3741" s="10"/>
      <c r="AJ3741" s="10"/>
      <c r="AK3741" s="10" t="s">
        <v>102</v>
      </c>
      <c r="AL3741" s="10"/>
      <c r="AM3741" s="10"/>
      <c r="AN3741" s="10"/>
      <c r="AO3741" s="13" t="b">
        <v>0</v>
      </c>
      <c r="AP3741" s="22" t="s">
        <v>104</v>
      </c>
      <c r="AQ3741" s="10">
        <f ca="1">IFERROR(__xludf.DUMMYFUNCTION("""COMPUTED_VALUE"""),4832342)</f>
        <v>4832342</v>
      </c>
      <c r="AR3741" s="17">
        <v>11060</v>
      </c>
      <c r="AS3741" s="17">
        <v>6883</v>
      </c>
      <c r="AT3741" s="17">
        <v>123918</v>
      </c>
      <c r="AU3741" s="17">
        <v>21.05</v>
      </c>
      <c r="AV3741" s="17">
        <v>4.9000000000000004</v>
      </c>
      <c r="AW3741" s="10" t="s">
        <v>105</v>
      </c>
      <c r="AX3741" s="17">
        <v>3455</v>
      </c>
      <c r="AY3741" s="18">
        <v>18.003486851663517</v>
      </c>
      <c r="AZ3741" s="10"/>
      <c r="BA3741" s="20" t="b">
        <v>0</v>
      </c>
      <c r="BB3741" s="10" t="s">
        <v>24711</v>
      </c>
      <c r="BC3741" s="17">
        <v>11060</v>
      </c>
      <c r="BD3741" s="17">
        <v>6883</v>
      </c>
      <c r="BE3741" s="17">
        <v>123918</v>
      </c>
      <c r="BF3741" s="17">
        <v>4.9000000000000004</v>
      </c>
      <c r="BG3741" s="11">
        <f ca="1">IFERROR(__xludf.DUMMYFUNCTION("""COMPUTED_VALUE"""),46030.5763888888)</f>
        <v>46030.576388888803</v>
      </c>
      <c r="BH3741" s="17" t="s">
        <v>105</v>
      </c>
      <c r="BI3741" s="17"/>
      <c r="BJ3741" s="15"/>
      <c r="BK3741" s="15"/>
      <c r="BL3741" s="13" t="b">
        <v>0</v>
      </c>
      <c r="BM3741" s="10"/>
      <c r="BN3741" s="10" t="s">
        <v>1149</v>
      </c>
      <c r="BO3741" s="11">
        <v>46029.817361111112</v>
      </c>
      <c r="BP3741" s="11">
        <v>46029.817719907405</v>
      </c>
      <c r="BQ3741" s="15"/>
      <c r="BR3741" s="15">
        <v>46029.91269675926</v>
      </c>
      <c r="BS3741" s="10" t="s">
        <v>1149</v>
      </c>
      <c r="BT3741" s="10"/>
      <c r="BU3741" s="10"/>
      <c r="BV3741" s="10"/>
      <c r="BW3741" s="10"/>
      <c r="BX3741" s="10"/>
      <c r="BY3741" s="23"/>
      <c r="BZ3741" s="23"/>
      <c r="CA3741" s="19" t="s">
        <v>24716</v>
      </c>
      <c r="CB3741" s="23"/>
      <c r="CC3741" s="23"/>
      <c r="CD3741" s="19" t="s">
        <v>24717</v>
      </c>
      <c r="CE3741" s="23"/>
      <c r="CF3741" s="23"/>
      <c r="CG3741" s="23"/>
      <c r="CH3741" s="23"/>
      <c r="CI3741" s="23"/>
    </row>
    <row r="3742" spans="1:87" x14ac:dyDescent="0.3">
      <c r="A3742" s="9" t="s">
        <v>25680</v>
      </c>
      <c r="B3742" s="10" t="s">
        <v>25681</v>
      </c>
      <c r="C3742" s="11">
        <v>46030.611111111109</v>
      </c>
      <c r="D3742" s="12">
        <v>3.4722222222222224E-2</v>
      </c>
      <c r="E3742" s="11">
        <v>46030.645833333336</v>
      </c>
      <c r="F3742" s="22" t="s">
        <v>24700</v>
      </c>
      <c r="G3742" s="13" t="b">
        <v>0</v>
      </c>
      <c r="H3742" s="22" t="s">
        <v>21384</v>
      </c>
      <c r="I3742" s="10" t="s">
        <v>9131</v>
      </c>
      <c r="J3742" s="13" t="b">
        <v>0</v>
      </c>
      <c r="K3742" s="13" t="b">
        <v>1</v>
      </c>
      <c r="L3742" s="10" t="s">
        <v>124</v>
      </c>
      <c r="M3742" s="10" t="s">
        <v>91</v>
      </c>
      <c r="N3742" s="10" t="s">
        <v>92</v>
      </c>
      <c r="O3742" s="19" t="s">
        <v>25682</v>
      </c>
      <c r="P3742" s="10"/>
      <c r="Q3742" s="10" t="s">
        <v>126</v>
      </c>
      <c r="R3742" s="10"/>
      <c r="S3742" s="19" t="s">
        <v>24714</v>
      </c>
      <c r="T3742" s="10"/>
      <c r="U3742" s="10"/>
      <c r="V3742" s="10"/>
      <c r="W3742" s="10" t="s">
        <v>24703</v>
      </c>
      <c r="X3742" s="10" t="s">
        <v>216</v>
      </c>
      <c r="Y3742" s="10" t="s">
        <v>216</v>
      </c>
      <c r="Z3742" s="10" t="s">
        <v>99</v>
      </c>
      <c r="AA3742" s="10" t="s">
        <v>131</v>
      </c>
      <c r="AB3742" s="10" t="s">
        <v>24704</v>
      </c>
      <c r="AC3742" s="10" t="s">
        <v>21389</v>
      </c>
      <c r="AD3742" s="10" t="s">
        <v>165</v>
      </c>
      <c r="AE3742" s="10" t="s">
        <v>25683</v>
      </c>
      <c r="AF3742" s="15"/>
      <c r="AG3742" s="10"/>
      <c r="AH3742" s="10"/>
      <c r="AI3742" s="10"/>
      <c r="AJ3742" s="10"/>
      <c r="AK3742" s="10" t="s">
        <v>102</v>
      </c>
      <c r="AL3742" s="10"/>
      <c r="AM3742" s="10"/>
      <c r="AN3742" s="10"/>
      <c r="AO3742" s="13" t="b">
        <v>0</v>
      </c>
      <c r="AP3742" s="22" t="s">
        <v>135</v>
      </c>
      <c r="AQ3742" s="10">
        <f ca="1">IFERROR(__xludf.DUMMYFUNCTION("""COMPUTED_VALUE"""),4832343)</f>
        <v>4832343</v>
      </c>
      <c r="AR3742" s="17">
        <v>8414</v>
      </c>
      <c r="AS3742" s="17">
        <v>5358</v>
      </c>
      <c r="AT3742" s="17">
        <v>54014</v>
      </c>
      <c r="AU3742" s="17">
        <v>11.35</v>
      </c>
      <c r="AV3742" s="17">
        <v>4.8499999999999996</v>
      </c>
      <c r="AW3742" s="10" t="s">
        <v>105</v>
      </c>
      <c r="AX3742" s="17">
        <v>3070</v>
      </c>
      <c r="AY3742" s="18">
        <v>10.081000373273609</v>
      </c>
      <c r="AZ3742" s="10"/>
      <c r="BA3742" s="20" t="b">
        <v>0</v>
      </c>
      <c r="BB3742" s="10" t="s">
        <v>24711</v>
      </c>
      <c r="BC3742" s="17">
        <v>8414</v>
      </c>
      <c r="BD3742" s="17">
        <v>5358</v>
      </c>
      <c r="BE3742" s="17">
        <v>54014</v>
      </c>
      <c r="BF3742" s="17">
        <v>4.8499999999999996</v>
      </c>
      <c r="BG3742" s="11">
        <f ca="1">IFERROR(__xludf.DUMMYFUNCTION("""COMPUTED_VALUE"""),46030.6111111111)</f>
        <v>46030.611111111102</v>
      </c>
      <c r="BH3742" s="17" t="s">
        <v>105</v>
      </c>
      <c r="BI3742" s="17"/>
      <c r="BJ3742" s="15"/>
      <c r="BK3742" s="15"/>
      <c r="BL3742" s="13" t="b">
        <v>0</v>
      </c>
      <c r="BM3742" s="10"/>
      <c r="BN3742" s="10" t="s">
        <v>1149</v>
      </c>
      <c r="BO3742" s="11">
        <v>46029.817361111112</v>
      </c>
      <c r="BP3742" s="11">
        <v>46029.817789351851</v>
      </c>
      <c r="BQ3742" s="15"/>
      <c r="BR3742" s="15">
        <v>46029.912812499999</v>
      </c>
      <c r="BS3742" s="10" t="s">
        <v>1149</v>
      </c>
      <c r="BT3742" s="10"/>
      <c r="BU3742" s="10"/>
      <c r="BV3742" s="10"/>
      <c r="BW3742" s="10"/>
      <c r="BX3742" s="10"/>
      <c r="BY3742" s="23"/>
      <c r="BZ3742" s="23"/>
      <c r="CA3742" s="19" t="s">
        <v>24716</v>
      </c>
      <c r="CB3742" s="23"/>
      <c r="CC3742" s="23"/>
      <c r="CD3742" s="19" t="s">
        <v>24717</v>
      </c>
      <c r="CE3742" s="23"/>
      <c r="CF3742" s="23"/>
      <c r="CG3742" s="23"/>
      <c r="CH3742" s="23"/>
      <c r="CI3742" s="23"/>
    </row>
    <row r="3743" spans="1:87" x14ac:dyDescent="0.3">
      <c r="A3743" s="9" t="s">
        <v>25684</v>
      </c>
      <c r="B3743" s="10" t="s">
        <v>25685</v>
      </c>
      <c r="C3743" s="11">
        <v>46030.645833333336</v>
      </c>
      <c r="D3743" s="12">
        <v>3.4722222222222224E-2</v>
      </c>
      <c r="E3743" s="11">
        <v>46030.680555555555</v>
      </c>
      <c r="F3743" s="22" t="s">
        <v>24700</v>
      </c>
      <c r="G3743" s="13" t="b">
        <v>0</v>
      </c>
      <c r="H3743" s="22" t="s">
        <v>21384</v>
      </c>
      <c r="I3743" s="10" t="s">
        <v>9131</v>
      </c>
      <c r="J3743" s="13" t="b">
        <v>0</v>
      </c>
      <c r="K3743" s="13" t="b">
        <v>1</v>
      </c>
      <c r="L3743" s="10" t="s">
        <v>358</v>
      </c>
      <c r="M3743" s="10" t="s">
        <v>91</v>
      </c>
      <c r="N3743" s="10" t="s">
        <v>92</v>
      </c>
      <c r="O3743" s="19" t="s">
        <v>25686</v>
      </c>
      <c r="P3743" s="10"/>
      <c r="Q3743" s="10" t="s">
        <v>126</v>
      </c>
      <c r="R3743" s="10"/>
      <c r="S3743" s="19" t="s">
        <v>24714</v>
      </c>
      <c r="T3743" s="10"/>
      <c r="U3743" s="10"/>
      <c r="V3743" s="10"/>
      <c r="W3743" s="10" t="s">
        <v>24703</v>
      </c>
      <c r="X3743" s="10" t="s">
        <v>216</v>
      </c>
      <c r="Y3743" s="10" t="s">
        <v>216</v>
      </c>
      <c r="Z3743" s="10" t="s">
        <v>99</v>
      </c>
      <c r="AA3743" s="10" t="s">
        <v>131</v>
      </c>
      <c r="AB3743" s="10" t="s">
        <v>24704</v>
      </c>
      <c r="AC3743" s="10" t="s">
        <v>21389</v>
      </c>
      <c r="AD3743" s="10" t="s">
        <v>165</v>
      </c>
      <c r="AE3743" s="10" t="s">
        <v>25687</v>
      </c>
      <c r="AF3743" s="15"/>
      <c r="AG3743" s="10"/>
      <c r="AH3743" s="10"/>
      <c r="AI3743" s="10"/>
      <c r="AJ3743" s="10"/>
      <c r="AK3743" s="10" t="s">
        <v>102</v>
      </c>
      <c r="AL3743" s="10"/>
      <c r="AM3743" s="10"/>
      <c r="AN3743" s="10"/>
      <c r="AO3743" s="13" t="b">
        <v>0</v>
      </c>
      <c r="AP3743" s="22" t="s">
        <v>104</v>
      </c>
      <c r="AQ3743" s="10">
        <f ca="1">IFERROR(__xludf.DUMMYFUNCTION("""COMPUTED_VALUE"""),4832344)</f>
        <v>4832344</v>
      </c>
      <c r="AR3743" s="17">
        <v>5196</v>
      </c>
      <c r="AS3743" s="17">
        <v>3686</v>
      </c>
      <c r="AT3743" s="17">
        <v>11044.5</v>
      </c>
      <c r="AU3743" s="17">
        <v>5.65</v>
      </c>
      <c r="AV3743" s="17">
        <v>2.75</v>
      </c>
      <c r="AW3743" s="10" t="s">
        <v>105</v>
      </c>
      <c r="AX3743" s="17">
        <v>2458</v>
      </c>
      <c r="AY3743" s="18">
        <v>2.9963374932175801</v>
      </c>
      <c r="AZ3743" s="10"/>
      <c r="BA3743" s="20" t="b">
        <v>0</v>
      </c>
      <c r="BB3743" s="10" t="s">
        <v>24711</v>
      </c>
      <c r="BC3743" s="17">
        <v>5196</v>
      </c>
      <c r="BD3743" s="17">
        <v>3686</v>
      </c>
      <c r="BE3743" s="17">
        <v>11044.5</v>
      </c>
      <c r="BF3743" s="17">
        <v>2.75</v>
      </c>
      <c r="BG3743" s="11">
        <f ca="1">IFERROR(__xludf.DUMMYFUNCTION("""COMPUTED_VALUE"""),46030.6458333333)</f>
        <v>46030.645833333299</v>
      </c>
      <c r="BH3743" s="17" t="s">
        <v>105</v>
      </c>
      <c r="BI3743" s="17"/>
      <c r="BJ3743" s="15"/>
      <c r="BK3743" s="15"/>
      <c r="BL3743" s="13" t="b">
        <v>0</v>
      </c>
      <c r="BM3743" s="10"/>
      <c r="BN3743" s="10" t="s">
        <v>1149</v>
      </c>
      <c r="BO3743" s="11">
        <v>46029.817361111112</v>
      </c>
      <c r="BP3743" s="11">
        <v>46029.81795138889</v>
      </c>
      <c r="BQ3743" s="15"/>
      <c r="BR3743" s="15">
        <v>46029.912905092591</v>
      </c>
      <c r="BS3743" s="10" t="s">
        <v>1149</v>
      </c>
      <c r="BT3743" s="10"/>
      <c r="BU3743" s="10"/>
      <c r="BV3743" s="10"/>
      <c r="BW3743" s="10"/>
      <c r="BX3743" s="10"/>
      <c r="BY3743" s="23"/>
      <c r="BZ3743" s="23"/>
      <c r="CA3743" s="19" t="s">
        <v>24716</v>
      </c>
      <c r="CB3743" s="23"/>
      <c r="CC3743" s="23"/>
      <c r="CD3743" s="19" t="s">
        <v>24717</v>
      </c>
      <c r="CE3743" s="23"/>
      <c r="CF3743" s="23"/>
      <c r="CG3743" s="23"/>
      <c r="CH3743" s="23"/>
      <c r="CI3743" s="23"/>
    </row>
    <row r="3744" spans="1:87" x14ac:dyDescent="0.3">
      <c r="A3744" s="9" t="s">
        <v>25688</v>
      </c>
      <c r="B3744" s="10" t="s">
        <v>25689</v>
      </c>
      <c r="C3744" s="11">
        <v>46030.680555555555</v>
      </c>
      <c r="D3744" s="12">
        <v>3.4722222222222224E-2</v>
      </c>
      <c r="E3744" s="11">
        <v>46030.715277777781</v>
      </c>
      <c r="F3744" s="22" t="s">
        <v>24700</v>
      </c>
      <c r="G3744" s="13" t="b">
        <v>0</v>
      </c>
      <c r="H3744" s="22" t="s">
        <v>21384</v>
      </c>
      <c r="I3744" s="10" t="s">
        <v>9131</v>
      </c>
      <c r="J3744" s="13" t="b">
        <v>0</v>
      </c>
      <c r="K3744" s="13" t="b">
        <v>1</v>
      </c>
      <c r="L3744" s="10" t="s">
        <v>124</v>
      </c>
      <c r="M3744" s="10" t="s">
        <v>91</v>
      </c>
      <c r="N3744" s="10" t="s">
        <v>92</v>
      </c>
      <c r="O3744" s="19" t="s">
        <v>25690</v>
      </c>
      <c r="P3744" s="10"/>
      <c r="Q3744" s="10" t="s">
        <v>126</v>
      </c>
      <c r="R3744" s="10"/>
      <c r="S3744" s="19" t="s">
        <v>24714</v>
      </c>
      <c r="T3744" s="10"/>
      <c r="U3744" s="10"/>
      <c r="V3744" s="10"/>
      <c r="W3744" s="10" t="s">
        <v>24703</v>
      </c>
      <c r="X3744" s="10" t="s">
        <v>216</v>
      </c>
      <c r="Y3744" s="10" t="s">
        <v>216</v>
      </c>
      <c r="Z3744" s="10" t="s">
        <v>99</v>
      </c>
      <c r="AA3744" s="10" t="s">
        <v>131</v>
      </c>
      <c r="AB3744" s="10" t="s">
        <v>24704</v>
      </c>
      <c r="AC3744" s="10" t="s">
        <v>21389</v>
      </c>
      <c r="AD3744" s="10" t="s">
        <v>165</v>
      </c>
      <c r="AE3744" s="10" t="s">
        <v>25691</v>
      </c>
      <c r="AF3744" s="15"/>
      <c r="AG3744" s="10"/>
      <c r="AH3744" s="10"/>
      <c r="AI3744" s="10"/>
      <c r="AJ3744" s="10"/>
      <c r="AK3744" s="10" t="s">
        <v>256</v>
      </c>
      <c r="AL3744" s="10"/>
      <c r="AM3744" s="10"/>
      <c r="AN3744" s="10"/>
      <c r="AO3744" s="13" t="b">
        <v>0</v>
      </c>
      <c r="AP3744" s="22" t="s">
        <v>135</v>
      </c>
      <c r="AQ3744" s="10">
        <f ca="1">IFERROR(__xludf.DUMMYFUNCTION("""COMPUTED_VALUE"""),4832345)</f>
        <v>4832345</v>
      </c>
      <c r="AR3744" s="17"/>
      <c r="AS3744" s="17"/>
      <c r="AT3744" s="17"/>
      <c r="AU3744" s="17"/>
      <c r="AV3744" s="17"/>
      <c r="AW3744" s="10"/>
      <c r="AX3744" s="17"/>
      <c r="AY3744" s="18" t="s">
        <v>257</v>
      </c>
      <c r="AZ3744" s="10"/>
      <c r="BA3744" s="20" t="b">
        <v>0</v>
      </c>
      <c r="BB3744" s="10" t="s">
        <v>24711</v>
      </c>
      <c r="BC3744" s="17" t="s">
        <v>257</v>
      </c>
      <c r="BD3744" s="17" t="s">
        <v>257</v>
      </c>
      <c r="BE3744" s="17" t="s">
        <v>257</v>
      </c>
      <c r="BF3744" s="17" t="s">
        <v>257</v>
      </c>
      <c r="BG3744" s="11">
        <f ca="1">IFERROR(__xludf.DUMMYFUNCTION("""COMPUTED_VALUE"""),46030.6805555555)</f>
        <v>46030.680555555497</v>
      </c>
      <c r="BH3744" s="17"/>
      <c r="BI3744" s="17"/>
      <c r="BJ3744" s="15"/>
      <c r="BK3744" s="15"/>
      <c r="BL3744" s="13" t="b">
        <v>0</v>
      </c>
      <c r="BM3744" s="10"/>
      <c r="BN3744" s="10" t="s">
        <v>241</v>
      </c>
      <c r="BO3744" s="11">
        <v>46029.817361111112</v>
      </c>
      <c r="BP3744" s="11">
        <v>46029.818043981482</v>
      </c>
      <c r="BQ3744" s="15"/>
      <c r="BR3744" s="15">
        <v>46029.912997685184</v>
      </c>
      <c r="BS3744" s="10" t="s">
        <v>241</v>
      </c>
      <c r="BT3744" s="10"/>
      <c r="BU3744" s="10"/>
      <c r="BV3744" s="10"/>
      <c r="BW3744" s="10"/>
      <c r="BX3744" s="10"/>
      <c r="BY3744" s="23"/>
      <c r="BZ3744" s="23"/>
      <c r="CA3744" s="19" t="s">
        <v>24716</v>
      </c>
      <c r="CB3744" s="23"/>
      <c r="CC3744" s="23"/>
      <c r="CD3744" s="19" t="s">
        <v>24717</v>
      </c>
      <c r="CE3744" s="23"/>
      <c r="CF3744" s="23"/>
      <c r="CG3744" s="23"/>
      <c r="CH3744" s="23"/>
      <c r="CI3744" s="23"/>
    </row>
    <row r="3745" spans="1:87" x14ac:dyDescent="0.3">
      <c r="A3745" s="9" t="s">
        <v>25692</v>
      </c>
      <c r="B3745" s="10" t="s">
        <v>25693</v>
      </c>
      <c r="C3745" s="11">
        <v>46030.340277777781</v>
      </c>
      <c r="D3745" s="12">
        <v>3.4722222222222224E-2</v>
      </c>
      <c r="E3745" s="11">
        <v>46030.375</v>
      </c>
      <c r="F3745" s="22" t="s">
        <v>24700</v>
      </c>
      <c r="G3745" s="13" t="b">
        <v>0</v>
      </c>
      <c r="H3745" s="22" t="s">
        <v>21384</v>
      </c>
      <c r="I3745" s="10" t="s">
        <v>9131</v>
      </c>
      <c r="J3745" s="13" t="b">
        <v>0</v>
      </c>
      <c r="K3745" s="13" t="b">
        <v>1</v>
      </c>
      <c r="L3745" s="10" t="s">
        <v>358</v>
      </c>
      <c r="M3745" s="10" t="s">
        <v>91</v>
      </c>
      <c r="N3745" s="10" t="s">
        <v>92</v>
      </c>
      <c r="O3745" s="19" t="s">
        <v>25694</v>
      </c>
      <c r="P3745" s="10"/>
      <c r="Q3745" s="10" t="s">
        <v>94</v>
      </c>
      <c r="R3745" s="10"/>
      <c r="S3745" s="19" t="s">
        <v>24724</v>
      </c>
      <c r="T3745" s="10"/>
      <c r="U3745" s="10"/>
      <c r="V3745" s="10"/>
      <c r="W3745" s="10" t="s">
        <v>24703</v>
      </c>
      <c r="X3745" s="10" t="s">
        <v>216</v>
      </c>
      <c r="Y3745" s="10" t="s">
        <v>216</v>
      </c>
      <c r="Z3745" s="10" t="s">
        <v>99</v>
      </c>
      <c r="AA3745" s="10" t="s">
        <v>131</v>
      </c>
      <c r="AB3745" s="10" t="s">
        <v>24704</v>
      </c>
      <c r="AC3745" s="10" t="s">
        <v>21389</v>
      </c>
      <c r="AD3745" s="10" t="s">
        <v>165</v>
      </c>
      <c r="AE3745" s="10" t="s">
        <v>25695</v>
      </c>
      <c r="AF3745" s="15"/>
      <c r="AG3745" s="10"/>
      <c r="AH3745" s="10"/>
      <c r="AI3745" s="10"/>
      <c r="AJ3745" s="10"/>
      <c r="AK3745" s="10" t="s">
        <v>102</v>
      </c>
      <c r="AL3745" s="10"/>
      <c r="AM3745" s="10"/>
      <c r="AN3745" s="10"/>
      <c r="AO3745" s="13" t="b">
        <v>0</v>
      </c>
      <c r="AP3745" s="22" t="s">
        <v>221</v>
      </c>
      <c r="AQ3745" s="10">
        <f ca="1">IFERROR(__xludf.DUMMYFUNCTION("""COMPUTED_VALUE"""),4832353)</f>
        <v>4832353</v>
      </c>
      <c r="AR3745" s="17">
        <v>2283</v>
      </c>
      <c r="AS3745" s="17">
        <v>1743</v>
      </c>
      <c r="AT3745" s="17">
        <v>16540.25</v>
      </c>
      <c r="AU3745" s="17">
        <v>4</v>
      </c>
      <c r="AV3745" s="17">
        <v>1.25</v>
      </c>
      <c r="AW3745" s="10" t="s">
        <v>105</v>
      </c>
      <c r="AX3745" s="17">
        <v>746</v>
      </c>
      <c r="AY3745" s="18">
        <v>9.4895295467584617</v>
      </c>
      <c r="AZ3745" s="10"/>
      <c r="BA3745" s="20" t="b">
        <v>0</v>
      </c>
      <c r="BB3745" s="10" t="s">
        <v>24721</v>
      </c>
      <c r="BC3745" s="17">
        <v>2283</v>
      </c>
      <c r="BD3745" s="17">
        <v>1743</v>
      </c>
      <c r="BE3745" s="17">
        <v>16540.25</v>
      </c>
      <c r="BF3745" s="17">
        <v>1.25</v>
      </c>
      <c r="BG3745" s="11">
        <f ca="1">IFERROR(__xludf.DUMMYFUNCTION("""COMPUTED_VALUE"""),46030.3402777777)</f>
        <v>46030.340277777701</v>
      </c>
      <c r="BH3745" s="17" t="s">
        <v>105</v>
      </c>
      <c r="BI3745" s="17"/>
      <c r="BJ3745" s="15"/>
      <c r="BK3745" s="15"/>
      <c r="BL3745" s="13" t="b">
        <v>0</v>
      </c>
      <c r="BM3745" s="10"/>
      <c r="BN3745" s="10" t="s">
        <v>1149</v>
      </c>
      <c r="BO3745" s="11">
        <v>46029.818749999999</v>
      </c>
      <c r="BP3745" s="11">
        <v>46029.81931712963</v>
      </c>
      <c r="BQ3745" s="15"/>
      <c r="BR3745" s="15">
        <v>46029.917766203704</v>
      </c>
      <c r="BS3745" s="10" t="s">
        <v>1149</v>
      </c>
      <c r="BT3745" s="10"/>
      <c r="BU3745" s="10"/>
      <c r="BV3745" s="10"/>
      <c r="BW3745" s="10"/>
      <c r="BX3745" s="10"/>
      <c r="BY3745" s="23"/>
      <c r="BZ3745" s="23"/>
      <c r="CA3745" s="19" t="s">
        <v>24726</v>
      </c>
      <c r="CB3745" s="23"/>
      <c r="CC3745" s="23"/>
      <c r="CD3745" s="23"/>
      <c r="CE3745" s="23"/>
      <c r="CF3745" s="23"/>
      <c r="CG3745" s="23"/>
      <c r="CH3745" s="23"/>
      <c r="CI3745" s="23"/>
    </row>
    <row r="3746" spans="1:87" x14ac:dyDescent="0.3">
      <c r="A3746" s="9" t="s">
        <v>25696</v>
      </c>
      <c r="B3746" s="10" t="s">
        <v>25697</v>
      </c>
      <c r="C3746" s="11">
        <v>46030.375</v>
      </c>
      <c r="D3746" s="12">
        <v>3.4722222222222224E-2</v>
      </c>
      <c r="E3746" s="11">
        <v>46030.409722222219</v>
      </c>
      <c r="F3746" s="22" t="s">
        <v>24700</v>
      </c>
      <c r="G3746" s="13" t="b">
        <v>0</v>
      </c>
      <c r="H3746" s="22" t="s">
        <v>21384</v>
      </c>
      <c r="I3746" s="10" t="s">
        <v>9131</v>
      </c>
      <c r="J3746" s="13" t="b">
        <v>0</v>
      </c>
      <c r="K3746" s="13" t="b">
        <v>1</v>
      </c>
      <c r="L3746" s="10" t="s">
        <v>124</v>
      </c>
      <c r="M3746" s="10" t="s">
        <v>91</v>
      </c>
      <c r="N3746" s="10" t="s">
        <v>92</v>
      </c>
      <c r="O3746" s="19" t="s">
        <v>25698</v>
      </c>
      <c r="P3746" s="10"/>
      <c r="Q3746" s="10" t="s">
        <v>94</v>
      </c>
      <c r="R3746" s="10"/>
      <c r="S3746" s="19" t="s">
        <v>24724</v>
      </c>
      <c r="T3746" s="10"/>
      <c r="U3746" s="10"/>
      <c r="V3746" s="10"/>
      <c r="W3746" s="10" t="s">
        <v>24703</v>
      </c>
      <c r="X3746" s="10" t="s">
        <v>216</v>
      </c>
      <c r="Y3746" s="10" t="s">
        <v>216</v>
      </c>
      <c r="Z3746" s="10" t="s">
        <v>99</v>
      </c>
      <c r="AA3746" s="10" t="s">
        <v>131</v>
      </c>
      <c r="AB3746" s="10" t="s">
        <v>24704</v>
      </c>
      <c r="AC3746" s="10" t="s">
        <v>21389</v>
      </c>
      <c r="AD3746" s="10" t="s">
        <v>165</v>
      </c>
      <c r="AE3746" s="10" t="s">
        <v>25699</v>
      </c>
      <c r="AF3746" s="15"/>
      <c r="AG3746" s="10"/>
      <c r="AH3746" s="10"/>
      <c r="AI3746" s="10"/>
      <c r="AJ3746" s="10"/>
      <c r="AK3746" s="10" t="s">
        <v>102</v>
      </c>
      <c r="AL3746" s="10"/>
      <c r="AM3746" s="10"/>
      <c r="AN3746" s="10"/>
      <c r="AO3746" s="13" t="b">
        <v>0</v>
      </c>
      <c r="AP3746" s="22" t="s">
        <v>135</v>
      </c>
      <c r="AQ3746" s="10">
        <f ca="1">IFERROR(__xludf.DUMMYFUNCTION("""COMPUTED_VALUE"""),4832354)</f>
        <v>4832354</v>
      </c>
      <c r="AR3746" s="17">
        <v>1138</v>
      </c>
      <c r="AS3746" s="17">
        <v>895</v>
      </c>
      <c r="AT3746" s="17">
        <v>3130.25</v>
      </c>
      <c r="AU3746" s="17">
        <v>0</v>
      </c>
      <c r="AV3746" s="17">
        <v>0</v>
      </c>
      <c r="AW3746" s="10" t="s">
        <v>105</v>
      </c>
      <c r="AX3746" s="17">
        <v>783</v>
      </c>
      <c r="AY3746" s="18">
        <v>3.4974860335195532</v>
      </c>
      <c r="AZ3746" s="10"/>
      <c r="BA3746" s="20" t="b">
        <v>0</v>
      </c>
      <c r="BB3746" s="10" t="s">
        <v>24721</v>
      </c>
      <c r="BC3746" s="17">
        <v>1138</v>
      </c>
      <c r="BD3746" s="17">
        <v>895</v>
      </c>
      <c r="BE3746" s="17">
        <v>3130.25</v>
      </c>
      <c r="BF3746" s="17">
        <v>0</v>
      </c>
      <c r="BG3746" s="11">
        <f ca="1">IFERROR(__xludf.DUMMYFUNCTION("""COMPUTED_VALUE"""),46030.375)</f>
        <v>46030.375</v>
      </c>
      <c r="BH3746" s="17" t="s">
        <v>105</v>
      </c>
      <c r="BI3746" s="17"/>
      <c r="BJ3746" s="15"/>
      <c r="BK3746" s="15"/>
      <c r="BL3746" s="13" t="b">
        <v>0</v>
      </c>
      <c r="BM3746" s="10"/>
      <c r="BN3746" s="10" t="s">
        <v>1149</v>
      </c>
      <c r="BO3746" s="11">
        <v>46029.818749999999</v>
      </c>
      <c r="BP3746" s="11">
        <v>46029.819398148145</v>
      </c>
      <c r="BQ3746" s="15"/>
      <c r="BR3746" s="15">
        <v>46029.917870370373</v>
      </c>
      <c r="BS3746" s="10" t="s">
        <v>1149</v>
      </c>
      <c r="BT3746" s="10"/>
      <c r="BU3746" s="10"/>
      <c r="BV3746" s="10"/>
      <c r="BW3746" s="10"/>
      <c r="BX3746" s="10"/>
      <c r="BY3746" s="23"/>
      <c r="BZ3746" s="23"/>
      <c r="CA3746" s="19" t="s">
        <v>24726</v>
      </c>
      <c r="CB3746" s="23"/>
      <c r="CC3746" s="23"/>
      <c r="CD3746" s="23"/>
      <c r="CE3746" s="23"/>
      <c r="CF3746" s="23"/>
      <c r="CG3746" s="23"/>
      <c r="CH3746" s="23"/>
      <c r="CI3746" s="23"/>
    </row>
    <row r="3747" spans="1:87" x14ac:dyDescent="0.3">
      <c r="A3747" s="9" t="s">
        <v>25700</v>
      </c>
      <c r="B3747" s="10" t="s">
        <v>25701</v>
      </c>
      <c r="C3747" s="11">
        <v>46030.409722222219</v>
      </c>
      <c r="D3747" s="12">
        <v>3.4722222222222224E-2</v>
      </c>
      <c r="E3747" s="11">
        <v>46030.444444444445</v>
      </c>
      <c r="F3747" s="22" t="s">
        <v>24700</v>
      </c>
      <c r="G3747" s="13" t="b">
        <v>0</v>
      </c>
      <c r="H3747" s="22" t="s">
        <v>21384</v>
      </c>
      <c r="I3747" s="10" t="s">
        <v>9131</v>
      </c>
      <c r="J3747" s="13" t="b">
        <v>0</v>
      </c>
      <c r="K3747" s="13" t="b">
        <v>1</v>
      </c>
      <c r="L3747" s="10" t="s">
        <v>358</v>
      </c>
      <c r="M3747" s="10" t="s">
        <v>91</v>
      </c>
      <c r="N3747" s="10" t="s">
        <v>92</v>
      </c>
      <c r="O3747" s="19" t="s">
        <v>25702</v>
      </c>
      <c r="P3747" s="10"/>
      <c r="Q3747" s="10" t="s">
        <v>94</v>
      </c>
      <c r="R3747" s="10"/>
      <c r="S3747" s="19" t="s">
        <v>24724</v>
      </c>
      <c r="T3747" s="10"/>
      <c r="U3747" s="10"/>
      <c r="V3747" s="10"/>
      <c r="W3747" s="10" t="s">
        <v>24703</v>
      </c>
      <c r="X3747" s="10" t="s">
        <v>216</v>
      </c>
      <c r="Y3747" s="10" t="s">
        <v>216</v>
      </c>
      <c r="Z3747" s="10" t="s">
        <v>99</v>
      </c>
      <c r="AA3747" s="10" t="s">
        <v>131</v>
      </c>
      <c r="AB3747" s="10" t="s">
        <v>24704</v>
      </c>
      <c r="AC3747" s="10" t="s">
        <v>21389</v>
      </c>
      <c r="AD3747" s="10" t="s">
        <v>165</v>
      </c>
      <c r="AE3747" s="10" t="s">
        <v>25703</v>
      </c>
      <c r="AF3747" s="15"/>
      <c r="AG3747" s="10"/>
      <c r="AH3747" s="10"/>
      <c r="AI3747" s="10"/>
      <c r="AJ3747" s="10"/>
      <c r="AK3747" s="10" t="s">
        <v>102</v>
      </c>
      <c r="AL3747" s="10"/>
      <c r="AM3747" s="10"/>
      <c r="AN3747" s="10"/>
      <c r="AO3747" s="13" t="b">
        <v>0</v>
      </c>
      <c r="AP3747" s="22" t="s">
        <v>221</v>
      </c>
      <c r="AQ3747" s="10">
        <f ca="1">IFERROR(__xludf.DUMMYFUNCTION("""COMPUTED_VALUE"""),4832355)</f>
        <v>4832355</v>
      </c>
      <c r="AR3747" s="17">
        <v>3765</v>
      </c>
      <c r="AS3747" s="17">
        <v>2837</v>
      </c>
      <c r="AT3747" s="17">
        <v>26205.5</v>
      </c>
      <c r="AU3747" s="17">
        <v>4.3499999999999996</v>
      </c>
      <c r="AV3747" s="17">
        <v>1.35</v>
      </c>
      <c r="AW3747" s="10" t="s">
        <v>105</v>
      </c>
      <c r="AX3747" s="17">
        <v>982</v>
      </c>
      <c r="AY3747" s="18">
        <v>9.2370461755375395</v>
      </c>
      <c r="AZ3747" s="10"/>
      <c r="BA3747" s="20" t="b">
        <v>0</v>
      </c>
      <c r="BB3747" s="10" t="s">
        <v>24721</v>
      </c>
      <c r="BC3747" s="17">
        <v>3765</v>
      </c>
      <c r="BD3747" s="17">
        <v>2837</v>
      </c>
      <c r="BE3747" s="17">
        <v>26205.5</v>
      </c>
      <c r="BF3747" s="17">
        <v>1.35</v>
      </c>
      <c r="BG3747" s="11">
        <f ca="1">IFERROR(__xludf.DUMMYFUNCTION("""COMPUTED_VALUE"""),46030.4097222222)</f>
        <v>46030.409722222197</v>
      </c>
      <c r="BH3747" s="17" t="s">
        <v>105</v>
      </c>
      <c r="BI3747" s="17"/>
      <c r="BJ3747" s="15"/>
      <c r="BK3747" s="15"/>
      <c r="BL3747" s="13" t="b">
        <v>0</v>
      </c>
      <c r="BM3747" s="10"/>
      <c r="BN3747" s="10" t="s">
        <v>1149</v>
      </c>
      <c r="BO3747" s="11">
        <v>46029.819444444445</v>
      </c>
      <c r="BP3747" s="11">
        <v>46029.819479166668</v>
      </c>
      <c r="BQ3747" s="15"/>
      <c r="BR3747" s="15">
        <v>46029.917986111112</v>
      </c>
      <c r="BS3747" s="10" t="s">
        <v>1149</v>
      </c>
      <c r="BT3747" s="10"/>
      <c r="BU3747" s="10"/>
      <c r="BV3747" s="10"/>
      <c r="BW3747" s="10"/>
      <c r="BX3747" s="10"/>
      <c r="BY3747" s="23"/>
      <c r="BZ3747" s="23"/>
      <c r="CA3747" s="19" t="s">
        <v>24726</v>
      </c>
      <c r="CB3747" s="23"/>
      <c r="CC3747" s="23"/>
      <c r="CD3747" s="23"/>
      <c r="CE3747" s="23"/>
      <c r="CF3747" s="23"/>
      <c r="CG3747" s="23"/>
      <c r="CH3747" s="23"/>
      <c r="CI3747" s="23"/>
    </row>
    <row r="3748" spans="1:87" x14ac:dyDescent="0.3">
      <c r="A3748" s="9" t="s">
        <v>25704</v>
      </c>
      <c r="B3748" s="10" t="s">
        <v>25705</v>
      </c>
      <c r="C3748" s="11">
        <v>46030.444444444445</v>
      </c>
      <c r="D3748" s="12">
        <v>3.4722222222222224E-2</v>
      </c>
      <c r="E3748" s="11">
        <v>46030.479166666664</v>
      </c>
      <c r="F3748" s="22" t="s">
        <v>24700</v>
      </c>
      <c r="G3748" s="13" t="b">
        <v>0</v>
      </c>
      <c r="H3748" s="22" t="s">
        <v>21384</v>
      </c>
      <c r="I3748" s="10" t="s">
        <v>9131</v>
      </c>
      <c r="J3748" s="13" t="b">
        <v>0</v>
      </c>
      <c r="K3748" s="13" t="b">
        <v>1</v>
      </c>
      <c r="L3748" s="10" t="s">
        <v>124</v>
      </c>
      <c r="M3748" s="10" t="s">
        <v>91</v>
      </c>
      <c r="N3748" s="10" t="s">
        <v>92</v>
      </c>
      <c r="O3748" s="19" t="s">
        <v>25706</v>
      </c>
      <c r="P3748" s="10"/>
      <c r="Q3748" s="10" t="s">
        <v>94</v>
      </c>
      <c r="R3748" s="10"/>
      <c r="S3748" s="19" t="s">
        <v>24724</v>
      </c>
      <c r="T3748" s="10"/>
      <c r="U3748" s="10"/>
      <c r="V3748" s="10"/>
      <c r="W3748" s="10" t="s">
        <v>24703</v>
      </c>
      <c r="X3748" s="10" t="s">
        <v>216</v>
      </c>
      <c r="Y3748" s="10" t="s">
        <v>216</v>
      </c>
      <c r="Z3748" s="10" t="s">
        <v>99</v>
      </c>
      <c r="AA3748" s="10" t="s">
        <v>131</v>
      </c>
      <c r="AB3748" s="10" t="s">
        <v>24704</v>
      </c>
      <c r="AC3748" s="10" t="s">
        <v>21389</v>
      </c>
      <c r="AD3748" s="10" t="s">
        <v>165</v>
      </c>
      <c r="AE3748" s="10" t="s">
        <v>25707</v>
      </c>
      <c r="AF3748" s="15"/>
      <c r="AG3748" s="10"/>
      <c r="AH3748" s="10"/>
      <c r="AI3748" s="10"/>
      <c r="AJ3748" s="10"/>
      <c r="AK3748" s="10" t="s">
        <v>102</v>
      </c>
      <c r="AL3748" s="10"/>
      <c r="AM3748" s="10"/>
      <c r="AN3748" s="10"/>
      <c r="AO3748" s="13" t="b">
        <v>0</v>
      </c>
      <c r="AP3748" s="22" t="s">
        <v>221</v>
      </c>
      <c r="AQ3748" s="10">
        <f ca="1">IFERROR(__xludf.DUMMYFUNCTION("""COMPUTED_VALUE"""),4832356)</f>
        <v>4832356</v>
      </c>
      <c r="AR3748" s="17">
        <v>3134</v>
      </c>
      <c r="AS3748" s="17">
        <v>2364</v>
      </c>
      <c r="AT3748" s="17">
        <v>22327</v>
      </c>
      <c r="AU3748" s="17">
        <v>3.65</v>
      </c>
      <c r="AV3748" s="17">
        <v>2.4</v>
      </c>
      <c r="AW3748" s="10" t="s">
        <v>105</v>
      </c>
      <c r="AX3748" s="17">
        <v>1064</v>
      </c>
      <c r="AY3748" s="18">
        <v>9.4445854483925551</v>
      </c>
      <c r="AZ3748" s="10"/>
      <c r="BA3748" s="20" t="b">
        <v>0</v>
      </c>
      <c r="BB3748" s="10" t="s">
        <v>24721</v>
      </c>
      <c r="BC3748" s="17">
        <v>3134</v>
      </c>
      <c r="BD3748" s="17">
        <v>2364</v>
      </c>
      <c r="BE3748" s="17">
        <v>22327</v>
      </c>
      <c r="BF3748" s="17">
        <v>2.4</v>
      </c>
      <c r="BG3748" s="11">
        <f ca="1">IFERROR(__xludf.DUMMYFUNCTION("""COMPUTED_VALUE"""),46030.4444444444)</f>
        <v>46030.444444444402</v>
      </c>
      <c r="BH3748" s="17" t="s">
        <v>105</v>
      </c>
      <c r="BI3748" s="17"/>
      <c r="BJ3748" s="15"/>
      <c r="BK3748" s="15"/>
      <c r="BL3748" s="13" t="b">
        <v>0</v>
      </c>
      <c r="BM3748" s="10"/>
      <c r="BN3748" s="10" t="s">
        <v>1149</v>
      </c>
      <c r="BO3748" s="11">
        <v>46029.819444444445</v>
      </c>
      <c r="BP3748" s="11">
        <v>46029.819571759261</v>
      </c>
      <c r="BQ3748" s="15"/>
      <c r="BR3748" s="15">
        <v>46029.918113425927</v>
      </c>
      <c r="BS3748" s="10" t="s">
        <v>1149</v>
      </c>
      <c r="BT3748" s="10"/>
      <c r="BU3748" s="10"/>
      <c r="BV3748" s="10"/>
      <c r="BW3748" s="10"/>
      <c r="BX3748" s="10"/>
      <c r="BY3748" s="23"/>
      <c r="BZ3748" s="23"/>
      <c r="CA3748" s="19" t="s">
        <v>24726</v>
      </c>
      <c r="CB3748" s="23"/>
      <c r="CC3748" s="23"/>
      <c r="CD3748" s="23"/>
      <c r="CE3748" s="23"/>
      <c r="CF3748" s="23"/>
      <c r="CG3748" s="23"/>
      <c r="CH3748" s="23"/>
      <c r="CI3748" s="23"/>
    </row>
    <row r="3749" spans="1:87" x14ac:dyDescent="0.3">
      <c r="A3749" s="9" t="s">
        <v>25708</v>
      </c>
      <c r="B3749" s="10" t="s">
        <v>25709</v>
      </c>
      <c r="C3749" s="11">
        <v>46030.479166666664</v>
      </c>
      <c r="D3749" s="12">
        <v>3.4722222222222224E-2</v>
      </c>
      <c r="E3749" s="11">
        <v>46030.513888888891</v>
      </c>
      <c r="F3749" s="22" t="s">
        <v>24700</v>
      </c>
      <c r="G3749" s="13" t="b">
        <v>0</v>
      </c>
      <c r="H3749" s="22" t="s">
        <v>21384</v>
      </c>
      <c r="I3749" s="10" t="s">
        <v>9131</v>
      </c>
      <c r="J3749" s="13" t="b">
        <v>0</v>
      </c>
      <c r="K3749" s="13" t="b">
        <v>1</v>
      </c>
      <c r="L3749" s="10" t="s">
        <v>124</v>
      </c>
      <c r="M3749" s="10" t="s">
        <v>91</v>
      </c>
      <c r="N3749" s="10" t="s">
        <v>92</v>
      </c>
      <c r="O3749" s="19" t="s">
        <v>25710</v>
      </c>
      <c r="P3749" s="10"/>
      <c r="Q3749" s="10" t="s">
        <v>94</v>
      </c>
      <c r="R3749" s="10"/>
      <c r="S3749" s="19" t="s">
        <v>24724</v>
      </c>
      <c r="T3749" s="10"/>
      <c r="U3749" s="10"/>
      <c r="V3749" s="10"/>
      <c r="W3749" s="10" t="s">
        <v>24703</v>
      </c>
      <c r="X3749" s="10" t="s">
        <v>216</v>
      </c>
      <c r="Y3749" s="10" t="s">
        <v>216</v>
      </c>
      <c r="Z3749" s="10" t="s">
        <v>99</v>
      </c>
      <c r="AA3749" s="10" t="s">
        <v>131</v>
      </c>
      <c r="AB3749" s="10" t="s">
        <v>24704</v>
      </c>
      <c r="AC3749" s="10" t="s">
        <v>21389</v>
      </c>
      <c r="AD3749" s="10" t="s">
        <v>165</v>
      </c>
      <c r="AE3749" s="10" t="s">
        <v>25711</v>
      </c>
      <c r="AF3749" s="15"/>
      <c r="AG3749" s="10"/>
      <c r="AH3749" s="10"/>
      <c r="AI3749" s="10"/>
      <c r="AJ3749" s="10"/>
      <c r="AK3749" s="10" t="s">
        <v>102</v>
      </c>
      <c r="AL3749" s="10"/>
      <c r="AM3749" s="10"/>
      <c r="AN3749" s="10"/>
      <c r="AO3749" s="13" t="b">
        <v>0</v>
      </c>
      <c r="AP3749" s="22" t="s">
        <v>135</v>
      </c>
      <c r="AQ3749" s="10">
        <f ca="1">IFERROR(__xludf.DUMMYFUNCTION("""COMPUTED_VALUE"""),4832357)</f>
        <v>4832357</v>
      </c>
      <c r="AR3749" s="17">
        <v>8566</v>
      </c>
      <c r="AS3749" s="17">
        <v>5175</v>
      </c>
      <c r="AT3749" s="17">
        <v>43852</v>
      </c>
      <c r="AU3749" s="17">
        <v>8.4499999999999993</v>
      </c>
      <c r="AV3749" s="17">
        <v>2.7</v>
      </c>
      <c r="AW3749" s="10" t="s">
        <v>105</v>
      </c>
      <c r="AX3749" s="17">
        <v>1315</v>
      </c>
      <c r="AY3749" s="18">
        <v>8.4738164251207735</v>
      </c>
      <c r="AZ3749" s="10"/>
      <c r="BA3749" s="20" t="b">
        <v>0</v>
      </c>
      <c r="BB3749" s="10" t="s">
        <v>24721</v>
      </c>
      <c r="BC3749" s="17">
        <v>8566</v>
      </c>
      <c r="BD3749" s="17">
        <v>5175</v>
      </c>
      <c r="BE3749" s="17">
        <v>43852</v>
      </c>
      <c r="BF3749" s="17">
        <v>2.7</v>
      </c>
      <c r="BG3749" s="11">
        <f ca="1">IFERROR(__xludf.DUMMYFUNCTION("""COMPUTED_VALUE"""),46030.4791666666)</f>
        <v>46030.479166666599</v>
      </c>
      <c r="BH3749" s="17" t="s">
        <v>105</v>
      </c>
      <c r="BI3749" s="17"/>
      <c r="BJ3749" s="15"/>
      <c r="BK3749" s="15"/>
      <c r="BL3749" s="13" t="b">
        <v>0</v>
      </c>
      <c r="BM3749" s="10"/>
      <c r="BN3749" s="10" t="s">
        <v>1149</v>
      </c>
      <c r="BO3749" s="11">
        <v>46029.819444444445</v>
      </c>
      <c r="BP3749" s="11">
        <v>46029.819733796299</v>
      </c>
      <c r="BQ3749" s="15"/>
      <c r="BR3749" s="15">
        <v>46029.918217592596</v>
      </c>
      <c r="BS3749" s="10" t="s">
        <v>1149</v>
      </c>
      <c r="BT3749" s="10"/>
      <c r="BU3749" s="10"/>
      <c r="BV3749" s="10"/>
      <c r="BW3749" s="10"/>
      <c r="BX3749" s="10"/>
      <c r="BY3749" s="23"/>
      <c r="BZ3749" s="23"/>
      <c r="CA3749" s="19" t="s">
        <v>24726</v>
      </c>
      <c r="CB3749" s="23"/>
      <c r="CC3749" s="23"/>
      <c r="CD3749" s="23"/>
      <c r="CE3749" s="23"/>
      <c r="CF3749" s="23"/>
      <c r="CG3749" s="23"/>
      <c r="CH3749" s="23"/>
      <c r="CI3749" s="23"/>
    </row>
    <row r="3750" spans="1:87" x14ac:dyDescent="0.3">
      <c r="A3750" s="9" t="s">
        <v>25712</v>
      </c>
      <c r="B3750" s="10" t="s">
        <v>25713</v>
      </c>
      <c r="C3750" s="11">
        <v>46030.513888888891</v>
      </c>
      <c r="D3750" s="12">
        <v>3.4722222222222224E-2</v>
      </c>
      <c r="E3750" s="11">
        <v>46030.548611111109</v>
      </c>
      <c r="F3750" s="22" t="s">
        <v>24700</v>
      </c>
      <c r="G3750" s="13" t="b">
        <v>0</v>
      </c>
      <c r="H3750" s="22" t="s">
        <v>21384</v>
      </c>
      <c r="I3750" s="10" t="s">
        <v>9131</v>
      </c>
      <c r="J3750" s="13" t="b">
        <v>0</v>
      </c>
      <c r="K3750" s="13" t="b">
        <v>1</v>
      </c>
      <c r="L3750" s="10" t="s">
        <v>358</v>
      </c>
      <c r="M3750" s="10" t="s">
        <v>91</v>
      </c>
      <c r="N3750" s="10" t="s">
        <v>92</v>
      </c>
      <c r="O3750" s="19" t="s">
        <v>25714</v>
      </c>
      <c r="P3750" s="10"/>
      <c r="Q3750" s="10" t="s">
        <v>94</v>
      </c>
      <c r="R3750" s="10"/>
      <c r="S3750" s="19" t="s">
        <v>24724</v>
      </c>
      <c r="T3750" s="10"/>
      <c r="U3750" s="10"/>
      <c r="V3750" s="10"/>
      <c r="W3750" s="10" t="s">
        <v>24703</v>
      </c>
      <c r="X3750" s="10" t="s">
        <v>216</v>
      </c>
      <c r="Y3750" s="10" t="s">
        <v>216</v>
      </c>
      <c r="Z3750" s="10" t="s">
        <v>99</v>
      </c>
      <c r="AA3750" s="10" t="s">
        <v>131</v>
      </c>
      <c r="AB3750" s="10" t="s">
        <v>24704</v>
      </c>
      <c r="AC3750" s="10" t="s">
        <v>21389</v>
      </c>
      <c r="AD3750" s="10" t="s">
        <v>165</v>
      </c>
      <c r="AE3750" s="10" t="s">
        <v>25715</v>
      </c>
      <c r="AF3750" s="15"/>
      <c r="AG3750" s="10"/>
      <c r="AH3750" s="10"/>
      <c r="AI3750" s="10"/>
      <c r="AJ3750" s="10"/>
      <c r="AK3750" s="10" t="s">
        <v>102</v>
      </c>
      <c r="AL3750" s="10"/>
      <c r="AM3750" s="10"/>
      <c r="AN3750" s="10"/>
      <c r="AO3750" s="13" t="b">
        <v>0</v>
      </c>
      <c r="AP3750" s="22" t="s">
        <v>104</v>
      </c>
      <c r="AQ3750" s="10">
        <f ca="1">IFERROR(__xludf.DUMMYFUNCTION("""COMPUTED_VALUE"""),4832358)</f>
        <v>4832358</v>
      </c>
      <c r="AR3750" s="17">
        <v>2186</v>
      </c>
      <c r="AS3750" s="17">
        <v>1755</v>
      </c>
      <c r="AT3750" s="17">
        <v>4063.5</v>
      </c>
      <c r="AU3750" s="17">
        <v>0</v>
      </c>
      <c r="AV3750" s="17">
        <v>0</v>
      </c>
      <c r="AW3750" s="10" t="s">
        <v>105</v>
      </c>
      <c r="AX3750" s="17">
        <v>828</v>
      </c>
      <c r="AY3750" s="18">
        <v>2.3153846153846156</v>
      </c>
      <c r="AZ3750" s="10"/>
      <c r="BA3750" s="20" t="b">
        <v>0</v>
      </c>
      <c r="BB3750" s="10" t="s">
        <v>24721</v>
      </c>
      <c r="BC3750" s="17">
        <v>2186</v>
      </c>
      <c r="BD3750" s="17">
        <v>1755</v>
      </c>
      <c r="BE3750" s="17">
        <v>4063.5</v>
      </c>
      <c r="BF3750" s="17">
        <v>0</v>
      </c>
      <c r="BG3750" s="11">
        <f ca="1">IFERROR(__xludf.DUMMYFUNCTION("""COMPUTED_VALUE"""),46030.5138888888)</f>
        <v>46030.513888888803</v>
      </c>
      <c r="BH3750" s="17" t="s">
        <v>105</v>
      </c>
      <c r="BI3750" s="17"/>
      <c r="BJ3750" s="15"/>
      <c r="BK3750" s="15"/>
      <c r="BL3750" s="13" t="b">
        <v>0</v>
      </c>
      <c r="BM3750" s="10"/>
      <c r="BN3750" s="10" t="s">
        <v>1149</v>
      </c>
      <c r="BO3750" s="11">
        <v>46029.819444444445</v>
      </c>
      <c r="BP3750" s="11">
        <v>46029.819849537038</v>
      </c>
      <c r="BQ3750" s="15"/>
      <c r="BR3750" s="15">
        <v>46029.918310185189</v>
      </c>
      <c r="BS3750" s="10" t="s">
        <v>1149</v>
      </c>
      <c r="BT3750" s="10"/>
      <c r="BU3750" s="10"/>
      <c r="BV3750" s="10"/>
      <c r="BW3750" s="10"/>
      <c r="BX3750" s="10"/>
      <c r="BY3750" s="23"/>
      <c r="BZ3750" s="23"/>
      <c r="CA3750" s="19" t="s">
        <v>24726</v>
      </c>
      <c r="CB3750" s="23"/>
      <c r="CC3750" s="23"/>
      <c r="CD3750" s="23"/>
      <c r="CE3750" s="23"/>
      <c r="CF3750" s="23"/>
      <c r="CG3750" s="23"/>
      <c r="CH3750" s="23"/>
      <c r="CI3750" s="23"/>
    </row>
    <row r="3751" spans="1:87" x14ac:dyDescent="0.3">
      <c r="A3751" s="9" t="s">
        <v>25716</v>
      </c>
      <c r="B3751" s="10" t="s">
        <v>25717</v>
      </c>
      <c r="C3751" s="11">
        <v>46030.548611111109</v>
      </c>
      <c r="D3751" s="12">
        <v>3.4722222222222224E-2</v>
      </c>
      <c r="E3751" s="11">
        <v>46030.583333333336</v>
      </c>
      <c r="F3751" s="22" t="s">
        <v>24700</v>
      </c>
      <c r="G3751" s="13" t="b">
        <v>0</v>
      </c>
      <c r="H3751" s="22" t="s">
        <v>21384</v>
      </c>
      <c r="I3751" s="10" t="s">
        <v>9131</v>
      </c>
      <c r="J3751" s="13" t="b">
        <v>0</v>
      </c>
      <c r="K3751" s="13" t="b">
        <v>1</v>
      </c>
      <c r="L3751" s="10" t="s">
        <v>124</v>
      </c>
      <c r="M3751" s="10" t="s">
        <v>91</v>
      </c>
      <c r="N3751" s="10" t="s">
        <v>92</v>
      </c>
      <c r="O3751" s="19" t="s">
        <v>25718</v>
      </c>
      <c r="P3751" s="10"/>
      <c r="Q3751" s="10" t="s">
        <v>94</v>
      </c>
      <c r="R3751" s="10"/>
      <c r="S3751" s="19" t="s">
        <v>24724</v>
      </c>
      <c r="T3751" s="10"/>
      <c r="U3751" s="10"/>
      <c r="V3751" s="10"/>
      <c r="W3751" s="10" t="s">
        <v>24703</v>
      </c>
      <c r="X3751" s="10" t="s">
        <v>216</v>
      </c>
      <c r="Y3751" s="10" t="s">
        <v>216</v>
      </c>
      <c r="Z3751" s="10" t="s">
        <v>99</v>
      </c>
      <c r="AA3751" s="10" t="s">
        <v>131</v>
      </c>
      <c r="AB3751" s="10" t="s">
        <v>24704</v>
      </c>
      <c r="AC3751" s="10" t="s">
        <v>21389</v>
      </c>
      <c r="AD3751" s="10" t="s">
        <v>165</v>
      </c>
      <c r="AE3751" s="10" t="s">
        <v>25719</v>
      </c>
      <c r="AF3751" s="15"/>
      <c r="AG3751" s="10"/>
      <c r="AH3751" s="10"/>
      <c r="AI3751" s="10"/>
      <c r="AJ3751" s="10"/>
      <c r="AK3751" s="10" t="s">
        <v>102</v>
      </c>
      <c r="AL3751" s="10"/>
      <c r="AM3751" s="10"/>
      <c r="AN3751" s="10"/>
      <c r="AO3751" s="13" t="b">
        <v>0</v>
      </c>
      <c r="AP3751" s="22" t="s">
        <v>104</v>
      </c>
      <c r="AQ3751" s="10">
        <f ca="1">IFERROR(__xludf.DUMMYFUNCTION("""COMPUTED_VALUE"""),4832359)</f>
        <v>4832359</v>
      </c>
      <c r="AR3751" s="17">
        <v>12477</v>
      </c>
      <c r="AS3751" s="17">
        <v>7197</v>
      </c>
      <c r="AT3751" s="17">
        <v>111092.25</v>
      </c>
      <c r="AU3751" s="17">
        <v>16.850000000000001</v>
      </c>
      <c r="AV3751" s="17">
        <v>3.15</v>
      </c>
      <c r="AW3751" s="10" t="s">
        <v>105</v>
      </c>
      <c r="AX3751" s="17">
        <v>2161</v>
      </c>
      <c r="AY3751" s="18">
        <v>15.435910796165068</v>
      </c>
      <c r="AZ3751" s="10"/>
      <c r="BA3751" s="20" t="b">
        <v>0</v>
      </c>
      <c r="BB3751" s="10" t="s">
        <v>24721</v>
      </c>
      <c r="BC3751" s="17">
        <v>12477</v>
      </c>
      <c r="BD3751" s="17">
        <v>7197</v>
      </c>
      <c r="BE3751" s="17">
        <v>111092.25</v>
      </c>
      <c r="BF3751" s="17">
        <v>3.15</v>
      </c>
      <c r="BG3751" s="11">
        <f ca="1">IFERROR(__xludf.DUMMYFUNCTION("""COMPUTED_VALUE"""),46030.5486111111)</f>
        <v>46030.548611111102</v>
      </c>
      <c r="BH3751" s="17" t="s">
        <v>105</v>
      </c>
      <c r="BI3751" s="17"/>
      <c r="BJ3751" s="15"/>
      <c r="BK3751" s="15"/>
      <c r="BL3751" s="13" t="b">
        <v>0</v>
      </c>
      <c r="BM3751" s="10"/>
      <c r="BN3751" s="10" t="s">
        <v>1149</v>
      </c>
      <c r="BO3751" s="11">
        <v>46029.819444444445</v>
      </c>
      <c r="BP3751" s="11">
        <v>46029.819953703707</v>
      </c>
      <c r="BQ3751" s="15"/>
      <c r="BR3751" s="15">
        <v>46029.918402777781</v>
      </c>
      <c r="BS3751" s="10" t="s">
        <v>1149</v>
      </c>
      <c r="BT3751" s="10"/>
      <c r="BU3751" s="10"/>
      <c r="BV3751" s="10"/>
      <c r="BW3751" s="10"/>
      <c r="BX3751" s="10"/>
      <c r="BY3751" s="23"/>
      <c r="BZ3751" s="23"/>
      <c r="CA3751" s="19" t="s">
        <v>24726</v>
      </c>
      <c r="CB3751" s="23"/>
      <c r="CC3751" s="23"/>
      <c r="CD3751" s="23"/>
      <c r="CE3751" s="23"/>
      <c r="CF3751" s="23"/>
      <c r="CG3751" s="23"/>
      <c r="CH3751" s="23"/>
      <c r="CI3751" s="23"/>
    </row>
    <row r="3752" spans="1:87" x14ac:dyDescent="0.3">
      <c r="A3752" s="9" t="s">
        <v>25720</v>
      </c>
      <c r="B3752" s="10" t="s">
        <v>25721</v>
      </c>
      <c r="C3752" s="11">
        <v>46030.583333333336</v>
      </c>
      <c r="D3752" s="12">
        <v>3.4722222222222224E-2</v>
      </c>
      <c r="E3752" s="11">
        <v>46030.618055555555</v>
      </c>
      <c r="F3752" s="22" t="s">
        <v>24700</v>
      </c>
      <c r="G3752" s="13" t="b">
        <v>0</v>
      </c>
      <c r="H3752" s="22" t="s">
        <v>21384</v>
      </c>
      <c r="I3752" s="10" t="s">
        <v>9131</v>
      </c>
      <c r="J3752" s="13" t="b">
        <v>0</v>
      </c>
      <c r="K3752" s="13" t="b">
        <v>1</v>
      </c>
      <c r="L3752" s="10" t="s">
        <v>358</v>
      </c>
      <c r="M3752" s="10" t="s">
        <v>91</v>
      </c>
      <c r="N3752" s="10" t="s">
        <v>92</v>
      </c>
      <c r="O3752" s="19" t="s">
        <v>25722</v>
      </c>
      <c r="P3752" s="10"/>
      <c r="Q3752" s="10" t="s">
        <v>94</v>
      </c>
      <c r="R3752" s="10"/>
      <c r="S3752" s="19" t="s">
        <v>24724</v>
      </c>
      <c r="T3752" s="10"/>
      <c r="U3752" s="10"/>
      <c r="V3752" s="10"/>
      <c r="W3752" s="10" t="s">
        <v>24703</v>
      </c>
      <c r="X3752" s="10" t="s">
        <v>216</v>
      </c>
      <c r="Y3752" s="10" t="s">
        <v>216</v>
      </c>
      <c r="Z3752" s="10" t="s">
        <v>99</v>
      </c>
      <c r="AA3752" s="10" t="s">
        <v>131</v>
      </c>
      <c r="AB3752" s="10" t="s">
        <v>24704</v>
      </c>
      <c r="AC3752" s="10" t="s">
        <v>21389</v>
      </c>
      <c r="AD3752" s="10" t="s">
        <v>165</v>
      </c>
      <c r="AE3752" s="10" t="s">
        <v>25723</v>
      </c>
      <c r="AF3752" s="15"/>
      <c r="AG3752" s="10"/>
      <c r="AH3752" s="10"/>
      <c r="AI3752" s="10"/>
      <c r="AJ3752" s="10"/>
      <c r="AK3752" s="10" t="s">
        <v>102</v>
      </c>
      <c r="AL3752" s="10"/>
      <c r="AM3752" s="10"/>
      <c r="AN3752" s="10"/>
      <c r="AO3752" s="13" t="b">
        <v>0</v>
      </c>
      <c r="AP3752" s="22" t="s">
        <v>221</v>
      </c>
      <c r="AQ3752" s="10">
        <f ca="1">IFERROR(__xludf.DUMMYFUNCTION("""COMPUTED_VALUE"""),4832360)</f>
        <v>4832360</v>
      </c>
      <c r="AR3752" s="17">
        <v>6029</v>
      </c>
      <c r="AS3752" s="17">
        <v>4095</v>
      </c>
      <c r="AT3752" s="17">
        <v>36901.75</v>
      </c>
      <c r="AU3752" s="17">
        <v>7.3</v>
      </c>
      <c r="AV3752" s="17">
        <v>1.5</v>
      </c>
      <c r="AW3752" s="10" t="s">
        <v>105</v>
      </c>
      <c r="AX3752" s="17">
        <v>2294</v>
      </c>
      <c r="AY3752" s="18">
        <v>9.0114163614163623</v>
      </c>
      <c r="AZ3752" s="10"/>
      <c r="BA3752" s="20" t="b">
        <v>0</v>
      </c>
      <c r="BB3752" s="10" t="s">
        <v>24721</v>
      </c>
      <c r="BC3752" s="17">
        <v>6029</v>
      </c>
      <c r="BD3752" s="17">
        <v>4095</v>
      </c>
      <c r="BE3752" s="17">
        <v>36901.75</v>
      </c>
      <c r="BF3752" s="17">
        <v>1.5</v>
      </c>
      <c r="BG3752" s="11">
        <f ca="1">IFERROR(__xludf.DUMMYFUNCTION("""COMPUTED_VALUE"""),46030.5833333333)</f>
        <v>46030.583333333299</v>
      </c>
      <c r="BH3752" s="17" t="s">
        <v>105</v>
      </c>
      <c r="BI3752" s="17"/>
      <c r="BJ3752" s="15"/>
      <c r="BK3752" s="15"/>
      <c r="BL3752" s="13" t="b">
        <v>0</v>
      </c>
      <c r="BM3752" s="10"/>
      <c r="BN3752" s="10" t="s">
        <v>1149</v>
      </c>
      <c r="BO3752" s="11">
        <v>46029.819444444445</v>
      </c>
      <c r="BP3752" s="11">
        <v>46029.820081018515</v>
      </c>
      <c r="BQ3752" s="15"/>
      <c r="BR3752" s="15">
        <v>46029.91851851852</v>
      </c>
      <c r="BS3752" s="10" t="s">
        <v>1149</v>
      </c>
      <c r="BT3752" s="10"/>
      <c r="BU3752" s="10"/>
      <c r="BV3752" s="10"/>
      <c r="BW3752" s="10"/>
      <c r="BX3752" s="10"/>
      <c r="BY3752" s="23"/>
      <c r="BZ3752" s="23"/>
      <c r="CA3752" s="19" t="s">
        <v>24726</v>
      </c>
      <c r="CB3752" s="23"/>
      <c r="CC3752" s="23"/>
      <c r="CD3752" s="23"/>
      <c r="CE3752" s="23"/>
      <c r="CF3752" s="23"/>
      <c r="CG3752" s="23"/>
      <c r="CH3752" s="23"/>
      <c r="CI3752" s="23"/>
    </row>
    <row r="3753" spans="1:87" x14ac:dyDescent="0.3">
      <c r="A3753" s="9" t="s">
        <v>25724</v>
      </c>
      <c r="B3753" s="10" t="s">
        <v>25725</v>
      </c>
      <c r="C3753" s="11">
        <v>46030.618055555555</v>
      </c>
      <c r="D3753" s="12">
        <v>3.4722222222222224E-2</v>
      </c>
      <c r="E3753" s="11">
        <v>46030.652777777781</v>
      </c>
      <c r="F3753" s="22" t="s">
        <v>24700</v>
      </c>
      <c r="G3753" s="13" t="b">
        <v>0</v>
      </c>
      <c r="H3753" s="22" t="s">
        <v>21384</v>
      </c>
      <c r="I3753" s="10" t="s">
        <v>9131</v>
      </c>
      <c r="J3753" s="13" t="b">
        <v>0</v>
      </c>
      <c r="K3753" s="13" t="b">
        <v>1</v>
      </c>
      <c r="L3753" s="10" t="s">
        <v>124</v>
      </c>
      <c r="M3753" s="10" t="s">
        <v>91</v>
      </c>
      <c r="N3753" s="10" t="s">
        <v>92</v>
      </c>
      <c r="O3753" s="19" t="s">
        <v>25726</v>
      </c>
      <c r="P3753" s="10"/>
      <c r="Q3753" s="10" t="s">
        <v>94</v>
      </c>
      <c r="R3753" s="10"/>
      <c r="S3753" s="19" t="s">
        <v>24724</v>
      </c>
      <c r="T3753" s="10"/>
      <c r="U3753" s="10"/>
      <c r="V3753" s="10"/>
      <c r="W3753" s="10" t="s">
        <v>24703</v>
      </c>
      <c r="X3753" s="10" t="s">
        <v>216</v>
      </c>
      <c r="Y3753" s="10" t="s">
        <v>216</v>
      </c>
      <c r="Z3753" s="10" t="s">
        <v>99</v>
      </c>
      <c r="AA3753" s="10" t="s">
        <v>131</v>
      </c>
      <c r="AB3753" s="10" t="s">
        <v>24704</v>
      </c>
      <c r="AC3753" s="10" t="s">
        <v>21389</v>
      </c>
      <c r="AD3753" s="10" t="s">
        <v>165</v>
      </c>
      <c r="AE3753" s="10" t="s">
        <v>25727</v>
      </c>
      <c r="AF3753" s="15"/>
      <c r="AG3753" s="10"/>
      <c r="AH3753" s="10"/>
      <c r="AI3753" s="10"/>
      <c r="AJ3753" s="10"/>
      <c r="AK3753" s="10" t="s">
        <v>102</v>
      </c>
      <c r="AL3753" s="10"/>
      <c r="AM3753" s="10"/>
      <c r="AN3753" s="10"/>
      <c r="AO3753" s="13" t="b">
        <v>0</v>
      </c>
      <c r="AP3753" s="22" t="s">
        <v>221</v>
      </c>
      <c r="AQ3753" s="10">
        <f ca="1">IFERROR(__xludf.DUMMYFUNCTION("""COMPUTED_VALUE"""),4832361)</f>
        <v>4832361</v>
      </c>
      <c r="AR3753" s="17">
        <v>6130</v>
      </c>
      <c r="AS3753" s="17">
        <v>4275</v>
      </c>
      <c r="AT3753" s="17">
        <v>26398</v>
      </c>
      <c r="AU3753" s="17">
        <v>5.55</v>
      </c>
      <c r="AV3753" s="17">
        <v>2.35</v>
      </c>
      <c r="AW3753" s="10" t="s">
        <v>105</v>
      </c>
      <c r="AX3753" s="17">
        <v>1400</v>
      </c>
      <c r="AY3753" s="18">
        <v>6.1749707602339186</v>
      </c>
      <c r="AZ3753" s="10"/>
      <c r="BA3753" s="20" t="b">
        <v>0</v>
      </c>
      <c r="BB3753" s="10" t="s">
        <v>24721</v>
      </c>
      <c r="BC3753" s="17">
        <v>6130</v>
      </c>
      <c r="BD3753" s="17">
        <v>4275</v>
      </c>
      <c r="BE3753" s="17">
        <v>26398</v>
      </c>
      <c r="BF3753" s="17">
        <v>2.35</v>
      </c>
      <c r="BG3753" s="11">
        <f ca="1">IFERROR(__xludf.DUMMYFUNCTION("""COMPUTED_VALUE"""),46030.6180555555)</f>
        <v>46030.618055555497</v>
      </c>
      <c r="BH3753" s="17" t="s">
        <v>105</v>
      </c>
      <c r="BI3753" s="17"/>
      <c r="BJ3753" s="15"/>
      <c r="BK3753" s="15"/>
      <c r="BL3753" s="13" t="b">
        <v>0</v>
      </c>
      <c r="BM3753" s="10"/>
      <c r="BN3753" s="10" t="s">
        <v>1149</v>
      </c>
      <c r="BO3753" s="11">
        <v>46029.820138888892</v>
      </c>
      <c r="BP3753" s="11">
        <v>46029.820162037038</v>
      </c>
      <c r="BQ3753" s="15"/>
      <c r="BR3753" s="15">
        <v>46029.918611111112</v>
      </c>
      <c r="BS3753" s="10" t="s">
        <v>1149</v>
      </c>
      <c r="BT3753" s="10"/>
      <c r="BU3753" s="10"/>
      <c r="BV3753" s="10"/>
      <c r="BW3753" s="10"/>
      <c r="BX3753" s="10"/>
      <c r="BY3753" s="23"/>
      <c r="BZ3753" s="23"/>
      <c r="CA3753" s="19" t="s">
        <v>24726</v>
      </c>
      <c r="CB3753" s="23"/>
      <c r="CC3753" s="23"/>
      <c r="CD3753" s="23"/>
      <c r="CE3753" s="23"/>
      <c r="CF3753" s="23"/>
      <c r="CG3753" s="23"/>
      <c r="CH3753" s="23"/>
      <c r="CI3753" s="23"/>
    </row>
    <row r="3754" spans="1:87" x14ac:dyDescent="0.3">
      <c r="A3754" s="9" t="s">
        <v>25728</v>
      </c>
      <c r="B3754" s="10" t="s">
        <v>25729</v>
      </c>
      <c r="C3754" s="11">
        <v>46030.652777777781</v>
      </c>
      <c r="D3754" s="12">
        <v>3.4722222222222224E-2</v>
      </c>
      <c r="E3754" s="11">
        <v>46030.6875</v>
      </c>
      <c r="F3754" s="22" t="s">
        <v>24700</v>
      </c>
      <c r="G3754" s="13" t="b">
        <v>0</v>
      </c>
      <c r="H3754" s="22" t="s">
        <v>21384</v>
      </c>
      <c r="I3754" s="10" t="s">
        <v>9131</v>
      </c>
      <c r="J3754" s="13" t="b">
        <v>0</v>
      </c>
      <c r="K3754" s="13" t="b">
        <v>1</v>
      </c>
      <c r="L3754" s="10" t="s">
        <v>358</v>
      </c>
      <c r="M3754" s="10" t="s">
        <v>91</v>
      </c>
      <c r="N3754" s="10" t="s">
        <v>92</v>
      </c>
      <c r="O3754" s="19" t="s">
        <v>25730</v>
      </c>
      <c r="P3754" s="10"/>
      <c r="Q3754" s="10" t="s">
        <v>94</v>
      </c>
      <c r="R3754" s="10"/>
      <c r="S3754" s="19" t="s">
        <v>24724</v>
      </c>
      <c r="T3754" s="10"/>
      <c r="U3754" s="10"/>
      <c r="V3754" s="10"/>
      <c r="W3754" s="10" t="s">
        <v>24703</v>
      </c>
      <c r="X3754" s="10" t="s">
        <v>216</v>
      </c>
      <c r="Y3754" s="10" t="s">
        <v>216</v>
      </c>
      <c r="Z3754" s="10" t="s">
        <v>99</v>
      </c>
      <c r="AA3754" s="10" t="s">
        <v>131</v>
      </c>
      <c r="AB3754" s="10" t="s">
        <v>24704</v>
      </c>
      <c r="AC3754" s="10" t="s">
        <v>21389</v>
      </c>
      <c r="AD3754" s="10" t="s">
        <v>165</v>
      </c>
      <c r="AE3754" s="10" t="s">
        <v>25731</v>
      </c>
      <c r="AF3754" s="15"/>
      <c r="AG3754" s="10"/>
      <c r="AH3754" s="10"/>
      <c r="AI3754" s="10"/>
      <c r="AJ3754" s="10"/>
      <c r="AK3754" s="10" t="s">
        <v>102</v>
      </c>
      <c r="AL3754" s="10"/>
      <c r="AM3754" s="10"/>
      <c r="AN3754" s="10"/>
      <c r="AO3754" s="13" t="b">
        <v>0</v>
      </c>
      <c r="AP3754" s="22" t="s">
        <v>104</v>
      </c>
      <c r="AQ3754" s="10">
        <f ca="1">IFERROR(__xludf.DUMMYFUNCTION("""COMPUTED_VALUE"""),4832362)</f>
        <v>4832362</v>
      </c>
      <c r="AR3754" s="17">
        <v>6005</v>
      </c>
      <c r="AS3754" s="17">
        <v>4135</v>
      </c>
      <c r="AT3754" s="17">
        <v>23329.75</v>
      </c>
      <c r="AU3754" s="17">
        <v>3.75</v>
      </c>
      <c r="AV3754" s="17">
        <v>1.85</v>
      </c>
      <c r="AW3754" s="10" t="s">
        <v>105</v>
      </c>
      <c r="AX3754" s="17">
        <v>1608</v>
      </c>
      <c r="AY3754" s="18">
        <v>5.6420193470374853</v>
      </c>
      <c r="AZ3754" s="10"/>
      <c r="BA3754" s="20" t="b">
        <v>0</v>
      </c>
      <c r="BB3754" s="10" t="s">
        <v>24721</v>
      </c>
      <c r="BC3754" s="17">
        <v>6005</v>
      </c>
      <c r="BD3754" s="17">
        <v>4135</v>
      </c>
      <c r="BE3754" s="17">
        <v>23329.75</v>
      </c>
      <c r="BF3754" s="17">
        <v>1.85</v>
      </c>
      <c r="BG3754" s="11">
        <f ca="1">IFERROR(__xludf.DUMMYFUNCTION("""COMPUTED_VALUE"""),46030.6527777777)</f>
        <v>46030.652777777701</v>
      </c>
      <c r="BH3754" s="17" t="s">
        <v>105</v>
      </c>
      <c r="BI3754" s="17"/>
      <c r="BJ3754" s="15"/>
      <c r="BK3754" s="15"/>
      <c r="BL3754" s="13" t="b">
        <v>0</v>
      </c>
      <c r="BM3754" s="10"/>
      <c r="BN3754" s="10" t="s">
        <v>1149</v>
      </c>
      <c r="BO3754" s="11">
        <v>46029.820138888892</v>
      </c>
      <c r="BP3754" s="11">
        <v>46029.820231481484</v>
      </c>
      <c r="BQ3754" s="15"/>
      <c r="BR3754" s="15">
        <v>46029.918715277781</v>
      </c>
      <c r="BS3754" s="10" t="s">
        <v>1149</v>
      </c>
      <c r="BT3754" s="10"/>
      <c r="BU3754" s="10"/>
      <c r="BV3754" s="10"/>
      <c r="BW3754" s="10"/>
      <c r="BX3754" s="10"/>
      <c r="BY3754" s="23"/>
      <c r="BZ3754" s="23"/>
      <c r="CA3754" s="19" t="s">
        <v>24726</v>
      </c>
      <c r="CB3754" s="23"/>
      <c r="CC3754" s="23"/>
      <c r="CD3754" s="23"/>
      <c r="CE3754" s="23"/>
      <c r="CF3754" s="23"/>
      <c r="CG3754" s="23"/>
      <c r="CH3754" s="23"/>
      <c r="CI3754" s="23"/>
    </row>
    <row r="3755" spans="1:87" x14ac:dyDescent="0.3">
      <c r="A3755" s="9" t="s">
        <v>25732</v>
      </c>
      <c r="B3755" s="10" t="s">
        <v>25733</v>
      </c>
      <c r="C3755" s="11">
        <v>46030.6875</v>
      </c>
      <c r="D3755" s="12">
        <v>3.4722222222222224E-2</v>
      </c>
      <c r="E3755" s="11">
        <v>46030.722222222219</v>
      </c>
      <c r="F3755" s="22" t="s">
        <v>24700</v>
      </c>
      <c r="G3755" s="13" t="b">
        <v>0</v>
      </c>
      <c r="H3755" s="22" t="s">
        <v>21384</v>
      </c>
      <c r="I3755" s="10" t="s">
        <v>9131</v>
      </c>
      <c r="J3755" s="13" t="b">
        <v>0</v>
      </c>
      <c r="K3755" s="13" t="b">
        <v>1</v>
      </c>
      <c r="L3755" s="10" t="s">
        <v>124</v>
      </c>
      <c r="M3755" s="10" t="s">
        <v>91</v>
      </c>
      <c r="N3755" s="10" t="s">
        <v>92</v>
      </c>
      <c r="O3755" s="19" t="s">
        <v>25734</v>
      </c>
      <c r="P3755" s="10"/>
      <c r="Q3755" s="10" t="s">
        <v>94</v>
      </c>
      <c r="R3755" s="10"/>
      <c r="S3755" s="19" t="s">
        <v>24724</v>
      </c>
      <c r="T3755" s="10"/>
      <c r="U3755" s="10"/>
      <c r="V3755" s="10"/>
      <c r="W3755" s="10" t="s">
        <v>24703</v>
      </c>
      <c r="X3755" s="10" t="s">
        <v>216</v>
      </c>
      <c r="Y3755" s="10" t="s">
        <v>216</v>
      </c>
      <c r="Z3755" s="10" t="s">
        <v>99</v>
      </c>
      <c r="AA3755" s="10" t="s">
        <v>131</v>
      </c>
      <c r="AB3755" s="10" t="s">
        <v>24704</v>
      </c>
      <c r="AC3755" s="10" t="s">
        <v>21389</v>
      </c>
      <c r="AD3755" s="10" t="s">
        <v>165</v>
      </c>
      <c r="AE3755" s="10" t="s">
        <v>25735</v>
      </c>
      <c r="AF3755" s="15"/>
      <c r="AG3755" s="10"/>
      <c r="AH3755" s="10"/>
      <c r="AI3755" s="10"/>
      <c r="AJ3755" s="10"/>
      <c r="AK3755" s="10" t="s">
        <v>102</v>
      </c>
      <c r="AL3755" s="10"/>
      <c r="AM3755" s="10"/>
      <c r="AN3755" s="10"/>
      <c r="AO3755" s="13" t="b">
        <v>0</v>
      </c>
      <c r="AP3755" s="22" t="s">
        <v>104</v>
      </c>
      <c r="AQ3755" s="10">
        <f ca="1">IFERROR(__xludf.DUMMYFUNCTION("""COMPUTED_VALUE"""),4832363)</f>
        <v>4832363</v>
      </c>
      <c r="AR3755" s="17">
        <v>5636</v>
      </c>
      <c r="AS3755" s="17">
        <v>4211</v>
      </c>
      <c r="AT3755" s="17">
        <v>35557.75</v>
      </c>
      <c r="AU3755" s="17">
        <v>4.7</v>
      </c>
      <c r="AV3755" s="17">
        <v>1.1000000000000001</v>
      </c>
      <c r="AW3755" s="10" t="s">
        <v>105</v>
      </c>
      <c r="AX3755" s="17">
        <v>2690</v>
      </c>
      <c r="AY3755" s="18">
        <v>8.4440156732367608</v>
      </c>
      <c r="AZ3755" s="10"/>
      <c r="BA3755" s="20" t="b">
        <v>0</v>
      </c>
      <c r="BB3755" s="10" t="s">
        <v>24721</v>
      </c>
      <c r="BC3755" s="17">
        <v>5636</v>
      </c>
      <c r="BD3755" s="17">
        <v>4211</v>
      </c>
      <c r="BE3755" s="17">
        <v>35557.75</v>
      </c>
      <c r="BF3755" s="17">
        <v>1.1000000000000001</v>
      </c>
      <c r="BG3755" s="11">
        <f ca="1">IFERROR(__xludf.DUMMYFUNCTION("""COMPUTED_VALUE"""),46030.6875)</f>
        <v>46030.6875</v>
      </c>
      <c r="BH3755" s="17" t="s">
        <v>105</v>
      </c>
      <c r="BI3755" s="17"/>
      <c r="BJ3755" s="15"/>
      <c r="BK3755" s="15"/>
      <c r="BL3755" s="13" t="b">
        <v>0</v>
      </c>
      <c r="BM3755" s="10"/>
      <c r="BN3755" s="10" t="s">
        <v>1149</v>
      </c>
      <c r="BO3755" s="11">
        <v>46029.820138888892</v>
      </c>
      <c r="BP3755" s="11">
        <v>46029.820381944446</v>
      </c>
      <c r="BQ3755" s="15"/>
      <c r="BR3755" s="15">
        <v>46029.918807870374</v>
      </c>
      <c r="BS3755" s="10" t="s">
        <v>1149</v>
      </c>
      <c r="BT3755" s="10"/>
      <c r="BU3755" s="10"/>
      <c r="BV3755" s="10"/>
      <c r="BW3755" s="10"/>
      <c r="BX3755" s="10"/>
      <c r="BY3755" s="23"/>
      <c r="BZ3755" s="23"/>
      <c r="CA3755" s="19" t="s">
        <v>24726</v>
      </c>
      <c r="CB3755" s="23"/>
      <c r="CC3755" s="23"/>
      <c r="CD3755" s="23"/>
      <c r="CE3755" s="23"/>
      <c r="CF3755" s="23"/>
      <c r="CG3755" s="23"/>
      <c r="CH3755" s="23"/>
      <c r="CI3755" s="23"/>
    </row>
    <row r="3756" spans="1:87" x14ac:dyDescent="0.3">
      <c r="A3756" s="9" t="s">
        <v>25736</v>
      </c>
      <c r="B3756" s="10" t="s">
        <v>25737</v>
      </c>
      <c r="C3756" s="11">
        <v>46030.722222222219</v>
      </c>
      <c r="D3756" s="12">
        <v>3.4722222222222224E-2</v>
      </c>
      <c r="E3756" s="11">
        <v>46030.756944444445</v>
      </c>
      <c r="F3756" s="22" t="s">
        <v>24700</v>
      </c>
      <c r="G3756" s="13" t="b">
        <v>0</v>
      </c>
      <c r="H3756" s="22" t="s">
        <v>21384</v>
      </c>
      <c r="I3756" s="10" t="s">
        <v>9131</v>
      </c>
      <c r="J3756" s="13" t="b">
        <v>0</v>
      </c>
      <c r="K3756" s="13" t="b">
        <v>1</v>
      </c>
      <c r="L3756" s="10" t="s">
        <v>358</v>
      </c>
      <c r="M3756" s="10" t="s">
        <v>91</v>
      </c>
      <c r="N3756" s="10" t="s">
        <v>92</v>
      </c>
      <c r="O3756" s="19" t="s">
        <v>25738</v>
      </c>
      <c r="P3756" s="10"/>
      <c r="Q3756" s="10" t="s">
        <v>94</v>
      </c>
      <c r="R3756" s="10"/>
      <c r="S3756" s="19" t="s">
        <v>24724</v>
      </c>
      <c r="T3756" s="10"/>
      <c r="U3756" s="10"/>
      <c r="V3756" s="10"/>
      <c r="W3756" s="10" t="s">
        <v>24703</v>
      </c>
      <c r="X3756" s="10" t="s">
        <v>216</v>
      </c>
      <c r="Y3756" s="10" t="s">
        <v>216</v>
      </c>
      <c r="Z3756" s="10" t="s">
        <v>99</v>
      </c>
      <c r="AA3756" s="10" t="s">
        <v>131</v>
      </c>
      <c r="AB3756" s="10" t="s">
        <v>24704</v>
      </c>
      <c r="AC3756" s="10" t="s">
        <v>21389</v>
      </c>
      <c r="AD3756" s="10" t="s">
        <v>165</v>
      </c>
      <c r="AE3756" s="10" t="s">
        <v>25739</v>
      </c>
      <c r="AF3756" s="15"/>
      <c r="AG3756" s="10"/>
      <c r="AH3756" s="10"/>
      <c r="AI3756" s="10"/>
      <c r="AJ3756" s="10"/>
      <c r="AK3756" s="10" t="s">
        <v>102</v>
      </c>
      <c r="AL3756" s="10"/>
      <c r="AM3756" s="10"/>
      <c r="AN3756" s="10"/>
      <c r="AO3756" s="13" t="b">
        <v>0</v>
      </c>
      <c r="AP3756" s="22" t="s">
        <v>104</v>
      </c>
      <c r="AQ3756" s="10">
        <f ca="1">IFERROR(__xludf.DUMMYFUNCTION("""COMPUTED_VALUE"""),4832364)</f>
        <v>4832364</v>
      </c>
      <c r="AR3756" s="17">
        <v>8312</v>
      </c>
      <c r="AS3756" s="17">
        <v>5491</v>
      </c>
      <c r="AT3756" s="17">
        <v>23144.25</v>
      </c>
      <c r="AU3756" s="17">
        <v>7.9</v>
      </c>
      <c r="AV3756" s="17">
        <v>0.75</v>
      </c>
      <c r="AW3756" s="10" t="s">
        <v>105</v>
      </c>
      <c r="AX3756" s="17">
        <v>2690</v>
      </c>
      <c r="AY3756" s="18">
        <v>4.214942633400109</v>
      </c>
      <c r="AZ3756" s="10"/>
      <c r="BA3756" s="20" t="b">
        <v>0</v>
      </c>
      <c r="BB3756" s="10" t="s">
        <v>24721</v>
      </c>
      <c r="BC3756" s="17">
        <v>8312</v>
      </c>
      <c r="BD3756" s="17">
        <v>5491</v>
      </c>
      <c r="BE3756" s="17">
        <v>23144.25</v>
      </c>
      <c r="BF3756" s="17">
        <v>0.75</v>
      </c>
      <c r="BG3756" s="11">
        <f ca="1">IFERROR(__xludf.DUMMYFUNCTION("""COMPUTED_VALUE"""),46030.7222222222)</f>
        <v>46030.722222222197</v>
      </c>
      <c r="BH3756" s="17" t="s">
        <v>105</v>
      </c>
      <c r="BI3756" s="17"/>
      <c r="BJ3756" s="15"/>
      <c r="BK3756" s="15"/>
      <c r="BL3756" s="13" t="b">
        <v>0</v>
      </c>
      <c r="BM3756" s="10"/>
      <c r="BN3756" s="10" t="s">
        <v>1149</v>
      </c>
      <c r="BO3756" s="11">
        <v>46029.820138888892</v>
      </c>
      <c r="BP3756" s="11">
        <v>46029.820497685185</v>
      </c>
      <c r="BQ3756" s="15"/>
      <c r="BR3756" s="15">
        <v>46029.918900462966</v>
      </c>
      <c r="BS3756" s="10" t="s">
        <v>1149</v>
      </c>
      <c r="BT3756" s="10"/>
      <c r="BU3756" s="10"/>
      <c r="BV3756" s="10"/>
      <c r="BW3756" s="10"/>
      <c r="BX3756" s="10"/>
      <c r="BY3756" s="23"/>
      <c r="BZ3756" s="23"/>
      <c r="CA3756" s="19" t="s">
        <v>24726</v>
      </c>
      <c r="CB3756" s="23"/>
      <c r="CC3756" s="23"/>
      <c r="CD3756" s="23"/>
      <c r="CE3756" s="23"/>
      <c r="CF3756" s="23"/>
      <c r="CG3756" s="23"/>
      <c r="CH3756" s="23"/>
      <c r="CI3756" s="23"/>
    </row>
    <row r="3757" spans="1:87" x14ac:dyDescent="0.3">
      <c r="A3757" s="9" t="s">
        <v>25740</v>
      </c>
      <c r="B3757" s="10" t="s">
        <v>25741</v>
      </c>
      <c r="C3757" s="11">
        <v>46030.784722222219</v>
      </c>
      <c r="D3757" s="12">
        <v>3.4722222222222224E-2</v>
      </c>
      <c r="E3757" s="11">
        <v>46030.819444444445</v>
      </c>
      <c r="F3757" s="22" t="s">
        <v>24700</v>
      </c>
      <c r="G3757" s="13" t="b">
        <v>0</v>
      </c>
      <c r="H3757" s="22" t="s">
        <v>21384</v>
      </c>
      <c r="I3757" s="10" t="s">
        <v>9131</v>
      </c>
      <c r="J3757" s="13" t="b">
        <v>0</v>
      </c>
      <c r="K3757" s="13" t="b">
        <v>1</v>
      </c>
      <c r="L3757" s="10" t="s">
        <v>124</v>
      </c>
      <c r="M3757" s="10" t="s">
        <v>91</v>
      </c>
      <c r="N3757" s="10" t="s">
        <v>92</v>
      </c>
      <c r="O3757" s="19" t="s">
        <v>25742</v>
      </c>
      <c r="P3757" s="10"/>
      <c r="Q3757" s="10" t="s">
        <v>94</v>
      </c>
      <c r="R3757" s="10"/>
      <c r="S3757" s="19" t="s">
        <v>24724</v>
      </c>
      <c r="T3757" s="10"/>
      <c r="U3757" s="10"/>
      <c r="V3757" s="10"/>
      <c r="W3757" s="10" t="s">
        <v>24703</v>
      </c>
      <c r="X3757" s="10" t="s">
        <v>216</v>
      </c>
      <c r="Y3757" s="10" t="s">
        <v>216</v>
      </c>
      <c r="Z3757" s="10" t="s">
        <v>99</v>
      </c>
      <c r="AA3757" s="10" t="s">
        <v>131</v>
      </c>
      <c r="AB3757" s="10" t="s">
        <v>24704</v>
      </c>
      <c r="AC3757" s="10" t="s">
        <v>21389</v>
      </c>
      <c r="AD3757" s="10" t="s">
        <v>165</v>
      </c>
      <c r="AE3757" s="10" t="s">
        <v>25743</v>
      </c>
      <c r="AF3757" s="15"/>
      <c r="AG3757" s="10"/>
      <c r="AH3757" s="10"/>
      <c r="AI3757" s="10"/>
      <c r="AJ3757" s="10"/>
      <c r="AK3757" s="10" t="s">
        <v>102</v>
      </c>
      <c r="AL3757" s="10"/>
      <c r="AM3757" s="10"/>
      <c r="AN3757" s="10"/>
      <c r="AO3757" s="13" t="b">
        <v>0</v>
      </c>
      <c r="AP3757" s="22" t="s">
        <v>135</v>
      </c>
      <c r="AQ3757" s="10">
        <f ca="1">IFERROR(__xludf.DUMMYFUNCTION("""COMPUTED_VALUE"""),4833781)</f>
        <v>4833781</v>
      </c>
      <c r="AR3757" s="17">
        <v>9564</v>
      </c>
      <c r="AS3757" s="17">
        <v>6287</v>
      </c>
      <c r="AT3757" s="17">
        <v>16566.25</v>
      </c>
      <c r="AU3757" s="17">
        <v>2.6</v>
      </c>
      <c r="AV3757" s="17">
        <v>2.35</v>
      </c>
      <c r="AW3757" s="10" t="s">
        <v>105</v>
      </c>
      <c r="AX3757" s="17">
        <v>3410</v>
      </c>
      <c r="AY3757" s="18">
        <v>2.6350007952918721</v>
      </c>
      <c r="AZ3757" s="10"/>
      <c r="BA3757" s="20" t="b">
        <v>0</v>
      </c>
      <c r="BB3757" s="10" t="s">
        <v>24711</v>
      </c>
      <c r="BC3757" s="17">
        <v>9564</v>
      </c>
      <c r="BD3757" s="17">
        <v>6287</v>
      </c>
      <c r="BE3757" s="17">
        <v>16566.25</v>
      </c>
      <c r="BF3757" s="17">
        <v>2.35</v>
      </c>
      <c r="BG3757" s="11">
        <f ca="1">IFERROR(__xludf.DUMMYFUNCTION("""COMPUTED_VALUE"""),46030.7847222222)</f>
        <v>46030.784722222197</v>
      </c>
      <c r="BH3757" s="17" t="s">
        <v>105</v>
      </c>
      <c r="BI3757" s="17"/>
      <c r="BJ3757" s="15"/>
      <c r="BK3757" s="15"/>
      <c r="BL3757" s="13" t="b">
        <v>0</v>
      </c>
      <c r="BM3757" s="10"/>
      <c r="BN3757" s="10" t="s">
        <v>157</v>
      </c>
      <c r="BO3757" s="11">
        <v>46029.820138888892</v>
      </c>
      <c r="BP3757" s="11">
        <v>46030.747858796298</v>
      </c>
      <c r="BQ3757" s="15"/>
      <c r="BR3757" s="15">
        <v>46030.846226851849</v>
      </c>
      <c r="BS3757" s="10" t="s">
        <v>157</v>
      </c>
      <c r="BT3757" s="10"/>
      <c r="BU3757" s="10"/>
      <c r="BV3757" s="10"/>
      <c r="BW3757" s="10"/>
      <c r="BX3757" s="10"/>
      <c r="BY3757" s="23"/>
      <c r="BZ3757" s="23"/>
      <c r="CA3757" s="19" t="s">
        <v>24726</v>
      </c>
      <c r="CB3757" s="23"/>
      <c r="CC3757" s="23"/>
      <c r="CD3757" s="23"/>
      <c r="CE3757" s="23"/>
      <c r="CF3757" s="23"/>
      <c r="CG3757" s="23"/>
      <c r="CH3757" s="23"/>
      <c r="CI3757" s="23"/>
    </row>
    <row r="3758" spans="1:87" x14ac:dyDescent="0.3">
      <c r="A3758" s="9" t="s">
        <v>25744</v>
      </c>
      <c r="B3758" s="10" t="s">
        <v>25745</v>
      </c>
      <c r="C3758" s="11">
        <v>46030.791666666664</v>
      </c>
      <c r="D3758" s="12">
        <v>3.4722222222222224E-2</v>
      </c>
      <c r="E3758" s="11">
        <v>46030.826388888891</v>
      </c>
      <c r="F3758" s="22" t="s">
        <v>24700</v>
      </c>
      <c r="G3758" s="13" t="b">
        <v>0</v>
      </c>
      <c r="H3758" s="22" t="s">
        <v>21384</v>
      </c>
      <c r="I3758" s="10" t="s">
        <v>9131</v>
      </c>
      <c r="J3758" s="13" t="b">
        <v>0</v>
      </c>
      <c r="K3758" s="13" t="b">
        <v>1</v>
      </c>
      <c r="L3758" s="10" t="s">
        <v>124</v>
      </c>
      <c r="M3758" s="10" t="s">
        <v>91</v>
      </c>
      <c r="N3758" s="10" t="s">
        <v>92</v>
      </c>
      <c r="O3758" s="19" t="s">
        <v>25746</v>
      </c>
      <c r="P3758" s="10"/>
      <c r="Q3758" s="10" t="s">
        <v>94</v>
      </c>
      <c r="R3758" s="10"/>
      <c r="S3758" s="19" t="s">
        <v>24724</v>
      </c>
      <c r="T3758" s="10"/>
      <c r="U3758" s="10"/>
      <c r="V3758" s="10"/>
      <c r="W3758" s="10" t="s">
        <v>24703</v>
      </c>
      <c r="X3758" s="10" t="s">
        <v>216</v>
      </c>
      <c r="Y3758" s="10" t="s">
        <v>216</v>
      </c>
      <c r="Z3758" s="10" t="s">
        <v>99</v>
      </c>
      <c r="AA3758" s="10" t="s">
        <v>131</v>
      </c>
      <c r="AB3758" s="10" t="s">
        <v>24704</v>
      </c>
      <c r="AC3758" s="10" t="s">
        <v>21389</v>
      </c>
      <c r="AD3758" s="10" t="s">
        <v>165</v>
      </c>
      <c r="AE3758" s="10" t="s">
        <v>25747</v>
      </c>
      <c r="AF3758" s="15"/>
      <c r="AG3758" s="10"/>
      <c r="AH3758" s="10"/>
      <c r="AI3758" s="10"/>
      <c r="AJ3758" s="10"/>
      <c r="AK3758" s="10" t="s">
        <v>102</v>
      </c>
      <c r="AL3758" s="10"/>
      <c r="AM3758" s="10"/>
      <c r="AN3758" s="10"/>
      <c r="AO3758" s="13" t="b">
        <v>0</v>
      </c>
      <c r="AP3758" s="22" t="s">
        <v>135</v>
      </c>
      <c r="AQ3758" s="10">
        <f ca="1">IFERROR(__xludf.DUMMYFUNCTION("""COMPUTED_VALUE"""),4832366)</f>
        <v>4832366</v>
      </c>
      <c r="AR3758" s="17">
        <v>12597</v>
      </c>
      <c r="AS3758" s="17">
        <v>8287</v>
      </c>
      <c r="AT3758" s="17">
        <v>23797.75</v>
      </c>
      <c r="AU3758" s="17">
        <v>7</v>
      </c>
      <c r="AV3758" s="17">
        <v>2.95</v>
      </c>
      <c r="AW3758" s="10" t="s">
        <v>105</v>
      </c>
      <c r="AX3758" s="17">
        <v>2872</v>
      </c>
      <c r="AY3758" s="18">
        <v>2.8716966332810427</v>
      </c>
      <c r="AZ3758" s="10"/>
      <c r="BA3758" s="20" t="b">
        <v>0</v>
      </c>
      <c r="BB3758" s="10" t="s">
        <v>24721</v>
      </c>
      <c r="BC3758" s="17">
        <v>12597</v>
      </c>
      <c r="BD3758" s="17">
        <v>8287</v>
      </c>
      <c r="BE3758" s="17">
        <v>23797.75</v>
      </c>
      <c r="BF3758" s="17">
        <v>2.95</v>
      </c>
      <c r="BG3758" s="11">
        <f ca="1">IFERROR(__xludf.DUMMYFUNCTION("""COMPUTED_VALUE"""),46030.7916666666)</f>
        <v>46030.791666666599</v>
      </c>
      <c r="BH3758" s="17" t="s">
        <v>105</v>
      </c>
      <c r="BI3758" s="17"/>
      <c r="BJ3758" s="15"/>
      <c r="BK3758" s="15"/>
      <c r="BL3758" s="13" t="b">
        <v>0</v>
      </c>
      <c r="BM3758" s="10"/>
      <c r="BN3758" s="10" t="s">
        <v>1149</v>
      </c>
      <c r="BO3758" s="11">
        <v>46029.820138888892</v>
      </c>
      <c r="BP3758" s="11">
        <v>46029.820844907408</v>
      </c>
      <c r="BQ3758" s="15"/>
      <c r="BR3758" s="15">
        <v>46029.91914351852</v>
      </c>
      <c r="BS3758" s="10" t="s">
        <v>1149</v>
      </c>
      <c r="BT3758" s="10"/>
      <c r="BU3758" s="10"/>
      <c r="BV3758" s="10"/>
      <c r="BW3758" s="10"/>
      <c r="BX3758" s="10"/>
      <c r="BY3758" s="23"/>
      <c r="BZ3758" s="23"/>
      <c r="CA3758" s="19" t="s">
        <v>24726</v>
      </c>
      <c r="CB3758" s="23"/>
      <c r="CC3758" s="23"/>
      <c r="CD3758" s="23"/>
      <c r="CE3758" s="23"/>
      <c r="CF3758" s="23"/>
      <c r="CG3758" s="23"/>
      <c r="CH3758" s="23"/>
      <c r="CI3758" s="23"/>
    </row>
    <row r="3759" spans="1:87" x14ac:dyDescent="0.3">
      <c r="A3759" s="9" t="s">
        <v>25748</v>
      </c>
      <c r="B3759" s="10" t="s">
        <v>25749</v>
      </c>
      <c r="C3759" s="11">
        <v>46030.715277777781</v>
      </c>
      <c r="D3759" s="12">
        <v>3.4722222222222224E-2</v>
      </c>
      <c r="E3759" s="11">
        <v>46030.75</v>
      </c>
      <c r="F3759" s="22" t="s">
        <v>24700</v>
      </c>
      <c r="G3759" s="13" t="b">
        <v>0</v>
      </c>
      <c r="H3759" s="22" t="s">
        <v>21384</v>
      </c>
      <c r="I3759" s="10" t="s">
        <v>9131</v>
      </c>
      <c r="J3759" s="13" t="b">
        <v>0</v>
      </c>
      <c r="K3759" s="13" t="b">
        <v>1</v>
      </c>
      <c r="L3759" s="10" t="s">
        <v>124</v>
      </c>
      <c r="M3759" s="10" t="s">
        <v>91</v>
      </c>
      <c r="N3759" s="10" t="s">
        <v>92</v>
      </c>
      <c r="O3759" s="19" t="s">
        <v>25750</v>
      </c>
      <c r="P3759" s="10"/>
      <c r="Q3759" s="10" t="s">
        <v>126</v>
      </c>
      <c r="R3759" s="10"/>
      <c r="S3759" s="19" t="s">
        <v>24714</v>
      </c>
      <c r="T3759" s="10"/>
      <c r="U3759" s="10"/>
      <c r="V3759" s="10"/>
      <c r="W3759" s="10" t="s">
        <v>24703</v>
      </c>
      <c r="X3759" s="10" t="s">
        <v>216</v>
      </c>
      <c r="Y3759" s="10" t="s">
        <v>216</v>
      </c>
      <c r="Z3759" s="10" t="s">
        <v>99</v>
      </c>
      <c r="AA3759" s="10" t="s">
        <v>131</v>
      </c>
      <c r="AB3759" s="10" t="s">
        <v>24704</v>
      </c>
      <c r="AC3759" s="10" t="s">
        <v>21389</v>
      </c>
      <c r="AD3759" s="10" t="s">
        <v>165</v>
      </c>
      <c r="AE3759" s="10" t="s">
        <v>25751</v>
      </c>
      <c r="AF3759" s="15"/>
      <c r="AG3759" s="10"/>
      <c r="AH3759" s="10"/>
      <c r="AI3759" s="10"/>
      <c r="AJ3759" s="10"/>
      <c r="AK3759" s="10" t="s">
        <v>102</v>
      </c>
      <c r="AL3759" s="10"/>
      <c r="AM3759" s="10"/>
      <c r="AN3759" s="10"/>
      <c r="AO3759" s="13" t="b">
        <v>0</v>
      </c>
      <c r="AP3759" s="22" t="s">
        <v>135</v>
      </c>
      <c r="AQ3759" s="10">
        <f ca="1">IFERROR(__xludf.DUMMYFUNCTION("""COMPUTED_VALUE"""),4832346)</f>
        <v>4832346</v>
      </c>
      <c r="AR3759" s="17">
        <v>3750</v>
      </c>
      <c r="AS3759" s="17">
        <v>2772</v>
      </c>
      <c r="AT3759" s="17">
        <v>7197.75</v>
      </c>
      <c r="AU3759" s="17">
        <v>2.85</v>
      </c>
      <c r="AV3759" s="17">
        <v>0.75</v>
      </c>
      <c r="AW3759" s="10" t="s">
        <v>105</v>
      </c>
      <c r="AX3759" s="17">
        <v>1788</v>
      </c>
      <c r="AY3759" s="18">
        <v>2.5965909090909092</v>
      </c>
      <c r="AZ3759" s="10"/>
      <c r="BA3759" s="20" t="b">
        <v>0</v>
      </c>
      <c r="BB3759" s="10" t="s">
        <v>24711</v>
      </c>
      <c r="BC3759" s="17">
        <v>3750</v>
      </c>
      <c r="BD3759" s="17">
        <v>2772</v>
      </c>
      <c r="BE3759" s="17">
        <v>7197.75</v>
      </c>
      <c r="BF3759" s="17">
        <v>0.75</v>
      </c>
      <c r="BG3759" s="11">
        <f ca="1">IFERROR(__xludf.DUMMYFUNCTION("""COMPUTED_VALUE"""),46030.7152777777)</f>
        <v>46030.715277777701</v>
      </c>
      <c r="BH3759" s="17" t="s">
        <v>105</v>
      </c>
      <c r="BI3759" s="17"/>
      <c r="BJ3759" s="15"/>
      <c r="BK3759" s="15"/>
      <c r="BL3759" s="13" t="b">
        <v>0</v>
      </c>
      <c r="BM3759" s="10"/>
      <c r="BN3759" s="10" t="s">
        <v>1149</v>
      </c>
      <c r="BO3759" s="11">
        <v>46029.834027777775</v>
      </c>
      <c r="BP3759" s="11">
        <v>46029.869641203702</v>
      </c>
      <c r="BQ3759" s="15"/>
      <c r="BR3759" s="15">
        <v>46029.913148148145</v>
      </c>
      <c r="BS3759" s="10" t="s">
        <v>1149</v>
      </c>
      <c r="BT3759" s="10"/>
      <c r="BU3759" s="10"/>
      <c r="BV3759" s="10"/>
      <c r="BW3759" s="10"/>
      <c r="BX3759" s="10"/>
      <c r="BY3759" s="23"/>
      <c r="BZ3759" s="23"/>
      <c r="CA3759" s="19" t="s">
        <v>24716</v>
      </c>
      <c r="CB3759" s="23"/>
      <c r="CC3759" s="23"/>
      <c r="CD3759" s="19" t="s">
        <v>24717</v>
      </c>
      <c r="CE3759" s="23"/>
      <c r="CF3759" s="23"/>
      <c r="CG3759" s="23"/>
      <c r="CH3759" s="23"/>
      <c r="CI3759" s="23"/>
    </row>
    <row r="3760" spans="1:87" x14ac:dyDescent="0.3">
      <c r="A3760" s="25" t="s">
        <v>25752</v>
      </c>
      <c r="B3760" s="10" t="s">
        <v>25753</v>
      </c>
      <c r="C3760" s="11">
        <v>46030.75</v>
      </c>
      <c r="D3760" s="12">
        <v>3.4722222222222224E-2</v>
      </c>
      <c r="E3760" s="11">
        <v>46030.784722222219</v>
      </c>
      <c r="F3760" s="22" t="s">
        <v>24700</v>
      </c>
      <c r="G3760" s="13" t="b">
        <v>0</v>
      </c>
      <c r="H3760" s="22" t="s">
        <v>21384</v>
      </c>
      <c r="I3760" s="10" t="s">
        <v>9131</v>
      </c>
      <c r="J3760" s="13" t="b">
        <v>0</v>
      </c>
      <c r="K3760" s="13" t="b">
        <v>1</v>
      </c>
      <c r="L3760" s="10" t="s">
        <v>124</v>
      </c>
      <c r="M3760" s="10" t="s">
        <v>91</v>
      </c>
      <c r="N3760" s="10" t="s">
        <v>92</v>
      </c>
      <c r="O3760" s="19" t="s">
        <v>25754</v>
      </c>
      <c r="P3760" s="10"/>
      <c r="Q3760" s="10" t="s">
        <v>126</v>
      </c>
      <c r="R3760" s="10"/>
      <c r="S3760" s="19" t="s">
        <v>24714</v>
      </c>
      <c r="T3760" s="10"/>
      <c r="U3760" s="10"/>
      <c r="V3760" s="10"/>
      <c r="W3760" s="10" t="s">
        <v>24703</v>
      </c>
      <c r="X3760" s="10" t="s">
        <v>216</v>
      </c>
      <c r="Y3760" s="10" t="s">
        <v>216</v>
      </c>
      <c r="Z3760" s="10" t="s">
        <v>99</v>
      </c>
      <c r="AA3760" s="10" t="s">
        <v>131</v>
      </c>
      <c r="AB3760" s="10" t="s">
        <v>24704</v>
      </c>
      <c r="AC3760" s="10" t="s">
        <v>21389</v>
      </c>
      <c r="AD3760" s="10" t="s">
        <v>165</v>
      </c>
      <c r="AE3760" s="10" t="s">
        <v>25755</v>
      </c>
      <c r="AF3760" s="15"/>
      <c r="AG3760" s="10"/>
      <c r="AH3760" s="10"/>
      <c r="AI3760" s="10"/>
      <c r="AJ3760" s="10"/>
      <c r="AK3760" s="10" t="s">
        <v>102</v>
      </c>
      <c r="AL3760" s="10"/>
      <c r="AM3760" s="10"/>
      <c r="AN3760" s="10"/>
      <c r="AO3760" s="13" t="b">
        <v>0</v>
      </c>
      <c r="AP3760" s="22" t="s">
        <v>135</v>
      </c>
      <c r="AQ3760" s="10">
        <f ca="1">IFERROR(__xludf.DUMMYFUNCTION("""COMPUTED_VALUE"""),4832347)</f>
        <v>4832347</v>
      </c>
      <c r="AR3760" s="17">
        <v>7709</v>
      </c>
      <c r="AS3760" s="17">
        <v>5342</v>
      </c>
      <c r="AT3760" s="17">
        <v>30137.75</v>
      </c>
      <c r="AU3760" s="17">
        <v>5.5</v>
      </c>
      <c r="AV3760" s="17">
        <v>2.0499999999999998</v>
      </c>
      <c r="AW3760" s="10" t="s">
        <v>105</v>
      </c>
      <c r="AX3760" s="17">
        <v>2250</v>
      </c>
      <c r="AY3760" s="18">
        <v>5.6416604268064399</v>
      </c>
      <c r="AZ3760" s="10"/>
      <c r="BA3760" s="20" t="b">
        <v>0</v>
      </c>
      <c r="BB3760" s="10" t="s">
        <v>24711</v>
      </c>
      <c r="BC3760" s="17">
        <v>7709</v>
      </c>
      <c r="BD3760" s="17">
        <v>5342</v>
      </c>
      <c r="BE3760" s="17">
        <v>30137.75</v>
      </c>
      <c r="BF3760" s="17">
        <v>2.0499999999999998</v>
      </c>
      <c r="BG3760" s="11">
        <f ca="1">IFERROR(__xludf.DUMMYFUNCTION("""COMPUTED_VALUE"""),46030.75)</f>
        <v>46030.75</v>
      </c>
      <c r="BH3760" s="17" t="s">
        <v>105</v>
      </c>
      <c r="BI3760" s="17"/>
      <c r="BJ3760" s="15"/>
      <c r="BK3760" s="15"/>
      <c r="BL3760" s="13" t="b">
        <v>0</v>
      </c>
      <c r="BM3760" s="10"/>
      <c r="BN3760" s="10" t="s">
        <v>1149</v>
      </c>
      <c r="BO3760" s="11">
        <v>46029.834722222222</v>
      </c>
      <c r="BP3760" s="11">
        <v>46029.834907407407</v>
      </c>
      <c r="BQ3760" s="15"/>
      <c r="BR3760" s="15">
        <v>46029.913263888891</v>
      </c>
      <c r="BS3760" s="10" t="s">
        <v>1149</v>
      </c>
      <c r="BT3760" s="10"/>
      <c r="BU3760" s="10"/>
      <c r="BV3760" s="10"/>
      <c r="BW3760" s="10"/>
      <c r="BX3760" s="10"/>
      <c r="BY3760" s="23"/>
      <c r="BZ3760" s="23"/>
      <c r="CA3760" s="19" t="s">
        <v>24716</v>
      </c>
      <c r="CB3760" s="23"/>
      <c r="CC3760" s="23"/>
      <c r="CD3760" s="19" t="s">
        <v>24717</v>
      </c>
      <c r="CE3760" s="23"/>
      <c r="CF3760" s="23"/>
      <c r="CG3760" s="23"/>
      <c r="CH3760" s="23"/>
      <c r="CI3760" s="23"/>
    </row>
    <row r="3761" spans="1:87" x14ac:dyDescent="0.3">
      <c r="A3761" s="9" t="s">
        <v>25756</v>
      </c>
      <c r="B3761" s="10" t="s">
        <v>25757</v>
      </c>
      <c r="C3761" s="11">
        <v>46036.020833333336</v>
      </c>
      <c r="D3761" s="12">
        <v>8.3333333333333329E-2</v>
      </c>
      <c r="E3761" s="11">
        <v>46036.104166666664</v>
      </c>
      <c r="F3761" s="22" t="s">
        <v>9129</v>
      </c>
      <c r="G3761" s="13" t="b">
        <v>0</v>
      </c>
      <c r="H3761" s="22" t="s">
        <v>9130</v>
      </c>
      <c r="I3761" s="10" t="s">
        <v>9131</v>
      </c>
      <c r="J3761" s="13" t="b">
        <v>0</v>
      </c>
      <c r="K3761" s="13" t="b">
        <v>1</v>
      </c>
      <c r="L3761" s="10" t="s">
        <v>124</v>
      </c>
      <c r="M3761" s="10" t="s">
        <v>91</v>
      </c>
      <c r="N3761" s="10" t="s">
        <v>265</v>
      </c>
      <c r="O3761" s="10"/>
      <c r="P3761" s="10"/>
      <c r="Q3761" s="10" t="s">
        <v>94</v>
      </c>
      <c r="R3761" s="10"/>
      <c r="S3761" s="10"/>
      <c r="T3761" s="10"/>
      <c r="U3761" s="10" t="s">
        <v>24387</v>
      </c>
      <c r="V3761" s="10" t="s">
        <v>9134</v>
      </c>
      <c r="W3761" s="10" t="s">
        <v>9136</v>
      </c>
      <c r="X3761" s="10" t="s">
        <v>130</v>
      </c>
      <c r="Y3761" s="10" t="s">
        <v>130</v>
      </c>
      <c r="Z3761" s="10" t="s">
        <v>99</v>
      </c>
      <c r="AA3761" s="10" t="s">
        <v>131</v>
      </c>
      <c r="AB3761" s="10" t="s">
        <v>9137</v>
      </c>
      <c r="AC3761" s="10" t="s">
        <v>9138</v>
      </c>
      <c r="AD3761" s="10" t="s">
        <v>25758</v>
      </c>
      <c r="AE3761" s="10" t="s">
        <v>25759</v>
      </c>
      <c r="AF3761" s="15"/>
      <c r="AG3761" s="10"/>
      <c r="AH3761" s="10"/>
      <c r="AI3761" s="10"/>
      <c r="AJ3761" s="10"/>
      <c r="AK3761" s="10"/>
      <c r="AL3761" s="10" t="s">
        <v>1773</v>
      </c>
      <c r="AM3761" s="10"/>
      <c r="AN3761" s="10"/>
      <c r="AO3761" s="13" t="b">
        <v>0</v>
      </c>
      <c r="AP3761" s="22" t="s">
        <v>104</v>
      </c>
      <c r="AQ3761" s="10"/>
      <c r="AR3761" s="17"/>
      <c r="AS3761" s="17"/>
      <c r="AT3761" s="17"/>
      <c r="AU3761" s="17"/>
      <c r="AV3761" s="17"/>
      <c r="AW3761" s="10"/>
      <c r="AX3761" s="17"/>
      <c r="AY3761" s="18" t="s">
        <v>257</v>
      </c>
      <c r="AZ3761" s="10"/>
      <c r="BA3761" s="20" t="b">
        <v>0</v>
      </c>
      <c r="BB3761" s="10"/>
      <c r="BC3761" s="17" t="s">
        <v>257</v>
      </c>
      <c r="BD3761" s="17" t="s">
        <v>257</v>
      </c>
      <c r="BE3761" s="17" t="s">
        <v>257</v>
      </c>
      <c r="BF3761" s="17" t="s">
        <v>257</v>
      </c>
      <c r="BG3761" s="11">
        <f ca="1">IFERROR(__xludf.DUMMYFUNCTION("""COMPUTED_VALUE"""),46036.0208333333)</f>
        <v>46036.020833333299</v>
      </c>
      <c r="BH3761" s="17"/>
      <c r="BI3761" s="17"/>
      <c r="BJ3761" s="15"/>
      <c r="BK3761" s="15"/>
      <c r="BL3761" s="13" t="b">
        <v>0</v>
      </c>
      <c r="BM3761" s="10"/>
      <c r="BN3761" s="10" t="s">
        <v>351</v>
      </c>
      <c r="BO3761" s="11">
        <v>46030.448611111111</v>
      </c>
      <c r="BP3761" s="11">
        <v>46030.448634259257</v>
      </c>
      <c r="BQ3761" s="15"/>
      <c r="BR3761" s="15"/>
      <c r="BS3761" s="10"/>
      <c r="BT3761" s="10" t="s">
        <v>99</v>
      </c>
      <c r="BU3761" s="10"/>
      <c r="BV3761" s="10"/>
      <c r="BW3761" s="10"/>
      <c r="BX3761" s="10"/>
      <c r="BY3761" s="23"/>
      <c r="BZ3761" s="23"/>
      <c r="CA3761" s="10"/>
      <c r="CB3761" s="23"/>
      <c r="CC3761" s="23"/>
      <c r="CD3761" s="23"/>
      <c r="CE3761" s="23"/>
      <c r="CF3761" s="23"/>
      <c r="CG3761" s="23"/>
      <c r="CH3761" s="23"/>
      <c r="CI3761" s="23"/>
    </row>
    <row r="3762" spans="1:87" x14ac:dyDescent="0.3">
      <c r="A3762" s="9" t="s">
        <v>25760</v>
      </c>
      <c r="B3762" s="10" t="s">
        <v>25761</v>
      </c>
      <c r="C3762" s="11">
        <v>46037.020833333336</v>
      </c>
      <c r="D3762" s="12">
        <v>8.3333333333333329E-2</v>
      </c>
      <c r="E3762" s="11">
        <v>46037.104166666664</v>
      </c>
      <c r="F3762" s="22" t="s">
        <v>9129</v>
      </c>
      <c r="G3762" s="13" t="b">
        <v>0</v>
      </c>
      <c r="H3762" s="22" t="s">
        <v>9130</v>
      </c>
      <c r="I3762" s="10" t="s">
        <v>9131</v>
      </c>
      <c r="J3762" s="13" t="b">
        <v>0</v>
      </c>
      <c r="K3762" s="13" t="b">
        <v>1</v>
      </c>
      <c r="L3762" s="10" t="s">
        <v>124</v>
      </c>
      <c r="M3762" s="10" t="s">
        <v>91</v>
      </c>
      <c r="N3762" s="10" t="s">
        <v>265</v>
      </c>
      <c r="O3762" s="10"/>
      <c r="P3762" s="10"/>
      <c r="Q3762" s="10" t="s">
        <v>94</v>
      </c>
      <c r="R3762" s="10"/>
      <c r="S3762" s="10"/>
      <c r="T3762" s="10"/>
      <c r="U3762" s="10" t="s">
        <v>14944</v>
      </c>
      <c r="V3762" s="10" t="s">
        <v>21740</v>
      </c>
      <c r="W3762" s="10" t="s">
        <v>9136</v>
      </c>
      <c r="X3762" s="10" t="s">
        <v>130</v>
      </c>
      <c r="Y3762" s="10" t="s">
        <v>130</v>
      </c>
      <c r="Z3762" s="10" t="s">
        <v>99</v>
      </c>
      <c r="AA3762" s="10" t="s">
        <v>131</v>
      </c>
      <c r="AB3762" s="10" t="s">
        <v>9137</v>
      </c>
      <c r="AC3762" s="10" t="s">
        <v>9138</v>
      </c>
      <c r="AD3762" s="10" t="s">
        <v>25762</v>
      </c>
      <c r="AE3762" s="10" t="s">
        <v>25763</v>
      </c>
      <c r="AF3762" s="15"/>
      <c r="AG3762" s="10"/>
      <c r="AH3762" s="10"/>
      <c r="AI3762" s="10"/>
      <c r="AJ3762" s="10"/>
      <c r="AK3762" s="10"/>
      <c r="AL3762" s="10" t="s">
        <v>1773</v>
      </c>
      <c r="AM3762" s="10"/>
      <c r="AN3762" s="10"/>
      <c r="AO3762" s="13" t="b">
        <v>0</v>
      </c>
      <c r="AP3762" s="22" t="s">
        <v>104</v>
      </c>
      <c r="AQ3762" s="10"/>
      <c r="AR3762" s="17"/>
      <c r="AS3762" s="17"/>
      <c r="AT3762" s="17"/>
      <c r="AU3762" s="17"/>
      <c r="AV3762" s="17"/>
      <c r="AW3762" s="10"/>
      <c r="AX3762" s="17"/>
      <c r="AY3762" s="18" t="s">
        <v>257</v>
      </c>
      <c r="AZ3762" s="10"/>
      <c r="BA3762" s="20" t="b">
        <v>0</v>
      </c>
      <c r="BB3762" s="10"/>
      <c r="BC3762" s="17" t="s">
        <v>257</v>
      </c>
      <c r="BD3762" s="17" t="s">
        <v>257</v>
      </c>
      <c r="BE3762" s="17" t="s">
        <v>257</v>
      </c>
      <c r="BF3762" s="17" t="s">
        <v>257</v>
      </c>
      <c r="BG3762" s="11">
        <f ca="1">IFERROR(__xludf.DUMMYFUNCTION("""COMPUTED_VALUE"""),46037.0208333333)</f>
        <v>46037.020833333299</v>
      </c>
      <c r="BH3762" s="17"/>
      <c r="BI3762" s="17"/>
      <c r="BJ3762" s="15"/>
      <c r="BK3762" s="15"/>
      <c r="BL3762" s="13" t="b">
        <v>0</v>
      </c>
      <c r="BM3762" s="10"/>
      <c r="BN3762" s="10" t="s">
        <v>351</v>
      </c>
      <c r="BO3762" s="11">
        <v>46030.449305555558</v>
      </c>
      <c r="BP3762" s="11">
        <v>46030.44939814815</v>
      </c>
      <c r="BQ3762" s="15"/>
      <c r="BR3762" s="15"/>
      <c r="BS3762" s="10"/>
      <c r="BT3762" s="10" t="s">
        <v>99</v>
      </c>
      <c r="BU3762" s="10"/>
      <c r="BV3762" s="10"/>
      <c r="BW3762" s="10"/>
      <c r="BX3762" s="10"/>
      <c r="BY3762" s="23"/>
      <c r="BZ3762" s="23"/>
      <c r="CA3762" s="10"/>
      <c r="CB3762" s="23"/>
      <c r="CC3762" s="23"/>
      <c r="CD3762" s="23"/>
      <c r="CE3762" s="23"/>
      <c r="CF3762" s="23"/>
      <c r="CG3762" s="23"/>
      <c r="CH3762" s="23"/>
      <c r="CI3762" s="23"/>
    </row>
    <row r="3763" spans="1:87" x14ac:dyDescent="0.3">
      <c r="A3763" s="9" t="s">
        <v>25764</v>
      </c>
      <c r="B3763" s="10" t="s">
        <v>25765</v>
      </c>
      <c r="C3763" s="11">
        <v>46032.291666666664</v>
      </c>
      <c r="D3763" s="12">
        <v>0.25</v>
      </c>
      <c r="E3763" s="11">
        <v>46032.541666666664</v>
      </c>
      <c r="F3763" s="22" t="s">
        <v>25766</v>
      </c>
      <c r="G3763" s="13" t="b">
        <v>0</v>
      </c>
      <c r="H3763" s="22" t="s">
        <v>25767</v>
      </c>
      <c r="I3763" s="10" t="s">
        <v>212</v>
      </c>
      <c r="J3763" s="13" t="b">
        <v>1</v>
      </c>
      <c r="K3763" s="13" t="b">
        <v>0</v>
      </c>
      <c r="L3763" s="10" t="s">
        <v>124</v>
      </c>
      <c r="M3763" s="10" t="s">
        <v>91</v>
      </c>
      <c r="N3763" s="10" t="s">
        <v>92</v>
      </c>
      <c r="O3763" s="19" t="s">
        <v>25768</v>
      </c>
      <c r="P3763" s="10"/>
      <c r="Q3763" s="10" t="s">
        <v>94</v>
      </c>
      <c r="R3763" s="10"/>
      <c r="S3763" s="19" t="s">
        <v>25769</v>
      </c>
      <c r="T3763" s="10"/>
      <c r="U3763" s="10"/>
      <c r="V3763" s="10"/>
      <c r="W3763" s="10" t="s">
        <v>25770</v>
      </c>
      <c r="X3763" s="10" t="s">
        <v>130</v>
      </c>
      <c r="Y3763" s="10" t="s">
        <v>130</v>
      </c>
      <c r="Z3763" s="10" t="s">
        <v>99</v>
      </c>
      <c r="AA3763" s="10" t="s">
        <v>131</v>
      </c>
      <c r="AB3763" s="10" t="s">
        <v>25771</v>
      </c>
      <c r="AC3763" s="10" t="s">
        <v>25772</v>
      </c>
      <c r="AD3763" s="10" t="s">
        <v>165</v>
      </c>
      <c r="AE3763" s="10" t="s">
        <v>25773</v>
      </c>
      <c r="AF3763" s="15"/>
      <c r="AG3763" s="10"/>
      <c r="AH3763" s="10"/>
      <c r="AI3763" s="10"/>
      <c r="AJ3763" s="10"/>
      <c r="AK3763" s="10" t="s">
        <v>102</v>
      </c>
      <c r="AL3763" s="10" t="s">
        <v>103</v>
      </c>
      <c r="AM3763" s="10"/>
      <c r="AN3763" s="10"/>
      <c r="AO3763" s="13" t="b">
        <v>0</v>
      </c>
      <c r="AP3763" s="22" t="s">
        <v>104</v>
      </c>
      <c r="AQ3763" s="10">
        <f ca="1">IFERROR(__xludf.DUMMYFUNCTION("""COMPUTED_VALUE"""),20266)</f>
        <v>20266</v>
      </c>
      <c r="AR3763" s="17"/>
      <c r="AS3763" s="17"/>
      <c r="AT3763" s="17"/>
      <c r="AU3763" s="17"/>
      <c r="AV3763" s="17"/>
      <c r="AW3763" s="10"/>
      <c r="AX3763" s="17"/>
      <c r="AY3763" s="18" t="s">
        <v>257</v>
      </c>
      <c r="AZ3763" s="10"/>
      <c r="BA3763" s="20" t="b">
        <v>1</v>
      </c>
      <c r="BB3763" s="10"/>
      <c r="BC3763" s="17" t="s">
        <v>257</v>
      </c>
      <c r="BD3763" s="17" t="s">
        <v>257</v>
      </c>
      <c r="BE3763" s="17" t="s">
        <v>257</v>
      </c>
      <c r="BF3763" s="17" t="s">
        <v>257</v>
      </c>
      <c r="BG3763" s="11">
        <f ca="1">IFERROR(__xludf.DUMMYFUNCTION("""COMPUTED_VALUE"""),46032.2916666666)</f>
        <v>46032.291666666599</v>
      </c>
      <c r="BH3763" s="17" t="s">
        <v>105</v>
      </c>
      <c r="BI3763" s="17"/>
      <c r="BJ3763" s="15"/>
      <c r="BK3763" s="15"/>
      <c r="BL3763" s="13" t="b">
        <v>0</v>
      </c>
      <c r="BM3763" s="10"/>
      <c r="BN3763" s="10" t="s">
        <v>667</v>
      </c>
      <c r="BO3763" s="11">
        <v>46030.557638888888</v>
      </c>
      <c r="BP3763" s="11">
        <v>46030.70853009259</v>
      </c>
      <c r="BQ3763" s="15">
        <v>46030.58556712963</v>
      </c>
      <c r="BR3763" s="15">
        <v>46031.06013888889</v>
      </c>
      <c r="BS3763" s="10" t="s">
        <v>667</v>
      </c>
      <c r="BT3763" s="10"/>
      <c r="BU3763" s="10"/>
      <c r="BV3763" s="10"/>
      <c r="BW3763" s="10"/>
      <c r="BX3763" s="10"/>
      <c r="BY3763" s="23"/>
      <c r="BZ3763" s="23"/>
      <c r="CA3763" s="19" t="s">
        <v>25774</v>
      </c>
      <c r="CB3763" s="23"/>
      <c r="CC3763" s="23"/>
      <c r="CD3763" s="23"/>
      <c r="CE3763" s="23"/>
      <c r="CF3763" s="23"/>
      <c r="CG3763" s="23"/>
      <c r="CH3763" s="23"/>
      <c r="CI3763" s="23"/>
    </row>
    <row r="3764" spans="1:87" x14ac:dyDescent="0.3">
      <c r="A3764" s="9" t="s">
        <v>25775</v>
      </c>
      <c r="B3764" s="10" t="s">
        <v>25776</v>
      </c>
      <c r="C3764" s="11">
        <v>46032.291666666664</v>
      </c>
      <c r="D3764" s="12">
        <v>0.25</v>
      </c>
      <c r="E3764" s="11">
        <v>46032.541666666664</v>
      </c>
      <c r="F3764" s="22" t="s">
        <v>25766</v>
      </c>
      <c r="G3764" s="13" t="b">
        <v>0</v>
      </c>
      <c r="H3764" s="22" t="s">
        <v>25767</v>
      </c>
      <c r="I3764" s="10" t="s">
        <v>212</v>
      </c>
      <c r="J3764" s="13" t="b">
        <v>1</v>
      </c>
      <c r="K3764" s="13" t="b">
        <v>0</v>
      </c>
      <c r="L3764" s="10" t="s">
        <v>124</v>
      </c>
      <c r="M3764" s="10" t="s">
        <v>91</v>
      </c>
      <c r="N3764" s="10" t="s">
        <v>92</v>
      </c>
      <c r="O3764" s="19" t="s">
        <v>25777</v>
      </c>
      <c r="P3764" s="10"/>
      <c r="Q3764" s="10" t="s">
        <v>94</v>
      </c>
      <c r="R3764" s="10"/>
      <c r="S3764" s="19" t="s">
        <v>25769</v>
      </c>
      <c r="T3764" s="10"/>
      <c r="U3764" s="10"/>
      <c r="V3764" s="10"/>
      <c r="W3764" s="10" t="s">
        <v>25770</v>
      </c>
      <c r="X3764" s="10" t="s">
        <v>130</v>
      </c>
      <c r="Y3764" s="10" t="s">
        <v>130</v>
      </c>
      <c r="Z3764" s="10" t="s">
        <v>99</v>
      </c>
      <c r="AA3764" s="10" t="s">
        <v>131</v>
      </c>
      <c r="AB3764" s="10" t="s">
        <v>25771</v>
      </c>
      <c r="AC3764" s="10" t="s">
        <v>25772</v>
      </c>
      <c r="AD3764" s="10" t="s">
        <v>165</v>
      </c>
      <c r="AE3764" s="10" t="s">
        <v>25778</v>
      </c>
      <c r="AF3764" s="15"/>
      <c r="AG3764" s="10"/>
      <c r="AH3764" s="10"/>
      <c r="AI3764" s="10"/>
      <c r="AJ3764" s="10"/>
      <c r="AK3764" s="10" t="s">
        <v>102</v>
      </c>
      <c r="AL3764" s="10" t="s">
        <v>103</v>
      </c>
      <c r="AM3764" s="10"/>
      <c r="AN3764" s="10"/>
      <c r="AO3764" s="13" t="b">
        <v>0</v>
      </c>
      <c r="AP3764" s="22" t="s">
        <v>104</v>
      </c>
      <c r="AQ3764" s="10">
        <f ca="1">IFERROR(__xludf.DUMMYFUNCTION("""COMPUTED_VALUE"""),20267)</f>
        <v>20267</v>
      </c>
      <c r="AR3764" s="17"/>
      <c r="AS3764" s="17"/>
      <c r="AT3764" s="17"/>
      <c r="AU3764" s="17"/>
      <c r="AV3764" s="17"/>
      <c r="AW3764" s="10"/>
      <c r="AX3764" s="17"/>
      <c r="AY3764" s="18" t="s">
        <v>257</v>
      </c>
      <c r="AZ3764" s="10"/>
      <c r="BA3764" s="20" t="b">
        <v>1</v>
      </c>
      <c r="BB3764" s="10"/>
      <c r="BC3764" s="17" t="s">
        <v>257</v>
      </c>
      <c r="BD3764" s="17" t="s">
        <v>257</v>
      </c>
      <c r="BE3764" s="17" t="s">
        <v>257</v>
      </c>
      <c r="BF3764" s="17" t="s">
        <v>257</v>
      </c>
      <c r="BG3764" s="11">
        <f ca="1">IFERROR(__xludf.DUMMYFUNCTION("""COMPUTED_VALUE"""),46032.2916666666)</f>
        <v>46032.291666666599</v>
      </c>
      <c r="BH3764" s="17" t="s">
        <v>105</v>
      </c>
      <c r="BI3764" s="17"/>
      <c r="BJ3764" s="15"/>
      <c r="BK3764" s="15"/>
      <c r="BL3764" s="13" t="b">
        <v>0</v>
      </c>
      <c r="BM3764" s="10"/>
      <c r="BN3764" s="10" t="s">
        <v>19455</v>
      </c>
      <c r="BO3764" s="11">
        <v>46030.561805555553</v>
      </c>
      <c r="BP3764" s="11">
        <v>46030.562326388892</v>
      </c>
      <c r="BQ3764" s="15">
        <v>46030.585462962961</v>
      </c>
      <c r="BR3764" s="15">
        <v>46031.05804398148</v>
      </c>
      <c r="BS3764" s="10" t="s">
        <v>19455</v>
      </c>
      <c r="BT3764" s="10"/>
      <c r="BU3764" s="10"/>
      <c r="BV3764" s="10"/>
      <c r="BW3764" s="10"/>
      <c r="BX3764" s="10"/>
      <c r="BY3764" s="23"/>
      <c r="BZ3764" s="23"/>
      <c r="CA3764" s="19" t="s">
        <v>25774</v>
      </c>
      <c r="CB3764" s="23"/>
      <c r="CC3764" s="23"/>
      <c r="CD3764" s="23"/>
      <c r="CE3764" s="23"/>
      <c r="CF3764" s="23"/>
      <c r="CG3764" s="23"/>
      <c r="CH3764" s="23"/>
      <c r="CI3764" s="23"/>
    </row>
    <row r="3765" spans="1:87" x14ac:dyDescent="0.3">
      <c r="A3765" s="9" t="s">
        <v>25779</v>
      </c>
      <c r="B3765" s="10" t="s">
        <v>25780</v>
      </c>
      <c r="C3765" s="11">
        <v>46032.333333333336</v>
      </c>
      <c r="D3765" s="12">
        <v>0.1875</v>
      </c>
      <c r="E3765" s="11">
        <v>46032.520833333336</v>
      </c>
      <c r="F3765" s="22" t="s">
        <v>25766</v>
      </c>
      <c r="G3765" s="13" t="b">
        <v>0</v>
      </c>
      <c r="H3765" s="22" t="s">
        <v>25767</v>
      </c>
      <c r="I3765" s="10" t="s">
        <v>212</v>
      </c>
      <c r="J3765" s="13" t="b">
        <v>1</v>
      </c>
      <c r="K3765" s="13" t="b">
        <v>0</v>
      </c>
      <c r="L3765" s="10" t="s">
        <v>124</v>
      </c>
      <c r="M3765" s="10" t="s">
        <v>91</v>
      </c>
      <c r="N3765" s="10" t="s">
        <v>92</v>
      </c>
      <c r="O3765" s="19" t="s">
        <v>25781</v>
      </c>
      <c r="P3765" s="10"/>
      <c r="Q3765" s="10" t="s">
        <v>94</v>
      </c>
      <c r="R3765" s="10"/>
      <c r="S3765" s="19" t="s">
        <v>25769</v>
      </c>
      <c r="T3765" s="10"/>
      <c r="U3765" s="10"/>
      <c r="V3765" s="10"/>
      <c r="W3765" s="10" t="s">
        <v>25770</v>
      </c>
      <c r="X3765" s="10" t="s">
        <v>130</v>
      </c>
      <c r="Y3765" s="10" t="s">
        <v>130</v>
      </c>
      <c r="Z3765" s="10" t="s">
        <v>99</v>
      </c>
      <c r="AA3765" s="10" t="s">
        <v>131</v>
      </c>
      <c r="AB3765" s="10" t="s">
        <v>25771</v>
      </c>
      <c r="AC3765" s="10" t="s">
        <v>25772</v>
      </c>
      <c r="AD3765" s="10" t="s">
        <v>165</v>
      </c>
      <c r="AE3765" s="10" t="s">
        <v>25782</v>
      </c>
      <c r="AF3765" s="15"/>
      <c r="AG3765" s="10"/>
      <c r="AH3765" s="10"/>
      <c r="AI3765" s="10"/>
      <c r="AJ3765" s="10"/>
      <c r="AK3765" s="10" t="s">
        <v>102</v>
      </c>
      <c r="AL3765" s="10" t="s">
        <v>103</v>
      </c>
      <c r="AM3765" s="10"/>
      <c r="AN3765" s="10"/>
      <c r="AO3765" s="13" t="b">
        <v>0</v>
      </c>
      <c r="AP3765" s="22" t="s">
        <v>104</v>
      </c>
      <c r="AQ3765" s="10">
        <f ca="1">IFERROR(__xludf.DUMMYFUNCTION("""COMPUTED_VALUE"""),20268)</f>
        <v>20268</v>
      </c>
      <c r="AR3765" s="17"/>
      <c r="AS3765" s="17"/>
      <c r="AT3765" s="17"/>
      <c r="AU3765" s="17"/>
      <c r="AV3765" s="17"/>
      <c r="AW3765" s="10"/>
      <c r="AX3765" s="17"/>
      <c r="AY3765" s="18" t="s">
        <v>257</v>
      </c>
      <c r="AZ3765" s="10"/>
      <c r="BA3765" s="20" t="b">
        <v>1</v>
      </c>
      <c r="BB3765" s="10"/>
      <c r="BC3765" s="17" t="s">
        <v>257</v>
      </c>
      <c r="BD3765" s="17" t="s">
        <v>257</v>
      </c>
      <c r="BE3765" s="17" t="s">
        <v>257</v>
      </c>
      <c r="BF3765" s="17" t="s">
        <v>257</v>
      </c>
      <c r="BG3765" s="11">
        <f ca="1">IFERROR(__xludf.DUMMYFUNCTION("""COMPUTED_VALUE"""),46032.3333333333)</f>
        <v>46032.333333333299</v>
      </c>
      <c r="BH3765" s="17" t="s">
        <v>105</v>
      </c>
      <c r="BI3765" s="17"/>
      <c r="BJ3765" s="15"/>
      <c r="BK3765" s="15"/>
      <c r="BL3765" s="13" t="b">
        <v>0</v>
      </c>
      <c r="BM3765" s="10"/>
      <c r="BN3765" s="10" t="s">
        <v>19455</v>
      </c>
      <c r="BO3765" s="11">
        <v>46030.563888888886</v>
      </c>
      <c r="BP3765" s="11">
        <v>46030.564212962963</v>
      </c>
      <c r="BQ3765" s="15">
        <v>46030.585752314815</v>
      </c>
      <c r="BR3765" s="15">
        <v>46031.21434027778</v>
      </c>
      <c r="BS3765" s="10" t="s">
        <v>19455</v>
      </c>
      <c r="BT3765" s="10"/>
      <c r="BU3765" s="10"/>
      <c r="BV3765" s="10"/>
      <c r="BW3765" s="10"/>
      <c r="BX3765" s="10"/>
      <c r="BY3765" s="23"/>
      <c r="BZ3765" s="23"/>
      <c r="CA3765" s="19" t="s">
        <v>25774</v>
      </c>
      <c r="CB3765" s="23"/>
      <c r="CC3765" s="23"/>
      <c r="CD3765" s="23"/>
      <c r="CE3765" s="23"/>
      <c r="CF3765" s="23"/>
      <c r="CG3765" s="23"/>
      <c r="CH3765" s="23"/>
      <c r="CI3765" s="23"/>
    </row>
    <row r="3766" spans="1:87" x14ac:dyDescent="0.3">
      <c r="A3766" s="9" t="s">
        <v>25783</v>
      </c>
      <c r="B3766" s="10" t="s">
        <v>25784</v>
      </c>
      <c r="C3766" s="11">
        <v>46032.291666666664</v>
      </c>
      <c r="D3766" s="12">
        <v>0.29166666666666669</v>
      </c>
      <c r="E3766" s="11">
        <v>46032.583333333336</v>
      </c>
      <c r="F3766" s="22" t="s">
        <v>25766</v>
      </c>
      <c r="G3766" s="13" t="b">
        <v>0</v>
      </c>
      <c r="H3766" s="22" t="s">
        <v>25767</v>
      </c>
      <c r="I3766" s="10" t="s">
        <v>212</v>
      </c>
      <c r="J3766" s="13" t="b">
        <v>1</v>
      </c>
      <c r="K3766" s="13" t="b">
        <v>0</v>
      </c>
      <c r="L3766" s="10" t="s">
        <v>124</v>
      </c>
      <c r="M3766" s="10" t="s">
        <v>91</v>
      </c>
      <c r="N3766" s="10" t="s">
        <v>92</v>
      </c>
      <c r="O3766" s="19" t="s">
        <v>25785</v>
      </c>
      <c r="P3766" s="10"/>
      <c r="Q3766" s="10" t="s">
        <v>94</v>
      </c>
      <c r="R3766" s="10"/>
      <c r="S3766" s="19" t="s">
        <v>25769</v>
      </c>
      <c r="T3766" s="10"/>
      <c r="U3766" s="10"/>
      <c r="V3766" s="10"/>
      <c r="W3766" s="10" t="s">
        <v>25770</v>
      </c>
      <c r="X3766" s="10" t="s">
        <v>130</v>
      </c>
      <c r="Y3766" s="10" t="s">
        <v>130</v>
      </c>
      <c r="Z3766" s="10" t="s">
        <v>99</v>
      </c>
      <c r="AA3766" s="10" t="s">
        <v>131</v>
      </c>
      <c r="AB3766" s="10" t="s">
        <v>25771</v>
      </c>
      <c r="AC3766" s="10" t="s">
        <v>25772</v>
      </c>
      <c r="AD3766" s="10" t="s">
        <v>165</v>
      </c>
      <c r="AE3766" s="10" t="s">
        <v>25786</v>
      </c>
      <c r="AF3766" s="15"/>
      <c r="AG3766" s="10"/>
      <c r="AH3766" s="10"/>
      <c r="AI3766" s="10"/>
      <c r="AJ3766" s="10"/>
      <c r="AK3766" s="10" t="s">
        <v>102</v>
      </c>
      <c r="AL3766" s="10" t="s">
        <v>103</v>
      </c>
      <c r="AM3766" s="10"/>
      <c r="AN3766" s="10"/>
      <c r="AO3766" s="13" t="b">
        <v>0</v>
      </c>
      <c r="AP3766" s="22" t="s">
        <v>104</v>
      </c>
      <c r="AQ3766" s="10">
        <f ca="1">IFERROR(__xludf.DUMMYFUNCTION("""COMPUTED_VALUE"""),20269)</f>
        <v>20269</v>
      </c>
      <c r="AR3766" s="17"/>
      <c r="AS3766" s="17"/>
      <c r="AT3766" s="17"/>
      <c r="AU3766" s="17"/>
      <c r="AV3766" s="17"/>
      <c r="AW3766" s="10"/>
      <c r="AX3766" s="17"/>
      <c r="AY3766" s="18" t="s">
        <v>257</v>
      </c>
      <c r="AZ3766" s="10"/>
      <c r="BA3766" s="20" t="b">
        <v>1</v>
      </c>
      <c r="BB3766" s="10"/>
      <c r="BC3766" s="17" t="s">
        <v>257</v>
      </c>
      <c r="BD3766" s="17" t="s">
        <v>257</v>
      </c>
      <c r="BE3766" s="17" t="s">
        <v>257</v>
      </c>
      <c r="BF3766" s="17" t="s">
        <v>257</v>
      </c>
      <c r="BG3766" s="11">
        <f ca="1">IFERROR(__xludf.DUMMYFUNCTION("""COMPUTED_VALUE"""),46032.2916666666)</f>
        <v>46032.291666666599</v>
      </c>
      <c r="BH3766" s="17" t="s">
        <v>105</v>
      </c>
      <c r="BI3766" s="17"/>
      <c r="BJ3766" s="15"/>
      <c r="BK3766" s="15"/>
      <c r="BL3766" s="13" t="b">
        <v>0</v>
      </c>
      <c r="BM3766" s="10"/>
      <c r="BN3766" s="10" t="s">
        <v>19455</v>
      </c>
      <c r="BO3766" s="11">
        <v>46030.56527777778</v>
      </c>
      <c r="BP3766" s="11">
        <v>46030.565844907411</v>
      </c>
      <c r="BQ3766" s="15">
        <v>46030.585613425923</v>
      </c>
      <c r="BR3766" s="15">
        <v>46031.072511574072</v>
      </c>
      <c r="BS3766" s="10" t="s">
        <v>19455</v>
      </c>
      <c r="BT3766" s="10"/>
      <c r="BU3766" s="10"/>
      <c r="BV3766" s="10"/>
      <c r="BW3766" s="10"/>
      <c r="BX3766" s="10"/>
      <c r="BY3766" s="23"/>
      <c r="BZ3766" s="23"/>
      <c r="CA3766" s="19" t="s">
        <v>25774</v>
      </c>
      <c r="CB3766" s="23"/>
      <c r="CC3766" s="23"/>
      <c r="CD3766" s="23"/>
      <c r="CE3766" s="23"/>
      <c r="CF3766" s="23"/>
      <c r="CG3766" s="23"/>
      <c r="CH3766" s="23"/>
      <c r="CI3766" s="23"/>
    </row>
    <row r="3767" spans="1:87" x14ac:dyDescent="0.3">
      <c r="A3767" s="9" t="s">
        <v>25787</v>
      </c>
      <c r="B3767" s="10" t="s">
        <v>25788</v>
      </c>
      <c r="C3767" s="11">
        <v>46032.291666666664</v>
      </c>
      <c r="D3767" s="12">
        <v>0.29166666666666669</v>
      </c>
      <c r="E3767" s="11">
        <v>46032.583333333336</v>
      </c>
      <c r="F3767" s="22" t="s">
        <v>25766</v>
      </c>
      <c r="G3767" s="13" t="b">
        <v>0</v>
      </c>
      <c r="H3767" s="22" t="s">
        <v>25767</v>
      </c>
      <c r="I3767" s="10" t="s">
        <v>212</v>
      </c>
      <c r="J3767" s="13" t="b">
        <v>1</v>
      </c>
      <c r="K3767" s="13" t="b">
        <v>0</v>
      </c>
      <c r="L3767" s="10" t="s">
        <v>124</v>
      </c>
      <c r="M3767" s="10" t="s">
        <v>91</v>
      </c>
      <c r="N3767" s="10" t="s">
        <v>92</v>
      </c>
      <c r="O3767" s="19" t="s">
        <v>25789</v>
      </c>
      <c r="P3767" s="10"/>
      <c r="Q3767" s="10" t="s">
        <v>94</v>
      </c>
      <c r="R3767" s="10"/>
      <c r="S3767" s="19" t="s">
        <v>25769</v>
      </c>
      <c r="T3767" s="10"/>
      <c r="U3767" s="10"/>
      <c r="V3767" s="10"/>
      <c r="W3767" s="10" t="s">
        <v>25770</v>
      </c>
      <c r="X3767" s="10" t="s">
        <v>130</v>
      </c>
      <c r="Y3767" s="10" t="s">
        <v>130</v>
      </c>
      <c r="Z3767" s="10" t="s">
        <v>99</v>
      </c>
      <c r="AA3767" s="10" t="s">
        <v>131</v>
      </c>
      <c r="AB3767" s="10" t="s">
        <v>25771</v>
      </c>
      <c r="AC3767" s="10" t="s">
        <v>25772</v>
      </c>
      <c r="AD3767" s="10" t="s">
        <v>165</v>
      </c>
      <c r="AE3767" s="10" t="s">
        <v>25790</v>
      </c>
      <c r="AF3767" s="15"/>
      <c r="AG3767" s="10"/>
      <c r="AH3767" s="10"/>
      <c r="AI3767" s="10"/>
      <c r="AJ3767" s="10"/>
      <c r="AK3767" s="10" t="s">
        <v>102</v>
      </c>
      <c r="AL3767" s="10" t="s">
        <v>103</v>
      </c>
      <c r="AM3767" s="10"/>
      <c r="AN3767" s="10"/>
      <c r="AO3767" s="13" t="b">
        <v>0</v>
      </c>
      <c r="AP3767" s="22" t="s">
        <v>104</v>
      </c>
      <c r="AQ3767" s="10">
        <f ca="1">IFERROR(__xludf.DUMMYFUNCTION("""COMPUTED_VALUE"""),20270)</f>
        <v>20270</v>
      </c>
      <c r="AR3767" s="17"/>
      <c r="AS3767" s="17"/>
      <c r="AT3767" s="17"/>
      <c r="AU3767" s="17"/>
      <c r="AV3767" s="17"/>
      <c r="AW3767" s="10"/>
      <c r="AX3767" s="17"/>
      <c r="AY3767" s="18" t="s">
        <v>257</v>
      </c>
      <c r="AZ3767" s="10"/>
      <c r="BA3767" s="20" t="b">
        <v>1</v>
      </c>
      <c r="BB3767" s="10"/>
      <c r="BC3767" s="17" t="s">
        <v>257</v>
      </c>
      <c r="BD3767" s="17" t="s">
        <v>257</v>
      </c>
      <c r="BE3767" s="17" t="s">
        <v>257</v>
      </c>
      <c r="BF3767" s="17" t="s">
        <v>257</v>
      </c>
      <c r="BG3767" s="11">
        <f ca="1">IFERROR(__xludf.DUMMYFUNCTION("""COMPUTED_VALUE"""),46032.2916666666)</f>
        <v>46032.291666666599</v>
      </c>
      <c r="BH3767" s="17" t="s">
        <v>105</v>
      </c>
      <c r="BI3767" s="17"/>
      <c r="BJ3767" s="15"/>
      <c r="BK3767" s="15"/>
      <c r="BL3767" s="13" t="b">
        <v>0</v>
      </c>
      <c r="BM3767" s="10"/>
      <c r="BN3767" s="10" t="s">
        <v>667</v>
      </c>
      <c r="BO3767" s="11">
        <v>46030.568055555559</v>
      </c>
      <c r="BP3767" s="11">
        <v>46030.568171296298</v>
      </c>
      <c r="BQ3767" s="15">
        <v>46030.585682870369</v>
      </c>
      <c r="BR3767" s="15">
        <v>46031.066851851851</v>
      </c>
      <c r="BS3767" s="10" t="s">
        <v>667</v>
      </c>
      <c r="BT3767" s="10"/>
      <c r="BU3767" s="10"/>
      <c r="BV3767" s="10"/>
      <c r="BW3767" s="10"/>
      <c r="BX3767" s="10"/>
      <c r="BY3767" s="23"/>
      <c r="BZ3767" s="23"/>
      <c r="CA3767" s="19" t="s">
        <v>25774</v>
      </c>
      <c r="CB3767" s="23"/>
      <c r="CC3767" s="23"/>
      <c r="CD3767" s="23"/>
      <c r="CE3767" s="23"/>
      <c r="CF3767" s="23"/>
      <c r="CG3767" s="23"/>
      <c r="CH3767" s="23"/>
      <c r="CI3767" s="23"/>
    </row>
    <row r="3768" spans="1:87" x14ac:dyDescent="0.3">
      <c r="A3768" s="9" t="s">
        <v>25791</v>
      </c>
      <c r="B3768" s="10" t="s">
        <v>25792</v>
      </c>
      <c r="C3768" s="11">
        <v>46032.291666666664</v>
      </c>
      <c r="D3768" s="12">
        <v>0.25</v>
      </c>
      <c r="E3768" s="11">
        <v>46032.541666666664</v>
      </c>
      <c r="F3768" s="22" t="s">
        <v>25766</v>
      </c>
      <c r="G3768" s="13" t="b">
        <v>0</v>
      </c>
      <c r="H3768" s="22" t="s">
        <v>25767</v>
      </c>
      <c r="I3768" s="10" t="s">
        <v>212</v>
      </c>
      <c r="J3768" s="13" t="b">
        <v>1</v>
      </c>
      <c r="K3768" s="13" t="b">
        <v>0</v>
      </c>
      <c r="L3768" s="10" t="s">
        <v>124</v>
      </c>
      <c r="M3768" s="10" t="s">
        <v>91</v>
      </c>
      <c r="N3768" s="10" t="s">
        <v>92</v>
      </c>
      <c r="O3768" s="19" t="s">
        <v>25793</v>
      </c>
      <c r="P3768" s="10"/>
      <c r="Q3768" s="10" t="s">
        <v>94</v>
      </c>
      <c r="R3768" s="10"/>
      <c r="S3768" s="19" t="s">
        <v>25769</v>
      </c>
      <c r="T3768" s="10"/>
      <c r="U3768" s="10"/>
      <c r="V3768" s="10"/>
      <c r="W3768" s="10" t="s">
        <v>25770</v>
      </c>
      <c r="X3768" s="10" t="s">
        <v>130</v>
      </c>
      <c r="Y3768" s="10" t="s">
        <v>130</v>
      </c>
      <c r="Z3768" s="10" t="s">
        <v>99</v>
      </c>
      <c r="AA3768" s="10" t="s">
        <v>131</v>
      </c>
      <c r="AB3768" s="10" t="s">
        <v>25771</v>
      </c>
      <c r="AC3768" s="10" t="s">
        <v>25772</v>
      </c>
      <c r="AD3768" s="10" t="s">
        <v>165</v>
      </c>
      <c r="AE3768" s="10" t="s">
        <v>25794</v>
      </c>
      <c r="AF3768" s="15"/>
      <c r="AG3768" s="10"/>
      <c r="AH3768" s="10"/>
      <c r="AI3768" s="10"/>
      <c r="AJ3768" s="10"/>
      <c r="AK3768" s="10" t="s">
        <v>102</v>
      </c>
      <c r="AL3768" s="10" t="s">
        <v>103</v>
      </c>
      <c r="AM3768" s="10"/>
      <c r="AN3768" s="10"/>
      <c r="AO3768" s="13" t="b">
        <v>0</v>
      </c>
      <c r="AP3768" s="22" t="s">
        <v>104</v>
      </c>
      <c r="AQ3768" s="10">
        <f ca="1">IFERROR(__xludf.DUMMYFUNCTION("""COMPUTED_VALUE"""),20271)</f>
        <v>20271</v>
      </c>
      <c r="AR3768" s="17"/>
      <c r="AS3768" s="17"/>
      <c r="AT3768" s="17"/>
      <c r="AU3768" s="17"/>
      <c r="AV3768" s="17"/>
      <c r="AW3768" s="10"/>
      <c r="AX3768" s="17"/>
      <c r="AY3768" s="18" t="s">
        <v>257</v>
      </c>
      <c r="AZ3768" s="10"/>
      <c r="BA3768" s="20" t="b">
        <v>1</v>
      </c>
      <c r="BB3768" s="10"/>
      <c r="BC3768" s="17" t="s">
        <v>257</v>
      </c>
      <c r="BD3768" s="17" t="s">
        <v>257</v>
      </c>
      <c r="BE3768" s="17" t="s">
        <v>257</v>
      </c>
      <c r="BF3768" s="17" t="s">
        <v>257</v>
      </c>
      <c r="BG3768" s="11">
        <f ca="1">IFERROR(__xludf.DUMMYFUNCTION("""COMPUTED_VALUE"""),46032.2916666666)</f>
        <v>46032.291666666599</v>
      </c>
      <c r="BH3768" s="17" t="s">
        <v>105</v>
      </c>
      <c r="BI3768" s="17"/>
      <c r="BJ3768" s="15"/>
      <c r="BK3768" s="15"/>
      <c r="BL3768" s="13" t="b">
        <v>0</v>
      </c>
      <c r="BM3768" s="10"/>
      <c r="BN3768" s="10" t="s">
        <v>920</v>
      </c>
      <c r="BO3768" s="11">
        <v>46030.568749999999</v>
      </c>
      <c r="BP3768" s="11">
        <v>46030.569062499999</v>
      </c>
      <c r="BQ3768" s="15">
        <v>46030.585509259261</v>
      </c>
      <c r="BR3768" s="15">
        <v>46031.056562500002</v>
      </c>
      <c r="BS3768" s="10" t="s">
        <v>920</v>
      </c>
      <c r="BT3768" s="10"/>
      <c r="BU3768" s="10"/>
      <c r="BV3768" s="10"/>
      <c r="BW3768" s="10"/>
      <c r="BX3768" s="10"/>
      <c r="BY3768" s="23"/>
      <c r="BZ3768" s="23"/>
      <c r="CA3768" s="19" t="s">
        <v>25774</v>
      </c>
      <c r="CB3768" s="23"/>
      <c r="CC3768" s="23"/>
      <c r="CD3768" s="23"/>
      <c r="CE3768" s="23"/>
      <c r="CF3768" s="23"/>
      <c r="CG3768" s="23"/>
      <c r="CH3768" s="23"/>
      <c r="CI3768" s="23"/>
    </row>
    <row r="3769" spans="1:87" x14ac:dyDescent="0.3">
      <c r="A3769" s="9" t="s">
        <v>25795</v>
      </c>
      <c r="B3769" s="10" t="s">
        <v>25796</v>
      </c>
      <c r="C3769" s="11">
        <v>46032.291666666664</v>
      </c>
      <c r="D3769" s="12">
        <v>0.25</v>
      </c>
      <c r="E3769" s="11">
        <v>46032.541666666664</v>
      </c>
      <c r="F3769" s="22" t="s">
        <v>25766</v>
      </c>
      <c r="G3769" s="13" t="b">
        <v>0</v>
      </c>
      <c r="H3769" s="22" t="s">
        <v>25767</v>
      </c>
      <c r="I3769" s="10" t="s">
        <v>212</v>
      </c>
      <c r="J3769" s="13" t="b">
        <v>1</v>
      </c>
      <c r="K3769" s="13" t="b">
        <v>0</v>
      </c>
      <c r="L3769" s="10" t="s">
        <v>124</v>
      </c>
      <c r="M3769" s="10" t="s">
        <v>91</v>
      </c>
      <c r="N3769" s="10" t="s">
        <v>92</v>
      </c>
      <c r="O3769" s="19" t="s">
        <v>25797</v>
      </c>
      <c r="P3769" s="10"/>
      <c r="Q3769" s="10" t="s">
        <v>94</v>
      </c>
      <c r="R3769" s="10"/>
      <c r="S3769" s="19" t="s">
        <v>25769</v>
      </c>
      <c r="T3769" s="10"/>
      <c r="U3769" s="10"/>
      <c r="V3769" s="10"/>
      <c r="W3769" s="10" t="s">
        <v>25770</v>
      </c>
      <c r="X3769" s="10" t="s">
        <v>130</v>
      </c>
      <c r="Y3769" s="10" t="s">
        <v>130</v>
      </c>
      <c r="Z3769" s="10" t="s">
        <v>99</v>
      </c>
      <c r="AA3769" s="10" t="s">
        <v>131</v>
      </c>
      <c r="AB3769" s="10" t="s">
        <v>25771</v>
      </c>
      <c r="AC3769" s="10" t="s">
        <v>25772</v>
      </c>
      <c r="AD3769" s="10" t="s">
        <v>165</v>
      </c>
      <c r="AE3769" s="10" t="s">
        <v>25798</v>
      </c>
      <c r="AF3769" s="15"/>
      <c r="AG3769" s="10"/>
      <c r="AH3769" s="10"/>
      <c r="AI3769" s="10"/>
      <c r="AJ3769" s="10"/>
      <c r="AK3769" s="10" t="s">
        <v>102</v>
      </c>
      <c r="AL3769" s="10" t="s">
        <v>103</v>
      </c>
      <c r="AM3769" s="10"/>
      <c r="AN3769" s="10"/>
      <c r="AO3769" s="13" t="b">
        <v>0</v>
      </c>
      <c r="AP3769" s="22" t="s">
        <v>104</v>
      </c>
      <c r="AQ3769" s="10">
        <f ca="1">IFERROR(__xludf.DUMMYFUNCTION("""COMPUTED_VALUE"""),20273)</f>
        <v>20273</v>
      </c>
      <c r="AR3769" s="17"/>
      <c r="AS3769" s="17"/>
      <c r="AT3769" s="17"/>
      <c r="AU3769" s="17"/>
      <c r="AV3769" s="17"/>
      <c r="AW3769" s="10"/>
      <c r="AX3769" s="17"/>
      <c r="AY3769" s="18" t="s">
        <v>257</v>
      </c>
      <c r="AZ3769" s="10"/>
      <c r="BA3769" s="20" t="b">
        <v>1</v>
      </c>
      <c r="BB3769" s="10"/>
      <c r="BC3769" s="17" t="s">
        <v>257</v>
      </c>
      <c r="BD3769" s="17" t="s">
        <v>257</v>
      </c>
      <c r="BE3769" s="17" t="s">
        <v>257</v>
      </c>
      <c r="BF3769" s="17" t="s">
        <v>257</v>
      </c>
      <c r="BG3769" s="11">
        <f ca="1">IFERROR(__xludf.DUMMYFUNCTION("""COMPUTED_VALUE"""),46032.2916666666)</f>
        <v>46032.291666666599</v>
      </c>
      <c r="BH3769" s="17" t="s">
        <v>105</v>
      </c>
      <c r="BI3769" s="17"/>
      <c r="BJ3769" s="15"/>
      <c r="BK3769" s="15"/>
      <c r="BL3769" s="13" t="b">
        <v>0</v>
      </c>
      <c r="BM3769" s="10"/>
      <c r="BN3769" s="10" t="s">
        <v>4030</v>
      </c>
      <c r="BO3769" s="11">
        <v>46030.570138888892</v>
      </c>
      <c r="BP3769" s="11">
        <v>46030.570324074077</v>
      </c>
      <c r="BQ3769" s="15">
        <v>46030.585370370369</v>
      </c>
      <c r="BR3769" s="15">
        <v>46031.953819444447</v>
      </c>
      <c r="BS3769" s="10" t="s">
        <v>4030</v>
      </c>
      <c r="BT3769" s="10"/>
      <c r="BU3769" s="10"/>
      <c r="BV3769" s="10"/>
      <c r="BW3769" s="10"/>
      <c r="BX3769" s="10"/>
      <c r="BY3769" s="23"/>
      <c r="BZ3769" s="23"/>
      <c r="CA3769" s="19" t="s">
        <v>25774</v>
      </c>
      <c r="CB3769" s="23"/>
      <c r="CC3769" s="23"/>
      <c r="CD3769" s="23"/>
      <c r="CE3769" s="23"/>
      <c r="CF3769" s="23"/>
      <c r="CG3769" s="23"/>
      <c r="CH3769" s="23"/>
      <c r="CI3769" s="23"/>
    </row>
    <row r="3770" spans="1:87" x14ac:dyDescent="0.3">
      <c r="A3770" s="9" t="s">
        <v>25799</v>
      </c>
      <c r="B3770" s="10" t="s">
        <v>25800</v>
      </c>
      <c r="C3770" s="11">
        <v>46032.291666666664</v>
      </c>
      <c r="D3770" s="12">
        <v>0.29166666666666669</v>
      </c>
      <c r="E3770" s="11">
        <v>46032.583333333336</v>
      </c>
      <c r="F3770" s="22" t="s">
        <v>25766</v>
      </c>
      <c r="G3770" s="13" t="b">
        <v>0</v>
      </c>
      <c r="H3770" s="22" t="s">
        <v>25767</v>
      </c>
      <c r="I3770" s="10" t="s">
        <v>212</v>
      </c>
      <c r="J3770" s="13" t="b">
        <v>1</v>
      </c>
      <c r="K3770" s="13" t="b">
        <v>0</v>
      </c>
      <c r="L3770" s="10" t="s">
        <v>124</v>
      </c>
      <c r="M3770" s="10" t="s">
        <v>91</v>
      </c>
      <c r="N3770" s="10" t="s">
        <v>92</v>
      </c>
      <c r="O3770" s="19" t="s">
        <v>25801</v>
      </c>
      <c r="P3770" s="10"/>
      <c r="Q3770" s="10" t="s">
        <v>94</v>
      </c>
      <c r="R3770" s="10"/>
      <c r="S3770" s="19" t="s">
        <v>25769</v>
      </c>
      <c r="T3770" s="10"/>
      <c r="U3770" s="10"/>
      <c r="V3770" s="10"/>
      <c r="W3770" s="10" t="s">
        <v>25770</v>
      </c>
      <c r="X3770" s="10" t="s">
        <v>130</v>
      </c>
      <c r="Y3770" s="10" t="s">
        <v>130</v>
      </c>
      <c r="Z3770" s="10" t="s">
        <v>99</v>
      </c>
      <c r="AA3770" s="10" t="s">
        <v>131</v>
      </c>
      <c r="AB3770" s="10" t="s">
        <v>25771</v>
      </c>
      <c r="AC3770" s="10" t="s">
        <v>25772</v>
      </c>
      <c r="AD3770" s="10" t="s">
        <v>165</v>
      </c>
      <c r="AE3770" s="10" t="s">
        <v>25802</v>
      </c>
      <c r="AF3770" s="15"/>
      <c r="AG3770" s="10"/>
      <c r="AH3770" s="10"/>
      <c r="AI3770" s="10"/>
      <c r="AJ3770" s="10"/>
      <c r="AK3770" s="10" t="s">
        <v>102</v>
      </c>
      <c r="AL3770" s="10" t="s">
        <v>103</v>
      </c>
      <c r="AM3770" s="10"/>
      <c r="AN3770" s="10"/>
      <c r="AO3770" s="13" t="b">
        <v>0</v>
      </c>
      <c r="AP3770" s="22" t="s">
        <v>104</v>
      </c>
      <c r="AQ3770" s="10">
        <f ca="1">IFERROR(__xludf.DUMMYFUNCTION("""COMPUTED_VALUE"""),20274)</f>
        <v>20274</v>
      </c>
      <c r="AR3770" s="17"/>
      <c r="AS3770" s="17"/>
      <c r="AT3770" s="17"/>
      <c r="AU3770" s="17"/>
      <c r="AV3770" s="17"/>
      <c r="AW3770" s="10"/>
      <c r="AX3770" s="17"/>
      <c r="AY3770" s="18" t="s">
        <v>257</v>
      </c>
      <c r="AZ3770" s="10"/>
      <c r="BA3770" s="20" t="b">
        <v>1</v>
      </c>
      <c r="BB3770" s="10"/>
      <c r="BC3770" s="17" t="s">
        <v>257</v>
      </c>
      <c r="BD3770" s="17" t="s">
        <v>257</v>
      </c>
      <c r="BE3770" s="17" t="s">
        <v>257</v>
      </c>
      <c r="BF3770" s="17" t="s">
        <v>257</v>
      </c>
      <c r="BG3770" s="11">
        <f ca="1">IFERROR(__xludf.DUMMYFUNCTION("""COMPUTED_VALUE"""),46032.2916666666)</f>
        <v>46032.291666666599</v>
      </c>
      <c r="BH3770" s="17" t="s">
        <v>105</v>
      </c>
      <c r="BI3770" s="17"/>
      <c r="BJ3770" s="15"/>
      <c r="BK3770" s="15"/>
      <c r="BL3770" s="13" t="b">
        <v>0</v>
      </c>
      <c r="BM3770" s="10"/>
      <c r="BN3770" s="10" t="s">
        <v>667</v>
      </c>
      <c r="BO3770" s="11">
        <v>46030.570833333331</v>
      </c>
      <c r="BP3770" s="11">
        <v>46030.571412037039</v>
      </c>
      <c r="BQ3770" s="15">
        <v>46030.585416666669</v>
      </c>
      <c r="BR3770" s="15">
        <v>46031.050625000003</v>
      </c>
      <c r="BS3770" s="10" t="s">
        <v>667</v>
      </c>
      <c r="BT3770" s="10"/>
      <c r="BU3770" s="10"/>
      <c r="BV3770" s="10"/>
      <c r="BW3770" s="10"/>
      <c r="BX3770" s="10"/>
      <c r="BY3770" s="23"/>
      <c r="BZ3770" s="23"/>
      <c r="CA3770" s="19" t="s">
        <v>25774</v>
      </c>
      <c r="CB3770" s="23"/>
      <c r="CC3770" s="23"/>
      <c r="CD3770" s="23"/>
      <c r="CE3770" s="23"/>
      <c r="CF3770" s="23"/>
      <c r="CG3770" s="23"/>
      <c r="CH3770" s="23"/>
      <c r="CI3770" s="23"/>
    </row>
    <row r="3771" spans="1:87" x14ac:dyDescent="0.3">
      <c r="A3771" s="9" t="s">
        <v>25803</v>
      </c>
      <c r="B3771" s="10" t="s">
        <v>25804</v>
      </c>
      <c r="C3771" s="11">
        <v>46032.291666666664</v>
      </c>
      <c r="D3771" s="12">
        <v>4.8611111111111112E-2</v>
      </c>
      <c r="E3771" s="11">
        <v>46032.340277777781</v>
      </c>
      <c r="F3771" s="22" t="s">
        <v>25766</v>
      </c>
      <c r="G3771" s="13" t="b">
        <v>0</v>
      </c>
      <c r="H3771" s="22" t="s">
        <v>25767</v>
      </c>
      <c r="I3771" s="10" t="s">
        <v>212</v>
      </c>
      <c r="J3771" s="13" t="b">
        <v>1</v>
      </c>
      <c r="K3771" s="13" t="b">
        <v>0</v>
      </c>
      <c r="L3771" s="10" t="s">
        <v>124</v>
      </c>
      <c r="M3771" s="10" t="s">
        <v>91</v>
      </c>
      <c r="N3771" s="10" t="s">
        <v>92</v>
      </c>
      <c r="O3771" s="19" t="s">
        <v>25805</v>
      </c>
      <c r="P3771" s="10"/>
      <c r="Q3771" s="10" t="s">
        <v>94</v>
      </c>
      <c r="R3771" s="10"/>
      <c r="S3771" s="19" t="s">
        <v>25769</v>
      </c>
      <c r="T3771" s="10"/>
      <c r="U3771" s="10"/>
      <c r="V3771" s="10"/>
      <c r="W3771" s="10" t="s">
        <v>25770</v>
      </c>
      <c r="X3771" s="10" t="s">
        <v>130</v>
      </c>
      <c r="Y3771" s="10" t="s">
        <v>130</v>
      </c>
      <c r="Z3771" s="10" t="s">
        <v>99</v>
      </c>
      <c r="AA3771" s="10" t="s">
        <v>131</v>
      </c>
      <c r="AB3771" s="10" t="s">
        <v>25771</v>
      </c>
      <c r="AC3771" s="10" t="s">
        <v>25772</v>
      </c>
      <c r="AD3771" s="10" t="s">
        <v>165</v>
      </c>
      <c r="AE3771" s="10" t="s">
        <v>25806</v>
      </c>
      <c r="AF3771" s="15"/>
      <c r="AG3771" s="10"/>
      <c r="AH3771" s="10"/>
      <c r="AI3771" s="10"/>
      <c r="AJ3771" s="10"/>
      <c r="AK3771" s="10" t="s">
        <v>102</v>
      </c>
      <c r="AL3771" s="10"/>
      <c r="AM3771" s="10"/>
      <c r="AN3771" s="10"/>
      <c r="AO3771" s="13" t="b">
        <v>0</v>
      </c>
      <c r="AP3771" s="22" t="s">
        <v>104</v>
      </c>
      <c r="AQ3771" s="10">
        <f ca="1">IFERROR(__xludf.DUMMYFUNCTION("""COMPUTED_VALUE"""),4833822)</f>
        <v>4833822</v>
      </c>
      <c r="AR3771" s="17">
        <v>428</v>
      </c>
      <c r="AS3771" s="17">
        <v>355</v>
      </c>
      <c r="AT3771" s="17">
        <v>1626</v>
      </c>
      <c r="AU3771" s="17">
        <v>0</v>
      </c>
      <c r="AV3771" s="17">
        <v>0</v>
      </c>
      <c r="AW3771" s="10" t="s">
        <v>105</v>
      </c>
      <c r="AX3771" s="17">
        <v>80</v>
      </c>
      <c r="AY3771" s="18">
        <v>4.5802816901408452</v>
      </c>
      <c r="AZ3771" s="10"/>
      <c r="BA3771" s="20" t="b">
        <v>0</v>
      </c>
      <c r="BB3771" s="10" t="s">
        <v>25799</v>
      </c>
      <c r="BC3771" s="17">
        <v>428</v>
      </c>
      <c r="BD3771" s="17">
        <v>355</v>
      </c>
      <c r="BE3771" s="17">
        <v>1626</v>
      </c>
      <c r="BF3771" s="17">
        <v>0</v>
      </c>
      <c r="BG3771" s="11">
        <f ca="1">IFERROR(__xludf.DUMMYFUNCTION("""COMPUTED_VALUE"""),46032.2916666666)</f>
        <v>46032.291666666599</v>
      </c>
      <c r="BH3771" s="17" t="s">
        <v>105</v>
      </c>
      <c r="BI3771" s="17"/>
      <c r="BJ3771" s="15"/>
      <c r="BK3771" s="15"/>
      <c r="BL3771" s="13" t="b">
        <v>0</v>
      </c>
      <c r="BM3771" s="10"/>
      <c r="BN3771" s="10" t="s">
        <v>667</v>
      </c>
      <c r="BO3771" s="11">
        <v>46030.589583333334</v>
      </c>
      <c r="BP3771" s="11">
        <v>46030.589745370373</v>
      </c>
      <c r="BQ3771" s="15"/>
      <c r="BR3771" s="15">
        <v>46031.040555555555</v>
      </c>
      <c r="BS3771" s="10" t="s">
        <v>667</v>
      </c>
      <c r="BT3771" s="10"/>
      <c r="BU3771" s="10"/>
      <c r="BV3771" s="10"/>
      <c r="BW3771" s="10"/>
      <c r="BX3771" s="10"/>
      <c r="BY3771" s="23"/>
      <c r="BZ3771" s="23"/>
      <c r="CA3771" s="19" t="s">
        <v>25774</v>
      </c>
      <c r="CB3771" s="23"/>
      <c r="CC3771" s="23"/>
      <c r="CD3771" s="23"/>
      <c r="CE3771" s="23"/>
      <c r="CF3771" s="23"/>
      <c r="CG3771" s="23"/>
      <c r="CH3771" s="23"/>
      <c r="CI3771" s="23"/>
    </row>
    <row r="3772" spans="1:87" x14ac:dyDescent="0.3">
      <c r="A3772" s="9" t="s">
        <v>25807</v>
      </c>
      <c r="B3772" s="10" t="s">
        <v>25808</v>
      </c>
      <c r="C3772" s="11">
        <v>46032.340277777781</v>
      </c>
      <c r="D3772" s="12">
        <v>4.8611111111111112E-2</v>
      </c>
      <c r="E3772" s="11">
        <v>46032.388888888891</v>
      </c>
      <c r="F3772" s="22" t="s">
        <v>25766</v>
      </c>
      <c r="G3772" s="13" t="b">
        <v>0</v>
      </c>
      <c r="H3772" s="22" t="s">
        <v>25767</v>
      </c>
      <c r="I3772" s="10" t="s">
        <v>212</v>
      </c>
      <c r="J3772" s="13" t="b">
        <v>1</v>
      </c>
      <c r="K3772" s="13" t="b">
        <v>0</v>
      </c>
      <c r="L3772" s="10" t="s">
        <v>124</v>
      </c>
      <c r="M3772" s="10" t="s">
        <v>91</v>
      </c>
      <c r="N3772" s="10" t="s">
        <v>92</v>
      </c>
      <c r="O3772" s="19" t="s">
        <v>25809</v>
      </c>
      <c r="P3772" s="10"/>
      <c r="Q3772" s="10" t="s">
        <v>94</v>
      </c>
      <c r="R3772" s="10"/>
      <c r="S3772" s="19" t="s">
        <v>25769</v>
      </c>
      <c r="T3772" s="10"/>
      <c r="U3772" s="10"/>
      <c r="V3772" s="10"/>
      <c r="W3772" s="10" t="s">
        <v>25770</v>
      </c>
      <c r="X3772" s="10" t="s">
        <v>130</v>
      </c>
      <c r="Y3772" s="10" t="s">
        <v>130</v>
      </c>
      <c r="Z3772" s="10" t="s">
        <v>99</v>
      </c>
      <c r="AA3772" s="10" t="s">
        <v>131</v>
      </c>
      <c r="AB3772" s="10" t="s">
        <v>25771</v>
      </c>
      <c r="AC3772" s="10" t="s">
        <v>25772</v>
      </c>
      <c r="AD3772" s="10" t="s">
        <v>165</v>
      </c>
      <c r="AE3772" s="10" t="s">
        <v>25810</v>
      </c>
      <c r="AF3772" s="15"/>
      <c r="AG3772" s="10"/>
      <c r="AH3772" s="10"/>
      <c r="AI3772" s="10"/>
      <c r="AJ3772" s="10"/>
      <c r="AK3772" s="10" t="s">
        <v>102</v>
      </c>
      <c r="AL3772" s="10"/>
      <c r="AM3772" s="10"/>
      <c r="AN3772" s="10"/>
      <c r="AO3772" s="13" t="b">
        <v>0</v>
      </c>
      <c r="AP3772" s="22" t="s">
        <v>104</v>
      </c>
      <c r="AQ3772" s="10">
        <f ca="1">IFERROR(__xludf.DUMMYFUNCTION("""COMPUTED_VALUE"""),4833821)</f>
        <v>4833821</v>
      </c>
      <c r="AR3772" s="17">
        <v>511</v>
      </c>
      <c r="AS3772" s="17">
        <v>380</v>
      </c>
      <c r="AT3772" s="17">
        <v>2924.75</v>
      </c>
      <c r="AU3772" s="17">
        <v>0</v>
      </c>
      <c r="AV3772" s="17">
        <v>0</v>
      </c>
      <c r="AW3772" s="10" t="s">
        <v>105</v>
      </c>
      <c r="AX3772" s="17">
        <v>87</v>
      </c>
      <c r="AY3772" s="18">
        <v>7.6967105263157896</v>
      </c>
      <c r="AZ3772" s="10"/>
      <c r="BA3772" s="20" t="b">
        <v>0</v>
      </c>
      <c r="BB3772" s="10" t="s">
        <v>25799</v>
      </c>
      <c r="BC3772" s="17">
        <v>511</v>
      </c>
      <c r="BD3772" s="17">
        <v>380</v>
      </c>
      <c r="BE3772" s="17">
        <v>2924.75</v>
      </c>
      <c r="BF3772" s="17">
        <v>0</v>
      </c>
      <c r="BG3772" s="11">
        <f ca="1">IFERROR(__xludf.DUMMYFUNCTION("""COMPUTED_VALUE"""),46032.3402777777)</f>
        <v>46032.340277777701</v>
      </c>
      <c r="BH3772" s="17" t="s">
        <v>105</v>
      </c>
      <c r="BI3772" s="17"/>
      <c r="BJ3772" s="15"/>
      <c r="BK3772" s="15"/>
      <c r="BL3772" s="13" t="b">
        <v>0</v>
      </c>
      <c r="BM3772" s="10"/>
      <c r="BN3772" s="10" t="s">
        <v>667</v>
      </c>
      <c r="BO3772" s="11">
        <v>46030.589583333334</v>
      </c>
      <c r="BP3772" s="11">
        <v>46030.590405092589</v>
      </c>
      <c r="BQ3772" s="15"/>
      <c r="BR3772" s="15">
        <v>46031.040659722225</v>
      </c>
      <c r="BS3772" s="10" t="s">
        <v>667</v>
      </c>
      <c r="BT3772" s="10"/>
      <c r="BU3772" s="10"/>
      <c r="BV3772" s="10"/>
      <c r="BW3772" s="10"/>
      <c r="BX3772" s="10"/>
      <c r="BY3772" s="23"/>
      <c r="BZ3772" s="23"/>
      <c r="CA3772" s="19" t="s">
        <v>25774</v>
      </c>
      <c r="CB3772" s="23"/>
      <c r="CC3772" s="23"/>
      <c r="CD3772" s="23"/>
      <c r="CE3772" s="23"/>
      <c r="CF3772" s="23"/>
      <c r="CG3772" s="23"/>
      <c r="CH3772" s="23"/>
      <c r="CI3772" s="23"/>
    </row>
    <row r="3773" spans="1:87" x14ac:dyDescent="0.3">
      <c r="A3773" s="9" t="s">
        <v>25811</v>
      </c>
      <c r="B3773" s="10" t="s">
        <v>25812</v>
      </c>
      <c r="C3773" s="11">
        <v>46032.388888888891</v>
      </c>
      <c r="D3773" s="12">
        <v>4.8611111111111112E-2</v>
      </c>
      <c r="E3773" s="11">
        <v>46032.4375</v>
      </c>
      <c r="F3773" s="22" t="s">
        <v>25766</v>
      </c>
      <c r="G3773" s="13" t="b">
        <v>0</v>
      </c>
      <c r="H3773" s="22" t="s">
        <v>25767</v>
      </c>
      <c r="I3773" s="10" t="s">
        <v>212</v>
      </c>
      <c r="J3773" s="13" t="b">
        <v>1</v>
      </c>
      <c r="K3773" s="13" t="b">
        <v>0</v>
      </c>
      <c r="L3773" s="10" t="s">
        <v>124</v>
      </c>
      <c r="M3773" s="10" t="s">
        <v>91</v>
      </c>
      <c r="N3773" s="10" t="s">
        <v>92</v>
      </c>
      <c r="O3773" s="19" t="s">
        <v>25813</v>
      </c>
      <c r="P3773" s="10"/>
      <c r="Q3773" s="10" t="s">
        <v>94</v>
      </c>
      <c r="R3773" s="10"/>
      <c r="S3773" s="19" t="s">
        <v>25769</v>
      </c>
      <c r="T3773" s="10"/>
      <c r="U3773" s="10"/>
      <c r="V3773" s="10"/>
      <c r="W3773" s="10" t="s">
        <v>25770</v>
      </c>
      <c r="X3773" s="10" t="s">
        <v>130</v>
      </c>
      <c r="Y3773" s="10" t="s">
        <v>130</v>
      </c>
      <c r="Z3773" s="10" t="s">
        <v>99</v>
      </c>
      <c r="AA3773" s="10" t="s">
        <v>131</v>
      </c>
      <c r="AB3773" s="10" t="s">
        <v>25771</v>
      </c>
      <c r="AC3773" s="10" t="s">
        <v>25772</v>
      </c>
      <c r="AD3773" s="10" t="s">
        <v>165</v>
      </c>
      <c r="AE3773" s="10" t="s">
        <v>25814</v>
      </c>
      <c r="AF3773" s="15"/>
      <c r="AG3773" s="10"/>
      <c r="AH3773" s="10"/>
      <c r="AI3773" s="10"/>
      <c r="AJ3773" s="10"/>
      <c r="AK3773" s="10" t="s">
        <v>102</v>
      </c>
      <c r="AL3773" s="10"/>
      <c r="AM3773" s="10"/>
      <c r="AN3773" s="10"/>
      <c r="AO3773" s="13" t="b">
        <v>0</v>
      </c>
      <c r="AP3773" s="22" t="s">
        <v>104</v>
      </c>
      <c r="AQ3773" s="10">
        <f ca="1">IFERROR(__xludf.DUMMYFUNCTION("""COMPUTED_VALUE"""),4833820)</f>
        <v>4833820</v>
      </c>
      <c r="AR3773" s="17">
        <v>375</v>
      </c>
      <c r="AS3773" s="17">
        <v>251</v>
      </c>
      <c r="AT3773" s="17">
        <v>3256.5</v>
      </c>
      <c r="AU3773" s="17">
        <v>0.9</v>
      </c>
      <c r="AV3773" s="17">
        <v>0.9</v>
      </c>
      <c r="AW3773" s="10" t="s">
        <v>105</v>
      </c>
      <c r="AX3773" s="17">
        <v>75</v>
      </c>
      <c r="AY3773" s="18">
        <v>12.974103585657371</v>
      </c>
      <c r="AZ3773" s="10"/>
      <c r="BA3773" s="20" t="b">
        <v>0</v>
      </c>
      <c r="BB3773" s="10" t="s">
        <v>25799</v>
      </c>
      <c r="BC3773" s="17">
        <v>375</v>
      </c>
      <c r="BD3773" s="17">
        <v>251</v>
      </c>
      <c r="BE3773" s="17">
        <v>3256.5</v>
      </c>
      <c r="BF3773" s="17">
        <v>0.9</v>
      </c>
      <c r="BG3773" s="11">
        <f ca="1">IFERROR(__xludf.DUMMYFUNCTION("""COMPUTED_VALUE"""),46032.3888888888)</f>
        <v>46032.388888888803</v>
      </c>
      <c r="BH3773" s="17" t="s">
        <v>105</v>
      </c>
      <c r="BI3773" s="17"/>
      <c r="BJ3773" s="15"/>
      <c r="BK3773" s="15"/>
      <c r="BL3773" s="13" t="b">
        <v>0</v>
      </c>
      <c r="BM3773" s="10"/>
      <c r="BN3773" s="10" t="s">
        <v>667</v>
      </c>
      <c r="BO3773" s="11">
        <v>46030.590277777781</v>
      </c>
      <c r="BP3773" s="11">
        <v>46030.590636574074</v>
      </c>
      <c r="BQ3773" s="15"/>
      <c r="BR3773" s="15">
        <v>46031.04078703704</v>
      </c>
      <c r="BS3773" s="10" t="s">
        <v>667</v>
      </c>
      <c r="BT3773" s="10"/>
      <c r="BU3773" s="10"/>
      <c r="BV3773" s="10"/>
      <c r="BW3773" s="10"/>
      <c r="BX3773" s="10"/>
      <c r="BY3773" s="23"/>
      <c r="BZ3773" s="23"/>
      <c r="CA3773" s="19" t="s">
        <v>25774</v>
      </c>
      <c r="CB3773" s="23"/>
      <c r="CC3773" s="23"/>
      <c r="CD3773" s="23"/>
      <c r="CE3773" s="23"/>
      <c r="CF3773" s="23"/>
      <c r="CG3773" s="23"/>
      <c r="CH3773" s="23"/>
      <c r="CI3773" s="23"/>
    </row>
    <row r="3774" spans="1:87" x14ac:dyDescent="0.3">
      <c r="A3774" s="9" t="s">
        <v>25815</v>
      </c>
      <c r="B3774" s="10" t="s">
        <v>25816</v>
      </c>
      <c r="C3774" s="11">
        <v>46032.4375</v>
      </c>
      <c r="D3774" s="12">
        <v>4.8611111111111112E-2</v>
      </c>
      <c r="E3774" s="11">
        <v>46032.486111111109</v>
      </c>
      <c r="F3774" s="22" t="s">
        <v>25766</v>
      </c>
      <c r="G3774" s="13" t="b">
        <v>0</v>
      </c>
      <c r="H3774" s="22" t="s">
        <v>25767</v>
      </c>
      <c r="I3774" s="10" t="s">
        <v>212</v>
      </c>
      <c r="J3774" s="13" t="b">
        <v>1</v>
      </c>
      <c r="K3774" s="13" t="b">
        <v>0</v>
      </c>
      <c r="L3774" s="10" t="s">
        <v>124</v>
      </c>
      <c r="M3774" s="10" t="s">
        <v>91</v>
      </c>
      <c r="N3774" s="10" t="s">
        <v>92</v>
      </c>
      <c r="O3774" s="19" t="s">
        <v>25817</v>
      </c>
      <c r="P3774" s="10"/>
      <c r="Q3774" s="10" t="s">
        <v>94</v>
      </c>
      <c r="R3774" s="10"/>
      <c r="S3774" s="19" t="s">
        <v>25769</v>
      </c>
      <c r="T3774" s="10"/>
      <c r="U3774" s="10"/>
      <c r="V3774" s="10"/>
      <c r="W3774" s="10" t="s">
        <v>25770</v>
      </c>
      <c r="X3774" s="10" t="s">
        <v>130</v>
      </c>
      <c r="Y3774" s="10" t="s">
        <v>130</v>
      </c>
      <c r="Z3774" s="10" t="s">
        <v>99</v>
      </c>
      <c r="AA3774" s="10" t="s">
        <v>131</v>
      </c>
      <c r="AB3774" s="10" t="s">
        <v>25771</v>
      </c>
      <c r="AC3774" s="10" t="s">
        <v>25772</v>
      </c>
      <c r="AD3774" s="10" t="s">
        <v>165</v>
      </c>
      <c r="AE3774" s="10" t="s">
        <v>25818</v>
      </c>
      <c r="AF3774" s="15"/>
      <c r="AG3774" s="10"/>
      <c r="AH3774" s="10"/>
      <c r="AI3774" s="10"/>
      <c r="AJ3774" s="10"/>
      <c r="AK3774" s="10" t="s">
        <v>102</v>
      </c>
      <c r="AL3774" s="10"/>
      <c r="AM3774" s="10"/>
      <c r="AN3774" s="10"/>
      <c r="AO3774" s="13" t="b">
        <v>0</v>
      </c>
      <c r="AP3774" s="22" t="s">
        <v>104</v>
      </c>
      <c r="AQ3774" s="10">
        <f ca="1">IFERROR(__xludf.DUMMYFUNCTION("""COMPUTED_VALUE"""),4833819)</f>
        <v>4833819</v>
      </c>
      <c r="AR3774" s="17">
        <v>320</v>
      </c>
      <c r="AS3774" s="17">
        <v>225</v>
      </c>
      <c r="AT3774" s="17">
        <v>2460.25</v>
      </c>
      <c r="AU3774" s="17">
        <v>0.1</v>
      </c>
      <c r="AV3774" s="17">
        <v>0.1</v>
      </c>
      <c r="AW3774" s="10" t="s">
        <v>105</v>
      </c>
      <c r="AX3774" s="17">
        <v>68</v>
      </c>
      <c r="AY3774" s="18">
        <v>10.934444444444445</v>
      </c>
      <c r="AZ3774" s="10"/>
      <c r="BA3774" s="20" t="b">
        <v>0</v>
      </c>
      <c r="BB3774" s="10" t="s">
        <v>25799</v>
      </c>
      <c r="BC3774" s="17">
        <v>320</v>
      </c>
      <c r="BD3774" s="17">
        <v>225</v>
      </c>
      <c r="BE3774" s="17">
        <v>2460.25</v>
      </c>
      <c r="BF3774" s="17">
        <v>0.1</v>
      </c>
      <c r="BG3774" s="11">
        <f ca="1">IFERROR(__xludf.DUMMYFUNCTION("""COMPUTED_VALUE"""),46032.4375)</f>
        <v>46032.4375</v>
      </c>
      <c r="BH3774" s="17" t="s">
        <v>105</v>
      </c>
      <c r="BI3774" s="17"/>
      <c r="BJ3774" s="15"/>
      <c r="BK3774" s="15"/>
      <c r="BL3774" s="13" t="b">
        <v>0</v>
      </c>
      <c r="BM3774" s="10"/>
      <c r="BN3774" s="10" t="s">
        <v>667</v>
      </c>
      <c r="BO3774" s="11">
        <v>46030.590277777781</v>
      </c>
      <c r="BP3774" s="11">
        <v>46030.590810185182</v>
      </c>
      <c r="BQ3774" s="15"/>
      <c r="BR3774" s="15">
        <v>46031.040937500002</v>
      </c>
      <c r="BS3774" s="10" t="s">
        <v>667</v>
      </c>
      <c r="BT3774" s="10"/>
      <c r="BU3774" s="10"/>
      <c r="BV3774" s="10"/>
      <c r="BW3774" s="10"/>
      <c r="BX3774" s="10"/>
      <c r="BY3774" s="23"/>
      <c r="BZ3774" s="23"/>
      <c r="CA3774" s="19" t="s">
        <v>25774</v>
      </c>
      <c r="CB3774" s="23"/>
      <c r="CC3774" s="23"/>
      <c r="CD3774" s="23"/>
      <c r="CE3774" s="23"/>
      <c r="CF3774" s="23"/>
      <c r="CG3774" s="23"/>
      <c r="CH3774" s="23"/>
      <c r="CI3774" s="23"/>
    </row>
    <row r="3775" spans="1:87" x14ac:dyDescent="0.3">
      <c r="A3775" s="9" t="s">
        <v>25819</v>
      </c>
      <c r="B3775" s="10" t="s">
        <v>25820</v>
      </c>
      <c r="C3775" s="11">
        <v>46032.486111111109</v>
      </c>
      <c r="D3775" s="12">
        <v>4.8611111111111112E-2</v>
      </c>
      <c r="E3775" s="11">
        <v>46032.534722222219</v>
      </c>
      <c r="F3775" s="22" t="s">
        <v>25766</v>
      </c>
      <c r="G3775" s="13" t="b">
        <v>0</v>
      </c>
      <c r="H3775" s="22" t="s">
        <v>25767</v>
      </c>
      <c r="I3775" s="10" t="s">
        <v>212</v>
      </c>
      <c r="J3775" s="13" t="b">
        <v>1</v>
      </c>
      <c r="K3775" s="13" t="b">
        <v>0</v>
      </c>
      <c r="L3775" s="10" t="s">
        <v>124</v>
      </c>
      <c r="M3775" s="10" t="s">
        <v>91</v>
      </c>
      <c r="N3775" s="10" t="s">
        <v>92</v>
      </c>
      <c r="O3775" s="19" t="s">
        <v>25821</v>
      </c>
      <c r="P3775" s="10"/>
      <c r="Q3775" s="10" t="s">
        <v>94</v>
      </c>
      <c r="R3775" s="10"/>
      <c r="S3775" s="19" t="s">
        <v>25769</v>
      </c>
      <c r="T3775" s="10"/>
      <c r="U3775" s="10"/>
      <c r="V3775" s="10"/>
      <c r="W3775" s="10" t="s">
        <v>25770</v>
      </c>
      <c r="X3775" s="10" t="s">
        <v>130</v>
      </c>
      <c r="Y3775" s="10" t="s">
        <v>130</v>
      </c>
      <c r="Z3775" s="10" t="s">
        <v>99</v>
      </c>
      <c r="AA3775" s="10" t="s">
        <v>131</v>
      </c>
      <c r="AB3775" s="10" t="s">
        <v>25771</v>
      </c>
      <c r="AC3775" s="10" t="s">
        <v>25772</v>
      </c>
      <c r="AD3775" s="10" t="s">
        <v>165</v>
      </c>
      <c r="AE3775" s="10" t="s">
        <v>25822</v>
      </c>
      <c r="AF3775" s="15"/>
      <c r="AG3775" s="10"/>
      <c r="AH3775" s="10"/>
      <c r="AI3775" s="10"/>
      <c r="AJ3775" s="10"/>
      <c r="AK3775" s="10" t="s">
        <v>102</v>
      </c>
      <c r="AL3775" s="10"/>
      <c r="AM3775" s="10"/>
      <c r="AN3775" s="10"/>
      <c r="AO3775" s="13" t="b">
        <v>0</v>
      </c>
      <c r="AP3775" s="22" t="s">
        <v>104</v>
      </c>
      <c r="AQ3775" s="10">
        <f ca="1">IFERROR(__xludf.DUMMYFUNCTION("""COMPUTED_VALUE"""),4833818)</f>
        <v>4833818</v>
      </c>
      <c r="AR3775" s="17">
        <v>302</v>
      </c>
      <c r="AS3775" s="17">
        <v>196</v>
      </c>
      <c r="AT3775" s="17">
        <v>2566.75</v>
      </c>
      <c r="AU3775" s="17">
        <v>0</v>
      </c>
      <c r="AV3775" s="17">
        <v>0</v>
      </c>
      <c r="AW3775" s="10" t="s">
        <v>105</v>
      </c>
      <c r="AX3775" s="17">
        <v>82</v>
      </c>
      <c r="AY3775" s="18">
        <v>13.095663265306122</v>
      </c>
      <c r="AZ3775" s="10"/>
      <c r="BA3775" s="20" t="b">
        <v>0</v>
      </c>
      <c r="BB3775" s="10" t="s">
        <v>25799</v>
      </c>
      <c r="BC3775" s="17">
        <v>302</v>
      </c>
      <c r="BD3775" s="17">
        <v>196</v>
      </c>
      <c r="BE3775" s="17">
        <v>2566.75</v>
      </c>
      <c r="BF3775" s="17">
        <v>0</v>
      </c>
      <c r="BG3775" s="11">
        <f ca="1">IFERROR(__xludf.DUMMYFUNCTION("""COMPUTED_VALUE"""),46032.4861111111)</f>
        <v>46032.486111111102</v>
      </c>
      <c r="BH3775" s="17" t="s">
        <v>105</v>
      </c>
      <c r="BI3775" s="17"/>
      <c r="BJ3775" s="15"/>
      <c r="BK3775" s="15"/>
      <c r="BL3775" s="13" t="b">
        <v>0</v>
      </c>
      <c r="BM3775" s="10"/>
      <c r="BN3775" s="10" t="s">
        <v>667</v>
      </c>
      <c r="BO3775" s="11">
        <v>46030.590277777781</v>
      </c>
      <c r="BP3775" s="11">
        <v>46030.590983796297</v>
      </c>
      <c r="BQ3775" s="15"/>
      <c r="BR3775" s="15">
        <v>46031.041122685187</v>
      </c>
      <c r="BS3775" s="10" t="s">
        <v>667</v>
      </c>
      <c r="BT3775" s="10"/>
      <c r="BU3775" s="10"/>
      <c r="BV3775" s="10"/>
      <c r="BW3775" s="10"/>
      <c r="BX3775" s="10"/>
      <c r="BY3775" s="23"/>
      <c r="BZ3775" s="23"/>
      <c r="CA3775" s="19" t="s">
        <v>25774</v>
      </c>
      <c r="CB3775" s="23"/>
      <c r="CC3775" s="23"/>
      <c r="CD3775" s="23"/>
      <c r="CE3775" s="23"/>
      <c r="CF3775" s="23"/>
      <c r="CG3775" s="23"/>
      <c r="CH3775" s="23"/>
      <c r="CI3775" s="23"/>
    </row>
    <row r="3776" spans="1:87" x14ac:dyDescent="0.3">
      <c r="A3776" s="9" t="s">
        <v>25823</v>
      </c>
      <c r="B3776" s="10" t="s">
        <v>25824</v>
      </c>
      <c r="C3776" s="11">
        <v>46032.534722222219</v>
      </c>
      <c r="D3776" s="12">
        <v>4.8611111111111112E-2</v>
      </c>
      <c r="E3776" s="11">
        <v>46032.583333333336</v>
      </c>
      <c r="F3776" s="22" t="s">
        <v>25766</v>
      </c>
      <c r="G3776" s="13" t="b">
        <v>0</v>
      </c>
      <c r="H3776" s="22" t="s">
        <v>25767</v>
      </c>
      <c r="I3776" s="10" t="s">
        <v>212</v>
      </c>
      <c r="J3776" s="13" t="b">
        <v>1</v>
      </c>
      <c r="K3776" s="13" t="b">
        <v>0</v>
      </c>
      <c r="L3776" s="10" t="s">
        <v>124</v>
      </c>
      <c r="M3776" s="10" t="s">
        <v>91</v>
      </c>
      <c r="N3776" s="10" t="s">
        <v>92</v>
      </c>
      <c r="O3776" s="19" t="s">
        <v>25825</v>
      </c>
      <c r="P3776" s="10"/>
      <c r="Q3776" s="10" t="s">
        <v>94</v>
      </c>
      <c r="R3776" s="10"/>
      <c r="S3776" s="19" t="s">
        <v>25769</v>
      </c>
      <c r="T3776" s="10"/>
      <c r="U3776" s="10"/>
      <c r="V3776" s="10"/>
      <c r="W3776" s="10" t="s">
        <v>25770</v>
      </c>
      <c r="X3776" s="10" t="s">
        <v>130</v>
      </c>
      <c r="Y3776" s="10" t="s">
        <v>130</v>
      </c>
      <c r="Z3776" s="10" t="s">
        <v>99</v>
      </c>
      <c r="AA3776" s="10" t="s">
        <v>131</v>
      </c>
      <c r="AB3776" s="10" t="s">
        <v>25771</v>
      </c>
      <c r="AC3776" s="10" t="s">
        <v>25772</v>
      </c>
      <c r="AD3776" s="10" t="s">
        <v>165</v>
      </c>
      <c r="AE3776" s="10" t="s">
        <v>25826</v>
      </c>
      <c r="AF3776" s="15"/>
      <c r="AG3776" s="10"/>
      <c r="AH3776" s="10"/>
      <c r="AI3776" s="10"/>
      <c r="AJ3776" s="10"/>
      <c r="AK3776" s="10" t="s">
        <v>102</v>
      </c>
      <c r="AL3776" s="10"/>
      <c r="AM3776" s="10"/>
      <c r="AN3776" s="10"/>
      <c r="AO3776" s="13" t="b">
        <v>0</v>
      </c>
      <c r="AP3776" s="22" t="s">
        <v>104</v>
      </c>
      <c r="AQ3776" s="10">
        <f ca="1">IFERROR(__xludf.DUMMYFUNCTION("""COMPUTED_VALUE"""),4833823)</f>
        <v>4833823</v>
      </c>
      <c r="AR3776" s="17">
        <v>280</v>
      </c>
      <c r="AS3776" s="17">
        <v>209</v>
      </c>
      <c r="AT3776" s="17">
        <v>1555.75</v>
      </c>
      <c r="AU3776" s="17">
        <v>0</v>
      </c>
      <c r="AV3776" s="17">
        <v>0</v>
      </c>
      <c r="AW3776" s="10" t="s">
        <v>105</v>
      </c>
      <c r="AX3776" s="17">
        <v>84</v>
      </c>
      <c r="AY3776" s="18">
        <v>7.4437799043062203</v>
      </c>
      <c r="AZ3776" s="10"/>
      <c r="BA3776" s="20" t="b">
        <v>0</v>
      </c>
      <c r="BB3776" s="10" t="s">
        <v>25799</v>
      </c>
      <c r="BC3776" s="17">
        <v>280</v>
      </c>
      <c r="BD3776" s="17">
        <v>209</v>
      </c>
      <c r="BE3776" s="17">
        <v>1555.75</v>
      </c>
      <c r="BF3776" s="17">
        <v>0</v>
      </c>
      <c r="BG3776" s="11">
        <f ca="1">IFERROR(__xludf.DUMMYFUNCTION("""COMPUTED_VALUE"""),46032.5347222222)</f>
        <v>46032.534722222197</v>
      </c>
      <c r="BH3776" s="17" t="s">
        <v>105</v>
      </c>
      <c r="BI3776" s="17"/>
      <c r="BJ3776" s="15"/>
      <c r="BK3776" s="15"/>
      <c r="BL3776" s="13" t="b">
        <v>0</v>
      </c>
      <c r="BM3776" s="10"/>
      <c r="BN3776" s="10" t="s">
        <v>667</v>
      </c>
      <c r="BO3776" s="11">
        <v>46030.59097222222</v>
      </c>
      <c r="BP3776" s="11">
        <v>46030.591168981482</v>
      </c>
      <c r="BQ3776" s="15"/>
      <c r="BR3776" s="15">
        <v>46031.041261574072</v>
      </c>
      <c r="BS3776" s="10" t="s">
        <v>667</v>
      </c>
      <c r="BT3776" s="10"/>
      <c r="BU3776" s="10"/>
      <c r="BV3776" s="10"/>
      <c r="BW3776" s="10"/>
      <c r="BX3776" s="10"/>
      <c r="BY3776" s="23"/>
      <c r="BZ3776" s="23"/>
      <c r="CA3776" s="19" t="s">
        <v>25774</v>
      </c>
      <c r="CB3776" s="23"/>
      <c r="CC3776" s="23"/>
      <c r="CD3776" s="23"/>
      <c r="CE3776" s="23"/>
      <c r="CF3776" s="23"/>
      <c r="CG3776" s="23"/>
      <c r="CH3776" s="23"/>
      <c r="CI3776" s="23"/>
    </row>
    <row r="3777" spans="1:87" x14ac:dyDescent="0.3">
      <c r="A3777" s="9" t="s">
        <v>25827</v>
      </c>
      <c r="B3777" s="10" t="s">
        <v>25828</v>
      </c>
      <c r="C3777" s="11">
        <v>46032.291666666664</v>
      </c>
      <c r="D3777" s="12">
        <v>4.8611111111111112E-2</v>
      </c>
      <c r="E3777" s="11">
        <v>46032.340277777781</v>
      </c>
      <c r="F3777" s="22" t="s">
        <v>25766</v>
      </c>
      <c r="G3777" s="13" t="b">
        <v>0</v>
      </c>
      <c r="H3777" s="22" t="s">
        <v>25767</v>
      </c>
      <c r="I3777" s="10" t="s">
        <v>212</v>
      </c>
      <c r="J3777" s="13" t="b">
        <v>1</v>
      </c>
      <c r="K3777" s="13" t="b">
        <v>0</v>
      </c>
      <c r="L3777" s="10" t="s">
        <v>124</v>
      </c>
      <c r="M3777" s="10" t="s">
        <v>91</v>
      </c>
      <c r="N3777" s="10" t="s">
        <v>92</v>
      </c>
      <c r="O3777" s="19" t="s">
        <v>25829</v>
      </c>
      <c r="P3777" s="10"/>
      <c r="Q3777" s="10" t="s">
        <v>94</v>
      </c>
      <c r="R3777" s="10"/>
      <c r="S3777" s="10"/>
      <c r="T3777" s="10"/>
      <c r="U3777" s="10"/>
      <c r="V3777" s="10"/>
      <c r="W3777" s="10" t="s">
        <v>25770</v>
      </c>
      <c r="X3777" s="10" t="s">
        <v>130</v>
      </c>
      <c r="Y3777" s="10" t="s">
        <v>130</v>
      </c>
      <c r="Z3777" s="10" t="s">
        <v>99</v>
      </c>
      <c r="AA3777" s="10" t="s">
        <v>131</v>
      </c>
      <c r="AB3777" s="10" t="s">
        <v>25771</v>
      </c>
      <c r="AC3777" s="10" t="s">
        <v>25772</v>
      </c>
      <c r="AD3777" s="10" t="s">
        <v>165</v>
      </c>
      <c r="AE3777" s="10" t="s">
        <v>25830</v>
      </c>
      <c r="AF3777" s="15"/>
      <c r="AG3777" s="10"/>
      <c r="AH3777" s="10"/>
      <c r="AI3777" s="10"/>
      <c r="AJ3777" s="10"/>
      <c r="AK3777" s="10" t="s">
        <v>102</v>
      </c>
      <c r="AL3777" s="10"/>
      <c r="AM3777" s="10"/>
      <c r="AN3777" s="10"/>
      <c r="AO3777" s="13" t="b">
        <v>0</v>
      </c>
      <c r="AP3777" s="22" t="s">
        <v>104</v>
      </c>
      <c r="AQ3777" s="10">
        <f ca="1">IFERROR(__xludf.DUMMYFUNCTION("""COMPUTED_VALUE"""),4833850)</f>
        <v>4833850</v>
      </c>
      <c r="AR3777" s="17">
        <v>668</v>
      </c>
      <c r="AS3777" s="17">
        <v>521</v>
      </c>
      <c r="AT3777" s="17">
        <v>3615.75</v>
      </c>
      <c r="AU3777" s="17">
        <v>0</v>
      </c>
      <c r="AV3777" s="17">
        <v>0</v>
      </c>
      <c r="AW3777" s="10" t="s">
        <v>105</v>
      </c>
      <c r="AX3777" s="17">
        <v>115</v>
      </c>
      <c r="AY3777" s="18">
        <v>6.9400191938579656</v>
      </c>
      <c r="AZ3777" s="10"/>
      <c r="BA3777" s="20" t="b">
        <v>0</v>
      </c>
      <c r="BB3777" s="10" t="s">
        <v>25783</v>
      </c>
      <c r="BC3777" s="17">
        <v>668</v>
      </c>
      <c r="BD3777" s="17">
        <v>521</v>
      </c>
      <c r="BE3777" s="17">
        <v>3615.75</v>
      </c>
      <c r="BF3777" s="17">
        <v>0</v>
      </c>
      <c r="BG3777" s="11">
        <f ca="1">IFERROR(__xludf.DUMMYFUNCTION("""COMPUTED_VALUE"""),46032.2916666666)</f>
        <v>46032.291666666599</v>
      </c>
      <c r="BH3777" s="17" t="s">
        <v>105</v>
      </c>
      <c r="BI3777" s="17"/>
      <c r="BJ3777" s="15"/>
      <c r="BK3777" s="15"/>
      <c r="BL3777" s="13" t="b">
        <v>0</v>
      </c>
      <c r="BM3777" s="10"/>
      <c r="BN3777" s="10" t="s">
        <v>19455</v>
      </c>
      <c r="BO3777" s="11">
        <v>46030.591666666667</v>
      </c>
      <c r="BP3777" s="11">
        <v>46030.592372685183</v>
      </c>
      <c r="BQ3777" s="15"/>
      <c r="BR3777" s="15">
        <v>46031.069606481484</v>
      </c>
      <c r="BS3777" s="10" t="s">
        <v>19455</v>
      </c>
      <c r="BT3777" s="10"/>
      <c r="BU3777" s="10"/>
      <c r="BV3777" s="10"/>
      <c r="BW3777" s="10"/>
      <c r="BX3777" s="10"/>
      <c r="BY3777" s="23"/>
      <c r="BZ3777" s="23"/>
      <c r="CA3777" s="10"/>
      <c r="CB3777" s="23"/>
      <c r="CC3777" s="23"/>
      <c r="CD3777" s="23"/>
      <c r="CE3777" s="23"/>
      <c r="CF3777" s="23"/>
      <c r="CG3777" s="23"/>
      <c r="CH3777" s="23"/>
      <c r="CI3777" s="23"/>
    </row>
    <row r="3778" spans="1:87" x14ac:dyDescent="0.3">
      <c r="A3778" s="9" t="s">
        <v>25831</v>
      </c>
      <c r="B3778" s="10" t="s">
        <v>25832</v>
      </c>
      <c r="C3778" s="11">
        <v>46032.340277777781</v>
      </c>
      <c r="D3778" s="12">
        <v>4.8611111111111112E-2</v>
      </c>
      <c r="E3778" s="11">
        <v>46032.388888888891</v>
      </c>
      <c r="F3778" s="22" t="s">
        <v>25766</v>
      </c>
      <c r="G3778" s="13" t="b">
        <v>0</v>
      </c>
      <c r="H3778" s="22" t="s">
        <v>25767</v>
      </c>
      <c r="I3778" s="10" t="s">
        <v>212</v>
      </c>
      <c r="J3778" s="13" t="b">
        <v>1</v>
      </c>
      <c r="K3778" s="13" t="b">
        <v>0</v>
      </c>
      <c r="L3778" s="10" t="s">
        <v>124</v>
      </c>
      <c r="M3778" s="10" t="s">
        <v>91</v>
      </c>
      <c r="N3778" s="10" t="s">
        <v>92</v>
      </c>
      <c r="O3778" s="19" t="s">
        <v>25833</v>
      </c>
      <c r="P3778" s="10"/>
      <c r="Q3778" s="10" t="s">
        <v>94</v>
      </c>
      <c r="R3778" s="10"/>
      <c r="S3778" s="10"/>
      <c r="T3778" s="10"/>
      <c r="U3778" s="10"/>
      <c r="V3778" s="10"/>
      <c r="W3778" s="10" t="s">
        <v>25770</v>
      </c>
      <c r="X3778" s="10" t="s">
        <v>130</v>
      </c>
      <c r="Y3778" s="10" t="s">
        <v>130</v>
      </c>
      <c r="Z3778" s="10" t="s">
        <v>99</v>
      </c>
      <c r="AA3778" s="10" t="s">
        <v>131</v>
      </c>
      <c r="AB3778" s="10" t="s">
        <v>25771</v>
      </c>
      <c r="AC3778" s="10" t="s">
        <v>25772</v>
      </c>
      <c r="AD3778" s="10" t="s">
        <v>165</v>
      </c>
      <c r="AE3778" s="10" t="s">
        <v>25834</v>
      </c>
      <c r="AF3778" s="15"/>
      <c r="AG3778" s="10"/>
      <c r="AH3778" s="10"/>
      <c r="AI3778" s="10"/>
      <c r="AJ3778" s="10"/>
      <c r="AK3778" s="10" t="s">
        <v>102</v>
      </c>
      <c r="AL3778" s="10"/>
      <c r="AM3778" s="10"/>
      <c r="AN3778" s="10"/>
      <c r="AO3778" s="13" t="b">
        <v>0</v>
      </c>
      <c r="AP3778" s="22" t="s">
        <v>104</v>
      </c>
      <c r="AQ3778" s="10">
        <f ca="1">IFERROR(__xludf.DUMMYFUNCTION("""COMPUTED_VALUE"""),4833851)</f>
        <v>4833851</v>
      </c>
      <c r="AR3778" s="17">
        <v>540</v>
      </c>
      <c r="AS3778" s="17">
        <v>412</v>
      </c>
      <c r="AT3778" s="17">
        <v>2469</v>
      </c>
      <c r="AU3778" s="17">
        <v>0</v>
      </c>
      <c r="AV3778" s="17">
        <v>0</v>
      </c>
      <c r="AW3778" s="10" t="s">
        <v>105</v>
      </c>
      <c r="AX3778" s="17">
        <v>111</v>
      </c>
      <c r="AY3778" s="18">
        <v>5.9927184466019421</v>
      </c>
      <c r="AZ3778" s="10"/>
      <c r="BA3778" s="20" t="b">
        <v>0</v>
      </c>
      <c r="BB3778" s="10" t="s">
        <v>25783</v>
      </c>
      <c r="BC3778" s="17">
        <v>540</v>
      </c>
      <c r="BD3778" s="17">
        <v>412</v>
      </c>
      <c r="BE3778" s="17">
        <v>2469</v>
      </c>
      <c r="BF3778" s="17">
        <v>0</v>
      </c>
      <c r="BG3778" s="11">
        <f ca="1">IFERROR(__xludf.DUMMYFUNCTION("""COMPUTED_VALUE"""),46032.3402777777)</f>
        <v>46032.340277777701</v>
      </c>
      <c r="BH3778" s="17" t="s">
        <v>105</v>
      </c>
      <c r="BI3778" s="17"/>
      <c r="BJ3778" s="15"/>
      <c r="BK3778" s="15"/>
      <c r="BL3778" s="13" t="b">
        <v>0</v>
      </c>
      <c r="BM3778" s="10"/>
      <c r="BN3778" s="10" t="s">
        <v>19455</v>
      </c>
      <c r="BO3778" s="11">
        <v>46030.592361111114</v>
      </c>
      <c r="BP3778" s="11">
        <v>46030.592638888891</v>
      </c>
      <c r="BQ3778" s="15"/>
      <c r="BR3778" s="15">
        <v>46031.069803240738</v>
      </c>
      <c r="BS3778" s="10" t="s">
        <v>19455</v>
      </c>
      <c r="BT3778" s="10"/>
      <c r="BU3778" s="10"/>
      <c r="BV3778" s="10"/>
      <c r="BW3778" s="10"/>
      <c r="BX3778" s="10"/>
      <c r="BY3778" s="23"/>
      <c r="BZ3778" s="23"/>
      <c r="CA3778" s="10"/>
      <c r="CB3778" s="23"/>
      <c r="CC3778" s="23"/>
      <c r="CD3778" s="23"/>
      <c r="CE3778" s="23"/>
      <c r="CF3778" s="23"/>
      <c r="CG3778" s="23"/>
      <c r="CH3778" s="23"/>
      <c r="CI3778" s="23"/>
    </row>
    <row r="3779" spans="1:87" x14ac:dyDescent="0.3">
      <c r="A3779" s="9" t="s">
        <v>25835</v>
      </c>
      <c r="B3779" s="10" t="s">
        <v>25836</v>
      </c>
      <c r="C3779" s="11">
        <v>46032.291666666664</v>
      </c>
      <c r="D3779" s="12">
        <v>4.1666666666666664E-2</v>
      </c>
      <c r="E3779" s="11">
        <v>46032.333333333336</v>
      </c>
      <c r="F3779" s="22" t="s">
        <v>25766</v>
      </c>
      <c r="G3779" s="13" t="b">
        <v>0</v>
      </c>
      <c r="H3779" s="22" t="s">
        <v>25767</v>
      </c>
      <c r="I3779" s="10" t="s">
        <v>212</v>
      </c>
      <c r="J3779" s="13" t="b">
        <v>1</v>
      </c>
      <c r="K3779" s="13" t="b">
        <v>0</v>
      </c>
      <c r="L3779" s="10" t="s">
        <v>124</v>
      </c>
      <c r="M3779" s="10" t="s">
        <v>91</v>
      </c>
      <c r="N3779" s="10" t="s">
        <v>92</v>
      </c>
      <c r="O3779" s="19" t="s">
        <v>25837</v>
      </c>
      <c r="P3779" s="10"/>
      <c r="Q3779" s="10" t="s">
        <v>94</v>
      </c>
      <c r="R3779" s="10"/>
      <c r="S3779" s="19" t="s">
        <v>25769</v>
      </c>
      <c r="T3779" s="10"/>
      <c r="U3779" s="10"/>
      <c r="V3779" s="10"/>
      <c r="W3779" s="10" t="s">
        <v>25770</v>
      </c>
      <c r="X3779" s="10" t="s">
        <v>130</v>
      </c>
      <c r="Y3779" s="10" t="s">
        <v>130</v>
      </c>
      <c r="Z3779" s="10" t="s">
        <v>99</v>
      </c>
      <c r="AA3779" s="10" t="s">
        <v>131</v>
      </c>
      <c r="AB3779" s="10" t="s">
        <v>25771</v>
      </c>
      <c r="AC3779" s="10" t="s">
        <v>25772</v>
      </c>
      <c r="AD3779" s="10" t="s">
        <v>165</v>
      </c>
      <c r="AE3779" s="10" t="s">
        <v>25838</v>
      </c>
      <c r="AF3779" s="15"/>
      <c r="AG3779" s="10"/>
      <c r="AH3779" s="10"/>
      <c r="AI3779" s="10"/>
      <c r="AJ3779" s="10"/>
      <c r="AK3779" s="10" t="s">
        <v>102</v>
      </c>
      <c r="AL3779" s="10"/>
      <c r="AM3779" s="10"/>
      <c r="AN3779" s="10"/>
      <c r="AO3779" s="13" t="b">
        <v>0</v>
      </c>
      <c r="AP3779" s="22" t="s">
        <v>104</v>
      </c>
      <c r="AQ3779" s="10">
        <f ca="1">IFERROR(__xludf.DUMMYFUNCTION("""COMPUTED_VALUE"""),4833824)</f>
        <v>4833824</v>
      </c>
      <c r="AR3779" s="17">
        <v>350</v>
      </c>
      <c r="AS3779" s="17">
        <v>280</v>
      </c>
      <c r="AT3779" s="17">
        <v>1196.25</v>
      </c>
      <c r="AU3779" s="17">
        <v>0</v>
      </c>
      <c r="AV3779" s="17">
        <v>0</v>
      </c>
      <c r="AW3779" s="10" t="s">
        <v>105</v>
      </c>
      <c r="AX3779" s="17">
        <v>55</v>
      </c>
      <c r="AY3779" s="18">
        <v>4.2723214285714288</v>
      </c>
      <c r="AZ3779" s="10"/>
      <c r="BA3779" s="20" t="b">
        <v>0</v>
      </c>
      <c r="BB3779" s="10" t="s">
        <v>25775</v>
      </c>
      <c r="BC3779" s="17">
        <v>350</v>
      </c>
      <c r="BD3779" s="17">
        <v>280</v>
      </c>
      <c r="BE3779" s="17">
        <v>1196.25</v>
      </c>
      <c r="BF3779" s="17">
        <v>0</v>
      </c>
      <c r="BG3779" s="11">
        <f ca="1">IFERROR(__xludf.DUMMYFUNCTION("""COMPUTED_VALUE"""),46032.2916666666)</f>
        <v>46032.291666666599</v>
      </c>
      <c r="BH3779" s="17" t="s">
        <v>105</v>
      </c>
      <c r="BI3779" s="17"/>
      <c r="BJ3779" s="15"/>
      <c r="BK3779" s="15"/>
      <c r="BL3779" s="13" t="b">
        <v>0</v>
      </c>
      <c r="BM3779" s="10"/>
      <c r="BN3779" s="10" t="s">
        <v>19455</v>
      </c>
      <c r="BO3779" s="11">
        <v>46030.588194444441</v>
      </c>
      <c r="BP3779" s="11">
        <v>46030.589189814818</v>
      </c>
      <c r="BQ3779" s="15"/>
      <c r="BR3779" s="15">
        <v>46031.053124999999</v>
      </c>
      <c r="BS3779" s="10" t="s">
        <v>19455</v>
      </c>
      <c r="BT3779" s="10"/>
      <c r="BU3779" s="10"/>
      <c r="BV3779" s="10"/>
      <c r="BW3779" s="10"/>
      <c r="BX3779" s="10"/>
      <c r="BY3779" s="23"/>
      <c r="BZ3779" s="23"/>
      <c r="CA3779" s="19" t="s">
        <v>25774</v>
      </c>
      <c r="CB3779" s="23"/>
      <c r="CC3779" s="23"/>
      <c r="CD3779" s="23"/>
      <c r="CE3779" s="23"/>
      <c r="CF3779" s="23"/>
      <c r="CG3779" s="23"/>
      <c r="CH3779" s="23"/>
      <c r="CI3779" s="23"/>
    </row>
    <row r="3780" spans="1:87" x14ac:dyDescent="0.3">
      <c r="A3780" s="9" t="s">
        <v>25839</v>
      </c>
      <c r="B3780" s="10" t="s">
        <v>25840</v>
      </c>
      <c r="C3780" s="11">
        <v>46032.388888888891</v>
      </c>
      <c r="D3780" s="12">
        <v>4.8611111111111112E-2</v>
      </c>
      <c r="E3780" s="11">
        <v>46032.4375</v>
      </c>
      <c r="F3780" s="22" t="s">
        <v>25766</v>
      </c>
      <c r="G3780" s="13" t="b">
        <v>0</v>
      </c>
      <c r="H3780" s="22" t="s">
        <v>25767</v>
      </c>
      <c r="I3780" s="10" t="s">
        <v>212</v>
      </c>
      <c r="J3780" s="13" t="b">
        <v>1</v>
      </c>
      <c r="K3780" s="13" t="b">
        <v>0</v>
      </c>
      <c r="L3780" s="10" t="s">
        <v>124</v>
      </c>
      <c r="M3780" s="10" t="s">
        <v>91</v>
      </c>
      <c r="N3780" s="10" t="s">
        <v>92</v>
      </c>
      <c r="O3780" s="19" t="s">
        <v>25841</v>
      </c>
      <c r="P3780" s="10"/>
      <c r="Q3780" s="10" t="s">
        <v>94</v>
      </c>
      <c r="R3780" s="10"/>
      <c r="S3780" s="10"/>
      <c r="T3780" s="10"/>
      <c r="U3780" s="10"/>
      <c r="V3780" s="10"/>
      <c r="W3780" s="10" t="s">
        <v>25770</v>
      </c>
      <c r="X3780" s="10" t="s">
        <v>130</v>
      </c>
      <c r="Y3780" s="10" t="s">
        <v>130</v>
      </c>
      <c r="Z3780" s="10" t="s">
        <v>99</v>
      </c>
      <c r="AA3780" s="10" t="s">
        <v>131</v>
      </c>
      <c r="AB3780" s="10" t="s">
        <v>25771</v>
      </c>
      <c r="AC3780" s="10" t="s">
        <v>25772</v>
      </c>
      <c r="AD3780" s="10" t="s">
        <v>165</v>
      </c>
      <c r="AE3780" s="10" t="s">
        <v>25842</v>
      </c>
      <c r="AF3780" s="15"/>
      <c r="AG3780" s="10"/>
      <c r="AH3780" s="10"/>
      <c r="AI3780" s="10"/>
      <c r="AJ3780" s="10"/>
      <c r="AK3780" s="10" t="s">
        <v>102</v>
      </c>
      <c r="AL3780" s="10"/>
      <c r="AM3780" s="10"/>
      <c r="AN3780" s="10"/>
      <c r="AO3780" s="13" t="b">
        <v>0</v>
      </c>
      <c r="AP3780" s="22" t="s">
        <v>104</v>
      </c>
      <c r="AQ3780" s="10">
        <f ca="1">IFERROR(__xludf.DUMMYFUNCTION("""COMPUTED_VALUE"""),4833852)</f>
        <v>4833852</v>
      </c>
      <c r="AR3780" s="17">
        <v>387</v>
      </c>
      <c r="AS3780" s="17">
        <v>255</v>
      </c>
      <c r="AT3780" s="17">
        <v>2180.25</v>
      </c>
      <c r="AU3780" s="17">
        <v>0</v>
      </c>
      <c r="AV3780" s="17">
        <v>0</v>
      </c>
      <c r="AW3780" s="10" t="s">
        <v>105</v>
      </c>
      <c r="AX3780" s="17">
        <v>70</v>
      </c>
      <c r="AY3780" s="18">
        <v>8.5500000000000007</v>
      </c>
      <c r="AZ3780" s="10"/>
      <c r="BA3780" s="20" t="b">
        <v>0</v>
      </c>
      <c r="BB3780" s="10" t="s">
        <v>25783</v>
      </c>
      <c r="BC3780" s="17">
        <v>387</v>
      </c>
      <c r="BD3780" s="17">
        <v>255</v>
      </c>
      <c r="BE3780" s="17">
        <v>2180.25</v>
      </c>
      <c r="BF3780" s="17">
        <v>0</v>
      </c>
      <c r="BG3780" s="11">
        <f ca="1">IFERROR(__xludf.DUMMYFUNCTION("""COMPUTED_VALUE"""),46032.3888888888)</f>
        <v>46032.388888888803</v>
      </c>
      <c r="BH3780" s="17" t="s">
        <v>105</v>
      </c>
      <c r="BI3780" s="17"/>
      <c r="BJ3780" s="15"/>
      <c r="BK3780" s="15"/>
      <c r="BL3780" s="13" t="b">
        <v>0</v>
      </c>
      <c r="BM3780" s="10"/>
      <c r="BN3780" s="10" t="s">
        <v>19455</v>
      </c>
      <c r="BO3780" s="11">
        <v>46030.592361111114</v>
      </c>
      <c r="BP3780" s="11">
        <v>46030.592800925922</v>
      </c>
      <c r="BQ3780" s="15"/>
      <c r="BR3780" s="15">
        <v>46031.069953703707</v>
      </c>
      <c r="BS3780" s="10" t="s">
        <v>19455</v>
      </c>
      <c r="BT3780" s="10"/>
      <c r="BU3780" s="10"/>
      <c r="BV3780" s="10"/>
      <c r="BW3780" s="10"/>
      <c r="BX3780" s="10"/>
      <c r="BY3780" s="23"/>
      <c r="BZ3780" s="23"/>
      <c r="CA3780" s="10"/>
      <c r="CB3780" s="23"/>
      <c r="CC3780" s="23"/>
      <c r="CD3780" s="23"/>
      <c r="CE3780" s="23"/>
      <c r="CF3780" s="23"/>
      <c r="CG3780" s="23"/>
      <c r="CH3780" s="23"/>
      <c r="CI3780" s="23"/>
    </row>
    <row r="3781" spans="1:87" x14ac:dyDescent="0.3">
      <c r="A3781" s="9" t="s">
        <v>25843</v>
      </c>
      <c r="B3781" s="10" t="s">
        <v>25844</v>
      </c>
      <c r="C3781" s="11">
        <v>46032.333333333336</v>
      </c>
      <c r="D3781" s="12">
        <v>4.1666666666666664E-2</v>
      </c>
      <c r="E3781" s="11">
        <v>46032.375</v>
      </c>
      <c r="F3781" s="22" t="s">
        <v>25766</v>
      </c>
      <c r="G3781" s="13" t="b">
        <v>0</v>
      </c>
      <c r="H3781" s="22" t="s">
        <v>25767</v>
      </c>
      <c r="I3781" s="10" t="s">
        <v>212</v>
      </c>
      <c r="J3781" s="13" t="b">
        <v>1</v>
      </c>
      <c r="K3781" s="13" t="b">
        <v>0</v>
      </c>
      <c r="L3781" s="10" t="s">
        <v>124</v>
      </c>
      <c r="M3781" s="10" t="s">
        <v>91</v>
      </c>
      <c r="N3781" s="10" t="s">
        <v>92</v>
      </c>
      <c r="O3781" s="19" t="s">
        <v>25845</v>
      </c>
      <c r="P3781" s="10"/>
      <c r="Q3781" s="10" t="s">
        <v>94</v>
      </c>
      <c r="R3781" s="10"/>
      <c r="S3781" s="19" t="s">
        <v>25769</v>
      </c>
      <c r="T3781" s="10"/>
      <c r="U3781" s="10"/>
      <c r="V3781" s="10"/>
      <c r="W3781" s="10" t="s">
        <v>25770</v>
      </c>
      <c r="X3781" s="10" t="s">
        <v>130</v>
      </c>
      <c r="Y3781" s="10" t="s">
        <v>130</v>
      </c>
      <c r="Z3781" s="10" t="s">
        <v>99</v>
      </c>
      <c r="AA3781" s="10" t="s">
        <v>131</v>
      </c>
      <c r="AB3781" s="10" t="s">
        <v>25771</v>
      </c>
      <c r="AC3781" s="10" t="s">
        <v>25772</v>
      </c>
      <c r="AD3781" s="10" t="s">
        <v>165</v>
      </c>
      <c r="AE3781" s="10" t="s">
        <v>25846</v>
      </c>
      <c r="AF3781" s="15"/>
      <c r="AG3781" s="10"/>
      <c r="AH3781" s="10"/>
      <c r="AI3781" s="10"/>
      <c r="AJ3781" s="10"/>
      <c r="AK3781" s="10" t="s">
        <v>102</v>
      </c>
      <c r="AL3781" s="10"/>
      <c r="AM3781" s="10"/>
      <c r="AN3781" s="10"/>
      <c r="AO3781" s="13" t="b">
        <v>0</v>
      </c>
      <c r="AP3781" s="22" t="s">
        <v>104</v>
      </c>
      <c r="AQ3781" s="10">
        <f ca="1">IFERROR(__xludf.DUMMYFUNCTION("""COMPUTED_VALUE"""),4833825)</f>
        <v>4833825</v>
      </c>
      <c r="AR3781" s="17">
        <v>488</v>
      </c>
      <c r="AS3781" s="17">
        <v>339</v>
      </c>
      <c r="AT3781" s="17">
        <v>1785</v>
      </c>
      <c r="AU3781" s="17">
        <v>0</v>
      </c>
      <c r="AV3781" s="17">
        <v>0</v>
      </c>
      <c r="AW3781" s="10" t="s">
        <v>105</v>
      </c>
      <c r="AX3781" s="17">
        <v>81</v>
      </c>
      <c r="AY3781" s="18">
        <v>5.2654867256637168</v>
      </c>
      <c r="AZ3781" s="10"/>
      <c r="BA3781" s="20" t="b">
        <v>0</v>
      </c>
      <c r="BB3781" s="10" t="s">
        <v>25775</v>
      </c>
      <c r="BC3781" s="17">
        <v>488</v>
      </c>
      <c r="BD3781" s="17">
        <v>339</v>
      </c>
      <c r="BE3781" s="17">
        <v>1785</v>
      </c>
      <c r="BF3781" s="17">
        <v>0</v>
      </c>
      <c r="BG3781" s="11">
        <f ca="1">IFERROR(__xludf.DUMMYFUNCTION("""COMPUTED_VALUE"""),46032.3333333333)</f>
        <v>46032.333333333299</v>
      </c>
      <c r="BH3781" s="17" t="s">
        <v>105</v>
      </c>
      <c r="BI3781" s="17"/>
      <c r="BJ3781" s="15"/>
      <c r="BK3781" s="15"/>
      <c r="BL3781" s="13" t="b">
        <v>0</v>
      </c>
      <c r="BM3781" s="10"/>
      <c r="BN3781" s="10" t="s">
        <v>19455</v>
      </c>
      <c r="BO3781" s="11">
        <v>46030.593055555553</v>
      </c>
      <c r="BP3781" s="11">
        <v>46030.593460648146</v>
      </c>
      <c r="BQ3781" s="15"/>
      <c r="BR3781" s="15">
        <v>46031.053564814814</v>
      </c>
      <c r="BS3781" s="10" t="s">
        <v>19455</v>
      </c>
      <c r="BT3781" s="10"/>
      <c r="BU3781" s="10"/>
      <c r="BV3781" s="10"/>
      <c r="BW3781" s="10"/>
      <c r="BX3781" s="10"/>
      <c r="BY3781" s="23"/>
      <c r="BZ3781" s="23"/>
      <c r="CA3781" s="19" t="s">
        <v>25774</v>
      </c>
      <c r="CB3781" s="23"/>
      <c r="CC3781" s="23"/>
      <c r="CD3781" s="23"/>
      <c r="CE3781" s="23"/>
      <c r="CF3781" s="23"/>
      <c r="CG3781" s="23"/>
      <c r="CH3781" s="23"/>
      <c r="CI3781" s="23"/>
    </row>
    <row r="3782" spans="1:87" x14ac:dyDescent="0.3">
      <c r="A3782" s="25" t="s">
        <v>25847</v>
      </c>
      <c r="B3782" s="10" t="s">
        <v>25848</v>
      </c>
      <c r="C3782" s="11">
        <v>46032.375</v>
      </c>
      <c r="D3782" s="12">
        <v>4.1666666666666664E-2</v>
      </c>
      <c r="E3782" s="11">
        <v>46032.416666666664</v>
      </c>
      <c r="F3782" s="22" t="s">
        <v>25766</v>
      </c>
      <c r="G3782" s="13" t="b">
        <v>0</v>
      </c>
      <c r="H3782" s="22" t="s">
        <v>25767</v>
      </c>
      <c r="I3782" s="10" t="s">
        <v>212</v>
      </c>
      <c r="J3782" s="13" t="b">
        <v>1</v>
      </c>
      <c r="K3782" s="13" t="b">
        <v>0</v>
      </c>
      <c r="L3782" s="10" t="s">
        <v>124</v>
      </c>
      <c r="M3782" s="10" t="s">
        <v>91</v>
      </c>
      <c r="N3782" s="10" t="s">
        <v>92</v>
      </c>
      <c r="O3782" s="19" t="s">
        <v>25849</v>
      </c>
      <c r="P3782" s="10"/>
      <c r="Q3782" s="10" t="s">
        <v>94</v>
      </c>
      <c r="R3782" s="10"/>
      <c r="S3782" s="19" t="s">
        <v>25769</v>
      </c>
      <c r="T3782" s="10"/>
      <c r="U3782" s="10"/>
      <c r="V3782" s="10"/>
      <c r="W3782" s="10" t="s">
        <v>25770</v>
      </c>
      <c r="X3782" s="10" t="s">
        <v>130</v>
      </c>
      <c r="Y3782" s="10" t="s">
        <v>130</v>
      </c>
      <c r="Z3782" s="10" t="s">
        <v>99</v>
      </c>
      <c r="AA3782" s="10" t="s">
        <v>131</v>
      </c>
      <c r="AB3782" s="10" t="s">
        <v>25771</v>
      </c>
      <c r="AC3782" s="10" t="s">
        <v>25772</v>
      </c>
      <c r="AD3782" s="10" t="s">
        <v>165</v>
      </c>
      <c r="AE3782" s="10" t="s">
        <v>25850</v>
      </c>
      <c r="AF3782" s="15"/>
      <c r="AG3782" s="10"/>
      <c r="AH3782" s="10"/>
      <c r="AI3782" s="10"/>
      <c r="AJ3782" s="10"/>
      <c r="AK3782" s="10" t="s">
        <v>102</v>
      </c>
      <c r="AL3782" s="10"/>
      <c r="AM3782" s="10"/>
      <c r="AN3782" s="10"/>
      <c r="AO3782" s="13" t="b">
        <v>0</v>
      </c>
      <c r="AP3782" s="22" t="s">
        <v>104</v>
      </c>
      <c r="AQ3782" s="10">
        <f ca="1">IFERROR(__xludf.DUMMYFUNCTION("""COMPUTED_VALUE"""),4833826)</f>
        <v>4833826</v>
      </c>
      <c r="AR3782" s="17">
        <v>328</v>
      </c>
      <c r="AS3782" s="17">
        <v>213</v>
      </c>
      <c r="AT3782" s="17">
        <v>2195.5</v>
      </c>
      <c r="AU3782" s="17">
        <v>1.6</v>
      </c>
      <c r="AV3782" s="17">
        <v>0</v>
      </c>
      <c r="AW3782" s="10" t="s">
        <v>105</v>
      </c>
      <c r="AX3782" s="17">
        <v>63</v>
      </c>
      <c r="AY3782" s="18">
        <v>10.307511737089202</v>
      </c>
      <c r="AZ3782" s="10"/>
      <c r="BA3782" s="20" t="b">
        <v>0</v>
      </c>
      <c r="BB3782" s="10" t="s">
        <v>25775</v>
      </c>
      <c r="BC3782" s="17">
        <v>328</v>
      </c>
      <c r="BD3782" s="17">
        <v>213</v>
      </c>
      <c r="BE3782" s="17">
        <v>2195.5</v>
      </c>
      <c r="BF3782" s="17">
        <v>0</v>
      </c>
      <c r="BG3782" s="11">
        <f ca="1">IFERROR(__xludf.DUMMYFUNCTION("""COMPUTED_VALUE"""),46032.375)</f>
        <v>46032.375</v>
      </c>
      <c r="BH3782" s="17" t="s">
        <v>105</v>
      </c>
      <c r="BI3782" s="17"/>
      <c r="BJ3782" s="15"/>
      <c r="BK3782" s="15"/>
      <c r="BL3782" s="13" t="b">
        <v>0</v>
      </c>
      <c r="BM3782" s="10"/>
      <c r="BN3782" s="10" t="s">
        <v>19455</v>
      </c>
      <c r="BO3782" s="11">
        <v>46030.593055555553</v>
      </c>
      <c r="BP3782" s="11">
        <v>46030.5937962963</v>
      </c>
      <c r="BQ3782" s="15"/>
      <c r="BR3782" s="15">
        <v>46031.053738425922</v>
      </c>
      <c r="BS3782" s="10" t="s">
        <v>19455</v>
      </c>
      <c r="BT3782" s="10"/>
      <c r="BU3782" s="10"/>
      <c r="BV3782" s="10"/>
      <c r="BW3782" s="10"/>
      <c r="BX3782" s="10"/>
      <c r="BY3782" s="23"/>
      <c r="BZ3782" s="23"/>
      <c r="CA3782" s="19" t="s">
        <v>25774</v>
      </c>
      <c r="CB3782" s="23"/>
      <c r="CC3782" s="23"/>
      <c r="CD3782" s="23"/>
      <c r="CE3782" s="23"/>
      <c r="CF3782" s="23"/>
      <c r="CG3782" s="23"/>
      <c r="CH3782" s="23"/>
      <c r="CI3782" s="23"/>
    </row>
    <row r="3783" spans="1:87" x14ac:dyDescent="0.3">
      <c r="A3783" s="9" t="s">
        <v>25851</v>
      </c>
      <c r="B3783" s="10" t="s">
        <v>25852</v>
      </c>
      <c r="C3783" s="11">
        <v>46032.416666666664</v>
      </c>
      <c r="D3783" s="12">
        <v>4.1666666666666664E-2</v>
      </c>
      <c r="E3783" s="11">
        <v>46032.458333333336</v>
      </c>
      <c r="F3783" s="22" t="s">
        <v>25766</v>
      </c>
      <c r="G3783" s="13" t="b">
        <v>0</v>
      </c>
      <c r="H3783" s="22" t="s">
        <v>25767</v>
      </c>
      <c r="I3783" s="10" t="s">
        <v>212</v>
      </c>
      <c r="J3783" s="13" t="b">
        <v>1</v>
      </c>
      <c r="K3783" s="13" t="b">
        <v>0</v>
      </c>
      <c r="L3783" s="10" t="s">
        <v>124</v>
      </c>
      <c r="M3783" s="10" t="s">
        <v>91</v>
      </c>
      <c r="N3783" s="10" t="s">
        <v>92</v>
      </c>
      <c r="O3783" s="19" t="s">
        <v>25853</v>
      </c>
      <c r="P3783" s="10"/>
      <c r="Q3783" s="10" t="s">
        <v>94</v>
      </c>
      <c r="R3783" s="10"/>
      <c r="S3783" s="19" t="s">
        <v>25769</v>
      </c>
      <c r="T3783" s="10"/>
      <c r="U3783" s="10"/>
      <c r="V3783" s="10"/>
      <c r="W3783" s="10" t="s">
        <v>25770</v>
      </c>
      <c r="X3783" s="10" t="s">
        <v>130</v>
      </c>
      <c r="Y3783" s="10" t="s">
        <v>130</v>
      </c>
      <c r="Z3783" s="10" t="s">
        <v>99</v>
      </c>
      <c r="AA3783" s="10" t="s">
        <v>131</v>
      </c>
      <c r="AB3783" s="10" t="s">
        <v>25771</v>
      </c>
      <c r="AC3783" s="10" t="s">
        <v>25772</v>
      </c>
      <c r="AD3783" s="10" t="s">
        <v>165</v>
      </c>
      <c r="AE3783" s="10" t="s">
        <v>25854</v>
      </c>
      <c r="AF3783" s="15"/>
      <c r="AG3783" s="10"/>
      <c r="AH3783" s="10"/>
      <c r="AI3783" s="10"/>
      <c r="AJ3783" s="10"/>
      <c r="AK3783" s="10" t="s">
        <v>102</v>
      </c>
      <c r="AL3783" s="10"/>
      <c r="AM3783" s="10"/>
      <c r="AN3783" s="10"/>
      <c r="AO3783" s="13" t="b">
        <v>0</v>
      </c>
      <c r="AP3783" s="22" t="s">
        <v>104</v>
      </c>
      <c r="AQ3783" s="10">
        <f ca="1">IFERROR(__xludf.DUMMYFUNCTION("""COMPUTED_VALUE"""),4833827)</f>
        <v>4833827</v>
      </c>
      <c r="AR3783" s="17">
        <v>314</v>
      </c>
      <c r="AS3783" s="17">
        <v>224</v>
      </c>
      <c r="AT3783" s="17">
        <v>1603.25</v>
      </c>
      <c r="AU3783" s="17">
        <v>0</v>
      </c>
      <c r="AV3783" s="17">
        <v>0</v>
      </c>
      <c r="AW3783" s="10" t="s">
        <v>105</v>
      </c>
      <c r="AX3783" s="17">
        <v>61</v>
      </c>
      <c r="AY3783" s="18">
        <v>7.1573660714285712</v>
      </c>
      <c r="AZ3783" s="10"/>
      <c r="BA3783" s="20" t="b">
        <v>0</v>
      </c>
      <c r="BB3783" s="10" t="s">
        <v>25775</v>
      </c>
      <c r="BC3783" s="17">
        <v>314</v>
      </c>
      <c r="BD3783" s="17">
        <v>224</v>
      </c>
      <c r="BE3783" s="17">
        <v>1603.25</v>
      </c>
      <c r="BF3783" s="17">
        <v>0</v>
      </c>
      <c r="BG3783" s="11">
        <f ca="1">IFERROR(__xludf.DUMMYFUNCTION("""COMPUTED_VALUE"""),46032.4166666666)</f>
        <v>46032.416666666599</v>
      </c>
      <c r="BH3783" s="17" t="s">
        <v>105</v>
      </c>
      <c r="BI3783" s="17"/>
      <c r="BJ3783" s="15"/>
      <c r="BK3783" s="15"/>
      <c r="BL3783" s="13" t="b">
        <v>0</v>
      </c>
      <c r="BM3783" s="10"/>
      <c r="BN3783" s="10" t="s">
        <v>19455</v>
      </c>
      <c r="BO3783" s="11">
        <v>46030.59375</v>
      </c>
      <c r="BP3783" s="11">
        <v>46030.594074074077</v>
      </c>
      <c r="BQ3783" s="15"/>
      <c r="BR3783" s="15">
        <v>46031.053923611114</v>
      </c>
      <c r="BS3783" s="10" t="s">
        <v>19455</v>
      </c>
      <c r="BT3783" s="10"/>
      <c r="BU3783" s="10"/>
      <c r="BV3783" s="10"/>
      <c r="BW3783" s="10"/>
      <c r="BX3783" s="10"/>
      <c r="BY3783" s="23"/>
      <c r="BZ3783" s="23"/>
      <c r="CA3783" s="19" t="s">
        <v>25774</v>
      </c>
      <c r="CB3783" s="23"/>
      <c r="CC3783" s="23"/>
      <c r="CD3783" s="23"/>
      <c r="CE3783" s="23"/>
      <c r="CF3783" s="23"/>
      <c r="CG3783" s="23"/>
      <c r="CH3783" s="23"/>
      <c r="CI3783" s="23"/>
    </row>
    <row r="3784" spans="1:87" x14ac:dyDescent="0.3">
      <c r="A3784" s="9" t="s">
        <v>25855</v>
      </c>
      <c r="B3784" s="10" t="s">
        <v>25856</v>
      </c>
      <c r="C3784" s="11">
        <v>46032.458333333336</v>
      </c>
      <c r="D3784" s="12">
        <v>4.1666666666666664E-2</v>
      </c>
      <c r="E3784" s="11">
        <v>46032.5</v>
      </c>
      <c r="F3784" s="22" t="s">
        <v>25766</v>
      </c>
      <c r="G3784" s="13" t="b">
        <v>0</v>
      </c>
      <c r="H3784" s="22" t="s">
        <v>25767</v>
      </c>
      <c r="I3784" s="10" t="s">
        <v>212</v>
      </c>
      <c r="J3784" s="13" t="b">
        <v>1</v>
      </c>
      <c r="K3784" s="13" t="b">
        <v>0</v>
      </c>
      <c r="L3784" s="10" t="s">
        <v>124</v>
      </c>
      <c r="M3784" s="10" t="s">
        <v>91</v>
      </c>
      <c r="N3784" s="10" t="s">
        <v>92</v>
      </c>
      <c r="O3784" s="19" t="s">
        <v>25857</v>
      </c>
      <c r="P3784" s="10"/>
      <c r="Q3784" s="10" t="s">
        <v>94</v>
      </c>
      <c r="R3784" s="10"/>
      <c r="S3784" s="19" t="s">
        <v>25769</v>
      </c>
      <c r="T3784" s="10"/>
      <c r="U3784" s="10"/>
      <c r="V3784" s="10"/>
      <c r="W3784" s="10" t="s">
        <v>25770</v>
      </c>
      <c r="X3784" s="10" t="s">
        <v>130</v>
      </c>
      <c r="Y3784" s="10" t="s">
        <v>130</v>
      </c>
      <c r="Z3784" s="10" t="s">
        <v>99</v>
      </c>
      <c r="AA3784" s="10" t="s">
        <v>131</v>
      </c>
      <c r="AB3784" s="10" t="s">
        <v>25771</v>
      </c>
      <c r="AC3784" s="10" t="s">
        <v>25772</v>
      </c>
      <c r="AD3784" s="10" t="s">
        <v>165</v>
      </c>
      <c r="AE3784" s="10" t="s">
        <v>25858</v>
      </c>
      <c r="AF3784" s="15"/>
      <c r="AG3784" s="10"/>
      <c r="AH3784" s="10"/>
      <c r="AI3784" s="10"/>
      <c r="AJ3784" s="10"/>
      <c r="AK3784" s="10" t="s">
        <v>102</v>
      </c>
      <c r="AL3784" s="10"/>
      <c r="AM3784" s="10"/>
      <c r="AN3784" s="10"/>
      <c r="AO3784" s="13" t="b">
        <v>0</v>
      </c>
      <c r="AP3784" s="22" t="s">
        <v>104</v>
      </c>
      <c r="AQ3784" s="10">
        <f ca="1">IFERROR(__xludf.DUMMYFUNCTION("""COMPUTED_VALUE"""),4833828)</f>
        <v>4833828</v>
      </c>
      <c r="AR3784" s="17">
        <v>359</v>
      </c>
      <c r="AS3784" s="17">
        <v>224</v>
      </c>
      <c r="AT3784" s="17">
        <v>1667.75</v>
      </c>
      <c r="AU3784" s="17">
        <v>0</v>
      </c>
      <c r="AV3784" s="17">
        <v>0</v>
      </c>
      <c r="AW3784" s="10" t="s">
        <v>105</v>
      </c>
      <c r="AX3784" s="17">
        <v>68</v>
      </c>
      <c r="AY3784" s="18">
        <v>7.4453125</v>
      </c>
      <c r="AZ3784" s="10"/>
      <c r="BA3784" s="20" t="b">
        <v>0</v>
      </c>
      <c r="BB3784" s="10" t="s">
        <v>25775</v>
      </c>
      <c r="BC3784" s="17">
        <v>359</v>
      </c>
      <c r="BD3784" s="17">
        <v>224</v>
      </c>
      <c r="BE3784" s="17">
        <v>1667.75</v>
      </c>
      <c r="BF3784" s="17">
        <v>0</v>
      </c>
      <c r="BG3784" s="11">
        <f ca="1">IFERROR(__xludf.DUMMYFUNCTION("""COMPUTED_VALUE"""),46032.4583333333)</f>
        <v>46032.458333333299</v>
      </c>
      <c r="BH3784" s="17" t="s">
        <v>105</v>
      </c>
      <c r="BI3784" s="17"/>
      <c r="BJ3784" s="15"/>
      <c r="BK3784" s="15"/>
      <c r="BL3784" s="13" t="b">
        <v>0</v>
      </c>
      <c r="BM3784" s="10"/>
      <c r="BN3784" s="10" t="s">
        <v>19455</v>
      </c>
      <c r="BO3784" s="11">
        <v>46030.59375</v>
      </c>
      <c r="BP3784" s="11">
        <v>46030.594236111108</v>
      </c>
      <c r="BQ3784" s="15"/>
      <c r="BR3784" s="15">
        <v>46031.054131944446</v>
      </c>
      <c r="BS3784" s="10" t="s">
        <v>19455</v>
      </c>
      <c r="BT3784" s="10"/>
      <c r="BU3784" s="10"/>
      <c r="BV3784" s="10"/>
      <c r="BW3784" s="10"/>
      <c r="BX3784" s="10"/>
      <c r="BY3784" s="23"/>
      <c r="BZ3784" s="23"/>
      <c r="CA3784" s="19" t="s">
        <v>25774</v>
      </c>
      <c r="CB3784" s="23"/>
      <c r="CC3784" s="23"/>
      <c r="CD3784" s="23"/>
      <c r="CE3784" s="23"/>
      <c r="CF3784" s="23"/>
      <c r="CG3784" s="23"/>
      <c r="CH3784" s="23"/>
      <c r="CI3784" s="23"/>
    </row>
    <row r="3785" spans="1:87" x14ac:dyDescent="0.3">
      <c r="A3785" s="9" t="s">
        <v>25859</v>
      </c>
      <c r="B3785" s="10" t="s">
        <v>25860</v>
      </c>
      <c r="C3785" s="11">
        <v>46032.4375</v>
      </c>
      <c r="D3785" s="12">
        <v>4.8611111111111112E-2</v>
      </c>
      <c r="E3785" s="11">
        <v>46032.486111111109</v>
      </c>
      <c r="F3785" s="22" t="s">
        <v>25766</v>
      </c>
      <c r="G3785" s="13" t="b">
        <v>0</v>
      </c>
      <c r="H3785" s="22" t="s">
        <v>25767</v>
      </c>
      <c r="I3785" s="10" t="s">
        <v>212</v>
      </c>
      <c r="J3785" s="13" t="b">
        <v>1</v>
      </c>
      <c r="K3785" s="13" t="b">
        <v>0</v>
      </c>
      <c r="L3785" s="10" t="s">
        <v>124</v>
      </c>
      <c r="M3785" s="10" t="s">
        <v>91</v>
      </c>
      <c r="N3785" s="10" t="s">
        <v>92</v>
      </c>
      <c r="O3785" s="19" t="s">
        <v>25861</v>
      </c>
      <c r="P3785" s="10"/>
      <c r="Q3785" s="10" t="s">
        <v>94</v>
      </c>
      <c r="R3785" s="10"/>
      <c r="S3785" s="10"/>
      <c r="T3785" s="10"/>
      <c r="U3785" s="10"/>
      <c r="V3785" s="10"/>
      <c r="W3785" s="10" t="s">
        <v>25770</v>
      </c>
      <c r="X3785" s="10" t="s">
        <v>130</v>
      </c>
      <c r="Y3785" s="10" t="s">
        <v>130</v>
      </c>
      <c r="Z3785" s="10" t="s">
        <v>99</v>
      </c>
      <c r="AA3785" s="10" t="s">
        <v>131</v>
      </c>
      <c r="AB3785" s="10" t="s">
        <v>25771</v>
      </c>
      <c r="AC3785" s="10" t="s">
        <v>25772</v>
      </c>
      <c r="AD3785" s="10" t="s">
        <v>165</v>
      </c>
      <c r="AE3785" s="10" t="s">
        <v>25862</v>
      </c>
      <c r="AF3785" s="15"/>
      <c r="AG3785" s="10"/>
      <c r="AH3785" s="10"/>
      <c r="AI3785" s="10"/>
      <c r="AJ3785" s="10"/>
      <c r="AK3785" s="10" t="s">
        <v>102</v>
      </c>
      <c r="AL3785" s="10"/>
      <c r="AM3785" s="10"/>
      <c r="AN3785" s="10"/>
      <c r="AO3785" s="13" t="b">
        <v>0</v>
      </c>
      <c r="AP3785" s="22" t="s">
        <v>104</v>
      </c>
      <c r="AQ3785" s="10">
        <f ca="1">IFERROR(__xludf.DUMMYFUNCTION("""COMPUTED_VALUE"""),4833853)</f>
        <v>4833853</v>
      </c>
      <c r="AR3785" s="17">
        <v>354</v>
      </c>
      <c r="AS3785" s="17">
        <v>236</v>
      </c>
      <c r="AT3785" s="17">
        <v>2351.25</v>
      </c>
      <c r="AU3785" s="17">
        <v>0</v>
      </c>
      <c r="AV3785" s="17">
        <v>0</v>
      </c>
      <c r="AW3785" s="10" t="s">
        <v>105</v>
      </c>
      <c r="AX3785" s="17">
        <v>74</v>
      </c>
      <c r="AY3785" s="18">
        <v>9.9629237288135588</v>
      </c>
      <c r="AZ3785" s="10"/>
      <c r="BA3785" s="20" t="b">
        <v>0</v>
      </c>
      <c r="BB3785" s="10" t="s">
        <v>25783</v>
      </c>
      <c r="BC3785" s="17">
        <v>354</v>
      </c>
      <c r="BD3785" s="17">
        <v>236</v>
      </c>
      <c r="BE3785" s="17">
        <v>2351.25</v>
      </c>
      <c r="BF3785" s="17">
        <v>0</v>
      </c>
      <c r="BG3785" s="11">
        <f ca="1">IFERROR(__xludf.DUMMYFUNCTION("""COMPUTED_VALUE"""),46032.4375)</f>
        <v>46032.4375</v>
      </c>
      <c r="BH3785" s="17" t="s">
        <v>105</v>
      </c>
      <c r="BI3785" s="17"/>
      <c r="BJ3785" s="15"/>
      <c r="BK3785" s="15"/>
      <c r="BL3785" s="13" t="b">
        <v>0</v>
      </c>
      <c r="BM3785" s="10"/>
      <c r="BN3785" s="10" t="s">
        <v>19455</v>
      </c>
      <c r="BO3785" s="11">
        <v>46030.592361111114</v>
      </c>
      <c r="BP3785" s="11">
        <v>46030.59302083333</v>
      </c>
      <c r="BQ3785" s="15"/>
      <c r="BR3785" s="15">
        <v>46031.070150462961</v>
      </c>
      <c r="BS3785" s="10" t="s">
        <v>19455</v>
      </c>
      <c r="BT3785" s="10"/>
      <c r="BU3785" s="10"/>
      <c r="BV3785" s="10"/>
      <c r="BW3785" s="10"/>
      <c r="BX3785" s="10"/>
      <c r="BY3785" s="23"/>
      <c r="BZ3785" s="23"/>
      <c r="CA3785" s="10"/>
      <c r="CB3785" s="23"/>
      <c r="CC3785" s="23"/>
      <c r="CD3785" s="23"/>
      <c r="CE3785" s="23"/>
      <c r="CF3785" s="23"/>
      <c r="CG3785" s="23"/>
      <c r="CH3785" s="23"/>
      <c r="CI3785" s="23"/>
    </row>
    <row r="3786" spans="1:87" x14ac:dyDescent="0.3">
      <c r="A3786" s="9" t="s">
        <v>25863</v>
      </c>
      <c r="B3786" s="10" t="s">
        <v>25864</v>
      </c>
      <c r="C3786" s="11">
        <v>46032.5</v>
      </c>
      <c r="D3786" s="12">
        <v>4.1666666666666664E-2</v>
      </c>
      <c r="E3786" s="11">
        <v>46032.541666666664</v>
      </c>
      <c r="F3786" s="22" t="s">
        <v>25766</v>
      </c>
      <c r="G3786" s="13" t="b">
        <v>0</v>
      </c>
      <c r="H3786" s="22" t="s">
        <v>25767</v>
      </c>
      <c r="I3786" s="10" t="s">
        <v>212</v>
      </c>
      <c r="J3786" s="13" t="b">
        <v>1</v>
      </c>
      <c r="K3786" s="13" t="b">
        <v>0</v>
      </c>
      <c r="L3786" s="10" t="s">
        <v>124</v>
      </c>
      <c r="M3786" s="10" t="s">
        <v>91</v>
      </c>
      <c r="N3786" s="10" t="s">
        <v>92</v>
      </c>
      <c r="O3786" s="19" t="s">
        <v>25865</v>
      </c>
      <c r="P3786" s="10"/>
      <c r="Q3786" s="10" t="s">
        <v>94</v>
      </c>
      <c r="R3786" s="10"/>
      <c r="S3786" s="19" t="s">
        <v>25769</v>
      </c>
      <c r="T3786" s="10"/>
      <c r="U3786" s="10"/>
      <c r="V3786" s="10"/>
      <c r="W3786" s="10" t="s">
        <v>25770</v>
      </c>
      <c r="X3786" s="10" t="s">
        <v>130</v>
      </c>
      <c r="Y3786" s="10" t="s">
        <v>130</v>
      </c>
      <c r="Z3786" s="10" t="s">
        <v>99</v>
      </c>
      <c r="AA3786" s="10" t="s">
        <v>131</v>
      </c>
      <c r="AB3786" s="10" t="s">
        <v>25771</v>
      </c>
      <c r="AC3786" s="10" t="s">
        <v>25772</v>
      </c>
      <c r="AD3786" s="10" t="s">
        <v>165</v>
      </c>
      <c r="AE3786" s="10" t="s">
        <v>25866</v>
      </c>
      <c r="AF3786" s="15"/>
      <c r="AG3786" s="10"/>
      <c r="AH3786" s="10"/>
      <c r="AI3786" s="10"/>
      <c r="AJ3786" s="10"/>
      <c r="AK3786" s="10" t="s">
        <v>102</v>
      </c>
      <c r="AL3786" s="10"/>
      <c r="AM3786" s="10"/>
      <c r="AN3786" s="10"/>
      <c r="AO3786" s="13" t="b">
        <v>0</v>
      </c>
      <c r="AP3786" s="22" t="s">
        <v>104</v>
      </c>
      <c r="AQ3786" s="10">
        <f ca="1">IFERROR(__xludf.DUMMYFUNCTION("""COMPUTED_VALUE"""),4833829)</f>
        <v>4833829</v>
      </c>
      <c r="AR3786" s="17">
        <v>236</v>
      </c>
      <c r="AS3786" s="17">
        <v>169</v>
      </c>
      <c r="AT3786" s="17">
        <v>1150.5</v>
      </c>
      <c r="AU3786" s="17">
        <v>0</v>
      </c>
      <c r="AV3786" s="17">
        <v>0</v>
      </c>
      <c r="AW3786" s="10" t="s">
        <v>105</v>
      </c>
      <c r="AX3786" s="17">
        <v>69</v>
      </c>
      <c r="AY3786" s="18">
        <v>6.8076923076923075</v>
      </c>
      <c r="AZ3786" s="10"/>
      <c r="BA3786" s="20" t="b">
        <v>0</v>
      </c>
      <c r="BB3786" s="10" t="s">
        <v>25775</v>
      </c>
      <c r="BC3786" s="17">
        <v>236</v>
      </c>
      <c r="BD3786" s="17">
        <v>169</v>
      </c>
      <c r="BE3786" s="17">
        <v>1150.5</v>
      </c>
      <c r="BF3786" s="17">
        <v>0</v>
      </c>
      <c r="BG3786" s="11">
        <f ca="1">IFERROR(__xludf.DUMMYFUNCTION("""COMPUTED_VALUE"""),46032.5)</f>
        <v>46032.5</v>
      </c>
      <c r="BH3786" s="17" t="s">
        <v>105</v>
      </c>
      <c r="BI3786" s="17"/>
      <c r="BJ3786" s="15"/>
      <c r="BK3786" s="15"/>
      <c r="BL3786" s="13" t="b">
        <v>0</v>
      </c>
      <c r="BM3786" s="10"/>
      <c r="BN3786" s="10" t="s">
        <v>19455</v>
      </c>
      <c r="BO3786" s="11">
        <v>46030.59375</v>
      </c>
      <c r="BP3786" s="11">
        <v>46030.594351851854</v>
      </c>
      <c r="BQ3786" s="15"/>
      <c r="BR3786" s="15">
        <v>46031.054282407407</v>
      </c>
      <c r="BS3786" s="10" t="s">
        <v>19455</v>
      </c>
      <c r="BT3786" s="10"/>
      <c r="BU3786" s="10"/>
      <c r="BV3786" s="10"/>
      <c r="BW3786" s="10"/>
      <c r="BX3786" s="10"/>
      <c r="BY3786" s="23"/>
      <c r="BZ3786" s="23"/>
      <c r="CA3786" s="19" t="s">
        <v>25774</v>
      </c>
      <c r="CB3786" s="23"/>
      <c r="CC3786" s="23"/>
      <c r="CD3786" s="23"/>
      <c r="CE3786" s="23"/>
      <c r="CF3786" s="23"/>
      <c r="CG3786" s="23"/>
      <c r="CH3786" s="23"/>
      <c r="CI3786" s="23"/>
    </row>
    <row r="3787" spans="1:87" x14ac:dyDescent="0.3">
      <c r="A3787" s="9" t="s">
        <v>25867</v>
      </c>
      <c r="B3787" s="10" t="s">
        <v>25868</v>
      </c>
      <c r="C3787" s="11">
        <v>46032.486111111109</v>
      </c>
      <c r="D3787" s="12">
        <v>4.8611111111111112E-2</v>
      </c>
      <c r="E3787" s="11">
        <v>46032.534722222219</v>
      </c>
      <c r="F3787" s="22" t="s">
        <v>25766</v>
      </c>
      <c r="G3787" s="13" t="b">
        <v>0</v>
      </c>
      <c r="H3787" s="22" t="s">
        <v>25767</v>
      </c>
      <c r="I3787" s="10" t="s">
        <v>212</v>
      </c>
      <c r="J3787" s="13" t="b">
        <v>1</v>
      </c>
      <c r="K3787" s="13" t="b">
        <v>0</v>
      </c>
      <c r="L3787" s="10" t="s">
        <v>124</v>
      </c>
      <c r="M3787" s="10" t="s">
        <v>91</v>
      </c>
      <c r="N3787" s="10" t="s">
        <v>92</v>
      </c>
      <c r="O3787" s="19" t="s">
        <v>25869</v>
      </c>
      <c r="P3787" s="10"/>
      <c r="Q3787" s="10" t="s">
        <v>94</v>
      </c>
      <c r="R3787" s="10"/>
      <c r="S3787" s="10"/>
      <c r="T3787" s="10"/>
      <c r="U3787" s="10"/>
      <c r="V3787" s="10"/>
      <c r="W3787" s="10" t="s">
        <v>25770</v>
      </c>
      <c r="X3787" s="10" t="s">
        <v>130</v>
      </c>
      <c r="Y3787" s="10" t="s">
        <v>130</v>
      </c>
      <c r="Z3787" s="10" t="s">
        <v>99</v>
      </c>
      <c r="AA3787" s="10" t="s">
        <v>131</v>
      </c>
      <c r="AB3787" s="10" t="s">
        <v>25771</v>
      </c>
      <c r="AC3787" s="10" t="s">
        <v>25772</v>
      </c>
      <c r="AD3787" s="10" t="s">
        <v>165</v>
      </c>
      <c r="AE3787" s="10" t="s">
        <v>25870</v>
      </c>
      <c r="AF3787" s="15"/>
      <c r="AG3787" s="10"/>
      <c r="AH3787" s="10"/>
      <c r="AI3787" s="10"/>
      <c r="AJ3787" s="10"/>
      <c r="AK3787" s="10" t="s">
        <v>102</v>
      </c>
      <c r="AL3787" s="10"/>
      <c r="AM3787" s="10"/>
      <c r="AN3787" s="10"/>
      <c r="AO3787" s="13" t="b">
        <v>0</v>
      </c>
      <c r="AP3787" s="22" t="s">
        <v>104</v>
      </c>
      <c r="AQ3787" s="10">
        <f ca="1">IFERROR(__xludf.DUMMYFUNCTION("""COMPUTED_VALUE"""),4833855)</f>
        <v>4833855</v>
      </c>
      <c r="AR3787" s="17">
        <v>359</v>
      </c>
      <c r="AS3787" s="17">
        <v>241</v>
      </c>
      <c r="AT3787" s="17">
        <v>2661</v>
      </c>
      <c r="AU3787" s="17">
        <v>0</v>
      </c>
      <c r="AV3787" s="17">
        <v>0</v>
      </c>
      <c r="AW3787" s="10" t="s">
        <v>105</v>
      </c>
      <c r="AX3787" s="17">
        <v>86</v>
      </c>
      <c r="AY3787" s="18">
        <v>11.04149377593361</v>
      </c>
      <c r="AZ3787" s="10"/>
      <c r="BA3787" s="20" t="b">
        <v>0</v>
      </c>
      <c r="BB3787" s="10" t="s">
        <v>25783</v>
      </c>
      <c r="BC3787" s="17">
        <v>359</v>
      </c>
      <c r="BD3787" s="17">
        <v>241</v>
      </c>
      <c r="BE3787" s="17">
        <v>2661</v>
      </c>
      <c r="BF3787" s="17">
        <v>0</v>
      </c>
      <c r="BG3787" s="11">
        <f ca="1">IFERROR(__xludf.DUMMYFUNCTION("""COMPUTED_VALUE"""),46032.4861111111)</f>
        <v>46032.486111111102</v>
      </c>
      <c r="BH3787" s="17" t="s">
        <v>105</v>
      </c>
      <c r="BI3787" s="17"/>
      <c r="BJ3787" s="15"/>
      <c r="BK3787" s="15"/>
      <c r="BL3787" s="13" t="b">
        <v>0</v>
      </c>
      <c r="BM3787" s="10"/>
      <c r="BN3787" s="10" t="s">
        <v>19455</v>
      </c>
      <c r="BO3787" s="11">
        <v>46030.593055555553</v>
      </c>
      <c r="BP3787" s="11">
        <v>46030.593136574076</v>
      </c>
      <c r="BQ3787" s="15"/>
      <c r="BR3787" s="15">
        <v>46031.070335648146</v>
      </c>
      <c r="BS3787" s="10" t="s">
        <v>19455</v>
      </c>
      <c r="BT3787" s="10"/>
      <c r="BU3787" s="10"/>
      <c r="BV3787" s="10"/>
      <c r="BW3787" s="10"/>
      <c r="BX3787" s="10"/>
      <c r="BY3787" s="23"/>
      <c r="BZ3787" s="23"/>
      <c r="CA3787" s="10"/>
      <c r="CB3787" s="23"/>
      <c r="CC3787" s="23"/>
      <c r="CD3787" s="23"/>
      <c r="CE3787" s="23"/>
      <c r="CF3787" s="23"/>
      <c r="CG3787" s="23"/>
      <c r="CH3787" s="23"/>
      <c r="CI3787" s="23"/>
    </row>
    <row r="3788" spans="1:87" x14ac:dyDescent="0.3">
      <c r="A3788" s="9" t="s">
        <v>25871</v>
      </c>
      <c r="B3788" s="10" t="s">
        <v>25872</v>
      </c>
      <c r="C3788" s="11">
        <v>46032.534722222219</v>
      </c>
      <c r="D3788" s="12">
        <v>4.8611111111111112E-2</v>
      </c>
      <c r="E3788" s="11">
        <v>46032.583333333336</v>
      </c>
      <c r="F3788" s="22" t="s">
        <v>25766</v>
      </c>
      <c r="G3788" s="13" t="b">
        <v>0</v>
      </c>
      <c r="H3788" s="22" t="s">
        <v>25767</v>
      </c>
      <c r="I3788" s="10" t="s">
        <v>212</v>
      </c>
      <c r="J3788" s="13" t="b">
        <v>1</v>
      </c>
      <c r="K3788" s="13" t="b">
        <v>0</v>
      </c>
      <c r="L3788" s="10" t="s">
        <v>124</v>
      </c>
      <c r="M3788" s="10" t="s">
        <v>91</v>
      </c>
      <c r="N3788" s="10" t="s">
        <v>92</v>
      </c>
      <c r="O3788" s="19" t="s">
        <v>25873</v>
      </c>
      <c r="P3788" s="10"/>
      <c r="Q3788" s="10" t="s">
        <v>94</v>
      </c>
      <c r="R3788" s="10"/>
      <c r="S3788" s="10"/>
      <c r="T3788" s="10"/>
      <c r="U3788" s="10"/>
      <c r="V3788" s="10"/>
      <c r="W3788" s="10" t="s">
        <v>25770</v>
      </c>
      <c r="X3788" s="10" t="s">
        <v>130</v>
      </c>
      <c r="Y3788" s="10" t="s">
        <v>130</v>
      </c>
      <c r="Z3788" s="10" t="s">
        <v>99</v>
      </c>
      <c r="AA3788" s="10" t="s">
        <v>131</v>
      </c>
      <c r="AB3788" s="10" t="s">
        <v>25771</v>
      </c>
      <c r="AC3788" s="10" t="s">
        <v>25772</v>
      </c>
      <c r="AD3788" s="10" t="s">
        <v>165</v>
      </c>
      <c r="AE3788" s="10" t="s">
        <v>25874</v>
      </c>
      <c r="AF3788" s="15"/>
      <c r="AG3788" s="10"/>
      <c r="AH3788" s="10"/>
      <c r="AI3788" s="10"/>
      <c r="AJ3788" s="10"/>
      <c r="AK3788" s="10" t="s">
        <v>102</v>
      </c>
      <c r="AL3788" s="10"/>
      <c r="AM3788" s="10"/>
      <c r="AN3788" s="10"/>
      <c r="AO3788" s="13" t="b">
        <v>0</v>
      </c>
      <c r="AP3788" s="22" t="s">
        <v>104</v>
      </c>
      <c r="AQ3788" s="10">
        <f ca="1">IFERROR(__xludf.DUMMYFUNCTION("""COMPUTED_VALUE"""),4833859)</f>
        <v>4833859</v>
      </c>
      <c r="AR3788" s="17">
        <v>355</v>
      </c>
      <c r="AS3788" s="17">
        <v>215</v>
      </c>
      <c r="AT3788" s="17">
        <v>1988.25</v>
      </c>
      <c r="AU3788" s="17">
        <v>0</v>
      </c>
      <c r="AV3788" s="17">
        <v>0</v>
      </c>
      <c r="AW3788" s="10" t="s">
        <v>105</v>
      </c>
      <c r="AX3788" s="17">
        <v>82</v>
      </c>
      <c r="AY3788" s="18">
        <v>9.2476744186046513</v>
      </c>
      <c r="AZ3788" s="10"/>
      <c r="BA3788" s="20" t="b">
        <v>0</v>
      </c>
      <c r="BB3788" s="10" t="s">
        <v>25783</v>
      </c>
      <c r="BC3788" s="17">
        <v>355</v>
      </c>
      <c r="BD3788" s="17">
        <v>215</v>
      </c>
      <c r="BE3788" s="17">
        <v>1988.25</v>
      </c>
      <c r="BF3788" s="17">
        <v>0</v>
      </c>
      <c r="BG3788" s="11">
        <f ca="1">IFERROR(__xludf.DUMMYFUNCTION("""COMPUTED_VALUE"""),46032.5347222222)</f>
        <v>46032.534722222197</v>
      </c>
      <c r="BH3788" s="17" t="s">
        <v>105</v>
      </c>
      <c r="BI3788" s="17"/>
      <c r="BJ3788" s="15"/>
      <c r="BK3788" s="15"/>
      <c r="BL3788" s="13" t="b">
        <v>0</v>
      </c>
      <c r="BM3788" s="10"/>
      <c r="BN3788" s="10" t="s">
        <v>19455</v>
      </c>
      <c r="BO3788" s="11">
        <v>46030.593055555553</v>
      </c>
      <c r="BP3788" s="11">
        <v>46030.593240740738</v>
      </c>
      <c r="BQ3788" s="15"/>
      <c r="BR3788" s="15">
        <v>46031.070509259262</v>
      </c>
      <c r="BS3788" s="10" t="s">
        <v>19455</v>
      </c>
      <c r="BT3788" s="10"/>
      <c r="BU3788" s="10"/>
      <c r="BV3788" s="10"/>
      <c r="BW3788" s="10"/>
      <c r="BX3788" s="10"/>
      <c r="BY3788" s="23"/>
      <c r="BZ3788" s="23"/>
      <c r="CA3788" s="10"/>
      <c r="CB3788" s="23"/>
      <c r="CC3788" s="23"/>
      <c r="CD3788" s="23"/>
      <c r="CE3788" s="23"/>
      <c r="CF3788" s="23"/>
      <c r="CG3788" s="23"/>
      <c r="CH3788" s="23"/>
      <c r="CI3788" s="23"/>
    </row>
    <row r="3789" spans="1:87" x14ac:dyDescent="0.3">
      <c r="A3789" s="9" t="s">
        <v>25875</v>
      </c>
      <c r="B3789" s="10" t="s">
        <v>25876</v>
      </c>
      <c r="C3789" s="11">
        <v>46032.333333333336</v>
      </c>
      <c r="D3789" s="12">
        <v>4.8611111111111112E-2</v>
      </c>
      <c r="E3789" s="11">
        <v>46032.381944444445</v>
      </c>
      <c r="F3789" s="22" t="s">
        <v>25766</v>
      </c>
      <c r="G3789" s="13" t="b">
        <v>0</v>
      </c>
      <c r="H3789" s="22" t="s">
        <v>25767</v>
      </c>
      <c r="I3789" s="10" t="s">
        <v>212</v>
      </c>
      <c r="J3789" s="13" t="b">
        <v>1</v>
      </c>
      <c r="K3789" s="13" t="b">
        <v>0</v>
      </c>
      <c r="L3789" s="10" t="s">
        <v>124</v>
      </c>
      <c r="M3789" s="10" t="s">
        <v>91</v>
      </c>
      <c r="N3789" s="10" t="s">
        <v>92</v>
      </c>
      <c r="O3789" s="19" t="s">
        <v>25877</v>
      </c>
      <c r="P3789" s="10"/>
      <c r="Q3789" s="10" t="s">
        <v>94</v>
      </c>
      <c r="R3789" s="10"/>
      <c r="S3789" s="19" t="s">
        <v>25769</v>
      </c>
      <c r="T3789" s="10"/>
      <c r="U3789" s="10"/>
      <c r="V3789" s="10"/>
      <c r="W3789" s="10" t="s">
        <v>25770</v>
      </c>
      <c r="X3789" s="10" t="s">
        <v>130</v>
      </c>
      <c r="Y3789" s="10" t="s">
        <v>130</v>
      </c>
      <c r="Z3789" s="10" t="s">
        <v>99</v>
      </c>
      <c r="AA3789" s="10" t="s">
        <v>131</v>
      </c>
      <c r="AB3789" s="10" t="s">
        <v>25771</v>
      </c>
      <c r="AC3789" s="10" t="s">
        <v>25772</v>
      </c>
      <c r="AD3789" s="10" t="s">
        <v>165</v>
      </c>
      <c r="AE3789" s="10" t="s">
        <v>25878</v>
      </c>
      <c r="AF3789" s="15"/>
      <c r="AG3789" s="10"/>
      <c r="AH3789" s="10"/>
      <c r="AI3789" s="10"/>
      <c r="AJ3789" s="10"/>
      <c r="AK3789" s="10" t="s">
        <v>102</v>
      </c>
      <c r="AL3789" s="10"/>
      <c r="AM3789" s="10"/>
      <c r="AN3789" s="10"/>
      <c r="AO3789" s="13" t="b">
        <v>0</v>
      </c>
      <c r="AP3789" s="22" t="s">
        <v>104</v>
      </c>
      <c r="AQ3789" s="10">
        <f ca="1">IFERROR(__xludf.DUMMYFUNCTION("""COMPUTED_VALUE"""),4833864)</f>
        <v>4833864</v>
      </c>
      <c r="AR3789" s="17">
        <v>456</v>
      </c>
      <c r="AS3789" s="17">
        <v>354</v>
      </c>
      <c r="AT3789" s="17">
        <v>3039.5</v>
      </c>
      <c r="AU3789" s="17">
        <v>0</v>
      </c>
      <c r="AV3789" s="17">
        <v>0</v>
      </c>
      <c r="AW3789" s="10" t="s">
        <v>105</v>
      </c>
      <c r="AX3789" s="17">
        <v>95</v>
      </c>
      <c r="AY3789" s="18">
        <v>8.5861581920903962</v>
      </c>
      <c r="AZ3789" s="10"/>
      <c r="BA3789" s="20" t="b">
        <v>0</v>
      </c>
      <c r="BB3789" s="10" t="s">
        <v>25779</v>
      </c>
      <c r="BC3789" s="17">
        <v>456</v>
      </c>
      <c r="BD3789" s="17">
        <v>354</v>
      </c>
      <c r="BE3789" s="17">
        <v>3039.5</v>
      </c>
      <c r="BF3789" s="17">
        <v>0</v>
      </c>
      <c r="BG3789" s="11">
        <f ca="1">IFERROR(__xludf.DUMMYFUNCTION("""COMPUTED_VALUE"""),46032.3333333333)</f>
        <v>46032.333333333299</v>
      </c>
      <c r="BH3789" s="17" t="s">
        <v>105</v>
      </c>
      <c r="BI3789" s="17"/>
      <c r="BJ3789" s="15"/>
      <c r="BK3789" s="15"/>
      <c r="BL3789" s="13" t="b">
        <v>0</v>
      </c>
      <c r="BM3789" s="10"/>
      <c r="BN3789" s="10" t="s">
        <v>19455</v>
      </c>
      <c r="BO3789" s="11">
        <v>46030.59375</v>
      </c>
      <c r="BP3789" s="11">
        <v>46030.593935185185</v>
      </c>
      <c r="BQ3789" s="15"/>
      <c r="BR3789" s="15">
        <v>46031.210995370369</v>
      </c>
      <c r="BS3789" s="10" t="s">
        <v>19455</v>
      </c>
      <c r="BT3789" s="10"/>
      <c r="BU3789" s="10"/>
      <c r="BV3789" s="10"/>
      <c r="BW3789" s="10"/>
      <c r="BX3789" s="10"/>
      <c r="BY3789" s="23"/>
      <c r="BZ3789" s="23"/>
      <c r="CA3789" s="19" t="s">
        <v>25774</v>
      </c>
      <c r="CB3789" s="23"/>
      <c r="CC3789" s="23"/>
      <c r="CD3789" s="23"/>
      <c r="CE3789" s="23"/>
      <c r="CF3789" s="23"/>
      <c r="CG3789" s="23"/>
      <c r="CH3789" s="23"/>
      <c r="CI3789" s="23"/>
    </row>
    <row r="3790" spans="1:87" x14ac:dyDescent="0.3">
      <c r="A3790" s="9" t="s">
        <v>25879</v>
      </c>
      <c r="B3790" s="10" t="s">
        <v>25880</v>
      </c>
      <c r="C3790" s="11">
        <v>46032.381944444445</v>
      </c>
      <c r="D3790" s="12">
        <v>4.8611111111111112E-2</v>
      </c>
      <c r="E3790" s="11">
        <v>46032.430555555555</v>
      </c>
      <c r="F3790" s="22" t="s">
        <v>25766</v>
      </c>
      <c r="G3790" s="13" t="b">
        <v>0</v>
      </c>
      <c r="H3790" s="22" t="s">
        <v>25767</v>
      </c>
      <c r="I3790" s="10" t="s">
        <v>212</v>
      </c>
      <c r="J3790" s="13" t="b">
        <v>1</v>
      </c>
      <c r="K3790" s="13" t="b">
        <v>0</v>
      </c>
      <c r="L3790" s="10" t="s">
        <v>124</v>
      </c>
      <c r="M3790" s="10" t="s">
        <v>91</v>
      </c>
      <c r="N3790" s="10" t="s">
        <v>92</v>
      </c>
      <c r="O3790" s="19" t="s">
        <v>25881</v>
      </c>
      <c r="P3790" s="10"/>
      <c r="Q3790" s="10" t="s">
        <v>94</v>
      </c>
      <c r="R3790" s="10"/>
      <c r="S3790" s="19" t="s">
        <v>25769</v>
      </c>
      <c r="T3790" s="10"/>
      <c r="U3790" s="10"/>
      <c r="V3790" s="10"/>
      <c r="W3790" s="10" t="s">
        <v>25770</v>
      </c>
      <c r="X3790" s="10" t="s">
        <v>130</v>
      </c>
      <c r="Y3790" s="10" t="s">
        <v>130</v>
      </c>
      <c r="Z3790" s="10" t="s">
        <v>99</v>
      </c>
      <c r="AA3790" s="10" t="s">
        <v>131</v>
      </c>
      <c r="AB3790" s="10" t="s">
        <v>25771</v>
      </c>
      <c r="AC3790" s="10" t="s">
        <v>25772</v>
      </c>
      <c r="AD3790" s="10" t="s">
        <v>165</v>
      </c>
      <c r="AE3790" s="10" t="s">
        <v>25882</v>
      </c>
      <c r="AF3790" s="15"/>
      <c r="AG3790" s="10"/>
      <c r="AH3790" s="10"/>
      <c r="AI3790" s="10"/>
      <c r="AJ3790" s="10"/>
      <c r="AK3790" s="10" t="s">
        <v>102</v>
      </c>
      <c r="AL3790" s="10"/>
      <c r="AM3790" s="10"/>
      <c r="AN3790" s="10"/>
      <c r="AO3790" s="13" t="b">
        <v>0</v>
      </c>
      <c r="AP3790" s="22" t="s">
        <v>104</v>
      </c>
      <c r="AQ3790" s="10">
        <f ca="1">IFERROR(__xludf.DUMMYFUNCTION("""COMPUTED_VALUE"""),4833865)</f>
        <v>4833865</v>
      </c>
      <c r="AR3790" s="17">
        <v>187</v>
      </c>
      <c r="AS3790" s="17">
        <v>118</v>
      </c>
      <c r="AT3790" s="17">
        <v>1479.75</v>
      </c>
      <c r="AU3790" s="17">
        <v>0</v>
      </c>
      <c r="AV3790" s="17">
        <v>0</v>
      </c>
      <c r="AW3790" s="10" t="s">
        <v>105</v>
      </c>
      <c r="AX3790" s="17">
        <v>59</v>
      </c>
      <c r="AY3790" s="18">
        <v>12.540254237288135</v>
      </c>
      <c r="AZ3790" s="10"/>
      <c r="BA3790" s="20" t="b">
        <v>0</v>
      </c>
      <c r="BB3790" s="10" t="s">
        <v>25779</v>
      </c>
      <c r="BC3790" s="17">
        <v>187</v>
      </c>
      <c r="BD3790" s="17">
        <v>118</v>
      </c>
      <c r="BE3790" s="17">
        <v>1479.75</v>
      </c>
      <c r="BF3790" s="17">
        <v>0</v>
      </c>
      <c r="BG3790" s="11">
        <f ca="1">IFERROR(__xludf.DUMMYFUNCTION("""COMPUTED_VALUE"""),46032.3819444444)</f>
        <v>46032.381944444402</v>
      </c>
      <c r="BH3790" s="17" t="s">
        <v>105</v>
      </c>
      <c r="BI3790" s="17"/>
      <c r="BJ3790" s="15"/>
      <c r="BK3790" s="15"/>
      <c r="BL3790" s="13" t="b">
        <v>0</v>
      </c>
      <c r="BM3790" s="10"/>
      <c r="BN3790" s="10" t="s">
        <v>19455</v>
      </c>
      <c r="BO3790" s="11">
        <v>46030.59375</v>
      </c>
      <c r="BP3790" s="11">
        <v>46030.594155092593</v>
      </c>
      <c r="BQ3790" s="15"/>
      <c r="BR3790" s="15">
        <v>46031.211180555554</v>
      </c>
      <c r="BS3790" s="10" t="s">
        <v>19455</v>
      </c>
      <c r="BT3790" s="10"/>
      <c r="BU3790" s="10"/>
      <c r="BV3790" s="10"/>
      <c r="BW3790" s="10"/>
      <c r="BX3790" s="10"/>
      <c r="BY3790" s="23"/>
      <c r="BZ3790" s="23"/>
      <c r="CA3790" s="19" t="s">
        <v>25774</v>
      </c>
      <c r="CB3790" s="23"/>
      <c r="CC3790" s="23"/>
      <c r="CD3790" s="23"/>
      <c r="CE3790" s="23"/>
      <c r="CF3790" s="23"/>
      <c r="CG3790" s="23"/>
      <c r="CH3790" s="23"/>
      <c r="CI3790" s="23"/>
    </row>
    <row r="3791" spans="1:87" x14ac:dyDescent="0.3">
      <c r="A3791" s="9" t="s">
        <v>25883</v>
      </c>
      <c r="B3791" s="10" t="s">
        <v>25884</v>
      </c>
      <c r="C3791" s="11">
        <v>46032.291666666664</v>
      </c>
      <c r="D3791" s="12">
        <v>4.1666666666666664E-2</v>
      </c>
      <c r="E3791" s="11">
        <v>46032.333333333336</v>
      </c>
      <c r="F3791" s="22" t="s">
        <v>25766</v>
      </c>
      <c r="G3791" s="13" t="b">
        <v>0</v>
      </c>
      <c r="H3791" s="22" t="s">
        <v>25767</v>
      </c>
      <c r="I3791" s="10" t="s">
        <v>212</v>
      </c>
      <c r="J3791" s="13" t="b">
        <v>1</v>
      </c>
      <c r="K3791" s="13" t="b">
        <v>0</v>
      </c>
      <c r="L3791" s="10"/>
      <c r="M3791" s="10" t="s">
        <v>91</v>
      </c>
      <c r="N3791" s="10" t="s">
        <v>92</v>
      </c>
      <c r="O3791" s="19" t="s">
        <v>25885</v>
      </c>
      <c r="P3791" s="10"/>
      <c r="Q3791" s="10" t="s">
        <v>94</v>
      </c>
      <c r="R3791" s="10"/>
      <c r="S3791" s="19" t="s">
        <v>25769</v>
      </c>
      <c r="T3791" s="10"/>
      <c r="U3791" s="10"/>
      <c r="V3791" s="10"/>
      <c r="W3791" s="10" t="s">
        <v>25770</v>
      </c>
      <c r="X3791" s="10" t="s">
        <v>130</v>
      </c>
      <c r="Y3791" s="10" t="s">
        <v>130</v>
      </c>
      <c r="Z3791" s="10" t="s">
        <v>99</v>
      </c>
      <c r="AA3791" s="10" t="s">
        <v>131</v>
      </c>
      <c r="AB3791" s="10" t="s">
        <v>25771</v>
      </c>
      <c r="AC3791" s="10" t="s">
        <v>25772</v>
      </c>
      <c r="AD3791" s="10" t="s">
        <v>165</v>
      </c>
      <c r="AE3791" s="10" t="s">
        <v>25886</v>
      </c>
      <c r="AF3791" s="15"/>
      <c r="AG3791" s="10"/>
      <c r="AH3791" s="10"/>
      <c r="AI3791" s="10"/>
      <c r="AJ3791" s="10"/>
      <c r="AK3791" s="10" t="s">
        <v>102</v>
      </c>
      <c r="AL3791" s="10"/>
      <c r="AM3791" s="10"/>
      <c r="AN3791" s="10"/>
      <c r="AO3791" s="13" t="b">
        <v>0</v>
      </c>
      <c r="AP3791" s="22" t="s">
        <v>104</v>
      </c>
      <c r="AQ3791" s="10">
        <f ca="1">IFERROR(__xludf.DUMMYFUNCTION("""COMPUTED_VALUE"""),4833861)</f>
        <v>4833861</v>
      </c>
      <c r="AR3791" s="17">
        <v>648</v>
      </c>
      <c r="AS3791" s="17">
        <v>472</v>
      </c>
      <c r="AT3791" s="17">
        <v>2680.5</v>
      </c>
      <c r="AU3791" s="17">
        <v>0</v>
      </c>
      <c r="AV3791" s="17">
        <v>0</v>
      </c>
      <c r="AW3791" s="10" t="s">
        <v>105</v>
      </c>
      <c r="AX3791" s="17">
        <v>92</v>
      </c>
      <c r="AY3791" s="18">
        <v>5.6790254237288131</v>
      </c>
      <c r="AZ3791" s="10"/>
      <c r="BA3791" s="20" t="b">
        <v>0</v>
      </c>
      <c r="BB3791" s="10" t="s">
        <v>25787</v>
      </c>
      <c r="BC3791" s="17">
        <v>648</v>
      </c>
      <c r="BD3791" s="17">
        <v>472</v>
      </c>
      <c r="BE3791" s="17">
        <v>2680.5</v>
      </c>
      <c r="BF3791" s="17">
        <v>0</v>
      </c>
      <c r="BG3791" s="11">
        <f ca="1">IFERROR(__xludf.DUMMYFUNCTION("""COMPUTED_VALUE"""),46032.2916666666)</f>
        <v>46032.291666666599</v>
      </c>
      <c r="BH3791" s="17" t="s">
        <v>105</v>
      </c>
      <c r="BI3791" s="17"/>
      <c r="BJ3791" s="15"/>
      <c r="BK3791" s="15"/>
      <c r="BL3791" s="13" t="b">
        <v>0</v>
      </c>
      <c r="BM3791" s="10"/>
      <c r="BN3791" s="10" t="s">
        <v>667</v>
      </c>
      <c r="BO3791" s="11">
        <v>46030.595138888886</v>
      </c>
      <c r="BP3791" s="11">
        <v>46030.595868055556</v>
      </c>
      <c r="BQ3791" s="15"/>
      <c r="BR3791" s="15">
        <v>46031.06591435185</v>
      </c>
      <c r="BS3791" s="10" t="s">
        <v>667</v>
      </c>
      <c r="BT3791" s="10"/>
      <c r="BU3791" s="10"/>
      <c r="BV3791" s="10"/>
      <c r="BW3791" s="10"/>
      <c r="BX3791" s="10"/>
      <c r="BY3791" s="23"/>
      <c r="BZ3791" s="23"/>
      <c r="CA3791" s="19" t="s">
        <v>25774</v>
      </c>
      <c r="CB3791" s="23"/>
      <c r="CC3791" s="23"/>
      <c r="CD3791" s="23"/>
      <c r="CE3791" s="23"/>
      <c r="CF3791" s="23"/>
      <c r="CG3791" s="23"/>
      <c r="CH3791" s="23"/>
      <c r="CI3791" s="23"/>
    </row>
    <row r="3792" spans="1:87" x14ac:dyDescent="0.3">
      <c r="A3792" s="9" t="s">
        <v>25887</v>
      </c>
      <c r="B3792" s="10" t="s">
        <v>25888</v>
      </c>
      <c r="C3792" s="11">
        <v>46032.430555555555</v>
      </c>
      <c r="D3792" s="12">
        <v>4.8611111111111112E-2</v>
      </c>
      <c r="E3792" s="11">
        <v>46032.479166666664</v>
      </c>
      <c r="F3792" s="22" t="s">
        <v>25766</v>
      </c>
      <c r="G3792" s="13" t="b">
        <v>0</v>
      </c>
      <c r="H3792" s="22" t="s">
        <v>25767</v>
      </c>
      <c r="I3792" s="10" t="s">
        <v>212</v>
      </c>
      <c r="J3792" s="13" t="b">
        <v>1</v>
      </c>
      <c r="K3792" s="13" t="b">
        <v>0</v>
      </c>
      <c r="L3792" s="10" t="s">
        <v>124</v>
      </c>
      <c r="M3792" s="10" t="s">
        <v>91</v>
      </c>
      <c r="N3792" s="10" t="s">
        <v>92</v>
      </c>
      <c r="O3792" s="19" t="s">
        <v>25889</v>
      </c>
      <c r="P3792" s="10"/>
      <c r="Q3792" s="10" t="s">
        <v>94</v>
      </c>
      <c r="R3792" s="10"/>
      <c r="S3792" s="19" t="s">
        <v>25769</v>
      </c>
      <c r="T3792" s="10"/>
      <c r="U3792" s="10"/>
      <c r="V3792" s="10"/>
      <c r="W3792" s="10" t="s">
        <v>25770</v>
      </c>
      <c r="X3792" s="10" t="s">
        <v>130</v>
      </c>
      <c r="Y3792" s="10" t="s">
        <v>130</v>
      </c>
      <c r="Z3792" s="10" t="s">
        <v>99</v>
      </c>
      <c r="AA3792" s="10" t="s">
        <v>131</v>
      </c>
      <c r="AB3792" s="10" t="s">
        <v>25771</v>
      </c>
      <c r="AC3792" s="10" t="s">
        <v>25772</v>
      </c>
      <c r="AD3792" s="10" t="s">
        <v>165</v>
      </c>
      <c r="AE3792" s="10" t="s">
        <v>25890</v>
      </c>
      <c r="AF3792" s="15"/>
      <c r="AG3792" s="10"/>
      <c r="AH3792" s="10"/>
      <c r="AI3792" s="10"/>
      <c r="AJ3792" s="10"/>
      <c r="AK3792" s="10" t="s">
        <v>102</v>
      </c>
      <c r="AL3792" s="10"/>
      <c r="AM3792" s="10"/>
      <c r="AN3792" s="10"/>
      <c r="AO3792" s="13" t="b">
        <v>0</v>
      </c>
      <c r="AP3792" s="22" t="s">
        <v>104</v>
      </c>
      <c r="AQ3792" s="10">
        <f ca="1">IFERROR(__xludf.DUMMYFUNCTION("""COMPUTED_VALUE"""),4833866)</f>
        <v>4833866</v>
      </c>
      <c r="AR3792" s="17">
        <v>293</v>
      </c>
      <c r="AS3792" s="17">
        <v>167</v>
      </c>
      <c r="AT3792" s="17">
        <v>2843.5</v>
      </c>
      <c r="AU3792" s="17">
        <v>0</v>
      </c>
      <c r="AV3792" s="17">
        <v>0</v>
      </c>
      <c r="AW3792" s="10" t="s">
        <v>105</v>
      </c>
      <c r="AX3792" s="17">
        <v>67</v>
      </c>
      <c r="AY3792" s="18">
        <v>17.026946107784433</v>
      </c>
      <c r="AZ3792" s="10"/>
      <c r="BA3792" s="20" t="b">
        <v>0</v>
      </c>
      <c r="BB3792" s="10" t="s">
        <v>25779</v>
      </c>
      <c r="BC3792" s="17">
        <v>293</v>
      </c>
      <c r="BD3792" s="17">
        <v>167</v>
      </c>
      <c r="BE3792" s="17">
        <v>2843.5</v>
      </c>
      <c r="BF3792" s="17">
        <v>0</v>
      </c>
      <c r="BG3792" s="11">
        <f ca="1">IFERROR(__xludf.DUMMYFUNCTION("""COMPUTED_VALUE"""),46032.4305555555)</f>
        <v>46032.430555555497</v>
      </c>
      <c r="BH3792" s="17" t="s">
        <v>105</v>
      </c>
      <c r="BI3792" s="17"/>
      <c r="BJ3792" s="15"/>
      <c r="BK3792" s="15"/>
      <c r="BL3792" s="13" t="b">
        <v>0</v>
      </c>
      <c r="BM3792" s="10"/>
      <c r="BN3792" s="10" t="s">
        <v>19455</v>
      </c>
      <c r="BO3792" s="11">
        <v>46030.59375</v>
      </c>
      <c r="BP3792" s="11">
        <v>46030.594270833331</v>
      </c>
      <c r="BQ3792" s="15"/>
      <c r="BR3792" s="15">
        <v>46031.211342592593</v>
      </c>
      <c r="BS3792" s="10" t="s">
        <v>19455</v>
      </c>
      <c r="BT3792" s="10"/>
      <c r="BU3792" s="10"/>
      <c r="BV3792" s="10"/>
      <c r="BW3792" s="10"/>
      <c r="BX3792" s="10"/>
      <c r="BY3792" s="23"/>
      <c r="BZ3792" s="23"/>
      <c r="CA3792" s="19" t="s">
        <v>25774</v>
      </c>
      <c r="CB3792" s="23"/>
      <c r="CC3792" s="23"/>
      <c r="CD3792" s="23"/>
      <c r="CE3792" s="23"/>
      <c r="CF3792" s="23"/>
      <c r="CG3792" s="23"/>
      <c r="CH3792" s="23"/>
      <c r="CI3792" s="23"/>
    </row>
    <row r="3793" spans="1:87" x14ac:dyDescent="0.3">
      <c r="A3793" s="9" t="s">
        <v>25891</v>
      </c>
      <c r="B3793" s="10" t="s">
        <v>25892</v>
      </c>
      <c r="C3793" s="11">
        <v>46032.340277777781</v>
      </c>
      <c r="D3793" s="12">
        <v>4.1666666666666664E-2</v>
      </c>
      <c r="E3793" s="11">
        <v>46032.381944444445</v>
      </c>
      <c r="F3793" s="22" t="s">
        <v>25766</v>
      </c>
      <c r="G3793" s="13" t="b">
        <v>0</v>
      </c>
      <c r="H3793" s="22" t="s">
        <v>25767</v>
      </c>
      <c r="I3793" s="10" t="s">
        <v>212</v>
      </c>
      <c r="J3793" s="13" t="b">
        <v>1</v>
      </c>
      <c r="K3793" s="13" t="b">
        <v>0</v>
      </c>
      <c r="L3793" s="10" t="s">
        <v>124</v>
      </c>
      <c r="M3793" s="10" t="s">
        <v>91</v>
      </c>
      <c r="N3793" s="10" t="s">
        <v>92</v>
      </c>
      <c r="O3793" s="19" t="s">
        <v>25893</v>
      </c>
      <c r="P3793" s="10"/>
      <c r="Q3793" s="10" t="s">
        <v>94</v>
      </c>
      <c r="R3793" s="10"/>
      <c r="S3793" s="19" t="s">
        <v>25769</v>
      </c>
      <c r="T3793" s="10"/>
      <c r="U3793" s="10"/>
      <c r="V3793" s="10"/>
      <c r="W3793" s="10" t="s">
        <v>25770</v>
      </c>
      <c r="X3793" s="10" t="s">
        <v>130</v>
      </c>
      <c r="Y3793" s="10" t="s">
        <v>130</v>
      </c>
      <c r="Z3793" s="10" t="s">
        <v>99</v>
      </c>
      <c r="AA3793" s="10" t="s">
        <v>131</v>
      </c>
      <c r="AB3793" s="10" t="s">
        <v>25771</v>
      </c>
      <c r="AC3793" s="10" t="s">
        <v>25772</v>
      </c>
      <c r="AD3793" s="10" t="s">
        <v>165</v>
      </c>
      <c r="AE3793" s="10" t="s">
        <v>25894</v>
      </c>
      <c r="AF3793" s="15"/>
      <c r="AG3793" s="10"/>
      <c r="AH3793" s="10"/>
      <c r="AI3793" s="10"/>
      <c r="AJ3793" s="10"/>
      <c r="AK3793" s="10" t="s">
        <v>102</v>
      </c>
      <c r="AL3793" s="10"/>
      <c r="AM3793" s="10"/>
      <c r="AN3793" s="10"/>
      <c r="AO3793" s="13" t="b">
        <v>0</v>
      </c>
      <c r="AP3793" s="22" t="s">
        <v>104</v>
      </c>
      <c r="AQ3793" s="10">
        <f ca="1">IFERROR(__xludf.DUMMYFUNCTION("""COMPUTED_VALUE"""),4833860)</f>
        <v>4833860</v>
      </c>
      <c r="AR3793" s="17">
        <v>445</v>
      </c>
      <c r="AS3793" s="17">
        <v>315</v>
      </c>
      <c r="AT3793" s="17">
        <v>2604.75</v>
      </c>
      <c r="AU3793" s="17">
        <v>0.75</v>
      </c>
      <c r="AV3793" s="17">
        <v>0</v>
      </c>
      <c r="AW3793" s="10" t="s">
        <v>105</v>
      </c>
      <c r="AX3793" s="17">
        <v>95</v>
      </c>
      <c r="AY3793" s="18">
        <v>8.269047619047619</v>
      </c>
      <c r="AZ3793" s="10"/>
      <c r="BA3793" s="20" t="b">
        <v>0</v>
      </c>
      <c r="BB3793" s="10" t="s">
        <v>25787</v>
      </c>
      <c r="BC3793" s="17">
        <v>445</v>
      </c>
      <c r="BD3793" s="17">
        <v>315</v>
      </c>
      <c r="BE3793" s="17">
        <v>2604.75</v>
      </c>
      <c r="BF3793" s="17">
        <v>0</v>
      </c>
      <c r="BG3793" s="11">
        <f ca="1">IFERROR(__xludf.DUMMYFUNCTION("""COMPUTED_VALUE"""),46032.3402777777)</f>
        <v>46032.340277777701</v>
      </c>
      <c r="BH3793" s="17" t="s">
        <v>105</v>
      </c>
      <c r="BI3793" s="17"/>
      <c r="BJ3793" s="15"/>
      <c r="BK3793" s="15"/>
      <c r="BL3793" s="13" t="b">
        <v>0</v>
      </c>
      <c r="BM3793" s="10"/>
      <c r="BN3793" s="10" t="s">
        <v>667</v>
      </c>
      <c r="BO3793" s="11">
        <v>46030.595833333333</v>
      </c>
      <c r="BP3793" s="11">
        <v>46030.596018518518</v>
      </c>
      <c r="BQ3793" s="15"/>
      <c r="BR3793" s="15">
        <v>46031.066041666665</v>
      </c>
      <c r="BS3793" s="10" t="s">
        <v>667</v>
      </c>
      <c r="BT3793" s="10"/>
      <c r="BU3793" s="10"/>
      <c r="BV3793" s="10"/>
      <c r="BW3793" s="10"/>
      <c r="BX3793" s="10"/>
      <c r="BY3793" s="23"/>
      <c r="BZ3793" s="23"/>
      <c r="CA3793" s="19" t="s">
        <v>25774</v>
      </c>
      <c r="CB3793" s="23"/>
      <c r="CC3793" s="23"/>
      <c r="CD3793" s="23"/>
      <c r="CE3793" s="23"/>
      <c r="CF3793" s="23"/>
      <c r="CG3793" s="23"/>
      <c r="CH3793" s="23"/>
      <c r="CI3793" s="23"/>
    </row>
    <row r="3794" spans="1:87" x14ac:dyDescent="0.3">
      <c r="A3794" s="9" t="s">
        <v>25895</v>
      </c>
      <c r="B3794" s="10" t="s">
        <v>25896</v>
      </c>
      <c r="C3794" s="11">
        <v>46032.479166666664</v>
      </c>
      <c r="D3794" s="12">
        <v>4.8611111111111112E-2</v>
      </c>
      <c r="E3794" s="11">
        <v>46032.527777777781</v>
      </c>
      <c r="F3794" s="22" t="s">
        <v>25766</v>
      </c>
      <c r="G3794" s="13" t="b">
        <v>0</v>
      </c>
      <c r="H3794" s="22" t="s">
        <v>25767</v>
      </c>
      <c r="I3794" s="10" t="s">
        <v>212</v>
      </c>
      <c r="J3794" s="13" t="b">
        <v>1</v>
      </c>
      <c r="K3794" s="13" t="b">
        <v>0</v>
      </c>
      <c r="L3794" s="10" t="s">
        <v>124</v>
      </c>
      <c r="M3794" s="10" t="s">
        <v>91</v>
      </c>
      <c r="N3794" s="10" t="s">
        <v>92</v>
      </c>
      <c r="O3794" s="19" t="s">
        <v>25897</v>
      </c>
      <c r="P3794" s="10"/>
      <c r="Q3794" s="10" t="s">
        <v>94</v>
      </c>
      <c r="R3794" s="10"/>
      <c r="S3794" s="19" t="s">
        <v>25769</v>
      </c>
      <c r="T3794" s="10"/>
      <c r="U3794" s="10"/>
      <c r="V3794" s="10"/>
      <c r="W3794" s="10" t="s">
        <v>25770</v>
      </c>
      <c r="X3794" s="10" t="s">
        <v>130</v>
      </c>
      <c r="Y3794" s="10" t="s">
        <v>130</v>
      </c>
      <c r="Z3794" s="10" t="s">
        <v>99</v>
      </c>
      <c r="AA3794" s="10" t="s">
        <v>131</v>
      </c>
      <c r="AB3794" s="10" t="s">
        <v>25771</v>
      </c>
      <c r="AC3794" s="10" t="s">
        <v>25772</v>
      </c>
      <c r="AD3794" s="10" t="s">
        <v>165</v>
      </c>
      <c r="AE3794" s="10" t="s">
        <v>25898</v>
      </c>
      <c r="AF3794" s="15"/>
      <c r="AG3794" s="10"/>
      <c r="AH3794" s="10"/>
      <c r="AI3794" s="10"/>
      <c r="AJ3794" s="10"/>
      <c r="AK3794" s="10" t="s">
        <v>102</v>
      </c>
      <c r="AL3794" s="10"/>
      <c r="AM3794" s="10"/>
      <c r="AN3794" s="10"/>
      <c r="AO3794" s="13" t="b">
        <v>0</v>
      </c>
      <c r="AP3794" s="22" t="s">
        <v>104</v>
      </c>
      <c r="AQ3794" s="10">
        <f ca="1">IFERROR(__xludf.DUMMYFUNCTION("""COMPUTED_VALUE"""),4833867)</f>
        <v>4833867</v>
      </c>
      <c r="AR3794" s="17">
        <v>126</v>
      </c>
      <c r="AS3794" s="17">
        <v>87</v>
      </c>
      <c r="AT3794" s="17">
        <v>841.75</v>
      </c>
      <c r="AU3794" s="17">
        <v>0</v>
      </c>
      <c r="AV3794" s="17">
        <v>0</v>
      </c>
      <c r="AW3794" s="10" t="s">
        <v>105</v>
      </c>
      <c r="AX3794" s="17">
        <v>67</v>
      </c>
      <c r="AY3794" s="18">
        <v>9.6752873563218387</v>
      </c>
      <c r="AZ3794" s="10"/>
      <c r="BA3794" s="20" t="b">
        <v>0</v>
      </c>
      <c r="BB3794" s="10" t="s">
        <v>25779</v>
      </c>
      <c r="BC3794" s="17">
        <v>126</v>
      </c>
      <c r="BD3794" s="17">
        <v>87</v>
      </c>
      <c r="BE3794" s="17">
        <v>841.75</v>
      </c>
      <c r="BF3794" s="17">
        <v>0</v>
      </c>
      <c r="BG3794" s="11">
        <f ca="1">IFERROR(__xludf.DUMMYFUNCTION("""COMPUTED_VALUE"""),46032.4791666666)</f>
        <v>46032.479166666599</v>
      </c>
      <c r="BH3794" s="17" t="s">
        <v>105</v>
      </c>
      <c r="BI3794" s="17"/>
      <c r="BJ3794" s="15"/>
      <c r="BK3794" s="15"/>
      <c r="BL3794" s="13" t="b">
        <v>0</v>
      </c>
      <c r="BM3794" s="10"/>
      <c r="BN3794" s="10" t="s">
        <v>19455</v>
      </c>
      <c r="BO3794" s="11">
        <v>46030.59375</v>
      </c>
      <c r="BP3794" s="11">
        <v>46030.594375000001</v>
      </c>
      <c r="BQ3794" s="15"/>
      <c r="BR3794" s="15">
        <v>46031.211527777778</v>
      </c>
      <c r="BS3794" s="10" t="s">
        <v>19455</v>
      </c>
      <c r="BT3794" s="10"/>
      <c r="BU3794" s="10"/>
      <c r="BV3794" s="10"/>
      <c r="BW3794" s="10"/>
      <c r="BX3794" s="10"/>
      <c r="BY3794" s="23"/>
      <c r="BZ3794" s="23"/>
      <c r="CA3794" s="19" t="s">
        <v>25774</v>
      </c>
      <c r="CB3794" s="23"/>
      <c r="CC3794" s="23"/>
      <c r="CD3794" s="23"/>
      <c r="CE3794" s="23"/>
      <c r="CF3794" s="23"/>
      <c r="CG3794" s="23"/>
      <c r="CH3794" s="23"/>
      <c r="CI3794" s="23"/>
    </row>
    <row r="3795" spans="1:87" x14ac:dyDescent="0.3">
      <c r="A3795" s="9" t="s">
        <v>25899</v>
      </c>
      <c r="B3795" s="10" t="s">
        <v>25900</v>
      </c>
      <c r="C3795" s="11">
        <v>46032.291666666664</v>
      </c>
      <c r="D3795" s="12">
        <v>4.8611111111111112E-2</v>
      </c>
      <c r="E3795" s="11">
        <v>46032.340277777781</v>
      </c>
      <c r="F3795" s="22" t="s">
        <v>25766</v>
      </c>
      <c r="G3795" s="13" t="b">
        <v>0</v>
      </c>
      <c r="H3795" s="22" t="s">
        <v>25767</v>
      </c>
      <c r="I3795" s="10" t="s">
        <v>212</v>
      </c>
      <c r="J3795" s="13" t="b">
        <v>1</v>
      </c>
      <c r="K3795" s="13" t="b">
        <v>0</v>
      </c>
      <c r="L3795" s="10" t="s">
        <v>124</v>
      </c>
      <c r="M3795" s="10" t="s">
        <v>91</v>
      </c>
      <c r="N3795" s="10" t="s">
        <v>92</v>
      </c>
      <c r="O3795" s="19" t="s">
        <v>25901</v>
      </c>
      <c r="P3795" s="10"/>
      <c r="Q3795" s="10" t="s">
        <v>94</v>
      </c>
      <c r="R3795" s="10"/>
      <c r="S3795" s="19" t="s">
        <v>25769</v>
      </c>
      <c r="T3795" s="10"/>
      <c r="U3795" s="10"/>
      <c r="V3795" s="10"/>
      <c r="W3795" s="10" t="s">
        <v>25770</v>
      </c>
      <c r="X3795" s="10" t="s">
        <v>130</v>
      </c>
      <c r="Y3795" s="10" t="s">
        <v>130</v>
      </c>
      <c r="Z3795" s="10" t="s">
        <v>99</v>
      </c>
      <c r="AA3795" s="10" t="s">
        <v>131</v>
      </c>
      <c r="AB3795" s="10" t="s">
        <v>25771</v>
      </c>
      <c r="AC3795" s="10" t="s">
        <v>25772</v>
      </c>
      <c r="AD3795" s="10" t="s">
        <v>165</v>
      </c>
      <c r="AE3795" s="10" t="s">
        <v>25902</v>
      </c>
      <c r="AF3795" s="15"/>
      <c r="AG3795" s="10"/>
      <c r="AH3795" s="10"/>
      <c r="AI3795" s="10"/>
      <c r="AJ3795" s="10"/>
      <c r="AK3795" s="10" t="s">
        <v>102</v>
      </c>
      <c r="AL3795" s="10"/>
      <c r="AM3795" s="10"/>
      <c r="AN3795" s="10"/>
      <c r="AO3795" s="13" t="b">
        <v>0</v>
      </c>
      <c r="AP3795" s="22" t="s">
        <v>104</v>
      </c>
      <c r="AQ3795" s="10">
        <f ca="1">IFERROR(__xludf.DUMMYFUNCTION("""COMPUTED_VALUE"""),4833835)</f>
        <v>4833835</v>
      </c>
      <c r="AR3795" s="17">
        <v>525</v>
      </c>
      <c r="AS3795" s="17">
        <v>421</v>
      </c>
      <c r="AT3795" s="17">
        <v>4830.5</v>
      </c>
      <c r="AU3795" s="17">
        <v>0</v>
      </c>
      <c r="AV3795" s="17">
        <v>0</v>
      </c>
      <c r="AW3795" s="10" t="s">
        <v>105</v>
      </c>
      <c r="AX3795" s="17">
        <v>114</v>
      </c>
      <c r="AY3795" s="18">
        <v>11.473871733966746</v>
      </c>
      <c r="AZ3795" s="10"/>
      <c r="BA3795" s="20" t="b">
        <v>0</v>
      </c>
      <c r="BB3795" s="10" t="s">
        <v>25791</v>
      </c>
      <c r="BC3795" s="17">
        <v>525</v>
      </c>
      <c r="BD3795" s="17">
        <v>421</v>
      </c>
      <c r="BE3795" s="17">
        <v>4830.5</v>
      </c>
      <c r="BF3795" s="17">
        <v>0</v>
      </c>
      <c r="BG3795" s="11">
        <f ca="1">IFERROR(__xludf.DUMMYFUNCTION("""COMPUTED_VALUE"""),46032.2916666666)</f>
        <v>46032.291666666599</v>
      </c>
      <c r="BH3795" s="17" t="s">
        <v>105</v>
      </c>
      <c r="BI3795" s="17"/>
      <c r="BJ3795" s="15"/>
      <c r="BK3795" s="15"/>
      <c r="BL3795" s="13" t="b">
        <v>0</v>
      </c>
      <c r="BM3795" s="10"/>
      <c r="BN3795" s="10" t="s">
        <v>920</v>
      </c>
      <c r="BO3795" s="11">
        <v>46030.595138888886</v>
      </c>
      <c r="BP3795" s="11">
        <v>46030.595312500001</v>
      </c>
      <c r="BQ3795" s="15"/>
      <c r="BR3795" s="15">
        <v>46031.056712962964</v>
      </c>
      <c r="BS3795" s="10" t="s">
        <v>920</v>
      </c>
      <c r="BT3795" s="10"/>
      <c r="BU3795" s="10"/>
      <c r="BV3795" s="10"/>
      <c r="BW3795" s="10"/>
      <c r="BX3795" s="10"/>
      <c r="BY3795" s="23"/>
      <c r="BZ3795" s="23"/>
      <c r="CA3795" s="19" t="s">
        <v>25774</v>
      </c>
      <c r="CB3795" s="23"/>
      <c r="CC3795" s="23"/>
      <c r="CD3795" s="23"/>
      <c r="CE3795" s="23"/>
      <c r="CF3795" s="23"/>
      <c r="CG3795" s="23"/>
      <c r="CH3795" s="23"/>
      <c r="CI3795" s="23"/>
    </row>
    <row r="3796" spans="1:87" x14ac:dyDescent="0.3">
      <c r="A3796" s="9" t="s">
        <v>25903</v>
      </c>
      <c r="B3796" s="10" t="s">
        <v>25904</v>
      </c>
      <c r="C3796" s="11">
        <v>46032.388888888891</v>
      </c>
      <c r="D3796" s="12">
        <v>4.1666666666666664E-2</v>
      </c>
      <c r="E3796" s="11">
        <v>46032.430555555555</v>
      </c>
      <c r="F3796" s="22" t="s">
        <v>25766</v>
      </c>
      <c r="G3796" s="13" t="b">
        <v>0</v>
      </c>
      <c r="H3796" s="22" t="s">
        <v>25767</v>
      </c>
      <c r="I3796" s="10" t="s">
        <v>212</v>
      </c>
      <c r="J3796" s="13" t="b">
        <v>1</v>
      </c>
      <c r="K3796" s="13" t="b">
        <v>0</v>
      </c>
      <c r="L3796" s="10" t="s">
        <v>124</v>
      </c>
      <c r="M3796" s="10" t="s">
        <v>91</v>
      </c>
      <c r="N3796" s="10" t="s">
        <v>92</v>
      </c>
      <c r="O3796" s="19" t="s">
        <v>25905</v>
      </c>
      <c r="P3796" s="10"/>
      <c r="Q3796" s="10" t="s">
        <v>94</v>
      </c>
      <c r="R3796" s="10"/>
      <c r="S3796" s="19" t="s">
        <v>25769</v>
      </c>
      <c r="T3796" s="10"/>
      <c r="U3796" s="10"/>
      <c r="V3796" s="10"/>
      <c r="W3796" s="10" t="s">
        <v>25770</v>
      </c>
      <c r="X3796" s="10" t="s">
        <v>130</v>
      </c>
      <c r="Y3796" s="10" t="s">
        <v>130</v>
      </c>
      <c r="Z3796" s="10" t="s">
        <v>99</v>
      </c>
      <c r="AA3796" s="10" t="s">
        <v>131</v>
      </c>
      <c r="AB3796" s="10" t="s">
        <v>25771</v>
      </c>
      <c r="AC3796" s="10" t="s">
        <v>25772</v>
      </c>
      <c r="AD3796" s="10" t="s">
        <v>165</v>
      </c>
      <c r="AE3796" s="10" t="s">
        <v>25906</v>
      </c>
      <c r="AF3796" s="15"/>
      <c r="AG3796" s="10"/>
      <c r="AH3796" s="10"/>
      <c r="AI3796" s="10"/>
      <c r="AJ3796" s="10"/>
      <c r="AK3796" s="10" t="s">
        <v>102</v>
      </c>
      <c r="AL3796" s="10"/>
      <c r="AM3796" s="10"/>
      <c r="AN3796" s="10"/>
      <c r="AO3796" s="13" t="b">
        <v>0</v>
      </c>
      <c r="AP3796" s="22" t="s">
        <v>104</v>
      </c>
      <c r="AQ3796" s="10">
        <f ca="1">IFERROR(__xludf.DUMMYFUNCTION("""COMPUTED_VALUE"""),4833858)</f>
        <v>4833858</v>
      </c>
      <c r="AR3796" s="17">
        <v>436</v>
      </c>
      <c r="AS3796" s="17">
        <v>263</v>
      </c>
      <c r="AT3796" s="17">
        <v>4632.75</v>
      </c>
      <c r="AU3796" s="17">
        <v>0.25</v>
      </c>
      <c r="AV3796" s="17">
        <v>0</v>
      </c>
      <c r="AW3796" s="10" t="s">
        <v>105</v>
      </c>
      <c r="AX3796" s="17">
        <v>112</v>
      </c>
      <c r="AY3796" s="18">
        <v>17.615019011406844</v>
      </c>
      <c r="AZ3796" s="10"/>
      <c r="BA3796" s="20" t="b">
        <v>0</v>
      </c>
      <c r="BB3796" s="10" t="s">
        <v>25787</v>
      </c>
      <c r="BC3796" s="17">
        <v>436</v>
      </c>
      <c r="BD3796" s="17">
        <v>263</v>
      </c>
      <c r="BE3796" s="17">
        <v>4632.75</v>
      </c>
      <c r="BF3796" s="17">
        <v>0</v>
      </c>
      <c r="BG3796" s="11">
        <f ca="1">IFERROR(__xludf.DUMMYFUNCTION("""COMPUTED_VALUE"""),46032.3888888888)</f>
        <v>46032.388888888803</v>
      </c>
      <c r="BH3796" s="17" t="s">
        <v>105</v>
      </c>
      <c r="BI3796" s="17"/>
      <c r="BJ3796" s="15"/>
      <c r="BK3796" s="15"/>
      <c r="BL3796" s="13" t="b">
        <v>0</v>
      </c>
      <c r="BM3796" s="10"/>
      <c r="BN3796" s="10" t="s">
        <v>667</v>
      </c>
      <c r="BO3796" s="11">
        <v>46030.595833333333</v>
      </c>
      <c r="BP3796" s="11">
        <v>46030.59642361111</v>
      </c>
      <c r="BQ3796" s="15"/>
      <c r="BR3796" s="15">
        <v>46031.066180555557</v>
      </c>
      <c r="BS3796" s="10" t="s">
        <v>667</v>
      </c>
      <c r="BT3796" s="10"/>
      <c r="BU3796" s="10"/>
      <c r="BV3796" s="10"/>
      <c r="BW3796" s="10"/>
      <c r="BX3796" s="10"/>
      <c r="BY3796" s="23"/>
      <c r="BZ3796" s="23"/>
      <c r="CA3796" s="19" t="s">
        <v>25774</v>
      </c>
      <c r="CB3796" s="23"/>
      <c r="CC3796" s="23"/>
      <c r="CD3796" s="23"/>
      <c r="CE3796" s="23"/>
      <c r="CF3796" s="23"/>
      <c r="CG3796" s="23"/>
      <c r="CH3796" s="23"/>
      <c r="CI3796" s="23"/>
    </row>
    <row r="3797" spans="1:87" x14ac:dyDescent="0.3">
      <c r="A3797" s="9" t="s">
        <v>25907</v>
      </c>
      <c r="B3797" s="10" t="s">
        <v>25908</v>
      </c>
      <c r="C3797" s="11">
        <v>46032.340277777781</v>
      </c>
      <c r="D3797" s="12">
        <v>4.8611111111111112E-2</v>
      </c>
      <c r="E3797" s="11">
        <v>46032.388888888891</v>
      </c>
      <c r="F3797" s="22" t="s">
        <v>25766</v>
      </c>
      <c r="G3797" s="13" t="b">
        <v>0</v>
      </c>
      <c r="H3797" s="22" t="s">
        <v>25767</v>
      </c>
      <c r="I3797" s="10" t="s">
        <v>212</v>
      </c>
      <c r="J3797" s="13" t="b">
        <v>1</v>
      </c>
      <c r="K3797" s="13" t="b">
        <v>0</v>
      </c>
      <c r="L3797" s="10" t="s">
        <v>124</v>
      </c>
      <c r="M3797" s="10" t="s">
        <v>91</v>
      </c>
      <c r="N3797" s="10" t="s">
        <v>92</v>
      </c>
      <c r="O3797" s="19" t="s">
        <v>25909</v>
      </c>
      <c r="P3797" s="10"/>
      <c r="Q3797" s="10" t="s">
        <v>94</v>
      </c>
      <c r="R3797" s="10"/>
      <c r="S3797" s="19" t="s">
        <v>25769</v>
      </c>
      <c r="T3797" s="10"/>
      <c r="U3797" s="10"/>
      <c r="V3797" s="10"/>
      <c r="W3797" s="10" t="s">
        <v>25770</v>
      </c>
      <c r="X3797" s="10" t="s">
        <v>130</v>
      </c>
      <c r="Y3797" s="10" t="s">
        <v>130</v>
      </c>
      <c r="Z3797" s="10" t="s">
        <v>99</v>
      </c>
      <c r="AA3797" s="10" t="s">
        <v>131</v>
      </c>
      <c r="AB3797" s="10" t="s">
        <v>25771</v>
      </c>
      <c r="AC3797" s="10" t="s">
        <v>25772</v>
      </c>
      <c r="AD3797" s="10" t="s">
        <v>165</v>
      </c>
      <c r="AE3797" s="10" t="s">
        <v>25910</v>
      </c>
      <c r="AF3797" s="15"/>
      <c r="AG3797" s="10"/>
      <c r="AH3797" s="10"/>
      <c r="AI3797" s="10"/>
      <c r="AJ3797" s="10"/>
      <c r="AK3797" s="10" t="s">
        <v>102</v>
      </c>
      <c r="AL3797" s="10"/>
      <c r="AM3797" s="10"/>
      <c r="AN3797" s="10"/>
      <c r="AO3797" s="13" t="b">
        <v>0</v>
      </c>
      <c r="AP3797" s="22" t="s">
        <v>104</v>
      </c>
      <c r="AQ3797" s="10">
        <f ca="1">IFERROR(__xludf.DUMMYFUNCTION("""COMPUTED_VALUE"""),4833836)</f>
        <v>4833836</v>
      </c>
      <c r="AR3797" s="17">
        <v>449</v>
      </c>
      <c r="AS3797" s="17">
        <v>335</v>
      </c>
      <c r="AT3797" s="17">
        <v>4194.75</v>
      </c>
      <c r="AU3797" s="17">
        <v>0</v>
      </c>
      <c r="AV3797" s="17">
        <v>0</v>
      </c>
      <c r="AW3797" s="10" t="s">
        <v>105</v>
      </c>
      <c r="AX3797" s="17">
        <v>120</v>
      </c>
      <c r="AY3797" s="18">
        <v>12.521641791044775</v>
      </c>
      <c r="AZ3797" s="10"/>
      <c r="BA3797" s="20" t="b">
        <v>0</v>
      </c>
      <c r="BB3797" s="10" t="s">
        <v>25791</v>
      </c>
      <c r="BC3797" s="17">
        <v>449</v>
      </c>
      <c r="BD3797" s="17">
        <v>335</v>
      </c>
      <c r="BE3797" s="17">
        <v>4194.75</v>
      </c>
      <c r="BF3797" s="17">
        <v>0</v>
      </c>
      <c r="BG3797" s="11">
        <f ca="1">IFERROR(__xludf.DUMMYFUNCTION("""COMPUTED_VALUE"""),46032.3402777777)</f>
        <v>46032.340277777701</v>
      </c>
      <c r="BH3797" s="17" t="s">
        <v>105</v>
      </c>
      <c r="BI3797" s="17"/>
      <c r="BJ3797" s="15"/>
      <c r="BK3797" s="15"/>
      <c r="BL3797" s="13" t="b">
        <v>0</v>
      </c>
      <c r="BM3797" s="10"/>
      <c r="BN3797" s="10" t="s">
        <v>920</v>
      </c>
      <c r="BO3797" s="11">
        <v>46030.595138888886</v>
      </c>
      <c r="BP3797" s="11">
        <v>46030.595439814817</v>
      </c>
      <c r="BQ3797" s="15"/>
      <c r="BR3797" s="15">
        <v>46031.056828703702</v>
      </c>
      <c r="BS3797" s="10" t="s">
        <v>920</v>
      </c>
      <c r="BT3797" s="10"/>
      <c r="BU3797" s="10"/>
      <c r="BV3797" s="10"/>
      <c r="BW3797" s="10"/>
      <c r="BX3797" s="10"/>
      <c r="BY3797" s="23"/>
      <c r="BZ3797" s="23"/>
      <c r="CA3797" s="19" t="s">
        <v>25774</v>
      </c>
      <c r="CB3797" s="23"/>
      <c r="CC3797" s="23"/>
      <c r="CD3797" s="23"/>
      <c r="CE3797" s="23"/>
      <c r="CF3797" s="23"/>
      <c r="CG3797" s="23"/>
      <c r="CH3797" s="23"/>
      <c r="CI3797" s="23"/>
    </row>
    <row r="3798" spans="1:87" x14ac:dyDescent="0.3">
      <c r="A3798" s="9" t="s">
        <v>25911</v>
      </c>
      <c r="B3798" s="10" t="s">
        <v>25912</v>
      </c>
      <c r="C3798" s="11">
        <v>46032.4375</v>
      </c>
      <c r="D3798" s="12">
        <v>4.1666666666666664E-2</v>
      </c>
      <c r="E3798" s="11">
        <v>46032.479166666664</v>
      </c>
      <c r="F3798" s="22" t="s">
        <v>25766</v>
      </c>
      <c r="G3798" s="13" t="b">
        <v>0</v>
      </c>
      <c r="H3798" s="22" t="s">
        <v>25767</v>
      </c>
      <c r="I3798" s="10" t="s">
        <v>212</v>
      </c>
      <c r="J3798" s="13" t="b">
        <v>1</v>
      </c>
      <c r="K3798" s="13" t="b">
        <v>0</v>
      </c>
      <c r="L3798" s="10" t="s">
        <v>124</v>
      </c>
      <c r="M3798" s="10" t="s">
        <v>91</v>
      </c>
      <c r="N3798" s="10" t="s">
        <v>92</v>
      </c>
      <c r="O3798" s="19" t="s">
        <v>25913</v>
      </c>
      <c r="P3798" s="10"/>
      <c r="Q3798" s="10" t="s">
        <v>94</v>
      </c>
      <c r="R3798" s="10"/>
      <c r="S3798" s="19" t="s">
        <v>25769</v>
      </c>
      <c r="T3798" s="10"/>
      <c r="U3798" s="10"/>
      <c r="V3798" s="10"/>
      <c r="W3798" s="10" t="s">
        <v>25770</v>
      </c>
      <c r="X3798" s="10" t="s">
        <v>130</v>
      </c>
      <c r="Y3798" s="10" t="s">
        <v>130</v>
      </c>
      <c r="Z3798" s="10" t="s">
        <v>99</v>
      </c>
      <c r="AA3798" s="10" t="s">
        <v>131</v>
      </c>
      <c r="AB3798" s="10" t="s">
        <v>25771</v>
      </c>
      <c r="AC3798" s="10" t="s">
        <v>25772</v>
      </c>
      <c r="AD3798" s="10" t="s">
        <v>165</v>
      </c>
      <c r="AE3798" s="10" t="s">
        <v>25914</v>
      </c>
      <c r="AF3798" s="15"/>
      <c r="AG3798" s="10"/>
      <c r="AH3798" s="10"/>
      <c r="AI3798" s="10"/>
      <c r="AJ3798" s="10"/>
      <c r="AK3798" s="10" t="s">
        <v>102</v>
      </c>
      <c r="AL3798" s="10"/>
      <c r="AM3798" s="10"/>
      <c r="AN3798" s="10"/>
      <c r="AO3798" s="13" t="b">
        <v>0</v>
      </c>
      <c r="AP3798" s="22" t="s">
        <v>104</v>
      </c>
      <c r="AQ3798" s="10">
        <f ca="1">IFERROR(__xludf.DUMMYFUNCTION("""COMPUTED_VALUE"""),4833857)</f>
        <v>4833857</v>
      </c>
      <c r="AR3798" s="17">
        <v>445</v>
      </c>
      <c r="AS3798" s="17">
        <v>243</v>
      </c>
      <c r="AT3798" s="17">
        <v>3354.5</v>
      </c>
      <c r="AU3798" s="17">
        <v>0</v>
      </c>
      <c r="AV3798" s="17">
        <v>0</v>
      </c>
      <c r="AW3798" s="10" t="s">
        <v>105</v>
      </c>
      <c r="AX3798" s="17">
        <v>124</v>
      </c>
      <c r="AY3798" s="18">
        <v>13.804526748971194</v>
      </c>
      <c r="AZ3798" s="10"/>
      <c r="BA3798" s="20" t="b">
        <v>0</v>
      </c>
      <c r="BB3798" s="10" t="s">
        <v>25787</v>
      </c>
      <c r="BC3798" s="17">
        <v>445</v>
      </c>
      <c r="BD3798" s="17">
        <v>243</v>
      </c>
      <c r="BE3798" s="17">
        <v>3354.5</v>
      </c>
      <c r="BF3798" s="17">
        <v>0</v>
      </c>
      <c r="BG3798" s="11">
        <f ca="1">IFERROR(__xludf.DUMMYFUNCTION("""COMPUTED_VALUE"""),46032.4375)</f>
        <v>46032.4375</v>
      </c>
      <c r="BH3798" s="17" t="s">
        <v>105</v>
      </c>
      <c r="BI3798" s="17"/>
      <c r="BJ3798" s="15"/>
      <c r="BK3798" s="15"/>
      <c r="BL3798" s="13" t="b">
        <v>0</v>
      </c>
      <c r="BM3798" s="10"/>
      <c r="BN3798" s="10" t="s">
        <v>667</v>
      </c>
      <c r="BO3798" s="11">
        <v>46030.59652777778</v>
      </c>
      <c r="BP3798" s="11">
        <v>46030.596678240741</v>
      </c>
      <c r="BQ3798" s="15"/>
      <c r="BR3798" s="15">
        <v>46031.066296296296</v>
      </c>
      <c r="BS3798" s="10" t="s">
        <v>667</v>
      </c>
      <c r="BT3798" s="10"/>
      <c r="BU3798" s="10"/>
      <c r="BV3798" s="10"/>
      <c r="BW3798" s="10"/>
      <c r="BX3798" s="10"/>
      <c r="BY3798" s="23"/>
      <c r="BZ3798" s="23"/>
      <c r="CA3798" s="19" t="s">
        <v>25774</v>
      </c>
      <c r="CB3798" s="23"/>
      <c r="CC3798" s="23"/>
      <c r="CD3798" s="23"/>
      <c r="CE3798" s="23"/>
      <c r="CF3798" s="23"/>
      <c r="CG3798" s="23"/>
      <c r="CH3798" s="23"/>
      <c r="CI3798" s="23"/>
    </row>
    <row r="3799" spans="1:87" x14ac:dyDescent="0.3">
      <c r="A3799" s="9" t="s">
        <v>25915</v>
      </c>
      <c r="B3799" s="10" t="s">
        <v>25916</v>
      </c>
      <c r="C3799" s="11">
        <v>46032.388888888891</v>
      </c>
      <c r="D3799" s="12">
        <v>4.8611111111111112E-2</v>
      </c>
      <c r="E3799" s="11">
        <v>46032.4375</v>
      </c>
      <c r="F3799" s="22" t="s">
        <v>25766</v>
      </c>
      <c r="G3799" s="13" t="b">
        <v>0</v>
      </c>
      <c r="H3799" s="22" t="s">
        <v>25767</v>
      </c>
      <c r="I3799" s="10" t="s">
        <v>212</v>
      </c>
      <c r="J3799" s="13" t="b">
        <v>1</v>
      </c>
      <c r="K3799" s="13" t="b">
        <v>0</v>
      </c>
      <c r="L3799" s="10" t="s">
        <v>124</v>
      </c>
      <c r="M3799" s="10" t="s">
        <v>91</v>
      </c>
      <c r="N3799" s="10" t="s">
        <v>92</v>
      </c>
      <c r="O3799" s="19" t="s">
        <v>25917</v>
      </c>
      <c r="P3799" s="10"/>
      <c r="Q3799" s="10" t="s">
        <v>94</v>
      </c>
      <c r="R3799" s="10"/>
      <c r="S3799" s="19" t="s">
        <v>25769</v>
      </c>
      <c r="T3799" s="10"/>
      <c r="U3799" s="10"/>
      <c r="V3799" s="10"/>
      <c r="W3799" s="10" t="s">
        <v>25770</v>
      </c>
      <c r="X3799" s="10" t="s">
        <v>130</v>
      </c>
      <c r="Y3799" s="10" t="s">
        <v>130</v>
      </c>
      <c r="Z3799" s="10" t="s">
        <v>99</v>
      </c>
      <c r="AA3799" s="10" t="s">
        <v>131</v>
      </c>
      <c r="AB3799" s="10" t="s">
        <v>25771</v>
      </c>
      <c r="AC3799" s="10" t="s">
        <v>25772</v>
      </c>
      <c r="AD3799" s="10" t="s">
        <v>165</v>
      </c>
      <c r="AE3799" s="10" t="s">
        <v>25918</v>
      </c>
      <c r="AF3799" s="15"/>
      <c r="AG3799" s="10"/>
      <c r="AH3799" s="10"/>
      <c r="AI3799" s="10"/>
      <c r="AJ3799" s="10"/>
      <c r="AK3799" s="10" t="s">
        <v>102</v>
      </c>
      <c r="AL3799" s="10"/>
      <c r="AM3799" s="10"/>
      <c r="AN3799" s="10"/>
      <c r="AO3799" s="13" t="b">
        <v>0</v>
      </c>
      <c r="AP3799" s="22" t="s">
        <v>104</v>
      </c>
      <c r="AQ3799" s="10">
        <f ca="1">IFERROR(__xludf.DUMMYFUNCTION("""COMPUTED_VALUE"""),4833837)</f>
        <v>4833837</v>
      </c>
      <c r="AR3799" s="17">
        <v>440</v>
      </c>
      <c r="AS3799" s="17">
        <v>291</v>
      </c>
      <c r="AT3799" s="17">
        <v>4598.5</v>
      </c>
      <c r="AU3799" s="17">
        <v>0</v>
      </c>
      <c r="AV3799" s="17">
        <v>0</v>
      </c>
      <c r="AW3799" s="10" t="s">
        <v>105</v>
      </c>
      <c r="AX3799" s="17">
        <v>119</v>
      </c>
      <c r="AY3799" s="18">
        <v>15.802405498281788</v>
      </c>
      <c r="AZ3799" s="10"/>
      <c r="BA3799" s="20" t="b">
        <v>0</v>
      </c>
      <c r="BB3799" s="10" t="s">
        <v>25791</v>
      </c>
      <c r="BC3799" s="17">
        <v>440</v>
      </c>
      <c r="BD3799" s="17">
        <v>291</v>
      </c>
      <c r="BE3799" s="17">
        <v>4598.5</v>
      </c>
      <c r="BF3799" s="17">
        <v>0</v>
      </c>
      <c r="BG3799" s="11">
        <f ca="1">IFERROR(__xludf.DUMMYFUNCTION("""COMPUTED_VALUE"""),46032.3888888888)</f>
        <v>46032.388888888803</v>
      </c>
      <c r="BH3799" s="17" t="s">
        <v>105</v>
      </c>
      <c r="BI3799" s="17"/>
      <c r="BJ3799" s="15"/>
      <c r="BK3799" s="15"/>
      <c r="BL3799" s="13" t="b">
        <v>0</v>
      </c>
      <c r="BM3799" s="10"/>
      <c r="BN3799" s="10" t="s">
        <v>920</v>
      </c>
      <c r="BO3799" s="11">
        <v>46030.595138888886</v>
      </c>
      <c r="BP3799" s="11">
        <v>46030.595567129632</v>
      </c>
      <c r="BQ3799" s="15"/>
      <c r="BR3799" s="15">
        <v>46031.056909722225</v>
      </c>
      <c r="BS3799" s="10" t="s">
        <v>920</v>
      </c>
      <c r="BT3799" s="10"/>
      <c r="BU3799" s="10"/>
      <c r="BV3799" s="10"/>
      <c r="BW3799" s="10"/>
      <c r="BX3799" s="10"/>
      <c r="BY3799" s="23"/>
      <c r="BZ3799" s="23"/>
      <c r="CA3799" s="19" t="s">
        <v>25774</v>
      </c>
      <c r="CB3799" s="23"/>
      <c r="CC3799" s="23"/>
      <c r="CD3799" s="23"/>
      <c r="CE3799" s="23"/>
      <c r="CF3799" s="23"/>
      <c r="CG3799" s="23"/>
      <c r="CH3799" s="23"/>
      <c r="CI3799" s="23"/>
    </row>
    <row r="3800" spans="1:87" x14ac:dyDescent="0.3">
      <c r="A3800" s="9" t="s">
        <v>25919</v>
      </c>
      <c r="B3800" s="10" t="s">
        <v>25920</v>
      </c>
      <c r="C3800" s="11">
        <v>46032.486111111109</v>
      </c>
      <c r="D3800" s="12">
        <v>4.1666666666666664E-2</v>
      </c>
      <c r="E3800" s="11">
        <v>46032.527777777781</v>
      </c>
      <c r="F3800" s="22" t="s">
        <v>25766</v>
      </c>
      <c r="G3800" s="13" t="b">
        <v>0</v>
      </c>
      <c r="H3800" s="22" t="s">
        <v>25767</v>
      </c>
      <c r="I3800" s="10" t="s">
        <v>212</v>
      </c>
      <c r="J3800" s="13" t="b">
        <v>1</v>
      </c>
      <c r="K3800" s="13" t="b">
        <v>0</v>
      </c>
      <c r="L3800" s="10" t="s">
        <v>124</v>
      </c>
      <c r="M3800" s="10" t="s">
        <v>91</v>
      </c>
      <c r="N3800" s="10" t="s">
        <v>92</v>
      </c>
      <c r="O3800" s="19" t="s">
        <v>25921</v>
      </c>
      <c r="P3800" s="10"/>
      <c r="Q3800" s="10" t="s">
        <v>94</v>
      </c>
      <c r="R3800" s="10"/>
      <c r="S3800" s="19" t="s">
        <v>25769</v>
      </c>
      <c r="T3800" s="10"/>
      <c r="U3800" s="10"/>
      <c r="V3800" s="10"/>
      <c r="W3800" s="10" t="s">
        <v>25770</v>
      </c>
      <c r="X3800" s="10" t="s">
        <v>130</v>
      </c>
      <c r="Y3800" s="10" t="s">
        <v>130</v>
      </c>
      <c r="Z3800" s="10" t="s">
        <v>99</v>
      </c>
      <c r="AA3800" s="10" t="s">
        <v>131</v>
      </c>
      <c r="AB3800" s="10" t="s">
        <v>25771</v>
      </c>
      <c r="AC3800" s="10" t="s">
        <v>25772</v>
      </c>
      <c r="AD3800" s="10" t="s">
        <v>165</v>
      </c>
      <c r="AE3800" s="10" t="s">
        <v>25922</v>
      </c>
      <c r="AF3800" s="15"/>
      <c r="AG3800" s="10"/>
      <c r="AH3800" s="10"/>
      <c r="AI3800" s="10"/>
      <c r="AJ3800" s="10"/>
      <c r="AK3800" s="10" t="s">
        <v>102</v>
      </c>
      <c r="AL3800" s="10"/>
      <c r="AM3800" s="10"/>
      <c r="AN3800" s="10"/>
      <c r="AO3800" s="13" t="b">
        <v>0</v>
      </c>
      <c r="AP3800" s="22" t="s">
        <v>104</v>
      </c>
      <c r="AQ3800" s="10">
        <f ca="1">IFERROR(__xludf.DUMMYFUNCTION("""COMPUTED_VALUE"""),4833856)</f>
        <v>4833856</v>
      </c>
      <c r="AR3800" s="17">
        <v>281</v>
      </c>
      <c r="AS3800" s="17">
        <v>154</v>
      </c>
      <c r="AT3800" s="17">
        <v>1656.75</v>
      </c>
      <c r="AU3800" s="17">
        <v>0</v>
      </c>
      <c r="AV3800" s="17">
        <v>0</v>
      </c>
      <c r="AW3800" s="10" t="s">
        <v>105</v>
      </c>
      <c r="AX3800" s="17">
        <v>81</v>
      </c>
      <c r="AY3800" s="18">
        <v>10.758116883116884</v>
      </c>
      <c r="AZ3800" s="10"/>
      <c r="BA3800" s="20" t="b">
        <v>0</v>
      </c>
      <c r="BB3800" s="10" t="s">
        <v>25787</v>
      </c>
      <c r="BC3800" s="17">
        <v>281</v>
      </c>
      <c r="BD3800" s="17">
        <v>154</v>
      </c>
      <c r="BE3800" s="17">
        <v>1656.75</v>
      </c>
      <c r="BF3800" s="17">
        <v>0</v>
      </c>
      <c r="BG3800" s="11">
        <f ca="1">IFERROR(__xludf.DUMMYFUNCTION("""COMPUTED_VALUE"""),46032.4861111111)</f>
        <v>46032.486111111102</v>
      </c>
      <c r="BH3800" s="17" t="s">
        <v>105</v>
      </c>
      <c r="BI3800" s="17"/>
      <c r="BJ3800" s="15"/>
      <c r="BK3800" s="15"/>
      <c r="BL3800" s="13" t="b">
        <v>0</v>
      </c>
      <c r="BM3800" s="10"/>
      <c r="BN3800" s="10" t="s">
        <v>667</v>
      </c>
      <c r="BO3800" s="11">
        <v>46030.59652777778</v>
      </c>
      <c r="BP3800" s="11">
        <v>46030.596886574072</v>
      </c>
      <c r="BQ3800" s="15"/>
      <c r="BR3800" s="15">
        <v>46031.066423611112</v>
      </c>
      <c r="BS3800" s="10" t="s">
        <v>667</v>
      </c>
      <c r="BT3800" s="10"/>
      <c r="BU3800" s="10"/>
      <c r="BV3800" s="10"/>
      <c r="BW3800" s="10"/>
      <c r="BX3800" s="10"/>
      <c r="BY3800" s="23"/>
      <c r="BZ3800" s="23"/>
      <c r="CA3800" s="19" t="s">
        <v>25774</v>
      </c>
      <c r="CB3800" s="23"/>
      <c r="CC3800" s="23"/>
      <c r="CD3800" s="23"/>
      <c r="CE3800" s="23"/>
      <c r="CF3800" s="23"/>
      <c r="CG3800" s="23"/>
      <c r="CH3800" s="23"/>
      <c r="CI3800" s="23"/>
    </row>
    <row r="3801" spans="1:87" x14ac:dyDescent="0.3">
      <c r="A3801" s="9" t="s">
        <v>25923</v>
      </c>
      <c r="B3801" s="10" t="s">
        <v>25924</v>
      </c>
      <c r="C3801" s="11">
        <v>46032.534722222219</v>
      </c>
      <c r="D3801" s="12">
        <v>4.1666666666666664E-2</v>
      </c>
      <c r="E3801" s="11">
        <v>46032.576388888891</v>
      </c>
      <c r="F3801" s="22" t="s">
        <v>25766</v>
      </c>
      <c r="G3801" s="13" t="b">
        <v>0</v>
      </c>
      <c r="H3801" s="22" t="s">
        <v>25767</v>
      </c>
      <c r="I3801" s="10" t="s">
        <v>212</v>
      </c>
      <c r="J3801" s="13" t="b">
        <v>1</v>
      </c>
      <c r="K3801" s="13" t="b">
        <v>0</v>
      </c>
      <c r="L3801" s="10" t="s">
        <v>124</v>
      </c>
      <c r="M3801" s="10" t="s">
        <v>91</v>
      </c>
      <c r="N3801" s="10" t="s">
        <v>92</v>
      </c>
      <c r="O3801" s="19" t="s">
        <v>25925</v>
      </c>
      <c r="P3801" s="10"/>
      <c r="Q3801" s="10" t="s">
        <v>94</v>
      </c>
      <c r="R3801" s="10"/>
      <c r="S3801" s="19" t="s">
        <v>25769</v>
      </c>
      <c r="T3801" s="10"/>
      <c r="U3801" s="10"/>
      <c r="V3801" s="10"/>
      <c r="W3801" s="10" t="s">
        <v>25770</v>
      </c>
      <c r="X3801" s="10" t="s">
        <v>130</v>
      </c>
      <c r="Y3801" s="10" t="s">
        <v>130</v>
      </c>
      <c r="Z3801" s="10" t="s">
        <v>99</v>
      </c>
      <c r="AA3801" s="10" t="s">
        <v>131</v>
      </c>
      <c r="AB3801" s="10" t="s">
        <v>25771</v>
      </c>
      <c r="AC3801" s="10" t="s">
        <v>25772</v>
      </c>
      <c r="AD3801" s="10" t="s">
        <v>165</v>
      </c>
      <c r="AE3801" s="10" t="s">
        <v>25926</v>
      </c>
      <c r="AF3801" s="15"/>
      <c r="AG3801" s="10"/>
      <c r="AH3801" s="10"/>
      <c r="AI3801" s="10"/>
      <c r="AJ3801" s="10"/>
      <c r="AK3801" s="10" t="s">
        <v>102</v>
      </c>
      <c r="AL3801" s="10"/>
      <c r="AM3801" s="10"/>
      <c r="AN3801" s="10"/>
      <c r="AO3801" s="13" t="b">
        <v>0</v>
      </c>
      <c r="AP3801" s="22" t="s">
        <v>104</v>
      </c>
      <c r="AQ3801" s="10">
        <f ca="1">IFERROR(__xludf.DUMMYFUNCTION("""COMPUTED_VALUE"""),4833854)</f>
        <v>4833854</v>
      </c>
      <c r="AR3801" s="17">
        <v>284</v>
      </c>
      <c r="AS3801" s="17">
        <v>169</v>
      </c>
      <c r="AT3801" s="17">
        <v>2245.25</v>
      </c>
      <c r="AU3801" s="17">
        <v>0</v>
      </c>
      <c r="AV3801" s="17">
        <v>0</v>
      </c>
      <c r="AW3801" s="10" t="s">
        <v>105</v>
      </c>
      <c r="AX3801" s="17">
        <v>81</v>
      </c>
      <c r="AY3801" s="18">
        <v>13.285502958579881</v>
      </c>
      <c r="AZ3801" s="10"/>
      <c r="BA3801" s="20" t="b">
        <v>0</v>
      </c>
      <c r="BB3801" s="10" t="s">
        <v>25787</v>
      </c>
      <c r="BC3801" s="17">
        <v>284</v>
      </c>
      <c r="BD3801" s="17">
        <v>169</v>
      </c>
      <c r="BE3801" s="17">
        <v>2245.25</v>
      </c>
      <c r="BF3801" s="17">
        <v>0</v>
      </c>
      <c r="BG3801" s="11">
        <f ca="1">IFERROR(__xludf.DUMMYFUNCTION("""COMPUTED_VALUE"""),46032.5347222222)</f>
        <v>46032.534722222197</v>
      </c>
      <c r="BH3801" s="17" t="s">
        <v>105</v>
      </c>
      <c r="BI3801" s="17"/>
      <c r="BJ3801" s="15"/>
      <c r="BK3801" s="15"/>
      <c r="BL3801" s="13" t="b">
        <v>0</v>
      </c>
      <c r="BM3801" s="10"/>
      <c r="BN3801" s="10" t="s">
        <v>667</v>
      </c>
      <c r="BO3801" s="11">
        <v>46030.59652777778</v>
      </c>
      <c r="BP3801" s="11">
        <v>46030.597071759257</v>
      </c>
      <c r="BQ3801" s="15"/>
      <c r="BR3801" s="15">
        <v>46031.066562499997</v>
      </c>
      <c r="BS3801" s="10" t="s">
        <v>667</v>
      </c>
      <c r="BT3801" s="10"/>
      <c r="BU3801" s="10"/>
      <c r="BV3801" s="10"/>
      <c r="BW3801" s="10"/>
      <c r="BX3801" s="10"/>
      <c r="BY3801" s="23"/>
      <c r="BZ3801" s="23"/>
      <c r="CA3801" s="19" t="s">
        <v>25774</v>
      </c>
      <c r="CB3801" s="23"/>
      <c r="CC3801" s="23"/>
      <c r="CD3801" s="23"/>
      <c r="CE3801" s="23"/>
      <c r="CF3801" s="23"/>
      <c r="CG3801" s="23"/>
      <c r="CH3801" s="23"/>
      <c r="CI3801" s="23"/>
    </row>
    <row r="3802" spans="1:87" x14ac:dyDescent="0.3">
      <c r="A3802" s="9" t="s">
        <v>25927</v>
      </c>
      <c r="B3802" s="10" t="s">
        <v>25928</v>
      </c>
      <c r="C3802" s="11">
        <v>46032.4375</v>
      </c>
      <c r="D3802" s="12">
        <v>4.8611111111111112E-2</v>
      </c>
      <c r="E3802" s="11">
        <v>46032.486111111109</v>
      </c>
      <c r="F3802" s="22" t="s">
        <v>25766</v>
      </c>
      <c r="G3802" s="13" t="b">
        <v>0</v>
      </c>
      <c r="H3802" s="22" t="s">
        <v>25767</v>
      </c>
      <c r="I3802" s="10" t="s">
        <v>212</v>
      </c>
      <c r="J3802" s="13" t="b">
        <v>1</v>
      </c>
      <c r="K3802" s="13" t="b">
        <v>0</v>
      </c>
      <c r="L3802" s="10" t="s">
        <v>124</v>
      </c>
      <c r="M3802" s="10" t="s">
        <v>91</v>
      </c>
      <c r="N3802" s="10" t="s">
        <v>92</v>
      </c>
      <c r="O3802" s="19" t="s">
        <v>25929</v>
      </c>
      <c r="P3802" s="10"/>
      <c r="Q3802" s="10" t="s">
        <v>94</v>
      </c>
      <c r="R3802" s="10"/>
      <c r="S3802" s="19" t="s">
        <v>25769</v>
      </c>
      <c r="T3802" s="10"/>
      <c r="U3802" s="10"/>
      <c r="V3802" s="10"/>
      <c r="W3802" s="10" t="s">
        <v>25770</v>
      </c>
      <c r="X3802" s="10" t="s">
        <v>130</v>
      </c>
      <c r="Y3802" s="10" t="s">
        <v>130</v>
      </c>
      <c r="Z3802" s="10" t="s">
        <v>99</v>
      </c>
      <c r="AA3802" s="10" t="s">
        <v>131</v>
      </c>
      <c r="AB3802" s="10" t="s">
        <v>25771</v>
      </c>
      <c r="AC3802" s="10" t="s">
        <v>25772</v>
      </c>
      <c r="AD3802" s="10" t="s">
        <v>165</v>
      </c>
      <c r="AE3802" s="10" t="s">
        <v>25930</v>
      </c>
      <c r="AF3802" s="15"/>
      <c r="AG3802" s="10"/>
      <c r="AH3802" s="10"/>
      <c r="AI3802" s="10"/>
      <c r="AJ3802" s="10"/>
      <c r="AK3802" s="10" t="s">
        <v>102</v>
      </c>
      <c r="AL3802" s="10"/>
      <c r="AM3802" s="10"/>
      <c r="AN3802" s="10"/>
      <c r="AO3802" s="13" t="b">
        <v>0</v>
      </c>
      <c r="AP3802" s="22" t="s">
        <v>104</v>
      </c>
      <c r="AQ3802" s="10">
        <f ca="1">IFERROR(__xludf.DUMMYFUNCTION("""COMPUTED_VALUE"""),4833838)</f>
        <v>4833838</v>
      </c>
      <c r="AR3802" s="17">
        <v>358</v>
      </c>
      <c r="AS3802" s="17">
        <v>242</v>
      </c>
      <c r="AT3802" s="17">
        <v>2127.75</v>
      </c>
      <c r="AU3802" s="17">
        <v>0</v>
      </c>
      <c r="AV3802" s="17">
        <v>0</v>
      </c>
      <c r="AW3802" s="10" t="s">
        <v>105</v>
      </c>
      <c r="AX3802" s="17">
        <v>119</v>
      </c>
      <c r="AY3802" s="18">
        <v>8.7923553719008272</v>
      </c>
      <c r="AZ3802" s="10"/>
      <c r="BA3802" s="20" t="b">
        <v>0</v>
      </c>
      <c r="BB3802" s="10" t="s">
        <v>25791</v>
      </c>
      <c r="BC3802" s="17">
        <v>358</v>
      </c>
      <c r="BD3802" s="17">
        <v>242</v>
      </c>
      <c r="BE3802" s="17">
        <v>2127.75</v>
      </c>
      <c r="BF3802" s="17">
        <v>0</v>
      </c>
      <c r="BG3802" s="11">
        <f ca="1">IFERROR(__xludf.DUMMYFUNCTION("""COMPUTED_VALUE"""),46032.4375)</f>
        <v>46032.4375</v>
      </c>
      <c r="BH3802" s="17" t="s">
        <v>105</v>
      </c>
      <c r="BI3802" s="17"/>
      <c r="BJ3802" s="15"/>
      <c r="BK3802" s="15"/>
      <c r="BL3802" s="13" t="b">
        <v>0</v>
      </c>
      <c r="BM3802" s="10"/>
      <c r="BN3802" s="10" t="s">
        <v>920</v>
      </c>
      <c r="BO3802" s="11">
        <v>46030.595138888886</v>
      </c>
      <c r="BP3802" s="11">
        <v>46030.595671296294</v>
      </c>
      <c r="BQ3802" s="15"/>
      <c r="BR3802" s="15">
        <v>46031.057037037041</v>
      </c>
      <c r="BS3802" s="10" t="s">
        <v>920</v>
      </c>
      <c r="BT3802" s="10"/>
      <c r="BU3802" s="10"/>
      <c r="BV3802" s="10"/>
      <c r="BW3802" s="10"/>
      <c r="BX3802" s="10"/>
      <c r="BY3802" s="23"/>
      <c r="BZ3802" s="23"/>
      <c r="CA3802" s="19" t="s">
        <v>25774</v>
      </c>
      <c r="CB3802" s="23"/>
      <c r="CC3802" s="23"/>
      <c r="CD3802" s="23"/>
      <c r="CE3802" s="23"/>
      <c r="CF3802" s="23"/>
      <c r="CG3802" s="23"/>
      <c r="CH3802" s="23"/>
      <c r="CI3802" s="23"/>
    </row>
    <row r="3803" spans="1:87" x14ac:dyDescent="0.3">
      <c r="A3803" s="9" t="s">
        <v>25931</v>
      </c>
      <c r="B3803" s="10" t="s">
        <v>25932</v>
      </c>
      <c r="C3803" s="11">
        <v>46032.486111111109</v>
      </c>
      <c r="D3803" s="12">
        <v>4.8611111111111112E-2</v>
      </c>
      <c r="E3803" s="11">
        <v>46032.534722222219</v>
      </c>
      <c r="F3803" s="22" t="s">
        <v>25766</v>
      </c>
      <c r="G3803" s="13" t="b">
        <v>0</v>
      </c>
      <c r="H3803" s="22" t="s">
        <v>25767</v>
      </c>
      <c r="I3803" s="10" t="s">
        <v>212</v>
      </c>
      <c r="J3803" s="13" t="b">
        <v>1</v>
      </c>
      <c r="K3803" s="13" t="b">
        <v>0</v>
      </c>
      <c r="L3803" s="10" t="s">
        <v>124</v>
      </c>
      <c r="M3803" s="10" t="s">
        <v>91</v>
      </c>
      <c r="N3803" s="10" t="s">
        <v>92</v>
      </c>
      <c r="O3803" s="19" t="s">
        <v>25933</v>
      </c>
      <c r="P3803" s="10"/>
      <c r="Q3803" s="10" t="s">
        <v>94</v>
      </c>
      <c r="R3803" s="10"/>
      <c r="S3803" s="19" t="s">
        <v>25769</v>
      </c>
      <c r="T3803" s="10"/>
      <c r="U3803" s="10"/>
      <c r="V3803" s="10"/>
      <c r="W3803" s="10" t="s">
        <v>25770</v>
      </c>
      <c r="X3803" s="10" t="s">
        <v>130</v>
      </c>
      <c r="Y3803" s="10" t="s">
        <v>130</v>
      </c>
      <c r="Z3803" s="10" t="s">
        <v>99</v>
      </c>
      <c r="AA3803" s="10" t="s">
        <v>131</v>
      </c>
      <c r="AB3803" s="10" t="s">
        <v>25771</v>
      </c>
      <c r="AC3803" s="10" t="s">
        <v>25772</v>
      </c>
      <c r="AD3803" s="10" t="s">
        <v>165</v>
      </c>
      <c r="AE3803" s="10" t="s">
        <v>25934</v>
      </c>
      <c r="AF3803" s="15"/>
      <c r="AG3803" s="10"/>
      <c r="AH3803" s="10"/>
      <c r="AI3803" s="10"/>
      <c r="AJ3803" s="10"/>
      <c r="AK3803" s="10" t="s">
        <v>102</v>
      </c>
      <c r="AL3803" s="10"/>
      <c r="AM3803" s="10"/>
      <c r="AN3803" s="10"/>
      <c r="AO3803" s="13" t="b">
        <v>0</v>
      </c>
      <c r="AP3803" s="22" t="s">
        <v>104</v>
      </c>
      <c r="AQ3803" s="10">
        <f ca="1">IFERROR(__xludf.DUMMYFUNCTION("""COMPUTED_VALUE"""),4833839)</f>
        <v>4833839</v>
      </c>
      <c r="AR3803" s="17">
        <v>318</v>
      </c>
      <c r="AS3803" s="17">
        <v>209</v>
      </c>
      <c r="AT3803" s="17">
        <v>3020</v>
      </c>
      <c r="AU3803" s="17">
        <v>0</v>
      </c>
      <c r="AV3803" s="17">
        <v>0</v>
      </c>
      <c r="AW3803" s="10" t="s">
        <v>105</v>
      </c>
      <c r="AX3803" s="17">
        <v>87</v>
      </c>
      <c r="AY3803" s="18">
        <v>14.44976076555024</v>
      </c>
      <c r="AZ3803" s="10"/>
      <c r="BA3803" s="20" t="b">
        <v>0</v>
      </c>
      <c r="BB3803" s="10" t="s">
        <v>25791</v>
      </c>
      <c r="BC3803" s="17">
        <v>318</v>
      </c>
      <c r="BD3803" s="17">
        <v>209</v>
      </c>
      <c r="BE3803" s="17">
        <v>3020</v>
      </c>
      <c r="BF3803" s="17">
        <v>0</v>
      </c>
      <c r="BG3803" s="11">
        <f ca="1">IFERROR(__xludf.DUMMYFUNCTION("""COMPUTED_VALUE"""),46032.4861111111)</f>
        <v>46032.486111111102</v>
      </c>
      <c r="BH3803" s="17" t="s">
        <v>105</v>
      </c>
      <c r="BI3803" s="17"/>
      <c r="BJ3803" s="15"/>
      <c r="BK3803" s="15"/>
      <c r="BL3803" s="13" t="b">
        <v>0</v>
      </c>
      <c r="BM3803" s="10"/>
      <c r="BN3803" s="10" t="s">
        <v>920</v>
      </c>
      <c r="BO3803" s="11">
        <v>46030.595138888886</v>
      </c>
      <c r="BP3803" s="11">
        <v>46030.595775462964</v>
      </c>
      <c r="BQ3803" s="15"/>
      <c r="BR3803" s="15">
        <v>46031.057152777779</v>
      </c>
      <c r="BS3803" s="10" t="s">
        <v>920</v>
      </c>
      <c r="BT3803" s="10"/>
      <c r="BU3803" s="10"/>
      <c r="BV3803" s="10"/>
      <c r="BW3803" s="10"/>
      <c r="BX3803" s="10"/>
      <c r="BY3803" s="23"/>
      <c r="BZ3803" s="23"/>
      <c r="CA3803" s="19" t="s">
        <v>25774</v>
      </c>
      <c r="CB3803" s="23"/>
      <c r="CC3803" s="23"/>
      <c r="CD3803" s="23"/>
      <c r="CE3803" s="23"/>
      <c r="CF3803" s="23"/>
      <c r="CG3803" s="23"/>
      <c r="CH3803" s="23"/>
      <c r="CI3803" s="23"/>
    </row>
    <row r="3804" spans="1:87" x14ac:dyDescent="0.3">
      <c r="A3804" s="9" t="s">
        <v>25935</v>
      </c>
      <c r="B3804" s="10" t="s">
        <v>25936</v>
      </c>
      <c r="C3804" s="11">
        <v>46032.291666666664</v>
      </c>
      <c r="D3804" s="12">
        <v>4.1666666666666664E-2</v>
      </c>
      <c r="E3804" s="11">
        <v>46032.333333333336</v>
      </c>
      <c r="F3804" s="22" t="s">
        <v>25766</v>
      </c>
      <c r="G3804" s="13" t="b">
        <v>0</v>
      </c>
      <c r="H3804" s="22" t="s">
        <v>25767</v>
      </c>
      <c r="I3804" s="10" t="s">
        <v>212</v>
      </c>
      <c r="J3804" s="13" t="b">
        <v>1</v>
      </c>
      <c r="K3804" s="13" t="b">
        <v>0</v>
      </c>
      <c r="L3804" s="10" t="s">
        <v>124</v>
      </c>
      <c r="M3804" s="10" t="s">
        <v>91</v>
      </c>
      <c r="N3804" s="10" t="s">
        <v>92</v>
      </c>
      <c r="O3804" s="19" t="s">
        <v>25937</v>
      </c>
      <c r="P3804" s="10"/>
      <c r="Q3804" s="10" t="s">
        <v>94</v>
      </c>
      <c r="R3804" s="10"/>
      <c r="S3804" s="19" t="s">
        <v>25769</v>
      </c>
      <c r="T3804" s="10"/>
      <c r="U3804" s="10"/>
      <c r="V3804" s="10"/>
      <c r="W3804" s="10" t="s">
        <v>25770</v>
      </c>
      <c r="X3804" s="10" t="s">
        <v>130</v>
      </c>
      <c r="Y3804" s="10" t="s">
        <v>130</v>
      </c>
      <c r="Z3804" s="10" t="s">
        <v>99</v>
      </c>
      <c r="AA3804" s="10" t="s">
        <v>131</v>
      </c>
      <c r="AB3804" s="10" t="s">
        <v>25771</v>
      </c>
      <c r="AC3804" s="10" t="s">
        <v>25772</v>
      </c>
      <c r="AD3804" s="10" t="s">
        <v>165</v>
      </c>
      <c r="AE3804" s="10" t="s">
        <v>25938</v>
      </c>
      <c r="AF3804" s="15"/>
      <c r="AG3804" s="10"/>
      <c r="AH3804" s="10"/>
      <c r="AI3804" s="10"/>
      <c r="AJ3804" s="10"/>
      <c r="AK3804" s="10" t="s">
        <v>102</v>
      </c>
      <c r="AL3804" s="10"/>
      <c r="AM3804" s="10"/>
      <c r="AN3804" s="10"/>
      <c r="AO3804" s="13" t="b">
        <v>0</v>
      </c>
      <c r="AP3804" s="22" t="s">
        <v>104</v>
      </c>
      <c r="AQ3804" s="10">
        <f ca="1">IFERROR(__xludf.DUMMYFUNCTION("""COMPUTED_VALUE"""),4833840)</f>
        <v>4833840</v>
      </c>
      <c r="AR3804" s="17">
        <v>700</v>
      </c>
      <c r="AS3804" s="17">
        <v>452</v>
      </c>
      <c r="AT3804" s="17">
        <v>1887.75</v>
      </c>
      <c r="AU3804" s="17">
        <v>0</v>
      </c>
      <c r="AV3804" s="17">
        <v>0</v>
      </c>
      <c r="AW3804" s="10" t="s">
        <v>105</v>
      </c>
      <c r="AX3804" s="17">
        <v>71</v>
      </c>
      <c r="AY3804" s="18">
        <v>4.1764380530973453</v>
      </c>
      <c r="AZ3804" s="10"/>
      <c r="BA3804" s="20" t="b">
        <v>0</v>
      </c>
      <c r="BB3804" s="10" t="s">
        <v>25764</v>
      </c>
      <c r="BC3804" s="17">
        <v>700</v>
      </c>
      <c r="BD3804" s="17">
        <v>452</v>
      </c>
      <c r="BE3804" s="17">
        <v>1887.75</v>
      </c>
      <c r="BF3804" s="17">
        <v>0</v>
      </c>
      <c r="BG3804" s="11">
        <f ca="1">IFERROR(__xludf.DUMMYFUNCTION("""COMPUTED_VALUE"""),46032.2916666666)</f>
        <v>46032.291666666599</v>
      </c>
      <c r="BH3804" s="17" t="s">
        <v>105</v>
      </c>
      <c r="BI3804" s="17"/>
      <c r="BJ3804" s="15"/>
      <c r="BK3804" s="15"/>
      <c r="BL3804" s="13" t="b">
        <v>0</v>
      </c>
      <c r="BM3804" s="10"/>
      <c r="BN3804" s="10" t="s">
        <v>667</v>
      </c>
      <c r="BO3804" s="11">
        <v>46030.669444444444</v>
      </c>
      <c r="BP3804" s="11">
        <v>46030.670254629629</v>
      </c>
      <c r="BQ3804" s="15"/>
      <c r="BR3804" s="15">
        <v>46031.058009259257</v>
      </c>
      <c r="BS3804" s="10" t="s">
        <v>667</v>
      </c>
      <c r="BT3804" s="10"/>
      <c r="BU3804" s="10"/>
      <c r="BV3804" s="10"/>
      <c r="BW3804" s="10"/>
      <c r="BX3804" s="10"/>
      <c r="BY3804" s="23"/>
      <c r="BZ3804" s="23"/>
      <c r="CA3804" s="19" t="s">
        <v>25774</v>
      </c>
      <c r="CB3804" s="23"/>
      <c r="CC3804" s="23"/>
      <c r="CD3804" s="23"/>
      <c r="CE3804" s="23"/>
      <c r="CF3804" s="23"/>
      <c r="CG3804" s="23"/>
      <c r="CH3804" s="23"/>
      <c r="CI3804" s="23"/>
    </row>
    <row r="3805" spans="1:87" x14ac:dyDescent="0.3">
      <c r="A3805" s="9" t="s">
        <v>25939</v>
      </c>
      <c r="B3805" s="10" t="s">
        <v>25940</v>
      </c>
      <c r="C3805" s="11">
        <v>46032.340277777781</v>
      </c>
      <c r="D3805" s="12">
        <v>4.1666666666666664E-2</v>
      </c>
      <c r="E3805" s="11">
        <v>46032.381944444445</v>
      </c>
      <c r="F3805" s="22" t="s">
        <v>25766</v>
      </c>
      <c r="G3805" s="13" t="b">
        <v>0</v>
      </c>
      <c r="H3805" s="22" t="s">
        <v>25767</v>
      </c>
      <c r="I3805" s="10" t="s">
        <v>212</v>
      </c>
      <c r="J3805" s="13" t="b">
        <v>1</v>
      </c>
      <c r="K3805" s="13" t="b">
        <v>0</v>
      </c>
      <c r="L3805" s="10" t="s">
        <v>124</v>
      </c>
      <c r="M3805" s="10" t="s">
        <v>91</v>
      </c>
      <c r="N3805" s="10" t="s">
        <v>92</v>
      </c>
      <c r="O3805" s="19" t="s">
        <v>25941</v>
      </c>
      <c r="P3805" s="10"/>
      <c r="Q3805" s="10" t="s">
        <v>94</v>
      </c>
      <c r="R3805" s="10"/>
      <c r="S3805" s="19" t="s">
        <v>25769</v>
      </c>
      <c r="T3805" s="10"/>
      <c r="U3805" s="10"/>
      <c r="V3805" s="10"/>
      <c r="W3805" s="10" t="s">
        <v>25770</v>
      </c>
      <c r="X3805" s="10" t="s">
        <v>130</v>
      </c>
      <c r="Y3805" s="10" t="s">
        <v>130</v>
      </c>
      <c r="Z3805" s="10" t="s">
        <v>99</v>
      </c>
      <c r="AA3805" s="10" t="s">
        <v>131</v>
      </c>
      <c r="AB3805" s="10" t="s">
        <v>25771</v>
      </c>
      <c r="AC3805" s="10" t="s">
        <v>25772</v>
      </c>
      <c r="AD3805" s="10" t="s">
        <v>165</v>
      </c>
      <c r="AE3805" s="10" t="s">
        <v>25942</v>
      </c>
      <c r="AF3805" s="15"/>
      <c r="AG3805" s="10"/>
      <c r="AH3805" s="10"/>
      <c r="AI3805" s="10"/>
      <c r="AJ3805" s="10"/>
      <c r="AK3805" s="10" t="s">
        <v>102</v>
      </c>
      <c r="AL3805" s="10"/>
      <c r="AM3805" s="10"/>
      <c r="AN3805" s="10"/>
      <c r="AO3805" s="13" t="b">
        <v>0</v>
      </c>
      <c r="AP3805" s="22" t="s">
        <v>104</v>
      </c>
      <c r="AQ3805" s="10">
        <f ca="1">IFERROR(__xludf.DUMMYFUNCTION("""COMPUTED_VALUE"""),4833841)</f>
        <v>4833841</v>
      </c>
      <c r="AR3805" s="17">
        <v>547</v>
      </c>
      <c r="AS3805" s="17">
        <v>291</v>
      </c>
      <c r="AT3805" s="17">
        <v>1724</v>
      </c>
      <c r="AU3805" s="17">
        <v>0.6</v>
      </c>
      <c r="AV3805" s="17">
        <v>0.6</v>
      </c>
      <c r="AW3805" s="10" t="s">
        <v>105</v>
      </c>
      <c r="AX3805" s="17">
        <v>84</v>
      </c>
      <c r="AY3805" s="18">
        <v>5.9243986254295535</v>
      </c>
      <c r="AZ3805" s="10"/>
      <c r="BA3805" s="20" t="b">
        <v>0</v>
      </c>
      <c r="BB3805" s="10" t="s">
        <v>25764</v>
      </c>
      <c r="BC3805" s="17">
        <v>547</v>
      </c>
      <c r="BD3805" s="17">
        <v>291</v>
      </c>
      <c r="BE3805" s="17">
        <v>1724</v>
      </c>
      <c r="BF3805" s="17">
        <v>0.6</v>
      </c>
      <c r="BG3805" s="11">
        <f ca="1">IFERROR(__xludf.DUMMYFUNCTION("""COMPUTED_VALUE"""),46032.3402777777)</f>
        <v>46032.340277777701</v>
      </c>
      <c r="BH3805" s="17" t="s">
        <v>105</v>
      </c>
      <c r="BI3805" s="17"/>
      <c r="BJ3805" s="15"/>
      <c r="BK3805" s="15"/>
      <c r="BL3805" s="13" t="b">
        <v>0</v>
      </c>
      <c r="BM3805" s="10"/>
      <c r="BN3805" s="10" t="s">
        <v>667</v>
      </c>
      <c r="BO3805" s="11">
        <v>46030.670138888891</v>
      </c>
      <c r="BP3805" s="11">
        <v>46030.670729166668</v>
      </c>
      <c r="BQ3805" s="15"/>
      <c r="BR3805" s="15">
        <v>46031.058229166665</v>
      </c>
      <c r="BS3805" s="10" t="s">
        <v>667</v>
      </c>
      <c r="BT3805" s="10"/>
      <c r="BU3805" s="10"/>
      <c r="BV3805" s="10"/>
      <c r="BW3805" s="10"/>
      <c r="BX3805" s="10"/>
      <c r="BY3805" s="23"/>
      <c r="BZ3805" s="23"/>
      <c r="CA3805" s="19" t="s">
        <v>25774</v>
      </c>
      <c r="CB3805" s="23"/>
      <c r="CC3805" s="23"/>
      <c r="CD3805" s="23"/>
      <c r="CE3805" s="23"/>
      <c r="CF3805" s="23"/>
      <c r="CG3805" s="23"/>
      <c r="CH3805" s="23"/>
      <c r="CI3805" s="23"/>
    </row>
    <row r="3806" spans="1:87" x14ac:dyDescent="0.3">
      <c r="A3806" s="9" t="s">
        <v>25943</v>
      </c>
      <c r="B3806" s="10" t="s">
        <v>25944</v>
      </c>
      <c r="C3806" s="11">
        <v>46032.416666666664</v>
      </c>
      <c r="D3806" s="12">
        <v>4.1666666666666664E-2</v>
      </c>
      <c r="E3806" s="11">
        <v>46032.458333333336</v>
      </c>
      <c r="F3806" s="22" t="s">
        <v>25766</v>
      </c>
      <c r="G3806" s="13" t="b">
        <v>0</v>
      </c>
      <c r="H3806" s="22" t="s">
        <v>25767</v>
      </c>
      <c r="I3806" s="10" t="s">
        <v>212</v>
      </c>
      <c r="J3806" s="13" t="b">
        <v>1</v>
      </c>
      <c r="K3806" s="13" t="b">
        <v>0</v>
      </c>
      <c r="L3806" s="10" t="s">
        <v>124</v>
      </c>
      <c r="M3806" s="10" t="s">
        <v>91</v>
      </c>
      <c r="N3806" s="10" t="s">
        <v>92</v>
      </c>
      <c r="O3806" s="19" t="s">
        <v>25945</v>
      </c>
      <c r="P3806" s="10"/>
      <c r="Q3806" s="10" t="s">
        <v>94</v>
      </c>
      <c r="R3806" s="10"/>
      <c r="S3806" s="19" t="s">
        <v>25769</v>
      </c>
      <c r="T3806" s="10"/>
      <c r="U3806" s="10"/>
      <c r="V3806" s="10"/>
      <c r="W3806" s="10" t="s">
        <v>25770</v>
      </c>
      <c r="X3806" s="10" t="s">
        <v>130</v>
      </c>
      <c r="Y3806" s="10" t="s">
        <v>130</v>
      </c>
      <c r="Z3806" s="10" t="s">
        <v>99</v>
      </c>
      <c r="AA3806" s="10" t="s">
        <v>131</v>
      </c>
      <c r="AB3806" s="10" t="s">
        <v>25771</v>
      </c>
      <c r="AC3806" s="10" t="s">
        <v>25772</v>
      </c>
      <c r="AD3806" s="10" t="s">
        <v>165</v>
      </c>
      <c r="AE3806" s="10" t="s">
        <v>25946</v>
      </c>
      <c r="AF3806" s="15"/>
      <c r="AG3806" s="10"/>
      <c r="AH3806" s="10"/>
      <c r="AI3806" s="10"/>
      <c r="AJ3806" s="10"/>
      <c r="AK3806" s="10" t="s">
        <v>102</v>
      </c>
      <c r="AL3806" s="10"/>
      <c r="AM3806" s="10"/>
      <c r="AN3806" s="10"/>
      <c r="AO3806" s="13" t="b">
        <v>0</v>
      </c>
      <c r="AP3806" s="22" t="s">
        <v>104</v>
      </c>
      <c r="AQ3806" s="10">
        <f ca="1">IFERROR(__xludf.DUMMYFUNCTION("""COMPUTED_VALUE"""),4833842)</f>
        <v>4833842</v>
      </c>
      <c r="AR3806" s="17"/>
      <c r="AS3806" s="17"/>
      <c r="AT3806" s="17"/>
      <c r="AU3806" s="17"/>
      <c r="AV3806" s="17"/>
      <c r="AW3806" s="10"/>
      <c r="AX3806" s="17"/>
      <c r="AY3806" s="18" t="s">
        <v>257</v>
      </c>
      <c r="AZ3806" s="10"/>
      <c r="BA3806" s="20" t="b">
        <v>0</v>
      </c>
      <c r="BB3806" s="10" t="s">
        <v>25764</v>
      </c>
      <c r="BC3806" s="17" t="s">
        <v>257</v>
      </c>
      <c r="BD3806" s="17" t="s">
        <v>257</v>
      </c>
      <c r="BE3806" s="17" t="s">
        <v>257</v>
      </c>
      <c r="BF3806" s="17" t="s">
        <v>257</v>
      </c>
      <c r="BG3806" s="11">
        <f ca="1">IFERROR(__xludf.DUMMYFUNCTION("""COMPUTED_VALUE"""),46032.4166666666)</f>
        <v>46032.416666666599</v>
      </c>
      <c r="BH3806" s="17"/>
      <c r="BI3806" s="17"/>
      <c r="BJ3806" s="15"/>
      <c r="BK3806" s="15"/>
      <c r="BL3806" s="13" t="b">
        <v>0</v>
      </c>
      <c r="BM3806" s="10"/>
      <c r="BN3806" s="10" t="s">
        <v>667</v>
      </c>
      <c r="BO3806" s="11">
        <v>46030.67083333333</v>
      </c>
      <c r="BP3806" s="11">
        <v>46030.671087962961</v>
      </c>
      <c r="BQ3806" s="15"/>
      <c r="BR3806" s="15">
        <v>46031.058506944442</v>
      </c>
      <c r="BS3806" s="10" t="s">
        <v>667</v>
      </c>
      <c r="BT3806" s="10"/>
      <c r="BU3806" s="10"/>
      <c r="BV3806" s="10"/>
      <c r="BW3806" s="10"/>
      <c r="BX3806" s="10"/>
      <c r="BY3806" s="23"/>
      <c r="BZ3806" s="23"/>
      <c r="CA3806" s="19" t="s">
        <v>25774</v>
      </c>
      <c r="CB3806" s="23"/>
      <c r="CC3806" s="23"/>
      <c r="CD3806" s="23"/>
      <c r="CE3806" s="23"/>
      <c r="CF3806" s="23"/>
      <c r="CG3806" s="23"/>
      <c r="CH3806" s="23"/>
      <c r="CI3806" s="23"/>
    </row>
    <row r="3807" spans="1:87" x14ac:dyDescent="0.3">
      <c r="A3807" s="9" t="s">
        <v>25947</v>
      </c>
      <c r="B3807" s="10" t="s">
        <v>25948</v>
      </c>
      <c r="C3807" s="11">
        <v>46032.458333333336</v>
      </c>
      <c r="D3807" s="12">
        <v>4.1666666666666664E-2</v>
      </c>
      <c r="E3807" s="11">
        <v>46032.5</v>
      </c>
      <c r="F3807" s="22" t="s">
        <v>25766</v>
      </c>
      <c r="G3807" s="13" t="b">
        <v>0</v>
      </c>
      <c r="H3807" s="22" t="s">
        <v>25767</v>
      </c>
      <c r="I3807" s="10" t="s">
        <v>212</v>
      </c>
      <c r="J3807" s="13" t="b">
        <v>1</v>
      </c>
      <c r="K3807" s="13" t="b">
        <v>0</v>
      </c>
      <c r="L3807" s="10" t="s">
        <v>124</v>
      </c>
      <c r="M3807" s="10" t="s">
        <v>91</v>
      </c>
      <c r="N3807" s="10" t="s">
        <v>92</v>
      </c>
      <c r="O3807" s="19" t="s">
        <v>25949</v>
      </c>
      <c r="P3807" s="10"/>
      <c r="Q3807" s="10" t="s">
        <v>94</v>
      </c>
      <c r="R3807" s="10"/>
      <c r="S3807" s="19" t="s">
        <v>25769</v>
      </c>
      <c r="T3807" s="10"/>
      <c r="U3807" s="10"/>
      <c r="V3807" s="10"/>
      <c r="W3807" s="10" t="s">
        <v>25770</v>
      </c>
      <c r="X3807" s="10" t="s">
        <v>130</v>
      </c>
      <c r="Y3807" s="10" t="s">
        <v>130</v>
      </c>
      <c r="Z3807" s="10" t="s">
        <v>99</v>
      </c>
      <c r="AA3807" s="10" t="s">
        <v>131</v>
      </c>
      <c r="AB3807" s="10" t="s">
        <v>25771</v>
      </c>
      <c r="AC3807" s="10" t="s">
        <v>25772</v>
      </c>
      <c r="AD3807" s="10" t="s">
        <v>165</v>
      </c>
      <c r="AE3807" s="10" t="s">
        <v>25950</v>
      </c>
      <c r="AF3807" s="15"/>
      <c r="AG3807" s="10"/>
      <c r="AH3807" s="10"/>
      <c r="AI3807" s="10"/>
      <c r="AJ3807" s="10"/>
      <c r="AK3807" s="10" t="s">
        <v>102</v>
      </c>
      <c r="AL3807" s="10"/>
      <c r="AM3807" s="10"/>
      <c r="AN3807" s="10"/>
      <c r="AO3807" s="13" t="b">
        <v>0</v>
      </c>
      <c r="AP3807" s="22" t="s">
        <v>104</v>
      </c>
      <c r="AQ3807" s="10">
        <f ca="1">IFERROR(__xludf.DUMMYFUNCTION("""COMPUTED_VALUE"""),4833843)</f>
        <v>4833843</v>
      </c>
      <c r="AR3807" s="17">
        <v>425</v>
      </c>
      <c r="AS3807" s="17">
        <v>248</v>
      </c>
      <c r="AT3807" s="17">
        <v>2387.75</v>
      </c>
      <c r="AU3807" s="17">
        <v>0</v>
      </c>
      <c r="AV3807" s="17">
        <v>0</v>
      </c>
      <c r="AW3807" s="10" t="s">
        <v>105</v>
      </c>
      <c r="AX3807" s="17">
        <v>72</v>
      </c>
      <c r="AY3807" s="18">
        <v>9.6280241935483879</v>
      </c>
      <c r="AZ3807" s="10"/>
      <c r="BA3807" s="20" t="b">
        <v>0</v>
      </c>
      <c r="BB3807" s="10" t="s">
        <v>25764</v>
      </c>
      <c r="BC3807" s="17">
        <v>425</v>
      </c>
      <c r="BD3807" s="17">
        <v>248</v>
      </c>
      <c r="BE3807" s="17">
        <v>2387.75</v>
      </c>
      <c r="BF3807" s="17">
        <v>0</v>
      </c>
      <c r="BG3807" s="11">
        <f ca="1">IFERROR(__xludf.DUMMYFUNCTION("""COMPUTED_VALUE"""),46032.4583333333)</f>
        <v>46032.458333333299</v>
      </c>
      <c r="BH3807" s="17" t="s">
        <v>105</v>
      </c>
      <c r="BI3807" s="17"/>
      <c r="BJ3807" s="15"/>
      <c r="BK3807" s="15"/>
      <c r="BL3807" s="13" t="b">
        <v>0</v>
      </c>
      <c r="BM3807" s="10"/>
      <c r="BN3807" s="10" t="s">
        <v>667</v>
      </c>
      <c r="BO3807" s="11">
        <v>46030.67083333333</v>
      </c>
      <c r="BP3807" s="11">
        <v>46030.671388888892</v>
      </c>
      <c r="BQ3807" s="15"/>
      <c r="BR3807" s="15">
        <v>46031.05877314815</v>
      </c>
      <c r="BS3807" s="10" t="s">
        <v>667</v>
      </c>
      <c r="BT3807" s="10"/>
      <c r="BU3807" s="10"/>
      <c r="BV3807" s="10"/>
      <c r="BW3807" s="10"/>
      <c r="BX3807" s="10"/>
      <c r="BY3807" s="23"/>
      <c r="BZ3807" s="23"/>
      <c r="CA3807" s="19" t="s">
        <v>25774</v>
      </c>
      <c r="CB3807" s="23"/>
      <c r="CC3807" s="23"/>
      <c r="CD3807" s="23"/>
      <c r="CE3807" s="23"/>
      <c r="CF3807" s="23"/>
      <c r="CG3807" s="23"/>
      <c r="CH3807" s="23"/>
      <c r="CI3807" s="23"/>
    </row>
    <row r="3808" spans="1:87" x14ac:dyDescent="0.3">
      <c r="A3808" s="9" t="s">
        <v>25951</v>
      </c>
      <c r="B3808" s="10" t="s">
        <v>25952</v>
      </c>
      <c r="C3808" s="11">
        <v>46032.5</v>
      </c>
      <c r="D3808" s="12">
        <v>4.1666666666666664E-2</v>
      </c>
      <c r="E3808" s="11">
        <v>46032.541666666664</v>
      </c>
      <c r="F3808" s="22" t="s">
        <v>25766</v>
      </c>
      <c r="G3808" s="13" t="b">
        <v>0</v>
      </c>
      <c r="H3808" s="22" t="s">
        <v>25767</v>
      </c>
      <c r="I3808" s="10" t="s">
        <v>212</v>
      </c>
      <c r="J3808" s="13" t="b">
        <v>1</v>
      </c>
      <c r="K3808" s="13" t="b">
        <v>0</v>
      </c>
      <c r="L3808" s="10" t="s">
        <v>124</v>
      </c>
      <c r="M3808" s="10" t="s">
        <v>91</v>
      </c>
      <c r="N3808" s="10" t="s">
        <v>92</v>
      </c>
      <c r="O3808" s="19" t="s">
        <v>25953</v>
      </c>
      <c r="P3808" s="10"/>
      <c r="Q3808" s="10" t="s">
        <v>94</v>
      </c>
      <c r="R3808" s="10"/>
      <c r="S3808" s="19" t="s">
        <v>25769</v>
      </c>
      <c r="T3808" s="10"/>
      <c r="U3808" s="10"/>
      <c r="V3808" s="10"/>
      <c r="W3808" s="10" t="s">
        <v>25770</v>
      </c>
      <c r="X3808" s="10" t="s">
        <v>130</v>
      </c>
      <c r="Y3808" s="10" t="s">
        <v>130</v>
      </c>
      <c r="Z3808" s="10" t="s">
        <v>99</v>
      </c>
      <c r="AA3808" s="10" t="s">
        <v>131</v>
      </c>
      <c r="AB3808" s="10" t="s">
        <v>25771</v>
      </c>
      <c r="AC3808" s="10" t="s">
        <v>25772</v>
      </c>
      <c r="AD3808" s="10" t="s">
        <v>165</v>
      </c>
      <c r="AE3808" s="10" t="s">
        <v>25954</v>
      </c>
      <c r="AF3808" s="15"/>
      <c r="AG3808" s="10"/>
      <c r="AH3808" s="10"/>
      <c r="AI3808" s="10"/>
      <c r="AJ3808" s="10"/>
      <c r="AK3808" s="10" t="s">
        <v>102</v>
      </c>
      <c r="AL3808" s="10"/>
      <c r="AM3808" s="10"/>
      <c r="AN3808" s="10"/>
      <c r="AO3808" s="13" t="b">
        <v>0</v>
      </c>
      <c r="AP3808" s="22" t="s">
        <v>104</v>
      </c>
      <c r="AQ3808" s="10">
        <f ca="1">IFERROR(__xludf.DUMMYFUNCTION("""COMPUTED_VALUE"""),4833844)</f>
        <v>4833844</v>
      </c>
      <c r="AR3808" s="17">
        <v>231</v>
      </c>
      <c r="AS3808" s="17">
        <v>157</v>
      </c>
      <c r="AT3808" s="17">
        <v>720</v>
      </c>
      <c r="AU3808" s="17">
        <v>0</v>
      </c>
      <c r="AV3808" s="17">
        <v>0</v>
      </c>
      <c r="AW3808" s="10" t="s">
        <v>105</v>
      </c>
      <c r="AX3808" s="17">
        <v>71</v>
      </c>
      <c r="AY3808" s="18">
        <v>4.5859872611464967</v>
      </c>
      <c r="AZ3808" s="10"/>
      <c r="BA3808" s="20" t="b">
        <v>0</v>
      </c>
      <c r="BB3808" s="10" t="s">
        <v>25764</v>
      </c>
      <c r="BC3808" s="17">
        <v>231</v>
      </c>
      <c r="BD3808" s="17">
        <v>157</v>
      </c>
      <c r="BE3808" s="17">
        <v>720</v>
      </c>
      <c r="BF3808" s="17">
        <v>0</v>
      </c>
      <c r="BG3808" s="11">
        <f ca="1">IFERROR(__xludf.DUMMYFUNCTION("""COMPUTED_VALUE"""),46032.5)</f>
        <v>46032.5</v>
      </c>
      <c r="BH3808" s="17" t="s">
        <v>105</v>
      </c>
      <c r="BI3808" s="17"/>
      <c r="BJ3808" s="15"/>
      <c r="BK3808" s="15"/>
      <c r="BL3808" s="13" t="b">
        <v>0</v>
      </c>
      <c r="BM3808" s="10"/>
      <c r="BN3808" s="10" t="s">
        <v>667</v>
      </c>
      <c r="BO3808" s="11">
        <v>46030.67083333333</v>
      </c>
      <c r="BP3808" s="11">
        <v>46030.67150462963</v>
      </c>
      <c r="BQ3808" s="15"/>
      <c r="BR3808" s="15">
        <v>46031.05976851852</v>
      </c>
      <c r="BS3808" s="10" t="s">
        <v>667</v>
      </c>
      <c r="BT3808" s="10"/>
      <c r="BU3808" s="10"/>
      <c r="BV3808" s="10"/>
      <c r="BW3808" s="10"/>
      <c r="BX3808" s="10"/>
      <c r="BY3808" s="23"/>
      <c r="BZ3808" s="23"/>
      <c r="CA3808" s="19" t="s">
        <v>25774</v>
      </c>
      <c r="CB3808" s="23"/>
      <c r="CC3808" s="23"/>
      <c r="CD3808" s="23"/>
      <c r="CE3808" s="23"/>
      <c r="CF3808" s="23"/>
      <c r="CG3808" s="23"/>
      <c r="CH3808" s="23"/>
      <c r="CI3808" s="23"/>
    </row>
    <row r="3809" spans="1:87" x14ac:dyDescent="0.3">
      <c r="A3809" s="9" t="s">
        <v>25955</v>
      </c>
      <c r="B3809" s="10" t="s">
        <v>25956</v>
      </c>
      <c r="C3809" s="11">
        <v>46033.291666666664</v>
      </c>
      <c r="D3809" s="12">
        <v>0.33333333333333331</v>
      </c>
      <c r="E3809" s="11">
        <v>46033.625</v>
      </c>
      <c r="F3809" s="22" t="s">
        <v>25766</v>
      </c>
      <c r="G3809" s="13" t="b">
        <v>0</v>
      </c>
      <c r="H3809" s="22" t="s">
        <v>25767</v>
      </c>
      <c r="I3809" s="10" t="s">
        <v>212</v>
      </c>
      <c r="J3809" s="13" t="b">
        <v>1</v>
      </c>
      <c r="K3809" s="13" t="b">
        <v>0</v>
      </c>
      <c r="L3809" s="10" t="s">
        <v>124</v>
      </c>
      <c r="M3809" s="10" t="s">
        <v>91</v>
      </c>
      <c r="N3809" s="10" t="s">
        <v>92</v>
      </c>
      <c r="O3809" s="19" t="s">
        <v>25957</v>
      </c>
      <c r="P3809" s="10"/>
      <c r="Q3809" s="10" t="s">
        <v>94</v>
      </c>
      <c r="R3809" s="10"/>
      <c r="S3809" s="19" t="s">
        <v>25769</v>
      </c>
      <c r="T3809" s="10"/>
      <c r="U3809" s="10"/>
      <c r="V3809" s="10"/>
      <c r="W3809" s="10" t="s">
        <v>25770</v>
      </c>
      <c r="X3809" s="10" t="s">
        <v>130</v>
      </c>
      <c r="Y3809" s="10" t="s">
        <v>130</v>
      </c>
      <c r="Z3809" s="10" t="s">
        <v>99</v>
      </c>
      <c r="AA3809" s="10" t="s">
        <v>131</v>
      </c>
      <c r="AB3809" s="10" t="s">
        <v>25771</v>
      </c>
      <c r="AC3809" s="10" t="s">
        <v>25772</v>
      </c>
      <c r="AD3809" s="10" t="s">
        <v>165</v>
      </c>
      <c r="AE3809" s="10" t="s">
        <v>25958</v>
      </c>
      <c r="AF3809" s="15"/>
      <c r="AG3809" s="10"/>
      <c r="AH3809" s="10"/>
      <c r="AI3809" s="10"/>
      <c r="AJ3809" s="10"/>
      <c r="AK3809" s="10" t="s">
        <v>102</v>
      </c>
      <c r="AL3809" s="10" t="s">
        <v>103</v>
      </c>
      <c r="AM3809" s="10"/>
      <c r="AN3809" s="10"/>
      <c r="AO3809" s="13" t="b">
        <v>0</v>
      </c>
      <c r="AP3809" s="22" t="s">
        <v>104</v>
      </c>
      <c r="AQ3809" s="10">
        <f ca="1">IFERROR(__xludf.DUMMYFUNCTION("""COMPUTED_VALUE"""),20275)</f>
        <v>20275</v>
      </c>
      <c r="AR3809" s="17"/>
      <c r="AS3809" s="17"/>
      <c r="AT3809" s="17"/>
      <c r="AU3809" s="17"/>
      <c r="AV3809" s="17"/>
      <c r="AW3809" s="10"/>
      <c r="AX3809" s="17"/>
      <c r="AY3809" s="18" t="s">
        <v>257</v>
      </c>
      <c r="AZ3809" s="10"/>
      <c r="BA3809" s="20" t="b">
        <v>1</v>
      </c>
      <c r="BB3809" s="10"/>
      <c r="BC3809" s="17" t="s">
        <v>257</v>
      </c>
      <c r="BD3809" s="17" t="s">
        <v>257</v>
      </c>
      <c r="BE3809" s="17" t="s">
        <v>257</v>
      </c>
      <c r="BF3809" s="17" t="s">
        <v>257</v>
      </c>
      <c r="BG3809" s="11">
        <f ca="1">IFERROR(__xludf.DUMMYFUNCTION("""COMPUTED_VALUE"""),46033.2916666666)</f>
        <v>46033.291666666599</v>
      </c>
      <c r="BH3809" s="17" t="s">
        <v>105</v>
      </c>
      <c r="BI3809" s="17"/>
      <c r="BJ3809" s="15"/>
      <c r="BK3809" s="15"/>
      <c r="BL3809" s="13" t="b">
        <v>0</v>
      </c>
      <c r="BM3809" s="10"/>
      <c r="BN3809" s="10" t="s">
        <v>667</v>
      </c>
      <c r="BO3809" s="11">
        <v>46030.673611111109</v>
      </c>
      <c r="BP3809" s="11">
        <v>46030.709166666667</v>
      </c>
      <c r="BQ3809" s="15">
        <v>46030.700370370374</v>
      </c>
      <c r="BR3809" s="15">
        <v>46031.305960648147</v>
      </c>
      <c r="BS3809" s="10" t="s">
        <v>667</v>
      </c>
      <c r="BT3809" s="10"/>
      <c r="BU3809" s="10"/>
      <c r="BV3809" s="10"/>
      <c r="BW3809" s="10"/>
      <c r="BX3809" s="10"/>
      <c r="BY3809" s="23"/>
      <c r="BZ3809" s="23"/>
      <c r="CA3809" s="19" t="s">
        <v>25774</v>
      </c>
      <c r="CB3809" s="23"/>
      <c r="CC3809" s="23"/>
      <c r="CD3809" s="23"/>
      <c r="CE3809" s="23"/>
      <c r="CF3809" s="23"/>
      <c r="CG3809" s="23"/>
      <c r="CH3809" s="23"/>
      <c r="CI3809" s="23"/>
    </row>
    <row r="3810" spans="1:87" x14ac:dyDescent="0.3">
      <c r="A3810" s="9" t="s">
        <v>25959</v>
      </c>
      <c r="B3810" s="10" t="s">
        <v>25960</v>
      </c>
      <c r="C3810" s="11">
        <v>46033.291666666664</v>
      </c>
      <c r="D3810" s="12">
        <v>1.3888888888888888E-2</v>
      </c>
      <c r="E3810" s="11">
        <v>46033.305555555555</v>
      </c>
      <c r="F3810" s="22" t="s">
        <v>25766</v>
      </c>
      <c r="G3810" s="13" t="b">
        <v>0</v>
      </c>
      <c r="H3810" s="22" t="s">
        <v>25767</v>
      </c>
      <c r="I3810" s="10" t="s">
        <v>212</v>
      </c>
      <c r="J3810" s="13" t="b">
        <v>1</v>
      </c>
      <c r="K3810" s="13" t="b">
        <v>0</v>
      </c>
      <c r="L3810" s="10" t="s">
        <v>124</v>
      </c>
      <c r="M3810" s="10" t="s">
        <v>91</v>
      </c>
      <c r="N3810" s="10" t="s">
        <v>92</v>
      </c>
      <c r="O3810" s="19" t="s">
        <v>25961</v>
      </c>
      <c r="P3810" s="10"/>
      <c r="Q3810" s="10" t="s">
        <v>94</v>
      </c>
      <c r="R3810" s="10"/>
      <c r="S3810" s="10"/>
      <c r="T3810" s="10"/>
      <c r="U3810" s="10"/>
      <c r="V3810" s="10"/>
      <c r="W3810" s="10" t="s">
        <v>25770</v>
      </c>
      <c r="X3810" s="10" t="s">
        <v>130</v>
      </c>
      <c r="Y3810" s="10" t="s">
        <v>130</v>
      </c>
      <c r="Z3810" s="10" t="s">
        <v>99</v>
      </c>
      <c r="AA3810" s="10" t="s">
        <v>131</v>
      </c>
      <c r="AB3810" s="10" t="s">
        <v>25771</v>
      </c>
      <c r="AC3810" s="10" t="s">
        <v>25772</v>
      </c>
      <c r="AD3810" s="10" t="s">
        <v>165</v>
      </c>
      <c r="AE3810" s="10" t="s">
        <v>25962</v>
      </c>
      <c r="AF3810" s="15"/>
      <c r="AG3810" s="10"/>
      <c r="AH3810" s="10"/>
      <c r="AI3810" s="10"/>
      <c r="AJ3810" s="10"/>
      <c r="AK3810" s="10" t="s">
        <v>102</v>
      </c>
      <c r="AL3810" s="10"/>
      <c r="AM3810" s="10"/>
      <c r="AN3810" s="10"/>
      <c r="AO3810" s="13" t="b">
        <v>0</v>
      </c>
      <c r="AP3810" s="22" t="s">
        <v>104</v>
      </c>
      <c r="AQ3810" s="10">
        <f ca="1">IFERROR(__xludf.DUMMYFUNCTION("""COMPUTED_VALUE"""),4833869)</f>
        <v>4833869</v>
      </c>
      <c r="AR3810" s="17"/>
      <c r="AS3810" s="17"/>
      <c r="AT3810" s="17"/>
      <c r="AU3810" s="17"/>
      <c r="AV3810" s="17"/>
      <c r="AW3810" s="10"/>
      <c r="AX3810" s="17"/>
      <c r="AY3810" s="18" t="s">
        <v>257</v>
      </c>
      <c r="AZ3810" s="10"/>
      <c r="BA3810" s="20" t="b">
        <v>0</v>
      </c>
      <c r="BB3810" s="10" t="s">
        <v>25955</v>
      </c>
      <c r="BC3810" s="17" t="s">
        <v>257</v>
      </c>
      <c r="BD3810" s="17" t="s">
        <v>257</v>
      </c>
      <c r="BE3810" s="17" t="s">
        <v>257</v>
      </c>
      <c r="BF3810" s="17" t="s">
        <v>257</v>
      </c>
      <c r="BG3810" s="11">
        <f ca="1">IFERROR(__xludf.DUMMYFUNCTION("""COMPUTED_VALUE"""),46033.2916666666)</f>
        <v>46033.291666666599</v>
      </c>
      <c r="BH3810" s="17"/>
      <c r="BI3810" s="17"/>
      <c r="BJ3810" s="15"/>
      <c r="BK3810" s="15"/>
      <c r="BL3810" s="13" t="b">
        <v>0</v>
      </c>
      <c r="BM3810" s="10"/>
      <c r="BN3810" s="10" t="s">
        <v>667</v>
      </c>
      <c r="BO3810" s="11">
        <v>46030.675694444442</v>
      </c>
      <c r="BP3810" s="11">
        <v>46030.676423611112</v>
      </c>
      <c r="BQ3810" s="15"/>
      <c r="BR3810" s="15">
        <v>46031.303518518522</v>
      </c>
      <c r="BS3810" s="10" t="s">
        <v>667</v>
      </c>
      <c r="BT3810" s="10"/>
      <c r="BU3810" s="10"/>
      <c r="BV3810" s="10"/>
      <c r="BW3810" s="10"/>
      <c r="BX3810" s="10"/>
      <c r="BY3810" s="23"/>
      <c r="BZ3810" s="23"/>
      <c r="CA3810" s="10"/>
      <c r="CB3810" s="23"/>
      <c r="CC3810" s="23"/>
      <c r="CD3810" s="23"/>
      <c r="CE3810" s="23"/>
      <c r="CF3810" s="23"/>
      <c r="CG3810" s="23"/>
      <c r="CH3810" s="23"/>
      <c r="CI3810" s="23"/>
    </row>
    <row r="3811" spans="1:87" x14ac:dyDescent="0.3">
      <c r="A3811" s="9" t="s">
        <v>25963</v>
      </c>
      <c r="B3811" s="10" t="s">
        <v>25964</v>
      </c>
      <c r="C3811" s="11">
        <v>46033.309027777781</v>
      </c>
      <c r="D3811" s="12">
        <v>1.3888888888888888E-2</v>
      </c>
      <c r="E3811" s="11">
        <v>46033.322916666664</v>
      </c>
      <c r="F3811" s="22" t="s">
        <v>25766</v>
      </c>
      <c r="G3811" s="13" t="b">
        <v>0</v>
      </c>
      <c r="H3811" s="22" t="s">
        <v>25767</v>
      </c>
      <c r="I3811" s="10" t="s">
        <v>212</v>
      </c>
      <c r="J3811" s="13" t="b">
        <v>1</v>
      </c>
      <c r="K3811" s="13" t="b">
        <v>0</v>
      </c>
      <c r="L3811" s="10" t="s">
        <v>124</v>
      </c>
      <c r="M3811" s="10" t="s">
        <v>91</v>
      </c>
      <c r="N3811" s="10" t="s">
        <v>92</v>
      </c>
      <c r="O3811" s="19" t="s">
        <v>25965</v>
      </c>
      <c r="P3811" s="10"/>
      <c r="Q3811" s="10" t="s">
        <v>94</v>
      </c>
      <c r="R3811" s="10"/>
      <c r="S3811" s="10"/>
      <c r="T3811" s="10"/>
      <c r="U3811" s="10"/>
      <c r="V3811" s="10"/>
      <c r="W3811" s="10" t="s">
        <v>25770</v>
      </c>
      <c r="X3811" s="10" t="s">
        <v>130</v>
      </c>
      <c r="Y3811" s="10" t="s">
        <v>130</v>
      </c>
      <c r="Z3811" s="10" t="s">
        <v>99</v>
      </c>
      <c r="AA3811" s="10" t="s">
        <v>131</v>
      </c>
      <c r="AB3811" s="10" t="s">
        <v>25771</v>
      </c>
      <c r="AC3811" s="10" t="s">
        <v>25772</v>
      </c>
      <c r="AD3811" s="10" t="s">
        <v>165</v>
      </c>
      <c r="AE3811" s="10" t="s">
        <v>25966</v>
      </c>
      <c r="AF3811" s="15"/>
      <c r="AG3811" s="10"/>
      <c r="AH3811" s="10"/>
      <c r="AI3811" s="10"/>
      <c r="AJ3811" s="10"/>
      <c r="AK3811" s="10" t="s">
        <v>102</v>
      </c>
      <c r="AL3811" s="10"/>
      <c r="AM3811" s="10"/>
      <c r="AN3811" s="10"/>
      <c r="AO3811" s="13" t="b">
        <v>0</v>
      </c>
      <c r="AP3811" s="22" t="s">
        <v>104</v>
      </c>
      <c r="AQ3811" s="10">
        <f ca="1">IFERROR(__xludf.DUMMYFUNCTION("""COMPUTED_VALUE"""),4833870)</f>
        <v>4833870</v>
      </c>
      <c r="AR3811" s="17"/>
      <c r="AS3811" s="17"/>
      <c r="AT3811" s="17"/>
      <c r="AU3811" s="17"/>
      <c r="AV3811" s="17"/>
      <c r="AW3811" s="10"/>
      <c r="AX3811" s="17"/>
      <c r="AY3811" s="18" t="s">
        <v>257</v>
      </c>
      <c r="AZ3811" s="10"/>
      <c r="BA3811" s="20" t="b">
        <v>0</v>
      </c>
      <c r="BB3811" s="10" t="s">
        <v>25955</v>
      </c>
      <c r="BC3811" s="17" t="s">
        <v>257</v>
      </c>
      <c r="BD3811" s="17" t="s">
        <v>257</v>
      </c>
      <c r="BE3811" s="17" t="s">
        <v>257</v>
      </c>
      <c r="BF3811" s="17" t="s">
        <v>257</v>
      </c>
      <c r="BG3811" s="11">
        <f ca="1">IFERROR(__xludf.DUMMYFUNCTION("""COMPUTED_VALUE"""),46033.3090277777)</f>
        <v>46033.309027777701</v>
      </c>
      <c r="BH3811" s="17"/>
      <c r="BI3811" s="17"/>
      <c r="BJ3811" s="15"/>
      <c r="BK3811" s="15"/>
      <c r="BL3811" s="13" t="b">
        <v>0</v>
      </c>
      <c r="BM3811" s="10"/>
      <c r="BN3811" s="10" t="s">
        <v>667</v>
      </c>
      <c r="BO3811" s="11">
        <v>46030.676388888889</v>
      </c>
      <c r="BP3811" s="11">
        <v>46030.676990740743</v>
      </c>
      <c r="BQ3811" s="15"/>
      <c r="BR3811" s="15">
        <v>46031.303668981483</v>
      </c>
      <c r="BS3811" s="10" t="s">
        <v>667</v>
      </c>
      <c r="BT3811" s="10"/>
      <c r="BU3811" s="10"/>
      <c r="BV3811" s="10"/>
      <c r="BW3811" s="10"/>
      <c r="BX3811" s="10"/>
      <c r="BY3811" s="23"/>
      <c r="BZ3811" s="23"/>
      <c r="CA3811" s="10"/>
      <c r="CB3811" s="23"/>
      <c r="CC3811" s="23"/>
      <c r="CD3811" s="23"/>
      <c r="CE3811" s="23"/>
      <c r="CF3811" s="23"/>
      <c r="CG3811" s="23"/>
      <c r="CH3811" s="23"/>
      <c r="CI3811" s="23"/>
    </row>
    <row r="3812" spans="1:87" x14ac:dyDescent="0.3">
      <c r="A3812" s="9" t="s">
        <v>25967</v>
      </c>
      <c r="B3812" s="10" t="s">
        <v>25968</v>
      </c>
      <c r="C3812" s="11">
        <v>46033.326388888891</v>
      </c>
      <c r="D3812" s="12">
        <v>1.3888888888888888E-2</v>
      </c>
      <c r="E3812" s="11">
        <v>46033.340277777781</v>
      </c>
      <c r="F3812" s="22" t="s">
        <v>25766</v>
      </c>
      <c r="G3812" s="13" t="b">
        <v>0</v>
      </c>
      <c r="H3812" s="22" t="s">
        <v>25767</v>
      </c>
      <c r="I3812" s="10" t="s">
        <v>212</v>
      </c>
      <c r="J3812" s="13" t="b">
        <v>1</v>
      </c>
      <c r="K3812" s="13" t="b">
        <v>0</v>
      </c>
      <c r="L3812" s="10" t="s">
        <v>124</v>
      </c>
      <c r="M3812" s="10" t="s">
        <v>91</v>
      </c>
      <c r="N3812" s="10" t="s">
        <v>92</v>
      </c>
      <c r="O3812" s="19" t="s">
        <v>25969</v>
      </c>
      <c r="P3812" s="10"/>
      <c r="Q3812" s="10" t="s">
        <v>94</v>
      </c>
      <c r="R3812" s="10"/>
      <c r="S3812" s="10"/>
      <c r="T3812" s="10"/>
      <c r="U3812" s="10"/>
      <c r="V3812" s="10"/>
      <c r="W3812" s="10" t="s">
        <v>25770</v>
      </c>
      <c r="X3812" s="10" t="s">
        <v>130</v>
      </c>
      <c r="Y3812" s="10" t="s">
        <v>130</v>
      </c>
      <c r="Z3812" s="10" t="s">
        <v>99</v>
      </c>
      <c r="AA3812" s="10" t="s">
        <v>131</v>
      </c>
      <c r="AB3812" s="10" t="s">
        <v>25771</v>
      </c>
      <c r="AC3812" s="10" t="s">
        <v>25772</v>
      </c>
      <c r="AD3812" s="10" t="s">
        <v>165</v>
      </c>
      <c r="AE3812" s="10" t="s">
        <v>25970</v>
      </c>
      <c r="AF3812" s="15"/>
      <c r="AG3812" s="10"/>
      <c r="AH3812" s="10"/>
      <c r="AI3812" s="10"/>
      <c r="AJ3812" s="10"/>
      <c r="AK3812" s="10" t="s">
        <v>102</v>
      </c>
      <c r="AL3812" s="10"/>
      <c r="AM3812" s="10"/>
      <c r="AN3812" s="10"/>
      <c r="AO3812" s="13" t="b">
        <v>0</v>
      </c>
      <c r="AP3812" s="22" t="s">
        <v>104</v>
      </c>
      <c r="AQ3812" s="10">
        <f ca="1">IFERROR(__xludf.DUMMYFUNCTION("""COMPUTED_VALUE"""),4833871)</f>
        <v>4833871</v>
      </c>
      <c r="AR3812" s="17"/>
      <c r="AS3812" s="17"/>
      <c r="AT3812" s="17"/>
      <c r="AU3812" s="17"/>
      <c r="AV3812" s="17"/>
      <c r="AW3812" s="10"/>
      <c r="AX3812" s="17"/>
      <c r="AY3812" s="18" t="s">
        <v>257</v>
      </c>
      <c r="AZ3812" s="10"/>
      <c r="BA3812" s="20" t="b">
        <v>0</v>
      </c>
      <c r="BB3812" s="10" t="s">
        <v>25955</v>
      </c>
      <c r="BC3812" s="17" t="s">
        <v>257</v>
      </c>
      <c r="BD3812" s="17" t="s">
        <v>257</v>
      </c>
      <c r="BE3812" s="17" t="s">
        <v>257</v>
      </c>
      <c r="BF3812" s="17" t="s">
        <v>257</v>
      </c>
      <c r="BG3812" s="11">
        <f ca="1">IFERROR(__xludf.DUMMYFUNCTION("""COMPUTED_VALUE"""),46033.3263888888)</f>
        <v>46033.326388888803</v>
      </c>
      <c r="BH3812" s="17"/>
      <c r="BI3812" s="17"/>
      <c r="BJ3812" s="15"/>
      <c r="BK3812" s="15"/>
      <c r="BL3812" s="13" t="b">
        <v>0</v>
      </c>
      <c r="BM3812" s="10"/>
      <c r="BN3812" s="10" t="s">
        <v>667</v>
      </c>
      <c r="BO3812" s="11">
        <v>46030.677083333336</v>
      </c>
      <c r="BP3812" s="11">
        <v>46030.677546296298</v>
      </c>
      <c r="BQ3812" s="15"/>
      <c r="BR3812" s="15">
        <v>46031.303831018522</v>
      </c>
      <c r="BS3812" s="10" t="s">
        <v>667</v>
      </c>
      <c r="BT3812" s="10"/>
      <c r="BU3812" s="10"/>
      <c r="BV3812" s="10"/>
      <c r="BW3812" s="10"/>
      <c r="BX3812" s="10"/>
      <c r="BY3812" s="23"/>
      <c r="BZ3812" s="23"/>
      <c r="CA3812" s="10"/>
      <c r="CB3812" s="23"/>
      <c r="CC3812" s="23"/>
      <c r="CD3812" s="23"/>
      <c r="CE3812" s="23"/>
      <c r="CF3812" s="23"/>
      <c r="CG3812" s="23"/>
      <c r="CH3812" s="23"/>
      <c r="CI3812" s="23"/>
    </row>
    <row r="3813" spans="1:87" x14ac:dyDescent="0.3">
      <c r="A3813" s="9" t="s">
        <v>25971</v>
      </c>
      <c r="B3813" s="10" t="s">
        <v>25972</v>
      </c>
      <c r="C3813" s="11">
        <v>46033.34375</v>
      </c>
      <c r="D3813" s="12">
        <v>1.3888888888888888E-2</v>
      </c>
      <c r="E3813" s="11">
        <v>46033.357638888891</v>
      </c>
      <c r="F3813" s="22" t="s">
        <v>25766</v>
      </c>
      <c r="G3813" s="13" t="b">
        <v>0</v>
      </c>
      <c r="H3813" s="22" t="s">
        <v>25767</v>
      </c>
      <c r="I3813" s="10" t="s">
        <v>212</v>
      </c>
      <c r="J3813" s="13" t="b">
        <v>1</v>
      </c>
      <c r="K3813" s="13" t="b">
        <v>0</v>
      </c>
      <c r="L3813" s="10" t="s">
        <v>124</v>
      </c>
      <c r="M3813" s="10" t="s">
        <v>91</v>
      </c>
      <c r="N3813" s="10" t="s">
        <v>92</v>
      </c>
      <c r="O3813" s="19" t="s">
        <v>25973</v>
      </c>
      <c r="P3813" s="10"/>
      <c r="Q3813" s="10" t="s">
        <v>94</v>
      </c>
      <c r="R3813" s="10"/>
      <c r="S3813" s="10"/>
      <c r="T3813" s="10"/>
      <c r="U3813" s="10"/>
      <c r="V3813" s="10"/>
      <c r="W3813" s="10" t="s">
        <v>25770</v>
      </c>
      <c r="X3813" s="10" t="s">
        <v>130</v>
      </c>
      <c r="Y3813" s="10" t="s">
        <v>130</v>
      </c>
      <c r="Z3813" s="10" t="s">
        <v>99</v>
      </c>
      <c r="AA3813" s="10" t="s">
        <v>131</v>
      </c>
      <c r="AB3813" s="10" t="s">
        <v>25771</v>
      </c>
      <c r="AC3813" s="10" t="s">
        <v>25772</v>
      </c>
      <c r="AD3813" s="10" t="s">
        <v>165</v>
      </c>
      <c r="AE3813" s="10" t="s">
        <v>25974</v>
      </c>
      <c r="AF3813" s="15"/>
      <c r="AG3813" s="10"/>
      <c r="AH3813" s="10"/>
      <c r="AI3813" s="10"/>
      <c r="AJ3813" s="10"/>
      <c r="AK3813" s="10" t="s">
        <v>102</v>
      </c>
      <c r="AL3813" s="10"/>
      <c r="AM3813" s="10"/>
      <c r="AN3813" s="10"/>
      <c r="AO3813" s="13" t="b">
        <v>0</v>
      </c>
      <c r="AP3813" s="22" t="s">
        <v>104</v>
      </c>
      <c r="AQ3813" s="10">
        <f ca="1">IFERROR(__xludf.DUMMYFUNCTION("""COMPUTED_VALUE"""),4833872)</f>
        <v>4833872</v>
      </c>
      <c r="AR3813" s="17"/>
      <c r="AS3813" s="17"/>
      <c r="AT3813" s="17"/>
      <c r="AU3813" s="17"/>
      <c r="AV3813" s="17"/>
      <c r="AW3813" s="10"/>
      <c r="AX3813" s="17"/>
      <c r="AY3813" s="18" t="s">
        <v>257</v>
      </c>
      <c r="AZ3813" s="10"/>
      <c r="BA3813" s="20" t="b">
        <v>0</v>
      </c>
      <c r="BB3813" s="10" t="s">
        <v>25955</v>
      </c>
      <c r="BC3813" s="17" t="s">
        <v>257</v>
      </c>
      <c r="BD3813" s="17" t="s">
        <v>257</v>
      </c>
      <c r="BE3813" s="17" t="s">
        <v>257</v>
      </c>
      <c r="BF3813" s="17" t="s">
        <v>257</v>
      </c>
      <c r="BG3813" s="11">
        <f ca="1">IFERROR(__xludf.DUMMYFUNCTION("""COMPUTED_VALUE"""),46033.34375)</f>
        <v>46033.34375</v>
      </c>
      <c r="BH3813" s="17"/>
      <c r="BI3813" s="17"/>
      <c r="BJ3813" s="15"/>
      <c r="BK3813" s="15"/>
      <c r="BL3813" s="13" t="b">
        <v>0</v>
      </c>
      <c r="BM3813" s="10"/>
      <c r="BN3813" s="10" t="s">
        <v>667</v>
      </c>
      <c r="BO3813" s="11">
        <v>46030.677777777775</v>
      </c>
      <c r="BP3813" s="11">
        <v>46030.677881944444</v>
      </c>
      <c r="BQ3813" s="15"/>
      <c r="BR3813" s="15">
        <v>46031.30395833333</v>
      </c>
      <c r="BS3813" s="10" t="s">
        <v>667</v>
      </c>
      <c r="BT3813" s="10"/>
      <c r="BU3813" s="10"/>
      <c r="BV3813" s="10"/>
      <c r="BW3813" s="10"/>
      <c r="BX3813" s="10"/>
      <c r="BY3813" s="23"/>
      <c r="BZ3813" s="23"/>
      <c r="CA3813" s="10"/>
      <c r="CB3813" s="23"/>
      <c r="CC3813" s="23"/>
      <c r="CD3813" s="23"/>
      <c r="CE3813" s="23"/>
      <c r="CF3813" s="23"/>
      <c r="CG3813" s="23"/>
      <c r="CH3813" s="23"/>
      <c r="CI3813" s="23"/>
    </row>
    <row r="3814" spans="1:87" x14ac:dyDescent="0.3">
      <c r="A3814" s="9" t="s">
        <v>25975</v>
      </c>
      <c r="B3814" s="10" t="s">
        <v>25976</v>
      </c>
      <c r="C3814" s="11">
        <v>46033.361111111109</v>
      </c>
      <c r="D3814" s="12">
        <v>1.3888888888888888E-2</v>
      </c>
      <c r="E3814" s="11">
        <v>46033.375</v>
      </c>
      <c r="F3814" s="22" t="s">
        <v>25766</v>
      </c>
      <c r="G3814" s="13" t="b">
        <v>0</v>
      </c>
      <c r="H3814" s="22" t="s">
        <v>25767</v>
      </c>
      <c r="I3814" s="10" t="s">
        <v>212</v>
      </c>
      <c r="J3814" s="13" t="b">
        <v>1</v>
      </c>
      <c r="K3814" s="13" t="b">
        <v>0</v>
      </c>
      <c r="L3814" s="10" t="s">
        <v>124</v>
      </c>
      <c r="M3814" s="10" t="s">
        <v>91</v>
      </c>
      <c r="N3814" s="10" t="s">
        <v>92</v>
      </c>
      <c r="O3814" s="19" t="s">
        <v>25977</v>
      </c>
      <c r="P3814" s="10"/>
      <c r="Q3814" s="10" t="s">
        <v>94</v>
      </c>
      <c r="R3814" s="10"/>
      <c r="S3814" s="10"/>
      <c r="T3814" s="10"/>
      <c r="U3814" s="10"/>
      <c r="V3814" s="10"/>
      <c r="W3814" s="10" t="s">
        <v>25770</v>
      </c>
      <c r="X3814" s="10" t="s">
        <v>130</v>
      </c>
      <c r="Y3814" s="10" t="s">
        <v>130</v>
      </c>
      <c r="Z3814" s="10" t="s">
        <v>99</v>
      </c>
      <c r="AA3814" s="10" t="s">
        <v>131</v>
      </c>
      <c r="AB3814" s="10" t="s">
        <v>25771</v>
      </c>
      <c r="AC3814" s="10" t="s">
        <v>25772</v>
      </c>
      <c r="AD3814" s="10" t="s">
        <v>165</v>
      </c>
      <c r="AE3814" s="10" t="s">
        <v>25978</v>
      </c>
      <c r="AF3814" s="15"/>
      <c r="AG3814" s="10"/>
      <c r="AH3814" s="10"/>
      <c r="AI3814" s="10"/>
      <c r="AJ3814" s="10"/>
      <c r="AK3814" s="10" t="s">
        <v>102</v>
      </c>
      <c r="AL3814" s="10"/>
      <c r="AM3814" s="10"/>
      <c r="AN3814" s="10"/>
      <c r="AO3814" s="13" t="b">
        <v>0</v>
      </c>
      <c r="AP3814" s="22" t="s">
        <v>104</v>
      </c>
      <c r="AQ3814" s="10">
        <f ca="1">IFERROR(__xludf.DUMMYFUNCTION("""COMPUTED_VALUE"""),4833873)</f>
        <v>4833873</v>
      </c>
      <c r="AR3814" s="17"/>
      <c r="AS3814" s="17"/>
      <c r="AT3814" s="17"/>
      <c r="AU3814" s="17"/>
      <c r="AV3814" s="17"/>
      <c r="AW3814" s="10"/>
      <c r="AX3814" s="17"/>
      <c r="AY3814" s="18" t="s">
        <v>257</v>
      </c>
      <c r="AZ3814" s="10"/>
      <c r="BA3814" s="20" t="b">
        <v>0</v>
      </c>
      <c r="BB3814" s="10" t="s">
        <v>25955</v>
      </c>
      <c r="BC3814" s="17" t="s">
        <v>257</v>
      </c>
      <c r="BD3814" s="17" t="s">
        <v>257</v>
      </c>
      <c r="BE3814" s="17" t="s">
        <v>257</v>
      </c>
      <c r="BF3814" s="17" t="s">
        <v>257</v>
      </c>
      <c r="BG3814" s="11">
        <f ca="1">IFERROR(__xludf.DUMMYFUNCTION("""COMPUTED_VALUE"""),46033.3611111111)</f>
        <v>46033.361111111102</v>
      </c>
      <c r="BH3814" s="17"/>
      <c r="BI3814" s="17"/>
      <c r="BJ3814" s="15"/>
      <c r="BK3814" s="15"/>
      <c r="BL3814" s="13" t="b">
        <v>0</v>
      </c>
      <c r="BM3814" s="10"/>
      <c r="BN3814" s="10" t="s">
        <v>667</v>
      </c>
      <c r="BO3814" s="11">
        <v>46030.677777777775</v>
      </c>
      <c r="BP3814" s="11">
        <v>46030.678229166668</v>
      </c>
      <c r="BQ3814" s="15"/>
      <c r="BR3814" s="15">
        <v>46031.304108796299</v>
      </c>
      <c r="BS3814" s="10" t="s">
        <v>667</v>
      </c>
      <c r="BT3814" s="10"/>
      <c r="BU3814" s="10"/>
      <c r="BV3814" s="10"/>
      <c r="BW3814" s="10"/>
      <c r="BX3814" s="10"/>
      <c r="BY3814" s="23"/>
      <c r="BZ3814" s="23"/>
      <c r="CA3814" s="10"/>
      <c r="CB3814" s="23"/>
      <c r="CC3814" s="23"/>
      <c r="CD3814" s="23"/>
      <c r="CE3814" s="23"/>
      <c r="CF3814" s="23"/>
      <c r="CG3814" s="23"/>
      <c r="CH3814" s="23"/>
      <c r="CI3814" s="23"/>
    </row>
    <row r="3815" spans="1:87" x14ac:dyDescent="0.3">
      <c r="A3815" s="9" t="s">
        <v>25979</v>
      </c>
      <c r="B3815" s="10" t="s">
        <v>25980</v>
      </c>
      <c r="C3815" s="11">
        <v>46033.378472222219</v>
      </c>
      <c r="D3815" s="12">
        <v>1.3888888888888888E-2</v>
      </c>
      <c r="E3815" s="11">
        <v>46033.392361111109</v>
      </c>
      <c r="F3815" s="22" t="s">
        <v>25766</v>
      </c>
      <c r="G3815" s="13" t="b">
        <v>0</v>
      </c>
      <c r="H3815" s="22" t="s">
        <v>25767</v>
      </c>
      <c r="I3815" s="10" t="s">
        <v>212</v>
      </c>
      <c r="J3815" s="13" t="b">
        <v>1</v>
      </c>
      <c r="K3815" s="13" t="b">
        <v>0</v>
      </c>
      <c r="L3815" s="10" t="s">
        <v>124</v>
      </c>
      <c r="M3815" s="10" t="s">
        <v>91</v>
      </c>
      <c r="N3815" s="10" t="s">
        <v>92</v>
      </c>
      <c r="O3815" s="19" t="s">
        <v>25981</v>
      </c>
      <c r="P3815" s="10"/>
      <c r="Q3815" s="10" t="s">
        <v>94</v>
      </c>
      <c r="R3815" s="10"/>
      <c r="S3815" s="10"/>
      <c r="T3815" s="10"/>
      <c r="U3815" s="10"/>
      <c r="V3815" s="10"/>
      <c r="W3815" s="10" t="s">
        <v>25770</v>
      </c>
      <c r="X3815" s="10" t="s">
        <v>130</v>
      </c>
      <c r="Y3815" s="10" t="s">
        <v>130</v>
      </c>
      <c r="Z3815" s="10" t="s">
        <v>99</v>
      </c>
      <c r="AA3815" s="10" t="s">
        <v>131</v>
      </c>
      <c r="AB3815" s="10" t="s">
        <v>25771</v>
      </c>
      <c r="AC3815" s="10" t="s">
        <v>25772</v>
      </c>
      <c r="AD3815" s="10" t="s">
        <v>165</v>
      </c>
      <c r="AE3815" s="10" t="s">
        <v>25982</v>
      </c>
      <c r="AF3815" s="15"/>
      <c r="AG3815" s="10"/>
      <c r="AH3815" s="10"/>
      <c r="AI3815" s="10"/>
      <c r="AJ3815" s="10"/>
      <c r="AK3815" s="10" t="s">
        <v>102</v>
      </c>
      <c r="AL3815" s="10"/>
      <c r="AM3815" s="10"/>
      <c r="AN3815" s="10"/>
      <c r="AO3815" s="13" t="b">
        <v>0</v>
      </c>
      <c r="AP3815" s="22" t="s">
        <v>104</v>
      </c>
      <c r="AQ3815" s="10">
        <f ca="1">IFERROR(__xludf.DUMMYFUNCTION("""COMPUTED_VALUE"""),4833874)</f>
        <v>4833874</v>
      </c>
      <c r="AR3815" s="17"/>
      <c r="AS3815" s="17"/>
      <c r="AT3815" s="17"/>
      <c r="AU3815" s="17"/>
      <c r="AV3815" s="17"/>
      <c r="AW3815" s="10"/>
      <c r="AX3815" s="17"/>
      <c r="AY3815" s="18" t="s">
        <v>257</v>
      </c>
      <c r="AZ3815" s="10"/>
      <c r="BA3815" s="20" t="b">
        <v>0</v>
      </c>
      <c r="BB3815" s="10" t="s">
        <v>25955</v>
      </c>
      <c r="BC3815" s="17" t="s">
        <v>257</v>
      </c>
      <c r="BD3815" s="17" t="s">
        <v>257</v>
      </c>
      <c r="BE3815" s="17" t="s">
        <v>257</v>
      </c>
      <c r="BF3815" s="17" t="s">
        <v>257</v>
      </c>
      <c r="BG3815" s="11">
        <f ca="1">IFERROR(__xludf.DUMMYFUNCTION("""COMPUTED_VALUE"""),46033.3784722222)</f>
        <v>46033.378472222197</v>
      </c>
      <c r="BH3815" s="17"/>
      <c r="BI3815" s="17"/>
      <c r="BJ3815" s="15"/>
      <c r="BK3815" s="15"/>
      <c r="BL3815" s="13" t="b">
        <v>0</v>
      </c>
      <c r="BM3815" s="10"/>
      <c r="BN3815" s="10" t="s">
        <v>667</v>
      </c>
      <c r="BO3815" s="11">
        <v>46030.678472222222</v>
      </c>
      <c r="BP3815" s="11">
        <v>46030.679259259261</v>
      </c>
      <c r="BQ3815" s="15"/>
      <c r="BR3815" s="15">
        <v>46031.304270833331</v>
      </c>
      <c r="BS3815" s="10" t="s">
        <v>667</v>
      </c>
      <c r="BT3815" s="10"/>
      <c r="BU3815" s="10"/>
      <c r="BV3815" s="10"/>
      <c r="BW3815" s="10"/>
      <c r="BX3815" s="10"/>
      <c r="BY3815" s="23"/>
      <c r="BZ3815" s="23"/>
      <c r="CA3815" s="10"/>
      <c r="CB3815" s="23"/>
      <c r="CC3815" s="23"/>
      <c r="CD3815" s="23"/>
      <c r="CE3815" s="23"/>
      <c r="CF3815" s="23"/>
      <c r="CG3815" s="23"/>
      <c r="CH3815" s="23"/>
      <c r="CI3815" s="23"/>
    </row>
    <row r="3816" spans="1:87" x14ac:dyDescent="0.3">
      <c r="A3816" s="9" t="s">
        <v>25983</v>
      </c>
      <c r="B3816" s="10" t="s">
        <v>25984</v>
      </c>
      <c r="C3816" s="11">
        <v>46033.395833333336</v>
      </c>
      <c r="D3816" s="12">
        <v>1.3888888888888888E-2</v>
      </c>
      <c r="E3816" s="11">
        <v>46033.409722222219</v>
      </c>
      <c r="F3816" s="22" t="s">
        <v>25766</v>
      </c>
      <c r="G3816" s="13" t="b">
        <v>0</v>
      </c>
      <c r="H3816" s="22" t="s">
        <v>25767</v>
      </c>
      <c r="I3816" s="10" t="s">
        <v>212</v>
      </c>
      <c r="J3816" s="13" t="b">
        <v>1</v>
      </c>
      <c r="K3816" s="13" t="b">
        <v>0</v>
      </c>
      <c r="L3816" s="10" t="s">
        <v>124</v>
      </c>
      <c r="M3816" s="10" t="s">
        <v>91</v>
      </c>
      <c r="N3816" s="10" t="s">
        <v>92</v>
      </c>
      <c r="O3816" s="19" t="s">
        <v>25985</v>
      </c>
      <c r="P3816" s="10"/>
      <c r="Q3816" s="10" t="s">
        <v>94</v>
      </c>
      <c r="R3816" s="10"/>
      <c r="S3816" s="10"/>
      <c r="T3816" s="10"/>
      <c r="U3816" s="10"/>
      <c r="V3816" s="10"/>
      <c r="W3816" s="10" t="s">
        <v>25770</v>
      </c>
      <c r="X3816" s="10" t="s">
        <v>130</v>
      </c>
      <c r="Y3816" s="10" t="s">
        <v>130</v>
      </c>
      <c r="Z3816" s="10" t="s">
        <v>99</v>
      </c>
      <c r="AA3816" s="10" t="s">
        <v>131</v>
      </c>
      <c r="AB3816" s="10" t="s">
        <v>25771</v>
      </c>
      <c r="AC3816" s="10" t="s">
        <v>25772</v>
      </c>
      <c r="AD3816" s="10" t="s">
        <v>165</v>
      </c>
      <c r="AE3816" s="10" t="s">
        <v>25986</v>
      </c>
      <c r="AF3816" s="15"/>
      <c r="AG3816" s="10"/>
      <c r="AH3816" s="10"/>
      <c r="AI3816" s="10"/>
      <c r="AJ3816" s="10"/>
      <c r="AK3816" s="10" t="s">
        <v>102</v>
      </c>
      <c r="AL3816" s="10"/>
      <c r="AM3816" s="10"/>
      <c r="AN3816" s="10"/>
      <c r="AO3816" s="13" t="b">
        <v>0</v>
      </c>
      <c r="AP3816" s="22" t="s">
        <v>104</v>
      </c>
      <c r="AQ3816" s="10">
        <f ca="1">IFERROR(__xludf.DUMMYFUNCTION("""COMPUTED_VALUE"""),4833875)</f>
        <v>4833875</v>
      </c>
      <c r="AR3816" s="17"/>
      <c r="AS3816" s="17"/>
      <c r="AT3816" s="17"/>
      <c r="AU3816" s="17"/>
      <c r="AV3816" s="17"/>
      <c r="AW3816" s="10"/>
      <c r="AX3816" s="17"/>
      <c r="AY3816" s="18" t="s">
        <v>257</v>
      </c>
      <c r="AZ3816" s="10"/>
      <c r="BA3816" s="20" t="b">
        <v>0</v>
      </c>
      <c r="BB3816" s="10" t="s">
        <v>25955</v>
      </c>
      <c r="BC3816" s="17" t="s">
        <v>257</v>
      </c>
      <c r="BD3816" s="17" t="s">
        <v>257</v>
      </c>
      <c r="BE3816" s="17" t="s">
        <v>257</v>
      </c>
      <c r="BF3816" s="17" t="s">
        <v>257</v>
      </c>
      <c r="BG3816" s="11">
        <f ca="1">IFERROR(__xludf.DUMMYFUNCTION("""COMPUTED_VALUE"""),46033.3958333333)</f>
        <v>46033.395833333299</v>
      </c>
      <c r="BH3816" s="17"/>
      <c r="BI3816" s="17"/>
      <c r="BJ3816" s="15"/>
      <c r="BK3816" s="15"/>
      <c r="BL3816" s="13" t="b">
        <v>0</v>
      </c>
      <c r="BM3816" s="10"/>
      <c r="BN3816" s="10" t="s">
        <v>667</v>
      </c>
      <c r="BO3816" s="11">
        <v>46030.679166666669</v>
      </c>
      <c r="BP3816" s="11">
        <v>46030.679594907408</v>
      </c>
      <c r="BQ3816" s="15"/>
      <c r="BR3816" s="15">
        <v>46031.304432870369</v>
      </c>
      <c r="BS3816" s="10" t="s">
        <v>667</v>
      </c>
      <c r="BT3816" s="10"/>
      <c r="BU3816" s="10"/>
      <c r="BV3816" s="10"/>
      <c r="BW3816" s="10"/>
      <c r="BX3816" s="10"/>
      <c r="BY3816" s="23"/>
      <c r="BZ3816" s="23"/>
      <c r="CA3816" s="10"/>
      <c r="CB3816" s="23"/>
      <c r="CC3816" s="23"/>
      <c r="CD3816" s="23"/>
      <c r="CE3816" s="23"/>
      <c r="CF3816" s="23"/>
      <c r="CG3816" s="23"/>
      <c r="CH3816" s="23"/>
      <c r="CI3816" s="23"/>
    </row>
    <row r="3817" spans="1:87" x14ac:dyDescent="0.3">
      <c r="A3817" s="9" t="s">
        <v>25987</v>
      </c>
      <c r="B3817" s="10" t="s">
        <v>25988</v>
      </c>
      <c r="C3817" s="11">
        <v>46033.413194444445</v>
      </c>
      <c r="D3817" s="12">
        <v>1.3888888888888888E-2</v>
      </c>
      <c r="E3817" s="11">
        <v>46033.427083333336</v>
      </c>
      <c r="F3817" s="22" t="s">
        <v>25766</v>
      </c>
      <c r="G3817" s="13" t="b">
        <v>0</v>
      </c>
      <c r="H3817" s="22" t="s">
        <v>25767</v>
      </c>
      <c r="I3817" s="10" t="s">
        <v>212</v>
      </c>
      <c r="J3817" s="13" t="b">
        <v>1</v>
      </c>
      <c r="K3817" s="13" t="b">
        <v>0</v>
      </c>
      <c r="L3817" s="10" t="s">
        <v>124</v>
      </c>
      <c r="M3817" s="10" t="s">
        <v>91</v>
      </c>
      <c r="N3817" s="10" t="s">
        <v>92</v>
      </c>
      <c r="O3817" s="19" t="s">
        <v>25989</v>
      </c>
      <c r="P3817" s="10"/>
      <c r="Q3817" s="10" t="s">
        <v>94</v>
      </c>
      <c r="R3817" s="10"/>
      <c r="S3817" s="10"/>
      <c r="T3817" s="10"/>
      <c r="U3817" s="10"/>
      <c r="V3817" s="10"/>
      <c r="W3817" s="10" t="s">
        <v>25770</v>
      </c>
      <c r="X3817" s="10" t="s">
        <v>130</v>
      </c>
      <c r="Y3817" s="10" t="s">
        <v>130</v>
      </c>
      <c r="Z3817" s="10" t="s">
        <v>99</v>
      </c>
      <c r="AA3817" s="10" t="s">
        <v>131</v>
      </c>
      <c r="AB3817" s="10" t="s">
        <v>25771</v>
      </c>
      <c r="AC3817" s="10" t="s">
        <v>25772</v>
      </c>
      <c r="AD3817" s="10" t="s">
        <v>165</v>
      </c>
      <c r="AE3817" s="10" t="s">
        <v>25990</v>
      </c>
      <c r="AF3817" s="15"/>
      <c r="AG3817" s="10"/>
      <c r="AH3817" s="10"/>
      <c r="AI3817" s="10"/>
      <c r="AJ3817" s="10"/>
      <c r="AK3817" s="10" t="s">
        <v>102</v>
      </c>
      <c r="AL3817" s="10"/>
      <c r="AM3817" s="10"/>
      <c r="AN3817" s="10"/>
      <c r="AO3817" s="13" t="b">
        <v>0</v>
      </c>
      <c r="AP3817" s="22" t="s">
        <v>104</v>
      </c>
      <c r="AQ3817" s="10">
        <f ca="1">IFERROR(__xludf.DUMMYFUNCTION("""COMPUTED_VALUE"""),4833876)</f>
        <v>4833876</v>
      </c>
      <c r="AR3817" s="17"/>
      <c r="AS3817" s="17"/>
      <c r="AT3817" s="17"/>
      <c r="AU3817" s="17"/>
      <c r="AV3817" s="17"/>
      <c r="AW3817" s="10"/>
      <c r="AX3817" s="17"/>
      <c r="AY3817" s="18" t="s">
        <v>257</v>
      </c>
      <c r="AZ3817" s="10"/>
      <c r="BA3817" s="20" t="b">
        <v>0</v>
      </c>
      <c r="BB3817" s="10" t="s">
        <v>25955</v>
      </c>
      <c r="BC3817" s="17" t="s">
        <v>257</v>
      </c>
      <c r="BD3817" s="17" t="s">
        <v>257</v>
      </c>
      <c r="BE3817" s="17" t="s">
        <v>257</v>
      </c>
      <c r="BF3817" s="17" t="s">
        <v>257</v>
      </c>
      <c r="BG3817" s="11">
        <f ca="1">IFERROR(__xludf.DUMMYFUNCTION("""COMPUTED_VALUE"""),46033.4131944444)</f>
        <v>46033.413194444402</v>
      </c>
      <c r="BH3817" s="17"/>
      <c r="BI3817" s="17"/>
      <c r="BJ3817" s="15"/>
      <c r="BK3817" s="15"/>
      <c r="BL3817" s="13" t="b">
        <v>0</v>
      </c>
      <c r="BM3817" s="10"/>
      <c r="BN3817" s="10" t="s">
        <v>667</v>
      </c>
      <c r="BO3817" s="11">
        <v>46030.679861111108</v>
      </c>
      <c r="BP3817" s="11">
        <v>46030.680011574077</v>
      </c>
      <c r="BQ3817" s="15"/>
      <c r="BR3817" s="15">
        <v>46031.304571759261</v>
      </c>
      <c r="BS3817" s="10" t="s">
        <v>667</v>
      </c>
      <c r="BT3817" s="10"/>
      <c r="BU3817" s="10"/>
      <c r="BV3817" s="10"/>
      <c r="BW3817" s="10"/>
      <c r="BX3817" s="10"/>
      <c r="BY3817" s="23"/>
      <c r="BZ3817" s="23"/>
      <c r="CA3817" s="10"/>
      <c r="CB3817" s="23"/>
      <c r="CC3817" s="23"/>
      <c r="CD3817" s="23"/>
      <c r="CE3817" s="23"/>
      <c r="CF3817" s="23"/>
      <c r="CG3817" s="23"/>
      <c r="CH3817" s="23"/>
      <c r="CI3817" s="23"/>
    </row>
    <row r="3818" spans="1:87" x14ac:dyDescent="0.3">
      <c r="A3818" s="9" t="s">
        <v>25991</v>
      </c>
      <c r="B3818" s="10" t="s">
        <v>25992</v>
      </c>
      <c r="C3818" s="11">
        <v>46033.430555555555</v>
      </c>
      <c r="D3818" s="12">
        <v>1.3888888888888888E-2</v>
      </c>
      <c r="E3818" s="11">
        <v>46033.444444444445</v>
      </c>
      <c r="F3818" s="22" t="s">
        <v>25766</v>
      </c>
      <c r="G3818" s="13" t="b">
        <v>0</v>
      </c>
      <c r="H3818" s="22" t="s">
        <v>25767</v>
      </c>
      <c r="I3818" s="10" t="s">
        <v>212</v>
      </c>
      <c r="J3818" s="13" t="b">
        <v>1</v>
      </c>
      <c r="K3818" s="13" t="b">
        <v>0</v>
      </c>
      <c r="L3818" s="10" t="s">
        <v>124</v>
      </c>
      <c r="M3818" s="10" t="s">
        <v>91</v>
      </c>
      <c r="N3818" s="10" t="s">
        <v>92</v>
      </c>
      <c r="O3818" s="19" t="s">
        <v>25993</v>
      </c>
      <c r="P3818" s="10"/>
      <c r="Q3818" s="10" t="s">
        <v>94</v>
      </c>
      <c r="R3818" s="10"/>
      <c r="S3818" s="10"/>
      <c r="T3818" s="10"/>
      <c r="U3818" s="10"/>
      <c r="V3818" s="10"/>
      <c r="W3818" s="10" t="s">
        <v>25770</v>
      </c>
      <c r="X3818" s="10" t="s">
        <v>130</v>
      </c>
      <c r="Y3818" s="10" t="s">
        <v>130</v>
      </c>
      <c r="Z3818" s="10" t="s">
        <v>99</v>
      </c>
      <c r="AA3818" s="10" t="s">
        <v>131</v>
      </c>
      <c r="AB3818" s="10" t="s">
        <v>25771</v>
      </c>
      <c r="AC3818" s="10" t="s">
        <v>25772</v>
      </c>
      <c r="AD3818" s="10" t="s">
        <v>165</v>
      </c>
      <c r="AE3818" s="10" t="s">
        <v>25994</v>
      </c>
      <c r="AF3818" s="15"/>
      <c r="AG3818" s="10"/>
      <c r="AH3818" s="10"/>
      <c r="AI3818" s="10"/>
      <c r="AJ3818" s="10"/>
      <c r="AK3818" s="10" t="s">
        <v>102</v>
      </c>
      <c r="AL3818" s="10"/>
      <c r="AM3818" s="10"/>
      <c r="AN3818" s="10"/>
      <c r="AO3818" s="13" t="b">
        <v>0</v>
      </c>
      <c r="AP3818" s="22" t="s">
        <v>104</v>
      </c>
      <c r="AQ3818" s="10">
        <f ca="1">IFERROR(__xludf.DUMMYFUNCTION("""COMPUTED_VALUE"""),4833877)</f>
        <v>4833877</v>
      </c>
      <c r="AR3818" s="17"/>
      <c r="AS3818" s="17"/>
      <c r="AT3818" s="17"/>
      <c r="AU3818" s="17"/>
      <c r="AV3818" s="17"/>
      <c r="AW3818" s="10"/>
      <c r="AX3818" s="17"/>
      <c r="AY3818" s="18" t="s">
        <v>257</v>
      </c>
      <c r="AZ3818" s="10"/>
      <c r="BA3818" s="20" t="b">
        <v>0</v>
      </c>
      <c r="BB3818" s="10" t="s">
        <v>25955</v>
      </c>
      <c r="BC3818" s="17" t="s">
        <v>257</v>
      </c>
      <c r="BD3818" s="17" t="s">
        <v>257</v>
      </c>
      <c r="BE3818" s="17" t="s">
        <v>257</v>
      </c>
      <c r="BF3818" s="17" t="s">
        <v>257</v>
      </c>
      <c r="BG3818" s="11">
        <f ca="1">IFERROR(__xludf.DUMMYFUNCTION("""COMPUTED_VALUE"""),46033.4305555555)</f>
        <v>46033.430555555497</v>
      </c>
      <c r="BH3818" s="17"/>
      <c r="BI3818" s="17"/>
      <c r="BJ3818" s="15"/>
      <c r="BK3818" s="15"/>
      <c r="BL3818" s="13" t="b">
        <v>0</v>
      </c>
      <c r="BM3818" s="10"/>
      <c r="BN3818" s="10" t="s">
        <v>667</v>
      </c>
      <c r="BO3818" s="11">
        <v>46030.679861111108</v>
      </c>
      <c r="BP3818" s="11">
        <v>46030.680439814816</v>
      </c>
      <c r="BQ3818" s="15"/>
      <c r="BR3818" s="15">
        <v>46031.304710648146</v>
      </c>
      <c r="BS3818" s="10" t="s">
        <v>667</v>
      </c>
      <c r="BT3818" s="10"/>
      <c r="BU3818" s="10"/>
      <c r="BV3818" s="10"/>
      <c r="BW3818" s="10"/>
      <c r="BX3818" s="10"/>
      <c r="BY3818" s="23"/>
      <c r="BZ3818" s="23"/>
      <c r="CA3818" s="10"/>
      <c r="CB3818" s="23"/>
      <c r="CC3818" s="23"/>
      <c r="CD3818" s="23"/>
      <c r="CE3818" s="23"/>
      <c r="CF3818" s="23"/>
      <c r="CG3818" s="23"/>
      <c r="CH3818" s="23"/>
      <c r="CI3818" s="23"/>
    </row>
    <row r="3819" spans="1:87" x14ac:dyDescent="0.3">
      <c r="A3819" s="9" t="s">
        <v>25995</v>
      </c>
      <c r="B3819" s="10" t="s">
        <v>25996</v>
      </c>
      <c r="C3819" s="11">
        <v>46033.458333333336</v>
      </c>
      <c r="D3819" s="12">
        <v>2.4305555555555556E-2</v>
      </c>
      <c r="E3819" s="11">
        <v>46033.482638888891</v>
      </c>
      <c r="F3819" s="22" t="s">
        <v>25766</v>
      </c>
      <c r="G3819" s="13" t="b">
        <v>0</v>
      </c>
      <c r="H3819" s="22" t="s">
        <v>25767</v>
      </c>
      <c r="I3819" s="10" t="s">
        <v>212</v>
      </c>
      <c r="J3819" s="13" t="b">
        <v>1</v>
      </c>
      <c r="K3819" s="13" t="b">
        <v>0</v>
      </c>
      <c r="L3819" s="10" t="s">
        <v>124</v>
      </c>
      <c r="M3819" s="10" t="s">
        <v>91</v>
      </c>
      <c r="N3819" s="10" t="s">
        <v>92</v>
      </c>
      <c r="O3819" s="19" t="s">
        <v>25997</v>
      </c>
      <c r="P3819" s="10"/>
      <c r="Q3819" s="10" t="s">
        <v>94</v>
      </c>
      <c r="R3819" s="10"/>
      <c r="S3819" s="10"/>
      <c r="T3819" s="10"/>
      <c r="U3819" s="10"/>
      <c r="V3819" s="10"/>
      <c r="W3819" s="10" t="s">
        <v>25770</v>
      </c>
      <c r="X3819" s="10" t="s">
        <v>130</v>
      </c>
      <c r="Y3819" s="10" t="s">
        <v>130</v>
      </c>
      <c r="Z3819" s="10" t="s">
        <v>99</v>
      </c>
      <c r="AA3819" s="10" t="s">
        <v>131</v>
      </c>
      <c r="AB3819" s="10" t="s">
        <v>25771</v>
      </c>
      <c r="AC3819" s="10" t="s">
        <v>25772</v>
      </c>
      <c r="AD3819" s="10" t="s">
        <v>165</v>
      </c>
      <c r="AE3819" s="10" t="s">
        <v>25998</v>
      </c>
      <c r="AF3819" s="15"/>
      <c r="AG3819" s="10"/>
      <c r="AH3819" s="10"/>
      <c r="AI3819" s="10"/>
      <c r="AJ3819" s="10"/>
      <c r="AK3819" s="10" t="s">
        <v>102</v>
      </c>
      <c r="AL3819" s="10"/>
      <c r="AM3819" s="10"/>
      <c r="AN3819" s="10"/>
      <c r="AO3819" s="13" t="b">
        <v>0</v>
      </c>
      <c r="AP3819" s="22" t="s">
        <v>104</v>
      </c>
      <c r="AQ3819" s="10">
        <f ca="1">IFERROR(__xludf.DUMMYFUNCTION("""COMPUTED_VALUE"""),4833878)</f>
        <v>4833878</v>
      </c>
      <c r="AR3819" s="17"/>
      <c r="AS3819" s="17"/>
      <c r="AT3819" s="17"/>
      <c r="AU3819" s="17"/>
      <c r="AV3819" s="17"/>
      <c r="AW3819" s="10"/>
      <c r="AX3819" s="17"/>
      <c r="AY3819" s="18" t="s">
        <v>257</v>
      </c>
      <c r="AZ3819" s="10"/>
      <c r="BA3819" s="20" t="b">
        <v>0</v>
      </c>
      <c r="BB3819" s="10" t="s">
        <v>25955</v>
      </c>
      <c r="BC3819" s="17" t="s">
        <v>257</v>
      </c>
      <c r="BD3819" s="17" t="s">
        <v>257</v>
      </c>
      <c r="BE3819" s="17" t="s">
        <v>257</v>
      </c>
      <c r="BF3819" s="17" t="s">
        <v>257</v>
      </c>
      <c r="BG3819" s="11">
        <f ca="1">IFERROR(__xludf.DUMMYFUNCTION("""COMPUTED_VALUE"""),46033.4583333333)</f>
        <v>46033.458333333299</v>
      </c>
      <c r="BH3819" s="17"/>
      <c r="BI3819" s="17"/>
      <c r="BJ3819" s="15"/>
      <c r="BK3819" s="15"/>
      <c r="BL3819" s="13" t="b">
        <v>0</v>
      </c>
      <c r="BM3819" s="10"/>
      <c r="BN3819" s="10" t="s">
        <v>667</v>
      </c>
      <c r="BO3819" s="11">
        <v>46030.680555555555</v>
      </c>
      <c r="BP3819" s="11">
        <v>46030.680833333332</v>
      </c>
      <c r="BQ3819" s="15"/>
      <c r="BR3819" s="15">
        <v>46031.304861111108</v>
      </c>
      <c r="BS3819" s="10" t="s">
        <v>667</v>
      </c>
      <c r="BT3819" s="10"/>
      <c r="BU3819" s="10"/>
      <c r="BV3819" s="10"/>
      <c r="BW3819" s="10"/>
      <c r="BX3819" s="10"/>
      <c r="BY3819" s="23"/>
      <c r="BZ3819" s="23"/>
      <c r="CA3819" s="10"/>
      <c r="CB3819" s="23"/>
      <c r="CC3819" s="23"/>
      <c r="CD3819" s="23"/>
      <c r="CE3819" s="23"/>
      <c r="CF3819" s="23"/>
      <c r="CG3819" s="23"/>
      <c r="CH3819" s="23"/>
      <c r="CI3819" s="23"/>
    </row>
    <row r="3820" spans="1:87" x14ac:dyDescent="0.3">
      <c r="A3820" s="9" t="s">
        <v>25999</v>
      </c>
      <c r="B3820" s="10" t="s">
        <v>26000</v>
      </c>
      <c r="C3820" s="11">
        <v>46033.486111111109</v>
      </c>
      <c r="D3820" s="12">
        <v>2.4305555555555556E-2</v>
      </c>
      <c r="E3820" s="11">
        <v>46033.510416666664</v>
      </c>
      <c r="F3820" s="22" t="s">
        <v>25766</v>
      </c>
      <c r="G3820" s="13" t="b">
        <v>0</v>
      </c>
      <c r="H3820" s="22" t="s">
        <v>25767</v>
      </c>
      <c r="I3820" s="10" t="s">
        <v>212</v>
      </c>
      <c r="J3820" s="13" t="b">
        <v>1</v>
      </c>
      <c r="K3820" s="13" t="b">
        <v>0</v>
      </c>
      <c r="L3820" s="10" t="s">
        <v>124</v>
      </c>
      <c r="M3820" s="10" t="s">
        <v>91</v>
      </c>
      <c r="N3820" s="10" t="s">
        <v>92</v>
      </c>
      <c r="O3820" s="19" t="s">
        <v>26001</v>
      </c>
      <c r="P3820" s="10"/>
      <c r="Q3820" s="10" t="s">
        <v>94</v>
      </c>
      <c r="R3820" s="10"/>
      <c r="S3820" s="10"/>
      <c r="T3820" s="10"/>
      <c r="U3820" s="10"/>
      <c r="V3820" s="10"/>
      <c r="W3820" s="10" t="s">
        <v>25770</v>
      </c>
      <c r="X3820" s="10" t="s">
        <v>130</v>
      </c>
      <c r="Y3820" s="10" t="s">
        <v>130</v>
      </c>
      <c r="Z3820" s="10" t="s">
        <v>99</v>
      </c>
      <c r="AA3820" s="10" t="s">
        <v>131</v>
      </c>
      <c r="AB3820" s="10" t="s">
        <v>25771</v>
      </c>
      <c r="AC3820" s="10" t="s">
        <v>25772</v>
      </c>
      <c r="AD3820" s="10" t="s">
        <v>165</v>
      </c>
      <c r="AE3820" s="10" t="s">
        <v>26002</v>
      </c>
      <c r="AF3820" s="15"/>
      <c r="AG3820" s="10"/>
      <c r="AH3820" s="10"/>
      <c r="AI3820" s="10"/>
      <c r="AJ3820" s="10"/>
      <c r="AK3820" s="10" t="s">
        <v>102</v>
      </c>
      <c r="AL3820" s="10"/>
      <c r="AM3820" s="10"/>
      <c r="AN3820" s="10"/>
      <c r="AO3820" s="13" t="b">
        <v>0</v>
      </c>
      <c r="AP3820" s="22" t="s">
        <v>104</v>
      </c>
      <c r="AQ3820" s="10">
        <f ca="1">IFERROR(__xludf.DUMMYFUNCTION("""COMPUTED_VALUE"""),4833879)</f>
        <v>4833879</v>
      </c>
      <c r="AR3820" s="17"/>
      <c r="AS3820" s="17"/>
      <c r="AT3820" s="17"/>
      <c r="AU3820" s="17"/>
      <c r="AV3820" s="17"/>
      <c r="AW3820" s="10"/>
      <c r="AX3820" s="17"/>
      <c r="AY3820" s="18" t="s">
        <v>257</v>
      </c>
      <c r="AZ3820" s="10"/>
      <c r="BA3820" s="20" t="b">
        <v>0</v>
      </c>
      <c r="BB3820" s="10" t="s">
        <v>25955</v>
      </c>
      <c r="BC3820" s="17" t="s">
        <v>257</v>
      </c>
      <c r="BD3820" s="17" t="s">
        <v>257</v>
      </c>
      <c r="BE3820" s="17" t="s">
        <v>257</v>
      </c>
      <c r="BF3820" s="17" t="s">
        <v>257</v>
      </c>
      <c r="BG3820" s="11">
        <f ca="1">IFERROR(__xludf.DUMMYFUNCTION("""COMPUTED_VALUE"""),46033.4861111111)</f>
        <v>46033.486111111102</v>
      </c>
      <c r="BH3820" s="17"/>
      <c r="BI3820" s="17"/>
      <c r="BJ3820" s="15"/>
      <c r="BK3820" s="15"/>
      <c r="BL3820" s="13" t="b">
        <v>0</v>
      </c>
      <c r="BM3820" s="10"/>
      <c r="BN3820" s="10" t="s">
        <v>667</v>
      </c>
      <c r="BO3820" s="11">
        <v>46030.680555555555</v>
      </c>
      <c r="BP3820" s="11">
        <v>46030.681527777779</v>
      </c>
      <c r="BQ3820" s="15"/>
      <c r="BR3820" s="15">
        <v>46031.305011574077</v>
      </c>
      <c r="BS3820" s="10" t="s">
        <v>667</v>
      </c>
      <c r="BT3820" s="10"/>
      <c r="BU3820" s="10"/>
      <c r="BV3820" s="10"/>
      <c r="BW3820" s="10"/>
      <c r="BX3820" s="10"/>
      <c r="BY3820" s="23"/>
      <c r="BZ3820" s="23"/>
      <c r="CA3820" s="10"/>
      <c r="CB3820" s="23"/>
      <c r="CC3820" s="23"/>
      <c r="CD3820" s="23"/>
      <c r="CE3820" s="23"/>
      <c r="CF3820" s="23"/>
      <c r="CG3820" s="23"/>
      <c r="CH3820" s="23"/>
      <c r="CI3820" s="23"/>
    </row>
    <row r="3821" spans="1:87" x14ac:dyDescent="0.3">
      <c r="A3821" s="9" t="s">
        <v>26003</v>
      </c>
      <c r="B3821" s="10" t="s">
        <v>26004</v>
      </c>
      <c r="C3821" s="11">
        <v>46033.513888888891</v>
      </c>
      <c r="D3821" s="12">
        <v>2.4305555555555556E-2</v>
      </c>
      <c r="E3821" s="11">
        <v>46033.538194444445</v>
      </c>
      <c r="F3821" s="22" t="s">
        <v>25766</v>
      </c>
      <c r="G3821" s="13" t="b">
        <v>0</v>
      </c>
      <c r="H3821" s="22" t="s">
        <v>25767</v>
      </c>
      <c r="I3821" s="10" t="s">
        <v>212</v>
      </c>
      <c r="J3821" s="13" t="b">
        <v>1</v>
      </c>
      <c r="K3821" s="13" t="b">
        <v>0</v>
      </c>
      <c r="L3821" s="10" t="s">
        <v>124</v>
      </c>
      <c r="M3821" s="10" t="s">
        <v>91</v>
      </c>
      <c r="N3821" s="10" t="s">
        <v>92</v>
      </c>
      <c r="O3821" s="19" t="s">
        <v>26005</v>
      </c>
      <c r="P3821" s="10"/>
      <c r="Q3821" s="10" t="s">
        <v>94</v>
      </c>
      <c r="R3821" s="10"/>
      <c r="S3821" s="10"/>
      <c r="T3821" s="10"/>
      <c r="U3821" s="10"/>
      <c r="V3821" s="10"/>
      <c r="W3821" s="10" t="s">
        <v>25770</v>
      </c>
      <c r="X3821" s="10" t="s">
        <v>130</v>
      </c>
      <c r="Y3821" s="10" t="s">
        <v>130</v>
      </c>
      <c r="Z3821" s="10" t="s">
        <v>99</v>
      </c>
      <c r="AA3821" s="10" t="s">
        <v>131</v>
      </c>
      <c r="AB3821" s="10" t="s">
        <v>25771</v>
      </c>
      <c r="AC3821" s="10" t="s">
        <v>25772</v>
      </c>
      <c r="AD3821" s="10" t="s">
        <v>165</v>
      </c>
      <c r="AE3821" s="10" t="s">
        <v>26006</v>
      </c>
      <c r="AF3821" s="15"/>
      <c r="AG3821" s="10"/>
      <c r="AH3821" s="10"/>
      <c r="AI3821" s="10"/>
      <c r="AJ3821" s="10"/>
      <c r="AK3821" s="10" t="s">
        <v>102</v>
      </c>
      <c r="AL3821" s="10"/>
      <c r="AM3821" s="10"/>
      <c r="AN3821" s="10"/>
      <c r="AO3821" s="13" t="b">
        <v>0</v>
      </c>
      <c r="AP3821" s="22" t="s">
        <v>104</v>
      </c>
      <c r="AQ3821" s="10">
        <f ca="1">IFERROR(__xludf.DUMMYFUNCTION("""COMPUTED_VALUE"""),4833880)</f>
        <v>4833880</v>
      </c>
      <c r="AR3821" s="17"/>
      <c r="AS3821" s="17"/>
      <c r="AT3821" s="17"/>
      <c r="AU3821" s="17"/>
      <c r="AV3821" s="17"/>
      <c r="AW3821" s="10"/>
      <c r="AX3821" s="17"/>
      <c r="AY3821" s="18" t="s">
        <v>257</v>
      </c>
      <c r="AZ3821" s="10"/>
      <c r="BA3821" s="20" t="b">
        <v>0</v>
      </c>
      <c r="BB3821" s="10" t="s">
        <v>25955</v>
      </c>
      <c r="BC3821" s="17" t="s">
        <v>257</v>
      </c>
      <c r="BD3821" s="17" t="s">
        <v>257</v>
      </c>
      <c r="BE3821" s="17" t="s">
        <v>257</v>
      </c>
      <c r="BF3821" s="17" t="s">
        <v>257</v>
      </c>
      <c r="BG3821" s="11">
        <f ca="1">IFERROR(__xludf.DUMMYFUNCTION("""COMPUTED_VALUE"""),46033.5138888888)</f>
        <v>46033.513888888803</v>
      </c>
      <c r="BH3821" s="17"/>
      <c r="BI3821" s="17"/>
      <c r="BJ3821" s="15"/>
      <c r="BK3821" s="15"/>
      <c r="BL3821" s="13" t="b">
        <v>0</v>
      </c>
      <c r="BM3821" s="10"/>
      <c r="BN3821" s="10" t="s">
        <v>667</v>
      </c>
      <c r="BO3821" s="11">
        <v>46030.681250000001</v>
      </c>
      <c r="BP3821" s="11">
        <v>46030.681909722225</v>
      </c>
      <c r="BQ3821" s="15"/>
      <c r="BR3821" s="15">
        <v>46031.305173611108</v>
      </c>
      <c r="BS3821" s="10" t="s">
        <v>667</v>
      </c>
      <c r="BT3821" s="10"/>
      <c r="BU3821" s="10"/>
      <c r="BV3821" s="10"/>
      <c r="BW3821" s="10"/>
      <c r="BX3821" s="10"/>
      <c r="BY3821" s="23"/>
      <c r="BZ3821" s="23"/>
      <c r="CA3821" s="10"/>
      <c r="CB3821" s="23"/>
      <c r="CC3821" s="23"/>
      <c r="CD3821" s="23"/>
      <c r="CE3821" s="23"/>
      <c r="CF3821" s="23"/>
      <c r="CG3821" s="23"/>
      <c r="CH3821" s="23"/>
      <c r="CI3821" s="23"/>
    </row>
    <row r="3822" spans="1:87" x14ac:dyDescent="0.3">
      <c r="A3822" s="9" t="s">
        <v>26007</v>
      </c>
      <c r="B3822" s="10" t="s">
        <v>26008</v>
      </c>
      <c r="C3822" s="11">
        <v>46033.541666666664</v>
      </c>
      <c r="D3822" s="12">
        <v>2.4305555555555556E-2</v>
      </c>
      <c r="E3822" s="11">
        <v>46033.565972222219</v>
      </c>
      <c r="F3822" s="22" t="s">
        <v>25766</v>
      </c>
      <c r="G3822" s="13" t="b">
        <v>0</v>
      </c>
      <c r="H3822" s="22" t="s">
        <v>25767</v>
      </c>
      <c r="I3822" s="10" t="s">
        <v>212</v>
      </c>
      <c r="J3822" s="13" t="b">
        <v>1</v>
      </c>
      <c r="K3822" s="13" t="b">
        <v>0</v>
      </c>
      <c r="L3822" s="10" t="s">
        <v>124</v>
      </c>
      <c r="M3822" s="10" t="s">
        <v>91</v>
      </c>
      <c r="N3822" s="10" t="s">
        <v>92</v>
      </c>
      <c r="O3822" s="19" t="s">
        <v>26009</v>
      </c>
      <c r="P3822" s="10"/>
      <c r="Q3822" s="10" t="s">
        <v>94</v>
      </c>
      <c r="R3822" s="10"/>
      <c r="S3822" s="10"/>
      <c r="T3822" s="10"/>
      <c r="U3822" s="10"/>
      <c r="V3822" s="10"/>
      <c r="W3822" s="10" t="s">
        <v>25770</v>
      </c>
      <c r="X3822" s="10" t="s">
        <v>130</v>
      </c>
      <c r="Y3822" s="10" t="s">
        <v>130</v>
      </c>
      <c r="Z3822" s="10" t="s">
        <v>99</v>
      </c>
      <c r="AA3822" s="10" t="s">
        <v>131</v>
      </c>
      <c r="AB3822" s="10" t="s">
        <v>25771</v>
      </c>
      <c r="AC3822" s="10" t="s">
        <v>25772</v>
      </c>
      <c r="AD3822" s="10" t="s">
        <v>165</v>
      </c>
      <c r="AE3822" s="10" t="s">
        <v>26010</v>
      </c>
      <c r="AF3822" s="15"/>
      <c r="AG3822" s="10"/>
      <c r="AH3822" s="10"/>
      <c r="AI3822" s="10"/>
      <c r="AJ3822" s="10"/>
      <c r="AK3822" s="10" t="s">
        <v>102</v>
      </c>
      <c r="AL3822" s="10"/>
      <c r="AM3822" s="10"/>
      <c r="AN3822" s="10"/>
      <c r="AO3822" s="13" t="b">
        <v>0</v>
      </c>
      <c r="AP3822" s="22" t="s">
        <v>104</v>
      </c>
      <c r="AQ3822" s="10">
        <f ca="1">IFERROR(__xludf.DUMMYFUNCTION("""COMPUTED_VALUE"""),4833881)</f>
        <v>4833881</v>
      </c>
      <c r="AR3822" s="17"/>
      <c r="AS3822" s="17"/>
      <c r="AT3822" s="17"/>
      <c r="AU3822" s="17"/>
      <c r="AV3822" s="17"/>
      <c r="AW3822" s="10"/>
      <c r="AX3822" s="17"/>
      <c r="AY3822" s="18" t="s">
        <v>257</v>
      </c>
      <c r="AZ3822" s="10"/>
      <c r="BA3822" s="20" t="b">
        <v>0</v>
      </c>
      <c r="BB3822" s="10" t="s">
        <v>25955</v>
      </c>
      <c r="BC3822" s="17" t="s">
        <v>257</v>
      </c>
      <c r="BD3822" s="17" t="s">
        <v>257</v>
      </c>
      <c r="BE3822" s="17" t="s">
        <v>257</v>
      </c>
      <c r="BF3822" s="17" t="s">
        <v>257</v>
      </c>
      <c r="BG3822" s="11">
        <f ca="1">IFERROR(__xludf.DUMMYFUNCTION("""COMPUTED_VALUE"""),46033.5416666666)</f>
        <v>46033.541666666599</v>
      </c>
      <c r="BH3822" s="17"/>
      <c r="BI3822" s="17"/>
      <c r="BJ3822" s="15"/>
      <c r="BK3822" s="15"/>
      <c r="BL3822" s="13" t="b">
        <v>0</v>
      </c>
      <c r="BM3822" s="10"/>
      <c r="BN3822" s="10" t="s">
        <v>667</v>
      </c>
      <c r="BO3822" s="11">
        <v>46030.681944444441</v>
      </c>
      <c r="BP3822" s="11">
        <v>46030.682152777779</v>
      </c>
      <c r="BQ3822" s="15"/>
      <c r="BR3822" s="15">
        <v>46031.305312500001</v>
      </c>
      <c r="BS3822" s="10" t="s">
        <v>667</v>
      </c>
      <c r="BT3822" s="10"/>
      <c r="BU3822" s="10"/>
      <c r="BV3822" s="10"/>
      <c r="BW3822" s="10"/>
      <c r="BX3822" s="10"/>
      <c r="BY3822" s="23"/>
      <c r="BZ3822" s="23"/>
      <c r="CA3822" s="10"/>
      <c r="CB3822" s="23"/>
      <c r="CC3822" s="23"/>
      <c r="CD3822" s="23"/>
      <c r="CE3822" s="23"/>
      <c r="CF3822" s="23"/>
      <c r="CG3822" s="23"/>
      <c r="CH3822" s="23"/>
      <c r="CI3822" s="23"/>
    </row>
    <row r="3823" spans="1:87" x14ac:dyDescent="0.3">
      <c r="A3823" s="9" t="s">
        <v>26011</v>
      </c>
      <c r="B3823" s="10" t="s">
        <v>26012</v>
      </c>
      <c r="C3823" s="11">
        <v>46033.569444444445</v>
      </c>
      <c r="D3823" s="12">
        <v>2.4305555555555556E-2</v>
      </c>
      <c r="E3823" s="11">
        <v>46033.59375</v>
      </c>
      <c r="F3823" s="22" t="s">
        <v>25766</v>
      </c>
      <c r="G3823" s="13" t="b">
        <v>0</v>
      </c>
      <c r="H3823" s="22" t="s">
        <v>25767</v>
      </c>
      <c r="I3823" s="10" t="s">
        <v>212</v>
      </c>
      <c r="J3823" s="13" t="b">
        <v>1</v>
      </c>
      <c r="K3823" s="13" t="b">
        <v>0</v>
      </c>
      <c r="L3823" s="10" t="s">
        <v>124</v>
      </c>
      <c r="M3823" s="10" t="s">
        <v>91</v>
      </c>
      <c r="N3823" s="10" t="s">
        <v>92</v>
      </c>
      <c r="O3823" s="19" t="s">
        <v>26013</v>
      </c>
      <c r="P3823" s="10"/>
      <c r="Q3823" s="10" t="s">
        <v>94</v>
      </c>
      <c r="R3823" s="10"/>
      <c r="S3823" s="10"/>
      <c r="T3823" s="10"/>
      <c r="U3823" s="10"/>
      <c r="V3823" s="10"/>
      <c r="W3823" s="10" t="s">
        <v>25770</v>
      </c>
      <c r="X3823" s="10" t="s">
        <v>130</v>
      </c>
      <c r="Y3823" s="10" t="s">
        <v>130</v>
      </c>
      <c r="Z3823" s="10" t="s">
        <v>99</v>
      </c>
      <c r="AA3823" s="10" t="s">
        <v>131</v>
      </c>
      <c r="AB3823" s="10" t="s">
        <v>25771</v>
      </c>
      <c r="AC3823" s="10" t="s">
        <v>25772</v>
      </c>
      <c r="AD3823" s="10" t="s">
        <v>165</v>
      </c>
      <c r="AE3823" s="10" t="s">
        <v>26014</v>
      </c>
      <c r="AF3823" s="15"/>
      <c r="AG3823" s="10"/>
      <c r="AH3823" s="10"/>
      <c r="AI3823" s="10"/>
      <c r="AJ3823" s="10"/>
      <c r="AK3823" s="10" t="s">
        <v>102</v>
      </c>
      <c r="AL3823" s="10"/>
      <c r="AM3823" s="10"/>
      <c r="AN3823" s="10"/>
      <c r="AO3823" s="13" t="b">
        <v>0</v>
      </c>
      <c r="AP3823" s="22" t="s">
        <v>104</v>
      </c>
      <c r="AQ3823" s="10">
        <f ca="1">IFERROR(__xludf.DUMMYFUNCTION("""COMPUTED_VALUE"""),4833882)</f>
        <v>4833882</v>
      </c>
      <c r="AR3823" s="17"/>
      <c r="AS3823" s="17"/>
      <c r="AT3823" s="17"/>
      <c r="AU3823" s="17"/>
      <c r="AV3823" s="17"/>
      <c r="AW3823" s="10"/>
      <c r="AX3823" s="17"/>
      <c r="AY3823" s="18" t="s">
        <v>257</v>
      </c>
      <c r="AZ3823" s="10"/>
      <c r="BA3823" s="20" t="b">
        <v>0</v>
      </c>
      <c r="BB3823" s="10" t="s">
        <v>25955</v>
      </c>
      <c r="BC3823" s="17" t="s">
        <v>257</v>
      </c>
      <c r="BD3823" s="17" t="s">
        <v>257</v>
      </c>
      <c r="BE3823" s="17" t="s">
        <v>257</v>
      </c>
      <c r="BF3823" s="17" t="s">
        <v>257</v>
      </c>
      <c r="BG3823" s="11">
        <f ca="1">IFERROR(__xludf.DUMMYFUNCTION("""COMPUTED_VALUE"""),46033.5694444444)</f>
        <v>46033.569444444402</v>
      </c>
      <c r="BH3823" s="17"/>
      <c r="BI3823" s="17"/>
      <c r="BJ3823" s="15"/>
      <c r="BK3823" s="15"/>
      <c r="BL3823" s="13" t="b">
        <v>0</v>
      </c>
      <c r="BM3823" s="10"/>
      <c r="BN3823" s="10" t="s">
        <v>667</v>
      </c>
      <c r="BO3823" s="11">
        <v>46030.681944444441</v>
      </c>
      <c r="BP3823" s="11">
        <v>46030.682569444441</v>
      </c>
      <c r="BQ3823" s="15"/>
      <c r="BR3823" s="15">
        <v>46031.305439814816</v>
      </c>
      <c r="BS3823" s="10" t="s">
        <v>667</v>
      </c>
      <c r="BT3823" s="10"/>
      <c r="BU3823" s="10"/>
      <c r="BV3823" s="10"/>
      <c r="BW3823" s="10"/>
      <c r="BX3823" s="10"/>
      <c r="BY3823" s="23"/>
      <c r="BZ3823" s="23"/>
      <c r="CA3823" s="10"/>
      <c r="CB3823" s="23"/>
      <c r="CC3823" s="23"/>
      <c r="CD3823" s="23"/>
      <c r="CE3823" s="23"/>
      <c r="CF3823" s="23"/>
      <c r="CG3823" s="23"/>
      <c r="CH3823" s="23"/>
      <c r="CI3823" s="23"/>
    </row>
    <row r="3824" spans="1:87" x14ac:dyDescent="0.3">
      <c r="A3824" s="9" t="s">
        <v>26015</v>
      </c>
      <c r="B3824" s="10" t="s">
        <v>26016</v>
      </c>
      <c r="C3824" s="11">
        <v>46033.597222222219</v>
      </c>
      <c r="D3824" s="12">
        <v>2.4305555555555556E-2</v>
      </c>
      <c r="E3824" s="11">
        <v>46033.621527777781</v>
      </c>
      <c r="F3824" s="22" t="s">
        <v>25766</v>
      </c>
      <c r="G3824" s="13" t="b">
        <v>0</v>
      </c>
      <c r="H3824" s="22" t="s">
        <v>25767</v>
      </c>
      <c r="I3824" s="10" t="s">
        <v>212</v>
      </c>
      <c r="J3824" s="13" t="b">
        <v>1</v>
      </c>
      <c r="K3824" s="13" t="b">
        <v>0</v>
      </c>
      <c r="L3824" s="10" t="s">
        <v>124</v>
      </c>
      <c r="M3824" s="10" t="s">
        <v>91</v>
      </c>
      <c r="N3824" s="10" t="s">
        <v>92</v>
      </c>
      <c r="O3824" s="19" t="s">
        <v>26017</v>
      </c>
      <c r="P3824" s="10"/>
      <c r="Q3824" s="10" t="s">
        <v>94</v>
      </c>
      <c r="R3824" s="10"/>
      <c r="S3824" s="10"/>
      <c r="T3824" s="10"/>
      <c r="U3824" s="10"/>
      <c r="V3824" s="10"/>
      <c r="W3824" s="10" t="s">
        <v>25770</v>
      </c>
      <c r="X3824" s="10" t="s">
        <v>130</v>
      </c>
      <c r="Y3824" s="10" t="s">
        <v>130</v>
      </c>
      <c r="Z3824" s="10" t="s">
        <v>99</v>
      </c>
      <c r="AA3824" s="10" t="s">
        <v>131</v>
      </c>
      <c r="AB3824" s="10" t="s">
        <v>25771</v>
      </c>
      <c r="AC3824" s="10" t="s">
        <v>25772</v>
      </c>
      <c r="AD3824" s="10" t="s">
        <v>165</v>
      </c>
      <c r="AE3824" s="10" t="s">
        <v>26018</v>
      </c>
      <c r="AF3824" s="15"/>
      <c r="AG3824" s="10"/>
      <c r="AH3824" s="10"/>
      <c r="AI3824" s="10"/>
      <c r="AJ3824" s="10"/>
      <c r="AK3824" s="10" t="s">
        <v>102</v>
      </c>
      <c r="AL3824" s="10"/>
      <c r="AM3824" s="10"/>
      <c r="AN3824" s="10"/>
      <c r="AO3824" s="13" t="b">
        <v>0</v>
      </c>
      <c r="AP3824" s="22" t="s">
        <v>104</v>
      </c>
      <c r="AQ3824" s="10">
        <f ca="1">IFERROR(__xludf.DUMMYFUNCTION("""COMPUTED_VALUE"""),4833883)</f>
        <v>4833883</v>
      </c>
      <c r="AR3824" s="17"/>
      <c r="AS3824" s="17"/>
      <c r="AT3824" s="17"/>
      <c r="AU3824" s="17"/>
      <c r="AV3824" s="17"/>
      <c r="AW3824" s="10"/>
      <c r="AX3824" s="17"/>
      <c r="AY3824" s="18" t="s">
        <v>257</v>
      </c>
      <c r="AZ3824" s="10"/>
      <c r="BA3824" s="20" t="b">
        <v>0</v>
      </c>
      <c r="BB3824" s="10" t="s">
        <v>25955</v>
      </c>
      <c r="BC3824" s="17" t="s">
        <v>257</v>
      </c>
      <c r="BD3824" s="17" t="s">
        <v>257</v>
      </c>
      <c r="BE3824" s="17" t="s">
        <v>257</v>
      </c>
      <c r="BF3824" s="17" t="s">
        <v>257</v>
      </c>
      <c r="BG3824" s="11">
        <f ca="1">IFERROR(__xludf.DUMMYFUNCTION("""COMPUTED_VALUE"""),46033.5972222222)</f>
        <v>46033.597222222197</v>
      </c>
      <c r="BH3824" s="17"/>
      <c r="BI3824" s="17"/>
      <c r="BJ3824" s="15"/>
      <c r="BK3824" s="15"/>
      <c r="BL3824" s="13" t="b">
        <v>0</v>
      </c>
      <c r="BM3824" s="10"/>
      <c r="BN3824" s="10" t="s">
        <v>667</v>
      </c>
      <c r="BO3824" s="11">
        <v>46030.682638888888</v>
      </c>
      <c r="BP3824" s="11">
        <v>46030.682812500003</v>
      </c>
      <c r="BQ3824" s="15"/>
      <c r="BR3824" s="15">
        <v>46031.305625000001</v>
      </c>
      <c r="BS3824" s="10" t="s">
        <v>667</v>
      </c>
      <c r="BT3824" s="10"/>
      <c r="BU3824" s="10"/>
      <c r="BV3824" s="10"/>
      <c r="BW3824" s="10"/>
      <c r="BX3824" s="10"/>
      <c r="BY3824" s="23"/>
      <c r="BZ3824" s="23"/>
      <c r="CA3824" s="10"/>
      <c r="CB3824" s="23"/>
      <c r="CC3824" s="23"/>
      <c r="CD3824" s="23"/>
      <c r="CE3824" s="23"/>
      <c r="CF3824" s="23"/>
      <c r="CG3824" s="23"/>
      <c r="CH3824" s="23"/>
      <c r="CI3824" s="23"/>
    </row>
    <row r="3825" spans="1:87" x14ac:dyDescent="0.3">
      <c r="A3825" s="9" t="s">
        <v>26019</v>
      </c>
      <c r="B3825" s="10" t="s">
        <v>26020</v>
      </c>
      <c r="C3825" s="11">
        <v>46033.291666666664</v>
      </c>
      <c r="D3825" s="12">
        <v>0.125</v>
      </c>
      <c r="E3825" s="11">
        <v>46033.416666666664</v>
      </c>
      <c r="F3825" s="22" t="s">
        <v>25766</v>
      </c>
      <c r="G3825" s="13" t="b">
        <v>0</v>
      </c>
      <c r="H3825" s="22" t="s">
        <v>25767</v>
      </c>
      <c r="I3825" s="10" t="s">
        <v>212</v>
      </c>
      <c r="J3825" s="13" t="b">
        <v>1</v>
      </c>
      <c r="K3825" s="13" t="b">
        <v>0</v>
      </c>
      <c r="L3825" s="10" t="s">
        <v>124</v>
      </c>
      <c r="M3825" s="10" t="s">
        <v>91</v>
      </c>
      <c r="N3825" s="10" t="s">
        <v>92</v>
      </c>
      <c r="O3825" s="19" t="s">
        <v>26021</v>
      </c>
      <c r="P3825" s="10"/>
      <c r="Q3825" s="10" t="s">
        <v>94</v>
      </c>
      <c r="R3825" s="10"/>
      <c r="S3825" s="19" t="s">
        <v>25769</v>
      </c>
      <c r="T3825" s="10"/>
      <c r="U3825" s="10"/>
      <c r="V3825" s="10"/>
      <c r="W3825" s="10" t="s">
        <v>25770</v>
      </c>
      <c r="X3825" s="10" t="s">
        <v>130</v>
      </c>
      <c r="Y3825" s="10" t="s">
        <v>130</v>
      </c>
      <c r="Z3825" s="10" t="s">
        <v>99</v>
      </c>
      <c r="AA3825" s="10" t="s">
        <v>131</v>
      </c>
      <c r="AB3825" s="10" t="s">
        <v>25771</v>
      </c>
      <c r="AC3825" s="10" t="s">
        <v>25772</v>
      </c>
      <c r="AD3825" s="10" t="s">
        <v>165</v>
      </c>
      <c r="AE3825" s="10" t="s">
        <v>26022</v>
      </c>
      <c r="AF3825" s="15"/>
      <c r="AG3825" s="10"/>
      <c r="AH3825" s="10"/>
      <c r="AI3825" s="10"/>
      <c r="AJ3825" s="10"/>
      <c r="AK3825" s="10" t="s">
        <v>102</v>
      </c>
      <c r="AL3825" s="10" t="s">
        <v>103</v>
      </c>
      <c r="AM3825" s="10"/>
      <c r="AN3825" s="10"/>
      <c r="AO3825" s="13" t="b">
        <v>0</v>
      </c>
      <c r="AP3825" s="22" t="s">
        <v>104</v>
      </c>
      <c r="AQ3825" s="10">
        <f ca="1">IFERROR(__xludf.DUMMYFUNCTION("""COMPUTED_VALUE"""),20277)</f>
        <v>20277</v>
      </c>
      <c r="AR3825" s="17"/>
      <c r="AS3825" s="17"/>
      <c r="AT3825" s="17"/>
      <c r="AU3825" s="17"/>
      <c r="AV3825" s="17"/>
      <c r="AW3825" s="10"/>
      <c r="AX3825" s="17"/>
      <c r="AY3825" s="18" t="s">
        <v>257</v>
      </c>
      <c r="AZ3825" s="10"/>
      <c r="BA3825" s="20" t="b">
        <v>1</v>
      </c>
      <c r="BB3825" s="10"/>
      <c r="BC3825" s="17" t="s">
        <v>257</v>
      </c>
      <c r="BD3825" s="17" t="s">
        <v>257</v>
      </c>
      <c r="BE3825" s="17" t="s">
        <v>257</v>
      </c>
      <c r="BF3825" s="17" t="s">
        <v>257</v>
      </c>
      <c r="BG3825" s="11">
        <f ca="1">IFERROR(__xludf.DUMMYFUNCTION("""COMPUTED_VALUE"""),46033.2916666666)</f>
        <v>46033.291666666599</v>
      </c>
      <c r="BH3825" s="17" t="s">
        <v>105</v>
      </c>
      <c r="BI3825" s="17"/>
      <c r="BJ3825" s="15"/>
      <c r="BK3825" s="15"/>
      <c r="BL3825" s="13" t="b">
        <v>0</v>
      </c>
      <c r="BM3825" s="10"/>
      <c r="BN3825" s="10" t="s">
        <v>667</v>
      </c>
      <c r="BO3825" s="11">
        <v>46030.683333333334</v>
      </c>
      <c r="BP3825" s="11">
        <v>46030.709398148145</v>
      </c>
      <c r="BQ3825" s="15">
        <v>46030.700474537036</v>
      </c>
      <c r="BR3825" s="15">
        <v>46031.327361111114</v>
      </c>
      <c r="BS3825" s="10" t="s">
        <v>667</v>
      </c>
      <c r="BT3825" s="10"/>
      <c r="BU3825" s="10"/>
      <c r="BV3825" s="10"/>
      <c r="BW3825" s="10"/>
      <c r="BX3825" s="10"/>
      <c r="BY3825" s="23"/>
      <c r="BZ3825" s="23"/>
      <c r="CA3825" s="19" t="s">
        <v>25774</v>
      </c>
      <c r="CB3825" s="23"/>
      <c r="CC3825" s="23"/>
      <c r="CD3825" s="23"/>
      <c r="CE3825" s="23"/>
      <c r="CF3825" s="23"/>
      <c r="CG3825" s="23"/>
      <c r="CH3825" s="23"/>
      <c r="CI3825" s="23"/>
    </row>
    <row r="3826" spans="1:87" x14ac:dyDescent="0.3">
      <c r="A3826" s="9" t="s">
        <v>26023</v>
      </c>
      <c r="B3826" s="10" t="s">
        <v>26024</v>
      </c>
      <c r="C3826" s="11">
        <v>46033.291666666664</v>
      </c>
      <c r="D3826" s="12">
        <v>4.1666666666666664E-2</v>
      </c>
      <c r="E3826" s="11">
        <v>46033.333333333336</v>
      </c>
      <c r="F3826" s="22" t="s">
        <v>25766</v>
      </c>
      <c r="G3826" s="13" t="b">
        <v>0</v>
      </c>
      <c r="H3826" s="22" t="s">
        <v>25767</v>
      </c>
      <c r="I3826" s="10" t="s">
        <v>212</v>
      </c>
      <c r="J3826" s="13" t="b">
        <v>1</v>
      </c>
      <c r="K3826" s="13" t="b">
        <v>0</v>
      </c>
      <c r="L3826" s="10" t="s">
        <v>124</v>
      </c>
      <c r="M3826" s="10" t="s">
        <v>91</v>
      </c>
      <c r="N3826" s="10" t="s">
        <v>92</v>
      </c>
      <c r="O3826" s="19" t="s">
        <v>26025</v>
      </c>
      <c r="P3826" s="10"/>
      <c r="Q3826" s="10" t="s">
        <v>94</v>
      </c>
      <c r="R3826" s="10"/>
      <c r="S3826" s="10"/>
      <c r="T3826" s="10"/>
      <c r="U3826" s="10"/>
      <c r="V3826" s="10"/>
      <c r="W3826" s="10" t="s">
        <v>25770</v>
      </c>
      <c r="X3826" s="10" t="s">
        <v>130</v>
      </c>
      <c r="Y3826" s="10" t="s">
        <v>130</v>
      </c>
      <c r="Z3826" s="10" t="s">
        <v>99</v>
      </c>
      <c r="AA3826" s="10" t="s">
        <v>131</v>
      </c>
      <c r="AB3826" s="10" t="s">
        <v>25771</v>
      </c>
      <c r="AC3826" s="10" t="s">
        <v>25772</v>
      </c>
      <c r="AD3826" s="10" t="s">
        <v>165</v>
      </c>
      <c r="AE3826" s="10" t="s">
        <v>26026</v>
      </c>
      <c r="AF3826" s="15"/>
      <c r="AG3826" s="10"/>
      <c r="AH3826" s="10"/>
      <c r="AI3826" s="10"/>
      <c r="AJ3826" s="10"/>
      <c r="AK3826" s="10" t="s">
        <v>102</v>
      </c>
      <c r="AL3826" s="10"/>
      <c r="AM3826" s="10"/>
      <c r="AN3826" s="10"/>
      <c r="AO3826" s="13" t="b">
        <v>0</v>
      </c>
      <c r="AP3826" s="22" t="s">
        <v>104</v>
      </c>
      <c r="AQ3826" s="10">
        <f ca="1">IFERROR(__xludf.DUMMYFUNCTION("""COMPUTED_VALUE"""),4833889)</f>
        <v>4833889</v>
      </c>
      <c r="AR3826" s="17"/>
      <c r="AS3826" s="17"/>
      <c r="AT3826" s="17"/>
      <c r="AU3826" s="17"/>
      <c r="AV3826" s="17"/>
      <c r="AW3826" s="10"/>
      <c r="AX3826" s="17"/>
      <c r="AY3826" s="18" t="s">
        <v>257</v>
      </c>
      <c r="AZ3826" s="10"/>
      <c r="BA3826" s="20" t="b">
        <v>0</v>
      </c>
      <c r="BB3826" s="10" t="s">
        <v>26019</v>
      </c>
      <c r="BC3826" s="17" t="s">
        <v>257</v>
      </c>
      <c r="BD3826" s="17" t="s">
        <v>257</v>
      </c>
      <c r="BE3826" s="17" t="s">
        <v>257</v>
      </c>
      <c r="BF3826" s="17" t="s">
        <v>257</v>
      </c>
      <c r="BG3826" s="11">
        <f ca="1">IFERROR(__xludf.DUMMYFUNCTION("""COMPUTED_VALUE"""),46033.2916666666)</f>
        <v>46033.291666666599</v>
      </c>
      <c r="BH3826" s="17"/>
      <c r="BI3826" s="17"/>
      <c r="BJ3826" s="15"/>
      <c r="BK3826" s="15"/>
      <c r="BL3826" s="13" t="b">
        <v>0</v>
      </c>
      <c r="BM3826" s="10"/>
      <c r="BN3826" s="10" t="s">
        <v>667</v>
      </c>
      <c r="BO3826" s="11">
        <v>46030.688194444447</v>
      </c>
      <c r="BP3826" s="11">
        <v>46030.689027777778</v>
      </c>
      <c r="BQ3826" s="15"/>
      <c r="BR3826" s="15">
        <v>46031.326597222222</v>
      </c>
      <c r="BS3826" s="10" t="s">
        <v>667</v>
      </c>
      <c r="BT3826" s="10"/>
      <c r="BU3826" s="10"/>
      <c r="BV3826" s="10"/>
      <c r="BW3826" s="10"/>
      <c r="BX3826" s="10"/>
      <c r="BY3826" s="23"/>
      <c r="BZ3826" s="23"/>
      <c r="CA3826" s="10"/>
      <c r="CB3826" s="23"/>
      <c r="CC3826" s="23"/>
      <c r="CD3826" s="23"/>
      <c r="CE3826" s="23"/>
      <c r="CF3826" s="23"/>
      <c r="CG3826" s="23"/>
      <c r="CH3826" s="23"/>
      <c r="CI3826" s="23"/>
    </row>
    <row r="3827" spans="1:87" x14ac:dyDescent="0.3">
      <c r="A3827" s="9" t="s">
        <v>26027</v>
      </c>
      <c r="B3827" s="10" t="s">
        <v>26028</v>
      </c>
      <c r="C3827" s="11">
        <v>46033.333333333336</v>
      </c>
      <c r="D3827" s="12">
        <v>4.1666666666666664E-2</v>
      </c>
      <c r="E3827" s="11">
        <v>46033.375</v>
      </c>
      <c r="F3827" s="22" t="s">
        <v>25766</v>
      </c>
      <c r="G3827" s="13" t="b">
        <v>0</v>
      </c>
      <c r="H3827" s="22" t="s">
        <v>25767</v>
      </c>
      <c r="I3827" s="10" t="s">
        <v>212</v>
      </c>
      <c r="J3827" s="13" t="b">
        <v>1</v>
      </c>
      <c r="K3827" s="13" t="b">
        <v>0</v>
      </c>
      <c r="L3827" s="10" t="s">
        <v>124</v>
      </c>
      <c r="M3827" s="10" t="s">
        <v>91</v>
      </c>
      <c r="N3827" s="10" t="s">
        <v>92</v>
      </c>
      <c r="O3827" s="19" t="s">
        <v>26029</v>
      </c>
      <c r="P3827" s="10"/>
      <c r="Q3827" s="10" t="s">
        <v>94</v>
      </c>
      <c r="R3827" s="10"/>
      <c r="S3827" s="10"/>
      <c r="T3827" s="10"/>
      <c r="U3827" s="10"/>
      <c r="V3827" s="10"/>
      <c r="W3827" s="10" t="s">
        <v>25770</v>
      </c>
      <c r="X3827" s="10" t="s">
        <v>130</v>
      </c>
      <c r="Y3827" s="10" t="s">
        <v>130</v>
      </c>
      <c r="Z3827" s="10" t="s">
        <v>99</v>
      </c>
      <c r="AA3827" s="10" t="s">
        <v>131</v>
      </c>
      <c r="AB3827" s="10" t="s">
        <v>25771</v>
      </c>
      <c r="AC3827" s="10" t="s">
        <v>25772</v>
      </c>
      <c r="AD3827" s="10" t="s">
        <v>165</v>
      </c>
      <c r="AE3827" s="10" t="s">
        <v>26030</v>
      </c>
      <c r="AF3827" s="15"/>
      <c r="AG3827" s="10"/>
      <c r="AH3827" s="10"/>
      <c r="AI3827" s="10"/>
      <c r="AJ3827" s="10"/>
      <c r="AK3827" s="10" t="s">
        <v>102</v>
      </c>
      <c r="AL3827" s="10"/>
      <c r="AM3827" s="10"/>
      <c r="AN3827" s="10"/>
      <c r="AO3827" s="13" t="b">
        <v>0</v>
      </c>
      <c r="AP3827" s="22" t="s">
        <v>104</v>
      </c>
      <c r="AQ3827" s="10">
        <f ca="1">IFERROR(__xludf.DUMMYFUNCTION("""COMPUTED_VALUE"""),4833890)</f>
        <v>4833890</v>
      </c>
      <c r="AR3827" s="17"/>
      <c r="AS3827" s="17"/>
      <c r="AT3827" s="17"/>
      <c r="AU3827" s="17"/>
      <c r="AV3827" s="17"/>
      <c r="AW3827" s="10"/>
      <c r="AX3827" s="17"/>
      <c r="AY3827" s="18" t="s">
        <v>257</v>
      </c>
      <c r="AZ3827" s="10"/>
      <c r="BA3827" s="20" t="b">
        <v>0</v>
      </c>
      <c r="BB3827" s="10" t="s">
        <v>26019</v>
      </c>
      <c r="BC3827" s="17" t="s">
        <v>257</v>
      </c>
      <c r="BD3827" s="17" t="s">
        <v>257</v>
      </c>
      <c r="BE3827" s="17" t="s">
        <v>257</v>
      </c>
      <c r="BF3827" s="17" t="s">
        <v>257</v>
      </c>
      <c r="BG3827" s="11">
        <f ca="1">IFERROR(__xludf.DUMMYFUNCTION("""COMPUTED_VALUE"""),46033.3333333333)</f>
        <v>46033.333333333299</v>
      </c>
      <c r="BH3827" s="17"/>
      <c r="BI3827" s="17"/>
      <c r="BJ3827" s="15"/>
      <c r="BK3827" s="15"/>
      <c r="BL3827" s="13" t="b">
        <v>0</v>
      </c>
      <c r="BM3827" s="10"/>
      <c r="BN3827" s="10" t="s">
        <v>667</v>
      </c>
      <c r="BO3827" s="11">
        <v>46030.688888888886</v>
      </c>
      <c r="BP3827" s="11">
        <v>46030.689201388886</v>
      </c>
      <c r="BQ3827" s="15"/>
      <c r="BR3827" s="15">
        <v>46031.326793981483</v>
      </c>
      <c r="BS3827" s="10" t="s">
        <v>667</v>
      </c>
      <c r="BT3827" s="10"/>
      <c r="BU3827" s="10"/>
      <c r="BV3827" s="10"/>
      <c r="BW3827" s="10"/>
      <c r="BX3827" s="10"/>
      <c r="BY3827" s="23"/>
      <c r="BZ3827" s="23"/>
      <c r="CA3827" s="10"/>
      <c r="CB3827" s="23"/>
      <c r="CC3827" s="23"/>
      <c r="CD3827" s="23"/>
      <c r="CE3827" s="23"/>
      <c r="CF3827" s="23"/>
      <c r="CG3827" s="23"/>
      <c r="CH3827" s="23"/>
      <c r="CI3827" s="23"/>
    </row>
    <row r="3828" spans="1:87" x14ac:dyDescent="0.3">
      <c r="A3828" s="9" t="s">
        <v>26031</v>
      </c>
      <c r="B3828" s="10" t="s">
        <v>26032</v>
      </c>
      <c r="C3828" s="11">
        <v>46033.375</v>
      </c>
      <c r="D3828" s="12">
        <v>4.1666666666666664E-2</v>
      </c>
      <c r="E3828" s="11">
        <v>46033.416666666664</v>
      </c>
      <c r="F3828" s="22" t="s">
        <v>25766</v>
      </c>
      <c r="G3828" s="13" t="b">
        <v>0</v>
      </c>
      <c r="H3828" s="22" t="s">
        <v>25767</v>
      </c>
      <c r="I3828" s="10" t="s">
        <v>212</v>
      </c>
      <c r="J3828" s="13" t="b">
        <v>1</v>
      </c>
      <c r="K3828" s="13" t="b">
        <v>0</v>
      </c>
      <c r="L3828" s="10" t="s">
        <v>124</v>
      </c>
      <c r="M3828" s="10" t="s">
        <v>91</v>
      </c>
      <c r="N3828" s="10" t="s">
        <v>92</v>
      </c>
      <c r="O3828" s="19" t="s">
        <v>26033</v>
      </c>
      <c r="P3828" s="10"/>
      <c r="Q3828" s="10" t="s">
        <v>94</v>
      </c>
      <c r="R3828" s="10"/>
      <c r="S3828" s="10"/>
      <c r="T3828" s="10"/>
      <c r="U3828" s="10"/>
      <c r="V3828" s="10"/>
      <c r="W3828" s="10" t="s">
        <v>25770</v>
      </c>
      <c r="X3828" s="10" t="s">
        <v>130</v>
      </c>
      <c r="Y3828" s="10" t="s">
        <v>130</v>
      </c>
      <c r="Z3828" s="10" t="s">
        <v>99</v>
      </c>
      <c r="AA3828" s="10" t="s">
        <v>131</v>
      </c>
      <c r="AB3828" s="10" t="s">
        <v>25771</v>
      </c>
      <c r="AC3828" s="10" t="s">
        <v>25772</v>
      </c>
      <c r="AD3828" s="10" t="s">
        <v>165</v>
      </c>
      <c r="AE3828" s="10" t="s">
        <v>26034</v>
      </c>
      <c r="AF3828" s="15"/>
      <c r="AG3828" s="10"/>
      <c r="AH3828" s="10"/>
      <c r="AI3828" s="10"/>
      <c r="AJ3828" s="10"/>
      <c r="AK3828" s="10" t="s">
        <v>102</v>
      </c>
      <c r="AL3828" s="10"/>
      <c r="AM3828" s="10"/>
      <c r="AN3828" s="10"/>
      <c r="AO3828" s="13" t="b">
        <v>0</v>
      </c>
      <c r="AP3828" s="22" t="s">
        <v>104</v>
      </c>
      <c r="AQ3828" s="10">
        <f ca="1">IFERROR(__xludf.DUMMYFUNCTION("""COMPUTED_VALUE"""),4833891)</f>
        <v>4833891</v>
      </c>
      <c r="AR3828" s="17"/>
      <c r="AS3828" s="17"/>
      <c r="AT3828" s="17"/>
      <c r="AU3828" s="17"/>
      <c r="AV3828" s="17"/>
      <c r="AW3828" s="10"/>
      <c r="AX3828" s="17"/>
      <c r="AY3828" s="18" t="s">
        <v>257</v>
      </c>
      <c r="AZ3828" s="10"/>
      <c r="BA3828" s="20" t="b">
        <v>0</v>
      </c>
      <c r="BB3828" s="10" t="s">
        <v>26019</v>
      </c>
      <c r="BC3828" s="17" t="s">
        <v>257</v>
      </c>
      <c r="BD3828" s="17" t="s">
        <v>257</v>
      </c>
      <c r="BE3828" s="17" t="s">
        <v>257</v>
      </c>
      <c r="BF3828" s="17" t="s">
        <v>257</v>
      </c>
      <c r="BG3828" s="11">
        <f ca="1">IFERROR(__xludf.DUMMYFUNCTION("""COMPUTED_VALUE"""),46033.375)</f>
        <v>46033.375</v>
      </c>
      <c r="BH3828" s="17"/>
      <c r="BI3828" s="17"/>
      <c r="BJ3828" s="15"/>
      <c r="BK3828" s="15"/>
      <c r="BL3828" s="13" t="b">
        <v>0</v>
      </c>
      <c r="BM3828" s="10"/>
      <c r="BN3828" s="10" t="s">
        <v>667</v>
      </c>
      <c r="BO3828" s="11">
        <v>46030.688888888886</v>
      </c>
      <c r="BP3828" s="11">
        <v>46030.689398148148</v>
      </c>
      <c r="BQ3828" s="15"/>
      <c r="BR3828" s="15">
        <v>46031.326932870368</v>
      </c>
      <c r="BS3828" s="10" t="s">
        <v>667</v>
      </c>
      <c r="BT3828" s="10"/>
      <c r="BU3828" s="10"/>
      <c r="BV3828" s="10"/>
      <c r="BW3828" s="10"/>
      <c r="BX3828" s="10"/>
      <c r="BY3828" s="23"/>
      <c r="BZ3828" s="23"/>
      <c r="CA3828" s="10"/>
      <c r="CB3828" s="23"/>
      <c r="CC3828" s="23"/>
      <c r="CD3828" s="23"/>
      <c r="CE3828" s="23"/>
      <c r="CF3828" s="23"/>
      <c r="CG3828" s="23"/>
      <c r="CH3828" s="23"/>
      <c r="CI3828" s="23"/>
    </row>
    <row r="3829" spans="1:87" x14ac:dyDescent="0.3">
      <c r="A3829" s="9" t="s">
        <v>26035</v>
      </c>
      <c r="B3829" s="10" t="s">
        <v>26036</v>
      </c>
      <c r="C3829" s="11">
        <v>46033.416666666664</v>
      </c>
      <c r="D3829" s="12">
        <v>0.125</v>
      </c>
      <c r="E3829" s="11">
        <v>46033.541666666664</v>
      </c>
      <c r="F3829" s="22" t="s">
        <v>25766</v>
      </c>
      <c r="G3829" s="13" t="b">
        <v>0</v>
      </c>
      <c r="H3829" s="22" t="s">
        <v>25767</v>
      </c>
      <c r="I3829" s="10" t="s">
        <v>212</v>
      </c>
      <c r="J3829" s="13" t="b">
        <v>1</v>
      </c>
      <c r="K3829" s="13" t="b">
        <v>0</v>
      </c>
      <c r="L3829" s="10" t="s">
        <v>124</v>
      </c>
      <c r="M3829" s="10" t="s">
        <v>91</v>
      </c>
      <c r="N3829" s="10" t="s">
        <v>92</v>
      </c>
      <c r="O3829" s="10"/>
      <c r="P3829" s="10"/>
      <c r="Q3829" s="10" t="s">
        <v>94</v>
      </c>
      <c r="R3829" s="10"/>
      <c r="S3829" s="19" t="s">
        <v>25769</v>
      </c>
      <c r="T3829" s="10"/>
      <c r="U3829" s="10"/>
      <c r="V3829" s="10"/>
      <c r="W3829" s="10" t="s">
        <v>25770</v>
      </c>
      <c r="X3829" s="10" t="s">
        <v>130</v>
      </c>
      <c r="Y3829" s="10" t="s">
        <v>130</v>
      </c>
      <c r="Z3829" s="10" t="s">
        <v>99</v>
      </c>
      <c r="AA3829" s="10" t="s">
        <v>131</v>
      </c>
      <c r="AB3829" s="10" t="s">
        <v>25771</v>
      </c>
      <c r="AC3829" s="10" t="s">
        <v>25772</v>
      </c>
      <c r="AD3829" s="10" t="s">
        <v>165</v>
      </c>
      <c r="AE3829" s="10" t="s">
        <v>26037</v>
      </c>
      <c r="AF3829" s="15"/>
      <c r="AG3829" s="10"/>
      <c r="AH3829" s="10"/>
      <c r="AI3829" s="10"/>
      <c r="AJ3829" s="10"/>
      <c r="AK3829" s="10" t="s">
        <v>256</v>
      </c>
      <c r="AL3829" s="10" t="s">
        <v>103</v>
      </c>
      <c r="AM3829" s="10"/>
      <c r="AN3829" s="10"/>
      <c r="AO3829" s="13" t="b">
        <v>0</v>
      </c>
      <c r="AP3829" s="22" t="s">
        <v>104</v>
      </c>
      <c r="AQ3829" s="10"/>
      <c r="AR3829" s="17"/>
      <c r="AS3829" s="17"/>
      <c r="AT3829" s="17"/>
      <c r="AU3829" s="17"/>
      <c r="AV3829" s="17"/>
      <c r="AW3829" s="10"/>
      <c r="AX3829" s="17"/>
      <c r="AY3829" s="18" t="s">
        <v>257</v>
      </c>
      <c r="AZ3829" s="10"/>
      <c r="BA3829" s="20" t="b">
        <v>1</v>
      </c>
      <c r="BB3829" s="10"/>
      <c r="BC3829" s="17" t="s">
        <v>257</v>
      </c>
      <c r="BD3829" s="17" t="s">
        <v>257</v>
      </c>
      <c r="BE3829" s="17" t="s">
        <v>257</v>
      </c>
      <c r="BF3829" s="17" t="s">
        <v>257</v>
      </c>
      <c r="BG3829" s="11">
        <f ca="1">IFERROR(__xludf.DUMMYFUNCTION("""COMPUTED_VALUE"""),46033.4166666666)</f>
        <v>46033.416666666599</v>
      </c>
      <c r="BH3829" s="17" t="s">
        <v>105</v>
      </c>
      <c r="BI3829" s="17"/>
      <c r="BJ3829" s="15"/>
      <c r="BK3829" s="15"/>
      <c r="BL3829" s="13" t="b">
        <v>0</v>
      </c>
      <c r="BM3829" s="10" t="s">
        <v>240</v>
      </c>
      <c r="BN3829" s="10" t="s">
        <v>108</v>
      </c>
      <c r="BO3829" s="11">
        <v>46030.69027777778</v>
      </c>
      <c r="BP3829" s="11">
        <v>46031.474085648151</v>
      </c>
      <c r="BQ3829" s="15">
        <v>46030.700671296298</v>
      </c>
      <c r="BR3829" s="15"/>
      <c r="BS3829" s="10"/>
      <c r="BT3829" s="10"/>
      <c r="BU3829" s="10"/>
      <c r="BV3829" s="10"/>
      <c r="BW3829" s="10"/>
      <c r="BX3829" s="10"/>
      <c r="BY3829" s="23"/>
      <c r="BZ3829" s="23"/>
      <c r="CA3829" s="19" t="s">
        <v>25774</v>
      </c>
      <c r="CB3829" s="23"/>
      <c r="CC3829" s="23"/>
      <c r="CD3829" s="23"/>
      <c r="CE3829" s="23"/>
      <c r="CF3829" s="23"/>
      <c r="CG3829" s="23"/>
      <c r="CH3829" s="23"/>
      <c r="CI3829" s="23"/>
    </row>
    <row r="3830" spans="1:87" x14ac:dyDescent="0.3">
      <c r="A3830" s="9" t="s">
        <v>26038</v>
      </c>
      <c r="B3830" s="10" t="s">
        <v>26039</v>
      </c>
      <c r="C3830" s="11">
        <v>46033.416666666664</v>
      </c>
      <c r="D3830" s="12">
        <v>4.1666666666666664E-2</v>
      </c>
      <c r="E3830" s="11">
        <v>46033.458333333336</v>
      </c>
      <c r="F3830" s="22" t="s">
        <v>25766</v>
      </c>
      <c r="G3830" s="13" t="b">
        <v>0</v>
      </c>
      <c r="H3830" s="22" t="s">
        <v>25767</v>
      </c>
      <c r="I3830" s="10" t="s">
        <v>212</v>
      </c>
      <c r="J3830" s="13" t="b">
        <v>1</v>
      </c>
      <c r="K3830" s="13" t="b">
        <v>0</v>
      </c>
      <c r="L3830" s="10" t="s">
        <v>124</v>
      </c>
      <c r="M3830" s="10" t="s">
        <v>91</v>
      </c>
      <c r="N3830" s="10" t="s">
        <v>92</v>
      </c>
      <c r="O3830" s="10"/>
      <c r="P3830" s="10"/>
      <c r="Q3830" s="10" t="s">
        <v>94</v>
      </c>
      <c r="R3830" s="10"/>
      <c r="S3830" s="10"/>
      <c r="T3830" s="10"/>
      <c r="U3830" s="10"/>
      <c r="V3830" s="10"/>
      <c r="W3830" s="10" t="s">
        <v>25770</v>
      </c>
      <c r="X3830" s="10" t="s">
        <v>130</v>
      </c>
      <c r="Y3830" s="10" t="s">
        <v>130</v>
      </c>
      <c r="Z3830" s="10" t="s">
        <v>99</v>
      </c>
      <c r="AA3830" s="10" t="s">
        <v>131</v>
      </c>
      <c r="AB3830" s="10" t="s">
        <v>25771</v>
      </c>
      <c r="AC3830" s="10" t="s">
        <v>25772</v>
      </c>
      <c r="AD3830" s="10" t="s">
        <v>165</v>
      </c>
      <c r="AE3830" s="10" t="s">
        <v>26040</v>
      </c>
      <c r="AF3830" s="15"/>
      <c r="AG3830" s="10"/>
      <c r="AH3830" s="10"/>
      <c r="AI3830" s="10"/>
      <c r="AJ3830" s="10"/>
      <c r="AK3830" s="10"/>
      <c r="AL3830" s="10"/>
      <c r="AM3830" s="10"/>
      <c r="AN3830" s="10"/>
      <c r="AO3830" s="13" t="b">
        <v>0</v>
      </c>
      <c r="AP3830" s="22" t="s">
        <v>104</v>
      </c>
      <c r="AQ3830" s="10"/>
      <c r="AR3830" s="17"/>
      <c r="AS3830" s="17"/>
      <c r="AT3830" s="17"/>
      <c r="AU3830" s="17"/>
      <c r="AV3830" s="17"/>
      <c r="AW3830" s="10"/>
      <c r="AX3830" s="17"/>
      <c r="AY3830" s="18" t="s">
        <v>257</v>
      </c>
      <c r="AZ3830" s="10"/>
      <c r="BA3830" s="20" t="b">
        <v>0</v>
      </c>
      <c r="BB3830" s="10" t="s">
        <v>26035</v>
      </c>
      <c r="BC3830" s="17" t="s">
        <v>257</v>
      </c>
      <c r="BD3830" s="17" t="s">
        <v>257</v>
      </c>
      <c r="BE3830" s="17" t="s">
        <v>257</v>
      </c>
      <c r="BF3830" s="17" t="s">
        <v>257</v>
      </c>
      <c r="BG3830" s="11">
        <f ca="1">IFERROR(__xludf.DUMMYFUNCTION("""COMPUTED_VALUE"""),46033.4166666666)</f>
        <v>46033.416666666599</v>
      </c>
      <c r="BH3830" s="17"/>
      <c r="BI3830" s="17"/>
      <c r="BJ3830" s="15"/>
      <c r="BK3830" s="15"/>
      <c r="BL3830" s="13" t="b">
        <v>0</v>
      </c>
      <c r="BM3830" s="10"/>
      <c r="BN3830" s="10" t="s">
        <v>108</v>
      </c>
      <c r="BO3830" s="11">
        <v>46030.690972222219</v>
      </c>
      <c r="BP3830" s="11">
        <v>46030.691643518519</v>
      </c>
      <c r="BQ3830" s="15"/>
      <c r="BR3830" s="15"/>
      <c r="BS3830" s="10" t="s">
        <v>108</v>
      </c>
      <c r="BT3830" s="10"/>
      <c r="BU3830" s="10"/>
      <c r="BV3830" s="10"/>
      <c r="BW3830" s="10"/>
      <c r="BX3830" s="10"/>
      <c r="BY3830" s="23"/>
      <c r="BZ3830" s="23"/>
      <c r="CA3830" s="10"/>
      <c r="CB3830" s="23"/>
      <c r="CC3830" s="23"/>
      <c r="CD3830" s="23"/>
      <c r="CE3830" s="23"/>
      <c r="CF3830" s="23"/>
      <c r="CG3830" s="23"/>
      <c r="CH3830" s="23"/>
      <c r="CI3830" s="23"/>
    </row>
    <row r="3831" spans="1:87" x14ac:dyDescent="0.3">
      <c r="A3831" s="25" t="s">
        <v>26041</v>
      </c>
      <c r="B3831" s="10" t="s">
        <v>26042</v>
      </c>
      <c r="C3831" s="11">
        <v>46033.458333333336</v>
      </c>
      <c r="D3831" s="12">
        <v>4.1666666666666664E-2</v>
      </c>
      <c r="E3831" s="11">
        <v>46033.5</v>
      </c>
      <c r="F3831" s="22" t="s">
        <v>25766</v>
      </c>
      <c r="G3831" s="13" t="b">
        <v>0</v>
      </c>
      <c r="H3831" s="22" t="s">
        <v>25767</v>
      </c>
      <c r="I3831" s="10" t="s">
        <v>212</v>
      </c>
      <c r="J3831" s="13" t="b">
        <v>1</v>
      </c>
      <c r="K3831" s="13" t="b">
        <v>0</v>
      </c>
      <c r="L3831" s="10" t="s">
        <v>124</v>
      </c>
      <c r="M3831" s="10" t="s">
        <v>91</v>
      </c>
      <c r="N3831" s="10" t="s">
        <v>92</v>
      </c>
      <c r="O3831" s="10"/>
      <c r="P3831" s="10"/>
      <c r="Q3831" s="10" t="s">
        <v>94</v>
      </c>
      <c r="R3831" s="10"/>
      <c r="S3831" s="10"/>
      <c r="T3831" s="10"/>
      <c r="U3831" s="10"/>
      <c r="V3831" s="10"/>
      <c r="W3831" s="10" t="s">
        <v>25770</v>
      </c>
      <c r="X3831" s="10" t="s">
        <v>130</v>
      </c>
      <c r="Y3831" s="10" t="s">
        <v>130</v>
      </c>
      <c r="Z3831" s="10" t="s">
        <v>99</v>
      </c>
      <c r="AA3831" s="10" t="s">
        <v>131</v>
      </c>
      <c r="AB3831" s="10" t="s">
        <v>25771</v>
      </c>
      <c r="AC3831" s="10" t="s">
        <v>25772</v>
      </c>
      <c r="AD3831" s="10" t="s">
        <v>165</v>
      </c>
      <c r="AE3831" s="10" t="s">
        <v>26043</v>
      </c>
      <c r="AF3831" s="15"/>
      <c r="AG3831" s="10"/>
      <c r="AH3831" s="10"/>
      <c r="AI3831" s="10"/>
      <c r="AJ3831" s="10"/>
      <c r="AK3831" s="10"/>
      <c r="AL3831" s="10"/>
      <c r="AM3831" s="10"/>
      <c r="AN3831" s="10"/>
      <c r="AO3831" s="13" t="b">
        <v>0</v>
      </c>
      <c r="AP3831" s="22" t="s">
        <v>104</v>
      </c>
      <c r="AQ3831" s="10"/>
      <c r="AR3831" s="17"/>
      <c r="AS3831" s="17"/>
      <c r="AT3831" s="17"/>
      <c r="AU3831" s="17"/>
      <c r="AV3831" s="17"/>
      <c r="AW3831" s="10"/>
      <c r="AX3831" s="17"/>
      <c r="AY3831" s="18" t="s">
        <v>257</v>
      </c>
      <c r="AZ3831" s="10"/>
      <c r="BA3831" s="20" t="b">
        <v>0</v>
      </c>
      <c r="BB3831" s="10" t="s">
        <v>26035</v>
      </c>
      <c r="BC3831" s="17" t="s">
        <v>257</v>
      </c>
      <c r="BD3831" s="17" t="s">
        <v>257</v>
      </c>
      <c r="BE3831" s="17" t="s">
        <v>257</v>
      </c>
      <c r="BF3831" s="17" t="s">
        <v>257</v>
      </c>
      <c r="BG3831" s="11">
        <f ca="1">IFERROR(__xludf.DUMMYFUNCTION("""COMPUTED_VALUE"""),46033.4583333333)</f>
        <v>46033.458333333299</v>
      </c>
      <c r="BH3831" s="17"/>
      <c r="BI3831" s="17"/>
      <c r="BJ3831" s="15"/>
      <c r="BK3831" s="15"/>
      <c r="BL3831" s="13" t="b">
        <v>0</v>
      </c>
      <c r="BM3831" s="10"/>
      <c r="BN3831" s="10" t="s">
        <v>108</v>
      </c>
      <c r="BO3831" s="11">
        <v>46030.691666666666</v>
      </c>
      <c r="BP3831" s="11">
        <v>46030.691967592589</v>
      </c>
      <c r="BQ3831" s="15"/>
      <c r="BR3831" s="15"/>
      <c r="BS3831" s="10" t="s">
        <v>108</v>
      </c>
      <c r="BT3831" s="10"/>
      <c r="BU3831" s="10"/>
      <c r="BV3831" s="10"/>
      <c r="BW3831" s="10"/>
      <c r="BX3831" s="10"/>
      <c r="BY3831" s="23"/>
      <c r="BZ3831" s="23"/>
      <c r="CA3831" s="10"/>
      <c r="CB3831" s="23"/>
      <c r="CC3831" s="23"/>
      <c r="CD3831" s="23"/>
      <c r="CE3831" s="23"/>
      <c r="CF3831" s="23"/>
      <c r="CG3831" s="23"/>
      <c r="CH3831" s="23"/>
      <c r="CI3831" s="23"/>
    </row>
    <row r="3832" spans="1:87" x14ac:dyDescent="0.3">
      <c r="A3832" s="9" t="s">
        <v>26044</v>
      </c>
      <c r="B3832" s="10" t="s">
        <v>26045</v>
      </c>
      <c r="C3832" s="11">
        <v>46033.5</v>
      </c>
      <c r="D3832" s="12">
        <v>4.1666666666666664E-2</v>
      </c>
      <c r="E3832" s="11">
        <v>46033.541666666664</v>
      </c>
      <c r="F3832" s="22" t="s">
        <v>25766</v>
      </c>
      <c r="G3832" s="13" t="b">
        <v>0</v>
      </c>
      <c r="H3832" s="22" t="s">
        <v>25767</v>
      </c>
      <c r="I3832" s="10" t="s">
        <v>212</v>
      </c>
      <c r="J3832" s="13" t="b">
        <v>1</v>
      </c>
      <c r="K3832" s="13" t="b">
        <v>0</v>
      </c>
      <c r="L3832" s="10" t="s">
        <v>124</v>
      </c>
      <c r="M3832" s="10" t="s">
        <v>91</v>
      </c>
      <c r="N3832" s="10" t="s">
        <v>92</v>
      </c>
      <c r="O3832" s="10"/>
      <c r="P3832" s="10"/>
      <c r="Q3832" s="10" t="s">
        <v>94</v>
      </c>
      <c r="R3832" s="10"/>
      <c r="S3832" s="10"/>
      <c r="T3832" s="10"/>
      <c r="U3832" s="10"/>
      <c r="V3832" s="10"/>
      <c r="W3832" s="10" t="s">
        <v>25770</v>
      </c>
      <c r="X3832" s="10" t="s">
        <v>130</v>
      </c>
      <c r="Y3832" s="10" t="s">
        <v>130</v>
      </c>
      <c r="Z3832" s="10" t="s">
        <v>99</v>
      </c>
      <c r="AA3832" s="10" t="s">
        <v>131</v>
      </c>
      <c r="AB3832" s="10" t="s">
        <v>25771</v>
      </c>
      <c r="AC3832" s="10" t="s">
        <v>25772</v>
      </c>
      <c r="AD3832" s="10" t="s">
        <v>165</v>
      </c>
      <c r="AE3832" s="10" t="s">
        <v>26046</v>
      </c>
      <c r="AF3832" s="15"/>
      <c r="AG3832" s="10"/>
      <c r="AH3832" s="10"/>
      <c r="AI3832" s="10"/>
      <c r="AJ3832" s="10"/>
      <c r="AK3832" s="10"/>
      <c r="AL3832" s="10"/>
      <c r="AM3832" s="10"/>
      <c r="AN3832" s="10"/>
      <c r="AO3832" s="13" t="b">
        <v>0</v>
      </c>
      <c r="AP3832" s="22" t="s">
        <v>104</v>
      </c>
      <c r="AQ3832" s="10"/>
      <c r="AR3832" s="17"/>
      <c r="AS3832" s="17"/>
      <c r="AT3832" s="17"/>
      <c r="AU3832" s="17"/>
      <c r="AV3832" s="17"/>
      <c r="AW3832" s="10"/>
      <c r="AX3832" s="17"/>
      <c r="AY3832" s="18" t="s">
        <v>257</v>
      </c>
      <c r="AZ3832" s="10"/>
      <c r="BA3832" s="20" t="b">
        <v>0</v>
      </c>
      <c r="BB3832" s="10" t="s">
        <v>26035</v>
      </c>
      <c r="BC3832" s="17" t="s">
        <v>257</v>
      </c>
      <c r="BD3832" s="17" t="s">
        <v>257</v>
      </c>
      <c r="BE3832" s="17" t="s">
        <v>257</v>
      </c>
      <c r="BF3832" s="17" t="s">
        <v>257</v>
      </c>
      <c r="BG3832" s="11">
        <f ca="1">IFERROR(__xludf.DUMMYFUNCTION("""COMPUTED_VALUE"""),46033.5)</f>
        <v>46033.5</v>
      </c>
      <c r="BH3832" s="17"/>
      <c r="BI3832" s="17"/>
      <c r="BJ3832" s="15"/>
      <c r="BK3832" s="15"/>
      <c r="BL3832" s="13" t="b">
        <v>0</v>
      </c>
      <c r="BM3832" s="10"/>
      <c r="BN3832" s="10" t="s">
        <v>108</v>
      </c>
      <c r="BO3832" s="11">
        <v>46030.691666666666</v>
      </c>
      <c r="BP3832" s="11">
        <v>46030.692152777781</v>
      </c>
      <c r="BQ3832" s="15"/>
      <c r="BR3832" s="15"/>
      <c r="BS3832" s="10" t="s">
        <v>108</v>
      </c>
      <c r="BT3832" s="10"/>
      <c r="BU3832" s="10"/>
      <c r="BV3832" s="10"/>
      <c r="BW3832" s="10"/>
      <c r="BX3832" s="10"/>
      <c r="BY3832" s="23"/>
      <c r="BZ3832" s="23"/>
      <c r="CA3832" s="10"/>
      <c r="CB3832" s="23"/>
      <c r="CC3832" s="23"/>
      <c r="CD3832" s="23"/>
      <c r="CE3832" s="23"/>
      <c r="CF3832" s="23"/>
      <c r="CG3832" s="23"/>
      <c r="CH3832" s="23"/>
      <c r="CI3832" s="23"/>
    </row>
    <row r="3833" spans="1:87" x14ac:dyDescent="0.3">
      <c r="A3833" s="9" t="s">
        <v>26047</v>
      </c>
      <c r="B3833" s="10" t="s">
        <v>26048</v>
      </c>
      <c r="C3833" s="11">
        <v>46033.416666666664</v>
      </c>
      <c r="D3833" s="12">
        <v>0.1388888888888889</v>
      </c>
      <c r="E3833" s="11">
        <v>46033.555555555555</v>
      </c>
      <c r="F3833" s="22" t="s">
        <v>25766</v>
      </c>
      <c r="G3833" s="13" t="b">
        <v>0</v>
      </c>
      <c r="H3833" s="22" t="s">
        <v>25767</v>
      </c>
      <c r="I3833" s="10" t="s">
        <v>212</v>
      </c>
      <c r="J3833" s="13" t="b">
        <v>1</v>
      </c>
      <c r="K3833" s="13" t="b">
        <v>0</v>
      </c>
      <c r="L3833" s="10" t="s">
        <v>124</v>
      </c>
      <c r="M3833" s="10" t="s">
        <v>91</v>
      </c>
      <c r="N3833" s="10" t="s">
        <v>92</v>
      </c>
      <c r="O3833" s="19" t="s">
        <v>26049</v>
      </c>
      <c r="P3833" s="10"/>
      <c r="Q3833" s="10" t="s">
        <v>94</v>
      </c>
      <c r="R3833" s="10"/>
      <c r="S3833" s="19" t="s">
        <v>25769</v>
      </c>
      <c r="T3833" s="10"/>
      <c r="U3833" s="10"/>
      <c r="V3833" s="10"/>
      <c r="W3833" s="10" t="s">
        <v>25770</v>
      </c>
      <c r="X3833" s="10" t="s">
        <v>130</v>
      </c>
      <c r="Y3833" s="10" t="s">
        <v>130</v>
      </c>
      <c r="Z3833" s="10" t="s">
        <v>99</v>
      </c>
      <c r="AA3833" s="10" t="s">
        <v>131</v>
      </c>
      <c r="AB3833" s="10" t="s">
        <v>25771</v>
      </c>
      <c r="AC3833" s="10" t="s">
        <v>25772</v>
      </c>
      <c r="AD3833" s="10" t="s">
        <v>165</v>
      </c>
      <c r="AE3833" s="10" t="s">
        <v>26050</v>
      </c>
      <c r="AF3833" s="15"/>
      <c r="AG3833" s="10"/>
      <c r="AH3833" s="10"/>
      <c r="AI3833" s="10"/>
      <c r="AJ3833" s="10"/>
      <c r="AK3833" s="10" t="s">
        <v>102</v>
      </c>
      <c r="AL3833" s="10" t="s">
        <v>103</v>
      </c>
      <c r="AM3833" s="10"/>
      <c r="AN3833" s="10"/>
      <c r="AO3833" s="13" t="b">
        <v>0</v>
      </c>
      <c r="AP3833" s="22" t="s">
        <v>104</v>
      </c>
      <c r="AQ3833" s="10">
        <f ca="1">IFERROR(__xludf.DUMMYFUNCTION("""COMPUTED_VALUE"""),20278)</f>
        <v>20278</v>
      </c>
      <c r="AR3833" s="17"/>
      <c r="AS3833" s="17"/>
      <c r="AT3833" s="17"/>
      <c r="AU3833" s="17"/>
      <c r="AV3833" s="17"/>
      <c r="AW3833" s="10"/>
      <c r="AX3833" s="17"/>
      <c r="AY3833" s="18" t="s">
        <v>257</v>
      </c>
      <c r="AZ3833" s="10"/>
      <c r="BA3833" s="20" t="b">
        <v>1</v>
      </c>
      <c r="BB3833" s="10"/>
      <c r="BC3833" s="17" t="s">
        <v>257</v>
      </c>
      <c r="BD3833" s="17" t="s">
        <v>257</v>
      </c>
      <c r="BE3833" s="17" t="s">
        <v>257</v>
      </c>
      <c r="BF3833" s="17" t="s">
        <v>257</v>
      </c>
      <c r="BG3833" s="11">
        <f ca="1">IFERROR(__xludf.DUMMYFUNCTION("""COMPUTED_VALUE"""),46033.4166666666)</f>
        <v>46033.416666666599</v>
      </c>
      <c r="BH3833" s="17" t="s">
        <v>105</v>
      </c>
      <c r="BI3833" s="17"/>
      <c r="BJ3833" s="15"/>
      <c r="BK3833" s="15"/>
      <c r="BL3833" s="13" t="b">
        <v>0</v>
      </c>
      <c r="BM3833" s="10"/>
      <c r="BN3833" s="10" t="s">
        <v>667</v>
      </c>
      <c r="BO3833" s="11">
        <v>46030.693055555559</v>
      </c>
      <c r="BP3833" s="11">
        <v>46030.710081018522</v>
      </c>
      <c r="BQ3833" s="15">
        <v>46030.700729166667</v>
      </c>
      <c r="BR3833" s="15">
        <v>46031.354328703703</v>
      </c>
      <c r="BS3833" s="10" t="s">
        <v>667</v>
      </c>
      <c r="BT3833" s="10"/>
      <c r="BU3833" s="10"/>
      <c r="BV3833" s="10"/>
      <c r="BW3833" s="10"/>
      <c r="BX3833" s="10"/>
      <c r="BY3833" s="23"/>
      <c r="BZ3833" s="23"/>
      <c r="CA3833" s="19" t="s">
        <v>25774</v>
      </c>
      <c r="CB3833" s="23"/>
      <c r="CC3833" s="23"/>
      <c r="CD3833" s="23"/>
      <c r="CE3833" s="23"/>
      <c r="CF3833" s="23"/>
      <c r="CG3833" s="23"/>
      <c r="CH3833" s="23"/>
      <c r="CI3833" s="23"/>
    </row>
    <row r="3834" spans="1:87" x14ac:dyDescent="0.3">
      <c r="A3834" s="9" t="s">
        <v>26051</v>
      </c>
      <c r="B3834" s="10" t="s">
        <v>26052</v>
      </c>
      <c r="C3834" s="11">
        <v>46033.416666666664</v>
      </c>
      <c r="D3834" s="12">
        <v>4.1666666666666664E-2</v>
      </c>
      <c r="E3834" s="11">
        <v>46033.458333333336</v>
      </c>
      <c r="F3834" s="22" t="s">
        <v>25766</v>
      </c>
      <c r="G3834" s="13" t="b">
        <v>0</v>
      </c>
      <c r="H3834" s="22" t="s">
        <v>25767</v>
      </c>
      <c r="I3834" s="10" t="s">
        <v>212</v>
      </c>
      <c r="J3834" s="13" t="b">
        <v>1</v>
      </c>
      <c r="K3834" s="13" t="b">
        <v>0</v>
      </c>
      <c r="L3834" s="10" t="s">
        <v>124</v>
      </c>
      <c r="M3834" s="10" t="s">
        <v>91</v>
      </c>
      <c r="N3834" s="10" t="s">
        <v>92</v>
      </c>
      <c r="O3834" s="19" t="s">
        <v>26053</v>
      </c>
      <c r="P3834" s="10"/>
      <c r="Q3834" s="10" t="s">
        <v>94</v>
      </c>
      <c r="R3834" s="10"/>
      <c r="S3834" s="10"/>
      <c r="T3834" s="10"/>
      <c r="U3834" s="10"/>
      <c r="V3834" s="10"/>
      <c r="W3834" s="10" t="s">
        <v>25770</v>
      </c>
      <c r="X3834" s="10" t="s">
        <v>130</v>
      </c>
      <c r="Y3834" s="10" t="s">
        <v>130</v>
      </c>
      <c r="Z3834" s="10" t="s">
        <v>99</v>
      </c>
      <c r="AA3834" s="10" t="s">
        <v>131</v>
      </c>
      <c r="AB3834" s="10" t="s">
        <v>25771</v>
      </c>
      <c r="AC3834" s="10" t="s">
        <v>25772</v>
      </c>
      <c r="AD3834" s="10" t="s">
        <v>165</v>
      </c>
      <c r="AE3834" s="10" t="s">
        <v>26054</v>
      </c>
      <c r="AF3834" s="15"/>
      <c r="AG3834" s="10"/>
      <c r="AH3834" s="10"/>
      <c r="AI3834" s="10"/>
      <c r="AJ3834" s="10"/>
      <c r="AK3834" s="10" t="s">
        <v>102</v>
      </c>
      <c r="AL3834" s="10"/>
      <c r="AM3834" s="10"/>
      <c r="AN3834" s="10"/>
      <c r="AO3834" s="13" t="b">
        <v>0</v>
      </c>
      <c r="AP3834" s="22" t="s">
        <v>104</v>
      </c>
      <c r="AQ3834" s="10">
        <f ca="1">IFERROR(__xludf.DUMMYFUNCTION("""COMPUTED_VALUE"""),4833912)</f>
        <v>4833912</v>
      </c>
      <c r="AR3834" s="17"/>
      <c r="AS3834" s="17"/>
      <c r="AT3834" s="17"/>
      <c r="AU3834" s="17"/>
      <c r="AV3834" s="17"/>
      <c r="AW3834" s="10"/>
      <c r="AX3834" s="17"/>
      <c r="AY3834" s="18" t="s">
        <v>257</v>
      </c>
      <c r="AZ3834" s="10"/>
      <c r="BA3834" s="20" t="b">
        <v>0</v>
      </c>
      <c r="BB3834" s="10" t="s">
        <v>26047</v>
      </c>
      <c r="BC3834" s="17" t="s">
        <v>257</v>
      </c>
      <c r="BD3834" s="17" t="s">
        <v>257</v>
      </c>
      <c r="BE3834" s="17" t="s">
        <v>257</v>
      </c>
      <c r="BF3834" s="17" t="s">
        <v>257</v>
      </c>
      <c r="BG3834" s="11">
        <f ca="1">IFERROR(__xludf.DUMMYFUNCTION("""COMPUTED_VALUE"""),46033.4166666666)</f>
        <v>46033.416666666599</v>
      </c>
      <c r="BH3834" s="17"/>
      <c r="BI3834" s="17"/>
      <c r="BJ3834" s="15"/>
      <c r="BK3834" s="15"/>
      <c r="BL3834" s="13" t="b">
        <v>0</v>
      </c>
      <c r="BM3834" s="10"/>
      <c r="BN3834" s="10" t="s">
        <v>667</v>
      </c>
      <c r="BO3834" s="11">
        <v>46030.695138888892</v>
      </c>
      <c r="BP3834" s="11">
        <v>46030.695555555554</v>
      </c>
      <c r="BQ3834" s="15"/>
      <c r="BR3834" s="15">
        <v>46031.353229166663</v>
      </c>
      <c r="BS3834" s="10" t="s">
        <v>667</v>
      </c>
      <c r="BT3834" s="10"/>
      <c r="BU3834" s="10"/>
      <c r="BV3834" s="10"/>
      <c r="BW3834" s="10"/>
      <c r="BX3834" s="10"/>
      <c r="BY3834" s="23"/>
      <c r="BZ3834" s="23"/>
      <c r="CA3834" s="10"/>
      <c r="CB3834" s="23"/>
      <c r="CC3834" s="23"/>
      <c r="CD3834" s="23"/>
      <c r="CE3834" s="23"/>
      <c r="CF3834" s="23"/>
      <c r="CG3834" s="23"/>
      <c r="CH3834" s="23"/>
      <c r="CI3834" s="23"/>
    </row>
    <row r="3835" spans="1:87" x14ac:dyDescent="0.3">
      <c r="A3835" s="9" t="s">
        <v>26055</v>
      </c>
      <c r="B3835" s="10" t="s">
        <v>25788</v>
      </c>
      <c r="C3835" s="11">
        <v>46033.291666666664</v>
      </c>
      <c r="D3835" s="12">
        <v>0.24305555555555555</v>
      </c>
      <c r="E3835" s="11">
        <v>46033.534722222219</v>
      </c>
      <c r="F3835" s="22" t="s">
        <v>25766</v>
      </c>
      <c r="G3835" s="13" t="b">
        <v>0</v>
      </c>
      <c r="H3835" s="22" t="s">
        <v>25767</v>
      </c>
      <c r="I3835" s="10" t="s">
        <v>212</v>
      </c>
      <c r="J3835" s="13" t="b">
        <v>1</v>
      </c>
      <c r="K3835" s="13" t="b">
        <v>0</v>
      </c>
      <c r="L3835" s="10" t="s">
        <v>124</v>
      </c>
      <c r="M3835" s="10" t="s">
        <v>91</v>
      </c>
      <c r="N3835" s="10" t="s">
        <v>92</v>
      </c>
      <c r="O3835" s="19" t="s">
        <v>26056</v>
      </c>
      <c r="P3835" s="10"/>
      <c r="Q3835" s="10" t="s">
        <v>94</v>
      </c>
      <c r="R3835" s="10"/>
      <c r="S3835" s="19" t="s">
        <v>25769</v>
      </c>
      <c r="T3835" s="10"/>
      <c r="U3835" s="10"/>
      <c r="V3835" s="10"/>
      <c r="W3835" s="10" t="s">
        <v>25770</v>
      </c>
      <c r="X3835" s="10" t="s">
        <v>130</v>
      </c>
      <c r="Y3835" s="10" t="s">
        <v>130</v>
      </c>
      <c r="Z3835" s="10" t="s">
        <v>99</v>
      </c>
      <c r="AA3835" s="10" t="s">
        <v>131</v>
      </c>
      <c r="AB3835" s="10" t="s">
        <v>25771</v>
      </c>
      <c r="AC3835" s="10" t="s">
        <v>25772</v>
      </c>
      <c r="AD3835" s="10" t="s">
        <v>165</v>
      </c>
      <c r="AE3835" s="10" t="s">
        <v>25790</v>
      </c>
      <c r="AF3835" s="15"/>
      <c r="AG3835" s="10"/>
      <c r="AH3835" s="10"/>
      <c r="AI3835" s="10"/>
      <c r="AJ3835" s="10"/>
      <c r="AK3835" s="10" t="s">
        <v>102</v>
      </c>
      <c r="AL3835" s="10"/>
      <c r="AM3835" s="10"/>
      <c r="AN3835" s="10"/>
      <c r="AO3835" s="13" t="b">
        <v>0</v>
      </c>
      <c r="AP3835" s="22" t="s">
        <v>104</v>
      </c>
      <c r="AQ3835" s="10">
        <f ca="1">IFERROR(__xludf.DUMMYFUNCTION("""COMPUTED_VALUE"""),20280)</f>
        <v>20280</v>
      </c>
      <c r="AR3835" s="17"/>
      <c r="AS3835" s="17"/>
      <c r="AT3835" s="17"/>
      <c r="AU3835" s="17"/>
      <c r="AV3835" s="17"/>
      <c r="AW3835" s="10"/>
      <c r="AX3835" s="17"/>
      <c r="AY3835" s="18" t="s">
        <v>257</v>
      </c>
      <c r="AZ3835" s="10"/>
      <c r="BA3835" s="20" t="b">
        <v>1</v>
      </c>
      <c r="BB3835" s="10"/>
      <c r="BC3835" s="17" t="s">
        <v>257</v>
      </c>
      <c r="BD3835" s="17" t="s">
        <v>257</v>
      </c>
      <c r="BE3835" s="17" t="s">
        <v>257</v>
      </c>
      <c r="BF3835" s="17" t="s">
        <v>257</v>
      </c>
      <c r="BG3835" s="11">
        <f ca="1">IFERROR(__xludf.DUMMYFUNCTION("""COMPUTED_VALUE"""),46033.2916666666)</f>
        <v>46033.291666666599</v>
      </c>
      <c r="BH3835" s="17" t="s">
        <v>105</v>
      </c>
      <c r="BI3835" s="17"/>
      <c r="BJ3835" s="15"/>
      <c r="BK3835" s="15"/>
      <c r="BL3835" s="13" t="b">
        <v>0</v>
      </c>
      <c r="BM3835" s="10"/>
      <c r="BN3835" s="10" t="s">
        <v>667</v>
      </c>
      <c r="BO3835" s="11">
        <v>46030.694444444445</v>
      </c>
      <c r="BP3835" s="11">
        <v>46030.707002314812</v>
      </c>
      <c r="BQ3835" s="15">
        <v>46030.700543981482</v>
      </c>
      <c r="BR3835" s="15">
        <v>46031.33253472222</v>
      </c>
      <c r="BS3835" s="10" t="s">
        <v>667</v>
      </c>
      <c r="BT3835" s="10"/>
      <c r="BU3835" s="10"/>
      <c r="BV3835" s="10"/>
      <c r="BW3835" s="10"/>
      <c r="BX3835" s="10"/>
      <c r="BY3835" s="23"/>
      <c r="BZ3835" s="23"/>
      <c r="CA3835" s="19" t="s">
        <v>25774</v>
      </c>
      <c r="CB3835" s="23"/>
      <c r="CC3835" s="23"/>
      <c r="CD3835" s="23"/>
      <c r="CE3835" s="23"/>
      <c r="CF3835" s="23"/>
      <c r="CG3835" s="23"/>
      <c r="CH3835" s="23"/>
      <c r="CI3835" s="23"/>
    </row>
    <row r="3836" spans="1:87" x14ac:dyDescent="0.3">
      <c r="A3836" s="9" t="s">
        <v>26057</v>
      </c>
      <c r="B3836" s="10" t="s">
        <v>26058</v>
      </c>
      <c r="C3836" s="11">
        <v>46033.465277777781</v>
      </c>
      <c r="D3836" s="12">
        <v>4.1666666666666664E-2</v>
      </c>
      <c r="E3836" s="11">
        <v>46033.506944444445</v>
      </c>
      <c r="F3836" s="22" t="s">
        <v>25766</v>
      </c>
      <c r="G3836" s="13" t="b">
        <v>0</v>
      </c>
      <c r="H3836" s="22" t="s">
        <v>25767</v>
      </c>
      <c r="I3836" s="10" t="s">
        <v>212</v>
      </c>
      <c r="J3836" s="13" t="b">
        <v>1</v>
      </c>
      <c r="K3836" s="13" t="b">
        <v>0</v>
      </c>
      <c r="L3836" s="10" t="s">
        <v>124</v>
      </c>
      <c r="M3836" s="10" t="s">
        <v>91</v>
      </c>
      <c r="N3836" s="10" t="s">
        <v>92</v>
      </c>
      <c r="O3836" s="19" t="s">
        <v>26059</v>
      </c>
      <c r="P3836" s="10"/>
      <c r="Q3836" s="10" t="s">
        <v>94</v>
      </c>
      <c r="R3836" s="10"/>
      <c r="S3836" s="10"/>
      <c r="T3836" s="10"/>
      <c r="U3836" s="10"/>
      <c r="V3836" s="10"/>
      <c r="W3836" s="10" t="s">
        <v>25770</v>
      </c>
      <c r="X3836" s="10" t="s">
        <v>130</v>
      </c>
      <c r="Y3836" s="10" t="s">
        <v>130</v>
      </c>
      <c r="Z3836" s="10" t="s">
        <v>99</v>
      </c>
      <c r="AA3836" s="10" t="s">
        <v>131</v>
      </c>
      <c r="AB3836" s="10" t="s">
        <v>25771</v>
      </c>
      <c r="AC3836" s="10" t="s">
        <v>25772</v>
      </c>
      <c r="AD3836" s="10" t="s">
        <v>165</v>
      </c>
      <c r="AE3836" s="10" t="s">
        <v>26060</v>
      </c>
      <c r="AF3836" s="15"/>
      <c r="AG3836" s="10"/>
      <c r="AH3836" s="10"/>
      <c r="AI3836" s="10"/>
      <c r="AJ3836" s="10"/>
      <c r="AK3836" s="10" t="s">
        <v>102</v>
      </c>
      <c r="AL3836" s="10"/>
      <c r="AM3836" s="10"/>
      <c r="AN3836" s="10"/>
      <c r="AO3836" s="13" t="b">
        <v>0</v>
      </c>
      <c r="AP3836" s="22" t="s">
        <v>104</v>
      </c>
      <c r="AQ3836" s="10">
        <f ca="1">IFERROR(__xludf.DUMMYFUNCTION("""COMPUTED_VALUE"""),4833913)</f>
        <v>4833913</v>
      </c>
      <c r="AR3836" s="17"/>
      <c r="AS3836" s="17"/>
      <c r="AT3836" s="17"/>
      <c r="AU3836" s="17"/>
      <c r="AV3836" s="17"/>
      <c r="AW3836" s="10"/>
      <c r="AX3836" s="17"/>
      <c r="AY3836" s="18" t="s">
        <v>257</v>
      </c>
      <c r="AZ3836" s="10"/>
      <c r="BA3836" s="20" t="b">
        <v>0</v>
      </c>
      <c r="BB3836" s="10" t="s">
        <v>26047</v>
      </c>
      <c r="BC3836" s="17" t="s">
        <v>257</v>
      </c>
      <c r="BD3836" s="17" t="s">
        <v>257</v>
      </c>
      <c r="BE3836" s="17" t="s">
        <v>257</v>
      </c>
      <c r="BF3836" s="17" t="s">
        <v>257</v>
      </c>
      <c r="BG3836" s="11">
        <f ca="1">IFERROR(__xludf.DUMMYFUNCTION("""COMPUTED_VALUE"""),46033.4652777777)</f>
        <v>46033.465277777701</v>
      </c>
      <c r="BH3836" s="17"/>
      <c r="BI3836" s="17"/>
      <c r="BJ3836" s="15"/>
      <c r="BK3836" s="15"/>
      <c r="BL3836" s="13" t="b">
        <v>0</v>
      </c>
      <c r="BM3836" s="10"/>
      <c r="BN3836" s="10" t="s">
        <v>667</v>
      </c>
      <c r="BO3836" s="11">
        <v>46030.695138888892</v>
      </c>
      <c r="BP3836" s="11">
        <v>46030.695740740739</v>
      </c>
      <c r="BQ3836" s="15"/>
      <c r="BR3836" s="15">
        <v>46031.35355324074</v>
      </c>
      <c r="BS3836" s="10" t="s">
        <v>667</v>
      </c>
      <c r="BT3836" s="10"/>
      <c r="BU3836" s="10"/>
      <c r="BV3836" s="10"/>
      <c r="BW3836" s="10"/>
      <c r="BX3836" s="10"/>
      <c r="BY3836" s="23"/>
      <c r="BZ3836" s="23"/>
      <c r="CA3836" s="10"/>
      <c r="CB3836" s="23"/>
      <c r="CC3836" s="23"/>
      <c r="CD3836" s="23"/>
      <c r="CE3836" s="23"/>
      <c r="CF3836" s="23"/>
      <c r="CG3836" s="23"/>
      <c r="CH3836" s="23"/>
      <c r="CI3836" s="23"/>
    </row>
    <row r="3837" spans="1:87" x14ac:dyDescent="0.3">
      <c r="A3837" s="9" t="s">
        <v>26061</v>
      </c>
      <c r="B3837" s="10" t="s">
        <v>26062</v>
      </c>
      <c r="C3837" s="11">
        <v>46033.513888888891</v>
      </c>
      <c r="D3837" s="12">
        <v>4.1666666666666664E-2</v>
      </c>
      <c r="E3837" s="11">
        <v>46033.555555555555</v>
      </c>
      <c r="F3837" s="22" t="s">
        <v>25766</v>
      </c>
      <c r="G3837" s="13" t="b">
        <v>0</v>
      </c>
      <c r="H3837" s="22" t="s">
        <v>25767</v>
      </c>
      <c r="I3837" s="10" t="s">
        <v>212</v>
      </c>
      <c r="J3837" s="13" t="b">
        <v>1</v>
      </c>
      <c r="K3837" s="13" t="b">
        <v>0</v>
      </c>
      <c r="L3837" s="10" t="s">
        <v>124</v>
      </c>
      <c r="M3837" s="10" t="s">
        <v>91</v>
      </c>
      <c r="N3837" s="10" t="s">
        <v>92</v>
      </c>
      <c r="O3837" s="19" t="s">
        <v>26063</v>
      </c>
      <c r="P3837" s="10"/>
      <c r="Q3837" s="10" t="s">
        <v>94</v>
      </c>
      <c r="R3837" s="10"/>
      <c r="S3837" s="10"/>
      <c r="T3837" s="10"/>
      <c r="U3837" s="10"/>
      <c r="V3837" s="10"/>
      <c r="W3837" s="10" t="s">
        <v>25770</v>
      </c>
      <c r="X3837" s="10" t="s">
        <v>130</v>
      </c>
      <c r="Y3837" s="10" t="s">
        <v>130</v>
      </c>
      <c r="Z3837" s="10" t="s">
        <v>99</v>
      </c>
      <c r="AA3837" s="10" t="s">
        <v>131</v>
      </c>
      <c r="AB3837" s="10" t="s">
        <v>25771</v>
      </c>
      <c r="AC3837" s="10" t="s">
        <v>25772</v>
      </c>
      <c r="AD3837" s="10" t="s">
        <v>165</v>
      </c>
      <c r="AE3837" s="10" t="s">
        <v>26064</v>
      </c>
      <c r="AF3837" s="15"/>
      <c r="AG3837" s="10"/>
      <c r="AH3837" s="10"/>
      <c r="AI3837" s="10"/>
      <c r="AJ3837" s="10"/>
      <c r="AK3837" s="10" t="s">
        <v>102</v>
      </c>
      <c r="AL3837" s="10"/>
      <c r="AM3837" s="10"/>
      <c r="AN3837" s="10"/>
      <c r="AO3837" s="13" t="b">
        <v>0</v>
      </c>
      <c r="AP3837" s="22" t="s">
        <v>104</v>
      </c>
      <c r="AQ3837" s="10">
        <f ca="1">IFERROR(__xludf.DUMMYFUNCTION("""COMPUTED_VALUE"""),4833914)</f>
        <v>4833914</v>
      </c>
      <c r="AR3837" s="17"/>
      <c r="AS3837" s="17"/>
      <c r="AT3837" s="17"/>
      <c r="AU3837" s="17"/>
      <c r="AV3837" s="17"/>
      <c r="AW3837" s="10"/>
      <c r="AX3837" s="17"/>
      <c r="AY3837" s="18" t="s">
        <v>257</v>
      </c>
      <c r="AZ3837" s="10"/>
      <c r="BA3837" s="20" t="b">
        <v>0</v>
      </c>
      <c r="BB3837" s="10" t="s">
        <v>26047</v>
      </c>
      <c r="BC3837" s="17" t="s">
        <v>257</v>
      </c>
      <c r="BD3837" s="17" t="s">
        <v>257</v>
      </c>
      <c r="BE3837" s="17" t="s">
        <v>257</v>
      </c>
      <c r="BF3837" s="17" t="s">
        <v>257</v>
      </c>
      <c r="BG3837" s="11">
        <f ca="1">IFERROR(__xludf.DUMMYFUNCTION("""COMPUTED_VALUE"""),46033.5138888888)</f>
        <v>46033.513888888803</v>
      </c>
      <c r="BH3837" s="17"/>
      <c r="BI3837" s="17"/>
      <c r="BJ3837" s="15"/>
      <c r="BK3837" s="15"/>
      <c r="BL3837" s="13" t="b">
        <v>0</v>
      </c>
      <c r="BM3837" s="10"/>
      <c r="BN3837" s="10" t="s">
        <v>667</v>
      </c>
      <c r="BO3837" s="11">
        <v>46030.695833333331</v>
      </c>
      <c r="BP3837" s="11">
        <v>46030.695972222224</v>
      </c>
      <c r="BQ3837" s="15"/>
      <c r="BR3837" s="15">
        <v>46031.353703703702</v>
      </c>
      <c r="BS3837" s="10" t="s">
        <v>667</v>
      </c>
      <c r="BT3837" s="10"/>
      <c r="BU3837" s="10"/>
      <c r="BV3837" s="10"/>
      <c r="BW3837" s="10"/>
      <c r="BX3837" s="10"/>
      <c r="BY3837" s="23"/>
      <c r="BZ3837" s="23"/>
      <c r="CA3837" s="10"/>
      <c r="CB3837" s="23"/>
      <c r="CC3837" s="23"/>
      <c r="CD3837" s="23"/>
      <c r="CE3837" s="23"/>
      <c r="CF3837" s="23"/>
      <c r="CG3837" s="23"/>
      <c r="CH3837" s="23"/>
      <c r="CI3837" s="23"/>
    </row>
    <row r="3838" spans="1:87" x14ac:dyDescent="0.3">
      <c r="A3838" s="9" t="s">
        <v>26065</v>
      </c>
      <c r="B3838" s="10" t="s">
        <v>26066</v>
      </c>
      <c r="C3838" s="11">
        <v>46033.291666666664</v>
      </c>
      <c r="D3838" s="12">
        <v>4.8611111111111112E-2</v>
      </c>
      <c r="E3838" s="11">
        <v>46033.340277777781</v>
      </c>
      <c r="F3838" s="22" t="s">
        <v>25766</v>
      </c>
      <c r="G3838" s="13" t="b">
        <v>0</v>
      </c>
      <c r="H3838" s="22" t="s">
        <v>25767</v>
      </c>
      <c r="I3838" s="10" t="s">
        <v>212</v>
      </c>
      <c r="J3838" s="13" t="b">
        <v>1</v>
      </c>
      <c r="K3838" s="13" t="b">
        <v>0</v>
      </c>
      <c r="L3838" s="10" t="s">
        <v>124</v>
      </c>
      <c r="M3838" s="10" t="s">
        <v>91</v>
      </c>
      <c r="N3838" s="10" t="s">
        <v>92</v>
      </c>
      <c r="O3838" s="19" t="s">
        <v>26067</v>
      </c>
      <c r="P3838" s="10"/>
      <c r="Q3838" s="10" t="s">
        <v>94</v>
      </c>
      <c r="R3838" s="10"/>
      <c r="S3838" s="10"/>
      <c r="T3838" s="10"/>
      <c r="U3838" s="10"/>
      <c r="V3838" s="10"/>
      <c r="W3838" s="10" t="s">
        <v>25770</v>
      </c>
      <c r="X3838" s="10" t="s">
        <v>130</v>
      </c>
      <c r="Y3838" s="10" t="s">
        <v>130</v>
      </c>
      <c r="Z3838" s="10" t="s">
        <v>99</v>
      </c>
      <c r="AA3838" s="10" t="s">
        <v>131</v>
      </c>
      <c r="AB3838" s="10" t="s">
        <v>25771</v>
      </c>
      <c r="AC3838" s="10" t="s">
        <v>25772</v>
      </c>
      <c r="AD3838" s="10" t="s">
        <v>165</v>
      </c>
      <c r="AE3838" s="10" t="s">
        <v>26068</v>
      </c>
      <c r="AF3838" s="15"/>
      <c r="AG3838" s="10"/>
      <c r="AH3838" s="10"/>
      <c r="AI3838" s="10"/>
      <c r="AJ3838" s="10"/>
      <c r="AK3838" s="10" t="s">
        <v>102</v>
      </c>
      <c r="AL3838" s="10"/>
      <c r="AM3838" s="10"/>
      <c r="AN3838" s="10"/>
      <c r="AO3838" s="13" t="b">
        <v>0</v>
      </c>
      <c r="AP3838" s="22" t="s">
        <v>104</v>
      </c>
      <c r="AQ3838" s="10">
        <f ca="1">IFERROR(__xludf.DUMMYFUNCTION("""COMPUTED_VALUE"""),4833892)</f>
        <v>4833892</v>
      </c>
      <c r="AR3838" s="17"/>
      <c r="AS3838" s="17"/>
      <c r="AT3838" s="17"/>
      <c r="AU3838" s="17"/>
      <c r="AV3838" s="17"/>
      <c r="AW3838" s="10"/>
      <c r="AX3838" s="17"/>
      <c r="AY3838" s="18" t="s">
        <v>257</v>
      </c>
      <c r="AZ3838" s="10"/>
      <c r="BA3838" s="20" t="b">
        <v>0</v>
      </c>
      <c r="BB3838" s="10" t="s">
        <v>26055</v>
      </c>
      <c r="BC3838" s="17" t="s">
        <v>257</v>
      </c>
      <c r="BD3838" s="17" t="s">
        <v>257</v>
      </c>
      <c r="BE3838" s="17" t="s">
        <v>257</v>
      </c>
      <c r="BF3838" s="17" t="s">
        <v>257</v>
      </c>
      <c r="BG3838" s="11">
        <f ca="1">IFERROR(__xludf.DUMMYFUNCTION("""COMPUTED_VALUE"""),46033.2916666666)</f>
        <v>46033.291666666599</v>
      </c>
      <c r="BH3838" s="17"/>
      <c r="BI3838" s="17"/>
      <c r="BJ3838" s="15"/>
      <c r="BK3838" s="15"/>
      <c r="BL3838" s="13" t="b">
        <v>0</v>
      </c>
      <c r="BM3838" s="10"/>
      <c r="BN3838" s="10" t="s">
        <v>667</v>
      </c>
      <c r="BO3838" s="11">
        <v>46030.695833333331</v>
      </c>
      <c r="BP3838" s="11">
        <v>46030.696469907409</v>
      </c>
      <c r="BQ3838" s="15"/>
      <c r="BR3838" s="15">
        <v>46031.331377314818</v>
      </c>
      <c r="BS3838" s="10" t="s">
        <v>667</v>
      </c>
      <c r="BT3838" s="10"/>
      <c r="BU3838" s="10"/>
      <c r="BV3838" s="10"/>
      <c r="BW3838" s="10"/>
      <c r="BX3838" s="10"/>
      <c r="BY3838" s="23"/>
      <c r="BZ3838" s="23"/>
      <c r="CA3838" s="10"/>
      <c r="CB3838" s="23"/>
      <c r="CC3838" s="23"/>
      <c r="CD3838" s="23"/>
      <c r="CE3838" s="23"/>
      <c r="CF3838" s="23"/>
      <c r="CG3838" s="23"/>
      <c r="CH3838" s="23"/>
      <c r="CI3838" s="23"/>
    </row>
    <row r="3839" spans="1:87" x14ac:dyDescent="0.3">
      <c r="A3839" s="9" t="s">
        <v>26069</v>
      </c>
      <c r="B3839" s="10" t="s">
        <v>26070</v>
      </c>
      <c r="C3839" s="11">
        <v>46033.340277777781</v>
      </c>
      <c r="D3839" s="12">
        <v>4.8611111111111112E-2</v>
      </c>
      <c r="E3839" s="11">
        <v>46033.388888888891</v>
      </c>
      <c r="F3839" s="22" t="s">
        <v>25766</v>
      </c>
      <c r="G3839" s="13" t="b">
        <v>0</v>
      </c>
      <c r="H3839" s="22" t="s">
        <v>25767</v>
      </c>
      <c r="I3839" s="10" t="s">
        <v>212</v>
      </c>
      <c r="J3839" s="13" t="b">
        <v>1</v>
      </c>
      <c r="K3839" s="13" t="b">
        <v>0</v>
      </c>
      <c r="L3839" s="10" t="s">
        <v>124</v>
      </c>
      <c r="M3839" s="10" t="s">
        <v>91</v>
      </c>
      <c r="N3839" s="10" t="s">
        <v>92</v>
      </c>
      <c r="O3839" s="19" t="s">
        <v>26071</v>
      </c>
      <c r="P3839" s="10"/>
      <c r="Q3839" s="10" t="s">
        <v>94</v>
      </c>
      <c r="R3839" s="10"/>
      <c r="S3839" s="10"/>
      <c r="T3839" s="10"/>
      <c r="U3839" s="10"/>
      <c r="V3839" s="10"/>
      <c r="W3839" s="10" t="s">
        <v>25770</v>
      </c>
      <c r="X3839" s="10" t="s">
        <v>130</v>
      </c>
      <c r="Y3839" s="10" t="s">
        <v>130</v>
      </c>
      <c r="Z3839" s="10" t="s">
        <v>99</v>
      </c>
      <c r="AA3839" s="10" t="s">
        <v>131</v>
      </c>
      <c r="AB3839" s="10" t="s">
        <v>25771</v>
      </c>
      <c r="AC3839" s="10" t="s">
        <v>25772</v>
      </c>
      <c r="AD3839" s="10" t="s">
        <v>165</v>
      </c>
      <c r="AE3839" s="10" t="s">
        <v>26072</v>
      </c>
      <c r="AF3839" s="15"/>
      <c r="AG3839" s="10"/>
      <c r="AH3839" s="10"/>
      <c r="AI3839" s="10"/>
      <c r="AJ3839" s="10"/>
      <c r="AK3839" s="10" t="s">
        <v>102</v>
      </c>
      <c r="AL3839" s="10"/>
      <c r="AM3839" s="10"/>
      <c r="AN3839" s="10"/>
      <c r="AO3839" s="13" t="b">
        <v>0</v>
      </c>
      <c r="AP3839" s="22" t="s">
        <v>104</v>
      </c>
      <c r="AQ3839" s="10">
        <f ca="1">IFERROR(__xludf.DUMMYFUNCTION("""COMPUTED_VALUE"""),4833893)</f>
        <v>4833893</v>
      </c>
      <c r="AR3839" s="17"/>
      <c r="AS3839" s="17"/>
      <c r="AT3839" s="17"/>
      <c r="AU3839" s="17"/>
      <c r="AV3839" s="17"/>
      <c r="AW3839" s="10"/>
      <c r="AX3839" s="17"/>
      <c r="AY3839" s="18" t="s">
        <v>257</v>
      </c>
      <c r="AZ3839" s="10"/>
      <c r="BA3839" s="20" t="b">
        <v>0</v>
      </c>
      <c r="BB3839" s="10" t="s">
        <v>26055</v>
      </c>
      <c r="BC3839" s="17" t="s">
        <v>257</v>
      </c>
      <c r="BD3839" s="17" t="s">
        <v>257</v>
      </c>
      <c r="BE3839" s="17" t="s">
        <v>257</v>
      </c>
      <c r="BF3839" s="17" t="s">
        <v>257</v>
      </c>
      <c r="BG3839" s="11">
        <f ca="1">IFERROR(__xludf.DUMMYFUNCTION("""COMPUTED_VALUE"""),46033.3402777777)</f>
        <v>46033.340277777701</v>
      </c>
      <c r="BH3839" s="17"/>
      <c r="BI3839" s="17"/>
      <c r="BJ3839" s="15"/>
      <c r="BK3839" s="15"/>
      <c r="BL3839" s="13" t="b">
        <v>0</v>
      </c>
      <c r="BM3839" s="10"/>
      <c r="BN3839" s="10" t="s">
        <v>667</v>
      </c>
      <c r="BO3839" s="11">
        <v>46030.696527777778</v>
      </c>
      <c r="BP3839" s="11">
        <v>46030.696689814817</v>
      </c>
      <c r="BQ3839" s="15"/>
      <c r="BR3839" s="15">
        <v>46031.33152777778</v>
      </c>
      <c r="BS3839" s="10" t="s">
        <v>667</v>
      </c>
      <c r="BT3839" s="10"/>
      <c r="BU3839" s="10"/>
      <c r="BV3839" s="10"/>
      <c r="BW3839" s="10"/>
      <c r="BX3839" s="10"/>
      <c r="BY3839" s="23"/>
      <c r="BZ3839" s="23"/>
      <c r="CA3839" s="10"/>
      <c r="CB3839" s="23"/>
      <c r="CC3839" s="23"/>
      <c r="CD3839" s="23"/>
      <c r="CE3839" s="23"/>
      <c r="CF3839" s="23"/>
      <c r="CG3839" s="23"/>
      <c r="CH3839" s="23"/>
      <c r="CI3839" s="23"/>
    </row>
    <row r="3840" spans="1:87" x14ac:dyDescent="0.3">
      <c r="A3840" s="9" t="s">
        <v>26073</v>
      </c>
      <c r="B3840" s="10" t="s">
        <v>26074</v>
      </c>
      <c r="C3840" s="11">
        <v>46033.291666666664</v>
      </c>
      <c r="D3840" s="12">
        <v>0.29166666666666669</v>
      </c>
      <c r="E3840" s="11">
        <v>46033.583333333336</v>
      </c>
      <c r="F3840" s="22" t="s">
        <v>25766</v>
      </c>
      <c r="G3840" s="13" t="b">
        <v>0</v>
      </c>
      <c r="H3840" s="22" t="s">
        <v>25767</v>
      </c>
      <c r="I3840" s="10" t="s">
        <v>212</v>
      </c>
      <c r="J3840" s="13" t="b">
        <v>1</v>
      </c>
      <c r="K3840" s="13" t="b">
        <v>0</v>
      </c>
      <c r="L3840" s="10" t="s">
        <v>124</v>
      </c>
      <c r="M3840" s="10" t="s">
        <v>91</v>
      </c>
      <c r="N3840" s="10" t="s">
        <v>92</v>
      </c>
      <c r="O3840" s="19" t="s">
        <v>26075</v>
      </c>
      <c r="P3840" s="10"/>
      <c r="Q3840" s="10" t="s">
        <v>94</v>
      </c>
      <c r="R3840" s="10"/>
      <c r="S3840" s="19" t="s">
        <v>25769</v>
      </c>
      <c r="T3840" s="10"/>
      <c r="U3840" s="10"/>
      <c r="V3840" s="10"/>
      <c r="W3840" s="10" t="s">
        <v>25770</v>
      </c>
      <c r="X3840" s="10" t="s">
        <v>130</v>
      </c>
      <c r="Y3840" s="10" t="s">
        <v>130</v>
      </c>
      <c r="Z3840" s="10" t="s">
        <v>99</v>
      </c>
      <c r="AA3840" s="10" t="s">
        <v>131</v>
      </c>
      <c r="AB3840" s="10" t="s">
        <v>25771</v>
      </c>
      <c r="AC3840" s="10" t="s">
        <v>25772</v>
      </c>
      <c r="AD3840" s="10" t="s">
        <v>165</v>
      </c>
      <c r="AE3840" s="10" t="s">
        <v>26076</v>
      </c>
      <c r="AF3840" s="15"/>
      <c r="AG3840" s="10"/>
      <c r="AH3840" s="10"/>
      <c r="AI3840" s="10"/>
      <c r="AJ3840" s="10"/>
      <c r="AK3840" s="10" t="s">
        <v>102</v>
      </c>
      <c r="AL3840" s="10" t="s">
        <v>103</v>
      </c>
      <c r="AM3840" s="10"/>
      <c r="AN3840" s="10"/>
      <c r="AO3840" s="13" t="b">
        <v>0</v>
      </c>
      <c r="AP3840" s="22" t="s">
        <v>104</v>
      </c>
      <c r="AQ3840" s="10">
        <f ca="1">IFERROR(__xludf.DUMMYFUNCTION("""COMPUTED_VALUE"""),20279)</f>
        <v>20279</v>
      </c>
      <c r="AR3840" s="17"/>
      <c r="AS3840" s="17"/>
      <c r="AT3840" s="17"/>
      <c r="AU3840" s="17"/>
      <c r="AV3840" s="17"/>
      <c r="AW3840" s="10"/>
      <c r="AX3840" s="17"/>
      <c r="AY3840" s="18" t="s">
        <v>257</v>
      </c>
      <c r="AZ3840" s="10"/>
      <c r="BA3840" s="20" t="b">
        <v>1</v>
      </c>
      <c r="BB3840" s="10"/>
      <c r="BC3840" s="17" t="s">
        <v>257</v>
      </c>
      <c r="BD3840" s="17" t="s">
        <v>257</v>
      </c>
      <c r="BE3840" s="17" t="s">
        <v>257</v>
      </c>
      <c r="BF3840" s="17" t="s">
        <v>257</v>
      </c>
      <c r="BG3840" s="11">
        <f ca="1">IFERROR(__xludf.DUMMYFUNCTION("""COMPUTED_VALUE"""),46033.2916666666)</f>
        <v>46033.291666666599</v>
      </c>
      <c r="BH3840" s="17" t="s">
        <v>105</v>
      </c>
      <c r="BI3840" s="17"/>
      <c r="BJ3840" s="15"/>
      <c r="BK3840" s="15"/>
      <c r="BL3840" s="13" t="b">
        <v>0</v>
      </c>
      <c r="BM3840" s="10"/>
      <c r="BN3840" s="10" t="s">
        <v>667</v>
      </c>
      <c r="BO3840" s="11">
        <v>46030.695833333331</v>
      </c>
      <c r="BP3840" s="11">
        <v>46030.709606481483</v>
      </c>
      <c r="BQ3840" s="15">
        <v>46030.700613425928</v>
      </c>
      <c r="BR3840" s="15">
        <v>46031.345509259256</v>
      </c>
      <c r="BS3840" s="10" t="s">
        <v>667</v>
      </c>
      <c r="BT3840" s="10"/>
      <c r="BU3840" s="10"/>
      <c r="BV3840" s="10"/>
      <c r="BW3840" s="10"/>
      <c r="BX3840" s="10"/>
      <c r="BY3840" s="23"/>
      <c r="BZ3840" s="23"/>
      <c r="CA3840" s="19" t="s">
        <v>25774</v>
      </c>
      <c r="CB3840" s="23"/>
      <c r="CC3840" s="23"/>
      <c r="CD3840" s="23"/>
      <c r="CE3840" s="23"/>
      <c r="CF3840" s="23"/>
      <c r="CG3840" s="23"/>
      <c r="CH3840" s="23"/>
      <c r="CI3840" s="23"/>
    </row>
    <row r="3841" spans="1:87" x14ac:dyDescent="0.3">
      <c r="A3841" s="9" t="s">
        <v>26077</v>
      </c>
      <c r="B3841" s="10" t="s">
        <v>26078</v>
      </c>
      <c r="C3841" s="11">
        <v>46033.388888888891</v>
      </c>
      <c r="D3841" s="12">
        <v>4.8611111111111112E-2</v>
      </c>
      <c r="E3841" s="11">
        <v>46033.4375</v>
      </c>
      <c r="F3841" s="22" t="s">
        <v>25766</v>
      </c>
      <c r="G3841" s="13" t="b">
        <v>0</v>
      </c>
      <c r="H3841" s="22" t="s">
        <v>25767</v>
      </c>
      <c r="I3841" s="10" t="s">
        <v>212</v>
      </c>
      <c r="J3841" s="13" t="b">
        <v>1</v>
      </c>
      <c r="K3841" s="13" t="b">
        <v>0</v>
      </c>
      <c r="L3841" s="10" t="s">
        <v>124</v>
      </c>
      <c r="M3841" s="10" t="s">
        <v>91</v>
      </c>
      <c r="N3841" s="10" t="s">
        <v>92</v>
      </c>
      <c r="O3841" s="19" t="s">
        <v>26079</v>
      </c>
      <c r="P3841" s="10"/>
      <c r="Q3841" s="10" t="s">
        <v>94</v>
      </c>
      <c r="R3841" s="10"/>
      <c r="S3841" s="10"/>
      <c r="T3841" s="10"/>
      <c r="U3841" s="10"/>
      <c r="V3841" s="10"/>
      <c r="W3841" s="10" t="s">
        <v>25770</v>
      </c>
      <c r="X3841" s="10" t="s">
        <v>130</v>
      </c>
      <c r="Y3841" s="10" t="s">
        <v>130</v>
      </c>
      <c r="Z3841" s="10" t="s">
        <v>99</v>
      </c>
      <c r="AA3841" s="10" t="s">
        <v>131</v>
      </c>
      <c r="AB3841" s="10" t="s">
        <v>25771</v>
      </c>
      <c r="AC3841" s="10" t="s">
        <v>25772</v>
      </c>
      <c r="AD3841" s="10" t="s">
        <v>165</v>
      </c>
      <c r="AE3841" s="10" t="s">
        <v>26080</v>
      </c>
      <c r="AF3841" s="15"/>
      <c r="AG3841" s="10"/>
      <c r="AH3841" s="10"/>
      <c r="AI3841" s="10"/>
      <c r="AJ3841" s="10"/>
      <c r="AK3841" s="10" t="s">
        <v>102</v>
      </c>
      <c r="AL3841" s="10"/>
      <c r="AM3841" s="10"/>
      <c r="AN3841" s="10"/>
      <c r="AO3841" s="13" t="b">
        <v>0</v>
      </c>
      <c r="AP3841" s="22" t="s">
        <v>104</v>
      </c>
      <c r="AQ3841" s="10">
        <f ca="1">IFERROR(__xludf.DUMMYFUNCTION("""COMPUTED_VALUE"""),4833894)</f>
        <v>4833894</v>
      </c>
      <c r="AR3841" s="17"/>
      <c r="AS3841" s="17"/>
      <c r="AT3841" s="17"/>
      <c r="AU3841" s="17"/>
      <c r="AV3841" s="17"/>
      <c r="AW3841" s="10"/>
      <c r="AX3841" s="17"/>
      <c r="AY3841" s="18" t="s">
        <v>257</v>
      </c>
      <c r="AZ3841" s="10"/>
      <c r="BA3841" s="20" t="b">
        <v>0</v>
      </c>
      <c r="BB3841" s="10" t="s">
        <v>26055</v>
      </c>
      <c r="BC3841" s="17" t="s">
        <v>257</v>
      </c>
      <c r="BD3841" s="17" t="s">
        <v>257</v>
      </c>
      <c r="BE3841" s="17" t="s">
        <v>257</v>
      </c>
      <c r="BF3841" s="17" t="s">
        <v>257</v>
      </c>
      <c r="BG3841" s="11">
        <f ca="1">IFERROR(__xludf.DUMMYFUNCTION("""COMPUTED_VALUE"""),46033.3888888888)</f>
        <v>46033.388888888803</v>
      </c>
      <c r="BH3841" s="17"/>
      <c r="BI3841" s="17"/>
      <c r="BJ3841" s="15"/>
      <c r="BK3841" s="15"/>
      <c r="BL3841" s="13" t="b">
        <v>0</v>
      </c>
      <c r="BM3841" s="10"/>
      <c r="BN3841" s="10" t="s">
        <v>667</v>
      </c>
      <c r="BO3841" s="11">
        <v>46030.696527777778</v>
      </c>
      <c r="BP3841" s="11">
        <v>46030.696782407409</v>
      </c>
      <c r="BQ3841" s="15"/>
      <c r="BR3841" s="15">
        <v>46031.331701388888</v>
      </c>
      <c r="BS3841" s="10" t="s">
        <v>667</v>
      </c>
      <c r="BT3841" s="10"/>
      <c r="BU3841" s="10"/>
      <c r="BV3841" s="10"/>
      <c r="BW3841" s="10"/>
      <c r="BX3841" s="10"/>
      <c r="BY3841" s="23"/>
      <c r="BZ3841" s="23"/>
      <c r="CA3841" s="10"/>
      <c r="CB3841" s="23"/>
      <c r="CC3841" s="23"/>
      <c r="CD3841" s="23"/>
      <c r="CE3841" s="23"/>
      <c r="CF3841" s="23"/>
      <c r="CG3841" s="23"/>
      <c r="CH3841" s="23"/>
      <c r="CI3841" s="23"/>
    </row>
    <row r="3842" spans="1:87" x14ac:dyDescent="0.3">
      <c r="A3842" s="9" t="s">
        <v>26081</v>
      </c>
      <c r="B3842" s="10" t="s">
        <v>26082</v>
      </c>
      <c r="C3842" s="11">
        <v>46033.4375</v>
      </c>
      <c r="D3842" s="12">
        <v>4.8611111111111112E-2</v>
      </c>
      <c r="E3842" s="11">
        <v>46033.486111111109</v>
      </c>
      <c r="F3842" s="22" t="s">
        <v>25766</v>
      </c>
      <c r="G3842" s="13" t="b">
        <v>0</v>
      </c>
      <c r="H3842" s="22" t="s">
        <v>25767</v>
      </c>
      <c r="I3842" s="10" t="s">
        <v>212</v>
      </c>
      <c r="J3842" s="13" t="b">
        <v>1</v>
      </c>
      <c r="K3842" s="13" t="b">
        <v>0</v>
      </c>
      <c r="L3842" s="10" t="s">
        <v>124</v>
      </c>
      <c r="M3842" s="10" t="s">
        <v>91</v>
      </c>
      <c r="N3842" s="10" t="s">
        <v>92</v>
      </c>
      <c r="O3842" s="19" t="s">
        <v>26083</v>
      </c>
      <c r="P3842" s="10"/>
      <c r="Q3842" s="10" t="s">
        <v>94</v>
      </c>
      <c r="R3842" s="10"/>
      <c r="S3842" s="10"/>
      <c r="T3842" s="10"/>
      <c r="U3842" s="10"/>
      <c r="V3842" s="10"/>
      <c r="W3842" s="10" t="s">
        <v>25770</v>
      </c>
      <c r="X3842" s="10" t="s">
        <v>130</v>
      </c>
      <c r="Y3842" s="10" t="s">
        <v>130</v>
      </c>
      <c r="Z3842" s="10" t="s">
        <v>99</v>
      </c>
      <c r="AA3842" s="10" t="s">
        <v>131</v>
      </c>
      <c r="AB3842" s="10" t="s">
        <v>25771</v>
      </c>
      <c r="AC3842" s="10" t="s">
        <v>25772</v>
      </c>
      <c r="AD3842" s="10" t="s">
        <v>165</v>
      </c>
      <c r="AE3842" s="10" t="s">
        <v>26084</v>
      </c>
      <c r="AF3842" s="15"/>
      <c r="AG3842" s="10"/>
      <c r="AH3842" s="10"/>
      <c r="AI3842" s="10"/>
      <c r="AJ3842" s="10"/>
      <c r="AK3842" s="10" t="s">
        <v>102</v>
      </c>
      <c r="AL3842" s="10"/>
      <c r="AM3842" s="10"/>
      <c r="AN3842" s="10"/>
      <c r="AO3842" s="13" t="b">
        <v>0</v>
      </c>
      <c r="AP3842" s="22" t="s">
        <v>104</v>
      </c>
      <c r="AQ3842" s="10">
        <f ca="1">IFERROR(__xludf.DUMMYFUNCTION("""COMPUTED_VALUE"""),4833895)</f>
        <v>4833895</v>
      </c>
      <c r="AR3842" s="17"/>
      <c r="AS3842" s="17"/>
      <c r="AT3842" s="17"/>
      <c r="AU3842" s="17"/>
      <c r="AV3842" s="17"/>
      <c r="AW3842" s="10"/>
      <c r="AX3842" s="17"/>
      <c r="AY3842" s="18" t="s">
        <v>257</v>
      </c>
      <c r="AZ3842" s="10"/>
      <c r="BA3842" s="20" t="b">
        <v>0</v>
      </c>
      <c r="BB3842" s="10" t="s">
        <v>26055</v>
      </c>
      <c r="BC3842" s="17" t="s">
        <v>257</v>
      </c>
      <c r="BD3842" s="17" t="s">
        <v>257</v>
      </c>
      <c r="BE3842" s="17" t="s">
        <v>257</v>
      </c>
      <c r="BF3842" s="17" t="s">
        <v>257</v>
      </c>
      <c r="BG3842" s="11">
        <f ca="1">IFERROR(__xludf.DUMMYFUNCTION("""COMPUTED_VALUE"""),46033.4375)</f>
        <v>46033.4375</v>
      </c>
      <c r="BH3842" s="17"/>
      <c r="BI3842" s="17"/>
      <c r="BJ3842" s="15"/>
      <c r="BK3842" s="15"/>
      <c r="BL3842" s="13" t="b">
        <v>0</v>
      </c>
      <c r="BM3842" s="10"/>
      <c r="BN3842" s="10" t="s">
        <v>667</v>
      </c>
      <c r="BO3842" s="11">
        <v>46030.697222222225</v>
      </c>
      <c r="BP3842" s="11">
        <v>46030.697280092594</v>
      </c>
      <c r="BQ3842" s="15"/>
      <c r="BR3842" s="15">
        <v>46031.33184027778</v>
      </c>
      <c r="BS3842" s="10" t="s">
        <v>667</v>
      </c>
      <c r="BT3842" s="10"/>
      <c r="BU3842" s="10"/>
      <c r="BV3842" s="10"/>
      <c r="BW3842" s="10"/>
      <c r="BX3842" s="10"/>
      <c r="BY3842" s="23"/>
      <c r="BZ3842" s="23"/>
      <c r="CA3842" s="10"/>
      <c r="CB3842" s="23"/>
      <c r="CC3842" s="23"/>
      <c r="CD3842" s="23"/>
      <c r="CE3842" s="23"/>
      <c r="CF3842" s="23"/>
      <c r="CG3842" s="23"/>
      <c r="CH3842" s="23"/>
      <c r="CI3842" s="23"/>
    </row>
    <row r="3843" spans="1:87" x14ac:dyDescent="0.3">
      <c r="A3843" s="9" t="s">
        <v>26085</v>
      </c>
      <c r="B3843" s="10" t="s">
        <v>26086</v>
      </c>
      <c r="C3843" s="11">
        <v>46033.486111111109</v>
      </c>
      <c r="D3843" s="12">
        <v>4.8611111111111112E-2</v>
      </c>
      <c r="E3843" s="11">
        <v>46033.534722222219</v>
      </c>
      <c r="F3843" s="22" t="s">
        <v>25766</v>
      </c>
      <c r="G3843" s="13" t="b">
        <v>0</v>
      </c>
      <c r="H3843" s="22" t="s">
        <v>25767</v>
      </c>
      <c r="I3843" s="10" t="s">
        <v>212</v>
      </c>
      <c r="J3843" s="13" t="b">
        <v>1</v>
      </c>
      <c r="K3843" s="13" t="b">
        <v>0</v>
      </c>
      <c r="L3843" s="10" t="s">
        <v>124</v>
      </c>
      <c r="M3843" s="10" t="s">
        <v>91</v>
      </c>
      <c r="N3843" s="10" t="s">
        <v>92</v>
      </c>
      <c r="O3843" s="19" t="s">
        <v>26087</v>
      </c>
      <c r="P3843" s="10"/>
      <c r="Q3843" s="10" t="s">
        <v>94</v>
      </c>
      <c r="R3843" s="10"/>
      <c r="S3843" s="10"/>
      <c r="T3843" s="10"/>
      <c r="U3843" s="10"/>
      <c r="V3843" s="10"/>
      <c r="W3843" s="10" t="s">
        <v>25770</v>
      </c>
      <c r="X3843" s="10" t="s">
        <v>130</v>
      </c>
      <c r="Y3843" s="10" t="s">
        <v>130</v>
      </c>
      <c r="Z3843" s="10" t="s">
        <v>99</v>
      </c>
      <c r="AA3843" s="10" t="s">
        <v>131</v>
      </c>
      <c r="AB3843" s="10" t="s">
        <v>25771</v>
      </c>
      <c r="AC3843" s="10" t="s">
        <v>25772</v>
      </c>
      <c r="AD3843" s="10" t="s">
        <v>165</v>
      </c>
      <c r="AE3843" s="10" t="s">
        <v>26088</v>
      </c>
      <c r="AF3843" s="15"/>
      <c r="AG3843" s="10"/>
      <c r="AH3843" s="10"/>
      <c r="AI3843" s="10"/>
      <c r="AJ3843" s="10"/>
      <c r="AK3843" s="10" t="s">
        <v>102</v>
      </c>
      <c r="AL3843" s="10"/>
      <c r="AM3843" s="10"/>
      <c r="AN3843" s="10"/>
      <c r="AO3843" s="13" t="b">
        <v>0</v>
      </c>
      <c r="AP3843" s="22" t="s">
        <v>104</v>
      </c>
      <c r="AQ3843" s="10">
        <f ca="1">IFERROR(__xludf.DUMMYFUNCTION("""COMPUTED_VALUE"""),4833896)</f>
        <v>4833896</v>
      </c>
      <c r="AR3843" s="17"/>
      <c r="AS3843" s="17"/>
      <c r="AT3843" s="17"/>
      <c r="AU3843" s="17"/>
      <c r="AV3843" s="17"/>
      <c r="AW3843" s="10"/>
      <c r="AX3843" s="17"/>
      <c r="AY3843" s="18" t="s">
        <v>257</v>
      </c>
      <c r="AZ3843" s="10"/>
      <c r="BA3843" s="20" t="b">
        <v>0</v>
      </c>
      <c r="BB3843" s="10" t="s">
        <v>26055</v>
      </c>
      <c r="BC3843" s="17" t="s">
        <v>257</v>
      </c>
      <c r="BD3843" s="17" t="s">
        <v>257</v>
      </c>
      <c r="BE3843" s="17" t="s">
        <v>257</v>
      </c>
      <c r="BF3843" s="17" t="s">
        <v>257</v>
      </c>
      <c r="BG3843" s="11">
        <f ca="1">IFERROR(__xludf.DUMMYFUNCTION("""COMPUTED_VALUE"""),46033.4861111111)</f>
        <v>46033.486111111102</v>
      </c>
      <c r="BH3843" s="17"/>
      <c r="BI3843" s="17"/>
      <c r="BJ3843" s="15"/>
      <c r="BK3843" s="15"/>
      <c r="BL3843" s="13" t="b">
        <v>0</v>
      </c>
      <c r="BM3843" s="10"/>
      <c r="BN3843" s="10" t="s">
        <v>667</v>
      </c>
      <c r="BO3843" s="11">
        <v>46030.697222222225</v>
      </c>
      <c r="BP3843" s="11">
        <v>46030.697418981479</v>
      </c>
      <c r="BQ3843" s="15"/>
      <c r="BR3843" s="15">
        <v>46031.331990740742</v>
      </c>
      <c r="BS3843" s="10" t="s">
        <v>667</v>
      </c>
      <c r="BT3843" s="10"/>
      <c r="BU3843" s="10"/>
      <c r="BV3843" s="10"/>
      <c r="BW3843" s="10"/>
      <c r="BX3843" s="10"/>
      <c r="BY3843" s="23"/>
      <c r="BZ3843" s="23"/>
      <c r="CA3843" s="10"/>
      <c r="CB3843" s="23"/>
      <c r="CC3843" s="23"/>
      <c r="CD3843" s="23"/>
      <c r="CE3843" s="23"/>
      <c r="CF3843" s="23"/>
      <c r="CG3843" s="23"/>
      <c r="CH3843" s="23"/>
      <c r="CI3843" s="23"/>
    </row>
    <row r="3844" spans="1:87" x14ac:dyDescent="0.3">
      <c r="A3844" s="9" t="s">
        <v>26089</v>
      </c>
      <c r="B3844" s="10" t="s">
        <v>26090</v>
      </c>
      <c r="C3844" s="11">
        <v>46033.534722222219</v>
      </c>
      <c r="D3844" s="12">
        <v>4.8611111111111112E-2</v>
      </c>
      <c r="E3844" s="11">
        <v>46033.583333333336</v>
      </c>
      <c r="F3844" s="22" t="s">
        <v>25766</v>
      </c>
      <c r="G3844" s="13" t="b">
        <v>0</v>
      </c>
      <c r="H3844" s="22" t="s">
        <v>25767</v>
      </c>
      <c r="I3844" s="10" t="s">
        <v>212</v>
      </c>
      <c r="J3844" s="13" t="b">
        <v>1</v>
      </c>
      <c r="K3844" s="13" t="b">
        <v>0</v>
      </c>
      <c r="L3844" s="10" t="s">
        <v>124</v>
      </c>
      <c r="M3844" s="10" t="s">
        <v>91</v>
      </c>
      <c r="N3844" s="10" t="s">
        <v>92</v>
      </c>
      <c r="O3844" s="19" t="s">
        <v>26091</v>
      </c>
      <c r="P3844" s="10"/>
      <c r="Q3844" s="10" t="s">
        <v>94</v>
      </c>
      <c r="R3844" s="10"/>
      <c r="S3844" s="10"/>
      <c r="T3844" s="10"/>
      <c r="U3844" s="10"/>
      <c r="V3844" s="10"/>
      <c r="W3844" s="10" t="s">
        <v>25770</v>
      </c>
      <c r="X3844" s="10" t="s">
        <v>130</v>
      </c>
      <c r="Y3844" s="10" t="s">
        <v>130</v>
      </c>
      <c r="Z3844" s="10" t="s">
        <v>99</v>
      </c>
      <c r="AA3844" s="10" t="s">
        <v>131</v>
      </c>
      <c r="AB3844" s="10" t="s">
        <v>25771</v>
      </c>
      <c r="AC3844" s="10" t="s">
        <v>25772</v>
      </c>
      <c r="AD3844" s="10" t="s">
        <v>165</v>
      </c>
      <c r="AE3844" s="10" t="s">
        <v>26092</v>
      </c>
      <c r="AF3844" s="15"/>
      <c r="AG3844" s="10"/>
      <c r="AH3844" s="10"/>
      <c r="AI3844" s="10"/>
      <c r="AJ3844" s="10"/>
      <c r="AK3844" s="10" t="s">
        <v>102</v>
      </c>
      <c r="AL3844" s="10"/>
      <c r="AM3844" s="10"/>
      <c r="AN3844" s="10"/>
      <c r="AO3844" s="13" t="b">
        <v>0</v>
      </c>
      <c r="AP3844" s="22" t="s">
        <v>104</v>
      </c>
      <c r="AQ3844" s="10">
        <f ca="1">IFERROR(__xludf.DUMMYFUNCTION("""COMPUTED_VALUE"""),4833897)</f>
        <v>4833897</v>
      </c>
      <c r="AR3844" s="17"/>
      <c r="AS3844" s="17"/>
      <c r="AT3844" s="17"/>
      <c r="AU3844" s="17"/>
      <c r="AV3844" s="17"/>
      <c r="AW3844" s="10"/>
      <c r="AX3844" s="17"/>
      <c r="AY3844" s="18" t="s">
        <v>257</v>
      </c>
      <c r="AZ3844" s="10"/>
      <c r="BA3844" s="20" t="b">
        <v>0</v>
      </c>
      <c r="BB3844" s="10" t="s">
        <v>26055</v>
      </c>
      <c r="BC3844" s="17" t="s">
        <v>257</v>
      </c>
      <c r="BD3844" s="17" t="s">
        <v>257</v>
      </c>
      <c r="BE3844" s="17" t="s">
        <v>257</v>
      </c>
      <c r="BF3844" s="17" t="s">
        <v>257</v>
      </c>
      <c r="BG3844" s="11">
        <f ca="1">IFERROR(__xludf.DUMMYFUNCTION("""COMPUTED_VALUE"""),46033.5347222222)</f>
        <v>46033.534722222197</v>
      </c>
      <c r="BH3844" s="17"/>
      <c r="BI3844" s="17"/>
      <c r="BJ3844" s="15"/>
      <c r="BK3844" s="15"/>
      <c r="BL3844" s="13" t="b">
        <v>0</v>
      </c>
      <c r="BM3844" s="10"/>
      <c r="BN3844" s="10" t="s">
        <v>667</v>
      </c>
      <c r="BO3844" s="11">
        <v>46030.697222222225</v>
      </c>
      <c r="BP3844" s="11">
        <v>46030.697557870371</v>
      </c>
      <c r="BQ3844" s="15"/>
      <c r="BR3844" s="15">
        <v>46031.33221064815</v>
      </c>
      <c r="BS3844" s="10" t="s">
        <v>667</v>
      </c>
      <c r="BT3844" s="10"/>
      <c r="BU3844" s="10"/>
      <c r="BV3844" s="10"/>
      <c r="BW3844" s="10"/>
      <c r="BX3844" s="10"/>
      <c r="BY3844" s="23"/>
      <c r="BZ3844" s="23"/>
      <c r="CA3844" s="10"/>
      <c r="CB3844" s="23"/>
      <c r="CC3844" s="23"/>
      <c r="CD3844" s="23"/>
      <c r="CE3844" s="23"/>
      <c r="CF3844" s="23"/>
      <c r="CG3844" s="23"/>
      <c r="CH3844" s="23"/>
      <c r="CI3844" s="23"/>
    </row>
    <row r="3845" spans="1:87" x14ac:dyDescent="0.3">
      <c r="A3845" s="9" t="s">
        <v>26093</v>
      </c>
      <c r="B3845" s="10" t="s">
        <v>26094</v>
      </c>
      <c r="C3845" s="11">
        <v>46033.291666666664</v>
      </c>
      <c r="D3845" s="12">
        <v>4.1666666666666664E-2</v>
      </c>
      <c r="E3845" s="11">
        <v>46033.333333333336</v>
      </c>
      <c r="F3845" s="22" t="s">
        <v>25766</v>
      </c>
      <c r="G3845" s="13" t="b">
        <v>0</v>
      </c>
      <c r="H3845" s="22" t="s">
        <v>25767</v>
      </c>
      <c r="I3845" s="10" t="s">
        <v>212</v>
      </c>
      <c r="J3845" s="13" t="b">
        <v>1</v>
      </c>
      <c r="K3845" s="13" t="b">
        <v>0</v>
      </c>
      <c r="L3845" s="10" t="s">
        <v>124</v>
      </c>
      <c r="M3845" s="10" t="s">
        <v>91</v>
      </c>
      <c r="N3845" s="10" t="s">
        <v>92</v>
      </c>
      <c r="O3845" s="19" t="s">
        <v>26095</v>
      </c>
      <c r="P3845" s="10"/>
      <c r="Q3845" s="10" t="s">
        <v>94</v>
      </c>
      <c r="R3845" s="10"/>
      <c r="S3845" s="10"/>
      <c r="T3845" s="10"/>
      <c r="U3845" s="10"/>
      <c r="V3845" s="10"/>
      <c r="W3845" s="10" t="s">
        <v>25770</v>
      </c>
      <c r="X3845" s="10" t="s">
        <v>130</v>
      </c>
      <c r="Y3845" s="10" t="s">
        <v>130</v>
      </c>
      <c r="Z3845" s="10" t="s">
        <v>99</v>
      </c>
      <c r="AA3845" s="10" t="s">
        <v>131</v>
      </c>
      <c r="AB3845" s="10" t="s">
        <v>25771</v>
      </c>
      <c r="AC3845" s="10" t="s">
        <v>25772</v>
      </c>
      <c r="AD3845" s="10" t="s">
        <v>165</v>
      </c>
      <c r="AE3845" s="10" t="s">
        <v>26096</v>
      </c>
      <c r="AF3845" s="15"/>
      <c r="AG3845" s="10"/>
      <c r="AH3845" s="10"/>
      <c r="AI3845" s="10"/>
      <c r="AJ3845" s="10"/>
      <c r="AK3845" s="10" t="s">
        <v>102</v>
      </c>
      <c r="AL3845" s="10"/>
      <c r="AM3845" s="10"/>
      <c r="AN3845" s="10"/>
      <c r="AO3845" s="13" t="b">
        <v>0</v>
      </c>
      <c r="AP3845" s="22" t="s">
        <v>104</v>
      </c>
      <c r="AQ3845" s="10">
        <f ca="1">IFERROR(__xludf.DUMMYFUNCTION("""COMPUTED_VALUE"""),4833903)</f>
        <v>4833903</v>
      </c>
      <c r="AR3845" s="17"/>
      <c r="AS3845" s="17"/>
      <c r="AT3845" s="17"/>
      <c r="AU3845" s="17"/>
      <c r="AV3845" s="17"/>
      <c r="AW3845" s="10"/>
      <c r="AX3845" s="17"/>
      <c r="AY3845" s="18" t="s">
        <v>257</v>
      </c>
      <c r="AZ3845" s="10"/>
      <c r="BA3845" s="20" t="b">
        <v>0</v>
      </c>
      <c r="BB3845" s="10" t="s">
        <v>26073</v>
      </c>
      <c r="BC3845" s="17" t="s">
        <v>257</v>
      </c>
      <c r="BD3845" s="17" t="s">
        <v>257</v>
      </c>
      <c r="BE3845" s="17" t="s">
        <v>257</v>
      </c>
      <c r="BF3845" s="17" t="s">
        <v>257</v>
      </c>
      <c r="BG3845" s="11">
        <f ca="1">IFERROR(__xludf.DUMMYFUNCTION("""COMPUTED_VALUE"""),46033.2916666666)</f>
        <v>46033.291666666599</v>
      </c>
      <c r="BH3845" s="17"/>
      <c r="BI3845" s="17"/>
      <c r="BJ3845" s="15"/>
      <c r="BK3845" s="15"/>
      <c r="BL3845" s="13" t="b">
        <v>0</v>
      </c>
      <c r="BM3845" s="10"/>
      <c r="BN3845" s="10" t="s">
        <v>667</v>
      </c>
      <c r="BO3845" s="11">
        <v>46030.697222222225</v>
      </c>
      <c r="BP3845" s="11">
        <v>46030.697569444441</v>
      </c>
      <c r="BQ3845" s="15"/>
      <c r="BR3845" s="15">
        <v>46031.344375000001</v>
      </c>
      <c r="BS3845" s="10" t="s">
        <v>667</v>
      </c>
      <c r="BT3845" s="10"/>
      <c r="BU3845" s="10"/>
      <c r="BV3845" s="10"/>
      <c r="BW3845" s="10"/>
      <c r="BX3845" s="10"/>
      <c r="BY3845" s="23"/>
      <c r="BZ3845" s="23"/>
      <c r="CA3845" s="10"/>
      <c r="CB3845" s="23"/>
      <c r="CC3845" s="23"/>
      <c r="CD3845" s="23"/>
      <c r="CE3845" s="23"/>
      <c r="CF3845" s="23"/>
      <c r="CG3845" s="23"/>
      <c r="CH3845" s="23"/>
      <c r="CI3845" s="23"/>
    </row>
    <row r="3846" spans="1:87" x14ac:dyDescent="0.3">
      <c r="A3846" s="9" t="s">
        <v>26097</v>
      </c>
      <c r="B3846" s="10" t="s">
        <v>26098</v>
      </c>
      <c r="C3846" s="11">
        <v>46033.340277777781</v>
      </c>
      <c r="D3846" s="12">
        <v>4.1666666666666664E-2</v>
      </c>
      <c r="E3846" s="11">
        <v>46033.381944444445</v>
      </c>
      <c r="F3846" s="22" t="s">
        <v>25766</v>
      </c>
      <c r="G3846" s="13" t="b">
        <v>0</v>
      </c>
      <c r="H3846" s="22" t="s">
        <v>25767</v>
      </c>
      <c r="I3846" s="10" t="s">
        <v>212</v>
      </c>
      <c r="J3846" s="13" t="b">
        <v>1</v>
      </c>
      <c r="K3846" s="13" t="b">
        <v>0</v>
      </c>
      <c r="L3846" s="10" t="s">
        <v>124</v>
      </c>
      <c r="M3846" s="10" t="s">
        <v>91</v>
      </c>
      <c r="N3846" s="10" t="s">
        <v>92</v>
      </c>
      <c r="O3846" s="19" t="s">
        <v>26099</v>
      </c>
      <c r="P3846" s="10"/>
      <c r="Q3846" s="10" t="s">
        <v>94</v>
      </c>
      <c r="R3846" s="10"/>
      <c r="S3846" s="10"/>
      <c r="T3846" s="10"/>
      <c r="U3846" s="10"/>
      <c r="V3846" s="10"/>
      <c r="W3846" s="10" t="s">
        <v>25770</v>
      </c>
      <c r="X3846" s="10" t="s">
        <v>130</v>
      </c>
      <c r="Y3846" s="10" t="s">
        <v>130</v>
      </c>
      <c r="Z3846" s="10" t="s">
        <v>99</v>
      </c>
      <c r="AA3846" s="10" t="s">
        <v>131</v>
      </c>
      <c r="AB3846" s="10" t="s">
        <v>25771</v>
      </c>
      <c r="AC3846" s="10" t="s">
        <v>25772</v>
      </c>
      <c r="AD3846" s="10" t="s">
        <v>165</v>
      </c>
      <c r="AE3846" s="10" t="s">
        <v>26100</v>
      </c>
      <c r="AF3846" s="15"/>
      <c r="AG3846" s="10"/>
      <c r="AH3846" s="10"/>
      <c r="AI3846" s="10"/>
      <c r="AJ3846" s="10"/>
      <c r="AK3846" s="10" t="s">
        <v>102</v>
      </c>
      <c r="AL3846" s="10"/>
      <c r="AM3846" s="10"/>
      <c r="AN3846" s="10"/>
      <c r="AO3846" s="13" t="b">
        <v>0</v>
      </c>
      <c r="AP3846" s="22" t="s">
        <v>104</v>
      </c>
      <c r="AQ3846" s="10">
        <f ca="1">IFERROR(__xludf.DUMMYFUNCTION("""COMPUTED_VALUE"""),4833904)</f>
        <v>4833904</v>
      </c>
      <c r="AR3846" s="17"/>
      <c r="AS3846" s="17"/>
      <c r="AT3846" s="17"/>
      <c r="AU3846" s="17"/>
      <c r="AV3846" s="17"/>
      <c r="AW3846" s="10"/>
      <c r="AX3846" s="17"/>
      <c r="AY3846" s="18" t="s">
        <v>257</v>
      </c>
      <c r="AZ3846" s="10"/>
      <c r="BA3846" s="20" t="b">
        <v>0</v>
      </c>
      <c r="BB3846" s="10" t="s">
        <v>26073</v>
      </c>
      <c r="BC3846" s="17" t="s">
        <v>257</v>
      </c>
      <c r="BD3846" s="17" t="s">
        <v>257</v>
      </c>
      <c r="BE3846" s="17" t="s">
        <v>257</v>
      </c>
      <c r="BF3846" s="17" t="s">
        <v>257</v>
      </c>
      <c r="BG3846" s="11">
        <f ca="1">IFERROR(__xludf.DUMMYFUNCTION("""COMPUTED_VALUE"""),46033.3402777777)</f>
        <v>46033.340277777701</v>
      </c>
      <c r="BH3846" s="17"/>
      <c r="BI3846" s="17"/>
      <c r="BJ3846" s="15"/>
      <c r="BK3846" s="15"/>
      <c r="BL3846" s="13" t="b">
        <v>0</v>
      </c>
      <c r="BM3846" s="10"/>
      <c r="BN3846" s="10" t="s">
        <v>667</v>
      </c>
      <c r="BO3846" s="11">
        <v>46030.697222222225</v>
      </c>
      <c r="BP3846" s="11">
        <v>46030.697685185187</v>
      </c>
      <c r="BQ3846" s="15"/>
      <c r="BR3846" s="15">
        <v>46031.344513888886</v>
      </c>
      <c r="BS3846" s="10" t="s">
        <v>667</v>
      </c>
      <c r="BT3846" s="10"/>
      <c r="BU3846" s="10"/>
      <c r="BV3846" s="10"/>
      <c r="BW3846" s="10"/>
      <c r="BX3846" s="10"/>
      <c r="BY3846" s="23"/>
      <c r="BZ3846" s="23"/>
      <c r="CA3846" s="10"/>
      <c r="CB3846" s="23"/>
      <c r="CC3846" s="23"/>
      <c r="CD3846" s="23"/>
      <c r="CE3846" s="23"/>
      <c r="CF3846" s="23"/>
      <c r="CG3846" s="23"/>
      <c r="CH3846" s="23"/>
      <c r="CI3846" s="23"/>
    </row>
    <row r="3847" spans="1:87" x14ac:dyDescent="0.3">
      <c r="A3847" s="9" t="s">
        <v>26101</v>
      </c>
      <c r="B3847" s="10" t="s">
        <v>26102</v>
      </c>
      <c r="C3847" s="11">
        <v>46033.388888888891</v>
      </c>
      <c r="D3847" s="12">
        <v>4.1666666666666664E-2</v>
      </c>
      <c r="E3847" s="11">
        <v>46033.430555555555</v>
      </c>
      <c r="F3847" s="22" t="s">
        <v>25766</v>
      </c>
      <c r="G3847" s="13" t="b">
        <v>0</v>
      </c>
      <c r="H3847" s="22" t="s">
        <v>25767</v>
      </c>
      <c r="I3847" s="10" t="s">
        <v>212</v>
      </c>
      <c r="J3847" s="13" t="b">
        <v>1</v>
      </c>
      <c r="K3847" s="13" t="b">
        <v>0</v>
      </c>
      <c r="L3847" s="10" t="s">
        <v>124</v>
      </c>
      <c r="M3847" s="10" t="s">
        <v>91</v>
      </c>
      <c r="N3847" s="10" t="s">
        <v>92</v>
      </c>
      <c r="O3847" s="19" t="s">
        <v>26103</v>
      </c>
      <c r="P3847" s="10"/>
      <c r="Q3847" s="10" t="s">
        <v>94</v>
      </c>
      <c r="R3847" s="10"/>
      <c r="S3847" s="10"/>
      <c r="T3847" s="10"/>
      <c r="U3847" s="10"/>
      <c r="V3847" s="10"/>
      <c r="W3847" s="10" t="s">
        <v>25770</v>
      </c>
      <c r="X3847" s="10" t="s">
        <v>130</v>
      </c>
      <c r="Y3847" s="10" t="s">
        <v>130</v>
      </c>
      <c r="Z3847" s="10" t="s">
        <v>99</v>
      </c>
      <c r="AA3847" s="10" t="s">
        <v>131</v>
      </c>
      <c r="AB3847" s="10" t="s">
        <v>25771</v>
      </c>
      <c r="AC3847" s="10" t="s">
        <v>25772</v>
      </c>
      <c r="AD3847" s="10" t="s">
        <v>165</v>
      </c>
      <c r="AE3847" s="10" t="s">
        <v>26104</v>
      </c>
      <c r="AF3847" s="15"/>
      <c r="AG3847" s="10"/>
      <c r="AH3847" s="10"/>
      <c r="AI3847" s="10"/>
      <c r="AJ3847" s="10"/>
      <c r="AK3847" s="10" t="s">
        <v>102</v>
      </c>
      <c r="AL3847" s="10"/>
      <c r="AM3847" s="10"/>
      <c r="AN3847" s="10"/>
      <c r="AO3847" s="13" t="b">
        <v>0</v>
      </c>
      <c r="AP3847" s="22" t="s">
        <v>104</v>
      </c>
      <c r="AQ3847" s="10">
        <f ca="1">IFERROR(__xludf.DUMMYFUNCTION("""COMPUTED_VALUE"""),4833905)</f>
        <v>4833905</v>
      </c>
      <c r="AR3847" s="17"/>
      <c r="AS3847" s="17"/>
      <c r="AT3847" s="17"/>
      <c r="AU3847" s="17"/>
      <c r="AV3847" s="17"/>
      <c r="AW3847" s="10"/>
      <c r="AX3847" s="17"/>
      <c r="AY3847" s="18" t="s">
        <v>257</v>
      </c>
      <c r="AZ3847" s="10"/>
      <c r="BA3847" s="20" t="b">
        <v>0</v>
      </c>
      <c r="BB3847" s="10" t="s">
        <v>26073</v>
      </c>
      <c r="BC3847" s="17" t="s">
        <v>257</v>
      </c>
      <c r="BD3847" s="17" t="s">
        <v>257</v>
      </c>
      <c r="BE3847" s="17" t="s">
        <v>257</v>
      </c>
      <c r="BF3847" s="17" t="s">
        <v>257</v>
      </c>
      <c r="BG3847" s="11">
        <f ca="1">IFERROR(__xludf.DUMMYFUNCTION("""COMPUTED_VALUE"""),46033.3888888888)</f>
        <v>46033.388888888803</v>
      </c>
      <c r="BH3847" s="17"/>
      <c r="BI3847" s="17"/>
      <c r="BJ3847" s="15"/>
      <c r="BK3847" s="15"/>
      <c r="BL3847" s="13" t="b">
        <v>0</v>
      </c>
      <c r="BM3847" s="10"/>
      <c r="BN3847" s="10" t="s">
        <v>667</v>
      </c>
      <c r="BO3847" s="11">
        <v>46030.697222222225</v>
      </c>
      <c r="BP3847" s="11">
        <v>46030.697893518518</v>
      </c>
      <c r="BQ3847" s="15"/>
      <c r="BR3847" s="15">
        <v>46031.344652777778</v>
      </c>
      <c r="BS3847" s="10" t="s">
        <v>667</v>
      </c>
      <c r="BT3847" s="10"/>
      <c r="BU3847" s="10"/>
      <c r="BV3847" s="10"/>
      <c r="BW3847" s="10"/>
      <c r="BX3847" s="10"/>
      <c r="BY3847" s="23"/>
      <c r="BZ3847" s="23"/>
      <c r="CA3847" s="10"/>
      <c r="CB3847" s="23"/>
      <c r="CC3847" s="23"/>
      <c r="CD3847" s="23"/>
      <c r="CE3847" s="23"/>
      <c r="CF3847" s="23"/>
      <c r="CG3847" s="23"/>
      <c r="CH3847" s="23"/>
      <c r="CI3847" s="23"/>
    </row>
    <row r="3848" spans="1:87" x14ac:dyDescent="0.3">
      <c r="A3848" s="9" t="s">
        <v>26105</v>
      </c>
      <c r="B3848" s="10" t="s">
        <v>26106</v>
      </c>
      <c r="C3848" s="11">
        <v>46033.4375</v>
      </c>
      <c r="D3848" s="12">
        <v>4.1666666666666664E-2</v>
      </c>
      <c r="E3848" s="11">
        <v>46033.479166666664</v>
      </c>
      <c r="F3848" s="22" t="s">
        <v>25766</v>
      </c>
      <c r="G3848" s="13" t="b">
        <v>0</v>
      </c>
      <c r="H3848" s="22" t="s">
        <v>25767</v>
      </c>
      <c r="I3848" s="10" t="s">
        <v>212</v>
      </c>
      <c r="J3848" s="13" t="b">
        <v>1</v>
      </c>
      <c r="K3848" s="13" t="b">
        <v>0</v>
      </c>
      <c r="L3848" s="10" t="s">
        <v>124</v>
      </c>
      <c r="M3848" s="10" t="s">
        <v>91</v>
      </c>
      <c r="N3848" s="10" t="s">
        <v>92</v>
      </c>
      <c r="O3848" s="19" t="s">
        <v>26107</v>
      </c>
      <c r="P3848" s="10"/>
      <c r="Q3848" s="10" t="s">
        <v>94</v>
      </c>
      <c r="R3848" s="10"/>
      <c r="S3848" s="10"/>
      <c r="T3848" s="10"/>
      <c r="U3848" s="10"/>
      <c r="V3848" s="10"/>
      <c r="W3848" s="10" t="s">
        <v>25770</v>
      </c>
      <c r="X3848" s="10" t="s">
        <v>130</v>
      </c>
      <c r="Y3848" s="10" t="s">
        <v>130</v>
      </c>
      <c r="Z3848" s="10" t="s">
        <v>99</v>
      </c>
      <c r="AA3848" s="10" t="s">
        <v>131</v>
      </c>
      <c r="AB3848" s="10" t="s">
        <v>25771</v>
      </c>
      <c r="AC3848" s="10" t="s">
        <v>25772</v>
      </c>
      <c r="AD3848" s="10" t="s">
        <v>165</v>
      </c>
      <c r="AE3848" s="10" t="s">
        <v>26108</v>
      </c>
      <c r="AF3848" s="15"/>
      <c r="AG3848" s="10"/>
      <c r="AH3848" s="10"/>
      <c r="AI3848" s="10"/>
      <c r="AJ3848" s="10"/>
      <c r="AK3848" s="10" t="s">
        <v>102</v>
      </c>
      <c r="AL3848" s="10"/>
      <c r="AM3848" s="10"/>
      <c r="AN3848" s="10"/>
      <c r="AO3848" s="13" t="b">
        <v>0</v>
      </c>
      <c r="AP3848" s="22" t="s">
        <v>104</v>
      </c>
      <c r="AQ3848" s="10">
        <f ca="1">IFERROR(__xludf.DUMMYFUNCTION("""COMPUTED_VALUE"""),4833906)</f>
        <v>4833906</v>
      </c>
      <c r="AR3848" s="17"/>
      <c r="AS3848" s="17"/>
      <c r="AT3848" s="17"/>
      <c r="AU3848" s="17"/>
      <c r="AV3848" s="17"/>
      <c r="AW3848" s="10"/>
      <c r="AX3848" s="17"/>
      <c r="AY3848" s="18" t="s">
        <v>257</v>
      </c>
      <c r="AZ3848" s="10"/>
      <c r="BA3848" s="20" t="b">
        <v>0</v>
      </c>
      <c r="BB3848" s="10" t="s">
        <v>26073</v>
      </c>
      <c r="BC3848" s="17" t="s">
        <v>257</v>
      </c>
      <c r="BD3848" s="17" t="s">
        <v>257</v>
      </c>
      <c r="BE3848" s="17" t="s">
        <v>257</v>
      </c>
      <c r="BF3848" s="17" t="s">
        <v>257</v>
      </c>
      <c r="BG3848" s="11">
        <f ca="1">IFERROR(__xludf.DUMMYFUNCTION("""COMPUTED_VALUE"""),46033.4375)</f>
        <v>46033.4375</v>
      </c>
      <c r="BH3848" s="17"/>
      <c r="BI3848" s="17"/>
      <c r="BJ3848" s="15"/>
      <c r="BK3848" s="15"/>
      <c r="BL3848" s="13" t="b">
        <v>0</v>
      </c>
      <c r="BM3848" s="10"/>
      <c r="BN3848" s="10" t="s">
        <v>667</v>
      </c>
      <c r="BO3848" s="11">
        <v>46030.697916666664</v>
      </c>
      <c r="BP3848" s="11">
        <v>46030.698206018518</v>
      </c>
      <c r="BQ3848" s="15"/>
      <c r="BR3848" s="15">
        <v>46031.344849537039</v>
      </c>
      <c r="BS3848" s="10" t="s">
        <v>667</v>
      </c>
      <c r="BT3848" s="10"/>
      <c r="BU3848" s="10"/>
      <c r="BV3848" s="10"/>
      <c r="BW3848" s="10"/>
      <c r="BX3848" s="10"/>
      <c r="BY3848" s="23"/>
      <c r="BZ3848" s="23"/>
      <c r="CA3848" s="10"/>
      <c r="CB3848" s="23"/>
      <c r="CC3848" s="23"/>
      <c r="CD3848" s="23"/>
      <c r="CE3848" s="23"/>
      <c r="CF3848" s="23"/>
      <c r="CG3848" s="23"/>
      <c r="CH3848" s="23"/>
      <c r="CI3848" s="23"/>
    </row>
    <row r="3849" spans="1:87" x14ac:dyDescent="0.3">
      <c r="A3849" s="9" t="s">
        <v>26109</v>
      </c>
      <c r="B3849" s="10" t="s">
        <v>26110</v>
      </c>
      <c r="C3849" s="11">
        <v>46033.486111111109</v>
      </c>
      <c r="D3849" s="12">
        <v>4.1666666666666664E-2</v>
      </c>
      <c r="E3849" s="11">
        <v>46033.527777777781</v>
      </c>
      <c r="F3849" s="22" t="s">
        <v>25766</v>
      </c>
      <c r="G3849" s="13" t="b">
        <v>0</v>
      </c>
      <c r="H3849" s="22" t="s">
        <v>25767</v>
      </c>
      <c r="I3849" s="10" t="s">
        <v>212</v>
      </c>
      <c r="J3849" s="13" t="b">
        <v>1</v>
      </c>
      <c r="K3849" s="13" t="b">
        <v>0</v>
      </c>
      <c r="L3849" s="10" t="s">
        <v>124</v>
      </c>
      <c r="M3849" s="10" t="s">
        <v>91</v>
      </c>
      <c r="N3849" s="10" t="s">
        <v>92</v>
      </c>
      <c r="O3849" s="19" t="s">
        <v>26111</v>
      </c>
      <c r="P3849" s="10"/>
      <c r="Q3849" s="10" t="s">
        <v>94</v>
      </c>
      <c r="R3849" s="10"/>
      <c r="S3849" s="10"/>
      <c r="T3849" s="10"/>
      <c r="U3849" s="10"/>
      <c r="V3849" s="10"/>
      <c r="W3849" s="10" t="s">
        <v>25770</v>
      </c>
      <c r="X3849" s="10" t="s">
        <v>130</v>
      </c>
      <c r="Y3849" s="10" t="s">
        <v>130</v>
      </c>
      <c r="Z3849" s="10" t="s">
        <v>99</v>
      </c>
      <c r="AA3849" s="10" t="s">
        <v>131</v>
      </c>
      <c r="AB3849" s="10" t="s">
        <v>25771</v>
      </c>
      <c r="AC3849" s="10" t="s">
        <v>25772</v>
      </c>
      <c r="AD3849" s="10" t="s">
        <v>165</v>
      </c>
      <c r="AE3849" s="10" t="s">
        <v>26112</v>
      </c>
      <c r="AF3849" s="15"/>
      <c r="AG3849" s="10"/>
      <c r="AH3849" s="10"/>
      <c r="AI3849" s="10"/>
      <c r="AJ3849" s="10"/>
      <c r="AK3849" s="10" t="s">
        <v>102</v>
      </c>
      <c r="AL3849" s="10"/>
      <c r="AM3849" s="10"/>
      <c r="AN3849" s="10"/>
      <c r="AO3849" s="13" t="b">
        <v>0</v>
      </c>
      <c r="AP3849" s="22" t="s">
        <v>104</v>
      </c>
      <c r="AQ3849" s="10">
        <f ca="1">IFERROR(__xludf.DUMMYFUNCTION("""COMPUTED_VALUE"""),4833907)</f>
        <v>4833907</v>
      </c>
      <c r="AR3849" s="17"/>
      <c r="AS3849" s="17"/>
      <c r="AT3849" s="17"/>
      <c r="AU3849" s="17"/>
      <c r="AV3849" s="17"/>
      <c r="AW3849" s="10"/>
      <c r="AX3849" s="17"/>
      <c r="AY3849" s="18" t="s">
        <v>257</v>
      </c>
      <c r="AZ3849" s="10"/>
      <c r="BA3849" s="20" t="b">
        <v>0</v>
      </c>
      <c r="BB3849" s="10" t="s">
        <v>26073</v>
      </c>
      <c r="BC3849" s="17" t="s">
        <v>257</v>
      </c>
      <c r="BD3849" s="17" t="s">
        <v>257</v>
      </c>
      <c r="BE3849" s="17" t="s">
        <v>257</v>
      </c>
      <c r="BF3849" s="17" t="s">
        <v>257</v>
      </c>
      <c r="BG3849" s="11">
        <f ca="1">IFERROR(__xludf.DUMMYFUNCTION("""COMPUTED_VALUE"""),46033.4861111111)</f>
        <v>46033.486111111102</v>
      </c>
      <c r="BH3849" s="17"/>
      <c r="BI3849" s="17"/>
      <c r="BJ3849" s="15"/>
      <c r="BK3849" s="15"/>
      <c r="BL3849" s="13" t="b">
        <v>0</v>
      </c>
      <c r="BM3849" s="10"/>
      <c r="BN3849" s="10" t="s">
        <v>667</v>
      </c>
      <c r="BO3849" s="11">
        <v>46030.697916666664</v>
      </c>
      <c r="BP3849" s="11">
        <v>46030.698506944442</v>
      </c>
      <c r="BQ3849" s="15"/>
      <c r="BR3849" s="15">
        <v>46031.345000000001</v>
      </c>
      <c r="BS3849" s="10" t="s">
        <v>667</v>
      </c>
      <c r="BT3849" s="10"/>
      <c r="BU3849" s="10"/>
      <c r="BV3849" s="10"/>
      <c r="BW3849" s="10"/>
      <c r="BX3849" s="10"/>
      <c r="BY3849" s="23"/>
      <c r="BZ3849" s="23"/>
      <c r="CA3849" s="10"/>
      <c r="CB3849" s="23"/>
      <c r="CC3849" s="23"/>
      <c r="CD3849" s="23"/>
      <c r="CE3849" s="23"/>
      <c r="CF3849" s="23"/>
      <c r="CG3849" s="23"/>
      <c r="CH3849" s="23"/>
      <c r="CI3849" s="23"/>
    </row>
    <row r="3850" spans="1:87" x14ac:dyDescent="0.3">
      <c r="A3850" s="25" t="s">
        <v>26113</v>
      </c>
      <c r="B3850" s="10" t="s">
        <v>26114</v>
      </c>
      <c r="C3850" s="11">
        <v>46033.534722222219</v>
      </c>
      <c r="D3850" s="12">
        <v>4.1666666666666664E-2</v>
      </c>
      <c r="E3850" s="11">
        <v>46033.576388888891</v>
      </c>
      <c r="F3850" s="22" t="s">
        <v>25766</v>
      </c>
      <c r="G3850" s="13" t="b">
        <v>0</v>
      </c>
      <c r="H3850" s="22" t="s">
        <v>25767</v>
      </c>
      <c r="I3850" s="10" t="s">
        <v>212</v>
      </c>
      <c r="J3850" s="13" t="b">
        <v>1</v>
      </c>
      <c r="K3850" s="13" t="b">
        <v>0</v>
      </c>
      <c r="L3850" s="10" t="s">
        <v>124</v>
      </c>
      <c r="M3850" s="10" t="s">
        <v>91</v>
      </c>
      <c r="N3850" s="10" t="s">
        <v>92</v>
      </c>
      <c r="O3850" s="19" t="s">
        <v>26115</v>
      </c>
      <c r="P3850" s="10"/>
      <c r="Q3850" s="10" t="s">
        <v>94</v>
      </c>
      <c r="R3850" s="10"/>
      <c r="S3850" s="10"/>
      <c r="T3850" s="10"/>
      <c r="U3850" s="10"/>
      <c r="V3850" s="10"/>
      <c r="W3850" s="10" t="s">
        <v>25770</v>
      </c>
      <c r="X3850" s="10" t="s">
        <v>130</v>
      </c>
      <c r="Y3850" s="10" t="s">
        <v>130</v>
      </c>
      <c r="Z3850" s="10" t="s">
        <v>99</v>
      </c>
      <c r="AA3850" s="10" t="s">
        <v>131</v>
      </c>
      <c r="AB3850" s="10" t="s">
        <v>25771</v>
      </c>
      <c r="AC3850" s="10" t="s">
        <v>25772</v>
      </c>
      <c r="AD3850" s="10" t="s">
        <v>165</v>
      </c>
      <c r="AE3850" s="10" t="s">
        <v>26116</v>
      </c>
      <c r="AF3850" s="15"/>
      <c r="AG3850" s="10"/>
      <c r="AH3850" s="10"/>
      <c r="AI3850" s="10"/>
      <c r="AJ3850" s="10"/>
      <c r="AK3850" s="10" t="s">
        <v>102</v>
      </c>
      <c r="AL3850" s="10"/>
      <c r="AM3850" s="10"/>
      <c r="AN3850" s="10"/>
      <c r="AO3850" s="13" t="b">
        <v>0</v>
      </c>
      <c r="AP3850" s="22" t="s">
        <v>104</v>
      </c>
      <c r="AQ3850" s="10">
        <f ca="1">IFERROR(__xludf.DUMMYFUNCTION("""COMPUTED_VALUE"""),4833908)</f>
        <v>4833908</v>
      </c>
      <c r="AR3850" s="17"/>
      <c r="AS3850" s="17"/>
      <c r="AT3850" s="17"/>
      <c r="AU3850" s="17"/>
      <c r="AV3850" s="17"/>
      <c r="AW3850" s="10"/>
      <c r="AX3850" s="17"/>
      <c r="AY3850" s="18" t="s">
        <v>257</v>
      </c>
      <c r="AZ3850" s="10"/>
      <c r="BA3850" s="20" t="b">
        <v>0</v>
      </c>
      <c r="BB3850" s="10" t="s">
        <v>26073</v>
      </c>
      <c r="BC3850" s="17" t="s">
        <v>257</v>
      </c>
      <c r="BD3850" s="17" t="s">
        <v>257</v>
      </c>
      <c r="BE3850" s="17" t="s">
        <v>257</v>
      </c>
      <c r="BF3850" s="17" t="s">
        <v>257</v>
      </c>
      <c r="BG3850" s="11">
        <f ca="1">IFERROR(__xludf.DUMMYFUNCTION("""COMPUTED_VALUE"""),46033.5347222222)</f>
        <v>46033.534722222197</v>
      </c>
      <c r="BH3850" s="17"/>
      <c r="BI3850" s="17"/>
      <c r="BJ3850" s="15"/>
      <c r="BK3850" s="15"/>
      <c r="BL3850" s="13" t="b">
        <v>0</v>
      </c>
      <c r="BM3850" s="10"/>
      <c r="BN3850" s="10" t="s">
        <v>667</v>
      </c>
      <c r="BO3850" s="11">
        <v>46030.698611111111</v>
      </c>
      <c r="BP3850" s="11">
        <v>46030.698784722219</v>
      </c>
      <c r="BQ3850" s="15"/>
      <c r="BR3850" s="15">
        <v>46031.345185185186</v>
      </c>
      <c r="BS3850" s="10" t="s">
        <v>667</v>
      </c>
      <c r="BT3850" s="10"/>
      <c r="BU3850" s="10"/>
      <c r="BV3850" s="10"/>
      <c r="BW3850" s="10"/>
      <c r="BX3850" s="10"/>
      <c r="BY3850" s="23"/>
      <c r="BZ3850" s="23"/>
      <c r="CA3850" s="10"/>
      <c r="CB3850" s="23"/>
      <c r="CC3850" s="23"/>
      <c r="CD3850" s="23"/>
      <c r="CE3850" s="23"/>
      <c r="CF3850" s="23"/>
      <c r="CG3850" s="23"/>
      <c r="CH3850" s="23"/>
      <c r="CI3850" s="23"/>
    </row>
    <row r="3851" spans="1:87" x14ac:dyDescent="0.3">
      <c r="A3851" s="9" t="s">
        <v>26117</v>
      </c>
      <c r="B3851" s="10" t="s">
        <v>26118</v>
      </c>
      <c r="C3851" s="11">
        <v>46033.291666666664</v>
      </c>
      <c r="D3851" s="12">
        <v>0.19444444444444445</v>
      </c>
      <c r="E3851" s="11">
        <v>46033.486111111109</v>
      </c>
      <c r="F3851" s="22" t="s">
        <v>25766</v>
      </c>
      <c r="G3851" s="13" t="b">
        <v>0</v>
      </c>
      <c r="H3851" s="22" t="s">
        <v>25767</v>
      </c>
      <c r="I3851" s="10" t="s">
        <v>212</v>
      </c>
      <c r="J3851" s="13" t="b">
        <v>1</v>
      </c>
      <c r="K3851" s="13" t="b">
        <v>0</v>
      </c>
      <c r="L3851" s="10" t="s">
        <v>124</v>
      </c>
      <c r="M3851" s="10" t="s">
        <v>91</v>
      </c>
      <c r="N3851" s="10" t="s">
        <v>92</v>
      </c>
      <c r="O3851" s="19" t="s">
        <v>26119</v>
      </c>
      <c r="P3851" s="10"/>
      <c r="Q3851" s="10" t="s">
        <v>94</v>
      </c>
      <c r="R3851" s="10"/>
      <c r="S3851" s="19" t="s">
        <v>25774</v>
      </c>
      <c r="T3851" s="10"/>
      <c r="U3851" s="10"/>
      <c r="V3851" s="10"/>
      <c r="W3851" s="10" t="s">
        <v>25770</v>
      </c>
      <c r="X3851" s="10" t="s">
        <v>130</v>
      </c>
      <c r="Y3851" s="10" t="s">
        <v>130</v>
      </c>
      <c r="Z3851" s="10" t="s">
        <v>99</v>
      </c>
      <c r="AA3851" s="10" t="s">
        <v>131</v>
      </c>
      <c r="AB3851" s="10" t="s">
        <v>25771</v>
      </c>
      <c r="AC3851" s="10" t="s">
        <v>25772</v>
      </c>
      <c r="AD3851" s="10" t="s">
        <v>165</v>
      </c>
      <c r="AE3851" s="10" t="s">
        <v>26120</v>
      </c>
      <c r="AF3851" s="15"/>
      <c r="AG3851" s="10"/>
      <c r="AH3851" s="10"/>
      <c r="AI3851" s="10"/>
      <c r="AJ3851" s="10"/>
      <c r="AK3851" s="10" t="s">
        <v>102</v>
      </c>
      <c r="AL3851" s="10"/>
      <c r="AM3851" s="10"/>
      <c r="AN3851" s="10"/>
      <c r="AO3851" s="13" t="b">
        <v>0</v>
      </c>
      <c r="AP3851" s="22" t="s">
        <v>104</v>
      </c>
      <c r="AQ3851" s="10">
        <f ca="1">IFERROR(__xludf.DUMMYFUNCTION("""COMPUTED_VALUE"""),20281)</f>
        <v>20281</v>
      </c>
      <c r="AR3851" s="17"/>
      <c r="AS3851" s="17"/>
      <c r="AT3851" s="17"/>
      <c r="AU3851" s="17"/>
      <c r="AV3851" s="17"/>
      <c r="AW3851" s="10"/>
      <c r="AX3851" s="17"/>
      <c r="AY3851" s="18" t="s">
        <v>257</v>
      </c>
      <c r="AZ3851" s="10"/>
      <c r="BA3851" s="20" t="b">
        <v>1</v>
      </c>
      <c r="BB3851" s="10"/>
      <c r="BC3851" s="17" t="s">
        <v>257</v>
      </c>
      <c r="BD3851" s="17" t="s">
        <v>257</v>
      </c>
      <c r="BE3851" s="17" t="s">
        <v>257</v>
      </c>
      <c r="BF3851" s="17" t="s">
        <v>257</v>
      </c>
      <c r="BG3851" s="11">
        <f ca="1">IFERROR(__xludf.DUMMYFUNCTION("""COMPUTED_VALUE"""),46033.2916666666)</f>
        <v>46033.291666666599</v>
      </c>
      <c r="BH3851" s="17" t="s">
        <v>105</v>
      </c>
      <c r="BI3851" s="17"/>
      <c r="BJ3851" s="15"/>
      <c r="BK3851" s="15"/>
      <c r="BL3851" s="13" t="b">
        <v>0</v>
      </c>
      <c r="BM3851" s="10"/>
      <c r="BN3851" s="10" t="s">
        <v>667</v>
      </c>
      <c r="BO3851" s="11">
        <v>46030.697916666664</v>
      </c>
      <c r="BP3851" s="11">
        <v>46030.70753472222</v>
      </c>
      <c r="BQ3851" s="15">
        <v>46030.718877314815</v>
      </c>
      <c r="BR3851" s="15">
        <v>46031.338206018518</v>
      </c>
      <c r="BS3851" s="10" t="s">
        <v>667</v>
      </c>
      <c r="BT3851" s="10"/>
      <c r="BU3851" s="10"/>
      <c r="BV3851" s="10"/>
      <c r="BW3851" s="10"/>
      <c r="BX3851" s="10"/>
      <c r="BY3851" s="23"/>
      <c r="BZ3851" s="23"/>
      <c r="CA3851" s="19" t="s">
        <v>25774</v>
      </c>
      <c r="CB3851" s="23"/>
      <c r="CC3851" s="23"/>
      <c r="CD3851" s="23"/>
      <c r="CE3851" s="23"/>
      <c r="CF3851" s="23"/>
      <c r="CG3851" s="23"/>
      <c r="CH3851" s="23"/>
      <c r="CI3851" s="23"/>
    </row>
    <row r="3852" spans="1:87" x14ac:dyDescent="0.3">
      <c r="A3852" s="9" t="s">
        <v>26121</v>
      </c>
      <c r="B3852" s="10" t="s">
        <v>26122</v>
      </c>
      <c r="C3852" s="11">
        <v>46033.291666666664</v>
      </c>
      <c r="D3852" s="12">
        <v>4.8611111111111112E-2</v>
      </c>
      <c r="E3852" s="11">
        <v>46033.340277777781</v>
      </c>
      <c r="F3852" s="22" t="s">
        <v>25766</v>
      </c>
      <c r="G3852" s="13" t="b">
        <v>0</v>
      </c>
      <c r="H3852" s="22" t="s">
        <v>25767</v>
      </c>
      <c r="I3852" s="10" t="s">
        <v>212</v>
      </c>
      <c r="J3852" s="13" t="b">
        <v>1</v>
      </c>
      <c r="K3852" s="13" t="b">
        <v>0</v>
      </c>
      <c r="L3852" s="10" t="s">
        <v>124</v>
      </c>
      <c r="M3852" s="10" t="s">
        <v>91</v>
      </c>
      <c r="N3852" s="10" t="s">
        <v>92</v>
      </c>
      <c r="O3852" s="19" t="s">
        <v>26123</v>
      </c>
      <c r="P3852" s="10"/>
      <c r="Q3852" s="10" t="s">
        <v>94</v>
      </c>
      <c r="R3852" s="10"/>
      <c r="S3852" s="10"/>
      <c r="T3852" s="10"/>
      <c r="U3852" s="10"/>
      <c r="V3852" s="10"/>
      <c r="W3852" s="10" t="s">
        <v>25770</v>
      </c>
      <c r="X3852" s="10" t="s">
        <v>130</v>
      </c>
      <c r="Y3852" s="10" t="s">
        <v>130</v>
      </c>
      <c r="Z3852" s="10" t="s">
        <v>99</v>
      </c>
      <c r="AA3852" s="10" t="s">
        <v>131</v>
      </c>
      <c r="AB3852" s="10" t="s">
        <v>25771</v>
      </c>
      <c r="AC3852" s="10" t="s">
        <v>25772</v>
      </c>
      <c r="AD3852" s="10" t="s">
        <v>165</v>
      </c>
      <c r="AE3852" s="10" t="s">
        <v>26124</v>
      </c>
      <c r="AF3852" s="15"/>
      <c r="AG3852" s="10"/>
      <c r="AH3852" s="10"/>
      <c r="AI3852" s="10"/>
      <c r="AJ3852" s="10"/>
      <c r="AK3852" s="10" t="s">
        <v>102</v>
      </c>
      <c r="AL3852" s="10"/>
      <c r="AM3852" s="10"/>
      <c r="AN3852" s="10"/>
      <c r="AO3852" s="13" t="b">
        <v>0</v>
      </c>
      <c r="AP3852" s="22" t="s">
        <v>104</v>
      </c>
      <c r="AQ3852" s="10">
        <f ca="1">IFERROR(__xludf.DUMMYFUNCTION("""COMPUTED_VALUE"""),4833898)</f>
        <v>4833898</v>
      </c>
      <c r="AR3852" s="17"/>
      <c r="AS3852" s="17"/>
      <c r="AT3852" s="17"/>
      <c r="AU3852" s="17"/>
      <c r="AV3852" s="17"/>
      <c r="AW3852" s="10"/>
      <c r="AX3852" s="17"/>
      <c r="AY3852" s="18" t="s">
        <v>257</v>
      </c>
      <c r="AZ3852" s="10"/>
      <c r="BA3852" s="20" t="b">
        <v>0</v>
      </c>
      <c r="BB3852" s="10" t="s">
        <v>26117</v>
      </c>
      <c r="BC3852" s="17" t="s">
        <v>257</v>
      </c>
      <c r="BD3852" s="17" t="s">
        <v>257</v>
      </c>
      <c r="BE3852" s="17" t="s">
        <v>257</v>
      </c>
      <c r="BF3852" s="17" t="s">
        <v>257</v>
      </c>
      <c r="BG3852" s="11">
        <f ca="1">IFERROR(__xludf.DUMMYFUNCTION("""COMPUTED_VALUE"""),46033.2916666666)</f>
        <v>46033.291666666599</v>
      </c>
      <c r="BH3852" s="17"/>
      <c r="BI3852" s="17"/>
      <c r="BJ3852" s="15"/>
      <c r="BK3852" s="15"/>
      <c r="BL3852" s="13" t="b">
        <v>0</v>
      </c>
      <c r="BM3852" s="10"/>
      <c r="BN3852" s="10" t="s">
        <v>667</v>
      </c>
      <c r="BO3852" s="11">
        <v>46030.699305555558</v>
      </c>
      <c r="BP3852" s="11">
        <v>46030.699837962966</v>
      </c>
      <c r="BQ3852" s="15"/>
      <c r="BR3852" s="15">
        <v>46031.337337962963</v>
      </c>
      <c r="BS3852" s="10" t="s">
        <v>667</v>
      </c>
      <c r="BT3852" s="10"/>
      <c r="BU3852" s="10"/>
      <c r="BV3852" s="10"/>
      <c r="BW3852" s="10"/>
      <c r="BX3852" s="10"/>
      <c r="BY3852" s="23"/>
      <c r="BZ3852" s="23"/>
      <c r="CA3852" s="10"/>
      <c r="CB3852" s="23"/>
      <c r="CC3852" s="23"/>
      <c r="CD3852" s="23"/>
      <c r="CE3852" s="23"/>
      <c r="CF3852" s="23"/>
      <c r="CG3852" s="23"/>
      <c r="CH3852" s="23"/>
      <c r="CI3852" s="23"/>
    </row>
    <row r="3853" spans="1:87" x14ac:dyDescent="0.3">
      <c r="A3853" s="9" t="s">
        <v>26125</v>
      </c>
      <c r="B3853" s="10" t="s">
        <v>26126</v>
      </c>
      <c r="C3853" s="11">
        <v>46033.340277777781</v>
      </c>
      <c r="D3853" s="12">
        <v>4.8611111111111112E-2</v>
      </c>
      <c r="E3853" s="11">
        <v>46033.388888888891</v>
      </c>
      <c r="F3853" s="22" t="s">
        <v>25766</v>
      </c>
      <c r="G3853" s="13" t="b">
        <v>0</v>
      </c>
      <c r="H3853" s="22" t="s">
        <v>25767</v>
      </c>
      <c r="I3853" s="10" t="s">
        <v>212</v>
      </c>
      <c r="J3853" s="13" t="b">
        <v>1</v>
      </c>
      <c r="K3853" s="13" t="b">
        <v>0</v>
      </c>
      <c r="L3853" s="10" t="s">
        <v>124</v>
      </c>
      <c r="M3853" s="10" t="s">
        <v>91</v>
      </c>
      <c r="N3853" s="10" t="s">
        <v>92</v>
      </c>
      <c r="O3853" s="19" t="s">
        <v>26127</v>
      </c>
      <c r="P3853" s="10"/>
      <c r="Q3853" s="10" t="s">
        <v>94</v>
      </c>
      <c r="R3853" s="10"/>
      <c r="S3853" s="10"/>
      <c r="T3853" s="10"/>
      <c r="U3853" s="10"/>
      <c r="V3853" s="10"/>
      <c r="W3853" s="10" t="s">
        <v>25770</v>
      </c>
      <c r="X3853" s="10" t="s">
        <v>130</v>
      </c>
      <c r="Y3853" s="10" t="s">
        <v>130</v>
      </c>
      <c r="Z3853" s="10" t="s">
        <v>99</v>
      </c>
      <c r="AA3853" s="10" t="s">
        <v>131</v>
      </c>
      <c r="AB3853" s="10" t="s">
        <v>25771</v>
      </c>
      <c r="AC3853" s="10" t="s">
        <v>25772</v>
      </c>
      <c r="AD3853" s="10" t="s">
        <v>165</v>
      </c>
      <c r="AE3853" s="10" t="s">
        <v>26128</v>
      </c>
      <c r="AF3853" s="15"/>
      <c r="AG3853" s="10"/>
      <c r="AH3853" s="10"/>
      <c r="AI3853" s="10"/>
      <c r="AJ3853" s="10"/>
      <c r="AK3853" s="10" t="s">
        <v>102</v>
      </c>
      <c r="AL3853" s="10"/>
      <c r="AM3853" s="10"/>
      <c r="AN3853" s="10"/>
      <c r="AO3853" s="13" t="b">
        <v>0</v>
      </c>
      <c r="AP3853" s="22" t="s">
        <v>104</v>
      </c>
      <c r="AQ3853" s="10">
        <f ca="1">IFERROR(__xludf.DUMMYFUNCTION("""COMPUTED_VALUE"""),4833899)</f>
        <v>4833899</v>
      </c>
      <c r="AR3853" s="17"/>
      <c r="AS3853" s="17"/>
      <c r="AT3853" s="17"/>
      <c r="AU3853" s="17"/>
      <c r="AV3853" s="17"/>
      <c r="AW3853" s="10"/>
      <c r="AX3853" s="17"/>
      <c r="AY3853" s="18" t="s">
        <v>257</v>
      </c>
      <c r="AZ3853" s="10"/>
      <c r="BA3853" s="20" t="b">
        <v>0</v>
      </c>
      <c r="BB3853" s="10" t="s">
        <v>26117</v>
      </c>
      <c r="BC3853" s="17" t="s">
        <v>257</v>
      </c>
      <c r="BD3853" s="17" t="s">
        <v>257</v>
      </c>
      <c r="BE3853" s="17" t="s">
        <v>257</v>
      </c>
      <c r="BF3853" s="17" t="s">
        <v>257</v>
      </c>
      <c r="BG3853" s="11">
        <f ca="1">IFERROR(__xludf.DUMMYFUNCTION("""COMPUTED_VALUE"""),46033.3402777777)</f>
        <v>46033.340277777701</v>
      </c>
      <c r="BH3853" s="17"/>
      <c r="BI3853" s="17"/>
      <c r="BJ3853" s="15"/>
      <c r="BK3853" s="15"/>
      <c r="BL3853" s="13" t="b">
        <v>0</v>
      </c>
      <c r="BM3853" s="10"/>
      <c r="BN3853" s="10" t="s">
        <v>667</v>
      </c>
      <c r="BO3853" s="11">
        <v>46030.7</v>
      </c>
      <c r="BP3853" s="11">
        <v>46030.70008101852</v>
      </c>
      <c r="BQ3853" s="15"/>
      <c r="BR3853" s="15">
        <v>46031.337453703702</v>
      </c>
      <c r="BS3853" s="10" t="s">
        <v>667</v>
      </c>
      <c r="BT3853" s="10"/>
      <c r="BU3853" s="10"/>
      <c r="BV3853" s="10"/>
      <c r="BW3853" s="10"/>
      <c r="BX3853" s="10"/>
      <c r="BY3853" s="23"/>
      <c r="BZ3853" s="23"/>
      <c r="CA3853" s="10"/>
      <c r="CB3853" s="23"/>
      <c r="CC3853" s="23"/>
      <c r="CD3853" s="23"/>
      <c r="CE3853" s="23"/>
      <c r="CF3853" s="23"/>
      <c r="CG3853" s="23"/>
      <c r="CH3853" s="23"/>
      <c r="CI3853" s="23"/>
    </row>
    <row r="3854" spans="1:87" x14ac:dyDescent="0.3">
      <c r="A3854" s="9" t="s">
        <v>26129</v>
      </c>
      <c r="B3854" s="10" t="s">
        <v>26130</v>
      </c>
      <c r="C3854" s="11">
        <v>46033.388888888891</v>
      </c>
      <c r="D3854" s="12">
        <v>4.8611111111111112E-2</v>
      </c>
      <c r="E3854" s="11">
        <v>46033.4375</v>
      </c>
      <c r="F3854" s="22" t="s">
        <v>25766</v>
      </c>
      <c r="G3854" s="13" t="b">
        <v>0</v>
      </c>
      <c r="H3854" s="22" t="s">
        <v>25767</v>
      </c>
      <c r="I3854" s="10" t="s">
        <v>212</v>
      </c>
      <c r="J3854" s="13" t="b">
        <v>1</v>
      </c>
      <c r="K3854" s="13" t="b">
        <v>0</v>
      </c>
      <c r="L3854" s="10" t="s">
        <v>124</v>
      </c>
      <c r="M3854" s="10" t="s">
        <v>91</v>
      </c>
      <c r="N3854" s="10" t="s">
        <v>92</v>
      </c>
      <c r="O3854" s="19" t="s">
        <v>26131</v>
      </c>
      <c r="P3854" s="10"/>
      <c r="Q3854" s="10" t="s">
        <v>94</v>
      </c>
      <c r="R3854" s="10"/>
      <c r="S3854" s="10"/>
      <c r="T3854" s="10"/>
      <c r="U3854" s="10"/>
      <c r="V3854" s="10"/>
      <c r="W3854" s="10" t="s">
        <v>25770</v>
      </c>
      <c r="X3854" s="10" t="s">
        <v>130</v>
      </c>
      <c r="Y3854" s="10" t="s">
        <v>130</v>
      </c>
      <c r="Z3854" s="10" t="s">
        <v>99</v>
      </c>
      <c r="AA3854" s="10" t="s">
        <v>131</v>
      </c>
      <c r="AB3854" s="10" t="s">
        <v>25771</v>
      </c>
      <c r="AC3854" s="10" t="s">
        <v>25772</v>
      </c>
      <c r="AD3854" s="10" t="s">
        <v>165</v>
      </c>
      <c r="AE3854" s="10" t="s">
        <v>26132</v>
      </c>
      <c r="AF3854" s="15"/>
      <c r="AG3854" s="10"/>
      <c r="AH3854" s="10"/>
      <c r="AI3854" s="10"/>
      <c r="AJ3854" s="10"/>
      <c r="AK3854" s="10" t="s">
        <v>102</v>
      </c>
      <c r="AL3854" s="10"/>
      <c r="AM3854" s="10"/>
      <c r="AN3854" s="10"/>
      <c r="AO3854" s="13" t="b">
        <v>0</v>
      </c>
      <c r="AP3854" s="22" t="s">
        <v>104</v>
      </c>
      <c r="AQ3854" s="10">
        <f ca="1">IFERROR(__xludf.DUMMYFUNCTION("""COMPUTED_VALUE"""),4833900)</f>
        <v>4833900</v>
      </c>
      <c r="AR3854" s="17"/>
      <c r="AS3854" s="17"/>
      <c r="AT3854" s="17"/>
      <c r="AU3854" s="17"/>
      <c r="AV3854" s="17"/>
      <c r="AW3854" s="10"/>
      <c r="AX3854" s="17"/>
      <c r="AY3854" s="18" t="s">
        <v>257</v>
      </c>
      <c r="AZ3854" s="10"/>
      <c r="BA3854" s="20" t="b">
        <v>0</v>
      </c>
      <c r="BB3854" s="10" t="s">
        <v>26117</v>
      </c>
      <c r="BC3854" s="17" t="s">
        <v>257</v>
      </c>
      <c r="BD3854" s="17" t="s">
        <v>257</v>
      </c>
      <c r="BE3854" s="17" t="s">
        <v>257</v>
      </c>
      <c r="BF3854" s="17" t="s">
        <v>257</v>
      </c>
      <c r="BG3854" s="11">
        <f ca="1">IFERROR(__xludf.DUMMYFUNCTION("""COMPUTED_VALUE"""),46033.3888888888)</f>
        <v>46033.388888888803</v>
      </c>
      <c r="BH3854" s="17"/>
      <c r="BI3854" s="17"/>
      <c r="BJ3854" s="15"/>
      <c r="BK3854" s="15"/>
      <c r="BL3854" s="13" t="b">
        <v>0</v>
      </c>
      <c r="BM3854" s="10"/>
      <c r="BN3854" s="10" t="s">
        <v>667</v>
      </c>
      <c r="BO3854" s="11">
        <v>46030.7</v>
      </c>
      <c r="BP3854" s="11">
        <v>46030.700300925928</v>
      </c>
      <c r="BQ3854" s="15"/>
      <c r="BR3854" s="15">
        <v>46031.337592592594</v>
      </c>
      <c r="BS3854" s="10" t="s">
        <v>667</v>
      </c>
      <c r="BT3854" s="10"/>
      <c r="BU3854" s="10"/>
      <c r="BV3854" s="10"/>
      <c r="BW3854" s="10"/>
      <c r="BX3854" s="10"/>
      <c r="BY3854" s="23"/>
      <c r="BZ3854" s="23"/>
      <c r="CA3854" s="10"/>
      <c r="CB3854" s="23"/>
      <c r="CC3854" s="23"/>
      <c r="CD3854" s="23"/>
      <c r="CE3854" s="23"/>
      <c r="CF3854" s="23"/>
      <c r="CG3854" s="23"/>
      <c r="CH3854" s="23"/>
      <c r="CI3854" s="23"/>
    </row>
    <row r="3855" spans="1:87" x14ac:dyDescent="0.3">
      <c r="A3855" s="9" t="s">
        <v>26133</v>
      </c>
      <c r="B3855" s="10" t="s">
        <v>26134</v>
      </c>
      <c r="C3855" s="11">
        <v>46033.4375</v>
      </c>
      <c r="D3855" s="12">
        <v>4.8611111111111112E-2</v>
      </c>
      <c r="E3855" s="11">
        <v>46033.486111111109</v>
      </c>
      <c r="F3855" s="22" t="s">
        <v>25766</v>
      </c>
      <c r="G3855" s="13" t="b">
        <v>0</v>
      </c>
      <c r="H3855" s="22" t="s">
        <v>25767</v>
      </c>
      <c r="I3855" s="10" t="s">
        <v>212</v>
      </c>
      <c r="J3855" s="13" t="b">
        <v>1</v>
      </c>
      <c r="K3855" s="13" t="b">
        <v>0</v>
      </c>
      <c r="L3855" s="10" t="s">
        <v>124</v>
      </c>
      <c r="M3855" s="10" t="s">
        <v>91</v>
      </c>
      <c r="N3855" s="10" t="s">
        <v>92</v>
      </c>
      <c r="O3855" s="19" t="s">
        <v>26135</v>
      </c>
      <c r="P3855" s="10"/>
      <c r="Q3855" s="10" t="s">
        <v>94</v>
      </c>
      <c r="R3855" s="10"/>
      <c r="S3855" s="10"/>
      <c r="T3855" s="10"/>
      <c r="U3855" s="10"/>
      <c r="V3855" s="10"/>
      <c r="W3855" s="10" t="s">
        <v>25770</v>
      </c>
      <c r="X3855" s="10" t="s">
        <v>130</v>
      </c>
      <c r="Y3855" s="10" t="s">
        <v>130</v>
      </c>
      <c r="Z3855" s="10" t="s">
        <v>99</v>
      </c>
      <c r="AA3855" s="10" t="s">
        <v>131</v>
      </c>
      <c r="AB3855" s="10" t="s">
        <v>25771</v>
      </c>
      <c r="AC3855" s="10" t="s">
        <v>25772</v>
      </c>
      <c r="AD3855" s="10" t="s">
        <v>165</v>
      </c>
      <c r="AE3855" s="10" t="s">
        <v>26136</v>
      </c>
      <c r="AF3855" s="15"/>
      <c r="AG3855" s="10"/>
      <c r="AH3855" s="10"/>
      <c r="AI3855" s="10"/>
      <c r="AJ3855" s="10"/>
      <c r="AK3855" s="10" t="s">
        <v>102</v>
      </c>
      <c r="AL3855" s="10"/>
      <c r="AM3855" s="10"/>
      <c r="AN3855" s="10"/>
      <c r="AO3855" s="13" t="b">
        <v>0</v>
      </c>
      <c r="AP3855" s="22" t="s">
        <v>104</v>
      </c>
      <c r="AQ3855" s="10">
        <f ca="1">IFERROR(__xludf.DUMMYFUNCTION("""COMPUTED_VALUE"""),4833901)</f>
        <v>4833901</v>
      </c>
      <c r="AR3855" s="17"/>
      <c r="AS3855" s="17"/>
      <c r="AT3855" s="17"/>
      <c r="AU3855" s="17"/>
      <c r="AV3855" s="17"/>
      <c r="AW3855" s="10"/>
      <c r="AX3855" s="17"/>
      <c r="AY3855" s="18" t="s">
        <v>257</v>
      </c>
      <c r="AZ3855" s="10"/>
      <c r="BA3855" s="20" t="b">
        <v>0</v>
      </c>
      <c r="BB3855" s="10" t="s">
        <v>26117</v>
      </c>
      <c r="BC3855" s="17" t="s">
        <v>257</v>
      </c>
      <c r="BD3855" s="17" t="s">
        <v>257</v>
      </c>
      <c r="BE3855" s="17" t="s">
        <v>257</v>
      </c>
      <c r="BF3855" s="17" t="s">
        <v>257</v>
      </c>
      <c r="BG3855" s="11">
        <f ca="1">IFERROR(__xludf.DUMMYFUNCTION("""COMPUTED_VALUE"""),46033.4375)</f>
        <v>46033.4375</v>
      </c>
      <c r="BH3855" s="17"/>
      <c r="BI3855" s="17"/>
      <c r="BJ3855" s="15"/>
      <c r="BK3855" s="15"/>
      <c r="BL3855" s="13" t="b">
        <v>0</v>
      </c>
      <c r="BM3855" s="10"/>
      <c r="BN3855" s="10" t="s">
        <v>667</v>
      </c>
      <c r="BO3855" s="11">
        <v>46030.7</v>
      </c>
      <c r="BP3855" s="11">
        <v>46030.70040509259</v>
      </c>
      <c r="BQ3855" s="15"/>
      <c r="BR3855" s="15">
        <v>46031.337731481479</v>
      </c>
      <c r="BS3855" s="10" t="s">
        <v>667</v>
      </c>
      <c r="BT3855" s="10"/>
      <c r="BU3855" s="10"/>
      <c r="BV3855" s="10"/>
      <c r="BW3855" s="10"/>
      <c r="BX3855" s="10"/>
      <c r="BY3855" s="23"/>
      <c r="BZ3855" s="23"/>
      <c r="CA3855" s="10"/>
      <c r="CB3855" s="23"/>
      <c r="CC3855" s="23"/>
      <c r="CD3855" s="23"/>
      <c r="CE3855" s="23"/>
      <c r="CF3855" s="23"/>
      <c r="CG3855" s="23"/>
      <c r="CH3855" s="23"/>
      <c r="CI3855" s="23"/>
    </row>
    <row r="3856" spans="1:87" x14ac:dyDescent="0.3">
      <c r="A3856" s="9" t="s">
        <v>26137</v>
      </c>
      <c r="B3856" s="10" t="s">
        <v>26138</v>
      </c>
      <c r="C3856" s="11">
        <v>46033.486111111109</v>
      </c>
      <c r="D3856" s="12">
        <v>4.8611111111111112E-2</v>
      </c>
      <c r="E3856" s="11">
        <v>46033.534722222219</v>
      </c>
      <c r="F3856" s="22" t="s">
        <v>25766</v>
      </c>
      <c r="G3856" s="13" t="b">
        <v>0</v>
      </c>
      <c r="H3856" s="22" t="s">
        <v>25767</v>
      </c>
      <c r="I3856" s="10" t="s">
        <v>212</v>
      </c>
      <c r="J3856" s="13" t="b">
        <v>1</v>
      </c>
      <c r="K3856" s="13" t="b">
        <v>0</v>
      </c>
      <c r="L3856" s="10" t="s">
        <v>124</v>
      </c>
      <c r="M3856" s="10" t="s">
        <v>91</v>
      </c>
      <c r="N3856" s="10" t="s">
        <v>92</v>
      </c>
      <c r="O3856" s="19" t="s">
        <v>26139</v>
      </c>
      <c r="P3856" s="10"/>
      <c r="Q3856" s="10" t="s">
        <v>94</v>
      </c>
      <c r="R3856" s="10"/>
      <c r="S3856" s="10"/>
      <c r="T3856" s="10"/>
      <c r="U3856" s="10"/>
      <c r="V3856" s="10"/>
      <c r="W3856" s="10" t="s">
        <v>25770</v>
      </c>
      <c r="X3856" s="10" t="s">
        <v>130</v>
      </c>
      <c r="Y3856" s="10" t="s">
        <v>130</v>
      </c>
      <c r="Z3856" s="10" t="s">
        <v>99</v>
      </c>
      <c r="AA3856" s="10" t="s">
        <v>131</v>
      </c>
      <c r="AB3856" s="10" t="s">
        <v>25771</v>
      </c>
      <c r="AC3856" s="10" t="s">
        <v>25772</v>
      </c>
      <c r="AD3856" s="10" t="s">
        <v>165</v>
      </c>
      <c r="AE3856" s="10" t="s">
        <v>26140</v>
      </c>
      <c r="AF3856" s="15"/>
      <c r="AG3856" s="10"/>
      <c r="AH3856" s="10"/>
      <c r="AI3856" s="10"/>
      <c r="AJ3856" s="10"/>
      <c r="AK3856" s="10" t="s">
        <v>102</v>
      </c>
      <c r="AL3856" s="10"/>
      <c r="AM3856" s="10"/>
      <c r="AN3856" s="10"/>
      <c r="AO3856" s="13" t="b">
        <v>0</v>
      </c>
      <c r="AP3856" s="22" t="s">
        <v>104</v>
      </c>
      <c r="AQ3856" s="10">
        <f ca="1">IFERROR(__xludf.DUMMYFUNCTION("""COMPUTED_VALUE"""),4833902)</f>
        <v>4833902</v>
      </c>
      <c r="AR3856" s="17"/>
      <c r="AS3856" s="17"/>
      <c r="AT3856" s="17"/>
      <c r="AU3856" s="17"/>
      <c r="AV3856" s="17"/>
      <c r="AW3856" s="10"/>
      <c r="AX3856" s="17"/>
      <c r="AY3856" s="18" t="s">
        <v>257</v>
      </c>
      <c r="AZ3856" s="10"/>
      <c r="BA3856" s="20" t="b">
        <v>0</v>
      </c>
      <c r="BB3856" s="10" t="s">
        <v>26117</v>
      </c>
      <c r="BC3856" s="17" t="s">
        <v>257</v>
      </c>
      <c r="BD3856" s="17" t="s">
        <v>257</v>
      </c>
      <c r="BE3856" s="17" t="s">
        <v>257</v>
      </c>
      <c r="BF3856" s="17" t="s">
        <v>257</v>
      </c>
      <c r="BG3856" s="11">
        <f ca="1">IFERROR(__xludf.DUMMYFUNCTION("""COMPUTED_VALUE"""),46033.4861111111)</f>
        <v>46033.486111111102</v>
      </c>
      <c r="BH3856" s="17"/>
      <c r="BI3856" s="17"/>
      <c r="BJ3856" s="15"/>
      <c r="BK3856" s="15"/>
      <c r="BL3856" s="13" t="b">
        <v>0</v>
      </c>
      <c r="BM3856" s="10"/>
      <c r="BN3856" s="10" t="s">
        <v>667</v>
      </c>
      <c r="BO3856" s="11">
        <v>46030.7</v>
      </c>
      <c r="BP3856" s="11">
        <v>46030.700671296298</v>
      </c>
      <c r="BQ3856" s="15"/>
      <c r="BR3856" s="15">
        <v>46031.337905092594</v>
      </c>
      <c r="BS3856" s="10" t="s">
        <v>667</v>
      </c>
      <c r="BT3856" s="10"/>
      <c r="BU3856" s="10"/>
      <c r="BV3856" s="10"/>
      <c r="BW3856" s="10"/>
      <c r="BX3856" s="10"/>
      <c r="BY3856" s="23"/>
      <c r="BZ3856" s="23"/>
      <c r="CA3856" s="10"/>
      <c r="CB3856" s="23"/>
      <c r="CC3856" s="23"/>
      <c r="CD3856" s="23"/>
      <c r="CE3856" s="23"/>
      <c r="CF3856" s="23"/>
      <c r="CG3856" s="23"/>
      <c r="CH3856" s="23"/>
      <c r="CI3856" s="23"/>
    </row>
    <row r="3857" spans="1:87" x14ac:dyDescent="0.3">
      <c r="A3857" s="9" t="s">
        <v>26141</v>
      </c>
      <c r="B3857" s="10" t="s">
        <v>26142</v>
      </c>
      <c r="C3857" s="11">
        <v>46033.416666666664</v>
      </c>
      <c r="D3857" s="12">
        <v>0.14583333333333334</v>
      </c>
      <c r="E3857" s="11">
        <v>46033.5625</v>
      </c>
      <c r="F3857" s="22" t="s">
        <v>25766</v>
      </c>
      <c r="G3857" s="13" t="b">
        <v>0</v>
      </c>
      <c r="H3857" s="22" t="s">
        <v>25767</v>
      </c>
      <c r="I3857" s="10" t="s">
        <v>212</v>
      </c>
      <c r="J3857" s="13" t="b">
        <v>1</v>
      </c>
      <c r="K3857" s="13" t="b">
        <v>0</v>
      </c>
      <c r="L3857" s="10" t="s">
        <v>124</v>
      </c>
      <c r="M3857" s="10" t="s">
        <v>91</v>
      </c>
      <c r="N3857" s="10" t="s">
        <v>92</v>
      </c>
      <c r="O3857" s="19" t="s">
        <v>26143</v>
      </c>
      <c r="P3857" s="10"/>
      <c r="Q3857" s="10" t="s">
        <v>94</v>
      </c>
      <c r="R3857" s="10"/>
      <c r="S3857" s="19" t="s">
        <v>25774</v>
      </c>
      <c r="T3857" s="10"/>
      <c r="U3857" s="10"/>
      <c r="V3857" s="10"/>
      <c r="W3857" s="10" t="s">
        <v>25770</v>
      </c>
      <c r="X3857" s="10" t="s">
        <v>130</v>
      </c>
      <c r="Y3857" s="10" t="s">
        <v>130</v>
      </c>
      <c r="Z3857" s="10" t="s">
        <v>99</v>
      </c>
      <c r="AA3857" s="10" t="s">
        <v>131</v>
      </c>
      <c r="AB3857" s="10" t="s">
        <v>25771</v>
      </c>
      <c r="AC3857" s="10" t="s">
        <v>25772</v>
      </c>
      <c r="AD3857" s="10" t="s">
        <v>165</v>
      </c>
      <c r="AE3857" s="10" t="s">
        <v>26144</v>
      </c>
      <c r="AF3857" s="15"/>
      <c r="AG3857" s="10"/>
      <c r="AH3857" s="10"/>
      <c r="AI3857" s="10"/>
      <c r="AJ3857" s="10"/>
      <c r="AK3857" s="10" t="s">
        <v>102</v>
      </c>
      <c r="AL3857" s="10"/>
      <c r="AM3857" s="10"/>
      <c r="AN3857" s="10"/>
      <c r="AO3857" s="13" t="b">
        <v>0</v>
      </c>
      <c r="AP3857" s="22" t="s">
        <v>104</v>
      </c>
      <c r="AQ3857" s="10">
        <f ca="1">IFERROR(__xludf.DUMMYFUNCTION("""COMPUTED_VALUE"""),20282)</f>
        <v>20282</v>
      </c>
      <c r="AR3857" s="17"/>
      <c r="AS3857" s="17"/>
      <c r="AT3857" s="17"/>
      <c r="AU3857" s="17"/>
      <c r="AV3857" s="17"/>
      <c r="AW3857" s="10"/>
      <c r="AX3857" s="17"/>
      <c r="AY3857" s="18" t="s">
        <v>257</v>
      </c>
      <c r="AZ3857" s="10"/>
      <c r="BA3857" s="20" t="b">
        <v>1</v>
      </c>
      <c r="BB3857" s="10"/>
      <c r="BC3857" s="17" t="s">
        <v>257</v>
      </c>
      <c r="BD3857" s="17" t="s">
        <v>257</v>
      </c>
      <c r="BE3857" s="17" t="s">
        <v>257</v>
      </c>
      <c r="BF3857" s="17" t="s">
        <v>257</v>
      </c>
      <c r="BG3857" s="11">
        <f ca="1">IFERROR(__xludf.DUMMYFUNCTION("""COMPUTED_VALUE"""),46033.4166666666)</f>
        <v>46033.416666666599</v>
      </c>
      <c r="BH3857" s="17" t="s">
        <v>105</v>
      </c>
      <c r="BI3857" s="17"/>
      <c r="BJ3857" s="15"/>
      <c r="BK3857" s="15"/>
      <c r="BL3857" s="13" t="b">
        <v>0</v>
      </c>
      <c r="BM3857" s="10"/>
      <c r="BN3857" s="10" t="s">
        <v>667</v>
      </c>
      <c r="BO3857" s="11">
        <v>46030.700694444444</v>
      </c>
      <c r="BP3857" s="11">
        <v>46030.709456018521</v>
      </c>
      <c r="BQ3857" s="15">
        <v>46030.718819444446</v>
      </c>
      <c r="BR3857" s="15">
        <v>46031.351006944446</v>
      </c>
      <c r="BS3857" s="10" t="s">
        <v>667</v>
      </c>
      <c r="BT3857" s="10"/>
      <c r="BU3857" s="10"/>
      <c r="BV3857" s="10"/>
      <c r="BW3857" s="10"/>
      <c r="BX3857" s="10"/>
      <c r="BY3857" s="23"/>
      <c r="BZ3857" s="23"/>
      <c r="CA3857" s="19" t="s">
        <v>25774</v>
      </c>
      <c r="CB3857" s="23"/>
      <c r="CC3857" s="23"/>
      <c r="CD3857" s="23"/>
      <c r="CE3857" s="23"/>
      <c r="CF3857" s="23"/>
      <c r="CG3857" s="23"/>
      <c r="CH3857" s="23"/>
      <c r="CI3857" s="23"/>
    </row>
    <row r="3858" spans="1:87" x14ac:dyDescent="0.3">
      <c r="A3858" s="9" t="s">
        <v>26145</v>
      </c>
      <c r="B3858" s="10" t="s">
        <v>26146</v>
      </c>
      <c r="C3858" s="11">
        <v>46033.416666666664</v>
      </c>
      <c r="D3858" s="12">
        <v>4.8611111111111112E-2</v>
      </c>
      <c r="E3858" s="11">
        <v>46033.465277777781</v>
      </c>
      <c r="F3858" s="22" t="s">
        <v>25766</v>
      </c>
      <c r="G3858" s="13" t="b">
        <v>0</v>
      </c>
      <c r="H3858" s="22" t="s">
        <v>25767</v>
      </c>
      <c r="I3858" s="10" t="s">
        <v>212</v>
      </c>
      <c r="J3858" s="13" t="b">
        <v>1</v>
      </c>
      <c r="K3858" s="13" t="b">
        <v>0</v>
      </c>
      <c r="L3858" s="10" t="s">
        <v>124</v>
      </c>
      <c r="M3858" s="10" t="s">
        <v>91</v>
      </c>
      <c r="N3858" s="10" t="s">
        <v>92</v>
      </c>
      <c r="O3858" s="19" t="s">
        <v>26147</v>
      </c>
      <c r="P3858" s="10"/>
      <c r="Q3858" s="10" t="s">
        <v>94</v>
      </c>
      <c r="R3858" s="10"/>
      <c r="S3858" s="10"/>
      <c r="T3858" s="10"/>
      <c r="U3858" s="10"/>
      <c r="V3858" s="10"/>
      <c r="W3858" s="10" t="s">
        <v>25770</v>
      </c>
      <c r="X3858" s="10" t="s">
        <v>130</v>
      </c>
      <c r="Y3858" s="10" t="s">
        <v>130</v>
      </c>
      <c r="Z3858" s="10" t="s">
        <v>99</v>
      </c>
      <c r="AA3858" s="10" t="s">
        <v>131</v>
      </c>
      <c r="AB3858" s="10" t="s">
        <v>25771</v>
      </c>
      <c r="AC3858" s="10" t="s">
        <v>25772</v>
      </c>
      <c r="AD3858" s="10" t="s">
        <v>165</v>
      </c>
      <c r="AE3858" s="10" t="s">
        <v>26148</v>
      </c>
      <c r="AF3858" s="15"/>
      <c r="AG3858" s="10"/>
      <c r="AH3858" s="10"/>
      <c r="AI3858" s="10"/>
      <c r="AJ3858" s="10"/>
      <c r="AK3858" s="10" t="s">
        <v>102</v>
      </c>
      <c r="AL3858" s="10"/>
      <c r="AM3858" s="10"/>
      <c r="AN3858" s="10"/>
      <c r="AO3858" s="13" t="b">
        <v>0</v>
      </c>
      <c r="AP3858" s="22" t="s">
        <v>104</v>
      </c>
      <c r="AQ3858" s="10">
        <f ca="1">IFERROR(__xludf.DUMMYFUNCTION("""COMPUTED_VALUE"""),4833909)</f>
        <v>4833909</v>
      </c>
      <c r="AR3858" s="17"/>
      <c r="AS3858" s="17"/>
      <c r="AT3858" s="17"/>
      <c r="AU3858" s="17"/>
      <c r="AV3858" s="17"/>
      <c r="AW3858" s="10"/>
      <c r="AX3858" s="17"/>
      <c r="AY3858" s="18" t="s">
        <v>257</v>
      </c>
      <c r="AZ3858" s="10"/>
      <c r="BA3858" s="20" t="b">
        <v>0</v>
      </c>
      <c r="BB3858" s="10" t="s">
        <v>26141</v>
      </c>
      <c r="BC3858" s="17" t="s">
        <v>257</v>
      </c>
      <c r="BD3858" s="17" t="s">
        <v>257</v>
      </c>
      <c r="BE3858" s="17" t="s">
        <v>257</v>
      </c>
      <c r="BF3858" s="17" t="s">
        <v>257</v>
      </c>
      <c r="BG3858" s="11">
        <f ca="1">IFERROR(__xludf.DUMMYFUNCTION("""COMPUTED_VALUE"""),46033.4166666666)</f>
        <v>46033.416666666599</v>
      </c>
      <c r="BH3858" s="17"/>
      <c r="BI3858" s="17"/>
      <c r="BJ3858" s="15"/>
      <c r="BK3858" s="15"/>
      <c r="BL3858" s="13" t="b">
        <v>0</v>
      </c>
      <c r="BM3858" s="10"/>
      <c r="BN3858" s="10" t="s">
        <v>667</v>
      </c>
      <c r="BO3858" s="11">
        <v>46030.702777777777</v>
      </c>
      <c r="BP3858" s="11">
        <v>46030.70349537037</v>
      </c>
      <c r="BQ3858" s="15"/>
      <c r="BR3858" s="15">
        <v>46031.350416666668</v>
      </c>
      <c r="BS3858" s="10" t="s">
        <v>667</v>
      </c>
      <c r="BT3858" s="10"/>
      <c r="BU3858" s="10"/>
      <c r="BV3858" s="10"/>
      <c r="BW3858" s="10"/>
      <c r="BX3858" s="10"/>
      <c r="BY3858" s="23"/>
      <c r="BZ3858" s="23"/>
      <c r="CA3858" s="10"/>
      <c r="CB3858" s="23"/>
      <c r="CC3858" s="23"/>
      <c r="CD3858" s="23"/>
      <c r="CE3858" s="23"/>
      <c r="CF3858" s="23"/>
      <c r="CG3858" s="23"/>
      <c r="CH3858" s="23"/>
      <c r="CI3858" s="23"/>
    </row>
    <row r="3859" spans="1:87" x14ac:dyDescent="0.3">
      <c r="A3859" s="9" t="s">
        <v>26149</v>
      </c>
      <c r="B3859" s="10" t="s">
        <v>26150</v>
      </c>
      <c r="C3859" s="11">
        <v>46033.465277777781</v>
      </c>
      <c r="D3859" s="12">
        <v>4.8611111111111112E-2</v>
      </c>
      <c r="E3859" s="11">
        <v>46033.513888888891</v>
      </c>
      <c r="F3859" s="22" t="s">
        <v>25766</v>
      </c>
      <c r="G3859" s="13" t="b">
        <v>0</v>
      </c>
      <c r="H3859" s="22" t="s">
        <v>25767</v>
      </c>
      <c r="I3859" s="10" t="s">
        <v>212</v>
      </c>
      <c r="J3859" s="13" t="b">
        <v>1</v>
      </c>
      <c r="K3859" s="13" t="b">
        <v>0</v>
      </c>
      <c r="L3859" s="10" t="s">
        <v>124</v>
      </c>
      <c r="M3859" s="10" t="s">
        <v>91</v>
      </c>
      <c r="N3859" s="10" t="s">
        <v>92</v>
      </c>
      <c r="O3859" s="19" t="s">
        <v>26151</v>
      </c>
      <c r="P3859" s="10"/>
      <c r="Q3859" s="10" t="s">
        <v>94</v>
      </c>
      <c r="R3859" s="10"/>
      <c r="S3859" s="10"/>
      <c r="T3859" s="10"/>
      <c r="U3859" s="10"/>
      <c r="V3859" s="10"/>
      <c r="W3859" s="10" t="s">
        <v>25770</v>
      </c>
      <c r="X3859" s="10" t="s">
        <v>130</v>
      </c>
      <c r="Y3859" s="10" t="s">
        <v>130</v>
      </c>
      <c r="Z3859" s="10" t="s">
        <v>99</v>
      </c>
      <c r="AA3859" s="10" t="s">
        <v>131</v>
      </c>
      <c r="AB3859" s="10" t="s">
        <v>25771</v>
      </c>
      <c r="AC3859" s="10" t="s">
        <v>25772</v>
      </c>
      <c r="AD3859" s="10" t="s">
        <v>165</v>
      </c>
      <c r="AE3859" s="10" t="s">
        <v>26152</v>
      </c>
      <c r="AF3859" s="15"/>
      <c r="AG3859" s="10"/>
      <c r="AH3859" s="10"/>
      <c r="AI3859" s="10"/>
      <c r="AJ3859" s="10"/>
      <c r="AK3859" s="10" t="s">
        <v>102</v>
      </c>
      <c r="AL3859" s="10"/>
      <c r="AM3859" s="10"/>
      <c r="AN3859" s="10"/>
      <c r="AO3859" s="13" t="b">
        <v>0</v>
      </c>
      <c r="AP3859" s="22" t="s">
        <v>104</v>
      </c>
      <c r="AQ3859" s="10">
        <f ca="1">IFERROR(__xludf.DUMMYFUNCTION("""COMPUTED_VALUE"""),4833910)</f>
        <v>4833910</v>
      </c>
      <c r="AR3859" s="17"/>
      <c r="AS3859" s="17"/>
      <c r="AT3859" s="17"/>
      <c r="AU3859" s="17"/>
      <c r="AV3859" s="17"/>
      <c r="AW3859" s="10"/>
      <c r="AX3859" s="17"/>
      <c r="AY3859" s="18" t="s">
        <v>257</v>
      </c>
      <c r="AZ3859" s="10"/>
      <c r="BA3859" s="20" t="b">
        <v>0</v>
      </c>
      <c r="BB3859" s="10" t="s">
        <v>26141</v>
      </c>
      <c r="BC3859" s="17" t="s">
        <v>257</v>
      </c>
      <c r="BD3859" s="17" t="s">
        <v>257</v>
      </c>
      <c r="BE3859" s="17" t="s">
        <v>257</v>
      </c>
      <c r="BF3859" s="17" t="s">
        <v>257</v>
      </c>
      <c r="BG3859" s="11">
        <f ca="1">IFERROR(__xludf.DUMMYFUNCTION("""COMPUTED_VALUE"""),46033.4652777777)</f>
        <v>46033.465277777701</v>
      </c>
      <c r="BH3859" s="17"/>
      <c r="BI3859" s="17"/>
      <c r="BJ3859" s="15"/>
      <c r="BK3859" s="15"/>
      <c r="BL3859" s="13" t="b">
        <v>0</v>
      </c>
      <c r="BM3859" s="10"/>
      <c r="BN3859" s="10" t="s">
        <v>667</v>
      </c>
      <c r="BO3859" s="11">
        <v>46030.703472222223</v>
      </c>
      <c r="BP3859" s="11">
        <v>46030.703622685185</v>
      </c>
      <c r="BQ3859" s="15"/>
      <c r="BR3859" s="15">
        <v>46031.350578703707</v>
      </c>
      <c r="BS3859" s="10" t="s">
        <v>667</v>
      </c>
      <c r="BT3859" s="10"/>
      <c r="BU3859" s="10"/>
      <c r="BV3859" s="10"/>
      <c r="BW3859" s="10"/>
      <c r="BX3859" s="10"/>
      <c r="BY3859" s="23"/>
      <c r="BZ3859" s="23"/>
      <c r="CA3859" s="10"/>
      <c r="CB3859" s="23"/>
      <c r="CC3859" s="23"/>
      <c r="CD3859" s="23"/>
      <c r="CE3859" s="23"/>
      <c r="CF3859" s="23"/>
      <c r="CG3859" s="23"/>
      <c r="CH3859" s="23"/>
      <c r="CI3859" s="23"/>
    </row>
    <row r="3860" spans="1:87" x14ac:dyDescent="0.3">
      <c r="A3860" s="9" t="s">
        <v>26153</v>
      </c>
      <c r="B3860" s="10" t="s">
        <v>26154</v>
      </c>
      <c r="C3860" s="11">
        <v>46033.513888888891</v>
      </c>
      <c r="D3860" s="12">
        <v>4.8611111111111112E-2</v>
      </c>
      <c r="E3860" s="11">
        <v>46033.5625</v>
      </c>
      <c r="F3860" s="22" t="s">
        <v>25766</v>
      </c>
      <c r="G3860" s="13" t="b">
        <v>0</v>
      </c>
      <c r="H3860" s="22" t="s">
        <v>25767</v>
      </c>
      <c r="I3860" s="10" t="s">
        <v>212</v>
      </c>
      <c r="J3860" s="13" t="b">
        <v>1</v>
      </c>
      <c r="K3860" s="13" t="b">
        <v>0</v>
      </c>
      <c r="L3860" s="10" t="s">
        <v>124</v>
      </c>
      <c r="M3860" s="10" t="s">
        <v>91</v>
      </c>
      <c r="N3860" s="10" t="s">
        <v>92</v>
      </c>
      <c r="O3860" s="19" t="s">
        <v>26155</v>
      </c>
      <c r="P3860" s="10"/>
      <c r="Q3860" s="10" t="s">
        <v>94</v>
      </c>
      <c r="R3860" s="10"/>
      <c r="S3860" s="10"/>
      <c r="T3860" s="10"/>
      <c r="U3860" s="10"/>
      <c r="V3860" s="10"/>
      <c r="W3860" s="10" t="s">
        <v>25770</v>
      </c>
      <c r="X3860" s="10" t="s">
        <v>130</v>
      </c>
      <c r="Y3860" s="10" t="s">
        <v>130</v>
      </c>
      <c r="Z3860" s="10" t="s">
        <v>99</v>
      </c>
      <c r="AA3860" s="10" t="s">
        <v>131</v>
      </c>
      <c r="AB3860" s="10" t="s">
        <v>25771</v>
      </c>
      <c r="AC3860" s="10" t="s">
        <v>25772</v>
      </c>
      <c r="AD3860" s="10" t="s">
        <v>165</v>
      </c>
      <c r="AE3860" s="10" t="s">
        <v>26156</v>
      </c>
      <c r="AF3860" s="15"/>
      <c r="AG3860" s="10"/>
      <c r="AH3860" s="10"/>
      <c r="AI3860" s="10"/>
      <c r="AJ3860" s="10"/>
      <c r="AK3860" s="10" t="s">
        <v>102</v>
      </c>
      <c r="AL3860" s="10"/>
      <c r="AM3860" s="10"/>
      <c r="AN3860" s="10"/>
      <c r="AO3860" s="13" t="b">
        <v>0</v>
      </c>
      <c r="AP3860" s="22" t="s">
        <v>104</v>
      </c>
      <c r="AQ3860" s="10">
        <f ca="1">IFERROR(__xludf.DUMMYFUNCTION("""COMPUTED_VALUE"""),4833911)</f>
        <v>4833911</v>
      </c>
      <c r="AR3860" s="17"/>
      <c r="AS3860" s="17"/>
      <c r="AT3860" s="17"/>
      <c r="AU3860" s="17"/>
      <c r="AV3860" s="17"/>
      <c r="AW3860" s="10"/>
      <c r="AX3860" s="17"/>
      <c r="AY3860" s="18" t="s">
        <v>257</v>
      </c>
      <c r="AZ3860" s="10"/>
      <c r="BA3860" s="20" t="b">
        <v>0</v>
      </c>
      <c r="BB3860" s="10" t="s">
        <v>26141</v>
      </c>
      <c r="BC3860" s="17" t="s">
        <v>257</v>
      </c>
      <c r="BD3860" s="17" t="s">
        <v>257</v>
      </c>
      <c r="BE3860" s="17" t="s">
        <v>257</v>
      </c>
      <c r="BF3860" s="17" t="s">
        <v>257</v>
      </c>
      <c r="BG3860" s="11">
        <f ca="1">IFERROR(__xludf.DUMMYFUNCTION("""COMPUTED_VALUE"""),46033.5138888888)</f>
        <v>46033.513888888803</v>
      </c>
      <c r="BH3860" s="17"/>
      <c r="BI3860" s="17"/>
      <c r="BJ3860" s="15"/>
      <c r="BK3860" s="15"/>
      <c r="BL3860" s="13" t="b">
        <v>0</v>
      </c>
      <c r="BM3860" s="10"/>
      <c r="BN3860" s="10" t="s">
        <v>667</v>
      </c>
      <c r="BO3860" s="11">
        <v>46030.703472222223</v>
      </c>
      <c r="BP3860" s="11">
        <v>46030.703784722224</v>
      </c>
      <c r="BQ3860" s="15"/>
      <c r="BR3860" s="15">
        <v>46031.350729166668</v>
      </c>
      <c r="BS3860" s="10" t="s">
        <v>667</v>
      </c>
      <c r="BT3860" s="10"/>
      <c r="BU3860" s="10"/>
      <c r="BV3860" s="10"/>
      <c r="BW3860" s="10"/>
      <c r="BX3860" s="10"/>
      <c r="BY3860" s="23"/>
      <c r="BZ3860" s="23"/>
      <c r="CA3860" s="10"/>
      <c r="CB3860" s="23"/>
      <c r="CC3860" s="23"/>
      <c r="CD3860" s="23"/>
      <c r="CE3860" s="23"/>
      <c r="CF3860" s="23"/>
      <c r="CG3860" s="23"/>
      <c r="CH3860" s="23"/>
      <c r="CI3860" s="23"/>
    </row>
    <row r="3861" spans="1:87" x14ac:dyDescent="0.3">
      <c r="A3861" s="9" t="s">
        <v>26157</v>
      </c>
      <c r="B3861" s="10" t="s">
        <v>26036</v>
      </c>
      <c r="C3861" s="11">
        <v>46033.291666666664</v>
      </c>
      <c r="D3861" s="12">
        <v>0.25</v>
      </c>
      <c r="E3861" s="11">
        <v>46033.541666666664</v>
      </c>
      <c r="F3861" s="22" t="s">
        <v>25766</v>
      </c>
      <c r="G3861" s="13" t="b">
        <v>0</v>
      </c>
      <c r="H3861" s="22" t="s">
        <v>25767</v>
      </c>
      <c r="I3861" s="10" t="s">
        <v>212</v>
      </c>
      <c r="J3861" s="13" t="b">
        <v>1</v>
      </c>
      <c r="K3861" s="13" t="b">
        <v>0</v>
      </c>
      <c r="L3861" s="10" t="s">
        <v>124</v>
      </c>
      <c r="M3861" s="10" t="s">
        <v>91</v>
      </c>
      <c r="N3861" s="10" t="s">
        <v>92</v>
      </c>
      <c r="O3861" s="19" t="s">
        <v>25768</v>
      </c>
      <c r="P3861" s="10"/>
      <c r="Q3861" s="10" t="s">
        <v>94</v>
      </c>
      <c r="R3861" s="10"/>
      <c r="S3861" s="19" t="s">
        <v>25774</v>
      </c>
      <c r="T3861" s="10"/>
      <c r="U3861" s="10"/>
      <c r="V3861" s="10"/>
      <c r="W3861" s="10" t="s">
        <v>25770</v>
      </c>
      <c r="X3861" s="10" t="s">
        <v>130</v>
      </c>
      <c r="Y3861" s="10" t="s">
        <v>130</v>
      </c>
      <c r="Z3861" s="10" t="s">
        <v>99</v>
      </c>
      <c r="AA3861" s="10" t="s">
        <v>131</v>
      </c>
      <c r="AB3861" s="10" t="s">
        <v>25771</v>
      </c>
      <c r="AC3861" s="10" t="s">
        <v>25772</v>
      </c>
      <c r="AD3861" s="10" t="s">
        <v>165</v>
      </c>
      <c r="AE3861" s="10" t="s">
        <v>26037</v>
      </c>
      <c r="AF3861" s="15"/>
      <c r="AG3861" s="10"/>
      <c r="AH3861" s="10"/>
      <c r="AI3861" s="10"/>
      <c r="AJ3861" s="10"/>
      <c r="AK3861" s="10" t="s">
        <v>256</v>
      </c>
      <c r="AL3861" s="10"/>
      <c r="AM3861" s="10"/>
      <c r="AN3861" s="10"/>
      <c r="AO3861" s="13" t="b">
        <v>0</v>
      </c>
      <c r="AP3861" s="22" t="s">
        <v>104</v>
      </c>
      <c r="AQ3861" s="10">
        <f ca="1">IFERROR(__xludf.DUMMYFUNCTION("""COMPUTED_VALUE"""),20266)</f>
        <v>20266</v>
      </c>
      <c r="AR3861" s="17"/>
      <c r="AS3861" s="17"/>
      <c r="AT3861" s="17"/>
      <c r="AU3861" s="17"/>
      <c r="AV3861" s="17"/>
      <c r="AW3861" s="10"/>
      <c r="AX3861" s="17"/>
      <c r="AY3861" s="18" t="s">
        <v>257</v>
      </c>
      <c r="AZ3861" s="10"/>
      <c r="BA3861" s="20" t="b">
        <v>1</v>
      </c>
      <c r="BB3861" s="10"/>
      <c r="BC3861" s="17" t="s">
        <v>257</v>
      </c>
      <c r="BD3861" s="17" t="s">
        <v>257</v>
      </c>
      <c r="BE3861" s="17" t="s">
        <v>257</v>
      </c>
      <c r="BF3861" s="17" t="s">
        <v>257</v>
      </c>
      <c r="BG3861" s="11">
        <f ca="1">IFERROR(__xludf.DUMMYFUNCTION("""COMPUTED_VALUE"""),46033.2916666666)</f>
        <v>46033.291666666599</v>
      </c>
      <c r="BH3861" s="17" t="s">
        <v>105</v>
      </c>
      <c r="BI3861" s="17"/>
      <c r="BJ3861" s="15"/>
      <c r="BK3861" s="15"/>
      <c r="BL3861" s="13" t="b">
        <v>0</v>
      </c>
      <c r="BM3861" s="10" t="s">
        <v>240</v>
      </c>
      <c r="BN3861" s="10" t="s">
        <v>108</v>
      </c>
      <c r="BO3861" s="11">
        <v>46030.710416666669</v>
      </c>
      <c r="BP3861" s="11">
        <v>46031.539583333331</v>
      </c>
      <c r="BQ3861" s="15">
        <v>46030.718946759262</v>
      </c>
      <c r="BR3861" s="15">
        <v>46031.324317129627</v>
      </c>
      <c r="BS3861" s="10"/>
      <c r="BT3861" s="10"/>
      <c r="BU3861" s="10"/>
      <c r="BV3861" s="10"/>
      <c r="BW3861" s="10"/>
      <c r="BX3861" s="10"/>
      <c r="BY3861" s="23"/>
      <c r="BZ3861" s="23"/>
      <c r="CA3861" s="19" t="s">
        <v>25774</v>
      </c>
      <c r="CB3861" s="23"/>
      <c r="CC3861" s="23"/>
      <c r="CD3861" s="23"/>
      <c r="CE3861" s="23"/>
      <c r="CF3861" s="23"/>
      <c r="CG3861" s="23"/>
      <c r="CH3861" s="23"/>
      <c r="CI3861" s="23"/>
    </row>
    <row r="3862" spans="1:87" x14ac:dyDescent="0.3">
      <c r="A3862" s="9" t="s">
        <v>26158</v>
      </c>
      <c r="B3862" s="10" t="s">
        <v>25936</v>
      </c>
      <c r="C3862" s="11">
        <v>46033.291666666664</v>
      </c>
      <c r="D3862" s="12">
        <v>4.8611111111111112E-2</v>
      </c>
      <c r="E3862" s="11">
        <v>46033.340277777781</v>
      </c>
      <c r="F3862" s="22" t="s">
        <v>25766</v>
      </c>
      <c r="G3862" s="13" t="b">
        <v>0</v>
      </c>
      <c r="H3862" s="22" t="s">
        <v>25767</v>
      </c>
      <c r="I3862" s="10" t="s">
        <v>212</v>
      </c>
      <c r="J3862" s="13" t="b">
        <v>1</v>
      </c>
      <c r="K3862" s="13" t="b">
        <v>0</v>
      </c>
      <c r="L3862" s="10" t="s">
        <v>124</v>
      </c>
      <c r="M3862" s="10" t="s">
        <v>91</v>
      </c>
      <c r="N3862" s="10" t="s">
        <v>92</v>
      </c>
      <c r="O3862" s="19" t="s">
        <v>26159</v>
      </c>
      <c r="P3862" s="10"/>
      <c r="Q3862" s="10" t="s">
        <v>94</v>
      </c>
      <c r="R3862" s="10"/>
      <c r="S3862" s="10"/>
      <c r="T3862" s="10"/>
      <c r="U3862" s="10"/>
      <c r="V3862" s="10"/>
      <c r="W3862" s="10" t="s">
        <v>25770</v>
      </c>
      <c r="X3862" s="10" t="s">
        <v>130</v>
      </c>
      <c r="Y3862" s="10" t="s">
        <v>130</v>
      </c>
      <c r="Z3862" s="10" t="s">
        <v>99</v>
      </c>
      <c r="AA3862" s="10" t="s">
        <v>131</v>
      </c>
      <c r="AB3862" s="10" t="s">
        <v>25771</v>
      </c>
      <c r="AC3862" s="10" t="s">
        <v>25772</v>
      </c>
      <c r="AD3862" s="10" t="s">
        <v>165</v>
      </c>
      <c r="AE3862" s="10" t="s">
        <v>25938</v>
      </c>
      <c r="AF3862" s="15"/>
      <c r="AG3862" s="10"/>
      <c r="AH3862" s="10"/>
      <c r="AI3862" s="10"/>
      <c r="AJ3862" s="10"/>
      <c r="AK3862" s="10" t="s">
        <v>102</v>
      </c>
      <c r="AL3862" s="10"/>
      <c r="AM3862" s="10"/>
      <c r="AN3862" s="10"/>
      <c r="AO3862" s="13" t="b">
        <v>0</v>
      </c>
      <c r="AP3862" s="22" t="s">
        <v>104</v>
      </c>
      <c r="AQ3862" s="10">
        <f ca="1">IFERROR(__xludf.DUMMYFUNCTION("""COMPUTED_VALUE"""),4833884)</f>
        <v>4833884</v>
      </c>
      <c r="AR3862" s="17"/>
      <c r="AS3862" s="17"/>
      <c r="AT3862" s="17"/>
      <c r="AU3862" s="17"/>
      <c r="AV3862" s="17"/>
      <c r="AW3862" s="10"/>
      <c r="AX3862" s="17"/>
      <c r="AY3862" s="18" t="s">
        <v>257</v>
      </c>
      <c r="AZ3862" s="10"/>
      <c r="BA3862" s="20" t="b">
        <v>0</v>
      </c>
      <c r="BB3862" s="10" t="s">
        <v>26157</v>
      </c>
      <c r="BC3862" s="17" t="s">
        <v>257</v>
      </c>
      <c r="BD3862" s="17" t="s">
        <v>257</v>
      </c>
      <c r="BE3862" s="17" t="s">
        <v>257</v>
      </c>
      <c r="BF3862" s="17" t="s">
        <v>257</v>
      </c>
      <c r="BG3862" s="11">
        <f ca="1">IFERROR(__xludf.DUMMYFUNCTION("""COMPUTED_VALUE"""),46033.2916666666)</f>
        <v>46033.291666666599</v>
      </c>
      <c r="BH3862" s="17"/>
      <c r="BI3862" s="17"/>
      <c r="BJ3862" s="15"/>
      <c r="BK3862" s="15"/>
      <c r="BL3862" s="13" t="b">
        <v>0</v>
      </c>
      <c r="BM3862" s="10"/>
      <c r="BN3862" s="10" t="s">
        <v>667</v>
      </c>
      <c r="BO3862" s="11">
        <v>46030.711805555555</v>
      </c>
      <c r="BP3862" s="11">
        <v>46030.712407407409</v>
      </c>
      <c r="BQ3862" s="15"/>
      <c r="BR3862" s="15">
        <v>46031.323483796295</v>
      </c>
      <c r="BS3862" s="10" t="s">
        <v>667</v>
      </c>
      <c r="BT3862" s="10"/>
      <c r="BU3862" s="10"/>
      <c r="BV3862" s="10"/>
      <c r="BW3862" s="10"/>
      <c r="BX3862" s="10"/>
      <c r="BY3862" s="23"/>
      <c r="BZ3862" s="23"/>
      <c r="CA3862" s="10"/>
      <c r="CB3862" s="23"/>
      <c r="CC3862" s="23"/>
      <c r="CD3862" s="23"/>
      <c r="CE3862" s="23"/>
      <c r="CF3862" s="23"/>
      <c r="CG3862" s="23"/>
      <c r="CH3862" s="23"/>
      <c r="CI3862" s="23"/>
    </row>
    <row r="3863" spans="1:87" x14ac:dyDescent="0.3">
      <c r="A3863" s="9" t="s">
        <v>26160</v>
      </c>
      <c r="B3863" s="10" t="s">
        <v>25940</v>
      </c>
      <c r="C3863" s="11">
        <v>46033.340277777781</v>
      </c>
      <c r="D3863" s="12">
        <v>4.8611111111111112E-2</v>
      </c>
      <c r="E3863" s="11">
        <v>46033.388888888891</v>
      </c>
      <c r="F3863" s="22" t="s">
        <v>25766</v>
      </c>
      <c r="G3863" s="13" t="b">
        <v>0</v>
      </c>
      <c r="H3863" s="22" t="s">
        <v>25767</v>
      </c>
      <c r="I3863" s="10" t="s">
        <v>212</v>
      </c>
      <c r="J3863" s="13" t="b">
        <v>1</v>
      </c>
      <c r="K3863" s="13" t="b">
        <v>0</v>
      </c>
      <c r="L3863" s="10" t="s">
        <v>124</v>
      </c>
      <c r="M3863" s="10" t="s">
        <v>91</v>
      </c>
      <c r="N3863" s="10" t="s">
        <v>92</v>
      </c>
      <c r="O3863" s="19" t="s">
        <v>26161</v>
      </c>
      <c r="P3863" s="10"/>
      <c r="Q3863" s="10" t="s">
        <v>94</v>
      </c>
      <c r="R3863" s="10"/>
      <c r="S3863" s="10"/>
      <c r="T3863" s="10"/>
      <c r="U3863" s="10"/>
      <c r="V3863" s="10"/>
      <c r="W3863" s="10" t="s">
        <v>25770</v>
      </c>
      <c r="X3863" s="10" t="s">
        <v>130</v>
      </c>
      <c r="Y3863" s="10" t="s">
        <v>130</v>
      </c>
      <c r="Z3863" s="10" t="s">
        <v>99</v>
      </c>
      <c r="AA3863" s="10" t="s">
        <v>131</v>
      </c>
      <c r="AB3863" s="10" t="s">
        <v>25771</v>
      </c>
      <c r="AC3863" s="10" t="s">
        <v>25772</v>
      </c>
      <c r="AD3863" s="10" t="s">
        <v>165</v>
      </c>
      <c r="AE3863" s="10" t="s">
        <v>25942</v>
      </c>
      <c r="AF3863" s="15"/>
      <c r="AG3863" s="10"/>
      <c r="AH3863" s="10"/>
      <c r="AI3863" s="10"/>
      <c r="AJ3863" s="10"/>
      <c r="AK3863" s="10" t="s">
        <v>102</v>
      </c>
      <c r="AL3863" s="10"/>
      <c r="AM3863" s="10"/>
      <c r="AN3863" s="10"/>
      <c r="AO3863" s="13" t="b">
        <v>0</v>
      </c>
      <c r="AP3863" s="22" t="s">
        <v>104</v>
      </c>
      <c r="AQ3863" s="10">
        <f ca="1">IFERROR(__xludf.DUMMYFUNCTION("""COMPUTED_VALUE"""),4833885)</f>
        <v>4833885</v>
      </c>
      <c r="AR3863" s="17"/>
      <c r="AS3863" s="17"/>
      <c r="AT3863" s="17"/>
      <c r="AU3863" s="17"/>
      <c r="AV3863" s="17"/>
      <c r="AW3863" s="10"/>
      <c r="AX3863" s="17"/>
      <c r="AY3863" s="18" t="s">
        <v>257</v>
      </c>
      <c r="AZ3863" s="10"/>
      <c r="BA3863" s="20" t="b">
        <v>0</v>
      </c>
      <c r="BB3863" s="10" t="s">
        <v>26157</v>
      </c>
      <c r="BC3863" s="17" t="s">
        <v>257</v>
      </c>
      <c r="BD3863" s="17" t="s">
        <v>257</v>
      </c>
      <c r="BE3863" s="17" t="s">
        <v>257</v>
      </c>
      <c r="BF3863" s="17" t="s">
        <v>257</v>
      </c>
      <c r="BG3863" s="11">
        <f ca="1">IFERROR(__xludf.DUMMYFUNCTION("""COMPUTED_VALUE"""),46033.3402777777)</f>
        <v>46033.340277777701</v>
      </c>
      <c r="BH3863" s="17"/>
      <c r="BI3863" s="17"/>
      <c r="BJ3863" s="15"/>
      <c r="BK3863" s="15"/>
      <c r="BL3863" s="13" t="b">
        <v>0</v>
      </c>
      <c r="BM3863" s="10"/>
      <c r="BN3863" s="10" t="s">
        <v>667</v>
      </c>
      <c r="BO3863" s="11">
        <v>46030.712500000001</v>
      </c>
      <c r="BP3863" s="11">
        <v>46030.712604166663</v>
      </c>
      <c r="BQ3863" s="15"/>
      <c r="BR3863" s="15">
        <v>46031.323599537034</v>
      </c>
      <c r="BS3863" s="10" t="s">
        <v>667</v>
      </c>
      <c r="BT3863" s="10"/>
      <c r="BU3863" s="10"/>
      <c r="BV3863" s="10"/>
      <c r="BW3863" s="10"/>
      <c r="BX3863" s="10"/>
      <c r="BY3863" s="23"/>
      <c r="BZ3863" s="23"/>
      <c r="CA3863" s="10"/>
      <c r="CB3863" s="23"/>
      <c r="CC3863" s="23"/>
      <c r="CD3863" s="23"/>
      <c r="CE3863" s="23"/>
      <c r="CF3863" s="23"/>
      <c r="CG3863" s="23"/>
      <c r="CH3863" s="23"/>
      <c r="CI3863" s="23"/>
    </row>
    <row r="3864" spans="1:87" x14ac:dyDescent="0.3">
      <c r="A3864" s="9" t="s">
        <v>26162</v>
      </c>
      <c r="B3864" s="10" t="s">
        <v>25944</v>
      </c>
      <c r="C3864" s="11">
        <v>46033.416666666664</v>
      </c>
      <c r="D3864" s="12">
        <v>4.1666666666666664E-2</v>
      </c>
      <c r="E3864" s="11">
        <v>46033.458333333336</v>
      </c>
      <c r="F3864" s="22" t="s">
        <v>25766</v>
      </c>
      <c r="G3864" s="13" t="b">
        <v>0</v>
      </c>
      <c r="H3864" s="22" t="s">
        <v>25767</v>
      </c>
      <c r="I3864" s="10" t="s">
        <v>212</v>
      </c>
      <c r="J3864" s="13" t="b">
        <v>1</v>
      </c>
      <c r="K3864" s="13" t="b">
        <v>0</v>
      </c>
      <c r="L3864" s="10" t="s">
        <v>124</v>
      </c>
      <c r="M3864" s="10" t="s">
        <v>91</v>
      </c>
      <c r="N3864" s="10" t="s">
        <v>92</v>
      </c>
      <c r="O3864" s="19" t="s">
        <v>26163</v>
      </c>
      <c r="P3864" s="10"/>
      <c r="Q3864" s="10" t="s">
        <v>94</v>
      </c>
      <c r="R3864" s="10"/>
      <c r="S3864" s="10"/>
      <c r="T3864" s="10"/>
      <c r="U3864" s="10"/>
      <c r="V3864" s="10"/>
      <c r="W3864" s="10" t="s">
        <v>25770</v>
      </c>
      <c r="X3864" s="10" t="s">
        <v>130</v>
      </c>
      <c r="Y3864" s="10" t="s">
        <v>130</v>
      </c>
      <c r="Z3864" s="10" t="s">
        <v>99</v>
      </c>
      <c r="AA3864" s="10" t="s">
        <v>131</v>
      </c>
      <c r="AB3864" s="10" t="s">
        <v>25771</v>
      </c>
      <c r="AC3864" s="10" t="s">
        <v>25772</v>
      </c>
      <c r="AD3864" s="10" t="s">
        <v>165</v>
      </c>
      <c r="AE3864" s="10" t="s">
        <v>25946</v>
      </c>
      <c r="AF3864" s="15"/>
      <c r="AG3864" s="10"/>
      <c r="AH3864" s="10"/>
      <c r="AI3864" s="10"/>
      <c r="AJ3864" s="10"/>
      <c r="AK3864" s="10" t="s">
        <v>102</v>
      </c>
      <c r="AL3864" s="10"/>
      <c r="AM3864" s="10"/>
      <c r="AN3864" s="10"/>
      <c r="AO3864" s="13" t="b">
        <v>0</v>
      </c>
      <c r="AP3864" s="22" t="s">
        <v>104</v>
      </c>
      <c r="AQ3864" s="10">
        <f ca="1">IFERROR(__xludf.DUMMYFUNCTION("""COMPUTED_VALUE"""),4833886)</f>
        <v>4833886</v>
      </c>
      <c r="AR3864" s="17"/>
      <c r="AS3864" s="17"/>
      <c r="AT3864" s="17"/>
      <c r="AU3864" s="17"/>
      <c r="AV3864" s="17"/>
      <c r="AW3864" s="10"/>
      <c r="AX3864" s="17"/>
      <c r="AY3864" s="18" t="s">
        <v>257</v>
      </c>
      <c r="AZ3864" s="10"/>
      <c r="BA3864" s="20" t="b">
        <v>0</v>
      </c>
      <c r="BB3864" s="10" t="s">
        <v>26157</v>
      </c>
      <c r="BC3864" s="17" t="s">
        <v>257</v>
      </c>
      <c r="BD3864" s="17" t="s">
        <v>257</v>
      </c>
      <c r="BE3864" s="17" t="s">
        <v>257</v>
      </c>
      <c r="BF3864" s="17" t="s">
        <v>257</v>
      </c>
      <c r="BG3864" s="11">
        <f ca="1">IFERROR(__xludf.DUMMYFUNCTION("""COMPUTED_VALUE"""),46033.4166666666)</f>
        <v>46033.416666666599</v>
      </c>
      <c r="BH3864" s="17"/>
      <c r="BI3864" s="17"/>
      <c r="BJ3864" s="15"/>
      <c r="BK3864" s="15"/>
      <c r="BL3864" s="13" t="b">
        <v>0</v>
      </c>
      <c r="BM3864" s="10"/>
      <c r="BN3864" s="10" t="s">
        <v>667</v>
      </c>
      <c r="BO3864" s="11">
        <v>46030.712500000001</v>
      </c>
      <c r="BP3864" s="11">
        <v>46030.712858796294</v>
      </c>
      <c r="BQ3864" s="15"/>
      <c r="BR3864" s="15">
        <v>46031.323738425926</v>
      </c>
      <c r="BS3864" s="10" t="s">
        <v>667</v>
      </c>
      <c r="BT3864" s="10"/>
      <c r="BU3864" s="10"/>
      <c r="BV3864" s="10"/>
      <c r="BW3864" s="10"/>
      <c r="BX3864" s="10"/>
      <c r="BY3864" s="23"/>
      <c r="BZ3864" s="23"/>
      <c r="CA3864" s="10"/>
      <c r="CB3864" s="23"/>
      <c r="CC3864" s="23"/>
      <c r="CD3864" s="23"/>
      <c r="CE3864" s="23"/>
      <c r="CF3864" s="23"/>
      <c r="CG3864" s="23"/>
      <c r="CH3864" s="23"/>
      <c r="CI3864" s="23"/>
    </row>
    <row r="3865" spans="1:87" x14ac:dyDescent="0.3">
      <c r="A3865" s="9" t="s">
        <v>26164</v>
      </c>
      <c r="B3865" s="10" t="s">
        <v>25948</v>
      </c>
      <c r="C3865" s="11">
        <v>46033.458333333336</v>
      </c>
      <c r="D3865" s="12">
        <v>4.1666666666666664E-2</v>
      </c>
      <c r="E3865" s="11">
        <v>46033.5</v>
      </c>
      <c r="F3865" s="22" t="s">
        <v>25766</v>
      </c>
      <c r="G3865" s="13" t="b">
        <v>0</v>
      </c>
      <c r="H3865" s="22" t="s">
        <v>25767</v>
      </c>
      <c r="I3865" s="10" t="s">
        <v>212</v>
      </c>
      <c r="J3865" s="13" t="b">
        <v>1</v>
      </c>
      <c r="K3865" s="13" t="b">
        <v>0</v>
      </c>
      <c r="L3865" s="10" t="s">
        <v>124</v>
      </c>
      <c r="M3865" s="10" t="s">
        <v>91</v>
      </c>
      <c r="N3865" s="10" t="s">
        <v>92</v>
      </c>
      <c r="O3865" s="19" t="s">
        <v>26165</v>
      </c>
      <c r="P3865" s="10"/>
      <c r="Q3865" s="10" t="s">
        <v>94</v>
      </c>
      <c r="R3865" s="10"/>
      <c r="S3865" s="10"/>
      <c r="T3865" s="10"/>
      <c r="U3865" s="10"/>
      <c r="V3865" s="10"/>
      <c r="W3865" s="10" t="s">
        <v>25770</v>
      </c>
      <c r="X3865" s="10" t="s">
        <v>130</v>
      </c>
      <c r="Y3865" s="10" t="s">
        <v>130</v>
      </c>
      <c r="Z3865" s="10" t="s">
        <v>99</v>
      </c>
      <c r="AA3865" s="10" t="s">
        <v>131</v>
      </c>
      <c r="AB3865" s="10" t="s">
        <v>25771</v>
      </c>
      <c r="AC3865" s="10" t="s">
        <v>25772</v>
      </c>
      <c r="AD3865" s="10" t="s">
        <v>165</v>
      </c>
      <c r="AE3865" s="10" t="s">
        <v>25950</v>
      </c>
      <c r="AF3865" s="15"/>
      <c r="AG3865" s="10"/>
      <c r="AH3865" s="10"/>
      <c r="AI3865" s="10"/>
      <c r="AJ3865" s="10"/>
      <c r="AK3865" s="10" t="s">
        <v>102</v>
      </c>
      <c r="AL3865" s="10"/>
      <c r="AM3865" s="10"/>
      <c r="AN3865" s="10"/>
      <c r="AO3865" s="13" t="b">
        <v>0</v>
      </c>
      <c r="AP3865" s="22" t="s">
        <v>104</v>
      </c>
      <c r="AQ3865" s="10">
        <f ca="1">IFERROR(__xludf.DUMMYFUNCTION("""COMPUTED_VALUE"""),4833887)</f>
        <v>4833887</v>
      </c>
      <c r="AR3865" s="17"/>
      <c r="AS3865" s="17"/>
      <c r="AT3865" s="17"/>
      <c r="AU3865" s="17"/>
      <c r="AV3865" s="17"/>
      <c r="AW3865" s="10"/>
      <c r="AX3865" s="17"/>
      <c r="AY3865" s="18" t="s">
        <v>257</v>
      </c>
      <c r="AZ3865" s="10"/>
      <c r="BA3865" s="20" t="b">
        <v>0</v>
      </c>
      <c r="BB3865" s="10" t="s">
        <v>26157</v>
      </c>
      <c r="BC3865" s="17" t="s">
        <v>257</v>
      </c>
      <c r="BD3865" s="17" t="s">
        <v>257</v>
      </c>
      <c r="BE3865" s="17" t="s">
        <v>257</v>
      </c>
      <c r="BF3865" s="17" t="s">
        <v>257</v>
      </c>
      <c r="BG3865" s="11">
        <f ca="1">IFERROR(__xludf.DUMMYFUNCTION("""COMPUTED_VALUE"""),46033.4583333333)</f>
        <v>46033.458333333299</v>
      </c>
      <c r="BH3865" s="17"/>
      <c r="BI3865" s="17"/>
      <c r="BJ3865" s="15"/>
      <c r="BK3865" s="15"/>
      <c r="BL3865" s="13" t="b">
        <v>0</v>
      </c>
      <c r="BM3865" s="10"/>
      <c r="BN3865" s="10" t="s">
        <v>667</v>
      </c>
      <c r="BO3865" s="11">
        <v>46030.712500000001</v>
      </c>
      <c r="BP3865" s="11">
        <v>46030.713043981479</v>
      </c>
      <c r="BQ3865" s="15"/>
      <c r="BR3865" s="15">
        <v>46031.323865740742</v>
      </c>
      <c r="BS3865" s="10" t="s">
        <v>667</v>
      </c>
      <c r="BT3865" s="10"/>
      <c r="BU3865" s="10"/>
      <c r="BV3865" s="10"/>
      <c r="BW3865" s="10"/>
      <c r="BX3865" s="10"/>
      <c r="BY3865" s="23"/>
      <c r="BZ3865" s="23"/>
      <c r="CA3865" s="10"/>
      <c r="CB3865" s="23"/>
      <c r="CC3865" s="23"/>
      <c r="CD3865" s="23"/>
      <c r="CE3865" s="23"/>
      <c r="CF3865" s="23"/>
      <c r="CG3865" s="23"/>
      <c r="CH3865" s="23"/>
      <c r="CI3865" s="23"/>
    </row>
    <row r="3866" spans="1:87" x14ac:dyDescent="0.3">
      <c r="A3866" s="9" t="s">
        <v>26166</v>
      </c>
      <c r="B3866" s="10" t="s">
        <v>25952</v>
      </c>
      <c r="C3866" s="11">
        <v>46033.5</v>
      </c>
      <c r="D3866" s="12">
        <v>4.1666666666666664E-2</v>
      </c>
      <c r="E3866" s="11">
        <v>46033.541666666664</v>
      </c>
      <c r="F3866" s="22" t="s">
        <v>25766</v>
      </c>
      <c r="G3866" s="13" t="b">
        <v>0</v>
      </c>
      <c r="H3866" s="22" t="s">
        <v>25767</v>
      </c>
      <c r="I3866" s="10" t="s">
        <v>212</v>
      </c>
      <c r="J3866" s="13" t="b">
        <v>1</v>
      </c>
      <c r="K3866" s="13" t="b">
        <v>0</v>
      </c>
      <c r="L3866" s="10" t="s">
        <v>124</v>
      </c>
      <c r="M3866" s="10" t="s">
        <v>91</v>
      </c>
      <c r="N3866" s="10" t="s">
        <v>92</v>
      </c>
      <c r="O3866" s="19" t="s">
        <v>26167</v>
      </c>
      <c r="P3866" s="10"/>
      <c r="Q3866" s="10" t="s">
        <v>94</v>
      </c>
      <c r="R3866" s="10"/>
      <c r="S3866" s="10"/>
      <c r="T3866" s="10"/>
      <c r="U3866" s="10"/>
      <c r="V3866" s="10"/>
      <c r="W3866" s="10" t="s">
        <v>25770</v>
      </c>
      <c r="X3866" s="10" t="s">
        <v>130</v>
      </c>
      <c r="Y3866" s="10" t="s">
        <v>130</v>
      </c>
      <c r="Z3866" s="10" t="s">
        <v>99</v>
      </c>
      <c r="AA3866" s="10" t="s">
        <v>131</v>
      </c>
      <c r="AB3866" s="10" t="s">
        <v>25771</v>
      </c>
      <c r="AC3866" s="10" t="s">
        <v>25772</v>
      </c>
      <c r="AD3866" s="10" t="s">
        <v>165</v>
      </c>
      <c r="AE3866" s="10" t="s">
        <v>25954</v>
      </c>
      <c r="AF3866" s="15"/>
      <c r="AG3866" s="10"/>
      <c r="AH3866" s="10"/>
      <c r="AI3866" s="10"/>
      <c r="AJ3866" s="10"/>
      <c r="AK3866" s="10" t="s">
        <v>102</v>
      </c>
      <c r="AL3866" s="10"/>
      <c r="AM3866" s="10"/>
      <c r="AN3866" s="10"/>
      <c r="AO3866" s="13" t="b">
        <v>0</v>
      </c>
      <c r="AP3866" s="22" t="s">
        <v>104</v>
      </c>
      <c r="AQ3866" s="10">
        <f ca="1">IFERROR(__xludf.DUMMYFUNCTION("""COMPUTED_VALUE"""),4833888)</f>
        <v>4833888</v>
      </c>
      <c r="AR3866" s="17"/>
      <c r="AS3866" s="17"/>
      <c r="AT3866" s="17"/>
      <c r="AU3866" s="17"/>
      <c r="AV3866" s="17"/>
      <c r="AW3866" s="10"/>
      <c r="AX3866" s="17"/>
      <c r="AY3866" s="18" t="s">
        <v>257</v>
      </c>
      <c r="AZ3866" s="10"/>
      <c r="BA3866" s="20" t="b">
        <v>0</v>
      </c>
      <c r="BB3866" s="10" t="s">
        <v>26157</v>
      </c>
      <c r="BC3866" s="17" t="s">
        <v>257</v>
      </c>
      <c r="BD3866" s="17" t="s">
        <v>257</v>
      </c>
      <c r="BE3866" s="17" t="s">
        <v>257</v>
      </c>
      <c r="BF3866" s="17" t="s">
        <v>257</v>
      </c>
      <c r="BG3866" s="11">
        <f ca="1">IFERROR(__xludf.DUMMYFUNCTION("""COMPUTED_VALUE"""),46033.5)</f>
        <v>46033.5</v>
      </c>
      <c r="BH3866" s="17"/>
      <c r="BI3866" s="17"/>
      <c r="BJ3866" s="15"/>
      <c r="BK3866" s="15"/>
      <c r="BL3866" s="13" t="b">
        <v>0</v>
      </c>
      <c r="BM3866" s="10"/>
      <c r="BN3866" s="10" t="s">
        <v>667</v>
      </c>
      <c r="BO3866" s="11">
        <v>46030.712500000001</v>
      </c>
      <c r="BP3866" s="11">
        <v>46030.713159722225</v>
      </c>
      <c r="BQ3866" s="15"/>
      <c r="BR3866" s="15">
        <v>46031.324004629627</v>
      </c>
      <c r="BS3866" s="10" t="s">
        <v>667</v>
      </c>
      <c r="BT3866" s="10"/>
      <c r="BU3866" s="10"/>
      <c r="BV3866" s="10"/>
      <c r="BW3866" s="10"/>
      <c r="BX3866" s="10"/>
      <c r="BY3866" s="23"/>
      <c r="BZ3866" s="23"/>
      <c r="CA3866" s="10"/>
      <c r="CB3866" s="23"/>
      <c r="CC3866" s="23"/>
      <c r="CD3866" s="23"/>
      <c r="CE3866" s="23"/>
      <c r="CF3866" s="23"/>
      <c r="CG3866" s="23"/>
      <c r="CH3866" s="23"/>
      <c r="CI3866" s="23"/>
    </row>
    <row r="3867" spans="1:87" x14ac:dyDescent="0.3">
      <c r="A3867" s="9" t="s">
        <v>26168</v>
      </c>
      <c r="B3867" s="10" t="s">
        <v>26169</v>
      </c>
      <c r="C3867" s="11">
        <v>46032.291666666664</v>
      </c>
      <c r="D3867" s="12">
        <v>4.8611111111111112E-2</v>
      </c>
      <c r="E3867" s="11">
        <v>46032.340277777781</v>
      </c>
      <c r="F3867" s="22" t="s">
        <v>25766</v>
      </c>
      <c r="G3867" s="13" t="b">
        <v>0</v>
      </c>
      <c r="H3867" s="22" t="s">
        <v>25767</v>
      </c>
      <c r="I3867" s="10" t="s">
        <v>212</v>
      </c>
      <c r="J3867" s="13" t="b">
        <v>1</v>
      </c>
      <c r="K3867" s="13" t="b">
        <v>0</v>
      </c>
      <c r="L3867" s="10" t="s">
        <v>124</v>
      </c>
      <c r="M3867" s="10" t="s">
        <v>91</v>
      </c>
      <c r="N3867" s="10" t="s">
        <v>92</v>
      </c>
      <c r="O3867" s="19" t="s">
        <v>26170</v>
      </c>
      <c r="P3867" s="10"/>
      <c r="Q3867" s="10" t="s">
        <v>94</v>
      </c>
      <c r="R3867" s="10"/>
      <c r="S3867" s="19" t="s">
        <v>25769</v>
      </c>
      <c r="T3867" s="10"/>
      <c r="U3867" s="10"/>
      <c r="V3867" s="10"/>
      <c r="W3867" s="10" t="s">
        <v>25770</v>
      </c>
      <c r="X3867" s="10" t="s">
        <v>130</v>
      </c>
      <c r="Y3867" s="10" t="s">
        <v>130</v>
      </c>
      <c r="Z3867" s="10" t="s">
        <v>99</v>
      </c>
      <c r="AA3867" s="10" t="s">
        <v>131</v>
      </c>
      <c r="AB3867" s="10" t="s">
        <v>25771</v>
      </c>
      <c r="AC3867" s="10" t="s">
        <v>25772</v>
      </c>
      <c r="AD3867" s="10" t="s">
        <v>165</v>
      </c>
      <c r="AE3867" s="10" t="s">
        <v>26171</v>
      </c>
      <c r="AF3867" s="15"/>
      <c r="AG3867" s="10"/>
      <c r="AH3867" s="10"/>
      <c r="AI3867" s="10"/>
      <c r="AJ3867" s="10"/>
      <c r="AK3867" s="10" t="s">
        <v>102</v>
      </c>
      <c r="AL3867" s="10"/>
      <c r="AM3867" s="10"/>
      <c r="AN3867" s="10"/>
      <c r="AO3867" s="13" t="b">
        <v>0</v>
      </c>
      <c r="AP3867" s="22" t="s">
        <v>104</v>
      </c>
      <c r="AQ3867" s="10">
        <f ca="1">IFERROR(__xludf.DUMMYFUNCTION("""COMPUTED_VALUE"""),4833849)</f>
        <v>4833849</v>
      </c>
      <c r="AR3867" s="17">
        <v>579</v>
      </c>
      <c r="AS3867" s="17">
        <v>440</v>
      </c>
      <c r="AT3867" s="17">
        <v>2255.5</v>
      </c>
      <c r="AU3867" s="17">
        <v>0.65</v>
      </c>
      <c r="AV3867" s="17">
        <v>0.65</v>
      </c>
      <c r="AW3867" s="10" t="s">
        <v>105</v>
      </c>
      <c r="AX3867" s="17">
        <v>92</v>
      </c>
      <c r="AY3867" s="18">
        <v>5.1261363636363635</v>
      </c>
      <c r="AZ3867" s="10"/>
      <c r="BA3867" s="20" t="b">
        <v>0</v>
      </c>
      <c r="BB3867" s="10" t="s">
        <v>25795</v>
      </c>
      <c r="BC3867" s="17">
        <v>579</v>
      </c>
      <c r="BD3867" s="17">
        <v>440</v>
      </c>
      <c r="BE3867" s="17">
        <v>2255.5</v>
      </c>
      <c r="BF3867" s="17">
        <v>0.65</v>
      </c>
      <c r="BG3867" s="11">
        <f ca="1">IFERROR(__xludf.DUMMYFUNCTION("""COMPUTED_VALUE"""),46032.2916666666)</f>
        <v>46032.291666666599</v>
      </c>
      <c r="BH3867" s="17" t="s">
        <v>105</v>
      </c>
      <c r="BI3867" s="17"/>
      <c r="BJ3867" s="15"/>
      <c r="BK3867" s="15"/>
      <c r="BL3867" s="13" t="b">
        <v>0</v>
      </c>
      <c r="BM3867" s="10"/>
      <c r="BN3867" s="10" t="s">
        <v>920</v>
      </c>
      <c r="BO3867" s="11">
        <v>46030.715277777781</v>
      </c>
      <c r="BP3867" s="11">
        <v>46030.715810185182</v>
      </c>
      <c r="BQ3867" s="15"/>
      <c r="BR3867" s="15">
        <v>46031.062465277777</v>
      </c>
      <c r="BS3867" s="10" t="s">
        <v>920</v>
      </c>
      <c r="BT3867" s="10"/>
      <c r="BU3867" s="10"/>
      <c r="BV3867" s="10"/>
      <c r="BW3867" s="10"/>
      <c r="BX3867" s="10"/>
      <c r="BY3867" s="23"/>
      <c r="BZ3867" s="23"/>
      <c r="CA3867" s="19" t="s">
        <v>25774</v>
      </c>
      <c r="CB3867" s="23"/>
      <c r="CC3867" s="23"/>
      <c r="CD3867" s="23"/>
      <c r="CE3867" s="23"/>
      <c r="CF3867" s="23"/>
      <c r="CG3867" s="23"/>
      <c r="CH3867" s="23"/>
      <c r="CI3867" s="23"/>
    </row>
    <row r="3868" spans="1:87" x14ac:dyDescent="0.3">
      <c r="A3868" s="9" t="s">
        <v>26172</v>
      </c>
      <c r="B3868" s="10" t="s">
        <v>26173</v>
      </c>
      <c r="C3868" s="11">
        <v>46032.340277777781</v>
      </c>
      <c r="D3868" s="12">
        <v>4.8611111111111112E-2</v>
      </c>
      <c r="E3868" s="11">
        <v>46032.388888888891</v>
      </c>
      <c r="F3868" s="22" t="s">
        <v>25766</v>
      </c>
      <c r="G3868" s="13" t="b">
        <v>0</v>
      </c>
      <c r="H3868" s="22" t="s">
        <v>25767</v>
      </c>
      <c r="I3868" s="10" t="s">
        <v>212</v>
      </c>
      <c r="J3868" s="13" t="b">
        <v>1</v>
      </c>
      <c r="K3868" s="13" t="b">
        <v>0</v>
      </c>
      <c r="L3868" s="10" t="s">
        <v>124</v>
      </c>
      <c r="M3868" s="10" t="s">
        <v>91</v>
      </c>
      <c r="N3868" s="10" t="s">
        <v>92</v>
      </c>
      <c r="O3868" s="19" t="s">
        <v>26174</v>
      </c>
      <c r="P3868" s="10"/>
      <c r="Q3868" s="10" t="s">
        <v>94</v>
      </c>
      <c r="R3868" s="10"/>
      <c r="S3868" s="19" t="s">
        <v>25769</v>
      </c>
      <c r="T3868" s="10"/>
      <c r="U3868" s="10"/>
      <c r="V3868" s="10"/>
      <c r="W3868" s="10" t="s">
        <v>25770</v>
      </c>
      <c r="X3868" s="10" t="s">
        <v>130</v>
      </c>
      <c r="Y3868" s="10" t="s">
        <v>130</v>
      </c>
      <c r="Z3868" s="10" t="s">
        <v>99</v>
      </c>
      <c r="AA3868" s="10" t="s">
        <v>131</v>
      </c>
      <c r="AB3868" s="10" t="s">
        <v>25771</v>
      </c>
      <c r="AC3868" s="10" t="s">
        <v>25772</v>
      </c>
      <c r="AD3868" s="10" t="s">
        <v>165</v>
      </c>
      <c r="AE3868" s="10" t="s">
        <v>26175</v>
      </c>
      <c r="AF3868" s="15"/>
      <c r="AG3868" s="10"/>
      <c r="AH3868" s="10"/>
      <c r="AI3868" s="10"/>
      <c r="AJ3868" s="10"/>
      <c r="AK3868" s="10" t="s">
        <v>102</v>
      </c>
      <c r="AL3868" s="10"/>
      <c r="AM3868" s="10"/>
      <c r="AN3868" s="10"/>
      <c r="AO3868" s="13" t="b">
        <v>0</v>
      </c>
      <c r="AP3868" s="22" t="s">
        <v>104</v>
      </c>
      <c r="AQ3868" s="10">
        <f ca="1">IFERROR(__xludf.DUMMYFUNCTION("""COMPUTED_VALUE"""),4833848)</f>
        <v>4833848</v>
      </c>
      <c r="AR3868" s="17">
        <v>393</v>
      </c>
      <c r="AS3868" s="17">
        <v>262</v>
      </c>
      <c r="AT3868" s="17">
        <v>3046.75</v>
      </c>
      <c r="AU3868" s="17">
        <v>0.25</v>
      </c>
      <c r="AV3868" s="17">
        <v>0.25</v>
      </c>
      <c r="AW3868" s="10" t="s">
        <v>105</v>
      </c>
      <c r="AX3868" s="17">
        <v>92</v>
      </c>
      <c r="AY3868" s="18">
        <v>11.628816793893129</v>
      </c>
      <c r="AZ3868" s="10"/>
      <c r="BA3868" s="20" t="b">
        <v>0</v>
      </c>
      <c r="BB3868" s="10" t="s">
        <v>25795</v>
      </c>
      <c r="BC3868" s="17">
        <v>393</v>
      </c>
      <c r="BD3868" s="17">
        <v>262</v>
      </c>
      <c r="BE3868" s="17">
        <v>3046.75</v>
      </c>
      <c r="BF3868" s="17">
        <v>0.25</v>
      </c>
      <c r="BG3868" s="11">
        <f ca="1">IFERROR(__xludf.DUMMYFUNCTION("""COMPUTED_VALUE"""),46032.3402777777)</f>
        <v>46032.340277777701</v>
      </c>
      <c r="BH3868" s="17" t="s">
        <v>105</v>
      </c>
      <c r="BI3868" s="17"/>
      <c r="BJ3868" s="15"/>
      <c r="BK3868" s="15"/>
      <c r="BL3868" s="13" t="b">
        <v>0</v>
      </c>
      <c r="BM3868" s="10"/>
      <c r="BN3868" s="10" t="s">
        <v>920</v>
      </c>
      <c r="BO3868" s="11">
        <v>46030.71597222222</v>
      </c>
      <c r="BP3868" s="11">
        <v>46030.716041666667</v>
      </c>
      <c r="BQ3868" s="15"/>
      <c r="BR3868" s="15">
        <v>46031.062557870369</v>
      </c>
      <c r="BS3868" s="10" t="s">
        <v>920</v>
      </c>
      <c r="BT3868" s="10"/>
      <c r="BU3868" s="10"/>
      <c r="BV3868" s="10"/>
      <c r="BW3868" s="10"/>
      <c r="BX3868" s="10"/>
      <c r="BY3868" s="23"/>
      <c r="BZ3868" s="23"/>
      <c r="CA3868" s="19" t="s">
        <v>25774</v>
      </c>
      <c r="CB3868" s="23"/>
      <c r="CC3868" s="23"/>
      <c r="CD3868" s="23"/>
      <c r="CE3868" s="23"/>
      <c r="CF3868" s="23"/>
      <c r="CG3868" s="23"/>
      <c r="CH3868" s="23"/>
      <c r="CI3868" s="23"/>
    </row>
    <row r="3869" spans="1:87" x14ac:dyDescent="0.3">
      <c r="A3869" s="9" t="s">
        <v>26176</v>
      </c>
      <c r="B3869" s="10" t="s">
        <v>26177</v>
      </c>
      <c r="C3869" s="11">
        <v>46032.388888888891</v>
      </c>
      <c r="D3869" s="12">
        <v>4.8611111111111112E-2</v>
      </c>
      <c r="E3869" s="11">
        <v>46032.4375</v>
      </c>
      <c r="F3869" s="22" t="s">
        <v>25766</v>
      </c>
      <c r="G3869" s="13" t="b">
        <v>0</v>
      </c>
      <c r="H3869" s="22" t="s">
        <v>25767</v>
      </c>
      <c r="I3869" s="10" t="s">
        <v>212</v>
      </c>
      <c r="J3869" s="13" t="b">
        <v>1</v>
      </c>
      <c r="K3869" s="13" t="b">
        <v>0</v>
      </c>
      <c r="L3869" s="10" t="s">
        <v>124</v>
      </c>
      <c r="M3869" s="10" t="s">
        <v>91</v>
      </c>
      <c r="N3869" s="10" t="s">
        <v>92</v>
      </c>
      <c r="O3869" s="19" t="s">
        <v>26178</v>
      </c>
      <c r="P3869" s="10"/>
      <c r="Q3869" s="10" t="s">
        <v>94</v>
      </c>
      <c r="R3869" s="10"/>
      <c r="S3869" s="19" t="s">
        <v>25769</v>
      </c>
      <c r="T3869" s="10"/>
      <c r="U3869" s="10"/>
      <c r="V3869" s="10"/>
      <c r="W3869" s="10" t="s">
        <v>25770</v>
      </c>
      <c r="X3869" s="10" t="s">
        <v>130</v>
      </c>
      <c r="Y3869" s="10" t="s">
        <v>130</v>
      </c>
      <c r="Z3869" s="10" t="s">
        <v>99</v>
      </c>
      <c r="AA3869" s="10" t="s">
        <v>131</v>
      </c>
      <c r="AB3869" s="10" t="s">
        <v>25771</v>
      </c>
      <c r="AC3869" s="10" t="s">
        <v>25772</v>
      </c>
      <c r="AD3869" s="10" t="s">
        <v>165</v>
      </c>
      <c r="AE3869" s="10" t="s">
        <v>26179</v>
      </c>
      <c r="AF3869" s="15"/>
      <c r="AG3869" s="10"/>
      <c r="AH3869" s="10"/>
      <c r="AI3869" s="10"/>
      <c r="AJ3869" s="10"/>
      <c r="AK3869" s="10" t="s">
        <v>102</v>
      </c>
      <c r="AL3869" s="10"/>
      <c r="AM3869" s="10"/>
      <c r="AN3869" s="10"/>
      <c r="AO3869" s="13" t="b">
        <v>0</v>
      </c>
      <c r="AP3869" s="22" t="s">
        <v>104</v>
      </c>
      <c r="AQ3869" s="10">
        <f ca="1">IFERROR(__xludf.DUMMYFUNCTION("""COMPUTED_VALUE"""),4833847)</f>
        <v>4833847</v>
      </c>
      <c r="AR3869" s="17">
        <v>346</v>
      </c>
      <c r="AS3869" s="17">
        <v>181</v>
      </c>
      <c r="AT3869" s="17">
        <v>2703.5</v>
      </c>
      <c r="AU3869" s="17">
        <v>0.1</v>
      </c>
      <c r="AV3869" s="17">
        <v>0.1</v>
      </c>
      <c r="AW3869" s="10" t="s">
        <v>105</v>
      </c>
      <c r="AX3869" s="17">
        <v>78</v>
      </c>
      <c r="AY3869" s="18">
        <v>14.936464088397789</v>
      </c>
      <c r="AZ3869" s="10"/>
      <c r="BA3869" s="20" t="b">
        <v>0</v>
      </c>
      <c r="BB3869" s="10" t="s">
        <v>25795</v>
      </c>
      <c r="BC3869" s="17">
        <v>346</v>
      </c>
      <c r="BD3869" s="17">
        <v>181</v>
      </c>
      <c r="BE3869" s="17">
        <v>2703.5</v>
      </c>
      <c r="BF3869" s="17">
        <v>0.1</v>
      </c>
      <c r="BG3869" s="11">
        <f ca="1">IFERROR(__xludf.DUMMYFUNCTION("""COMPUTED_VALUE"""),46032.3888888888)</f>
        <v>46032.388888888803</v>
      </c>
      <c r="BH3869" s="17" t="s">
        <v>105</v>
      </c>
      <c r="BI3869" s="17"/>
      <c r="BJ3869" s="15"/>
      <c r="BK3869" s="15"/>
      <c r="BL3869" s="13" t="b">
        <v>0</v>
      </c>
      <c r="BM3869" s="10"/>
      <c r="BN3869" s="10" t="s">
        <v>920</v>
      </c>
      <c r="BO3869" s="11">
        <v>46030.71597222222</v>
      </c>
      <c r="BP3869" s="11">
        <v>46030.716145833336</v>
      </c>
      <c r="BQ3869" s="15"/>
      <c r="BR3869" s="15">
        <v>46031.062696759262</v>
      </c>
      <c r="BS3869" s="10" t="s">
        <v>920</v>
      </c>
      <c r="BT3869" s="10"/>
      <c r="BU3869" s="10"/>
      <c r="BV3869" s="10"/>
      <c r="BW3869" s="10"/>
      <c r="BX3869" s="10"/>
      <c r="BY3869" s="23"/>
      <c r="BZ3869" s="23"/>
      <c r="CA3869" s="19" t="s">
        <v>25774</v>
      </c>
      <c r="CB3869" s="23"/>
      <c r="CC3869" s="23"/>
      <c r="CD3869" s="23"/>
      <c r="CE3869" s="23"/>
      <c r="CF3869" s="23"/>
      <c r="CG3869" s="23"/>
      <c r="CH3869" s="23"/>
      <c r="CI3869" s="23"/>
    </row>
    <row r="3870" spans="1:87" x14ac:dyDescent="0.3">
      <c r="A3870" s="9" t="s">
        <v>26180</v>
      </c>
      <c r="B3870" s="10" t="s">
        <v>26181</v>
      </c>
      <c r="C3870" s="11">
        <v>46032.4375</v>
      </c>
      <c r="D3870" s="12">
        <v>4.8611111111111112E-2</v>
      </c>
      <c r="E3870" s="11">
        <v>46032.486111111109</v>
      </c>
      <c r="F3870" s="22" t="s">
        <v>25766</v>
      </c>
      <c r="G3870" s="13" t="b">
        <v>0</v>
      </c>
      <c r="H3870" s="22" t="s">
        <v>25767</v>
      </c>
      <c r="I3870" s="10" t="s">
        <v>212</v>
      </c>
      <c r="J3870" s="13" t="b">
        <v>1</v>
      </c>
      <c r="K3870" s="13" t="b">
        <v>0</v>
      </c>
      <c r="L3870" s="10" t="s">
        <v>124</v>
      </c>
      <c r="M3870" s="10" t="s">
        <v>91</v>
      </c>
      <c r="N3870" s="10" t="s">
        <v>92</v>
      </c>
      <c r="O3870" s="19" t="s">
        <v>26182</v>
      </c>
      <c r="P3870" s="10"/>
      <c r="Q3870" s="10" t="s">
        <v>94</v>
      </c>
      <c r="R3870" s="10"/>
      <c r="S3870" s="19" t="s">
        <v>25769</v>
      </c>
      <c r="T3870" s="10"/>
      <c r="U3870" s="10"/>
      <c r="V3870" s="10"/>
      <c r="W3870" s="10" t="s">
        <v>25770</v>
      </c>
      <c r="X3870" s="10" t="s">
        <v>130</v>
      </c>
      <c r="Y3870" s="10" t="s">
        <v>130</v>
      </c>
      <c r="Z3870" s="10" t="s">
        <v>99</v>
      </c>
      <c r="AA3870" s="10" t="s">
        <v>131</v>
      </c>
      <c r="AB3870" s="10" t="s">
        <v>25771</v>
      </c>
      <c r="AC3870" s="10" t="s">
        <v>25772</v>
      </c>
      <c r="AD3870" s="10" t="s">
        <v>165</v>
      </c>
      <c r="AE3870" s="10" t="s">
        <v>26183</v>
      </c>
      <c r="AF3870" s="15"/>
      <c r="AG3870" s="10"/>
      <c r="AH3870" s="10"/>
      <c r="AI3870" s="10"/>
      <c r="AJ3870" s="10"/>
      <c r="AK3870" s="10" t="s">
        <v>102</v>
      </c>
      <c r="AL3870" s="10"/>
      <c r="AM3870" s="10"/>
      <c r="AN3870" s="10"/>
      <c r="AO3870" s="13" t="b">
        <v>0</v>
      </c>
      <c r="AP3870" s="22" t="s">
        <v>104</v>
      </c>
      <c r="AQ3870" s="10">
        <f ca="1">IFERROR(__xludf.DUMMYFUNCTION("""COMPUTED_VALUE"""),4833846)</f>
        <v>4833846</v>
      </c>
      <c r="AR3870" s="17">
        <v>286</v>
      </c>
      <c r="AS3870" s="17">
        <v>172</v>
      </c>
      <c r="AT3870" s="17">
        <v>2208.5</v>
      </c>
      <c r="AU3870" s="17">
        <v>0</v>
      </c>
      <c r="AV3870" s="17">
        <v>0</v>
      </c>
      <c r="AW3870" s="10" t="s">
        <v>105</v>
      </c>
      <c r="AX3870" s="17">
        <v>75</v>
      </c>
      <c r="AY3870" s="18">
        <v>12.840116279069768</v>
      </c>
      <c r="AZ3870" s="10"/>
      <c r="BA3870" s="20" t="b">
        <v>0</v>
      </c>
      <c r="BB3870" s="10" t="s">
        <v>25795</v>
      </c>
      <c r="BC3870" s="17">
        <v>286</v>
      </c>
      <c r="BD3870" s="17">
        <v>172</v>
      </c>
      <c r="BE3870" s="17">
        <v>2208.5</v>
      </c>
      <c r="BF3870" s="17">
        <v>0</v>
      </c>
      <c r="BG3870" s="11">
        <f ca="1">IFERROR(__xludf.DUMMYFUNCTION("""COMPUTED_VALUE"""),46032.4375)</f>
        <v>46032.4375</v>
      </c>
      <c r="BH3870" s="17" t="s">
        <v>105</v>
      </c>
      <c r="BI3870" s="17"/>
      <c r="BJ3870" s="15"/>
      <c r="BK3870" s="15"/>
      <c r="BL3870" s="13" t="b">
        <v>0</v>
      </c>
      <c r="BM3870" s="10"/>
      <c r="BN3870" s="10" t="s">
        <v>920</v>
      </c>
      <c r="BO3870" s="11">
        <v>46030.71597222222</v>
      </c>
      <c r="BP3870" s="11">
        <v>46030.716261574074</v>
      </c>
      <c r="BQ3870" s="15"/>
      <c r="BR3870" s="15">
        <v>46031.06287037037</v>
      </c>
      <c r="BS3870" s="10" t="s">
        <v>920</v>
      </c>
      <c r="BT3870" s="10"/>
      <c r="BU3870" s="10"/>
      <c r="BV3870" s="10"/>
      <c r="BW3870" s="10"/>
      <c r="BX3870" s="10"/>
      <c r="BY3870" s="23"/>
      <c r="BZ3870" s="23"/>
      <c r="CA3870" s="19" t="s">
        <v>25774</v>
      </c>
      <c r="CB3870" s="23"/>
      <c r="CC3870" s="23"/>
      <c r="CD3870" s="23"/>
      <c r="CE3870" s="23"/>
      <c r="CF3870" s="23"/>
      <c r="CG3870" s="23"/>
      <c r="CH3870" s="23"/>
      <c r="CI3870" s="23"/>
    </row>
    <row r="3871" spans="1:87" x14ac:dyDescent="0.3">
      <c r="A3871" s="9" t="s">
        <v>26184</v>
      </c>
      <c r="B3871" s="10" t="s">
        <v>26185</v>
      </c>
      <c r="C3871" s="11">
        <v>46032.486111111109</v>
      </c>
      <c r="D3871" s="12">
        <v>4.8611111111111112E-2</v>
      </c>
      <c r="E3871" s="11">
        <v>46032.534722222219</v>
      </c>
      <c r="F3871" s="22" t="s">
        <v>25766</v>
      </c>
      <c r="G3871" s="13" t="b">
        <v>0</v>
      </c>
      <c r="H3871" s="22" t="s">
        <v>25767</v>
      </c>
      <c r="I3871" s="10" t="s">
        <v>212</v>
      </c>
      <c r="J3871" s="13" t="b">
        <v>1</v>
      </c>
      <c r="K3871" s="13" t="b">
        <v>0</v>
      </c>
      <c r="L3871" s="10" t="s">
        <v>124</v>
      </c>
      <c r="M3871" s="10" t="s">
        <v>91</v>
      </c>
      <c r="N3871" s="10" t="s">
        <v>92</v>
      </c>
      <c r="O3871" s="19" t="s">
        <v>26186</v>
      </c>
      <c r="P3871" s="10"/>
      <c r="Q3871" s="10" t="s">
        <v>94</v>
      </c>
      <c r="R3871" s="10"/>
      <c r="S3871" s="19" t="s">
        <v>25769</v>
      </c>
      <c r="T3871" s="10"/>
      <c r="U3871" s="10"/>
      <c r="V3871" s="10"/>
      <c r="W3871" s="10" t="s">
        <v>25770</v>
      </c>
      <c r="X3871" s="10" t="s">
        <v>130</v>
      </c>
      <c r="Y3871" s="10" t="s">
        <v>130</v>
      </c>
      <c r="Z3871" s="10" t="s">
        <v>99</v>
      </c>
      <c r="AA3871" s="10" t="s">
        <v>131</v>
      </c>
      <c r="AB3871" s="10" t="s">
        <v>25771</v>
      </c>
      <c r="AC3871" s="10" t="s">
        <v>25772</v>
      </c>
      <c r="AD3871" s="10" t="s">
        <v>165</v>
      </c>
      <c r="AE3871" s="10" t="s">
        <v>26187</v>
      </c>
      <c r="AF3871" s="15"/>
      <c r="AG3871" s="10"/>
      <c r="AH3871" s="10"/>
      <c r="AI3871" s="10"/>
      <c r="AJ3871" s="10"/>
      <c r="AK3871" s="10" t="s">
        <v>102</v>
      </c>
      <c r="AL3871" s="10"/>
      <c r="AM3871" s="10"/>
      <c r="AN3871" s="10"/>
      <c r="AO3871" s="13" t="b">
        <v>0</v>
      </c>
      <c r="AP3871" s="22" t="s">
        <v>104</v>
      </c>
      <c r="AQ3871" s="10">
        <f ca="1">IFERROR(__xludf.DUMMYFUNCTION("""COMPUTED_VALUE"""),4833845)</f>
        <v>4833845</v>
      </c>
      <c r="AR3871" s="17">
        <v>275</v>
      </c>
      <c r="AS3871" s="17">
        <v>188</v>
      </c>
      <c r="AT3871" s="17">
        <v>1987.75</v>
      </c>
      <c r="AU3871" s="17">
        <v>0</v>
      </c>
      <c r="AV3871" s="17">
        <v>0</v>
      </c>
      <c r="AW3871" s="10" t="s">
        <v>105</v>
      </c>
      <c r="AX3871" s="17">
        <v>66</v>
      </c>
      <c r="AY3871" s="18">
        <v>10.57313829787234</v>
      </c>
      <c r="AZ3871" s="10"/>
      <c r="BA3871" s="20" t="b">
        <v>0</v>
      </c>
      <c r="BB3871" s="10" t="s">
        <v>25795</v>
      </c>
      <c r="BC3871" s="17">
        <v>275</v>
      </c>
      <c r="BD3871" s="17">
        <v>188</v>
      </c>
      <c r="BE3871" s="17">
        <v>1987.75</v>
      </c>
      <c r="BF3871" s="17">
        <v>0</v>
      </c>
      <c r="BG3871" s="11">
        <f ca="1">IFERROR(__xludf.DUMMYFUNCTION("""COMPUTED_VALUE"""),46032.4861111111)</f>
        <v>46032.486111111102</v>
      </c>
      <c r="BH3871" s="17" t="s">
        <v>105</v>
      </c>
      <c r="BI3871" s="17"/>
      <c r="BJ3871" s="15"/>
      <c r="BK3871" s="15"/>
      <c r="BL3871" s="13" t="b">
        <v>0</v>
      </c>
      <c r="BM3871" s="10"/>
      <c r="BN3871" s="10" t="s">
        <v>920</v>
      </c>
      <c r="BO3871" s="11">
        <v>46030.71597222222</v>
      </c>
      <c r="BP3871" s="11">
        <v>46030.716458333336</v>
      </c>
      <c r="BQ3871" s="15"/>
      <c r="BR3871" s="15">
        <v>46031.062997685185</v>
      </c>
      <c r="BS3871" s="10" t="s">
        <v>920</v>
      </c>
      <c r="BT3871" s="10"/>
      <c r="BU3871" s="10"/>
      <c r="BV3871" s="10"/>
      <c r="BW3871" s="10"/>
      <c r="BX3871" s="10"/>
      <c r="BY3871" s="23"/>
      <c r="BZ3871" s="23"/>
      <c r="CA3871" s="19" t="s">
        <v>25774</v>
      </c>
      <c r="CB3871" s="23"/>
      <c r="CC3871" s="23"/>
      <c r="CD3871" s="23"/>
      <c r="CE3871" s="23"/>
      <c r="CF3871" s="23"/>
      <c r="CG3871" s="23"/>
      <c r="CH3871" s="23"/>
      <c r="CI3871" s="23"/>
    </row>
    <row r="3872" spans="1:87" x14ac:dyDescent="0.3">
      <c r="A3872" s="9" t="s">
        <v>26188</v>
      </c>
      <c r="B3872" s="10" t="s">
        <v>26189</v>
      </c>
      <c r="C3872" s="11">
        <v>46031.666666666664</v>
      </c>
      <c r="D3872" s="12">
        <v>3.4722222222222224E-2</v>
      </c>
      <c r="E3872" s="11">
        <v>46031.701388888891</v>
      </c>
      <c r="F3872" s="22" t="s">
        <v>24700</v>
      </c>
      <c r="G3872" s="13" t="b">
        <v>0</v>
      </c>
      <c r="H3872" s="22" t="s">
        <v>21384</v>
      </c>
      <c r="I3872" s="10" t="s">
        <v>9131</v>
      </c>
      <c r="J3872" s="13" t="b">
        <v>0</v>
      </c>
      <c r="K3872" s="13" t="b">
        <v>1</v>
      </c>
      <c r="L3872" s="10" t="s">
        <v>124</v>
      </c>
      <c r="M3872" s="10" t="s">
        <v>91</v>
      </c>
      <c r="N3872" s="10" t="s">
        <v>92</v>
      </c>
      <c r="O3872" s="19" t="s">
        <v>26190</v>
      </c>
      <c r="P3872" s="10"/>
      <c r="Q3872" s="10" t="s">
        <v>94</v>
      </c>
      <c r="R3872" s="10"/>
      <c r="S3872" s="19" t="s">
        <v>24742</v>
      </c>
      <c r="T3872" s="10"/>
      <c r="U3872" s="10"/>
      <c r="V3872" s="10"/>
      <c r="W3872" s="10" t="s">
        <v>24703</v>
      </c>
      <c r="X3872" s="10" t="s">
        <v>216</v>
      </c>
      <c r="Y3872" s="10" t="s">
        <v>216</v>
      </c>
      <c r="Z3872" s="10" t="s">
        <v>99</v>
      </c>
      <c r="AA3872" s="10" t="s">
        <v>131</v>
      </c>
      <c r="AB3872" s="10" t="s">
        <v>24704</v>
      </c>
      <c r="AC3872" s="10" t="s">
        <v>21389</v>
      </c>
      <c r="AD3872" s="10" t="s">
        <v>165</v>
      </c>
      <c r="AE3872" s="10" t="s">
        <v>26191</v>
      </c>
      <c r="AF3872" s="15"/>
      <c r="AG3872" s="10"/>
      <c r="AH3872" s="10"/>
      <c r="AI3872" s="10"/>
      <c r="AJ3872" s="10"/>
      <c r="AK3872" s="10" t="s">
        <v>102</v>
      </c>
      <c r="AL3872" s="10"/>
      <c r="AM3872" s="10"/>
      <c r="AN3872" s="10"/>
      <c r="AO3872" s="13" t="b">
        <v>0</v>
      </c>
      <c r="AP3872" s="22" t="s">
        <v>135</v>
      </c>
      <c r="AQ3872" s="10">
        <f ca="1">IFERROR(__xludf.DUMMYFUNCTION("""COMPUTED_VALUE"""),4833802)</f>
        <v>4833802</v>
      </c>
      <c r="AR3872" s="17"/>
      <c r="AS3872" s="17"/>
      <c r="AT3872" s="17"/>
      <c r="AU3872" s="17"/>
      <c r="AV3872" s="17"/>
      <c r="AW3872" s="10"/>
      <c r="AX3872" s="17"/>
      <c r="AY3872" s="18" t="s">
        <v>257</v>
      </c>
      <c r="AZ3872" s="10"/>
      <c r="BA3872" s="20" t="b">
        <v>0</v>
      </c>
      <c r="BB3872" s="10" t="s">
        <v>24740</v>
      </c>
      <c r="BC3872" s="17" t="s">
        <v>257</v>
      </c>
      <c r="BD3872" s="17" t="s">
        <v>257</v>
      </c>
      <c r="BE3872" s="17" t="s">
        <v>257</v>
      </c>
      <c r="BF3872" s="17" t="s">
        <v>257</v>
      </c>
      <c r="BG3872" s="11">
        <f ca="1">IFERROR(__xludf.DUMMYFUNCTION("""COMPUTED_VALUE"""),46031.6666666666)</f>
        <v>46031.666666666599</v>
      </c>
      <c r="BH3872" s="17"/>
      <c r="BI3872" s="17"/>
      <c r="BJ3872" s="15"/>
      <c r="BK3872" s="15"/>
      <c r="BL3872" s="13" t="b">
        <v>0</v>
      </c>
      <c r="BM3872" s="10" t="s">
        <v>240</v>
      </c>
      <c r="BN3872" s="10" t="s">
        <v>18577</v>
      </c>
      <c r="BO3872" s="11">
        <v>46030.791666666664</v>
      </c>
      <c r="BP3872" s="11">
        <v>46030.8749537037</v>
      </c>
      <c r="BQ3872" s="15"/>
      <c r="BR3872" s="15">
        <v>46030.861631944441</v>
      </c>
      <c r="BS3872" s="10" t="s">
        <v>18577</v>
      </c>
      <c r="BT3872" s="10"/>
      <c r="BU3872" s="10"/>
      <c r="BV3872" s="10"/>
      <c r="BW3872" s="10"/>
      <c r="BX3872" s="10"/>
      <c r="BY3872" s="23"/>
      <c r="BZ3872" s="23"/>
      <c r="CA3872" s="19" t="s">
        <v>24744</v>
      </c>
      <c r="CB3872" s="23"/>
      <c r="CC3872" s="23"/>
      <c r="CD3872" s="23"/>
      <c r="CE3872" s="23"/>
      <c r="CF3872" s="23"/>
      <c r="CG3872" s="23"/>
      <c r="CH3872" s="23"/>
      <c r="CI3872" s="23"/>
    </row>
    <row r="3873" spans="1:87" x14ac:dyDescent="0.3">
      <c r="A3873" s="9" t="s">
        <v>26192</v>
      </c>
      <c r="B3873" s="10" t="s">
        <v>26193</v>
      </c>
      <c r="C3873" s="11">
        <v>46031.701388888891</v>
      </c>
      <c r="D3873" s="12">
        <v>3.4722222222222224E-2</v>
      </c>
      <c r="E3873" s="11">
        <v>46031.736111111109</v>
      </c>
      <c r="F3873" s="22" t="s">
        <v>24700</v>
      </c>
      <c r="G3873" s="13" t="b">
        <v>0</v>
      </c>
      <c r="H3873" s="22" t="s">
        <v>21384</v>
      </c>
      <c r="I3873" s="10" t="s">
        <v>9131</v>
      </c>
      <c r="J3873" s="13" t="b">
        <v>0</v>
      </c>
      <c r="K3873" s="13" t="b">
        <v>1</v>
      </c>
      <c r="L3873" s="10" t="s">
        <v>124</v>
      </c>
      <c r="M3873" s="10" t="s">
        <v>91</v>
      </c>
      <c r="N3873" s="10" t="s">
        <v>92</v>
      </c>
      <c r="O3873" s="19" t="s">
        <v>26194</v>
      </c>
      <c r="P3873" s="10"/>
      <c r="Q3873" s="10" t="s">
        <v>94</v>
      </c>
      <c r="R3873" s="10"/>
      <c r="S3873" s="19" t="s">
        <v>24742</v>
      </c>
      <c r="T3873" s="10"/>
      <c r="U3873" s="10"/>
      <c r="V3873" s="10"/>
      <c r="W3873" s="10" t="s">
        <v>24703</v>
      </c>
      <c r="X3873" s="10" t="s">
        <v>216</v>
      </c>
      <c r="Y3873" s="10" t="s">
        <v>216</v>
      </c>
      <c r="Z3873" s="10" t="s">
        <v>99</v>
      </c>
      <c r="AA3873" s="10" t="s">
        <v>131</v>
      </c>
      <c r="AB3873" s="10" t="s">
        <v>24704</v>
      </c>
      <c r="AC3873" s="10" t="s">
        <v>21389</v>
      </c>
      <c r="AD3873" s="10" t="s">
        <v>165</v>
      </c>
      <c r="AE3873" s="10" t="s">
        <v>26195</v>
      </c>
      <c r="AF3873" s="15"/>
      <c r="AG3873" s="10"/>
      <c r="AH3873" s="10"/>
      <c r="AI3873" s="10"/>
      <c r="AJ3873" s="10"/>
      <c r="AK3873" s="10" t="s">
        <v>102</v>
      </c>
      <c r="AL3873" s="10"/>
      <c r="AM3873" s="10"/>
      <c r="AN3873" s="10"/>
      <c r="AO3873" s="13" t="b">
        <v>0</v>
      </c>
      <c r="AP3873" s="22" t="s">
        <v>221</v>
      </c>
      <c r="AQ3873" s="10">
        <f ca="1">IFERROR(__xludf.DUMMYFUNCTION("""COMPUTED_VALUE"""),4833803)</f>
        <v>4833803</v>
      </c>
      <c r="AR3873" s="17">
        <v>5235</v>
      </c>
      <c r="AS3873" s="17">
        <v>4111</v>
      </c>
      <c r="AT3873" s="17">
        <v>8894.25</v>
      </c>
      <c r="AU3873" s="17">
        <v>5.2</v>
      </c>
      <c r="AV3873" s="17">
        <v>3.25</v>
      </c>
      <c r="AW3873" s="10" t="s">
        <v>105</v>
      </c>
      <c r="AX3873" s="17">
        <v>1348</v>
      </c>
      <c r="AY3873" s="18">
        <v>2.1635246898564824</v>
      </c>
      <c r="AZ3873" s="10"/>
      <c r="BA3873" s="20" t="b">
        <v>0</v>
      </c>
      <c r="BB3873" s="10" t="s">
        <v>24740</v>
      </c>
      <c r="BC3873" s="17">
        <v>5235</v>
      </c>
      <c r="BD3873" s="17">
        <v>4111</v>
      </c>
      <c r="BE3873" s="17">
        <v>8894.25</v>
      </c>
      <c r="BF3873" s="17">
        <v>3.25</v>
      </c>
      <c r="BG3873" s="11">
        <f ca="1">IFERROR(__xludf.DUMMYFUNCTION("""COMPUTED_VALUE"""),46031.7013888888)</f>
        <v>46031.701388888803</v>
      </c>
      <c r="BH3873" s="17" t="s">
        <v>105</v>
      </c>
      <c r="BI3873" s="17"/>
      <c r="BJ3873" s="15"/>
      <c r="BK3873" s="15"/>
      <c r="BL3873" s="13" t="b">
        <v>0</v>
      </c>
      <c r="BM3873" s="10"/>
      <c r="BN3873" s="10" t="s">
        <v>157</v>
      </c>
      <c r="BO3873" s="11">
        <v>46030.791666666664</v>
      </c>
      <c r="BP3873" s="11">
        <v>46030.792141203703</v>
      </c>
      <c r="BQ3873" s="15"/>
      <c r="BR3873" s="15">
        <v>46030.861805555556</v>
      </c>
      <c r="BS3873" s="10" t="s">
        <v>157</v>
      </c>
      <c r="BT3873" s="10"/>
      <c r="BU3873" s="10"/>
      <c r="BV3873" s="10"/>
      <c r="BW3873" s="10"/>
      <c r="BX3873" s="10"/>
      <c r="BY3873" s="23"/>
      <c r="BZ3873" s="23"/>
      <c r="CA3873" s="19" t="s">
        <v>24744</v>
      </c>
      <c r="CB3873" s="23"/>
      <c r="CC3873" s="23"/>
      <c r="CD3873" s="23"/>
      <c r="CE3873" s="23"/>
      <c r="CF3873" s="23"/>
      <c r="CG3873" s="23"/>
      <c r="CH3873" s="23"/>
      <c r="CI3873" s="23"/>
    </row>
    <row r="3874" spans="1:87" x14ac:dyDescent="0.3">
      <c r="A3874" s="9" t="s">
        <v>26196</v>
      </c>
      <c r="B3874" s="10" t="s">
        <v>26197</v>
      </c>
      <c r="C3874" s="11">
        <v>46031.333333333336</v>
      </c>
      <c r="D3874" s="12">
        <v>3.4722222222222224E-2</v>
      </c>
      <c r="E3874" s="11">
        <v>46031.368055555555</v>
      </c>
      <c r="F3874" s="22" t="s">
        <v>24700</v>
      </c>
      <c r="G3874" s="13" t="b">
        <v>0</v>
      </c>
      <c r="H3874" s="22" t="s">
        <v>21384</v>
      </c>
      <c r="I3874" s="10" t="s">
        <v>9131</v>
      </c>
      <c r="J3874" s="13" t="b">
        <v>0</v>
      </c>
      <c r="K3874" s="13" t="b">
        <v>1</v>
      </c>
      <c r="L3874" s="10" t="s">
        <v>124</v>
      </c>
      <c r="M3874" s="10" t="s">
        <v>91</v>
      </c>
      <c r="N3874" s="10" t="s">
        <v>92</v>
      </c>
      <c r="O3874" s="19" t="s">
        <v>26198</v>
      </c>
      <c r="P3874" s="10"/>
      <c r="Q3874" s="10" t="s">
        <v>126</v>
      </c>
      <c r="R3874" s="10"/>
      <c r="S3874" s="19" t="s">
        <v>24736</v>
      </c>
      <c r="T3874" s="10"/>
      <c r="U3874" s="10"/>
      <c r="V3874" s="10"/>
      <c r="W3874" s="10" t="s">
        <v>24703</v>
      </c>
      <c r="X3874" s="10" t="s">
        <v>216</v>
      </c>
      <c r="Y3874" s="10" t="s">
        <v>216</v>
      </c>
      <c r="Z3874" s="10" t="s">
        <v>99</v>
      </c>
      <c r="AA3874" s="10" t="s">
        <v>131</v>
      </c>
      <c r="AB3874" s="10" t="s">
        <v>24704</v>
      </c>
      <c r="AC3874" s="10" t="s">
        <v>21389</v>
      </c>
      <c r="AD3874" s="10" t="s">
        <v>165</v>
      </c>
      <c r="AE3874" s="10" t="s">
        <v>26199</v>
      </c>
      <c r="AF3874" s="15"/>
      <c r="AG3874" s="10"/>
      <c r="AH3874" s="10"/>
      <c r="AI3874" s="10"/>
      <c r="AJ3874" s="10"/>
      <c r="AK3874" s="10" t="s">
        <v>102</v>
      </c>
      <c r="AL3874" s="10"/>
      <c r="AM3874" s="10"/>
      <c r="AN3874" s="10"/>
      <c r="AO3874" s="13" t="b">
        <v>0</v>
      </c>
      <c r="AP3874" s="22" t="s">
        <v>135</v>
      </c>
      <c r="AQ3874" s="10">
        <f ca="1">IFERROR(__xludf.DUMMYFUNCTION("""COMPUTED_VALUE"""),4833804)</f>
        <v>4833804</v>
      </c>
      <c r="AR3874" s="17">
        <v>8903</v>
      </c>
      <c r="AS3874" s="17">
        <v>5700</v>
      </c>
      <c r="AT3874" s="17">
        <v>236357.25</v>
      </c>
      <c r="AU3874" s="17">
        <v>40.4</v>
      </c>
      <c r="AV3874" s="17">
        <v>22.1</v>
      </c>
      <c r="AW3874" s="10" t="s">
        <v>105</v>
      </c>
      <c r="AX3874" s="17">
        <v>3603</v>
      </c>
      <c r="AY3874" s="18">
        <v>41.466184210526315</v>
      </c>
      <c r="AZ3874" s="10"/>
      <c r="BA3874" s="20" t="b">
        <v>0</v>
      </c>
      <c r="BB3874" s="10" t="s">
        <v>24734</v>
      </c>
      <c r="BC3874" s="17">
        <v>8903</v>
      </c>
      <c r="BD3874" s="17">
        <v>5700</v>
      </c>
      <c r="BE3874" s="17">
        <v>236357.25</v>
      </c>
      <c r="BF3874" s="17">
        <v>22.1</v>
      </c>
      <c r="BG3874" s="11">
        <f ca="1">IFERROR(__xludf.DUMMYFUNCTION("""COMPUTED_VALUE"""),46031.3333333333)</f>
        <v>46031.333333333299</v>
      </c>
      <c r="BH3874" s="17" t="s">
        <v>105</v>
      </c>
      <c r="BI3874" s="17"/>
      <c r="BJ3874" s="15"/>
      <c r="BK3874" s="15"/>
      <c r="BL3874" s="13" t="b">
        <v>0</v>
      </c>
      <c r="BM3874" s="10"/>
      <c r="BN3874" s="10" t="s">
        <v>19455</v>
      </c>
      <c r="BO3874" s="11">
        <v>46030.793749999997</v>
      </c>
      <c r="BP3874" s="11">
        <v>46030.794120370374</v>
      </c>
      <c r="BQ3874" s="15"/>
      <c r="BR3874" s="15">
        <v>46030.92355324074</v>
      </c>
      <c r="BS3874" s="10" t="s">
        <v>19455</v>
      </c>
      <c r="BT3874" s="10"/>
      <c r="BU3874" s="10"/>
      <c r="BV3874" s="10"/>
      <c r="BW3874" s="10"/>
      <c r="BX3874" s="10"/>
      <c r="BY3874" s="23"/>
      <c r="BZ3874" s="23"/>
      <c r="CA3874" s="19" t="s">
        <v>24738</v>
      </c>
      <c r="CB3874" s="23"/>
      <c r="CC3874" s="23"/>
      <c r="CD3874" s="19" t="s">
        <v>24739</v>
      </c>
      <c r="CE3874" s="23"/>
      <c r="CF3874" s="23"/>
      <c r="CG3874" s="23"/>
      <c r="CH3874" s="23"/>
      <c r="CI3874" s="23"/>
    </row>
    <row r="3875" spans="1:87" x14ac:dyDescent="0.3">
      <c r="A3875" s="9" t="s">
        <v>26200</v>
      </c>
      <c r="B3875" s="10" t="s">
        <v>26201</v>
      </c>
      <c r="C3875" s="11">
        <v>46031.368055555555</v>
      </c>
      <c r="D3875" s="12">
        <v>3.4722222222222224E-2</v>
      </c>
      <c r="E3875" s="11">
        <v>46031.402777777781</v>
      </c>
      <c r="F3875" s="22" t="s">
        <v>24700</v>
      </c>
      <c r="G3875" s="13" t="b">
        <v>0</v>
      </c>
      <c r="H3875" s="22" t="s">
        <v>21384</v>
      </c>
      <c r="I3875" s="10" t="s">
        <v>9131</v>
      </c>
      <c r="J3875" s="13" t="b">
        <v>0</v>
      </c>
      <c r="K3875" s="13" t="b">
        <v>1</v>
      </c>
      <c r="L3875" s="10" t="s">
        <v>124</v>
      </c>
      <c r="M3875" s="10" t="s">
        <v>91</v>
      </c>
      <c r="N3875" s="10" t="s">
        <v>92</v>
      </c>
      <c r="O3875" s="19" t="s">
        <v>26202</v>
      </c>
      <c r="P3875" s="10"/>
      <c r="Q3875" s="10" t="s">
        <v>126</v>
      </c>
      <c r="R3875" s="10"/>
      <c r="S3875" s="19" t="s">
        <v>24736</v>
      </c>
      <c r="T3875" s="10"/>
      <c r="U3875" s="10"/>
      <c r="V3875" s="10"/>
      <c r="W3875" s="10" t="s">
        <v>24703</v>
      </c>
      <c r="X3875" s="10" t="s">
        <v>216</v>
      </c>
      <c r="Y3875" s="10" t="s">
        <v>216</v>
      </c>
      <c r="Z3875" s="10" t="s">
        <v>99</v>
      </c>
      <c r="AA3875" s="10" t="s">
        <v>131</v>
      </c>
      <c r="AB3875" s="10" t="s">
        <v>24704</v>
      </c>
      <c r="AC3875" s="10" t="s">
        <v>21389</v>
      </c>
      <c r="AD3875" s="10" t="s">
        <v>165</v>
      </c>
      <c r="AE3875" s="10" t="s">
        <v>26203</v>
      </c>
      <c r="AF3875" s="15"/>
      <c r="AG3875" s="10"/>
      <c r="AH3875" s="10"/>
      <c r="AI3875" s="10"/>
      <c r="AJ3875" s="10"/>
      <c r="AK3875" s="10" t="s">
        <v>102</v>
      </c>
      <c r="AL3875" s="10"/>
      <c r="AM3875" s="10"/>
      <c r="AN3875" s="10"/>
      <c r="AO3875" s="13" t="b">
        <v>0</v>
      </c>
      <c r="AP3875" s="22" t="s">
        <v>135</v>
      </c>
      <c r="AQ3875" s="10">
        <f ca="1">IFERROR(__xludf.DUMMYFUNCTION("""COMPUTED_VALUE"""),4833805)</f>
        <v>4833805</v>
      </c>
      <c r="AR3875" s="17">
        <v>33922</v>
      </c>
      <c r="AS3875" s="17">
        <v>17810</v>
      </c>
      <c r="AT3875" s="17">
        <v>784175.5</v>
      </c>
      <c r="AU3875" s="17">
        <v>223.95</v>
      </c>
      <c r="AV3875" s="17">
        <v>87.1</v>
      </c>
      <c r="AW3875" s="10" t="s">
        <v>105</v>
      </c>
      <c r="AX3875" s="17">
        <v>11473</v>
      </c>
      <c r="AY3875" s="18">
        <v>44.0300673778776</v>
      </c>
      <c r="AZ3875" s="10"/>
      <c r="BA3875" s="20" t="b">
        <v>0</v>
      </c>
      <c r="BB3875" s="10" t="s">
        <v>24734</v>
      </c>
      <c r="BC3875" s="17">
        <v>33922</v>
      </c>
      <c r="BD3875" s="17">
        <v>17810</v>
      </c>
      <c r="BE3875" s="17">
        <v>784175.5</v>
      </c>
      <c r="BF3875" s="17">
        <v>87.1</v>
      </c>
      <c r="BG3875" s="11">
        <f ca="1">IFERROR(__xludf.DUMMYFUNCTION("""COMPUTED_VALUE"""),46031.3680555555)</f>
        <v>46031.368055555497</v>
      </c>
      <c r="BH3875" s="17" t="s">
        <v>105</v>
      </c>
      <c r="BI3875" s="17"/>
      <c r="BJ3875" s="15"/>
      <c r="BK3875" s="15"/>
      <c r="BL3875" s="13" t="b">
        <v>0</v>
      </c>
      <c r="BM3875" s="10"/>
      <c r="BN3875" s="10" t="s">
        <v>19455</v>
      </c>
      <c r="BO3875" s="11">
        <v>46030.794444444444</v>
      </c>
      <c r="BP3875" s="11">
        <v>46030.794548611113</v>
      </c>
      <c r="BQ3875" s="15"/>
      <c r="BR3875" s="15">
        <v>46030.923738425925</v>
      </c>
      <c r="BS3875" s="10" t="s">
        <v>19455</v>
      </c>
      <c r="BT3875" s="10" t="s">
        <v>99</v>
      </c>
      <c r="BU3875" s="10"/>
      <c r="BV3875" s="10"/>
      <c r="BW3875" s="10"/>
      <c r="BX3875" s="10"/>
      <c r="BY3875" s="23"/>
      <c r="BZ3875" s="23"/>
      <c r="CA3875" s="19" t="s">
        <v>24738</v>
      </c>
      <c r="CB3875" s="23"/>
      <c r="CC3875" s="23"/>
      <c r="CD3875" s="19" t="s">
        <v>24739</v>
      </c>
      <c r="CE3875" s="23"/>
      <c r="CF3875" s="23"/>
      <c r="CG3875" s="23"/>
      <c r="CH3875" s="23"/>
      <c r="CI3875" s="23"/>
    </row>
    <row r="3876" spans="1:87" x14ac:dyDescent="0.3">
      <c r="A3876" s="9" t="s">
        <v>26204</v>
      </c>
      <c r="B3876" s="10" t="s">
        <v>26205</v>
      </c>
      <c r="C3876" s="11">
        <v>46031.402777777781</v>
      </c>
      <c r="D3876" s="12">
        <v>3.4722222222222224E-2</v>
      </c>
      <c r="E3876" s="11">
        <v>46031.4375</v>
      </c>
      <c r="F3876" s="22" t="s">
        <v>24700</v>
      </c>
      <c r="G3876" s="13" t="b">
        <v>0</v>
      </c>
      <c r="H3876" s="22" t="s">
        <v>21384</v>
      </c>
      <c r="I3876" s="10" t="s">
        <v>9131</v>
      </c>
      <c r="J3876" s="13" t="b">
        <v>0</v>
      </c>
      <c r="K3876" s="13" t="b">
        <v>1</v>
      </c>
      <c r="L3876" s="10" t="s">
        <v>124</v>
      </c>
      <c r="M3876" s="10" t="s">
        <v>91</v>
      </c>
      <c r="N3876" s="10" t="s">
        <v>92</v>
      </c>
      <c r="O3876" s="19" t="s">
        <v>26206</v>
      </c>
      <c r="P3876" s="10"/>
      <c r="Q3876" s="10" t="s">
        <v>126</v>
      </c>
      <c r="R3876" s="10"/>
      <c r="S3876" s="19" t="s">
        <v>24736</v>
      </c>
      <c r="T3876" s="10"/>
      <c r="U3876" s="10"/>
      <c r="V3876" s="10"/>
      <c r="W3876" s="10" t="s">
        <v>24703</v>
      </c>
      <c r="X3876" s="10" t="s">
        <v>216</v>
      </c>
      <c r="Y3876" s="10" t="s">
        <v>216</v>
      </c>
      <c r="Z3876" s="10" t="s">
        <v>99</v>
      </c>
      <c r="AA3876" s="10" t="s">
        <v>131</v>
      </c>
      <c r="AB3876" s="10" t="s">
        <v>24704</v>
      </c>
      <c r="AC3876" s="10" t="s">
        <v>21389</v>
      </c>
      <c r="AD3876" s="10" t="s">
        <v>165</v>
      </c>
      <c r="AE3876" s="10" t="s">
        <v>26207</v>
      </c>
      <c r="AF3876" s="15"/>
      <c r="AG3876" s="10"/>
      <c r="AH3876" s="10"/>
      <c r="AI3876" s="10"/>
      <c r="AJ3876" s="10"/>
      <c r="AK3876" s="10" t="s">
        <v>102</v>
      </c>
      <c r="AL3876" s="10"/>
      <c r="AM3876" s="10"/>
      <c r="AN3876" s="10"/>
      <c r="AO3876" s="13" t="b">
        <v>0</v>
      </c>
      <c r="AP3876" s="22" t="s">
        <v>221</v>
      </c>
      <c r="AQ3876" s="10">
        <f ca="1">IFERROR(__xludf.DUMMYFUNCTION("""COMPUTED_VALUE"""),4833806)</f>
        <v>4833806</v>
      </c>
      <c r="AR3876" s="17">
        <v>8548</v>
      </c>
      <c r="AS3876" s="17">
        <v>6071</v>
      </c>
      <c r="AT3876" s="17">
        <v>99158.5</v>
      </c>
      <c r="AU3876" s="17">
        <v>31.3</v>
      </c>
      <c r="AV3876" s="17">
        <v>12.5</v>
      </c>
      <c r="AW3876" s="10" t="s">
        <v>105</v>
      </c>
      <c r="AX3876" s="17">
        <v>10635</v>
      </c>
      <c r="AY3876" s="18">
        <v>16.333141162905616</v>
      </c>
      <c r="AZ3876" s="10"/>
      <c r="BA3876" s="20" t="b">
        <v>0</v>
      </c>
      <c r="BB3876" s="10" t="s">
        <v>24734</v>
      </c>
      <c r="BC3876" s="17">
        <v>8548</v>
      </c>
      <c r="BD3876" s="17">
        <v>6071</v>
      </c>
      <c r="BE3876" s="17">
        <v>99158.5</v>
      </c>
      <c r="BF3876" s="17">
        <v>12.5</v>
      </c>
      <c r="BG3876" s="11">
        <f ca="1">IFERROR(__xludf.DUMMYFUNCTION("""COMPUTED_VALUE"""),46031.4027777777)</f>
        <v>46031.402777777701</v>
      </c>
      <c r="BH3876" s="17" t="s">
        <v>105</v>
      </c>
      <c r="BI3876" s="17"/>
      <c r="BJ3876" s="15"/>
      <c r="BK3876" s="15"/>
      <c r="BL3876" s="13" t="b">
        <v>0</v>
      </c>
      <c r="BM3876" s="10"/>
      <c r="BN3876" s="10" t="s">
        <v>19455</v>
      </c>
      <c r="BO3876" s="11">
        <v>46030.794444444444</v>
      </c>
      <c r="BP3876" s="11">
        <v>46030.795057870368</v>
      </c>
      <c r="BQ3876" s="15"/>
      <c r="BR3876" s="15">
        <v>46030.923935185187</v>
      </c>
      <c r="BS3876" s="10" t="s">
        <v>19455</v>
      </c>
      <c r="BT3876" s="10"/>
      <c r="BU3876" s="10"/>
      <c r="BV3876" s="10"/>
      <c r="BW3876" s="10"/>
      <c r="BX3876" s="10"/>
      <c r="BY3876" s="23"/>
      <c r="BZ3876" s="23"/>
      <c r="CA3876" s="19" t="s">
        <v>24738</v>
      </c>
      <c r="CB3876" s="23"/>
      <c r="CC3876" s="23"/>
      <c r="CD3876" s="19" t="s">
        <v>24739</v>
      </c>
      <c r="CE3876" s="23"/>
      <c r="CF3876" s="23"/>
      <c r="CG3876" s="23"/>
      <c r="CH3876" s="23"/>
      <c r="CI3876" s="23"/>
    </row>
    <row r="3877" spans="1:87" x14ac:dyDescent="0.3">
      <c r="A3877" s="9" t="s">
        <v>26208</v>
      </c>
      <c r="B3877" s="10" t="s">
        <v>26209</v>
      </c>
      <c r="C3877" s="11">
        <v>46031.583333333336</v>
      </c>
      <c r="D3877" s="12">
        <v>3.4722222222222224E-2</v>
      </c>
      <c r="E3877" s="11">
        <v>46031.618055555555</v>
      </c>
      <c r="F3877" s="22" t="s">
        <v>24700</v>
      </c>
      <c r="G3877" s="13" t="b">
        <v>0</v>
      </c>
      <c r="H3877" s="22" t="s">
        <v>21384</v>
      </c>
      <c r="I3877" s="10" t="s">
        <v>9131</v>
      </c>
      <c r="J3877" s="13" t="b">
        <v>0</v>
      </c>
      <c r="K3877" s="13" t="b">
        <v>1</v>
      </c>
      <c r="L3877" s="10" t="s">
        <v>124</v>
      </c>
      <c r="M3877" s="10" t="s">
        <v>91</v>
      </c>
      <c r="N3877" s="10" t="s">
        <v>92</v>
      </c>
      <c r="O3877" s="19" t="s">
        <v>26210</v>
      </c>
      <c r="P3877" s="10"/>
      <c r="Q3877" s="10" t="s">
        <v>126</v>
      </c>
      <c r="R3877" s="10"/>
      <c r="S3877" s="19" t="s">
        <v>24736</v>
      </c>
      <c r="T3877" s="10"/>
      <c r="U3877" s="10"/>
      <c r="V3877" s="10"/>
      <c r="W3877" s="10" t="s">
        <v>24703</v>
      </c>
      <c r="X3877" s="10" t="s">
        <v>216</v>
      </c>
      <c r="Y3877" s="10" t="s">
        <v>216</v>
      </c>
      <c r="Z3877" s="10" t="s">
        <v>99</v>
      </c>
      <c r="AA3877" s="10" t="s">
        <v>131</v>
      </c>
      <c r="AB3877" s="10" t="s">
        <v>24704</v>
      </c>
      <c r="AC3877" s="10" t="s">
        <v>21389</v>
      </c>
      <c r="AD3877" s="10" t="s">
        <v>165</v>
      </c>
      <c r="AE3877" s="10" t="s">
        <v>26211</v>
      </c>
      <c r="AF3877" s="15"/>
      <c r="AG3877" s="10"/>
      <c r="AH3877" s="10"/>
      <c r="AI3877" s="10"/>
      <c r="AJ3877" s="10"/>
      <c r="AK3877" s="10" t="s">
        <v>102</v>
      </c>
      <c r="AL3877" s="10"/>
      <c r="AM3877" s="10"/>
      <c r="AN3877" s="10"/>
      <c r="AO3877" s="13" t="b">
        <v>0</v>
      </c>
      <c r="AP3877" s="22" t="s">
        <v>135</v>
      </c>
      <c r="AQ3877" s="10">
        <f ca="1">IFERROR(__xludf.DUMMYFUNCTION("""COMPUTED_VALUE"""),4833807)</f>
        <v>4833807</v>
      </c>
      <c r="AR3877" s="17">
        <v>32744</v>
      </c>
      <c r="AS3877" s="17">
        <v>21309</v>
      </c>
      <c r="AT3877" s="17">
        <v>810142.5</v>
      </c>
      <c r="AU3877" s="17">
        <v>250.05</v>
      </c>
      <c r="AV3877" s="17">
        <v>99.6</v>
      </c>
      <c r="AW3877" s="10" t="s">
        <v>105</v>
      </c>
      <c r="AX3877" s="17">
        <v>13631</v>
      </c>
      <c r="AY3877" s="18">
        <v>38.018794875404758</v>
      </c>
      <c r="AZ3877" s="10"/>
      <c r="BA3877" s="20" t="b">
        <v>0</v>
      </c>
      <c r="BB3877" s="10" t="s">
        <v>24734</v>
      </c>
      <c r="BC3877" s="17">
        <v>32744</v>
      </c>
      <c r="BD3877" s="17">
        <v>21309</v>
      </c>
      <c r="BE3877" s="17">
        <v>810142.5</v>
      </c>
      <c r="BF3877" s="17">
        <v>99.6</v>
      </c>
      <c r="BG3877" s="11">
        <f ca="1">IFERROR(__xludf.DUMMYFUNCTION("""COMPUTED_VALUE"""),46031.5833333333)</f>
        <v>46031.583333333299</v>
      </c>
      <c r="BH3877" s="17" t="s">
        <v>105</v>
      </c>
      <c r="BI3877" s="17"/>
      <c r="BJ3877" s="15"/>
      <c r="BK3877" s="15"/>
      <c r="BL3877" s="13" t="b">
        <v>0</v>
      </c>
      <c r="BM3877" s="10"/>
      <c r="BN3877" s="10" t="s">
        <v>19455</v>
      </c>
      <c r="BO3877" s="11">
        <v>46030.795138888891</v>
      </c>
      <c r="BP3877" s="11">
        <v>46030.863020833334</v>
      </c>
      <c r="BQ3877" s="15"/>
      <c r="BR3877" s="15">
        <v>46030.924120370371</v>
      </c>
      <c r="BS3877" s="10" t="s">
        <v>19455</v>
      </c>
      <c r="BT3877" s="10" t="s">
        <v>99</v>
      </c>
      <c r="BU3877" s="10"/>
      <c r="BV3877" s="10"/>
      <c r="BW3877" s="10"/>
      <c r="BX3877" s="10"/>
      <c r="BY3877" s="23"/>
      <c r="BZ3877" s="23"/>
      <c r="CA3877" s="19" t="s">
        <v>24738</v>
      </c>
      <c r="CB3877" s="23"/>
      <c r="CC3877" s="23"/>
      <c r="CD3877" s="19" t="s">
        <v>24739</v>
      </c>
      <c r="CE3877" s="23"/>
      <c r="CF3877" s="23"/>
      <c r="CG3877" s="23"/>
      <c r="CH3877" s="23"/>
      <c r="CI3877" s="23"/>
    </row>
    <row r="3878" spans="1:87" x14ac:dyDescent="0.3">
      <c r="A3878" s="9" t="s">
        <v>26212</v>
      </c>
      <c r="B3878" s="10" t="s">
        <v>26213</v>
      </c>
      <c r="C3878" s="11">
        <v>46031.618055555555</v>
      </c>
      <c r="D3878" s="12">
        <v>3.4722222222222224E-2</v>
      </c>
      <c r="E3878" s="11">
        <v>46031.652777777781</v>
      </c>
      <c r="F3878" s="22" t="s">
        <v>24700</v>
      </c>
      <c r="G3878" s="13" t="b">
        <v>0</v>
      </c>
      <c r="H3878" s="22" t="s">
        <v>21384</v>
      </c>
      <c r="I3878" s="10" t="s">
        <v>9131</v>
      </c>
      <c r="J3878" s="13" t="b">
        <v>0</v>
      </c>
      <c r="K3878" s="13" t="b">
        <v>1</v>
      </c>
      <c r="L3878" s="10" t="s">
        <v>124</v>
      </c>
      <c r="M3878" s="10" t="s">
        <v>91</v>
      </c>
      <c r="N3878" s="10" t="s">
        <v>92</v>
      </c>
      <c r="O3878" s="19" t="s">
        <v>26214</v>
      </c>
      <c r="P3878" s="10"/>
      <c r="Q3878" s="10" t="s">
        <v>126</v>
      </c>
      <c r="R3878" s="10"/>
      <c r="S3878" s="19" t="s">
        <v>24736</v>
      </c>
      <c r="T3878" s="10"/>
      <c r="U3878" s="10"/>
      <c r="V3878" s="10"/>
      <c r="W3878" s="10" t="s">
        <v>24703</v>
      </c>
      <c r="X3878" s="10" t="s">
        <v>216</v>
      </c>
      <c r="Y3878" s="10" t="s">
        <v>216</v>
      </c>
      <c r="Z3878" s="10" t="s">
        <v>99</v>
      </c>
      <c r="AA3878" s="10" t="s">
        <v>131</v>
      </c>
      <c r="AB3878" s="10" t="s">
        <v>24704</v>
      </c>
      <c r="AC3878" s="10" t="s">
        <v>21389</v>
      </c>
      <c r="AD3878" s="10" t="s">
        <v>165</v>
      </c>
      <c r="AE3878" s="10" t="s">
        <v>26215</v>
      </c>
      <c r="AF3878" s="15"/>
      <c r="AG3878" s="10"/>
      <c r="AH3878" s="10"/>
      <c r="AI3878" s="10"/>
      <c r="AJ3878" s="10"/>
      <c r="AK3878" s="10" t="s">
        <v>102</v>
      </c>
      <c r="AL3878" s="10"/>
      <c r="AM3878" s="10"/>
      <c r="AN3878" s="10"/>
      <c r="AO3878" s="13" t="b">
        <v>0</v>
      </c>
      <c r="AP3878" s="22" t="s">
        <v>135</v>
      </c>
      <c r="AQ3878" s="10">
        <f ca="1">IFERROR(__xludf.DUMMYFUNCTION("""COMPUTED_VALUE"""),4833808)</f>
        <v>4833808</v>
      </c>
      <c r="AR3878" s="17">
        <v>12183</v>
      </c>
      <c r="AS3878" s="17">
        <v>8295</v>
      </c>
      <c r="AT3878" s="17">
        <v>160355.25</v>
      </c>
      <c r="AU3878" s="17">
        <v>30</v>
      </c>
      <c r="AV3878" s="17">
        <v>10.75</v>
      </c>
      <c r="AW3878" s="10" t="s">
        <v>105</v>
      </c>
      <c r="AX3878" s="17">
        <v>13691</v>
      </c>
      <c r="AY3878" s="18">
        <v>19.331555153707054</v>
      </c>
      <c r="AZ3878" s="10"/>
      <c r="BA3878" s="20" t="b">
        <v>0</v>
      </c>
      <c r="BB3878" s="10" t="s">
        <v>24734</v>
      </c>
      <c r="BC3878" s="17">
        <v>12183</v>
      </c>
      <c r="BD3878" s="17">
        <v>8295</v>
      </c>
      <c r="BE3878" s="17">
        <v>160355.25</v>
      </c>
      <c r="BF3878" s="17">
        <v>10.75</v>
      </c>
      <c r="BG3878" s="11">
        <f ca="1">IFERROR(__xludf.DUMMYFUNCTION("""COMPUTED_VALUE"""),46031.6180555555)</f>
        <v>46031.618055555497</v>
      </c>
      <c r="BH3878" s="17" t="s">
        <v>105</v>
      </c>
      <c r="BI3878" s="17"/>
      <c r="BJ3878" s="15"/>
      <c r="BK3878" s="15"/>
      <c r="BL3878" s="13" t="b">
        <v>0</v>
      </c>
      <c r="BM3878" s="10"/>
      <c r="BN3878" s="10" t="s">
        <v>19455</v>
      </c>
      <c r="BO3878" s="11">
        <v>46030.795138888891</v>
      </c>
      <c r="BP3878" s="11">
        <v>46030.795532407406</v>
      </c>
      <c r="BQ3878" s="15"/>
      <c r="BR3878" s="15">
        <v>46030.924328703702</v>
      </c>
      <c r="BS3878" s="10" t="s">
        <v>19455</v>
      </c>
      <c r="BT3878" s="10"/>
      <c r="BU3878" s="10"/>
      <c r="BV3878" s="10"/>
      <c r="BW3878" s="10"/>
      <c r="BX3878" s="10"/>
      <c r="BY3878" s="23"/>
      <c r="BZ3878" s="23"/>
      <c r="CA3878" s="19" t="s">
        <v>24738</v>
      </c>
      <c r="CB3878" s="23"/>
      <c r="CC3878" s="23"/>
      <c r="CD3878" s="19" t="s">
        <v>24739</v>
      </c>
      <c r="CE3878" s="23"/>
      <c r="CF3878" s="23"/>
      <c r="CG3878" s="23"/>
      <c r="CH3878" s="23"/>
      <c r="CI3878" s="23"/>
    </row>
    <row r="3879" spans="1:87" x14ac:dyDescent="0.3">
      <c r="A3879" s="9" t="s">
        <v>26216</v>
      </c>
      <c r="B3879" s="10" t="s">
        <v>26217</v>
      </c>
      <c r="C3879" s="11">
        <v>46031.652777777781</v>
      </c>
      <c r="D3879" s="12">
        <v>3.4722222222222224E-2</v>
      </c>
      <c r="E3879" s="11">
        <v>46031.6875</v>
      </c>
      <c r="F3879" s="22" t="s">
        <v>24700</v>
      </c>
      <c r="G3879" s="13" t="b">
        <v>0</v>
      </c>
      <c r="H3879" s="22" t="s">
        <v>21384</v>
      </c>
      <c r="I3879" s="10" t="s">
        <v>9131</v>
      </c>
      <c r="J3879" s="13" t="b">
        <v>0</v>
      </c>
      <c r="K3879" s="13" t="b">
        <v>1</v>
      </c>
      <c r="L3879" s="10" t="s">
        <v>358</v>
      </c>
      <c r="M3879" s="10" t="s">
        <v>91</v>
      </c>
      <c r="N3879" s="10" t="s">
        <v>92</v>
      </c>
      <c r="O3879" s="19" t="s">
        <v>26218</v>
      </c>
      <c r="P3879" s="10"/>
      <c r="Q3879" s="10" t="s">
        <v>126</v>
      </c>
      <c r="R3879" s="10"/>
      <c r="S3879" s="19" t="s">
        <v>24736</v>
      </c>
      <c r="T3879" s="10"/>
      <c r="U3879" s="10"/>
      <c r="V3879" s="10"/>
      <c r="W3879" s="10" t="s">
        <v>24703</v>
      </c>
      <c r="X3879" s="10" t="s">
        <v>216</v>
      </c>
      <c r="Y3879" s="10" t="s">
        <v>216</v>
      </c>
      <c r="Z3879" s="10" t="s">
        <v>99</v>
      </c>
      <c r="AA3879" s="10" t="s">
        <v>131</v>
      </c>
      <c r="AB3879" s="10" t="s">
        <v>24704</v>
      </c>
      <c r="AC3879" s="10" t="s">
        <v>21389</v>
      </c>
      <c r="AD3879" s="10" t="s">
        <v>165</v>
      </c>
      <c r="AE3879" s="10" t="s">
        <v>26219</v>
      </c>
      <c r="AF3879" s="15"/>
      <c r="AG3879" s="10"/>
      <c r="AH3879" s="10"/>
      <c r="AI3879" s="10"/>
      <c r="AJ3879" s="10"/>
      <c r="AK3879" s="10" t="s">
        <v>102</v>
      </c>
      <c r="AL3879" s="10"/>
      <c r="AM3879" s="10"/>
      <c r="AN3879" s="10"/>
      <c r="AO3879" s="13" t="b">
        <v>0</v>
      </c>
      <c r="AP3879" s="22" t="s">
        <v>104</v>
      </c>
      <c r="AQ3879" s="10">
        <f ca="1">IFERROR(__xludf.DUMMYFUNCTION("""COMPUTED_VALUE"""),4833809)</f>
        <v>4833809</v>
      </c>
      <c r="AR3879" s="17">
        <v>31548</v>
      </c>
      <c r="AS3879" s="17">
        <v>21634</v>
      </c>
      <c r="AT3879" s="17">
        <v>587303.5</v>
      </c>
      <c r="AU3879" s="17">
        <v>167.15</v>
      </c>
      <c r="AV3879" s="17">
        <v>56.7</v>
      </c>
      <c r="AW3879" s="10" t="s">
        <v>105</v>
      </c>
      <c r="AX3879" s="17">
        <v>14628</v>
      </c>
      <c r="AY3879" s="18">
        <v>27.147245077193308</v>
      </c>
      <c r="AZ3879" s="10"/>
      <c r="BA3879" s="20" t="b">
        <v>0</v>
      </c>
      <c r="BB3879" s="10" t="s">
        <v>24734</v>
      </c>
      <c r="BC3879" s="17">
        <v>31548</v>
      </c>
      <c r="BD3879" s="17">
        <v>21634</v>
      </c>
      <c r="BE3879" s="17">
        <v>587303.5</v>
      </c>
      <c r="BF3879" s="17">
        <v>56.7</v>
      </c>
      <c r="BG3879" s="11">
        <f ca="1">IFERROR(__xludf.DUMMYFUNCTION("""COMPUTED_VALUE"""),46031.6527777777)</f>
        <v>46031.652777777701</v>
      </c>
      <c r="BH3879" s="17" t="s">
        <v>105</v>
      </c>
      <c r="BI3879" s="17"/>
      <c r="BJ3879" s="15"/>
      <c r="BK3879" s="15"/>
      <c r="BL3879" s="13" t="b">
        <v>0</v>
      </c>
      <c r="BM3879" s="10"/>
      <c r="BN3879" s="10" t="s">
        <v>19455</v>
      </c>
      <c r="BO3879" s="11">
        <v>46030.795138888891</v>
      </c>
      <c r="BP3879" s="11">
        <v>46030.795729166668</v>
      </c>
      <c r="BQ3879" s="15"/>
      <c r="BR3879" s="15">
        <v>46030.924502314818</v>
      </c>
      <c r="BS3879" s="10" t="s">
        <v>19455</v>
      </c>
      <c r="BT3879" s="10" t="s">
        <v>99</v>
      </c>
      <c r="BU3879" s="10"/>
      <c r="BV3879" s="10"/>
      <c r="BW3879" s="10"/>
      <c r="BX3879" s="10"/>
      <c r="BY3879" s="23"/>
      <c r="BZ3879" s="23"/>
      <c r="CA3879" s="19" t="s">
        <v>24738</v>
      </c>
      <c r="CB3879" s="23"/>
      <c r="CC3879" s="23"/>
      <c r="CD3879" s="19" t="s">
        <v>24739</v>
      </c>
      <c r="CE3879" s="23"/>
      <c r="CF3879" s="23"/>
      <c r="CG3879" s="23"/>
      <c r="CH3879" s="23"/>
      <c r="CI3879" s="23"/>
    </row>
    <row r="3880" spans="1:87" x14ac:dyDescent="0.3">
      <c r="A3880" s="9" t="s">
        <v>26220</v>
      </c>
      <c r="B3880" s="10" t="s">
        <v>26221</v>
      </c>
      <c r="C3880" s="11">
        <v>46031.6875</v>
      </c>
      <c r="D3880" s="12">
        <v>3.4722222222222224E-2</v>
      </c>
      <c r="E3880" s="11">
        <v>46031.722222222219</v>
      </c>
      <c r="F3880" s="22" t="s">
        <v>24700</v>
      </c>
      <c r="G3880" s="13" t="b">
        <v>0</v>
      </c>
      <c r="H3880" s="22" t="s">
        <v>21384</v>
      </c>
      <c r="I3880" s="10" t="s">
        <v>9131</v>
      </c>
      <c r="J3880" s="13" t="b">
        <v>0</v>
      </c>
      <c r="K3880" s="13" t="b">
        <v>1</v>
      </c>
      <c r="L3880" s="10" t="s">
        <v>124</v>
      </c>
      <c r="M3880" s="10" t="s">
        <v>91</v>
      </c>
      <c r="N3880" s="10" t="s">
        <v>92</v>
      </c>
      <c r="O3880" s="19" t="s">
        <v>26222</v>
      </c>
      <c r="P3880" s="10"/>
      <c r="Q3880" s="10" t="s">
        <v>126</v>
      </c>
      <c r="R3880" s="10"/>
      <c r="S3880" s="19" t="s">
        <v>24736</v>
      </c>
      <c r="T3880" s="10"/>
      <c r="U3880" s="10"/>
      <c r="V3880" s="10"/>
      <c r="W3880" s="10" t="s">
        <v>24703</v>
      </c>
      <c r="X3880" s="10" t="s">
        <v>216</v>
      </c>
      <c r="Y3880" s="10" t="s">
        <v>216</v>
      </c>
      <c r="Z3880" s="10" t="s">
        <v>99</v>
      </c>
      <c r="AA3880" s="10" t="s">
        <v>131</v>
      </c>
      <c r="AB3880" s="10" t="s">
        <v>24704</v>
      </c>
      <c r="AC3880" s="10" t="s">
        <v>21389</v>
      </c>
      <c r="AD3880" s="10" t="s">
        <v>165</v>
      </c>
      <c r="AE3880" s="10" t="s">
        <v>26223</v>
      </c>
      <c r="AF3880" s="15"/>
      <c r="AG3880" s="10"/>
      <c r="AH3880" s="10"/>
      <c r="AI3880" s="10"/>
      <c r="AJ3880" s="10"/>
      <c r="AK3880" s="10" t="s">
        <v>102</v>
      </c>
      <c r="AL3880" s="10"/>
      <c r="AM3880" s="10"/>
      <c r="AN3880" s="10"/>
      <c r="AO3880" s="13" t="b">
        <v>0</v>
      </c>
      <c r="AP3880" s="22" t="s">
        <v>104</v>
      </c>
      <c r="AQ3880" s="10">
        <f ca="1">IFERROR(__xludf.DUMMYFUNCTION("""COMPUTED_VALUE"""),4833810)</f>
        <v>4833810</v>
      </c>
      <c r="AR3880" s="17">
        <v>23096</v>
      </c>
      <c r="AS3880" s="17">
        <v>13954</v>
      </c>
      <c r="AT3880" s="17">
        <v>317908.75</v>
      </c>
      <c r="AU3880" s="17">
        <v>71.8</v>
      </c>
      <c r="AV3880" s="17">
        <v>28.9</v>
      </c>
      <c r="AW3880" s="10" t="s">
        <v>105</v>
      </c>
      <c r="AX3880" s="17">
        <v>14688</v>
      </c>
      <c r="AY3880" s="18">
        <v>22.782625053748028</v>
      </c>
      <c r="AZ3880" s="10"/>
      <c r="BA3880" s="20" t="b">
        <v>0</v>
      </c>
      <c r="BB3880" s="10" t="s">
        <v>24734</v>
      </c>
      <c r="BC3880" s="17">
        <v>23096</v>
      </c>
      <c r="BD3880" s="17">
        <v>13954</v>
      </c>
      <c r="BE3880" s="17">
        <v>317908.75</v>
      </c>
      <c r="BF3880" s="17">
        <v>28.9</v>
      </c>
      <c r="BG3880" s="11">
        <f ca="1">IFERROR(__xludf.DUMMYFUNCTION("""COMPUTED_VALUE"""),46031.6875)</f>
        <v>46031.6875</v>
      </c>
      <c r="BH3880" s="17" t="s">
        <v>105</v>
      </c>
      <c r="BI3880" s="17"/>
      <c r="BJ3880" s="15"/>
      <c r="BK3880" s="15"/>
      <c r="BL3880" s="13" t="b">
        <v>0</v>
      </c>
      <c r="BM3880" s="10"/>
      <c r="BN3880" s="10" t="s">
        <v>19455</v>
      </c>
      <c r="BO3880" s="11">
        <v>46030.79583333333</v>
      </c>
      <c r="BP3880" s="11">
        <v>46030.795902777776</v>
      </c>
      <c r="BQ3880" s="15"/>
      <c r="BR3880" s="15">
        <v>46030.925081018519</v>
      </c>
      <c r="BS3880" s="10" t="s">
        <v>19455</v>
      </c>
      <c r="BT3880" s="10"/>
      <c r="BU3880" s="10"/>
      <c r="BV3880" s="10"/>
      <c r="BW3880" s="10"/>
      <c r="BX3880" s="10"/>
      <c r="BY3880" s="23"/>
      <c r="BZ3880" s="23"/>
      <c r="CA3880" s="19" t="s">
        <v>24738</v>
      </c>
      <c r="CB3880" s="23"/>
      <c r="CC3880" s="23"/>
      <c r="CD3880" s="19" t="s">
        <v>24739</v>
      </c>
      <c r="CE3880" s="23"/>
      <c r="CF3880" s="23"/>
      <c r="CG3880" s="23"/>
      <c r="CH3880" s="23"/>
      <c r="CI3880" s="23"/>
    </row>
    <row r="3881" spans="1:87" x14ac:dyDescent="0.3">
      <c r="A3881" s="9" t="s">
        <v>26224</v>
      </c>
      <c r="B3881" s="10" t="s">
        <v>26225</v>
      </c>
      <c r="C3881" s="11">
        <v>46031.722222222219</v>
      </c>
      <c r="D3881" s="12">
        <v>3.4722222222222224E-2</v>
      </c>
      <c r="E3881" s="11">
        <v>46031.756944444445</v>
      </c>
      <c r="F3881" s="22" t="s">
        <v>24700</v>
      </c>
      <c r="G3881" s="13" t="b">
        <v>0</v>
      </c>
      <c r="H3881" s="22" t="s">
        <v>21384</v>
      </c>
      <c r="I3881" s="10" t="s">
        <v>9131</v>
      </c>
      <c r="J3881" s="13" t="b">
        <v>0</v>
      </c>
      <c r="K3881" s="13" t="b">
        <v>1</v>
      </c>
      <c r="L3881" s="10" t="s">
        <v>358</v>
      </c>
      <c r="M3881" s="10" t="s">
        <v>91</v>
      </c>
      <c r="N3881" s="10" t="s">
        <v>92</v>
      </c>
      <c r="O3881" s="19" t="s">
        <v>26226</v>
      </c>
      <c r="P3881" s="10"/>
      <c r="Q3881" s="10" t="s">
        <v>126</v>
      </c>
      <c r="R3881" s="10"/>
      <c r="S3881" s="19" t="s">
        <v>24736</v>
      </c>
      <c r="T3881" s="10"/>
      <c r="U3881" s="10"/>
      <c r="V3881" s="10"/>
      <c r="W3881" s="10" t="s">
        <v>24703</v>
      </c>
      <c r="X3881" s="10" t="s">
        <v>216</v>
      </c>
      <c r="Y3881" s="10" t="s">
        <v>216</v>
      </c>
      <c r="Z3881" s="10" t="s">
        <v>99</v>
      </c>
      <c r="AA3881" s="10" t="s">
        <v>131</v>
      </c>
      <c r="AB3881" s="10" t="s">
        <v>24704</v>
      </c>
      <c r="AC3881" s="10" t="s">
        <v>21389</v>
      </c>
      <c r="AD3881" s="10" t="s">
        <v>165</v>
      </c>
      <c r="AE3881" s="10" t="s">
        <v>26227</v>
      </c>
      <c r="AF3881" s="15"/>
      <c r="AG3881" s="10"/>
      <c r="AH3881" s="10"/>
      <c r="AI3881" s="10"/>
      <c r="AJ3881" s="10"/>
      <c r="AK3881" s="10" t="s">
        <v>102</v>
      </c>
      <c r="AL3881" s="10"/>
      <c r="AM3881" s="10"/>
      <c r="AN3881" s="10"/>
      <c r="AO3881" s="13" t="b">
        <v>0</v>
      </c>
      <c r="AP3881" s="22" t="s">
        <v>104</v>
      </c>
      <c r="AQ3881" s="10">
        <f ca="1">IFERROR(__xludf.DUMMYFUNCTION("""COMPUTED_VALUE"""),4833811)</f>
        <v>4833811</v>
      </c>
      <c r="AR3881" s="17">
        <v>49038</v>
      </c>
      <c r="AS3881" s="17">
        <v>30623</v>
      </c>
      <c r="AT3881" s="17">
        <v>619082.75</v>
      </c>
      <c r="AU3881" s="17">
        <v>312.14999999999998</v>
      </c>
      <c r="AV3881" s="17">
        <v>113.25</v>
      </c>
      <c r="AW3881" s="10" t="s">
        <v>105</v>
      </c>
      <c r="AX3881" s="17">
        <v>22409</v>
      </c>
      <c r="AY3881" s="18">
        <v>20.216267184795743</v>
      </c>
      <c r="AZ3881" s="10"/>
      <c r="BA3881" s="20" t="b">
        <v>0</v>
      </c>
      <c r="BB3881" s="10" t="s">
        <v>24734</v>
      </c>
      <c r="BC3881" s="17">
        <v>49038</v>
      </c>
      <c r="BD3881" s="17">
        <v>30623</v>
      </c>
      <c r="BE3881" s="17">
        <v>619082.75</v>
      </c>
      <c r="BF3881" s="17">
        <v>113.25</v>
      </c>
      <c r="BG3881" s="11">
        <f ca="1">IFERROR(__xludf.DUMMYFUNCTION("""COMPUTED_VALUE"""),46031.7222222222)</f>
        <v>46031.722222222197</v>
      </c>
      <c r="BH3881" s="17" t="s">
        <v>105</v>
      </c>
      <c r="BI3881" s="17"/>
      <c r="BJ3881" s="15"/>
      <c r="BK3881" s="15"/>
      <c r="BL3881" s="13" t="b">
        <v>0</v>
      </c>
      <c r="BM3881" s="10"/>
      <c r="BN3881" s="10" t="s">
        <v>19455</v>
      </c>
      <c r="BO3881" s="11">
        <v>46030.79583333333</v>
      </c>
      <c r="BP3881" s="11">
        <v>46030.796076388891</v>
      </c>
      <c r="BQ3881" s="15"/>
      <c r="BR3881" s="15">
        <v>46030.92523148148</v>
      </c>
      <c r="BS3881" s="10" t="s">
        <v>19455</v>
      </c>
      <c r="BT3881" s="10" t="s">
        <v>99</v>
      </c>
      <c r="BU3881" s="10"/>
      <c r="BV3881" s="10"/>
      <c r="BW3881" s="10"/>
      <c r="BX3881" s="10"/>
      <c r="BY3881" s="23"/>
      <c r="BZ3881" s="23"/>
      <c r="CA3881" s="19" t="s">
        <v>24738</v>
      </c>
      <c r="CB3881" s="23"/>
      <c r="CC3881" s="23"/>
      <c r="CD3881" s="19" t="s">
        <v>24739</v>
      </c>
      <c r="CE3881" s="23"/>
      <c r="CF3881" s="23"/>
      <c r="CG3881" s="23"/>
      <c r="CH3881" s="23"/>
      <c r="CI3881" s="23"/>
    </row>
    <row r="3882" spans="1:87" x14ac:dyDescent="0.3">
      <c r="A3882" s="9" t="s">
        <v>26228</v>
      </c>
      <c r="B3882" s="10" t="s">
        <v>26229</v>
      </c>
      <c r="C3882" s="11">
        <v>46031.333333333336</v>
      </c>
      <c r="D3882" s="12">
        <v>3.4722222222222224E-2</v>
      </c>
      <c r="E3882" s="11">
        <v>46031.368055555555</v>
      </c>
      <c r="F3882" s="22" t="s">
        <v>24700</v>
      </c>
      <c r="G3882" s="13" t="b">
        <v>0</v>
      </c>
      <c r="H3882" s="22" t="s">
        <v>21384</v>
      </c>
      <c r="I3882" s="10" t="s">
        <v>9131</v>
      </c>
      <c r="J3882" s="13" t="b">
        <v>0</v>
      </c>
      <c r="K3882" s="13" t="b">
        <v>1</v>
      </c>
      <c r="L3882" s="10" t="s">
        <v>124</v>
      </c>
      <c r="M3882" s="10" t="s">
        <v>91</v>
      </c>
      <c r="N3882" s="10" t="s">
        <v>92</v>
      </c>
      <c r="O3882" s="19" t="s">
        <v>26230</v>
      </c>
      <c r="P3882" s="10"/>
      <c r="Q3882" s="10" t="s">
        <v>126</v>
      </c>
      <c r="R3882" s="10"/>
      <c r="S3882" s="19" t="s">
        <v>24729</v>
      </c>
      <c r="T3882" s="10"/>
      <c r="U3882" s="10"/>
      <c r="V3882" s="10"/>
      <c r="W3882" s="10" t="s">
        <v>24703</v>
      </c>
      <c r="X3882" s="10" t="s">
        <v>216</v>
      </c>
      <c r="Y3882" s="10" t="s">
        <v>216</v>
      </c>
      <c r="Z3882" s="10" t="s">
        <v>99</v>
      </c>
      <c r="AA3882" s="10" t="s">
        <v>131</v>
      </c>
      <c r="AB3882" s="10" t="s">
        <v>24704</v>
      </c>
      <c r="AC3882" s="10" t="s">
        <v>21389</v>
      </c>
      <c r="AD3882" s="10" t="s">
        <v>165</v>
      </c>
      <c r="AE3882" s="10" t="s">
        <v>26231</v>
      </c>
      <c r="AF3882" s="15"/>
      <c r="AG3882" s="10"/>
      <c r="AH3882" s="10"/>
      <c r="AI3882" s="10"/>
      <c r="AJ3882" s="10"/>
      <c r="AK3882" s="10" t="s">
        <v>102</v>
      </c>
      <c r="AL3882" s="10"/>
      <c r="AM3882" s="10"/>
      <c r="AN3882" s="10"/>
      <c r="AO3882" s="13" t="b">
        <v>0</v>
      </c>
      <c r="AP3882" s="22" t="s">
        <v>135</v>
      </c>
      <c r="AQ3882" s="10">
        <f ca="1">IFERROR(__xludf.DUMMYFUNCTION("""COMPUTED_VALUE"""),4833792)</f>
        <v>4833792</v>
      </c>
      <c r="AR3882" s="17">
        <v>6715</v>
      </c>
      <c r="AS3882" s="17">
        <v>4626</v>
      </c>
      <c r="AT3882" s="17">
        <v>66088.25</v>
      </c>
      <c r="AU3882" s="17">
        <v>26</v>
      </c>
      <c r="AV3882" s="17">
        <v>11.15</v>
      </c>
      <c r="AW3882" s="10" t="s">
        <v>105</v>
      </c>
      <c r="AX3882" s="17">
        <v>2120</v>
      </c>
      <c r="AY3882" s="18">
        <v>14.286262429744919</v>
      </c>
      <c r="AZ3882" s="10"/>
      <c r="BA3882" s="20" t="b">
        <v>0</v>
      </c>
      <c r="BB3882" s="10" t="s">
        <v>24727</v>
      </c>
      <c r="BC3882" s="17">
        <v>6715</v>
      </c>
      <c r="BD3882" s="17">
        <v>4626</v>
      </c>
      <c r="BE3882" s="17">
        <v>66088.25</v>
      </c>
      <c r="BF3882" s="17">
        <v>11.15</v>
      </c>
      <c r="BG3882" s="11">
        <f ca="1">IFERROR(__xludf.DUMMYFUNCTION("""COMPUTED_VALUE"""),46031.3333333333)</f>
        <v>46031.333333333299</v>
      </c>
      <c r="BH3882" s="17" t="s">
        <v>105</v>
      </c>
      <c r="BI3882" s="17"/>
      <c r="BJ3882" s="15"/>
      <c r="BK3882" s="15"/>
      <c r="BL3882" s="13" t="b">
        <v>0</v>
      </c>
      <c r="BM3882" s="10"/>
      <c r="BN3882" s="10" t="s">
        <v>157</v>
      </c>
      <c r="BO3882" s="11">
        <v>46030.79583333333</v>
      </c>
      <c r="BP3882" s="11">
        <v>46030.796527777777</v>
      </c>
      <c r="BQ3882" s="15"/>
      <c r="BR3882" s="15">
        <v>46030.85597222222</v>
      </c>
      <c r="BS3882" s="10" t="s">
        <v>157</v>
      </c>
      <c r="BT3882" s="10"/>
      <c r="BU3882" s="10"/>
      <c r="BV3882" s="10"/>
      <c r="BW3882" s="10"/>
      <c r="BX3882" s="10"/>
      <c r="BY3882" s="23"/>
      <c r="BZ3882" s="23"/>
      <c r="CA3882" s="19" t="s">
        <v>24732</v>
      </c>
      <c r="CB3882" s="23"/>
      <c r="CC3882" s="23"/>
      <c r="CD3882" s="19" t="s">
        <v>24733</v>
      </c>
      <c r="CE3882" s="23"/>
      <c r="CF3882" s="23"/>
      <c r="CG3882" s="23"/>
      <c r="CH3882" s="23"/>
      <c r="CI3882" s="23"/>
    </row>
    <row r="3883" spans="1:87" x14ac:dyDescent="0.3">
      <c r="A3883" s="9" t="s">
        <v>26232</v>
      </c>
      <c r="B3883" s="10" t="s">
        <v>26233</v>
      </c>
      <c r="C3883" s="11">
        <v>46031.368055555555</v>
      </c>
      <c r="D3883" s="12">
        <v>3.4722222222222224E-2</v>
      </c>
      <c r="E3883" s="11">
        <v>46031.402777777781</v>
      </c>
      <c r="F3883" s="22" t="s">
        <v>24700</v>
      </c>
      <c r="G3883" s="13" t="b">
        <v>0</v>
      </c>
      <c r="H3883" s="22" t="s">
        <v>21384</v>
      </c>
      <c r="I3883" s="10" t="s">
        <v>9131</v>
      </c>
      <c r="J3883" s="13" t="b">
        <v>0</v>
      </c>
      <c r="K3883" s="13" t="b">
        <v>1</v>
      </c>
      <c r="L3883" s="10" t="s">
        <v>124</v>
      </c>
      <c r="M3883" s="10" t="s">
        <v>91</v>
      </c>
      <c r="N3883" s="10" t="s">
        <v>92</v>
      </c>
      <c r="O3883" s="19" t="s">
        <v>26234</v>
      </c>
      <c r="P3883" s="10"/>
      <c r="Q3883" s="10" t="s">
        <v>126</v>
      </c>
      <c r="R3883" s="10"/>
      <c r="S3883" s="19" t="s">
        <v>24729</v>
      </c>
      <c r="T3883" s="10"/>
      <c r="U3883" s="10"/>
      <c r="V3883" s="10"/>
      <c r="W3883" s="10" t="s">
        <v>24703</v>
      </c>
      <c r="X3883" s="10" t="s">
        <v>216</v>
      </c>
      <c r="Y3883" s="10" t="s">
        <v>216</v>
      </c>
      <c r="Z3883" s="10" t="s">
        <v>99</v>
      </c>
      <c r="AA3883" s="10" t="s">
        <v>131</v>
      </c>
      <c r="AB3883" s="10" t="s">
        <v>24704</v>
      </c>
      <c r="AC3883" s="10" t="s">
        <v>21389</v>
      </c>
      <c r="AD3883" s="10" t="s">
        <v>165</v>
      </c>
      <c r="AE3883" s="10" t="s">
        <v>26235</v>
      </c>
      <c r="AF3883" s="15"/>
      <c r="AG3883" s="10"/>
      <c r="AH3883" s="10"/>
      <c r="AI3883" s="10"/>
      <c r="AJ3883" s="10"/>
      <c r="AK3883" s="10" t="s">
        <v>102</v>
      </c>
      <c r="AL3883" s="10"/>
      <c r="AM3883" s="10"/>
      <c r="AN3883" s="10"/>
      <c r="AO3883" s="13" t="b">
        <v>0</v>
      </c>
      <c r="AP3883" s="22" t="s">
        <v>135</v>
      </c>
      <c r="AQ3883" s="10">
        <f ca="1">IFERROR(__xludf.DUMMYFUNCTION("""COMPUTED_VALUE"""),4833793)</f>
        <v>4833793</v>
      </c>
      <c r="AR3883" s="17">
        <v>2950</v>
      </c>
      <c r="AS3883" s="17">
        <v>2389</v>
      </c>
      <c r="AT3883" s="17">
        <v>19204.25</v>
      </c>
      <c r="AU3883" s="17">
        <v>7.7</v>
      </c>
      <c r="AV3883" s="17">
        <v>3.35</v>
      </c>
      <c r="AW3883" s="10" t="s">
        <v>105</v>
      </c>
      <c r="AX3883" s="17">
        <v>2182</v>
      </c>
      <c r="AY3883" s="18">
        <v>8.0386144830473008</v>
      </c>
      <c r="AZ3883" s="10"/>
      <c r="BA3883" s="20" t="b">
        <v>0</v>
      </c>
      <c r="BB3883" s="10" t="s">
        <v>24727</v>
      </c>
      <c r="BC3883" s="17">
        <v>2950</v>
      </c>
      <c r="BD3883" s="17">
        <v>2389</v>
      </c>
      <c r="BE3883" s="17">
        <v>19204.25</v>
      </c>
      <c r="BF3883" s="17">
        <v>3.35</v>
      </c>
      <c r="BG3883" s="11">
        <f ca="1">IFERROR(__xludf.DUMMYFUNCTION("""COMPUTED_VALUE"""),46031.3680555555)</f>
        <v>46031.368055555497</v>
      </c>
      <c r="BH3883" s="17" t="s">
        <v>105</v>
      </c>
      <c r="BI3883" s="17"/>
      <c r="BJ3883" s="15"/>
      <c r="BK3883" s="15"/>
      <c r="BL3883" s="13" t="b">
        <v>0</v>
      </c>
      <c r="BM3883" s="10"/>
      <c r="BN3883" s="10" t="s">
        <v>157</v>
      </c>
      <c r="BO3883" s="11">
        <v>46030.796527777777</v>
      </c>
      <c r="BP3883" s="11">
        <v>46030.796666666669</v>
      </c>
      <c r="BQ3883" s="15"/>
      <c r="BR3883" s="15">
        <v>46030.856122685182</v>
      </c>
      <c r="BS3883" s="10" t="s">
        <v>157</v>
      </c>
      <c r="BT3883" s="10"/>
      <c r="BU3883" s="10"/>
      <c r="BV3883" s="10"/>
      <c r="BW3883" s="10"/>
      <c r="BX3883" s="10"/>
      <c r="BY3883" s="23"/>
      <c r="BZ3883" s="23"/>
      <c r="CA3883" s="19" t="s">
        <v>24732</v>
      </c>
      <c r="CB3883" s="23"/>
      <c r="CC3883" s="23"/>
      <c r="CD3883" s="19" t="s">
        <v>24733</v>
      </c>
      <c r="CE3883" s="23"/>
      <c r="CF3883" s="23"/>
      <c r="CG3883" s="23"/>
      <c r="CH3883" s="23"/>
      <c r="CI3883" s="23"/>
    </row>
    <row r="3884" spans="1:87" x14ac:dyDescent="0.3">
      <c r="A3884" s="9" t="s">
        <v>26236</v>
      </c>
      <c r="B3884" s="10" t="s">
        <v>26237</v>
      </c>
      <c r="C3884" s="11">
        <v>46031.402777777781</v>
      </c>
      <c r="D3884" s="12">
        <v>3.4722222222222224E-2</v>
      </c>
      <c r="E3884" s="11">
        <v>46031.4375</v>
      </c>
      <c r="F3884" s="22" t="s">
        <v>24700</v>
      </c>
      <c r="G3884" s="13" t="b">
        <v>0</v>
      </c>
      <c r="H3884" s="22" t="s">
        <v>21384</v>
      </c>
      <c r="I3884" s="10" t="s">
        <v>9131</v>
      </c>
      <c r="J3884" s="13" t="b">
        <v>0</v>
      </c>
      <c r="K3884" s="13" t="b">
        <v>1</v>
      </c>
      <c r="L3884" s="10" t="s">
        <v>124</v>
      </c>
      <c r="M3884" s="10" t="s">
        <v>91</v>
      </c>
      <c r="N3884" s="10" t="s">
        <v>92</v>
      </c>
      <c r="O3884" s="19" t="s">
        <v>26238</v>
      </c>
      <c r="P3884" s="10"/>
      <c r="Q3884" s="10" t="s">
        <v>126</v>
      </c>
      <c r="R3884" s="10"/>
      <c r="S3884" s="19" t="s">
        <v>24729</v>
      </c>
      <c r="T3884" s="10"/>
      <c r="U3884" s="10"/>
      <c r="V3884" s="10"/>
      <c r="W3884" s="10" t="s">
        <v>24703</v>
      </c>
      <c r="X3884" s="10" t="s">
        <v>216</v>
      </c>
      <c r="Y3884" s="10" t="s">
        <v>216</v>
      </c>
      <c r="Z3884" s="10" t="s">
        <v>99</v>
      </c>
      <c r="AA3884" s="10" t="s">
        <v>131</v>
      </c>
      <c r="AB3884" s="10" t="s">
        <v>24704</v>
      </c>
      <c r="AC3884" s="10" t="s">
        <v>21389</v>
      </c>
      <c r="AD3884" s="10" t="s">
        <v>165</v>
      </c>
      <c r="AE3884" s="10" t="s">
        <v>26239</v>
      </c>
      <c r="AF3884" s="15"/>
      <c r="AG3884" s="10"/>
      <c r="AH3884" s="10"/>
      <c r="AI3884" s="10"/>
      <c r="AJ3884" s="10"/>
      <c r="AK3884" s="10" t="s">
        <v>102</v>
      </c>
      <c r="AL3884" s="10"/>
      <c r="AM3884" s="10"/>
      <c r="AN3884" s="10"/>
      <c r="AO3884" s="13" t="b">
        <v>0</v>
      </c>
      <c r="AP3884" s="22" t="s">
        <v>104</v>
      </c>
      <c r="AQ3884" s="10">
        <f ca="1">IFERROR(__xludf.DUMMYFUNCTION("""COMPUTED_VALUE"""),4833794)</f>
        <v>4833794</v>
      </c>
      <c r="AR3884" s="17">
        <v>4443</v>
      </c>
      <c r="AS3884" s="17">
        <v>3125</v>
      </c>
      <c r="AT3884" s="17">
        <v>18315.75</v>
      </c>
      <c r="AU3884" s="17">
        <v>4.05</v>
      </c>
      <c r="AV3884" s="17">
        <v>1.2</v>
      </c>
      <c r="AW3884" s="10" t="s">
        <v>105</v>
      </c>
      <c r="AX3884" s="17">
        <v>1587</v>
      </c>
      <c r="AY3884" s="18">
        <v>5.86104</v>
      </c>
      <c r="AZ3884" s="10"/>
      <c r="BA3884" s="20" t="b">
        <v>0</v>
      </c>
      <c r="BB3884" s="10" t="s">
        <v>24727</v>
      </c>
      <c r="BC3884" s="17">
        <v>4443</v>
      </c>
      <c r="BD3884" s="17">
        <v>3125</v>
      </c>
      <c r="BE3884" s="17">
        <v>18315.75</v>
      </c>
      <c r="BF3884" s="17">
        <v>1.2</v>
      </c>
      <c r="BG3884" s="11">
        <f ca="1">IFERROR(__xludf.DUMMYFUNCTION("""COMPUTED_VALUE"""),46031.4027777777)</f>
        <v>46031.402777777701</v>
      </c>
      <c r="BH3884" s="17" t="s">
        <v>105</v>
      </c>
      <c r="BI3884" s="17"/>
      <c r="BJ3884" s="15"/>
      <c r="BK3884" s="15"/>
      <c r="BL3884" s="13" t="b">
        <v>0</v>
      </c>
      <c r="BM3884" s="10"/>
      <c r="BN3884" s="10" t="s">
        <v>157</v>
      </c>
      <c r="BO3884" s="11">
        <v>46030.796527777777</v>
      </c>
      <c r="BP3884" s="11">
        <v>46030.7968287037</v>
      </c>
      <c r="BQ3884" s="15"/>
      <c r="BR3884" s="15">
        <v>46030.857175925928</v>
      </c>
      <c r="BS3884" s="10" t="s">
        <v>157</v>
      </c>
      <c r="BT3884" s="10"/>
      <c r="BU3884" s="10"/>
      <c r="BV3884" s="10"/>
      <c r="BW3884" s="10"/>
      <c r="BX3884" s="10"/>
      <c r="BY3884" s="23"/>
      <c r="BZ3884" s="23"/>
      <c r="CA3884" s="19" t="s">
        <v>24732</v>
      </c>
      <c r="CB3884" s="23"/>
      <c r="CC3884" s="23"/>
      <c r="CD3884" s="19" t="s">
        <v>24733</v>
      </c>
      <c r="CE3884" s="23"/>
      <c r="CF3884" s="23"/>
      <c r="CG3884" s="23"/>
      <c r="CH3884" s="23"/>
      <c r="CI3884" s="23"/>
    </row>
    <row r="3885" spans="1:87" x14ac:dyDescent="0.3">
      <c r="A3885" s="9" t="s">
        <v>26240</v>
      </c>
      <c r="B3885" s="10" t="s">
        <v>26241</v>
      </c>
      <c r="C3885" s="11">
        <v>46031.583333333336</v>
      </c>
      <c r="D3885" s="12">
        <v>3.4722222222222224E-2</v>
      </c>
      <c r="E3885" s="11">
        <v>46031.618055555555</v>
      </c>
      <c r="F3885" s="22" t="s">
        <v>24700</v>
      </c>
      <c r="G3885" s="13" t="b">
        <v>0</v>
      </c>
      <c r="H3885" s="22" t="s">
        <v>21384</v>
      </c>
      <c r="I3885" s="10" t="s">
        <v>9131</v>
      </c>
      <c r="J3885" s="13" t="b">
        <v>0</v>
      </c>
      <c r="K3885" s="13" t="b">
        <v>1</v>
      </c>
      <c r="L3885" s="10" t="s">
        <v>124</v>
      </c>
      <c r="M3885" s="10" t="s">
        <v>91</v>
      </c>
      <c r="N3885" s="10" t="s">
        <v>92</v>
      </c>
      <c r="O3885" s="19" t="s">
        <v>26242</v>
      </c>
      <c r="P3885" s="10"/>
      <c r="Q3885" s="10" t="s">
        <v>126</v>
      </c>
      <c r="R3885" s="10"/>
      <c r="S3885" s="19" t="s">
        <v>24729</v>
      </c>
      <c r="T3885" s="10"/>
      <c r="U3885" s="10"/>
      <c r="V3885" s="10"/>
      <c r="W3885" s="10" t="s">
        <v>24703</v>
      </c>
      <c r="X3885" s="10" t="s">
        <v>216</v>
      </c>
      <c r="Y3885" s="10" t="s">
        <v>216</v>
      </c>
      <c r="Z3885" s="10" t="s">
        <v>99</v>
      </c>
      <c r="AA3885" s="10" t="s">
        <v>131</v>
      </c>
      <c r="AB3885" s="10" t="s">
        <v>24704</v>
      </c>
      <c r="AC3885" s="10" t="s">
        <v>21389</v>
      </c>
      <c r="AD3885" s="10" t="s">
        <v>165</v>
      </c>
      <c r="AE3885" s="10" t="s">
        <v>26243</v>
      </c>
      <c r="AF3885" s="15"/>
      <c r="AG3885" s="10"/>
      <c r="AH3885" s="10"/>
      <c r="AI3885" s="10"/>
      <c r="AJ3885" s="10"/>
      <c r="AK3885" s="10" t="s">
        <v>102</v>
      </c>
      <c r="AL3885" s="10"/>
      <c r="AM3885" s="10"/>
      <c r="AN3885" s="10"/>
      <c r="AO3885" s="13" t="b">
        <v>0</v>
      </c>
      <c r="AP3885" s="22" t="s">
        <v>104</v>
      </c>
      <c r="AQ3885" s="10">
        <f ca="1">IFERROR(__xludf.DUMMYFUNCTION("""COMPUTED_VALUE"""),4833795)</f>
        <v>4833795</v>
      </c>
      <c r="AR3885" s="17">
        <v>6729</v>
      </c>
      <c r="AS3885" s="17">
        <v>4732</v>
      </c>
      <c r="AT3885" s="17">
        <v>45339.75</v>
      </c>
      <c r="AU3885" s="17">
        <v>10.8</v>
      </c>
      <c r="AV3885" s="17">
        <v>5.7</v>
      </c>
      <c r="AW3885" s="10" t="s">
        <v>105</v>
      </c>
      <c r="AX3885" s="17">
        <v>1635</v>
      </c>
      <c r="AY3885" s="18">
        <v>9.581519442096365</v>
      </c>
      <c r="AZ3885" s="10"/>
      <c r="BA3885" s="20" t="b">
        <v>0</v>
      </c>
      <c r="BB3885" s="10" t="s">
        <v>24727</v>
      </c>
      <c r="BC3885" s="17">
        <v>6729</v>
      </c>
      <c r="BD3885" s="17">
        <v>4732</v>
      </c>
      <c r="BE3885" s="17">
        <v>45339.75</v>
      </c>
      <c r="BF3885" s="17">
        <v>5.7</v>
      </c>
      <c r="BG3885" s="11">
        <f ca="1">IFERROR(__xludf.DUMMYFUNCTION("""COMPUTED_VALUE"""),46031.5833333333)</f>
        <v>46031.583333333299</v>
      </c>
      <c r="BH3885" s="17" t="s">
        <v>105</v>
      </c>
      <c r="BI3885" s="17"/>
      <c r="BJ3885" s="15"/>
      <c r="BK3885" s="15"/>
      <c r="BL3885" s="13" t="b">
        <v>0</v>
      </c>
      <c r="BM3885" s="10"/>
      <c r="BN3885" s="10" t="s">
        <v>157</v>
      </c>
      <c r="BO3885" s="11">
        <v>46030.796527777777</v>
      </c>
      <c r="BP3885" s="11">
        <v>46030.796956018516</v>
      </c>
      <c r="BQ3885" s="15"/>
      <c r="BR3885" s="15">
        <v>46030.857418981483</v>
      </c>
      <c r="BS3885" s="10" t="s">
        <v>157</v>
      </c>
      <c r="BT3885" s="10"/>
      <c r="BU3885" s="10"/>
      <c r="BV3885" s="10"/>
      <c r="BW3885" s="10"/>
      <c r="BX3885" s="10"/>
      <c r="BY3885" s="23"/>
      <c r="BZ3885" s="23"/>
      <c r="CA3885" s="19" t="s">
        <v>24732</v>
      </c>
      <c r="CB3885" s="23"/>
      <c r="CC3885" s="23"/>
      <c r="CD3885" s="19" t="s">
        <v>24733</v>
      </c>
      <c r="CE3885" s="23"/>
      <c r="CF3885" s="23"/>
      <c r="CG3885" s="23"/>
      <c r="CH3885" s="23"/>
      <c r="CI3885" s="23"/>
    </row>
    <row r="3886" spans="1:87" x14ac:dyDescent="0.3">
      <c r="A3886" s="9" t="s">
        <v>26244</v>
      </c>
      <c r="B3886" s="10" t="s">
        <v>26245</v>
      </c>
      <c r="C3886" s="11">
        <v>46031.618055555555</v>
      </c>
      <c r="D3886" s="12">
        <v>3.4722222222222224E-2</v>
      </c>
      <c r="E3886" s="11">
        <v>46031.652777777781</v>
      </c>
      <c r="F3886" s="22" t="s">
        <v>24700</v>
      </c>
      <c r="G3886" s="13" t="b">
        <v>0</v>
      </c>
      <c r="H3886" s="22" t="s">
        <v>21384</v>
      </c>
      <c r="I3886" s="10" t="s">
        <v>9131</v>
      </c>
      <c r="J3886" s="13" t="b">
        <v>0</v>
      </c>
      <c r="K3886" s="13" t="b">
        <v>1</v>
      </c>
      <c r="L3886" s="10" t="s">
        <v>358</v>
      </c>
      <c r="M3886" s="10" t="s">
        <v>91</v>
      </c>
      <c r="N3886" s="10" t="s">
        <v>92</v>
      </c>
      <c r="O3886" s="19" t="s">
        <v>26246</v>
      </c>
      <c r="P3886" s="10"/>
      <c r="Q3886" s="10" t="s">
        <v>126</v>
      </c>
      <c r="R3886" s="10"/>
      <c r="S3886" s="19" t="s">
        <v>24729</v>
      </c>
      <c r="T3886" s="10"/>
      <c r="U3886" s="10"/>
      <c r="V3886" s="10"/>
      <c r="W3886" s="10" t="s">
        <v>24703</v>
      </c>
      <c r="X3886" s="10" t="s">
        <v>216</v>
      </c>
      <c r="Y3886" s="10" t="s">
        <v>216</v>
      </c>
      <c r="Z3886" s="10" t="s">
        <v>99</v>
      </c>
      <c r="AA3886" s="10" t="s">
        <v>131</v>
      </c>
      <c r="AB3886" s="10" t="s">
        <v>24704</v>
      </c>
      <c r="AC3886" s="10" t="s">
        <v>21389</v>
      </c>
      <c r="AD3886" s="10" t="s">
        <v>165</v>
      </c>
      <c r="AE3886" s="10" t="s">
        <v>26247</v>
      </c>
      <c r="AF3886" s="15"/>
      <c r="AG3886" s="10"/>
      <c r="AH3886" s="10"/>
      <c r="AI3886" s="10"/>
      <c r="AJ3886" s="10"/>
      <c r="AK3886" s="10" t="s">
        <v>102</v>
      </c>
      <c r="AL3886" s="10"/>
      <c r="AM3886" s="10"/>
      <c r="AN3886" s="10"/>
      <c r="AO3886" s="13" t="b">
        <v>0</v>
      </c>
      <c r="AP3886" s="22" t="s">
        <v>221</v>
      </c>
      <c r="AQ3886" s="10">
        <f ca="1">IFERROR(__xludf.DUMMYFUNCTION("""COMPUTED_VALUE"""),4833796)</f>
        <v>4833796</v>
      </c>
      <c r="AR3886" s="17">
        <v>16355</v>
      </c>
      <c r="AS3886" s="17">
        <v>10010</v>
      </c>
      <c r="AT3886" s="17">
        <v>205364.5</v>
      </c>
      <c r="AU3886" s="17">
        <v>30.5</v>
      </c>
      <c r="AV3886" s="17">
        <v>14.6</v>
      </c>
      <c r="AW3886" s="10" t="s">
        <v>105</v>
      </c>
      <c r="AX3886" s="17">
        <v>3906</v>
      </c>
      <c r="AY3886" s="18">
        <v>20.515934065934065</v>
      </c>
      <c r="AZ3886" s="10"/>
      <c r="BA3886" s="20" t="b">
        <v>0</v>
      </c>
      <c r="BB3886" s="10" t="s">
        <v>24727</v>
      </c>
      <c r="BC3886" s="17">
        <v>16355</v>
      </c>
      <c r="BD3886" s="17">
        <v>10010</v>
      </c>
      <c r="BE3886" s="17">
        <v>205364.5</v>
      </c>
      <c r="BF3886" s="17">
        <v>14.6</v>
      </c>
      <c r="BG3886" s="11">
        <f ca="1">IFERROR(__xludf.DUMMYFUNCTION("""COMPUTED_VALUE"""),46031.6180555555)</f>
        <v>46031.618055555497</v>
      </c>
      <c r="BH3886" s="17" t="s">
        <v>105</v>
      </c>
      <c r="BI3886" s="17"/>
      <c r="BJ3886" s="15"/>
      <c r="BK3886" s="15"/>
      <c r="BL3886" s="13" t="b">
        <v>0</v>
      </c>
      <c r="BM3886" s="10"/>
      <c r="BN3886" s="10" t="s">
        <v>157</v>
      </c>
      <c r="BO3886" s="11">
        <v>46030.797222222223</v>
      </c>
      <c r="BP3886" s="11">
        <v>46030.797280092593</v>
      </c>
      <c r="BQ3886" s="15"/>
      <c r="BR3886" s="15">
        <v>46030.857569444444</v>
      </c>
      <c r="BS3886" s="10" t="s">
        <v>157</v>
      </c>
      <c r="BT3886" s="10"/>
      <c r="BU3886" s="10"/>
      <c r="BV3886" s="10"/>
      <c r="BW3886" s="10"/>
      <c r="BX3886" s="10"/>
      <c r="BY3886" s="23"/>
      <c r="BZ3886" s="23"/>
      <c r="CA3886" s="19" t="s">
        <v>24732</v>
      </c>
      <c r="CB3886" s="23"/>
      <c r="CC3886" s="23"/>
      <c r="CD3886" s="19" t="s">
        <v>24733</v>
      </c>
      <c r="CE3886" s="23"/>
      <c r="CF3886" s="23"/>
      <c r="CG3886" s="23"/>
      <c r="CH3886" s="23"/>
      <c r="CI3886" s="23"/>
    </row>
    <row r="3887" spans="1:87" x14ac:dyDescent="0.3">
      <c r="A3887" s="9" t="s">
        <v>26248</v>
      </c>
      <c r="B3887" s="10" t="s">
        <v>26249</v>
      </c>
      <c r="C3887" s="11">
        <v>46031.652777777781</v>
      </c>
      <c r="D3887" s="12">
        <v>3.4722222222222224E-2</v>
      </c>
      <c r="E3887" s="11">
        <v>46031.6875</v>
      </c>
      <c r="F3887" s="22" t="s">
        <v>24700</v>
      </c>
      <c r="G3887" s="13" t="b">
        <v>0</v>
      </c>
      <c r="H3887" s="22" t="s">
        <v>21384</v>
      </c>
      <c r="I3887" s="10" t="s">
        <v>9131</v>
      </c>
      <c r="J3887" s="13" t="b">
        <v>0</v>
      </c>
      <c r="K3887" s="13" t="b">
        <v>1</v>
      </c>
      <c r="L3887" s="10" t="s">
        <v>124</v>
      </c>
      <c r="M3887" s="10" t="s">
        <v>91</v>
      </c>
      <c r="N3887" s="10" t="s">
        <v>92</v>
      </c>
      <c r="O3887" s="19" t="s">
        <v>26250</v>
      </c>
      <c r="P3887" s="10"/>
      <c r="Q3887" s="10" t="s">
        <v>126</v>
      </c>
      <c r="R3887" s="10"/>
      <c r="S3887" s="19" t="s">
        <v>24729</v>
      </c>
      <c r="T3887" s="10"/>
      <c r="U3887" s="10"/>
      <c r="V3887" s="10"/>
      <c r="W3887" s="10" t="s">
        <v>24703</v>
      </c>
      <c r="X3887" s="10" t="s">
        <v>216</v>
      </c>
      <c r="Y3887" s="10" t="s">
        <v>216</v>
      </c>
      <c r="Z3887" s="10" t="s">
        <v>99</v>
      </c>
      <c r="AA3887" s="10" t="s">
        <v>131</v>
      </c>
      <c r="AB3887" s="10" t="s">
        <v>24704</v>
      </c>
      <c r="AC3887" s="10" t="s">
        <v>21389</v>
      </c>
      <c r="AD3887" s="10" t="s">
        <v>165</v>
      </c>
      <c r="AE3887" s="10" t="s">
        <v>26251</v>
      </c>
      <c r="AF3887" s="15"/>
      <c r="AG3887" s="10"/>
      <c r="AH3887" s="10"/>
      <c r="AI3887" s="10"/>
      <c r="AJ3887" s="10"/>
      <c r="AK3887" s="10" t="s">
        <v>102</v>
      </c>
      <c r="AL3887" s="10"/>
      <c r="AM3887" s="10"/>
      <c r="AN3887" s="10"/>
      <c r="AO3887" s="13" t="b">
        <v>0</v>
      </c>
      <c r="AP3887" s="22" t="s">
        <v>135</v>
      </c>
      <c r="AQ3887" s="10">
        <f ca="1">IFERROR(__xludf.DUMMYFUNCTION("""COMPUTED_VALUE"""),4833797)</f>
        <v>4833797</v>
      </c>
      <c r="AR3887" s="17">
        <v>9308</v>
      </c>
      <c r="AS3887" s="17">
        <v>6458</v>
      </c>
      <c r="AT3887" s="17">
        <v>38013.75</v>
      </c>
      <c r="AU3887" s="17">
        <v>8.1</v>
      </c>
      <c r="AV3887" s="17">
        <v>4.5</v>
      </c>
      <c r="AW3887" s="10" t="s">
        <v>105</v>
      </c>
      <c r="AX3887" s="17">
        <v>3708</v>
      </c>
      <c r="AY3887" s="18">
        <v>5.8863038092288633</v>
      </c>
      <c r="AZ3887" s="10"/>
      <c r="BA3887" s="20" t="b">
        <v>0</v>
      </c>
      <c r="BB3887" s="10" t="s">
        <v>24727</v>
      </c>
      <c r="BC3887" s="17">
        <v>9308</v>
      </c>
      <c r="BD3887" s="17">
        <v>6458</v>
      </c>
      <c r="BE3887" s="17">
        <v>38013.75</v>
      </c>
      <c r="BF3887" s="17">
        <v>4.5</v>
      </c>
      <c r="BG3887" s="11">
        <f ca="1">IFERROR(__xludf.DUMMYFUNCTION("""COMPUTED_VALUE"""),46031.6527777777)</f>
        <v>46031.652777777701</v>
      </c>
      <c r="BH3887" s="17" t="s">
        <v>105</v>
      </c>
      <c r="BI3887" s="17"/>
      <c r="BJ3887" s="15"/>
      <c r="BK3887" s="15"/>
      <c r="BL3887" s="13" t="b">
        <v>0</v>
      </c>
      <c r="BM3887" s="10"/>
      <c r="BN3887" s="10" t="s">
        <v>157</v>
      </c>
      <c r="BO3887" s="11">
        <v>46030.797222222223</v>
      </c>
      <c r="BP3887" s="11">
        <v>46030.797430555554</v>
      </c>
      <c r="BQ3887" s="15"/>
      <c r="BR3887" s="15">
        <v>46030.857731481483</v>
      </c>
      <c r="BS3887" s="10" t="s">
        <v>157</v>
      </c>
      <c r="BT3887" s="10"/>
      <c r="BU3887" s="10"/>
      <c r="BV3887" s="10"/>
      <c r="BW3887" s="10"/>
      <c r="BX3887" s="10"/>
      <c r="BY3887" s="23"/>
      <c r="BZ3887" s="23"/>
      <c r="CA3887" s="19" t="s">
        <v>24732</v>
      </c>
      <c r="CB3887" s="23"/>
      <c r="CC3887" s="23"/>
      <c r="CD3887" s="19" t="s">
        <v>24733</v>
      </c>
      <c r="CE3887" s="23"/>
      <c r="CF3887" s="23"/>
      <c r="CG3887" s="23"/>
      <c r="CH3887" s="23"/>
      <c r="CI3887" s="23"/>
    </row>
    <row r="3888" spans="1:87" x14ac:dyDescent="0.3">
      <c r="A3888" s="9" t="s">
        <v>26252</v>
      </c>
      <c r="B3888" s="10" t="s">
        <v>26253</v>
      </c>
      <c r="C3888" s="11">
        <v>46031.6875</v>
      </c>
      <c r="D3888" s="12">
        <v>3.4722222222222224E-2</v>
      </c>
      <c r="E3888" s="11">
        <v>46031.722222222219</v>
      </c>
      <c r="F3888" s="22" t="s">
        <v>24700</v>
      </c>
      <c r="G3888" s="13" t="b">
        <v>0</v>
      </c>
      <c r="H3888" s="22" t="s">
        <v>21384</v>
      </c>
      <c r="I3888" s="10" t="s">
        <v>9131</v>
      </c>
      <c r="J3888" s="13" t="b">
        <v>0</v>
      </c>
      <c r="K3888" s="13" t="b">
        <v>1</v>
      </c>
      <c r="L3888" s="10" t="s">
        <v>358</v>
      </c>
      <c r="M3888" s="10" t="s">
        <v>91</v>
      </c>
      <c r="N3888" s="10" t="s">
        <v>92</v>
      </c>
      <c r="O3888" s="19" t="s">
        <v>26254</v>
      </c>
      <c r="P3888" s="10"/>
      <c r="Q3888" s="10" t="s">
        <v>126</v>
      </c>
      <c r="R3888" s="10"/>
      <c r="S3888" s="19" t="s">
        <v>24729</v>
      </c>
      <c r="T3888" s="10"/>
      <c r="U3888" s="10"/>
      <c r="V3888" s="10"/>
      <c r="W3888" s="10" t="s">
        <v>24703</v>
      </c>
      <c r="X3888" s="10" t="s">
        <v>216</v>
      </c>
      <c r="Y3888" s="10" t="s">
        <v>216</v>
      </c>
      <c r="Z3888" s="10" t="s">
        <v>99</v>
      </c>
      <c r="AA3888" s="10" t="s">
        <v>131</v>
      </c>
      <c r="AB3888" s="10" t="s">
        <v>24704</v>
      </c>
      <c r="AC3888" s="10" t="s">
        <v>21389</v>
      </c>
      <c r="AD3888" s="10" t="s">
        <v>165</v>
      </c>
      <c r="AE3888" s="10" t="s">
        <v>26255</v>
      </c>
      <c r="AF3888" s="15"/>
      <c r="AG3888" s="10"/>
      <c r="AH3888" s="10"/>
      <c r="AI3888" s="10"/>
      <c r="AJ3888" s="10"/>
      <c r="AK3888" s="10" t="s">
        <v>102</v>
      </c>
      <c r="AL3888" s="10"/>
      <c r="AM3888" s="10"/>
      <c r="AN3888" s="10"/>
      <c r="AO3888" s="13" t="b">
        <v>0</v>
      </c>
      <c r="AP3888" s="22" t="s">
        <v>221</v>
      </c>
      <c r="AQ3888" s="10">
        <f ca="1">IFERROR(__xludf.DUMMYFUNCTION("""COMPUTED_VALUE"""),4833798)</f>
        <v>4833798</v>
      </c>
      <c r="AR3888" s="17">
        <v>21527</v>
      </c>
      <c r="AS3888" s="17">
        <v>11503</v>
      </c>
      <c r="AT3888" s="17">
        <v>162116.25</v>
      </c>
      <c r="AU3888" s="17">
        <v>36.799999999999997</v>
      </c>
      <c r="AV3888" s="17">
        <v>16.600000000000001</v>
      </c>
      <c r="AW3888" s="10" t="s">
        <v>105</v>
      </c>
      <c r="AX3888" s="17">
        <v>4458</v>
      </c>
      <c r="AY3888" s="18">
        <v>14.093388681213597</v>
      </c>
      <c r="AZ3888" s="10"/>
      <c r="BA3888" s="20" t="b">
        <v>0</v>
      </c>
      <c r="BB3888" s="10" t="s">
        <v>24727</v>
      </c>
      <c r="BC3888" s="17">
        <v>21527</v>
      </c>
      <c r="BD3888" s="17">
        <v>11503</v>
      </c>
      <c r="BE3888" s="17">
        <v>162116.25</v>
      </c>
      <c r="BF3888" s="17">
        <v>16.600000000000001</v>
      </c>
      <c r="BG3888" s="11">
        <f ca="1">IFERROR(__xludf.DUMMYFUNCTION("""COMPUTED_VALUE"""),46031.6875)</f>
        <v>46031.6875</v>
      </c>
      <c r="BH3888" s="17" t="s">
        <v>105</v>
      </c>
      <c r="BI3888" s="17"/>
      <c r="BJ3888" s="15"/>
      <c r="BK3888" s="15"/>
      <c r="BL3888" s="13" t="b">
        <v>0</v>
      </c>
      <c r="BM3888" s="10"/>
      <c r="BN3888" s="10" t="s">
        <v>157</v>
      </c>
      <c r="BO3888" s="11">
        <v>46030.797222222223</v>
      </c>
      <c r="BP3888" s="11">
        <v>46030.797592592593</v>
      </c>
      <c r="BQ3888" s="15"/>
      <c r="BR3888" s="15">
        <v>46030.858020833337</v>
      </c>
      <c r="BS3888" s="10" t="s">
        <v>157</v>
      </c>
      <c r="BT3888" s="10"/>
      <c r="BU3888" s="10"/>
      <c r="BV3888" s="10"/>
      <c r="BW3888" s="10"/>
      <c r="BX3888" s="10"/>
      <c r="BY3888" s="23"/>
      <c r="BZ3888" s="23"/>
      <c r="CA3888" s="19" t="s">
        <v>24732</v>
      </c>
      <c r="CB3888" s="23"/>
      <c r="CC3888" s="23"/>
      <c r="CD3888" s="19" t="s">
        <v>24733</v>
      </c>
      <c r="CE3888" s="23"/>
      <c r="CF3888" s="23"/>
      <c r="CG3888" s="23"/>
      <c r="CH3888" s="23"/>
      <c r="CI3888" s="23"/>
    </row>
    <row r="3889" spans="1:87" x14ac:dyDescent="0.3">
      <c r="A3889" s="9" t="s">
        <v>26256</v>
      </c>
      <c r="B3889" s="10" t="s">
        <v>26257</v>
      </c>
      <c r="C3889" s="11">
        <v>46031.722222222219</v>
      </c>
      <c r="D3889" s="12">
        <v>3.4722222222222224E-2</v>
      </c>
      <c r="E3889" s="11">
        <v>46031.756944444445</v>
      </c>
      <c r="F3889" s="22" t="s">
        <v>24700</v>
      </c>
      <c r="G3889" s="13" t="b">
        <v>0</v>
      </c>
      <c r="H3889" s="22" t="s">
        <v>21384</v>
      </c>
      <c r="I3889" s="10" t="s">
        <v>9131</v>
      </c>
      <c r="J3889" s="13" t="b">
        <v>0</v>
      </c>
      <c r="K3889" s="13" t="b">
        <v>1</v>
      </c>
      <c r="L3889" s="10" t="s">
        <v>124</v>
      </c>
      <c r="M3889" s="10" t="s">
        <v>91</v>
      </c>
      <c r="N3889" s="10" t="s">
        <v>92</v>
      </c>
      <c r="O3889" s="19" t="s">
        <v>26258</v>
      </c>
      <c r="P3889" s="10"/>
      <c r="Q3889" s="10" t="s">
        <v>126</v>
      </c>
      <c r="R3889" s="10"/>
      <c r="S3889" s="19" t="s">
        <v>24729</v>
      </c>
      <c r="T3889" s="10"/>
      <c r="U3889" s="10"/>
      <c r="V3889" s="10"/>
      <c r="W3889" s="10" t="s">
        <v>24703</v>
      </c>
      <c r="X3889" s="10" t="s">
        <v>216</v>
      </c>
      <c r="Y3889" s="10" t="s">
        <v>216</v>
      </c>
      <c r="Z3889" s="10" t="s">
        <v>99</v>
      </c>
      <c r="AA3889" s="10" t="s">
        <v>131</v>
      </c>
      <c r="AB3889" s="10" t="s">
        <v>24704</v>
      </c>
      <c r="AC3889" s="10" t="s">
        <v>21389</v>
      </c>
      <c r="AD3889" s="10" t="s">
        <v>165</v>
      </c>
      <c r="AE3889" s="10" t="s">
        <v>26259</v>
      </c>
      <c r="AF3889" s="15"/>
      <c r="AG3889" s="10"/>
      <c r="AH3889" s="10"/>
      <c r="AI3889" s="10"/>
      <c r="AJ3889" s="10"/>
      <c r="AK3889" s="10" t="s">
        <v>102</v>
      </c>
      <c r="AL3889" s="10"/>
      <c r="AM3889" s="10"/>
      <c r="AN3889" s="10"/>
      <c r="AO3889" s="13" t="b">
        <v>0</v>
      </c>
      <c r="AP3889" s="22" t="s">
        <v>104</v>
      </c>
      <c r="AQ3889" s="10">
        <f ca="1">IFERROR(__xludf.DUMMYFUNCTION("""COMPUTED_VALUE"""),4833799)</f>
        <v>4833799</v>
      </c>
      <c r="AR3889" s="17"/>
      <c r="AS3889" s="17"/>
      <c r="AT3889" s="17"/>
      <c r="AU3889" s="17"/>
      <c r="AV3889" s="17"/>
      <c r="AW3889" s="10"/>
      <c r="AX3889" s="17"/>
      <c r="AY3889" s="18" t="s">
        <v>257</v>
      </c>
      <c r="AZ3889" s="10"/>
      <c r="BA3889" s="20" t="b">
        <v>0</v>
      </c>
      <c r="BB3889" s="10" t="s">
        <v>24727</v>
      </c>
      <c r="BC3889" s="17" t="s">
        <v>257</v>
      </c>
      <c r="BD3889" s="17" t="s">
        <v>257</v>
      </c>
      <c r="BE3889" s="17" t="s">
        <v>257</v>
      </c>
      <c r="BF3889" s="17" t="s">
        <v>257</v>
      </c>
      <c r="BG3889" s="11">
        <f ca="1">IFERROR(__xludf.DUMMYFUNCTION("""COMPUTED_VALUE"""),46031.7222222222)</f>
        <v>46031.722222222197</v>
      </c>
      <c r="BH3889" s="17"/>
      <c r="BI3889" s="17"/>
      <c r="BJ3889" s="15"/>
      <c r="BK3889" s="15"/>
      <c r="BL3889" s="13" t="b">
        <v>0</v>
      </c>
      <c r="BM3889" s="10" t="s">
        <v>240</v>
      </c>
      <c r="BN3889" s="10" t="s">
        <v>18577</v>
      </c>
      <c r="BO3889" s="11">
        <v>46030.797222222223</v>
      </c>
      <c r="BP3889" s="11">
        <v>46030.873368055552</v>
      </c>
      <c r="BQ3889" s="15"/>
      <c r="BR3889" s="15">
        <v>46030.858217592591</v>
      </c>
      <c r="BS3889" s="10" t="s">
        <v>18577</v>
      </c>
      <c r="BT3889" s="10"/>
      <c r="BU3889" s="10"/>
      <c r="BV3889" s="10"/>
      <c r="BW3889" s="10"/>
      <c r="BX3889" s="10"/>
      <c r="BY3889" s="23"/>
      <c r="BZ3889" s="23"/>
      <c r="CA3889" s="19" t="s">
        <v>24732</v>
      </c>
      <c r="CB3889" s="23"/>
      <c r="CC3889" s="23"/>
      <c r="CD3889" s="19" t="s">
        <v>24733</v>
      </c>
      <c r="CE3889" s="23"/>
      <c r="CF3889" s="23"/>
      <c r="CG3889" s="23"/>
      <c r="CH3889" s="23"/>
      <c r="CI3889" s="23"/>
    </row>
    <row r="3890" spans="1:87" x14ac:dyDescent="0.3">
      <c r="A3890" s="9" t="s">
        <v>26260</v>
      </c>
      <c r="B3890" s="10" t="s">
        <v>26261</v>
      </c>
      <c r="C3890" s="11">
        <v>46031.756944444445</v>
      </c>
      <c r="D3890" s="12">
        <v>3.4722222222222224E-2</v>
      </c>
      <c r="E3890" s="11">
        <v>46031.791666666664</v>
      </c>
      <c r="F3890" s="22" t="s">
        <v>24700</v>
      </c>
      <c r="G3890" s="13" t="b">
        <v>0</v>
      </c>
      <c r="H3890" s="22" t="s">
        <v>21384</v>
      </c>
      <c r="I3890" s="10" t="s">
        <v>9131</v>
      </c>
      <c r="J3890" s="13" t="b">
        <v>0</v>
      </c>
      <c r="K3890" s="13" t="b">
        <v>1</v>
      </c>
      <c r="L3890" s="10" t="s">
        <v>358</v>
      </c>
      <c r="M3890" s="10" t="s">
        <v>91</v>
      </c>
      <c r="N3890" s="10" t="s">
        <v>92</v>
      </c>
      <c r="O3890" s="19" t="s">
        <v>26262</v>
      </c>
      <c r="P3890" s="10"/>
      <c r="Q3890" s="10" t="s">
        <v>126</v>
      </c>
      <c r="R3890" s="10"/>
      <c r="S3890" s="19" t="s">
        <v>24729</v>
      </c>
      <c r="T3890" s="10"/>
      <c r="U3890" s="10"/>
      <c r="V3890" s="10"/>
      <c r="W3890" s="10" t="s">
        <v>24703</v>
      </c>
      <c r="X3890" s="10" t="s">
        <v>216</v>
      </c>
      <c r="Y3890" s="10" t="s">
        <v>216</v>
      </c>
      <c r="Z3890" s="10" t="s">
        <v>99</v>
      </c>
      <c r="AA3890" s="10" t="s">
        <v>131</v>
      </c>
      <c r="AB3890" s="10" t="s">
        <v>24704</v>
      </c>
      <c r="AC3890" s="10" t="s">
        <v>21389</v>
      </c>
      <c r="AD3890" s="10" t="s">
        <v>165</v>
      </c>
      <c r="AE3890" s="10" t="s">
        <v>26263</v>
      </c>
      <c r="AF3890" s="15"/>
      <c r="AG3890" s="10"/>
      <c r="AH3890" s="10"/>
      <c r="AI3890" s="10"/>
      <c r="AJ3890" s="10"/>
      <c r="AK3890" s="10" t="s">
        <v>102</v>
      </c>
      <c r="AL3890" s="10"/>
      <c r="AM3890" s="10"/>
      <c r="AN3890" s="10"/>
      <c r="AO3890" s="13" t="b">
        <v>0</v>
      </c>
      <c r="AP3890" s="22" t="s">
        <v>104</v>
      </c>
      <c r="AQ3890" s="10">
        <f ca="1">IFERROR(__xludf.DUMMYFUNCTION("""COMPUTED_VALUE"""),4833862)</f>
        <v>4833862</v>
      </c>
      <c r="AR3890" s="17">
        <v>26984</v>
      </c>
      <c r="AS3890" s="17">
        <v>17117</v>
      </c>
      <c r="AT3890" s="17">
        <v>532938.25</v>
      </c>
      <c r="AU3890" s="17">
        <v>215.5</v>
      </c>
      <c r="AV3890" s="17">
        <v>79.5</v>
      </c>
      <c r="AW3890" s="10" t="s">
        <v>105</v>
      </c>
      <c r="AX3890" s="17">
        <v>13619</v>
      </c>
      <c r="AY3890" s="18">
        <v>31.135026581760822</v>
      </c>
      <c r="AZ3890" s="10"/>
      <c r="BA3890" s="20" t="b">
        <v>0</v>
      </c>
      <c r="BB3890" s="10" t="s">
        <v>24727</v>
      </c>
      <c r="BC3890" s="17">
        <v>26984</v>
      </c>
      <c r="BD3890" s="17">
        <v>17117</v>
      </c>
      <c r="BE3890" s="17">
        <v>532938.25</v>
      </c>
      <c r="BF3890" s="17">
        <v>79.5</v>
      </c>
      <c r="BG3890" s="11">
        <f ca="1">IFERROR(__xludf.DUMMYFUNCTION("""COMPUTED_VALUE"""),46031.7569444444)</f>
        <v>46031.756944444402</v>
      </c>
      <c r="BH3890" s="17" t="s">
        <v>105</v>
      </c>
      <c r="BI3890" s="17"/>
      <c r="BJ3890" s="15"/>
      <c r="BK3890" s="15"/>
      <c r="BL3890" s="13" t="b">
        <v>0</v>
      </c>
      <c r="BM3890" s="10"/>
      <c r="BN3890" s="10" t="s">
        <v>19455</v>
      </c>
      <c r="BO3890" s="11">
        <v>46030.797222222223</v>
      </c>
      <c r="BP3890" s="11">
        <v>46030.894548611112</v>
      </c>
      <c r="BQ3890" s="15"/>
      <c r="BR3890" s="15">
        <v>46031.193101851852</v>
      </c>
      <c r="BS3890" s="10" t="s">
        <v>19455</v>
      </c>
      <c r="BT3890" s="10"/>
      <c r="BU3890" s="10"/>
      <c r="BV3890" s="10"/>
      <c r="BW3890" s="10"/>
      <c r="BX3890" s="10"/>
      <c r="BY3890" s="23"/>
      <c r="BZ3890" s="23"/>
      <c r="CA3890" s="19" t="s">
        <v>24732</v>
      </c>
      <c r="CB3890" s="23"/>
      <c r="CC3890" s="23"/>
      <c r="CD3890" s="19" t="s">
        <v>24733</v>
      </c>
      <c r="CE3890" s="23"/>
      <c r="CF3890" s="23"/>
      <c r="CG3890" s="23"/>
      <c r="CH3890" s="23"/>
      <c r="CI3890" s="23"/>
    </row>
    <row r="3891" spans="1:87" x14ac:dyDescent="0.3">
      <c r="A3891" s="9" t="s">
        <v>26264</v>
      </c>
      <c r="B3891" s="10" t="s">
        <v>26265</v>
      </c>
      <c r="C3891" s="11">
        <v>46031.791666666664</v>
      </c>
      <c r="D3891" s="12">
        <v>3.4722222222222224E-2</v>
      </c>
      <c r="E3891" s="11">
        <v>46031.826388888891</v>
      </c>
      <c r="F3891" s="22" t="s">
        <v>24700</v>
      </c>
      <c r="G3891" s="13" t="b">
        <v>0</v>
      </c>
      <c r="H3891" s="22" t="s">
        <v>21384</v>
      </c>
      <c r="I3891" s="10" t="s">
        <v>9131</v>
      </c>
      <c r="J3891" s="13" t="b">
        <v>0</v>
      </c>
      <c r="K3891" s="13" t="b">
        <v>1</v>
      </c>
      <c r="L3891" s="10" t="s">
        <v>124</v>
      </c>
      <c r="M3891" s="10" t="s">
        <v>91</v>
      </c>
      <c r="N3891" s="10" t="s">
        <v>92</v>
      </c>
      <c r="O3891" s="19" t="s">
        <v>26266</v>
      </c>
      <c r="P3891" s="10"/>
      <c r="Q3891" s="10" t="s">
        <v>126</v>
      </c>
      <c r="R3891" s="10"/>
      <c r="S3891" s="19" t="s">
        <v>24729</v>
      </c>
      <c r="T3891" s="10"/>
      <c r="U3891" s="10"/>
      <c r="V3891" s="10"/>
      <c r="W3891" s="10" t="s">
        <v>24703</v>
      </c>
      <c r="X3891" s="10" t="s">
        <v>216</v>
      </c>
      <c r="Y3891" s="10" t="s">
        <v>216</v>
      </c>
      <c r="Z3891" s="10" t="s">
        <v>99</v>
      </c>
      <c r="AA3891" s="10" t="s">
        <v>131</v>
      </c>
      <c r="AB3891" s="10" t="s">
        <v>24704</v>
      </c>
      <c r="AC3891" s="10" t="s">
        <v>21389</v>
      </c>
      <c r="AD3891" s="10" t="s">
        <v>165</v>
      </c>
      <c r="AE3891" s="10" t="s">
        <v>26267</v>
      </c>
      <c r="AF3891" s="15"/>
      <c r="AG3891" s="10"/>
      <c r="AH3891" s="10"/>
      <c r="AI3891" s="10"/>
      <c r="AJ3891" s="10"/>
      <c r="AK3891" s="10" t="s">
        <v>102</v>
      </c>
      <c r="AL3891" s="10"/>
      <c r="AM3891" s="10"/>
      <c r="AN3891" s="10"/>
      <c r="AO3891" s="13" t="b">
        <v>0</v>
      </c>
      <c r="AP3891" s="22" t="s">
        <v>104</v>
      </c>
      <c r="AQ3891" s="10">
        <f ca="1">IFERROR(__xludf.DUMMYFUNCTION("""COMPUTED_VALUE"""),4833863)</f>
        <v>4833863</v>
      </c>
      <c r="AR3891" s="17">
        <v>34456</v>
      </c>
      <c r="AS3891" s="17">
        <v>25400</v>
      </c>
      <c r="AT3891" s="17">
        <v>351654.5</v>
      </c>
      <c r="AU3891" s="17">
        <v>266.45</v>
      </c>
      <c r="AV3891" s="17">
        <v>91.7</v>
      </c>
      <c r="AW3891" s="10" t="s">
        <v>105</v>
      </c>
      <c r="AX3891" s="17">
        <v>22100</v>
      </c>
      <c r="AY3891" s="18">
        <v>13.844665354330708</v>
      </c>
      <c r="AZ3891" s="10"/>
      <c r="BA3891" s="20" t="b">
        <v>0</v>
      </c>
      <c r="BB3891" s="10" t="s">
        <v>24727</v>
      </c>
      <c r="BC3891" s="17">
        <v>34456</v>
      </c>
      <c r="BD3891" s="17">
        <v>25400</v>
      </c>
      <c r="BE3891" s="17">
        <v>351654.5</v>
      </c>
      <c r="BF3891" s="17">
        <v>91.7</v>
      </c>
      <c r="BG3891" s="11">
        <f ca="1">IFERROR(__xludf.DUMMYFUNCTION("""COMPUTED_VALUE"""),46031.7916666666)</f>
        <v>46031.791666666599</v>
      </c>
      <c r="BH3891" s="17" t="s">
        <v>105</v>
      </c>
      <c r="BI3891" s="17"/>
      <c r="BJ3891" s="15"/>
      <c r="BK3891" s="15"/>
      <c r="BL3891" s="13" t="b">
        <v>0</v>
      </c>
      <c r="BM3891" s="10"/>
      <c r="BN3891" s="10" t="s">
        <v>19455</v>
      </c>
      <c r="BO3891" s="11">
        <v>46030.79791666667</v>
      </c>
      <c r="BP3891" s="11">
        <v>46030.864039351851</v>
      </c>
      <c r="BQ3891" s="15"/>
      <c r="BR3891" s="15">
        <v>46031.19332175926</v>
      </c>
      <c r="BS3891" s="10" t="s">
        <v>19455</v>
      </c>
      <c r="BT3891" s="10" t="s">
        <v>99</v>
      </c>
      <c r="BU3891" s="10"/>
      <c r="BV3891" s="10"/>
      <c r="BW3891" s="10"/>
      <c r="BX3891" s="10"/>
      <c r="BY3891" s="23"/>
      <c r="BZ3891" s="23"/>
      <c r="CA3891" s="19" t="s">
        <v>24732</v>
      </c>
      <c r="CB3891" s="23"/>
      <c r="CC3891" s="23"/>
      <c r="CD3891" s="19" t="s">
        <v>24733</v>
      </c>
      <c r="CE3891" s="23"/>
      <c r="CF3891" s="23"/>
      <c r="CG3891" s="23"/>
      <c r="CH3891" s="23"/>
      <c r="CI3891" s="23"/>
    </row>
    <row r="3892" spans="1:87" x14ac:dyDescent="0.3">
      <c r="A3892" s="9" t="s">
        <v>26268</v>
      </c>
      <c r="B3892" s="10" t="s">
        <v>26269</v>
      </c>
      <c r="C3892" s="11">
        <v>46045.770833333336</v>
      </c>
      <c r="D3892" s="12">
        <v>2.0833333333333332E-2</v>
      </c>
      <c r="E3892" s="11">
        <v>46045.791666666664</v>
      </c>
      <c r="F3892" s="22" t="s">
        <v>3511</v>
      </c>
      <c r="G3892" s="13" t="b">
        <v>0</v>
      </c>
      <c r="H3892" s="22" t="s">
        <v>3512</v>
      </c>
      <c r="I3892" s="10" t="s">
        <v>212</v>
      </c>
      <c r="J3892" s="13" t="b">
        <v>1</v>
      </c>
      <c r="K3892" s="13" t="b">
        <v>0</v>
      </c>
      <c r="L3892" s="10" t="s">
        <v>124</v>
      </c>
      <c r="M3892" s="10" t="s">
        <v>91</v>
      </c>
      <c r="N3892" s="10" t="s">
        <v>92</v>
      </c>
      <c r="O3892" s="10"/>
      <c r="P3892" s="10"/>
      <c r="Q3892" s="10" t="s">
        <v>94</v>
      </c>
      <c r="R3892" s="10"/>
      <c r="S3892" s="10"/>
      <c r="T3892" s="10"/>
      <c r="U3892" s="10"/>
      <c r="V3892" s="10"/>
      <c r="W3892" s="10" t="s">
        <v>3519</v>
      </c>
      <c r="X3892" s="10" t="s">
        <v>130</v>
      </c>
      <c r="Y3892" s="10" t="s">
        <v>130</v>
      </c>
      <c r="Z3892" s="10" t="s">
        <v>99</v>
      </c>
      <c r="AA3892" s="10" t="s">
        <v>131</v>
      </c>
      <c r="AB3892" s="10" t="s">
        <v>3520</v>
      </c>
      <c r="AC3892" s="10" t="s">
        <v>3521</v>
      </c>
      <c r="AD3892" s="10" t="s">
        <v>165</v>
      </c>
      <c r="AE3892" s="10" t="s">
        <v>26270</v>
      </c>
      <c r="AF3892" s="15"/>
      <c r="AG3892" s="10"/>
      <c r="AH3892" s="10"/>
      <c r="AI3892" s="10"/>
      <c r="AJ3892" s="10"/>
      <c r="AK3892" s="10"/>
      <c r="AL3892" s="10"/>
      <c r="AM3892" s="10"/>
      <c r="AN3892" s="10"/>
      <c r="AO3892" s="13" t="b">
        <v>0</v>
      </c>
      <c r="AP3892" s="22" t="s">
        <v>104</v>
      </c>
      <c r="AQ3892" s="10"/>
      <c r="AR3892" s="17"/>
      <c r="AS3892" s="17"/>
      <c r="AT3892" s="17"/>
      <c r="AU3892" s="17"/>
      <c r="AV3892" s="17"/>
      <c r="AW3892" s="10"/>
      <c r="AX3892" s="17"/>
      <c r="AY3892" s="18" t="s">
        <v>257</v>
      </c>
      <c r="AZ3892" s="10"/>
      <c r="BA3892" s="20" t="b">
        <v>0</v>
      </c>
      <c r="BB3892" s="10"/>
      <c r="BC3892" s="17" t="s">
        <v>257</v>
      </c>
      <c r="BD3892" s="17" t="s">
        <v>257</v>
      </c>
      <c r="BE3892" s="17" t="s">
        <v>257</v>
      </c>
      <c r="BF3892" s="17" t="s">
        <v>257</v>
      </c>
      <c r="BG3892" s="11">
        <f ca="1">IFERROR(__xludf.DUMMYFUNCTION("""COMPUTED_VALUE"""),46045.7708333333)</f>
        <v>46045.770833333299</v>
      </c>
      <c r="BH3892" s="17"/>
      <c r="BI3892" s="17"/>
      <c r="BJ3892" s="15"/>
      <c r="BK3892" s="15"/>
      <c r="BL3892" s="13" t="b">
        <v>0</v>
      </c>
      <c r="BM3892" s="10"/>
      <c r="BN3892" s="10" t="s">
        <v>18577</v>
      </c>
      <c r="BO3892" s="11">
        <v>46030.887499999997</v>
      </c>
      <c r="BP3892" s="11">
        <v>46030.888402777775</v>
      </c>
      <c r="BQ3892" s="15"/>
      <c r="BR3892" s="15"/>
      <c r="BS3892" s="10"/>
      <c r="BT3892" s="10"/>
      <c r="BU3892" s="10"/>
      <c r="BV3892" s="10"/>
      <c r="BW3892" s="10"/>
      <c r="BX3892" s="10"/>
      <c r="BY3892" s="23"/>
      <c r="BZ3892" s="23"/>
      <c r="CA3892" s="10"/>
      <c r="CB3892" s="23"/>
      <c r="CC3892" s="23"/>
      <c r="CD3892" s="23"/>
      <c r="CE3892" s="23"/>
      <c r="CF3892" s="23"/>
      <c r="CG3892" s="23"/>
      <c r="CH3892" s="23"/>
      <c r="CI3892" s="23"/>
    </row>
    <row r="3893" spans="1:87" x14ac:dyDescent="0.3">
      <c r="A3893" s="9" t="s">
        <v>26271</v>
      </c>
      <c r="B3893" s="10" t="s">
        <v>26272</v>
      </c>
      <c r="C3893" s="11">
        <v>46053.625</v>
      </c>
      <c r="D3893" s="12">
        <v>2.0833333333333332E-2</v>
      </c>
      <c r="E3893" s="11">
        <v>46053.645833333336</v>
      </c>
      <c r="F3893" s="22" t="s">
        <v>3511</v>
      </c>
      <c r="G3893" s="13" t="b">
        <v>0</v>
      </c>
      <c r="H3893" s="22" t="s">
        <v>3512</v>
      </c>
      <c r="I3893" s="10" t="s">
        <v>212</v>
      </c>
      <c r="J3893" s="13" t="b">
        <v>1</v>
      </c>
      <c r="K3893" s="13" t="b">
        <v>0</v>
      </c>
      <c r="L3893" s="10" t="s">
        <v>124</v>
      </c>
      <c r="M3893" s="10" t="s">
        <v>91</v>
      </c>
      <c r="N3893" s="10" t="s">
        <v>92</v>
      </c>
      <c r="O3893" s="10"/>
      <c r="P3893" s="10"/>
      <c r="Q3893" s="10" t="s">
        <v>94</v>
      </c>
      <c r="R3893" s="10"/>
      <c r="S3893" s="10"/>
      <c r="T3893" s="10"/>
      <c r="U3893" s="10"/>
      <c r="V3893" s="10"/>
      <c r="W3893" s="10" t="s">
        <v>3519</v>
      </c>
      <c r="X3893" s="10" t="s">
        <v>130</v>
      </c>
      <c r="Y3893" s="10" t="s">
        <v>130</v>
      </c>
      <c r="Z3893" s="10" t="s">
        <v>99</v>
      </c>
      <c r="AA3893" s="10" t="s">
        <v>131</v>
      </c>
      <c r="AB3893" s="10" t="s">
        <v>3520</v>
      </c>
      <c r="AC3893" s="10" t="s">
        <v>3521</v>
      </c>
      <c r="AD3893" s="10" t="s">
        <v>165</v>
      </c>
      <c r="AE3893" s="10" t="s">
        <v>26273</v>
      </c>
      <c r="AF3893" s="15"/>
      <c r="AG3893" s="10"/>
      <c r="AH3893" s="10"/>
      <c r="AI3893" s="10"/>
      <c r="AJ3893" s="10"/>
      <c r="AK3893" s="10"/>
      <c r="AL3893" s="10"/>
      <c r="AM3893" s="10"/>
      <c r="AN3893" s="10"/>
      <c r="AO3893" s="13" t="b">
        <v>0</v>
      </c>
      <c r="AP3893" s="22" t="s">
        <v>104</v>
      </c>
      <c r="AQ3893" s="10"/>
      <c r="AR3893" s="17"/>
      <c r="AS3893" s="17"/>
      <c r="AT3893" s="17"/>
      <c r="AU3893" s="17"/>
      <c r="AV3893" s="17"/>
      <c r="AW3893" s="10"/>
      <c r="AX3893" s="17"/>
      <c r="AY3893" s="18" t="s">
        <v>257</v>
      </c>
      <c r="AZ3893" s="10"/>
      <c r="BA3893" s="20" t="b">
        <v>0</v>
      </c>
      <c r="BB3893" s="10"/>
      <c r="BC3893" s="17" t="s">
        <v>257</v>
      </c>
      <c r="BD3893" s="17" t="s">
        <v>257</v>
      </c>
      <c r="BE3893" s="17" t="s">
        <v>257</v>
      </c>
      <c r="BF3893" s="17" t="s">
        <v>257</v>
      </c>
      <c r="BG3893" s="11">
        <f ca="1">IFERROR(__xludf.DUMMYFUNCTION("""COMPUTED_VALUE"""),46053.625)</f>
        <v>46053.625</v>
      </c>
      <c r="BH3893" s="17"/>
      <c r="BI3893" s="17"/>
      <c r="BJ3893" s="15"/>
      <c r="BK3893" s="15"/>
      <c r="BL3893" s="13" t="b">
        <v>0</v>
      </c>
      <c r="BM3893" s="10"/>
      <c r="BN3893" s="10" t="s">
        <v>18577</v>
      </c>
      <c r="BO3893" s="11">
        <v>46030.888888888891</v>
      </c>
      <c r="BP3893" s="11">
        <v>46030.890555555554</v>
      </c>
      <c r="BQ3893" s="15"/>
      <c r="BR3893" s="15"/>
      <c r="BS3893" s="10"/>
      <c r="BT3893" s="10"/>
      <c r="BU3893" s="10"/>
      <c r="BV3893" s="10"/>
      <c r="BW3893" s="10"/>
      <c r="BX3893" s="10"/>
      <c r="BY3893" s="23"/>
      <c r="BZ3893" s="23"/>
      <c r="CA3893" s="10"/>
      <c r="CB3893" s="23"/>
      <c r="CC3893" s="23"/>
      <c r="CD3893" s="23"/>
      <c r="CE3893" s="23"/>
      <c r="CF3893" s="23"/>
      <c r="CG3893" s="23"/>
      <c r="CH3893" s="23"/>
      <c r="CI3893" s="23"/>
    </row>
    <row r="3894" spans="1:87" x14ac:dyDescent="0.3">
      <c r="A3894" s="9" t="s">
        <v>26274</v>
      </c>
      <c r="B3894" s="10" t="s">
        <v>26275</v>
      </c>
      <c r="C3894" s="11">
        <v>46047.770833333336</v>
      </c>
      <c r="D3894" s="12">
        <v>2.0833333333333332E-2</v>
      </c>
      <c r="E3894" s="11">
        <v>46047.791666666664</v>
      </c>
      <c r="F3894" s="22" t="s">
        <v>3511</v>
      </c>
      <c r="G3894" s="13" t="b">
        <v>0</v>
      </c>
      <c r="H3894" s="22" t="s">
        <v>3512</v>
      </c>
      <c r="I3894" s="10" t="s">
        <v>212</v>
      </c>
      <c r="J3894" s="13" t="b">
        <v>1</v>
      </c>
      <c r="K3894" s="13" t="b">
        <v>0</v>
      </c>
      <c r="L3894" s="10" t="s">
        <v>124</v>
      </c>
      <c r="M3894" s="10" t="s">
        <v>91</v>
      </c>
      <c r="N3894" s="10" t="s">
        <v>92</v>
      </c>
      <c r="O3894" s="10"/>
      <c r="P3894" s="10"/>
      <c r="Q3894" s="10" t="s">
        <v>94</v>
      </c>
      <c r="R3894" s="10"/>
      <c r="S3894" s="10"/>
      <c r="T3894" s="10"/>
      <c r="U3894" s="10"/>
      <c r="V3894" s="10"/>
      <c r="W3894" s="10" t="s">
        <v>3519</v>
      </c>
      <c r="X3894" s="10" t="s">
        <v>130</v>
      </c>
      <c r="Y3894" s="10" t="s">
        <v>130</v>
      </c>
      <c r="Z3894" s="10" t="s">
        <v>99</v>
      </c>
      <c r="AA3894" s="10" t="s">
        <v>131</v>
      </c>
      <c r="AB3894" s="10" t="s">
        <v>3520</v>
      </c>
      <c r="AC3894" s="10" t="s">
        <v>3521</v>
      </c>
      <c r="AD3894" s="10" t="s">
        <v>165</v>
      </c>
      <c r="AE3894" s="10" t="s">
        <v>26276</v>
      </c>
      <c r="AF3894" s="15"/>
      <c r="AG3894" s="10"/>
      <c r="AH3894" s="10"/>
      <c r="AI3894" s="10"/>
      <c r="AJ3894" s="10"/>
      <c r="AK3894" s="10"/>
      <c r="AL3894" s="10"/>
      <c r="AM3894" s="10"/>
      <c r="AN3894" s="10"/>
      <c r="AO3894" s="13" t="b">
        <v>0</v>
      </c>
      <c r="AP3894" s="22" t="s">
        <v>104</v>
      </c>
      <c r="AQ3894" s="10"/>
      <c r="AR3894" s="17"/>
      <c r="AS3894" s="17"/>
      <c r="AT3894" s="17"/>
      <c r="AU3894" s="17"/>
      <c r="AV3894" s="17"/>
      <c r="AW3894" s="10"/>
      <c r="AX3894" s="17"/>
      <c r="AY3894" s="18" t="s">
        <v>257</v>
      </c>
      <c r="AZ3894" s="10"/>
      <c r="BA3894" s="20" t="b">
        <v>0</v>
      </c>
      <c r="BB3894" s="10"/>
      <c r="BC3894" s="17" t="s">
        <v>257</v>
      </c>
      <c r="BD3894" s="17" t="s">
        <v>257</v>
      </c>
      <c r="BE3894" s="17" t="s">
        <v>257</v>
      </c>
      <c r="BF3894" s="17" t="s">
        <v>257</v>
      </c>
      <c r="BG3894" s="11">
        <f ca="1">IFERROR(__xludf.DUMMYFUNCTION("""COMPUTED_VALUE"""),46047.7708333333)</f>
        <v>46047.770833333299</v>
      </c>
      <c r="BH3894" s="17"/>
      <c r="BI3894" s="17"/>
      <c r="BJ3894" s="15"/>
      <c r="BK3894" s="15"/>
      <c r="BL3894" s="13" t="b">
        <v>0</v>
      </c>
      <c r="BM3894" s="10"/>
      <c r="BN3894" s="10" t="s">
        <v>18577</v>
      </c>
      <c r="BO3894" s="11">
        <v>46030.900694444441</v>
      </c>
      <c r="BP3894" s="11">
        <v>46030.900879629633</v>
      </c>
      <c r="BQ3894" s="15"/>
      <c r="BR3894" s="15"/>
      <c r="BS3894" s="10"/>
      <c r="BT3894" s="10"/>
      <c r="BU3894" s="10"/>
      <c r="BV3894" s="10"/>
      <c r="BW3894" s="10"/>
      <c r="BX3894" s="10"/>
      <c r="BY3894" s="23"/>
      <c r="BZ3894" s="23"/>
      <c r="CA3894" s="10"/>
      <c r="CB3894" s="23"/>
      <c r="CC3894" s="23"/>
      <c r="CD3894" s="23"/>
      <c r="CE3894" s="23"/>
      <c r="CF3894" s="23"/>
      <c r="CG3894" s="23"/>
      <c r="CH3894" s="23"/>
      <c r="CI3894" s="23"/>
    </row>
    <row r="3895" spans="1:87" x14ac:dyDescent="0.3">
      <c r="A3895" s="9" t="s">
        <v>26277</v>
      </c>
      <c r="B3895" s="10" t="s">
        <v>26278</v>
      </c>
      <c r="C3895" s="11">
        <v>46048.770833333336</v>
      </c>
      <c r="D3895" s="12">
        <v>2.0833333333333332E-2</v>
      </c>
      <c r="E3895" s="11">
        <v>46048.791666666664</v>
      </c>
      <c r="F3895" s="22" t="s">
        <v>3511</v>
      </c>
      <c r="G3895" s="13" t="b">
        <v>0</v>
      </c>
      <c r="H3895" s="22" t="s">
        <v>3512</v>
      </c>
      <c r="I3895" s="10" t="s">
        <v>212</v>
      </c>
      <c r="J3895" s="13" t="b">
        <v>1</v>
      </c>
      <c r="K3895" s="13" t="b">
        <v>0</v>
      </c>
      <c r="L3895" s="10" t="s">
        <v>124</v>
      </c>
      <c r="M3895" s="10" t="s">
        <v>91</v>
      </c>
      <c r="N3895" s="10" t="s">
        <v>92</v>
      </c>
      <c r="O3895" s="10"/>
      <c r="P3895" s="10"/>
      <c r="Q3895" s="10" t="s">
        <v>94</v>
      </c>
      <c r="R3895" s="10"/>
      <c r="S3895" s="10"/>
      <c r="T3895" s="10"/>
      <c r="U3895" s="10"/>
      <c r="V3895" s="10"/>
      <c r="W3895" s="10" t="s">
        <v>3519</v>
      </c>
      <c r="X3895" s="10" t="s">
        <v>130</v>
      </c>
      <c r="Y3895" s="10" t="s">
        <v>130</v>
      </c>
      <c r="Z3895" s="10" t="s">
        <v>99</v>
      </c>
      <c r="AA3895" s="10" t="s">
        <v>131</v>
      </c>
      <c r="AB3895" s="10" t="s">
        <v>3520</v>
      </c>
      <c r="AC3895" s="10" t="s">
        <v>3521</v>
      </c>
      <c r="AD3895" s="10" t="s">
        <v>165</v>
      </c>
      <c r="AE3895" s="10" t="s">
        <v>26279</v>
      </c>
      <c r="AF3895" s="15"/>
      <c r="AG3895" s="10"/>
      <c r="AH3895" s="10"/>
      <c r="AI3895" s="10"/>
      <c r="AJ3895" s="10"/>
      <c r="AK3895" s="10"/>
      <c r="AL3895" s="10"/>
      <c r="AM3895" s="10"/>
      <c r="AN3895" s="10"/>
      <c r="AO3895" s="13" t="b">
        <v>0</v>
      </c>
      <c r="AP3895" s="22" t="s">
        <v>104</v>
      </c>
      <c r="AQ3895" s="10"/>
      <c r="AR3895" s="17"/>
      <c r="AS3895" s="17"/>
      <c r="AT3895" s="17"/>
      <c r="AU3895" s="17"/>
      <c r="AV3895" s="17"/>
      <c r="AW3895" s="10"/>
      <c r="AX3895" s="17"/>
      <c r="AY3895" s="18" t="s">
        <v>257</v>
      </c>
      <c r="AZ3895" s="10"/>
      <c r="BA3895" s="20" t="b">
        <v>0</v>
      </c>
      <c r="BB3895" s="10"/>
      <c r="BC3895" s="17" t="s">
        <v>257</v>
      </c>
      <c r="BD3895" s="17" t="s">
        <v>257</v>
      </c>
      <c r="BE3895" s="17" t="s">
        <v>257</v>
      </c>
      <c r="BF3895" s="17" t="s">
        <v>257</v>
      </c>
      <c r="BG3895" s="11">
        <f ca="1">IFERROR(__xludf.DUMMYFUNCTION("""COMPUTED_VALUE"""),46048.7708333333)</f>
        <v>46048.770833333299</v>
      </c>
      <c r="BH3895" s="17"/>
      <c r="BI3895" s="17"/>
      <c r="BJ3895" s="15"/>
      <c r="BK3895" s="15"/>
      <c r="BL3895" s="13" t="b">
        <v>0</v>
      </c>
      <c r="BM3895" s="10"/>
      <c r="BN3895" s="10" t="s">
        <v>18577</v>
      </c>
      <c r="BO3895" s="11">
        <v>46030.902083333334</v>
      </c>
      <c r="BP3895" s="11">
        <v>46030.90216435185</v>
      </c>
      <c r="BQ3895" s="15"/>
      <c r="BR3895" s="15"/>
      <c r="BS3895" s="10"/>
      <c r="BT3895" s="10"/>
      <c r="BU3895" s="10"/>
      <c r="BV3895" s="10"/>
      <c r="BW3895" s="10"/>
      <c r="BX3895" s="10"/>
      <c r="BY3895" s="23"/>
      <c r="BZ3895" s="23"/>
      <c r="CA3895" s="10"/>
      <c r="CB3895" s="23"/>
      <c r="CC3895" s="23"/>
      <c r="CD3895" s="23"/>
      <c r="CE3895" s="23"/>
      <c r="CF3895" s="23"/>
      <c r="CG3895" s="23"/>
      <c r="CH3895" s="23"/>
      <c r="CI3895" s="23"/>
    </row>
    <row r="3896" spans="1:87" x14ac:dyDescent="0.3">
      <c r="A3896" s="9" t="s">
        <v>26280</v>
      </c>
      <c r="B3896" s="10" t="s">
        <v>26281</v>
      </c>
      <c r="C3896" s="11">
        <v>46052.770833333336</v>
      </c>
      <c r="D3896" s="12">
        <v>2.0833333333333332E-2</v>
      </c>
      <c r="E3896" s="11">
        <v>46052.791666666664</v>
      </c>
      <c r="F3896" s="22" t="s">
        <v>3511</v>
      </c>
      <c r="G3896" s="13" t="b">
        <v>0</v>
      </c>
      <c r="H3896" s="22" t="s">
        <v>3512</v>
      </c>
      <c r="I3896" s="10" t="s">
        <v>212</v>
      </c>
      <c r="J3896" s="13" t="b">
        <v>1</v>
      </c>
      <c r="K3896" s="13" t="b">
        <v>0</v>
      </c>
      <c r="L3896" s="10" t="s">
        <v>124</v>
      </c>
      <c r="M3896" s="10" t="s">
        <v>91</v>
      </c>
      <c r="N3896" s="10" t="s">
        <v>92</v>
      </c>
      <c r="O3896" s="10"/>
      <c r="P3896" s="10"/>
      <c r="Q3896" s="10" t="s">
        <v>94</v>
      </c>
      <c r="R3896" s="10"/>
      <c r="S3896" s="10"/>
      <c r="T3896" s="10"/>
      <c r="U3896" s="10"/>
      <c r="V3896" s="10"/>
      <c r="W3896" s="10" t="s">
        <v>3519</v>
      </c>
      <c r="X3896" s="10" t="s">
        <v>130</v>
      </c>
      <c r="Y3896" s="10" t="s">
        <v>130</v>
      </c>
      <c r="Z3896" s="10" t="s">
        <v>99</v>
      </c>
      <c r="AA3896" s="10" t="s">
        <v>131</v>
      </c>
      <c r="AB3896" s="10" t="s">
        <v>3520</v>
      </c>
      <c r="AC3896" s="10" t="s">
        <v>3521</v>
      </c>
      <c r="AD3896" s="10" t="s">
        <v>165</v>
      </c>
      <c r="AE3896" s="10" t="s">
        <v>26282</v>
      </c>
      <c r="AF3896" s="15"/>
      <c r="AG3896" s="10"/>
      <c r="AH3896" s="10"/>
      <c r="AI3896" s="10"/>
      <c r="AJ3896" s="10"/>
      <c r="AK3896" s="10"/>
      <c r="AL3896" s="10"/>
      <c r="AM3896" s="10"/>
      <c r="AN3896" s="10"/>
      <c r="AO3896" s="13" t="b">
        <v>0</v>
      </c>
      <c r="AP3896" s="22" t="s">
        <v>104</v>
      </c>
      <c r="AQ3896" s="10"/>
      <c r="AR3896" s="17"/>
      <c r="AS3896" s="17"/>
      <c r="AT3896" s="17"/>
      <c r="AU3896" s="17"/>
      <c r="AV3896" s="17"/>
      <c r="AW3896" s="10"/>
      <c r="AX3896" s="17"/>
      <c r="AY3896" s="18" t="s">
        <v>257</v>
      </c>
      <c r="AZ3896" s="10"/>
      <c r="BA3896" s="20" t="b">
        <v>0</v>
      </c>
      <c r="BB3896" s="10"/>
      <c r="BC3896" s="17" t="s">
        <v>257</v>
      </c>
      <c r="BD3896" s="17" t="s">
        <v>257</v>
      </c>
      <c r="BE3896" s="17" t="s">
        <v>257</v>
      </c>
      <c r="BF3896" s="17" t="s">
        <v>257</v>
      </c>
      <c r="BG3896" s="11">
        <f ca="1">IFERROR(__xludf.DUMMYFUNCTION("""COMPUTED_VALUE"""),46052.7708333333)</f>
        <v>46052.770833333299</v>
      </c>
      <c r="BH3896" s="17"/>
      <c r="BI3896" s="17"/>
      <c r="BJ3896" s="15"/>
      <c r="BK3896" s="15"/>
      <c r="BL3896" s="13" t="b">
        <v>0</v>
      </c>
      <c r="BM3896" s="10"/>
      <c r="BN3896" s="10" t="s">
        <v>18577</v>
      </c>
      <c r="BO3896" s="11">
        <v>46030.90347222222</v>
      </c>
      <c r="BP3896" s="11">
        <v>46030.903668981482</v>
      </c>
      <c r="BQ3896" s="15"/>
      <c r="BR3896" s="15"/>
      <c r="BS3896" s="10"/>
      <c r="BT3896" s="10"/>
      <c r="BU3896" s="10"/>
      <c r="BV3896" s="10"/>
      <c r="BW3896" s="10"/>
      <c r="BX3896" s="10"/>
      <c r="BY3896" s="23"/>
      <c r="BZ3896" s="23"/>
      <c r="CA3896" s="10"/>
      <c r="CB3896" s="23"/>
      <c r="CC3896" s="23"/>
      <c r="CD3896" s="23"/>
      <c r="CE3896" s="23"/>
      <c r="CF3896" s="23"/>
      <c r="CG3896" s="23"/>
      <c r="CH3896" s="23"/>
      <c r="CI3896" s="23"/>
    </row>
    <row r="3897" spans="1:87" x14ac:dyDescent="0.3">
      <c r="A3897" s="9" t="s">
        <v>26283</v>
      </c>
      <c r="B3897" s="10" t="s">
        <v>26284</v>
      </c>
      <c r="C3897" s="11">
        <v>46054.770833333336</v>
      </c>
      <c r="D3897" s="12">
        <v>2.0833333333333332E-2</v>
      </c>
      <c r="E3897" s="11">
        <v>46054.791666666664</v>
      </c>
      <c r="F3897" s="22" t="s">
        <v>3511</v>
      </c>
      <c r="G3897" s="13" t="b">
        <v>0</v>
      </c>
      <c r="H3897" s="22" t="s">
        <v>3512</v>
      </c>
      <c r="I3897" s="10" t="s">
        <v>212</v>
      </c>
      <c r="J3897" s="13" t="b">
        <v>1</v>
      </c>
      <c r="K3897" s="13" t="b">
        <v>0</v>
      </c>
      <c r="L3897" s="10" t="s">
        <v>90</v>
      </c>
      <c r="M3897" s="10" t="s">
        <v>91</v>
      </c>
      <c r="N3897" s="10" t="s">
        <v>92</v>
      </c>
      <c r="O3897" s="10"/>
      <c r="P3897" s="10"/>
      <c r="Q3897" s="10" t="s">
        <v>94</v>
      </c>
      <c r="R3897" s="10"/>
      <c r="S3897" s="10"/>
      <c r="T3897" s="10"/>
      <c r="U3897" s="10"/>
      <c r="V3897" s="10"/>
      <c r="W3897" s="10" t="s">
        <v>3519</v>
      </c>
      <c r="X3897" s="10" t="s">
        <v>130</v>
      </c>
      <c r="Y3897" s="10" t="s">
        <v>130</v>
      </c>
      <c r="Z3897" s="10" t="s">
        <v>99</v>
      </c>
      <c r="AA3897" s="10" t="s">
        <v>131</v>
      </c>
      <c r="AB3897" s="10" t="s">
        <v>3520</v>
      </c>
      <c r="AC3897" s="10" t="s">
        <v>3521</v>
      </c>
      <c r="AD3897" s="10" t="s">
        <v>165</v>
      </c>
      <c r="AE3897" s="10" t="s">
        <v>26285</v>
      </c>
      <c r="AF3897" s="15"/>
      <c r="AG3897" s="10"/>
      <c r="AH3897" s="10"/>
      <c r="AI3897" s="10"/>
      <c r="AJ3897" s="10"/>
      <c r="AK3897" s="10"/>
      <c r="AL3897" s="10"/>
      <c r="AM3897" s="10"/>
      <c r="AN3897" s="10"/>
      <c r="AO3897" s="13" t="b">
        <v>0</v>
      </c>
      <c r="AP3897" s="22" t="s">
        <v>104</v>
      </c>
      <c r="AQ3897" s="10"/>
      <c r="AR3897" s="17"/>
      <c r="AS3897" s="17"/>
      <c r="AT3897" s="17"/>
      <c r="AU3897" s="17"/>
      <c r="AV3897" s="17"/>
      <c r="AW3897" s="10"/>
      <c r="AX3897" s="17"/>
      <c r="AY3897" s="18" t="s">
        <v>257</v>
      </c>
      <c r="AZ3897" s="10"/>
      <c r="BA3897" s="20" t="b">
        <v>0</v>
      </c>
      <c r="BB3897" s="10"/>
      <c r="BC3897" s="17" t="s">
        <v>257</v>
      </c>
      <c r="BD3897" s="17" t="s">
        <v>257</v>
      </c>
      <c r="BE3897" s="17" t="s">
        <v>257</v>
      </c>
      <c r="BF3897" s="17" t="s">
        <v>257</v>
      </c>
      <c r="BG3897" s="11">
        <f ca="1">IFERROR(__xludf.DUMMYFUNCTION("""COMPUTED_VALUE"""),46054.7708333333)</f>
        <v>46054.770833333299</v>
      </c>
      <c r="BH3897" s="17"/>
      <c r="BI3897" s="17"/>
      <c r="BJ3897" s="15"/>
      <c r="BK3897" s="15"/>
      <c r="BL3897" s="13" t="b">
        <v>0</v>
      </c>
      <c r="BM3897" s="10"/>
      <c r="BN3897" s="10" t="s">
        <v>18577</v>
      </c>
      <c r="BO3897" s="11">
        <v>46030.904166666667</v>
      </c>
      <c r="BP3897" s="11">
        <v>46030.904236111113</v>
      </c>
      <c r="BQ3897" s="15"/>
      <c r="BR3897" s="15"/>
      <c r="BS3897" s="10"/>
      <c r="BT3897" s="10"/>
      <c r="BU3897" s="10"/>
      <c r="BV3897" s="10"/>
      <c r="BW3897" s="10"/>
      <c r="BX3897" s="10"/>
      <c r="BY3897" s="23"/>
      <c r="BZ3897" s="23"/>
      <c r="CA3897" s="10"/>
      <c r="CB3897" s="23"/>
      <c r="CC3897" s="23"/>
      <c r="CD3897" s="23"/>
      <c r="CE3897" s="23"/>
      <c r="CF3897" s="23"/>
      <c r="CG3897" s="23"/>
      <c r="CH3897" s="23"/>
      <c r="CI3897" s="23"/>
    </row>
    <row r="3898" spans="1:87" x14ac:dyDescent="0.3">
      <c r="A3898" s="9" t="s">
        <v>26286</v>
      </c>
      <c r="B3898" s="10" t="s">
        <v>26287</v>
      </c>
      <c r="C3898" s="11">
        <v>46047.625</v>
      </c>
      <c r="D3898" s="12">
        <v>2.0833333333333332E-2</v>
      </c>
      <c r="E3898" s="11">
        <v>46047.645833333336</v>
      </c>
      <c r="F3898" s="22" t="s">
        <v>3511</v>
      </c>
      <c r="G3898" s="13" t="b">
        <v>0</v>
      </c>
      <c r="H3898" s="22" t="s">
        <v>3512</v>
      </c>
      <c r="I3898" s="10" t="s">
        <v>212</v>
      </c>
      <c r="J3898" s="13" t="b">
        <v>1</v>
      </c>
      <c r="K3898" s="13" t="b">
        <v>0</v>
      </c>
      <c r="L3898" s="10" t="s">
        <v>90</v>
      </c>
      <c r="M3898" s="10" t="s">
        <v>91</v>
      </c>
      <c r="N3898" s="10" t="s">
        <v>92</v>
      </c>
      <c r="O3898" s="10"/>
      <c r="P3898" s="10"/>
      <c r="Q3898" s="10" t="s">
        <v>94</v>
      </c>
      <c r="R3898" s="10"/>
      <c r="S3898" s="10"/>
      <c r="T3898" s="10"/>
      <c r="U3898" s="10"/>
      <c r="V3898" s="10"/>
      <c r="W3898" s="10" t="s">
        <v>3519</v>
      </c>
      <c r="X3898" s="10" t="s">
        <v>130</v>
      </c>
      <c r="Y3898" s="10" t="s">
        <v>130</v>
      </c>
      <c r="Z3898" s="10" t="s">
        <v>99</v>
      </c>
      <c r="AA3898" s="10" t="s">
        <v>131</v>
      </c>
      <c r="AB3898" s="10" t="s">
        <v>3520</v>
      </c>
      <c r="AC3898" s="10" t="s">
        <v>3521</v>
      </c>
      <c r="AD3898" s="10" t="s">
        <v>165</v>
      </c>
      <c r="AE3898" s="10" t="s">
        <v>26288</v>
      </c>
      <c r="AF3898" s="15"/>
      <c r="AG3898" s="10"/>
      <c r="AH3898" s="10"/>
      <c r="AI3898" s="10"/>
      <c r="AJ3898" s="10"/>
      <c r="AK3898" s="10"/>
      <c r="AL3898" s="10"/>
      <c r="AM3898" s="10"/>
      <c r="AN3898" s="10"/>
      <c r="AO3898" s="13" t="b">
        <v>0</v>
      </c>
      <c r="AP3898" s="22" t="s">
        <v>104</v>
      </c>
      <c r="AQ3898" s="10"/>
      <c r="AR3898" s="17"/>
      <c r="AS3898" s="17"/>
      <c r="AT3898" s="17"/>
      <c r="AU3898" s="17"/>
      <c r="AV3898" s="17"/>
      <c r="AW3898" s="10"/>
      <c r="AX3898" s="17"/>
      <c r="AY3898" s="18" t="s">
        <v>257</v>
      </c>
      <c r="AZ3898" s="10"/>
      <c r="BA3898" s="20" t="b">
        <v>0</v>
      </c>
      <c r="BB3898" s="10"/>
      <c r="BC3898" s="17" t="s">
        <v>257</v>
      </c>
      <c r="BD3898" s="17" t="s">
        <v>257</v>
      </c>
      <c r="BE3898" s="17" t="s">
        <v>257</v>
      </c>
      <c r="BF3898" s="17" t="s">
        <v>257</v>
      </c>
      <c r="BG3898" s="11">
        <f ca="1">IFERROR(__xludf.DUMMYFUNCTION("""COMPUTED_VALUE"""),46047.625)</f>
        <v>46047.625</v>
      </c>
      <c r="BH3898" s="17"/>
      <c r="BI3898" s="17"/>
      <c r="BJ3898" s="15"/>
      <c r="BK3898" s="15"/>
      <c r="BL3898" s="13" t="b">
        <v>0</v>
      </c>
      <c r="BM3898" s="10"/>
      <c r="BN3898" s="10" t="s">
        <v>18577</v>
      </c>
      <c r="BO3898" s="11">
        <v>46030.917361111111</v>
      </c>
      <c r="BP3898" s="11">
        <v>46030.91783564815</v>
      </c>
      <c r="BQ3898" s="15"/>
      <c r="BR3898" s="15"/>
      <c r="BS3898" s="10"/>
      <c r="BT3898" s="10"/>
      <c r="BU3898" s="10"/>
      <c r="BV3898" s="10"/>
      <c r="BW3898" s="10"/>
      <c r="BX3898" s="10"/>
      <c r="BY3898" s="23"/>
      <c r="BZ3898" s="23"/>
      <c r="CA3898" s="10"/>
      <c r="CB3898" s="23"/>
      <c r="CC3898" s="23"/>
      <c r="CD3898" s="23"/>
      <c r="CE3898" s="23"/>
      <c r="CF3898" s="23"/>
      <c r="CG3898" s="23"/>
      <c r="CH3898" s="23"/>
      <c r="CI3898" s="23"/>
    </row>
    <row r="3899" spans="1:87" x14ac:dyDescent="0.3">
      <c r="A3899" s="9" t="s">
        <v>26289</v>
      </c>
      <c r="B3899" s="10" t="s">
        <v>26290</v>
      </c>
      <c r="C3899" s="11">
        <v>46033.291666666664</v>
      </c>
      <c r="D3899" s="12">
        <v>0.28472222222222221</v>
      </c>
      <c r="E3899" s="11">
        <v>46033.576388888891</v>
      </c>
      <c r="F3899" s="22" t="s">
        <v>25766</v>
      </c>
      <c r="G3899" s="13" t="b">
        <v>0</v>
      </c>
      <c r="H3899" s="22" t="s">
        <v>25767</v>
      </c>
      <c r="I3899" s="10" t="s">
        <v>212</v>
      </c>
      <c r="J3899" s="13" t="b">
        <v>1</v>
      </c>
      <c r="K3899" s="13" t="b">
        <v>0</v>
      </c>
      <c r="L3899" s="10" t="s">
        <v>124</v>
      </c>
      <c r="M3899" s="10" t="s">
        <v>91</v>
      </c>
      <c r="N3899" s="10" t="s">
        <v>92</v>
      </c>
      <c r="O3899" s="19" t="s">
        <v>26291</v>
      </c>
      <c r="P3899" s="10"/>
      <c r="Q3899" s="10" t="s">
        <v>94</v>
      </c>
      <c r="R3899" s="10"/>
      <c r="S3899" s="19" t="s">
        <v>26292</v>
      </c>
      <c r="T3899" s="10"/>
      <c r="U3899" s="10"/>
      <c r="V3899" s="10"/>
      <c r="W3899" s="10" t="s">
        <v>25770</v>
      </c>
      <c r="X3899" s="10" t="s">
        <v>130</v>
      </c>
      <c r="Y3899" s="10" t="s">
        <v>130</v>
      </c>
      <c r="Z3899" s="10" t="s">
        <v>99</v>
      </c>
      <c r="AA3899" s="10" t="s">
        <v>131</v>
      </c>
      <c r="AB3899" s="10" t="s">
        <v>25771</v>
      </c>
      <c r="AC3899" s="10" t="s">
        <v>25772</v>
      </c>
      <c r="AD3899" s="10" t="s">
        <v>165</v>
      </c>
      <c r="AE3899" s="10" t="s">
        <v>26293</v>
      </c>
      <c r="AF3899" s="15"/>
      <c r="AG3899" s="10"/>
      <c r="AH3899" s="10"/>
      <c r="AI3899" s="10"/>
      <c r="AJ3899" s="10"/>
      <c r="AK3899" s="10" t="s">
        <v>102</v>
      </c>
      <c r="AL3899" s="10" t="s">
        <v>103</v>
      </c>
      <c r="AM3899" s="10"/>
      <c r="AN3899" s="10"/>
      <c r="AO3899" s="13" t="b">
        <v>0</v>
      </c>
      <c r="AP3899" s="22" t="s">
        <v>104</v>
      </c>
      <c r="AQ3899" s="10">
        <f ca="1">IFERROR(__xludf.DUMMYFUNCTION("""COMPUTED_VALUE"""),20283)</f>
        <v>20283</v>
      </c>
      <c r="AR3899" s="17"/>
      <c r="AS3899" s="17"/>
      <c r="AT3899" s="17"/>
      <c r="AU3899" s="17"/>
      <c r="AV3899" s="17"/>
      <c r="AW3899" s="10"/>
      <c r="AX3899" s="17"/>
      <c r="AY3899" s="18" t="s">
        <v>257</v>
      </c>
      <c r="AZ3899" s="10"/>
      <c r="BA3899" s="20" t="b">
        <v>1</v>
      </c>
      <c r="BB3899" s="10"/>
      <c r="BC3899" s="17" t="s">
        <v>257</v>
      </c>
      <c r="BD3899" s="17" t="s">
        <v>257</v>
      </c>
      <c r="BE3899" s="17" t="s">
        <v>257</v>
      </c>
      <c r="BF3899" s="17" t="s">
        <v>257</v>
      </c>
      <c r="BG3899" s="11">
        <f ca="1">IFERROR(__xludf.DUMMYFUNCTION("""COMPUTED_VALUE"""),46033.2916666666)</f>
        <v>46033.291666666599</v>
      </c>
      <c r="BH3899" s="17" t="s">
        <v>105</v>
      </c>
      <c r="BI3899" s="17"/>
      <c r="BJ3899" s="15"/>
      <c r="BK3899" s="15"/>
      <c r="BL3899" s="13" t="b">
        <v>0</v>
      </c>
      <c r="BM3899" s="10"/>
      <c r="BN3899" s="10" t="s">
        <v>351</v>
      </c>
      <c r="BO3899" s="11">
        <v>46031.461111111108</v>
      </c>
      <c r="BP3899" s="11">
        <v>46031.465613425928</v>
      </c>
      <c r="BQ3899" s="15">
        <v>46032.864652777775</v>
      </c>
      <c r="BR3899" s="15">
        <v>46031.66064814815</v>
      </c>
      <c r="BS3899" s="10"/>
      <c r="BT3899" s="10"/>
      <c r="BU3899" s="10"/>
      <c r="BV3899" s="10"/>
      <c r="BW3899" s="10"/>
      <c r="BX3899" s="10"/>
      <c r="BY3899" s="23"/>
      <c r="BZ3899" s="23"/>
      <c r="CA3899" s="19" t="s">
        <v>25774</v>
      </c>
      <c r="CB3899" s="23"/>
      <c r="CC3899" s="23"/>
      <c r="CD3899" s="23"/>
      <c r="CE3899" s="23"/>
      <c r="CF3899" s="23"/>
      <c r="CG3899" s="23"/>
      <c r="CH3899" s="23"/>
      <c r="CI3899" s="23"/>
    </row>
    <row r="3900" spans="1:87" x14ac:dyDescent="0.3">
      <c r="A3900" s="9" t="s">
        <v>26294</v>
      </c>
      <c r="B3900" s="10" t="s">
        <v>26295</v>
      </c>
      <c r="C3900" s="11">
        <v>46033.291666666664</v>
      </c>
      <c r="D3900" s="12">
        <v>4.1666666666666664E-2</v>
      </c>
      <c r="E3900" s="11">
        <v>46033.333333333336</v>
      </c>
      <c r="F3900" s="22" t="s">
        <v>25766</v>
      </c>
      <c r="G3900" s="13" t="b">
        <v>0</v>
      </c>
      <c r="H3900" s="22" t="s">
        <v>25767</v>
      </c>
      <c r="I3900" s="10" t="s">
        <v>212</v>
      </c>
      <c r="J3900" s="13" t="b">
        <v>1</v>
      </c>
      <c r="K3900" s="13" t="b">
        <v>0</v>
      </c>
      <c r="L3900" s="10" t="s">
        <v>124</v>
      </c>
      <c r="M3900" s="10" t="s">
        <v>91</v>
      </c>
      <c r="N3900" s="10" t="s">
        <v>92</v>
      </c>
      <c r="O3900" s="19" t="s">
        <v>26296</v>
      </c>
      <c r="P3900" s="10"/>
      <c r="Q3900" s="10" t="s">
        <v>94</v>
      </c>
      <c r="R3900" s="10"/>
      <c r="S3900" s="10"/>
      <c r="T3900" s="10"/>
      <c r="U3900" s="10"/>
      <c r="V3900" s="10"/>
      <c r="W3900" s="10" t="s">
        <v>25770</v>
      </c>
      <c r="X3900" s="10" t="s">
        <v>130</v>
      </c>
      <c r="Y3900" s="10" t="s">
        <v>130</v>
      </c>
      <c r="Z3900" s="10" t="s">
        <v>99</v>
      </c>
      <c r="AA3900" s="10" t="s">
        <v>131</v>
      </c>
      <c r="AB3900" s="10" t="s">
        <v>25771</v>
      </c>
      <c r="AC3900" s="10" t="s">
        <v>25772</v>
      </c>
      <c r="AD3900" s="10" t="s">
        <v>165</v>
      </c>
      <c r="AE3900" s="10" t="s">
        <v>26297</v>
      </c>
      <c r="AF3900" s="15"/>
      <c r="AG3900" s="10"/>
      <c r="AH3900" s="10"/>
      <c r="AI3900" s="10"/>
      <c r="AJ3900" s="10"/>
      <c r="AK3900" s="10" t="s">
        <v>102</v>
      </c>
      <c r="AL3900" s="10"/>
      <c r="AM3900" s="10"/>
      <c r="AN3900" s="10"/>
      <c r="AO3900" s="13" t="b">
        <v>0</v>
      </c>
      <c r="AP3900" s="22" t="s">
        <v>104</v>
      </c>
      <c r="AQ3900" s="10">
        <f ca="1">IFERROR(__xludf.DUMMYFUNCTION("""COMPUTED_VALUE"""),4834227)</f>
        <v>4834227</v>
      </c>
      <c r="AR3900" s="17"/>
      <c r="AS3900" s="17"/>
      <c r="AT3900" s="17"/>
      <c r="AU3900" s="17"/>
      <c r="AV3900" s="17"/>
      <c r="AW3900" s="10"/>
      <c r="AX3900" s="17"/>
      <c r="AY3900" s="18" t="s">
        <v>257</v>
      </c>
      <c r="AZ3900" s="10"/>
      <c r="BA3900" s="20" t="b">
        <v>0</v>
      </c>
      <c r="BB3900" s="10" t="s">
        <v>26289</v>
      </c>
      <c r="BC3900" s="17" t="s">
        <v>257</v>
      </c>
      <c r="BD3900" s="17" t="s">
        <v>257</v>
      </c>
      <c r="BE3900" s="17" t="s">
        <v>257</v>
      </c>
      <c r="BF3900" s="17" t="s">
        <v>257</v>
      </c>
      <c r="BG3900" s="11">
        <f ca="1">IFERROR(__xludf.DUMMYFUNCTION("""COMPUTED_VALUE"""),46033.2916666666)</f>
        <v>46033.291666666599</v>
      </c>
      <c r="BH3900" s="17"/>
      <c r="BI3900" s="17"/>
      <c r="BJ3900" s="15"/>
      <c r="BK3900" s="15"/>
      <c r="BL3900" s="13" t="b">
        <v>0</v>
      </c>
      <c r="BM3900" s="10"/>
      <c r="BN3900" s="10" t="s">
        <v>149</v>
      </c>
      <c r="BO3900" s="11">
        <v>46031.463194444441</v>
      </c>
      <c r="BP3900" s="11">
        <v>46031.463587962964</v>
      </c>
      <c r="BQ3900" s="15"/>
      <c r="BR3900" s="15">
        <v>46031.671782407408</v>
      </c>
      <c r="BS3900" s="10" t="s">
        <v>149</v>
      </c>
      <c r="BT3900" s="10"/>
      <c r="BU3900" s="10"/>
      <c r="BV3900" s="10"/>
      <c r="BW3900" s="10"/>
      <c r="BX3900" s="10"/>
      <c r="BY3900" s="23"/>
      <c r="BZ3900" s="23"/>
      <c r="CA3900" s="10"/>
      <c r="CB3900" s="23"/>
      <c r="CC3900" s="23"/>
      <c r="CD3900" s="23"/>
      <c r="CE3900" s="23"/>
      <c r="CF3900" s="23"/>
      <c r="CG3900" s="23"/>
      <c r="CH3900" s="23"/>
      <c r="CI3900" s="23"/>
    </row>
    <row r="3901" spans="1:87" x14ac:dyDescent="0.3">
      <c r="A3901" s="9" t="s">
        <v>26298</v>
      </c>
      <c r="B3901" s="10" t="s">
        <v>26299</v>
      </c>
      <c r="C3901" s="11">
        <v>46033.340277777781</v>
      </c>
      <c r="D3901" s="12">
        <v>4.1666666666666664E-2</v>
      </c>
      <c r="E3901" s="11">
        <v>46033.381944444445</v>
      </c>
      <c r="F3901" s="22" t="s">
        <v>25766</v>
      </c>
      <c r="G3901" s="13" t="b">
        <v>0</v>
      </c>
      <c r="H3901" s="22" t="s">
        <v>25767</v>
      </c>
      <c r="I3901" s="10" t="s">
        <v>212</v>
      </c>
      <c r="J3901" s="13" t="b">
        <v>1</v>
      </c>
      <c r="K3901" s="13" t="b">
        <v>0</v>
      </c>
      <c r="L3901" s="10" t="s">
        <v>124</v>
      </c>
      <c r="M3901" s="10" t="s">
        <v>91</v>
      </c>
      <c r="N3901" s="10" t="s">
        <v>92</v>
      </c>
      <c r="O3901" s="19" t="s">
        <v>26300</v>
      </c>
      <c r="P3901" s="10"/>
      <c r="Q3901" s="10" t="s">
        <v>94</v>
      </c>
      <c r="R3901" s="10"/>
      <c r="S3901" s="10"/>
      <c r="T3901" s="10"/>
      <c r="U3901" s="10"/>
      <c r="V3901" s="10"/>
      <c r="W3901" s="10" t="s">
        <v>25770</v>
      </c>
      <c r="X3901" s="10" t="s">
        <v>130</v>
      </c>
      <c r="Y3901" s="10" t="s">
        <v>130</v>
      </c>
      <c r="Z3901" s="10" t="s">
        <v>99</v>
      </c>
      <c r="AA3901" s="10" t="s">
        <v>131</v>
      </c>
      <c r="AB3901" s="10" t="s">
        <v>25771</v>
      </c>
      <c r="AC3901" s="10" t="s">
        <v>25772</v>
      </c>
      <c r="AD3901" s="10" t="s">
        <v>165</v>
      </c>
      <c r="AE3901" s="10" t="s">
        <v>26301</v>
      </c>
      <c r="AF3901" s="15"/>
      <c r="AG3901" s="10"/>
      <c r="AH3901" s="10"/>
      <c r="AI3901" s="10"/>
      <c r="AJ3901" s="10"/>
      <c r="AK3901" s="10" t="s">
        <v>102</v>
      </c>
      <c r="AL3901" s="10"/>
      <c r="AM3901" s="10"/>
      <c r="AN3901" s="10"/>
      <c r="AO3901" s="13" t="b">
        <v>0</v>
      </c>
      <c r="AP3901" s="22" t="s">
        <v>104</v>
      </c>
      <c r="AQ3901" s="10">
        <f ca="1">IFERROR(__xludf.DUMMYFUNCTION("""COMPUTED_VALUE"""),4834233)</f>
        <v>4834233</v>
      </c>
      <c r="AR3901" s="17"/>
      <c r="AS3901" s="17"/>
      <c r="AT3901" s="17"/>
      <c r="AU3901" s="17"/>
      <c r="AV3901" s="17"/>
      <c r="AW3901" s="10"/>
      <c r="AX3901" s="17"/>
      <c r="AY3901" s="18" t="s">
        <v>257</v>
      </c>
      <c r="AZ3901" s="10"/>
      <c r="BA3901" s="20" t="b">
        <v>0</v>
      </c>
      <c r="BB3901" s="10" t="s">
        <v>26289</v>
      </c>
      <c r="BC3901" s="17" t="s">
        <v>257</v>
      </c>
      <c r="BD3901" s="17" t="s">
        <v>257</v>
      </c>
      <c r="BE3901" s="17" t="s">
        <v>257</v>
      </c>
      <c r="BF3901" s="17" t="s">
        <v>257</v>
      </c>
      <c r="BG3901" s="11">
        <f ca="1">IFERROR(__xludf.DUMMYFUNCTION("""COMPUTED_VALUE"""),46033.3402777777)</f>
        <v>46033.340277777701</v>
      </c>
      <c r="BH3901" s="17"/>
      <c r="BI3901" s="17"/>
      <c r="BJ3901" s="15"/>
      <c r="BK3901" s="15"/>
      <c r="BL3901" s="13" t="b">
        <v>0</v>
      </c>
      <c r="BM3901" s="10"/>
      <c r="BN3901" s="10" t="s">
        <v>149</v>
      </c>
      <c r="BO3901" s="11">
        <v>46031.463194444441</v>
      </c>
      <c r="BP3901" s="11">
        <v>46031.463831018518</v>
      </c>
      <c r="BQ3901" s="15"/>
      <c r="BR3901" s="15">
        <v>46031.671909722223</v>
      </c>
      <c r="BS3901" s="10" t="s">
        <v>149</v>
      </c>
      <c r="BT3901" s="10"/>
      <c r="BU3901" s="10"/>
      <c r="BV3901" s="10"/>
      <c r="BW3901" s="10"/>
      <c r="BX3901" s="10"/>
      <c r="BY3901" s="23"/>
      <c r="BZ3901" s="23"/>
      <c r="CA3901" s="10"/>
      <c r="CB3901" s="23"/>
      <c r="CC3901" s="23"/>
      <c r="CD3901" s="23"/>
      <c r="CE3901" s="23"/>
      <c r="CF3901" s="23"/>
      <c r="CG3901" s="23"/>
      <c r="CH3901" s="23"/>
      <c r="CI3901" s="23"/>
    </row>
    <row r="3902" spans="1:87" x14ac:dyDescent="0.3">
      <c r="A3902" s="9" t="s">
        <v>26302</v>
      </c>
      <c r="B3902" s="10" t="s">
        <v>26303</v>
      </c>
      <c r="C3902" s="11">
        <v>46033.388888888891</v>
      </c>
      <c r="D3902" s="12">
        <v>4.1666666666666664E-2</v>
      </c>
      <c r="E3902" s="11">
        <v>46033.430555555555</v>
      </c>
      <c r="F3902" s="22" t="s">
        <v>25766</v>
      </c>
      <c r="G3902" s="13" t="b">
        <v>0</v>
      </c>
      <c r="H3902" s="22" t="s">
        <v>25767</v>
      </c>
      <c r="I3902" s="10" t="s">
        <v>212</v>
      </c>
      <c r="J3902" s="13" t="b">
        <v>1</v>
      </c>
      <c r="K3902" s="13" t="b">
        <v>0</v>
      </c>
      <c r="L3902" s="10" t="s">
        <v>124</v>
      </c>
      <c r="M3902" s="10" t="s">
        <v>91</v>
      </c>
      <c r="N3902" s="10" t="s">
        <v>92</v>
      </c>
      <c r="O3902" s="19" t="s">
        <v>26304</v>
      </c>
      <c r="P3902" s="10"/>
      <c r="Q3902" s="10" t="s">
        <v>94</v>
      </c>
      <c r="R3902" s="10"/>
      <c r="S3902" s="10"/>
      <c r="T3902" s="10"/>
      <c r="U3902" s="10"/>
      <c r="V3902" s="10"/>
      <c r="W3902" s="10" t="s">
        <v>25770</v>
      </c>
      <c r="X3902" s="10" t="s">
        <v>130</v>
      </c>
      <c r="Y3902" s="10" t="s">
        <v>130</v>
      </c>
      <c r="Z3902" s="10" t="s">
        <v>99</v>
      </c>
      <c r="AA3902" s="10" t="s">
        <v>131</v>
      </c>
      <c r="AB3902" s="10" t="s">
        <v>25771</v>
      </c>
      <c r="AC3902" s="10" t="s">
        <v>25772</v>
      </c>
      <c r="AD3902" s="10" t="s">
        <v>165</v>
      </c>
      <c r="AE3902" s="10" t="s">
        <v>26305</v>
      </c>
      <c r="AF3902" s="15"/>
      <c r="AG3902" s="10"/>
      <c r="AH3902" s="10"/>
      <c r="AI3902" s="10"/>
      <c r="AJ3902" s="10"/>
      <c r="AK3902" s="10" t="s">
        <v>102</v>
      </c>
      <c r="AL3902" s="10"/>
      <c r="AM3902" s="10"/>
      <c r="AN3902" s="10"/>
      <c r="AO3902" s="13" t="b">
        <v>0</v>
      </c>
      <c r="AP3902" s="22" t="s">
        <v>104</v>
      </c>
      <c r="AQ3902" s="10">
        <f ca="1">IFERROR(__xludf.DUMMYFUNCTION("""COMPUTED_VALUE"""),4834231)</f>
        <v>4834231</v>
      </c>
      <c r="AR3902" s="17"/>
      <c r="AS3902" s="17"/>
      <c r="AT3902" s="17"/>
      <c r="AU3902" s="17"/>
      <c r="AV3902" s="17"/>
      <c r="AW3902" s="10"/>
      <c r="AX3902" s="17"/>
      <c r="AY3902" s="18" t="s">
        <v>257</v>
      </c>
      <c r="AZ3902" s="10"/>
      <c r="BA3902" s="20" t="b">
        <v>0</v>
      </c>
      <c r="BB3902" s="10" t="s">
        <v>26289</v>
      </c>
      <c r="BC3902" s="17" t="s">
        <v>257</v>
      </c>
      <c r="BD3902" s="17" t="s">
        <v>257</v>
      </c>
      <c r="BE3902" s="17" t="s">
        <v>257</v>
      </c>
      <c r="BF3902" s="17" t="s">
        <v>257</v>
      </c>
      <c r="BG3902" s="11">
        <f ca="1">IFERROR(__xludf.DUMMYFUNCTION("""COMPUTED_VALUE"""),46033.3888888888)</f>
        <v>46033.388888888803</v>
      </c>
      <c r="BH3902" s="17"/>
      <c r="BI3902" s="17"/>
      <c r="BJ3902" s="15"/>
      <c r="BK3902" s="15"/>
      <c r="BL3902" s="13" t="b">
        <v>0</v>
      </c>
      <c r="BM3902" s="10"/>
      <c r="BN3902" s="10" t="s">
        <v>149</v>
      </c>
      <c r="BO3902" s="11">
        <v>46031.463888888888</v>
      </c>
      <c r="BP3902" s="11">
        <v>46031.464039351849</v>
      </c>
      <c r="BQ3902" s="15"/>
      <c r="BR3902" s="15">
        <v>46031.6721412037</v>
      </c>
      <c r="BS3902" s="10" t="s">
        <v>149</v>
      </c>
      <c r="BT3902" s="10"/>
      <c r="BU3902" s="10"/>
      <c r="BV3902" s="10"/>
      <c r="BW3902" s="10"/>
      <c r="BX3902" s="10"/>
      <c r="BY3902" s="23"/>
      <c r="BZ3902" s="23"/>
      <c r="CA3902" s="10"/>
      <c r="CB3902" s="23"/>
      <c r="CC3902" s="23"/>
      <c r="CD3902" s="23"/>
      <c r="CE3902" s="23"/>
      <c r="CF3902" s="23"/>
      <c r="CG3902" s="23"/>
      <c r="CH3902" s="23"/>
      <c r="CI3902" s="23"/>
    </row>
    <row r="3903" spans="1:87" x14ac:dyDescent="0.3">
      <c r="A3903" s="9" t="s">
        <v>26306</v>
      </c>
      <c r="B3903" s="10" t="s">
        <v>26307</v>
      </c>
      <c r="C3903" s="11">
        <v>46033.4375</v>
      </c>
      <c r="D3903" s="12">
        <v>4.1666666666666664E-2</v>
      </c>
      <c r="E3903" s="11">
        <v>46033.479166666664</v>
      </c>
      <c r="F3903" s="22" t="s">
        <v>25766</v>
      </c>
      <c r="G3903" s="13" t="b">
        <v>0</v>
      </c>
      <c r="H3903" s="22" t="s">
        <v>25767</v>
      </c>
      <c r="I3903" s="10" t="s">
        <v>212</v>
      </c>
      <c r="J3903" s="13" t="b">
        <v>1</v>
      </c>
      <c r="K3903" s="13" t="b">
        <v>0</v>
      </c>
      <c r="L3903" s="10" t="s">
        <v>124</v>
      </c>
      <c r="M3903" s="10" t="s">
        <v>91</v>
      </c>
      <c r="N3903" s="10" t="s">
        <v>92</v>
      </c>
      <c r="O3903" s="19" t="s">
        <v>26308</v>
      </c>
      <c r="P3903" s="10"/>
      <c r="Q3903" s="10" t="s">
        <v>94</v>
      </c>
      <c r="R3903" s="10"/>
      <c r="S3903" s="10"/>
      <c r="T3903" s="10"/>
      <c r="U3903" s="10"/>
      <c r="V3903" s="10"/>
      <c r="W3903" s="10" t="s">
        <v>25770</v>
      </c>
      <c r="X3903" s="10" t="s">
        <v>130</v>
      </c>
      <c r="Y3903" s="10" t="s">
        <v>130</v>
      </c>
      <c r="Z3903" s="10" t="s">
        <v>99</v>
      </c>
      <c r="AA3903" s="10" t="s">
        <v>131</v>
      </c>
      <c r="AB3903" s="10" t="s">
        <v>25771</v>
      </c>
      <c r="AC3903" s="10" t="s">
        <v>25772</v>
      </c>
      <c r="AD3903" s="10" t="s">
        <v>165</v>
      </c>
      <c r="AE3903" s="10" t="s">
        <v>26309</v>
      </c>
      <c r="AF3903" s="15"/>
      <c r="AG3903" s="10"/>
      <c r="AH3903" s="10"/>
      <c r="AI3903" s="10"/>
      <c r="AJ3903" s="10"/>
      <c r="AK3903" s="10" t="s">
        <v>102</v>
      </c>
      <c r="AL3903" s="10"/>
      <c r="AM3903" s="10"/>
      <c r="AN3903" s="10"/>
      <c r="AO3903" s="13" t="b">
        <v>0</v>
      </c>
      <c r="AP3903" s="22" t="s">
        <v>104</v>
      </c>
      <c r="AQ3903" s="10">
        <f ca="1">IFERROR(__xludf.DUMMYFUNCTION("""COMPUTED_VALUE"""),4834230)</f>
        <v>4834230</v>
      </c>
      <c r="AR3903" s="17"/>
      <c r="AS3903" s="17"/>
      <c r="AT3903" s="17"/>
      <c r="AU3903" s="17"/>
      <c r="AV3903" s="17"/>
      <c r="AW3903" s="10"/>
      <c r="AX3903" s="17"/>
      <c r="AY3903" s="18" t="s">
        <v>257</v>
      </c>
      <c r="AZ3903" s="10"/>
      <c r="BA3903" s="20" t="b">
        <v>0</v>
      </c>
      <c r="BB3903" s="10" t="s">
        <v>26289</v>
      </c>
      <c r="BC3903" s="17" t="s">
        <v>257</v>
      </c>
      <c r="BD3903" s="17" t="s">
        <v>257</v>
      </c>
      <c r="BE3903" s="17" t="s">
        <v>257</v>
      </c>
      <c r="BF3903" s="17" t="s">
        <v>257</v>
      </c>
      <c r="BG3903" s="11">
        <f ca="1">IFERROR(__xludf.DUMMYFUNCTION("""COMPUTED_VALUE"""),46033.4375)</f>
        <v>46033.4375</v>
      </c>
      <c r="BH3903" s="17"/>
      <c r="BI3903" s="17"/>
      <c r="BJ3903" s="15"/>
      <c r="BK3903" s="15"/>
      <c r="BL3903" s="13" t="b">
        <v>0</v>
      </c>
      <c r="BM3903" s="10"/>
      <c r="BN3903" s="10" t="s">
        <v>149</v>
      </c>
      <c r="BO3903" s="11">
        <v>46031.463888888888</v>
      </c>
      <c r="BP3903" s="11">
        <v>46031.464282407411</v>
      </c>
      <c r="BQ3903" s="15"/>
      <c r="BR3903" s="15">
        <v>46031.672349537039</v>
      </c>
      <c r="BS3903" s="10" t="s">
        <v>149</v>
      </c>
      <c r="BT3903" s="10"/>
      <c r="BU3903" s="10"/>
      <c r="BV3903" s="10"/>
      <c r="BW3903" s="10"/>
      <c r="BX3903" s="10"/>
      <c r="BY3903" s="23"/>
      <c r="BZ3903" s="23"/>
      <c r="CA3903" s="10"/>
      <c r="CB3903" s="23"/>
      <c r="CC3903" s="23"/>
      <c r="CD3903" s="23"/>
      <c r="CE3903" s="23"/>
      <c r="CF3903" s="23"/>
      <c r="CG3903" s="23"/>
      <c r="CH3903" s="23"/>
      <c r="CI3903" s="23"/>
    </row>
    <row r="3904" spans="1:87" x14ac:dyDescent="0.3">
      <c r="A3904" s="9" t="s">
        <v>26310</v>
      </c>
      <c r="B3904" s="10" t="s">
        <v>26311</v>
      </c>
      <c r="C3904" s="11">
        <v>46033.486111111109</v>
      </c>
      <c r="D3904" s="12">
        <v>4.1666666666666664E-2</v>
      </c>
      <c r="E3904" s="11">
        <v>46033.527777777781</v>
      </c>
      <c r="F3904" s="22" t="s">
        <v>25766</v>
      </c>
      <c r="G3904" s="13" t="b">
        <v>0</v>
      </c>
      <c r="H3904" s="22" t="s">
        <v>25767</v>
      </c>
      <c r="I3904" s="10" t="s">
        <v>212</v>
      </c>
      <c r="J3904" s="13" t="b">
        <v>1</v>
      </c>
      <c r="K3904" s="13" t="b">
        <v>0</v>
      </c>
      <c r="L3904" s="10" t="s">
        <v>124</v>
      </c>
      <c r="M3904" s="10" t="s">
        <v>91</v>
      </c>
      <c r="N3904" s="10" t="s">
        <v>92</v>
      </c>
      <c r="O3904" s="19" t="s">
        <v>26312</v>
      </c>
      <c r="P3904" s="10"/>
      <c r="Q3904" s="10" t="s">
        <v>94</v>
      </c>
      <c r="R3904" s="10"/>
      <c r="S3904" s="10"/>
      <c r="T3904" s="10"/>
      <c r="U3904" s="10"/>
      <c r="V3904" s="10"/>
      <c r="W3904" s="10" t="s">
        <v>25770</v>
      </c>
      <c r="X3904" s="10" t="s">
        <v>130</v>
      </c>
      <c r="Y3904" s="10" t="s">
        <v>130</v>
      </c>
      <c r="Z3904" s="10" t="s">
        <v>99</v>
      </c>
      <c r="AA3904" s="10" t="s">
        <v>131</v>
      </c>
      <c r="AB3904" s="10" t="s">
        <v>25771</v>
      </c>
      <c r="AC3904" s="10" t="s">
        <v>25772</v>
      </c>
      <c r="AD3904" s="10" t="s">
        <v>165</v>
      </c>
      <c r="AE3904" s="10" t="s">
        <v>26313</v>
      </c>
      <c r="AF3904" s="15"/>
      <c r="AG3904" s="10"/>
      <c r="AH3904" s="10"/>
      <c r="AI3904" s="10"/>
      <c r="AJ3904" s="10"/>
      <c r="AK3904" s="10" t="s">
        <v>102</v>
      </c>
      <c r="AL3904" s="10"/>
      <c r="AM3904" s="10"/>
      <c r="AN3904" s="10"/>
      <c r="AO3904" s="13" t="b">
        <v>0</v>
      </c>
      <c r="AP3904" s="22" t="s">
        <v>104</v>
      </c>
      <c r="AQ3904" s="10">
        <f ca="1">IFERROR(__xludf.DUMMYFUNCTION("""COMPUTED_VALUE"""),4834229)</f>
        <v>4834229</v>
      </c>
      <c r="AR3904" s="17"/>
      <c r="AS3904" s="17"/>
      <c r="AT3904" s="17"/>
      <c r="AU3904" s="17"/>
      <c r="AV3904" s="17"/>
      <c r="AW3904" s="10"/>
      <c r="AX3904" s="17"/>
      <c r="AY3904" s="18" t="s">
        <v>257</v>
      </c>
      <c r="AZ3904" s="10"/>
      <c r="BA3904" s="20" t="b">
        <v>0</v>
      </c>
      <c r="BB3904" s="10" t="s">
        <v>26289</v>
      </c>
      <c r="BC3904" s="17" t="s">
        <v>257</v>
      </c>
      <c r="BD3904" s="17" t="s">
        <v>257</v>
      </c>
      <c r="BE3904" s="17" t="s">
        <v>257</v>
      </c>
      <c r="BF3904" s="17" t="s">
        <v>257</v>
      </c>
      <c r="BG3904" s="11">
        <f ca="1">IFERROR(__xludf.DUMMYFUNCTION("""COMPUTED_VALUE"""),46033.4861111111)</f>
        <v>46033.486111111102</v>
      </c>
      <c r="BH3904" s="17"/>
      <c r="BI3904" s="17"/>
      <c r="BJ3904" s="15"/>
      <c r="BK3904" s="15"/>
      <c r="BL3904" s="13" t="b">
        <v>0</v>
      </c>
      <c r="BM3904" s="10"/>
      <c r="BN3904" s="10" t="s">
        <v>149</v>
      </c>
      <c r="BO3904" s="11">
        <v>46031.463888888888</v>
      </c>
      <c r="BP3904" s="11">
        <v>46031.464513888888</v>
      </c>
      <c r="BQ3904" s="15"/>
      <c r="BR3904" s="15">
        <v>46031.672488425924</v>
      </c>
      <c r="BS3904" s="10" t="s">
        <v>149</v>
      </c>
      <c r="BT3904" s="10"/>
      <c r="BU3904" s="10"/>
      <c r="BV3904" s="10"/>
      <c r="BW3904" s="10"/>
      <c r="BX3904" s="10"/>
      <c r="BY3904" s="23"/>
      <c r="BZ3904" s="23"/>
      <c r="CA3904" s="10"/>
      <c r="CB3904" s="23"/>
      <c r="CC3904" s="23"/>
      <c r="CD3904" s="23"/>
      <c r="CE3904" s="23"/>
      <c r="CF3904" s="23"/>
      <c r="CG3904" s="23"/>
      <c r="CH3904" s="23"/>
      <c r="CI3904" s="23"/>
    </row>
    <row r="3905" spans="1:87" x14ac:dyDescent="0.3">
      <c r="A3905" s="9" t="s">
        <v>26314</v>
      </c>
      <c r="B3905" s="10" t="s">
        <v>26315</v>
      </c>
      <c r="C3905" s="11">
        <v>46033.534722222219</v>
      </c>
      <c r="D3905" s="12">
        <v>4.1666666666666664E-2</v>
      </c>
      <c r="E3905" s="11">
        <v>46033.576388888891</v>
      </c>
      <c r="F3905" s="22" t="s">
        <v>25766</v>
      </c>
      <c r="G3905" s="13" t="b">
        <v>0</v>
      </c>
      <c r="H3905" s="22" t="s">
        <v>25767</v>
      </c>
      <c r="I3905" s="10" t="s">
        <v>212</v>
      </c>
      <c r="J3905" s="13" t="b">
        <v>1</v>
      </c>
      <c r="K3905" s="13" t="b">
        <v>0</v>
      </c>
      <c r="L3905" s="10" t="s">
        <v>124</v>
      </c>
      <c r="M3905" s="10" t="s">
        <v>91</v>
      </c>
      <c r="N3905" s="10" t="s">
        <v>92</v>
      </c>
      <c r="O3905" s="19" t="s">
        <v>26316</v>
      </c>
      <c r="P3905" s="10"/>
      <c r="Q3905" s="10" t="s">
        <v>94</v>
      </c>
      <c r="R3905" s="10"/>
      <c r="S3905" s="10"/>
      <c r="T3905" s="10"/>
      <c r="U3905" s="10"/>
      <c r="V3905" s="10"/>
      <c r="W3905" s="10" t="s">
        <v>25770</v>
      </c>
      <c r="X3905" s="10" t="s">
        <v>130</v>
      </c>
      <c r="Y3905" s="10" t="s">
        <v>130</v>
      </c>
      <c r="Z3905" s="10" t="s">
        <v>99</v>
      </c>
      <c r="AA3905" s="10" t="s">
        <v>131</v>
      </c>
      <c r="AB3905" s="10" t="s">
        <v>25771</v>
      </c>
      <c r="AC3905" s="10" t="s">
        <v>25772</v>
      </c>
      <c r="AD3905" s="10" t="s">
        <v>165</v>
      </c>
      <c r="AE3905" s="10" t="s">
        <v>26317</v>
      </c>
      <c r="AF3905" s="15"/>
      <c r="AG3905" s="10"/>
      <c r="AH3905" s="10"/>
      <c r="AI3905" s="10"/>
      <c r="AJ3905" s="10"/>
      <c r="AK3905" s="10" t="s">
        <v>102</v>
      </c>
      <c r="AL3905" s="10"/>
      <c r="AM3905" s="10"/>
      <c r="AN3905" s="10"/>
      <c r="AO3905" s="13" t="b">
        <v>0</v>
      </c>
      <c r="AP3905" s="22" t="s">
        <v>104</v>
      </c>
      <c r="AQ3905" s="10">
        <f ca="1">IFERROR(__xludf.DUMMYFUNCTION("""COMPUTED_VALUE"""),4834228)</f>
        <v>4834228</v>
      </c>
      <c r="AR3905" s="17"/>
      <c r="AS3905" s="17"/>
      <c r="AT3905" s="17"/>
      <c r="AU3905" s="17"/>
      <c r="AV3905" s="17"/>
      <c r="AW3905" s="10"/>
      <c r="AX3905" s="17"/>
      <c r="AY3905" s="18" t="s">
        <v>257</v>
      </c>
      <c r="AZ3905" s="10"/>
      <c r="BA3905" s="20" t="b">
        <v>0</v>
      </c>
      <c r="BB3905" s="10" t="s">
        <v>26289</v>
      </c>
      <c r="BC3905" s="17" t="s">
        <v>257</v>
      </c>
      <c r="BD3905" s="17" t="s">
        <v>257</v>
      </c>
      <c r="BE3905" s="17" t="s">
        <v>257</v>
      </c>
      <c r="BF3905" s="17" t="s">
        <v>257</v>
      </c>
      <c r="BG3905" s="11">
        <f ca="1">IFERROR(__xludf.DUMMYFUNCTION("""COMPUTED_VALUE"""),46033.5347222222)</f>
        <v>46033.534722222197</v>
      </c>
      <c r="BH3905" s="17"/>
      <c r="BI3905" s="17"/>
      <c r="BJ3905" s="15"/>
      <c r="BK3905" s="15"/>
      <c r="BL3905" s="13" t="b">
        <v>0</v>
      </c>
      <c r="BM3905" s="10"/>
      <c r="BN3905" s="10" t="s">
        <v>149</v>
      </c>
      <c r="BO3905" s="11">
        <v>46031.464583333334</v>
      </c>
      <c r="BP3905" s="11">
        <v>46031.464814814812</v>
      </c>
      <c r="BQ3905" s="15"/>
      <c r="BR3905" s="15">
        <v>46031.672662037039</v>
      </c>
      <c r="BS3905" s="10" t="s">
        <v>149</v>
      </c>
      <c r="BT3905" s="10"/>
      <c r="BU3905" s="10"/>
      <c r="BV3905" s="10"/>
      <c r="BW3905" s="10"/>
      <c r="BX3905" s="10"/>
      <c r="BY3905" s="23"/>
      <c r="BZ3905" s="23"/>
      <c r="CA3905" s="10"/>
      <c r="CB3905" s="23"/>
      <c r="CC3905" s="23"/>
      <c r="CD3905" s="23"/>
      <c r="CE3905" s="23"/>
      <c r="CF3905" s="23"/>
      <c r="CG3905" s="23"/>
      <c r="CH3905" s="23"/>
      <c r="CI3905" s="23"/>
    </row>
    <row r="3906" spans="1:87" x14ac:dyDescent="0.3">
      <c r="A3906" s="9" t="s">
        <v>26318</v>
      </c>
      <c r="B3906" s="10" t="s">
        <v>26319</v>
      </c>
      <c r="C3906" s="11">
        <v>46033.416666666664</v>
      </c>
      <c r="D3906" s="12">
        <v>4.1666666666666664E-2</v>
      </c>
      <c r="E3906" s="11">
        <v>46033.458333333336</v>
      </c>
      <c r="F3906" s="22" t="s">
        <v>25766</v>
      </c>
      <c r="G3906" s="13" t="b">
        <v>0</v>
      </c>
      <c r="H3906" s="22" t="s">
        <v>25767</v>
      </c>
      <c r="I3906" s="10" t="s">
        <v>212</v>
      </c>
      <c r="J3906" s="13" t="b">
        <v>1</v>
      </c>
      <c r="K3906" s="13" t="b">
        <v>0</v>
      </c>
      <c r="L3906" s="10" t="s">
        <v>124</v>
      </c>
      <c r="M3906" s="10" t="s">
        <v>91</v>
      </c>
      <c r="N3906" s="10" t="s">
        <v>92</v>
      </c>
      <c r="O3906" s="19" t="s">
        <v>26320</v>
      </c>
      <c r="P3906" s="10"/>
      <c r="Q3906" s="10" t="s">
        <v>94</v>
      </c>
      <c r="R3906" s="10"/>
      <c r="S3906" s="19" t="s">
        <v>25769</v>
      </c>
      <c r="T3906" s="10"/>
      <c r="U3906" s="10"/>
      <c r="V3906" s="10"/>
      <c r="W3906" s="10" t="s">
        <v>25770</v>
      </c>
      <c r="X3906" s="10" t="s">
        <v>130</v>
      </c>
      <c r="Y3906" s="10" t="s">
        <v>130</v>
      </c>
      <c r="Z3906" s="10" t="s">
        <v>99</v>
      </c>
      <c r="AA3906" s="10" t="s">
        <v>131</v>
      </c>
      <c r="AB3906" s="10" t="s">
        <v>25771</v>
      </c>
      <c r="AC3906" s="10" t="s">
        <v>25772</v>
      </c>
      <c r="AD3906" s="10" t="s">
        <v>165</v>
      </c>
      <c r="AE3906" s="10" t="s">
        <v>26321</v>
      </c>
      <c r="AF3906" s="15"/>
      <c r="AG3906" s="10"/>
      <c r="AH3906" s="10"/>
      <c r="AI3906" s="10"/>
      <c r="AJ3906" s="10"/>
      <c r="AK3906" s="10" t="s">
        <v>102</v>
      </c>
      <c r="AL3906" s="10"/>
      <c r="AM3906" s="10"/>
      <c r="AN3906" s="10"/>
      <c r="AO3906" s="13" t="b">
        <v>0</v>
      </c>
      <c r="AP3906" s="22" t="s">
        <v>104</v>
      </c>
      <c r="AQ3906" s="10">
        <f ca="1">IFERROR(__xludf.DUMMYFUNCTION("""COMPUTED_VALUE"""),4834235)</f>
        <v>4834235</v>
      </c>
      <c r="AR3906" s="17"/>
      <c r="AS3906" s="17"/>
      <c r="AT3906" s="17"/>
      <c r="AU3906" s="17"/>
      <c r="AV3906" s="17"/>
      <c r="AW3906" s="10"/>
      <c r="AX3906" s="17"/>
      <c r="AY3906" s="18" t="s">
        <v>257</v>
      </c>
      <c r="AZ3906" s="10"/>
      <c r="BA3906" s="20" t="b">
        <v>0</v>
      </c>
      <c r="BB3906" s="10" t="s">
        <v>26019</v>
      </c>
      <c r="BC3906" s="17" t="s">
        <v>257</v>
      </c>
      <c r="BD3906" s="17" t="s">
        <v>257</v>
      </c>
      <c r="BE3906" s="17" t="s">
        <v>257</v>
      </c>
      <c r="BF3906" s="17" t="s">
        <v>257</v>
      </c>
      <c r="BG3906" s="11">
        <f ca="1">IFERROR(__xludf.DUMMYFUNCTION("""COMPUTED_VALUE"""),46033.4166666666)</f>
        <v>46033.416666666599</v>
      </c>
      <c r="BH3906" s="17"/>
      <c r="BI3906" s="17"/>
      <c r="BJ3906" s="15"/>
      <c r="BK3906" s="15"/>
      <c r="BL3906" s="13" t="b">
        <v>0</v>
      </c>
      <c r="BM3906" s="10"/>
      <c r="BN3906" s="10" t="s">
        <v>149</v>
      </c>
      <c r="BO3906" s="11">
        <v>46031.472916666666</v>
      </c>
      <c r="BP3906" s="11">
        <v>46031.473726851851</v>
      </c>
      <c r="BQ3906" s="15"/>
      <c r="BR3906" s="15">
        <v>46031.66746527778</v>
      </c>
      <c r="BS3906" s="10" t="s">
        <v>149</v>
      </c>
      <c r="BT3906" s="10"/>
      <c r="BU3906" s="10"/>
      <c r="BV3906" s="10"/>
      <c r="BW3906" s="10"/>
      <c r="BX3906" s="10"/>
      <c r="BY3906" s="23"/>
      <c r="BZ3906" s="23"/>
      <c r="CA3906" s="19" t="s">
        <v>25774</v>
      </c>
      <c r="CB3906" s="23"/>
      <c r="CC3906" s="23"/>
      <c r="CD3906" s="23"/>
      <c r="CE3906" s="23"/>
      <c r="CF3906" s="23"/>
      <c r="CG3906" s="23"/>
      <c r="CH3906" s="23"/>
      <c r="CI3906" s="23"/>
    </row>
    <row r="3907" spans="1:87" x14ac:dyDescent="0.3">
      <c r="A3907" s="9" t="s">
        <v>26322</v>
      </c>
      <c r="B3907" s="10" t="s">
        <v>26042</v>
      </c>
      <c r="C3907" s="11">
        <v>46033.458333333336</v>
      </c>
      <c r="D3907" s="12">
        <v>4.1666666666666664E-2</v>
      </c>
      <c r="E3907" s="11">
        <v>46033.5</v>
      </c>
      <c r="F3907" s="22" t="s">
        <v>25766</v>
      </c>
      <c r="G3907" s="13" t="b">
        <v>0</v>
      </c>
      <c r="H3907" s="22" t="s">
        <v>25767</v>
      </c>
      <c r="I3907" s="10" t="s">
        <v>212</v>
      </c>
      <c r="J3907" s="13" t="b">
        <v>1</v>
      </c>
      <c r="K3907" s="13" t="b">
        <v>0</v>
      </c>
      <c r="L3907" s="10" t="s">
        <v>124</v>
      </c>
      <c r="M3907" s="10" t="s">
        <v>91</v>
      </c>
      <c r="N3907" s="10" t="s">
        <v>92</v>
      </c>
      <c r="O3907" s="19" t="s">
        <v>26323</v>
      </c>
      <c r="P3907" s="10"/>
      <c r="Q3907" s="10" t="s">
        <v>94</v>
      </c>
      <c r="R3907" s="10"/>
      <c r="S3907" s="19" t="s">
        <v>25769</v>
      </c>
      <c r="T3907" s="10"/>
      <c r="U3907" s="10"/>
      <c r="V3907" s="10"/>
      <c r="W3907" s="10" t="s">
        <v>25770</v>
      </c>
      <c r="X3907" s="10" t="s">
        <v>130</v>
      </c>
      <c r="Y3907" s="10" t="s">
        <v>130</v>
      </c>
      <c r="Z3907" s="10" t="s">
        <v>99</v>
      </c>
      <c r="AA3907" s="10" t="s">
        <v>131</v>
      </c>
      <c r="AB3907" s="10" t="s">
        <v>25771</v>
      </c>
      <c r="AC3907" s="10" t="s">
        <v>25772</v>
      </c>
      <c r="AD3907" s="10" t="s">
        <v>165</v>
      </c>
      <c r="AE3907" s="10" t="s">
        <v>26043</v>
      </c>
      <c r="AF3907" s="15"/>
      <c r="AG3907" s="10"/>
      <c r="AH3907" s="10"/>
      <c r="AI3907" s="10"/>
      <c r="AJ3907" s="10"/>
      <c r="AK3907" s="10" t="s">
        <v>102</v>
      </c>
      <c r="AL3907" s="10"/>
      <c r="AM3907" s="10"/>
      <c r="AN3907" s="10"/>
      <c r="AO3907" s="13" t="b">
        <v>0</v>
      </c>
      <c r="AP3907" s="22" t="s">
        <v>104</v>
      </c>
      <c r="AQ3907" s="10">
        <f ca="1">IFERROR(__xludf.DUMMYFUNCTION("""COMPUTED_VALUE"""),4834236)</f>
        <v>4834236</v>
      </c>
      <c r="AR3907" s="17"/>
      <c r="AS3907" s="17"/>
      <c r="AT3907" s="17"/>
      <c r="AU3907" s="17"/>
      <c r="AV3907" s="17"/>
      <c r="AW3907" s="10"/>
      <c r="AX3907" s="17"/>
      <c r="AY3907" s="18" t="s">
        <v>257</v>
      </c>
      <c r="AZ3907" s="10"/>
      <c r="BA3907" s="20" t="b">
        <v>0</v>
      </c>
      <c r="BB3907" s="10" t="s">
        <v>26019</v>
      </c>
      <c r="BC3907" s="17" t="s">
        <v>257</v>
      </c>
      <c r="BD3907" s="17" t="s">
        <v>257</v>
      </c>
      <c r="BE3907" s="17" t="s">
        <v>257</v>
      </c>
      <c r="BF3907" s="17" t="s">
        <v>257</v>
      </c>
      <c r="BG3907" s="11">
        <f ca="1">IFERROR(__xludf.DUMMYFUNCTION("""COMPUTED_VALUE"""),46033.4583333333)</f>
        <v>46033.458333333299</v>
      </c>
      <c r="BH3907" s="17"/>
      <c r="BI3907" s="17"/>
      <c r="BJ3907" s="15"/>
      <c r="BK3907" s="15"/>
      <c r="BL3907" s="13" t="b">
        <v>0</v>
      </c>
      <c r="BM3907" s="10"/>
      <c r="BN3907" s="10" t="s">
        <v>149</v>
      </c>
      <c r="BO3907" s="11">
        <v>46031.473611111112</v>
      </c>
      <c r="BP3907" s="11">
        <v>46031.473865740743</v>
      </c>
      <c r="BQ3907" s="15"/>
      <c r="BR3907" s="15">
        <v>46031.667627314811</v>
      </c>
      <c r="BS3907" s="10" t="s">
        <v>149</v>
      </c>
      <c r="BT3907" s="10"/>
      <c r="BU3907" s="10"/>
      <c r="BV3907" s="10"/>
      <c r="BW3907" s="10"/>
      <c r="BX3907" s="10"/>
      <c r="BY3907" s="23"/>
      <c r="BZ3907" s="23"/>
      <c r="CA3907" s="19" t="s">
        <v>25774</v>
      </c>
      <c r="CB3907" s="23"/>
      <c r="CC3907" s="23"/>
      <c r="CD3907" s="23"/>
      <c r="CE3907" s="23"/>
      <c r="CF3907" s="23"/>
      <c r="CG3907" s="23"/>
      <c r="CH3907" s="23"/>
      <c r="CI3907" s="23"/>
    </row>
    <row r="3908" spans="1:87" x14ac:dyDescent="0.3">
      <c r="A3908" s="9" t="s">
        <v>26324</v>
      </c>
      <c r="B3908" s="10" t="s">
        <v>26045</v>
      </c>
      <c r="C3908" s="11">
        <v>46033.5</v>
      </c>
      <c r="D3908" s="12">
        <v>4.1666666666666664E-2</v>
      </c>
      <c r="E3908" s="11">
        <v>46033.541666666664</v>
      </c>
      <c r="F3908" s="22" t="s">
        <v>25766</v>
      </c>
      <c r="G3908" s="13" t="b">
        <v>0</v>
      </c>
      <c r="H3908" s="22" t="s">
        <v>25767</v>
      </c>
      <c r="I3908" s="10" t="s">
        <v>212</v>
      </c>
      <c r="J3908" s="13" t="b">
        <v>1</v>
      </c>
      <c r="K3908" s="13" t="b">
        <v>0</v>
      </c>
      <c r="L3908" s="10" t="s">
        <v>124</v>
      </c>
      <c r="M3908" s="10" t="s">
        <v>91</v>
      </c>
      <c r="N3908" s="10" t="s">
        <v>92</v>
      </c>
      <c r="O3908" s="19" t="s">
        <v>26325</v>
      </c>
      <c r="P3908" s="10"/>
      <c r="Q3908" s="10" t="s">
        <v>94</v>
      </c>
      <c r="R3908" s="10"/>
      <c r="S3908" s="19" t="s">
        <v>25769</v>
      </c>
      <c r="T3908" s="10"/>
      <c r="U3908" s="10"/>
      <c r="V3908" s="10"/>
      <c r="W3908" s="10" t="s">
        <v>25770</v>
      </c>
      <c r="X3908" s="10" t="s">
        <v>130</v>
      </c>
      <c r="Y3908" s="10" t="s">
        <v>130</v>
      </c>
      <c r="Z3908" s="10" t="s">
        <v>99</v>
      </c>
      <c r="AA3908" s="10" t="s">
        <v>131</v>
      </c>
      <c r="AB3908" s="10" t="s">
        <v>25771</v>
      </c>
      <c r="AC3908" s="10" t="s">
        <v>25772</v>
      </c>
      <c r="AD3908" s="10" t="s">
        <v>165</v>
      </c>
      <c r="AE3908" s="10" t="s">
        <v>26046</v>
      </c>
      <c r="AF3908" s="15"/>
      <c r="AG3908" s="10"/>
      <c r="AH3908" s="10"/>
      <c r="AI3908" s="10"/>
      <c r="AJ3908" s="10"/>
      <c r="AK3908" s="10" t="s">
        <v>102</v>
      </c>
      <c r="AL3908" s="10"/>
      <c r="AM3908" s="10"/>
      <c r="AN3908" s="10"/>
      <c r="AO3908" s="13" t="b">
        <v>0</v>
      </c>
      <c r="AP3908" s="22" t="s">
        <v>104</v>
      </c>
      <c r="AQ3908" s="10">
        <f ca="1">IFERROR(__xludf.DUMMYFUNCTION("""COMPUTED_VALUE"""),4834237)</f>
        <v>4834237</v>
      </c>
      <c r="AR3908" s="17"/>
      <c r="AS3908" s="17"/>
      <c r="AT3908" s="17"/>
      <c r="AU3908" s="17"/>
      <c r="AV3908" s="17"/>
      <c r="AW3908" s="10"/>
      <c r="AX3908" s="17"/>
      <c r="AY3908" s="18" t="s">
        <v>257</v>
      </c>
      <c r="AZ3908" s="10"/>
      <c r="BA3908" s="20" t="b">
        <v>0</v>
      </c>
      <c r="BB3908" s="10" t="s">
        <v>26019</v>
      </c>
      <c r="BC3908" s="17" t="s">
        <v>257</v>
      </c>
      <c r="BD3908" s="17" t="s">
        <v>257</v>
      </c>
      <c r="BE3908" s="17" t="s">
        <v>257</v>
      </c>
      <c r="BF3908" s="17" t="s">
        <v>257</v>
      </c>
      <c r="BG3908" s="11">
        <f ca="1">IFERROR(__xludf.DUMMYFUNCTION("""COMPUTED_VALUE"""),46033.5)</f>
        <v>46033.5</v>
      </c>
      <c r="BH3908" s="17"/>
      <c r="BI3908" s="17"/>
      <c r="BJ3908" s="15"/>
      <c r="BK3908" s="15"/>
      <c r="BL3908" s="13" t="b">
        <v>0</v>
      </c>
      <c r="BM3908" s="10"/>
      <c r="BN3908" s="10" t="s">
        <v>149</v>
      </c>
      <c r="BO3908" s="11">
        <v>46031.473611111112</v>
      </c>
      <c r="BP3908" s="11">
        <v>46031.473993055559</v>
      </c>
      <c r="BQ3908" s="15"/>
      <c r="BR3908" s="15">
        <v>46031.66777777778</v>
      </c>
      <c r="BS3908" s="10" t="s">
        <v>149</v>
      </c>
      <c r="BT3908" s="10"/>
      <c r="BU3908" s="10"/>
      <c r="BV3908" s="10"/>
      <c r="BW3908" s="10"/>
      <c r="BX3908" s="10"/>
      <c r="BY3908" s="23"/>
      <c r="BZ3908" s="23"/>
      <c r="CA3908" s="19" t="s">
        <v>25774</v>
      </c>
      <c r="CB3908" s="23"/>
      <c r="CC3908" s="23"/>
      <c r="CD3908" s="23"/>
      <c r="CE3908" s="23"/>
      <c r="CF3908" s="23"/>
      <c r="CG3908" s="23"/>
      <c r="CH3908" s="23"/>
      <c r="CI3908" s="23"/>
    </row>
    <row r="3909" spans="1:87" x14ac:dyDescent="0.3">
      <c r="A3909" s="9" t="s">
        <v>26326</v>
      </c>
      <c r="B3909" s="10" t="s">
        <v>26327</v>
      </c>
      <c r="C3909" s="11">
        <v>46054.979166666664</v>
      </c>
      <c r="D3909" s="12">
        <v>8.3333333333333329E-2</v>
      </c>
      <c r="E3909" s="11">
        <v>46055.0625</v>
      </c>
      <c r="F3909" s="22" t="s">
        <v>262</v>
      </c>
      <c r="G3909" s="13" t="b">
        <v>0</v>
      </c>
      <c r="H3909" s="22" t="s">
        <v>305</v>
      </c>
      <c r="I3909" s="10" t="s">
        <v>264</v>
      </c>
      <c r="J3909" s="13" t="b">
        <v>0</v>
      </c>
      <c r="K3909" s="13" t="b">
        <v>1</v>
      </c>
      <c r="L3909" s="10" t="s">
        <v>124</v>
      </c>
      <c r="M3909" s="10" t="s">
        <v>91</v>
      </c>
      <c r="N3909" s="10" t="s">
        <v>265</v>
      </c>
      <c r="O3909" s="10"/>
      <c r="P3909" s="10"/>
      <c r="Q3909" s="10" t="s">
        <v>94</v>
      </c>
      <c r="R3909" s="10"/>
      <c r="S3909" s="10"/>
      <c r="T3909" s="10"/>
      <c r="U3909" s="10" t="s">
        <v>429</v>
      </c>
      <c r="V3909" s="10" t="s">
        <v>334</v>
      </c>
      <c r="W3909" s="10" t="s">
        <v>272</v>
      </c>
      <c r="X3909" s="10" t="s">
        <v>130</v>
      </c>
      <c r="Y3909" s="10" t="s">
        <v>130</v>
      </c>
      <c r="Z3909" s="10" t="s">
        <v>99</v>
      </c>
      <c r="AA3909" s="10" t="s">
        <v>131</v>
      </c>
      <c r="AB3909" s="10" t="s">
        <v>273</v>
      </c>
      <c r="AC3909" s="10" t="s">
        <v>274</v>
      </c>
      <c r="AD3909" s="10" t="s">
        <v>2627</v>
      </c>
      <c r="AE3909" s="10" t="s">
        <v>26328</v>
      </c>
      <c r="AF3909" s="15"/>
      <c r="AG3909" s="10"/>
      <c r="AH3909" s="10"/>
      <c r="AI3909" s="10"/>
      <c r="AJ3909" s="10"/>
      <c r="AK3909" s="10"/>
      <c r="AL3909" s="10" t="s">
        <v>2596</v>
      </c>
      <c r="AM3909" s="10"/>
      <c r="AN3909" s="10"/>
      <c r="AO3909" s="13" t="b">
        <v>0</v>
      </c>
      <c r="AP3909" s="22" t="s">
        <v>104</v>
      </c>
      <c r="AQ3909" s="10"/>
      <c r="AR3909" s="17"/>
      <c r="AS3909" s="17"/>
      <c r="AT3909" s="17"/>
      <c r="AU3909" s="17"/>
      <c r="AV3909" s="17"/>
      <c r="AW3909" s="10"/>
      <c r="AX3909" s="17"/>
      <c r="AY3909" s="18" t="s">
        <v>257</v>
      </c>
      <c r="AZ3909" s="10"/>
      <c r="BA3909" s="20" t="b">
        <v>0</v>
      </c>
      <c r="BB3909" s="10"/>
      <c r="BC3909" s="17" t="s">
        <v>257</v>
      </c>
      <c r="BD3909" s="17" t="s">
        <v>257</v>
      </c>
      <c r="BE3909" s="17" t="s">
        <v>257</v>
      </c>
      <c r="BF3909" s="17" t="s">
        <v>257</v>
      </c>
      <c r="BG3909" s="11">
        <f ca="1">IFERROR(__xludf.DUMMYFUNCTION("""COMPUTED_VALUE"""),46054.9791666666)</f>
        <v>46054.979166666599</v>
      </c>
      <c r="BH3909" s="17"/>
      <c r="BI3909" s="17"/>
      <c r="BJ3909" s="15"/>
      <c r="BK3909" s="15"/>
      <c r="BL3909" s="13" t="b">
        <v>0</v>
      </c>
      <c r="BM3909" s="10"/>
      <c r="BN3909" s="10" t="s">
        <v>351</v>
      </c>
      <c r="BO3909" s="11">
        <v>46031.688888888886</v>
      </c>
      <c r="BP3909" s="11">
        <v>46031.689270833333</v>
      </c>
      <c r="BQ3909" s="15"/>
      <c r="BR3909" s="15"/>
      <c r="BS3909" s="10"/>
      <c r="BT3909" s="10"/>
      <c r="BU3909" s="10"/>
      <c r="BV3909" s="10"/>
      <c r="BW3909" s="10"/>
      <c r="BX3909" s="10"/>
      <c r="BY3909" s="23"/>
      <c r="BZ3909" s="23"/>
      <c r="CA3909" s="10"/>
      <c r="CB3909" s="23"/>
      <c r="CC3909" s="23"/>
      <c r="CD3909" s="23"/>
      <c r="CE3909" s="23"/>
      <c r="CF3909" s="23"/>
      <c r="CG3909" s="23"/>
      <c r="CH3909" s="23"/>
      <c r="CI3909" s="23"/>
    </row>
    <row r="3910" spans="1:87" x14ac:dyDescent="0.3">
      <c r="A3910" s="9" t="s">
        <v>26329</v>
      </c>
      <c r="B3910" s="10" t="s">
        <v>26330</v>
      </c>
      <c r="C3910" s="11">
        <v>46041.020833333336</v>
      </c>
      <c r="D3910" s="12">
        <v>8.3333333333333329E-2</v>
      </c>
      <c r="E3910" s="11">
        <v>46041.104166666664</v>
      </c>
      <c r="F3910" s="22" t="s">
        <v>9129</v>
      </c>
      <c r="G3910" s="13" t="b">
        <v>0</v>
      </c>
      <c r="H3910" s="22" t="s">
        <v>9146</v>
      </c>
      <c r="I3910" s="10" t="s">
        <v>9131</v>
      </c>
      <c r="J3910" s="13" t="b">
        <v>0</v>
      </c>
      <c r="K3910" s="13" t="b">
        <v>1</v>
      </c>
      <c r="L3910" s="10" t="s">
        <v>124</v>
      </c>
      <c r="M3910" s="10" t="s">
        <v>91</v>
      </c>
      <c r="N3910" s="10" t="s">
        <v>265</v>
      </c>
      <c r="O3910" s="10"/>
      <c r="P3910" s="10"/>
      <c r="Q3910" s="10" t="s">
        <v>94</v>
      </c>
      <c r="R3910" s="10"/>
      <c r="S3910" s="10"/>
      <c r="T3910" s="10"/>
      <c r="U3910" s="10" t="s">
        <v>14963</v>
      </c>
      <c r="V3910" s="10" t="s">
        <v>9149</v>
      </c>
      <c r="W3910" s="10" t="s">
        <v>9136</v>
      </c>
      <c r="X3910" s="10" t="s">
        <v>130</v>
      </c>
      <c r="Y3910" s="10" t="s">
        <v>130</v>
      </c>
      <c r="Z3910" s="10" t="s">
        <v>99</v>
      </c>
      <c r="AA3910" s="10" t="s">
        <v>131</v>
      </c>
      <c r="AB3910" s="10" t="s">
        <v>9137</v>
      </c>
      <c r="AC3910" s="10" t="s">
        <v>9138</v>
      </c>
      <c r="AD3910" s="10" t="s">
        <v>26331</v>
      </c>
      <c r="AE3910" s="10" t="s">
        <v>26332</v>
      </c>
      <c r="AF3910" s="15"/>
      <c r="AG3910" s="10"/>
      <c r="AH3910" s="10"/>
      <c r="AI3910" s="10"/>
      <c r="AJ3910" s="10"/>
      <c r="AK3910" s="10"/>
      <c r="AL3910" s="10" t="s">
        <v>1876</v>
      </c>
      <c r="AM3910" s="10"/>
      <c r="AN3910" s="10"/>
      <c r="AO3910" s="13" t="b">
        <v>0</v>
      </c>
      <c r="AP3910" s="22" t="s">
        <v>104</v>
      </c>
      <c r="AQ3910" s="10"/>
      <c r="AR3910" s="17"/>
      <c r="AS3910" s="17"/>
      <c r="AT3910" s="17"/>
      <c r="AU3910" s="17"/>
      <c r="AV3910" s="17"/>
      <c r="AW3910" s="10"/>
      <c r="AX3910" s="17"/>
      <c r="AY3910" s="18" t="s">
        <v>257</v>
      </c>
      <c r="AZ3910" s="10"/>
      <c r="BA3910" s="20" t="b">
        <v>0</v>
      </c>
      <c r="BB3910" s="10"/>
      <c r="BC3910" s="17" t="s">
        <v>257</v>
      </c>
      <c r="BD3910" s="17" t="s">
        <v>257</v>
      </c>
      <c r="BE3910" s="17" t="s">
        <v>257</v>
      </c>
      <c r="BF3910" s="17" t="s">
        <v>257</v>
      </c>
      <c r="BG3910" s="11">
        <f ca="1">IFERROR(__xludf.DUMMYFUNCTION("""COMPUTED_VALUE"""),46041.0208333333)</f>
        <v>46041.020833333299</v>
      </c>
      <c r="BH3910" s="17"/>
      <c r="BI3910" s="17"/>
      <c r="BJ3910" s="15"/>
      <c r="BK3910" s="15"/>
      <c r="BL3910" s="13" t="b">
        <v>0</v>
      </c>
      <c r="BM3910" s="10"/>
      <c r="BN3910" s="10" t="s">
        <v>351</v>
      </c>
      <c r="BO3910" s="11">
        <v>46031.695138888892</v>
      </c>
      <c r="BP3910" s="11">
        <v>46031.695532407408</v>
      </c>
      <c r="BQ3910" s="15"/>
      <c r="BR3910" s="15"/>
      <c r="BS3910" s="10"/>
      <c r="BT3910" s="10" t="s">
        <v>99</v>
      </c>
      <c r="BU3910" s="10"/>
      <c r="BV3910" s="10"/>
      <c r="BW3910" s="10"/>
      <c r="BX3910" s="10"/>
      <c r="BY3910" s="23"/>
      <c r="BZ3910" s="23"/>
      <c r="CA3910" s="10"/>
      <c r="CB3910" s="23"/>
      <c r="CC3910" s="23"/>
      <c r="CD3910" s="23"/>
      <c r="CE3910" s="23"/>
      <c r="CF3910" s="23"/>
      <c r="CG3910" s="23"/>
      <c r="CH3910" s="23"/>
      <c r="CI3910" s="23"/>
    </row>
    <row r="3911" spans="1:87" x14ac:dyDescent="0.3">
      <c r="A3911" s="9" t="s">
        <v>26333</v>
      </c>
      <c r="B3911" s="10" t="s">
        <v>26334</v>
      </c>
      <c r="C3911" s="11">
        <v>46039.020833333336</v>
      </c>
      <c r="D3911" s="12">
        <v>8.3333333333333329E-2</v>
      </c>
      <c r="E3911" s="11">
        <v>46039.104166666664</v>
      </c>
      <c r="F3911" s="22" t="s">
        <v>9129</v>
      </c>
      <c r="G3911" s="13" t="b">
        <v>0</v>
      </c>
      <c r="H3911" s="22" t="s">
        <v>9130</v>
      </c>
      <c r="I3911" s="10" t="s">
        <v>9131</v>
      </c>
      <c r="J3911" s="13" t="b">
        <v>0</v>
      </c>
      <c r="K3911" s="13" t="b">
        <v>1</v>
      </c>
      <c r="L3911" s="10" t="s">
        <v>124</v>
      </c>
      <c r="M3911" s="10" t="s">
        <v>91</v>
      </c>
      <c r="N3911" s="10" t="s">
        <v>265</v>
      </c>
      <c r="O3911" s="10"/>
      <c r="P3911" s="10"/>
      <c r="Q3911" s="10" t="s">
        <v>126</v>
      </c>
      <c r="R3911" s="10"/>
      <c r="S3911" s="10"/>
      <c r="T3911" s="10"/>
      <c r="U3911" s="10" t="s">
        <v>9134</v>
      </c>
      <c r="V3911" s="10" t="s">
        <v>17238</v>
      </c>
      <c r="W3911" s="10" t="s">
        <v>9136</v>
      </c>
      <c r="X3911" s="10" t="s">
        <v>130</v>
      </c>
      <c r="Y3911" s="10" t="s">
        <v>130</v>
      </c>
      <c r="Z3911" s="10" t="s">
        <v>99</v>
      </c>
      <c r="AA3911" s="10" t="s">
        <v>131</v>
      </c>
      <c r="AB3911" s="10" t="s">
        <v>9137</v>
      </c>
      <c r="AC3911" s="10" t="s">
        <v>9138</v>
      </c>
      <c r="AD3911" s="10" t="s">
        <v>26335</v>
      </c>
      <c r="AE3911" s="10" t="s">
        <v>26336</v>
      </c>
      <c r="AF3911" s="15"/>
      <c r="AG3911" s="10"/>
      <c r="AH3911" s="10"/>
      <c r="AI3911" s="10"/>
      <c r="AJ3911" s="10"/>
      <c r="AK3911" s="10"/>
      <c r="AL3911" s="10" t="s">
        <v>1876</v>
      </c>
      <c r="AM3911" s="10"/>
      <c r="AN3911" s="10"/>
      <c r="AO3911" s="13" t="b">
        <v>0</v>
      </c>
      <c r="AP3911" s="22" t="s">
        <v>104</v>
      </c>
      <c r="AQ3911" s="10"/>
      <c r="AR3911" s="17"/>
      <c r="AS3911" s="17"/>
      <c r="AT3911" s="17"/>
      <c r="AU3911" s="17"/>
      <c r="AV3911" s="17"/>
      <c r="AW3911" s="10"/>
      <c r="AX3911" s="17"/>
      <c r="AY3911" s="18" t="s">
        <v>257</v>
      </c>
      <c r="AZ3911" s="10"/>
      <c r="BA3911" s="20" t="b">
        <v>0</v>
      </c>
      <c r="BB3911" s="10"/>
      <c r="BC3911" s="17" t="s">
        <v>257</v>
      </c>
      <c r="BD3911" s="17" t="s">
        <v>257</v>
      </c>
      <c r="BE3911" s="17" t="s">
        <v>257</v>
      </c>
      <c r="BF3911" s="17" t="s">
        <v>257</v>
      </c>
      <c r="BG3911" s="11">
        <f ca="1">IFERROR(__xludf.DUMMYFUNCTION("""COMPUTED_VALUE"""),46039.0208333333)</f>
        <v>46039.020833333299</v>
      </c>
      <c r="BH3911" s="17"/>
      <c r="BI3911" s="17"/>
      <c r="BJ3911" s="15"/>
      <c r="BK3911" s="15"/>
      <c r="BL3911" s="13" t="b">
        <v>0</v>
      </c>
      <c r="BM3911" s="10"/>
      <c r="BN3911" s="10" t="s">
        <v>351</v>
      </c>
      <c r="BO3911" s="11">
        <v>46031.708333333336</v>
      </c>
      <c r="BP3911" s="11">
        <v>46031.708437499998</v>
      </c>
      <c r="BQ3911" s="15"/>
      <c r="BR3911" s="15"/>
      <c r="BS3911" s="10"/>
      <c r="BT3911" s="10" t="s">
        <v>99</v>
      </c>
      <c r="BU3911" s="10"/>
      <c r="BV3911" s="10"/>
      <c r="BW3911" s="10"/>
      <c r="BX3911" s="10"/>
      <c r="BY3911" s="23"/>
      <c r="BZ3911" s="23"/>
      <c r="CA3911" s="10"/>
      <c r="CB3911" s="23"/>
      <c r="CC3911" s="23"/>
      <c r="CD3911" s="23"/>
      <c r="CE3911" s="23"/>
      <c r="CF3911" s="23"/>
      <c r="CG3911" s="23"/>
      <c r="CH3911" s="23"/>
      <c r="CI3911" s="23"/>
    </row>
    <row r="3912" spans="1:87" x14ac:dyDescent="0.3">
      <c r="A3912" s="9" t="s">
        <v>26337</v>
      </c>
      <c r="B3912" s="10" t="s">
        <v>26338</v>
      </c>
      <c r="C3912" s="11">
        <v>46047.75</v>
      </c>
      <c r="D3912" s="12">
        <v>8.3333333333333329E-2</v>
      </c>
      <c r="E3912" s="11">
        <v>46047.833333333336</v>
      </c>
      <c r="F3912" s="22" t="s">
        <v>16719</v>
      </c>
      <c r="G3912" s="13" t="b">
        <v>0</v>
      </c>
      <c r="H3912" s="22" t="s">
        <v>16543</v>
      </c>
      <c r="I3912" s="10" t="s">
        <v>212</v>
      </c>
      <c r="J3912" s="13" t="b">
        <v>1</v>
      </c>
      <c r="K3912" s="13" t="b">
        <v>0</v>
      </c>
      <c r="L3912" s="10" t="s">
        <v>124</v>
      </c>
      <c r="M3912" s="10" t="s">
        <v>91</v>
      </c>
      <c r="N3912" s="10" t="s">
        <v>92</v>
      </c>
      <c r="O3912" s="10"/>
      <c r="P3912" s="10"/>
      <c r="Q3912" s="10" t="s">
        <v>126</v>
      </c>
      <c r="R3912" s="10"/>
      <c r="S3912" s="10"/>
      <c r="T3912" s="10"/>
      <c r="U3912" s="10" t="s">
        <v>16732</v>
      </c>
      <c r="V3912" s="10" t="s">
        <v>16786</v>
      </c>
      <c r="W3912" s="10" t="s">
        <v>16644</v>
      </c>
      <c r="X3912" s="10" t="s">
        <v>16549</v>
      </c>
      <c r="Y3912" s="10" t="s">
        <v>16549</v>
      </c>
      <c r="Z3912" s="10" t="s">
        <v>99</v>
      </c>
      <c r="AA3912" s="10" t="s">
        <v>131</v>
      </c>
      <c r="AB3912" s="10" t="s">
        <v>16645</v>
      </c>
      <c r="AC3912" s="10" t="s">
        <v>16551</v>
      </c>
      <c r="AD3912" s="10" t="s">
        <v>26339</v>
      </c>
      <c r="AE3912" s="10" t="s">
        <v>26340</v>
      </c>
      <c r="AF3912" s="15"/>
      <c r="AG3912" s="10"/>
      <c r="AH3912" s="10"/>
      <c r="AI3912" s="10"/>
      <c r="AJ3912" s="10"/>
      <c r="AK3912" s="10"/>
      <c r="AL3912" s="10"/>
      <c r="AM3912" s="10"/>
      <c r="AN3912" s="10"/>
      <c r="AO3912" s="13" t="b">
        <v>0</v>
      </c>
      <c r="AP3912" s="22" t="s">
        <v>104</v>
      </c>
      <c r="AQ3912" s="10"/>
      <c r="AR3912" s="17"/>
      <c r="AS3912" s="17"/>
      <c r="AT3912" s="17"/>
      <c r="AU3912" s="17"/>
      <c r="AV3912" s="17"/>
      <c r="AW3912" s="10"/>
      <c r="AX3912" s="17"/>
      <c r="AY3912" s="18" t="s">
        <v>257</v>
      </c>
      <c r="AZ3912" s="10"/>
      <c r="BA3912" s="20" t="b">
        <v>0</v>
      </c>
      <c r="BB3912" s="10"/>
      <c r="BC3912" s="17" t="s">
        <v>257</v>
      </c>
      <c r="BD3912" s="17" t="s">
        <v>257</v>
      </c>
      <c r="BE3912" s="17" t="s">
        <v>257</v>
      </c>
      <c r="BF3912" s="17" t="s">
        <v>257</v>
      </c>
      <c r="BG3912" s="11">
        <f ca="1">IFERROR(__xludf.DUMMYFUNCTION("""COMPUTED_VALUE"""),46047.75)</f>
        <v>46047.75</v>
      </c>
      <c r="BH3912" s="17"/>
      <c r="BI3912" s="17"/>
      <c r="BJ3912" s="15"/>
      <c r="BK3912" s="15"/>
      <c r="BL3912" s="13" t="b">
        <v>0</v>
      </c>
      <c r="BM3912" s="10"/>
      <c r="BN3912" s="10" t="s">
        <v>18456</v>
      </c>
      <c r="BO3912" s="11">
        <v>46031.794444444444</v>
      </c>
      <c r="BP3912" s="11">
        <v>46031.795034722221</v>
      </c>
      <c r="BQ3912" s="15"/>
      <c r="BR3912" s="15"/>
      <c r="BS3912" s="10"/>
      <c r="BT3912" s="10" t="s">
        <v>99</v>
      </c>
      <c r="BU3912" s="10"/>
      <c r="BV3912" s="10"/>
      <c r="BW3912" s="10"/>
      <c r="BX3912" s="10"/>
      <c r="BY3912" s="23"/>
      <c r="BZ3912" s="23"/>
      <c r="CA3912" s="10"/>
      <c r="CB3912" s="23"/>
      <c r="CC3912" s="23"/>
      <c r="CD3912" s="23"/>
      <c r="CE3912" s="23"/>
      <c r="CF3912" s="23"/>
      <c r="CG3912" s="23"/>
      <c r="CH3912" s="23"/>
      <c r="CI3912" s="23"/>
    </row>
    <row r="3913" spans="1:87" x14ac:dyDescent="0.3">
      <c r="A3913" s="9" t="s">
        <v>26341</v>
      </c>
      <c r="B3913" s="10" t="s">
        <v>26342</v>
      </c>
      <c r="C3913" s="11">
        <v>46047.854166666664</v>
      </c>
      <c r="D3913" s="12">
        <v>8.3333333333333329E-2</v>
      </c>
      <c r="E3913" s="11">
        <v>46047.9375</v>
      </c>
      <c r="F3913" s="22" t="s">
        <v>16719</v>
      </c>
      <c r="G3913" s="13" t="b">
        <v>0</v>
      </c>
      <c r="H3913" s="22" t="s">
        <v>16543</v>
      </c>
      <c r="I3913" s="10" t="s">
        <v>212</v>
      </c>
      <c r="J3913" s="13" t="b">
        <v>1</v>
      </c>
      <c r="K3913" s="13" t="b">
        <v>0</v>
      </c>
      <c r="L3913" s="10" t="s">
        <v>124</v>
      </c>
      <c r="M3913" s="10" t="s">
        <v>91</v>
      </c>
      <c r="N3913" s="10" t="s">
        <v>92</v>
      </c>
      <c r="O3913" s="10"/>
      <c r="P3913" s="10"/>
      <c r="Q3913" s="10" t="s">
        <v>126</v>
      </c>
      <c r="R3913" s="10"/>
      <c r="S3913" s="10"/>
      <c r="T3913" s="10"/>
      <c r="U3913" s="10" t="s">
        <v>16761</v>
      </c>
      <c r="V3913" s="10" t="s">
        <v>16751</v>
      </c>
      <c r="W3913" s="10" t="s">
        <v>16644</v>
      </c>
      <c r="X3913" s="10" t="s">
        <v>16549</v>
      </c>
      <c r="Y3913" s="10" t="s">
        <v>16549</v>
      </c>
      <c r="Z3913" s="10" t="s">
        <v>99</v>
      </c>
      <c r="AA3913" s="10" t="s">
        <v>131</v>
      </c>
      <c r="AB3913" s="10" t="s">
        <v>16645</v>
      </c>
      <c r="AC3913" s="10" t="s">
        <v>16551</v>
      </c>
      <c r="AD3913" s="10" t="s">
        <v>16762</v>
      </c>
      <c r="AE3913" s="10" t="s">
        <v>26343</v>
      </c>
      <c r="AF3913" s="15"/>
      <c r="AG3913" s="10"/>
      <c r="AH3913" s="10"/>
      <c r="AI3913" s="10"/>
      <c r="AJ3913" s="10"/>
      <c r="AK3913" s="10"/>
      <c r="AL3913" s="10"/>
      <c r="AM3913" s="10"/>
      <c r="AN3913" s="10"/>
      <c r="AO3913" s="13" t="b">
        <v>0</v>
      </c>
      <c r="AP3913" s="22" t="s">
        <v>104</v>
      </c>
      <c r="AQ3913" s="10"/>
      <c r="AR3913" s="17"/>
      <c r="AS3913" s="17"/>
      <c r="AT3913" s="17"/>
      <c r="AU3913" s="17"/>
      <c r="AV3913" s="17"/>
      <c r="AW3913" s="10"/>
      <c r="AX3913" s="17"/>
      <c r="AY3913" s="18" t="s">
        <v>257</v>
      </c>
      <c r="AZ3913" s="10"/>
      <c r="BA3913" s="20" t="b">
        <v>0</v>
      </c>
      <c r="BB3913" s="10"/>
      <c r="BC3913" s="17" t="s">
        <v>257</v>
      </c>
      <c r="BD3913" s="17" t="s">
        <v>257</v>
      </c>
      <c r="BE3913" s="17" t="s">
        <v>257</v>
      </c>
      <c r="BF3913" s="17" t="s">
        <v>257</v>
      </c>
      <c r="BG3913" s="11">
        <f ca="1">IFERROR(__xludf.DUMMYFUNCTION("""COMPUTED_VALUE"""),46047.8541666666)</f>
        <v>46047.854166666599</v>
      </c>
      <c r="BH3913" s="17"/>
      <c r="BI3913" s="17"/>
      <c r="BJ3913" s="15"/>
      <c r="BK3913" s="15"/>
      <c r="BL3913" s="13" t="b">
        <v>0</v>
      </c>
      <c r="BM3913" s="10"/>
      <c r="BN3913" s="10" t="s">
        <v>18456</v>
      </c>
      <c r="BO3913" s="11">
        <v>46031.795138888891</v>
      </c>
      <c r="BP3913" s="11">
        <v>46031.795844907407</v>
      </c>
      <c r="BQ3913" s="15"/>
      <c r="BR3913" s="15"/>
      <c r="BS3913" s="10"/>
      <c r="BT3913" s="10" t="s">
        <v>99</v>
      </c>
      <c r="BU3913" s="10"/>
      <c r="BV3913" s="10"/>
      <c r="BW3913" s="10"/>
      <c r="BX3913" s="10"/>
      <c r="BY3913" s="23"/>
      <c r="BZ3913" s="23"/>
      <c r="CA3913" s="10"/>
      <c r="CB3913" s="23"/>
      <c r="CC3913" s="23"/>
      <c r="CD3913" s="23"/>
      <c r="CE3913" s="23"/>
      <c r="CF3913" s="23"/>
      <c r="CG3913" s="23"/>
      <c r="CH3913" s="23"/>
      <c r="CI3913" s="23"/>
    </row>
    <row r="3914" spans="1:87" x14ac:dyDescent="0.3">
      <c r="A3914" s="9" t="s">
        <v>26344</v>
      </c>
      <c r="B3914" s="10" t="s">
        <v>26345</v>
      </c>
      <c r="C3914" s="11">
        <v>46047.958333333336</v>
      </c>
      <c r="D3914" s="12">
        <v>8.3333333333333329E-2</v>
      </c>
      <c r="E3914" s="11">
        <v>46048.041666666664</v>
      </c>
      <c r="F3914" s="22" t="s">
        <v>16719</v>
      </c>
      <c r="G3914" s="13" t="b">
        <v>0</v>
      </c>
      <c r="H3914" s="22" t="s">
        <v>16543</v>
      </c>
      <c r="I3914" s="10" t="s">
        <v>212</v>
      </c>
      <c r="J3914" s="13" t="b">
        <v>1</v>
      </c>
      <c r="K3914" s="13" t="b">
        <v>0</v>
      </c>
      <c r="L3914" s="10" t="s">
        <v>124</v>
      </c>
      <c r="M3914" s="10" t="s">
        <v>91</v>
      </c>
      <c r="N3914" s="10" t="s">
        <v>92</v>
      </c>
      <c r="O3914" s="10"/>
      <c r="P3914" s="10"/>
      <c r="Q3914" s="10" t="s">
        <v>126</v>
      </c>
      <c r="R3914" s="10"/>
      <c r="S3914" s="10"/>
      <c r="T3914" s="10"/>
      <c r="U3914" s="10" t="s">
        <v>16742</v>
      </c>
      <c r="V3914" s="10" t="s">
        <v>16723</v>
      </c>
      <c r="W3914" s="10" t="s">
        <v>16644</v>
      </c>
      <c r="X3914" s="10" t="s">
        <v>16549</v>
      </c>
      <c r="Y3914" s="10" t="s">
        <v>16549</v>
      </c>
      <c r="Z3914" s="10" t="s">
        <v>99</v>
      </c>
      <c r="AA3914" s="10" t="s">
        <v>131</v>
      </c>
      <c r="AB3914" s="10" t="s">
        <v>16645</v>
      </c>
      <c r="AC3914" s="10" t="s">
        <v>16551</v>
      </c>
      <c r="AD3914" s="10" t="s">
        <v>26346</v>
      </c>
      <c r="AE3914" s="10" t="s">
        <v>26347</v>
      </c>
      <c r="AF3914" s="15"/>
      <c r="AG3914" s="10"/>
      <c r="AH3914" s="10"/>
      <c r="AI3914" s="10"/>
      <c r="AJ3914" s="10"/>
      <c r="AK3914" s="10"/>
      <c r="AL3914" s="10"/>
      <c r="AM3914" s="10"/>
      <c r="AN3914" s="10"/>
      <c r="AO3914" s="13" t="b">
        <v>0</v>
      </c>
      <c r="AP3914" s="22" t="s">
        <v>104</v>
      </c>
      <c r="AQ3914" s="10"/>
      <c r="AR3914" s="17"/>
      <c r="AS3914" s="17"/>
      <c r="AT3914" s="17"/>
      <c r="AU3914" s="17"/>
      <c r="AV3914" s="17"/>
      <c r="AW3914" s="10"/>
      <c r="AX3914" s="17"/>
      <c r="AY3914" s="18" t="s">
        <v>257</v>
      </c>
      <c r="AZ3914" s="10"/>
      <c r="BA3914" s="20" t="b">
        <v>0</v>
      </c>
      <c r="BB3914" s="10"/>
      <c r="BC3914" s="17" t="s">
        <v>257</v>
      </c>
      <c r="BD3914" s="17" t="s">
        <v>257</v>
      </c>
      <c r="BE3914" s="17" t="s">
        <v>257</v>
      </c>
      <c r="BF3914" s="17" t="s">
        <v>257</v>
      </c>
      <c r="BG3914" s="11">
        <f ca="1">IFERROR(__xludf.DUMMYFUNCTION("""COMPUTED_VALUE"""),46047.9583333333)</f>
        <v>46047.958333333299</v>
      </c>
      <c r="BH3914" s="17"/>
      <c r="BI3914" s="17"/>
      <c r="BJ3914" s="15"/>
      <c r="BK3914" s="15"/>
      <c r="BL3914" s="13" t="b">
        <v>0</v>
      </c>
      <c r="BM3914" s="10"/>
      <c r="BN3914" s="10" t="s">
        <v>18456</v>
      </c>
      <c r="BO3914" s="11">
        <v>46031.79583333333</v>
      </c>
      <c r="BP3914" s="11">
        <v>46031.796365740738</v>
      </c>
      <c r="BQ3914" s="15"/>
      <c r="BR3914" s="15"/>
      <c r="BS3914" s="10"/>
      <c r="BT3914" s="10" t="s">
        <v>99</v>
      </c>
      <c r="BU3914" s="10"/>
      <c r="BV3914" s="10"/>
      <c r="BW3914" s="10"/>
      <c r="BX3914" s="10"/>
      <c r="BY3914" s="23"/>
      <c r="BZ3914" s="23"/>
      <c r="CA3914" s="10"/>
      <c r="CB3914" s="23"/>
      <c r="CC3914" s="23"/>
      <c r="CD3914" s="23"/>
      <c r="CE3914" s="23"/>
      <c r="CF3914" s="23"/>
      <c r="CG3914" s="23"/>
      <c r="CH3914" s="23"/>
      <c r="CI3914" s="23"/>
    </row>
    <row r="3915" spans="1:87" x14ac:dyDescent="0.3">
      <c r="A3915" s="9" t="s">
        <v>26348</v>
      </c>
      <c r="B3915" s="10" t="s">
        <v>26349</v>
      </c>
      <c r="C3915" s="11">
        <v>46042.75</v>
      </c>
      <c r="D3915" s="12">
        <v>8.3333333333333329E-2</v>
      </c>
      <c r="E3915" s="11">
        <v>46042.833333333336</v>
      </c>
      <c r="F3915" s="22" t="s">
        <v>16639</v>
      </c>
      <c r="G3915" s="13" t="b">
        <v>0</v>
      </c>
      <c r="H3915" s="22" t="s">
        <v>16543</v>
      </c>
      <c r="I3915" s="10" t="s">
        <v>212</v>
      </c>
      <c r="J3915" s="13" t="b">
        <v>1</v>
      </c>
      <c r="K3915" s="13" t="b">
        <v>0</v>
      </c>
      <c r="L3915" s="10" t="s">
        <v>124</v>
      </c>
      <c r="M3915" s="10" t="s">
        <v>91</v>
      </c>
      <c r="N3915" s="10" t="s">
        <v>92</v>
      </c>
      <c r="O3915" s="10"/>
      <c r="P3915" s="10"/>
      <c r="Q3915" s="10" t="s">
        <v>126</v>
      </c>
      <c r="R3915" s="10"/>
      <c r="S3915" s="10"/>
      <c r="T3915" s="10"/>
      <c r="U3915" s="10" t="s">
        <v>16546</v>
      </c>
      <c r="V3915" s="10" t="s">
        <v>16547</v>
      </c>
      <c r="W3915" s="10" t="s">
        <v>16644</v>
      </c>
      <c r="X3915" s="10" t="s">
        <v>16549</v>
      </c>
      <c r="Y3915" s="10" t="s">
        <v>16549</v>
      </c>
      <c r="Z3915" s="10" t="s">
        <v>99</v>
      </c>
      <c r="AA3915" s="10" t="s">
        <v>131</v>
      </c>
      <c r="AB3915" s="10" t="s">
        <v>16645</v>
      </c>
      <c r="AC3915" s="10" t="s">
        <v>16551</v>
      </c>
      <c r="AD3915" s="10" t="s">
        <v>16552</v>
      </c>
      <c r="AE3915" s="10" t="s">
        <v>26350</v>
      </c>
      <c r="AF3915" s="15"/>
      <c r="AG3915" s="10"/>
      <c r="AH3915" s="10"/>
      <c r="AI3915" s="10"/>
      <c r="AJ3915" s="10"/>
      <c r="AK3915" s="10"/>
      <c r="AL3915" s="10"/>
      <c r="AM3915" s="10"/>
      <c r="AN3915" s="10"/>
      <c r="AO3915" s="13" t="b">
        <v>0</v>
      </c>
      <c r="AP3915" s="22" t="s">
        <v>135</v>
      </c>
      <c r="AQ3915" s="10"/>
      <c r="AR3915" s="17"/>
      <c r="AS3915" s="17"/>
      <c r="AT3915" s="17"/>
      <c r="AU3915" s="17"/>
      <c r="AV3915" s="17"/>
      <c r="AW3915" s="10"/>
      <c r="AX3915" s="17"/>
      <c r="AY3915" s="18" t="s">
        <v>257</v>
      </c>
      <c r="AZ3915" s="10"/>
      <c r="BA3915" s="20" t="b">
        <v>0</v>
      </c>
      <c r="BB3915" s="10"/>
      <c r="BC3915" s="17" t="s">
        <v>257</v>
      </c>
      <c r="BD3915" s="17" t="s">
        <v>257</v>
      </c>
      <c r="BE3915" s="17" t="s">
        <v>257</v>
      </c>
      <c r="BF3915" s="17" t="s">
        <v>257</v>
      </c>
      <c r="BG3915" s="11">
        <f ca="1">IFERROR(__xludf.DUMMYFUNCTION("""COMPUTED_VALUE"""),46042.75)</f>
        <v>46042.75</v>
      </c>
      <c r="BH3915" s="17"/>
      <c r="BI3915" s="17"/>
      <c r="BJ3915" s="15"/>
      <c r="BK3915" s="15"/>
      <c r="BL3915" s="13" t="b">
        <v>0</v>
      </c>
      <c r="BM3915" s="10"/>
      <c r="BN3915" s="10" t="s">
        <v>18456</v>
      </c>
      <c r="BO3915" s="11">
        <v>46031.796527777777</v>
      </c>
      <c r="BP3915" s="11">
        <v>46031.797199074077</v>
      </c>
      <c r="BQ3915" s="15"/>
      <c r="BR3915" s="15"/>
      <c r="BS3915" s="10"/>
      <c r="BT3915" s="10" t="s">
        <v>99</v>
      </c>
      <c r="BU3915" s="10"/>
      <c r="BV3915" s="10"/>
      <c r="BW3915" s="10"/>
      <c r="BX3915" s="10"/>
      <c r="BY3915" s="23"/>
      <c r="BZ3915" s="23"/>
      <c r="CA3915" s="10"/>
      <c r="CB3915" s="23"/>
      <c r="CC3915" s="23"/>
      <c r="CD3915" s="23"/>
      <c r="CE3915" s="23"/>
      <c r="CF3915" s="23"/>
      <c r="CG3915" s="23"/>
      <c r="CH3915" s="23"/>
      <c r="CI3915" s="23"/>
    </row>
    <row r="3916" spans="1:87" x14ac:dyDescent="0.3">
      <c r="A3916" s="9" t="s">
        <v>26351</v>
      </c>
      <c r="B3916" s="10" t="s">
        <v>26352</v>
      </c>
      <c r="C3916" s="11">
        <v>46043.875</v>
      </c>
      <c r="D3916" s="12">
        <v>8.3333333333333329E-2</v>
      </c>
      <c r="E3916" s="11">
        <v>46043.958333333336</v>
      </c>
      <c r="F3916" s="22" t="s">
        <v>16639</v>
      </c>
      <c r="G3916" s="13" t="b">
        <v>0</v>
      </c>
      <c r="H3916" s="22" t="s">
        <v>16543</v>
      </c>
      <c r="I3916" s="10" t="s">
        <v>212</v>
      </c>
      <c r="J3916" s="13" t="b">
        <v>1</v>
      </c>
      <c r="K3916" s="13" t="b">
        <v>0</v>
      </c>
      <c r="L3916" s="10" t="s">
        <v>124</v>
      </c>
      <c r="M3916" s="10" t="s">
        <v>91</v>
      </c>
      <c r="N3916" s="10" t="s">
        <v>92</v>
      </c>
      <c r="O3916" s="10"/>
      <c r="P3916" s="10"/>
      <c r="Q3916" s="10" t="s">
        <v>126</v>
      </c>
      <c r="R3916" s="10"/>
      <c r="S3916" s="10"/>
      <c r="T3916" s="10"/>
      <c r="U3916" s="10" t="s">
        <v>16654</v>
      </c>
      <c r="V3916" s="10" t="s">
        <v>16643</v>
      </c>
      <c r="W3916" s="10" t="s">
        <v>16644</v>
      </c>
      <c r="X3916" s="10" t="s">
        <v>16549</v>
      </c>
      <c r="Y3916" s="10" t="s">
        <v>16549</v>
      </c>
      <c r="Z3916" s="10" t="s">
        <v>99</v>
      </c>
      <c r="AA3916" s="10" t="s">
        <v>131</v>
      </c>
      <c r="AB3916" s="10" t="s">
        <v>16645</v>
      </c>
      <c r="AC3916" s="10" t="s">
        <v>16551</v>
      </c>
      <c r="AD3916" s="10" t="s">
        <v>26353</v>
      </c>
      <c r="AE3916" s="10" t="s">
        <v>26354</v>
      </c>
      <c r="AF3916" s="15"/>
      <c r="AG3916" s="10"/>
      <c r="AH3916" s="10"/>
      <c r="AI3916" s="10"/>
      <c r="AJ3916" s="10"/>
      <c r="AK3916" s="10"/>
      <c r="AL3916" s="10"/>
      <c r="AM3916" s="10"/>
      <c r="AN3916" s="10"/>
      <c r="AO3916" s="13" t="b">
        <v>0</v>
      </c>
      <c r="AP3916" s="22" t="s">
        <v>135</v>
      </c>
      <c r="AQ3916" s="10"/>
      <c r="AR3916" s="17"/>
      <c r="AS3916" s="17"/>
      <c r="AT3916" s="17"/>
      <c r="AU3916" s="17"/>
      <c r="AV3916" s="17"/>
      <c r="AW3916" s="10"/>
      <c r="AX3916" s="17"/>
      <c r="AY3916" s="18" t="s">
        <v>257</v>
      </c>
      <c r="AZ3916" s="10"/>
      <c r="BA3916" s="20" t="b">
        <v>0</v>
      </c>
      <c r="BB3916" s="10"/>
      <c r="BC3916" s="17" t="s">
        <v>257</v>
      </c>
      <c r="BD3916" s="17" t="s">
        <v>257</v>
      </c>
      <c r="BE3916" s="17" t="s">
        <v>257</v>
      </c>
      <c r="BF3916" s="17" t="s">
        <v>257</v>
      </c>
      <c r="BG3916" s="11">
        <f ca="1">IFERROR(__xludf.DUMMYFUNCTION("""COMPUTED_VALUE"""),46043.875)</f>
        <v>46043.875</v>
      </c>
      <c r="BH3916" s="17"/>
      <c r="BI3916" s="17"/>
      <c r="BJ3916" s="15"/>
      <c r="BK3916" s="15"/>
      <c r="BL3916" s="13" t="b">
        <v>0</v>
      </c>
      <c r="BM3916" s="10"/>
      <c r="BN3916" s="10" t="s">
        <v>18456</v>
      </c>
      <c r="BO3916" s="11">
        <v>46031.79791666667</v>
      </c>
      <c r="BP3916" s="11">
        <v>46031.797986111109</v>
      </c>
      <c r="BQ3916" s="15"/>
      <c r="BR3916" s="15"/>
      <c r="BS3916" s="10"/>
      <c r="BT3916" s="10" t="s">
        <v>99</v>
      </c>
      <c r="BU3916" s="10"/>
      <c r="BV3916" s="10"/>
      <c r="BW3916" s="10"/>
      <c r="BX3916" s="10"/>
      <c r="BY3916" s="23"/>
      <c r="BZ3916" s="23"/>
      <c r="CA3916" s="10"/>
      <c r="CB3916" s="23"/>
      <c r="CC3916" s="23"/>
      <c r="CD3916" s="23"/>
      <c r="CE3916" s="23"/>
      <c r="CF3916" s="23"/>
      <c r="CG3916" s="23"/>
      <c r="CH3916" s="23"/>
      <c r="CI3916" s="23"/>
    </row>
    <row r="3917" spans="1:87" x14ac:dyDescent="0.3">
      <c r="A3917" s="9" t="s">
        <v>26355</v>
      </c>
      <c r="B3917" s="10" t="s">
        <v>26356</v>
      </c>
      <c r="C3917" s="11">
        <v>46046.75</v>
      </c>
      <c r="D3917" s="12">
        <v>8.3333333333333329E-2</v>
      </c>
      <c r="E3917" s="11">
        <v>46046.833333333336</v>
      </c>
      <c r="F3917" s="22" t="s">
        <v>16639</v>
      </c>
      <c r="G3917" s="13" t="b">
        <v>0</v>
      </c>
      <c r="H3917" s="22" t="s">
        <v>16543</v>
      </c>
      <c r="I3917" s="10" t="s">
        <v>212</v>
      </c>
      <c r="J3917" s="13" t="b">
        <v>1</v>
      </c>
      <c r="K3917" s="13" t="b">
        <v>0</v>
      </c>
      <c r="L3917" s="10" t="s">
        <v>124</v>
      </c>
      <c r="M3917" s="10" t="s">
        <v>91</v>
      </c>
      <c r="N3917" s="10" t="s">
        <v>92</v>
      </c>
      <c r="O3917" s="10"/>
      <c r="P3917" s="10"/>
      <c r="Q3917" s="10" t="s">
        <v>126</v>
      </c>
      <c r="R3917" s="10"/>
      <c r="S3917" s="10"/>
      <c r="T3917" s="10"/>
      <c r="U3917" s="10" t="s">
        <v>16578</v>
      </c>
      <c r="V3917" s="10" t="s">
        <v>16569</v>
      </c>
      <c r="W3917" s="10" t="s">
        <v>16644</v>
      </c>
      <c r="X3917" s="10" t="s">
        <v>16549</v>
      </c>
      <c r="Y3917" s="10" t="s">
        <v>16549</v>
      </c>
      <c r="Z3917" s="10" t="s">
        <v>99</v>
      </c>
      <c r="AA3917" s="10" t="s">
        <v>131</v>
      </c>
      <c r="AB3917" s="10" t="s">
        <v>16645</v>
      </c>
      <c r="AC3917" s="10" t="s">
        <v>16551</v>
      </c>
      <c r="AD3917" s="10" t="s">
        <v>16579</v>
      </c>
      <c r="AE3917" s="10" t="s">
        <v>26357</v>
      </c>
      <c r="AF3917" s="15"/>
      <c r="AG3917" s="10"/>
      <c r="AH3917" s="10"/>
      <c r="AI3917" s="10"/>
      <c r="AJ3917" s="10"/>
      <c r="AK3917" s="10"/>
      <c r="AL3917" s="10"/>
      <c r="AM3917" s="10"/>
      <c r="AN3917" s="10"/>
      <c r="AO3917" s="13" t="b">
        <v>0</v>
      </c>
      <c r="AP3917" s="22" t="s">
        <v>135</v>
      </c>
      <c r="AQ3917" s="10"/>
      <c r="AR3917" s="17"/>
      <c r="AS3917" s="17"/>
      <c r="AT3917" s="17"/>
      <c r="AU3917" s="17"/>
      <c r="AV3917" s="17"/>
      <c r="AW3917" s="10"/>
      <c r="AX3917" s="17"/>
      <c r="AY3917" s="18" t="s">
        <v>257</v>
      </c>
      <c r="AZ3917" s="10"/>
      <c r="BA3917" s="20" t="b">
        <v>0</v>
      </c>
      <c r="BB3917" s="10"/>
      <c r="BC3917" s="17" t="s">
        <v>257</v>
      </c>
      <c r="BD3917" s="17" t="s">
        <v>257</v>
      </c>
      <c r="BE3917" s="17" t="s">
        <v>257</v>
      </c>
      <c r="BF3917" s="17" t="s">
        <v>257</v>
      </c>
      <c r="BG3917" s="11">
        <f ca="1">IFERROR(__xludf.DUMMYFUNCTION("""COMPUTED_VALUE"""),46046.75)</f>
        <v>46046.75</v>
      </c>
      <c r="BH3917" s="17"/>
      <c r="BI3917" s="17"/>
      <c r="BJ3917" s="15"/>
      <c r="BK3917" s="15"/>
      <c r="BL3917" s="13" t="b">
        <v>0</v>
      </c>
      <c r="BM3917" s="10"/>
      <c r="BN3917" s="10" t="s">
        <v>18456</v>
      </c>
      <c r="BO3917" s="11">
        <v>46031.798611111109</v>
      </c>
      <c r="BP3917" s="11">
        <v>46031.798657407409</v>
      </c>
      <c r="BQ3917" s="15"/>
      <c r="BR3917" s="15"/>
      <c r="BS3917" s="10"/>
      <c r="BT3917" s="10" t="s">
        <v>99</v>
      </c>
      <c r="BU3917" s="10"/>
      <c r="BV3917" s="10"/>
      <c r="BW3917" s="10"/>
      <c r="BX3917" s="10"/>
      <c r="BY3917" s="23"/>
      <c r="BZ3917" s="23"/>
      <c r="CA3917" s="10"/>
      <c r="CB3917" s="23"/>
      <c r="CC3917" s="23"/>
      <c r="CD3917" s="23"/>
      <c r="CE3917" s="23"/>
      <c r="CF3917" s="23"/>
      <c r="CG3917" s="23"/>
      <c r="CH3917" s="23"/>
      <c r="CI3917" s="23"/>
    </row>
    <row r="3918" spans="1:87" x14ac:dyDescent="0.3">
      <c r="A3918" s="9" t="s">
        <v>26358</v>
      </c>
      <c r="B3918" s="10" t="s">
        <v>26359</v>
      </c>
      <c r="C3918" s="11">
        <v>46046.958333333336</v>
      </c>
      <c r="D3918" s="12">
        <v>8.3333333333333329E-2</v>
      </c>
      <c r="E3918" s="11">
        <v>46047.041666666664</v>
      </c>
      <c r="F3918" s="22" t="s">
        <v>16639</v>
      </c>
      <c r="G3918" s="13" t="b">
        <v>0</v>
      </c>
      <c r="H3918" s="22" t="s">
        <v>16543</v>
      </c>
      <c r="I3918" s="10" t="s">
        <v>212</v>
      </c>
      <c r="J3918" s="13" t="b">
        <v>1</v>
      </c>
      <c r="K3918" s="13" t="b">
        <v>0</v>
      </c>
      <c r="L3918" s="10" t="s">
        <v>124</v>
      </c>
      <c r="M3918" s="10" t="s">
        <v>91</v>
      </c>
      <c r="N3918" s="10" t="s">
        <v>92</v>
      </c>
      <c r="O3918" s="10"/>
      <c r="P3918" s="10"/>
      <c r="Q3918" s="10" t="s">
        <v>126</v>
      </c>
      <c r="R3918" s="10"/>
      <c r="S3918" s="10"/>
      <c r="T3918" s="10"/>
      <c r="U3918" s="10" t="s">
        <v>16671</v>
      </c>
      <c r="V3918" s="10" t="s">
        <v>16680</v>
      </c>
      <c r="W3918" s="10" t="s">
        <v>16644</v>
      </c>
      <c r="X3918" s="10" t="s">
        <v>16549</v>
      </c>
      <c r="Y3918" s="10" t="s">
        <v>16549</v>
      </c>
      <c r="Z3918" s="10" t="s">
        <v>99</v>
      </c>
      <c r="AA3918" s="10" t="s">
        <v>131</v>
      </c>
      <c r="AB3918" s="10" t="s">
        <v>16645</v>
      </c>
      <c r="AC3918" s="10" t="s">
        <v>16551</v>
      </c>
      <c r="AD3918" s="10" t="s">
        <v>26360</v>
      </c>
      <c r="AE3918" s="10" t="s">
        <v>26361</v>
      </c>
      <c r="AF3918" s="15"/>
      <c r="AG3918" s="10"/>
      <c r="AH3918" s="10"/>
      <c r="AI3918" s="10"/>
      <c r="AJ3918" s="10"/>
      <c r="AK3918" s="10"/>
      <c r="AL3918" s="10"/>
      <c r="AM3918" s="10"/>
      <c r="AN3918" s="10"/>
      <c r="AO3918" s="13" t="b">
        <v>0</v>
      </c>
      <c r="AP3918" s="22" t="s">
        <v>135</v>
      </c>
      <c r="AQ3918" s="10"/>
      <c r="AR3918" s="17"/>
      <c r="AS3918" s="17"/>
      <c r="AT3918" s="17"/>
      <c r="AU3918" s="17"/>
      <c r="AV3918" s="17"/>
      <c r="AW3918" s="10"/>
      <c r="AX3918" s="17"/>
      <c r="AY3918" s="18" t="s">
        <v>257</v>
      </c>
      <c r="AZ3918" s="10"/>
      <c r="BA3918" s="20" t="b">
        <v>0</v>
      </c>
      <c r="BB3918" s="10"/>
      <c r="BC3918" s="17" t="s">
        <v>257</v>
      </c>
      <c r="BD3918" s="17" t="s">
        <v>257</v>
      </c>
      <c r="BE3918" s="17" t="s">
        <v>257</v>
      </c>
      <c r="BF3918" s="17" t="s">
        <v>257</v>
      </c>
      <c r="BG3918" s="11">
        <f ca="1">IFERROR(__xludf.DUMMYFUNCTION("""COMPUTED_VALUE"""),46046.9583333333)</f>
        <v>46046.958333333299</v>
      </c>
      <c r="BH3918" s="17"/>
      <c r="BI3918" s="17"/>
      <c r="BJ3918" s="15"/>
      <c r="BK3918" s="15"/>
      <c r="BL3918" s="13" t="b">
        <v>0</v>
      </c>
      <c r="BM3918" s="10"/>
      <c r="BN3918" s="10" t="s">
        <v>18456</v>
      </c>
      <c r="BO3918" s="11">
        <v>46031.798611111109</v>
      </c>
      <c r="BP3918" s="11">
        <v>46031.79928240741</v>
      </c>
      <c r="BQ3918" s="15"/>
      <c r="BR3918" s="15"/>
      <c r="BS3918" s="10"/>
      <c r="BT3918" s="10" t="s">
        <v>99</v>
      </c>
      <c r="BU3918" s="10"/>
      <c r="BV3918" s="10"/>
      <c r="BW3918" s="10"/>
      <c r="BX3918" s="10"/>
      <c r="BY3918" s="23"/>
      <c r="BZ3918" s="23"/>
      <c r="CA3918" s="10"/>
      <c r="CB3918" s="23"/>
      <c r="CC3918" s="23"/>
      <c r="CD3918" s="23"/>
      <c r="CE3918" s="23"/>
      <c r="CF3918" s="23"/>
      <c r="CG3918" s="23"/>
      <c r="CH3918" s="23"/>
      <c r="CI3918" s="23"/>
    </row>
    <row r="3919" spans="1:87" x14ac:dyDescent="0.3">
      <c r="A3919" s="9" t="s">
        <v>26362</v>
      </c>
      <c r="B3919" s="10" t="s">
        <v>26363</v>
      </c>
      <c r="C3919" s="11">
        <v>46053.75</v>
      </c>
      <c r="D3919" s="12">
        <v>8.3333333333333329E-2</v>
      </c>
      <c r="E3919" s="11">
        <v>46053.833333333336</v>
      </c>
      <c r="F3919" s="22" t="s">
        <v>16639</v>
      </c>
      <c r="G3919" s="13" t="b">
        <v>0</v>
      </c>
      <c r="H3919" s="22" t="s">
        <v>16543</v>
      </c>
      <c r="I3919" s="10" t="s">
        <v>212</v>
      </c>
      <c r="J3919" s="13" t="b">
        <v>1</v>
      </c>
      <c r="K3919" s="13" t="b">
        <v>0</v>
      </c>
      <c r="L3919" s="10" t="s">
        <v>124</v>
      </c>
      <c r="M3919" s="10" t="s">
        <v>91</v>
      </c>
      <c r="N3919" s="10" t="s">
        <v>92</v>
      </c>
      <c r="O3919" s="10"/>
      <c r="P3919" s="10"/>
      <c r="Q3919" s="10" t="s">
        <v>126</v>
      </c>
      <c r="R3919" s="10"/>
      <c r="S3919" s="10"/>
      <c r="T3919" s="10"/>
      <c r="U3919" s="10" t="s">
        <v>16569</v>
      </c>
      <c r="V3919" s="10" t="s">
        <v>16643</v>
      </c>
      <c r="W3919" s="10" t="s">
        <v>16644</v>
      </c>
      <c r="X3919" s="10" t="s">
        <v>16549</v>
      </c>
      <c r="Y3919" s="10" t="s">
        <v>16549</v>
      </c>
      <c r="Z3919" s="10" t="s">
        <v>99</v>
      </c>
      <c r="AA3919" s="10" t="s">
        <v>131</v>
      </c>
      <c r="AB3919" s="10" t="s">
        <v>16645</v>
      </c>
      <c r="AC3919" s="10" t="s">
        <v>16551</v>
      </c>
      <c r="AD3919" s="10" t="s">
        <v>26364</v>
      </c>
      <c r="AE3919" s="10" t="s">
        <v>26365</v>
      </c>
      <c r="AF3919" s="15"/>
      <c r="AG3919" s="10"/>
      <c r="AH3919" s="10"/>
      <c r="AI3919" s="10"/>
      <c r="AJ3919" s="10"/>
      <c r="AK3919" s="10"/>
      <c r="AL3919" s="10"/>
      <c r="AM3919" s="10"/>
      <c r="AN3919" s="10"/>
      <c r="AO3919" s="13" t="b">
        <v>0</v>
      </c>
      <c r="AP3919" s="22" t="s">
        <v>135</v>
      </c>
      <c r="AQ3919" s="10"/>
      <c r="AR3919" s="17"/>
      <c r="AS3919" s="17"/>
      <c r="AT3919" s="17"/>
      <c r="AU3919" s="17"/>
      <c r="AV3919" s="17"/>
      <c r="AW3919" s="10"/>
      <c r="AX3919" s="17"/>
      <c r="AY3919" s="18" t="s">
        <v>257</v>
      </c>
      <c r="AZ3919" s="10"/>
      <c r="BA3919" s="20" t="b">
        <v>0</v>
      </c>
      <c r="BB3919" s="10"/>
      <c r="BC3919" s="17" t="s">
        <v>257</v>
      </c>
      <c r="BD3919" s="17" t="s">
        <v>257</v>
      </c>
      <c r="BE3919" s="17" t="s">
        <v>257</v>
      </c>
      <c r="BF3919" s="17" t="s">
        <v>257</v>
      </c>
      <c r="BG3919" s="11">
        <f ca="1">IFERROR(__xludf.DUMMYFUNCTION("""COMPUTED_VALUE"""),46053.75)</f>
        <v>46053.75</v>
      </c>
      <c r="BH3919" s="17"/>
      <c r="BI3919" s="17"/>
      <c r="BJ3919" s="15"/>
      <c r="BK3919" s="15"/>
      <c r="BL3919" s="13" t="b">
        <v>0</v>
      </c>
      <c r="BM3919" s="10"/>
      <c r="BN3919" s="10" t="s">
        <v>18456</v>
      </c>
      <c r="BO3919" s="11">
        <v>46031.8</v>
      </c>
      <c r="BP3919" s="11">
        <v>46031.800057870372</v>
      </c>
      <c r="BQ3919" s="15"/>
      <c r="BR3919" s="15"/>
      <c r="BS3919" s="10"/>
      <c r="BT3919" s="10" t="s">
        <v>99</v>
      </c>
      <c r="BU3919" s="10"/>
      <c r="BV3919" s="10"/>
      <c r="BW3919" s="10"/>
      <c r="BX3919" s="10"/>
      <c r="BY3919" s="23"/>
      <c r="BZ3919" s="23"/>
      <c r="CA3919" s="10"/>
      <c r="CB3919" s="23"/>
      <c r="CC3919" s="23"/>
      <c r="CD3919" s="23"/>
      <c r="CE3919" s="23"/>
      <c r="CF3919" s="23"/>
      <c r="CG3919" s="23"/>
      <c r="CH3919" s="23"/>
      <c r="CI3919" s="23"/>
    </row>
    <row r="3920" spans="1:87" x14ac:dyDescent="0.3">
      <c r="A3920" s="9" t="s">
        <v>26366</v>
      </c>
      <c r="B3920" s="10" t="s">
        <v>26367</v>
      </c>
      <c r="C3920" s="11">
        <v>46053.854166666664</v>
      </c>
      <c r="D3920" s="12">
        <v>8.3333333333333329E-2</v>
      </c>
      <c r="E3920" s="11">
        <v>46053.9375</v>
      </c>
      <c r="F3920" s="22" t="s">
        <v>16639</v>
      </c>
      <c r="G3920" s="13" t="b">
        <v>0</v>
      </c>
      <c r="H3920" s="22" t="s">
        <v>16543</v>
      </c>
      <c r="I3920" s="10" t="s">
        <v>212</v>
      </c>
      <c r="J3920" s="13" t="b">
        <v>1</v>
      </c>
      <c r="K3920" s="13" t="b">
        <v>0</v>
      </c>
      <c r="L3920" s="10" t="s">
        <v>124</v>
      </c>
      <c r="M3920" s="10" t="s">
        <v>91</v>
      </c>
      <c r="N3920" s="10" t="s">
        <v>92</v>
      </c>
      <c r="O3920" s="10"/>
      <c r="P3920" s="10"/>
      <c r="Q3920" s="10" t="s">
        <v>126</v>
      </c>
      <c r="R3920" s="10"/>
      <c r="S3920" s="10"/>
      <c r="T3920" s="10"/>
      <c r="U3920" s="10" t="s">
        <v>16642</v>
      </c>
      <c r="V3920" s="10" t="s">
        <v>16546</v>
      </c>
      <c r="W3920" s="10" t="s">
        <v>16644</v>
      </c>
      <c r="X3920" s="10" t="s">
        <v>16549</v>
      </c>
      <c r="Y3920" s="10" t="s">
        <v>16549</v>
      </c>
      <c r="Z3920" s="10" t="s">
        <v>99</v>
      </c>
      <c r="AA3920" s="10" t="s">
        <v>131</v>
      </c>
      <c r="AB3920" s="10" t="s">
        <v>16645</v>
      </c>
      <c r="AC3920" s="10" t="s">
        <v>16551</v>
      </c>
      <c r="AD3920" s="10" t="s">
        <v>26368</v>
      </c>
      <c r="AE3920" s="10" t="s">
        <v>26369</v>
      </c>
      <c r="AF3920" s="15"/>
      <c r="AG3920" s="10"/>
      <c r="AH3920" s="10"/>
      <c r="AI3920" s="10"/>
      <c r="AJ3920" s="10"/>
      <c r="AK3920" s="10"/>
      <c r="AL3920" s="10"/>
      <c r="AM3920" s="10"/>
      <c r="AN3920" s="10"/>
      <c r="AO3920" s="13" t="b">
        <v>0</v>
      </c>
      <c r="AP3920" s="22" t="s">
        <v>135</v>
      </c>
      <c r="AQ3920" s="10"/>
      <c r="AR3920" s="17"/>
      <c r="AS3920" s="17"/>
      <c r="AT3920" s="17"/>
      <c r="AU3920" s="17"/>
      <c r="AV3920" s="17"/>
      <c r="AW3920" s="10"/>
      <c r="AX3920" s="17"/>
      <c r="AY3920" s="18" t="s">
        <v>257</v>
      </c>
      <c r="AZ3920" s="10"/>
      <c r="BA3920" s="20" t="b">
        <v>0</v>
      </c>
      <c r="BB3920" s="10"/>
      <c r="BC3920" s="17" t="s">
        <v>257</v>
      </c>
      <c r="BD3920" s="17" t="s">
        <v>257</v>
      </c>
      <c r="BE3920" s="17" t="s">
        <v>257</v>
      </c>
      <c r="BF3920" s="17" t="s">
        <v>257</v>
      </c>
      <c r="BG3920" s="11">
        <f ca="1">IFERROR(__xludf.DUMMYFUNCTION("""COMPUTED_VALUE"""),46053.8541666666)</f>
        <v>46053.854166666599</v>
      </c>
      <c r="BH3920" s="17"/>
      <c r="BI3920" s="17"/>
      <c r="BJ3920" s="15"/>
      <c r="BK3920" s="15"/>
      <c r="BL3920" s="13" t="b">
        <v>0</v>
      </c>
      <c r="BM3920" s="10"/>
      <c r="BN3920" s="10" t="s">
        <v>18456</v>
      </c>
      <c r="BO3920" s="11">
        <v>46031.800694444442</v>
      </c>
      <c r="BP3920" s="11">
        <v>46031.800717592596</v>
      </c>
      <c r="BQ3920" s="15"/>
      <c r="BR3920" s="15"/>
      <c r="BS3920" s="10"/>
      <c r="BT3920" s="10" t="s">
        <v>99</v>
      </c>
      <c r="BU3920" s="10"/>
      <c r="BV3920" s="10"/>
      <c r="BW3920" s="10"/>
      <c r="BX3920" s="10"/>
      <c r="BY3920" s="23"/>
      <c r="BZ3920" s="23"/>
      <c r="CA3920" s="10"/>
      <c r="CB3920" s="23"/>
      <c r="CC3920" s="23"/>
      <c r="CD3920" s="23"/>
      <c r="CE3920" s="23"/>
      <c r="CF3920" s="23"/>
      <c r="CG3920" s="23"/>
      <c r="CH3920" s="23"/>
      <c r="CI3920" s="23"/>
    </row>
    <row r="3921" spans="1:87" x14ac:dyDescent="0.3">
      <c r="A3921" s="9" t="s">
        <v>26370</v>
      </c>
      <c r="B3921" s="10" t="s">
        <v>26371</v>
      </c>
      <c r="C3921" s="11">
        <v>46053.958333333336</v>
      </c>
      <c r="D3921" s="12">
        <v>8.3333333333333329E-2</v>
      </c>
      <c r="E3921" s="11">
        <v>46054.041666666664</v>
      </c>
      <c r="F3921" s="22" t="s">
        <v>16639</v>
      </c>
      <c r="G3921" s="13" t="b">
        <v>0</v>
      </c>
      <c r="H3921" s="22" t="s">
        <v>16543</v>
      </c>
      <c r="I3921" s="10" t="s">
        <v>212</v>
      </c>
      <c r="J3921" s="13" t="b">
        <v>1</v>
      </c>
      <c r="K3921" s="13" t="b">
        <v>0</v>
      </c>
      <c r="L3921" s="10" t="s">
        <v>124</v>
      </c>
      <c r="M3921" s="10" t="s">
        <v>91</v>
      </c>
      <c r="N3921" s="10" t="s">
        <v>92</v>
      </c>
      <c r="O3921" s="10"/>
      <c r="P3921" s="10"/>
      <c r="Q3921" s="10" t="s">
        <v>126</v>
      </c>
      <c r="R3921" s="10"/>
      <c r="S3921" s="10"/>
      <c r="T3921" s="10"/>
      <c r="U3921" s="10" t="s">
        <v>16680</v>
      </c>
      <c r="V3921" s="10" t="s">
        <v>16594</v>
      </c>
      <c r="W3921" s="10" t="s">
        <v>16644</v>
      </c>
      <c r="X3921" s="10" t="s">
        <v>16549</v>
      </c>
      <c r="Y3921" s="10" t="s">
        <v>16549</v>
      </c>
      <c r="Z3921" s="10" t="s">
        <v>99</v>
      </c>
      <c r="AA3921" s="10" t="s">
        <v>131</v>
      </c>
      <c r="AB3921" s="10" t="s">
        <v>16645</v>
      </c>
      <c r="AC3921" s="10" t="s">
        <v>16551</v>
      </c>
      <c r="AD3921" s="10" t="s">
        <v>26372</v>
      </c>
      <c r="AE3921" s="10" t="s">
        <v>26373</v>
      </c>
      <c r="AF3921" s="15"/>
      <c r="AG3921" s="10"/>
      <c r="AH3921" s="10"/>
      <c r="AI3921" s="10"/>
      <c r="AJ3921" s="10"/>
      <c r="AK3921" s="10"/>
      <c r="AL3921" s="10"/>
      <c r="AM3921" s="10"/>
      <c r="AN3921" s="10"/>
      <c r="AO3921" s="13" t="b">
        <v>0</v>
      </c>
      <c r="AP3921" s="22" t="s">
        <v>135</v>
      </c>
      <c r="AQ3921" s="10"/>
      <c r="AR3921" s="17"/>
      <c r="AS3921" s="17"/>
      <c r="AT3921" s="17"/>
      <c r="AU3921" s="17"/>
      <c r="AV3921" s="17"/>
      <c r="AW3921" s="10"/>
      <c r="AX3921" s="17"/>
      <c r="AY3921" s="18" t="s">
        <v>257</v>
      </c>
      <c r="AZ3921" s="10"/>
      <c r="BA3921" s="20" t="b">
        <v>0</v>
      </c>
      <c r="BB3921" s="10"/>
      <c r="BC3921" s="17" t="s">
        <v>257</v>
      </c>
      <c r="BD3921" s="17" t="s">
        <v>257</v>
      </c>
      <c r="BE3921" s="17" t="s">
        <v>257</v>
      </c>
      <c r="BF3921" s="17" t="s">
        <v>257</v>
      </c>
      <c r="BG3921" s="11">
        <f ca="1">IFERROR(__xludf.DUMMYFUNCTION("""COMPUTED_VALUE"""),46053.9583333333)</f>
        <v>46053.958333333299</v>
      </c>
      <c r="BH3921" s="17"/>
      <c r="BI3921" s="17"/>
      <c r="BJ3921" s="15"/>
      <c r="BK3921" s="15"/>
      <c r="BL3921" s="13" t="b">
        <v>0</v>
      </c>
      <c r="BM3921" s="10"/>
      <c r="BN3921" s="10" t="s">
        <v>18456</v>
      </c>
      <c r="BO3921" s="11">
        <v>46031.800694444442</v>
      </c>
      <c r="BP3921" s="11">
        <v>46031.801238425927</v>
      </c>
      <c r="BQ3921" s="15"/>
      <c r="BR3921" s="15"/>
      <c r="BS3921" s="10"/>
      <c r="BT3921" s="10" t="s">
        <v>99</v>
      </c>
      <c r="BU3921" s="10"/>
      <c r="BV3921" s="10"/>
      <c r="BW3921" s="10"/>
      <c r="BX3921" s="10"/>
      <c r="BY3921" s="23"/>
      <c r="BZ3921" s="23"/>
      <c r="CA3921" s="10"/>
      <c r="CB3921" s="23"/>
      <c r="CC3921" s="23"/>
      <c r="CD3921" s="23"/>
      <c r="CE3921" s="23"/>
      <c r="CF3921" s="23"/>
      <c r="CG3921" s="23"/>
      <c r="CH3921" s="23"/>
      <c r="CI3921" s="23"/>
    </row>
    <row r="3922" spans="1:87" x14ac:dyDescent="0.3">
      <c r="A3922" s="9" t="s">
        <v>26374</v>
      </c>
      <c r="B3922" s="10" t="s">
        <v>26375</v>
      </c>
      <c r="C3922" s="11">
        <v>46054.958333333336</v>
      </c>
      <c r="D3922" s="12">
        <v>8.3333333333333329E-2</v>
      </c>
      <c r="E3922" s="11">
        <v>46055.041666666664</v>
      </c>
      <c r="F3922" s="22" t="s">
        <v>16639</v>
      </c>
      <c r="G3922" s="13" t="b">
        <v>0</v>
      </c>
      <c r="H3922" s="22" t="s">
        <v>16543</v>
      </c>
      <c r="I3922" s="10" t="s">
        <v>212</v>
      </c>
      <c r="J3922" s="13" t="b">
        <v>1</v>
      </c>
      <c r="K3922" s="13" t="b">
        <v>0</v>
      </c>
      <c r="L3922" s="10" t="s">
        <v>124</v>
      </c>
      <c r="M3922" s="10" t="s">
        <v>91</v>
      </c>
      <c r="N3922" s="10" t="s">
        <v>92</v>
      </c>
      <c r="O3922" s="10"/>
      <c r="P3922" s="10"/>
      <c r="Q3922" s="10" t="s">
        <v>126</v>
      </c>
      <c r="R3922" s="10"/>
      <c r="S3922" s="10"/>
      <c r="T3922" s="10"/>
      <c r="U3922" s="10" t="s">
        <v>16654</v>
      </c>
      <c r="V3922" s="10" t="s">
        <v>16671</v>
      </c>
      <c r="W3922" s="10" t="s">
        <v>16644</v>
      </c>
      <c r="X3922" s="10" t="s">
        <v>16549</v>
      </c>
      <c r="Y3922" s="10" t="s">
        <v>16549</v>
      </c>
      <c r="Z3922" s="10" t="s">
        <v>99</v>
      </c>
      <c r="AA3922" s="10" t="s">
        <v>131</v>
      </c>
      <c r="AB3922" s="10" t="s">
        <v>16645</v>
      </c>
      <c r="AC3922" s="10" t="s">
        <v>16551</v>
      </c>
      <c r="AD3922" s="10" t="s">
        <v>26376</v>
      </c>
      <c r="AE3922" s="10" t="s">
        <v>26377</v>
      </c>
      <c r="AF3922" s="15"/>
      <c r="AG3922" s="10"/>
      <c r="AH3922" s="10"/>
      <c r="AI3922" s="10"/>
      <c r="AJ3922" s="10"/>
      <c r="AK3922" s="10"/>
      <c r="AL3922" s="10"/>
      <c r="AM3922" s="10"/>
      <c r="AN3922" s="10"/>
      <c r="AO3922" s="13" t="b">
        <v>0</v>
      </c>
      <c r="AP3922" s="22" t="s">
        <v>135</v>
      </c>
      <c r="AQ3922" s="10"/>
      <c r="AR3922" s="17"/>
      <c r="AS3922" s="17"/>
      <c r="AT3922" s="17"/>
      <c r="AU3922" s="17"/>
      <c r="AV3922" s="17"/>
      <c r="AW3922" s="10"/>
      <c r="AX3922" s="17"/>
      <c r="AY3922" s="18" t="s">
        <v>257</v>
      </c>
      <c r="AZ3922" s="10"/>
      <c r="BA3922" s="20" t="b">
        <v>0</v>
      </c>
      <c r="BB3922" s="10"/>
      <c r="BC3922" s="17" t="s">
        <v>257</v>
      </c>
      <c r="BD3922" s="17" t="s">
        <v>257</v>
      </c>
      <c r="BE3922" s="17" t="s">
        <v>257</v>
      </c>
      <c r="BF3922" s="17" t="s">
        <v>257</v>
      </c>
      <c r="BG3922" s="11">
        <f ca="1">IFERROR(__xludf.DUMMYFUNCTION("""COMPUTED_VALUE"""),46054.9583333333)</f>
        <v>46054.958333333299</v>
      </c>
      <c r="BH3922" s="17"/>
      <c r="BI3922" s="17"/>
      <c r="BJ3922" s="15"/>
      <c r="BK3922" s="15"/>
      <c r="BL3922" s="13" t="b">
        <v>0</v>
      </c>
      <c r="BM3922" s="10"/>
      <c r="BN3922" s="10" t="s">
        <v>18456</v>
      </c>
      <c r="BO3922" s="11">
        <v>46031.801388888889</v>
      </c>
      <c r="BP3922" s="11">
        <v>46031.801828703705</v>
      </c>
      <c r="BQ3922" s="15"/>
      <c r="BR3922" s="15"/>
      <c r="BS3922" s="10"/>
      <c r="BT3922" s="10" t="s">
        <v>99</v>
      </c>
      <c r="BU3922" s="10"/>
      <c r="BV3922" s="10"/>
      <c r="BW3922" s="10"/>
      <c r="BX3922" s="10"/>
      <c r="BY3922" s="23"/>
      <c r="BZ3922" s="23"/>
      <c r="CA3922" s="10"/>
      <c r="CB3922" s="23"/>
      <c r="CC3922" s="23"/>
      <c r="CD3922" s="23"/>
      <c r="CE3922" s="23"/>
      <c r="CF3922" s="23"/>
      <c r="CG3922" s="23"/>
      <c r="CH3922" s="23"/>
      <c r="CI3922" s="23"/>
    </row>
    <row r="3923" spans="1:87" x14ac:dyDescent="0.3">
      <c r="A3923" s="9" t="s">
        <v>26378</v>
      </c>
      <c r="B3923" s="10" t="s">
        <v>26379</v>
      </c>
      <c r="C3923" s="11">
        <v>46032.375</v>
      </c>
      <c r="D3923" s="12">
        <v>3.4722222222222224E-2</v>
      </c>
      <c r="E3923" s="11">
        <v>46032.409722222219</v>
      </c>
      <c r="F3923" s="22" t="s">
        <v>24700</v>
      </c>
      <c r="G3923" s="13" t="b">
        <v>0</v>
      </c>
      <c r="H3923" s="22" t="s">
        <v>21384</v>
      </c>
      <c r="I3923" s="10" t="s">
        <v>9131</v>
      </c>
      <c r="J3923" s="13" t="b">
        <v>0</v>
      </c>
      <c r="K3923" s="13" t="b">
        <v>1</v>
      </c>
      <c r="L3923" s="10" t="s">
        <v>124</v>
      </c>
      <c r="M3923" s="10" t="s">
        <v>91</v>
      </c>
      <c r="N3923" s="10" t="s">
        <v>92</v>
      </c>
      <c r="O3923" s="10"/>
      <c r="P3923" s="10"/>
      <c r="Q3923" s="10" t="s">
        <v>126</v>
      </c>
      <c r="R3923" s="10"/>
      <c r="S3923" s="10"/>
      <c r="T3923" s="10"/>
      <c r="U3923" s="10"/>
      <c r="V3923" s="10"/>
      <c r="W3923" s="10" t="s">
        <v>24703</v>
      </c>
      <c r="X3923" s="10" t="s">
        <v>216</v>
      </c>
      <c r="Y3923" s="10" t="s">
        <v>216</v>
      </c>
      <c r="Z3923" s="10" t="s">
        <v>99</v>
      </c>
      <c r="AA3923" s="10" t="s">
        <v>131</v>
      </c>
      <c r="AB3923" s="10" t="s">
        <v>24704</v>
      </c>
      <c r="AC3923" s="10" t="s">
        <v>21389</v>
      </c>
      <c r="AD3923" s="10" t="s">
        <v>165</v>
      </c>
      <c r="AE3923" s="10" t="s">
        <v>26380</v>
      </c>
      <c r="AF3923" s="15"/>
      <c r="AG3923" s="10"/>
      <c r="AH3923" s="10"/>
      <c r="AI3923" s="10"/>
      <c r="AJ3923" s="10"/>
      <c r="AK3923" s="10" t="s">
        <v>256</v>
      </c>
      <c r="AL3923" s="10"/>
      <c r="AM3923" s="10"/>
      <c r="AN3923" s="10"/>
      <c r="AO3923" s="13" t="b">
        <v>0</v>
      </c>
      <c r="AP3923" s="22" t="s">
        <v>135</v>
      </c>
      <c r="AQ3923" s="10"/>
      <c r="AR3923" s="17"/>
      <c r="AS3923" s="17"/>
      <c r="AT3923" s="17"/>
      <c r="AU3923" s="17"/>
      <c r="AV3923" s="17"/>
      <c r="AW3923" s="10"/>
      <c r="AX3923" s="17"/>
      <c r="AY3923" s="18" t="s">
        <v>257</v>
      </c>
      <c r="AZ3923" s="10"/>
      <c r="BA3923" s="20" t="b">
        <v>0</v>
      </c>
      <c r="BB3923" s="10" t="s">
        <v>24745</v>
      </c>
      <c r="BC3923" s="17" t="s">
        <v>257</v>
      </c>
      <c r="BD3923" s="17" t="s">
        <v>257</v>
      </c>
      <c r="BE3923" s="17" t="s">
        <v>257</v>
      </c>
      <c r="BF3923" s="17" t="s">
        <v>257</v>
      </c>
      <c r="BG3923" s="11">
        <f ca="1">IFERROR(__xludf.DUMMYFUNCTION("""COMPUTED_VALUE"""),46032.375)</f>
        <v>46032.375</v>
      </c>
      <c r="BH3923" s="17"/>
      <c r="BI3923" s="17"/>
      <c r="BJ3923" s="15"/>
      <c r="BK3923" s="15"/>
      <c r="BL3923" s="13" t="b">
        <v>0</v>
      </c>
      <c r="BM3923" s="10"/>
      <c r="BN3923" s="10" t="s">
        <v>18577</v>
      </c>
      <c r="BO3923" s="11">
        <v>46031.897222222222</v>
      </c>
      <c r="BP3923" s="11">
        <v>46031.897337962961</v>
      </c>
      <c r="BQ3923" s="15"/>
      <c r="BR3923" s="15"/>
      <c r="BS3923" s="10" t="s">
        <v>18577</v>
      </c>
      <c r="BT3923" s="10"/>
      <c r="BU3923" s="10"/>
      <c r="BV3923" s="10"/>
      <c r="BW3923" s="10"/>
      <c r="BX3923" s="10"/>
      <c r="BY3923" s="23"/>
      <c r="BZ3923" s="23"/>
      <c r="CA3923" s="10"/>
      <c r="CB3923" s="23"/>
      <c r="CC3923" s="23"/>
      <c r="CD3923" s="23"/>
      <c r="CE3923" s="23"/>
      <c r="CF3923" s="23"/>
      <c r="CG3923" s="23"/>
      <c r="CH3923" s="23"/>
      <c r="CI3923" s="23"/>
    </row>
    <row r="3924" spans="1:87" x14ac:dyDescent="0.3">
      <c r="A3924" s="9" t="s">
        <v>26381</v>
      </c>
      <c r="B3924" s="10" t="s">
        <v>26382</v>
      </c>
      <c r="C3924" s="11">
        <v>46032.409722222219</v>
      </c>
      <c r="D3924" s="12">
        <v>3.4722222222222224E-2</v>
      </c>
      <c r="E3924" s="11">
        <v>46032.444444444445</v>
      </c>
      <c r="F3924" s="22" t="s">
        <v>24700</v>
      </c>
      <c r="G3924" s="13" t="b">
        <v>0</v>
      </c>
      <c r="H3924" s="22" t="s">
        <v>21384</v>
      </c>
      <c r="I3924" s="10" t="s">
        <v>9131</v>
      </c>
      <c r="J3924" s="13" t="b">
        <v>0</v>
      </c>
      <c r="K3924" s="13" t="b">
        <v>1</v>
      </c>
      <c r="L3924" s="10" t="s">
        <v>124</v>
      </c>
      <c r="M3924" s="10" t="s">
        <v>91</v>
      </c>
      <c r="N3924" s="10" t="s">
        <v>92</v>
      </c>
      <c r="O3924" s="19" t="s">
        <v>26383</v>
      </c>
      <c r="P3924" s="10"/>
      <c r="Q3924" s="10" t="s">
        <v>126</v>
      </c>
      <c r="R3924" s="10"/>
      <c r="S3924" s="10"/>
      <c r="T3924" s="10"/>
      <c r="U3924" s="10"/>
      <c r="V3924" s="10"/>
      <c r="W3924" s="10" t="s">
        <v>24703</v>
      </c>
      <c r="X3924" s="10" t="s">
        <v>216</v>
      </c>
      <c r="Y3924" s="10" t="s">
        <v>216</v>
      </c>
      <c r="Z3924" s="10" t="s">
        <v>99</v>
      </c>
      <c r="AA3924" s="10" t="s">
        <v>131</v>
      </c>
      <c r="AB3924" s="10" t="s">
        <v>24704</v>
      </c>
      <c r="AC3924" s="10" t="s">
        <v>21389</v>
      </c>
      <c r="AD3924" s="10" t="s">
        <v>165</v>
      </c>
      <c r="AE3924" s="10" t="s">
        <v>26384</v>
      </c>
      <c r="AF3924" s="15"/>
      <c r="AG3924" s="10"/>
      <c r="AH3924" s="10"/>
      <c r="AI3924" s="10"/>
      <c r="AJ3924" s="10"/>
      <c r="AK3924" s="10" t="s">
        <v>102</v>
      </c>
      <c r="AL3924" s="10"/>
      <c r="AM3924" s="10"/>
      <c r="AN3924" s="10"/>
      <c r="AO3924" s="13" t="b">
        <v>0</v>
      </c>
      <c r="AP3924" s="22" t="s">
        <v>135</v>
      </c>
      <c r="AQ3924" s="10">
        <f ca="1">IFERROR(__xludf.DUMMYFUNCTION("""COMPUTED_VALUE"""),4835421)</f>
        <v>4835421</v>
      </c>
      <c r="AR3924" s="17">
        <v>10836</v>
      </c>
      <c r="AS3924" s="17">
        <v>8375</v>
      </c>
      <c r="AT3924" s="17">
        <v>647472.25</v>
      </c>
      <c r="AU3924" s="17">
        <v>76.2</v>
      </c>
      <c r="AV3924" s="17">
        <v>32.5</v>
      </c>
      <c r="AW3924" s="10" t="s">
        <v>105</v>
      </c>
      <c r="AX3924" s="17">
        <v>5252</v>
      </c>
      <c r="AY3924" s="18">
        <v>77.31011940298508</v>
      </c>
      <c r="AZ3924" s="10"/>
      <c r="BA3924" s="20" t="b">
        <v>0</v>
      </c>
      <c r="BB3924" s="10" t="s">
        <v>24745</v>
      </c>
      <c r="BC3924" s="17">
        <v>10836</v>
      </c>
      <c r="BD3924" s="17">
        <v>8375</v>
      </c>
      <c r="BE3924" s="17">
        <v>647472.25</v>
      </c>
      <c r="BF3924" s="17">
        <v>32.5</v>
      </c>
      <c r="BG3924" s="11">
        <f ca="1">IFERROR(__xludf.DUMMYFUNCTION("""COMPUTED_VALUE"""),46032.4097222222)</f>
        <v>46032.409722222197</v>
      </c>
      <c r="BH3924" s="17" t="s">
        <v>105</v>
      </c>
      <c r="BI3924" s="17"/>
      <c r="BJ3924" s="15"/>
      <c r="BK3924" s="15"/>
      <c r="BL3924" s="13" t="b">
        <v>0</v>
      </c>
      <c r="BM3924" s="10"/>
      <c r="BN3924" s="10" t="s">
        <v>278</v>
      </c>
      <c r="BO3924" s="11">
        <v>46031.897222222222</v>
      </c>
      <c r="BP3924" s="11">
        <v>46031.897499999999</v>
      </c>
      <c r="BQ3924" s="15"/>
      <c r="BR3924" s="15">
        <v>46031.940023148149</v>
      </c>
      <c r="BS3924" s="10" t="s">
        <v>278</v>
      </c>
      <c r="BT3924" s="10"/>
      <c r="BU3924" s="10"/>
      <c r="BV3924" s="10"/>
      <c r="BW3924" s="10"/>
      <c r="BX3924" s="10"/>
      <c r="BY3924" s="23"/>
      <c r="BZ3924" s="23"/>
      <c r="CA3924" s="10"/>
      <c r="CB3924" s="23"/>
      <c r="CC3924" s="23"/>
      <c r="CD3924" s="23"/>
      <c r="CE3924" s="23"/>
      <c r="CF3924" s="23"/>
      <c r="CG3924" s="23"/>
      <c r="CH3924" s="23"/>
      <c r="CI3924" s="23"/>
    </row>
    <row r="3925" spans="1:87" x14ac:dyDescent="0.3">
      <c r="A3925" s="9" t="s">
        <v>26385</v>
      </c>
      <c r="B3925" s="10" t="s">
        <v>26386</v>
      </c>
      <c r="C3925" s="11">
        <v>46032.444444444445</v>
      </c>
      <c r="D3925" s="12">
        <v>3.4722222222222224E-2</v>
      </c>
      <c r="E3925" s="11">
        <v>46032.479166666664</v>
      </c>
      <c r="F3925" s="22" t="s">
        <v>24700</v>
      </c>
      <c r="G3925" s="13" t="b">
        <v>0</v>
      </c>
      <c r="H3925" s="22" t="s">
        <v>21384</v>
      </c>
      <c r="I3925" s="10" t="s">
        <v>9131</v>
      </c>
      <c r="J3925" s="13" t="b">
        <v>0</v>
      </c>
      <c r="K3925" s="13" t="b">
        <v>1</v>
      </c>
      <c r="L3925" s="10" t="s">
        <v>124</v>
      </c>
      <c r="M3925" s="10" t="s">
        <v>91</v>
      </c>
      <c r="N3925" s="10" t="s">
        <v>92</v>
      </c>
      <c r="O3925" s="19" t="s">
        <v>26387</v>
      </c>
      <c r="P3925" s="10"/>
      <c r="Q3925" s="10" t="s">
        <v>126</v>
      </c>
      <c r="R3925" s="10"/>
      <c r="S3925" s="10"/>
      <c r="T3925" s="10"/>
      <c r="U3925" s="10"/>
      <c r="V3925" s="10"/>
      <c r="W3925" s="10" t="s">
        <v>24703</v>
      </c>
      <c r="X3925" s="10" t="s">
        <v>216</v>
      </c>
      <c r="Y3925" s="10" t="s">
        <v>216</v>
      </c>
      <c r="Z3925" s="10" t="s">
        <v>99</v>
      </c>
      <c r="AA3925" s="10" t="s">
        <v>131</v>
      </c>
      <c r="AB3925" s="10" t="s">
        <v>24704</v>
      </c>
      <c r="AC3925" s="10" t="s">
        <v>21389</v>
      </c>
      <c r="AD3925" s="10" t="s">
        <v>165</v>
      </c>
      <c r="AE3925" s="10" t="s">
        <v>26388</v>
      </c>
      <c r="AF3925" s="15"/>
      <c r="AG3925" s="10"/>
      <c r="AH3925" s="10"/>
      <c r="AI3925" s="10"/>
      <c r="AJ3925" s="10"/>
      <c r="AK3925" s="10" t="s">
        <v>102</v>
      </c>
      <c r="AL3925" s="10"/>
      <c r="AM3925" s="10"/>
      <c r="AN3925" s="10"/>
      <c r="AO3925" s="13" t="b">
        <v>0</v>
      </c>
      <c r="AP3925" s="22" t="s">
        <v>135</v>
      </c>
      <c r="AQ3925" s="10">
        <f ca="1">IFERROR(__xludf.DUMMYFUNCTION("""COMPUTED_VALUE"""),4835422)</f>
        <v>4835422</v>
      </c>
      <c r="AR3925" s="17">
        <v>14172</v>
      </c>
      <c r="AS3925" s="17">
        <v>10355</v>
      </c>
      <c r="AT3925" s="17">
        <v>584417.25</v>
      </c>
      <c r="AU3925" s="17">
        <v>97.85</v>
      </c>
      <c r="AV3925" s="17">
        <v>47.8</v>
      </c>
      <c r="AW3925" s="10" t="s">
        <v>105</v>
      </c>
      <c r="AX3925" s="17">
        <v>6709</v>
      </c>
      <c r="AY3925" s="18">
        <v>56.438169966199901</v>
      </c>
      <c r="AZ3925" s="10"/>
      <c r="BA3925" s="20" t="b">
        <v>0</v>
      </c>
      <c r="BB3925" s="10" t="s">
        <v>24745</v>
      </c>
      <c r="BC3925" s="17">
        <v>14172</v>
      </c>
      <c r="BD3925" s="17">
        <v>10355</v>
      </c>
      <c r="BE3925" s="17">
        <v>584417.25</v>
      </c>
      <c r="BF3925" s="17">
        <v>47.8</v>
      </c>
      <c r="BG3925" s="11">
        <f ca="1">IFERROR(__xludf.DUMMYFUNCTION("""COMPUTED_VALUE"""),46032.4444444444)</f>
        <v>46032.444444444402</v>
      </c>
      <c r="BH3925" s="17" t="s">
        <v>105</v>
      </c>
      <c r="BI3925" s="17"/>
      <c r="BJ3925" s="15"/>
      <c r="BK3925" s="15"/>
      <c r="BL3925" s="13" t="b">
        <v>0</v>
      </c>
      <c r="BM3925" s="10"/>
      <c r="BN3925" s="10" t="s">
        <v>278</v>
      </c>
      <c r="BO3925" s="11">
        <v>46031.898611111108</v>
      </c>
      <c r="BP3925" s="11">
        <v>46031.898935185185</v>
      </c>
      <c r="BQ3925" s="15"/>
      <c r="BR3925" s="15">
        <v>46031.94021990741</v>
      </c>
      <c r="BS3925" s="10" t="s">
        <v>278</v>
      </c>
      <c r="BT3925" s="10"/>
      <c r="BU3925" s="10"/>
      <c r="BV3925" s="10"/>
      <c r="BW3925" s="10"/>
      <c r="BX3925" s="10"/>
      <c r="BY3925" s="23"/>
      <c r="BZ3925" s="23"/>
      <c r="CA3925" s="10"/>
      <c r="CB3925" s="23"/>
      <c r="CC3925" s="23"/>
      <c r="CD3925" s="23"/>
      <c r="CE3925" s="23"/>
      <c r="CF3925" s="23"/>
      <c r="CG3925" s="23"/>
      <c r="CH3925" s="23"/>
      <c r="CI3925" s="23"/>
    </row>
    <row r="3926" spans="1:87" x14ac:dyDescent="0.3">
      <c r="A3926" s="9" t="s">
        <v>26389</v>
      </c>
      <c r="B3926" s="10" t="s">
        <v>26390</v>
      </c>
      <c r="C3926" s="11">
        <v>46032.479166666664</v>
      </c>
      <c r="D3926" s="12">
        <v>3.4722222222222224E-2</v>
      </c>
      <c r="E3926" s="11">
        <v>46032.513888888891</v>
      </c>
      <c r="F3926" s="22" t="s">
        <v>24700</v>
      </c>
      <c r="G3926" s="13" t="b">
        <v>0</v>
      </c>
      <c r="H3926" s="22" t="s">
        <v>21384</v>
      </c>
      <c r="I3926" s="10" t="s">
        <v>9131</v>
      </c>
      <c r="J3926" s="13" t="b">
        <v>0</v>
      </c>
      <c r="K3926" s="13" t="b">
        <v>1</v>
      </c>
      <c r="L3926" s="10" t="s">
        <v>124</v>
      </c>
      <c r="M3926" s="10" t="s">
        <v>91</v>
      </c>
      <c r="N3926" s="10" t="s">
        <v>92</v>
      </c>
      <c r="O3926" s="19" t="s">
        <v>26391</v>
      </c>
      <c r="P3926" s="10"/>
      <c r="Q3926" s="10" t="s">
        <v>126</v>
      </c>
      <c r="R3926" s="10"/>
      <c r="S3926" s="10"/>
      <c r="T3926" s="10"/>
      <c r="U3926" s="10"/>
      <c r="V3926" s="10"/>
      <c r="W3926" s="10" t="s">
        <v>24703</v>
      </c>
      <c r="X3926" s="10" t="s">
        <v>216</v>
      </c>
      <c r="Y3926" s="10" t="s">
        <v>216</v>
      </c>
      <c r="Z3926" s="10" t="s">
        <v>99</v>
      </c>
      <c r="AA3926" s="10" t="s">
        <v>131</v>
      </c>
      <c r="AB3926" s="10" t="s">
        <v>24704</v>
      </c>
      <c r="AC3926" s="10" t="s">
        <v>21389</v>
      </c>
      <c r="AD3926" s="10" t="s">
        <v>165</v>
      </c>
      <c r="AE3926" s="10" t="s">
        <v>26392</v>
      </c>
      <c r="AF3926" s="15"/>
      <c r="AG3926" s="10"/>
      <c r="AH3926" s="10"/>
      <c r="AI3926" s="10"/>
      <c r="AJ3926" s="10"/>
      <c r="AK3926" s="10" t="s">
        <v>102</v>
      </c>
      <c r="AL3926" s="10"/>
      <c r="AM3926" s="10"/>
      <c r="AN3926" s="10"/>
      <c r="AO3926" s="13" t="b">
        <v>0</v>
      </c>
      <c r="AP3926" s="22" t="s">
        <v>135</v>
      </c>
      <c r="AQ3926" s="10">
        <f ca="1">IFERROR(__xludf.DUMMYFUNCTION("""COMPUTED_VALUE"""),4835423)</f>
        <v>4835423</v>
      </c>
      <c r="AR3926" s="17">
        <v>14786</v>
      </c>
      <c r="AS3926" s="17">
        <v>10797</v>
      </c>
      <c r="AT3926" s="17">
        <v>508266.25</v>
      </c>
      <c r="AU3926" s="17">
        <v>92</v>
      </c>
      <c r="AV3926" s="17">
        <v>38.1</v>
      </c>
      <c r="AW3926" s="10" t="s">
        <v>105</v>
      </c>
      <c r="AX3926" s="17">
        <v>7820</v>
      </c>
      <c r="AY3926" s="18">
        <v>47.074766138742241</v>
      </c>
      <c r="AZ3926" s="10"/>
      <c r="BA3926" s="20" t="b">
        <v>0</v>
      </c>
      <c r="BB3926" s="10" t="s">
        <v>24745</v>
      </c>
      <c r="BC3926" s="17">
        <v>14786</v>
      </c>
      <c r="BD3926" s="17">
        <v>10797</v>
      </c>
      <c r="BE3926" s="17">
        <v>508266.25</v>
      </c>
      <c r="BF3926" s="17">
        <v>38.1</v>
      </c>
      <c r="BG3926" s="11">
        <f ca="1">IFERROR(__xludf.DUMMYFUNCTION("""COMPUTED_VALUE"""),46032.4791666666)</f>
        <v>46032.479166666599</v>
      </c>
      <c r="BH3926" s="17" t="s">
        <v>105</v>
      </c>
      <c r="BI3926" s="17"/>
      <c r="BJ3926" s="15"/>
      <c r="BK3926" s="15"/>
      <c r="BL3926" s="13" t="b">
        <v>0</v>
      </c>
      <c r="BM3926" s="10"/>
      <c r="BN3926" s="10" t="s">
        <v>278</v>
      </c>
      <c r="BO3926" s="11">
        <v>46031.899305555555</v>
      </c>
      <c r="BP3926" s="11">
        <v>46031.899351851855</v>
      </c>
      <c r="BQ3926" s="15"/>
      <c r="BR3926" s="15">
        <v>46031.940405092595</v>
      </c>
      <c r="BS3926" s="10" t="s">
        <v>278</v>
      </c>
      <c r="BT3926" s="10"/>
      <c r="BU3926" s="10"/>
      <c r="BV3926" s="10"/>
      <c r="BW3926" s="10"/>
      <c r="BX3926" s="10"/>
      <c r="BY3926" s="23"/>
      <c r="BZ3926" s="23"/>
      <c r="CA3926" s="10"/>
      <c r="CB3926" s="23"/>
      <c r="CC3926" s="23"/>
      <c r="CD3926" s="23"/>
      <c r="CE3926" s="23"/>
      <c r="CF3926" s="23"/>
      <c r="CG3926" s="23"/>
      <c r="CH3926" s="23"/>
      <c r="CI3926" s="23"/>
    </row>
    <row r="3927" spans="1:87" x14ac:dyDescent="0.3">
      <c r="A3927" s="25" t="s">
        <v>26393</v>
      </c>
      <c r="B3927" s="10" t="s">
        <v>26394</v>
      </c>
      <c r="C3927" s="11">
        <v>46032.513888888891</v>
      </c>
      <c r="D3927" s="12">
        <v>3.4722222222222224E-2</v>
      </c>
      <c r="E3927" s="11">
        <v>46032.548611111109</v>
      </c>
      <c r="F3927" s="22" t="s">
        <v>24700</v>
      </c>
      <c r="G3927" s="13" t="b">
        <v>0</v>
      </c>
      <c r="H3927" s="22" t="s">
        <v>21384</v>
      </c>
      <c r="I3927" s="10" t="s">
        <v>9131</v>
      </c>
      <c r="J3927" s="13" t="b">
        <v>0</v>
      </c>
      <c r="K3927" s="13" t="b">
        <v>1</v>
      </c>
      <c r="L3927" s="10" t="s">
        <v>124</v>
      </c>
      <c r="M3927" s="10" t="s">
        <v>91</v>
      </c>
      <c r="N3927" s="10" t="s">
        <v>92</v>
      </c>
      <c r="O3927" s="19" t="s">
        <v>26395</v>
      </c>
      <c r="P3927" s="10"/>
      <c r="Q3927" s="10" t="s">
        <v>126</v>
      </c>
      <c r="R3927" s="10"/>
      <c r="S3927" s="10"/>
      <c r="T3927" s="10"/>
      <c r="U3927" s="10"/>
      <c r="V3927" s="10"/>
      <c r="W3927" s="10" t="s">
        <v>24703</v>
      </c>
      <c r="X3927" s="10" t="s">
        <v>216</v>
      </c>
      <c r="Y3927" s="10" t="s">
        <v>216</v>
      </c>
      <c r="Z3927" s="10" t="s">
        <v>99</v>
      </c>
      <c r="AA3927" s="10" t="s">
        <v>131</v>
      </c>
      <c r="AB3927" s="10" t="s">
        <v>24704</v>
      </c>
      <c r="AC3927" s="10" t="s">
        <v>21389</v>
      </c>
      <c r="AD3927" s="10" t="s">
        <v>165</v>
      </c>
      <c r="AE3927" s="10" t="s">
        <v>26396</v>
      </c>
      <c r="AF3927" s="15"/>
      <c r="AG3927" s="10"/>
      <c r="AH3927" s="10"/>
      <c r="AI3927" s="10"/>
      <c r="AJ3927" s="10"/>
      <c r="AK3927" s="10" t="s">
        <v>102</v>
      </c>
      <c r="AL3927" s="10"/>
      <c r="AM3927" s="10"/>
      <c r="AN3927" s="10"/>
      <c r="AO3927" s="13" t="b">
        <v>0</v>
      </c>
      <c r="AP3927" s="22" t="s">
        <v>221</v>
      </c>
      <c r="AQ3927" s="10">
        <f ca="1">IFERROR(__xludf.DUMMYFUNCTION("""COMPUTED_VALUE"""),4835424)</f>
        <v>4835424</v>
      </c>
      <c r="AR3927" s="17">
        <v>11691</v>
      </c>
      <c r="AS3927" s="17">
        <v>9233</v>
      </c>
      <c r="AT3927" s="17">
        <v>388532.5</v>
      </c>
      <c r="AU3927" s="17">
        <v>66.599999999999994</v>
      </c>
      <c r="AV3927" s="17">
        <v>29.7</v>
      </c>
      <c r="AW3927" s="10" t="s">
        <v>105</v>
      </c>
      <c r="AX3927" s="17">
        <v>8658</v>
      </c>
      <c r="AY3927" s="18">
        <v>42.080851294270552</v>
      </c>
      <c r="AZ3927" s="10"/>
      <c r="BA3927" s="20" t="b">
        <v>0</v>
      </c>
      <c r="BB3927" s="10" t="s">
        <v>24745</v>
      </c>
      <c r="BC3927" s="17">
        <v>11691</v>
      </c>
      <c r="BD3927" s="17">
        <v>9233</v>
      </c>
      <c r="BE3927" s="17">
        <v>388532.5</v>
      </c>
      <c r="BF3927" s="17">
        <v>29.7</v>
      </c>
      <c r="BG3927" s="11">
        <f ca="1">IFERROR(__xludf.DUMMYFUNCTION("""COMPUTED_VALUE"""),46032.5138888888)</f>
        <v>46032.513888888803</v>
      </c>
      <c r="BH3927" s="17" t="s">
        <v>105</v>
      </c>
      <c r="BI3927" s="17"/>
      <c r="BJ3927" s="15"/>
      <c r="BK3927" s="15"/>
      <c r="BL3927" s="13" t="b">
        <v>0</v>
      </c>
      <c r="BM3927" s="10"/>
      <c r="BN3927" s="10" t="s">
        <v>278</v>
      </c>
      <c r="BO3927" s="11">
        <v>46031.899305555555</v>
      </c>
      <c r="BP3927" s="11">
        <v>46031.899548611109</v>
      </c>
      <c r="BQ3927" s="15"/>
      <c r="BR3927" s="15">
        <v>46031.942013888889</v>
      </c>
      <c r="BS3927" s="10" t="s">
        <v>278</v>
      </c>
      <c r="BT3927" s="10"/>
      <c r="BU3927" s="10"/>
      <c r="BV3927" s="10"/>
      <c r="BW3927" s="10"/>
      <c r="BX3927" s="10"/>
      <c r="BY3927" s="23"/>
      <c r="BZ3927" s="23"/>
      <c r="CA3927" s="10"/>
      <c r="CB3927" s="23"/>
      <c r="CC3927" s="23"/>
      <c r="CD3927" s="23"/>
      <c r="CE3927" s="23"/>
      <c r="CF3927" s="23"/>
      <c r="CG3927" s="23"/>
      <c r="CH3927" s="23"/>
      <c r="CI3927" s="23"/>
    </row>
    <row r="3928" spans="1:87" x14ac:dyDescent="0.3">
      <c r="A3928" s="9" t="s">
        <v>26397</v>
      </c>
      <c r="B3928" s="10" t="s">
        <v>26398</v>
      </c>
      <c r="C3928" s="11">
        <v>46032.548611111109</v>
      </c>
      <c r="D3928" s="12">
        <v>3.4722222222222224E-2</v>
      </c>
      <c r="E3928" s="11">
        <v>46032.583333333336</v>
      </c>
      <c r="F3928" s="22" t="s">
        <v>24700</v>
      </c>
      <c r="G3928" s="13" t="b">
        <v>0</v>
      </c>
      <c r="H3928" s="22" t="s">
        <v>21384</v>
      </c>
      <c r="I3928" s="10" t="s">
        <v>9131</v>
      </c>
      <c r="J3928" s="13" t="b">
        <v>0</v>
      </c>
      <c r="K3928" s="13" t="b">
        <v>1</v>
      </c>
      <c r="L3928" s="10" t="s">
        <v>124</v>
      </c>
      <c r="M3928" s="10" t="s">
        <v>91</v>
      </c>
      <c r="N3928" s="10" t="s">
        <v>92</v>
      </c>
      <c r="O3928" s="19" t="s">
        <v>26399</v>
      </c>
      <c r="P3928" s="10"/>
      <c r="Q3928" s="10" t="s">
        <v>126</v>
      </c>
      <c r="R3928" s="10"/>
      <c r="S3928" s="10"/>
      <c r="T3928" s="10"/>
      <c r="U3928" s="10"/>
      <c r="V3928" s="10"/>
      <c r="W3928" s="10" t="s">
        <v>24703</v>
      </c>
      <c r="X3928" s="10" t="s">
        <v>216</v>
      </c>
      <c r="Y3928" s="10" t="s">
        <v>216</v>
      </c>
      <c r="Z3928" s="10" t="s">
        <v>99</v>
      </c>
      <c r="AA3928" s="10" t="s">
        <v>131</v>
      </c>
      <c r="AB3928" s="10" t="s">
        <v>24704</v>
      </c>
      <c r="AC3928" s="10" t="s">
        <v>21389</v>
      </c>
      <c r="AD3928" s="10" t="s">
        <v>165</v>
      </c>
      <c r="AE3928" s="10" t="s">
        <v>26400</v>
      </c>
      <c r="AF3928" s="15"/>
      <c r="AG3928" s="10"/>
      <c r="AH3928" s="10"/>
      <c r="AI3928" s="10"/>
      <c r="AJ3928" s="10"/>
      <c r="AK3928" s="10" t="s">
        <v>102</v>
      </c>
      <c r="AL3928" s="10"/>
      <c r="AM3928" s="10"/>
      <c r="AN3928" s="10"/>
      <c r="AO3928" s="13" t="b">
        <v>0</v>
      </c>
      <c r="AP3928" s="22" t="s">
        <v>221</v>
      </c>
      <c r="AQ3928" s="10">
        <f ca="1">IFERROR(__xludf.DUMMYFUNCTION("""COMPUTED_VALUE"""),4835425)</f>
        <v>4835425</v>
      </c>
      <c r="AR3928" s="17">
        <v>17905</v>
      </c>
      <c r="AS3928" s="17">
        <v>13108</v>
      </c>
      <c r="AT3928" s="17">
        <v>629527</v>
      </c>
      <c r="AU3928" s="17">
        <v>108.3</v>
      </c>
      <c r="AV3928" s="17">
        <v>49.6</v>
      </c>
      <c r="AW3928" s="10" t="s">
        <v>105</v>
      </c>
      <c r="AX3928" s="17">
        <v>11212</v>
      </c>
      <c r="AY3928" s="18">
        <v>48.026167226121451</v>
      </c>
      <c r="AZ3928" s="10"/>
      <c r="BA3928" s="20" t="b">
        <v>0</v>
      </c>
      <c r="BB3928" s="10" t="s">
        <v>24745</v>
      </c>
      <c r="BC3928" s="17">
        <v>17905</v>
      </c>
      <c r="BD3928" s="17">
        <v>13108</v>
      </c>
      <c r="BE3928" s="17">
        <v>629527</v>
      </c>
      <c r="BF3928" s="17">
        <v>49.6</v>
      </c>
      <c r="BG3928" s="11">
        <f ca="1">IFERROR(__xludf.DUMMYFUNCTION("""COMPUTED_VALUE"""),46032.5486111111)</f>
        <v>46032.548611111102</v>
      </c>
      <c r="BH3928" s="17" t="s">
        <v>105</v>
      </c>
      <c r="BI3928" s="17"/>
      <c r="BJ3928" s="15"/>
      <c r="BK3928" s="15"/>
      <c r="BL3928" s="13" t="b">
        <v>0</v>
      </c>
      <c r="BM3928" s="10"/>
      <c r="BN3928" s="10" t="s">
        <v>278</v>
      </c>
      <c r="BO3928" s="11">
        <v>46031.899305555555</v>
      </c>
      <c r="BP3928" s="11">
        <v>46031.899791666663</v>
      </c>
      <c r="BQ3928" s="15"/>
      <c r="BR3928" s="15">
        <v>46031.942187499997</v>
      </c>
      <c r="BS3928" s="10" t="s">
        <v>278</v>
      </c>
      <c r="BT3928" s="10"/>
      <c r="BU3928" s="10"/>
      <c r="BV3928" s="10"/>
      <c r="BW3928" s="10"/>
      <c r="BX3928" s="10"/>
      <c r="BY3928" s="23"/>
      <c r="BZ3928" s="23"/>
      <c r="CA3928" s="10"/>
      <c r="CB3928" s="23"/>
      <c r="CC3928" s="23"/>
      <c r="CD3928" s="23"/>
      <c r="CE3928" s="23"/>
      <c r="CF3928" s="23"/>
      <c r="CG3928" s="23"/>
      <c r="CH3928" s="23"/>
      <c r="CI3928" s="23"/>
    </row>
    <row r="3929" spans="1:87" x14ac:dyDescent="0.3">
      <c r="A3929" s="9" t="s">
        <v>26401</v>
      </c>
      <c r="B3929" s="10" t="s">
        <v>26402</v>
      </c>
      <c r="C3929" s="11">
        <v>46032.583333333336</v>
      </c>
      <c r="D3929" s="12">
        <v>3.4722222222222224E-2</v>
      </c>
      <c r="E3929" s="11">
        <v>46032.618055555555</v>
      </c>
      <c r="F3929" s="22" t="s">
        <v>24700</v>
      </c>
      <c r="G3929" s="13" t="b">
        <v>0</v>
      </c>
      <c r="H3929" s="22" t="s">
        <v>21384</v>
      </c>
      <c r="I3929" s="10" t="s">
        <v>9131</v>
      </c>
      <c r="J3929" s="13" t="b">
        <v>0</v>
      </c>
      <c r="K3929" s="13" t="b">
        <v>1</v>
      </c>
      <c r="L3929" s="10" t="s">
        <v>358</v>
      </c>
      <c r="M3929" s="10" t="s">
        <v>91</v>
      </c>
      <c r="N3929" s="10" t="s">
        <v>92</v>
      </c>
      <c r="O3929" s="19" t="s">
        <v>26403</v>
      </c>
      <c r="P3929" s="10"/>
      <c r="Q3929" s="10" t="s">
        <v>126</v>
      </c>
      <c r="R3929" s="10"/>
      <c r="S3929" s="10"/>
      <c r="T3929" s="10"/>
      <c r="U3929" s="10"/>
      <c r="V3929" s="10"/>
      <c r="W3929" s="10" t="s">
        <v>24703</v>
      </c>
      <c r="X3929" s="10" t="s">
        <v>216</v>
      </c>
      <c r="Y3929" s="10" t="s">
        <v>216</v>
      </c>
      <c r="Z3929" s="10" t="s">
        <v>99</v>
      </c>
      <c r="AA3929" s="10" t="s">
        <v>131</v>
      </c>
      <c r="AB3929" s="10" t="s">
        <v>24704</v>
      </c>
      <c r="AC3929" s="10" t="s">
        <v>21389</v>
      </c>
      <c r="AD3929" s="10" t="s">
        <v>165</v>
      </c>
      <c r="AE3929" s="10" t="s">
        <v>26404</v>
      </c>
      <c r="AF3929" s="15"/>
      <c r="AG3929" s="10"/>
      <c r="AH3929" s="10"/>
      <c r="AI3929" s="10"/>
      <c r="AJ3929" s="10"/>
      <c r="AK3929" s="10" t="s">
        <v>102</v>
      </c>
      <c r="AL3929" s="10"/>
      <c r="AM3929" s="10"/>
      <c r="AN3929" s="10"/>
      <c r="AO3929" s="13" t="b">
        <v>0</v>
      </c>
      <c r="AP3929" s="22" t="s">
        <v>104</v>
      </c>
      <c r="AQ3929" s="10">
        <f ca="1">IFERROR(__xludf.DUMMYFUNCTION("""COMPUTED_VALUE"""),4835429)</f>
        <v>4835429</v>
      </c>
      <c r="AR3929" s="17">
        <v>39858</v>
      </c>
      <c r="AS3929" s="17">
        <v>28440</v>
      </c>
      <c r="AT3929" s="17">
        <v>931304</v>
      </c>
      <c r="AU3929" s="17">
        <v>348.05</v>
      </c>
      <c r="AV3929" s="17">
        <v>138.44999999999999</v>
      </c>
      <c r="AW3929" s="10" t="s">
        <v>105</v>
      </c>
      <c r="AX3929" s="17">
        <v>21313</v>
      </c>
      <c r="AY3929" s="18">
        <v>32.746272855133611</v>
      </c>
      <c r="AZ3929" s="10"/>
      <c r="BA3929" s="20" t="b">
        <v>0</v>
      </c>
      <c r="BB3929" s="10" t="s">
        <v>24745</v>
      </c>
      <c r="BC3929" s="17">
        <v>39858</v>
      </c>
      <c r="BD3929" s="17">
        <v>28440</v>
      </c>
      <c r="BE3929" s="17">
        <v>931304</v>
      </c>
      <c r="BF3929" s="17">
        <v>138.44999999999999</v>
      </c>
      <c r="BG3929" s="11">
        <f ca="1">IFERROR(__xludf.DUMMYFUNCTION("""COMPUTED_VALUE"""),46032.5833333333)</f>
        <v>46032.583333333299</v>
      </c>
      <c r="BH3929" s="17" t="s">
        <v>105</v>
      </c>
      <c r="BI3929" s="17"/>
      <c r="BJ3929" s="15"/>
      <c r="BK3929" s="15"/>
      <c r="BL3929" s="13" t="b">
        <v>0</v>
      </c>
      <c r="BM3929" s="10"/>
      <c r="BN3929" s="10" t="s">
        <v>278</v>
      </c>
      <c r="BO3929" s="11">
        <v>46031.899305555555</v>
      </c>
      <c r="BP3929" s="11">
        <v>46031.899965277778</v>
      </c>
      <c r="BQ3929" s="15"/>
      <c r="BR3929" s="15">
        <v>46031.942546296297</v>
      </c>
      <c r="BS3929" s="10" t="s">
        <v>278</v>
      </c>
      <c r="BT3929" s="10" t="s">
        <v>99</v>
      </c>
      <c r="BU3929" s="10"/>
      <c r="BV3929" s="10"/>
      <c r="BW3929" s="10"/>
      <c r="BX3929" s="10"/>
      <c r="BY3929" s="23"/>
      <c r="BZ3929" s="23"/>
      <c r="CA3929" s="10"/>
      <c r="CB3929" s="23"/>
      <c r="CC3929" s="23"/>
      <c r="CD3929" s="23"/>
      <c r="CE3929" s="23"/>
      <c r="CF3929" s="23"/>
      <c r="CG3929" s="23"/>
      <c r="CH3929" s="23"/>
      <c r="CI3929" s="23"/>
    </row>
    <row r="3930" spans="1:87" x14ac:dyDescent="0.3">
      <c r="A3930" s="9" t="s">
        <v>26405</v>
      </c>
      <c r="B3930" s="10" t="s">
        <v>26406</v>
      </c>
      <c r="C3930" s="11">
        <v>46032.618055555555</v>
      </c>
      <c r="D3930" s="12">
        <v>3.4722222222222224E-2</v>
      </c>
      <c r="E3930" s="11">
        <v>46032.652777777781</v>
      </c>
      <c r="F3930" s="22" t="s">
        <v>24700</v>
      </c>
      <c r="G3930" s="13" t="b">
        <v>0</v>
      </c>
      <c r="H3930" s="22" t="s">
        <v>21384</v>
      </c>
      <c r="I3930" s="10" t="s">
        <v>9131</v>
      </c>
      <c r="J3930" s="13" t="b">
        <v>0</v>
      </c>
      <c r="K3930" s="13" t="b">
        <v>1</v>
      </c>
      <c r="L3930" s="10" t="s">
        <v>124</v>
      </c>
      <c r="M3930" s="10" t="s">
        <v>91</v>
      </c>
      <c r="N3930" s="10" t="s">
        <v>92</v>
      </c>
      <c r="O3930" s="19" t="s">
        <v>26407</v>
      </c>
      <c r="P3930" s="10"/>
      <c r="Q3930" s="10" t="s">
        <v>126</v>
      </c>
      <c r="R3930" s="10"/>
      <c r="S3930" s="10"/>
      <c r="T3930" s="10"/>
      <c r="U3930" s="10"/>
      <c r="V3930" s="10"/>
      <c r="W3930" s="10" t="s">
        <v>24703</v>
      </c>
      <c r="X3930" s="10" t="s">
        <v>216</v>
      </c>
      <c r="Y3930" s="10" t="s">
        <v>216</v>
      </c>
      <c r="Z3930" s="10" t="s">
        <v>99</v>
      </c>
      <c r="AA3930" s="10" t="s">
        <v>131</v>
      </c>
      <c r="AB3930" s="10" t="s">
        <v>24704</v>
      </c>
      <c r="AC3930" s="10" t="s">
        <v>21389</v>
      </c>
      <c r="AD3930" s="10" t="s">
        <v>165</v>
      </c>
      <c r="AE3930" s="10" t="s">
        <v>26408</v>
      </c>
      <c r="AF3930" s="15"/>
      <c r="AG3930" s="10"/>
      <c r="AH3930" s="10"/>
      <c r="AI3930" s="10"/>
      <c r="AJ3930" s="10"/>
      <c r="AK3930" s="10" t="s">
        <v>102</v>
      </c>
      <c r="AL3930" s="10"/>
      <c r="AM3930" s="10"/>
      <c r="AN3930" s="10"/>
      <c r="AO3930" s="13" t="b">
        <v>0</v>
      </c>
      <c r="AP3930" s="22" t="s">
        <v>104</v>
      </c>
      <c r="AQ3930" s="10">
        <f ca="1">IFERROR(__xludf.DUMMYFUNCTION("""COMPUTED_VALUE"""),4835428)</f>
        <v>4835428</v>
      </c>
      <c r="AR3930" s="17">
        <v>24610</v>
      </c>
      <c r="AS3930" s="17">
        <v>17153</v>
      </c>
      <c r="AT3930" s="17">
        <v>541144.25</v>
      </c>
      <c r="AU3930" s="17">
        <v>154.44999999999999</v>
      </c>
      <c r="AV3930" s="17">
        <v>52.8</v>
      </c>
      <c r="AW3930" s="10" t="s">
        <v>105</v>
      </c>
      <c r="AX3930" s="17">
        <v>20623</v>
      </c>
      <c r="AY3930" s="18">
        <v>31.548081968168834</v>
      </c>
      <c r="AZ3930" s="10"/>
      <c r="BA3930" s="20" t="b">
        <v>0</v>
      </c>
      <c r="BB3930" s="10" t="s">
        <v>24745</v>
      </c>
      <c r="BC3930" s="17">
        <v>24610</v>
      </c>
      <c r="BD3930" s="17">
        <v>17153</v>
      </c>
      <c r="BE3930" s="17">
        <v>541144.25</v>
      </c>
      <c r="BF3930" s="17">
        <v>52.8</v>
      </c>
      <c r="BG3930" s="11">
        <f ca="1">IFERROR(__xludf.DUMMYFUNCTION("""COMPUTED_VALUE"""),46032.6180555555)</f>
        <v>46032.618055555497</v>
      </c>
      <c r="BH3930" s="17" t="s">
        <v>105</v>
      </c>
      <c r="BI3930" s="17"/>
      <c r="BJ3930" s="15"/>
      <c r="BK3930" s="15"/>
      <c r="BL3930" s="13" t="b">
        <v>0</v>
      </c>
      <c r="BM3930" s="10"/>
      <c r="BN3930" s="10" t="s">
        <v>278</v>
      </c>
      <c r="BO3930" s="11">
        <v>46031.9</v>
      </c>
      <c r="BP3930" s="11">
        <v>46031.90047453704</v>
      </c>
      <c r="BQ3930" s="15"/>
      <c r="BR3930" s="15">
        <v>46031.942754629628</v>
      </c>
      <c r="BS3930" s="10" t="s">
        <v>278</v>
      </c>
      <c r="BT3930" s="10"/>
      <c r="BU3930" s="10"/>
      <c r="BV3930" s="10"/>
      <c r="BW3930" s="10"/>
      <c r="BX3930" s="10"/>
      <c r="BY3930" s="23"/>
      <c r="BZ3930" s="23"/>
      <c r="CA3930" s="10"/>
      <c r="CB3930" s="23"/>
      <c r="CC3930" s="23"/>
      <c r="CD3930" s="23"/>
      <c r="CE3930" s="23"/>
      <c r="CF3930" s="23"/>
      <c r="CG3930" s="23"/>
      <c r="CH3930" s="23"/>
      <c r="CI3930" s="23"/>
    </row>
    <row r="3931" spans="1:87" x14ac:dyDescent="0.3">
      <c r="A3931" s="9" t="s">
        <v>26409</v>
      </c>
      <c r="B3931" s="10" t="s">
        <v>26410</v>
      </c>
      <c r="C3931" s="11">
        <v>46032.652777777781</v>
      </c>
      <c r="D3931" s="12">
        <v>3.4722222222222224E-2</v>
      </c>
      <c r="E3931" s="11">
        <v>46032.6875</v>
      </c>
      <c r="F3931" s="22" t="s">
        <v>24700</v>
      </c>
      <c r="G3931" s="13" t="b">
        <v>0</v>
      </c>
      <c r="H3931" s="22" t="s">
        <v>21384</v>
      </c>
      <c r="I3931" s="10" t="s">
        <v>9131</v>
      </c>
      <c r="J3931" s="13" t="b">
        <v>0</v>
      </c>
      <c r="K3931" s="13" t="b">
        <v>1</v>
      </c>
      <c r="L3931" s="10" t="s">
        <v>124</v>
      </c>
      <c r="M3931" s="10" t="s">
        <v>91</v>
      </c>
      <c r="N3931" s="10" t="s">
        <v>92</v>
      </c>
      <c r="O3931" s="19" t="s">
        <v>26411</v>
      </c>
      <c r="P3931" s="10"/>
      <c r="Q3931" s="10" t="s">
        <v>126</v>
      </c>
      <c r="R3931" s="10"/>
      <c r="S3931" s="10"/>
      <c r="T3931" s="10"/>
      <c r="U3931" s="10"/>
      <c r="V3931" s="10"/>
      <c r="W3931" s="10" t="s">
        <v>24703</v>
      </c>
      <c r="X3931" s="10" t="s">
        <v>216</v>
      </c>
      <c r="Y3931" s="10" t="s">
        <v>216</v>
      </c>
      <c r="Z3931" s="10" t="s">
        <v>99</v>
      </c>
      <c r="AA3931" s="10" t="s">
        <v>131</v>
      </c>
      <c r="AB3931" s="10" t="s">
        <v>24704</v>
      </c>
      <c r="AC3931" s="10" t="s">
        <v>21389</v>
      </c>
      <c r="AD3931" s="10" t="s">
        <v>165</v>
      </c>
      <c r="AE3931" s="10" t="s">
        <v>26412</v>
      </c>
      <c r="AF3931" s="15"/>
      <c r="AG3931" s="10"/>
      <c r="AH3931" s="10"/>
      <c r="AI3931" s="10"/>
      <c r="AJ3931" s="10"/>
      <c r="AK3931" s="10" t="s">
        <v>102</v>
      </c>
      <c r="AL3931" s="10"/>
      <c r="AM3931" s="10"/>
      <c r="AN3931" s="10"/>
      <c r="AO3931" s="13" t="b">
        <v>0</v>
      </c>
      <c r="AP3931" s="22" t="s">
        <v>104</v>
      </c>
      <c r="AQ3931" s="10">
        <f ca="1">IFERROR(__xludf.DUMMYFUNCTION("""COMPUTED_VALUE"""),4835427)</f>
        <v>4835427</v>
      </c>
      <c r="AR3931" s="17">
        <v>19547</v>
      </c>
      <c r="AS3931" s="17">
        <v>14199</v>
      </c>
      <c r="AT3931" s="17">
        <v>364135.5</v>
      </c>
      <c r="AU3931" s="17">
        <v>102.1</v>
      </c>
      <c r="AV3931" s="17">
        <v>41.3</v>
      </c>
      <c r="AW3931" s="10" t="s">
        <v>105</v>
      </c>
      <c r="AX3931" s="17">
        <v>16306</v>
      </c>
      <c r="AY3931" s="18">
        <v>25.645151066976549</v>
      </c>
      <c r="AZ3931" s="10"/>
      <c r="BA3931" s="20" t="b">
        <v>0</v>
      </c>
      <c r="BB3931" s="10" t="s">
        <v>24745</v>
      </c>
      <c r="BC3931" s="17">
        <v>19547</v>
      </c>
      <c r="BD3931" s="17">
        <v>14199</v>
      </c>
      <c r="BE3931" s="17">
        <v>364135.5</v>
      </c>
      <c r="BF3931" s="17">
        <v>41.3</v>
      </c>
      <c r="BG3931" s="11">
        <f ca="1">IFERROR(__xludf.DUMMYFUNCTION("""COMPUTED_VALUE"""),46032.6527777777)</f>
        <v>46032.652777777701</v>
      </c>
      <c r="BH3931" s="17" t="s">
        <v>105</v>
      </c>
      <c r="BI3931" s="17"/>
      <c r="BJ3931" s="15"/>
      <c r="BK3931" s="15"/>
      <c r="BL3931" s="13" t="b">
        <v>0</v>
      </c>
      <c r="BM3931" s="10"/>
      <c r="BN3931" s="10" t="s">
        <v>278</v>
      </c>
      <c r="BO3931" s="11">
        <v>46031.9</v>
      </c>
      <c r="BP3931" s="11">
        <v>46031.900648148148</v>
      </c>
      <c r="BQ3931" s="15"/>
      <c r="BR3931" s="15">
        <v>46031.942916666667</v>
      </c>
      <c r="BS3931" s="10" t="s">
        <v>278</v>
      </c>
      <c r="BT3931" s="10"/>
      <c r="BU3931" s="10"/>
      <c r="BV3931" s="10"/>
      <c r="BW3931" s="10"/>
      <c r="BX3931" s="10"/>
      <c r="BY3931" s="23"/>
      <c r="BZ3931" s="23"/>
      <c r="CA3931" s="10"/>
      <c r="CB3931" s="23"/>
      <c r="CC3931" s="23"/>
      <c r="CD3931" s="23"/>
      <c r="CE3931" s="23"/>
      <c r="CF3931" s="23"/>
      <c r="CG3931" s="23"/>
      <c r="CH3931" s="23"/>
      <c r="CI3931" s="23"/>
    </row>
    <row r="3932" spans="1:87" x14ac:dyDescent="0.3">
      <c r="A3932" s="25" t="s">
        <v>26413</v>
      </c>
      <c r="B3932" s="10" t="s">
        <v>26414</v>
      </c>
      <c r="C3932" s="11">
        <v>46032.6875</v>
      </c>
      <c r="D3932" s="12">
        <v>3.4722222222222224E-2</v>
      </c>
      <c r="E3932" s="11">
        <v>46032.722222222219</v>
      </c>
      <c r="F3932" s="22" t="s">
        <v>24700</v>
      </c>
      <c r="G3932" s="13" t="b">
        <v>0</v>
      </c>
      <c r="H3932" s="22" t="s">
        <v>21384</v>
      </c>
      <c r="I3932" s="10" t="s">
        <v>9131</v>
      </c>
      <c r="J3932" s="13" t="b">
        <v>0</v>
      </c>
      <c r="K3932" s="13" t="b">
        <v>1</v>
      </c>
      <c r="L3932" s="10" t="s">
        <v>358</v>
      </c>
      <c r="M3932" s="10" t="s">
        <v>91</v>
      </c>
      <c r="N3932" s="10" t="s">
        <v>92</v>
      </c>
      <c r="O3932" s="19" t="s">
        <v>26415</v>
      </c>
      <c r="P3932" s="10"/>
      <c r="Q3932" s="10" t="s">
        <v>126</v>
      </c>
      <c r="R3932" s="10"/>
      <c r="S3932" s="10"/>
      <c r="T3932" s="10"/>
      <c r="U3932" s="10"/>
      <c r="V3932" s="10"/>
      <c r="W3932" s="10" t="s">
        <v>24703</v>
      </c>
      <c r="X3932" s="10" t="s">
        <v>216</v>
      </c>
      <c r="Y3932" s="10" t="s">
        <v>216</v>
      </c>
      <c r="Z3932" s="10" t="s">
        <v>99</v>
      </c>
      <c r="AA3932" s="10" t="s">
        <v>131</v>
      </c>
      <c r="AB3932" s="10" t="s">
        <v>24704</v>
      </c>
      <c r="AC3932" s="10" t="s">
        <v>21389</v>
      </c>
      <c r="AD3932" s="10" t="s">
        <v>165</v>
      </c>
      <c r="AE3932" s="10" t="s">
        <v>26416</v>
      </c>
      <c r="AF3932" s="15"/>
      <c r="AG3932" s="10"/>
      <c r="AH3932" s="10"/>
      <c r="AI3932" s="10"/>
      <c r="AJ3932" s="10"/>
      <c r="AK3932" s="10" t="s">
        <v>102</v>
      </c>
      <c r="AL3932" s="10"/>
      <c r="AM3932" s="10"/>
      <c r="AN3932" s="10"/>
      <c r="AO3932" s="13" t="b">
        <v>0</v>
      </c>
      <c r="AP3932" s="22" t="s">
        <v>104</v>
      </c>
      <c r="AQ3932" s="10">
        <f ca="1">IFERROR(__xludf.DUMMYFUNCTION("""COMPUTED_VALUE"""),4835426)</f>
        <v>4835426</v>
      </c>
      <c r="AR3932" s="17">
        <v>57064</v>
      </c>
      <c r="AS3932" s="17">
        <v>41690</v>
      </c>
      <c r="AT3932" s="17">
        <v>820804.75</v>
      </c>
      <c r="AU3932" s="17">
        <v>460.75</v>
      </c>
      <c r="AV3932" s="17">
        <v>153.69999999999999</v>
      </c>
      <c r="AW3932" s="10" t="s">
        <v>105</v>
      </c>
      <c r="AX3932" s="17">
        <v>28866</v>
      </c>
      <c r="AY3932" s="18">
        <v>19.68828855840729</v>
      </c>
      <c r="AZ3932" s="10"/>
      <c r="BA3932" s="20" t="b">
        <v>0</v>
      </c>
      <c r="BB3932" s="10" t="s">
        <v>24745</v>
      </c>
      <c r="BC3932" s="17">
        <v>57064</v>
      </c>
      <c r="BD3932" s="17">
        <v>41690</v>
      </c>
      <c r="BE3932" s="17">
        <v>820804.75</v>
      </c>
      <c r="BF3932" s="17">
        <v>153.69999999999999</v>
      </c>
      <c r="BG3932" s="11">
        <f ca="1">IFERROR(__xludf.DUMMYFUNCTION("""COMPUTED_VALUE"""),46032.6875)</f>
        <v>46032.6875</v>
      </c>
      <c r="BH3932" s="17" t="s">
        <v>105</v>
      </c>
      <c r="BI3932" s="17"/>
      <c r="BJ3932" s="15"/>
      <c r="BK3932" s="15"/>
      <c r="BL3932" s="13" t="b">
        <v>0</v>
      </c>
      <c r="BM3932" s="10"/>
      <c r="BN3932" s="10" t="s">
        <v>351</v>
      </c>
      <c r="BO3932" s="11">
        <v>46031.901388888888</v>
      </c>
      <c r="BP3932" s="11">
        <v>46031.901458333334</v>
      </c>
      <c r="BQ3932" s="15"/>
      <c r="BR3932" s="15">
        <v>46031.943067129629</v>
      </c>
      <c r="BS3932" s="10"/>
      <c r="BT3932" s="10" t="s">
        <v>99</v>
      </c>
      <c r="BU3932" s="10"/>
      <c r="BV3932" s="10"/>
      <c r="BW3932" s="10"/>
      <c r="BX3932" s="10"/>
      <c r="BY3932" s="23"/>
      <c r="BZ3932" s="23"/>
      <c r="CA3932" s="10"/>
      <c r="CB3932" s="23"/>
      <c r="CC3932" s="23"/>
      <c r="CD3932" s="23"/>
      <c r="CE3932" s="23"/>
      <c r="CF3932" s="23"/>
      <c r="CG3932" s="23"/>
      <c r="CH3932" s="23"/>
      <c r="CI3932" s="23"/>
    </row>
    <row r="3933" spans="1:87" x14ac:dyDescent="0.3">
      <c r="A3933" s="9" t="s">
        <v>26417</v>
      </c>
      <c r="B3933" s="10" t="s">
        <v>26418</v>
      </c>
      <c r="C3933" s="11">
        <v>46033.458333333336</v>
      </c>
      <c r="D3933" s="12">
        <v>3.4722222222222224E-2</v>
      </c>
      <c r="E3933" s="11">
        <v>46033.493055555555</v>
      </c>
      <c r="F3933" s="22" t="s">
        <v>24700</v>
      </c>
      <c r="G3933" s="13" t="b">
        <v>0</v>
      </c>
      <c r="H3933" s="22" t="s">
        <v>21384</v>
      </c>
      <c r="I3933" s="10" t="s">
        <v>9131</v>
      </c>
      <c r="J3933" s="13" t="b">
        <v>0</v>
      </c>
      <c r="K3933" s="13" t="b">
        <v>1</v>
      </c>
      <c r="L3933" s="10" t="s">
        <v>124</v>
      </c>
      <c r="M3933" s="10" t="s">
        <v>91</v>
      </c>
      <c r="N3933" s="10" t="s">
        <v>92</v>
      </c>
      <c r="O3933" s="19" t="s">
        <v>26419</v>
      </c>
      <c r="P3933" s="10"/>
      <c r="Q3933" s="10" t="s">
        <v>126</v>
      </c>
      <c r="R3933" s="10"/>
      <c r="S3933" s="10"/>
      <c r="T3933" s="10"/>
      <c r="U3933" s="10"/>
      <c r="V3933" s="10"/>
      <c r="W3933" s="10" t="s">
        <v>24703</v>
      </c>
      <c r="X3933" s="10" t="s">
        <v>216</v>
      </c>
      <c r="Y3933" s="10" t="s">
        <v>216</v>
      </c>
      <c r="Z3933" s="10" t="s">
        <v>99</v>
      </c>
      <c r="AA3933" s="10" t="s">
        <v>131</v>
      </c>
      <c r="AB3933" s="10" t="s">
        <v>24704</v>
      </c>
      <c r="AC3933" s="10" t="s">
        <v>21389</v>
      </c>
      <c r="AD3933" s="10" t="s">
        <v>165</v>
      </c>
      <c r="AE3933" s="10" t="s">
        <v>26420</v>
      </c>
      <c r="AF3933" s="15"/>
      <c r="AG3933" s="10"/>
      <c r="AH3933" s="10"/>
      <c r="AI3933" s="10"/>
      <c r="AJ3933" s="10"/>
      <c r="AK3933" s="10" t="s">
        <v>102</v>
      </c>
      <c r="AL3933" s="10"/>
      <c r="AM3933" s="10"/>
      <c r="AN3933" s="10"/>
      <c r="AO3933" s="13" t="b">
        <v>0</v>
      </c>
      <c r="AP3933" s="22"/>
      <c r="AQ3933" s="10">
        <f ca="1">IFERROR(__xludf.DUMMYFUNCTION("""COMPUTED_VALUE"""),4835805)</f>
        <v>4835805</v>
      </c>
      <c r="AR3933" s="17"/>
      <c r="AS3933" s="17"/>
      <c r="AT3933" s="17"/>
      <c r="AU3933" s="17"/>
      <c r="AV3933" s="17"/>
      <c r="AW3933" s="10"/>
      <c r="AX3933" s="17"/>
      <c r="AY3933" s="18" t="s">
        <v>257</v>
      </c>
      <c r="AZ3933" s="10"/>
      <c r="BA3933" s="20" t="b">
        <v>0</v>
      </c>
      <c r="BB3933" s="10" t="s">
        <v>24752</v>
      </c>
      <c r="BC3933" s="17" t="s">
        <v>257</v>
      </c>
      <c r="BD3933" s="17" t="s">
        <v>257</v>
      </c>
      <c r="BE3933" s="17" t="s">
        <v>257</v>
      </c>
      <c r="BF3933" s="17" t="s">
        <v>257</v>
      </c>
      <c r="BG3933" s="11">
        <f ca="1">IFERROR(__xludf.DUMMYFUNCTION("""COMPUTED_VALUE"""),46033.4583333333)</f>
        <v>46033.458333333299</v>
      </c>
      <c r="BH3933" s="17"/>
      <c r="BI3933" s="17"/>
      <c r="BJ3933" s="15"/>
      <c r="BK3933" s="15"/>
      <c r="BL3933" s="13" t="b">
        <v>0</v>
      </c>
      <c r="BM3933" s="10"/>
      <c r="BN3933" s="10" t="s">
        <v>6278</v>
      </c>
      <c r="BO3933" s="11">
        <v>46032.76666666667</v>
      </c>
      <c r="BP3933" s="11">
        <v>46032.767106481479</v>
      </c>
      <c r="BQ3933" s="15"/>
      <c r="BR3933" s="15">
        <v>46032.895370370374</v>
      </c>
      <c r="BS3933" s="10" t="s">
        <v>6278</v>
      </c>
      <c r="BT3933" s="10"/>
      <c r="BU3933" s="10"/>
      <c r="BV3933" s="10"/>
      <c r="BW3933" s="10"/>
      <c r="BX3933" s="10"/>
      <c r="BY3933" s="23"/>
      <c r="BZ3933" s="23"/>
      <c r="CA3933" s="10"/>
      <c r="CB3933" s="23"/>
      <c r="CC3933" s="23"/>
      <c r="CD3933" s="23"/>
      <c r="CE3933" s="23"/>
      <c r="CF3933" s="23"/>
      <c r="CG3933" s="23"/>
      <c r="CH3933" s="23"/>
      <c r="CI3933" s="23"/>
    </row>
    <row r="3934" spans="1:87" x14ac:dyDescent="0.3">
      <c r="A3934" s="9" t="s">
        <v>26421</v>
      </c>
      <c r="B3934" s="10" t="s">
        <v>26422</v>
      </c>
      <c r="C3934" s="11">
        <v>46033.493055555555</v>
      </c>
      <c r="D3934" s="12">
        <v>3.4722222222222224E-2</v>
      </c>
      <c r="E3934" s="11">
        <v>46033.527777777781</v>
      </c>
      <c r="F3934" s="22" t="s">
        <v>24700</v>
      </c>
      <c r="G3934" s="13" t="b">
        <v>0</v>
      </c>
      <c r="H3934" s="22" t="s">
        <v>21384</v>
      </c>
      <c r="I3934" s="10" t="s">
        <v>9131</v>
      </c>
      <c r="J3934" s="13" t="b">
        <v>0</v>
      </c>
      <c r="K3934" s="13" t="b">
        <v>1</v>
      </c>
      <c r="L3934" s="10" t="s">
        <v>124</v>
      </c>
      <c r="M3934" s="10" t="s">
        <v>91</v>
      </c>
      <c r="N3934" s="10" t="s">
        <v>92</v>
      </c>
      <c r="O3934" s="19" t="s">
        <v>26423</v>
      </c>
      <c r="P3934" s="10"/>
      <c r="Q3934" s="10" t="s">
        <v>126</v>
      </c>
      <c r="R3934" s="10"/>
      <c r="S3934" s="10"/>
      <c r="T3934" s="10"/>
      <c r="U3934" s="10"/>
      <c r="V3934" s="10"/>
      <c r="W3934" s="10" t="s">
        <v>24703</v>
      </c>
      <c r="X3934" s="10" t="s">
        <v>216</v>
      </c>
      <c r="Y3934" s="10" t="s">
        <v>216</v>
      </c>
      <c r="Z3934" s="10" t="s">
        <v>99</v>
      </c>
      <c r="AA3934" s="10" t="s">
        <v>131</v>
      </c>
      <c r="AB3934" s="10" t="s">
        <v>24704</v>
      </c>
      <c r="AC3934" s="10" t="s">
        <v>21389</v>
      </c>
      <c r="AD3934" s="10" t="s">
        <v>165</v>
      </c>
      <c r="AE3934" s="10" t="s">
        <v>26424</v>
      </c>
      <c r="AF3934" s="15"/>
      <c r="AG3934" s="10"/>
      <c r="AH3934" s="10"/>
      <c r="AI3934" s="10"/>
      <c r="AJ3934" s="10"/>
      <c r="AK3934" s="10" t="s">
        <v>102</v>
      </c>
      <c r="AL3934" s="10"/>
      <c r="AM3934" s="10"/>
      <c r="AN3934" s="10"/>
      <c r="AO3934" s="13" t="b">
        <v>0</v>
      </c>
      <c r="AP3934" s="22"/>
      <c r="AQ3934" s="10">
        <f ca="1">IFERROR(__xludf.DUMMYFUNCTION("""COMPUTED_VALUE"""),4835804)</f>
        <v>4835804</v>
      </c>
      <c r="AR3934" s="17"/>
      <c r="AS3934" s="17"/>
      <c r="AT3934" s="17"/>
      <c r="AU3934" s="17"/>
      <c r="AV3934" s="17"/>
      <c r="AW3934" s="10"/>
      <c r="AX3934" s="17"/>
      <c r="AY3934" s="18" t="s">
        <v>257</v>
      </c>
      <c r="AZ3934" s="10"/>
      <c r="BA3934" s="20" t="b">
        <v>0</v>
      </c>
      <c r="BB3934" s="10" t="s">
        <v>24752</v>
      </c>
      <c r="BC3934" s="17" t="s">
        <v>257</v>
      </c>
      <c r="BD3934" s="17" t="s">
        <v>257</v>
      </c>
      <c r="BE3934" s="17" t="s">
        <v>257</v>
      </c>
      <c r="BF3934" s="17" t="s">
        <v>257</v>
      </c>
      <c r="BG3934" s="11">
        <f ca="1">IFERROR(__xludf.DUMMYFUNCTION("""COMPUTED_VALUE"""),46033.4930555555)</f>
        <v>46033.493055555497</v>
      </c>
      <c r="BH3934" s="17"/>
      <c r="BI3934" s="17"/>
      <c r="BJ3934" s="15"/>
      <c r="BK3934" s="15"/>
      <c r="BL3934" s="13" t="b">
        <v>0</v>
      </c>
      <c r="BM3934" s="10"/>
      <c r="BN3934" s="10" t="s">
        <v>6278</v>
      </c>
      <c r="BO3934" s="11">
        <v>46032.768055555556</v>
      </c>
      <c r="BP3934" s="11">
        <v>46032.768113425926</v>
      </c>
      <c r="BQ3934" s="15"/>
      <c r="BR3934" s="15">
        <v>46032.895497685182</v>
      </c>
      <c r="BS3934" s="10" t="s">
        <v>6278</v>
      </c>
      <c r="BT3934" s="10"/>
      <c r="BU3934" s="10"/>
      <c r="BV3934" s="10"/>
      <c r="BW3934" s="10"/>
      <c r="BX3934" s="10"/>
      <c r="BY3934" s="23"/>
      <c r="BZ3934" s="23"/>
      <c r="CA3934" s="10"/>
      <c r="CB3934" s="23"/>
      <c r="CC3934" s="23"/>
      <c r="CD3934" s="23"/>
      <c r="CE3934" s="23"/>
      <c r="CF3934" s="23"/>
      <c r="CG3934" s="23"/>
      <c r="CH3934" s="23"/>
      <c r="CI3934" s="23"/>
    </row>
    <row r="3935" spans="1:87" x14ac:dyDescent="0.3">
      <c r="A3935" s="9" t="s">
        <v>26425</v>
      </c>
      <c r="B3935" s="10" t="s">
        <v>26426</v>
      </c>
      <c r="C3935" s="11">
        <v>46033.527777777781</v>
      </c>
      <c r="D3935" s="12">
        <v>3.4722222222222224E-2</v>
      </c>
      <c r="E3935" s="11">
        <v>46033.5625</v>
      </c>
      <c r="F3935" s="22" t="s">
        <v>24700</v>
      </c>
      <c r="G3935" s="13" t="b">
        <v>0</v>
      </c>
      <c r="H3935" s="22" t="s">
        <v>21384</v>
      </c>
      <c r="I3935" s="10" t="s">
        <v>9131</v>
      </c>
      <c r="J3935" s="13" t="b">
        <v>0</v>
      </c>
      <c r="K3935" s="13" t="b">
        <v>1</v>
      </c>
      <c r="L3935" s="10" t="s">
        <v>124</v>
      </c>
      <c r="M3935" s="10" t="s">
        <v>91</v>
      </c>
      <c r="N3935" s="10" t="s">
        <v>92</v>
      </c>
      <c r="O3935" s="19" t="s">
        <v>26427</v>
      </c>
      <c r="P3935" s="10"/>
      <c r="Q3935" s="10" t="s">
        <v>126</v>
      </c>
      <c r="R3935" s="10"/>
      <c r="S3935" s="10"/>
      <c r="T3935" s="10"/>
      <c r="U3935" s="10"/>
      <c r="V3935" s="10"/>
      <c r="W3935" s="10" t="s">
        <v>24703</v>
      </c>
      <c r="X3935" s="10" t="s">
        <v>216</v>
      </c>
      <c r="Y3935" s="10" t="s">
        <v>216</v>
      </c>
      <c r="Z3935" s="10" t="s">
        <v>99</v>
      </c>
      <c r="AA3935" s="10" t="s">
        <v>131</v>
      </c>
      <c r="AB3935" s="10" t="s">
        <v>24704</v>
      </c>
      <c r="AC3935" s="10" t="s">
        <v>21389</v>
      </c>
      <c r="AD3935" s="10" t="s">
        <v>165</v>
      </c>
      <c r="AE3935" s="10" t="s">
        <v>26428</v>
      </c>
      <c r="AF3935" s="15"/>
      <c r="AG3935" s="10"/>
      <c r="AH3935" s="10"/>
      <c r="AI3935" s="10"/>
      <c r="AJ3935" s="10"/>
      <c r="AK3935" s="10" t="s">
        <v>102</v>
      </c>
      <c r="AL3935" s="10"/>
      <c r="AM3935" s="10"/>
      <c r="AN3935" s="10"/>
      <c r="AO3935" s="13" t="b">
        <v>0</v>
      </c>
      <c r="AP3935" s="22"/>
      <c r="AQ3935" s="10">
        <f ca="1">IFERROR(__xludf.DUMMYFUNCTION("""COMPUTED_VALUE"""),4835806)</f>
        <v>4835806</v>
      </c>
      <c r="AR3935" s="17"/>
      <c r="AS3935" s="17"/>
      <c r="AT3935" s="17"/>
      <c r="AU3935" s="17"/>
      <c r="AV3935" s="17"/>
      <c r="AW3935" s="10"/>
      <c r="AX3935" s="17"/>
      <c r="AY3935" s="18" t="s">
        <v>257</v>
      </c>
      <c r="AZ3935" s="10"/>
      <c r="BA3935" s="20" t="b">
        <v>0</v>
      </c>
      <c r="BB3935" s="10" t="s">
        <v>24752</v>
      </c>
      <c r="BC3935" s="17" t="s">
        <v>257</v>
      </c>
      <c r="BD3935" s="17" t="s">
        <v>257</v>
      </c>
      <c r="BE3935" s="17" t="s">
        <v>257</v>
      </c>
      <c r="BF3935" s="17" t="s">
        <v>257</v>
      </c>
      <c r="BG3935" s="11">
        <f ca="1">IFERROR(__xludf.DUMMYFUNCTION("""COMPUTED_VALUE"""),46033.5277777777)</f>
        <v>46033.527777777701</v>
      </c>
      <c r="BH3935" s="17"/>
      <c r="BI3935" s="17"/>
      <c r="BJ3935" s="15"/>
      <c r="BK3935" s="15"/>
      <c r="BL3935" s="13" t="b">
        <v>0</v>
      </c>
      <c r="BM3935" s="10"/>
      <c r="BN3935" s="10" t="s">
        <v>6278</v>
      </c>
      <c r="BO3935" s="11">
        <v>46032.768750000003</v>
      </c>
      <c r="BP3935" s="11">
        <v>46032.768807870372</v>
      </c>
      <c r="BQ3935" s="15"/>
      <c r="BR3935" s="15">
        <v>46032.896111111113</v>
      </c>
      <c r="BS3935" s="10" t="s">
        <v>6278</v>
      </c>
      <c r="BT3935" s="10"/>
      <c r="BU3935" s="10"/>
      <c r="BV3935" s="10"/>
      <c r="BW3935" s="10"/>
      <c r="BX3935" s="10"/>
      <c r="BY3935" s="23"/>
      <c r="BZ3935" s="23"/>
      <c r="CA3935" s="10"/>
      <c r="CB3935" s="23"/>
      <c r="CC3935" s="23"/>
      <c r="CD3935" s="23"/>
      <c r="CE3935" s="23"/>
      <c r="CF3935" s="23"/>
      <c r="CG3935" s="23"/>
      <c r="CH3935" s="23"/>
      <c r="CI3935" s="23"/>
    </row>
    <row r="3936" spans="1:87" x14ac:dyDescent="0.3">
      <c r="A3936" s="9" t="s">
        <v>26429</v>
      </c>
      <c r="B3936" s="10" t="s">
        <v>26430</v>
      </c>
      <c r="C3936" s="11">
        <v>46033.5625</v>
      </c>
      <c r="D3936" s="12">
        <v>3.4722222222222224E-2</v>
      </c>
      <c r="E3936" s="11">
        <v>46033.597222222219</v>
      </c>
      <c r="F3936" s="22" t="s">
        <v>24700</v>
      </c>
      <c r="G3936" s="13" t="b">
        <v>0</v>
      </c>
      <c r="H3936" s="22" t="s">
        <v>21384</v>
      </c>
      <c r="I3936" s="10" t="s">
        <v>9131</v>
      </c>
      <c r="J3936" s="13" t="b">
        <v>0</v>
      </c>
      <c r="K3936" s="13" t="b">
        <v>1</v>
      </c>
      <c r="L3936" s="10" t="s">
        <v>124</v>
      </c>
      <c r="M3936" s="10" t="s">
        <v>91</v>
      </c>
      <c r="N3936" s="10" t="s">
        <v>92</v>
      </c>
      <c r="O3936" s="19" t="s">
        <v>26431</v>
      </c>
      <c r="P3936" s="10"/>
      <c r="Q3936" s="10" t="s">
        <v>126</v>
      </c>
      <c r="R3936" s="10"/>
      <c r="S3936" s="10"/>
      <c r="T3936" s="10"/>
      <c r="U3936" s="10"/>
      <c r="V3936" s="10"/>
      <c r="W3936" s="10" t="s">
        <v>24703</v>
      </c>
      <c r="X3936" s="10" t="s">
        <v>216</v>
      </c>
      <c r="Y3936" s="10" t="s">
        <v>216</v>
      </c>
      <c r="Z3936" s="10" t="s">
        <v>99</v>
      </c>
      <c r="AA3936" s="10" t="s">
        <v>131</v>
      </c>
      <c r="AB3936" s="10" t="s">
        <v>24704</v>
      </c>
      <c r="AC3936" s="10" t="s">
        <v>21389</v>
      </c>
      <c r="AD3936" s="10" t="s">
        <v>165</v>
      </c>
      <c r="AE3936" s="10" t="s">
        <v>26432</v>
      </c>
      <c r="AF3936" s="15"/>
      <c r="AG3936" s="10"/>
      <c r="AH3936" s="10"/>
      <c r="AI3936" s="10"/>
      <c r="AJ3936" s="10"/>
      <c r="AK3936" s="10" t="s">
        <v>102</v>
      </c>
      <c r="AL3936" s="10"/>
      <c r="AM3936" s="10"/>
      <c r="AN3936" s="10"/>
      <c r="AO3936" s="13" t="b">
        <v>0</v>
      </c>
      <c r="AP3936" s="22"/>
      <c r="AQ3936" s="10">
        <f ca="1">IFERROR(__xludf.DUMMYFUNCTION("""COMPUTED_VALUE"""),4835807)</f>
        <v>4835807</v>
      </c>
      <c r="AR3936" s="17"/>
      <c r="AS3936" s="17"/>
      <c r="AT3936" s="17"/>
      <c r="AU3936" s="17"/>
      <c r="AV3936" s="17"/>
      <c r="AW3936" s="10"/>
      <c r="AX3936" s="17"/>
      <c r="AY3936" s="18" t="s">
        <v>257</v>
      </c>
      <c r="AZ3936" s="10"/>
      <c r="BA3936" s="20" t="b">
        <v>0</v>
      </c>
      <c r="BB3936" s="10" t="s">
        <v>24752</v>
      </c>
      <c r="BC3936" s="17" t="s">
        <v>257</v>
      </c>
      <c r="BD3936" s="17" t="s">
        <v>257</v>
      </c>
      <c r="BE3936" s="17" t="s">
        <v>257</v>
      </c>
      <c r="BF3936" s="17" t="s">
        <v>257</v>
      </c>
      <c r="BG3936" s="11">
        <f ca="1">IFERROR(__xludf.DUMMYFUNCTION("""COMPUTED_VALUE"""),46033.5625)</f>
        <v>46033.5625</v>
      </c>
      <c r="BH3936" s="17"/>
      <c r="BI3936" s="17"/>
      <c r="BJ3936" s="15"/>
      <c r="BK3936" s="15"/>
      <c r="BL3936" s="13" t="b">
        <v>0</v>
      </c>
      <c r="BM3936" s="10"/>
      <c r="BN3936" s="10" t="s">
        <v>6278</v>
      </c>
      <c r="BO3936" s="11">
        <v>46032.768750000003</v>
      </c>
      <c r="BP3936" s="11">
        <v>46032.769363425927</v>
      </c>
      <c r="BQ3936" s="15"/>
      <c r="BR3936" s="15">
        <v>46032.896238425928</v>
      </c>
      <c r="BS3936" s="10" t="s">
        <v>6278</v>
      </c>
      <c r="BT3936" s="10"/>
      <c r="BU3936" s="10"/>
      <c r="BV3936" s="10"/>
      <c r="BW3936" s="10"/>
      <c r="BX3936" s="10"/>
      <c r="BY3936" s="23"/>
      <c r="BZ3936" s="23"/>
      <c r="CA3936" s="10"/>
      <c r="CB3936" s="23"/>
      <c r="CC3936" s="23"/>
      <c r="CD3936" s="23"/>
      <c r="CE3936" s="23"/>
      <c r="CF3936" s="23"/>
      <c r="CG3936" s="23"/>
      <c r="CH3936" s="23"/>
      <c r="CI3936" s="23"/>
    </row>
    <row r="3937" spans="1:87" x14ac:dyDescent="0.3">
      <c r="A3937" s="9" t="s">
        <v>26433</v>
      </c>
      <c r="B3937" s="10" t="s">
        <v>26434</v>
      </c>
      <c r="C3937" s="11">
        <v>46033.597222222219</v>
      </c>
      <c r="D3937" s="12">
        <v>3.4722222222222224E-2</v>
      </c>
      <c r="E3937" s="11">
        <v>46033.631944444445</v>
      </c>
      <c r="F3937" s="22" t="s">
        <v>24700</v>
      </c>
      <c r="G3937" s="13" t="b">
        <v>0</v>
      </c>
      <c r="H3937" s="22" t="s">
        <v>21384</v>
      </c>
      <c r="I3937" s="10" t="s">
        <v>9131</v>
      </c>
      <c r="J3937" s="13" t="b">
        <v>0</v>
      </c>
      <c r="K3937" s="13" t="b">
        <v>1</v>
      </c>
      <c r="L3937" s="10"/>
      <c r="M3937" s="10" t="s">
        <v>91</v>
      </c>
      <c r="N3937" s="10" t="s">
        <v>92</v>
      </c>
      <c r="O3937" s="19" t="s">
        <v>26435</v>
      </c>
      <c r="P3937" s="10"/>
      <c r="Q3937" s="10" t="s">
        <v>126</v>
      </c>
      <c r="R3937" s="10"/>
      <c r="S3937" s="10"/>
      <c r="T3937" s="10"/>
      <c r="U3937" s="10"/>
      <c r="V3937" s="10"/>
      <c r="W3937" s="10" t="s">
        <v>24703</v>
      </c>
      <c r="X3937" s="10" t="s">
        <v>216</v>
      </c>
      <c r="Y3937" s="10" t="s">
        <v>216</v>
      </c>
      <c r="Z3937" s="10" t="s">
        <v>99</v>
      </c>
      <c r="AA3937" s="10" t="s">
        <v>131</v>
      </c>
      <c r="AB3937" s="10" t="s">
        <v>24704</v>
      </c>
      <c r="AC3937" s="10" t="s">
        <v>21389</v>
      </c>
      <c r="AD3937" s="10" t="s">
        <v>165</v>
      </c>
      <c r="AE3937" s="10" t="s">
        <v>26436</v>
      </c>
      <c r="AF3937" s="15"/>
      <c r="AG3937" s="10"/>
      <c r="AH3937" s="10"/>
      <c r="AI3937" s="10"/>
      <c r="AJ3937" s="10"/>
      <c r="AK3937" s="10" t="s">
        <v>102</v>
      </c>
      <c r="AL3937" s="10"/>
      <c r="AM3937" s="10"/>
      <c r="AN3937" s="10"/>
      <c r="AO3937" s="13" t="b">
        <v>0</v>
      </c>
      <c r="AP3937" s="22"/>
      <c r="AQ3937" s="10">
        <f ca="1">IFERROR(__xludf.DUMMYFUNCTION("""COMPUTED_VALUE"""),4835808)</f>
        <v>4835808</v>
      </c>
      <c r="AR3937" s="17"/>
      <c r="AS3937" s="17"/>
      <c r="AT3937" s="17"/>
      <c r="AU3937" s="17"/>
      <c r="AV3937" s="17"/>
      <c r="AW3937" s="10"/>
      <c r="AX3937" s="17"/>
      <c r="AY3937" s="18" t="s">
        <v>257</v>
      </c>
      <c r="AZ3937" s="10"/>
      <c r="BA3937" s="20" t="b">
        <v>0</v>
      </c>
      <c r="BB3937" s="10" t="s">
        <v>24752</v>
      </c>
      <c r="BC3937" s="17" t="s">
        <v>257</v>
      </c>
      <c r="BD3937" s="17" t="s">
        <v>257</v>
      </c>
      <c r="BE3937" s="17" t="s">
        <v>257</v>
      </c>
      <c r="BF3937" s="17" t="s">
        <v>257</v>
      </c>
      <c r="BG3937" s="11">
        <f ca="1">IFERROR(__xludf.DUMMYFUNCTION("""COMPUTED_VALUE"""),46033.5972222222)</f>
        <v>46033.597222222197</v>
      </c>
      <c r="BH3937" s="17"/>
      <c r="BI3937" s="17"/>
      <c r="BJ3937" s="15"/>
      <c r="BK3937" s="15"/>
      <c r="BL3937" s="13" t="b">
        <v>0</v>
      </c>
      <c r="BM3937" s="10"/>
      <c r="BN3937" s="10" t="s">
        <v>6278</v>
      </c>
      <c r="BO3937" s="11">
        <v>46032.769444444442</v>
      </c>
      <c r="BP3937" s="11">
        <v>46032.770092592589</v>
      </c>
      <c r="BQ3937" s="15"/>
      <c r="BR3937" s="15">
        <v>46032.89640046296</v>
      </c>
      <c r="BS3937" s="10" t="s">
        <v>6278</v>
      </c>
      <c r="BT3937" s="10"/>
      <c r="BU3937" s="10"/>
      <c r="BV3937" s="10"/>
      <c r="BW3937" s="10"/>
      <c r="BX3937" s="10"/>
      <c r="BY3937" s="23"/>
      <c r="BZ3937" s="23"/>
      <c r="CA3937" s="10"/>
      <c r="CB3937" s="23"/>
      <c r="CC3937" s="23"/>
      <c r="CD3937" s="23"/>
      <c r="CE3937" s="23"/>
      <c r="CF3937" s="23"/>
      <c r="CG3937" s="23"/>
      <c r="CH3937" s="23"/>
      <c r="CI3937" s="23"/>
    </row>
    <row r="3938" spans="1:87" x14ac:dyDescent="0.3">
      <c r="A3938" s="9" t="s">
        <v>26437</v>
      </c>
      <c r="B3938" s="10" t="s">
        <v>26438</v>
      </c>
      <c r="C3938" s="11">
        <v>46046.791666666664</v>
      </c>
      <c r="D3938" s="12">
        <v>0.14583333333333334</v>
      </c>
      <c r="E3938" s="11">
        <v>46046.9375</v>
      </c>
      <c r="F3938" s="22" t="s">
        <v>24420</v>
      </c>
      <c r="G3938" s="13" t="b">
        <v>0</v>
      </c>
      <c r="H3938" s="22" t="s">
        <v>8403</v>
      </c>
      <c r="I3938" s="10" t="s">
        <v>212</v>
      </c>
      <c r="J3938" s="13" t="b">
        <v>1</v>
      </c>
      <c r="K3938" s="13" t="b">
        <v>0</v>
      </c>
      <c r="L3938" s="10" t="s">
        <v>124</v>
      </c>
      <c r="M3938" s="10" t="s">
        <v>91</v>
      </c>
      <c r="N3938" s="10" t="s">
        <v>92</v>
      </c>
      <c r="O3938" s="10"/>
      <c r="P3938" s="10"/>
      <c r="Q3938" s="10" t="s">
        <v>126</v>
      </c>
      <c r="R3938" s="19" t="s">
        <v>26439</v>
      </c>
      <c r="S3938" s="10"/>
      <c r="T3938" s="10"/>
      <c r="U3938" s="10"/>
      <c r="V3938" s="10"/>
      <c r="W3938" s="10" t="s">
        <v>8407</v>
      </c>
      <c r="X3938" s="10" t="s">
        <v>8408</v>
      </c>
      <c r="Y3938" s="10" t="s">
        <v>8409</v>
      </c>
      <c r="Z3938" s="10" t="s">
        <v>99</v>
      </c>
      <c r="AA3938" s="10" t="s">
        <v>100</v>
      </c>
      <c r="AB3938" s="10" t="s">
        <v>24424</v>
      </c>
      <c r="AC3938" s="10" t="s">
        <v>24425</v>
      </c>
      <c r="AD3938" s="10" t="s">
        <v>165</v>
      </c>
      <c r="AE3938" s="10" t="s">
        <v>26440</v>
      </c>
      <c r="AF3938" s="15"/>
      <c r="AG3938" s="10"/>
      <c r="AH3938" s="10"/>
      <c r="AI3938" s="10"/>
      <c r="AJ3938" s="10"/>
      <c r="AK3938" s="10"/>
      <c r="AL3938" s="10"/>
      <c r="AM3938" s="10"/>
      <c r="AN3938" s="10"/>
      <c r="AO3938" s="13" t="b">
        <v>0</v>
      </c>
      <c r="AP3938" s="22" t="s">
        <v>221</v>
      </c>
      <c r="AQ3938" s="10"/>
      <c r="AR3938" s="17"/>
      <c r="AS3938" s="17"/>
      <c r="AT3938" s="17"/>
      <c r="AU3938" s="17"/>
      <c r="AV3938" s="17"/>
      <c r="AW3938" s="10"/>
      <c r="AX3938" s="17"/>
      <c r="AY3938" s="18" t="s">
        <v>257</v>
      </c>
      <c r="AZ3938" s="10"/>
      <c r="BA3938" s="20" t="b">
        <v>0</v>
      </c>
      <c r="BB3938" s="10"/>
      <c r="BC3938" s="17" t="s">
        <v>257</v>
      </c>
      <c r="BD3938" s="17" t="s">
        <v>257</v>
      </c>
      <c r="BE3938" s="17" t="s">
        <v>257</v>
      </c>
      <c r="BF3938" s="17" t="s">
        <v>257</v>
      </c>
      <c r="BG3938" s="11">
        <f ca="1">IFERROR(__xludf.DUMMYFUNCTION("""COMPUTED_VALUE"""),46046.7916666666)</f>
        <v>46046.791666666599</v>
      </c>
      <c r="BH3938" s="17"/>
      <c r="BI3938" s="17"/>
      <c r="BJ3938" s="15"/>
      <c r="BK3938" s="15"/>
      <c r="BL3938" s="13" t="b">
        <v>0</v>
      </c>
      <c r="BM3938" s="10"/>
      <c r="BN3938" s="10" t="s">
        <v>3527</v>
      </c>
      <c r="BO3938" s="11">
        <v>46033.350694444445</v>
      </c>
      <c r="BP3938" s="11">
        <v>46033.351168981484</v>
      </c>
      <c r="BQ3938" s="15"/>
      <c r="BR3938" s="15"/>
      <c r="BS3938" s="10"/>
      <c r="BT3938" s="10"/>
      <c r="BU3938" s="10"/>
      <c r="BV3938" s="10"/>
      <c r="BW3938" s="10"/>
      <c r="BX3938" s="10"/>
      <c r="BY3938" s="23"/>
      <c r="BZ3938" s="23"/>
      <c r="CA3938" s="10"/>
      <c r="CB3938" s="23"/>
      <c r="CC3938" s="23"/>
      <c r="CD3938" s="23"/>
      <c r="CE3938" s="23"/>
      <c r="CF3938" s="23"/>
      <c r="CG3938" s="23"/>
      <c r="CH3938" s="23"/>
      <c r="CI3938" s="23"/>
    </row>
    <row r="3939" spans="1:87" x14ac:dyDescent="0.3">
      <c r="A3939" s="9"/>
      <c r="B3939" s="10"/>
      <c r="C3939" s="11"/>
      <c r="D3939" s="12"/>
      <c r="E3939" s="11"/>
      <c r="F3939" s="22"/>
      <c r="G3939" s="13"/>
      <c r="H3939" s="22"/>
      <c r="I3939" s="10"/>
      <c r="J3939" s="13"/>
      <c r="K3939" s="13"/>
      <c r="L3939" s="10"/>
      <c r="M3939" s="10"/>
      <c r="N3939" s="10"/>
      <c r="O3939" s="10"/>
      <c r="P3939" s="10"/>
      <c r="Q3939" s="10"/>
      <c r="R3939" s="10"/>
      <c r="S3939" s="10"/>
      <c r="T3939" s="10"/>
      <c r="U3939" s="10"/>
      <c r="V3939" s="10"/>
      <c r="W3939" s="10"/>
      <c r="X3939" s="10"/>
      <c r="Y3939" s="10"/>
      <c r="Z3939" s="10"/>
      <c r="AA3939" s="10"/>
      <c r="AB3939" s="10"/>
      <c r="AC3939" s="10"/>
      <c r="AD3939" s="10"/>
      <c r="AE3939" s="10"/>
      <c r="AF3939" s="15"/>
      <c r="AG3939" s="10"/>
      <c r="AH3939" s="10"/>
      <c r="AI3939" s="10"/>
      <c r="AJ3939" s="10"/>
      <c r="AK3939" s="10"/>
      <c r="AL3939" s="10"/>
      <c r="AM3939" s="10"/>
      <c r="AN3939" s="10"/>
      <c r="AO3939" s="13"/>
      <c r="AP3939" s="22"/>
      <c r="AQ3939" s="10"/>
      <c r="AR3939" s="17"/>
      <c r="AS3939" s="17"/>
      <c r="AT3939" s="17"/>
      <c r="AU3939" s="17"/>
      <c r="AV3939" s="17"/>
      <c r="AW3939" s="10"/>
      <c r="AX3939" s="17"/>
      <c r="AY3939" s="18" t="s">
        <v>257</v>
      </c>
      <c r="AZ3939" s="10"/>
      <c r="BA3939" s="20"/>
      <c r="BB3939" s="10"/>
      <c r="BC3939" s="17" t="s">
        <v>257</v>
      </c>
      <c r="BD3939" s="17" t="s">
        <v>257</v>
      </c>
      <c r="BE3939" s="17" t="s">
        <v>257</v>
      </c>
      <c r="BF3939" s="17" t="s">
        <v>257</v>
      </c>
      <c r="BG3939" s="11"/>
      <c r="BH3939" s="17"/>
      <c r="BI3939" s="17"/>
      <c r="BJ3939" s="15"/>
      <c r="BK3939" s="15"/>
      <c r="BL3939" s="13"/>
      <c r="BM3939" s="10"/>
      <c r="BN3939" s="10"/>
      <c r="BO3939" s="11"/>
      <c r="BP3939" s="11"/>
      <c r="BQ3939" s="15"/>
      <c r="BR3939" s="15"/>
      <c r="BS3939" s="10"/>
      <c r="BT3939" s="10"/>
      <c r="BU3939" s="10"/>
      <c r="BV3939" s="10"/>
      <c r="BW3939" s="10"/>
      <c r="BX3939" s="10"/>
      <c r="BY3939" s="23"/>
      <c r="BZ3939" s="23"/>
      <c r="CA3939" s="10"/>
      <c r="CB3939" s="23"/>
      <c r="CC3939" s="23"/>
      <c r="CD3939" s="23"/>
      <c r="CE3939" s="23"/>
      <c r="CF3939" s="23"/>
      <c r="CG3939" s="23"/>
      <c r="CH3939" s="23"/>
      <c r="CI3939" s="23"/>
    </row>
    <row r="3940" spans="1:87" x14ac:dyDescent="0.3">
      <c r="A3940" s="9"/>
      <c r="B3940" s="10"/>
      <c r="C3940" s="11"/>
      <c r="D3940" s="12"/>
      <c r="E3940" s="11"/>
      <c r="F3940" s="22"/>
      <c r="G3940" s="13"/>
      <c r="H3940" s="22"/>
      <c r="I3940" s="10"/>
      <c r="J3940" s="13"/>
      <c r="K3940" s="13"/>
      <c r="L3940" s="10"/>
      <c r="M3940" s="10"/>
      <c r="N3940" s="10"/>
      <c r="O3940" s="10"/>
      <c r="P3940" s="10"/>
      <c r="Q3940" s="10"/>
      <c r="R3940" s="10"/>
      <c r="S3940" s="10"/>
      <c r="T3940" s="10"/>
      <c r="U3940" s="10"/>
      <c r="V3940" s="10"/>
      <c r="W3940" s="10"/>
      <c r="X3940" s="10"/>
      <c r="Y3940" s="10"/>
      <c r="Z3940" s="10"/>
      <c r="AA3940" s="10"/>
      <c r="AB3940" s="10"/>
      <c r="AC3940" s="10"/>
      <c r="AD3940" s="10"/>
      <c r="AE3940" s="10"/>
      <c r="AF3940" s="15"/>
      <c r="AG3940" s="10"/>
      <c r="AH3940" s="10"/>
      <c r="AI3940" s="10"/>
      <c r="AJ3940" s="10"/>
      <c r="AK3940" s="10"/>
      <c r="AL3940" s="10"/>
      <c r="AM3940" s="10"/>
      <c r="AN3940" s="10"/>
      <c r="AO3940" s="13"/>
      <c r="AP3940" s="22"/>
      <c r="AQ3940" s="10"/>
      <c r="AR3940" s="17"/>
      <c r="AS3940" s="17"/>
      <c r="AT3940" s="17"/>
      <c r="AU3940" s="17"/>
      <c r="AV3940" s="17"/>
      <c r="AW3940" s="10"/>
      <c r="AX3940" s="17"/>
      <c r="AY3940" s="18" t="s">
        <v>257</v>
      </c>
      <c r="AZ3940" s="10"/>
      <c r="BA3940" s="20"/>
      <c r="BB3940" s="10"/>
      <c r="BC3940" s="17" t="s">
        <v>257</v>
      </c>
      <c r="BD3940" s="17" t="s">
        <v>257</v>
      </c>
      <c r="BE3940" s="17" t="s">
        <v>257</v>
      </c>
      <c r="BF3940" s="17" t="s">
        <v>257</v>
      </c>
      <c r="BG3940" s="11"/>
      <c r="BH3940" s="17"/>
      <c r="BI3940" s="17"/>
      <c r="BJ3940" s="15"/>
      <c r="BK3940" s="15"/>
      <c r="BL3940" s="13"/>
      <c r="BM3940" s="10"/>
      <c r="BN3940" s="10"/>
      <c r="BO3940" s="11"/>
      <c r="BP3940" s="11"/>
      <c r="BQ3940" s="15"/>
      <c r="BR3940" s="15"/>
      <c r="BS3940" s="10"/>
      <c r="BT3940" s="10"/>
      <c r="BU3940" s="10"/>
      <c r="BV3940" s="10"/>
      <c r="BW3940" s="10"/>
      <c r="BX3940" s="10"/>
      <c r="BY3940" s="23"/>
      <c r="BZ3940" s="23"/>
      <c r="CA3940" s="10"/>
      <c r="CB3940" s="23"/>
      <c r="CC3940" s="23"/>
      <c r="CD3940" s="23"/>
      <c r="CE3940" s="23"/>
      <c r="CF3940" s="23"/>
      <c r="CG3940" s="23"/>
      <c r="CH3940" s="23"/>
      <c r="CI3940" s="23"/>
    </row>
    <row r="3941" spans="1:87" x14ac:dyDescent="0.3">
      <c r="A3941" s="9"/>
      <c r="B3941" s="10"/>
      <c r="C3941" s="11"/>
      <c r="D3941" s="12"/>
      <c r="E3941" s="11"/>
      <c r="F3941" s="22"/>
      <c r="G3941" s="13"/>
      <c r="H3941" s="22"/>
      <c r="I3941" s="10"/>
      <c r="J3941" s="13"/>
      <c r="K3941" s="13"/>
      <c r="L3941" s="10"/>
      <c r="M3941" s="10"/>
      <c r="N3941" s="10"/>
      <c r="O3941" s="10"/>
      <c r="P3941" s="10"/>
      <c r="Q3941" s="10"/>
      <c r="R3941" s="10"/>
      <c r="S3941" s="10"/>
      <c r="T3941" s="10"/>
      <c r="U3941" s="10"/>
      <c r="V3941" s="10"/>
      <c r="W3941" s="10"/>
      <c r="X3941" s="10"/>
      <c r="Y3941" s="10"/>
      <c r="Z3941" s="10"/>
      <c r="AA3941" s="10"/>
      <c r="AB3941" s="10"/>
      <c r="AC3941" s="10"/>
      <c r="AD3941" s="10"/>
      <c r="AE3941" s="10"/>
      <c r="AF3941" s="15"/>
      <c r="AG3941" s="10"/>
      <c r="AH3941" s="10"/>
      <c r="AI3941" s="10"/>
      <c r="AJ3941" s="10"/>
      <c r="AK3941" s="10"/>
      <c r="AL3941" s="10"/>
      <c r="AM3941" s="10"/>
      <c r="AN3941" s="10"/>
      <c r="AO3941" s="13"/>
      <c r="AP3941" s="22"/>
      <c r="AQ3941" s="10"/>
      <c r="AR3941" s="17"/>
      <c r="AS3941" s="17"/>
      <c r="AT3941" s="17"/>
      <c r="AU3941" s="17"/>
      <c r="AV3941" s="17"/>
      <c r="AW3941" s="10"/>
      <c r="AX3941" s="17"/>
      <c r="AY3941" s="18" t="s">
        <v>257</v>
      </c>
      <c r="AZ3941" s="10"/>
      <c r="BA3941" s="20"/>
      <c r="BB3941" s="10"/>
      <c r="BC3941" s="17" t="s">
        <v>257</v>
      </c>
      <c r="BD3941" s="17" t="s">
        <v>257</v>
      </c>
      <c r="BE3941" s="17" t="s">
        <v>257</v>
      </c>
      <c r="BF3941" s="17" t="s">
        <v>257</v>
      </c>
      <c r="BG3941" s="11"/>
      <c r="BH3941" s="17"/>
      <c r="BI3941" s="17"/>
      <c r="BJ3941" s="15"/>
      <c r="BK3941" s="15"/>
      <c r="BL3941" s="13"/>
      <c r="BM3941" s="10"/>
      <c r="BN3941" s="10"/>
      <c r="BO3941" s="11"/>
      <c r="BP3941" s="11"/>
      <c r="BQ3941" s="15"/>
      <c r="BR3941" s="15"/>
      <c r="BS3941" s="10"/>
      <c r="BT3941" s="10"/>
      <c r="BU3941" s="10"/>
      <c r="BV3941" s="10"/>
      <c r="BW3941" s="10"/>
      <c r="BX3941" s="10"/>
      <c r="BY3941" s="23"/>
      <c r="BZ3941" s="23"/>
      <c r="CA3941" s="10"/>
      <c r="CB3941" s="23"/>
      <c r="CC3941" s="23"/>
      <c r="CD3941" s="23"/>
      <c r="CE3941" s="23"/>
      <c r="CF3941" s="23"/>
      <c r="CG3941" s="23"/>
      <c r="CH3941" s="23"/>
      <c r="CI3941" s="23"/>
    </row>
    <row r="3942" spans="1:87" x14ac:dyDescent="0.3">
      <c r="A3942" s="9"/>
      <c r="B3942" s="10"/>
      <c r="C3942" s="11"/>
      <c r="D3942" s="12"/>
      <c r="E3942" s="11"/>
      <c r="F3942" s="22"/>
      <c r="G3942" s="13"/>
      <c r="H3942" s="22"/>
      <c r="I3942" s="10"/>
      <c r="J3942" s="13"/>
      <c r="K3942" s="13"/>
      <c r="L3942" s="10"/>
      <c r="M3942" s="10"/>
      <c r="N3942" s="10"/>
      <c r="O3942" s="10"/>
      <c r="P3942" s="10"/>
      <c r="Q3942" s="10"/>
      <c r="R3942" s="10"/>
      <c r="S3942" s="10"/>
      <c r="T3942" s="10"/>
      <c r="U3942" s="10"/>
      <c r="V3942" s="10"/>
      <c r="W3942" s="10"/>
      <c r="X3942" s="10"/>
      <c r="Y3942" s="10"/>
      <c r="Z3942" s="10"/>
      <c r="AA3942" s="10"/>
      <c r="AB3942" s="10"/>
      <c r="AC3942" s="10"/>
      <c r="AD3942" s="10"/>
      <c r="AE3942" s="10"/>
      <c r="AF3942" s="15"/>
      <c r="AG3942" s="10"/>
      <c r="AH3942" s="10"/>
      <c r="AI3942" s="10"/>
      <c r="AJ3942" s="10"/>
      <c r="AK3942" s="10"/>
      <c r="AL3942" s="10"/>
      <c r="AM3942" s="10"/>
      <c r="AN3942" s="10"/>
      <c r="AO3942" s="13"/>
      <c r="AP3942" s="22"/>
      <c r="AQ3942" s="10"/>
      <c r="AR3942" s="17"/>
      <c r="AS3942" s="17"/>
      <c r="AT3942" s="17"/>
      <c r="AU3942" s="17"/>
      <c r="AV3942" s="17"/>
      <c r="AW3942" s="10"/>
      <c r="AX3942" s="17"/>
      <c r="AY3942" s="18" t="s">
        <v>257</v>
      </c>
      <c r="AZ3942" s="10"/>
      <c r="BA3942" s="20"/>
      <c r="BB3942" s="10"/>
      <c r="BC3942" s="17" t="s">
        <v>257</v>
      </c>
      <c r="BD3942" s="17" t="s">
        <v>257</v>
      </c>
      <c r="BE3942" s="17" t="s">
        <v>257</v>
      </c>
      <c r="BF3942" s="17" t="s">
        <v>257</v>
      </c>
      <c r="BG3942" s="11"/>
      <c r="BH3942" s="17"/>
      <c r="BI3942" s="17"/>
      <c r="BJ3942" s="15"/>
      <c r="BK3942" s="15"/>
      <c r="BL3942" s="13"/>
      <c r="BM3942" s="10"/>
      <c r="BN3942" s="10"/>
      <c r="BO3942" s="11"/>
      <c r="BP3942" s="11"/>
      <c r="BQ3942" s="15"/>
      <c r="BR3942" s="15"/>
      <c r="BS3942" s="10"/>
      <c r="BT3942" s="10"/>
      <c r="BU3942" s="10"/>
      <c r="BV3942" s="10"/>
      <c r="BW3942" s="10"/>
      <c r="BX3942" s="10"/>
      <c r="BY3942" s="23"/>
      <c r="BZ3942" s="23"/>
      <c r="CA3942" s="10"/>
      <c r="CB3942" s="23"/>
      <c r="CC3942" s="23"/>
      <c r="CD3942" s="23"/>
      <c r="CE3942" s="23"/>
      <c r="CF3942" s="23"/>
      <c r="CG3942" s="23"/>
      <c r="CH3942" s="23"/>
      <c r="CI3942" s="23"/>
    </row>
    <row r="3943" spans="1:87" x14ac:dyDescent="0.3">
      <c r="A3943" s="9"/>
      <c r="B3943" s="10"/>
      <c r="C3943" s="11"/>
      <c r="D3943" s="12"/>
      <c r="E3943" s="11"/>
      <c r="F3943" s="22"/>
      <c r="G3943" s="13"/>
      <c r="H3943" s="22"/>
      <c r="I3943" s="10"/>
      <c r="J3943" s="13"/>
      <c r="K3943" s="13"/>
      <c r="L3943" s="10"/>
      <c r="M3943" s="10"/>
      <c r="N3943" s="10"/>
      <c r="O3943" s="10"/>
      <c r="P3943" s="10"/>
      <c r="Q3943" s="10"/>
      <c r="R3943" s="10"/>
      <c r="S3943" s="10"/>
      <c r="T3943" s="10"/>
      <c r="U3943" s="10"/>
      <c r="V3943" s="10"/>
      <c r="W3943" s="10"/>
      <c r="X3943" s="10"/>
      <c r="Y3943" s="10"/>
      <c r="Z3943" s="10"/>
      <c r="AA3943" s="10"/>
      <c r="AB3943" s="10"/>
      <c r="AC3943" s="10"/>
      <c r="AD3943" s="10"/>
      <c r="AE3943" s="10"/>
      <c r="AF3943" s="15"/>
      <c r="AG3943" s="10"/>
      <c r="AH3943" s="10"/>
      <c r="AI3943" s="10"/>
      <c r="AJ3943" s="10"/>
      <c r="AK3943" s="10"/>
      <c r="AL3943" s="10"/>
      <c r="AM3943" s="10"/>
      <c r="AN3943" s="10"/>
      <c r="AO3943" s="13"/>
      <c r="AP3943" s="22"/>
      <c r="AQ3943" s="10"/>
      <c r="AR3943" s="17"/>
      <c r="AS3943" s="17"/>
      <c r="AT3943" s="17"/>
      <c r="AU3943" s="17"/>
      <c r="AV3943" s="17"/>
      <c r="AW3943" s="10"/>
      <c r="AX3943" s="17"/>
      <c r="AY3943" s="18" t="s">
        <v>257</v>
      </c>
      <c r="AZ3943" s="10"/>
      <c r="BA3943" s="20"/>
      <c r="BB3943" s="10"/>
      <c r="BC3943" s="17" t="s">
        <v>257</v>
      </c>
      <c r="BD3943" s="17" t="s">
        <v>257</v>
      </c>
      <c r="BE3943" s="17" t="s">
        <v>257</v>
      </c>
      <c r="BF3943" s="17" t="s">
        <v>257</v>
      </c>
      <c r="BG3943" s="11"/>
      <c r="BH3943" s="17"/>
      <c r="BI3943" s="17"/>
      <c r="BJ3943" s="15"/>
      <c r="BK3943" s="15"/>
      <c r="BL3943" s="13"/>
      <c r="BM3943" s="10"/>
      <c r="BN3943" s="10"/>
      <c r="BO3943" s="11"/>
      <c r="BP3943" s="11"/>
      <c r="BQ3943" s="15"/>
      <c r="BR3943" s="15"/>
      <c r="BS3943" s="10"/>
      <c r="BT3943" s="10"/>
      <c r="BU3943" s="10"/>
      <c r="BV3943" s="10"/>
      <c r="BW3943" s="10"/>
      <c r="BX3943" s="10"/>
      <c r="BY3943" s="23"/>
      <c r="BZ3943" s="23"/>
      <c r="CA3943" s="10"/>
      <c r="CB3943" s="23"/>
      <c r="CC3943" s="23"/>
      <c r="CD3943" s="23"/>
      <c r="CE3943" s="23"/>
      <c r="CF3943" s="23"/>
      <c r="CG3943" s="23"/>
      <c r="CH3943" s="23"/>
      <c r="CI3943" s="23"/>
    </row>
  </sheetData>
  <hyperlinks>
    <hyperlink ref="O2" r:id="rId1" xr:uid="{8CE1DC31-3C74-41D1-98D2-54E5B55829ED}"/>
    <hyperlink ref="R2" r:id="rId2" xr:uid="{3139E361-46B3-448D-A2E9-E7C8F613AE88}"/>
    <hyperlink ref="S2" r:id="rId3" xr:uid="{99BCD831-1D20-4014-894A-30EE0583B4A0}"/>
    <hyperlink ref="CA2" r:id="rId4" xr:uid="{20DBA54C-2F1A-4954-A796-BF96D438CBB6}"/>
    <hyperlink ref="O3" r:id="rId5" xr:uid="{D8C6135B-0427-4CE4-A4A7-800A6D9DBD2E}"/>
    <hyperlink ref="R3" r:id="rId6" xr:uid="{8249BAD4-B50B-4181-BF4C-C2F41AB236EA}"/>
    <hyperlink ref="S3" r:id="rId7" xr:uid="{8F5C4CB8-BBCC-4181-B18C-D84BBF817B93}"/>
    <hyperlink ref="CA3" r:id="rId8" xr:uid="{22530FFC-E14F-4592-A674-0731F5BA6424}"/>
    <hyperlink ref="O4" r:id="rId9" xr:uid="{6DDFCC73-2FE3-42F6-A757-666B53FC91BE}"/>
    <hyperlink ref="S4" r:id="rId10" xr:uid="{BAD7D296-D4CD-4A52-96E2-F0F36752FEB4}"/>
    <hyperlink ref="T4" r:id="rId11" xr:uid="{2E275CD2-BB27-4095-ADB1-D1D8A22E1FE4}"/>
    <hyperlink ref="CA4" r:id="rId12" xr:uid="{D62BD314-E348-490E-8E9F-48BFCE8DFA0F}"/>
    <hyperlink ref="CB4" r:id="rId13" xr:uid="{4473DFE4-B241-445C-9440-0124298B48D0}"/>
    <hyperlink ref="CD4" r:id="rId14" xr:uid="{C9A4AACD-776D-461B-AA1B-6FFD3EF0A2F3}"/>
    <hyperlink ref="O5" r:id="rId15" xr:uid="{11B40B58-8800-44B7-98BD-E2E836BBDFB9}"/>
    <hyperlink ref="R5" r:id="rId16" xr:uid="{611F5949-8117-4F78-98E9-BBB79D518F14}"/>
    <hyperlink ref="S5" r:id="rId17" xr:uid="{19B5B339-7491-4023-8FE3-B90A67AACDDE}"/>
    <hyperlink ref="CA5" r:id="rId18" xr:uid="{02D875FA-98DF-4FEE-843A-9E72F55DF925}"/>
    <hyperlink ref="O6" r:id="rId19" xr:uid="{644A1202-425A-4724-94B4-305164A2BCF7}"/>
    <hyperlink ref="S6" r:id="rId20" xr:uid="{C0FE5EAF-3987-4CED-BF23-6262E4510E34}"/>
    <hyperlink ref="CA6" r:id="rId21" xr:uid="{3758CCE0-FCD8-4FDE-B330-67D2F9908FB1}"/>
    <hyperlink ref="CD6" r:id="rId22" xr:uid="{054CF3B4-D29D-4097-A396-B057C5C15BB6}"/>
    <hyperlink ref="O7" r:id="rId23" xr:uid="{3BE792FA-FB2D-4213-8B3C-A722E8AF9CA1}"/>
    <hyperlink ref="R7" r:id="rId24" xr:uid="{9BF7157B-18E1-4465-95D0-098AF50D795C}"/>
    <hyperlink ref="S7" r:id="rId25" xr:uid="{59BD6DA1-7B43-4FB7-A411-3D4D0625E250}"/>
    <hyperlink ref="CA7" r:id="rId26" xr:uid="{27D73A2F-862D-4E54-82EB-6088D60CDCC8}"/>
    <hyperlink ref="CD7" r:id="rId27" xr:uid="{75E7C4A3-186A-4144-8DA2-CAD3560F525B}"/>
    <hyperlink ref="O8" r:id="rId28" xr:uid="{3B3A4829-AAF5-478F-8529-5EC2931E9BA4}"/>
    <hyperlink ref="R8" r:id="rId29" xr:uid="{FF3C2A82-5915-4E95-AFD6-FB4B17339CF4}"/>
    <hyperlink ref="S8" r:id="rId30" xr:uid="{022DDF25-0E9F-482E-AAB5-1E2409F3CD96}"/>
    <hyperlink ref="CA8" r:id="rId31" xr:uid="{D024CC17-7C72-4705-95B6-29936D70F788}"/>
    <hyperlink ref="CD8" r:id="rId32" xr:uid="{D7A7C34C-7BDE-4150-B8BC-0720E0483CE1}"/>
    <hyperlink ref="O9" r:id="rId33" xr:uid="{6B3A4179-1DFA-4AFD-AC02-ED09E70052A7}"/>
    <hyperlink ref="S9" r:id="rId34" xr:uid="{34B133C8-8C31-46D7-9FD1-F0CE37400C17}"/>
    <hyperlink ref="CA9" r:id="rId35" xr:uid="{F68BDA84-DBC0-4C26-97FE-5C0E2CACA207}"/>
    <hyperlink ref="CD9" r:id="rId36" xr:uid="{943B6454-CDBC-4A4C-AC1A-8011F5C0058A}"/>
    <hyperlink ref="O10" r:id="rId37" xr:uid="{7C3CA170-829A-4AAF-9CA9-129244FE0395}"/>
    <hyperlink ref="R10" r:id="rId38" xr:uid="{BE72827B-1DA6-49FA-8665-ABAC4DE69E97}"/>
    <hyperlink ref="S10" r:id="rId39" xr:uid="{B5B3285B-7D29-4776-834E-FF176D13766E}"/>
    <hyperlink ref="CA10" r:id="rId40" xr:uid="{6682A96A-8FF3-48FF-8EFB-1AE24775A37D}"/>
    <hyperlink ref="CD10" r:id="rId41" xr:uid="{9459EAB9-60EA-430E-BFCE-BBC42E6CB493}"/>
    <hyperlink ref="O11" r:id="rId42" xr:uid="{1DC3B604-8B13-4F5E-840D-9A3AF910C7EB}"/>
    <hyperlink ref="S11" r:id="rId43" xr:uid="{19C22FF7-C520-4899-AE99-85AEF37098B6}"/>
    <hyperlink ref="CA11" r:id="rId44" xr:uid="{C61819F6-E5D8-49B1-935A-21D1D48E916D}"/>
    <hyperlink ref="CD11" r:id="rId45" xr:uid="{8F6F037B-5C8A-45D0-81F9-B75B8F372F5A}"/>
    <hyperlink ref="O12" r:id="rId46" xr:uid="{90386B0C-7438-4B25-8BE6-DA4B89096EDF}"/>
    <hyperlink ref="S12" r:id="rId47" xr:uid="{8A4214C2-DFCB-4FCA-A262-D00FEE30DD03}"/>
    <hyperlink ref="CA12" r:id="rId48" xr:uid="{49B20850-3D7E-4DF0-91B1-A48C31CC9AC9}"/>
    <hyperlink ref="CD12" r:id="rId49" xr:uid="{4F935D75-1B77-4B13-8C4E-625678AB4840}"/>
    <hyperlink ref="O13" r:id="rId50" xr:uid="{FEFD3438-A916-4EDB-961A-2CFD1433B9C1}"/>
    <hyperlink ref="S13" r:id="rId51" xr:uid="{792C3552-0CDE-4938-92B3-5B9C4AD3E541}"/>
    <hyperlink ref="CA13" r:id="rId52" xr:uid="{E471EE02-E8A2-42DF-9442-DC1B7347AA7B}"/>
    <hyperlink ref="CD13" r:id="rId53" xr:uid="{64365E2C-F9DA-4C3C-BFB7-7AC2DD87F570}"/>
    <hyperlink ref="O14" r:id="rId54" xr:uid="{A11DD6BA-2DE9-4C32-B007-935911478193}"/>
    <hyperlink ref="S14" r:id="rId55" xr:uid="{6D346736-064C-4D67-9315-C285FBD3399C}"/>
    <hyperlink ref="CA14" r:id="rId56" xr:uid="{6213320E-7FC8-44AB-AA2E-A814793EB6D6}"/>
    <hyperlink ref="CD14" r:id="rId57" xr:uid="{7EB4521B-7D82-4478-B863-75D3E820BB85}"/>
    <hyperlink ref="O15" r:id="rId58" xr:uid="{F63E2C6A-F385-44F4-B625-67583610C093}"/>
    <hyperlink ref="S15" r:id="rId59" xr:uid="{274601FC-A563-40CF-893B-D70B7932C6BF}"/>
    <hyperlink ref="CA15" r:id="rId60" xr:uid="{C872B2DA-DFCB-4AA8-AE29-734A06DC6433}"/>
    <hyperlink ref="CD15" r:id="rId61" xr:uid="{5830C10F-930C-4C34-80D9-D2EF54352B4B}"/>
    <hyperlink ref="O16" r:id="rId62" xr:uid="{C6C11905-55E9-4196-A64D-B83A481F7126}"/>
    <hyperlink ref="S16" r:id="rId63" xr:uid="{F7FFA411-45B9-4CA0-9E0E-07C73E9846E1}"/>
    <hyperlink ref="CA16" r:id="rId64" xr:uid="{C1D6DC5A-2C5B-4522-B1FD-CD366CEF4836}"/>
    <hyperlink ref="CD16" r:id="rId65" xr:uid="{DE6978D7-6AA8-46F6-AE07-226BB56E39AD}"/>
    <hyperlink ref="O17" r:id="rId66" xr:uid="{7931C1AE-79D7-4B38-A432-F31DB599949A}"/>
    <hyperlink ref="S17" r:id="rId67" xr:uid="{82106AE3-FBDE-4ED3-8FB0-28C8A2058B6C}"/>
    <hyperlink ref="T17" r:id="rId68" xr:uid="{FD0E8D72-EBDE-4C85-9FCC-8326C5BC59AC}"/>
    <hyperlink ref="BX17" r:id="rId69" xr:uid="{AAA85E40-8A83-4313-80DB-10213B830CD5}"/>
    <hyperlink ref="CA17" r:id="rId70" xr:uid="{798336DA-E4D9-4B75-A278-5F9C06223825}"/>
    <hyperlink ref="CB17" r:id="rId71" xr:uid="{66D344EB-C76B-40A4-A203-DBB9E01AB05C}"/>
    <hyperlink ref="CD17" r:id="rId72" xr:uid="{F041AB51-638C-4410-AA9B-473CEF0F5B23}"/>
    <hyperlink ref="O18" r:id="rId73" xr:uid="{3914C7C0-2D13-4327-9779-33AFB22226F0}"/>
    <hyperlink ref="S18" r:id="rId74" xr:uid="{AFEA46E0-9769-45A9-AF14-1087E40DCE0E}"/>
    <hyperlink ref="T18" r:id="rId75" xr:uid="{059EF6A9-82E5-4F7C-BC13-C4F2D7A04D7A}"/>
    <hyperlink ref="CA18" r:id="rId76" xr:uid="{6228A856-C2E8-4F3E-AC01-0C0B5322AC28}"/>
    <hyperlink ref="CB18" r:id="rId77" xr:uid="{8773D69C-7E31-4737-B038-ADCDCAF845A6}"/>
    <hyperlink ref="CD18" r:id="rId78" xr:uid="{26B554A2-069E-4C3F-8BA7-C94916B0F1F9}"/>
    <hyperlink ref="O19" r:id="rId79" xr:uid="{D2C6E7BA-D66B-4F1F-9F5C-89D81C98805E}"/>
    <hyperlink ref="S19" r:id="rId80" xr:uid="{745AC74F-A270-4E68-BD49-75D96A3BAD0B}"/>
    <hyperlink ref="T19" r:id="rId81" xr:uid="{FCBE465E-84B8-4F3D-9626-6E0D4E78B2EB}"/>
    <hyperlink ref="CA19" r:id="rId82" xr:uid="{2320693F-B3F7-41E5-9B62-93ADFEB57F52}"/>
    <hyperlink ref="CB19" r:id="rId83" xr:uid="{FF2898BC-6832-4C93-8239-AB945315E5A3}"/>
    <hyperlink ref="CD19" r:id="rId84" xr:uid="{3486190D-6BE0-4831-AFE1-6CE673EB65A3}"/>
    <hyperlink ref="O20" r:id="rId85" xr:uid="{CD216905-AEF1-4BDE-A169-97088832D4DF}"/>
    <hyperlink ref="S20" r:id="rId86" xr:uid="{2533CF96-F6FA-46F1-B5CD-96E7D4148EF4}"/>
    <hyperlink ref="T20" r:id="rId87" xr:uid="{7BBA22B4-BC3C-4D6A-B392-7C98C347A815}"/>
    <hyperlink ref="CA20" r:id="rId88" xr:uid="{56B76B98-72C8-4FBF-9937-7BBF733C7F7D}"/>
    <hyperlink ref="CB20" r:id="rId89" xr:uid="{0C987083-CA8D-4481-98D3-17A7E9508B9F}"/>
    <hyperlink ref="CD20" r:id="rId90" xr:uid="{86CDA3C1-33CF-4EAE-8C1C-B52C6A7094D1}"/>
    <hyperlink ref="O21" r:id="rId91" xr:uid="{D893479C-2824-4664-A73C-BDF7E2502C62}"/>
    <hyperlink ref="S21" r:id="rId92" xr:uid="{B0932E19-51CA-45CE-ACCA-524E23317E74}"/>
    <hyperlink ref="T21" r:id="rId93" xr:uid="{184916B7-3127-4710-B0ED-61BC72AB81A7}"/>
    <hyperlink ref="BX21" r:id="rId94" xr:uid="{4508E485-4354-4BEE-8125-0FAE8F2B3E0A}"/>
    <hyperlink ref="CA21" r:id="rId95" xr:uid="{81F73735-D5A6-482F-B928-0ACA091DB3F3}"/>
    <hyperlink ref="CB21" r:id="rId96" xr:uid="{EFB53346-EC7D-4DED-8B61-D83D23D21F84}"/>
    <hyperlink ref="CD21" r:id="rId97" xr:uid="{BD218975-B46B-49B0-82D6-86152C45706D}"/>
    <hyperlink ref="O22" r:id="rId98" xr:uid="{D7690F33-7ED3-42E5-8282-3FC781F6C576}"/>
    <hyperlink ref="S22" r:id="rId99" xr:uid="{667031D8-0F4A-438A-AD2E-98F5636E23DB}"/>
    <hyperlink ref="T22" r:id="rId100" xr:uid="{88F0379E-28D8-41D8-A56D-25696FF92D0D}"/>
    <hyperlink ref="BX22" r:id="rId101" xr:uid="{5D4FDD71-3510-4F72-ADDD-3F98EC2FADD7}"/>
    <hyperlink ref="CA22" r:id="rId102" xr:uid="{1F50C086-3FFF-453F-B59F-1B867897B1D4}"/>
    <hyperlink ref="CB22" r:id="rId103" xr:uid="{51228357-6194-46E5-8036-EF46E50E309B}"/>
    <hyperlink ref="CD22" r:id="rId104" xr:uid="{5912B510-A5B9-4459-B736-AE7547DBB663}"/>
    <hyperlink ref="O23" r:id="rId105" xr:uid="{6B82C6FE-C124-42E7-8DB5-B3D78F5C8354}"/>
    <hyperlink ref="S23" r:id="rId106" xr:uid="{9D8CD557-B49C-4F06-93D5-646DF84C2204}"/>
    <hyperlink ref="T23" r:id="rId107" xr:uid="{D5A9248A-2284-47F6-9869-063DC0FDB7A4}"/>
    <hyperlink ref="BX23" r:id="rId108" xr:uid="{403A66F1-B699-456D-BD27-6FC813F63019}"/>
    <hyperlink ref="CA23" r:id="rId109" xr:uid="{325CA449-CE50-443B-998B-E9A83C904BA4}"/>
    <hyperlink ref="CB23" r:id="rId110" xr:uid="{D937A137-8D72-4FDE-ABD9-05435BBF00E0}"/>
    <hyperlink ref="CD23" r:id="rId111" xr:uid="{7953ACCC-17B0-4ED2-8CCA-8C88CA51A2D7}"/>
    <hyperlink ref="O24" r:id="rId112" xr:uid="{CDAC6A1C-4985-4D3F-B9ED-EFE6A1027ABB}"/>
    <hyperlink ref="S24" r:id="rId113" xr:uid="{4FF64BA9-37F3-427D-A701-26A357D5F30E}"/>
    <hyperlink ref="T24" r:id="rId114" xr:uid="{96DAAD33-7E17-414F-A129-65EA300EAA09}"/>
    <hyperlink ref="CA24" r:id="rId115" xr:uid="{C6FF3C33-1C93-4677-85E3-5284B98C5207}"/>
    <hyperlink ref="CB24" r:id="rId116" xr:uid="{E3F44990-34C8-4B8B-8CDE-969749F6B135}"/>
    <hyperlink ref="CD24" r:id="rId117" xr:uid="{FFFDA85F-3BED-4466-84C6-26E91166DC70}"/>
    <hyperlink ref="O25" r:id="rId118" xr:uid="{23B152A0-218F-482A-B022-126EECEFEA0A}"/>
    <hyperlink ref="S25" r:id="rId119" xr:uid="{E507CDF5-7F52-41E0-8123-765B428C1C08}"/>
    <hyperlink ref="T25" r:id="rId120" xr:uid="{4DB2B44B-7321-4633-B8D0-1ABB6CE1C96F}"/>
    <hyperlink ref="CA25" r:id="rId121" xr:uid="{0A659DA7-1F36-4BF5-A122-32E180580361}"/>
    <hyperlink ref="CB25" r:id="rId122" xr:uid="{3EA3F6A0-E68C-4A68-B575-3BDDF3789EDC}"/>
    <hyperlink ref="CD25" r:id="rId123" xr:uid="{18AA6F82-E3A0-45CC-8471-A4B533613E2F}"/>
    <hyperlink ref="O26" r:id="rId124" xr:uid="{ABF3AF76-6620-42FE-AC2F-5039B393F7E1}"/>
    <hyperlink ref="S26" r:id="rId125" xr:uid="{08CA49D5-5D38-4144-8C18-2BCD4FEE7D90}"/>
    <hyperlink ref="T26" r:id="rId126" xr:uid="{558BA7CF-901E-4B75-B58D-0219770205BA}"/>
    <hyperlink ref="CA26" r:id="rId127" xr:uid="{54775C95-025F-4912-927B-55564FC90E48}"/>
    <hyperlink ref="CB26" r:id="rId128" xr:uid="{4D224374-C415-4D05-AB3C-D97C70BE9987}"/>
    <hyperlink ref="CD26" r:id="rId129" xr:uid="{26A8B3D4-467B-45AE-950C-9C1257A35521}"/>
    <hyperlink ref="O27" r:id="rId130" xr:uid="{6BD9DA69-FD83-46AF-89FC-04BBC17A0CAF}"/>
    <hyperlink ref="S27" r:id="rId131" xr:uid="{E8195F51-C414-497F-ACF2-AE238A16C071}"/>
    <hyperlink ref="T27" r:id="rId132" xr:uid="{5C47A1D2-D66F-4B1C-B6CD-C8EBECE5DB43}"/>
    <hyperlink ref="CA27" r:id="rId133" xr:uid="{71AAB530-AE24-4C9F-AAE7-6A16919539A3}"/>
    <hyperlink ref="CB27" r:id="rId134" xr:uid="{2E7FF3C9-D42E-4C13-9610-7846F61A0463}"/>
    <hyperlink ref="CD27" r:id="rId135" xr:uid="{9879A804-B157-4AF1-A096-06B5558C9435}"/>
    <hyperlink ref="O28" r:id="rId136" xr:uid="{CAE4FDC5-7D17-438D-B280-BB16E43D90BE}"/>
    <hyperlink ref="S28" r:id="rId137" xr:uid="{D50ADF7B-D9F3-4664-85A1-5CC74723503D}"/>
    <hyperlink ref="T28" r:id="rId138" xr:uid="{6B0DCA7F-9565-43AC-9191-D608054CF6FF}"/>
    <hyperlink ref="CA28" r:id="rId139" xr:uid="{AEC93E8A-C8D2-4471-ABD2-140CE4AF5FF0}"/>
    <hyperlink ref="CB28" r:id="rId140" xr:uid="{F41974FE-815E-432E-8195-6A47B128F6CC}"/>
    <hyperlink ref="CD28" r:id="rId141" xr:uid="{6790F884-64AC-41F1-B344-0202944B943D}"/>
    <hyperlink ref="O29" r:id="rId142" xr:uid="{BE445B10-7358-40CE-BDF8-3F2BDF71CB6A}"/>
    <hyperlink ref="S29" r:id="rId143" xr:uid="{CF89484A-797A-4471-BFCF-36A1B3E1131E}"/>
    <hyperlink ref="T29" r:id="rId144" xr:uid="{B5C3D414-CDEF-45BB-8FB9-EBAFCBF91C50}"/>
    <hyperlink ref="CA29" r:id="rId145" xr:uid="{035F382D-06B0-43F5-B1BC-4F2DAC2964CF}"/>
    <hyperlink ref="CB29" r:id="rId146" xr:uid="{B417E0B0-0012-48AD-923A-116D4D188725}"/>
    <hyperlink ref="CD29" r:id="rId147" xr:uid="{A8EBE945-B90C-492E-BA05-1DD05000D658}"/>
    <hyperlink ref="O30" r:id="rId148" xr:uid="{9C1BF1A3-B5F9-4375-86CE-94BAA0BB1725}"/>
    <hyperlink ref="S30" r:id="rId149" xr:uid="{292AA366-889E-478C-BB91-4A79E0AC00BA}"/>
    <hyperlink ref="T30" r:id="rId150" xr:uid="{048F2D4E-2951-4727-A422-4FD22E6E7776}"/>
    <hyperlink ref="CA30" r:id="rId151" xr:uid="{B746E660-F06E-4527-8A19-1C5BC7B475BB}"/>
    <hyperlink ref="CB30" r:id="rId152" xr:uid="{71728B5D-FA8D-4B80-A557-3493C7A421A7}"/>
    <hyperlink ref="CD30" r:id="rId153" xr:uid="{2594CB5C-5EAD-48A0-B991-973A6B5F1D2B}"/>
    <hyperlink ref="O31" r:id="rId154" xr:uid="{93B8A70D-AC68-4F3C-AFAF-59ADBCA090A9}"/>
    <hyperlink ref="S31" r:id="rId155" xr:uid="{A75DBA53-D1EF-4E53-BB0A-2339346F9182}"/>
    <hyperlink ref="T31" r:id="rId156" xr:uid="{B08FE29C-9895-4699-82F7-3A12D8409766}"/>
    <hyperlink ref="CA31" r:id="rId157" xr:uid="{5CC29EC5-DD73-40AA-B0C6-DC6E365514B1}"/>
    <hyperlink ref="CB31" r:id="rId158" xr:uid="{3ABE30AF-0974-4B05-B62E-118D4E8887B3}"/>
    <hyperlink ref="CD31" r:id="rId159" xr:uid="{E37C9E83-5EBB-4BCE-A6AD-88135B7B5F7D}"/>
    <hyperlink ref="O32" r:id="rId160" xr:uid="{EB9FD0C0-0621-44D9-A3E4-8F61BEBAAE7E}"/>
    <hyperlink ref="S32" r:id="rId161" xr:uid="{4D7BD914-0E79-468F-A05A-40BAC6E8FD6A}"/>
    <hyperlink ref="T32" r:id="rId162" xr:uid="{79EBF019-FC76-448A-92EB-D39C2CD2F656}"/>
    <hyperlink ref="CA32" r:id="rId163" xr:uid="{394764FB-C7A0-4BD4-823F-93E69073AC01}"/>
    <hyperlink ref="CB32" r:id="rId164" xr:uid="{3744D7BD-2326-4F31-A501-12B5644A9C94}"/>
    <hyperlink ref="CD32" r:id="rId165" xr:uid="{BDD38D9C-066F-4B7E-8F42-D1382FE88BC4}"/>
    <hyperlink ref="O33" r:id="rId166" xr:uid="{936328A9-27E9-4F31-A3B0-AEB043DBDD5A}"/>
    <hyperlink ref="S33" r:id="rId167" xr:uid="{7E145833-28F8-4CDA-9D7E-B1C44EAFBAF1}"/>
    <hyperlink ref="T33" r:id="rId168" xr:uid="{D65C008E-F5AB-4A0C-BF32-041E9937D262}"/>
    <hyperlink ref="CA33" r:id="rId169" xr:uid="{007E6899-E091-40E9-9EB0-B2D791B0D0CA}"/>
    <hyperlink ref="CB33" r:id="rId170" xr:uid="{AD95DE0D-B5A0-463F-B9A2-51A0F46D895C}"/>
    <hyperlink ref="CD33" r:id="rId171" xr:uid="{31861D62-11F6-4CD1-888C-C2117FC672A4}"/>
    <hyperlink ref="O34" r:id="rId172" xr:uid="{8A26A3D9-F4B6-4941-BCA9-995CB69B20E4}"/>
    <hyperlink ref="S34" r:id="rId173" xr:uid="{C971ACCB-AEB4-4E82-8C89-D70B7942F005}"/>
    <hyperlink ref="T34" r:id="rId174" xr:uid="{1A1ABD89-0A12-4301-9B4D-0DBD0D13C152}"/>
    <hyperlink ref="CA34" r:id="rId175" xr:uid="{AC6E6E57-7751-46F2-BF2C-F94ACD0723CD}"/>
    <hyperlink ref="CB34" r:id="rId176" xr:uid="{005A053C-6B60-47B5-8EBF-8AEE234BB115}"/>
    <hyperlink ref="CD34" r:id="rId177" xr:uid="{84B95F27-C445-499A-9149-815DFF999483}"/>
    <hyperlink ref="O35" r:id="rId178" xr:uid="{CA7CCE84-81D5-4E9F-8124-51AF15F44A08}"/>
    <hyperlink ref="S35" r:id="rId179" xr:uid="{409C3980-280F-4C45-A8FE-2CC6E592E3AF}"/>
    <hyperlink ref="T35" r:id="rId180" xr:uid="{120CA2A5-852D-4525-9C45-D703CA89E0F8}"/>
    <hyperlink ref="CA35" r:id="rId181" xr:uid="{5A73FAD4-1293-4C32-985F-448B77881B47}"/>
    <hyperlink ref="CB35" r:id="rId182" xr:uid="{07BBD402-58D3-47F2-9971-3F06CD547357}"/>
    <hyperlink ref="CD35" r:id="rId183" xr:uid="{DDBAEE87-A399-456B-908F-F73BD1D2FC21}"/>
    <hyperlink ref="O36" r:id="rId184" xr:uid="{FFBC1627-91ED-4DD4-8825-E393FD0C9CD5}"/>
    <hyperlink ref="S36" r:id="rId185" xr:uid="{D9FF58F7-DD64-4BB6-B37C-C7AF9760FC25}"/>
    <hyperlink ref="T36" r:id="rId186" xr:uid="{020F6FD6-2C80-40FD-A428-C891A49263C4}"/>
    <hyperlink ref="CA36" r:id="rId187" xr:uid="{E6E029AB-543F-44BA-8507-A54E2B7F579B}"/>
    <hyperlink ref="CB36" r:id="rId188" xr:uid="{A7AD2B51-DC5F-464D-96F9-7F7C63A98CD5}"/>
    <hyperlink ref="CD36" r:id="rId189" xr:uid="{39FD364F-1FEF-4F72-8FC1-1FC86E7AA235}"/>
    <hyperlink ref="O37" r:id="rId190" xr:uid="{20837E36-BB29-4B26-BD48-0477297BD9E0}"/>
    <hyperlink ref="S37" r:id="rId191" xr:uid="{D2E7E33A-70F9-41EE-A024-A58430D133C5}"/>
    <hyperlink ref="T37" r:id="rId192" xr:uid="{4957E28C-7270-4124-914C-D1FB31BC3616}"/>
    <hyperlink ref="CA37" r:id="rId193" xr:uid="{056C904F-4B23-4229-9A78-917B90BCF4D5}"/>
    <hyperlink ref="CB37" r:id="rId194" xr:uid="{BCF99D2A-D8E9-48A7-AC2D-5D99CC1FFF15}"/>
    <hyperlink ref="CD37" r:id="rId195" xr:uid="{DA577871-96B4-4AA4-AA7B-6600D9228479}"/>
    <hyperlink ref="O38" r:id="rId196" xr:uid="{8B6E49AD-D19D-4EC4-A484-D9F276646C92}"/>
    <hyperlink ref="S38" r:id="rId197" xr:uid="{25BD0CF8-3A2A-46F7-800E-FCBB49527754}"/>
    <hyperlink ref="T38" r:id="rId198" xr:uid="{238427A2-5AB4-47B9-B25A-125C0CCB00BC}"/>
    <hyperlink ref="CA38" r:id="rId199" xr:uid="{CE86A4AD-EBFF-4712-B4D3-D936567B598D}"/>
    <hyperlink ref="CB38" r:id="rId200" xr:uid="{F4BD146F-6233-4F2E-8147-300756373B9F}"/>
    <hyperlink ref="CD38" r:id="rId201" xr:uid="{1BB69EF7-A798-4BF6-AE6C-44AB9B9EA090}"/>
    <hyperlink ref="O39" r:id="rId202" xr:uid="{A40B3E40-07C1-4113-9D1C-D0622B28B334}"/>
    <hyperlink ref="S39" r:id="rId203" xr:uid="{20A56CF4-93B6-449D-8B53-C09062B9EC7C}"/>
    <hyperlink ref="T39" r:id="rId204" xr:uid="{682C0C65-7405-4CCF-A057-7F18E6DB4842}"/>
    <hyperlink ref="CA39" r:id="rId205" xr:uid="{ECDED642-70BD-48BF-95AF-F51FE5E50C40}"/>
    <hyperlink ref="CB39" r:id="rId206" xr:uid="{28D36C57-5AFC-46B8-A027-6A72443F41DE}"/>
    <hyperlink ref="CD39" r:id="rId207" xr:uid="{796F6572-E1DD-4605-BA17-F21630ACB4CC}"/>
    <hyperlink ref="O40" r:id="rId208" xr:uid="{FB0052DB-B591-47DA-A8DB-30B428EF0ED7}"/>
    <hyperlink ref="S40" r:id="rId209" xr:uid="{6EA80F26-5BE0-493D-B501-8EA923E8D4BC}"/>
    <hyperlink ref="T40" r:id="rId210" xr:uid="{BE795EA6-10E5-4947-B980-40A4E3534A00}"/>
    <hyperlink ref="CA40" r:id="rId211" xr:uid="{2E0C7569-59BD-4AFA-9D8A-D5F61DE7EFC9}"/>
    <hyperlink ref="CB40" r:id="rId212" xr:uid="{B97AC1EE-179F-44C1-A2E7-9487359239C4}"/>
    <hyperlink ref="CD40" r:id="rId213" xr:uid="{460D08C2-C32B-4584-B842-256014BA5172}"/>
    <hyperlink ref="O41" r:id="rId214" xr:uid="{E6BDFBE1-EFF4-4E9E-9C2E-DC8C257B8A03}"/>
    <hyperlink ref="S41" r:id="rId215" xr:uid="{90C1AA89-CD0B-41B6-BF9A-B2E77CC2092B}"/>
    <hyperlink ref="T41" r:id="rId216" xr:uid="{07C6AFB7-D7D7-4D06-8A2B-F1650953A139}"/>
    <hyperlink ref="CA41" r:id="rId217" xr:uid="{B2D3E7DC-3A2B-452C-9C3E-40D521E98CF7}"/>
    <hyperlink ref="CB41" r:id="rId218" xr:uid="{AE2C7116-5D4D-4AA7-9263-7A3C612B4133}"/>
    <hyperlink ref="CD41" r:id="rId219" xr:uid="{5C77E2BF-A0DA-4F47-9F31-B07B6C220D7F}"/>
    <hyperlink ref="O42" r:id="rId220" xr:uid="{A664B385-79DF-40C0-ADCB-681398F2D2B3}"/>
    <hyperlink ref="S42" r:id="rId221" xr:uid="{E8C0F206-F785-4111-B022-B7B4367CFAF7}"/>
    <hyperlink ref="T42" r:id="rId222" xr:uid="{7F6A666E-31D1-43AB-AC39-78FF29EC3F2A}"/>
    <hyperlink ref="CA42" r:id="rId223" xr:uid="{7FFA75D2-23E7-4C28-B246-F1A4A754C606}"/>
    <hyperlink ref="CB42" r:id="rId224" xr:uid="{804B2E27-E65B-4C47-9A59-BE42E31BFCD6}"/>
    <hyperlink ref="CD42" r:id="rId225" xr:uid="{F1EFDD34-6617-450B-AD94-2C1BF1C0CF1E}"/>
    <hyperlink ref="O43" r:id="rId226" xr:uid="{D95E8715-0CAB-4883-85AC-FC11C7A60472}"/>
    <hyperlink ref="S43" r:id="rId227" xr:uid="{C883DCE3-CC13-48CF-9646-B8C1FD30DC5F}"/>
    <hyperlink ref="T43" r:id="rId228" xr:uid="{83984DF5-D53D-41B7-BDD9-5B03A5D3ED80}"/>
    <hyperlink ref="CA43" r:id="rId229" xr:uid="{24FF73F7-16E1-4041-9179-4138993F63D6}"/>
    <hyperlink ref="CB43" r:id="rId230" xr:uid="{644001AA-2576-4F05-B025-86E645AD2283}"/>
    <hyperlink ref="CD43" r:id="rId231" xr:uid="{87969523-918C-4AAB-B866-E65D05D15AC0}"/>
    <hyperlink ref="O44" r:id="rId232" xr:uid="{4765807C-1670-4235-8855-B6EF0004C9BA}"/>
    <hyperlink ref="S44" r:id="rId233" xr:uid="{D01E68A7-E3AC-499C-970F-362857107324}"/>
    <hyperlink ref="T44" r:id="rId234" xr:uid="{A12B58CD-3ECA-4474-B1AB-A9C78AC266D9}"/>
    <hyperlink ref="CA44" r:id="rId235" xr:uid="{339C7B78-4651-4083-AF72-133933354469}"/>
    <hyperlink ref="CB44" r:id="rId236" xr:uid="{295FB8E4-6AD6-4477-B957-8385D053188A}"/>
    <hyperlink ref="CD44" r:id="rId237" xr:uid="{7C99B14E-FFB4-489D-A15A-1A37209D6784}"/>
    <hyperlink ref="O45" r:id="rId238" xr:uid="{619044CE-0BC3-4D28-8637-7DB8704A2307}"/>
    <hyperlink ref="S45" r:id="rId239" xr:uid="{8A1B678D-4D74-4D4D-8AAA-AA7F90994066}"/>
    <hyperlink ref="T45" r:id="rId240" xr:uid="{8A0D25B1-C7B8-4A8B-BECD-8C6911CAB26D}"/>
    <hyperlink ref="CA45" r:id="rId241" xr:uid="{D1A44A96-ED40-4B00-8077-D5A5B441F482}"/>
    <hyperlink ref="CB45" r:id="rId242" xr:uid="{3E3AF6E8-2C7B-43CC-8605-E1ABF63AA05B}"/>
    <hyperlink ref="CD45" r:id="rId243" xr:uid="{88D363FB-F245-4D30-8543-B0DADE8981C0}"/>
    <hyperlink ref="O46" r:id="rId244" xr:uid="{7B60E242-E31D-40DE-B230-F602C301B20D}"/>
    <hyperlink ref="S46" r:id="rId245" xr:uid="{0551FA7F-63C2-40B1-AFCD-7352C33D734D}"/>
    <hyperlink ref="T46" r:id="rId246" xr:uid="{9AF104EF-6953-4E66-AED9-B4C37525E75A}"/>
    <hyperlink ref="CA46" r:id="rId247" xr:uid="{4F38BE4F-951B-4DAE-B6BB-D1C33F9F73E4}"/>
    <hyperlink ref="CB46" r:id="rId248" xr:uid="{07F00DE7-B6EC-4958-8A76-9EB96E2257E5}"/>
    <hyperlink ref="CD46" r:id="rId249" xr:uid="{B3BE0CDD-631D-4828-808E-D953C796EFD8}"/>
    <hyperlink ref="O47" r:id="rId250" xr:uid="{46CB2159-E4C5-4DA3-A60F-469360B4C0D6}"/>
    <hyperlink ref="S47" r:id="rId251" xr:uid="{DBF6B176-CF96-4BBF-AE00-599AA879F67B}"/>
    <hyperlink ref="T47" r:id="rId252" xr:uid="{9BED0B66-B23E-40E5-99B3-2A82B466190B}"/>
    <hyperlink ref="CA47" r:id="rId253" xr:uid="{BAD155B1-6131-47DB-8F1F-CEB8A62687C8}"/>
    <hyperlink ref="CB47" r:id="rId254" xr:uid="{A29A22AC-6824-4079-B90F-119F196FCD61}"/>
    <hyperlink ref="CD47" r:id="rId255" xr:uid="{D7F00D57-DEF8-44A5-9DE5-6631CA8015CD}"/>
    <hyperlink ref="O48" r:id="rId256" xr:uid="{AFD9933C-BF2C-443F-983B-1D265970AA68}"/>
    <hyperlink ref="S48" r:id="rId257" xr:uid="{CBF1340D-221C-4B10-8EFF-75CE8DB6ED2E}"/>
    <hyperlink ref="T48" r:id="rId258" xr:uid="{35491B49-6E53-484B-9C63-3F1E04838ECB}"/>
    <hyperlink ref="CA48" r:id="rId259" xr:uid="{F032CACF-656F-48FB-8369-E6E499648B0F}"/>
    <hyperlink ref="CB48" r:id="rId260" xr:uid="{CE7AE0F3-1153-4B65-A18E-B3204C0A4328}"/>
    <hyperlink ref="CD48" r:id="rId261" xr:uid="{74393419-65B7-4FDD-9C1E-05EBF1FD97C1}"/>
    <hyperlink ref="O49" r:id="rId262" xr:uid="{DE5BCD99-0022-42FE-B546-CD721E1E3360}"/>
    <hyperlink ref="S49" r:id="rId263" xr:uid="{FBBB21E1-2D1D-492D-B6B3-1B2E8C4F6254}"/>
    <hyperlink ref="T49" r:id="rId264" xr:uid="{4777B7E7-7718-417D-AC7C-48797D6776D5}"/>
    <hyperlink ref="CA49" r:id="rId265" xr:uid="{DC98632C-8EF2-4B7A-AF3C-19106D17E0B1}"/>
    <hyperlink ref="CB49" r:id="rId266" xr:uid="{BE98967F-7218-4E62-A2FD-EC53A6484819}"/>
    <hyperlink ref="CD49" r:id="rId267" xr:uid="{FD07C5D3-500E-4C5B-8F97-7A66CAAED4F4}"/>
    <hyperlink ref="O50" r:id="rId268" xr:uid="{861505C7-7552-4AEC-9F65-0ADBE3C463EB}"/>
    <hyperlink ref="S50" r:id="rId269" xr:uid="{F3F4DA23-7A87-46AA-9BC6-10E4A4DE8801}"/>
    <hyperlink ref="CA50" r:id="rId270" xr:uid="{24E6AF0F-6B6D-4897-87E7-F132DEA35C10}"/>
    <hyperlink ref="CD50" r:id="rId271" xr:uid="{97CA0948-80E4-42F8-9FEA-32D8F830FA37}"/>
    <hyperlink ref="O51" r:id="rId272" xr:uid="{D9E3B406-91E6-4E85-96E5-442FC994F89F}"/>
    <hyperlink ref="S51" r:id="rId273" xr:uid="{017E38B2-D3D5-440E-A074-03B3FC14674E}"/>
    <hyperlink ref="T51" r:id="rId274" xr:uid="{5F758CCE-79A2-4CC1-9698-9250B4415132}"/>
    <hyperlink ref="CA51" r:id="rId275" xr:uid="{93B8D37B-598C-43BA-90D2-B7B4E0B1A95F}"/>
    <hyperlink ref="CB51" r:id="rId276" xr:uid="{AF11E75D-B20A-41F7-B2E6-9365FED5C9F3}"/>
    <hyperlink ref="CD51" r:id="rId277" xr:uid="{2E1D5A26-B0ED-410B-9191-11857600CEC0}"/>
    <hyperlink ref="O52" r:id="rId278" xr:uid="{10A90D7D-C294-45EE-8866-B905352C4848}"/>
    <hyperlink ref="S52" r:id="rId279" xr:uid="{DEA9A476-4617-4B44-ADC5-8F1E611A3742}"/>
    <hyperlink ref="T52" r:id="rId280" xr:uid="{F0F7DED2-F0E6-4FFE-B307-32FC98EC9F65}"/>
    <hyperlink ref="CA52" r:id="rId281" xr:uid="{48DDA9DE-8D0B-41C4-9692-77C70BB204A2}"/>
    <hyperlink ref="CB52" r:id="rId282" xr:uid="{0A8F4467-D874-4A61-81E7-70E7B41A86E1}"/>
    <hyperlink ref="CD52" r:id="rId283" xr:uid="{84C1EF8E-4A5D-45C5-878C-9C3E3D79AD2C}"/>
    <hyperlink ref="O53" r:id="rId284" xr:uid="{5914ECBE-8A13-47D2-9F6C-F1F8305ECB91}"/>
    <hyperlink ref="S53" r:id="rId285" xr:uid="{7EB156B0-067E-43FB-B614-F4E79D7441DD}"/>
    <hyperlink ref="T53" r:id="rId286" xr:uid="{3E1742F9-ED03-4018-B34F-3D8EC8CA2492}"/>
    <hyperlink ref="CA53" r:id="rId287" xr:uid="{7B0AE020-BD35-4715-8E52-69459F18CC10}"/>
    <hyperlink ref="CB53" r:id="rId288" xr:uid="{6E52F049-1406-496D-96A6-68408C9D42D4}"/>
    <hyperlink ref="CD53" r:id="rId289" xr:uid="{738485AE-90F1-45E2-B7E1-931EEAA747AD}"/>
    <hyperlink ref="O54" r:id="rId290" xr:uid="{5987A4E8-CFC2-4C4D-816D-84B55EB8C354}"/>
    <hyperlink ref="S54" r:id="rId291" xr:uid="{376D6E43-90EC-4A2A-8293-851BF15E5FDB}"/>
    <hyperlink ref="T54" r:id="rId292" xr:uid="{54700D7B-F71C-4DF2-99D7-0FAC39A67A4E}"/>
    <hyperlink ref="CA54" r:id="rId293" xr:uid="{3A3867A0-2FE2-42DF-9CE2-9A33408EB7C1}"/>
    <hyperlink ref="CB54" r:id="rId294" xr:uid="{4F11E64D-E4F9-4075-B5EB-51FEAC995733}"/>
    <hyperlink ref="CD54" r:id="rId295" xr:uid="{9083C9C8-7009-46CA-91B8-DDEE44E629DE}"/>
    <hyperlink ref="O55" r:id="rId296" xr:uid="{83C4E4F7-E306-45B1-A2DE-5E2D4449DC6B}"/>
    <hyperlink ref="S55" r:id="rId297" xr:uid="{942514DA-A6F6-4564-9B2D-78B26337C656}"/>
    <hyperlink ref="T55" r:id="rId298" xr:uid="{12EB8124-AA50-48DE-B343-F36A5F73C84E}"/>
    <hyperlink ref="CA55" r:id="rId299" xr:uid="{53C2BF88-73D3-4D54-8977-2AF8A69A252F}"/>
    <hyperlink ref="CB55" r:id="rId300" xr:uid="{51AB73FD-4351-4163-B07E-DA2627C134C3}"/>
    <hyperlink ref="CD55" r:id="rId301" xr:uid="{F2A7C5D7-9FA6-429A-83DC-A34897AC2284}"/>
    <hyperlink ref="O56" r:id="rId302" xr:uid="{7D1AEF0C-BFCD-4487-ADBD-36070B849BAE}"/>
    <hyperlink ref="S56" r:id="rId303" xr:uid="{F6701987-F3C0-4809-AE5E-4BE5E4F4F0AF}"/>
    <hyperlink ref="T56" r:id="rId304" xr:uid="{F6C04B37-C644-4CC1-B871-0ACAE9216942}"/>
    <hyperlink ref="CA56" r:id="rId305" xr:uid="{93728156-F0E3-404C-AB21-4B04506B2CD9}"/>
    <hyperlink ref="CB56" r:id="rId306" xr:uid="{D23F7F38-1F4B-475A-AF5C-341920149EA9}"/>
    <hyperlink ref="CD56" r:id="rId307" xr:uid="{6F645CDF-1992-4491-A96A-8AA6AA6B0CA2}"/>
    <hyperlink ref="O57" r:id="rId308" xr:uid="{D7E042EE-ACC8-42BA-B753-F97729EFFD1B}"/>
    <hyperlink ref="S57" r:id="rId309" xr:uid="{F0322223-1460-496F-96B8-B4CAA42D0FEF}"/>
    <hyperlink ref="T57" r:id="rId310" xr:uid="{ED7F6A9D-305F-4D1D-9331-EC1FE968457E}"/>
    <hyperlink ref="CA57" r:id="rId311" xr:uid="{3BAD280D-9E9D-46FC-88C8-1EC728A82796}"/>
    <hyperlink ref="CB57" r:id="rId312" xr:uid="{4CA8F480-5372-4860-A71D-E3AC82D8CA66}"/>
    <hyperlink ref="CD57" r:id="rId313" xr:uid="{8AAE5D1C-F9DB-4DA7-990D-C4BC5AABCE86}"/>
    <hyperlink ref="O58" r:id="rId314" xr:uid="{292F40B9-B611-460C-85E2-6ED8DACA8905}"/>
    <hyperlink ref="S58" r:id="rId315" xr:uid="{896FB8E6-FF13-4EAD-96DF-86F252430BC5}"/>
    <hyperlink ref="T58" r:id="rId316" xr:uid="{897B0CE6-48C3-428F-98BA-A5585F7B8C62}"/>
    <hyperlink ref="CA58" r:id="rId317" xr:uid="{0EDA25A2-8E5A-4F55-949F-08D3AC62DB12}"/>
    <hyperlink ref="CB58" r:id="rId318" xr:uid="{56C5D170-A08F-4EE6-A9C5-ACDF3CF2606B}"/>
    <hyperlink ref="CD58" r:id="rId319" xr:uid="{C9F0B7BF-244A-4DC2-AC1F-0EE6D6FE2D10}"/>
    <hyperlink ref="O59" r:id="rId320" xr:uid="{E95B3AFA-88B3-4D26-8218-D0D173A01C91}"/>
    <hyperlink ref="S59" r:id="rId321" xr:uid="{6965A0A4-7B97-4CAA-B362-1464EBA0AD56}"/>
    <hyperlink ref="T59" r:id="rId322" xr:uid="{3397D03B-BEC4-4A34-B25F-3F7C3742F1B7}"/>
    <hyperlink ref="CA59" r:id="rId323" xr:uid="{3E108FBE-5E42-4E28-8F63-6B57D3A2CF97}"/>
    <hyperlink ref="CB59" r:id="rId324" xr:uid="{0AADF693-AEF7-4929-B390-5DB845683840}"/>
    <hyperlink ref="CD59" r:id="rId325" xr:uid="{B221AE64-614B-4184-88C8-A67365493F62}"/>
    <hyperlink ref="O60" r:id="rId326" xr:uid="{B9368E3C-EB29-4178-8ECA-4926F2DBB00D}"/>
    <hyperlink ref="S60" r:id="rId327" xr:uid="{64A6183C-F466-4878-9069-157667542FE1}"/>
    <hyperlink ref="T60" r:id="rId328" xr:uid="{0BBFF490-2166-42C3-8391-B02C0C5F5D6A}"/>
    <hyperlink ref="CA60" r:id="rId329" xr:uid="{7675A858-F5EC-4B81-AB12-F79C4051B009}"/>
    <hyperlink ref="CB60" r:id="rId330" xr:uid="{226F0CED-1B95-42B7-B453-6CCA65B78CAB}"/>
    <hyperlink ref="CD60" r:id="rId331" xr:uid="{511D377E-8E1D-46C4-8ECA-A878CFC83D7A}"/>
    <hyperlink ref="O61" r:id="rId332" xr:uid="{089AED29-0C79-4082-94F3-841DC2842821}"/>
    <hyperlink ref="S61" r:id="rId333" xr:uid="{5B6969FD-51E8-4AF3-B358-37426D4E8BB9}"/>
    <hyperlink ref="T61" r:id="rId334" xr:uid="{A6C272AC-C7F0-4E63-A665-E853BF97EAB2}"/>
    <hyperlink ref="CA61" r:id="rId335" xr:uid="{AA52D773-72CE-4B22-85B2-CDC19AC1A5E6}"/>
    <hyperlink ref="CB61" r:id="rId336" xr:uid="{53C63F2B-8A14-401E-92E5-1502BE5BC134}"/>
    <hyperlink ref="CD61" r:id="rId337" xr:uid="{72BA8634-F1FA-425E-AB99-1D1F3E8B88C9}"/>
    <hyperlink ref="O62" r:id="rId338" xr:uid="{60AAA3A5-FD62-4572-B248-FDAB1BD191B7}"/>
    <hyperlink ref="S62" r:id="rId339" xr:uid="{1F2883A3-3CD8-4DC8-84EC-115AD140DB7F}"/>
    <hyperlink ref="T62" r:id="rId340" xr:uid="{F55660C8-6FD8-4B15-B213-36A5556E121F}"/>
    <hyperlink ref="CA62" r:id="rId341" xr:uid="{CB49E4B0-5D88-4E71-8111-B53E973C5DC2}"/>
    <hyperlink ref="CB62" r:id="rId342" xr:uid="{DA690176-BD18-4C4B-928D-D14DE753ED1D}"/>
    <hyperlink ref="CD62" r:id="rId343" xr:uid="{8A252522-6C8A-4BF4-867D-113851F5236A}"/>
    <hyperlink ref="O63" r:id="rId344" xr:uid="{53D4F227-30B9-4C4E-AF11-E4B2C0965216}"/>
    <hyperlink ref="S63" r:id="rId345" xr:uid="{6F9D72C3-31C6-4068-9756-ED7B8DD211DA}"/>
    <hyperlink ref="T63" r:id="rId346" xr:uid="{9E20851C-537C-4E6E-B215-8EFF572B0B8A}"/>
    <hyperlink ref="CA63" r:id="rId347" xr:uid="{7D751B49-7DB8-4B9E-B470-57FBBFB7412A}"/>
    <hyperlink ref="CB63" r:id="rId348" xr:uid="{B8B368EC-B554-4A69-ACBC-75F99455E28A}"/>
    <hyperlink ref="CD63" r:id="rId349" xr:uid="{AD5CD6A0-E305-4D60-833C-013EC5792B11}"/>
    <hyperlink ref="O64" r:id="rId350" xr:uid="{313603C7-7B90-4275-B5C1-E9F8DE824CBC}"/>
    <hyperlink ref="S64" r:id="rId351" xr:uid="{89E8FD5F-3712-4588-BF3D-8AD5817782C6}"/>
    <hyperlink ref="T64" r:id="rId352" xr:uid="{CB658AEA-4F31-49F7-8266-B7C8B95CB96F}"/>
    <hyperlink ref="CA64" r:id="rId353" xr:uid="{CCE95591-63CE-4179-ADBF-39B1031AE057}"/>
    <hyperlink ref="CB64" r:id="rId354" xr:uid="{BF323FEA-F507-4156-BEF4-089EBB21164D}"/>
    <hyperlink ref="CD64" r:id="rId355" xr:uid="{B26E36E9-B1C5-46DC-91A2-31F4B11ED336}"/>
    <hyperlink ref="O65" r:id="rId356" xr:uid="{97A2035E-2502-4C54-9C54-2231F0894713}"/>
    <hyperlink ref="S65" r:id="rId357" xr:uid="{19D0F86C-4BE6-4DBC-AAF9-F95C55844848}"/>
    <hyperlink ref="T65" r:id="rId358" xr:uid="{8E4A3181-1D79-405F-B8D9-434FC75D8B74}"/>
    <hyperlink ref="CA65" r:id="rId359" xr:uid="{46D7A901-FED3-4CCC-BEC3-BFB927F307BC}"/>
    <hyperlink ref="CB65" r:id="rId360" xr:uid="{A62CA726-A752-4B2C-B086-DC104B62F777}"/>
    <hyperlink ref="CD65" r:id="rId361" xr:uid="{B64E97FA-C9E7-4ADB-B81C-F83D9A7C8046}"/>
    <hyperlink ref="O66" r:id="rId362" xr:uid="{B773EB65-5213-4C84-941B-67CE4CA522C3}"/>
    <hyperlink ref="S66" r:id="rId363" xr:uid="{3264DF54-798B-4D95-8EFD-A1DFC3F148CF}"/>
    <hyperlink ref="T66" r:id="rId364" xr:uid="{F6755BE4-43F8-4943-A914-1DA53C6AFB52}"/>
    <hyperlink ref="CA66" r:id="rId365" xr:uid="{BDD6DD4A-4321-4DE8-8CE5-8C5F1821EAEC}"/>
    <hyperlink ref="CB66" r:id="rId366" xr:uid="{E15E790D-EC05-47ED-9A04-BB4F6FC47882}"/>
    <hyperlink ref="CD66" r:id="rId367" xr:uid="{79581630-7C98-457C-AB6A-5ABB6680C1F0}"/>
    <hyperlink ref="O67" r:id="rId368" xr:uid="{CD5AC3F9-34FB-4126-910E-FC24635FE605}"/>
    <hyperlink ref="S67" r:id="rId369" xr:uid="{05F7EB52-8083-4AA0-912A-DE3486B5438C}"/>
    <hyperlink ref="T67" r:id="rId370" xr:uid="{867B61CC-5785-4D33-9D43-22528F2C84EE}"/>
    <hyperlink ref="CA67" r:id="rId371" xr:uid="{7F1A1B0B-3524-41F3-ABB3-95D6AD150B81}"/>
    <hyperlink ref="CB67" r:id="rId372" xr:uid="{A3DE8DD7-FD30-4F1B-8AE5-568C19A574BC}"/>
    <hyperlink ref="CD67" r:id="rId373" xr:uid="{44153555-5BEF-402B-8067-83F56B17DFB3}"/>
    <hyperlink ref="O68" r:id="rId374" xr:uid="{0FA1FD54-5291-4379-B1D7-909FE1328FA8}"/>
    <hyperlink ref="S68" r:id="rId375" xr:uid="{A88900A7-D252-4A76-96F3-38663F82C7D6}"/>
    <hyperlink ref="T68" r:id="rId376" xr:uid="{88B35B1A-486E-4A2C-B1E5-D528A65705D8}"/>
    <hyperlink ref="CA68" r:id="rId377" xr:uid="{650153F4-885E-45B6-A20D-E5BC4835D7A6}"/>
    <hyperlink ref="CB68" r:id="rId378" xr:uid="{22CF7740-1EC3-48AF-B4FF-C52AB82F2486}"/>
    <hyperlink ref="CD68" r:id="rId379" xr:uid="{4A39557E-7C80-4DD8-ADB4-6D085A047B79}"/>
    <hyperlink ref="O69" r:id="rId380" xr:uid="{BA1BB36D-CDBA-4461-80EF-ECA21FFE9181}"/>
    <hyperlink ref="S69" r:id="rId381" xr:uid="{1A6FBAA6-3DD5-494F-9D4B-5D12007AF9C6}"/>
    <hyperlink ref="T69" r:id="rId382" xr:uid="{E023183C-D6CA-4E96-AAA7-B31DB09F04E8}"/>
    <hyperlink ref="CA69" r:id="rId383" xr:uid="{A90FF5E6-140B-4CD6-9248-103DE83F47C6}"/>
    <hyperlink ref="CB69" r:id="rId384" xr:uid="{EFF2CF0E-0EBA-41B1-A17D-6F6735BF69BF}"/>
    <hyperlink ref="CD69" r:id="rId385" xr:uid="{0D4A7884-4724-46AC-A99B-FAFC606882A4}"/>
    <hyperlink ref="O70" r:id="rId386" xr:uid="{51B053FF-E6D5-402C-AD07-9077AF45A3BF}"/>
    <hyperlink ref="S70" r:id="rId387" xr:uid="{CABE033F-CC66-4480-9242-2A2BBBEF58A8}"/>
    <hyperlink ref="T70" r:id="rId388" xr:uid="{0AEDFF7B-F13F-4A39-927F-430D589864FC}"/>
    <hyperlink ref="CA70" r:id="rId389" xr:uid="{4FE8D4CB-E6DE-4504-A9A8-E184617D1D5A}"/>
    <hyperlink ref="CB70" r:id="rId390" xr:uid="{DDC74C7A-5297-45D2-8295-B179C2DBED0C}"/>
    <hyperlink ref="CD70" r:id="rId391" xr:uid="{FFCE1808-19D1-4298-9350-C325B3A31C46}"/>
    <hyperlink ref="O71" r:id="rId392" xr:uid="{65422D4F-17DC-46A0-B63B-6B9250FCF3B4}"/>
    <hyperlink ref="S71" r:id="rId393" xr:uid="{A309DC35-609A-4F11-83D6-CA0725CBCC69}"/>
    <hyperlink ref="T71" r:id="rId394" xr:uid="{539B6365-97FF-47B6-85E6-5C8EC3075E6D}"/>
    <hyperlink ref="CA71" r:id="rId395" xr:uid="{F6F3D7BD-0894-40E9-AF54-E8C5FF416795}"/>
    <hyperlink ref="CB71" r:id="rId396" xr:uid="{C5B22E27-32AA-4141-8032-1444BE8C2FDA}"/>
    <hyperlink ref="CD71" r:id="rId397" xr:uid="{E4562169-867E-490C-833D-F33A3752604F}"/>
    <hyperlink ref="O72" r:id="rId398" xr:uid="{5C0E0440-6936-4089-AB94-86157FEFA754}"/>
    <hyperlink ref="S72" r:id="rId399" xr:uid="{D450EE10-AC4A-4DF9-9EF1-FE3BBC186F18}"/>
    <hyperlink ref="T72" r:id="rId400" xr:uid="{5F34DFE0-8214-46E2-BA09-44E47F97B7EE}"/>
    <hyperlink ref="CA72" r:id="rId401" xr:uid="{EE8E6DD9-B99B-4114-B526-10A4F2863C83}"/>
    <hyperlink ref="CB72" r:id="rId402" xr:uid="{A1E597DD-67B1-4443-9B7C-8DFB408AE5FC}"/>
    <hyperlink ref="CD72" r:id="rId403" xr:uid="{98996BC5-B822-481D-9AA6-CF91EFEF9F48}"/>
    <hyperlink ref="O73" r:id="rId404" xr:uid="{638BEF24-F116-4A4C-BA83-BEAF51E4DA7D}"/>
    <hyperlink ref="S73" r:id="rId405" xr:uid="{DF6D148C-3F63-4D37-B892-431BB738A739}"/>
    <hyperlink ref="T73" r:id="rId406" xr:uid="{06B1E053-3C06-48C3-B865-15CB413B95CA}"/>
    <hyperlink ref="CA73" r:id="rId407" xr:uid="{7261288C-DCD3-4D80-811F-01E48AEED90B}"/>
    <hyperlink ref="CB73" r:id="rId408" xr:uid="{C38501C8-F64C-4263-B328-77AEDEAEBCCE}"/>
    <hyperlink ref="CD73" r:id="rId409" xr:uid="{DA0EBCBC-72BB-49DB-A4DE-8DD00711066C}"/>
    <hyperlink ref="O74" r:id="rId410" xr:uid="{10326D23-61A0-4C6C-8725-6A01606EB2B9}"/>
    <hyperlink ref="S74" r:id="rId411" xr:uid="{A7CE708C-BAE5-4369-9348-031C017AA7AC}"/>
    <hyperlink ref="T74" r:id="rId412" xr:uid="{29B6D30A-1EE4-40B4-B66B-5E43FF3C5121}"/>
    <hyperlink ref="CA74" r:id="rId413" xr:uid="{42E4603F-AEA6-4060-858F-0320EF48CC20}"/>
    <hyperlink ref="CB74" r:id="rId414" xr:uid="{13B4B4D8-5A8D-4CCA-8DF0-2D5B7702AC0B}"/>
    <hyperlink ref="CD74" r:id="rId415" xr:uid="{552D52B6-64DB-479F-91D5-584C6E239F99}"/>
    <hyperlink ref="O75" r:id="rId416" xr:uid="{19AFB470-503F-4430-94E5-B84BD7168C33}"/>
    <hyperlink ref="S75" r:id="rId417" xr:uid="{9A81AC5A-F62A-4911-9ED4-95FB09D88184}"/>
    <hyperlink ref="T75" r:id="rId418" xr:uid="{14485AC5-D42B-4676-BDDE-3C66875443AC}"/>
    <hyperlink ref="CA75" r:id="rId419" xr:uid="{4094C380-57CA-40F6-8E00-EDBBED87B326}"/>
    <hyperlink ref="CB75" r:id="rId420" xr:uid="{78EE8484-03E5-4B0D-878F-0657190022C9}"/>
    <hyperlink ref="CD75" r:id="rId421" xr:uid="{AACA6FCE-9C03-4D50-A59F-311EAB9FD6F8}"/>
    <hyperlink ref="O76" r:id="rId422" xr:uid="{C1EB3E3F-A351-4A94-9D7C-58512FC35765}"/>
    <hyperlink ref="S76" r:id="rId423" xr:uid="{9011DDB5-F44E-4FE6-97EC-32BA75E05547}"/>
    <hyperlink ref="T76" r:id="rId424" xr:uid="{C8944349-AA62-49D6-8721-ADC3A09247C4}"/>
    <hyperlink ref="CA76" r:id="rId425" xr:uid="{53C2FFB0-470A-464D-B604-CAE778728BE1}"/>
    <hyperlink ref="CB76" r:id="rId426" xr:uid="{D3F39022-2C4C-48EB-B020-84FA5F647CC3}"/>
    <hyperlink ref="CD76" r:id="rId427" xr:uid="{65382583-F9A1-470B-8A53-0F5B2D945579}"/>
    <hyperlink ref="O77" r:id="rId428" xr:uid="{984170D7-2013-474B-915C-5CBCC3FA561D}"/>
    <hyperlink ref="S77" r:id="rId429" xr:uid="{C34F900F-8A46-49C3-95B4-AD6A95888B4F}"/>
    <hyperlink ref="T77" r:id="rId430" xr:uid="{20769807-2D4B-4E74-B44C-43F5D75AA671}"/>
    <hyperlink ref="CA77" r:id="rId431" xr:uid="{EEBDE8C9-CCD0-4EDB-8234-448E49FDA33C}"/>
    <hyperlink ref="CB77" r:id="rId432" xr:uid="{65725579-E5CC-4C42-A021-087EA0A37117}"/>
    <hyperlink ref="CD77" r:id="rId433" xr:uid="{720C9605-FE32-4E06-A279-0A22987E1FC2}"/>
    <hyperlink ref="O78" r:id="rId434" xr:uid="{051A4AF8-1AD4-480A-8BEC-92B7A9592DF7}"/>
    <hyperlink ref="S78" r:id="rId435" xr:uid="{1DA46000-C7AD-4E00-94F7-1553B041393D}"/>
    <hyperlink ref="T78" r:id="rId436" xr:uid="{BA172F84-3D2A-4956-A087-BE12D85C07D8}"/>
    <hyperlink ref="CA78" r:id="rId437" xr:uid="{1CD69F7F-9883-49B1-A056-9E2C4205ED55}"/>
    <hyperlink ref="CB78" r:id="rId438" xr:uid="{F26E9BF0-9287-402F-86AE-9C35B33B7F82}"/>
    <hyperlink ref="CD78" r:id="rId439" xr:uid="{A2E8FD80-5F9C-4505-A108-706C65E8C4B4}"/>
    <hyperlink ref="O79" r:id="rId440" xr:uid="{6A14D88D-C496-4A1D-81DB-1942636E52ED}"/>
    <hyperlink ref="S79" r:id="rId441" xr:uid="{9D24C986-BF8A-4637-9A13-06022A6A9185}"/>
    <hyperlink ref="T79" r:id="rId442" xr:uid="{A653FEBD-9073-4B23-A1A6-CDAB69200BF8}"/>
    <hyperlink ref="CA79" r:id="rId443" xr:uid="{1D3E7517-3766-4755-9E35-7CF8D9A04559}"/>
    <hyperlink ref="CB79" r:id="rId444" xr:uid="{79FFC19F-98C7-478C-B34F-FE8BABD087A3}"/>
    <hyperlink ref="CD79" r:id="rId445" xr:uid="{CDA55698-8968-4628-927B-890AC5C75479}"/>
    <hyperlink ref="O80" r:id="rId446" xr:uid="{A77F5AF6-E8D0-47EF-89E0-EBCE63F09124}"/>
    <hyperlink ref="S80" r:id="rId447" xr:uid="{3CA05EE5-46F5-4B43-BC4E-A7321B166593}"/>
    <hyperlink ref="T80" r:id="rId448" xr:uid="{8163BD7C-2DF3-4DBA-8FF0-3142D4119782}"/>
    <hyperlink ref="CA80" r:id="rId449" xr:uid="{1898D0A5-9E9D-4867-9E5D-6FABF65BE033}"/>
    <hyperlink ref="CB80" r:id="rId450" xr:uid="{858F511F-6A70-47D2-90F3-AEFD5D2DDE77}"/>
    <hyperlink ref="CD80" r:id="rId451" xr:uid="{01073F1F-A787-463C-96FC-13D8DCDEE042}"/>
    <hyperlink ref="O81" r:id="rId452" xr:uid="{A6D7B37E-E95B-4F59-8B0B-DB722C5D25C3}"/>
    <hyperlink ref="S81" r:id="rId453" xr:uid="{594AC657-9C5D-4855-89B6-29C5B64BEAC5}"/>
    <hyperlink ref="T81" r:id="rId454" xr:uid="{6A5AA8E4-FBEE-4973-98E0-49391BF66B42}"/>
    <hyperlink ref="CA81" r:id="rId455" xr:uid="{1EC53523-4201-4BB7-A97A-3DBC4D4F7393}"/>
    <hyperlink ref="CB81" r:id="rId456" xr:uid="{1A9290B7-367F-4854-BB74-3BD40BC17B43}"/>
    <hyperlink ref="CD81" r:id="rId457" xr:uid="{D1E7C239-2D76-42EE-8371-CD6CBD6FC0B5}"/>
    <hyperlink ref="O82" r:id="rId458" xr:uid="{FE67B8F1-EE79-4411-A032-FEE2B814C2F8}"/>
    <hyperlink ref="S82" r:id="rId459" xr:uid="{A3E212C8-0D55-4698-8259-88895C98F0FA}"/>
    <hyperlink ref="T82" r:id="rId460" xr:uid="{91C476BD-E406-4B05-9B2F-F97BD32282F7}"/>
    <hyperlink ref="CA82" r:id="rId461" xr:uid="{C99886D8-2E11-4210-BB92-8EC78C5B4D39}"/>
    <hyperlink ref="CB82" r:id="rId462" xr:uid="{2C0D68A5-E690-4E91-BD77-711DF4C35EAF}"/>
    <hyperlink ref="CD82" r:id="rId463" xr:uid="{5636A0D6-DB00-41CE-8FB1-CA429E5F0A3B}"/>
    <hyperlink ref="O83" r:id="rId464" xr:uid="{17EF7BEB-33E7-4F9D-97B0-A97252913834}"/>
    <hyperlink ref="S83" r:id="rId465" xr:uid="{E5B18DB2-4DF4-4D6C-8014-CE214E5590F4}"/>
    <hyperlink ref="T83" r:id="rId466" xr:uid="{4EFE3408-60F0-4564-B2B8-0B1409B50F38}"/>
    <hyperlink ref="CA83" r:id="rId467" xr:uid="{6CC857AB-9002-47EF-A69D-9EA96134F9D5}"/>
    <hyperlink ref="CB83" r:id="rId468" xr:uid="{8540E759-3A7A-4C05-A164-50CC77A11FD0}"/>
    <hyperlink ref="CD83" r:id="rId469" xr:uid="{BD36C8A9-45BC-4957-9000-FB1A6F369141}"/>
    <hyperlink ref="O84" r:id="rId470" xr:uid="{C80AC531-A905-4951-AA9B-CC4CE66CD6C3}"/>
    <hyperlink ref="S84" r:id="rId471" xr:uid="{4C22C624-F826-43EC-B100-1221D1844E2C}"/>
    <hyperlink ref="T84" r:id="rId472" xr:uid="{8708EAF9-1F90-4B35-B025-77216A51D4C8}"/>
    <hyperlink ref="CA84" r:id="rId473" xr:uid="{28B2684B-D266-4257-90FB-23C703F181FC}"/>
    <hyperlink ref="CB84" r:id="rId474" xr:uid="{AF28BEDB-650C-4E4A-91C3-F081363DA24F}"/>
    <hyperlink ref="CD84" r:id="rId475" xr:uid="{AF749C70-8BAE-4575-B7C1-F7B66ED2B17A}"/>
    <hyperlink ref="O85" r:id="rId476" xr:uid="{78B606CE-0F44-45EF-9E4B-A841FF01E145}"/>
    <hyperlink ref="S85" r:id="rId477" xr:uid="{5F04EB29-E195-4977-A0CF-28FFA6A2C555}"/>
    <hyperlink ref="T85" r:id="rId478" xr:uid="{BDA6488C-FB2C-4475-A906-DE8F91A31D46}"/>
    <hyperlink ref="CA85" r:id="rId479" xr:uid="{E6FDE137-A20A-434A-8632-C0918E8BD5D1}"/>
    <hyperlink ref="CB85" r:id="rId480" xr:uid="{A52A5484-0887-42F5-9BDF-7A5257DF1194}"/>
    <hyperlink ref="CD85" r:id="rId481" xr:uid="{C9191D27-C216-4124-93E3-F6812FC85CAE}"/>
    <hyperlink ref="O86" r:id="rId482" xr:uid="{56B38425-A0A1-41BE-9720-CAC0D194B6A3}"/>
    <hyperlink ref="S86" r:id="rId483" xr:uid="{AA93CBC0-0927-4C37-890D-2579896CE94A}"/>
    <hyperlink ref="T86" r:id="rId484" xr:uid="{ED1652AA-BE88-46E2-9EA4-92E7432D1975}"/>
    <hyperlink ref="CA86" r:id="rId485" xr:uid="{5C3E8C74-50E2-4534-B9C5-923D09C02385}"/>
    <hyperlink ref="CB86" r:id="rId486" xr:uid="{14ADA40C-FA9C-40E9-A38F-AC77FE79D267}"/>
    <hyperlink ref="CD86" r:id="rId487" xr:uid="{D01A1C92-935C-43B3-A4C7-B94407760548}"/>
    <hyperlink ref="O87" r:id="rId488" xr:uid="{B1E25C4E-ABB8-4E7F-B303-565A6E271D10}"/>
    <hyperlink ref="S87" r:id="rId489" xr:uid="{27B6D310-B097-4AEC-B08E-5E0A0BFB6A38}"/>
    <hyperlink ref="T87" r:id="rId490" xr:uid="{9DA145FF-4A3B-441C-8027-035187C43B72}"/>
    <hyperlink ref="CA87" r:id="rId491" xr:uid="{BE8D06B0-2807-44C8-B64D-CED2D1BC9325}"/>
    <hyperlink ref="CB87" r:id="rId492" xr:uid="{026BF737-F67B-41DC-B078-4FB6D56434BC}"/>
    <hyperlink ref="CD87" r:id="rId493" xr:uid="{B5C10A57-562E-4386-8B5B-7A32CD49C150}"/>
    <hyperlink ref="O88" r:id="rId494" xr:uid="{65F1952C-3D14-4544-B614-BE40FF5162BD}"/>
    <hyperlink ref="S88" r:id="rId495" xr:uid="{9EBC9E88-0107-4A7A-BF8E-FF510BE14936}"/>
    <hyperlink ref="T88" r:id="rId496" xr:uid="{786AD16C-4952-4078-9940-4A4C69ECDA2D}"/>
    <hyperlink ref="CA88" r:id="rId497" xr:uid="{AD060D2A-437A-425E-827E-BD3219F95353}"/>
    <hyperlink ref="CB88" r:id="rId498" xr:uid="{2200E277-A9BD-4529-95CA-FBE3816DAA28}"/>
    <hyperlink ref="CD88" r:id="rId499" xr:uid="{763AD742-70BE-47D3-B298-E9EECB62B021}"/>
    <hyperlink ref="O89" r:id="rId500" xr:uid="{F8A2DF83-3C89-49F3-AC35-D5F375A70FA2}"/>
    <hyperlink ref="S89" r:id="rId501" xr:uid="{555EDC17-FEFD-45E5-BE8C-1DA529C2AFCB}"/>
    <hyperlink ref="T89" r:id="rId502" xr:uid="{33B00859-3224-4816-9BB5-559E7DF40A1C}"/>
    <hyperlink ref="CA89" r:id="rId503" xr:uid="{36282C3F-9056-4EF0-8BED-360B96EC4383}"/>
    <hyperlink ref="CB89" r:id="rId504" xr:uid="{A052E51D-458F-48AE-BED7-05A6ACAE28DD}"/>
    <hyperlink ref="CD89" r:id="rId505" xr:uid="{567501C1-185A-430E-847A-2D57E063E36B}"/>
    <hyperlink ref="O90" r:id="rId506" xr:uid="{EBD58382-1634-4DE6-B009-E143DB2EB255}"/>
    <hyperlink ref="S90" r:id="rId507" xr:uid="{E41B6878-F4E6-4A51-8EF9-06EC7FF1D110}"/>
    <hyperlink ref="T90" r:id="rId508" xr:uid="{CE3D5D94-CF7D-4CD6-8F77-08F46B41ECEB}"/>
    <hyperlink ref="CA90" r:id="rId509" xr:uid="{AE81823D-D26B-4AE9-981C-5A53B42465E5}"/>
    <hyperlink ref="CB90" r:id="rId510" xr:uid="{6BE867D8-A7DD-4EA7-8FCB-7B0D35C61BAB}"/>
    <hyperlink ref="CD90" r:id="rId511" xr:uid="{ACEBF025-ACEB-4771-86BF-18A7CE7A6C2C}"/>
    <hyperlink ref="O91" r:id="rId512" xr:uid="{D5F2716C-39E2-42B8-BF31-7480AC939A53}"/>
    <hyperlink ref="S91" r:id="rId513" xr:uid="{300B947C-9036-4B5E-831F-744E148F1FD2}"/>
    <hyperlink ref="T91" r:id="rId514" xr:uid="{BC655FC2-535B-418D-B247-63BDD0530F67}"/>
    <hyperlink ref="CA91" r:id="rId515" xr:uid="{1D170908-45DE-44C6-B9C2-F7491777487C}"/>
    <hyperlink ref="CB91" r:id="rId516" xr:uid="{DC5A4016-6341-44E8-8AE3-D87EC02C602F}"/>
    <hyperlink ref="CD91" r:id="rId517" xr:uid="{8C63DEF7-959A-4B5E-A11F-19BDD27B89B4}"/>
    <hyperlink ref="O92" r:id="rId518" xr:uid="{F327A99D-FD9D-422C-9523-4DD4A24B3D1B}"/>
    <hyperlink ref="S92" r:id="rId519" xr:uid="{87DE3397-A596-488E-A442-26EAE9965528}"/>
    <hyperlink ref="T92" r:id="rId520" xr:uid="{BE1C2343-717F-4F69-909C-D4DD458A89E3}"/>
    <hyperlink ref="CA92" r:id="rId521" xr:uid="{5F5191DB-76E6-41AB-872E-56D006F80D3B}"/>
    <hyperlink ref="CB92" r:id="rId522" xr:uid="{E0B4B5E8-8D34-45E4-BDD6-11E0E0EC0459}"/>
    <hyperlink ref="CD92" r:id="rId523" xr:uid="{8C7D8C8A-D2B9-4467-AB97-DC022A9FD32C}"/>
    <hyperlink ref="O93" r:id="rId524" xr:uid="{778A0897-013B-4060-BFEC-1BA85D1EB43F}"/>
    <hyperlink ref="S93" r:id="rId525" xr:uid="{913C7FFC-F0DC-424E-85DD-DE1EC3C0B6E4}"/>
    <hyperlink ref="T93" r:id="rId526" xr:uid="{0A98E2EE-148B-468F-955A-121D12E97B34}"/>
    <hyperlink ref="CA93" r:id="rId527" xr:uid="{A9AB7B6F-B170-4984-B73E-451179BFF12E}"/>
    <hyperlink ref="CB93" r:id="rId528" xr:uid="{29D755E9-F440-49C9-BB39-22AD9682E70C}"/>
    <hyperlink ref="CD93" r:id="rId529" xr:uid="{5B4EC998-1CB9-421B-8F22-74EB28A6E290}"/>
    <hyperlink ref="O94" r:id="rId530" xr:uid="{D3C97E53-AC6A-4DF9-9840-D9AD6D97FAD6}"/>
    <hyperlink ref="S94" r:id="rId531" xr:uid="{458B8F5F-A878-4BC0-B6C4-AC13992616F7}"/>
    <hyperlink ref="T94" r:id="rId532" xr:uid="{01BCF341-B1AF-4BB3-BBC3-D2B2E7B56044}"/>
    <hyperlink ref="CA94" r:id="rId533" xr:uid="{506C80C2-33A3-42AE-B00D-A1343324CEEE}"/>
    <hyperlink ref="CB94" r:id="rId534" xr:uid="{29054CDA-D65A-4F47-A53B-3375E7965FCC}"/>
    <hyperlink ref="CD94" r:id="rId535" xr:uid="{35C8A707-4824-484C-A4A5-4EF9BA5026C8}"/>
    <hyperlink ref="O95" r:id="rId536" xr:uid="{8437F882-F944-470E-B517-269F2BF4AC03}"/>
    <hyperlink ref="S95" r:id="rId537" xr:uid="{E777F32E-6B2C-483C-A23D-D5C8E25436CF}"/>
    <hyperlink ref="T95" r:id="rId538" xr:uid="{9B02650F-1BB9-468B-9679-0DD0BFA04101}"/>
    <hyperlink ref="CA95" r:id="rId539" xr:uid="{12BED58F-AC2B-4B4B-B586-4DE2C9ECEB3D}"/>
    <hyperlink ref="CB95" r:id="rId540" xr:uid="{88600109-4839-4543-BC11-FA75A68B3073}"/>
    <hyperlink ref="CD95" r:id="rId541" xr:uid="{5AE339AC-2875-4015-A96A-234F3F878867}"/>
    <hyperlink ref="O96" r:id="rId542" xr:uid="{991621D8-6511-48CD-B41B-1DE43BEABA2E}"/>
    <hyperlink ref="S96" r:id="rId543" xr:uid="{58AEB2EA-3FD4-437C-8B7E-435CC4062B68}"/>
    <hyperlink ref="T96" r:id="rId544" xr:uid="{6B6627DD-D6D6-4E95-B34C-1C4A20577856}"/>
    <hyperlink ref="CA96" r:id="rId545" xr:uid="{E402AE2F-F960-4523-B2AE-39C761096F5D}"/>
    <hyperlink ref="CB96" r:id="rId546" xr:uid="{8EE39584-D760-4815-BB85-8993B94F1420}"/>
    <hyperlink ref="CD96" r:id="rId547" xr:uid="{DFAD8938-47B8-4607-8026-CA74CE976535}"/>
    <hyperlink ref="O97" r:id="rId548" xr:uid="{E3FCE919-157D-444E-851D-699C40865AF8}"/>
    <hyperlink ref="S97" r:id="rId549" xr:uid="{FFD0ACE3-D192-4D91-91B3-CFE09D7A6C2B}"/>
    <hyperlink ref="CA97" r:id="rId550" xr:uid="{C33E0DEC-00A9-49F3-9912-1BF12575E773}"/>
    <hyperlink ref="CD97" r:id="rId551" xr:uid="{4C5A2155-4FF6-4CD8-8DC6-94085923D9E2}"/>
    <hyperlink ref="O98" r:id="rId552" xr:uid="{91C04AAC-E307-4275-9F9C-C87E9D689AE8}"/>
    <hyperlink ref="S98" r:id="rId553" xr:uid="{16FEA87C-EE82-4DE5-8F05-82A2099924E7}"/>
    <hyperlink ref="CA98" r:id="rId554" xr:uid="{9A48AFFE-E02B-44B6-9A7F-7B41E8DB0FA2}"/>
    <hyperlink ref="CD98" r:id="rId555" xr:uid="{712C9D6B-C565-4FEF-B86C-A13D61C6F27E}"/>
    <hyperlink ref="O99" r:id="rId556" xr:uid="{E9765E30-5FA5-4642-8488-F59F39AF3570}"/>
    <hyperlink ref="S99" r:id="rId557" xr:uid="{B4C1181E-17C1-44D9-90B1-E21B61864F0F}"/>
    <hyperlink ref="CA99" r:id="rId558" xr:uid="{57879B4F-9AC6-4250-B480-5A646CE6C21B}"/>
    <hyperlink ref="CD99" r:id="rId559" xr:uid="{72DC4A31-2A65-4DA0-B864-E9085F898012}"/>
    <hyperlink ref="O100" r:id="rId560" xr:uid="{65560885-806B-4EED-B49E-42DF6BB882C5}"/>
    <hyperlink ref="S100" r:id="rId561" xr:uid="{50416F90-BA19-4AE2-A114-DD60340C5FE2}"/>
    <hyperlink ref="CA100" r:id="rId562" xr:uid="{1DC918AB-49FC-4C8F-98F7-676FD141AE71}"/>
    <hyperlink ref="CD100" r:id="rId563" xr:uid="{40F13834-3337-4F2C-8047-635890C48EAF}"/>
    <hyperlink ref="O101" r:id="rId564" xr:uid="{A908AF93-A8DD-4EFB-822D-0832AEB9E578}"/>
    <hyperlink ref="S101" r:id="rId565" xr:uid="{2E3E0C40-B1B9-4663-AB9D-629BB6FA5171}"/>
    <hyperlink ref="CA101" r:id="rId566" xr:uid="{10889328-6FB4-47E3-ACF1-2AC6A17E5D87}"/>
    <hyperlink ref="CD101" r:id="rId567" xr:uid="{9D0E7139-507D-4926-AEBA-B757328FDE09}"/>
    <hyperlink ref="O102" r:id="rId568" xr:uid="{F6721EC4-480B-4855-BADA-746FC97E3CA1}"/>
    <hyperlink ref="S102" r:id="rId569" xr:uid="{1452B9D2-5E7C-485E-A0B0-A3BA58FA9EF6}"/>
    <hyperlink ref="CA102" r:id="rId570" xr:uid="{0749E622-24ED-4EE4-A910-0739BFA824F0}"/>
    <hyperlink ref="CD102" r:id="rId571" xr:uid="{C325F249-E8EE-4259-AEB8-04C899FADAD1}"/>
    <hyperlink ref="O103" r:id="rId572" xr:uid="{8EABB96F-BA28-45A5-9076-62E7543BB8D3}"/>
    <hyperlink ref="S103" r:id="rId573" xr:uid="{DA4A218D-3F45-4BAA-BEAD-5B52A3D3EC10}"/>
    <hyperlink ref="CA103" r:id="rId574" xr:uid="{0CD3BFB9-EEEE-45C3-A527-B8FC391B3AC2}"/>
    <hyperlink ref="CD103" r:id="rId575" xr:uid="{0F92DFFE-C854-4757-A31F-D67B2C7E385D}"/>
    <hyperlink ref="O104" r:id="rId576" xr:uid="{2A2BCD9D-8D72-4820-9696-C64CBD85BF95}"/>
    <hyperlink ref="S104" r:id="rId577" xr:uid="{E44C22E3-78D5-49FE-A75D-756F9EDD917C}"/>
    <hyperlink ref="CA104" r:id="rId578" xr:uid="{3DBD50C5-9373-4730-AE09-B6229CB059FD}"/>
    <hyperlink ref="CD104" r:id="rId579" xr:uid="{952F2797-DBAA-47AD-9D2A-035EA81F2C07}"/>
    <hyperlink ref="O105" r:id="rId580" xr:uid="{05E68C23-2A2B-40B7-A573-3DE4664B533E}"/>
    <hyperlink ref="S105" r:id="rId581" xr:uid="{89060ACD-0D6F-4024-A7DD-1BD5D0BE0C37}"/>
    <hyperlink ref="CA105" r:id="rId582" xr:uid="{91C63DC1-CEF7-4781-9709-35A1CCAB1AE7}"/>
    <hyperlink ref="CD105" r:id="rId583" xr:uid="{29AEAB26-B572-49CD-A0F2-A6494E0812BC}"/>
    <hyperlink ref="O106" r:id="rId584" xr:uid="{FBC34440-E95C-4861-95F9-6897F6D26CBA}"/>
    <hyperlink ref="S106" r:id="rId585" xr:uid="{5409206E-EEB1-41F2-B4E7-B1EEA1D6B7B5}"/>
    <hyperlink ref="CA106" r:id="rId586" xr:uid="{71B8AD9B-076C-4FFC-B43D-0F90E0ECC4A9}"/>
    <hyperlink ref="CD106" r:id="rId587" xr:uid="{D50A8954-C20D-44B6-9C87-8C45AE4C65AC}"/>
    <hyperlink ref="O107" r:id="rId588" xr:uid="{6E0D026A-75C7-4FB7-9BE4-FF868C24DB29}"/>
    <hyperlink ref="S107" r:id="rId589" xr:uid="{D9BD307E-3D4A-47FB-ABA5-3EA0D9E9A5C2}"/>
    <hyperlink ref="T107" r:id="rId590" xr:uid="{E4D681DE-AE8F-480B-A34E-F76EA06E374D}"/>
    <hyperlink ref="CA107" r:id="rId591" xr:uid="{0B33EAA0-9489-4411-9A31-4C1E6808B902}"/>
    <hyperlink ref="CB107" r:id="rId592" xr:uid="{AF0E9350-C9CF-45DD-BF50-0FD7195991CA}"/>
    <hyperlink ref="CD107" r:id="rId593" xr:uid="{726CAB34-91D2-458D-87EB-961FF72245E3}"/>
    <hyperlink ref="O108" r:id="rId594" xr:uid="{BC093652-3F32-4294-9118-5D24EE6FB476}"/>
    <hyperlink ref="S108" r:id="rId595" xr:uid="{03A6E788-D600-4251-9178-101C307CA142}"/>
    <hyperlink ref="T108" r:id="rId596" xr:uid="{608F3313-4FBF-4ACA-A10D-0D2F317F0082}"/>
    <hyperlink ref="CA108" r:id="rId597" xr:uid="{8E430060-59AC-48B6-8E85-15FF9812FC0B}"/>
    <hyperlink ref="CB108" r:id="rId598" xr:uid="{B6EEE313-C629-4D22-BB6B-2D98041D8532}"/>
    <hyperlink ref="CD108" r:id="rId599" xr:uid="{651D4799-4493-49AB-B2B9-E6AF0E2A67CA}"/>
    <hyperlink ref="O109" r:id="rId600" xr:uid="{A7266FBB-CBED-4084-AF71-B775EDA0AB35}"/>
    <hyperlink ref="S109" r:id="rId601" xr:uid="{53D4347B-1890-4BAD-ADB4-C63ACC6438CD}"/>
    <hyperlink ref="T109" r:id="rId602" xr:uid="{9E063F2B-A670-461C-AE6A-2FA140725F96}"/>
    <hyperlink ref="CA109" r:id="rId603" xr:uid="{EECE4F53-B2E7-481C-975A-ADE27E30B932}"/>
    <hyperlink ref="CB109" r:id="rId604" xr:uid="{D2F2F960-AD84-4A26-9A44-FE17BA1851DA}"/>
    <hyperlink ref="CD109" r:id="rId605" xr:uid="{032ABED0-01CD-4408-BFC7-FE3F1900182A}"/>
    <hyperlink ref="O110" r:id="rId606" xr:uid="{92A42251-BBA9-4249-B02D-93144D0DE8A1}"/>
    <hyperlink ref="S110" r:id="rId607" xr:uid="{6832D94D-92BA-4591-97C2-24143DD57103}"/>
    <hyperlink ref="T110" r:id="rId608" xr:uid="{1D8829E6-4F3D-443A-945B-87712FC27739}"/>
    <hyperlink ref="CA110" r:id="rId609" xr:uid="{AB4062F7-5202-43AF-A3B9-9DBD6E2754E8}"/>
    <hyperlink ref="CB110" r:id="rId610" xr:uid="{05A53950-92C0-4322-8900-E95DDFD47244}"/>
    <hyperlink ref="CD110" r:id="rId611" xr:uid="{EC1C4AE3-D927-4257-8BFF-82F52046113B}"/>
    <hyperlink ref="O111" r:id="rId612" xr:uid="{B1EFA3EF-2F37-44F9-8CC5-BBBA7CBF16FE}"/>
    <hyperlink ref="S111" r:id="rId613" xr:uid="{FD00AB82-B214-49CA-B815-8C72D64E34AC}"/>
    <hyperlink ref="T111" r:id="rId614" xr:uid="{EF2B228C-D264-4BB5-A517-684F647816FD}"/>
    <hyperlink ref="CA111" r:id="rId615" xr:uid="{E9B64A3C-47BE-4E71-A021-D6CF0E1518C0}"/>
    <hyperlink ref="CB111" r:id="rId616" xr:uid="{1FA7DA0D-C272-4C2D-A05B-AE1220B718E0}"/>
    <hyperlink ref="CD111" r:id="rId617" xr:uid="{7A31B881-05E2-4B4B-8F2E-9B760864F586}"/>
    <hyperlink ref="O112" r:id="rId618" xr:uid="{FEBB959D-8B0E-428E-97A5-85D48A202186}"/>
    <hyperlink ref="S112" r:id="rId619" xr:uid="{1C0D6DBD-1932-4D3D-A9C7-932BFB0FE21E}"/>
    <hyperlink ref="T112" r:id="rId620" xr:uid="{113A5894-CAF8-42BA-B27A-849BBE263D3C}"/>
    <hyperlink ref="CA112" r:id="rId621" xr:uid="{3D4F49EA-75D3-4885-9627-479B42F3C150}"/>
    <hyperlink ref="CB112" r:id="rId622" xr:uid="{A98B14AD-1DAE-43A3-8070-0F6490F0D0F8}"/>
    <hyperlink ref="CD112" r:id="rId623" xr:uid="{796892CD-A793-48CD-9CDF-6F8B5C6A5C5B}"/>
    <hyperlink ref="O113" r:id="rId624" xr:uid="{94C20BCA-19C8-426C-AD82-9F092F17043B}"/>
    <hyperlink ref="S113" r:id="rId625" xr:uid="{3EB17E87-D702-49BB-8FBE-D3604ED02835}"/>
    <hyperlink ref="T113" r:id="rId626" xr:uid="{F2B98237-7F39-4677-AE99-A55846631DA5}"/>
    <hyperlink ref="CA113" r:id="rId627" xr:uid="{69BEB869-3C68-4AFC-A5B8-A310A6E8B6D0}"/>
    <hyperlink ref="CB113" r:id="rId628" xr:uid="{CF7B13CA-1891-436A-AC04-2ABCA0BCA2F5}"/>
    <hyperlink ref="CD113" r:id="rId629" xr:uid="{D5F38DF9-E28C-4CBC-A467-B121A50A8BF0}"/>
    <hyperlink ref="O114" r:id="rId630" xr:uid="{5C1A920C-79CC-46F5-B825-F5B39E3EFB0D}"/>
    <hyperlink ref="S114" r:id="rId631" xr:uid="{3E1F1FB6-68E9-4377-8A2E-83B39115D298}"/>
    <hyperlink ref="T114" r:id="rId632" xr:uid="{2DD4B200-451F-4DB0-87C5-B2EA66B6C855}"/>
    <hyperlink ref="CA114" r:id="rId633" xr:uid="{0B8CC487-A1AC-47B3-8B5E-77E43ED954A9}"/>
    <hyperlink ref="CB114" r:id="rId634" xr:uid="{FA876BA0-BC82-4B95-89CE-1A900788E44E}"/>
    <hyperlink ref="CD114" r:id="rId635" xr:uid="{8A72C92A-DDBE-4124-A542-7E048B62586C}"/>
    <hyperlink ref="O115" r:id="rId636" xr:uid="{8FB76E28-E96F-480A-B7D8-1AB397596FF3}"/>
    <hyperlink ref="S115" r:id="rId637" xr:uid="{20D8F6D5-923C-4487-9DDD-6914B72A3A01}"/>
    <hyperlink ref="T115" r:id="rId638" xr:uid="{01FD349B-97D4-41B4-B851-41F5357ACE58}"/>
    <hyperlink ref="CA115" r:id="rId639" xr:uid="{3CE79D72-EC91-46FB-AEF9-A8841BB288AF}"/>
    <hyperlink ref="CB115" r:id="rId640" xr:uid="{4EA21795-F0DA-4938-A185-6060B29C61F8}"/>
    <hyperlink ref="CD115" r:id="rId641" xr:uid="{A3E2239C-472F-4ADF-BB9B-8590704FFD3F}"/>
    <hyperlink ref="O116" r:id="rId642" xr:uid="{CFFE180E-2F3B-4A68-B19B-BDBA8B98E144}"/>
    <hyperlink ref="S116" r:id="rId643" xr:uid="{C2C752D1-3924-4327-8BC9-6212AFEB1E09}"/>
    <hyperlink ref="T116" r:id="rId644" xr:uid="{ED3C7E6D-3E89-49C9-9795-26A31570F353}"/>
    <hyperlink ref="CA116" r:id="rId645" xr:uid="{2964A3F7-DC2A-41CF-B686-2CFE4A47670D}"/>
    <hyperlink ref="CB116" r:id="rId646" xr:uid="{8456A490-5E10-42AA-A8AA-9C843736533E}"/>
    <hyperlink ref="CD116" r:id="rId647" xr:uid="{1BA773FB-ABC4-4A05-BCA4-AB4073C45ADB}"/>
    <hyperlink ref="O117" r:id="rId648" xr:uid="{1427BC17-21C5-40A6-A94B-6619C10E0D10}"/>
    <hyperlink ref="S117" r:id="rId649" xr:uid="{13BA6BD1-CBAB-40D8-A000-979FFA8DAC36}"/>
    <hyperlink ref="T117" r:id="rId650" xr:uid="{1D8C38D3-E3FE-4556-B5BA-E5425E4D893C}"/>
    <hyperlink ref="CA117" r:id="rId651" xr:uid="{AC9A9639-DD72-409B-8A43-C80630E6263D}"/>
    <hyperlink ref="CB117" r:id="rId652" xr:uid="{BFB9164D-E9EA-4D5C-9A1D-47D4C18D8451}"/>
    <hyperlink ref="CD117" r:id="rId653" xr:uid="{7F78B7B1-0025-4D90-94C5-7C50EBE290D0}"/>
    <hyperlink ref="O118" r:id="rId654" xr:uid="{D55981EF-9BEF-4A9F-901B-CE86D60BA20C}"/>
    <hyperlink ref="S118" r:id="rId655" xr:uid="{22075E2A-CC1D-4720-9F5D-585BF7BC56BB}"/>
    <hyperlink ref="T118" r:id="rId656" xr:uid="{DBF61B72-E785-4831-8560-A26807BE6C55}"/>
    <hyperlink ref="CA118" r:id="rId657" xr:uid="{1464AE68-D20D-4D20-A844-E3BEA0997E03}"/>
    <hyperlink ref="CB118" r:id="rId658" xr:uid="{6D61D0FB-24E9-4126-A4D5-D780BC811EE9}"/>
    <hyperlink ref="CD118" r:id="rId659" xr:uid="{FB48752C-E138-467B-9588-B88157A40AAB}"/>
    <hyperlink ref="O119" r:id="rId660" xr:uid="{9E6745C5-DC3C-4714-ACDB-94888E72EC5B}"/>
    <hyperlink ref="S119" r:id="rId661" xr:uid="{F52C28D3-64CD-41CA-8AAB-D85AADC4C66E}"/>
    <hyperlink ref="T119" r:id="rId662" xr:uid="{6C3A466D-596B-47BF-B630-1A2B7220BFCA}"/>
    <hyperlink ref="CA119" r:id="rId663" xr:uid="{AAD8E649-7B7A-4605-B998-B2E2F29E7573}"/>
    <hyperlink ref="CB119" r:id="rId664" xr:uid="{0DB1E38B-20B7-4C8E-94F8-B6E09711EA73}"/>
    <hyperlink ref="CD119" r:id="rId665" xr:uid="{DD6694A7-4574-49A4-963A-EE231E6C9097}"/>
    <hyperlink ref="O120" r:id="rId666" xr:uid="{CE0EA4FE-4A00-48B7-A505-828326DF9DAF}"/>
    <hyperlink ref="S120" r:id="rId667" xr:uid="{5EC2CEED-F361-404F-A69C-46E9FBDCC309}"/>
    <hyperlink ref="T120" r:id="rId668" xr:uid="{B5008845-99E7-4DC3-82B2-9341089F1D88}"/>
    <hyperlink ref="CA120" r:id="rId669" xr:uid="{731C5103-D030-490D-BA87-0A9E81F3ABA9}"/>
    <hyperlink ref="CB120" r:id="rId670" xr:uid="{6A27ABC9-8A15-4FA2-978A-AC405E966AAA}"/>
    <hyperlink ref="CD120" r:id="rId671" xr:uid="{9B2DB215-830C-43A0-9EC6-83043342D704}"/>
    <hyperlink ref="O121" r:id="rId672" xr:uid="{B032CDA8-1A11-4674-9D54-967D47A670DD}"/>
    <hyperlink ref="S121" r:id="rId673" xr:uid="{0E5ABB22-62D3-472B-8636-B433809A0AEE}"/>
    <hyperlink ref="T121" r:id="rId674" xr:uid="{41AE45A2-32DA-4178-A52B-A97F28E32158}"/>
    <hyperlink ref="CA121" r:id="rId675" xr:uid="{91C001B4-B90C-4E95-B507-8854A0F1E475}"/>
    <hyperlink ref="CB121" r:id="rId676" xr:uid="{F3918F01-7722-4E77-9232-A4174ACD371F}"/>
    <hyperlink ref="CD121" r:id="rId677" xr:uid="{C6DAABFF-6CA6-43C4-B32F-FD728847D185}"/>
    <hyperlink ref="O122" r:id="rId678" xr:uid="{84C8B901-05DF-4001-ABCB-E0A60C3D0B36}"/>
    <hyperlink ref="S122" r:id="rId679" xr:uid="{1AF0CA98-6683-47CD-952D-A49F1F363BD5}"/>
    <hyperlink ref="T122" r:id="rId680" xr:uid="{065658A3-7A37-4B2E-AB59-00117E008E39}"/>
    <hyperlink ref="CA122" r:id="rId681" xr:uid="{9666AC6E-19F5-48FD-BA60-5D93486A502E}"/>
    <hyperlink ref="CB122" r:id="rId682" xr:uid="{2C658634-18A1-4350-9964-CC19B1DE7BAE}"/>
    <hyperlink ref="CD122" r:id="rId683" xr:uid="{5F384671-C838-4DC8-86FF-1343762663AC}"/>
    <hyperlink ref="O123" r:id="rId684" xr:uid="{D6B79CCE-EF46-4803-9968-E92029F657CB}"/>
    <hyperlink ref="S123" r:id="rId685" xr:uid="{C259CD62-90CC-46C1-BB72-25923D3A18C2}"/>
    <hyperlink ref="T123" r:id="rId686" xr:uid="{3F74763B-0ADF-4954-9179-714AD7061C9E}"/>
    <hyperlink ref="CA123" r:id="rId687" xr:uid="{20197C97-C201-4DD9-BE68-19EEB385292D}"/>
    <hyperlink ref="CB123" r:id="rId688" xr:uid="{F553BF01-26BF-4BC9-A78A-995DE95711D6}"/>
    <hyperlink ref="CD123" r:id="rId689" xr:uid="{C76292F3-9175-46AB-9943-7B2E7999B432}"/>
    <hyperlink ref="O124" r:id="rId690" xr:uid="{4C673BF1-2E2B-4CF5-9028-0D7A3A859212}"/>
    <hyperlink ref="S124" r:id="rId691" xr:uid="{56D5E206-097B-4734-885F-0651BEDB5F6A}"/>
    <hyperlink ref="T124" r:id="rId692" xr:uid="{DFEA364F-E5A6-4AFD-8AC0-162D8741CF98}"/>
    <hyperlink ref="CA124" r:id="rId693" xr:uid="{7B5A3CB4-1500-4B58-9102-382878B8BD43}"/>
    <hyperlink ref="CB124" r:id="rId694" xr:uid="{1261E673-1FCD-4DFC-B496-081C6811976B}"/>
    <hyperlink ref="CD124" r:id="rId695" xr:uid="{A0F2D1C6-1FF6-4C62-B380-FC4C8898F9A3}"/>
    <hyperlink ref="O125" r:id="rId696" xr:uid="{5CBBAC3E-4CD0-472D-B89A-626E9A999C48}"/>
    <hyperlink ref="S125" r:id="rId697" xr:uid="{FC7F5CCC-1714-4E69-916C-81B841F32143}"/>
    <hyperlink ref="T125" r:id="rId698" xr:uid="{3F367209-67D6-4D35-8713-7D0AE9B463F5}"/>
    <hyperlink ref="CA125" r:id="rId699" xr:uid="{E198982F-3E84-4947-96FF-92DC24FE6674}"/>
    <hyperlink ref="CB125" r:id="rId700" xr:uid="{7E69DC39-C2DC-4C10-A63B-3ADEE512C3D0}"/>
    <hyperlink ref="CD125" r:id="rId701" xr:uid="{F298246D-4C41-4B22-A7A8-15F9BB607900}"/>
    <hyperlink ref="O126" r:id="rId702" xr:uid="{BFD5CD20-9684-4411-9699-28F33C2A4F77}"/>
    <hyperlink ref="S126" r:id="rId703" xr:uid="{379F161D-110A-473D-8DFD-C5AA2D8E9BAC}"/>
    <hyperlink ref="T126" r:id="rId704" xr:uid="{27522C60-FDD5-4A8B-8186-368691F880B5}"/>
    <hyperlink ref="CA126" r:id="rId705" xr:uid="{D8475067-4216-486B-8A3A-BA4D75542EF4}"/>
    <hyperlink ref="CB126" r:id="rId706" xr:uid="{B160C886-47B3-41FD-91DB-603188DE195C}"/>
    <hyperlink ref="CD126" r:id="rId707" xr:uid="{8D3A05B4-1C4D-44B8-AAB2-474F12A41652}"/>
    <hyperlink ref="O127" r:id="rId708" xr:uid="{C7EFB9BA-EB0B-441E-A5F7-CA41570A14C6}"/>
    <hyperlink ref="S127" r:id="rId709" xr:uid="{4759AAE9-66A4-4EC5-AD62-CFC1FE2B7204}"/>
    <hyperlink ref="T127" r:id="rId710" xr:uid="{06404599-657F-4A7C-BABE-33E9495228E4}"/>
    <hyperlink ref="CA127" r:id="rId711" xr:uid="{1E7CC5AD-5385-4D86-AB57-B9EEFB55E5F9}"/>
    <hyperlink ref="CB127" r:id="rId712" xr:uid="{4E0996E8-E109-4777-84BD-7D34534C8E39}"/>
    <hyperlink ref="CD127" r:id="rId713" xr:uid="{422F86A5-A8F8-465C-9687-3B8CB521CBC8}"/>
    <hyperlink ref="O128" r:id="rId714" xr:uid="{C82BD127-F8F7-4FC6-AE77-E73EBAC42A68}"/>
    <hyperlink ref="S128" r:id="rId715" xr:uid="{E9A5504A-8B6F-401A-AFF9-7D15E06DBBF4}"/>
    <hyperlink ref="T128" r:id="rId716" xr:uid="{0E8607A8-4E04-4BF5-8C18-D8443631652C}"/>
    <hyperlink ref="CA128" r:id="rId717" xr:uid="{95150F50-2E37-4FA6-A6F7-519FA799B1C6}"/>
    <hyperlink ref="CB128" r:id="rId718" xr:uid="{1A9B33CF-5653-44FD-B470-64378FE7BC20}"/>
    <hyperlink ref="CD128" r:id="rId719" xr:uid="{6AAF0745-0EFE-4056-9B25-048486388A89}"/>
    <hyperlink ref="O129" r:id="rId720" xr:uid="{AFD97234-4A59-46DB-B656-630B1FAAC265}"/>
    <hyperlink ref="S129" r:id="rId721" xr:uid="{0853DDD5-94F6-4F41-8E58-F7F3D3407FD5}"/>
    <hyperlink ref="T129" r:id="rId722" xr:uid="{0E0C177F-3517-44A8-BBF5-8A824E86C302}"/>
    <hyperlink ref="CA129" r:id="rId723" xr:uid="{04F14849-C3C9-400A-B073-49913C529FC9}"/>
    <hyperlink ref="CB129" r:id="rId724" xr:uid="{C95E28B7-9646-45BD-8F6A-A6E2D139471C}"/>
    <hyperlink ref="CD129" r:id="rId725" xr:uid="{644DE41C-1B92-4CA3-B8F7-0EE9FD2D20C3}"/>
    <hyperlink ref="O130" r:id="rId726" xr:uid="{199750D4-73AA-4AB5-A498-6D80D242B01E}"/>
    <hyperlink ref="S130" r:id="rId727" xr:uid="{3BDF1D4A-D0AB-474D-BBE9-35C105A4F9F0}"/>
    <hyperlink ref="T130" r:id="rId728" xr:uid="{522E96C0-A35C-4A33-B476-8421DF2DF83B}"/>
    <hyperlink ref="CA130" r:id="rId729" xr:uid="{2434ACFC-1D05-4DC6-B97B-C83D67F4886F}"/>
    <hyperlink ref="CB130" r:id="rId730" xr:uid="{8E81BA89-849C-4F19-AB2F-EB6FACF14AAE}"/>
    <hyperlink ref="CD130" r:id="rId731" xr:uid="{79684FF1-687F-4FC2-843B-96EEBCCEF993}"/>
    <hyperlink ref="O131" r:id="rId732" xr:uid="{690EC4C8-4F3E-4857-9048-44553CBEDEE2}"/>
    <hyperlink ref="S131" r:id="rId733" xr:uid="{588F4248-2F8C-4B0C-98D4-176967AA9C8C}"/>
    <hyperlink ref="T131" r:id="rId734" xr:uid="{D2684E70-281D-40F3-8ADE-AE3FDF951706}"/>
    <hyperlink ref="CA131" r:id="rId735" xr:uid="{F22ED9C0-AEBA-471E-962B-7AECDF787827}"/>
    <hyperlink ref="CB131" r:id="rId736" xr:uid="{1733D218-A82A-4D84-95C1-B40B7C62279E}"/>
    <hyperlink ref="CD131" r:id="rId737" xr:uid="{CF237468-3A22-413F-A192-3C387F81EFC1}"/>
    <hyperlink ref="O132" r:id="rId738" xr:uid="{6A524E33-CA9B-4F35-B48E-3F0C744161A0}"/>
    <hyperlink ref="S132" r:id="rId739" xr:uid="{71A6BBF0-FE37-4CFE-8BCE-C75488539B16}"/>
    <hyperlink ref="T132" r:id="rId740" xr:uid="{B476162E-6891-44FE-8FAB-644497D002CE}"/>
    <hyperlink ref="CA132" r:id="rId741" xr:uid="{11669E88-0405-4E8D-94E3-A72FE1813858}"/>
    <hyperlink ref="CB132" r:id="rId742" xr:uid="{05CC745F-AA99-4224-89CD-F6535873112E}"/>
    <hyperlink ref="CD132" r:id="rId743" xr:uid="{59384860-B798-4CB8-82F1-69140188A17B}"/>
    <hyperlink ref="O133" r:id="rId744" xr:uid="{CC1F235C-909F-4AC9-9226-D4F371814083}"/>
    <hyperlink ref="S133" r:id="rId745" xr:uid="{5ECB9DDB-A531-43F2-B2DD-F144AFBA0630}"/>
    <hyperlink ref="T133" r:id="rId746" xr:uid="{0329A421-2B43-4385-B84C-112A2B3AC7A1}"/>
    <hyperlink ref="CA133" r:id="rId747" xr:uid="{56A85392-BA16-4923-B94F-23BC4522C339}"/>
    <hyperlink ref="CB133" r:id="rId748" xr:uid="{FF0291F6-5436-49BD-93AA-232119B73FF3}"/>
    <hyperlink ref="CD133" r:id="rId749" xr:uid="{D676AD81-689A-4FFF-9999-21FEC88FE1E6}"/>
    <hyperlink ref="O134" r:id="rId750" xr:uid="{15E48848-B355-4DD5-B261-49EC6B0C2568}"/>
    <hyperlink ref="S134" r:id="rId751" xr:uid="{84C8FF75-AC91-4341-AD43-9F244BA711DD}"/>
    <hyperlink ref="T134" r:id="rId752" xr:uid="{6632DCD7-5EE5-4643-B093-56FE328C01D8}"/>
    <hyperlink ref="CA134" r:id="rId753" xr:uid="{EA391680-352E-4A21-A385-3CA36D048151}"/>
    <hyperlink ref="CB134" r:id="rId754" xr:uid="{062BC09D-F0BE-4359-911F-71B7597A7DA6}"/>
    <hyperlink ref="CD134" r:id="rId755" xr:uid="{511ADDDC-400E-44F1-AC3D-E649C515A5AA}"/>
    <hyperlink ref="O135" r:id="rId756" xr:uid="{32C6F3D5-138E-4396-98E4-88518E98912F}"/>
    <hyperlink ref="S135" r:id="rId757" xr:uid="{72C77891-E1B1-484A-A1BF-FD8A5FCF4A78}"/>
    <hyperlink ref="T135" r:id="rId758" xr:uid="{8CE40137-3CF6-4C4D-BFEA-002AD14EA61A}"/>
    <hyperlink ref="CA135" r:id="rId759" xr:uid="{3D738095-86A1-415A-96AC-A3403FD018A9}"/>
    <hyperlink ref="CB135" r:id="rId760" xr:uid="{10DD5DE6-55D8-4337-89F2-C6751CBC72D8}"/>
    <hyperlink ref="CD135" r:id="rId761" xr:uid="{5DD91D1E-6160-42A2-8584-1F122701A5FD}"/>
    <hyperlink ref="O136" r:id="rId762" xr:uid="{BEAA366E-6FF1-42DF-A776-51DAEF1B80E4}"/>
    <hyperlink ref="S136" r:id="rId763" xr:uid="{F3CBD095-EDF0-49F0-B83B-A8BB8E1951E2}"/>
    <hyperlink ref="T136" r:id="rId764" xr:uid="{CFB99628-938E-4A50-BBEA-6516882199C0}"/>
    <hyperlink ref="CA136" r:id="rId765" xr:uid="{972098E1-F88C-40C5-9FB9-4D61488EB396}"/>
    <hyperlink ref="CB136" r:id="rId766" xr:uid="{E7EA5472-D005-4356-8387-130CA99BBEA7}"/>
    <hyperlink ref="CD136" r:id="rId767" xr:uid="{2A3071A0-D9B1-49E8-9E2A-AEB9CC0FF012}"/>
    <hyperlink ref="O137" r:id="rId768" xr:uid="{50C7E33D-C1B5-4F9D-ADB1-C0ABF612DCA9}"/>
    <hyperlink ref="S137" r:id="rId769" xr:uid="{18BCFB90-3321-47DA-80B4-7D41839B898A}"/>
    <hyperlink ref="T137" r:id="rId770" xr:uid="{5BE5B6BB-C7EB-4426-A12F-9DE991A2FBB3}"/>
    <hyperlink ref="CA137" r:id="rId771" xr:uid="{871A387E-5C85-4C65-9850-CBAFBCCAB32B}"/>
    <hyperlink ref="CB137" r:id="rId772" xr:uid="{A87BD2D9-7A43-4546-89A7-F3C10C1916E5}"/>
    <hyperlink ref="CD137" r:id="rId773" xr:uid="{24F99293-4750-4F06-BF92-16B69B39FD3C}"/>
    <hyperlink ref="O138" r:id="rId774" xr:uid="{33149DF3-F175-4E14-B349-15AC2BAE3345}"/>
    <hyperlink ref="S138" r:id="rId775" xr:uid="{B76D0B40-5D8D-4226-A144-6B9A4A1857A6}"/>
    <hyperlink ref="T138" r:id="rId776" xr:uid="{31C9A4D0-1086-450E-B222-7B5134AAC38C}"/>
    <hyperlink ref="CA138" r:id="rId777" xr:uid="{9AE9132C-DC38-40B8-A2EA-142B32057FB7}"/>
    <hyperlink ref="CB138" r:id="rId778" xr:uid="{B943256C-AA2D-49FE-B3D2-978EFEB974C6}"/>
    <hyperlink ref="CD138" r:id="rId779" xr:uid="{87C2AFD8-1477-4BA7-80DF-C2021135C004}"/>
    <hyperlink ref="O139" r:id="rId780" xr:uid="{CAE505C1-082F-4CEE-8438-95DBBEDC0954}"/>
    <hyperlink ref="S139" r:id="rId781" xr:uid="{A0404AA9-390D-4C0F-B7DE-D58C29C87EC3}"/>
    <hyperlink ref="T139" r:id="rId782" xr:uid="{8CDF7682-BC19-457A-8B88-D260B8BE7880}"/>
    <hyperlink ref="CA139" r:id="rId783" xr:uid="{07C3EBC2-9D92-4392-9BBF-C605F609D9F1}"/>
    <hyperlink ref="CB139" r:id="rId784" xr:uid="{38A3699F-866A-4C3B-AB66-EDCC1B3DE6CA}"/>
    <hyperlink ref="CD139" r:id="rId785" xr:uid="{26E52A5F-AF7C-4AFA-B609-A4A3F6BE69C1}"/>
    <hyperlink ref="O140" r:id="rId786" xr:uid="{0728D57F-AD8B-481D-9752-03EB555341C9}"/>
    <hyperlink ref="S140" r:id="rId787" xr:uid="{4DDFCA99-4920-40A2-A067-4913FAC44765}"/>
    <hyperlink ref="T140" r:id="rId788" xr:uid="{13CCD423-EE3C-4A79-934E-F1B9B4B21FE8}"/>
    <hyperlink ref="CA140" r:id="rId789" xr:uid="{40E08EA8-15EC-49A6-B0EE-BEFD98380345}"/>
    <hyperlink ref="CB140" r:id="rId790" xr:uid="{F01486D7-F7ED-4924-9853-E730B6400C8A}"/>
    <hyperlink ref="CD140" r:id="rId791" xr:uid="{AE8A229D-C0B6-4978-8AF7-FE7A63C07E54}"/>
    <hyperlink ref="O141" r:id="rId792" xr:uid="{457CC3BE-5462-43EA-96EB-D7494D223860}"/>
    <hyperlink ref="S141" r:id="rId793" xr:uid="{55AA3CAE-B80A-4805-B4D3-933AB8C1569D}"/>
    <hyperlink ref="T141" r:id="rId794" xr:uid="{6E252C5B-3826-42FC-9A08-5BC3AD8FB66D}"/>
    <hyperlink ref="CA141" r:id="rId795" xr:uid="{B5D752E7-7A4A-41BE-857F-129CACD8F811}"/>
    <hyperlink ref="CB141" r:id="rId796" xr:uid="{640F716C-032B-4750-B7F2-FE36A69D1B50}"/>
    <hyperlink ref="CD141" r:id="rId797" xr:uid="{E0E49EE7-80E4-493B-A027-53CDF9872C54}"/>
    <hyperlink ref="O142" r:id="rId798" xr:uid="{4E902B1B-6808-4060-B83E-FFFF62C06E0D}"/>
    <hyperlink ref="S142" r:id="rId799" xr:uid="{AA801FD9-81A7-4351-BC4A-2A9EAF3AD67B}"/>
    <hyperlink ref="T142" r:id="rId800" xr:uid="{5945980B-65C1-42EA-9635-E2EABB12C641}"/>
    <hyperlink ref="CA142" r:id="rId801" xr:uid="{872A4991-DF36-45FB-9AAD-DF17729155FF}"/>
    <hyperlink ref="CB142" r:id="rId802" xr:uid="{F8C017E1-4807-4CD0-9399-44E86D4E5BDC}"/>
    <hyperlink ref="CD142" r:id="rId803" xr:uid="{F41BA0A7-C5A4-4A01-A40F-50DA7CF4FFD7}"/>
    <hyperlink ref="O143" r:id="rId804" xr:uid="{1455D9EE-AC16-4925-A84E-510C50A9BDCB}"/>
    <hyperlink ref="S143" r:id="rId805" xr:uid="{5A8A3C14-6F48-4B62-BD7F-29273F3A2A28}"/>
    <hyperlink ref="T143" r:id="rId806" xr:uid="{7A91CC5F-FCA6-4349-A7FD-0D636694F3AE}"/>
    <hyperlink ref="CA143" r:id="rId807" xr:uid="{9846FC1F-4B83-4DAA-951B-517E16E42406}"/>
    <hyperlink ref="CB143" r:id="rId808" xr:uid="{52E173FF-E488-4F6C-9F87-F576CA699DCC}"/>
    <hyperlink ref="CD143" r:id="rId809" xr:uid="{89CFC6EA-DEC2-4F41-9888-5D31DC02C7B2}"/>
    <hyperlink ref="O144" r:id="rId810" xr:uid="{1BDBF9A4-7A84-4AB7-8F79-041EC96A2152}"/>
    <hyperlink ref="S144" r:id="rId811" xr:uid="{8A05A012-700E-47ED-B6D1-68A369B300BE}"/>
    <hyperlink ref="T144" r:id="rId812" xr:uid="{F7D7B00E-E9C3-463B-A45C-3B1FC34ED808}"/>
    <hyperlink ref="CA144" r:id="rId813" xr:uid="{0DBC2B47-19E3-4914-86EF-C194B2521416}"/>
    <hyperlink ref="CB144" r:id="rId814" xr:uid="{8FF522DB-C773-455B-B8B8-A464015BE775}"/>
    <hyperlink ref="CD144" r:id="rId815" xr:uid="{8D441F4D-B34F-4E90-A598-1D3F853DCAD7}"/>
    <hyperlink ref="O145" r:id="rId816" xr:uid="{AEFBB19B-3A25-4039-B20D-D6DE6E755A4D}"/>
    <hyperlink ref="S145" r:id="rId817" xr:uid="{1C257580-7FEF-475E-B217-3C0CF63ED87B}"/>
    <hyperlink ref="T145" r:id="rId818" xr:uid="{9DCD4895-857A-4B3C-B1DF-5BDFA21E433C}"/>
    <hyperlink ref="CA145" r:id="rId819" xr:uid="{08421BFF-7604-44E1-9A82-10DFA7F37379}"/>
    <hyperlink ref="CB145" r:id="rId820" xr:uid="{C616277A-A8EA-44A8-9FCA-3A3ADA33EE2B}"/>
    <hyperlink ref="CD145" r:id="rId821" xr:uid="{BA712875-04F0-443E-822B-06C9B62D78F1}"/>
    <hyperlink ref="O146" r:id="rId822" xr:uid="{5263519B-C0D4-4C44-8969-550ACB2FAF2F}"/>
    <hyperlink ref="S146" r:id="rId823" xr:uid="{31FB719B-0B2E-4377-84D4-E152A95D24F0}"/>
    <hyperlink ref="T146" r:id="rId824" xr:uid="{891E7E27-0E7B-44E0-8AA5-23FEE1E6979D}"/>
    <hyperlink ref="CA146" r:id="rId825" xr:uid="{43BC9C86-D51B-4242-BC37-708ED266D38D}"/>
    <hyperlink ref="CB146" r:id="rId826" xr:uid="{74DCFE7D-B39E-4889-A53F-D07BDC35F026}"/>
    <hyperlink ref="CD146" r:id="rId827" xr:uid="{6EC12E99-BD39-4AA9-8102-895C1773DAF1}"/>
    <hyperlink ref="O147" r:id="rId828" xr:uid="{569FD0D5-DB78-4D68-80D0-16E71B5E44A3}"/>
    <hyperlink ref="S147" r:id="rId829" xr:uid="{ED834A98-C9C2-4A42-A1E1-48358BF69973}"/>
    <hyperlink ref="T147" r:id="rId830" xr:uid="{25A47DF3-FAC8-45AE-8F61-F9F8ADE39447}"/>
    <hyperlink ref="CA147" r:id="rId831" xr:uid="{AB291C23-8372-4F50-ADC9-FE0C8BD871C3}"/>
    <hyperlink ref="CB147" r:id="rId832" xr:uid="{DF62F7B6-E62E-4E32-98D1-C774E474CE1F}"/>
    <hyperlink ref="CD147" r:id="rId833" xr:uid="{9C9C5B00-7925-410D-A230-95B158F7587A}"/>
    <hyperlink ref="O148" r:id="rId834" xr:uid="{38E0A697-2190-40E7-B68F-394FA7EB8BA4}"/>
    <hyperlink ref="S148" r:id="rId835" xr:uid="{691074C6-EEEC-4FA4-9BE1-198B6B1BFA1E}"/>
    <hyperlink ref="T148" r:id="rId836" xr:uid="{2ABFC8D6-98C3-44F5-B0B8-CF658B07B246}"/>
    <hyperlink ref="CA148" r:id="rId837" xr:uid="{1F292D3C-8F3B-4A8D-A6C5-F2F44F5D723C}"/>
    <hyperlink ref="CB148" r:id="rId838" xr:uid="{B984BD65-CA6B-46B9-9E17-DDEEC04546A4}"/>
    <hyperlink ref="CD148" r:id="rId839" xr:uid="{FB430F67-8888-48F3-B2AA-2A917024054F}"/>
    <hyperlink ref="O149" r:id="rId840" xr:uid="{D520EDFE-76C2-47BA-9366-EB09816E1C50}"/>
    <hyperlink ref="S149" r:id="rId841" xr:uid="{4651BC05-8AA3-4CF8-B685-8FE3928135CB}"/>
    <hyperlink ref="T149" r:id="rId842" xr:uid="{3EC3F367-1033-45E6-9A14-CA7DD3F20E09}"/>
    <hyperlink ref="CA149" r:id="rId843" xr:uid="{BBC79226-6D44-417F-AC2F-B550B562B885}"/>
    <hyperlink ref="CB149" r:id="rId844" xr:uid="{C8959697-E271-4597-9538-7A8F2308F68C}"/>
    <hyperlink ref="CD149" r:id="rId845" xr:uid="{BD47B6F7-9C43-4C3F-AAF1-4BB8F6CE2FF3}"/>
    <hyperlink ref="O150" r:id="rId846" xr:uid="{DD169C78-65A0-4B4E-95F0-8469F0BC9DF7}"/>
    <hyperlink ref="S150" r:id="rId847" xr:uid="{CED25877-DB49-4A5F-8044-85271C1067E9}"/>
    <hyperlink ref="T150" r:id="rId848" xr:uid="{A8336B79-4F74-4864-88A8-8BB50DFD0C31}"/>
    <hyperlink ref="CA150" r:id="rId849" xr:uid="{560D20C0-C52F-4267-8678-16309ACE71F0}"/>
    <hyperlink ref="CB150" r:id="rId850" xr:uid="{CE644BF9-84CB-48AD-A8AB-6C783C536A33}"/>
    <hyperlink ref="CD150" r:id="rId851" xr:uid="{6858FE97-2ADF-40D8-B573-8D213D43856A}"/>
    <hyperlink ref="O151" r:id="rId852" xr:uid="{9EC3B98D-2D12-4317-AEF2-2DE78D3D517A}"/>
    <hyperlink ref="S151" r:id="rId853" xr:uid="{95C60D0F-2FEB-4A88-A88E-917E2E200053}"/>
    <hyperlink ref="T151" r:id="rId854" xr:uid="{814A6214-E563-47CA-81A9-DBEC63991F75}"/>
    <hyperlink ref="CA151" r:id="rId855" xr:uid="{47D3AD0F-E3AB-42B8-A51C-2847040F43A7}"/>
    <hyperlink ref="CB151" r:id="rId856" xr:uid="{6D86EB71-70ED-40B4-B78C-E9E97A243564}"/>
    <hyperlink ref="CD151" r:id="rId857" xr:uid="{1DFA28A8-14DD-4FB0-B86A-462BDA1931E0}"/>
    <hyperlink ref="O152" r:id="rId858" xr:uid="{E5B7F85D-AF64-4391-A526-0427F49159C7}"/>
    <hyperlink ref="S152" r:id="rId859" xr:uid="{DF50E6D0-22B4-4386-B4B7-C5407857D2A2}"/>
    <hyperlink ref="T152" r:id="rId860" xr:uid="{016FF660-A2AF-4E71-A53A-4AE2C7D84F71}"/>
    <hyperlink ref="CA152" r:id="rId861" xr:uid="{9E8766EC-C7DF-4D10-93F9-B7BB1541D595}"/>
    <hyperlink ref="CB152" r:id="rId862" xr:uid="{0A2816F6-6E09-44CC-B860-2A29C5506D20}"/>
    <hyperlink ref="CD152" r:id="rId863" xr:uid="{A3AC37BA-E1B1-4831-8C27-8C9B5497C894}"/>
    <hyperlink ref="O153" r:id="rId864" xr:uid="{7B2368EE-A85D-49AB-AF29-4A5AF4BE9126}"/>
    <hyperlink ref="S153" r:id="rId865" xr:uid="{EB04ED39-1EDF-4CB1-B6DA-7ADC64CBCECE}"/>
    <hyperlink ref="T153" r:id="rId866" xr:uid="{D1585B18-4D68-4EB9-9B69-47A9B15CEE5C}"/>
    <hyperlink ref="CA153" r:id="rId867" xr:uid="{BB074E3F-F987-4C9A-A7E9-B8067573FEC1}"/>
    <hyperlink ref="CB153" r:id="rId868" xr:uid="{346797D5-2691-49CB-9649-FD426572863E}"/>
    <hyperlink ref="CD153" r:id="rId869" xr:uid="{80CB9821-8BF6-4861-8718-03B568BF84CA}"/>
    <hyperlink ref="O154" r:id="rId870" xr:uid="{4AA6DB0D-653F-4BE2-B961-6D3AA8934A5A}"/>
    <hyperlink ref="S154" r:id="rId871" xr:uid="{D425746E-7E78-4B4A-A11C-E5C147700829}"/>
    <hyperlink ref="T154" r:id="rId872" xr:uid="{35038786-1B3E-4D7D-B894-0D43F60BE1E7}"/>
    <hyperlink ref="CA154" r:id="rId873" xr:uid="{6037672F-5850-4E53-9511-DB89B0379B47}"/>
    <hyperlink ref="CB154" r:id="rId874" xr:uid="{D1B3C8D2-F6D5-40D8-926C-E305AC62EC88}"/>
    <hyperlink ref="CD154" r:id="rId875" xr:uid="{86250E12-3377-4CCC-B9DC-55E8F62A5C87}"/>
    <hyperlink ref="O155" r:id="rId876" xr:uid="{0219C317-B09F-4DCA-BC5B-B78A8D3A2256}"/>
    <hyperlink ref="S155" r:id="rId877" xr:uid="{4AD10B6A-9C1D-4380-8DEC-D3DE85CA5573}"/>
    <hyperlink ref="T155" r:id="rId878" xr:uid="{69416752-1E3A-4748-BA45-D197206252C6}"/>
    <hyperlink ref="CA155" r:id="rId879" xr:uid="{27245D79-2402-42AE-8B26-CC6D0190189D}"/>
    <hyperlink ref="CB155" r:id="rId880" xr:uid="{81A58F82-F143-4DE6-82BF-CD219CE05B13}"/>
    <hyperlink ref="CD155" r:id="rId881" xr:uid="{55524CBC-4C64-4734-92DD-BA064521D895}"/>
    <hyperlink ref="O156" r:id="rId882" xr:uid="{FE876BC0-5B26-43F6-9E31-25AD082A324A}"/>
    <hyperlink ref="S156" r:id="rId883" xr:uid="{511DB039-0043-41DF-BDC6-AF2B97FF5327}"/>
    <hyperlink ref="T156" r:id="rId884" xr:uid="{BAF444BA-CB64-4225-BD42-598679234F54}"/>
    <hyperlink ref="CA156" r:id="rId885" xr:uid="{182CA6D4-6B20-4C84-8688-3CEB21E2088D}"/>
    <hyperlink ref="CB156" r:id="rId886" xr:uid="{1A4877CF-7C66-4BCF-BABE-F68BEF328C58}"/>
    <hyperlink ref="CD156" r:id="rId887" xr:uid="{D5597904-78E8-43AB-9EBC-3D39ABA86A63}"/>
    <hyperlink ref="O157" r:id="rId888" xr:uid="{5EE12F78-BF16-4DE8-B6E9-7D2AD2DD7F16}"/>
    <hyperlink ref="S157" r:id="rId889" xr:uid="{DEE1F079-FC4E-4DAA-B7C3-4771D2F3D54E}"/>
    <hyperlink ref="T157" r:id="rId890" xr:uid="{37F745A7-623C-451B-9BD0-90B9C6F8908A}"/>
    <hyperlink ref="CA157" r:id="rId891" xr:uid="{9EA7DAA3-6006-47BD-9E7D-8C72D68E687C}"/>
    <hyperlink ref="CB157" r:id="rId892" xr:uid="{253B9A3F-F793-465F-B692-23EE1325A93B}"/>
    <hyperlink ref="CD157" r:id="rId893" xr:uid="{6AEF9DE2-70E6-4761-9C4E-77690D1CE268}"/>
    <hyperlink ref="O158" r:id="rId894" xr:uid="{D55C1088-7ADC-46BF-9B84-7AE2AE0CF526}"/>
    <hyperlink ref="S158" r:id="rId895" xr:uid="{C60682FA-B23D-4197-AE9E-A679DA81FE15}"/>
    <hyperlink ref="T158" r:id="rId896" xr:uid="{ACD804CE-395D-4FDC-B155-5867E893B857}"/>
    <hyperlink ref="CA158" r:id="rId897" xr:uid="{30FAA885-B9DA-4C98-832E-A323019B208D}"/>
    <hyperlink ref="CB158" r:id="rId898" xr:uid="{B99860EE-0796-4C25-B27A-0E897EC15043}"/>
    <hyperlink ref="CD158" r:id="rId899" xr:uid="{138923B7-8451-42B6-AFA5-D5A2320879EC}"/>
    <hyperlink ref="O159" r:id="rId900" xr:uid="{94769EA9-0A60-42F3-B1C1-E969EF303AF6}"/>
    <hyperlink ref="S159" r:id="rId901" xr:uid="{DA195C2A-8DDB-4595-B1A5-E0D42AE30E81}"/>
    <hyperlink ref="T159" r:id="rId902" xr:uid="{8A87A5FE-32A9-4333-BF8E-90C7A2CE59F9}"/>
    <hyperlink ref="CA159" r:id="rId903" xr:uid="{7F2766FF-E305-457A-9862-FBB56997E642}"/>
    <hyperlink ref="CB159" r:id="rId904" xr:uid="{EE41ECDE-2958-4079-BF7E-E6DB85002D53}"/>
    <hyperlink ref="CD159" r:id="rId905" xr:uid="{E944873D-E069-4075-A433-B7FE5705B70C}"/>
    <hyperlink ref="O160" r:id="rId906" xr:uid="{3CD7BB2E-D77A-448F-BDA4-F27729C61D1A}"/>
    <hyperlink ref="S160" r:id="rId907" xr:uid="{BE59C543-A5D3-4F26-842E-ECDFD3A7C596}"/>
    <hyperlink ref="T160" r:id="rId908" xr:uid="{3FAF63B1-2D57-407A-B616-558B60751D4D}"/>
    <hyperlink ref="CA160" r:id="rId909" xr:uid="{0BAA78D5-0AD4-4160-9016-40F6FD6FE55D}"/>
    <hyperlink ref="CB160" r:id="rId910" xr:uid="{175887C5-4D83-4317-8674-CB90848D5928}"/>
    <hyperlink ref="CD160" r:id="rId911" xr:uid="{90513D2D-A028-4AD8-86D6-69CA9417F4B5}"/>
    <hyperlink ref="O161" r:id="rId912" xr:uid="{7703BA9C-8DD9-4EAE-910B-F4ADF9777CEF}"/>
    <hyperlink ref="S161" r:id="rId913" xr:uid="{C51EFC0C-4355-4A5A-BCDB-C83B54B72E4A}"/>
    <hyperlink ref="T161" r:id="rId914" xr:uid="{1757844B-6D4E-4E1A-8968-832D5A562FD1}"/>
    <hyperlink ref="CA161" r:id="rId915" xr:uid="{7071E8FA-58FC-4366-927A-77CBB88E19E7}"/>
    <hyperlink ref="CB161" r:id="rId916" xr:uid="{FC55BDE5-CE25-444A-A608-F54E262091C4}"/>
    <hyperlink ref="CD161" r:id="rId917" xr:uid="{E06A98F7-9441-4FE6-A4D3-10A21A121BB3}"/>
    <hyperlink ref="O162" r:id="rId918" xr:uid="{B7B2488F-D2D9-4BA3-B04B-EE22B0DCA06E}"/>
    <hyperlink ref="S162" r:id="rId919" xr:uid="{DF3C8571-8ADE-4D57-88D2-A430E17FC8ED}"/>
    <hyperlink ref="T162" r:id="rId920" xr:uid="{9C75251C-9F4A-4DFC-995E-03C8C9BD7BFD}"/>
    <hyperlink ref="CA162" r:id="rId921" xr:uid="{051EE846-20C9-4783-8DF4-4DD294AEFF6C}"/>
    <hyperlink ref="CB162" r:id="rId922" xr:uid="{4C0FF01D-4B68-4CE0-99A0-ACC1A73DB6B5}"/>
    <hyperlink ref="CD162" r:id="rId923" xr:uid="{1A391F4A-2C39-4D01-856B-4526CF401F14}"/>
    <hyperlink ref="O163" r:id="rId924" xr:uid="{AABDB099-67F8-4F94-9FA2-933DB137AC6C}"/>
    <hyperlink ref="S163" r:id="rId925" xr:uid="{EC51AC2F-DB94-49B6-B8BC-22C2E97BC36C}"/>
    <hyperlink ref="T163" r:id="rId926" xr:uid="{7118E6CE-A429-4473-B1A6-2756DA61E94B}"/>
    <hyperlink ref="CA163" r:id="rId927" xr:uid="{EDA96A8C-14A0-4116-B840-D0B1CBC1ECC4}"/>
    <hyperlink ref="CB163" r:id="rId928" xr:uid="{3E3E7FDE-037E-4892-B97A-2A795C1DC5B0}"/>
    <hyperlink ref="CD163" r:id="rId929" xr:uid="{7075113A-644D-4D7B-8AA6-A3B61E19F812}"/>
    <hyperlink ref="O164" r:id="rId930" xr:uid="{C89C28BF-6CCB-4F5C-B8F4-643C60B6F497}"/>
    <hyperlink ref="S164" r:id="rId931" xr:uid="{091E931C-05E9-4142-9790-BA3E8C83DD5C}"/>
    <hyperlink ref="T164" r:id="rId932" xr:uid="{AC99DE2B-C617-44A1-B29A-4A47128AD26F}"/>
    <hyperlink ref="CA164" r:id="rId933" xr:uid="{191A5A98-4433-4AD5-BC85-C73C0BA75015}"/>
    <hyperlink ref="CB164" r:id="rId934" xr:uid="{A69745DD-CA20-4A4A-826E-F68AE8FFFDBF}"/>
    <hyperlink ref="CD164" r:id="rId935" xr:uid="{96B598B5-36FA-4E8B-BC0D-1D2967C6590A}"/>
    <hyperlink ref="O165" r:id="rId936" xr:uid="{B531DBF3-324C-4174-9DED-773F5CFE9DC1}"/>
    <hyperlink ref="S165" r:id="rId937" xr:uid="{13FAE04C-E793-4CB1-865F-37B1BBEFAA0C}"/>
    <hyperlink ref="T165" r:id="rId938" xr:uid="{74E07FBF-6BB3-4D7C-ACDB-FD318CB63DDB}"/>
    <hyperlink ref="CA165" r:id="rId939" xr:uid="{75C49DB7-CDA8-4D56-9908-4D3D7E292717}"/>
    <hyperlink ref="CB165" r:id="rId940" xr:uid="{27FE2646-BAB6-410B-B0FA-AD7DFEFD2488}"/>
    <hyperlink ref="CD165" r:id="rId941" xr:uid="{B54F18E0-2AD0-406E-83A3-8738A4AFD4BC}"/>
    <hyperlink ref="O166" r:id="rId942" xr:uid="{B5DE0561-3016-4C3F-A60C-8B70E1C4EB75}"/>
    <hyperlink ref="S166" r:id="rId943" xr:uid="{BF46E6D3-8812-413F-9AE9-ECBA23073918}"/>
    <hyperlink ref="T166" r:id="rId944" xr:uid="{F8A86384-488C-4DEC-A59B-BEA57057C77D}"/>
    <hyperlink ref="CA166" r:id="rId945" xr:uid="{6940D76D-4C70-47A4-9610-D379C1A3D6C8}"/>
    <hyperlink ref="CB166" r:id="rId946" xr:uid="{41B1F25D-86E6-4E91-943A-785E68DB55DA}"/>
    <hyperlink ref="CD166" r:id="rId947" xr:uid="{155700FB-64E8-45EC-B053-7B82693D9397}"/>
    <hyperlink ref="O167" r:id="rId948" xr:uid="{3CF81BD2-214A-434F-A886-A5ECF56CB03E}"/>
    <hyperlink ref="S167" r:id="rId949" xr:uid="{B764D433-45F7-4456-9FCD-36D487AB3D6C}"/>
    <hyperlink ref="T167" r:id="rId950" xr:uid="{63F97E3E-5E09-4AE7-B3E9-AEF4FE53C530}"/>
    <hyperlink ref="CA167" r:id="rId951" xr:uid="{B9F5C11A-04BB-458C-9955-3C848A5AE5A6}"/>
    <hyperlink ref="CB167" r:id="rId952" xr:uid="{9DC52BB7-D631-4E05-87E8-DB33083D46BA}"/>
    <hyperlink ref="CD167" r:id="rId953" xr:uid="{73660D14-108A-4253-8F36-A3DB67267729}"/>
    <hyperlink ref="O168" r:id="rId954" xr:uid="{D615BFC2-1CC9-4563-9792-1249B79EDC36}"/>
    <hyperlink ref="S168" r:id="rId955" xr:uid="{545037F7-9A25-4F0A-8C22-6D9B05F449DF}"/>
    <hyperlink ref="T168" r:id="rId956" xr:uid="{7FCC8DE6-36ED-4722-8332-B60152D60AFA}"/>
    <hyperlink ref="CA168" r:id="rId957" xr:uid="{97B6EEE1-2947-4DF7-B598-A9F218F1DE43}"/>
    <hyperlink ref="CB168" r:id="rId958" xr:uid="{E14A4C0E-1E7E-4924-96D9-C38A6BD3D0BC}"/>
    <hyperlink ref="CD168" r:id="rId959" xr:uid="{388E1F55-6EF0-4EB7-84B4-3E66B4843C6E}"/>
    <hyperlink ref="O169" r:id="rId960" xr:uid="{686A70FE-AB4B-4DE8-BFB6-56D4BF12EF5E}"/>
    <hyperlink ref="S169" r:id="rId961" xr:uid="{92EF68CB-A97A-43F0-A614-AC3811859A5F}"/>
    <hyperlink ref="T169" r:id="rId962" xr:uid="{1AE78AB8-746C-4B54-94D2-474EA6349F6D}"/>
    <hyperlink ref="CA169" r:id="rId963" xr:uid="{223F67EC-8780-4322-B43F-C66EDCA7B79A}"/>
    <hyperlink ref="CB169" r:id="rId964" xr:uid="{4E5C0104-F06B-4A27-8355-5A33B14D4C65}"/>
    <hyperlink ref="CD169" r:id="rId965" xr:uid="{4E08CE95-4D73-49D9-84B9-C363CC64709F}"/>
    <hyperlink ref="O170" r:id="rId966" xr:uid="{13C241BE-75B1-480E-B7DC-0E75F827A1E6}"/>
    <hyperlink ref="S170" r:id="rId967" xr:uid="{EEB1C6C7-2807-4C82-AB67-7096C74CBEC8}"/>
    <hyperlink ref="T170" r:id="rId968" xr:uid="{1ACB1510-379E-47B6-ADB5-730599710EE1}"/>
    <hyperlink ref="CA170" r:id="rId969" xr:uid="{42777659-7E49-4D64-B87B-C599AABE0023}"/>
    <hyperlink ref="CB170" r:id="rId970" xr:uid="{F2A7F1DE-C778-47FE-8963-E2F3F5AC5363}"/>
    <hyperlink ref="CD170" r:id="rId971" xr:uid="{5EB5C2C7-6DC0-413C-8C5A-738312F0A8CB}"/>
    <hyperlink ref="O171" r:id="rId972" xr:uid="{0C248726-6594-4CE4-AF78-99853853E6BB}"/>
    <hyperlink ref="S171" r:id="rId973" xr:uid="{7E6A84FE-FF67-4710-865C-4300F3524424}"/>
    <hyperlink ref="T171" r:id="rId974" xr:uid="{B6C807DF-060B-41C8-A1F2-F92B6C96D3BA}"/>
    <hyperlink ref="CA171" r:id="rId975" xr:uid="{7897069F-1FD0-4DB0-97C4-AD46DF37396D}"/>
    <hyperlink ref="CB171" r:id="rId976" xr:uid="{D45492CC-A244-4C08-AF47-D7B1D2E79627}"/>
    <hyperlink ref="CD171" r:id="rId977" xr:uid="{49968AA3-1A16-44B0-93D4-980CDD1652A4}"/>
    <hyperlink ref="O172" r:id="rId978" xr:uid="{26A047B6-F534-4876-820D-709E160B87F7}"/>
    <hyperlink ref="S172" r:id="rId979" xr:uid="{41CE5DEE-9E96-4346-A037-7DE9DB19907E}"/>
    <hyperlink ref="T172" r:id="rId980" xr:uid="{D90989DB-318B-49BC-8135-7D8BFF1659FF}"/>
    <hyperlink ref="CA172" r:id="rId981" xr:uid="{719585BA-A884-46BF-99AE-566E56C6EAD0}"/>
    <hyperlink ref="CB172" r:id="rId982" xr:uid="{0EA7D252-2D61-4723-AEF2-6A2FABAE79E6}"/>
    <hyperlink ref="CD172" r:id="rId983" xr:uid="{7E058D31-9DCB-4394-94C6-60E2AAD97316}"/>
    <hyperlink ref="O173" r:id="rId984" xr:uid="{53261FC0-218D-401B-AC3E-B1A788745210}"/>
    <hyperlink ref="S173" r:id="rId985" xr:uid="{BB7DBBEB-AE9E-431C-BEE1-A42E330D7280}"/>
    <hyperlink ref="T173" r:id="rId986" xr:uid="{6ED8986C-DD42-4178-BD97-6A8A631A5B96}"/>
    <hyperlink ref="CA173" r:id="rId987" xr:uid="{E1659469-0449-4DFD-B763-A111BF8C4447}"/>
    <hyperlink ref="CB173" r:id="rId988" xr:uid="{55F8D7F6-3935-4A00-AC4B-44F8AE571928}"/>
    <hyperlink ref="CD173" r:id="rId989" xr:uid="{A0B6053F-1E9C-4A75-89F0-1366D7BABA76}"/>
    <hyperlink ref="O174" r:id="rId990" xr:uid="{118E903C-2A24-4F51-BEBB-5F7E7599253C}"/>
    <hyperlink ref="S174" r:id="rId991" xr:uid="{EA6A1756-0FE2-46C9-B1FB-044173EE9588}"/>
    <hyperlink ref="T174" r:id="rId992" xr:uid="{B1A3DCFC-03D8-4FB4-90FD-C35C4B1976CF}"/>
    <hyperlink ref="CA174" r:id="rId993" xr:uid="{EE41075D-7FF1-4445-BE58-F749C47F1CFC}"/>
    <hyperlink ref="CB174" r:id="rId994" xr:uid="{00AB6B95-A878-4D30-9632-AA813F151BBC}"/>
    <hyperlink ref="CD174" r:id="rId995" xr:uid="{D9A65D6B-9F91-4DD4-886C-FF7FDD0990D8}"/>
    <hyperlink ref="O175" r:id="rId996" xr:uid="{9D7920DE-A6E3-4CDD-A332-E605C97E8D07}"/>
    <hyperlink ref="S175" r:id="rId997" xr:uid="{B1B44F6D-E598-444E-A017-8A8817AB7189}"/>
    <hyperlink ref="T175" r:id="rId998" xr:uid="{2CC00114-3422-44E3-8731-432E69F8423D}"/>
    <hyperlink ref="CA175" r:id="rId999" xr:uid="{6AE11FC0-72F2-4DFB-A4A1-DD4408B9EDE6}"/>
    <hyperlink ref="CB175" r:id="rId1000" xr:uid="{73897FBB-E4A3-4CDD-AEBD-96AF95BF954F}"/>
    <hyperlink ref="CD175" r:id="rId1001" xr:uid="{CF45AD0C-D364-4285-BE71-3DC463361DCA}"/>
    <hyperlink ref="O176" r:id="rId1002" xr:uid="{FFFE017B-CEC5-4C1E-B355-3CF6AD7B4CEA}"/>
    <hyperlink ref="S176" r:id="rId1003" xr:uid="{242188AB-48EB-426C-B6D9-921538DC606E}"/>
    <hyperlink ref="T176" r:id="rId1004" xr:uid="{EDC982BC-F911-4945-A215-DBEFE4B6AEE4}"/>
    <hyperlink ref="CA176" r:id="rId1005" xr:uid="{AFE3DC1E-D943-4781-AC2A-DDF9C3ACF3CC}"/>
    <hyperlink ref="CB176" r:id="rId1006" xr:uid="{7AA80C52-D07E-49BE-A5FC-2EB131D580CF}"/>
    <hyperlink ref="CD176" r:id="rId1007" xr:uid="{40D523EF-73A5-4394-B45E-69649A296D01}"/>
    <hyperlink ref="O177" r:id="rId1008" xr:uid="{EE2C40F8-F8B7-43E1-9EA3-FF0B5BAB44A2}"/>
    <hyperlink ref="S177" r:id="rId1009" xr:uid="{C5DB02FF-5BBF-4F9F-80E7-64F86C3B9A8D}"/>
    <hyperlink ref="T177" r:id="rId1010" xr:uid="{82DAAE4E-1295-46CC-A9AF-2287FA5C3434}"/>
    <hyperlink ref="CA177" r:id="rId1011" xr:uid="{85EEBC3D-A0DD-4A3E-B473-3539D7795758}"/>
    <hyperlink ref="CB177" r:id="rId1012" xr:uid="{F9EE5849-E821-486D-A086-73DE3547071B}"/>
    <hyperlink ref="CD177" r:id="rId1013" xr:uid="{44C65A2D-FFEF-4C71-BF27-82914FEEDA14}"/>
    <hyperlink ref="O178" r:id="rId1014" xr:uid="{076A589E-5488-4EFA-8295-920DEAAB5E87}"/>
    <hyperlink ref="S178" r:id="rId1015" xr:uid="{C1C423B9-BB6E-4366-8E60-24FD287AB551}"/>
    <hyperlink ref="T178" r:id="rId1016" xr:uid="{33023CC4-6745-41E3-A5C6-48015826537D}"/>
    <hyperlink ref="CA178" r:id="rId1017" xr:uid="{A60D58EE-7275-4555-BF0F-1A270EEEF603}"/>
    <hyperlink ref="CB178" r:id="rId1018" xr:uid="{17B4527A-F259-46AA-83B8-4E51C9F9AAFB}"/>
    <hyperlink ref="CD178" r:id="rId1019" xr:uid="{7FA4ED3D-0D33-434E-829C-6760124A22DF}"/>
    <hyperlink ref="O179" r:id="rId1020" xr:uid="{4224B2E6-E1DE-45B5-B6EB-E8E2988A7A87}"/>
    <hyperlink ref="S179" r:id="rId1021" xr:uid="{4745ED54-945D-440B-BB67-1FDF2B78ACFE}"/>
    <hyperlink ref="T179" r:id="rId1022" xr:uid="{820230C3-77B0-4935-9103-D0E7E6FCF187}"/>
    <hyperlink ref="CA179" r:id="rId1023" xr:uid="{8F5AA755-ED03-4A1F-8FDA-48EC6D34AA45}"/>
    <hyperlink ref="CB179" r:id="rId1024" xr:uid="{8A8A25FE-5631-4F53-99D8-EA598A146EC6}"/>
    <hyperlink ref="CD179" r:id="rId1025" xr:uid="{B24C9BFF-CEEA-4438-8662-28CF41374810}"/>
    <hyperlink ref="O180" r:id="rId1026" xr:uid="{ED645071-8D47-4D4F-B97C-E25817A2CAAF}"/>
    <hyperlink ref="S180" r:id="rId1027" xr:uid="{E4DE6CE2-55C7-458A-8303-A1E39EE8500B}"/>
    <hyperlink ref="T180" r:id="rId1028" xr:uid="{906BDFE5-9EF0-4F86-8F95-31750A5EFD27}"/>
    <hyperlink ref="CA180" r:id="rId1029" xr:uid="{B6471495-A9C0-445F-BB0A-118B11DAC4BC}"/>
    <hyperlink ref="CB180" r:id="rId1030" xr:uid="{B70DF8E7-509E-4E01-B9BE-D4C9D69D488E}"/>
    <hyperlink ref="CD180" r:id="rId1031" xr:uid="{34EC6CED-9772-43BD-A48E-10C0B342D2D9}"/>
    <hyperlink ref="O181" r:id="rId1032" xr:uid="{BA7EC6A2-0135-4635-B875-CDCE14357002}"/>
    <hyperlink ref="S181" r:id="rId1033" xr:uid="{F7B5A4D8-87E1-4AD7-B634-B1C1A80D5E1B}"/>
    <hyperlink ref="T181" r:id="rId1034" xr:uid="{8D2DF9D6-51A5-49A8-AF42-5F5ECEE08484}"/>
    <hyperlink ref="CA181" r:id="rId1035" xr:uid="{043089FA-5204-4F6C-82B0-49E60A46BE03}"/>
    <hyperlink ref="CB181" r:id="rId1036" xr:uid="{9ECB85BA-DE2E-41A5-811D-CB62DBF09D49}"/>
    <hyperlink ref="CD181" r:id="rId1037" xr:uid="{E530BA0E-D7C0-4EAA-B7B2-8FA3854C615B}"/>
    <hyperlink ref="O182" r:id="rId1038" xr:uid="{B22647AB-291D-4D7B-9114-AB0E6997F112}"/>
    <hyperlink ref="S182" r:id="rId1039" xr:uid="{93CC4CAF-7E85-458B-8233-05DAC60EF478}"/>
    <hyperlink ref="T182" r:id="rId1040" xr:uid="{B700429F-60C0-4309-919E-4CB346CE89F9}"/>
    <hyperlink ref="CA182" r:id="rId1041" xr:uid="{4D4E1662-6EE1-4DB1-A050-4EEA7E5324E4}"/>
    <hyperlink ref="CB182" r:id="rId1042" xr:uid="{CA62D6E1-3EF2-47AB-BFBC-20EB6A9261D8}"/>
    <hyperlink ref="CD182" r:id="rId1043" xr:uid="{A5C472AB-6A40-4C64-A14E-27DD597F9CCC}"/>
    <hyperlink ref="O183" r:id="rId1044" xr:uid="{4AF20B1F-0DD7-48A8-8CD1-F22ADDE05B18}"/>
    <hyperlink ref="S183" r:id="rId1045" xr:uid="{772145F0-2AF0-4737-B89A-6783E39DF1DE}"/>
    <hyperlink ref="T183" r:id="rId1046" xr:uid="{AC7F599C-E34B-4EA3-8CEA-7B050D0C326F}"/>
    <hyperlink ref="CA183" r:id="rId1047" xr:uid="{D4FB6D26-64E2-47EC-8785-945CFE0B468F}"/>
    <hyperlink ref="CB183" r:id="rId1048" xr:uid="{CC5C8A8B-4B59-4255-997D-AB811F7AB5F1}"/>
    <hyperlink ref="CD183" r:id="rId1049" xr:uid="{D71E311A-19F0-4549-AE3A-3912CC4D8A7D}"/>
    <hyperlink ref="O184" r:id="rId1050" xr:uid="{5D6B3236-E538-49A1-8BE7-511A243AAEF1}"/>
    <hyperlink ref="S184" r:id="rId1051" xr:uid="{508EC245-E464-4FAE-8FED-16B28BBE8A29}"/>
    <hyperlink ref="T184" r:id="rId1052" xr:uid="{352CA4B8-CA50-4F18-9C68-F284F500C891}"/>
    <hyperlink ref="CA184" r:id="rId1053" xr:uid="{CA0BEF2F-7203-4FCA-BCBF-E6AE2DE6C049}"/>
    <hyperlink ref="CB184" r:id="rId1054" xr:uid="{504ADDD8-DB7B-4E24-BCA9-7D3D88868581}"/>
    <hyperlink ref="CD184" r:id="rId1055" xr:uid="{C9E450C3-6884-4DD1-B6F9-0701FECCDE5F}"/>
    <hyperlink ref="O185" r:id="rId1056" xr:uid="{B7AF09DA-1EA8-40CA-BCC5-70A2FE6D55C9}"/>
    <hyperlink ref="S185" r:id="rId1057" xr:uid="{B6E48986-4A70-44EC-BD96-76485DD3BC6E}"/>
    <hyperlink ref="T185" r:id="rId1058" xr:uid="{138B69C5-B8DC-4F65-9E52-89596BB2B2C2}"/>
    <hyperlink ref="CA185" r:id="rId1059" xr:uid="{3094C624-B8D5-4CB7-A86C-047AFBF792E6}"/>
    <hyperlink ref="CB185" r:id="rId1060" xr:uid="{A6F1A421-C3C1-4989-A50D-FF2EB35CBD4E}"/>
    <hyperlink ref="CD185" r:id="rId1061" xr:uid="{178EBCEB-1140-4689-8866-A25FD824B464}"/>
    <hyperlink ref="O186" r:id="rId1062" xr:uid="{86D7777D-DAE5-4E2B-A957-3F11379A1DB4}"/>
    <hyperlink ref="S186" r:id="rId1063" xr:uid="{DC20CB42-AF43-4E45-A314-84D9723E73C5}"/>
    <hyperlink ref="T186" r:id="rId1064" xr:uid="{20D8BD48-D225-41F0-804D-A50690741FCA}"/>
    <hyperlink ref="CA186" r:id="rId1065" xr:uid="{2C8E3546-2BC6-4311-AEA7-F2F4CC69EB3A}"/>
    <hyperlink ref="CB186" r:id="rId1066" xr:uid="{5F4C8890-FAC6-4983-BA45-F02F0C7FE1E5}"/>
    <hyperlink ref="CD186" r:id="rId1067" xr:uid="{CE1905F6-2D1A-4846-AE95-575E4BB56597}"/>
    <hyperlink ref="O187" r:id="rId1068" xr:uid="{B5FD61E1-99D5-46DF-85BA-D7D5AAAE0507}"/>
    <hyperlink ref="S187" r:id="rId1069" xr:uid="{9C7A96D1-5E90-4C48-907E-EC9CD5973C7E}"/>
    <hyperlink ref="CA187" r:id="rId1070" xr:uid="{3337E022-3BAB-4B72-B430-0C0012D67D2B}"/>
    <hyperlink ref="CB187" r:id="rId1071" xr:uid="{EEBA110F-49F3-47C2-8B2A-C6724AE39153}"/>
    <hyperlink ref="CD187" r:id="rId1072" xr:uid="{E821F3F0-660C-4A2B-94AD-DFF7EABE11FA}"/>
    <hyperlink ref="O188" r:id="rId1073" xr:uid="{8EC3B2CA-7969-482E-B727-E0E2DD25FE9D}"/>
    <hyperlink ref="S188" r:id="rId1074" xr:uid="{E6B1D854-245F-4143-A54A-34A41EBB62A9}"/>
    <hyperlink ref="CA188" r:id="rId1075" xr:uid="{33CD937F-895C-40C2-B441-5CAA62EF4B98}"/>
    <hyperlink ref="CB188" r:id="rId1076" xr:uid="{F0995D42-135A-4793-953C-8A482BC77BB2}"/>
    <hyperlink ref="CD188" r:id="rId1077" xr:uid="{36BA1F72-95B3-4408-BCFB-4CF2D8E292F8}"/>
    <hyperlink ref="O189" r:id="rId1078" xr:uid="{EDD91D8C-C9D6-422E-B853-D054DB2A4B48}"/>
    <hyperlink ref="S189" r:id="rId1079" xr:uid="{2AADC235-0AFA-4FCA-A93D-D63E1F35158A}"/>
    <hyperlink ref="CA189" r:id="rId1080" xr:uid="{E9BC2D42-3ECE-4F44-8A6F-D7BC9B15F444}"/>
    <hyperlink ref="CB189" r:id="rId1081" xr:uid="{DB6D69A1-6BB7-458C-B68B-04E97C84F839}"/>
    <hyperlink ref="CD189" r:id="rId1082" xr:uid="{4EA5AC65-526C-40B4-9FCD-7A64AF952935}"/>
    <hyperlink ref="O190" r:id="rId1083" xr:uid="{65073124-642A-4F07-AA40-895E9A86869B}"/>
    <hyperlink ref="S190" r:id="rId1084" xr:uid="{61019C50-F2C2-4A8C-862A-84CE47A72C14}"/>
    <hyperlink ref="CA190" r:id="rId1085" xr:uid="{0A203E74-C066-4B7B-9396-CB527C0765B7}"/>
    <hyperlink ref="CB190" r:id="rId1086" xr:uid="{13789043-8BAD-467D-A0E7-09122D6F8E92}"/>
    <hyperlink ref="CD190" r:id="rId1087" xr:uid="{09FE3091-2E47-4F7A-9266-BC4E303BAEA5}"/>
    <hyperlink ref="O191" r:id="rId1088" xr:uid="{DEB78219-D8CE-4F55-B0DE-48407CBE659B}"/>
    <hyperlink ref="S191" r:id="rId1089" xr:uid="{48CA48AC-72BC-4E70-8243-6D0991678809}"/>
    <hyperlink ref="CA191" r:id="rId1090" xr:uid="{6FB3142B-5162-4DFB-8C78-E8A3034FAE7A}"/>
    <hyperlink ref="CB191" r:id="rId1091" xr:uid="{137AB6FD-F578-407F-9F6B-D6459E09BCC7}"/>
    <hyperlink ref="CD191" r:id="rId1092" xr:uid="{63533A0B-3BC1-42FF-93BA-FF6D9035DDD5}"/>
    <hyperlink ref="O192" r:id="rId1093" xr:uid="{F09F6D40-36C6-475C-AD16-3220E4A00D5E}"/>
    <hyperlink ref="S192" r:id="rId1094" xr:uid="{F7DD6A98-0B4C-4364-8276-01144D007241}"/>
    <hyperlink ref="CA192" r:id="rId1095" xr:uid="{301C8910-8164-4774-8372-540BA71E2DF4}"/>
    <hyperlink ref="CB192" r:id="rId1096" xr:uid="{6F24B0F5-C5A3-4163-96F9-4B64E68315B2}"/>
    <hyperlink ref="CD192" r:id="rId1097" xr:uid="{E14C1020-1156-4894-A2A8-CB06BFECF6CF}"/>
    <hyperlink ref="O193" r:id="rId1098" xr:uid="{39635276-525E-46F1-A61C-02EEC6262C01}"/>
    <hyperlink ref="S193" r:id="rId1099" xr:uid="{B080D4DD-99C5-4262-BED3-794B43FDB8CF}"/>
    <hyperlink ref="CA193" r:id="rId1100" xr:uid="{2EF850EF-92A0-4BBC-AFD9-B6EAD685A975}"/>
    <hyperlink ref="CB193" r:id="rId1101" xr:uid="{07AEC6D6-8A0A-434B-9D7B-C12AAE4C1CFD}"/>
    <hyperlink ref="CD193" r:id="rId1102" xr:uid="{AA47CEA3-9CCD-4D61-AE55-FE90D6BC9F83}"/>
    <hyperlink ref="O194" r:id="rId1103" xr:uid="{FB3EC4E5-FB90-40C6-B6C8-590CDB0E805E}"/>
    <hyperlink ref="S194" r:id="rId1104" xr:uid="{5F566BFB-DDBB-4BFA-A835-064D6EE95F3F}"/>
    <hyperlink ref="CA194" r:id="rId1105" xr:uid="{3FCC0C93-1627-4C72-AD95-F029CE78DE08}"/>
    <hyperlink ref="CB194" r:id="rId1106" xr:uid="{2A31A505-7BA8-46D3-9BA4-4DB2A17B4993}"/>
    <hyperlink ref="CD194" r:id="rId1107" xr:uid="{CCDDF4FD-D2ED-43CA-97DA-385149199B7F}"/>
    <hyperlink ref="O195" r:id="rId1108" xr:uid="{B19E79B8-216F-40C5-B766-6597FCDA869C}"/>
    <hyperlink ref="S195" r:id="rId1109" xr:uid="{8FD181E6-5B6B-45AB-AEE0-A1C18AA8139F}"/>
    <hyperlink ref="CA195" r:id="rId1110" xr:uid="{01BF9D81-0029-427C-BD36-C434452FDEC2}"/>
    <hyperlink ref="CB195" r:id="rId1111" xr:uid="{01A55A56-C5C6-4EF8-A931-EE19705D7391}"/>
    <hyperlink ref="CD195" r:id="rId1112" xr:uid="{97F2FAB9-BCD3-4973-9C5D-1C194264A787}"/>
    <hyperlink ref="O196" r:id="rId1113" xr:uid="{C823F667-B19A-4715-835A-A8E48DA22FE9}"/>
    <hyperlink ref="S196" r:id="rId1114" xr:uid="{969F19A2-EE08-4A8F-BD55-FA1FB669AA88}"/>
    <hyperlink ref="CA196" r:id="rId1115" xr:uid="{5C88DE11-9D00-4355-BAAC-CCC2D9790620}"/>
    <hyperlink ref="CB196" r:id="rId1116" xr:uid="{2C8DA8D9-0960-49F2-989C-51F2C6726989}"/>
    <hyperlink ref="CD196" r:id="rId1117" xr:uid="{2CE904D5-5113-43AD-9459-2901ABD1911D}"/>
    <hyperlink ref="O197" r:id="rId1118" xr:uid="{077A8422-08DA-4FD5-BB63-2E66DEE44009}"/>
    <hyperlink ref="S197" r:id="rId1119" xr:uid="{1D558EF1-0616-413F-9249-AA5B55BAA714}"/>
    <hyperlink ref="CA197" r:id="rId1120" xr:uid="{C3AFB2F9-E484-438F-80E2-E065A934F1E1}"/>
    <hyperlink ref="CB197" r:id="rId1121" xr:uid="{4F32AFCB-D8ED-46D7-82B9-D581121B4527}"/>
    <hyperlink ref="CD197" r:id="rId1122" xr:uid="{7D83E3FC-7D12-4AA1-9870-28B1E483E745}"/>
    <hyperlink ref="O198" r:id="rId1123" xr:uid="{0811CB0B-64EC-4278-9289-16B1AC290F93}"/>
    <hyperlink ref="S198" r:id="rId1124" xr:uid="{348FD4B8-2D07-47EB-920D-5D18EFB0C7D5}"/>
    <hyperlink ref="T198" r:id="rId1125" xr:uid="{756B1D51-2271-4B75-8101-C970DCDA36FA}"/>
    <hyperlink ref="CA198" r:id="rId1126" xr:uid="{637C94D2-EE84-48A2-80AB-928DC7571500}"/>
    <hyperlink ref="CB198" r:id="rId1127" xr:uid="{96FA42E6-ABCA-4B7E-8FF8-2111D1F2B17C}"/>
    <hyperlink ref="CD198" r:id="rId1128" xr:uid="{54378F7E-FBD9-4D1E-A60F-33F83F91EC5A}"/>
    <hyperlink ref="O199" r:id="rId1129" xr:uid="{7E5120B2-170B-49ED-9C3A-70736A5346F2}"/>
    <hyperlink ref="S199" r:id="rId1130" xr:uid="{E8473B74-45A3-4F3E-9C94-3D2E1B91A58A}"/>
    <hyperlink ref="CA199" r:id="rId1131" xr:uid="{E335D536-7931-4133-AC50-95D4B7F2C365}"/>
    <hyperlink ref="CB199" r:id="rId1132" xr:uid="{5A96CEB6-1958-43B5-9921-636A0EF09F69}"/>
    <hyperlink ref="CD199" r:id="rId1133" xr:uid="{247DE2DB-D726-43B7-B483-EB94F6E06F50}"/>
    <hyperlink ref="O200" r:id="rId1134" xr:uid="{68D2CAAB-C243-42C4-BE25-28DD0EC7C8D3}"/>
    <hyperlink ref="S200" r:id="rId1135" xr:uid="{85E98F00-6E42-41CE-A399-1BB210D275D7}"/>
    <hyperlink ref="CA200" r:id="rId1136" xr:uid="{202989F8-4BAA-4E8B-BFEB-FF28AA5D7844}"/>
    <hyperlink ref="CB200" r:id="rId1137" xr:uid="{E8849D60-DD27-4BF7-AFC5-3026B9B884B2}"/>
    <hyperlink ref="CD200" r:id="rId1138" xr:uid="{A74E8D0E-464D-43A7-9102-978024BA885E}"/>
    <hyperlink ref="O201" r:id="rId1139" xr:uid="{3045F4EE-C417-44FC-B17D-51AF90A3018F}"/>
    <hyperlink ref="S201" r:id="rId1140" xr:uid="{6C45347D-A677-4968-9903-DDC7ED11372B}"/>
    <hyperlink ref="T201" r:id="rId1141" xr:uid="{3A04530B-1EC2-43DA-8F7F-CEF532A69A5B}"/>
    <hyperlink ref="CA201" r:id="rId1142" xr:uid="{0ADF0EDD-1CC0-4758-8932-D30D18997A2E}"/>
    <hyperlink ref="CB201" r:id="rId1143" xr:uid="{2A1C776E-390B-4B83-BE84-32A56BD04793}"/>
    <hyperlink ref="CD201" r:id="rId1144" xr:uid="{71829088-0846-49FB-911B-10F1E540A75E}"/>
    <hyperlink ref="O202" r:id="rId1145" xr:uid="{88FC5609-B0B2-4FB2-BA2B-2092162514E1}"/>
    <hyperlink ref="S202" r:id="rId1146" xr:uid="{FC4D713E-A2BF-441F-BFDC-37D5E76823F5}"/>
    <hyperlink ref="CA202" r:id="rId1147" xr:uid="{5821D9D7-AFFF-4E67-B063-D0CBC2DCEED5}"/>
    <hyperlink ref="CB202" r:id="rId1148" xr:uid="{843765F2-5EC0-47D2-B64C-C067EE3927FF}"/>
    <hyperlink ref="CD202" r:id="rId1149" xr:uid="{DDE4F0B6-6D0F-46B8-A7BE-B057C18CDF4A}"/>
    <hyperlink ref="O203" r:id="rId1150" xr:uid="{5B3897C1-22EE-4BDC-9FC0-EEE5C5878A26}"/>
    <hyperlink ref="S203" r:id="rId1151" xr:uid="{8FEE26F7-D6F5-4D82-89DE-CB575FBD5BE9}"/>
    <hyperlink ref="CA203" r:id="rId1152" xr:uid="{585B55E6-70EF-42C2-A3BC-99F3992F9F3A}"/>
    <hyperlink ref="CB203" r:id="rId1153" xr:uid="{E8DEED57-CA9F-4DD3-B379-348848630826}"/>
    <hyperlink ref="CD203" r:id="rId1154" xr:uid="{805F14AA-A457-4F03-9C80-368EAC8672D6}"/>
    <hyperlink ref="O204" r:id="rId1155" xr:uid="{7B0C2008-5859-4DE4-BDB8-CB4CA2C076A0}"/>
    <hyperlink ref="S204" r:id="rId1156" xr:uid="{35DD780E-5FED-46A5-86A9-76C5FDFF362F}"/>
    <hyperlink ref="CA204" r:id="rId1157" xr:uid="{516CF9F4-CC27-4AB7-AB8E-9A7EA4BBD999}"/>
    <hyperlink ref="CB204" r:id="rId1158" xr:uid="{D62D20B3-E9E9-4E99-8A34-A60B3E4A33C4}"/>
    <hyperlink ref="CD204" r:id="rId1159" xr:uid="{D4E907B5-123F-42ED-902A-A15F75A42414}"/>
    <hyperlink ref="O205" r:id="rId1160" xr:uid="{4195B40D-CD5A-4875-8298-6A45953897B1}"/>
    <hyperlink ref="S205" r:id="rId1161" xr:uid="{238C1B53-ADF1-4D8B-A637-1D4E764A577B}"/>
    <hyperlink ref="CA205" r:id="rId1162" xr:uid="{851DD1C8-FDB0-4BEB-AEE5-67E7C5CEFB47}"/>
    <hyperlink ref="CB205" r:id="rId1163" xr:uid="{4904F3B6-D7E7-4765-A506-1BE792D2336D}"/>
    <hyperlink ref="CD205" r:id="rId1164" xr:uid="{32557C93-256D-4C61-BC0D-604F5368AC85}"/>
    <hyperlink ref="O206" r:id="rId1165" xr:uid="{E98B266A-2DE4-4F6E-9D91-3178D9F1D6D3}"/>
    <hyperlink ref="S206" r:id="rId1166" xr:uid="{9F7AB9A8-C8E0-48E9-9714-8D6763B5DF36}"/>
    <hyperlink ref="CA206" r:id="rId1167" xr:uid="{76D24C3D-732B-4E87-A2D8-03515AEF3FE3}"/>
    <hyperlink ref="CB206" r:id="rId1168" xr:uid="{91A9BFEC-C303-4D83-ADF9-3CF3E099D2E7}"/>
    <hyperlink ref="CD206" r:id="rId1169" xr:uid="{FC694AF0-4A3A-4C56-9620-909A1FD3BE26}"/>
    <hyperlink ref="O207" r:id="rId1170" xr:uid="{1CEF9256-35E4-49AB-B474-ED327A890D92}"/>
    <hyperlink ref="S207" r:id="rId1171" xr:uid="{5983B48D-23BB-4A54-8783-1363DF0CC61F}"/>
    <hyperlink ref="CA207" r:id="rId1172" xr:uid="{63F5318C-FD45-4534-9F1D-0F18AF2F258A}"/>
    <hyperlink ref="CB207" r:id="rId1173" xr:uid="{F59EAFC1-C027-4FF4-97E1-5D3ABBF5DC4F}"/>
    <hyperlink ref="CD207" r:id="rId1174" xr:uid="{56B3C8F7-6988-4487-A29A-0ACBB29A0BFE}"/>
    <hyperlink ref="O208" r:id="rId1175" xr:uid="{BEEB8CBF-B7B0-448E-B45C-F4719A633A62}"/>
    <hyperlink ref="S208" r:id="rId1176" xr:uid="{78E169B3-57D2-4495-8144-E858AB4A6F88}"/>
    <hyperlink ref="CA208" r:id="rId1177" xr:uid="{384C7CB8-A0D9-4803-ACC5-83239B498185}"/>
    <hyperlink ref="CB208" r:id="rId1178" xr:uid="{EBBE131C-6006-444E-959B-ED2E9D97B052}"/>
    <hyperlink ref="CD208" r:id="rId1179" xr:uid="{419484B4-844A-4312-90C5-332813285DF1}"/>
    <hyperlink ref="O209" r:id="rId1180" xr:uid="{856DD214-2B87-4263-8790-987DCBCC2673}"/>
    <hyperlink ref="S209" r:id="rId1181" xr:uid="{841F0BD5-F611-4AB5-AEC1-3A1D6F5FAA7C}"/>
    <hyperlink ref="CA209" r:id="rId1182" xr:uid="{C9366063-238D-4462-89C4-97C0A19EAE6B}"/>
    <hyperlink ref="CB209" r:id="rId1183" xr:uid="{7018A4F5-E8A2-461E-BA4D-16E4A3448254}"/>
    <hyperlink ref="CD209" r:id="rId1184" xr:uid="{73C9019C-B9FE-4808-88E6-52E335AE3DF2}"/>
    <hyperlink ref="O210" r:id="rId1185" xr:uid="{B7F58839-ADAE-42B0-9841-32C2BBE88C52}"/>
    <hyperlink ref="S210" r:id="rId1186" xr:uid="{05A1442D-DD32-4BB8-8E0B-5060FBFE9803}"/>
    <hyperlink ref="T210" r:id="rId1187" xr:uid="{6498C6E3-63DE-4FCC-8082-26320D07DAC1}"/>
    <hyperlink ref="CA210" r:id="rId1188" xr:uid="{9518A3FF-81B0-48AF-80FD-17896A090475}"/>
    <hyperlink ref="CB210" r:id="rId1189" xr:uid="{E15A29E3-256D-4871-A638-1645744F43D3}"/>
    <hyperlink ref="CD210" r:id="rId1190" xr:uid="{3372A735-5ECC-400F-A540-2D8FF6E561F3}"/>
    <hyperlink ref="O211" r:id="rId1191" xr:uid="{84F4FC19-5542-4B2E-BAC9-0652DDD97841}"/>
    <hyperlink ref="S211" r:id="rId1192" xr:uid="{ABCB203C-4FE6-41BF-BBF0-0B67133AACD9}"/>
    <hyperlink ref="CA211" r:id="rId1193" xr:uid="{A29EAA71-65AC-4718-8E4D-A9671B7F9F68}"/>
    <hyperlink ref="CB211" r:id="rId1194" xr:uid="{0B7F0295-FF6C-4BED-B6CC-6D3401D217D9}"/>
    <hyperlink ref="CD211" r:id="rId1195" xr:uid="{B57EDFD0-064A-4152-919D-4016B89350D8}"/>
    <hyperlink ref="O212" r:id="rId1196" xr:uid="{D10C00F6-9D2E-43E6-A508-4CF29D5412FB}"/>
    <hyperlink ref="S212" r:id="rId1197" xr:uid="{6D556A46-089B-4DF6-B6D3-6CA5A3F66229}"/>
    <hyperlink ref="CA212" r:id="rId1198" xr:uid="{79F0879C-910F-4B75-B9D9-49FE63899008}"/>
    <hyperlink ref="CB212" r:id="rId1199" xr:uid="{E4EE3345-0FF2-4E2F-9117-814BA8320ABA}"/>
    <hyperlink ref="CD212" r:id="rId1200" xr:uid="{D0D8F040-8A2B-49EB-986D-06A35CC93E64}"/>
    <hyperlink ref="O213" r:id="rId1201" xr:uid="{B94139B2-1324-4A38-BEAC-F356A4E6CAF9}"/>
    <hyperlink ref="S213" r:id="rId1202" xr:uid="{FA0C7676-11FB-4247-AA7A-EB5C0D385DFD}"/>
    <hyperlink ref="CA213" r:id="rId1203" xr:uid="{4ADE4766-0591-44D0-9A3B-D5B7C7EB65D7}"/>
    <hyperlink ref="CB213" r:id="rId1204" xr:uid="{6437BFDF-BE6D-4981-8451-1EBC4DB40FDD}"/>
    <hyperlink ref="CD213" r:id="rId1205" xr:uid="{E4F2178B-FDAD-45B8-AC74-C5DF15D534BD}"/>
    <hyperlink ref="O214" r:id="rId1206" xr:uid="{884835EB-D7BA-4D90-ACBD-700F2173717F}"/>
    <hyperlink ref="S214" r:id="rId1207" xr:uid="{8BD36211-CC69-43EC-9306-5A3B34745E97}"/>
    <hyperlink ref="T214" r:id="rId1208" xr:uid="{8C7DD30C-33FA-4F75-9DCF-1C4B8A1483C6}"/>
    <hyperlink ref="CA214" r:id="rId1209" xr:uid="{97F21715-8372-4D58-BBEE-78259A06F4D0}"/>
    <hyperlink ref="CB214" r:id="rId1210" xr:uid="{DDDAFAA5-C837-4AFE-90DE-8933A9958EAC}"/>
    <hyperlink ref="CD214" r:id="rId1211" xr:uid="{97CDB4C6-E163-4EDB-A513-71E260E17705}"/>
    <hyperlink ref="O215" r:id="rId1212" xr:uid="{63D250B2-27B0-43A0-A075-C01FE4332403}"/>
    <hyperlink ref="S215" r:id="rId1213" xr:uid="{8F01683E-2512-4D73-9D98-8EFA6AADD0BF}"/>
    <hyperlink ref="CA215" r:id="rId1214" xr:uid="{9162C21B-A4B0-4FDD-BC29-D386117AFC19}"/>
    <hyperlink ref="CB215" r:id="rId1215" xr:uid="{1F538F6A-2740-4AEE-BB68-FF9494CC8BA3}"/>
    <hyperlink ref="CD215" r:id="rId1216" xr:uid="{DA64EA4E-587B-4E45-AF46-132E74181018}"/>
    <hyperlink ref="O216" r:id="rId1217" xr:uid="{48D36262-DFBE-4497-A2EF-3919796E40ED}"/>
    <hyperlink ref="S216" r:id="rId1218" xr:uid="{C72F3573-9935-43C3-BA56-D3A40E76D37D}"/>
    <hyperlink ref="CA216" r:id="rId1219" xr:uid="{43B2E01C-2728-44CB-A30B-3B0F96D83C64}"/>
    <hyperlink ref="CB216" r:id="rId1220" xr:uid="{42784B12-E5F6-4DB8-99B4-973907CC657A}"/>
    <hyperlink ref="CD216" r:id="rId1221" xr:uid="{92636FAA-35BB-4F15-974C-566249FDE678}"/>
    <hyperlink ref="O217" r:id="rId1222" xr:uid="{7ADA0D14-CC60-4955-874E-068D65C2361E}"/>
    <hyperlink ref="S217" r:id="rId1223" xr:uid="{9EBE7615-643D-4E8F-BC97-39D9ACDC42C7}"/>
    <hyperlink ref="CA217" r:id="rId1224" xr:uid="{27D35B12-AD27-4F1C-88E3-334417A95D40}"/>
    <hyperlink ref="CB217" r:id="rId1225" xr:uid="{4C47535A-82FB-4360-9846-3253A6E90517}"/>
    <hyperlink ref="CD217" r:id="rId1226" xr:uid="{8A963ADA-6946-45A2-951B-52DF6F7CAA8D}"/>
    <hyperlink ref="O218" r:id="rId1227" xr:uid="{F3CC4766-7895-45C2-826A-2BD1B19F4C44}"/>
    <hyperlink ref="S218" r:id="rId1228" xr:uid="{88741FA8-5C19-43F3-8602-271A5B5D096A}"/>
    <hyperlink ref="CA218" r:id="rId1229" xr:uid="{CD56361D-63FA-4466-85A6-DA410F897235}"/>
    <hyperlink ref="CB218" r:id="rId1230" xr:uid="{FD6FC57B-2202-4CF5-928C-77966AE92BFE}"/>
    <hyperlink ref="CD218" r:id="rId1231" xr:uid="{1ACC9A46-0D5E-4D22-ACCC-2260EBAA3C87}"/>
    <hyperlink ref="O219" r:id="rId1232" xr:uid="{AE307B09-1988-4483-B685-251378E63945}"/>
    <hyperlink ref="S219" r:id="rId1233" xr:uid="{2977257E-5090-4477-B3F5-27B704261AA0}"/>
    <hyperlink ref="CA219" r:id="rId1234" xr:uid="{51A61CBE-88E5-4BDF-BDB2-0B4D3093F47E}"/>
    <hyperlink ref="CB219" r:id="rId1235" xr:uid="{2C0D3247-B605-4143-A949-F25ED662D704}"/>
    <hyperlink ref="CD219" r:id="rId1236" xr:uid="{530B6512-8C9D-49AE-920F-E01305A528ED}"/>
    <hyperlink ref="O220" r:id="rId1237" xr:uid="{5EE54A0C-8771-4F59-82FB-10C6DB9F52EE}"/>
    <hyperlink ref="S220" r:id="rId1238" xr:uid="{A02C5749-1BCD-40DB-9525-6ACB1503F09E}"/>
    <hyperlink ref="CA220" r:id="rId1239" xr:uid="{7CB00C33-2D6C-422F-A276-FBAB97F27B81}"/>
    <hyperlink ref="CB220" r:id="rId1240" xr:uid="{1A42C5DF-2CBC-451D-9DE6-7191A9A1984B}"/>
    <hyperlink ref="CD220" r:id="rId1241" xr:uid="{52930AEA-4FEC-4A0B-9F7D-8615E939282F}"/>
    <hyperlink ref="O221" r:id="rId1242" xr:uid="{43216FA4-1371-4263-BB2A-476E571DAFFD}"/>
    <hyperlink ref="S221" r:id="rId1243" xr:uid="{51C09932-E962-4E0F-ABDD-BB458628304E}"/>
    <hyperlink ref="CA221" r:id="rId1244" xr:uid="{921E035A-68B0-48C9-BFF0-16A595B4C502}"/>
    <hyperlink ref="CB221" r:id="rId1245" xr:uid="{289090D9-708F-4632-B041-ED640A0CB69D}"/>
    <hyperlink ref="CD221" r:id="rId1246" xr:uid="{9ABD3D2F-E06B-4435-9821-D1DF2C5A873D}"/>
    <hyperlink ref="O222" r:id="rId1247" xr:uid="{033408E1-A692-45EA-BBA4-515D27667982}"/>
    <hyperlink ref="S222" r:id="rId1248" xr:uid="{0D6F2E65-C7C8-4071-B7CE-31EE88280F92}"/>
    <hyperlink ref="CA222" r:id="rId1249" xr:uid="{E1AE70F1-D538-4508-AE9E-ABE420B1568C}"/>
    <hyperlink ref="CB222" r:id="rId1250" xr:uid="{B0F76147-35A0-4FA1-ADBF-7B3BC203CF8A}"/>
    <hyperlink ref="CD222" r:id="rId1251" xr:uid="{62F03FE6-F325-4B13-8662-AFBE47E5DF47}"/>
    <hyperlink ref="O223" r:id="rId1252" xr:uid="{5AF5DB5B-F3E0-46E1-9BE1-A913827CC4A4}"/>
    <hyperlink ref="S223" r:id="rId1253" xr:uid="{EB07C8CF-A21D-4BB0-9786-03831D6AE919}"/>
    <hyperlink ref="CA223" r:id="rId1254" xr:uid="{B9420632-B026-4DA7-824B-2E58CFAAF601}"/>
    <hyperlink ref="CB223" r:id="rId1255" xr:uid="{CF3164A9-44C4-4183-B828-BA404E42CDED}"/>
    <hyperlink ref="CD223" r:id="rId1256" xr:uid="{6B15E1E6-34BB-4E0B-B014-23CEA1F64B7C}"/>
    <hyperlink ref="O224" r:id="rId1257" xr:uid="{733EC3DE-5E81-4AC7-B0D6-A3719604C7E7}"/>
    <hyperlink ref="S224" r:id="rId1258" xr:uid="{63542188-E1BE-4CD5-8963-13AF7F39F4B2}"/>
    <hyperlink ref="CA224" r:id="rId1259" xr:uid="{F57D04AC-39D7-4E30-BB3A-F35FD5DAA6FD}"/>
    <hyperlink ref="CB224" r:id="rId1260" xr:uid="{FFC9768D-5E68-4A13-99CF-3DEEADC207D5}"/>
    <hyperlink ref="CD224" r:id="rId1261" xr:uid="{3AB2E056-A223-4816-9F82-A1ABBD28E254}"/>
    <hyperlink ref="O225" r:id="rId1262" xr:uid="{BB1D612F-EA03-4486-B125-D571F3F33D78}"/>
    <hyperlink ref="S225" r:id="rId1263" xr:uid="{84E085FD-C8B3-4AF6-8D78-A3551BF45E6E}"/>
    <hyperlink ref="CA225" r:id="rId1264" xr:uid="{206D5553-9BED-4174-BB83-7E6DF288EAE1}"/>
    <hyperlink ref="CB225" r:id="rId1265" xr:uid="{CBB3DA16-ECC4-477A-8688-9D461E5DA618}"/>
    <hyperlink ref="CD225" r:id="rId1266" xr:uid="{721DDB39-75F5-49BC-B147-8B0FF7BF0FBA}"/>
    <hyperlink ref="O226" r:id="rId1267" xr:uid="{B48AC92A-E20B-473D-A7AB-3318213C29E9}"/>
    <hyperlink ref="S226" r:id="rId1268" xr:uid="{B8AF4471-C68D-42D8-9C3E-5C81E4BF2AB7}"/>
    <hyperlink ref="CA226" r:id="rId1269" xr:uid="{45B09877-D449-4D70-A756-C14D6AAD0A61}"/>
    <hyperlink ref="CB226" r:id="rId1270" xr:uid="{AC1C4742-4ED6-4038-B261-E36173A0E88F}"/>
    <hyperlink ref="CD226" r:id="rId1271" xr:uid="{159146B6-E016-4FF1-9057-D84FC1E88682}"/>
    <hyperlink ref="CA242" r:id="rId1272" xr:uid="{8E62DE7F-35E2-4705-A3BC-4223AD849C81}"/>
    <hyperlink ref="CB242" r:id="rId1273" xr:uid="{DBCA8ED6-98B9-4098-AF8C-E7C1B54B7E07}"/>
    <hyperlink ref="O397" r:id="rId1274" xr:uid="{4D86213B-711D-4FAF-800D-5276BDBA7869}"/>
    <hyperlink ref="S397" r:id="rId1275" xr:uid="{0A9A31B8-D0BA-4567-A914-1A10F2076E81}"/>
    <hyperlink ref="CA397" r:id="rId1276" xr:uid="{055AB53E-29FF-4F89-BA16-2A0E3468EA23}"/>
    <hyperlink ref="O398" r:id="rId1277" xr:uid="{66DBC359-82B7-4404-8050-40AE831CAE26}"/>
    <hyperlink ref="S398" r:id="rId1278" xr:uid="{8A956AB8-7716-466E-AF8E-3E8CBD053564}"/>
    <hyperlink ref="CA398" r:id="rId1279" xr:uid="{E4F1B402-C6F2-4956-8597-60294AE41C97}"/>
    <hyperlink ref="CD398" r:id="rId1280" xr:uid="{66C84E3D-D5C1-4BFD-AAEC-D91A925A1C73}"/>
    <hyperlink ref="O399" r:id="rId1281" xr:uid="{235DF566-3661-46F0-AE70-7F6388DB4F18}"/>
    <hyperlink ref="S399" r:id="rId1282" xr:uid="{99181B70-B2B2-427F-8074-24BB6AFB0FC6}"/>
    <hyperlink ref="CA399" r:id="rId1283" xr:uid="{F5DE8122-B82F-4ADF-ABE8-9927A86CD314}"/>
    <hyperlink ref="CD399" r:id="rId1284" xr:uid="{8C9A2036-30B4-4A7B-8980-2D6BC54B0C7D}"/>
    <hyperlink ref="O400" r:id="rId1285" xr:uid="{34119CA8-A314-4B8F-AD1C-08C202D9F5FA}"/>
    <hyperlink ref="S400" r:id="rId1286" xr:uid="{4F27DB08-27F7-450C-85AB-2591E7309ED7}"/>
    <hyperlink ref="CA400" r:id="rId1287" xr:uid="{53372620-80BA-452D-9B35-76A881EFDBB9}"/>
    <hyperlink ref="CD400" r:id="rId1288" xr:uid="{E1D78F76-1E03-4496-9F19-FDBF8CB5279C}"/>
    <hyperlink ref="O401" r:id="rId1289" xr:uid="{BDD810E6-33CC-4CA5-B38C-67F5346F29ED}"/>
    <hyperlink ref="S401" r:id="rId1290" xr:uid="{36EE2034-AC7B-47F4-B752-FD4330A58242}"/>
    <hyperlink ref="CA401" r:id="rId1291" xr:uid="{26DD837C-1BAA-446A-936C-CEC3F76F4725}"/>
    <hyperlink ref="CD401" r:id="rId1292" xr:uid="{4118B41B-7BA7-4FF0-92BC-987E238C7102}"/>
    <hyperlink ref="O402" r:id="rId1293" xr:uid="{F94CFA52-E73B-4AF0-A1A3-CD373FECA3D3}"/>
    <hyperlink ref="S402" r:id="rId1294" xr:uid="{ABFF6989-C3A5-4837-B490-C266D24CC483}"/>
    <hyperlink ref="CA402" r:id="rId1295" xr:uid="{962B9411-D50E-4902-BF0F-067E5A8C98F8}"/>
    <hyperlink ref="O403" r:id="rId1296" xr:uid="{78AEC83C-6855-4A53-A311-3FCF3DD1F911}"/>
    <hyperlink ref="S403" r:id="rId1297" xr:uid="{083D2CAB-4023-4A1F-9721-4A4B7D39AB93}"/>
    <hyperlink ref="CA403" r:id="rId1298" xr:uid="{58505278-FEE7-402B-A9FE-96C8EDEE14E7}"/>
    <hyperlink ref="CD403" r:id="rId1299" xr:uid="{2543A896-A279-4CFB-82CA-69B95A91CAB2}"/>
    <hyperlink ref="O404" r:id="rId1300" xr:uid="{988E7E05-83FE-46C1-8E71-7A4F747371C6}"/>
    <hyperlink ref="S404" r:id="rId1301" xr:uid="{067A6515-5F73-4874-B131-148BB2FF8343}"/>
    <hyperlink ref="T404" r:id="rId1302" xr:uid="{8E5DC64D-BE1F-4E0C-9145-20C3A633A80D}"/>
    <hyperlink ref="CA404" r:id="rId1303" xr:uid="{3993C53B-0C78-4D02-80AB-07BC87AEE1BC}"/>
    <hyperlink ref="CB404" r:id="rId1304" xr:uid="{D57122D1-A75C-4A94-87C6-27EC958C4A0A}"/>
    <hyperlink ref="CD404" r:id="rId1305" xr:uid="{70513F5B-9880-4FED-A0BF-8FD454D81F80}"/>
    <hyperlink ref="O405" r:id="rId1306" xr:uid="{5BEF73D5-8710-4632-B7E7-3E8C421EA99D}"/>
    <hyperlink ref="S405" r:id="rId1307" xr:uid="{82FFB9CF-40BC-4044-B9A3-CC276D856748}"/>
    <hyperlink ref="T405" r:id="rId1308" xr:uid="{7108B2D8-36FD-491B-A986-5D3E06D80575}"/>
    <hyperlink ref="CA405" r:id="rId1309" xr:uid="{2F2BBCA9-24A8-47DE-AF17-B412E4E70B7B}"/>
    <hyperlink ref="CB405" r:id="rId1310" xr:uid="{73A664ED-00EF-4B17-9FFB-09637EE6F998}"/>
    <hyperlink ref="O406" r:id="rId1311" xr:uid="{AF0BD520-DAA7-422F-86CF-82C546FD18A0}"/>
    <hyperlink ref="S406" r:id="rId1312" xr:uid="{52D5E006-63E5-4922-AB13-546C0603857B}"/>
    <hyperlink ref="T406" r:id="rId1313" xr:uid="{4EA8C373-B071-4B61-8336-3DF6BFF3525F}"/>
    <hyperlink ref="CA406" r:id="rId1314" xr:uid="{6287FF17-2073-48C3-AB78-67DBF6050AF4}"/>
    <hyperlink ref="CB406" r:id="rId1315" xr:uid="{80130112-F990-43F3-A3B9-D188C8460647}"/>
    <hyperlink ref="CD406" r:id="rId1316" xr:uid="{068C8E2A-AE17-474A-B2B9-3B49CFB1A5B7}"/>
    <hyperlink ref="O407" r:id="rId1317" xr:uid="{7B275B49-56DD-4A30-9723-0BC25C327091}"/>
    <hyperlink ref="S407" r:id="rId1318" xr:uid="{862BC2FE-E039-42A3-99ED-7358CA48C17A}"/>
    <hyperlink ref="T407" r:id="rId1319" xr:uid="{56E81572-9BA3-4AFE-BC9E-AB169EDE00E3}"/>
    <hyperlink ref="CA407" r:id="rId1320" xr:uid="{DAAC181C-56A6-4C6C-9745-18AE0E2CB416}"/>
    <hyperlink ref="CB407" r:id="rId1321" xr:uid="{A2AC83AC-2C04-4284-9C45-2D0A4BEB0760}"/>
    <hyperlink ref="CD407" r:id="rId1322" xr:uid="{37F299FB-8933-441A-A5C4-D16F5C01E2C1}"/>
    <hyperlink ref="O408" r:id="rId1323" xr:uid="{8B56351B-E808-4184-81AA-FC7F6F10CCFF}"/>
    <hyperlink ref="S408" r:id="rId1324" xr:uid="{A875CB41-4C7E-453D-A3A4-5DBCEB4E3E0F}"/>
    <hyperlink ref="T408" r:id="rId1325" xr:uid="{A3F0DBCC-D26C-404B-B341-C30B0B001698}"/>
    <hyperlink ref="CA408" r:id="rId1326" xr:uid="{B1E0E873-2123-4D5A-BCFC-B53524A1321A}"/>
    <hyperlink ref="CB408" r:id="rId1327" xr:uid="{5B315B64-3FAA-45FD-A17F-207705BAC66B}"/>
    <hyperlink ref="CD408" r:id="rId1328" xr:uid="{AE967786-48CB-4FA3-92BE-C0E9EFD2DACC}"/>
    <hyperlink ref="O409" r:id="rId1329" xr:uid="{2BF5B967-07D3-4A51-BBEE-206238CF6C89}"/>
    <hyperlink ref="S409" r:id="rId1330" xr:uid="{5975283D-A3FC-47AA-82B9-B2882FB42879}"/>
    <hyperlink ref="T409" r:id="rId1331" xr:uid="{B315A864-83CF-4D92-972D-A4E32B6A3641}"/>
    <hyperlink ref="CA409" r:id="rId1332" xr:uid="{311BAC5D-2553-4850-9BB0-95CB49A8DAF3}"/>
    <hyperlink ref="CB409" r:id="rId1333" xr:uid="{63D34495-6C44-494C-894B-D2DCFF4F4F82}"/>
    <hyperlink ref="CD409" r:id="rId1334" xr:uid="{3EDAABA2-DC42-4DF5-A032-158F1E00ACC0}"/>
    <hyperlink ref="O410" r:id="rId1335" xr:uid="{B0492A0D-EB6F-4954-ACE3-3610E822FB0A}"/>
    <hyperlink ref="S410" r:id="rId1336" xr:uid="{7DE6F9BF-CAA6-4F3C-8F6C-D797C16C62B0}"/>
    <hyperlink ref="T410" r:id="rId1337" xr:uid="{6EE1A588-6B47-4ABE-A0A0-BF199E7E40B8}"/>
    <hyperlink ref="CA410" r:id="rId1338" xr:uid="{F5ACF67F-0CE1-41AE-82A2-9F37297CE6C0}"/>
    <hyperlink ref="CB410" r:id="rId1339" xr:uid="{38E1CCD9-562C-4CB6-ACA9-38AC8DB40C18}"/>
    <hyperlink ref="CD410" r:id="rId1340" xr:uid="{42BE52B1-6282-440E-A74D-14DF751D2B81}"/>
    <hyperlink ref="O411" r:id="rId1341" xr:uid="{32DBAC05-B81D-43C2-9552-296CD9F27EEF}"/>
    <hyperlink ref="S411" r:id="rId1342" xr:uid="{B2C97301-8CAB-4ED6-BA8E-A643F85243A6}"/>
    <hyperlink ref="T411" r:id="rId1343" xr:uid="{3AC31B85-7E23-4B32-B6F8-9ACB473E6535}"/>
    <hyperlink ref="CA411" r:id="rId1344" xr:uid="{80240BE4-A79E-4E30-B77B-58158F9B65ED}"/>
    <hyperlink ref="CB411" r:id="rId1345" xr:uid="{B3D450B8-5E44-4D99-A075-81A92566B81C}"/>
    <hyperlink ref="CD411" r:id="rId1346" xr:uid="{AB3E72A1-4989-4E42-886F-060CA80B3F17}"/>
    <hyperlink ref="O412" r:id="rId1347" xr:uid="{705087CE-5EF1-4593-9AA8-00CE64D39136}"/>
    <hyperlink ref="S412" r:id="rId1348" xr:uid="{A438E120-DDDE-41A4-9DDB-185E73DE4A2E}"/>
    <hyperlink ref="T412" r:id="rId1349" xr:uid="{F39FE79B-54F9-433B-AFDC-5178335F874B}"/>
    <hyperlink ref="CA412" r:id="rId1350" xr:uid="{BE6ADF7B-E324-4B22-9FE1-32A6F81DD2A9}"/>
    <hyperlink ref="CB412" r:id="rId1351" xr:uid="{D2F6AACC-AF2A-4ACD-8689-B1007F4B8215}"/>
    <hyperlink ref="O413" r:id="rId1352" xr:uid="{C29811F3-1EAA-4467-9BE2-B4B8F0454116}"/>
    <hyperlink ref="S413" r:id="rId1353" xr:uid="{BEC3D7AC-4A4B-43CD-BB95-2844A9092716}"/>
    <hyperlink ref="T413" r:id="rId1354" xr:uid="{5EEB6A51-262D-4754-AC61-FD701F467B32}"/>
    <hyperlink ref="CA413" r:id="rId1355" xr:uid="{F7EE4901-1039-4EE0-99EC-D751E89DAE5C}"/>
    <hyperlink ref="CB413" r:id="rId1356" xr:uid="{D45A4157-58DF-4EEF-949A-B1E03E31630A}"/>
    <hyperlink ref="CD413" r:id="rId1357" xr:uid="{7ED80B38-4090-4122-B1EF-2C2A901DD1F0}"/>
    <hyperlink ref="O414" r:id="rId1358" xr:uid="{1126440F-7426-45EC-B18D-7DDB62DA2873}"/>
    <hyperlink ref="S414" r:id="rId1359" xr:uid="{D5DAD6FB-351E-4203-B4A7-6292A554D839}"/>
    <hyperlink ref="T414" r:id="rId1360" xr:uid="{773D5960-EAC1-410C-BDC4-D1F068F97E7E}"/>
    <hyperlink ref="CA414" r:id="rId1361" xr:uid="{BC7D018A-021E-42BD-8ED2-AF8C264F75E8}"/>
    <hyperlink ref="CB414" r:id="rId1362" xr:uid="{F71936C6-6DF7-4C08-9137-6975D28BCF3A}"/>
    <hyperlink ref="CD414" r:id="rId1363" xr:uid="{2B10176F-0A72-4B84-B97B-6464FC50CBC7}"/>
    <hyperlink ref="O415" r:id="rId1364" xr:uid="{9E7D045E-EDA3-4179-B4F0-AD86E1225BF7}"/>
    <hyperlink ref="S415" r:id="rId1365" xr:uid="{AE29715D-8A62-4299-9EE3-E8C02E877F0D}"/>
    <hyperlink ref="T415" r:id="rId1366" xr:uid="{D7D2926C-7A03-4196-A3E7-808C3E2DFD94}"/>
    <hyperlink ref="CA415" r:id="rId1367" xr:uid="{E7EF1E94-3B73-45D6-AC68-399547461618}"/>
    <hyperlink ref="CB415" r:id="rId1368" xr:uid="{7FF67436-4A61-4443-AD79-5BDADA512180}"/>
    <hyperlink ref="CD415" r:id="rId1369" xr:uid="{78018BA7-CB42-408E-A4A9-F088167ECB30}"/>
    <hyperlink ref="O416" r:id="rId1370" xr:uid="{49A9D260-1DF2-42B0-A84E-9637CF0569F0}"/>
    <hyperlink ref="S416" r:id="rId1371" xr:uid="{0DD37508-C2E7-48E8-927B-3589A0F9D724}"/>
    <hyperlink ref="T416" r:id="rId1372" xr:uid="{EF06775B-6D6E-4691-B214-1CCE2F8D6DC9}"/>
    <hyperlink ref="CA416" r:id="rId1373" xr:uid="{CE02DF1C-6C60-427D-9143-8F9FB994BB32}"/>
    <hyperlink ref="CB416" r:id="rId1374" xr:uid="{E1C97317-F631-41F9-A582-39912CC5C861}"/>
    <hyperlink ref="CD416" r:id="rId1375" xr:uid="{59BFDADE-D20E-4CC3-863F-365AF4586AC9}"/>
    <hyperlink ref="O417" r:id="rId1376" xr:uid="{279A3C2B-35CC-469E-BE87-075E0CFF9FBF}"/>
    <hyperlink ref="S417" r:id="rId1377" xr:uid="{E87F35A8-B6EB-4A33-AB65-A263FA733295}"/>
    <hyperlink ref="T417" r:id="rId1378" xr:uid="{6A11889C-E04C-4449-A3D1-BB543E46395E}"/>
    <hyperlink ref="CA417" r:id="rId1379" xr:uid="{769FA792-E879-4BAA-B537-691D6746196E}"/>
    <hyperlink ref="CB417" r:id="rId1380" xr:uid="{F1C71776-34A0-476E-A3FE-F57182B9120C}"/>
    <hyperlink ref="CD417" r:id="rId1381" xr:uid="{9A79A441-8754-487D-8114-9C8121E26491}"/>
    <hyperlink ref="O418" r:id="rId1382" xr:uid="{E0D8A52B-3AE3-4A55-A367-23806C346DD3}"/>
    <hyperlink ref="S418" r:id="rId1383" xr:uid="{9E74A80F-3FA0-4C26-B13C-E2392C41D533}"/>
    <hyperlink ref="T418" r:id="rId1384" xr:uid="{58368815-BCFC-46D5-9C8B-7E8A388D8129}"/>
    <hyperlink ref="CA418" r:id="rId1385" xr:uid="{E22C6D44-8FD5-44B2-9B1A-EEEB1582C582}"/>
    <hyperlink ref="CB418" r:id="rId1386" xr:uid="{850D02B8-5FD7-4153-B429-121A8EEB613F}"/>
    <hyperlink ref="O419" r:id="rId1387" xr:uid="{46356F94-1601-4DA0-A36D-FBCB761E28EC}"/>
    <hyperlink ref="S419" r:id="rId1388" xr:uid="{1990A607-D200-4E92-9A39-BDCBF9CE4A39}"/>
    <hyperlink ref="BX419" r:id="rId1389" xr:uid="{4BE5C974-4E5E-447D-B160-4D5222CF450A}"/>
    <hyperlink ref="CA419" r:id="rId1390" xr:uid="{9B125E26-1955-45CD-BEE1-F98759715BD1}"/>
    <hyperlink ref="CD419" r:id="rId1391" xr:uid="{68601879-6049-4341-AB01-358020B5C6BF}"/>
    <hyperlink ref="O420" r:id="rId1392" xr:uid="{71CAED8F-6B7F-44DA-98F7-A9165ABBF360}"/>
    <hyperlink ref="S420" r:id="rId1393" xr:uid="{ECFE14E1-890D-4D4C-A3EA-4EC78AB27791}"/>
    <hyperlink ref="BX420" r:id="rId1394" xr:uid="{C3D84815-5148-44EB-83F5-B88FF7A01007}"/>
    <hyperlink ref="CA420" r:id="rId1395" xr:uid="{DF530412-A797-4528-B3B0-C3C6D758B596}"/>
    <hyperlink ref="CD420" r:id="rId1396" xr:uid="{34915458-7588-4B41-A15E-74B49A09D7BC}"/>
    <hyperlink ref="O421" r:id="rId1397" xr:uid="{D05A61B3-F64C-45AB-ABDD-D26ECCC8DA5F}"/>
    <hyperlink ref="S421" r:id="rId1398" xr:uid="{4BC9DC56-FF7F-47F2-9F5C-79876C19EFA7}"/>
    <hyperlink ref="CA421" r:id="rId1399" xr:uid="{00B62745-0A1A-47B3-ABEF-2860948F78BF}"/>
    <hyperlink ref="CD421" r:id="rId1400" xr:uid="{F74F53FA-7F85-4801-BF13-C9B96F38D4E7}"/>
    <hyperlink ref="O422" r:id="rId1401" xr:uid="{970FCE73-C207-4C30-873C-0ADA8A3A4F14}"/>
    <hyperlink ref="S422" r:id="rId1402" xr:uid="{C4741D98-6944-499A-A994-24CC441C0F7A}"/>
    <hyperlink ref="T422" r:id="rId1403" xr:uid="{9A65734F-B236-4C26-B9DC-5F482FA8BA0B}"/>
    <hyperlink ref="CA422" r:id="rId1404" xr:uid="{DAD9F96A-CEA0-491A-A5FE-FB3A866BDF78}"/>
    <hyperlink ref="CB422" r:id="rId1405" xr:uid="{6E9FC801-DF19-40E1-8F8A-DEA989C44E4F}"/>
    <hyperlink ref="CD422" r:id="rId1406" xr:uid="{52F97FBD-0FFA-4872-8EAB-94B72A2D5F1B}"/>
    <hyperlink ref="O423" r:id="rId1407" xr:uid="{2EE6638D-965C-42DE-852F-D8FF8237C05F}"/>
    <hyperlink ref="S423" r:id="rId1408" xr:uid="{90C3777C-AAF7-45B3-8644-C7CD3A9658CB}"/>
    <hyperlink ref="T423" r:id="rId1409" xr:uid="{CDC33B9A-A1AF-4165-9A25-6DED30952D1F}"/>
    <hyperlink ref="CA423" r:id="rId1410" xr:uid="{ADB3179A-2FF4-44BC-A71E-C56004913A58}"/>
    <hyperlink ref="CB423" r:id="rId1411" xr:uid="{087D37C3-E051-48AB-B7C5-9764AE197124}"/>
    <hyperlink ref="CD423" r:id="rId1412" xr:uid="{B1ED734B-62CC-4990-A9AD-F95FCC975958}"/>
    <hyperlink ref="O424" r:id="rId1413" xr:uid="{15073855-E79E-4D4C-BADD-20D15A555967}"/>
    <hyperlink ref="S424" r:id="rId1414" xr:uid="{23899987-0C6A-4E6E-B512-64E36D6D0271}"/>
    <hyperlink ref="T424" r:id="rId1415" xr:uid="{8D28C551-365B-41AA-9BD9-0F6A58FE2F2F}"/>
    <hyperlink ref="CA424" r:id="rId1416" xr:uid="{B2D8D3E7-C71B-4ADD-8CF4-13E444CE07F7}"/>
    <hyperlink ref="CB424" r:id="rId1417" xr:uid="{A656E187-72F5-450F-86EF-F7FBE1F4ACF5}"/>
    <hyperlink ref="O425" r:id="rId1418" xr:uid="{FE463FE0-B3DE-4491-B0BE-8709516BB7AA}"/>
    <hyperlink ref="S425" r:id="rId1419" xr:uid="{51150009-454D-473E-88E2-9EC5A43E57C3}"/>
    <hyperlink ref="T425" r:id="rId1420" xr:uid="{46EB6BA9-7185-49C4-9BF6-4E269F447F62}"/>
    <hyperlink ref="CA425" r:id="rId1421" xr:uid="{33CEC3DA-0C96-4750-BAF4-4FAD82EED320}"/>
    <hyperlink ref="CB425" r:id="rId1422" xr:uid="{DD7EAE4C-B4E1-4B55-96E0-0364ACE4A9F0}"/>
    <hyperlink ref="CD425" r:id="rId1423" xr:uid="{F44131A8-44B7-4C6A-9BA4-71B02EE906CC}"/>
    <hyperlink ref="O426" r:id="rId1424" xr:uid="{817FF6DC-0619-4B48-989C-34A232BC059A}"/>
    <hyperlink ref="S426" r:id="rId1425" xr:uid="{719C7400-4A7A-422C-9794-7B8B827999B3}"/>
    <hyperlink ref="T426" r:id="rId1426" xr:uid="{E4895C85-768C-4441-9286-ECC685DE0CAD}"/>
    <hyperlink ref="CA426" r:id="rId1427" xr:uid="{1888F0B8-2759-409E-BC3C-8384D1EA54D9}"/>
    <hyperlink ref="CB426" r:id="rId1428" xr:uid="{0CB92D36-049D-4C4B-9E9E-3293CF472351}"/>
    <hyperlink ref="CD426" r:id="rId1429" xr:uid="{8AD7577D-F920-4EA0-82AD-BF142BBD201F}"/>
    <hyperlink ref="O429" r:id="rId1430" xr:uid="{EEE4506D-C938-498A-94E6-67C65EB5DC99}"/>
    <hyperlink ref="S429" r:id="rId1431" xr:uid="{00837455-47AB-4E65-B9B1-7818B1FE1373}"/>
    <hyperlink ref="T429" r:id="rId1432" xr:uid="{E6647248-DA67-4CAB-93CB-61903DCC5C5D}"/>
    <hyperlink ref="CA429" r:id="rId1433" xr:uid="{E351997C-BB96-4CD5-A54D-95211AE17B85}"/>
    <hyperlink ref="CB429" r:id="rId1434" xr:uid="{6D513446-3109-48AF-8B9F-E25981BEC91B}"/>
    <hyperlink ref="CD429" r:id="rId1435" xr:uid="{C913CB51-730E-46E6-8256-CCF13B052B5B}"/>
    <hyperlink ref="O430" r:id="rId1436" xr:uid="{EA7A321C-8502-4CF2-9E31-34831D595DA7}"/>
    <hyperlink ref="S430" r:id="rId1437" xr:uid="{46340DEF-7926-4431-B421-3AD0FE333BE9}"/>
    <hyperlink ref="T430" r:id="rId1438" xr:uid="{47931938-1B77-476E-B624-F08D333DCF5A}"/>
    <hyperlink ref="BX430" r:id="rId1439" xr:uid="{4BBE4895-CED7-41F9-99F8-BBA0E3D14BCB}"/>
    <hyperlink ref="CA430" r:id="rId1440" xr:uid="{C14F08B4-2D3D-4202-8D43-1F70AE02654F}"/>
    <hyperlink ref="CB430" r:id="rId1441" xr:uid="{C70F1E86-9633-472E-9C92-B4C1CDFA1E53}"/>
    <hyperlink ref="CD430" r:id="rId1442" xr:uid="{67C9F94E-89DF-4D38-BA08-913D4B91B431}"/>
    <hyperlink ref="O431" r:id="rId1443" xr:uid="{B97A008C-9E88-4EBB-913A-8E40E9590CA0}"/>
    <hyperlink ref="S431" r:id="rId1444" xr:uid="{7EEB081A-41E8-4103-8973-A3D1B577BE97}"/>
    <hyperlink ref="T431" r:id="rId1445" xr:uid="{4A33644E-8178-4318-8689-25E5F95183D4}"/>
    <hyperlink ref="BX431" r:id="rId1446" xr:uid="{D24921DB-DB5A-4200-B4BE-947CA1EFE11B}"/>
    <hyperlink ref="CA431" r:id="rId1447" xr:uid="{73A7ACE3-4AEE-4EFD-8441-8445D932CA97}"/>
    <hyperlink ref="CB431" r:id="rId1448" xr:uid="{CD2A1586-CB26-4C04-B501-422252BCBB76}"/>
    <hyperlink ref="CD431" r:id="rId1449" xr:uid="{5EF3830D-61FE-4BF6-8CBD-AF9B4ED2E42A}"/>
    <hyperlink ref="O432" r:id="rId1450" xr:uid="{616AB918-2DA4-4E1E-9081-B1034352A6E9}"/>
    <hyperlink ref="S432" r:id="rId1451" xr:uid="{09CAEC4F-4934-4436-B82F-CED1CC3E2E37}"/>
    <hyperlink ref="CA432" r:id="rId1452" xr:uid="{4EB52ECF-F23C-426E-88C8-7B40F49F9718}"/>
    <hyperlink ref="O433" r:id="rId1453" xr:uid="{E66D998A-0CC9-48FF-B3AD-4BE9CD96721A}"/>
    <hyperlink ref="S433" r:id="rId1454" xr:uid="{1B106674-F866-4B2E-954C-6CCA5197D302}"/>
    <hyperlink ref="CA433" r:id="rId1455" xr:uid="{E98C6DB7-5FB2-463C-8DE6-2EC57796C58B}"/>
    <hyperlink ref="O434" r:id="rId1456" xr:uid="{C12EA9EE-84C7-4D2B-9D47-42B80AC8532C}"/>
    <hyperlink ref="S434" r:id="rId1457" xr:uid="{A2FA34CE-C14E-4886-B87D-C0294B13A573}"/>
    <hyperlink ref="CA434" r:id="rId1458" xr:uid="{09786FAC-0B69-4308-AEEA-70B338071E39}"/>
    <hyperlink ref="O435" r:id="rId1459" xr:uid="{57F07B34-404E-4969-997B-3E98650C5782}"/>
    <hyperlink ref="S435" r:id="rId1460" xr:uid="{291B44AA-611C-44D9-8938-99F5D103554C}"/>
    <hyperlink ref="CA435" r:id="rId1461" xr:uid="{765721EF-BB8B-471E-BDD7-15278BF1B3BC}"/>
    <hyperlink ref="O436" r:id="rId1462" xr:uid="{B47DB28C-F965-4833-BD2B-1E6E12246C54}"/>
    <hyperlink ref="R436" r:id="rId1463" xr:uid="{C49FA6B6-055D-411E-936D-B6CEADD41290}"/>
    <hyperlink ref="S436" r:id="rId1464" xr:uid="{01C6A148-15AE-414B-A473-C159AAECFD10}"/>
    <hyperlink ref="BX436" r:id="rId1465" xr:uid="{4EB19855-4A7D-487F-99A9-569871BEE29F}"/>
    <hyperlink ref="CA436" r:id="rId1466" xr:uid="{8442EBB3-0B3D-4A61-82D9-749B034D8289}"/>
    <hyperlink ref="CD436" r:id="rId1467" xr:uid="{85821CE5-56CE-4E58-9B70-E57A8A24A8CA}"/>
    <hyperlink ref="O437" r:id="rId1468" xr:uid="{55076199-F87C-4DA3-80F5-B715E26CE570}"/>
    <hyperlink ref="S437" r:id="rId1469" xr:uid="{FE57C743-7917-43B4-BC67-7A4F9BF2C127}"/>
    <hyperlink ref="BX437" r:id="rId1470" xr:uid="{C693B217-E1E7-4395-AA4A-24CF4FACA0D6}"/>
    <hyperlink ref="CA437" r:id="rId1471" xr:uid="{117EE075-15EF-47D1-B0CB-57AD39731242}"/>
    <hyperlink ref="CD437" r:id="rId1472" xr:uid="{2769D3F6-ED26-4203-A800-479FE09C4E5C}"/>
    <hyperlink ref="O438" r:id="rId1473" xr:uid="{52E083FB-A0BE-4B80-B883-A4339BAA92E9}"/>
    <hyperlink ref="S438" r:id="rId1474" xr:uid="{92F96711-52FD-47A9-95FB-7291556A6D1B}"/>
    <hyperlink ref="CA438" r:id="rId1475" xr:uid="{F98399AF-D414-46C5-967C-9434589B8E74}"/>
    <hyperlink ref="CD438" r:id="rId1476" xr:uid="{A82B6DDA-F3DE-4533-AB2C-77B490123E4D}"/>
    <hyperlink ref="O439" r:id="rId1477" xr:uid="{237C0392-7DB0-45ED-A6B8-772C6A0D69A7}"/>
    <hyperlink ref="R439" r:id="rId1478" xr:uid="{A340C2FB-33A0-4241-B16B-D71F17C25096}"/>
    <hyperlink ref="S439" r:id="rId1479" xr:uid="{BC39CEF3-649E-4318-BE59-D78998E93861}"/>
    <hyperlink ref="T439" r:id="rId1480" xr:uid="{6B32C6F4-4344-4FBD-A0EF-6B1B0A76ADDA}"/>
    <hyperlink ref="CA439" r:id="rId1481" xr:uid="{37C13DAD-C2FA-4365-8C48-C19DC3D1181B}"/>
    <hyperlink ref="CB439" r:id="rId1482" xr:uid="{F91C854F-0781-4CD7-82F3-97FBF3FA130F}"/>
    <hyperlink ref="CD439" r:id="rId1483" xr:uid="{C62C9AEE-7EA7-4998-9D4F-1952E0B6712D}"/>
    <hyperlink ref="O440" r:id="rId1484" xr:uid="{E1D2FB9D-4003-4019-859A-6DD673DCA858}"/>
    <hyperlink ref="S440" r:id="rId1485" xr:uid="{F8C7979E-8301-4A0B-98CD-F1490E52E036}"/>
    <hyperlink ref="T440" r:id="rId1486" xr:uid="{8B712234-9A02-4681-825C-451C2FB82447}"/>
    <hyperlink ref="BX440" r:id="rId1487" xr:uid="{DFE6C372-E9F3-46D2-B030-1D4E935BA18A}"/>
    <hyperlink ref="CA440" r:id="rId1488" xr:uid="{B33862AE-D84C-4807-AEC9-19661639AFF2}"/>
    <hyperlink ref="CB440" r:id="rId1489" xr:uid="{72C1EA61-D788-4BEA-BC90-8B0346F707EA}"/>
    <hyperlink ref="CD440" r:id="rId1490" xr:uid="{5CF62387-D694-4087-86A7-9919D4E27B4A}"/>
    <hyperlink ref="O441" r:id="rId1491" xr:uid="{C95FC61D-3917-45C3-8546-DA785FC53BDE}"/>
    <hyperlink ref="S441" r:id="rId1492" xr:uid="{E5730A15-952D-4EFB-B461-78465488448E}"/>
    <hyperlink ref="T441" r:id="rId1493" xr:uid="{3D419421-2CFE-4071-829D-328D56011EC7}"/>
    <hyperlink ref="BX441" r:id="rId1494" xr:uid="{7E7605A1-0AA8-4730-A342-9AE98FE9E58B}"/>
    <hyperlink ref="CA441" r:id="rId1495" xr:uid="{6DC6F6DF-A4A4-4C30-ADB1-6E58E702AC9D}"/>
    <hyperlink ref="CB441" r:id="rId1496" xr:uid="{13B0FFEA-F6B8-4E0F-9C74-40748AF48B79}"/>
    <hyperlink ref="CD441" r:id="rId1497" xr:uid="{5F374698-4553-4F74-852F-12B2FA00B261}"/>
    <hyperlink ref="O442" r:id="rId1498" xr:uid="{04EA2B41-552E-40D0-9901-A76DAD51A7CC}"/>
    <hyperlink ref="S442" r:id="rId1499" xr:uid="{561D9400-4D66-454D-B99B-8732232E19AB}"/>
    <hyperlink ref="CA442" r:id="rId1500" xr:uid="{96E86272-CB9B-4FDF-B434-0A4FE5C95542}"/>
    <hyperlink ref="CD442" r:id="rId1501" xr:uid="{470F935F-9E8A-4DF5-A292-15D71A24BA4F}"/>
    <hyperlink ref="O443" r:id="rId1502" xr:uid="{679A9CE4-FFEF-492A-AEB6-4F10E90EC48A}"/>
    <hyperlink ref="S443" r:id="rId1503" xr:uid="{67D24263-A765-4E19-A207-635C3E0327A1}"/>
    <hyperlink ref="CA443" r:id="rId1504" xr:uid="{A5A870CF-4156-4EF1-8F59-CC4F20602F4E}"/>
    <hyperlink ref="CD443" r:id="rId1505" xr:uid="{3E836964-7008-4B00-A5E8-338F6B494658}"/>
    <hyperlink ref="O444" r:id="rId1506" xr:uid="{94C42458-B885-4C23-950C-2DBBD985B381}"/>
    <hyperlink ref="S444" r:id="rId1507" xr:uid="{DA098110-FF6F-400D-90FE-A523699991E6}"/>
    <hyperlink ref="CA444" r:id="rId1508" xr:uid="{7E88576D-3794-4051-BF26-967CB6D49F1C}"/>
    <hyperlink ref="CD444" r:id="rId1509" xr:uid="{724ABF9E-E83C-4471-B9C2-16E22D65DAAD}"/>
    <hyperlink ref="O445" r:id="rId1510" xr:uid="{BC8D8442-9B5C-4C16-B9F7-85C85E47E924}"/>
    <hyperlink ref="S445" r:id="rId1511" xr:uid="{C24C021C-2652-4FFC-BCA1-D74AB26FCF36}"/>
    <hyperlink ref="CA445" r:id="rId1512" xr:uid="{C9F66B45-5293-4724-9989-FB973799D854}"/>
    <hyperlink ref="CD445" r:id="rId1513" xr:uid="{34B85BAD-8F23-45A4-A580-093AA6289E84}"/>
    <hyperlink ref="O446" r:id="rId1514" xr:uid="{A90795F9-6724-4913-80D0-9ADF155ECFA3}"/>
    <hyperlink ref="S446" r:id="rId1515" xr:uid="{D4127A22-5E7D-4562-BDD7-1011EE3B275D}"/>
    <hyperlink ref="T446" r:id="rId1516" xr:uid="{57834979-F3C3-4409-9A68-35059816573A}"/>
    <hyperlink ref="CA446" r:id="rId1517" xr:uid="{E124ABBC-9CD8-442B-9168-E32B6CB8C33A}"/>
    <hyperlink ref="CB446" r:id="rId1518" xr:uid="{176D975D-02EB-46E9-8B06-6DF2768AE23A}"/>
    <hyperlink ref="CD446" r:id="rId1519" xr:uid="{DDFD60BA-6858-4EA0-894D-820EB3D2BEA5}"/>
    <hyperlink ref="O447" r:id="rId1520" xr:uid="{96850815-D780-4606-8AD1-0CCD94F46C19}"/>
    <hyperlink ref="S447" r:id="rId1521" xr:uid="{C0475D5B-15B3-41F0-8E23-D868F8970BF0}"/>
    <hyperlink ref="T447" r:id="rId1522" xr:uid="{0674B8F3-8DC6-473E-8139-A05DF1E5AAF8}"/>
    <hyperlink ref="CA447" r:id="rId1523" xr:uid="{502D4702-4F86-4D80-8BB5-59DFE5BD550D}"/>
    <hyperlink ref="CB447" r:id="rId1524" xr:uid="{53500015-ABAF-4A8B-B2E8-378547A8CA5A}"/>
    <hyperlink ref="CD447" r:id="rId1525" xr:uid="{29DE2854-CEB0-4AE5-86D4-266F25EAEF55}"/>
    <hyperlink ref="O448" r:id="rId1526" xr:uid="{1CE1070D-CC36-45AC-80DA-DFA410B61F53}"/>
    <hyperlink ref="S448" r:id="rId1527" xr:uid="{C5C4C4B3-0BCD-4BA9-B41D-7AD4250A87F1}"/>
    <hyperlink ref="T448" r:id="rId1528" xr:uid="{F923BAE6-8AF0-40CE-A105-2F946252AD5E}"/>
    <hyperlink ref="CA448" r:id="rId1529" xr:uid="{9C34895E-11FD-4A54-A8D6-88F9DAE1A382}"/>
    <hyperlink ref="CB448" r:id="rId1530" xr:uid="{46078A6F-1C91-47FC-B157-7CFB17DB4FF9}"/>
    <hyperlink ref="CD448" r:id="rId1531" xr:uid="{14624408-9FF1-4621-81F3-406AE3AA4EC5}"/>
    <hyperlink ref="O449" r:id="rId1532" xr:uid="{0136EA7F-8601-4F32-86A8-A70A99B6DAA7}"/>
    <hyperlink ref="S449" r:id="rId1533" xr:uid="{3AD8C317-F2BD-4181-9A81-87C339B8CE86}"/>
    <hyperlink ref="T449" r:id="rId1534" xr:uid="{BF28E153-2ABA-48E4-8B18-9195B3AD4DA0}"/>
    <hyperlink ref="CA449" r:id="rId1535" xr:uid="{8667DDB6-4FCA-4440-B91B-E7F27073BB69}"/>
    <hyperlink ref="CB449" r:id="rId1536" xr:uid="{01CD8CB1-137F-4047-A303-5EF938D6EE4D}"/>
    <hyperlink ref="CD449" r:id="rId1537" xr:uid="{9B3F0644-3162-4FE0-8D1B-D9ADF603CB9A}"/>
    <hyperlink ref="O450" r:id="rId1538" xr:uid="{2AE96611-DFD4-4CC9-B093-D91E396B0A39}"/>
    <hyperlink ref="S450" r:id="rId1539" xr:uid="{6F808997-3CF4-4808-84E8-84B7AB4F0A82}"/>
    <hyperlink ref="T450" r:id="rId1540" xr:uid="{D7982FEC-72D7-4A41-BDF9-20EEDF6EFA86}"/>
    <hyperlink ref="CA450" r:id="rId1541" xr:uid="{FBDE2818-4B54-4942-BA13-A7853C6A683F}"/>
    <hyperlink ref="CB450" r:id="rId1542" xr:uid="{9F343C8E-7C47-4DC1-B5EA-92F16B871127}"/>
    <hyperlink ref="CD450" r:id="rId1543" xr:uid="{3A9623D7-32C7-45CE-9FB7-FD8EF0E5AD82}"/>
    <hyperlink ref="O451" r:id="rId1544" xr:uid="{CFA2B5E4-283F-461F-A2C4-DF06A6A6C2D0}"/>
    <hyperlink ref="S451" r:id="rId1545" xr:uid="{3CD1B9F9-358F-4F7B-8342-EA453E382B80}"/>
    <hyperlink ref="T451" r:id="rId1546" xr:uid="{8CE8A8CB-2232-4CE9-8B62-28EE607E4EC5}"/>
    <hyperlink ref="CA451" r:id="rId1547" xr:uid="{9672C22E-B553-4D74-AD45-AEB4B4D6EA5A}"/>
    <hyperlink ref="CB451" r:id="rId1548" xr:uid="{7F4B4834-8C1F-4A70-BF71-C832B5F6A57B}"/>
    <hyperlink ref="CD451" r:id="rId1549" xr:uid="{0633DE03-266B-47EB-A169-0FC977A93C58}"/>
    <hyperlink ref="O452" r:id="rId1550" xr:uid="{D858F193-F4D2-4515-941A-5ED652BFB201}"/>
    <hyperlink ref="S452" r:id="rId1551" xr:uid="{6C0E51E3-BAF1-4CE2-B608-8A84DA892440}"/>
    <hyperlink ref="T452" r:id="rId1552" xr:uid="{A0B88D78-F47F-4C27-8DEA-922F92D87ACF}"/>
    <hyperlink ref="CA452" r:id="rId1553" xr:uid="{EADD785C-9D2F-4539-881C-FC1D85AE0F00}"/>
    <hyperlink ref="CB452" r:id="rId1554" xr:uid="{BD290799-6B48-42FE-9354-85EB053F4F07}"/>
    <hyperlink ref="CD452" r:id="rId1555" xr:uid="{7DA0E726-5FEE-4011-B32C-09DBE9C0A979}"/>
    <hyperlink ref="O453" r:id="rId1556" xr:uid="{642FDC15-7DEB-4C14-A09A-1F78177C7E57}"/>
    <hyperlink ref="S453" r:id="rId1557" xr:uid="{A64E5060-8304-4782-B380-C5094CA25E5E}"/>
    <hyperlink ref="T453" r:id="rId1558" xr:uid="{96FEB6BF-7BF9-42C4-B49C-B8A4DEF73656}"/>
    <hyperlink ref="CA453" r:id="rId1559" xr:uid="{D426949F-9A05-4D77-AD8F-34935C3ABE21}"/>
    <hyperlink ref="CB453" r:id="rId1560" xr:uid="{7B495FF8-D560-4387-A3A7-4EA126AC803B}"/>
    <hyperlink ref="CD453" r:id="rId1561" xr:uid="{F545D958-86EB-4D7E-A4E2-439EE0D747B2}"/>
    <hyperlink ref="O454" r:id="rId1562" xr:uid="{FD5D65B9-80A5-4ED0-9A87-684A4971E984}"/>
    <hyperlink ref="S454" r:id="rId1563" xr:uid="{A45E6EC7-AF8D-4FE6-84ED-CDC2724361F1}"/>
    <hyperlink ref="T454" r:id="rId1564" xr:uid="{C143E5CD-E630-49D8-A784-1AE54F53B914}"/>
    <hyperlink ref="CA454" r:id="rId1565" xr:uid="{4062C06E-641A-4998-A0CF-C215DAA4729E}"/>
    <hyperlink ref="CB454" r:id="rId1566" xr:uid="{8C590B22-557C-4829-BF24-0F1026110E15}"/>
    <hyperlink ref="CD454" r:id="rId1567" xr:uid="{35512E66-2445-4033-BD8C-E294F84196DD}"/>
    <hyperlink ref="O455" r:id="rId1568" xr:uid="{DCB528AF-DF81-464E-993F-9100BE8C6624}"/>
    <hyperlink ref="S455" r:id="rId1569" xr:uid="{288BFCEB-ED56-4E36-AB8A-90D5AC1A69D4}"/>
    <hyperlink ref="T455" r:id="rId1570" xr:uid="{21F42828-46C9-462D-80B7-FC3B9758F0BC}"/>
    <hyperlink ref="CA455" r:id="rId1571" xr:uid="{2863D1B2-527C-4744-B867-DF0857004FCF}"/>
    <hyperlink ref="CB455" r:id="rId1572" xr:uid="{656405E2-9EA4-4ED7-B3BB-54637454D18B}"/>
    <hyperlink ref="CD455" r:id="rId1573" xr:uid="{CEC6CB09-AC78-4CF8-B03F-618729D80233}"/>
    <hyperlink ref="O456" r:id="rId1574" xr:uid="{BB22BBCF-F518-4991-BD61-9E4987A49B74}"/>
    <hyperlink ref="S456" r:id="rId1575" xr:uid="{C7E97FC1-2404-4E5A-A3DF-323D88453D21}"/>
    <hyperlink ref="T456" r:id="rId1576" xr:uid="{54161717-1526-49C2-BDCE-413F3A706F08}"/>
    <hyperlink ref="CA456" r:id="rId1577" xr:uid="{CE54943C-F8B1-447F-9A93-D72AE6086985}"/>
    <hyperlink ref="CB456" r:id="rId1578" xr:uid="{D0445C57-A70A-4417-80C6-882671CE8D54}"/>
    <hyperlink ref="CD456" r:id="rId1579" xr:uid="{955A7393-3B49-43CF-A306-8D6A835EFABB}"/>
    <hyperlink ref="O457" r:id="rId1580" xr:uid="{6F36B713-CE83-4B77-A014-9F6953080249}"/>
    <hyperlink ref="S457" r:id="rId1581" xr:uid="{25B4170E-D6EB-4E18-9EC9-DBC6FD6B8E4E}"/>
    <hyperlink ref="T457" r:id="rId1582" xr:uid="{A38B00FD-E4FA-433A-A28E-423BB3633F2A}"/>
    <hyperlink ref="CA457" r:id="rId1583" xr:uid="{4493B9A7-45C8-4CB6-BB52-AACB56B4F935}"/>
    <hyperlink ref="CB457" r:id="rId1584" xr:uid="{DF8DC5BF-F997-4C76-AEAA-16A6F7FA4C3E}"/>
    <hyperlink ref="CD457" r:id="rId1585" xr:uid="{6D8935CA-F476-4406-B23F-5F9804A23C6E}"/>
    <hyperlink ref="O458" r:id="rId1586" xr:uid="{B86892CA-017C-43F9-A68D-DF5136AA1C2B}"/>
    <hyperlink ref="S458" r:id="rId1587" xr:uid="{DD528BAE-10D7-4E42-AE7D-8639D5FA7997}"/>
    <hyperlink ref="T458" r:id="rId1588" xr:uid="{524E038B-2144-4E89-9A43-8FB7B63E9AAF}"/>
    <hyperlink ref="CA458" r:id="rId1589" xr:uid="{182085BC-5E2F-4009-962F-D14CB32D66CF}"/>
    <hyperlink ref="CB458" r:id="rId1590" xr:uid="{7FBE1CF0-DB15-47D0-BF46-8E035684AD5B}"/>
    <hyperlink ref="CD458" r:id="rId1591" xr:uid="{0C500E32-AC7A-4BBB-92A7-3CD6B818424D}"/>
    <hyperlink ref="O459" r:id="rId1592" xr:uid="{81D2DBCE-BFA5-47CE-B6E7-2EA339B9F493}"/>
    <hyperlink ref="S459" r:id="rId1593" xr:uid="{855D8077-8EED-4A8C-AE9C-FC545CCBB5EB}"/>
    <hyperlink ref="T459" r:id="rId1594" xr:uid="{7DE33360-DD88-4E39-8F02-E8C13079F31A}"/>
    <hyperlink ref="CA459" r:id="rId1595" xr:uid="{FCEEA5AC-689A-4094-930A-F68CB7831A30}"/>
    <hyperlink ref="CB459" r:id="rId1596" xr:uid="{2BCE7F6F-B178-4B7F-A012-4DAD7CF48DB1}"/>
    <hyperlink ref="CD459" r:id="rId1597" xr:uid="{C12AC691-06CD-48EF-BE9A-962EFD09CE66}"/>
    <hyperlink ref="O460" r:id="rId1598" xr:uid="{C4B0D502-FCC9-4EC2-861C-9C4E3A33C679}"/>
    <hyperlink ref="S460" r:id="rId1599" xr:uid="{F7693157-FC19-4CFE-92BF-D00A8E6B4103}"/>
    <hyperlink ref="T460" r:id="rId1600" xr:uid="{2F1A9981-45F6-47A9-A804-B46584440EA6}"/>
    <hyperlink ref="CA460" r:id="rId1601" xr:uid="{7787FC4A-ED2D-4A26-BA48-1E008905BB84}"/>
    <hyperlink ref="CB460" r:id="rId1602" xr:uid="{F69D4248-B6DB-4732-855F-00CD4C65CD9D}"/>
    <hyperlink ref="CD460" r:id="rId1603" xr:uid="{B29A8FDE-9F01-43D6-8BAB-9D4B4D1B1EC3}"/>
    <hyperlink ref="O461" r:id="rId1604" xr:uid="{1EA5845C-7ADD-41A9-A464-B8B0CDBD16B3}"/>
    <hyperlink ref="S461" r:id="rId1605" xr:uid="{3318E051-4AEB-4495-9336-13EA99EECFC0}"/>
    <hyperlink ref="T461" r:id="rId1606" xr:uid="{C5A58E86-5A80-456E-B00F-611DBE1DB3B0}"/>
    <hyperlink ref="CA461" r:id="rId1607" xr:uid="{F342C117-2DA2-4316-B52F-F4129D874E13}"/>
    <hyperlink ref="CB461" r:id="rId1608" xr:uid="{85D003A8-5804-48D4-9D0F-4B945A1098BB}"/>
    <hyperlink ref="CD461" r:id="rId1609" xr:uid="{803E33E6-14DD-409E-ACB7-B601B26CE86D}"/>
    <hyperlink ref="O462" r:id="rId1610" xr:uid="{09424FEF-2D6F-44EA-ACEA-722D30ED3C10}"/>
    <hyperlink ref="S462" r:id="rId1611" xr:uid="{DFDD1133-4C84-445C-9008-943315A77278}"/>
    <hyperlink ref="T462" r:id="rId1612" xr:uid="{49DFFAC0-D9EB-48BE-A8B8-249B90878793}"/>
    <hyperlink ref="CA462" r:id="rId1613" xr:uid="{C84C56BF-7C45-41AB-B5D3-96D9221E1FA8}"/>
    <hyperlink ref="CB462" r:id="rId1614" xr:uid="{FDDC7E9D-C337-4B6F-8765-7309C7CC0198}"/>
    <hyperlink ref="CD462" r:id="rId1615" xr:uid="{B9E3DC01-C336-4A16-90F0-CEF00ECE03AA}"/>
    <hyperlink ref="O463" r:id="rId1616" xr:uid="{0CF61B00-AE0A-4E24-AD87-DAEDA5FE89FF}"/>
    <hyperlink ref="S463" r:id="rId1617" xr:uid="{FF07F545-C1A5-4C5E-B920-A1949E29EC69}"/>
    <hyperlink ref="T463" r:id="rId1618" xr:uid="{18D65FF7-FFC8-407C-B5EA-EC5E0BA3C0FB}"/>
    <hyperlink ref="CA463" r:id="rId1619" xr:uid="{19CC8B4B-3E37-45FE-A507-F5849DC4CE89}"/>
    <hyperlink ref="CB463" r:id="rId1620" xr:uid="{D373A14F-DEF6-440D-B42A-1393E2440629}"/>
    <hyperlink ref="CD463" r:id="rId1621" xr:uid="{4D06D3BC-A5E9-4B33-84BF-04025AADAF62}"/>
    <hyperlink ref="O464" r:id="rId1622" xr:uid="{2F0B8D8D-44D4-4290-B355-06AB3E7F6772}"/>
    <hyperlink ref="S464" r:id="rId1623" xr:uid="{064F7F12-5697-4537-B8F6-E29AFDC4181F}"/>
    <hyperlink ref="T464" r:id="rId1624" xr:uid="{90D67816-4D1E-44A2-B65C-A04FC5C4FC85}"/>
    <hyperlink ref="CA464" r:id="rId1625" xr:uid="{9D6354EC-09EA-4E85-B99F-588DB1FA2A45}"/>
    <hyperlink ref="CB464" r:id="rId1626" xr:uid="{57903FC7-3864-41A3-B100-29F0912C60DF}"/>
    <hyperlink ref="CD464" r:id="rId1627" xr:uid="{A428C27F-8A7B-4F80-8E76-880A894B2D4B}"/>
    <hyperlink ref="O465" r:id="rId1628" xr:uid="{0E9831F2-ACB7-490F-AF8B-02A57E083D7E}"/>
    <hyperlink ref="S465" r:id="rId1629" xr:uid="{DD8A346A-9FC8-4AE7-9B35-87CB9CC82F37}"/>
    <hyperlink ref="T465" r:id="rId1630" xr:uid="{902BBB59-8460-4F14-8CB0-9A3E5A6B625E}"/>
    <hyperlink ref="CA465" r:id="rId1631" xr:uid="{2BF1BA49-8922-4DBA-AF6B-E6BBDD362F43}"/>
    <hyperlink ref="CB465" r:id="rId1632" xr:uid="{C35C5E71-5510-4F69-B89E-3AAFED5032F5}"/>
    <hyperlink ref="CD465" r:id="rId1633" xr:uid="{D3274F37-4E56-4DF9-A42B-FDC06B239A13}"/>
    <hyperlink ref="O466" r:id="rId1634" xr:uid="{EF3453DD-B609-47A2-A1FF-1663B152B658}"/>
    <hyperlink ref="S466" r:id="rId1635" xr:uid="{9BB36DC2-D0DC-49C0-9874-1B2EDD65EFCD}"/>
    <hyperlink ref="T466" r:id="rId1636" xr:uid="{52437EA8-35AC-4D58-B008-AA434ECB3E3A}"/>
    <hyperlink ref="CA466" r:id="rId1637" xr:uid="{9E451194-4B1A-43E8-A9C4-7632C2ECB05D}"/>
    <hyperlink ref="CB466" r:id="rId1638" xr:uid="{B43B0D92-CACB-4A5E-9690-3EBCB59D60B2}"/>
    <hyperlink ref="CD466" r:id="rId1639" xr:uid="{65DE5B87-03D7-4586-A60B-D0590AE761DB}"/>
    <hyperlink ref="O467" r:id="rId1640" xr:uid="{006435E5-1EB4-48C7-A541-3310FDDDB4CF}"/>
    <hyperlink ref="S467" r:id="rId1641" xr:uid="{54ED4B8B-0AFB-4D46-9257-7F6B503C941D}"/>
    <hyperlink ref="T467" r:id="rId1642" xr:uid="{8ECD0171-1E97-4FAA-B752-10F899E3F0D0}"/>
    <hyperlink ref="CA467" r:id="rId1643" xr:uid="{3378A3A5-8EEB-4302-A8B0-60768E4E0152}"/>
    <hyperlink ref="CB467" r:id="rId1644" xr:uid="{63E0C163-8638-4765-9662-9286B3D816C3}"/>
    <hyperlink ref="CD467" r:id="rId1645" xr:uid="{B84ABD4A-BC40-4241-A66E-28FE17422208}"/>
    <hyperlink ref="O468" r:id="rId1646" xr:uid="{1BC39406-5764-42C0-A821-2411D9A5A303}"/>
    <hyperlink ref="S468" r:id="rId1647" xr:uid="{0A358D24-84C7-49DC-811F-94041B9BC620}"/>
    <hyperlink ref="T468" r:id="rId1648" xr:uid="{658DB863-7FED-4D24-A8CD-FE6126E0E55E}"/>
    <hyperlink ref="CA468" r:id="rId1649" xr:uid="{44A4B5C2-F121-45B5-9EAB-DF0E2C69CC03}"/>
    <hyperlink ref="CB468" r:id="rId1650" xr:uid="{EDE9CAE0-FA76-4D6B-BA68-2CC8D971A28A}"/>
    <hyperlink ref="CD468" r:id="rId1651" xr:uid="{3E8345AA-CE1F-4821-A565-CCE853AD7806}"/>
    <hyperlink ref="O469" r:id="rId1652" xr:uid="{8AB9A14A-C82C-4A57-8530-52EE457CF555}"/>
    <hyperlink ref="S469" r:id="rId1653" xr:uid="{5D195C22-1854-4CCA-A3B7-27500E21FFD8}"/>
    <hyperlink ref="T469" r:id="rId1654" xr:uid="{BB16E206-025A-42B9-B956-DD1A77E4785C}"/>
    <hyperlink ref="CA469" r:id="rId1655" xr:uid="{37A4A6B6-8F3F-43D2-8449-E800398E08AE}"/>
    <hyperlink ref="CB469" r:id="rId1656" xr:uid="{296A753F-164F-4A0F-842F-19B4CF4DC327}"/>
    <hyperlink ref="CD469" r:id="rId1657" xr:uid="{5EE98E8C-2684-47EE-A9A7-D6E1382770FE}"/>
    <hyperlink ref="O470" r:id="rId1658" xr:uid="{CA9A0407-7CC8-45E3-BAB6-C3A13E5DEAC3}"/>
    <hyperlink ref="S470" r:id="rId1659" xr:uid="{F7FAE1B8-9A3A-4F67-9F22-7530484E224F}"/>
    <hyperlink ref="T470" r:id="rId1660" xr:uid="{F85BF684-2616-40B5-8430-2B5C66DA98C2}"/>
    <hyperlink ref="CA470" r:id="rId1661" xr:uid="{AC1E8B2C-631E-4D05-A706-AA26A0AD2269}"/>
    <hyperlink ref="CB470" r:id="rId1662" xr:uid="{146B2C10-B4FE-4D64-8630-72E05AEDB6C5}"/>
    <hyperlink ref="CD470" r:id="rId1663" xr:uid="{E71177C2-0BF2-4A59-B2A0-04EE0FFF07E3}"/>
    <hyperlink ref="O471" r:id="rId1664" xr:uid="{D41E4A72-2340-47DA-9EB6-509449598C91}"/>
    <hyperlink ref="S471" r:id="rId1665" xr:uid="{25973EBA-9E6E-472D-AA29-61FF718AE185}"/>
    <hyperlink ref="T471" r:id="rId1666" xr:uid="{825F0BFD-0B9B-4022-8C86-79A062FF0BF7}"/>
    <hyperlink ref="CA471" r:id="rId1667" xr:uid="{2A62E4EF-6E1F-44F4-BE4F-ED78C5054FB9}"/>
    <hyperlink ref="CB471" r:id="rId1668" xr:uid="{F6F770B0-9DF1-46CB-8B32-21E3B4A3C5D5}"/>
    <hyperlink ref="CD471" r:id="rId1669" xr:uid="{8BEF8203-30F2-4FF2-9D3C-3E63E29425AB}"/>
    <hyperlink ref="O472" r:id="rId1670" xr:uid="{6976673D-0020-4309-BEA9-E838BA8E325E}"/>
    <hyperlink ref="S472" r:id="rId1671" xr:uid="{00DAFB0E-A44F-4BC1-80BC-AD745283AC2F}"/>
    <hyperlink ref="T472" r:id="rId1672" xr:uid="{07EE434C-C6C4-4568-93EB-4EE074229961}"/>
    <hyperlink ref="CA472" r:id="rId1673" xr:uid="{34AD523C-5967-4B66-9ED2-8E15387EA839}"/>
    <hyperlink ref="CB472" r:id="rId1674" xr:uid="{08677CF8-5759-46F0-BB67-42EC51C5290A}"/>
    <hyperlink ref="CD472" r:id="rId1675" xr:uid="{10C7DB33-5E00-45A6-BFE8-E52BEC5D863B}"/>
    <hyperlink ref="O473" r:id="rId1676" xr:uid="{6BEDBD2F-2177-463D-8567-1E16999BD99E}"/>
    <hyperlink ref="S473" r:id="rId1677" xr:uid="{D91F1A3B-4796-4FC0-BA97-B1DB430175ED}"/>
    <hyperlink ref="T473" r:id="rId1678" xr:uid="{1FB2291D-0BF7-4D51-BF79-20279D470684}"/>
    <hyperlink ref="CA473" r:id="rId1679" xr:uid="{D58A351D-55EE-4E3A-AB96-9637628CEE67}"/>
    <hyperlink ref="CB473" r:id="rId1680" xr:uid="{F084D8D1-8242-49A3-BAC2-0C9DBD8D3850}"/>
    <hyperlink ref="CD473" r:id="rId1681" xr:uid="{B44561B9-DC64-4A03-ACD7-AF3E2B45C09F}"/>
    <hyperlink ref="O474" r:id="rId1682" xr:uid="{71D5196C-D340-4BF0-8435-C2F9D76FAFE4}"/>
    <hyperlink ref="S474" r:id="rId1683" xr:uid="{E7FF6C50-BCBD-45F0-9FC0-3D407D9876D0}"/>
    <hyperlink ref="T474" r:id="rId1684" xr:uid="{E78A6C0A-FF05-478F-B988-94CFEAF28F50}"/>
    <hyperlink ref="CA474" r:id="rId1685" xr:uid="{C5F06803-0EC6-429B-8A14-340AB9E3E40E}"/>
    <hyperlink ref="CB474" r:id="rId1686" xr:uid="{5C819D08-D787-4FB0-9EEE-7049AA753D28}"/>
    <hyperlink ref="CD474" r:id="rId1687" xr:uid="{5D876A8B-A5A9-4C9E-AD12-84111D758124}"/>
    <hyperlink ref="O475" r:id="rId1688" xr:uid="{03753A8A-251B-4083-AF7E-EE86F1897244}"/>
    <hyperlink ref="S475" r:id="rId1689" xr:uid="{46A61FD7-5430-49DF-874F-F20AAC3AB586}"/>
    <hyperlink ref="T475" r:id="rId1690" xr:uid="{398FC3B0-1E8C-4F1C-B307-F90B553D14CA}"/>
    <hyperlink ref="CA475" r:id="rId1691" xr:uid="{A0F6F257-E1AF-4509-A7D8-E5B9F76FE96A}"/>
    <hyperlink ref="CB475" r:id="rId1692" xr:uid="{45E75707-384A-47A3-B14C-F7F3EA09BFA5}"/>
    <hyperlink ref="CD475" r:id="rId1693" xr:uid="{94E9C9C4-2813-4A54-A892-1390CA6C261E}"/>
    <hyperlink ref="O476" r:id="rId1694" xr:uid="{C3C408E0-1F62-4F6A-8AB7-25CDF12D1F34}"/>
    <hyperlink ref="S476" r:id="rId1695" xr:uid="{F84C4778-E34F-4609-9813-2F53870F0D74}"/>
    <hyperlink ref="T476" r:id="rId1696" xr:uid="{1D533FAD-C085-4D6B-B430-EDD3B45525F5}"/>
    <hyperlink ref="CA476" r:id="rId1697" xr:uid="{CBE1AE33-73ED-4C77-8932-31913134DA08}"/>
    <hyperlink ref="CB476" r:id="rId1698" xr:uid="{EAD7AAF3-8182-4D0B-83AE-3A5343E5E5EF}"/>
    <hyperlink ref="CD476" r:id="rId1699" xr:uid="{7E662667-A3F0-4BCA-9869-09F08770BC3F}"/>
    <hyperlink ref="O477" r:id="rId1700" xr:uid="{F4207FE0-C327-45D3-9705-A9B6970A8651}"/>
    <hyperlink ref="S477" r:id="rId1701" xr:uid="{7524CE9C-4E91-4F86-8C05-62C0AAE99E03}"/>
    <hyperlink ref="T477" r:id="rId1702" xr:uid="{F61DB9D7-64A3-4E7E-BD91-5DBF2250616E}"/>
    <hyperlink ref="CA477" r:id="rId1703" xr:uid="{AA21D61E-4E69-4F03-8BED-80D812AE847C}"/>
    <hyperlink ref="CB477" r:id="rId1704" xr:uid="{9CE04C6E-2A9C-43E4-B835-7D0B8307D870}"/>
    <hyperlink ref="CD477" r:id="rId1705" xr:uid="{5FCBEA03-1B2E-4128-9E01-A59B55FABA21}"/>
    <hyperlink ref="O478" r:id="rId1706" xr:uid="{C0A1EE03-72C7-417D-B968-47C388CDA79C}"/>
    <hyperlink ref="S478" r:id="rId1707" xr:uid="{5088F8A2-F033-4B10-973F-05961B770535}"/>
    <hyperlink ref="T478" r:id="rId1708" xr:uid="{DF1F96E3-897B-47C7-A784-500EBD035FC3}"/>
    <hyperlink ref="CA478" r:id="rId1709" xr:uid="{5E096317-2A01-4372-890E-473B1B4E025B}"/>
    <hyperlink ref="CB478" r:id="rId1710" xr:uid="{DFBA1FC9-F779-4C6C-9B4E-A39FA6258985}"/>
    <hyperlink ref="CD478" r:id="rId1711" xr:uid="{619C58B2-94E6-482D-A601-79DAB728069B}"/>
    <hyperlink ref="O479" r:id="rId1712" xr:uid="{76FBFDAF-FC2C-43C7-B3E8-FC933ED1E0C1}"/>
    <hyperlink ref="S479" r:id="rId1713" xr:uid="{446AFEE6-3153-45BB-9A7C-E244530DB35C}"/>
    <hyperlink ref="T479" r:id="rId1714" xr:uid="{80E6F9A1-7963-4547-8D14-D95D0214859D}"/>
    <hyperlink ref="CA479" r:id="rId1715" xr:uid="{2625B0E1-664D-4340-AA29-6046134C97AB}"/>
    <hyperlink ref="CB479" r:id="rId1716" xr:uid="{0492BC81-EA43-4737-AE2B-EF29A4495B74}"/>
    <hyperlink ref="CD479" r:id="rId1717" xr:uid="{227BA0FD-1D4E-494A-B625-ED2E662E5837}"/>
    <hyperlink ref="O480" r:id="rId1718" xr:uid="{5BA65D1C-5D1A-4438-9709-AFBAD2D19BCB}"/>
    <hyperlink ref="S480" r:id="rId1719" xr:uid="{8187C967-EDC6-478D-9346-20CB45D45A10}"/>
    <hyperlink ref="T480" r:id="rId1720" xr:uid="{AFDBE0F2-323B-4D68-ACA4-95563C1D7E6B}"/>
    <hyperlink ref="CA480" r:id="rId1721" xr:uid="{0BEF148C-1240-4D0A-BD63-A62C95DC5A72}"/>
    <hyperlink ref="CB480" r:id="rId1722" xr:uid="{B981916F-ECFA-43BD-99A2-784CFBE13A01}"/>
    <hyperlink ref="CD480" r:id="rId1723" xr:uid="{03358DF0-873F-4A09-8984-42417239CFEB}"/>
    <hyperlink ref="O481" r:id="rId1724" xr:uid="{94E81259-9756-4C2F-912D-B3D9D297DA2C}"/>
    <hyperlink ref="S481" r:id="rId1725" xr:uid="{313113B2-BC7C-49DF-ABAA-B2E16FE2931B}"/>
    <hyperlink ref="T481" r:id="rId1726" xr:uid="{1232B553-F3F5-4E65-B3E0-04F21CC65601}"/>
    <hyperlink ref="CA481" r:id="rId1727" xr:uid="{5D897D4C-5ADA-40F7-8BA6-2B8C5F5C40BD}"/>
    <hyperlink ref="CB481" r:id="rId1728" xr:uid="{DF99F4A1-DCDE-4AA8-826C-914DB71E5B11}"/>
    <hyperlink ref="CD481" r:id="rId1729" xr:uid="{6348A2FD-2EFF-4362-B401-7BADA9841613}"/>
    <hyperlink ref="O482" r:id="rId1730" xr:uid="{3C410142-1AC1-409D-882E-622D0EA1A21A}"/>
    <hyperlink ref="S482" r:id="rId1731" xr:uid="{9D0B3BFF-B968-4EDD-B2D9-7255DA7BD4BA}"/>
    <hyperlink ref="T482" r:id="rId1732" xr:uid="{4D12B032-17A9-4E98-82D0-92FCA97C45E1}"/>
    <hyperlink ref="CA482" r:id="rId1733" xr:uid="{4AA8C5FB-8712-4570-B8C5-EECAA4712410}"/>
    <hyperlink ref="CB482" r:id="rId1734" xr:uid="{475509A2-7864-490E-846D-C39FA70135BF}"/>
    <hyperlink ref="CD482" r:id="rId1735" xr:uid="{9AF7FB10-BD79-43E3-81B0-6B196B23FD03}"/>
    <hyperlink ref="O483" r:id="rId1736" xr:uid="{6C6DEE34-B5CD-47F1-886D-A759C4A9978F}"/>
    <hyperlink ref="S483" r:id="rId1737" xr:uid="{0FFC7E7E-24A6-468C-B81D-0B76AB43A09E}"/>
    <hyperlink ref="T483" r:id="rId1738" xr:uid="{E2491DEC-E74F-4986-8AB6-0FBDC520F71A}"/>
    <hyperlink ref="CA483" r:id="rId1739" xr:uid="{EE54A373-45FD-4296-BD77-205CC6C03E5D}"/>
    <hyperlink ref="CB483" r:id="rId1740" xr:uid="{F29329DE-88DB-4115-A41D-98A43849E3C3}"/>
    <hyperlink ref="CD483" r:id="rId1741" xr:uid="{13DAEF76-9ACC-4AE3-A90A-B56DA738304D}"/>
    <hyperlink ref="O484" r:id="rId1742" xr:uid="{63BDC233-CD0B-4E5D-BBA7-8608A8510586}"/>
    <hyperlink ref="S484" r:id="rId1743" xr:uid="{01F3CEC3-111B-4727-A921-CAA4A68D231F}"/>
    <hyperlink ref="T484" r:id="rId1744" xr:uid="{9EEDA2E5-DCD9-4EC5-976F-E0E139C439C1}"/>
    <hyperlink ref="CA484" r:id="rId1745" xr:uid="{2E7B8FC3-0A28-42AE-97E0-9E0D1E63FDA0}"/>
    <hyperlink ref="CB484" r:id="rId1746" xr:uid="{E2CC7BAD-FE54-4349-8C27-C076957092EA}"/>
    <hyperlink ref="CD484" r:id="rId1747" xr:uid="{A2EA1F2A-A14B-4D4E-92EA-CE308D243577}"/>
    <hyperlink ref="O485" r:id="rId1748" xr:uid="{9D737028-C8BA-4813-B16A-B26BF9C649DE}"/>
    <hyperlink ref="S485" r:id="rId1749" xr:uid="{92553BE5-A10D-4DDD-8A6A-B9BF3DC4C0A2}"/>
    <hyperlink ref="T485" r:id="rId1750" xr:uid="{791C0D41-BFE5-444B-91EF-A1ED2035DA6A}"/>
    <hyperlink ref="CA485" r:id="rId1751" xr:uid="{F384B23F-AA7E-4DE7-93E1-71DFB37B1091}"/>
    <hyperlink ref="CB485" r:id="rId1752" xr:uid="{C6689850-6919-4515-B6BD-2981ED0EDEA3}"/>
    <hyperlink ref="CD485" r:id="rId1753" xr:uid="{9C430604-25D4-4560-87F0-CA1153D8A69F}"/>
    <hyperlink ref="O486" r:id="rId1754" xr:uid="{8FC26DA4-D9BC-4FD7-8E92-AAADB0E71D90}"/>
    <hyperlink ref="S486" r:id="rId1755" xr:uid="{669F74A1-BA79-4F9F-B350-015495C6083E}"/>
    <hyperlink ref="T486" r:id="rId1756" xr:uid="{6CF0F4DD-E49A-4FF7-815F-4B46A2D449AC}"/>
    <hyperlink ref="CA486" r:id="rId1757" xr:uid="{7361F77A-7E10-4F6E-9BDA-0DCE6B57EE8E}"/>
    <hyperlink ref="CB486" r:id="rId1758" xr:uid="{241A3D88-E07C-4512-A13B-779620E020E3}"/>
    <hyperlink ref="CD486" r:id="rId1759" xr:uid="{861C3F41-1888-42F7-8D70-3D73D2CD9AF9}"/>
    <hyperlink ref="O487" r:id="rId1760" xr:uid="{5DE3B0EA-4A0F-4741-85BC-5A9F8CEB63DF}"/>
    <hyperlink ref="S487" r:id="rId1761" xr:uid="{3C4CC68A-8FED-439B-91EA-571AB3C48BA7}"/>
    <hyperlink ref="T487" r:id="rId1762" xr:uid="{9691FE96-7ED2-4AAA-AD0A-9C0103E6047B}"/>
    <hyperlink ref="CA487" r:id="rId1763" xr:uid="{EDAAC0B7-AACB-4735-ACA4-A03CCAFCE9FB}"/>
    <hyperlink ref="CB487" r:id="rId1764" xr:uid="{1DC124C3-401B-4EB5-A4BF-A2D1766E2B0D}"/>
    <hyperlink ref="CD487" r:id="rId1765" xr:uid="{F578E667-ACD8-46D3-920B-7D8D1FF10E78}"/>
    <hyperlink ref="O488" r:id="rId1766" xr:uid="{E2618038-071A-4531-85A5-FBB0C7C294D9}"/>
    <hyperlink ref="S488" r:id="rId1767" xr:uid="{2BC83A31-7A97-49DB-937A-0284FCA6EFA4}"/>
    <hyperlink ref="T488" r:id="rId1768" xr:uid="{BBE33106-9965-494E-A9C6-1CEF9352D391}"/>
    <hyperlink ref="CA488" r:id="rId1769" xr:uid="{0339C410-C4E5-478D-B51D-F5FC8AC9888A}"/>
    <hyperlink ref="CB488" r:id="rId1770" xr:uid="{0D55A65E-00D7-413D-9D70-4EAF62B7E9B9}"/>
    <hyperlink ref="CD488" r:id="rId1771" xr:uid="{D797357C-9E39-4C1A-94FE-F598EF2D6D3E}"/>
    <hyperlink ref="O489" r:id="rId1772" xr:uid="{E56658F5-BEE7-4F66-8F8D-A06D130FE115}"/>
    <hyperlink ref="S489" r:id="rId1773" xr:uid="{742972F4-F3F2-48B6-8465-7CD0DF9CDC67}"/>
    <hyperlink ref="T489" r:id="rId1774" xr:uid="{BC74D990-F1F3-4C8C-A48A-76E4F5DCA11E}"/>
    <hyperlink ref="CA489" r:id="rId1775" xr:uid="{8A606E40-AA8D-4C90-B1B4-7CCB1AF81FBF}"/>
    <hyperlink ref="CB489" r:id="rId1776" xr:uid="{CED3F8D3-3628-45CC-88ED-90137C01AC28}"/>
    <hyperlink ref="CD489" r:id="rId1777" xr:uid="{BFE1CE91-0CD3-4AD5-BF90-524B893D49ED}"/>
    <hyperlink ref="O490" r:id="rId1778" xr:uid="{F67F1693-89CA-41BE-9880-913C3226907C}"/>
    <hyperlink ref="S490" r:id="rId1779" xr:uid="{7F32EA09-23BD-4FD3-ABD6-E60BE23D3FE2}"/>
    <hyperlink ref="T490" r:id="rId1780" xr:uid="{9B934AD3-6F71-4219-8824-907D8E9563DE}"/>
    <hyperlink ref="CA490" r:id="rId1781" xr:uid="{00DC512D-C6AD-4CF1-88EA-9A2BA9887AEE}"/>
    <hyperlink ref="CB490" r:id="rId1782" xr:uid="{DC780D5D-0CE7-4EEB-9385-CEC145F1A26D}"/>
    <hyperlink ref="CD490" r:id="rId1783" xr:uid="{7B9B0735-BC28-4A74-B7B3-3BE52B7304E2}"/>
    <hyperlink ref="O491" r:id="rId1784" xr:uid="{116E04A8-1CFD-45B7-9D7A-1797CDD14B11}"/>
    <hyperlink ref="S491" r:id="rId1785" xr:uid="{ABAED513-A372-4B64-8B4F-A9A0A1EBF23A}"/>
    <hyperlink ref="T491" r:id="rId1786" xr:uid="{4C32B9E2-68DE-453F-B061-F3DB603BAC85}"/>
    <hyperlink ref="CA491" r:id="rId1787" xr:uid="{0FD90A71-545B-4BD3-A81B-CDFDCB6ED0D3}"/>
    <hyperlink ref="CB491" r:id="rId1788" xr:uid="{9874D895-9705-4071-B978-02DAC699BB24}"/>
    <hyperlink ref="CD491" r:id="rId1789" xr:uid="{6A346EB3-14A8-4724-9A47-14FAEEA3491C}"/>
    <hyperlink ref="O492" r:id="rId1790" xr:uid="{C55EA5F8-6E39-4BDA-A380-C7C07674F001}"/>
    <hyperlink ref="S492" r:id="rId1791" xr:uid="{78E8FD49-3C68-4674-89FF-D45824F9CCED}"/>
    <hyperlink ref="T492" r:id="rId1792" xr:uid="{03B8F63E-AF8E-4454-90B2-B89AEDBC3744}"/>
    <hyperlink ref="CA492" r:id="rId1793" xr:uid="{4E5961FB-8790-4558-A254-A04D8C7DDF7B}"/>
    <hyperlink ref="CB492" r:id="rId1794" xr:uid="{16C6BEBA-66AB-4E82-983D-EC15E952B506}"/>
    <hyperlink ref="CD492" r:id="rId1795" xr:uid="{467A0192-9F58-46DD-99CB-136416ECF748}"/>
    <hyperlink ref="O493" r:id="rId1796" xr:uid="{1B31895E-236F-4965-9430-3B5298D17296}"/>
    <hyperlink ref="S493" r:id="rId1797" xr:uid="{09D27FEE-BD21-43C3-8302-EDE592B3F4C3}"/>
    <hyperlink ref="T493" r:id="rId1798" xr:uid="{7BC83FB9-AAAC-497E-87DF-172CB6BD6A84}"/>
    <hyperlink ref="CA493" r:id="rId1799" xr:uid="{AE14489A-9449-4F2E-973B-56279C920C80}"/>
    <hyperlink ref="CB493" r:id="rId1800" xr:uid="{1D32AC4A-AAB8-4932-8668-CEEC1B261542}"/>
    <hyperlink ref="CD493" r:id="rId1801" xr:uid="{A4433190-2649-4FFE-A8E0-7824FF9216A2}"/>
    <hyperlink ref="O494" r:id="rId1802" xr:uid="{23C60A5A-7729-4403-8984-0C0E6A082707}"/>
    <hyperlink ref="S494" r:id="rId1803" xr:uid="{FF36BB08-9168-4514-8933-640E292B0CEC}"/>
    <hyperlink ref="T494" r:id="rId1804" xr:uid="{AA82DE74-AD83-4064-A5D2-345FC098A31A}"/>
    <hyperlink ref="CA494" r:id="rId1805" xr:uid="{7C510747-58F6-4835-8E21-0691D8B512B8}"/>
    <hyperlink ref="CB494" r:id="rId1806" xr:uid="{04D21843-128E-4568-B610-15D0DC365DEF}"/>
    <hyperlink ref="CD494" r:id="rId1807" xr:uid="{7877C232-C9F1-4273-9A82-53C95DE98782}"/>
    <hyperlink ref="O495" r:id="rId1808" xr:uid="{DAACBB9A-D951-47AE-BC91-05BBB70E99C4}"/>
    <hyperlink ref="S495" r:id="rId1809" xr:uid="{82F9A596-28ED-4155-B21E-2DB00895B9AE}"/>
    <hyperlink ref="T495" r:id="rId1810" xr:uid="{9E27AE66-75C1-42F7-8095-69F7AB6D48AE}"/>
    <hyperlink ref="CA495" r:id="rId1811" xr:uid="{A22016A1-95A7-45A3-BEDA-B165A3B0595D}"/>
    <hyperlink ref="CB495" r:id="rId1812" xr:uid="{875E567C-959B-4077-B6A2-4FFAAD136B60}"/>
    <hyperlink ref="CD495" r:id="rId1813" xr:uid="{528BEF2B-765E-4EDA-A4E3-1207B8E97D5B}"/>
    <hyperlink ref="O496" r:id="rId1814" xr:uid="{93612C2B-D90B-429A-9A55-D8BCD64F0E36}"/>
    <hyperlink ref="S496" r:id="rId1815" xr:uid="{F9F86191-801A-410A-A02B-3B490E68ECCE}"/>
    <hyperlink ref="T496" r:id="rId1816" xr:uid="{186D0080-D1E0-4F3E-AB5E-D7151A127F22}"/>
    <hyperlink ref="CA496" r:id="rId1817" xr:uid="{28A49856-EB48-498C-A71E-8757EAFA16F9}"/>
    <hyperlink ref="CB496" r:id="rId1818" xr:uid="{6B6CA681-6E91-45B2-BD85-373C42BA0E8A}"/>
    <hyperlink ref="CD496" r:id="rId1819" xr:uid="{10AE5EE6-CCDF-4022-96E6-9A1261FE7586}"/>
    <hyperlink ref="O497" r:id="rId1820" xr:uid="{6D6DB68C-C58C-4D4C-B08F-3A7B252D7D85}"/>
    <hyperlink ref="S497" r:id="rId1821" xr:uid="{D553A361-A898-44C9-8F83-9FAF71239EBF}"/>
    <hyperlink ref="T497" r:id="rId1822" xr:uid="{0C751205-DF45-4ABD-9DE0-5B65141E8EB7}"/>
    <hyperlink ref="CA497" r:id="rId1823" xr:uid="{1165AC0F-0E16-439D-947D-38AB08666A9F}"/>
    <hyperlink ref="CB497" r:id="rId1824" xr:uid="{2DFCE665-80E9-4159-B63E-E92F00B5AA1A}"/>
    <hyperlink ref="CD497" r:id="rId1825" xr:uid="{193B1469-1841-4D48-BBF9-DB691675922A}"/>
    <hyperlink ref="O498" r:id="rId1826" xr:uid="{9BCB922B-71D7-458F-AC23-275779A702DB}"/>
    <hyperlink ref="S498" r:id="rId1827" xr:uid="{C01B623C-0566-417F-87D3-CB274E658FB8}"/>
    <hyperlink ref="T498" r:id="rId1828" xr:uid="{C676FFC3-0009-4B7E-8C93-DDB51B12454B}"/>
    <hyperlink ref="CA498" r:id="rId1829" xr:uid="{B0738553-CAEC-40FE-A20C-79C2B704E386}"/>
    <hyperlink ref="CB498" r:id="rId1830" xr:uid="{5BBE2F0C-9075-4759-B83A-74B0B8A7EDA5}"/>
    <hyperlink ref="CD498" r:id="rId1831" xr:uid="{8F538212-B4C7-4477-9BF6-2A9EEB3B13EF}"/>
    <hyperlink ref="O499" r:id="rId1832" xr:uid="{16CB129E-FA51-48C9-877D-9A5E3ADBE7B8}"/>
    <hyperlink ref="S499" r:id="rId1833" xr:uid="{F2D3C894-1F9E-433A-8125-C91BAF7FE9D9}"/>
    <hyperlink ref="T499" r:id="rId1834" xr:uid="{FD049BD6-7EB9-475B-9F90-41AD9DEBB91E}"/>
    <hyperlink ref="CA499" r:id="rId1835" xr:uid="{CF6B09A4-A586-4910-8DC3-41B4690AAE71}"/>
    <hyperlink ref="CB499" r:id="rId1836" xr:uid="{476D2E08-A5AC-4C4F-8190-4DCBBA20B34A}"/>
    <hyperlink ref="CD499" r:id="rId1837" xr:uid="{25DED248-735B-4ECB-B084-E68171B5E8B1}"/>
    <hyperlink ref="O509" r:id="rId1838" xr:uid="{0AB5E619-7A0B-4501-803D-A93119AFE6E4}"/>
    <hyperlink ref="S509" r:id="rId1839" xr:uid="{253AB0AB-F3EB-4B58-A03D-A505A8F9DC6A}"/>
    <hyperlink ref="T509" r:id="rId1840" xr:uid="{88546BEC-40A4-433A-8B1F-2B026462C30C}"/>
    <hyperlink ref="CA509" r:id="rId1841" xr:uid="{E96B4F0D-CA08-424C-AAB5-D53926D8F48A}"/>
    <hyperlink ref="CB509" r:id="rId1842" xr:uid="{A42A065C-0080-4484-9F07-CF8C11918190}"/>
    <hyperlink ref="CD509" r:id="rId1843" xr:uid="{60F97ABC-F420-4EFF-B8A3-5F05CC55763C}"/>
    <hyperlink ref="O510" r:id="rId1844" xr:uid="{0E0C2474-1E8B-40F7-BBB6-E0F3A988E215}"/>
    <hyperlink ref="S510" r:id="rId1845" xr:uid="{61BDB625-EE80-4397-AFDA-EABDAC0364B6}"/>
    <hyperlink ref="T510" r:id="rId1846" xr:uid="{10D135C4-44A6-4326-BEC0-D62B35523056}"/>
    <hyperlink ref="CA510" r:id="rId1847" xr:uid="{375724CE-ACF5-418E-890F-CDF75BA94D81}"/>
    <hyperlink ref="CB510" r:id="rId1848" xr:uid="{98D242A3-A16C-4F44-85FA-04E6F6F92579}"/>
    <hyperlink ref="CD510" r:id="rId1849" xr:uid="{893EA858-6BB5-475A-8B9F-51F980CC958E}"/>
    <hyperlink ref="O511" r:id="rId1850" xr:uid="{32EB1B08-3DEF-42ED-8F12-623CCE9C84E8}"/>
    <hyperlink ref="S511" r:id="rId1851" xr:uid="{499EC0EF-66F9-4093-B6D5-9C8B16891FAA}"/>
    <hyperlink ref="T511" r:id="rId1852" xr:uid="{D65BBCCB-BCB6-47F3-8EDE-BCDE7DACA802}"/>
    <hyperlink ref="CA511" r:id="rId1853" xr:uid="{48CC9B76-FBBD-4187-AEF3-2CBC58E564C2}"/>
    <hyperlink ref="CB511" r:id="rId1854" xr:uid="{31387ABD-AE5C-4296-8BAA-8999D88E88E6}"/>
    <hyperlink ref="CD511" r:id="rId1855" xr:uid="{96693881-9D84-4B1C-9E40-85BA080CB59E}"/>
    <hyperlink ref="O512" r:id="rId1856" xr:uid="{3EB041A6-0443-4D80-95EF-E04A1E976841}"/>
    <hyperlink ref="S512" r:id="rId1857" xr:uid="{8585EA05-C1B1-4157-97DE-CD589B093ACB}"/>
    <hyperlink ref="T512" r:id="rId1858" xr:uid="{73365EFA-57B4-4928-A71F-7742DB8970C8}"/>
    <hyperlink ref="CA512" r:id="rId1859" xr:uid="{530BD8F7-0C1F-4F1A-ACE7-08272EEA2E01}"/>
    <hyperlink ref="CB512" r:id="rId1860" xr:uid="{C6C5D605-9088-47B6-93A1-580A9BF8CF3E}"/>
    <hyperlink ref="CD512" r:id="rId1861" xr:uid="{0D0DB51B-F48B-4518-A443-59E51290BE05}"/>
    <hyperlink ref="O513" r:id="rId1862" xr:uid="{C91A9F0A-BC7D-46B9-9712-1D648F770857}"/>
    <hyperlink ref="S513" r:id="rId1863" xr:uid="{62EE820C-5DCB-4A67-AF4B-D74984892924}"/>
    <hyperlink ref="T513" r:id="rId1864" xr:uid="{5C6456F8-8FBE-4DAD-AFC8-027D99091452}"/>
    <hyperlink ref="CA513" r:id="rId1865" xr:uid="{C6D69F45-CD36-4DEB-BB4C-EDFF41769432}"/>
    <hyperlink ref="CB513" r:id="rId1866" xr:uid="{F2DC61FD-BF34-45B3-9638-51CDE17ED11E}"/>
    <hyperlink ref="CD513" r:id="rId1867" xr:uid="{102C9259-57D1-4F5A-941F-0D2CBFEBC644}"/>
    <hyperlink ref="O514" r:id="rId1868" xr:uid="{EE2E07D6-93B4-4B77-B538-3CE2EBCCA719}"/>
    <hyperlink ref="S514" r:id="rId1869" xr:uid="{B4BB2179-80FD-4B28-8146-C6A117DCC5FE}"/>
    <hyperlink ref="T514" r:id="rId1870" xr:uid="{E035828F-9559-4F3B-AF7E-E58F43225002}"/>
    <hyperlink ref="CA514" r:id="rId1871" xr:uid="{B19BE2FE-F87C-4E3E-8610-E2FECC72E9E6}"/>
    <hyperlink ref="CB514" r:id="rId1872" xr:uid="{65FBAD67-F259-4BE7-8E2B-6EA8176EBC5C}"/>
    <hyperlink ref="CD514" r:id="rId1873" xr:uid="{CBAA2DB7-0BA8-4DB5-AA58-A8541D6A02FD}"/>
    <hyperlink ref="O515" r:id="rId1874" xr:uid="{99627E61-7F71-446A-A16D-825847BBA909}"/>
    <hyperlink ref="S515" r:id="rId1875" xr:uid="{1F7994C1-75B1-430C-B828-620DD113A4A6}"/>
    <hyperlink ref="T515" r:id="rId1876" xr:uid="{43D92684-E6EA-4FBE-A12B-6C63B22F167C}"/>
    <hyperlink ref="CA515" r:id="rId1877" xr:uid="{3876B4E4-EA6A-460D-8707-BA0B621D998E}"/>
    <hyperlink ref="CB515" r:id="rId1878" xr:uid="{5BC71CC6-368C-41A2-A7D6-5DBCDA271503}"/>
    <hyperlink ref="CD515" r:id="rId1879" xr:uid="{05EDA51E-A81E-4340-A651-0BD1DB8DC722}"/>
    <hyperlink ref="O516" r:id="rId1880" xr:uid="{E03D8F0B-F8B8-4D38-B83E-A72A18DFCB1D}"/>
    <hyperlink ref="S516" r:id="rId1881" xr:uid="{23BC8CA3-BDD4-484C-B2AE-4EB56FC7C483}"/>
    <hyperlink ref="T516" r:id="rId1882" xr:uid="{B802190A-1FCB-44E3-A422-768CB994885F}"/>
    <hyperlink ref="CA516" r:id="rId1883" xr:uid="{68445856-5BF0-4AE6-A543-F18DE2609A23}"/>
    <hyperlink ref="CB516" r:id="rId1884" xr:uid="{F831DA6D-9895-4752-A855-AF5D2EC7A4AC}"/>
    <hyperlink ref="CD516" r:id="rId1885" xr:uid="{A76421D1-3372-4C39-8FBA-FDF98AF05472}"/>
    <hyperlink ref="O517" r:id="rId1886" xr:uid="{738B3EAA-744D-4C1A-9C0E-77A05A18382D}"/>
    <hyperlink ref="S517" r:id="rId1887" xr:uid="{678E7032-513A-4ABA-AFDA-3DCE26ABB490}"/>
    <hyperlink ref="T517" r:id="rId1888" xr:uid="{5261FE4D-789D-4699-BC61-F34849BE4ED8}"/>
    <hyperlink ref="CA517" r:id="rId1889" xr:uid="{7A5BBF0A-9511-4244-AD32-B02B3C95D503}"/>
    <hyperlink ref="CB517" r:id="rId1890" xr:uid="{551B39F8-6375-40D6-98D9-EF0CAD5FB2F7}"/>
    <hyperlink ref="CD517" r:id="rId1891" xr:uid="{DCAF1060-FA2D-47BD-B6FB-E8C94FCDC4F7}"/>
    <hyperlink ref="O518" r:id="rId1892" xr:uid="{7E2B0C42-5901-4380-9F4F-FC53732CB029}"/>
    <hyperlink ref="S518" r:id="rId1893" xr:uid="{6021E3FA-27BA-4E37-BA35-F06A3CB5CFEE}"/>
    <hyperlink ref="CA518" r:id="rId1894" xr:uid="{CC6E9E21-C69A-420E-80FB-5E0AD0883B70}"/>
    <hyperlink ref="CD518" r:id="rId1895" xr:uid="{4BCA85B2-C68E-4660-B776-AFBBA6E72874}"/>
    <hyperlink ref="O519" r:id="rId1896" xr:uid="{C9C7A729-017D-41BF-B7FD-81D8B2A19AF4}"/>
    <hyperlink ref="S519" r:id="rId1897" xr:uid="{520365DA-7C4B-4CC3-9438-7CE9B28719D8}"/>
    <hyperlink ref="T519" r:id="rId1898" xr:uid="{97E3C44B-264F-46BD-88B8-26FAAFFB97F2}"/>
    <hyperlink ref="CA519" r:id="rId1899" xr:uid="{0AF6094B-3205-4E50-8D67-C6560A4C5CE2}"/>
    <hyperlink ref="CB519" r:id="rId1900" xr:uid="{F9B85984-D17B-47D5-8B19-057FA5DAE568}"/>
    <hyperlink ref="CD519" r:id="rId1901" xr:uid="{8001B166-E3EF-49CC-822C-5C2391F9AACD}"/>
    <hyperlink ref="O520" r:id="rId1902" xr:uid="{68FC469C-FBBE-4624-9E68-DCC2F3CDC18D}"/>
    <hyperlink ref="S520" r:id="rId1903" xr:uid="{FDA5943F-8743-4FF3-BEA9-FB1F2ED27EC0}"/>
    <hyperlink ref="T520" r:id="rId1904" xr:uid="{EED5BE2F-C593-4B2B-984B-90EAA8B46C0A}"/>
    <hyperlink ref="CA520" r:id="rId1905" xr:uid="{04823515-DF44-4656-BD5D-9C044E3F2AC7}"/>
    <hyperlink ref="CB520" r:id="rId1906" xr:uid="{4118F1D6-DE37-4CD0-B5CF-C68420508525}"/>
    <hyperlink ref="CD520" r:id="rId1907" xr:uid="{4C6E8F6F-9C9A-4EE7-8AF7-804A6D76EC84}"/>
    <hyperlink ref="O521" r:id="rId1908" xr:uid="{B479137F-2CD7-4CF8-9592-344F8CC40E8E}"/>
    <hyperlink ref="S521" r:id="rId1909" xr:uid="{A495D585-DB04-4263-9465-AABCD5285396}"/>
    <hyperlink ref="T521" r:id="rId1910" xr:uid="{76AD2D68-1E9F-4A8E-B4A9-C9108A0F9B21}"/>
    <hyperlink ref="CA521" r:id="rId1911" xr:uid="{83572DFA-2DDD-4401-86E2-EBB5D67DC49E}"/>
    <hyperlink ref="CB521" r:id="rId1912" xr:uid="{E40A4C4A-C35E-422C-8ED7-AD2F96D04680}"/>
    <hyperlink ref="CD521" r:id="rId1913" xr:uid="{031FE9D6-8985-4E41-8D09-BF0973EE9C5B}"/>
    <hyperlink ref="O522" r:id="rId1914" xr:uid="{1FE1093C-4F2D-46AD-905E-7009DA6BFFE5}"/>
    <hyperlink ref="S522" r:id="rId1915" xr:uid="{02783A12-437E-4259-BB2E-DC56D617D150}"/>
    <hyperlink ref="T522" r:id="rId1916" xr:uid="{92DBBF4D-0B0F-4DFE-A145-21150566B231}"/>
    <hyperlink ref="CA522" r:id="rId1917" xr:uid="{674830A7-6B67-4B88-8797-BE537D746AA3}"/>
    <hyperlink ref="CB522" r:id="rId1918" xr:uid="{AEB5DB54-CFAD-4A8A-96E0-595F634C37F4}"/>
    <hyperlink ref="CD522" r:id="rId1919" xr:uid="{B75BCDFA-817C-4923-841E-9271054AC52D}"/>
    <hyperlink ref="O523" r:id="rId1920" xr:uid="{C07FC7BE-3AFA-4B2C-A579-10798C439289}"/>
    <hyperlink ref="S523" r:id="rId1921" xr:uid="{B0444089-749A-4CB1-B014-E0CDD9E1BB44}"/>
    <hyperlink ref="T523" r:id="rId1922" xr:uid="{123FF8B9-EBA3-4082-A66E-8693C30046A7}"/>
    <hyperlink ref="CA523" r:id="rId1923" xr:uid="{34C8A357-97B7-4745-9395-4CAF60F01609}"/>
    <hyperlink ref="CB523" r:id="rId1924" xr:uid="{C3794F3B-4C39-4BCC-9594-5DB3DCFB1255}"/>
    <hyperlink ref="CD523" r:id="rId1925" xr:uid="{DAC391AA-4185-4E62-8981-62B4213014DF}"/>
    <hyperlink ref="O524" r:id="rId1926" xr:uid="{17192EAB-8010-45B6-A55D-0F43BE33FF16}"/>
    <hyperlink ref="S524" r:id="rId1927" xr:uid="{047B62C0-7E25-4BA1-BF54-29D641C57E59}"/>
    <hyperlink ref="T524" r:id="rId1928" xr:uid="{83FDD7E5-B2D4-4DA9-A373-16FE777CB921}"/>
    <hyperlink ref="CA524" r:id="rId1929" xr:uid="{8B3B47C7-5EB8-4130-90AA-6075E20C01B3}"/>
    <hyperlink ref="CB524" r:id="rId1930" xr:uid="{214ED92F-EDAE-4F5F-A852-5E7D9CF759E5}"/>
    <hyperlink ref="CD524" r:id="rId1931" xr:uid="{95E55DD0-A2FC-4379-A658-03CDF6549B1D}"/>
    <hyperlink ref="O525" r:id="rId1932" xr:uid="{3A179DFE-7261-4473-8EAB-B9D0587651E7}"/>
    <hyperlink ref="S525" r:id="rId1933" xr:uid="{1CF527E8-E567-4EEF-BD4F-2D0322FD83A3}"/>
    <hyperlink ref="T525" r:id="rId1934" xr:uid="{CC66CAD8-F08A-4964-9162-65214792651F}"/>
    <hyperlink ref="CA525" r:id="rId1935" xr:uid="{701E68FB-CFE3-4DC4-87D8-C10B78BBF423}"/>
    <hyperlink ref="CB525" r:id="rId1936" xr:uid="{61EE2CA7-4401-44AD-AF7D-55EB982E0226}"/>
    <hyperlink ref="CD525" r:id="rId1937" xr:uid="{C5AC0B6C-C9FB-49B2-B62F-27251F4CA002}"/>
    <hyperlink ref="O526" r:id="rId1938" xr:uid="{F88EE9EA-EC8A-4281-B744-A14649EC920E}"/>
    <hyperlink ref="S526" r:id="rId1939" xr:uid="{F58FE0C6-F485-4BC4-B500-EA13F8DC21BC}"/>
    <hyperlink ref="CA526" r:id="rId1940" xr:uid="{18C507A3-C8E8-4064-AE83-6A99F4D3C036}"/>
    <hyperlink ref="CD526" r:id="rId1941" xr:uid="{9F44BF91-5502-4E75-9E6A-9ABF1E879226}"/>
    <hyperlink ref="O527" r:id="rId1942" xr:uid="{67446263-08B1-4097-91DF-1C7CD408980E}"/>
    <hyperlink ref="S527" r:id="rId1943" xr:uid="{D436BB06-8C07-4302-AEAF-1A8E0E618539}"/>
    <hyperlink ref="T527" r:id="rId1944" xr:uid="{0DC6D946-750A-441D-B6E1-2F6E57B338E6}"/>
    <hyperlink ref="CA527" r:id="rId1945" xr:uid="{453284D2-4E32-435A-9EAF-9549771BCD9C}"/>
    <hyperlink ref="CB527" r:id="rId1946" xr:uid="{3BC052CE-9D3A-4AF7-A449-79C80F9B169C}"/>
    <hyperlink ref="CD527" r:id="rId1947" xr:uid="{97560F42-83BC-4939-B953-A5BABBB2D60B}"/>
    <hyperlink ref="O528" r:id="rId1948" xr:uid="{988DA8BA-B832-45A3-ACBA-288F4FA59B10}"/>
    <hyperlink ref="S528" r:id="rId1949" xr:uid="{9CCF238F-976E-4879-9CAD-190499593C00}"/>
    <hyperlink ref="T528" r:id="rId1950" xr:uid="{56FEDAE9-5DF4-4D7B-A739-95EA7FBB6FF1}"/>
    <hyperlink ref="CA528" r:id="rId1951" xr:uid="{85A28D3C-3454-40F5-AC7C-3B1524ED44D1}"/>
    <hyperlink ref="CB528" r:id="rId1952" xr:uid="{B2BDE266-B587-4E99-A59C-9B09A6D0BECE}"/>
    <hyperlink ref="CD528" r:id="rId1953" xr:uid="{B0D4CEFB-8444-4124-A821-FB1F2584F470}"/>
    <hyperlink ref="O529" r:id="rId1954" xr:uid="{D8620B1F-06D8-45B0-A275-096451A1507C}"/>
    <hyperlink ref="S529" r:id="rId1955" xr:uid="{B6DE1016-B081-4ABD-8E64-90B38EDE5288}"/>
    <hyperlink ref="T529" r:id="rId1956" xr:uid="{89532924-8C49-407C-8B87-C27ACDD4D7A9}"/>
    <hyperlink ref="CA529" r:id="rId1957" xr:uid="{93C0D9E0-442B-4A2A-AD48-C2CCB92E45F6}"/>
    <hyperlink ref="CB529" r:id="rId1958" xr:uid="{FE28369B-7824-406D-A349-3D048D61A841}"/>
    <hyperlink ref="CD529" r:id="rId1959" xr:uid="{0802E90C-6816-4E05-8F58-F2622A8B20C4}"/>
    <hyperlink ref="O530" r:id="rId1960" xr:uid="{30D190E9-62D3-4221-9AD1-A25866777A9B}"/>
    <hyperlink ref="S530" r:id="rId1961" xr:uid="{F0185763-FF1F-40A7-9137-9A6B1110D66F}"/>
    <hyperlink ref="T530" r:id="rId1962" xr:uid="{867815BD-6C4E-495F-AB85-E5F09F240578}"/>
    <hyperlink ref="CA530" r:id="rId1963" xr:uid="{B6882FE4-D20B-4754-9485-EDAAFB1A5DF3}"/>
    <hyperlink ref="CB530" r:id="rId1964" xr:uid="{5F579DD1-C40F-4D3D-912F-7D492E2194FC}"/>
    <hyperlink ref="CD530" r:id="rId1965" xr:uid="{6BDE8121-9BE0-47B2-9D97-04BCF63C7ADD}"/>
    <hyperlink ref="O531" r:id="rId1966" xr:uid="{1BF38A86-FC1C-477E-9437-B4AE87C5ADBC}"/>
    <hyperlink ref="S531" r:id="rId1967" xr:uid="{347FCB58-618E-4B51-9AEC-9764B8806855}"/>
    <hyperlink ref="T531" r:id="rId1968" xr:uid="{D3A3D21E-28EB-488C-BAB5-90C35EBEEABC}"/>
    <hyperlink ref="CA531" r:id="rId1969" xr:uid="{1449B3FE-EB0A-4CD3-B7A5-F38CDB674EDE}"/>
    <hyperlink ref="CB531" r:id="rId1970" xr:uid="{D9934722-49F8-4C16-9723-3127A6635332}"/>
    <hyperlink ref="CD531" r:id="rId1971" xr:uid="{A45C4F6A-1869-4828-BA1F-0787768AAE84}"/>
    <hyperlink ref="O532" r:id="rId1972" xr:uid="{E59A127C-75C7-4B98-9112-BB4075E56352}"/>
    <hyperlink ref="S532" r:id="rId1973" xr:uid="{A2E02F7C-AE0A-4744-B6FD-7D2230B983B5}"/>
    <hyperlink ref="T532" r:id="rId1974" xr:uid="{B391A910-743E-4DB4-84F4-E3848F97DC91}"/>
    <hyperlink ref="CA532" r:id="rId1975" xr:uid="{1960FBD6-F9A2-4E99-B57D-416049360EBB}"/>
    <hyperlink ref="CB532" r:id="rId1976" xr:uid="{EEBE1FC1-11E1-49C8-B21B-60DB5DBB7AA3}"/>
    <hyperlink ref="CD532" r:id="rId1977" xr:uid="{DE6DBFCF-CE3E-49F8-AF74-D69F5B386ECF}"/>
    <hyperlink ref="O533" r:id="rId1978" xr:uid="{E103FE4F-9F13-4182-8829-628D581259E0}"/>
    <hyperlink ref="S533" r:id="rId1979" xr:uid="{24F1FFE0-6BC6-4DBA-98CB-7928B4755321}"/>
    <hyperlink ref="T533" r:id="rId1980" xr:uid="{6FE62131-EE50-4409-A3F4-4C1B9FD7A2CE}"/>
    <hyperlink ref="CA533" r:id="rId1981" xr:uid="{E1AA2256-B5D2-45D8-8EB4-F9C7118083E1}"/>
    <hyperlink ref="CB533" r:id="rId1982" xr:uid="{3D2CF829-9D39-44E7-9C36-3C807858B015}"/>
    <hyperlink ref="CD533" r:id="rId1983" xr:uid="{4C2FD443-B53D-4B79-8C58-67B1F152749F}"/>
    <hyperlink ref="O534" r:id="rId1984" xr:uid="{1CA96124-7F26-43BB-BED0-72ADBD4CE68E}"/>
    <hyperlink ref="S534" r:id="rId1985" xr:uid="{DFD7CE44-68C2-4580-89E5-A4A83DAC1224}"/>
    <hyperlink ref="T534" r:id="rId1986" xr:uid="{82E31B0B-4FF9-4F03-A783-08F5CC4D8B1A}"/>
    <hyperlink ref="CA534" r:id="rId1987" xr:uid="{C11D2826-03B1-4A14-BFD5-AF09E124356E}"/>
    <hyperlink ref="CB534" r:id="rId1988" xr:uid="{FD9EE5B6-1F67-4999-A36D-81000486D7C5}"/>
    <hyperlink ref="CD534" r:id="rId1989" xr:uid="{62D35269-CAE6-4C04-BC4A-09BB0320F068}"/>
    <hyperlink ref="O535" r:id="rId1990" xr:uid="{056075D0-323E-410E-B9EF-7A0D0E89CE8A}"/>
    <hyperlink ref="S535" r:id="rId1991" xr:uid="{5AE2AB09-B77E-4496-8DB2-1857BAD86ED2}"/>
    <hyperlink ref="T535" r:id="rId1992" xr:uid="{221FC4B8-7048-45DE-976D-4E255CFBBBB6}"/>
    <hyperlink ref="CA535" r:id="rId1993" xr:uid="{5BD6EF51-295D-4C89-8811-F9CEC8164D99}"/>
    <hyperlink ref="CB535" r:id="rId1994" xr:uid="{48B604AD-40D5-457D-9ACF-E47927D82307}"/>
    <hyperlink ref="CD535" r:id="rId1995" xr:uid="{93B50FFC-F219-4E25-AD90-6E6A80DD7EF9}"/>
    <hyperlink ref="O536" r:id="rId1996" xr:uid="{68742DC2-57F9-4C53-A9C9-25C7A79592AD}"/>
    <hyperlink ref="S536" r:id="rId1997" xr:uid="{E59F1A0A-95ED-46C5-9300-FE93864DF9D7}"/>
    <hyperlink ref="T536" r:id="rId1998" xr:uid="{1DBAB871-B656-4F2D-8158-FCB9F9CF7136}"/>
    <hyperlink ref="CA536" r:id="rId1999" xr:uid="{15DF71E2-E6B4-4353-B0F2-7A2603A296C6}"/>
    <hyperlink ref="CB536" r:id="rId2000" xr:uid="{38E34F33-6029-416B-8405-D1755C9C44A8}"/>
    <hyperlink ref="CD536" r:id="rId2001" xr:uid="{711F23CE-4715-4704-9EF5-F40C37BF82F9}"/>
    <hyperlink ref="O537" r:id="rId2002" xr:uid="{5EE0AA9F-4F46-4E1D-B903-5F407F034E0B}"/>
    <hyperlink ref="S537" r:id="rId2003" xr:uid="{C281CC4F-F951-4BE5-A314-CBB9C903D61E}"/>
    <hyperlink ref="T537" r:id="rId2004" xr:uid="{A66B6371-7FAE-4E2D-A188-C1E1A26AF3EA}"/>
    <hyperlink ref="CA537" r:id="rId2005" xr:uid="{77342854-EDAE-4281-99C7-A641B7664E1C}"/>
    <hyperlink ref="CB537" r:id="rId2006" xr:uid="{74A72A65-57F0-4E6C-958C-5C6605FD9922}"/>
    <hyperlink ref="CD537" r:id="rId2007" xr:uid="{214C638B-C077-489D-88B8-27D5622F5EB3}"/>
    <hyperlink ref="O538" r:id="rId2008" xr:uid="{96282021-3BF0-4CB5-A4CC-4E8C0CB577F4}"/>
    <hyperlink ref="S538" r:id="rId2009" xr:uid="{134512EC-B4B2-4C10-BC44-7C14C3571574}"/>
    <hyperlink ref="T538" r:id="rId2010" xr:uid="{67F2BB36-F365-462B-8993-519895291B85}"/>
    <hyperlink ref="CA538" r:id="rId2011" xr:uid="{3E3A6833-F838-4906-B097-64E1B1F136D9}"/>
    <hyperlink ref="CB538" r:id="rId2012" xr:uid="{E17A8D85-E24F-48E1-9D2F-24A3383C6FE7}"/>
    <hyperlink ref="CD538" r:id="rId2013" xr:uid="{CACBD757-7FFF-4028-9DFD-61A39B0368D6}"/>
    <hyperlink ref="O539" r:id="rId2014" xr:uid="{FF4B5B94-749C-437B-8FA6-A921CBFD87EC}"/>
    <hyperlink ref="S539" r:id="rId2015" xr:uid="{A393DEB1-6D17-40B0-9476-C829E31C35CC}"/>
    <hyperlink ref="T539" r:id="rId2016" xr:uid="{A70518FA-DDF9-4A36-BD7B-8E39FE8AAB34}"/>
    <hyperlink ref="CA539" r:id="rId2017" xr:uid="{AF528D56-F96A-49FD-A4F7-3E1347DCB474}"/>
    <hyperlink ref="CB539" r:id="rId2018" xr:uid="{F32A08B6-B2CE-469F-81FD-246F16896A8F}"/>
    <hyperlink ref="CD539" r:id="rId2019" xr:uid="{E13A408B-A7DE-4FB4-B9AF-1E4FA7623BEC}"/>
    <hyperlink ref="O540" r:id="rId2020" xr:uid="{B5A28C2F-716D-4897-A5BF-A7EED0967574}"/>
    <hyperlink ref="S540" r:id="rId2021" xr:uid="{DD6353CC-7BA4-4889-800A-9683C02470AA}"/>
    <hyperlink ref="T540" r:id="rId2022" xr:uid="{28D14309-9780-4E59-94E0-C12D8167ED89}"/>
    <hyperlink ref="CA540" r:id="rId2023" xr:uid="{64E10293-CDCC-4378-88DD-623D4674E0BD}"/>
    <hyperlink ref="CB540" r:id="rId2024" xr:uid="{A0A565F3-601A-4A9B-8C38-43FFCAC06673}"/>
    <hyperlink ref="CD540" r:id="rId2025" xr:uid="{AA4B0ED4-BA2A-4B27-A430-9B9C4AD00E94}"/>
    <hyperlink ref="O541" r:id="rId2026" xr:uid="{C40672AD-06FA-4B8F-BC41-834F894C119B}"/>
    <hyperlink ref="S541" r:id="rId2027" xr:uid="{009A7666-6EAC-4A34-98EA-0D4EB0CE7261}"/>
    <hyperlink ref="T541" r:id="rId2028" xr:uid="{779566B5-DC13-438D-A00E-B174CF2D63A5}"/>
    <hyperlink ref="CA541" r:id="rId2029" xr:uid="{E3FA2987-E0DE-4E77-BFA0-F2AF3535D558}"/>
    <hyperlink ref="CB541" r:id="rId2030" xr:uid="{569AAAE1-B6D4-4E5C-8E5E-81AF842C1EA1}"/>
    <hyperlink ref="CD541" r:id="rId2031" xr:uid="{C2CA4FD0-2484-4FC7-A775-3596A0F7E6CC}"/>
    <hyperlink ref="O542" r:id="rId2032" xr:uid="{88E10DF4-F8E3-47AC-BF20-3139B0226513}"/>
    <hyperlink ref="S542" r:id="rId2033" xr:uid="{76174B3F-643A-43CD-82A6-B62A135E3BCE}"/>
    <hyperlink ref="T542" r:id="rId2034" xr:uid="{883E2A23-FF7D-4D62-9766-B34327541988}"/>
    <hyperlink ref="CA542" r:id="rId2035" xr:uid="{BC25A9B6-2E5B-4F63-80EC-5A14D640A015}"/>
    <hyperlink ref="CB542" r:id="rId2036" xr:uid="{7490222E-EF53-4906-81D6-E53A91107C67}"/>
    <hyperlink ref="CD542" r:id="rId2037" xr:uid="{7D564692-86E3-4985-A2D0-6D59BEF90203}"/>
    <hyperlink ref="O543" r:id="rId2038" xr:uid="{5B7C6DBF-66CA-4C83-99EB-61364CF19447}"/>
    <hyperlink ref="S543" r:id="rId2039" xr:uid="{C959806D-A6FA-48AB-BD78-AB6D40A13AD3}"/>
    <hyperlink ref="T543" r:id="rId2040" xr:uid="{F83D97E5-A6F4-43D2-A58F-7C6F13591FBE}"/>
    <hyperlink ref="CA543" r:id="rId2041" xr:uid="{CEEC91A2-392B-4994-B473-682265A19E14}"/>
    <hyperlink ref="CB543" r:id="rId2042" xr:uid="{73971032-9A0F-4600-AA68-36C2BDAA3850}"/>
    <hyperlink ref="CD543" r:id="rId2043" xr:uid="{83201423-56B3-4831-B11C-7837D74DCCC6}"/>
    <hyperlink ref="O544" r:id="rId2044" xr:uid="{906F5AAB-8E2C-4D6A-B192-66221B461083}"/>
    <hyperlink ref="S544" r:id="rId2045" xr:uid="{B6DF7931-3DCB-484E-8F82-2318D93A399F}"/>
    <hyperlink ref="T544" r:id="rId2046" xr:uid="{BC0AFF42-6DD6-481F-9C3E-E6501D096A00}"/>
    <hyperlink ref="CA544" r:id="rId2047" xr:uid="{9C26FB66-1C67-45D3-9D2A-2E68B3B52ACD}"/>
    <hyperlink ref="CB544" r:id="rId2048" xr:uid="{B16D5A8A-BE1C-4FAC-90B8-912EAAA33688}"/>
    <hyperlink ref="CD544" r:id="rId2049" xr:uid="{9C441319-633C-4A3B-88EA-37B6DE9C21AC}"/>
    <hyperlink ref="O545" r:id="rId2050" xr:uid="{62A4E606-CD33-48BF-B37F-D6446198506C}"/>
    <hyperlink ref="S545" r:id="rId2051" xr:uid="{047F6062-9F41-4499-8C8C-9A0D149A7943}"/>
    <hyperlink ref="T545" r:id="rId2052" xr:uid="{EDEEC88C-6B2B-4AD5-988F-C609574F5D3C}"/>
    <hyperlink ref="CA545" r:id="rId2053" xr:uid="{1F01AB3F-10DD-4D25-AE3F-B6A3E04A7999}"/>
    <hyperlink ref="CB545" r:id="rId2054" xr:uid="{7F325216-342F-4F74-9C57-E75BB3AE8DA8}"/>
    <hyperlink ref="CD545" r:id="rId2055" xr:uid="{1FFBB862-CE7F-4797-A7EA-5F53C8C91FEA}"/>
    <hyperlink ref="O546" r:id="rId2056" xr:uid="{77BE930B-C0EF-4E55-AAD0-BC7E74BFDDF6}"/>
    <hyperlink ref="S546" r:id="rId2057" xr:uid="{4E5FA14A-60D9-4470-BF43-8C1DBE11FA3C}"/>
    <hyperlink ref="T546" r:id="rId2058" xr:uid="{77BF3818-F06C-4628-A140-1DC53F76D19E}"/>
    <hyperlink ref="CA546" r:id="rId2059" xr:uid="{E7B54431-B9F6-4B16-8987-3BC759C1BAC0}"/>
    <hyperlink ref="CB546" r:id="rId2060" xr:uid="{250BC13F-8D28-4FA4-9C7E-D01843B2A91A}"/>
    <hyperlink ref="CD546" r:id="rId2061" xr:uid="{E7A755AB-6E2C-4BE1-8F81-61DA94D123B7}"/>
    <hyperlink ref="O547" r:id="rId2062" xr:uid="{11E6A1F9-227E-4300-9004-4DFD1362E50B}"/>
    <hyperlink ref="S547" r:id="rId2063" xr:uid="{2C5D3D71-BDCA-4DF9-BE8C-E6EBD754CC3C}"/>
    <hyperlink ref="T547" r:id="rId2064" xr:uid="{5FBA2E6A-1F65-4856-A3DD-F7C7B6FADF8C}"/>
    <hyperlink ref="CA547" r:id="rId2065" xr:uid="{B9F32855-A5C9-442C-A645-9241357EAD4E}"/>
    <hyperlink ref="CB547" r:id="rId2066" xr:uid="{8EC29DE5-76B1-46B8-AB68-4F0452B9F6BD}"/>
    <hyperlink ref="CD547" r:id="rId2067" xr:uid="{BE6004C1-C0FB-4E86-87E8-7A43387CAB35}"/>
    <hyperlink ref="O548" r:id="rId2068" xr:uid="{956CC33B-8CB2-4257-808B-5322214A70A8}"/>
    <hyperlink ref="S548" r:id="rId2069" xr:uid="{230B17F9-F500-437B-93EF-FD5E0DA8A388}"/>
    <hyperlink ref="T548" r:id="rId2070" xr:uid="{8AB83F8B-6D9C-4079-BD6A-530731CC86FE}"/>
    <hyperlink ref="CA548" r:id="rId2071" xr:uid="{9E6F537A-8417-4F08-A331-A07102E98873}"/>
    <hyperlink ref="CB548" r:id="rId2072" xr:uid="{124339E5-E6E5-404A-B4E1-4E216C74E492}"/>
    <hyperlink ref="CD548" r:id="rId2073" xr:uid="{CF68D228-3986-4115-BFF0-DA05CE0D3609}"/>
    <hyperlink ref="O549" r:id="rId2074" xr:uid="{857C6562-FCCA-43B1-95EF-B5C2556DD275}"/>
    <hyperlink ref="S549" r:id="rId2075" xr:uid="{53A7DAE3-C53E-4248-B079-184DB6CD5E76}"/>
    <hyperlink ref="T549" r:id="rId2076" xr:uid="{47172A23-2DCF-4E5C-A265-D79E527AC1B2}"/>
    <hyperlink ref="CA549" r:id="rId2077" xr:uid="{F21A7974-9B8A-4AA4-B5E5-83DA667A07F9}"/>
    <hyperlink ref="CB549" r:id="rId2078" xr:uid="{22F38C8C-2EF5-4670-AF09-1416AE94F5F1}"/>
    <hyperlink ref="CD549" r:id="rId2079" xr:uid="{085866FA-1C68-4D6B-908E-C3E310CE53BF}"/>
    <hyperlink ref="O550" r:id="rId2080" xr:uid="{65056B69-F9D7-4A02-A99F-D81920703980}"/>
    <hyperlink ref="S550" r:id="rId2081" xr:uid="{676A74AB-DF51-44D2-9FC3-4C5CB788D564}"/>
    <hyperlink ref="T550" r:id="rId2082" xr:uid="{3F77E6AA-106C-4899-B87F-014389FB513D}"/>
    <hyperlink ref="CA550" r:id="rId2083" xr:uid="{966A71EC-666F-4111-8567-ECB576F72342}"/>
    <hyperlink ref="CB550" r:id="rId2084" xr:uid="{1CB8B997-187C-4E28-84E6-3613FE59F351}"/>
    <hyperlink ref="CD550" r:id="rId2085" xr:uid="{57823A8C-78E5-4A7A-A7EE-951A599A0484}"/>
    <hyperlink ref="O551" r:id="rId2086" xr:uid="{DE8878E7-B04C-41BB-AC99-CF17A8040F0E}"/>
    <hyperlink ref="S551" r:id="rId2087" xr:uid="{5D3C6DA8-8B00-4944-ADCC-F3A37AF755C8}"/>
    <hyperlink ref="T551" r:id="rId2088" xr:uid="{A45F8C86-5BEE-425E-A818-CD35C7F942CA}"/>
    <hyperlink ref="CA551" r:id="rId2089" xr:uid="{FF144DA1-B286-4E79-B057-389805B140BB}"/>
    <hyperlink ref="CB551" r:id="rId2090" xr:uid="{A534C5D1-8C78-4327-9B1D-2162427ED088}"/>
    <hyperlink ref="CD551" r:id="rId2091" xr:uid="{42E67F4B-6EE4-4E1D-9BD0-20195E1D054E}"/>
    <hyperlink ref="O552" r:id="rId2092" xr:uid="{0A2E3B30-EFFF-40DF-9251-B303F78E2C57}"/>
    <hyperlink ref="S552" r:id="rId2093" xr:uid="{A828ABE3-DBF9-442B-96FF-568801D7D614}"/>
    <hyperlink ref="T552" r:id="rId2094" xr:uid="{FAB6B1A8-C1FF-4124-A707-75A6F2C7423A}"/>
    <hyperlink ref="CA552" r:id="rId2095" xr:uid="{AECAE6B9-1E09-4130-8F20-6382986006F6}"/>
    <hyperlink ref="CB552" r:id="rId2096" xr:uid="{3B7B0887-32EA-4059-A801-A02E34E05C26}"/>
    <hyperlink ref="CD552" r:id="rId2097" xr:uid="{12CCE6AB-2F3B-4E89-9352-C1B384B31054}"/>
    <hyperlink ref="O553" r:id="rId2098" xr:uid="{153DBA99-51EB-461B-B110-2995DD0753CD}"/>
    <hyperlink ref="S553" r:id="rId2099" xr:uid="{FBDE57A5-B211-489D-A25D-1CC248DD3CA1}"/>
    <hyperlink ref="T553" r:id="rId2100" xr:uid="{DD3AA517-3399-4478-89F0-2D71F735C46D}"/>
    <hyperlink ref="CA553" r:id="rId2101" xr:uid="{D1E3B018-F18F-4B0F-9FA7-F921600472EE}"/>
    <hyperlink ref="CB553" r:id="rId2102" xr:uid="{19D22D4D-C6A5-4DED-947A-3EF9FA11C311}"/>
    <hyperlink ref="CD553" r:id="rId2103" xr:uid="{3E4B8750-E132-46F3-B913-C0EDFC286DD3}"/>
    <hyperlink ref="O554" r:id="rId2104" xr:uid="{EB82861E-BA84-417E-9D39-710C73677C08}"/>
    <hyperlink ref="S554" r:id="rId2105" xr:uid="{924D0D30-7468-40A9-998B-568C07E04628}"/>
    <hyperlink ref="T554" r:id="rId2106" xr:uid="{1A10B89A-CD06-4E67-8C7B-4B2491F1EDC9}"/>
    <hyperlink ref="CA554" r:id="rId2107" xr:uid="{91113F4A-21CC-4ED9-BCCD-F7C8ACAA40E8}"/>
    <hyperlink ref="CB554" r:id="rId2108" xr:uid="{5726F16E-5CA4-42B8-87C2-2246DE4C13D5}"/>
    <hyperlink ref="CD554" r:id="rId2109" xr:uid="{F25720E4-3D52-47AC-82C0-7856653C2ACE}"/>
    <hyperlink ref="O555" r:id="rId2110" xr:uid="{2E769F73-9215-40AB-BAE4-F8F8F40C0626}"/>
    <hyperlink ref="S555" r:id="rId2111" xr:uid="{1D3034AF-D425-4232-94BC-35C3795D158E}"/>
    <hyperlink ref="T555" r:id="rId2112" xr:uid="{AB6817FF-59DE-434D-87DC-BDD21285EB19}"/>
    <hyperlink ref="CA555" r:id="rId2113" xr:uid="{3D646C38-A5A0-498E-A058-A6181C2C9E64}"/>
    <hyperlink ref="CB555" r:id="rId2114" xr:uid="{268E4A71-E52C-4BD0-ABBB-11FE2BB70CD1}"/>
    <hyperlink ref="CD555" r:id="rId2115" xr:uid="{BF0403D5-CC43-4310-90DB-AB63C1AF89F6}"/>
    <hyperlink ref="O556" r:id="rId2116" xr:uid="{231E2F65-62F6-4EA6-905C-713E2F2C06FB}"/>
    <hyperlink ref="S556" r:id="rId2117" xr:uid="{B2C50A1C-1FBB-43DF-92B0-5AE111FAEBDD}"/>
    <hyperlink ref="T556" r:id="rId2118" xr:uid="{3F299712-4710-4F3F-B4B3-5C4DAF06EDA4}"/>
    <hyperlink ref="CA556" r:id="rId2119" xr:uid="{C8ECDD6B-00A1-4133-A5B7-144E7F64D72F}"/>
    <hyperlink ref="CB556" r:id="rId2120" xr:uid="{55E17636-B953-4178-A86C-CD7184496E83}"/>
    <hyperlink ref="CD556" r:id="rId2121" xr:uid="{FA9054D6-9D35-4B1D-B388-729BCD1B4FEB}"/>
    <hyperlink ref="O557" r:id="rId2122" xr:uid="{5B678710-FCB1-4E46-88DC-444905662514}"/>
    <hyperlink ref="S557" r:id="rId2123" xr:uid="{6B25570E-F443-40A2-821A-748763FC930B}"/>
    <hyperlink ref="T557" r:id="rId2124" xr:uid="{AE5AB70F-BE95-427E-AF60-F4DA59D834CD}"/>
    <hyperlink ref="CA557" r:id="rId2125" xr:uid="{ACBB1427-C098-4A0C-98B8-C90383FFD9A5}"/>
    <hyperlink ref="CB557" r:id="rId2126" xr:uid="{8CA2347C-C2A0-4FC6-8B0A-9732E583D691}"/>
    <hyperlink ref="CD557" r:id="rId2127" xr:uid="{342A5540-CD93-4442-AC7E-B2AFA2F2A4C7}"/>
    <hyperlink ref="O558" r:id="rId2128" xr:uid="{C9A088CC-BB07-40FF-BE86-AD3D628712D3}"/>
    <hyperlink ref="S558" r:id="rId2129" xr:uid="{D9D0A66D-D383-4AE3-B4C6-10DF7A41448D}"/>
    <hyperlink ref="T558" r:id="rId2130" xr:uid="{B519D332-45A7-4A41-A374-1BA67F73BA64}"/>
    <hyperlink ref="CA558" r:id="rId2131" xr:uid="{CB5E24C7-CF64-43E8-9CC2-E3F12928D608}"/>
    <hyperlink ref="CB558" r:id="rId2132" xr:uid="{FB0DBF92-4978-4E9C-A304-147B3E7C9DDB}"/>
    <hyperlink ref="CD558" r:id="rId2133" xr:uid="{7C237BD4-ACA5-4AFF-9054-8FBAF0EE8C2B}"/>
    <hyperlink ref="O559" r:id="rId2134" xr:uid="{3CB52014-6726-44B0-8CDA-845557A4FA87}"/>
    <hyperlink ref="S559" r:id="rId2135" xr:uid="{A16877AD-41EA-4400-854D-907D2FA6EC25}"/>
    <hyperlink ref="T559" r:id="rId2136" xr:uid="{2EAA6B53-E2E1-4199-928F-BEB285B6B861}"/>
    <hyperlink ref="CA559" r:id="rId2137" xr:uid="{5DC18C7B-2ACB-4FC7-AC98-D3464CFE53E7}"/>
    <hyperlink ref="CB559" r:id="rId2138" xr:uid="{62DC1B97-744B-405E-A787-4A056C36B8C5}"/>
    <hyperlink ref="CD559" r:id="rId2139" xr:uid="{54BFDE05-C7AC-434B-9AD5-284A6A0CDCB9}"/>
    <hyperlink ref="O560" r:id="rId2140" xr:uid="{BDD4E38F-9084-4759-997C-64630961D050}"/>
    <hyperlink ref="S560" r:id="rId2141" xr:uid="{7FC7993B-E1B1-4F80-8E0A-A92A21D4B090}"/>
    <hyperlink ref="T560" r:id="rId2142" xr:uid="{793E35C3-60B7-45FC-B528-E5EA80269566}"/>
    <hyperlink ref="CA560" r:id="rId2143" xr:uid="{86E6B76D-DF3A-46B3-8984-7035433730F8}"/>
    <hyperlink ref="CB560" r:id="rId2144" xr:uid="{161AEE89-3BE2-4AF8-B895-3865C64F2F01}"/>
    <hyperlink ref="CD560" r:id="rId2145" xr:uid="{A01336A9-28F3-49B8-9EC8-36C94D8AF169}"/>
    <hyperlink ref="O561" r:id="rId2146" xr:uid="{A7FB185F-1829-4379-9A8E-7E4F4E238C6C}"/>
    <hyperlink ref="S561" r:id="rId2147" xr:uid="{C35C1CD7-7554-4F62-8C9B-281F30220805}"/>
    <hyperlink ref="T561" r:id="rId2148" xr:uid="{391CA22E-3ADF-4EC8-BF11-0A8012966ADF}"/>
    <hyperlink ref="CA561" r:id="rId2149" xr:uid="{DA49CAB9-5335-4639-9B1E-EA6F5A8C618B}"/>
    <hyperlink ref="CB561" r:id="rId2150" xr:uid="{D5083318-EB5E-40CC-A127-739A23294EA2}"/>
    <hyperlink ref="CD561" r:id="rId2151" xr:uid="{7AA7350B-01B6-4F61-B68F-348FF51CDD37}"/>
    <hyperlink ref="O562" r:id="rId2152" xr:uid="{D141D2A4-B55E-4448-82D7-66F94DF685BE}"/>
    <hyperlink ref="S562" r:id="rId2153" xr:uid="{875ECF53-829B-403B-B12E-7BFF4458E846}"/>
    <hyperlink ref="T562" r:id="rId2154" xr:uid="{942D0693-E361-4718-B787-FD78262FF592}"/>
    <hyperlink ref="CA562" r:id="rId2155" xr:uid="{E7677557-D89E-4C04-9D76-6586801A3CB7}"/>
    <hyperlink ref="CB562" r:id="rId2156" xr:uid="{E5ACBE1B-658C-4133-9D87-3EB19642D342}"/>
    <hyperlink ref="CD562" r:id="rId2157" xr:uid="{2916C708-AFEF-466D-A9B8-7D7B794C91BA}"/>
    <hyperlink ref="O563" r:id="rId2158" xr:uid="{66305587-EC8D-465D-A67F-D2C9A79822F3}"/>
    <hyperlink ref="S563" r:id="rId2159" xr:uid="{5297CDD4-811E-40AD-B8A4-5972BB44289A}"/>
    <hyperlink ref="T563" r:id="rId2160" xr:uid="{07E5D191-4DAD-4107-B465-512A6672957F}"/>
    <hyperlink ref="CA563" r:id="rId2161" xr:uid="{5A6FED04-7216-4587-BBF9-11FBE24A0DD3}"/>
    <hyperlink ref="CB563" r:id="rId2162" xr:uid="{985B3470-EE85-49BD-9E8E-4C11E7DA79CD}"/>
    <hyperlink ref="CD563" r:id="rId2163" xr:uid="{37D65002-BCA2-4812-A4FD-5E9442ED5B06}"/>
    <hyperlink ref="O564" r:id="rId2164" xr:uid="{4D8A4E55-012A-4258-AC32-C3D67F599A19}"/>
    <hyperlink ref="S564" r:id="rId2165" xr:uid="{52DFAB3C-F3A3-4D6B-B671-8BD53607C984}"/>
    <hyperlink ref="T564" r:id="rId2166" xr:uid="{76423701-43D5-42E5-94E6-878BB86058E4}"/>
    <hyperlink ref="CA564" r:id="rId2167" xr:uid="{DFA2422C-FDF9-4B56-8F2F-6C6F3529A920}"/>
    <hyperlink ref="CB564" r:id="rId2168" xr:uid="{8B298E1C-A44B-45B5-A714-3AD46C18E9A5}"/>
    <hyperlink ref="CD564" r:id="rId2169" xr:uid="{662A54EA-1996-487B-88F9-5937846D5FD0}"/>
    <hyperlink ref="O565" r:id="rId2170" xr:uid="{F4699C26-B821-4BAB-93FF-6E5BEAB86006}"/>
    <hyperlink ref="S565" r:id="rId2171" xr:uid="{08E85BD2-E537-4F23-9854-08B751AEAA6C}"/>
    <hyperlink ref="T565" r:id="rId2172" xr:uid="{70EF8A84-4B7B-482E-B799-DE62923AC5EF}"/>
    <hyperlink ref="CA565" r:id="rId2173" xr:uid="{D35FB7BF-C941-4645-BF4A-2EF89EF33389}"/>
    <hyperlink ref="CB565" r:id="rId2174" xr:uid="{35BFE132-36BA-4CB7-B671-045D9127952B}"/>
    <hyperlink ref="CD565" r:id="rId2175" xr:uid="{065730E8-BD9B-41CE-A676-1E502A7B6E78}"/>
    <hyperlink ref="O566" r:id="rId2176" xr:uid="{6A3805CE-A589-461B-AF34-D8A72E8606A7}"/>
    <hyperlink ref="S566" r:id="rId2177" xr:uid="{516474ED-8BDF-456F-A544-625289AF8C4A}"/>
    <hyperlink ref="T566" r:id="rId2178" xr:uid="{15F79B07-6C03-46A7-8DBA-19F2CF777085}"/>
    <hyperlink ref="CA566" r:id="rId2179" xr:uid="{21FF4DE7-676E-4D8D-8A11-48F42AD58FB7}"/>
    <hyperlink ref="CB566" r:id="rId2180" xr:uid="{C62AB90C-0150-4D68-9A35-75727CB67488}"/>
    <hyperlink ref="CD566" r:id="rId2181" xr:uid="{498AE395-D67F-4276-B43D-F808205B6B38}"/>
    <hyperlink ref="O567" r:id="rId2182" xr:uid="{98AAF32D-CBF1-4AEF-8C9D-87A3EB487E20}"/>
    <hyperlink ref="S567" r:id="rId2183" xr:uid="{29C940E1-368A-4617-860D-76BDD208618F}"/>
    <hyperlink ref="T567" r:id="rId2184" xr:uid="{52FBFA79-E753-4432-9642-B24ABA950093}"/>
    <hyperlink ref="CA567" r:id="rId2185" xr:uid="{4099133D-EDCA-470A-8178-7D639FD28FE8}"/>
    <hyperlink ref="CB567" r:id="rId2186" xr:uid="{DFCD70B1-E06E-42D1-8E07-FD60D7C18EBB}"/>
    <hyperlink ref="CD567" r:id="rId2187" xr:uid="{0B589030-F787-4A60-B80B-F6E5A835A084}"/>
    <hyperlink ref="O568" r:id="rId2188" xr:uid="{86AF6B76-E658-4CCC-8840-BA820F57B65D}"/>
    <hyperlink ref="S568" r:id="rId2189" xr:uid="{8EC6A08E-BDB3-4DFA-99A7-97FE4A829F21}"/>
    <hyperlink ref="T568" r:id="rId2190" xr:uid="{8D4FA381-E1DC-4C20-8F73-8AE33088A4F5}"/>
    <hyperlink ref="CA568" r:id="rId2191" xr:uid="{430B16B2-1889-4EBA-8A4C-4864D83C0493}"/>
    <hyperlink ref="CB568" r:id="rId2192" xr:uid="{357A75CB-4552-438B-9042-7E3551B8C650}"/>
    <hyperlink ref="CD568" r:id="rId2193" xr:uid="{AB5C210A-AB54-4D15-BE02-9C8FF4379E28}"/>
    <hyperlink ref="O569" r:id="rId2194" xr:uid="{33E93690-3381-4174-B6E8-B2F9E03BAC3E}"/>
    <hyperlink ref="S569" r:id="rId2195" xr:uid="{71C64A53-C0B7-4363-98BE-08AA50C75D6A}"/>
    <hyperlink ref="T569" r:id="rId2196" xr:uid="{F59943A2-B288-46B9-AD77-381244C5041D}"/>
    <hyperlink ref="CA569" r:id="rId2197" xr:uid="{0A1284C9-0E9C-4222-A360-9147FB67659B}"/>
    <hyperlink ref="CB569" r:id="rId2198" xr:uid="{B52C7303-F04C-4326-A3C9-96EE10989837}"/>
    <hyperlink ref="CD569" r:id="rId2199" xr:uid="{7E2B6F6B-0A99-4E81-AAA8-A5FB325C76C2}"/>
    <hyperlink ref="O570" r:id="rId2200" xr:uid="{079A329E-F144-46F1-8BD7-B549239D9567}"/>
    <hyperlink ref="S570" r:id="rId2201" xr:uid="{FC37CDA1-CBEA-4B77-9A9E-D228EB82B8B8}"/>
    <hyperlink ref="T570" r:id="rId2202" xr:uid="{11C4C9E8-EDC0-4B0D-B2C5-4A0748861F82}"/>
    <hyperlink ref="CA570" r:id="rId2203" xr:uid="{30AB3DEF-0EE3-4BB2-992D-4A88E815607E}"/>
    <hyperlink ref="CB570" r:id="rId2204" xr:uid="{371039E2-B369-445E-A399-0F294345A19D}"/>
    <hyperlink ref="CD570" r:id="rId2205" xr:uid="{C1F0CB69-AC8D-44CE-AC19-FC59CBC07EA8}"/>
    <hyperlink ref="O571" r:id="rId2206" xr:uid="{CBE6BDE8-EBE2-42C6-BFE8-F5C40968DB04}"/>
    <hyperlink ref="S571" r:id="rId2207" xr:uid="{DCCE6536-A11E-4E9D-8989-0DAED02AC285}"/>
    <hyperlink ref="T571" r:id="rId2208" xr:uid="{ABD76A42-1BBB-4213-A748-6EF4710F21B2}"/>
    <hyperlink ref="CA571" r:id="rId2209" xr:uid="{F74451B6-3853-49F2-A910-AC89BC26B94B}"/>
    <hyperlink ref="CB571" r:id="rId2210" xr:uid="{74286FD6-89AD-4FA0-9FD7-1829603435D2}"/>
    <hyperlink ref="CD571" r:id="rId2211" xr:uid="{85A02B56-A3C4-475D-A482-6E7A4C85732F}"/>
    <hyperlink ref="O572" r:id="rId2212" xr:uid="{9577004E-BC82-4A2A-91AF-0BF3D861B8AF}"/>
    <hyperlink ref="S572" r:id="rId2213" xr:uid="{1EFF7BB6-034B-4FBC-B0AB-06B207831344}"/>
    <hyperlink ref="CA572" r:id="rId2214" xr:uid="{1E3A2DF2-2C87-4457-93DB-A0FB3424BABD}"/>
    <hyperlink ref="CD572" r:id="rId2215" xr:uid="{AE7CC063-BCFC-4F13-BF15-F3761E36B40B}"/>
    <hyperlink ref="O573" r:id="rId2216" xr:uid="{89E3CEA5-4B8C-44AC-AB00-7F3C688E5700}"/>
    <hyperlink ref="S573" r:id="rId2217" xr:uid="{D4535A49-7B1D-4BD6-8C12-A9AEC274FAC4}"/>
    <hyperlink ref="CA573" r:id="rId2218" xr:uid="{9F104D34-AC2E-466E-9301-DA34ABC44E4B}"/>
    <hyperlink ref="CD573" r:id="rId2219" xr:uid="{F22CEF4D-05D7-4D2B-85BF-904F07DC0707}"/>
    <hyperlink ref="O574" r:id="rId2220" xr:uid="{74D28E12-FE76-41B5-87ED-9F2795612C6D}"/>
    <hyperlink ref="R574" r:id="rId2221" xr:uid="{F9008DA7-350F-4306-AF84-C8F119038F44}"/>
    <hyperlink ref="S574" r:id="rId2222" xr:uid="{0A16261F-01EB-4ADD-86E0-F09904BE855D}"/>
    <hyperlink ref="CA574" r:id="rId2223" xr:uid="{B0475690-8334-44B4-A9F7-F6D90A4810D2}"/>
    <hyperlink ref="CD574" r:id="rId2224" xr:uid="{3AE410C1-3319-44A8-9F75-0A6B01499D8A}"/>
    <hyperlink ref="O575" r:id="rId2225" xr:uid="{3A7FAFE8-0DF8-4ABF-9D93-F8C4DFE24DA3}"/>
    <hyperlink ref="S575" r:id="rId2226" xr:uid="{D33647DE-C1E5-4510-87E9-80FD072DF2EF}"/>
    <hyperlink ref="CA575" r:id="rId2227" xr:uid="{FB2208FF-A6F1-449A-AB39-FB89D69605C6}"/>
    <hyperlink ref="CD575" r:id="rId2228" xr:uid="{47690556-2C89-4477-95E6-91A25DEA39C7}"/>
    <hyperlink ref="O576" r:id="rId2229" xr:uid="{9440CF2F-00E8-4A29-8FD3-A43DAC8D70BD}"/>
    <hyperlink ref="S576" r:id="rId2230" xr:uid="{77F41536-F1DF-4D72-B2E1-EA818D8F4D7F}"/>
    <hyperlink ref="T576" r:id="rId2231" xr:uid="{0C2A5FED-01CD-4F70-9567-224C18684B5A}"/>
    <hyperlink ref="CA576" r:id="rId2232" xr:uid="{E40E77DC-4B65-4F99-97E4-A3C780BA6751}"/>
    <hyperlink ref="CB576" r:id="rId2233" xr:uid="{39E8D84E-90AA-4D14-8A38-D5BA15CA4C51}"/>
    <hyperlink ref="O577" r:id="rId2234" xr:uid="{E3FC6471-A80D-4146-835A-4A1423D9E363}"/>
    <hyperlink ref="S577" r:id="rId2235" xr:uid="{E8F49918-135F-4A4B-80EC-2FF7E839CF9A}"/>
    <hyperlink ref="T577" r:id="rId2236" xr:uid="{CADBAF8F-FFD3-474C-AC90-2E895652AF33}"/>
    <hyperlink ref="CA577" r:id="rId2237" xr:uid="{7F78234A-5037-4E66-AEAC-D688119D3D2E}"/>
    <hyperlink ref="CB577" r:id="rId2238" xr:uid="{E78B01A4-A8BC-4D95-8DB6-09FD4E7DF909}"/>
    <hyperlink ref="CD577" r:id="rId2239" xr:uid="{BDE23525-148A-4FD5-8B5E-7124D46B2A3B}"/>
    <hyperlink ref="O578" r:id="rId2240" xr:uid="{7480BF31-1117-43EC-BE52-7A7D482989BA}"/>
    <hyperlink ref="S578" r:id="rId2241" xr:uid="{CC027AE5-B1A3-4B24-8C02-AE7D295DDF7A}"/>
    <hyperlink ref="T578" r:id="rId2242" xr:uid="{2238E4B5-ECDA-4510-94BE-D3251A44095D}"/>
    <hyperlink ref="CA578" r:id="rId2243" xr:uid="{1D5D7B56-1B4C-4ACC-992D-6DAEC05D7678}"/>
    <hyperlink ref="CB578" r:id="rId2244" xr:uid="{CAE52E03-F878-4B8E-9575-663B8A47E590}"/>
    <hyperlink ref="O579" r:id="rId2245" xr:uid="{1483931F-D6E5-47BE-8A4A-765A09E22CCE}"/>
    <hyperlink ref="S579" r:id="rId2246" xr:uid="{6BBE441D-6A37-409B-81F0-0909EFA91D32}"/>
    <hyperlink ref="T579" r:id="rId2247" xr:uid="{FD4E13C4-705C-4438-8E8D-A1F2186B39C2}"/>
    <hyperlink ref="CA579" r:id="rId2248" xr:uid="{E9451ACD-4C22-4611-8069-410D990D7053}"/>
    <hyperlink ref="CB579" r:id="rId2249" xr:uid="{2141B39A-FC77-45A0-A318-328FADB897F9}"/>
    <hyperlink ref="CD579" r:id="rId2250" xr:uid="{8524F70F-0F79-4CF7-8D3D-FA7FB25B026A}"/>
    <hyperlink ref="O580" r:id="rId2251" xr:uid="{BF63AF46-8774-4EDC-9C50-C03D9D989BCD}"/>
    <hyperlink ref="S580" r:id="rId2252" xr:uid="{580C59FE-CB87-475C-A7A9-54B878B1D8EE}"/>
    <hyperlink ref="T580" r:id="rId2253" xr:uid="{98A07FD9-0DA5-46C1-8C45-65D49DA678B1}"/>
    <hyperlink ref="CA580" r:id="rId2254" xr:uid="{5664FBF6-5288-474E-9066-C005911027F0}"/>
    <hyperlink ref="CB580" r:id="rId2255" xr:uid="{5144D9B4-090C-4F50-9D8C-E4A9C0E772B2}"/>
    <hyperlink ref="CD580" r:id="rId2256" xr:uid="{1A4DF586-8577-4E2B-8B01-95D5F6126D1A}"/>
    <hyperlink ref="O581" r:id="rId2257" xr:uid="{F88222D2-EE7C-411C-B23F-4CB498FF1DC2}"/>
    <hyperlink ref="S581" r:id="rId2258" xr:uid="{CE7C3AD3-C6DE-4223-9E06-F12A6FF61370}"/>
    <hyperlink ref="T581" r:id="rId2259" xr:uid="{331B54E6-31C6-4252-BB52-A4BFDC97CB4D}"/>
    <hyperlink ref="CA581" r:id="rId2260" xr:uid="{E835F42C-8A2D-4413-AF9D-C0E0F051DFBB}"/>
    <hyperlink ref="CB581" r:id="rId2261" xr:uid="{E7AB1BE3-21BA-4013-BDD0-88918356050A}"/>
    <hyperlink ref="O582" r:id="rId2262" xr:uid="{D553FBAB-560C-46B2-8E2D-874C41C3F1BD}"/>
    <hyperlink ref="S582" r:id="rId2263" xr:uid="{2C69627F-0185-4D53-B5DE-8AE671EB28FE}"/>
    <hyperlink ref="T582" r:id="rId2264" xr:uid="{A6A320A3-AB8E-402B-81F4-F4A538B4317F}"/>
    <hyperlink ref="CA582" r:id="rId2265" xr:uid="{3A656D04-5536-487E-8846-AE5ADDA7EC70}"/>
    <hyperlink ref="CB582" r:id="rId2266" xr:uid="{DDAE3A7A-4F1A-4C6A-9054-E302CD9A83B1}"/>
    <hyperlink ref="CD582" r:id="rId2267" xr:uid="{7AF1C89D-11AD-4BB7-83B6-F0417E32A6F9}"/>
    <hyperlink ref="O583" r:id="rId2268" xr:uid="{27FB92B4-9A32-45F7-8688-DEE09754A46F}"/>
    <hyperlink ref="S583" r:id="rId2269" xr:uid="{FB706048-10FA-4096-913C-638D91C674CA}"/>
    <hyperlink ref="T583" r:id="rId2270" xr:uid="{FB576199-4539-4AF6-ABA1-2ECDA2C79F91}"/>
    <hyperlink ref="CA583" r:id="rId2271" xr:uid="{FEDC1B61-7517-4563-BEE9-217562B2A122}"/>
    <hyperlink ref="CB583" r:id="rId2272" xr:uid="{8B276867-0205-449A-80EF-EE435B50EC7F}"/>
    <hyperlink ref="CD583" r:id="rId2273" xr:uid="{0106505F-1D44-4AE1-96DA-30649AD2F815}"/>
    <hyperlink ref="O584" r:id="rId2274" xr:uid="{B23FA095-D11D-4AFE-9284-6AD153F133EF}"/>
    <hyperlink ref="S584" r:id="rId2275" xr:uid="{E60C1C25-A4E7-4DCE-8E77-F36E596A5DD5}"/>
    <hyperlink ref="T584" r:id="rId2276" xr:uid="{4DA49E5D-DFA3-4824-868E-50748271C722}"/>
    <hyperlink ref="CA584" r:id="rId2277" xr:uid="{DEF908EB-3E5B-4F01-A00D-DBE9587CDDF2}"/>
    <hyperlink ref="CB584" r:id="rId2278" xr:uid="{2B2465EF-02EB-428F-9D6C-7A0B11E32030}"/>
    <hyperlink ref="CD584" r:id="rId2279" xr:uid="{8EBEA806-DE44-4E7B-B0A7-49CEDBC36A23}"/>
    <hyperlink ref="O585" r:id="rId2280" xr:uid="{9137DC99-96FF-499F-A7CE-1F80BAB7C5E2}"/>
    <hyperlink ref="S585" r:id="rId2281" xr:uid="{35DA3D55-6FD3-4350-8A45-072780D68618}"/>
    <hyperlink ref="T585" r:id="rId2282" xr:uid="{9525194A-FA84-4ED7-9EC2-BB4721A7F7E7}"/>
    <hyperlink ref="CA585" r:id="rId2283" xr:uid="{27209FE8-6F0C-4320-9E9E-3D0A7C73A628}"/>
    <hyperlink ref="CB585" r:id="rId2284" xr:uid="{AE4188BF-1A06-411C-91DB-CFC19BC14C77}"/>
    <hyperlink ref="CD585" r:id="rId2285" xr:uid="{110E9D96-BB9D-493F-8FBE-EE02AC10025B}"/>
    <hyperlink ref="O586" r:id="rId2286" xr:uid="{FBC56F2A-95AF-43B4-9BB6-002FFDF56B9D}"/>
    <hyperlink ref="S586" r:id="rId2287" xr:uid="{0B709899-AF08-4EE8-AB1C-C9D15D92B075}"/>
    <hyperlink ref="T586" r:id="rId2288" xr:uid="{8A5DCE6B-9D4A-4769-AB65-DC8AC4114A0D}"/>
    <hyperlink ref="CA586" r:id="rId2289" xr:uid="{36CA1D58-8850-4B71-B201-455D536C4232}"/>
    <hyperlink ref="CB586" r:id="rId2290" xr:uid="{F0C2F63D-65B3-4829-A6B6-F6D431692B2A}"/>
    <hyperlink ref="CD586" r:id="rId2291" xr:uid="{5468852D-819A-4615-9FE1-16F6F8121B34}"/>
    <hyperlink ref="O587" r:id="rId2292" xr:uid="{E8E9DCDA-1521-4944-A81A-3F10312736AE}"/>
    <hyperlink ref="S587" r:id="rId2293" xr:uid="{3ADBD3F3-642B-4C87-ABD0-4A333B8ED303}"/>
    <hyperlink ref="T587" r:id="rId2294" xr:uid="{B91AD325-A116-4B71-86CA-5A66BCADD305}"/>
    <hyperlink ref="CA587" r:id="rId2295" xr:uid="{A1CBB4A5-DC2E-400E-B4D3-432CEDD0B2AE}"/>
    <hyperlink ref="CB587" r:id="rId2296" xr:uid="{743684FF-C85D-4311-8F2B-8A2C332CE49C}"/>
    <hyperlink ref="O588" r:id="rId2297" xr:uid="{B27BB4E0-A7E0-41AD-82C1-54DD379C210E}"/>
    <hyperlink ref="S588" r:id="rId2298" xr:uid="{86868471-444B-43D5-A4BC-E182D0B76D43}"/>
    <hyperlink ref="T588" r:id="rId2299" xr:uid="{76226EA4-E55A-4B9E-B340-A7D5221A82C5}"/>
    <hyperlink ref="CA588" r:id="rId2300" xr:uid="{B5C29BF7-CAE0-453D-B0CC-95CD2D5D28E1}"/>
    <hyperlink ref="CB588" r:id="rId2301" xr:uid="{EBE22276-3CB5-4B08-907D-C346C4FE61FD}"/>
    <hyperlink ref="CD588" r:id="rId2302" xr:uid="{9FA5FA93-E7F6-46EC-9439-35A34F6CBC5B}"/>
    <hyperlink ref="O589" r:id="rId2303" xr:uid="{8BC03581-5CBF-49CE-9C8E-D439796A64FD}"/>
    <hyperlink ref="S589" r:id="rId2304" xr:uid="{9F59CE00-5048-4A46-AA74-20E61888DDA5}"/>
    <hyperlink ref="T589" r:id="rId2305" xr:uid="{8A3AB80F-7145-4112-AE8B-7815423C9FBA}"/>
    <hyperlink ref="CA589" r:id="rId2306" xr:uid="{BAEBEA6C-7A45-4D85-9822-21F525F8CEA8}"/>
    <hyperlink ref="CB589" r:id="rId2307" xr:uid="{BE3B9E25-8E57-44AA-ACEA-CF8C8194F3AC}"/>
    <hyperlink ref="CD589" r:id="rId2308" xr:uid="{E508C065-2476-4CE6-AD80-AF3F1822281C}"/>
    <hyperlink ref="O590" r:id="rId2309" xr:uid="{B4DD3D44-FDD7-4251-86F7-7D05D4F761DD}"/>
    <hyperlink ref="S590" r:id="rId2310" xr:uid="{5558C4DC-E47F-495D-A952-4D108777B905}"/>
    <hyperlink ref="T590" r:id="rId2311" xr:uid="{C8BF8FD7-E8DB-402F-9E3E-C3B68EA11690}"/>
    <hyperlink ref="CA590" r:id="rId2312" xr:uid="{623836DD-F12C-439D-A97D-77B335469A01}"/>
    <hyperlink ref="CB590" r:id="rId2313" xr:uid="{3816100F-24B8-4507-84D0-93801F26EAA1}"/>
    <hyperlink ref="CD590" r:id="rId2314" xr:uid="{33AF98CA-441A-4839-9233-8D437BEA306F}"/>
    <hyperlink ref="O591" r:id="rId2315" xr:uid="{63237D54-4185-4213-A2FA-28C269A1DC97}"/>
    <hyperlink ref="S591" r:id="rId2316" xr:uid="{9FF32118-F01A-4DE7-9D9B-A9FEC4027EA3}"/>
    <hyperlink ref="T591" r:id="rId2317" xr:uid="{6585EC31-0220-4A2C-898D-665E97F02624}"/>
    <hyperlink ref="CA591" r:id="rId2318" xr:uid="{AA8087CB-AD37-45F3-9C02-478D2E398E8C}"/>
    <hyperlink ref="CB591" r:id="rId2319" xr:uid="{F932FC2E-57E0-47E0-82BA-133729894D26}"/>
    <hyperlink ref="CD591" r:id="rId2320" xr:uid="{20E1F39A-5412-49FD-8B58-21056E437547}"/>
    <hyperlink ref="O592" r:id="rId2321" xr:uid="{0CB6CD02-6964-4D29-8A83-ADEA7B54DED8}"/>
    <hyperlink ref="S592" r:id="rId2322" xr:uid="{D59C5C0A-5D42-41E6-A16A-76EC34166013}"/>
    <hyperlink ref="T592" r:id="rId2323" xr:uid="{645E4C73-E0ED-4CEE-9EA0-618DC420AF27}"/>
    <hyperlink ref="CA592" r:id="rId2324" xr:uid="{9BCB2FD6-AA5E-4827-B3CB-B728A3CC8B5E}"/>
    <hyperlink ref="CB592" r:id="rId2325" xr:uid="{45AA23A1-508F-4C84-8B5E-D6DD26807B42}"/>
    <hyperlink ref="CD592" r:id="rId2326" xr:uid="{0A5BCC9E-E51F-42F0-BED4-95F70EC1313E}"/>
    <hyperlink ref="O593" r:id="rId2327" xr:uid="{FB848F04-761D-4943-8CDB-F2F5E928C70A}"/>
    <hyperlink ref="S593" r:id="rId2328" xr:uid="{201DE70C-7EFC-4FD8-B9AE-4F8D9C543D79}"/>
    <hyperlink ref="T593" r:id="rId2329" xr:uid="{DCB237E1-24C0-4E01-B16F-AAEDEE370A9C}"/>
    <hyperlink ref="CA593" r:id="rId2330" xr:uid="{4F8E6C28-13DE-48B9-ABAC-14C3A98BEF6B}"/>
    <hyperlink ref="CB593" r:id="rId2331" xr:uid="{875826F4-C4FF-4327-A20C-C9D3720030AB}"/>
    <hyperlink ref="CD593" r:id="rId2332" xr:uid="{07B98720-8E82-4A51-ABE1-4CCE92A0E5F2}"/>
    <hyperlink ref="O594" r:id="rId2333" xr:uid="{9D3A44CA-801A-4CBB-AAC1-7ECEF8EB5092}"/>
    <hyperlink ref="S594" r:id="rId2334" xr:uid="{13A6DD3F-3BD6-423E-9655-5C2B00DC4D10}"/>
    <hyperlink ref="T594" r:id="rId2335" xr:uid="{A8801A74-CF66-4859-81A6-7F8FD327158B}"/>
    <hyperlink ref="CA594" r:id="rId2336" xr:uid="{BE504F47-BC96-4C70-898D-9E0B1B70195C}"/>
    <hyperlink ref="CB594" r:id="rId2337" xr:uid="{E9F41849-4C9E-482A-825B-AA28A58B22F3}"/>
    <hyperlink ref="CD594" r:id="rId2338" xr:uid="{9162E00A-584D-4EBD-A5F3-CC5E64F5AD7B}"/>
    <hyperlink ref="O595" r:id="rId2339" xr:uid="{9AC32A64-84A8-42BB-A120-744C65EBF5A8}"/>
    <hyperlink ref="S595" r:id="rId2340" xr:uid="{73475B2D-8AC2-4263-B59A-D29749C4A7F3}"/>
    <hyperlink ref="T595" r:id="rId2341" xr:uid="{F0B921D4-409D-4FB2-B24D-D6A7422275FE}"/>
    <hyperlink ref="CA595" r:id="rId2342" xr:uid="{A804CDED-8B82-4844-B638-35A1FAD32BA9}"/>
    <hyperlink ref="CB595" r:id="rId2343" xr:uid="{EBF42BD1-D65A-4BE0-88E7-11A9F8A343B4}"/>
    <hyperlink ref="O596" r:id="rId2344" xr:uid="{76FDC031-3B6B-4D33-80E9-627423807C9E}"/>
    <hyperlink ref="S596" r:id="rId2345" xr:uid="{39FDDFA9-E816-4BAB-8A43-85D188868052}"/>
    <hyperlink ref="T596" r:id="rId2346" xr:uid="{7BA899A5-FF9E-43EE-A81D-BECEBBD4E9BB}"/>
    <hyperlink ref="CA596" r:id="rId2347" xr:uid="{A93A4225-E343-4720-8679-BA3C70F6B02E}"/>
    <hyperlink ref="CB596" r:id="rId2348" xr:uid="{C99C54A5-69E1-48A2-97B2-89E42AFA1C70}"/>
    <hyperlink ref="CD596" r:id="rId2349" xr:uid="{6F9F0A48-2C68-483F-ADA8-A076DD98ADFC}"/>
    <hyperlink ref="O597" r:id="rId2350" xr:uid="{22184061-269D-4E28-A390-3DC999DF46F6}"/>
    <hyperlink ref="S597" r:id="rId2351" xr:uid="{D29E1D1A-7C0D-4F3E-8493-BEECF7F92954}"/>
    <hyperlink ref="T597" r:id="rId2352" xr:uid="{76AF88D0-7E66-4A7C-B080-34A187A57C9A}"/>
    <hyperlink ref="CA597" r:id="rId2353" xr:uid="{52018EB5-87C2-4507-BBE7-A81E6460B6EE}"/>
    <hyperlink ref="CB597" r:id="rId2354" xr:uid="{AB42BE4F-1FA8-4D77-A46D-43B6B4BC905A}"/>
    <hyperlink ref="O598" r:id="rId2355" xr:uid="{78EC9B0B-7A86-4478-94CF-3F7622C719B9}"/>
    <hyperlink ref="S598" r:id="rId2356" xr:uid="{158EACD0-DC46-4C74-8957-2AAD0F5D3FFA}"/>
    <hyperlink ref="T598" r:id="rId2357" xr:uid="{B827767B-5DA6-4AC5-913C-654A0AD2F5DF}"/>
    <hyperlink ref="CA598" r:id="rId2358" xr:uid="{62CD49CD-5AE6-44D0-93DA-699807034FD4}"/>
    <hyperlink ref="CB598" r:id="rId2359" xr:uid="{B95EE50B-A228-4E2A-A87D-B458DEA90E84}"/>
    <hyperlink ref="CD598" r:id="rId2360" xr:uid="{DF6A2436-F8E7-42F6-9625-DF599B4374F9}"/>
    <hyperlink ref="O599" r:id="rId2361" xr:uid="{7BFA407E-B8B7-4A80-9CA9-6A118F6ED6C7}"/>
    <hyperlink ref="S599" r:id="rId2362" xr:uid="{8EA7BAD4-F63F-471A-B72C-5C8779B6354B}"/>
    <hyperlink ref="T599" r:id="rId2363" xr:uid="{7FF9C18C-9B1F-4495-9597-984D2E8D4756}"/>
    <hyperlink ref="CA599" r:id="rId2364" xr:uid="{09228344-EF79-472E-9F45-E679A23929D1}"/>
    <hyperlink ref="CB599" r:id="rId2365" xr:uid="{E8F9234D-C666-41A7-BA1A-A14E100128B4}"/>
    <hyperlink ref="CD599" r:id="rId2366" xr:uid="{301002DA-B4AD-4ED3-BCC7-4E1F7A394E15}"/>
    <hyperlink ref="O600" r:id="rId2367" xr:uid="{A9EDC9F5-E926-457C-B38F-ABCCB5E0A11E}"/>
    <hyperlink ref="S600" r:id="rId2368" xr:uid="{86F8D502-53D6-44B0-8931-5C4DDB09014C}"/>
    <hyperlink ref="T600" r:id="rId2369" xr:uid="{9B576CDB-B90A-42C1-A013-EC38B6BC8BAF}"/>
    <hyperlink ref="CA600" r:id="rId2370" xr:uid="{84AA8DAE-10ED-4E77-9EAC-75D7B6EFF5B4}"/>
    <hyperlink ref="CB600" r:id="rId2371" xr:uid="{FF381F09-F66B-49EA-8B3A-A1EA13C64E2B}"/>
    <hyperlink ref="CD600" r:id="rId2372" xr:uid="{BF8A1020-1CD7-4C65-B060-DC4051CA77DE}"/>
    <hyperlink ref="O601" r:id="rId2373" xr:uid="{0CF28002-9376-466D-8ADE-AC07E65C2643}"/>
    <hyperlink ref="S601" r:id="rId2374" xr:uid="{6032B596-576E-499B-AAFF-6E940DEF68B3}"/>
    <hyperlink ref="T601" r:id="rId2375" xr:uid="{492429D3-3C04-46DB-B394-7DA0F6280CA3}"/>
    <hyperlink ref="CA601" r:id="rId2376" xr:uid="{5C1B0CBA-0CE2-4A02-9364-26AAA78184D5}"/>
    <hyperlink ref="CB601" r:id="rId2377" xr:uid="{02A6BF1C-4743-443D-A4CB-976A4E594D60}"/>
    <hyperlink ref="CD601" r:id="rId2378" xr:uid="{A1733484-2A0D-4919-8D94-E690E2C48FCE}"/>
    <hyperlink ref="O602" r:id="rId2379" xr:uid="{9B11DF01-5C00-41A8-ABF4-6CA0BB4BCE33}"/>
    <hyperlink ref="S602" r:id="rId2380" xr:uid="{1895B22A-87F9-4FA9-BD8A-8577FFF4DFB4}"/>
    <hyperlink ref="T602" r:id="rId2381" xr:uid="{F6B8B52E-1737-4721-A29B-8FC92146AFCE}"/>
    <hyperlink ref="CA602" r:id="rId2382" xr:uid="{9B1F871F-E1FD-4D63-B9A3-05E185A9FE58}"/>
    <hyperlink ref="CB602" r:id="rId2383" xr:uid="{AB8E40CC-8461-4F90-82D0-71DA9120DF1A}"/>
    <hyperlink ref="CD602" r:id="rId2384" xr:uid="{07573A9E-C2A1-43B3-821B-302D0A7BDAF8}"/>
    <hyperlink ref="O603" r:id="rId2385" xr:uid="{9101C7F0-15A2-4261-8845-12D0D9D3AAA7}"/>
    <hyperlink ref="S603" r:id="rId2386" xr:uid="{961412E4-317E-40FD-A639-FDCCF44294D4}"/>
    <hyperlink ref="T603" r:id="rId2387" xr:uid="{53CBE1E0-7517-4009-AA4B-6C06ABA673B1}"/>
    <hyperlink ref="CA603" r:id="rId2388" xr:uid="{19F44D3B-391A-4886-B2E7-BAC8F0887921}"/>
    <hyperlink ref="CB603" r:id="rId2389" xr:uid="{9413DB67-70B8-431D-9096-A22ADF934A59}"/>
    <hyperlink ref="CD603" r:id="rId2390" xr:uid="{A16E1A1E-1095-4D6E-8957-85C7DD750499}"/>
    <hyperlink ref="O604" r:id="rId2391" xr:uid="{55555612-0822-420E-BFB8-2DFA5CB93FF0}"/>
    <hyperlink ref="S604" r:id="rId2392" xr:uid="{39685F65-3928-41EE-9A35-560A8F68264B}"/>
    <hyperlink ref="T604" r:id="rId2393" xr:uid="{F5AF624F-8BC0-4151-8EEB-F8F240A5A230}"/>
    <hyperlink ref="CA604" r:id="rId2394" xr:uid="{BA297D4B-4E37-43D5-B6D5-B59D27879226}"/>
    <hyperlink ref="CB604" r:id="rId2395" xr:uid="{CBB10C92-837B-41BF-AC20-1642D1A85837}"/>
    <hyperlink ref="CD604" r:id="rId2396" xr:uid="{218911CF-8865-4AC8-83F6-4311EFF40278}"/>
    <hyperlink ref="O605" r:id="rId2397" xr:uid="{3119CE40-863A-40A6-8115-15BB592CAEBB}"/>
    <hyperlink ref="S605" r:id="rId2398" xr:uid="{34153905-C7E7-4B55-9A54-591457391FB2}"/>
    <hyperlink ref="T605" r:id="rId2399" xr:uid="{BFBD43AE-800B-49F5-81C6-4F2F75469CDD}"/>
    <hyperlink ref="CA605" r:id="rId2400" xr:uid="{F1ECC73E-26F0-45FC-9A66-DD7E34077305}"/>
    <hyperlink ref="CB605" r:id="rId2401" xr:uid="{22D990A6-388B-4A34-819F-A3E92EE1C178}"/>
    <hyperlink ref="O606" r:id="rId2402" xr:uid="{3EA74CD0-8B59-4843-9C09-EA46CF6AC3FC}"/>
    <hyperlink ref="S606" r:id="rId2403" xr:uid="{B8CCBF60-8C4F-4839-A8F0-7274B5293443}"/>
    <hyperlink ref="T606" r:id="rId2404" xr:uid="{60D00EDE-FCA6-48DA-95BF-4DF1B33549ED}"/>
    <hyperlink ref="CA606" r:id="rId2405" xr:uid="{97ED21BA-0383-47FC-A1B1-FB49A2C68F24}"/>
    <hyperlink ref="CB606" r:id="rId2406" xr:uid="{14849613-766A-474E-B76A-300C349F2B40}"/>
    <hyperlink ref="CD606" r:id="rId2407" xr:uid="{E30CF66C-6A9F-44A3-BD85-14DC31A13928}"/>
    <hyperlink ref="O607" r:id="rId2408" xr:uid="{DFB119EF-1C98-42C7-9EEC-FE3EEEDB4A2B}"/>
    <hyperlink ref="S607" r:id="rId2409" xr:uid="{2A8D56DF-B8B0-4BDC-A8D2-68262262848F}"/>
    <hyperlink ref="T607" r:id="rId2410" xr:uid="{22CAC978-FB76-422D-9C9E-D27441F897A6}"/>
    <hyperlink ref="CA607" r:id="rId2411" xr:uid="{FFE3BA12-D128-47C2-BDB1-C8F4AF4DC846}"/>
    <hyperlink ref="CB607" r:id="rId2412" xr:uid="{940722D4-ED44-4F0E-A115-F083D1263591}"/>
    <hyperlink ref="CD607" r:id="rId2413" xr:uid="{7D813C5D-24EA-4E3B-AB6E-A8B23456AE78}"/>
    <hyperlink ref="O608" r:id="rId2414" xr:uid="{1439EA13-D76A-4168-B0AB-D32934B8D0E3}"/>
    <hyperlink ref="S608" r:id="rId2415" xr:uid="{9FD2EE8B-0B10-4463-AAF8-F3C2A0AE793D}"/>
    <hyperlink ref="T608" r:id="rId2416" xr:uid="{25DDE156-302E-4A3A-9064-49DE356C13D6}"/>
    <hyperlink ref="CA608" r:id="rId2417" xr:uid="{9AD054E4-569D-4AEC-86EA-C2290D8EE237}"/>
    <hyperlink ref="CB608" r:id="rId2418" xr:uid="{395B08CD-68E6-493A-8812-428E25CCD26F}"/>
    <hyperlink ref="O609" r:id="rId2419" xr:uid="{62B7D960-FA76-4933-B3EF-23CFD79C4555}"/>
    <hyperlink ref="S609" r:id="rId2420" xr:uid="{6B0B2B7D-2FDF-41DB-B359-5060E0B698A4}"/>
    <hyperlink ref="T609" r:id="rId2421" xr:uid="{110C3079-874D-4985-912E-BBD2137B66C1}"/>
    <hyperlink ref="CA609" r:id="rId2422" xr:uid="{274426CF-28C8-43E7-AA71-87E42540AB22}"/>
    <hyperlink ref="CB609" r:id="rId2423" xr:uid="{5605D826-E4F1-4C29-AA25-AB751A1F68AB}"/>
    <hyperlink ref="O610" r:id="rId2424" xr:uid="{42AC57EA-B0B7-4C51-8FAA-963C07DF6D14}"/>
    <hyperlink ref="S610" r:id="rId2425" xr:uid="{31F65410-D23E-47F5-A763-5544EF0405A5}"/>
    <hyperlink ref="T610" r:id="rId2426" xr:uid="{44574EB3-5291-4263-A14D-4CD2A7A5AA66}"/>
    <hyperlink ref="CA610" r:id="rId2427" xr:uid="{8AE23962-5794-4BC8-ACB0-7688C8BE88E2}"/>
    <hyperlink ref="CB610" r:id="rId2428" xr:uid="{0120FB6B-8AE4-4856-AD25-A474B8D7EA5F}"/>
    <hyperlink ref="CD610" r:id="rId2429" xr:uid="{C55B9261-95E2-4CB3-8B5C-1E3F2DDD903F}"/>
    <hyperlink ref="O611" r:id="rId2430" xr:uid="{C4911D7E-3A57-48CB-B4FB-6ADDA36ED3C5}"/>
    <hyperlink ref="S611" r:id="rId2431" xr:uid="{19D03176-A04E-47EC-A036-DBF7A4AB3809}"/>
    <hyperlink ref="T611" r:id="rId2432" xr:uid="{8BFB52E7-17F7-419B-897C-D3EEC08D1F23}"/>
    <hyperlink ref="CA611" r:id="rId2433" xr:uid="{6CFA524F-F863-498E-9252-2B08ED104BB2}"/>
    <hyperlink ref="CB611" r:id="rId2434" xr:uid="{8A455225-C8AC-42CB-B99A-A4CA483945EC}"/>
    <hyperlink ref="CD611" r:id="rId2435" xr:uid="{E18F1D37-DC6C-4322-8B05-1FDD0CB9CDB3}"/>
    <hyperlink ref="O612" r:id="rId2436" xr:uid="{0997A999-FDC0-4F81-873E-AB6BD557B5CA}"/>
    <hyperlink ref="S612" r:id="rId2437" xr:uid="{5A88634B-5CA8-409C-A7C3-B97F6E16F111}"/>
    <hyperlink ref="T612" r:id="rId2438" xr:uid="{644E2F22-C487-473D-A521-8D7FAB4F74AE}"/>
    <hyperlink ref="CA612" r:id="rId2439" xr:uid="{9618B98D-1FEF-4FC7-8DAC-1A1759BC96DA}"/>
    <hyperlink ref="CB612" r:id="rId2440" xr:uid="{1F52EC79-C95C-4B5A-9248-97C09D40F31D}"/>
    <hyperlink ref="CD612" r:id="rId2441" xr:uid="{E8442ACC-B109-4268-968F-88FB6ED98B57}"/>
    <hyperlink ref="O613" r:id="rId2442" xr:uid="{0CF183DF-7D4F-4406-B76B-CD1CB18D0A12}"/>
    <hyperlink ref="S613" r:id="rId2443" xr:uid="{3F80A683-E8A5-4985-8532-D51D3AC21328}"/>
    <hyperlink ref="T613" r:id="rId2444" xr:uid="{4441D524-7958-4E5E-8703-B9FF57B29B23}"/>
    <hyperlink ref="CA613" r:id="rId2445" xr:uid="{8F53A427-F54A-4B0B-86BA-8B8540A479B4}"/>
    <hyperlink ref="CB613" r:id="rId2446" xr:uid="{A5192B2B-A19A-4614-9CFB-74E5A0D1347E}"/>
    <hyperlink ref="O614" r:id="rId2447" xr:uid="{18EEF6AC-CD27-4594-B92B-47087EE60C59}"/>
    <hyperlink ref="S614" r:id="rId2448" xr:uid="{44B26621-CFE7-4637-8C13-62B6A1AAD652}"/>
    <hyperlink ref="T614" r:id="rId2449" xr:uid="{1BCF1A08-9672-4090-AFBE-2D8FEC9619E4}"/>
    <hyperlink ref="CA614" r:id="rId2450" xr:uid="{F5E04B5A-CE22-410C-9183-631791B69EC9}"/>
    <hyperlink ref="CB614" r:id="rId2451" xr:uid="{6BAC9319-BAB2-479F-A8C7-A35804BB5D24}"/>
    <hyperlink ref="O615" r:id="rId2452" xr:uid="{7322D362-A370-4E57-ADFF-903361272FAD}"/>
    <hyperlink ref="S615" r:id="rId2453" xr:uid="{E20237A8-DA10-4329-9F97-8CE0B88038A0}"/>
    <hyperlink ref="T615" r:id="rId2454" xr:uid="{C4081C4E-4D83-4F76-9600-DFD7E0D36FA3}"/>
    <hyperlink ref="CA615" r:id="rId2455" xr:uid="{B6405B95-4E4F-4B3B-A437-FF866E6375A0}"/>
    <hyperlink ref="CB615" r:id="rId2456" xr:uid="{D205C04B-0488-4413-8EE6-9D0A1D4B62E4}"/>
    <hyperlink ref="O616" r:id="rId2457" xr:uid="{5C0C3FD0-C7FC-454D-983B-6948BD49A1D5}"/>
    <hyperlink ref="S616" r:id="rId2458" xr:uid="{B59DCC4A-F9B1-4DB3-A773-704CC1137B50}"/>
    <hyperlink ref="T616" r:id="rId2459" xr:uid="{915B67D1-1779-4ECA-981C-2DE2C6AC9E2B}"/>
    <hyperlink ref="CA616" r:id="rId2460" xr:uid="{A2A3CC6A-D8E1-4050-8CBC-9055B4BDE25E}"/>
    <hyperlink ref="CB616" r:id="rId2461" xr:uid="{9CA17FF3-5F91-4C1D-8062-38A7781771EB}"/>
    <hyperlink ref="CD616" r:id="rId2462" xr:uid="{7AD48A61-4365-4E0A-AF9D-9FDA4853D063}"/>
    <hyperlink ref="O617" r:id="rId2463" xr:uid="{C9B44D73-43CD-4D83-BFBB-656C355EFE62}"/>
    <hyperlink ref="S617" r:id="rId2464" xr:uid="{09D306FB-8E39-497B-BE94-62B179AE591F}"/>
    <hyperlink ref="T617" r:id="rId2465" xr:uid="{71C3B6EC-B910-4EB6-ADDC-EDFFEB1B7B10}"/>
    <hyperlink ref="CA617" r:id="rId2466" xr:uid="{4A5A4C14-AE65-4735-A6CC-D5EFC2CF2C15}"/>
    <hyperlink ref="CB617" r:id="rId2467" xr:uid="{E3D6B0A0-0645-44B5-9D75-423660BD44A1}"/>
    <hyperlink ref="O618" r:id="rId2468" xr:uid="{26EF65F5-0A2E-42A1-B4FF-C43CCDFAF220}"/>
    <hyperlink ref="S618" r:id="rId2469" xr:uid="{4B879172-768F-4305-9737-F6F518D7832D}"/>
    <hyperlink ref="T618" r:id="rId2470" xr:uid="{024C1545-7248-4654-8FBB-F4CD325DE050}"/>
    <hyperlink ref="CA618" r:id="rId2471" xr:uid="{7330E09A-F1BB-46C1-9EA1-4B22587231AA}"/>
    <hyperlink ref="CB618" r:id="rId2472" xr:uid="{9A4534AD-CED3-4271-9FE1-C8E04A904A2E}"/>
    <hyperlink ref="CD618" r:id="rId2473" xr:uid="{3A50D9B9-A692-4E8E-9B1D-003F646FC89A}"/>
    <hyperlink ref="O619" r:id="rId2474" xr:uid="{9C97A5CC-48E5-4654-96A7-AB074272E47E}"/>
    <hyperlink ref="S619" r:id="rId2475" xr:uid="{99AA25B5-68B9-4F11-948A-DD0C742F5DFB}"/>
    <hyperlink ref="T619" r:id="rId2476" xr:uid="{50334FEA-9209-4FAE-B41C-FD76FC236FE9}"/>
    <hyperlink ref="CA619" r:id="rId2477" xr:uid="{DD712634-EF74-4CBB-BDA6-0828528ECE1A}"/>
    <hyperlink ref="CB619" r:id="rId2478" xr:uid="{EF04A3C4-18A9-4C79-9101-024C91FC9864}"/>
    <hyperlink ref="CD619" r:id="rId2479" xr:uid="{4E35273E-4225-4EBA-A382-45BE64D48566}"/>
    <hyperlink ref="O620" r:id="rId2480" xr:uid="{6AA057FE-0835-4C36-A104-A8F6C772D745}"/>
    <hyperlink ref="S620" r:id="rId2481" xr:uid="{89160A1E-FEBE-4FF7-950B-EA51240A04A7}"/>
    <hyperlink ref="T620" r:id="rId2482" xr:uid="{2CB7E3B2-7C2C-45EC-B249-7E1BEBFE9EBB}"/>
    <hyperlink ref="CA620" r:id="rId2483" xr:uid="{2E9EAC59-F2B1-466C-B684-5B3DE7E3562B}"/>
    <hyperlink ref="CB620" r:id="rId2484" xr:uid="{BB70A462-EE67-43AA-ABD2-00E14039D7FC}"/>
    <hyperlink ref="CD620" r:id="rId2485" xr:uid="{37D6C54D-2BFD-4FE5-B678-605FCCAF3432}"/>
    <hyperlink ref="O621" r:id="rId2486" xr:uid="{04897B11-EA5C-404E-9009-208ED2DB905F}"/>
    <hyperlink ref="S621" r:id="rId2487" xr:uid="{CA9A36E2-D448-4FCE-A5F6-B82DB220288C}"/>
    <hyperlink ref="T621" r:id="rId2488" xr:uid="{BFA1D4F0-1A94-4799-A7F3-255624FBEFC0}"/>
    <hyperlink ref="CA621" r:id="rId2489" xr:uid="{370F418A-276F-45B6-AF0C-5A54B1DA9F04}"/>
    <hyperlink ref="CB621" r:id="rId2490" xr:uid="{D557B1A4-AD24-427C-97BA-C258BE543118}"/>
    <hyperlink ref="O622" r:id="rId2491" xr:uid="{A6D0BA2C-9C18-486F-A2C6-396D19FD7513}"/>
    <hyperlink ref="S622" r:id="rId2492" xr:uid="{6A19F452-6F94-4437-A71E-E188AC112140}"/>
    <hyperlink ref="T622" r:id="rId2493" xr:uid="{78324128-89D2-4691-8C11-0BC1FDCDEF5A}"/>
    <hyperlink ref="CA622" r:id="rId2494" xr:uid="{382E400C-3294-4F63-8119-27A5199B7EC6}"/>
    <hyperlink ref="CB622" r:id="rId2495" xr:uid="{7A64A5A1-A7BA-4D4E-A417-F22A15008917}"/>
    <hyperlink ref="O623" r:id="rId2496" xr:uid="{7C3E47F4-9ABE-433D-9C6A-9E1CDD6FC2FC}"/>
    <hyperlink ref="S623" r:id="rId2497" xr:uid="{C11B5EE6-1F13-447E-8DEB-8802DAF732B4}"/>
    <hyperlink ref="T623" r:id="rId2498" xr:uid="{988A71CB-EAB7-4C3B-950F-9BF5795B1D5A}"/>
    <hyperlink ref="CA623" r:id="rId2499" xr:uid="{8FDACDC3-39FB-4E9B-A1D5-229A90A973E1}"/>
    <hyperlink ref="CB623" r:id="rId2500" xr:uid="{A66DD047-23DF-4DBA-8911-1123122B5E54}"/>
    <hyperlink ref="CD623" r:id="rId2501" xr:uid="{D60DD71A-91B7-4BD4-ADF3-258A2B6D0B52}"/>
    <hyperlink ref="O624" r:id="rId2502" xr:uid="{C57C62CF-E4EC-4B6B-A523-6C03B780B767}"/>
    <hyperlink ref="S624" r:id="rId2503" xr:uid="{0E50F098-B55D-47B9-9C7B-9D115CDA7935}"/>
    <hyperlink ref="T624" r:id="rId2504" xr:uid="{F4766CC9-0C3A-4724-AC3C-35E2CCF4EED5}"/>
    <hyperlink ref="CA624" r:id="rId2505" xr:uid="{9D06DF3B-BF60-4542-815C-DFA1C11DC7D7}"/>
    <hyperlink ref="CB624" r:id="rId2506" xr:uid="{AA00638E-F37F-446F-A3A5-FED08D7C8A8E}"/>
    <hyperlink ref="CD624" r:id="rId2507" xr:uid="{8CAE7BC4-3BF1-4400-BB1A-54729FB0177C}"/>
    <hyperlink ref="O625" r:id="rId2508" xr:uid="{DDEC18DC-8057-487F-B7BC-8CE9DF330DDD}"/>
    <hyperlink ref="S625" r:id="rId2509" xr:uid="{61E07BB3-3805-417D-ACA4-20FB2362D0F0}"/>
    <hyperlink ref="T625" r:id="rId2510" xr:uid="{1612159B-83D4-4118-9911-061E71E4569C}"/>
    <hyperlink ref="CA625" r:id="rId2511" xr:uid="{6A81BBA1-7853-4CD5-80F5-FDCD87966E04}"/>
    <hyperlink ref="CB625" r:id="rId2512" xr:uid="{DFC43BB1-678C-4F61-AC18-F0486E98E7A3}"/>
    <hyperlink ref="CD625" r:id="rId2513" xr:uid="{CF598DB1-F6C4-4A96-8582-996E42F584D6}"/>
    <hyperlink ref="O626" r:id="rId2514" xr:uid="{394497A6-B08C-4177-BF92-1C2A23540B25}"/>
    <hyperlink ref="S626" r:id="rId2515" xr:uid="{E31463BE-1521-42DF-9DE5-A115D5A4AB64}"/>
    <hyperlink ref="T626" r:id="rId2516" xr:uid="{00E458AE-7287-4392-B57C-EC03BE8366B8}"/>
    <hyperlink ref="CA626" r:id="rId2517" xr:uid="{6B73B6C9-C581-449A-BEA8-981EF984CB8F}"/>
    <hyperlink ref="CB626" r:id="rId2518" xr:uid="{48C16A41-2953-4EEA-AE10-BCE1AC9B07C5}"/>
    <hyperlink ref="CD626" r:id="rId2519" xr:uid="{1B8E931A-B0AE-4CE6-87D4-D07E97781DE6}"/>
    <hyperlink ref="O627" r:id="rId2520" xr:uid="{00CEFDB6-C3F2-45F5-849F-891F510243B2}"/>
    <hyperlink ref="S627" r:id="rId2521" xr:uid="{7C0E8BE2-FAEE-41D7-A87A-259C8D7E3319}"/>
    <hyperlink ref="T627" r:id="rId2522" xr:uid="{F4A0C1AD-3D81-4829-AD78-32A6751E67C6}"/>
    <hyperlink ref="CA627" r:id="rId2523" xr:uid="{DEA19ABF-BFBC-4ED7-A30D-0FAD5C8C9B93}"/>
    <hyperlink ref="CB627" r:id="rId2524" xr:uid="{7539D60D-3311-487C-B842-9CA3B5FB08B2}"/>
    <hyperlink ref="O628" r:id="rId2525" xr:uid="{FC6E8E7B-5F39-439A-8914-5F10C5BAEEB5}"/>
    <hyperlink ref="S628" r:id="rId2526" xr:uid="{97B28FCB-7F28-4C61-BE46-2A34D749C622}"/>
    <hyperlink ref="T628" r:id="rId2527" xr:uid="{CC9B1B8D-18C3-4D2D-A734-869BE1AC7665}"/>
    <hyperlink ref="CA628" r:id="rId2528" xr:uid="{3EC95592-C3D8-458F-B004-542D35014C6A}"/>
    <hyperlink ref="CB628" r:id="rId2529" xr:uid="{BD31B755-3678-4CA7-8DF0-D8DCD9685426}"/>
    <hyperlink ref="CD628" r:id="rId2530" xr:uid="{0FC1F8AB-5DED-44F9-80DD-2FDACF4466F9}"/>
    <hyperlink ref="O629" r:id="rId2531" xr:uid="{629B64EB-8C6E-4C57-93BE-D564320790A8}"/>
    <hyperlink ref="S629" r:id="rId2532" xr:uid="{A46E8D53-43D3-481A-9539-70670614D1E5}"/>
    <hyperlink ref="T629" r:id="rId2533" xr:uid="{C71B27F2-ED6C-42CB-BA6B-A2A960EEBBC1}"/>
    <hyperlink ref="CA629" r:id="rId2534" xr:uid="{CC2FBC97-8854-460F-846D-7AA7C5D72EB4}"/>
    <hyperlink ref="CB629" r:id="rId2535" xr:uid="{270CFA1F-FA8D-4023-BD37-7BBD0F967B46}"/>
    <hyperlink ref="O630" r:id="rId2536" xr:uid="{224177BB-F352-4C54-8918-C80F879B1444}"/>
    <hyperlink ref="S630" r:id="rId2537" xr:uid="{8FDB543D-FFBA-4783-A4DC-568A2F23C80C}"/>
    <hyperlink ref="T630" r:id="rId2538" xr:uid="{6DCF1A6C-1279-40F8-8283-DEDDCC7ED3CE}"/>
    <hyperlink ref="CA630" r:id="rId2539" xr:uid="{6E514491-543F-407F-AB61-C9234670231C}"/>
    <hyperlink ref="CB630" r:id="rId2540" xr:uid="{336703E5-44AF-4BE5-96C0-456E990FD9AF}"/>
    <hyperlink ref="CD630" r:id="rId2541" xr:uid="{F6F82D6E-DAC3-48DD-A2A6-F253256527C5}"/>
    <hyperlink ref="O631" r:id="rId2542" xr:uid="{4D5E62B7-1687-49E2-A787-1FEE81B563AA}"/>
    <hyperlink ref="S631" r:id="rId2543" xr:uid="{275D2AAE-BA2A-4A80-9010-C0BC540B05DB}"/>
    <hyperlink ref="T631" r:id="rId2544" xr:uid="{6CE11453-9924-4602-BF86-F0DC4F6641D9}"/>
    <hyperlink ref="CA631" r:id="rId2545" xr:uid="{21121C13-5B84-4227-832A-37889DC82300}"/>
    <hyperlink ref="CB631" r:id="rId2546" xr:uid="{1193194B-5A8C-45C1-BF8D-29DC9B29BF05}"/>
    <hyperlink ref="CD631" r:id="rId2547" xr:uid="{0AC6CE56-AE6A-4B1A-BA38-A68922427058}"/>
    <hyperlink ref="O632" r:id="rId2548" xr:uid="{279F1B0E-7A66-431E-92ED-3FFC0AC6DFDE}"/>
    <hyperlink ref="S632" r:id="rId2549" xr:uid="{02EE7F06-1EA3-4A8F-A7F0-CF111C5F012E}"/>
    <hyperlink ref="T632" r:id="rId2550" xr:uid="{B7C8BD63-6647-4AB5-9143-9F17D25A2A65}"/>
    <hyperlink ref="CA632" r:id="rId2551" xr:uid="{C7F4560D-8342-4816-BD62-32D108DE666C}"/>
    <hyperlink ref="CB632" r:id="rId2552" xr:uid="{45F0CDB3-EAD4-4C62-B53F-701FCFC0F139}"/>
    <hyperlink ref="CD632" r:id="rId2553" xr:uid="{1477730B-69B2-4E2E-85E9-9008B1FF959E}"/>
    <hyperlink ref="O633" r:id="rId2554" xr:uid="{F262A1CE-4E32-46B7-96CE-CC88461265A7}"/>
    <hyperlink ref="S633" r:id="rId2555" xr:uid="{9C23096D-BFD7-408A-BBC4-DDE689E13950}"/>
    <hyperlink ref="T633" r:id="rId2556" xr:uid="{CC552C86-B6B0-447C-987B-586AAB5E6918}"/>
    <hyperlink ref="CA633" r:id="rId2557" xr:uid="{733C667D-18C2-46D8-8CCE-63616A921353}"/>
    <hyperlink ref="CB633" r:id="rId2558" xr:uid="{9FCE4EFE-509F-4882-AE14-0AF39586AC19}"/>
    <hyperlink ref="CD633" r:id="rId2559" xr:uid="{7C45AAEC-269E-4E65-9275-2FB06D40CB30}"/>
    <hyperlink ref="O634" r:id="rId2560" xr:uid="{F523CB78-9CF9-4EBA-A4BB-C32E1CA8A2D9}"/>
    <hyperlink ref="S634" r:id="rId2561" xr:uid="{EE957559-ABEC-4AE6-BA09-5D7AA954B22C}"/>
    <hyperlink ref="T634" r:id="rId2562" xr:uid="{281434B8-6CFC-4974-9868-A62CCCE01247}"/>
    <hyperlink ref="CA634" r:id="rId2563" xr:uid="{8B159308-823B-4379-B641-B83A312A9597}"/>
    <hyperlink ref="CB634" r:id="rId2564" xr:uid="{DC4E266E-8D5D-4579-91E2-F872BAB8611F}"/>
    <hyperlink ref="CD634" r:id="rId2565" xr:uid="{46A16335-19BF-486E-A3F9-C680A8408B80}"/>
    <hyperlink ref="O635" r:id="rId2566" xr:uid="{BDDC9A4B-21E2-425A-9450-6CC73CD0D1D4}"/>
    <hyperlink ref="S635" r:id="rId2567" xr:uid="{12112E74-B2BB-4D93-A7C1-A2EEE3E1EB76}"/>
    <hyperlink ref="T635" r:id="rId2568" xr:uid="{E6AE4578-7D14-4EFF-B4C6-1A53A3AA4C68}"/>
    <hyperlink ref="CA635" r:id="rId2569" xr:uid="{2D9D5955-33CC-44B6-A806-2F4FABC28545}"/>
    <hyperlink ref="CB635" r:id="rId2570" xr:uid="{3E477833-021F-4669-9623-76646E7C0F7F}"/>
    <hyperlink ref="CD635" r:id="rId2571" xr:uid="{E8B346B3-66B4-492D-80F1-D11A04EEFBF9}"/>
    <hyperlink ref="O636" r:id="rId2572" xr:uid="{C14DA937-7ACF-4EA1-A68C-68E409371464}"/>
    <hyperlink ref="S636" r:id="rId2573" xr:uid="{AD3C3510-CDF3-44E4-A2FF-BA4C426B1B08}"/>
    <hyperlink ref="T636" r:id="rId2574" xr:uid="{9A968852-F515-448B-B29A-75A0CAC23A6B}"/>
    <hyperlink ref="CA636" r:id="rId2575" xr:uid="{7922060C-5E2F-4A2E-A82E-EF6FF8A28CE4}"/>
    <hyperlink ref="CB636" r:id="rId2576" xr:uid="{4B3F6D06-5C63-47AD-BE19-79B424E9A6A4}"/>
    <hyperlink ref="CD636" r:id="rId2577" xr:uid="{BD94E124-F2BF-457B-AC93-152AB4C3916D}"/>
    <hyperlink ref="O637" r:id="rId2578" xr:uid="{9A67F1F4-2BF7-4E3C-A81F-259C933F27C3}"/>
    <hyperlink ref="S637" r:id="rId2579" xr:uid="{7CBB4F73-A0AC-4E8B-BEE9-90DE2920B5E9}"/>
    <hyperlink ref="T637" r:id="rId2580" xr:uid="{301F2D2E-1715-4736-AE0B-13050F375A1A}"/>
    <hyperlink ref="CA637" r:id="rId2581" xr:uid="{F0DF3F8A-4B5D-4458-810E-616136A1869F}"/>
    <hyperlink ref="CB637" r:id="rId2582" xr:uid="{D76A52D1-08B3-43C8-8243-92C82520051B}"/>
    <hyperlink ref="O638" r:id="rId2583" xr:uid="{F6FB926A-39CE-4D38-9B43-A82C7F2EEABD}"/>
    <hyperlink ref="S638" r:id="rId2584" xr:uid="{9FF52179-649D-4C5C-BC0D-6B882D84D6B1}"/>
    <hyperlink ref="T638" r:id="rId2585" xr:uid="{106BA665-698B-443A-9B2E-9BF9A3FB97B5}"/>
    <hyperlink ref="CA638" r:id="rId2586" xr:uid="{F93A896C-A228-445E-8FC8-4A6DC212C20B}"/>
    <hyperlink ref="CB638" r:id="rId2587" xr:uid="{78F0BFB8-7B7B-47EE-A977-0A8864390E09}"/>
    <hyperlink ref="O639" r:id="rId2588" xr:uid="{64121B45-D126-42F3-97E7-674DF36DD7D0}"/>
    <hyperlink ref="S639" r:id="rId2589" xr:uid="{BA6BB437-3A9E-44C9-9096-7E7259BE7301}"/>
    <hyperlink ref="T639" r:id="rId2590" xr:uid="{03720F81-2951-44BA-9E28-BA249CC0B332}"/>
    <hyperlink ref="CA639" r:id="rId2591" xr:uid="{7F7BE474-8C49-4CC6-BF90-E54A3469D2D4}"/>
    <hyperlink ref="CB639" r:id="rId2592" xr:uid="{8BD128B3-27E7-4444-9CBA-BD5142800EB0}"/>
    <hyperlink ref="CD639" r:id="rId2593" xr:uid="{B1A73EA6-E691-4A8E-933D-9A8238043D56}"/>
    <hyperlink ref="O640" r:id="rId2594" xr:uid="{51CC01CA-C6CC-4BC1-9568-87885F952FAB}"/>
    <hyperlink ref="S640" r:id="rId2595" xr:uid="{D42C820F-78A9-42DE-A1E9-7A67DD0E635E}"/>
    <hyperlink ref="T640" r:id="rId2596" xr:uid="{3A431313-9977-4664-8C6C-243CCBEC7E54}"/>
    <hyperlink ref="CA640" r:id="rId2597" xr:uid="{C08BE69A-3EBE-4234-BFB7-3498DAF4E9A2}"/>
    <hyperlink ref="CB640" r:id="rId2598" xr:uid="{3767201B-C1F5-4C66-80A8-6B834A7C3A35}"/>
    <hyperlink ref="CD640" r:id="rId2599" xr:uid="{25FFBBDA-6A0A-4BAE-9985-05C098E36370}"/>
    <hyperlink ref="O641" r:id="rId2600" xr:uid="{A03DB67A-AE4C-4075-B343-FA70A38477BB}"/>
    <hyperlink ref="S641" r:id="rId2601" xr:uid="{22743B44-5405-4F22-AAEA-93AB9654B500}"/>
    <hyperlink ref="T641" r:id="rId2602" xr:uid="{D19EB9C3-5452-4F9C-A9D9-87F28146A6E8}"/>
    <hyperlink ref="CA641" r:id="rId2603" xr:uid="{FC3F3578-FDA2-4D78-AC89-25CC2C50948B}"/>
    <hyperlink ref="CB641" r:id="rId2604" xr:uid="{36E653AA-6CD6-4F37-B323-F10192C62C67}"/>
    <hyperlink ref="O642" r:id="rId2605" xr:uid="{26124192-3D44-4A15-B741-D3C0B3559939}"/>
    <hyperlink ref="S642" r:id="rId2606" xr:uid="{76575ABE-9FE7-4A4A-8B47-92013400AE58}"/>
    <hyperlink ref="T642" r:id="rId2607" xr:uid="{C20234D9-230F-4B3C-9CFD-F99D873E7B04}"/>
    <hyperlink ref="CA642" r:id="rId2608" xr:uid="{74E73AE4-4477-4400-B4C1-20F6D4746452}"/>
    <hyperlink ref="CB642" r:id="rId2609" xr:uid="{6E4B137B-4FAF-46CC-8ABE-94E2E2C7A36E}"/>
    <hyperlink ref="CD642" r:id="rId2610" xr:uid="{0A7560FF-A594-475F-B0F7-36256A002F82}"/>
    <hyperlink ref="O643" r:id="rId2611" xr:uid="{93A6D05F-56F3-4F04-B230-7A8579785732}"/>
    <hyperlink ref="S643" r:id="rId2612" xr:uid="{64135D90-A191-496A-9341-F9CD15D18115}"/>
    <hyperlink ref="T643" r:id="rId2613" xr:uid="{0AB10DF6-33BC-4903-96F9-BDFC46DFA98B}"/>
    <hyperlink ref="CA643" r:id="rId2614" xr:uid="{FEC3CD3B-F1E5-402A-96B8-FD33CC9D8A13}"/>
    <hyperlink ref="CB643" r:id="rId2615" xr:uid="{4C4B2B67-0BA4-435E-A7CA-1D15AC545F78}"/>
    <hyperlink ref="CD643" r:id="rId2616" xr:uid="{DF44E4E2-4EB6-44F7-8D81-BB380CC3049A}"/>
    <hyperlink ref="O644" r:id="rId2617" xr:uid="{976F8F2E-A2C6-4514-B22F-8918792DADCA}"/>
    <hyperlink ref="S644" r:id="rId2618" xr:uid="{49A92669-E1C7-485A-BB14-482E1AE3669A}"/>
    <hyperlink ref="T644" r:id="rId2619" xr:uid="{7BAC127C-7849-4BCF-899B-469D5B750C54}"/>
    <hyperlink ref="CA644" r:id="rId2620" xr:uid="{3B9C0FD2-C32B-4044-9755-DB3AAA7C04A6}"/>
    <hyperlink ref="CB644" r:id="rId2621" xr:uid="{D325A907-8213-4D87-AB6B-83A07C92C30F}"/>
    <hyperlink ref="O645" r:id="rId2622" xr:uid="{EA034172-4DCE-4D23-AFCD-2187B76CE2BE}"/>
    <hyperlink ref="S645" r:id="rId2623" xr:uid="{60FE0A7E-879D-443E-81BE-560F6529AB12}"/>
    <hyperlink ref="T645" r:id="rId2624" xr:uid="{C37D72CA-E18D-4864-8064-0A911A521A8B}"/>
    <hyperlink ref="CA645" r:id="rId2625" xr:uid="{5E8CCB10-C319-4185-9D66-16CCB829EF4B}"/>
    <hyperlink ref="CB645" r:id="rId2626" xr:uid="{D5656098-F366-4CFE-B2A7-096A6574E7B5}"/>
    <hyperlink ref="O646" r:id="rId2627" xr:uid="{11DD42E6-AAF0-42C1-847B-B38FE87B8F59}"/>
    <hyperlink ref="S646" r:id="rId2628" xr:uid="{5EE2ABF4-DB4E-4CC3-A4E5-3297D7823999}"/>
    <hyperlink ref="T646" r:id="rId2629" xr:uid="{62991AAF-5237-4B2D-B8FE-43DB12488032}"/>
    <hyperlink ref="CA646" r:id="rId2630" xr:uid="{FEC29D30-7CD9-458F-BCF2-5FED24D03561}"/>
    <hyperlink ref="CB646" r:id="rId2631" xr:uid="{247F6091-67D5-4547-A4A6-573A912D6DA3}"/>
    <hyperlink ref="CD646" r:id="rId2632" xr:uid="{689620F2-ADD3-43EA-939F-49243C41567D}"/>
    <hyperlink ref="O647" r:id="rId2633" xr:uid="{97ACC531-5411-4068-9B71-16870DC7FD9C}"/>
    <hyperlink ref="S647" r:id="rId2634" xr:uid="{681BAB33-0296-4A79-ABAA-97D97B8838A0}"/>
    <hyperlink ref="T647" r:id="rId2635" xr:uid="{0BD42613-0F2C-42C0-83BD-EEAAAA846AB4}"/>
    <hyperlink ref="CA647" r:id="rId2636" xr:uid="{899044FB-9F68-4288-9E62-D2EF3701C53B}"/>
    <hyperlink ref="CB647" r:id="rId2637" xr:uid="{00C74188-9E8D-4CBD-B40A-F7A340BB9A90}"/>
    <hyperlink ref="CD647" r:id="rId2638" xr:uid="{B1417F80-46F9-4ACC-8809-20EE1AE40F42}"/>
    <hyperlink ref="O648" r:id="rId2639" xr:uid="{D3F7AFF3-102E-4710-A808-B48CB28559A0}"/>
    <hyperlink ref="S648" r:id="rId2640" xr:uid="{885DC494-5322-4377-978F-D6EFA53DB746}"/>
    <hyperlink ref="T648" r:id="rId2641" xr:uid="{4896274E-D4A5-4C6E-BAC3-D559A9F1D7D2}"/>
    <hyperlink ref="CA648" r:id="rId2642" xr:uid="{5D9427C3-0547-4B81-9473-24FC1D1F131C}"/>
    <hyperlink ref="CB648" r:id="rId2643" xr:uid="{001050EE-6873-4159-B9C3-8AF346E3AD26}"/>
    <hyperlink ref="O649" r:id="rId2644" xr:uid="{9F59BA09-1E18-4AC7-BE93-2CD9A4B6823B}"/>
    <hyperlink ref="S649" r:id="rId2645" xr:uid="{67D5248C-6AAF-4859-ADE4-E52B5D4B6A3B}"/>
    <hyperlink ref="T649" r:id="rId2646" xr:uid="{8105155E-66EC-464C-A4EB-28768E7AE3F4}"/>
    <hyperlink ref="CA649" r:id="rId2647" xr:uid="{2460F754-EC5D-4A96-9507-4E4E055DB029}"/>
    <hyperlink ref="CB649" r:id="rId2648" xr:uid="{1A3E46BC-97E3-41BC-A997-FA0AA6F83205}"/>
    <hyperlink ref="CD649" r:id="rId2649" xr:uid="{D915A33D-8971-49D6-ADE2-7949FFAF5C4D}"/>
    <hyperlink ref="O650" r:id="rId2650" xr:uid="{DAF08625-02D9-4175-A351-9BC98DFB2DAB}"/>
    <hyperlink ref="S650" r:id="rId2651" xr:uid="{4CFA3EE1-3CF2-4912-8F5E-46AC1FD36CBB}"/>
    <hyperlink ref="T650" r:id="rId2652" xr:uid="{84CBAB60-953B-4503-96DE-FC5C48570864}"/>
    <hyperlink ref="CA650" r:id="rId2653" xr:uid="{2FEE7766-D76E-40F5-AAEC-7099EB666219}"/>
    <hyperlink ref="CB650" r:id="rId2654" xr:uid="{5F2BDB89-F528-458E-BDAB-D65347FB8758}"/>
    <hyperlink ref="CD650" r:id="rId2655" xr:uid="{0B2A8303-2F25-4FE1-96E0-4F51C133F81E}"/>
    <hyperlink ref="O651" r:id="rId2656" xr:uid="{0D97F7B9-32E3-40D9-A237-81DA342F6DD7}"/>
    <hyperlink ref="S651" r:id="rId2657" xr:uid="{114936E3-5E07-46B3-8458-53B220ABC7EB}"/>
    <hyperlink ref="T651" r:id="rId2658" xr:uid="{5DFB2E6E-88E3-46BE-B1C5-C6EB136DD7E7}"/>
    <hyperlink ref="CA651" r:id="rId2659" xr:uid="{9D6C8CD9-3515-437A-86A0-17DC1568E778}"/>
    <hyperlink ref="CB651" r:id="rId2660" xr:uid="{258BB092-90EE-4880-8CAA-BB024DF0416C}"/>
    <hyperlink ref="CD651" r:id="rId2661" xr:uid="{4FD722BF-F909-463E-A069-BC884122626D}"/>
    <hyperlink ref="O652" r:id="rId2662" xr:uid="{A9951F5E-251E-404D-8476-C8391E7E884B}"/>
    <hyperlink ref="S652" r:id="rId2663" xr:uid="{6B2E4D92-ED6A-4248-B3DB-F5A812CB31C9}"/>
    <hyperlink ref="T652" r:id="rId2664" xr:uid="{D42B09DA-CD45-4EB5-91DF-DC79AD7125A3}"/>
    <hyperlink ref="CA652" r:id="rId2665" xr:uid="{D526EA93-BFA9-49AC-9B58-5562B56AD4E6}"/>
    <hyperlink ref="CB652" r:id="rId2666" xr:uid="{70C6EFB3-F7F6-4EC2-845A-105D2B8F3F3A}"/>
    <hyperlink ref="CD652" r:id="rId2667" xr:uid="{AA64765D-0DA1-4281-859C-2125D19AE09E}"/>
    <hyperlink ref="O653" r:id="rId2668" xr:uid="{165A3849-5833-4302-B375-EC355A5C8F08}"/>
    <hyperlink ref="S653" r:id="rId2669" xr:uid="{C2217F41-E9A6-415A-8F1B-6AC62790E3F1}"/>
    <hyperlink ref="T653" r:id="rId2670" xr:uid="{D517DD25-3C22-4817-A80B-799B9E9BF9B4}"/>
    <hyperlink ref="CA653" r:id="rId2671" xr:uid="{4F677971-A617-4DB0-94B9-1EFA33BA288E}"/>
    <hyperlink ref="CB653" r:id="rId2672" xr:uid="{4A3F4D7B-E5FD-439B-9079-80F9E83CF763}"/>
    <hyperlink ref="O654" r:id="rId2673" xr:uid="{7F023423-F821-490F-A494-CFFC615EA8FF}"/>
    <hyperlink ref="S654" r:id="rId2674" xr:uid="{F5839DE0-0B66-4900-AC78-84005CA7627D}"/>
    <hyperlink ref="T654" r:id="rId2675" xr:uid="{01CA7934-6804-47BF-91AA-405E2F4F3683}"/>
    <hyperlink ref="CA654" r:id="rId2676" xr:uid="{C01036AC-445D-4BD6-A1B5-FA1B75A7403B}"/>
    <hyperlink ref="CB654" r:id="rId2677" xr:uid="{E99448B3-6F87-446B-94E0-BCC53812B5BB}"/>
    <hyperlink ref="O655" r:id="rId2678" xr:uid="{E9C2F225-1408-480E-8DCA-E7F5C779B435}"/>
    <hyperlink ref="S655" r:id="rId2679" xr:uid="{86D4D12C-3849-49B7-8912-CEEADFB652C4}"/>
    <hyperlink ref="T655" r:id="rId2680" xr:uid="{7A33BCB2-3159-4946-BA45-E86894D9F4B0}"/>
    <hyperlink ref="CA655" r:id="rId2681" xr:uid="{EA21FE31-B3A5-41F7-8AE2-D26857FFF11D}"/>
    <hyperlink ref="CB655" r:id="rId2682" xr:uid="{9730D3A3-BECC-4C30-B923-A8B2FB25DCCD}"/>
    <hyperlink ref="CD655" r:id="rId2683" xr:uid="{8C97764D-78A7-4E92-9A8D-8991500A3620}"/>
    <hyperlink ref="O656" r:id="rId2684" xr:uid="{D3C3F2CB-DA0A-4DCE-923E-7FEB24B24FA5}"/>
    <hyperlink ref="S656" r:id="rId2685" xr:uid="{214B6F53-7540-4E63-8D1E-568B54377767}"/>
    <hyperlink ref="T656" r:id="rId2686" xr:uid="{7A7BB7A2-D23E-40EB-8597-67D1E4AD1B82}"/>
    <hyperlink ref="CA656" r:id="rId2687" xr:uid="{DEFF325F-093A-46D2-83BF-3B88D8B720AF}"/>
    <hyperlink ref="CB656" r:id="rId2688" xr:uid="{60FBA016-C802-4CFC-B6B4-6264D9B090F8}"/>
    <hyperlink ref="CD656" r:id="rId2689" xr:uid="{212FB848-386B-476E-86FA-98EAA13D1AD8}"/>
    <hyperlink ref="O657" r:id="rId2690" xr:uid="{9F3DC722-06B4-42F3-BA7B-D67689E7D80C}"/>
    <hyperlink ref="S657" r:id="rId2691" xr:uid="{6890BF1E-E804-4709-97DE-C7CD39A28EDE}"/>
    <hyperlink ref="T657" r:id="rId2692" xr:uid="{34D71C59-1F20-406F-AA52-47B0656DCD04}"/>
    <hyperlink ref="CA657" r:id="rId2693" xr:uid="{D19E585C-E5A6-4B91-8239-98A551BFCB71}"/>
    <hyperlink ref="CB657" r:id="rId2694" xr:uid="{B9C0D7F2-5399-477D-A2B8-838B2DC588B1}"/>
    <hyperlink ref="O658" r:id="rId2695" xr:uid="{E810A1FB-7BCF-4012-A5E9-4E9D473BB3D5}"/>
    <hyperlink ref="S658" r:id="rId2696" xr:uid="{AF62BA9D-1A44-4DE5-A9ED-9E9C19993710}"/>
    <hyperlink ref="T658" r:id="rId2697" xr:uid="{94D657F9-87E6-41AD-8BCF-9CCF9A30F2A0}"/>
    <hyperlink ref="CA658" r:id="rId2698" xr:uid="{6159779D-BB16-46C0-94A6-B2AABDF92CFA}"/>
    <hyperlink ref="CB658" r:id="rId2699" xr:uid="{AF82423E-B21A-4AB5-84D3-2B435FF1C825}"/>
    <hyperlink ref="O659" r:id="rId2700" xr:uid="{0450894C-0F53-4AF1-8743-1E8D44FFB1B2}"/>
    <hyperlink ref="S659" r:id="rId2701" xr:uid="{E9A03C29-E80F-416F-BB37-E9AFAA5A5C60}"/>
    <hyperlink ref="T659" r:id="rId2702" xr:uid="{4BF40982-3E89-4E69-9C3A-C49475A0A891}"/>
    <hyperlink ref="CA659" r:id="rId2703" xr:uid="{6898129F-9789-4DA5-8F65-F11C0222A321}"/>
    <hyperlink ref="CB659" r:id="rId2704" xr:uid="{EAF6E44D-72AD-4D9C-9907-C9BDE9265605}"/>
    <hyperlink ref="CD659" r:id="rId2705" xr:uid="{1381D64F-5344-45B6-93C9-95E0828ADCB2}"/>
    <hyperlink ref="O660" r:id="rId2706" xr:uid="{33A8E4C7-24C5-442C-AFC6-CB9DE9225AD8}"/>
    <hyperlink ref="S660" r:id="rId2707" xr:uid="{17CF45D6-D370-42F5-94E2-9848A6FF6A4E}"/>
    <hyperlink ref="T660" r:id="rId2708" xr:uid="{47BD50D5-BEE2-464D-98BD-C00EC94B02A9}"/>
    <hyperlink ref="CA660" r:id="rId2709" xr:uid="{0B359AE6-4360-42DA-B259-427E39D58C35}"/>
    <hyperlink ref="CB660" r:id="rId2710" xr:uid="{B4FB62BF-D4F9-419C-83D5-24DEAD10F997}"/>
    <hyperlink ref="O661" r:id="rId2711" xr:uid="{BB7BE0AA-BC2E-4297-AA7A-6B4723456869}"/>
    <hyperlink ref="S661" r:id="rId2712" xr:uid="{59394E28-F16F-4389-BCB4-498AED478E50}"/>
    <hyperlink ref="T661" r:id="rId2713" xr:uid="{0EAB72EE-197E-4BDD-B4BB-27A7A15F22E5}"/>
    <hyperlink ref="CA661" r:id="rId2714" xr:uid="{A161EC13-B72D-4024-9932-BDFDE5AE01FF}"/>
    <hyperlink ref="CB661" r:id="rId2715" xr:uid="{EE4A4779-1E87-4B76-B08F-E875C3D9C949}"/>
    <hyperlink ref="CD661" r:id="rId2716" xr:uid="{34E5898D-8342-4449-A644-DDFDB4F9D95D}"/>
    <hyperlink ref="O662" r:id="rId2717" xr:uid="{98560FCB-4D16-45C4-A4E1-9237093E3296}"/>
    <hyperlink ref="S662" r:id="rId2718" xr:uid="{D99606F8-B95B-4E0E-9F55-A07F3880B9B8}"/>
    <hyperlink ref="T662" r:id="rId2719" xr:uid="{FF9D4F92-FB5F-42FB-89A2-B5B99497D67B}"/>
    <hyperlink ref="CA662" r:id="rId2720" xr:uid="{EAC1CB0F-B9AD-4834-A991-A646079A65DE}"/>
    <hyperlink ref="CB662" r:id="rId2721" xr:uid="{8359174B-6194-4314-8245-4DF3D3F8D4AA}"/>
    <hyperlink ref="CD662" r:id="rId2722" xr:uid="{03DBF29C-6F59-42B4-8ADB-E3E61A391BE0}"/>
    <hyperlink ref="O663" r:id="rId2723" xr:uid="{9F5773A8-B40C-4F8F-B5D3-B2BA2716E13F}"/>
    <hyperlink ref="S663" r:id="rId2724" xr:uid="{E7125693-88EA-4776-B21F-A05375890843}"/>
    <hyperlink ref="T663" r:id="rId2725" xr:uid="{60026569-8262-443B-9A6A-F3DA1EB2A054}"/>
    <hyperlink ref="CA663" r:id="rId2726" xr:uid="{0A3AD214-9EDF-44DC-A136-3B9CE1C539A5}"/>
    <hyperlink ref="CB663" r:id="rId2727" xr:uid="{CE831A5A-61C1-41ED-B670-1DEDDA74DD84}"/>
    <hyperlink ref="CD663" r:id="rId2728" xr:uid="{492DFBF0-4972-46FF-89B7-CDB19AC64033}"/>
    <hyperlink ref="O664" r:id="rId2729" xr:uid="{C97087B7-EE7F-485E-9B94-CCD3B800CF74}"/>
    <hyperlink ref="S664" r:id="rId2730" xr:uid="{6396039E-CC19-4B9C-9EB0-2EB7402DDC4E}"/>
    <hyperlink ref="T664" r:id="rId2731" xr:uid="{80FDFDAD-D11E-4B44-9984-69771DE06D25}"/>
    <hyperlink ref="CA664" r:id="rId2732" xr:uid="{C0F8F21F-09BA-4303-8A9E-2ADE16C823A1}"/>
    <hyperlink ref="CB664" r:id="rId2733" xr:uid="{5E8AA0B9-A211-4183-A898-602F7F45E7A7}"/>
    <hyperlink ref="CD664" r:id="rId2734" xr:uid="{706B65CA-0DAD-4F32-A926-CEAC6085D8CF}"/>
    <hyperlink ref="O665" r:id="rId2735" xr:uid="{5814AA9A-FE66-4DDD-B967-65FB4783BBBD}"/>
    <hyperlink ref="S665" r:id="rId2736" xr:uid="{5BA86592-1566-427E-84B4-658766DA4D51}"/>
    <hyperlink ref="T665" r:id="rId2737" xr:uid="{B56F19C6-CF90-4D61-9772-06D34FBD3442}"/>
    <hyperlink ref="CA665" r:id="rId2738" xr:uid="{CAD731AE-BA55-4414-B48E-4B591E78411B}"/>
    <hyperlink ref="CB665" r:id="rId2739" xr:uid="{CA2A4FE1-D0D6-4AB6-BB9F-1C77E78776CE}"/>
    <hyperlink ref="CD665" r:id="rId2740" xr:uid="{424605BF-2A69-40D7-A794-2DC1069A1196}"/>
    <hyperlink ref="O666" r:id="rId2741" xr:uid="{8D8EC4F7-C11C-4FC8-AEAB-1211111C2118}"/>
    <hyperlink ref="S666" r:id="rId2742" xr:uid="{8528B329-4DD6-4B97-BD11-3BD1F63AE46F}"/>
    <hyperlink ref="T666" r:id="rId2743" xr:uid="{1732A562-AF17-49E5-A24F-5B18215C97DB}"/>
    <hyperlink ref="CA666" r:id="rId2744" xr:uid="{5724B06E-B390-4AE6-97F3-257F4BF9C849}"/>
    <hyperlink ref="CB666" r:id="rId2745" xr:uid="{FBA29FF5-B55B-4B5E-B017-EEF5CB62BD0C}"/>
    <hyperlink ref="CD666" r:id="rId2746" xr:uid="{846FA3AA-3311-4B38-994E-8103C6705379}"/>
    <hyperlink ref="O667" r:id="rId2747" xr:uid="{3481ED3D-4FF4-4966-9E26-9B18293D07AE}"/>
    <hyperlink ref="S667" r:id="rId2748" xr:uid="{685B6794-EE2B-499A-BA4E-652BCF89AED7}"/>
    <hyperlink ref="T667" r:id="rId2749" xr:uid="{E0AE5A07-29BA-4AF6-B06F-898FCA742379}"/>
    <hyperlink ref="CA667" r:id="rId2750" xr:uid="{571A9653-0929-49FC-99D1-1F462BD737D1}"/>
    <hyperlink ref="CB667" r:id="rId2751" xr:uid="{78896D62-C6D0-4EDF-AA99-5073856DF1F4}"/>
    <hyperlink ref="O668" r:id="rId2752" xr:uid="{AC77E071-4146-40B5-8E27-EE777FA7623F}"/>
    <hyperlink ref="S668" r:id="rId2753" xr:uid="{EA12D47C-C97B-419B-84AC-F7960C1C1E1E}"/>
    <hyperlink ref="T668" r:id="rId2754" xr:uid="{540750F9-6CA6-4999-8837-1EA864DEC020}"/>
    <hyperlink ref="CA668" r:id="rId2755" xr:uid="{E6B8E409-354C-4B3E-A427-56499DC30136}"/>
    <hyperlink ref="CB668" r:id="rId2756" xr:uid="{406A4A7D-5EB9-4F60-9339-223744A56C51}"/>
    <hyperlink ref="O669" r:id="rId2757" xr:uid="{A2B49719-F1AF-4B73-9B8F-055351AEFCBE}"/>
    <hyperlink ref="S669" r:id="rId2758" xr:uid="{D786E9A7-33EF-4C20-9227-411ED7341A30}"/>
    <hyperlink ref="T669" r:id="rId2759" xr:uid="{CFF1A756-AD56-49B8-8035-A8ABBAECEA07}"/>
    <hyperlink ref="CA669" r:id="rId2760" xr:uid="{DD0C0EAF-4536-4DAF-9BA6-D89A5EC4A36F}"/>
    <hyperlink ref="CB669" r:id="rId2761" xr:uid="{E4750A9B-0A53-4552-8F6A-12B51AC5FC49}"/>
    <hyperlink ref="O670" r:id="rId2762" xr:uid="{01E1E191-E533-4E73-9350-58479D5AA5A2}"/>
    <hyperlink ref="S670" r:id="rId2763" xr:uid="{FF6BAA7C-EB4D-41F4-BE36-AEACAF013315}"/>
    <hyperlink ref="T670" r:id="rId2764" xr:uid="{B20D3A09-1EA3-421C-9240-D2D89C2FF796}"/>
    <hyperlink ref="CA670" r:id="rId2765" xr:uid="{DA47276E-5818-4F80-A4B1-66A6069C032F}"/>
    <hyperlink ref="CB670" r:id="rId2766" xr:uid="{379B9356-D222-4CEC-8837-0C0C5577DCA8}"/>
    <hyperlink ref="CD670" r:id="rId2767" xr:uid="{8847B125-4882-4032-BB79-0211F55F3393}"/>
    <hyperlink ref="O671" r:id="rId2768" xr:uid="{781DBFA2-E681-4125-B246-356693550F0C}"/>
    <hyperlink ref="S671" r:id="rId2769" xr:uid="{C3215D58-766C-4B06-97A1-84413E0774F0}"/>
    <hyperlink ref="T671" r:id="rId2770" xr:uid="{123D0E33-2994-4FDC-8817-77D1B408E0A4}"/>
    <hyperlink ref="CA671" r:id="rId2771" xr:uid="{277D275F-D48B-448B-BD24-07918089894B}"/>
    <hyperlink ref="CB671" r:id="rId2772" xr:uid="{8E31E4A7-5668-4C1D-9B07-3A489F474B60}"/>
    <hyperlink ref="CD671" r:id="rId2773" xr:uid="{936BB34F-81A8-4608-8CAE-AC60ADB3ED91}"/>
    <hyperlink ref="O672" r:id="rId2774" xr:uid="{7EFF7FEA-CD44-4042-B25E-121E1E376A27}"/>
    <hyperlink ref="S672" r:id="rId2775" xr:uid="{53466068-2428-4D33-A76A-48F869683953}"/>
    <hyperlink ref="T672" r:id="rId2776" xr:uid="{7D369C85-E94F-473A-9A7A-D461CD8D3B24}"/>
    <hyperlink ref="CA672" r:id="rId2777" xr:uid="{0108FB4F-811A-4BF3-856F-F5EBE2CC918E}"/>
    <hyperlink ref="CB672" r:id="rId2778" xr:uid="{0C60108E-2F31-4137-9E4A-646E69673630}"/>
    <hyperlink ref="O673" r:id="rId2779" xr:uid="{39053E7A-B35D-4DFA-B601-F583EC21F6A7}"/>
    <hyperlink ref="S673" r:id="rId2780" xr:uid="{4C4CAD6C-1334-47CD-950D-B868CDBAC5EE}"/>
    <hyperlink ref="T673" r:id="rId2781" xr:uid="{0360D540-D7AD-485A-8C01-ABC67EFE262E}"/>
    <hyperlink ref="CA673" r:id="rId2782" xr:uid="{D8ADBF6E-8F62-459E-A1D5-6956FAC552C3}"/>
    <hyperlink ref="CB673" r:id="rId2783" xr:uid="{C35483FF-A634-491F-BAE0-73D1B5B2504F}"/>
    <hyperlink ref="CD673" r:id="rId2784" xr:uid="{216AEA46-9DFC-4A27-9EDF-A05C67FFA546}"/>
    <hyperlink ref="O674" r:id="rId2785" xr:uid="{DACF17B0-C02F-47C0-A541-B605B726FF27}"/>
    <hyperlink ref="S674" r:id="rId2786" xr:uid="{18D8CEB8-06D2-4BC3-9FF7-F8414C011DD6}"/>
    <hyperlink ref="T674" r:id="rId2787" xr:uid="{44EFD875-52B9-4CF1-B160-EDF3DCA832E3}"/>
    <hyperlink ref="CA674" r:id="rId2788" xr:uid="{09543464-52DC-4A8E-AE3C-1353B70C46B6}"/>
    <hyperlink ref="CB674" r:id="rId2789" xr:uid="{13A32DCA-2768-4FD5-9CF5-64B822E0C852}"/>
    <hyperlink ref="CD674" r:id="rId2790" xr:uid="{7B46E6D4-8E29-49F3-869C-5F8808F9823E}"/>
    <hyperlink ref="O675" r:id="rId2791" xr:uid="{77428B07-5609-45F5-9001-B6C5C360F151}"/>
    <hyperlink ref="S675" r:id="rId2792" xr:uid="{B68CE7D9-170E-4C3F-AA7F-DF7D2CCFEFFD}"/>
    <hyperlink ref="T675" r:id="rId2793" xr:uid="{C0E283B4-BFAD-4C2A-8058-B2C366504201}"/>
    <hyperlink ref="CA675" r:id="rId2794" xr:uid="{BC1501A4-6D6C-4FE3-B959-0BE7E8AA5C98}"/>
    <hyperlink ref="CB675" r:id="rId2795" xr:uid="{46A11DDC-79EB-40D6-BC6B-BFAA0BFF72E8}"/>
    <hyperlink ref="CD675" r:id="rId2796" xr:uid="{E74BE92E-E5C9-4FEA-9003-30653C3AC375}"/>
    <hyperlink ref="O676" r:id="rId2797" xr:uid="{ECA08D16-C198-4DD0-8DA5-E5E60390B7BA}"/>
    <hyperlink ref="S676" r:id="rId2798" xr:uid="{76FE3C14-A3E3-4682-B20B-648F8C2B24E5}"/>
    <hyperlink ref="T676" r:id="rId2799" xr:uid="{4FB86E91-99A7-45FD-9C3F-EB0E4E27320C}"/>
    <hyperlink ref="CA676" r:id="rId2800" xr:uid="{5CE4D82F-BC94-4EC7-9B81-DE6EDE631B98}"/>
    <hyperlink ref="CB676" r:id="rId2801" xr:uid="{DD6F4AE6-4C5E-43CD-87EC-4A8A0E72A716}"/>
    <hyperlink ref="CD676" r:id="rId2802" xr:uid="{E60DF1E7-C398-47BF-ABE3-3A886A5EF2B8}"/>
    <hyperlink ref="O677" r:id="rId2803" xr:uid="{77941C7C-3D71-467D-B8A4-A053B5819CE2}"/>
    <hyperlink ref="S677" r:id="rId2804" xr:uid="{07371128-FF7C-42B3-A509-341FC2251EF3}"/>
    <hyperlink ref="T677" r:id="rId2805" xr:uid="{39364738-9D54-49DE-BAE9-D5FD45DAF0EE}"/>
    <hyperlink ref="CA677" r:id="rId2806" xr:uid="{EC49C5C1-3123-4E13-904C-F082FC76FFF1}"/>
    <hyperlink ref="CB677" r:id="rId2807" xr:uid="{02BFB680-95A5-4FE6-BC30-C5A6BCB95D6F}"/>
    <hyperlink ref="CD677" r:id="rId2808" xr:uid="{ED5FA34D-092C-4957-84E1-51C31403B50F}"/>
    <hyperlink ref="O678" r:id="rId2809" xr:uid="{59DC124C-011F-4207-BCD9-315EFB2835CE}"/>
    <hyperlink ref="S678" r:id="rId2810" xr:uid="{8325E69D-DAFD-4AA9-A09C-55D03C8E65A2}"/>
    <hyperlink ref="T678" r:id="rId2811" xr:uid="{5BE50F34-E669-486A-A462-754AEF8F7BC0}"/>
    <hyperlink ref="CA678" r:id="rId2812" xr:uid="{969D5EC6-9CC8-4927-B58E-516495BD65F8}"/>
    <hyperlink ref="CB678" r:id="rId2813" xr:uid="{9197E0B3-4CFA-47A7-B07C-382CB16F0FE2}"/>
    <hyperlink ref="O679" r:id="rId2814" xr:uid="{DC521B63-4A65-4D2C-8D73-C2B0FDDA5CE3}"/>
    <hyperlink ref="S679" r:id="rId2815" xr:uid="{FE5F8015-AACA-4A03-A449-ACE913D4550C}"/>
    <hyperlink ref="T679" r:id="rId2816" xr:uid="{2589197A-C7F5-4554-934D-9DCCF751C65D}"/>
    <hyperlink ref="CA679" r:id="rId2817" xr:uid="{A013D7A0-950F-43C1-8213-7FD7F8B8BA79}"/>
    <hyperlink ref="CB679" r:id="rId2818" xr:uid="{4874128F-0C89-4814-8532-D10D50B460D5}"/>
    <hyperlink ref="CD679" r:id="rId2819" xr:uid="{B133D53C-D6D1-4C11-BB08-2C6F7C0237FE}"/>
    <hyperlink ref="O680" r:id="rId2820" xr:uid="{4D6D1F52-E3B5-46A5-99ED-07AE49BA64BE}"/>
    <hyperlink ref="S680" r:id="rId2821" xr:uid="{40A7092F-B3EE-4873-80F4-D1039AB3060B}"/>
    <hyperlink ref="T680" r:id="rId2822" xr:uid="{59606593-9866-4FC0-9432-B23CAC25E892}"/>
    <hyperlink ref="CA680" r:id="rId2823" xr:uid="{334DFC58-D896-4928-9A24-CD947AB5EB3C}"/>
    <hyperlink ref="CB680" r:id="rId2824" xr:uid="{86F25FD2-AA26-411F-B2D8-99AA7D9B24E4}"/>
    <hyperlink ref="CD680" r:id="rId2825" xr:uid="{29FF1B80-AFBE-4D24-9117-30BADA6BF5D4}"/>
    <hyperlink ref="O681" r:id="rId2826" xr:uid="{68C94FBE-93C2-4442-8AAD-259EC0FA4445}"/>
    <hyperlink ref="S681" r:id="rId2827" xr:uid="{2B353A5B-F852-4CEA-89F9-845BEAFE161E}"/>
    <hyperlink ref="T681" r:id="rId2828" xr:uid="{27C09053-98ED-48FE-8618-1E50BDA06C62}"/>
    <hyperlink ref="CA681" r:id="rId2829" xr:uid="{B2520C02-53F2-4D3A-9492-E46FEA42C959}"/>
    <hyperlink ref="CB681" r:id="rId2830" xr:uid="{248DC418-2AFB-4CB5-B06D-ABDA7196992F}"/>
    <hyperlink ref="O682" r:id="rId2831" xr:uid="{4E71BB3C-E3C3-450D-AE30-3B71D557A2EF}"/>
    <hyperlink ref="S682" r:id="rId2832" xr:uid="{C4FC06B3-B3FD-474C-A86A-4ADE9CC72B30}"/>
    <hyperlink ref="T682" r:id="rId2833" xr:uid="{EBC246F9-0934-4B48-9D3A-51E6EDF100F0}"/>
    <hyperlink ref="CA682" r:id="rId2834" xr:uid="{E376D76C-6B36-468D-B133-D4C4093FA87B}"/>
    <hyperlink ref="CB682" r:id="rId2835" xr:uid="{B1492FA0-A56A-4905-AC21-59E5BD6046C1}"/>
    <hyperlink ref="O683" r:id="rId2836" xr:uid="{66D7DC61-A622-443B-843C-6A4B1074F374}"/>
    <hyperlink ref="S683" r:id="rId2837" xr:uid="{2C303919-FA76-406D-BDF8-A4F72CE21C42}"/>
    <hyperlink ref="T683" r:id="rId2838" xr:uid="{9CB2B039-4974-45F0-BC42-B24C15CABFE4}"/>
    <hyperlink ref="CA683" r:id="rId2839" xr:uid="{581E0F37-C205-4CAD-B276-A0A8E0951D7F}"/>
    <hyperlink ref="CB683" r:id="rId2840" xr:uid="{2E3A415F-6AEC-44F6-BEE9-5F6EE1AE7A09}"/>
    <hyperlink ref="CD683" r:id="rId2841" xr:uid="{8422B9DB-D902-4BAA-AFD1-A15F61AD1A6D}"/>
    <hyperlink ref="O684" r:id="rId2842" xr:uid="{3A24D030-9581-4C15-9776-96EBC91430AE}"/>
    <hyperlink ref="S684" r:id="rId2843" xr:uid="{0C5DCF9E-ADC3-48F4-9997-3D474A378995}"/>
    <hyperlink ref="T684" r:id="rId2844" xr:uid="{79225F93-B29A-43EF-8E4A-B5C35CA87428}"/>
    <hyperlink ref="CA684" r:id="rId2845" xr:uid="{CF1ABC71-0CFD-45DE-9181-C91A9D1DEE0B}"/>
    <hyperlink ref="CB684" r:id="rId2846" xr:uid="{FDF8DC54-1B76-4D90-9F86-D8D4AF281273}"/>
    <hyperlink ref="CD684" r:id="rId2847" xr:uid="{4E907F34-F7DF-4EB3-BBA6-4D7DEF88F046}"/>
    <hyperlink ref="O685" r:id="rId2848" xr:uid="{91E70656-CD3F-48A8-9453-D606C8CB5E56}"/>
    <hyperlink ref="S685" r:id="rId2849" xr:uid="{F25503F6-5BD5-4654-8642-B9577CAC6EF7}"/>
    <hyperlink ref="T685" r:id="rId2850" xr:uid="{AB8AC30F-3970-4AA0-BB35-891B1EB45375}"/>
    <hyperlink ref="CA685" r:id="rId2851" xr:uid="{281937AE-C9B4-4F9F-B803-B3EE327887E6}"/>
    <hyperlink ref="CB685" r:id="rId2852" xr:uid="{3A32B103-49A6-4D73-BF28-6890EAF62066}"/>
    <hyperlink ref="O686" r:id="rId2853" xr:uid="{27AF71B5-1BF6-4C06-B22A-1360D05F4F93}"/>
    <hyperlink ref="S686" r:id="rId2854" xr:uid="{9A9BA1D4-9B4D-42D9-BF7F-E9DD8BCB89F9}"/>
    <hyperlink ref="T686" r:id="rId2855" xr:uid="{4DD3D811-240F-47DF-82A5-F404E4A483DE}"/>
    <hyperlink ref="CA686" r:id="rId2856" xr:uid="{2A722DAB-D443-485F-9BB0-A0296ABA4AFD}"/>
    <hyperlink ref="CB686" r:id="rId2857" xr:uid="{566A3613-7072-475F-88F0-B030853EAEF7}"/>
    <hyperlink ref="CD686" r:id="rId2858" xr:uid="{EF7BA1E7-5619-4110-82BE-D8175E4306BB}"/>
    <hyperlink ref="O687" r:id="rId2859" xr:uid="{9A89397E-56DC-498F-A183-DC2355F3DFF6}"/>
    <hyperlink ref="S687" r:id="rId2860" xr:uid="{5C9EE459-F9C6-43AB-BD7E-FFDCED527AC0}"/>
    <hyperlink ref="T687" r:id="rId2861" xr:uid="{A0473257-B1E2-4D34-9ADF-A8A2C0475FA1}"/>
    <hyperlink ref="CA687" r:id="rId2862" xr:uid="{AA956756-5E74-425F-9760-11A853B450A7}"/>
    <hyperlink ref="CB687" r:id="rId2863" xr:uid="{2A2BE5E9-AFAE-49D1-9E58-8F1C8D5B5205}"/>
    <hyperlink ref="CD687" r:id="rId2864" xr:uid="{CCDB128F-156D-41F2-B7C1-6C98645090AB}"/>
    <hyperlink ref="O688" r:id="rId2865" xr:uid="{1105EEB8-5D20-4C08-B682-EDF791C4DAA0}"/>
    <hyperlink ref="S688" r:id="rId2866" xr:uid="{D8764508-A12B-4F9E-96BA-41358ADE138E}"/>
    <hyperlink ref="T688" r:id="rId2867" xr:uid="{0CABFBC1-D1AE-427A-9BD4-940EB39288E3}"/>
    <hyperlink ref="CA688" r:id="rId2868" xr:uid="{D40F9180-6705-4B1C-B3B2-4833B46D0CB4}"/>
    <hyperlink ref="CB688" r:id="rId2869" xr:uid="{ABC69CEC-52CB-4E79-975C-A5C869A8AEE3}"/>
    <hyperlink ref="CD688" r:id="rId2870" xr:uid="{48BE4085-D337-4C33-959F-4D928C0278F4}"/>
    <hyperlink ref="O689" r:id="rId2871" xr:uid="{C5ADA72B-2473-45A3-BC2E-98A9A2727957}"/>
    <hyperlink ref="S689" r:id="rId2872" xr:uid="{538CF121-8439-4C56-91C2-19EA7FE3D9BE}"/>
    <hyperlink ref="T689" r:id="rId2873" xr:uid="{9627D096-1F39-4865-90A0-20B39CC101BD}"/>
    <hyperlink ref="CA689" r:id="rId2874" xr:uid="{529544CC-014E-4772-A715-584F6E42EE4E}"/>
    <hyperlink ref="CB689" r:id="rId2875" xr:uid="{293EC5B0-ED86-4BDD-8B19-868437AB9F8C}"/>
    <hyperlink ref="CD689" r:id="rId2876" xr:uid="{F619AC11-B910-4524-A5A3-8DEA8A45029A}"/>
    <hyperlink ref="O690" r:id="rId2877" xr:uid="{F3E357A6-091F-41AC-8C4A-5B2D2019F302}"/>
    <hyperlink ref="S690" r:id="rId2878" xr:uid="{1EC1EE18-6E68-4C96-A7FA-A4085318ED6D}"/>
    <hyperlink ref="T690" r:id="rId2879" xr:uid="{01925CB6-3A18-4CA1-A017-8325DF4E5D1D}"/>
    <hyperlink ref="CA690" r:id="rId2880" xr:uid="{C1E77304-6E9B-46BB-87C0-9C4C121C49E2}"/>
    <hyperlink ref="CB690" r:id="rId2881" xr:uid="{DE423B20-E99B-4014-8C26-BC624EDA69AE}"/>
    <hyperlink ref="CD690" r:id="rId2882" xr:uid="{F42652A5-95DF-421F-8D15-4B4A3F672D8C}"/>
    <hyperlink ref="O691" r:id="rId2883" xr:uid="{EDC45F55-5283-45A4-8358-ADBCE2BBCB7A}"/>
    <hyperlink ref="S691" r:id="rId2884" xr:uid="{C16FC1CC-2299-4D44-8159-233F51C58DEB}"/>
    <hyperlink ref="T691" r:id="rId2885" xr:uid="{9C8507D6-713C-4FF7-A04A-B6EE8BA97687}"/>
    <hyperlink ref="CA691" r:id="rId2886" xr:uid="{52731ADF-C2A3-4033-BC5F-BCE39C412E60}"/>
    <hyperlink ref="CB691" r:id="rId2887" xr:uid="{0C64A988-8018-4C30-838D-55D10825D2DD}"/>
    <hyperlink ref="CD691" r:id="rId2888" xr:uid="{765868F0-5E23-4C92-9876-1D484DA443FC}"/>
    <hyperlink ref="O692" r:id="rId2889" xr:uid="{DB7DC79F-89A5-417C-8AEA-4D727C5D60B4}"/>
    <hyperlink ref="S692" r:id="rId2890" xr:uid="{0190868B-6EDC-4895-9A0F-E772632E9858}"/>
    <hyperlink ref="T692" r:id="rId2891" xr:uid="{374FFD23-3ECC-4F1E-9D96-3C5574F0C4A8}"/>
    <hyperlink ref="CA692" r:id="rId2892" xr:uid="{D5A90891-FB49-41CE-82C4-FF15E80A8D6D}"/>
    <hyperlink ref="CB692" r:id="rId2893" xr:uid="{513732E3-24B5-4DC0-A6E8-ADFF868EA547}"/>
    <hyperlink ref="CD692" r:id="rId2894" xr:uid="{3054C310-81BF-497B-ABC5-C591935781CD}"/>
    <hyperlink ref="O693" r:id="rId2895" xr:uid="{2B44693E-0253-4B3C-9BF1-8B11EDA4D9BC}"/>
    <hyperlink ref="S693" r:id="rId2896" xr:uid="{77E9C5FF-C8FC-4CFB-ADC0-EA7E4F42DC8E}"/>
    <hyperlink ref="T693" r:id="rId2897" xr:uid="{4CD20BDE-540A-43D9-B759-59DC8651DE29}"/>
    <hyperlink ref="CA693" r:id="rId2898" xr:uid="{EED6EF1E-DAE3-4FF0-9CB5-F2ACF4C49C70}"/>
    <hyperlink ref="CB693" r:id="rId2899" xr:uid="{07E376E5-203E-4EF0-AD4F-D6A60270F924}"/>
    <hyperlink ref="CD693" r:id="rId2900" xr:uid="{83353D91-26B4-49BA-A1E8-9EC905DEAD1C}"/>
    <hyperlink ref="O694" r:id="rId2901" xr:uid="{2B926513-0087-419D-A4DF-D382C1B4F8B9}"/>
    <hyperlink ref="S694" r:id="rId2902" xr:uid="{A0253657-39DC-4211-862A-2F094F66CCA4}"/>
    <hyperlink ref="T694" r:id="rId2903" xr:uid="{46DD0C6B-75F4-4C0D-88F1-67C467A67B88}"/>
    <hyperlink ref="CA694" r:id="rId2904" xr:uid="{0E052041-E452-4973-95E7-1F9695A12F85}"/>
    <hyperlink ref="CB694" r:id="rId2905" xr:uid="{0BA76B44-7C3F-456B-8C06-6AF2F42CA82C}"/>
    <hyperlink ref="O695" r:id="rId2906" xr:uid="{FA5AEF1B-5E13-4B89-831A-117A692223FB}"/>
    <hyperlink ref="S695" r:id="rId2907" xr:uid="{6300EDFD-5585-48C4-A401-DE4C8D28D771}"/>
    <hyperlink ref="T695" r:id="rId2908" xr:uid="{F9C7308F-D7D1-4024-A4F7-83C5F06A55FC}"/>
    <hyperlink ref="CA695" r:id="rId2909" xr:uid="{00304352-75A5-4B4C-AFEA-076D8D93DDBB}"/>
    <hyperlink ref="CB695" r:id="rId2910" xr:uid="{F69F5D31-BFF4-45EA-A0CF-9F797DC78C1A}"/>
    <hyperlink ref="CD695" r:id="rId2911" xr:uid="{2613554C-5246-422C-AD6D-EEA3D2D9D8F8}"/>
    <hyperlink ref="O696" r:id="rId2912" xr:uid="{0296AD00-615B-40EB-9423-416F8D8D1AEC}"/>
    <hyperlink ref="S696" r:id="rId2913" xr:uid="{68A1D588-92BD-43FC-A22F-2DD4119AF1BA}"/>
    <hyperlink ref="T696" r:id="rId2914" xr:uid="{84EEC9E3-DE27-46D3-A04B-7256EDD7C674}"/>
    <hyperlink ref="CA696" r:id="rId2915" xr:uid="{81C0FD59-60BE-4EB3-B19B-C92FFB7FDC3F}"/>
    <hyperlink ref="CB696" r:id="rId2916" xr:uid="{C1D1C3F5-1707-4414-B35A-9E0043BEE24F}"/>
    <hyperlink ref="CD696" r:id="rId2917" xr:uid="{28851562-6310-4180-9831-D8F77165FC54}"/>
    <hyperlink ref="O697" r:id="rId2918" xr:uid="{9ADA6D58-5490-4C73-9F7F-29D6C5E357A6}"/>
    <hyperlink ref="S697" r:id="rId2919" xr:uid="{6A3E42A9-55CA-4E66-9952-E5C1AE34C1D9}"/>
    <hyperlink ref="T697" r:id="rId2920" xr:uid="{4E115188-2F48-48AC-8A92-B3F1F4F9582A}"/>
    <hyperlink ref="CA697" r:id="rId2921" xr:uid="{CC990BDE-21BB-4005-AE2E-0668714CA580}"/>
    <hyperlink ref="CB697" r:id="rId2922" xr:uid="{8D53BF74-D73C-499D-AE3E-C00F0C7B92EC}"/>
    <hyperlink ref="CD697" r:id="rId2923" xr:uid="{0AE635AE-FD48-427B-A4F1-7BE93D603C36}"/>
    <hyperlink ref="O698" r:id="rId2924" xr:uid="{0A30DB58-B29F-479B-8A21-9B15D213B7F4}"/>
    <hyperlink ref="S698" r:id="rId2925" xr:uid="{C9016782-0966-4FBC-9130-BFEA333F55BB}"/>
    <hyperlink ref="T698" r:id="rId2926" xr:uid="{B23B242F-4F01-450F-BF30-BFC973A82E10}"/>
    <hyperlink ref="CA698" r:id="rId2927" xr:uid="{9192D3DA-FE8C-406C-B7A6-000D08F03611}"/>
    <hyperlink ref="CB698" r:id="rId2928" xr:uid="{D2B30AA9-1056-4A07-BC7A-A05A6B924F60}"/>
    <hyperlink ref="CD698" r:id="rId2929" xr:uid="{5E8EB8C1-2166-4B5B-A155-B067C096166F}"/>
    <hyperlink ref="O699" r:id="rId2930" xr:uid="{B9883796-4911-47EB-9EB5-6C8A8B76688F}"/>
    <hyperlink ref="S699" r:id="rId2931" xr:uid="{6EF698FC-64C1-43AD-BA9A-E744711E7AF4}"/>
    <hyperlink ref="T699" r:id="rId2932" xr:uid="{BCC68CD0-ABDE-47FD-8132-38DEB04565D7}"/>
    <hyperlink ref="CA699" r:id="rId2933" xr:uid="{5CBCC9EA-5F2E-46A2-AE9D-975F6B355962}"/>
    <hyperlink ref="CB699" r:id="rId2934" xr:uid="{2AE3EA96-7FD4-4539-B5E4-9080B12D19EF}"/>
    <hyperlink ref="CD699" r:id="rId2935" xr:uid="{5CF25CB1-F544-4D67-A7C2-A6B78F77FC5A}"/>
    <hyperlink ref="O700" r:id="rId2936" xr:uid="{45BED467-A159-48B3-8F14-9678086F4CE2}"/>
    <hyperlink ref="S700" r:id="rId2937" xr:uid="{7F40219F-225F-46B6-BEBB-8879E941225D}"/>
    <hyperlink ref="T700" r:id="rId2938" xr:uid="{D84236FE-CD8D-4E8E-B62F-802345A84954}"/>
    <hyperlink ref="CA700" r:id="rId2939" xr:uid="{EB00F9F7-F2DE-49A3-9B47-B730CEBD58B4}"/>
    <hyperlink ref="CB700" r:id="rId2940" xr:uid="{23ECF8B0-995C-4B4F-B23A-FE4813E3C287}"/>
    <hyperlink ref="CD700" r:id="rId2941" xr:uid="{4DD9CC30-5D74-479D-9101-6EAEF10A7672}"/>
    <hyperlink ref="O701" r:id="rId2942" xr:uid="{A6100C7A-66AA-470D-B101-BA64391A1605}"/>
    <hyperlink ref="S701" r:id="rId2943" xr:uid="{7AF93847-BA55-4BF2-AFC8-C62AFF6B1E77}"/>
    <hyperlink ref="T701" r:id="rId2944" xr:uid="{3180735F-BB58-4695-A144-92572D18678C}"/>
    <hyperlink ref="CA701" r:id="rId2945" xr:uid="{A464B6A4-8F32-4630-8A0A-F87A89A6A723}"/>
    <hyperlink ref="CB701" r:id="rId2946" xr:uid="{4331BAC3-8031-47C0-8544-0D9C6A3029D6}"/>
    <hyperlink ref="O702" r:id="rId2947" xr:uid="{80EA1DF2-46DC-40CA-BD7A-C33C713A49F7}"/>
    <hyperlink ref="S702" r:id="rId2948" xr:uid="{BFD3B64A-BB7B-4772-AB2A-BDF5E7069DE2}"/>
    <hyperlink ref="T702" r:id="rId2949" xr:uid="{47E7CABA-6C4E-43E2-80B7-79DE1C7D67E3}"/>
    <hyperlink ref="CA702" r:id="rId2950" xr:uid="{B98A05A2-4519-4795-AA64-14F61E215A12}"/>
    <hyperlink ref="CB702" r:id="rId2951" xr:uid="{5580170A-8C14-42CF-87EC-3075228FBFB2}"/>
    <hyperlink ref="CD702" r:id="rId2952" xr:uid="{2BC956FC-F52C-454A-B58D-F89A594750D9}"/>
    <hyperlink ref="O703" r:id="rId2953" xr:uid="{C96A1249-27C7-4A48-A37B-3A71526283D9}"/>
    <hyperlink ref="S703" r:id="rId2954" xr:uid="{F013A452-E203-468B-9836-1738C8873BC4}"/>
    <hyperlink ref="T703" r:id="rId2955" xr:uid="{C5FE3455-949B-4376-B51C-5786D7AB6F8A}"/>
    <hyperlink ref="CA703" r:id="rId2956" xr:uid="{57FD1B1E-0E50-4B23-B23C-33DE77AE86F4}"/>
    <hyperlink ref="CB703" r:id="rId2957" xr:uid="{DA8E61AB-09AB-4D12-9B86-579D6A2417B7}"/>
    <hyperlink ref="O704" r:id="rId2958" xr:uid="{E7870AEB-2CAF-46AB-B2C7-028C34C7DF0D}"/>
    <hyperlink ref="S704" r:id="rId2959" xr:uid="{07892B40-0422-482E-9545-712721ACFDD7}"/>
    <hyperlink ref="T704" r:id="rId2960" xr:uid="{A5493017-6B63-4789-B826-833AB0D4A02F}"/>
    <hyperlink ref="CA704" r:id="rId2961" xr:uid="{0322D665-A765-40B9-B4A8-1E904003F53B}"/>
    <hyperlink ref="CB704" r:id="rId2962" xr:uid="{646CE881-7469-4E93-BB58-78A8BB74B6FB}"/>
    <hyperlink ref="CD704" r:id="rId2963" xr:uid="{E23EE7C4-DB8F-4161-B41E-E26413732875}"/>
    <hyperlink ref="O705" r:id="rId2964" xr:uid="{F046AF80-6D44-4809-86C6-1856BCF48753}"/>
    <hyperlink ref="S705" r:id="rId2965" xr:uid="{778335CB-F886-4720-95A4-416586E061C7}"/>
    <hyperlink ref="T705" r:id="rId2966" xr:uid="{8B6C4A76-7AAD-439A-B01E-8FD0EF62DCDE}"/>
    <hyperlink ref="CA705" r:id="rId2967" xr:uid="{E5CB4F38-AF0D-4D9C-A955-2595DE4610AD}"/>
    <hyperlink ref="CB705" r:id="rId2968" xr:uid="{AF58D4BA-082E-49B8-A9AC-5D9B612EBA13}"/>
    <hyperlink ref="O706" r:id="rId2969" xr:uid="{3360F9D4-1D9F-4AEC-B3B1-0FDE1C8C2041}"/>
    <hyperlink ref="S706" r:id="rId2970" xr:uid="{91BE4968-437F-4C80-B8BF-508383177C5B}"/>
    <hyperlink ref="T706" r:id="rId2971" xr:uid="{B7D37B7A-28E5-48F8-9BBE-AF7F602868FA}"/>
    <hyperlink ref="CA706" r:id="rId2972" xr:uid="{126B7B06-5BAE-4600-85DB-DC3738985011}"/>
    <hyperlink ref="CB706" r:id="rId2973" xr:uid="{694D20CC-7438-41FA-B6F7-34252106FA12}"/>
    <hyperlink ref="CD706" r:id="rId2974" xr:uid="{D222C130-59B5-42D1-ACE1-86457CD02B16}"/>
    <hyperlink ref="O707" r:id="rId2975" xr:uid="{5C5761D2-579C-4E58-A5A9-EA90C943F532}"/>
    <hyperlink ref="S707" r:id="rId2976" xr:uid="{E95A748C-561C-4B29-AEF1-7C27DB579ACF}"/>
    <hyperlink ref="T707" r:id="rId2977" xr:uid="{6C551217-60BA-43BC-AFF1-59098AAE18A7}"/>
    <hyperlink ref="CA707" r:id="rId2978" xr:uid="{DBB171F1-CE08-430A-AFE5-80A232E21B54}"/>
    <hyperlink ref="CB707" r:id="rId2979" xr:uid="{F74B4E37-DD89-42E0-9AE5-40F043FDD1A5}"/>
    <hyperlink ref="CD707" r:id="rId2980" xr:uid="{98E71201-6457-4CE7-9E01-C1C505367C29}"/>
    <hyperlink ref="O708" r:id="rId2981" xr:uid="{EC5CEFF0-1547-42BB-88C7-BF72488D2373}"/>
    <hyperlink ref="S708" r:id="rId2982" xr:uid="{610E80C3-A36F-440C-881A-634294238C68}"/>
    <hyperlink ref="T708" r:id="rId2983" xr:uid="{E05D35EA-3C4D-41FC-908F-ECE8DBDAF2DD}"/>
    <hyperlink ref="CA708" r:id="rId2984" xr:uid="{56F92EC7-E3C1-4917-9170-E0D01C01F1CA}"/>
    <hyperlink ref="CB708" r:id="rId2985" xr:uid="{D8E4146C-39E1-44E7-8725-CE8A02ABFF0D}"/>
    <hyperlink ref="CD708" r:id="rId2986" xr:uid="{7A1D5B0D-300C-4481-9C38-55C24609D177}"/>
    <hyperlink ref="O709" r:id="rId2987" xr:uid="{495A488B-B102-48A1-97CE-7BD030E354A1}"/>
    <hyperlink ref="S709" r:id="rId2988" xr:uid="{A07430FE-B1E6-4127-96D1-0C7849902532}"/>
    <hyperlink ref="T709" r:id="rId2989" xr:uid="{C32CDA63-8921-487F-B1CB-9B8881976CF1}"/>
    <hyperlink ref="CA709" r:id="rId2990" xr:uid="{7AD25AC9-9017-4CEE-AAD0-D493D6101DB6}"/>
    <hyperlink ref="CB709" r:id="rId2991" xr:uid="{3C89351D-0D8B-4D95-96B8-AD90EDFB0FD6}"/>
    <hyperlink ref="CD709" r:id="rId2992" xr:uid="{FDDFB572-57AD-47AB-90BE-FC4A1481B4D3}"/>
    <hyperlink ref="O710" r:id="rId2993" xr:uid="{D42263E3-C046-472C-92FE-7530E933D432}"/>
    <hyperlink ref="S710" r:id="rId2994" xr:uid="{72CEFB1F-93A3-40A8-83F0-1894B8322ABB}"/>
    <hyperlink ref="T710" r:id="rId2995" xr:uid="{942ACBFC-FA6A-4963-A8E0-8C6F642D2DCE}"/>
    <hyperlink ref="CA710" r:id="rId2996" xr:uid="{EB0DDCAE-7E83-46A8-BFED-A5C3FAB0FE2A}"/>
    <hyperlink ref="CB710" r:id="rId2997" xr:uid="{84B2B22D-51A2-40FE-9DC6-ED64C82D223F}"/>
    <hyperlink ref="O711" r:id="rId2998" xr:uid="{EAFFA929-6182-4BE7-A819-171D5EF4914F}"/>
    <hyperlink ref="S711" r:id="rId2999" xr:uid="{A0B5E82A-B230-45A8-834A-19376B576537}"/>
    <hyperlink ref="T711" r:id="rId3000" xr:uid="{BBB25B8C-CB77-4CF9-A789-8AFC94F5406A}"/>
    <hyperlink ref="CA711" r:id="rId3001" xr:uid="{DFB8D28A-5811-4EA8-B71C-1CB76DD39E1C}"/>
    <hyperlink ref="CB711" r:id="rId3002" xr:uid="{70B7181E-A936-46D4-9EB0-5034D1C08D8B}"/>
    <hyperlink ref="CD711" r:id="rId3003" xr:uid="{84C1B2E8-8248-4E56-82A4-849E3EA7A74A}"/>
    <hyperlink ref="O712" r:id="rId3004" xr:uid="{601F5E6D-5AB6-4A32-9CF8-7256A7494D39}"/>
    <hyperlink ref="S712" r:id="rId3005" xr:uid="{637605DE-9E64-4FB6-BB3F-2BC10CD486C2}"/>
    <hyperlink ref="T712" r:id="rId3006" xr:uid="{1373C338-BED8-435C-AA08-D9AA75EEABB9}"/>
    <hyperlink ref="CA712" r:id="rId3007" xr:uid="{4EF8CF15-C360-4497-8F9B-D0C5EC0C02A7}"/>
    <hyperlink ref="CB712" r:id="rId3008" xr:uid="{5A5D14D0-02AE-48F7-BFA6-8E9466A3EE20}"/>
    <hyperlink ref="O713" r:id="rId3009" xr:uid="{8400CC9D-F2D0-4AE3-AE08-10CB331DEB03}"/>
    <hyperlink ref="S713" r:id="rId3010" xr:uid="{B51DEA75-06B1-4D16-9CB3-91A4069DFF84}"/>
    <hyperlink ref="T713" r:id="rId3011" xr:uid="{D43964DA-EA20-4D17-BC54-75722DBC9F6D}"/>
    <hyperlink ref="CA713" r:id="rId3012" xr:uid="{470469CF-FED0-4FDD-B892-C06D35AF7356}"/>
    <hyperlink ref="CB713" r:id="rId3013" xr:uid="{CCFEE1F6-DB10-4347-9902-D078CB3516EF}"/>
    <hyperlink ref="O714" r:id="rId3014" xr:uid="{EA3FC0F1-2B89-42FB-A0A8-CF989D30E0D0}"/>
    <hyperlink ref="S714" r:id="rId3015" xr:uid="{7FB8C712-3F6C-42D9-92DB-4A56BAB6DAE2}"/>
    <hyperlink ref="T714" r:id="rId3016" xr:uid="{81DE79D6-B4B3-4EF2-B0B8-CB3C042FB1BB}"/>
    <hyperlink ref="CA714" r:id="rId3017" xr:uid="{F4190D87-219D-47A1-B42F-6892AFAAEBB0}"/>
    <hyperlink ref="CB714" r:id="rId3018" xr:uid="{97FBA8A5-5ED1-4557-8AAE-594D3288C0CA}"/>
    <hyperlink ref="CD714" r:id="rId3019" xr:uid="{DC9EA390-F393-4AD7-B89B-B5CAE084EDD4}"/>
    <hyperlink ref="O715" r:id="rId3020" xr:uid="{B543E70F-4150-48B3-8847-E77432D3190C}"/>
    <hyperlink ref="S715" r:id="rId3021" xr:uid="{22D179DE-D81F-4085-8EFC-DFD4E6349EBA}"/>
    <hyperlink ref="T715" r:id="rId3022" xr:uid="{F8019E02-0D37-411E-ACE6-6E3DA6C773B7}"/>
    <hyperlink ref="CA715" r:id="rId3023" xr:uid="{23A56682-B918-40A0-9FC3-607B9C169749}"/>
    <hyperlink ref="CB715" r:id="rId3024" xr:uid="{DD7ADE1F-1D06-4707-AA15-C65C661232D2}"/>
    <hyperlink ref="CD715" r:id="rId3025" xr:uid="{573DC322-9187-4E3A-B6FC-F685CD2C48AD}"/>
    <hyperlink ref="O716" r:id="rId3026" xr:uid="{D682F55E-4EB6-4CE5-954A-7E5FD2D15B31}"/>
    <hyperlink ref="S716" r:id="rId3027" xr:uid="{856383A9-6FE4-46B3-956F-B751D7E3C4F7}"/>
    <hyperlink ref="T716" r:id="rId3028" xr:uid="{6A756F76-D8E0-42E6-BAB1-85AA41A6C24F}"/>
    <hyperlink ref="CA716" r:id="rId3029" xr:uid="{640574C6-F1F2-4847-A88B-E41B2A25F1AD}"/>
    <hyperlink ref="CB716" r:id="rId3030" xr:uid="{16A5A9A4-E26F-4475-AC59-7077F4698559}"/>
    <hyperlink ref="O717" r:id="rId3031" xr:uid="{B7FB4938-CC66-473D-80C9-8150183E38FE}"/>
    <hyperlink ref="S717" r:id="rId3032" xr:uid="{26366241-729E-4490-A071-B9A36A1AE606}"/>
    <hyperlink ref="T717" r:id="rId3033" xr:uid="{6EC19475-8094-42D3-BADB-9AD57099B849}"/>
    <hyperlink ref="CA717" r:id="rId3034" xr:uid="{9F51CB2A-FD2D-43BC-9D61-07E0A7905399}"/>
    <hyperlink ref="CB717" r:id="rId3035" xr:uid="{E330E300-C596-4748-A4BE-971B47085857}"/>
    <hyperlink ref="CD717" r:id="rId3036" xr:uid="{DE9DF467-E989-4877-8010-DF0EDB50568D}"/>
    <hyperlink ref="O718" r:id="rId3037" xr:uid="{FF8161D4-EFF2-4D38-B8AF-8E8A7390559B}"/>
    <hyperlink ref="S718" r:id="rId3038" xr:uid="{743B6A3F-F75B-4F08-BEC6-A395DED0571D}"/>
    <hyperlink ref="T718" r:id="rId3039" xr:uid="{4DF9A3BB-50BB-42A0-BED6-3E3CE3DB9B30}"/>
    <hyperlink ref="CA718" r:id="rId3040" xr:uid="{9E7AE1A4-B5F8-4B7B-B9DD-857BB3CCC87D}"/>
    <hyperlink ref="CB718" r:id="rId3041" xr:uid="{AA81F41D-D5E4-480E-90DC-3A47C20ED44D}"/>
    <hyperlink ref="O719" r:id="rId3042" xr:uid="{F5203617-21F0-49C2-BE16-A8D9FADC2E90}"/>
    <hyperlink ref="S719" r:id="rId3043" xr:uid="{46AE7F4F-A717-4582-9410-CF68829F5D74}"/>
    <hyperlink ref="T719" r:id="rId3044" xr:uid="{0671E990-4717-484F-B9C9-568F75C77742}"/>
    <hyperlink ref="CA719" r:id="rId3045" xr:uid="{5BC679C0-77A6-4418-B0BD-C7E8A7EBA1B9}"/>
    <hyperlink ref="CB719" r:id="rId3046" xr:uid="{01E0C5E3-976C-4961-B505-C9BDEFCD629D}"/>
    <hyperlink ref="O720" r:id="rId3047" xr:uid="{0EE25ED9-8AFA-4E96-B48E-5949D20BA847}"/>
    <hyperlink ref="S720" r:id="rId3048" xr:uid="{2B9868A1-AD8C-465B-8989-07DFBDB36462}"/>
    <hyperlink ref="T720" r:id="rId3049" xr:uid="{69B9E720-A886-4D60-BFD2-DF8A813480E8}"/>
    <hyperlink ref="CA720" r:id="rId3050" xr:uid="{BF212310-7818-43D0-A4E8-5EF572CF1B15}"/>
    <hyperlink ref="CB720" r:id="rId3051" xr:uid="{669FDE22-3353-46DB-A19E-E4B384812D5C}"/>
    <hyperlink ref="CD720" r:id="rId3052" xr:uid="{3097BD74-BACC-4A7B-81FE-C198EA015573}"/>
    <hyperlink ref="O721" r:id="rId3053" xr:uid="{6301E20C-513E-479E-9CE8-FEB645A8D524}"/>
    <hyperlink ref="S721" r:id="rId3054" xr:uid="{7217770B-9F3D-4AC8-B482-91668BD0146A}"/>
    <hyperlink ref="T721" r:id="rId3055" xr:uid="{3D84581D-FC56-4CB2-B75E-EE60380CE691}"/>
    <hyperlink ref="CA721" r:id="rId3056" xr:uid="{1127BEC4-8F7D-4523-8DAF-711B0027B77D}"/>
    <hyperlink ref="CB721" r:id="rId3057" xr:uid="{5D03A175-05FB-432A-8045-9D9FE4D99534}"/>
    <hyperlink ref="CD721" r:id="rId3058" xr:uid="{8486580D-4794-40E4-AACE-39FC6DFF3525}"/>
    <hyperlink ref="O722" r:id="rId3059" xr:uid="{6F575660-6F88-48D1-A74C-44E623EB103C}"/>
    <hyperlink ref="S722" r:id="rId3060" xr:uid="{04F84D18-3122-458F-BD52-2AD40A94F738}"/>
    <hyperlink ref="T722" r:id="rId3061" xr:uid="{756BA08A-D74F-4E85-B460-1D99B39B0965}"/>
    <hyperlink ref="CA722" r:id="rId3062" xr:uid="{0300F487-FCC5-4D9B-9D58-F66ACF124E1B}"/>
    <hyperlink ref="CB722" r:id="rId3063" xr:uid="{CE0B9956-A83F-4989-B309-5E554BEA3CDD}"/>
    <hyperlink ref="O723" r:id="rId3064" xr:uid="{B8BD8D2B-5DA8-46FA-AA60-BD22E087F77C}"/>
    <hyperlink ref="S723" r:id="rId3065" xr:uid="{4C151E38-B6E7-46D5-91D9-F82D7A4FC754}"/>
    <hyperlink ref="T723" r:id="rId3066" xr:uid="{75D8BBDC-8D55-46B1-B84F-A974A8DBC6E0}"/>
    <hyperlink ref="CA723" r:id="rId3067" xr:uid="{24C1AF72-2F62-4407-9839-EDEFBBB8A926}"/>
    <hyperlink ref="CB723" r:id="rId3068" xr:uid="{1F88BCB9-B618-48C7-8E87-003140704BD3}"/>
    <hyperlink ref="CD723" r:id="rId3069" xr:uid="{2AE28C84-EC7F-45CE-BEB6-C5E204C1DA9B}"/>
    <hyperlink ref="O724" r:id="rId3070" xr:uid="{7DBDC9C8-1444-4FB3-BF35-E41EC2AB89B2}"/>
    <hyperlink ref="S724" r:id="rId3071" xr:uid="{EFAB0C92-7680-484F-9549-DF83B329006C}"/>
    <hyperlink ref="T724" r:id="rId3072" xr:uid="{549AD0A8-5E29-4D86-9C96-E93DBB9385C7}"/>
    <hyperlink ref="CA724" r:id="rId3073" xr:uid="{48F01615-69B4-4BDA-B14F-A937A8EF69CD}"/>
    <hyperlink ref="CB724" r:id="rId3074" xr:uid="{DB20ECDF-428B-4687-8EF5-90A7A27A8338}"/>
    <hyperlink ref="CD724" r:id="rId3075" xr:uid="{5F417C4B-812C-4A48-A45D-C9604322FE01}"/>
    <hyperlink ref="O725" r:id="rId3076" xr:uid="{7CBB81E8-C640-46F2-9F82-80DE9B145276}"/>
    <hyperlink ref="S725" r:id="rId3077" xr:uid="{7923CBEB-C83F-4456-AD7A-7D301ECA8967}"/>
    <hyperlink ref="T725" r:id="rId3078" xr:uid="{B0B65E8F-E53C-4046-9541-539BEBCEDA87}"/>
    <hyperlink ref="CA725" r:id="rId3079" xr:uid="{20318C62-FB9F-4CDC-83B8-5F6821C00DA0}"/>
    <hyperlink ref="CB725" r:id="rId3080" xr:uid="{6D703792-D42D-4D6F-9910-8DFC5AFAC3A2}"/>
    <hyperlink ref="CD725" r:id="rId3081" xr:uid="{C09EBFB1-C9C1-47D3-A53E-6F360E3CF8BD}"/>
    <hyperlink ref="O726" r:id="rId3082" xr:uid="{F5A9A1DD-3464-46B3-A366-61C04329394E}"/>
    <hyperlink ref="S726" r:id="rId3083" xr:uid="{B7676DF2-1963-470D-B6E6-A920682187AA}"/>
    <hyperlink ref="T726" r:id="rId3084" xr:uid="{59BB0CAD-289B-4D74-AF93-8A75FCB9C2FC}"/>
    <hyperlink ref="CA726" r:id="rId3085" xr:uid="{1977090C-11DA-4A33-B742-07FBC6A02A47}"/>
    <hyperlink ref="CB726" r:id="rId3086" xr:uid="{0A8BC346-04A3-4839-8660-2749AF1C4AB0}"/>
    <hyperlink ref="CD726" r:id="rId3087" xr:uid="{56AF7FAF-63E0-4B10-A400-08C7D49271BE}"/>
    <hyperlink ref="O727" r:id="rId3088" xr:uid="{F916C0FD-D11F-4EC1-934B-4D0A44A30742}"/>
    <hyperlink ref="S727" r:id="rId3089" xr:uid="{664316E0-8857-498D-8469-0DB939D1A4F9}"/>
    <hyperlink ref="T727" r:id="rId3090" xr:uid="{BE29A94C-A1F3-4F72-9347-F21D7C480471}"/>
    <hyperlink ref="CA727" r:id="rId3091" xr:uid="{4AD7B995-07C4-4C05-B331-E95F4B642C42}"/>
    <hyperlink ref="CB727" r:id="rId3092" xr:uid="{F0CE1C58-4436-4B43-B1D2-F29B631D6FA0}"/>
    <hyperlink ref="CD727" r:id="rId3093" xr:uid="{D36502D9-0181-4826-9780-1786F4D30047}"/>
    <hyperlink ref="O728" r:id="rId3094" xr:uid="{99BBED63-214C-46C1-AF2B-4F6DA96FF664}"/>
    <hyperlink ref="S728" r:id="rId3095" xr:uid="{F35EDB05-0318-4474-BD6A-0D7788545DBC}"/>
    <hyperlink ref="T728" r:id="rId3096" xr:uid="{851DD054-C5D7-4040-AF64-A9646AD2A7F2}"/>
    <hyperlink ref="CA728" r:id="rId3097" xr:uid="{86DDEF34-2896-43CD-9253-C069ABAD70C6}"/>
    <hyperlink ref="CB728" r:id="rId3098" xr:uid="{0100155F-096F-46F9-979A-51CB43A21712}"/>
    <hyperlink ref="CD728" r:id="rId3099" xr:uid="{FBD7B7BB-0FD6-4D50-984D-0A285E5A02E3}"/>
    <hyperlink ref="O729" r:id="rId3100" xr:uid="{C4278F5B-3932-40E9-A2F2-37EEFAB98CA6}"/>
    <hyperlink ref="S729" r:id="rId3101" xr:uid="{ED6A9DDE-CAB2-4349-AB6A-8C1732D7C68C}"/>
    <hyperlink ref="T729" r:id="rId3102" xr:uid="{5C98585D-A874-438A-89FA-07E0CAD5117C}"/>
    <hyperlink ref="CA729" r:id="rId3103" xr:uid="{4DED1D38-CC1E-4343-ACE5-8063AAA5274C}"/>
    <hyperlink ref="CB729" r:id="rId3104" xr:uid="{26B534B7-2231-4C77-97CC-1BE28A0E6259}"/>
    <hyperlink ref="CD729" r:id="rId3105" xr:uid="{CE0B9BBF-6447-4E82-BF74-BB56F6B2D08B}"/>
    <hyperlink ref="O730" r:id="rId3106" xr:uid="{203A5220-C230-4C75-B233-8B3FC3279F73}"/>
    <hyperlink ref="S730" r:id="rId3107" xr:uid="{085596F5-F29F-4E4E-8C0F-BC809AD253D7}"/>
    <hyperlink ref="T730" r:id="rId3108" xr:uid="{D3013A92-F403-4AC6-BF0C-26F6EFDD0F70}"/>
    <hyperlink ref="CA730" r:id="rId3109" xr:uid="{3AA5E062-335A-40C4-BD42-D5B741E7824B}"/>
    <hyperlink ref="CB730" r:id="rId3110" xr:uid="{E6E8582D-EBD1-4941-A1D4-1793292E73FC}"/>
    <hyperlink ref="CD730" r:id="rId3111" xr:uid="{A05E6095-3705-4352-AE96-61CD656E313E}"/>
    <hyperlink ref="O731" r:id="rId3112" xr:uid="{3383E726-8B4C-4731-8A9B-087129E3D896}"/>
    <hyperlink ref="S731" r:id="rId3113" xr:uid="{C15BF6A2-74F2-4803-99F4-0ADBD1AA5A48}"/>
    <hyperlink ref="CA731" r:id="rId3114" xr:uid="{B76EA36A-5F94-4FC2-ABA5-A183711844BF}"/>
    <hyperlink ref="O732" r:id="rId3115" xr:uid="{1DE32A03-F7BA-4B39-963E-6F56DA19339D}"/>
    <hyperlink ref="S732" r:id="rId3116" xr:uid="{CF288850-608E-4F8D-8F0E-95FE5F9DA18E}"/>
    <hyperlink ref="T732" r:id="rId3117" xr:uid="{03610A39-B938-4E67-BCD9-21EDBFF09CC6}"/>
    <hyperlink ref="CA732" r:id="rId3118" xr:uid="{88F575A4-BEF7-45E4-9C9D-AD5D6DEEFFF7}"/>
    <hyperlink ref="CB732" r:id="rId3119" xr:uid="{6CCF73BF-8E9D-4242-9214-B25457C87051}"/>
    <hyperlink ref="CD732" r:id="rId3120" xr:uid="{B6775508-DF05-4B40-93CF-07ADD56123B9}"/>
    <hyperlink ref="O733" r:id="rId3121" xr:uid="{B24AFF9B-65F6-4AC5-959A-B48723BB5175}"/>
    <hyperlink ref="S733" r:id="rId3122" xr:uid="{8351ED69-DF0A-4DCC-9FDF-627DADEFDC55}"/>
    <hyperlink ref="T733" r:id="rId3123" xr:uid="{6E7A8DB1-4232-4672-B20C-CB8FE6BD3446}"/>
    <hyperlink ref="CA733" r:id="rId3124" xr:uid="{99FA2942-167C-493D-A0CF-4D72399CFE8C}"/>
    <hyperlink ref="CB733" r:id="rId3125" xr:uid="{17667EA0-4160-45C0-8CAE-732972C1A572}"/>
    <hyperlink ref="CD733" r:id="rId3126" xr:uid="{3465F05F-0188-4501-B6C9-617F36E1F2D5}"/>
    <hyperlink ref="O734" r:id="rId3127" xr:uid="{4FD5E2E6-67E2-4754-8BE3-4A679F09ADC2}"/>
    <hyperlink ref="S734" r:id="rId3128" xr:uid="{AB0D6D40-1045-47A4-9DD7-81BE0857708D}"/>
    <hyperlink ref="T734" r:id="rId3129" xr:uid="{96EDDED9-1F8E-44A7-AAC3-91B4943AD1F4}"/>
    <hyperlink ref="CA734" r:id="rId3130" xr:uid="{72CAC931-E24E-441F-816E-AB015F766E44}"/>
    <hyperlink ref="CB734" r:id="rId3131" xr:uid="{2BB146D2-58A3-4030-AEB6-F55E662B7254}"/>
    <hyperlink ref="O735" r:id="rId3132" xr:uid="{7B29C65D-E778-4605-9DB3-95FACFAC61EA}"/>
    <hyperlink ref="S735" r:id="rId3133" xr:uid="{311F7E38-5734-41F3-AAFB-97927FBD8451}"/>
    <hyperlink ref="T735" r:id="rId3134" xr:uid="{DE1ED631-1DF6-4811-A5A7-1029A6DA6C33}"/>
    <hyperlink ref="CA735" r:id="rId3135" xr:uid="{2BA1DD5D-B07B-4F58-91AF-AD28EB240E4B}"/>
    <hyperlink ref="CB735" r:id="rId3136" xr:uid="{F3BA7130-28AB-4F74-AA15-6E3F86204CFF}"/>
    <hyperlink ref="CD735" r:id="rId3137" xr:uid="{2DE9DADA-1D85-4162-8BB5-F0BCEE56C809}"/>
    <hyperlink ref="O736" r:id="rId3138" xr:uid="{645EA98B-E82D-403C-BC38-1B7753CCA039}"/>
    <hyperlink ref="S736" r:id="rId3139" xr:uid="{E802F1AA-1432-474C-A2FA-3B3976C4FF15}"/>
    <hyperlink ref="CA736" r:id="rId3140" xr:uid="{6B006AFD-4CD8-48ED-90F7-985558F35AD9}"/>
    <hyperlink ref="CB736" r:id="rId3141" xr:uid="{A8BE13FE-ECE3-48E0-9B49-6260503BC37E}"/>
    <hyperlink ref="CD736" r:id="rId3142" xr:uid="{327364E5-3C55-4F37-AB52-C0C6DD1FB675}"/>
    <hyperlink ref="O737" r:id="rId3143" xr:uid="{966B8E90-1AD6-47ED-B550-676F06E99FF9}"/>
    <hyperlink ref="S737" r:id="rId3144" xr:uid="{5310FFAB-26F8-4D83-BC69-5696B59B366F}"/>
    <hyperlink ref="CA737" r:id="rId3145" xr:uid="{7CAA916E-DE7F-4D2A-9EF5-D3BF73D17933}"/>
    <hyperlink ref="CB737" r:id="rId3146" xr:uid="{23B91947-F3D3-4B08-888E-AF2F182E227D}"/>
    <hyperlink ref="CD737" r:id="rId3147" xr:uid="{6B9437AE-1990-4F61-B768-89706D50A207}"/>
    <hyperlink ref="O738" r:id="rId3148" xr:uid="{6F000EA7-28FA-4715-9DF9-BFB2E9F50835}"/>
    <hyperlink ref="S738" r:id="rId3149" xr:uid="{A9F78EF3-DE57-4062-AD36-DBA2E10D84F3}"/>
    <hyperlink ref="CA738" r:id="rId3150" xr:uid="{009B3697-ACD9-4BA9-B092-8D3503B10826}"/>
    <hyperlink ref="CB738" r:id="rId3151" xr:uid="{1DDB7A7F-72DA-46F0-BEB4-BE0F9F9557E2}"/>
    <hyperlink ref="CD738" r:id="rId3152" xr:uid="{E1903474-C260-4E54-85AD-E8118DC8DFD2}"/>
    <hyperlink ref="O739" r:id="rId3153" xr:uid="{A21CD133-56B4-4B63-9735-1C3F0E68C45F}"/>
    <hyperlink ref="S739" r:id="rId3154" xr:uid="{7D4647E4-6652-4F16-B0F1-54A57A60A019}"/>
    <hyperlink ref="CA739" r:id="rId3155" xr:uid="{613DF652-831B-416B-9B2A-144F56E3D432}"/>
    <hyperlink ref="CB739" r:id="rId3156" xr:uid="{17635A87-0AA2-466B-A38A-66F7E8D47DCC}"/>
    <hyperlink ref="CD739" r:id="rId3157" xr:uid="{D267F5D6-569C-4589-8D09-DBB88DE85D6F}"/>
    <hyperlink ref="O740" r:id="rId3158" xr:uid="{9E9BECF1-C9CD-45A5-B161-2C711A8AD313}"/>
    <hyperlink ref="S740" r:id="rId3159" xr:uid="{740C8762-9142-45C8-9BDA-54255E44453D}"/>
    <hyperlink ref="CA740" r:id="rId3160" xr:uid="{71C65ACF-0395-46DA-B7AB-2206D5C7D3F3}"/>
    <hyperlink ref="CB740" r:id="rId3161" xr:uid="{89D5F40F-27FA-4DBA-87CC-EA89A2B5EA80}"/>
    <hyperlink ref="CD740" r:id="rId3162" xr:uid="{B5DE4902-25B4-41EE-BCDD-1232CD723B3C}"/>
    <hyperlink ref="O741" r:id="rId3163" xr:uid="{BB74AD4C-F3B6-4163-A526-E4D03B45B801}"/>
    <hyperlink ref="S741" r:id="rId3164" xr:uid="{0FA3DE44-078A-4EDE-BD80-536D446E4B49}"/>
    <hyperlink ref="CA741" r:id="rId3165" xr:uid="{40BD67E3-1120-4BBC-A15A-153ECD5094B5}"/>
    <hyperlink ref="CB741" r:id="rId3166" xr:uid="{11624A18-7E40-4495-A1E9-A356132C0244}"/>
    <hyperlink ref="CD741" r:id="rId3167" xr:uid="{3D05DC8B-5E64-4CA0-83DA-253911C39AF0}"/>
    <hyperlink ref="O742" r:id="rId3168" xr:uid="{3FFD634C-19D3-45EC-967C-D4E0BA62F3E5}"/>
    <hyperlink ref="CA742" r:id="rId3169" xr:uid="{05BE2AE0-5454-4E14-AA20-1ABF4942FED4}"/>
    <hyperlink ref="CB742" r:id="rId3170" xr:uid="{7455794D-28DB-41BD-B4A9-9BE34DA04406}"/>
    <hyperlink ref="O743" r:id="rId3171" xr:uid="{9E438CE3-943A-44B6-A1E0-E39CB3C9AC2B}"/>
    <hyperlink ref="CA743" r:id="rId3172" xr:uid="{7C7F7988-31EC-4788-8E5C-3BCCC8A76FDF}"/>
    <hyperlink ref="CB743" r:id="rId3173" xr:uid="{8434C01E-BF2C-4B77-9586-97E3A4B1AA25}"/>
    <hyperlink ref="O744" r:id="rId3174" xr:uid="{C2E1F149-3D38-4000-AC99-A864458CAC3C}"/>
    <hyperlink ref="CA744" r:id="rId3175" xr:uid="{67EF7BC9-F98E-44D7-B6D1-33FFBEAA6FA9}"/>
    <hyperlink ref="CB744" r:id="rId3176" xr:uid="{C6C1781F-96ED-4D98-8517-8BBCAC55B597}"/>
    <hyperlink ref="O745" r:id="rId3177" xr:uid="{42F9ED52-2680-45F2-80F1-EE2ADD102E9F}"/>
    <hyperlink ref="S745" r:id="rId3178" xr:uid="{96FED856-60A5-4829-A211-E046B2521658}"/>
    <hyperlink ref="CA745" r:id="rId3179" xr:uid="{952DD5DA-CF30-44E3-9C68-A0CF239FD9E2}"/>
    <hyperlink ref="CB745" r:id="rId3180" xr:uid="{24E6D80E-EB9B-460B-A449-799CCE1C63C5}"/>
    <hyperlink ref="CD745" r:id="rId3181" xr:uid="{D5CE64C6-650E-45B2-832D-6D7F155C6C38}"/>
    <hyperlink ref="O746" r:id="rId3182" xr:uid="{16B6A59A-26D9-49D2-88CA-9E24E0ADB920}"/>
    <hyperlink ref="S746" r:id="rId3183" xr:uid="{AE2BE302-3A03-486D-A30A-468889165F8D}"/>
    <hyperlink ref="CA746" r:id="rId3184" xr:uid="{4A652088-BC84-489B-90D2-0B5F4F90A0AA}"/>
    <hyperlink ref="CB746" r:id="rId3185" xr:uid="{12F22C1A-0368-4395-B19D-A09D3169CBB4}"/>
    <hyperlink ref="CD746" r:id="rId3186" xr:uid="{B9CFC985-24CD-4777-A2CB-B310DD738746}"/>
    <hyperlink ref="O747" r:id="rId3187" xr:uid="{2B997FCF-85C1-457E-9950-8BC3C063B746}"/>
    <hyperlink ref="S747" r:id="rId3188" xr:uid="{14CD1EFB-705F-47AF-B89A-E5852167E9E2}"/>
    <hyperlink ref="CA747" r:id="rId3189" xr:uid="{A0DC085E-C37C-4DC5-89D8-9369BD393C74}"/>
    <hyperlink ref="CB747" r:id="rId3190" xr:uid="{2810AA29-AA5F-48C2-9495-9BCB307C8A1E}"/>
    <hyperlink ref="CD747" r:id="rId3191" xr:uid="{9B50CD63-4F2B-4EF9-9730-C5524F154361}"/>
    <hyperlink ref="O748" r:id="rId3192" xr:uid="{86403919-51F7-420A-8A73-BD00E68C8E38}"/>
    <hyperlink ref="CA748" r:id="rId3193" xr:uid="{BBA371D4-0054-4AD3-A183-392DCB0B7037}"/>
    <hyperlink ref="CB748" r:id="rId3194" xr:uid="{746A37A5-B609-4FC4-92FD-53C2C9A0263E}"/>
    <hyperlink ref="O749" r:id="rId3195" xr:uid="{F9D306FE-30E7-4E26-9FE1-9734B1C1A5CD}"/>
    <hyperlink ref="S749" r:id="rId3196" xr:uid="{087086DA-619B-42B4-BCB9-E836A6E98F7C}"/>
    <hyperlink ref="CA749" r:id="rId3197" xr:uid="{21766BE2-A67D-4B1C-86A1-980619F69AEA}"/>
    <hyperlink ref="CB749" r:id="rId3198" xr:uid="{2EF23555-A33F-4194-8928-1916C7167D93}"/>
    <hyperlink ref="CD749" r:id="rId3199" xr:uid="{37E61BE5-03B9-4FB1-84B6-BFA122521FD5}"/>
    <hyperlink ref="O750" r:id="rId3200" xr:uid="{640AD06A-1E97-48FB-9A42-3C528A38744B}"/>
    <hyperlink ref="CA750" r:id="rId3201" xr:uid="{EC30F93B-9C5D-416B-9B49-1A11F0BBEB51}"/>
    <hyperlink ref="CB750" r:id="rId3202" xr:uid="{6EF42E42-5710-422B-BD4C-990A50CF8760}"/>
    <hyperlink ref="O751" r:id="rId3203" xr:uid="{E7CAC8BF-9E90-46C2-BCFC-374853F59974}"/>
    <hyperlink ref="S751" r:id="rId3204" xr:uid="{75B988EF-0E4D-48C0-BEF0-73DD7791CC1B}"/>
    <hyperlink ref="CA751" r:id="rId3205" xr:uid="{4B2A25B5-A6E9-41BF-83EE-5D3EC1DF9832}"/>
    <hyperlink ref="CB751" r:id="rId3206" xr:uid="{3BF9CF64-7998-471A-B597-1D95F0A5B4AD}"/>
    <hyperlink ref="CD751" r:id="rId3207" xr:uid="{ABFD5901-032A-4E53-89B6-19860275E3FA}"/>
    <hyperlink ref="O752" r:id="rId3208" xr:uid="{F10D5370-DE79-40E0-A698-A5F15BBB6FB8}"/>
    <hyperlink ref="S752" r:id="rId3209" xr:uid="{8F420320-BCBB-44A0-B683-9D1BBCDDB050}"/>
    <hyperlink ref="CA752" r:id="rId3210" xr:uid="{8D085E2A-952F-49D2-9FC9-349B00B2BA81}"/>
    <hyperlink ref="CB752" r:id="rId3211" xr:uid="{B0A02F97-E6CF-4544-8369-20E34BCA241A}"/>
    <hyperlink ref="CD752" r:id="rId3212" xr:uid="{80DAA9C3-95AF-4284-906A-1BCAE3CFF76C}"/>
    <hyperlink ref="O753" r:id="rId3213" xr:uid="{D3D7CE43-94B6-41DC-A6E5-340953397DB1}"/>
    <hyperlink ref="S753" r:id="rId3214" xr:uid="{9BB33703-A9F7-4804-9369-7CA3D0EEAE2E}"/>
    <hyperlink ref="CA753" r:id="rId3215" xr:uid="{20FD0415-1956-4DF8-98B9-80CA245EF943}"/>
    <hyperlink ref="CB753" r:id="rId3216" xr:uid="{87B137E4-8CE4-4743-8914-59A44E48162B}"/>
    <hyperlink ref="CD753" r:id="rId3217" xr:uid="{193804EC-9C6D-4F74-8F91-99209B4CC3CE}"/>
    <hyperlink ref="O754" r:id="rId3218" xr:uid="{D9E153C2-FED9-425B-8933-200700CCB51B}"/>
    <hyperlink ref="S754" r:id="rId3219" xr:uid="{677A337F-586A-488C-8797-BDC52D58DD80}"/>
    <hyperlink ref="CA754" r:id="rId3220" xr:uid="{D2C9CBA3-9010-40C6-B7B9-AB3F738FE269}"/>
    <hyperlink ref="CB754" r:id="rId3221" xr:uid="{A244914C-AD8C-4502-851B-43BD7C8E26F1}"/>
    <hyperlink ref="CD754" r:id="rId3222" xr:uid="{FBE9C4D6-C579-473F-992A-208DFD239740}"/>
    <hyperlink ref="O755" r:id="rId3223" xr:uid="{C72082C2-D691-4CFF-9069-311EB5A671DB}"/>
    <hyperlink ref="S755" r:id="rId3224" xr:uid="{3EAB22A5-1A3A-480C-8E54-8723D692AFCD}"/>
    <hyperlink ref="CA755" r:id="rId3225" xr:uid="{480BE551-5C04-4C00-8B12-FFF45B8D2FFB}"/>
    <hyperlink ref="CB755" r:id="rId3226" xr:uid="{A99DC310-F0F1-48CE-8FB1-8209EF0AC105}"/>
    <hyperlink ref="CD755" r:id="rId3227" xr:uid="{1D360DFF-5B0A-428D-B559-1C8DBBA5BCCD}"/>
    <hyperlink ref="O756" r:id="rId3228" xr:uid="{039C06DD-B4F3-4638-917A-8B6956159805}"/>
    <hyperlink ref="CA756" r:id="rId3229" xr:uid="{02997B65-3187-484F-A1ED-619A6073FDB8}"/>
    <hyperlink ref="CB756" r:id="rId3230" xr:uid="{AD92FDEE-BAEA-400D-B7F0-08F7B263BCDF}"/>
    <hyperlink ref="O757" r:id="rId3231" xr:uid="{8AEF0C74-E171-4D4B-8807-A132DCDF02D2}"/>
    <hyperlink ref="CA757" r:id="rId3232" xr:uid="{BC4A5994-B997-44B7-AD0F-11237D7362FF}"/>
    <hyperlink ref="CB757" r:id="rId3233" xr:uid="{F1569AF6-A93A-4B05-A9AE-F22F70DF66D8}"/>
    <hyperlink ref="O758" r:id="rId3234" xr:uid="{D7871DED-F590-4816-931C-9DCBEA6302B4}"/>
    <hyperlink ref="S758" r:id="rId3235" xr:uid="{02A5CCF2-9CF0-4938-891B-E47C2DC61DDE}"/>
    <hyperlink ref="CA758" r:id="rId3236" xr:uid="{44DCDE0E-4620-48D8-9B68-65FB07CAD9C0}"/>
    <hyperlink ref="CB758" r:id="rId3237" xr:uid="{EFCC3B5E-3BBF-4E84-B27A-7B01FA568CF3}"/>
    <hyperlink ref="CD758" r:id="rId3238" xr:uid="{4826C0FC-2B81-447F-80B9-F59144879F46}"/>
    <hyperlink ref="O759" r:id="rId3239" xr:uid="{27A50DFF-4C80-4414-B774-0160922C67CE}"/>
    <hyperlink ref="S759" r:id="rId3240" xr:uid="{CB6925B0-6C29-4B91-963F-55FF0C33E4B0}"/>
    <hyperlink ref="CA759" r:id="rId3241" xr:uid="{2D127C96-643A-4A1D-B332-7D8F5407BE12}"/>
    <hyperlink ref="CB759" r:id="rId3242" xr:uid="{B19A5140-54B8-4121-9A2A-EDE93D0E489A}"/>
    <hyperlink ref="CD759" r:id="rId3243" xr:uid="{5B3D9B1E-A49C-4659-91FD-3FBC49740DBA}"/>
    <hyperlink ref="O760" r:id="rId3244" xr:uid="{49D94E54-FA08-4791-BB36-ACA3EF59CCD8}"/>
    <hyperlink ref="S760" r:id="rId3245" xr:uid="{B7591209-DFAB-4046-974C-05D3722FF126}"/>
    <hyperlink ref="T760" r:id="rId3246" xr:uid="{2689C41F-85ED-41FD-9A00-7A99BA9A47BD}"/>
    <hyperlink ref="CA760" r:id="rId3247" xr:uid="{A79B6C96-831F-4095-B4F2-324D239451C7}"/>
    <hyperlink ref="CB760" r:id="rId3248" xr:uid="{BA28A98C-DB0B-4FE5-8A88-D6DF79A821D9}"/>
    <hyperlink ref="CD760" r:id="rId3249" xr:uid="{BD76FF0A-5FBB-4945-96CB-1F9137ABB12E}"/>
    <hyperlink ref="O761" r:id="rId3250" xr:uid="{E8DC235F-C242-40CB-A5AA-C5E1BCAA2BBC}"/>
    <hyperlink ref="S761" r:id="rId3251" xr:uid="{839489B6-BCF1-494E-A729-5CE6A4173469}"/>
    <hyperlink ref="CA761" r:id="rId3252" xr:uid="{6ACD8FD2-913F-48E6-9E85-0471669FACB6}"/>
    <hyperlink ref="CB761" r:id="rId3253" xr:uid="{A2ADF08A-EB02-4B64-A648-42D4CC534023}"/>
    <hyperlink ref="CD761" r:id="rId3254" xr:uid="{76FA4CA9-91BE-4A3B-ABC7-8BCA67790B07}"/>
    <hyperlink ref="O762" r:id="rId3255" xr:uid="{E35A5125-A346-4234-A883-715C6CBDEB4A}"/>
    <hyperlink ref="S762" r:id="rId3256" xr:uid="{1EB09790-B3D1-4BA5-B50C-2B8A21447D09}"/>
    <hyperlink ref="CA762" r:id="rId3257" xr:uid="{93AFCB44-F46F-4B47-91D8-37DDD4D57BBA}"/>
    <hyperlink ref="CB762" r:id="rId3258" xr:uid="{12C030B3-1C73-4FA8-AA48-39CFCDD4B841}"/>
    <hyperlink ref="CD762" r:id="rId3259" xr:uid="{A7C8C2DE-8E0F-45B8-ABF6-E8A63B224C2B}"/>
    <hyperlink ref="O763" r:id="rId3260" xr:uid="{6723124B-E9B6-4D81-9680-AD1CD8554307}"/>
    <hyperlink ref="S763" r:id="rId3261" xr:uid="{C8212B99-AB1A-4B86-A47D-CEDB815ED633}"/>
    <hyperlink ref="T763" r:id="rId3262" xr:uid="{88777410-EEC6-41A5-A497-4E1A08C67EBE}"/>
    <hyperlink ref="CA763" r:id="rId3263" xr:uid="{8AA44260-63A2-45D7-BD3B-266956052657}"/>
    <hyperlink ref="CB763" r:id="rId3264" xr:uid="{A40710B0-8963-4968-ABFA-B793EAF0FA51}"/>
    <hyperlink ref="CD763" r:id="rId3265" xr:uid="{7A5FA768-1E60-45D6-B3A1-332E652C0504}"/>
    <hyperlink ref="O764" r:id="rId3266" xr:uid="{FD494D64-256F-4640-A9FB-3E313FFDF94B}"/>
    <hyperlink ref="S764" r:id="rId3267" xr:uid="{3D07200B-BF26-4AD4-A7DE-6DA7287D683E}"/>
    <hyperlink ref="CA764" r:id="rId3268" xr:uid="{FD4BF19C-3B34-4841-933A-BD0ADD9E9D1A}"/>
    <hyperlink ref="CB764" r:id="rId3269" xr:uid="{1B565774-C9A5-4207-AFA8-D7090ACE5E52}"/>
    <hyperlink ref="CD764" r:id="rId3270" xr:uid="{D801A314-200D-4A3E-9500-4AFD85B8135B}"/>
    <hyperlink ref="O765" r:id="rId3271" xr:uid="{0DA2A9D0-3170-420D-9916-69C7E84F0B28}"/>
    <hyperlink ref="S765" r:id="rId3272" xr:uid="{7B37020B-9AAF-4E4C-95BC-1780583E8390}"/>
    <hyperlink ref="CA765" r:id="rId3273" xr:uid="{BE844FFB-E179-4F1C-92C5-B597E5C5AB72}"/>
    <hyperlink ref="CB765" r:id="rId3274" xr:uid="{936D0977-9109-486A-BB43-48DA3EB0BC1E}"/>
    <hyperlink ref="CD765" r:id="rId3275" xr:uid="{05ED91C4-FD09-43E3-8405-163CBCF83236}"/>
    <hyperlink ref="O956" r:id="rId3276" xr:uid="{60324048-0BDE-4FB6-AFE7-0B7E8F4F7968}"/>
    <hyperlink ref="R956" r:id="rId3277" xr:uid="{A834C2EF-2719-4D99-AF9E-007198A2FC8E}"/>
    <hyperlink ref="S956" r:id="rId3278" xr:uid="{2C23B7E1-875A-41AE-9BBF-0691D60A1736}"/>
    <hyperlink ref="T956" r:id="rId3279" xr:uid="{4D39CB5B-2CD8-4868-BDF8-060A2CBA2B10}"/>
    <hyperlink ref="CA956" r:id="rId3280" xr:uid="{20D56478-D45B-464F-97CD-2709AED26258}"/>
    <hyperlink ref="CB956" r:id="rId3281" xr:uid="{EC9C6C3F-D395-48AB-BE85-C246D2DF491F}"/>
    <hyperlink ref="CD956" r:id="rId3282" xr:uid="{08582D22-994C-4B39-B3AC-7A31AF252851}"/>
    <hyperlink ref="O957" r:id="rId3283" xr:uid="{64ABAA4F-937E-4EE1-81FC-CA1FA75473B1}"/>
    <hyperlink ref="S957" r:id="rId3284" xr:uid="{E2FCF1E2-BACA-41D2-8CAE-3081939E8886}"/>
    <hyperlink ref="T957" r:id="rId3285" xr:uid="{2AAFAFB1-BEB0-4EB2-A9A4-598EAC24620F}"/>
    <hyperlink ref="CA957" r:id="rId3286" xr:uid="{F2AB4580-BF22-4888-9D98-C7707AC4FE86}"/>
    <hyperlink ref="CB957" r:id="rId3287" xr:uid="{FC93010E-A727-46CC-8D67-1BC14702F3F2}"/>
    <hyperlink ref="O958" r:id="rId3288" xr:uid="{CC2DEC3A-2C9D-4FD0-8F6B-C890D955EB7B}"/>
    <hyperlink ref="S958" r:id="rId3289" xr:uid="{087ACC15-A90B-4EA6-AD29-03CCF7AAFE3A}"/>
    <hyperlink ref="CA958" r:id="rId3290" xr:uid="{CC4D524F-977E-415E-8FD9-AB6BCADC08EC}"/>
    <hyperlink ref="O959" r:id="rId3291" xr:uid="{651B3646-BA22-4B5D-9414-90F88E7DE074}"/>
    <hyperlink ref="S959" r:id="rId3292" xr:uid="{137A065B-5860-4DA8-9C78-98399C718DA2}"/>
    <hyperlink ref="CA959" r:id="rId3293" xr:uid="{0F2B53A3-0033-490C-B8CA-B90832D85F29}"/>
    <hyperlink ref="O960" r:id="rId3294" xr:uid="{7DF24378-908F-47FC-9359-D32DE8B2415D}"/>
    <hyperlink ref="S960" r:id="rId3295" xr:uid="{9692BD42-9127-4A22-BF9C-4B19DAF5990D}"/>
    <hyperlink ref="CA960" r:id="rId3296" xr:uid="{1BD36F5F-0BA0-4B52-BC63-D231872AE9C7}"/>
    <hyperlink ref="O961" r:id="rId3297" xr:uid="{E05DB629-5DF7-450B-90EE-9249C5FD7E19}"/>
    <hyperlink ref="S961" r:id="rId3298" xr:uid="{1BE5C906-9F94-4BE7-A2EB-F21490FBE818}"/>
    <hyperlink ref="CA961" r:id="rId3299" xr:uid="{7361C474-1D1B-4933-8F74-AEC0FF951CF0}"/>
    <hyperlink ref="O962" r:id="rId3300" xr:uid="{902C6A20-3C6C-4946-9806-90E81D6165D9}"/>
    <hyperlink ref="S962" r:id="rId3301" xr:uid="{EE8E5223-5467-4B00-9968-6F96545BEAC5}"/>
    <hyperlink ref="T962" r:id="rId3302" xr:uid="{059F957B-C536-4C77-A9A8-AFD9EFD3504C}"/>
    <hyperlink ref="BX962" r:id="rId3303" xr:uid="{C2705538-140B-4ACE-B0CD-D42AB74C0B85}"/>
    <hyperlink ref="CA962" r:id="rId3304" xr:uid="{1D1B2A0B-A75A-42DE-938A-7D74E49E846A}"/>
    <hyperlink ref="CB962" r:id="rId3305" xr:uid="{6085D37D-0DD7-43A9-B8F6-F6AEE1A8740C}"/>
    <hyperlink ref="O963" r:id="rId3306" xr:uid="{6244461A-F70A-40F9-B38C-342D5640E418}"/>
    <hyperlink ref="S963" r:id="rId3307" xr:uid="{46BEA981-1706-4555-81CA-8D000E2C0049}"/>
    <hyperlink ref="CA963" r:id="rId3308" xr:uid="{0DEB3EA1-387C-451A-97C5-B381B11ADA8D}"/>
    <hyperlink ref="O964" r:id="rId3309" xr:uid="{1DA10AD7-0BA6-411A-B610-8C74FD41A4B5}"/>
    <hyperlink ref="S964" r:id="rId3310" xr:uid="{2913C5E3-09E9-455B-B925-9A1790E0C3D4}"/>
    <hyperlink ref="CA964" r:id="rId3311" xr:uid="{097445FD-3061-4F3D-91A5-C2F023271322}"/>
    <hyperlink ref="O965" r:id="rId3312" xr:uid="{0C9828A2-C756-4A0E-803F-EC8C937B7EA2}"/>
    <hyperlink ref="S965" r:id="rId3313" xr:uid="{8AFB03B5-8DBD-4F68-846C-F0E2785CFF83}"/>
    <hyperlink ref="CA965" r:id="rId3314" xr:uid="{0B133DC5-D22C-4F0F-9898-E3A317635B11}"/>
    <hyperlink ref="O966" r:id="rId3315" xr:uid="{9774D14F-22FF-4C99-8C3A-29575134E3CD}"/>
    <hyperlink ref="S966" r:id="rId3316" xr:uid="{47214D1C-E748-4A14-9171-92EA036841D2}"/>
    <hyperlink ref="CA966" r:id="rId3317" xr:uid="{2BCF2EAE-4AC4-4594-A4DD-49137F796EE7}"/>
    <hyperlink ref="O967" r:id="rId3318" xr:uid="{CBB2DA3B-875A-42D9-A21E-A8442EB45EC9}"/>
    <hyperlink ref="S967" r:id="rId3319" xr:uid="{68C63EBB-AAEC-4226-98C3-C55A83B3C72C}"/>
    <hyperlink ref="CA967" r:id="rId3320" xr:uid="{7AEF652C-839F-4EC3-9B2C-B073DB3319D9}"/>
    <hyperlink ref="O968" r:id="rId3321" xr:uid="{2575FE29-C630-4DE0-B1F8-478CD7628BBA}"/>
    <hyperlink ref="S968" r:id="rId3322" xr:uid="{3DD0C16E-AEEC-44EA-BAAF-AE016C2BF9F0}"/>
    <hyperlink ref="CA968" r:id="rId3323" xr:uid="{2F430F83-6A78-4270-9FB3-A1289E235319}"/>
    <hyperlink ref="O969" r:id="rId3324" xr:uid="{86812B29-D6F9-4919-B663-1DF65EF1E6C7}"/>
    <hyperlink ref="S969" r:id="rId3325" xr:uid="{C4FEB410-C7EF-4289-B9FE-CFE36EE627EE}"/>
    <hyperlink ref="CA969" r:id="rId3326" xr:uid="{153793DA-C44C-4526-80AF-524607F8D59D}"/>
    <hyperlink ref="O970" r:id="rId3327" xr:uid="{D378CF3E-2CD4-474D-8FF5-93CA1E2A2862}"/>
    <hyperlink ref="R970" r:id="rId3328" xr:uid="{8DEFFCF6-9145-43C0-8448-7A9593A5AA1D}"/>
    <hyperlink ref="S970" r:id="rId3329" xr:uid="{3792FFC9-D8D7-48F0-B7DF-256AE151B203}"/>
    <hyperlink ref="T970" r:id="rId3330" xr:uid="{0071E1CC-935C-4CFE-AD5F-D1D886401613}"/>
    <hyperlink ref="CA970" r:id="rId3331" xr:uid="{53EAC253-888F-41F1-A7DA-24961D43231F}"/>
    <hyperlink ref="CB970" r:id="rId3332" xr:uid="{2121BB37-0290-407A-ACDD-89AFC9059D16}"/>
    <hyperlink ref="CD970" r:id="rId3333" xr:uid="{F4EE3644-27DC-406F-B01D-0E7622FC30A6}"/>
    <hyperlink ref="O971" r:id="rId3334" xr:uid="{8C672469-E97E-4FBB-AFA2-3301C51AE764}"/>
    <hyperlink ref="R971" r:id="rId3335" xr:uid="{C25F3347-C1DC-40AD-85B2-ABE30D5CA0FF}"/>
    <hyperlink ref="S971" r:id="rId3336" xr:uid="{6ADFADFC-7D0B-4232-982A-F64F21142E68}"/>
    <hyperlink ref="T971" r:id="rId3337" xr:uid="{A6E723ED-CFCE-4963-89F7-F4B3057CB6F8}"/>
    <hyperlink ref="CA971" r:id="rId3338" xr:uid="{E2F31775-CE65-482F-85A3-FBC539AF8418}"/>
    <hyperlink ref="CB971" r:id="rId3339" xr:uid="{56DD74FC-18C8-42CB-8248-1BB5FF3140A3}"/>
    <hyperlink ref="CD971" r:id="rId3340" xr:uid="{18D1039D-DFE7-4453-B3F3-ABDAEF5222EA}"/>
    <hyperlink ref="O972" r:id="rId3341" xr:uid="{49959920-108C-461D-A9D5-12E77AA95944}"/>
    <hyperlink ref="R972" r:id="rId3342" xr:uid="{0F50F1F2-CD55-4848-BD0E-2195C98B09D1}"/>
    <hyperlink ref="S972" r:id="rId3343" xr:uid="{D508B766-FA21-4BBE-8D77-FAA3AF1AFE57}"/>
    <hyperlink ref="T972" r:id="rId3344" xr:uid="{5EF7CD7B-DDA0-4218-BE60-9DFAFD742F49}"/>
    <hyperlink ref="CA972" r:id="rId3345" xr:uid="{C681563C-0548-46F5-9B5F-709ADFA08039}"/>
    <hyperlink ref="CB972" r:id="rId3346" xr:uid="{53BA86CF-1347-4407-B353-C2C6FE08FEE9}"/>
    <hyperlink ref="CD972" r:id="rId3347" xr:uid="{38505EFC-5F8B-4FC9-B9DA-926E73FE7937}"/>
    <hyperlink ref="O973" r:id="rId3348" xr:uid="{A99D2575-B9AF-4968-8A3B-DFEF52FD6DFE}"/>
    <hyperlink ref="R973" r:id="rId3349" xr:uid="{D81E5668-5E72-49B5-8618-4E6122E1B10E}"/>
    <hyperlink ref="S973" r:id="rId3350" xr:uid="{B9C096A6-B807-4B85-B49C-6B54F04D5254}"/>
    <hyperlink ref="T973" r:id="rId3351" xr:uid="{FE641F8C-A107-41A4-8BAC-6B14553A1321}"/>
    <hyperlink ref="CA973" r:id="rId3352" xr:uid="{1D225BCC-1452-424C-9442-1E471A4606CF}"/>
    <hyperlink ref="CB973" r:id="rId3353" xr:uid="{5EAC8288-5E60-4275-A861-59D206E7531A}"/>
    <hyperlink ref="CD973" r:id="rId3354" xr:uid="{F7638BB2-9DA3-4408-9DFA-96624A9B45D4}"/>
    <hyperlink ref="O974" r:id="rId3355" xr:uid="{1244666F-1B96-464A-A2E9-08E343B66687}"/>
    <hyperlink ref="R974" r:id="rId3356" xr:uid="{AF6ACE21-A538-407B-B0F3-F1F975387B91}"/>
    <hyperlink ref="S974" r:id="rId3357" xr:uid="{637949C6-2754-41A2-BF82-5744BC01C706}"/>
    <hyperlink ref="T974" r:id="rId3358" xr:uid="{50D455BA-800D-46C8-B7C1-966D3FE1C940}"/>
    <hyperlink ref="CA974" r:id="rId3359" xr:uid="{B09DE808-F17F-4DB8-97A2-255706EA20B5}"/>
    <hyperlink ref="CB974" r:id="rId3360" xr:uid="{8E23FBF5-C050-4BCF-9E28-E02BAF8FBA2E}"/>
    <hyperlink ref="CD974" r:id="rId3361" xr:uid="{1E6FAEC1-C5C7-48AB-A7D7-668687C4D732}"/>
    <hyperlink ref="O975" r:id="rId3362" xr:uid="{1C4461F4-1E83-4BF7-AB3E-DDD863C78AD6}"/>
    <hyperlink ref="S975" r:id="rId3363" xr:uid="{78D67A94-6ADE-460C-BBD0-EBB43F8C57D6}"/>
    <hyperlink ref="CA975" r:id="rId3364" xr:uid="{D211B926-593D-4D9D-A34B-64CE3D7CF6E0}"/>
    <hyperlink ref="CD975" r:id="rId3365" xr:uid="{336C1A28-C4D5-48E4-B4F3-1E4CB3A79D19}"/>
    <hyperlink ref="O976" r:id="rId3366" xr:uid="{35534512-1B7E-4E28-AA25-D694C64D5ED7}"/>
    <hyperlink ref="S976" r:id="rId3367" xr:uid="{96EEF816-1030-45FB-A447-7AD49EDA3ABE}"/>
    <hyperlink ref="CA976" r:id="rId3368" xr:uid="{10DF9DBE-228B-4141-8243-05FC2994CCB7}"/>
    <hyperlink ref="O977" r:id="rId3369" xr:uid="{94CD617F-2DE2-478E-8D19-682C0DFDFC52}"/>
    <hyperlink ref="S977" r:id="rId3370" xr:uid="{C0CF1759-9C55-41DB-AA61-CA5A35AC6747}"/>
    <hyperlink ref="CA977" r:id="rId3371" xr:uid="{8BB485EA-18E3-4F83-8BFB-888C42807DB1}"/>
    <hyperlink ref="O978" r:id="rId3372" xr:uid="{6E8ACA41-7084-4B86-BB11-FBAFE8B5A698}"/>
    <hyperlink ref="S978" r:id="rId3373" xr:uid="{FBA4FC3D-8379-462F-B7DB-DB78519C7AF7}"/>
    <hyperlink ref="CA978" r:id="rId3374" xr:uid="{F19F659A-090A-41B8-9754-752C9FF3FE3E}"/>
    <hyperlink ref="O979" r:id="rId3375" xr:uid="{A7783E77-38B5-4F5E-B9DD-B8E6BBD77C9D}"/>
    <hyperlink ref="S979" r:id="rId3376" xr:uid="{F1E3DA67-D302-4A15-B583-2C66726D7E63}"/>
    <hyperlink ref="CA979" r:id="rId3377" xr:uid="{80EF5632-CE52-4DE4-BB77-54A0A8199E1E}"/>
    <hyperlink ref="O980" r:id="rId3378" xr:uid="{15F0E983-F104-4623-A90E-92AC99226615}"/>
    <hyperlink ref="S980" r:id="rId3379" xr:uid="{3A7D1C14-BCF5-4D56-8496-F6B17726EF82}"/>
    <hyperlink ref="CA980" r:id="rId3380" xr:uid="{E19660C7-9F40-4104-86BC-C682D3AB57B4}"/>
    <hyperlink ref="O981" r:id="rId3381" xr:uid="{0D1835CB-5473-4C35-8FB8-4D42EE4B17D7}"/>
    <hyperlink ref="S981" r:id="rId3382" xr:uid="{3F7FDEFF-ADC2-440F-9F21-F46C8CC7BEF4}"/>
    <hyperlink ref="CA981" r:id="rId3383" xr:uid="{8C14439E-0882-486C-AE75-B9CE1DBB84D3}"/>
    <hyperlink ref="O982" r:id="rId3384" xr:uid="{254EEE24-287B-41D7-BF18-C21453B17679}"/>
    <hyperlink ref="S982" r:id="rId3385" xr:uid="{3D98D14F-5ACD-48E1-95B2-6E78B7C3920F}"/>
    <hyperlink ref="CA982" r:id="rId3386" xr:uid="{C3DB339F-879F-4EC4-91AC-643B74E89548}"/>
    <hyperlink ref="O983" r:id="rId3387" xr:uid="{88EA02B1-7B05-4457-B468-B0E30DD08D2E}"/>
    <hyperlink ref="S983" r:id="rId3388" xr:uid="{49394C7D-14FF-48A5-9A51-39B55AAF277C}"/>
    <hyperlink ref="CA983" r:id="rId3389" xr:uid="{BDE06705-3EFC-4E73-93D5-D42C5255F312}"/>
    <hyperlink ref="O984" r:id="rId3390" xr:uid="{292798C4-7123-42B0-A298-AFFBD78CD80E}"/>
    <hyperlink ref="S984" r:id="rId3391" xr:uid="{06A00375-D6C2-4BE9-9914-97F26EF0403C}"/>
    <hyperlink ref="CA984" r:id="rId3392" xr:uid="{050B555C-64CA-4C7C-A1C8-E31DEF83C983}"/>
    <hyperlink ref="CD984" r:id="rId3393" xr:uid="{E0F7F9C2-FAB6-4125-B0DC-327D5A36E1D9}"/>
    <hyperlink ref="O985" r:id="rId3394" xr:uid="{30A19FC7-DC8D-4CBF-8E6F-CD5A85537854}"/>
    <hyperlink ref="S985" r:id="rId3395" xr:uid="{DC65E716-59DB-4519-9F3C-90561CC4F864}"/>
    <hyperlink ref="CA985" r:id="rId3396" xr:uid="{D1494ECF-222A-41D5-B562-10E750E35853}"/>
    <hyperlink ref="O986" r:id="rId3397" xr:uid="{2A7B025F-D5B2-4D52-A9E2-2B23434DCFEF}"/>
    <hyperlink ref="S986" r:id="rId3398" xr:uid="{C0039BFC-C6B8-4CA9-B975-BA003F119BA0}"/>
    <hyperlink ref="CA986" r:id="rId3399" xr:uid="{6E95C070-F3C6-49CC-8F37-59F77ACC10A4}"/>
    <hyperlink ref="O987" r:id="rId3400" xr:uid="{0A64EFCB-9D0B-4DB6-B4C7-D4AE632B4461}"/>
    <hyperlink ref="S987" r:id="rId3401" xr:uid="{86126358-882F-477A-84B4-B2CBBB8EC427}"/>
    <hyperlink ref="CA987" r:id="rId3402" xr:uid="{E636DB01-906C-47DA-9E07-98BC5FEE3CF6}"/>
    <hyperlink ref="O988" r:id="rId3403" xr:uid="{AA02C287-6A6D-45D7-892F-D91AD2280589}"/>
    <hyperlink ref="S988" r:id="rId3404" xr:uid="{ABDD6D83-FC41-4897-8E53-08C8FCDA105E}"/>
    <hyperlink ref="CA988" r:id="rId3405" xr:uid="{141260CC-0BC4-406F-9DCD-66C961C9C91D}"/>
    <hyperlink ref="O989" r:id="rId3406" xr:uid="{7B079E18-5643-4C19-8E16-295E5542767B}"/>
    <hyperlink ref="S989" r:id="rId3407" xr:uid="{3A1A942C-8228-4D91-A712-4FBB00826A35}"/>
    <hyperlink ref="CA989" r:id="rId3408" xr:uid="{9ACE7235-DED2-4DBA-9F1F-4E7442B53218}"/>
    <hyperlink ref="O990" r:id="rId3409" xr:uid="{F5D8A670-4BA9-4074-A0C2-3584DFD64BA7}"/>
    <hyperlink ref="S990" r:id="rId3410" xr:uid="{029C3590-32BB-4036-B389-3448DAFBC2AD}"/>
    <hyperlink ref="CA990" r:id="rId3411" xr:uid="{7F303BE2-59DD-4479-94EF-F91D33433966}"/>
    <hyperlink ref="O991" r:id="rId3412" xr:uid="{9710DA88-2A3D-4272-A98D-049E69A5957C}"/>
    <hyperlink ref="S991" r:id="rId3413" xr:uid="{BAF008F9-51D3-45A1-8162-91BFA5FEA443}"/>
    <hyperlink ref="CA991" r:id="rId3414" xr:uid="{4BCBE622-22DC-499B-A435-055B7DE3B1E3}"/>
    <hyperlink ref="O992" r:id="rId3415" xr:uid="{8866AEC2-109F-4767-B180-EF2547CCF893}"/>
    <hyperlink ref="S992" r:id="rId3416" xr:uid="{2D3A5482-7EBD-42B4-8759-24215D6713E1}"/>
    <hyperlink ref="CA992" r:id="rId3417" xr:uid="{1B9A3F65-7032-45BA-A49D-A5D7B6D35EC4}"/>
    <hyperlink ref="CD992" r:id="rId3418" xr:uid="{99BF2C59-B615-4496-A55C-44C95342B016}"/>
    <hyperlink ref="O993" r:id="rId3419" xr:uid="{1C74A4C4-BAB5-433B-A416-75C1DC0A38A2}"/>
    <hyperlink ref="S993" r:id="rId3420" xr:uid="{6815D2B6-D3B1-4780-B139-ADED870F933D}"/>
    <hyperlink ref="CA993" r:id="rId3421" xr:uid="{5C240940-7286-423C-A2A7-F59B84A6134A}"/>
    <hyperlink ref="O994" r:id="rId3422" xr:uid="{1637CA08-9F1E-4962-8CF0-C506295CB863}"/>
    <hyperlink ref="S994" r:id="rId3423" xr:uid="{D51F191A-B65C-4987-9AE4-E52123109D40}"/>
    <hyperlink ref="CA994" r:id="rId3424" xr:uid="{5E1790D7-AFAB-4566-8435-29068185E1AD}"/>
    <hyperlink ref="O995" r:id="rId3425" xr:uid="{5C7B3967-E942-41BF-8AD5-E76A61E9572F}"/>
    <hyperlink ref="S995" r:id="rId3426" xr:uid="{9790A6A0-7C4C-4669-823F-A3E3E474F69C}"/>
    <hyperlink ref="T995" r:id="rId3427" xr:uid="{9A4618BD-E700-4738-9737-EC321508A9E2}"/>
    <hyperlink ref="CA995" r:id="rId3428" xr:uid="{C15F951A-A8C9-472A-B269-BCDF2FEC423A}"/>
    <hyperlink ref="CB995" r:id="rId3429" xr:uid="{2ED22082-8BFF-48B9-958F-0D1DA3C6993A}"/>
    <hyperlink ref="O996" r:id="rId3430" xr:uid="{5DE51955-C405-4D40-9904-040A15D6FE04}"/>
    <hyperlink ref="S996" r:id="rId3431" xr:uid="{0DEAA2BA-931F-4259-8B6A-367A423F4303}"/>
    <hyperlink ref="CA996" r:id="rId3432" xr:uid="{E93C428B-2D85-41C8-A53E-9CEFD669C06B}"/>
    <hyperlink ref="O997" r:id="rId3433" xr:uid="{F43D21C4-6BE4-46DB-B833-6D46EF14D9B5}"/>
    <hyperlink ref="S997" r:id="rId3434" xr:uid="{E000B878-98DB-4124-8CCE-5BE792EDFAA3}"/>
    <hyperlink ref="CA997" r:id="rId3435" xr:uid="{116B0D07-2B3E-4E9E-BE65-5B6C9700F014}"/>
    <hyperlink ref="O998" r:id="rId3436" xr:uid="{74D1A465-1E07-441D-94F8-2881DE181137}"/>
    <hyperlink ref="S998" r:id="rId3437" xr:uid="{7F94DC7A-EBE7-4DD9-9DF0-09F56D12E0C1}"/>
    <hyperlink ref="T998" r:id="rId3438" xr:uid="{446522E0-F9D5-4C60-A26A-E88EDCCD1DB1}"/>
    <hyperlink ref="CA998" r:id="rId3439" xr:uid="{AC2F6E5D-CAA5-4F74-8E5F-26973CCB4565}"/>
    <hyperlink ref="CB998" r:id="rId3440" xr:uid="{AB0BCBCC-3EEA-4ECC-84D6-597D720B1C74}"/>
    <hyperlink ref="O999" r:id="rId3441" xr:uid="{2F183942-0874-44CA-ACB4-E2403B743309}"/>
    <hyperlink ref="S999" r:id="rId3442" xr:uid="{B0778435-0645-4CA5-8A0D-EDB571217399}"/>
    <hyperlink ref="T999" r:id="rId3443" xr:uid="{B8A83F11-09CB-4E8D-AB74-466350020C23}"/>
    <hyperlink ref="CA999" r:id="rId3444" xr:uid="{FF92BA59-4F54-4B87-B5C7-1ACEFD894527}"/>
    <hyperlink ref="CB999" r:id="rId3445" xr:uid="{9941AB7C-15F7-4E05-9300-84EE40AD68DF}"/>
    <hyperlink ref="O1000" r:id="rId3446" xr:uid="{0FBA179D-E971-40B7-8A8F-76474CB5B131}"/>
    <hyperlink ref="S1000" r:id="rId3447" xr:uid="{41F68137-4B8A-42EC-A5D6-CA6FDCFF1107}"/>
    <hyperlink ref="T1000" r:id="rId3448" xr:uid="{3969B53E-21E4-42F3-8E10-3CEFF8ABBFE1}"/>
    <hyperlink ref="CA1000" r:id="rId3449" xr:uid="{D4A4EDBA-7068-4815-A5BF-57E88CB224F3}"/>
    <hyperlink ref="CB1000" r:id="rId3450" xr:uid="{3AF893A5-7E8B-4183-B151-8E47389B8C32}"/>
    <hyperlink ref="O1001" r:id="rId3451" xr:uid="{E7D77850-7AE1-480F-9833-0F728B5FE4E5}"/>
    <hyperlink ref="S1001" r:id="rId3452" xr:uid="{920229A1-831D-4D0B-AE6A-62697F53DFB2}"/>
    <hyperlink ref="T1001" r:id="rId3453" xr:uid="{074FFE4C-0D44-4128-B1AA-27B83C32394B}"/>
    <hyperlink ref="CA1001" r:id="rId3454" xr:uid="{38B07AD9-DBB2-48CE-9158-6877992E4390}"/>
    <hyperlink ref="CB1001" r:id="rId3455" xr:uid="{33B2F093-406A-4353-9A0C-3B9CC9B11E11}"/>
    <hyperlink ref="O1002" r:id="rId3456" xr:uid="{C97CAF35-95C0-4113-88E6-F59461C08772}"/>
    <hyperlink ref="S1002" r:id="rId3457" xr:uid="{A3B0409A-2DA2-4464-8B05-99FD0D8109D3}"/>
    <hyperlink ref="T1002" r:id="rId3458" xr:uid="{C64DB5AE-6CDD-43DB-8A95-8E7299A83982}"/>
    <hyperlink ref="CA1002" r:id="rId3459" xr:uid="{FD104CFA-ABFD-46F5-9C84-4104AC09D1D7}"/>
    <hyperlink ref="CB1002" r:id="rId3460" xr:uid="{89D3F6B6-9566-489A-8B2D-221EA75F35EC}"/>
    <hyperlink ref="O1003" r:id="rId3461" xr:uid="{0D1FEE6B-E631-41A7-857A-C81DB27AF9A9}"/>
    <hyperlink ref="S1003" r:id="rId3462" xr:uid="{FB170DAB-6692-44FC-A3F8-95907797C4F6}"/>
    <hyperlink ref="T1003" r:id="rId3463" xr:uid="{AA69D937-199A-431B-8EA4-DAB6B96B28AA}"/>
    <hyperlink ref="CA1003" r:id="rId3464" xr:uid="{658C9B0D-ED39-4A21-A5F2-B3B20638BC7A}"/>
    <hyperlink ref="CB1003" r:id="rId3465" xr:uid="{F97D5F9D-DAEB-47B5-AF64-E6DEB8C78060}"/>
    <hyperlink ref="CD1003" r:id="rId3466" xr:uid="{D19E702E-246E-4B5A-B296-D6BFF9A2DF42}"/>
    <hyperlink ref="O1004" r:id="rId3467" xr:uid="{52EA2411-4A57-4B2F-85AF-17896F84E0AA}"/>
    <hyperlink ref="S1004" r:id="rId3468" xr:uid="{F3D993CC-F28F-41AA-A145-355E873C37B6}"/>
    <hyperlink ref="T1004" r:id="rId3469" xr:uid="{E2DC2B76-FA92-4A8D-BA09-6FEE18F150C4}"/>
    <hyperlink ref="CA1004" r:id="rId3470" xr:uid="{0A36AFC7-F730-407E-8697-1917D36DE4B0}"/>
    <hyperlink ref="CB1004" r:id="rId3471" xr:uid="{0D15AF36-2310-4F96-92FF-8D1A898D3ABB}"/>
    <hyperlink ref="O1005" r:id="rId3472" xr:uid="{524286C8-5251-4637-9F8B-55EDB06FDE55}"/>
    <hyperlink ref="S1005" r:id="rId3473" xr:uid="{3B434508-BAAD-4DD6-A97A-A9A2CE1E625B}"/>
    <hyperlink ref="T1005" r:id="rId3474" xr:uid="{7410525C-F4AE-420C-B57E-25AB9E88E5F0}"/>
    <hyperlink ref="CA1005" r:id="rId3475" xr:uid="{1382D41C-6A68-4C9C-B1AA-021D1A71935B}"/>
    <hyperlink ref="CB1005" r:id="rId3476" xr:uid="{9A95B91A-51EB-4AB3-BB52-7D8AC6BEF955}"/>
    <hyperlink ref="O1006" r:id="rId3477" xr:uid="{77167C12-69A8-4A0F-9314-1D5C639BFFDE}"/>
    <hyperlink ref="S1006" r:id="rId3478" xr:uid="{D64B588F-58DA-4D6A-B5D4-E6D9D43B6516}"/>
    <hyperlink ref="T1006" r:id="rId3479" xr:uid="{928262BE-31D4-483A-9A49-BD510FE88987}"/>
    <hyperlink ref="CA1006" r:id="rId3480" xr:uid="{D343F7D5-3530-4403-BBF6-EE39FDEAEE65}"/>
    <hyperlink ref="CB1006" r:id="rId3481" xr:uid="{C98B0449-A228-4331-9FA4-69D1B2582914}"/>
    <hyperlink ref="O1007" r:id="rId3482" xr:uid="{9B4EC07A-04C9-48C8-A0B4-5B676AF92022}"/>
    <hyperlink ref="S1007" r:id="rId3483" xr:uid="{DAECDAFF-A113-4C34-A120-ECB2BF52CDA5}"/>
    <hyperlink ref="T1007" r:id="rId3484" xr:uid="{AD440348-7AB8-41B2-A66E-E27A4961973E}"/>
    <hyperlink ref="CA1007" r:id="rId3485" xr:uid="{10DBC8CD-AF7A-4C5F-AF15-D6AE5A4D8FAB}"/>
    <hyperlink ref="CB1007" r:id="rId3486" xr:uid="{7CCB2EEF-D9DA-4078-89F0-6BD5C587248C}"/>
    <hyperlink ref="O1009" r:id="rId3487" xr:uid="{68DA805C-D1D3-4343-95D1-6511B695477C}"/>
    <hyperlink ref="S1009" r:id="rId3488" xr:uid="{9DECE767-DE7B-4FDC-9E6E-3758FF3432AB}"/>
    <hyperlink ref="T1009" r:id="rId3489" xr:uid="{C580ACBD-F284-4117-9DBE-A42324C62701}"/>
    <hyperlink ref="CA1009" r:id="rId3490" xr:uid="{E463DC65-85BB-4982-BE49-0B2E84812742}"/>
    <hyperlink ref="CB1009" r:id="rId3491" xr:uid="{6ECE7B1D-18E8-4D41-981D-552407D4C427}"/>
    <hyperlink ref="O1010" r:id="rId3492" xr:uid="{A9CB9A50-439D-4052-8018-B9FC409B86DF}"/>
    <hyperlink ref="S1010" r:id="rId3493" xr:uid="{16885647-6B67-4FA7-A287-A723AB2CCE1E}"/>
    <hyperlink ref="T1010" r:id="rId3494" xr:uid="{A7D42092-DDCB-4C8E-BEB7-834F84E4E8D7}"/>
    <hyperlink ref="CA1010" r:id="rId3495" xr:uid="{8AB2AB22-9883-473A-AFB5-98362727A7EE}"/>
    <hyperlink ref="CB1010" r:id="rId3496" xr:uid="{CD6D1C2B-8F5D-40DB-8878-F5280D3137D7}"/>
    <hyperlink ref="O1011" r:id="rId3497" xr:uid="{CFD8D39D-FD2D-45B7-8947-3A8E961C1996}"/>
    <hyperlink ref="S1011" r:id="rId3498" xr:uid="{5E4E1533-676A-4655-AB36-9288D5A786BE}"/>
    <hyperlink ref="T1011" r:id="rId3499" xr:uid="{114DDEDD-1236-4242-A7E7-1ED7FEBAD683}"/>
    <hyperlink ref="CA1011" r:id="rId3500" xr:uid="{2A6F0F0D-CB77-4132-B112-8501C9CB2FA0}"/>
    <hyperlink ref="CB1011" r:id="rId3501" xr:uid="{B93E77B5-08E3-41A8-8451-D111E0BEA4B8}"/>
    <hyperlink ref="CD1011" r:id="rId3502" xr:uid="{A80F3730-89F7-4827-A20D-FFB13F26F34E}"/>
    <hyperlink ref="O1012" r:id="rId3503" xr:uid="{CAA738E5-EA18-47A1-BD6B-5C96F98CD53B}"/>
    <hyperlink ref="S1012" r:id="rId3504" xr:uid="{1481F4E8-6C21-4901-AAAC-557B33B19AFB}"/>
    <hyperlink ref="T1012" r:id="rId3505" xr:uid="{2875C116-CC90-4C67-BFE7-88042B652937}"/>
    <hyperlink ref="CA1012" r:id="rId3506" xr:uid="{3B7840A4-DB0B-49E4-8025-34FE2CD9512C}"/>
    <hyperlink ref="CB1012" r:id="rId3507" xr:uid="{5E23EC9F-AAAC-47AB-8F2E-84267D47E76C}"/>
    <hyperlink ref="O1013" r:id="rId3508" xr:uid="{D0B45837-95B2-44C8-8FC9-B0389144497C}"/>
    <hyperlink ref="S1013" r:id="rId3509" xr:uid="{094E4B38-F15A-4581-BCDE-41DB33F37425}"/>
    <hyperlink ref="T1013" r:id="rId3510" xr:uid="{D2B0351D-9AA7-4045-93D0-021CD75BF92F}"/>
    <hyperlink ref="CA1013" r:id="rId3511" xr:uid="{F106F17C-9DBD-4044-BD50-A057AE3B3CF9}"/>
    <hyperlink ref="CB1013" r:id="rId3512" xr:uid="{0D7F16CD-57A5-49BF-A6C8-86A078AFBC89}"/>
    <hyperlink ref="O1014" r:id="rId3513" xr:uid="{1F91602C-61AB-4C9F-9C41-700828CBB6D1}"/>
    <hyperlink ref="S1014" r:id="rId3514" xr:uid="{B504E48B-F6AD-4995-B8CE-351F12FFF535}"/>
    <hyperlink ref="T1014" r:id="rId3515" xr:uid="{CB91657D-FA99-4275-AD9F-15D9CE4CE7B4}"/>
    <hyperlink ref="CA1014" r:id="rId3516" xr:uid="{37E81707-96AF-4E3F-B1F1-08E149522D88}"/>
    <hyperlink ref="CB1014" r:id="rId3517" xr:uid="{3636CA0A-A04F-46F5-8366-D77EDBE670AB}"/>
    <hyperlink ref="O1015" r:id="rId3518" xr:uid="{BF698FC5-6BE5-4ABB-B11D-EB624302FA3F}"/>
    <hyperlink ref="S1015" r:id="rId3519" xr:uid="{1EFF2DD3-6D89-4790-B824-C4296F066210}"/>
    <hyperlink ref="T1015" r:id="rId3520" xr:uid="{E7BCA93A-81CE-4211-B2F0-ADAC6698C104}"/>
    <hyperlink ref="CA1015" r:id="rId3521" xr:uid="{57B64A09-64C8-49A3-AAEA-3C19E8DF1FEB}"/>
    <hyperlink ref="CB1015" r:id="rId3522" xr:uid="{B312BE79-314E-47E4-9B30-15AA9D02F96B}"/>
    <hyperlink ref="O1016" r:id="rId3523" xr:uid="{40F26ECE-D911-40A6-913C-348577DB431E}"/>
    <hyperlink ref="S1016" r:id="rId3524" xr:uid="{D4A545F3-E68A-4D71-964A-1D97BDC22B30}"/>
    <hyperlink ref="T1016" r:id="rId3525" xr:uid="{423C5052-7A0A-48C2-866D-43165DA834B5}"/>
    <hyperlink ref="CA1016" r:id="rId3526" xr:uid="{69C10ABB-880A-4F73-811E-0845D0B9946C}"/>
    <hyperlink ref="CB1016" r:id="rId3527" xr:uid="{3366EE09-8DBD-4D30-99BB-CE8DE91222C3}"/>
    <hyperlink ref="O1017" r:id="rId3528" xr:uid="{0C60AEC9-D3B5-4591-B8D5-645141BF3E05}"/>
    <hyperlink ref="S1017" r:id="rId3529" xr:uid="{41156592-1202-41E0-883C-783954001BD9}"/>
    <hyperlink ref="T1017" r:id="rId3530" xr:uid="{EAD83D9D-EDB8-431B-9FDF-5478C22CBA2C}"/>
    <hyperlink ref="CA1017" r:id="rId3531" xr:uid="{2F013350-5914-41AB-B89F-B28BA33B403B}"/>
    <hyperlink ref="CB1017" r:id="rId3532" xr:uid="{B322B84E-B0D6-4F1E-B744-6878F3AC5759}"/>
    <hyperlink ref="O1018" r:id="rId3533" xr:uid="{4682D756-470E-45E7-862D-15EE700EB209}"/>
    <hyperlink ref="S1018" r:id="rId3534" xr:uid="{2669D73C-AA5E-4E02-AFD9-4670B0E618B0}"/>
    <hyperlink ref="T1018" r:id="rId3535" xr:uid="{0B88ABE7-285B-4C11-B074-CCB3A78682DF}"/>
    <hyperlink ref="CA1018" r:id="rId3536" xr:uid="{E2FDB8A3-31F0-4944-9621-A0EA816F6B1D}"/>
    <hyperlink ref="CB1018" r:id="rId3537" xr:uid="{A50AE13D-D348-4B5F-BBC1-C0D37FE61F7E}"/>
    <hyperlink ref="O1019" r:id="rId3538" xr:uid="{2AFD8ED1-06C9-414A-8E86-6208EF0CEFF2}"/>
    <hyperlink ref="S1019" r:id="rId3539" xr:uid="{18134FF6-6D5E-40C0-BF11-A3D257E04BD1}"/>
    <hyperlink ref="T1019" r:id="rId3540" xr:uid="{7AF426E1-C733-4998-AF62-C4F5F0F6DD6F}"/>
    <hyperlink ref="CA1019" r:id="rId3541" xr:uid="{26C41BDC-C6E6-4F0D-A7DC-982770CB1496}"/>
    <hyperlink ref="CB1019" r:id="rId3542" xr:uid="{13951B60-BBE4-473F-BF19-2BF77F915EE3}"/>
    <hyperlink ref="O1020" r:id="rId3543" xr:uid="{64EBD3C5-C1ED-45AE-83B5-EECDF5721F15}"/>
    <hyperlink ref="S1020" r:id="rId3544" xr:uid="{4330D623-F9B8-4519-8FA4-06C0E1C43610}"/>
    <hyperlink ref="T1020" r:id="rId3545" xr:uid="{971BFAEC-BD39-4E84-BAD6-02AAEE615203}"/>
    <hyperlink ref="CA1020" r:id="rId3546" xr:uid="{8C352C31-19B8-42B3-A0FA-B4CAB386E4DE}"/>
    <hyperlink ref="CB1020" r:id="rId3547" xr:uid="{BE0AF1C7-0513-46A0-B71D-9E22BC404899}"/>
    <hyperlink ref="O1021" r:id="rId3548" xr:uid="{1146EF65-74DD-45DF-9534-A79DE3ECC737}"/>
    <hyperlink ref="S1021" r:id="rId3549" xr:uid="{9BB943FE-1B75-442D-A565-1E7D0CDE60C2}"/>
    <hyperlink ref="CA1021" r:id="rId3550" xr:uid="{8585C34D-430A-4913-90D5-E09DF5771336}"/>
    <hyperlink ref="CD1021" r:id="rId3551" xr:uid="{98671B9E-BFD9-4D5E-9A3D-4E36F6A205C1}"/>
    <hyperlink ref="O1022" r:id="rId3552" xr:uid="{8569618F-1C30-4289-84CF-E668C8247D63}"/>
    <hyperlink ref="S1022" r:id="rId3553" xr:uid="{A98DB605-435B-43EA-8EB4-6EDF89EA3AA0}"/>
    <hyperlink ref="CA1022" r:id="rId3554" xr:uid="{AB0B8C70-9AF8-446B-8CC5-4F9038542AF3}"/>
    <hyperlink ref="O1023" r:id="rId3555" xr:uid="{4574E74B-CBA8-4A03-B97E-63EA1E7E66B9}"/>
    <hyperlink ref="S1023" r:id="rId3556" xr:uid="{B16F891C-32CA-45CB-9DC1-324261B4EE8F}"/>
    <hyperlink ref="T1023" r:id="rId3557" xr:uid="{653A3FAE-51E2-49F9-A42F-053B093CCAA5}"/>
    <hyperlink ref="CA1023" r:id="rId3558" xr:uid="{EB8A2829-25AD-4230-B058-EDDE2A35AF5C}"/>
    <hyperlink ref="CB1023" r:id="rId3559" xr:uid="{3B96CCD6-70CA-4366-9164-A5CF7312ED2E}"/>
    <hyperlink ref="O1024" r:id="rId3560" xr:uid="{DD190B82-4365-4B3E-B7E2-9B669FCC705C}"/>
    <hyperlink ref="S1024" r:id="rId3561" xr:uid="{7A728CA1-D188-45D1-BD3C-355F8DDC1479}"/>
    <hyperlink ref="T1024" r:id="rId3562" xr:uid="{ECBA26BB-1B61-4865-8AF7-3312BDB7EE2A}"/>
    <hyperlink ref="CA1024" r:id="rId3563" xr:uid="{8EAC7622-F00B-4F6D-B689-86E8099EAB0E}"/>
    <hyperlink ref="CB1024" r:id="rId3564" xr:uid="{EAEA7D53-4351-4F5B-95C3-378588F80616}"/>
    <hyperlink ref="O1025" r:id="rId3565" xr:uid="{4C4E3F7E-B1EB-462F-8105-AE4AB987F9C1}"/>
    <hyperlink ref="S1025" r:id="rId3566" xr:uid="{89B4AE9F-0E4C-4A43-B0DE-23964488B496}"/>
    <hyperlink ref="T1025" r:id="rId3567" xr:uid="{7B082506-BA7E-4D16-B6CB-90D003179454}"/>
    <hyperlink ref="CA1025" r:id="rId3568" xr:uid="{75E3DBDA-B0C8-4A64-9270-9BBCA9D2AAE1}"/>
    <hyperlink ref="CB1025" r:id="rId3569" xr:uid="{9742BFD1-C1E2-4677-B80D-937A6453BCC0}"/>
    <hyperlink ref="O1026" r:id="rId3570" xr:uid="{FE038756-6207-49E8-B4C3-E576AE38B143}"/>
    <hyperlink ref="S1026" r:id="rId3571" xr:uid="{DB704616-CAF7-4B01-945A-D78A6C5418D0}"/>
    <hyperlink ref="T1026" r:id="rId3572" xr:uid="{CC76E68C-E708-4ADF-A709-AEC422DB971C}"/>
    <hyperlink ref="CA1026" r:id="rId3573" xr:uid="{DBF75ABF-E638-4499-AA84-74CFAB2243FB}"/>
    <hyperlink ref="CB1026" r:id="rId3574" xr:uid="{EAC3E490-EBDB-4925-9C3E-B7DA1CD3C8E2}"/>
    <hyperlink ref="O1027" r:id="rId3575" xr:uid="{91835815-8CA1-4A9C-A958-3C0DBA78BB34}"/>
    <hyperlink ref="S1027" r:id="rId3576" xr:uid="{F04CCA32-9393-4932-A505-62334358136A}"/>
    <hyperlink ref="T1027" r:id="rId3577" xr:uid="{CD0648CD-B588-4FCA-93AB-3F89217F0CCC}"/>
    <hyperlink ref="CA1027" r:id="rId3578" xr:uid="{54D5180C-6BE6-49F1-A294-75B32FA4707E}"/>
    <hyperlink ref="CB1027" r:id="rId3579" xr:uid="{94497A5D-4CC3-442C-9163-6C0898CD3550}"/>
    <hyperlink ref="O1028" r:id="rId3580" xr:uid="{10F71754-2397-4535-B405-5C3FBA5FFC83}"/>
    <hyperlink ref="S1028" r:id="rId3581" xr:uid="{4C50F315-64A9-4A74-8E07-D546BEB90410}"/>
    <hyperlink ref="T1028" r:id="rId3582" xr:uid="{A05243D3-AE6B-4949-8F2E-05423278C019}"/>
    <hyperlink ref="CA1028" r:id="rId3583" xr:uid="{7E8A80A8-DE74-4BC9-9E1F-0D53F34575A5}"/>
    <hyperlink ref="CB1028" r:id="rId3584" xr:uid="{395A1EF3-F2AD-43D9-AA06-6EEEAA5E9D3B}"/>
    <hyperlink ref="O1029" r:id="rId3585" xr:uid="{AFA4C6B9-4D71-478E-9B5E-70F6575E2C68}"/>
    <hyperlink ref="S1029" r:id="rId3586" xr:uid="{12DFE1DA-9F55-4E70-9EB3-731921F3D202}"/>
    <hyperlink ref="T1029" r:id="rId3587" xr:uid="{7C3FDA71-82E4-4D65-B610-7C0F8184E972}"/>
    <hyperlink ref="CA1029" r:id="rId3588" xr:uid="{F56DDA3F-E160-4DBA-91C5-64F741238DD0}"/>
    <hyperlink ref="CB1029" r:id="rId3589" xr:uid="{DDE443F8-1E60-4D80-8E33-E9C2FBE73A50}"/>
    <hyperlink ref="O1030" r:id="rId3590" xr:uid="{CAE2A7F0-4F64-49DE-8E2D-FFEC674E57FB}"/>
    <hyperlink ref="S1030" r:id="rId3591" xr:uid="{AE7FBE70-D714-4ACD-AB5D-948C817A5158}"/>
    <hyperlink ref="T1030" r:id="rId3592" xr:uid="{03BEFE33-7C69-4762-B52A-C674A73AB895}"/>
    <hyperlink ref="CA1030" r:id="rId3593" xr:uid="{F09AD241-AF84-44CA-B9A8-26802456162E}"/>
    <hyperlink ref="CB1030" r:id="rId3594" xr:uid="{D3FBCF64-061A-4275-9711-937BC9359329}"/>
    <hyperlink ref="CA1031" r:id="rId3595" xr:uid="{46FDB48D-C210-447D-84C8-FB1825042279}"/>
    <hyperlink ref="CB1031" r:id="rId3596" xr:uid="{7BD54C51-4C86-480A-AEC9-803F2A535F91}"/>
    <hyperlink ref="CA1032" r:id="rId3597" xr:uid="{616B5FD3-6B00-4518-A28C-F24FAC0FE3B8}"/>
    <hyperlink ref="CB1032" r:id="rId3598" xr:uid="{887ABD02-B29C-4589-B634-C49E79E64DB4}"/>
    <hyperlink ref="CA1033" r:id="rId3599" xr:uid="{968232E8-F7F5-44BD-BBFE-0E8320BCBD12}"/>
    <hyperlink ref="CB1033" r:id="rId3600" xr:uid="{0CB79DE7-9820-44E1-A39E-C5C10A1735B2}"/>
    <hyperlink ref="CA1034" r:id="rId3601" xr:uid="{E1D5DD52-969C-465C-9BF9-8ECD7E54E251}"/>
    <hyperlink ref="CB1034" r:id="rId3602" xr:uid="{8C56010B-A73E-4432-ACA6-80FF79E4FDB9}"/>
    <hyperlink ref="O1065" r:id="rId3603" xr:uid="{8425BED4-5A6C-4C32-9852-FDB39BF03CFE}"/>
    <hyperlink ref="S1065" r:id="rId3604" xr:uid="{C586561C-1A70-41AE-86B8-4EA6D494C164}"/>
    <hyperlink ref="CA1065" r:id="rId3605" xr:uid="{208EBEBA-9AF2-4E4A-B22F-A907D63CCF12}"/>
    <hyperlink ref="O1066" r:id="rId3606" xr:uid="{98C12FAC-6E60-4AC3-817C-8E3B66A642B1}"/>
    <hyperlink ref="S1066" r:id="rId3607" xr:uid="{28B6BFAC-19F7-42BD-B092-80D0E34ACC9D}"/>
    <hyperlink ref="T1066" r:id="rId3608" xr:uid="{012ED5FE-B178-4331-8AD2-527D4BD05DA7}"/>
    <hyperlink ref="CA1066" r:id="rId3609" xr:uid="{90841CC1-BE46-4AE4-A5EB-3AD986C05522}"/>
    <hyperlink ref="CB1066" r:id="rId3610" xr:uid="{77E59FC2-57E8-4A3C-B939-7FE064AE27BB}"/>
    <hyperlink ref="O1067" r:id="rId3611" xr:uid="{5384F071-338D-4FD6-9A6C-DFC3A3D378AA}"/>
    <hyperlink ref="S1067" r:id="rId3612" xr:uid="{B4BD9ABE-F22F-4626-A567-8FE14CEDA09B}"/>
    <hyperlink ref="CA1067" r:id="rId3613" xr:uid="{782A0426-2B57-441A-B26F-CA722CFDE8F3}"/>
    <hyperlink ref="CD1067" r:id="rId3614" xr:uid="{23492772-DD93-41B2-9C1C-F11E13D6A495}"/>
    <hyperlink ref="O1068" r:id="rId3615" xr:uid="{DC29434C-ACCE-4B1C-ABEA-3649AB2939A0}"/>
    <hyperlink ref="S1068" r:id="rId3616" xr:uid="{9C46484D-B828-4552-A611-EFD166C9736F}"/>
    <hyperlink ref="CA1068" r:id="rId3617" xr:uid="{DC15A8DB-D0E5-472D-AE39-8B510B5B6DF7}"/>
    <hyperlink ref="CD1068" r:id="rId3618" xr:uid="{29EFE3E6-B312-4023-9A9E-B96E1F6CB209}"/>
    <hyperlink ref="O1069" r:id="rId3619" xr:uid="{DD5A77DF-A3F0-4B1A-A2FC-86DF802EF2AD}"/>
    <hyperlink ref="R1069" r:id="rId3620" xr:uid="{901536EB-D389-4076-BBBE-3EB5F21AEC73}"/>
    <hyperlink ref="S1069" r:id="rId3621" xr:uid="{97A41CEB-8CC6-4D9E-B405-6DD4EAD843CA}"/>
    <hyperlink ref="CA1069" r:id="rId3622" xr:uid="{F1A66273-5366-4393-A579-883668D2ADA8}"/>
    <hyperlink ref="CD1069" r:id="rId3623" xr:uid="{4338B7F1-B640-4183-8F2A-A7451023F639}"/>
    <hyperlink ref="O1070" r:id="rId3624" xr:uid="{D199E308-1241-4902-A296-043D483BD399}"/>
    <hyperlink ref="R1070" r:id="rId3625" xr:uid="{7C61BB71-01D7-4649-9D6F-EDE461E9E366}"/>
    <hyperlink ref="S1070" r:id="rId3626" xr:uid="{FCD5E700-ABDC-4D22-85CE-87510C1D383B}"/>
    <hyperlink ref="CA1070" r:id="rId3627" xr:uid="{7836069E-957C-47D9-98EB-2DD11D1A6D50}"/>
    <hyperlink ref="CD1070" r:id="rId3628" xr:uid="{300EE688-3B87-4DE2-8562-4F4AF010308D}"/>
    <hyperlink ref="O1071" r:id="rId3629" xr:uid="{E090FEDB-8999-43B4-A0A0-B72CA3D5DC75}"/>
    <hyperlink ref="S1071" r:id="rId3630" xr:uid="{01B77B87-E96C-4151-A543-76AC75CCE2A5}"/>
    <hyperlink ref="T1071" r:id="rId3631" xr:uid="{FEF0EBC3-B081-413F-809E-83C6ACD6CFB2}"/>
    <hyperlink ref="CA1071" r:id="rId3632" xr:uid="{704486B8-E164-470F-A020-F04A144F9F3E}"/>
    <hyperlink ref="CB1071" r:id="rId3633" xr:uid="{E17BB5B7-8AD8-4A35-9C2B-25C540C3DAA6}"/>
    <hyperlink ref="O1072" r:id="rId3634" xr:uid="{704ACA87-A384-4763-895B-EF538267AAF4}"/>
    <hyperlink ref="S1072" r:id="rId3635" xr:uid="{01868A77-1E6D-4D3B-BC22-057C8395535F}"/>
    <hyperlink ref="T1072" r:id="rId3636" xr:uid="{DFFEBAA5-4753-4D85-B35A-2F02CDB0A285}"/>
    <hyperlink ref="CA1072" r:id="rId3637" xr:uid="{9F6ABF4B-1ADD-4A4E-B21B-0C74F7CE9726}"/>
    <hyperlink ref="CB1072" r:id="rId3638" xr:uid="{6B9E6D33-B410-4E37-9B0D-CD220B310DD0}"/>
    <hyperlink ref="CD1072" r:id="rId3639" xr:uid="{E8D9089C-6188-48EB-8EB4-165619419A2D}"/>
    <hyperlink ref="O1073" r:id="rId3640" xr:uid="{CAAB8315-619B-45A1-A397-9864D26C2E56}"/>
    <hyperlink ref="S1073" r:id="rId3641" xr:uid="{1749704F-8E28-4B58-A0F6-D1C3FBEE1956}"/>
    <hyperlink ref="T1073" r:id="rId3642" xr:uid="{73604A0A-43FB-4597-88D4-976901A562D3}"/>
    <hyperlink ref="CA1073" r:id="rId3643" xr:uid="{E6BA16BC-B841-4E06-8391-8851AC8324DC}"/>
    <hyperlink ref="CB1073" r:id="rId3644" xr:uid="{689C6B25-242A-4F2D-A54C-792B61493B28}"/>
    <hyperlink ref="CD1073" r:id="rId3645" xr:uid="{D9C1BF31-F755-4D70-B1A4-9B255840165F}"/>
    <hyperlink ref="O1074" r:id="rId3646" xr:uid="{0FEC9867-7EE5-424E-904D-4242764C4070}"/>
    <hyperlink ref="S1074" r:id="rId3647" xr:uid="{C707DCC2-C13D-4BC1-A804-4A82DD70EB75}"/>
    <hyperlink ref="T1074" r:id="rId3648" xr:uid="{3FD26C78-FDF3-4A8A-8659-9DDCEA41749F}"/>
    <hyperlink ref="CA1074" r:id="rId3649" xr:uid="{70D62ECA-56DD-4775-B503-6B4D22E76A8B}"/>
    <hyperlink ref="CB1074" r:id="rId3650" xr:uid="{58BA7A78-1CD2-4D58-AFC5-F782F080DF83}"/>
    <hyperlink ref="CD1074" r:id="rId3651" xr:uid="{3B1112A0-E208-4E2C-B00A-C05EDDC3A535}"/>
    <hyperlink ref="O1075" r:id="rId3652" xr:uid="{530D39CD-8BE8-4257-8E5E-15295477C985}"/>
    <hyperlink ref="S1075" r:id="rId3653" xr:uid="{323A3E1F-2136-4552-AFDD-87CC3F46A66F}"/>
    <hyperlink ref="T1075" r:id="rId3654" xr:uid="{00F5A14F-A35F-4296-B9C9-5BF6E401DE5D}"/>
    <hyperlink ref="CA1075" r:id="rId3655" xr:uid="{977C60C6-B72E-42AB-BD48-59FC19CB6C5D}"/>
    <hyperlink ref="CB1075" r:id="rId3656" xr:uid="{05AB89A8-90F6-4789-A5E3-5C3FD7C58038}"/>
    <hyperlink ref="CD1075" r:id="rId3657" xr:uid="{C3B7CE31-D533-4F9A-9123-B92A03108F6B}"/>
    <hyperlink ref="O1077" r:id="rId3658" xr:uid="{130B9D58-F98C-46E4-A989-F669344623F8}"/>
    <hyperlink ref="S1077" r:id="rId3659" xr:uid="{8486F342-3ED9-497F-AB7F-F63F728ED595}"/>
    <hyperlink ref="T1077" r:id="rId3660" xr:uid="{6E374AAB-F65A-4135-B54D-867B48D03A80}"/>
    <hyperlink ref="CA1077" r:id="rId3661" xr:uid="{51431833-926B-4C3A-9F2F-BC90179118D6}"/>
    <hyperlink ref="CB1077" r:id="rId3662" xr:uid="{F4422DD9-8D99-4685-B051-C3FE73C0A461}"/>
    <hyperlink ref="CD1077" r:id="rId3663" xr:uid="{D5991051-8B44-4257-8B45-60DB09486852}"/>
    <hyperlink ref="O1078" r:id="rId3664" xr:uid="{CC42E9A0-6B97-4D25-8FF9-18E95EFFF3EC}"/>
    <hyperlink ref="S1078" r:id="rId3665" xr:uid="{3D29EECE-05AF-4BE2-837A-0FC50BA350C9}"/>
    <hyperlink ref="T1078" r:id="rId3666" xr:uid="{BADC26BB-A768-4466-9D96-CC679F0F50F4}"/>
    <hyperlink ref="CA1078" r:id="rId3667" xr:uid="{D5297866-34B8-4534-A57D-24EED7C8B63D}"/>
    <hyperlink ref="CB1078" r:id="rId3668" xr:uid="{1C0F63B8-2F5C-4ED7-9A64-4C3D7AF8E13B}"/>
    <hyperlink ref="CD1078" r:id="rId3669" xr:uid="{1D702B5F-B125-4B6A-93AF-199DAE189502}"/>
    <hyperlink ref="O1079" r:id="rId3670" xr:uid="{8B7C2969-7F47-4EF3-A135-1C5DFE8436DA}"/>
    <hyperlink ref="S1079" r:id="rId3671" xr:uid="{2171512E-163C-4383-9BF2-9EAAA08B5FCC}"/>
    <hyperlink ref="T1079" r:id="rId3672" xr:uid="{0794C82B-DF4E-4CA9-9CC4-75349DC143A2}"/>
    <hyperlink ref="CA1079" r:id="rId3673" xr:uid="{BA3436B9-CEA5-48E5-B589-29D7103D30EA}"/>
    <hyperlink ref="CB1079" r:id="rId3674" xr:uid="{77CA987B-C300-4082-9BD0-1DB47EFD9AD9}"/>
    <hyperlink ref="CD1079" r:id="rId3675" xr:uid="{060F0309-5D14-4977-ADB4-6295D893859D}"/>
    <hyperlink ref="O1080" r:id="rId3676" xr:uid="{9D9454C4-6476-4327-B54C-F70C25FCC3CF}"/>
    <hyperlink ref="S1080" r:id="rId3677" xr:uid="{2F156E09-C870-450E-9EDC-85E498E39A69}"/>
    <hyperlink ref="T1080" r:id="rId3678" xr:uid="{0FFF289D-288B-4D52-AC4A-9FCF507501DC}"/>
    <hyperlink ref="CA1080" r:id="rId3679" xr:uid="{519FBD2F-2780-4ED9-956A-57777D6CCD1C}"/>
    <hyperlink ref="CB1080" r:id="rId3680" xr:uid="{671B6511-C9A5-42C1-BD94-DEA86BEBB00C}"/>
    <hyperlink ref="CD1080" r:id="rId3681" xr:uid="{CD048384-7839-45AD-B9A7-6DC8B246FDCB}"/>
    <hyperlink ref="O1081" r:id="rId3682" xr:uid="{A669C43C-E52D-437C-B166-D10C95383FDC}"/>
    <hyperlink ref="S1081" r:id="rId3683" xr:uid="{5C4A07AA-DFAA-4B77-A7D4-33CD0BADF65E}"/>
    <hyperlink ref="T1081" r:id="rId3684" xr:uid="{9824F645-DBEB-4AC7-8572-D1A2CF8DA1F3}"/>
    <hyperlink ref="CA1081" r:id="rId3685" xr:uid="{F90AB633-9946-4383-891A-6BB867552ACC}"/>
    <hyperlink ref="CB1081" r:id="rId3686" xr:uid="{768E92B7-5F70-4B80-912C-5DD64541FF4F}"/>
    <hyperlink ref="CD1081" r:id="rId3687" xr:uid="{E745B601-E5DA-4D21-96E0-B3A178BFE2C3}"/>
    <hyperlink ref="O1082" r:id="rId3688" xr:uid="{13AD3F22-3D7D-44F8-8D74-0C87120C6D74}"/>
    <hyperlink ref="S1082" r:id="rId3689" xr:uid="{02F5D926-6F5F-461A-AAC9-20F6DA68D0BD}"/>
    <hyperlink ref="T1082" r:id="rId3690" xr:uid="{245C1D58-E82A-4838-9767-97D21B07DD56}"/>
    <hyperlink ref="CA1082" r:id="rId3691" xr:uid="{47D88278-E22B-4E28-A922-DB5AA5542C3F}"/>
    <hyperlink ref="CB1082" r:id="rId3692" xr:uid="{717B9B2D-346F-471A-AE2E-36CA073096EB}"/>
    <hyperlink ref="CD1082" r:id="rId3693" xr:uid="{AA1A0AC2-5C70-4512-837A-5F060E664CC3}"/>
    <hyperlink ref="O1083" r:id="rId3694" xr:uid="{D1334BA0-B837-4A98-96BF-E41D5AF70ABE}"/>
    <hyperlink ref="S1083" r:id="rId3695" xr:uid="{B844185C-D973-43E3-A1BF-B66084388C88}"/>
    <hyperlink ref="CA1083" r:id="rId3696" xr:uid="{3E82D6EF-589A-42FF-90A1-57419BF5604E}"/>
    <hyperlink ref="O1084" r:id="rId3697" xr:uid="{9C699391-04C3-4E23-BB0C-3C189CC3A08F}"/>
    <hyperlink ref="S1084" r:id="rId3698" xr:uid="{01B6B166-074D-4773-B44A-0FB074B2774F}"/>
    <hyperlink ref="CA1084" r:id="rId3699" xr:uid="{A549D0D3-6683-40BF-BB53-5B54CA784737}"/>
    <hyperlink ref="O1085" r:id="rId3700" xr:uid="{ED151E47-08ED-4E5E-87E8-5A237E5EFECE}"/>
    <hyperlink ref="S1085" r:id="rId3701" xr:uid="{2D3A1AF7-9278-4F3B-B193-518293807E07}"/>
    <hyperlink ref="CA1085" r:id="rId3702" xr:uid="{3A777073-846A-490A-90E6-1E988D211496}"/>
    <hyperlink ref="O1086" r:id="rId3703" xr:uid="{954CF04E-A382-44C3-B579-830F31E01CA9}"/>
    <hyperlink ref="S1086" r:id="rId3704" xr:uid="{9274D262-7268-4DF0-A414-EC38713D82C9}"/>
    <hyperlink ref="CA1086" r:id="rId3705" xr:uid="{9729B6C3-102A-4286-AE8B-30E5AA55DC0D}"/>
    <hyperlink ref="O1087" r:id="rId3706" xr:uid="{C42C39EB-4AFB-4101-8E2B-CC6C7097C09C}"/>
    <hyperlink ref="S1087" r:id="rId3707" xr:uid="{5E232B38-09A1-4837-9CFA-21C5CC56CB39}"/>
    <hyperlink ref="CA1087" r:id="rId3708" xr:uid="{44A41860-E331-46F5-8F58-1CEE3A50F41A}"/>
    <hyperlink ref="O1088" r:id="rId3709" xr:uid="{C199A001-6D0A-4688-BB6D-0C8B91CF1DCF}"/>
    <hyperlink ref="S1088" r:id="rId3710" xr:uid="{C9891834-E434-4875-807F-6A1BE249D9BC}"/>
    <hyperlink ref="CA1088" r:id="rId3711" xr:uid="{7E873A08-31C0-4C0C-8217-C7CAA3BFE599}"/>
    <hyperlink ref="O1089" r:id="rId3712" xr:uid="{8A358192-D094-4CEE-B238-CC3D9517DA18}"/>
    <hyperlink ref="S1089" r:id="rId3713" xr:uid="{CFB93E81-D77C-4AE9-BF2C-D3F4E3F1A1F7}"/>
    <hyperlink ref="CA1089" r:id="rId3714" xr:uid="{9ED5C9E1-C3DD-4650-BF54-4F5CD10FA08A}"/>
    <hyperlink ref="O1090" r:id="rId3715" xr:uid="{242AC11E-CE50-496D-8466-C453F7B2A8FE}"/>
    <hyperlink ref="S1090" r:id="rId3716" xr:uid="{B365A8E3-7A95-4FF1-90DA-B1329091280C}"/>
    <hyperlink ref="T1090" r:id="rId3717" xr:uid="{F17A336D-DE59-4DE5-8A57-AC5A5867BD84}"/>
    <hyperlink ref="CA1090" r:id="rId3718" xr:uid="{E134AF25-7AD2-4F9D-B46F-8DDABC7479B2}"/>
    <hyperlink ref="CB1090" r:id="rId3719" xr:uid="{80C73136-ECBA-47A4-813C-A50CCDADDD96}"/>
    <hyperlink ref="O1091" r:id="rId3720" xr:uid="{35FFA7D2-7444-439F-B9AF-6552086C9EFB}"/>
    <hyperlink ref="S1091" r:id="rId3721" xr:uid="{C8AA81FF-3B5B-4856-BE8F-A63882E93AAA}"/>
    <hyperlink ref="T1091" r:id="rId3722" xr:uid="{B1556BB6-DB09-469A-A836-B651CC35ED74}"/>
    <hyperlink ref="CA1091" r:id="rId3723" xr:uid="{9A338C3E-53D6-4DE1-B191-91FC1BFA4FED}"/>
    <hyperlink ref="CB1091" r:id="rId3724" xr:uid="{0837DCB9-2E5C-4B43-8FA4-C39763FC210F}"/>
    <hyperlink ref="CD1091" r:id="rId3725" xr:uid="{FBF7C6D5-EEB4-4680-9504-04C28FEFB8D8}"/>
    <hyperlink ref="O1092" r:id="rId3726" xr:uid="{6E6FC48E-3617-47E7-B78B-BF410D28A36A}"/>
    <hyperlink ref="S1092" r:id="rId3727" xr:uid="{DBE72BCE-A461-426E-AAD3-783C67D27FF0}"/>
    <hyperlink ref="CA1092" r:id="rId3728" xr:uid="{32BFC96F-4FD1-40EB-9C33-68A9432F8C72}"/>
    <hyperlink ref="O1093" r:id="rId3729" xr:uid="{9FF3BDA5-C66E-4370-9350-2A410F99AE1E}"/>
    <hyperlink ref="S1093" r:id="rId3730" xr:uid="{A8602997-8186-49B2-88FC-BC6A8814AB5E}"/>
    <hyperlink ref="CA1093" r:id="rId3731" xr:uid="{4D38829C-930E-4AF2-BF14-260ABE255A71}"/>
    <hyperlink ref="O1094" r:id="rId3732" xr:uid="{8DAE21BC-AD60-4308-96E0-36296BE96B52}"/>
    <hyperlink ref="S1094" r:id="rId3733" xr:uid="{7F7F7F40-4245-4499-8346-939245B5B59A}"/>
    <hyperlink ref="T1094" r:id="rId3734" xr:uid="{FA216092-DDED-4BC8-9677-81A7C6958704}"/>
    <hyperlink ref="CA1094" r:id="rId3735" xr:uid="{64E6166D-9740-4928-B8A9-486423DB2D66}"/>
    <hyperlink ref="CB1094" r:id="rId3736" xr:uid="{9DC0641C-C70A-4120-8882-D4BBB84D2B0A}"/>
    <hyperlink ref="CD1094" r:id="rId3737" xr:uid="{433008E9-E38A-4BA1-82AA-54468A022A21}"/>
    <hyperlink ref="O1095" r:id="rId3738" xr:uid="{D6939268-C186-409B-81D9-1146897CB42C}"/>
    <hyperlink ref="S1095" r:id="rId3739" xr:uid="{B3E9B0B2-F0E1-440D-BCE2-B6EA9C5DB722}"/>
    <hyperlink ref="T1095" r:id="rId3740" xr:uid="{8988AAFB-9CA3-4F8E-8083-E64C08CF1DBB}"/>
    <hyperlink ref="CA1095" r:id="rId3741" xr:uid="{9DDC98A1-1B8A-44CC-96F8-83E21A2AB761}"/>
    <hyperlink ref="CB1095" r:id="rId3742" xr:uid="{0B3897A2-4C52-43AC-A071-A00351F500BC}"/>
    <hyperlink ref="O1096" r:id="rId3743" xr:uid="{77A8D52E-366A-4437-95C4-BB369AF7CF19}"/>
    <hyperlink ref="S1096" r:id="rId3744" xr:uid="{B902EFD7-878D-4B15-A84F-EC9245755BCA}"/>
    <hyperlink ref="T1096" r:id="rId3745" xr:uid="{51D6147E-19D4-465B-8A78-35D39F615DC0}"/>
    <hyperlink ref="CA1096" r:id="rId3746" xr:uid="{F314421F-650E-4373-AABC-F133A92C0FBF}"/>
    <hyperlink ref="CB1096" r:id="rId3747" xr:uid="{5F9B36D8-EE79-4B8C-B927-4D55BB644699}"/>
    <hyperlink ref="CD1096" r:id="rId3748" xr:uid="{5E952BA8-FA67-407F-8387-04BAA285C77A}"/>
    <hyperlink ref="O1097" r:id="rId3749" xr:uid="{701F0D6F-D25F-4E08-AD67-5E15C02C09EF}"/>
    <hyperlink ref="S1097" r:id="rId3750" xr:uid="{D7BD46A5-4C53-40C1-9A81-710EF0A7309F}"/>
    <hyperlink ref="CA1097" r:id="rId3751" xr:uid="{9541D780-CA27-424A-8E42-58CAD6EC46E6}"/>
    <hyperlink ref="CD1097" r:id="rId3752" xr:uid="{5D5E023E-3A0B-4896-BC61-F82E27499B98}"/>
    <hyperlink ref="O1098" r:id="rId3753" xr:uid="{0190D623-35E5-42FA-8013-837E0ADBE6C0}"/>
    <hyperlink ref="S1098" r:id="rId3754" xr:uid="{297173A7-2694-459E-946D-4C68E3BA6F73}"/>
    <hyperlink ref="T1098" r:id="rId3755" xr:uid="{95387686-763B-49F7-BC23-F6CFFD6B1A4B}"/>
    <hyperlink ref="CA1098" r:id="rId3756" xr:uid="{9D252D9B-46AC-475C-8E38-D2344BD5BC15}"/>
    <hyperlink ref="CB1098" r:id="rId3757" xr:uid="{DFA3034D-B630-4E3E-BF2A-8719FC910183}"/>
    <hyperlink ref="CD1098" r:id="rId3758" xr:uid="{00A1FF3E-2AD5-403E-BB33-E83E6BCDF100}"/>
    <hyperlink ref="O1099" r:id="rId3759" xr:uid="{BC736E2F-6F9B-4C53-BE9F-1BC5E4FA5399}"/>
    <hyperlink ref="S1099" r:id="rId3760" xr:uid="{7910DB61-53BE-4092-987C-10DD539E54A6}"/>
    <hyperlink ref="T1099" r:id="rId3761" xr:uid="{FFB7E36F-D44F-4D8E-B06C-BF1FD181FE22}"/>
    <hyperlink ref="CA1099" r:id="rId3762" xr:uid="{D7FB35EF-F6AD-4CA2-BE5B-089EE1B36737}"/>
    <hyperlink ref="CB1099" r:id="rId3763" xr:uid="{28524D5D-A33B-4B7E-86B2-309DBA772013}"/>
    <hyperlink ref="CD1099" r:id="rId3764" xr:uid="{BA1FB079-4DD9-4B76-AF14-BF4BA4747189}"/>
    <hyperlink ref="O1100" r:id="rId3765" xr:uid="{214375B1-3E6E-4C6B-8C5A-6DF63044E17B}"/>
    <hyperlink ref="S1100" r:id="rId3766" xr:uid="{7F59B988-046C-4646-B2C8-EC9629BB27DC}"/>
    <hyperlink ref="T1100" r:id="rId3767" xr:uid="{92B6D2D1-4140-4EEA-B5F6-F86B60BB6D4C}"/>
    <hyperlink ref="CA1100" r:id="rId3768" xr:uid="{6E04156E-1ACB-4C1C-8783-98DD9A8401E9}"/>
    <hyperlink ref="CB1100" r:id="rId3769" xr:uid="{70200829-6A9B-4601-9D1A-6C672B3646FB}"/>
    <hyperlink ref="CD1100" r:id="rId3770" xr:uid="{7C581457-B390-4D11-AB44-BC177CEE55B5}"/>
    <hyperlink ref="O1101" r:id="rId3771" xr:uid="{46230B1C-492E-4F34-A751-C71C22F55924}"/>
    <hyperlink ref="S1101" r:id="rId3772" xr:uid="{9A08C1B9-3AD6-44A8-846F-CF7BF7BF8587}"/>
    <hyperlink ref="T1101" r:id="rId3773" xr:uid="{6942E508-6967-4412-9315-399D292646FA}"/>
    <hyperlink ref="CA1101" r:id="rId3774" xr:uid="{B77BD1BB-33AB-41D5-8933-BF7623229E1F}"/>
    <hyperlink ref="CB1101" r:id="rId3775" xr:uid="{49F80E83-721E-472D-BA55-AC0CD9CCAEF1}"/>
    <hyperlink ref="CD1101" r:id="rId3776" xr:uid="{D739DD93-D07F-4231-B269-574798B5F8C0}"/>
    <hyperlink ref="O1102" r:id="rId3777" xr:uid="{6C71F8EF-B01D-4000-BA36-051BBB860161}"/>
    <hyperlink ref="R1102" r:id="rId3778" xr:uid="{DC330FE9-3397-4853-902B-05DC095271EF}"/>
    <hyperlink ref="S1102" r:id="rId3779" xr:uid="{16682967-7936-4A6F-BCCF-A993B7FB6738}"/>
    <hyperlink ref="CA1102" r:id="rId3780" xr:uid="{4EB5F10C-B97A-4CA0-AFF8-937FB4A6327E}"/>
    <hyperlink ref="CD1102" r:id="rId3781" xr:uid="{8014100C-ED06-42F3-8899-C3A244258D11}"/>
    <hyperlink ref="O1103" r:id="rId3782" xr:uid="{5300227C-61E2-4137-93F0-11C9CB1229A5}"/>
    <hyperlink ref="S1103" r:id="rId3783" xr:uid="{4FFE9588-6878-4362-B943-16A10BF9190A}"/>
    <hyperlink ref="T1103" r:id="rId3784" xr:uid="{C9F56D9C-7F83-4659-82F7-B11334DF61D8}"/>
    <hyperlink ref="CA1103" r:id="rId3785" xr:uid="{3342FA08-250D-4CB1-B5D6-6A2AC8C9DFAF}"/>
    <hyperlink ref="CB1103" r:id="rId3786" xr:uid="{1CB53CF9-6B49-40E7-83D6-264E41D6E012}"/>
    <hyperlink ref="O1104" r:id="rId3787" xr:uid="{C793AD34-F89E-4CD3-AF82-C3E23AAC212B}"/>
    <hyperlink ref="S1104" r:id="rId3788" xr:uid="{9DA8AED9-5AA6-43BC-9792-9DB395D0E02B}"/>
    <hyperlink ref="T1104" r:id="rId3789" xr:uid="{2678C755-2F98-4A2E-A299-85283305A85C}"/>
    <hyperlink ref="CA1104" r:id="rId3790" xr:uid="{3B293F72-A46C-456F-966F-7BF616A69528}"/>
    <hyperlink ref="CB1104" r:id="rId3791" xr:uid="{CF2C4AAD-D0B4-4280-86F4-65E89752DC1D}"/>
    <hyperlink ref="CD1104" r:id="rId3792" xr:uid="{539E7127-7B2B-4A8B-95B0-895781DE77D4}"/>
    <hyperlink ref="O1105" r:id="rId3793" xr:uid="{60AA3D53-1465-43FE-9F84-7ADC7883220B}"/>
    <hyperlink ref="S1105" r:id="rId3794" xr:uid="{932B967A-5D7B-45BB-8C61-A7758441350A}"/>
    <hyperlink ref="CA1105" r:id="rId3795" xr:uid="{DD4F4B7F-7776-4296-B984-2F0ABEFA1979}"/>
    <hyperlink ref="O1106" r:id="rId3796" xr:uid="{331F1D3F-7847-484D-989E-0ECA8B4F1393}"/>
    <hyperlink ref="S1106" r:id="rId3797" xr:uid="{36B9710C-555B-411C-A744-3A8BB84BC489}"/>
    <hyperlink ref="T1106" r:id="rId3798" xr:uid="{9BF730FC-E709-4645-B313-A24137B4D40E}"/>
    <hyperlink ref="CA1106" r:id="rId3799" xr:uid="{A3316B54-139B-4315-91C3-2047B870E429}"/>
    <hyperlink ref="CB1106" r:id="rId3800" xr:uid="{982AACD4-EF08-4B45-A53A-B5245D206BF8}"/>
    <hyperlink ref="O1107" r:id="rId3801" xr:uid="{F8EA21A9-7D63-4F7C-9B48-2101B0544B1D}"/>
    <hyperlink ref="S1107" r:id="rId3802" xr:uid="{EAE5CEC3-6413-4D20-A527-7C1194FD4AB4}"/>
    <hyperlink ref="T1107" r:id="rId3803" xr:uid="{48BA1C61-AFB4-4494-8984-8AEDC1AA48E8}"/>
    <hyperlink ref="CA1107" r:id="rId3804" xr:uid="{B2E5B2EE-F6AC-49F4-A6D6-C972B37ADB09}"/>
    <hyperlink ref="CB1107" r:id="rId3805" xr:uid="{D297D3A1-C459-4CF3-A9DF-147B7D237021}"/>
    <hyperlink ref="O1108" r:id="rId3806" xr:uid="{41E5C747-2556-4EF4-A93B-18D810497A8C}"/>
    <hyperlink ref="S1108" r:id="rId3807" xr:uid="{18D9DE9B-DBEC-4C3D-9F43-3B82027A8BD9}"/>
    <hyperlink ref="T1108" r:id="rId3808" xr:uid="{85A43B00-A4BF-46D3-AE72-E454DAAB62DE}"/>
    <hyperlink ref="CA1108" r:id="rId3809" xr:uid="{B964841A-D15B-442E-8339-231A3929DB5E}"/>
    <hyperlink ref="CB1108" r:id="rId3810" xr:uid="{C48038DC-6840-4F44-80B4-935ECA78C927}"/>
    <hyperlink ref="CD1108" r:id="rId3811" xr:uid="{714EAB94-4F81-411A-A995-254F116EA0D4}"/>
    <hyperlink ref="O1109" r:id="rId3812" xr:uid="{4EC37249-C8CC-4C37-A87A-35EBCD0464A5}"/>
    <hyperlink ref="S1109" r:id="rId3813" xr:uid="{D935AF90-2512-41A5-ABEA-7F3D08647116}"/>
    <hyperlink ref="T1109" r:id="rId3814" xr:uid="{05D218CD-3BEC-4FA2-9542-CFFFB6A7AB6B}"/>
    <hyperlink ref="CA1109" r:id="rId3815" xr:uid="{3FBCDFD2-534B-42B7-9F1D-4F3820E72057}"/>
    <hyperlink ref="CB1109" r:id="rId3816" xr:uid="{3FEE4502-57DB-4BC5-9300-AC20B9D40FFA}"/>
    <hyperlink ref="CD1109" r:id="rId3817" xr:uid="{35D03974-86A8-4DDD-A4C3-EDCBF8A4CD65}"/>
    <hyperlink ref="O1110" r:id="rId3818" xr:uid="{26CF131C-651C-42E2-9368-9B43E056211A}"/>
    <hyperlink ref="S1110" r:id="rId3819" xr:uid="{4A0462D0-0AFF-4372-B7E0-8C8F0BD463F5}"/>
    <hyperlink ref="CA1110" r:id="rId3820" xr:uid="{F3528ECF-46F3-4BF6-91A1-8A818C99A141}"/>
    <hyperlink ref="CD1110" r:id="rId3821" xr:uid="{CDB86E6B-41E1-41C0-BA8D-43CE3BBAC7EA}"/>
    <hyperlink ref="O1111" r:id="rId3822" xr:uid="{40C220AD-AB8B-476C-B7CC-44FBC72F80A3}"/>
    <hyperlink ref="S1111" r:id="rId3823" xr:uid="{49B92556-08CF-4309-9B8E-F981482AC706}"/>
    <hyperlink ref="T1111" r:id="rId3824" xr:uid="{E330F8EA-3B41-4F0C-AB88-2E8BC9DCF436}"/>
    <hyperlink ref="CA1111" r:id="rId3825" xr:uid="{FE738387-D317-444F-AD6F-AA06658E321A}"/>
    <hyperlink ref="CB1111" r:id="rId3826" xr:uid="{8741EB6C-8692-4721-997E-350D940DF982}"/>
    <hyperlink ref="O1112" r:id="rId3827" xr:uid="{26723969-F65B-40D6-AC78-204E54DC402C}"/>
    <hyperlink ref="S1112" r:id="rId3828" xr:uid="{ACBB78C5-CF7C-4BDC-8485-B5FDB50CED38}"/>
    <hyperlink ref="T1112" r:id="rId3829" xr:uid="{2CA92AC9-4469-4C42-8C12-876E1DF51B9C}"/>
    <hyperlink ref="CA1112" r:id="rId3830" xr:uid="{5CF2BCA1-B0C1-4E2D-B3BD-0485A7214165}"/>
    <hyperlink ref="CB1112" r:id="rId3831" xr:uid="{8E5F976E-839F-42ED-9036-309F59D71641}"/>
    <hyperlink ref="CD1112" r:id="rId3832" xr:uid="{30BC6CEA-2BA3-4CA1-BB48-32C87956690A}"/>
    <hyperlink ref="O1113" r:id="rId3833" xr:uid="{81325C4E-0FAF-41F9-8862-121DDD67DEDD}"/>
    <hyperlink ref="S1113" r:id="rId3834" xr:uid="{3B276825-33B7-4575-A9AF-C829531273AE}"/>
    <hyperlink ref="T1113" r:id="rId3835" xr:uid="{5E3793E6-E6D0-42AC-A8FE-37BBF339D717}"/>
    <hyperlink ref="CA1113" r:id="rId3836" xr:uid="{3DE6C0DE-9570-4481-9A0C-A0B881BC5046}"/>
    <hyperlink ref="CB1113" r:id="rId3837" xr:uid="{C4B34904-EB91-43F2-9041-D4F4257531F0}"/>
    <hyperlink ref="O1114" r:id="rId3838" xr:uid="{1FFAD384-6440-436F-878A-3E881C879E1C}"/>
    <hyperlink ref="S1114" r:id="rId3839" xr:uid="{0FFE7610-F1C3-474C-A86D-AAC54FF4514F}"/>
    <hyperlink ref="CA1114" r:id="rId3840" xr:uid="{7BDCFB69-3993-4AD7-BEE7-6BF8862C5BB0}"/>
    <hyperlink ref="CD1114" r:id="rId3841" xr:uid="{BC7A87C9-6831-483D-98E1-8830E19E24DE}"/>
    <hyperlink ref="O1115" r:id="rId3842" xr:uid="{A4F4B865-9160-4248-8FB4-A3D08CB703CA}"/>
    <hyperlink ref="S1115" r:id="rId3843" xr:uid="{793E6F28-4611-4BBE-83A5-7F883C111208}"/>
    <hyperlink ref="T1115" r:id="rId3844" xr:uid="{5E6D9A54-B14D-48F3-BBCF-752109861B5A}"/>
    <hyperlink ref="CA1115" r:id="rId3845" xr:uid="{A7B9F7A2-1A8F-4E93-BD73-6C3FE6F9EC15}"/>
    <hyperlink ref="CB1115" r:id="rId3846" xr:uid="{66A5EBAB-A046-4347-B22D-B79AE2339964}"/>
    <hyperlink ref="O1116" r:id="rId3847" xr:uid="{8042FE1D-73A6-4B18-87ED-3A22BB2AE594}"/>
    <hyperlink ref="S1116" r:id="rId3848" xr:uid="{1461562A-E520-40C0-95E5-BA7DA272D599}"/>
    <hyperlink ref="T1116" r:id="rId3849" xr:uid="{646ABB56-39C8-4E38-A808-E616F6EC7DE7}"/>
    <hyperlink ref="CA1116" r:id="rId3850" xr:uid="{22CA15DE-EE29-4EEF-A5C7-965FEDAFAF41}"/>
    <hyperlink ref="CB1116" r:id="rId3851" xr:uid="{BDD30A97-A1FA-48D0-8962-1CC802B6753B}"/>
    <hyperlink ref="O1117" r:id="rId3852" xr:uid="{79A54240-C5CC-4662-9217-1C5AADD34453}"/>
    <hyperlink ref="CA1117" r:id="rId3853" xr:uid="{4D057C0F-BD8B-4F0C-B39B-372C47408A1A}"/>
    <hyperlink ref="CB1117" r:id="rId3854" xr:uid="{F686C7FE-0ACA-4A09-9137-F4B1B0ABC097}"/>
    <hyperlink ref="O1118" r:id="rId3855" xr:uid="{DA7B956B-583E-41F9-B7D1-AE0BAD5FDFFF}"/>
    <hyperlink ref="S1118" r:id="rId3856" xr:uid="{362E1BBC-C616-4FDE-87DA-AA64B31F6DD0}"/>
    <hyperlink ref="CA1118" r:id="rId3857" xr:uid="{1BF2A1BD-59B5-4012-854D-29C8D325434A}"/>
    <hyperlink ref="CB1118" r:id="rId3858" xr:uid="{AD51713A-9F83-4449-B9F0-290A5508B5DD}"/>
    <hyperlink ref="CD1118" r:id="rId3859" xr:uid="{DCD0A7DF-00DD-4511-B937-30B640370184}"/>
    <hyperlink ref="O1119" r:id="rId3860" xr:uid="{54613AB3-E718-45A3-BB21-8B8C9F0DC47C}"/>
    <hyperlink ref="CA1119" r:id="rId3861" xr:uid="{85D26E00-984C-4648-AD81-BC7331CCB75C}"/>
    <hyperlink ref="CB1119" r:id="rId3862" xr:uid="{C5FD7216-2B43-48A6-9A10-541309C6FA11}"/>
    <hyperlink ref="O1120" r:id="rId3863" xr:uid="{3B23FCE4-FC25-4182-B3E7-4AB8954380F5}"/>
    <hyperlink ref="S1120" r:id="rId3864" xr:uid="{4FB63EE0-85C8-4C84-8829-BEBDFB7D89CA}"/>
    <hyperlink ref="CA1120" r:id="rId3865" xr:uid="{20EA72FC-83D4-4CBB-BE1C-7D2302B7D1F8}"/>
    <hyperlink ref="CB1120" r:id="rId3866" xr:uid="{4EB9703C-80F1-4CA4-A912-136332D0EF0A}"/>
    <hyperlink ref="CD1120" r:id="rId3867" xr:uid="{F8854995-4FB4-4B87-B44C-95ED792BAB67}"/>
    <hyperlink ref="O1121" r:id="rId3868" xr:uid="{72D44156-B476-4EA1-AA6A-86BE0533FE7A}"/>
    <hyperlink ref="CA1121" r:id="rId3869" xr:uid="{5E6FB949-1700-4F88-A96A-197A4D7254D6}"/>
    <hyperlink ref="CB1121" r:id="rId3870" xr:uid="{22C62187-464D-4FD4-BDFB-6F8C001C2C53}"/>
    <hyperlink ref="O1122" r:id="rId3871" xr:uid="{0424A9FC-4F26-4D97-9DE8-CC03947AAD9A}"/>
    <hyperlink ref="CA1122" r:id="rId3872" xr:uid="{952FF2D7-7873-4138-9181-E647F75EDC70}"/>
    <hyperlink ref="CB1122" r:id="rId3873" xr:uid="{B4142C42-BB0F-4EF8-A25A-3C86838680CA}"/>
    <hyperlink ref="O1123" r:id="rId3874" xr:uid="{ECAE17A5-279B-448A-AE29-B2C831869746}"/>
    <hyperlink ref="S1123" r:id="rId3875" xr:uid="{1D7FFCF8-B95F-46F0-B2E9-FC691086FB11}"/>
    <hyperlink ref="T1123" r:id="rId3876" xr:uid="{46AAD588-678F-49AA-A64A-5A4A64C8A590}"/>
    <hyperlink ref="CA1123" r:id="rId3877" xr:uid="{933AF466-5F5B-4FE3-A902-127A3CC721B6}"/>
    <hyperlink ref="CB1123" r:id="rId3878" xr:uid="{A83121FB-A524-40FB-AE50-AF5A7FC4BE5E}"/>
    <hyperlink ref="CD1123" r:id="rId3879" xr:uid="{777EC84A-FA87-44DE-8A21-57426AEC3D95}"/>
    <hyperlink ref="O1124" r:id="rId3880" xr:uid="{C9EB3280-01BB-4427-9B1A-8EBE47B7E07C}"/>
    <hyperlink ref="S1124" r:id="rId3881" xr:uid="{8CB5CC1D-2F9F-4DCD-9187-DE26BBEDE609}"/>
    <hyperlink ref="T1124" r:id="rId3882" xr:uid="{C948377E-CE0B-42F9-874F-FB269DCC896B}"/>
    <hyperlink ref="BX1124" r:id="rId3883" xr:uid="{93B42130-414A-4002-AAFB-7246994C2F22}"/>
    <hyperlink ref="CA1124" r:id="rId3884" xr:uid="{40EC44F1-7EB8-4AE7-A87A-A2F9A528448A}"/>
    <hyperlink ref="CB1124" r:id="rId3885" xr:uid="{F0907B66-22C8-4159-B459-33D7F9E40637}"/>
    <hyperlink ref="CD1124" r:id="rId3886" xr:uid="{601708A6-6A08-42FC-B667-D7F6D7C60089}"/>
    <hyperlink ref="O1125" r:id="rId3887" xr:uid="{A0D8ABC3-0319-4AB1-B57B-6127DFBD822F}"/>
    <hyperlink ref="S1125" r:id="rId3888" xr:uid="{5F9E7F30-D65F-4524-A5E8-B2696F824353}"/>
    <hyperlink ref="T1125" r:id="rId3889" xr:uid="{398DE9C5-7CC0-4FCA-BD78-1945ACFC5FB9}"/>
    <hyperlink ref="CA1125" r:id="rId3890" xr:uid="{F12C29E3-1370-495F-B56A-304EA1707A16}"/>
    <hyperlink ref="CB1125" r:id="rId3891" xr:uid="{30445F64-7983-49CA-994F-024568047EA1}"/>
    <hyperlink ref="CD1125" r:id="rId3892" xr:uid="{24F780D4-3EBE-4AB7-BCCC-BD0ADA811BBB}"/>
    <hyperlink ref="O1126" r:id="rId3893" xr:uid="{C8D1AD3B-556D-4443-9508-3152574F3188}"/>
    <hyperlink ref="S1126" r:id="rId3894" xr:uid="{822F5CD3-9BD0-48C0-9D33-D71E0BA8940A}"/>
    <hyperlink ref="T1126" r:id="rId3895" xr:uid="{B027D9BF-B272-4052-BD3A-A55F8B7DB76C}"/>
    <hyperlink ref="CA1126" r:id="rId3896" xr:uid="{0C2A500D-1E0A-4E86-A6C5-17662FC2E7D5}"/>
    <hyperlink ref="CB1126" r:id="rId3897" xr:uid="{FE11D945-2C97-4F6E-BF27-3C913A72240A}"/>
    <hyperlink ref="CD1126" r:id="rId3898" xr:uid="{899D324D-D958-4E12-8643-7285ED7C6DD5}"/>
    <hyperlink ref="O1127" r:id="rId3899" xr:uid="{6493E53A-6984-48BB-ABE8-839514FC41E4}"/>
    <hyperlink ref="R1127" r:id="rId3900" xr:uid="{62784B3E-8264-4235-9758-2B5090E10CCB}"/>
    <hyperlink ref="S1127" r:id="rId3901" xr:uid="{3A84E3CB-043E-4E01-96D4-2D5C35308F11}"/>
    <hyperlink ref="CA1127" r:id="rId3902" xr:uid="{6B153749-27AE-4097-8F02-C5029C27B35C}"/>
    <hyperlink ref="CD1127" r:id="rId3903" xr:uid="{C4347F31-46A4-4A70-B3FC-D6055E8E6E44}"/>
    <hyperlink ref="O1128" r:id="rId3904" xr:uid="{201ABAAB-3196-4E47-85DC-93999CFA5FAB}"/>
    <hyperlink ref="S1128" r:id="rId3905" xr:uid="{66CE710E-56CC-4653-9E07-5884CFD69684}"/>
    <hyperlink ref="CA1128" r:id="rId3906" xr:uid="{99157968-A48B-47F8-93B8-247A178AF603}"/>
    <hyperlink ref="O1129" r:id="rId3907" xr:uid="{B180F0A9-AB8A-4C33-BDC2-1630175518EA}"/>
    <hyperlink ref="S1129" r:id="rId3908" xr:uid="{2A52B33F-183D-4D7E-884F-C1DE74A4A6D5}"/>
    <hyperlink ref="CA1129" r:id="rId3909" xr:uid="{D86BB3D5-1F51-4A06-9D78-6709DDBDB381}"/>
    <hyperlink ref="O1130" r:id="rId3910" xr:uid="{1C819756-87C1-439C-B1B1-BD73CA9B9AEA}"/>
    <hyperlink ref="S1130" r:id="rId3911" xr:uid="{2D096761-F38C-4CB5-BB68-E92B955C2F87}"/>
    <hyperlink ref="CA1130" r:id="rId3912" xr:uid="{54F63932-79E8-4DE4-B6FE-08504B7D73BC}"/>
    <hyperlink ref="O1131" r:id="rId3913" xr:uid="{58ABFB66-A640-422F-BC55-3508B386F0BB}"/>
    <hyperlink ref="S1131" r:id="rId3914" xr:uid="{257A11C4-1761-4C2B-9EB4-B036EB0EA6BF}"/>
    <hyperlink ref="CA1131" r:id="rId3915" xr:uid="{38960B61-DEAF-48C0-A6DA-F0AC3790A9EA}"/>
    <hyperlink ref="O1132" r:id="rId3916" xr:uid="{DD50626A-1F11-432E-811D-FC25AD76B9B4}"/>
    <hyperlink ref="S1132" r:id="rId3917" xr:uid="{FEA88DA3-99D6-4DFA-91A0-8638A18811D8}"/>
    <hyperlink ref="CA1132" r:id="rId3918" xr:uid="{FA4F8BFD-E52A-4296-B274-F039068F312D}"/>
    <hyperlink ref="O1133" r:id="rId3919" xr:uid="{6DE578F7-09A8-48A5-8884-D23481441BA9}"/>
    <hyperlink ref="S1133" r:id="rId3920" xr:uid="{89CADECC-7C73-4E1E-A505-04A82EAFA030}"/>
    <hyperlink ref="T1133" r:id="rId3921" xr:uid="{C57EDEE1-EC4E-42D2-8FB8-1177E8A0EF33}"/>
    <hyperlink ref="CA1133" r:id="rId3922" xr:uid="{B9BBAC93-CB0D-4B61-9AF4-16CE2C108945}"/>
    <hyperlink ref="CB1133" r:id="rId3923" xr:uid="{9BE96A44-5956-4489-B109-DCD2377B4FD0}"/>
    <hyperlink ref="CD1133" r:id="rId3924" xr:uid="{91E00CE5-F350-4362-B5C0-C15553F88898}"/>
    <hyperlink ref="O1134" r:id="rId3925" xr:uid="{B258009A-DB75-49C0-BF0F-3699E73F153E}"/>
    <hyperlink ref="S1134" r:id="rId3926" xr:uid="{AF7A454C-FA96-4E1A-806E-AD1DC1677DE1}"/>
    <hyperlink ref="T1134" r:id="rId3927" xr:uid="{D488D687-9D79-4AB7-87C0-8BEBF42F2CA4}"/>
    <hyperlink ref="CA1134" r:id="rId3928" xr:uid="{DFFA4EC5-8939-4850-B7F7-E8AE980C0AB8}"/>
    <hyperlink ref="CB1134" r:id="rId3929" xr:uid="{6D89605B-18CC-453A-A19D-C7343D85CD32}"/>
    <hyperlink ref="CD1134" r:id="rId3930" xr:uid="{083B9D65-E348-4F8E-9788-87BDF3A3DEC9}"/>
    <hyperlink ref="O1135" r:id="rId3931" xr:uid="{DBAB7C58-99BC-4A9A-8404-932135FD26F4}"/>
    <hyperlink ref="S1135" r:id="rId3932" xr:uid="{85096BFE-22C6-43F7-BB56-ADABFD583575}"/>
    <hyperlink ref="CA1135" r:id="rId3933" xr:uid="{99C9C231-F122-420A-987A-42DE8D5471EF}"/>
    <hyperlink ref="CD1135" r:id="rId3934" xr:uid="{0ABE5CD1-F5ED-4060-803E-2FBFC5EE23B8}"/>
    <hyperlink ref="O1136" r:id="rId3935" xr:uid="{0588E094-7D99-49EA-9B87-1BBDA9198A4E}"/>
    <hyperlink ref="S1136" r:id="rId3936" xr:uid="{2EE09CCD-3BA0-4BD8-91BD-F9B57A8B36B9}"/>
    <hyperlink ref="CA1136" r:id="rId3937" xr:uid="{A4F05BD2-FEEF-4C3D-BD45-3F162CD05ED7}"/>
    <hyperlink ref="O1137" r:id="rId3938" xr:uid="{5A1E21FF-FB36-4854-A416-6D0F0304CEE7}"/>
    <hyperlink ref="S1137" r:id="rId3939" xr:uid="{000E0AE8-0379-40A0-8B52-669EAFAEC2D8}"/>
    <hyperlink ref="T1137" r:id="rId3940" xr:uid="{450C4D2B-3EDD-484A-AD0D-2CF50C9D7FD4}"/>
    <hyperlink ref="CA1137" r:id="rId3941" xr:uid="{F4526E8B-CEAF-4C07-ADD1-3BE589B8B4FE}"/>
    <hyperlink ref="CB1137" r:id="rId3942" xr:uid="{64C2F979-0F35-4F46-95BD-0BB39D50C0EF}"/>
    <hyperlink ref="CD1137" r:id="rId3943" xr:uid="{AB9FB3E6-385F-415E-9A32-D54900A839A7}"/>
    <hyperlink ref="O1138" r:id="rId3944" xr:uid="{1C5CA871-F5A4-4306-9A43-1181BC9D378C}"/>
    <hyperlink ref="S1138" r:id="rId3945" xr:uid="{2349CE63-FD17-4DE7-B4A0-02923DE6A87C}"/>
    <hyperlink ref="CA1138" r:id="rId3946" xr:uid="{AAFF3E04-982C-4352-B7A8-0F2552CDB15C}"/>
    <hyperlink ref="O1139" r:id="rId3947" xr:uid="{0E16F2D3-A49E-4671-86F1-2631ADA82293}"/>
    <hyperlink ref="S1139" r:id="rId3948" xr:uid="{7F582729-9A7B-4B42-BCE8-372EC75A1CB7}"/>
    <hyperlink ref="CA1139" r:id="rId3949" xr:uid="{03A8753F-AFB8-47D8-A483-073C0F5C6328}"/>
    <hyperlink ref="O1140" r:id="rId3950" xr:uid="{FD5837B0-8A6A-4CFD-8C09-164503FAC5CF}"/>
    <hyperlink ref="S1140" r:id="rId3951" xr:uid="{5B3D5FFD-F4CB-4E35-9FDC-E2859CA8E921}"/>
    <hyperlink ref="CA1140" r:id="rId3952" xr:uid="{77E05F99-EB68-4E27-9EB9-18B8CB7D224B}"/>
    <hyperlink ref="O1141" r:id="rId3953" xr:uid="{4068D52B-4208-4556-9CAE-D29A30F46C89}"/>
    <hyperlink ref="S1141" r:id="rId3954" xr:uid="{79F21CA3-BA28-4102-969C-A5E5CAE8B7E1}"/>
    <hyperlink ref="CA1141" r:id="rId3955" xr:uid="{BDF9478F-1CD6-4416-82C9-2BA970C7BB0F}"/>
    <hyperlink ref="O1142" r:id="rId3956" xr:uid="{7B313E05-D4D4-4F4D-9988-9C47F9F4595D}"/>
    <hyperlink ref="S1142" r:id="rId3957" xr:uid="{331EE54A-3AB6-4A36-8801-EBA399A055ED}"/>
    <hyperlink ref="CA1142" r:id="rId3958" xr:uid="{302A0B92-9827-4E53-9467-EFA49144FB01}"/>
    <hyperlink ref="O1143" r:id="rId3959" xr:uid="{C2ECD1D3-6798-4968-A590-253A24E1A9D6}"/>
    <hyperlink ref="S1143" r:id="rId3960" xr:uid="{E52470E9-E338-4C36-B8A3-D4CF2887105F}"/>
    <hyperlink ref="CA1143" r:id="rId3961" xr:uid="{BA738917-3C0D-4F54-A74C-9B9D71BFFE11}"/>
    <hyperlink ref="O1144" r:id="rId3962" xr:uid="{896A2A95-5435-4AC7-A506-D6E993D80BC4}"/>
    <hyperlink ref="S1144" r:id="rId3963" xr:uid="{37F3ECA8-B934-44B7-9433-46C39F27F713}"/>
    <hyperlink ref="CA1144" r:id="rId3964" xr:uid="{2AFF9DCA-630F-4E2D-9300-DC136478B2C0}"/>
    <hyperlink ref="O1145" r:id="rId3965" xr:uid="{CBE4A02A-DA44-4FF9-BD32-5F6BD9321C5F}"/>
    <hyperlink ref="S1145" r:id="rId3966" xr:uid="{DF27BA17-699C-4DCE-9E9B-741EE242793E}"/>
    <hyperlink ref="CA1145" r:id="rId3967" xr:uid="{8D2F5900-E64A-49E5-AC22-E4E3968A732B}"/>
    <hyperlink ref="O1146" r:id="rId3968" xr:uid="{7829D707-4905-43F1-B4F8-0BED61B69C66}"/>
    <hyperlink ref="S1146" r:id="rId3969" xr:uid="{4F176E12-0246-4F5D-AC96-E1F081128FE4}"/>
    <hyperlink ref="CA1146" r:id="rId3970" xr:uid="{A3F530D7-25CA-4E9E-9BD9-3EF6AA8ECE7F}"/>
    <hyperlink ref="O1147" r:id="rId3971" xr:uid="{EC3E2085-2C3C-4698-88E8-627D9B76F89B}"/>
    <hyperlink ref="S1147" r:id="rId3972" xr:uid="{7473989B-B439-4935-B5B3-127AF3C3711C}"/>
    <hyperlink ref="CA1147" r:id="rId3973" xr:uid="{2647498E-A903-45DA-920E-8B506B3F37C7}"/>
    <hyperlink ref="O1148" r:id="rId3974" xr:uid="{B80273CF-6718-4958-9F20-BE79CD37638C}"/>
    <hyperlink ref="S1148" r:id="rId3975" xr:uid="{C5298D4B-494A-4B74-A3F7-89A618DB61DD}"/>
    <hyperlink ref="CA1148" r:id="rId3976" xr:uid="{3100ADE2-863A-41E7-BE2A-9BC8F2BA4750}"/>
    <hyperlink ref="O1149" r:id="rId3977" xr:uid="{D5746FE7-E355-4EF9-8C84-0AF9ABB96644}"/>
    <hyperlink ref="S1149" r:id="rId3978" xr:uid="{DF843EF3-A7DC-4116-96DD-E17418760BD1}"/>
    <hyperlink ref="CA1149" r:id="rId3979" xr:uid="{DA9529A8-649F-4FB1-9C6C-3618FE595F69}"/>
    <hyperlink ref="O1150" r:id="rId3980" xr:uid="{DD60978C-A969-4A6E-8BF2-305109ABA690}"/>
    <hyperlink ref="S1150" r:id="rId3981" xr:uid="{E38ABD60-3891-4620-8052-75037B0764A4}"/>
    <hyperlink ref="CA1150" r:id="rId3982" xr:uid="{C4CD94FB-F95A-48A0-BD59-66E61ABD1B00}"/>
    <hyperlink ref="O1151" r:id="rId3983" xr:uid="{AE74D9E3-55AB-4584-9609-DB314277F1B3}"/>
    <hyperlink ref="S1151" r:id="rId3984" xr:uid="{45D0FBC2-D85A-4180-9264-6EC329EB48BF}"/>
    <hyperlink ref="CA1151" r:id="rId3985" xr:uid="{0A3ACA23-B70A-4981-80D0-08F7582D2F2C}"/>
    <hyperlink ref="O1152" r:id="rId3986" xr:uid="{66964F40-0A04-4FC1-AFD5-91D6F37E9DFA}"/>
    <hyperlink ref="S1152" r:id="rId3987" xr:uid="{FA2C7677-5448-49F9-BA7E-A7CF5610DAB7}"/>
    <hyperlink ref="CA1152" r:id="rId3988" xr:uid="{DEE990F1-6D96-4658-B734-DE3DED63D056}"/>
    <hyperlink ref="O1153" r:id="rId3989" xr:uid="{9B20AA0B-47F3-41B3-8804-C58036E8D5EE}"/>
    <hyperlink ref="R1153" r:id="rId3990" xr:uid="{FE4B0CC3-3A24-49AC-B13A-E5754AF787B6}"/>
    <hyperlink ref="S1153" r:id="rId3991" xr:uid="{D6EB3C8F-A66A-485E-B0B7-AF59A14B54DF}"/>
    <hyperlink ref="CA1153" r:id="rId3992" xr:uid="{93A81ED7-0360-4E14-A035-EAB01A5CEF83}"/>
    <hyperlink ref="CD1153" r:id="rId3993" xr:uid="{927B8D99-2E4D-4C2F-9584-15612EF8DE07}"/>
    <hyperlink ref="O1154" r:id="rId3994" xr:uid="{8B9A17A3-89EB-49D1-A20B-E7F0454C7F5B}"/>
    <hyperlink ref="S1154" r:id="rId3995" xr:uid="{0FF19F0C-BD98-4541-B1AB-FDC6AB4B4717}"/>
    <hyperlink ref="CA1154" r:id="rId3996" xr:uid="{F970F0BF-AFE9-4DA9-93E8-323A182116CA}"/>
    <hyperlink ref="O1155" r:id="rId3997" xr:uid="{615F89E0-6BCD-4CFB-999C-DC36CB376978}"/>
    <hyperlink ref="S1155" r:id="rId3998" xr:uid="{48233BC6-FF15-4E3C-91E3-B46155020A3C}"/>
    <hyperlink ref="CA1155" r:id="rId3999" xr:uid="{2B6391E3-7BBB-4ACA-BE10-E2E283CF80BA}"/>
    <hyperlink ref="O1156" r:id="rId4000" xr:uid="{B6BAED69-FBBC-4A0A-9D1D-A405822D9E65}"/>
    <hyperlink ref="S1156" r:id="rId4001" xr:uid="{CEB18B04-D41A-4B00-BB34-9DC57BB47C24}"/>
    <hyperlink ref="CA1156" r:id="rId4002" xr:uid="{90D4576F-D494-4B5D-89A5-706949F6208C}"/>
    <hyperlink ref="O1157" r:id="rId4003" xr:uid="{D51B403A-4080-4C9E-9E33-E0135907E8FF}"/>
    <hyperlink ref="R1157" r:id="rId4004" xr:uid="{BCD0D0BB-976C-4217-81CD-A4EDEF7B0D28}"/>
    <hyperlink ref="S1157" r:id="rId4005" xr:uid="{3A8B87C8-15C4-4F92-911D-051E9CF575E4}"/>
    <hyperlink ref="CA1157" r:id="rId4006" xr:uid="{9578F823-3103-4083-8057-7E4D4BEDA979}"/>
    <hyperlink ref="CD1157" r:id="rId4007" xr:uid="{C9A563B0-43CD-41EE-B9CE-5EF4A7ED6979}"/>
    <hyperlink ref="O1158" r:id="rId4008" xr:uid="{658E9015-495C-48FE-9459-16B2A1AD3676}"/>
    <hyperlink ref="S1158" r:id="rId4009" xr:uid="{69FBB874-5C1B-4F50-B865-B37F2AEB320A}"/>
    <hyperlink ref="T1158" r:id="rId4010" xr:uid="{D9B374F2-3E90-4AA7-8058-4AE650FC6973}"/>
    <hyperlink ref="CA1158" r:id="rId4011" xr:uid="{136F20E9-2ADC-420A-A25B-0D1C148B32D4}"/>
    <hyperlink ref="CB1158" r:id="rId4012" xr:uid="{2CADFD78-6A91-4DCF-9A17-752B7FED3887}"/>
    <hyperlink ref="CD1158" r:id="rId4013" xr:uid="{034BCEC9-BC80-4BEA-AF01-2A00CBB3B83E}"/>
    <hyperlink ref="O1159" r:id="rId4014" xr:uid="{F02432F3-FF9D-4D4F-900B-E0CD8C60E336}"/>
    <hyperlink ref="S1159" r:id="rId4015" xr:uid="{1CC58B38-EFE4-4536-A63C-303510888BA9}"/>
    <hyperlink ref="CA1159" r:id="rId4016" xr:uid="{7EEA9A35-14FB-4E43-8DA7-747A90998F9A}"/>
    <hyperlink ref="CD1159" r:id="rId4017" xr:uid="{BE2D215A-3EBC-4003-BC18-F3D8E3A465FB}"/>
    <hyperlink ref="O1160" r:id="rId4018" xr:uid="{E3AFC85B-C712-4EC8-AA8B-48949A45CC24}"/>
    <hyperlink ref="S1160" r:id="rId4019" xr:uid="{D008FCD5-D09A-4FC8-925C-6B91A6C765C0}"/>
    <hyperlink ref="CA1160" r:id="rId4020" xr:uid="{58C73459-656B-495A-83B6-09D9E6A49E38}"/>
    <hyperlink ref="CD1160" r:id="rId4021" xr:uid="{674D651F-1188-4C3E-8AA9-E21F5D87CAFE}"/>
    <hyperlink ref="O1161" r:id="rId4022" xr:uid="{1D732E50-3D0E-4A71-BDD8-EE80F1623385}"/>
    <hyperlink ref="S1161" r:id="rId4023" xr:uid="{37522E33-DB0B-4BEC-B576-4BBE9823C501}"/>
    <hyperlink ref="CA1161" r:id="rId4024" xr:uid="{8DECE12C-B01A-426F-8967-6FF2E5D54543}"/>
    <hyperlink ref="CD1161" r:id="rId4025" xr:uid="{D48206E2-1098-4BD9-A77A-FD225628CBEB}"/>
    <hyperlink ref="O1162" r:id="rId4026" xr:uid="{BB2E39BE-C84D-482F-8B51-9F2E976BF4F5}"/>
    <hyperlink ref="S1162" r:id="rId4027" xr:uid="{6F541F65-62C8-4C78-A72A-E184C68E42D6}"/>
    <hyperlink ref="T1162" r:id="rId4028" xr:uid="{C31863F3-3135-43E5-BD2B-53B13DD1877B}"/>
    <hyperlink ref="CA1162" r:id="rId4029" xr:uid="{651A3C6D-15EB-4FC9-B5F6-B2BDA5790115}"/>
    <hyperlink ref="CB1162" r:id="rId4030" xr:uid="{378E320A-DE6D-42BE-8DAA-09EE4729D1AA}"/>
    <hyperlink ref="O1163" r:id="rId4031" xr:uid="{C911F98E-2521-432F-BC22-5C27514DA0F0}"/>
    <hyperlink ref="S1163" r:id="rId4032" xr:uid="{BE6F1DC5-0F26-4C0A-AC90-BBA502BEB4FF}"/>
    <hyperlink ref="T1163" r:id="rId4033" xr:uid="{68BA1F7B-9D12-46D1-B68E-7775EFAACD6C}"/>
    <hyperlink ref="CA1163" r:id="rId4034" xr:uid="{5D06D216-C0D0-4DEC-ADC6-EE5CE53E0C9C}"/>
    <hyperlink ref="CB1163" r:id="rId4035" xr:uid="{A6DC63C6-256E-44C1-8208-D63322580F9B}"/>
    <hyperlink ref="CD1163" r:id="rId4036" xr:uid="{3B58C2E4-64DA-40A9-89D0-1DA72A70B194}"/>
    <hyperlink ref="O1164" r:id="rId4037" xr:uid="{C9D8CBAE-5D65-44B0-A8DF-AFB58AD62FE6}"/>
    <hyperlink ref="S1164" r:id="rId4038" xr:uid="{C5361C33-ECA1-4143-B9F5-B5F223569CB8}"/>
    <hyperlink ref="T1164" r:id="rId4039" xr:uid="{F0192236-016E-4991-BDA8-635328ECF910}"/>
    <hyperlink ref="CA1164" r:id="rId4040" xr:uid="{B7A96FA9-B3AC-4220-84D4-2B178251BB5D}"/>
    <hyperlink ref="CB1164" r:id="rId4041" xr:uid="{426D3BDF-F5EF-44F5-98E0-2287EB0B040D}"/>
    <hyperlink ref="CD1164" r:id="rId4042" xr:uid="{0204E664-0D62-436A-976C-5A19A7D036F7}"/>
    <hyperlink ref="O1165" r:id="rId4043" xr:uid="{7CFADFD3-406E-4648-B690-243C9F91CD72}"/>
    <hyperlink ref="S1165" r:id="rId4044" xr:uid="{F81EB105-7892-4609-AB25-0E623C45C43E}"/>
    <hyperlink ref="T1165" r:id="rId4045" xr:uid="{D42C26CB-BD9E-4F98-9721-181422D17686}"/>
    <hyperlink ref="CA1165" r:id="rId4046" xr:uid="{CDB3B09A-9B94-4FB6-B2F8-C2A38B42514C}"/>
    <hyperlink ref="CB1165" r:id="rId4047" xr:uid="{B09264B0-44E9-42D3-9B4E-FBE523B10F47}"/>
    <hyperlink ref="CD1165" r:id="rId4048" xr:uid="{ABC2C6E5-3B9F-40A6-B079-5E10BE3AE71F}"/>
    <hyperlink ref="O1166" r:id="rId4049" xr:uid="{D5AA90A2-13B3-4E37-868F-FD8E0CA6245F}"/>
    <hyperlink ref="S1166" r:id="rId4050" xr:uid="{4DAD0810-B002-4C6E-B27E-55E03375817A}"/>
    <hyperlink ref="T1166" r:id="rId4051" xr:uid="{0FBDC670-F978-4AF5-A61F-060A2D52F10C}"/>
    <hyperlink ref="CA1166" r:id="rId4052" xr:uid="{898346D3-A696-4BD2-AE12-DB3D89447A41}"/>
    <hyperlink ref="CB1166" r:id="rId4053" xr:uid="{78D7358D-E958-4D35-80AA-FCBD20B0E19F}"/>
    <hyperlink ref="CD1166" r:id="rId4054" xr:uid="{0FB478C1-7DC5-4215-B7FC-171918588820}"/>
    <hyperlink ref="O1167" r:id="rId4055" xr:uid="{E503C1CB-6A78-473B-9D0E-1B209D8DACAB}"/>
    <hyperlink ref="S1167" r:id="rId4056" xr:uid="{5B227775-1A56-42ED-93D3-E64C97658D2C}"/>
    <hyperlink ref="T1167" r:id="rId4057" xr:uid="{212FA471-4CD3-4B68-A0A8-5E2FD7A6CF4B}"/>
    <hyperlink ref="CA1167" r:id="rId4058" xr:uid="{2E0C983A-7006-441C-B9DB-01201633C43E}"/>
    <hyperlink ref="CB1167" r:id="rId4059" xr:uid="{F86C9E05-FE62-47EE-AFD1-4AFF517787F8}"/>
    <hyperlink ref="O1168" r:id="rId4060" xr:uid="{C232B6AF-97F2-4C76-BEAB-4A47DE48B762}"/>
    <hyperlink ref="S1168" r:id="rId4061" xr:uid="{B7BFED8A-0867-405A-BEB8-1E6A058FC6BD}"/>
    <hyperlink ref="T1168" r:id="rId4062" xr:uid="{546F5326-A053-485C-B8FD-1CB223003740}"/>
    <hyperlink ref="BX1168" r:id="rId4063" xr:uid="{FF0624B5-B338-4EF2-B85B-37FAC36C6C16}"/>
    <hyperlink ref="CA1168" r:id="rId4064" xr:uid="{70D078FD-5F32-4E3C-BBCD-9D339D96777E}"/>
    <hyperlink ref="CB1168" r:id="rId4065" xr:uid="{7B072E3A-CF92-4436-9A25-59B124F5DA04}"/>
    <hyperlink ref="CD1168" r:id="rId4066" xr:uid="{7FB24D6D-C439-429B-AC55-FD6ABDD182A2}"/>
    <hyperlink ref="O1169" r:id="rId4067" xr:uid="{E3A83478-7D6D-42CB-BED8-10B39B62AF01}"/>
    <hyperlink ref="S1169" r:id="rId4068" xr:uid="{C1F4DC11-846B-43DF-8F44-CFC7501C9F1F}"/>
    <hyperlink ref="T1169" r:id="rId4069" xr:uid="{4DC6DADC-0AE2-40C8-A726-A3703F4FE5A7}"/>
    <hyperlink ref="CA1169" r:id="rId4070" xr:uid="{F4F4B7C4-1248-4671-B28D-3B1DE0A23610}"/>
    <hyperlink ref="CB1169" r:id="rId4071" xr:uid="{43230ABE-DC73-4F1C-8B5C-392736C0D571}"/>
    <hyperlink ref="CD1169" r:id="rId4072" xr:uid="{840B7F72-BDFB-4152-BFB6-8A743ECD171B}"/>
    <hyperlink ref="O1170" r:id="rId4073" xr:uid="{8DBDE988-E623-4868-B9AA-1EDE969A3435}"/>
    <hyperlink ref="S1170" r:id="rId4074" xr:uid="{AB6210CB-DDA4-456C-BFE3-269C20E781EA}"/>
    <hyperlink ref="T1170" r:id="rId4075" xr:uid="{F835971F-650B-42EA-9F91-379487EE252B}"/>
    <hyperlink ref="BX1170" r:id="rId4076" xr:uid="{AA4A0362-2D46-434F-AFCE-BAB15FB1EA25}"/>
    <hyperlink ref="CA1170" r:id="rId4077" xr:uid="{491E5F0B-C859-4E27-8ACD-3CEAD38B61EA}"/>
    <hyperlink ref="CB1170" r:id="rId4078" xr:uid="{2DC03764-C97C-478C-98FD-10624D9D148C}"/>
    <hyperlink ref="CD1170" r:id="rId4079" xr:uid="{17195509-50FB-458C-889A-D902F6D3D1D8}"/>
    <hyperlink ref="O1171" r:id="rId4080" xr:uid="{C4C40FEE-EDB4-4401-B92B-DC401E2289F9}"/>
    <hyperlink ref="S1171" r:id="rId4081" xr:uid="{E458A45C-2217-4903-8DD1-B921B01A9584}"/>
    <hyperlink ref="T1171" r:id="rId4082" xr:uid="{2549C0D7-4BA0-4CD5-8ABA-604BC58FC4BF}"/>
    <hyperlink ref="CA1171" r:id="rId4083" xr:uid="{DD0409BF-2DB1-4466-A271-591814E6266A}"/>
    <hyperlink ref="CB1171" r:id="rId4084" xr:uid="{D8AEBCF3-E556-42A5-A3C8-44046339CDCE}"/>
    <hyperlink ref="CD1171" r:id="rId4085" xr:uid="{D2CE4A76-DBB3-43A2-BCA1-30ADF88317B6}"/>
    <hyperlink ref="O1172" r:id="rId4086" xr:uid="{1D4C1EED-EEB3-479C-BE1E-8B4B86BC035F}"/>
    <hyperlink ref="S1172" r:id="rId4087" xr:uid="{277EF8CF-C4B8-477E-88BF-DE5326466BCC}"/>
    <hyperlink ref="T1172" r:id="rId4088" xr:uid="{04FBA201-0025-4945-AE36-91F8C573C490}"/>
    <hyperlink ref="CA1172" r:id="rId4089" xr:uid="{BFE78B8C-B5B4-4452-9D0F-1D710461F0E3}"/>
    <hyperlink ref="CB1172" r:id="rId4090" xr:uid="{5B04BEA7-921F-4791-9649-7762DF783337}"/>
    <hyperlink ref="O1173" r:id="rId4091" xr:uid="{86621685-F2A9-47B3-BD4B-0B4C8AE70A53}"/>
    <hyperlink ref="S1173" r:id="rId4092" xr:uid="{8021C2F3-DC3A-4710-A69F-E3F691A907A5}"/>
    <hyperlink ref="T1173" r:id="rId4093" xr:uid="{A437E52F-A067-499A-A950-B442BAFE6745}"/>
    <hyperlink ref="CA1173" r:id="rId4094" xr:uid="{0109B284-7B25-45F3-8557-AECFE8CC84FA}"/>
    <hyperlink ref="CB1173" r:id="rId4095" xr:uid="{B6688946-F282-40FD-9D12-434773737348}"/>
    <hyperlink ref="O1174" r:id="rId4096" xr:uid="{ADA053FB-0A62-4719-A4DD-88E3E2E76CFE}"/>
    <hyperlink ref="S1174" r:id="rId4097" xr:uid="{309909B9-7609-4EF0-90E3-45952BF10032}"/>
    <hyperlink ref="T1174" r:id="rId4098" xr:uid="{61360638-72DB-48EC-9B1C-AC63317F25BC}"/>
    <hyperlink ref="CA1174" r:id="rId4099" xr:uid="{9315EF04-B33D-4C57-AE5C-06D5AAD532BB}"/>
    <hyperlink ref="CB1174" r:id="rId4100" xr:uid="{44D27482-0A23-4E5A-8C2B-BB304DF51B1F}"/>
    <hyperlink ref="CD1174" r:id="rId4101" xr:uid="{CEC9FEAE-97BA-4A56-9025-2442FAF9A863}"/>
    <hyperlink ref="O1175" r:id="rId4102" xr:uid="{26EA1700-B4BF-4B4B-B50F-3C261EFC17D7}"/>
    <hyperlink ref="S1175" r:id="rId4103" xr:uid="{114A1A44-F96B-4D55-8294-1345909326E1}"/>
    <hyperlink ref="T1175" r:id="rId4104" xr:uid="{98B2509D-C611-4BF4-900D-6CC2B8D25D19}"/>
    <hyperlink ref="CA1175" r:id="rId4105" xr:uid="{DE0EEA38-F776-4ECB-BCFF-23EF3CA82EF3}"/>
    <hyperlink ref="CB1175" r:id="rId4106" xr:uid="{0815DEE5-405E-4276-B9BA-86A1A25F708E}"/>
    <hyperlink ref="CD1175" r:id="rId4107" xr:uid="{C7FD391F-4111-4B82-9A00-9D3539458330}"/>
    <hyperlink ref="O1176" r:id="rId4108" xr:uid="{4E592CC2-90EE-4262-9ACC-F6C2893752C9}"/>
    <hyperlink ref="S1176" r:id="rId4109" xr:uid="{C414C333-6B1F-4030-A3E3-27D810DD7EEA}"/>
    <hyperlink ref="T1176" r:id="rId4110" xr:uid="{C1632EB8-56A7-4453-B15C-503DF03D2663}"/>
    <hyperlink ref="CA1176" r:id="rId4111" xr:uid="{2C287B86-67AD-442D-BFD7-4E529D1192B7}"/>
    <hyperlink ref="CB1176" r:id="rId4112" xr:uid="{D4EF3230-370B-4572-A1CE-A53FFE1E646D}"/>
    <hyperlink ref="CD1176" r:id="rId4113" xr:uid="{6A6FACC9-6099-490E-921A-953EE203EA4C}"/>
    <hyperlink ref="O1177" r:id="rId4114" xr:uid="{E2F5052C-BB96-43CC-A448-050DF3371A79}"/>
    <hyperlink ref="S1177" r:id="rId4115" xr:uid="{3C0C6847-2C6F-49E9-82CE-760782F7C921}"/>
    <hyperlink ref="T1177" r:id="rId4116" xr:uid="{66BB19D0-7DD2-4558-AC85-D0B1D9878715}"/>
    <hyperlink ref="CA1177" r:id="rId4117" xr:uid="{DBA88322-19D2-43BC-A7C6-C9D98F3D179A}"/>
    <hyperlink ref="CB1177" r:id="rId4118" xr:uid="{C0E856FE-FAD2-4745-A205-ECD994565C38}"/>
    <hyperlink ref="CD1177" r:id="rId4119" xr:uid="{D5A79716-4513-44CF-89D3-57B1E4715AE4}"/>
    <hyperlink ref="O1178" r:id="rId4120" xr:uid="{252109C0-858B-44B0-8D4A-3C259C419AB2}"/>
    <hyperlink ref="S1178" r:id="rId4121" xr:uid="{9F36F32E-94EB-47D7-83CE-F88C81D91124}"/>
    <hyperlink ref="T1178" r:id="rId4122" xr:uid="{1FB278DB-1CCA-4C22-88CD-705A91DE1E04}"/>
    <hyperlink ref="CA1178" r:id="rId4123" xr:uid="{A035F6B0-F9E3-4B7F-95B2-95DF8F4F0E8A}"/>
    <hyperlink ref="CB1178" r:id="rId4124" xr:uid="{C14FC7E7-B647-46B0-8AAB-A104042DEF84}"/>
    <hyperlink ref="CD1178" r:id="rId4125" xr:uid="{96A09A70-71E3-432D-9AF3-FC011124B9E6}"/>
    <hyperlink ref="O1179" r:id="rId4126" xr:uid="{616A0446-8720-4887-A0EF-183F8D19E063}"/>
    <hyperlink ref="S1179" r:id="rId4127" xr:uid="{90792AA4-A69B-4F29-A6A3-D12398F3DB6E}"/>
    <hyperlink ref="T1179" r:id="rId4128" xr:uid="{D78691D2-98B1-4FC1-A5B9-3E3626165778}"/>
    <hyperlink ref="CA1179" r:id="rId4129" xr:uid="{271B0B84-9BC6-4A2E-91FB-D11D59E8BE6D}"/>
    <hyperlink ref="CB1179" r:id="rId4130" xr:uid="{172C9380-7CAF-4E1F-AD81-D73995D0DD2C}"/>
    <hyperlink ref="CD1179" r:id="rId4131" xr:uid="{7EFBB937-269C-4A9D-9D52-A126384A44DA}"/>
    <hyperlink ref="O1180" r:id="rId4132" xr:uid="{AEE38634-C5E3-4DF0-8909-89FB659AC9A0}"/>
    <hyperlink ref="S1180" r:id="rId4133" xr:uid="{20325019-D6A2-411D-B16A-5BC6F0AE9745}"/>
    <hyperlink ref="T1180" r:id="rId4134" xr:uid="{B0642033-3EE4-462A-870F-F2A049432AE1}"/>
    <hyperlink ref="CA1180" r:id="rId4135" xr:uid="{1A1B9261-CF7E-4609-B155-3E896109B1AB}"/>
    <hyperlink ref="CB1180" r:id="rId4136" xr:uid="{F729B7C6-BB60-42D1-B246-3E77233815FB}"/>
    <hyperlink ref="CD1180" r:id="rId4137" xr:uid="{613A0382-A881-4CB6-A447-67EF0D3F8E86}"/>
    <hyperlink ref="O1181" r:id="rId4138" xr:uid="{5CA74D9E-199F-417B-8655-6211997484BC}"/>
    <hyperlink ref="S1181" r:id="rId4139" xr:uid="{DC1BCE93-1C9B-4AE3-A9DF-5F02B1687180}"/>
    <hyperlink ref="T1181" r:id="rId4140" xr:uid="{A76C99B8-FE0A-47B5-BA9F-314ED9393F67}"/>
    <hyperlink ref="CA1181" r:id="rId4141" xr:uid="{20E3CD70-067C-4AB9-937C-EF9FAC4E6BDF}"/>
    <hyperlink ref="CB1181" r:id="rId4142" xr:uid="{AEE7DD3A-BA89-4BD5-AF27-56DCC39D58FE}"/>
    <hyperlink ref="CD1181" r:id="rId4143" xr:uid="{46681A21-380A-4CAA-B89D-B6408C676C41}"/>
    <hyperlink ref="O1182" r:id="rId4144" xr:uid="{C62822EE-0E9F-40ED-B5C9-521A6E2379B9}"/>
    <hyperlink ref="S1182" r:id="rId4145" xr:uid="{F5393680-9AB7-44CA-8160-89ECA7FD9E67}"/>
    <hyperlink ref="T1182" r:id="rId4146" xr:uid="{79575A86-B121-41E3-9BC5-1EA0A162F09A}"/>
    <hyperlink ref="CA1182" r:id="rId4147" xr:uid="{4DD1DE07-EF58-4665-BD6F-591CC5117EE3}"/>
    <hyperlink ref="CB1182" r:id="rId4148" xr:uid="{7C942E74-C411-49DB-B219-1787EA1171F6}"/>
    <hyperlink ref="CD1182" r:id="rId4149" xr:uid="{3CF4315A-CC8B-4C0F-A4EB-BC9B24F7360B}"/>
    <hyperlink ref="O1183" r:id="rId4150" xr:uid="{62FE572A-49D6-466B-A6D0-E4E018A7A8AD}"/>
    <hyperlink ref="S1183" r:id="rId4151" xr:uid="{3DAC197B-47EA-4B3F-9D07-2F9BBC457045}"/>
    <hyperlink ref="T1183" r:id="rId4152" xr:uid="{2A01D23D-B2C0-4C8A-8BF0-1E992B5806A4}"/>
    <hyperlink ref="CA1183" r:id="rId4153" xr:uid="{3ADBB88B-6664-4295-955D-E67CCD64EA0D}"/>
    <hyperlink ref="CB1183" r:id="rId4154" xr:uid="{9FF57EF6-43C0-43AA-B4AA-1BF8C7D8F73B}"/>
    <hyperlink ref="CD1183" r:id="rId4155" xr:uid="{A0ACA8A6-9381-43CD-B592-CB384409898C}"/>
    <hyperlink ref="O1184" r:id="rId4156" xr:uid="{4A40366B-2973-43B2-B0D4-DA27FA45601A}"/>
    <hyperlink ref="S1184" r:id="rId4157" xr:uid="{1C2C5FFE-1615-4773-B160-F6F971C2A442}"/>
    <hyperlink ref="T1184" r:id="rId4158" xr:uid="{4CC9586C-12B3-46FC-9C4F-F6C24AF7E45D}"/>
    <hyperlink ref="CA1184" r:id="rId4159" xr:uid="{5E40CC52-F091-4602-AF18-5A42B2EF4C5E}"/>
    <hyperlink ref="CB1184" r:id="rId4160" xr:uid="{A333E5BD-23BE-41F7-9913-9A7A941B0813}"/>
    <hyperlink ref="O1185" r:id="rId4161" xr:uid="{7BAD5D6D-90C8-4ACD-AD73-EB558AF4399B}"/>
    <hyperlink ref="S1185" r:id="rId4162" xr:uid="{C10792FA-DB22-4BC6-BD99-E7EA45ED23BE}"/>
    <hyperlink ref="T1185" r:id="rId4163" xr:uid="{647F141D-D5E1-48D4-8DF7-B55252877B56}"/>
    <hyperlink ref="CA1185" r:id="rId4164" xr:uid="{2A6D69C4-A394-4587-A10D-3E7BEE30DD8D}"/>
    <hyperlink ref="CB1185" r:id="rId4165" xr:uid="{7CFBD939-E2F4-45C4-8DA5-1F26E21A1F66}"/>
    <hyperlink ref="O1186" r:id="rId4166" xr:uid="{1C685AA8-4756-4BD6-9EDF-820B6D6A4DDB}"/>
    <hyperlink ref="S1186" r:id="rId4167" xr:uid="{54AEB0D8-E9BD-41F3-A906-62EBA6A51077}"/>
    <hyperlink ref="T1186" r:id="rId4168" xr:uid="{9B316F59-8F50-4A56-B92F-FA1365F65E66}"/>
    <hyperlink ref="CA1186" r:id="rId4169" xr:uid="{53F7AE2A-4689-4DB2-97C6-6793F6AC1DCB}"/>
    <hyperlink ref="CB1186" r:id="rId4170" xr:uid="{5872A0F4-1C7C-4435-9BFF-D2711331FA65}"/>
    <hyperlink ref="CD1186" r:id="rId4171" xr:uid="{4EC27F3B-131B-40BE-A728-53A3AF5B1336}"/>
    <hyperlink ref="O1187" r:id="rId4172" xr:uid="{E93EE667-9A67-4B94-B41C-EC0F32F90B91}"/>
    <hyperlink ref="S1187" r:id="rId4173" xr:uid="{4AAEA252-152C-4D04-B46C-A0A14A0E6E75}"/>
    <hyperlink ref="T1187" r:id="rId4174" xr:uid="{09CF6A87-6A16-4111-AB6E-5610CA0D1FC5}"/>
    <hyperlink ref="CA1187" r:id="rId4175" xr:uid="{0A07C00B-6122-403E-BA0C-2F18AAD1BC4D}"/>
    <hyperlink ref="CB1187" r:id="rId4176" xr:uid="{8C1EAB10-80CF-4871-8CCC-B3EA6CC8FB35}"/>
    <hyperlink ref="O1188" r:id="rId4177" xr:uid="{E656C6DA-578D-40E4-9F3B-29090113B6BA}"/>
    <hyperlink ref="S1188" r:id="rId4178" xr:uid="{8ABF3785-E10E-483B-A7D3-F4102769C197}"/>
    <hyperlink ref="T1188" r:id="rId4179" xr:uid="{BE583F01-E2CA-48E0-813C-358BF340A591}"/>
    <hyperlink ref="CA1188" r:id="rId4180" xr:uid="{72976D5D-FB09-4F06-8BDF-7E116465C1BF}"/>
    <hyperlink ref="CB1188" r:id="rId4181" xr:uid="{55AE7515-80F4-4551-9D09-F66E785B7047}"/>
    <hyperlink ref="CD1188" r:id="rId4182" xr:uid="{46EBDF64-3C4E-4900-8F8F-959963A3B898}"/>
    <hyperlink ref="O1189" r:id="rId4183" xr:uid="{83165F89-02E8-43F5-9FCB-7D723665F5C4}"/>
    <hyperlink ref="S1189" r:id="rId4184" xr:uid="{5D06FAFF-07C6-4939-A129-49047F2A0A29}"/>
    <hyperlink ref="T1189" r:id="rId4185" xr:uid="{8537D569-4912-437D-A92B-E18D076E35A6}"/>
    <hyperlink ref="CA1189" r:id="rId4186" xr:uid="{9B98B07D-EF15-41C3-BDF4-FE0FDF1E1173}"/>
    <hyperlink ref="CB1189" r:id="rId4187" xr:uid="{0FAD328E-CCF4-43A4-B036-A593A9185D21}"/>
    <hyperlink ref="CD1189" r:id="rId4188" xr:uid="{33B24099-186E-42A9-9C40-FABA3AB28C75}"/>
    <hyperlink ref="O1190" r:id="rId4189" xr:uid="{BD9263C3-17BC-495A-AD43-3C0F005C2DE8}"/>
    <hyperlink ref="S1190" r:id="rId4190" xr:uid="{BC6D4BC4-62EF-4C18-A949-B42FDE03C1BE}"/>
    <hyperlink ref="T1190" r:id="rId4191" xr:uid="{83517786-36CE-49F0-B21F-1DB59DB6C5B3}"/>
    <hyperlink ref="CA1190" r:id="rId4192" xr:uid="{41DA33EC-FD90-485E-AEE2-889F0FEBD578}"/>
    <hyperlink ref="CB1190" r:id="rId4193" xr:uid="{48D9AB04-E764-4E51-A0EF-E102E193CA22}"/>
    <hyperlink ref="CD1190" r:id="rId4194" xr:uid="{8DC94BDA-1DC4-415A-A6FA-F32E6F3ED0FF}"/>
    <hyperlink ref="O1191" r:id="rId4195" xr:uid="{3208A9C7-EA07-40A3-9A15-0FA3F4D2E454}"/>
    <hyperlink ref="S1191" r:id="rId4196" xr:uid="{11A975D5-E1AC-4A61-BAF7-7C6A97802A3C}"/>
    <hyperlink ref="T1191" r:id="rId4197" xr:uid="{539204E9-495D-4BF1-8F8E-AAB5EBE7705B}"/>
    <hyperlink ref="CA1191" r:id="rId4198" xr:uid="{95ABC4DD-1A41-43F3-900E-3C6D9A1F1CAB}"/>
    <hyperlink ref="CB1191" r:id="rId4199" xr:uid="{12927942-BA11-441F-BD2B-38B19400AA28}"/>
    <hyperlink ref="CD1191" r:id="rId4200" xr:uid="{1FE91F6B-A990-432D-AEDD-7C4BDD1FDC41}"/>
    <hyperlink ref="O1192" r:id="rId4201" xr:uid="{241665A1-A5F9-451F-B060-CBE5731480E7}"/>
    <hyperlink ref="S1192" r:id="rId4202" xr:uid="{28BA9655-6281-4731-95FB-156EF8A355D6}"/>
    <hyperlink ref="T1192" r:id="rId4203" xr:uid="{DDD73BD9-43B1-4E57-B6D9-30A54E119CA0}"/>
    <hyperlink ref="CA1192" r:id="rId4204" xr:uid="{A396A5DA-2E8E-4CB4-B790-A3AB7DEBF314}"/>
    <hyperlink ref="CB1192" r:id="rId4205" xr:uid="{FC452AE0-0468-468E-86DE-EB565B390C6D}"/>
    <hyperlink ref="CD1192" r:id="rId4206" xr:uid="{02D43A61-AB92-4A40-B176-BFA36EC0253A}"/>
    <hyperlink ref="O1193" r:id="rId4207" xr:uid="{3E09F562-B890-4A25-98B6-C99738AEB81F}"/>
    <hyperlink ref="S1193" r:id="rId4208" xr:uid="{F3AB9708-B1AA-4506-A76F-5F2AD31681AB}"/>
    <hyperlink ref="T1193" r:id="rId4209" xr:uid="{A9E62EE2-0AA4-415D-9650-FCF897A801E4}"/>
    <hyperlink ref="CA1193" r:id="rId4210" xr:uid="{3DC4CB99-8EF5-4102-B141-D87E9C06973E}"/>
    <hyperlink ref="CB1193" r:id="rId4211" xr:uid="{1066ED20-C9DB-4523-B78B-E710CFD521B7}"/>
    <hyperlink ref="O1194" r:id="rId4212" xr:uid="{631E4CDD-A78A-4EBA-88E4-7F70036B0F6D}"/>
    <hyperlink ref="S1194" r:id="rId4213" xr:uid="{6A8EC35F-A856-471C-A4D0-EC38D01E0EC4}"/>
    <hyperlink ref="T1194" r:id="rId4214" xr:uid="{FB15410C-1E67-490F-BE5A-9F5FCEE4A057}"/>
    <hyperlink ref="BX1194" r:id="rId4215" xr:uid="{96318E8E-61D6-4D6D-9434-E28D9A679E1F}"/>
    <hyperlink ref="CA1194" r:id="rId4216" xr:uid="{F5C00556-1187-47F4-B9F4-26113F7B100F}"/>
    <hyperlink ref="CB1194" r:id="rId4217" xr:uid="{36892525-95CB-49B9-961D-231FBEF8215E}"/>
    <hyperlink ref="CD1194" r:id="rId4218" xr:uid="{CB26F832-2A9B-471F-AB48-CB06C6B23A40}"/>
    <hyperlink ref="O1195" r:id="rId4219" xr:uid="{2E9E5E8A-50B0-43B9-89FF-C5DFE5D46130}"/>
    <hyperlink ref="S1195" r:id="rId4220" xr:uid="{D0EF4917-8316-47F7-8700-B7BC870652EC}"/>
    <hyperlink ref="T1195" r:id="rId4221" xr:uid="{2916968C-7A81-4649-8AD3-DB7848B0AE72}"/>
    <hyperlink ref="CA1195" r:id="rId4222" xr:uid="{C7C277D7-DBF4-4E78-8CF1-E6C8138AD09D}"/>
    <hyperlink ref="CB1195" r:id="rId4223" xr:uid="{959DF0D6-CD09-4BE9-A27C-657D274C5C67}"/>
    <hyperlink ref="CD1195" r:id="rId4224" xr:uid="{C1760EBA-45E5-42BA-84DF-FF04F0F2438A}"/>
    <hyperlink ref="O1196" r:id="rId4225" xr:uid="{8B2D109F-4F66-4B65-9BCE-6D9633F2D6EC}"/>
    <hyperlink ref="S1196" r:id="rId4226" xr:uid="{712D867E-69D1-421D-B2DB-D80923CB8286}"/>
    <hyperlink ref="T1196" r:id="rId4227" xr:uid="{BF9DF2A0-3F94-4E01-A875-04E5C83040B5}"/>
    <hyperlink ref="CA1196" r:id="rId4228" xr:uid="{1EB3F57A-8BF3-419F-B43B-4B2222708939}"/>
    <hyperlink ref="CB1196" r:id="rId4229" xr:uid="{9212BDE5-77F2-4065-AFCB-35D087FB76A9}"/>
    <hyperlink ref="O1197" r:id="rId4230" xr:uid="{3D9D3CCC-ED35-4EB5-BFF7-7620FC85C46F}"/>
    <hyperlink ref="S1197" r:id="rId4231" xr:uid="{F10DB2AA-AD80-43BD-A49E-E5F2180BCD81}"/>
    <hyperlink ref="T1197" r:id="rId4232" xr:uid="{5F66F790-8DBE-472A-B5F4-3665105C8B3E}"/>
    <hyperlink ref="BX1197" r:id="rId4233" xr:uid="{12EFECEE-7993-4346-9CD3-B0C16A84BE43}"/>
    <hyperlink ref="CA1197" r:id="rId4234" xr:uid="{E613BA88-A994-4C36-A1C9-B60A5209C70B}"/>
    <hyperlink ref="CB1197" r:id="rId4235" xr:uid="{BF165DAD-20CC-42AA-A353-B6D36E61353B}"/>
    <hyperlink ref="CD1197" r:id="rId4236" xr:uid="{DFE9C7EA-622C-42F3-8190-035374A7EA70}"/>
    <hyperlink ref="O1198" r:id="rId4237" xr:uid="{4487719A-7C14-4AB8-8840-C7D9D365617C}"/>
    <hyperlink ref="S1198" r:id="rId4238" xr:uid="{8273745A-1276-43D6-884F-ECE8CBF8FCF6}"/>
    <hyperlink ref="T1198" r:id="rId4239" xr:uid="{508DA1C1-F8B9-4080-9091-BE3844A6853B}"/>
    <hyperlink ref="CA1198" r:id="rId4240" xr:uid="{5032891D-5786-4CB2-81BD-F2D634D72C17}"/>
    <hyperlink ref="CB1198" r:id="rId4241" xr:uid="{54C8AA9E-A78F-407D-B785-C21189DDA85F}"/>
    <hyperlink ref="CD1198" r:id="rId4242" xr:uid="{35F589E5-C6BE-41D0-91D1-8314B5BD6859}"/>
    <hyperlink ref="O1199" r:id="rId4243" xr:uid="{9F1D17A0-AE8E-4C11-9F73-D1B2682544F2}"/>
    <hyperlink ref="S1199" r:id="rId4244" xr:uid="{4152F90A-175E-4E21-B21A-FCB7A08E3684}"/>
    <hyperlink ref="T1199" r:id="rId4245" xr:uid="{587B18FA-3AA1-4CB3-B0C9-6316962F8378}"/>
    <hyperlink ref="CA1199" r:id="rId4246" xr:uid="{46239CCA-ED04-40EF-B703-A57470CACE5A}"/>
    <hyperlink ref="CB1199" r:id="rId4247" xr:uid="{777B9BF3-96BA-45A0-B0A6-6219E9DB0823}"/>
    <hyperlink ref="O1200" r:id="rId4248" xr:uid="{FE0822AE-3CA0-410E-BEEB-7D934B3A87E2}"/>
    <hyperlink ref="S1200" r:id="rId4249" xr:uid="{6A21AD11-B4BA-4AE9-9055-212E2A7C6C9C}"/>
    <hyperlink ref="T1200" r:id="rId4250" xr:uid="{A6CF03BD-2EFF-48DA-A767-F91530B1FAED}"/>
    <hyperlink ref="CA1200" r:id="rId4251" xr:uid="{35EE5032-7961-466A-AA25-380540C03C35}"/>
    <hyperlink ref="CB1200" r:id="rId4252" xr:uid="{5123702D-F5A7-4A60-8503-68D9CFB3F107}"/>
    <hyperlink ref="CD1200" r:id="rId4253" xr:uid="{CEC60D47-5029-4A05-B37A-AB86F2EFCACF}"/>
    <hyperlink ref="O1201" r:id="rId4254" xr:uid="{77DBAE4D-9124-45F9-8534-82A1BD0569C3}"/>
    <hyperlink ref="S1201" r:id="rId4255" xr:uid="{C4E532CF-4D5D-44D4-B79E-B7539F94D616}"/>
    <hyperlink ref="T1201" r:id="rId4256" xr:uid="{3320F1FF-92AC-4A7B-805D-AE076D47D0C1}"/>
    <hyperlink ref="CA1201" r:id="rId4257" xr:uid="{70032E44-9781-4AB1-B6F5-A4CD4D1A1742}"/>
    <hyperlink ref="CB1201" r:id="rId4258" xr:uid="{1BFE12F1-AF6D-4F0F-804F-807508CE5032}"/>
    <hyperlink ref="CD1201" r:id="rId4259" xr:uid="{1CCB100E-FD87-4697-8DF1-DF1BDFB34557}"/>
    <hyperlink ref="O1202" r:id="rId4260" xr:uid="{79A5277E-D15E-432D-A1D1-DE1308675D87}"/>
    <hyperlink ref="S1202" r:id="rId4261" xr:uid="{2367A7F0-E095-4FF8-93A7-EF6A448F3190}"/>
    <hyperlink ref="T1202" r:id="rId4262" xr:uid="{A3E96312-503C-40B5-A136-1A306B9FA2B8}"/>
    <hyperlink ref="CA1202" r:id="rId4263" xr:uid="{A7A60F76-A1D6-4B9F-BD2B-A3B111EBAFC1}"/>
    <hyperlink ref="CB1202" r:id="rId4264" xr:uid="{968179E6-5047-4FD2-8F3F-0E600DA47501}"/>
    <hyperlink ref="CD1202" r:id="rId4265" xr:uid="{BEFFAA1D-6960-48D4-93F8-DECAEEE0B45B}"/>
    <hyperlink ref="O1203" r:id="rId4266" xr:uid="{88EAE7C2-BC68-49CE-818F-10F8380E60DE}"/>
    <hyperlink ref="S1203" r:id="rId4267" xr:uid="{2B988EC7-8528-4B9E-B9A1-EF34204074F8}"/>
    <hyperlink ref="T1203" r:id="rId4268" xr:uid="{E6136425-2B98-4FE0-9FEC-AD85199DEA84}"/>
    <hyperlink ref="CA1203" r:id="rId4269" xr:uid="{473DB280-F5A2-4EF1-9B9E-536619E4E627}"/>
    <hyperlink ref="CB1203" r:id="rId4270" xr:uid="{822A4D37-6BAE-4B45-BF46-D6488DBFD23A}"/>
    <hyperlink ref="CD1203" r:id="rId4271" xr:uid="{CEEDCDA6-6AC7-4D11-B6A0-4CD39AFC153B}"/>
    <hyperlink ref="O1204" r:id="rId4272" xr:uid="{C5C642C6-CB0B-40DA-89CD-FE3EC8E39EF2}"/>
    <hyperlink ref="S1204" r:id="rId4273" xr:uid="{3AD05274-F8E0-444B-9F35-6F05C3010595}"/>
    <hyperlink ref="T1204" r:id="rId4274" xr:uid="{8E1413C3-900D-4220-B537-A16C1A89B084}"/>
    <hyperlink ref="CA1204" r:id="rId4275" xr:uid="{3A5A3C6B-A210-4BBE-A984-45931498689B}"/>
    <hyperlink ref="CB1204" r:id="rId4276" xr:uid="{EBBBE4AC-E2B2-482E-ACAB-82D745823C4B}"/>
    <hyperlink ref="CD1204" r:id="rId4277" xr:uid="{C6AB8F4A-3F23-4B65-ACFF-DF8AA7292D59}"/>
    <hyperlink ref="O1205" r:id="rId4278" xr:uid="{3D7B0818-213D-4812-AD2D-6788D9A496D3}"/>
    <hyperlink ref="S1205" r:id="rId4279" xr:uid="{F9120EEA-4C6E-40A3-B40F-44A282F3E572}"/>
    <hyperlink ref="T1205" r:id="rId4280" xr:uid="{C0307A28-20C5-4474-ABE6-66C04BDC4122}"/>
    <hyperlink ref="CA1205" r:id="rId4281" xr:uid="{7F094E5F-C3BB-4115-9C2D-9C5666740F49}"/>
    <hyperlink ref="CB1205" r:id="rId4282" xr:uid="{1D89C6F4-766B-4BE8-8714-6F0CFBF95AC5}"/>
    <hyperlink ref="CD1205" r:id="rId4283" xr:uid="{7904DEFB-F610-42FC-A879-EE14AFB899D7}"/>
    <hyperlink ref="O1206" r:id="rId4284" xr:uid="{A6A0DB5C-1F9A-4681-A242-18CEA9B54FF3}"/>
    <hyperlink ref="S1206" r:id="rId4285" xr:uid="{FB91E88A-00AA-4A6B-9262-2CA491A39CA3}"/>
    <hyperlink ref="T1206" r:id="rId4286" xr:uid="{79FAD0CD-46EE-42B2-9821-601BD9C2D9C6}"/>
    <hyperlink ref="BX1206" r:id="rId4287" xr:uid="{4DCB03AF-57C3-48E6-A288-E1E4CCBFFD11}"/>
    <hyperlink ref="CA1206" r:id="rId4288" xr:uid="{88868215-ABA5-46B8-8B06-523910889A61}"/>
    <hyperlink ref="CB1206" r:id="rId4289" xr:uid="{98C91597-3C04-4472-BEA1-EDFE0C5FF265}"/>
    <hyperlink ref="CD1206" r:id="rId4290" xr:uid="{389C4264-9980-430E-BC78-B1D822AAC18F}"/>
    <hyperlink ref="O1207" r:id="rId4291" xr:uid="{85BEA376-774D-4590-BE03-4C3E2869EC97}"/>
    <hyperlink ref="S1207" r:id="rId4292" xr:uid="{42FDF314-1923-4155-8712-5D871DD8FCC5}"/>
    <hyperlink ref="T1207" r:id="rId4293" xr:uid="{F0C0B19F-58FE-415D-A756-52D40A0EDE60}"/>
    <hyperlink ref="CA1207" r:id="rId4294" xr:uid="{CE540FA8-DB79-478A-AC98-19B67E4AE633}"/>
    <hyperlink ref="CB1207" r:id="rId4295" xr:uid="{8A662594-11B8-4490-968D-62E1B84D0102}"/>
    <hyperlink ref="CD1207" r:id="rId4296" xr:uid="{4BC90C3B-C201-4C25-B65B-108900ABFE88}"/>
    <hyperlink ref="O1208" r:id="rId4297" xr:uid="{6203F6DF-C74B-4C35-8300-CE421D548438}"/>
    <hyperlink ref="S1208" r:id="rId4298" xr:uid="{DFC379F2-44E5-4EB2-991E-0C7FECE5A223}"/>
    <hyperlink ref="T1208" r:id="rId4299" xr:uid="{8D3CEE75-C685-4E02-8806-03BC5FDDB59A}"/>
    <hyperlink ref="BX1208" r:id="rId4300" xr:uid="{8F74B52D-E2E8-4996-AD5C-724179AB0EA4}"/>
    <hyperlink ref="CA1208" r:id="rId4301" xr:uid="{4679B99D-D61F-43D5-8CCB-92DCAA9178E4}"/>
    <hyperlink ref="CB1208" r:id="rId4302" xr:uid="{E09B4ED1-357A-4580-8134-FF566F3B894D}"/>
    <hyperlink ref="CD1208" r:id="rId4303" xr:uid="{79188C0E-FF56-41A9-9007-6D6D3D76C4E6}"/>
    <hyperlink ref="O1209" r:id="rId4304" xr:uid="{44465FFD-1B03-4AFA-8FBB-C3CF6FF5F869}"/>
    <hyperlink ref="S1209" r:id="rId4305" xr:uid="{F3A618A3-DCEC-4734-BD81-62CC036954CA}"/>
    <hyperlink ref="T1209" r:id="rId4306" xr:uid="{4D5D304A-95DD-428E-A5F5-850BDB02C217}"/>
    <hyperlink ref="CA1209" r:id="rId4307" xr:uid="{18327116-A9B8-4F9E-8F8D-D23BFD71F33D}"/>
    <hyperlink ref="CB1209" r:id="rId4308" xr:uid="{0501245D-6733-4CD7-9BC7-A526EEA85A72}"/>
    <hyperlink ref="CD1209" r:id="rId4309" xr:uid="{F2E58230-FBF0-45C7-99A3-052DBED43502}"/>
    <hyperlink ref="O1210" r:id="rId4310" xr:uid="{D84CF4F6-B373-41C0-9D01-7F849C210E09}"/>
    <hyperlink ref="S1210" r:id="rId4311" xr:uid="{57DBAFBF-B989-406C-9449-6F1E08D19E2E}"/>
    <hyperlink ref="T1210" r:id="rId4312" xr:uid="{6DD57940-AFB3-43D5-B1A0-32DA8DF0B8D5}"/>
    <hyperlink ref="CA1210" r:id="rId4313" xr:uid="{3F5FED41-D065-4B3E-9BEA-3118FDD89079}"/>
    <hyperlink ref="CB1210" r:id="rId4314" xr:uid="{1213CF78-27C2-42B6-946A-D07FCF864D66}"/>
    <hyperlink ref="O1211" r:id="rId4315" xr:uid="{5C445D21-3278-463D-A83F-C07D28951A7F}"/>
    <hyperlink ref="S1211" r:id="rId4316" xr:uid="{AD4E04E2-C713-4F95-BEFC-525CCA2A9BEE}"/>
    <hyperlink ref="T1211" r:id="rId4317" xr:uid="{244747E2-1B19-43BD-B763-9F52B38C50C2}"/>
    <hyperlink ref="CA1211" r:id="rId4318" xr:uid="{53F9D00B-107A-482F-9A73-D69930694BB2}"/>
    <hyperlink ref="CB1211" r:id="rId4319" xr:uid="{FFE758AD-21DB-4B7E-9A32-DE252D83E7A1}"/>
    <hyperlink ref="O1212" r:id="rId4320" xr:uid="{D0E12057-84B2-40DB-A5B8-B02D998B7BBD}"/>
    <hyperlink ref="S1212" r:id="rId4321" xr:uid="{C95482FD-1925-4509-A246-1105108329C9}"/>
    <hyperlink ref="T1212" r:id="rId4322" xr:uid="{D8C76FBC-1DAD-41CE-8025-22D5A3A253D9}"/>
    <hyperlink ref="BX1212" r:id="rId4323" xr:uid="{0B29F214-9590-4726-9A2C-3CFAD1139FAB}"/>
    <hyperlink ref="CA1212" r:id="rId4324" xr:uid="{C485C1C5-80BA-4A41-8E2E-13BE12F570BA}"/>
    <hyperlink ref="CB1212" r:id="rId4325" xr:uid="{82707F94-1F78-4EFA-A029-8DA39212DB0C}"/>
    <hyperlink ref="CD1212" r:id="rId4326" xr:uid="{EF1CB0FD-BEB2-46E2-BE84-B9DFCC0E7597}"/>
    <hyperlink ref="O1213" r:id="rId4327" xr:uid="{A96B339B-CCBA-4A2B-804A-55CC3903CBAB}"/>
    <hyperlink ref="S1213" r:id="rId4328" xr:uid="{307B5281-0B34-4D87-B6C6-7BF390E05225}"/>
    <hyperlink ref="T1213" r:id="rId4329" xr:uid="{06725AAB-DC0F-46C1-B894-43D4F8059413}"/>
    <hyperlink ref="CA1213" r:id="rId4330" xr:uid="{491290EF-FC88-454C-9B1A-9E55FAB46AB3}"/>
    <hyperlink ref="CB1213" r:id="rId4331" xr:uid="{3C74C221-A217-456D-8E82-89E2D4F2C0BE}"/>
    <hyperlink ref="O1214" r:id="rId4332" xr:uid="{9594DE46-1CE6-4FB8-B4C8-122F73058E68}"/>
    <hyperlink ref="S1214" r:id="rId4333" xr:uid="{675F373E-EDCD-49F3-8F00-5438C45C015D}"/>
    <hyperlink ref="T1214" r:id="rId4334" xr:uid="{9DB30DF3-3B33-4778-B750-9BF2C832B46B}"/>
    <hyperlink ref="CA1214" r:id="rId4335" xr:uid="{55F468DE-433C-4D89-A7E7-0788AE2E86A0}"/>
    <hyperlink ref="CB1214" r:id="rId4336" xr:uid="{178B0A63-E492-45DB-8E40-63BEAB6F22A1}"/>
    <hyperlink ref="CD1214" r:id="rId4337" xr:uid="{FC5BD50A-D3EC-4D1D-8538-6FB341003B13}"/>
    <hyperlink ref="O1215" r:id="rId4338" xr:uid="{F8F54A28-B7C1-44C5-8DA2-5B3ECB4FA5A3}"/>
    <hyperlink ref="S1215" r:id="rId4339" xr:uid="{8A6FCABD-EE18-4754-89BB-96E59F7FC087}"/>
    <hyperlink ref="T1215" r:id="rId4340" xr:uid="{D8CEFC5F-1CEC-49DB-9309-23B13A4EC79F}"/>
    <hyperlink ref="CA1215" r:id="rId4341" xr:uid="{F93DD52D-31DC-43C1-B28B-402510D99ABF}"/>
    <hyperlink ref="CB1215" r:id="rId4342" xr:uid="{CF1867F9-B98C-4C54-895C-1BA9C117CE49}"/>
    <hyperlink ref="O1216" r:id="rId4343" xr:uid="{C7ACEAC4-5149-4D3A-9888-EBE56A1E61B0}"/>
    <hyperlink ref="S1216" r:id="rId4344" xr:uid="{A4F6898A-3667-4227-A203-276A37E7A9EC}"/>
    <hyperlink ref="T1216" r:id="rId4345" xr:uid="{FB94B5AD-B299-4666-848C-C2A3581FA253}"/>
    <hyperlink ref="CA1216" r:id="rId4346" xr:uid="{5AE4C450-06F8-45DF-BA97-9AFFCC6784DE}"/>
    <hyperlink ref="CB1216" r:id="rId4347" xr:uid="{D79C8869-5CBB-4234-9CF1-1F5D72E14B66}"/>
    <hyperlink ref="CD1216" r:id="rId4348" xr:uid="{8E7599F0-A212-4D45-8C04-638593A6E114}"/>
    <hyperlink ref="O1217" r:id="rId4349" xr:uid="{F9500E75-D5B3-4D86-A200-24C27FA412A4}"/>
    <hyperlink ref="S1217" r:id="rId4350" xr:uid="{0834C874-4C5A-49A9-B675-64C3F25DF476}"/>
    <hyperlink ref="T1217" r:id="rId4351" xr:uid="{EF19E34D-2673-4494-B0FF-92C23FED5AE5}"/>
    <hyperlink ref="CA1217" r:id="rId4352" xr:uid="{BC075899-6D46-473B-886E-4320F9735217}"/>
    <hyperlink ref="CB1217" r:id="rId4353" xr:uid="{3199CA35-69D9-458C-A1A6-99A5A5FF1B0E}"/>
    <hyperlink ref="CD1217" r:id="rId4354" xr:uid="{694AC0FA-A0E4-453F-8D63-45E4ECC7D933}"/>
    <hyperlink ref="O1218" r:id="rId4355" xr:uid="{CF8DABAF-1EB7-483A-8863-C9754C9E9A91}"/>
    <hyperlink ref="S1218" r:id="rId4356" xr:uid="{144F421C-1F9D-4D22-BA22-17A7AE558119}"/>
    <hyperlink ref="T1218" r:id="rId4357" xr:uid="{E9253911-BDBF-4884-A75D-A9BE0B450CA5}"/>
    <hyperlink ref="CA1218" r:id="rId4358" xr:uid="{6E803A17-E4C8-499A-91ED-33FD005F577B}"/>
    <hyperlink ref="CB1218" r:id="rId4359" xr:uid="{E4566FBA-711C-4C63-A4AB-9C7F886842E3}"/>
    <hyperlink ref="CD1218" r:id="rId4360" xr:uid="{43950CFB-8ECD-41CD-9239-ECAF14D523BA}"/>
    <hyperlink ref="O1219" r:id="rId4361" xr:uid="{FCF75A85-A4B6-4B3F-A3B9-2D166909A253}"/>
    <hyperlink ref="S1219" r:id="rId4362" xr:uid="{08240947-EEFA-49E9-81CC-316EBBF663E5}"/>
    <hyperlink ref="T1219" r:id="rId4363" xr:uid="{2CCD4DAA-709A-4340-A252-3A13B63FA718}"/>
    <hyperlink ref="CA1219" r:id="rId4364" xr:uid="{7AB671A7-1179-4C7C-A9DA-0F949DD77B09}"/>
    <hyperlink ref="CB1219" r:id="rId4365" xr:uid="{91A9F86D-A12E-4F70-B7A5-25318442F9D3}"/>
    <hyperlink ref="CD1219" r:id="rId4366" xr:uid="{FA067D97-3B5C-4B4C-AE0F-F80E41BAABC3}"/>
    <hyperlink ref="O1220" r:id="rId4367" xr:uid="{69FE79DA-C2E2-45D5-A36B-38BC5283D30E}"/>
    <hyperlink ref="S1220" r:id="rId4368" xr:uid="{7B33480E-0BA0-4006-B0B8-6BFBD6649D55}"/>
    <hyperlink ref="T1220" r:id="rId4369" xr:uid="{4048B4B9-BAA1-4BEA-B76B-B4034C183668}"/>
    <hyperlink ref="CA1220" r:id="rId4370" xr:uid="{10D72225-3521-4C47-A0AF-E6C11473C905}"/>
    <hyperlink ref="CB1220" r:id="rId4371" xr:uid="{29CE9837-A654-41FB-8C84-9DA1138CAC18}"/>
    <hyperlink ref="O1221" r:id="rId4372" xr:uid="{75FDAD3F-79FD-432D-B0A5-438899129B39}"/>
    <hyperlink ref="S1221" r:id="rId4373" xr:uid="{5988FBBE-1752-4CB0-82E7-8FCE9F886692}"/>
    <hyperlink ref="T1221" r:id="rId4374" xr:uid="{CFAC6CA3-F80C-40AD-A8CD-B15D9E0CFCFE}"/>
    <hyperlink ref="CA1221" r:id="rId4375" xr:uid="{323418E9-B0B6-43F4-9775-2BE07F11D0C3}"/>
    <hyperlink ref="CB1221" r:id="rId4376" xr:uid="{335C9B3F-CD5D-4F2E-8AE1-712640E66534}"/>
    <hyperlink ref="CD1221" r:id="rId4377" xr:uid="{255303D3-8FCF-4981-B26D-21A71B6DAC5A}"/>
    <hyperlink ref="O1222" r:id="rId4378" xr:uid="{3A157E5E-A40C-45BB-B63F-954FFD8A1224}"/>
    <hyperlink ref="S1222" r:id="rId4379" xr:uid="{D8B01A40-0C16-4C6F-AE54-D4062996C84E}"/>
    <hyperlink ref="T1222" r:id="rId4380" xr:uid="{8FEDE4B9-3AFD-4066-A5A8-1C022CE37A67}"/>
    <hyperlink ref="CA1222" r:id="rId4381" xr:uid="{B4F8F333-0486-41DE-870D-E2ED1B09FBE8}"/>
    <hyperlink ref="CB1222" r:id="rId4382" xr:uid="{2B533CE3-CDED-4A43-9209-CB3950BEA199}"/>
    <hyperlink ref="CD1222" r:id="rId4383" xr:uid="{98D2B825-9FCB-469C-B6D0-377ACED6C1CD}"/>
    <hyperlink ref="O1223" r:id="rId4384" xr:uid="{87C7D49E-63E6-4C62-99EE-8F73407B30AB}"/>
    <hyperlink ref="S1223" r:id="rId4385" xr:uid="{1057653F-24A5-4E22-973F-69D16A8FE0EB}"/>
    <hyperlink ref="T1223" r:id="rId4386" xr:uid="{17C7B691-A18B-4D01-980B-55D269A1F8FB}"/>
    <hyperlink ref="CA1223" r:id="rId4387" xr:uid="{BC524147-775B-4CF9-AC82-EC0EB37C7929}"/>
    <hyperlink ref="CB1223" r:id="rId4388" xr:uid="{ECDAB4A2-9D90-4E85-B4D6-EBF9618578A5}"/>
    <hyperlink ref="CD1223" r:id="rId4389" xr:uid="{B4FA27F2-2221-4485-9651-254D9685A5D0}"/>
    <hyperlink ref="O1224" r:id="rId4390" xr:uid="{B9ABA791-6483-4DD8-B788-7C0F881161D9}"/>
    <hyperlink ref="S1224" r:id="rId4391" xr:uid="{3ED40919-2663-4A26-9915-794709D03DA7}"/>
    <hyperlink ref="T1224" r:id="rId4392" xr:uid="{B39A6AF2-C5DC-48E0-936E-ACDF6DE8E2D3}"/>
    <hyperlink ref="CA1224" r:id="rId4393" xr:uid="{CFC2F56E-251F-4848-BD3B-C79A5BF1F629}"/>
    <hyperlink ref="CB1224" r:id="rId4394" xr:uid="{7C5D15B9-5450-4C2B-8341-74A3BD52602A}"/>
    <hyperlink ref="CD1224" r:id="rId4395" xr:uid="{F626BF32-CAD0-4D28-805F-A9883AD4E965}"/>
    <hyperlink ref="O1225" r:id="rId4396" xr:uid="{C1C593AF-74FF-4157-A2C9-E323A69EF0AC}"/>
    <hyperlink ref="S1225" r:id="rId4397" xr:uid="{4E1D8573-3E3B-4118-A8CB-D4561AF1778D}"/>
    <hyperlink ref="T1225" r:id="rId4398" xr:uid="{475C4612-95A7-4413-AE16-D97525D37108}"/>
    <hyperlink ref="CA1225" r:id="rId4399" xr:uid="{1B40B817-E19E-4E07-BE04-9C5215A7F804}"/>
    <hyperlink ref="CB1225" r:id="rId4400" xr:uid="{B2B963B1-D089-4578-A76C-A6E66A0C3D3E}"/>
    <hyperlink ref="CD1225" r:id="rId4401" xr:uid="{59CF2A4D-AFAF-4E0A-A9FD-0C1ACD25FD53}"/>
    <hyperlink ref="O1226" r:id="rId4402" xr:uid="{B275CBDA-61B2-4589-9AC0-8CA3005D469B}"/>
    <hyperlink ref="S1226" r:id="rId4403" xr:uid="{24288E4F-466B-4E28-B8D8-21513CF2F9F1}"/>
    <hyperlink ref="T1226" r:id="rId4404" xr:uid="{E8686BA5-79F9-4A34-AEC2-A9BFF21CFB51}"/>
    <hyperlink ref="CA1226" r:id="rId4405" xr:uid="{60A7A68B-5E9A-4BCC-ADC3-9F06AE4ED04E}"/>
    <hyperlink ref="CB1226" r:id="rId4406" xr:uid="{5D00E4C4-8C47-418A-A438-13B5ABD9940F}"/>
    <hyperlink ref="CD1226" r:id="rId4407" xr:uid="{71CF5D04-A22D-43D3-9EC8-8E151037A98D}"/>
    <hyperlink ref="O1227" r:id="rId4408" xr:uid="{3F2D0F74-D33D-4729-AF2E-163BC2FB641F}"/>
    <hyperlink ref="S1227" r:id="rId4409" xr:uid="{B999716D-81E1-4CC6-BBAE-D6727F8746B6}"/>
    <hyperlink ref="T1227" r:id="rId4410" xr:uid="{310E1F50-FE82-4DC3-BE62-35BCF980BD45}"/>
    <hyperlink ref="CA1227" r:id="rId4411" xr:uid="{999E6BB8-A887-4FBD-8342-6E38F354C16B}"/>
    <hyperlink ref="CB1227" r:id="rId4412" xr:uid="{C37F930D-14AA-4CD4-B907-BBE23B1B302C}"/>
    <hyperlink ref="O1228" r:id="rId4413" xr:uid="{78E6B3FB-8C46-4020-89FD-2F1FF70F0BCC}"/>
    <hyperlink ref="S1228" r:id="rId4414" xr:uid="{A46A5101-B8B2-4A7D-BFF5-CC2967E09C29}"/>
    <hyperlink ref="T1228" r:id="rId4415" xr:uid="{EDF21B2A-6D97-49E1-8785-2E50E473117D}"/>
    <hyperlink ref="CA1228" r:id="rId4416" xr:uid="{D9D367B0-411E-4AA8-B59A-A022C21415A7}"/>
    <hyperlink ref="CB1228" r:id="rId4417" xr:uid="{1A3EF075-E133-4ED4-A7B3-2A556A1A7A42}"/>
    <hyperlink ref="CD1228" r:id="rId4418" xr:uid="{670875B4-C3CA-4FB5-9115-4A6A012A95FC}"/>
    <hyperlink ref="O1229" r:id="rId4419" xr:uid="{04416767-83BF-4E84-971A-02CA1B6A8255}"/>
    <hyperlink ref="S1229" r:id="rId4420" xr:uid="{A50EA094-3C60-406D-B02B-39CC263303B7}"/>
    <hyperlink ref="T1229" r:id="rId4421" xr:uid="{A82BC0A6-E30D-4926-BBF2-E94277059FB2}"/>
    <hyperlink ref="CA1229" r:id="rId4422" xr:uid="{CDF07EA8-CA3A-4A5F-BE79-453340397958}"/>
    <hyperlink ref="CB1229" r:id="rId4423" xr:uid="{3C3A8341-E030-4C79-9AD5-EB84CC4CE757}"/>
    <hyperlink ref="O1230" r:id="rId4424" xr:uid="{810E18AF-5FE4-428A-9A61-4D02BC78AE21}"/>
    <hyperlink ref="S1230" r:id="rId4425" xr:uid="{A8204D02-47C0-4119-8010-8C03E37C27E1}"/>
    <hyperlink ref="T1230" r:id="rId4426" xr:uid="{27C65149-0757-4904-A732-50BC3FA67588}"/>
    <hyperlink ref="CA1230" r:id="rId4427" xr:uid="{B4B08457-3E0F-4F4F-8926-3D088C6C26E1}"/>
    <hyperlink ref="CB1230" r:id="rId4428" xr:uid="{718BCC3A-E01A-4B26-A337-88411B404CBC}"/>
    <hyperlink ref="CD1230" r:id="rId4429" xr:uid="{A6F4064B-FEFA-4C75-B363-FF4400B52206}"/>
    <hyperlink ref="O1231" r:id="rId4430" xr:uid="{F9DCEEDE-5D77-4895-9475-66299A5AA240}"/>
    <hyperlink ref="S1231" r:id="rId4431" xr:uid="{58A1F3B3-BE42-48DB-9B12-F97DD5B0DCFB}"/>
    <hyperlink ref="T1231" r:id="rId4432" xr:uid="{8C326036-C2E8-4680-877F-66EC7B985E51}"/>
    <hyperlink ref="BX1231" r:id="rId4433" xr:uid="{AD128015-0BC9-4382-B42C-EFB21407F1C1}"/>
    <hyperlink ref="CA1231" r:id="rId4434" xr:uid="{38745420-BC17-4249-914D-5669B0425FEB}"/>
    <hyperlink ref="CB1231" r:id="rId4435" xr:uid="{4E4A5069-D00B-4718-8463-6AC76961036B}"/>
    <hyperlink ref="CD1231" r:id="rId4436" xr:uid="{FC27BCF4-7152-4AF2-ABFB-9D630D933744}"/>
    <hyperlink ref="O1232" r:id="rId4437" xr:uid="{14542304-36BC-4393-AB27-572BB9D325E5}"/>
    <hyperlink ref="S1232" r:id="rId4438" xr:uid="{BCE78B7A-DDC3-45DC-8504-1583EADBF932}"/>
    <hyperlink ref="T1232" r:id="rId4439" xr:uid="{B4DA2A5D-09A2-4A34-A0BF-1B44F6EC8381}"/>
    <hyperlink ref="CA1232" r:id="rId4440" xr:uid="{F37C51A5-2B9D-4A5E-8527-D51FEEECD34A}"/>
    <hyperlink ref="CB1232" r:id="rId4441" xr:uid="{1600575B-1B4C-4B00-A2AB-1D6F7F2D5B50}"/>
    <hyperlink ref="CD1232" r:id="rId4442" xr:uid="{E312F0EA-7323-46F9-9519-AC86FA64EC43}"/>
    <hyperlink ref="O1233" r:id="rId4443" xr:uid="{B0C306F9-A147-40B6-A7FC-C710090EA865}"/>
    <hyperlink ref="S1233" r:id="rId4444" xr:uid="{894E72A2-ADCB-4618-A1CB-521E54CF5202}"/>
    <hyperlink ref="T1233" r:id="rId4445" xr:uid="{C8FC1466-CAE5-4CDF-BE33-AB29F7CD2235}"/>
    <hyperlink ref="CA1233" r:id="rId4446" xr:uid="{6C66927B-9713-4158-A5EC-CB5EC7231DFE}"/>
    <hyperlink ref="CB1233" r:id="rId4447" xr:uid="{F6D3ED57-0F44-4411-9880-59C37A5AB280}"/>
    <hyperlink ref="CD1233" r:id="rId4448" xr:uid="{CCFEED92-E40E-4580-BFCF-FF5E09DF1721}"/>
    <hyperlink ref="O1234" r:id="rId4449" xr:uid="{0475B4C1-7F0C-4886-A117-0D77A6EEB288}"/>
    <hyperlink ref="S1234" r:id="rId4450" xr:uid="{FC5625D1-EEFC-4CEA-BC1A-32B11352BEEB}"/>
    <hyperlink ref="CA1234" r:id="rId4451" xr:uid="{D1CE194C-8B59-4530-A270-4897129C5890}"/>
    <hyperlink ref="O1235" r:id="rId4452" xr:uid="{2AD1EE97-1599-430B-B86B-B687EC4B5228}"/>
    <hyperlink ref="S1235" r:id="rId4453" xr:uid="{42E39E52-C02D-4B91-AC39-2073B744AF84}"/>
    <hyperlink ref="T1235" r:id="rId4454" xr:uid="{578D0EE7-ACC3-400E-86DE-B6E2D3FD089A}"/>
    <hyperlink ref="CA1235" r:id="rId4455" xr:uid="{54CBD132-03A2-40CE-8533-59D0E4DBD109}"/>
    <hyperlink ref="CB1235" r:id="rId4456" xr:uid="{9B30009C-A86F-4EBD-B684-FEA2856DBDD7}"/>
    <hyperlink ref="CD1235" r:id="rId4457" xr:uid="{A99BF5BC-0EC8-4CCA-B7AA-22A6E80158A8}"/>
    <hyperlink ref="O1236" r:id="rId4458" xr:uid="{3995CB70-B5B2-48FD-A2F6-2A280A09532A}"/>
    <hyperlink ref="S1236" r:id="rId4459" xr:uid="{915CCA6B-5095-45D5-AAC7-EB5FF15397B2}"/>
    <hyperlink ref="T1236" r:id="rId4460" xr:uid="{ADA8F1BA-6124-4EF0-9B55-4E0C94A4BC6D}"/>
    <hyperlink ref="CA1236" r:id="rId4461" xr:uid="{D8D58427-9F31-46BF-BEB3-2F91A4B476CA}"/>
    <hyperlink ref="CB1236" r:id="rId4462" xr:uid="{51C01218-50CC-46C4-90C6-330C61937BB3}"/>
    <hyperlink ref="CD1236" r:id="rId4463" xr:uid="{BE24C9C8-1EFD-4137-BBF3-F120515A1AF3}"/>
    <hyperlink ref="O1237" r:id="rId4464" xr:uid="{74DE4EDE-D436-471D-BC33-3D8BE0E7AA8E}"/>
    <hyperlink ref="S1237" r:id="rId4465" xr:uid="{8A19738B-2614-4142-ADA1-110AC3CA8503}"/>
    <hyperlink ref="BX1237" r:id="rId4466" xr:uid="{D47B3A9B-055D-4196-AC16-36001BCFC5E7}"/>
    <hyperlink ref="CA1237" r:id="rId4467" xr:uid="{20EEB5C5-D23A-46CB-ACC0-69AA861730C7}"/>
    <hyperlink ref="CD1237" r:id="rId4468" xr:uid="{C27660A5-D228-4619-A472-038089B19E61}"/>
    <hyperlink ref="O1238" r:id="rId4469" xr:uid="{B5113E19-8DFE-46B3-81C4-D8DA22776755}"/>
    <hyperlink ref="S1238" r:id="rId4470" xr:uid="{BF91D0CA-B5CF-4442-BBFF-5C2D6239D811}"/>
    <hyperlink ref="CA1238" r:id="rId4471" xr:uid="{B3D5FAFE-82F1-499C-B3DD-626F2FD22F2E}"/>
    <hyperlink ref="CD1238" r:id="rId4472" xr:uid="{C26C632D-1499-43E4-98E6-F9C0D4C21410}"/>
    <hyperlink ref="O1239" r:id="rId4473" xr:uid="{E5D9F2D6-1B72-4D6A-A9F5-3D1181809580}"/>
    <hyperlink ref="S1239" r:id="rId4474" xr:uid="{F910516F-2324-4A64-A4A5-4BBB016AA752}"/>
    <hyperlink ref="T1239" r:id="rId4475" xr:uid="{CE8F38FB-FAA1-4EB5-94C1-E7A84F5C907E}"/>
    <hyperlink ref="CA1239" r:id="rId4476" xr:uid="{0F916B77-8615-441F-BE30-3EA2B87900F7}"/>
    <hyperlink ref="CB1239" r:id="rId4477" xr:uid="{11CC8E26-68D2-4006-80CD-5CB9112433BB}"/>
    <hyperlink ref="CD1239" r:id="rId4478" xr:uid="{3992630E-FDCB-4EB4-82B9-F9BBDFE42368}"/>
    <hyperlink ref="O1240" r:id="rId4479" xr:uid="{2A5AB283-5794-46B3-85C9-E27AA8AC8BC4}"/>
    <hyperlink ref="S1240" r:id="rId4480" xr:uid="{C0694D99-C45B-433E-A1CB-028114ECD942}"/>
    <hyperlink ref="T1240" r:id="rId4481" xr:uid="{912E6295-9426-449E-82A9-A8E4E0EF660B}"/>
    <hyperlink ref="CA1240" r:id="rId4482" xr:uid="{9A8DB195-7FD3-4A6D-BBDB-F2A3FA1D5752}"/>
    <hyperlink ref="CB1240" r:id="rId4483" xr:uid="{F4EB1F9E-45FC-4443-8EF3-408407361A2B}"/>
    <hyperlink ref="CD1240" r:id="rId4484" xr:uid="{4CDD1C57-45C5-4001-B13A-FC55F5CEC536}"/>
    <hyperlink ref="O1241" r:id="rId4485" xr:uid="{27A340D6-0781-46BA-A34A-4B5C50CA96F3}"/>
    <hyperlink ref="S1241" r:id="rId4486" xr:uid="{4BB32C95-4499-40B9-A975-FDFA17D75196}"/>
    <hyperlink ref="T1241" r:id="rId4487" xr:uid="{C237BE92-2024-487E-B5D2-9B6C70EE31A9}"/>
    <hyperlink ref="CA1241" r:id="rId4488" xr:uid="{6625149D-CF66-481C-B6D4-EECC7ADC9F54}"/>
    <hyperlink ref="CB1241" r:id="rId4489" xr:uid="{C5C7CBC4-E3FC-481F-830F-BE904EC792E0}"/>
    <hyperlink ref="CD1241" r:id="rId4490" xr:uid="{A33F16F1-C05D-41E1-925F-C2140CCBF2BB}"/>
    <hyperlink ref="O1242" r:id="rId4491" xr:uid="{06F59B24-E918-4CD3-8D86-C52694E50017}"/>
    <hyperlink ref="S1242" r:id="rId4492" xr:uid="{A87E07CA-DFAF-4D69-A7D1-8AC97AD82F2B}"/>
    <hyperlink ref="T1242" r:id="rId4493" xr:uid="{2AC859EF-5379-4A1C-A503-5A40DF7B0A01}"/>
    <hyperlink ref="CA1242" r:id="rId4494" xr:uid="{411BA8D6-0767-47BF-AE88-376207338826}"/>
    <hyperlink ref="CB1242" r:id="rId4495" xr:uid="{1D970AB8-0E73-46A4-98C7-DD79D6533225}"/>
    <hyperlink ref="O1243" r:id="rId4496" xr:uid="{EF522BE5-D57F-45F3-80C5-3C9B3D6496EA}"/>
    <hyperlink ref="S1243" r:id="rId4497" xr:uid="{ADF09758-1012-41ED-91CB-5687064F0A22}"/>
    <hyperlink ref="T1243" r:id="rId4498" xr:uid="{0D9165CA-6B14-430E-B1C7-BF38E2EABF5D}"/>
    <hyperlink ref="CA1243" r:id="rId4499" xr:uid="{65FC336E-E3E0-4FCA-B330-5CDE45B15F91}"/>
    <hyperlink ref="CB1243" r:id="rId4500" xr:uid="{4FD228A0-6B5A-49AE-8903-0D9B291992AF}"/>
    <hyperlink ref="CD1243" r:id="rId4501" xr:uid="{1F399F3D-F87B-46D9-9E63-9469787A4DAB}"/>
    <hyperlink ref="O1244" r:id="rId4502" xr:uid="{0A428E9C-1C87-4219-972B-AC5552804D7F}"/>
    <hyperlink ref="S1244" r:id="rId4503" xr:uid="{1C1C578F-0644-4FA3-9B0D-0A719275A71F}"/>
    <hyperlink ref="T1244" r:id="rId4504" xr:uid="{2D115B1C-EDC4-4AD9-9F9E-51F4A427E167}"/>
    <hyperlink ref="CA1244" r:id="rId4505" xr:uid="{43DC4726-F9C2-4B91-BBFE-41DC36DBF639}"/>
    <hyperlink ref="CB1244" r:id="rId4506" xr:uid="{55D136F0-D706-48B6-BFA4-48C87C5BF71B}"/>
    <hyperlink ref="CD1244" r:id="rId4507" xr:uid="{A3CA996F-1FCB-4B4A-BEA2-FA630CB75A3C}"/>
    <hyperlink ref="O1245" r:id="rId4508" xr:uid="{D1D40971-ED9E-4CC0-9FAD-B78B0D142F47}"/>
    <hyperlink ref="S1245" r:id="rId4509" xr:uid="{40524A8B-C26C-41AF-9C5C-470AD5B5D829}"/>
    <hyperlink ref="T1245" r:id="rId4510" xr:uid="{93983CAC-86D4-407F-8C6C-195B5ED2573F}"/>
    <hyperlink ref="CA1245" r:id="rId4511" xr:uid="{CEB0AD10-B242-45F3-95FE-A109561CFAD5}"/>
    <hyperlink ref="CB1245" r:id="rId4512" xr:uid="{F7A80B62-6EC4-4EF7-9D6B-C3D7D2ACDB15}"/>
    <hyperlink ref="CD1245" r:id="rId4513" xr:uid="{0352BA7E-C37A-4AEB-8306-2ABE87D70A53}"/>
    <hyperlink ref="O1246" r:id="rId4514" xr:uid="{23BFED37-446F-4730-B474-3E891704B9E7}"/>
    <hyperlink ref="S1246" r:id="rId4515" xr:uid="{FDB5B892-F018-447C-8150-C681834FC74D}"/>
    <hyperlink ref="T1246" r:id="rId4516" xr:uid="{D403BBC4-AE50-4A44-BEEE-3194D1578CD1}"/>
    <hyperlink ref="CA1246" r:id="rId4517" xr:uid="{1E072811-C09C-4B98-8552-0532213DA124}"/>
    <hyperlink ref="CB1246" r:id="rId4518" xr:uid="{3A357479-B129-48E1-9C1F-FB7F739A6928}"/>
    <hyperlink ref="CD1246" r:id="rId4519" xr:uid="{C112811C-649E-4E78-B310-9B3F78795963}"/>
    <hyperlink ref="O1247" r:id="rId4520" xr:uid="{A94CD125-28D5-4FDC-AC5A-5B60F852520D}"/>
    <hyperlink ref="S1247" r:id="rId4521" xr:uid="{71F4AC12-88E1-40DE-9C4C-808CE581E2A2}"/>
    <hyperlink ref="T1247" r:id="rId4522" xr:uid="{97BC1987-C743-4552-A9D7-5CD2E365A8AA}"/>
    <hyperlink ref="CA1247" r:id="rId4523" xr:uid="{19D81F8E-42C7-433A-ABDA-22BA3162E38E}"/>
    <hyperlink ref="CB1247" r:id="rId4524" xr:uid="{AD388C3A-3FE3-4C90-AE2E-66A551A819CF}"/>
    <hyperlink ref="CD1247" r:id="rId4525" xr:uid="{6CAB9432-33EF-4A4F-AEB1-D4A5C9F980E0}"/>
    <hyperlink ref="O1248" r:id="rId4526" xr:uid="{6F5DCBF3-0F08-4205-9EAA-B78403F3B7AC}"/>
    <hyperlink ref="S1248" r:id="rId4527" xr:uid="{42251941-4454-42ED-B94D-A06F887EE44F}"/>
    <hyperlink ref="T1248" r:id="rId4528" xr:uid="{8256C484-1E7C-4EED-909A-01A5961EABC2}"/>
    <hyperlink ref="CA1248" r:id="rId4529" xr:uid="{368B7567-E2ED-409B-8449-47D40FB61C3A}"/>
    <hyperlink ref="CB1248" r:id="rId4530" xr:uid="{5BC59FD6-6F3B-4178-8D93-655E4CE18BA5}"/>
    <hyperlink ref="CD1248" r:id="rId4531" xr:uid="{1AFE55F8-50EC-4E24-993E-99C90FC5D143}"/>
    <hyperlink ref="O1249" r:id="rId4532" xr:uid="{664AACE8-5A5B-4E76-AA74-1E1CE5623D52}"/>
    <hyperlink ref="S1249" r:id="rId4533" xr:uid="{131992FA-247A-4D9F-8988-54A520A65A86}"/>
    <hyperlink ref="T1249" r:id="rId4534" xr:uid="{73B7B557-7670-4B29-ACBC-94EF98A97216}"/>
    <hyperlink ref="CA1249" r:id="rId4535" xr:uid="{64CDB06E-596C-4871-96E9-22A98ADB0AA6}"/>
    <hyperlink ref="CB1249" r:id="rId4536" xr:uid="{724720E1-C229-4776-810A-43F3FCC3ED5B}"/>
    <hyperlink ref="O1250" r:id="rId4537" xr:uid="{2797AE22-070F-4DC0-A54F-F24E4B669056}"/>
    <hyperlink ref="S1250" r:id="rId4538" xr:uid="{E560DEC3-D374-4835-A094-2F1452A419E4}"/>
    <hyperlink ref="T1250" r:id="rId4539" xr:uid="{5C005CBC-9963-4B9F-A210-30DC1263D87F}"/>
    <hyperlink ref="CA1250" r:id="rId4540" xr:uid="{64F444E6-C6D3-46E4-A624-5F30EE97C4B9}"/>
    <hyperlink ref="CB1250" r:id="rId4541" xr:uid="{2F67B241-3283-4EAF-88D4-38BFF74DF1E2}"/>
    <hyperlink ref="CD1250" r:id="rId4542" xr:uid="{465FFD56-F071-46E8-AF3B-09FFECC28F7E}"/>
    <hyperlink ref="O1251" r:id="rId4543" xr:uid="{68E1F36F-0A48-4501-996D-BF6CBFD3496A}"/>
    <hyperlink ref="S1251" r:id="rId4544" xr:uid="{6686E594-B65C-4046-B71D-D4851A4B33DB}"/>
    <hyperlink ref="T1251" r:id="rId4545" xr:uid="{CD308A15-0446-4C38-8907-7DE3DF1EA2BD}"/>
    <hyperlink ref="CA1251" r:id="rId4546" xr:uid="{A2E1BF5E-E2A1-40FB-AEAE-6086E2081ECC}"/>
    <hyperlink ref="CB1251" r:id="rId4547" xr:uid="{C705A831-14BC-479A-A97B-4FC9A7209539}"/>
    <hyperlink ref="O1252" r:id="rId4548" xr:uid="{23ED3827-B8F8-48DB-A668-CA462AFA99A0}"/>
    <hyperlink ref="S1252" r:id="rId4549" xr:uid="{D02F9E51-CB31-4D6E-B524-6F25E21C38BF}"/>
    <hyperlink ref="T1252" r:id="rId4550" xr:uid="{3E70D68B-F252-47E4-8226-55FB120F0444}"/>
    <hyperlink ref="CA1252" r:id="rId4551" xr:uid="{7AB0E47F-8236-4086-9A54-731DD3652C71}"/>
    <hyperlink ref="CB1252" r:id="rId4552" xr:uid="{B1FDE1AB-2553-4334-AA4F-A950BA1B2409}"/>
    <hyperlink ref="CD1252" r:id="rId4553" xr:uid="{F12915E7-4176-44D0-AD81-CA9FAEE3AB57}"/>
    <hyperlink ref="O1253" r:id="rId4554" xr:uid="{53665126-EAEF-4809-A864-F857E3C05807}"/>
    <hyperlink ref="S1253" r:id="rId4555" xr:uid="{6F312417-D183-4AFC-9C06-747FC33B0916}"/>
    <hyperlink ref="T1253" r:id="rId4556" xr:uid="{C4743DC1-7FDF-4B36-BA84-2A4C1E7CE5F6}"/>
    <hyperlink ref="CA1253" r:id="rId4557" xr:uid="{22F39DFF-E7B1-4B5B-B017-BB6A9DCD511E}"/>
    <hyperlink ref="CB1253" r:id="rId4558" xr:uid="{42171216-08DC-424E-B421-78ACDD861876}"/>
    <hyperlink ref="CD1253" r:id="rId4559" xr:uid="{706F888C-960A-4C5F-A7B4-930F8FD8D062}"/>
    <hyperlink ref="O1254" r:id="rId4560" xr:uid="{C16633B1-9286-4E84-AC79-74820FE197C5}"/>
    <hyperlink ref="S1254" r:id="rId4561" xr:uid="{F55A8E39-40A4-42B8-9E2E-4CB96271A405}"/>
    <hyperlink ref="T1254" r:id="rId4562" xr:uid="{B7929ADF-35AA-4999-A3C8-558A72A31CEE}"/>
    <hyperlink ref="CA1254" r:id="rId4563" xr:uid="{95A00B57-3DD3-4F5D-B9B4-37D70088A1ED}"/>
    <hyperlink ref="CB1254" r:id="rId4564" xr:uid="{D9428161-784A-4E1D-84D3-FBA94DCE5089}"/>
    <hyperlink ref="CD1254" r:id="rId4565" xr:uid="{A132BD26-D1FC-4B37-804A-053664811D08}"/>
    <hyperlink ref="O1255" r:id="rId4566" xr:uid="{FEFECCF5-79D0-436B-A302-02049017859F}"/>
    <hyperlink ref="S1255" r:id="rId4567" xr:uid="{1B48323A-2409-45A7-9D0C-FBB781A083BC}"/>
    <hyperlink ref="T1255" r:id="rId4568" xr:uid="{42D50080-CB9B-406B-91CB-2D36CDC5F002}"/>
    <hyperlink ref="CA1255" r:id="rId4569" xr:uid="{E6D3F95D-C690-4A76-8E76-C6E701FA314E}"/>
    <hyperlink ref="CB1255" r:id="rId4570" xr:uid="{5C874D89-5863-448C-8865-1A5CC4162B2F}"/>
    <hyperlink ref="O1256" r:id="rId4571" xr:uid="{80572AD2-8D8A-4E6E-93BC-757D089FB467}"/>
    <hyperlink ref="S1256" r:id="rId4572" xr:uid="{F5E108FD-A313-40DD-AADE-7471C2D9784F}"/>
    <hyperlink ref="T1256" r:id="rId4573" xr:uid="{17F02831-6FC0-4AE9-94ED-1222683D9403}"/>
    <hyperlink ref="CA1256" r:id="rId4574" xr:uid="{20366176-C5E2-4232-828F-0C637CFB2738}"/>
    <hyperlink ref="CB1256" r:id="rId4575" xr:uid="{694C51D7-2CC9-45C3-8847-E1D0D564C712}"/>
    <hyperlink ref="CD1256" r:id="rId4576" xr:uid="{7E60ECD7-D718-4E99-AF9E-7151F8F24BE3}"/>
    <hyperlink ref="O1257" r:id="rId4577" xr:uid="{2416A8BD-F6CD-45C7-81EE-71D7DB93F89E}"/>
    <hyperlink ref="S1257" r:id="rId4578" xr:uid="{E4C56EEA-A065-461F-BBA4-ECFA9CF2A5C6}"/>
    <hyperlink ref="T1257" r:id="rId4579" xr:uid="{B2B3D9E8-B75C-4CA1-8C29-3823942CE82D}"/>
    <hyperlink ref="CA1257" r:id="rId4580" xr:uid="{2F82A465-B7EB-43B2-B63D-3BB06802832C}"/>
    <hyperlink ref="CB1257" r:id="rId4581" xr:uid="{D0C22250-E64E-4956-9BD5-3E02EABE6CAC}"/>
    <hyperlink ref="O1258" r:id="rId4582" xr:uid="{E265FBEA-F54B-41F6-9292-7613D7B9D60E}"/>
    <hyperlink ref="S1258" r:id="rId4583" xr:uid="{8436A7D0-F3EF-42CD-A757-82788A4A7B66}"/>
    <hyperlink ref="T1258" r:id="rId4584" xr:uid="{771E8779-0320-4E0B-8429-BE66FBCFAC8A}"/>
    <hyperlink ref="CA1258" r:id="rId4585" xr:uid="{30F8282A-22E7-4C01-86AE-59F13814263F}"/>
    <hyperlink ref="CB1258" r:id="rId4586" xr:uid="{4543FF5D-8A1C-40E1-B70E-AD14348A0DE5}"/>
    <hyperlink ref="CD1258" r:id="rId4587" xr:uid="{C4A3EFB6-5083-4C76-8DE2-72CACA55BA69}"/>
    <hyperlink ref="O1259" r:id="rId4588" xr:uid="{95FBC621-1EDE-43EE-AAFD-E8F170CB9720}"/>
    <hyperlink ref="S1259" r:id="rId4589" xr:uid="{EDCFAAF2-A33A-4964-AF59-3FFAAC10F8D9}"/>
    <hyperlink ref="T1259" r:id="rId4590" xr:uid="{F84E7893-24F3-4C3B-B944-1F26AE586D9B}"/>
    <hyperlink ref="CA1259" r:id="rId4591" xr:uid="{61907026-9D49-4BAD-B587-26A2BC2B82C8}"/>
    <hyperlink ref="CB1259" r:id="rId4592" xr:uid="{3C374E6D-D8E8-4E3B-97D7-D66524E279AF}"/>
    <hyperlink ref="O1260" r:id="rId4593" xr:uid="{519C7A60-541F-452D-97E2-74763EC68D53}"/>
    <hyperlink ref="S1260" r:id="rId4594" xr:uid="{28C5A340-EA05-4C5B-92E5-0EAA2206410E}"/>
    <hyperlink ref="T1260" r:id="rId4595" xr:uid="{34530CF2-7B1C-44BB-BE81-F7484CDF4F08}"/>
    <hyperlink ref="CA1260" r:id="rId4596" xr:uid="{FA92C05F-5B48-4FAA-B957-F1A6DCCFBF31}"/>
    <hyperlink ref="CB1260" r:id="rId4597" xr:uid="{E81AA07A-FA09-435A-AF4B-2CD83E8472B0}"/>
    <hyperlink ref="CD1260" r:id="rId4598" xr:uid="{66F54755-2799-452C-839F-506C78B851B4}"/>
    <hyperlink ref="O1261" r:id="rId4599" xr:uid="{F275DEC0-4839-4F2F-A1B9-9F2A012B0128}"/>
    <hyperlink ref="S1261" r:id="rId4600" xr:uid="{E9E51D9E-11AA-474F-9BC1-C905B97AA291}"/>
    <hyperlink ref="T1261" r:id="rId4601" xr:uid="{532E62C9-31CA-42DD-A23D-761008BBA0A2}"/>
    <hyperlink ref="CA1261" r:id="rId4602" xr:uid="{960B966E-4B09-4E4F-B839-94B441F8EDFE}"/>
    <hyperlink ref="CB1261" r:id="rId4603" xr:uid="{3B0DA72C-FC67-4B94-9D92-7E74F0600330}"/>
    <hyperlink ref="CD1261" r:id="rId4604" xr:uid="{F24AA75B-D425-498A-BA15-C46647E76CA9}"/>
    <hyperlink ref="O1262" r:id="rId4605" xr:uid="{2961FE83-0548-4921-9793-B5468A48EE51}"/>
    <hyperlink ref="S1262" r:id="rId4606" xr:uid="{5A1BA072-5D69-46FB-885D-24C235871F9E}"/>
    <hyperlink ref="T1262" r:id="rId4607" xr:uid="{03E6B9A4-8028-40D4-99E4-4FEEA285E6B8}"/>
    <hyperlink ref="CA1262" r:id="rId4608" xr:uid="{E33ABB89-E4E7-4212-9DC1-6012A3E23B57}"/>
    <hyperlink ref="CB1262" r:id="rId4609" xr:uid="{9FF6897C-D779-4940-98B8-DBDCB0CD6FFC}"/>
    <hyperlink ref="CD1262" r:id="rId4610" xr:uid="{36A9AC9C-EA81-4D2E-A909-04F817CC8A6C}"/>
    <hyperlink ref="O1263" r:id="rId4611" xr:uid="{27D374EF-15AF-4DA5-9359-BAA247F307A7}"/>
    <hyperlink ref="S1263" r:id="rId4612" xr:uid="{DF2BEA93-46C3-4649-8041-58D6396E6512}"/>
    <hyperlink ref="T1263" r:id="rId4613" xr:uid="{F97E4BD2-A402-444E-9EF2-329DA44C0B45}"/>
    <hyperlink ref="CA1263" r:id="rId4614" xr:uid="{F5CDF1F2-8085-495F-9F99-C1E4F5160CDB}"/>
    <hyperlink ref="CB1263" r:id="rId4615" xr:uid="{0F75971F-7F09-44C6-964A-7E6136A1DD5D}"/>
    <hyperlink ref="CD1263" r:id="rId4616" xr:uid="{77618BDA-7507-4FFF-9E32-C749B281CC34}"/>
    <hyperlink ref="O1264" r:id="rId4617" xr:uid="{5E10394C-289E-44D5-A2EA-1EE63C6EC840}"/>
    <hyperlink ref="S1264" r:id="rId4618" xr:uid="{8FA6F399-0C0C-4BE3-BE62-DAD73A83884B}"/>
    <hyperlink ref="T1264" r:id="rId4619" xr:uid="{1B2A8DDE-FCC2-424C-A8B4-9769FD8068F3}"/>
    <hyperlink ref="CA1264" r:id="rId4620" xr:uid="{F214F960-1458-4786-8235-64DCF19B661A}"/>
    <hyperlink ref="CB1264" r:id="rId4621" xr:uid="{48E46D61-F1DF-4271-A7E5-4310041E9E65}"/>
    <hyperlink ref="CD1264" r:id="rId4622" xr:uid="{869A2A1B-641F-45C6-A22A-1E1DFF6C49C8}"/>
    <hyperlink ref="O1265" r:id="rId4623" xr:uid="{B6EC98CF-AF92-4F09-8BEB-7B47A795958C}"/>
    <hyperlink ref="S1265" r:id="rId4624" xr:uid="{0B331FB9-4680-4197-BD7C-98194D283F40}"/>
    <hyperlink ref="T1265" r:id="rId4625" xr:uid="{1603DD8D-3D6A-4360-BB52-1A3EFC6DBDB9}"/>
    <hyperlink ref="CA1265" r:id="rId4626" xr:uid="{10A018E2-31DF-43D8-8042-110F0627F28D}"/>
    <hyperlink ref="CB1265" r:id="rId4627" xr:uid="{D93A16BE-45D2-4A23-9A8C-CE9801017EF7}"/>
    <hyperlink ref="CD1265" r:id="rId4628" xr:uid="{2ABA1A76-DFEC-4D0B-B6E2-77836FF3579F}"/>
    <hyperlink ref="O1266" r:id="rId4629" xr:uid="{9DD5ADA9-25D2-43D3-BD7A-EE0E35B37F06}"/>
    <hyperlink ref="S1266" r:id="rId4630" xr:uid="{0B4C89AB-AA5C-4B34-A395-02CBF2156A01}"/>
    <hyperlink ref="T1266" r:id="rId4631" xr:uid="{7D23D3D7-BAAA-4AE7-8662-DE20838ABAC6}"/>
    <hyperlink ref="CA1266" r:id="rId4632" xr:uid="{4E5ABAEF-1AC4-4787-9D3D-918330B098C6}"/>
    <hyperlink ref="CB1266" r:id="rId4633" xr:uid="{C3FFC01C-A3C8-43CD-A492-EF3537436C01}"/>
    <hyperlink ref="CD1266" r:id="rId4634" xr:uid="{A00B17DD-2F84-4B01-9923-7B5ED1E517C5}"/>
    <hyperlink ref="O1267" r:id="rId4635" xr:uid="{19258917-7F5E-4B67-90DB-E0FBA4BBC8FA}"/>
    <hyperlink ref="S1267" r:id="rId4636" xr:uid="{3D8DA774-CBF8-4CD1-B6BE-0D433057BD5B}"/>
    <hyperlink ref="T1267" r:id="rId4637" xr:uid="{6684836A-6176-406F-A0EF-A9861BADAFD1}"/>
    <hyperlink ref="CA1267" r:id="rId4638" xr:uid="{AB4C9CA8-4BB9-4DF4-8378-6F5B41641FE9}"/>
    <hyperlink ref="CB1267" r:id="rId4639" xr:uid="{D51AFB51-1926-406B-8145-954BFE97E950}"/>
    <hyperlink ref="O1268" r:id="rId4640" xr:uid="{F474B4F8-5EB5-4081-9138-A7A1F2EFE537}"/>
    <hyperlink ref="S1268" r:id="rId4641" xr:uid="{6187570B-E0D6-42FB-81C8-F2896E241F30}"/>
    <hyperlink ref="T1268" r:id="rId4642" xr:uid="{D3944661-43E4-4E4B-A5D3-959325B310B2}"/>
    <hyperlink ref="CA1268" r:id="rId4643" xr:uid="{57743CF1-0022-4F33-A87B-790498233467}"/>
    <hyperlink ref="CB1268" r:id="rId4644" xr:uid="{CD136694-A9F8-41BB-8A54-194D87B44B16}"/>
    <hyperlink ref="CD1268" r:id="rId4645" xr:uid="{405150FD-F7F3-4633-A08E-F1474F1579C0}"/>
    <hyperlink ref="O1269" r:id="rId4646" xr:uid="{D03FE15D-BCAF-43B5-B063-382B28E902FE}"/>
    <hyperlink ref="S1269" r:id="rId4647" xr:uid="{3894013F-52AE-4CE3-B970-921BEE567FF7}"/>
    <hyperlink ref="T1269" r:id="rId4648" xr:uid="{F4BEEA27-D41D-49A9-9599-B688D1C3A28F}"/>
    <hyperlink ref="CA1269" r:id="rId4649" xr:uid="{219A6DE7-4853-4623-8D96-3F959AF8FAE4}"/>
    <hyperlink ref="CB1269" r:id="rId4650" xr:uid="{711C3B51-98E0-4054-989B-6D00B92D7CD7}"/>
    <hyperlink ref="CD1269" r:id="rId4651" xr:uid="{2A6444F1-FBBA-42C5-96F7-B5D2F1467287}"/>
    <hyperlink ref="O1270" r:id="rId4652" xr:uid="{95F5182D-1542-4326-AEC2-6BE01F53ADC0}"/>
    <hyperlink ref="S1270" r:id="rId4653" xr:uid="{31F29E5A-CF00-4DA4-A60A-EBC24455D4BD}"/>
    <hyperlink ref="T1270" r:id="rId4654" xr:uid="{84BA16A4-5FFE-446C-AA37-528EB566C890}"/>
    <hyperlink ref="CA1270" r:id="rId4655" xr:uid="{F136DEDD-206D-4E85-B11F-EEBE7844DDE5}"/>
    <hyperlink ref="CB1270" r:id="rId4656" xr:uid="{1AD03905-4F08-45A4-96B9-45CCA0A5FC5C}"/>
    <hyperlink ref="O1271" r:id="rId4657" xr:uid="{EAFE2A92-8F64-43C0-A797-0C5CD0547B44}"/>
    <hyperlink ref="S1271" r:id="rId4658" xr:uid="{35CE3AF9-6E12-4896-90A6-ADB5441EFE23}"/>
    <hyperlink ref="T1271" r:id="rId4659" xr:uid="{391BF3B3-66B5-4686-AE04-E540C8283C74}"/>
    <hyperlink ref="CA1271" r:id="rId4660" xr:uid="{1E923580-96C2-42B0-A217-33682B70FA9A}"/>
    <hyperlink ref="CB1271" r:id="rId4661" xr:uid="{2EC2346E-5938-447F-9EB8-6BD7835BDCB9}"/>
    <hyperlink ref="O1272" r:id="rId4662" xr:uid="{3A28D3BA-6DF9-4D9B-AE3F-8B19084B8124}"/>
    <hyperlink ref="S1272" r:id="rId4663" xr:uid="{342FA4DE-2CD4-4B18-8799-553EEAD3AE77}"/>
    <hyperlink ref="T1272" r:id="rId4664" xr:uid="{F2BF6375-2FD5-4405-BEDE-D271DFA8DC48}"/>
    <hyperlink ref="CA1272" r:id="rId4665" xr:uid="{5EBE2CDC-32C2-4132-B491-855E07353297}"/>
    <hyperlink ref="CB1272" r:id="rId4666" xr:uid="{51EA36F2-C36E-4750-A60D-1BF21F562CCC}"/>
    <hyperlink ref="CD1272" r:id="rId4667" xr:uid="{495883A0-140C-41C3-95BA-8C94855F8115}"/>
    <hyperlink ref="O1273" r:id="rId4668" xr:uid="{83EE3033-1A0C-4295-8B7E-CBEE7CF9B945}"/>
    <hyperlink ref="S1273" r:id="rId4669" xr:uid="{9532084C-00F8-42EA-AB2F-FE756C53FB55}"/>
    <hyperlink ref="T1273" r:id="rId4670" xr:uid="{B6614D2D-C642-4A64-BE50-E898C20BCCE0}"/>
    <hyperlink ref="CA1273" r:id="rId4671" xr:uid="{F42769B0-8110-4B83-B1C7-3DACA09BF5CC}"/>
    <hyperlink ref="CB1273" r:id="rId4672" xr:uid="{F1EA88BB-A6B8-4690-9A0C-177143EF525C}"/>
    <hyperlink ref="CD1273" r:id="rId4673" xr:uid="{E8CDC23E-4B9E-48CF-9923-9411D1143164}"/>
    <hyperlink ref="O1274" r:id="rId4674" xr:uid="{4365FE34-92AC-4711-90E5-FB8EE9FC2678}"/>
    <hyperlink ref="S1274" r:id="rId4675" xr:uid="{5D88F7C0-5538-480C-AB34-771F3C7D9446}"/>
    <hyperlink ref="T1274" r:id="rId4676" xr:uid="{2AF6D5D5-8A1F-4A1B-8E2F-30CCC24CF9E9}"/>
    <hyperlink ref="CA1274" r:id="rId4677" xr:uid="{8CDD0B51-E9A5-4FF3-A636-C07DE09FC54C}"/>
    <hyperlink ref="CB1274" r:id="rId4678" xr:uid="{4B7C2175-AF95-4471-81DE-3F7E9FDB58C5}"/>
    <hyperlink ref="O1275" r:id="rId4679" xr:uid="{EF357905-340D-4EC8-9393-8710C412FBDE}"/>
    <hyperlink ref="S1275" r:id="rId4680" xr:uid="{F95A324E-25BC-4690-B733-85CC40829E82}"/>
    <hyperlink ref="T1275" r:id="rId4681" xr:uid="{9BCF8946-5BEA-4634-8E2E-72E87D1BA6A7}"/>
    <hyperlink ref="CA1275" r:id="rId4682" xr:uid="{FA43C75B-1FEF-43B4-ADB5-5C6205C506E2}"/>
    <hyperlink ref="CB1275" r:id="rId4683" xr:uid="{A6DB7173-6F67-486B-A138-96412F1222D8}"/>
    <hyperlink ref="CD1275" r:id="rId4684" xr:uid="{EEC7FB4B-1799-4B6A-8A42-1F3741BBF1DB}"/>
    <hyperlink ref="O1276" r:id="rId4685" xr:uid="{1E652751-E170-4807-BE23-4D80491B50F6}"/>
    <hyperlink ref="S1276" r:id="rId4686" xr:uid="{9609BA3E-2383-4297-BE10-071233C49FCA}"/>
    <hyperlink ref="T1276" r:id="rId4687" xr:uid="{198DFE6C-A636-4D36-A137-D3E64E243EF7}"/>
    <hyperlink ref="CA1276" r:id="rId4688" xr:uid="{2DD100EA-90C1-41D5-99E9-BE74925F6395}"/>
    <hyperlink ref="CB1276" r:id="rId4689" xr:uid="{6F8656F4-9756-4DA4-8739-16954A837A8C}"/>
    <hyperlink ref="O1277" r:id="rId4690" xr:uid="{E306E156-2657-4B62-A360-A9A55AB8533C}"/>
    <hyperlink ref="S1277" r:id="rId4691" xr:uid="{81A65502-65D5-4A30-90DC-C8CCDD6BC22E}"/>
    <hyperlink ref="T1277" r:id="rId4692" xr:uid="{0E6164FD-63A8-483C-BE4C-A198E7FA20CC}"/>
    <hyperlink ref="CA1277" r:id="rId4693" xr:uid="{88E9494D-87A0-46C1-A780-9597090B9FCC}"/>
    <hyperlink ref="CB1277" r:id="rId4694" xr:uid="{9861E078-6100-4410-903B-9CAC66EF3E97}"/>
    <hyperlink ref="CD1277" r:id="rId4695" xr:uid="{FA377AAD-6740-44CA-83A1-D707C9D929E7}"/>
    <hyperlink ref="O1278" r:id="rId4696" xr:uid="{E72EECCA-3524-4FB3-8E6D-7650E8986444}"/>
    <hyperlink ref="S1278" r:id="rId4697" xr:uid="{96DECC9C-AC92-4B14-A599-B17A215117E8}"/>
    <hyperlink ref="T1278" r:id="rId4698" xr:uid="{5C7CD454-B08B-418E-B2C8-ACF8798D7169}"/>
    <hyperlink ref="CA1278" r:id="rId4699" xr:uid="{12B21837-4592-479E-993B-A5BDF9DF6794}"/>
    <hyperlink ref="CB1278" r:id="rId4700" xr:uid="{7D87EADD-3CDF-4436-B9E8-BEC704A5ABB4}"/>
    <hyperlink ref="O1279" r:id="rId4701" xr:uid="{6D249585-7817-431E-A6FA-552EEF121288}"/>
    <hyperlink ref="S1279" r:id="rId4702" xr:uid="{245712A5-8A43-42A2-9A88-AA416E6C2181}"/>
    <hyperlink ref="T1279" r:id="rId4703" xr:uid="{5EF41EE9-783C-4375-AAFB-7FA910FDE20E}"/>
    <hyperlink ref="CA1279" r:id="rId4704" xr:uid="{C347C71C-A79E-4DF5-A1AA-8667E55DB387}"/>
    <hyperlink ref="CB1279" r:id="rId4705" xr:uid="{F4E0CC74-38E9-4527-A850-86EF809E2A1D}"/>
    <hyperlink ref="CD1279" r:id="rId4706" xr:uid="{086BF6A3-D761-4CDD-9096-1802D8CA08D8}"/>
    <hyperlink ref="O1280" r:id="rId4707" xr:uid="{219021FA-E2D9-4690-A9B2-1AB5155B02B6}"/>
    <hyperlink ref="S1280" r:id="rId4708" xr:uid="{F9E63D4B-AD72-480C-BED0-9D24CDDBFEBF}"/>
    <hyperlink ref="T1280" r:id="rId4709" xr:uid="{6B2B4DC4-311D-4FCE-B573-27DDF424E42C}"/>
    <hyperlink ref="CA1280" r:id="rId4710" xr:uid="{944DA658-6031-4D95-9ADC-5C393AFF62E0}"/>
    <hyperlink ref="CB1280" r:id="rId4711" xr:uid="{1F5F2367-3350-4126-B275-AE53EC5485F4}"/>
    <hyperlink ref="CD1280" r:id="rId4712" xr:uid="{F97E1B3E-4170-403F-AC86-1C29C6773A9D}"/>
    <hyperlink ref="O1281" r:id="rId4713" xr:uid="{582FA187-E8D5-4DE8-9C8C-F92FEE62C7CC}"/>
    <hyperlink ref="S1281" r:id="rId4714" xr:uid="{3825F564-37C2-4A80-90C4-9665EC3A94EB}"/>
    <hyperlink ref="T1281" r:id="rId4715" xr:uid="{D721767A-E632-4055-B45F-6CC822B31EE1}"/>
    <hyperlink ref="CA1281" r:id="rId4716" xr:uid="{1CA0ECBD-DD05-4B7F-A057-BD7111552270}"/>
    <hyperlink ref="CB1281" r:id="rId4717" xr:uid="{FA3A68CD-0DA8-4B42-893D-E9AF8E9ED759}"/>
    <hyperlink ref="CD1281" r:id="rId4718" xr:uid="{C9E99A46-6D23-45F4-AB64-C588D062C44A}"/>
    <hyperlink ref="O1282" r:id="rId4719" xr:uid="{F6301A1A-3855-41C5-8F37-8A55848FE9A0}"/>
    <hyperlink ref="CA1282" r:id="rId4720" xr:uid="{7F135C1C-0113-454E-98AC-F7D5437B997E}"/>
    <hyperlink ref="CB1282" r:id="rId4721" xr:uid="{62DE0B6A-47E0-4A0B-B37A-70D1F7E15071}"/>
    <hyperlink ref="CA1283" r:id="rId4722" xr:uid="{21FE6838-E3F3-421D-A8E1-978D4B0AD1C1}"/>
    <hyperlink ref="CB1283" r:id="rId4723" xr:uid="{1289818E-D1DB-4B5E-BA9E-5CCF13D730B7}"/>
    <hyperlink ref="O1284" r:id="rId4724" xr:uid="{32273499-D9EC-4C89-BB58-B7FCD3719CEB}"/>
    <hyperlink ref="S1284" r:id="rId4725" xr:uid="{DA975EA1-F9C3-412D-B7AF-08B3A8928143}"/>
    <hyperlink ref="CA1284" r:id="rId4726" xr:uid="{CD924B1A-8730-422C-8167-263DBCF3D002}"/>
    <hyperlink ref="CB1284" r:id="rId4727" xr:uid="{22B0F757-2969-47DC-9922-0724F8B52C38}"/>
    <hyperlink ref="CD1284" r:id="rId4728" xr:uid="{A1942C10-AB5B-4CD0-BE41-5BB08810B5A2}"/>
    <hyperlink ref="O1285" r:id="rId4729" xr:uid="{AB03B3F9-2ABF-4A2C-A7BA-F0820057C6CA}"/>
    <hyperlink ref="S1285" r:id="rId4730" xr:uid="{A4455402-178B-45FA-BFA9-698288D271BE}"/>
    <hyperlink ref="CA1285" r:id="rId4731" xr:uid="{155D86CC-220A-4629-B20E-4B3A825FA2F0}"/>
    <hyperlink ref="CB1285" r:id="rId4732" xr:uid="{B138C70C-DDE4-4E8D-9DCE-AB97AC8EC855}"/>
    <hyperlink ref="CD1285" r:id="rId4733" xr:uid="{B5E21AD1-062B-4B0C-92B5-FD5D2C0DF93F}"/>
    <hyperlink ref="O1287" r:id="rId4734" xr:uid="{20F81C5F-0A96-44EB-B27F-2C337FB83E71}"/>
    <hyperlink ref="S1287" r:id="rId4735" xr:uid="{9ECA4A78-1FBF-4159-802D-06FD53322531}"/>
    <hyperlink ref="CA1287" r:id="rId4736" xr:uid="{E66BE2FE-93D7-43B4-8E14-AF8DEC72CA64}"/>
    <hyperlink ref="CB1287" r:id="rId4737" xr:uid="{40FDBCE0-1849-499D-9423-F7AE513A7767}"/>
    <hyperlink ref="CD1287" r:id="rId4738" xr:uid="{08B6EF95-CF7E-4A10-AA68-FA02A85FFC08}"/>
    <hyperlink ref="O1288" r:id="rId4739" xr:uid="{D6E31BFA-D00C-4925-8517-A779AB2B196C}"/>
    <hyperlink ref="S1288" r:id="rId4740" xr:uid="{2ED25C22-13FF-4F38-9496-64618936E4D7}"/>
    <hyperlink ref="CA1288" r:id="rId4741" xr:uid="{BFFE161B-1840-4F8F-A3DE-D3A4B3C77E78}"/>
    <hyperlink ref="CB1288" r:id="rId4742" xr:uid="{62732BDC-1D12-4AD7-AA05-ED787379915A}"/>
    <hyperlink ref="CD1288" r:id="rId4743" xr:uid="{DCAB39F1-EC85-4BE1-B0E9-0574C60D6BA2}"/>
    <hyperlink ref="O1290" r:id="rId4744" xr:uid="{ABC02A7E-EC26-4894-B264-2B55F2A2336B}"/>
    <hyperlink ref="S1290" r:id="rId4745" xr:uid="{049182E6-720E-412F-B9BD-860D133E9D2E}"/>
    <hyperlink ref="CA1290" r:id="rId4746" xr:uid="{D08C1D30-6C0C-426E-A4E1-6C4CC01E1F2F}"/>
    <hyperlink ref="CB1290" r:id="rId4747" xr:uid="{3E08910E-0B72-4668-9DAA-095D2E72C202}"/>
    <hyperlink ref="CD1290" r:id="rId4748" xr:uid="{3D6E3B29-5AB4-4B9B-A785-8B6DF581BE54}"/>
    <hyperlink ref="O1292" r:id="rId4749" xr:uid="{872199E6-BBA1-494B-BB06-9EE14E6C6ACB}"/>
    <hyperlink ref="S1292" r:id="rId4750" xr:uid="{10DCB06E-6959-4153-84B5-97537153C302}"/>
    <hyperlink ref="CA1292" r:id="rId4751" xr:uid="{CD59D408-8A8F-4361-997F-512F26CE7973}"/>
    <hyperlink ref="CB1292" r:id="rId4752" xr:uid="{DFA89699-544A-4241-BA50-F6A55EAB0026}"/>
    <hyperlink ref="O1293" r:id="rId4753" xr:uid="{9D037FD4-4302-4B41-BF02-5E026A64E4E2}"/>
    <hyperlink ref="S1293" r:id="rId4754" xr:uid="{B51DBE7D-79F3-4885-A6B9-B4E84F32A22B}"/>
    <hyperlink ref="CA1293" r:id="rId4755" xr:uid="{A1C2F34B-938B-40AD-91FE-2601DB7D804F}"/>
    <hyperlink ref="CB1293" r:id="rId4756" xr:uid="{C27B083D-E54A-47C2-B5AE-542E3FA9EE2B}"/>
    <hyperlink ref="CD1293" r:id="rId4757" xr:uid="{5708163C-DBF1-4BFE-A953-587B766C10DF}"/>
    <hyperlink ref="O1294" r:id="rId4758" xr:uid="{7E503E71-7085-465A-806C-05CB15060E21}"/>
    <hyperlink ref="S1294" r:id="rId4759" xr:uid="{CD97C41D-E9DC-4B2D-9EB0-A7CFF0BDA7B7}"/>
    <hyperlink ref="CA1294" r:id="rId4760" xr:uid="{95FC4A77-934F-4486-AF92-D6533EF2A5E2}"/>
    <hyperlink ref="CB1294" r:id="rId4761" xr:uid="{19D29220-4A39-44E7-9636-C4E0A1320BFB}"/>
    <hyperlink ref="CD1294" r:id="rId4762" xr:uid="{EAF1FE51-121E-4597-B751-0152C59AE0BD}"/>
    <hyperlink ref="O1295" r:id="rId4763" xr:uid="{93EA44E4-ECB8-41DE-9D11-3B2B11757AB3}"/>
    <hyperlink ref="CA1295" r:id="rId4764" xr:uid="{79A925A9-54F0-4E9E-8823-7A2DEB82E792}"/>
    <hyperlink ref="CB1295" r:id="rId4765" xr:uid="{5945AE77-A39F-4DFE-87C2-DB039CB0F6C3}"/>
    <hyperlink ref="O1296" r:id="rId4766" xr:uid="{9D87771A-8C0E-4BF4-9274-0609BBB796BD}"/>
    <hyperlink ref="S1296" r:id="rId4767" xr:uid="{2C736F00-DB03-4D95-9EDC-49852B8D430B}"/>
    <hyperlink ref="CA1296" r:id="rId4768" xr:uid="{FE051D30-BEC0-4FA8-9AFE-4DC1D04F3EFA}"/>
    <hyperlink ref="CB1296" r:id="rId4769" xr:uid="{2EEF0CE9-DC54-4744-8523-A81A5F03322A}"/>
    <hyperlink ref="CD1296" r:id="rId4770" xr:uid="{90563E63-4DF2-4B7E-ABEE-B9BB96BF0C8E}"/>
    <hyperlink ref="O1297" r:id="rId4771" xr:uid="{5030C23B-C695-4E73-8619-22ECFEC07C67}"/>
    <hyperlink ref="S1297" r:id="rId4772" xr:uid="{0E8FCB0A-AEE1-4A6A-A8AD-78FF8A933FAA}"/>
    <hyperlink ref="CA1297" r:id="rId4773" xr:uid="{9D6BB9B6-916A-4B6D-B00E-5D3321C390E8}"/>
    <hyperlink ref="CB1297" r:id="rId4774" xr:uid="{609C9A46-C3ED-49DF-830F-FB8895D8ADA9}"/>
    <hyperlink ref="CD1297" r:id="rId4775" xr:uid="{BD3B6D6A-6D59-49AD-954F-14491EA01AC7}"/>
    <hyperlink ref="O1298" r:id="rId4776" xr:uid="{7F2312F3-C4E5-43F4-9057-19B7028285D6}"/>
    <hyperlink ref="S1298" r:id="rId4777" xr:uid="{56B21F9F-3EB6-4C5F-8037-AD144C3E4152}"/>
    <hyperlink ref="CA1298" r:id="rId4778" xr:uid="{6CC32606-A8AC-45B7-A01D-5C9F36C08DC5}"/>
    <hyperlink ref="CB1298" r:id="rId4779" xr:uid="{CCF5ED75-DF71-4931-A314-F715036B3127}"/>
    <hyperlink ref="CD1298" r:id="rId4780" xr:uid="{E83D09AD-30FF-42F7-97F3-932D932563B1}"/>
    <hyperlink ref="O1299" r:id="rId4781" xr:uid="{BEA5E3C0-259A-4B54-B1A7-F0F751C4E354}"/>
    <hyperlink ref="S1299" r:id="rId4782" xr:uid="{BC20403E-CF22-4731-847F-259CDC363C38}"/>
    <hyperlink ref="CA1299" r:id="rId4783" xr:uid="{1DC46C4F-D77C-451B-B1BB-BFD9E1095003}"/>
    <hyperlink ref="CB1299" r:id="rId4784" xr:uid="{FA771AF7-8F52-4907-8B38-F59FA6DADB3C}"/>
    <hyperlink ref="CD1299" r:id="rId4785" xr:uid="{462ED620-F164-49E1-A02A-5FECA71DF759}"/>
    <hyperlink ref="O1300" r:id="rId4786" xr:uid="{E48A09CC-1851-4910-9849-0BDA967331FD}"/>
    <hyperlink ref="CA1300" r:id="rId4787" xr:uid="{60364598-3115-4591-ABF7-FBD4A6649811}"/>
    <hyperlink ref="CB1300" r:id="rId4788" xr:uid="{50144A03-3F69-4813-86BE-4B3728B08C78}"/>
    <hyperlink ref="O1301" r:id="rId4789" xr:uid="{E6CBDF8C-ED75-4DCB-8CFB-1F4E91D76339}"/>
    <hyperlink ref="CA1301" r:id="rId4790" xr:uid="{2EABD745-3BEE-4C06-8744-E998B1C4CD5D}"/>
    <hyperlink ref="CB1301" r:id="rId4791" xr:uid="{15D5877C-A747-4BD2-8601-276F52FA5C13}"/>
    <hyperlink ref="O1302" r:id="rId4792" xr:uid="{DA5155CD-FE50-4399-9987-5FBFABF15B52}"/>
    <hyperlink ref="S1302" r:id="rId4793" xr:uid="{B9D70874-85D5-448E-AFCF-336FCCCB9710}"/>
    <hyperlink ref="CA1302" r:id="rId4794" xr:uid="{EC1B8B9C-373B-46C4-A08A-F91D1ABC7D74}"/>
    <hyperlink ref="CB1302" r:id="rId4795" xr:uid="{68E2583F-4142-423E-A91E-F9D0D8651F96}"/>
    <hyperlink ref="CD1302" r:id="rId4796" xr:uid="{729F4264-D855-4E01-9DDF-C33198B56D6C}"/>
    <hyperlink ref="O1303" r:id="rId4797" xr:uid="{3F867A33-FFCC-44D6-B518-3AB57A08FF5A}"/>
    <hyperlink ref="S1303" r:id="rId4798" xr:uid="{89748362-C097-4DAB-A38C-7B639DFAB30A}"/>
    <hyperlink ref="CA1303" r:id="rId4799" xr:uid="{82BC1423-4117-4347-977E-6D4C188A3814}"/>
    <hyperlink ref="CB1303" r:id="rId4800" xr:uid="{9CD4DBBD-5019-4048-9C81-EC42F68F718B}"/>
    <hyperlink ref="CD1303" r:id="rId4801" xr:uid="{895D2145-C95B-4E16-938A-4B808E5955D9}"/>
    <hyperlink ref="O1304" r:id="rId4802" xr:uid="{2B0396C8-25F0-49EF-8907-6E8200996947}"/>
    <hyperlink ref="S1304" r:id="rId4803" xr:uid="{B7887F2D-184B-4397-8D0B-DBEBDA7BE074}"/>
    <hyperlink ref="CA1304" r:id="rId4804" xr:uid="{3BE39443-7A2E-4DD6-B036-94733663D3A9}"/>
    <hyperlink ref="CB1304" r:id="rId4805" xr:uid="{CD7DE781-C8AA-4005-8334-8396B37B0B8F}"/>
    <hyperlink ref="CD1304" r:id="rId4806" xr:uid="{B4B25468-48BA-443A-8DEB-F71044BFAAF8}"/>
    <hyperlink ref="O1305" r:id="rId4807" xr:uid="{9E608EA2-C30C-475B-87FF-C25124F89482}"/>
    <hyperlink ref="S1305" r:id="rId4808" xr:uid="{50043BBB-0016-4895-A5D2-6E232CCDC4C5}"/>
    <hyperlink ref="CA1305" r:id="rId4809" xr:uid="{A106BA2F-E6CE-4D94-9C57-149AC92AA963}"/>
    <hyperlink ref="CB1305" r:id="rId4810" xr:uid="{A4B44FED-BA8A-45CF-A3FD-30FCB1CF7F3D}"/>
    <hyperlink ref="CD1305" r:id="rId4811" xr:uid="{4C9D4BAB-849B-49D4-A477-1BE415500F66}"/>
    <hyperlink ref="O1306" r:id="rId4812" xr:uid="{A9419D88-9BF4-47C3-9812-4963A951204A}"/>
    <hyperlink ref="CA1306" r:id="rId4813" xr:uid="{D8B0C6F3-B533-4EB2-93A6-B27E6478E3DC}"/>
    <hyperlink ref="CB1306" r:id="rId4814" xr:uid="{E70C8370-4CBD-4B63-A0E0-9DF5F42B10C8}"/>
    <hyperlink ref="O1307" r:id="rId4815" xr:uid="{D501ECB6-3FF8-4117-9CEE-8C1FAE27EC4E}"/>
    <hyperlink ref="S1307" r:id="rId4816" xr:uid="{49E44193-C770-4CBA-A938-9963CDD041A6}"/>
    <hyperlink ref="CA1307" r:id="rId4817" xr:uid="{14FB1186-7DC2-4C8F-8B99-DA47725EC751}"/>
    <hyperlink ref="CB1307" r:id="rId4818" xr:uid="{B6F072F1-E4DB-4955-9C56-65F5ADB2C128}"/>
    <hyperlink ref="CD1307" r:id="rId4819" xr:uid="{695633C8-F42A-4027-A704-7E65E0FF43EC}"/>
    <hyperlink ref="O1308" r:id="rId4820" xr:uid="{2A928E34-99CF-45C1-85AE-60B6A32CBAF7}"/>
    <hyperlink ref="S1308" r:id="rId4821" xr:uid="{E6B96B61-D5E4-45ED-8CD5-57DF5BF9D437}"/>
    <hyperlink ref="CA1308" r:id="rId4822" xr:uid="{EEEC5501-6606-4119-8A4F-9BD0F6B204C4}"/>
    <hyperlink ref="CB1308" r:id="rId4823" xr:uid="{D6353588-9298-4E8B-AC5C-DE528AA35F34}"/>
    <hyperlink ref="CD1308" r:id="rId4824" xr:uid="{6AEC3A81-81D4-4CDB-95C2-275B4719CB18}"/>
    <hyperlink ref="O1309" r:id="rId4825" xr:uid="{F4859BE6-EBC9-45C5-B961-5AB3A0F975B7}"/>
    <hyperlink ref="S1309" r:id="rId4826" xr:uid="{8B0037C6-7C63-4F21-9DA1-184209E5B985}"/>
    <hyperlink ref="CA1309" r:id="rId4827" xr:uid="{FC23CB80-6D69-4631-8846-A4768CE171D0}"/>
    <hyperlink ref="CB1309" r:id="rId4828" xr:uid="{1E934F6A-367F-4AAB-99F5-160350668BA8}"/>
    <hyperlink ref="CD1309" r:id="rId4829" xr:uid="{F8AD7696-C02B-4C3F-932C-68C12136C65B}"/>
    <hyperlink ref="O1310" r:id="rId4830" xr:uid="{E5F5BAA6-D372-4E6F-A077-3F18039FFA0B}"/>
    <hyperlink ref="S1310" r:id="rId4831" xr:uid="{E2C284BA-4269-410B-9216-B7EE8150B294}"/>
    <hyperlink ref="CA1310" r:id="rId4832" xr:uid="{70A9CECF-37BE-4E0E-B6A7-1CB65F120BD9}"/>
    <hyperlink ref="CB1310" r:id="rId4833" xr:uid="{8931223C-6B87-4BAC-B37C-3D0D65E92CAE}"/>
    <hyperlink ref="CD1310" r:id="rId4834" xr:uid="{4186455F-26A6-4A84-B470-77394BC47971}"/>
    <hyperlink ref="O1311" r:id="rId4835" xr:uid="{235DC96D-4DBA-4E2C-BFF9-ABB993A3948C}"/>
    <hyperlink ref="CA1311" r:id="rId4836" xr:uid="{A6921F73-FBFD-4A77-8EDC-984D006722EB}"/>
    <hyperlink ref="CB1311" r:id="rId4837" xr:uid="{99DDAAAF-6B51-4213-AF11-926C2949E377}"/>
    <hyperlink ref="O1312" r:id="rId4838" xr:uid="{5A871684-3278-4C66-B146-EDA3F088D672}"/>
    <hyperlink ref="S1312" r:id="rId4839" xr:uid="{AE0E9B50-8839-47AC-8E73-F352A8D2D0A6}"/>
    <hyperlink ref="CA1312" r:id="rId4840" xr:uid="{3E935243-B9A4-4C4A-9F1F-9F82F335FF66}"/>
    <hyperlink ref="CB1312" r:id="rId4841" xr:uid="{01F2C172-CCAA-49B4-84B0-D3D89971BD24}"/>
    <hyperlink ref="CD1312" r:id="rId4842" xr:uid="{2EC9BA20-CF6C-46EA-8064-D28CC9388C37}"/>
    <hyperlink ref="O1313" r:id="rId4843" xr:uid="{06DFD4C4-7273-454F-AD29-64D91022C64D}"/>
    <hyperlink ref="S1313" r:id="rId4844" xr:uid="{11386D61-26F0-4B53-AA46-F3A6A0F0A1C6}"/>
    <hyperlink ref="CA1313" r:id="rId4845" xr:uid="{17058CBA-ACF7-4E5B-9DED-158783434CA5}"/>
    <hyperlink ref="CB1313" r:id="rId4846" xr:uid="{765151B4-44ED-42FE-8ED7-B557F1F772F3}"/>
    <hyperlink ref="CD1313" r:id="rId4847" xr:uid="{467E9780-19DC-42C7-9C88-233993014D6D}"/>
    <hyperlink ref="O1314" r:id="rId4848" xr:uid="{A7AFD1CB-C3AB-4F9A-AEE3-B29A807C80FD}"/>
    <hyperlink ref="S1314" r:id="rId4849" xr:uid="{23C6FC2C-6CCA-4477-81E1-2C707B2EB089}"/>
    <hyperlink ref="CA1314" r:id="rId4850" xr:uid="{DAAB851D-7319-4329-9DE5-7BC71D6F9A52}"/>
    <hyperlink ref="CB1314" r:id="rId4851" xr:uid="{8201F0FB-E9A7-4CC5-AA4A-A0CB95674826}"/>
    <hyperlink ref="CD1314" r:id="rId4852" xr:uid="{E51B53A4-C886-461A-A248-E70F8D4FE8A3}"/>
    <hyperlink ref="O1315" r:id="rId4853" xr:uid="{03C46277-3459-45BE-A7DC-B635C89C0A4F}"/>
    <hyperlink ref="S1315" r:id="rId4854" xr:uid="{C8C188D0-7CB2-40A4-9E18-8FB809FFBE8F}"/>
    <hyperlink ref="CA1315" r:id="rId4855" xr:uid="{8D3D99F7-BEE2-4CA2-B352-3540CAE8D3F2}"/>
    <hyperlink ref="CB1315" r:id="rId4856" xr:uid="{902779B2-10AE-451C-A2F0-7A3E69ADB10F}"/>
    <hyperlink ref="CD1315" r:id="rId4857" xr:uid="{76A99719-2CC9-41AA-AC3D-1E63E94FF3AD}"/>
    <hyperlink ref="O1316" r:id="rId4858" xr:uid="{49717761-87A8-4B3D-B323-9DD327600EBB}"/>
    <hyperlink ref="S1316" r:id="rId4859" xr:uid="{63B5AAB1-0B59-4C64-8BC0-D3018295A626}"/>
    <hyperlink ref="CA1316" r:id="rId4860" xr:uid="{2BC73EC2-A615-49C0-95F0-FE990F4A81F5}"/>
    <hyperlink ref="CB1316" r:id="rId4861" xr:uid="{DF30B065-BA61-4DE4-BA36-FBD23D45B116}"/>
    <hyperlink ref="CD1316" r:id="rId4862" xr:uid="{62F46EFE-6BD9-4256-AE17-DD35D8418E65}"/>
    <hyperlink ref="O1317" r:id="rId4863" xr:uid="{FBAA7BA3-8C3E-4E7E-B349-63E55DB87AEE}"/>
    <hyperlink ref="S1317" r:id="rId4864" xr:uid="{2B1A3539-F065-4E28-AD20-63404C4F62C2}"/>
    <hyperlink ref="CA1317" r:id="rId4865" xr:uid="{BF83E91C-C4E4-4DEF-8D3C-5988A11F5811}"/>
    <hyperlink ref="CB1317" r:id="rId4866" xr:uid="{81178E96-1C01-4975-8849-D51625555AD6}"/>
    <hyperlink ref="CD1317" r:id="rId4867" xr:uid="{5B7F93A8-96A2-467B-B53F-166D19C78D03}"/>
    <hyperlink ref="O1318" r:id="rId4868" xr:uid="{06C20268-3E77-4320-98CE-21F629FDFC4E}"/>
    <hyperlink ref="S1318" r:id="rId4869" xr:uid="{B35C2588-0D57-44FB-9F75-4A349D25052B}"/>
    <hyperlink ref="CA1318" r:id="rId4870" xr:uid="{1879DA89-B227-4B41-AEB6-61ED93E45C7F}"/>
    <hyperlink ref="CB1318" r:id="rId4871" xr:uid="{F53CF983-16C0-497E-86AE-1371ADA59BAB}"/>
    <hyperlink ref="CD1318" r:id="rId4872" xr:uid="{8846E59A-B598-4887-8492-53B74A6C2D5E}"/>
    <hyperlink ref="O1319" r:id="rId4873" xr:uid="{34AC2058-7FB3-4EEF-B322-E1A28999B3BC}"/>
    <hyperlink ref="CA1319" r:id="rId4874" xr:uid="{92C8E953-367C-46C1-A589-C7DDD2CA641C}"/>
    <hyperlink ref="CB1319" r:id="rId4875" xr:uid="{4CB7029E-CABE-4C4C-B43D-9E9ACB7E95DE}"/>
    <hyperlink ref="O1320" r:id="rId4876" xr:uid="{72B31651-B368-4539-B249-FB95B35DDDB9}"/>
    <hyperlink ref="S1320" r:id="rId4877" xr:uid="{DE98B9B8-DA77-4845-9A74-1E7FC9C6464B}"/>
    <hyperlink ref="CA1320" r:id="rId4878" xr:uid="{8AA02616-032F-47F1-8234-DA633A339E58}"/>
    <hyperlink ref="CB1320" r:id="rId4879" xr:uid="{BAA70733-F5AF-45D9-AEFF-FBC1584C9EBA}"/>
    <hyperlink ref="CD1320" r:id="rId4880" xr:uid="{7B12BC71-1054-45DF-8946-3CB93E6F336E}"/>
    <hyperlink ref="O1321" r:id="rId4881" xr:uid="{9C69676B-359D-4D8F-B44C-F8E8865E2455}"/>
    <hyperlink ref="CA1321" r:id="rId4882" xr:uid="{8E0BF1A0-1B37-4452-97B2-E06861CB73BB}"/>
    <hyperlink ref="CB1321" r:id="rId4883" xr:uid="{42304099-D123-41E9-813A-26F611A4F71D}"/>
    <hyperlink ref="O1322" r:id="rId4884" xr:uid="{C4248582-D4DB-452A-98A9-741D9E94296B}"/>
    <hyperlink ref="S1322" r:id="rId4885" xr:uid="{5F7E1AEF-355E-4BEA-9D08-3A2D371D3BD7}"/>
    <hyperlink ref="CA1322" r:id="rId4886" xr:uid="{D8B726FE-8196-4F15-ABCD-1D2828177F71}"/>
    <hyperlink ref="CB1322" r:id="rId4887" xr:uid="{4B2305CF-59C9-4646-8966-8A04066F85A8}"/>
    <hyperlink ref="CD1322" r:id="rId4888" xr:uid="{7F0FA473-EB98-41A5-987E-B56DDA7DAB25}"/>
    <hyperlink ref="O1323" r:id="rId4889" xr:uid="{A08EE8DB-3EE1-4D84-BC6D-7BF7A82AFD20}"/>
    <hyperlink ref="S1323" r:id="rId4890" xr:uid="{F790377A-4659-4005-BD2B-A3A457F9FB35}"/>
    <hyperlink ref="CA1323" r:id="rId4891" xr:uid="{A7C3B060-20B3-4E46-A685-9D9346FC0F8E}"/>
    <hyperlink ref="CB1323" r:id="rId4892" xr:uid="{3B439E83-8EBD-4D05-964B-C306FCC23AED}"/>
    <hyperlink ref="CD1323" r:id="rId4893" xr:uid="{F4FF60BA-707E-4A1A-A394-2BF996BB41B7}"/>
    <hyperlink ref="O1324" r:id="rId4894" xr:uid="{F406B718-98C4-44D9-A532-2E8BD2503A2E}"/>
    <hyperlink ref="S1324" r:id="rId4895" xr:uid="{4DA2CF14-FB59-49E4-9F89-8B80B7708E64}"/>
    <hyperlink ref="CA1324" r:id="rId4896" xr:uid="{F69270F3-6473-425B-8B15-FD42350AA221}"/>
    <hyperlink ref="CB1324" r:id="rId4897" xr:uid="{4AD8D2E6-E8D1-42B7-B742-6D5B8C3A20D0}"/>
    <hyperlink ref="CD1324" r:id="rId4898" xr:uid="{C04EA5C4-AC12-45AF-9785-C9D0812352EF}"/>
    <hyperlink ref="CA1325" r:id="rId4899" xr:uid="{920575FF-88B1-4E33-ACBD-EE69A1B50B92}"/>
    <hyperlink ref="CB1325" r:id="rId4900" xr:uid="{5833A261-290E-4D67-970F-0E3291117213}"/>
    <hyperlink ref="O1326" r:id="rId4901" xr:uid="{316D9BA6-BB5B-45F2-A9DB-12219D072196}"/>
    <hyperlink ref="S1326" r:id="rId4902" xr:uid="{47B603D6-37A0-4DF7-A946-0492C9D759AB}"/>
    <hyperlink ref="CA1326" r:id="rId4903" xr:uid="{88D761BC-DA2F-4D50-A9AA-085443922727}"/>
    <hyperlink ref="CB1326" r:id="rId4904" xr:uid="{ED36782B-0EF8-46B5-9BBA-DE69FD8798C7}"/>
    <hyperlink ref="CD1326" r:id="rId4905" xr:uid="{B08F8FC5-68B3-4C4F-81FE-9642C6138923}"/>
    <hyperlink ref="O1327" r:id="rId4906" xr:uid="{4F4E5434-B6EA-4A29-8764-2A7F14D0C115}"/>
    <hyperlink ref="S1327" r:id="rId4907" xr:uid="{4BCC9B10-71F4-4D6F-A95F-FECF8775D88A}"/>
    <hyperlink ref="CA1327" r:id="rId4908" xr:uid="{4978827E-C897-4E71-9EB6-A2F031B31FBA}"/>
    <hyperlink ref="CB1327" r:id="rId4909" xr:uid="{23AAD466-C6E2-4115-8744-D168EB15FEF6}"/>
    <hyperlink ref="CD1327" r:id="rId4910" xr:uid="{0FC080AE-DBAD-4504-8B14-E616DE9E7885}"/>
    <hyperlink ref="O1328" r:id="rId4911" xr:uid="{88CDA0A2-502F-498F-8820-843F919C66CA}"/>
    <hyperlink ref="CA1328" r:id="rId4912" xr:uid="{DBED1210-F038-4DFC-BEBC-1F813A22EF78}"/>
    <hyperlink ref="CB1328" r:id="rId4913" xr:uid="{1EF78999-B08C-4C99-A265-2DDF34FA76FC}"/>
    <hyperlink ref="O1329" r:id="rId4914" xr:uid="{4943FAF3-DD89-4DFD-A68E-3DDCA4FEB799}"/>
    <hyperlink ref="S1329" r:id="rId4915" xr:uid="{963DB24D-8B7E-43C1-8C31-F5E490FB5F05}"/>
    <hyperlink ref="CA1329" r:id="rId4916" xr:uid="{69FDA176-5566-4BA8-9EB0-D6B9F633B751}"/>
    <hyperlink ref="CB1329" r:id="rId4917" xr:uid="{331E81C7-E9D6-46FB-8B41-9D4325354AA7}"/>
    <hyperlink ref="CD1329" r:id="rId4918" xr:uid="{41CD3027-579D-4D07-95E4-9648E28148AC}"/>
    <hyperlink ref="O1330" r:id="rId4919" xr:uid="{02A31806-739F-494B-835E-6D3615D75676}"/>
    <hyperlink ref="CA1330" r:id="rId4920" xr:uid="{777B65B9-4B77-4887-A96A-7702697CAFCD}"/>
    <hyperlink ref="CB1330" r:id="rId4921" xr:uid="{50020F69-33C0-4CA1-9434-74FF15C8A120}"/>
    <hyperlink ref="O1331" r:id="rId4922" xr:uid="{B07381F7-49BF-451A-AF6C-3CB29C356A2C}"/>
    <hyperlink ref="S1331" r:id="rId4923" xr:uid="{043B4983-5B99-42A6-9F4B-9A62C6ED3245}"/>
    <hyperlink ref="CA1331" r:id="rId4924" xr:uid="{E517FEF7-DE84-43C9-8CB0-4F80A81AD0F3}"/>
    <hyperlink ref="CB1331" r:id="rId4925" xr:uid="{9677E371-6D9C-4854-B379-C7403FEDC95D}"/>
    <hyperlink ref="CD1331" r:id="rId4926" xr:uid="{F179D4D8-CF02-4FF3-B43F-4EAA53827B4D}"/>
    <hyperlink ref="CA1382" r:id="rId4927" xr:uid="{D8371DBA-A0CC-4497-9E78-B65AFE5593BD}"/>
    <hyperlink ref="CB1382" r:id="rId4928" xr:uid="{74D1689A-F02F-442C-B6DB-96326450B920}"/>
    <hyperlink ref="O1512" r:id="rId4929" xr:uid="{052DB253-3A2D-454D-8ACD-4A795D92627A}"/>
    <hyperlink ref="S1512" r:id="rId4930" xr:uid="{DCFB5E47-BAC6-4B14-B0D9-ECFEBEF71D69}"/>
    <hyperlink ref="CA1512" r:id="rId4931" xr:uid="{F7848654-1A06-4D40-A79E-B50C805C4BEC}"/>
    <hyperlink ref="O1513" r:id="rId4932" xr:uid="{774C769D-762C-4074-A833-A7E33311E095}"/>
    <hyperlink ref="S1513" r:id="rId4933" xr:uid="{0E25BBBF-BCDF-4124-B552-97578D1E64D5}"/>
    <hyperlink ref="CA1513" r:id="rId4934" xr:uid="{235E9EB0-51BC-4CEB-A40E-B8CB6D406455}"/>
    <hyperlink ref="CD1513" r:id="rId4935" xr:uid="{4C865ECB-7C87-4962-A5E7-F90E58AFAE06}"/>
    <hyperlink ref="O1514" r:id="rId4936" xr:uid="{E5074E8B-B0B0-4046-8C14-18078559B5F2}"/>
    <hyperlink ref="S1514" r:id="rId4937" xr:uid="{756DDBE3-ABDD-4E20-8AEC-6AD8A330C76D}"/>
    <hyperlink ref="CA1514" r:id="rId4938" xr:uid="{A9B35426-8C62-4374-BDCB-AD7C9BD04E79}"/>
    <hyperlink ref="CD1514" r:id="rId4939" xr:uid="{07B275D0-B95B-4897-88A2-AF8964E58D2B}"/>
    <hyperlink ref="O1515" r:id="rId4940" xr:uid="{A852B042-D9BB-4114-B79D-9BC4D28D1A31}"/>
    <hyperlink ref="S1515" r:id="rId4941" xr:uid="{5E575C8C-D40F-43D3-B982-294E4E4A39FF}"/>
    <hyperlink ref="CA1515" r:id="rId4942" xr:uid="{05C924F8-69F3-473E-9C72-CD849E4BECF2}"/>
    <hyperlink ref="O1516" r:id="rId4943" xr:uid="{18C0BC8A-486A-4190-8D30-19ABD556EDFE}"/>
    <hyperlink ref="S1516" r:id="rId4944" xr:uid="{E296C1F0-EEA1-4366-A16B-ED52EFEBAFBD}"/>
    <hyperlink ref="CA1516" r:id="rId4945" xr:uid="{BDD0481D-010F-4344-9664-D608796D2776}"/>
    <hyperlink ref="CD1516" r:id="rId4946" xr:uid="{11240C40-22D3-4045-B15C-5A3EBD15575E}"/>
    <hyperlink ref="O1517" r:id="rId4947" xr:uid="{1008F73D-1380-44A8-B67F-92BFEADE46AA}"/>
    <hyperlink ref="S1517" r:id="rId4948" xr:uid="{E0CF8BA5-64D2-4572-B93D-52BA92D8A8E3}"/>
    <hyperlink ref="BX1517" r:id="rId4949" xr:uid="{0C24C096-2BC4-44A4-ABD5-4C3D807E6A0F}"/>
    <hyperlink ref="CA1517" r:id="rId4950" xr:uid="{7DC701CB-3900-4BFF-88D0-23420BE0B1C9}"/>
    <hyperlink ref="CD1517" r:id="rId4951" xr:uid="{7E3AC7EF-1CAA-4BCC-B29A-EF65B02023F3}"/>
    <hyperlink ref="O1518" r:id="rId4952" xr:uid="{61ACD955-B0C2-4E9E-8A6C-8A77FA464DDD}"/>
    <hyperlink ref="S1518" r:id="rId4953" xr:uid="{8C9BC57C-4160-46DE-8BB1-527731BF592F}"/>
    <hyperlink ref="CA1518" r:id="rId4954" xr:uid="{8C391514-D476-4E2D-B80E-4A6859EDC8F0}"/>
    <hyperlink ref="O1519" r:id="rId4955" xr:uid="{9ECBB70C-C27C-4BD0-A669-C67B70A68129}"/>
    <hyperlink ref="S1519" r:id="rId4956" xr:uid="{E7FA9DF0-5967-49C8-8B62-56F8E253A2D8}"/>
    <hyperlink ref="CA1519" r:id="rId4957" xr:uid="{7EEC50DF-01B9-405F-91C6-81691F045681}"/>
    <hyperlink ref="O1520" r:id="rId4958" xr:uid="{2526D72B-3380-4F21-85C8-214CCD3B62EE}"/>
    <hyperlink ref="S1520" r:id="rId4959" xr:uid="{99720C65-B418-4E23-9612-3AF3376307A8}"/>
    <hyperlink ref="BX1520" r:id="rId4960" xr:uid="{04870430-2FDE-465A-8D90-898C448D2C51}"/>
    <hyperlink ref="CA1520" r:id="rId4961" xr:uid="{52DA19F5-2F98-4A8F-9CF8-2669A8191F1A}"/>
    <hyperlink ref="CD1520" r:id="rId4962" xr:uid="{AA92A2FB-7F21-4B17-BC0D-A50B790602BF}"/>
    <hyperlink ref="O1521" r:id="rId4963" xr:uid="{756E728B-AC21-43BD-BEED-10E6C3DB8BA2}"/>
    <hyperlink ref="S1521" r:id="rId4964" xr:uid="{7CDBC36A-4738-4751-8784-13F08B043E8C}"/>
    <hyperlink ref="CA1521" r:id="rId4965" xr:uid="{67E20AA1-78B3-4AAE-82F5-58169EFB8B77}"/>
    <hyperlink ref="CD1521" r:id="rId4966" xr:uid="{E77186A1-8877-48CA-B2FE-5461EB08518E}"/>
    <hyperlink ref="O1522" r:id="rId4967" xr:uid="{2E3AA89E-7241-4F35-A0F2-02FE542D7E63}"/>
    <hyperlink ref="S1522" r:id="rId4968" xr:uid="{0C9A2EDF-BAA9-4A6D-B343-BA51BBB21735}"/>
    <hyperlink ref="CA1522" r:id="rId4969" xr:uid="{AEC6145E-EF46-4819-8B0A-F7EA4ED0569A}"/>
    <hyperlink ref="CD1522" r:id="rId4970" xr:uid="{3CA9FAB9-F0FA-498C-98F0-8CAC31D81EE0}"/>
    <hyperlink ref="O1523" r:id="rId4971" xr:uid="{D1A5A524-DF82-4847-BFAE-2F3CBAE7592E}"/>
    <hyperlink ref="S1523" r:id="rId4972" xr:uid="{85607438-0A15-459D-817D-DE18B28F6A45}"/>
    <hyperlink ref="CA1523" r:id="rId4973" xr:uid="{69917F81-2BFA-42F0-9BFB-013B9D0441EA}"/>
    <hyperlink ref="CD1523" r:id="rId4974" xr:uid="{CDE61414-636B-4A17-9746-4FDA168D35A1}"/>
    <hyperlink ref="O1524" r:id="rId4975" xr:uid="{26E5C7A3-E9C3-46A6-809E-997C42DE45F7}"/>
    <hyperlink ref="S1524" r:id="rId4976" xr:uid="{70207CD8-F0B9-4B00-9396-F7E8FB169FA1}"/>
    <hyperlink ref="CA1524" r:id="rId4977" xr:uid="{6BA7720C-C7D8-4943-8F97-BD4ACFDFDE3F}"/>
    <hyperlink ref="CD1524" r:id="rId4978" xr:uid="{1058FD4C-E684-456D-AE5D-2E76633C84B6}"/>
    <hyperlink ref="O1525" r:id="rId4979" xr:uid="{E3238F9A-8D32-4777-A12E-C10ACB1251FF}"/>
    <hyperlink ref="S1525" r:id="rId4980" xr:uid="{F81C475D-5C05-4445-A7A8-81920D20912F}"/>
    <hyperlink ref="CA1525" r:id="rId4981" xr:uid="{6BAC0816-F33D-4254-BCD4-C573ACDB561B}"/>
    <hyperlink ref="O1526" r:id="rId4982" xr:uid="{C4735FC7-F3FA-4FF3-81E3-8BD9A28047D6}"/>
    <hyperlink ref="S1526" r:id="rId4983" xr:uid="{2CF74888-4872-4E46-8090-B1C2676EA863}"/>
    <hyperlink ref="CA1526" r:id="rId4984" xr:uid="{060CB36C-4718-4CC8-9577-19F631D5A8A5}"/>
    <hyperlink ref="O1527" r:id="rId4985" xr:uid="{18E036CC-5077-4176-99EE-CFE7B71DD62A}"/>
    <hyperlink ref="S1527" r:id="rId4986" xr:uid="{3B5A5DA9-C245-48D1-945A-CC61B761B8C8}"/>
    <hyperlink ref="CA1527" r:id="rId4987" xr:uid="{0B69E73C-A091-460A-8F7F-5F2ABA0ACC4A}"/>
    <hyperlink ref="O1528" r:id="rId4988" xr:uid="{38D17ACD-A26A-4768-9F45-FB0CB6854D9F}"/>
    <hyperlink ref="S1528" r:id="rId4989" xr:uid="{4EE99FE3-F65F-4BA1-8171-4FAB5315BA6D}"/>
    <hyperlink ref="CA1528" r:id="rId4990" xr:uid="{BAF7E73F-7C37-468C-8311-66DB53225679}"/>
    <hyperlink ref="CD1528" r:id="rId4991" xr:uid="{78BBA0C1-A583-40A6-867B-3E921F8C0DAB}"/>
    <hyperlink ref="O1529" r:id="rId4992" xr:uid="{CBC29EA2-6613-4FF6-992C-A31BB3B08617}"/>
    <hyperlink ref="S1529" r:id="rId4993" xr:uid="{6161E07C-6B3B-4AE2-8783-174B695CCF05}"/>
    <hyperlink ref="BX1529" r:id="rId4994" xr:uid="{04D9778F-ADD5-4F2B-804D-36BB0A3D2DCE}"/>
    <hyperlink ref="CA1529" r:id="rId4995" xr:uid="{072F5AD6-1A94-41A8-9BA0-2B8C6522AAA3}"/>
    <hyperlink ref="CD1529" r:id="rId4996" xr:uid="{4E53E45C-EE5B-4DE0-AEF6-9573623C6EA0}"/>
    <hyperlink ref="O1530" r:id="rId4997" xr:uid="{6C44B0CD-7F1A-4565-ACAE-1C3506D0C2D5}"/>
    <hyperlink ref="S1530" r:id="rId4998" xr:uid="{051136E9-DA67-438F-B87F-1845F4D71812}"/>
    <hyperlink ref="T1530" r:id="rId4999" xr:uid="{17634387-8698-41EB-A6B2-B9AD7ACD1260}"/>
    <hyperlink ref="CA1530" r:id="rId5000" xr:uid="{703F57F2-DDF5-4419-82BC-CFFCF5786C8F}"/>
    <hyperlink ref="CB1530" r:id="rId5001" xr:uid="{A78CC652-819C-4907-B7C0-9646101659AA}"/>
    <hyperlink ref="CD1530" r:id="rId5002" xr:uid="{86169D6F-9E92-4A85-99CE-F03DD2DB1AE8}"/>
    <hyperlink ref="O1531" r:id="rId5003" xr:uid="{86CB16F4-C48D-4964-9818-5F1675DF80BD}"/>
    <hyperlink ref="S1531" r:id="rId5004" xr:uid="{B174F75F-3A82-4FD7-98A7-5296D0CAE419}"/>
    <hyperlink ref="T1531" r:id="rId5005" xr:uid="{8E93E470-92E2-4866-896E-0DBEC6F6E9DA}"/>
    <hyperlink ref="CA1531" r:id="rId5006" xr:uid="{EB0F79CF-7830-4E4F-8AA0-1685094FCE35}"/>
    <hyperlink ref="CB1531" r:id="rId5007" xr:uid="{1E2A0059-19FD-4796-A880-5BD78E3887F5}"/>
    <hyperlink ref="O1532" r:id="rId5008" xr:uid="{B3E25D32-C7D4-49DF-90A2-3C75358D91B4}"/>
    <hyperlink ref="S1532" r:id="rId5009" xr:uid="{825675C2-C46E-47D4-998E-43ADF26DEC6E}"/>
    <hyperlink ref="T1532" r:id="rId5010" xr:uid="{F36FF0FE-1914-4A26-8F52-FD713EC3494C}"/>
    <hyperlink ref="CA1532" r:id="rId5011" xr:uid="{25A92507-3ED1-4B36-B19F-6C4936064F76}"/>
    <hyperlink ref="CB1532" r:id="rId5012" xr:uid="{FD0FDC63-0A98-4432-B397-0A9C6A9609BE}"/>
    <hyperlink ref="O1533" r:id="rId5013" xr:uid="{531595B7-826C-4814-9CD0-B63CDF22C819}"/>
    <hyperlink ref="S1533" r:id="rId5014" xr:uid="{AB6C3640-8CFA-49C9-84BE-CC030C9AA5D1}"/>
    <hyperlink ref="T1533" r:id="rId5015" xr:uid="{0CFB01D0-6F56-43C9-BF3C-AB90484DB415}"/>
    <hyperlink ref="CA1533" r:id="rId5016" xr:uid="{3433CE90-62FC-4C7B-A82F-9868EA7CD361}"/>
    <hyperlink ref="CB1533" r:id="rId5017" xr:uid="{92A79F49-3C4A-494F-935A-B9F6AE6D47C3}"/>
    <hyperlink ref="CD1533" r:id="rId5018" xr:uid="{A91ECEAA-6A16-4C56-810C-D49F5B54BAF1}"/>
    <hyperlink ref="O1534" r:id="rId5019" xr:uid="{65E64197-7F23-49D4-9529-8F07EBF57CF0}"/>
    <hyperlink ref="S1534" r:id="rId5020" xr:uid="{447E83F8-F850-4D2F-8565-2EBF2238CFAE}"/>
    <hyperlink ref="T1534" r:id="rId5021" xr:uid="{67E88F39-82C4-4B98-BEF0-CDE73CE9DCEB}"/>
    <hyperlink ref="CA1534" r:id="rId5022" xr:uid="{8388EF08-D1A1-440A-9EDF-782B670F8B27}"/>
    <hyperlink ref="CB1534" r:id="rId5023" xr:uid="{5CFEFCFA-E703-470E-8565-CB205002E660}"/>
    <hyperlink ref="CD1534" r:id="rId5024" xr:uid="{0E6BAAE9-9EE7-41A9-8E9F-0CDF8F09B711}"/>
    <hyperlink ref="O1535" r:id="rId5025" xr:uid="{0B5C2082-4E52-4C63-97E2-DBF901D277E9}"/>
    <hyperlink ref="S1535" r:id="rId5026" xr:uid="{43F45F44-D16D-4CED-AA80-90EF3C9F23AB}"/>
    <hyperlink ref="T1535" r:id="rId5027" xr:uid="{0150F1D0-69C1-49A7-BB58-9222B157EEB3}"/>
    <hyperlink ref="CA1535" r:id="rId5028" xr:uid="{2D24AFDC-8F95-4D6A-BAE4-06B6DE3C4B1B}"/>
    <hyperlink ref="CB1535" r:id="rId5029" xr:uid="{3554770A-DE1E-4DA0-9405-828E35D136FF}"/>
    <hyperlink ref="CD1535" r:id="rId5030" xr:uid="{82C67DA5-3278-44E0-9F42-604A29250091}"/>
    <hyperlink ref="O1536" r:id="rId5031" xr:uid="{9231837A-A0D1-4AEE-BBC0-6DE17F7B1860}"/>
    <hyperlink ref="S1536" r:id="rId5032" xr:uid="{E2A136CD-4BB4-4026-8C29-845C6DBE686A}"/>
    <hyperlink ref="T1536" r:id="rId5033" xr:uid="{68846925-7A2C-410B-B1B4-D72A45A83530}"/>
    <hyperlink ref="CA1536" r:id="rId5034" xr:uid="{872915CC-4416-4564-9DBC-11B546148A60}"/>
    <hyperlink ref="CB1536" r:id="rId5035" xr:uid="{AF1EC659-5BF8-464E-9871-C955FE619FA5}"/>
    <hyperlink ref="CD1536" r:id="rId5036" xr:uid="{6B27E8D5-8FF8-46E9-9FA1-B833FE18E53F}"/>
    <hyperlink ref="O1537" r:id="rId5037" xr:uid="{0F31064C-9818-496C-B6A2-5CA8A52C0A39}"/>
    <hyperlink ref="S1537" r:id="rId5038" xr:uid="{8F6D59BD-9398-4CDC-8F55-74745B5F7488}"/>
    <hyperlink ref="T1537" r:id="rId5039" xr:uid="{6DC16071-3086-4BDE-AAEA-450759E873A4}"/>
    <hyperlink ref="CA1537" r:id="rId5040" xr:uid="{7847A5C5-9C1E-4205-94EB-08D1012A3A47}"/>
    <hyperlink ref="CB1537" r:id="rId5041" xr:uid="{24A9A0E0-710C-4121-A2FE-A809E5771AFE}"/>
    <hyperlink ref="CD1537" r:id="rId5042" xr:uid="{86C23CEA-2411-4BE5-BE0B-62F87A9B2720}"/>
    <hyperlink ref="O1538" r:id="rId5043" xr:uid="{92F74162-8EA3-45F3-84D2-78C613F37E84}"/>
    <hyperlink ref="S1538" r:id="rId5044" xr:uid="{AFDB92D5-9860-4EB5-9AF0-8E63A51DE3D7}"/>
    <hyperlink ref="T1538" r:id="rId5045" xr:uid="{46F01903-3EC6-4CE8-8621-8003506FC196}"/>
    <hyperlink ref="CA1538" r:id="rId5046" xr:uid="{556BFABA-C0AB-4A2E-813E-436430BFA8D0}"/>
    <hyperlink ref="CB1538" r:id="rId5047" xr:uid="{A16239A0-B404-4DCD-9ECE-1E1B4E4AB17A}"/>
    <hyperlink ref="CD1538" r:id="rId5048" xr:uid="{64F61833-0A81-4E04-9995-7A5411F33F87}"/>
    <hyperlink ref="O1539" r:id="rId5049" xr:uid="{8DFCE0AF-A062-4843-97E7-FD2F7DFB48EF}"/>
    <hyperlink ref="S1539" r:id="rId5050" xr:uid="{298F4BA6-B739-47F8-B337-FBC52367ACFE}"/>
    <hyperlink ref="T1539" r:id="rId5051" xr:uid="{FB868E88-E617-4023-91FF-3A5B50959288}"/>
    <hyperlink ref="CA1539" r:id="rId5052" xr:uid="{AFD1B069-0CA3-41FF-9624-6AFA1AA25BE5}"/>
    <hyperlink ref="CB1539" r:id="rId5053" xr:uid="{9FAFE1DC-F354-4B8C-82DA-17645B93F457}"/>
    <hyperlink ref="O1540" r:id="rId5054" xr:uid="{495AF786-DD33-4362-AD39-4EB0E0853EC1}"/>
    <hyperlink ref="S1540" r:id="rId5055" xr:uid="{90387DBD-D5A0-49D5-860D-90A4CD5A7C7B}"/>
    <hyperlink ref="T1540" r:id="rId5056" xr:uid="{F20B72EE-4008-4B1B-8BC4-348D66282945}"/>
    <hyperlink ref="CA1540" r:id="rId5057" xr:uid="{85DC466E-BB2D-4BA3-BB15-791D682EF9BD}"/>
    <hyperlink ref="CB1540" r:id="rId5058" xr:uid="{CA05766A-EF0E-4755-AD60-B1BFDB85DDB2}"/>
    <hyperlink ref="CD1540" r:id="rId5059" xr:uid="{FBF6A2BC-F324-445D-9072-542D8985532C}"/>
    <hyperlink ref="O1541" r:id="rId5060" xr:uid="{36F300C9-721D-4A25-88BB-961878BCD3A0}"/>
    <hyperlink ref="S1541" r:id="rId5061" xr:uid="{3C6C0F07-051E-4D4B-AEF6-D8A3B5101C8B}"/>
    <hyperlink ref="T1541" r:id="rId5062" xr:uid="{D46A6E2F-9C87-44D4-A10A-C83C098271FE}"/>
    <hyperlink ref="CA1541" r:id="rId5063" xr:uid="{AA314074-2185-400A-ADF1-74185345AADD}"/>
    <hyperlink ref="CB1541" r:id="rId5064" xr:uid="{987A9691-CFF1-4A2F-9252-F6D99A6534C4}"/>
    <hyperlink ref="CD1541" r:id="rId5065" xr:uid="{9C570E1E-6482-4B77-B8A9-0D8D9BDD3E37}"/>
    <hyperlink ref="O1542" r:id="rId5066" xr:uid="{261AEFAE-F8FE-418C-AD90-365450BC81AE}"/>
    <hyperlink ref="S1542" r:id="rId5067" xr:uid="{3567E528-FA39-4082-BE26-3FAAA3EAC5FB}"/>
    <hyperlink ref="T1542" r:id="rId5068" xr:uid="{C9FE216F-7041-4844-AE85-B9D8E35C352D}"/>
    <hyperlink ref="CA1542" r:id="rId5069" xr:uid="{1ACC8D08-436C-4EEC-BDE8-131A4769ECAB}"/>
    <hyperlink ref="CB1542" r:id="rId5070" xr:uid="{6C31E249-6004-4CAC-9742-1D9125B23F06}"/>
    <hyperlink ref="CD1542" r:id="rId5071" xr:uid="{0674A65C-DCDE-40E2-9305-13A006FE3822}"/>
    <hyperlink ref="O1543" r:id="rId5072" xr:uid="{8171FD58-3F9C-4114-9B78-73F76E5B655E}"/>
    <hyperlink ref="S1543" r:id="rId5073" xr:uid="{774CBADC-1E15-4022-8190-7200AF6A3D83}"/>
    <hyperlink ref="T1543" r:id="rId5074" xr:uid="{707922FF-0495-4071-91D3-964C350ACF0C}"/>
    <hyperlink ref="CA1543" r:id="rId5075" xr:uid="{FA9EF459-E2C9-4C1A-8FA3-E61DBCC16E7A}"/>
    <hyperlink ref="CB1543" r:id="rId5076" xr:uid="{6FFA9424-39E6-4FCE-BDCD-37EE31B73C79}"/>
    <hyperlink ref="CD1543" r:id="rId5077" xr:uid="{0CA41D10-D076-441C-B5B6-94FDAE5261B5}"/>
    <hyperlink ref="O1544" r:id="rId5078" xr:uid="{553324A3-7880-40D9-97A9-3C6BEFAED3D5}"/>
    <hyperlink ref="S1544" r:id="rId5079" xr:uid="{E9E43762-A705-448A-8933-D1BC84777F29}"/>
    <hyperlink ref="T1544" r:id="rId5080" xr:uid="{ECD3E474-F4B1-4C8B-9C64-E6C81D6A5342}"/>
    <hyperlink ref="CA1544" r:id="rId5081" xr:uid="{633FF258-18EC-4488-9818-365AF2DB3ABE}"/>
    <hyperlink ref="CB1544" r:id="rId5082" xr:uid="{02327B63-298B-4A8F-AF8B-2276C2EEED12}"/>
    <hyperlink ref="CD1544" r:id="rId5083" xr:uid="{79CC0418-39AF-45A1-8102-243E04F5ABC3}"/>
    <hyperlink ref="O1545" r:id="rId5084" xr:uid="{CBD58CEF-90DF-438F-A31B-E535FA624A08}"/>
    <hyperlink ref="S1545" r:id="rId5085" xr:uid="{ABF2ABF1-9BDA-44B6-AA69-80AB11B048EE}"/>
    <hyperlink ref="T1545" r:id="rId5086" xr:uid="{3DCEFE74-6D02-44BA-9D3D-40765FE7DCA2}"/>
    <hyperlink ref="CA1545" r:id="rId5087" xr:uid="{F5F04089-7221-4136-8EA8-9B1C854930AE}"/>
    <hyperlink ref="CB1545" r:id="rId5088" xr:uid="{566A13C1-131B-42FF-AF80-9A952CBE49A3}"/>
    <hyperlink ref="CD1545" r:id="rId5089" xr:uid="{313A2F3F-9114-4D89-9C6C-1012D73E0FDE}"/>
    <hyperlink ref="O1546" r:id="rId5090" xr:uid="{3B56E369-4AF7-404C-8360-7F4BFAD75090}"/>
    <hyperlink ref="S1546" r:id="rId5091" xr:uid="{A8A157E8-00DF-4422-A41B-14C48955CCCD}"/>
    <hyperlink ref="CA1546" r:id="rId5092" xr:uid="{A8322896-7CA2-4C04-A22D-7950C31D3EB7}"/>
    <hyperlink ref="CD1546" r:id="rId5093" xr:uid="{E8C32247-B21A-4679-AFA5-C82AD2605AA7}"/>
    <hyperlink ref="O1547" r:id="rId5094" xr:uid="{0659451B-645B-409D-80BB-0D1EBC3EF0BB}"/>
    <hyperlink ref="S1547" r:id="rId5095" xr:uid="{59233656-7FE4-4C55-B7A2-594114E0B96D}"/>
    <hyperlink ref="T1547" r:id="rId5096" xr:uid="{6A87AF46-3E77-42B0-9FE4-8DADBBF11DBE}"/>
    <hyperlink ref="CA1547" r:id="rId5097" xr:uid="{A609F75B-EBDA-4AF0-9807-1FC3F1D7007A}"/>
    <hyperlink ref="CB1547" r:id="rId5098" xr:uid="{109D7FD7-CB93-4F83-8A56-0A28CACECB9C}"/>
    <hyperlink ref="O1548" r:id="rId5099" xr:uid="{3E9EDA41-46A7-43E3-8B8B-58C450664BB6}"/>
    <hyperlink ref="S1548" r:id="rId5100" xr:uid="{0E04E54E-DA47-4341-9351-B4976FF5D9BA}"/>
    <hyperlink ref="T1548" r:id="rId5101" xr:uid="{B4209BD3-F008-4478-8A32-77A9175B74FD}"/>
    <hyperlink ref="CA1548" r:id="rId5102" xr:uid="{3BE4ED98-99EA-48CF-8ABD-33101D6EC387}"/>
    <hyperlink ref="CB1548" r:id="rId5103" xr:uid="{29BCBA27-2091-498E-8829-FE40A8FBA8FD}"/>
    <hyperlink ref="CD1548" r:id="rId5104" xr:uid="{72751F79-BD73-4E91-B27D-27DCE9C3F966}"/>
    <hyperlink ref="O1549" r:id="rId5105" xr:uid="{2C849918-567A-4E06-9F84-F3EBDE13C4CF}"/>
    <hyperlink ref="S1549" r:id="rId5106" xr:uid="{57041F9E-CA7B-410B-9611-15DE8A0DE5AC}"/>
    <hyperlink ref="T1549" r:id="rId5107" xr:uid="{DEA5E89E-2DD2-4F74-8314-EAE6E1C04665}"/>
    <hyperlink ref="CA1549" r:id="rId5108" xr:uid="{3E341E59-96EC-41D7-A2F8-E9D4DB51B7A9}"/>
    <hyperlink ref="CB1549" r:id="rId5109" xr:uid="{1F35DD75-51AA-4B5B-91D6-7B308C6508BE}"/>
    <hyperlink ref="O1550" r:id="rId5110" xr:uid="{3682FDA3-5E2F-4AC4-81F5-1ABE199BEE1D}"/>
    <hyperlink ref="S1550" r:id="rId5111" xr:uid="{AD40A8A6-2787-4FAA-A71A-7855C269B342}"/>
    <hyperlink ref="T1550" r:id="rId5112" xr:uid="{4D258E21-C27B-44F3-BB0F-E268E64B4853}"/>
    <hyperlink ref="CA1550" r:id="rId5113" xr:uid="{C424633C-9B60-407D-8676-1B354C28C290}"/>
    <hyperlink ref="CB1550" r:id="rId5114" xr:uid="{8D5C8802-5BF8-4130-8CC2-AC16E7038AD6}"/>
    <hyperlink ref="CD1550" r:id="rId5115" xr:uid="{B98E456D-DA55-454C-BA6A-393E43BBE5FA}"/>
    <hyperlink ref="O1551" r:id="rId5116" xr:uid="{A92270B2-4AB0-4237-AD5F-F188C4CBAE9D}"/>
    <hyperlink ref="S1551" r:id="rId5117" xr:uid="{D3F9D781-05A2-40E5-B315-178D9EBC5F11}"/>
    <hyperlink ref="T1551" r:id="rId5118" xr:uid="{C65C5248-EAFF-4E22-8669-E25CE19F49D7}"/>
    <hyperlink ref="CA1551" r:id="rId5119" xr:uid="{C4C8FFBC-40E6-4DD6-B6DB-2B5BC74598F2}"/>
    <hyperlink ref="CB1551" r:id="rId5120" xr:uid="{8DF7EAE0-F716-40FC-B8B5-62B11965C177}"/>
    <hyperlink ref="CD1551" r:id="rId5121" xr:uid="{BB2946A0-10AC-4EF9-AFFC-5B1BE2E5FF73}"/>
    <hyperlink ref="O1552" r:id="rId5122" xr:uid="{86EE94BF-4434-4289-B29D-414DC622C435}"/>
    <hyperlink ref="S1552" r:id="rId5123" xr:uid="{C3FB6146-EE35-4509-AEAE-34F4090B3C81}"/>
    <hyperlink ref="T1552" r:id="rId5124" xr:uid="{05C08036-C6F7-41FD-97FF-D779F48942C3}"/>
    <hyperlink ref="CA1552" r:id="rId5125" xr:uid="{3EDFF7AC-C3C1-44D5-8A36-8B70CF401D16}"/>
    <hyperlink ref="CB1552" r:id="rId5126" xr:uid="{827CD7C5-6C57-4AEA-B517-3B93C0D938F4}"/>
    <hyperlink ref="CD1552" r:id="rId5127" xr:uid="{65B656B5-DA1C-4A22-8D6F-0F0AC3B440AB}"/>
    <hyperlink ref="O1553" r:id="rId5128" xr:uid="{3F80DA21-A54C-4B4C-AF7C-E970E9AC22A2}"/>
    <hyperlink ref="S1553" r:id="rId5129" xr:uid="{FF3C179C-F5F3-48A9-9419-A535B4F3304C}"/>
    <hyperlink ref="T1553" r:id="rId5130" xr:uid="{5EE00E8A-67E5-4BB5-AA7B-5C7AF63725E6}"/>
    <hyperlink ref="CA1553" r:id="rId5131" xr:uid="{2B9D1592-6835-4AA2-BC85-582840B78B37}"/>
    <hyperlink ref="CB1553" r:id="rId5132" xr:uid="{6914E944-3D5F-4CDF-804E-751F0EB4D5C1}"/>
    <hyperlink ref="CD1553" r:id="rId5133" xr:uid="{A3E25D5F-F600-456D-AC6B-58D40AAA657A}"/>
    <hyperlink ref="O1554" r:id="rId5134" xr:uid="{B23857A0-F4FA-4FCF-A716-95469A61C7D0}"/>
    <hyperlink ref="S1554" r:id="rId5135" xr:uid="{1EDCA4A0-6EB5-492A-86A0-DC28DBDCD7A4}"/>
    <hyperlink ref="T1554" r:id="rId5136" xr:uid="{C1D6898F-EA61-4691-8BA8-240F696CF219}"/>
    <hyperlink ref="CA1554" r:id="rId5137" xr:uid="{3AB8BD21-702C-4582-AE50-0C56191054C0}"/>
    <hyperlink ref="CB1554" r:id="rId5138" xr:uid="{26E36127-CF2C-452A-98A2-D132EAAB3140}"/>
    <hyperlink ref="CD1554" r:id="rId5139" xr:uid="{227A0202-DE16-4F38-9234-97CE6589D98B}"/>
    <hyperlink ref="O1555" r:id="rId5140" xr:uid="{2C4C4B18-719C-4A8F-B918-A3264DEF0383}"/>
    <hyperlink ref="S1555" r:id="rId5141" xr:uid="{CBD58952-1ADB-47F3-96E4-2FFC5E4B8191}"/>
    <hyperlink ref="T1555" r:id="rId5142" xr:uid="{B784EF2B-32DF-4407-9733-7321945C79B1}"/>
    <hyperlink ref="CA1555" r:id="rId5143" xr:uid="{0C24439D-6B41-4232-96E3-AD592298C9B1}"/>
    <hyperlink ref="CB1555" r:id="rId5144" xr:uid="{9E394CC2-EB44-4C97-AC46-57149017740E}"/>
    <hyperlink ref="CD1555" r:id="rId5145" xr:uid="{94812CC4-5514-4BCF-9EB5-B56E58FBEE61}"/>
    <hyperlink ref="O1556" r:id="rId5146" xr:uid="{39D43B62-5AB4-4348-9FB5-1865E2181CBA}"/>
    <hyperlink ref="S1556" r:id="rId5147" xr:uid="{3726464A-F21F-493E-860C-106EC695DB18}"/>
    <hyperlink ref="T1556" r:id="rId5148" xr:uid="{76FAA99A-E427-45E0-9ABE-175350B0BE76}"/>
    <hyperlink ref="BX1556" r:id="rId5149" xr:uid="{25F46C11-AC03-438A-BBBA-C6079A9586F5}"/>
    <hyperlink ref="CA1556" r:id="rId5150" xr:uid="{3F9749A5-28D1-40DD-BCD7-70FACEE97CB6}"/>
    <hyperlink ref="CB1556" r:id="rId5151" xr:uid="{1B8B75F6-285B-4030-9BF4-639C415A8E9D}"/>
    <hyperlink ref="CD1556" r:id="rId5152" xr:uid="{B5997146-9A01-4755-8C35-963902699705}"/>
    <hyperlink ref="O1557" r:id="rId5153" xr:uid="{BA99DFD6-A905-4BE8-9750-53164B8E42AA}"/>
    <hyperlink ref="S1557" r:id="rId5154" xr:uid="{2CA10258-A615-489F-8646-9D87919E6FC4}"/>
    <hyperlink ref="T1557" r:id="rId5155" xr:uid="{5AA59EF7-0AEE-44B3-B1A6-6F3B6710AF25}"/>
    <hyperlink ref="CA1557" r:id="rId5156" xr:uid="{76838AED-11E2-416D-8EC8-111092D38DAA}"/>
    <hyperlink ref="CB1557" r:id="rId5157" xr:uid="{926FA6CC-EECB-4ACF-B1FC-DE9A128E998D}"/>
    <hyperlink ref="CD1557" r:id="rId5158" xr:uid="{647097AF-5FAA-479D-BB7F-77A587CE7A33}"/>
    <hyperlink ref="O1558" r:id="rId5159" xr:uid="{311584F5-6C11-4179-98E2-C9B4B369E004}"/>
    <hyperlink ref="S1558" r:id="rId5160" xr:uid="{02200A92-5997-4F6F-813D-AB4F4A924515}"/>
    <hyperlink ref="T1558" r:id="rId5161" xr:uid="{00AFD995-CBF9-40AF-AB02-A5F85A1C5856}"/>
    <hyperlink ref="CA1558" r:id="rId5162" xr:uid="{293B0AD5-C4BB-40A3-9CFA-F58375DED1EF}"/>
    <hyperlink ref="CB1558" r:id="rId5163" xr:uid="{9CA406B0-BA98-45C9-9BF9-1D1E6AB7CA22}"/>
    <hyperlink ref="O1559" r:id="rId5164" xr:uid="{38BD3A57-677F-4B9A-A09A-7C1BEDC9D9E4}"/>
    <hyperlink ref="S1559" r:id="rId5165" xr:uid="{B8517007-D352-4C3A-AE98-AA60BF85A188}"/>
    <hyperlink ref="T1559" r:id="rId5166" xr:uid="{7F4F65A8-2368-4C4D-8F0D-B2833642AB42}"/>
    <hyperlink ref="CA1559" r:id="rId5167" xr:uid="{C0DECFA9-5299-4701-8CE0-FA7D807DD0A8}"/>
    <hyperlink ref="CB1559" r:id="rId5168" xr:uid="{CD0F8A62-684E-4EC3-844F-1369D3D30F88}"/>
    <hyperlink ref="CD1559" r:id="rId5169" xr:uid="{C55C420B-10F6-49DC-8C71-DD03682BC261}"/>
    <hyperlink ref="O1560" r:id="rId5170" xr:uid="{48232055-8488-498C-B11D-900ADE02FF7A}"/>
    <hyperlink ref="S1560" r:id="rId5171" xr:uid="{85115565-5D28-4564-8128-99E45E6DB5C6}"/>
    <hyperlink ref="T1560" r:id="rId5172" xr:uid="{E8FC09EA-7ABF-4B31-AA2F-281BD8F0EF6E}"/>
    <hyperlink ref="BX1560" r:id="rId5173" xr:uid="{EF2E69A4-5BA2-43F1-B880-803B8E8A3000}"/>
    <hyperlink ref="CA1560" r:id="rId5174" xr:uid="{76714EFE-5065-4290-85A2-67E43B2BB1B2}"/>
    <hyperlink ref="CB1560" r:id="rId5175" xr:uid="{BB46C695-68B1-4A0D-B50B-525CD0E16D73}"/>
    <hyperlink ref="CD1560" r:id="rId5176" xr:uid="{4C399CA8-4DC8-47C5-9FC9-4E484D4575F9}"/>
    <hyperlink ref="O1561" r:id="rId5177" xr:uid="{A617F10F-1A77-4258-8757-DC730C801C86}"/>
    <hyperlink ref="S1561" r:id="rId5178" xr:uid="{4A073360-82DE-4F79-923B-03FE1E755714}"/>
    <hyperlink ref="T1561" r:id="rId5179" xr:uid="{91FF8E8B-A8FB-434B-ACAE-44CF0D764920}"/>
    <hyperlink ref="CA1561" r:id="rId5180" xr:uid="{FF24A72D-CD75-4946-B52F-0F7EE9936CD5}"/>
    <hyperlink ref="CB1561" r:id="rId5181" xr:uid="{1B0722E5-DF80-450E-81A3-5ED1E75F1E3F}"/>
    <hyperlink ref="O1562" r:id="rId5182" xr:uid="{3BA8E53E-2661-4FFE-AEC7-0143D4C72970}"/>
    <hyperlink ref="S1562" r:id="rId5183" xr:uid="{E2AF32F7-901A-48B5-BD9A-A6AB64AB1DC2}"/>
    <hyperlink ref="T1562" r:id="rId5184" xr:uid="{317A741F-0922-4790-A38F-81DEB9AA7C46}"/>
    <hyperlink ref="CA1562" r:id="rId5185" xr:uid="{F89A57A5-16E7-4B98-8105-FF220667F5DC}"/>
    <hyperlink ref="CB1562" r:id="rId5186" xr:uid="{F6440121-DB8B-4535-81E6-9F602D65B188}"/>
    <hyperlink ref="CD1562" r:id="rId5187" xr:uid="{89A3B0AB-7EDF-4C33-9358-58ABD5E66B74}"/>
    <hyperlink ref="O1563" r:id="rId5188" xr:uid="{4198E3B3-8187-4D77-AA3F-1F688540C845}"/>
    <hyperlink ref="S1563" r:id="rId5189" xr:uid="{5C86D3CD-F3FF-4AC7-B025-8455505DBF88}"/>
    <hyperlink ref="T1563" r:id="rId5190" xr:uid="{DB1CFCBF-0936-4A63-BFD6-F005CF55B962}"/>
    <hyperlink ref="CA1563" r:id="rId5191" xr:uid="{56F3BCE2-27BC-4320-BDC5-10416489D5A1}"/>
    <hyperlink ref="CB1563" r:id="rId5192" xr:uid="{CCF9945C-8163-4384-8CF8-CA328DDC8518}"/>
    <hyperlink ref="O1564" r:id="rId5193" xr:uid="{64A3BF82-CEA1-4624-A1F5-F615F15F954B}"/>
    <hyperlink ref="S1564" r:id="rId5194" xr:uid="{5021B43A-1161-497F-8AAB-762F82D724BF}"/>
    <hyperlink ref="T1564" r:id="rId5195" xr:uid="{5F7FB241-F1A6-426E-8E26-3B8F344C62E0}"/>
    <hyperlink ref="CA1564" r:id="rId5196" xr:uid="{445A574C-EC79-4073-AAA2-1DF343DB471E}"/>
    <hyperlink ref="CB1564" r:id="rId5197" xr:uid="{C11CF9AC-4007-40A6-976C-573978447D28}"/>
    <hyperlink ref="CD1564" r:id="rId5198" xr:uid="{F6C08A67-C1E4-4533-8D59-3A76BCD6A542}"/>
    <hyperlink ref="O1565" r:id="rId5199" xr:uid="{F99BB493-9BD7-4A80-A955-53025ADA382C}"/>
    <hyperlink ref="S1565" r:id="rId5200" xr:uid="{4B24B909-30EE-44F5-A35D-F2514151C4A5}"/>
    <hyperlink ref="T1565" r:id="rId5201" xr:uid="{65348078-B780-4782-BE56-3E503C7F7D09}"/>
    <hyperlink ref="CA1565" r:id="rId5202" xr:uid="{A81A19B1-FA9A-4C89-806F-21AD8AC16105}"/>
    <hyperlink ref="CB1565" r:id="rId5203" xr:uid="{AF09193D-F501-489A-A268-54D372591F12}"/>
    <hyperlink ref="CD1565" r:id="rId5204" xr:uid="{F3EC9845-CE14-4723-AE88-23B37B2321FB}"/>
    <hyperlink ref="O1566" r:id="rId5205" xr:uid="{14F71884-DD27-4FF6-B76E-6D4B4D599B59}"/>
    <hyperlink ref="S1566" r:id="rId5206" xr:uid="{9C907FE1-B768-4B67-802A-1675404A0DE1}"/>
    <hyperlink ref="T1566" r:id="rId5207" xr:uid="{A2181E86-BD76-45F7-9DE9-168822D350DB}"/>
    <hyperlink ref="CA1566" r:id="rId5208" xr:uid="{667CDD97-D1B8-4C6C-B520-854301CAF7A7}"/>
    <hyperlink ref="CB1566" r:id="rId5209" xr:uid="{6C8437D5-A5E0-4FE2-81D1-3BA7F205CC90}"/>
    <hyperlink ref="CD1566" r:id="rId5210" xr:uid="{F21936EC-3115-47D1-BE25-3F88F9C6AE25}"/>
    <hyperlink ref="O1567" r:id="rId5211" xr:uid="{B9BBD526-EC4A-4B71-9C65-489929A519F8}"/>
    <hyperlink ref="S1567" r:id="rId5212" xr:uid="{DCE70510-9C31-4484-9264-9BAC74A649D0}"/>
    <hyperlink ref="CA1567" r:id="rId5213" xr:uid="{DA1FD2B6-CD36-4DB3-8320-C3FFD851D1C4}"/>
    <hyperlink ref="CD1567" r:id="rId5214" xr:uid="{E0D0258E-30BF-4F6A-B56E-9527B9EBD35F}"/>
    <hyperlink ref="O1568" r:id="rId5215" xr:uid="{D15C903D-C72F-49F4-B73D-102744447697}"/>
    <hyperlink ref="S1568" r:id="rId5216" xr:uid="{09B5BAA4-BD1D-4D5B-A4AA-80832F54F739}"/>
    <hyperlink ref="T1568" r:id="rId5217" xr:uid="{AC874D30-D4BD-4632-ADBD-68C43F0E7AC8}"/>
    <hyperlink ref="CA1568" r:id="rId5218" xr:uid="{B0DF702A-C092-4154-A924-A2D8456C45C9}"/>
    <hyperlink ref="CB1568" r:id="rId5219" xr:uid="{BCDB5EA5-4B69-4B7D-AF7B-359B60B1730C}"/>
    <hyperlink ref="CD1568" r:id="rId5220" xr:uid="{9170E253-0B6E-43DE-80DD-5A28CA5FA1C2}"/>
    <hyperlink ref="O1569" r:id="rId5221" xr:uid="{09ADDCB9-540B-4781-BEBD-CCAB3253FF7A}"/>
    <hyperlink ref="S1569" r:id="rId5222" xr:uid="{EE914489-7831-4611-943B-33A29F42B0E3}"/>
    <hyperlink ref="T1569" r:id="rId5223" xr:uid="{62EFCB63-6B38-44C2-9D72-C6EC2D08F321}"/>
    <hyperlink ref="CA1569" r:id="rId5224" xr:uid="{4494C916-F342-48BC-BCF1-52086BF228F5}"/>
    <hyperlink ref="CB1569" r:id="rId5225" xr:uid="{2D53CB59-0016-4844-9B44-4BE76AC92005}"/>
    <hyperlink ref="CD1569" r:id="rId5226" xr:uid="{82ED74B5-0643-48DE-A6FD-C46D08BFFCA5}"/>
    <hyperlink ref="O1570" r:id="rId5227" xr:uid="{93F288BB-6133-4374-9D45-D3EFF4812755}"/>
    <hyperlink ref="S1570" r:id="rId5228" xr:uid="{72CC3B3E-3D94-4DC7-BDE1-617D4A266C0A}"/>
    <hyperlink ref="T1570" r:id="rId5229" xr:uid="{00235A16-DFE6-4525-94F6-E1B6F09C8B7F}"/>
    <hyperlink ref="CA1570" r:id="rId5230" xr:uid="{222D11F5-62DE-4F52-914C-385CADC541DA}"/>
    <hyperlink ref="CB1570" r:id="rId5231" xr:uid="{D3AD7403-1304-4DA0-9C0B-171632E63891}"/>
    <hyperlink ref="CD1570" r:id="rId5232" xr:uid="{E96955E9-4E0D-47A3-8085-BE3A8F8C4DBC}"/>
    <hyperlink ref="O1571" r:id="rId5233" xr:uid="{0FA6C678-22D8-4FD7-86E6-2E6219853F60}"/>
    <hyperlink ref="S1571" r:id="rId5234" xr:uid="{59EE5499-7549-42C0-820F-6AE7ACF6D50A}"/>
    <hyperlink ref="T1571" r:id="rId5235" xr:uid="{861EAC41-0446-4E85-ADB3-D18CD10C94F1}"/>
    <hyperlink ref="CA1571" r:id="rId5236" xr:uid="{FC6A4143-CA5D-4B2F-9C64-4429AFC288A1}"/>
    <hyperlink ref="CB1571" r:id="rId5237" xr:uid="{FEC49B6C-8308-4FF7-B718-36A7D49A4414}"/>
    <hyperlink ref="O1572" r:id="rId5238" xr:uid="{8C8D3463-1659-49C5-81DC-DEDA1E8B6F94}"/>
    <hyperlink ref="S1572" r:id="rId5239" xr:uid="{F9B690F6-D7F5-4D94-B2F9-D1A5B18B5AEF}"/>
    <hyperlink ref="T1572" r:id="rId5240" xr:uid="{4EA77290-5435-4BC1-9ECC-2CD55712CE73}"/>
    <hyperlink ref="CA1572" r:id="rId5241" xr:uid="{284683C5-35CC-491B-A29A-943370D294E1}"/>
    <hyperlink ref="CB1572" r:id="rId5242" xr:uid="{5FEB6C75-E12E-4DD8-92C3-8E2BDE524CAF}"/>
    <hyperlink ref="CD1572" r:id="rId5243" xr:uid="{27DA8F4F-E423-43AC-9DC0-CAF735888BD3}"/>
    <hyperlink ref="O1573" r:id="rId5244" xr:uid="{9BAB4F06-0532-4CAA-9E7C-3D09DB820175}"/>
    <hyperlink ref="S1573" r:id="rId5245" xr:uid="{1AAE5253-B797-48EC-AF56-DC120DEC942B}"/>
    <hyperlink ref="T1573" r:id="rId5246" xr:uid="{6453C207-48D2-4CD7-B17D-7FE88F779D82}"/>
    <hyperlink ref="CA1573" r:id="rId5247" xr:uid="{D3DBC5AA-D6A5-4AA1-AE6E-981281328CD8}"/>
    <hyperlink ref="CB1573" r:id="rId5248" xr:uid="{64A249AD-F3DF-4819-B854-C9B23B0A3EC5}"/>
    <hyperlink ref="CD1573" r:id="rId5249" xr:uid="{CFEB43D1-98AF-48DA-95F4-AFA82A4B291A}"/>
    <hyperlink ref="O1574" r:id="rId5250" xr:uid="{DD15EBEA-F89E-4917-8934-2340DF9C5F95}"/>
    <hyperlink ref="S1574" r:id="rId5251" xr:uid="{259B396D-4C9C-4698-BBAD-A0900141B5A8}"/>
    <hyperlink ref="T1574" r:id="rId5252" xr:uid="{89AEEB6F-1668-4C8A-B52A-E2FC57C1BEC1}"/>
    <hyperlink ref="CA1574" r:id="rId5253" xr:uid="{2E4ED5F3-A3DF-46FD-AEFD-2AD2559F95B2}"/>
    <hyperlink ref="CB1574" r:id="rId5254" xr:uid="{D407D3CC-3815-4DC7-A50D-C29071F01E15}"/>
    <hyperlink ref="O1575" r:id="rId5255" xr:uid="{A78FE1D2-C63D-4466-B997-6E8A6B20DE18}"/>
    <hyperlink ref="S1575" r:id="rId5256" xr:uid="{6BDB3584-E4AC-476E-BC48-7469DDD80867}"/>
    <hyperlink ref="T1575" r:id="rId5257" xr:uid="{C488498C-F699-4F2A-9A00-32C0E2BFFD00}"/>
    <hyperlink ref="CA1575" r:id="rId5258" xr:uid="{689F598F-C3B9-435A-9571-EEBD952D6BE5}"/>
    <hyperlink ref="CB1575" r:id="rId5259" xr:uid="{B5101B50-12E0-4D5F-8FD3-B09D8DF81437}"/>
    <hyperlink ref="O1576" r:id="rId5260" xr:uid="{B0656762-8CCE-4D10-936F-5796A29E2321}"/>
    <hyperlink ref="S1576" r:id="rId5261" xr:uid="{25BFA1D3-3AAF-4A9A-BAB9-6205044C7892}"/>
    <hyperlink ref="T1576" r:id="rId5262" xr:uid="{F6B9C662-C13E-4910-8542-E67D6A90F17D}"/>
    <hyperlink ref="CA1576" r:id="rId5263" xr:uid="{A32FD68B-9D9A-4529-9F75-7586A070066C}"/>
    <hyperlink ref="CB1576" r:id="rId5264" xr:uid="{A6AB7BAA-208D-47E9-B2D2-4110C6100164}"/>
    <hyperlink ref="CD1576" r:id="rId5265" xr:uid="{C5DFF2A4-49C7-4909-A9F3-21D8B607A1D1}"/>
    <hyperlink ref="O1577" r:id="rId5266" xr:uid="{F93409AE-75AC-4FBB-B4C4-D58ED26C4EEB}"/>
    <hyperlink ref="S1577" r:id="rId5267" xr:uid="{9D05DD3C-D244-45FB-8E75-EDE7125BEF1C}"/>
    <hyperlink ref="T1577" r:id="rId5268" xr:uid="{277EB9BA-F59E-4A4F-870D-B3219E7A4BE8}"/>
    <hyperlink ref="CA1577" r:id="rId5269" xr:uid="{E105AE00-8D22-4D65-9A7A-D420A1DA65F7}"/>
    <hyperlink ref="CB1577" r:id="rId5270" xr:uid="{6F6B6D15-0B4C-4BED-A928-AB45782545D7}"/>
    <hyperlink ref="CD1577" r:id="rId5271" xr:uid="{78A1AA01-EFD0-472D-830B-57E4ABFAD407}"/>
    <hyperlink ref="O1578" r:id="rId5272" xr:uid="{6EE16B5E-85D8-47CF-AAD1-DB64D8BD7672}"/>
    <hyperlink ref="S1578" r:id="rId5273" xr:uid="{1C478BF3-0C13-4869-95AC-9E77AA81F483}"/>
    <hyperlink ref="T1578" r:id="rId5274" xr:uid="{A483FC71-23D9-4B9B-BD75-22CB491233DA}"/>
    <hyperlink ref="CA1578" r:id="rId5275" xr:uid="{977C752E-3019-4604-9FFE-F989C60FA8BF}"/>
    <hyperlink ref="CB1578" r:id="rId5276" xr:uid="{BC4E77DC-A5DA-4F73-9F97-77AB023F0DF1}"/>
    <hyperlink ref="CD1578" r:id="rId5277" xr:uid="{F0708A8A-C60B-4C54-BD34-30FA227D2275}"/>
    <hyperlink ref="O1579" r:id="rId5278" xr:uid="{961B572B-A095-43F8-AF5D-86721ED13538}"/>
    <hyperlink ref="S1579" r:id="rId5279" xr:uid="{64E34F4B-9B47-49F6-8B0B-FBC1512BDE90}"/>
    <hyperlink ref="T1579" r:id="rId5280" xr:uid="{01297499-8C84-4978-945F-0DA369C7BEEF}"/>
    <hyperlink ref="CA1579" r:id="rId5281" xr:uid="{31712110-ED08-4E72-98D0-CAE12A38FC0A}"/>
    <hyperlink ref="CB1579" r:id="rId5282" xr:uid="{B66AFD18-6D16-4062-BF00-7618599B1106}"/>
    <hyperlink ref="O1580" r:id="rId5283" xr:uid="{3719F44F-55D1-4C66-B09A-264B67C11E2C}"/>
    <hyperlink ref="S1580" r:id="rId5284" xr:uid="{2FD008C9-199E-40FF-A3EC-88356DD8B902}"/>
    <hyperlink ref="T1580" r:id="rId5285" xr:uid="{B48BC160-AD66-4BB4-9C63-602F7EA268CE}"/>
    <hyperlink ref="CA1580" r:id="rId5286" xr:uid="{9E9B38C0-A689-44F3-BD56-871B0DFAB2FB}"/>
    <hyperlink ref="CB1580" r:id="rId5287" xr:uid="{A573DDDB-EDD5-4842-A2F7-2FE493384CA1}"/>
    <hyperlink ref="CD1580" r:id="rId5288" xr:uid="{36488CB6-FA3F-45E9-8A26-8DAF8A7798B3}"/>
    <hyperlink ref="O1581" r:id="rId5289" xr:uid="{AA09B876-71A3-454E-9C51-9B0A58C9DF27}"/>
    <hyperlink ref="S1581" r:id="rId5290" xr:uid="{D57773F4-E498-48EA-89DB-19C4A4AB3975}"/>
    <hyperlink ref="T1581" r:id="rId5291" xr:uid="{2F9B038F-80E9-4164-B296-39B9215194DD}"/>
    <hyperlink ref="CA1581" r:id="rId5292" xr:uid="{07C2B40F-4C9F-4303-B97B-4C4E08AB3C20}"/>
    <hyperlink ref="CB1581" r:id="rId5293" xr:uid="{2D5F3247-D7D3-4CCF-9280-1CA84C5815C3}"/>
    <hyperlink ref="O1582" r:id="rId5294" xr:uid="{93FF463B-E321-4419-A68A-31A3EB16EE8A}"/>
    <hyperlink ref="S1582" r:id="rId5295" xr:uid="{C2C2687D-B2D0-409C-8B0D-51EEBEE28B52}"/>
    <hyperlink ref="T1582" r:id="rId5296" xr:uid="{64BC72AC-290D-4488-93FF-9F6046FD2197}"/>
    <hyperlink ref="CA1582" r:id="rId5297" xr:uid="{C95192D2-727E-4746-9D7A-2E8F82B59B8B}"/>
    <hyperlink ref="CB1582" r:id="rId5298" xr:uid="{10543624-CD18-43C8-90CF-444A012F2403}"/>
    <hyperlink ref="CD1582" r:id="rId5299" xr:uid="{9804142D-1693-447A-AA9A-D37FE9C07F0B}"/>
    <hyperlink ref="O1583" r:id="rId5300" xr:uid="{8E7DAA39-B33B-48B5-9025-DE45B0C21D9F}"/>
    <hyperlink ref="S1583" r:id="rId5301" xr:uid="{DF8CDF23-25F7-4361-8F3A-FEA11ACC75F6}"/>
    <hyperlink ref="CA1583" r:id="rId5302" xr:uid="{6B963A19-410F-412B-8E31-8D57E034ED89}"/>
    <hyperlink ref="O1584" r:id="rId5303" xr:uid="{0F586BF1-EBBF-4A5B-BCE5-C6143069D4AE}"/>
    <hyperlink ref="S1584" r:id="rId5304" xr:uid="{FC584956-8981-409D-8763-8D6D0F2D1ED0}"/>
    <hyperlink ref="CA1584" r:id="rId5305" xr:uid="{C8E646DC-7E3E-4403-A9A6-B6F8DBE6F4E7}"/>
    <hyperlink ref="CD1584" r:id="rId5306" xr:uid="{9C6A27AA-4A96-48CF-A11D-9680572F2AA2}"/>
    <hyperlink ref="O1585" r:id="rId5307" xr:uid="{A55CE7D6-8C32-498E-B266-3D4DC82FB357}"/>
    <hyperlink ref="S1585" r:id="rId5308" xr:uid="{39AA2D05-97B3-4716-8265-70CC6E9FDF76}"/>
    <hyperlink ref="CA1585" r:id="rId5309" xr:uid="{61A2B174-5664-4960-9778-4CF111747EC0}"/>
    <hyperlink ref="O1586" r:id="rId5310" xr:uid="{6CE87E6E-4A64-4D53-8641-2FF5974DE7B6}"/>
    <hyperlink ref="S1586" r:id="rId5311" xr:uid="{5170D907-E865-4553-99FE-C1E35EBF0F52}"/>
    <hyperlink ref="CA1586" r:id="rId5312" xr:uid="{DDC1888D-3104-407E-8C7F-3D0436466550}"/>
    <hyperlink ref="CD1586" r:id="rId5313" xr:uid="{7C0124B7-D5B6-43FD-89F6-4AB0E3269A68}"/>
    <hyperlink ref="O1587" r:id="rId5314" xr:uid="{A7221837-DEDB-48C0-A641-E696EEE94181}"/>
    <hyperlink ref="S1587" r:id="rId5315" xr:uid="{D636B87D-EFE6-4832-8853-3A55B58AECAB}"/>
    <hyperlink ref="T1587" r:id="rId5316" xr:uid="{96A8AE4B-9F51-4B6F-8302-82B53D0C380A}"/>
    <hyperlink ref="CA1587" r:id="rId5317" xr:uid="{8BD1A735-A8EE-4D0B-BB24-D0B0239129C7}"/>
    <hyperlink ref="CB1587" r:id="rId5318" xr:uid="{928070D9-3D13-48EE-B1C3-3AAF284A804C}"/>
    <hyperlink ref="CD1587" r:id="rId5319" xr:uid="{C83C6F5B-B5D3-4B0C-BF75-21689DD83E85}"/>
    <hyperlink ref="O1588" r:id="rId5320" xr:uid="{21134AE4-AF4E-427C-A4CE-3234420CD1D2}"/>
    <hyperlink ref="S1588" r:id="rId5321" xr:uid="{78DCDF0C-EF5B-4E18-B0AA-5DCB23A7AB44}"/>
    <hyperlink ref="T1588" r:id="rId5322" xr:uid="{C38E0EC5-30A1-4B57-ADBB-3EC1544A0B69}"/>
    <hyperlink ref="CA1588" r:id="rId5323" xr:uid="{9DD8633E-DB1F-4E6D-8CCB-27E938A53F79}"/>
    <hyperlink ref="CB1588" r:id="rId5324" xr:uid="{D1A7CC95-EF7C-4F9B-B97D-860F7B36DE5B}"/>
    <hyperlink ref="O1589" r:id="rId5325" xr:uid="{E9B96C6A-FE6B-46F7-B862-DB34CCB6271D}"/>
    <hyperlink ref="S1589" r:id="rId5326" xr:uid="{A7335219-884E-44C1-9710-DB892FDCE5ED}"/>
    <hyperlink ref="T1589" r:id="rId5327" xr:uid="{67DE6DEE-4A9B-4CA9-8029-9A4E7E72CCB6}"/>
    <hyperlink ref="CA1589" r:id="rId5328" xr:uid="{7167129E-7B06-42C7-AEAF-D1F966ADA759}"/>
    <hyperlink ref="CB1589" r:id="rId5329" xr:uid="{16326D64-3A19-4B58-B45F-6CA7DEB90A62}"/>
    <hyperlink ref="CD1589" r:id="rId5330" xr:uid="{36D281CA-5E09-44EB-9919-E392606016B5}"/>
    <hyperlink ref="O1590" r:id="rId5331" xr:uid="{1FAF1E30-D9CE-4CE9-801A-3E03AEBBB8EB}"/>
    <hyperlink ref="S1590" r:id="rId5332" xr:uid="{9395BE12-EAEC-4AD1-8A74-029BB7F0C4DE}"/>
    <hyperlink ref="T1590" r:id="rId5333" xr:uid="{55CD36B6-B36D-4F5E-BFCA-BCDEB3C01216}"/>
    <hyperlink ref="CA1590" r:id="rId5334" xr:uid="{131F426D-A8EF-4502-8A97-C293B775260B}"/>
    <hyperlink ref="CB1590" r:id="rId5335" xr:uid="{91F176E9-CCC1-4BED-B2BC-A390F94116C8}"/>
    <hyperlink ref="CD1590" r:id="rId5336" xr:uid="{E43511E9-45F1-4FD4-90DD-7AC9A9A2BDDA}"/>
    <hyperlink ref="O1591" r:id="rId5337" xr:uid="{E41EA660-F12B-4D61-9ABF-05D87D2A1CF8}"/>
    <hyperlink ref="S1591" r:id="rId5338" xr:uid="{F37DCFCB-62FD-4086-A69E-A13B41B85D42}"/>
    <hyperlink ref="T1591" r:id="rId5339" xr:uid="{71F177AF-F3CA-48C7-B57B-DF4E8DADA851}"/>
    <hyperlink ref="CA1591" r:id="rId5340" xr:uid="{69EE98C2-46CB-4C58-A0F2-53CA9D9C6580}"/>
    <hyperlink ref="CB1591" r:id="rId5341" xr:uid="{4C576D50-7484-4588-9A56-5247B4EC73A9}"/>
    <hyperlink ref="CD1591" r:id="rId5342" xr:uid="{4F4B552A-7871-4483-B225-CF3559949B60}"/>
    <hyperlink ref="O1592" r:id="rId5343" xr:uid="{5D6A17F0-8CB5-4908-AC32-E623366AD1C5}"/>
    <hyperlink ref="S1592" r:id="rId5344" xr:uid="{F0C34D33-0199-410A-A6BC-7237DE0E134A}"/>
    <hyperlink ref="T1592" r:id="rId5345" xr:uid="{065BCC3B-CF4F-4714-AE64-4FFAFD1542DD}"/>
    <hyperlink ref="CA1592" r:id="rId5346" xr:uid="{D934D813-538A-43FF-B367-99A2F8487C55}"/>
    <hyperlink ref="CB1592" r:id="rId5347" xr:uid="{D72433D9-8765-456D-933D-78AA2847830D}"/>
    <hyperlink ref="O1593" r:id="rId5348" xr:uid="{23496867-AC4A-477D-BF9C-EB98C91EE7CD}"/>
    <hyperlink ref="S1593" r:id="rId5349" xr:uid="{AA42652F-5412-49A1-8677-51FB169526B8}"/>
    <hyperlink ref="T1593" r:id="rId5350" xr:uid="{9342293C-CC5F-4638-B144-3529C9EA27B4}"/>
    <hyperlink ref="CA1593" r:id="rId5351" xr:uid="{BD8A8F83-F65E-4646-B807-5288CBA54CC4}"/>
    <hyperlink ref="CB1593" r:id="rId5352" xr:uid="{931CDAE4-35EA-4C3A-A831-C780533CFDE7}"/>
    <hyperlink ref="CD1593" r:id="rId5353" xr:uid="{CF67B3F0-B0CE-4F8D-B08D-B27215296FDB}"/>
    <hyperlink ref="O1594" r:id="rId5354" xr:uid="{89494EF7-7DFE-4843-B4F4-B01E918223B7}"/>
    <hyperlink ref="S1594" r:id="rId5355" xr:uid="{79E9010B-155C-4EE7-B6E0-D0AACAA1F600}"/>
    <hyperlink ref="T1594" r:id="rId5356" xr:uid="{6E12BC95-FD97-4761-899C-95267BA0F860}"/>
    <hyperlink ref="CA1594" r:id="rId5357" xr:uid="{956E2F3B-217F-4204-A6C2-66D517F4EA8A}"/>
    <hyperlink ref="CB1594" r:id="rId5358" xr:uid="{8CC7A441-1E4A-410F-A7C8-02D55EFE69CC}"/>
    <hyperlink ref="O1595" r:id="rId5359" xr:uid="{27D18313-BF1C-495F-9198-3FE7D9E03405}"/>
    <hyperlink ref="S1595" r:id="rId5360" xr:uid="{1FD70840-FC09-4961-B4DE-C20975174E5B}"/>
    <hyperlink ref="T1595" r:id="rId5361" xr:uid="{3EBAA690-28D2-4EB0-A8AB-71895F143C14}"/>
    <hyperlink ref="CA1595" r:id="rId5362" xr:uid="{644E7E20-E947-445C-B42F-AFDCB78E085B}"/>
    <hyperlink ref="CB1595" r:id="rId5363" xr:uid="{BEF20D67-0912-4967-8CD7-84AE47C90059}"/>
    <hyperlink ref="CD1595" r:id="rId5364" xr:uid="{C70858B5-CDE0-4B9D-A87D-84984064DECD}"/>
    <hyperlink ref="O1596" r:id="rId5365" xr:uid="{1EBBCAF4-1748-4EEC-AF01-03A4A403490F}"/>
    <hyperlink ref="S1596" r:id="rId5366" xr:uid="{5E13D36E-1B45-42E1-9F70-F51CA7A3A1C2}"/>
    <hyperlink ref="CA1596" r:id="rId5367" xr:uid="{02247B4D-FF6B-49E5-AF17-C9A84B9D81BF}"/>
    <hyperlink ref="O1597" r:id="rId5368" xr:uid="{49DF5DD7-23BB-4242-908B-5373AA17362D}"/>
    <hyperlink ref="S1597" r:id="rId5369" xr:uid="{8E334FD8-0640-4654-AFB9-38B22C996481}"/>
    <hyperlink ref="T1597" r:id="rId5370" xr:uid="{2DA85C01-2843-4343-A10E-6015BBEB0992}"/>
    <hyperlink ref="CA1597" r:id="rId5371" xr:uid="{EC804816-9BE4-41EF-98AA-03289257E20E}"/>
    <hyperlink ref="CB1597" r:id="rId5372" xr:uid="{0420F6DF-9A11-4A6E-A731-48CA727ECEA0}"/>
    <hyperlink ref="O1598" r:id="rId5373" xr:uid="{BD3A6C1E-0164-4359-B7A0-1C55FB2F58BD}"/>
    <hyperlink ref="S1598" r:id="rId5374" xr:uid="{1FCC5847-ADAB-4810-AD9E-54CA118AE926}"/>
    <hyperlink ref="T1598" r:id="rId5375" xr:uid="{1EB8C5C3-8A87-43C5-B785-9AC11B4AC157}"/>
    <hyperlink ref="CA1598" r:id="rId5376" xr:uid="{B538981B-3A8E-4708-B468-29BA8736C793}"/>
    <hyperlink ref="CB1598" r:id="rId5377" xr:uid="{9EBC8E4B-AF72-4CDD-99DA-D5061107BCF5}"/>
    <hyperlink ref="CD1598" r:id="rId5378" xr:uid="{554CDD35-B542-4BF5-BDF5-FF21A13E7AA2}"/>
    <hyperlink ref="O1599" r:id="rId5379" xr:uid="{F00B8E6B-BDC7-4D65-BBB3-D33E518AF295}"/>
    <hyperlink ref="S1599" r:id="rId5380" xr:uid="{B434B0A3-8A76-40E8-8411-F61C17EEB4C1}"/>
    <hyperlink ref="T1599" r:id="rId5381" xr:uid="{A114A0FE-9ECF-4330-820F-5C0C382ED59A}"/>
    <hyperlink ref="CA1599" r:id="rId5382" xr:uid="{A8E8284F-986E-438E-8BB2-AD8E2B1BD323}"/>
    <hyperlink ref="CB1599" r:id="rId5383" xr:uid="{EEE98888-324F-4503-B994-9FAEDDBDDA50}"/>
    <hyperlink ref="CD1599" r:id="rId5384" xr:uid="{DF6C8D38-9F0A-4E6D-BD15-9F5E2ACFE642}"/>
    <hyperlink ref="O1600" r:id="rId5385" xr:uid="{04F8FAEF-8610-46F9-9DC0-B15874C4C33B}"/>
    <hyperlink ref="S1600" r:id="rId5386" xr:uid="{31E8327B-0D78-4FE1-B8D5-94641B829DFC}"/>
    <hyperlink ref="T1600" r:id="rId5387" xr:uid="{54D5B5B6-BC0D-48F2-BDA2-2D82A778DB3C}"/>
    <hyperlink ref="CA1600" r:id="rId5388" xr:uid="{51F1B0E1-6FC9-4C59-B151-24ADC862CCCF}"/>
    <hyperlink ref="CB1600" r:id="rId5389" xr:uid="{66D109F9-EC7C-4B0D-A387-FCB90344A87D}"/>
    <hyperlink ref="CD1600" r:id="rId5390" xr:uid="{1552F68A-61EC-48EA-BA71-FCA80CBE5FF4}"/>
    <hyperlink ref="O1601" r:id="rId5391" xr:uid="{E492826C-BBD6-4075-9110-CFBF51E8D062}"/>
    <hyperlink ref="S1601" r:id="rId5392" xr:uid="{B7F3EE41-DD67-498E-BA71-9FFFECF8FBD2}"/>
    <hyperlink ref="T1601" r:id="rId5393" xr:uid="{959A5233-5F65-4577-B68D-E459DDC2C8B7}"/>
    <hyperlink ref="CA1601" r:id="rId5394" xr:uid="{804512A5-C679-4B15-9B2B-2E127F329B7B}"/>
    <hyperlink ref="CB1601" r:id="rId5395" xr:uid="{561E44AB-EF7F-4ED5-BB29-DCB15746EC2C}"/>
    <hyperlink ref="CD1601" r:id="rId5396" xr:uid="{DBCE0BC3-DF7B-4420-8BD1-F2D8E7071F92}"/>
    <hyperlink ref="O1602" r:id="rId5397" xr:uid="{F148872C-D8DE-49D2-A17E-CF3E554FA6CD}"/>
    <hyperlink ref="S1602" r:id="rId5398" xr:uid="{53C80689-F049-4114-A512-9D42F70EB033}"/>
    <hyperlink ref="T1602" r:id="rId5399" xr:uid="{C85FB717-5340-4B95-B8CD-5A7CD6B2B575}"/>
    <hyperlink ref="CA1602" r:id="rId5400" xr:uid="{9CA82263-DFD6-4672-BE1D-930CF5525760}"/>
    <hyperlink ref="CB1602" r:id="rId5401" xr:uid="{C58ACBF4-5DA1-42A8-A437-D7211435DA77}"/>
    <hyperlink ref="O1603" r:id="rId5402" xr:uid="{297C4CEC-076D-4439-9EFA-CE26D5FED781}"/>
    <hyperlink ref="S1603" r:id="rId5403" xr:uid="{2CC6311D-E192-4A35-8ABE-865C41CBCC68}"/>
    <hyperlink ref="T1603" r:id="rId5404" xr:uid="{0CF11E1A-C4C0-4A79-A4C0-F1A0C68A8E1B}"/>
    <hyperlink ref="CA1603" r:id="rId5405" xr:uid="{3B335D6E-65E0-491A-AB2F-CAD22AA02CF2}"/>
    <hyperlink ref="CB1603" r:id="rId5406" xr:uid="{4B609CCE-E0A6-4DC6-980A-EC74513A7DEF}"/>
    <hyperlink ref="CD1603" r:id="rId5407" xr:uid="{458CBF98-CCCD-4F02-9E7D-28B195473222}"/>
    <hyperlink ref="O1604" r:id="rId5408" xr:uid="{7CD4D462-A377-431C-8225-ABC855B7D7FB}"/>
    <hyperlink ref="S1604" r:id="rId5409" xr:uid="{A827F8D3-EB73-466F-999D-18E5E2398425}"/>
    <hyperlink ref="T1604" r:id="rId5410" xr:uid="{4134FA5F-8335-4B84-9848-FB32B69C5613}"/>
    <hyperlink ref="CA1604" r:id="rId5411" xr:uid="{036E19AD-0EFB-45A4-9BBC-5C75734AC540}"/>
    <hyperlink ref="CB1604" r:id="rId5412" xr:uid="{CF61F401-7992-444A-861F-C5AD71FAAAFD}"/>
    <hyperlink ref="CD1604" r:id="rId5413" xr:uid="{0C716D68-DD20-4672-8B3C-EA1E0C96CBA8}"/>
    <hyperlink ref="O1605" r:id="rId5414" xr:uid="{85389E73-B868-4028-BF82-B609B2675762}"/>
    <hyperlink ref="S1605" r:id="rId5415" xr:uid="{2B3FBA8D-2EA6-4010-9FDA-88B700442040}"/>
    <hyperlink ref="T1605" r:id="rId5416" xr:uid="{FCCAFA98-1730-49BD-BDFE-2CDE843E6C3B}"/>
    <hyperlink ref="CA1605" r:id="rId5417" xr:uid="{75B4A2DD-4420-409C-B4AD-4053759E36F2}"/>
    <hyperlink ref="CB1605" r:id="rId5418" xr:uid="{F4AEB443-6AAF-43C6-BAB2-4442F97D1DE1}"/>
    <hyperlink ref="CD1605" r:id="rId5419" xr:uid="{1F268998-CFC8-4EB8-B42A-86A0D03A7060}"/>
    <hyperlink ref="O1606" r:id="rId5420" xr:uid="{B366E71E-E9CD-4FB4-A7D0-4736BE35A8A9}"/>
    <hyperlink ref="S1606" r:id="rId5421" xr:uid="{0743797E-DC12-49E5-8F25-42DCC092FE38}"/>
    <hyperlink ref="T1606" r:id="rId5422" xr:uid="{0C89D097-E25F-4837-9213-912EF6884868}"/>
    <hyperlink ref="CA1606" r:id="rId5423" xr:uid="{4A26FCEC-8CA6-4EE2-98FF-1C42AE423403}"/>
    <hyperlink ref="CB1606" r:id="rId5424" xr:uid="{FDB0582E-276D-4568-AEA0-15D2D5EA68BB}"/>
    <hyperlink ref="O1607" r:id="rId5425" xr:uid="{16EC0535-57EB-4829-BBD7-BE5C7E0210A9}"/>
    <hyperlink ref="S1607" r:id="rId5426" xr:uid="{CC140C54-BADA-4678-8543-18408A27B2CD}"/>
    <hyperlink ref="T1607" r:id="rId5427" xr:uid="{B5EEEE4A-608C-417A-AECC-757C5CF36B0A}"/>
    <hyperlink ref="CA1607" r:id="rId5428" xr:uid="{DD0B70BC-E60B-497A-8CE8-966F9DD5F06F}"/>
    <hyperlink ref="CB1607" r:id="rId5429" xr:uid="{92C5F482-0256-49B1-876B-668134BD4084}"/>
    <hyperlink ref="CD1607" r:id="rId5430" xr:uid="{805F4F3F-7A80-45B1-AFB7-9DB3ED656090}"/>
    <hyperlink ref="O1608" r:id="rId5431" xr:uid="{8272B908-A6F4-4164-B7CF-926EC94DD886}"/>
    <hyperlink ref="S1608" r:id="rId5432" xr:uid="{662AA006-939E-484A-B42C-FCCD33C168A9}"/>
    <hyperlink ref="T1608" r:id="rId5433" xr:uid="{5F8D89B3-0AB4-49EE-A150-ED8132BC388D}"/>
    <hyperlink ref="CA1608" r:id="rId5434" xr:uid="{8D44DA40-0CF7-4C45-A944-DD4550DD1549}"/>
    <hyperlink ref="CB1608" r:id="rId5435" xr:uid="{8B7F5753-5A5B-4B2C-9200-5D5E7DA4BF53}"/>
    <hyperlink ref="CD1608" r:id="rId5436" xr:uid="{D185A17D-E78D-4AEF-9A1F-94228B418AC6}"/>
    <hyperlink ref="O1609" r:id="rId5437" xr:uid="{55364E9A-116C-4EA4-92C5-8DD028A24BB6}"/>
    <hyperlink ref="S1609" r:id="rId5438" xr:uid="{1AC7AC12-BABE-4F6D-9982-7B82B6DC9317}"/>
    <hyperlink ref="T1609" r:id="rId5439" xr:uid="{04FD31D6-FB65-4940-8F0E-A14B1D9373D3}"/>
    <hyperlink ref="CA1609" r:id="rId5440" xr:uid="{AE3277B9-7144-4FD7-9FBD-3A6E566A4CFF}"/>
    <hyperlink ref="CB1609" r:id="rId5441" xr:uid="{716936F0-952D-427A-ADC8-F5B4F928AC52}"/>
    <hyperlink ref="CD1609" r:id="rId5442" xr:uid="{EA796C50-A067-441D-AC08-1296F78CA5A3}"/>
    <hyperlink ref="O1610" r:id="rId5443" xr:uid="{668E822B-FBA7-4EEE-97BD-3D39DEE67471}"/>
    <hyperlink ref="S1610" r:id="rId5444" xr:uid="{C4DCF8AE-C70C-403E-B293-B3357AB2A3BE}"/>
    <hyperlink ref="T1610" r:id="rId5445" xr:uid="{59BE1DC0-856D-4CCD-9EF3-FC137D9AA961}"/>
    <hyperlink ref="CA1610" r:id="rId5446" xr:uid="{0AC04A63-42C0-4D0E-9ED5-3286E9465FB1}"/>
    <hyperlink ref="CB1610" r:id="rId5447" xr:uid="{39962BC7-706A-4E4B-85BE-4F5516F44F1E}"/>
    <hyperlink ref="CD1610" r:id="rId5448" xr:uid="{E069EE18-63D0-44BF-951A-373A99383B3D}"/>
    <hyperlink ref="O1611" r:id="rId5449" xr:uid="{45606839-8EBB-4905-BEE3-536DE09FA169}"/>
    <hyperlink ref="S1611" r:id="rId5450" xr:uid="{9898B1DE-4AD7-48F1-AC20-D4780CA27041}"/>
    <hyperlink ref="T1611" r:id="rId5451" xr:uid="{33052FD3-A548-4E39-BC2C-B8F454FCA30D}"/>
    <hyperlink ref="CA1611" r:id="rId5452" xr:uid="{5BFE7AFF-DA25-4A68-A559-167A6F12579C}"/>
    <hyperlink ref="CB1611" r:id="rId5453" xr:uid="{D6B47DD2-110F-469A-A57C-239BAA2BDD36}"/>
    <hyperlink ref="O1612" r:id="rId5454" xr:uid="{744756A7-7018-4FAB-AA65-5688BF7AEDBB}"/>
    <hyperlink ref="S1612" r:id="rId5455" xr:uid="{A9B96B5A-C015-4D29-82C8-9B5B59203C87}"/>
    <hyperlink ref="T1612" r:id="rId5456" xr:uid="{4DA1D67F-8A62-4955-8073-14C761D6CCDA}"/>
    <hyperlink ref="CA1612" r:id="rId5457" xr:uid="{31871F15-8404-4B81-A9C9-57E64846DC60}"/>
    <hyperlink ref="CB1612" r:id="rId5458" xr:uid="{ED59EE50-CBBE-4598-8EE1-F4432B7071F6}"/>
    <hyperlink ref="O1613" r:id="rId5459" xr:uid="{9D415D5F-F591-4870-9C90-D92C81BC8933}"/>
    <hyperlink ref="S1613" r:id="rId5460" xr:uid="{4FA9B22C-B65D-4EA8-A3CB-B179388D0539}"/>
    <hyperlink ref="T1613" r:id="rId5461" xr:uid="{CA394D4F-2592-47A3-931E-A1848EB3CC40}"/>
    <hyperlink ref="CA1613" r:id="rId5462" xr:uid="{9DCEA760-145A-4675-9764-1281536EF7D5}"/>
    <hyperlink ref="CB1613" r:id="rId5463" xr:uid="{75839177-225F-4B86-9152-61D889F224E8}"/>
    <hyperlink ref="CD1613" r:id="rId5464" xr:uid="{CF46B62B-F9BB-432B-BFE6-9FCFF51CAB43}"/>
    <hyperlink ref="O1614" r:id="rId5465" xr:uid="{4E688389-CDC5-45B9-A948-744607DE27D7}"/>
    <hyperlink ref="S1614" r:id="rId5466" xr:uid="{EFEE27A4-7F85-481E-9136-5B28731CC3D8}"/>
    <hyperlink ref="T1614" r:id="rId5467" xr:uid="{30AD9CD6-D294-4048-957B-2BB4A7032C1C}"/>
    <hyperlink ref="CA1614" r:id="rId5468" xr:uid="{70C4F011-557C-4F84-AC28-6E636DBC33D5}"/>
    <hyperlink ref="CB1614" r:id="rId5469" xr:uid="{9127D102-168D-47EA-911E-29BBE731B6EF}"/>
    <hyperlink ref="CD1614" r:id="rId5470" xr:uid="{FF255ECF-8939-4DFF-A428-2A9D3BD1C357}"/>
    <hyperlink ref="O1615" r:id="rId5471" xr:uid="{6562BB05-76AC-422F-BD84-E9C8EFE6EF6F}"/>
    <hyperlink ref="S1615" r:id="rId5472" xr:uid="{A4435629-87A4-46E2-834C-DC449A6FEBFB}"/>
    <hyperlink ref="T1615" r:id="rId5473" xr:uid="{B3B00F5A-7783-4323-8B9B-6675B464172A}"/>
    <hyperlink ref="CA1615" r:id="rId5474" xr:uid="{FA14CD55-3B95-4C06-8E6E-647DDECD805D}"/>
    <hyperlink ref="CB1615" r:id="rId5475" xr:uid="{9C77784F-C950-40E9-9B17-9CF30C4A1051}"/>
    <hyperlink ref="CD1615" r:id="rId5476" xr:uid="{FD7371F4-5E86-4B6B-886C-DC3F9554C6C2}"/>
    <hyperlink ref="O1616" r:id="rId5477" xr:uid="{4DA4F67B-A73D-497D-8EDC-3065BE3F44D9}"/>
    <hyperlink ref="S1616" r:id="rId5478" xr:uid="{E9077AC2-88F8-46D1-AFD1-3459015CB597}"/>
    <hyperlink ref="T1616" r:id="rId5479" xr:uid="{C1F5AAD0-8B96-4E41-9634-1B01ACE3A52D}"/>
    <hyperlink ref="CA1616" r:id="rId5480" xr:uid="{62450B0D-0F8B-49F1-9E4D-719B41CFC016}"/>
    <hyperlink ref="CB1616" r:id="rId5481" xr:uid="{764A4844-3609-4EC7-9E05-31CFD641AF13}"/>
    <hyperlink ref="CD1616" r:id="rId5482" xr:uid="{8396CB51-664E-4CB7-A88A-4F69B80ECEBA}"/>
    <hyperlink ref="O1617" r:id="rId5483" xr:uid="{B0D6EB57-F9E9-41AB-93C5-08C1FA743AE5}"/>
    <hyperlink ref="S1617" r:id="rId5484" xr:uid="{14EFBC7E-420E-4552-A43E-A004B4E94F83}"/>
    <hyperlink ref="T1617" r:id="rId5485" xr:uid="{3F5184DD-067D-448A-B19A-87DD41043ACF}"/>
    <hyperlink ref="CA1617" r:id="rId5486" xr:uid="{0B105B38-8EC6-4D10-9BE4-5861D98D211C}"/>
    <hyperlink ref="CB1617" r:id="rId5487" xr:uid="{5D003460-F7AF-4218-90A1-32518525A0E5}"/>
    <hyperlink ref="CD1617" r:id="rId5488" xr:uid="{B418D890-9A38-4E5B-89FD-648185AB1E07}"/>
    <hyperlink ref="O1618" r:id="rId5489" xr:uid="{A7D90946-C4DC-4250-8149-1BFB4C028020}"/>
    <hyperlink ref="S1618" r:id="rId5490" xr:uid="{FC057276-7B8E-4D2F-BEDE-F0E2CDBBAAFC}"/>
    <hyperlink ref="T1618" r:id="rId5491" xr:uid="{0B430C9E-287D-45C9-9BC8-30032E26B885}"/>
    <hyperlink ref="CA1618" r:id="rId5492" xr:uid="{E29D59C3-3B54-4C2D-867F-EE53186CC224}"/>
    <hyperlink ref="CB1618" r:id="rId5493" xr:uid="{D3E7E661-BFAE-4A98-AA7A-E92F29302C6E}"/>
    <hyperlink ref="CD1618" r:id="rId5494" xr:uid="{F8E54842-62C2-4B92-A881-344432040642}"/>
    <hyperlink ref="O1619" r:id="rId5495" xr:uid="{127A2F23-CBBF-498B-A55B-ED59E931650D}"/>
    <hyperlink ref="S1619" r:id="rId5496" xr:uid="{5FD5FC4E-E177-4205-96F5-24F1E8E8EEAB}"/>
    <hyperlink ref="T1619" r:id="rId5497" xr:uid="{8F54FE76-B82A-4BCA-9DEE-D90875C4B0E2}"/>
    <hyperlink ref="CA1619" r:id="rId5498" xr:uid="{769B0E59-1085-41B3-BAF3-652C1C0E36BE}"/>
    <hyperlink ref="CB1619" r:id="rId5499" xr:uid="{461CD65C-6D8C-4479-A4BE-5E805C404938}"/>
    <hyperlink ref="CD1619" r:id="rId5500" xr:uid="{8F315F15-4EF5-4228-9EE9-F98FF222720E}"/>
    <hyperlink ref="O1656" r:id="rId5501" xr:uid="{A5D95C82-20D1-4FA4-9D1E-B2667DBF2954}"/>
    <hyperlink ref="S1656" r:id="rId5502" xr:uid="{2D3B7E60-AC29-4D1A-B0D3-CFAE6910C0AC}"/>
    <hyperlink ref="T1656" r:id="rId5503" xr:uid="{5FA2AE1E-3514-47AB-A388-FB7E849A8B94}"/>
    <hyperlink ref="CA1656" r:id="rId5504" xr:uid="{2190F7F0-7ECC-4DFC-863C-6C566F3F4E4C}"/>
    <hyperlink ref="CB1656" r:id="rId5505" xr:uid="{06E1456D-75CA-4599-9D8B-C4465CD5FDF1}"/>
    <hyperlink ref="O1657" r:id="rId5506" xr:uid="{4BF0ADFE-569B-418E-89FC-710CEE8754EF}"/>
    <hyperlink ref="S1657" r:id="rId5507" xr:uid="{D194386D-9875-48CA-8822-D4FF27E8DA9B}"/>
    <hyperlink ref="T1657" r:id="rId5508" xr:uid="{5BCE2E97-B10F-458A-806F-0DB0AC7C5E00}"/>
    <hyperlink ref="CA1657" r:id="rId5509" xr:uid="{53663FEB-F3CF-4502-923A-BDFE7179C981}"/>
    <hyperlink ref="CB1657" r:id="rId5510" xr:uid="{E3EBAFB7-367D-4A76-84FA-1FD603C79749}"/>
    <hyperlink ref="O1658" r:id="rId5511" xr:uid="{69132D5C-7D8E-43DC-A4B4-8FCD4A77180D}"/>
    <hyperlink ref="S1658" r:id="rId5512" xr:uid="{F40D37A3-C4DA-42D8-837D-316EE74803E1}"/>
    <hyperlink ref="T1658" r:id="rId5513" xr:uid="{3DC2CC4B-53F7-4C97-AD60-F37214D69402}"/>
    <hyperlink ref="CA1658" r:id="rId5514" xr:uid="{25F1CE01-0AC0-41EF-B66E-99A53A7BB49A}"/>
    <hyperlink ref="CB1658" r:id="rId5515" xr:uid="{C2B1EE9A-3F8D-4859-8C58-6809561B6071}"/>
    <hyperlink ref="O1659" r:id="rId5516" xr:uid="{1C818AC1-5282-4BBF-856F-39544E6C2AE3}"/>
    <hyperlink ref="S1659" r:id="rId5517" xr:uid="{92694CA6-19B1-484D-B5ED-A95250B9A956}"/>
    <hyperlink ref="T1659" r:id="rId5518" xr:uid="{282D0C51-646F-4D6B-8632-E770DBE85455}"/>
    <hyperlink ref="CA1659" r:id="rId5519" xr:uid="{9F4C243E-A003-4C02-8A94-8642191C2D23}"/>
    <hyperlink ref="CB1659" r:id="rId5520" xr:uid="{86594187-94C5-4F04-8707-9FCB49379884}"/>
    <hyperlink ref="O1660" r:id="rId5521" xr:uid="{138B01AA-793F-403E-99B3-60319152C88A}"/>
    <hyperlink ref="S1660" r:id="rId5522" xr:uid="{CB691C6C-3E21-4A29-A672-71C03A2C7126}"/>
    <hyperlink ref="T1660" r:id="rId5523" xr:uid="{333F4ACF-F25A-4E8B-A658-CA3095E63C64}"/>
    <hyperlink ref="CA1660" r:id="rId5524" xr:uid="{9C014BB1-34B2-4041-B7ED-4C6EF78632F3}"/>
    <hyperlink ref="CB1660" r:id="rId5525" xr:uid="{D8A387C4-06AE-470C-A3BC-F020A0FFE9C3}"/>
    <hyperlink ref="CD1660" r:id="rId5526" xr:uid="{6D1712DD-4B3A-44AB-B09F-61EE95F2C432}"/>
    <hyperlink ref="O1661" r:id="rId5527" xr:uid="{74643804-F7F5-48FE-82FE-0B93D7857746}"/>
    <hyperlink ref="S1661" r:id="rId5528" xr:uid="{520041E3-E655-41A6-8E54-A7CAA8075982}"/>
    <hyperlink ref="T1661" r:id="rId5529" xr:uid="{5190B0EA-6116-4A7B-9D8A-C293D9E9B0AF}"/>
    <hyperlink ref="CA1661" r:id="rId5530" xr:uid="{5A78AF74-A498-4A5A-80D1-CF15CD170989}"/>
    <hyperlink ref="CB1661" r:id="rId5531" xr:uid="{2E1D6AAF-6965-4D6B-9711-9CAA3D047CD6}"/>
    <hyperlink ref="O1662" r:id="rId5532" xr:uid="{17C152A8-9E46-41A9-9D16-7D0D4C568BF5}"/>
    <hyperlink ref="S1662" r:id="rId5533" xr:uid="{5ED92DB3-71CD-4F83-8940-50769B42CBEF}"/>
    <hyperlink ref="T1662" r:id="rId5534" xr:uid="{CD7C4BC9-8CBE-47B0-9D7E-8EE46CF2CEEE}"/>
    <hyperlink ref="CA1662" r:id="rId5535" xr:uid="{E7D2EAFF-5634-4264-9E68-EF37D4B5B913}"/>
    <hyperlink ref="CB1662" r:id="rId5536" xr:uid="{B725ACBF-8B9C-41BF-8558-35C44879D100}"/>
    <hyperlink ref="O1663" r:id="rId5537" xr:uid="{88053202-048F-4AC1-920D-4B866A1EFE94}"/>
    <hyperlink ref="S1663" r:id="rId5538" xr:uid="{D1A9D716-922B-4189-A8E5-AA853D4EB831}"/>
    <hyperlink ref="T1663" r:id="rId5539" xr:uid="{06007EAD-44C6-4D76-9932-DDD7E10EAAC2}"/>
    <hyperlink ref="CA1663" r:id="rId5540" xr:uid="{46F8E1C6-D8B7-4BB7-9842-10C0FB26EEB7}"/>
    <hyperlink ref="CB1663" r:id="rId5541" xr:uid="{50068259-4763-4B31-BEE9-F3D1F16AD5F4}"/>
    <hyperlink ref="O1664" r:id="rId5542" xr:uid="{E35D7FCA-AF71-4226-B093-869035423D0B}"/>
    <hyperlink ref="S1664" r:id="rId5543" xr:uid="{BB695E5F-6104-4BA9-B6F3-B9C249DAAD80}"/>
    <hyperlink ref="T1664" r:id="rId5544" xr:uid="{46300F80-9365-44BF-82C9-12D0B4FCB68D}"/>
    <hyperlink ref="CA1664" r:id="rId5545" xr:uid="{AB2B19BF-AFE5-41E5-86E3-8D1481142534}"/>
    <hyperlink ref="CB1664" r:id="rId5546" xr:uid="{6DAFD48B-C0EC-4FCB-ABDE-13D85C269B1C}"/>
    <hyperlink ref="CD1664" r:id="rId5547" xr:uid="{373EECC3-43C6-4C4F-92A5-73A73E7F6097}"/>
    <hyperlink ref="O1665" r:id="rId5548" xr:uid="{AAA02BC6-7FCC-4F00-BC68-812D8515CAB8}"/>
    <hyperlink ref="S1665" r:id="rId5549" xr:uid="{45C4C982-DDDA-48F3-B1EC-AE8757A4B04E}"/>
    <hyperlink ref="T1665" r:id="rId5550" xr:uid="{3186A7E9-ED8B-4D76-82CB-C7CEDC852B0A}"/>
    <hyperlink ref="CA1665" r:id="rId5551" xr:uid="{4C334CF4-3421-42EC-A147-0C1679AEFE4A}"/>
    <hyperlink ref="CB1665" r:id="rId5552" xr:uid="{95631C02-C5C5-4B47-BD70-BD9EE04C88EA}"/>
    <hyperlink ref="CD1665" r:id="rId5553" xr:uid="{3B7D3792-9D45-471B-B9A2-56E25FE62E9C}"/>
    <hyperlink ref="O1666" r:id="rId5554" xr:uid="{2048471A-9215-468B-AE42-F4D21E72557A}"/>
    <hyperlink ref="S1666" r:id="rId5555" xr:uid="{260A3EE2-1E4C-4274-930F-EEBCD84A76F6}"/>
    <hyperlink ref="T1666" r:id="rId5556" xr:uid="{E641088C-7064-438B-8B95-4377F535A18B}"/>
    <hyperlink ref="CA1666" r:id="rId5557" xr:uid="{A8EC29DE-6B92-4CE1-AFD7-AC7E7948FD83}"/>
    <hyperlink ref="CB1666" r:id="rId5558" xr:uid="{91B779BC-CC86-4769-B5E4-F92101D4118F}"/>
    <hyperlink ref="CD1666" r:id="rId5559" xr:uid="{8654F667-0698-4D71-9B1E-497C7BB0EACB}"/>
    <hyperlink ref="O1667" r:id="rId5560" xr:uid="{AE322A8B-E4F9-410B-8891-82FE297D7FA0}"/>
    <hyperlink ref="S1667" r:id="rId5561" xr:uid="{6F87C10B-DE00-434C-87A8-5020AC937728}"/>
    <hyperlink ref="T1667" r:id="rId5562" xr:uid="{C63A06AA-9EC6-4803-B360-08025D8E7DC7}"/>
    <hyperlink ref="CA1667" r:id="rId5563" xr:uid="{9E4DBB34-7067-4743-B5FD-D14A83FD4726}"/>
    <hyperlink ref="CB1667" r:id="rId5564" xr:uid="{0821B93F-218D-4D9E-ACDA-6191F7673F3A}"/>
    <hyperlink ref="O1668" r:id="rId5565" xr:uid="{042525DE-447E-4E71-8BCB-3BBBE40CE553}"/>
    <hyperlink ref="S1668" r:id="rId5566" xr:uid="{536D6C7C-95EE-4CAC-8EF9-9A85F087ACAB}"/>
    <hyperlink ref="T1668" r:id="rId5567" xr:uid="{7EC7F290-0CE9-4C33-BEB7-3DD748531C45}"/>
    <hyperlink ref="CA1668" r:id="rId5568" xr:uid="{7991FE66-3CB6-484F-AEFB-57A94D594A66}"/>
    <hyperlink ref="CB1668" r:id="rId5569" xr:uid="{CAFAC536-B0C8-4B53-B710-664C22D40D89}"/>
    <hyperlink ref="CD1668" r:id="rId5570" xr:uid="{D7E019E0-3D39-4404-966B-23B68C493017}"/>
    <hyperlink ref="O1669" r:id="rId5571" xr:uid="{41EF641D-790E-45F6-AB32-45894C5CD312}"/>
    <hyperlink ref="S1669" r:id="rId5572" xr:uid="{8F871603-8AC2-45AC-8B8F-E6C740787B0A}"/>
    <hyperlink ref="T1669" r:id="rId5573" xr:uid="{D00BBB89-974B-4768-80F7-249BD0ED4FD6}"/>
    <hyperlink ref="CA1669" r:id="rId5574" xr:uid="{286CAC86-67D0-4EFA-A148-06DEF0EF3ADA}"/>
    <hyperlink ref="CB1669" r:id="rId5575" xr:uid="{1C36C125-2A3F-4CFA-92FF-D2713E2D1096}"/>
    <hyperlink ref="O1670" r:id="rId5576" xr:uid="{1F6FB000-83DA-4312-B01A-D59ECEE32A68}"/>
    <hyperlink ref="S1670" r:id="rId5577" xr:uid="{E4A4BA42-9AFA-4722-B9E3-FC31B5916628}"/>
    <hyperlink ref="T1670" r:id="rId5578" xr:uid="{4CF1D508-7823-47B2-9C84-76FB41CF96F5}"/>
    <hyperlink ref="CA1670" r:id="rId5579" xr:uid="{D047064E-DF8D-4F88-AFE3-CDDB8EC26F69}"/>
    <hyperlink ref="CB1670" r:id="rId5580" xr:uid="{DCE1FB0A-13F8-4DE3-A52A-FBB771220C90}"/>
    <hyperlink ref="CD1670" r:id="rId5581" xr:uid="{7DE02DE5-1628-423A-A7F5-29E5436F96C3}"/>
    <hyperlink ref="O1671" r:id="rId5582" xr:uid="{E4B50930-6021-4096-A008-92D98CCA7A5E}"/>
    <hyperlink ref="S1671" r:id="rId5583" xr:uid="{1D59A0B8-1F5C-49F2-8ECD-F625B04FCE37}"/>
    <hyperlink ref="T1671" r:id="rId5584" xr:uid="{C2E667B6-AF55-42FE-AF9B-004F9D0995E8}"/>
    <hyperlink ref="CA1671" r:id="rId5585" xr:uid="{EFCBE17C-F75F-4205-8799-A0406F77CFC6}"/>
    <hyperlink ref="CB1671" r:id="rId5586" xr:uid="{6DCC2024-E9A9-4597-AC6A-9A414362345B}"/>
    <hyperlink ref="O1672" r:id="rId5587" xr:uid="{2C1A15C3-BE4D-42D8-977A-ED8FB1C4A508}"/>
    <hyperlink ref="S1672" r:id="rId5588" xr:uid="{626DF777-2E48-4655-B1A7-EFCE743EA9A1}"/>
    <hyperlink ref="T1672" r:id="rId5589" xr:uid="{B4F3BB5A-34BD-48A6-B35A-362D9C8F120C}"/>
    <hyperlink ref="CA1672" r:id="rId5590" xr:uid="{6BDA3DD1-EA3D-4426-B80E-4991D3D8C4A6}"/>
    <hyperlink ref="CB1672" r:id="rId5591" xr:uid="{2163BE0B-AF5A-4E4E-BD79-04FD99EC695E}"/>
    <hyperlink ref="CD1672" r:id="rId5592" xr:uid="{6E1DEDBC-15C0-4EE5-8C3B-DEE321DC6C58}"/>
    <hyperlink ref="O1673" r:id="rId5593" xr:uid="{87107365-ADB7-496A-AB4C-F83D235751E3}"/>
    <hyperlink ref="S1673" r:id="rId5594" xr:uid="{2ED9AB30-9A27-4E62-AEBD-1ECD9F034434}"/>
    <hyperlink ref="T1673" r:id="rId5595" xr:uid="{1E9A308F-E890-4131-BF68-507A19432187}"/>
    <hyperlink ref="CA1673" r:id="rId5596" xr:uid="{52A3BB52-787A-4D04-AD99-1BFAE151BBD8}"/>
    <hyperlink ref="CB1673" r:id="rId5597" xr:uid="{88C35948-64C0-44D4-A190-5C1983111689}"/>
    <hyperlink ref="O1674" r:id="rId5598" xr:uid="{35A6432A-CCB1-4E14-B681-92123EC61066}"/>
    <hyperlink ref="S1674" r:id="rId5599" xr:uid="{8F227912-A540-4F2F-BFA4-266379749C9C}"/>
    <hyperlink ref="CA1674" r:id="rId5600" xr:uid="{F256F856-D218-459B-B259-26755D5E7052}"/>
    <hyperlink ref="CD1674" r:id="rId5601" xr:uid="{48417BF6-32FE-485D-A09C-660BE811E39D}"/>
    <hyperlink ref="O1675" r:id="rId5602" xr:uid="{54807A35-6D2F-49BA-BA42-B09E458EBB28}"/>
    <hyperlink ref="S1675" r:id="rId5603" xr:uid="{F315F449-B24D-45A8-A598-05B0E8E1EF69}"/>
    <hyperlink ref="CA1675" r:id="rId5604" xr:uid="{94EA8DE7-21E8-4219-BE1C-583E95145846}"/>
    <hyperlink ref="CD1675" r:id="rId5605" xr:uid="{D4F3D5CF-24C7-4C76-B4DF-E91D56F9BFAB}"/>
    <hyperlink ref="O1676" r:id="rId5606" xr:uid="{94A95AED-85BF-4BF8-935B-6510041BEA13}"/>
    <hyperlink ref="S1676" r:id="rId5607" xr:uid="{88CD7703-CDB7-4FE0-8807-B0AE6DEDD49F}"/>
    <hyperlink ref="CA1676" r:id="rId5608" xr:uid="{FDBA4241-4578-4816-9874-3F02C2A9A49E}"/>
    <hyperlink ref="O1677" r:id="rId5609" xr:uid="{CDC694DD-F689-43E4-B14D-12549627CCF4}"/>
    <hyperlink ref="S1677" r:id="rId5610" xr:uid="{DA81EAC6-3BF0-4BA6-B487-0E4FF1B63E34}"/>
    <hyperlink ref="CA1677" r:id="rId5611" xr:uid="{CFEAE48E-DE2D-4E10-A24D-244C30E8D884}"/>
    <hyperlink ref="CD1677" r:id="rId5612" xr:uid="{91E5087E-A080-4394-8587-0B0E48AD0978}"/>
    <hyperlink ref="O1678" r:id="rId5613" xr:uid="{3445E620-CCE6-4779-B71F-F9407C7B033F}"/>
    <hyperlink ref="S1678" r:id="rId5614" xr:uid="{4BF5F383-05B2-44D4-A5D8-5D8043B6A443}"/>
    <hyperlink ref="CA1678" r:id="rId5615" xr:uid="{F3ADF365-6A59-407D-9DB0-8A622945198B}"/>
    <hyperlink ref="O1679" r:id="rId5616" xr:uid="{897E522E-4102-4EA9-9C26-AA16726FED27}"/>
    <hyperlink ref="S1679" r:id="rId5617" xr:uid="{94983FEB-2FE0-4C92-A50F-92D025148CEF}"/>
    <hyperlink ref="CA1679" r:id="rId5618" xr:uid="{4AB4561C-BAC5-4A32-9E68-6D705603DDC7}"/>
    <hyperlink ref="CD1679" r:id="rId5619" xr:uid="{855554AE-482F-4BD5-8D24-2295D4A80DEE}"/>
    <hyperlink ref="O1680" r:id="rId5620" xr:uid="{D532E354-F5EF-44D9-9E36-CBCB0DCFCE11}"/>
    <hyperlink ref="S1680" r:id="rId5621" xr:uid="{15EBC22C-5874-408B-9AB9-8D8A307E4CD7}"/>
    <hyperlink ref="CA1680" r:id="rId5622" xr:uid="{9F2CD45D-2A06-45CC-B39F-4A70A02C75E8}"/>
    <hyperlink ref="O1681" r:id="rId5623" xr:uid="{E8FEC1DB-D7BC-4420-B25D-9DC7FD74DC71}"/>
    <hyperlink ref="S1681" r:id="rId5624" xr:uid="{35DBC072-812C-416A-A3F3-0859F04D1560}"/>
    <hyperlink ref="CA1681" r:id="rId5625" xr:uid="{1A68CB9D-F3B1-47F3-953B-AF2216136F94}"/>
    <hyperlink ref="CD1681" r:id="rId5626" xr:uid="{463D88D6-1D21-4375-8A10-C2AB738C160F}"/>
    <hyperlink ref="O1682" r:id="rId5627" xr:uid="{A7EC3EC1-C86C-4A9E-BBFD-05119378D0BA}"/>
    <hyperlink ref="S1682" r:id="rId5628" xr:uid="{26476A49-1E90-4B80-8C23-B841B3AA2976}"/>
    <hyperlink ref="CA1682" r:id="rId5629" xr:uid="{38847C66-13B8-4287-8998-BA0A2609A4C2}"/>
    <hyperlink ref="O1683" r:id="rId5630" xr:uid="{96FFB96B-6A0C-448E-B7BA-FED156577958}"/>
    <hyperlink ref="S1683" r:id="rId5631" xr:uid="{A4EC9088-8610-4A75-9EA9-A0F46D2D4CA6}"/>
    <hyperlink ref="T1683" r:id="rId5632" xr:uid="{7093B93C-3299-4208-9FBE-D624933F7BEC}"/>
    <hyperlink ref="CA1683" r:id="rId5633" xr:uid="{F92F8A3B-3F06-4C35-AC76-EB0EB284AD0D}"/>
    <hyperlink ref="CB1683" r:id="rId5634" xr:uid="{E51E4C2D-6372-4070-BAC7-E5A41E3F017B}"/>
    <hyperlink ref="CD1683" r:id="rId5635" xr:uid="{C1F9B48E-1D4B-4488-880F-53C2C431E309}"/>
    <hyperlink ref="O1684" r:id="rId5636" xr:uid="{9EB329D3-14C1-4799-B599-22BEA54BDE9F}"/>
    <hyperlink ref="S1684" r:id="rId5637" xr:uid="{B63A3033-A99E-43E2-844A-D8AF8CD496AB}"/>
    <hyperlink ref="T1684" r:id="rId5638" xr:uid="{0C0BB123-9A8C-435B-8E58-EF776A79660A}"/>
    <hyperlink ref="CA1684" r:id="rId5639" xr:uid="{95309EF0-CA2E-4801-8B34-80792A9F244B}"/>
    <hyperlink ref="CB1684" r:id="rId5640" xr:uid="{F38FFCD1-02C7-4B5E-B63D-14D9770F7373}"/>
    <hyperlink ref="CD1684" r:id="rId5641" xr:uid="{81B5F338-A7D4-445C-800A-9039E2A1D433}"/>
    <hyperlink ref="O1685" r:id="rId5642" xr:uid="{C6093862-EB4E-4828-BB76-9DDE6CCBE392}"/>
    <hyperlink ref="S1685" r:id="rId5643" xr:uid="{C6173304-1CEB-492F-A7B8-D4769F4C7A3C}"/>
    <hyperlink ref="T1685" r:id="rId5644" xr:uid="{D39534A6-0FEB-4CA5-996A-3EC263073F2F}"/>
    <hyperlink ref="CA1685" r:id="rId5645" xr:uid="{3251BB6E-360D-40BC-AA4E-37ABCAF242D3}"/>
    <hyperlink ref="CB1685" r:id="rId5646" xr:uid="{AADE39F6-1AD1-4B70-8DA2-4BD67E24C607}"/>
    <hyperlink ref="O1686" r:id="rId5647" xr:uid="{BD217CB5-894D-41E1-9DAA-3E6C641F3066}"/>
    <hyperlink ref="S1686" r:id="rId5648" xr:uid="{89AF88D2-FE74-4828-BB62-F47B66107372}"/>
    <hyperlink ref="T1686" r:id="rId5649" xr:uid="{8D1F6367-AEA7-4FB6-BA23-EB93A9436C77}"/>
    <hyperlink ref="CA1686" r:id="rId5650" xr:uid="{5426F21F-8244-4613-981C-7CC5595C0AA7}"/>
    <hyperlink ref="CB1686" r:id="rId5651" xr:uid="{B759153D-1E0B-4332-8318-38387B942DEC}"/>
    <hyperlink ref="O1687" r:id="rId5652" xr:uid="{53D741D4-CD2B-473B-9D64-B95E851D32F5}"/>
    <hyperlink ref="S1687" r:id="rId5653" xr:uid="{255AF453-A42B-4201-B814-64A47AD6A2FF}"/>
    <hyperlink ref="T1687" r:id="rId5654" xr:uid="{154805BD-362C-40E0-AC2A-950DAF3B34E0}"/>
    <hyperlink ref="CA1687" r:id="rId5655" xr:uid="{74683CD3-6376-4236-AC90-78DBF6F15BC8}"/>
    <hyperlink ref="CB1687" r:id="rId5656" xr:uid="{303F074F-AC24-4040-86E9-6D191FCDFE54}"/>
    <hyperlink ref="O1688" r:id="rId5657" xr:uid="{7A21944F-9E6F-41C8-B038-82B87CC8E7FF}"/>
    <hyperlink ref="S1688" r:id="rId5658" xr:uid="{2537AB25-97D5-4519-B8B2-D340FAF9F794}"/>
    <hyperlink ref="T1688" r:id="rId5659" xr:uid="{624E8996-35A6-4A21-8B73-30DF4D772184}"/>
    <hyperlink ref="CA1688" r:id="rId5660" xr:uid="{CB5C60EF-95D5-4A39-858D-63E476A7F2AE}"/>
    <hyperlink ref="CB1688" r:id="rId5661" xr:uid="{08D9B288-CC63-4143-BFA9-9698CFAC3641}"/>
    <hyperlink ref="O1689" r:id="rId5662" xr:uid="{922B056C-D514-4A58-B39C-B01CD90CFD36}"/>
    <hyperlink ref="S1689" r:id="rId5663" xr:uid="{90957211-DE9B-4916-9779-1E8ED23AA8CE}"/>
    <hyperlink ref="T1689" r:id="rId5664" xr:uid="{AD6C7963-F826-4C4F-9908-61A49BE9CF28}"/>
    <hyperlink ref="CA1689" r:id="rId5665" xr:uid="{8DE2DAEF-73C9-4E04-8409-F2F272170FD5}"/>
    <hyperlink ref="CB1689" r:id="rId5666" xr:uid="{06CFD077-8DF8-4566-BEAB-2C3A7C18D9EE}"/>
    <hyperlink ref="O1690" r:id="rId5667" xr:uid="{57694959-8F86-4496-9CDB-563A59485172}"/>
    <hyperlink ref="S1690" r:id="rId5668" xr:uid="{DD5A9FF2-15FA-48D8-822D-B889EA72D72A}"/>
    <hyperlink ref="T1690" r:id="rId5669" xr:uid="{1CD09928-193D-4956-B5F9-43AEAAFFF2B6}"/>
    <hyperlink ref="CA1690" r:id="rId5670" xr:uid="{50732181-8BAE-4B93-8763-A44C0ADA2E17}"/>
    <hyperlink ref="CB1690" r:id="rId5671" xr:uid="{A812D3CD-6232-4BB0-945D-69C065D606BF}"/>
    <hyperlink ref="CD1690" r:id="rId5672" xr:uid="{848539AE-BB9F-4BC8-AA4A-42246D573ADF}"/>
    <hyperlink ref="O1691" r:id="rId5673" xr:uid="{104A4711-4263-4F17-AF96-DDD065E87A55}"/>
    <hyperlink ref="S1691" r:id="rId5674" xr:uid="{1EB6B372-0400-4375-93F0-2EB5745F7213}"/>
    <hyperlink ref="T1691" r:id="rId5675" xr:uid="{E015DC5C-6ECE-42A0-A9FB-958336D3AD52}"/>
    <hyperlink ref="CA1691" r:id="rId5676" xr:uid="{2FA60DF0-56D4-43FB-8475-5FA422A63BA4}"/>
    <hyperlink ref="CB1691" r:id="rId5677" xr:uid="{F5BA2C87-71FB-437A-8E69-03EF73A3BD51}"/>
    <hyperlink ref="O1692" r:id="rId5678" xr:uid="{CA399CAC-9D50-48E3-BC3B-179D4E5EBDE9}"/>
    <hyperlink ref="S1692" r:id="rId5679" xr:uid="{4FFB6111-BD77-4E10-BFA0-D9E090CAB7B0}"/>
    <hyperlink ref="T1692" r:id="rId5680" xr:uid="{DDDB4C48-9A98-4790-8A24-1EF94BDC237F}"/>
    <hyperlink ref="CA1692" r:id="rId5681" xr:uid="{9DA7E9DF-ABBE-4362-B50F-00CE7CFD1785}"/>
    <hyperlink ref="CB1692" r:id="rId5682" xr:uid="{60D613B7-318D-4771-9AB7-4B53C1DB36EF}"/>
    <hyperlink ref="O1693" r:id="rId5683" xr:uid="{E3E03D57-DF91-4641-8FA7-F013D4D983A2}"/>
    <hyperlink ref="S1693" r:id="rId5684" xr:uid="{C0609775-98B6-4E9B-AEA1-E176A97B3D64}"/>
    <hyperlink ref="CA1693" r:id="rId5685" xr:uid="{D0278C20-F1E7-4D37-82F3-AC90A01ACD5F}"/>
    <hyperlink ref="O1694" r:id="rId5686" xr:uid="{A2F4B6D4-3190-40DD-B55A-D4FC3B312163}"/>
    <hyperlink ref="S1694" r:id="rId5687" xr:uid="{DE8B66BD-EFE0-4FBC-ACF6-8EA107C57E7B}"/>
    <hyperlink ref="T1694" r:id="rId5688" xr:uid="{B59FC7C7-3DB6-44FD-A8B6-06EA8ED1BBC4}"/>
    <hyperlink ref="CA1694" r:id="rId5689" xr:uid="{98D1191B-5DD1-4E62-A331-A4DB03291665}"/>
    <hyperlink ref="CB1694" r:id="rId5690" xr:uid="{B17B1D03-536B-4A53-A03A-40EFBBBBA7AA}"/>
    <hyperlink ref="CD1694" r:id="rId5691" xr:uid="{6828B385-528A-45E9-BD0D-503A2F4CFD16}"/>
    <hyperlink ref="O1695" r:id="rId5692" xr:uid="{21EE896E-4814-4F5F-A23D-D52392FDFBCB}"/>
    <hyperlink ref="S1695" r:id="rId5693" xr:uid="{926D2B47-BDA5-46CF-96A5-545C4FCFEF6E}"/>
    <hyperlink ref="T1695" r:id="rId5694" xr:uid="{A915A3EC-AC4F-47A9-B7E9-8F6872C8A60A}"/>
    <hyperlink ref="CA1695" r:id="rId5695" xr:uid="{02436F67-650B-4002-9A4D-A20754CC1F35}"/>
    <hyperlink ref="CB1695" r:id="rId5696" xr:uid="{2CBAF5AB-30C1-48F2-875C-D361B0ECE83F}"/>
    <hyperlink ref="O1696" r:id="rId5697" xr:uid="{22FD3EEF-BC48-4EE0-A70A-FDE3A7CA84F0}"/>
    <hyperlink ref="S1696" r:id="rId5698" xr:uid="{B0DF0EB2-AC0C-4422-BAF2-A5BE3F746CF3}"/>
    <hyperlink ref="T1696" r:id="rId5699" xr:uid="{DADEE831-6C57-47FF-9E84-44B34C00435E}"/>
    <hyperlink ref="CA1696" r:id="rId5700" xr:uid="{ED3AB8CF-7D7A-40D1-A9D6-A21059A49D64}"/>
    <hyperlink ref="CB1696" r:id="rId5701" xr:uid="{2BE5A9DD-AE7C-4D88-B089-10AFC68482AC}"/>
    <hyperlink ref="O1697" r:id="rId5702" xr:uid="{E448C505-E4F2-4707-A37E-FD53A698224D}"/>
    <hyperlink ref="S1697" r:id="rId5703" xr:uid="{3B027E09-463B-402C-AB6F-DA4DA93A8607}"/>
    <hyperlink ref="T1697" r:id="rId5704" xr:uid="{8180C11B-552A-482F-B110-C9B365663F3B}"/>
    <hyperlink ref="BX1697" r:id="rId5705" xr:uid="{2082DE66-824B-44FE-BA06-4AA69B5CF5DA}"/>
    <hyperlink ref="CA1697" r:id="rId5706" xr:uid="{B99BF3FC-6660-4281-92D2-23C20D14E868}"/>
    <hyperlink ref="CB1697" r:id="rId5707" xr:uid="{3B609DBD-6429-4A21-8AAF-04F16548C0D6}"/>
    <hyperlink ref="CD1697" r:id="rId5708" xr:uid="{70895CB9-1049-4517-BEFF-29883D4C7879}"/>
    <hyperlink ref="O1698" r:id="rId5709" xr:uid="{63141CED-36E1-45A3-A5D3-12BC92E99147}"/>
    <hyperlink ref="S1698" r:id="rId5710" xr:uid="{67A50CE2-432B-4345-BFFA-9DD10302764E}"/>
    <hyperlink ref="T1698" r:id="rId5711" xr:uid="{75CC12A9-95F6-420F-8FF5-312309C12A78}"/>
    <hyperlink ref="CA1698" r:id="rId5712" xr:uid="{FC53941C-3FB4-49D5-BBB6-EBDE5F6CE259}"/>
    <hyperlink ref="CB1698" r:id="rId5713" xr:uid="{B55E6E92-4D1A-444B-B431-5E1544F83C76}"/>
    <hyperlink ref="CD1698" r:id="rId5714" xr:uid="{4E851E7E-DDFE-4DC0-812F-81C394DA7339}"/>
    <hyperlink ref="O1699" r:id="rId5715" xr:uid="{F099370B-6FFF-40E6-9C5E-9C9ABA74187B}"/>
    <hyperlink ref="S1699" r:id="rId5716" xr:uid="{D2EA4736-3DD5-475D-A1C8-AD96E78FC2F9}"/>
    <hyperlink ref="T1699" r:id="rId5717" xr:uid="{66DB5B2A-58C3-430E-8AF1-BBE90DB58262}"/>
    <hyperlink ref="CA1699" r:id="rId5718" xr:uid="{77738A9E-0333-417F-9701-B7A011948226}"/>
    <hyperlink ref="CB1699" r:id="rId5719" xr:uid="{6A321CEA-CA79-462A-9905-685DA4F43868}"/>
    <hyperlink ref="O1700" r:id="rId5720" xr:uid="{55A7F0DC-73A8-4727-BFA4-26036907AE0A}"/>
    <hyperlink ref="S1700" r:id="rId5721" xr:uid="{4DA5BCC9-F0D2-48EB-A46C-98AD1BCAB9BE}"/>
    <hyperlink ref="T1700" r:id="rId5722" xr:uid="{8C68E469-8C25-4727-BC03-56617FBD09F1}"/>
    <hyperlink ref="CA1700" r:id="rId5723" xr:uid="{C11DDC38-8D0F-4A56-AA0F-5623EEE60FFA}"/>
    <hyperlink ref="CB1700" r:id="rId5724" xr:uid="{F78E1AA5-5DE1-4744-83B8-EA8342D7ABB8}"/>
    <hyperlink ref="O1701" r:id="rId5725" xr:uid="{BD4D18FC-CC82-4448-9751-9F83427F28CB}"/>
    <hyperlink ref="S1701" r:id="rId5726" xr:uid="{EBEE0803-AFA1-4A4C-B698-F15C6BA8A615}"/>
    <hyperlink ref="T1701" r:id="rId5727" xr:uid="{C33C913E-FC1B-424E-93EF-BFA8B440915A}"/>
    <hyperlink ref="CA1701" r:id="rId5728" xr:uid="{C710A502-2D83-496F-B88D-92469E87161D}"/>
    <hyperlink ref="CB1701" r:id="rId5729" xr:uid="{E117894C-F033-4968-A29B-4426A845C9AF}"/>
    <hyperlink ref="O1702" r:id="rId5730" xr:uid="{0ED43653-3EE1-400D-80F9-26FC3B6A3DD4}"/>
    <hyperlink ref="S1702" r:id="rId5731" xr:uid="{A316F3CB-2023-4DA5-865D-4BAE21F06702}"/>
    <hyperlink ref="T1702" r:id="rId5732" xr:uid="{694F8FF8-0F94-4478-ACE0-DDE86ADC8350}"/>
    <hyperlink ref="BX1702" r:id="rId5733" xr:uid="{6DF58D7F-5256-4A7D-B27F-47F28B0F260D}"/>
    <hyperlink ref="CA1702" r:id="rId5734" xr:uid="{BEEF86C4-A3E6-4047-BB18-747BC715FA5F}"/>
    <hyperlink ref="CB1702" r:id="rId5735" xr:uid="{58097666-7323-4CF2-B4B1-53E042B50B1B}"/>
    <hyperlink ref="CD1702" r:id="rId5736" xr:uid="{183A8019-C85D-42A8-A201-9309381C83F0}"/>
    <hyperlink ref="O1703" r:id="rId5737" xr:uid="{06F32664-CCA3-44E9-84BE-6C5E443DA3B8}"/>
    <hyperlink ref="S1703" r:id="rId5738" xr:uid="{B9B1A076-4F2E-4A34-A8E4-94AD1BB9B6C4}"/>
    <hyperlink ref="T1703" r:id="rId5739" xr:uid="{FA9CAB8F-E531-4BA1-93A5-7B265120C47E}"/>
    <hyperlink ref="CA1703" r:id="rId5740" xr:uid="{A2643793-06A5-4E8F-91B9-6BB6C380F6B0}"/>
    <hyperlink ref="CB1703" r:id="rId5741" xr:uid="{F259BDC1-1AB5-4E7E-9A83-C321C3E52DF9}"/>
    <hyperlink ref="O1704" r:id="rId5742" xr:uid="{1691AA78-4E8D-46BB-813E-2C496BF729B0}"/>
    <hyperlink ref="S1704" r:id="rId5743" xr:uid="{92B7EF9F-75A8-4410-9749-B4B74CFAD19B}"/>
    <hyperlink ref="T1704" r:id="rId5744" xr:uid="{CF54125F-C65D-442F-9FA6-C26B9726A203}"/>
    <hyperlink ref="CA1704" r:id="rId5745" xr:uid="{2D21ED54-12BF-432A-BC68-935DD43E88AB}"/>
    <hyperlink ref="CB1704" r:id="rId5746" xr:uid="{D1A4A639-02EC-4DC7-B454-A07A6ADECA01}"/>
    <hyperlink ref="O1705" r:id="rId5747" xr:uid="{9BE60A3C-6936-4195-89C8-BE5AE59DC46E}"/>
    <hyperlink ref="S1705" r:id="rId5748" xr:uid="{AAFA27FE-1F5C-4218-A433-FA24B7FD6A3D}"/>
    <hyperlink ref="T1705" r:id="rId5749" xr:uid="{9545FE7C-D675-4ABC-A19F-3619ED7CD306}"/>
    <hyperlink ref="BX1705" r:id="rId5750" xr:uid="{2617ABB7-7D48-4308-BBC8-1E749B39F6D2}"/>
    <hyperlink ref="CA1705" r:id="rId5751" xr:uid="{8912B4B3-3E15-4258-9C52-A0401AB92D4C}"/>
    <hyperlink ref="CB1705" r:id="rId5752" xr:uid="{EDDB0C6C-629D-4D34-A0EA-3F1030A658C1}"/>
    <hyperlink ref="CD1705" r:id="rId5753" xr:uid="{50B82EDF-C9EE-4156-8A5E-3CBD2AEC9926}"/>
    <hyperlink ref="O1706" r:id="rId5754" xr:uid="{78804A87-C4A3-4FDA-A313-40A41D4C4B2A}"/>
    <hyperlink ref="S1706" r:id="rId5755" xr:uid="{5B404BD0-7187-4799-AA73-570B61367EB6}"/>
    <hyperlink ref="T1706" r:id="rId5756" xr:uid="{DD8D1E52-2D7E-4E4F-AF86-83660EB41627}"/>
    <hyperlink ref="CA1706" r:id="rId5757" xr:uid="{68E64817-BC7F-4F99-9A6F-CB9BCF09E0E2}"/>
    <hyperlink ref="CB1706" r:id="rId5758" xr:uid="{42BC0960-7882-4A10-A7BF-D8BEBBB12492}"/>
    <hyperlink ref="O1707" r:id="rId5759" xr:uid="{5024AA8A-EBC1-475E-9BE3-4665CBEAD2FA}"/>
    <hyperlink ref="S1707" r:id="rId5760" xr:uid="{B0CEBA6D-0F2C-4216-8E3E-E7ABA2067608}"/>
    <hyperlink ref="T1707" r:id="rId5761" xr:uid="{862B5F9F-2730-4F79-9D60-2A1FDA82851A}"/>
    <hyperlink ref="CA1707" r:id="rId5762" xr:uid="{166ED893-8FFB-43F2-B028-1D31AE5E1961}"/>
    <hyperlink ref="CB1707" r:id="rId5763" xr:uid="{7FB94E35-810B-40F9-AEBF-46D4F110EF6E}"/>
    <hyperlink ref="O1708" r:id="rId5764" xr:uid="{5B139A7F-8124-4A2D-9DCB-5ACFBE653898}"/>
    <hyperlink ref="S1708" r:id="rId5765" xr:uid="{5D8E1005-95D8-41DA-94FB-020B28F2F7D4}"/>
    <hyperlink ref="T1708" r:id="rId5766" xr:uid="{586A390E-0300-4672-B8FD-C799E5D82AC9}"/>
    <hyperlink ref="CA1708" r:id="rId5767" xr:uid="{B02535E3-845D-4C72-B053-8D6AA70ACA24}"/>
    <hyperlink ref="CB1708" r:id="rId5768" xr:uid="{E4065C95-485D-4447-B8C6-3090888698D5}"/>
    <hyperlink ref="CD1708" r:id="rId5769" xr:uid="{4C85C935-B7B6-4FDD-974A-A820A989CC65}"/>
    <hyperlink ref="O1709" r:id="rId5770" xr:uid="{8F1E8095-0B58-489E-8D81-68AA946ED078}"/>
    <hyperlink ref="S1709" r:id="rId5771" xr:uid="{C7670FFA-8DDA-431B-8000-BD76D1B65DBF}"/>
    <hyperlink ref="T1709" r:id="rId5772" xr:uid="{075012A2-819A-408A-A6C7-B08201A2E84F}"/>
    <hyperlink ref="CA1709" r:id="rId5773" xr:uid="{A232EEE2-64B6-4F40-BD14-01ABC946908A}"/>
    <hyperlink ref="CB1709" r:id="rId5774" xr:uid="{E1066D41-5229-4EA3-9198-F79D4698B56D}"/>
    <hyperlink ref="CD1709" r:id="rId5775" xr:uid="{E6075B24-33E4-44A0-8EFF-E5736D5CEBAE}"/>
    <hyperlink ref="O1710" r:id="rId5776" xr:uid="{B8284B3D-92FB-4C08-B9A3-E1A36DCD4C5A}"/>
    <hyperlink ref="S1710" r:id="rId5777" xr:uid="{B26D4E40-141D-48D2-A8F5-98D006504A3A}"/>
    <hyperlink ref="T1710" r:id="rId5778" xr:uid="{FF29860E-3B82-4200-9D32-AD268BB4B4A7}"/>
    <hyperlink ref="CA1710" r:id="rId5779" xr:uid="{E1FAB9EB-9F42-4FBD-9809-509C26BB44EF}"/>
    <hyperlink ref="CB1710" r:id="rId5780" xr:uid="{1DC765AB-86A0-417A-944F-DA3E833B89BB}"/>
    <hyperlink ref="O1711" r:id="rId5781" xr:uid="{5667DCF5-BB51-45A5-8E07-C1667471379A}"/>
    <hyperlink ref="S1711" r:id="rId5782" xr:uid="{E99D45AD-4CE6-4A29-82E3-5AA47983C09B}"/>
    <hyperlink ref="T1711" r:id="rId5783" xr:uid="{B735F742-D4B9-4768-9FFF-001EF2D09239}"/>
    <hyperlink ref="CA1711" r:id="rId5784" xr:uid="{F30769E5-D6B1-463F-9728-BC2408E2ECE2}"/>
    <hyperlink ref="CB1711" r:id="rId5785" xr:uid="{20DCF853-FF71-4B40-902B-367A79A6AA88}"/>
    <hyperlink ref="CD1711" r:id="rId5786" xr:uid="{3FE88817-651B-49FE-A0DA-7FF192F9E5F7}"/>
    <hyperlink ref="O1712" r:id="rId5787" xr:uid="{2CCC776E-569B-41C7-B88B-F04C4E7A9F7D}"/>
    <hyperlink ref="S1712" r:id="rId5788" xr:uid="{8E044105-BAAE-4872-8728-B67D1602E9C2}"/>
    <hyperlink ref="T1712" r:id="rId5789" xr:uid="{9FCA6F03-3EE2-4634-B609-30106F7E591F}"/>
    <hyperlink ref="CA1712" r:id="rId5790" xr:uid="{E6A2F93D-5A8B-47E4-AB96-574CB093BFB3}"/>
    <hyperlink ref="CB1712" r:id="rId5791" xr:uid="{DD4B7EBB-8D11-42CE-8495-0B7D0E261321}"/>
    <hyperlink ref="CD1712" r:id="rId5792" xr:uid="{C0BFD48D-4088-4FD7-B91B-AC6371723A79}"/>
    <hyperlink ref="O1713" r:id="rId5793" xr:uid="{49283ACD-567B-4C74-821E-8E5A2C0B4BFC}"/>
    <hyperlink ref="S1713" r:id="rId5794" xr:uid="{2A8CFC35-EAF9-4DF2-9342-64DB3AC90992}"/>
    <hyperlink ref="T1713" r:id="rId5795" xr:uid="{9BB424AB-5837-47EC-A5B5-5D459F987820}"/>
    <hyperlink ref="CA1713" r:id="rId5796" xr:uid="{9B879CFD-6DA8-4FC7-95AC-34038BFBD840}"/>
    <hyperlink ref="CB1713" r:id="rId5797" xr:uid="{C04819E4-D04C-4CF2-B1ED-463331580014}"/>
    <hyperlink ref="CD1713" r:id="rId5798" xr:uid="{AC82AD87-DB21-4096-AB88-9D88F7043BE0}"/>
    <hyperlink ref="O1714" r:id="rId5799" xr:uid="{CFCD505A-74AB-4600-A4E9-20684ACFE24D}"/>
    <hyperlink ref="S1714" r:id="rId5800" xr:uid="{B430CB12-CEA3-4829-AFB5-9FFA3A99A884}"/>
    <hyperlink ref="T1714" r:id="rId5801" xr:uid="{CB24A3B3-D612-412E-883E-DDCE68BFA4F1}"/>
    <hyperlink ref="CA1714" r:id="rId5802" xr:uid="{09421A52-3AA8-4953-8AFE-ADAF1DB3A574}"/>
    <hyperlink ref="CB1714" r:id="rId5803" xr:uid="{54C30BF8-744D-44B0-8A67-DD9EFC03180C}"/>
    <hyperlink ref="CD1714" r:id="rId5804" xr:uid="{C039C84A-BF46-4ECB-8F4A-898F1C2A8CCB}"/>
    <hyperlink ref="O1715" r:id="rId5805" xr:uid="{E72A678C-5235-4AEF-9D0C-1F73D55BF70A}"/>
    <hyperlink ref="S1715" r:id="rId5806" xr:uid="{69630F38-60F7-4CE5-A6AC-14B5DF5A9BF3}"/>
    <hyperlink ref="T1715" r:id="rId5807" xr:uid="{A32C740D-9373-4068-9220-6159A332C61C}"/>
    <hyperlink ref="CA1715" r:id="rId5808" xr:uid="{E050B33E-C365-4FBB-A059-236853B272E0}"/>
    <hyperlink ref="CB1715" r:id="rId5809" xr:uid="{E95C72C4-86D0-41E8-96D6-D807F94AFF28}"/>
    <hyperlink ref="O1716" r:id="rId5810" xr:uid="{C4FB3F3C-D87C-40D2-B062-6B6F0E0413C6}"/>
    <hyperlink ref="S1716" r:id="rId5811" xr:uid="{459BC401-63E1-4FF6-BCE8-E48A961564F0}"/>
    <hyperlink ref="T1716" r:id="rId5812" xr:uid="{CCCD9188-4A17-4B46-AF10-257A0CE39C19}"/>
    <hyperlink ref="CA1716" r:id="rId5813" xr:uid="{F3BC8C08-F2DB-4045-B6A7-787697FB5B33}"/>
    <hyperlink ref="CB1716" r:id="rId5814" xr:uid="{F6E29D3E-51A3-4BFB-BB76-36F9CD5BCBD7}"/>
    <hyperlink ref="O1717" r:id="rId5815" xr:uid="{98EA338E-AE94-45E6-BC9A-0D4CB56FC170}"/>
    <hyperlink ref="S1717" r:id="rId5816" xr:uid="{9326F545-DF51-40D3-BEC8-FE8F43040EFC}"/>
    <hyperlink ref="T1717" r:id="rId5817" xr:uid="{E143D229-F9F9-47D5-852A-94BA6A0D308F}"/>
    <hyperlink ref="CA1717" r:id="rId5818" xr:uid="{45CBD3A7-4A9B-4392-998A-27CFEB3FEC8F}"/>
    <hyperlink ref="CB1717" r:id="rId5819" xr:uid="{E47EB315-5303-44DE-8752-11E5B4F56EF9}"/>
    <hyperlink ref="O1718" r:id="rId5820" xr:uid="{3832D54A-F399-479B-B8B5-F100B6BF1B71}"/>
    <hyperlink ref="S1718" r:id="rId5821" xr:uid="{BBA2B673-5AB9-4507-BA32-AF8E23CB706D}"/>
    <hyperlink ref="T1718" r:id="rId5822" xr:uid="{52EF358B-F38A-48AF-8DBF-2CF1CF40E0A6}"/>
    <hyperlink ref="CA1718" r:id="rId5823" xr:uid="{D256F96D-C4CF-4154-A894-E00886DA9F02}"/>
    <hyperlink ref="CB1718" r:id="rId5824" xr:uid="{5BB20AC5-47F8-493D-B815-CCD5CE5C6394}"/>
    <hyperlink ref="CD1718" r:id="rId5825" xr:uid="{10ABF8CC-846E-431F-B9D1-B6B642BC7978}"/>
    <hyperlink ref="O1719" r:id="rId5826" xr:uid="{DE207D7F-69FF-4335-9F1E-37701944FDCF}"/>
    <hyperlink ref="S1719" r:id="rId5827" xr:uid="{A4E804DC-8248-49FC-9D33-ED85F9678C06}"/>
    <hyperlink ref="T1719" r:id="rId5828" xr:uid="{6DD18C9A-FB44-42C8-8230-86D068E4F26D}"/>
    <hyperlink ref="CA1719" r:id="rId5829" xr:uid="{92369ED7-C6A4-4E74-975C-61A59FE6D036}"/>
    <hyperlink ref="CB1719" r:id="rId5830" xr:uid="{11252353-4631-4E1F-9CD1-9B2585B10D60}"/>
    <hyperlink ref="O1720" r:id="rId5831" xr:uid="{BF393304-1D09-4EC3-BB7C-2D517969BA13}"/>
    <hyperlink ref="S1720" r:id="rId5832" xr:uid="{7D47FEB6-A657-4C79-B260-77E0D35CED59}"/>
    <hyperlink ref="T1720" r:id="rId5833" xr:uid="{77E667F2-86B8-41FE-822A-CDB9570E4D6B}"/>
    <hyperlink ref="CA1720" r:id="rId5834" xr:uid="{94946F63-1B32-4631-A14D-8242630F605A}"/>
    <hyperlink ref="CB1720" r:id="rId5835" xr:uid="{79930E8F-AD7D-4AE7-8245-2514AB47C050}"/>
    <hyperlink ref="CD1720" r:id="rId5836" xr:uid="{2DCFC9BB-3047-4039-86B3-14DD6CD6DFD7}"/>
    <hyperlink ref="O1721" r:id="rId5837" xr:uid="{5B5CBC0A-1E48-4120-9121-FCA9114B906B}"/>
    <hyperlink ref="S1721" r:id="rId5838" xr:uid="{81E8B8E3-873F-459F-8AEA-B84C256E485A}"/>
    <hyperlink ref="T1721" r:id="rId5839" xr:uid="{11F30DB8-6272-4ABD-A41F-E83FCA7B6910}"/>
    <hyperlink ref="CA1721" r:id="rId5840" xr:uid="{881B7ADB-45D4-49E4-8A60-47F6F68DF577}"/>
    <hyperlink ref="CB1721" r:id="rId5841" xr:uid="{82AAEB91-E276-4701-9294-066AF70C0B34}"/>
    <hyperlink ref="CD1721" r:id="rId5842" xr:uid="{D3DBDBAE-0372-45C0-A3A0-B3F26BEED996}"/>
    <hyperlink ref="O1722" r:id="rId5843" xr:uid="{8DB73732-96CB-4068-89F3-1B3D7653DF87}"/>
    <hyperlink ref="S1722" r:id="rId5844" xr:uid="{FF745523-EC96-4C60-9F68-08877E99F559}"/>
    <hyperlink ref="T1722" r:id="rId5845" xr:uid="{F15E6F96-D1C7-43E4-AA8D-C9B01D4FDD6B}"/>
    <hyperlink ref="CA1722" r:id="rId5846" xr:uid="{D4CE97C2-DDF9-4E5D-82E3-76F82F3259E7}"/>
    <hyperlink ref="CB1722" r:id="rId5847" xr:uid="{01C5D5E2-3C8C-4698-8612-6021B5355A7C}"/>
    <hyperlink ref="CD1722" r:id="rId5848" xr:uid="{367C4774-0767-4034-9934-51352F41266F}"/>
    <hyperlink ref="O1723" r:id="rId5849" xr:uid="{8DAC33F0-5AD1-4BAB-89CB-A27109EA0AEF}"/>
    <hyperlink ref="S1723" r:id="rId5850" xr:uid="{E56AAA31-030F-4974-96CA-BE60A658585A}"/>
    <hyperlink ref="T1723" r:id="rId5851" xr:uid="{AA2EFB17-44E0-4A50-95C0-4F22E827C116}"/>
    <hyperlink ref="CA1723" r:id="rId5852" xr:uid="{2041471F-311F-4C49-9A0A-26576529FCBA}"/>
    <hyperlink ref="CB1723" r:id="rId5853" xr:uid="{BDF6FCDA-EA15-447B-8B27-0CABACD9026C}"/>
    <hyperlink ref="O1724" r:id="rId5854" xr:uid="{4B93D5F3-3CEE-4144-BB00-5997E1180541}"/>
    <hyperlink ref="S1724" r:id="rId5855" xr:uid="{0BAAFF79-B80C-4F4C-9422-7CC5F120562B}"/>
    <hyperlink ref="T1724" r:id="rId5856" xr:uid="{153E0257-203E-4DDB-BF18-B281B49D4092}"/>
    <hyperlink ref="CA1724" r:id="rId5857" xr:uid="{EAB794C4-4024-416B-A9E4-598E8A4839C0}"/>
    <hyperlink ref="CB1724" r:id="rId5858" xr:uid="{8D1E09C9-3747-4C78-944A-BA83F5150261}"/>
    <hyperlink ref="CD1724" r:id="rId5859" xr:uid="{9C95E5C2-BB79-45EA-BCE0-7D78E2F25450}"/>
    <hyperlink ref="O1725" r:id="rId5860" xr:uid="{43FB7F06-C7BF-4C6B-A262-EF923D3394C7}"/>
    <hyperlink ref="S1725" r:id="rId5861" xr:uid="{484A2914-73ED-4B4F-BA1D-F13128490FA4}"/>
    <hyperlink ref="T1725" r:id="rId5862" xr:uid="{8B7AF53A-32B9-483A-9E80-A12E359E35F4}"/>
    <hyperlink ref="CA1725" r:id="rId5863" xr:uid="{AC0EBD40-B1E7-469E-9F1E-3EBFD52ECC16}"/>
    <hyperlink ref="CB1725" r:id="rId5864" xr:uid="{7E861E0E-B8E1-4EF7-BBCA-CBDB16405C45}"/>
    <hyperlink ref="CD1725" r:id="rId5865" xr:uid="{36DD096D-E439-4C73-B29E-178ED2BE5B3C}"/>
    <hyperlink ref="O1726" r:id="rId5866" xr:uid="{EB4AF522-B373-44ED-AEEC-B4226F305AF8}"/>
    <hyperlink ref="S1726" r:id="rId5867" xr:uid="{D6E4C86A-BC40-40F8-9A2B-13F4C62DD154}"/>
    <hyperlink ref="T1726" r:id="rId5868" xr:uid="{97F54907-7D5E-4A1E-A1FE-A9E971757296}"/>
    <hyperlink ref="CA1726" r:id="rId5869" xr:uid="{A163B90D-AF4C-458B-9CCD-8C4261B983D2}"/>
    <hyperlink ref="CB1726" r:id="rId5870" xr:uid="{AE1F1FA6-24F7-4FF7-A34A-EF4FD8331DDA}"/>
    <hyperlink ref="O1727" r:id="rId5871" xr:uid="{FF22471E-3847-4C32-A7CA-DFE23A60AFBF}"/>
    <hyperlink ref="S1727" r:id="rId5872" xr:uid="{5452E95F-B592-455D-BD47-83AA4DCD7058}"/>
    <hyperlink ref="T1727" r:id="rId5873" xr:uid="{09FDC7FD-2331-4696-811B-B0BD4CAD8F54}"/>
    <hyperlink ref="CA1727" r:id="rId5874" xr:uid="{FB37F49B-B8D3-4B20-8F1F-410B9FF80C6F}"/>
    <hyperlink ref="CB1727" r:id="rId5875" xr:uid="{605584BF-4179-4153-821A-D392FC753464}"/>
    <hyperlink ref="O1728" r:id="rId5876" xr:uid="{E8994EF6-A632-4829-8A67-64154D086903}"/>
    <hyperlink ref="S1728" r:id="rId5877" xr:uid="{7809FD96-DABF-414B-BD94-60613AF5F7A2}"/>
    <hyperlink ref="T1728" r:id="rId5878" xr:uid="{B9678F18-0925-41E8-A8B1-93B5AA2DCA07}"/>
    <hyperlink ref="CA1728" r:id="rId5879" xr:uid="{F147CDED-4198-4F3E-A972-2FE55D42956D}"/>
    <hyperlink ref="CB1728" r:id="rId5880" xr:uid="{A807F0E7-FACD-4AE3-8A2C-53FC5093C203}"/>
    <hyperlink ref="CD1728" r:id="rId5881" xr:uid="{7F824A4D-ADA3-47B1-AAB0-B0D2733EC538}"/>
    <hyperlink ref="O1729" r:id="rId5882" xr:uid="{5BE61E7F-82D9-4A56-BC04-87D1A0820E35}"/>
    <hyperlink ref="S1729" r:id="rId5883" xr:uid="{F9B2BE69-A0EF-4EB4-9D96-A84628D14698}"/>
    <hyperlink ref="T1729" r:id="rId5884" xr:uid="{E2284666-B6D9-4D7B-92A5-99351486FB7D}"/>
    <hyperlink ref="CA1729" r:id="rId5885" xr:uid="{3D4AB394-9309-4532-892C-388163206531}"/>
    <hyperlink ref="CB1729" r:id="rId5886" xr:uid="{CD7C433D-851E-4AC0-974F-204E15C23804}"/>
    <hyperlink ref="CD1729" r:id="rId5887" xr:uid="{DC88ED23-BB90-4458-829F-4385EE57218C}"/>
    <hyperlink ref="O1730" r:id="rId5888" xr:uid="{25801D49-88B3-441C-9DFF-E5A8B8D67E9C}"/>
    <hyperlink ref="S1730" r:id="rId5889" xr:uid="{CABACE68-E0E4-4043-A5BD-67E1CBD79F01}"/>
    <hyperlink ref="T1730" r:id="rId5890" xr:uid="{A74B413A-43A7-427C-A2A4-B41C33C0ED5B}"/>
    <hyperlink ref="CA1730" r:id="rId5891" xr:uid="{D79FBF73-B8A3-4287-9A92-E913C7EAEAFA}"/>
    <hyperlink ref="CB1730" r:id="rId5892" xr:uid="{749B7E2A-71CE-4DF5-B720-42F12D0D94CF}"/>
    <hyperlink ref="O1731" r:id="rId5893" xr:uid="{06013A67-314B-4D2A-9B66-202C74E5F8A6}"/>
    <hyperlink ref="S1731" r:id="rId5894" xr:uid="{E1161913-47A4-4B8B-8BAC-DE5FFF44A4CC}"/>
    <hyperlink ref="T1731" r:id="rId5895" xr:uid="{4E84ECD3-F1C6-4F42-8D2A-0B7214610890}"/>
    <hyperlink ref="CA1731" r:id="rId5896" xr:uid="{73206082-E345-4454-8381-AAFFAC4368CC}"/>
    <hyperlink ref="CB1731" r:id="rId5897" xr:uid="{B558C3B0-25D7-45AD-8F8D-271873E8F23E}"/>
    <hyperlink ref="CD1731" r:id="rId5898" xr:uid="{A62F6F11-E4C9-4188-92F8-F4F871315333}"/>
    <hyperlink ref="O1732" r:id="rId5899" xr:uid="{9F5E7D4B-E888-4A7E-BCE2-690351BCE5DB}"/>
    <hyperlink ref="S1732" r:id="rId5900" xr:uid="{29A3AEEE-7B1E-4B8C-905A-5E0538E5DCF8}"/>
    <hyperlink ref="T1732" r:id="rId5901" xr:uid="{C9944DF1-AF97-4A70-B50C-AEA3CD3A0EB1}"/>
    <hyperlink ref="CA1732" r:id="rId5902" xr:uid="{F11AC0D0-4BFD-41D4-8047-C3D0936437E1}"/>
    <hyperlink ref="CB1732" r:id="rId5903" xr:uid="{58883FE2-A232-46BB-A5D5-578ED724B10A}"/>
    <hyperlink ref="O1733" r:id="rId5904" xr:uid="{C25AF93D-0528-426A-B0E7-7A3A27F12570}"/>
    <hyperlink ref="S1733" r:id="rId5905" xr:uid="{0694B950-F0E2-410C-96E7-B471BB836609}"/>
    <hyperlink ref="T1733" r:id="rId5906" xr:uid="{77B516FB-BC47-4583-8132-EA921FFFA103}"/>
    <hyperlink ref="CA1733" r:id="rId5907" xr:uid="{ADB9E87C-ED95-4CB0-BB6B-53AA0851B289}"/>
    <hyperlink ref="CB1733" r:id="rId5908" xr:uid="{3A3A769F-728C-425D-8C10-9019363BC9AC}"/>
    <hyperlink ref="O1734" r:id="rId5909" xr:uid="{2CFAAA9F-9B63-4663-BBA5-92248CCC7B74}"/>
    <hyperlink ref="S1734" r:id="rId5910" xr:uid="{3A9884BD-B9B6-4055-8A87-9E607BC25A00}"/>
    <hyperlink ref="T1734" r:id="rId5911" xr:uid="{F6AA7ED4-C72A-453A-9189-6003ED3A73E5}"/>
    <hyperlink ref="CA1734" r:id="rId5912" xr:uid="{BC9F254F-B0E6-4646-A337-E01B1AE16B67}"/>
    <hyperlink ref="CB1734" r:id="rId5913" xr:uid="{8EDB7464-A607-470E-AF71-AD786E77943B}"/>
    <hyperlink ref="CD1734" r:id="rId5914" xr:uid="{25FFE921-341B-47E3-902D-CE592EBCD64F}"/>
    <hyperlink ref="O1735" r:id="rId5915" xr:uid="{E07CC795-FDE9-4DDC-AACE-BE79141EB0CC}"/>
    <hyperlink ref="S1735" r:id="rId5916" xr:uid="{7206E8B9-5F46-44F6-9C9B-C298353D09A7}"/>
    <hyperlink ref="T1735" r:id="rId5917" xr:uid="{10EB7465-236B-4A4B-9B30-DE37ADAE7767}"/>
    <hyperlink ref="CA1735" r:id="rId5918" xr:uid="{AA36668D-5EC9-4835-A36B-1F46EC94A59A}"/>
    <hyperlink ref="CB1735" r:id="rId5919" xr:uid="{4F4B1C56-FEAD-4F71-9F7F-1D67A49E1795}"/>
    <hyperlink ref="CD1735" r:id="rId5920" xr:uid="{D48477A7-BDA1-4536-9525-8D30D33681EA}"/>
    <hyperlink ref="O1736" r:id="rId5921" xr:uid="{49CED6E7-8CD5-4D49-8935-F39BA9CDDC6A}"/>
    <hyperlink ref="S1736" r:id="rId5922" xr:uid="{BB46AD5C-D83D-4731-934C-AFDF57EF7CFB}"/>
    <hyperlink ref="T1736" r:id="rId5923" xr:uid="{7FB5C50A-135D-48E8-97CB-E177239470F7}"/>
    <hyperlink ref="CA1736" r:id="rId5924" xr:uid="{468FA932-1D9D-435C-9FFB-919BDA1A75DA}"/>
    <hyperlink ref="CB1736" r:id="rId5925" xr:uid="{250A2CDA-0801-4989-A707-C2A02B8E05C4}"/>
    <hyperlink ref="O1738" r:id="rId5926" xr:uid="{1D263BEC-8734-42E1-B0B9-1EDC2F68D942}"/>
    <hyperlink ref="S1738" r:id="rId5927" xr:uid="{65B93755-BEF8-4BF1-BCAB-2C64B0C9EBDB}"/>
    <hyperlink ref="T1738" r:id="rId5928" xr:uid="{6C6C4660-175E-482F-A6A6-2929FA55C613}"/>
    <hyperlink ref="CA1738" r:id="rId5929" xr:uid="{0A974C9E-5BF1-4C38-B96D-D86C9A4312A7}"/>
    <hyperlink ref="CB1738" r:id="rId5930" xr:uid="{BA9BA210-BD6C-41E4-A4F2-CA1931039CB7}"/>
    <hyperlink ref="CD1738" r:id="rId5931" xr:uid="{01B78B6A-1B9A-4A4C-8193-CD18BEC273DC}"/>
    <hyperlink ref="O1739" r:id="rId5932" xr:uid="{17B863D0-41EF-48B1-9EE8-61B8E93A6B20}"/>
    <hyperlink ref="S1739" r:id="rId5933" xr:uid="{0324E545-C26F-4022-8669-AEC363DD4968}"/>
    <hyperlink ref="T1739" r:id="rId5934" xr:uid="{EAE316E7-77C3-4FCC-A8E2-071447CD39B5}"/>
    <hyperlink ref="CA1739" r:id="rId5935" xr:uid="{FFD1CD0B-095C-462C-8A7C-C1CA9FDED832}"/>
    <hyperlink ref="CB1739" r:id="rId5936" xr:uid="{0D284EDA-001D-44FC-AC48-E12E168D7646}"/>
    <hyperlink ref="O1740" r:id="rId5937" xr:uid="{9C7DD173-2305-4D93-B111-D7430E87AD19}"/>
    <hyperlink ref="S1740" r:id="rId5938" xr:uid="{4258C75B-7046-4C8A-83FD-0BB98BE109B3}"/>
    <hyperlink ref="T1740" r:id="rId5939" xr:uid="{692B0CCF-5478-41D1-BCE4-C604D518F102}"/>
    <hyperlink ref="CA1740" r:id="rId5940" xr:uid="{60B92CE9-62FD-45EC-8350-C4A25F1A1341}"/>
    <hyperlink ref="CB1740" r:id="rId5941" xr:uid="{04FF6AB7-1B68-45D5-9A12-0AE8BEE8367F}"/>
    <hyperlink ref="CD1740" r:id="rId5942" xr:uid="{3712CC99-B54D-447D-86BD-1FD00CD8F5C5}"/>
    <hyperlink ref="O1741" r:id="rId5943" xr:uid="{227B7BC1-D094-409F-8AAB-5366CD660574}"/>
    <hyperlink ref="S1741" r:id="rId5944" xr:uid="{D7C62AF6-C921-4C43-ACA7-D06AE58CE4F6}"/>
    <hyperlink ref="T1741" r:id="rId5945" xr:uid="{0D89FB8B-3C99-42FC-A76D-FD05BB873C94}"/>
    <hyperlink ref="CA1741" r:id="rId5946" xr:uid="{B736D5DF-AC30-4967-973A-382B92293DB1}"/>
    <hyperlink ref="CB1741" r:id="rId5947" xr:uid="{B4583803-AE2A-4172-AE7B-492865E6FAFC}"/>
    <hyperlink ref="O1742" r:id="rId5948" xr:uid="{480C251D-A03C-40B3-AA76-10BC02250D23}"/>
    <hyperlink ref="S1742" r:id="rId5949" xr:uid="{675CACB9-636F-4215-93E9-478DD2B79680}"/>
    <hyperlink ref="T1742" r:id="rId5950" xr:uid="{9BCA5A53-6264-4B80-A74B-8AF1C2E49FEB}"/>
    <hyperlink ref="CA1742" r:id="rId5951" xr:uid="{1DA34836-CA41-41E6-A165-3999065D57CD}"/>
    <hyperlink ref="CB1742" r:id="rId5952" xr:uid="{C6B2BC4A-47FD-47DA-A6D9-B9F21A22FD9A}"/>
    <hyperlink ref="O1743" r:id="rId5953" xr:uid="{C291966F-F4B1-4C78-B466-51DD7ECB98AD}"/>
    <hyperlink ref="S1743" r:id="rId5954" xr:uid="{3157B8D9-9C83-4B65-91E7-DB0AB185FE9C}"/>
    <hyperlink ref="T1743" r:id="rId5955" xr:uid="{B00E1868-86BC-449B-A9CE-0D959C7BBEEA}"/>
    <hyperlink ref="CA1743" r:id="rId5956" xr:uid="{A7A44629-CE14-4041-893F-CACD91AC66D7}"/>
    <hyperlink ref="CB1743" r:id="rId5957" xr:uid="{6EFD0E8E-7764-4EC4-8D8C-E843523B6F36}"/>
    <hyperlink ref="CD1743" r:id="rId5958" xr:uid="{6D65E83C-5D05-42C8-8BC1-7C819E9F50FF}"/>
    <hyperlink ref="O1744" r:id="rId5959" xr:uid="{C0DC70E2-4649-489A-B9F1-C91325DE194E}"/>
    <hyperlink ref="S1744" r:id="rId5960" xr:uid="{2B9E16B5-B79D-4AEC-AEF3-45B376FA9328}"/>
    <hyperlink ref="T1744" r:id="rId5961" xr:uid="{9784781D-8B2F-4692-B5B8-D3314F8040D1}"/>
    <hyperlink ref="CA1744" r:id="rId5962" xr:uid="{6B890DD2-D3AB-4CA7-A99E-3C92DA1EE22D}"/>
    <hyperlink ref="CB1744" r:id="rId5963" xr:uid="{EBCE219E-7449-4447-B533-BFB9F5D4D970}"/>
    <hyperlink ref="O1745" r:id="rId5964" xr:uid="{A6D0AA24-5309-4206-906E-5CD8B8650B43}"/>
    <hyperlink ref="S1745" r:id="rId5965" xr:uid="{184C5C41-A0A1-43B6-A7AB-8991A9A15B0E}"/>
    <hyperlink ref="T1745" r:id="rId5966" xr:uid="{BAF0CBB2-0547-42E0-A7FE-48F5D230C7A0}"/>
    <hyperlink ref="CA1745" r:id="rId5967" xr:uid="{B20F1771-B496-4E2E-94C7-EF465150F178}"/>
    <hyperlink ref="CB1745" r:id="rId5968" xr:uid="{3757AF60-A450-4AFA-ACD6-3E0469B92E70}"/>
    <hyperlink ref="CD1745" r:id="rId5969" xr:uid="{7EBA9DBD-DC94-40E4-810F-71915A16C70F}"/>
    <hyperlink ref="O1746" r:id="rId5970" xr:uid="{59012DC2-B457-4EF7-9CF8-1FAF886FC040}"/>
    <hyperlink ref="S1746" r:id="rId5971" xr:uid="{6DF123BA-F47D-424D-AC34-EB7D1EA9F674}"/>
    <hyperlink ref="T1746" r:id="rId5972" xr:uid="{396065BF-96FB-4387-86B0-D6D97973161B}"/>
    <hyperlink ref="CA1746" r:id="rId5973" xr:uid="{FDF541C4-69F1-4257-BC51-21E5D82F4B6C}"/>
    <hyperlink ref="CB1746" r:id="rId5974" xr:uid="{82647281-BF4C-4136-A7DA-6D9AB0F405EB}"/>
    <hyperlink ref="CD1746" r:id="rId5975" xr:uid="{A93F2EEF-17B1-4193-8755-644AFC8FA11A}"/>
    <hyperlink ref="O1747" r:id="rId5976" xr:uid="{D9776CDE-2C93-49D5-BE0B-295FACE1A190}"/>
    <hyperlink ref="S1747" r:id="rId5977" xr:uid="{1157A222-0221-4AE7-B819-53888C62B09A}"/>
    <hyperlink ref="T1747" r:id="rId5978" xr:uid="{4D5BCDB8-6CCC-4FDD-A568-4D7F3160E2D2}"/>
    <hyperlink ref="CA1747" r:id="rId5979" xr:uid="{1241D0EA-5ED7-4D81-BBD9-1EEE50AA8123}"/>
    <hyperlink ref="CB1747" r:id="rId5980" xr:uid="{0C9AC57D-530A-4B4F-8343-1953261B8051}"/>
    <hyperlink ref="O1748" r:id="rId5981" xr:uid="{768199EE-CF75-48DF-82BA-BBE6029E4981}"/>
    <hyperlink ref="S1748" r:id="rId5982" xr:uid="{7D8E6724-A93F-4032-B53F-EEA2D2183707}"/>
    <hyperlink ref="T1748" r:id="rId5983" xr:uid="{BDEB913C-3F8A-4264-BA8B-41C45C12DCDD}"/>
    <hyperlink ref="CA1748" r:id="rId5984" xr:uid="{A48102A9-CDB2-4C1D-A1DC-FE2532F5B134}"/>
    <hyperlink ref="CB1748" r:id="rId5985" xr:uid="{E3FBD814-836C-49EA-B1C3-16328EB69DFE}"/>
    <hyperlink ref="O1749" r:id="rId5986" xr:uid="{A3C62F02-80D1-419E-A08F-9EE576317A1D}"/>
    <hyperlink ref="S1749" r:id="rId5987" xr:uid="{0A410C46-5550-4C15-8E29-F28722892147}"/>
    <hyperlink ref="T1749" r:id="rId5988" xr:uid="{58389660-5B21-4E4B-B8FF-C7BA310C4763}"/>
    <hyperlink ref="CA1749" r:id="rId5989" xr:uid="{AA842F57-F2AC-4BF3-B66E-CDA13AB0658F}"/>
    <hyperlink ref="CB1749" r:id="rId5990" xr:uid="{442606AD-3FD6-41C6-9669-9C32A8F0C274}"/>
    <hyperlink ref="CD1749" r:id="rId5991" xr:uid="{75519126-A9E2-4BA5-B7B0-2B9257B5411A}"/>
    <hyperlink ref="O1750" r:id="rId5992" xr:uid="{37DFD066-B430-4922-BD1B-15B6F434D7F1}"/>
    <hyperlink ref="S1750" r:id="rId5993" xr:uid="{68D3E3A1-E2A8-4808-8E32-EB36E3136831}"/>
    <hyperlink ref="T1750" r:id="rId5994" xr:uid="{C09DF00E-28A6-4114-B102-300E6851E586}"/>
    <hyperlink ref="CA1750" r:id="rId5995" xr:uid="{3F49275F-A166-4B7A-8DAE-4DA78BB2BF37}"/>
    <hyperlink ref="CB1750" r:id="rId5996" xr:uid="{57B6FD2A-4888-4C69-A23B-835507B0579D}"/>
    <hyperlink ref="O1751" r:id="rId5997" xr:uid="{11BEDEB1-9437-40EA-A4FA-FC063794CED4}"/>
    <hyperlink ref="S1751" r:id="rId5998" xr:uid="{62D39108-6DA8-4D3B-B3FC-47BEA1645351}"/>
    <hyperlink ref="T1751" r:id="rId5999" xr:uid="{334D82D8-C488-45E0-A14C-5976FA9A92B3}"/>
    <hyperlink ref="CA1751" r:id="rId6000" xr:uid="{EFFBD3C2-FD60-440E-A5A7-2E1D6D1CD2AF}"/>
    <hyperlink ref="CB1751" r:id="rId6001" xr:uid="{D24AB716-4D18-4BE0-B25B-CBB89ABFD5C5}"/>
    <hyperlink ref="O1752" r:id="rId6002" xr:uid="{73FE71BB-6819-49DF-A122-75950807BEC8}"/>
    <hyperlink ref="S1752" r:id="rId6003" xr:uid="{7D4ADB64-70D6-4B78-BF9C-6C22E9643B26}"/>
    <hyperlink ref="T1752" r:id="rId6004" xr:uid="{857ADB35-B5FB-465F-8015-341923B6178E}"/>
    <hyperlink ref="CA1752" r:id="rId6005" xr:uid="{898FA519-F5C8-49C8-9C99-E2124F21BD3C}"/>
    <hyperlink ref="CB1752" r:id="rId6006" xr:uid="{937D59F5-8E32-457D-90B5-597E25F51EEF}"/>
    <hyperlink ref="CD1752" r:id="rId6007" xr:uid="{CC249587-B098-440A-9BFC-D9C43BB26115}"/>
    <hyperlink ref="O1753" r:id="rId6008" xr:uid="{FA8E17AC-93B2-411C-B1C7-AD02A3939669}"/>
    <hyperlink ref="S1753" r:id="rId6009" xr:uid="{F583A29B-13C0-4B56-A1E3-B37D67D09AE3}"/>
    <hyperlink ref="T1753" r:id="rId6010" xr:uid="{45D1D2D3-CE94-4A87-A087-49B2D05870E8}"/>
    <hyperlink ref="CA1753" r:id="rId6011" xr:uid="{2AB48B68-A075-48E4-AA67-EE398D9F4877}"/>
    <hyperlink ref="CB1753" r:id="rId6012" xr:uid="{C9E711D3-C31E-452B-871E-DF969C8F6E66}"/>
    <hyperlink ref="O1754" r:id="rId6013" xr:uid="{72B32772-80D2-4D96-9F4A-D9B164DDD492}"/>
    <hyperlink ref="S1754" r:id="rId6014" xr:uid="{CAD22E09-4D75-4B44-8377-3F76B94DDB68}"/>
    <hyperlink ref="T1754" r:id="rId6015" xr:uid="{185EE393-EDAA-4A04-BFF9-5712A9ACBDB8}"/>
    <hyperlink ref="CA1754" r:id="rId6016" xr:uid="{71D6AF0C-05B7-412C-9E89-E2D91160318B}"/>
    <hyperlink ref="CB1754" r:id="rId6017" xr:uid="{897A5542-DBE4-45EA-B1B0-07D1BB5584B2}"/>
    <hyperlink ref="CD1754" r:id="rId6018" xr:uid="{1D965090-6384-4068-9C2D-16C46A200C52}"/>
    <hyperlink ref="O1755" r:id="rId6019" xr:uid="{B28DF7BD-83A0-4175-8EFA-769599471897}"/>
    <hyperlink ref="S1755" r:id="rId6020" xr:uid="{072BEADF-1579-442A-8467-5FC5DC364F06}"/>
    <hyperlink ref="T1755" r:id="rId6021" xr:uid="{9C5EB321-5A96-444F-9D83-E4624715BD85}"/>
    <hyperlink ref="CA1755" r:id="rId6022" xr:uid="{3A3309EA-6BF9-43F5-8F01-17E9BA28C0DB}"/>
    <hyperlink ref="CB1755" r:id="rId6023" xr:uid="{FC60DA3F-FA37-4D8C-98E1-6B2398B86FC6}"/>
    <hyperlink ref="CD1755" r:id="rId6024" xr:uid="{79445D73-25C3-492C-9690-58CB28FB9B24}"/>
    <hyperlink ref="O1756" r:id="rId6025" xr:uid="{CEA4F282-B8ED-4094-B6BB-BDB966C63F0C}"/>
    <hyperlink ref="S1756" r:id="rId6026" xr:uid="{6B69A438-67C5-4C8D-9D15-01C9C59FFED7}"/>
    <hyperlink ref="T1756" r:id="rId6027" xr:uid="{50164D99-03EC-4AA4-A6CF-B8B6A7E213F1}"/>
    <hyperlink ref="CA1756" r:id="rId6028" xr:uid="{2F3EDD27-0B51-4DA6-8431-F07F67F2A43F}"/>
    <hyperlink ref="CB1756" r:id="rId6029" xr:uid="{E70D6441-6A30-4FFB-8E8E-1BDE9E5C6D30}"/>
    <hyperlink ref="CD1756" r:id="rId6030" xr:uid="{590972CC-1435-4406-B272-F77DC4F3021A}"/>
    <hyperlink ref="O1757" r:id="rId6031" xr:uid="{94422E44-AC2F-4B00-94C9-9DCDB34D4593}"/>
    <hyperlink ref="S1757" r:id="rId6032" xr:uid="{AC2CE226-69AC-4221-8431-AEB5F53F25FD}"/>
    <hyperlink ref="T1757" r:id="rId6033" xr:uid="{BEA5C4C1-1A76-447D-8467-2E90200F28FF}"/>
    <hyperlink ref="CA1757" r:id="rId6034" xr:uid="{E3F595B3-2B5B-4EC4-A7FB-F29BCA975A78}"/>
    <hyperlink ref="CB1757" r:id="rId6035" xr:uid="{EDE225A4-C064-4D87-8E03-CC9B5E7FCA3A}"/>
    <hyperlink ref="CD1757" r:id="rId6036" xr:uid="{BD08EA6D-9992-49E5-B41A-F1DF135BE298}"/>
    <hyperlink ref="O1758" r:id="rId6037" xr:uid="{BFEC2768-5A7C-4376-955A-79F8E6FCE4A7}"/>
    <hyperlink ref="S1758" r:id="rId6038" xr:uid="{7EB8C425-2B14-4711-B1DB-54B392D163CF}"/>
    <hyperlink ref="T1758" r:id="rId6039" xr:uid="{E77D324B-55B2-42E1-BC23-D6AC9BC4C5F9}"/>
    <hyperlink ref="CA1758" r:id="rId6040" xr:uid="{C26A13A7-96EF-49EE-91B8-388F7E1FD1A1}"/>
    <hyperlink ref="CB1758" r:id="rId6041" xr:uid="{6C4E88A0-D10A-40C5-A327-D922457F2275}"/>
    <hyperlink ref="CD1758" r:id="rId6042" xr:uid="{2183CB68-593E-4B59-9AB3-6A2C90D5E06A}"/>
    <hyperlink ref="O1759" r:id="rId6043" xr:uid="{D324A3B2-7548-420B-A8AD-67D7F8D00FB9}"/>
    <hyperlink ref="S1759" r:id="rId6044" xr:uid="{B21BCE5D-690C-4545-ABAE-D066BE9F8DE6}"/>
    <hyperlink ref="T1759" r:id="rId6045" xr:uid="{4EE7321D-5E2C-4099-8095-10970FC673DF}"/>
    <hyperlink ref="CA1759" r:id="rId6046" xr:uid="{39791180-7653-4E09-BD45-DCA8CFB210A2}"/>
    <hyperlink ref="CB1759" r:id="rId6047" xr:uid="{1105C914-9326-46EF-A0A8-7EB06C47ADD3}"/>
    <hyperlink ref="CD1759" r:id="rId6048" xr:uid="{6ED6247A-A991-4D67-9A24-C846F7FE643C}"/>
    <hyperlink ref="O1760" r:id="rId6049" xr:uid="{DBB1C369-CD51-4B6B-8484-6DFF3027A97C}"/>
    <hyperlink ref="S1760" r:id="rId6050" xr:uid="{639E9BA9-30F1-465B-A682-057CF83B69A3}"/>
    <hyperlink ref="T1760" r:id="rId6051" xr:uid="{A04A9CC3-ED5B-4DCD-B875-89666D270161}"/>
    <hyperlink ref="CA1760" r:id="rId6052" xr:uid="{10DB885C-F793-4A7D-81C9-B62108A08E86}"/>
    <hyperlink ref="CB1760" r:id="rId6053" xr:uid="{92AC218B-EED4-4421-A4F5-5EA2A594944B}"/>
    <hyperlink ref="O1761" r:id="rId6054" xr:uid="{5172E8B7-D05C-4DCC-BEA7-911558411D0F}"/>
    <hyperlink ref="S1761" r:id="rId6055" xr:uid="{38D4875A-3EFA-4BCF-9720-5D527612966A}"/>
    <hyperlink ref="T1761" r:id="rId6056" xr:uid="{6CCE24B9-AE41-4970-A284-6B930739F286}"/>
    <hyperlink ref="CA1761" r:id="rId6057" xr:uid="{4605FD51-18AF-4D4B-9BEB-83ABA3AED471}"/>
    <hyperlink ref="CB1761" r:id="rId6058" xr:uid="{BD024E8A-3E26-40DD-A020-302BACF6A266}"/>
    <hyperlink ref="O1762" r:id="rId6059" xr:uid="{59F15DC5-E434-4D30-A33B-9F73E734C2DF}"/>
    <hyperlink ref="S1762" r:id="rId6060" xr:uid="{8A4E6B37-0091-4D24-9F1F-274CB66109C5}"/>
    <hyperlink ref="T1762" r:id="rId6061" xr:uid="{0E808CD5-EECD-4774-B68C-8D5149BA0E37}"/>
    <hyperlink ref="CA1762" r:id="rId6062" xr:uid="{214F08D0-F805-4878-877B-783EA7D3DEF7}"/>
    <hyperlink ref="CB1762" r:id="rId6063" xr:uid="{A389BB5E-E67A-457A-A678-909A53F3A679}"/>
    <hyperlink ref="O1763" r:id="rId6064" xr:uid="{98CBE96B-AC1D-446C-AA4C-65F94FA88053}"/>
    <hyperlink ref="S1763" r:id="rId6065" xr:uid="{D101EE04-6861-4909-91B7-262240DB52CB}"/>
    <hyperlink ref="T1763" r:id="rId6066" xr:uid="{4FCFF7F1-09E2-4355-8241-F03DC8EC9A4F}"/>
    <hyperlink ref="CA1763" r:id="rId6067" xr:uid="{3AB7E6BF-D3AE-4B23-BF16-1A7D5349702F}"/>
    <hyperlink ref="CB1763" r:id="rId6068" xr:uid="{DB72306D-69ED-4960-AA43-EC61025C6DEE}"/>
    <hyperlink ref="O1800" r:id="rId6069" xr:uid="{9C46A33D-EB05-46D9-A680-F1E038D361B4}"/>
    <hyperlink ref="S1800" r:id="rId6070" xr:uid="{050206CE-9882-4A11-B624-2EF02F49E995}"/>
    <hyperlink ref="T1800" r:id="rId6071" xr:uid="{42C44EAC-5BB2-401A-8988-79CBB3E86580}"/>
    <hyperlink ref="CA1800" r:id="rId6072" xr:uid="{F728D24B-75CF-4AE6-A1F1-029474DBB089}"/>
    <hyperlink ref="CB1800" r:id="rId6073" xr:uid="{63FAFBF9-82B1-40DA-89B5-E85B8595CB65}"/>
    <hyperlink ref="CD1800" r:id="rId6074" xr:uid="{AF88CA2A-7C3A-487C-B122-3DCB4324A37F}"/>
    <hyperlink ref="O1801" r:id="rId6075" xr:uid="{B13A4651-DA55-43F1-91B5-F725650914D0}"/>
    <hyperlink ref="S1801" r:id="rId6076" xr:uid="{4B6DE2CD-58B2-4F37-8AD7-1C777A755F48}"/>
    <hyperlink ref="T1801" r:id="rId6077" xr:uid="{B8189085-5359-42CE-B625-E92702E072A0}"/>
    <hyperlink ref="CA1801" r:id="rId6078" xr:uid="{EF50FF0D-EE27-42D2-9E0E-27704FE72AFB}"/>
    <hyperlink ref="CB1801" r:id="rId6079" xr:uid="{9E54D574-1616-4842-8DC3-957C8905D299}"/>
    <hyperlink ref="CD1801" r:id="rId6080" xr:uid="{4AE460DD-0B1D-4314-9929-CB5800C7A9EB}"/>
    <hyperlink ref="O1802" r:id="rId6081" xr:uid="{73AB02B9-B188-4EBF-B2A9-DFD02467DDD6}"/>
    <hyperlink ref="S1802" r:id="rId6082" xr:uid="{6615F442-D82E-47B6-AF85-3BE0CFD2012E}"/>
    <hyperlink ref="T1802" r:id="rId6083" xr:uid="{1A961754-9057-4DBD-84C3-C2255CE69E4B}"/>
    <hyperlink ref="CA1802" r:id="rId6084" xr:uid="{EDE484FA-ACBE-4043-8506-C316A56FDC98}"/>
    <hyperlink ref="CB1802" r:id="rId6085" xr:uid="{139B2522-D4DE-4C40-988A-83E0714F6DAA}"/>
    <hyperlink ref="CD1802" r:id="rId6086" xr:uid="{472782CD-9EAE-4E49-AF5D-9DBD480A7CA3}"/>
    <hyperlink ref="O1803" r:id="rId6087" xr:uid="{D0EE8EA3-F002-4D6D-B61E-8BFD024B2293}"/>
    <hyperlink ref="S1803" r:id="rId6088" xr:uid="{741E15C9-244B-4E52-85A1-6F0526E485E0}"/>
    <hyperlink ref="T1803" r:id="rId6089" xr:uid="{D7768416-0E5A-4D31-84EE-DED975E0121E}"/>
    <hyperlink ref="CA1803" r:id="rId6090" xr:uid="{B72EE4B8-207D-4D3D-8DC8-A3492F300676}"/>
    <hyperlink ref="CB1803" r:id="rId6091" xr:uid="{C5CDB6A2-03F1-4FE7-B74D-E2103036F5B7}"/>
    <hyperlink ref="O1804" r:id="rId6092" xr:uid="{21FB37D6-3405-4859-A8EE-F4B81BF6EF84}"/>
    <hyperlink ref="S1804" r:id="rId6093" xr:uid="{07BBB4C8-524E-4D2E-954D-19E10CAF1531}"/>
    <hyperlink ref="T1804" r:id="rId6094" xr:uid="{33270525-B968-4B56-9EFA-9F71B5427125}"/>
    <hyperlink ref="CA1804" r:id="rId6095" xr:uid="{78E120E8-F1EE-41F7-B9A0-ADA91E3CA8F1}"/>
    <hyperlink ref="CB1804" r:id="rId6096" xr:uid="{15CDD99B-3C08-4547-96F4-BF584086E6CA}"/>
    <hyperlink ref="CD1804" r:id="rId6097" xr:uid="{2BB6F829-DFC3-4F2B-B0E5-29781E9D2D26}"/>
    <hyperlink ref="O1805" r:id="rId6098" xr:uid="{93462FB2-EEC9-4E7A-83AE-70AF0581EE37}"/>
    <hyperlink ref="S1805" r:id="rId6099" xr:uid="{CBFD422E-A1A0-4094-B27A-6016BDFB5FC7}"/>
    <hyperlink ref="T1805" r:id="rId6100" xr:uid="{1E2BC615-9859-402A-89C3-496FA4611C01}"/>
    <hyperlink ref="CA1805" r:id="rId6101" xr:uid="{97192FB2-3A03-4191-B2CF-C90534645C74}"/>
    <hyperlink ref="CB1805" r:id="rId6102" xr:uid="{8EEC0D6E-9B75-485D-916C-0CCAD8CDA147}"/>
    <hyperlink ref="O1806" r:id="rId6103" xr:uid="{B559EA93-87A8-493D-9808-D35B679C2D44}"/>
    <hyperlink ref="S1806" r:id="rId6104" xr:uid="{C30FF1E0-308C-4351-88A1-C6E9A66DC790}"/>
    <hyperlink ref="T1806" r:id="rId6105" xr:uid="{36B1E1B6-0C81-4035-8096-8021CFB6D078}"/>
    <hyperlink ref="CA1806" r:id="rId6106" xr:uid="{4E3FFC77-E326-4AF6-A495-6070B25545FC}"/>
    <hyperlink ref="CB1806" r:id="rId6107" xr:uid="{86614B0E-7A2B-4C6A-899A-24477521649D}"/>
    <hyperlink ref="O1807" r:id="rId6108" xr:uid="{61AA6104-3F8A-4C38-B85F-73D6BE58EE53}"/>
    <hyperlink ref="S1807" r:id="rId6109" xr:uid="{9E16CE3B-9FF7-4F10-8459-8F137F9597BA}"/>
    <hyperlink ref="T1807" r:id="rId6110" xr:uid="{0ADBA6EC-2419-4CB7-AAB8-C16D42026B0B}"/>
    <hyperlink ref="CA1807" r:id="rId6111" xr:uid="{70709404-252F-4DAA-A32B-466436313A5D}"/>
    <hyperlink ref="CB1807" r:id="rId6112" xr:uid="{92A1BB27-A297-4917-94DD-2138DDF3CF85}"/>
    <hyperlink ref="O1808" r:id="rId6113" xr:uid="{0723894D-303F-43C0-A772-9CF9C7B2D263}"/>
    <hyperlink ref="S1808" r:id="rId6114" xr:uid="{32B8DF57-37A9-4F8A-B4D5-3B1F8D3EB0E9}"/>
    <hyperlink ref="T1808" r:id="rId6115" xr:uid="{87BE358A-D87B-4B0B-9B26-988AE8826B71}"/>
    <hyperlink ref="CA1808" r:id="rId6116" xr:uid="{714F0C1A-E4BA-410C-A3A3-4F017FB60738}"/>
    <hyperlink ref="CB1808" r:id="rId6117" xr:uid="{D3C1F93A-7F1E-45EC-B472-6E2398989CA7}"/>
    <hyperlink ref="O1809" r:id="rId6118" xr:uid="{0D73BFDA-6AA5-44DB-B2C5-B3DA655AF9B4}"/>
    <hyperlink ref="S1809" r:id="rId6119" xr:uid="{032C5255-E1EF-4055-B9B5-1FA98C9CA7D1}"/>
    <hyperlink ref="T1809" r:id="rId6120" xr:uid="{8FBE1B7C-5D23-43DF-ABE1-8E338F7BD374}"/>
    <hyperlink ref="CA1809" r:id="rId6121" xr:uid="{C50ED880-E902-4781-B476-DEB12712FFB4}"/>
    <hyperlink ref="CB1809" r:id="rId6122" xr:uid="{662E8393-EAA2-450A-B92C-A1C03FAA9DEB}"/>
    <hyperlink ref="CD1809" r:id="rId6123" xr:uid="{D2CED6CF-7B35-4A4B-A498-40B8BD552768}"/>
    <hyperlink ref="O1810" r:id="rId6124" xr:uid="{40108C87-D0C9-4D45-9FE0-6DDD6E2C78DF}"/>
    <hyperlink ref="S1810" r:id="rId6125" xr:uid="{1BAD6BE7-23C0-41C5-863F-75CCF00D0AB5}"/>
    <hyperlink ref="T1810" r:id="rId6126" xr:uid="{D8C9EC53-F1CD-4788-8450-FD717AA8BEFD}"/>
    <hyperlink ref="CA1810" r:id="rId6127" xr:uid="{77B1BB97-2509-4BED-860F-0560BA6FA423}"/>
    <hyperlink ref="CB1810" r:id="rId6128" xr:uid="{20D36ADC-DA26-4EB7-BCBA-2A414604E16E}"/>
    <hyperlink ref="O1811" r:id="rId6129" xr:uid="{231E0C38-9815-4214-A490-823D5A659741}"/>
    <hyperlink ref="S1811" r:id="rId6130" xr:uid="{1435F2F5-1D24-4731-9C9E-A767AD792115}"/>
    <hyperlink ref="T1811" r:id="rId6131" xr:uid="{AB6EA044-51C4-4A87-8EFE-D35C28C438A0}"/>
    <hyperlink ref="CA1811" r:id="rId6132" xr:uid="{F55AD8EC-B555-444A-B83C-DA3F1BCBF6E6}"/>
    <hyperlink ref="CB1811" r:id="rId6133" xr:uid="{3075422B-5540-479E-A400-D42DEC7AECBE}"/>
    <hyperlink ref="O1812" r:id="rId6134" xr:uid="{4C031E05-255B-4FC4-8D2A-112C69A322A6}"/>
    <hyperlink ref="S1812" r:id="rId6135" xr:uid="{C719F735-7224-4BE3-8FDE-89C7A433975F}"/>
    <hyperlink ref="T1812" r:id="rId6136" xr:uid="{353DB491-96F3-42EC-9A10-EC1DAA479347}"/>
    <hyperlink ref="CA1812" r:id="rId6137" xr:uid="{843DB793-9F51-4FA1-9BAB-C7A8CA613094}"/>
    <hyperlink ref="CB1812" r:id="rId6138" xr:uid="{278D597A-F009-4B7B-A19E-E59F9E85AEB9}"/>
    <hyperlink ref="CD1812" r:id="rId6139" xr:uid="{66F42395-AF99-4096-8472-2602E20C9E36}"/>
    <hyperlink ref="O1813" r:id="rId6140" xr:uid="{8DB99909-2D43-4505-83BC-B7F8761348A1}"/>
    <hyperlink ref="S1813" r:id="rId6141" xr:uid="{002D2BAB-9FD9-425C-BB7D-106759900FA8}"/>
    <hyperlink ref="T1813" r:id="rId6142" xr:uid="{EE1BAAE3-898A-4879-B117-5C999FBE949B}"/>
    <hyperlink ref="CA1813" r:id="rId6143" xr:uid="{E9277BC2-6179-4F96-9DB1-41C7E96B1AC8}"/>
    <hyperlink ref="CB1813" r:id="rId6144" xr:uid="{5FEFECB1-9B84-4B19-844D-09C1A69E94D5}"/>
    <hyperlink ref="O1814" r:id="rId6145" xr:uid="{2CEB0BBC-850F-4C0B-8392-F94D4E770D5A}"/>
    <hyperlink ref="S1814" r:id="rId6146" xr:uid="{ACBBAC17-4C83-4C3A-8267-05EBF7361A3F}"/>
    <hyperlink ref="T1814" r:id="rId6147" xr:uid="{5C50DE6A-6620-44B3-8594-AE153D4D7412}"/>
    <hyperlink ref="CA1814" r:id="rId6148" xr:uid="{24F5F107-7252-46EE-8D79-C2864951DA2F}"/>
    <hyperlink ref="CB1814" r:id="rId6149" xr:uid="{F4402513-5ED8-4A69-B774-38847FD8EB50}"/>
    <hyperlink ref="O1815" r:id="rId6150" xr:uid="{EB705484-8755-4296-BD7C-83A23EBA595C}"/>
    <hyperlink ref="S1815" r:id="rId6151" xr:uid="{39224B81-A6EE-49B0-9F47-85F31E22DC27}"/>
    <hyperlink ref="T1815" r:id="rId6152" xr:uid="{6CCEDE3D-BA42-4A79-8F02-916E8DFB5F0F}"/>
    <hyperlink ref="CA1815" r:id="rId6153" xr:uid="{0A279A68-BE2E-4055-B8C8-C1808293131F}"/>
    <hyperlink ref="CB1815" r:id="rId6154" xr:uid="{41F7B36D-F591-431E-8938-E00DFBAC3E15}"/>
    <hyperlink ref="O1816" r:id="rId6155" xr:uid="{0713A08E-813B-4B7F-9907-58113EA4F6C9}"/>
    <hyperlink ref="S1816" r:id="rId6156" xr:uid="{3371C188-BCE0-4EB7-8E5E-792E854BEB30}"/>
    <hyperlink ref="T1816" r:id="rId6157" xr:uid="{EF361590-AE65-41FC-8341-AF9D438ADA06}"/>
    <hyperlink ref="CA1816" r:id="rId6158" xr:uid="{4F74A014-39D0-453D-96FB-49E0A414B60E}"/>
    <hyperlink ref="CB1816" r:id="rId6159" xr:uid="{46BD0389-0E30-45A1-A78E-BFC75470D4CE}"/>
    <hyperlink ref="O1817" r:id="rId6160" xr:uid="{D14E9CE8-4A04-4D48-924B-8654005E3D92}"/>
    <hyperlink ref="S1817" r:id="rId6161" xr:uid="{550806DD-B18F-4C4A-BFCC-FBB42DD40522}"/>
    <hyperlink ref="T1817" r:id="rId6162" xr:uid="{0289E525-0F66-4ADE-8823-7EF6055A0F72}"/>
    <hyperlink ref="CA1817" r:id="rId6163" xr:uid="{DEA5E903-81EF-42C6-9DFB-311D685A0D44}"/>
    <hyperlink ref="CB1817" r:id="rId6164" xr:uid="{C0D58699-7B01-4A76-826C-F872389A4060}"/>
    <hyperlink ref="CD1817" r:id="rId6165" xr:uid="{78F86E86-06D8-4A0B-9F27-0F6A138CDF63}"/>
    <hyperlink ref="O1818" r:id="rId6166" xr:uid="{929CA9EA-768D-467F-AF3B-DF4333D277CB}"/>
    <hyperlink ref="S1818" r:id="rId6167" xr:uid="{F70866A6-F159-48E1-9F21-BC7D52475AFF}"/>
    <hyperlink ref="T1818" r:id="rId6168" xr:uid="{BBBB3BF1-A9D1-4913-89BC-9F4FF5F19666}"/>
    <hyperlink ref="CA1818" r:id="rId6169" xr:uid="{238CFAE0-7DCF-4918-9684-605CB502194E}"/>
    <hyperlink ref="CB1818" r:id="rId6170" xr:uid="{C4470CD5-A36F-4E02-B9D8-53BE28243CF2}"/>
    <hyperlink ref="O1819" r:id="rId6171" xr:uid="{33E562EE-8F9E-4C86-A9FB-6C4CFF503AA4}"/>
    <hyperlink ref="S1819" r:id="rId6172" xr:uid="{58F90D37-7848-416C-945F-6C5F394977F3}"/>
    <hyperlink ref="T1819" r:id="rId6173" xr:uid="{32D61ACD-DFEE-4FB4-A55A-05CF572FC130}"/>
    <hyperlink ref="CA1819" r:id="rId6174" xr:uid="{ABDB29ED-60A7-4B8D-AD6F-BFA87F54CA08}"/>
    <hyperlink ref="CB1819" r:id="rId6175" xr:uid="{07023187-8880-42A4-9A86-94D1C8A4D6C5}"/>
    <hyperlink ref="O1820" r:id="rId6176" xr:uid="{2C12BB50-37A3-405A-AD8D-904D8F0FBC11}"/>
    <hyperlink ref="S1820" r:id="rId6177" xr:uid="{A14D4449-8954-46DD-82A1-422096440E61}"/>
    <hyperlink ref="T1820" r:id="rId6178" xr:uid="{8C77A0AF-E3C2-4CF1-B303-E3916CF4EB0C}"/>
    <hyperlink ref="CA1820" r:id="rId6179" xr:uid="{D1ADD065-40D3-49F0-8B76-B5ED8198E1CF}"/>
    <hyperlink ref="CB1820" r:id="rId6180" xr:uid="{80165674-6C5B-4B51-BA20-7077561BEF7B}"/>
    <hyperlink ref="CD1820" r:id="rId6181" xr:uid="{57B18AA2-6C51-4AB5-8858-F5A492CFE5E3}"/>
    <hyperlink ref="O1821" r:id="rId6182" xr:uid="{1C43EEE5-8FE1-43C2-B247-9D729EF35B50}"/>
    <hyperlink ref="S1821" r:id="rId6183" xr:uid="{55AA68C3-7A45-45E6-9D56-743AF5681733}"/>
    <hyperlink ref="T1821" r:id="rId6184" xr:uid="{4AAFE190-7BA7-49E9-A64C-A64ECCDB425A}"/>
    <hyperlink ref="CA1821" r:id="rId6185" xr:uid="{E8D9A1CD-E4EC-4523-A9D0-3604ED061978}"/>
    <hyperlink ref="CB1821" r:id="rId6186" xr:uid="{72C0129B-9B71-4835-A4BD-4B0C5F7F4AE1}"/>
    <hyperlink ref="O1822" r:id="rId6187" xr:uid="{B40F3380-628A-4AD5-A335-67A8910C803E}"/>
    <hyperlink ref="S1822" r:id="rId6188" xr:uid="{355DA413-0E06-4467-9369-06A4B14D9908}"/>
    <hyperlink ref="T1822" r:id="rId6189" xr:uid="{86548978-4C9C-4297-8CA7-86B24EC0759C}"/>
    <hyperlink ref="CA1822" r:id="rId6190" xr:uid="{01DA653C-CBA5-4F41-BC77-4DDE9D386B64}"/>
    <hyperlink ref="CB1822" r:id="rId6191" xr:uid="{A341E515-AA15-4DF0-A2AD-1518654A4C46}"/>
    <hyperlink ref="O1823" r:id="rId6192" xr:uid="{C7DCAB64-0E76-4719-A1BC-9BA95E8E32F9}"/>
    <hyperlink ref="S1823" r:id="rId6193" xr:uid="{3AE95169-D13A-448E-9903-BD5D2388A1AA}"/>
    <hyperlink ref="T1823" r:id="rId6194" xr:uid="{109971AE-4DB4-4A18-A56C-72ED64EEC67F}"/>
    <hyperlink ref="CA1823" r:id="rId6195" xr:uid="{8ACEDCC0-253A-49EA-B1C1-3503D3B97949}"/>
    <hyperlink ref="CB1823" r:id="rId6196" xr:uid="{088FDF74-7572-4DB0-BAB2-A2C2B8081E5E}"/>
    <hyperlink ref="O1824" r:id="rId6197" xr:uid="{3A89D771-982E-420E-A2E0-861B0DA42751}"/>
    <hyperlink ref="S1824" r:id="rId6198" xr:uid="{0F9CBEF1-C2E5-465F-B978-5F00B66B51F0}"/>
    <hyperlink ref="T1824" r:id="rId6199" xr:uid="{188EEAB4-C2BD-4AC5-AF20-1A8F721A0262}"/>
    <hyperlink ref="CA1824" r:id="rId6200" xr:uid="{191EFED3-A8D7-474E-A9B7-3E342989AFF6}"/>
    <hyperlink ref="CB1824" r:id="rId6201" xr:uid="{68F3143F-8E39-4ACE-B642-57B4A2BF552D}"/>
    <hyperlink ref="O1825" r:id="rId6202" xr:uid="{0B8AD299-A705-411C-B328-F7098102DD80}"/>
    <hyperlink ref="S1825" r:id="rId6203" xr:uid="{01F97B60-0886-4CC8-BFF1-7128413F52D3}"/>
    <hyperlink ref="T1825" r:id="rId6204" xr:uid="{C6A1E631-4DC5-411E-8BD0-663D64997F45}"/>
    <hyperlink ref="CA1825" r:id="rId6205" xr:uid="{C51E0C17-C090-4148-83B7-3F9EC42899B5}"/>
    <hyperlink ref="CB1825" r:id="rId6206" xr:uid="{71055069-927F-4D4A-9C0E-F29FC97E91FB}"/>
    <hyperlink ref="O1826" r:id="rId6207" xr:uid="{250DDB5A-4C0D-42C2-BC8F-10A841D077A2}"/>
    <hyperlink ref="S1826" r:id="rId6208" xr:uid="{071743ED-4BA3-4E44-BF3C-4376CF2A8F9E}"/>
    <hyperlink ref="T1826" r:id="rId6209" xr:uid="{22EE896E-ECBC-4FFA-A2AC-98B3D48F7C1F}"/>
    <hyperlink ref="CA1826" r:id="rId6210" xr:uid="{67B61399-8401-4AD9-9E4E-97F5900BD793}"/>
    <hyperlink ref="CB1826" r:id="rId6211" xr:uid="{210E797D-8E09-46E3-AECF-C980D4BB4ABC}"/>
    <hyperlink ref="O1827" r:id="rId6212" xr:uid="{327F671C-20AE-405F-BEB4-76763651F2F3}"/>
    <hyperlink ref="S1827" r:id="rId6213" xr:uid="{A1124BA2-28F1-4C46-A1C9-AF0DC067E8FA}"/>
    <hyperlink ref="T1827" r:id="rId6214" xr:uid="{8C946A7F-6FC0-4429-9926-57B9168B60DE}"/>
    <hyperlink ref="CA1827" r:id="rId6215" xr:uid="{B217290B-913E-4B2E-8DE1-FF6432646CF5}"/>
    <hyperlink ref="CB1827" r:id="rId6216" xr:uid="{741CE260-AEB3-40A3-95E8-6718844C71F9}"/>
    <hyperlink ref="O1828" r:id="rId6217" xr:uid="{9A3FF223-BB18-4DC7-9D75-A0AE3C608576}"/>
    <hyperlink ref="S1828" r:id="rId6218" xr:uid="{6C948598-6648-4C98-A91F-03FE400037E1}"/>
    <hyperlink ref="T1828" r:id="rId6219" xr:uid="{4D02111D-18B5-43BC-B532-15AAD3CC197D}"/>
    <hyperlink ref="CA1828" r:id="rId6220" xr:uid="{F53AD38E-E02E-4281-90E2-04140355B087}"/>
    <hyperlink ref="CB1828" r:id="rId6221" xr:uid="{2A53C33A-0326-4342-BFB2-492820572C87}"/>
    <hyperlink ref="O1829" r:id="rId6222" xr:uid="{4E46AF19-5AA9-4426-8B21-C874FEFE81CA}"/>
    <hyperlink ref="S1829" r:id="rId6223" xr:uid="{D28C25C4-CE4D-4079-9656-984D7302FC05}"/>
    <hyperlink ref="T1829" r:id="rId6224" xr:uid="{4C62C43A-A3B6-4BCB-9DC8-5F13F5345FF1}"/>
    <hyperlink ref="CA1829" r:id="rId6225" xr:uid="{9A799338-E741-4640-81D2-239A0F98BAC7}"/>
    <hyperlink ref="CB1829" r:id="rId6226" xr:uid="{EB60E295-54A6-4D6A-8968-9611AC58FC45}"/>
    <hyperlink ref="CD1829" r:id="rId6227" xr:uid="{C348241A-2A83-4CDF-84CD-4B6F8AAD7D7A}"/>
    <hyperlink ref="O1830" r:id="rId6228" xr:uid="{DCC6A7D0-2FDD-4021-877E-1C985188F928}"/>
    <hyperlink ref="S1830" r:id="rId6229" xr:uid="{F9B3B5E6-180E-4AC4-95F3-573A096EC6BF}"/>
    <hyperlink ref="T1830" r:id="rId6230" xr:uid="{A2B92425-EE7B-4324-A29F-FE26834AB23E}"/>
    <hyperlink ref="CA1830" r:id="rId6231" xr:uid="{58F3DBA0-730C-47D1-B845-EFB68015F409}"/>
    <hyperlink ref="CB1830" r:id="rId6232" xr:uid="{B397C8BD-271D-4EB3-84EC-C7F08705F99E}"/>
    <hyperlink ref="O1831" r:id="rId6233" xr:uid="{F1D05C17-843D-4D92-8631-4989DE82CCDD}"/>
    <hyperlink ref="S1831" r:id="rId6234" xr:uid="{1CE930AF-324D-40A0-8111-E8A439D70961}"/>
    <hyperlink ref="T1831" r:id="rId6235" xr:uid="{F752CB50-F621-4763-8615-87F0CBF51CB6}"/>
    <hyperlink ref="CA1831" r:id="rId6236" xr:uid="{5D826B3B-C699-40A6-A6A6-0D5ED25DAE7F}"/>
    <hyperlink ref="CB1831" r:id="rId6237" xr:uid="{912E7E76-EA71-45C8-88CF-F639A4CA75D9}"/>
    <hyperlink ref="CD1831" r:id="rId6238" xr:uid="{CFC36A09-FD0C-4C2D-B1D4-81D0FEA308AA}"/>
    <hyperlink ref="O1832" r:id="rId6239" xr:uid="{BFC7DFFF-8BCF-436D-B799-842DC4892A6C}"/>
    <hyperlink ref="S1832" r:id="rId6240" xr:uid="{574F660D-B758-4F65-829A-6A2770BD8746}"/>
    <hyperlink ref="T1832" r:id="rId6241" xr:uid="{8C955558-90BB-4734-BBD6-ADFD6B21A69A}"/>
    <hyperlink ref="CA1832" r:id="rId6242" xr:uid="{1D6096B7-69C1-4B50-AB13-534EA5D0B466}"/>
    <hyperlink ref="CB1832" r:id="rId6243" xr:uid="{25B31335-8FA2-4113-ABC5-9D2EF1BD842C}"/>
    <hyperlink ref="O1833" r:id="rId6244" xr:uid="{A1C11E2A-BE4E-4172-BEFB-DBE0F6A05539}"/>
    <hyperlink ref="S1833" r:id="rId6245" xr:uid="{B90A4DAE-27BA-4E71-AD21-147813B6423F}"/>
    <hyperlink ref="T1833" r:id="rId6246" xr:uid="{25205E5B-979A-4941-8839-4F3FA8E81CA2}"/>
    <hyperlink ref="CA1833" r:id="rId6247" xr:uid="{EFC1472E-82C4-49A5-83BF-1F2D0A15C282}"/>
    <hyperlink ref="CB1833" r:id="rId6248" xr:uid="{65632E49-B4C6-4560-9169-C3E157238F51}"/>
    <hyperlink ref="O1834" r:id="rId6249" xr:uid="{EDF9AD1A-DD53-4E10-8BD1-233EF8F4085F}"/>
    <hyperlink ref="S1834" r:id="rId6250" xr:uid="{09FAEB5E-C96C-4A5E-BBD2-B37600554596}"/>
    <hyperlink ref="T1834" r:id="rId6251" xr:uid="{C398B9B1-80C3-425C-945C-6EE833065E8B}"/>
    <hyperlink ref="CA1834" r:id="rId6252" xr:uid="{342F949D-DB29-4CC6-A482-3E1A0B85FA7D}"/>
    <hyperlink ref="CB1834" r:id="rId6253" xr:uid="{C9B3C980-83CE-4269-B7DF-F10DE3E05682}"/>
    <hyperlink ref="O1835" r:id="rId6254" xr:uid="{5F4638B5-90E8-4CEE-91FA-FDB941D07699}"/>
    <hyperlink ref="S1835" r:id="rId6255" xr:uid="{EBC5B0D8-816C-4A32-B951-612679BDA206}"/>
    <hyperlink ref="T1835" r:id="rId6256" xr:uid="{CA2063CD-9D68-4FC8-AC2A-5E7024A406F1}"/>
    <hyperlink ref="CA1835" r:id="rId6257" xr:uid="{C87AA66D-3EB1-4962-9AB4-2D703249B9FC}"/>
    <hyperlink ref="CB1835" r:id="rId6258" xr:uid="{B5A52644-17F4-4112-B27D-CFE8B0281024}"/>
    <hyperlink ref="CD1835" r:id="rId6259" xr:uid="{5F05B785-E3EF-46EE-B344-D8FC31B1F034}"/>
    <hyperlink ref="O1836" r:id="rId6260" xr:uid="{C2D167E2-A929-4145-A6A9-DABC7B0F64C7}"/>
    <hyperlink ref="S1836" r:id="rId6261" xr:uid="{9D895390-F662-4E8B-8D5D-9F68F28FB43D}"/>
    <hyperlink ref="T1836" r:id="rId6262" xr:uid="{6A3ED20E-954A-4750-AD79-BF68BF0D85F4}"/>
    <hyperlink ref="CA1836" r:id="rId6263" xr:uid="{3096C7E0-083C-4955-8161-97FC7721A16D}"/>
    <hyperlink ref="CB1836" r:id="rId6264" xr:uid="{1FF25EC4-6756-4F19-B2F2-27E44AB2080A}"/>
    <hyperlink ref="O1837" r:id="rId6265" xr:uid="{FE009B13-365C-4982-AFD3-C0BC9130C53A}"/>
    <hyperlink ref="S1837" r:id="rId6266" xr:uid="{0CEA208C-98CC-4CCB-A4CC-C44065B90F1F}"/>
    <hyperlink ref="T1837" r:id="rId6267" xr:uid="{1C69B2BD-AD18-4503-AD59-9F5FBA345AEA}"/>
    <hyperlink ref="CA1837" r:id="rId6268" xr:uid="{BAC639FD-2AF2-4FC2-ADF9-8BB5A5F4656F}"/>
    <hyperlink ref="CB1837" r:id="rId6269" xr:uid="{AA15EC8A-B961-4F75-A420-9A4D5CE9CC9F}"/>
    <hyperlink ref="O1838" r:id="rId6270" xr:uid="{EC7FEB98-BA89-4A68-A112-372A2072D944}"/>
    <hyperlink ref="S1838" r:id="rId6271" xr:uid="{DFF2A7E0-48AA-4DD9-925E-E44084DC4A8F}"/>
    <hyperlink ref="T1838" r:id="rId6272" xr:uid="{1573437A-C76B-4A5C-9A72-0EC0F52AF6D3}"/>
    <hyperlink ref="CA1838" r:id="rId6273" xr:uid="{6A0C23FC-9A7F-4F85-955E-04CA3DB3374B}"/>
    <hyperlink ref="CB1838" r:id="rId6274" xr:uid="{5EECD75D-99B3-4D25-8467-F56839D53B79}"/>
    <hyperlink ref="O1839" r:id="rId6275" xr:uid="{58B3CF70-BC78-42FF-866D-7957654B6D05}"/>
    <hyperlink ref="S1839" r:id="rId6276" xr:uid="{8E50D792-0D2C-47EE-8F01-A54B9E299522}"/>
    <hyperlink ref="CA1839" r:id="rId6277" xr:uid="{25A468D7-AF5E-4F7F-B120-AAB77E16A28D}"/>
    <hyperlink ref="CD1839" r:id="rId6278" xr:uid="{70465652-9BAD-4E3C-B322-692808C7FE42}"/>
    <hyperlink ref="O1840" r:id="rId6279" xr:uid="{2107941A-CDC8-434E-9ECD-40936EEBB742}"/>
    <hyperlink ref="S1840" r:id="rId6280" xr:uid="{79B6ED9A-C66E-482C-BB90-55ED14B88DA9}"/>
    <hyperlink ref="T1840" r:id="rId6281" xr:uid="{ABA38FC5-8004-4E4A-BF5A-66AFA614178B}"/>
    <hyperlink ref="CA1840" r:id="rId6282" xr:uid="{F1528762-7709-4C95-8A21-3A67B8C06191}"/>
    <hyperlink ref="CB1840" r:id="rId6283" xr:uid="{21427D9A-17BE-45E4-B1A5-18D53A9A8B4F}"/>
    <hyperlink ref="O1841" r:id="rId6284" xr:uid="{DF45975A-219E-4975-9DB0-0A10AEFC1290}"/>
    <hyperlink ref="S1841" r:id="rId6285" xr:uid="{1EC41791-ABA6-4238-B27C-21237C93F967}"/>
    <hyperlink ref="T1841" r:id="rId6286" xr:uid="{2408D7E7-68A1-482C-89CB-CFBCB2A8431C}"/>
    <hyperlink ref="CA1841" r:id="rId6287" xr:uid="{F12ED290-1B10-461D-A918-49F790BF3512}"/>
    <hyperlink ref="CB1841" r:id="rId6288" xr:uid="{46546F01-496A-4346-B9BF-FB02BF22AF2C}"/>
    <hyperlink ref="O1842" r:id="rId6289" xr:uid="{2B7EA14A-BA44-4076-9620-F7CEBCEAFBFA}"/>
    <hyperlink ref="S1842" r:id="rId6290" xr:uid="{C89B62EF-DC4C-452B-8710-0B322DDD3CBC}"/>
    <hyperlink ref="T1842" r:id="rId6291" xr:uid="{5603FF7A-0B38-49DA-8DF2-8E622808CA03}"/>
    <hyperlink ref="CA1842" r:id="rId6292" xr:uid="{C2A3A489-E1A1-473E-9AA3-F76DA3426DE4}"/>
    <hyperlink ref="CB1842" r:id="rId6293" xr:uid="{013E9ED8-DA92-43D8-B316-2754B17752AC}"/>
    <hyperlink ref="CD1842" r:id="rId6294" xr:uid="{656E17FA-8166-49A7-B892-A227555B8E2A}"/>
    <hyperlink ref="O1843" r:id="rId6295" xr:uid="{1C9AC708-D289-4974-BEFC-D7F783E6876A}"/>
    <hyperlink ref="S1843" r:id="rId6296" xr:uid="{6426065C-BF44-4942-BD41-B9B729F4C669}"/>
    <hyperlink ref="T1843" r:id="rId6297" xr:uid="{C94070C8-EF84-43E4-96D1-604519AB0D95}"/>
    <hyperlink ref="CA1843" r:id="rId6298" xr:uid="{1FACD45E-C933-4BB8-9BA8-6331C0EE3391}"/>
    <hyperlink ref="CB1843" r:id="rId6299" xr:uid="{3CDF476B-2772-43F5-B05C-CA7F9CCBFEA2}"/>
    <hyperlink ref="O1844" r:id="rId6300" xr:uid="{E782423F-338E-4A4A-BEB8-A05D2F9D0E9D}"/>
    <hyperlink ref="S1844" r:id="rId6301" xr:uid="{B000AA53-1EBA-47E3-BEAC-5A8CFC06C58A}"/>
    <hyperlink ref="T1844" r:id="rId6302" xr:uid="{BA0B0A16-B8F8-42E2-BC8E-C8C09778A70E}"/>
    <hyperlink ref="CA1844" r:id="rId6303" xr:uid="{CD254CB2-C594-4611-9BC1-73CE0DB4BB9D}"/>
    <hyperlink ref="CB1844" r:id="rId6304" xr:uid="{F847533A-2FCD-4627-B174-A5CF25D60205}"/>
    <hyperlink ref="O1845" r:id="rId6305" xr:uid="{A99DCE25-BAFB-4062-A137-EC7533E6D0F2}"/>
    <hyperlink ref="S1845" r:id="rId6306" xr:uid="{C26422DB-97F6-4684-AD9A-208C390776D1}"/>
    <hyperlink ref="T1845" r:id="rId6307" xr:uid="{8C4A9D49-007F-4473-978D-36B90E4DCB83}"/>
    <hyperlink ref="CA1845" r:id="rId6308" xr:uid="{1831B9A5-81F5-4EE4-A434-20452506547C}"/>
    <hyperlink ref="CB1845" r:id="rId6309" xr:uid="{D43189CD-A79C-42DA-AA93-882D5111D76C}"/>
    <hyperlink ref="O1846" r:id="rId6310" xr:uid="{5199C854-8742-44DF-A4F8-7B4A9FD4B066}"/>
    <hyperlink ref="S1846" r:id="rId6311" xr:uid="{F8D72822-FF5D-4F46-B0E9-C5AFF0FAAA27}"/>
    <hyperlink ref="T1846" r:id="rId6312" xr:uid="{240A1F02-2579-4CCB-B3A9-0C60D43FEC5E}"/>
    <hyperlink ref="CA1846" r:id="rId6313" xr:uid="{7A9E0D64-BA49-413A-9130-CC89E64A573A}"/>
    <hyperlink ref="CB1846" r:id="rId6314" xr:uid="{AC5FA052-0F32-4334-8092-535032A1BA06}"/>
    <hyperlink ref="O1847" r:id="rId6315" xr:uid="{F6F2F5EC-A857-486B-A0E9-3D73128B288B}"/>
    <hyperlink ref="S1847" r:id="rId6316" xr:uid="{5D2F9465-DE32-4884-9206-73DD3EE02A37}"/>
    <hyperlink ref="T1847" r:id="rId6317" xr:uid="{3230DF16-93E6-46B3-AF95-BBE9AC254B3A}"/>
    <hyperlink ref="CA1847" r:id="rId6318" xr:uid="{3E4A0DC1-194D-4FA9-9F75-D8EAC352642F}"/>
    <hyperlink ref="CB1847" r:id="rId6319" xr:uid="{98F527A6-94DE-4CB0-8A34-90D6F66B2F12}"/>
    <hyperlink ref="O1848" r:id="rId6320" xr:uid="{15DB159B-5511-4B5F-BE93-1B9CFB971FBC}"/>
    <hyperlink ref="S1848" r:id="rId6321" xr:uid="{6BB0711A-B065-44D4-B606-A1C52FEC6293}"/>
    <hyperlink ref="T1848" r:id="rId6322" xr:uid="{1D6C936A-2BE4-48EE-A612-7BE5103395AF}"/>
    <hyperlink ref="CA1848" r:id="rId6323" xr:uid="{D0DDF739-7BB9-45A5-9C22-BEE92C90F97E}"/>
    <hyperlink ref="CB1848" r:id="rId6324" xr:uid="{52EC3870-0FA2-4663-BBEB-2D45712BB495}"/>
    <hyperlink ref="O1849" r:id="rId6325" xr:uid="{AD635D81-0B07-4B83-A93B-4A3167997F20}"/>
    <hyperlink ref="S1849" r:id="rId6326" xr:uid="{4AD6E076-841C-425A-9259-4F115374C218}"/>
    <hyperlink ref="T1849" r:id="rId6327" xr:uid="{051FE16A-D94A-48D9-832E-D01A615BB418}"/>
    <hyperlink ref="CA1849" r:id="rId6328" xr:uid="{6B7BEB90-C0BE-4446-B0EF-608DB4447C2D}"/>
    <hyperlink ref="CB1849" r:id="rId6329" xr:uid="{1AE18298-B7A2-4A93-B3D1-DDA6131748E4}"/>
    <hyperlink ref="O1850" r:id="rId6330" xr:uid="{6206DC2D-790A-4480-A430-339B0D82E582}"/>
    <hyperlink ref="S1850" r:id="rId6331" xr:uid="{D0472502-3129-40F5-9708-165C0E812F62}"/>
    <hyperlink ref="T1850" r:id="rId6332" xr:uid="{5857DE25-2B63-486D-8650-006B0CF36F2B}"/>
    <hyperlink ref="CA1850" r:id="rId6333" xr:uid="{A9F63AE7-5318-4CC0-A228-A9E740CF7973}"/>
    <hyperlink ref="CB1850" r:id="rId6334" xr:uid="{81C9A312-D6AB-4F60-9FFD-85E898F78EDE}"/>
    <hyperlink ref="O1851" r:id="rId6335" xr:uid="{1031D3F8-EA9E-4BA9-8707-8F87B7C824EA}"/>
    <hyperlink ref="S1851" r:id="rId6336" xr:uid="{5DEBC883-E4C0-4924-835F-57F133953EE7}"/>
    <hyperlink ref="T1851" r:id="rId6337" xr:uid="{0548601C-2AD6-4C52-A3F2-2C3F83BD8E75}"/>
    <hyperlink ref="CA1851" r:id="rId6338" xr:uid="{2EC3F21F-34B3-4F85-900C-EAAA54F82C6F}"/>
    <hyperlink ref="CB1851" r:id="rId6339" xr:uid="{1C2D5CE8-B509-4BE9-9F2F-5E4CECFBB207}"/>
    <hyperlink ref="O1852" r:id="rId6340" xr:uid="{047B9A3A-E774-4F7C-970C-9A232D1B8931}"/>
    <hyperlink ref="S1852" r:id="rId6341" xr:uid="{5D5CE5BC-16BD-472F-8DB4-395225C96645}"/>
    <hyperlink ref="T1852" r:id="rId6342" xr:uid="{AF4DC67D-4519-4B5D-BCF0-C5E4E11F5156}"/>
    <hyperlink ref="CA1852" r:id="rId6343" xr:uid="{355D3AAC-5ABD-44CD-9F72-DA8753FC821C}"/>
    <hyperlink ref="CB1852" r:id="rId6344" xr:uid="{3AFACDDD-F174-4AEF-80C7-34742B29FB6B}"/>
    <hyperlink ref="CD1852" r:id="rId6345" xr:uid="{11074283-87A3-471B-AC0F-B5112C11198B}"/>
    <hyperlink ref="O1853" r:id="rId6346" xr:uid="{CB0BA95E-2D88-4FD4-B869-0E06B94FD4D9}"/>
    <hyperlink ref="S1853" r:id="rId6347" xr:uid="{ABCC5207-33BC-4A4C-96A3-05EC7F32A693}"/>
    <hyperlink ref="T1853" r:id="rId6348" xr:uid="{6271DA45-61E7-4EA4-BE79-A4F1EE542121}"/>
    <hyperlink ref="CA1853" r:id="rId6349" xr:uid="{0C742900-286C-4B48-9544-745CDBEDE924}"/>
    <hyperlink ref="CB1853" r:id="rId6350" xr:uid="{A62D5B2D-758D-4C1B-B8C7-AF800F36C2AC}"/>
    <hyperlink ref="O1854" r:id="rId6351" xr:uid="{71759171-073E-4119-A174-DB95FF7CA62A}"/>
    <hyperlink ref="S1854" r:id="rId6352" xr:uid="{4F3C2F2A-FD16-4E41-97A8-CB0CC1852185}"/>
    <hyperlink ref="T1854" r:id="rId6353" xr:uid="{FAE20EE2-83AC-41DB-B3F3-8C7F58E53356}"/>
    <hyperlink ref="CA1854" r:id="rId6354" xr:uid="{01812E60-8F4E-4B52-AC3F-C9C073CE65F8}"/>
    <hyperlink ref="CB1854" r:id="rId6355" xr:uid="{82D2F407-91EE-4D44-ABBC-B73228FD2036}"/>
    <hyperlink ref="O1855" r:id="rId6356" xr:uid="{429FD87B-FF95-4462-883B-68B77E6052A3}"/>
    <hyperlink ref="S1855" r:id="rId6357" xr:uid="{6916C402-934A-4DB4-B5B8-907ADFEEE4FD}"/>
    <hyperlink ref="T1855" r:id="rId6358" xr:uid="{C64AEAED-EF35-4BEF-934D-AC43B7ABF9AD}"/>
    <hyperlink ref="CA1855" r:id="rId6359" xr:uid="{A426F53B-9638-4B01-9012-E1839942CDDD}"/>
    <hyperlink ref="CB1855" r:id="rId6360" xr:uid="{AE527AFD-455A-4890-8051-619D43ADAE44}"/>
    <hyperlink ref="O1856" r:id="rId6361" xr:uid="{39C991C5-23AF-4C1D-BD7B-2B3FD78B2451}"/>
    <hyperlink ref="S1856" r:id="rId6362" xr:uid="{9E5BC012-B8DB-41DF-B793-8FC214246740}"/>
    <hyperlink ref="T1856" r:id="rId6363" xr:uid="{2D589116-6815-410B-A21B-4771B06A287B}"/>
    <hyperlink ref="CA1856" r:id="rId6364" xr:uid="{D01354DF-571A-4204-8893-806AA3DD7936}"/>
    <hyperlink ref="CB1856" r:id="rId6365" xr:uid="{D4F1014A-431A-4FEB-8DA6-77D22C73573E}"/>
    <hyperlink ref="O1857" r:id="rId6366" xr:uid="{245A3651-F9CA-4801-9B8A-55A9B81963D2}"/>
    <hyperlink ref="S1857" r:id="rId6367" xr:uid="{A2340981-816C-4AFF-BC77-241F52CDCD03}"/>
    <hyperlink ref="T1857" r:id="rId6368" xr:uid="{DB1D8990-AC16-460E-BA89-77D23BDB4FE5}"/>
    <hyperlink ref="CA1857" r:id="rId6369" xr:uid="{41DFFCD6-D2DD-4FD9-B18D-121D94CBE269}"/>
    <hyperlink ref="CB1857" r:id="rId6370" xr:uid="{922AF3D1-2756-4251-8074-9BC167664E07}"/>
    <hyperlink ref="O1858" r:id="rId6371" xr:uid="{7F5AA190-D1B8-47F3-8E7B-67F9B1633E23}"/>
    <hyperlink ref="S1858" r:id="rId6372" xr:uid="{74368367-FB1C-4CAF-8CC6-8CBCF65A23AB}"/>
    <hyperlink ref="T1858" r:id="rId6373" xr:uid="{133E7098-9116-433F-A30C-2DC4CED84036}"/>
    <hyperlink ref="CA1858" r:id="rId6374" xr:uid="{EB1BE709-9AF3-4B96-A6A8-9871ED5EC4EC}"/>
    <hyperlink ref="CB1858" r:id="rId6375" xr:uid="{9905974D-C026-4070-A6A7-09BBB783E447}"/>
    <hyperlink ref="O1859" r:id="rId6376" xr:uid="{EDEEE29A-A270-4DD7-A17E-98C25D248710}"/>
    <hyperlink ref="S1859" r:id="rId6377" xr:uid="{8E7B4DAE-72BC-469B-9EAC-ABA731D97236}"/>
    <hyperlink ref="T1859" r:id="rId6378" xr:uid="{BF832392-7F6A-4E23-A7CB-E5ABD8EC5DA7}"/>
    <hyperlink ref="CA1859" r:id="rId6379" xr:uid="{68E40D34-FDC7-4627-94F3-ED61DF51828A}"/>
    <hyperlink ref="CB1859" r:id="rId6380" xr:uid="{4301C12E-5573-47F6-91C7-841A719F78D8}"/>
    <hyperlink ref="O1860" r:id="rId6381" xr:uid="{B65DF05D-E04D-47CB-8970-50822797D7A5}"/>
    <hyperlink ref="S1860" r:id="rId6382" xr:uid="{7FE29B3C-223E-4EA3-A42A-42FEE147D413}"/>
    <hyperlink ref="T1860" r:id="rId6383" xr:uid="{02958932-A65B-4B0C-8950-207F93C8B9A3}"/>
    <hyperlink ref="CA1860" r:id="rId6384" xr:uid="{968DFE52-9755-4AD1-B6C7-AC94046739A0}"/>
    <hyperlink ref="CB1860" r:id="rId6385" xr:uid="{B7DF283A-7E47-43CD-8A31-C0E089AF60F5}"/>
    <hyperlink ref="O1861" r:id="rId6386" xr:uid="{0CEC35B6-3E51-4F4C-99BB-FF4F122FD36D}"/>
    <hyperlink ref="S1861" r:id="rId6387" xr:uid="{315DC3B4-E136-4719-8B36-263878A219C3}"/>
    <hyperlink ref="T1861" r:id="rId6388" xr:uid="{0A1A73F6-78F8-42F3-9B60-9BF971B5ECA4}"/>
    <hyperlink ref="CA1861" r:id="rId6389" xr:uid="{E1A5B76A-1702-409B-8FCE-71EA11C4B2E6}"/>
    <hyperlink ref="CB1861" r:id="rId6390" xr:uid="{134C9BAC-FFE2-4887-A0E8-9900E8648519}"/>
    <hyperlink ref="O1862" r:id="rId6391" xr:uid="{F0D90CF7-D85B-40B1-BD88-E68A8B3955ED}"/>
    <hyperlink ref="S1862" r:id="rId6392" xr:uid="{50EA0655-507C-4E4E-AE6D-DC4862292CE3}"/>
    <hyperlink ref="T1862" r:id="rId6393" xr:uid="{4C5A966D-1BF1-48E1-A424-2547CC50C360}"/>
    <hyperlink ref="CA1862" r:id="rId6394" xr:uid="{7D5AAF86-F178-44F8-80F3-7FA5DB49FCB8}"/>
    <hyperlink ref="CB1862" r:id="rId6395" xr:uid="{E1D8D7BA-C602-4C95-8F82-262056E224BF}"/>
    <hyperlink ref="O1863" r:id="rId6396" xr:uid="{27C59363-34F4-4FE2-AEF7-936D3063425D}"/>
    <hyperlink ref="S1863" r:id="rId6397" xr:uid="{6FB30D2E-466D-4BC1-AFAC-98D37E4A0B02}"/>
    <hyperlink ref="T1863" r:id="rId6398" xr:uid="{FAA75F19-3CA1-43B6-B7C9-70DDD15D4194}"/>
    <hyperlink ref="CA1863" r:id="rId6399" xr:uid="{385CE4A4-4658-4C89-B4D8-98C2C83F8EBA}"/>
    <hyperlink ref="CB1863" r:id="rId6400" xr:uid="{57EB4439-58D9-46B1-AC5B-30FEEFF7193B}"/>
    <hyperlink ref="O1864" r:id="rId6401" xr:uid="{FE195BF8-9186-48DF-A55B-A8E30CB4CE3B}"/>
    <hyperlink ref="S1864" r:id="rId6402" xr:uid="{31BE8C7F-CF2E-4CCB-9398-409F269F38EC}"/>
    <hyperlink ref="T1864" r:id="rId6403" xr:uid="{F35E7D9D-92C7-4EDC-A853-EB527EC3BF33}"/>
    <hyperlink ref="CA1864" r:id="rId6404" xr:uid="{D6BBDD78-76DA-4097-8019-488B465EEAA9}"/>
    <hyperlink ref="CB1864" r:id="rId6405" xr:uid="{1E1653AA-AD96-45C5-B54E-67D440D15891}"/>
    <hyperlink ref="O1865" r:id="rId6406" xr:uid="{A92FE3E8-4D3D-4E98-8EF1-2667D45B60BD}"/>
    <hyperlink ref="S1865" r:id="rId6407" xr:uid="{0059116F-1920-473E-B8FF-534571794424}"/>
    <hyperlink ref="T1865" r:id="rId6408" xr:uid="{67FF4089-BDC0-4CC1-8A6B-E1A7B4C8B999}"/>
    <hyperlink ref="CA1865" r:id="rId6409" xr:uid="{26671F48-59F9-4F97-93F4-CA4C98BA87C2}"/>
    <hyperlink ref="CB1865" r:id="rId6410" xr:uid="{9B5E51C6-7FCF-4447-B31B-D8F7FA0EE996}"/>
    <hyperlink ref="O1866" r:id="rId6411" xr:uid="{51E1E620-3F0A-4731-879A-AE89E3162C0E}"/>
    <hyperlink ref="S1866" r:id="rId6412" xr:uid="{978AA401-F5BA-4B96-AB56-22AE54651CB8}"/>
    <hyperlink ref="T1866" r:id="rId6413" xr:uid="{53ADA0BA-A6EE-4026-A4A0-6DA80825FEB3}"/>
    <hyperlink ref="CA1866" r:id="rId6414" xr:uid="{15A86656-80AA-45D5-8730-FD439313782F}"/>
    <hyperlink ref="CB1866" r:id="rId6415" xr:uid="{0A69CA82-EE1D-4900-B40B-4BCCFD1DE39F}"/>
    <hyperlink ref="O1867" r:id="rId6416" xr:uid="{D7E61383-5D45-4A80-86F4-2EDCE349A4DF}"/>
    <hyperlink ref="S1867" r:id="rId6417" xr:uid="{3CF7664D-7AD9-4E73-AC7C-7AA208B1BED3}"/>
    <hyperlink ref="T1867" r:id="rId6418" xr:uid="{A4863B37-567A-4756-AAD2-CD54AD52A8EE}"/>
    <hyperlink ref="CA1867" r:id="rId6419" xr:uid="{8A20C3B5-F8BD-4F3B-A010-0A96F6C0C656}"/>
    <hyperlink ref="CB1867" r:id="rId6420" xr:uid="{E38B8A05-F5FA-4AF8-BADA-47CDA3664F8E}"/>
    <hyperlink ref="O1868" r:id="rId6421" xr:uid="{7B852376-D542-4722-85B8-C87B27F03037}"/>
    <hyperlink ref="S1868" r:id="rId6422" xr:uid="{3E25C1CC-69AF-4849-B574-346AE1080B23}"/>
    <hyperlink ref="T1868" r:id="rId6423" xr:uid="{0C721F45-177C-40FE-888D-F49C2DC98C70}"/>
    <hyperlink ref="CA1868" r:id="rId6424" xr:uid="{D277E0E5-3B7F-4DA0-AC06-13D3C7325C75}"/>
    <hyperlink ref="CB1868" r:id="rId6425" xr:uid="{E4CC0230-6942-44E6-88EB-B47EBB431BC2}"/>
    <hyperlink ref="O1869" r:id="rId6426" xr:uid="{E0C42BE2-35E5-4743-9873-24BA844B5725}"/>
    <hyperlink ref="S1869" r:id="rId6427" xr:uid="{C2649D89-372E-4BF1-AFF3-13BBC2E1AA7A}"/>
    <hyperlink ref="T1869" r:id="rId6428" xr:uid="{978DE737-33B2-47E8-BE85-ACBF191FE957}"/>
    <hyperlink ref="CA1869" r:id="rId6429" xr:uid="{68ADE16A-A086-4F3C-9E2D-649A47E2E833}"/>
    <hyperlink ref="CB1869" r:id="rId6430" xr:uid="{D09B2CD5-DF3E-49B0-A4B3-DE1671E6E54B}"/>
    <hyperlink ref="O1870" r:id="rId6431" xr:uid="{7086C034-AAC7-4CE1-B0EF-B482F7D438EB}"/>
    <hyperlink ref="S1870" r:id="rId6432" xr:uid="{6D9FB91B-5532-4B61-B270-73608DB24925}"/>
    <hyperlink ref="T1870" r:id="rId6433" xr:uid="{06F9ACD1-9263-4E61-BF1F-C856FF66F950}"/>
    <hyperlink ref="CA1870" r:id="rId6434" xr:uid="{B2EA6EFB-EC4F-4248-A104-2B8207FBAECF}"/>
    <hyperlink ref="CB1870" r:id="rId6435" xr:uid="{A3437D8B-7687-446A-861E-5DD6F5FCD060}"/>
    <hyperlink ref="CD1870" r:id="rId6436" xr:uid="{94CE2D0A-75F6-4E7D-A8D8-3A7937A20B0C}"/>
    <hyperlink ref="O1871" r:id="rId6437" xr:uid="{1A3F07DC-DA8E-454B-8784-4348C6729DA7}"/>
    <hyperlink ref="S1871" r:id="rId6438" xr:uid="{EC3C3C23-423F-4AFD-8C10-6507A8371613}"/>
    <hyperlink ref="T1871" r:id="rId6439" xr:uid="{6C0E9D3A-44FA-431E-942A-928AC7B91EF0}"/>
    <hyperlink ref="CA1871" r:id="rId6440" xr:uid="{CE51501E-0F18-47F7-B81F-12A14903056B}"/>
    <hyperlink ref="CB1871" r:id="rId6441" xr:uid="{FC241258-6C9E-4FB0-9DB6-B7B798C0DDA8}"/>
    <hyperlink ref="O1872" r:id="rId6442" xr:uid="{DEA48582-C4CF-4D83-AA6E-49CF428BCE01}"/>
    <hyperlink ref="S1872" r:id="rId6443" xr:uid="{01A199B7-BD59-4521-B54E-247445AD3081}"/>
    <hyperlink ref="T1872" r:id="rId6444" xr:uid="{0874B287-24F1-49F2-8F51-D03ED63D9007}"/>
    <hyperlink ref="CA1872" r:id="rId6445" xr:uid="{3A3E0EE0-DE92-42C4-9B59-6A7E5D159E56}"/>
    <hyperlink ref="CB1872" r:id="rId6446" xr:uid="{F715E987-1F67-40DA-A643-89C7B645F389}"/>
    <hyperlink ref="O1873" r:id="rId6447" xr:uid="{B8AA167E-6A4F-47B8-B36A-BEE7FB72D9C3}"/>
    <hyperlink ref="S1873" r:id="rId6448" xr:uid="{B465443F-A95D-4EF8-A55D-139ADA945C42}"/>
    <hyperlink ref="T1873" r:id="rId6449" xr:uid="{C5C5A3B8-52F6-4C3C-9B8D-255676224E86}"/>
    <hyperlink ref="CA1873" r:id="rId6450" xr:uid="{E4861A8D-8167-4FEA-B729-E7A420F12F10}"/>
    <hyperlink ref="CB1873" r:id="rId6451" xr:uid="{9D831B24-3152-4F1B-A47F-A21F9C5B89BB}"/>
    <hyperlink ref="CD1873" r:id="rId6452" xr:uid="{E2470548-90D4-4EE9-AA9F-2E4CB6F7FD88}"/>
    <hyperlink ref="O1874" r:id="rId6453" xr:uid="{12DC9E79-31D2-4E5E-B916-B9F2E3ADDF16}"/>
    <hyperlink ref="S1874" r:id="rId6454" xr:uid="{A84D28B8-3946-4417-A342-D7AFF220A797}"/>
    <hyperlink ref="T1874" r:id="rId6455" xr:uid="{FABEF851-68E2-4FA6-89F6-458563DFAB6F}"/>
    <hyperlink ref="CA1874" r:id="rId6456" xr:uid="{8336FD7A-E680-4F28-B85A-7D8E155302FB}"/>
    <hyperlink ref="CB1874" r:id="rId6457" xr:uid="{44E3F9CE-8B7A-4F75-8779-F8843DEFEFA9}"/>
    <hyperlink ref="O1875" r:id="rId6458" xr:uid="{5B83646F-40EC-4E86-B0D4-53EF0E2F661C}"/>
    <hyperlink ref="S1875" r:id="rId6459" xr:uid="{9D4F1DB4-1BC8-4FD2-B2BB-08DBDFD6A524}"/>
    <hyperlink ref="T1875" r:id="rId6460" xr:uid="{ED4B0AD8-F631-4664-B194-9E8DC0B700F2}"/>
    <hyperlink ref="CA1875" r:id="rId6461" xr:uid="{DE9FFED4-EDCA-4B3C-8236-7C200A4FAEA0}"/>
    <hyperlink ref="CB1875" r:id="rId6462" xr:uid="{4578432C-C224-46F8-A329-C4650EC702AD}"/>
    <hyperlink ref="O1876" r:id="rId6463" xr:uid="{ED3C9F1E-B406-4F9C-84E9-7358C106F995}"/>
    <hyperlink ref="S1876" r:id="rId6464" xr:uid="{1C3D9662-CE9E-40E0-8CAB-BBF42D550AAF}"/>
    <hyperlink ref="T1876" r:id="rId6465" xr:uid="{1CB94A7E-7807-4D0E-8941-D325155AC59B}"/>
    <hyperlink ref="CA1876" r:id="rId6466" xr:uid="{AE6DA735-D2BB-4C38-9AF0-4E6D650A1860}"/>
    <hyperlink ref="CB1876" r:id="rId6467" xr:uid="{DE5B633E-E7DC-45D0-BB80-D3975237904B}"/>
    <hyperlink ref="O1877" r:id="rId6468" xr:uid="{B33D83AB-E2C1-4226-A292-BF5135509FE4}"/>
    <hyperlink ref="S1877" r:id="rId6469" xr:uid="{574034DE-8456-468B-90E0-D0EE8BC74B52}"/>
    <hyperlink ref="T1877" r:id="rId6470" xr:uid="{E1A7B250-C9A7-49F7-AB93-80CB71E8A866}"/>
    <hyperlink ref="CA1877" r:id="rId6471" xr:uid="{28E74690-2638-434F-A1FB-9A848321429E}"/>
    <hyperlink ref="CB1877" r:id="rId6472" xr:uid="{87DB579B-033A-445A-A513-9D6C6FE758AB}"/>
    <hyperlink ref="CD1877" r:id="rId6473" xr:uid="{5E8184D8-B740-46B4-9380-9ADA7DCBA4D0}"/>
    <hyperlink ref="O1878" r:id="rId6474" xr:uid="{A4F32BBC-2388-4685-918E-E0204E247B65}"/>
    <hyperlink ref="S1878" r:id="rId6475" xr:uid="{90F65EE1-0959-4282-B1C4-3B6A9F2B96E4}"/>
    <hyperlink ref="T1878" r:id="rId6476" xr:uid="{9A3F272A-3D9E-4DE3-9507-7424C1024BC5}"/>
    <hyperlink ref="CA1878" r:id="rId6477" xr:uid="{AA1F98FC-F328-4C7C-BABF-85E743E7FC45}"/>
    <hyperlink ref="CB1878" r:id="rId6478" xr:uid="{84752CB8-425E-4B31-ADFF-365DEDFF507F}"/>
    <hyperlink ref="O1879" r:id="rId6479" xr:uid="{E03FDDB5-E06D-45E5-B0F0-A076A3D9CD64}"/>
    <hyperlink ref="S1879" r:id="rId6480" xr:uid="{8E70FCAB-70DE-4846-8EAD-82F9542266C1}"/>
    <hyperlink ref="T1879" r:id="rId6481" xr:uid="{AB5A649A-DB61-4DB1-A872-2D6C46D2AAD3}"/>
    <hyperlink ref="CA1879" r:id="rId6482" xr:uid="{CC74FEA1-2CB1-487F-933D-E58B38ECDC3E}"/>
    <hyperlink ref="CB1879" r:id="rId6483" xr:uid="{4B660025-32D1-4F47-ABDF-BFFCC164F931}"/>
    <hyperlink ref="O1880" r:id="rId6484" xr:uid="{4724E4F3-B786-405B-B210-2AACA6338457}"/>
    <hyperlink ref="S1880" r:id="rId6485" xr:uid="{C03A9BC7-3900-4138-AFD9-F43123A09D06}"/>
    <hyperlink ref="T1880" r:id="rId6486" xr:uid="{004F794A-F5AA-4B94-B61D-2815FBDAD42F}"/>
    <hyperlink ref="CA1880" r:id="rId6487" xr:uid="{412A9C8F-334F-4BA6-9161-B6EE805268CD}"/>
    <hyperlink ref="CB1880" r:id="rId6488" xr:uid="{E41D1E8A-F94A-4FE6-9790-057CAF794EBE}"/>
    <hyperlink ref="O1881" r:id="rId6489" xr:uid="{38339807-E670-4B77-BAD1-14AC9C2712E5}"/>
    <hyperlink ref="S1881" r:id="rId6490" xr:uid="{3AB444D0-77F2-4D9B-BA04-266BD961B5E9}"/>
    <hyperlink ref="T1881" r:id="rId6491" xr:uid="{94584159-7564-4238-A5C7-4E45860413F0}"/>
    <hyperlink ref="CA1881" r:id="rId6492" xr:uid="{2085374D-7011-4721-BE69-F1ED00D1B9FC}"/>
    <hyperlink ref="CB1881" r:id="rId6493" xr:uid="{FFBEAA8B-DCF6-49DC-A6D4-5DC37F4ABD44}"/>
    <hyperlink ref="O1882" r:id="rId6494" xr:uid="{5395FEE3-61ED-4360-85B8-225651328AF2}"/>
    <hyperlink ref="S1882" r:id="rId6495" xr:uid="{FF987EE1-CF29-4329-B546-811AC261A73C}"/>
    <hyperlink ref="T1882" r:id="rId6496" xr:uid="{7CB6BC94-69FB-4AAA-90FB-8DEECDA71F84}"/>
    <hyperlink ref="CA1882" r:id="rId6497" xr:uid="{0D15E246-9F5C-484E-AB0E-DA4D69CEA490}"/>
    <hyperlink ref="CB1882" r:id="rId6498" xr:uid="{20A2EF7B-A6C0-4848-AB2A-968380070372}"/>
    <hyperlink ref="O1883" r:id="rId6499" xr:uid="{57401593-3FED-4055-BC44-3C04222DAC38}"/>
    <hyperlink ref="S1883" r:id="rId6500" xr:uid="{14A36507-7D32-4301-9788-7C3E418A222E}"/>
    <hyperlink ref="T1883" r:id="rId6501" xr:uid="{4091903E-1811-454F-B943-C2147A8401CA}"/>
    <hyperlink ref="CA1883" r:id="rId6502" xr:uid="{5A011B59-2701-4915-BA33-2402E393083D}"/>
    <hyperlink ref="CB1883" r:id="rId6503" xr:uid="{843C8F07-DFA1-4713-A187-26C0EECEA0ED}"/>
    <hyperlink ref="O1884" r:id="rId6504" xr:uid="{FB532337-F099-4792-9E96-91AF70D1FBA7}"/>
    <hyperlink ref="S1884" r:id="rId6505" xr:uid="{035D259D-84A1-48CF-8395-23CE1B72D9AC}"/>
    <hyperlink ref="T1884" r:id="rId6506" xr:uid="{EEF83896-7DF4-4E0E-8657-B57833EB7686}"/>
    <hyperlink ref="CA1884" r:id="rId6507" xr:uid="{2877D65B-53C1-4E03-8685-6BC4446EC3EA}"/>
    <hyperlink ref="CB1884" r:id="rId6508" xr:uid="{9938F624-6F76-4B72-B272-D725E25991EB}"/>
    <hyperlink ref="O1885" r:id="rId6509" xr:uid="{13813CC6-C05C-43C0-92F2-68B4FB256B9F}"/>
    <hyperlink ref="S1885" r:id="rId6510" xr:uid="{E379D5A8-0445-4091-BB92-C6A11E7CECDB}"/>
    <hyperlink ref="T1885" r:id="rId6511" xr:uid="{AFA37209-1278-4DF5-B3C0-C1247AEBD587}"/>
    <hyperlink ref="CA1885" r:id="rId6512" xr:uid="{9D27CDD0-242C-4F15-9103-8C4914571E72}"/>
    <hyperlink ref="CB1885" r:id="rId6513" xr:uid="{A83C7022-0AF3-4F30-B772-4077072F36E9}"/>
    <hyperlink ref="O1886" r:id="rId6514" xr:uid="{109934C9-C987-46F0-90E6-84C93B902537}"/>
    <hyperlink ref="S1886" r:id="rId6515" xr:uid="{5FEED87F-2B2A-43B0-AA21-E30D5B434AF9}"/>
    <hyperlink ref="T1886" r:id="rId6516" xr:uid="{56D632C4-721E-4BC8-B037-85F83404CCE5}"/>
    <hyperlink ref="CA1886" r:id="rId6517" xr:uid="{37CC8291-AFF2-4CDE-B751-48F39508ABE5}"/>
    <hyperlink ref="CB1886" r:id="rId6518" xr:uid="{D820F595-8996-45DF-9FFB-8BB3819E3BB9}"/>
    <hyperlink ref="CD1886" r:id="rId6519" xr:uid="{65D2F332-37CB-4D35-AB55-6E5055BE590D}"/>
    <hyperlink ref="O1887" r:id="rId6520" xr:uid="{2161978C-4787-4D29-903C-07BF2C4B7366}"/>
    <hyperlink ref="S1887" r:id="rId6521" xr:uid="{96DA520E-9D1E-4C3D-9337-AC370C7FA285}"/>
    <hyperlink ref="T1887" r:id="rId6522" xr:uid="{63404F02-D11D-4ED5-B176-8CE4524CAAE6}"/>
    <hyperlink ref="CA1887" r:id="rId6523" xr:uid="{C8CEA221-AA3C-492F-B974-0ED9D2E72320}"/>
    <hyperlink ref="CB1887" r:id="rId6524" xr:uid="{1D24F01A-6968-4ACD-9B50-2D1C650FF0E2}"/>
    <hyperlink ref="O1888" r:id="rId6525" xr:uid="{D8599925-0B92-4489-9B0B-2AEFDF49E058}"/>
    <hyperlink ref="S1888" r:id="rId6526" xr:uid="{5915C59E-CE2D-43DD-AD98-2713E14660E8}"/>
    <hyperlink ref="T1888" r:id="rId6527" xr:uid="{1838610A-C5C8-41DF-98B6-B2B3E712C0D9}"/>
    <hyperlink ref="CA1888" r:id="rId6528" xr:uid="{1F27CF20-A6DF-456C-9A74-42049104E0C0}"/>
    <hyperlink ref="CB1888" r:id="rId6529" xr:uid="{E84391C6-CD39-4622-B46C-028476598CC0}"/>
    <hyperlink ref="O1889" r:id="rId6530" xr:uid="{1A614D05-95EB-47A8-9D72-C9B2074C919B}"/>
    <hyperlink ref="S1889" r:id="rId6531" xr:uid="{7A2C5101-8E47-4F6D-8147-4779FD10C0E5}"/>
    <hyperlink ref="T1889" r:id="rId6532" xr:uid="{DDD88D38-3A1A-402B-A8B1-C2BF8BCD48C3}"/>
    <hyperlink ref="CA1889" r:id="rId6533" xr:uid="{AF24058D-1DA3-4B86-BFF6-422245490BCD}"/>
    <hyperlink ref="CB1889" r:id="rId6534" xr:uid="{39755CAD-1537-4611-AD94-2E07012F04DC}"/>
    <hyperlink ref="O1890" r:id="rId6535" xr:uid="{C1A75480-69BE-4D99-BBD5-52F46F64A1DD}"/>
    <hyperlink ref="S1890" r:id="rId6536" xr:uid="{86F6731B-5DC0-4089-9C0A-101C0D8DBE65}"/>
    <hyperlink ref="T1890" r:id="rId6537" xr:uid="{3B8CA780-798F-4C2D-9169-198297DEDE84}"/>
    <hyperlink ref="CA1890" r:id="rId6538" xr:uid="{4F307FB1-9007-48C6-9677-43EB8D0FBE2C}"/>
    <hyperlink ref="CB1890" r:id="rId6539" xr:uid="{B50B4744-F919-4C4B-93F6-7DB4A6CE057F}"/>
    <hyperlink ref="O1891" r:id="rId6540" xr:uid="{A4663AA5-C773-49AF-B365-7AD7B1AD11CA}"/>
    <hyperlink ref="S1891" r:id="rId6541" xr:uid="{1FD9FF58-DFDF-4F25-A272-0448E5725B36}"/>
    <hyperlink ref="T1891" r:id="rId6542" xr:uid="{50B99054-8A8D-4D50-A0FB-B197F0A081F6}"/>
    <hyperlink ref="CA1891" r:id="rId6543" xr:uid="{A5CEEEDE-501C-4D03-ACAC-0E4E211B9C83}"/>
    <hyperlink ref="CB1891" r:id="rId6544" xr:uid="{20F1ED3F-8CB2-49E8-B083-7B4CB3637513}"/>
    <hyperlink ref="O1892" r:id="rId6545" xr:uid="{797A7BE8-644B-4CBE-A473-D3E14A808EAD}"/>
    <hyperlink ref="S1892" r:id="rId6546" xr:uid="{524A089A-4037-4556-97E5-79563455E34B}"/>
    <hyperlink ref="T1892" r:id="rId6547" xr:uid="{90A1ECEB-2C65-443E-8B73-65BCB6954234}"/>
    <hyperlink ref="CA1892" r:id="rId6548" xr:uid="{CE6CD8A6-2804-45D5-AF35-56B6D96EF8C6}"/>
    <hyperlink ref="CB1892" r:id="rId6549" xr:uid="{2756EAA6-2B84-476A-8963-8BA14873B5BD}"/>
    <hyperlink ref="O1893" r:id="rId6550" xr:uid="{95DD24E4-62F0-4CCD-AFFF-57C16F95DE50}"/>
    <hyperlink ref="S1893" r:id="rId6551" xr:uid="{203B8F3F-7F03-4164-9F39-65DFA0300DB9}"/>
    <hyperlink ref="T1893" r:id="rId6552" xr:uid="{A5F1C357-EED5-4363-BB02-14C93E099229}"/>
    <hyperlink ref="CA1893" r:id="rId6553" xr:uid="{0056D225-EDB1-42B8-BE32-9C555CD6769E}"/>
    <hyperlink ref="CB1893" r:id="rId6554" xr:uid="{047EFAF1-6D31-41A2-9359-B7C32F7AF06F}"/>
    <hyperlink ref="O1894" r:id="rId6555" xr:uid="{A51455D4-0642-4680-A993-00068B5CFDC5}"/>
    <hyperlink ref="S1894" r:id="rId6556" xr:uid="{86594A1A-C9AB-4500-9DB5-593FC4A046DB}"/>
    <hyperlink ref="T1894" r:id="rId6557" xr:uid="{90F51704-8FF3-45C5-8CB8-49BE414441ED}"/>
    <hyperlink ref="CA1894" r:id="rId6558" xr:uid="{4B8EC8D8-39CF-439F-8ACE-DB3B44C4146A}"/>
    <hyperlink ref="CB1894" r:id="rId6559" xr:uid="{3CAB4469-5A61-490E-8FA7-B3E0DC2DAB1C}"/>
    <hyperlink ref="O1895" r:id="rId6560" xr:uid="{67952669-483A-44EA-B063-2E5B9245CD47}"/>
    <hyperlink ref="S1895" r:id="rId6561" xr:uid="{47A8B7AE-40A6-4A31-A8C6-83D0E46C70C0}"/>
    <hyperlink ref="T1895" r:id="rId6562" xr:uid="{EC7680FF-E3FE-4897-9DBE-6EB1E778D0DB}"/>
    <hyperlink ref="CA1895" r:id="rId6563" xr:uid="{C7D1DCF4-DEED-4860-9A5F-07AA8A462873}"/>
    <hyperlink ref="CB1895" r:id="rId6564" xr:uid="{0B034713-AAB1-47D9-9715-25CF6998436E}"/>
    <hyperlink ref="O1896" r:id="rId6565" xr:uid="{E229E5CC-CD1D-496C-8424-610A56C95843}"/>
    <hyperlink ref="S1896" r:id="rId6566" xr:uid="{4F7A7BAC-479D-49FB-B3C5-3446A76F5A73}"/>
    <hyperlink ref="T1896" r:id="rId6567" xr:uid="{52894959-FCDA-44AC-8FC8-CF59AA101B05}"/>
    <hyperlink ref="CA1896" r:id="rId6568" xr:uid="{33CDC1FE-D4E1-402A-A45D-D8B66A0043BE}"/>
    <hyperlink ref="CB1896" r:id="rId6569" xr:uid="{9BF88AD8-2F29-4A0E-9090-2EA50B9FC803}"/>
    <hyperlink ref="O1897" r:id="rId6570" xr:uid="{A14894BE-BDE3-4927-81C9-70BEA1E9BB12}"/>
    <hyperlink ref="S1897" r:id="rId6571" xr:uid="{E2130E8B-264F-4AE9-8A84-F584DCAA0568}"/>
    <hyperlink ref="T1897" r:id="rId6572" xr:uid="{FEB41F56-C042-4417-A6E3-487D057C3C61}"/>
    <hyperlink ref="CA1897" r:id="rId6573" xr:uid="{59DFEA85-3E6F-41ED-BA27-6B39D8F9557E}"/>
    <hyperlink ref="CB1897" r:id="rId6574" xr:uid="{7B99C227-17E4-41D4-8044-A5B62E26E1D3}"/>
    <hyperlink ref="O1898" r:id="rId6575" xr:uid="{8178C0E0-D31A-421A-AE79-E0D77102C358}"/>
    <hyperlink ref="S1898" r:id="rId6576" xr:uid="{7BC59E87-DCE2-4191-99EA-683AB664F21E}"/>
    <hyperlink ref="T1898" r:id="rId6577" xr:uid="{A79DDEF6-7A74-42D1-97AE-82D8549479EC}"/>
    <hyperlink ref="CA1898" r:id="rId6578" xr:uid="{4D05E384-0B7A-492B-8227-595DECDB4642}"/>
    <hyperlink ref="CB1898" r:id="rId6579" xr:uid="{D46CFA48-DAAC-4145-926F-0CB70D2D171D}"/>
    <hyperlink ref="O1899" r:id="rId6580" xr:uid="{A6B7B803-CB39-4FA0-BA77-9FD6A9D91EDD}"/>
    <hyperlink ref="S1899" r:id="rId6581" xr:uid="{DBCAA7AD-C306-49F1-878A-4205BF90FC16}"/>
    <hyperlink ref="T1899" r:id="rId6582" xr:uid="{E8B07B6D-9783-44AF-B691-E968C61E0FD3}"/>
    <hyperlink ref="CA1899" r:id="rId6583" xr:uid="{92FB8D6E-AE1F-4F27-A2EF-C0802A8F16A8}"/>
    <hyperlink ref="CB1899" r:id="rId6584" xr:uid="{001DE66D-92A4-4C01-8C82-D223681F22DF}"/>
    <hyperlink ref="O1900" r:id="rId6585" xr:uid="{98F2CAA3-A974-40BB-A6F1-B44536AC81C8}"/>
    <hyperlink ref="S1900" r:id="rId6586" xr:uid="{7738D9B4-483A-4BE6-B30C-9247E57C19F1}"/>
    <hyperlink ref="T1900" r:id="rId6587" xr:uid="{B190A117-12B6-408F-B23D-DEEA0AF09BA2}"/>
    <hyperlink ref="CA1900" r:id="rId6588" xr:uid="{50D2D1C5-68C8-4604-BFD5-D4123D952C7B}"/>
    <hyperlink ref="CB1900" r:id="rId6589" xr:uid="{2ABBCCD9-07F0-4088-9C09-72D2BC01D078}"/>
    <hyperlink ref="O1901" r:id="rId6590" xr:uid="{7AB98903-2E85-4383-A73C-E6DEAE51F4FF}"/>
    <hyperlink ref="S1901" r:id="rId6591" xr:uid="{0620CD1C-DDFE-4C3C-8660-814995050F24}"/>
    <hyperlink ref="T1901" r:id="rId6592" xr:uid="{1914E4D0-3816-4486-B478-33293A5F3707}"/>
    <hyperlink ref="CA1901" r:id="rId6593" xr:uid="{DD4CB8CE-4B99-4CA3-9C31-4373523A0344}"/>
    <hyperlink ref="CB1901" r:id="rId6594" xr:uid="{5D73BAA5-C53B-426B-B8C4-AA0EAE2B381C}"/>
    <hyperlink ref="CD1901" r:id="rId6595" xr:uid="{8FB7FC66-CEA0-4008-9E2C-32C9B7143D2F}"/>
    <hyperlink ref="O1902" r:id="rId6596" xr:uid="{FA2529DE-949D-4043-99FE-1D42C2826543}"/>
    <hyperlink ref="S1902" r:id="rId6597" xr:uid="{99F12AA2-85F5-4E9E-8C30-910F6861F7A1}"/>
    <hyperlink ref="T1902" r:id="rId6598" xr:uid="{3C01C0DC-B4CD-4A71-89CD-A5AB99452E21}"/>
    <hyperlink ref="CA1902" r:id="rId6599" xr:uid="{6DDC0106-AC99-4288-9B7E-FD01F135B14F}"/>
    <hyperlink ref="CB1902" r:id="rId6600" xr:uid="{9C11D887-C967-4B7E-9710-DDF2E425B429}"/>
    <hyperlink ref="O1903" r:id="rId6601" xr:uid="{B945EBC2-D779-4BE5-9C70-84820D12A4EE}"/>
    <hyperlink ref="S1903" r:id="rId6602" xr:uid="{96D10C86-E2A9-4897-8777-7A3DBD8D958E}"/>
    <hyperlink ref="T1903" r:id="rId6603" xr:uid="{ACA15E5F-BA84-43FC-BF3A-4989E554DBBD}"/>
    <hyperlink ref="CA1903" r:id="rId6604" xr:uid="{08F7C154-5F2F-4F29-B20E-2E713746A847}"/>
    <hyperlink ref="CB1903" r:id="rId6605" xr:uid="{158B9D5A-2CF1-4EB1-8DF8-459B20B4C7C2}"/>
    <hyperlink ref="O1904" r:id="rId6606" xr:uid="{8B2BD16D-0960-474A-B560-BA731388066C}"/>
    <hyperlink ref="S1904" r:id="rId6607" xr:uid="{DE2A3F8A-348B-40BB-BA40-1762884D8111}"/>
    <hyperlink ref="T1904" r:id="rId6608" xr:uid="{E7C1E050-5DC1-4513-85C5-8317C97F436C}"/>
    <hyperlink ref="CA1904" r:id="rId6609" xr:uid="{FD40F09B-92EF-460A-9C53-32D9CA320522}"/>
    <hyperlink ref="CB1904" r:id="rId6610" xr:uid="{564D7DCA-7A28-4431-838E-90F36874CED2}"/>
    <hyperlink ref="O1905" r:id="rId6611" xr:uid="{1BDD0F18-684A-46DC-945D-ECC1023C94B0}"/>
    <hyperlink ref="S1905" r:id="rId6612" xr:uid="{CBDD84A5-72E6-498D-9FDF-C76A2B734B1E}"/>
    <hyperlink ref="T1905" r:id="rId6613" xr:uid="{15F630F8-A5C2-49E2-A5FA-DAE7B5C28CA4}"/>
    <hyperlink ref="CA1905" r:id="rId6614" xr:uid="{6EC8C1BE-6404-47D8-8C50-17D11070FE18}"/>
    <hyperlink ref="CB1905" r:id="rId6615" xr:uid="{97E695F3-99CF-46CD-92BD-9D42779ECFB5}"/>
    <hyperlink ref="CD1905" r:id="rId6616" xr:uid="{3CC46478-44F3-4838-AF07-C702571DFA34}"/>
    <hyperlink ref="O1906" r:id="rId6617" xr:uid="{9D3CC2E7-B20E-46D9-9EB9-051AC3E4DAF8}"/>
    <hyperlink ref="S1906" r:id="rId6618" xr:uid="{D62E6069-2B7D-441B-8399-E3368DCAA854}"/>
    <hyperlink ref="T1906" r:id="rId6619" xr:uid="{4C6B29EE-5C07-4FDA-BDE9-6659588E7A50}"/>
    <hyperlink ref="CA1906" r:id="rId6620" xr:uid="{3511D43E-55B0-4E28-9CC0-C0E6EDC8650D}"/>
    <hyperlink ref="CB1906" r:id="rId6621" xr:uid="{7A9A758C-0255-45B3-A22C-8BAFB66E6259}"/>
    <hyperlink ref="O1907" r:id="rId6622" xr:uid="{6ABE40F1-FEA0-48DE-8E0F-F0D6A20E91EC}"/>
    <hyperlink ref="S1907" r:id="rId6623" xr:uid="{B8DA9316-C974-464E-9B37-28E25491AA56}"/>
    <hyperlink ref="T1907" r:id="rId6624" xr:uid="{BD5845A6-0E11-4302-BD07-C303CA1F4669}"/>
    <hyperlink ref="CA1907" r:id="rId6625" xr:uid="{FC7CD837-1339-4BD6-9409-2C5E90015980}"/>
    <hyperlink ref="CB1907" r:id="rId6626" xr:uid="{8F2F96BD-90F8-4F1F-927E-47171AA8658F}"/>
    <hyperlink ref="O1908" r:id="rId6627" xr:uid="{D6123429-AC81-43F7-B47E-B7CB1DADD607}"/>
    <hyperlink ref="S1908" r:id="rId6628" xr:uid="{2E5B0CE5-FD46-4AD3-A967-EFC66FA90FFA}"/>
    <hyperlink ref="T1908" r:id="rId6629" xr:uid="{349B93AA-2B8B-411B-B36B-CB9CCD7FF5B1}"/>
    <hyperlink ref="CA1908" r:id="rId6630" xr:uid="{50BD1E66-A7BC-4D74-B19E-0A1350475738}"/>
    <hyperlink ref="CB1908" r:id="rId6631" xr:uid="{8DDC2191-2406-440C-A0AA-49EA6F810C86}"/>
    <hyperlink ref="O1909" r:id="rId6632" xr:uid="{C0CB214C-441C-45F7-8F50-C5876150F76A}"/>
    <hyperlink ref="S1909" r:id="rId6633" xr:uid="{7C94BD07-C14F-4FCA-B8E6-467007DF657B}"/>
    <hyperlink ref="T1909" r:id="rId6634" xr:uid="{478F16C2-4215-4C84-9E91-6368D54A389E}"/>
    <hyperlink ref="CA1909" r:id="rId6635" xr:uid="{73CDA9C6-B82C-4335-B68C-607EDD6FB00A}"/>
    <hyperlink ref="CB1909" r:id="rId6636" xr:uid="{3A8B28A9-4ABA-4259-9068-52699D3B605A}"/>
    <hyperlink ref="O1910" r:id="rId6637" xr:uid="{91400341-7100-4AFD-B220-A27CFF2C6B36}"/>
    <hyperlink ref="S1910" r:id="rId6638" xr:uid="{E1CB1AC2-F76B-465E-98C7-3C2C0EA2D2C1}"/>
    <hyperlink ref="T1910" r:id="rId6639" xr:uid="{91276570-EDF2-4EA5-9FA6-B1EC77F5B358}"/>
    <hyperlink ref="CA1910" r:id="rId6640" xr:uid="{DA50E0FE-AD7E-455F-84C5-BEEC004B7571}"/>
    <hyperlink ref="CB1910" r:id="rId6641" xr:uid="{DE4A4444-93F9-4178-829B-98C8C0947753}"/>
    <hyperlink ref="O1911" r:id="rId6642" xr:uid="{6BB33061-189E-47F6-822D-996F9C8E918D}"/>
    <hyperlink ref="S1911" r:id="rId6643" xr:uid="{805FDF51-9877-49F9-BF3B-BD306EC10227}"/>
    <hyperlink ref="T1911" r:id="rId6644" xr:uid="{FC2A3D68-3108-49F1-A918-C5906BD8B863}"/>
    <hyperlink ref="CA1911" r:id="rId6645" xr:uid="{4F021D75-FA2B-4B46-8271-E84E459E56B4}"/>
    <hyperlink ref="CB1911" r:id="rId6646" xr:uid="{29659B34-855F-4EF3-AE3D-52ED6F6CF30A}"/>
    <hyperlink ref="CD1911" r:id="rId6647" xr:uid="{018ACA22-1CDF-4C8D-B4FC-07260F72EF9C}"/>
    <hyperlink ref="O1912" r:id="rId6648" xr:uid="{05B6DD7B-3FDA-41D0-A57C-F1910CA155B1}"/>
    <hyperlink ref="S1912" r:id="rId6649" xr:uid="{741AA5FD-78D5-4615-B09D-CE9C3ED8F486}"/>
    <hyperlink ref="T1912" r:id="rId6650" xr:uid="{2137FA19-08C3-4E8C-B9C3-80C601B7DC15}"/>
    <hyperlink ref="CA1912" r:id="rId6651" xr:uid="{02BD335D-FB34-4396-A9C7-46758F8DABBB}"/>
    <hyperlink ref="CB1912" r:id="rId6652" xr:uid="{391D8850-9F92-4C9D-AC9D-DD08BBA9B327}"/>
    <hyperlink ref="O1913" r:id="rId6653" xr:uid="{A2705108-09F4-427B-B102-A75878C91605}"/>
    <hyperlink ref="S1913" r:id="rId6654" xr:uid="{D028F373-4B89-4844-A5B9-1E7A5EF2851E}"/>
    <hyperlink ref="T1913" r:id="rId6655" xr:uid="{571575D7-E574-40D0-9A4D-D6D4E3D047E8}"/>
    <hyperlink ref="CA1913" r:id="rId6656" xr:uid="{E6FAB309-7790-4DEF-BEF8-AFD64034F6FB}"/>
    <hyperlink ref="CB1913" r:id="rId6657" xr:uid="{547A07A5-7831-4FE2-8BC9-BB340AD0E769}"/>
    <hyperlink ref="O1914" r:id="rId6658" xr:uid="{28200AFA-D1E7-460B-94BF-7020E76BD655}"/>
    <hyperlink ref="S1914" r:id="rId6659" xr:uid="{CF6F5A8C-91CA-40F0-8D96-69187871C103}"/>
    <hyperlink ref="T1914" r:id="rId6660" xr:uid="{2BBA6BF2-3E5F-48DA-8A7E-4B061C3EF3F9}"/>
    <hyperlink ref="CA1914" r:id="rId6661" xr:uid="{96F7D209-421F-429A-B0F6-3B9CA9DCF531}"/>
    <hyperlink ref="CB1914" r:id="rId6662" xr:uid="{43007801-1D25-4C8D-BBFB-1CAF373ABBDD}"/>
    <hyperlink ref="CD1914" r:id="rId6663" xr:uid="{F3209C81-988B-4A2B-BFD6-1E37F46A3297}"/>
    <hyperlink ref="O1915" r:id="rId6664" xr:uid="{D3C6AE68-7634-4EFA-A431-CB2F304F4A5D}"/>
    <hyperlink ref="S1915" r:id="rId6665" xr:uid="{E0A27C6C-242C-40AF-8F39-6C77DDB42F5C}"/>
    <hyperlink ref="T1915" r:id="rId6666" xr:uid="{E469A57D-193B-474F-B4CD-806E30D76DE1}"/>
    <hyperlink ref="CA1915" r:id="rId6667" xr:uid="{FAA25DA2-13E8-4CB9-BD16-8AFBBAF1334E}"/>
    <hyperlink ref="CB1915" r:id="rId6668" xr:uid="{A57190CE-E983-491A-9609-15E629C620D8}"/>
    <hyperlink ref="CD1915" r:id="rId6669" xr:uid="{19322A4F-CD7E-4120-998F-81DB73CBD48B}"/>
    <hyperlink ref="O1916" r:id="rId6670" xr:uid="{23A4A713-0EB8-4D07-8B9B-EB08331C79C3}"/>
    <hyperlink ref="S1916" r:id="rId6671" xr:uid="{36548C71-E3A4-4F55-BE31-AE8EA0760D82}"/>
    <hyperlink ref="T1916" r:id="rId6672" xr:uid="{4725A5E5-65FE-4787-BAC7-01D36BBAF86C}"/>
    <hyperlink ref="CA1916" r:id="rId6673" xr:uid="{DC755716-39F0-4DBC-8DF7-C2779FCE5085}"/>
    <hyperlink ref="CB1916" r:id="rId6674" xr:uid="{A3278847-DF0E-4E46-98FB-C7D8AC2CC44B}"/>
    <hyperlink ref="CD1916" r:id="rId6675" xr:uid="{765AB644-2034-4F66-BB1D-1858E886F837}"/>
    <hyperlink ref="O1917" r:id="rId6676" xr:uid="{9437963F-E6E7-4F37-9ADE-2A4F558D2951}"/>
    <hyperlink ref="S1917" r:id="rId6677" xr:uid="{3E4DFFBE-37F7-4B98-B661-EC2E1B5C2C3A}"/>
    <hyperlink ref="T1917" r:id="rId6678" xr:uid="{368E7989-86A2-46AE-B33D-87FFADB02C57}"/>
    <hyperlink ref="CA1917" r:id="rId6679" xr:uid="{75DBA553-B09D-40FB-AD31-ADAF173C78EF}"/>
    <hyperlink ref="CB1917" r:id="rId6680" xr:uid="{35EB9BC5-68F3-4678-BE15-7FAC42909A17}"/>
    <hyperlink ref="CD1917" r:id="rId6681" xr:uid="{E4CF0E02-3639-4BD6-8936-43189175A122}"/>
    <hyperlink ref="O1918" r:id="rId6682" xr:uid="{77C1A935-A7E4-4FBD-99D1-FEE0C5646314}"/>
    <hyperlink ref="S1918" r:id="rId6683" xr:uid="{602F5558-0CFF-4945-BB41-8355E0E71937}"/>
    <hyperlink ref="T1918" r:id="rId6684" xr:uid="{DA00C63C-447C-4D01-8805-0AD2837FCB78}"/>
    <hyperlink ref="CA1918" r:id="rId6685" xr:uid="{564CD6F1-CC1F-45EC-BBE6-0D31BAC4892A}"/>
    <hyperlink ref="CB1918" r:id="rId6686" xr:uid="{8E67A160-FE01-476D-975E-B41B2BA2FF65}"/>
    <hyperlink ref="CD1918" r:id="rId6687" xr:uid="{46E8D9CE-BAF2-40FF-B338-80D7BE2E20C9}"/>
    <hyperlink ref="O1919" r:id="rId6688" xr:uid="{DDAACF95-33AE-4F78-B805-D001528B8D25}"/>
    <hyperlink ref="S1919" r:id="rId6689" xr:uid="{E47A0BA8-5DFB-4712-B73D-AAF30B8A5D77}"/>
    <hyperlink ref="T1919" r:id="rId6690" xr:uid="{55874664-87C2-4436-92E5-E1029F391038}"/>
    <hyperlink ref="CA1919" r:id="rId6691" xr:uid="{503DB196-E8EF-4379-B5C2-F59549B6F4E3}"/>
    <hyperlink ref="CB1919" r:id="rId6692" xr:uid="{10E7444E-F56F-4F6E-9D4F-63CBD302D9DE}"/>
    <hyperlink ref="CD1919" r:id="rId6693" xr:uid="{A5A98A91-E99E-40CD-ACD8-59E5A3016F51}"/>
    <hyperlink ref="O1920" r:id="rId6694" xr:uid="{E7D3C148-8836-4E76-A416-E2D27DCCAA55}"/>
    <hyperlink ref="S1920" r:id="rId6695" xr:uid="{F35507F0-203F-4A91-8627-53B0E74F0B74}"/>
    <hyperlink ref="T1920" r:id="rId6696" xr:uid="{957C001D-DDBD-4F49-895B-803E4BE37F47}"/>
    <hyperlink ref="CA1920" r:id="rId6697" xr:uid="{90D5AAFE-A189-48BB-B02D-85B54671C9DA}"/>
    <hyperlink ref="CB1920" r:id="rId6698" xr:uid="{01A3F83F-AA60-480A-9B16-8347601A7BAE}"/>
    <hyperlink ref="CD1920" r:id="rId6699" xr:uid="{EA1FF405-6E55-4241-8E78-70508D7AC79A}"/>
    <hyperlink ref="O1921" r:id="rId6700" xr:uid="{9CED5A40-BE68-42DF-AAB6-70B441B1A2C7}"/>
    <hyperlink ref="S1921" r:id="rId6701" xr:uid="{A1673899-B594-4F0C-86BE-4CC8B8BB0B48}"/>
    <hyperlink ref="T1921" r:id="rId6702" xr:uid="{B5FF26D7-57D6-47EC-8137-8C96E5423B03}"/>
    <hyperlink ref="CA1921" r:id="rId6703" xr:uid="{FF4DA1E0-F0D2-43C8-91E5-BAE310622B96}"/>
    <hyperlink ref="CB1921" r:id="rId6704" xr:uid="{9CC617FF-F1A1-4262-88A2-253DE0A6D6C6}"/>
    <hyperlink ref="CD1921" r:id="rId6705" xr:uid="{B339297F-8774-4C12-995D-CCF7A2297000}"/>
    <hyperlink ref="O1922" r:id="rId6706" xr:uid="{3ED21FF2-7E46-4D7E-9888-D3E081073BB6}"/>
    <hyperlink ref="S1922" r:id="rId6707" xr:uid="{F2C1B8B3-7FFA-43F7-A97A-E8CD35041EBE}"/>
    <hyperlink ref="T1922" r:id="rId6708" xr:uid="{9C2C1B54-89AB-4675-8B36-DFF6B1ADCE9A}"/>
    <hyperlink ref="CA1922" r:id="rId6709" xr:uid="{CA9C8896-3127-48B5-8A1B-C9530F4ACA01}"/>
    <hyperlink ref="CB1922" r:id="rId6710" xr:uid="{66E87D33-881C-4ABD-884E-328813D8636F}"/>
    <hyperlink ref="CD1922" r:id="rId6711" xr:uid="{E810538B-6D91-479A-AEB5-3FFEA0059240}"/>
    <hyperlink ref="O1923" r:id="rId6712" xr:uid="{E16D3105-5D58-41FF-8A81-7D06BCE84BC2}"/>
    <hyperlink ref="S1923" r:id="rId6713" xr:uid="{E942ED7B-391F-4088-A07E-7BA878BF52A0}"/>
    <hyperlink ref="T1923" r:id="rId6714" xr:uid="{9E1DF6CB-767D-4274-8BE4-60A7E5CF3ADD}"/>
    <hyperlink ref="CA1923" r:id="rId6715" xr:uid="{EB9B29DF-9FA8-491C-B7E6-0949A1E23742}"/>
    <hyperlink ref="CB1923" r:id="rId6716" xr:uid="{AE158D70-CF8F-415B-93FF-61B0A43E4EF2}"/>
    <hyperlink ref="CD1923" r:id="rId6717" xr:uid="{2A069193-6242-435B-AA39-CF16A388A138}"/>
    <hyperlink ref="O1924" r:id="rId6718" xr:uid="{CCDACA2F-3FBD-4A87-B0C1-D75172EBC6C5}"/>
    <hyperlink ref="S1924" r:id="rId6719" xr:uid="{A40AA3DC-D0B0-40BD-9E44-A0498E0C4A76}"/>
    <hyperlink ref="T1924" r:id="rId6720" xr:uid="{B75500A6-6825-4211-80FF-8B246748E41D}"/>
    <hyperlink ref="CA1924" r:id="rId6721" xr:uid="{E9944FF3-0967-4713-9417-FC8E51D452D9}"/>
    <hyperlink ref="CB1924" r:id="rId6722" xr:uid="{0E802AD5-248B-446C-96E7-13B1539898C2}"/>
    <hyperlink ref="CD1924" r:id="rId6723" xr:uid="{D361DAC6-7065-4A86-A6B4-94334767CC52}"/>
    <hyperlink ref="O1925" r:id="rId6724" xr:uid="{EBF0FD94-BB0D-4510-83BD-386A935B7221}"/>
    <hyperlink ref="S1925" r:id="rId6725" xr:uid="{8246EE32-9FF7-4F63-95CC-8E0FAF0612F4}"/>
    <hyperlink ref="T1925" r:id="rId6726" xr:uid="{D6AFD3FB-892A-414F-A26B-17E4CE34F449}"/>
    <hyperlink ref="CA1925" r:id="rId6727" xr:uid="{84657E9C-C7C8-4949-B640-EFC28789FF19}"/>
    <hyperlink ref="CB1925" r:id="rId6728" xr:uid="{B6BCFCFE-FAB9-4578-B7A2-AB98E757713F}"/>
    <hyperlink ref="CD1925" r:id="rId6729" xr:uid="{5ED087E2-3858-46DB-9F79-71DE25095304}"/>
    <hyperlink ref="O1926" r:id="rId6730" xr:uid="{A17030B9-8EF6-42E8-B096-A09256835B20}"/>
    <hyperlink ref="R1926" r:id="rId6731" xr:uid="{C0931CB8-7E7C-4356-A527-84E1DA1C21CB}"/>
    <hyperlink ref="S1926" r:id="rId6732" xr:uid="{2991593A-8EB8-40C7-A5D9-776321AB1272}"/>
    <hyperlink ref="CA1926" r:id="rId6733" xr:uid="{2636A134-7788-4762-B5F0-3D9B1DE7F5D1}"/>
    <hyperlink ref="CD1926" r:id="rId6734" xr:uid="{BA4F02AA-4910-4E18-AB7A-B1C981FD2406}"/>
    <hyperlink ref="O1927" r:id="rId6735" xr:uid="{A8FACC41-1DD2-41EF-A3B2-505B94AF156E}"/>
    <hyperlink ref="S1927" r:id="rId6736" xr:uid="{9E509DC2-4CBA-4896-8676-7F2662F0ED0F}"/>
    <hyperlink ref="CA1927" r:id="rId6737" xr:uid="{CA90C0FB-7279-4A88-A93B-8E42CE6DF683}"/>
    <hyperlink ref="O1928" r:id="rId6738" xr:uid="{BEF8B31E-3FD3-456A-BC3B-782EC2B4917F}"/>
    <hyperlink ref="S1928" r:id="rId6739" xr:uid="{B82C670E-E198-4ACD-B5A3-830B5D8FEFD7}"/>
    <hyperlink ref="CA1928" r:id="rId6740" xr:uid="{7F3FD507-A746-44D8-AED4-E85C61192F34}"/>
    <hyperlink ref="O1929" r:id="rId6741" xr:uid="{4D7A8823-315E-4746-82F7-F87877C1E361}"/>
    <hyperlink ref="S1929" r:id="rId6742" xr:uid="{3D1CBCD0-623B-4BA3-AD29-C31F95567CE5}"/>
    <hyperlink ref="CA1929" r:id="rId6743" xr:uid="{0D9531D5-8DBA-4959-850F-92C093360098}"/>
    <hyperlink ref="O1930" r:id="rId6744" xr:uid="{56B6566F-93CD-480E-BD43-891FBCF4BA62}"/>
    <hyperlink ref="S1930" r:id="rId6745" xr:uid="{247CAAD3-4DBD-40C2-86D8-A4A9E1C3D237}"/>
    <hyperlink ref="CA1930" r:id="rId6746" xr:uid="{E2703DB4-BE3A-4ABB-96E1-E5DCE27433BC}"/>
    <hyperlink ref="O1931" r:id="rId6747" xr:uid="{5ED840C2-9B9A-4FB3-94E0-1F0C6B9D688F}"/>
    <hyperlink ref="S1931" r:id="rId6748" xr:uid="{111E4302-D8D5-49FA-A0AD-ED6C1D0D6A58}"/>
    <hyperlink ref="CA1931" r:id="rId6749" xr:uid="{609AA9B6-5A15-4160-B948-A39F4D650194}"/>
    <hyperlink ref="O1932" r:id="rId6750" xr:uid="{45C3CC48-0659-4563-BD44-CA9340773040}"/>
    <hyperlink ref="S1932" r:id="rId6751" xr:uid="{64D3071D-6950-4BFD-AD92-E1690EF96AC6}"/>
    <hyperlink ref="CA1932" r:id="rId6752" xr:uid="{5AB268B2-C429-4B4F-8B8B-9E1842A96759}"/>
    <hyperlink ref="O1933" r:id="rId6753" xr:uid="{2B5C89CD-92DD-4693-AC90-FDC99C066FB8}"/>
    <hyperlink ref="S1933" r:id="rId6754" xr:uid="{16B6B5B4-4967-42D7-A870-ACC9062E966F}"/>
    <hyperlink ref="CA1933" r:id="rId6755" xr:uid="{8BE41B81-35B0-4574-AEE8-2812F5AF4891}"/>
    <hyperlink ref="O1934" r:id="rId6756" xr:uid="{6A41CF7C-2C5A-4F8A-A518-6751B563802F}"/>
    <hyperlink ref="S1934" r:id="rId6757" xr:uid="{B4112763-E7A3-4DD1-8D53-7F6C53B302C8}"/>
    <hyperlink ref="CA1934" r:id="rId6758" xr:uid="{0F4AC3DA-2AB5-49D1-A926-6B01B51DBCFB}"/>
    <hyperlink ref="O1935" r:id="rId6759" xr:uid="{C50A338C-A5BF-414B-B1A3-A6FC8FA3A58F}"/>
    <hyperlink ref="S1935" r:id="rId6760" xr:uid="{37B2D06B-C679-4624-9857-1178088765F3}"/>
    <hyperlink ref="CA1935" r:id="rId6761" xr:uid="{16323069-FCEB-494B-8AF7-F20DA4D3FC37}"/>
    <hyperlink ref="O1936" r:id="rId6762" xr:uid="{5C625A7A-81CC-4E21-844A-6B498725D1BC}"/>
    <hyperlink ref="S1936" r:id="rId6763" xr:uid="{6F9CFE6B-20F5-4AE7-834C-2001D81A2F40}"/>
    <hyperlink ref="CA1936" r:id="rId6764" xr:uid="{C51B94ED-32CF-4416-8DD6-314326D354F6}"/>
    <hyperlink ref="O1937" r:id="rId6765" xr:uid="{72D7AA25-CB21-45C4-918E-CA5D23B5E3F0}"/>
    <hyperlink ref="S1937" r:id="rId6766" xr:uid="{40887EF3-73C1-4473-81A5-88D20B052957}"/>
    <hyperlink ref="CA1937" r:id="rId6767" xr:uid="{4549B425-8C69-44D8-830C-3B2A9E57A5AE}"/>
    <hyperlink ref="O1938" r:id="rId6768" xr:uid="{58010006-710C-4705-B30A-A4109ECBCE5B}"/>
    <hyperlink ref="S1938" r:id="rId6769" xr:uid="{2AF2851E-1DC7-4C05-AA20-C190B07A712F}"/>
    <hyperlink ref="CA1938" r:id="rId6770" xr:uid="{199ECCF4-89CA-45FA-8508-46463CC84CBD}"/>
    <hyperlink ref="O1939" r:id="rId6771" xr:uid="{067D33BB-9F64-482A-B663-9E31766F91D1}"/>
    <hyperlink ref="S1939" r:id="rId6772" xr:uid="{9BD047F8-748F-416D-8221-778166EBC13E}"/>
    <hyperlink ref="CA1939" r:id="rId6773" xr:uid="{4431C656-05FB-44B3-ACA5-76396E6E2C26}"/>
    <hyperlink ref="O1940" r:id="rId6774" xr:uid="{2A154CCB-96FF-4504-8B4A-1EFD77326338}"/>
    <hyperlink ref="S1940" r:id="rId6775" xr:uid="{433D3C06-6CF4-4423-A4C9-D5F71163C941}"/>
    <hyperlink ref="CA1940" r:id="rId6776" xr:uid="{0B026447-ADFC-4D93-AA61-C70B66908106}"/>
    <hyperlink ref="O1941" r:id="rId6777" xr:uid="{36B26D15-7A70-4B66-85D1-1A6B13FA0D5C}"/>
    <hyperlink ref="S1941" r:id="rId6778" xr:uid="{35412ABE-01B8-440B-B27D-ABE33223358B}"/>
    <hyperlink ref="CA1941" r:id="rId6779" xr:uid="{07452FC8-96BE-4E79-8E63-7804497E98C0}"/>
    <hyperlink ref="O1942" r:id="rId6780" xr:uid="{C044B0C4-23DC-41CA-ACC4-36B278446EB8}"/>
    <hyperlink ref="S1942" r:id="rId6781" xr:uid="{A54C8C32-F6E9-45E5-AD55-74A4DAB1B8B3}"/>
    <hyperlink ref="CA1942" r:id="rId6782" xr:uid="{4201EAF8-5951-4D0D-AB27-1733F1501B48}"/>
    <hyperlink ref="O1943" r:id="rId6783" xr:uid="{D0D42517-7510-4B25-9C84-982793F7EBF1}"/>
    <hyperlink ref="S1943" r:id="rId6784" xr:uid="{C2077744-63EC-4CE0-820C-A3BB55C63B62}"/>
    <hyperlink ref="CA1943" r:id="rId6785" xr:uid="{840037BA-CAA2-4850-8962-FA892CCC6F34}"/>
    <hyperlink ref="O1944" r:id="rId6786" xr:uid="{B07509F1-40FE-4638-8D6E-3B9DF547C000}"/>
    <hyperlink ref="S1944" r:id="rId6787" xr:uid="{A8ED30AD-8559-462E-89D7-963CDB41AA63}"/>
    <hyperlink ref="CA1944" r:id="rId6788" xr:uid="{8B20BAC1-EFBD-47A2-A9C3-4C3877F88479}"/>
    <hyperlink ref="O1945" r:id="rId6789" xr:uid="{FE4D0922-AC34-4322-AD55-4F9F778A0A7C}"/>
    <hyperlink ref="S1945" r:id="rId6790" xr:uid="{30E391C2-4A54-4806-A5AB-3BECF9DB87D3}"/>
    <hyperlink ref="CA1945" r:id="rId6791" xr:uid="{11AEB8CB-FFAB-4920-A16C-742E7019B2D6}"/>
    <hyperlink ref="O1946" r:id="rId6792" xr:uid="{B2530F7B-06D1-4C3A-9EEB-05D93DC21CE2}"/>
    <hyperlink ref="S1946" r:id="rId6793" xr:uid="{135DDCE4-A6EE-41C7-A454-178F2301DB3B}"/>
    <hyperlink ref="T1946" r:id="rId6794" xr:uid="{12E1A466-104C-4856-933E-EA0FB7CDF977}"/>
    <hyperlink ref="CA1946" r:id="rId6795" xr:uid="{289E69A6-48CB-4F55-A666-9488F5337728}"/>
    <hyperlink ref="CB1946" r:id="rId6796" xr:uid="{93DCE376-C227-40F6-AA76-2B3A37B68B5F}"/>
    <hyperlink ref="CD1946" r:id="rId6797" xr:uid="{9B2C2062-DAC4-417E-AF3B-545B4E484FF3}"/>
    <hyperlink ref="O1947" r:id="rId6798" xr:uid="{32CD95A2-6EC3-4581-931B-69EC23E0A878}"/>
    <hyperlink ref="S1947" r:id="rId6799" xr:uid="{EB9DD8CB-FBFC-4460-AD0B-135E790B4BDA}"/>
    <hyperlink ref="T1947" r:id="rId6800" xr:uid="{B005921D-161C-4D55-8A64-FF83BC3C865D}"/>
    <hyperlink ref="CA1947" r:id="rId6801" xr:uid="{9345EF05-2891-4654-8451-1CCD95307AEF}"/>
    <hyperlink ref="CB1947" r:id="rId6802" xr:uid="{BBEF32C9-EFB5-4C77-9835-4F1F6B88DD7E}"/>
    <hyperlink ref="CD1947" r:id="rId6803" xr:uid="{68BEDBE2-33B9-4648-A653-3B0E0ABB52C4}"/>
    <hyperlink ref="O1948" r:id="rId6804" xr:uid="{16F6ADDF-1937-467B-95BE-5D3660CC98BA}"/>
    <hyperlink ref="S1948" r:id="rId6805" xr:uid="{454BD2DB-0290-406F-B92E-1381ED521DC0}"/>
    <hyperlink ref="T1948" r:id="rId6806" xr:uid="{DDE2413A-2D5A-493C-8CEE-C6AD907F8A1D}"/>
    <hyperlink ref="CA1948" r:id="rId6807" xr:uid="{7526D826-1115-4A36-AB93-D0B07ED1F703}"/>
    <hyperlink ref="CB1948" r:id="rId6808" xr:uid="{83EEE5A6-D384-49EB-B3F6-83ADC65F53BD}"/>
    <hyperlink ref="CD1948" r:id="rId6809" xr:uid="{A7054549-794B-492E-8641-CCC81A5EA8D6}"/>
    <hyperlink ref="O1949" r:id="rId6810" xr:uid="{96D4FC52-E831-46DC-9F5D-1C3027414E9B}"/>
    <hyperlink ref="S1949" r:id="rId6811" xr:uid="{B867D4D4-CACA-433C-801F-A65056CC9EB8}"/>
    <hyperlink ref="T1949" r:id="rId6812" xr:uid="{B59BC8D2-DB1C-42E7-A883-C5FDDB097530}"/>
    <hyperlink ref="CA1949" r:id="rId6813" xr:uid="{AF67379E-162F-46F3-BC36-2CFDC02F9428}"/>
    <hyperlink ref="CB1949" r:id="rId6814" xr:uid="{B3C197CF-C86F-4333-9050-3EBE158C9D53}"/>
    <hyperlink ref="CD1949" r:id="rId6815" xr:uid="{891B28F3-DAF5-4330-AACB-8562D31914F3}"/>
    <hyperlink ref="O1950" r:id="rId6816" xr:uid="{E0B3DFB6-8815-48A8-BC3B-A128EDE5C20D}"/>
    <hyperlink ref="S1950" r:id="rId6817" xr:uid="{8CAA12A6-75F3-4A71-B712-D06FBCECD284}"/>
    <hyperlink ref="T1950" r:id="rId6818" xr:uid="{0E7B6829-A616-42D0-A178-1927124DB3D0}"/>
    <hyperlink ref="CA1950" r:id="rId6819" xr:uid="{6391BB3F-1C1B-4059-9986-0E266A271E9A}"/>
    <hyperlink ref="CB1950" r:id="rId6820" xr:uid="{5466167D-8A57-41A3-B2B7-3569DAB06D89}"/>
    <hyperlink ref="CD1950" r:id="rId6821" xr:uid="{8439EF2C-A371-462C-9489-F583994ED511}"/>
    <hyperlink ref="O1951" r:id="rId6822" xr:uid="{EB9D7A76-5B54-49FF-B3A9-80E91664C47A}"/>
    <hyperlink ref="S1951" r:id="rId6823" xr:uid="{0FB977C7-D9C9-415A-B7ED-9E8D44F3CC49}"/>
    <hyperlink ref="T1951" r:id="rId6824" xr:uid="{D36026F2-4A0F-4620-B29A-7895D4C702DD}"/>
    <hyperlink ref="CA1951" r:id="rId6825" xr:uid="{54475370-17D9-456D-AC41-929EC29BE2B1}"/>
    <hyperlink ref="CB1951" r:id="rId6826" xr:uid="{011AA42C-04E5-409B-BF40-4E9DFD48BFE7}"/>
    <hyperlink ref="CD1951" r:id="rId6827" xr:uid="{EACF56BE-4685-48FF-A0FD-64027A28AF9C}"/>
    <hyperlink ref="O1952" r:id="rId6828" xr:uid="{3D80535F-A7CA-436F-B53C-8BA1675AAFCA}"/>
    <hyperlink ref="S1952" r:id="rId6829" xr:uid="{66877BEE-29FD-497F-A393-B892127C6D06}"/>
    <hyperlink ref="T1952" r:id="rId6830" xr:uid="{543FD7F0-F8A1-4334-ACAB-7C53C07B24A5}"/>
    <hyperlink ref="CA1952" r:id="rId6831" xr:uid="{65C3497A-4884-4F6F-94F6-F8947FD1E5A3}"/>
    <hyperlink ref="CB1952" r:id="rId6832" xr:uid="{1CD324DE-D2A4-4EF9-8235-8416CB16EE61}"/>
    <hyperlink ref="CD1952" r:id="rId6833" xr:uid="{A8A3083B-C6DD-4474-91BD-B4A23F093F33}"/>
    <hyperlink ref="O1953" r:id="rId6834" xr:uid="{02C9FDEC-1583-412C-8228-30AE22B83DE0}"/>
    <hyperlink ref="S1953" r:id="rId6835" xr:uid="{C0D7490B-DE68-468F-BC58-BCA5A5D711B6}"/>
    <hyperlink ref="T1953" r:id="rId6836" xr:uid="{58EDB2AD-1604-4E5A-80D9-7FEEA5F84C4C}"/>
    <hyperlink ref="CA1953" r:id="rId6837" xr:uid="{04DB038E-119A-4246-9255-AEAD79014463}"/>
    <hyperlink ref="CB1953" r:id="rId6838" xr:uid="{D3882085-A6BF-4170-923B-DAF4934F8080}"/>
    <hyperlink ref="CD1953" r:id="rId6839" xr:uid="{ED99B49C-0546-475B-9A94-163DA3098187}"/>
    <hyperlink ref="O1954" r:id="rId6840" xr:uid="{4C0A0D74-DA0A-4068-914F-05BB7AB94950}"/>
    <hyperlink ref="S1954" r:id="rId6841" xr:uid="{345C8B29-3E69-4387-A4DF-B57C3F71BB9F}"/>
    <hyperlink ref="T1954" r:id="rId6842" xr:uid="{E338585D-A42F-4723-80CD-04A6A09A309E}"/>
    <hyperlink ref="CA1954" r:id="rId6843" xr:uid="{D5107BA7-BDA7-4D2E-80D4-03760B3C91AE}"/>
    <hyperlink ref="CB1954" r:id="rId6844" xr:uid="{8C808228-53EC-4075-B8B6-56E83570FED6}"/>
    <hyperlink ref="O1955" r:id="rId6845" xr:uid="{F73CAA3B-BB44-4830-90B3-3CBB15866964}"/>
    <hyperlink ref="S1955" r:id="rId6846" xr:uid="{FF9FCD26-3912-4769-A7F2-4F4B7671F04E}"/>
    <hyperlink ref="T1955" r:id="rId6847" xr:uid="{33888F5C-56D7-4803-8722-D5C6379F6FC7}"/>
    <hyperlink ref="CA1955" r:id="rId6848" xr:uid="{B6AF7678-346E-4AB1-9E0E-BB5BC4F0E7E8}"/>
    <hyperlink ref="CB1955" r:id="rId6849" xr:uid="{54A59ECF-6BEC-4BB8-83AC-1D4948038E3E}"/>
    <hyperlink ref="CD1955" r:id="rId6850" xr:uid="{1E0690C8-55F9-4C4A-A0C2-024BA14A8A66}"/>
    <hyperlink ref="O1956" r:id="rId6851" xr:uid="{F194734C-2A56-47B8-B1D1-36BC2499A0A1}"/>
    <hyperlink ref="S1956" r:id="rId6852" xr:uid="{9B86DDC6-8201-4E35-B2FD-73DBC54C3482}"/>
    <hyperlink ref="AJ1956" r:id="rId6853" xr:uid="{F5DC16C5-BC5A-4E7D-94CD-BD148A4FB6AE}"/>
    <hyperlink ref="CA1956" r:id="rId6854" xr:uid="{03A7B1AC-C4AD-432E-9E01-9FB779D483B9}"/>
    <hyperlink ref="CD1956" r:id="rId6855" xr:uid="{2B1104DD-5B79-4C26-B8DC-3667254397A7}"/>
    <hyperlink ref="O1957" r:id="rId6856" xr:uid="{A0C3A72E-F238-4C3F-8AC3-FBB2AE091196}"/>
    <hyperlink ref="S1957" r:id="rId6857" xr:uid="{0F462351-7CDA-49E5-A0D1-54CFD276E5C7}"/>
    <hyperlink ref="T1957" r:id="rId6858" xr:uid="{266F96FE-28C0-4EA5-8D67-6A456F95682D}"/>
    <hyperlink ref="CA1957" r:id="rId6859" xr:uid="{3D40302F-0B52-4FA8-901C-FF3FF4EFB860}"/>
    <hyperlink ref="CB1957" r:id="rId6860" xr:uid="{AA15743C-AB53-4765-8A46-5ACBABB28F64}"/>
    <hyperlink ref="O1958" r:id="rId6861" xr:uid="{E6D08855-6206-494B-9B58-B7D899095CC1}"/>
    <hyperlink ref="S1958" r:id="rId6862" xr:uid="{0A639D3E-176D-4615-B17C-B433A31CE208}"/>
    <hyperlink ref="T1958" r:id="rId6863" xr:uid="{3A233BAE-877B-46BE-8F4E-CF0FBE424975}"/>
    <hyperlink ref="CA1958" r:id="rId6864" xr:uid="{C3C1E4E5-D960-4C97-89F7-ABFB6A710466}"/>
    <hyperlink ref="CB1958" r:id="rId6865" xr:uid="{035BCBE2-B518-432A-A508-7D66B1073D45}"/>
    <hyperlink ref="O1959" r:id="rId6866" xr:uid="{38C7F9DD-F958-4359-ADBC-17BE1EFBE55A}"/>
    <hyperlink ref="S1959" r:id="rId6867" xr:uid="{B835B3EF-E8F0-4480-9FE5-F9491F6A1B8B}"/>
    <hyperlink ref="T1959" r:id="rId6868" xr:uid="{299798BA-F562-4B3A-A76A-2BB3939A36BC}"/>
    <hyperlink ref="CA1959" r:id="rId6869" xr:uid="{610E2977-630A-41E1-A23C-1E14558B0C3D}"/>
    <hyperlink ref="CB1959" r:id="rId6870" xr:uid="{40CB3F64-9FA1-4504-989E-024E5A877D52}"/>
    <hyperlink ref="O1960" r:id="rId6871" xr:uid="{C0D7896F-7EFE-42B7-B099-E48F1F650B8B}"/>
    <hyperlink ref="S1960" r:id="rId6872" xr:uid="{DC910EEA-21F8-4A36-A933-2F54C00C462C}"/>
    <hyperlink ref="T1960" r:id="rId6873" xr:uid="{82F98566-DA02-471F-9252-BB1151F30516}"/>
    <hyperlink ref="CA1960" r:id="rId6874" xr:uid="{AD850098-DB10-4E74-8834-51B11A0F8D24}"/>
    <hyperlink ref="CB1960" r:id="rId6875" xr:uid="{35C58EEA-F0E0-44D1-A3BD-256063192808}"/>
    <hyperlink ref="O1961" r:id="rId6876" xr:uid="{B7F8A840-B095-46DD-BB1A-6AC7FF0EB8C4}"/>
    <hyperlink ref="S1961" r:id="rId6877" xr:uid="{C5CC6937-33C2-49FE-BD35-FA3148BCA1A0}"/>
    <hyperlink ref="CA1961" r:id="rId6878" xr:uid="{92CF7A9F-4B5A-4B8E-8E15-DBD9317594E6}"/>
    <hyperlink ref="CD1961" r:id="rId6879" xr:uid="{B9B42F99-EBFA-4E95-B19B-5813C9373D42}"/>
    <hyperlink ref="O1962" r:id="rId6880" xr:uid="{0EEDD177-C2FB-4E25-AA79-0784BCF75AC3}"/>
    <hyperlink ref="S1962" r:id="rId6881" xr:uid="{C35B67AF-7116-4DE6-BF3E-30A12E654E61}"/>
    <hyperlink ref="CA1962" r:id="rId6882" xr:uid="{9A4F51D9-DDAF-41EF-A408-84F782EC0FD7}"/>
    <hyperlink ref="CD1962" r:id="rId6883" xr:uid="{5FC66FC9-5EEB-45B6-B6EC-FD3965203533}"/>
    <hyperlink ref="O1963" r:id="rId6884" xr:uid="{4DA76B27-2847-471B-BE8C-0B8535F754A1}"/>
    <hyperlink ref="S1963" r:id="rId6885" xr:uid="{33F9E8CB-D29E-4FE9-966C-66D7C0B62EBF}"/>
    <hyperlink ref="CA1963" r:id="rId6886" xr:uid="{DDF673FA-C33F-464C-B45F-1218A4B0616C}"/>
    <hyperlink ref="O1964" r:id="rId6887" xr:uid="{F86DB79B-A65E-46F0-8CA1-C9D75DC34DB5}"/>
    <hyperlink ref="S1964" r:id="rId6888" xr:uid="{309515C8-DF84-4496-9B3C-18028DF6D4E2}"/>
    <hyperlink ref="T1964" r:id="rId6889" xr:uid="{1C91C62E-5931-4D8A-BC1C-A4366CB47BEB}"/>
    <hyperlink ref="CA1964" r:id="rId6890" xr:uid="{13B33E3D-4F22-4324-9FE7-2C2D1405C57E}"/>
    <hyperlink ref="CB1964" r:id="rId6891" xr:uid="{DDF79AD0-15BB-40FF-B41E-125071AA0F2D}"/>
    <hyperlink ref="CD1964" r:id="rId6892" xr:uid="{6920D4DE-685A-4E29-B89F-E6DE3DFFEE32}"/>
    <hyperlink ref="O1965" r:id="rId6893" xr:uid="{E86936AB-F69B-4E3A-BCF7-539939634CB1}"/>
    <hyperlink ref="S1965" r:id="rId6894" xr:uid="{1F2F2EEC-D59A-4D31-9981-6BC1C22C0C60}"/>
    <hyperlink ref="T1965" r:id="rId6895" xr:uid="{999F6FF1-DDC7-433A-95EB-827F7A98C559}"/>
    <hyperlink ref="CA1965" r:id="rId6896" xr:uid="{E97A1E57-422A-4735-A2B7-38B7CB69C920}"/>
    <hyperlink ref="CB1965" r:id="rId6897" xr:uid="{7DFDD684-5687-4412-A284-075CAA6E2251}"/>
    <hyperlink ref="CD1965" r:id="rId6898" xr:uid="{221FFE63-16FE-4FD3-A807-3B572DBE005A}"/>
    <hyperlink ref="O1966" r:id="rId6899" xr:uid="{61187046-5873-433E-8158-D38525DC161E}"/>
    <hyperlink ref="S1966" r:id="rId6900" xr:uid="{13B57C05-3CFA-49C2-A928-B93307D06DC7}"/>
    <hyperlink ref="T1966" r:id="rId6901" xr:uid="{FFD69418-01E9-4666-AFF8-DB88C34349F7}"/>
    <hyperlink ref="CA1966" r:id="rId6902" xr:uid="{9261C305-FAF3-4DEE-9AEE-FBF979BB3FEC}"/>
    <hyperlink ref="CB1966" r:id="rId6903" xr:uid="{302CE375-8E9E-4382-B0BA-3B7C44C9A7F3}"/>
    <hyperlink ref="O1967" r:id="rId6904" xr:uid="{9DDF0868-DD9E-4B51-B810-8EE56DFCEF2E}"/>
    <hyperlink ref="S1967" r:id="rId6905" xr:uid="{2ECDB36C-222C-4A77-AA5C-0FB9E5439E7F}"/>
    <hyperlink ref="T1967" r:id="rId6906" xr:uid="{CABE71D0-AE46-43BA-B07A-1B6B9F63AD69}"/>
    <hyperlink ref="CA1967" r:id="rId6907" xr:uid="{E988B025-536F-4D3A-819D-268738A7BF9C}"/>
    <hyperlink ref="CB1967" r:id="rId6908" xr:uid="{8E233FF2-2255-4E05-839F-1B6C198FDF30}"/>
    <hyperlink ref="CD1967" r:id="rId6909" xr:uid="{91F1A47E-9D1C-4A77-B0C7-1811FD03DD02}"/>
    <hyperlink ref="O1968" r:id="rId6910" xr:uid="{885C2560-2239-4323-8D42-CE4A0E1D3304}"/>
    <hyperlink ref="S1968" r:id="rId6911" xr:uid="{9C1B7A87-D112-46A6-9CD9-51313A483BBA}"/>
    <hyperlink ref="T1968" r:id="rId6912" xr:uid="{02B092DF-CEE6-4AD9-9C6F-FAE5BAEF1ABE}"/>
    <hyperlink ref="CA1968" r:id="rId6913" xr:uid="{C1399D37-75A8-4A71-A4EE-36364F603E9D}"/>
    <hyperlink ref="CB1968" r:id="rId6914" xr:uid="{CC3C1234-B143-40FC-B717-2AB1E32F395C}"/>
    <hyperlink ref="CD1968" r:id="rId6915" xr:uid="{77BCCEE0-2497-4895-8035-1E8854FFC056}"/>
    <hyperlink ref="O1969" r:id="rId6916" xr:uid="{99CC7014-F695-48F6-B540-A3F5523779BC}"/>
    <hyperlink ref="S1969" r:id="rId6917" xr:uid="{59A23572-BA75-4467-8B88-82963F48BF8D}"/>
    <hyperlink ref="T1969" r:id="rId6918" xr:uid="{61229011-F38C-4CE2-A9F0-5385B156B686}"/>
    <hyperlink ref="CA1969" r:id="rId6919" xr:uid="{72E6D6BC-9C1A-48EF-9485-408E12C6302D}"/>
    <hyperlink ref="CB1969" r:id="rId6920" xr:uid="{9F932D3D-8444-477A-B86D-EA816E911E34}"/>
    <hyperlink ref="CD1969" r:id="rId6921" xr:uid="{58C7934B-1572-4405-AC81-05AAB65D181A}"/>
    <hyperlink ref="O1970" r:id="rId6922" xr:uid="{E4357CF3-49B1-4EE4-9DB5-6CC174BEE5D0}"/>
    <hyperlink ref="S1970" r:id="rId6923" xr:uid="{7F729E63-C2AF-4A8F-8E30-FF1AE9DFDDC1}"/>
    <hyperlink ref="T1970" r:id="rId6924" xr:uid="{DD352A39-68BA-47C5-91FB-820A1E7633BA}"/>
    <hyperlink ref="CA1970" r:id="rId6925" xr:uid="{7E85D14E-E091-4B35-8A91-9C4C77E6DF74}"/>
    <hyperlink ref="CB1970" r:id="rId6926" xr:uid="{FD8B096E-E1B8-4EA8-A975-AAE02E172ECF}"/>
    <hyperlink ref="CD1970" r:id="rId6927" xr:uid="{D7516547-F636-41CB-9BD6-9EAD6CF9201D}"/>
    <hyperlink ref="O1971" r:id="rId6928" xr:uid="{2A00788F-07C1-4D34-A1CD-F1C8BBD54CBD}"/>
    <hyperlink ref="S1971" r:id="rId6929" xr:uid="{35F3340B-28D9-42CA-A2D6-EF7C14066E66}"/>
    <hyperlink ref="T1971" r:id="rId6930" xr:uid="{980A51D3-A003-449B-90DD-D2F9AB843237}"/>
    <hyperlink ref="CA1971" r:id="rId6931" xr:uid="{B183419F-7A88-4F74-80BA-47A5580CDF31}"/>
    <hyperlink ref="CB1971" r:id="rId6932" xr:uid="{26FDDE0F-6153-4DA0-91A0-06D016B94F44}"/>
    <hyperlink ref="CD1971" r:id="rId6933" xr:uid="{B8B87503-253E-4C18-A84E-73C84843CA28}"/>
    <hyperlink ref="O1972" r:id="rId6934" xr:uid="{AFD09B9A-B1F8-42E7-8A91-C023BC892B06}"/>
    <hyperlink ref="S1972" r:id="rId6935" xr:uid="{1C629679-53B7-4352-A9B6-E92EC28F344B}"/>
    <hyperlink ref="T1972" r:id="rId6936" xr:uid="{AB6A5E94-236E-4152-9743-CB926479D798}"/>
    <hyperlink ref="CA1972" r:id="rId6937" xr:uid="{9B004A68-563D-41A2-8D48-1F7607115F92}"/>
    <hyperlink ref="CB1972" r:id="rId6938" xr:uid="{81B73A92-C1B4-421E-880E-DD27FBA7054B}"/>
    <hyperlink ref="O1973" r:id="rId6939" xr:uid="{C93F27E7-D22A-4040-8AFF-BDE926318A2B}"/>
    <hyperlink ref="S1973" r:id="rId6940" xr:uid="{CF80C44D-0863-4229-A3B6-ECB4D0D6456C}"/>
    <hyperlink ref="T1973" r:id="rId6941" xr:uid="{9EFF6E68-560F-48D8-BAFF-0282AB687D50}"/>
    <hyperlink ref="CA1973" r:id="rId6942" xr:uid="{92B9BDCF-5787-4B8B-A0B9-1CF78DC2D679}"/>
    <hyperlink ref="CB1973" r:id="rId6943" xr:uid="{9924D943-1C37-4A71-9206-7334BFD9202B}"/>
    <hyperlink ref="CD1973" r:id="rId6944" xr:uid="{960A7C8D-5C18-4A7A-98A7-71FB8767DDE3}"/>
    <hyperlink ref="O1974" r:id="rId6945" xr:uid="{AD696F19-1992-4253-B5E9-027DE29FD49B}"/>
    <hyperlink ref="S1974" r:id="rId6946" xr:uid="{EDAE6F34-340A-4451-9261-2BA29352DE15}"/>
    <hyperlink ref="T1974" r:id="rId6947" xr:uid="{0BCC6235-A63E-4EAA-9B68-38980291D07A}"/>
    <hyperlink ref="CA1974" r:id="rId6948" xr:uid="{F0F3E10C-4F50-46AA-B930-66166FD58499}"/>
    <hyperlink ref="CB1974" r:id="rId6949" xr:uid="{0A7A0999-B1BD-45A3-82A7-A610B59F3EFA}"/>
    <hyperlink ref="CD1974" r:id="rId6950" xr:uid="{056C3562-606C-46FA-B987-9CDA60012383}"/>
    <hyperlink ref="O1975" r:id="rId6951" xr:uid="{4693659D-F77A-4FFC-9D72-57CF07B17764}"/>
    <hyperlink ref="S1975" r:id="rId6952" xr:uid="{FC1DE94A-882E-4732-B224-DFB0683DCCD4}"/>
    <hyperlink ref="T1975" r:id="rId6953" xr:uid="{03801002-003A-417C-BA8C-9FC9E3DC1EAC}"/>
    <hyperlink ref="CA1975" r:id="rId6954" xr:uid="{F37EC184-D5C9-4C98-9242-CF51E05AAED4}"/>
    <hyperlink ref="CB1975" r:id="rId6955" xr:uid="{515161CE-3FFB-4237-927B-5D9E9081A58A}"/>
    <hyperlink ref="CD1975" r:id="rId6956" xr:uid="{B16A20FE-4DC9-4A2F-9871-B8E5A95E1626}"/>
    <hyperlink ref="O1976" r:id="rId6957" xr:uid="{04302B54-DFD2-427D-B590-D0B062740FF9}"/>
    <hyperlink ref="S1976" r:id="rId6958" xr:uid="{76C0A6E1-AD72-41F8-BFB0-288D22027C9D}"/>
    <hyperlink ref="T1976" r:id="rId6959" xr:uid="{AA94BBF3-B7AE-43C8-8016-28EEF8F547C4}"/>
    <hyperlink ref="CA1976" r:id="rId6960" xr:uid="{40CA9000-C547-45AB-BBA9-59C7B88B5A01}"/>
    <hyperlink ref="CB1976" r:id="rId6961" xr:uid="{0E44C99E-3A5F-48D6-B1EA-978472796E9E}"/>
    <hyperlink ref="CD1976" r:id="rId6962" xr:uid="{85AC3A2F-5F58-4DAC-8D0E-B9D83F121A58}"/>
    <hyperlink ref="O1977" r:id="rId6963" xr:uid="{C0F39E96-DFD7-4149-8618-BC51FC32454C}"/>
    <hyperlink ref="S1977" r:id="rId6964" xr:uid="{DB4D651D-369C-4DD9-9A87-72F3F2EDD3AA}"/>
    <hyperlink ref="T1977" r:id="rId6965" xr:uid="{574A3434-63D2-479A-BE82-D83D2F36B1A1}"/>
    <hyperlink ref="CA1977" r:id="rId6966" xr:uid="{A38C4600-6004-49BD-B105-EAC8DE9A6464}"/>
    <hyperlink ref="CB1977" r:id="rId6967" xr:uid="{588CBF44-C074-4839-8194-6FB314F3715C}"/>
    <hyperlink ref="CD1977" r:id="rId6968" xr:uid="{DD73EFFB-6A28-4C8B-B2B9-F2967EF2368C}"/>
    <hyperlink ref="O1978" r:id="rId6969" xr:uid="{1E8B2160-AC76-4157-90C1-B32C26A8A219}"/>
    <hyperlink ref="S1978" r:id="rId6970" xr:uid="{7720E0EC-08E8-465C-B419-BE09939C6A02}"/>
    <hyperlink ref="T1978" r:id="rId6971" xr:uid="{98305656-998C-411B-92A7-BD2FA348E40D}"/>
    <hyperlink ref="CA1978" r:id="rId6972" xr:uid="{AEED6A47-C6DA-4128-8C34-3CE87B812D5A}"/>
    <hyperlink ref="CB1978" r:id="rId6973" xr:uid="{10737F27-53D9-4EC4-81A7-F6170AC25CD2}"/>
    <hyperlink ref="CD1978" r:id="rId6974" xr:uid="{EAC92A8F-4556-4550-9989-9C9E0C20F75C}"/>
    <hyperlink ref="O1979" r:id="rId6975" xr:uid="{E717F879-87F7-4795-AF0E-01EE4DE08F2E}"/>
    <hyperlink ref="S1979" r:id="rId6976" xr:uid="{D7385032-6999-463E-A91E-EAF3CBFAA4B9}"/>
    <hyperlink ref="T1979" r:id="rId6977" xr:uid="{89C11484-46B7-4CF3-8560-CB7FDF828662}"/>
    <hyperlink ref="CA1979" r:id="rId6978" xr:uid="{CD2EB580-4B49-4EB5-A45E-04A021D1F83B}"/>
    <hyperlink ref="CB1979" r:id="rId6979" xr:uid="{7ED74BC0-0D18-4AFA-8EA2-2D831FED3786}"/>
    <hyperlink ref="CD1979" r:id="rId6980" xr:uid="{084893C1-EF51-445F-BDB1-6FB215BD6A16}"/>
    <hyperlink ref="O1980" r:id="rId6981" xr:uid="{12ED8291-9B87-4A6D-9606-469DD8AC51C6}"/>
    <hyperlink ref="S1980" r:id="rId6982" xr:uid="{109C2952-C8A8-4526-B774-95B7EF181CC8}"/>
    <hyperlink ref="T1980" r:id="rId6983" xr:uid="{45499D29-777B-4583-8974-38890DBBF856}"/>
    <hyperlink ref="CA1980" r:id="rId6984" xr:uid="{AC77FDB1-9301-43CC-9C59-1A5F394AB898}"/>
    <hyperlink ref="CB1980" r:id="rId6985" xr:uid="{D9E126B8-BA80-47A2-BCC9-E4EFB70A58B2}"/>
    <hyperlink ref="CD1980" r:id="rId6986" xr:uid="{C5F1AA27-453C-404C-9497-E074D88CE380}"/>
    <hyperlink ref="O1981" r:id="rId6987" xr:uid="{DA07A55B-813C-449F-91C5-0EC14A5E6689}"/>
    <hyperlink ref="S1981" r:id="rId6988" xr:uid="{6E9CE889-F7EF-4667-B1F1-1D1CE321C667}"/>
    <hyperlink ref="T1981" r:id="rId6989" xr:uid="{86BCD1E8-B7F9-40F1-8B56-26AA49BA3858}"/>
    <hyperlink ref="CA1981" r:id="rId6990" xr:uid="{B0F53C41-0411-42C1-8936-8BA98689AA5A}"/>
    <hyperlink ref="CB1981" r:id="rId6991" xr:uid="{D369124C-9DCD-4C60-8A8C-99F4B4C9A37F}"/>
    <hyperlink ref="CD1981" r:id="rId6992" xr:uid="{0390FC93-02BA-44A7-8E67-5B42F2238CBF}"/>
    <hyperlink ref="O1982" r:id="rId6993" xr:uid="{27B37CDA-07D0-4ACB-A17B-D2B2F96285C8}"/>
    <hyperlink ref="S1982" r:id="rId6994" xr:uid="{9EEA2E54-F553-4ED7-A99D-4792455B610A}"/>
    <hyperlink ref="T1982" r:id="rId6995" xr:uid="{5F95AEE8-11E2-47B6-B630-C0138047CDF4}"/>
    <hyperlink ref="CA1982" r:id="rId6996" xr:uid="{72001835-5FAD-4831-AA10-023660571A93}"/>
    <hyperlink ref="CB1982" r:id="rId6997" xr:uid="{CFB526FE-2273-4D29-82A4-CE029F6D17BD}"/>
    <hyperlink ref="CD1982" r:id="rId6998" xr:uid="{D4EB016C-7069-4E62-BF41-646BE324C4DE}"/>
    <hyperlink ref="O1983" r:id="rId6999" xr:uid="{B2E05121-F7F7-43AD-A8CB-454947FE7140}"/>
    <hyperlink ref="S1983" r:id="rId7000" xr:uid="{89E83337-CA7C-4B69-B7ED-9AE8B0DD24F7}"/>
    <hyperlink ref="T1983" r:id="rId7001" xr:uid="{7E5E3BF1-0A0E-439A-B1CE-468C2E754B8F}"/>
    <hyperlink ref="CA1983" r:id="rId7002" xr:uid="{E1266CB8-B7E3-42BA-8D69-B9EC831A4AD6}"/>
    <hyperlink ref="CB1983" r:id="rId7003" xr:uid="{501B6F2B-BCD4-4B44-B1DE-E486FCC0824B}"/>
    <hyperlink ref="CD1983" r:id="rId7004" xr:uid="{10E8C29C-3269-478A-9815-F1D843682A5C}"/>
    <hyperlink ref="O1984" r:id="rId7005" xr:uid="{62E737CD-2F54-43FB-936E-E010EF69EC2B}"/>
    <hyperlink ref="S1984" r:id="rId7006" xr:uid="{821B8768-B736-4160-9326-FA94A6AA246F}"/>
    <hyperlink ref="CA1984" r:id="rId7007" xr:uid="{A0564084-F1F2-46B8-B718-4C818E310739}"/>
    <hyperlink ref="O1985" r:id="rId7008" xr:uid="{698026B3-A7DC-4A84-9108-15F4885CF50C}"/>
    <hyperlink ref="S1985" r:id="rId7009" xr:uid="{0AFE57F4-A481-4364-B375-63A52C045B3F}"/>
    <hyperlink ref="T1985" r:id="rId7010" xr:uid="{017F52D7-E6D7-4D75-82B6-4D225D6B6C7E}"/>
    <hyperlink ref="CA1985" r:id="rId7011" xr:uid="{873ED8E5-BBFE-44C0-BFA7-C40F4DCA7B81}"/>
    <hyperlink ref="CB1985" r:id="rId7012" xr:uid="{C6EDA873-D65E-438C-A4AB-958C097020A6}"/>
    <hyperlink ref="CD1985" r:id="rId7013" xr:uid="{52CF723C-135A-4D05-8D9C-13F33B5B553E}"/>
    <hyperlink ref="O1986" r:id="rId7014" xr:uid="{028715F8-0103-4AB3-9D45-8E53DD644FD2}"/>
    <hyperlink ref="S1986" r:id="rId7015" xr:uid="{F8067FB3-047D-463A-BBAE-83B5770FF4E2}"/>
    <hyperlink ref="T1986" r:id="rId7016" xr:uid="{8E8D2A31-71E2-4D2C-B0F1-FC150DA40EC7}"/>
    <hyperlink ref="CA1986" r:id="rId7017" xr:uid="{19ACDC3A-B070-4279-A18D-FD69BD90B17B}"/>
    <hyperlink ref="CB1986" r:id="rId7018" xr:uid="{DC473047-47FF-4B62-8CF9-5EB02F2C7801}"/>
    <hyperlink ref="CD1986" r:id="rId7019" xr:uid="{C6066D38-0BF9-4A00-B52D-30E8C776F457}"/>
    <hyperlink ref="O1987" r:id="rId7020" xr:uid="{F31F45E4-C8DB-4E4A-89CB-F7CA9E1A896B}"/>
    <hyperlink ref="S1987" r:id="rId7021" xr:uid="{53DA8C3F-95FF-4C5E-A470-3076B73857B7}"/>
    <hyperlink ref="T1987" r:id="rId7022" xr:uid="{F8379B81-0619-4907-A057-5810B4E299AD}"/>
    <hyperlink ref="CA1987" r:id="rId7023" xr:uid="{79CB88DB-0926-41D5-BB4F-E472264EB4DB}"/>
    <hyperlink ref="CB1987" r:id="rId7024" xr:uid="{E7E7472D-3C4F-400C-B072-4A3EB9550BB4}"/>
    <hyperlink ref="CD1987" r:id="rId7025" xr:uid="{A4C21055-86E5-4BAE-9369-E635DD2C6BFB}"/>
    <hyperlink ref="O1988" r:id="rId7026" xr:uid="{1755A0DC-15D0-4294-A723-7C7BFAC0BB37}"/>
    <hyperlink ref="S1988" r:id="rId7027" xr:uid="{75885A7B-C8A8-4EF1-B414-82F6F4017ABA}"/>
    <hyperlink ref="T1988" r:id="rId7028" xr:uid="{9E6665C1-0527-4B3B-95EB-D7E2E833DA67}"/>
    <hyperlink ref="CA1988" r:id="rId7029" xr:uid="{B3FB5D57-9EBB-47D8-B24B-9686712080DC}"/>
    <hyperlink ref="CB1988" r:id="rId7030" xr:uid="{A21212D6-44B0-4CFE-9A07-9295227B5E4F}"/>
    <hyperlink ref="CD1988" r:id="rId7031" xr:uid="{B44D64B3-66B5-452C-AC27-E70F987E519C}"/>
    <hyperlink ref="O1989" r:id="rId7032" xr:uid="{2258AFCD-6474-4B4A-AB1D-52E084CBF06D}"/>
    <hyperlink ref="S1989" r:id="rId7033" xr:uid="{A4AC94AB-7549-4558-8D19-C1633017D7AA}"/>
    <hyperlink ref="T1989" r:id="rId7034" xr:uid="{50F45AB9-7516-4A8E-B138-234108A075B9}"/>
    <hyperlink ref="CA1989" r:id="rId7035" xr:uid="{485872DF-4045-4E94-95AA-D0657F6FA7F3}"/>
    <hyperlink ref="CB1989" r:id="rId7036" xr:uid="{0C577988-F8DA-4DF2-9633-98379C6C2C59}"/>
    <hyperlink ref="CD1989" r:id="rId7037" xr:uid="{566ED844-1873-46BC-BE2E-6BA0CC40C232}"/>
    <hyperlink ref="O1990" r:id="rId7038" xr:uid="{C78510B4-C93C-4E6B-A806-271375EEB5AD}"/>
    <hyperlink ref="S1990" r:id="rId7039" xr:uid="{A6EEDE50-5CF4-4391-B1BF-FF536E7FD2D3}"/>
    <hyperlink ref="T1990" r:id="rId7040" xr:uid="{9A19B240-7791-4701-BB4B-0373D1316843}"/>
    <hyperlink ref="CA1990" r:id="rId7041" xr:uid="{0A92A640-984F-470D-A92D-E40E6FBAA9C1}"/>
    <hyperlink ref="CB1990" r:id="rId7042" xr:uid="{49BA4B50-BFF5-45AB-814F-C9402A166619}"/>
    <hyperlink ref="CD1990" r:id="rId7043" xr:uid="{CE873BE8-286A-45C0-9718-20D391E6A8E7}"/>
    <hyperlink ref="O1991" r:id="rId7044" xr:uid="{3DF4842A-FCD6-4AF5-BB8F-F055B09EEBA1}"/>
    <hyperlink ref="S1991" r:id="rId7045" xr:uid="{C26AC8A2-A018-47D6-8EB7-27B0D479ECA6}"/>
    <hyperlink ref="T1991" r:id="rId7046" xr:uid="{1EC99194-E7B1-439E-93EE-705C4B4BA479}"/>
    <hyperlink ref="CA1991" r:id="rId7047" xr:uid="{D91420CB-A9B9-4D14-9AF6-89831057F35B}"/>
    <hyperlink ref="CB1991" r:id="rId7048" xr:uid="{FBA1ABFE-C862-4CC7-BA8F-0127F4E28880}"/>
    <hyperlink ref="CD1991" r:id="rId7049" xr:uid="{070D3D2F-FF1A-4230-BE30-32EF669A9BCE}"/>
    <hyperlink ref="O1992" r:id="rId7050" xr:uid="{2137304A-A177-4E40-9E3A-7038FA28B3CB}"/>
    <hyperlink ref="S1992" r:id="rId7051" xr:uid="{26E8E8F7-C4B9-4E34-96DF-6701A4CE6F1D}"/>
    <hyperlink ref="T1992" r:id="rId7052" xr:uid="{42EEEE5B-BDB7-45DB-AE94-7A0BC4766F78}"/>
    <hyperlink ref="CA1992" r:id="rId7053" xr:uid="{C386BFFD-BF9A-467E-8A6F-E98F6FF6FB98}"/>
    <hyperlink ref="CB1992" r:id="rId7054" xr:uid="{17405C12-7FAA-4207-8E62-14BE67175B31}"/>
    <hyperlink ref="CD1992" r:id="rId7055" xr:uid="{5C08D712-7932-40F4-9097-591E9FCE4FA1}"/>
    <hyperlink ref="O1993" r:id="rId7056" xr:uid="{47947DF6-F6F0-4FED-9781-886989FC0B78}"/>
    <hyperlink ref="S1993" r:id="rId7057" xr:uid="{8AA37F7D-B7F7-4D0B-8463-FA493384AFD9}"/>
    <hyperlink ref="T1993" r:id="rId7058" xr:uid="{08429BBD-76EC-411D-9827-59482C254CB0}"/>
    <hyperlink ref="CA1993" r:id="rId7059" xr:uid="{5B494B77-9CF8-4395-BCA4-50EAB878755A}"/>
    <hyperlink ref="CB1993" r:id="rId7060" xr:uid="{D42FE916-0FBE-4DEC-9D48-FA5D391A01BD}"/>
    <hyperlink ref="CD1993" r:id="rId7061" xr:uid="{2C1CC1EE-9BC0-4B92-825E-1F02495D4C07}"/>
    <hyperlink ref="O1994" r:id="rId7062" xr:uid="{47EF9917-B1D8-4535-827F-4A117F3E4FF2}"/>
    <hyperlink ref="S1994" r:id="rId7063" xr:uid="{D79E24FD-41B9-41C5-9FC8-F883401FA4FC}"/>
    <hyperlink ref="T1994" r:id="rId7064" xr:uid="{36E3FFD7-4F1F-4C6C-9335-5367749D1A03}"/>
    <hyperlink ref="CA1994" r:id="rId7065" xr:uid="{77E04AA8-5789-4A09-9B48-1FD852086C7D}"/>
    <hyperlink ref="CB1994" r:id="rId7066" xr:uid="{F5EB6324-C0E7-4606-9E1A-2EB10390627C}"/>
    <hyperlink ref="CD1994" r:id="rId7067" xr:uid="{AFC7B872-FFF1-46FC-913E-EF14B608A3A0}"/>
    <hyperlink ref="O1995" r:id="rId7068" xr:uid="{26659280-09E6-4513-8571-2F7F71014290}"/>
    <hyperlink ref="S1995" r:id="rId7069" xr:uid="{0D372EB7-FD41-4F83-8C1D-B46F22118586}"/>
    <hyperlink ref="CA1995" r:id="rId7070" xr:uid="{30EFE927-86DF-490F-A35A-5AFB9FA2C826}"/>
    <hyperlink ref="CD1995" r:id="rId7071" xr:uid="{6D82CD24-3F16-47B5-947E-4EB89D1D83F5}"/>
    <hyperlink ref="O1996" r:id="rId7072" xr:uid="{D4926E50-5C21-4D7F-A5DF-6EA2182A4B34}"/>
    <hyperlink ref="S1996" r:id="rId7073" xr:uid="{CA723AE1-9438-4A5D-95CB-BB8598675BC1}"/>
    <hyperlink ref="T1996" r:id="rId7074" xr:uid="{9F475793-4530-413E-988B-8FB01F224E9C}"/>
    <hyperlink ref="CA1996" r:id="rId7075" xr:uid="{019D6A78-F1CA-4986-8FE7-E3859647C374}"/>
    <hyperlink ref="CB1996" r:id="rId7076" xr:uid="{B48330B9-8FD9-4D85-9A93-6E901C0862D6}"/>
    <hyperlink ref="CD1996" r:id="rId7077" xr:uid="{0A8F9E1E-B04D-46C5-9D36-235EF697A356}"/>
    <hyperlink ref="O1997" r:id="rId7078" xr:uid="{96D83D33-990C-4FCE-92B5-428D989F1466}"/>
    <hyperlink ref="S1997" r:id="rId7079" xr:uid="{4A8DBE3D-2DB3-4597-AC17-23479B732BCA}"/>
    <hyperlink ref="CA1997" r:id="rId7080" xr:uid="{1309D73A-9D35-4644-8734-3AF63C0F64F0}"/>
    <hyperlink ref="CD1997" r:id="rId7081" xr:uid="{55E04090-F9F5-4522-BC52-D8F1D94FD16C}"/>
    <hyperlink ref="S1998" r:id="rId7082" xr:uid="{6F930795-9AA0-4292-B387-1A5D0D8129B0}"/>
    <hyperlink ref="CA1998" r:id="rId7083" xr:uid="{875D98EA-051E-4740-8C6A-901476761762}"/>
    <hyperlink ref="O1999" r:id="rId7084" xr:uid="{F7723088-A1EC-4311-998C-BEB89EBAC9D6}"/>
    <hyperlink ref="S1999" r:id="rId7085" xr:uid="{327C4231-BA03-45DD-9DEB-03328147273C}"/>
    <hyperlink ref="CA1999" r:id="rId7086" xr:uid="{77635982-0305-46B7-B01A-420B8DA454E5}"/>
    <hyperlink ref="CD1999" r:id="rId7087" xr:uid="{A2565861-7D22-4227-BB6F-6B92727EDF88}"/>
    <hyperlink ref="O2000" r:id="rId7088" xr:uid="{970418FF-A660-4052-BBEE-EFD3964AC13B}"/>
    <hyperlink ref="S2000" r:id="rId7089" xr:uid="{37310331-DD9F-4C88-8831-67859A33A0BC}"/>
    <hyperlink ref="CA2000" r:id="rId7090" xr:uid="{E5463133-6140-45B7-9A8A-C9DA0ABEB33B}"/>
    <hyperlink ref="CD2000" r:id="rId7091" xr:uid="{FF7A0A58-9BCB-4029-AC1B-D54448A1E24B}"/>
    <hyperlink ref="O2001" r:id="rId7092" xr:uid="{374B8F00-E077-4799-B71B-A164BA5A7C37}"/>
    <hyperlink ref="S2001" r:id="rId7093" xr:uid="{1A36B5FC-A58A-4AA4-930B-1BDBC935221B}"/>
    <hyperlink ref="CA2001" r:id="rId7094" xr:uid="{633762FD-C720-479D-8551-9084050DE525}"/>
    <hyperlink ref="CD2001" r:id="rId7095" xr:uid="{025A115F-92B7-4A08-A7C6-CBBD6614E238}"/>
    <hyperlink ref="O2002" r:id="rId7096" xr:uid="{97056DD0-FA7A-476B-A456-CF58B39447B2}"/>
    <hyperlink ref="S2002" r:id="rId7097" xr:uid="{B33B82A4-4951-4B43-8852-490AA7141166}"/>
    <hyperlink ref="CA2002" r:id="rId7098" xr:uid="{A1B66905-A016-428C-9BE4-13DD7273D728}"/>
    <hyperlink ref="CD2002" r:id="rId7099" xr:uid="{922860F5-EDB3-4490-AF41-A981A8550C06}"/>
    <hyperlink ref="O2003" r:id="rId7100" xr:uid="{8C78FCF5-BF98-4817-8780-A335F27F93AD}"/>
    <hyperlink ref="S2003" r:id="rId7101" xr:uid="{1907DDF8-DE06-42A2-8884-96067CFACD20}"/>
    <hyperlink ref="CA2003" r:id="rId7102" xr:uid="{A592C33D-31A0-444F-8B25-E6D3F6D898A6}"/>
    <hyperlink ref="CD2003" r:id="rId7103" xr:uid="{FE435537-6255-48DE-8236-10D8D647E8B8}"/>
    <hyperlink ref="O2004" r:id="rId7104" xr:uid="{0DDA1700-4F29-4D62-9DB6-126CE8F43AF3}"/>
    <hyperlink ref="S2004" r:id="rId7105" xr:uid="{DF86DC48-FFE1-42C5-8677-F9E78A1B01BE}"/>
    <hyperlink ref="T2004" r:id="rId7106" xr:uid="{45458919-1333-422F-9896-9B2DDD2353AA}"/>
    <hyperlink ref="CA2004" r:id="rId7107" xr:uid="{ABA3E8A0-FCF4-4953-A27F-46A0FC250A20}"/>
    <hyperlink ref="CB2004" r:id="rId7108" xr:uid="{D6C1D60A-BE1A-4588-8290-77E402021344}"/>
    <hyperlink ref="CD2004" r:id="rId7109" xr:uid="{C8795AF0-4F3D-43C1-B8C2-321627195894}"/>
    <hyperlink ref="O2005" r:id="rId7110" xr:uid="{797A4F5C-213A-425F-BB82-5203768E862D}"/>
    <hyperlink ref="S2005" r:id="rId7111" xr:uid="{8E807C13-57D2-486E-B4C5-D4DFFEE55B7A}"/>
    <hyperlink ref="T2005" r:id="rId7112" xr:uid="{7D137F70-75AB-4396-B150-F5059C5BD687}"/>
    <hyperlink ref="CA2005" r:id="rId7113" xr:uid="{E7A11CED-8CF6-425C-AAC0-B79B531B141F}"/>
    <hyperlink ref="CB2005" r:id="rId7114" xr:uid="{FDC7FC05-17DC-4EB1-8593-01CCFB6384F6}"/>
    <hyperlink ref="CD2005" r:id="rId7115" xr:uid="{1FBDA370-C1B4-47E4-883B-E04C89F1A324}"/>
    <hyperlink ref="O2006" r:id="rId7116" xr:uid="{8A7D47B4-B918-4A95-B386-D9DABD9FB875}"/>
    <hyperlink ref="S2006" r:id="rId7117" xr:uid="{EED3A00B-0F5C-400E-929B-2E218D1C7CE8}"/>
    <hyperlink ref="T2006" r:id="rId7118" xr:uid="{0B33968D-0BC5-42D9-8668-B92A4412CA9E}"/>
    <hyperlink ref="CA2006" r:id="rId7119" xr:uid="{DF1C2E0A-0752-4EDA-8491-92120454CA11}"/>
    <hyperlink ref="CB2006" r:id="rId7120" xr:uid="{1642FE7F-6AA7-41CC-9DA5-AA6B91FC83D0}"/>
    <hyperlink ref="CD2006" r:id="rId7121" xr:uid="{59BCFFDE-3A78-4823-A9E6-0E8CA44E9EA7}"/>
    <hyperlink ref="O2007" r:id="rId7122" xr:uid="{E6FC99DD-808E-4707-B7EC-EAACA75A8AEB}"/>
    <hyperlink ref="S2007" r:id="rId7123" xr:uid="{BF3009AD-AF96-44AE-B41F-0FE92757597D}"/>
    <hyperlink ref="T2007" r:id="rId7124" xr:uid="{429E2A5D-CFC0-4ADC-87BC-419B1D6BBFC0}"/>
    <hyperlink ref="CA2007" r:id="rId7125" xr:uid="{A3533163-4D5D-4709-BD23-7E7A2DBCAFB7}"/>
    <hyperlink ref="CB2007" r:id="rId7126" xr:uid="{503B2231-2E90-4E15-A18D-B451587477CD}"/>
    <hyperlink ref="CD2007" r:id="rId7127" xr:uid="{2D5F9494-4A98-4893-A5B0-0FC0AF11457B}"/>
    <hyperlink ref="O2008" r:id="rId7128" xr:uid="{8FBAE578-7282-4EF1-9125-1C112F6B4894}"/>
    <hyperlink ref="S2008" r:id="rId7129" xr:uid="{CA7DD664-887A-4041-BE75-A02C99333B87}"/>
    <hyperlink ref="T2008" r:id="rId7130" xr:uid="{CF49F0DB-9806-40E2-92A6-9E033C4A508B}"/>
    <hyperlink ref="CA2008" r:id="rId7131" xr:uid="{4D6368AF-03FE-473E-A96A-CA25C2064660}"/>
    <hyperlink ref="CB2008" r:id="rId7132" xr:uid="{A943D53E-D019-465E-8D08-E1B4A9D1A6E9}"/>
    <hyperlink ref="CD2008" r:id="rId7133" xr:uid="{3D9D50A9-2EBB-4154-AECA-FFE27FC312B9}"/>
    <hyperlink ref="O2009" r:id="rId7134" xr:uid="{3682276C-A6EE-4530-8866-E568071F4597}"/>
    <hyperlink ref="S2009" r:id="rId7135" xr:uid="{532E6205-612D-499E-B40B-11A94BDEF7F4}"/>
    <hyperlink ref="T2009" r:id="rId7136" xr:uid="{A9C5C180-DEFE-43F0-9C87-594E3309CDEC}"/>
    <hyperlink ref="CA2009" r:id="rId7137" xr:uid="{38EEB603-58D8-49F7-B9D5-C0A7C3B33E3E}"/>
    <hyperlink ref="CB2009" r:id="rId7138" xr:uid="{4BC7950E-549D-4FB2-A27A-1F7DA976BD53}"/>
    <hyperlink ref="CD2009" r:id="rId7139" xr:uid="{19EA4E47-DDA4-4E1A-98A8-F618B2BE1A14}"/>
    <hyperlink ref="O2010" r:id="rId7140" xr:uid="{5CE66F17-CB84-433F-AC97-C30848990E33}"/>
    <hyperlink ref="S2010" r:id="rId7141" xr:uid="{16401E68-73B8-4D09-A377-9BABD6246185}"/>
    <hyperlink ref="T2010" r:id="rId7142" xr:uid="{5D139438-5A18-4165-AF62-9063D05B8755}"/>
    <hyperlink ref="CA2010" r:id="rId7143" xr:uid="{A830B97A-282F-4027-8A67-9F8766E3C80B}"/>
    <hyperlink ref="CB2010" r:id="rId7144" xr:uid="{7EA42C74-2BC0-4FF8-9813-1955A0479B36}"/>
    <hyperlink ref="CD2010" r:id="rId7145" xr:uid="{B0BC0903-1D1C-4A2D-A86E-62E52148A53B}"/>
    <hyperlink ref="O2011" r:id="rId7146" xr:uid="{4006A3DA-976B-408E-A43F-9482BB21AFC9}"/>
    <hyperlink ref="S2011" r:id="rId7147" xr:uid="{02121F06-49E5-45FF-BE94-2D2F27C61357}"/>
    <hyperlink ref="T2011" r:id="rId7148" xr:uid="{96944330-1B56-4DD5-9973-BACFD337ED38}"/>
    <hyperlink ref="CA2011" r:id="rId7149" xr:uid="{DEB5D76A-BA27-42B6-B8CE-7D9C19096DA9}"/>
    <hyperlink ref="CB2011" r:id="rId7150" xr:uid="{AE6F8397-26D0-4BC1-AE4D-D3F191470025}"/>
    <hyperlink ref="CD2011" r:id="rId7151" xr:uid="{D1691AF0-A872-4B3D-83EF-DC067EA5E77F}"/>
    <hyperlink ref="O2012" r:id="rId7152" xr:uid="{094DA163-4DA5-467A-9817-8F9D3696E402}"/>
    <hyperlink ref="S2012" r:id="rId7153" xr:uid="{6D373059-3F75-447B-A7A1-27C5911A573E}"/>
    <hyperlink ref="T2012" r:id="rId7154" xr:uid="{C671BCE1-75D5-4EE1-BFDA-454463D637DE}"/>
    <hyperlink ref="CA2012" r:id="rId7155" xr:uid="{38F34EF5-406A-4552-9DE3-22186D6413D0}"/>
    <hyperlink ref="CB2012" r:id="rId7156" xr:uid="{E793A271-0E8A-486C-83AC-AAD7EF0E9111}"/>
    <hyperlink ref="CD2012" r:id="rId7157" xr:uid="{A8CBF4A3-6F18-41AB-A72D-A5F8BE86DA2F}"/>
    <hyperlink ref="O2013" r:id="rId7158" xr:uid="{D06A013A-2418-4376-A3CD-0FFF394BC20B}"/>
    <hyperlink ref="S2013" r:id="rId7159" xr:uid="{45FEE778-10DE-49F5-9AA0-9CB7FE1B2826}"/>
    <hyperlink ref="T2013" r:id="rId7160" xr:uid="{DC607D62-587A-4865-AB3E-8BFEBBC5F238}"/>
    <hyperlink ref="CA2013" r:id="rId7161" xr:uid="{DA678876-1F8C-4CA6-968E-FCB1E6F1E98D}"/>
    <hyperlink ref="CB2013" r:id="rId7162" xr:uid="{9954AA31-D828-41A8-878D-DD3479D4CE91}"/>
    <hyperlink ref="CD2013" r:id="rId7163" xr:uid="{A40D2B99-C9E5-44C8-9277-4F932D9A6A4C}"/>
    <hyperlink ref="O2014" r:id="rId7164" xr:uid="{AEF0C828-37CF-4405-BA58-CF2E0DC6D35A}"/>
    <hyperlink ref="S2014" r:id="rId7165" xr:uid="{4D4CBBBB-C84C-493F-8407-FB9FA337AF65}"/>
    <hyperlink ref="CA2014" r:id="rId7166" xr:uid="{87A96229-88F5-43E1-A68C-2F6E3A5827E4}"/>
    <hyperlink ref="O2015" r:id="rId7167" xr:uid="{533C8925-C6E5-467C-A5CB-65D1949440BA}"/>
    <hyperlink ref="S2015" r:id="rId7168" xr:uid="{DA437ED3-029D-469D-9EF4-C17CB0C65960}"/>
    <hyperlink ref="CA2015" r:id="rId7169" xr:uid="{0504F19D-4235-471D-914A-131E204424D2}"/>
    <hyperlink ref="O2016" r:id="rId7170" xr:uid="{66B24BE3-646C-4A4D-A59D-454504A8DAA9}"/>
    <hyperlink ref="S2016" r:id="rId7171" xr:uid="{52257827-389E-4C55-AB73-2B38AFC20EEF}"/>
    <hyperlink ref="CA2016" r:id="rId7172" xr:uid="{2310D893-5C50-4B16-B87C-C04A405B3BF0}"/>
    <hyperlink ref="O2017" r:id="rId7173" xr:uid="{A33722CF-D564-434E-AEEC-72D671CEF83A}"/>
    <hyperlink ref="S2017" r:id="rId7174" xr:uid="{2877442B-E6C2-4B36-BFE9-21AD72E34DBA}"/>
    <hyperlink ref="CA2017" r:id="rId7175" xr:uid="{10494C09-CAD2-4D89-9321-E9882E98DCAD}"/>
    <hyperlink ref="O2018" r:id="rId7176" xr:uid="{72811C9F-85F1-4A91-938D-B4A3582FE47E}"/>
    <hyperlink ref="S2018" r:id="rId7177" xr:uid="{FD5BD80D-BB64-4424-9F34-6C2D1B01F98C}"/>
    <hyperlink ref="CA2018" r:id="rId7178" xr:uid="{2D0C525E-32FB-425C-8546-0D8F34F91DB9}"/>
    <hyperlink ref="O2019" r:id="rId7179" xr:uid="{7DF44D7E-BDD1-4D06-BF66-237DB21D2C29}"/>
    <hyperlink ref="S2019" r:id="rId7180" xr:uid="{1A1F00A6-582F-4FAC-9855-2C59467E181C}"/>
    <hyperlink ref="CA2019" r:id="rId7181" xr:uid="{71E98F0D-F109-47AF-88B0-828296B6BE94}"/>
    <hyperlink ref="O2020" r:id="rId7182" xr:uid="{3898B4AE-E2FF-4959-8863-9D2F45CA4F2D}"/>
    <hyperlink ref="S2020" r:id="rId7183" xr:uid="{62DD35E9-7AF4-4EC2-AA9C-E0534F504DF1}"/>
    <hyperlink ref="CA2020" r:id="rId7184" xr:uid="{4ADB2C3C-BA6E-455C-ADCC-D29F3FCBB537}"/>
    <hyperlink ref="O2021" r:id="rId7185" xr:uid="{92EF3D77-F7D0-4C7C-93AB-7D43C42A446D}"/>
    <hyperlink ref="S2021" r:id="rId7186" xr:uid="{133C8F1B-D5C5-4AB6-AD61-FF0F1232D59A}"/>
    <hyperlink ref="CA2021" r:id="rId7187" xr:uid="{0027587D-2FE0-4701-9564-D3F0E7BEC541}"/>
    <hyperlink ref="O2022" r:id="rId7188" xr:uid="{CA8949E4-29C7-42FF-8451-8D41A36BCAF3}"/>
    <hyperlink ref="S2022" r:id="rId7189" xr:uid="{CB2034EC-AA5B-4421-9C67-68BFC540C550}"/>
    <hyperlink ref="CA2022" r:id="rId7190" xr:uid="{87C83FD5-41AE-4569-8FFD-AD9EEAD0DC08}"/>
    <hyperlink ref="O2023" r:id="rId7191" xr:uid="{523FCDBB-99CC-42AB-A11F-A1B77CEE0DB4}"/>
    <hyperlink ref="S2023" r:id="rId7192" xr:uid="{5F8E7395-05F8-4BAB-92C5-35EAAC2C346F}"/>
    <hyperlink ref="CA2023" r:id="rId7193" xr:uid="{7B46E3FF-1C40-4C78-8957-8432D3D32C69}"/>
    <hyperlink ref="O2024" r:id="rId7194" xr:uid="{9FF378E3-3AC5-4589-8510-F7B34AFFEC97}"/>
    <hyperlink ref="S2024" r:id="rId7195" xr:uid="{BEAAE5FE-124B-4CC0-A1E5-DD295D58BF38}"/>
    <hyperlink ref="CA2024" r:id="rId7196" xr:uid="{E32E8BD4-386E-41FB-A823-FC20A3AADAEB}"/>
    <hyperlink ref="O2025" r:id="rId7197" xr:uid="{8EB83031-408F-4807-8C2E-BD213BE1F478}"/>
    <hyperlink ref="S2025" r:id="rId7198" xr:uid="{4867E410-13CD-496F-B113-05380644B44A}"/>
    <hyperlink ref="CA2025" r:id="rId7199" xr:uid="{88F349D0-C184-4B8F-BBA5-0E0E7A48EC0C}"/>
    <hyperlink ref="O2026" r:id="rId7200" xr:uid="{F814796D-50D3-4FEA-95CB-7A7A9E58D85E}"/>
    <hyperlink ref="S2026" r:id="rId7201" xr:uid="{FBBAC112-B04D-49D0-8FD2-D6CF49B7A189}"/>
    <hyperlink ref="CA2026" r:id="rId7202" xr:uid="{DE243B89-F75C-4520-88AD-61255645D37C}"/>
    <hyperlink ref="O2027" r:id="rId7203" xr:uid="{FA2D4CEB-BEF2-4148-BD97-DE4F4B8DFAFA}"/>
    <hyperlink ref="S2027" r:id="rId7204" xr:uid="{05A19709-EA32-4F7B-9B0E-6BE8C1BEC462}"/>
    <hyperlink ref="CA2027" r:id="rId7205" xr:uid="{01D288D1-6A26-47DC-9EC7-C75E0444E276}"/>
    <hyperlink ref="O2028" r:id="rId7206" xr:uid="{A4B1A9C6-85C5-40F8-B0FC-95CC6B34CB73}"/>
    <hyperlink ref="S2028" r:id="rId7207" xr:uid="{E8DC34BC-820C-430A-BBC3-FC97AA5DFE45}"/>
    <hyperlink ref="CA2028" r:id="rId7208" xr:uid="{ADE0FD85-9ACA-4749-8E77-D43501BDB533}"/>
    <hyperlink ref="O2029" r:id="rId7209" xr:uid="{3B5234A0-5475-46DF-90D3-2E02F2598681}"/>
    <hyperlink ref="S2029" r:id="rId7210" xr:uid="{2EA1897D-CD49-4792-9373-1D351D2A6302}"/>
    <hyperlink ref="CA2029" r:id="rId7211" xr:uid="{74B4E1B3-80B3-44B4-8325-DD408A6CFA52}"/>
    <hyperlink ref="O2030" r:id="rId7212" xr:uid="{DB358DA7-F178-4DD0-A734-D7ADCA90F1F3}"/>
    <hyperlink ref="S2030" r:id="rId7213" xr:uid="{361A3C98-1514-4D09-93DC-B5334A88B5D7}"/>
    <hyperlink ref="CA2030" r:id="rId7214" xr:uid="{C3E59242-19F1-42A5-9963-04981B79B57B}"/>
    <hyperlink ref="CD2030" r:id="rId7215" xr:uid="{A4556495-AF22-43FA-A6E0-DB8B3E3CA6CA}"/>
    <hyperlink ref="O2031" r:id="rId7216" xr:uid="{8A3F6B71-5852-4693-BFFA-BE6D54DDAABE}"/>
    <hyperlink ref="S2031" r:id="rId7217" xr:uid="{D91F383E-1D27-41B4-8DF7-CAB3B971D9A1}"/>
    <hyperlink ref="CA2031" r:id="rId7218" xr:uid="{AD2EA9F6-3D53-4849-8194-646021F88694}"/>
    <hyperlink ref="CD2031" r:id="rId7219" xr:uid="{244DB97D-762E-4713-8727-04B74CC63579}"/>
    <hyperlink ref="O2032" r:id="rId7220" xr:uid="{9ECE84C4-04DA-4E40-BE76-B8D07C681457}"/>
    <hyperlink ref="S2032" r:id="rId7221" xr:uid="{E3F0FFC1-5E54-468E-A7A5-9FC978E50FA3}"/>
    <hyperlink ref="CA2032" r:id="rId7222" xr:uid="{7E8489B3-7746-4F44-98AC-D10A21658118}"/>
    <hyperlink ref="CD2032" r:id="rId7223" xr:uid="{02A24175-0A2D-4337-B36C-0316FA08D7DF}"/>
    <hyperlink ref="O2033" r:id="rId7224" xr:uid="{AE15BA39-F6B7-46AC-A370-CE7BF43352B0}"/>
    <hyperlink ref="S2033" r:id="rId7225" xr:uid="{475C8E8C-90BC-41B5-BDF0-ECF639B39E8D}"/>
    <hyperlink ref="CA2033" r:id="rId7226" xr:uid="{9C805AFD-52BF-47FC-A4AF-B41BC75C467A}"/>
    <hyperlink ref="CD2033" r:id="rId7227" xr:uid="{85D895D4-E6D0-4BDF-8564-33C85DBB1B1A}"/>
    <hyperlink ref="O2034" r:id="rId7228" xr:uid="{B004D3F9-326A-4DBC-82D5-0E86559F3F2A}"/>
    <hyperlink ref="S2034" r:id="rId7229" xr:uid="{CFADA843-2388-43A6-9BB9-5EEC9457520F}"/>
    <hyperlink ref="T2034" r:id="rId7230" xr:uid="{F772D85D-CA7E-4C84-BF8E-1C515D6C7E6D}"/>
    <hyperlink ref="CA2034" r:id="rId7231" xr:uid="{63CF0722-031C-4A5D-9C46-BC76543BAF57}"/>
    <hyperlink ref="CB2034" r:id="rId7232" xr:uid="{57B22FE4-E1EC-460A-B85A-AD65E0998FA2}"/>
    <hyperlink ref="CD2034" r:id="rId7233" xr:uid="{AE06F466-E146-44B7-BA31-07A133AE6444}"/>
    <hyperlink ref="O2035" r:id="rId7234" xr:uid="{C4363673-8EC3-4ECE-B496-FAC3386868B3}"/>
    <hyperlink ref="S2035" r:id="rId7235" xr:uid="{282C285F-CE60-4AFC-BE11-EC18667BD2A2}"/>
    <hyperlink ref="CA2035" r:id="rId7236" xr:uid="{0FC25865-1DCC-4E21-BC2F-4131FD64A100}"/>
    <hyperlink ref="CD2035" r:id="rId7237" xr:uid="{E0F5BC0E-6016-4432-88A2-609F344E14AC}"/>
    <hyperlink ref="O2036" r:id="rId7238" xr:uid="{483DFA8E-625A-4E81-A60C-2C5E34C6DB89}"/>
    <hyperlink ref="S2036" r:id="rId7239" xr:uid="{0DDD975D-72D3-4D7C-8497-E4DEA4D2D435}"/>
    <hyperlink ref="T2036" r:id="rId7240" xr:uid="{BCC696A8-E4EC-4679-8DE0-029D7C1A6432}"/>
    <hyperlink ref="CA2036" r:id="rId7241" xr:uid="{7B00F672-C8EB-4DEB-9D21-C40649817F52}"/>
    <hyperlink ref="CB2036" r:id="rId7242" xr:uid="{57DB4946-0EC3-4483-A6B7-CCD38338E2C4}"/>
    <hyperlink ref="CD2036" r:id="rId7243" xr:uid="{1D02F892-BC11-442B-9692-0C64A734EF4F}"/>
    <hyperlink ref="O2037" r:id="rId7244" xr:uid="{B99B598B-B205-419C-BC3A-0187E6150648}"/>
    <hyperlink ref="S2037" r:id="rId7245" xr:uid="{E4CAF730-1C90-45C5-947E-770249EC52BD}"/>
    <hyperlink ref="T2037" r:id="rId7246" xr:uid="{AD61EF87-078E-41ED-B555-A659C9B12AA0}"/>
    <hyperlink ref="CA2037" r:id="rId7247" xr:uid="{46759F70-D4BE-4FDC-8DC0-E42C7722FD69}"/>
    <hyperlink ref="CB2037" r:id="rId7248" xr:uid="{AFEE429C-8074-4A3A-80D7-9AC696ED7B46}"/>
    <hyperlink ref="CD2037" r:id="rId7249" xr:uid="{0CF7E305-617E-4877-BA71-7CCD9EBF5FF8}"/>
    <hyperlink ref="O2038" r:id="rId7250" xr:uid="{A76CF35D-F0F8-4C93-A211-2E1D7D7058D4}"/>
    <hyperlink ref="S2038" r:id="rId7251" xr:uid="{38F78AAD-B9F6-4B06-9D64-FE0716906EF6}"/>
    <hyperlink ref="T2038" r:id="rId7252" xr:uid="{30E267AA-9641-47E4-9E1F-E2B903E31FDB}"/>
    <hyperlink ref="CA2038" r:id="rId7253" xr:uid="{D78A37F0-25D2-4821-AD22-9D7B4DBE4B5F}"/>
    <hyperlink ref="CB2038" r:id="rId7254" xr:uid="{7E30EB02-4DEF-46CA-94E5-8BD22F5910FD}"/>
    <hyperlink ref="CD2038" r:id="rId7255" xr:uid="{500FD9AB-7D22-487D-85D0-4BD2A162DE92}"/>
    <hyperlink ref="O2039" r:id="rId7256" xr:uid="{4C615A0A-A016-4973-8CBB-505A6D3DCF47}"/>
    <hyperlink ref="S2039" r:id="rId7257" xr:uid="{E48D22D3-0EC1-473D-80B4-F7ECB9346FB9}"/>
    <hyperlink ref="T2039" r:id="rId7258" xr:uid="{A3786F24-7897-4DE6-89CD-70ECE0CB5558}"/>
    <hyperlink ref="CA2039" r:id="rId7259" xr:uid="{195400F5-9BA2-459B-82D1-2CB2F18BB0CD}"/>
    <hyperlink ref="CB2039" r:id="rId7260" xr:uid="{625472AC-DA63-4859-9417-66DB1D52F5DC}"/>
    <hyperlink ref="CD2039" r:id="rId7261" xr:uid="{16B11E7B-CD30-4805-82CB-51480114EA1E}"/>
    <hyperlink ref="O2040" r:id="rId7262" xr:uid="{FCE2CB03-F71C-4135-AF03-602FCC26E885}"/>
    <hyperlink ref="S2040" r:id="rId7263" xr:uid="{4AF31076-7DAB-4035-A34E-FF528B55C3ED}"/>
    <hyperlink ref="T2040" r:id="rId7264" xr:uid="{0F497032-991D-4381-AB71-B6AFDB825554}"/>
    <hyperlink ref="CA2040" r:id="rId7265" xr:uid="{08D1175A-4B56-4D33-B2BE-8B22682AD5C4}"/>
    <hyperlink ref="CB2040" r:id="rId7266" xr:uid="{A4F2F7DD-F8FA-4935-9D92-6522648C5339}"/>
    <hyperlink ref="CD2040" r:id="rId7267" xr:uid="{996DBB53-8B24-4409-9A48-4B5EB6BC036A}"/>
    <hyperlink ref="O2041" r:id="rId7268" xr:uid="{0D1D7995-0C94-404E-ADDC-38FDB2E1BF9A}"/>
    <hyperlink ref="S2041" r:id="rId7269" xr:uid="{1AA319F4-F1F7-43B6-9604-A9E1D0364726}"/>
    <hyperlink ref="T2041" r:id="rId7270" xr:uid="{B99DC994-60E4-46A9-8802-9B362AC6EEE5}"/>
    <hyperlink ref="CA2041" r:id="rId7271" xr:uid="{2E85FBEE-C1D6-424C-8FA9-10C67CCCF214}"/>
    <hyperlink ref="CB2041" r:id="rId7272" xr:uid="{CBC81C83-179E-4A5A-B771-DC0C3DF58089}"/>
    <hyperlink ref="CD2041" r:id="rId7273" xr:uid="{6B4F5C16-2E04-4381-BF40-207402612EBF}"/>
    <hyperlink ref="O2042" r:id="rId7274" xr:uid="{34FFB17F-D0C3-4FF5-9315-7059C0606A41}"/>
    <hyperlink ref="S2042" r:id="rId7275" xr:uid="{1BF82925-1CEF-47C8-B893-E8BF41D4B818}"/>
    <hyperlink ref="T2042" r:id="rId7276" xr:uid="{0F096ADE-AE45-4826-A538-70B6C41D6435}"/>
    <hyperlink ref="CA2042" r:id="rId7277" xr:uid="{DD74C8E7-5C5C-461C-9EF8-0278EF3EB8A6}"/>
    <hyperlink ref="CB2042" r:id="rId7278" xr:uid="{8346AC74-7AF6-479F-9DE5-156AF9065964}"/>
    <hyperlink ref="CD2042" r:id="rId7279" xr:uid="{16AC2EA4-055A-4E8D-820B-115A4C1C06DC}"/>
    <hyperlink ref="O2043" r:id="rId7280" xr:uid="{6E6F1EC3-30F3-40BA-887A-EEB96C9DC213}"/>
    <hyperlink ref="S2043" r:id="rId7281" xr:uid="{08903676-73D6-4F22-B3FB-7D34931977AA}"/>
    <hyperlink ref="T2043" r:id="rId7282" xr:uid="{CFBD79B0-9ADA-4ABB-9B61-E1D552C136AF}"/>
    <hyperlink ref="CA2043" r:id="rId7283" xr:uid="{EEBF0264-C9CB-4F7F-BF44-D88D4BF48FF9}"/>
    <hyperlink ref="CB2043" r:id="rId7284" xr:uid="{C1066862-07D0-4799-8031-7E318064E5B0}"/>
    <hyperlink ref="CD2043" r:id="rId7285" xr:uid="{DD141601-05EC-4D27-A1E3-115DAE3DECBB}"/>
    <hyperlink ref="O2044" r:id="rId7286" xr:uid="{80FBA4F1-2CC9-4EC5-AAD7-0DB04793BD2F}"/>
    <hyperlink ref="S2044" r:id="rId7287" xr:uid="{4C4957A7-D1EC-40CC-B582-BF7ABD077299}"/>
    <hyperlink ref="T2044" r:id="rId7288" xr:uid="{A0A69C44-6DE9-4E21-B209-1C1ABD8529EE}"/>
    <hyperlink ref="CA2044" r:id="rId7289" xr:uid="{AB537054-331D-4C53-A2D9-9C52D8740A37}"/>
    <hyperlink ref="CB2044" r:id="rId7290" xr:uid="{2194C912-6D18-4CC0-A110-F1683D0FE303}"/>
    <hyperlink ref="CD2044" r:id="rId7291" xr:uid="{4D94903C-FC96-40AE-BD7A-65B948BF86DB}"/>
    <hyperlink ref="O2045" r:id="rId7292" xr:uid="{29384338-2613-4065-B79A-B49F378C8EFD}"/>
    <hyperlink ref="S2045" r:id="rId7293" xr:uid="{A726D0C6-B653-472A-A3F8-2246EED89BFC}"/>
    <hyperlink ref="T2045" r:id="rId7294" xr:uid="{807A0517-2ED2-4D0A-A0D7-529808BF30D6}"/>
    <hyperlink ref="CA2045" r:id="rId7295" xr:uid="{1B49ED32-D6A4-4B66-9910-B0EA2498D002}"/>
    <hyperlink ref="CB2045" r:id="rId7296" xr:uid="{8F84B3DF-1CC6-4A22-8399-91B1F0A5A7D8}"/>
    <hyperlink ref="CD2045" r:id="rId7297" xr:uid="{C1DB2CC2-BE55-4948-8DC7-54EC582F1DE2}"/>
    <hyperlink ref="O2046" r:id="rId7298" xr:uid="{7A91F160-5721-42CF-A4FB-F190261DEE5E}"/>
    <hyperlink ref="S2046" r:id="rId7299" xr:uid="{94D0C2C9-9277-4CCD-88A2-BB8B93FB31D8}"/>
    <hyperlink ref="CA2046" r:id="rId7300" xr:uid="{4926C0E0-3668-4A10-A869-9D3C68A99F28}"/>
    <hyperlink ref="CD2046" r:id="rId7301" xr:uid="{FB8780C4-B102-4EB2-97AC-B9747D326258}"/>
    <hyperlink ref="O2047" r:id="rId7302" xr:uid="{B53EFACA-B700-4EA3-AB3E-238133E1E934}"/>
    <hyperlink ref="S2047" r:id="rId7303" xr:uid="{99D69D0C-1918-4199-80B5-98C56B56EE3E}"/>
    <hyperlink ref="T2047" r:id="rId7304" xr:uid="{DFE2D20E-D2C7-4764-9393-1EB7006D368C}"/>
    <hyperlink ref="CA2047" r:id="rId7305" xr:uid="{14188B9D-7E82-4AFA-A84D-4BE30C011A07}"/>
    <hyperlink ref="CB2047" r:id="rId7306" xr:uid="{394E75C8-8674-4518-B619-EFF03F453670}"/>
    <hyperlink ref="CD2047" r:id="rId7307" xr:uid="{9EBC909A-0C1A-40B6-BEF8-6FB9D457A619}"/>
    <hyperlink ref="O2048" r:id="rId7308" xr:uid="{75837757-A7C5-4840-8B99-788C9F45178C}"/>
    <hyperlink ref="S2048" r:id="rId7309" xr:uid="{7FAAFC6F-0D75-4B32-8DDD-B89B0A88AD8F}"/>
    <hyperlink ref="T2048" r:id="rId7310" xr:uid="{3321C407-FD66-4940-9279-BED854726FAA}"/>
    <hyperlink ref="CA2048" r:id="rId7311" xr:uid="{CA00C000-52FA-477E-AAD4-9B45756A501B}"/>
    <hyperlink ref="CB2048" r:id="rId7312" xr:uid="{1913944F-0767-4F96-ABA8-03AEFA761654}"/>
    <hyperlink ref="CD2048" r:id="rId7313" xr:uid="{030F47D2-E173-4BB7-9DBE-2C1C095757A6}"/>
    <hyperlink ref="O2049" r:id="rId7314" xr:uid="{55CFD981-1F04-4E87-8AC5-143BCB79F6B6}"/>
    <hyperlink ref="S2049" r:id="rId7315" xr:uid="{47D0A0E5-4558-45F1-8071-D190B99F4AD2}"/>
    <hyperlink ref="T2049" r:id="rId7316" xr:uid="{8CBFB024-7A90-438E-9BDB-07495B3E9C86}"/>
    <hyperlink ref="CA2049" r:id="rId7317" xr:uid="{3075EC95-1B56-49B7-9948-8C6B84EA218D}"/>
    <hyperlink ref="CB2049" r:id="rId7318" xr:uid="{2B68A4B6-0A98-48C7-A4FC-198757F5F7A4}"/>
    <hyperlink ref="CD2049" r:id="rId7319" xr:uid="{EFBB22C9-507C-424A-8E42-03EF6A6AB994}"/>
    <hyperlink ref="O2050" r:id="rId7320" xr:uid="{55EB78B7-C632-49D2-B004-E2BB4B7F0144}"/>
    <hyperlink ref="S2050" r:id="rId7321" xr:uid="{4B0BF8D3-DEC7-4959-AD10-9C75CD02079A}"/>
    <hyperlink ref="T2050" r:id="rId7322" xr:uid="{BA45EE41-3DCC-4169-B71D-E8A1C6200438}"/>
    <hyperlink ref="CA2050" r:id="rId7323" xr:uid="{26205B05-E11F-41F6-95EC-5982235A4752}"/>
    <hyperlink ref="CB2050" r:id="rId7324" xr:uid="{DFCBE726-E47B-43D4-A6D0-0715D22E4EF6}"/>
    <hyperlink ref="CD2050" r:id="rId7325" xr:uid="{DED8D527-BF0F-48DD-84A0-B8EAD55D3D84}"/>
    <hyperlink ref="O2051" r:id="rId7326" xr:uid="{B435E558-D20F-48D4-89B1-30A3174007E7}"/>
    <hyperlink ref="S2051" r:id="rId7327" xr:uid="{618E6C55-F446-4097-8651-CC722302029B}"/>
    <hyperlink ref="T2051" r:id="rId7328" xr:uid="{2F51957F-630F-4498-BCD8-3A8F35AEB49F}"/>
    <hyperlink ref="CA2051" r:id="rId7329" xr:uid="{E691C41C-CB74-4966-97B8-952FC6EEC9E6}"/>
    <hyperlink ref="CB2051" r:id="rId7330" xr:uid="{06657820-64F1-4543-8A7F-ED046B51258C}"/>
    <hyperlink ref="CD2051" r:id="rId7331" xr:uid="{F8E865FF-54D5-4163-9D75-D4687D54EFE3}"/>
    <hyperlink ref="O2052" r:id="rId7332" xr:uid="{7A3D552C-7D41-4D70-B1A4-96220A02EE3F}"/>
    <hyperlink ref="R2052" r:id="rId7333" xr:uid="{1458DE5A-D9CB-4976-BF16-12989532F80A}"/>
    <hyperlink ref="S2052" r:id="rId7334" xr:uid="{712914E8-EE5D-4A2B-A51C-A4D9587C75F5}"/>
    <hyperlink ref="CA2052" r:id="rId7335" xr:uid="{A24BF68F-EA83-4208-A442-8CC4261B71C7}"/>
    <hyperlink ref="CD2052" r:id="rId7336" xr:uid="{B7E1FD55-8D7D-4A73-8F74-E100546BB178}"/>
    <hyperlink ref="O2058" r:id="rId7337" xr:uid="{C4F88C02-8BEC-425F-A6C6-491AFD399DCF}"/>
    <hyperlink ref="S2058" r:id="rId7338" xr:uid="{619FF60C-88C5-4DBF-8959-83C254993D52}"/>
    <hyperlink ref="CA2058" r:id="rId7339" xr:uid="{72087C60-BCB6-420E-805D-162046F4DA56}"/>
    <hyperlink ref="O2059" r:id="rId7340" xr:uid="{A368E5C5-CC8C-4D2C-A8E0-D3EDB578FD05}"/>
    <hyperlink ref="S2059" r:id="rId7341" xr:uid="{9DB20945-3FA8-417F-A24F-8432A03B1255}"/>
    <hyperlink ref="CA2059" r:id="rId7342" xr:uid="{71CE621E-A2FF-4049-9AE5-D51E60854E27}"/>
    <hyperlink ref="O2060" r:id="rId7343" xr:uid="{F5DA1D0F-2D1E-4F77-BCD0-766D54344949}"/>
    <hyperlink ref="S2060" r:id="rId7344" xr:uid="{449A5BDD-6B93-4936-A00E-E79A1AF4E68F}"/>
    <hyperlink ref="CA2060" r:id="rId7345" xr:uid="{734D2CBE-35CA-4827-BA4F-82B3E8A70A1D}"/>
    <hyperlink ref="O2061" r:id="rId7346" xr:uid="{58C78C8C-6ACA-49CD-8BD2-3FB088E94736}"/>
    <hyperlink ref="S2061" r:id="rId7347" xr:uid="{1D34CD70-EE0C-4EDA-839D-23D110C1CDA3}"/>
    <hyperlink ref="CA2061" r:id="rId7348" xr:uid="{9D40F5E1-8941-4093-9172-CF0D4FFE7DAB}"/>
    <hyperlink ref="CD2061" r:id="rId7349" xr:uid="{D87EDDFC-89BE-4253-A7A2-91CC5C513787}"/>
    <hyperlink ref="S2062" r:id="rId7350" xr:uid="{C2047BE7-E68A-484D-84F8-9B64BA304BB6}"/>
    <hyperlink ref="CA2062" r:id="rId7351" xr:uid="{AEA91B24-86ED-48D6-A16E-BE3E5863DA55}"/>
    <hyperlink ref="CD2062" r:id="rId7352" xr:uid="{5A3FBEE4-E669-4F59-942E-FF933D676042}"/>
    <hyperlink ref="O2063" r:id="rId7353" xr:uid="{82F95AD2-2BA1-4F5F-8FC9-349BA037D66E}"/>
    <hyperlink ref="S2063" r:id="rId7354" xr:uid="{72B20FE8-43C6-4FCB-9EF8-92B4FEF18B6B}"/>
    <hyperlink ref="CA2063" r:id="rId7355" xr:uid="{4572AAF3-2282-41A7-8E55-885EC55F80EC}"/>
    <hyperlink ref="O2064" r:id="rId7356" xr:uid="{BDBCAE62-6566-40B1-BAF0-90EB5B471771}"/>
    <hyperlink ref="S2064" r:id="rId7357" xr:uid="{DCC4C34C-67FF-45C3-87BF-CD9DB75F76BF}"/>
    <hyperlink ref="CA2064" r:id="rId7358" xr:uid="{008173D6-7000-4EE9-8D78-0581E0BC5DAE}"/>
    <hyperlink ref="O2065" r:id="rId7359" xr:uid="{F9E21CF8-AA8B-4BDC-92C7-0CC2A850A602}"/>
    <hyperlink ref="S2065" r:id="rId7360" xr:uid="{35CDCB54-4B29-4293-B731-E326DB90A131}"/>
    <hyperlink ref="T2065" r:id="rId7361" xr:uid="{A27495DC-5D4C-4FB3-8A15-BABF6C9C1D8D}"/>
    <hyperlink ref="CA2065" r:id="rId7362" xr:uid="{0F8A2001-455F-47BC-8D14-EAA41B4CE087}"/>
    <hyperlink ref="CB2065" r:id="rId7363" xr:uid="{08548027-E1B4-4E44-BB72-785CA9AB12F5}"/>
    <hyperlink ref="CD2065" r:id="rId7364" xr:uid="{D64B9672-79EB-447C-B290-CD189E40F836}"/>
    <hyperlink ref="O2066" r:id="rId7365" xr:uid="{AC7AF729-53E9-4F97-A3D4-EF185A0CA794}"/>
    <hyperlink ref="S2066" r:id="rId7366" xr:uid="{6C5AE56F-55F9-47DC-A91C-D9BA9A1052B3}"/>
    <hyperlink ref="CA2066" r:id="rId7367" xr:uid="{6E0BE3DF-8C84-4BED-B1AE-8C3C7FB40B32}"/>
    <hyperlink ref="CD2066" r:id="rId7368" xr:uid="{DA9987BB-F27F-4A63-89BE-7B0F121AAD06}"/>
    <hyperlink ref="O2067" r:id="rId7369" xr:uid="{60C2A7DA-E536-425E-9A8E-A3A52810FA69}"/>
    <hyperlink ref="S2067" r:id="rId7370" xr:uid="{C79BDDFD-FC98-4F2D-9C47-71BC4D6107AF}"/>
    <hyperlink ref="CA2067" r:id="rId7371" xr:uid="{E33909A0-352F-4641-8567-9E7153CDE0B4}"/>
    <hyperlink ref="CD2067" r:id="rId7372" xr:uid="{932B6FA6-0F6C-4892-A50C-DE7F164DCF12}"/>
    <hyperlink ref="O2068" r:id="rId7373" xr:uid="{6EF291A7-234E-49AC-A2E7-95D852594934}"/>
    <hyperlink ref="S2068" r:id="rId7374" xr:uid="{72EF6100-FE36-463F-8CA3-90DE8ABECEA7}"/>
    <hyperlink ref="CA2068" r:id="rId7375" xr:uid="{5DE3907C-72F6-40B8-B6AB-5BDC831BFEF6}"/>
    <hyperlink ref="CD2068" r:id="rId7376" xr:uid="{BDF8EF69-C073-4EF1-882D-61207F467022}"/>
    <hyperlink ref="O2069" r:id="rId7377" xr:uid="{909EC879-D8B3-4E84-A5A2-356970C4164D}"/>
    <hyperlink ref="S2069" r:id="rId7378" xr:uid="{4A6758E0-8525-4C49-86AD-EF43036F4199}"/>
    <hyperlink ref="CA2069" r:id="rId7379" xr:uid="{2D82AC21-C082-4885-8F56-C7E478374A95}"/>
    <hyperlink ref="CD2069" r:id="rId7380" xr:uid="{E5BA89C5-B845-4DC3-A99F-0D6B13CF41D1}"/>
    <hyperlink ref="O2070" r:id="rId7381" xr:uid="{142CF7E7-E00C-4AFB-81D2-3006A498229F}"/>
    <hyperlink ref="S2070" r:id="rId7382" xr:uid="{D9452E8C-4A9B-43E4-98BB-C3A30DFD1025}"/>
    <hyperlink ref="T2070" r:id="rId7383" xr:uid="{573787A4-B5BB-45E3-895B-398847E45804}"/>
    <hyperlink ref="CA2070" r:id="rId7384" xr:uid="{0F83743D-84B2-4A6D-BC18-6A29D6B1B92B}"/>
    <hyperlink ref="CB2070" r:id="rId7385" xr:uid="{3BF89785-12EE-4F61-B4E0-A7C0AD9C02C6}"/>
    <hyperlink ref="CD2070" r:id="rId7386" xr:uid="{9F34BD84-AE4A-4406-A3C5-2D59D2123F5E}"/>
    <hyperlink ref="O2071" r:id="rId7387" xr:uid="{FB45FC14-DD4D-4B8F-8612-44724FB13F97}"/>
    <hyperlink ref="S2071" r:id="rId7388" xr:uid="{F2D2C061-6471-4DEF-805F-FDC78B3D4139}"/>
    <hyperlink ref="T2071" r:id="rId7389" xr:uid="{AAF4D19B-3B21-49AD-811E-15AA765D62CC}"/>
    <hyperlink ref="CA2071" r:id="rId7390" xr:uid="{9B1F72D8-13CC-4359-9193-E3268DC06155}"/>
    <hyperlink ref="CB2071" r:id="rId7391" xr:uid="{F48AE352-1820-4EE5-B922-CEC1DA5EF086}"/>
    <hyperlink ref="CD2071" r:id="rId7392" xr:uid="{9A8D4A0D-C9EA-42B1-9066-33FBBD236A83}"/>
    <hyperlink ref="O2072" r:id="rId7393" xr:uid="{C304A937-CBD4-42BE-ABEA-3215924B4A65}"/>
    <hyperlink ref="S2072" r:id="rId7394" xr:uid="{7E5844AB-FC4F-46E3-8795-8DE7A766430B}"/>
    <hyperlink ref="T2072" r:id="rId7395" xr:uid="{00D05736-FFE4-40F8-8D11-7C27858F8B05}"/>
    <hyperlink ref="CA2072" r:id="rId7396" xr:uid="{1ED2473E-1EDE-4860-85EF-17F4191E5EEA}"/>
    <hyperlink ref="CB2072" r:id="rId7397" xr:uid="{159B5CB3-781E-457F-BAB3-4628F6AAA3DF}"/>
    <hyperlink ref="CD2072" r:id="rId7398" xr:uid="{CAF1DA3B-86BA-4100-91F1-95E61C786B42}"/>
    <hyperlink ref="O2073" r:id="rId7399" xr:uid="{0690CDBD-4948-40A6-9447-73A6EC745F96}"/>
    <hyperlink ref="S2073" r:id="rId7400" xr:uid="{D5602E70-A424-4F6A-9E80-9E79BC05AD3A}"/>
    <hyperlink ref="T2073" r:id="rId7401" xr:uid="{F7AE28F2-1A63-416A-9FE1-A863DCF0C739}"/>
    <hyperlink ref="CA2073" r:id="rId7402" xr:uid="{3DA5AF8E-B3EE-45A9-B31C-0815690987B6}"/>
    <hyperlink ref="CB2073" r:id="rId7403" xr:uid="{54851E41-F416-4FCF-ADB1-EF3520CECC88}"/>
    <hyperlink ref="CD2073" r:id="rId7404" xr:uid="{54E8C129-76EA-42CB-952F-76AE5566ABE8}"/>
    <hyperlink ref="O2074" r:id="rId7405" xr:uid="{31DF0281-65FA-4926-8D61-D582C370BDA8}"/>
    <hyperlink ref="S2074" r:id="rId7406" xr:uid="{A6A3D5B3-3A43-4FB2-9548-9DA00C7BD519}"/>
    <hyperlink ref="T2074" r:id="rId7407" xr:uid="{A02E168C-CBB3-41F8-B31C-ABD51B953CC3}"/>
    <hyperlink ref="CA2074" r:id="rId7408" xr:uid="{9CDCDF6F-67CE-4248-8889-9E28D485648B}"/>
    <hyperlink ref="CB2074" r:id="rId7409" xr:uid="{9DB07B6A-47C2-4E3B-8820-FECEFE815CF1}"/>
    <hyperlink ref="CD2074" r:id="rId7410" xr:uid="{CFA42A28-1163-4A6E-BD0A-A99D409CC306}"/>
    <hyperlink ref="O2075" r:id="rId7411" xr:uid="{D47EB49C-F768-4AE2-B84F-E673F7720CA8}"/>
    <hyperlink ref="S2075" r:id="rId7412" xr:uid="{903D9DF1-FF18-4BEC-B3F2-83A20757234A}"/>
    <hyperlink ref="T2075" r:id="rId7413" xr:uid="{F950140D-C8E5-416B-A34C-32441B8ADB95}"/>
    <hyperlink ref="CA2075" r:id="rId7414" xr:uid="{C617B207-E53F-44FB-883C-C14965668DBB}"/>
    <hyperlink ref="CB2075" r:id="rId7415" xr:uid="{EFD53B45-F08B-4E7F-82E3-8EFD29BD7BD0}"/>
    <hyperlink ref="CD2075" r:id="rId7416" xr:uid="{BE1364DE-D99C-4FFC-9AD0-AA1EF1BC6D64}"/>
    <hyperlink ref="O2076" r:id="rId7417" xr:uid="{95AB5CBD-3A9D-4FF5-A96D-9A2334B64D5F}"/>
    <hyperlink ref="S2076" r:id="rId7418" xr:uid="{3C3DCE74-6F9C-4DCF-81D5-A3AADE2C2339}"/>
    <hyperlink ref="T2076" r:id="rId7419" xr:uid="{33FC8552-990A-4E61-B271-BC67DAB59B02}"/>
    <hyperlink ref="CA2076" r:id="rId7420" xr:uid="{80222ECF-116C-430F-88A9-012B44BE1CCD}"/>
    <hyperlink ref="CB2076" r:id="rId7421" xr:uid="{1A5741C5-D8B0-41F3-AD54-FD5B7B3244E1}"/>
    <hyperlink ref="CD2076" r:id="rId7422" xr:uid="{312FF406-F717-4078-8F0A-CD6118F94A9E}"/>
    <hyperlink ref="O2077" r:id="rId7423" xr:uid="{1C8C2C29-386A-468B-914C-13DB5FD328D5}"/>
    <hyperlink ref="S2077" r:id="rId7424" xr:uid="{742FB6E7-12C8-4C00-A605-9E162F7C2AAB}"/>
    <hyperlink ref="T2077" r:id="rId7425" xr:uid="{7803D65F-8693-46A9-A986-3A4927F643A2}"/>
    <hyperlink ref="CA2077" r:id="rId7426" xr:uid="{EED8A971-415A-4392-8C64-2C770EE0973A}"/>
    <hyperlink ref="CB2077" r:id="rId7427" xr:uid="{FD499917-C781-4EC6-93C2-1FDF1135E13E}"/>
    <hyperlink ref="CD2077" r:id="rId7428" xr:uid="{3B732024-14F1-496F-9CB4-821E8BF948BC}"/>
    <hyperlink ref="O2078" r:id="rId7429" xr:uid="{D651752C-29E3-44AD-A5C5-05F5A5AD5A65}"/>
    <hyperlink ref="S2078" r:id="rId7430" xr:uid="{E5E66A96-9F28-45C7-93A5-5302B4613417}"/>
    <hyperlink ref="T2078" r:id="rId7431" xr:uid="{E1B8123F-1AD3-47F6-8329-410F1B17C64F}"/>
    <hyperlink ref="CA2078" r:id="rId7432" xr:uid="{4E0EB2D9-81E4-41E4-B242-BFC69306B53C}"/>
    <hyperlink ref="CB2078" r:id="rId7433" xr:uid="{3D9419A8-F588-404E-B6CC-23CA3075D7F4}"/>
    <hyperlink ref="CD2078" r:id="rId7434" xr:uid="{EE740CA7-0F28-42AE-8794-ADC3011B81CF}"/>
    <hyperlink ref="O2079" r:id="rId7435" xr:uid="{287013C6-D67E-461A-8322-B1FC6B4941A0}"/>
    <hyperlink ref="S2079" r:id="rId7436" xr:uid="{C7D39078-B2B5-4AAD-AB0B-C8BA083CDCF7}"/>
    <hyperlink ref="T2079" r:id="rId7437" xr:uid="{3FAE2ADC-6DDB-4C47-90FD-0CFC93C5ABAE}"/>
    <hyperlink ref="CA2079" r:id="rId7438" xr:uid="{09E62FC9-49F5-47D4-970D-C4C476B5309F}"/>
    <hyperlink ref="CB2079" r:id="rId7439" xr:uid="{B6905B7C-795F-45D4-A0C3-FBEF1BFF202D}"/>
    <hyperlink ref="CD2079" r:id="rId7440" xr:uid="{BBB72606-3381-4DDB-9E30-F036CC17358E}"/>
    <hyperlink ref="O2080" r:id="rId7441" xr:uid="{1779919E-A440-4FD5-B2A5-F97213B42E3A}"/>
    <hyperlink ref="S2080" r:id="rId7442" xr:uid="{AEF21757-FF73-4009-8DDA-DC690B7A2645}"/>
    <hyperlink ref="T2080" r:id="rId7443" xr:uid="{869A58B5-BB9F-449F-AD21-8611C1245463}"/>
    <hyperlink ref="CA2080" r:id="rId7444" xr:uid="{31594F2C-9098-423B-BE47-D7DEE558C4B1}"/>
    <hyperlink ref="CB2080" r:id="rId7445" xr:uid="{6B47F65B-A151-4DCE-9640-EA0326B4D872}"/>
    <hyperlink ref="CD2080" r:id="rId7446" xr:uid="{7043554F-529A-4C9C-BEAE-AD2D962A6E83}"/>
    <hyperlink ref="O2081" r:id="rId7447" xr:uid="{D6C7FDA1-8FFE-4B5F-A698-2309D8CCB13B}"/>
    <hyperlink ref="S2081" r:id="rId7448" xr:uid="{8839854A-F7A2-4AF2-A474-B7BCA4551346}"/>
    <hyperlink ref="CA2081" r:id="rId7449" xr:uid="{45BA97C2-89BC-4F9E-BE0C-4BCDB5A776CA}"/>
    <hyperlink ref="O2082" r:id="rId7450" xr:uid="{677569A9-80F4-4D00-9153-71427EDA45DC}"/>
    <hyperlink ref="S2082" r:id="rId7451" xr:uid="{6A036483-9670-447A-8DCB-96047B7CF7E0}"/>
    <hyperlink ref="CA2082" r:id="rId7452" xr:uid="{BDC6F712-D9C4-461F-9C5D-AC16C14BFB5B}"/>
    <hyperlink ref="O2083" r:id="rId7453" xr:uid="{FC02F1F9-0C58-4423-AC8F-61E66075F085}"/>
    <hyperlink ref="S2083" r:id="rId7454" xr:uid="{F9651DC8-8D82-4EF3-BD2A-EEA58540144B}"/>
    <hyperlink ref="CA2083" r:id="rId7455" xr:uid="{CD64E861-60FE-4F91-80BF-91852954EC99}"/>
    <hyperlink ref="O2084" r:id="rId7456" xr:uid="{56D6EBFA-2655-40AF-8F07-6AFFF310F2E0}"/>
    <hyperlink ref="S2084" r:id="rId7457" xr:uid="{E97ADB7B-4000-4C25-9E42-05639FDC0982}"/>
    <hyperlink ref="CA2084" r:id="rId7458" xr:uid="{5E96E21C-5E54-4A14-B85A-9DE855F13445}"/>
    <hyperlink ref="O2085" r:id="rId7459" xr:uid="{BF9CD8BE-5D7B-4955-97EA-2C4D57C86157}"/>
    <hyperlink ref="S2085" r:id="rId7460" xr:uid="{4B791604-213D-4C0A-837A-3DE8E0F6FDF4}"/>
    <hyperlink ref="CA2085" r:id="rId7461" xr:uid="{EE4D0120-EA68-4CEB-B5CF-F8AFC9BD29EC}"/>
    <hyperlink ref="O2086" r:id="rId7462" xr:uid="{C59F2212-861A-4202-9EE0-111E4E807082}"/>
    <hyperlink ref="S2086" r:id="rId7463" xr:uid="{B466B101-1492-4A1B-94AF-BAE21C7790CA}"/>
    <hyperlink ref="CA2086" r:id="rId7464" xr:uid="{902DB777-9782-4028-B681-B611E55E8317}"/>
    <hyperlink ref="O2087" r:id="rId7465" xr:uid="{35AD7556-D9C5-45A7-9AA7-108761A7BCBC}"/>
    <hyperlink ref="S2087" r:id="rId7466" xr:uid="{EBFF31F8-9387-4F4B-9477-F9D54414571D}"/>
    <hyperlink ref="CA2087" r:id="rId7467" xr:uid="{0B833FD2-CBDF-4E00-B26E-2CC5A79F382B}"/>
    <hyperlink ref="O2088" r:id="rId7468" xr:uid="{839D9803-3458-4DB0-AF53-6574F836C358}"/>
    <hyperlink ref="S2088" r:id="rId7469" xr:uid="{70F0182A-F5F1-4215-92A2-EB98F549053C}"/>
    <hyperlink ref="CA2088" r:id="rId7470" xr:uid="{9B056A83-AD1A-44E6-926A-6CF75FCD3D61}"/>
    <hyperlink ref="O2089" r:id="rId7471" xr:uid="{F6ACF982-33C5-4663-BD6A-FF76533BC37D}"/>
    <hyperlink ref="S2089" r:id="rId7472" xr:uid="{EDFD5219-ECA6-4D84-B10A-DB7C7249F700}"/>
    <hyperlink ref="CA2089" r:id="rId7473" xr:uid="{179B9203-4411-4CF0-B720-20F9BE5E3438}"/>
    <hyperlink ref="O2090" r:id="rId7474" xr:uid="{6E23EADF-D209-4935-8060-4E521D54FF6E}"/>
    <hyperlink ref="S2090" r:id="rId7475" xr:uid="{3FC1FCA3-24CC-4B40-9AE1-7A62A46320C9}"/>
    <hyperlink ref="CA2090" r:id="rId7476" xr:uid="{5F7FD7B5-C3AE-482E-B3D7-14CC84678C80}"/>
    <hyperlink ref="O2091" r:id="rId7477" xr:uid="{BEFC8456-0361-4C85-A7E9-A24550B6C299}"/>
    <hyperlink ref="S2091" r:id="rId7478" xr:uid="{43BCE009-6926-438F-87EF-465A9505FFA7}"/>
    <hyperlink ref="CA2091" r:id="rId7479" xr:uid="{C0171E96-CD50-44E8-B7D7-47242D168ADE}"/>
    <hyperlink ref="O2092" r:id="rId7480" xr:uid="{1791D37E-37D9-4354-9FAC-0F3685001EA6}"/>
    <hyperlink ref="S2092" r:id="rId7481" xr:uid="{16524C7D-0E63-421D-BFA3-F94A62936685}"/>
    <hyperlink ref="CA2092" r:id="rId7482" xr:uid="{7368896F-4013-47C1-BB85-93AA6D1650E6}"/>
    <hyperlink ref="O2093" r:id="rId7483" xr:uid="{23597869-0D36-4CA8-BE06-C80A1756C6CD}"/>
    <hyperlink ref="S2093" r:id="rId7484" xr:uid="{215D2BD3-5D95-410B-858E-C005D88BD7F9}"/>
    <hyperlink ref="CA2093" r:id="rId7485" xr:uid="{E6F2B4F1-E5F0-48D4-8599-C40A02FF2F0E}"/>
    <hyperlink ref="O2094" r:id="rId7486" xr:uid="{03409979-BD13-4612-BF9C-B5BC44D7EABB}"/>
    <hyperlink ref="S2094" r:id="rId7487" xr:uid="{5412272C-88F6-4879-95BC-F5C3415E791E}"/>
    <hyperlink ref="CA2094" r:id="rId7488" xr:uid="{23218001-35BF-4565-A172-0EC849767198}"/>
    <hyperlink ref="O2095" r:id="rId7489" xr:uid="{28DF1E94-CB28-4016-80E1-38ECA93725E8}"/>
    <hyperlink ref="S2095" r:id="rId7490" xr:uid="{DA846A50-F1A0-4562-8339-30BC62B592FC}"/>
    <hyperlink ref="CA2095" r:id="rId7491" xr:uid="{D9BD53EB-AA11-4337-BD6E-527734820F1C}"/>
    <hyperlink ref="O2096" r:id="rId7492" xr:uid="{DB35B561-29ED-403C-8DDB-F3E5D17B2EB8}"/>
    <hyperlink ref="S2096" r:id="rId7493" xr:uid="{A14490C1-C1BA-4472-B179-E4AF45BE01B3}"/>
    <hyperlink ref="CA2096" r:id="rId7494" xr:uid="{EE028C32-CE20-490D-BF60-5B70476AFDDD}"/>
    <hyperlink ref="O2097" r:id="rId7495" xr:uid="{E2637BF0-B06E-46E2-947A-D3A31E992E3E}"/>
    <hyperlink ref="R2097" r:id="rId7496" xr:uid="{93B05061-75EA-4599-964D-9FCD4D2AF996}"/>
    <hyperlink ref="S2097" r:id="rId7497" xr:uid="{326E9EAA-FA16-4523-A9F3-223A0C0D9C85}"/>
    <hyperlink ref="CA2097" r:id="rId7498" xr:uid="{E8064E92-2671-440F-8E3F-66D1960F282F}"/>
    <hyperlink ref="CD2097" r:id="rId7499" xr:uid="{4D44E452-86CB-40E8-A85C-9C6E1BC97AFD}"/>
    <hyperlink ref="O2098" r:id="rId7500" xr:uid="{EEA60F65-738C-4519-B159-8646A96A53E2}"/>
    <hyperlink ref="S2098" r:id="rId7501" xr:uid="{FA807544-2D3C-4CE3-A784-BE00A309AF21}"/>
    <hyperlink ref="T2098" r:id="rId7502" xr:uid="{6406805B-4DFB-497B-8001-170B0D52A9D6}"/>
    <hyperlink ref="CA2098" r:id="rId7503" xr:uid="{AAD6EAD9-8F67-46B1-AF70-32C699D30FE4}"/>
    <hyperlink ref="CB2098" r:id="rId7504" xr:uid="{692B2983-CB7B-4489-80C1-6F812F4C3976}"/>
    <hyperlink ref="CD2098" r:id="rId7505" xr:uid="{C4C49D8E-D3FA-4454-878B-BE8AB9A4B6C4}"/>
    <hyperlink ref="O2099" r:id="rId7506" xr:uid="{3CB2E7E4-B97E-489D-904F-174DBABA0DC0}"/>
    <hyperlink ref="S2099" r:id="rId7507" xr:uid="{0BDEAA59-FFDB-403F-BD9D-0EA1388AADB5}"/>
    <hyperlink ref="CA2099" r:id="rId7508" xr:uid="{8A9BF9A9-15B7-4EA6-A6FE-456A9EA850A4}"/>
    <hyperlink ref="CD2099" r:id="rId7509" xr:uid="{B7BC39E1-F901-4AE7-A859-986F34F7B52B}"/>
    <hyperlink ref="O2100" r:id="rId7510" xr:uid="{D8675E7C-8DC9-4F21-B97F-F2725C25BC7A}"/>
    <hyperlink ref="S2100" r:id="rId7511" xr:uid="{91920FFC-BB68-4A78-8042-0F228A443427}"/>
    <hyperlink ref="CA2100" r:id="rId7512" xr:uid="{3AC8E602-4478-420C-9AA7-A8DC7BA8AF41}"/>
    <hyperlink ref="CD2100" r:id="rId7513" xr:uid="{7695EE09-3383-4DE3-BA61-B01FAAD3747F}"/>
    <hyperlink ref="O2101" r:id="rId7514" xr:uid="{CE2FDDCA-554E-4B3A-A3A0-6DA978041826}"/>
    <hyperlink ref="S2101" r:id="rId7515" xr:uid="{E5E71B94-8B51-4A53-AED3-0EC9BEACD3D9}"/>
    <hyperlink ref="CA2101" r:id="rId7516" xr:uid="{A2EF0FC2-25DF-4A75-9423-6AC30DD206BB}"/>
    <hyperlink ref="CD2101" r:id="rId7517" xr:uid="{FFEA94BA-1FBA-47DD-B102-649A117CBFD8}"/>
    <hyperlink ref="O2102" r:id="rId7518" xr:uid="{D6ACBCB7-80AA-4FDF-BAA6-B883E4147C22}"/>
    <hyperlink ref="S2102" r:id="rId7519" xr:uid="{26BEB5DA-7B4C-4DDB-BABA-65B6107AAAE6}"/>
    <hyperlink ref="CA2102" r:id="rId7520" xr:uid="{27CFE9E8-36DF-4A6B-A8A2-9B6B9FC80123}"/>
    <hyperlink ref="CD2102" r:id="rId7521" xr:uid="{2D05CC37-7116-414C-AD2A-3B045764AA3B}"/>
    <hyperlink ref="O2103" r:id="rId7522" xr:uid="{37B9E290-8540-4D3B-9FAE-34366C2F0B32}"/>
    <hyperlink ref="S2103" r:id="rId7523" xr:uid="{7142CF42-F46C-4E0A-9BD0-3F498886A103}"/>
    <hyperlink ref="CA2103" r:id="rId7524" xr:uid="{2033D5A4-6703-4FC4-90F2-556D52DCCC56}"/>
    <hyperlink ref="CD2103" r:id="rId7525" xr:uid="{F2F088B1-C6F0-45B1-B4EA-6E98784AA6AA}"/>
    <hyperlink ref="O2104" r:id="rId7526" xr:uid="{CB5C383E-8306-4232-9289-DCB587F09204}"/>
    <hyperlink ref="S2104" r:id="rId7527" xr:uid="{158A532E-9244-468B-A57D-E6FD1ADAE828}"/>
    <hyperlink ref="CA2104" r:id="rId7528" xr:uid="{6331B907-513F-4F5A-B181-D7A193A647EF}"/>
    <hyperlink ref="CD2104" r:id="rId7529" xr:uid="{758FD86F-2D5F-487C-A53B-F2C4471B6B75}"/>
    <hyperlink ref="O2105" r:id="rId7530" xr:uid="{BB0CE6D3-7478-4CBF-A521-C025DEAC7AAF}"/>
    <hyperlink ref="S2105" r:id="rId7531" xr:uid="{BA3B940E-4898-49CA-8ED9-06884C58ED25}"/>
    <hyperlink ref="T2105" r:id="rId7532" xr:uid="{95130647-6FD7-4A7F-989F-D9A1AACB8CC8}"/>
    <hyperlink ref="CA2105" r:id="rId7533" xr:uid="{51013D5B-029A-4F08-B452-8ADEA658FBBA}"/>
    <hyperlink ref="CB2105" r:id="rId7534" xr:uid="{980F606C-680D-42D6-9D75-3AD6516996C3}"/>
    <hyperlink ref="O2106" r:id="rId7535" xr:uid="{7422835B-E899-4FE4-B8BF-7F9014420C20}"/>
    <hyperlink ref="S2106" r:id="rId7536" xr:uid="{F5FDF481-8617-48B2-A022-638B4831004B}"/>
    <hyperlink ref="T2106" r:id="rId7537" xr:uid="{E44A300A-530D-4C8C-8CA2-91FC42180176}"/>
    <hyperlink ref="CA2106" r:id="rId7538" xr:uid="{D47C2CFB-DC41-4D9A-A993-748885F1BD1B}"/>
    <hyperlink ref="CB2106" r:id="rId7539" xr:uid="{35BCD07D-B731-47D5-9CC4-03267A6D3D5C}"/>
    <hyperlink ref="O2107" r:id="rId7540" xr:uid="{66BB3912-7AFA-4681-963C-0F76B8CA235B}"/>
    <hyperlink ref="S2107" r:id="rId7541" xr:uid="{9559BCDE-F830-4DEF-B978-BF355F3ADCFE}"/>
    <hyperlink ref="CA2107" r:id="rId7542" xr:uid="{20FA43A1-7B53-4B32-9199-605ADA45F8D3}"/>
    <hyperlink ref="CD2107" r:id="rId7543" xr:uid="{4CA6BCD9-91C9-47CE-AA7E-EF6358877A22}"/>
    <hyperlink ref="O2108" r:id="rId7544" xr:uid="{63038505-5DFC-4B8B-A12A-1753CA3B54E5}"/>
    <hyperlink ref="S2108" r:id="rId7545" xr:uid="{7CFFAE29-EA2A-464E-9362-4CD7711A5298}"/>
    <hyperlink ref="CA2108" r:id="rId7546" xr:uid="{66A28BAE-A8F6-4B54-AC74-65F25337414F}"/>
    <hyperlink ref="CD2108" r:id="rId7547" xr:uid="{B26AB37B-1D69-4006-A22C-2EDBC24FFFB2}"/>
    <hyperlink ref="O2109" r:id="rId7548" xr:uid="{E6E681FA-9ADD-4886-AD9D-F3DB45E1C120}"/>
    <hyperlink ref="S2109" r:id="rId7549" xr:uid="{3B5C5983-B0AF-4C48-B194-F881549E6653}"/>
    <hyperlink ref="CA2109" r:id="rId7550" xr:uid="{475A4E30-7F06-42A2-98EF-0D336046526D}"/>
    <hyperlink ref="CD2109" r:id="rId7551" xr:uid="{23145AAF-11FF-4F7C-A404-1E70E689C29A}"/>
    <hyperlink ref="O2110" r:id="rId7552" xr:uid="{FF2EE0DB-3B11-4C5A-9741-E19F706BF59F}"/>
    <hyperlink ref="S2110" r:id="rId7553" xr:uid="{639B1584-C6B0-4F7F-9FD6-141DF4BCD8C7}"/>
    <hyperlink ref="CA2110" r:id="rId7554" xr:uid="{3F01BA1D-A2EE-4DBE-841C-7FE8F29A06B3}"/>
    <hyperlink ref="CD2110" r:id="rId7555" xr:uid="{A0512B29-5C48-4C99-A0F8-9254BC6D5FDB}"/>
    <hyperlink ref="O2111" r:id="rId7556" xr:uid="{0A75448C-0FE1-4B80-A30C-4F61161DAE53}"/>
    <hyperlink ref="S2111" r:id="rId7557" xr:uid="{5C86D8A6-0C5D-4F5B-B2A8-4539A003A8B1}"/>
    <hyperlink ref="CA2111" r:id="rId7558" xr:uid="{A8FE7500-8EA4-407B-B5A9-A9046218506D}"/>
    <hyperlink ref="CD2111" r:id="rId7559" xr:uid="{A78576D6-845C-41F5-894A-93B00B8841AA}"/>
    <hyperlink ref="O2112" r:id="rId7560" xr:uid="{1E9011CF-CE8B-46B1-9D98-06C356CF522E}"/>
    <hyperlink ref="S2112" r:id="rId7561" xr:uid="{5A562ED5-A86B-4956-9432-A284A55B8738}"/>
    <hyperlink ref="T2112" r:id="rId7562" xr:uid="{04C848D1-3733-4585-A613-08FB1266BD72}"/>
    <hyperlink ref="CA2112" r:id="rId7563" xr:uid="{D6A92133-E8AE-48B1-874E-0C3CCF5D6DDB}"/>
    <hyperlink ref="CB2112" r:id="rId7564" xr:uid="{108D9169-F644-43D2-B963-A8B39D32E281}"/>
    <hyperlink ref="O2113" r:id="rId7565" xr:uid="{AC06A397-1201-47B3-AC8C-C8E3D7F49820}"/>
    <hyperlink ref="S2113" r:id="rId7566" xr:uid="{9E11E2C4-8634-41A9-95DC-44EC927465BF}"/>
    <hyperlink ref="T2113" r:id="rId7567" xr:uid="{32BCE644-7B6A-4187-B717-18283D7092AC}"/>
    <hyperlink ref="CA2113" r:id="rId7568" xr:uid="{68ECE86B-366C-4638-B61D-28ABA85D46E4}"/>
    <hyperlink ref="CB2113" r:id="rId7569" xr:uid="{FCB302C3-6141-48F8-80EF-0C498756B1CF}"/>
    <hyperlink ref="O2114" r:id="rId7570" xr:uid="{65163F08-EBFF-4252-BD89-FE30D35ED5E6}"/>
    <hyperlink ref="S2114" r:id="rId7571" xr:uid="{7A6AA83E-8A0C-451D-9458-6F1710F53572}"/>
    <hyperlink ref="T2114" r:id="rId7572" xr:uid="{1071AC41-2CB5-466A-9A75-29BA79548F5F}"/>
    <hyperlink ref="CA2114" r:id="rId7573" xr:uid="{DF0040AD-5355-4D6E-B12B-24AF4F295F60}"/>
    <hyperlink ref="CB2114" r:id="rId7574" xr:uid="{84E4E28E-761A-44D8-B886-DCCF66B6B34E}"/>
    <hyperlink ref="CD2114" r:id="rId7575" xr:uid="{FE50418D-8333-4AEE-AFFD-177E4FC9A9F4}"/>
    <hyperlink ref="O2115" r:id="rId7576" xr:uid="{F631E1A7-587F-47B0-A8C8-6FF81E92DF04}"/>
    <hyperlink ref="R2115" r:id="rId7577" xr:uid="{4649940E-D167-42EF-8435-BF50CDC0878E}"/>
    <hyperlink ref="S2115" r:id="rId7578" xr:uid="{A58164C3-76B2-45C0-8FA4-112FD017BD2D}"/>
    <hyperlink ref="T2115" r:id="rId7579" xr:uid="{2DF6EE38-2A9A-420C-9B1A-B6007E671564}"/>
    <hyperlink ref="CA2115" r:id="rId7580" xr:uid="{966110D3-2A8E-4EF2-8F65-1EA2A2B14A17}"/>
    <hyperlink ref="CB2115" r:id="rId7581" xr:uid="{1FAE5F93-DE64-46FD-B672-8A39DDA77458}"/>
    <hyperlink ref="CD2115" r:id="rId7582" xr:uid="{D66E886D-1C3A-4E17-A879-FA8435D5ABDB}"/>
    <hyperlink ref="O2116" r:id="rId7583" xr:uid="{93553F69-1F8C-4175-8ADA-C4F0F8B7C496}"/>
    <hyperlink ref="R2116" r:id="rId7584" xr:uid="{D62DA20D-1BE3-456F-B12F-41194891BAAC}"/>
    <hyperlink ref="S2116" r:id="rId7585" xr:uid="{45122A6C-6B13-4DF3-B532-5CEB208EF38B}"/>
    <hyperlink ref="T2116" r:id="rId7586" xr:uid="{D82DAF0B-936F-4E5F-A3CE-4B1564A84CA5}"/>
    <hyperlink ref="CA2116" r:id="rId7587" xr:uid="{C481B2D0-C6B5-46DE-B760-6E8134E63166}"/>
    <hyperlink ref="CB2116" r:id="rId7588" xr:uid="{646444FF-F1DD-4B8A-BCDE-9C3EBABB7BE4}"/>
    <hyperlink ref="CD2116" r:id="rId7589" xr:uid="{5067CF21-5CFE-4110-9292-F0A87BDB1169}"/>
    <hyperlink ref="O2117" r:id="rId7590" xr:uid="{17B8FE91-EF00-4E86-831E-BEDA254EF8AA}"/>
    <hyperlink ref="R2117" r:id="rId7591" xr:uid="{47D2D5FF-5CA0-43D2-B3EA-8E9C25FFE940}"/>
    <hyperlink ref="S2117" r:id="rId7592" xr:uid="{B18B121F-02FF-4DFE-B709-696126F3E19D}"/>
    <hyperlink ref="T2117" r:id="rId7593" xr:uid="{7870568D-1BFB-4A03-8CA5-A7E257B69DC7}"/>
    <hyperlink ref="CA2117" r:id="rId7594" xr:uid="{A04D98A8-533F-47FB-909A-9918EC5A7495}"/>
    <hyperlink ref="CB2117" r:id="rId7595" xr:uid="{4A970069-1480-4470-82B6-222436A101E0}"/>
    <hyperlink ref="CD2117" r:id="rId7596" xr:uid="{0C22A7DC-7C01-49D2-9A24-05C0CD65885B}"/>
    <hyperlink ref="O2118" r:id="rId7597" xr:uid="{83BCC89F-EC10-4F6F-ACA1-6261D0E136EC}"/>
    <hyperlink ref="S2118" r:id="rId7598" xr:uid="{8223C7C8-E01E-41E6-8E76-1D6B035A3473}"/>
    <hyperlink ref="T2118" r:id="rId7599" xr:uid="{031FA3C9-F794-466F-8C2E-4143012A5E6B}"/>
    <hyperlink ref="CA2118" r:id="rId7600" xr:uid="{7A218E36-8B54-41C8-8E37-E4143240005D}"/>
    <hyperlink ref="CB2118" r:id="rId7601" xr:uid="{775B5F05-D437-45D0-B507-69EDA478431A}"/>
    <hyperlink ref="CD2118" r:id="rId7602" xr:uid="{84E8156D-0BD0-449B-9A28-C28EC3A21E36}"/>
    <hyperlink ref="O2119" r:id="rId7603" xr:uid="{7FF3D599-54B0-45F2-BE37-BD41AA718C4A}"/>
    <hyperlink ref="S2119" r:id="rId7604" xr:uid="{ADDB31AD-7FDB-4BA5-B686-D5EE0A0F5921}"/>
    <hyperlink ref="CA2119" r:id="rId7605" xr:uid="{C167C0BF-9833-4AC2-85C1-1F553C539BA6}"/>
    <hyperlink ref="CD2119" r:id="rId7606" xr:uid="{E968EE78-204B-458F-8286-6C0CDF070386}"/>
    <hyperlink ref="O2120" r:id="rId7607" xr:uid="{4E5751F7-0EF8-410B-8555-FAFFBB840766}"/>
    <hyperlink ref="S2120" r:id="rId7608" xr:uid="{917B80BC-5AFA-4D19-A427-CF7F74440485}"/>
    <hyperlink ref="CA2120" r:id="rId7609" xr:uid="{946236D2-9F6A-4678-9406-1E1EC608FFF3}"/>
    <hyperlink ref="O2121" r:id="rId7610" xr:uid="{A3DAED6B-3692-4F22-AC7F-AFF271E84165}"/>
    <hyperlink ref="S2121" r:id="rId7611" xr:uid="{D6D33666-BC7B-4E4A-A825-9E21C76C0095}"/>
    <hyperlink ref="CA2121" r:id="rId7612" xr:uid="{92FE04E7-4B28-4187-88DA-96D7167813BE}"/>
    <hyperlink ref="CD2121" r:id="rId7613" xr:uid="{3C66B6B6-8516-406B-8D50-8D9661C84B6F}"/>
    <hyperlink ref="O2122" r:id="rId7614" xr:uid="{7455C2DA-557E-4E0D-B4A9-DE18139856B7}"/>
    <hyperlink ref="S2122" r:id="rId7615" xr:uid="{E3B11897-0596-4E83-BFA2-A0BDB6CD8667}"/>
    <hyperlink ref="CA2122" r:id="rId7616" xr:uid="{D0386099-815F-4602-A73D-F0CADA3C7BB2}"/>
    <hyperlink ref="CD2122" r:id="rId7617" xr:uid="{FB0CC5F6-FE30-4B80-9C27-324D290F248C}"/>
    <hyperlink ref="O2123" r:id="rId7618" xr:uid="{59D6CBEC-7874-4C9E-814F-3A3F2A3D8D3A}"/>
    <hyperlink ref="S2123" r:id="rId7619" xr:uid="{42921593-D4B4-423B-BB36-B17F90852091}"/>
    <hyperlink ref="CA2123" r:id="rId7620" xr:uid="{2DE4EA95-991F-4A77-8635-5D7AE8691F1E}"/>
    <hyperlink ref="CD2123" r:id="rId7621" xr:uid="{B41BBFF7-0B37-46E2-9EE0-FB9389103EF3}"/>
    <hyperlink ref="O2124" r:id="rId7622" xr:uid="{3C0A38D1-500F-4D84-A341-E508FD823EBD}"/>
    <hyperlink ref="S2124" r:id="rId7623" xr:uid="{08FA427C-99FE-4BBE-BAD6-7B5416A438D7}"/>
    <hyperlink ref="CA2124" r:id="rId7624" xr:uid="{779A58EB-7A92-4025-8E34-1D73A737AA6E}"/>
    <hyperlink ref="CD2124" r:id="rId7625" xr:uid="{CC7E9981-ABA5-4639-875C-E52220BBCC00}"/>
    <hyperlink ref="O2125" r:id="rId7626" xr:uid="{88D431FC-0844-48B2-BF66-10B228D4E139}"/>
    <hyperlink ref="S2125" r:id="rId7627" xr:uid="{A2C7751F-E3F7-40B9-B1C9-2BD1DE67C4EB}"/>
    <hyperlink ref="CA2125" r:id="rId7628" xr:uid="{4C2D923A-D828-4694-BBE9-C854A26EE240}"/>
    <hyperlink ref="CD2125" r:id="rId7629" xr:uid="{9BA2214A-2C21-4B5F-A147-9C1785B5D453}"/>
    <hyperlink ref="O2126" r:id="rId7630" xr:uid="{3A7F30C2-1D15-4B10-A49B-14AF12F1D56D}"/>
    <hyperlink ref="S2126" r:id="rId7631" xr:uid="{5589CBA9-C8E4-4747-9764-08702F87457E}"/>
    <hyperlink ref="CA2126" r:id="rId7632" xr:uid="{D26663DF-FA26-4335-B41F-CF39B4BC716A}"/>
    <hyperlink ref="O2127" r:id="rId7633" xr:uid="{AEDBB5D5-DCE0-48D2-BDC3-0C3839672480}"/>
    <hyperlink ref="S2127" r:id="rId7634" xr:uid="{F08C81CA-7552-4E41-A8AD-D2B17012F1B5}"/>
    <hyperlink ref="CA2127" r:id="rId7635" xr:uid="{B65A1A93-DB67-441A-943A-3A5428BF4F45}"/>
    <hyperlink ref="O2128" r:id="rId7636" xr:uid="{0AE23A8E-B7EB-471B-8436-06C322CD837A}"/>
    <hyperlink ref="S2128" r:id="rId7637" xr:uid="{B9433540-2775-4A35-9FC0-8BB73D8EA37A}"/>
    <hyperlink ref="CA2128" r:id="rId7638" xr:uid="{6A989F82-7BDB-4A28-8DFF-ACA255F639FC}"/>
    <hyperlink ref="O2129" r:id="rId7639" xr:uid="{6DAC27B9-65A1-44C5-84F2-119353D0E93B}"/>
    <hyperlink ref="S2129" r:id="rId7640" xr:uid="{2E4166AE-87EA-48FF-AE68-7B33EB97A8FD}"/>
    <hyperlink ref="CA2129" r:id="rId7641" xr:uid="{5E4678A0-2EBB-42B5-B338-E7116C2E292A}"/>
    <hyperlink ref="O2130" r:id="rId7642" xr:uid="{50DE7A85-C398-4582-9D03-0039C37F5FFD}"/>
    <hyperlink ref="S2130" r:id="rId7643" xr:uid="{54AFD017-748A-4CA4-A546-FAAF4F5862BC}"/>
    <hyperlink ref="CA2130" r:id="rId7644" xr:uid="{06E588F3-4353-4995-A5E3-778E99E8751B}"/>
    <hyperlink ref="O2131" r:id="rId7645" xr:uid="{F9C6F3A0-F11D-4F1C-B6F8-3C795A91CC99}"/>
    <hyperlink ref="S2131" r:id="rId7646" xr:uid="{31AA839D-CBCE-4332-881D-F6B6D439C964}"/>
    <hyperlink ref="CA2131" r:id="rId7647" xr:uid="{A7A86EBD-E8D4-4CE8-982B-BAF14FF100C0}"/>
    <hyperlink ref="CD2131" r:id="rId7648" xr:uid="{466B785D-A826-4E9B-B799-1C453702C919}"/>
    <hyperlink ref="O2132" r:id="rId7649" xr:uid="{A7DE53F3-F02C-480E-BDD3-18FBFD83A8AB}"/>
    <hyperlink ref="S2132" r:id="rId7650" xr:uid="{BA785209-7B53-4001-B575-610E75A5915E}"/>
    <hyperlink ref="T2132" r:id="rId7651" xr:uid="{D6736FE9-585B-43AF-9B24-B692019475C8}"/>
    <hyperlink ref="CA2132" r:id="rId7652" xr:uid="{76F8C9DC-BF15-4E43-B982-D70523E0B087}"/>
    <hyperlink ref="CB2132" r:id="rId7653" xr:uid="{07708B18-FF73-4FCB-991D-F8B290CDB441}"/>
    <hyperlink ref="CD2132" r:id="rId7654" xr:uid="{B4BACAE2-6149-4B8C-8913-96A38C15CB45}"/>
    <hyperlink ref="O2133" r:id="rId7655" xr:uid="{1CFDD21D-1D81-4199-8250-55F6BA1A2011}"/>
    <hyperlink ref="S2133" r:id="rId7656" xr:uid="{9F3A9358-DC68-4AFC-BF19-FC3514E9A3E8}"/>
    <hyperlink ref="CA2133" r:id="rId7657" xr:uid="{B7CBE17E-8015-4619-B389-2218DFAFDCD1}"/>
    <hyperlink ref="CD2133" r:id="rId7658" xr:uid="{FB9E6006-2C8E-4D61-A324-5C1E21CE7D45}"/>
    <hyperlink ref="O2134" r:id="rId7659" xr:uid="{31485AA7-7A42-402C-AE79-146FA183795B}"/>
    <hyperlink ref="S2134" r:id="rId7660" xr:uid="{EF4F4F49-2533-49EB-A194-E40996B9AB24}"/>
    <hyperlink ref="CA2134" r:id="rId7661" xr:uid="{914C6DD4-D490-4365-AC5A-FE04A1F2C2C9}"/>
    <hyperlink ref="CD2134" r:id="rId7662" xr:uid="{4749F3D0-D5BA-4DF3-9E7E-1C9B209A99F8}"/>
    <hyperlink ref="O2135" r:id="rId7663" xr:uid="{98D0BDD0-309A-4F96-933E-A8F5A3680546}"/>
    <hyperlink ref="S2135" r:id="rId7664" xr:uid="{4EC8B368-76F1-488F-A0B8-31769A758CB9}"/>
    <hyperlink ref="CA2135" r:id="rId7665" xr:uid="{92BEB8BC-162C-43BB-BFAC-A1F407EE0381}"/>
    <hyperlink ref="CD2135" r:id="rId7666" xr:uid="{665A7875-957C-4F1A-889C-D3A025BD0CAF}"/>
    <hyperlink ref="O2136" r:id="rId7667" xr:uid="{7739D5B6-36D6-4546-9BE5-1590237BF3F4}"/>
    <hyperlink ref="S2136" r:id="rId7668" xr:uid="{8C72539C-DA6D-4CF9-AA50-6CB491B555CC}"/>
    <hyperlink ref="CA2136" r:id="rId7669" xr:uid="{73069DAD-E779-400C-B41B-CE4D8938B493}"/>
    <hyperlink ref="CD2136" r:id="rId7670" xr:uid="{239D6D0E-9440-4155-9420-5DC058BABB3E}"/>
    <hyperlink ref="O2137" r:id="rId7671" xr:uid="{1A6DB6BD-FA14-4CE9-AA36-01B4125F358B}"/>
    <hyperlink ref="S2137" r:id="rId7672" xr:uid="{49A75359-2925-49D2-B6B5-D9C3985B85BC}"/>
    <hyperlink ref="CA2137" r:id="rId7673" xr:uid="{CAE0B687-9232-44A7-89F3-EBE144540CAA}"/>
    <hyperlink ref="CD2137" r:id="rId7674" xr:uid="{D6346F62-99B3-4A83-A137-C345828E7E21}"/>
    <hyperlink ref="O2138" r:id="rId7675" xr:uid="{A4DA2587-2E95-430C-ADB9-659326D613BB}"/>
    <hyperlink ref="R2138" r:id="rId7676" xr:uid="{CF19FC48-CE91-4461-8C1D-37E69E86CE10}"/>
    <hyperlink ref="S2138" r:id="rId7677" xr:uid="{1B357219-4DEE-433D-9622-99B0C6976E7A}"/>
    <hyperlink ref="BX2138" r:id="rId7678" xr:uid="{47E34324-5D29-4AEE-A39E-52FD03224A12}"/>
    <hyperlink ref="CA2138" r:id="rId7679" xr:uid="{45435513-FAB7-43B0-8561-01E7E1C2FB11}"/>
    <hyperlink ref="CD2138" r:id="rId7680" xr:uid="{E873F106-2B3C-487A-9477-B54E81EAEBCA}"/>
    <hyperlink ref="O2139" r:id="rId7681" xr:uid="{032F6636-C40B-4801-A5DE-6F8182941B47}"/>
    <hyperlink ref="S2139" r:id="rId7682" xr:uid="{02627275-91AE-4345-92AB-9DEFBFC1EE98}"/>
    <hyperlink ref="CA2139" r:id="rId7683" xr:uid="{6A53E593-A166-4AA1-95D9-78B3DB1ABFE0}"/>
    <hyperlink ref="CD2139" r:id="rId7684" xr:uid="{3D35848A-2279-4A55-AE90-E1FC6A4DEBF0}"/>
    <hyperlink ref="O2140" r:id="rId7685" xr:uid="{666B0810-C619-409F-BE11-200D8E2624F4}"/>
    <hyperlink ref="S2140" r:id="rId7686" xr:uid="{173B9134-07C5-4D0E-AD73-522C4B4201F0}"/>
    <hyperlink ref="CA2140" r:id="rId7687" xr:uid="{CE765A44-1696-4E1F-B49F-8669ED655241}"/>
    <hyperlink ref="CD2140" r:id="rId7688" xr:uid="{5E306430-32EB-497E-BBEF-9DA88A49C995}"/>
    <hyperlink ref="O2141" r:id="rId7689" xr:uid="{6F22FC6E-9FCC-4A20-ABF5-92D8FBD866F4}"/>
    <hyperlink ref="S2141" r:id="rId7690" xr:uid="{CC87EBCF-AD3B-4895-BFD7-372F90ACEBEC}"/>
    <hyperlink ref="CA2141" r:id="rId7691" xr:uid="{350B8194-5E84-4E22-84FF-6D6D905AE222}"/>
    <hyperlink ref="CD2141" r:id="rId7692" xr:uid="{30343879-82BC-489A-9969-8CA250426247}"/>
    <hyperlink ref="O2142" r:id="rId7693" xr:uid="{4E59D741-056A-405B-A261-5E8B5259B89D}"/>
    <hyperlink ref="S2142" r:id="rId7694" xr:uid="{24F6A1D4-8904-48F8-9A01-282DB8CFBE80}"/>
    <hyperlink ref="T2142" r:id="rId7695" xr:uid="{39FE9DC6-5832-48C2-9237-9635E76A83CD}"/>
    <hyperlink ref="CA2142" r:id="rId7696" xr:uid="{FFB7F5DE-5212-44BF-85CE-DAB14FBF25C6}"/>
    <hyperlink ref="CB2142" r:id="rId7697" xr:uid="{41656A2D-A9CF-4BB8-A7A7-F7E6CEE58186}"/>
    <hyperlink ref="CD2142" r:id="rId7698" xr:uid="{CB07E11E-C16D-4176-9E86-42CBFFB2B9CC}"/>
    <hyperlink ref="O2143" r:id="rId7699" xr:uid="{328B98AC-3C37-461F-93C4-1D13E91661A9}"/>
    <hyperlink ref="S2143" r:id="rId7700" xr:uid="{2ED02DBC-BB6A-4D46-B108-C19BB2986DB0}"/>
    <hyperlink ref="T2143" r:id="rId7701" xr:uid="{9B649BC4-BA5E-4F2B-AE86-8C09088255AA}"/>
    <hyperlink ref="CA2143" r:id="rId7702" xr:uid="{C400CD3D-62AB-4555-8302-1081B1515A42}"/>
    <hyperlink ref="CB2143" r:id="rId7703" xr:uid="{76AA5665-A578-43BA-9846-8D268158D054}"/>
    <hyperlink ref="CD2143" r:id="rId7704" xr:uid="{26A4CDEB-5824-4FD8-9C5E-EF12324A8246}"/>
    <hyperlink ref="O2144" r:id="rId7705" xr:uid="{C9D83422-32B8-47A6-A61A-5C5AE8E97A41}"/>
    <hyperlink ref="S2144" r:id="rId7706" xr:uid="{D7CD3D67-64D4-4CE7-B1C2-AA20F563B934}"/>
    <hyperlink ref="T2144" r:id="rId7707" xr:uid="{DC761DF4-7739-4EC5-AA85-864EE4D09E0F}"/>
    <hyperlink ref="CA2144" r:id="rId7708" xr:uid="{31694247-0E35-4707-B6C7-409E9E2E65A3}"/>
    <hyperlink ref="CB2144" r:id="rId7709" xr:uid="{A785977B-27C1-49C2-AC9A-779FA3D7B651}"/>
    <hyperlink ref="CD2144" r:id="rId7710" xr:uid="{26052E7D-1306-439D-BA81-4EE0AC37AAA9}"/>
    <hyperlink ref="O2145" r:id="rId7711" xr:uid="{4853DF45-2048-4BF1-9C2D-4360EFFE7DBC}"/>
    <hyperlink ref="S2145" r:id="rId7712" xr:uid="{8D1FB023-4798-4355-B827-3FD1A4A12115}"/>
    <hyperlink ref="T2145" r:id="rId7713" xr:uid="{28D3BAA7-4D84-4107-9EEE-D6F982AB262F}"/>
    <hyperlink ref="CA2145" r:id="rId7714" xr:uid="{637F0419-0866-4E0A-A15F-82554EEA2FFB}"/>
    <hyperlink ref="CB2145" r:id="rId7715" xr:uid="{F6720528-0B1D-4C8D-973B-33D9E144451A}"/>
    <hyperlink ref="CD2145" r:id="rId7716" xr:uid="{A8914AF5-1644-4E5B-8C50-1D79E50FE693}"/>
    <hyperlink ref="O2146" r:id="rId7717" xr:uid="{AF8A374F-2255-4F3D-88A7-B7C0A839750D}"/>
    <hyperlink ref="S2146" r:id="rId7718" xr:uid="{FB109517-2B70-417E-ABBF-FB37FA95112F}"/>
    <hyperlink ref="T2146" r:id="rId7719" xr:uid="{318B2BCF-1D38-4994-BA3B-10BD5C6154D6}"/>
    <hyperlink ref="CA2146" r:id="rId7720" xr:uid="{DD99A529-6CB9-4AC4-9968-2785ED457A58}"/>
    <hyperlink ref="CB2146" r:id="rId7721" xr:uid="{F4ECA17D-6936-4B9E-95A6-72BAE9A28314}"/>
    <hyperlink ref="CD2146" r:id="rId7722" xr:uid="{6929EDAE-0FA1-46B1-B145-ADD58269CC2F}"/>
    <hyperlink ref="O2147" r:id="rId7723" xr:uid="{D2B3C4FD-5323-4CDF-8FA1-287C052FE7BB}"/>
    <hyperlink ref="S2147" r:id="rId7724" xr:uid="{1194AE38-436C-489A-93C8-429EE008CCBA}"/>
    <hyperlink ref="T2147" r:id="rId7725" xr:uid="{045CE7F5-B8F6-4605-9509-DA84AB603D26}"/>
    <hyperlink ref="CA2147" r:id="rId7726" xr:uid="{38DB2629-7A16-4DD5-8258-CC8AE2252CAE}"/>
    <hyperlink ref="CB2147" r:id="rId7727" xr:uid="{4D24A861-4587-4708-B8EA-A0CBE57D2A5B}"/>
    <hyperlink ref="CD2147" r:id="rId7728" xr:uid="{C6ED3859-4934-46A0-9EF0-FA2E5588FDC8}"/>
    <hyperlink ref="O2148" r:id="rId7729" xr:uid="{8C8CF45B-F0FF-4382-B035-836DBBE1F578}"/>
    <hyperlink ref="S2148" r:id="rId7730" xr:uid="{673DAC24-7C8C-46CB-B262-C6B1C392F678}"/>
    <hyperlink ref="T2148" r:id="rId7731" xr:uid="{CD9FFEBF-FE5B-4A4C-8F96-6979748B5292}"/>
    <hyperlink ref="CA2148" r:id="rId7732" xr:uid="{660E9F51-815B-4FD4-9BF4-3AD2E0D9D527}"/>
    <hyperlink ref="CB2148" r:id="rId7733" xr:uid="{4D5CBD6C-1972-4F0C-9075-7F2467AE32AA}"/>
    <hyperlink ref="CD2148" r:id="rId7734" xr:uid="{87F61BD9-636D-4C46-8ADB-BBE5357A89AB}"/>
    <hyperlink ref="O2149" r:id="rId7735" xr:uid="{99D318A6-2E9C-42FA-90F7-B0B230120AE6}"/>
    <hyperlink ref="S2149" r:id="rId7736" xr:uid="{E217AB13-CEBF-40AE-AA6F-7C7C81D682C8}"/>
    <hyperlink ref="T2149" r:id="rId7737" xr:uid="{C13CCE4C-64E5-40F8-8E74-917EBC3A2B0E}"/>
    <hyperlink ref="CA2149" r:id="rId7738" xr:uid="{915F6EF4-024A-469E-9906-02C4CF85462E}"/>
    <hyperlink ref="CB2149" r:id="rId7739" xr:uid="{29F1775F-C8A0-45DB-B232-55C2DAD6CFC6}"/>
    <hyperlink ref="CD2149" r:id="rId7740" xr:uid="{3DD88C99-D0C1-4C1E-AD3B-DC59705EA43D}"/>
    <hyperlink ref="O2150" r:id="rId7741" xr:uid="{5BC149F4-0953-4DD0-9581-9D2D5807BCE9}"/>
    <hyperlink ref="S2150" r:id="rId7742" xr:uid="{3BFCF4CE-8B9C-495A-B769-221F70822BCC}"/>
    <hyperlink ref="T2150" r:id="rId7743" xr:uid="{270CAF44-313E-4EBB-853C-9D7FE48168A7}"/>
    <hyperlink ref="CA2150" r:id="rId7744" xr:uid="{F893F362-8C4B-48F5-82DF-5EDD6C8DF0D5}"/>
    <hyperlink ref="CB2150" r:id="rId7745" xr:uid="{22CBE037-3668-4F15-BB8E-6EA274E46986}"/>
    <hyperlink ref="CD2150" r:id="rId7746" xr:uid="{0FAF922B-C95E-4F2F-B1CF-767A8B400E2D}"/>
    <hyperlink ref="O2151" r:id="rId7747" xr:uid="{E44F6767-AA3B-4D84-A6CD-109C954B489D}"/>
    <hyperlink ref="S2151" r:id="rId7748" xr:uid="{27C40AAC-F5FC-4610-B97C-B23116E1B3C7}"/>
    <hyperlink ref="T2151" r:id="rId7749" xr:uid="{6C6CB57D-458D-4F3E-A383-DB955EB30150}"/>
    <hyperlink ref="CA2151" r:id="rId7750" xr:uid="{D6A4505B-0705-4410-A59C-162DFBF60B67}"/>
    <hyperlink ref="CB2151" r:id="rId7751" xr:uid="{108D03FE-ABD3-4CDA-AB80-7E5456C3CB48}"/>
    <hyperlink ref="CD2151" r:id="rId7752" xr:uid="{696F0A5A-1CBA-4EC2-BBEE-3FF1EDC3E3E7}"/>
    <hyperlink ref="O2152" r:id="rId7753" xr:uid="{9142F913-CCEA-4687-80AE-29830373B598}"/>
    <hyperlink ref="S2152" r:id="rId7754" xr:uid="{5C9A46FC-E733-4AB4-ACC9-5B83DD04C19E}"/>
    <hyperlink ref="T2152" r:id="rId7755" xr:uid="{348533C1-5ACB-42BF-B0B7-DFB8215AA7E1}"/>
    <hyperlink ref="CA2152" r:id="rId7756" xr:uid="{F3470670-5938-4261-B3DC-BC9D7A45FAF4}"/>
    <hyperlink ref="CB2152" r:id="rId7757" xr:uid="{B4909653-648E-47F4-B873-7FA39A7BED88}"/>
    <hyperlink ref="CD2152" r:id="rId7758" xr:uid="{7BC67672-1E20-45AB-90D7-1FAA6B139E54}"/>
    <hyperlink ref="O2153" r:id="rId7759" xr:uid="{E2006114-5DA1-4FF4-8C1D-51AAD2255A71}"/>
    <hyperlink ref="S2153" r:id="rId7760" xr:uid="{0E791FCD-A08F-4AD6-9AE8-D1E938818788}"/>
    <hyperlink ref="T2153" r:id="rId7761" xr:uid="{56B4DBE7-E13F-4411-9467-69E6480AD5BB}"/>
    <hyperlink ref="CA2153" r:id="rId7762" xr:uid="{74606512-CB06-49D0-9F8A-81C03E7C313C}"/>
    <hyperlink ref="CB2153" r:id="rId7763" xr:uid="{D75DEA0B-6254-46EC-939B-D8B25D67F0CC}"/>
    <hyperlink ref="CD2153" r:id="rId7764" xr:uid="{A053A8B8-3288-4099-8AD2-C8FD4C4FA3FD}"/>
    <hyperlink ref="O2154" r:id="rId7765" xr:uid="{306D7EF4-C7CC-4516-B884-70BCE773EB6F}"/>
    <hyperlink ref="S2154" r:id="rId7766" xr:uid="{174EFC9D-8651-49CC-A825-72DF76AC36D5}"/>
    <hyperlink ref="T2154" r:id="rId7767" xr:uid="{EC7C51FE-77BC-4A38-9A1C-5B701E840A1B}"/>
    <hyperlink ref="CA2154" r:id="rId7768" xr:uid="{A627B5E2-7061-4090-9601-2E7F7A584666}"/>
    <hyperlink ref="CB2154" r:id="rId7769" xr:uid="{CE26FB7A-32F9-46D6-A3AE-6FE1FD5F19A0}"/>
    <hyperlink ref="O2155" r:id="rId7770" xr:uid="{6CEA5069-96F0-4574-81B8-65184F5D8B8B}"/>
    <hyperlink ref="S2155" r:id="rId7771" xr:uid="{7285E9E4-8AD9-4581-82EE-654D6478FC4F}"/>
    <hyperlink ref="T2155" r:id="rId7772" xr:uid="{94BBB377-358A-4753-BFBA-7F809EC242C8}"/>
    <hyperlink ref="CA2155" r:id="rId7773" xr:uid="{F7CB35AD-43A4-47E2-9F87-F121372B39A5}"/>
    <hyperlink ref="CB2155" r:id="rId7774" xr:uid="{E93245A4-D460-4A31-B2C3-CB4B5442FD0B}"/>
    <hyperlink ref="CD2155" r:id="rId7775" xr:uid="{F4162E2D-962F-4BA7-BA8B-10B8F4F1F6DB}"/>
    <hyperlink ref="O2156" r:id="rId7776" xr:uid="{D187E094-1E6B-4036-986F-07F97EFFD26F}"/>
    <hyperlink ref="S2156" r:id="rId7777" xr:uid="{F6292F36-74F9-448A-9CB2-B016E6CD0B1A}"/>
    <hyperlink ref="T2156" r:id="rId7778" xr:uid="{2A148936-0809-474A-983A-1C376368EF4C}"/>
    <hyperlink ref="CA2156" r:id="rId7779" xr:uid="{C88C92BF-4046-4936-BC9F-3A60515C7B61}"/>
    <hyperlink ref="CB2156" r:id="rId7780" xr:uid="{0A87E788-3784-4FCD-BF63-6CB1D021CB20}"/>
    <hyperlink ref="CD2156" r:id="rId7781" xr:uid="{27B9FCDB-07F5-4945-9406-2E0ED5D6CD95}"/>
    <hyperlink ref="O2157" r:id="rId7782" xr:uid="{3FAF8177-5E3C-4C4F-927E-8A1FC550DA2F}"/>
    <hyperlink ref="S2157" r:id="rId7783" xr:uid="{83AE6E6F-AE78-4BA8-9C44-94C26E06D65D}"/>
    <hyperlink ref="T2157" r:id="rId7784" xr:uid="{979C30DA-BBD8-4F30-A00D-DD49026050DD}"/>
    <hyperlink ref="CA2157" r:id="rId7785" xr:uid="{95117355-9D22-4CEC-AAC1-8DD2037D3ABC}"/>
    <hyperlink ref="CB2157" r:id="rId7786" xr:uid="{37E1138F-B116-414C-8F82-4F060717BC7A}"/>
    <hyperlink ref="CD2157" r:id="rId7787" xr:uid="{2548024F-7F50-4F34-AF23-A0C978CD879E}"/>
    <hyperlink ref="O2158" r:id="rId7788" xr:uid="{7A773DA9-6100-4DBD-90C1-E45190E3AD68}"/>
    <hyperlink ref="S2158" r:id="rId7789" xr:uid="{111EB45D-1256-4EEB-9AC9-F1A53269EA06}"/>
    <hyperlink ref="T2158" r:id="rId7790" xr:uid="{FE152E3B-3A20-4CD8-9991-4AAEB31D3314}"/>
    <hyperlink ref="CA2158" r:id="rId7791" xr:uid="{94D7831D-7C5B-4E5D-BB28-2DC020C5E11D}"/>
    <hyperlink ref="CB2158" r:id="rId7792" xr:uid="{A475708C-DADB-4912-AEF5-1ECE5C00A5D4}"/>
    <hyperlink ref="CD2158" r:id="rId7793" xr:uid="{EB2BE11B-AAFD-41D8-BEEE-C60A9F8D0AB0}"/>
    <hyperlink ref="O2159" r:id="rId7794" xr:uid="{2E0FEDD3-4C6C-4790-8FC0-7F2E05051FDC}"/>
    <hyperlink ref="S2159" r:id="rId7795" xr:uid="{539B78CF-9B5D-420E-A54C-60B11E75F0F7}"/>
    <hyperlink ref="T2159" r:id="rId7796" xr:uid="{01ABE9FB-0646-4332-A8FD-0B7443A4B823}"/>
    <hyperlink ref="CA2159" r:id="rId7797" xr:uid="{6A665A8F-39E4-4E32-BB28-AF2608C2A76C}"/>
    <hyperlink ref="CB2159" r:id="rId7798" xr:uid="{DECFD059-67EF-4B6E-AAD2-4A4825528EA4}"/>
    <hyperlink ref="CD2159" r:id="rId7799" xr:uid="{12F3F72E-5CEF-48CD-A1DB-A3E2C30773DC}"/>
    <hyperlink ref="O2160" r:id="rId7800" xr:uid="{EB6862E2-9381-4E38-A2F4-BA5843188102}"/>
    <hyperlink ref="S2160" r:id="rId7801" xr:uid="{DC07CFA2-AC49-42C1-B2FA-8F062D584BCA}"/>
    <hyperlink ref="T2160" r:id="rId7802" xr:uid="{8E6487DD-2F3D-44E2-938B-289EDDEDEC74}"/>
    <hyperlink ref="CA2160" r:id="rId7803" xr:uid="{7645A2C8-F324-4FC0-A0B0-4F9FAB7B55A4}"/>
    <hyperlink ref="CB2160" r:id="rId7804" xr:uid="{D71E1413-DC36-4AF3-B6C8-E1E4EA2D0A78}"/>
    <hyperlink ref="O2161" r:id="rId7805" xr:uid="{7262626B-CB57-498C-B3B1-D0A8480FC099}"/>
    <hyperlink ref="S2161" r:id="rId7806" xr:uid="{062CE058-4D35-41E6-998B-384BD15F317D}"/>
    <hyperlink ref="T2161" r:id="rId7807" xr:uid="{F7098D7B-AE40-4968-AABA-7D3469F14F8F}"/>
    <hyperlink ref="CA2161" r:id="rId7808" xr:uid="{A3F46CE3-6F74-412E-B4DC-53A504021741}"/>
    <hyperlink ref="CB2161" r:id="rId7809" xr:uid="{D33D13F6-4319-4DB4-9B7A-565C8DB09055}"/>
    <hyperlink ref="O2162" r:id="rId7810" xr:uid="{B718A3EB-216C-4ABD-A326-9318571935B7}"/>
    <hyperlink ref="S2162" r:id="rId7811" xr:uid="{C44F7336-A10B-4EBF-9214-538566858F1D}"/>
    <hyperlink ref="T2162" r:id="rId7812" xr:uid="{7C17EC12-2D66-42AD-9D31-F68AA45B1033}"/>
    <hyperlink ref="CA2162" r:id="rId7813" xr:uid="{F453AA23-2692-4EA0-ADDE-4FC09F2837D0}"/>
    <hyperlink ref="CB2162" r:id="rId7814" xr:uid="{8FAFC69E-0623-440F-A092-D967327FDF51}"/>
    <hyperlink ref="O2163" r:id="rId7815" xr:uid="{97F5E5AB-AE65-4C4E-AFA4-A82520BB6484}"/>
    <hyperlink ref="S2163" r:id="rId7816" xr:uid="{BA2F6F7D-300E-4F53-A5E1-11FE43C6B67E}"/>
    <hyperlink ref="T2163" r:id="rId7817" xr:uid="{CC829A2B-06C4-4D4B-AAEB-B0A259E8E7EC}"/>
    <hyperlink ref="CA2163" r:id="rId7818" xr:uid="{7CBEC902-4F47-4DF8-862B-FDD717221F2F}"/>
    <hyperlink ref="CB2163" r:id="rId7819" xr:uid="{7FD53605-3BEE-4942-9994-442E57D7D299}"/>
    <hyperlink ref="O2164" r:id="rId7820" xr:uid="{BC684531-3A45-4593-ABC5-FC8A4A3199BA}"/>
    <hyperlink ref="S2164" r:id="rId7821" xr:uid="{02D19B6B-8657-464C-AC7F-4818FFA0D29E}"/>
    <hyperlink ref="CA2164" r:id="rId7822" xr:uid="{EE04C44B-CC68-419E-8380-539FD4C51371}"/>
    <hyperlink ref="CD2164" r:id="rId7823" xr:uid="{E8B65BD3-DF29-47B4-8428-4B099E37A32C}"/>
    <hyperlink ref="O2165" r:id="rId7824" xr:uid="{D7FA0E85-2703-4328-AB5F-4ED6AD75AC77}"/>
    <hyperlink ref="S2165" r:id="rId7825" xr:uid="{B4E29A5B-6E99-4812-8ABE-28A0F2034D4A}"/>
    <hyperlink ref="CA2165" r:id="rId7826" xr:uid="{253F37C5-3376-452A-A06F-A8B75CA8FB30}"/>
    <hyperlink ref="O2166" r:id="rId7827" xr:uid="{54A0A221-A63B-4B17-A8A5-9CAC716E87CB}"/>
    <hyperlink ref="S2166" r:id="rId7828" xr:uid="{CC42FCB5-B153-4CD9-AE52-88ACF2E5FA63}"/>
    <hyperlink ref="CA2166" r:id="rId7829" xr:uid="{826135D8-6856-4F25-8056-E2C1F73D2497}"/>
    <hyperlink ref="O2167" r:id="rId7830" xr:uid="{9CD3BE9E-F734-452C-977D-8D667A1DF8FA}"/>
    <hyperlink ref="S2167" r:id="rId7831" xr:uid="{35882D7D-93CD-4258-B20B-2D4674CBFFF0}"/>
    <hyperlink ref="CA2167" r:id="rId7832" xr:uid="{DBFFE62C-06A7-45E5-A3F7-97347F6B7C70}"/>
    <hyperlink ref="O2168" r:id="rId7833" xr:uid="{8402CFFA-76B0-459A-A535-B8D9FB6B930F}"/>
    <hyperlink ref="S2168" r:id="rId7834" xr:uid="{0E963121-F0B9-48FE-977E-09D8B38D6D90}"/>
    <hyperlink ref="CA2168" r:id="rId7835" xr:uid="{3DA79162-54F2-433F-A441-7752040DE03D}"/>
    <hyperlink ref="O2169" r:id="rId7836" xr:uid="{29DC85F8-7619-4F1D-8502-337E899C7A54}"/>
    <hyperlink ref="S2169" r:id="rId7837" xr:uid="{E37F7128-9120-4212-B942-1EF05C4579EB}"/>
    <hyperlink ref="CA2169" r:id="rId7838" xr:uid="{09060D90-DF26-44CD-B365-41A9B61A4939}"/>
    <hyperlink ref="CD2169" r:id="rId7839" xr:uid="{61C110AB-8FE8-498E-9FF5-DAAEAF80B762}"/>
    <hyperlink ref="O2170" r:id="rId7840" xr:uid="{198A1389-AEBD-4352-8EE0-2CF1FA156C16}"/>
    <hyperlink ref="S2170" r:id="rId7841" xr:uid="{92F321C5-C05D-4C2A-8D72-B0AC391DE30D}"/>
    <hyperlink ref="CA2170" r:id="rId7842" xr:uid="{733B941F-997E-43E3-98FF-63A2564B62AD}"/>
    <hyperlink ref="CD2170" r:id="rId7843" xr:uid="{2B496316-A9AA-4327-A247-50DA3FCEFD32}"/>
    <hyperlink ref="O2171" r:id="rId7844" xr:uid="{6F39F9DD-4D19-4B28-B451-CFD1EB73C3C0}"/>
    <hyperlink ref="S2171" r:id="rId7845" xr:uid="{9FB814B1-92B4-4140-9A63-CA9AAEF734AC}"/>
    <hyperlink ref="CA2171" r:id="rId7846" xr:uid="{893EF6FC-46B9-47CB-B1EB-242BC5B385A4}"/>
    <hyperlink ref="O2172" r:id="rId7847" xr:uid="{F326A454-49CA-49EB-A1A0-FCBA5FBC9E41}"/>
    <hyperlink ref="S2172" r:id="rId7848" xr:uid="{E7EFBD9B-1A91-451E-AD10-03370753AA6E}"/>
    <hyperlink ref="CA2172" r:id="rId7849" xr:uid="{965AF22A-267B-437B-89E5-AE19DE354991}"/>
    <hyperlink ref="O2173" r:id="rId7850" xr:uid="{E488CA59-C0C1-4292-AFC5-108A81C487E5}"/>
    <hyperlink ref="S2173" r:id="rId7851" xr:uid="{B3FA953F-5021-4C20-A0CA-713F8DE216EE}"/>
    <hyperlink ref="CA2173" r:id="rId7852" xr:uid="{990E245E-F105-4BEF-9439-DD82D0C0FE6B}"/>
    <hyperlink ref="O2174" r:id="rId7853" xr:uid="{4B28B206-7EAD-4130-8DC0-E553096038CB}"/>
    <hyperlink ref="S2174" r:id="rId7854" xr:uid="{F0D4FA7E-4CF0-4170-A59E-B4F9A59200A3}"/>
    <hyperlink ref="CA2174" r:id="rId7855" xr:uid="{BC7A57B8-60AA-4152-98A5-980862EACF46}"/>
    <hyperlink ref="O2175" r:id="rId7856" xr:uid="{4CA9A7E9-3C1E-4029-A7CF-9A696E8787C5}"/>
    <hyperlink ref="S2175" r:id="rId7857" xr:uid="{3B7929FB-ECDA-401C-811A-2CC33E91A04B}"/>
    <hyperlink ref="CA2175" r:id="rId7858" xr:uid="{417A147B-A8F8-47DB-8667-7771A98F7EF0}"/>
    <hyperlink ref="O2176" r:id="rId7859" xr:uid="{71140C5C-36CB-4899-BCED-70A04DAFD685}"/>
    <hyperlink ref="S2176" r:id="rId7860" xr:uid="{DF33C8B2-437C-47C8-9B6C-5C862BA0CD53}"/>
    <hyperlink ref="CA2176" r:id="rId7861" xr:uid="{FDCF9CA6-596F-4169-B194-0A5DE28ABC0F}"/>
    <hyperlink ref="CD2176" r:id="rId7862" xr:uid="{71AB36ED-345C-4D78-B8BC-B3D4A239DD3E}"/>
    <hyperlink ref="O2177" r:id="rId7863" xr:uid="{B61EE308-9622-4571-9632-26BC087FC973}"/>
    <hyperlink ref="S2177" r:id="rId7864" xr:uid="{9408D061-8787-4567-86A5-839DCE9FDFF9}"/>
    <hyperlink ref="CA2177" r:id="rId7865" xr:uid="{8B4D9109-ED30-4614-8B70-0CA79CA779FC}"/>
    <hyperlink ref="CD2177" r:id="rId7866" xr:uid="{93228BE3-C895-4867-838C-D2029FF2B2F2}"/>
    <hyperlink ref="O2178" r:id="rId7867" xr:uid="{41C5ADA6-1448-4720-AAAC-AF003E086466}"/>
    <hyperlink ref="S2178" r:id="rId7868" xr:uid="{686561DF-D019-4AB1-8D5E-B2B0A90672C4}"/>
    <hyperlink ref="CA2178" r:id="rId7869" xr:uid="{6EAF566F-DDFB-4D3F-8CDA-2665EBAC4B1C}"/>
    <hyperlink ref="CD2178" r:id="rId7870" xr:uid="{59849D2B-ABD1-4835-935A-FAD2297E5841}"/>
    <hyperlink ref="O2179" r:id="rId7871" xr:uid="{227383C8-D1F0-4192-A0B5-4EADD21E3C73}"/>
    <hyperlink ref="S2179" r:id="rId7872" xr:uid="{DAC2B8C2-FD6D-42ED-88AC-D70C66F77A3A}"/>
    <hyperlink ref="CA2179" r:id="rId7873" xr:uid="{16BBDFFC-7047-4F6C-AE40-CF871CD3526F}"/>
    <hyperlink ref="CD2179" r:id="rId7874" xr:uid="{782A5DCF-0F2B-4365-8FB4-6A7F1FBB5E64}"/>
    <hyperlink ref="O2180" r:id="rId7875" xr:uid="{91462DD9-7212-4E86-B1FB-D584629C4B9A}"/>
    <hyperlink ref="S2180" r:id="rId7876" xr:uid="{4FB9102C-FBEE-456C-8657-8F9F36278CAB}"/>
    <hyperlink ref="CA2180" r:id="rId7877" xr:uid="{E1690552-D027-4B86-A3F6-CD666F67971B}"/>
    <hyperlink ref="CD2180" r:id="rId7878" xr:uid="{1FA509F9-A8CF-41E4-A668-FF9D332C64A3}"/>
    <hyperlink ref="O2181" r:id="rId7879" xr:uid="{A055A77B-0689-4905-9B8C-648975827883}"/>
    <hyperlink ref="S2181" r:id="rId7880" xr:uid="{A42E4406-01CB-4D85-845A-17BB463429BF}"/>
    <hyperlink ref="CA2181" r:id="rId7881" xr:uid="{B9944041-2C60-46E2-9EDF-9C65D139AC69}"/>
    <hyperlink ref="CD2181" r:id="rId7882" xr:uid="{0212E8CC-C84B-488F-92F1-86ACA057C89D}"/>
    <hyperlink ref="O2182" r:id="rId7883" xr:uid="{38A5C8D8-FC4B-483D-9639-69CAAD346A8E}"/>
    <hyperlink ref="S2182" r:id="rId7884" xr:uid="{D66C4EF8-7AF8-4401-AADD-1F09B0779D3B}"/>
    <hyperlink ref="CA2182" r:id="rId7885" xr:uid="{92E2A320-ED02-49BC-A1C4-F698BF0AB692}"/>
    <hyperlink ref="CD2182" r:id="rId7886" xr:uid="{15975DF0-A573-4964-968F-5932F9537AEA}"/>
    <hyperlink ref="O2183" r:id="rId7887" xr:uid="{11F47EC5-E316-400F-A8B0-5C246AAB9DF7}"/>
    <hyperlink ref="S2183" r:id="rId7888" xr:uid="{7E8B4E01-D077-4509-826F-72DD24B13194}"/>
    <hyperlink ref="CA2183" r:id="rId7889" xr:uid="{8B1FBAE5-A3FA-421C-90F8-6B5909E2D0B8}"/>
    <hyperlink ref="CD2183" r:id="rId7890" xr:uid="{EEF03811-9210-4A7F-B9EA-07F5399BD14B}"/>
    <hyperlink ref="O2184" r:id="rId7891" xr:uid="{5D6F7E5A-8931-4C5A-B0AB-2726E6F86D81}"/>
    <hyperlink ref="S2184" r:id="rId7892" xr:uid="{600BD08F-EDD1-4CDC-B2F8-CEF8D16CDFC1}"/>
    <hyperlink ref="CA2184" r:id="rId7893" xr:uid="{47135DD4-C940-48D4-8141-2DE1DDB40746}"/>
    <hyperlink ref="CD2184" r:id="rId7894" xr:uid="{B7279CA7-E5A9-4E81-9066-5D7785D4AB66}"/>
    <hyperlink ref="O2185" r:id="rId7895" xr:uid="{72376AE4-B9B8-4474-9DD8-EEB58C7BB006}"/>
    <hyperlink ref="S2185" r:id="rId7896" xr:uid="{C3E545EF-2034-43CE-A2CB-3CB0B129B9F7}"/>
    <hyperlink ref="CA2185" r:id="rId7897" xr:uid="{8F3446D0-9230-42EF-B55D-1E10A5DD0034}"/>
    <hyperlink ref="CD2185" r:id="rId7898" xr:uid="{52DACB79-5A85-49AF-B371-9017C30BA1B6}"/>
    <hyperlink ref="O2186" r:id="rId7899" xr:uid="{8E3BB76D-7CCE-447D-9700-04B40D9F1993}"/>
    <hyperlink ref="S2186" r:id="rId7900" xr:uid="{68B9B01B-542F-4393-AC0F-DF399522CAA2}"/>
    <hyperlink ref="CA2186" r:id="rId7901" xr:uid="{71B173DE-BAC8-4A03-B211-0EEAE3D55B25}"/>
    <hyperlink ref="CD2186" r:id="rId7902" xr:uid="{F1D0B303-4934-4DC4-9CC8-4D3B5198E500}"/>
    <hyperlink ref="O2187" r:id="rId7903" xr:uid="{416B664E-B5E8-4E5F-BE9D-905AC64B9ECB}"/>
    <hyperlink ref="S2187" r:id="rId7904" xr:uid="{8A4D97E7-E641-48ED-8F71-A616A922E2AB}"/>
    <hyperlink ref="CA2187" r:id="rId7905" xr:uid="{7EEC7772-2089-4C93-A518-36E869260284}"/>
    <hyperlink ref="CD2187" r:id="rId7906" xr:uid="{945D66EA-BDD8-4E24-8F99-4419F091A556}"/>
    <hyperlink ref="O2188" r:id="rId7907" xr:uid="{CD811C1F-7E8C-47FA-8C51-6C50D5440538}"/>
    <hyperlink ref="S2188" r:id="rId7908" xr:uid="{9105978D-0189-4790-BBA2-2F6F69B6F013}"/>
    <hyperlink ref="CA2188" r:id="rId7909" xr:uid="{98506A98-25FF-4187-BD43-E49C4CC9BBC8}"/>
    <hyperlink ref="CD2188" r:id="rId7910" xr:uid="{9F87144E-D20B-44AE-B513-F4E4B862B470}"/>
    <hyperlink ref="O2189" r:id="rId7911" xr:uid="{9987EB17-FFEA-43A6-BB90-A4C97A6A2F20}"/>
    <hyperlink ref="S2189" r:id="rId7912" xr:uid="{3D8A4951-8094-4CF6-9DBA-B4865BBFD70A}"/>
    <hyperlink ref="CA2189" r:id="rId7913" xr:uid="{354FAE8B-5D9B-45E1-BA2F-6BC2232889E0}"/>
    <hyperlink ref="O2190" r:id="rId7914" xr:uid="{D2000436-27B2-4BFA-913F-6D1BBF4EAC6E}"/>
    <hyperlink ref="S2190" r:id="rId7915" xr:uid="{E86898B7-FD5E-42C0-8597-54D02E5A79FF}"/>
    <hyperlink ref="CA2190" r:id="rId7916" xr:uid="{84D6FCB2-48ED-4674-9A39-3BA6B2D647D5}"/>
    <hyperlink ref="O2191" r:id="rId7917" xr:uid="{B2A99EC1-4EAD-4E30-89A5-0288E7DB1568}"/>
    <hyperlink ref="S2191" r:id="rId7918" xr:uid="{04940AF4-630E-4360-93AE-13924F3B0A23}"/>
    <hyperlink ref="CA2191" r:id="rId7919" xr:uid="{EE2C0DCB-9373-47A0-BF00-B39D5036BCAD}"/>
    <hyperlink ref="O2192" r:id="rId7920" xr:uid="{F4614007-9B67-4A5B-AD89-A56B16490683}"/>
    <hyperlink ref="S2192" r:id="rId7921" xr:uid="{C4F84274-80FF-4EA3-BBEC-F3A2156F7811}"/>
    <hyperlink ref="CA2192" r:id="rId7922" xr:uid="{3005BF3E-A15C-40C5-89C1-7AE4B2B0BB9A}"/>
    <hyperlink ref="O2193" r:id="rId7923" xr:uid="{59918701-527E-49FE-AC2E-0F0E9DD119CC}"/>
    <hyperlink ref="S2193" r:id="rId7924" xr:uid="{2943322B-CC60-408A-BC63-05D4476615B3}"/>
    <hyperlink ref="CA2193" r:id="rId7925" xr:uid="{D24825FF-B355-4EEC-ACB1-78E6E31147D1}"/>
    <hyperlink ref="CD2193" r:id="rId7926" xr:uid="{732C736D-F6F2-42F7-96D4-5EC93FFEBDED}"/>
    <hyperlink ref="O2194" r:id="rId7927" xr:uid="{5DE2DDEE-6D46-41C5-AD38-D88760AD008D}"/>
    <hyperlink ref="S2194" r:id="rId7928" xr:uid="{D5A6AE9C-3A1B-4AC7-B913-95249DD88CB7}"/>
    <hyperlink ref="CA2194" r:id="rId7929" xr:uid="{F0B0F849-2B2D-49D6-B152-5CC7276FB9C8}"/>
    <hyperlink ref="CD2194" r:id="rId7930" xr:uid="{4D3FCE32-F02C-490D-AA34-525B8A33D3A0}"/>
    <hyperlink ref="O2195" r:id="rId7931" xr:uid="{42FD6858-4B87-4954-9B13-5D073826743B}"/>
    <hyperlink ref="S2195" r:id="rId7932" xr:uid="{6A20B2AF-AFE3-43FB-AD7E-5E368611B5A9}"/>
    <hyperlink ref="CA2195" r:id="rId7933" xr:uid="{07029475-99D2-4CB7-8498-9ACAC7C2AF44}"/>
    <hyperlink ref="CD2195" r:id="rId7934" xr:uid="{BDAF548A-1ECC-469A-A6BE-2C4BA2582A2E}"/>
    <hyperlink ref="O2196" r:id="rId7935" xr:uid="{412C1C62-55CC-404D-ADA1-19D259A8AF48}"/>
    <hyperlink ref="S2196" r:id="rId7936" xr:uid="{F6BB0262-CCEA-4BCB-968D-D6EAA6617DEE}"/>
    <hyperlink ref="CA2196" r:id="rId7937" xr:uid="{E6F965CC-EA8E-49F4-A09F-CE60246B7527}"/>
    <hyperlink ref="CD2196" r:id="rId7938" xr:uid="{FCB79168-0EF6-4588-BD15-6CDEBF797E15}"/>
    <hyperlink ref="O2197" r:id="rId7939" xr:uid="{9F0C696B-4B0C-4778-942C-599883B21F10}"/>
    <hyperlink ref="S2197" r:id="rId7940" xr:uid="{484D5AC5-E2EE-4118-AF3F-55871D84F2DF}"/>
    <hyperlink ref="CA2197" r:id="rId7941" xr:uid="{01ADAEA8-9631-451D-8E25-51D9A53E02B2}"/>
    <hyperlink ref="CD2197" r:id="rId7942" xr:uid="{00503528-C959-407F-8CDE-A0BF6F943BF3}"/>
    <hyperlink ref="O2198" r:id="rId7943" xr:uid="{A8E03168-6687-4BA4-8C91-780888784014}"/>
    <hyperlink ref="S2198" r:id="rId7944" xr:uid="{30C603AE-95D8-43C1-9BB6-F69AD65F725B}"/>
    <hyperlink ref="CA2198" r:id="rId7945" xr:uid="{6E1C36D7-344D-4E6D-8DD4-8ADDA728DCA2}"/>
    <hyperlink ref="CD2198" r:id="rId7946" xr:uid="{760F32BB-BA04-478B-9BB6-48768CD31DF4}"/>
    <hyperlink ref="O2199" r:id="rId7947" xr:uid="{BDDDD023-F839-493A-8D61-9319DE34DCE1}"/>
    <hyperlink ref="S2199" r:id="rId7948" xr:uid="{E8B1144A-EFC4-4B2D-9700-D22B5E5CD89F}"/>
    <hyperlink ref="CA2199" r:id="rId7949" xr:uid="{7A1A8AB2-C0B4-4A41-AAAE-E157FAF133EF}"/>
    <hyperlink ref="O2200" r:id="rId7950" xr:uid="{130A3629-F9E2-4AD7-9642-CF14D61F5569}"/>
    <hyperlink ref="S2200" r:id="rId7951" xr:uid="{E40E0B60-BCA9-457A-88D6-050DFB70321A}"/>
    <hyperlink ref="CA2200" r:id="rId7952" xr:uid="{E42382A2-B6FF-45B3-98CA-E27BBCDDA59B}"/>
    <hyperlink ref="O2201" r:id="rId7953" xr:uid="{AE8FA580-3B99-4D0A-814A-559D840A6834}"/>
    <hyperlink ref="S2201" r:id="rId7954" xr:uid="{C6DE0AD0-6B12-44BD-A993-EA537724FF70}"/>
    <hyperlink ref="CA2201" r:id="rId7955" xr:uid="{1B6683B6-129E-4280-9564-3006DA4114FE}"/>
    <hyperlink ref="CD2201" r:id="rId7956" xr:uid="{D9D23C81-3A70-4796-9105-95E991966C64}"/>
    <hyperlink ref="O2203" r:id="rId7957" xr:uid="{B27E291C-23FD-4CD3-A7BC-E5F88D57AEE2}"/>
    <hyperlink ref="S2203" r:id="rId7958" xr:uid="{F6EC271F-1D4F-48BB-B7FE-3E1E48198CD3}"/>
    <hyperlink ref="CA2203" r:id="rId7959" xr:uid="{113F1863-1B29-48C4-9D1D-6D18B0401E42}"/>
    <hyperlink ref="CD2203" r:id="rId7960" xr:uid="{6E7441FE-4E75-46E3-9106-F98491509459}"/>
    <hyperlink ref="O2204" r:id="rId7961" xr:uid="{6AD41659-3863-4572-A88A-A7E44E086D6C}"/>
    <hyperlink ref="S2204" r:id="rId7962" xr:uid="{43B1FC46-F65B-4676-A99F-6DB603CB5D66}"/>
    <hyperlink ref="CA2204" r:id="rId7963" xr:uid="{3474F13E-A189-4307-B0CA-87985C996238}"/>
    <hyperlink ref="CD2204" r:id="rId7964" xr:uid="{4D0B0C47-7021-48D0-9B56-785E7FDC8715}"/>
    <hyperlink ref="O2205" r:id="rId7965" xr:uid="{18AC56E2-A509-49D4-BF10-4A7C9993D74B}"/>
    <hyperlink ref="S2205" r:id="rId7966" xr:uid="{B27FF7D6-163C-4268-A11D-007C26C64E5A}"/>
    <hyperlink ref="CA2205" r:id="rId7967" xr:uid="{CE9C73A9-1D96-4CB6-ADE1-7521BA19C375}"/>
    <hyperlink ref="CD2205" r:id="rId7968" xr:uid="{87DE9967-E853-4BD1-9761-98C3C23D30E6}"/>
    <hyperlink ref="O2207" r:id="rId7969" xr:uid="{CAC90B2A-588C-41D5-BE87-39C142A39198}"/>
    <hyperlink ref="S2207" r:id="rId7970" xr:uid="{8ABABADA-41FE-4811-8B39-800FD6CF5DC4}"/>
    <hyperlink ref="CA2207" r:id="rId7971" xr:uid="{D8E417F3-3E15-4FF0-9014-6CA61511AA00}"/>
    <hyperlink ref="CD2207" r:id="rId7972" xr:uid="{5C0ADD0E-E1E4-48F6-A5B2-4A0B5E7ECEED}"/>
    <hyperlink ref="O2208" r:id="rId7973" xr:uid="{1E47BEAE-8D07-4BB3-9138-C0C5A5B476E0}"/>
    <hyperlink ref="S2208" r:id="rId7974" xr:uid="{05952187-B075-4811-AD8D-079D51089100}"/>
    <hyperlink ref="CA2208" r:id="rId7975" xr:uid="{B5864B21-5560-4F05-A7D8-1F5BC04115EB}"/>
    <hyperlink ref="O2211" r:id="rId7976" xr:uid="{621AAEF3-EA03-4E83-BEC8-38C51409D803}"/>
    <hyperlink ref="S2211" r:id="rId7977" xr:uid="{42C5FEEA-1143-4D94-B03C-E3BCD86B4C39}"/>
    <hyperlink ref="CA2211" r:id="rId7978" xr:uid="{9FDDDB27-941A-4E59-B872-D87A8F703011}"/>
    <hyperlink ref="CD2211" r:id="rId7979" xr:uid="{AD538C0A-1A5D-4B7E-9A65-4FF6346B9172}"/>
    <hyperlink ref="O2212" r:id="rId7980" xr:uid="{D0E97574-08C0-49BC-B418-E386C45F7195}"/>
    <hyperlink ref="S2212" r:id="rId7981" xr:uid="{988F79B6-C628-4805-BA2B-C0E9B59830AD}"/>
    <hyperlink ref="CA2212" r:id="rId7982" xr:uid="{FDB436E7-3296-4443-98A2-56692F41B36D}"/>
    <hyperlink ref="CD2212" r:id="rId7983" xr:uid="{041F2DED-C462-4952-B3FA-E83534354846}"/>
    <hyperlink ref="O2213" r:id="rId7984" xr:uid="{806D0E9A-9758-4F15-AFBA-13ED3F92798A}"/>
    <hyperlink ref="S2213" r:id="rId7985" xr:uid="{C68008E3-1BB1-4E66-8B6A-E9C865B4E71D}"/>
    <hyperlink ref="CA2213" r:id="rId7986" xr:uid="{9F46EDC9-5865-4F89-95AE-238993557BF9}"/>
    <hyperlink ref="CD2213" r:id="rId7987" xr:uid="{E63D9B72-E594-43A3-8B0A-D6CC1649543F}"/>
    <hyperlink ref="O2214" r:id="rId7988" xr:uid="{71C5D601-C199-41C5-80B5-590DB0B62F42}"/>
    <hyperlink ref="S2214" r:id="rId7989" xr:uid="{2430DE39-4B85-4353-90EB-AF8DD437C046}"/>
    <hyperlink ref="CA2214" r:id="rId7990" xr:uid="{51176AF9-669A-4FB8-A4C4-DF0DA8832FFD}"/>
    <hyperlink ref="CD2214" r:id="rId7991" xr:uid="{74C8440D-07DA-43C1-977D-7A24DD90D089}"/>
    <hyperlink ref="O2216" r:id="rId7992" xr:uid="{03C66307-E309-4C0B-BC4B-5D88895C46D5}"/>
    <hyperlink ref="S2216" r:id="rId7993" xr:uid="{140C84ED-4A88-4404-8A4C-2C36007CC43E}"/>
    <hyperlink ref="CA2216" r:id="rId7994" xr:uid="{CD7FC284-BF2F-4414-ABF1-8172040745D3}"/>
    <hyperlink ref="CD2216" r:id="rId7995" xr:uid="{B02C450B-2147-43BF-BA08-657131AE5564}"/>
    <hyperlink ref="O2217" r:id="rId7996" xr:uid="{014E0CAA-6DAE-412E-A908-52EDF33DF7E8}"/>
    <hyperlink ref="S2217" r:id="rId7997" xr:uid="{6AFC1EA6-1C81-43E1-84E7-1D48EE7C1F87}"/>
    <hyperlink ref="CA2217" r:id="rId7998" xr:uid="{A33B696D-89D8-4727-8AD2-963FE7290C4B}"/>
    <hyperlink ref="CD2217" r:id="rId7999" xr:uid="{40670FBC-5023-446D-AF45-BBD3A9902FB6}"/>
    <hyperlink ref="O2218" r:id="rId8000" xr:uid="{5585E909-B8DC-41F2-9039-760D4AE03185}"/>
    <hyperlink ref="S2218" r:id="rId8001" xr:uid="{FBC5FBCE-19EF-4107-835E-FD9418024E6F}"/>
    <hyperlink ref="T2218" r:id="rId8002" xr:uid="{BB072D65-525E-4C88-9C0C-6FB99DBE9B45}"/>
    <hyperlink ref="CA2218" r:id="rId8003" xr:uid="{B5A6CAE5-05AD-4A11-945C-F93898990E92}"/>
    <hyperlink ref="CB2218" r:id="rId8004" xr:uid="{77D3DCFF-B533-4466-945B-1DE41E19C55C}"/>
    <hyperlink ref="CD2218" r:id="rId8005" xr:uid="{F379276C-9C68-4E09-A33C-F840C9D62728}"/>
    <hyperlink ref="O2219" r:id="rId8006" xr:uid="{604457F1-2228-45E0-8BAD-E8200ED7FBB8}"/>
    <hyperlink ref="S2219" r:id="rId8007" xr:uid="{83267B77-43C7-44DE-AB7D-4DF490A49D06}"/>
    <hyperlink ref="T2219" r:id="rId8008" xr:uid="{9A15466C-D800-4530-91AF-45657E6C510C}"/>
    <hyperlink ref="CA2219" r:id="rId8009" xr:uid="{D26B2835-FA66-4E08-821E-B2F147260702}"/>
    <hyperlink ref="CB2219" r:id="rId8010" xr:uid="{479A5B94-4EF6-4A65-BEF4-0B4B87883E43}"/>
    <hyperlink ref="CD2219" r:id="rId8011" xr:uid="{27A7A727-42AB-457A-AA85-87A5BADB6A6A}"/>
    <hyperlink ref="O2220" r:id="rId8012" xr:uid="{53105C9F-BE31-4633-81E2-34C589D85BA3}"/>
    <hyperlink ref="S2220" r:id="rId8013" xr:uid="{482FEA79-BF42-49EB-879A-B5FC159B1CF9}"/>
    <hyperlink ref="T2220" r:id="rId8014" xr:uid="{4C056DA9-FB5A-41ED-9916-78BFE104D941}"/>
    <hyperlink ref="CA2220" r:id="rId8015" xr:uid="{4EB55AD4-6719-47F7-B06F-151577695530}"/>
    <hyperlink ref="CB2220" r:id="rId8016" xr:uid="{33FE9E2A-0773-40EC-82E4-FAA451459F31}"/>
    <hyperlink ref="CD2220" r:id="rId8017" xr:uid="{854C8960-AD70-4C54-9BB8-88FCE53CE1F1}"/>
    <hyperlink ref="O2221" r:id="rId8018" xr:uid="{DCBEEB69-722B-433E-BF5B-B42B737AA5EF}"/>
    <hyperlink ref="S2221" r:id="rId8019" xr:uid="{2ED05B3A-4D88-4C98-B22D-BB4ED66E0488}"/>
    <hyperlink ref="T2221" r:id="rId8020" xr:uid="{DC253DBA-4F46-47A2-B623-DDB9233747BB}"/>
    <hyperlink ref="CA2221" r:id="rId8021" xr:uid="{538A461A-BE5E-4AEB-9920-6828C02F925D}"/>
    <hyperlink ref="CB2221" r:id="rId8022" xr:uid="{229E2298-DE4B-4EB4-B880-FCA7BF2413C1}"/>
    <hyperlink ref="CD2221" r:id="rId8023" xr:uid="{22F4ABD2-02B3-47B7-A3AA-6BF3CF732EAB}"/>
    <hyperlink ref="O2222" r:id="rId8024" xr:uid="{00303FDF-28A2-4E23-8EC2-007684F8E749}"/>
    <hyperlink ref="S2222" r:id="rId8025" xr:uid="{10520E60-5E51-4C79-A29A-CA95D6F551C1}"/>
    <hyperlink ref="T2222" r:id="rId8026" xr:uid="{34E56669-A4C6-479D-B3B3-4C0E415B3069}"/>
    <hyperlink ref="CA2222" r:id="rId8027" xr:uid="{074351FF-5F60-4332-B06E-AB1795BCE4AF}"/>
    <hyperlink ref="CB2222" r:id="rId8028" xr:uid="{3923DB19-5B5B-4E10-B61C-49AF822B3324}"/>
    <hyperlink ref="CD2222" r:id="rId8029" xr:uid="{54AE49B5-F044-4694-9960-833F7F1B25F9}"/>
    <hyperlink ref="O2223" r:id="rId8030" xr:uid="{586BF30E-CD09-490E-963D-31999D5E9223}"/>
    <hyperlink ref="S2223" r:id="rId8031" xr:uid="{941DC4D1-4E19-4724-B948-C5875526BE3B}"/>
    <hyperlink ref="T2223" r:id="rId8032" xr:uid="{FAD37D43-6B7D-4CDE-958C-52CBE1A742DD}"/>
    <hyperlink ref="CA2223" r:id="rId8033" xr:uid="{166B2747-B2E3-4264-9C90-8D88A7F60430}"/>
    <hyperlink ref="CB2223" r:id="rId8034" xr:uid="{E3DD6E2A-93F3-4986-92A7-F0EBF67ACDEE}"/>
    <hyperlink ref="CD2223" r:id="rId8035" xr:uid="{FC981159-4A8F-42DF-BB38-819DDE24559B}"/>
    <hyperlink ref="O2224" r:id="rId8036" xr:uid="{8785D20B-3344-4CC1-B442-040DE3FBEF1D}"/>
    <hyperlink ref="S2224" r:id="rId8037" xr:uid="{F1BFD6F5-A250-49AD-9A83-21D7F670D1D7}"/>
    <hyperlink ref="T2224" r:id="rId8038" xr:uid="{C146FDD0-C250-4DB3-AF85-DB45A514F384}"/>
    <hyperlink ref="CA2224" r:id="rId8039" xr:uid="{BA0EAB2C-3284-47C9-808A-62FC125CE70A}"/>
    <hyperlink ref="CB2224" r:id="rId8040" xr:uid="{D547AE33-C46A-4921-91DE-CA98BDBC2736}"/>
    <hyperlink ref="CD2224" r:id="rId8041" xr:uid="{5FFFB9B0-F17C-4B78-8665-F1F07364B28C}"/>
    <hyperlink ref="O2225" r:id="rId8042" xr:uid="{65EC5EB2-979C-44FB-B2FE-D58542DB9D24}"/>
    <hyperlink ref="S2225" r:id="rId8043" xr:uid="{D22B1477-7734-407D-B797-D57D8DF4C00A}"/>
    <hyperlink ref="T2225" r:id="rId8044" xr:uid="{8E04933C-BC44-4347-B054-00504CB78C8C}"/>
    <hyperlink ref="CA2225" r:id="rId8045" xr:uid="{3E4E62DE-77FB-4273-A2E6-1D101670486E}"/>
    <hyperlink ref="CB2225" r:id="rId8046" xr:uid="{9D5D8417-D9A9-42A6-AE85-41B2A391DEA2}"/>
    <hyperlink ref="CD2225" r:id="rId8047" xr:uid="{A68873A8-2A3C-4C90-85DB-1A79B9D57E91}"/>
    <hyperlink ref="O2226" r:id="rId8048" xr:uid="{5868D349-7CA7-4718-9858-F9AD844F9563}"/>
    <hyperlink ref="S2226" r:id="rId8049" xr:uid="{2684C08F-A0F9-44EE-B569-E57AF99699CB}"/>
    <hyperlink ref="T2226" r:id="rId8050" xr:uid="{DD67BA56-6FD7-4B66-90E5-9A33D78A21B4}"/>
    <hyperlink ref="CA2226" r:id="rId8051" xr:uid="{3E6CF0D6-DF59-4CAE-9A20-DB9747B1D97D}"/>
    <hyperlink ref="CB2226" r:id="rId8052" xr:uid="{955355DC-2BDF-4052-8D2B-DB9F8759F18F}"/>
    <hyperlink ref="CD2226" r:id="rId8053" xr:uid="{061B1B50-53D9-4EC6-A2BF-C724AC7EA45C}"/>
    <hyperlink ref="O2227" r:id="rId8054" xr:uid="{3E29CB8C-CB31-4A7B-860D-8551E2A2E306}"/>
    <hyperlink ref="S2227" r:id="rId8055" xr:uid="{D571CBEB-1DF2-4B8C-ADCB-1F070C27C829}"/>
    <hyperlink ref="T2227" r:id="rId8056" xr:uid="{1B9C79DC-B5B7-459B-999D-9704F386C6B5}"/>
    <hyperlink ref="CA2227" r:id="rId8057" xr:uid="{B6ED967B-EC75-47F1-91BC-313DEF4CDC13}"/>
    <hyperlink ref="CB2227" r:id="rId8058" xr:uid="{6425A0B1-3898-42E3-AA8A-2384C008282D}"/>
    <hyperlink ref="CD2227" r:id="rId8059" xr:uid="{610D20F6-A3D2-4F2E-AB57-B522D00D52D7}"/>
    <hyperlink ref="O2228" r:id="rId8060" xr:uid="{C4D7D71B-FCD9-46E6-B212-6F2DBB6811E8}"/>
    <hyperlink ref="S2228" r:id="rId8061" xr:uid="{4CC46E0E-E35E-4DE8-A3B4-EAEE03575442}"/>
    <hyperlink ref="T2228" r:id="rId8062" xr:uid="{30FAB3AF-EA8C-4E49-8E7C-84B1F6DE5372}"/>
    <hyperlink ref="CA2228" r:id="rId8063" xr:uid="{F68B9E9B-EDDD-453E-8D4D-42012B6BCB04}"/>
    <hyperlink ref="CB2228" r:id="rId8064" xr:uid="{FEF2A58C-80B1-4B27-ADEA-0C632821668E}"/>
    <hyperlink ref="CD2228" r:id="rId8065" xr:uid="{F75C05F7-42EB-4BDF-849B-88DFF282EC05}"/>
    <hyperlink ref="O2229" r:id="rId8066" xr:uid="{3CD37172-CD1D-452C-A251-BE32FE9E1EEC}"/>
    <hyperlink ref="S2229" r:id="rId8067" xr:uid="{341CD3A8-9C47-4CE4-B918-82B7B044ECAC}"/>
    <hyperlink ref="T2229" r:id="rId8068" xr:uid="{4A0D3919-8233-47A6-B183-48FCE6D59309}"/>
    <hyperlink ref="CA2229" r:id="rId8069" xr:uid="{059CB7E5-2F86-43EE-86C3-8E0069D0F1FF}"/>
    <hyperlink ref="CB2229" r:id="rId8070" xr:uid="{12955E43-CE5E-4548-BCB3-DC5B0A7C0EAA}"/>
    <hyperlink ref="CD2229" r:id="rId8071" xr:uid="{5041164C-C7C4-410F-9ACA-6A576EE9193B}"/>
    <hyperlink ref="O2230" r:id="rId8072" xr:uid="{42DFF7F5-1F7A-4AFF-9062-D6E6771DE789}"/>
    <hyperlink ref="S2230" r:id="rId8073" xr:uid="{376592CD-A305-436C-BFE5-12B08BB512F0}"/>
    <hyperlink ref="T2230" r:id="rId8074" xr:uid="{6DA5B327-175E-4177-BF6D-32E1156EF99F}"/>
    <hyperlink ref="CA2230" r:id="rId8075" xr:uid="{6BA9C520-DDD6-4AA1-BEC1-794235CB0ED9}"/>
    <hyperlink ref="CB2230" r:id="rId8076" xr:uid="{C0C4D1AC-11A6-4CB4-954E-9AFA44A1C4BA}"/>
    <hyperlink ref="CD2230" r:id="rId8077" xr:uid="{A327C46D-56F4-4AF1-B502-764120252516}"/>
    <hyperlink ref="O2231" r:id="rId8078" xr:uid="{CC895569-373F-495B-B5DB-EAC790B8AA85}"/>
    <hyperlink ref="S2231" r:id="rId8079" xr:uid="{53B6B2DD-3D65-44B0-B0A7-C6F20FDB88FC}"/>
    <hyperlink ref="T2231" r:id="rId8080" xr:uid="{B4AFD21C-04F5-42C8-B177-D4C0BFB44F48}"/>
    <hyperlink ref="CA2231" r:id="rId8081" xr:uid="{FE5144B9-E631-4E03-8FFD-E28EA8B33180}"/>
    <hyperlink ref="CB2231" r:id="rId8082" xr:uid="{294F120F-3559-47A3-8D8A-1D114365314E}"/>
    <hyperlink ref="CD2231" r:id="rId8083" xr:uid="{5F680753-EF55-4FA9-99EC-F68946420352}"/>
    <hyperlink ref="O2232" r:id="rId8084" xr:uid="{07DB1068-7BBC-418A-86AE-DE84D7DAE9A3}"/>
    <hyperlink ref="S2232" r:id="rId8085" xr:uid="{6E3DEC74-0EB0-4AFC-B237-56D1C838250C}"/>
    <hyperlink ref="T2232" r:id="rId8086" xr:uid="{BE3E7A7F-76BB-4B5D-A56A-8B2066FAD80C}"/>
    <hyperlink ref="CA2232" r:id="rId8087" xr:uid="{794B5628-6DD8-42AD-B2CE-7A59B4FAE82D}"/>
    <hyperlink ref="CB2232" r:id="rId8088" xr:uid="{48F24B2E-C3AF-47F5-8727-C22CB69CBD74}"/>
    <hyperlink ref="CD2232" r:id="rId8089" xr:uid="{54DDDC40-4D6E-4720-92EE-69C8659B0690}"/>
    <hyperlink ref="O2233" r:id="rId8090" xr:uid="{76758D72-EDEE-42B0-917D-DF5660574B41}"/>
    <hyperlink ref="S2233" r:id="rId8091" xr:uid="{CC20C119-1D5E-434A-88BA-9F5F6E6C8B02}"/>
    <hyperlink ref="T2233" r:id="rId8092" xr:uid="{9E191E9E-4547-4623-AC6D-83E20A7A41F5}"/>
    <hyperlink ref="CA2233" r:id="rId8093" xr:uid="{9DD58C4E-387A-485D-B5CF-6854897AC2E4}"/>
    <hyperlink ref="CB2233" r:id="rId8094" xr:uid="{145DE824-71F2-4DD2-BDA3-62AEED84336B}"/>
    <hyperlink ref="CD2233" r:id="rId8095" xr:uid="{9A6ECC7E-8A40-4461-9AA6-347880C012FB}"/>
    <hyperlink ref="O2234" r:id="rId8096" xr:uid="{3F5024E7-0440-4896-96D0-F76DE04689F8}"/>
    <hyperlink ref="S2234" r:id="rId8097" xr:uid="{7E06133C-560F-4200-8669-1446F3445DEB}"/>
    <hyperlink ref="T2234" r:id="rId8098" xr:uid="{EFA8C3D4-E7A4-4787-8C95-11B30011F5A2}"/>
    <hyperlink ref="CA2234" r:id="rId8099" xr:uid="{E9240933-675E-4481-9406-F832260BD9B0}"/>
    <hyperlink ref="CB2234" r:id="rId8100" xr:uid="{72B5D568-CE42-4EAE-A2F9-E43E825855AC}"/>
    <hyperlink ref="CD2234" r:id="rId8101" xr:uid="{EF93087A-656A-47BC-9182-85CA8D58B54B}"/>
    <hyperlink ref="O2235" r:id="rId8102" xr:uid="{1DCD28B7-D50D-44D2-AD34-093E4FCB2BB0}"/>
    <hyperlink ref="S2235" r:id="rId8103" xr:uid="{8AFD4253-456D-4D74-AA9E-ABF61617A2B1}"/>
    <hyperlink ref="T2235" r:id="rId8104" xr:uid="{B89B0BF0-82D4-4498-94B9-4F10D6BED3D7}"/>
    <hyperlink ref="CA2235" r:id="rId8105" xr:uid="{BC4923A4-B153-4A69-8E8F-9EBFA7A8C74D}"/>
    <hyperlink ref="CB2235" r:id="rId8106" xr:uid="{F4681BAF-5B0F-4963-90F8-C0C6416982FB}"/>
    <hyperlink ref="CD2235" r:id="rId8107" xr:uid="{0F3B6A78-BDC3-4BA7-A415-10B43E71BEDF}"/>
    <hyperlink ref="O2236" r:id="rId8108" xr:uid="{B761B9B3-83AB-495D-838F-D47C1C7C7509}"/>
    <hyperlink ref="S2236" r:id="rId8109" xr:uid="{FB0846E9-592E-4DC5-A109-C50BDB66B666}"/>
    <hyperlink ref="T2236" r:id="rId8110" xr:uid="{FAA1935F-79FB-4A3F-BE35-593A7B0ED572}"/>
    <hyperlink ref="CA2236" r:id="rId8111" xr:uid="{2AF48FE3-5A99-4EDF-89A0-C1F58B32B07E}"/>
    <hyperlink ref="CB2236" r:id="rId8112" xr:uid="{2325A978-34AF-4FA9-AE62-1F70E3B66182}"/>
    <hyperlink ref="CD2236" r:id="rId8113" xr:uid="{C446C29D-F7C3-4C5D-8227-98BD763177F9}"/>
    <hyperlink ref="O2237" r:id="rId8114" xr:uid="{782174D8-5643-44E7-BECB-7DF317900C33}"/>
    <hyperlink ref="S2237" r:id="rId8115" xr:uid="{A662F1C9-47E2-4162-BA43-B6A27EC81DF4}"/>
    <hyperlink ref="T2237" r:id="rId8116" xr:uid="{F439F999-54C6-457E-827C-1C895AEF30FE}"/>
    <hyperlink ref="CA2237" r:id="rId8117" xr:uid="{10441500-F4E3-4B0F-BDE5-50760880235E}"/>
    <hyperlink ref="CB2237" r:id="rId8118" xr:uid="{01C639D7-17C9-44E3-A678-2CD1A037EEAD}"/>
    <hyperlink ref="CD2237" r:id="rId8119" xr:uid="{C635DBDE-E124-40CF-811A-A005F09CF461}"/>
    <hyperlink ref="O2238" r:id="rId8120" xr:uid="{DDB28C38-857C-4F59-B49A-0550E4ACECE5}"/>
    <hyperlink ref="S2238" r:id="rId8121" xr:uid="{EF7166E5-C9A6-4016-89C6-3A4A3A74ABFA}"/>
    <hyperlink ref="T2238" r:id="rId8122" xr:uid="{A2731B72-AFC3-4F8F-9C48-19AC0D9C225F}"/>
    <hyperlink ref="CA2238" r:id="rId8123" xr:uid="{C70547FA-C03D-4C6E-B40F-3DAAD0C9081C}"/>
    <hyperlink ref="CB2238" r:id="rId8124" xr:uid="{1B68BBD9-AC60-4287-B595-47C751FE2F4C}"/>
    <hyperlink ref="CD2238" r:id="rId8125" xr:uid="{92678A39-B8EC-401E-8A0F-20835DC88962}"/>
    <hyperlink ref="O2239" r:id="rId8126" xr:uid="{A08852FB-3128-4949-B40E-8021CF7E412E}"/>
    <hyperlink ref="S2239" r:id="rId8127" xr:uid="{1C6E1535-A0F9-4E0B-8904-7642074C22DC}"/>
    <hyperlink ref="T2239" r:id="rId8128" xr:uid="{A50F0259-7432-47DB-A7C1-026BE15C4055}"/>
    <hyperlink ref="CA2239" r:id="rId8129" xr:uid="{4422D604-5C92-46D5-BF09-4104689CA363}"/>
    <hyperlink ref="CB2239" r:id="rId8130" xr:uid="{CE57BB0D-5E94-4CC9-8747-B4537EABD554}"/>
    <hyperlink ref="CD2239" r:id="rId8131" xr:uid="{6D6AFF88-B1D6-4570-8F56-2C5FF024148B}"/>
    <hyperlink ref="O2240" r:id="rId8132" xr:uid="{EE430B99-2349-4ECD-894B-9B9D9D18C9E0}"/>
    <hyperlink ref="S2240" r:id="rId8133" xr:uid="{D24BBB11-F889-41B5-AF44-49D235A39456}"/>
    <hyperlink ref="T2240" r:id="rId8134" xr:uid="{691115DE-DE1D-4FD8-9145-20140DBA0297}"/>
    <hyperlink ref="CA2240" r:id="rId8135" xr:uid="{AB4DAD65-00AF-40FB-A2FB-098766DF2343}"/>
    <hyperlink ref="CB2240" r:id="rId8136" xr:uid="{7B1DE473-134F-41BB-BC5A-B9E06E4BC62E}"/>
    <hyperlink ref="CD2240" r:id="rId8137" xr:uid="{5D7016A8-732E-494D-A1A5-3F1A189FE7CB}"/>
    <hyperlink ref="O2241" r:id="rId8138" xr:uid="{E6809306-7E25-4010-8A5E-E3199848AF72}"/>
    <hyperlink ref="S2241" r:id="rId8139" xr:uid="{C05EDA5F-6C3C-485C-A99D-6610CC1F618F}"/>
    <hyperlink ref="T2241" r:id="rId8140" xr:uid="{50D15C9E-53E1-46EC-B9BA-A5B77641D318}"/>
    <hyperlink ref="CA2241" r:id="rId8141" xr:uid="{D82E1789-EBF3-49E0-99B0-7BA043883836}"/>
    <hyperlink ref="CB2241" r:id="rId8142" xr:uid="{1238CC25-4D70-4DD8-90D0-ECE363308C6B}"/>
    <hyperlink ref="CD2241" r:id="rId8143" xr:uid="{B1538C23-D0E7-4C31-B2C9-0A5BF0071BF6}"/>
    <hyperlink ref="O2242" r:id="rId8144" xr:uid="{8B21714A-4CAB-45F8-9216-AB73643CBB48}"/>
    <hyperlink ref="S2242" r:id="rId8145" xr:uid="{FC4840D7-A6DE-4CDE-B5E3-DA843EF339D4}"/>
    <hyperlink ref="T2242" r:id="rId8146" xr:uid="{2D5B98F0-CB40-4B92-B1A8-FDFF87C28881}"/>
    <hyperlink ref="CA2242" r:id="rId8147" xr:uid="{A6BB30C8-94A7-484C-9FE6-5500D4C98420}"/>
    <hyperlink ref="CB2242" r:id="rId8148" xr:uid="{224DFA50-3DA4-4EEE-B57E-A6152F275776}"/>
    <hyperlink ref="CD2242" r:id="rId8149" xr:uid="{D1804557-D4AB-47AD-A5C7-3E1DE92636C6}"/>
    <hyperlink ref="O2243" r:id="rId8150" xr:uid="{67A59E82-8912-402D-9F02-1C3815AC54B9}"/>
    <hyperlink ref="S2243" r:id="rId8151" xr:uid="{73C49DCC-FDB9-4500-94D5-AA3ADE4C26C1}"/>
    <hyperlink ref="T2243" r:id="rId8152" xr:uid="{95E8E983-A38C-4BC5-B612-74657A73E402}"/>
    <hyperlink ref="CA2243" r:id="rId8153" xr:uid="{0417B6A8-9830-4705-8010-06A18E025A4C}"/>
    <hyperlink ref="CB2243" r:id="rId8154" xr:uid="{C135EDE1-8371-4C17-BCE1-C28D4BA77187}"/>
    <hyperlink ref="CD2243" r:id="rId8155" xr:uid="{B223F58F-C727-43DA-8FC3-9BCE2C327238}"/>
    <hyperlink ref="O2244" r:id="rId8156" xr:uid="{C4CBC7F6-DBFA-47C1-929F-DDE02C67ECAD}"/>
    <hyperlink ref="S2244" r:id="rId8157" xr:uid="{FA5DB9DD-DF25-4550-81D2-38B5D959F903}"/>
    <hyperlink ref="T2244" r:id="rId8158" xr:uid="{E72F7B98-0494-497C-A46A-DF64A4694467}"/>
    <hyperlink ref="CA2244" r:id="rId8159" xr:uid="{87544A68-1C6B-4FF1-9177-7774D93982DA}"/>
    <hyperlink ref="CB2244" r:id="rId8160" xr:uid="{415A4460-467D-4E4E-BDB0-2F0A12843663}"/>
    <hyperlink ref="CD2244" r:id="rId8161" xr:uid="{780CE20D-CF85-4CF0-AB92-120911ED6D82}"/>
    <hyperlink ref="O2245" r:id="rId8162" xr:uid="{FCC50A53-197D-487F-9A97-C8CA6974DCCA}"/>
    <hyperlink ref="S2245" r:id="rId8163" xr:uid="{1B6B6725-8269-4BF6-AB8A-FCFB0C34B1B5}"/>
    <hyperlink ref="T2245" r:id="rId8164" xr:uid="{94CA9E46-107B-4994-AC18-40C78281375A}"/>
    <hyperlink ref="CA2245" r:id="rId8165" xr:uid="{96EEB4D2-94BA-4C47-900A-543D43C12077}"/>
    <hyperlink ref="CB2245" r:id="rId8166" xr:uid="{1963C887-2798-406A-82E0-9F54BE8BB74B}"/>
    <hyperlink ref="CD2245" r:id="rId8167" xr:uid="{609DDD37-4DB5-4C93-94A3-B8E2E4B1DB8E}"/>
    <hyperlink ref="O2246" r:id="rId8168" xr:uid="{828C710D-BB2A-4FBD-B279-106464E8CB24}"/>
    <hyperlink ref="S2246" r:id="rId8169" xr:uid="{D6E7E01D-C139-4C9F-9A71-A5D393FD6EB0}"/>
    <hyperlink ref="T2246" r:id="rId8170" xr:uid="{05879A03-3E51-4BD1-84B4-AD76CD24427A}"/>
    <hyperlink ref="CA2246" r:id="rId8171" xr:uid="{1C659A7E-8A45-4EC2-9056-FC15D61E385A}"/>
    <hyperlink ref="CB2246" r:id="rId8172" xr:uid="{229CC56A-F24D-48DB-B6AB-52EE8E470E02}"/>
    <hyperlink ref="CD2246" r:id="rId8173" xr:uid="{1A4F6A14-F091-4D12-9336-5B374D73C7E3}"/>
    <hyperlink ref="O2247" r:id="rId8174" xr:uid="{8FFDC815-BC38-4335-B54A-DDBE812EDE09}"/>
    <hyperlink ref="S2247" r:id="rId8175" xr:uid="{462997E1-A0F6-4078-9F74-9D9C8D3E243B}"/>
    <hyperlink ref="T2247" r:id="rId8176" xr:uid="{1F85075A-E480-4884-A637-5F8B44919A99}"/>
    <hyperlink ref="CA2247" r:id="rId8177" xr:uid="{7E172A4A-A66F-44C1-A5DE-25743D74F5FB}"/>
    <hyperlink ref="CB2247" r:id="rId8178" xr:uid="{02189F46-3DCB-4EDC-BA89-F75199384D5A}"/>
    <hyperlink ref="CD2247" r:id="rId8179" xr:uid="{274D53A0-AF75-4E76-935B-015AB9EDADFD}"/>
    <hyperlink ref="O2248" r:id="rId8180" xr:uid="{A472E228-72F1-437D-9E57-6C07AAAFF8B4}"/>
    <hyperlink ref="S2248" r:id="rId8181" xr:uid="{5AD49D58-516F-43DD-B1F2-06444EE63602}"/>
    <hyperlink ref="CA2248" r:id="rId8182" xr:uid="{5879AB1E-BA9A-4852-AD58-E07054374DBB}"/>
    <hyperlink ref="CD2248" r:id="rId8183" xr:uid="{2660EC6A-49AB-4272-B3AC-0B9705603553}"/>
    <hyperlink ref="O2249" r:id="rId8184" xr:uid="{E9E5A79D-5819-432D-8DF7-24C4F78C8E56}"/>
    <hyperlink ref="S2249" r:id="rId8185" xr:uid="{1BC4519B-872A-4C81-9038-6165C3A78295}"/>
    <hyperlink ref="CA2249" r:id="rId8186" xr:uid="{F59180DC-5EDE-42FF-ADCC-2156C048ACC2}"/>
    <hyperlink ref="O2250" r:id="rId8187" xr:uid="{BB722096-F1ED-4C96-9A05-FE348178EB1B}"/>
    <hyperlink ref="R2250" r:id="rId8188" xr:uid="{4686CF03-61B4-4BBA-85F4-0F1E84A1AA96}"/>
    <hyperlink ref="S2250" r:id="rId8189" xr:uid="{EEDB6500-F379-4AEA-958E-700817E2C07E}"/>
    <hyperlink ref="BX2250" r:id="rId8190" xr:uid="{9BB5D529-1D5F-4A91-9AEA-C18B39F86CB0}"/>
    <hyperlink ref="CA2250" r:id="rId8191" xr:uid="{3275CE8D-F448-4B6F-B540-3C4A387E4558}"/>
    <hyperlink ref="CD2250" r:id="rId8192" xr:uid="{9DC13FA3-DC75-4ABB-AC4F-A76DDFE924EC}"/>
    <hyperlink ref="O2251" r:id="rId8193" xr:uid="{0D272DE3-C8B5-48FC-80E8-3DD00840B334}"/>
    <hyperlink ref="S2251" r:id="rId8194" xr:uid="{3F147B85-C1A0-41E4-BFAC-EF16411232BB}"/>
    <hyperlink ref="CA2251" r:id="rId8195" xr:uid="{D60626CE-5C5C-4EDE-A3D0-83E13056A29D}"/>
    <hyperlink ref="CD2251" r:id="rId8196" xr:uid="{5AC9FEAD-FF33-4CBC-98D2-B0100461CF8B}"/>
    <hyperlink ref="O2252" r:id="rId8197" xr:uid="{BD4F8CDC-1D8F-4076-90E2-290FFC0251C3}"/>
    <hyperlink ref="S2252" r:id="rId8198" xr:uid="{F882AA81-1066-4B68-9FCE-8F6BC3CBC220}"/>
    <hyperlink ref="CA2252" r:id="rId8199" xr:uid="{E185CED0-2524-4ED0-8747-96570FE4925B}"/>
    <hyperlink ref="CD2252" r:id="rId8200" xr:uid="{17A3699D-7D99-4E84-B0E4-6E6BF8F339CC}"/>
    <hyperlink ref="O2253" r:id="rId8201" xr:uid="{4232B5CC-CC13-42C9-8C54-A7D0FB3E3B60}"/>
    <hyperlink ref="S2253" r:id="rId8202" xr:uid="{AEEC97D2-DBE2-44B2-AF52-285A61D3C027}"/>
    <hyperlink ref="CA2253" r:id="rId8203" xr:uid="{83FFF9CB-F8E2-497D-A23E-A67895171C41}"/>
    <hyperlink ref="CD2253" r:id="rId8204" xr:uid="{18E029AC-E295-41D8-A09D-AAAE58EC1E1A}"/>
    <hyperlink ref="O2254" r:id="rId8205" xr:uid="{F5D1BAEF-E868-47F6-8EFA-093FDB63F835}"/>
    <hyperlink ref="S2254" r:id="rId8206" xr:uid="{83538558-4FD9-4F68-BAAF-74870AEA97D5}"/>
    <hyperlink ref="CA2254" r:id="rId8207" xr:uid="{C8F03447-71C9-422D-9AE5-BE169447A0D1}"/>
    <hyperlink ref="CD2254" r:id="rId8208" xr:uid="{F70742B3-B8F2-4D7D-B505-1D427A65AC48}"/>
    <hyperlink ref="O2255" r:id="rId8209" xr:uid="{E057B1CE-F6AA-4FB6-90EE-CEB742CF72CB}"/>
    <hyperlink ref="S2255" r:id="rId8210" xr:uid="{6309FEBB-A0B2-4939-98CE-1CC98E2DB7DC}"/>
    <hyperlink ref="CA2255" r:id="rId8211" xr:uid="{5B4805A1-F605-48BE-9A68-06FDFB171A0A}"/>
    <hyperlink ref="CD2255" r:id="rId8212" xr:uid="{087ECA89-BEA4-4574-950E-271637157817}"/>
    <hyperlink ref="O2256" r:id="rId8213" xr:uid="{FFECF574-7082-474F-95DA-7783DCADA30D}"/>
    <hyperlink ref="S2256" r:id="rId8214" xr:uid="{1AAF5C11-ED81-4CAD-B339-9ECEA21F0DE5}"/>
    <hyperlink ref="CA2256" r:id="rId8215" xr:uid="{449856D4-5DE4-465F-9576-80E282324B92}"/>
    <hyperlink ref="CD2256" r:id="rId8216" xr:uid="{3CF6982D-108F-40B0-A078-557AEEB362C3}"/>
    <hyperlink ref="O2257" r:id="rId8217" xr:uid="{C93B7B62-4B8A-4E50-9DD8-DD6F1A5E9CA0}"/>
    <hyperlink ref="S2257" r:id="rId8218" xr:uid="{77CA3F53-AC6F-4543-94D4-97B3D1D9D614}"/>
    <hyperlink ref="CA2257" r:id="rId8219" xr:uid="{1EB69AEF-5175-4A50-92DF-167D89B07BC8}"/>
    <hyperlink ref="CD2257" r:id="rId8220" xr:uid="{EA7DD135-6808-4BE5-A161-473F98C7A463}"/>
    <hyperlink ref="O2258" r:id="rId8221" xr:uid="{AA8E9F93-4D53-4F67-8DD4-D06D9A7602BA}"/>
    <hyperlink ref="S2258" r:id="rId8222" xr:uid="{C0CDAEC3-0FDD-4696-AB7C-CD4817B39F22}"/>
    <hyperlink ref="CA2258" r:id="rId8223" xr:uid="{BA0133C8-F15C-4BD5-9933-E8FD3FC6847E}"/>
    <hyperlink ref="CD2258" r:id="rId8224" xr:uid="{267BB3AE-3C64-4DA9-91D0-6E85B639EA2D}"/>
    <hyperlink ref="O2259" r:id="rId8225" xr:uid="{7FBF9CE0-734A-4788-9282-F4475822D724}"/>
    <hyperlink ref="S2259" r:id="rId8226" xr:uid="{A6822AD5-6F3A-4A15-AA2D-00B102A51ED5}"/>
    <hyperlink ref="CA2259" r:id="rId8227" xr:uid="{8E23F70F-5D1D-41FC-838C-0EF586B5C590}"/>
    <hyperlink ref="CD2259" r:id="rId8228" xr:uid="{24424C43-C6A6-41B8-96F7-AD2DE8035CEE}"/>
    <hyperlink ref="O2260" r:id="rId8229" xr:uid="{445F281B-6F6A-4D51-8D6A-61F8D119311D}"/>
    <hyperlink ref="S2260" r:id="rId8230" xr:uid="{DAE63C27-8D53-4DC9-892D-96F5626D28E4}"/>
    <hyperlink ref="CA2260" r:id="rId8231" xr:uid="{8E8FA528-8B4B-417E-98E3-ABFD2C96D06D}"/>
    <hyperlink ref="O2261" r:id="rId8232" xr:uid="{281D5C82-03E4-4A40-90AD-1DAD2756A257}"/>
    <hyperlink ref="S2261" r:id="rId8233" xr:uid="{08707E2E-F6EB-4EC6-B2E9-6231B9E4A7BE}"/>
    <hyperlink ref="CA2261" r:id="rId8234" xr:uid="{77B9A114-8DD9-466D-8C5F-2FC01F98B99B}"/>
    <hyperlink ref="O2262" r:id="rId8235" xr:uid="{99068245-7684-4B9F-B31B-11F4E405F36F}"/>
    <hyperlink ref="S2262" r:id="rId8236" xr:uid="{FF723337-57CB-4E5B-9C0E-E7EC6624010A}"/>
    <hyperlink ref="CA2262" r:id="rId8237" xr:uid="{1527DB7D-ED33-4869-AE9B-8F93127A0208}"/>
    <hyperlink ref="O2263" r:id="rId8238" xr:uid="{C1E728A8-777C-4510-8F45-FD53B6126BF3}"/>
    <hyperlink ref="S2263" r:id="rId8239" xr:uid="{A4E76A6E-0368-409B-A4CC-D4FFC75E0A90}"/>
    <hyperlink ref="CA2263" r:id="rId8240" xr:uid="{DC2E289F-3A97-41CD-9484-87CF08D4CC96}"/>
    <hyperlink ref="O2264" r:id="rId8241" xr:uid="{23BE4E6D-DEB9-4659-A2DB-60C7F3823B37}"/>
    <hyperlink ref="S2264" r:id="rId8242" xr:uid="{723BD0F0-8B6A-4CA4-A012-D5B6A056F5E9}"/>
    <hyperlink ref="CA2264" r:id="rId8243" xr:uid="{20D6E4B1-B91D-4AB1-9DFF-E2BF8DD1838B}"/>
    <hyperlink ref="O2265" r:id="rId8244" xr:uid="{628EFC30-9F5F-4A5C-93B4-742BF5DB879D}"/>
    <hyperlink ref="S2265" r:id="rId8245" xr:uid="{434E8676-FA42-40B1-8192-DFA5DB195FCD}"/>
    <hyperlink ref="CA2265" r:id="rId8246" xr:uid="{C4B52469-ABA3-47C3-85E3-0B221564328A}"/>
    <hyperlink ref="O2266" r:id="rId8247" xr:uid="{0FD17B28-0CF4-4F33-BFC3-61357140CFDB}"/>
    <hyperlink ref="S2266" r:id="rId8248" xr:uid="{17B343B0-E255-4671-B3FD-90E355FA401F}"/>
    <hyperlink ref="CA2266" r:id="rId8249" xr:uid="{9A07837D-31F9-4A9B-86D3-C3C9351FFA88}"/>
    <hyperlink ref="O2267" r:id="rId8250" xr:uid="{2DC476B2-8D96-4FBE-8880-C09F808BC121}"/>
    <hyperlink ref="S2267" r:id="rId8251" xr:uid="{EA551BDD-B358-44FA-B34D-A014280C1237}"/>
    <hyperlink ref="CA2267" r:id="rId8252" xr:uid="{71E55F9E-D85A-4AA8-8B6E-ABA86321BF3A}"/>
    <hyperlink ref="O2268" r:id="rId8253" xr:uid="{896403A6-DE7A-4056-8CD3-510B4A52581A}"/>
    <hyperlink ref="S2268" r:id="rId8254" xr:uid="{A3EC39DF-C6D8-4102-8CF0-3CF33F86EF27}"/>
    <hyperlink ref="CA2268" r:id="rId8255" xr:uid="{9D726C21-4062-45BA-9908-84B2F8F5872D}"/>
    <hyperlink ref="O2269" r:id="rId8256" xr:uid="{CF56D69E-1DFA-4F17-8673-15A3A7ADDA39}"/>
    <hyperlink ref="S2269" r:id="rId8257" xr:uid="{29C756F9-3D06-4689-B526-62CF1973289A}"/>
    <hyperlink ref="CA2269" r:id="rId8258" xr:uid="{0968FFD4-A0A4-4501-A9EA-083DD3A23FD1}"/>
    <hyperlink ref="O2270" r:id="rId8259" xr:uid="{A9A3B530-0EC6-44D8-9CA1-2CEFB6624A0D}"/>
    <hyperlink ref="S2270" r:id="rId8260" xr:uid="{74B9954B-796D-4EFF-938E-4A6A442484AD}"/>
    <hyperlink ref="CA2270" r:id="rId8261" xr:uid="{89707899-CE5B-4FD8-9D33-EA942CDBF082}"/>
    <hyperlink ref="O2271" r:id="rId8262" xr:uid="{5DE9867D-138A-4DEE-8210-7F22B4C3E1F2}"/>
    <hyperlink ref="S2271" r:id="rId8263" xr:uid="{41762288-81B2-43AB-A72F-A3107C7ED158}"/>
    <hyperlink ref="CA2271" r:id="rId8264" xr:uid="{67D56B26-BD67-4D94-8697-40D117935B88}"/>
    <hyperlink ref="O2272" r:id="rId8265" xr:uid="{60602957-370A-47A4-852E-18157F4EDF6F}"/>
    <hyperlink ref="S2272" r:id="rId8266" xr:uid="{4F4B9FA1-650B-41DD-99D6-C6F1168F23BB}"/>
    <hyperlink ref="CA2272" r:id="rId8267" xr:uid="{3407858C-FCA6-4E69-8C05-72A399387CB0}"/>
    <hyperlink ref="O2273" r:id="rId8268" xr:uid="{922E97BA-F0EC-4544-8CDE-DF1C1777C623}"/>
    <hyperlink ref="S2273" r:id="rId8269" xr:uid="{AA741AB4-6586-4A26-AF56-4EB9F2790B96}"/>
    <hyperlink ref="CA2273" r:id="rId8270" xr:uid="{76D445D5-669A-42E9-B1DD-3EDCAFEBF4D4}"/>
    <hyperlink ref="O2274" r:id="rId8271" xr:uid="{B0A104DC-8482-4FAA-A7EA-645AB337957B}"/>
    <hyperlink ref="S2274" r:id="rId8272" xr:uid="{DE0E6176-7B10-4431-9C22-265C7B7F8F03}"/>
    <hyperlink ref="CA2274" r:id="rId8273" xr:uid="{0542B5C8-9D7E-45AB-9BA3-B8B98BFA610B}"/>
    <hyperlink ref="O2275" r:id="rId8274" xr:uid="{62F6053B-7FBC-4327-A98E-D791C0B826A4}"/>
    <hyperlink ref="S2275" r:id="rId8275" xr:uid="{6DC6D306-F932-4F9D-9869-1156AA51D8DE}"/>
    <hyperlink ref="CA2275" r:id="rId8276" xr:uid="{B631D99F-4469-4B2B-92D9-72DFE2D3E2C9}"/>
    <hyperlink ref="O2276" r:id="rId8277" xr:uid="{9F7FA311-F039-4613-BB34-60A3A06C1C08}"/>
    <hyperlink ref="S2276" r:id="rId8278" xr:uid="{556C7577-FA39-4CC0-88CF-B97912D8BF3A}"/>
    <hyperlink ref="CA2276" r:id="rId8279" xr:uid="{7B2E38FB-3BD2-4403-BBE8-B38D9690D722}"/>
    <hyperlink ref="O2277" r:id="rId8280" xr:uid="{CD9129C6-77C8-4611-8873-F273D54B1F65}"/>
    <hyperlink ref="S2277" r:id="rId8281" xr:uid="{687AD0BF-1AB3-434F-8D07-A5F7E97F100F}"/>
    <hyperlink ref="CA2277" r:id="rId8282" xr:uid="{17071653-D193-456C-A09F-94A9B85FE92C}"/>
    <hyperlink ref="CB2277" r:id="rId8283" xr:uid="{98BBD185-132D-48AF-B7CF-AC35227905DD}"/>
    <hyperlink ref="CD2277" r:id="rId8284" xr:uid="{D80A2097-AFF2-4397-B3D8-43DFB18C970F}"/>
    <hyperlink ref="S2281" r:id="rId8285" xr:uid="{F1C28FD8-3483-43F3-8E2C-978237A6E519}"/>
    <hyperlink ref="CA2281" r:id="rId8286" xr:uid="{A9A84475-6633-44AA-B291-B7D507CDCE8E}"/>
    <hyperlink ref="CB2281" r:id="rId8287" xr:uid="{CC36C835-B6BC-4356-9EB1-25739465D609}"/>
    <hyperlink ref="CD2281" r:id="rId8288" xr:uid="{5D9BD590-A682-43CC-B40E-91E9CF71A30E}"/>
    <hyperlink ref="O2282" r:id="rId8289" xr:uid="{5DC9E362-2FB2-4DB8-AEC2-ABB19EF735A8}"/>
    <hyperlink ref="S2282" r:id="rId8290" xr:uid="{29FDCB9D-B6A5-445F-835C-B7E2F12F1419}"/>
    <hyperlink ref="CA2282" r:id="rId8291" xr:uid="{11688289-DC3D-429A-A7FD-C2B3BBD3DFBC}"/>
    <hyperlink ref="CD2282" r:id="rId8292" xr:uid="{3D888341-4AF8-43A7-9423-20FF8CE04CE3}"/>
    <hyperlink ref="O2283" r:id="rId8293" xr:uid="{8575D9AD-4FBE-4705-9695-AA4B3F617716}"/>
    <hyperlink ref="S2283" r:id="rId8294" xr:uid="{59EBA7C6-FEBF-4957-9431-C8D4F35C53F3}"/>
    <hyperlink ref="CA2283" r:id="rId8295" xr:uid="{5FFEFA8F-4235-443A-A188-9D174CE1D316}"/>
    <hyperlink ref="CD2283" r:id="rId8296" xr:uid="{6A47C1A8-EC46-462C-B970-D1497FB06E99}"/>
    <hyperlink ref="O2285" r:id="rId8297" xr:uid="{A22EFC66-BDC3-4B31-BFF4-7DC7F556CBDD}"/>
    <hyperlink ref="S2285" r:id="rId8298" xr:uid="{2B890B95-3B1B-407B-A01D-E1F81394BBF8}"/>
    <hyperlink ref="CA2285" r:id="rId8299" xr:uid="{C184B20D-AA3E-420E-841A-74B589744817}"/>
    <hyperlink ref="CD2285" r:id="rId8300" xr:uid="{EB7B248A-287A-45A1-893B-A049CE266844}"/>
    <hyperlink ref="O2287" r:id="rId8301" xr:uid="{FD9B1660-EE7E-41E5-A714-37FDA8588FD0}"/>
    <hyperlink ref="S2287" r:id="rId8302" xr:uid="{502228BF-067E-47D4-B523-CC44634DECF4}"/>
    <hyperlink ref="CA2287" r:id="rId8303" xr:uid="{BB74DE77-54F8-47B5-AE7C-48C15926BA83}"/>
    <hyperlink ref="O2288" r:id="rId8304" xr:uid="{868B937E-9E90-4E62-A871-33789BCE2462}"/>
    <hyperlink ref="S2288" r:id="rId8305" xr:uid="{43D7C486-BD9A-46F4-A826-D531B5914542}"/>
    <hyperlink ref="CA2288" r:id="rId8306" xr:uid="{D2296766-A139-422D-B015-4BB439799759}"/>
    <hyperlink ref="CB2288" r:id="rId8307" xr:uid="{A6267361-593C-4FE4-AD74-A1A003940A9E}"/>
    <hyperlink ref="CD2288" r:id="rId8308" xr:uid="{DCC1C91F-EAF1-4755-9F3B-3D32B77F9847}"/>
    <hyperlink ref="O2289" r:id="rId8309" xr:uid="{2929BD1A-5305-4B01-863B-654A24879262}"/>
    <hyperlink ref="S2289" r:id="rId8310" xr:uid="{4B2FE35D-0F5C-499B-9E6A-14617D376F51}"/>
    <hyperlink ref="CA2289" r:id="rId8311" xr:uid="{918E89EF-CCFE-4D1A-B623-1E4A5739AF7F}"/>
    <hyperlink ref="O2291" r:id="rId8312" xr:uid="{BB5D6165-55B8-41EC-B22F-169577D8FA84}"/>
    <hyperlink ref="S2291" r:id="rId8313" xr:uid="{5DFDC1BE-0E80-4A4F-9A40-969E29D25116}"/>
    <hyperlink ref="CA2291" r:id="rId8314" xr:uid="{AE2C765E-B84F-4412-970A-D2723A21D5AE}"/>
    <hyperlink ref="O2292" r:id="rId8315" xr:uid="{6FEC79E3-677C-4B19-A5B5-7E5A7B83C7FA}"/>
    <hyperlink ref="S2292" r:id="rId8316" xr:uid="{14FF8680-129D-4B87-9BD0-EF171022D1A0}"/>
    <hyperlink ref="CA2292" r:id="rId8317" xr:uid="{1FB4405B-D75E-4666-8BA4-790D779D482B}"/>
    <hyperlink ref="CD2292" r:id="rId8318" xr:uid="{ABC5BD2A-017D-4728-BCC8-552A0DB48926}"/>
    <hyperlink ref="O2293" r:id="rId8319" xr:uid="{20EDA8FF-74DB-456F-8D5D-F36F868AFC2D}"/>
    <hyperlink ref="S2293" r:id="rId8320" xr:uid="{AD9FCFE2-86E6-4583-91AB-7E51CB88CCA6}"/>
    <hyperlink ref="CA2293" r:id="rId8321" xr:uid="{358E3DB1-5DF4-445E-8A80-096EA10DFA62}"/>
    <hyperlink ref="O2294" r:id="rId8322" xr:uid="{1F5AE716-FCF5-4B9E-B8DF-3BA00366887A}"/>
    <hyperlink ref="S2294" r:id="rId8323" xr:uid="{622A6C83-CDDE-4141-A9FB-2825DA1720F3}"/>
    <hyperlink ref="CA2294" r:id="rId8324" xr:uid="{6217E535-0751-4821-A7A1-805581947F3B}"/>
    <hyperlink ref="CD2294" r:id="rId8325" xr:uid="{09C6924D-F844-4AF3-A24D-57AC5EE73725}"/>
    <hyperlink ref="O2295" r:id="rId8326" xr:uid="{2468CD81-73DC-40B6-9E91-1A2039738EB4}"/>
    <hyperlink ref="S2295" r:id="rId8327" xr:uid="{6274D3EC-34C1-45F7-B4A8-4B3C44626DE7}"/>
    <hyperlink ref="CA2295" r:id="rId8328" xr:uid="{49C6ABBB-F628-47A0-9F2D-B96EA71A1299}"/>
    <hyperlink ref="O2300" r:id="rId8329" xr:uid="{940C4B05-4BDB-4C46-8629-7C6CD1A7357D}"/>
    <hyperlink ref="S2300" r:id="rId8330" xr:uid="{D3B4AC77-0323-46F4-AC86-8EFA86803DD5}"/>
    <hyperlink ref="CA2300" r:id="rId8331" xr:uid="{8F0D1138-59E4-4437-97B0-DDC1730F9EC1}"/>
    <hyperlink ref="CD2300" r:id="rId8332" xr:uid="{04BAFD4B-2E77-48F8-9275-4A80843CCED1}"/>
    <hyperlink ref="O2304" r:id="rId8333" xr:uid="{01CF5AD0-CA97-4CDD-B29B-08573AEA01D5}"/>
    <hyperlink ref="S2304" r:id="rId8334" xr:uid="{BCA45D55-54A5-4C8D-99DB-7DCA4EDF2EE9}"/>
    <hyperlink ref="CA2304" r:id="rId8335" xr:uid="{F729562B-7E40-4193-80C6-36DB1A25A286}"/>
    <hyperlink ref="CD2304" r:id="rId8336" xr:uid="{1B2A54BA-5F77-46C6-A479-91B4F82E9AF8}"/>
    <hyperlink ref="O2305" r:id="rId8337" xr:uid="{607E1AA3-BE71-4AFE-9FA7-380085959405}"/>
    <hyperlink ref="S2305" r:id="rId8338" xr:uid="{DA2EABB8-0824-4F49-9912-5295F7C6E2DE}"/>
    <hyperlink ref="CA2305" r:id="rId8339" xr:uid="{2C5939B3-B3C9-41CB-A722-DFD62AB426A9}"/>
    <hyperlink ref="CD2305" r:id="rId8340" xr:uid="{4DAE8F99-4090-4E41-80DE-1A6F842BA0F2}"/>
    <hyperlink ref="O2306" r:id="rId8341" xr:uid="{485338B7-947E-440D-AC4C-D835161711CC}"/>
    <hyperlink ref="R2306" r:id="rId8342" xr:uid="{3884F57B-EC1F-4673-B25B-708C638434FA}"/>
    <hyperlink ref="S2306" r:id="rId8343" xr:uid="{6CFAA5BE-6B9C-4D46-BA37-103D75D5902E}"/>
    <hyperlink ref="CA2306" r:id="rId8344" xr:uid="{53829743-5F82-4897-A6A3-ECC452B4357C}"/>
    <hyperlink ref="CD2306" r:id="rId8345" xr:uid="{04CD355D-E030-4675-8B12-10CC200B844D}"/>
    <hyperlink ref="O2307" r:id="rId8346" xr:uid="{D9D61F3B-A2F1-4D0F-974F-BA6015B7DE3B}"/>
    <hyperlink ref="S2307" r:id="rId8347" xr:uid="{E3BA995B-AB0A-49AA-A2AE-86E63E24C0CF}"/>
    <hyperlink ref="CA2307" r:id="rId8348" xr:uid="{BDC11702-433F-4015-8218-9333D6098E6E}"/>
    <hyperlink ref="O2308" r:id="rId8349" xr:uid="{926D880B-2E43-4096-B11B-4E2BCBEB940A}"/>
    <hyperlink ref="S2308" r:id="rId8350" xr:uid="{C489A301-21BA-41E9-B449-07FEFBF3EE1F}"/>
    <hyperlink ref="CA2308" r:id="rId8351" xr:uid="{E350C832-1939-4E9F-9E00-F2107D7774E8}"/>
    <hyperlink ref="O2309" r:id="rId8352" xr:uid="{BA0AEBE5-23A3-4A4F-87E1-DECDA2C73DF9}"/>
    <hyperlink ref="S2309" r:id="rId8353" xr:uid="{5FE357A8-CE20-44A5-83A2-E1279EF237EF}"/>
    <hyperlink ref="CA2309" r:id="rId8354" xr:uid="{11ED1198-5C4D-4EBE-8C16-0D92F77551B7}"/>
    <hyperlink ref="O2310" r:id="rId8355" xr:uid="{71E9E309-878A-4CE9-95AC-12DC598EFB16}"/>
    <hyperlink ref="S2310" r:id="rId8356" xr:uid="{D8E64370-B3B2-4FF9-9F2D-CECBED59F7A5}"/>
    <hyperlink ref="T2310" r:id="rId8357" xr:uid="{F654A528-E924-4CF8-A5AF-8824FE27CC99}"/>
    <hyperlink ref="CA2310" r:id="rId8358" xr:uid="{76F7CD33-A49B-4709-BBD4-9B96E5DF4FF8}"/>
    <hyperlink ref="CB2310" r:id="rId8359" xr:uid="{9DCCFC89-6BC1-4D1D-960C-FFB44B5D0541}"/>
    <hyperlink ref="CD2310" r:id="rId8360" xr:uid="{2ABC8B58-1B2A-404A-9930-500E437F6127}"/>
    <hyperlink ref="O2311" r:id="rId8361" xr:uid="{BC83C1FE-2E6E-42F6-B478-FEAFD94B39A6}"/>
    <hyperlink ref="S2311" r:id="rId8362" xr:uid="{5766C076-B87D-44E7-8C7E-9F76725AE11C}"/>
    <hyperlink ref="T2311" r:id="rId8363" xr:uid="{F2FDF19E-2AF9-4DCC-B8D9-DC48E13055B2}"/>
    <hyperlink ref="CA2311" r:id="rId8364" xr:uid="{02DA8B52-AD19-4524-98DF-5F3E0C0D86B7}"/>
    <hyperlink ref="CB2311" r:id="rId8365" xr:uid="{8B06B14E-41FC-4637-825F-B02E238A26AB}"/>
    <hyperlink ref="CD2311" r:id="rId8366" xr:uid="{C8FF102E-E37B-41E5-9ED2-866DE7F87FDB}"/>
    <hyperlink ref="O2312" r:id="rId8367" xr:uid="{1AC156D2-3F8F-4655-98E7-7951391370D7}"/>
    <hyperlink ref="S2312" r:id="rId8368" xr:uid="{57AD12D2-CD4A-48D0-AB8C-3F135310C744}"/>
    <hyperlink ref="T2312" r:id="rId8369" xr:uid="{AFEC6A21-9141-4DAD-846B-339C63645F56}"/>
    <hyperlink ref="CA2312" r:id="rId8370" xr:uid="{369B4EF4-8156-4752-AC5C-ADD62D245B08}"/>
    <hyperlink ref="CB2312" r:id="rId8371" xr:uid="{9E9E1F21-DBF2-470A-980B-A16FEF2A3906}"/>
    <hyperlink ref="CD2312" r:id="rId8372" xr:uid="{E18F36BE-4C0C-4C76-A2B0-7EF091287466}"/>
    <hyperlink ref="O2313" r:id="rId8373" xr:uid="{A7967A85-D558-4AFF-A45A-65D185B4BEE5}"/>
    <hyperlink ref="S2313" r:id="rId8374" xr:uid="{8902FBF4-B357-421C-9F2C-B82457C3A995}"/>
    <hyperlink ref="T2313" r:id="rId8375" xr:uid="{5A77C2AD-82D4-4009-94AB-764328791B98}"/>
    <hyperlink ref="CA2313" r:id="rId8376" xr:uid="{6116D9DD-04F7-4912-A15A-6E252F526AD8}"/>
    <hyperlink ref="CB2313" r:id="rId8377" xr:uid="{E6E7D081-B017-45A9-97AE-B210F5103E57}"/>
    <hyperlink ref="CD2313" r:id="rId8378" xr:uid="{6B7C1C95-EAB9-4045-ADBA-DD5151871BD6}"/>
    <hyperlink ref="O2314" r:id="rId8379" xr:uid="{E455A9EE-7027-4B38-9008-564789ACAE8A}"/>
    <hyperlink ref="S2314" r:id="rId8380" xr:uid="{4EA6770E-CAC8-4CEB-BF18-F3B92D75CDB3}"/>
    <hyperlink ref="T2314" r:id="rId8381" xr:uid="{04B72EE2-0BB2-4CB1-B3FB-0063D15BC444}"/>
    <hyperlink ref="CA2314" r:id="rId8382" xr:uid="{6735B68A-CF86-43CF-A2DC-373D884BA9EE}"/>
    <hyperlink ref="CB2314" r:id="rId8383" xr:uid="{C34019BB-AF42-42AE-9F5C-B865612ED55D}"/>
    <hyperlink ref="CD2314" r:id="rId8384" xr:uid="{D779E8F0-369B-42FD-82C7-9FB1D599D32C}"/>
    <hyperlink ref="O2315" r:id="rId8385" xr:uid="{66E0FD7B-2199-4483-984A-3E379BF4E4F4}"/>
    <hyperlink ref="S2315" r:id="rId8386" xr:uid="{8E5EEE1A-62B9-4A55-9030-27CF7A5146E7}"/>
    <hyperlink ref="T2315" r:id="rId8387" xr:uid="{59D71A7B-1D4C-4637-A907-9E338A66C196}"/>
    <hyperlink ref="CA2315" r:id="rId8388" xr:uid="{6C7C1A67-55EA-4CD9-BE71-958A6E354464}"/>
    <hyperlink ref="CB2315" r:id="rId8389" xr:uid="{4B9D2364-03EF-4511-A453-8510AF1D246B}"/>
    <hyperlink ref="CD2315" r:id="rId8390" xr:uid="{1076FD40-085E-4F27-B397-3E091C73A759}"/>
    <hyperlink ref="O2316" r:id="rId8391" xr:uid="{99D5A06F-E072-4BAA-B541-A5F10B77A1E6}"/>
    <hyperlink ref="S2316" r:id="rId8392" xr:uid="{26703A20-5380-4B83-AFE3-F055EC6B5396}"/>
    <hyperlink ref="CA2316" r:id="rId8393" xr:uid="{52D6522E-32CD-445B-AC93-96BA62766A51}"/>
    <hyperlink ref="CB2316" r:id="rId8394" xr:uid="{590A8108-0DD0-4D78-9C24-9605CD87A9B9}"/>
    <hyperlink ref="CD2316" r:id="rId8395" xr:uid="{677A7345-72EB-4B25-9577-02F3A89BD226}"/>
    <hyperlink ref="O2317" r:id="rId8396" xr:uid="{841AFF13-795F-4FF8-A9AD-22E21F1BCB0C}"/>
    <hyperlink ref="S2317" r:id="rId8397" xr:uid="{4D8D7460-11B2-4DDE-9454-03816BF8375A}"/>
    <hyperlink ref="T2317" r:id="rId8398" xr:uid="{F5DBB2B7-C603-4082-9855-70708E8B113D}"/>
    <hyperlink ref="CA2317" r:id="rId8399" xr:uid="{A0D8E574-C96E-4F0C-BDC6-8CA08031F151}"/>
    <hyperlink ref="CB2317" r:id="rId8400" xr:uid="{3D82EF93-5A37-4D90-A257-E132F86AC9A9}"/>
    <hyperlink ref="CD2317" r:id="rId8401" xr:uid="{6A329E06-F772-4402-84DA-285AE4AAEF8C}"/>
    <hyperlink ref="O2318" r:id="rId8402" xr:uid="{8E7FA519-06B6-43E2-A9B4-807498009073}"/>
    <hyperlink ref="S2318" r:id="rId8403" xr:uid="{7191403C-6B5F-4122-B38C-3B794B7DBDEF}"/>
    <hyperlink ref="CA2318" r:id="rId8404" xr:uid="{2BCCD9FE-B78F-439C-96DF-96EBF937B5F1}"/>
    <hyperlink ref="CB2318" r:id="rId8405" xr:uid="{7A74FD3C-AF4D-4202-8597-75AE2F0BAC94}"/>
    <hyperlink ref="CD2318" r:id="rId8406" xr:uid="{5097D3A6-9422-4FD2-8F2B-E0B22A682B91}"/>
    <hyperlink ref="O2319" r:id="rId8407" xr:uid="{DD16FDAF-0B7E-4A50-B3BD-1F4AE0884C40}"/>
    <hyperlink ref="S2319" r:id="rId8408" xr:uid="{AB1FBFE4-BDD6-4DA9-9399-BA4E9E376BA6}"/>
    <hyperlink ref="T2319" r:id="rId8409" xr:uid="{53A9DEAE-111E-4C6A-9C05-D23F6470B1BB}"/>
    <hyperlink ref="CA2319" r:id="rId8410" xr:uid="{4C08C41E-288F-4E3F-9B71-3820915E363B}"/>
    <hyperlink ref="CB2319" r:id="rId8411" xr:uid="{36483810-E76F-469F-8D26-979ABBE5F981}"/>
    <hyperlink ref="CD2319" r:id="rId8412" xr:uid="{63AB5580-2A2F-4781-910B-06F825AB960A}"/>
    <hyperlink ref="O2320" r:id="rId8413" xr:uid="{0225234F-79B6-42B7-AC19-66F6812DD6E4}"/>
    <hyperlink ref="S2320" r:id="rId8414" xr:uid="{F97751CE-7162-4446-9CC5-4B8C9F942C11}"/>
    <hyperlink ref="CA2320" r:id="rId8415" xr:uid="{BB73DACA-59A9-4EFA-94D6-DE49B221B53E}"/>
    <hyperlink ref="CB2320" r:id="rId8416" xr:uid="{B017B058-7CC6-4056-A44C-F9D5BD5C0F3F}"/>
    <hyperlink ref="CD2320" r:id="rId8417" xr:uid="{3A496831-0303-4E08-82EA-50C19F0B3751}"/>
    <hyperlink ref="O2321" r:id="rId8418" xr:uid="{CC4EB7A7-6D05-44BD-9D50-0EBE19183F2F}"/>
    <hyperlink ref="S2321" r:id="rId8419" xr:uid="{028F1EA0-D57B-4743-8D05-7AC543D1E4CC}"/>
    <hyperlink ref="CA2321" r:id="rId8420" xr:uid="{ED649F9E-E7C0-447D-A5E3-3A2FD41296FB}"/>
    <hyperlink ref="CB2321" r:id="rId8421" xr:uid="{055EFBDB-1968-419E-B583-BFC43F1A7C97}"/>
    <hyperlink ref="CD2321" r:id="rId8422" xr:uid="{9AC22999-7652-4694-90A7-64F966FFB3CD}"/>
    <hyperlink ref="O2322" r:id="rId8423" xr:uid="{4FB65C63-423A-402C-AAF3-D909095CD4E6}"/>
    <hyperlink ref="S2322" r:id="rId8424" xr:uid="{4A3FF080-7A6E-4A4C-B4B8-70D86240B493}"/>
    <hyperlink ref="T2322" r:id="rId8425" xr:uid="{3C9AE259-939E-46D5-9BA4-966F39C61F5F}"/>
    <hyperlink ref="CA2322" r:id="rId8426" xr:uid="{9250F24F-7ACB-41DB-8990-7D8A28087D8B}"/>
    <hyperlink ref="CB2322" r:id="rId8427" xr:uid="{1CAAF802-384C-4A86-AC02-9D7216E84952}"/>
    <hyperlink ref="CD2322" r:id="rId8428" xr:uid="{593224E9-77C6-4834-9E2C-C974F69080F3}"/>
    <hyperlink ref="O2323" r:id="rId8429" xr:uid="{08EF4636-91A8-4B98-883A-BD7C3F1F07B5}"/>
    <hyperlink ref="S2323" r:id="rId8430" xr:uid="{ED76E6C4-EDFE-4D28-9218-CCDCE2D8DE29}"/>
    <hyperlink ref="T2323" r:id="rId8431" xr:uid="{508F6E78-162E-4302-BAB0-DC5A4F55B486}"/>
    <hyperlink ref="CA2323" r:id="rId8432" xr:uid="{4BE77E26-5877-48CD-8F9F-17C386BAAECF}"/>
    <hyperlink ref="CB2323" r:id="rId8433" xr:uid="{66EC55A7-B6C1-444A-9EB7-892C7A5953BB}"/>
    <hyperlink ref="CD2323" r:id="rId8434" xr:uid="{291FBA67-CB59-4368-99F6-C3DDEAEBDF0F}"/>
    <hyperlink ref="O2324" r:id="rId8435" xr:uid="{E80F8BF0-B6F6-41D8-8CE4-CDFBBDF6E1BB}"/>
    <hyperlink ref="S2324" r:id="rId8436" xr:uid="{ECBF55DE-EFAE-4E20-BCFF-98DA2D7597BB}"/>
    <hyperlink ref="T2324" r:id="rId8437" xr:uid="{B2976792-4D1E-4786-A73B-429F725DBD87}"/>
    <hyperlink ref="CA2324" r:id="rId8438" xr:uid="{387AE44B-24C5-48B2-B716-B3491C9B88F6}"/>
    <hyperlink ref="CB2324" r:id="rId8439" xr:uid="{86B37EDB-B520-48DA-9F59-41204C4F2465}"/>
    <hyperlink ref="CD2324" r:id="rId8440" xr:uid="{8A2F0D53-691D-447E-8EB3-3AE21297C97E}"/>
    <hyperlink ref="O2325" r:id="rId8441" xr:uid="{4C408A5D-7299-4E67-8E21-8309E0BF7BC2}"/>
    <hyperlink ref="S2325" r:id="rId8442" xr:uid="{FD6343D1-C584-4993-93C3-BF30724797FF}"/>
    <hyperlink ref="T2325" r:id="rId8443" xr:uid="{7151DB15-39F6-40FE-A81E-7362506C74FF}"/>
    <hyperlink ref="CA2325" r:id="rId8444" xr:uid="{B1F21724-CD84-4754-BC54-AE3ED8F49DB5}"/>
    <hyperlink ref="CB2325" r:id="rId8445" xr:uid="{56085608-B4B5-4C56-AF8E-3B0FA734624E}"/>
    <hyperlink ref="CD2325" r:id="rId8446" xr:uid="{F6A60D17-B8B4-438E-BFA2-4C4AA2D14435}"/>
    <hyperlink ref="O2326" r:id="rId8447" xr:uid="{12E712A5-5CCC-4AA6-9C2C-5DC5D8B1D161}"/>
    <hyperlink ref="S2326" r:id="rId8448" xr:uid="{2BEBC932-34B6-4E36-A283-E5DE785CF8F7}"/>
    <hyperlink ref="T2326" r:id="rId8449" xr:uid="{82808457-2561-4FD5-A7E0-9C2A214A1B87}"/>
    <hyperlink ref="CA2326" r:id="rId8450" xr:uid="{19A8ECE8-3BC2-4792-8645-F88331B9D283}"/>
    <hyperlink ref="CB2326" r:id="rId8451" xr:uid="{2964EAEE-D340-4569-8DED-C5E4578903C4}"/>
    <hyperlink ref="CD2326" r:id="rId8452" xr:uid="{284C520D-4B70-486E-B780-DE69211B9CAF}"/>
    <hyperlink ref="O2327" r:id="rId8453" xr:uid="{D074DE0C-72F7-4147-9EA4-D5688F75C954}"/>
    <hyperlink ref="S2327" r:id="rId8454" xr:uid="{1565100F-D322-4352-99BD-38C0336F90A5}"/>
    <hyperlink ref="T2327" r:id="rId8455" xr:uid="{07D726F7-6C28-4C33-AD43-043A40D5A2B2}"/>
    <hyperlink ref="CA2327" r:id="rId8456" xr:uid="{6E81FE25-C439-4A9C-B08D-1A70612BA780}"/>
    <hyperlink ref="CB2327" r:id="rId8457" xr:uid="{D9E0F4FB-C68F-4E43-BC6B-057BE10D0C45}"/>
    <hyperlink ref="CD2327" r:id="rId8458" xr:uid="{6423905E-E2ED-40D2-BAA5-5F1DDF8F682B}"/>
    <hyperlink ref="O2328" r:id="rId8459" xr:uid="{1BBB4D3C-42C8-42A7-B5FB-5CB8D1B72436}"/>
    <hyperlink ref="S2328" r:id="rId8460" xr:uid="{6B907976-B9A1-4032-88EF-353E9CDDED10}"/>
    <hyperlink ref="T2328" r:id="rId8461" xr:uid="{E9595B23-AFC4-4AF0-A117-70D773099D36}"/>
    <hyperlink ref="CA2328" r:id="rId8462" xr:uid="{C3E8D151-27C0-4292-96A1-A45ED1B2C273}"/>
    <hyperlink ref="CB2328" r:id="rId8463" xr:uid="{62F626F1-E84B-46E1-B1F2-EA5DBDE0C378}"/>
    <hyperlink ref="CD2328" r:id="rId8464" xr:uid="{26130828-4E75-4853-9097-9465A08CB0CB}"/>
    <hyperlink ref="O2329" r:id="rId8465" xr:uid="{588B6F57-7800-4CF5-88EE-D70A0018977C}"/>
    <hyperlink ref="S2329" r:id="rId8466" xr:uid="{12F12CBE-F309-4642-84DB-7A256FBB79C1}"/>
    <hyperlink ref="T2329" r:id="rId8467" xr:uid="{63E565DF-D3EA-4EE0-A62D-7D5BF38E5E61}"/>
    <hyperlink ref="CA2329" r:id="rId8468" xr:uid="{2D30DE7B-995C-41C1-83BC-4A68FDFC6FAA}"/>
    <hyperlink ref="CB2329" r:id="rId8469" xr:uid="{010D0BCB-DCC4-4E44-88FC-683F7F9B2D7A}"/>
    <hyperlink ref="CD2329" r:id="rId8470" xr:uid="{55174289-329F-490B-8908-E424218842B5}"/>
    <hyperlink ref="O2332" r:id="rId8471" xr:uid="{30A3A092-2449-4A59-A593-DC8824B7F164}"/>
    <hyperlink ref="S2332" r:id="rId8472" xr:uid="{E6859041-8E82-4CD2-A1AF-74BF83AD580B}"/>
    <hyperlink ref="CA2332" r:id="rId8473" xr:uid="{9BF7C908-5F7B-4BCD-A508-64B3FF005A03}"/>
    <hyperlink ref="CB2332" r:id="rId8474" xr:uid="{F5181F71-94D4-400D-8C25-871AE2250928}"/>
    <hyperlink ref="CD2332" r:id="rId8475" xr:uid="{097F05B8-6BC1-4E0C-B8C3-2193C3B65742}"/>
    <hyperlink ref="O2334" r:id="rId8476" xr:uid="{2812E5A4-1654-4950-90CE-1B79671B4FC5}"/>
    <hyperlink ref="S2334" r:id="rId8477" xr:uid="{C9D74CC2-2F8E-4A17-A929-BF83E9EBC163}"/>
    <hyperlink ref="CA2334" r:id="rId8478" xr:uid="{AB55A62A-01B4-4546-A598-1755F6DC975F}"/>
    <hyperlink ref="CB2334" r:id="rId8479" xr:uid="{7F208B58-2420-4D4E-B322-79BF203F4638}"/>
    <hyperlink ref="CD2334" r:id="rId8480" xr:uid="{E007F985-106F-46D0-A440-D04F4B14D6AA}"/>
    <hyperlink ref="O2341" r:id="rId8481" xr:uid="{742DC1AC-E665-43F4-B446-0BF16E6217B9}"/>
    <hyperlink ref="S2341" r:id="rId8482" xr:uid="{3CD9ACEF-849E-45D6-955B-A22DFCA7E882}"/>
    <hyperlink ref="CA2341" r:id="rId8483" xr:uid="{9CCCD70A-2A70-4943-BAEA-C7331DFD0BA4}"/>
    <hyperlink ref="CB2341" r:id="rId8484" xr:uid="{2BFDEEA6-2A2E-4EF7-BDCD-E94F063810AF}"/>
    <hyperlink ref="CD2341" r:id="rId8485" xr:uid="{EC89E9A1-5F60-46D6-8B08-F5CF06522F25}"/>
    <hyperlink ref="O2346" r:id="rId8486" xr:uid="{DAD5D624-15F5-4568-8946-25B45DC9C6F0}"/>
    <hyperlink ref="S2346" r:id="rId8487" xr:uid="{BA20F211-F2CF-4ACB-BB7A-CDEE2572F9BC}"/>
    <hyperlink ref="CA2346" r:id="rId8488" xr:uid="{9128971C-1E4A-486D-B135-6D803BF81458}"/>
    <hyperlink ref="O2347" r:id="rId8489" xr:uid="{E07985D7-CD10-4129-98DA-C55EBA22FFF7}"/>
    <hyperlink ref="S2347" r:id="rId8490" xr:uid="{611CDFB3-118D-4BEB-8225-C49186E26820}"/>
    <hyperlink ref="T2347" r:id="rId8491" xr:uid="{F56E6662-44A6-4BE2-A9E3-3089169806D5}"/>
    <hyperlink ref="CA2347" r:id="rId8492" xr:uid="{9AB24469-4A69-4A65-AAE2-48A0E52C9AB9}"/>
    <hyperlink ref="CB2347" r:id="rId8493" xr:uid="{EEC00FFE-CD64-42BC-8545-B39F5085EEEC}"/>
    <hyperlink ref="O2349" r:id="rId8494" xr:uid="{8D615B32-B058-4172-BC41-735AB118012F}"/>
    <hyperlink ref="S2349" r:id="rId8495" xr:uid="{0310FE35-988A-445B-A792-8EACC490FFF3}"/>
    <hyperlink ref="CA2349" r:id="rId8496" xr:uid="{8005B5F1-7022-4692-AC50-C7821840A99D}"/>
    <hyperlink ref="O2350" r:id="rId8497" xr:uid="{95B669A9-8C1B-4365-A028-7EA9585F21E7}"/>
    <hyperlink ref="S2350" r:id="rId8498" xr:uid="{428B0138-9D43-4E9E-8A83-FF5FE6FEDF00}"/>
    <hyperlink ref="CA2350" r:id="rId8499" xr:uid="{77B1EFD7-95B2-4A39-8CFD-1F9043508773}"/>
    <hyperlink ref="O2351" r:id="rId8500" xr:uid="{38D0419A-32FD-42EC-A40A-AA7804A32032}"/>
    <hyperlink ref="S2351" r:id="rId8501" xr:uid="{6724B360-A6D4-46E2-AEEE-B30C556D5DFF}"/>
    <hyperlink ref="CA2351" r:id="rId8502" xr:uid="{29BB6D98-5156-4DBC-8489-977ECA1ED626}"/>
    <hyperlink ref="O2352" r:id="rId8503" xr:uid="{0C21140F-FE2A-4196-A89A-635738AF24E5}"/>
    <hyperlink ref="S2352" r:id="rId8504" xr:uid="{7278DBA7-64E7-4918-8100-DD9C1B87594E}"/>
    <hyperlink ref="CA2352" r:id="rId8505" xr:uid="{177EE4E6-CB65-4130-ABF6-96BC34934C81}"/>
    <hyperlink ref="O2353" r:id="rId8506" xr:uid="{8331CBFF-262B-4232-887B-E3C552C969B7}"/>
    <hyperlink ref="S2353" r:id="rId8507" xr:uid="{CCF545FD-8F81-49DC-B250-9D14CB431B16}"/>
    <hyperlink ref="CA2353" r:id="rId8508" xr:uid="{0BBF1DBC-CD83-41FF-9C1E-7E3ED73A5C11}"/>
    <hyperlink ref="O2354" r:id="rId8509" xr:uid="{55FAB874-1D1C-45D9-9F77-F75A1E6B4C2A}"/>
    <hyperlink ref="S2354" r:id="rId8510" xr:uid="{5652178C-0443-43AB-85D2-87B7AF91AD30}"/>
    <hyperlink ref="CA2354" r:id="rId8511" xr:uid="{BDE2F2D0-90E5-4AF1-BCC3-9A23F8E2E356}"/>
    <hyperlink ref="O2355" r:id="rId8512" xr:uid="{37C142C1-40BA-40FE-BD34-8FD09D48EDBE}"/>
    <hyperlink ref="S2355" r:id="rId8513" xr:uid="{95AFE296-AE21-4154-8432-D94B038773BC}"/>
    <hyperlink ref="CA2355" r:id="rId8514" xr:uid="{284CE4AD-5B02-48DF-BD03-B6BE94C2F65F}"/>
    <hyperlink ref="O2356" r:id="rId8515" xr:uid="{92B914EA-A433-448B-B0E7-425786F94696}"/>
    <hyperlink ref="S2356" r:id="rId8516" xr:uid="{BAAACDF2-F828-4323-80CA-5B3005F6E82C}"/>
    <hyperlink ref="CA2356" r:id="rId8517" xr:uid="{8F4A2F39-A198-43C2-94E2-4AB7DBF24AF8}"/>
    <hyperlink ref="O2357" r:id="rId8518" xr:uid="{6EDC155B-0A39-4019-94D4-C1EFA7E706C0}"/>
    <hyperlink ref="S2357" r:id="rId8519" xr:uid="{01C07E3F-98D1-4F64-9063-BE7B6687FA4F}"/>
    <hyperlink ref="CA2357" r:id="rId8520" xr:uid="{54718E87-CA23-4BD0-81D1-029D96DB7D20}"/>
    <hyperlink ref="O2358" r:id="rId8521" xr:uid="{FD788574-C54E-41A8-A78E-0AAA4D8C92CA}"/>
    <hyperlink ref="S2358" r:id="rId8522" xr:uid="{B849859C-8E81-43CB-B3EC-3C40F45ACB5B}"/>
    <hyperlink ref="CA2358" r:id="rId8523" xr:uid="{08050ACF-FCFD-40D1-8705-D85ED2100619}"/>
    <hyperlink ref="O2359" r:id="rId8524" xr:uid="{93AFCB5C-5407-4498-B0F2-FE699562EBFC}"/>
    <hyperlink ref="S2359" r:id="rId8525" xr:uid="{FA1F855A-DB06-4717-B935-03F5993224CB}"/>
    <hyperlink ref="CA2359" r:id="rId8526" xr:uid="{2A03303B-4DAD-4A1B-B711-E5E0C28A1D75}"/>
    <hyperlink ref="O2360" r:id="rId8527" xr:uid="{99717036-D7CB-44AE-A494-CA2A80EC0509}"/>
    <hyperlink ref="S2360" r:id="rId8528" xr:uid="{836235D7-1D3E-4DD0-B4BE-8C7A790F4A35}"/>
    <hyperlink ref="CA2360" r:id="rId8529" xr:uid="{06316C45-6F52-43DA-B12A-35E6FC44670A}"/>
    <hyperlink ref="CD2360" r:id="rId8530" xr:uid="{07104533-B5B2-4E39-B2FB-1D3E4954BCF5}"/>
    <hyperlink ref="O2361" r:id="rId8531" xr:uid="{E250AA2D-A95B-4705-837E-ACDB8F4A2680}"/>
    <hyperlink ref="S2361" r:id="rId8532" xr:uid="{688D91FE-5F85-43AD-94F6-1D7301A6B1C3}"/>
    <hyperlink ref="CA2361" r:id="rId8533" xr:uid="{7CB12203-A323-49B0-A1C3-16C30F370E31}"/>
    <hyperlink ref="CD2361" r:id="rId8534" xr:uid="{7929B653-87ED-40C0-83AE-1B883C57B58E}"/>
    <hyperlink ref="O2362" r:id="rId8535" xr:uid="{7916F20D-6C45-4E3F-BDCD-AF39764A909A}"/>
    <hyperlink ref="S2362" r:id="rId8536" xr:uid="{103F9DA0-67CE-43B2-9DC4-9AB9F091E0EB}"/>
    <hyperlink ref="CA2362" r:id="rId8537" xr:uid="{AD448BD7-BAF3-459D-9615-CE12D13DA9E2}"/>
    <hyperlink ref="CD2362" r:id="rId8538" xr:uid="{D644AED2-5716-494D-81A2-89E14565F91B}"/>
    <hyperlink ref="O2363" r:id="rId8539" xr:uid="{77C5749B-C6D4-443E-B74C-5818DC9554AF}"/>
    <hyperlink ref="S2363" r:id="rId8540" xr:uid="{AD4FCE97-9E07-4B2D-8571-06ED33C81308}"/>
    <hyperlink ref="T2363" r:id="rId8541" xr:uid="{A78432A1-1401-4E22-A320-9EECF5151BB7}"/>
    <hyperlink ref="CA2363" r:id="rId8542" xr:uid="{8102C68C-4102-42C8-893A-49F717B6D237}"/>
    <hyperlink ref="CB2363" r:id="rId8543" xr:uid="{96565F0D-3A0E-441D-A796-615C20916A0E}"/>
    <hyperlink ref="CD2363" r:id="rId8544" xr:uid="{19D669ED-BAD8-4D18-AE5F-197AD03CE703}"/>
    <hyperlink ref="O2364" r:id="rId8545" xr:uid="{D18A7CBE-1B03-4E67-A071-F07BBD8270B4}"/>
    <hyperlink ref="S2364" r:id="rId8546" xr:uid="{3A6F9185-D2D4-49E7-8E30-2DBCF21D22EC}"/>
    <hyperlink ref="CA2364" r:id="rId8547" xr:uid="{7347AF93-F5A7-4C1F-8108-D8B4E3595CD1}"/>
    <hyperlink ref="CD2364" r:id="rId8548" xr:uid="{F9E0009F-6212-48AE-A7FB-28B808BDD1C4}"/>
    <hyperlink ref="O2365" r:id="rId8549" xr:uid="{6D6F23AB-CE03-402F-8216-2287158782A4}"/>
    <hyperlink ref="S2365" r:id="rId8550" xr:uid="{68C10217-7096-4A81-BCA3-95EEA60B1BC7}"/>
    <hyperlink ref="T2365" r:id="rId8551" xr:uid="{C14DA118-C6E1-4612-9B93-E5F2A9F11199}"/>
    <hyperlink ref="CA2365" r:id="rId8552" xr:uid="{6462DEA7-0854-4036-97A1-017910ED5438}"/>
    <hyperlink ref="CB2365" r:id="rId8553" xr:uid="{90208432-700E-4454-BDCC-9BEA1FD908AF}"/>
    <hyperlink ref="CD2365" r:id="rId8554" xr:uid="{6DA10F5D-0840-4B02-A983-68C2FF49DFF4}"/>
    <hyperlink ref="O2366" r:id="rId8555" xr:uid="{CC010FBD-B2DE-489F-8A7E-436DE802036D}"/>
    <hyperlink ref="S2366" r:id="rId8556" xr:uid="{9877CBCA-AED4-4494-AADB-253CC3C83C95}"/>
    <hyperlink ref="T2366" r:id="rId8557" xr:uid="{5256AA25-FCA1-4BD6-AE3A-430AF29685B1}"/>
    <hyperlink ref="CA2366" r:id="rId8558" xr:uid="{AF253DEB-8AA8-4FE5-8DB7-E2C7F71F1F54}"/>
    <hyperlink ref="CB2366" r:id="rId8559" xr:uid="{3DB2AA48-17A6-44E5-89D1-DB502BF51A50}"/>
    <hyperlink ref="CD2366" r:id="rId8560" xr:uid="{5FCEBBC2-F316-4729-83A6-770017EEA544}"/>
    <hyperlink ref="O2367" r:id="rId8561" xr:uid="{D6DA4EE7-8F2C-42E8-8635-E95C0D4201D9}"/>
    <hyperlink ref="S2367" r:id="rId8562" xr:uid="{A08CF132-4801-4A9C-9712-9BF2B075CF1B}"/>
    <hyperlink ref="T2367" r:id="rId8563" xr:uid="{AB2B19C5-2DF3-4826-A02C-91BAD653C672}"/>
    <hyperlink ref="CA2367" r:id="rId8564" xr:uid="{579DA49E-0644-4768-ADA1-D82FE2798819}"/>
    <hyperlink ref="CB2367" r:id="rId8565" xr:uid="{07289177-1AF2-4D58-ACAF-F02FA8FAB232}"/>
    <hyperlink ref="CD2367" r:id="rId8566" xr:uid="{71308F2D-2156-4072-A60A-AA57021B3412}"/>
    <hyperlink ref="O2368" r:id="rId8567" xr:uid="{C638E195-AEFB-413B-AB0C-3209AC31BA5C}"/>
    <hyperlink ref="S2368" r:id="rId8568" xr:uid="{9D0E2434-747E-4AF3-969B-0D24CFF479D8}"/>
    <hyperlink ref="T2368" r:id="rId8569" xr:uid="{B9E83E84-EF84-463E-9596-AB7CE515ED98}"/>
    <hyperlink ref="CA2368" r:id="rId8570" xr:uid="{90448171-9328-4EE2-B247-AA675D35F377}"/>
    <hyperlink ref="CB2368" r:id="rId8571" xr:uid="{1F3C4521-F8C8-435E-A675-EC077CA9509B}"/>
    <hyperlink ref="CD2368" r:id="rId8572" xr:uid="{82FF833A-4A45-4F14-8179-00319E009823}"/>
    <hyperlink ref="O2369" r:id="rId8573" xr:uid="{CBC1095C-3D08-4ADC-8955-08BE2353A766}"/>
    <hyperlink ref="S2369" r:id="rId8574" xr:uid="{B1E27481-FD60-43AA-AA63-835BCA711665}"/>
    <hyperlink ref="CA2369" r:id="rId8575" xr:uid="{6A7BDB2E-9528-4DBE-A5D4-7C900D7CADB1}"/>
    <hyperlink ref="CD2369" r:id="rId8576" xr:uid="{53AA9542-5C9D-44A4-80A7-5A587EC66F05}"/>
    <hyperlink ref="O2370" r:id="rId8577" xr:uid="{C03C532D-09F0-4501-96BB-66E8884A1C72}"/>
    <hyperlink ref="S2370" r:id="rId8578" xr:uid="{C872A4EC-586D-43FA-A293-759D9DB228EE}"/>
    <hyperlink ref="T2370" r:id="rId8579" xr:uid="{BBF7D23F-3B28-4FA3-AC76-4805731C96C3}"/>
    <hyperlink ref="CA2370" r:id="rId8580" xr:uid="{B8116308-C5AD-4085-BF45-2867D765C78E}"/>
    <hyperlink ref="CB2370" r:id="rId8581" xr:uid="{28949EA8-8BBD-49E3-A5D0-5D80A5CDBFA8}"/>
    <hyperlink ref="CD2370" r:id="rId8582" xr:uid="{5248A3EE-3A5F-4105-9727-EC01BB4B9690}"/>
    <hyperlink ref="O2371" r:id="rId8583" xr:uid="{0AA909E8-D859-48BD-8303-50048D846E1B}"/>
    <hyperlink ref="S2371" r:id="rId8584" xr:uid="{E0EF4155-4D4B-4B32-B817-4A88C8762088}"/>
    <hyperlink ref="T2371" r:id="rId8585" xr:uid="{3CC54B64-E3D8-41EC-8C28-CEBDE62EE947}"/>
    <hyperlink ref="CA2371" r:id="rId8586" xr:uid="{EB2D0408-87C2-4819-A7C3-CBCD59DD0EDF}"/>
    <hyperlink ref="CB2371" r:id="rId8587" xr:uid="{7EC774B4-6164-4300-AC20-765780BFCF7E}"/>
    <hyperlink ref="CD2371" r:id="rId8588" xr:uid="{0BEDEB93-CAB6-4599-B6DD-CE335C574EB1}"/>
    <hyperlink ref="O2372" r:id="rId8589" xr:uid="{A54FFC1B-7B63-405C-A81A-60F3D08BC6A1}"/>
    <hyperlink ref="S2372" r:id="rId8590" xr:uid="{92E123B3-7548-4BB0-B006-E04BC179EF9A}"/>
    <hyperlink ref="T2372" r:id="rId8591" xr:uid="{CB8EC1B2-529A-428E-BEB3-8FD1FA88C6E6}"/>
    <hyperlink ref="CA2372" r:id="rId8592" xr:uid="{041B323E-7CB7-4595-BC44-37814A508C8F}"/>
    <hyperlink ref="CB2372" r:id="rId8593" xr:uid="{9BFD4837-7680-4712-A925-A8884EF1B2DE}"/>
    <hyperlink ref="CD2372" r:id="rId8594" xr:uid="{72DECA8F-EB24-4592-B8FF-874FF5B7430E}"/>
    <hyperlink ref="O2373" r:id="rId8595" xr:uid="{E4C58E69-B720-4619-8E31-2FDFEE710712}"/>
    <hyperlink ref="S2373" r:id="rId8596" xr:uid="{979AD927-F1A9-43CA-851F-0B8FFB2E1C5E}"/>
    <hyperlink ref="T2373" r:id="rId8597" xr:uid="{33C0B115-E097-49F7-820B-8576936EBA38}"/>
    <hyperlink ref="CA2373" r:id="rId8598" xr:uid="{4D5DD2EF-A695-4E78-803F-28F1C3C68624}"/>
    <hyperlink ref="CB2373" r:id="rId8599" xr:uid="{8EE39850-A698-4BCB-BD20-BF93CCD24EC0}"/>
    <hyperlink ref="CD2373" r:id="rId8600" xr:uid="{298B8851-FCE7-4B49-B563-0FE3F7B6C7F6}"/>
    <hyperlink ref="O2374" r:id="rId8601" xr:uid="{037A324E-E864-42C3-8F13-608D3E6346F3}"/>
    <hyperlink ref="S2374" r:id="rId8602" xr:uid="{C4697533-7C82-4201-BEA2-5467D574C422}"/>
    <hyperlink ref="T2374" r:id="rId8603" xr:uid="{CE2D34A0-4715-41B9-BCB9-1C84193B72BD}"/>
    <hyperlink ref="CA2374" r:id="rId8604" xr:uid="{94326E75-238F-4AAF-BD3F-4C0D6BB2F42A}"/>
    <hyperlink ref="CB2374" r:id="rId8605" xr:uid="{44CA1268-330F-43F2-A024-6648259D2E99}"/>
    <hyperlink ref="CD2374" r:id="rId8606" xr:uid="{1A0BC4FC-98D1-4660-AE74-3CE2B31D4697}"/>
    <hyperlink ref="O2375" r:id="rId8607" xr:uid="{40EE8B31-2B95-48D6-8BE3-965591A418AC}"/>
    <hyperlink ref="S2375" r:id="rId8608" xr:uid="{B4FF6A5E-E0FE-4A68-8D4A-519740DE43A5}"/>
    <hyperlink ref="T2375" r:id="rId8609" xr:uid="{4B57D642-A961-40AB-8080-0D01B377DE3A}"/>
    <hyperlink ref="CA2375" r:id="rId8610" xr:uid="{6C11BE03-7996-494B-B302-6BC4CC68659D}"/>
    <hyperlink ref="CB2375" r:id="rId8611" xr:uid="{F1C156BA-3C1D-46A4-91C0-6AE9FA4F5C06}"/>
    <hyperlink ref="CD2375" r:id="rId8612" xr:uid="{4F708700-9B6C-4C49-94AC-F0F0DFA66BE9}"/>
    <hyperlink ref="O2376" r:id="rId8613" xr:uid="{7D5360FE-3EDD-4A71-8F12-E610E2194944}"/>
    <hyperlink ref="S2376" r:id="rId8614" xr:uid="{85956BCB-FE93-4603-BA1A-10CC57CE6E94}"/>
    <hyperlink ref="T2376" r:id="rId8615" xr:uid="{4F0022C3-8A7C-4D8D-A92A-5C30B820CFA1}"/>
    <hyperlink ref="CA2376" r:id="rId8616" xr:uid="{FB168A07-5531-405B-A3B5-C2577C8D76FB}"/>
    <hyperlink ref="CB2376" r:id="rId8617" xr:uid="{2793C6D8-CAD3-4710-A36B-4E6F1C1CE635}"/>
    <hyperlink ref="CD2376" r:id="rId8618" xr:uid="{F0FFC3AD-9BF9-4F7B-B5BC-57D78D61AEE8}"/>
    <hyperlink ref="O2379" r:id="rId8619" xr:uid="{81E58A86-B992-4E0C-A259-7483937C189C}"/>
    <hyperlink ref="S2379" r:id="rId8620" xr:uid="{CB5A8296-269C-42AC-A61E-B83CF2EF7EA9}"/>
    <hyperlink ref="T2379" r:id="rId8621" xr:uid="{90624588-7A91-4AAF-ADA5-BC20178BC0AC}"/>
    <hyperlink ref="CA2379" r:id="rId8622" xr:uid="{9A524440-C0E1-4B81-ABCB-1EB5E99CAB46}"/>
    <hyperlink ref="CB2379" r:id="rId8623" xr:uid="{6CD6316B-FBA6-4B85-A9DD-B99DDA582E1E}"/>
    <hyperlink ref="CD2379" r:id="rId8624" xr:uid="{062AB40B-2CAB-487D-98FA-4F6E74AD5687}"/>
    <hyperlink ref="O2380" r:id="rId8625" xr:uid="{CB8FC8C1-2A3A-404D-9E0C-643E62545642}"/>
    <hyperlink ref="S2380" r:id="rId8626" xr:uid="{38E4D1EE-DAEF-4A84-801E-D2535D7F763F}"/>
    <hyperlink ref="T2380" r:id="rId8627" xr:uid="{3F40FB70-9600-4878-BF9C-38C8438F5227}"/>
    <hyperlink ref="CA2380" r:id="rId8628" xr:uid="{37E5C412-03C2-4AF0-AC9E-C5BB90F15C13}"/>
    <hyperlink ref="CB2380" r:id="rId8629" xr:uid="{6B1EDF9E-3D42-4B35-B8A8-A20812205F54}"/>
    <hyperlink ref="CD2380" r:id="rId8630" xr:uid="{C381C4E9-37FF-4A1F-80A0-B3DC4D8D6EA8}"/>
    <hyperlink ref="O2381" r:id="rId8631" xr:uid="{992D080D-49B7-4752-A63A-8627AA275090}"/>
    <hyperlink ref="S2381" r:id="rId8632" xr:uid="{0F3D3F9B-0DD4-4646-A9A3-175E098A0FE7}"/>
    <hyperlink ref="T2381" r:id="rId8633" xr:uid="{F3D47DED-237B-471B-8FD5-B6D28545EE33}"/>
    <hyperlink ref="CA2381" r:id="rId8634" xr:uid="{833F6F1E-5853-4522-B04D-EEC75E4B0288}"/>
    <hyperlink ref="CB2381" r:id="rId8635" xr:uid="{2C208A5E-C81C-4251-A5C9-9AFEC7C07C3B}"/>
    <hyperlink ref="CD2381" r:id="rId8636" xr:uid="{D57D7E43-CDEC-474B-95B7-447EF29D6B9F}"/>
    <hyperlink ref="O2382" r:id="rId8637" xr:uid="{9CEA90AE-3977-4101-90B4-0F2852FE73FD}"/>
    <hyperlink ref="S2382" r:id="rId8638" xr:uid="{B51DF7CA-B831-4DE6-8983-64FE81410FC3}"/>
    <hyperlink ref="T2382" r:id="rId8639" xr:uid="{C2220B36-C7E4-488B-9749-7B940619D153}"/>
    <hyperlink ref="CA2382" r:id="rId8640" xr:uid="{FC193715-E51F-44A6-B79A-B1D9CACC6756}"/>
    <hyperlink ref="CB2382" r:id="rId8641" xr:uid="{32D88C85-F19B-4B30-9021-F1898589C15C}"/>
    <hyperlink ref="CD2382" r:id="rId8642" xr:uid="{E18F3FED-02F4-4AAE-A3A2-2B719AFB5D3D}"/>
    <hyperlink ref="O2383" r:id="rId8643" xr:uid="{7DD553FE-6CC2-4C52-A0EE-F21B2717D32C}"/>
    <hyperlink ref="S2383" r:id="rId8644" xr:uid="{A3E19E04-E1FB-4A15-9FE9-904DE582613E}"/>
    <hyperlink ref="T2383" r:id="rId8645" xr:uid="{C7DA3765-D609-4338-882F-E7568B6314ED}"/>
    <hyperlink ref="CA2383" r:id="rId8646" xr:uid="{F279F9EA-12CF-4146-BC15-AAA9F98B5980}"/>
    <hyperlink ref="CB2383" r:id="rId8647" xr:uid="{EC63277C-0AB9-47DB-981D-38DCDDE8B4B6}"/>
    <hyperlink ref="CD2383" r:id="rId8648" xr:uid="{7F4892F3-D55A-4B0C-8750-141FAA393137}"/>
    <hyperlink ref="O2384" r:id="rId8649" xr:uid="{18C13392-95AA-4C9C-BA22-07E0186AC375}"/>
    <hyperlink ref="S2384" r:id="rId8650" xr:uid="{80743874-7920-4688-A61B-2C686ED9B34D}"/>
    <hyperlink ref="T2384" r:id="rId8651" xr:uid="{C2036EDB-1502-460C-8450-BEEB010C435F}"/>
    <hyperlink ref="CA2384" r:id="rId8652" xr:uid="{ACA97821-207F-4D83-A509-9CF8F3534D24}"/>
    <hyperlink ref="CB2384" r:id="rId8653" xr:uid="{DE37FB06-8CBD-4993-AB77-5FCF1CD93B9D}"/>
    <hyperlink ref="CD2384" r:id="rId8654" xr:uid="{F16830D5-7ECA-4299-B92B-2CD7F3128C68}"/>
    <hyperlink ref="O2385" r:id="rId8655" xr:uid="{EB821775-720C-48D3-B0A1-B772F9DE4950}"/>
    <hyperlink ref="S2385" r:id="rId8656" xr:uid="{E5F66AE8-CDC1-421A-9460-8189B1D682F8}"/>
    <hyperlink ref="T2385" r:id="rId8657" xr:uid="{AAED26BB-2D60-46BD-A224-E02F1F9C875F}"/>
    <hyperlink ref="CA2385" r:id="rId8658" xr:uid="{451F51AB-AF2D-40A4-9EDC-C1721AAC09DE}"/>
    <hyperlink ref="CB2385" r:id="rId8659" xr:uid="{1CBF65D2-755B-4C81-9312-ABD51E03D73D}"/>
    <hyperlink ref="CD2385" r:id="rId8660" xr:uid="{DF13C9A7-00E4-4BF5-AEDD-0642E673C13F}"/>
    <hyperlink ref="O2386" r:id="rId8661" xr:uid="{1A5BEB32-E7D7-4CED-9BCD-DED58ECB7B81}"/>
    <hyperlink ref="S2386" r:id="rId8662" xr:uid="{6835BF8F-BBA8-4D7C-9A52-5D42703FA63A}"/>
    <hyperlink ref="T2386" r:id="rId8663" xr:uid="{2BD0C66D-631E-4DCF-861E-0012919FB92F}"/>
    <hyperlink ref="CA2386" r:id="rId8664" xr:uid="{1DC1BE25-6733-4066-A0F0-798D78360BAE}"/>
    <hyperlink ref="CB2386" r:id="rId8665" xr:uid="{36F7D548-2742-40B9-BADA-B5D0D33C978A}"/>
    <hyperlink ref="CD2386" r:id="rId8666" xr:uid="{218E0A95-1884-45B1-BB0F-3F5BF9A20082}"/>
    <hyperlink ref="O2387" r:id="rId8667" xr:uid="{02DCDA83-AE68-4B22-9E5B-64BD3BAC0D67}"/>
    <hyperlink ref="S2387" r:id="rId8668" xr:uid="{F6413E39-20F6-4037-8636-A14B860AF1CC}"/>
    <hyperlink ref="CA2387" r:id="rId8669" xr:uid="{95422050-05DF-4061-B3DF-C57CACABCD59}"/>
    <hyperlink ref="CD2387" r:id="rId8670" xr:uid="{B9C65CFF-4BFD-47E3-9057-F5E6000A86AF}"/>
    <hyperlink ref="O2388" r:id="rId8671" xr:uid="{AAA213C5-0B00-4385-B220-41D861F31394}"/>
    <hyperlink ref="S2388" r:id="rId8672" xr:uid="{1B98F043-8F0B-4C72-B1B3-E490F513CDAA}"/>
    <hyperlink ref="CA2388" r:id="rId8673" xr:uid="{8F7664F1-691C-4877-A8B1-9FE4111F454A}"/>
    <hyperlink ref="O2390" r:id="rId8674" xr:uid="{097E2E67-0300-4CFB-A98E-01C53D7E188C}"/>
    <hyperlink ref="S2390" r:id="rId8675" xr:uid="{ED54849B-3550-437C-AEE8-5933AAC45845}"/>
    <hyperlink ref="CA2390" r:id="rId8676" xr:uid="{C37C9778-88E9-4377-9331-B0C499DA198D}"/>
    <hyperlink ref="CD2390" r:id="rId8677" xr:uid="{9AB3663F-CCAE-45B5-87F0-FA58F4A10F97}"/>
    <hyperlink ref="O2391" r:id="rId8678" xr:uid="{E6F1E1E6-9B36-48C7-9B24-689B9F9312B7}"/>
    <hyperlink ref="S2391" r:id="rId8679" xr:uid="{99B5405D-F998-494F-A201-DA2D61028614}"/>
    <hyperlink ref="CA2391" r:id="rId8680" xr:uid="{724213F9-D8B4-43C0-8B04-F9CC863472AB}"/>
    <hyperlink ref="CD2391" r:id="rId8681" xr:uid="{A088CF29-947D-4B88-999A-238A1160CD42}"/>
    <hyperlink ref="O2392" r:id="rId8682" xr:uid="{6A2F7480-444A-4098-85C7-B5825507D002}"/>
    <hyperlink ref="S2392" r:id="rId8683" xr:uid="{BB61815D-1D49-4BC0-9AA5-ED31658D4917}"/>
    <hyperlink ref="CA2392" r:id="rId8684" xr:uid="{5F9FB34E-B109-4949-B02F-323C96153A66}"/>
    <hyperlink ref="CD2392" r:id="rId8685" xr:uid="{C00596A6-3DB4-4E9C-8001-E5967AE09D03}"/>
    <hyperlink ref="O2393" r:id="rId8686" xr:uid="{CBE3D4F4-D7EA-4D95-931E-985FC976ED9F}"/>
    <hyperlink ref="S2393" r:id="rId8687" xr:uid="{CD82F426-E8F7-4023-B6C8-1B503BCB285B}"/>
    <hyperlink ref="BX2393" r:id="rId8688" xr:uid="{EBAF7A65-0440-4A66-B7AD-D3DD615C4ED4}"/>
    <hyperlink ref="CA2393" r:id="rId8689" xr:uid="{8E80C2AB-2F0D-4F76-BB38-78DDA75D2A84}"/>
    <hyperlink ref="CD2393" r:id="rId8690" xr:uid="{2E74D428-DC20-4E1B-9D4F-36A5BEA084D0}"/>
    <hyperlink ref="O2394" r:id="rId8691" xr:uid="{93D82785-A525-4C19-93A1-6469F5D4F85A}"/>
    <hyperlink ref="S2394" r:id="rId8692" xr:uid="{5B91C31A-7823-495D-BEF7-34230F2EE0BC}"/>
    <hyperlink ref="CA2394" r:id="rId8693" xr:uid="{D7980B05-4DFE-44A6-9A51-00C9EBE67DE9}"/>
    <hyperlink ref="CD2394" r:id="rId8694" xr:uid="{C21E7575-480F-4C51-9EA5-538F635504F1}"/>
    <hyperlink ref="O2395" r:id="rId8695" xr:uid="{8DD4FAE1-1CC4-4198-B35E-F42A4E3BC7B9}"/>
    <hyperlink ref="S2395" r:id="rId8696" xr:uid="{7BA1A74F-DF9C-42A3-8140-ECD868889C5D}"/>
    <hyperlink ref="CA2395" r:id="rId8697" xr:uid="{617574BF-5079-43FE-9FA2-200AC6FCF1A7}"/>
    <hyperlink ref="O2396" r:id="rId8698" xr:uid="{36E0A74E-6345-4F71-9313-606E4CFFDBC5}"/>
    <hyperlink ref="S2396" r:id="rId8699" xr:uid="{5F334DA5-90CA-483D-B948-27303AF5EB84}"/>
    <hyperlink ref="CA2396" r:id="rId8700" xr:uid="{BC322A35-86EB-40BD-B2A6-89FE8C82B100}"/>
    <hyperlink ref="O2397" r:id="rId8701" xr:uid="{24F0A3D0-0197-43A1-86F0-BDCA0B2D7ECE}"/>
    <hyperlink ref="S2397" r:id="rId8702" xr:uid="{20DA8489-F3B9-4216-AFB2-07D33CF07FF5}"/>
    <hyperlink ref="CA2397" r:id="rId8703" xr:uid="{9962CE80-5A13-47CC-A688-1A00536D4867}"/>
    <hyperlink ref="O2398" r:id="rId8704" xr:uid="{FA040E0B-1356-4E5B-B387-99701A9A542E}"/>
    <hyperlink ref="S2398" r:id="rId8705" xr:uid="{ABB1DA97-338D-42BB-884D-980E8485229E}"/>
    <hyperlink ref="CA2398" r:id="rId8706" xr:uid="{8F0BF3DE-6361-4DAD-89C3-0DEB18631A14}"/>
    <hyperlink ref="O2399" r:id="rId8707" xr:uid="{6E224E29-5E21-4C18-B796-F938E7C43B84}"/>
    <hyperlink ref="S2399" r:id="rId8708" xr:uid="{8F5CFA64-1A9D-4353-B43C-E3E38527C4F3}"/>
    <hyperlink ref="CA2399" r:id="rId8709" xr:uid="{6322CD3C-6F50-4ADD-96A5-30148D918868}"/>
    <hyperlink ref="O2400" r:id="rId8710" xr:uid="{3747AF1B-20B0-4033-BA45-E01F8E296E99}"/>
    <hyperlink ref="S2400" r:id="rId8711" xr:uid="{57BD6C94-C086-4AF9-98BE-739237B7590A}"/>
    <hyperlink ref="CA2400" r:id="rId8712" xr:uid="{E4B040CC-0801-4584-814C-066E2CAC1E15}"/>
    <hyperlink ref="O2401" r:id="rId8713" xr:uid="{A10E85A0-F65E-4BC7-9BC9-B0320EE5B981}"/>
    <hyperlink ref="S2401" r:id="rId8714" xr:uid="{739E6434-202F-4E64-B546-E5CD888BF147}"/>
    <hyperlink ref="CA2401" r:id="rId8715" xr:uid="{0A26FFA6-7CC1-42A8-8223-478BD1D17C6A}"/>
    <hyperlink ref="O2402" r:id="rId8716" xr:uid="{BE0EC7E9-5388-43B0-B22A-C10D105CC525}"/>
    <hyperlink ref="S2402" r:id="rId8717" xr:uid="{C89C5969-6B0B-4C72-811F-A7C5A8267722}"/>
    <hyperlink ref="CA2402" r:id="rId8718" xr:uid="{A9ABC98C-F0B7-49A7-BCAE-D00CF236DE69}"/>
    <hyperlink ref="O2403" r:id="rId8719" xr:uid="{0AD7D1E7-008A-4302-8DF7-C74EF6E443EA}"/>
    <hyperlink ref="S2403" r:id="rId8720" xr:uid="{6B2E6000-084A-40DA-94EB-4DDF0F698015}"/>
    <hyperlink ref="CA2403" r:id="rId8721" xr:uid="{1095A006-DC15-427E-9CB6-19161F40FFD8}"/>
    <hyperlink ref="O2404" r:id="rId8722" xr:uid="{D8523B53-E886-4215-AA41-47F5C77AE407}"/>
    <hyperlink ref="S2404" r:id="rId8723" xr:uid="{06DBD70A-9D45-457A-BAAF-5988C8685F99}"/>
    <hyperlink ref="CA2404" r:id="rId8724" xr:uid="{16962F63-B1E2-4EBC-A958-B3F536FD3BC3}"/>
    <hyperlink ref="O2405" r:id="rId8725" xr:uid="{0235BA2F-DBAB-4AA3-80E1-7BF07D670321}"/>
    <hyperlink ref="S2405" r:id="rId8726" xr:uid="{C7014D87-1BB2-43D5-B872-6E612EA88BD7}"/>
    <hyperlink ref="CA2405" r:id="rId8727" xr:uid="{4D0003CC-446A-48FB-B986-C64E17C7DEFE}"/>
    <hyperlink ref="O2406" r:id="rId8728" xr:uid="{FF6BED1A-1364-4FB1-96B9-210ED70B06C2}"/>
    <hyperlink ref="S2406" r:id="rId8729" xr:uid="{AB71ACB3-EF4D-4949-8362-C6A62A164F42}"/>
    <hyperlink ref="CA2406" r:id="rId8730" xr:uid="{734CCCC4-3A07-4ABF-A59E-19C2F0D601B8}"/>
    <hyperlink ref="O2407" r:id="rId8731" xr:uid="{B45B4626-6601-48E9-ACF2-76A98FACCA28}"/>
    <hyperlink ref="S2407" r:id="rId8732" xr:uid="{BCB87359-C800-4177-B746-307B53EB710A}"/>
    <hyperlink ref="CA2407" r:id="rId8733" xr:uid="{43DB77E5-0344-453E-939F-595F6F1D1495}"/>
    <hyperlink ref="O2408" r:id="rId8734" xr:uid="{9B624EFF-2BC0-4FA8-B6E6-110A7AB7E14E}"/>
    <hyperlink ref="S2408" r:id="rId8735" xr:uid="{10C48FE0-10FE-4ECE-B75A-8875E7115D92}"/>
    <hyperlink ref="CA2408" r:id="rId8736" xr:uid="{A5973D3A-C469-4771-916F-4F0BCB785CA5}"/>
    <hyperlink ref="O2409" r:id="rId8737" xr:uid="{ECFF089E-240D-43D7-89CF-90620141F850}"/>
    <hyperlink ref="S2409" r:id="rId8738" xr:uid="{22DFD2FD-A626-4214-A886-05794D3F38B8}"/>
    <hyperlink ref="CA2409" r:id="rId8739" xr:uid="{D587ED81-708C-4E35-857F-3AEC9E515EE7}"/>
    <hyperlink ref="O2410" r:id="rId8740" xr:uid="{A8514153-EF4B-4C52-80E2-5BC6CE417E42}"/>
    <hyperlink ref="S2410" r:id="rId8741" xr:uid="{2AB360EE-3636-48A3-8FDE-E747AD3ABE67}"/>
    <hyperlink ref="CA2410" r:id="rId8742" xr:uid="{B7EC0553-8E0B-4C99-89A6-425B7E1F169F}"/>
    <hyperlink ref="O2411" r:id="rId8743" xr:uid="{11F6277D-F72C-4785-94FB-CE331A4046DA}"/>
    <hyperlink ref="S2411" r:id="rId8744" xr:uid="{32DF7FFB-4418-4D29-9F8A-905D12081E23}"/>
    <hyperlink ref="CA2411" r:id="rId8745" xr:uid="{6D211239-00A1-4DFA-A44D-4CEA74FB5970}"/>
    <hyperlink ref="O2412" r:id="rId8746" xr:uid="{4990CDA0-2F95-49E6-AD61-3F028B3AB4FB}"/>
    <hyperlink ref="S2412" r:id="rId8747" xr:uid="{E6F5457A-DFC1-4D54-B235-A3CFA3EA7639}"/>
    <hyperlink ref="CA2412" r:id="rId8748" xr:uid="{F58FC76A-89CF-48B9-AEC9-9C71DF67D19B}"/>
    <hyperlink ref="O2413" r:id="rId8749" xr:uid="{DF0D3AF5-8C9A-40D9-A154-D3685936997C}"/>
    <hyperlink ref="S2413" r:id="rId8750" xr:uid="{B31B63BC-D757-44D8-9D05-C4256B14776B}"/>
    <hyperlink ref="CA2413" r:id="rId8751" xr:uid="{0BA87E8A-A276-4CA7-B01C-1378ACF773A5}"/>
    <hyperlink ref="O2414" r:id="rId8752" xr:uid="{CAF5BCBF-F846-470B-A5AD-CB24C8520663}"/>
    <hyperlink ref="R2414" r:id="rId8753" xr:uid="{A3507591-D023-4D5B-9553-E8C6B24FF6D3}"/>
    <hyperlink ref="S2414" r:id="rId8754" xr:uid="{1EB30FE7-6A21-45FF-8D20-E096D3EF277E}"/>
    <hyperlink ref="CA2414" r:id="rId8755" xr:uid="{C5502E78-BF42-4C30-9471-37143E0160A8}"/>
    <hyperlink ref="CD2414" r:id="rId8756" xr:uid="{208CFF0D-B8E0-4F7B-B197-FD5DCD2C26AB}"/>
    <hyperlink ref="O2415" r:id="rId8757" xr:uid="{04A35559-D7AB-42E4-88A6-472D40C46855}"/>
    <hyperlink ref="S2415" r:id="rId8758" xr:uid="{29658370-867D-4ACE-9676-70A60D0F6C74}"/>
    <hyperlink ref="CA2415" r:id="rId8759" xr:uid="{FF8F4FF1-E658-415A-B082-D2C6C37616A7}"/>
    <hyperlink ref="CD2415" r:id="rId8760" xr:uid="{6B4C322B-E96A-492E-B6FC-913112069049}"/>
    <hyperlink ref="O2416" r:id="rId8761" xr:uid="{C0813406-9093-47BA-B1C9-3807085A0088}"/>
    <hyperlink ref="S2416" r:id="rId8762" xr:uid="{562B6771-9F0A-4E7B-9EF2-E04DD63B0A53}"/>
    <hyperlink ref="CA2416" r:id="rId8763" xr:uid="{E01102EA-AF94-4BDB-86C4-4827C428B67E}"/>
    <hyperlink ref="CD2416" r:id="rId8764" xr:uid="{89DD8A73-E65D-4E3B-988B-E0A97434D6E9}"/>
    <hyperlink ref="O2417" r:id="rId8765" xr:uid="{60A8E8C6-8428-4F0E-9749-C11FA41C2A4E}"/>
    <hyperlink ref="S2417" r:id="rId8766" xr:uid="{C4DA5F51-DFBF-4E90-A7CF-4A823BE82319}"/>
    <hyperlink ref="CA2417" r:id="rId8767" xr:uid="{777BDB00-EB87-4B56-85E1-C6DD740C8519}"/>
    <hyperlink ref="CD2417" r:id="rId8768" xr:uid="{B33CFA56-111F-438C-A8AD-4627B6EE7A4E}"/>
    <hyperlink ref="O2418" r:id="rId8769" xr:uid="{C21DEDCE-9A7A-44E0-B7A3-7776EA94D069}"/>
    <hyperlink ref="S2418" r:id="rId8770" xr:uid="{C63F3447-019D-49F2-92BF-389E13C48E12}"/>
    <hyperlink ref="CA2418" r:id="rId8771" xr:uid="{FA34CF53-1786-4A3F-A95C-06314EEECEE1}"/>
    <hyperlink ref="CD2418" r:id="rId8772" xr:uid="{3CF95B5D-5A92-42B9-B0A9-1C8AEC911D37}"/>
    <hyperlink ref="O2419" r:id="rId8773" xr:uid="{74444973-34B4-48C1-8BAE-F9A79FBC46AD}"/>
    <hyperlink ref="S2419" r:id="rId8774" xr:uid="{EAEBD73C-E854-4FDD-AC70-8EEA087F7EA0}"/>
    <hyperlink ref="CA2419" r:id="rId8775" xr:uid="{9466E5F7-39B6-4868-9AA2-7E1E2B8206C9}"/>
    <hyperlink ref="CD2419" r:id="rId8776" xr:uid="{BAC2D81E-B63E-444D-8591-67E6B91A488C}"/>
    <hyperlink ref="O2420" r:id="rId8777" xr:uid="{ECAE203B-499B-45FD-A93C-F42AB85A0E55}"/>
    <hyperlink ref="S2420" r:id="rId8778" xr:uid="{36202F7D-0269-479B-B1AB-29740ABAF8BA}"/>
    <hyperlink ref="CA2420" r:id="rId8779" xr:uid="{D536E107-5801-4FFB-AABC-DD94CCD75714}"/>
    <hyperlink ref="CD2420" r:id="rId8780" xr:uid="{AE833686-63D1-444C-80C8-7553A2A2DA86}"/>
    <hyperlink ref="O2421" r:id="rId8781" xr:uid="{39964F83-07C4-458B-979F-2BE52B562373}"/>
    <hyperlink ref="S2421" r:id="rId8782" xr:uid="{708834F6-2039-4FE2-9C26-B389768FB424}"/>
    <hyperlink ref="CA2421" r:id="rId8783" xr:uid="{CED1E86A-3802-4234-8F88-112B08904124}"/>
    <hyperlink ref="CD2421" r:id="rId8784" xr:uid="{3AE4B9EB-0ACC-4B73-8387-AB012BEEFDE4}"/>
    <hyperlink ref="O2422" r:id="rId8785" xr:uid="{EA5825C1-2D12-4173-8B04-39FF0BC51BDF}"/>
    <hyperlink ref="S2422" r:id="rId8786" xr:uid="{8194E104-F0C9-4B7E-A930-515380DFE761}"/>
    <hyperlink ref="CA2422" r:id="rId8787" xr:uid="{882ADB1C-20B4-49DC-B194-A1053400680E}"/>
    <hyperlink ref="CD2422" r:id="rId8788" xr:uid="{582E11E1-5871-48E7-8BA7-C8F522E7C4CC}"/>
    <hyperlink ref="O2423" r:id="rId8789" xr:uid="{CA2FF87B-CEDF-4E8F-B43D-2B83B953BDAE}"/>
    <hyperlink ref="S2423" r:id="rId8790" xr:uid="{90552624-E054-4CE4-995D-300E7987AA3F}"/>
    <hyperlink ref="CA2423" r:id="rId8791" xr:uid="{2C345B05-E53E-4024-A10A-02B972D8129D}"/>
    <hyperlink ref="CD2423" r:id="rId8792" xr:uid="{BC37ABA0-9B48-42B1-BFD9-6FAD8EBBA035}"/>
    <hyperlink ref="O2424" r:id="rId8793" xr:uid="{6F5539A4-7E38-4775-BFC7-9002DD5E7B8D}"/>
    <hyperlink ref="S2424" r:id="rId8794" xr:uid="{BF672D6C-BF0B-4B5B-9695-282BBDBFE50A}"/>
    <hyperlink ref="T2424" r:id="rId8795" xr:uid="{0E284F41-FDCD-4AC8-B4B4-CA3DE5D7A290}"/>
    <hyperlink ref="CA2424" r:id="rId8796" xr:uid="{EBE11DF5-A516-455E-9774-D7904FBFA263}"/>
    <hyperlink ref="CB2424" r:id="rId8797" xr:uid="{AB16D422-F7C2-4842-8C24-6655445D3F10}"/>
    <hyperlink ref="CD2424" r:id="rId8798" xr:uid="{AB896E87-231A-4044-B091-E60899A22786}"/>
    <hyperlink ref="O2425" r:id="rId8799" xr:uid="{4C52C3D4-C53C-4746-8874-33EEF6398229}"/>
    <hyperlink ref="S2425" r:id="rId8800" xr:uid="{BD924697-E01E-4830-9A4F-285A74B72EF6}"/>
    <hyperlink ref="CA2425" r:id="rId8801" xr:uid="{CFB0D2E6-AC0E-434B-8F29-8F7DFE6563B8}"/>
    <hyperlink ref="CD2425" r:id="rId8802" xr:uid="{036B1FEC-A89D-4A8B-8542-64BBFD38D28F}"/>
    <hyperlink ref="O2426" r:id="rId8803" xr:uid="{AE5B1399-81CF-4709-B90C-6A3B457C90E5}"/>
    <hyperlink ref="S2426" r:id="rId8804" xr:uid="{BF56E4AA-8D2B-43BD-92A5-AA9C2786AF6B}"/>
    <hyperlink ref="CA2426" r:id="rId8805" xr:uid="{685DB52F-FC72-40DC-8C83-FD3458B2B7F6}"/>
    <hyperlink ref="CD2426" r:id="rId8806" xr:uid="{287ADCFC-9171-48EA-9E99-1032627A8DF5}"/>
    <hyperlink ref="O2427" r:id="rId8807" xr:uid="{AADE5AE9-5698-4BC7-9E0C-F0E23AD911A9}"/>
    <hyperlink ref="S2427" r:id="rId8808" xr:uid="{5AABCA9B-2D75-42BD-B662-7C5CFEB83160}"/>
    <hyperlink ref="T2427" r:id="rId8809" xr:uid="{A82B5C1C-D189-4352-A909-125DC5C3BC31}"/>
    <hyperlink ref="CA2427" r:id="rId8810" xr:uid="{5FA48149-7E8A-45EC-BBBB-B8B498B78FB1}"/>
    <hyperlink ref="CB2427" r:id="rId8811" xr:uid="{5B090191-5390-42BA-829B-C358E7BB1D21}"/>
    <hyperlink ref="CD2427" r:id="rId8812" xr:uid="{B3587BC8-A25A-4512-9B61-35A9F72EF6E9}"/>
    <hyperlink ref="O2428" r:id="rId8813" xr:uid="{0BC35A40-6C46-4502-BE4A-464D1F6BE3FD}"/>
    <hyperlink ref="S2428" r:id="rId8814" xr:uid="{EFA8FB12-C3A8-4E7B-9DD2-3C90A82C2E48}"/>
    <hyperlink ref="T2428" r:id="rId8815" xr:uid="{FAEA907A-F7DA-404B-A4A7-E66D875C49A1}"/>
    <hyperlink ref="CA2428" r:id="rId8816" xr:uid="{BC9E7644-C1C3-46F8-B448-DA163ADD7F8C}"/>
    <hyperlink ref="CB2428" r:id="rId8817" xr:uid="{A8D1BC4B-59CA-4603-8FFE-BBD7F3D85B7C}"/>
    <hyperlink ref="O2429" r:id="rId8818" xr:uid="{DAA448A6-989E-495A-A5D6-5485BDE3CC90}"/>
    <hyperlink ref="S2429" r:id="rId8819" xr:uid="{BD5C48E9-7AEB-4B93-A539-FE7C4DA66D2E}"/>
    <hyperlink ref="T2429" r:id="rId8820" xr:uid="{D0308661-575D-409C-B843-B2CEC4DFF333}"/>
    <hyperlink ref="CA2429" r:id="rId8821" xr:uid="{CA9F46EA-E0A8-4B20-BB18-C7D25D0FB873}"/>
    <hyperlink ref="CB2429" r:id="rId8822" xr:uid="{5C28FB18-FADE-4216-9B20-5FAEABE49A9F}"/>
    <hyperlink ref="O2430" r:id="rId8823" xr:uid="{F5394DFE-2462-495E-BD45-E23233E75EC9}"/>
    <hyperlink ref="S2430" r:id="rId8824" xr:uid="{1FB2C656-E0D6-4A25-B095-944AC95A38A9}"/>
    <hyperlink ref="T2430" r:id="rId8825" xr:uid="{08C2DC7D-11D8-4360-926F-2A002C3E1775}"/>
    <hyperlink ref="CA2430" r:id="rId8826" xr:uid="{23890FB5-498B-4F0B-A64D-57CB8D9EDDEF}"/>
    <hyperlink ref="CB2430" r:id="rId8827" xr:uid="{BADAD267-4375-42E9-940C-59752A23077D}"/>
    <hyperlink ref="O2431" r:id="rId8828" xr:uid="{0B5F1E96-A6EE-4A25-B9CB-9390339A1169}"/>
    <hyperlink ref="S2431" r:id="rId8829" xr:uid="{3975D5E5-EE38-44D5-B526-25ADC6CD243A}"/>
    <hyperlink ref="T2431" r:id="rId8830" xr:uid="{3DF8EE8E-5531-40BF-9C52-01994F43CCA4}"/>
    <hyperlink ref="CA2431" r:id="rId8831" xr:uid="{5B336DB2-3739-4431-B234-AD8001CA3631}"/>
    <hyperlink ref="CB2431" r:id="rId8832" xr:uid="{0BF9C482-6D95-4CF2-B22C-5902B026D81B}"/>
    <hyperlink ref="O2432" r:id="rId8833" xr:uid="{279B782B-77F0-4490-B8FD-D655C9C56239}"/>
    <hyperlink ref="S2432" r:id="rId8834" xr:uid="{87B25041-5D59-4D18-923B-3CAB70B2A8AE}"/>
    <hyperlink ref="CA2432" r:id="rId8835" xr:uid="{27229427-30FF-4083-809A-BBB73EB7A9E3}"/>
    <hyperlink ref="CD2432" r:id="rId8836" xr:uid="{0A3072BA-E1A0-4114-8691-A5D77C2EFDA1}"/>
    <hyperlink ref="O2434" r:id="rId8837" xr:uid="{01CDECBB-935F-468F-804F-E59AC35A616D}"/>
    <hyperlink ref="S2434" r:id="rId8838" xr:uid="{04B6A44A-89C9-47DD-A78D-300418B519FD}"/>
    <hyperlink ref="CA2434" r:id="rId8839" xr:uid="{0FB918BB-A786-41EF-8015-AE4D9E1393AF}"/>
    <hyperlink ref="CD2434" r:id="rId8840" xr:uid="{F94946AD-14FA-4574-B8C0-2D794F416BC1}"/>
    <hyperlink ref="O2436" r:id="rId8841" xr:uid="{916315D5-B01B-4FC1-B438-2D67D59F64E2}"/>
    <hyperlink ref="S2436" r:id="rId8842" xr:uid="{B8070C4F-CE5A-4E1D-A6C0-31DACA3EB8E3}"/>
    <hyperlink ref="CA2436" r:id="rId8843" xr:uid="{5459E006-D22E-4678-B029-633D2578AD04}"/>
    <hyperlink ref="CD2436" r:id="rId8844" xr:uid="{4E8AB77C-B3B2-40F4-8356-7A0350FA5991}"/>
    <hyperlink ref="O2437" r:id="rId8845" xr:uid="{9344B018-C8CF-42F3-83C9-47E6369023D0}"/>
    <hyperlink ref="S2437" r:id="rId8846" xr:uid="{C200C185-F8CB-499E-9B08-D19BC6DFF7CD}"/>
    <hyperlink ref="CA2437" r:id="rId8847" xr:uid="{92C6BC25-1365-4B91-B026-4A18910A249A}"/>
    <hyperlink ref="CD2437" r:id="rId8848" xr:uid="{50920CE5-17D2-4009-ACB2-C229333270B5}"/>
    <hyperlink ref="O2439" r:id="rId8849" xr:uid="{B54C5D5E-C183-43F4-98A4-21CB7EEF34BB}"/>
    <hyperlink ref="S2439" r:id="rId8850" xr:uid="{E7462FED-4AD3-41D8-9AC6-B39F81DC4DDF}"/>
    <hyperlink ref="CA2439" r:id="rId8851" xr:uid="{179C93A5-2A94-47E6-B433-E40A641237FD}"/>
    <hyperlink ref="CD2439" r:id="rId8852" xr:uid="{F22C9D4E-313A-4EE8-B2D6-686CA2AF49FE}"/>
    <hyperlink ref="O2440" r:id="rId8853" xr:uid="{466F5B74-2BAC-4ECE-9DB9-4B62AEDB9982}"/>
    <hyperlink ref="S2440" r:id="rId8854" xr:uid="{4C1CBFCD-C39F-4283-8797-ADF797099E00}"/>
    <hyperlink ref="CA2440" r:id="rId8855" xr:uid="{A805C3C5-6906-453B-9E97-D03D0472FE21}"/>
    <hyperlink ref="CD2440" r:id="rId8856" xr:uid="{1F8CBAC1-8F48-467E-B8D9-21C073987E78}"/>
    <hyperlink ref="O2442" r:id="rId8857" xr:uid="{32F1A09E-8D93-450A-858A-D8D7126DAC33}"/>
    <hyperlink ref="S2442" r:id="rId8858" xr:uid="{F22BDFF6-89A3-4615-8BDB-5494364BE678}"/>
    <hyperlink ref="CA2442" r:id="rId8859" xr:uid="{1C1FCFCF-6D54-43DC-B61E-22C983493721}"/>
    <hyperlink ref="CD2442" r:id="rId8860" xr:uid="{014D7B17-5FA0-4048-B027-E4A801CDC267}"/>
    <hyperlink ref="O2444" r:id="rId8861" xr:uid="{7162ADBE-61F5-4DA8-A65A-41A8593B4E2C}"/>
    <hyperlink ref="S2444" r:id="rId8862" xr:uid="{621A9701-4450-4893-8DD2-6BD5C1BEB9EA}"/>
    <hyperlink ref="CA2444" r:id="rId8863" xr:uid="{D0BE931E-182B-4E90-A68E-B95A9B187128}"/>
    <hyperlink ref="CD2444" r:id="rId8864" xr:uid="{08B9EBAD-69F6-4E2D-9125-7740B247AF94}"/>
    <hyperlink ref="O2446" r:id="rId8865" xr:uid="{1696ECA3-C930-4425-A0F3-F28415E21FD3}"/>
    <hyperlink ref="S2446" r:id="rId8866" xr:uid="{E8CCDB10-FC76-4370-9213-428539BC7E54}"/>
    <hyperlink ref="CA2446" r:id="rId8867" xr:uid="{3B8DF565-8E62-4168-AE40-7A2C9673EA2B}"/>
    <hyperlink ref="CD2446" r:id="rId8868" xr:uid="{FAEEC89E-4813-482F-AD3F-2BFD367F21AE}"/>
    <hyperlink ref="O2449" r:id="rId8869" xr:uid="{3F5002D9-952B-402F-96FE-4DCF35F5DB1C}"/>
    <hyperlink ref="S2449" r:id="rId8870" xr:uid="{6DA52977-C202-4E24-82CE-1483EBD5958B}"/>
    <hyperlink ref="CA2449" r:id="rId8871" xr:uid="{957A6D47-C4B1-4310-8C48-B2C5B7E85AB6}"/>
    <hyperlink ref="CD2449" r:id="rId8872" xr:uid="{44D29B64-4521-4BB5-9E37-8168B1ED23A2}"/>
    <hyperlink ref="O2451" r:id="rId8873" xr:uid="{79809697-9F06-450A-9C55-DB4A34644996}"/>
    <hyperlink ref="S2451" r:id="rId8874" xr:uid="{AE626E64-D5D1-4BF6-A051-9FF353446088}"/>
    <hyperlink ref="CA2451" r:id="rId8875" xr:uid="{9F67B87B-922C-4792-8CEF-AF729CB47486}"/>
    <hyperlink ref="CD2451" r:id="rId8876" xr:uid="{EF612D8C-14D3-4A89-A531-A602B61EBD06}"/>
    <hyperlink ref="O2454" r:id="rId8877" xr:uid="{EEC67B69-64DE-4AA9-BB7A-68BD90E34510}"/>
    <hyperlink ref="S2454" r:id="rId8878" xr:uid="{068CA423-F221-4F91-A0FE-8B93E62D5AC9}"/>
    <hyperlink ref="CA2454" r:id="rId8879" xr:uid="{E4EB89B5-1A83-4666-9AAB-3E52F7323295}"/>
    <hyperlink ref="CD2454" r:id="rId8880" xr:uid="{BF671376-7107-4039-8275-9AE8FB046F5F}"/>
    <hyperlink ref="O2455" r:id="rId8881" xr:uid="{D2E42E83-78A7-4152-933F-C3CD672D13D7}"/>
    <hyperlink ref="S2455" r:id="rId8882" xr:uid="{4D110FA7-65BD-49BC-BB50-97AA175CDBED}"/>
    <hyperlink ref="CA2455" r:id="rId8883" xr:uid="{ABFC5D95-70C1-47CA-A74A-03285542B2E6}"/>
    <hyperlink ref="CB2455" r:id="rId8884" xr:uid="{43B13EDE-026F-4FB3-8A9D-FA8065D28B8A}"/>
    <hyperlink ref="CD2455" r:id="rId8885" xr:uid="{CFDB8B80-73DB-491B-A22C-76960BA03737}"/>
    <hyperlink ref="O2456" r:id="rId8886" xr:uid="{087386A9-3AD3-4365-BF69-BCA0A4FE524A}"/>
    <hyperlink ref="S2456" r:id="rId8887" xr:uid="{ABED0D0F-2AAA-44E3-B93A-AF658CC110FD}"/>
    <hyperlink ref="CA2456" r:id="rId8888" xr:uid="{6FB4105A-80B9-45B5-9FBF-D01EFD482D28}"/>
    <hyperlink ref="CB2456" r:id="rId8889" xr:uid="{73F82764-E7B9-4C42-8E25-CF64F8975243}"/>
    <hyperlink ref="CD2456" r:id="rId8890" xr:uid="{1F2DCECB-24FC-412B-B668-567D1A3A92F5}"/>
    <hyperlink ref="O2457" r:id="rId8891" xr:uid="{E855DE92-956F-4475-967E-8E6BCFA9A67D}"/>
    <hyperlink ref="S2457" r:id="rId8892" xr:uid="{53E5334C-4226-456D-AE74-3BAD8B54EFAB}"/>
    <hyperlink ref="CA2457" r:id="rId8893" xr:uid="{FCB8A095-D4AA-4FDD-8889-B97332E8977E}"/>
    <hyperlink ref="CB2457" r:id="rId8894" xr:uid="{4E69A7DF-6E71-4C65-8EE3-D7FF78161BDD}"/>
    <hyperlink ref="CD2457" r:id="rId8895" xr:uid="{5AAFB3FF-7450-4463-A128-20120A29F282}"/>
    <hyperlink ref="O2458" r:id="rId8896" xr:uid="{E2EBDA87-C9E8-44B2-AF8D-6544834C911D}"/>
    <hyperlink ref="S2458" r:id="rId8897" xr:uid="{DCB187B7-4587-4F1E-9980-5195365EBA90}"/>
    <hyperlink ref="CA2458" r:id="rId8898" xr:uid="{8885C7AC-7864-4594-A568-5B6F43FED814}"/>
    <hyperlink ref="CB2458" r:id="rId8899" xr:uid="{0D37252F-9499-4CE5-A755-F5BE12A7B61E}"/>
    <hyperlink ref="CD2458" r:id="rId8900" xr:uid="{8B3B4EBC-C7A6-43B3-A8CE-96460DD8E6A8}"/>
    <hyperlink ref="O2459" r:id="rId8901" xr:uid="{616B67BC-D101-4C9E-828C-D6CEB4FD6C32}"/>
    <hyperlink ref="S2459" r:id="rId8902" xr:uid="{2B1EA650-C25B-42E9-B387-A5F514E9D8D5}"/>
    <hyperlink ref="CA2459" r:id="rId8903" xr:uid="{5E04AF5E-BE7D-4246-B458-6EA021602E2A}"/>
    <hyperlink ref="CB2459" r:id="rId8904" xr:uid="{A5A2B81D-8418-4FF9-B64C-994CA1B646D8}"/>
    <hyperlink ref="CD2459" r:id="rId8905" xr:uid="{61081BC7-F7FC-439C-88D4-30575C766860}"/>
    <hyperlink ref="O2460" r:id="rId8906" xr:uid="{FCE7FA4A-C92D-4404-93F9-392B9DA01F25}"/>
    <hyperlink ref="S2460" r:id="rId8907" xr:uid="{949D8507-92B5-4C88-BA17-40ECFD560AEF}"/>
    <hyperlink ref="CA2460" r:id="rId8908" xr:uid="{AE81B7F8-AE3B-4AAD-AE7C-583C10016B04}"/>
    <hyperlink ref="CB2460" r:id="rId8909" xr:uid="{BC793551-4B8D-4247-A33B-577C02413C52}"/>
    <hyperlink ref="CD2460" r:id="rId8910" xr:uid="{A3B5CB8C-FF28-44DB-A163-8F8B3552A1E8}"/>
    <hyperlink ref="O2461" r:id="rId8911" xr:uid="{614CCB6E-75C7-4766-AE21-99B46310ECC1}"/>
    <hyperlink ref="S2461" r:id="rId8912" xr:uid="{817C9151-AF9A-4F8A-AAF1-762666404DCC}"/>
    <hyperlink ref="CA2461" r:id="rId8913" xr:uid="{C5448C6F-B8DD-49F5-B4FF-2CA3CF90E1E2}"/>
    <hyperlink ref="CB2461" r:id="rId8914" xr:uid="{5EBDD065-94E6-469E-8FFE-22AFB477BA31}"/>
    <hyperlink ref="CD2461" r:id="rId8915" xr:uid="{AFEB97BB-8252-47F1-A942-4EC94EBBD50E}"/>
    <hyperlink ref="O2462" r:id="rId8916" xr:uid="{5A72438F-A91B-42F3-9F4D-2D641E5DC72E}"/>
    <hyperlink ref="S2462" r:id="rId8917" xr:uid="{2FB1AB66-5154-4A8C-B9EA-15430D0DF05F}"/>
    <hyperlink ref="CA2462" r:id="rId8918" xr:uid="{8259343B-7E84-4EF6-B58B-2B7765ACF4C9}"/>
    <hyperlink ref="CB2462" r:id="rId8919" xr:uid="{140712E5-CA29-4D24-B369-C6270DEE49AE}"/>
    <hyperlink ref="CD2462" r:id="rId8920" xr:uid="{48B0339A-0AE1-4FA4-9D7F-5F2623272671}"/>
    <hyperlink ref="O2463" r:id="rId8921" xr:uid="{BA2DDBA0-D3C3-479A-A29D-A70955713100}"/>
    <hyperlink ref="S2463" r:id="rId8922" xr:uid="{DA451D19-59D7-4DD4-922B-57C043A5022C}"/>
    <hyperlink ref="CA2463" r:id="rId8923" xr:uid="{33634A5D-5E31-4050-82D1-C5EA83790279}"/>
    <hyperlink ref="CB2463" r:id="rId8924" xr:uid="{EF2FCAFE-B90C-4D41-91C9-C2F590DAD286}"/>
    <hyperlink ref="O2464" r:id="rId8925" xr:uid="{80669FD8-FCE3-4286-AA99-32BC37AAFEB7}"/>
    <hyperlink ref="S2464" r:id="rId8926" xr:uid="{5FE0BD19-12A8-4182-8D1B-8165214212BD}"/>
    <hyperlink ref="CA2464" r:id="rId8927" xr:uid="{5DE92FBF-7BD1-415C-B3E1-111A0EB07F60}"/>
    <hyperlink ref="CB2464" r:id="rId8928" xr:uid="{C475EDAE-AE43-452B-85F3-8431C4C887C7}"/>
    <hyperlink ref="CD2464" r:id="rId8929" xr:uid="{F0455DC1-0F50-4843-9E34-A399AA584FA6}"/>
    <hyperlink ref="O2465" r:id="rId8930" xr:uid="{E58E4DD3-70D0-4D0B-8088-AEA18B038BB4}"/>
    <hyperlink ref="S2465" r:id="rId8931" xr:uid="{B9CB9578-987D-4A68-9B1E-E47E60FC1033}"/>
    <hyperlink ref="T2465" r:id="rId8932" xr:uid="{FF67CCF5-FC27-442E-8EBC-E04DF23ABD68}"/>
    <hyperlink ref="CA2465" r:id="rId8933" xr:uid="{F95D8820-1CA5-4933-B68D-FB31D60CEC8E}"/>
    <hyperlink ref="CB2465" r:id="rId8934" xr:uid="{F23F42DF-F167-4211-9474-924C027F8549}"/>
    <hyperlink ref="CD2465" r:id="rId8935" xr:uid="{E161F4EE-0B08-41D0-BB14-9300788B07AF}"/>
    <hyperlink ref="O2466" r:id="rId8936" xr:uid="{7AF40A65-7446-4AF2-BABD-60395533980D}"/>
    <hyperlink ref="S2466" r:id="rId8937" xr:uid="{0C032708-5C05-4D7E-A53D-C981018950D6}"/>
    <hyperlink ref="T2466" r:id="rId8938" xr:uid="{556D8BA2-C9AB-45E0-BFB5-561070C39084}"/>
    <hyperlink ref="CA2466" r:id="rId8939" xr:uid="{1CF94D27-ABCF-48A8-AB8D-3DD957D5440A}"/>
    <hyperlink ref="CB2466" r:id="rId8940" xr:uid="{70EF5AA5-CAD6-4C29-B7DE-87EE96B61AA7}"/>
    <hyperlink ref="CD2466" r:id="rId8941" xr:uid="{766A8570-45B1-4713-AE4D-C4D3E659A912}"/>
    <hyperlink ref="O2467" r:id="rId8942" xr:uid="{5350BC80-8F2E-470A-A3B8-B1DBF7C66040}"/>
    <hyperlink ref="S2467" r:id="rId8943" xr:uid="{B6481723-3BDE-4058-885A-CBC6F50B04DC}"/>
    <hyperlink ref="T2467" r:id="rId8944" xr:uid="{479EE362-152A-4767-957E-07D3BF718272}"/>
    <hyperlink ref="CA2467" r:id="rId8945" xr:uid="{CF9C0959-1315-431E-804E-30AEA64E8E0E}"/>
    <hyperlink ref="CB2467" r:id="rId8946" xr:uid="{C13D2EEE-AF95-420C-91CF-F98106371000}"/>
    <hyperlink ref="CD2467" r:id="rId8947" xr:uid="{31A38587-BB9B-411C-8FB5-BE98E4614181}"/>
    <hyperlink ref="O2468" r:id="rId8948" xr:uid="{5893B9A1-A23B-439D-AAC7-512E48DA7FFC}"/>
    <hyperlink ref="S2468" r:id="rId8949" xr:uid="{638F5967-9B9C-4661-AD4B-26A8942C540B}"/>
    <hyperlink ref="CA2468" r:id="rId8950" xr:uid="{18051A82-7416-4DD8-AA52-903533C00205}"/>
    <hyperlink ref="O2469" r:id="rId8951" xr:uid="{174CD2F3-870F-48CB-B99E-EEE48FB72584}"/>
    <hyperlink ref="S2469" r:id="rId8952" xr:uid="{61FF6A02-755C-45AB-A2E2-BDFAB16CB6FD}"/>
    <hyperlink ref="CA2469" r:id="rId8953" xr:uid="{97E89DA6-A699-4BE6-9E97-BBE33936752B}"/>
    <hyperlink ref="CD2469" r:id="rId8954" xr:uid="{781009D8-7431-48FA-8C5B-763C90679B8C}"/>
    <hyperlink ref="O2470" r:id="rId8955" xr:uid="{41D5D403-63D3-4EA0-B5CA-DBA926D81831}"/>
    <hyperlink ref="R2470" r:id="rId8956" xr:uid="{005B4C43-1167-40CE-A48D-C4F496A9BFFF}"/>
    <hyperlink ref="S2470" r:id="rId8957" xr:uid="{93D61E7F-A5F5-4A30-AB00-13B2984250C2}"/>
    <hyperlink ref="CA2470" r:id="rId8958" xr:uid="{7CC16014-BD06-4A99-A460-13839F34DDA6}"/>
    <hyperlink ref="CD2470" r:id="rId8959" xr:uid="{C76633B4-5A22-4FB2-AF0C-6B493D31D9BE}"/>
    <hyperlink ref="O2471" r:id="rId8960" xr:uid="{430777CC-07C3-4C47-870F-D2168CD143BD}"/>
    <hyperlink ref="S2471" r:id="rId8961" xr:uid="{8BF4D2E6-B394-4944-A543-F512C1CCB980}"/>
    <hyperlink ref="T2471" r:id="rId8962" xr:uid="{0B54D0B1-2A53-4825-8435-99069C642969}"/>
    <hyperlink ref="CA2471" r:id="rId8963" xr:uid="{31B1EFE9-318E-4454-AFA4-3B9E97D7F7C8}"/>
    <hyperlink ref="CB2471" r:id="rId8964" xr:uid="{747B7AC8-0C55-4573-8F93-4878570201B1}"/>
    <hyperlink ref="CD2471" r:id="rId8965" xr:uid="{5C22B713-1525-40CD-BDC0-EC987A4BDA7B}"/>
    <hyperlink ref="O2472" r:id="rId8966" xr:uid="{CF334B5E-7F44-4DAB-B418-DB57EFB0A69E}"/>
    <hyperlink ref="S2472" r:id="rId8967" xr:uid="{275F44E0-FB5E-4509-9F7F-248F0F3C62E4}"/>
    <hyperlink ref="T2472" r:id="rId8968" xr:uid="{D3A97E1C-0496-4591-B947-885A006E62DD}"/>
    <hyperlink ref="CA2472" r:id="rId8969" xr:uid="{DAF60781-7DC9-4BC7-B4B5-29C0EF098BAD}"/>
    <hyperlink ref="CB2472" r:id="rId8970" xr:uid="{74AB5F21-DFBB-441C-965A-E937E79D1417}"/>
    <hyperlink ref="CD2472" r:id="rId8971" xr:uid="{63ABD11A-89E1-4352-95C6-6F387E7A359F}"/>
    <hyperlink ref="O2473" r:id="rId8972" xr:uid="{F8B841E5-1B43-44C9-8FD9-CB767663B095}"/>
    <hyperlink ref="S2473" r:id="rId8973" xr:uid="{0B982DF1-1BD4-439E-8305-DAB42A90C9F7}"/>
    <hyperlink ref="T2473" r:id="rId8974" xr:uid="{BC6FD012-37C9-4F7E-A12F-3218EC300AEA}"/>
    <hyperlink ref="CA2473" r:id="rId8975" xr:uid="{6A779687-0F1B-4712-A4E6-7193E145C1E9}"/>
    <hyperlink ref="CB2473" r:id="rId8976" xr:uid="{D93A9B98-AB6F-4AB6-8B00-415430962843}"/>
    <hyperlink ref="CD2473" r:id="rId8977" xr:uid="{7D5C115E-CA34-44D2-A9C1-9746832D37C8}"/>
    <hyperlink ref="O2474" r:id="rId8978" xr:uid="{D9E104CA-9BB6-4E31-88C4-6C6329944DC5}"/>
    <hyperlink ref="S2474" r:id="rId8979" xr:uid="{565CB63F-ADFB-49E6-B690-2EC3E1C40C6F}"/>
    <hyperlink ref="T2474" r:id="rId8980" xr:uid="{BAE38116-BBCE-444E-BE82-362549A0F5FD}"/>
    <hyperlink ref="CA2474" r:id="rId8981" xr:uid="{4D66EF88-7996-409D-9608-EDF9197F2A31}"/>
    <hyperlink ref="CB2474" r:id="rId8982" xr:uid="{35096DE2-30DB-4FD0-9F21-C7B44B69D4D7}"/>
    <hyperlink ref="CD2474" r:id="rId8983" xr:uid="{8DC7A72B-64ED-4560-8CE5-7A799D453025}"/>
    <hyperlink ref="O2475" r:id="rId8984" xr:uid="{326806CC-2198-451E-A24C-E9ADA41D7487}"/>
    <hyperlink ref="S2475" r:id="rId8985" xr:uid="{CD3B2952-5512-4EFD-85AD-3827C5B00D91}"/>
    <hyperlink ref="T2475" r:id="rId8986" xr:uid="{E9434C62-92A6-4B0A-916D-A04B9384559E}"/>
    <hyperlink ref="CA2475" r:id="rId8987" xr:uid="{6697BCC4-A20C-475E-AC69-CA697EF9628D}"/>
    <hyperlink ref="CB2475" r:id="rId8988" xr:uid="{E6351697-B3FF-40F5-ACCA-0335D583266E}"/>
    <hyperlink ref="CD2475" r:id="rId8989" xr:uid="{C0310E50-E779-4F41-A5AC-EC0B655F34D5}"/>
    <hyperlink ref="O2476" r:id="rId8990" xr:uid="{B232F9ED-64AD-42D5-83F7-C343C22CA11D}"/>
    <hyperlink ref="S2476" r:id="rId8991" xr:uid="{8C0C1D5C-B97C-416F-8E18-D771FE43226C}"/>
    <hyperlink ref="T2476" r:id="rId8992" xr:uid="{6896305E-FC11-4742-8E6B-33F29BE5467B}"/>
    <hyperlink ref="CA2476" r:id="rId8993" xr:uid="{4EB3BD0F-C33C-462C-B4A9-B4329EFCFE35}"/>
    <hyperlink ref="CB2476" r:id="rId8994" xr:uid="{C0FF6E67-9E5C-47FE-905E-44C43306B0E9}"/>
    <hyperlink ref="CD2476" r:id="rId8995" xr:uid="{025EAA40-B6E8-44CC-B8F6-F1FB2BBF299E}"/>
    <hyperlink ref="O2477" r:id="rId8996" xr:uid="{9CD16B34-C3B3-43B3-8BCF-ADC38AFAF98F}"/>
    <hyperlink ref="S2477" r:id="rId8997" xr:uid="{9C9AF61E-743C-4746-8707-43518BFB0409}"/>
    <hyperlink ref="T2477" r:id="rId8998" xr:uid="{B00D9648-2596-4DD6-AFDF-45F8F572AEC9}"/>
    <hyperlink ref="CA2477" r:id="rId8999" xr:uid="{7B6E086D-D938-4778-A690-2E035ABFA78E}"/>
    <hyperlink ref="CB2477" r:id="rId9000" xr:uid="{B28CF9E4-0B2A-41AD-A95F-8BB2E31ECA21}"/>
    <hyperlink ref="CD2477" r:id="rId9001" xr:uid="{A46F1652-2315-4F62-BD8F-32A9F1F3672F}"/>
    <hyperlink ref="O2478" r:id="rId9002" xr:uid="{B94C811E-A008-4A98-A954-6F180586DAC6}"/>
    <hyperlink ref="S2478" r:id="rId9003" xr:uid="{BD39AE5B-6D80-4B83-860F-4D6C3A691F5C}"/>
    <hyperlink ref="T2478" r:id="rId9004" xr:uid="{6E60FF70-5CEF-4481-AD5F-B7C951D01753}"/>
    <hyperlink ref="CA2478" r:id="rId9005" xr:uid="{B31832D0-FE2F-4A23-A447-9E52843BD220}"/>
    <hyperlink ref="CB2478" r:id="rId9006" xr:uid="{F47B6357-BC0C-45AD-8495-425EA41359A5}"/>
    <hyperlink ref="CD2478" r:id="rId9007" xr:uid="{54DEC351-C421-4ABD-ABFB-A4B190528322}"/>
    <hyperlink ref="O2479" r:id="rId9008" xr:uid="{4A1ADCD8-7EAB-4C59-A75E-D225AFA1D3B5}"/>
    <hyperlink ref="S2479" r:id="rId9009" xr:uid="{6D03C2BF-580C-4738-9B4D-3017757FCBEC}"/>
    <hyperlink ref="CA2479" r:id="rId9010" xr:uid="{EA92CA26-0D0E-4118-9920-21C71C2881B9}"/>
    <hyperlink ref="O2480" r:id="rId9011" xr:uid="{11BDFB1B-D26C-456F-933A-F125AE8A84BC}"/>
    <hyperlink ref="S2480" r:id="rId9012" xr:uid="{C6BDE2E0-02EE-4D7F-AFDF-DF98BDD64612}"/>
    <hyperlink ref="CA2480" r:id="rId9013" xr:uid="{B558E6C5-DEDF-4350-BE3A-CF0AA10C9DEC}"/>
    <hyperlink ref="O2481" r:id="rId9014" xr:uid="{89351298-0F8B-4C84-9492-5D48B252FB83}"/>
    <hyperlink ref="S2481" r:id="rId9015" xr:uid="{FF4411A0-6CBA-42CA-A1F6-65841E8DAB1E}"/>
    <hyperlink ref="CA2481" r:id="rId9016" xr:uid="{7DCECB3E-A087-4FD2-B097-E96310535541}"/>
    <hyperlink ref="O2482" r:id="rId9017" xr:uid="{F9D17BFC-1D2F-43B4-A93A-B7B77E165227}"/>
    <hyperlink ref="S2482" r:id="rId9018" xr:uid="{1137F0EB-E788-4CB1-943D-4C6E4BBBB451}"/>
    <hyperlink ref="T2482" r:id="rId9019" xr:uid="{3B567F45-B0C3-4DA9-A774-1592B47FF76F}"/>
    <hyperlink ref="CA2482" r:id="rId9020" xr:uid="{BAFEDEAD-6306-4A44-8A2A-001688C1B253}"/>
    <hyperlink ref="CB2482" r:id="rId9021" xr:uid="{D8917384-B166-493A-9D80-17FE19E11A21}"/>
    <hyperlink ref="O2483" r:id="rId9022" xr:uid="{AF663A31-FE34-420D-B8F8-51D23744F65C}"/>
    <hyperlink ref="S2483" r:id="rId9023" xr:uid="{6A0DD05B-9DE8-410D-8EC1-28C4FCF9F2D2}"/>
    <hyperlink ref="CA2483" r:id="rId9024" xr:uid="{3B4EC2A6-4145-4D6A-AA32-4D57C1489EB9}"/>
    <hyperlink ref="CD2483" r:id="rId9025" xr:uid="{E147DE3E-4D6D-4AA6-9EB3-5268E7F25EFF}"/>
    <hyperlink ref="O2484" r:id="rId9026" xr:uid="{174DB4BC-4B48-4C0F-B169-1E836770F556}"/>
    <hyperlink ref="S2484" r:id="rId9027" xr:uid="{113BE87F-711E-4099-80EA-7176BA947CCA}"/>
    <hyperlink ref="CA2484" r:id="rId9028" xr:uid="{DFAB49DB-D103-4FBB-8C25-70369B31A372}"/>
    <hyperlink ref="CD2484" r:id="rId9029" xr:uid="{00BD8BAE-A0D1-41C5-9517-BC61D696A9BC}"/>
    <hyperlink ref="O2485" r:id="rId9030" xr:uid="{7642519A-401D-4A27-A9FB-C963552E1526}"/>
    <hyperlink ref="S2485" r:id="rId9031" xr:uid="{C738E71C-B7C4-42E2-9DB4-D54EFE311440}"/>
    <hyperlink ref="CA2485" r:id="rId9032" xr:uid="{6B2BAF1C-B47A-42E7-9071-75E16F547A33}"/>
    <hyperlink ref="CD2485" r:id="rId9033" xr:uid="{1995A269-D650-48F3-A331-11CA3C221772}"/>
    <hyperlink ref="O2486" r:id="rId9034" xr:uid="{580C50D3-B77B-46B2-8135-11D34CAB7C84}"/>
    <hyperlink ref="S2486" r:id="rId9035" xr:uid="{34E9233A-19D5-485E-A5C8-AAC94A4D2A4F}"/>
    <hyperlink ref="CA2486" r:id="rId9036" xr:uid="{CE66EA1B-C953-4EF0-95F3-0D7274D3E980}"/>
    <hyperlink ref="CD2486" r:id="rId9037" xr:uid="{6CFCC0C0-81B9-49D6-A119-F9B8C8F33ED2}"/>
    <hyperlink ref="O2488" r:id="rId9038" xr:uid="{E6E206FC-1152-4860-A811-83969FD9EAB8}"/>
    <hyperlink ref="S2488" r:id="rId9039" xr:uid="{4E99D7CC-0A23-4D51-A414-6ED949791536}"/>
    <hyperlink ref="CA2488" r:id="rId9040" xr:uid="{0625399F-D945-4DC2-867B-4FBD7295C504}"/>
    <hyperlink ref="CD2488" r:id="rId9041" xr:uid="{6C6A16C0-AA20-4FF3-85BF-A956E789D65C}"/>
    <hyperlink ref="O2489" r:id="rId9042" xr:uid="{73410325-3645-4E71-9FDC-20658D8975C9}"/>
    <hyperlink ref="S2489" r:id="rId9043" xr:uid="{7824A792-E595-42FC-9B4D-5CF4E9E8A3BC}"/>
    <hyperlink ref="CA2489" r:id="rId9044" xr:uid="{2749E6EC-6FF5-4CDD-B759-1238C5BA6E05}"/>
    <hyperlink ref="CD2489" r:id="rId9045" xr:uid="{8F45B8AA-3779-4114-8BD5-41FC2D4CD659}"/>
    <hyperlink ref="O2490" r:id="rId9046" xr:uid="{E74A8F22-E7B7-44B7-AF9F-41DAA497AC84}"/>
    <hyperlink ref="S2490" r:id="rId9047" xr:uid="{2E6F72CE-2E1E-4AD9-B859-50AF87B3ADA2}"/>
    <hyperlink ref="CA2490" r:id="rId9048" xr:uid="{CC031601-EECC-4BE6-BA47-4C16AEEB1482}"/>
    <hyperlink ref="CD2490" r:id="rId9049" xr:uid="{5ECCB41D-CD36-4311-A959-7FF18FFAC098}"/>
    <hyperlink ref="O2491" r:id="rId9050" xr:uid="{EBAF7CC6-64FA-48A1-AF10-E4B48741F050}"/>
    <hyperlink ref="S2491" r:id="rId9051" xr:uid="{943C7DD9-2C74-4B89-9A5B-CE39D7F10BDC}"/>
    <hyperlink ref="CA2491" r:id="rId9052" xr:uid="{E1042373-0BA3-41BE-933C-C3322961D120}"/>
    <hyperlink ref="CD2491" r:id="rId9053" xr:uid="{4E32F025-0DF8-4B71-B2A8-85FE3768C0D2}"/>
    <hyperlink ref="O2492" r:id="rId9054" xr:uid="{4378F4F9-455C-4C5A-9CE9-D04B827AF9D2}"/>
    <hyperlink ref="S2492" r:id="rId9055" xr:uid="{1DAC4292-97B8-44F9-8B23-D2F84C3678DB}"/>
    <hyperlink ref="CA2492" r:id="rId9056" xr:uid="{8B28FD90-877B-4EB2-8EFE-9DDFA8186DBD}"/>
    <hyperlink ref="CD2492" r:id="rId9057" xr:uid="{316C111D-D965-4031-8EF7-799F29BFE543}"/>
    <hyperlink ref="O2493" r:id="rId9058" xr:uid="{72D7CF06-EA9B-4A05-A748-F403CE9098AE}"/>
    <hyperlink ref="S2493" r:id="rId9059" xr:uid="{BCEF97FF-E2B7-4FDB-B6BE-9A173FC747CE}"/>
    <hyperlink ref="CA2493" r:id="rId9060" xr:uid="{D7F3FBB9-764C-4D75-83B3-DC89794EAB62}"/>
    <hyperlink ref="CD2493" r:id="rId9061" xr:uid="{0C713BDC-0969-47C2-B992-78B7D6E18F0E}"/>
    <hyperlink ref="O2494" r:id="rId9062" xr:uid="{B01D1408-C55E-41EA-B3E4-75BF86C902F7}"/>
    <hyperlink ref="S2494" r:id="rId9063" xr:uid="{6A80EE96-7DF6-47C3-8D41-BDA765589A5E}"/>
    <hyperlink ref="CA2494" r:id="rId9064" xr:uid="{AED4F276-E2A2-4EBE-93F6-1C10A42C239F}"/>
    <hyperlink ref="CD2494" r:id="rId9065" xr:uid="{36617839-77BA-447A-B36C-2F1B24B23BBD}"/>
    <hyperlink ref="O2495" r:id="rId9066" xr:uid="{6B8FA336-0EC5-43B5-BC22-7A5D5A2A80DD}"/>
    <hyperlink ref="S2495" r:id="rId9067" xr:uid="{C98D27F5-584D-4D83-879F-FAD82A2FA04D}"/>
    <hyperlink ref="CA2495" r:id="rId9068" xr:uid="{321A0CF9-4AB9-4DAE-BBC4-A84CE7A86317}"/>
    <hyperlink ref="O2496" r:id="rId9069" xr:uid="{3BE21E19-DD34-46D6-8A18-E895F21ACF9F}"/>
    <hyperlink ref="S2496" r:id="rId9070" xr:uid="{656FB04B-1E11-4B89-912A-7156DCF20F8E}"/>
    <hyperlink ref="CA2496" r:id="rId9071" xr:uid="{EEB71900-C072-44B3-B188-E93BF7630036}"/>
    <hyperlink ref="CD2496" r:id="rId9072" xr:uid="{DE79207C-0810-452A-ABC7-F0FC6135B23E}"/>
    <hyperlink ref="O2497" r:id="rId9073" xr:uid="{9F2A91A8-6F5F-4AAB-8196-2F3FA6D7BD4B}"/>
    <hyperlink ref="S2497" r:id="rId9074" xr:uid="{A0FECD2F-E887-425F-9778-AB57F822099B}"/>
    <hyperlink ref="CA2497" r:id="rId9075" xr:uid="{70D8F91E-0F32-4684-B9E8-B4EA72E3FD74}"/>
    <hyperlink ref="CD2497" r:id="rId9076" xr:uid="{896ED957-11AE-4C10-967D-725C5E8E53FD}"/>
    <hyperlink ref="O2498" r:id="rId9077" xr:uid="{3285B20C-7CF2-4A38-8599-D09F1B1644BA}"/>
    <hyperlink ref="S2498" r:id="rId9078" xr:uid="{D8ABA0A2-5078-4E9E-B973-29BFC5C07D5B}"/>
    <hyperlink ref="CA2498" r:id="rId9079" xr:uid="{34550707-EC33-4BA2-B227-3000C7FA36FD}"/>
    <hyperlink ref="O2499" r:id="rId9080" xr:uid="{C86C4E5C-0F0C-44B4-BFB1-4D8282233B14}"/>
    <hyperlink ref="S2499" r:id="rId9081" xr:uid="{C945FB48-688B-4517-AEE5-4C5C151ED2E7}"/>
    <hyperlink ref="CA2499" r:id="rId9082" xr:uid="{8E89E0EF-15FC-4CD0-8A7B-B095DC089F0C}"/>
    <hyperlink ref="CD2499" r:id="rId9083" xr:uid="{44D39355-5FF0-4CFE-9812-03430419DC8F}"/>
    <hyperlink ref="O2500" r:id="rId9084" xr:uid="{4A28B81B-9523-4B91-9CC7-E71A21B8C564}"/>
    <hyperlink ref="S2500" r:id="rId9085" xr:uid="{9BCAF7A9-E33D-4102-978A-9D866984A1BE}"/>
    <hyperlink ref="CA2500" r:id="rId9086" xr:uid="{2E7F18F0-BBB3-46E2-B0C9-F12CAEA377E1}"/>
    <hyperlink ref="CD2500" r:id="rId9087" xr:uid="{D91F2CFF-385A-4810-BB41-C9292E9564C0}"/>
    <hyperlink ref="O2501" r:id="rId9088" xr:uid="{57F8DA1B-B415-41B5-84A7-EA06506D46E2}"/>
    <hyperlink ref="S2501" r:id="rId9089" xr:uid="{A8885A20-0C0F-4FD2-BDFD-CA718D4B9485}"/>
    <hyperlink ref="CA2501" r:id="rId9090" xr:uid="{82C91CD2-1201-4A83-8EF6-7FDB553EC3CF}"/>
    <hyperlink ref="CD2501" r:id="rId9091" xr:uid="{A2F743D3-4713-40E2-9B59-DFEE2CAE2131}"/>
    <hyperlink ref="O2502" r:id="rId9092" xr:uid="{53C7CC0E-E324-4A84-B91F-E0A6F998474F}"/>
    <hyperlink ref="S2502" r:id="rId9093" xr:uid="{F3DCD06D-1E90-4828-A5A1-0FAE276BDD98}"/>
    <hyperlink ref="CA2502" r:id="rId9094" xr:uid="{EDD030DA-3485-47A1-B7C1-58759916BA4D}"/>
    <hyperlink ref="CD2502" r:id="rId9095" xr:uid="{4CA759E3-ED03-4822-A8A9-0FC99CE1DC6A}"/>
    <hyperlink ref="O2504" r:id="rId9096" xr:uid="{59E4971A-D93B-4467-A266-683372FB3B20}"/>
    <hyperlink ref="S2504" r:id="rId9097" xr:uid="{3EE47C61-DC07-447D-9CB4-0399BB8F115B}"/>
    <hyperlink ref="CA2504" r:id="rId9098" xr:uid="{CE997F7D-0197-4C3A-B3BF-08481E8EFE4C}"/>
    <hyperlink ref="CD2504" r:id="rId9099" xr:uid="{C9B4A0C8-FDA5-45E9-BE09-D3C8F49F2C47}"/>
    <hyperlink ref="O2505" r:id="rId9100" xr:uid="{F8A4A647-AA19-43E2-A54A-1C5DD0E76B45}"/>
    <hyperlink ref="S2505" r:id="rId9101" xr:uid="{DE931B4E-F56E-4BB3-A701-953A055B3F53}"/>
    <hyperlink ref="CA2505" r:id="rId9102" xr:uid="{D9DFEE7E-73B5-4BD6-B22F-27220AB1E1C3}"/>
    <hyperlink ref="CD2505" r:id="rId9103" xr:uid="{282607D2-CB7A-49EF-87CB-998B5A96ABB1}"/>
    <hyperlink ref="O2506" r:id="rId9104" xr:uid="{62CF4F52-0367-47A3-BEDA-D69EA3EB2BB7}"/>
    <hyperlink ref="S2506" r:id="rId9105" xr:uid="{DE9F6471-A7B6-45FC-BF6B-0C1373613DE5}"/>
    <hyperlink ref="T2506" r:id="rId9106" xr:uid="{3A3BF9CE-E5F9-4318-B84D-2D28F1B962EA}"/>
    <hyperlink ref="CA2506" r:id="rId9107" xr:uid="{2C5E51C8-F2C9-44BA-BB3D-099A67D6F3A2}"/>
    <hyperlink ref="CB2506" r:id="rId9108" xr:uid="{793B50A9-9459-48DB-B279-3A7F915ED5F1}"/>
    <hyperlink ref="CD2506" r:id="rId9109" xr:uid="{7E7C9368-D715-4780-A553-153D49FC00CE}"/>
    <hyperlink ref="O2507" r:id="rId9110" xr:uid="{FB0C4688-5D2C-4577-B37D-25AD5306F4E3}"/>
    <hyperlink ref="S2507" r:id="rId9111" xr:uid="{709215ED-EBF7-43EF-9314-F4164CA246D4}"/>
    <hyperlink ref="T2507" r:id="rId9112" xr:uid="{43B81978-580E-4E2E-BF76-959FA234FB7B}"/>
    <hyperlink ref="CA2507" r:id="rId9113" xr:uid="{195D9273-B161-4309-8B34-4CB3708B17B5}"/>
    <hyperlink ref="CB2507" r:id="rId9114" xr:uid="{19EBC17C-E8A3-4B5F-BC03-831AAF8412A4}"/>
    <hyperlink ref="CD2507" r:id="rId9115" xr:uid="{A3B73A5B-92C8-46E6-86A6-A8AF9B1018FD}"/>
    <hyperlink ref="O2508" r:id="rId9116" xr:uid="{95A51520-4E53-4D18-9C20-625BD139AAB6}"/>
    <hyperlink ref="S2508" r:id="rId9117" xr:uid="{312F0791-E44F-4072-B68E-D7B6BCAEEEED}"/>
    <hyperlink ref="T2508" r:id="rId9118" xr:uid="{2CF911D1-E0AF-4AD9-9A11-9051CCA1DD43}"/>
    <hyperlink ref="CA2508" r:id="rId9119" xr:uid="{7AFF71D0-CE0B-4039-B638-ED3906E38C99}"/>
    <hyperlink ref="CB2508" r:id="rId9120" xr:uid="{32E731BE-2FFA-4021-B125-194B91BCD715}"/>
    <hyperlink ref="CD2508" r:id="rId9121" xr:uid="{E27E003E-7015-40BA-94A4-6DDA240D917E}"/>
    <hyperlink ref="O2509" r:id="rId9122" xr:uid="{17DAB1F5-5311-4079-8DF2-28E0855852BE}"/>
    <hyperlink ref="S2509" r:id="rId9123" xr:uid="{293AE4E2-9578-44FC-96FD-AC6004617BD3}"/>
    <hyperlink ref="T2509" r:id="rId9124" xr:uid="{E921BBA4-3023-43FF-AC23-6C2890D34527}"/>
    <hyperlink ref="CA2509" r:id="rId9125" xr:uid="{33199C86-6961-4579-A45C-C0F08E60A09B}"/>
    <hyperlink ref="CB2509" r:id="rId9126" xr:uid="{FCFF027A-8CAE-4351-B3E3-35E5708BF7ED}"/>
    <hyperlink ref="CD2509" r:id="rId9127" xr:uid="{E847E3E0-DAD3-485A-84C6-D20A35441BF4}"/>
    <hyperlink ref="O2510" r:id="rId9128" xr:uid="{B315FCD1-3A2B-4DB9-BC11-12138B408B03}"/>
    <hyperlink ref="R2510" r:id="rId9129" xr:uid="{A76C5E7D-7C7F-46F6-AB51-3C7FC9E37E5B}"/>
    <hyperlink ref="S2510" r:id="rId9130" xr:uid="{3BC7AF7D-6EB2-4E2A-B43F-8B1A8F40DEFD}"/>
    <hyperlink ref="CA2510" r:id="rId9131" xr:uid="{8CFA9FF4-9E96-459B-B13B-FD08BEE5B6FB}"/>
    <hyperlink ref="CD2510" r:id="rId9132" xr:uid="{3960860F-3A2A-46CA-A600-7849BD6173A8}"/>
    <hyperlink ref="O2511" r:id="rId9133" xr:uid="{BCBC0896-F777-4E03-A75B-F60995E77F0F}"/>
    <hyperlink ref="S2511" r:id="rId9134" xr:uid="{D401D544-55B4-43A8-A7D5-A51EAB8EB5D4}"/>
    <hyperlink ref="CA2511" r:id="rId9135" xr:uid="{514A9659-A48F-447E-B4B8-7C40A88A9EE0}"/>
    <hyperlink ref="CD2511" r:id="rId9136" xr:uid="{EFF2C038-2490-4527-9B81-E95B196051EA}"/>
    <hyperlink ref="O2512" r:id="rId9137" xr:uid="{7E2876F9-1C96-4D06-86B1-20361E1CD9AA}"/>
    <hyperlink ref="S2512" r:id="rId9138" xr:uid="{602288E0-E448-4F39-AB70-A652F4F7C743}"/>
    <hyperlink ref="CA2512" r:id="rId9139" xr:uid="{ED6F750E-3626-475D-95C8-42E8013E8E1B}"/>
    <hyperlink ref="CD2512" r:id="rId9140" xr:uid="{BE18CAFC-0A25-4CBB-8680-8F089B5AB53F}"/>
    <hyperlink ref="O2513" r:id="rId9141" xr:uid="{A458ADCD-365C-4DBF-A952-C507B525B5DA}"/>
    <hyperlink ref="S2513" r:id="rId9142" xr:uid="{D1FAFF6F-76D7-491D-9D19-F0DDA791DFAC}"/>
    <hyperlink ref="CA2513" r:id="rId9143" xr:uid="{66F6EA57-1711-4E42-963C-E9C51A13A0B5}"/>
    <hyperlink ref="CD2513" r:id="rId9144" xr:uid="{F637B6E4-6EC6-4476-9A5C-B4D875A1A52A}"/>
    <hyperlink ref="O2514" r:id="rId9145" xr:uid="{8C63D14D-AEEF-4978-A301-579A8AEBB8D5}"/>
    <hyperlink ref="S2514" r:id="rId9146" xr:uid="{88CA06F5-6BFC-4167-81EF-1EACFD571FFE}"/>
    <hyperlink ref="CA2514" r:id="rId9147" xr:uid="{D5FC274B-9F9C-4CB2-8151-BEBB9888EB05}"/>
    <hyperlink ref="CD2514" r:id="rId9148" xr:uid="{920EF1BE-5B66-4E08-AFEF-7ECA4A05F2A3}"/>
    <hyperlink ref="O2515" r:id="rId9149" xr:uid="{0EBAA7B2-2360-458E-9512-8DEE04BC2758}"/>
    <hyperlink ref="S2515" r:id="rId9150" xr:uid="{1D5DE4D2-E48A-46C0-A589-A728C6955D7C}"/>
    <hyperlink ref="CA2515" r:id="rId9151" xr:uid="{601BC8DB-1AF9-48A2-B0B3-FF34F88D2EF2}"/>
    <hyperlink ref="CD2515" r:id="rId9152" xr:uid="{77F8E347-46C3-43DE-B59E-74F1BCF06AD6}"/>
    <hyperlink ref="O2516" r:id="rId9153" xr:uid="{19BEA3A4-F01F-4827-871B-6A34BFFB6B69}"/>
    <hyperlink ref="S2516" r:id="rId9154" xr:uid="{973D49BA-9267-44A6-9D03-DC20DEF59764}"/>
    <hyperlink ref="CA2516" r:id="rId9155" xr:uid="{8E018364-2BAE-4A53-873D-5C3E7208E090}"/>
    <hyperlink ref="O2517" r:id="rId9156" xr:uid="{2F53ECD5-001F-4328-8DF7-E301CDC00884}"/>
    <hyperlink ref="S2517" r:id="rId9157" xr:uid="{71936351-7DDA-413D-BA3C-8F8BCDBC03E9}"/>
    <hyperlink ref="CA2517" r:id="rId9158" xr:uid="{028C9CB6-6940-4FFD-8AB6-51E472326190}"/>
    <hyperlink ref="O2518" r:id="rId9159" xr:uid="{7D78002F-D44D-4FE9-A253-CD11BE8893F9}"/>
    <hyperlink ref="S2518" r:id="rId9160" xr:uid="{E91EA27D-9E8E-48BE-9A1A-026DAAAF1714}"/>
    <hyperlink ref="CA2518" r:id="rId9161" xr:uid="{CC7E2B39-EFC1-406A-AB12-36C69104AA61}"/>
    <hyperlink ref="O2519" r:id="rId9162" xr:uid="{619172E7-A507-4C6E-A28E-2723642B2634}"/>
    <hyperlink ref="S2519" r:id="rId9163" xr:uid="{9E06856D-2AE0-4AD6-8082-C474B6163FF6}"/>
    <hyperlink ref="CA2519" r:id="rId9164" xr:uid="{F28003F4-F373-4F6C-8475-0C9B8466C770}"/>
    <hyperlink ref="O2520" r:id="rId9165" xr:uid="{4E6BB2C6-BA27-41B7-BE8C-E23FD99E3C81}"/>
    <hyperlink ref="S2520" r:id="rId9166" xr:uid="{806D52BC-D17C-4605-B8F1-F526D35B3375}"/>
    <hyperlink ref="CA2520" r:id="rId9167" xr:uid="{A5003B77-9630-4F81-8247-F5801D2FAE25}"/>
    <hyperlink ref="O2521" r:id="rId9168" xr:uid="{F3CB5855-2C7E-4793-9623-874A59FBF2F9}"/>
    <hyperlink ref="S2521" r:id="rId9169" xr:uid="{4C99CE36-9341-49DE-9BAC-81BE982C029F}"/>
    <hyperlink ref="CA2521" r:id="rId9170" xr:uid="{26993045-EE33-49C1-A6E4-59C499B6C70C}"/>
    <hyperlink ref="O2522" r:id="rId9171" xr:uid="{E2A85FDA-A923-46EA-B5EC-8AB99EB185DF}"/>
    <hyperlink ref="S2522" r:id="rId9172" xr:uid="{9AB15C72-2BEE-4232-9989-1F5AC66BB78D}"/>
    <hyperlink ref="CA2522" r:id="rId9173" xr:uid="{4E25E031-BA4C-43EB-87EA-365C6A076FED}"/>
    <hyperlink ref="O2523" r:id="rId9174" xr:uid="{B001C217-F533-4597-B02E-21BAF3C42608}"/>
    <hyperlink ref="S2523" r:id="rId9175" xr:uid="{D627B367-B990-4BEF-804D-BA8DCE1FEB7D}"/>
    <hyperlink ref="CA2523" r:id="rId9176" xr:uid="{4DCA6C56-9407-46E2-AF73-6166C215387C}"/>
    <hyperlink ref="O2524" r:id="rId9177" xr:uid="{59140C6E-2465-4CCA-971E-550563208EE3}"/>
    <hyperlink ref="S2524" r:id="rId9178" xr:uid="{85063791-1AFE-4F3A-8B32-8CE1A142F453}"/>
    <hyperlink ref="CA2524" r:id="rId9179" xr:uid="{FB951275-0AB1-4D5A-8DBC-348072287DE3}"/>
    <hyperlink ref="O2525" r:id="rId9180" xr:uid="{35059E0F-A1F7-47AE-BF08-F7080D175656}"/>
    <hyperlink ref="S2525" r:id="rId9181" xr:uid="{A9763C07-4F23-4643-8F6F-33575BD311E7}"/>
    <hyperlink ref="CA2525" r:id="rId9182" xr:uid="{C03441E0-115D-479F-8EA3-26164EDD4E6D}"/>
    <hyperlink ref="O2526" r:id="rId9183" xr:uid="{9CCAA622-138C-48C6-911E-6F63CBFB90B2}"/>
    <hyperlink ref="S2526" r:id="rId9184" xr:uid="{B456134E-4BE4-4D20-ACE0-A9A34B9E7DDD}"/>
    <hyperlink ref="CA2526" r:id="rId9185" xr:uid="{8307ABE4-A4B7-4A8E-A616-FAAF3641439C}"/>
    <hyperlink ref="O2527" r:id="rId9186" xr:uid="{4A38843B-6F5C-46CA-9E14-E55AEDF19EB7}"/>
    <hyperlink ref="S2527" r:id="rId9187" xr:uid="{B3703278-0420-48EF-BA4C-3E6892B27E8D}"/>
    <hyperlink ref="CA2527" r:id="rId9188" xr:uid="{0BEC38E9-8572-47B7-ACFF-5692040D8B2C}"/>
    <hyperlink ref="O2528" r:id="rId9189" xr:uid="{F445D716-F466-45D7-B939-51674731304A}"/>
    <hyperlink ref="S2528" r:id="rId9190" xr:uid="{BFB72B73-FC5A-41D6-AF30-B0B7BE209AD1}"/>
    <hyperlink ref="CA2528" r:id="rId9191" xr:uid="{65810C5F-5FAD-4124-B5F4-C26C7AD17C96}"/>
    <hyperlink ref="O2529" r:id="rId9192" xr:uid="{CDB5A991-8EF7-4607-8E6D-1CD1122FBF46}"/>
    <hyperlink ref="S2529" r:id="rId9193" xr:uid="{972FDA6D-60B3-4338-A5E3-DEB64C3CA272}"/>
    <hyperlink ref="CA2529" r:id="rId9194" xr:uid="{D6C218C5-D550-466A-9FA3-3E634946B090}"/>
    <hyperlink ref="O2530" r:id="rId9195" xr:uid="{42C4C25A-EB91-428C-BCDD-F18A9D75D725}"/>
    <hyperlink ref="S2530" r:id="rId9196" xr:uid="{C91DF19C-3569-4A9F-9DD9-15E1B8BA0A08}"/>
    <hyperlink ref="CA2530" r:id="rId9197" xr:uid="{662EB706-B432-408B-A821-07BF224783F5}"/>
    <hyperlink ref="O2531" r:id="rId9198" xr:uid="{79729905-E400-46F0-AB38-11B782B07F66}"/>
    <hyperlink ref="S2531" r:id="rId9199" xr:uid="{111FCCD2-5DBF-4663-9E0F-3CBBAF9DD9F4}"/>
    <hyperlink ref="CA2531" r:id="rId9200" xr:uid="{F80BCC2A-EA22-4A31-94A5-41602555AA66}"/>
    <hyperlink ref="O2532" r:id="rId9201" xr:uid="{41FAF00F-22D9-4129-90C4-BBBA737C399A}"/>
    <hyperlink ref="S2532" r:id="rId9202" xr:uid="{3FF4F61C-7C71-4C0B-BA56-CAAA3EC71876}"/>
    <hyperlink ref="CA2532" r:id="rId9203" xr:uid="{E93BD15B-F058-4903-80E1-68B4BFC0F63A}"/>
    <hyperlink ref="O2533" r:id="rId9204" xr:uid="{1993A6FE-E6E6-42DA-889A-F061777BE4C0}"/>
    <hyperlink ref="S2533" r:id="rId9205" xr:uid="{C727F17B-4FD7-4004-91B2-77A8A667F8BB}"/>
    <hyperlink ref="CA2533" r:id="rId9206" xr:uid="{468DB5A5-5D76-44CA-98DE-9A8E996F1834}"/>
    <hyperlink ref="O2534" r:id="rId9207" xr:uid="{3A16026C-40BB-46BB-BFC2-E3418F507E1D}"/>
    <hyperlink ref="S2534" r:id="rId9208" xr:uid="{60B1A668-9FF9-460F-96B9-26AD04DA6610}"/>
    <hyperlink ref="CA2534" r:id="rId9209" xr:uid="{C2056202-C113-4B50-B213-CD53739D1AEE}"/>
    <hyperlink ref="O2535" r:id="rId9210" xr:uid="{4D34AE5B-59AA-4758-9A79-41BAEDAED3AA}"/>
    <hyperlink ref="S2535" r:id="rId9211" xr:uid="{D2DE91DF-0FD8-446D-ADF1-A50195E1842C}"/>
    <hyperlink ref="CA2535" r:id="rId9212" xr:uid="{6773AE1A-FCFA-4134-A592-96703AC7F93B}"/>
    <hyperlink ref="O2536" r:id="rId9213" xr:uid="{B2110B54-A0AA-4FA2-BC7C-41D9DC4A701A}"/>
    <hyperlink ref="S2536" r:id="rId9214" xr:uid="{6A0D8614-1074-41A3-845D-1150716D7E86}"/>
    <hyperlink ref="CA2536" r:id="rId9215" xr:uid="{C3EA9442-F56B-4CDB-B924-824F78FBCD02}"/>
    <hyperlink ref="O2537" r:id="rId9216" xr:uid="{7E211950-D7AE-4EAE-9014-0FE09D49348E}"/>
    <hyperlink ref="S2537" r:id="rId9217" xr:uid="{00983F9F-9E0C-4376-91AE-AC22451FD41C}"/>
    <hyperlink ref="CA2537" r:id="rId9218" xr:uid="{C959D235-70A2-4D6E-B0FF-6C5E03AA0FC9}"/>
    <hyperlink ref="O2538" r:id="rId9219" xr:uid="{5572F887-1C32-4C8D-8036-C12880725BFD}"/>
    <hyperlink ref="S2538" r:id="rId9220" xr:uid="{EE0C4A1E-2092-43F9-B24B-6A949545DE00}"/>
    <hyperlink ref="CA2538" r:id="rId9221" xr:uid="{AC5153F2-F7B7-40A6-AD20-44B721F36DDA}"/>
    <hyperlink ref="O2539" r:id="rId9222" xr:uid="{C5575737-C027-40B5-8523-125F925725C6}"/>
    <hyperlink ref="S2539" r:id="rId9223" xr:uid="{A1944570-6787-4C93-ACDA-EF33BE80EC2B}"/>
    <hyperlink ref="CA2539" r:id="rId9224" xr:uid="{80B3C9B3-1C6A-4B6A-9108-F9715614E21E}"/>
    <hyperlink ref="O2540" r:id="rId9225" xr:uid="{15A7307D-18AE-4310-991B-73F011A764BD}"/>
    <hyperlink ref="S2540" r:id="rId9226" xr:uid="{7476147D-5D4E-4763-B2C1-E93BBA998805}"/>
    <hyperlink ref="CA2540" r:id="rId9227" xr:uid="{741520F5-4BAA-45D3-A5FC-BD5C12E8D32E}"/>
    <hyperlink ref="O2541" r:id="rId9228" xr:uid="{F4699099-B60E-4397-A32A-68B1DA0487BF}"/>
    <hyperlink ref="S2541" r:id="rId9229" xr:uid="{EC195265-9AA3-43D3-8BCC-C4A9B90C808F}"/>
    <hyperlink ref="CA2541" r:id="rId9230" xr:uid="{27349A24-A756-45FF-8377-814D9531B644}"/>
    <hyperlink ref="O2542" r:id="rId9231" xr:uid="{FA743D0C-804F-4E6B-9D07-51A4BD9BCD9A}"/>
    <hyperlink ref="S2542" r:id="rId9232" xr:uid="{1253EF68-358A-45AC-9D5B-0CB5B5F3BD03}"/>
    <hyperlink ref="CA2542" r:id="rId9233" xr:uid="{4A6736BD-D439-42A4-ADDB-604E12386F74}"/>
    <hyperlink ref="O2543" r:id="rId9234" xr:uid="{378349A0-1584-4F8E-9FFB-6C3361256AEC}"/>
    <hyperlink ref="S2543" r:id="rId9235" xr:uid="{4F9D4330-BD50-4CB8-A752-FD12A5533920}"/>
    <hyperlink ref="CA2543" r:id="rId9236" xr:uid="{869457E4-5470-42D9-8619-ACB562EE263D}"/>
    <hyperlink ref="O2544" r:id="rId9237" xr:uid="{C5F895B8-2853-40E1-B762-2D71814CC582}"/>
    <hyperlink ref="S2544" r:id="rId9238" xr:uid="{DD17C3F4-A9AE-4734-902E-3272DC9A4E63}"/>
    <hyperlink ref="CA2544" r:id="rId9239" xr:uid="{0C0A0CD4-2B81-4F81-93B6-E3DFD39145B5}"/>
    <hyperlink ref="O2545" r:id="rId9240" xr:uid="{6C0AD312-23D8-456A-844B-37C758B78E40}"/>
    <hyperlink ref="S2545" r:id="rId9241" xr:uid="{B061D573-EA36-4574-8174-78372FCC3EB8}"/>
    <hyperlink ref="CA2545" r:id="rId9242" xr:uid="{C347FAFC-B84B-40A3-A82F-8546BDA02A30}"/>
    <hyperlink ref="O2546" r:id="rId9243" xr:uid="{7D1F50EF-A6A2-4B86-B463-B6E59BF22D00}"/>
    <hyperlink ref="S2546" r:id="rId9244" xr:uid="{17A6EE24-3CFF-4D5B-89D5-6FD4CD7C6E97}"/>
    <hyperlink ref="CA2546" r:id="rId9245" xr:uid="{3E3E76AD-C7EB-4668-8410-07B04A9518D7}"/>
    <hyperlink ref="O2547" r:id="rId9246" xr:uid="{191EF1E3-1AE5-4BD0-8598-468FA313BAB1}"/>
    <hyperlink ref="S2547" r:id="rId9247" xr:uid="{ABC4CB7E-966B-447D-8648-1E0770AE9E9B}"/>
    <hyperlink ref="CA2547" r:id="rId9248" xr:uid="{908C6C5C-D442-4554-A3B2-4FFF1DF3EC1C}"/>
    <hyperlink ref="O2548" r:id="rId9249" xr:uid="{B670F6F6-532D-4391-B541-4C63908FCBDF}"/>
    <hyperlink ref="S2548" r:id="rId9250" xr:uid="{120834FD-FC0E-4720-A7E0-7AFAF8150461}"/>
    <hyperlink ref="CA2548" r:id="rId9251" xr:uid="{67453663-3D65-4BCD-9586-F219206FBC09}"/>
    <hyperlink ref="O2549" r:id="rId9252" xr:uid="{45D1FC5E-2903-43A4-96A1-7BE2A100E747}"/>
    <hyperlink ref="S2549" r:id="rId9253" xr:uid="{C5525BF9-497F-4EC7-8553-DED5B44BC8C1}"/>
    <hyperlink ref="CA2549" r:id="rId9254" xr:uid="{A9145724-74F8-4776-A5DD-2FE90FE3BC83}"/>
    <hyperlink ref="O2550" r:id="rId9255" xr:uid="{B2C629B2-0087-479A-AEFD-FEB11BF2EB1B}"/>
    <hyperlink ref="S2550" r:id="rId9256" xr:uid="{508C8685-E8D4-4A5D-B48B-D311F67289AD}"/>
    <hyperlink ref="CA2550" r:id="rId9257" xr:uid="{D73D0AC7-B08F-4A88-BE46-AB8216CB312D}"/>
    <hyperlink ref="O2551" r:id="rId9258" xr:uid="{91181A1C-9B8D-4A6C-96AF-00823C040332}"/>
    <hyperlink ref="S2551" r:id="rId9259" xr:uid="{E5A9659D-00EA-4F2E-9877-8DC40676901A}"/>
    <hyperlink ref="CA2551" r:id="rId9260" xr:uid="{6ACB11CC-70A0-458A-8B26-DB3F50E8A6E9}"/>
    <hyperlink ref="O2552" r:id="rId9261" xr:uid="{20A46EBB-94CD-4092-BFE7-63A6949564AE}"/>
    <hyperlink ref="S2552" r:id="rId9262" xr:uid="{D6D1BCD9-E0A7-40AD-9303-F51372C102A2}"/>
    <hyperlink ref="CA2552" r:id="rId9263" xr:uid="{A1A97327-586F-48F8-A87E-742763F1C759}"/>
    <hyperlink ref="O2553" r:id="rId9264" xr:uid="{BBB4D2A5-92AA-47D7-B002-FFBAD46AE7BF}"/>
    <hyperlink ref="S2553" r:id="rId9265" xr:uid="{88FB4E6C-FFB8-46D7-A034-8BD17419C741}"/>
    <hyperlink ref="CA2553" r:id="rId9266" xr:uid="{34A89F26-FF5D-4CC5-A5BE-6E42E45EF171}"/>
    <hyperlink ref="O2554" r:id="rId9267" xr:uid="{A733F579-01D9-4126-A7AE-6AABB4C064DB}"/>
    <hyperlink ref="S2554" r:id="rId9268" xr:uid="{45E8EFDD-9F5A-44D7-92F2-7C9402B13CDD}"/>
    <hyperlink ref="CA2554" r:id="rId9269" xr:uid="{6E609E8B-13AE-47AF-A69A-1BAD469E122E}"/>
    <hyperlink ref="O2555" r:id="rId9270" xr:uid="{7F0D33EE-AC5C-4E16-B232-1A59ECC83706}"/>
    <hyperlink ref="S2555" r:id="rId9271" xr:uid="{99343501-DD15-406A-92AC-735180439B4E}"/>
    <hyperlink ref="CA2555" r:id="rId9272" xr:uid="{F2657224-789A-4EC7-B806-9F625D1B7D7C}"/>
    <hyperlink ref="O2556" r:id="rId9273" xr:uid="{7072F316-5F23-41B6-8464-C68DA432E060}"/>
    <hyperlink ref="S2556" r:id="rId9274" xr:uid="{0D76F03A-EA14-4482-AC0D-78239E57D18A}"/>
    <hyperlink ref="CA2556" r:id="rId9275" xr:uid="{B37ED54E-7B2A-4A13-ACAC-F6C3F89A58FD}"/>
    <hyperlink ref="O2557" r:id="rId9276" xr:uid="{550430B7-8A61-40FA-8A33-4B7EAA09E277}"/>
    <hyperlink ref="S2557" r:id="rId9277" xr:uid="{1A8F0125-0735-4FFC-84FE-698EE1E7BA7B}"/>
    <hyperlink ref="CA2557" r:id="rId9278" xr:uid="{A847C58E-7D55-4E16-AE18-067589BD4734}"/>
    <hyperlink ref="O2558" r:id="rId9279" xr:uid="{78E570E9-20E8-4E44-8946-2B591B3FEDF6}"/>
    <hyperlink ref="S2558" r:id="rId9280" xr:uid="{910AFA91-432C-43C0-8FC6-FAC708F64422}"/>
    <hyperlink ref="CA2558" r:id="rId9281" xr:uid="{F058F4ED-7C33-4669-904B-785F41892D98}"/>
    <hyperlink ref="O2559" r:id="rId9282" xr:uid="{59FAA3C0-79A4-441D-8014-A833A3385577}"/>
    <hyperlink ref="S2559" r:id="rId9283" xr:uid="{409F4C35-F0D5-4D8C-B9B0-461E4C410EAC}"/>
    <hyperlink ref="CA2559" r:id="rId9284" xr:uid="{F607D1C9-6F27-44AA-8124-AC83BD9F7C76}"/>
    <hyperlink ref="O2560" r:id="rId9285" xr:uid="{66188A9A-25B4-44BC-A5E6-EA7FF2A05628}"/>
    <hyperlink ref="S2560" r:id="rId9286" xr:uid="{6DDF0216-D913-4795-8EEA-00C2BBE8BD24}"/>
    <hyperlink ref="CA2560" r:id="rId9287" xr:uid="{AFCA93FE-9328-4E09-8A87-E7A09B6B444D}"/>
    <hyperlink ref="O2561" r:id="rId9288" xr:uid="{01A0AEF3-B6CC-4E78-958E-526FD8F358D4}"/>
    <hyperlink ref="R2561" r:id="rId9289" xr:uid="{EC29A3DC-FA1C-4838-A785-DBA2A53176AA}"/>
    <hyperlink ref="S2561" r:id="rId9290" xr:uid="{F2262047-E7CC-4AAA-A19A-59AC597CFB18}"/>
    <hyperlink ref="CA2561" r:id="rId9291" xr:uid="{BE621E38-C71C-4CA7-9C90-50F94658515F}"/>
    <hyperlink ref="CD2561" r:id="rId9292" xr:uid="{04C840A0-2AD4-4F4E-BCCD-3F66D361BFDC}"/>
    <hyperlink ref="O2562" r:id="rId9293" xr:uid="{2FC5538F-9BC9-4DA3-AE71-F5C7BABA9E9F}"/>
    <hyperlink ref="S2562" r:id="rId9294" xr:uid="{CB55B667-F705-40D9-922B-BE680E6DAEAA}"/>
    <hyperlink ref="CA2562" r:id="rId9295" xr:uid="{3EC15C5A-355C-458C-A19C-5EF3CE0CC571}"/>
    <hyperlink ref="CD2562" r:id="rId9296" xr:uid="{32888C82-119E-421A-871E-5F44AB53802C}"/>
    <hyperlink ref="O2563" r:id="rId9297" xr:uid="{B196ED38-D0EA-4075-96A8-233F24730809}"/>
    <hyperlink ref="S2563" r:id="rId9298" xr:uid="{DEE63E47-4923-44C8-8204-91739D6E55E3}"/>
    <hyperlink ref="CA2563" r:id="rId9299" xr:uid="{5774D575-C9E9-478F-A9CB-C9270334A780}"/>
    <hyperlink ref="CD2563" r:id="rId9300" xr:uid="{FFC26EB0-9003-41BB-9E66-4B6E2EF597CC}"/>
    <hyperlink ref="O2564" r:id="rId9301" xr:uid="{8480CB3A-7BAD-4D0C-BD34-D11C2CE459D1}"/>
    <hyperlink ref="S2564" r:id="rId9302" xr:uid="{C073CED1-8405-471F-9122-6E99E4FF8465}"/>
    <hyperlink ref="CA2564" r:id="rId9303" xr:uid="{17AA6ADF-CED0-45AF-83CD-C27F1421EB3C}"/>
    <hyperlink ref="CD2564" r:id="rId9304" xr:uid="{707DDAE0-6211-4DCF-806C-018D356A1F4B}"/>
    <hyperlink ref="O2565" r:id="rId9305" xr:uid="{A8F0DCB3-9D4C-4745-B43E-6EACCA57B1F4}"/>
    <hyperlink ref="S2565" r:id="rId9306" xr:uid="{5BEE3F54-91DF-4629-8A1E-6437400A0B56}"/>
    <hyperlink ref="CA2565" r:id="rId9307" xr:uid="{6E7E8288-4B89-46B1-937B-91462D6F0AEF}"/>
    <hyperlink ref="CD2565" r:id="rId9308" xr:uid="{F20E5946-DC55-4F88-BE3B-FA75BFCC2A92}"/>
    <hyperlink ref="O2566" r:id="rId9309" xr:uid="{B27FF560-C09A-4298-AA5D-10EA9201B2AB}"/>
    <hyperlink ref="S2566" r:id="rId9310" xr:uid="{3A76A404-E61C-47E1-A9A6-8C5AF0D8CC65}"/>
    <hyperlink ref="CA2566" r:id="rId9311" xr:uid="{9B449A5E-5FF3-455B-8488-52E0275AC29C}"/>
    <hyperlink ref="CD2566" r:id="rId9312" xr:uid="{DDA378E7-2D9E-4200-B93F-6A4484CF9224}"/>
    <hyperlink ref="O2567" r:id="rId9313" xr:uid="{6D00915B-CFB3-4365-AA1D-D3937BDCB730}"/>
    <hyperlink ref="S2567" r:id="rId9314" xr:uid="{2569097F-4452-4134-A3EC-3A10DB95764D}"/>
    <hyperlink ref="CA2567" r:id="rId9315" xr:uid="{FEC45852-EB31-4538-A6F5-D73530271DF3}"/>
    <hyperlink ref="CD2567" r:id="rId9316" xr:uid="{77D02FA9-1F97-407E-A252-A3CB6DEF9055}"/>
    <hyperlink ref="O2568" r:id="rId9317" xr:uid="{7F8FD754-016D-4440-9570-E0C75C0F5F95}"/>
    <hyperlink ref="S2568" r:id="rId9318" xr:uid="{12C00B19-7144-4018-87FC-7D8ADE027A57}"/>
    <hyperlink ref="CA2568" r:id="rId9319" xr:uid="{FFAC3BF1-9577-44C2-88A0-5900C77FD77C}"/>
    <hyperlink ref="CD2568" r:id="rId9320" xr:uid="{04996FE3-A7A7-4825-87B5-95D06681FFFF}"/>
    <hyperlink ref="O2569" r:id="rId9321" xr:uid="{C765DB3D-42CA-44CB-AD89-06406C9D9880}"/>
    <hyperlink ref="S2569" r:id="rId9322" xr:uid="{2D5500E8-6C7C-4F86-A6B7-BA38866B6D59}"/>
    <hyperlink ref="CA2569" r:id="rId9323" xr:uid="{6FE35405-EA51-439D-B339-458B3171CE99}"/>
    <hyperlink ref="CD2569" r:id="rId9324" xr:uid="{0079111B-1C36-41C5-8119-CAAE4D4E6196}"/>
    <hyperlink ref="O2570" r:id="rId9325" xr:uid="{151CE71C-12EC-469D-B4D7-67F33DD1FF71}"/>
    <hyperlink ref="S2570" r:id="rId9326" xr:uid="{DF4340A4-FC8E-440B-ABCC-36CBA989B2F7}"/>
    <hyperlink ref="CA2570" r:id="rId9327" xr:uid="{3D8A972C-7BC9-4EBC-BB5B-B72E44ADCA22}"/>
    <hyperlink ref="CD2570" r:id="rId9328" xr:uid="{7EAEFEB8-5A91-4AE6-82EE-96E65207FE98}"/>
    <hyperlink ref="O2571" r:id="rId9329" xr:uid="{28D5DE8D-ADA8-459D-9410-6FFFE55CB197}"/>
    <hyperlink ref="S2571" r:id="rId9330" xr:uid="{46ED4CDD-47B3-417A-A9B8-4B18A7DC05D1}"/>
    <hyperlink ref="CA2571" r:id="rId9331" xr:uid="{19574C0E-5F9A-4081-8376-D901A83D6CE4}"/>
    <hyperlink ref="CD2571" r:id="rId9332" xr:uid="{83666CBE-5576-4BB1-84E3-DC5FD12590E8}"/>
    <hyperlink ref="O2572" r:id="rId9333" xr:uid="{9B694104-CF3C-4CB1-8B08-9F118481F6B0}"/>
    <hyperlink ref="S2572" r:id="rId9334" xr:uid="{D8248C08-FBF9-4DA3-AEEB-5785441CE055}"/>
    <hyperlink ref="CA2572" r:id="rId9335" xr:uid="{02C92C99-547C-4CD0-9AAE-C8A7791D16F8}"/>
    <hyperlink ref="CD2572" r:id="rId9336" xr:uid="{CC5CB0C6-B5D6-40D0-B3B8-133C61862350}"/>
    <hyperlink ref="O2573" r:id="rId9337" xr:uid="{DE9DB554-D743-4DAC-8044-69289AB39B51}"/>
    <hyperlink ref="S2573" r:id="rId9338" xr:uid="{77AF7376-F2AB-4398-A4EE-CFC750F6409A}"/>
    <hyperlink ref="CA2573" r:id="rId9339" xr:uid="{65D77157-EAB2-41A3-B6E4-C0FA51FE46FE}"/>
    <hyperlink ref="CD2573" r:id="rId9340" xr:uid="{78EFAC4B-87F1-427B-975E-8719063BFE04}"/>
    <hyperlink ref="O2574" r:id="rId9341" xr:uid="{6A2B1965-C179-4D5C-93AD-602B1D3EAE9E}"/>
    <hyperlink ref="S2574" r:id="rId9342" xr:uid="{78B9371E-2834-411B-8ABD-FC6112DD9CEF}"/>
    <hyperlink ref="CA2574" r:id="rId9343" xr:uid="{EFCA4D0F-7C3A-45B3-A8D6-93AEF38B6298}"/>
    <hyperlink ref="O2575" r:id="rId9344" xr:uid="{181DB173-6BDC-4D30-BEC0-A81A96093A14}"/>
    <hyperlink ref="S2575" r:id="rId9345" xr:uid="{09526C57-C14E-4839-8ADF-1F97D071CAFD}"/>
    <hyperlink ref="CA2575" r:id="rId9346" xr:uid="{9F78CC66-7A3F-4FE3-B93F-E481F2AFE6C6}"/>
    <hyperlink ref="O2576" r:id="rId9347" xr:uid="{5A6BBA47-1F06-4B5F-99BA-DDB7BB0D83D5}"/>
    <hyperlink ref="S2576" r:id="rId9348" xr:uid="{DC7583AB-F2F8-4713-8D5E-7FAE3BB06889}"/>
    <hyperlink ref="CA2576" r:id="rId9349" xr:uid="{EA93A0EF-B887-400C-A0D8-30F449812148}"/>
    <hyperlink ref="O2577" r:id="rId9350" xr:uid="{74A7341A-94E1-4116-ACDE-3F6CC7E086B6}"/>
    <hyperlink ref="S2577" r:id="rId9351" xr:uid="{75BFEEA9-A12E-4689-B264-A9D407A941FB}"/>
    <hyperlink ref="CA2577" r:id="rId9352" xr:uid="{28A8579C-476D-422D-A880-6BE8404AEA99}"/>
    <hyperlink ref="O2578" r:id="rId9353" xr:uid="{7FF508F2-1376-4FD8-BA70-B33F54587D4D}"/>
    <hyperlink ref="S2578" r:id="rId9354" xr:uid="{8409AA32-B12C-495F-B549-E8F75EB023A9}"/>
    <hyperlink ref="CA2578" r:id="rId9355" xr:uid="{AE91B023-7A66-4A46-9A3A-89A7B0B0366F}"/>
    <hyperlink ref="O2579" r:id="rId9356" xr:uid="{AE3194B6-D66E-43AA-9700-60E328FD8AC2}"/>
    <hyperlink ref="S2579" r:id="rId9357" xr:uid="{EE83E681-FBB2-4E35-BC13-162F9D2F5643}"/>
    <hyperlink ref="CA2579" r:id="rId9358" xr:uid="{65445AD6-E4C0-41E2-A638-C4639A15A100}"/>
    <hyperlink ref="O2580" r:id="rId9359" xr:uid="{66B168AA-456D-4376-9A9C-267FCB371897}"/>
    <hyperlink ref="S2580" r:id="rId9360" xr:uid="{6551A2C7-7444-40F5-AE0E-301282CDEE3D}"/>
    <hyperlink ref="CA2580" r:id="rId9361" xr:uid="{5FB7FD9E-732A-4B01-A85C-833DCFEEE0F8}"/>
    <hyperlink ref="O2581" r:id="rId9362" xr:uid="{23909616-744D-4DB5-A5C0-1E732547D541}"/>
    <hyperlink ref="S2581" r:id="rId9363" xr:uid="{A45A76C2-22C1-49EA-BFA5-8B2048DC7401}"/>
    <hyperlink ref="CA2581" r:id="rId9364" xr:uid="{073812B2-D88E-4472-A711-ED09E5F6E3D2}"/>
    <hyperlink ref="O2582" r:id="rId9365" xr:uid="{4B10A311-8B3E-45E4-884B-8DCBB5FFD268}"/>
    <hyperlink ref="R2582" r:id="rId9366" xr:uid="{A58BE4BD-4CAF-4986-A4C9-47EA8A47ABEA}"/>
    <hyperlink ref="S2582" r:id="rId9367" xr:uid="{E55722CD-A51E-4B17-A169-FB0A7570FE8F}"/>
    <hyperlink ref="CA2582" r:id="rId9368" xr:uid="{955BC822-125E-408D-A49D-A781BC377001}"/>
    <hyperlink ref="CD2582" r:id="rId9369" xr:uid="{5B7ABC4F-6F15-4F9A-8150-2A105A868DA4}"/>
    <hyperlink ref="O2584" r:id="rId9370" xr:uid="{6261124C-53C6-4DFC-9B4E-6BE7F98A57B5}"/>
    <hyperlink ref="S2584" r:id="rId9371" xr:uid="{7C6C370F-E1BE-41CE-94CE-F34D49AAEEB9}"/>
    <hyperlink ref="CA2584" r:id="rId9372" xr:uid="{A1B5A414-0D23-4903-BCA3-AC749EF3D14B}"/>
    <hyperlink ref="CB2584" r:id="rId9373" xr:uid="{B35E2B89-5003-4B06-ADE4-6AA5D61C616E}"/>
    <hyperlink ref="CD2584" r:id="rId9374" xr:uid="{EE0CD00F-5B97-419D-A7AD-9548457B02C8}"/>
    <hyperlink ref="O2585" r:id="rId9375" xr:uid="{7833796B-AB02-46C4-9F40-A99D7A2D8A7C}"/>
    <hyperlink ref="S2585" r:id="rId9376" xr:uid="{713FED83-3500-488D-AA7E-A45D432D03E4}"/>
    <hyperlink ref="CA2585" r:id="rId9377" xr:uid="{CCF93A81-9E79-4EDF-A680-37742D4ABC56}"/>
    <hyperlink ref="CB2585" r:id="rId9378" xr:uid="{D6848B3E-4D37-410D-AF52-E8B74A747A26}"/>
    <hyperlink ref="CD2585" r:id="rId9379" xr:uid="{0BA0A847-F9E6-46CB-AE72-F2314875EC41}"/>
    <hyperlink ref="O2587" r:id="rId9380" xr:uid="{3D05F67F-78A1-4AB4-A6BD-FF830EDE23AF}"/>
    <hyperlink ref="S2587" r:id="rId9381" xr:uid="{26A2B5AC-99C8-42B8-8A54-040F9A98B1C1}"/>
    <hyperlink ref="CA2587" r:id="rId9382" xr:uid="{23C4D991-D7D9-42E5-A9C8-FF3470FE02A9}"/>
    <hyperlink ref="CB2587" r:id="rId9383" xr:uid="{AB728A94-15E7-4A07-99C9-9616BEAC3A36}"/>
    <hyperlink ref="CD2587" r:id="rId9384" xr:uid="{F6518910-7EBA-462F-B180-D52CDFFAB935}"/>
    <hyperlink ref="O2588" r:id="rId9385" xr:uid="{D9A802D4-FA58-4B72-966D-3D3EBE2E7BE2}"/>
    <hyperlink ref="S2588" r:id="rId9386" xr:uid="{5F7A0283-A261-4972-820C-E173543ED753}"/>
    <hyperlink ref="CA2588" r:id="rId9387" xr:uid="{5CB19653-D762-4DC3-9E8D-A8E70608CB20}"/>
    <hyperlink ref="CB2588" r:id="rId9388" xr:uid="{0AFC9B02-3A82-48E7-9EAA-7D980557D7E7}"/>
    <hyperlink ref="CD2588" r:id="rId9389" xr:uid="{2AD0B200-0BE3-4D60-83FE-B87D012EE2B4}"/>
    <hyperlink ref="O2590" r:id="rId9390" xr:uid="{EAA5312C-95DF-43A8-88D3-10B0C9234FDA}"/>
    <hyperlink ref="S2590" r:id="rId9391" xr:uid="{0CEECA5D-3D0B-46D5-87B1-303256170FA2}"/>
    <hyperlink ref="CA2590" r:id="rId9392" xr:uid="{0B334637-D464-42AF-853F-A230C65D5EF2}"/>
    <hyperlink ref="CB2590" r:id="rId9393" xr:uid="{9505E7E0-0D3F-415B-9C1B-1082109982E6}"/>
    <hyperlink ref="CD2590" r:id="rId9394" xr:uid="{06A5E933-3E49-48A8-B1B3-33667528180E}"/>
    <hyperlink ref="O2591" r:id="rId9395" xr:uid="{F81D6377-6094-496D-AC89-D2B6D63CCDFC}"/>
    <hyperlink ref="S2591" r:id="rId9396" xr:uid="{12864FE6-9CBC-4614-9C18-FDF0E5C5D018}"/>
    <hyperlink ref="CA2591" r:id="rId9397" xr:uid="{EA2F514E-E606-4FFD-AE92-3C0F70D4F5B5}"/>
    <hyperlink ref="CB2591" r:id="rId9398" xr:uid="{9488B776-73AA-4593-B2DF-D607E3FAA755}"/>
    <hyperlink ref="CD2591" r:id="rId9399" xr:uid="{966BB6F9-9FA2-41E9-8643-AFA05CC91222}"/>
    <hyperlink ref="O2593" r:id="rId9400" xr:uid="{30D65E18-C45E-4036-90B8-F4614F1D1A9B}"/>
    <hyperlink ref="S2593" r:id="rId9401" xr:uid="{CC570787-07D5-4153-91AD-EE763F3068E9}"/>
    <hyperlink ref="CA2593" r:id="rId9402" xr:uid="{8E96B903-2013-4F9C-AA5A-9738E12433EE}"/>
    <hyperlink ref="CB2593" r:id="rId9403" xr:uid="{1890DD96-AB0B-4917-9AE5-BE863F46E1DB}"/>
    <hyperlink ref="CD2593" r:id="rId9404" xr:uid="{2310C8EF-81D6-4F83-9E1B-C81C1D191A8B}"/>
    <hyperlink ref="O2595" r:id="rId9405" xr:uid="{565F41CE-58FB-49C8-AA86-AD6A3E321786}"/>
    <hyperlink ref="S2595" r:id="rId9406" xr:uid="{03CBD1C7-03D5-4F6B-A143-B78A1278EEF7}"/>
    <hyperlink ref="CA2595" r:id="rId9407" xr:uid="{927A152C-0BD7-4F01-AC1E-C6D47A3511AB}"/>
    <hyperlink ref="CB2595" r:id="rId9408" xr:uid="{3D4D0147-65A6-450B-8E96-ABFE7F00E947}"/>
    <hyperlink ref="CD2595" r:id="rId9409" xr:uid="{D3EF02C6-9EF6-4EC0-B908-79C29D5E102D}"/>
    <hyperlink ref="O2596" r:id="rId9410" xr:uid="{1D722438-040F-49AB-B1A3-A25EF109669A}"/>
    <hyperlink ref="S2596" r:id="rId9411" xr:uid="{6D81FDF7-2CD1-445C-AC9B-ABD80B792DEB}"/>
    <hyperlink ref="CA2596" r:id="rId9412" xr:uid="{4B6E30FB-BF7A-4A26-AB38-700877652756}"/>
    <hyperlink ref="CB2596" r:id="rId9413" xr:uid="{D6A0087B-7D70-4583-8004-62A805A1CF8D}"/>
    <hyperlink ref="CD2596" r:id="rId9414" xr:uid="{C9578F5C-B7A0-4051-BADC-D2E5346A278E}"/>
    <hyperlink ref="O2597" r:id="rId9415" xr:uid="{D93DF87A-2446-400B-B884-CEEAB7DC9195}"/>
    <hyperlink ref="S2597" r:id="rId9416" xr:uid="{CB2A1BEC-6FB8-4F0E-849C-D2C31C91C85D}"/>
    <hyperlink ref="CA2597" r:id="rId9417" xr:uid="{3AEC8066-1E23-4D78-BEDE-60764B7E053A}"/>
    <hyperlink ref="CB2597" r:id="rId9418" xr:uid="{C1CC7A27-6F24-46A6-A53B-B4F7FE8CF061}"/>
    <hyperlink ref="CD2597" r:id="rId9419" xr:uid="{1FD088FD-69A5-4067-A91E-8F0BA4E52A79}"/>
    <hyperlink ref="O2599" r:id="rId9420" xr:uid="{2EFB7330-5686-478E-8E07-FB8513C5713C}"/>
    <hyperlink ref="S2599" r:id="rId9421" xr:uid="{59AE39EC-802B-4272-8AAC-1CECD71E3B25}"/>
    <hyperlink ref="CA2599" r:id="rId9422" xr:uid="{11A9830F-E6E1-401D-9C56-6EF41787CD64}"/>
    <hyperlink ref="CB2599" r:id="rId9423" xr:uid="{2AF1E164-EB04-4A69-B23F-AFA80BD4306C}"/>
    <hyperlink ref="CD2599" r:id="rId9424" xr:uid="{B7686182-4800-49A8-BE76-88AD35CFC5BD}"/>
    <hyperlink ref="O2600" r:id="rId9425" xr:uid="{9A8295AF-BE28-4A8A-AEB8-651A5EEDB5E9}"/>
    <hyperlink ref="S2600" r:id="rId9426" xr:uid="{FDAEFE94-7684-494C-AA57-C37FCD80BCCA}"/>
    <hyperlink ref="CA2600" r:id="rId9427" xr:uid="{D326FCB1-0A01-4133-8981-F8F11F8E874D}"/>
    <hyperlink ref="CB2600" r:id="rId9428" xr:uid="{87544EE9-60FC-4064-ADC3-4F856C7B2A5E}"/>
    <hyperlink ref="CD2600" r:id="rId9429" xr:uid="{343323B6-BE60-4AB6-9DFE-16B559B63452}"/>
    <hyperlink ref="O2601" r:id="rId9430" xr:uid="{26BD1161-AB01-4A4F-A355-D322ADC7F5DC}"/>
    <hyperlink ref="S2601" r:id="rId9431" xr:uid="{5CA8C7E9-4932-4C3C-A51B-D6E2375D15A2}"/>
    <hyperlink ref="CA2601" r:id="rId9432" xr:uid="{58D21BE0-B1CA-44EF-865B-06D5B6D7260B}"/>
    <hyperlink ref="CB2601" r:id="rId9433" xr:uid="{30A11C5D-6959-48BF-BB6E-CC89121D6EE2}"/>
    <hyperlink ref="CD2601" r:id="rId9434" xr:uid="{5B4D2E3D-5EB2-4B6D-AF30-A3C7F181D6AF}"/>
    <hyperlink ref="O2602" r:id="rId9435" xr:uid="{6CEDAB71-17C6-4778-9763-3AAB1CE62029}"/>
    <hyperlink ref="S2602" r:id="rId9436" xr:uid="{788C3884-1E15-4E7F-818B-9381642E43A2}"/>
    <hyperlink ref="CA2602" r:id="rId9437" xr:uid="{B19B0E0E-EF56-4FCB-8E12-0793BBDFD60F}"/>
    <hyperlink ref="CB2602" r:id="rId9438" xr:uid="{F63FEADE-9440-4E9A-9270-E5017B7C27F0}"/>
    <hyperlink ref="CD2602" r:id="rId9439" xr:uid="{EA159D88-8869-4F88-B0BB-E0D7E2EEDF09}"/>
    <hyperlink ref="O2604" r:id="rId9440" xr:uid="{B8D3BDFA-965D-4FC7-9195-D3237EF4833E}"/>
    <hyperlink ref="S2604" r:id="rId9441" xr:uid="{D08CC3CD-8F53-42CC-AE7D-AA07D88C2480}"/>
    <hyperlink ref="CA2604" r:id="rId9442" xr:uid="{1AE33E31-CF63-4A0A-BAD2-9A1BAE7194B7}"/>
    <hyperlink ref="CB2604" r:id="rId9443" xr:uid="{F4FB317A-C4A1-469E-AB52-0BBE0EDBB3E1}"/>
    <hyperlink ref="CD2604" r:id="rId9444" xr:uid="{CE2D916A-3F73-4449-94BE-9FF97D0C9187}"/>
    <hyperlink ref="O2605" r:id="rId9445" xr:uid="{01324200-00DE-47B3-8D1C-7E45382F5529}"/>
    <hyperlink ref="S2605" r:id="rId9446" xr:uid="{5471CC0E-36BC-44C6-998C-F6DAC21C82E8}"/>
    <hyperlink ref="CA2605" r:id="rId9447" xr:uid="{7EDD4CF2-6BC7-4EC3-ADE4-A6EEF739A05D}"/>
    <hyperlink ref="CB2605" r:id="rId9448" xr:uid="{FBDDD16A-DB23-49D3-A65C-088591B1E107}"/>
    <hyperlink ref="CD2605" r:id="rId9449" xr:uid="{A0143399-546D-45F3-A7D7-77C9D86ADBD6}"/>
    <hyperlink ref="O2607" r:id="rId9450" xr:uid="{37E8A91A-A768-41D8-A46B-F96FCFFB2FAA}"/>
    <hyperlink ref="S2607" r:id="rId9451" xr:uid="{03C8E93E-6A0E-4871-BD73-0A1629CD2BE0}"/>
    <hyperlink ref="CA2607" r:id="rId9452" xr:uid="{4CA4F5C3-7638-4060-B629-67CEFEC32906}"/>
    <hyperlink ref="CB2607" r:id="rId9453" xr:uid="{00C4559E-3E0F-4448-AEB4-CE3E5625BE7F}"/>
    <hyperlink ref="CD2607" r:id="rId9454" xr:uid="{39865E53-8E0A-4009-99C5-CF0D6FF7DC35}"/>
    <hyperlink ref="O2609" r:id="rId9455" xr:uid="{1875618F-4461-4460-ABA4-0722FF197758}"/>
    <hyperlink ref="S2609" r:id="rId9456" xr:uid="{5BCCE8A7-B8C8-4B52-9863-0740900D0CC6}"/>
    <hyperlink ref="CA2609" r:id="rId9457" xr:uid="{CD6858F0-03C3-42EF-B617-349908D03F32}"/>
    <hyperlink ref="CB2609" r:id="rId9458" xr:uid="{8A0BE718-40E9-4D3F-8A47-508FBBB45EC3}"/>
    <hyperlink ref="CD2609" r:id="rId9459" xr:uid="{B97BE26A-5F6D-4F3B-B86C-BEAE1EA18AEE}"/>
    <hyperlink ref="O2611" r:id="rId9460" xr:uid="{902DA525-7958-44AC-896B-4EA755848C94}"/>
    <hyperlink ref="S2611" r:id="rId9461" xr:uid="{FDF07DE0-075D-4912-B1B8-B1E7C32EAEC3}"/>
    <hyperlink ref="CA2611" r:id="rId9462" xr:uid="{4FD790AD-0708-4743-871C-A040831D3267}"/>
    <hyperlink ref="CB2611" r:id="rId9463" xr:uid="{18C74E12-38FA-4577-8BEE-1D6CF1075703}"/>
    <hyperlink ref="CD2611" r:id="rId9464" xr:uid="{37E4CD7C-2F11-4630-ADE9-8C70214685C9}"/>
    <hyperlink ref="O2612" r:id="rId9465" xr:uid="{4E5B7214-31FD-467C-93EF-03D7113CEEFD}"/>
    <hyperlink ref="S2612" r:id="rId9466" xr:uid="{1A7579B6-2B54-45C5-B742-62B01F9CE1D0}"/>
    <hyperlink ref="CA2612" r:id="rId9467" xr:uid="{B895AD65-2A58-4017-A321-A454D28F850D}"/>
    <hyperlink ref="CB2612" r:id="rId9468" xr:uid="{31547224-A871-409C-A3E9-497AEC75D62A}"/>
    <hyperlink ref="CD2612" r:id="rId9469" xr:uid="{ED02A6DB-5682-484D-B7E3-3941D8668A9A}"/>
    <hyperlink ref="O2633" r:id="rId9470" xr:uid="{56962261-2A05-46D4-A26E-227708CE6B52}"/>
    <hyperlink ref="S2633" r:id="rId9471" xr:uid="{5AD2C2C0-A2EA-4214-97CE-05F402E6EA4D}"/>
    <hyperlink ref="CA2633" r:id="rId9472" xr:uid="{B033D27B-8380-400E-AFD6-537556C12EB0}"/>
    <hyperlink ref="CD2633" r:id="rId9473" xr:uid="{A1A4DF28-6EC2-4F5C-A72B-644DF4DE2D71}"/>
    <hyperlink ref="O2634" r:id="rId9474" xr:uid="{FEAC16B5-1FF8-4E4E-A3F4-2D4732B0ACBC}"/>
    <hyperlink ref="S2634" r:id="rId9475" xr:uid="{FDAF240F-65C9-4F30-9D8D-DECEB0EA707A}"/>
    <hyperlink ref="CA2634" r:id="rId9476" xr:uid="{768FF0CB-D549-4D41-AB8D-EBBB96AB4A65}"/>
    <hyperlink ref="CD2634" r:id="rId9477" xr:uid="{1693D875-CAA8-4578-AC20-C551A22CE731}"/>
    <hyperlink ref="O2635" r:id="rId9478" xr:uid="{210FF21E-19F9-4178-8477-D54BA1F5B7B6}"/>
    <hyperlink ref="S2635" r:id="rId9479" xr:uid="{F0262704-03EA-48E8-9663-30A08497F441}"/>
    <hyperlink ref="CA2635" r:id="rId9480" xr:uid="{19397B4E-FD9A-434E-A40E-481DAE326E5A}"/>
    <hyperlink ref="O2637" r:id="rId9481" xr:uid="{FBCDBAA2-3276-45F8-8A79-953362CF23F9}"/>
    <hyperlink ref="S2637" r:id="rId9482" xr:uid="{62A8724E-0569-41A1-9C12-5C7396873983}"/>
    <hyperlink ref="T2637" r:id="rId9483" xr:uid="{5AB8579B-1B08-4661-A59A-C2C0EA76A4E4}"/>
    <hyperlink ref="CA2637" r:id="rId9484" xr:uid="{1E1AF389-6B22-4092-8336-8D9C5E6B453F}"/>
    <hyperlink ref="CB2637" r:id="rId9485" xr:uid="{486C0F63-3F48-43F8-8071-DC334A696AAD}"/>
    <hyperlink ref="CD2637" r:id="rId9486" xr:uid="{A2A9CC8A-4898-4716-996A-B98B2686E6A0}"/>
    <hyperlink ref="O2638" r:id="rId9487" xr:uid="{FBC31AA2-2E40-426E-AF30-B80DB32C0F7C}"/>
    <hyperlink ref="S2638" r:id="rId9488" xr:uid="{CCCBF0F3-06A1-46A3-AC2F-0059FC786C01}"/>
    <hyperlink ref="T2638" r:id="rId9489" xr:uid="{4AEA704C-0216-459B-97DF-BE215B5D39A4}"/>
    <hyperlink ref="CA2638" r:id="rId9490" xr:uid="{F9DA5BE6-AB87-4134-9B95-52D08CCFEDF7}"/>
    <hyperlink ref="CB2638" r:id="rId9491" xr:uid="{81CB67BE-7331-4983-B3DF-2D49E9AD202D}"/>
    <hyperlink ref="CD2638" r:id="rId9492" xr:uid="{63AE6485-0299-4A97-BDAB-C7491954B56F}"/>
    <hyperlink ref="O2639" r:id="rId9493" xr:uid="{096AFE61-1325-41FF-BCC4-6FDFB09CF265}"/>
    <hyperlink ref="S2639" r:id="rId9494" xr:uid="{24961332-70EF-41C6-BE1C-684A6DD64842}"/>
    <hyperlink ref="T2639" r:id="rId9495" xr:uid="{1A2E42C1-CCA0-49F3-A4DA-2CC3D68CADC5}"/>
    <hyperlink ref="CA2639" r:id="rId9496" xr:uid="{5DB170AD-E847-453D-8838-D45B36DE0D1C}"/>
    <hyperlink ref="CB2639" r:id="rId9497" xr:uid="{4769B04C-6D29-4CAC-A38C-572FCB1EE8DD}"/>
    <hyperlink ref="CD2639" r:id="rId9498" xr:uid="{E503C703-CF22-42F2-AC9C-2AB9708D32DA}"/>
    <hyperlink ref="O2640" r:id="rId9499" xr:uid="{925CF753-670D-42F3-8748-DA010FFC5F53}"/>
    <hyperlink ref="S2640" r:id="rId9500" xr:uid="{C0177907-B590-4DC8-BC55-C44703B0A7A4}"/>
    <hyperlink ref="T2640" r:id="rId9501" xr:uid="{BE674355-94CD-4DEC-BC34-60E7C9CD27C6}"/>
    <hyperlink ref="CA2640" r:id="rId9502" xr:uid="{A81533AE-5D01-4827-80B9-28CB3110DABE}"/>
    <hyperlink ref="CB2640" r:id="rId9503" xr:uid="{EF6009C4-B70E-4DDF-9BC2-87A6CE1EE876}"/>
    <hyperlink ref="CD2640" r:id="rId9504" xr:uid="{C29EE1AE-C093-4128-8309-09F9C4F600EC}"/>
    <hyperlink ref="O2641" r:id="rId9505" xr:uid="{10316A28-5193-4CC3-8DD0-6A566CE37AC5}"/>
    <hyperlink ref="S2641" r:id="rId9506" xr:uid="{A6DA880C-F665-4BEF-BD3B-67108BE366FD}"/>
    <hyperlink ref="T2641" r:id="rId9507" xr:uid="{29F6EF85-33C2-4083-BF5C-9C05854DBF02}"/>
    <hyperlink ref="CA2641" r:id="rId9508" xr:uid="{DFC362F0-CF67-424B-BF54-F096AB4ADA6F}"/>
    <hyperlink ref="CB2641" r:id="rId9509" xr:uid="{4EB8AA3D-3197-4BFA-801A-FCD3E16C536D}"/>
    <hyperlink ref="CD2641" r:id="rId9510" xr:uid="{CA987469-414F-4AC6-8BE0-D556259479D6}"/>
    <hyperlink ref="O2642" r:id="rId9511" xr:uid="{29FD2515-CA30-4F28-83A1-2C7E0B3C0157}"/>
    <hyperlink ref="S2642" r:id="rId9512" xr:uid="{B802B47D-A936-44CC-9341-1825323AFDB0}"/>
    <hyperlink ref="CA2642" r:id="rId9513" xr:uid="{4B6AFE01-E5C6-4D90-B516-AC9B345FE178}"/>
    <hyperlink ref="CD2642" r:id="rId9514" xr:uid="{8532ECCA-3FDD-44D4-BE5F-AE7EE27CF337}"/>
    <hyperlink ref="O2643" r:id="rId9515" xr:uid="{FD0EB925-AC8A-43F6-93E7-54FBEF6A3239}"/>
    <hyperlink ref="S2643" r:id="rId9516" xr:uid="{8A21528E-0A5D-4DFD-B28C-CF31CFECC852}"/>
    <hyperlink ref="CA2643" r:id="rId9517" xr:uid="{75C6E073-B8D0-4A86-8264-3211E72566DE}"/>
    <hyperlink ref="CD2643" r:id="rId9518" xr:uid="{9D2885A1-B3BB-4CFB-B7AB-11029AFD5952}"/>
    <hyperlink ref="O2644" r:id="rId9519" xr:uid="{FDAB5BDC-422F-4025-86DF-00230D5FAA62}"/>
    <hyperlink ref="S2644" r:id="rId9520" xr:uid="{5AF637F4-4D3E-4376-B65B-2F71E74A305E}"/>
    <hyperlink ref="CA2644" r:id="rId9521" xr:uid="{7798A617-5330-40F1-BF17-27AE1B9C07F7}"/>
    <hyperlink ref="CD2644" r:id="rId9522" xr:uid="{987ECCBA-9C97-4C58-9C6B-A137E7417616}"/>
    <hyperlink ref="O2645" r:id="rId9523" xr:uid="{359292E0-9D13-4CCA-8423-A1A728F0EADF}"/>
    <hyperlink ref="S2645" r:id="rId9524" xr:uid="{B09CB303-1E81-4B8A-9480-1623F85750D7}"/>
    <hyperlink ref="CA2645" r:id="rId9525" xr:uid="{538FF1E0-AB2A-4B3E-A8CC-EA72CC92EF26}"/>
    <hyperlink ref="CD2645" r:id="rId9526" xr:uid="{B4A952ED-51FC-4188-AFDD-89FD557D657A}"/>
    <hyperlink ref="O2646" r:id="rId9527" xr:uid="{4764F65F-B0D4-4143-8E36-AC77D64A74D4}"/>
    <hyperlink ref="S2646" r:id="rId9528" xr:uid="{5F4C9768-CEB8-4D4A-A556-1C596801206D}"/>
    <hyperlink ref="CA2646" r:id="rId9529" xr:uid="{863B8C68-C2DD-466E-9411-30ADD9950153}"/>
    <hyperlink ref="CD2646" r:id="rId9530" xr:uid="{9F274F09-E9FA-4121-B2D4-343A44E2EFCC}"/>
    <hyperlink ref="O2647" r:id="rId9531" xr:uid="{DEFA3A73-95D0-4145-8D98-07374729AE69}"/>
    <hyperlink ref="S2647" r:id="rId9532" xr:uid="{B2CACA9D-C334-459B-BBCA-3FF49EB5E7AD}"/>
    <hyperlink ref="CA2647" r:id="rId9533" xr:uid="{34E032F4-A38B-40F9-A69F-BC185FCF3820}"/>
    <hyperlink ref="O2648" r:id="rId9534" xr:uid="{57AA0E7A-6FAA-481C-BA28-8577309FA935}"/>
    <hyperlink ref="S2648" r:id="rId9535" xr:uid="{8192F84D-EBC3-449B-B4DC-E6EBA86584A1}"/>
    <hyperlink ref="CA2648" r:id="rId9536" xr:uid="{225990E8-7C64-4FC4-8027-95E0037DFEDA}"/>
    <hyperlink ref="O2649" r:id="rId9537" xr:uid="{25A332BA-BA35-4082-9289-E05AA1296E2B}"/>
    <hyperlink ref="O2650" r:id="rId9538" xr:uid="{E659206C-6B9D-487C-9AD8-3749ECD38BF9}"/>
    <hyperlink ref="O2651" r:id="rId9539" xr:uid="{A26D773C-BBCF-46DD-B37B-79E9BC946C83}"/>
    <hyperlink ref="O2652" r:id="rId9540" xr:uid="{B3DA82A4-CA37-44DC-B304-FF2F778FE37A}"/>
    <hyperlink ref="S2652" r:id="rId9541" xr:uid="{00675CA8-2DEF-46F4-A494-E0DCEB6377EE}"/>
    <hyperlink ref="CA2652" r:id="rId9542" xr:uid="{7FDF9BC6-8CEF-4D97-9CCB-0A20E55A6DE0}"/>
    <hyperlink ref="O2653" r:id="rId9543" xr:uid="{AB3543A3-CAA6-4EF3-B44B-DFCFC93A0D28}"/>
    <hyperlink ref="S2653" r:id="rId9544" xr:uid="{EC787D41-C045-4EB3-B2A4-37793C5F0756}"/>
    <hyperlink ref="CA2653" r:id="rId9545" xr:uid="{9F85989C-C69C-4C87-B8F6-49E669C29EAD}"/>
    <hyperlink ref="O2654" r:id="rId9546" xr:uid="{FF6BD0A8-A894-493D-8D33-3EE0C66C635D}"/>
    <hyperlink ref="S2654" r:id="rId9547" xr:uid="{C6CD8256-3EF9-4DE0-B612-6F097158E7A8}"/>
    <hyperlink ref="CA2654" r:id="rId9548" xr:uid="{90DF3AA2-3C6A-4668-9A4F-61B7988278C8}"/>
    <hyperlink ref="O2655" r:id="rId9549" xr:uid="{AAFAC287-4DFA-4268-A929-C3B83F753209}"/>
    <hyperlink ref="S2655" r:id="rId9550" xr:uid="{DADC6B1F-170F-4662-8B3F-5F570D1BEE05}"/>
    <hyperlink ref="CA2655" r:id="rId9551" xr:uid="{0A3AD6B8-1DC7-403C-B563-83BE1D13C90A}"/>
    <hyperlink ref="O2656" r:id="rId9552" xr:uid="{87CAD070-07A7-4EB5-A78C-8FE0BB49508F}"/>
    <hyperlink ref="S2656" r:id="rId9553" xr:uid="{EF5C891B-01A9-4177-816F-C14F0655539E}"/>
    <hyperlink ref="CA2656" r:id="rId9554" xr:uid="{017DC0CD-0DF6-4808-9FCE-67D998B31DF4}"/>
    <hyperlink ref="O2657" r:id="rId9555" xr:uid="{8A42ED23-9DC4-4252-8F57-62914DC163AD}"/>
    <hyperlink ref="S2657" r:id="rId9556" xr:uid="{0052717A-9D4B-4A1C-97EF-3392C16A6BF1}"/>
    <hyperlink ref="CA2657" r:id="rId9557" xr:uid="{07130EB7-079A-461B-8C50-67652AC99597}"/>
    <hyperlink ref="O2658" r:id="rId9558" xr:uid="{37C550C1-DB2A-4894-BC4F-D9EEB0C7FB38}"/>
    <hyperlink ref="S2658" r:id="rId9559" xr:uid="{E0073B06-38D9-464E-BFCF-8B27F4398DF5}"/>
    <hyperlink ref="CA2658" r:id="rId9560" xr:uid="{04020726-61CB-4812-8A57-C4CCED309B67}"/>
    <hyperlink ref="O2659" r:id="rId9561" xr:uid="{6EFD992C-3284-45DC-827F-8FA1A26A37DE}"/>
    <hyperlink ref="S2659" r:id="rId9562" xr:uid="{025422AA-260F-44A6-8ADC-1BF1F6E6DFEE}"/>
    <hyperlink ref="CA2659" r:id="rId9563" xr:uid="{12A2BE1B-3194-4F77-8D3E-3612ADEECB6E}"/>
    <hyperlink ref="O2660" r:id="rId9564" xr:uid="{C233C763-136A-4F39-9C62-250652435567}"/>
    <hyperlink ref="S2660" r:id="rId9565" xr:uid="{43D3C32C-53E6-4796-A50B-DA3B12229F3C}"/>
    <hyperlink ref="CA2660" r:id="rId9566" xr:uid="{8B28D58B-4AE3-4F0C-837E-6A8325D91811}"/>
    <hyperlink ref="O2661" r:id="rId9567" xr:uid="{649AA466-FD64-444A-B95C-1B90FF2E88D6}"/>
    <hyperlink ref="S2661" r:id="rId9568" xr:uid="{E4F279EC-8379-4360-8D26-28F02054D5F0}"/>
    <hyperlink ref="CA2661" r:id="rId9569" xr:uid="{E14CBFE6-3FEF-4523-BB85-A2A7B94AD834}"/>
    <hyperlink ref="CD2661" r:id="rId9570" xr:uid="{D3E1DED4-3487-433C-8535-57732DE55875}"/>
    <hyperlink ref="O2662" r:id="rId9571" xr:uid="{11351432-42E4-4C73-B99C-ABF453C6BE12}"/>
    <hyperlink ref="S2662" r:id="rId9572" xr:uid="{8D9B89AA-FA8D-4E8C-BCD4-FECBE9CF2C58}"/>
    <hyperlink ref="CA2662" r:id="rId9573" xr:uid="{33DAD31D-D258-4AA0-9833-077D21345CD5}"/>
    <hyperlink ref="CD2662" r:id="rId9574" xr:uid="{348CA0F5-9A1C-4B5D-91E8-A84FE45D2CAA}"/>
    <hyperlink ref="O2663" r:id="rId9575" xr:uid="{705A794B-64EF-453E-BB25-0EF2FFA386BE}"/>
    <hyperlink ref="S2663" r:id="rId9576" xr:uid="{4C7AF244-32B8-4F06-A2EC-80D4A794CE4E}"/>
    <hyperlink ref="T2663" r:id="rId9577" xr:uid="{2FD7CA8B-4782-409A-877F-89CBB986632F}"/>
    <hyperlink ref="CA2663" r:id="rId9578" xr:uid="{3D57A3D4-00D5-4C5E-B6E2-9CF40AA5270B}"/>
    <hyperlink ref="CB2663" r:id="rId9579" xr:uid="{15E60DD8-4814-4465-B7F4-8F300F8B1AC9}"/>
    <hyperlink ref="O2664" r:id="rId9580" xr:uid="{CEB83FAB-109D-445B-952B-17E649BC1E13}"/>
    <hyperlink ref="S2664" r:id="rId9581" xr:uid="{E3F947F1-1C97-4165-9FDB-0CA80F79493A}"/>
    <hyperlink ref="T2664" r:id="rId9582" xr:uid="{5C661828-156E-44E4-A55D-1CC905B2F08D}"/>
    <hyperlink ref="CA2664" r:id="rId9583" xr:uid="{291F6682-F809-458A-9BE7-FFA37C9FC53D}"/>
    <hyperlink ref="CB2664" r:id="rId9584" xr:uid="{CDE875A6-D627-4D9D-AB69-83C3D52E698B}"/>
    <hyperlink ref="O2665" r:id="rId9585" xr:uid="{AE54FDE7-EC5F-4BCC-B535-A8C3AA49E820}"/>
    <hyperlink ref="S2665" r:id="rId9586" xr:uid="{70023A70-5F11-413A-98F2-CF6FC8AAAA6B}"/>
    <hyperlink ref="T2665" r:id="rId9587" xr:uid="{88252910-F845-483E-99C1-C77819E78251}"/>
    <hyperlink ref="CA2665" r:id="rId9588" xr:uid="{B9CCE325-76BD-4CC8-942D-EFED5409D942}"/>
    <hyperlink ref="CB2665" r:id="rId9589" xr:uid="{B3F7B828-D6EC-4061-8698-CB5D712F615D}"/>
    <hyperlink ref="O2666" r:id="rId9590" xr:uid="{8C97C8A8-6CC3-4AC0-8A99-B55B6CC5A554}"/>
    <hyperlink ref="S2666" r:id="rId9591" xr:uid="{61C3CC72-7256-470F-BA88-E61BE0BF18D7}"/>
    <hyperlink ref="T2666" r:id="rId9592" xr:uid="{41B49FC7-472E-4D6E-B882-3534BC4C5AAC}"/>
    <hyperlink ref="CA2666" r:id="rId9593" xr:uid="{D0AF3782-6D8C-4C90-BC4E-0F95E1ABA83E}"/>
    <hyperlink ref="CB2666" r:id="rId9594" xr:uid="{59908954-B673-4EC3-8B1D-C262A9B16848}"/>
    <hyperlink ref="O2667" r:id="rId9595" xr:uid="{7D495896-A726-4746-9B99-446CA223FDB0}"/>
    <hyperlink ref="S2667" r:id="rId9596" xr:uid="{1A3B34C6-2B3E-4BFC-AD7D-F1D5ADAC1183}"/>
    <hyperlink ref="T2667" r:id="rId9597" xr:uid="{4661E96D-9CE2-47FB-82CB-08A31C7B64D8}"/>
    <hyperlink ref="CA2667" r:id="rId9598" xr:uid="{57BBE580-D63C-43BC-A3DC-D81B2F42D0B3}"/>
    <hyperlink ref="CB2667" r:id="rId9599" xr:uid="{0EE3F610-22A7-4D44-BE10-EA207018D49F}"/>
    <hyperlink ref="O2668" r:id="rId9600" xr:uid="{A0D340FF-65BE-47BD-B111-AE68919A6407}"/>
    <hyperlink ref="R2668" r:id="rId9601" xr:uid="{56E3AF16-A491-4410-92A4-F28B2142863B}"/>
    <hyperlink ref="S2668" r:id="rId9602" xr:uid="{6C45A4AD-0606-41D4-94B9-495F4A2684AC}"/>
    <hyperlink ref="CA2668" r:id="rId9603" xr:uid="{4F4F8B84-1A76-4E6F-A171-F4B881DB98A0}"/>
    <hyperlink ref="CD2668" r:id="rId9604" xr:uid="{FF14C05B-E49D-4073-96F2-FD4ACA2AC79E}"/>
    <hyperlink ref="O2669" r:id="rId9605" xr:uid="{44D2845D-D87C-4013-BA70-2C2CFB426654}"/>
    <hyperlink ref="S2669" r:id="rId9606" xr:uid="{1A7C9BC0-7499-4E03-9AE5-8A257DDB84CE}"/>
    <hyperlink ref="CA2669" r:id="rId9607" xr:uid="{7050FE6A-2E29-4727-B406-E7791A33127A}"/>
    <hyperlink ref="O2670" r:id="rId9608" xr:uid="{12B1B4C0-48C3-4F85-B147-87D1BD4DCE80}"/>
    <hyperlink ref="S2670" r:id="rId9609" xr:uid="{0811B940-1197-487C-8AD5-C52D30FB65DF}"/>
    <hyperlink ref="CA2670" r:id="rId9610" xr:uid="{E7F51D56-850E-489A-9EB8-32721B48FB51}"/>
    <hyperlink ref="O2671" r:id="rId9611" xr:uid="{4B137BED-5D1B-49C8-857A-ADC5E6FBA769}"/>
    <hyperlink ref="S2671" r:id="rId9612" xr:uid="{9A91DF3B-DD5E-4C06-8604-82F22308F1EE}"/>
    <hyperlink ref="CA2671" r:id="rId9613" xr:uid="{646A9BF5-0E1D-44BF-8D07-9AAD8DA3F85E}"/>
    <hyperlink ref="O2672" r:id="rId9614" xr:uid="{B1D08E22-4B77-4AF1-947B-516C05C041AC}"/>
    <hyperlink ref="S2672" r:id="rId9615" xr:uid="{B8239536-5D9F-4DC3-AB22-7479BB80182C}"/>
    <hyperlink ref="CA2672" r:id="rId9616" xr:uid="{57CBB6A2-5A77-4934-9EED-AF5CD9AD5271}"/>
    <hyperlink ref="CD2672" r:id="rId9617" xr:uid="{93D9C2FD-F50E-4826-A31D-936FA82E2634}"/>
    <hyperlink ref="O2673" r:id="rId9618" xr:uid="{012EF3B9-8E10-47F7-9051-36FEE7AE513F}"/>
    <hyperlink ref="S2673" r:id="rId9619" xr:uid="{7EE7D1D1-2B48-470A-A12F-CA89FB3A3B01}"/>
    <hyperlink ref="CA2673" r:id="rId9620" xr:uid="{E79642F7-B234-4212-947A-E6798CFECC33}"/>
    <hyperlink ref="CD2673" r:id="rId9621" xr:uid="{5E2329D2-70F4-44EC-B8FA-7B946B4D27B5}"/>
    <hyperlink ref="O2674" r:id="rId9622" xr:uid="{4EB80434-BC0E-4082-A788-9BAAF1BE2B6A}"/>
    <hyperlink ref="S2674" r:id="rId9623" xr:uid="{AA4DAB28-9852-4046-92B3-A402836A4C05}"/>
    <hyperlink ref="CA2674" r:id="rId9624" xr:uid="{30A14C46-196B-4FAF-ABFE-FE8B2E3F2004}"/>
    <hyperlink ref="CD2674" r:id="rId9625" xr:uid="{AA64C63E-CBB2-4D28-B293-5444ED5328B5}"/>
    <hyperlink ref="O2675" r:id="rId9626" xr:uid="{DDE2CA76-C34A-4530-9B6A-92008427E42A}"/>
    <hyperlink ref="S2675" r:id="rId9627" xr:uid="{EBCDF61E-AD08-4554-879C-47D6B9A66396}"/>
    <hyperlink ref="CA2675" r:id="rId9628" xr:uid="{90248CDB-50A9-4214-B5A3-1029312EA17E}"/>
    <hyperlink ref="CD2675" r:id="rId9629" xr:uid="{DA5AE3BD-D43B-4DC5-A720-7E2E459F16EC}"/>
    <hyperlink ref="O2676" r:id="rId9630" xr:uid="{98849EC0-7B0F-4E99-BB22-0D66221F2A65}"/>
    <hyperlink ref="S2676" r:id="rId9631" xr:uid="{24547F3F-60AC-4520-846B-423F9F1B2B7A}"/>
    <hyperlink ref="CA2676" r:id="rId9632" xr:uid="{09607C91-7C4E-4E17-B50F-86D44893B52D}"/>
    <hyperlink ref="CD2676" r:id="rId9633" xr:uid="{F64B9D33-9A2D-4174-8690-96EFD4512DD7}"/>
    <hyperlink ref="O2677" r:id="rId9634" xr:uid="{238D0A6D-33AC-43C4-9106-D251A15713A2}"/>
    <hyperlink ref="S2677" r:id="rId9635" xr:uid="{6B791D51-22F1-4FB3-90B0-6C45BD1F09EB}"/>
    <hyperlink ref="CA2677" r:id="rId9636" xr:uid="{777AE9B0-4109-4591-947B-4985A65997F5}"/>
    <hyperlink ref="CD2677" r:id="rId9637" xr:uid="{770BF47F-83E6-4D99-B69E-169DB2A3CB1F}"/>
    <hyperlink ref="O2678" r:id="rId9638" xr:uid="{C140E9E1-703F-4B92-9F74-707D47C86AF0}"/>
    <hyperlink ref="S2678" r:id="rId9639" xr:uid="{77357F54-F352-4210-9512-9CD8AD1A8DA2}"/>
    <hyperlink ref="CA2678" r:id="rId9640" xr:uid="{9C562ADC-9C33-4CCB-A44D-B274ADB6ED52}"/>
    <hyperlink ref="CD2678" r:id="rId9641" xr:uid="{BB7EF620-DED3-44B8-ADCC-E18E2C3776DD}"/>
    <hyperlink ref="O2679" r:id="rId9642" xr:uid="{C9BC719A-965B-4AAE-B61C-E62D25266DA9}"/>
    <hyperlink ref="S2679" r:id="rId9643" xr:uid="{1A7C7FFE-CB2A-404B-AFC7-A30EF1F88BC1}"/>
    <hyperlink ref="CA2679" r:id="rId9644" xr:uid="{29ACEE50-96F7-4C09-9B99-0FD78DC3B5D3}"/>
    <hyperlink ref="CD2679" r:id="rId9645" xr:uid="{B47103E2-B862-4074-9D41-CB7C64812B37}"/>
    <hyperlink ref="O2680" r:id="rId9646" xr:uid="{398AB854-B6A1-4515-B767-EA003B96AA36}"/>
    <hyperlink ref="S2680" r:id="rId9647" xr:uid="{CCF854BE-0427-4F43-BCF5-C4C9C1C64020}"/>
    <hyperlink ref="CA2680" r:id="rId9648" xr:uid="{7F1A6B7A-28F9-45C9-9A58-C267A158EF36}"/>
    <hyperlink ref="CD2680" r:id="rId9649" xr:uid="{ED232837-220E-470D-A111-430923FA892A}"/>
    <hyperlink ref="O2681" r:id="rId9650" xr:uid="{9B4F918F-B1C8-43F7-A92D-078355EC1521}"/>
    <hyperlink ref="S2681" r:id="rId9651" xr:uid="{270DD4D2-45DD-4678-B19A-5F90B7C15BAF}"/>
    <hyperlink ref="CA2681" r:id="rId9652" xr:uid="{C6DB762B-3184-4805-8647-D7055395F8C0}"/>
    <hyperlink ref="CD2681" r:id="rId9653" xr:uid="{CA4AC9D9-FFDD-4BF4-8C31-E27C17541800}"/>
    <hyperlink ref="O2682" r:id="rId9654" xr:uid="{92CFEE2F-501F-47AD-AB53-D6616278E24C}"/>
    <hyperlink ref="S2682" r:id="rId9655" xr:uid="{E9D8DC2B-94B7-4530-B51C-39BCAADD6009}"/>
    <hyperlink ref="CA2682" r:id="rId9656" xr:uid="{8317EF9C-0552-4038-89A2-007CBE530A69}"/>
    <hyperlink ref="CD2682" r:id="rId9657" xr:uid="{D4D91D4B-8BEC-428B-AA27-932B5E7D32D4}"/>
    <hyperlink ref="O2683" r:id="rId9658" xr:uid="{713CDBB3-8943-4AAC-8C15-B30869BC5CB6}"/>
    <hyperlink ref="S2683" r:id="rId9659" xr:uid="{4E4CA74D-DF5A-454F-84A2-9FB491101D08}"/>
    <hyperlink ref="CA2683" r:id="rId9660" xr:uid="{587BADAB-CD1A-49DB-AD97-2B2230BF850C}"/>
    <hyperlink ref="CD2683" r:id="rId9661" xr:uid="{33BA365F-CC0E-4E63-9157-FADB4515A58B}"/>
    <hyperlink ref="O2684" r:id="rId9662" xr:uid="{B435EB8E-76E4-4EA9-A88B-5D0CA614130A}"/>
    <hyperlink ref="S2684" r:id="rId9663" xr:uid="{1FDC8A44-711B-43DC-9A2C-09736397D214}"/>
    <hyperlink ref="CA2684" r:id="rId9664" xr:uid="{37F2BAE1-5096-4BB6-81BE-C8144575F371}"/>
    <hyperlink ref="CD2684" r:id="rId9665" xr:uid="{52125B6E-E8F0-4539-958E-100D15A151B4}"/>
    <hyperlink ref="O2685" r:id="rId9666" xr:uid="{D4FF54DA-48F9-4FB6-98B1-C0B98B79D2F0}"/>
    <hyperlink ref="S2685" r:id="rId9667" xr:uid="{09E51A59-2476-483D-8739-0B71DC175FD8}"/>
    <hyperlink ref="CA2685" r:id="rId9668" xr:uid="{7BCD5FFB-8D9C-4089-AAE0-F7D19D6241E2}"/>
    <hyperlink ref="CD2685" r:id="rId9669" xr:uid="{158747BD-4B5F-4285-B5BA-FA5F96BA91E6}"/>
    <hyperlink ref="O2686" r:id="rId9670" xr:uid="{E4FC1971-B89B-4CA0-9D03-943E96CAEB58}"/>
    <hyperlink ref="S2686" r:id="rId9671" xr:uid="{5525E85D-EFA1-4FFB-B1BD-D4B8E5167179}"/>
    <hyperlink ref="CA2686" r:id="rId9672" xr:uid="{0CDEBA20-F60D-4457-96BE-0D27C7876634}"/>
    <hyperlink ref="CD2686" r:id="rId9673" xr:uid="{1298AE44-C1D0-4BA2-B31D-05CEE02CD876}"/>
    <hyperlink ref="O2687" r:id="rId9674" xr:uid="{E3FD115C-2CA7-4971-9779-DEB238FD5DDD}"/>
    <hyperlink ref="S2687" r:id="rId9675" xr:uid="{DD914EEF-FA58-471C-9CA3-333C17313886}"/>
    <hyperlink ref="CA2687" r:id="rId9676" xr:uid="{EC37E119-0D4A-4FAF-B89C-5A29083EA5CE}"/>
    <hyperlink ref="CD2687" r:id="rId9677" xr:uid="{45BD14B6-204F-4F72-BBE9-6002C96ED4C7}"/>
    <hyperlink ref="O2688" r:id="rId9678" xr:uid="{CBFB2CD6-4E1A-4266-8797-182AA24B3F86}"/>
    <hyperlink ref="S2688" r:id="rId9679" xr:uid="{E169AFBD-A4ED-412A-AB76-5DC5D7A2A4F3}"/>
    <hyperlink ref="CA2688" r:id="rId9680" xr:uid="{5EDBCE3A-4641-4109-8B37-33B78D37BD87}"/>
    <hyperlink ref="CD2688" r:id="rId9681" xr:uid="{BB43A302-6642-4135-B90D-6CAE3CBEA993}"/>
    <hyperlink ref="O2689" r:id="rId9682" xr:uid="{01B39A2B-6CA2-40E9-AF96-6CEC8CB67691}"/>
    <hyperlink ref="S2689" r:id="rId9683" xr:uid="{52260822-8475-434D-A1A0-5CDACEC38B4D}"/>
    <hyperlink ref="CA2689" r:id="rId9684" xr:uid="{C11FE8F9-E47F-4B64-B4D9-D201E86781F5}"/>
    <hyperlink ref="CD2689" r:id="rId9685" xr:uid="{0BDEB258-769C-4ACF-B12E-54A9D7FB1842}"/>
    <hyperlink ref="O2690" r:id="rId9686" xr:uid="{73C2CB24-4784-4244-A9D8-DD9225D9F4C2}"/>
    <hyperlink ref="S2690" r:id="rId9687" xr:uid="{897E3B53-4461-4225-AD7B-CFEDF292A91A}"/>
    <hyperlink ref="CA2690" r:id="rId9688" xr:uid="{FE43C327-223E-479A-BE3A-990B8E3B9E40}"/>
    <hyperlink ref="CD2690" r:id="rId9689" xr:uid="{B5299CBC-B297-4FDC-B52B-43F1F163B5B0}"/>
    <hyperlink ref="O2691" r:id="rId9690" xr:uid="{9C66D2F4-7B12-4821-A5BA-BDB7B7B384DB}"/>
    <hyperlink ref="S2691" r:id="rId9691" xr:uid="{6DDAB6AF-FDFF-481D-A45E-366A47735BAA}"/>
    <hyperlink ref="CA2691" r:id="rId9692" xr:uid="{7A952415-4419-4CC8-B27B-64A844D9E37D}"/>
    <hyperlink ref="CD2691" r:id="rId9693" xr:uid="{D3AF645F-B67C-4D09-9FA1-5AC460826AEB}"/>
    <hyperlink ref="O2692" r:id="rId9694" xr:uid="{D33CD597-8E6C-4B5A-A6D3-D5E2E046967B}"/>
    <hyperlink ref="S2692" r:id="rId9695" xr:uid="{9C8DD249-93CD-4FC1-AC17-81DBE67A8888}"/>
    <hyperlink ref="CA2692" r:id="rId9696" xr:uid="{1888E842-3CB7-41A9-8C73-3628D0A67706}"/>
    <hyperlink ref="O2693" r:id="rId9697" xr:uid="{6CF0EFB8-BEAE-4417-9FEA-5BB4C93B65AD}"/>
    <hyperlink ref="S2693" r:id="rId9698" xr:uid="{5914EC3D-66E8-415F-9650-925C94428451}"/>
    <hyperlink ref="CA2693" r:id="rId9699" xr:uid="{5FD77966-255E-4321-B732-93909B5E877C}"/>
    <hyperlink ref="O2694" r:id="rId9700" xr:uid="{3E253193-3C77-470D-9F51-A83BBCD60437}"/>
    <hyperlink ref="S2694" r:id="rId9701" xr:uid="{A1289447-AFF4-41EB-BBB9-EF525C268972}"/>
    <hyperlink ref="CA2694" r:id="rId9702" xr:uid="{83009B40-677A-4C29-8D01-0A913C3CB9F9}"/>
    <hyperlink ref="O2695" r:id="rId9703" xr:uid="{9E5C3166-31DE-40C0-99FC-627E35B88B86}"/>
    <hyperlink ref="R2695" r:id="rId9704" xr:uid="{73435B06-3498-4845-A877-A71235C9C872}"/>
    <hyperlink ref="S2695" r:id="rId9705" xr:uid="{4DD0D3A6-87CC-423F-AD3B-C17D7841E8DA}"/>
    <hyperlink ref="CA2695" r:id="rId9706" xr:uid="{5E6A1B9B-7FE0-45C5-B623-EA860946AEF7}"/>
    <hyperlink ref="CD2695" r:id="rId9707" xr:uid="{EA92DB6C-6FE5-44E7-B91E-344E4EFD4817}"/>
    <hyperlink ref="O2696" r:id="rId9708" xr:uid="{48463CB6-8C20-4973-9AB9-54A6ADBE6DE7}"/>
    <hyperlink ref="R2696" r:id="rId9709" xr:uid="{BD65B096-B7D0-4F7A-85B7-5878EF8038D1}"/>
    <hyperlink ref="S2696" r:id="rId9710" xr:uid="{4DEC0B52-0FA3-48C0-9C70-00E0B7708EEF}"/>
    <hyperlink ref="CA2696" r:id="rId9711" xr:uid="{084976E2-3FD1-4B67-82B0-09FEB97FF91D}"/>
    <hyperlink ref="CD2696" r:id="rId9712" xr:uid="{EF53AAB7-FCF5-419D-94D9-A947B926C81E}"/>
    <hyperlink ref="O2697" r:id="rId9713" xr:uid="{BB4CEABB-1AFA-48B4-B45E-526DDDA53FA9}"/>
    <hyperlink ref="S2697" r:id="rId9714" xr:uid="{8949226D-61C5-4840-B086-7063D76ADF09}"/>
    <hyperlink ref="CA2697" r:id="rId9715" xr:uid="{8225F3EA-A717-4C7C-B23A-532DA4185941}"/>
    <hyperlink ref="O2698" r:id="rId9716" xr:uid="{2FF7F85E-1125-40AB-874D-C3572976C221}"/>
    <hyperlink ref="S2698" r:id="rId9717" xr:uid="{7C216F07-65E8-4323-B93C-1F58B045941E}"/>
    <hyperlink ref="T2698" r:id="rId9718" xr:uid="{CD68F591-7321-4D94-8CB2-D3E8BACDB195}"/>
    <hyperlink ref="CA2698" r:id="rId9719" xr:uid="{AA1FA57D-6897-46F3-B7A0-B555D29E1A5A}"/>
    <hyperlink ref="CB2698" r:id="rId9720" xr:uid="{F7EC3C42-934E-4BD3-9352-FDFFFC27C399}"/>
    <hyperlink ref="CD2698" r:id="rId9721" xr:uid="{A7874FE1-B9A3-4665-BF00-B80F626174FE}"/>
    <hyperlink ref="O2699" r:id="rId9722" xr:uid="{0D5B710B-AB2E-45E1-B052-69443AE5F65D}"/>
    <hyperlink ref="S2699" r:id="rId9723" xr:uid="{E9E60D72-8A5E-4723-BCA1-F62268AC5A9C}"/>
    <hyperlink ref="T2699" r:id="rId9724" xr:uid="{7CAB7FB4-1CC4-433B-A596-DFAD39DFD079}"/>
    <hyperlink ref="CA2699" r:id="rId9725" xr:uid="{BFB4E4EA-1F4A-4671-8664-28297B1FA13D}"/>
    <hyperlink ref="CB2699" r:id="rId9726" xr:uid="{CC82104B-953D-4A2F-B03C-F1BE630C3F49}"/>
    <hyperlink ref="CD2699" r:id="rId9727" xr:uid="{5D36B4A2-8CED-4015-9B88-93BC205AFAA7}"/>
    <hyperlink ref="O2700" r:id="rId9728" xr:uid="{522CCBE9-E209-4E28-B764-BFED8EA52B63}"/>
    <hyperlink ref="S2700" r:id="rId9729" xr:uid="{986EA5A6-1892-457E-975D-7F4A37491CFA}"/>
    <hyperlink ref="T2700" r:id="rId9730" xr:uid="{DCF1FB41-FF45-4FC6-BD61-FB5FD07F432E}"/>
    <hyperlink ref="CA2700" r:id="rId9731" xr:uid="{20293E19-6F50-4E27-B1C6-A104F4A0887D}"/>
    <hyperlink ref="CB2700" r:id="rId9732" xr:uid="{D50AAC4F-73E7-4D46-870E-95A1B71395F4}"/>
    <hyperlink ref="CD2700" r:id="rId9733" xr:uid="{BAAAACE1-F3E0-45DB-ACBF-3BC170C96C23}"/>
    <hyperlink ref="O2701" r:id="rId9734" xr:uid="{3BD20495-27BE-4B78-BC01-9F46F33A2019}"/>
    <hyperlink ref="S2701" r:id="rId9735" xr:uid="{DD69CFAA-581B-48CD-8835-B60CC3E1F564}"/>
    <hyperlink ref="T2701" r:id="rId9736" xr:uid="{DFD66176-B374-4313-8FE8-64F13A84ADC2}"/>
    <hyperlink ref="CA2701" r:id="rId9737" xr:uid="{066E3517-447E-4FD7-9DFC-4E475BA2A515}"/>
    <hyperlink ref="CB2701" r:id="rId9738" xr:uid="{A52E7704-1C68-4842-B18A-E2C69CFE4E1B}"/>
    <hyperlink ref="CD2701" r:id="rId9739" xr:uid="{46823C84-D57E-421D-BAE9-70354564268C}"/>
    <hyperlink ref="O2702" r:id="rId9740" xr:uid="{8F591320-9684-4D19-B49D-098A8092C215}"/>
    <hyperlink ref="S2702" r:id="rId9741" xr:uid="{C09BFC57-294D-4684-B1AA-A8CDDCA1FC2E}"/>
    <hyperlink ref="T2702" r:id="rId9742" xr:uid="{A993923C-028C-43E3-86BF-D6C5F4AFDF31}"/>
    <hyperlink ref="CA2702" r:id="rId9743" xr:uid="{C58C15AC-B77F-4BD0-B0E7-F0A08F080C1F}"/>
    <hyperlink ref="CB2702" r:id="rId9744" xr:uid="{CCA0A2A0-66CE-46ED-9BD5-68E7D6E48346}"/>
    <hyperlink ref="CD2702" r:id="rId9745" xr:uid="{66F992A2-3F9E-4371-8F6B-FD668E6EC610}"/>
    <hyperlink ref="O2703" r:id="rId9746" xr:uid="{9160F656-CD10-4DE0-B5C1-54A58C7F9762}"/>
    <hyperlink ref="S2703" r:id="rId9747" xr:uid="{01525C3D-D1AE-466D-949E-E546475190DC}"/>
    <hyperlink ref="T2703" r:id="rId9748" xr:uid="{0DE57459-6F3B-4701-B512-C7F60A9EAF56}"/>
    <hyperlink ref="CA2703" r:id="rId9749" xr:uid="{308248AA-59C2-4477-99F5-55DE1249B7DA}"/>
    <hyperlink ref="CB2703" r:id="rId9750" xr:uid="{597B463F-2CBE-4CB6-9A5C-D84770053FA6}"/>
    <hyperlink ref="CD2703" r:id="rId9751" xr:uid="{20072945-19D7-4140-BCE9-F352869EB91D}"/>
    <hyperlink ref="O2704" r:id="rId9752" xr:uid="{546E641D-F47D-4B57-A4CF-5C8F77227580}"/>
    <hyperlink ref="S2704" r:id="rId9753" xr:uid="{ED8B2722-5F2E-4963-8D21-6D883A5A1B79}"/>
    <hyperlink ref="T2704" r:id="rId9754" xr:uid="{91EE772B-A28B-4540-90AC-9C5CB03066D1}"/>
    <hyperlink ref="CA2704" r:id="rId9755" xr:uid="{8A048B20-5EDC-4AEF-85BC-11AF7C1C9690}"/>
    <hyperlink ref="CB2704" r:id="rId9756" xr:uid="{1C015EB7-424A-4932-9423-41A0C2DF51F2}"/>
    <hyperlink ref="CD2704" r:id="rId9757" xr:uid="{7C5D0819-E807-4731-8E2F-9DF48FD3FE1D}"/>
    <hyperlink ref="O2705" r:id="rId9758" xr:uid="{C3B72EA8-4DA3-4AFF-8A76-975B92D918F9}"/>
    <hyperlink ref="S2705" r:id="rId9759" xr:uid="{81B77586-D524-4E6C-B46B-F20D1DAA16B1}"/>
    <hyperlink ref="CA2705" r:id="rId9760" xr:uid="{DEAFE1CB-0F35-451F-BC39-C5A8F8E86B47}"/>
    <hyperlink ref="CD2705" r:id="rId9761" xr:uid="{0F0D6B2C-E518-4280-9FC3-E47DBE679B36}"/>
    <hyperlink ref="O2706" r:id="rId9762" xr:uid="{62DF22C4-43AA-4F1F-AAA0-83671CF19E24}"/>
    <hyperlink ref="S2706" r:id="rId9763" xr:uid="{B47DB069-733A-4268-91C0-D535DD250D8F}"/>
    <hyperlink ref="CA2706" r:id="rId9764" xr:uid="{1C3CAF40-144E-42B6-80F9-C7B0E58C14C0}"/>
    <hyperlink ref="CD2706" r:id="rId9765" xr:uid="{BA196EA3-4CDC-43A8-B176-AE8095F28E84}"/>
    <hyperlink ref="O2707" r:id="rId9766" xr:uid="{77FDD3F3-CB25-4E20-AC23-84324BDCD4CC}"/>
    <hyperlink ref="S2707" r:id="rId9767" xr:uid="{6F6EE7A2-B47C-4683-8B52-05BF32D213AA}"/>
    <hyperlink ref="CA2707" r:id="rId9768" xr:uid="{5055C669-C455-4482-89B1-7A02AD1D1094}"/>
    <hyperlink ref="CD2707" r:id="rId9769" xr:uid="{129D3593-B463-4692-BB03-44A5004BFE7B}"/>
    <hyperlink ref="O2708" r:id="rId9770" xr:uid="{6DD953C8-5D7C-474C-AE18-490D15B0AB28}"/>
    <hyperlink ref="S2708" r:id="rId9771" xr:uid="{A502FFB1-4053-4830-9D08-7BA98DA6679F}"/>
    <hyperlink ref="CA2708" r:id="rId9772" xr:uid="{243EFED5-EE36-44E3-8C0C-5AE51E14B3AA}"/>
    <hyperlink ref="CD2708" r:id="rId9773" xr:uid="{1D94E919-468E-479C-BEFA-0D4383A9B130}"/>
    <hyperlink ref="O2709" r:id="rId9774" xr:uid="{A81FDD93-FF18-440E-BCE3-D746A70BE189}"/>
    <hyperlink ref="R2709" r:id="rId9775" xr:uid="{02638466-0B36-4DCE-842A-5FC39071E49E}"/>
    <hyperlink ref="S2709" r:id="rId9776" xr:uid="{E5ED2189-AC95-4EDD-BF18-7945C695004E}"/>
    <hyperlink ref="CA2709" r:id="rId9777" xr:uid="{F76BB488-4F1B-40FD-A3C6-B62C1FF05C35}"/>
    <hyperlink ref="CD2709" r:id="rId9778" xr:uid="{14F8F126-AFEF-459E-A02E-91F222AAB21B}"/>
    <hyperlink ref="O2710" r:id="rId9779" xr:uid="{1894D64C-D854-4F0F-9936-1BF790C6FF53}"/>
    <hyperlink ref="S2710" r:id="rId9780" xr:uid="{BD25F0A2-CE7D-4A7F-91EE-AD8A297802C9}"/>
    <hyperlink ref="CA2710" r:id="rId9781" xr:uid="{965C0721-13F5-4C45-8C4A-1FA0CEC2E0D7}"/>
    <hyperlink ref="O2711" r:id="rId9782" xr:uid="{4BF54277-45FB-4D9A-BDB6-12921C101794}"/>
    <hyperlink ref="S2711" r:id="rId9783" xr:uid="{15343399-619B-4422-81AE-E70557B27257}"/>
    <hyperlink ref="CA2711" r:id="rId9784" xr:uid="{437673F2-8837-40AB-837E-47AB60710E91}"/>
    <hyperlink ref="O2712" r:id="rId9785" xr:uid="{AFD3B479-9227-4FBB-BB31-FA7933A98A28}"/>
    <hyperlink ref="S2712" r:id="rId9786" xr:uid="{0EC96EA1-EA75-4DEA-BF2A-5CF2DDB1EF58}"/>
    <hyperlink ref="CA2712" r:id="rId9787" xr:uid="{92B51759-762A-43EE-9961-52BCCF9E0A72}"/>
    <hyperlink ref="O2713" r:id="rId9788" xr:uid="{CD4D8817-B9F2-4111-B43E-8DCDEF33AF7B}"/>
    <hyperlink ref="S2713" r:id="rId9789" xr:uid="{39FB7A6D-F2F6-49D2-B802-7D93F8F00E0D}"/>
    <hyperlink ref="CA2713" r:id="rId9790" xr:uid="{0EB62A45-8C63-4308-834E-938E07E6C7C8}"/>
    <hyperlink ref="O2714" r:id="rId9791" xr:uid="{562DA821-01AA-4383-8A0E-A34287F2985D}"/>
    <hyperlink ref="S2714" r:id="rId9792" xr:uid="{9F8430E1-4446-4EE0-A0A1-A4166C20373C}"/>
    <hyperlink ref="CA2714" r:id="rId9793" xr:uid="{1E4F338B-EF06-478F-996D-72BB2259BA1B}"/>
    <hyperlink ref="O2715" r:id="rId9794" xr:uid="{C32C88D1-5374-4394-B48B-BEC530FE7D73}"/>
    <hyperlink ref="S2715" r:id="rId9795" xr:uid="{290FCAAB-D851-48EA-AF7C-7B3BE5ECACD1}"/>
    <hyperlink ref="CA2715" r:id="rId9796" xr:uid="{86EB8668-0713-4FF0-8C6A-AB73B8B37CA3}"/>
    <hyperlink ref="O2716" r:id="rId9797" xr:uid="{C1E10335-6336-4433-9AA9-824F58C59B2F}"/>
    <hyperlink ref="S2716" r:id="rId9798" xr:uid="{7C00AB1E-8B49-4C57-867C-29D71E49AC32}"/>
    <hyperlink ref="CA2716" r:id="rId9799" xr:uid="{18564497-DEEC-4A31-83DA-27350A2B0A70}"/>
    <hyperlink ref="O2717" r:id="rId9800" xr:uid="{2CCC87C3-4AD9-4933-A5A9-C4EA7D26D0FC}"/>
    <hyperlink ref="S2717" r:id="rId9801" xr:uid="{BA6FC830-4607-43C1-8BDB-22CA87840A07}"/>
    <hyperlink ref="CA2717" r:id="rId9802" xr:uid="{2B594EAA-9572-4A42-BCD6-A1820BB55795}"/>
    <hyperlink ref="O2718" r:id="rId9803" xr:uid="{2762584C-672A-4F9A-9035-5799AED91AE3}"/>
    <hyperlink ref="S2718" r:id="rId9804" xr:uid="{EA30FEE9-8F3F-4E61-BA07-E37F9FA37B0D}"/>
    <hyperlink ref="CA2718" r:id="rId9805" xr:uid="{B24FE28E-01B7-4C43-9412-6A886A411C66}"/>
    <hyperlink ref="O2719" r:id="rId9806" xr:uid="{E7788B1E-9F0D-40CA-86DF-E541B836F37B}"/>
    <hyperlink ref="S2719" r:id="rId9807" xr:uid="{2001573B-1EA1-4DA9-9F72-51ECD329470D}"/>
    <hyperlink ref="CA2719" r:id="rId9808" xr:uid="{732C7237-D3C0-4C82-81B7-0D23BFF61767}"/>
    <hyperlink ref="O2720" r:id="rId9809" xr:uid="{74F82C8A-49EB-4E11-8A91-836ABE224062}"/>
    <hyperlink ref="S2720" r:id="rId9810" xr:uid="{85416218-D5CC-4027-9371-3A24E3ADA7C7}"/>
    <hyperlink ref="CA2720" r:id="rId9811" xr:uid="{3B13CCCF-16CC-4CBB-9FFA-8CD90C28A444}"/>
    <hyperlink ref="O2721" r:id="rId9812" xr:uid="{8F59975A-B73F-4FA2-B38B-2C644EB6CE8A}"/>
    <hyperlink ref="S2721" r:id="rId9813" xr:uid="{3DD716F7-4765-4E4A-B3DD-920189B1B02D}"/>
    <hyperlink ref="CA2721" r:id="rId9814" xr:uid="{54A838CE-25AE-4CFC-B33C-B65EE15D2EE8}"/>
    <hyperlink ref="O2722" r:id="rId9815" xr:uid="{80074052-641E-4352-B18B-CD41DCF881C9}"/>
    <hyperlink ref="S2722" r:id="rId9816" xr:uid="{94DAD3FD-C1BF-4C83-B9D9-5CEB2533712F}"/>
    <hyperlink ref="CA2722" r:id="rId9817" xr:uid="{FB87892D-9E08-46E8-858A-DB33BE9A252D}"/>
    <hyperlink ref="O2723" r:id="rId9818" xr:uid="{117F4437-486E-4CAB-A7BC-E2C05F1B2590}"/>
    <hyperlink ref="S2723" r:id="rId9819" xr:uid="{C13A958B-C25A-4A0F-92DF-EFA64F23AF68}"/>
    <hyperlink ref="CA2723" r:id="rId9820" xr:uid="{84224248-5AA3-408B-8E14-B5D1A661CCCE}"/>
    <hyperlink ref="O2724" r:id="rId9821" xr:uid="{2F6C36A9-8C38-4E1E-87A3-13AB0B0FA03E}"/>
    <hyperlink ref="S2724" r:id="rId9822" xr:uid="{FB9FD841-37AD-4713-BB9A-62C0D52F987E}"/>
    <hyperlink ref="CA2724" r:id="rId9823" xr:uid="{B822C0E9-7923-40D7-BE24-5DFFF21100CC}"/>
    <hyperlink ref="O2725" r:id="rId9824" xr:uid="{23811E84-FFD6-420E-849D-4A20F9BCE9E6}"/>
    <hyperlink ref="S2725" r:id="rId9825" xr:uid="{6C19E513-DB6F-46E4-8E56-EC71CC4995D8}"/>
    <hyperlink ref="CA2725" r:id="rId9826" xr:uid="{30C82CF6-2C41-4D6C-9597-703209ADF191}"/>
    <hyperlink ref="O2726" r:id="rId9827" xr:uid="{45210F9E-5590-4CC1-81BB-54348819E140}"/>
    <hyperlink ref="S2726" r:id="rId9828" xr:uid="{839CDC76-102C-470F-814B-CF8AF74C0035}"/>
    <hyperlink ref="CA2726" r:id="rId9829" xr:uid="{CCEA9C02-B489-431E-8C4D-D9595EFAFD23}"/>
    <hyperlink ref="O2727" r:id="rId9830" xr:uid="{DAE87E30-5D5A-4364-B378-F638B7EF33A2}"/>
    <hyperlink ref="S2727" r:id="rId9831" xr:uid="{F30B6D56-9D13-4B74-90A5-1B2278507A50}"/>
    <hyperlink ref="CA2727" r:id="rId9832" xr:uid="{A1BDAC27-E259-412D-A0FE-98C773226C21}"/>
    <hyperlink ref="O2728" r:id="rId9833" xr:uid="{B6091BF8-E4E7-445D-996D-D02FD672B8F4}"/>
    <hyperlink ref="S2728" r:id="rId9834" xr:uid="{421208AE-410E-477C-B6D1-AE397D5EE577}"/>
    <hyperlink ref="CA2728" r:id="rId9835" xr:uid="{C73A0585-AB7D-41B7-ADD9-E3D4A39090F3}"/>
    <hyperlink ref="O2729" r:id="rId9836" xr:uid="{FDC0FD3E-5E2E-4208-B183-3A00DEA46845}"/>
    <hyperlink ref="S2729" r:id="rId9837" xr:uid="{1E556690-343E-4D8D-9BCF-0A84A4C8E2E3}"/>
    <hyperlink ref="CA2729" r:id="rId9838" xr:uid="{7F1673A6-63BC-416D-B6FD-9D5D1C8CEA37}"/>
    <hyperlink ref="O2730" r:id="rId9839" xr:uid="{5FF00A07-8D8C-4E43-A6BA-40C4E0A80B95}"/>
    <hyperlink ref="S2730" r:id="rId9840" xr:uid="{B59E12C9-C197-4C2C-A920-EB1D2141C9AF}"/>
    <hyperlink ref="CA2730" r:id="rId9841" xr:uid="{196CA6C3-58DA-4AD5-95F4-6858C4D85133}"/>
    <hyperlink ref="O2731" r:id="rId9842" xr:uid="{47B66B79-69B5-4EA4-BE5B-12F29DBF456F}"/>
    <hyperlink ref="S2731" r:id="rId9843" xr:uid="{3284E9F0-EB1F-4BA4-87C9-8BC42E81BC81}"/>
    <hyperlink ref="CA2731" r:id="rId9844" xr:uid="{339F82FE-05CA-4631-9FA8-A78FCFDE5F0B}"/>
    <hyperlink ref="O2732" r:id="rId9845" xr:uid="{BA00AA97-7D13-4C7A-B0FF-62B64B4C96C4}"/>
    <hyperlink ref="S2732" r:id="rId9846" xr:uid="{32B131ED-9A1B-4FA6-A332-2DCDEED1E934}"/>
    <hyperlink ref="CA2732" r:id="rId9847" xr:uid="{47C47ECA-BE4F-4AAC-8D4B-32882D4E32A8}"/>
    <hyperlink ref="O2733" r:id="rId9848" xr:uid="{B02EECCC-C743-4C91-B4DA-552851AF5352}"/>
    <hyperlink ref="S2733" r:id="rId9849" xr:uid="{03F089BF-3ED2-433E-B94E-EEEA2ABF3F49}"/>
    <hyperlink ref="CA2733" r:id="rId9850" xr:uid="{9532B8DB-9862-4BAA-B99D-403F926FFB1D}"/>
    <hyperlink ref="O2734" r:id="rId9851" xr:uid="{FA2CEADD-0A0A-48B1-A8BE-2EF372815E8B}"/>
    <hyperlink ref="S2734" r:id="rId9852" xr:uid="{879CF0C8-A456-49DA-B221-76F5504098A3}"/>
    <hyperlink ref="CA2734" r:id="rId9853" xr:uid="{F337DE6D-64DA-44AB-9EFD-82C739245AD6}"/>
    <hyperlink ref="O2735" r:id="rId9854" xr:uid="{572293EA-EB39-4CAD-AB97-173EC14E2D34}"/>
    <hyperlink ref="S2735" r:id="rId9855" xr:uid="{E0A994B7-3FC2-4154-876F-2DEC2E7D4C3D}"/>
    <hyperlink ref="CA2735" r:id="rId9856" xr:uid="{C74DF4F9-2C98-4B9C-B541-F8F04CAD7528}"/>
    <hyperlink ref="O2736" r:id="rId9857" xr:uid="{F58FE476-9405-4C1E-B4FB-9C443BBED727}"/>
    <hyperlink ref="S2736" r:id="rId9858" xr:uid="{6C3A929D-BFDF-45D5-85DE-4A1024434BD6}"/>
    <hyperlink ref="CA2736" r:id="rId9859" xr:uid="{24A80E5A-3266-40BC-90DD-349DB41DF87C}"/>
    <hyperlink ref="O2737" r:id="rId9860" xr:uid="{1EF74366-E7AB-415E-8161-CDDE0B688190}"/>
    <hyperlink ref="S2737" r:id="rId9861" xr:uid="{F5F0032A-2AED-4105-9F9E-7081BCED08E7}"/>
    <hyperlink ref="CA2737" r:id="rId9862" xr:uid="{1F5084C9-3261-443B-BDF8-CAFD4D950161}"/>
    <hyperlink ref="O2738" r:id="rId9863" xr:uid="{29CFB7B3-39B8-4046-B64A-BE403ACD3C54}"/>
    <hyperlink ref="S2738" r:id="rId9864" xr:uid="{3DBC0F51-235C-4D43-8DE1-1CA0E687A192}"/>
    <hyperlink ref="CA2738" r:id="rId9865" xr:uid="{A925DE73-F3A1-489A-979A-FF418A4A6C43}"/>
    <hyperlink ref="O2739" r:id="rId9866" xr:uid="{D4FF63E4-660D-4963-AE42-6005B0E8635A}"/>
    <hyperlink ref="S2739" r:id="rId9867" xr:uid="{EE8BEFAF-9032-4387-BF6F-EB367B5C4967}"/>
    <hyperlink ref="CA2739" r:id="rId9868" xr:uid="{9E76C6DE-8583-46B7-B157-6769833697B8}"/>
    <hyperlink ref="O2740" r:id="rId9869" xr:uid="{75009702-5FBD-4E26-A4AF-63DC15492CC3}"/>
    <hyperlink ref="S2740" r:id="rId9870" xr:uid="{98173738-05C0-405B-9E65-11239F7A228A}"/>
    <hyperlink ref="CA2740" r:id="rId9871" xr:uid="{3482ED8D-4D40-48A6-A8DD-2C51F7EC9625}"/>
    <hyperlink ref="O2741" r:id="rId9872" xr:uid="{30CE491F-7A69-4842-BD41-B82DB45A5203}"/>
    <hyperlink ref="S2741" r:id="rId9873" xr:uid="{CCD119E5-AF85-41AB-AF62-3DA24B97D33F}"/>
    <hyperlink ref="CA2741" r:id="rId9874" xr:uid="{DB5C9F28-A66A-478C-B7DC-E8A05C5C161C}"/>
    <hyperlink ref="O2742" r:id="rId9875" xr:uid="{F8A76308-5F31-4A46-980B-0DF0CF705D54}"/>
    <hyperlink ref="S2742" r:id="rId9876" xr:uid="{A02FC5C7-84F8-4B5E-8F45-B785D0580FAE}"/>
    <hyperlink ref="CA2742" r:id="rId9877" xr:uid="{CD2679F8-103E-4510-85F9-91F8136DB8C8}"/>
    <hyperlink ref="O2743" r:id="rId9878" xr:uid="{5C90945E-018E-4133-9A7A-1309961B862B}"/>
    <hyperlink ref="S2743" r:id="rId9879" xr:uid="{C5ECFB96-8A31-4865-A6C9-7CA47B56473A}"/>
    <hyperlink ref="T2743" r:id="rId9880" xr:uid="{1A9B7B7C-D2F6-466A-B5FB-DC7E48207146}"/>
    <hyperlink ref="CA2743" r:id="rId9881" xr:uid="{1102C8EB-DC4C-4C80-A67E-E0F5942EA414}"/>
    <hyperlink ref="CB2743" r:id="rId9882" xr:uid="{2B7F753C-7468-4093-8365-6FE936F74839}"/>
    <hyperlink ref="O2744" r:id="rId9883" xr:uid="{9772C432-AD3E-4941-B0CD-9EBAF21AB6F8}"/>
    <hyperlink ref="S2744" r:id="rId9884" xr:uid="{B1E4337B-8214-4D89-AC97-76F30D7F7CF7}"/>
    <hyperlink ref="CA2744" r:id="rId9885" xr:uid="{A79BB400-5B31-478D-B98C-B3D12029DB0E}"/>
    <hyperlink ref="CB2744" r:id="rId9886" xr:uid="{18E2F520-932D-449B-8F99-9C4B3513D2E7}"/>
    <hyperlink ref="CD2744" r:id="rId9887" xr:uid="{4915B850-F07E-433D-B733-922538BF9C7B}"/>
    <hyperlink ref="O2745" r:id="rId9888" xr:uid="{4C24FE97-4570-49B9-A78A-83D898DFF4CB}"/>
    <hyperlink ref="S2745" r:id="rId9889" xr:uid="{B0DFED00-A428-491D-B926-32AC2052B142}"/>
    <hyperlink ref="CA2745" r:id="rId9890" xr:uid="{0CF3C248-2891-48CA-A6F9-FAA34349AE34}"/>
    <hyperlink ref="CB2745" r:id="rId9891" xr:uid="{1D59D82E-C314-4150-AFA6-A6ED43A7006D}"/>
    <hyperlink ref="CD2745" r:id="rId9892" xr:uid="{5277C4BD-6B2E-47C8-8422-4F0949E2CFD8}"/>
    <hyperlink ref="O2747" r:id="rId9893" xr:uid="{7CC70710-EF99-45E7-A7BF-E5CCF02075D9}"/>
    <hyperlink ref="S2747" r:id="rId9894" xr:uid="{986DD344-9727-4AAE-8F2F-1BF6285B3ED5}"/>
    <hyperlink ref="CA2747" r:id="rId9895" xr:uid="{1DA5054C-835E-4B2E-8349-2A9388C5FE5F}"/>
    <hyperlink ref="CB2747" r:id="rId9896" xr:uid="{22B3C0DE-1F72-4A46-AB7D-55D91245F3ED}"/>
    <hyperlink ref="CD2747" r:id="rId9897" xr:uid="{2E9A81E7-2939-416A-9C24-321DEE246D40}"/>
    <hyperlink ref="O2748" r:id="rId9898" xr:uid="{3BBAC8C7-3499-437C-8188-B559FABD1B3B}"/>
    <hyperlink ref="S2748" r:id="rId9899" xr:uid="{F7056232-F832-4D2B-94AA-76A4702B74C2}"/>
    <hyperlink ref="CA2748" r:id="rId9900" xr:uid="{B27A9E3F-4E0B-44EF-9BEB-9D75834889D1}"/>
    <hyperlink ref="CB2748" r:id="rId9901" xr:uid="{234A00F5-3022-4FAB-84D9-5F06018CDE34}"/>
    <hyperlink ref="CD2748" r:id="rId9902" xr:uid="{6AA2F545-9018-4692-9C99-ECD843D9C767}"/>
    <hyperlink ref="O2749" r:id="rId9903" xr:uid="{8D423722-DA30-4FDF-98F9-1604839D16FE}"/>
    <hyperlink ref="S2749" r:id="rId9904" xr:uid="{EC576952-DDA5-4DEA-92B4-919D808376AC}"/>
    <hyperlink ref="T2749" r:id="rId9905" xr:uid="{507EBFE8-2D94-4C1A-A7E0-79E3B3CFC4A2}"/>
    <hyperlink ref="CA2749" r:id="rId9906" xr:uid="{359BB856-126F-4FA6-B5A9-C49CAF553A5F}"/>
    <hyperlink ref="CB2749" r:id="rId9907" xr:uid="{9889138C-9869-4727-9C68-402E9A9D1BA3}"/>
    <hyperlink ref="CD2749" r:id="rId9908" xr:uid="{807F51EF-0A08-4BCB-962D-07B3DD835EDD}"/>
    <hyperlink ref="O2750" r:id="rId9909" xr:uid="{9D893AFE-55D3-4DED-9DCB-F27F18692E24}"/>
    <hyperlink ref="S2750" r:id="rId9910" xr:uid="{A2F35C32-DFDC-4C5D-BB75-8E47004F5709}"/>
    <hyperlink ref="CA2750" r:id="rId9911" xr:uid="{434FFD04-1365-4ACD-850B-0D6E2B506A31}"/>
    <hyperlink ref="CB2750" r:id="rId9912" xr:uid="{2A8B3AD8-0B0E-41FA-BD00-A807694CEA51}"/>
    <hyperlink ref="CD2750" r:id="rId9913" xr:uid="{36704629-428E-4968-8E17-17A1D0C5F249}"/>
    <hyperlink ref="O2751" r:id="rId9914" xr:uid="{E0189E50-D185-4FAE-B746-65C82566D206}"/>
    <hyperlink ref="S2751" r:id="rId9915" xr:uid="{5F263669-CD11-4426-90AD-5406297293A1}"/>
    <hyperlink ref="T2751" r:id="rId9916" xr:uid="{8752C4E6-DBD4-46B3-AAB1-609541A0F725}"/>
    <hyperlink ref="CA2751" r:id="rId9917" xr:uid="{8A9E99D2-2067-4BCE-9592-AF701A90195C}"/>
    <hyperlink ref="CB2751" r:id="rId9918" xr:uid="{4145B058-F348-4D17-9A68-E3E6851E8207}"/>
    <hyperlink ref="CD2751" r:id="rId9919" xr:uid="{08C2EDD9-06F0-429B-B9A6-31E4E8D1C3A7}"/>
    <hyperlink ref="O2752" r:id="rId9920" xr:uid="{B92D3A77-2B58-4039-B9AF-52015AF2B18D}"/>
    <hyperlink ref="S2752" r:id="rId9921" xr:uid="{17CDD24F-5A04-49C1-9CCD-15F0E195330D}"/>
    <hyperlink ref="CA2752" r:id="rId9922" xr:uid="{87189585-7787-418D-AB39-DDFA44AA069A}"/>
    <hyperlink ref="CB2752" r:id="rId9923" xr:uid="{5A50482F-8BB7-4A59-9E36-7E0232C17B94}"/>
    <hyperlink ref="CD2752" r:id="rId9924" xr:uid="{164B7CF1-9B74-4CB1-A361-2AFC4811DBD0}"/>
    <hyperlink ref="O2753" r:id="rId9925" xr:uid="{4F1D8845-038F-42B0-A6A4-78A94622B6DC}"/>
    <hyperlink ref="S2753" r:id="rId9926" xr:uid="{C8B54743-E406-4C00-A1B0-408B596C2103}"/>
    <hyperlink ref="T2753" r:id="rId9927" xr:uid="{73AA8B37-B25F-46EC-A701-24A27DEF728B}"/>
    <hyperlink ref="CA2753" r:id="rId9928" xr:uid="{BFD2F67E-E78F-4718-AAFC-C543BF5DD7B7}"/>
    <hyperlink ref="CB2753" r:id="rId9929" xr:uid="{437B1252-355B-4547-A04A-6A4C100574ED}"/>
    <hyperlink ref="CD2753" r:id="rId9930" xr:uid="{1F843AAD-AD22-4560-9230-2A563EC622EC}"/>
    <hyperlink ref="O2754" r:id="rId9931" xr:uid="{7EEC4CC3-F425-46F6-B544-B1E59AEC3D80}"/>
    <hyperlink ref="S2754" r:id="rId9932" xr:uid="{2998B362-A285-4DC9-8BC8-29250108CA83}"/>
    <hyperlink ref="CA2754" r:id="rId9933" xr:uid="{BF32DF92-C58D-49A5-99AD-E2F9F38C4AB8}"/>
    <hyperlink ref="O2755" r:id="rId9934" xr:uid="{C7849FC9-EAD5-4F2C-9503-97D64C366877}"/>
    <hyperlink ref="S2755" r:id="rId9935" xr:uid="{84243D89-D8AA-466B-9B37-EE0C6A117F52}"/>
    <hyperlink ref="CA2755" r:id="rId9936" xr:uid="{7574107A-C10A-47B6-870D-EA9BCDA28BDF}"/>
    <hyperlink ref="O2756" r:id="rId9937" xr:uid="{B93A9D1D-F33B-4770-8922-169B6453B7A4}"/>
    <hyperlink ref="S2756" r:id="rId9938" xr:uid="{23741EA2-091A-4205-949F-0C0CCAD0D493}"/>
    <hyperlink ref="CA2756" r:id="rId9939" xr:uid="{8F28DC07-EFBC-4CD8-9A0F-D12E80BF7526}"/>
    <hyperlink ref="O2757" r:id="rId9940" xr:uid="{1746BEC7-6DB0-45CF-BA47-158CBFB8EF83}"/>
    <hyperlink ref="S2757" r:id="rId9941" xr:uid="{17C4FB18-98B9-428D-9BAF-733A7D727E4E}"/>
    <hyperlink ref="CA2757" r:id="rId9942" xr:uid="{0D3C6ED1-F931-4B08-B642-91AB09192DB9}"/>
    <hyperlink ref="O2758" r:id="rId9943" xr:uid="{23841194-9170-4431-BAB3-FE96E4EB0449}"/>
    <hyperlink ref="S2758" r:id="rId9944" xr:uid="{566FB8FC-1182-4888-9B85-1F909B631E90}"/>
    <hyperlink ref="CA2758" r:id="rId9945" xr:uid="{71EBA470-37EA-462B-8D0E-00914DFAA655}"/>
    <hyperlink ref="CD2758" r:id="rId9946" xr:uid="{9D881E2F-3A46-4811-BB0E-EC4634708556}"/>
    <hyperlink ref="O2759" r:id="rId9947" xr:uid="{12D9AD7F-CA0B-40FA-877D-90398E81D76E}"/>
    <hyperlink ref="S2759" r:id="rId9948" xr:uid="{49A58274-7C91-4E89-BA53-90BBDCF89B83}"/>
    <hyperlink ref="CA2759" r:id="rId9949" xr:uid="{AE26E64F-D41C-48BE-B088-823A95890CCB}"/>
    <hyperlink ref="O2760" r:id="rId9950" xr:uid="{99915332-E80E-4026-990E-0F2B7849906E}"/>
    <hyperlink ref="S2760" r:id="rId9951" xr:uid="{A514EE77-AB57-4E22-885C-118A0ADC208D}"/>
    <hyperlink ref="CA2760" r:id="rId9952" xr:uid="{6FB4EFA7-A695-40D4-9CFA-1D5910DB6BB1}"/>
    <hyperlink ref="CD2760" r:id="rId9953" xr:uid="{E947846A-5B24-4FC7-9341-FCECDCF79FC9}"/>
    <hyperlink ref="O2761" r:id="rId9954" xr:uid="{E0F68A57-5275-4E91-BFAA-48C6DBB6D845}"/>
    <hyperlink ref="S2761" r:id="rId9955" xr:uid="{55D9625C-381D-4C1C-A245-8DB32711702F}"/>
    <hyperlink ref="CA2761" r:id="rId9956" xr:uid="{F354F6B8-63F2-4A93-B1DC-B08909C318E0}"/>
    <hyperlink ref="O2762" r:id="rId9957" xr:uid="{0BDCD726-04D2-499A-9B3B-17B242A4BF9B}"/>
    <hyperlink ref="S2762" r:id="rId9958" xr:uid="{C474E534-E9D9-474F-B090-32BDA053C1A7}"/>
    <hyperlink ref="CA2762" r:id="rId9959" xr:uid="{C00687E3-3FBB-4BC6-9E5C-88E3BAC85309}"/>
    <hyperlink ref="CD2762" r:id="rId9960" xr:uid="{40BC9438-E1B4-49ED-B3BD-8C679E35AE82}"/>
    <hyperlink ref="O2763" r:id="rId9961" xr:uid="{7B34C7DD-18C4-49DD-9011-3C7FB777B0B4}"/>
    <hyperlink ref="S2763" r:id="rId9962" xr:uid="{AF2DD104-9385-416F-9039-89D7183B4001}"/>
    <hyperlink ref="CA2763" r:id="rId9963" xr:uid="{2951AB8E-4A40-4620-B166-1B9FCB4C94CE}"/>
    <hyperlink ref="CD2763" r:id="rId9964" xr:uid="{05473170-2A40-4B1F-A61D-1FD151C81C36}"/>
    <hyperlink ref="O2764" r:id="rId9965" xr:uid="{645751F4-7881-4317-9762-B13D6AED2695}"/>
    <hyperlink ref="S2764" r:id="rId9966" xr:uid="{4FDCCDD5-C7BC-45C5-B5A2-8BE677DE5495}"/>
    <hyperlink ref="CA2764" r:id="rId9967" xr:uid="{067304EE-365F-4EDE-83C9-B7A44D2B5659}"/>
    <hyperlink ref="O2765" r:id="rId9968" xr:uid="{757462F0-50EC-4FB0-B420-98021133F2D2}"/>
    <hyperlink ref="S2765" r:id="rId9969" xr:uid="{F5B5BED5-7791-468D-AC0D-EAD15ED2875E}"/>
    <hyperlink ref="CA2765" r:id="rId9970" xr:uid="{E3DD26FD-6477-4786-B938-91FA05460C6F}"/>
    <hyperlink ref="O2766" r:id="rId9971" xr:uid="{F892B723-102B-432F-A538-EFA68946ED92}"/>
    <hyperlink ref="S2766" r:id="rId9972" xr:uid="{4A9D6B4A-A910-4650-870E-1F4D28EC246D}"/>
    <hyperlink ref="CA2766" r:id="rId9973" xr:uid="{4B00415B-5A32-44F9-A86E-DEC3FF681AD1}"/>
    <hyperlink ref="CD2766" r:id="rId9974" xr:uid="{11BA3BA7-5A84-4C0C-8A51-F880E3834C69}"/>
    <hyperlink ref="O2767" r:id="rId9975" xr:uid="{DCB83ECB-7C3A-4FBC-BD16-8CB7C4C7512C}"/>
    <hyperlink ref="S2767" r:id="rId9976" xr:uid="{4F866220-CE8E-45EA-A3CC-5FCF72977855}"/>
    <hyperlink ref="CA2767" r:id="rId9977" xr:uid="{DBD78841-6E38-4018-BDD5-76BCCC48516E}"/>
    <hyperlink ref="O2768" r:id="rId9978" xr:uid="{99B0B513-86A5-4EC4-9E05-D643ED4B08DE}"/>
    <hyperlink ref="S2768" r:id="rId9979" xr:uid="{42C9815D-8E18-486F-90F1-5DC4D3E8584F}"/>
    <hyperlink ref="CA2768" r:id="rId9980" xr:uid="{A0491F17-4E81-49D9-949D-A756289732A6}"/>
    <hyperlink ref="CD2768" r:id="rId9981" xr:uid="{0E13DE06-FF93-47DB-BF43-EF76078557F2}"/>
    <hyperlink ref="O2769" r:id="rId9982" xr:uid="{EB1A13BE-F5C8-43A8-AD50-D2133ADFFDEC}"/>
    <hyperlink ref="S2769" r:id="rId9983" xr:uid="{617BB846-4F79-443E-85E8-F2E91F276649}"/>
    <hyperlink ref="CA2769" r:id="rId9984" xr:uid="{AC811F8F-1D19-4FE7-9CDE-B997F2E1C295}"/>
    <hyperlink ref="O2770" r:id="rId9985" xr:uid="{6E9F84A3-9648-4E15-9F2E-D8E4FB7628B4}"/>
    <hyperlink ref="S2770" r:id="rId9986" xr:uid="{ACDC933B-6775-4C3B-9427-4B5D20A18236}"/>
    <hyperlink ref="CA2770" r:id="rId9987" xr:uid="{7519BE90-C21C-4AFB-9BE7-C28DFC1AD9BC}"/>
    <hyperlink ref="CD2770" r:id="rId9988" xr:uid="{8D53E5F7-B971-4E36-85EF-2967341418E1}"/>
    <hyperlink ref="O2771" r:id="rId9989" xr:uid="{8EA72D44-2B37-4F46-9E63-B4B38896E8E1}"/>
    <hyperlink ref="S2771" r:id="rId9990" xr:uid="{69398FE8-FC56-450A-8A26-FB6E2D2E7476}"/>
    <hyperlink ref="CA2771" r:id="rId9991" xr:uid="{A60640BC-F9E2-42E7-A015-29DC28534EAD}"/>
    <hyperlink ref="O2772" r:id="rId9992" xr:uid="{DAF18F88-8F36-4861-910C-D23A6F5859BC}"/>
    <hyperlink ref="S2772" r:id="rId9993" xr:uid="{9F242400-992E-4EF0-86D5-459568C14F1B}"/>
    <hyperlink ref="CA2772" r:id="rId9994" xr:uid="{ED2EC1E5-8F77-4283-BBB3-EC033495A82D}"/>
    <hyperlink ref="CD2772" r:id="rId9995" xr:uid="{231F6C8B-DC80-42C5-BB11-95504AB87258}"/>
    <hyperlink ref="O2773" r:id="rId9996" xr:uid="{A825A290-10AA-4CEB-B8AB-B76B8DA4BD59}"/>
    <hyperlink ref="CA2773" r:id="rId9997" xr:uid="{CDEC4BCC-02B8-4B31-A224-1E526DEE6681}"/>
    <hyperlink ref="O2774" r:id="rId9998" xr:uid="{44671DA9-20D4-429F-98CA-93932CCCD72B}"/>
    <hyperlink ref="S2774" r:id="rId9999" xr:uid="{B3B59C8D-45B2-4053-A297-5EF4733D9199}"/>
    <hyperlink ref="CA2774" r:id="rId10000" xr:uid="{D491108E-B500-46B4-91A4-106A5C6F2CA3}"/>
    <hyperlink ref="CD2774" r:id="rId10001" xr:uid="{02AC6462-BB58-40D0-8457-FB4E16623B8B}"/>
    <hyperlink ref="O2775" r:id="rId10002" xr:uid="{7E4CACE3-6BE3-4739-ABD9-946721DEAF1D}"/>
    <hyperlink ref="CA2775" r:id="rId10003" xr:uid="{8FE3967A-8F75-42DB-A955-E315F9E5C891}"/>
    <hyperlink ref="O2776" r:id="rId10004" xr:uid="{A6A2426B-07F7-47EA-9007-20ACD5B90841}"/>
    <hyperlink ref="CA2776" r:id="rId10005" xr:uid="{8ED1CF23-61DA-4ACB-9680-96EE06A47ED7}"/>
    <hyperlink ref="O2777" r:id="rId10006" xr:uid="{6ED4B32D-7169-418E-B9AD-FC50CF2FF725}"/>
    <hyperlink ref="S2777" r:id="rId10007" xr:uid="{9648D8D7-4C5A-4D76-B968-A4F9D8B00308}"/>
    <hyperlink ref="CA2777" r:id="rId10008" xr:uid="{0832E569-BE55-4518-B28B-8C54D958F801}"/>
    <hyperlink ref="CD2777" r:id="rId10009" xr:uid="{51097C2A-BCD9-418A-8393-FAEE7D7E0EE1}"/>
    <hyperlink ref="O2778" r:id="rId10010" xr:uid="{18ABE7C9-A691-4647-8DFE-D9EE3AE57C2C}"/>
    <hyperlink ref="S2778" r:id="rId10011" xr:uid="{FA78AF6A-2075-4A73-957B-968C7FE07B19}"/>
    <hyperlink ref="CA2778" r:id="rId10012" xr:uid="{EA4D7D23-770F-425A-936F-D83F3D84E679}"/>
    <hyperlink ref="CD2778" r:id="rId10013" xr:uid="{6F3961DC-EC29-44B8-93FA-0D753D171498}"/>
    <hyperlink ref="O2779" r:id="rId10014" xr:uid="{499C9497-9709-4943-A0BF-6161DAB86B42}"/>
    <hyperlink ref="CA2779" r:id="rId10015" xr:uid="{A38E533C-D877-46A2-BB2D-F8F284664BCA}"/>
    <hyperlink ref="O2780" r:id="rId10016" xr:uid="{CEA8E9BD-5D69-4B4A-BEA6-C9843A20FE49}"/>
    <hyperlink ref="CA2780" r:id="rId10017" xr:uid="{8223B205-0A4E-4DBE-B884-86FC4A409405}"/>
    <hyperlink ref="O2781" r:id="rId10018" xr:uid="{F23BA333-2DC5-4327-BF05-7153A4EC6FAE}"/>
    <hyperlink ref="S2781" r:id="rId10019" xr:uid="{ACDA99CB-8FF5-46A3-A541-0798A52444C6}"/>
    <hyperlink ref="CA2781" r:id="rId10020" xr:uid="{ABC674C6-2333-4C9C-9726-FD94536F8160}"/>
    <hyperlink ref="CD2781" r:id="rId10021" xr:uid="{CB5ED079-C178-425C-8682-4F60165D676B}"/>
    <hyperlink ref="O2782" r:id="rId10022" xr:uid="{6E647E34-15F3-4770-9146-84DFF44B2874}"/>
    <hyperlink ref="CA2782" r:id="rId10023" xr:uid="{07455231-E85C-42EA-9AF5-843D4175F7DD}"/>
    <hyperlink ref="O2783" r:id="rId10024" xr:uid="{3FD86076-2793-4E3A-9C33-E27F6E7E04B6}"/>
    <hyperlink ref="CA2783" r:id="rId10025" xr:uid="{350CAB8B-3DBA-404A-8DA2-10F7C35344F2}"/>
    <hyperlink ref="O2784" r:id="rId10026" xr:uid="{77103423-E56A-491E-AE60-0FCC47CAA5A3}"/>
    <hyperlink ref="CA2784" r:id="rId10027" xr:uid="{681BF706-6B4A-4164-944D-C0E9325DB27D}"/>
    <hyperlink ref="O2785" r:id="rId10028" xr:uid="{5AD985F8-AF81-485E-9FB4-F1976319BA22}"/>
    <hyperlink ref="CA2785" r:id="rId10029" xr:uid="{08EA9DBC-1E1E-4D17-809E-5AAD3FFA171A}"/>
    <hyperlink ref="O2786" r:id="rId10030" xr:uid="{F6474B18-62AB-4467-AE19-B10943630EA0}"/>
    <hyperlink ref="S2786" r:id="rId10031" xr:uid="{E497D4B1-8BD4-4D27-8B5F-88E5A2DEEFEB}"/>
    <hyperlink ref="CA2786" r:id="rId10032" xr:uid="{41204A97-20A0-40DE-9A90-3DA9F6C19F44}"/>
    <hyperlink ref="CD2786" r:id="rId10033" xr:uid="{332E3CB9-105F-40DF-940F-103BB1A25762}"/>
    <hyperlink ref="O2787" r:id="rId10034" xr:uid="{103F6773-B2C6-429F-BFA7-1969F684F230}"/>
    <hyperlink ref="S2787" r:id="rId10035" xr:uid="{0D996789-2F06-457E-A926-C576571738A2}"/>
    <hyperlink ref="CA2787" r:id="rId10036" xr:uid="{52425C99-08EB-4113-89E3-2CAAA629777A}"/>
    <hyperlink ref="CD2787" r:id="rId10037" xr:uid="{43D18708-207C-4259-B18A-8E7233FF5951}"/>
    <hyperlink ref="O2788" r:id="rId10038" xr:uid="{18DDB27B-4630-4EF5-B11A-15308FA14F17}"/>
    <hyperlink ref="CA2788" r:id="rId10039" xr:uid="{0E880594-B82C-48CB-8B0B-83813A99A58C}"/>
    <hyperlink ref="O2789" r:id="rId10040" xr:uid="{87C616F7-E79A-498E-BF4A-14AA081ED6DA}"/>
    <hyperlink ref="S2789" r:id="rId10041" xr:uid="{FBB963D5-F89F-40F8-BF6A-9DCDF6FB91F9}"/>
    <hyperlink ref="T2789" r:id="rId10042" xr:uid="{93DCEE7E-24E2-481B-B9F7-4C5375E53AC6}"/>
    <hyperlink ref="CA2789" r:id="rId10043" xr:uid="{5E71A947-3604-45CA-B65F-F6A8AD0748DC}"/>
    <hyperlink ref="CB2789" r:id="rId10044" xr:uid="{FE0E4990-ADBB-4EA4-A4BA-DFA5C1E78A9D}"/>
    <hyperlink ref="CD2789" r:id="rId10045" xr:uid="{8FAFF2A5-55B3-422B-958B-58457A40EEB6}"/>
    <hyperlink ref="O2790" r:id="rId10046" xr:uid="{DEB69949-2BD8-4759-9194-E7C5F1B35E4C}"/>
    <hyperlink ref="S2790" r:id="rId10047" xr:uid="{A3D74E82-7AA3-4C00-A897-AE07F65FEEFD}"/>
    <hyperlink ref="T2790" r:id="rId10048" xr:uid="{BB082A48-1C42-400E-8E45-D07B633643E6}"/>
    <hyperlink ref="CA2790" r:id="rId10049" xr:uid="{31216F5B-310D-421D-B930-F1D15A0BDD5B}"/>
    <hyperlink ref="CB2790" r:id="rId10050" xr:uid="{173E3783-5185-48E5-8B68-9EF098A2FDE0}"/>
    <hyperlink ref="CD2790" r:id="rId10051" xr:uid="{00E04DFE-6ECD-4977-AE68-D433D5995E8B}"/>
    <hyperlink ref="O2791" r:id="rId10052" xr:uid="{1264CD9E-AADF-4F2A-AB37-D2DC0E19C26E}"/>
    <hyperlink ref="R2791" r:id="rId10053" xr:uid="{7CBF5D92-268F-48FB-BAC4-29157F7FC27F}"/>
    <hyperlink ref="S2791" r:id="rId10054" xr:uid="{E0AC9641-A85D-4735-95FF-DBACDD05BE81}"/>
    <hyperlink ref="CA2791" r:id="rId10055" xr:uid="{E3CE76D4-E117-4AC0-B994-8EA4DECACAD9}"/>
    <hyperlink ref="CD2791" r:id="rId10056" xr:uid="{8BF01FF0-9EF7-4ADD-8BFA-12D2EC85F634}"/>
    <hyperlink ref="O2792" r:id="rId10057" xr:uid="{C73DA1D4-9419-4772-9681-D6288C174CDB}"/>
    <hyperlink ref="S2792" r:id="rId10058" xr:uid="{A26979A6-CB7A-401A-B956-68B31301F52A}"/>
    <hyperlink ref="CA2792" r:id="rId10059" xr:uid="{79CE65A1-5D74-4843-9C60-B3ADE7DA00AC}"/>
    <hyperlink ref="O2793" r:id="rId10060" xr:uid="{0D879F41-EC50-42C5-A7E1-99260876F976}"/>
    <hyperlink ref="S2793" r:id="rId10061" xr:uid="{FFA13901-D486-46C7-8056-0F5A0CCDEA1F}"/>
    <hyperlink ref="T2793" r:id="rId10062" xr:uid="{7F349345-02A4-4771-B013-60220657BCCE}"/>
    <hyperlink ref="CA2793" r:id="rId10063" xr:uid="{0367099B-0D18-422C-980F-F4CD3EDFAE24}"/>
    <hyperlink ref="CB2793" r:id="rId10064" xr:uid="{5BCBD643-A1FC-406C-98A8-EF9B02BF5CD6}"/>
    <hyperlink ref="CD2793" r:id="rId10065" xr:uid="{DFBF4797-F07C-4A1F-8BBC-B3E9732CC0C1}"/>
    <hyperlink ref="O2794" r:id="rId10066" xr:uid="{19CC372F-8E30-47B3-913A-A4D8B6D8220A}"/>
    <hyperlink ref="S2794" r:id="rId10067" xr:uid="{29F89794-7893-49E0-A2D2-98EC389630D9}"/>
    <hyperlink ref="CA2794" r:id="rId10068" xr:uid="{519F9D13-B0D7-4F1A-9C32-8D043B9402FE}"/>
    <hyperlink ref="CD2794" r:id="rId10069" xr:uid="{ACFC4A68-C521-4DB0-BA50-808B5FE0F8FC}"/>
    <hyperlink ref="O2795" r:id="rId10070" xr:uid="{4E406CC5-4C69-4803-A280-759673FA4871}"/>
    <hyperlink ref="S2795" r:id="rId10071" xr:uid="{FC67FCA9-1523-4450-9326-3493E80250B4}"/>
    <hyperlink ref="CA2795" r:id="rId10072" xr:uid="{E609642B-66D7-4A69-BDC5-86B955588E82}"/>
    <hyperlink ref="CD2795" r:id="rId10073" xr:uid="{88505562-CAE9-4090-BA58-CE765E8B8556}"/>
    <hyperlink ref="O2796" r:id="rId10074" xr:uid="{E288F95D-2E38-45AE-90E3-16CA7A0CD350}"/>
    <hyperlink ref="S2796" r:id="rId10075" xr:uid="{49746E58-5C5B-46D4-B6D4-5903A6F53915}"/>
    <hyperlink ref="CA2796" r:id="rId10076" xr:uid="{CD5E7FA2-0776-47DF-9AB4-F4A8773D0B42}"/>
    <hyperlink ref="CD2796" r:id="rId10077" xr:uid="{283523E2-BB8F-45D7-B904-67707203BC85}"/>
    <hyperlink ref="O2797" r:id="rId10078" xr:uid="{23FACB02-F174-48C4-8585-184630D79D6B}"/>
    <hyperlink ref="S2797" r:id="rId10079" xr:uid="{094ADD40-30D8-4042-9D82-1C5820AB78CA}"/>
    <hyperlink ref="CA2797" r:id="rId10080" xr:uid="{D0EA2D91-4C73-45FF-A54F-2E005C976E61}"/>
    <hyperlink ref="CD2797" r:id="rId10081" xr:uid="{5B5CC720-A708-41DE-A7F4-7A0C8B08720D}"/>
    <hyperlink ref="O2798" r:id="rId10082" xr:uid="{68385ACD-F674-42CA-B5E7-49705898B1AC}"/>
    <hyperlink ref="S2798" r:id="rId10083" xr:uid="{2BC4BA14-4B28-4A18-AD32-84B7AC84E79B}"/>
    <hyperlink ref="CA2798" r:id="rId10084" xr:uid="{154D51C1-7918-47DC-8650-219DF8EC5B10}"/>
    <hyperlink ref="O2799" r:id="rId10085" xr:uid="{65030DBB-2828-4382-B6D0-BFD44CCD224A}"/>
    <hyperlink ref="S2799" r:id="rId10086" xr:uid="{5601D563-B899-4438-BBB3-792CC46277A2}"/>
    <hyperlink ref="CA2799" r:id="rId10087" xr:uid="{DE665B64-1F63-4539-8816-F9AE02466193}"/>
    <hyperlink ref="O2801" r:id="rId10088" xr:uid="{8160B358-0E72-42DE-BEC8-80742D45C652}"/>
    <hyperlink ref="S2801" r:id="rId10089" xr:uid="{457C3914-1DF2-4D71-A074-125AC274DE9A}"/>
    <hyperlink ref="CA2801" r:id="rId10090" xr:uid="{1A5E939D-5B20-4294-87A6-9A71BDD5F42A}"/>
    <hyperlink ref="CD2801" r:id="rId10091" xr:uid="{D71EFBAC-C4CD-459E-B555-B4CCB4CDA4F9}"/>
    <hyperlink ref="O2802" r:id="rId10092" xr:uid="{7A727EAF-2D1A-4735-8702-6217B59CA6F6}"/>
    <hyperlink ref="S2802" r:id="rId10093" xr:uid="{8FD27E93-3086-4D92-9784-87BBCFD86082}"/>
    <hyperlink ref="CA2802" r:id="rId10094" xr:uid="{99D00F52-CDC8-4FF1-BB19-E234553F2D58}"/>
    <hyperlink ref="CD2802" r:id="rId10095" xr:uid="{89B4D37C-FBE6-46A9-BD77-D7E5AECB5E77}"/>
    <hyperlink ref="O2803" r:id="rId10096" xr:uid="{8E261EAC-B87C-4BD7-B81A-A3F85C54C6A3}"/>
    <hyperlink ref="S2803" r:id="rId10097" xr:uid="{D6FE393E-2052-4853-8B80-13E9D156B6A1}"/>
    <hyperlink ref="CA2803" r:id="rId10098" xr:uid="{C1E4BE76-5E5E-43F4-A267-16F1CDFD84D0}"/>
    <hyperlink ref="CD2803" r:id="rId10099" xr:uid="{F8877997-05FD-4246-9248-D64EA0B9E0E9}"/>
    <hyperlink ref="O2804" r:id="rId10100" xr:uid="{4A6EF610-72FA-4F16-B1F6-11AB01AC8B72}"/>
    <hyperlink ref="S2804" r:id="rId10101" xr:uid="{93974C25-88CA-41C2-A0FB-95D90FAEFE5F}"/>
    <hyperlink ref="CA2804" r:id="rId10102" xr:uid="{35356D4D-3A0B-4806-BD1A-1557F060B873}"/>
    <hyperlink ref="CD2804" r:id="rId10103" xr:uid="{543354A3-9893-4A05-97D5-1CE8065F0B42}"/>
    <hyperlink ref="O2805" r:id="rId10104" xr:uid="{F82A0B60-823B-450E-A278-578ABED2F6A7}"/>
    <hyperlink ref="S2805" r:id="rId10105" xr:uid="{519A1B4B-5071-4E6D-A9BC-B8D69329B65F}"/>
    <hyperlink ref="CA2805" r:id="rId10106" xr:uid="{95E1C4B1-5536-44A5-831F-6D8ED935C05D}"/>
    <hyperlink ref="O2806" r:id="rId10107" xr:uid="{28E995E2-64FA-472D-9D65-4946FB97E09D}"/>
    <hyperlink ref="O2807" r:id="rId10108" xr:uid="{624E1628-AA58-4509-8971-F162CA2A6348}"/>
    <hyperlink ref="O2808" r:id="rId10109" xr:uid="{FEABA6EE-7201-4AF8-AADC-4E55911A02C2}"/>
    <hyperlink ref="O2809" r:id="rId10110" xr:uid="{D56F1564-49C3-4438-AA59-3D90B331D619}"/>
    <hyperlink ref="O2810" r:id="rId10111" xr:uid="{59FB5B1B-E2E7-4901-B057-6EBE293DE4F5}"/>
    <hyperlink ref="O2811" r:id="rId10112" xr:uid="{DD14BD30-B090-42C0-899F-5025F5688402}"/>
    <hyperlink ref="S2811" r:id="rId10113" xr:uid="{2CAEAC32-7068-473A-BDF1-C4D3562DA91F}"/>
    <hyperlink ref="CA2811" r:id="rId10114" xr:uid="{B2D806AD-2C5E-4A26-8357-9F63D2F229BE}"/>
    <hyperlink ref="O2812" r:id="rId10115" xr:uid="{93913C49-95B7-42DD-995F-0685E5E216AC}"/>
    <hyperlink ref="O2813" r:id="rId10116" xr:uid="{8A72CC1D-0A7B-4CC7-86F6-81DEF77BB6D2}"/>
    <hyperlink ref="O2814" r:id="rId10117" xr:uid="{7F95E6E9-07BC-419A-9361-AF2825155FFF}"/>
    <hyperlink ref="O2815" r:id="rId10118" xr:uid="{EDDE5D5D-62C6-4905-A311-C9CCF0FE5EA8}"/>
    <hyperlink ref="O2816" r:id="rId10119" xr:uid="{2102E998-25A4-4ACD-9863-59E90035A30A}"/>
    <hyperlink ref="O2817" r:id="rId10120" xr:uid="{7E7C8ED9-29A8-43C7-8667-05CF1D6EDD37}"/>
    <hyperlink ref="S2817" r:id="rId10121" xr:uid="{30655078-66F4-4F48-BB5C-1541619CF3C4}"/>
    <hyperlink ref="CA2817" r:id="rId10122" xr:uid="{DEAE9B2F-B645-42A3-88E9-63D857F50981}"/>
    <hyperlink ref="O2818" r:id="rId10123" xr:uid="{83E8E240-34F1-4624-9FD7-3E0367867D90}"/>
    <hyperlink ref="O2819" r:id="rId10124" xr:uid="{D7537C92-D4F9-43FE-BEBA-05A49264A8EA}"/>
    <hyperlink ref="O2820" r:id="rId10125" xr:uid="{DA6C9D5D-2601-41BC-A008-420728C4C009}"/>
    <hyperlink ref="O2821" r:id="rId10126" xr:uid="{B9DDCDED-49F2-4412-A240-3AB2329EE8CB}"/>
    <hyperlink ref="O2822" r:id="rId10127" xr:uid="{ADEAD374-D4E8-4B34-9CC6-A92D424069BE}"/>
    <hyperlink ref="O2823" r:id="rId10128" xr:uid="{FFCB05ED-6E47-4435-AE5C-D55A6C79B5A3}"/>
    <hyperlink ref="O2824" r:id="rId10129" xr:uid="{C59290E3-B5C4-4372-A118-381BE7560615}"/>
    <hyperlink ref="S2824" r:id="rId10130" xr:uid="{C71CC738-BB71-4F3C-974E-ACEE1417F51D}"/>
    <hyperlink ref="CA2824" r:id="rId10131" xr:uid="{665EAF54-E192-4A9F-A9F4-FF74A2E44B59}"/>
    <hyperlink ref="O2825" r:id="rId10132" xr:uid="{94CA8434-9823-4640-B780-EDD4E5AF3D5F}"/>
    <hyperlink ref="O2826" r:id="rId10133" xr:uid="{BF79CFFA-23AA-4907-9705-0C6331983F44}"/>
    <hyperlink ref="O2827" r:id="rId10134" xr:uid="{4828B178-C2DC-4310-BA17-795A1D9C55C8}"/>
    <hyperlink ref="O2828" r:id="rId10135" xr:uid="{660E224D-87F1-45F3-B76F-72AAFC26C655}"/>
    <hyperlink ref="O2829" r:id="rId10136" xr:uid="{961A2732-9F9D-42F0-B7D5-DD69594FC9B4}"/>
    <hyperlink ref="O2830" r:id="rId10137" xr:uid="{1C8FB9C9-64F1-4CB3-9608-A836B3A7359C}"/>
    <hyperlink ref="O2831" r:id="rId10138" xr:uid="{29B6DA23-8F75-4E33-A5D5-D0ED601B7B58}"/>
    <hyperlink ref="O2832" r:id="rId10139" xr:uid="{21357E08-710C-4940-A177-EBEBC2DBDD54}"/>
    <hyperlink ref="O2833" r:id="rId10140" xr:uid="{CE8787A1-9C86-4AF0-9196-B53ECAF162E9}"/>
    <hyperlink ref="O2834" r:id="rId10141" xr:uid="{FCD7EC15-0512-4DB2-AB7A-349389879DBE}"/>
    <hyperlink ref="O2835" r:id="rId10142" xr:uid="{BCB9A5B0-AF89-4737-9749-D1306E1C8EF5}"/>
    <hyperlink ref="O2836" r:id="rId10143" xr:uid="{23C03165-701C-4D24-91BC-F2B08CBD655C}"/>
    <hyperlink ref="O2837" r:id="rId10144" xr:uid="{319954A5-5DFB-4A59-9800-B88CC2DDF0D8}"/>
    <hyperlink ref="S2837" r:id="rId10145" xr:uid="{D8A0DEF0-0BDA-41DE-B325-384D66462E90}"/>
    <hyperlink ref="CA2837" r:id="rId10146" xr:uid="{C3F47928-885B-49DC-AD75-965640A32BC1}"/>
    <hyperlink ref="CD2837" r:id="rId10147" xr:uid="{7E998CEA-E4AF-4ACF-9C77-D1035F9EB300}"/>
    <hyperlink ref="O2838" r:id="rId10148" xr:uid="{2B30E843-C959-422D-A993-E884EB4F4A12}"/>
    <hyperlink ref="S2838" r:id="rId10149" xr:uid="{871A4B3B-1A63-4654-BD23-A3048C8E8FDB}"/>
    <hyperlink ref="CA2838" r:id="rId10150" xr:uid="{58A88AED-C564-41A5-82FC-8C2CD24BE636}"/>
    <hyperlink ref="CD2838" r:id="rId10151" xr:uid="{EC4604D3-1A27-41D6-9567-7ACAF64FA75A}"/>
    <hyperlink ref="O2839" r:id="rId10152" xr:uid="{5330CD9C-27BD-4F65-B9E6-B6254E5C7596}"/>
    <hyperlink ref="S2839" r:id="rId10153" xr:uid="{D73B2672-F85F-4D5D-9ECF-9CE0C9446558}"/>
    <hyperlink ref="CA2839" r:id="rId10154" xr:uid="{B0AC2C04-D703-4744-9E8B-F2F1CDC24642}"/>
    <hyperlink ref="CD2839" r:id="rId10155" xr:uid="{366D433A-BAA5-4994-BF85-4ED6B5F15B6B}"/>
    <hyperlink ref="O2840" r:id="rId10156" xr:uid="{E2003D28-2861-4B15-9F19-43CBC6B516C8}"/>
    <hyperlink ref="S2840" r:id="rId10157" xr:uid="{E6E7737F-040B-48B8-B10C-814E0FB30F20}"/>
    <hyperlink ref="CA2840" r:id="rId10158" xr:uid="{CF4F176E-912F-4B7E-85DC-E747D9B8799B}"/>
    <hyperlink ref="CD2840" r:id="rId10159" xr:uid="{CA37D19A-E81C-44B1-A2A3-7B38CE5BDD7B}"/>
    <hyperlink ref="O2841" r:id="rId10160" xr:uid="{9FA6CF3A-EEA8-42DA-8B4C-8532F6BE7267}"/>
    <hyperlink ref="S2841" r:id="rId10161" xr:uid="{EE59D527-CD42-482F-9C5D-9F1A223E069B}"/>
    <hyperlink ref="CA2841" r:id="rId10162" xr:uid="{9D25F1D3-E6E4-4F8D-9475-3DCED452B8A9}"/>
    <hyperlink ref="O2842" r:id="rId10163" xr:uid="{EB46D6FC-6452-4465-AA6A-B4131F349679}"/>
    <hyperlink ref="S2842" r:id="rId10164" xr:uid="{3A731AA3-65E3-4E2B-9302-4349B816B0E9}"/>
    <hyperlink ref="CA2842" r:id="rId10165" xr:uid="{AD7651B5-1D7F-46A3-A215-9BD3026D751B}"/>
    <hyperlink ref="CD2842" r:id="rId10166" xr:uid="{1549C73E-3B52-4928-8155-C6A5C6624C1B}"/>
    <hyperlink ref="O2843" r:id="rId10167" xr:uid="{2A3E6FD9-3480-466A-8920-5F28256629DE}"/>
    <hyperlink ref="S2843" r:id="rId10168" xr:uid="{60241302-C6A8-4C88-83EF-E869D26C7ED7}"/>
    <hyperlink ref="CA2843" r:id="rId10169" xr:uid="{A97A2544-4051-4D93-B7B8-152282130560}"/>
    <hyperlink ref="CD2843" r:id="rId10170" xr:uid="{200E72A1-4CFD-4F5A-9186-703807CBAB0C}"/>
    <hyperlink ref="O2844" r:id="rId10171" xr:uid="{438417B5-27FA-4E13-843E-C97E61AC240D}"/>
    <hyperlink ref="S2844" r:id="rId10172" xr:uid="{74E6A00F-6AB1-4627-925A-9D4621F5F784}"/>
    <hyperlink ref="CA2844" r:id="rId10173" xr:uid="{050F130D-B50E-48D3-8D1C-F10E1EC16A16}"/>
    <hyperlink ref="O2845" r:id="rId10174" xr:uid="{E3E3B9C6-7C02-4855-B7CC-F462DC413784}"/>
    <hyperlink ref="S2845" r:id="rId10175" xr:uid="{EE6B209C-ADCD-4761-B22C-1EC3B2125F04}"/>
    <hyperlink ref="CA2845" r:id="rId10176" xr:uid="{ADC8B08F-219F-4AAE-A58B-3719AC870939}"/>
    <hyperlink ref="O2846" r:id="rId10177" xr:uid="{01ADCCE6-1409-409D-93B6-1D72229D1CEE}"/>
    <hyperlink ref="S2846" r:id="rId10178" xr:uid="{BE5CDC99-5C31-4398-807C-C1862C5B32AF}"/>
    <hyperlink ref="T2846" r:id="rId10179" xr:uid="{20491264-2C90-4DF2-8CB5-9A5EA51E25CA}"/>
    <hyperlink ref="CA2846" r:id="rId10180" xr:uid="{57AB0CEC-77CA-4861-8312-4369EC0261B7}"/>
    <hyperlink ref="CB2846" r:id="rId10181" xr:uid="{BF792A54-FF14-4596-8803-620FF20D558F}"/>
    <hyperlink ref="O2847" r:id="rId10182" xr:uid="{0FF093CD-1C77-48FE-A1FD-58D105A6439C}"/>
    <hyperlink ref="S2847" r:id="rId10183" xr:uid="{4D54BDD5-A293-415B-B117-07E53F8EFFB3}"/>
    <hyperlink ref="T2847" r:id="rId10184" xr:uid="{FAAAC09E-6987-404B-B550-783E312BD780}"/>
    <hyperlink ref="CA2847" r:id="rId10185" xr:uid="{3063A49D-4A36-4520-9835-5A6A1BEA8D2D}"/>
    <hyperlink ref="CB2847" r:id="rId10186" xr:uid="{2467C118-865A-4987-86FE-30BD10566EB3}"/>
    <hyperlink ref="O2848" r:id="rId10187" xr:uid="{9A2B1851-A505-423B-B5D3-3D9D206A470A}"/>
    <hyperlink ref="S2848" r:id="rId10188" xr:uid="{17F2DD2F-68BE-4D97-91DE-F13BDE13408E}"/>
    <hyperlink ref="T2848" r:id="rId10189" xr:uid="{71828ECA-6F2C-4202-8F09-C9A1AA282C17}"/>
    <hyperlink ref="CA2848" r:id="rId10190" xr:uid="{0A169F2E-C5A4-4E6D-A5BF-7272F72DC084}"/>
    <hyperlink ref="CB2848" r:id="rId10191" xr:uid="{1FFD4F08-7997-4231-8C4E-FA213B5CFCE7}"/>
    <hyperlink ref="O2849" r:id="rId10192" xr:uid="{E384E1C2-77F4-40FE-B970-2FA3C9A637F2}"/>
    <hyperlink ref="S2849" r:id="rId10193" xr:uid="{98C1A65E-82C3-42D7-95F7-0F9C53F53FA2}"/>
    <hyperlink ref="T2849" r:id="rId10194" xr:uid="{766E755A-C58A-46CB-B648-956D80EB97F8}"/>
    <hyperlink ref="CA2849" r:id="rId10195" xr:uid="{F5AB3312-E621-4FEF-924C-50DDE3B9766A}"/>
    <hyperlink ref="CB2849" r:id="rId10196" xr:uid="{B77DC694-D570-4A64-AE46-534A50FD3DAE}"/>
    <hyperlink ref="O2850" r:id="rId10197" xr:uid="{BBB316D0-FB2D-4147-BC3B-7282F6BE247C}"/>
    <hyperlink ref="S2850" r:id="rId10198" xr:uid="{ED042091-4865-40A6-9A3C-C5D77B74A7BD}"/>
    <hyperlink ref="CA2850" r:id="rId10199" xr:uid="{A748F6A9-C85C-4942-9204-D3C014321895}"/>
    <hyperlink ref="CD2850" r:id="rId10200" xr:uid="{E6F2A72C-8AAF-4509-B70A-E2C715F3BEF1}"/>
    <hyperlink ref="O2851" r:id="rId10201" xr:uid="{A39543F3-E7A3-4B1A-8645-594F21B20FC0}"/>
    <hyperlink ref="S2851" r:id="rId10202" xr:uid="{E28B1AC6-358E-4C56-9504-5E9816DD0942}"/>
    <hyperlink ref="CA2851" r:id="rId10203" xr:uid="{2E068AF3-2EF0-4C0D-8CAE-EF1401CAEF08}"/>
    <hyperlink ref="CD2851" r:id="rId10204" xr:uid="{546AA418-6DA1-443F-A422-22568EAF71BB}"/>
    <hyperlink ref="O2852" r:id="rId10205" xr:uid="{0AF4B859-7A5F-4AE2-8D1F-8EB87F74FFE3}"/>
    <hyperlink ref="R2852" r:id="rId10206" xr:uid="{048916BF-FC8D-4187-B9E7-7FF97A621A30}"/>
    <hyperlink ref="S2852" r:id="rId10207" xr:uid="{A90470C6-8EBB-497B-A8E0-8D574BBB7F95}"/>
    <hyperlink ref="CA2852" r:id="rId10208" xr:uid="{CC54B1D8-97C5-4E7D-A39E-A256F6300812}"/>
    <hyperlink ref="CD2852" r:id="rId10209" xr:uid="{0D02D7E3-4675-413E-A9D7-C79D7BB0954B}"/>
    <hyperlink ref="O2853" r:id="rId10210" xr:uid="{2DD9C5E5-9062-4469-BBF0-68CEE66E1B2C}"/>
    <hyperlink ref="S2853" r:id="rId10211" xr:uid="{18006EEA-BC27-4352-92C8-3B452FFB342C}"/>
    <hyperlink ref="CA2853" r:id="rId10212" xr:uid="{DC1370E0-2B11-4885-A2E1-86723582CD06}"/>
    <hyperlink ref="CD2853" r:id="rId10213" xr:uid="{E04BC5DE-253D-4111-AD5B-0281A7C341E0}"/>
    <hyperlink ref="O2854" r:id="rId10214" xr:uid="{B193A274-82CD-427A-B74B-7CFBDE2AF717}"/>
    <hyperlink ref="S2854" r:id="rId10215" xr:uid="{F7E90405-B8F0-4C46-B484-35166F71C285}"/>
    <hyperlink ref="CA2854" r:id="rId10216" xr:uid="{B807EF3D-49E0-4C20-B718-8B492212782E}"/>
    <hyperlink ref="CD2854" r:id="rId10217" xr:uid="{67C84A57-2FDF-4F1C-8284-F4E972FA303B}"/>
    <hyperlink ref="O2855" r:id="rId10218" xr:uid="{CB1DE752-6B60-41BA-9248-0785EB940114}"/>
    <hyperlink ref="S2855" r:id="rId10219" xr:uid="{5BE9656D-0475-436E-AC24-F848B892BF3D}"/>
    <hyperlink ref="CA2855" r:id="rId10220" xr:uid="{C6A2DD23-D768-4B5E-9CA3-6A9E285D95E7}"/>
    <hyperlink ref="CD2855" r:id="rId10221" xr:uid="{98924558-132C-47DB-AC51-5316E5E2D96A}"/>
    <hyperlink ref="O2856" r:id="rId10222" xr:uid="{416E6DDC-0F33-4FDE-8126-1FEC3FB6BCCC}"/>
    <hyperlink ref="S2856" r:id="rId10223" xr:uid="{D1C3C1F2-915E-43FF-B22A-28910998ACDC}"/>
    <hyperlink ref="CA2856" r:id="rId10224" xr:uid="{EB7BF6F1-11F4-430F-87E0-007586FE4DA2}"/>
    <hyperlink ref="CD2856" r:id="rId10225" xr:uid="{01FFDBB2-D20D-4DAE-946A-D27AFAA6858D}"/>
    <hyperlink ref="O2857" r:id="rId10226" xr:uid="{F647A932-CD41-4F2D-A2CE-FB2C92DC16DE}"/>
    <hyperlink ref="S2857" r:id="rId10227" xr:uid="{39F5FC20-A32F-4B0C-9380-B07250DC0512}"/>
    <hyperlink ref="CA2857" r:id="rId10228" xr:uid="{DFCDDA46-1D1B-4685-A8A6-A6B917794199}"/>
    <hyperlink ref="CD2857" r:id="rId10229" xr:uid="{18B66073-9D7B-411E-9ECC-230DA89C738A}"/>
    <hyperlink ref="O2858" r:id="rId10230" xr:uid="{2FE87A16-1DF7-4B4D-AA5D-46F3EF52C17D}"/>
    <hyperlink ref="S2858" r:id="rId10231" xr:uid="{E00C1DA0-885A-48AC-A4A9-1F6D47C03C95}"/>
    <hyperlink ref="CA2858" r:id="rId10232" xr:uid="{97B3356D-EF36-4360-9F7D-16C4181C1192}"/>
    <hyperlink ref="CD2858" r:id="rId10233" xr:uid="{36494628-AC55-4B94-87BE-F1602281E4E3}"/>
    <hyperlink ref="O2859" r:id="rId10234" xr:uid="{1B37D1F6-26B8-4E04-9686-106B2BEAB73A}"/>
    <hyperlink ref="S2859" r:id="rId10235" xr:uid="{594B4F21-35CE-4BDF-B3AD-D5838A4D63AF}"/>
    <hyperlink ref="CA2859" r:id="rId10236" xr:uid="{E0B80E5B-3BF8-4721-9F64-60EE94C86B2F}"/>
    <hyperlink ref="CD2859" r:id="rId10237" xr:uid="{9664FE10-FEC3-4C75-B563-623F0ACD4F0C}"/>
    <hyperlink ref="O2860" r:id="rId10238" xr:uid="{92045CE6-4F3B-4D65-B0A9-762F1F63FC27}"/>
    <hyperlink ref="S2860" r:id="rId10239" xr:uid="{AC11980C-3661-4EF9-91BF-DFCF90E5E6AB}"/>
    <hyperlink ref="CA2860" r:id="rId10240" xr:uid="{5C6A8CAB-6DBD-4330-951D-A5DCD0C2BEC3}"/>
    <hyperlink ref="CD2860" r:id="rId10241" xr:uid="{B8AB5937-2971-4A33-A570-D46E8B804D65}"/>
    <hyperlink ref="O2861" r:id="rId10242" xr:uid="{1EBF3CF3-32F3-412B-AD69-86273E9F8234}"/>
    <hyperlink ref="S2861" r:id="rId10243" xr:uid="{CB965634-9AA9-4ECF-8AD1-7A971C5359A5}"/>
    <hyperlink ref="CA2861" r:id="rId10244" xr:uid="{17603F4B-F998-41B5-A94A-5ACFB6C9EFB7}"/>
    <hyperlink ref="CD2861" r:id="rId10245" xr:uid="{52088E75-3BC0-4D2C-9BDB-1607961719B8}"/>
    <hyperlink ref="O2862" r:id="rId10246" xr:uid="{A85828F4-AB70-4662-A2C5-EB62DAA318ED}"/>
    <hyperlink ref="S2862" r:id="rId10247" xr:uid="{5852DF18-0FEF-4319-9B2D-32A0C537C8FA}"/>
    <hyperlink ref="CA2862" r:id="rId10248" xr:uid="{C47D570B-2213-418A-B551-518E40568BE3}"/>
    <hyperlink ref="CB2862" r:id="rId10249" xr:uid="{17E4BCEC-47D7-4DAE-800C-D6AE605A7BC5}"/>
    <hyperlink ref="CD2862" r:id="rId10250" xr:uid="{82F49CCE-2F01-4B70-854F-97AA508F5527}"/>
    <hyperlink ref="O2863" r:id="rId10251" xr:uid="{FF749D34-1A46-4821-82BD-6EEA3750C85F}"/>
    <hyperlink ref="S2863" r:id="rId10252" xr:uid="{8092C742-FF4F-46F9-B98F-4C4D36991EB0}"/>
    <hyperlink ref="CA2863" r:id="rId10253" xr:uid="{F58BC468-B587-4811-93C3-9095BC843253}"/>
    <hyperlink ref="O2864" r:id="rId10254" xr:uid="{617D5172-A3A0-4481-9EB3-9AECD6DE13E3}"/>
    <hyperlink ref="S2864" r:id="rId10255" xr:uid="{C062499B-8B14-4455-B020-AC98238389E2}"/>
    <hyperlink ref="CA2864" r:id="rId10256" xr:uid="{DC150110-8E05-43E3-91D4-7D786012DE2E}"/>
    <hyperlink ref="CD2864" r:id="rId10257" xr:uid="{8909E81A-4E47-411F-915D-23C4FEC7C62D}"/>
    <hyperlink ref="O2865" r:id="rId10258" xr:uid="{1DD47CB1-91B5-40D8-953C-3D751B1FB273}"/>
    <hyperlink ref="S2865" r:id="rId10259" xr:uid="{93F76C9E-4900-40CB-980A-75F4858EDC69}"/>
    <hyperlink ref="CA2865" r:id="rId10260" xr:uid="{3158F2C1-FACF-434E-A1EA-4B8ECA949804}"/>
    <hyperlink ref="O2866" r:id="rId10261" xr:uid="{40FE0AA9-5078-4A0E-8AD0-FB4396372C6A}"/>
    <hyperlink ref="S2866" r:id="rId10262" xr:uid="{F6E3772C-B68B-48EA-9CA1-73775D08E0A3}"/>
    <hyperlink ref="CA2866" r:id="rId10263" xr:uid="{AA8E601E-3327-4E28-A86D-E43A700370CA}"/>
    <hyperlink ref="O2867" r:id="rId10264" xr:uid="{289AA403-9007-441E-8E6A-CB142564C334}"/>
    <hyperlink ref="O2868" r:id="rId10265" xr:uid="{7459475D-5686-4F67-9285-5B1B20E69CE1}"/>
    <hyperlink ref="O2869" r:id="rId10266" xr:uid="{8E11D13B-9FD3-444C-8EDF-067B465186C8}"/>
    <hyperlink ref="O2870" r:id="rId10267" xr:uid="{D7D26C0C-5E92-4271-BD69-0ECE21FB1691}"/>
    <hyperlink ref="O2871" r:id="rId10268" xr:uid="{ACDC4288-7429-44F4-8181-C1FACB79347E}"/>
    <hyperlink ref="S2871" r:id="rId10269" xr:uid="{6C196783-40D3-4B20-8CEB-523403FFF04D}"/>
    <hyperlink ref="CA2871" r:id="rId10270" xr:uid="{AA723C3E-25AE-4D02-BC59-4DAB22AA7754}"/>
    <hyperlink ref="O2872" r:id="rId10271" xr:uid="{4F217299-DF14-48F6-8D17-BBF2A94373A6}"/>
    <hyperlink ref="S2872" r:id="rId10272" xr:uid="{69525A79-FDDC-4495-B900-F98663B142A6}"/>
    <hyperlink ref="CA2872" r:id="rId10273" xr:uid="{A141BC32-B505-47B7-89C4-B59CDE5980C5}"/>
    <hyperlink ref="O2873" r:id="rId10274" xr:uid="{ED7DAABD-DAC1-4FC8-8AD8-C449041BDAC4}"/>
    <hyperlink ref="O2874" r:id="rId10275" xr:uid="{05FD34A2-935B-46F1-B529-18BCD2EDE0D9}"/>
    <hyperlink ref="O2875" r:id="rId10276" xr:uid="{A18D9243-969B-469F-B41E-8A5CFDBAC1DA}"/>
    <hyperlink ref="S2875" r:id="rId10277" xr:uid="{3CD18B36-A34A-4FF7-A088-E46585B445CC}"/>
    <hyperlink ref="CA2875" r:id="rId10278" xr:uid="{AE3899DF-A5B0-4F3E-A9A4-A0072720BE83}"/>
    <hyperlink ref="O2876" r:id="rId10279" xr:uid="{FAD7DA09-1BE9-463A-A028-C48867132043}"/>
    <hyperlink ref="O2877" r:id="rId10280" xr:uid="{43F572BE-E592-4C9F-A425-3AF01DECE623}"/>
    <hyperlink ref="O2878" r:id="rId10281" xr:uid="{DAE48243-B7A0-4C02-83ED-FDE8125C599F}"/>
    <hyperlink ref="O2879" r:id="rId10282" xr:uid="{54B08BA6-C8E5-42A9-B95A-48A5F8787178}"/>
    <hyperlink ref="O2880" r:id="rId10283" xr:uid="{1815C9FB-1726-4061-AA91-F99AED8680FD}"/>
    <hyperlink ref="S2880" r:id="rId10284" xr:uid="{93781B2D-5E0B-4C6F-8EA7-21702630BD83}"/>
    <hyperlink ref="T2880" r:id="rId10285" xr:uid="{C7BA8F35-7F1A-41CC-B0CF-3C4991A37AF9}"/>
    <hyperlink ref="CA2880" r:id="rId10286" xr:uid="{C8243BB0-A2CE-45F9-8892-04CAF6BD908E}"/>
    <hyperlink ref="CB2880" r:id="rId10287" xr:uid="{9309DCA5-F2F4-455A-9A9C-E0D47BBA17F2}"/>
    <hyperlink ref="O2881" r:id="rId10288" xr:uid="{C05854D8-907E-4174-AF8C-2CA980AC61DA}"/>
    <hyperlink ref="S2881" r:id="rId10289" xr:uid="{D2B2233B-8D0E-40A8-A020-EAB61125B2BA}"/>
    <hyperlink ref="T2881" r:id="rId10290" xr:uid="{0E1536CB-BB3D-41B2-B627-9065C3D51A98}"/>
    <hyperlink ref="CA2881" r:id="rId10291" xr:uid="{20AE0360-619D-4002-9C2A-1E39994F1ED5}"/>
    <hyperlink ref="CB2881" r:id="rId10292" xr:uid="{EAA971C3-A609-4E52-A608-1935A5A14FA2}"/>
    <hyperlink ref="CD2881" r:id="rId10293" xr:uid="{2695012D-78B6-488F-AAA8-571F49909187}"/>
    <hyperlink ref="S2882" r:id="rId10294" xr:uid="{9C9D3031-743B-4D79-9890-3860F7569E26}"/>
    <hyperlink ref="T2882" r:id="rId10295" xr:uid="{B0196CB7-7290-4209-8551-0D903744E8A8}"/>
    <hyperlink ref="CA2882" r:id="rId10296" xr:uid="{959DE750-008C-4BC5-BB07-29AC5172FF1B}"/>
    <hyperlink ref="CB2882" r:id="rId10297" xr:uid="{5757DF91-B69E-4B42-A71C-0B5F936CCA90}"/>
    <hyperlink ref="CD2882" r:id="rId10298" xr:uid="{05E9A2FB-18E6-4A6C-BDFA-FBD5D778E8B1}"/>
    <hyperlink ref="O2883" r:id="rId10299" xr:uid="{49637BD4-D9F7-4289-BA2B-B07F6DC23CAB}"/>
    <hyperlink ref="S2883" r:id="rId10300" xr:uid="{B39F9E41-B375-47FB-8AF6-20F699ADA17A}"/>
    <hyperlink ref="T2883" r:id="rId10301" xr:uid="{62B4B1CB-748E-45B6-B2A2-842E6C5EB6AE}"/>
    <hyperlink ref="CA2883" r:id="rId10302" xr:uid="{A3FFD069-7005-41E6-869E-74B03B923F6A}"/>
    <hyperlink ref="CB2883" r:id="rId10303" xr:uid="{3BC63EDA-C991-4917-B524-3EE233021E39}"/>
    <hyperlink ref="CD2883" r:id="rId10304" xr:uid="{FFF4ED81-F83D-466E-B79D-5457F8CA2FEB}"/>
    <hyperlink ref="O2884" r:id="rId10305" xr:uid="{DB2DB5CC-5C5C-43DB-9447-867470DF9C1C}"/>
    <hyperlink ref="S2884" r:id="rId10306" xr:uid="{162ADB4E-6972-449B-9CC2-A1A3C7D883F7}"/>
    <hyperlink ref="T2884" r:id="rId10307" xr:uid="{53A4A28E-4DD9-40E7-9F59-72EE11636E92}"/>
    <hyperlink ref="CA2884" r:id="rId10308" xr:uid="{4ED5CD81-B1F7-42C5-B5F7-DB99EC906170}"/>
    <hyperlink ref="CB2884" r:id="rId10309" xr:uid="{27B8D815-86F5-487E-96C3-18A646B07F08}"/>
    <hyperlink ref="CD2884" r:id="rId10310" xr:uid="{F1A3E802-75BD-4473-9B61-D01242C51E67}"/>
    <hyperlink ref="O2885" r:id="rId10311" xr:uid="{BFA512FF-0DFA-44A5-83F7-1CDB97B9A3F3}"/>
    <hyperlink ref="S2885" r:id="rId10312" xr:uid="{FAB0594E-A84F-47AE-912F-1358934C8D3F}"/>
    <hyperlink ref="T2885" r:id="rId10313" xr:uid="{3A6A5116-0572-4E33-8017-BE188E28940E}"/>
    <hyperlink ref="CA2885" r:id="rId10314" xr:uid="{AFE3BA78-2B26-4973-8F4A-4A13CA44497A}"/>
    <hyperlink ref="CB2885" r:id="rId10315" xr:uid="{93648418-A7EA-4B36-BA9E-D43A63DD12ED}"/>
    <hyperlink ref="CD2885" r:id="rId10316" xr:uid="{A0C1444B-C885-4B8F-8BA2-EE16F70F9AEF}"/>
    <hyperlink ref="O2886" r:id="rId10317" xr:uid="{3D47917F-BB42-492E-BEA4-CF29933C30B7}"/>
    <hyperlink ref="S2886" r:id="rId10318" xr:uid="{BFDB6990-0877-47E5-868A-2C140E8E39A4}"/>
    <hyperlink ref="CA2886" r:id="rId10319" xr:uid="{254EE079-98DF-439D-BA8C-61555207CD27}"/>
    <hyperlink ref="CD2886" r:id="rId10320" xr:uid="{469B8940-867F-4142-B842-7621ED838A2F}"/>
    <hyperlink ref="O2887" r:id="rId10321" xr:uid="{3781CE62-043A-468A-82B7-1EE64F17492D}"/>
    <hyperlink ref="S2887" r:id="rId10322" xr:uid="{87CA1BE6-D2DE-496C-9193-4DC8C01FC70A}"/>
    <hyperlink ref="CA2887" r:id="rId10323" xr:uid="{93A8B87E-237A-40A1-9AA9-ED6DC693DE86}"/>
    <hyperlink ref="CD2887" r:id="rId10324" xr:uid="{3D4A6011-C6B0-47F7-9E0F-8BBB7B5DE68B}"/>
    <hyperlink ref="O2888" r:id="rId10325" xr:uid="{01851D86-6149-4255-863D-A38553348E62}"/>
    <hyperlink ref="S2888" r:id="rId10326" xr:uid="{FE9D94D2-C43C-4D8C-ACD3-426A35A5840C}"/>
    <hyperlink ref="CA2888" r:id="rId10327" xr:uid="{DABAA065-4CBB-4057-8926-BBC77D5DC11F}"/>
    <hyperlink ref="CD2888" r:id="rId10328" xr:uid="{61528145-2932-4588-806D-9E9F26B8EE77}"/>
    <hyperlink ref="O2889" r:id="rId10329" xr:uid="{4D5ECC5F-07BC-4E15-BEB9-DD9CD48A2FD7}"/>
    <hyperlink ref="S2889" r:id="rId10330" xr:uid="{BC80ACEE-D556-44F4-AE50-18F3DA8C64C5}"/>
    <hyperlink ref="CA2889" r:id="rId10331" xr:uid="{017D87EC-32B5-4FB0-AEFF-C4776D4E1C0F}"/>
    <hyperlink ref="CD2889" r:id="rId10332" xr:uid="{79463435-A73F-4652-A5AF-275D0D4217AB}"/>
    <hyperlink ref="O2890" r:id="rId10333" xr:uid="{676CEC0C-F6A3-4CC2-9258-7063CD48B556}"/>
    <hyperlink ref="S2890" r:id="rId10334" xr:uid="{C9AF6B59-83FC-489D-BDB3-346BB5FBECA9}"/>
    <hyperlink ref="CA2890" r:id="rId10335" xr:uid="{B095298E-C613-455C-B432-E264D12BAEBB}"/>
    <hyperlink ref="CD2890" r:id="rId10336" xr:uid="{01C7B622-E883-4859-A55D-415070EE1A44}"/>
    <hyperlink ref="O2891" r:id="rId10337" xr:uid="{18E48456-116C-4165-A63A-D6958FF6C916}"/>
    <hyperlink ref="S2891" r:id="rId10338" xr:uid="{D5AE355B-EF7C-4F52-B8E0-801734F18971}"/>
    <hyperlink ref="CA2891" r:id="rId10339" xr:uid="{34B72411-1BDC-4B57-8570-F9A38F3C892E}"/>
    <hyperlink ref="CD2891" r:id="rId10340" xr:uid="{B4A69216-2F3C-4607-91A0-517B7DF3F7CC}"/>
    <hyperlink ref="O2892" r:id="rId10341" xr:uid="{F77E631C-17BC-4AA4-B365-3A86B9744009}"/>
    <hyperlink ref="S2892" r:id="rId10342" xr:uid="{B379E744-5AC0-4F50-ADF6-2716E817D8B2}"/>
    <hyperlink ref="CA2892" r:id="rId10343" xr:uid="{9722903F-3065-4F71-883F-D4F9CE30531E}"/>
    <hyperlink ref="CD2892" r:id="rId10344" xr:uid="{105A6DFF-B461-4FC4-9711-9DAF1F83B231}"/>
    <hyperlink ref="O2893" r:id="rId10345" xr:uid="{E9B8453C-6B79-4980-893B-C685934BB67E}"/>
    <hyperlink ref="S2893" r:id="rId10346" xr:uid="{6EE11781-80A8-47F5-B606-68E22771BDD0}"/>
    <hyperlink ref="CA2893" r:id="rId10347" xr:uid="{A04F2A4C-0B72-431C-828E-171A51C999F5}"/>
    <hyperlink ref="CD2893" r:id="rId10348" xr:uid="{386316F8-86CE-4421-9E92-3A933A29FFA9}"/>
    <hyperlink ref="O2894" r:id="rId10349" xr:uid="{CC9F1021-E66C-4787-B4D4-D409BAD6C757}"/>
    <hyperlink ref="S2894" r:id="rId10350" xr:uid="{2FB483A8-5465-4BF1-A2CF-BB7547537B07}"/>
    <hyperlink ref="CA2894" r:id="rId10351" xr:uid="{FC492D21-9B87-4CDC-8211-3B230F6A2010}"/>
    <hyperlink ref="CD2894" r:id="rId10352" xr:uid="{73A298E8-51C9-4954-A50E-AE790C9307CB}"/>
    <hyperlink ref="O2895" r:id="rId10353" xr:uid="{C477B354-BFE5-43DF-A50A-9A1EE64248DC}"/>
    <hyperlink ref="S2895" r:id="rId10354" xr:uid="{859BDCDA-6407-408E-8C0C-CD14E477810C}"/>
    <hyperlink ref="CA2895" r:id="rId10355" xr:uid="{7A655FD4-D2FA-4274-8D04-294C5244C043}"/>
    <hyperlink ref="CD2895" r:id="rId10356" xr:uid="{B060569F-4D6A-4D0A-96DA-F4AC70D7F5EC}"/>
    <hyperlink ref="O2896" r:id="rId10357" xr:uid="{72FC0386-1D17-41D2-AB0F-80437BC62BB4}"/>
    <hyperlink ref="S2896" r:id="rId10358" xr:uid="{51D5BD17-A5DD-49A6-A616-5C57070D2F08}"/>
    <hyperlink ref="CA2896" r:id="rId10359" xr:uid="{B98EAE81-37CB-4846-852F-E73F2F548217}"/>
    <hyperlink ref="CD2896" r:id="rId10360" xr:uid="{6933EB72-9EB9-4E1B-8174-47D9AAB76598}"/>
    <hyperlink ref="O2897" r:id="rId10361" xr:uid="{89629698-24B5-42DB-99F7-30D02FE840E3}"/>
    <hyperlink ref="S2897" r:id="rId10362" xr:uid="{805A5D40-6994-4702-9B6D-E4EEF9508F09}"/>
    <hyperlink ref="CA2897" r:id="rId10363" xr:uid="{A8947A58-0A4A-4861-B735-24BF5C37A314}"/>
    <hyperlink ref="CD2897" r:id="rId10364" xr:uid="{F1A10246-647B-4F0C-A1B1-DBF47AA0BCA1}"/>
    <hyperlink ref="O2898" r:id="rId10365" xr:uid="{492511A0-2057-41C4-BFF5-D5B3E9FFD7B6}"/>
    <hyperlink ref="S2898" r:id="rId10366" xr:uid="{2BE6BE96-871B-43AB-AF66-3CF69A80534D}"/>
    <hyperlink ref="CA2898" r:id="rId10367" xr:uid="{63450D74-D518-4F80-B635-59C29E6F8AE2}"/>
    <hyperlink ref="CD2898" r:id="rId10368" xr:uid="{00569617-5DDF-4FB3-869E-B24CB7634768}"/>
    <hyperlink ref="O2899" r:id="rId10369" xr:uid="{8767201E-A736-4163-AA58-2F2EA99FBA40}"/>
    <hyperlink ref="S2899" r:id="rId10370" xr:uid="{D3323017-CF0F-4C9E-9A1A-47B92DDCCE60}"/>
    <hyperlink ref="CA2899" r:id="rId10371" xr:uid="{3C412EE4-3C78-4A95-967E-E30F4BAB538D}"/>
    <hyperlink ref="CD2899" r:id="rId10372" xr:uid="{86B7EAE5-6A9F-44BA-88C0-0D69F8D6500B}"/>
    <hyperlink ref="O2900" r:id="rId10373" xr:uid="{C4CB21FF-C6E6-4014-B2BF-A3DCCAD12BB7}"/>
    <hyperlink ref="S2900" r:id="rId10374" xr:uid="{0BE1F1EA-3D93-4B00-8BC8-3D85B305BFA4}"/>
    <hyperlink ref="CA2900" r:id="rId10375" xr:uid="{EE1F4A2C-83CE-47E9-B8B8-6323AE3595EB}"/>
    <hyperlink ref="CD2900" r:id="rId10376" xr:uid="{4190AB8A-A9B2-4BEF-B4CE-351F233AB1BD}"/>
    <hyperlink ref="O2901" r:id="rId10377" xr:uid="{291D00AA-2470-4BB7-834D-92B4C80F3A00}"/>
    <hyperlink ref="S2901" r:id="rId10378" xr:uid="{20CA57F4-2125-4C63-AF7B-86117A715C82}"/>
    <hyperlink ref="CA2901" r:id="rId10379" xr:uid="{18E3150D-17FD-4C0F-B70A-8597CE64DD31}"/>
    <hyperlink ref="CD2901" r:id="rId10380" xr:uid="{3F2393AB-6ACB-4892-9136-A3D39221EA78}"/>
    <hyperlink ref="O2902" r:id="rId10381" xr:uid="{EC25C7C8-A2A8-4CBC-9CEC-8E60730F40A0}"/>
    <hyperlink ref="S2902" r:id="rId10382" xr:uid="{6A28B134-A651-47F7-BDE0-21E4DF694047}"/>
    <hyperlink ref="CA2902" r:id="rId10383" xr:uid="{B2136ADC-803A-40E0-9868-1E10D3638D29}"/>
    <hyperlink ref="CD2902" r:id="rId10384" xr:uid="{A6B8D84A-A092-4BFC-B8BC-3E8C0235F021}"/>
    <hyperlink ref="O2903" r:id="rId10385" xr:uid="{C22F2C5F-14FA-484E-AA33-25465A2B967B}"/>
    <hyperlink ref="S2903" r:id="rId10386" xr:uid="{F0FF1B10-969E-41EE-B9D9-EDB06BBCCA2B}"/>
    <hyperlink ref="CA2903" r:id="rId10387" xr:uid="{232C3158-5C3F-464F-9C9E-97CED46AD177}"/>
    <hyperlink ref="CD2903" r:id="rId10388" xr:uid="{256B077A-036A-4B34-8229-6C2FDBED34B0}"/>
    <hyperlink ref="O2904" r:id="rId10389" xr:uid="{13317EBA-41E9-4C69-89FB-4F749B8886BF}"/>
    <hyperlink ref="S2904" r:id="rId10390" xr:uid="{36B2C0A1-CD56-472B-A2EC-8A4901D35F73}"/>
    <hyperlink ref="CA2904" r:id="rId10391" xr:uid="{6D2D10E6-C68A-4885-B2DF-19D32B335AB3}"/>
    <hyperlink ref="CD2904" r:id="rId10392" xr:uid="{C0681AB4-A644-40C1-BFBF-0C0F53DB43D2}"/>
    <hyperlink ref="O2906" r:id="rId10393" xr:uid="{B25016F0-2EAE-49B3-9621-5ACE474F7014}"/>
    <hyperlink ref="S2906" r:id="rId10394" xr:uid="{F4B5426D-E9A9-41BB-87C7-C535506A1E0D}"/>
    <hyperlink ref="CA2906" r:id="rId10395" xr:uid="{8F235479-F368-4F4D-88C1-88BE391B1490}"/>
    <hyperlink ref="CD2906" r:id="rId10396" xr:uid="{C12601E8-B065-4BBB-B375-916D5DD57987}"/>
    <hyperlink ref="O2907" r:id="rId10397" xr:uid="{E0FC9F1F-A3C7-4567-B841-177CFD20C8C4}"/>
    <hyperlink ref="S2907" r:id="rId10398" xr:uid="{F9A135F5-8E12-44EE-8F20-CC42808AA690}"/>
    <hyperlink ref="CA2907" r:id="rId10399" xr:uid="{2EB68624-A81D-48D5-91C5-E2F927E1A09C}"/>
    <hyperlink ref="CD2907" r:id="rId10400" xr:uid="{ABF9F5CF-6461-43BC-A35A-BC220AF6FA23}"/>
    <hyperlink ref="O2908" r:id="rId10401" xr:uid="{7C314ED4-17F6-4EA5-8D6D-4FE51F24A3C3}"/>
    <hyperlink ref="S2908" r:id="rId10402" xr:uid="{81A2D4A4-4519-4034-96E9-F9D931F153D7}"/>
    <hyperlink ref="CA2908" r:id="rId10403" xr:uid="{80850FDB-6A5D-4AB6-B7A6-DE0092B8E9A6}"/>
    <hyperlink ref="CD2908" r:id="rId10404" xr:uid="{7BCF6D5E-940E-4B18-943D-0245573B3B13}"/>
    <hyperlink ref="O2909" r:id="rId10405" xr:uid="{B8A9C769-57AB-4DD0-AFBF-E60E7A2C6D30}"/>
    <hyperlink ref="S2909" r:id="rId10406" xr:uid="{60568890-61AB-4ECA-81E9-0FA61B902F8B}"/>
    <hyperlink ref="CA2909" r:id="rId10407" xr:uid="{5D4D4463-7DC3-484D-A754-99F858F75650}"/>
    <hyperlink ref="CD2909" r:id="rId10408" xr:uid="{D7966486-DA42-4225-BB1F-E1BEBFEBE257}"/>
    <hyperlink ref="O2910" r:id="rId10409" xr:uid="{DF25795F-A12E-456B-ABB0-E6F729E55069}"/>
    <hyperlink ref="S2910" r:id="rId10410" xr:uid="{2AB19A7D-F89F-4B9A-B010-5AE6F3BEFB23}"/>
    <hyperlink ref="CA2910" r:id="rId10411" xr:uid="{8F13B826-C52F-4DF8-B63D-BB45FA70E153}"/>
    <hyperlink ref="CD2910" r:id="rId10412" xr:uid="{6CF1F4E0-72A9-4987-823D-A86153469DDA}"/>
    <hyperlink ref="O2911" r:id="rId10413" xr:uid="{B26FFD1C-19C0-4514-B8FF-3B2BBB79C42F}"/>
    <hyperlink ref="S2911" r:id="rId10414" xr:uid="{B2B7B077-1A33-4347-AC56-CF756C644709}"/>
    <hyperlink ref="CA2911" r:id="rId10415" xr:uid="{64A5A9D4-29D6-428F-BAFA-CF67BFB8605A}"/>
    <hyperlink ref="CD2911" r:id="rId10416" xr:uid="{7431F99C-D41B-4496-A914-D76169449E54}"/>
    <hyperlink ref="O2912" r:id="rId10417" xr:uid="{4E59BFBB-F137-4CCC-96BA-F334D3A73A3A}"/>
    <hyperlink ref="S2912" r:id="rId10418" xr:uid="{4D1F73FA-A833-452A-B569-C3F64FB45D82}"/>
    <hyperlink ref="CA2912" r:id="rId10419" xr:uid="{758603F6-989F-4B85-88F2-ACF925CD4B2D}"/>
    <hyperlink ref="CD2912" r:id="rId10420" xr:uid="{8EFFACB9-31CD-4DC2-8A77-132C0E9B421D}"/>
    <hyperlink ref="O2913" r:id="rId10421" xr:uid="{FE4D3CA2-F867-4EAD-9599-2D85C61051E2}"/>
    <hyperlink ref="S2913" r:id="rId10422" xr:uid="{E5DDBF24-2543-4451-9142-6B1F0D8BF237}"/>
    <hyperlink ref="CA2913" r:id="rId10423" xr:uid="{943EA4FE-74A1-468D-B39E-2C7733DF7E88}"/>
    <hyperlink ref="CD2913" r:id="rId10424" xr:uid="{1FC793BE-D999-4E89-AFEA-5414529E9A65}"/>
    <hyperlink ref="O2914" r:id="rId10425" xr:uid="{A132E683-5125-499E-988B-D403B947EAFE}"/>
    <hyperlink ref="S2914" r:id="rId10426" xr:uid="{04B6D8F1-89F3-4396-B662-A7580CD34CB7}"/>
    <hyperlink ref="CA2914" r:id="rId10427" xr:uid="{45A2C6A9-4E5E-4FAC-B176-BA6700CE240F}"/>
    <hyperlink ref="CD2914" r:id="rId10428" xr:uid="{BA185C2B-34AE-411F-ADDF-B747A304B29A}"/>
    <hyperlink ref="O2915" r:id="rId10429" xr:uid="{B6AA15DB-A4B0-4D83-9C34-8EA8F75D12A3}"/>
    <hyperlink ref="S2915" r:id="rId10430" xr:uid="{287BEEDB-2838-4D72-BAD3-6DB2E10BAFED}"/>
    <hyperlink ref="CA2915" r:id="rId10431" xr:uid="{D98D0528-BCAD-441B-9E63-6C09A618BCF0}"/>
    <hyperlink ref="CD2915" r:id="rId10432" xr:uid="{2883E22F-F2C4-4A1D-BD86-08B43161615A}"/>
    <hyperlink ref="O2916" r:id="rId10433" xr:uid="{136D94F2-6DED-4419-9A25-B2CBAE3ED7FF}"/>
    <hyperlink ref="S2916" r:id="rId10434" xr:uid="{5A3E3059-DEE7-4841-A51E-41999F14B2FA}"/>
    <hyperlink ref="CA2916" r:id="rId10435" xr:uid="{203AA49E-3EDF-4787-8AF4-AB4E028369B9}"/>
    <hyperlink ref="CD2916" r:id="rId10436" xr:uid="{AF8FFCA8-A530-405A-A4C2-934A2D78C812}"/>
    <hyperlink ref="O2917" r:id="rId10437" xr:uid="{97D2728B-BFA6-4401-8CA8-2EC87C546E64}"/>
    <hyperlink ref="S2917" r:id="rId10438" xr:uid="{92056D1A-F9F5-4E56-A41A-B5C956F73670}"/>
    <hyperlink ref="CA2917" r:id="rId10439" xr:uid="{51013858-234A-429C-866B-068AF2C2C398}"/>
    <hyperlink ref="CD2917" r:id="rId10440" xr:uid="{6B95CF92-016F-4577-A637-A5F51FC6D981}"/>
    <hyperlink ref="O2918" r:id="rId10441" xr:uid="{AD4B58C5-1AB3-4343-80E9-E85620AD42B2}"/>
    <hyperlink ref="S2918" r:id="rId10442" xr:uid="{8B1A7758-7332-4CBF-B8E2-EFE168ABC9B2}"/>
    <hyperlink ref="CA2918" r:id="rId10443" xr:uid="{F7E2FB87-43F5-488A-96E5-FE18E9727EA0}"/>
    <hyperlink ref="CD2918" r:id="rId10444" xr:uid="{7F1DBEDB-102E-4BEC-B924-D472B4356051}"/>
    <hyperlink ref="O2919" r:id="rId10445" xr:uid="{EA7ED33E-52AE-4604-8DF8-F45207005C80}"/>
    <hyperlink ref="S2919" r:id="rId10446" xr:uid="{DC2BF687-B85A-4E28-800F-0132DE9E8705}"/>
    <hyperlink ref="CA2919" r:id="rId10447" xr:uid="{9CD8A722-925D-4994-9E1F-6BDDA2A929CE}"/>
    <hyperlink ref="CD2919" r:id="rId10448" xr:uid="{6F20A2FC-21BC-43D1-B578-44639E18988F}"/>
    <hyperlink ref="O2920" r:id="rId10449" xr:uid="{B9EB01E7-72B1-42A9-82FD-90BFA15F1FF1}"/>
    <hyperlink ref="S2920" r:id="rId10450" xr:uid="{F0432B80-8258-48C1-8E3C-6DAE532C5354}"/>
    <hyperlink ref="CA2920" r:id="rId10451" xr:uid="{D164FC3B-6E27-40F3-911F-A3AE5BE1572D}"/>
    <hyperlink ref="CD2920" r:id="rId10452" xr:uid="{D6C13D13-7F81-4CA5-ADF8-7E0AFE1F16BA}"/>
    <hyperlink ref="O2921" r:id="rId10453" xr:uid="{671C9BC5-06EA-4C21-8DF2-038FBC0EE3EC}"/>
    <hyperlink ref="S2921" r:id="rId10454" xr:uid="{6A7D3F0B-75E7-41DB-87F2-1CD7B0D0281C}"/>
    <hyperlink ref="CA2921" r:id="rId10455" xr:uid="{B20D71B0-A326-4477-8AE3-7E5E1E8EEB4B}"/>
    <hyperlink ref="CD2921" r:id="rId10456" xr:uid="{6ACC0B62-51E9-4515-9DEA-384B0D3C9A1C}"/>
    <hyperlink ref="O2922" r:id="rId10457" xr:uid="{EDCC2116-0096-4166-9051-7A259590F9C4}"/>
    <hyperlink ref="S2922" r:id="rId10458" xr:uid="{F27717B7-D6ED-4955-A307-B7F638E61526}"/>
    <hyperlink ref="CA2922" r:id="rId10459" xr:uid="{D63D51E6-CAC3-458D-94BE-98FAE478B9BE}"/>
    <hyperlink ref="CD2922" r:id="rId10460" xr:uid="{27FF2CCF-E571-4D93-9507-2F8DFA1D20D7}"/>
    <hyperlink ref="O2923" r:id="rId10461" xr:uid="{69B43029-C05F-4241-98BA-DF86ADA104BE}"/>
    <hyperlink ref="S2923" r:id="rId10462" xr:uid="{04DE8A3F-5588-4939-B9DE-0D10B471AA93}"/>
    <hyperlink ref="CA2923" r:id="rId10463" xr:uid="{961BE384-655C-4D26-B31C-8C6832962EA8}"/>
    <hyperlink ref="O2924" r:id="rId10464" xr:uid="{02C4FF1D-5D30-4E5F-BC39-242950A10842}"/>
    <hyperlink ref="S2924" r:id="rId10465" xr:uid="{0205F3A8-A13A-4BC6-93C6-E8962F798BB6}"/>
    <hyperlink ref="CA2924" r:id="rId10466" xr:uid="{51285485-0895-4DAD-9C5C-40A0CE4F62DC}"/>
    <hyperlink ref="O2925" r:id="rId10467" xr:uid="{6C0B36C8-27C1-4280-9A76-88815ABB685D}"/>
    <hyperlink ref="S2925" r:id="rId10468" xr:uid="{3C55A812-AE4E-4315-9341-3F8F0D5FCAB9}"/>
    <hyperlink ref="CA2925" r:id="rId10469" xr:uid="{B6E364BE-7A97-4D16-97CD-915959C9E0E3}"/>
    <hyperlink ref="O2926" r:id="rId10470" xr:uid="{3D7ACE17-48DB-473E-9C5A-E5DC34FB774C}"/>
    <hyperlink ref="S2926" r:id="rId10471" xr:uid="{9BABA79D-7F75-42EF-B4D0-12DE845C51E6}"/>
    <hyperlink ref="CA2926" r:id="rId10472" xr:uid="{8457CACE-E057-49CF-A96C-6EDD41314B9B}"/>
    <hyperlink ref="O2927" r:id="rId10473" xr:uid="{D69A6A9A-E35E-4211-A0EE-57DB1637D85C}"/>
    <hyperlink ref="S2927" r:id="rId10474" xr:uid="{12A2690F-FCF3-4EEA-A902-06029C93FBF9}"/>
    <hyperlink ref="CA2927" r:id="rId10475" xr:uid="{29C30459-B040-44FE-A3C0-6CB8D57292F7}"/>
    <hyperlink ref="O2928" r:id="rId10476" xr:uid="{E729C8B6-18D8-499F-B728-6E1E6A83B94D}"/>
    <hyperlink ref="S2928" r:id="rId10477" xr:uid="{F28B232B-4350-472E-AE78-C1A5A049B7D7}"/>
    <hyperlink ref="CA2928" r:id="rId10478" xr:uid="{2FBF2069-BA3E-4880-9E46-74928F9BBC21}"/>
    <hyperlink ref="O2929" r:id="rId10479" xr:uid="{B6CC366B-9750-4123-B000-F59FB67E2924}"/>
    <hyperlink ref="S2929" r:id="rId10480" xr:uid="{AEFA16F7-8224-4B77-97C8-12D5D5E314FB}"/>
    <hyperlink ref="CA2929" r:id="rId10481" xr:uid="{E80B65B7-4D1F-4912-B89A-0FF56141EB42}"/>
    <hyperlink ref="O2930" r:id="rId10482" xr:uid="{2D901762-DA50-4E71-A1A8-A5C54059A20C}"/>
    <hyperlink ref="S2930" r:id="rId10483" xr:uid="{CED575ED-3CA8-49B1-A276-3C97B75244F0}"/>
    <hyperlink ref="CA2930" r:id="rId10484" xr:uid="{435714A0-BF91-4305-AB83-AD10E1510093}"/>
    <hyperlink ref="O2931" r:id="rId10485" xr:uid="{7390DD3E-27CF-4D8D-92B8-E989F0D1CBD9}"/>
    <hyperlink ref="S2931" r:id="rId10486" xr:uid="{C9A5AAB3-D69F-4CC1-B573-1C385FCCBF42}"/>
    <hyperlink ref="CA2931" r:id="rId10487" xr:uid="{1E0D3D09-EF1B-425E-8834-5DFFFDCD045D}"/>
    <hyperlink ref="O2932" r:id="rId10488" xr:uid="{3CF6AE88-422B-4DCA-BF00-073DC3D6EB69}"/>
    <hyperlink ref="S2932" r:id="rId10489" xr:uid="{235376A3-8852-42CC-8F6E-E6BB5D6C531C}"/>
    <hyperlink ref="CA2932" r:id="rId10490" xr:uid="{17630FD7-1CD9-4275-938F-08F2E62E5B8C}"/>
    <hyperlink ref="O2933" r:id="rId10491" xr:uid="{C201CCD7-B01D-4BB0-80F2-BD8904A6667E}"/>
    <hyperlink ref="S2933" r:id="rId10492" xr:uid="{C07B6359-53B6-428A-AE19-43D53A473298}"/>
    <hyperlink ref="CA2933" r:id="rId10493" xr:uid="{07F47284-95C8-49F8-AD66-767BB2AA441E}"/>
    <hyperlink ref="O2934" r:id="rId10494" xr:uid="{73E1DE0B-B578-41F8-950C-4BE277DC1341}"/>
    <hyperlink ref="S2934" r:id="rId10495" xr:uid="{DAA2599A-93EA-4245-8E57-A6414170623D}"/>
    <hyperlink ref="CA2934" r:id="rId10496" xr:uid="{7E5DD574-064A-42B8-BC60-DF0C2A8A2133}"/>
    <hyperlink ref="O2935" r:id="rId10497" xr:uid="{8B476A07-8B2F-4BC1-A814-113C66B3FDDE}"/>
    <hyperlink ref="S2935" r:id="rId10498" xr:uid="{24DB9763-343F-4480-B25B-9BED472A6D72}"/>
    <hyperlink ref="CA2935" r:id="rId10499" xr:uid="{D975E119-D110-4693-88F6-508B5D92068F}"/>
    <hyperlink ref="O2936" r:id="rId10500" xr:uid="{726FA917-6BB0-4395-B584-E592B6B9F93B}"/>
    <hyperlink ref="S2936" r:id="rId10501" xr:uid="{046F3578-63C9-40B3-924E-DB084EEAF414}"/>
    <hyperlink ref="CA2936" r:id="rId10502" xr:uid="{A2CB1F97-2030-426C-A718-14BC581D5A70}"/>
    <hyperlink ref="O2937" r:id="rId10503" xr:uid="{78351040-D3CC-499E-9C27-47531DEF58E3}"/>
    <hyperlink ref="S2937" r:id="rId10504" xr:uid="{C36ACACF-338C-4586-8D36-9AADD98E5855}"/>
    <hyperlink ref="CA2937" r:id="rId10505" xr:uid="{3A263DEE-434D-4355-8254-56F9CB872105}"/>
    <hyperlink ref="O2938" r:id="rId10506" xr:uid="{2B070677-A780-4467-886E-AA3EE7DD9320}"/>
    <hyperlink ref="S2938" r:id="rId10507" xr:uid="{BA5F8F1D-98D2-40F1-9270-7EE71679717D}"/>
    <hyperlink ref="CA2938" r:id="rId10508" xr:uid="{D23535BF-D9E9-4CDD-83CE-5B8D879F6661}"/>
    <hyperlink ref="O2939" r:id="rId10509" xr:uid="{7A3F3BA7-022D-4A3F-A5B3-DC452A80BDD8}"/>
    <hyperlink ref="S2939" r:id="rId10510" xr:uid="{240701E8-3E69-44B9-B249-1E8183B164FE}"/>
    <hyperlink ref="T2939" r:id="rId10511" xr:uid="{16CE193E-77B4-4ABF-AFA4-87C694FD08A6}"/>
    <hyperlink ref="CA2939" r:id="rId10512" xr:uid="{DA1377A5-A654-4EE0-BAEB-ED149ED4F2BD}"/>
    <hyperlink ref="CB2939" r:id="rId10513" xr:uid="{FFF44ACF-196E-4822-BF2A-0C20B5952C0B}"/>
    <hyperlink ref="O2940" r:id="rId10514" xr:uid="{6F4DE56E-5170-457E-8E5B-02B1BE8010F8}"/>
    <hyperlink ref="S2940" r:id="rId10515" xr:uid="{D1E8D25F-21F9-4E82-B1C7-6660881D0E92}"/>
    <hyperlink ref="CA2940" r:id="rId10516" xr:uid="{B1769C76-FA50-4089-A675-998395F9D97C}"/>
    <hyperlink ref="O2941" r:id="rId10517" xr:uid="{D811DE63-A3BB-4C38-964A-FE999F864458}"/>
    <hyperlink ref="S2941" r:id="rId10518" xr:uid="{C45A3578-9E7F-4831-9EE5-B8E1BC107E51}"/>
    <hyperlink ref="CA2941" r:id="rId10519" xr:uid="{5ADB343A-A0BB-4AF5-B8FA-9937C9A4370D}"/>
    <hyperlink ref="CD2941" r:id="rId10520" xr:uid="{A4343592-DA12-4520-A2E3-6B6DBF3DB8B8}"/>
    <hyperlink ref="O2942" r:id="rId10521" xr:uid="{8DBBFBDD-2716-41A1-9F6C-2BE8DF28C982}"/>
    <hyperlink ref="S2942" r:id="rId10522" xr:uid="{7896099F-0F5C-46D1-98EA-B7FF52F37444}"/>
    <hyperlink ref="CA2942" r:id="rId10523" xr:uid="{660E2D5F-769E-44A8-9E3A-2A2953B5526F}"/>
    <hyperlink ref="CD2942" r:id="rId10524" xr:uid="{AC0A1268-5C74-4DCA-8236-7EA0EC31380C}"/>
    <hyperlink ref="O2943" r:id="rId10525" xr:uid="{C497A579-48CF-494B-95E6-101DA5A65D9C}"/>
    <hyperlink ref="S2943" r:id="rId10526" xr:uid="{10635191-5241-4B31-B4E2-CBA7F348FB5D}"/>
    <hyperlink ref="CA2943" r:id="rId10527" xr:uid="{1525BE09-62AA-4CB6-8ADB-8690914E2355}"/>
    <hyperlink ref="CD2943" r:id="rId10528" xr:uid="{846FA930-57CA-4A7A-ACDB-0DF9EA25D98C}"/>
    <hyperlink ref="R2944" r:id="rId10529" xr:uid="{B14524CF-CCA5-4712-B37E-58F2A2E75E88}"/>
    <hyperlink ref="R2945" r:id="rId10530" xr:uid="{51816C64-3FD4-4743-9082-ED69CA9639C4}"/>
    <hyperlink ref="O2946" r:id="rId10531" xr:uid="{8574E105-D535-4AB5-A168-001469C8E72A}"/>
    <hyperlink ref="S2946" r:id="rId10532" xr:uid="{6D1B4357-66A5-493C-A43E-6865209ACBDE}"/>
    <hyperlink ref="CA2946" r:id="rId10533" xr:uid="{BC0FB5BA-43F6-4939-8FE9-9343E0E98378}"/>
    <hyperlink ref="O2947" r:id="rId10534" xr:uid="{03D12E41-46E7-4911-A3B4-78B7D649BD6E}"/>
    <hyperlink ref="S2947" r:id="rId10535" xr:uid="{B5A3C7B7-404E-4DD0-A119-1606468CEECA}"/>
    <hyperlink ref="CA2947" r:id="rId10536" xr:uid="{235C3DEB-D526-40C9-973C-D1E490472522}"/>
    <hyperlink ref="CD2947" r:id="rId10537" xr:uid="{78F6BB8B-A88F-4366-B73D-B7E82098BEC7}"/>
    <hyperlink ref="O2948" r:id="rId10538" xr:uid="{E9DDB718-ED83-4A4B-A508-C4BDA4A34A47}"/>
    <hyperlink ref="S2948" r:id="rId10539" xr:uid="{D5D44CDF-90E6-4128-AD7B-54BEF2A39FD2}"/>
    <hyperlink ref="CA2948" r:id="rId10540" xr:uid="{759EACA1-C9CB-49AA-AC95-9E14105F3902}"/>
    <hyperlink ref="CD2948" r:id="rId10541" xr:uid="{BAC87A25-BEF1-4959-9C66-FA81FDD4440A}"/>
    <hyperlink ref="O2949" r:id="rId10542" xr:uid="{3490B048-4CA9-4C21-BE76-29A8A796D56E}"/>
    <hyperlink ref="S2949" r:id="rId10543" xr:uid="{1E084156-119F-463E-8F05-0D804C6C755F}"/>
    <hyperlink ref="CA2949" r:id="rId10544" xr:uid="{A73F8D24-D812-47B4-B204-0D8B160F7898}"/>
    <hyperlink ref="CD2949" r:id="rId10545" xr:uid="{9C06970C-6E07-4E32-B247-A05B80B34549}"/>
    <hyperlink ref="O2950" r:id="rId10546" xr:uid="{E8C13253-48D7-4121-89F9-004E939C1BDB}"/>
    <hyperlink ref="S2950" r:id="rId10547" xr:uid="{55578667-768E-4AC6-9079-9E4FDFEEFE4D}"/>
    <hyperlink ref="CA2950" r:id="rId10548" xr:uid="{C6B069FE-342B-4346-86D9-8DC3E23FBECF}"/>
    <hyperlink ref="CD2950" r:id="rId10549" xr:uid="{8678E3FB-835C-4257-AC73-59B9F5AA1D8F}"/>
    <hyperlink ref="O2951" r:id="rId10550" xr:uid="{17A44666-E8D8-48DE-B54D-8C10F5BB6371}"/>
    <hyperlink ref="S2951" r:id="rId10551" xr:uid="{91E26864-F730-43DE-922C-8F1292DF38D7}"/>
    <hyperlink ref="CA2951" r:id="rId10552" xr:uid="{E517E480-A5A8-4CA1-BD3E-BB8D767812D0}"/>
    <hyperlink ref="CD2951" r:id="rId10553" xr:uid="{1DD33BE3-C478-4E24-B094-ACFFA9C4834B}"/>
    <hyperlink ref="O2952" r:id="rId10554" xr:uid="{6FD7BA2B-94DD-4ECC-B340-AD80658E4F87}"/>
    <hyperlink ref="S2952" r:id="rId10555" xr:uid="{4C678F64-097D-431A-BD78-DD5AAED4389D}"/>
    <hyperlink ref="CA2952" r:id="rId10556" xr:uid="{BC0A359D-F4A5-433A-977D-8AFB44B27501}"/>
    <hyperlink ref="CD2952" r:id="rId10557" xr:uid="{8FFE4090-9D83-4190-964A-BBE3A5F71499}"/>
    <hyperlink ref="O2953" r:id="rId10558" xr:uid="{D4FB7DEB-295F-4389-9CE5-B9A423FCC696}"/>
    <hyperlink ref="S2953" r:id="rId10559" xr:uid="{FD2D56C7-FA2F-4212-8526-67EC0C1CE32B}"/>
    <hyperlink ref="CA2953" r:id="rId10560" xr:uid="{4F188609-296C-4C20-94D1-C3B1B08F9F7A}"/>
    <hyperlink ref="CD2953" r:id="rId10561" xr:uid="{A53C73B5-BB25-4D50-926B-C9C744A263C4}"/>
    <hyperlink ref="O2954" r:id="rId10562" xr:uid="{BC197E5B-DBE3-4ADC-BD4D-2332444F5752}"/>
    <hyperlink ref="S2954" r:id="rId10563" xr:uid="{0CCDAEFE-F8FF-4229-AD6A-28C09027B154}"/>
    <hyperlink ref="CA2954" r:id="rId10564" xr:uid="{8D06517F-4502-4702-A3C1-D24CA0A9342D}"/>
    <hyperlink ref="CD2954" r:id="rId10565" xr:uid="{A8BB1A0B-B414-43FF-B113-E4F613E947C7}"/>
    <hyperlink ref="O2955" r:id="rId10566" xr:uid="{2FEE3FDE-C321-4343-A46B-4B97FEF9A77A}"/>
    <hyperlink ref="S2955" r:id="rId10567" xr:uid="{9A908B62-54F7-43D3-A701-A1487FBC0ECB}"/>
    <hyperlink ref="CA2955" r:id="rId10568" xr:uid="{DE324C4F-178B-4FFC-965B-F52A874596B2}"/>
    <hyperlink ref="CD2955" r:id="rId10569" xr:uid="{F4675C9E-B6E3-484E-B067-6381B211C1E5}"/>
    <hyperlink ref="O2956" r:id="rId10570" xr:uid="{F72358D1-22B6-4420-8A8D-40F3C013139E}"/>
    <hyperlink ref="S2956" r:id="rId10571" xr:uid="{74493168-583E-4FF9-8160-35CFC7EAB3A9}"/>
    <hyperlink ref="CA2956" r:id="rId10572" xr:uid="{7B974A5E-7949-4DCC-806E-2CEA0F918679}"/>
    <hyperlink ref="CD2956" r:id="rId10573" xr:uid="{B9CE9E8A-9280-47FE-B2E7-6BEED4B1A06D}"/>
    <hyperlink ref="O2957" r:id="rId10574" xr:uid="{320F8F47-DEFB-4FA5-AB99-41464CBD9BC5}"/>
    <hyperlink ref="S2957" r:id="rId10575" xr:uid="{19EC71F6-DAAE-473C-A592-3D132DFAC758}"/>
    <hyperlink ref="CA2957" r:id="rId10576" xr:uid="{7887C983-81AF-4206-B560-6DF52E12E21A}"/>
    <hyperlink ref="CD2957" r:id="rId10577" xr:uid="{82A00BF9-E2F7-408F-92CB-F54FF2B4B1D5}"/>
    <hyperlink ref="O2958" r:id="rId10578" xr:uid="{8D05DB0E-6D05-466D-91FE-3BF5E18CA038}"/>
    <hyperlink ref="S2958" r:id="rId10579" xr:uid="{F7CA4547-F5B7-4A73-A16C-8C13B0D65FEE}"/>
    <hyperlink ref="CA2958" r:id="rId10580" xr:uid="{2ACC0843-550F-452D-931E-9F30A3B22923}"/>
    <hyperlink ref="CD2958" r:id="rId10581" xr:uid="{BE795FB2-3328-4328-B737-70C104177B56}"/>
    <hyperlink ref="O2959" r:id="rId10582" xr:uid="{B31C1B56-6E37-42CF-B7CD-16D6232826AA}"/>
    <hyperlink ref="S2959" r:id="rId10583" xr:uid="{9CA88998-7438-444E-ADB8-8A42FF615D86}"/>
    <hyperlink ref="CA2959" r:id="rId10584" xr:uid="{3F5C89A8-5F9C-46C9-99C9-AD1A18B4BD71}"/>
    <hyperlink ref="CD2959" r:id="rId10585" xr:uid="{E60D94D4-BD56-4E44-9D94-2F1638979392}"/>
    <hyperlink ref="O2960" r:id="rId10586" xr:uid="{49158041-325A-4A00-945C-BD68FD0992F8}"/>
    <hyperlink ref="S2960" r:id="rId10587" xr:uid="{89276346-3FD5-4DD7-9FBF-3BE9872BD291}"/>
    <hyperlink ref="CA2960" r:id="rId10588" xr:uid="{389334A9-96BE-450F-ADFC-9DA4EACE1813}"/>
    <hyperlink ref="CD2960" r:id="rId10589" xr:uid="{5B193706-51FB-440D-B9F7-18BFA73AA1BB}"/>
    <hyperlink ref="O2961" r:id="rId10590" xr:uid="{9AD32C64-BA74-4CA0-9449-B25E52DBFF8B}"/>
    <hyperlink ref="S2961" r:id="rId10591" xr:uid="{284038E3-6911-4123-8C97-1A91C0A629C7}"/>
    <hyperlink ref="CA2961" r:id="rId10592" xr:uid="{D4BD1E46-573A-4CD8-8205-EA2DBFB4A780}"/>
    <hyperlink ref="CD2961" r:id="rId10593" xr:uid="{B0D54303-83C2-42D9-84AF-EB2F9B2B903F}"/>
    <hyperlink ref="O2962" r:id="rId10594" xr:uid="{4442BD32-87F1-420F-91A9-956478C3BA6A}"/>
    <hyperlink ref="S2962" r:id="rId10595" xr:uid="{72E9BC20-220F-4584-82A1-E3ED8391ABB6}"/>
    <hyperlink ref="CA2962" r:id="rId10596" xr:uid="{C5B313DF-EFF0-4D75-98E2-54123B4689BC}"/>
    <hyperlink ref="CD2962" r:id="rId10597" xr:uid="{AF2952F4-E7FE-4E78-8217-57964BA69888}"/>
    <hyperlink ref="O2963" r:id="rId10598" xr:uid="{1DFCFA4E-C6AA-400F-BE92-18B021E63F8C}"/>
    <hyperlink ref="S2963" r:id="rId10599" xr:uid="{E21F5F09-0F46-4218-BB1E-6D659A5FF259}"/>
    <hyperlink ref="CA2963" r:id="rId10600" xr:uid="{AB191D57-1D16-47FB-9E8A-6B45E850C97B}"/>
    <hyperlink ref="CD2963" r:id="rId10601" xr:uid="{0015F940-7F1B-4954-BA45-DE5836ADC7BF}"/>
    <hyperlink ref="O2964" r:id="rId10602" xr:uid="{5120B381-9774-4070-A887-2624883AA1FC}"/>
    <hyperlink ref="S2964" r:id="rId10603" xr:uid="{186E6635-5FA6-4B0D-AC09-9F82D03E4CF6}"/>
    <hyperlink ref="CA2964" r:id="rId10604" xr:uid="{2971E65F-9956-4CE8-9A15-0A00D76F9200}"/>
    <hyperlink ref="CD2964" r:id="rId10605" xr:uid="{33B26C4E-F4C4-45F4-8680-69633B5629BD}"/>
    <hyperlink ref="O2965" r:id="rId10606" xr:uid="{A11D8112-E7A4-4813-8E35-AE2C8E059A48}"/>
    <hyperlink ref="S2965" r:id="rId10607" xr:uid="{052CBF51-4F4A-4A81-80E5-D4C85462D2F2}"/>
    <hyperlink ref="CA2965" r:id="rId10608" xr:uid="{2ACC6C69-D8DA-4D5F-B570-9AA983BAE663}"/>
    <hyperlink ref="O2966" r:id="rId10609" xr:uid="{5BC470B3-5DEB-47AF-B3A4-AA2499C5B824}"/>
    <hyperlink ref="S2966" r:id="rId10610" xr:uid="{13B3B081-16A6-4F90-916D-EF38B3AE5921}"/>
    <hyperlink ref="CA2966" r:id="rId10611" xr:uid="{BD1A3CEC-62C0-4246-A401-81FFCD479307}"/>
    <hyperlink ref="O2967" r:id="rId10612" xr:uid="{6A7F01FD-4E4A-43A7-8F7F-95BBC43625F6}"/>
    <hyperlink ref="O2968" r:id="rId10613" xr:uid="{361299E5-F8AD-4CB9-80A1-F4596B802603}"/>
    <hyperlink ref="O2969" r:id="rId10614" xr:uid="{06C4F2FB-21EE-4F7C-9AC0-E0F19341C48D}"/>
    <hyperlink ref="O2970" r:id="rId10615" xr:uid="{A63EF01C-072C-4A50-AF8E-41F1FA94CCBB}"/>
    <hyperlink ref="O2971" r:id="rId10616" xr:uid="{38FB03EE-E5A5-4C19-9B85-050436DBE1C9}"/>
    <hyperlink ref="S2971" r:id="rId10617" xr:uid="{5A372094-4F6B-4B39-B45C-02A38B883D31}"/>
    <hyperlink ref="CA2971" r:id="rId10618" xr:uid="{5B43449D-6CC9-4036-8505-A7674E4D551E}"/>
    <hyperlink ref="CD2971" r:id="rId10619" xr:uid="{18902CB6-975E-4D4A-927A-35EFE250848A}"/>
    <hyperlink ref="O2972" r:id="rId10620" xr:uid="{671CA267-35AF-41CE-90CB-03E8CEEDCB1E}"/>
    <hyperlink ref="O2973" r:id="rId10621" xr:uid="{E5A3692C-F040-42DF-A06D-86DF3D4374B9}"/>
    <hyperlink ref="O2974" r:id="rId10622" xr:uid="{72F834F8-83FF-49A9-99C9-EAACDD004A7E}"/>
    <hyperlink ref="O2975" r:id="rId10623" xr:uid="{D5E0D8D9-8738-4AE9-A8F9-B7403BF8D331}"/>
    <hyperlink ref="O2976" r:id="rId10624" xr:uid="{9F118BA1-E8C6-4A37-ACEE-1597B5E3899B}"/>
    <hyperlink ref="S2976" r:id="rId10625" xr:uid="{2CA8ADCF-A2AE-404C-8C83-5C8928D8CEEE}"/>
    <hyperlink ref="CA2976" r:id="rId10626" xr:uid="{11DA20BC-4255-400E-9809-4D9318C129AE}"/>
    <hyperlink ref="CD2976" r:id="rId10627" xr:uid="{54E74B4F-DBFA-495A-A1D8-17817134861C}"/>
    <hyperlink ref="O2977" r:id="rId10628" xr:uid="{21DDCB12-72B6-4F7B-9C5F-BDB5360F4B60}"/>
    <hyperlink ref="S2977" r:id="rId10629" xr:uid="{2F55D1BF-5DBC-4F69-8EEB-4917DB4B8043}"/>
    <hyperlink ref="CA2977" r:id="rId10630" xr:uid="{9F15D372-6DC6-4929-B230-E9C1C2506E3B}"/>
    <hyperlink ref="CD2977" r:id="rId10631" xr:uid="{09606D76-3687-47D7-BCBD-B39A8AB8B6E7}"/>
    <hyperlink ref="O2978" r:id="rId10632" xr:uid="{351D8633-62F1-4591-A67A-821BB67D7A5C}"/>
    <hyperlink ref="S2978" r:id="rId10633" xr:uid="{F557B95A-FBDA-44DC-AD9C-63B1A68F2BA2}"/>
    <hyperlink ref="CA2978" r:id="rId10634" xr:uid="{35661FE2-B8B1-4AEE-904B-C0DC9ECDE7FA}"/>
    <hyperlink ref="O2979" r:id="rId10635" xr:uid="{76EBA3FD-254E-44FD-AFE4-CD1E659DF486}"/>
    <hyperlink ref="O2980" r:id="rId10636" xr:uid="{D23ACD2F-5310-409B-9ADD-6BB473CF1AC6}"/>
    <hyperlink ref="O2981" r:id="rId10637" xr:uid="{D226BBEB-B803-43DF-B1E1-C7D5B1281598}"/>
    <hyperlink ref="O2982" r:id="rId10638" xr:uid="{8E0AC671-C80A-4579-B4B8-0DD2B83FA76F}"/>
    <hyperlink ref="O2983" r:id="rId10639" xr:uid="{B445BB68-D8A5-4C48-B699-EF1AB92C77B6}"/>
    <hyperlink ref="O2984" r:id="rId10640" xr:uid="{736127FA-F025-4FF3-982E-81E43B39EC6E}"/>
    <hyperlink ref="O2985" r:id="rId10641" xr:uid="{87696900-1CA9-4AAC-816E-EB5E55FDE61A}"/>
    <hyperlink ref="O2986" r:id="rId10642" xr:uid="{AE454E0E-D711-452D-8BF4-89E824D3EAF4}"/>
    <hyperlink ref="O2987" r:id="rId10643" xr:uid="{CBEA1349-FB22-421F-A2F0-1E2F6E811B8F}"/>
    <hyperlink ref="O2988" r:id="rId10644" xr:uid="{A4EA138B-6643-4923-8930-66E56E1FA3DA}"/>
    <hyperlink ref="S2988" r:id="rId10645" xr:uid="{44642BA6-4907-4535-B9C4-D7E3C9EFBBAD}"/>
    <hyperlink ref="CA2988" r:id="rId10646" xr:uid="{75587604-15E1-404F-95DD-AFF3B4B28E94}"/>
    <hyperlink ref="CD2988" r:id="rId10647" xr:uid="{7C0FA98F-A5AD-49B2-852E-672ADFA668F0}"/>
    <hyperlink ref="O2990" r:id="rId10648" xr:uid="{0D35DA85-02EE-4B2E-A8ED-3A11C0FE0F40}"/>
    <hyperlink ref="S2990" r:id="rId10649" xr:uid="{518B739A-606B-4E28-A137-D85BB06C7F17}"/>
    <hyperlink ref="CA2990" r:id="rId10650" xr:uid="{92C392B4-241D-4AD8-BBFA-1578E74AEFE2}"/>
    <hyperlink ref="CB2990" r:id="rId10651" xr:uid="{A6E6BD81-07F7-4731-B182-12D472BF96B2}"/>
    <hyperlink ref="CD2990" r:id="rId10652" xr:uid="{7D4E10E1-9E6B-4B0D-923D-FF34E8FF8D36}"/>
    <hyperlink ref="O2992" r:id="rId10653" xr:uid="{7209BBD3-27AD-4C99-B897-77B95D500EAE}"/>
    <hyperlink ref="S2992" r:id="rId10654" xr:uid="{60A0F487-20FA-4BC2-86F3-4ADC1615D7DD}"/>
    <hyperlink ref="CA2992" r:id="rId10655" xr:uid="{8862EA10-B148-427A-BAE7-D75AD75CFC80}"/>
    <hyperlink ref="CB2992" r:id="rId10656" xr:uid="{9EF7A12D-0741-44DE-B5CF-EAE4D4D377B7}"/>
    <hyperlink ref="CD2992" r:id="rId10657" xr:uid="{5E970D5A-D5D2-4CB5-A722-3D12F8795237}"/>
    <hyperlink ref="O2994" r:id="rId10658" xr:uid="{FC31DAD4-61FB-44CF-B27D-C9A38FF7705C}"/>
    <hyperlink ref="S2994" r:id="rId10659" xr:uid="{146023F5-B24C-414E-815E-09E586836397}"/>
    <hyperlink ref="CA2994" r:id="rId10660" xr:uid="{7FD090B2-73C7-4F0A-AE07-D5E4A801B42A}"/>
    <hyperlink ref="CB2994" r:id="rId10661" xr:uid="{526B74A1-EA06-42E0-897A-EB7DFBF80BDF}"/>
    <hyperlink ref="CD2994" r:id="rId10662" xr:uid="{A187A7DB-6624-4F70-8C96-C675BC607B3A}"/>
    <hyperlink ref="O2996" r:id="rId10663" xr:uid="{D2B3480D-88C8-45B2-87AA-460E4C0198DC}"/>
    <hyperlink ref="S2996" r:id="rId10664" xr:uid="{A4DFE22F-50FA-4B8C-AF95-7BBC5B594223}"/>
    <hyperlink ref="CA2996" r:id="rId10665" xr:uid="{B1BC8005-F000-49CA-AFC0-646AEA9AA871}"/>
    <hyperlink ref="CB2996" r:id="rId10666" xr:uid="{AA4932BE-88D4-49E8-95DC-809E31F7F1DD}"/>
    <hyperlink ref="CD2996" r:id="rId10667" xr:uid="{0E436247-6616-4D0C-8BBC-B0456FEFB3C0}"/>
    <hyperlink ref="O3005" r:id="rId10668" xr:uid="{C9524467-833E-4772-A561-CCF3976BFAC4}"/>
    <hyperlink ref="CA3005" r:id="rId10669" xr:uid="{BB7F77E8-9D81-4507-97E9-448DB358F05F}"/>
    <hyperlink ref="CB3005" r:id="rId10670" xr:uid="{DED581A1-4E40-47B0-B82B-2EB6C0820B6B}"/>
    <hyperlink ref="O3006" r:id="rId10671" xr:uid="{226D7E7B-01F2-4D11-B36A-79AA84E14012}"/>
    <hyperlink ref="CA3006" r:id="rId10672" xr:uid="{4E333C90-EBC5-40DF-B345-54F141D8BFCF}"/>
    <hyperlink ref="CB3006" r:id="rId10673" xr:uid="{22C8F712-3DB0-424B-9449-EAF615D8B4C7}"/>
    <hyperlink ref="CA3007" r:id="rId10674" xr:uid="{DD8E6E90-4430-4C67-8749-EF8C95D9DD77}"/>
    <hyperlink ref="CB3007" r:id="rId10675" xr:uid="{3D52B8A6-7306-43BB-ADD3-0BBE67964CE8}"/>
    <hyperlink ref="CA3008" r:id="rId10676" xr:uid="{8BD9653E-FC3C-49E3-9BBA-D67793FE7E34}"/>
    <hyperlink ref="CB3008" r:id="rId10677" xr:uid="{59674B07-3056-487F-8FD6-4E4BE589B0B7}"/>
    <hyperlink ref="CA3009" r:id="rId10678" xr:uid="{BB5D13A8-D988-438C-B895-56F2F7E7B14C}"/>
    <hyperlink ref="CB3009" r:id="rId10679" xr:uid="{A0E1C556-455F-4560-B974-E3E8E0835A79}"/>
    <hyperlink ref="CA3010" r:id="rId10680" xr:uid="{3395BC09-387C-41FC-9CD0-8B8FB06C5844}"/>
    <hyperlink ref="CB3010" r:id="rId10681" xr:uid="{24E441EB-7FC6-419A-81C9-B5DEEDB8ACC9}"/>
    <hyperlink ref="O3019" r:id="rId10682" xr:uid="{7FE5824A-E987-4EC4-A736-FFD0877DE25B}"/>
    <hyperlink ref="R3019" r:id="rId10683" xr:uid="{60210A09-C310-446F-974A-A398346850BE}"/>
    <hyperlink ref="S3019" r:id="rId10684" xr:uid="{33D07D66-F831-4D7B-B08F-E0805A67C46B}"/>
    <hyperlink ref="CA3019" r:id="rId10685" xr:uid="{846E419C-D30D-437B-8224-B8B09928CDEC}"/>
    <hyperlink ref="CD3019" r:id="rId10686" xr:uid="{61F354A1-D353-4779-BB92-45E2F9BBFE73}"/>
    <hyperlink ref="O3020" r:id="rId10687" xr:uid="{4F0D86C7-F648-4789-8BDD-E5A77F1123ED}"/>
    <hyperlink ref="S3020" r:id="rId10688" xr:uid="{4BEB22CD-2F58-4104-83ED-249A0767ADBF}"/>
    <hyperlink ref="CA3020" r:id="rId10689" xr:uid="{BB32D14A-07D1-4751-AA54-E4D633A4FA1E}"/>
    <hyperlink ref="CD3020" r:id="rId10690" xr:uid="{B98E6BEC-B502-4926-800E-C127B27FB18B}"/>
    <hyperlink ref="O3021" r:id="rId10691" xr:uid="{4FC46D90-620D-4FAC-8E4D-3B023AC57252}"/>
    <hyperlink ref="S3021" r:id="rId10692" xr:uid="{5FCC176A-5982-4209-B7D5-EC1CB8D25B00}"/>
    <hyperlink ref="CA3021" r:id="rId10693" xr:uid="{00EDD5AD-7CAF-47EE-9A10-6895250C4B6F}"/>
    <hyperlink ref="CD3021" r:id="rId10694" xr:uid="{F28E4864-F25B-4DC3-8CF0-BD58F54C7D82}"/>
    <hyperlink ref="O3023" r:id="rId10695" xr:uid="{36BEF6E7-9CE3-4CC1-B131-D10A763012A7}"/>
    <hyperlink ref="S3023" r:id="rId10696" xr:uid="{E6C719FF-53FC-4785-8CE0-C701454A44E0}"/>
    <hyperlink ref="CA3023" r:id="rId10697" xr:uid="{8AD3F74D-FCB1-4CB2-A181-AB5984F50EA5}"/>
    <hyperlink ref="O3024" r:id="rId10698" xr:uid="{AE8AFF56-114F-4994-AAEC-819C394A7537}"/>
    <hyperlink ref="S3024" r:id="rId10699" xr:uid="{C73FC4A2-CB8A-431A-858F-265CF46FDFCD}"/>
    <hyperlink ref="CA3024" r:id="rId10700" xr:uid="{5843220E-AAE4-465F-88A9-E9C4936722A2}"/>
    <hyperlink ref="CD3024" r:id="rId10701" xr:uid="{93CCCFB1-8A69-4831-919A-1565E5898B93}"/>
    <hyperlink ref="O3025" r:id="rId10702" xr:uid="{951222F6-7047-4F27-BA87-B695AEC1C702}"/>
    <hyperlink ref="R3025" r:id="rId10703" xr:uid="{7C938DFB-6753-48DA-82A5-85AC67D81139}"/>
    <hyperlink ref="S3025" r:id="rId10704" xr:uid="{64A7CD44-6736-4D61-828E-FC1A84428FD0}"/>
    <hyperlink ref="CA3025" r:id="rId10705" xr:uid="{CF35B084-E764-4E75-B85E-24F0F3CA959A}"/>
    <hyperlink ref="CD3025" r:id="rId10706" xr:uid="{E18BCB98-E07B-49E9-903A-5488F6C605CE}"/>
    <hyperlink ref="O3026" r:id="rId10707" xr:uid="{81FB8D00-CD8D-437B-AEEF-7C5888B5C2EB}"/>
    <hyperlink ref="S3026" r:id="rId10708" xr:uid="{E344FBC9-80DF-4F9E-809A-FDA03763D027}"/>
    <hyperlink ref="CA3026" r:id="rId10709" xr:uid="{0D2C15B6-58E1-4CA4-9EEB-D5E8978A6EDE}"/>
    <hyperlink ref="CD3026" r:id="rId10710" xr:uid="{EDA818CD-461A-4C5B-B51C-7F38112BAC4A}"/>
    <hyperlink ref="O3027" r:id="rId10711" xr:uid="{8507A688-7762-4FC4-8F77-7304BEFAC668}"/>
    <hyperlink ref="S3027" r:id="rId10712" xr:uid="{819F0DD4-63E3-4FD2-BAEA-E33F6958FC8A}"/>
    <hyperlink ref="CA3027" r:id="rId10713" xr:uid="{08EA858A-CCB8-41A0-ACB1-A4E0F01B77A5}"/>
    <hyperlink ref="CD3027" r:id="rId10714" xr:uid="{04207472-3E0D-4311-8365-DA64DE86C3D9}"/>
    <hyperlink ref="O3028" r:id="rId10715" xr:uid="{F692C052-76FE-4433-A2AC-92E102F5ABD4}"/>
    <hyperlink ref="S3028" r:id="rId10716" xr:uid="{07D26A48-1D5E-4007-A815-A2EB7C4FD9F6}"/>
    <hyperlink ref="CA3028" r:id="rId10717" xr:uid="{E6ED6460-4885-4CA4-A54A-D6F95DD20E13}"/>
    <hyperlink ref="O3029" r:id="rId10718" xr:uid="{C6D9EDC1-E851-43AD-8ED7-DA9CDB6E2E95}"/>
    <hyperlink ref="S3029" r:id="rId10719" xr:uid="{9032F95C-D6A1-44C3-8464-47EDC9030D38}"/>
    <hyperlink ref="CA3029" r:id="rId10720" xr:uid="{0636BCBF-4255-4F96-A5FE-4CD7A66B4906}"/>
    <hyperlink ref="O3030" r:id="rId10721" xr:uid="{50179683-19AC-4D29-AF95-071A157EBE20}"/>
    <hyperlink ref="S3030" r:id="rId10722" xr:uid="{DAE2A08F-D303-4BB5-9B94-728F966AED3C}"/>
    <hyperlink ref="CA3030" r:id="rId10723" xr:uid="{A4798E79-AF0F-4E0B-8F95-7C2BAE27B46A}"/>
    <hyperlink ref="CB3030" r:id="rId10724" xr:uid="{E7128290-F32F-4CE1-AD36-2388801FB4DD}"/>
    <hyperlink ref="CD3030" r:id="rId10725" xr:uid="{7D1BC6F3-C6C2-4607-9B65-3825E4667000}"/>
    <hyperlink ref="O3031" r:id="rId10726" xr:uid="{729F5088-CF2B-4F28-B3E5-6489D57B744A}"/>
    <hyperlink ref="S3031" r:id="rId10727" xr:uid="{87341BC6-8AF6-4898-BBF6-97FC0CBF78E5}"/>
    <hyperlink ref="CA3031" r:id="rId10728" xr:uid="{3413000D-D576-4816-AC4F-F8A06AB738F3}"/>
    <hyperlink ref="O3032" r:id="rId10729" xr:uid="{1610CA3C-F4C8-45AB-8163-7DFEB75B04EF}"/>
    <hyperlink ref="S3032" r:id="rId10730" xr:uid="{BC4AF315-0563-4C7B-8A69-18CE3A2C5F54}"/>
    <hyperlink ref="CA3032" r:id="rId10731" xr:uid="{359B8C3C-D820-4173-A11F-1F3F9F31E037}"/>
    <hyperlink ref="CB3032" r:id="rId10732" xr:uid="{1E2E0FDA-7806-46AD-BD1E-3973E1913259}"/>
    <hyperlink ref="CD3032" r:id="rId10733" xr:uid="{3F0AFB4F-F608-4BE2-9F55-297467378CFD}"/>
    <hyperlink ref="O3033" r:id="rId10734" xr:uid="{E04DAC1A-575E-4A4F-A281-F97F25131E5D}"/>
    <hyperlink ref="S3033" r:id="rId10735" xr:uid="{D0EFDF53-7D69-4D77-B87F-0A90BF3A1C3E}"/>
    <hyperlink ref="CA3033" r:id="rId10736" xr:uid="{39CCCF6C-D656-474B-9A5F-D9CB3EF38F03}"/>
    <hyperlink ref="CB3033" r:id="rId10737" xr:uid="{6681B765-4052-43CE-955B-D62407284135}"/>
    <hyperlink ref="CD3033" r:id="rId10738" xr:uid="{58D9FD7C-3278-4236-9950-6B7BB1E0691C}"/>
    <hyperlink ref="CA3034" r:id="rId10739" xr:uid="{5C367AAA-C855-4135-8062-B341699C00EF}"/>
    <hyperlink ref="CB3034" r:id="rId10740" xr:uid="{7F00EA3A-B382-416B-9733-834BCB9B51B1}"/>
    <hyperlink ref="O3035" r:id="rId10741" xr:uid="{61B6FB86-3CF6-4BB2-9AC3-01EAF5662C6C}"/>
    <hyperlink ref="S3035" r:id="rId10742" xr:uid="{DA678765-B598-4CC0-BFCA-21B6A6466199}"/>
    <hyperlink ref="CA3035" r:id="rId10743" xr:uid="{94404D4C-19A0-454E-A3A0-EA1332788DB1}"/>
    <hyperlink ref="CB3035" r:id="rId10744" xr:uid="{680C6AC0-65FC-4462-8348-BC1C48108728}"/>
    <hyperlink ref="CD3035" r:id="rId10745" xr:uid="{37B96D1E-C1E5-46AB-A624-FEBC9C013E96}"/>
    <hyperlink ref="O3036" r:id="rId10746" xr:uid="{B03C321B-4408-4FF1-9CD9-E1726535EEDB}"/>
    <hyperlink ref="S3036" r:id="rId10747" xr:uid="{CA8C0C71-10D0-4638-B5A1-E1D214608BAA}"/>
    <hyperlink ref="CA3036" r:id="rId10748" xr:uid="{9E9C127C-3764-4EDD-9F56-FE51C3DDABEA}"/>
    <hyperlink ref="CB3036" r:id="rId10749" xr:uid="{A3254C68-6E11-4CE8-B382-16202C2C04DD}"/>
    <hyperlink ref="CD3036" r:id="rId10750" xr:uid="{9B8FF1B8-2CF3-41A8-B86B-6A83DCC66137}"/>
    <hyperlink ref="O3037" r:id="rId10751" xr:uid="{512D13CB-054D-4D69-8907-6EA654F0FA37}"/>
    <hyperlink ref="S3037" r:id="rId10752" xr:uid="{8E91588B-6AB9-41D8-9675-D3288C5FF43B}"/>
    <hyperlink ref="CA3037" r:id="rId10753" xr:uid="{13216A28-2EAE-4C3F-8EB8-3F7E8F58EFC4}"/>
    <hyperlink ref="CB3037" r:id="rId10754" xr:uid="{88D9B554-2DDB-4814-BA9E-0C23D3D3E173}"/>
    <hyperlink ref="CD3037" r:id="rId10755" xr:uid="{CF4F13A8-1E41-44D9-90C2-69A11E1119B8}"/>
    <hyperlink ref="O3038" r:id="rId10756" xr:uid="{EFC331B2-6BFE-484E-8C3B-FD75CFDAB969}"/>
    <hyperlink ref="S3038" r:id="rId10757" xr:uid="{00E28DD4-CF82-4DA0-9104-6BCF7C20FA9E}"/>
    <hyperlink ref="CA3038" r:id="rId10758" xr:uid="{88C47D75-6ED7-4043-A4E9-6D6D74096C92}"/>
    <hyperlink ref="CB3038" r:id="rId10759" xr:uid="{DD26ECE6-65DF-40D9-BBA2-A3B3DFEA22A2}"/>
    <hyperlink ref="O3039" r:id="rId10760" xr:uid="{9231FE7E-5739-4358-A8B1-BAD5FE6C7A38}"/>
    <hyperlink ref="S3039" r:id="rId10761" xr:uid="{4847F54F-FC3A-4EA2-81C5-4976A97E5C67}"/>
    <hyperlink ref="CA3039" r:id="rId10762" xr:uid="{0F74F774-A072-4E3F-925B-3367ECF2EBA5}"/>
    <hyperlink ref="CD3039" r:id="rId10763" xr:uid="{17A42D43-21BD-47EA-86DD-64D853DAC325}"/>
    <hyperlink ref="O3040" r:id="rId10764" xr:uid="{E1FAE636-007B-4302-A7CE-921ACAB6625B}"/>
    <hyperlink ref="S3040" r:id="rId10765" xr:uid="{F5AF85F1-0478-477F-971C-04C67DB9015D}"/>
    <hyperlink ref="CA3040" r:id="rId10766" xr:uid="{4C378E6E-0EB8-46DE-91B8-99EB4A77E6F5}"/>
    <hyperlink ref="O3041" r:id="rId10767" xr:uid="{D10C8C3E-2970-4B53-B7B4-D99D41CFA0EE}"/>
    <hyperlink ref="S3041" r:id="rId10768" xr:uid="{D1983FEF-B8D0-4966-9728-1650B2E9CD84}"/>
    <hyperlink ref="CA3041" r:id="rId10769" xr:uid="{1BBB73DC-C2FF-42E1-BFC6-5E056075FE64}"/>
    <hyperlink ref="CD3041" r:id="rId10770" xr:uid="{37D8359C-40FE-40BC-B45E-40CAC6FCE092}"/>
    <hyperlink ref="O3042" r:id="rId10771" xr:uid="{C8F4054D-94A0-4AE5-BA8C-FFFDFA4B6760}"/>
    <hyperlink ref="S3042" r:id="rId10772" xr:uid="{1F5C90C4-6C9E-4A97-A1E1-15772D552A62}"/>
    <hyperlink ref="CA3042" r:id="rId10773" xr:uid="{B5276F86-C1DE-458F-A8DE-C682114A08F9}"/>
    <hyperlink ref="CD3042" r:id="rId10774" xr:uid="{983084F9-D238-41C1-9AEB-610F26ECB393}"/>
    <hyperlink ref="O3043" r:id="rId10775" xr:uid="{87E2D8AD-CCF3-4148-807C-2A5DB070B445}"/>
    <hyperlink ref="S3043" r:id="rId10776" xr:uid="{4233EC00-DB31-4049-B950-D806A411765A}"/>
    <hyperlink ref="CA3043" r:id="rId10777" xr:uid="{AED510FF-6253-4790-9B1E-60CB7712E8FA}"/>
    <hyperlink ref="CD3043" r:id="rId10778" xr:uid="{1197122C-4764-45CA-BB2E-A3B9DE31AF9A}"/>
    <hyperlink ref="O3044" r:id="rId10779" xr:uid="{6E4F7A81-9010-4C73-89CC-875AF2CE09F9}"/>
    <hyperlink ref="S3044" r:id="rId10780" xr:uid="{19CE1EED-7546-47E6-8C96-A4EED78033E9}"/>
    <hyperlink ref="CA3044" r:id="rId10781" xr:uid="{69DBEE05-72D4-4ED4-8C47-9A2FB4260EB7}"/>
    <hyperlink ref="CD3044" r:id="rId10782" xr:uid="{7EA46337-76AC-48F1-8DE1-BA63F3852EAF}"/>
    <hyperlink ref="O3045" r:id="rId10783" xr:uid="{56FB82D3-FD5B-4E1E-8D14-3D20B9039C6D}"/>
    <hyperlink ref="S3045" r:id="rId10784" xr:uid="{63D7651B-9E43-45AE-994B-E94C261C4270}"/>
    <hyperlink ref="CA3045" r:id="rId10785" xr:uid="{D667B46E-2C1F-471C-84BD-1E96CF9DC09A}"/>
    <hyperlink ref="CD3045" r:id="rId10786" xr:uid="{29E84337-3906-4EA0-8621-8600583DEA7D}"/>
    <hyperlink ref="O3046" r:id="rId10787" xr:uid="{EF65CC93-F297-4E0F-832F-287D8837D61B}"/>
    <hyperlink ref="S3046" r:id="rId10788" xr:uid="{FC35026B-8892-4F63-8DF9-592AB8AA04C0}"/>
    <hyperlink ref="CA3046" r:id="rId10789" xr:uid="{9C52C4C0-5CC4-4D93-8CE1-02BE18B482B5}"/>
    <hyperlink ref="CD3046" r:id="rId10790" xr:uid="{554B33A7-BC86-4BE7-A11A-945EB7577D1B}"/>
    <hyperlink ref="O3047" r:id="rId10791" xr:uid="{3366D084-C778-4C51-B827-6DA96902C573}"/>
    <hyperlink ref="S3047" r:id="rId10792" xr:uid="{D8125C20-7421-4D64-93A8-F0AB0C772773}"/>
    <hyperlink ref="CA3047" r:id="rId10793" xr:uid="{7F6D7E93-C394-427C-8C18-CE13C77B6E3E}"/>
    <hyperlink ref="CD3047" r:id="rId10794" xr:uid="{78849A1C-DC41-4FDE-941B-638FF739C3EC}"/>
    <hyperlink ref="O3048" r:id="rId10795" xr:uid="{4966A42F-CB6C-4E87-81F4-9B1244430CCC}"/>
    <hyperlink ref="CA3048" r:id="rId10796" xr:uid="{08A0AC0D-DB9C-46EF-A0CD-CA5C603A7B57}"/>
    <hyperlink ref="CB3048" r:id="rId10797" xr:uid="{8C8202D3-EAE8-49C4-BBAF-6A43E876D03D}"/>
    <hyperlink ref="O3049" r:id="rId10798" xr:uid="{896BA29D-C9F8-42B5-87BC-A180361B3407}"/>
    <hyperlink ref="S3049" r:id="rId10799" xr:uid="{69EB15D7-E141-4FC5-9EB9-C2B4EB9BF4CF}"/>
    <hyperlink ref="CA3049" r:id="rId10800" xr:uid="{F3BDD719-4791-4CDF-A2E5-7328FDC6DBC9}"/>
    <hyperlink ref="CD3049" r:id="rId10801" xr:uid="{86C34A59-F4AD-464C-A494-9D857FDCFB27}"/>
    <hyperlink ref="O3050" r:id="rId10802" xr:uid="{A8ECE074-97C2-480C-942D-AB2EA62D29CD}"/>
    <hyperlink ref="S3050" r:id="rId10803" xr:uid="{75EBC119-EB2A-4821-950B-6466B3D163D9}"/>
    <hyperlink ref="CA3050" r:id="rId10804" xr:uid="{314426DF-52D7-43E0-B80C-C1D3EC4329FD}"/>
    <hyperlink ref="CD3050" r:id="rId10805" xr:uid="{8B13FFF9-7261-4B5B-A390-5E1D95B2AC2B}"/>
    <hyperlink ref="O3051" r:id="rId10806" xr:uid="{F3C66D4B-0358-4F8E-9BB1-B4966DD065A9}"/>
    <hyperlink ref="S3051" r:id="rId10807" xr:uid="{7519F4F2-9B86-4A7E-AAA0-030DBCFA973F}"/>
    <hyperlink ref="CA3051" r:id="rId10808" xr:uid="{94EAFC9C-4618-42A6-B246-DD0EB8F3BB94}"/>
    <hyperlink ref="CD3051" r:id="rId10809" xr:uid="{EECB12FB-99BA-4D65-976E-F929B1ABF6F1}"/>
    <hyperlink ref="O3052" r:id="rId10810" xr:uid="{F22DEC78-2286-4C6F-AB36-4F50C4EBE588}"/>
    <hyperlink ref="S3052" r:id="rId10811" xr:uid="{A7B5067B-22AA-484E-B16F-AF8C2492E78D}"/>
    <hyperlink ref="CA3052" r:id="rId10812" xr:uid="{C9581727-D6A4-499E-B7C0-3F87D22842FF}"/>
    <hyperlink ref="CD3052" r:id="rId10813" xr:uid="{F223180E-D8C9-4C28-904A-2BEB931FF5E4}"/>
    <hyperlink ref="O3053" r:id="rId10814" xr:uid="{236F6A0B-D8A7-4DAF-8125-84756675870F}"/>
    <hyperlink ref="S3053" r:id="rId10815" xr:uid="{06F284CD-67C0-43F3-B56E-D563A36448BD}"/>
    <hyperlink ref="CA3053" r:id="rId10816" xr:uid="{09323D0B-8A10-4657-B07A-BC47FBC020DD}"/>
    <hyperlink ref="CD3053" r:id="rId10817" xr:uid="{A20D06C9-D804-4D7A-8E6B-935BE0C94764}"/>
    <hyperlink ref="O3054" r:id="rId10818" xr:uid="{CC019B75-0D9B-483C-8F61-EF5E41F05C55}"/>
    <hyperlink ref="S3054" r:id="rId10819" xr:uid="{577A32B6-7DE4-45FE-91B2-569D1218782A}"/>
    <hyperlink ref="CA3054" r:id="rId10820" xr:uid="{23301755-C839-49BB-8173-417067D43755}"/>
    <hyperlink ref="CD3054" r:id="rId10821" xr:uid="{53A19482-F7F4-439E-ABA2-BF44935657A9}"/>
    <hyperlink ref="O3055" r:id="rId10822" xr:uid="{3E64678E-C4E6-4CAD-AA43-4EB29C74B838}"/>
    <hyperlink ref="S3055" r:id="rId10823" xr:uid="{50E0A72E-F57E-42FE-8CC9-5F36A2B38948}"/>
    <hyperlink ref="CA3055" r:id="rId10824" xr:uid="{DA0F5D1C-375F-42C7-ABE3-29FDF292A043}"/>
    <hyperlink ref="CD3055" r:id="rId10825" xr:uid="{C6D90D4E-FC8F-49EE-A890-928B00C8B556}"/>
    <hyperlink ref="O3056" r:id="rId10826" xr:uid="{B92135A8-6849-44AC-80F0-BFA8594DF62E}"/>
    <hyperlink ref="S3056" r:id="rId10827" xr:uid="{86B44408-92FF-4984-823A-F135BD83E785}"/>
    <hyperlink ref="CA3056" r:id="rId10828" xr:uid="{22A0ECE4-EA93-4BE5-B06A-8405F6D5E3D7}"/>
    <hyperlink ref="CD3056" r:id="rId10829" xr:uid="{03D1D1D8-C8F4-4EC2-8BA8-8384FC2DC550}"/>
    <hyperlink ref="O3057" r:id="rId10830" xr:uid="{760260D0-8100-4C66-853B-FF3D218FABC7}"/>
    <hyperlink ref="S3057" r:id="rId10831" xr:uid="{F0F113FE-E679-4D48-A81D-5486B60B4BA6}"/>
    <hyperlink ref="CA3057" r:id="rId10832" xr:uid="{0EBE1E97-8AA0-4C55-B226-06B07D4BC6F1}"/>
    <hyperlink ref="CD3057" r:id="rId10833" xr:uid="{59EC1583-CD54-4B78-9771-EDDFB1CFBB87}"/>
    <hyperlink ref="O3058" r:id="rId10834" xr:uid="{0E6333F4-CFBB-4DB9-99C8-7D338EE84359}"/>
    <hyperlink ref="S3058" r:id="rId10835" xr:uid="{F9F63B73-5E16-4EDC-9660-8518D599922D}"/>
    <hyperlink ref="CA3058" r:id="rId10836" xr:uid="{22D12FA8-CC56-489F-B4D6-55FD1B0B0309}"/>
    <hyperlink ref="CD3058" r:id="rId10837" xr:uid="{E8FDFACF-1D73-49F6-A5A5-1BDD5693A51A}"/>
    <hyperlink ref="O3059" r:id="rId10838" xr:uid="{882D0203-B528-4E8F-B417-1CCB2CE5DE42}"/>
    <hyperlink ref="S3059" r:id="rId10839" xr:uid="{3B1A8F7F-0A9D-4D67-9EFF-1E20BF2CB467}"/>
    <hyperlink ref="CA3059" r:id="rId10840" xr:uid="{859921FD-B762-4052-929D-8C2560844E73}"/>
    <hyperlink ref="CD3059" r:id="rId10841" xr:uid="{BA6C96F2-8DCC-4058-86B5-8767C73D6A90}"/>
    <hyperlink ref="O3060" r:id="rId10842" xr:uid="{FDBBD642-4419-48FB-93A2-17648E37A5AC}"/>
    <hyperlink ref="S3060" r:id="rId10843" xr:uid="{76C57D0E-2087-4778-95D7-E47FE65B1DCD}"/>
    <hyperlink ref="CA3060" r:id="rId10844" xr:uid="{1E52F238-9A03-447A-AD50-03493E4FD1A6}"/>
    <hyperlink ref="CD3060" r:id="rId10845" xr:uid="{39ACC6DD-47D5-4689-8714-1F077872B8FF}"/>
    <hyperlink ref="O3061" r:id="rId10846" xr:uid="{D316C290-20A5-460E-8C82-E28B5BEE2F4A}"/>
    <hyperlink ref="S3061" r:id="rId10847" xr:uid="{02F96D9B-DECE-4343-B8CC-3B3683592F6F}"/>
    <hyperlink ref="CA3061" r:id="rId10848" xr:uid="{FC2039B9-21CA-4D88-91D1-D931C11F0120}"/>
    <hyperlink ref="CD3061" r:id="rId10849" xr:uid="{1DE58CCF-C6FF-4EBD-961C-574A2B84DD2C}"/>
    <hyperlink ref="O3062" r:id="rId10850" xr:uid="{4BCF6DF6-335A-4B27-B725-29E93E461062}"/>
    <hyperlink ref="S3062" r:id="rId10851" xr:uid="{2FC68FAB-A927-4ACB-A73B-54C12EC1F2FD}"/>
    <hyperlink ref="CA3062" r:id="rId10852" xr:uid="{870BE75B-E4A9-4456-B790-72107FC82C3F}"/>
    <hyperlink ref="CD3062" r:id="rId10853" xr:uid="{BD0DC5F3-D079-4B19-95EC-CE7BCC940476}"/>
    <hyperlink ref="O3063" r:id="rId10854" xr:uid="{27FDD2DF-92DD-4D9D-A99D-F9B0EBCCB011}"/>
    <hyperlink ref="S3063" r:id="rId10855" xr:uid="{FAB862EE-AC3C-4552-99D6-8C650F6DBD0E}"/>
    <hyperlink ref="CA3063" r:id="rId10856" xr:uid="{F08A2312-0409-4519-89AD-8A37B6866E40}"/>
    <hyperlink ref="CD3063" r:id="rId10857" xr:uid="{574EFDC6-9A7A-46C1-BB76-4CD053209901}"/>
    <hyperlink ref="O3064" r:id="rId10858" xr:uid="{28E002F0-7671-4468-8F54-2EB992E4CA44}"/>
    <hyperlink ref="S3064" r:id="rId10859" xr:uid="{CF98EC32-E70C-44C0-9202-98E2E8BBFCB8}"/>
    <hyperlink ref="CA3064" r:id="rId10860" xr:uid="{6DA86E3B-E31B-41F0-8BB0-F7CCA1FC3E9A}"/>
    <hyperlink ref="CD3064" r:id="rId10861" xr:uid="{9D9F2230-5AE6-41F1-8A53-559EFA9D38E9}"/>
    <hyperlink ref="O3065" r:id="rId10862" xr:uid="{F7E697CB-A96F-47FC-BA56-839B338B4946}"/>
    <hyperlink ref="S3065" r:id="rId10863" xr:uid="{E08A81C6-0491-43EC-8ABE-6DE053187EB3}"/>
    <hyperlink ref="CA3065" r:id="rId10864" xr:uid="{D5933237-871C-4A0C-866C-D77DFF3E5F92}"/>
    <hyperlink ref="CD3065" r:id="rId10865" xr:uid="{15F6AD2A-1D7B-43DE-BACF-507C95740232}"/>
    <hyperlink ref="O3066" r:id="rId10866" xr:uid="{AD2ADBA8-05E8-4947-BA58-3E8E0CD07A91}"/>
    <hyperlink ref="S3066" r:id="rId10867" xr:uid="{ECD4C1F1-0210-4966-A64F-2FC76BDF52B5}"/>
    <hyperlink ref="CA3066" r:id="rId10868" xr:uid="{5502D34E-111E-47B6-A179-3D1F1B337C03}"/>
    <hyperlink ref="CD3066" r:id="rId10869" xr:uid="{30D6712B-35FD-47B2-AC7C-23D708806995}"/>
    <hyperlink ref="O3067" r:id="rId10870" xr:uid="{D664D481-5C15-486B-9E90-09D6A8E559D6}"/>
    <hyperlink ref="S3067" r:id="rId10871" xr:uid="{21710235-F6E3-4AC4-8F98-F291C835A78B}"/>
    <hyperlink ref="CA3067" r:id="rId10872" xr:uid="{FE18CB68-7038-4C01-8E72-2C5751EDF71A}"/>
    <hyperlink ref="CD3067" r:id="rId10873" xr:uid="{7AF19682-05F8-445D-9A4E-DD0D51ED6141}"/>
    <hyperlink ref="O3068" r:id="rId10874" xr:uid="{D478A1DD-ACCA-44B6-A2EF-0D9F9D77DED3}"/>
    <hyperlink ref="S3068" r:id="rId10875" xr:uid="{2B61CD97-08BD-473F-B8EF-46BE382B6842}"/>
    <hyperlink ref="CA3068" r:id="rId10876" xr:uid="{7B11ACF3-5C09-48FB-BD3C-E5D1887D1633}"/>
    <hyperlink ref="CD3068" r:id="rId10877" xr:uid="{2C8BE220-B40F-4CA7-962F-C233E1900189}"/>
    <hyperlink ref="O3069" r:id="rId10878" xr:uid="{75556A6F-5722-4A65-BADD-06A1D66DE30B}"/>
    <hyperlink ref="S3069" r:id="rId10879" xr:uid="{DCF5AB23-23F3-41B3-A6AC-1BE92FD74952}"/>
    <hyperlink ref="CA3069" r:id="rId10880" xr:uid="{76880B7C-5672-443C-9589-41B7E70D67C7}"/>
    <hyperlink ref="CD3069" r:id="rId10881" xr:uid="{36C0E274-A5B5-4487-ABCA-333024B2C0DB}"/>
    <hyperlink ref="O3070" r:id="rId10882" xr:uid="{C3D7675A-330C-48FC-AFB7-BCD95BFEE310}"/>
    <hyperlink ref="S3070" r:id="rId10883" xr:uid="{E9AB0219-F78D-494E-90DF-CAE3F8337396}"/>
    <hyperlink ref="CA3070" r:id="rId10884" xr:uid="{AC28E428-4FD7-4F17-8FB7-EC5777D72205}"/>
    <hyperlink ref="CD3070" r:id="rId10885" xr:uid="{2168E5ED-9C96-4F7B-87B3-F8003DAF2472}"/>
    <hyperlink ref="O3071" r:id="rId10886" xr:uid="{087F8045-6C58-4443-B790-3CAB5EFDBC7F}"/>
    <hyperlink ref="S3071" r:id="rId10887" xr:uid="{5CA118B5-01C9-4D1A-9DAC-AA5FB8A137A4}"/>
    <hyperlink ref="CA3071" r:id="rId10888" xr:uid="{16590346-5503-449A-AAE6-B2C82098A21B}"/>
    <hyperlink ref="CD3071" r:id="rId10889" xr:uid="{AFF16EE6-F428-4C3B-8E91-7A2A4C293FE3}"/>
    <hyperlink ref="O3072" r:id="rId10890" xr:uid="{20767B4D-3D41-462F-90DB-8D836001E0EE}"/>
    <hyperlink ref="S3072" r:id="rId10891" xr:uid="{9B444789-9BAC-45A3-AA92-DB4468D2776C}"/>
    <hyperlink ref="CA3072" r:id="rId10892" xr:uid="{E7D59AFA-5F8A-49D7-8CA7-35C72A235CFC}"/>
    <hyperlink ref="CD3072" r:id="rId10893" xr:uid="{E9F69690-13B4-48B7-B0FB-86881B5D3577}"/>
    <hyperlink ref="O3073" r:id="rId10894" xr:uid="{28107995-E842-4389-9B32-1618C600B79A}"/>
    <hyperlink ref="S3073" r:id="rId10895" xr:uid="{BEFF79E0-3115-4754-BB78-1A1A5B4024D3}"/>
    <hyperlink ref="CA3073" r:id="rId10896" xr:uid="{23875539-D56F-45F3-997E-EDE18D1C1209}"/>
    <hyperlink ref="CD3073" r:id="rId10897" xr:uid="{96C99343-70DF-4DCF-A6FC-CBAF00CD1C75}"/>
    <hyperlink ref="O3074" r:id="rId10898" xr:uid="{D5C31EEC-56F6-4DC6-BECD-571FB91DF409}"/>
    <hyperlink ref="S3074" r:id="rId10899" xr:uid="{6EAF163C-C89F-4C76-A135-D9B9F3C8F73C}"/>
    <hyperlink ref="CA3074" r:id="rId10900" xr:uid="{E083802F-FA10-4EA8-A59D-6562291DE309}"/>
    <hyperlink ref="CD3074" r:id="rId10901" xr:uid="{6B400264-4D0E-44E5-9CF6-D54A1D26D0DF}"/>
    <hyperlink ref="O3075" r:id="rId10902" xr:uid="{4316D052-7E2A-44DF-B82C-794A01BB93B1}"/>
    <hyperlink ref="S3075" r:id="rId10903" xr:uid="{B4A0F652-F00C-4786-A9B9-2C5A4C18E66E}"/>
    <hyperlink ref="CA3075" r:id="rId10904" xr:uid="{F0A68016-1892-4DA8-8146-85CA5F3B9B8E}"/>
    <hyperlink ref="CD3075" r:id="rId10905" xr:uid="{2EF3D7F6-ADA2-451F-8A19-F091E544D05F}"/>
    <hyperlink ref="O3076" r:id="rId10906" xr:uid="{FC927A09-BF13-4066-A846-0C8F97B816CF}"/>
    <hyperlink ref="S3076" r:id="rId10907" xr:uid="{6F375752-0FB7-4A05-9E93-C97B06A3B1BD}"/>
    <hyperlink ref="CA3076" r:id="rId10908" xr:uid="{A10BC169-F611-4C8F-AC3A-8DE5BA765E60}"/>
    <hyperlink ref="CD3076" r:id="rId10909" xr:uid="{6833F285-C988-4106-A2D2-E3828B1E796D}"/>
    <hyperlink ref="O3077" r:id="rId10910" xr:uid="{B6083B2E-C794-4E75-96B8-02DB8370DA06}"/>
    <hyperlink ref="S3077" r:id="rId10911" xr:uid="{0DF28A55-0249-4FC4-A108-03D0A65EF6A0}"/>
    <hyperlink ref="CA3077" r:id="rId10912" xr:uid="{E4C6173B-3EAD-4B08-BD77-175FCB2A9556}"/>
    <hyperlink ref="CD3077" r:id="rId10913" xr:uid="{97044C75-CD21-49F5-B61C-1D520F724892}"/>
    <hyperlink ref="O3078" r:id="rId10914" xr:uid="{8F5AFBD8-0E3A-4BC6-A417-58AC533C0825}"/>
    <hyperlink ref="S3078" r:id="rId10915" xr:uid="{5C1D9964-FD00-41BA-B720-BF4D616F67E8}"/>
    <hyperlink ref="CA3078" r:id="rId10916" xr:uid="{7F2D965F-0C7A-4E39-B0A9-D84B157A8698}"/>
    <hyperlink ref="CD3078" r:id="rId10917" xr:uid="{D9973908-F620-41A7-81B9-1724FB1BFE50}"/>
    <hyperlink ref="O3079" r:id="rId10918" xr:uid="{F641A99C-0E8A-4F31-8BBB-A34B6F4F62CB}"/>
    <hyperlink ref="S3079" r:id="rId10919" xr:uid="{BB961B17-FF14-4661-97AF-65BCA30E86C9}"/>
    <hyperlink ref="CA3079" r:id="rId10920" xr:uid="{9BBAF3C3-6A39-42FA-9D43-0022F2959E1A}"/>
    <hyperlink ref="CD3079" r:id="rId10921" xr:uid="{B47C9639-830B-4F24-9815-853A3FD85B69}"/>
    <hyperlink ref="O3080" r:id="rId10922" xr:uid="{E2311310-7E40-4E2D-A711-C78F92C0C63C}"/>
    <hyperlink ref="S3080" r:id="rId10923" xr:uid="{21744A35-FE6E-4E2F-AF6C-64DCAAF94C1F}"/>
    <hyperlink ref="CA3080" r:id="rId10924" xr:uid="{D807A958-91FE-460E-9F0A-943C193086C5}"/>
    <hyperlink ref="CD3080" r:id="rId10925" xr:uid="{DDECA394-B79C-4110-B5F2-184DB79AF882}"/>
    <hyperlink ref="O3081" r:id="rId10926" xr:uid="{4ED77ECD-C7DB-4CE4-88E3-069AB84B4896}"/>
    <hyperlink ref="S3081" r:id="rId10927" xr:uid="{A23E2A46-85DE-408A-AA60-1B6690D9D9EC}"/>
    <hyperlink ref="CA3081" r:id="rId10928" xr:uid="{EEDBFDB9-241C-4E8D-B17D-B7BE7CB4A9D2}"/>
    <hyperlink ref="CD3081" r:id="rId10929" xr:uid="{61B4CC85-36C2-4046-B4F2-8979B211730C}"/>
    <hyperlink ref="O3082" r:id="rId10930" xr:uid="{DE104622-3CFF-4EC5-8465-6BB4E07565DA}"/>
    <hyperlink ref="S3082" r:id="rId10931" xr:uid="{6737D68B-B034-4947-9D0F-B7ADC74B5613}"/>
    <hyperlink ref="CA3082" r:id="rId10932" xr:uid="{31947536-F640-428D-BEC8-E3E51221420A}"/>
    <hyperlink ref="CD3082" r:id="rId10933" xr:uid="{7940DE31-E334-42C4-96E5-BA4BACDE5236}"/>
    <hyperlink ref="O3083" r:id="rId10934" xr:uid="{A82E897D-1D05-41A5-A1B8-7DF21D572934}"/>
    <hyperlink ref="S3083" r:id="rId10935" xr:uid="{DDF58E09-0E8B-4069-ABD5-7A346E37F6B8}"/>
    <hyperlink ref="CA3083" r:id="rId10936" xr:uid="{37461C8E-C889-44ED-8BBC-134A6F3248BD}"/>
    <hyperlink ref="CD3083" r:id="rId10937" xr:uid="{E19FB2FB-6F42-4358-96BE-5A3121E8655D}"/>
    <hyperlink ref="O3084" r:id="rId10938" xr:uid="{D6530351-6F64-426D-873C-67B07C810845}"/>
    <hyperlink ref="S3084" r:id="rId10939" xr:uid="{446423C0-D2C4-40F8-BEE0-A2C7AF266CC0}"/>
    <hyperlink ref="CA3084" r:id="rId10940" xr:uid="{E9FEA6AB-E27D-4663-A6DA-B5A9FD5170EA}"/>
    <hyperlink ref="CD3084" r:id="rId10941" xr:uid="{6B280B6E-693B-44AA-B8C9-289D5F1C5B73}"/>
    <hyperlink ref="O3085" r:id="rId10942" xr:uid="{1AEEBBDB-9D8B-4A13-8692-C98DB927328A}"/>
    <hyperlink ref="S3085" r:id="rId10943" xr:uid="{B26E2BB9-0D3A-4DEA-B012-286F0F7EB35A}"/>
    <hyperlink ref="CA3085" r:id="rId10944" xr:uid="{E988C8C1-AF3C-460F-A399-5ED1AD9C2235}"/>
    <hyperlink ref="CD3085" r:id="rId10945" xr:uid="{0C8740CD-7436-44F2-8AE5-898F1E359400}"/>
    <hyperlink ref="O3086" r:id="rId10946" xr:uid="{2AD989F0-4C22-44E5-B039-AC5BC2E0846F}"/>
    <hyperlink ref="S3086" r:id="rId10947" xr:uid="{F6EBC605-A920-4D8A-8B2C-8A169D81B9E9}"/>
    <hyperlink ref="CA3086" r:id="rId10948" xr:uid="{B804DCBD-0514-4A26-8FD9-47C9E9C6F6F7}"/>
    <hyperlink ref="CD3086" r:id="rId10949" xr:uid="{97D19A0D-E1BA-40D5-B0F0-2C48C188B0F6}"/>
    <hyperlink ref="O3087" r:id="rId10950" xr:uid="{2620E1D4-87C6-4A02-ABC0-4653326908F4}"/>
    <hyperlink ref="S3087" r:id="rId10951" xr:uid="{BF65A9F6-8F3A-444F-85A0-8921967F9101}"/>
    <hyperlink ref="CA3087" r:id="rId10952" xr:uid="{7A010520-B23A-41AA-B6E1-FDDE20419D1C}"/>
    <hyperlink ref="CD3087" r:id="rId10953" xr:uid="{0F044D73-CD99-4568-B38C-C7095B7B58F7}"/>
    <hyperlink ref="O3088" r:id="rId10954" xr:uid="{D1E066E6-37C9-4762-A4E5-87ED34751BF7}"/>
    <hyperlink ref="S3088" r:id="rId10955" xr:uid="{318F6D2B-648A-4B2D-8061-794152FB0DAB}"/>
    <hyperlink ref="CA3088" r:id="rId10956" xr:uid="{3D551329-E746-48CD-B108-7F13087EB2C0}"/>
    <hyperlink ref="CD3088" r:id="rId10957" xr:uid="{7836CAE4-12AF-447C-80F3-4FD710EA48AA}"/>
    <hyperlink ref="O3089" r:id="rId10958" xr:uid="{D0131130-F48B-4CCB-8FBA-DFC1BE42C12E}"/>
    <hyperlink ref="S3089" r:id="rId10959" xr:uid="{817ED449-2A0E-4FD9-A3DC-6E1A53DED62C}"/>
    <hyperlink ref="CA3089" r:id="rId10960" xr:uid="{CD069DBB-F0B6-4D5C-B4DD-F5D9354BE65B}"/>
    <hyperlink ref="CD3089" r:id="rId10961" xr:uid="{C0FAF03B-1ED7-40B4-AF93-6771F397D5F5}"/>
    <hyperlink ref="O3090" r:id="rId10962" xr:uid="{54ACB429-1296-4BC9-8701-2538996FC63A}"/>
    <hyperlink ref="S3090" r:id="rId10963" xr:uid="{F7C2CC96-4DD7-4E80-9D6A-2F4ECAE3CD51}"/>
    <hyperlink ref="CA3090" r:id="rId10964" xr:uid="{86A7BCCB-5E4E-4305-AB47-D4F15F10C532}"/>
    <hyperlink ref="CD3090" r:id="rId10965" xr:uid="{34E0FB4A-3046-4988-A838-42F597274470}"/>
    <hyperlink ref="O3091" r:id="rId10966" xr:uid="{769C7FF3-2414-4DC8-8466-705012F9538A}"/>
    <hyperlink ref="S3091" r:id="rId10967" xr:uid="{0FD968D0-26D6-44B2-B3C3-7EB8EFB0F9E8}"/>
    <hyperlink ref="CA3091" r:id="rId10968" xr:uid="{5E240048-39C4-40F5-95EC-00549648729B}"/>
    <hyperlink ref="CD3091" r:id="rId10969" xr:uid="{3BB3A042-3753-453E-89F2-BAE6F608513D}"/>
    <hyperlink ref="O3092" r:id="rId10970" xr:uid="{64D7C4AB-C1DC-4003-B3A7-D4F2AE3F430E}"/>
    <hyperlink ref="S3092" r:id="rId10971" xr:uid="{D7C2A730-2C80-431F-AA6D-F6013E182113}"/>
    <hyperlink ref="CA3092" r:id="rId10972" xr:uid="{9BA83370-3F91-4CDB-86C7-71D6BD9B15E2}"/>
    <hyperlink ref="CD3092" r:id="rId10973" xr:uid="{BB8B3F95-7D29-47F7-8762-E758ED3DFDEF}"/>
    <hyperlink ref="O3093" r:id="rId10974" xr:uid="{55161C77-C6E4-487E-AEA8-19F6CFE5A56E}"/>
    <hyperlink ref="CA3093" r:id="rId10975" xr:uid="{03BC8184-67E5-41D6-865C-07B8DA741A65}"/>
    <hyperlink ref="O3094" r:id="rId10976" xr:uid="{0B8EFB6D-4AA2-4509-9DD8-BFCBA2959453}"/>
    <hyperlink ref="S3094" r:id="rId10977" xr:uid="{96F04A9F-9D5D-40FD-ACC6-3796E6BA5F67}"/>
    <hyperlink ref="CA3094" r:id="rId10978" xr:uid="{461C5737-A4D2-4762-9580-A209FB786537}"/>
    <hyperlink ref="CB3094" r:id="rId10979" xr:uid="{8CBA86FC-7879-4A20-A65D-82356311A096}"/>
    <hyperlink ref="CD3094" r:id="rId10980" xr:uid="{D997A1FC-A379-4AE1-8CA1-6798D29586A8}"/>
    <hyperlink ref="O3095" r:id="rId10981" xr:uid="{24BB1696-8794-43BA-A5E7-6EF787951833}"/>
    <hyperlink ref="S3095" r:id="rId10982" xr:uid="{1226F10F-C273-4BB7-B32F-F8327CD11027}"/>
    <hyperlink ref="CA3095" r:id="rId10983" xr:uid="{261A0E34-2DF7-4E48-A708-3D01F7403849}"/>
    <hyperlink ref="CB3095" r:id="rId10984" xr:uid="{81CF82BD-C1AB-4DFC-9C21-6BD12B72A06E}"/>
    <hyperlink ref="CD3095" r:id="rId10985" xr:uid="{4B1AFBE2-F342-4CC8-BDBF-420B1002DD82}"/>
    <hyperlink ref="O3096" r:id="rId10986" xr:uid="{DEB91CA2-4A5B-4071-ADE8-9D76DAB42AFE}"/>
    <hyperlink ref="S3096" r:id="rId10987" xr:uid="{0712E7F3-EF03-4796-82D1-445879ADFECE}"/>
    <hyperlink ref="CA3096" r:id="rId10988" xr:uid="{BF3C0E97-6A00-4627-9DD7-ED7AED701668}"/>
    <hyperlink ref="CB3096" r:id="rId10989" xr:uid="{9CE36DD3-BA98-4C2B-86F4-30F6388382FD}"/>
    <hyperlink ref="CD3096" r:id="rId10990" xr:uid="{642E2A7B-7892-4614-B2C4-264F8034F3B2}"/>
    <hyperlink ref="O3097" r:id="rId10991" xr:uid="{4DA2C6D4-C1EE-4C87-A7F2-9E8FDDD39FFA}"/>
    <hyperlink ref="S3097" r:id="rId10992" xr:uid="{BDA40E4A-8B2D-44D1-AB86-4B77E396E3A2}"/>
    <hyperlink ref="CA3097" r:id="rId10993" xr:uid="{5F7E59F4-76D5-4716-8BD0-E32E618DC834}"/>
    <hyperlink ref="CB3097" r:id="rId10994" xr:uid="{CB3B4E95-EC63-422E-A597-54D9ADBCC057}"/>
    <hyperlink ref="CD3097" r:id="rId10995" xr:uid="{A4DBD139-1D48-4600-B111-4C68585F8476}"/>
    <hyperlink ref="O3098" r:id="rId10996" xr:uid="{B8E95713-FD43-4201-AB0E-988F4B070941}"/>
    <hyperlink ref="S3098" r:id="rId10997" xr:uid="{2CA39BBB-F421-4989-8866-4828F41C7766}"/>
    <hyperlink ref="CA3098" r:id="rId10998" xr:uid="{9741F4A8-83B6-45EE-BD16-280E7AC9BCED}"/>
    <hyperlink ref="CB3098" r:id="rId10999" xr:uid="{67A28461-8D48-469D-8599-BE566ACCD1A7}"/>
    <hyperlink ref="CD3098" r:id="rId11000" xr:uid="{6B8669FE-DEE1-4951-BD78-E4351C95E944}"/>
    <hyperlink ref="O3099" r:id="rId11001" xr:uid="{85A04B4F-F5D6-4805-8FF4-844B28ED88F2}"/>
    <hyperlink ref="S3099" r:id="rId11002" xr:uid="{1CBECB8A-CF64-41BA-9B8A-D678668401BD}"/>
    <hyperlink ref="CA3099" r:id="rId11003" xr:uid="{A0A8F61D-4624-48EB-9F68-ED8C4A1C3061}"/>
    <hyperlink ref="CB3099" r:id="rId11004" xr:uid="{8BEA96C6-C3EC-4EC8-8C40-0B489383A5A2}"/>
    <hyperlink ref="CD3099" r:id="rId11005" xr:uid="{AFF8F922-0A49-4707-9943-0C8CD969B2FE}"/>
    <hyperlink ref="O3100" r:id="rId11006" xr:uid="{45EAD10B-D6F2-4AF8-90AD-1C73AB73FB72}"/>
    <hyperlink ref="S3100" r:id="rId11007" xr:uid="{EFD8EF87-FC83-4418-98FF-A11E0572C933}"/>
    <hyperlink ref="CA3100" r:id="rId11008" xr:uid="{F30A1BAB-C1D1-4EDD-BFF9-0A45C7279B04}"/>
    <hyperlink ref="CB3100" r:id="rId11009" xr:uid="{2ABA63BF-A4F8-46E1-B8A3-505B799FBBE8}"/>
    <hyperlink ref="CD3100" r:id="rId11010" xr:uid="{86C49642-91A0-4FA1-A1F3-32A356A01733}"/>
    <hyperlink ref="O3101" r:id="rId11011" xr:uid="{3DBFB265-1010-426E-8C45-C88BAC4BFF7E}"/>
    <hyperlink ref="S3101" r:id="rId11012" xr:uid="{8D586F31-D370-4A85-9597-F656994F9753}"/>
    <hyperlink ref="CA3101" r:id="rId11013" xr:uid="{5B286392-DAAF-413E-BC26-4F0848C91AC5}"/>
    <hyperlink ref="CB3101" r:id="rId11014" xr:uid="{AB4DCD69-A19B-497D-8ED5-3BBCFB003A8D}"/>
    <hyperlink ref="CD3101" r:id="rId11015" xr:uid="{4E39EF7B-771E-437D-AAF6-72C749B06CF5}"/>
    <hyperlink ref="O3102" r:id="rId11016" xr:uid="{8AF89D3D-EEEF-435C-B477-33F61319FAB1}"/>
    <hyperlink ref="S3102" r:id="rId11017" xr:uid="{7F4BCEF4-312C-4EAF-91C7-212C4845B28A}"/>
    <hyperlink ref="CA3102" r:id="rId11018" xr:uid="{01E9BBA0-DA66-45CF-8D98-C343899D472C}"/>
    <hyperlink ref="CB3102" r:id="rId11019" xr:uid="{0E5B3EAF-38E3-484E-A1EA-908BA835E368}"/>
    <hyperlink ref="CD3102" r:id="rId11020" xr:uid="{E48D0498-A767-47C4-A5B7-F4FAE1110CC4}"/>
    <hyperlink ref="O3103" r:id="rId11021" xr:uid="{1B18F206-FE08-45C3-AF37-0F3B01DB35A8}"/>
    <hyperlink ref="S3103" r:id="rId11022" xr:uid="{46644B49-F0D1-4857-BFBB-33AF34D090E4}"/>
    <hyperlink ref="CA3103" r:id="rId11023" xr:uid="{0DB35A45-54F4-4E77-A048-832E5EB3D5CE}"/>
    <hyperlink ref="CB3103" r:id="rId11024" xr:uid="{7D872463-B50D-4CFE-8B45-2EDF4520FB4B}"/>
    <hyperlink ref="CD3103" r:id="rId11025" xr:uid="{BA297A7E-A0C5-4FA8-BFBE-622AA0A11878}"/>
    <hyperlink ref="O3104" r:id="rId11026" xr:uid="{5AD7A2CA-0634-4AC3-A119-A9979BE919AC}"/>
    <hyperlink ref="S3104" r:id="rId11027" xr:uid="{89756455-0329-4C9C-82E8-B182E70B1231}"/>
    <hyperlink ref="CA3104" r:id="rId11028" xr:uid="{85D013B4-EC2F-4792-B53E-DCCA11672088}"/>
    <hyperlink ref="CB3104" r:id="rId11029" xr:uid="{97ABC317-93AB-4F70-97DE-CDEB903A5EB0}"/>
    <hyperlink ref="CD3104" r:id="rId11030" xr:uid="{38297667-1DDD-4471-9422-43C5D930449A}"/>
    <hyperlink ref="O3105" r:id="rId11031" xr:uid="{4DCBC3D3-6CAB-4073-8C80-D69241616CA5}"/>
    <hyperlink ref="S3105" r:id="rId11032" xr:uid="{EE63BC22-2134-4E4A-9BFA-5335BF1093D7}"/>
    <hyperlink ref="CA3105" r:id="rId11033" xr:uid="{1D66CE40-5AF5-43AD-AC3A-0C7F2BB0E335}"/>
    <hyperlink ref="CB3105" r:id="rId11034" xr:uid="{F65C4CFF-28BB-4BA1-ADA0-8791DCD338B3}"/>
    <hyperlink ref="CD3105" r:id="rId11035" xr:uid="{E9B573AC-D3A8-4D29-81E7-CD72FF9A4F14}"/>
    <hyperlink ref="O3106" r:id="rId11036" xr:uid="{F76394DB-F3B2-4B68-B450-43D124F65302}"/>
    <hyperlink ref="S3106" r:id="rId11037" xr:uid="{2D3C029F-AE2E-4DC3-B29F-13EE8539A612}"/>
    <hyperlink ref="CA3106" r:id="rId11038" xr:uid="{603ED7D2-ECC3-4925-99A8-1F5A96F22183}"/>
    <hyperlink ref="CB3106" r:id="rId11039" xr:uid="{10AC1338-0F4F-486E-A846-B7BDF3525691}"/>
    <hyperlink ref="CD3106" r:id="rId11040" xr:uid="{6C97B9B7-B39A-4FF0-BB2F-652DE03AC0CC}"/>
    <hyperlink ref="O3107" r:id="rId11041" xr:uid="{772715EF-3029-4DA4-9368-61EA1C4FBDAF}"/>
    <hyperlink ref="S3107" r:id="rId11042" xr:uid="{1E5A6CFF-0636-4DF8-B42B-399CACD24DF7}"/>
    <hyperlink ref="CA3107" r:id="rId11043" xr:uid="{C0EA7CF1-EC1E-4D24-A38D-85772CAA75DA}"/>
    <hyperlink ref="CB3107" r:id="rId11044" xr:uid="{44DABA4F-23BC-46C2-AF95-6CDDD42B33CA}"/>
    <hyperlink ref="CD3107" r:id="rId11045" xr:uid="{476907BE-C503-4270-8383-C4B2FFA6E045}"/>
    <hyperlink ref="O3108" r:id="rId11046" xr:uid="{02FEB88A-0AF4-4AEF-8778-F70B69AF25CA}"/>
    <hyperlink ref="S3108" r:id="rId11047" xr:uid="{4D594DC2-2155-497C-BA77-E98D0B5B9826}"/>
    <hyperlink ref="CA3108" r:id="rId11048" xr:uid="{737A8232-89B2-479E-AB78-485C88588336}"/>
    <hyperlink ref="CB3108" r:id="rId11049" xr:uid="{3FF2B79B-6818-494F-90BE-DC50D38E9361}"/>
    <hyperlink ref="CD3108" r:id="rId11050" xr:uid="{4F514C98-B4F6-47E8-B54D-B33DB97A8AF1}"/>
    <hyperlink ref="O3109" r:id="rId11051" xr:uid="{ECC57991-4073-4594-B442-E75F50A3A304}"/>
    <hyperlink ref="S3109" r:id="rId11052" xr:uid="{D1E49DB1-76FC-4912-807F-723DAF432409}"/>
    <hyperlink ref="CA3109" r:id="rId11053" xr:uid="{CEBDC3F3-7C8F-4CF9-B08D-0B8E7D6AEF76}"/>
    <hyperlink ref="CB3109" r:id="rId11054" xr:uid="{09536087-7CA4-4213-89F2-93C4D48ED21B}"/>
    <hyperlink ref="CD3109" r:id="rId11055" xr:uid="{22044994-19FB-430E-8C1C-F96F50DFE6F8}"/>
    <hyperlink ref="O3110" r:id="rId11056" xr:uid="{E8B3370D-8CC6-44C1-902D-589F3B65680B}"/>
    <hyperlink ref="S3110" r:id="rId11057" xr:uid="{4C7286CB-5CAC-4CF0-BF78-4A7DB26288D5}"/>
    <hyperlink ref="CA3110" r:id="rId11058" xr:uid="{CAEBE714-D082-4DE7-95E4-62D55A0A3CE7}"/>
    <hyperlink ref="CB3110" r:id="rId11059" xr:uid="{CF73902D-C9E8-4BA3-A8FD-187F7A56C848}"/>
    <hyperlink ref="CD3110" r:id="rId11060" xr:uid="{46696D2E-AD9F-4737-96DE-A8306918FBC6}"/>
    <hyperlink ref="O3111" r:id="rId11061" xr:uid="{89AF17E4-CFB5-4F8B-8340-7374A16BB005}"/>
    <hyperlink ref="S3111" r:id="rId11062" xr:uid="{7E740841-AAAB-4A4D-859C-3EE6A462F2E0}"/>
    <hyperlink ref="CA3111" r:id="rId11063" xr:uid="{D015CB54-269D-4A99-B401-3FC4B214AA48}"/>
    <hyperlink ref="O3112" r:id="rId11064" xr:uid="{3A33A59D-1C83-4CF0-887B-F2C2CD3BBBB1}"/>
    <hyperlink ref="S3112" r:id="rId11065" xr:uid="{00F6CD64-66CC-4935-A7F7-1A907F3811E9}"/>
    <hyperlink ref="CA3112" r:id="rId11066" xr:uid="{20AFE496-CC0F-40A3-AF88-4CA3C419B78F}"/>
    <hyperlink ref="O3113" r:id="rId11067" xr:uid="{BFD15BDE-3356-4654-B2C4-38BC24AC4952}"/>
    <hyperlink ref="S3113" r:id="rId11068" xr:uid="{EB1FF9E9-3088-4006-AD06-73906425459B}"/>
    <hyperlink ref="CA3113" r:id="rId11069" xr:uid="{86DFC9BB-3A3D-4471-9DB1-7D66191EF571}"/>
    <hyperlink ref="CD3113" r:id="rId11070" xr:uid="{86084715-F25C-4BD0-ABC8-B7E9CF3EE12E}"/>
    <hyperlink ref="O3114" r:id="rId11071" xr:uid="{00BE34FE-AECA-4F32-A90E-BE7B5BF6279D}"/>
    <hyperlink ref="S3114" r:id="rId11072" xr:uid="{DB63BB51-8C56-4C7C-BF20-40A7D9E96A14}"/>
    <hyperlink ref="CA3114" r:id="rId11073" xr:uid="{ADEB2F01-A19E-4BCC-8124-AAE8867F8B35}"/>
    <hyperlink ref="CB3114" r:id="rId11074" xr:uid="{EE5C3039-9A36-4140-A0CC-F9C807027C1F}"/>
    <hyperlink ref="CD3114" r:id="rId11075" xr:uid="{1D413755-0A0B-4543-A052-BE6B3F376F42}"/>
    <hyperlink ref="S3115" r:id="rId11076" xr:uid="{E9E05C7B-BF2B-43D2-A8B6-8A716BDA37D9}"/>
    <hyperlink ref="CA3115" r:id="rId11077" xr:uid="{9E9944C8-F28B-4891-849D-767D731A2601}"/>
    <hyperlink ref="CB3115" r:id="rId11078" xr:uid="{9EE09C4B-7DCF-4D43-A246-5C9D10891C36}"/>
    <hyperlink ref="CD3115" r:id="rId11079" xr:uid="{B6B2B3E8-4B59-4D65-9E54-E9324A4F3026}"/>
    <hyperlink ref="O3116" r:id="rId11080" xr:uid="{C1107A64-CCE2-4BE2-ABCC-D2197E517BC2}"/>
    <hyperlink ref="S3116" r:id="rId11081" xr:uid="{2F903CF3-79B9-4D4C-BFC3-A6A9A9D7BAA4}"/>
    <hyperlink ref="CA3116" r:id="rId11082" xr:uid="{7743C6EA-0895-486F-BE95-766175472B68}"/>
    <hyperlink ref="CB3116" r:id="rId11083" xr:uid="{AA426D72-1760-4558-87A9-E1B3CF0BCE1B}"/>
    <hyperlink ref="CD3116" r:id="rId11084" xr:uid="{FAC2ED57-C360-4CF9-9966-0F08C849577D}"/>
    <hyperlink ref="O3117" r:id="rId11085" xr:uid="{CD972CAE-D3C2-4CCD-A78C-28AC30FC15EF}"/>
    <hyperlink ref="S3117" r:id="rId11086" xr:uid="{6DEBE116-7D18-4FCF-BC23-0D9C2BFED14E}"/>
    <hyperlink ref="CA3117" r:id="rId11087" xr:uid="{C22CEAE9-FE5B-4959-940F-1C422D0A0B52}"/>
    <hyperlink ref="CB3117" r:id="rId11088" xr:uid="{97558913-8D6A-4E1B-8356-DAFBBAE515C1}"/>
    <hyperlink ref="CD3117" r:id="rId11089" xr:uid="{3CBE3F7A-A5A9-4BA7-8B37-1FE3022C7E33}"/>
    <hyperlink ref="O3118" r:id="rId11090" xr:uid="{68002B74-E565-4659-ACA3-F0A8C851E6D5}"/>
    <hyperlink ref="S3118" r:id="rId11091" xr:uid="{04A1EBF8-A7C1-45D8-A60F-0E98CD6583F7}"/>
    <hyperlink ref="CA3118" r:id="rId11092" xr:uid="{6EDA8B9C-3CC7-493A-8617-15898E4E3411}"/>
    <hyperlink ref="CB3118" r:id="rId11093" xr:uid="{D4F98E22-4540-4D25-8E06-50EAF33825B7}"/>
    <hyperlink ref="CD3118" r:id="rId11094" xr:uid="{034DA9D8-E8BD-4321-AAA3-4A84F2128791}"/>
    <hyperlink ref="O3119" r:id="rId11095" xr:uid="{EB9863E5-0399-408D-971C-61796B46EBEF}"/>
    <hyperlink ref="S3119" r:id="rId11096" xr:uid="{38FD5BE4-5184-492B-8B7B-655055D04002}"/>
    <hyperlink ref="CA3119" r:id="rId11097" xr:uid="{53C3E76E-85E1-46C9-B53A-1631A0594A58}"/>
    <hyperlink ref="CB3119" r:id="rId11098" xr:uid="{73FC3FC8-8E6E-49E4-925A-EBBD21890091}"/>
    <hyperlink ref="CD3119" r:id="rId11099" xr:uid="{B88A1BDF-C85E-476A-8C8B-ED810E5F9F45}"/>
    <hyperlink ref="O3120" r:id="rId11100" xr:uid="{8B985445-E035-433B-8A6A-4059939B1CD6}"/>
    <hyperlink ref="S3120" r:id="rId11101" xr:uid="{2F658B1A-F587-4DDD-BED9-D1A7C079D079}"/>
    <hyperlink ref="CA3120" r:id="rId11102" xr:uid="{0D3A79B1-95D6-46AC-98EA-D5F2DBD03FFB}"/>
    <hyperlink ref="CB3120" r:id="rId11103" xr:uid="{4C3BDD00-FD42-484D-B8FF-415172147A2F}"/>
    <hyperlink ref="CD3120" r:id="rId11104" xr:uid="{A6079923-5E8E-4CDE-B62D-B640BE4435EA}"/>
    <hyperlink ref="O3121" r:id="rId11105" xr:uid="{D20BAE00-74AC-4003-85A0-4977D454C1F9}"/>
    <hyperlink ref="CA3121" r:id="rId11106" xr:uid="{ABBD59F5-BC2A-4F25-8749-87A06C71D043}"/>
    <hyperlink ref="O3122" r:id="rId11107" xr:uid="{D2225E46-E4A2-43BB-A97F-F5A31F070CB3}"/>
    <hyperlink ref="S3122" r:id="rId11108" xr:uid="{DE7FBEA3-D87C-4D20-9076-5B7614B7D958}"/>
    <hyperlink ref="CA3122" r:id="rId11109" xr:uid="{036C50FA-B5EF-4346-92F6-5CE718226EE9}"/>
    <hyperlink ref="CD3122" r:id="rId11110" xr:uid="{02CA6994-FCAF-440D-9E1A-E34796B35FC9}"/>
    <hyperlink ref="O3123" r:id="rId11111" xr:uid="{E9610C06-DD40-4E21-A877-9A97DABC3951}"/>
    <hyperlink ref="CA3123" r:id="rId11112" xr:uid="{8BBFF10E-A1AE-4D32-834E-34F7D5B362C3}"/>
    <hyperlink ref="CB3123" r:id="rId11113" xr:uid="{0CF94542-9D5C-4A39-8F26-31D0E3B0EF64}"/>
    <hyperlink ref="O3124" r:id="rId11114" xr:uid="{428DF746-819E-40B2-B730-8721E5BB2DE1}"/>
    <hyperlink ref="CA3124" r:id="rId11115" xr:uid="{5250B908-00CD-47A9-9BAE-A67455064A9F}"/>
    <hyperlink ref="CB3124" r:id="rId11116" xr:uid="{2B4B9AE3-B39E-4C22-8F80-94BBB1B6411C}"/>
    <hyperlink ref="O3125" r:id="rId11117" xr:uid="{6692FFCD-1789-4F05-88D4-731F94FAF032}"/>
    <hyperlink ref="CA3125" r:id="rId11118" xr:uid="{B0BD6738-C526-4A31-BAE7-57B69D04ECC5}"/>
    <hyperlink ref="CB3125" r:id="rId11119" xr:uid="{EC63C806-7E50-40B6-9557-077F14B41522}"/>
    <hyperlink ref="O3126" r:id="rId11120" xr:uid="{6AFFDB9B-9891-4DC1-A68A-72240FF83DCF}"/>
    <hyperlink ref="CA3126" r:id="rId11121" xr:uid="{86D82427-90E7-4A54-AC26-1C413DA5B879}"/>
    <hyperlink ref="CB3126" r:id="rId11122" xr:uid="{C0A9138D-A1B7-4596-AE35-F2AD37383C15}"/>
    <hyperlink ref="O3127" r:id="rId11123" xr:uid="{62866553-3D0D-463D-B7F9-C09E1A16B8B2}"/>
    <hyperlink ref="CA3127" r:id="rId11124" xr:uid="{E9DC8FC7-1FAC-47A8-B682-8DE948DC277F}"/>
    <hyperlink ref="CB3127" r:id="rId11125" xr:uid="{3A121539-2A2C-4658-9C89-C62D7C22A8B0}"/>
    <hyperlink ref="O3128" r:id="rId11126" xr:uid="{A256EE4F-C82D-4E1A-8E11-9A86DD14BBD9}"/>
    <hyperlink ref="CA3128" r:id="rId11127" xr:uid="{A8666791-FE76-496A-B337-AE6F130746BB}"/>
    <hyperlink ref="CB3128" r:id="rId11128" xr:uid="{8BD4C069-9D94-4935-99D8-AE0BCCD36CD8}"/>
    <hyperlink ref="O3129" r:id="rId11129" xr:uid="{AC4C6897-7C04-49C2-B89C-8F9E7FFD4480}"/>
    <hyperlink ref="CA3129" r:id="rId11130" xr:uid="{FFA7B2E5-72B2-4148-8537-6ED18DF83A79}"/>
    <hyperlink ref="CB3129" r:id="rId11131" xr:uid="{C9FFBD24-36E8-4D42-9F85-94E5AF9F7E85}"/>
    <hyperlink ref="O3130" r:id="rId11132" xr:uid="{BA211069-AD25-4A46-94CA-D4E4C26E6EA1}"/>
    <hyperlink ref="CA3130" r:id="rId11133" xr:uid="{74B4255A-21C0-4A63-A66A-38D40359159B}"/>
    <hyperlink ref="CB3130" r:id="rId11134" xr:uid="{CAD4E0FA-0C32-40B6-AC37-82877E071A81}"/>
    <hyperlink ref="O3131" r:id="rId11135" xr:uid="{F94924C1-C2E7-4523-B632-1336A895B3AF}"/>
    <hyperlink ref="CA3131" r:id="rId11136" xr:uid="{417413CF-8232-484E-9654-A64F2879E93A}"/>
    <hyperlink ref="CB3131" r:id="rId11137" xr:uid="{20251B92-ADB4-4A1A-88E3-98D5C053FE77}"/>
    <hyperlink ref="O3132" r:id="rId11138" xr:uid="{F879F31C-9906-4140-BE5D-6A42516E3EAA}"/>
    <hyperlink ref="CA3132" r:id="rId11139" xr:uid="{356E49C3-81A5-47FC-8E7C-99ACB1388472}"/>
    <hyperlink ref="CB3132" r:id="rId11140" xr:uid="{37533B26-049C-479F-A1F9-9A14142D1905}"/>
    <hyperlink ref="O3133" r:id="rId11141" xr:uid="{833CF1E1-589B-4BDE-ACC5-817F026BB0FA}"/>
    <hyperlink ref="CA3133" r:id="rId11142" xr:uid="{BB0A3B2A-BAFA-4165-BA96-033E9DF0A136}"/>
    <hyperlink ref="CB3133" r:id="rId11143" xr:uid="{2D78F14C-7EE0-4BBD-9EB8-122F72050861}"/>
    <hyperlink ref="O3134" r:id="rId11144" xr:uid="{A7ABBB30-30C9-44F0-B96E-251692D5A6DF}"/>
    <hyperlink ref="CA3134" r:id="rId11145" xr:uid="{2287FBBF-360C-4FE7-9576-73A2A4652DD8}"/>
    <hyperlink ref="CB3134" r:id="rId11146" xr:uid="{A378DBB0-FA5D-4F15-854C-873ED28694A4}"/>
    <hyperlink ref="O3135" r:id="rId11147" xr:uid="{D896487D-5873-444F-85F8-2497EB8CFB48}"/>
    <hyperlink ref="CA3135" r:id="rId11148" xr:uid="{30350791-E182-4418-BDF0-D9B9897095D3}"/>
    <hyperlink ref="CB3135" r:id="rId11149" xr:uid="{3DA93DD8-C4B1-4421-A830-C5071B844319}"/>
    <hyperlink ref="O3136" r:id="rId11150" xr:uid="{8E9DF8AB-5E04-4D1C-8CA4-F0A8722EAD0C}"/>
    <hyperlink ref="CA3136" r:id="rId11151" xr:uid="{CBEED5D5-3FEB-47B3-812F-4FF59A1E62CB}"/>
    <hyperlink ref="CB3136" r:id="rId11152" xr:uid="{2E229658-1720-4FCD-8BA9-4D715514445B}"/>
    <hyperlink ref="O3137" r:id="rId11153" xr:uid="{607F0709-62E5-413D-8B26-DA6079288440}"/>
    <hyperlink ref="S3137" r:id="rId11154" xr:uid="{62D798A7-8F6E-4079-9F6F-61B469FD351D}"/>
    <hyperlink ref="CA3137" r:id="rId11155" xr:uid="{D5581BFA-7B02-42FF-9DB4-A81E88E8AA7A}"/>
    <hyperlink ref="CB3137" r:id="rId11156" xr:uid="{8CD9C2BF-61D8-452B-A184-145B38099490}"/>
    <hyperlink ref="CD3137" r:id="rId11157" xr:uid="{E360DB05-307F-47DD-A5BC-A8BC4AC0F791}"/>
    <hyperlink ref="O3138" r:id="rId11158" xr:uid="{4F5A8A09-F1EE-43FC-B96E-D80D7DC4839D}"/>
    <hyperlink ref="S3138" r:id="rId11159" xr:uid="{18A44629-7C24-4798-8F58-364C0E45CD6A}"/>
    <hyperlink ref="CA3138" r:id="rId11160" xr:uid="{4450A0A9-EEBC-4E86-A65D-34C212C20D82}"/>
    <hyperlink ref="CD3138" r:id="rId11161" xr:uid="{2A62B3AA-0A94-48CD-BAFE-A1C483B99B75}"/>
    <hyperlink ref="O3139" r:id="rId11162" xr:uid="{A6706C23-BA1D-47BF-B5DB-1F96E864C097}"/>
    <hyperlink ref="S3139" r:id="rId11163" xr:uid="{924C06F6-2825-4B19-A541-04333E60826D}"/>
    <hyperlink ref="CA3139" r:id="rId11164" xr:uid="{F6DF6061-65E8-403F-980D-8D6DBA9F9A0A}"/>
    <hyperlink ref="CD3139" r:id="rId11165" xr:uid="{236519D4-BC6C-4D12-98A4-AFB8B9662385}"/>
    <hyperlink ref="O3140" r:id="rId11166" xr:uid="{01E80C08-B887-4C8A-9766-0AF9E8320AAC}"/>
    <hyperlink ref="S3140" r:id="rId11167" xr:uid="{D085C0A2-E2F9-4FA3-B9D5-E52F787170AB}"/>
    <hyperlink ref="CA3140" r:id="rId11168" xr:uid="{A96A814A-7F85-45DB-9674-D2A982031F74}"/>
    <hyperlink ref="CD3140" r:id="rId11169" xr:uid="{85A5CC0E-FC1F-49D1-9E57-483BD05EED66}"/>
    <hyperlink ref="O3141" r:id="rId11170" xr:uid="{801E053A-C358-4F4D-96EE-BC1E4EDE796B}"/>
    <hyperlink ref="S3141" r:id="rId11171" xr:uid="{BABA6C7E-F190-4EAE-94C2-A250EFE4D4C5}"/>
    <hyperlink ref="CA3141" r:id="rId11172" xr:uid="{53A2F457-E4C4-42F9-8B57-C2FB4A21524B}"/>
    <hyperlink ref="CD3141" r:id="rId11173" xr:uid="{069A19E6-7DF7-459A-AFE9-7B435EE869E6}"/>
    <hyperlink ref="O3142" r:id="rId11174" xr:uid="{BB0CFC4F-6825-4E22-8BA9-10558EB0328D}"/>
    <hyperlink ref="S3142" r:id="rId11175" xr:uid="{8F648391-FD52-4D32-BD91-87A454BEF2B4}"/>
    <hyperlink ref="CA3142" r:id="rId11176" xr:uid="{1E1E6B97-7FF1-4950-99D4-C8A1EFF83996}"/>
    <hyperlink ref="CD3142" r:id="rId11177" xr:uid="{CA7D43D8-751F-46CD-9C53-CCCE791F1A55}"/>
    <hyperlink ref="O3143" r:id="rId11178" xr:uid="{ABA27596-28CD-48DD-AAEC-BA185330B572}"/>
    <hyperlink ref="S3143" r:id="rId11179" xr:uid="{BC56623A-5085-4923-BEE9-A5F8EC47FA47}"/>
    <hyperlink ref="CA3143" r:id="rId11180" xr:uid="{7902A87E-03D0-4A93-A9D5-889D230F9B97}"/>
    <hyperlink ref="CD3143" r:id="rId11181" xr:uid="{52A41CDA-37B5-44FE-BD8C-B7965BD68014}"/>
    <hyperlink ref="O3144" r:id="rId11182" xr:uid="{E30198BF-0D8E-46B9-9B01-7A64C487C6A4}"/>
    <hyperlink ref="S3144" r:id="rId11183" xr:uid="{7B016CE1-CC6A-4124-BD0C-69ED8ADEABB0}"/>
    <hyperlink ref="CA3144" r:id="rId11184" xr:uid="{AD65214D-9550-42F7-96C2-9155F61AB867}"/>
    <hyperlink ref="CD3144" r:id="rId11185" xr:uid="{D849B3DC-AB5A-4FE5-BDA4-FC65A1AA10DA}"/>
    <hyperlink ref="O3145" r:id="rId11186" xr:uid="{502BB873-E321-4F3E-810F-EE332F49F069}"/>
    <hyperlink ref="S3145" r:id="rId11187" xr:uid="{A83EE9C8-FD96-4AD2-A0CB-4F13BF80FD64}"/>
    <hyperlink ref="CA3145" r:id="rId11188" xr:uid="{52EB920A-BD9C-44E8-A02A-9CB7C234F972}"/>
    <hyperlink ref="CD3145" r:id="rId11189" xr:uid="{6AC8BEED-B54F-4544-B29A-4016EE464A41}"/>
    <hyperlink ref="O3146" r:id="rId11190" xr:uid="{08339F98-A6B4-405E-9387-A8119D49500D}"/>
    <hyperlink ref="S3146" r:id="rId11191" xr:uid="{8462958B-8E62-446F-8A5E-5624F2B339B8}"/>
    <hyperlink ref="CA3146" r:id="rId11192" xr:uid="{0A48EB39-3156-4021-B8F9-44CD1B312B2F}"/>
    <hyperlink ref="CD3146" r:id="rId11193" xr:uid="{B39EFACF-C797-4C23-9D17-643E17464283}"/>
    <hyperlink ref="O3147" r:id="rId11194" xr:uid="{92869FC8-F8F7-4138-A98D-05A22DC4F276}"/>
    <hyperlink ref="S3147" r:id="rId11195" xr:uid="{403F0BD5-5C64-4E3D-89D0-01FD670A0B59}"/>
    <hyperlink ref="CA3147" r:id="rId11196" xr:uid="{3BE00346-7CE1-4DFD-AF5C-8AFB5860C0C4}"/>
    <hyperlink ref="CD3147" r:id="rId11197" xr:uid="{0F292DA2-DB3D-4EF0-9970-D918225D18D6}"/>
    <hyperlink ref="O3148" r:id="rId11198" xr:uid="{BB0200EE-0FC3-4E80-AD76-E9B36FF111EA}"/>
    <hyperlink ref="S3148" r:id="rId11199" xr:uid="{D3EFE6B6-55AA-420C-9BF5-7DB86CC67393}"/>
    <hyperlink ref="CA3148" r:id="rId11200" xr:uid="{965C53F9-1D84-4B76-A5A9-3834DDFF6BF6}"/>
    <hyperlink ref="CD3148" r:id="rId11201" xr:uid="{0A935211-6CC8-490A-8860-D23D51F2FEF8}"/>
    <hyperlink ref="O3149" r:id="rId11202" xr:uid="{CD3D44A8-D635-4B70-9907-BBFCA380420D}"/>
    <hyperlink ref="S3149" r:id="rId11203" xr:uid="{CE216D12-A9DF-442B-A048-5C0F651E8196}"/>
    <hyperlink ref="CA3149" r:id="rId11204" xr:uid="{9C7A2690-9605-4B28-9323-E4579DEA1EC9}"/>
    <hyperlink ref="CD3149" r:id="rId11205" xr:uid="{79C94DC5-5B5C-4835-9557-2FABC7EC37B2}"/>
    <hyperlink ref="O3150" r:id="rId11206" xr:uid="{DEA3A33C-3306-4521-B86E-7BCC337C93C3}"/>
    <hyperlink ref="S3150" r:id="rId11207" xr:uid="{1A6E45B6-EC09-4EA9-B48B-5F5A6020DD99}"/>
    <hyperlink ref="CA3150" r:id="rId11208" xr:uid="{1FE61F4B-09C1-4930-ACDE-17F256384267}"/>
    <hyperlink ref="CD3150" r:id="rId11209" xr:uid="{D3FB14D6-4A99-4B79-855A-93DD5FF101C9}"/>
    <hyperlink ref="O3151" r:id="rId11210" xr:uid="{24A8F059-26AD-40CD-A04D-73EDF1F8130E}"/>
    <hyperlink ref="S3151" r:id="rId11211" xr:uid="{8028E603-00A5-452E-9437-1C9B9CD1E89F}"/>
    <hyperlink ref="CA3151" r:id="rId11212" xr:uid="{14E7C200-9DF9-4323-A669-2F53CFCA37C9}"/>
    <hyperlink ref="CD3151" r:id="rId11213" xr:uid="{671FD31F-F547-4176-9E2E-567503ABE255}"/>
    <hyperlink ref="O3152" r:id="rId11214" xr:uid="{917B997E-79E9-4633-A9AC-E719614711B1}"/>
    <hyperlink ref="S3152" r:id="rId11215" xr:uid="{5CE2F895-6373-4F26-94C4-4DA95C140BB7}"/>
    <hyperlink ref="CA3152" r:id="rId11216" xr:uid="{AB913874-701E-4E6B-BEA7-B40ED907A1AD}"/>
    <hyperlink ref="CD3152" r:id="rId11217" xr:uid="{0D2C7422-8314-4289-97C0-21954995C9BC}"/>
    <hyperlink ref="O3153" r:id="rId11218" xr:uid="{472ECE92-ED66-4113-B326-B3C8D18113F9}"/>
    <hyperlink ref="S3153" r:id="rId11219" xr:uid="{E1234ADA-10EC-4B0C-8ACA-6FA47D19EDAD}"/>
    <hyperlink ref="CA3153" r:id="rId11220" xr:uid="{128B3DE2-7A4A-4780-8000-510F15A756C8}"/>
    <hyperlink ref="CD3153" r:id="rId11221" xr:uid="{32A4E333-89BD-4FF9-8F30-B147589C2BF6}"/>
    <hyperlink ref="O3154" r:id="rId11222" xr:uid="{1A37FFE8-1E07-40E3-8D46-994456DC4EAA}"/>
    <hyperlink ref="S3154" r:id="rId11223" xr:uid="{EE5CF6D3-E3A5-4A54-AF04-353A2A6BFAF0}"/>
    <hyperlink ref="CA3154" r:id="rId11224" xr:uid="{7C798B34-F23C-4A79-BE35-5987B28C2B12}"/>
    <hyperlink ref="CD3154" r:id="rId11225" xr:uid="{DC5C5C51-24B4-4326-BFE1-BF3568FADE0D}"/>
    <hyperlink ref="O3155" r:id="rId11226" xr:uid="{597C1AC5-1E3D-4856-ACD7-CE6D3DA3C00F}"/>
    <hyperlink ref="S3155" r:id="rId11227" xr:uid="{41EDD7DE-6806-4684-9BFB-5A4CEAFAB5A6}"/>
    <hyperlink ref="CA3155" r:id="rId11228" xr:uid="{4A2C817F-36AA-4345-977B-9D950035993C}"/>
    <hyperlink ref="CD3155" r:id="rId11229" xr:uid="{04D6011A-EDA6-485A-9C65-32E88F5FEC3C}"/>
    <hyperlink ref="O3156" r:id="rId11230" xr:uid="{88BCCE6D-5D48-4674-8FCA-E708832DCDA5}"/>
    <hyperlink ref="S3156" r:id="rId11231" xr:uid="{6741821F-95FF-4290-859B-8A5220F613A2}"/>
    <hyperlink ref="CA3156" r:id="rId11232" xr:uid="{3719FF12-4CCB-4D85-ADAF-E26B5F2E78A1}"/>
    <hyperlink ref="CD3156" r:id="rId11233" xr:uid="{01518B9F-AAA1-4DE7-99C7-2298558D7156}"/>
    <hyperlink ref="O3157" r:id="rId11234" xr:uid="{AFF89D72-F0A7-4104-AEF6-FBCA9E85D3C5}"/>
    <hyperlink ref="CA3157" r:id="rId11235" xr:uid="{305D8CD3-6EB0-4AA2-BFD5-80516F873DEA}"/>
    <hyperlink ref="O3158" r:id="rId11236" xr:uid="{60DF06D8-17E1-4EB3-83C3-413F3CA98FB3}"/>
    <hyperlink ref="S3158" r:id="rId11237" xr:uid="{64C5D181-7E51-4EF5-A06A-35A47FFA5CB9}"/>
    <hyperlink ref="CA3158" r:id="rId11238" xr:uid="{43D2C960-0CD3-4E63-A82A-B9F32F931381}"/>
    <hyperlink ref="O3161" r:id="rId11239" xr:uid="{BADAB3F8-D5FF-49BF-84D2-1093020347FF}"/>
    <hyperlink ref="S3161" r:id="rId11240" xr:uid="{D87EB1E6-CA03-4113-B2A9-69ED5045E935}"/>
    <hyperlink ref="CA3161" r:id="rId11241" xr:uid="{28D876DC-19C8-494F-AC9B-91F64A0D0654}"/>
    <hyperlink ref="O3162" r:id="rId11242" xr:uid="{3DC7F742-E67B-4D68-B5A4-1E49EEFFA36F}"/>
    <hyperlink ref="S3162" r:id="rId11243" xr:uid="{A8F16C89-441B-446C-BEB5-7420369BA6DC}"/>
    <hyperlink ref="CA3162" r:id="rId11244" xr:uid="{1B7055E6-3B10-42B5-898E-7083C3CF154A}"/>
    <hyperlink ref="O3163" r:id="rId11245" xr:uid="{F3E0F639-57E4-44D2-BF0C-E2A004A9D726}"/>
    <hyperlink ref="S3163" r:id="rId11246" xr:uid="{4651FB69-F90B-485A-AC90-D0AFE6287958}"/>
    <hyperlink ref="CA3163" r:id="rId11247" xr:uid="{6C4AE65B-C551-44EC-977F-6AB1B4B297E7}"/>
    <hyperlink ref="O3164" r:id="rId11248" xr:uid="{7F1ED4A4-FEA8-489D-B6D6-968796B038F1}"/>
    <hyperlink ref="S3164" r:id="rId11249" xr:uid="{1DE80E54-B8D4-47E3-BEC7-AC61B64C357D}"/>
    <hyperlink ref="CA3164" r:id="rId11250" xr:uid="{A429A6FC-E202-4DA1-ACC1-721C3789F78B}"/>
    <hyperlink ref="R3183" r:id="rId11251" xr:uid="{E0D0A059-E5A6-479B-BEE4-B0C1E1989564}"/>
    <hyperlink ref="O3184" r:id="rId11252" xr:uid="{BE074DCC-A822-42EB-8B28-AD654A74E9B2}"/>
    <hyperlink ref="S3184" r:id="rId11253" xr:uid="{F7CD8E09-F67F-46CE-A353-526C5FD7A3B9}"/>
    <hyperlink ref="CA3184" r:id="rId11254" xr:uid="{9A16EA67-BDA7-462C-9942-5B9ECDEB2943}"/>
    <hyperlink ref="CD3184" r:id="rId11255" xr:uid="{2DFFD8C6-9AC5-469E-87C7-E545F28ECFB5}"/>
    <hyperlink ref="O3185" r:id="rId11256" xr:uid="{EF805EA0-1BC3-4F21-AEC5-CE7105FE0CB0}"/>
    <hyperlink ref="S3185" r:id="rId11257" xr:uid="{33771E91-F72F-437B-BB00-B411FFFA8E33}"/>
    <hyperlink ref="CA3185" r:id="rId11258" xr:uid="{E579B382-29D6-4AA0-A452-FD04CD5F5DD8}"/>
    <hyperlink ref="CB3185" r:id="rId11259" xr:uid="{A2387106-8A41-49AC-BDF1-D8F97DCA7087}"/>
    <hyperlink ref="CD3185" r:id="rId11260" xr:uid="{816CBB94-532D-4A15-BE4F-80AAB23F1EAC}"/>
    <hyperlink ref="O3186" r:id="rId11261" xr:uid="{1FC376B7-5D30-4E56-9C9E-D3D6CB1DC6A0}"/>
    <hyperlink ref="S3186" r:id="rId11262" xr:uid="{93FEF37F-48EE-4184-A0CF-3670A5D1CA17}"/>
    <hyperlink ref="CA3186" r:id="rId11263" xr:uid="{EABA1220-4C0D-4A0A-99DC-6BC4683BA00C}"/>
    <hyperlink ref="CB3186" r:id="rId11264" xr:uid="{F86F0C13-48E5-4C34-93E3-63102FEF5112}"/>
    <hyperlink ref="CD3186" r:id="rId11265" xr:uid="{58EBDDC8-48BD-4E14-A511-4701C3CA84AE}"/>
    <hyperlink ref="O3187" r:id="rId11266" xr:uid="{6B2C5B6B-DEED-4294-A0B1-DC10E6553283}"/>
    <hyperlink ref="S3187" r:id="rId11267" xr:uid="{AF894DBC-6CC4-45BB-9DC0-ED783B122E23}"/>
    <hyperlink ref="CA3187" r:id="rId11268" xr:uid="{43E6C2B2-0CD3-4F34-A883-FA10EB89ED68}"/>
    <hyperlink ref="CB3187" r:id="rId11269" xr:uid="{5554DBA9-01D3-4982-82A7-F9C2F0BAC9F5}"/>
    <hyperlink ref="CD3187" r:id="rId11270" xr:uid="{4099F121-DFFB-4EB9-B1E0-AC5191DC076A}"/>
    <hyperlink ref="O3188" r:id="rId11271" xr:uid="{EF2531E6-F000-4A79-9D86-054E25ECF937}"/>
    <hyperlink ref="S3188" r:id="rId11272" xr:uid="{CC37101B-3BE7-4A5D-8709-E13BE26BDAFB}"/>
    <hyperlink ref="CA3188" r:id="rId11273" xr:uid="{221F4AC1-8C78-4AC0-8C14-987769A6BDAD}"/>
    <hyperlink ref="CB3188" r:id="rId11274" xr:uid="{FD8EA568-67B5-494D-B1B8-2C3A4DF2CCA0}"/>
    <hyperlink ref="CD3188" r:id="rId11275" xr:uid="{B1453FA1-017F-430B-9B16-38B1850046FD}"/>
    <hyperlink ref="O3189" r:id="rId11276" xr:uid="{F1B689B6-3B83-4C1F-9745-F40D050C0C19}"/>
    <hyperlink ref="S3189" r:id="rId11277" xr:uid="{2E14827D-37A6-4038-89F2-1C18B02C00B0}"/>
    <hyperlink ref="CA3189" r:id="rId11278" xr:uid="{A4959696-4249-43E3-AF54-B83B51C2251F}"/>
    <hyperlink ref="CB3189" r:id="rId11279" xr:uid="{68119DB4-FF75-4EEE-9804-126BDA8A911C}"/>
    <hyperlink ref="CD3189" r:id="rId11280" xr:uid="{3BF13165-E69A-4581-B528-3C84936B6AD3}"/>
    <hyperlink ref="O3190" r:id="rId11281" xr:uid="{56F96788-F198-430C-B2F7-72019CF80784}"/>
    <hyperlink ref="S3190" r:id="rId11282" xr:uid="{85D0CCBE-5AF2-40CB-8A2D-F08A740B8D62}"/>
    <hyperlink ref="CA3190" r:id="rId11283" xr:uid="{68AE4752-4D70-4A32-8AE8-0FCB61DD896B}"/>
    <hyperlink ref="CB3190" r:id="rId11284" xr:uid="{07F506F9-3BE9-4E7E-8998-E0268E90B29D}"/>
    <hyperlink ref="CD3190" r:id="rId11285" xr:uid="{5FC6061B-9FEC-4767-849E-11D878D376A2}"/>
    <hyperlink ref="O3191" r:id="rId11286" xr:uid="{CA8935F5-AC85-4A38-AFCA-6298E1E5CA05}"/>
    <hyperlink ref="S3191" r:id="rId11287" xr:uid="{24EEE58F-D528-463C-AB35-DA6956414EEE}"/>
    <hyperlink ref="CA3191" r:id="rId11288" xr:uid="{D0DFC50A-ED31-4433-B613-2AB6FC27D271}"/>
    <hyperlink ref="CB3191" r:id="rId11289" xr:uid="{BA7A4B62-92FB-42A7-9CAB-06B524A09385}"/>
    <hyperlink ref="CD3191" r:id="rId11290" xr:uid="{035E08D2-3401-4B55-9972-F9629DB15EEA}"/>
    <hyperlink ref="O3192" r:id="rId11291" xr:uid="{62194D2D-E4E3-4F14-AAA4-D53C87F6CE70}"/>
    <hyperlink ref="S3192" r:id="rId11292" xr:uid="{32BD0B91-BF6F-4430-94B9-EA82E93C39CA}"/>
    <hyperlink ref="CA3192" r:id="rId11293" xr:uid="{471A1590-0699-49A4-A507-541622853563}"/>
    <hyperlink ref="CB3192" r:id="rId11294" xr:uid="{F0BC7461-B74B-4211-9DBD-8A323929867D}"/>
    <hyperlink ref="CD3192" r:id="rId11295" xr:uid="{8B4E6641-BB02-4E0A-BB16-D998A1596334}"/>
    <hyperlink ref="O3193" r:id="rId11296" xr:uid="{ACB00031-2427-4A57-BB26-A1BC86C54C2E}"/>
    <hyperlink ref="S3193" r:id="rId11297" xr:uid="{CAD4388F-332D-4A07-81EF-606A618CC6DD}"/>
    <hyperlink ref="CA3193" r:id="rId11298" xr:uid="{A3508E67-E55C-4B6B-8D64-9CBBC99F1F09}"/>
    <hyperlink ref="CB3193" r:id="rId11299" xr:uid="{04EBB894-E9DD-486E-916A-8D2B91B31A22}"/>
    <hyperlink ref="CD3193" r:id="rId11300" xr:uid="{821749D6-EB72-473C-A372-53037EAF9DF3}"/>
    <hyperlink ref="O3194" r:id="rId11301" xr:uid="{48FDEC3E-3F2D-4303-B2D2-0B1BC15A8697}"/>
    <hyperlink ref="S3194" r:id="rId11302" xr:uid="{A9BF4DB2-D761-4DEB-BC33-0C99F6443E63}"/>
    <hyperlink ref="T3194" r:id="rId11303" xr:uid="{772811F5-3F69-4240-AC13-4A738C63C5C7}"/>
    <hyperlink ref="CA3194" r:id="rId11304" xr:uid="{D418DE67-2B5E-481A-88E7-6E36476044E9}"/>
    <hyperlink ref="CB3194" r:id="rId11305" xr:uid="{D7DB4CEB-68FA-4F6E-A35B-6F20515118C6}"/>
    <hyperlink ref="CD3194" r:id="rId11306" xr:uid="{1A93D93B-6CEC-4DCD-AD69-95F37CC012C8}"/>
    <hyperlink ref="O3195" r:id="rId11307" xr:uid="{4E048EC6-E5D8-4EEA-814B-EA1A5FCBD439}"/>
    <hyperlink ref="S3195" r:id="rId11308" xr:uid="{6586605F-BE60-477E-BAC7-25FDA1217DA2}"/>
    <hyperlink ref="CA3195" r:id="rId11309" xr:uid="{B4835FDB-FB89-4E3D-B97B-CEB9B97E4662}"/>
    <hyperlink ref="CB3195" r:id="rId11310" xr:uid="{EF622A9B-A316-4190-8EA9-D89105873BF4}"/>
    <hyperlink ref="CD3195" r:id="rId11311" xr:uid="{F646115E-2A88-499C-8164-75D09B820B33}"/>
    <hyperlink ref="O3196" r:id="rId11312" xr:uid="{2DED5A65-2D9E-487A-84EF-1AD2B60A1296}"/>
    <hyperlink ref="S3196" r:id="rId11313" xr:uid="{7795EAC0-9F18-4932-8928-0340CFCF5D90}"/>
    <hyperlink ref="CA3196" r:id="rId11314" xr:uid="{2D453326-BA37-4F43-A629-59A8BC935FCC}"/>
    <hyperlink ref="CB3196" r:id="rId11315" xr:uid="{7D9A2709-AFEA-4482-9EDC-E473B2682F7B}"/>
    <hyperlink ref="CD3196" r:id="rId11316" xr:uid="{8EEEAC19-F8D8-4199-BDAF-58487577F433}"/>
    <hyperlink ref="O3197" r:id="rId11317" xr:uid="{C9D9DD29-7CAE-4976-A688-8E8B25F1482C}"/>
    <hyperlink ref="S3197" r:id="rId11318" xr:uid="{9DC03847-67D7-4DDC-9F75-93CB4F46F664}"/>
    <hyperlink ref="T3197" r:id="rId11319" xr:uid="{434A46CF-A2AF-460C-B9EE-CDF2CB727DF2}"/>
    <hyperlink ref="CA3197" r:id="rId11320" xr:uid="{355153A7-EB7D-4A06-9499-E6CBBCE1B015}"/>
    <hyperlink ref="CB3197" r:id="rId11321" xr:uid="{F04595CA-27BF-4A05-9AC1-CF64E3B53368}"/>
    <hyperlink ref="CD3197" r:id="rId11322" xr:uid="{F6BA7976-BBEC-4E1E-9AAB-E76F63412CCC}"/>
    <hyperlink ref="O3198" r:id="rId11323" xr:uid="{38A16047-CFEB-4A28-97AD-364ADB55388C}"/>
    <hyperlink ref="S3198" r:id="rId11324" xr:uid="{C0E3147C-3A1B-4189-B368-94BEB4BB16BB}"/>
    <hyperlink ref="CA3198" r:id="rId11325" xr:uid="{B1D95F35-7584-48D6-9CE5-0A881955FE86}"/>
    <hyperlink ref="CB3198" r:id="rId11326" xr:uid="{79188116-9DDF-421F-8583-CCCBA210C71B}"/>
    <hyperlink ref="CD3198" r:id="rId11327" xr:uid="{6B9C0564-E658-4F09-A3CC-27E8C51B7025}"/>
    <hyperlink ref="O3199" r:id="rId11328" xr:uid="{3E5CF699-B982-492C-9241-2F554FC26357}"/>
    <hyperlink ref="S3199" r:id="rId11329" xr:uid="{B67D7D2A-DF87-4A05-9B04-A6FC3ACAE846}"/>
    <hyperlink ref="T3199" r:id="rId11330" xr:uid="{1FE053F1-92C2-43F8-9F64-46D560A0EE95}"/>
    <hyperlink ref="CA3199" r:id="rId11331" xr:uid="{5FAB5B44-FAD0-4171-A29B-6CBDDECE558C}"/>
    <hyperlink ref="CB3199" r:id="rId11332" xr:uid="{138A6641-C64F-46BB-B9C3-CB55F31EE3A5}"/>
    <hyperlink ref="CD3199" r:id="rId11333" xr:uid="{78B04A72-41AA-4D20-B4D4-00447DAD3783}"/>
    <hyperlink ref="O3200" r:id="rId11334" xr:uid="{71CF4813-859E-4EB3-BE4A-4769C088FE67}"/>
    <hyperlink ref="S3200" r:id="rId11335" xr:uid="{D8B3BF77-E1D3-44C1-A9CC-0EFC9D63DCA9}"/>
    <hyperlink ref="T3200" r:id="rId11336" xr:uid="{379BA0E5-9C1F-410B-8895-C46C59E74DF8}"/>
    <hyperlink ref="CA3200" r:id="rId11337" xr:uid="{801553DA-740A-4798-A34C-69ABE46EEF9F}"/>
    <hyperlink ref="CB3200" r:id="rId11338" xr:uid="{961C9D91-3703-44F5-A459-6687C3840840}"/>
    <hyperlink ref="CD3200" r:id="rId11339" xr:uid="{D9C40972-AAE9-40F7-8A6E-9183967443CC}"/>
    <hyperlink ref="S3201" r:id="rId11340" xr:uid="{0859A556-9B83-4E3E-A1D6-3609A997DFB8}"/>
    <hyperlink ref="T3201" r:id="rId11341" xr:uid="{6A34706D-9241-4A9F-9352-6327D414756F}"/>
    <hyperlink ref="CA3201" r:id="rId11342" xr:uid="{F17EAE9C-5004-4813-A949-80B977B21017}"/>
    <hyperlink ref="CB3201" r:id="rId11343" xr:uid="{0F92E52F-97D5-471A-8BB5-4CDDCFBF4B31}"/>
    <hyperlink ref="CD3201" r:id="rId11344" xr:uid="{A8D4B042-365B-4397-967F-79845FE694BF}"/>
    <hyperlink ref="O3202" r:id="rId11345" xr:uid="{8E224EB0-D309-45C7-92B0-AA64331C41F3}"/>
    <hyperlink ref="S3202" r:id="rId11346" xr:uid="{05EA13A1-46E6-4ADA-95D9-858FC7B2878E}"/>
    <hyperlink ref="CA3202" r:id="rId11347" xr:uid="{2C9632A0-7081-4704-BBA5-3C2BC6F90776}"/>
    <hyperlink ref="CB3202" r:id="rId11348" xr:uid="{8BC0850F-1142-4F54-8562-E190488A9974}"/>
    <hyperlink ref="CD3202" r:id="rId11349" xr:uid="{84C5E16C-98F3-4588-90CA-E61F28C3DBE5}"/>
    <hyperlink ref="O3356" r:id="rId11350" xr:uid="{8FE7E810-50BF-41B3-A4EA-9B5F7861D05C}"/>
    <hyperlink ref="R3356" r:id="rId11351" xr:uid="{7F2C0E31-D157-415F-A34C-47E8E9ED1530}"/>
    <hyperlink ref="S3356" r:id="rId11352" xr:uid="{6F5B2463-8ABC-4C45-93E0-A7C4B95C6EFF}"/>
    <hyperlink ref="CA3356" r:id="rId11353" xr:uid="{D415ED46-3C9C-4FE0-B6ED-2AE748E0575A}"/>
    <hyperlink ref="O3357" r:id="rId11354" xr:uid="{64435E38-475A-4EF2-82DD-6600101837FE}"/>
    <hyperlink ref="O3358" r:id="rId11355" xr:uid="{9512EC77-B993-4C6B-8039-6BA406C64C3E}"/>
    <hyperlink ref="O3359" r:id="rId11356" xr:uid="{DD792127-6371-47BB-919D-A9F99E023E31}"/>
    <hyperlink ref="O3360" r:id="rId11357" xr:uid="{66552CCD-2F67-4FCA-93FF-3369E8DDC07A}"/>
    <hyperlink ref="O3361" r:id="rId11358" xr:uid="{A6764E62-7757-46E8-ABC9-61F859E8BF4A}"/>
    <hyperlink ref="O3362" r:id="rId11359" xr:uid="{508087E3-A2AE-44FC-9196-C06C1AE478CB}"/>
    <hyperlink ref="O3363" r:id="rId11360" xr:uid="{29FED289-F44A-46DD-97F0-AE55ED2B1468}"/>
    <hyperlink ref="O3364" r:id="rId11361" xr:uid="{F0A5A77D-3273-43BE-B272-26263617A5E8}"/>
    <hyperlink ref="O3365" r:id="rId11362" xr:uid="{CA26929C-5474-4882-8873-4103CF3F9438}"/>
    <hyperlink ref="R3365" r:id="rId11363" xr:uid="{F9024500-12ED-4BD1-853B-DCBEAD309F34}"/>
    <hyperlink ref="S3365" r:id="rId11364" xr:uid="{1ED0CFAC-4767-4223-803B-12D39C06DDA2}"/>
    <hyperlink ref="CA3365" r:id="rId11365" xr:uid="{E5011041-D9A1-4E54-B700-7CE971A83345}"/>
    <hyperlink ref="O3366" r:id="rId11366" xr:uid="{BAD2CBC4-B927-4B52-B240-BF95F6402D10}"/>
    <hyperlink ref="R3366" r:id="rId11367" xr:uid="{8FB354D1-C1BF-475E-BBD4-B56C894C3AAA}"/>
    <hyperlink ref="O3367" r:id="rId11368" xr:uid="{EB0F2040-2816-4C6B-AD72-F903C375E9FC}"/>
    <hyperlink ref="R3367" r:id="rId11369" xr:uid="{948E2CC9-8EFC-4DE5-AE35-E8DFF2E74ADF}"/>
    <hyperlink ref="O3368" r:id="rId11370" xr:uid="{084532D4-51EF-42F9-BCD6-110503453207}"/>
    <hyperlink ref="R3368" r:id="rId11371" xr:uid="{93EBE097-5AE8-423A-B399-4345DCB18758}"/>
    <hyperlink ref="O3369" r:id="rId11372" xr:uid="{DAA67982-10BD-4B9B-AD88-AB9E6D62E53A}"/>
    <hyperlink ref="R3369" r:id="rId11373" xr:uid="{06AEB23E-42EE-4AA8-BDB0-C5B64670EE05}"/>
    <hyperlink ref="O3370" r:id="rId11374" xr:uid="{BC33A19A-962C-478E-A575-AF00B367E748}"/>
    <hyperlink ref="R3370" r:id="rId11375" xr:uid="{C937D08A-2F54-472A-93A9-84923DDCCE4D}"/>
    <hyperlink ref="O3371" r:id="rId11376" xr:uid="{5E0FE20A-EFB3-4625-B300-082ACDC890E0}"/>
    <hyperlink ref="R3371" r:id="rId11377" xr:uid="{4DBF2F2A-A922-4D89-8B65-9A50F3A98C8B}"/>
    <hyperlink ref="O3372" r:id="rId11378" xr:uid="{FCE08C4A-6BCD-43A5-A648-98D75EE9F964}"/>
    <hyperlink ref="R3372" r:id="rId11379" xr:uid="{4F7AB345-035B-4A4B-B6C4-2BCAB1963A08}"/>
    <hyperlink ref="O3373" r:id="rId11380" xr:uid="{09ADD6EC-A5B4-496F-8CDD-33CCC2D27200}"/>
    <hyperlink ref="R3373" r:id="rId11381" xr:uid="{14D7BA4F-B341-41E2-9B2A-20925CCA0F01}"/>
    <hyperlink ref="S3373" r:id="rId11382" xr:uid="{2C9C45A8-94FF-47FB-9755-CBB7659B9E17}"/>
    <hyperlink ref="CA3373" r:id="rId11383" xr:uid="{57D834C5-2F01-4460-8800-7EEBD6E052C8}"/>
    <hyperlink ref="O3374" r:id="rId11384" xr:uid="{217CF8B7-0E07-48CE-A1F0-78458A32D2F4}"/>
    <hyperlink ref="R3374" r:id="rId11385" xr:uid="{8C1E9F15-AFB0-499F-9C03-9EDB41A4C3C6}"/>
    <hyperlink ref="O3375" r:id="rId11386" xr:uid="{92BE7BE9-BB6E-4BDE-8DA9-E5DA07D7E340}"/>
    <hyperlink ref="R3375" r:id="rId11387" xr:uid="{4E02F98E-3F3E-4E0E-BB6D-C61C28D27BFD}"/>
    <hyperlink ref="O3376" r:id="rId11388" xr:uid="{E8D75E26-074F-4A9F-AD07-0D2300999972}"/>
    <hyperlink ref="R3376" r:id="rId11389" xr:uid="{413BB534-A8E2-467C-92C9-1F363ED4A0D3}"/>
    <hyperlink ref="O3377" r:id="rId11390" xr:uid="{5CB7238B-6172-4EF6-9F2A-123E12A19E16}"/>
    <hyperlink ref="S3377" r:id="rId11391" xr:uid="{63F4BF76-586F-498B-AD69-80EB3D5702D8}"/>
    <hyperlink ref="CA3377" r:id="rId11392" xr:uid="{FD9B4077-C6E7-4E02-81EE-8D32A522A335}"/>
    <hyperlink ref="CA3383" r:id="rId11393" xr:uid="{8132C7E7-767B-4623-96F3-604F78C2D564}"/>
    <hyperlink ref="CB3383" r:id="rId11394" xr:uid="{86D39178-5EBD-4456-B5BF-4EAF63368BCE}"/>
    <hyperlink ref="O3386" r:id="rId11395" xr:uid="{41B19150-97C6-45A0-8F32-8965E5AC9109}"/>
    <hyperlink ref="S3386" r:id="rId11396" xr:uid="{3E99EAAE-2F41-48A0-A026-C0BB5D19D587}"/>
    <hyperlink ref="CA3386" r:id="rId11397" xr:uid="{4DF457FE-A5AE-444C-ADEF-AF0278572B86}"/>
    <hyperlink ref="O3387" r:id="rId11398" xr:uid="{50C403E5-421E-4176-BC2D-653A315CFC99}"/>
    <hyperlink ref="S3387" r:id="rId11399" xr:uid="{AFE4E8D7-B971-488F-B99F-D96A62AA5D59}"/>
    <hyperlink ref="CA3387" r:id="rId11400" xr:uid="{6D2D0AEB-DF2A-4A4A-B67F-8F1077CE5A7F}"/>
    <hyperlink ref="O3388" r:id="rId11401" xr:uid="{36774A57-7A23-4930-B9D1-215F4931A459}"/>
    <hyperlink ref="S3388" r:id="rId11402" xr:uid="{7614298D-4972-432A-ACD0-D24E6DA88F2C}"/>
    <hyperlink ref="CA3388" r:id="rId11403" xr:uid="{17E0DD16-0C5D-4EB6-9EF9-D42B004E2E08}"/>
    <hyperlink ref="O3389" r:id="rId11404" xr:uid="{9E91A8B3-09EF-4BE2-943A-C8CC0EC8EEA2}"/>
    <hyperlink ref="S3389" r:id="rId11405" xr:uid="{D5015F63-E0D4-490A-8074-55DBE03DBF7A}"/>
    <hyperlink ref="CA3389" r:id="rId11406" xr:uid="{5BB64C4A-FEB5-4AFA-8EF6-801C57F5C0BF}"/>
    <hyperlink ref="O3390" r:id="rId11407" xr:uid="{4F7838EA-3602-4ADE-9D25-AA13F3E1203C}"/>
    <hyperlink ref="CA3390" r:id="rId11408" xr:uid="{E2DD1681-928E-4C9A-8692-E4F49B76C333}"/>
    <hyperlink ref="O3391" r:id="rId11409" xr:uid="{16AA1E4D-3F0D-485E-92E7-928101CEF88B}"/>
    <hyperlink ref="S3391" r:id="rId11410" xr:uid="{CF341F63-A926-4CBF-B34F-D70920BBBFB5}"/>
    <hyperlink ref="CA3391" r:id="rId11411" xr:uid="{EBFE4B4E-21A1-42EC-911F-D134A4D10B95}"/>
    <hyperlink ref="CD3391" r:id="rId11412" xr:uid="{7EB58A54-8109-4DCF-8C39-CFF570B86BD4}"/>
    <hyperlink ref="O3392" r:id="rId11413" xr:uid="{90BFEB11-CD64-4200-B8A9-7E1561289E05}"/>
    <hyperlink ref="S3392" r:id="rId11414" xr:uid="{E0C65C5D-E6A3-41C4-B277-D424C32B80A4}"/>
    <hyperlink ref="CA3392" r:id="rId11415" xr:uid="{3F0769F2-E266-48C2-B5B8-C608A6F94188}"/>
    <hyperlink ref="CD3392" r:id="rId11416" xr:uid="{01E18024-D528-4E27-AB09-0D54860DD3A8}"/>
    <hyperlink ref="O3393" r:id="rId11417" xr:uid="{E9A87D38-0C26-406C-BD8B-D70BA433EB0A}"/>
    <hyperlink ref="S3393" r:id="rId11418" xr:uid="{7F26377C-7898-4820-A7BA-9F9840AB792A}"/>
    <hyperlink ref="CA3393" r:id="rId11419" xr:uid="{E72E501B-AD30-48A5-BAEB-E8733CB0B303}"/>
    <hyperlink ref="CD3393" r:id="rId11420" xr:uid="{78A3BC16-5C16-4F4C-9132-7F3DD4FBE415}"/>
    <hyperlink ref="O3394" r:id="rId11421" xr:uid="{4F8F7A03-F7CB-4D15-971C-23BD54E0977F}"/>
    <hyperlink ref="S3394" r:id="rId11422" xr:uid="{5E94A7D6-22BC-4BD9-B1DF-472FBA8905A7}"/>
    <hyperlink ref="CA3394" r:id="rId11423" xr:uid="{6B75DE86-EF4B-4D34-899A-AB18FBACE566}"/>
    <hyperlink ref="CD3394" r:id="rId11424" xr:uid="{61F511E8-EBBF-4A3B-8FA6-106D963A8CFC}"/>
    <hyperlink ref="O3395" r:id="rId11425" xr:uid="{FE289D72-EE4D-415D-B8A5-E172A69D5C3D}"/>
    <hyperlink ref="S3395" r:id="rId11426" xr:uid="{971B82CC-18DF-4538-93FA-B77F5720CC2E}"/>
    <hyperlink ref="CA3395" r:id="rId11427" xr:uid="{67649A5F-5062-45B5-B414-BDBA882F1285}"/>
    <hyperlink ref="CD3395" r:id="rId11428" xr:uid="{0E81CE03-028E-495C-BBE3-1CEE62537C34}"/>
    <hyperlink ref="O3396" r:id="rId11429" xr:uid="{E7E9ECB4-058E-4461-BFD6-439F0A22FE18}"/>
    <hyperlink ref="S3396" r:id="rId11430" xr:uid="{01505FBE-B073-4EAC-B9BB-BEB60FF1991F}"/>
    <hyperlink ref="CA3396" r:id="rId11431" xr:uid="{695953B3-5580-4830-8AC3-F06F269BBF97}"/>
    <hyperlink ref="CD3396" r:id="rId11432" xr:uid="{E7D62094-ACD7-431F-A8DA-CC41FFF5EB15}"/>
    <hyperlink ref="O3397" r:id="rId11433" xr:uid="{15B8EC34-63B2-4B12-95A2-68391F6962A3}"/>
    <hyperlink ref="S3397" r:id="rId11434" xr:uid="{CD537A14-B7AC-4966-8A63-AE4F3BB9BA8E}"/>
    <hyperlink ref="CA3397" r:id="rId11435" xr:uid="{112EC410-D8E4-4133-887E-774548DA7C0B}"/>
    <hyperlink ref="CD3397" r:id="rId11436" xr:uid="{878DCF9D-092B-4246-9FFF-350CFF4C8CF7}"/>
    <hyperlink ref="O3398" r:id="rId11437" xr:uid="{9B052BF5-80EC-45F4-80C8-101B7B174DA6}"/>
    <hyperlink ref="S3398" r:id="rId11438" xr:uid="{48A7478E-BBE9-48E2-9E94-9F92682757CB}"/>
    <hyperlink ref="CA3398" r:id="rId11439" xr:uid="{DF893A59-701B-4B8D-9F4B-D20BCD468C6F}"/>
    <hyperlink ref="CD3398" r:id="rId11440" xr:uid="{17BB3AE9-2E15-48EF-A6EB-AB296080C800}"/>
    <hyperlink ref="O3399" r:id="rId11441" xr:uid="{7D474652-8987-4068-8631-96C74261F1CA}"/>
    <hyperlink ref="S3399" r:id="rId11442" xr:uid="{4ADD9142-FA5F-4203-A7A8-7C97D560C74E}"/>
    <hyperlink ref="CA3399" r:id="rId11443" xr:uid="{9204FF15-F95A-4B8F-AB67-CBBE0A0537AF}"/>
    <hyperlink ref="CD3399" r:id="rId11444" xr:uid="{567E704E-4B15-4661-BC22-46C77B728066}"/>
    <hyperlink ref="O3400" r:id="rId11445" xr:uid="{A54728A5-870A-468F-B5E3-D5C9BB516F01}"/>
    <hyperlink ref="S3400" r:id="rId11446" xr:uid="{D73D19B4-30B9-4986-915E-038A1ACBD5AF}"/>
    <hyperlink ref="CA3400" r:id="rId11447" xr:uid="{CF8D915B-5912-4573-85DE-2CF3A06DF645}"/>
    <hyperlink ref="CD3400" r:id="rId11448" xr:uid="{15B44882-2DC2-47B3-B5C6-149C82B776F7}"/>
    <hyperlink ref="O3401" r:id="rId11449" xr:uid="{511C4FFF-089A-4C5C-87B6-EA820B9734A1}"/>
    <hyperlink ref="R3401" r:id="rId11450" xr:uid="{CEF00A6D-07D0-4345-A6F6-D86251F9E4E5}"/>
    <hyperlink ref="S3401" r:id="rId11451" xr:uid="{DA9DCECE-A21B-4FCD-96A1-977CD1C78C68}"/>
    <hyperlink ref="CA3401" r:id="rId11452" xr:uid="{948088BB-A34D-4E97-8DA8-95E7A67ECA40}"/>
    <hyperlink ref="CD3401" r:id="rId11453" xr:uid="{CF93C53A-8F58-42C6-AB2C-C0741FF7D024}"/>
    <hyperlink ref="O3402" r:id="rId11454" xr:uid="{6E1C8C82-88F1-4B2A-AC9C-B8EA2AD8497B}"/>
    <hyperlink ref="R3402" r:id="rId11455" xr:uid="{E2E37C17-05EA-481B-8DC2-4874742E6263}"/>
    <hyperlink ref="S3402" r:id="rId11456" xr:uid="{058D2EE6-8B30-48A9-B237-26051600F470}"/>
    <hyperlink ref="CA3402" r:id="rId11457" xr:uid="{3B132AE5-3293-4FBE-BCD1-705E71A6C519}"/>
    <hyperlink ref="CD3402" r:id="rId11458" xr:uid="{A2F8DEF0-8580-41B9-A578-D8BB53D4B8EB}"/>
    <hyperlink ref="O3403" r:id="rId11459" xr:uid="{DA71899B-F694-4B7D-B4BE-A9ACEF5AAAA3}"/>
    <hyperlink ref="R3403" r:id="rId11460" xr:uid="{6B4A6D71-5259-4002-A736-30E1915FDED7}"/>
    <hyperlink ref="S3403" r:id="rId11461" xr:uid="{54DE7109-AB0C-4B34-A262-91F82201B89C}"/>
    <hyperlink ref="CA3403" r:id="rId11462" xr:uid="{2F003B1A-62F5-44FB-8024-85725D11F534}"/>
    <hyperlink ref="CD3403" r:id="rId11463" xr:uid="{F02CA46A-CAA4-4FE3-8AE1-65DD8DD0D41A}"/>
    <hyperlink ref="O3404" r:id="rId11464" xr:uid="{1B96ECCF-5CA0-4E49-BE0F-C7B320D91DDC}"/>
    <hyperlink ref="S3404" r:id="rId11465" xr:uid="{EF3A7A7D-1EE5-4518-8B79-F36C60A06B39}"/>
    <hyperlink ref="CA3404" r:id="rId11466" xr:uid="{04AFBABB-917A-4E76-B0A7-358B0DBF2C53}"/>
    <hyperlink ref="CD3404" r:id="rId11467" xr:uid="{7E271EF8-B89D-4E07-9D8C-273EED2C2341}"/>
    <hyperlink ref="O3405" r:id="rId11468" xr:uid="{CDC2FC4B-CBFA-4CB3-9EE5-F7EA6363D3F9}"/>
    <hyperlink ref="S3405" r:id="rId11469" xr:uid="{C411F19D-4485-4B20-9C4D-3645C5EDDA1D}"/>
    <hyperlink ref="CA3405" r:id="rId11470" xr:uid="{DCEFABCD-D6B7-4D59-AB57-4211E1AEC257}"/>
    <hyperlink ref="CD3405" r:id="rId11471" xr:uid="{F7F81348-2366-4333-9090-2356C6CC7B09}"/>
    <hyperlink ref="O3406" r:id="rId11472" xr:uid="{0E20236D-D460-4DD3-9355-C1B62CBA85BA}"/>
    <hyperlink ref="S3406" r:id="rId11473" xr:uid="{C00526F6-3AF8-4E9B-88E1-5DB383E0F186}"/>
    <hyperlink ref="CA3406" r:id="rId11474" xr:uid="{D631CDBD-8D8A-40F0-B729-587B19F80D0B}"/>
    <hyperlink ref="CD3406" r:id="rId11475" xr:uid="{7B74340B-595A-4702-9643-BC992E507575}"/>
    <hyperlink ref="O3407" r:id="rId11476" xr:uid="{7377D193-5C67-46E2-B7E5-701BF75B0ABB}"/>
    <hyperlink ref="S3407" r:id="rId11477" xr:uid="{70669049-82B1-47CD-A320-E45063671E79}"/>
    <hyperlink ref="CA3407" r:id="rId11478" xr:uid="{C35D93C1-F80B-4829-A6D7-E5483F2F1B6E}"/>
    <hyperlink ref="CD3407" r:id="rId11479" xr:uid="{CE6532F0-C084-453F-ABF7-672ECA97983E}"/>
    <hyperlink ref="O3408" r:id="rId11480" xr:uid="{B7B13279-B822-4AB1-86B4-6E791D8052B5}"/>
    <hyperlink ref="S3408" r:id="rId11481" xr:uid="{6D0AABFB-56B4-4CD1-97D7-8E820F0BA12E}"/>
    <hyperlink ref="CA3408" r:id="rId11482" xr:uid="{3CF5BF3B-5661-494C-AB4F-031B288B4DCF}"/>
    <hyperlink ref="CD3408" r:id="rId11483" xr:uid="{0A3091FB-8024-4F1C-9DF6-65599F0BE9FF}"/>
    <hyperlink ref="O3409" r:id="rId11484" xr:uid="{78A65D7C-7A57-491F-91BB-AE697ECA0260}"/>
    <hyperlink ref="S3409" r:id="rId11485" xr:uid="{B0AF1EE7-EF2C-4658-ABF4-41F6064A0DF4}"/>
    <hyperlink ref="CA3409" r:id="rId11486" xr:uid="{20C9103A-F9F8-486B-B7FE-4AE331A85CB8}"/>
    <hyperlink ref="CD3409" r:id="rId11487" xr:uid="{790290F6-BAAA-4636-B36D-C85746C2C493}"/>
    <hyperlink ref="S3410" r:id="rId11488" xr:uid="{A7C2B56E-CE9E-4A1B-9582-8B05ADFCEC1A}"/>
    <hyperlink ref="CA3410" r:id="rId11489" xr:uid="{91A9E18E-90B3-4735-BA76-F06A913B80CD}"/>
    <hyperlink ref="CD3410" r:id="rId11490" xr:uid="{468C4F71-F053-4238-8A1E-8C3AA058335E}"/>
    <hyperlink ref="O3411" r:id="rId11491" xr:uid="{771EB0C0-871F-4FA5-B374-46CF282A79EE}"/>
    <hyperlink ref="S3411" r:id="rId11492" xr:uid="{FF61FF7B-F078-43DC-94C5-0B64CDD96E43}"/>
    <hyperlink ref="CA3411" r:id="rId11493" xr:uid="{3E0F2874-4F6C-4DC9-A1DD-EF2EDF2351F5}"/>
    <hyperlink ref="CD3411" r:id="rId11494" xr:uid="{0C79B03F-F0DA-4CA5-9259-2BCF19E9F550}"/>
    <hyperlink ref="O3412" r:id="rId11495" xr:uid="{0377064F-5332-4293-89BD-FA68774C7C73}"/>
    <hyperlink ref="S3412" r:id="rId11496" xr:uid="{5E81565B-CC92-42E4-86A2-2A989B8F69B1}"/>
    <hyperlink ref="CA3412" r:id="rId11497" xr:uid="{4062670A-6B0D-4AC1-9965-DBED6728C592}"/>
    <hyperlink ref="CD3412" r:id="rId11498" xr:uid="{5B997CC8-01A3-44F8-B6EC-4FFD38EBC1FD}"/>
    <hyperlink ref="O3413" r:id="rId11499" xr:uid="{B6E103EB-9C1F-40BA-BF37-7800A648E71A}"/>
    <hyperlink ref="S3413" r:id="rId11500" xr:uid="{EF91A04F-3570-4CB4-8613-67A34B7465B8}"/>
    <hyperlink ref="CA3413" r:id="rId11501" xr:uid="{80F32627-21F4-4289-B051-8FEC8BA09F4E}"/>
    <hyperlink ref="CD3413" r:id="rId11502" xr:uid="{7C927A96-87D1-430A-9B76-E410133C54FB}"/>
    <hyperlink ref="O3414" r:id="rId11503" xr:uid="{CA918982-DCD5-476E-8B74-43F572446CE5}"/>
    <hyperlink ref="S3414" r:id="rId11504" xr:uid="{24130A76-280E-4FAC-9465-CF55FF3AE050}"/>
    <hyperlink ref="CA3414" r:id="rId11505" xr:uid="{C7447B10-557A-415A-9E3C-1C491119D3C9}"/>
    <hyperlink ref="CD3414" r:id="rId11506" xr:uid="{B85FB21D-3784-4ECB-9AF6-C2668D39A0D4}"/>
    <hyperlink ref="O3415" r:id="rId11507" xr:uid="{52F32E12-8F7C-4B75-AAEF-47390CE60570}"/>
    <hyperlink ref="S3415" r:id="rId11508" xr:uid="{22BF57BB-7FF9-46DD-B0EA-ACBDCD12DCA4}"/>
    <hyperlink ref="CA3415" r:id="rId11509" xr:uid="{52BB24BC-6335-4FF1-96AA-3EF2AEDEB957}"/>
    <hyperlink ref="CD3415" r:id="rId11510" xr:uid="{1A2828B0-05EC-46AA-AE2C-2161112C6B56}"/>
    <hyperlink ref="O3416" r:id="rId11511" xr:uid="{E8D5261F-B6C1-49F6-976A-EA74F508ADD2}"/>
    <hyperlink ref="S3416" r:id="rId11512" xr:uid="{72753449-8C3E-40E7-954F-37013892BB64}"/>
    <hyperlink ref="CA3416" r:id="rId11513" xr:uid="{06F29EC5-EA50-4E21-AD7F-FE106F059765}"/>
    <hyperlink ref="CD3416" r:id="rId11514" xr:uid="{EAB71E5D-CFF4-445E-AB45-621CF02A4CFC}"/>
    <hyperlink ref="CA3417" r:id="rId11515" xr:uid="{DD48E42D-0626-47E0-A152-198BD9E25CD6}"/>
    <hyperlink ref="CA3418" r:id="rId11516" xr:uid="{3342E3E5-050B-497A-BC12-05045D59622E}"/>
    <hyperlink ref="CA3419" r:id="rId11517" xr:uid="{7CFAE578-BA62-4276-B3BD-10E9DB0FF82F}"/>
    <hyperlink ref="O3420" r:id="rId11518" xr:uid="{7BE5BF61-83F3-49B7-B908-E72009558375}"/>
    <hyperlink ref="S3420" r:id="rId11519" xr:uid="{25CB04F3-2F71-4BEF-BEA5-47312D462DAA}"/>
    <hyperlink ref="CA3420" r:id="rId11520" xr:uid="{175B3F63-64D9-4A39-A34D-E71DB22DB044}"/>
    <hyperlink ref="CD3420" r:id="rId11521" xr:uid="{5D4EACD9-138B-44C8-B8B8-950E9EF317C1}"/>
    <hyperlink ref="O3423" r:id="rId11522" xr:uid="{140D7C23-BA61-4B24-B808-0ECBD197204C}"/>
    <hyperlink ref="S3423" r:id="rId11523" xr:uid="{2C00BD1F-0633-43C4-926C-5AD71071DDC0}"/>
    <hyperlink ref="CA3423" r:id="rId11524" xr:uid="{A501EA8D-0288-4744-B65D-13744024A479}"/>
    <hyperlink ref="CD3423" r:id="rId11525" xr:uid="{0E6CC67A-9FDE-4C9A-8B6E-9B4019B02988}"/>
    <hyperlink ref="O3424" r:id="rId11526" xr:uid="{147E92DD-8598-4360-A0F3-231AF090EBA9}"/>
    <hyperlink ref="S3424" r:id="rId11527" xr:uid="{919F7FFC-0DC6-4007-A6F9-6C822D833625}"/>
    <hyperlink ref="CA3424" r:id="rId11528" xr:uid="{8862A587-232B-4283-984D-BE0AD14A5FEF}"/>
    <hyperlink ref="CB3424" r:id="rId11529" xr:uid="{1A1AC3A1-5DDA-4A7E-B8DA-74263B6029A0}"/>
    <hyperlink ref="CD3424" r:id="rId11530" xr:uid="{47A2A1F2-F08A-49D0-AC40-0F8BF82E479D}"/>
    <hyperlink ref="O3425" r:id="rId11531" xr:uid="{D01CEEC2-2E2D-4827-A5AF-77A1678DA510}"/>
    <hyperlink ref="S3425" r:id="rId11532" xr:uid="{DE813355-1B74-41CE-905F-EB8CD74A8E72}"/>
    <hyperlink ref="CA3425" r:id="rId11533" xr:uid="{1312C7BE-1099-488E-8C05-7ACA7EDBE09D}"/>
    <hyperlink ref="CB3425" r:id="rId11534" xr:uid="{2681323B-5CD1-41BA-AC65-27C14C917F38}"/>
    <hyperlink ref="CD3425" r:id="rId11535" xr:uid="{5F8C210A-A1F4-47EF-99F5-8B727F816B70}"/>
    <hyperlink ref="O3426" r:id="rId11536" xr:uid="{D944C46C-2A93-4628-A34F-D38EC1269ABC}"/>
    <hyperlink ref="S3426" r:id="rId11537" xr:uid="{B4FFB05F-3EB8-4E10-A19B-24C66CF05142}"/>
    <hyperlink ref="CA3426" r:id="rId11538" xr:uid="{12AB56AD-12BC-488D-9982-4FADD506726F}"/>
    <hyperlink ref="CB3426" r:id="rId11539" xr:uid="{D34E5A68-A289-4B50-B634-FE23A187C25A}"/>
    <hyperlink ref="CD3426" r:id="rId11540" xr:uid="{848B41A2-C210-483A-BF1E-D1C6C2F724E2}"/>
    <hyperlink ref="CA3427" r:id="rId11541" xr:uid="{EB6F829E-D743-48FF-A9C8-DA0D07CF0468}"/>
    <hyperlink ref="CB3427" r:id="rId11542" xr:uid="{F2582846-D9D6-4279-B210-144235DF23E3}"/>
    <hyperlink ref="S3432" r:id="rId11543" xr:uid="{2488B5ED-AC6D-4EFC-8D7D-011C8D231346}"/>
    <hyperlink ref="T3432" r:id="rId11544" xr:uid="{3CF5D25C-20DA-459D-9584-6603D07B22B0}"/>
    <hyperlink ref="CA3432" r:id="rId11545" xr:uid="{0F19B62D-4F55-4492-ADE7-6B8F9A0BB1F3}"/>
    <hyperlink ref="CB3432" r:id="rId11546" xr:uid="{AED25F89-FE8D-4945-9B9F-F68124C6EBBE}"/>
    <hyperlink ref="CD3432" r:id="rId11547" xr:uid="{C0A5D555-CC1D-4801-B898-F076274B6BC9}"/>
    <hyperlink ref="S3433" r:id="rId11548" xr:uid="{DC95A58A-D016-47A0-8D27-8567EADBF700}"/>
    <hyperlink ref="T3433" r:id="rId11549" xr:uid="{760AF213-C0C6-45DD-80C5-B38E5284DF3E}"/>
    <hyperlink ref="CA3433" r:id="rId11550" xr:uid="{E50C99A1-F238-4849-83E1-A97CE8C94CB4}"/>
    <hyperlink ref="CB3433" r:id="rId11551" xr:uid="{7D22502E-5D06-4F8F-8627-DB857368E5FF}"/>
    <hyperlink ref="CD3433" r:id="rId11552" xr:uid="{D7E999A1-2E1D-4DA6-88B9-41BD06998E5C}"/>
    <hyperlink ref="O3436" r:id="rId11553" xr:uid="{2EB5860C-5553-4969-945A-2C683FF54645}"/>
    <hyperlink ref="CA3436" r:id="rId11554" xr:uid="{9FDF8850-FF57-4B47-9B7A-D3A91A37FB76}"/>
    <hyperlink ref="O3437" r:id="rId11555" xr:uid="{D8C92B2A-8213-46CA-9532-594BA8EEA06F}"/>
    <hyperlink ref="S3437" r:id="rId11556" xr:uid="{438D5F17-29B6-4549-ADDF-C5D0EC5CC2EB}"/>
    <hyperlink ref="CA3437" r:id="rId11557" xr:uid="{93ACE200-E460-46BC-8389-5E148B156D6D}"/>
    <hyperlink ref="CD3437" r:id="rId11558" xr:uid="{531A81CA-6DCE-4ACC-8584-DBFA427C202D}"/>
    <hyperlink ref="O3438" r:id="rId11559" xr:uid="{2BAB5501-04E7-468E-BB8A-6F2406D226A0}"/>
    <hyperlink ref="CA3438" r:id="rId11560" xr:uid="{10E579C5-09DB-44D4-9976-8328EB705164}"/>
    <hyperlink ref="O3439" r:id="rId11561" xr:uid="{A0CC9429-ADD3-42CB-A1FA-1ACE8F6CEBF0}"/>
    <hyperlink ref="CA3439" r:id="rId11562" xr:uid="{F308B5EA-4EC4-4115-93C1-B5C6C8C88B67}"/>
    <hyperlink ref="O3440" r:id="rId11563" xr:uid="{FFF7480C-BD6E-4857-9B8C-18C195E4E491}"/>
    <hyperlink ref="CA3440" r:id="rId11564" xr:uid="{EEA88023-6E28-4896-A2A6-D1ABF198B38E}"/>
    <hyperlink ref="O3445" r:id="rId11565" xr:uid="{BAA47523-A747-463D-B6E0-041C83E51FA7}"/>
    <hyperlink ref="R3445" r:id="rId11566" xr:uid="{DF29A6C0-21A3-4070-A6C4-DE4C6A876F1B}"/>
    <hyperlink ref="S3445" r:id="rId11567" xr:uid="{2C48F7D5-5D2F-424F-9323-D827A146F832}"/>
    <hyperlink ref="CA3445" r:id="rId11568" xr:uid="{DCFAA822-5ACD-467B-8056-092A4B2BC505}"/>
    <hyperlink ref="CD3445" r:id="rId11569" xr:uid="{E46681D0-D3DD-415A-9693-A784DF0DB4F6}"/>
    <hyperlink ref="O3446" r:id="rId11570" xr:uid="{82284613-5FDB-4324-B3D5-E6612E70F105}"/>
    <hyperlink ref="S3446" r:id="rId11571" xr:uid="{E41297A3-4E6A-4AB4-9C85-314A040EFE73}"/>
    <hyperlink ref="CA3446" r:id="rId11572" xr:uid="{3B6B1222-38E9-4FE4-9A2D-61431D9893A6}"/>
    <hyperlink ref="CD3446" r:id="rId11573" xr:uid="{BCA251A0-6FCA-4D23-8DEC-FCAABAC61288}"/>
    <hyperlink ref="O3447" r:id="rId11574" xr:uid="{2210A136-74B6-4FE6-BEBA-7839782BBA0B}"/>
    <hyperlink ref="S3447" r:id="rId11575" xr:uid="{408F8D25-136F-4AAA-9FFC-3205B059E327}"/>
    <hyperlink ref="CA3447" r:id="rId11576" xr:uid="{26725C2F-9933-4F91-85E7-D2491C1DDFD8}"/>
    <hyperlink ref="CD3447" r:id="rId11577" xr:uid="{3D814A26-34B1-428C-8C7F-511F85CF2448}"/>
    <hyperlink ref="O3448" r:id="rId11578" xr:uid="{02D5F9D4-4A5A-4084-94C2-AFFE43A5C8BB}"/>
    <hyperlink ref="S3448" r:id="rId11579" xr:uid="{C2CC0AE6-91AC-45CD-91CB-C721BDE44524}"/>
    <hyperlink ref="CA3448" r:id="rId11580" xr:uid="{6BC8FC87-3F9F-4DB3-8DBE-7745E9FABDB1}"/>
    <hyperlink ref="CD3448" r:id="rId11581" xr:uid="{12C48F2D-AB92-4548-8384-6BBD2A8F1C42}"/>
    <hyperlink ref="O3449" r:id="rId11582" xr:uid="{9B77FF59-F3C1-446D-A205-50532486D5F7}"/>
    <hyperlink ref="S3449" r:id="rId11583" xr:uid="{0956AEEF-3C7F-4AA6-8CA3-6516895CFA64}"/>
    <hyperlink ref="CA3449" r:id="rId11584" xr:uid="{BDA58F6F-7FDC-4A80-8174-ED58EBCFE838}"/>
    <hyperlink ref="CD3449" r:id="rId11585" xr:uid="{73257A7E-4F83-4069-AD9F-E27B85905832}"/>
    <hyperlink ref="O3450" r:id="rId11586" xr:uid="{C87DEE62-916D-45F3-AC6E-5D9B0557E1B6}"/>
    <hyperlink ref="S3450" r:id="rId11587" xr:uid="{81CCF9B9-F420-4FAF-9FF9-EABA355C6232}"/>
    <hyperlink ref="CA3450" r:id="rId11588" xr:uid="{8A1733FC-C717-47F4-A9D4-8382BF471B68}"/>
    <hyperlink ref="CD3450" r:id="rId11589" xr:uid="{DF65E494-904A-41BC-8093-B93AA72E64A9}"/>
    <hyperlink ref="O3451" r:id="rId11590" xr:uid="{4B1D8079-8BE3-49EB-9241-3A72F3178FD7}"/>
    <hyperlink ref="S3451" r:id="rId11591" xr:uid="{F81E8C18-ABA8-4A0C-ACC3-F07F913F8DA0}"/>
    <hyperlink ref="CA3451" r:id="rId11592" xr:uid="{8D3EAF9B-72E8-4169-A7BF-F6860CF68E1E}"/>
    <hyperlink ref="CD3451" r:id="rId11593" xr:uid="{9583BFAC-492D-4B5B-85D1-60A34B77536A}"/>
    <hyperlink ref="O3452" r:id="rId11594" xr:uid="{0C8A0E94-A5BC-43AC-BA3C-1B4F2CE51528}"/>
    <hyperlink ref="S3452" r:id="rId11595" xr:uid="{75B8F80F-2E65-407A-8E70-A90794616C67}"/>
    <hyperlink ref="CA3452" r:id="rId11596" xr:uid="{EC32BFD9-DF09-450B-B41C-D79280F12D96}"/>
    <hyperlink ref="O3453" r:id="rId11597" xr:uid="{486ECCF6-5C8F-4A34-87AC-EA125A1E6D97}"/>
    <hyperlink ref="S3453" r:id="rId11598" xr:uid="{3B1D3A8C-F146-42D2-8B30-D289C4D94FCD}"/>
    <hyperlink ref="CA3453" r:id="rId11599" xr:uid="{00F2A396-32F2-4613-9A2C-3FB16861D1EC}"/>
    <hyperlink ref="CD3453" r:id="rId11600" xr:uid="{BC80C84C-7F73-4AC3-9038-8BBC53C3FB35}"/>
    <hyperlink ref="O3454" r:id="rId11601" xr:uid="{A01C377A-ED14-4DC1-AA77-E12D480E0D45}"/>
    <hyperlink ref="S3454" r:id="rId11602" xr:uid="{FB1DDAA0-0F6A-4C8C-9406-3B8EFEDE193E}"/>
    <hyperlink ref="CA3454" r:id="rId11603" xr:uid="{E1970C09-A6AE-4E22-A7F4-6E6755E4ED01}"/>
    <hyperlink ref="O3455" r:id="rId11604" xr:uid="{E4D60E36-3B76-4921-9860-455D38CF1A85}"/>
    <hyperlink ref="S3455" r:id="rId11605" xr:uid="{E23249FD-4639-45AF-91DC-96B406FC10CD}"/>
    <hyperlink ref="CA3455" r:id="rId11606" xr:uid="{EF51E141-462A-482A-ADB0-D4A1E9C8C751}"/>
    <hyperlink ref="O3456" r:id="rId11607" xr:uid="{CEC61D0F-BBFA-4DAF-92E7-F7A9467E0C05}"/>
    <hyperlink ref="S3456" r:id="rId11608" xr:uid="{19DBFD01-C255-40D9-9B6F-5C0E70B6E6D7}"/>
    <hyperlink ref="CA3456" r:id="rId11609" xr:uid="{95DA0884-717D-4DF9-BD3D-6A1028F67A10}"/>
    <hyperlink ref="O3457" r:id="rId11610" xr:uid="{6D757B47-757A-4E2F-9F59-F6211A958E98}"/>
    <hyperlink ref="S3457" r:id="rId11611" xr:uid="{253AFA24-858E-4988-A61D-F279AFD0EC20}"/>
    <hyperlink ref="CA3457" r:id="rId11612" xr:uid="{3E052388-19FC-4E2C-9403-E1ED66B9C6AA}"/>
    <hyperlink ref="R3460" r:id="rId11613" xr:uid="{2DF30974-166C-4868-9F79-8C1B7F3D7E15}"/>
    <hyperlink ref="O3461" r:id="rId11614" xr:uid="{211F37EB-6BE0-4E7E-8C72-938407BF1748}"/>
    <hyperlink ref="S3461" r:id="rId11615" xr:uid="{17CC6D69-C2FB-48E3-99F4-C986AD670FF3}"/>
    <hyperlink ref="CA3461" r:id="rId11616" xr:uid="{17925F21-5271-45E1-953F-821987A57ABC}"/>
    <hyperlink ref="CD3461" r:id="rId11617" xr:uid="{DEB2AC03-39F1-46B0-82C4-9E2FAAE4FDC5}"/>
    <hyperlink ref="O3462" r:id="rId11618" xr:uid="{64713EFA-4D31-4AC5-BCE3-56B8527994C8}"/>
    <hyperlink ref="S3462" r:id="rId11619" xr:uid="{34311A32-C99F-4798-913B-19C61C606017}"/>
    <hyperlink ref="CA3462" r:id="rId11620" xr:uid="{43FDC580-7A6C-4516-9184-77D438DA47C5}"/>
    <hyperlink ref="CD3462" r:id="rId11621" xr:uid="{04F9B69F-4F43-4AB7-9219-0E6292CF6CBD}"/>
    <hyperlink ref="O3463" r:id="rId11622" xr:uid="{FC04C913-2CC1-4790-B15B-249B7CA3E7CF}"/>
    <hyperlink ref="S3463" r:id="rId11623" xr:uid="{CE62CB55-B0C9-4A54-8524-0694695EABC3}"/>
    <hyperlink ref="CA3463" r:id="rId11624" xr:uid="{6540A187-D97C-4F0D-996D-5540EA46F4AC}"/>
    <hyperlink ref="O3466" r:id="rId11625" xr:uid="{199A270C-49ED-4066-B9BF-AFC87BBE7B24}"/>
    <hyperlink ref="S3466" r:id="rId11626" xr:uid="{7F00E080-3BBD-440C-81AE-34CB4A63CC04}"/>
    <hyperlink ref="CA3466" r:id="rId11627" xr:uid="{D411A7F1-A7E5-423D-BFEC-FDBA2CCD1108}"/>
    <hyperlink ref="CD3466" r:id="rId11628" xr:uid="{9040B06D-2868-4D1D-9B0B-0CF18F912E95}"/>
    <hyperlink ref="O3467" r:id="rId11629" xr:uid="{C1B06D0A-B233-4743-9D89-3EA86C64B8BD}"/>
    <hyperlink ref="S3467" r:id="rId11630" xr:uid="{84D0BCA0-E79F-4632-9726-47BA49A89B6F}"/>
    <hyperlink ref="CA3467" r:id="rId11631" xr:uid="{E03DF3CC-A30D-41F6-97E0-39C966F289EB}"/>
    <hyperlink ref="CD3467" r:id="rId11632" xr:uid="{8111E4B7-9AD7-4119-8549-E41C19A212F7}"/>
    <hyperlink ref="O3468" r:id="rId11633" xr:uid="{1DDF5DED-E123-4F63-9A7E-F0A3024571B4}"/>
    <hyperlink ref="S3468" r:id="rId11634" xr:uid="{DE1A0B29-2C4B-4C4F-9A99-801E6A3EB038}"/>
    <hyperlink ref="CA3468" r:id="rId11635" xr:uid="{6E075F24-DF8F-404F-8E6E-069B542F4144}"/>
    <hyperlink ref="CD3468" r:id="rId11636" xr:uid="{43EB68AE-DFBB-45D0-B09B-0504F7D192F6}"/>
    <hyperlink ref="O3469" r:id="rId11637" xr:uid="{DA0D1080-B4B7-4A5A-A88B-DFF7F9E168D5}"/>
    <hyperlink ref="S3469" r:id="rId11638" xr:uid="{B1F65F77-FA6F-4AC6-AB95-79BD49455001}"/>
    <hyperlink ref="CA3469" r:id="rId11639" xr:uid="{1CFABC34-263D-4094-BA6B-DAC20585E5ED}"/>
    <hyperlink ref="CD3469" r:id="rId11640" xr:uid="{8F416C60-A857-436A-8C62-D2E35D62A93D}"/>
    <hyperlink ref="O3470" r:id="rId11641" xr:uid="{2DF40692-324B-46A0-9FE4-CFA963160CB6}"/>
    <hyperlink ref="S3470" r:id="rId11642" xr:uid="{B7555A57-AB76-4004-B594-CAAA7D0D5761}"/>
    <hyperlink ref="CA3470" r:id="rId11643" xr:uid="{034536AC-86C1-4B0A-9CB4-C25B2561F692}"/>
    <hyperlink ref="CD3470" r:id="rId11644" xr:uid="{3AD6834D-2A3B-47F8-9BB3-702F1754EC24}"/>
    <hyperlink ref="O3471" r:id="rId11645" xr:uid="{8AE39BE9-CDA1-45DB-B5E9-629234D30298}"/>
    <hyperlink ref="S3471" r:id="rId11646" xr:uid="{347779E7-8897-4A96-9D43-279B7ED89F84}"/>
    <hyperlink ref="CA3471" r:id="rId11647" xr:uid="{678B72BA-ADC8-43C1-A3E4-AAFABE67117A}"/>
    <hyperlink ref="CD3471" r:id="rId11648" xr:uid="{338D518B-4B0D-4900-8B1C-07FFFB508AF2}"/>
    <hyperlink ref="O3472" r:id="rId11649" xr:uid="{B9B752C1-6B06-4FDD-B7C9-6EF5B5A3C98A}"/>
    <hyperlink ref="S3472" r:id="rId11650" xr:uid="{5B53E8EC-CE06-4F5F-BB5B-16B5C10D2A72}"/>
    <hyperlink ref="CA3472" r:id="rId11651" xr:uid="{48B2AE20-058D-4CC6-B354-A18A189A1BDF}"/>
    <hyperlink ref="CD3472" r:id="rId11652" xr:uid="{8968A739-0077-4A03-9DF4-67C526D8A20D}"/>
    <hyperlink ref="O3473" r:id="rId11653" xr:uid="{9BCB2AE0-E636-4851-84E9-DEE4A8075111}"/>
    <hyperlink ref="S3473" r:id="rId11654" xr:uid="{A271339B-46A5-41BE-89BA-783713AAE5AA}"/>
    <hyperlink ref="CA3473" r:id="rId11655" xr:uid="{728B220B-20D6-49B9-9FA1-3EDAA4B4FABC}"/>
    <hyperlink ref="CD3473" r:id="rId11656" xr:uid="{4084DBE1-A36E-465C-BE00-466127DF1B6E}"/>
    <hyperlink ref="O3476" r:id="rId11657" xr:uid="{6809AE0E-181D-4850-B0B5-AA2A91E66AAF}"/>
    <hyperlink ref="S3476" r:id="rId11658" xr:uid="{67022C35-BFBE-424A-B269-E26DB245C516}"/>
    <hyperlink ref="CA3476" r:id="rId11659" xr:uid="{846D6FDC-DBBF-4857-A061-0B71F0BCD1D2}"/>
    <hyperlink ref="CD3476" r:id="rId11660" xr:uid="{6E53772E-320E-4D0F-A04C-729549866141}"/>
    <hyperlink ref="O3477" r:id="rId11661" xr:uid="{E1922DF8-75CC-455E-B57E-5F79116F89FB}"/>
    <hyperlink ref="S3477" r:id="rId11662" xr:uid="{D0053B3B-0B51-4324-A9E9-0934BC70D5B1}"/>
    <hyperlink ref="CA3477" r:id="rId11663" xr:uid="{9A3F9534-3C92-45E7-BD47-4195CBFC7894}"/>
    <hyperlink ref="CB3477" r:id="rId11664" xr:uid="{303F6DC3-77FF-4F4A-89D8-B3834F7E66E9}"/>
    <hyperlink ref="CD3477" r:id="rId11665" xr:uid="{7B59C3C7-BF1B-488C-82B9-CFFFFE32627C}"/>
    <hyperlink ref="O3482" r:id="rId11666" xr:uid="{41E3B480-9E07-470A-AB10-A710484EA62C}"/>
    <hyperlink ref="S3482" r:id="rId11667" xr:uid="{489AD773-7C55-4B1A-BB11-76EBD55CC940}"/>
    <hyperlink ref="CA3482" r:id="rId11668" xr:uid="{796CE211-32BD-4C34-B7EE-7DB7B0879930}"/>
    <hyperlink ref="CB3482" r:id="rId11669" xr:uid="{DE1D9E6F-E190-4D07-A7C7-C2B0EC96F32E}"/>
    <hyperlink ref="CD3482" r:id="rId11670" xr:uid="{49758DAF-BBC4-4A06-B133-B64387FDF383}"/>
    <hyperlink ref="O3483" r:id="rId11671" xr:uid="{AED65A39-5AEA-4CA3-8255-4001F530CB6D}"/>
    <hyperlink ref="S3483" r:id="rId11672" xr:uid="{686AD7F4-7EE8-4505-B083-7B4A12B768E9}"/>
    <hyperlink ref="CA3483" r:id="rId11673" xr:uid="{86AE8BE0-0B46-4D8C-A4DC-BADE19B7E2BA}"/>
    <hyperlink ref="CB3483" r:id="rId11674" xr:uid="{5FCA7596-8A20-45A0-B2AD-4A0BF6EFCEC0}"/>
    <hyperlink ref="CD3483" r:id="rId11675" xr:uid="{41FC87F6-9359-40A4-9D72-9DE733CACD28}"/>
    <hyperlink ref="O3484" r:id="rId11676" xr:uid="{0D460810-5591-4BAB-A16F-436A5AB15D0D}"/>
    <hyperlink ref="S3484" r:id="rId11677" xr:uid="{7876FE47-5BA2-4357-AA58-BBE696B32D03}"/>
    <hyperlink ref="CA3484" r:id="rId11678" xr:uid="{D1169D9B-A0FC-4105-9F82-DE0D6712DDC1}"/>
    <hyperlink ref="CB3484" r:id="rId11679" xr:uid="{9589D698-AFDE-4695-AC0F-0A756BA8F630}"/>
    <hyperlink ref="CD3484" r:id="rId11680" xr:uid="{994BDB08-B694-460C-B4FD-6DF346D74386}"/>
    <hyperlink ref="O3485" r:id="rId11681" xr:uid="{C52C5907-C98A-4063-8086-D730D53B7441}"/>
    <hyperlink ref="S3485" r:id="rId11682" xr:uid="{25F60E79-3637-4E96-9CC4-1FB599A67523}"/>
    <hyperlink ref="CA3485" r:id="rId11683" xr:uid="{A0C6A708-0B4A-45C2-B829-AD3771F487B7}"/>
    <hyperlink ref="CB3485" r:id="rId11684" xr:uid="{B4145915-00AD-433B-99E1-0935F35B84D9}"/>
    <hyperlink ref="CD3485" r:id="rId11685" xr:uid="{D74C26E9-5408-4551-A7FB-3A624425DD98}"/>
    <hyperlink ref="O3486" r:id="rId11686" xr:uid="{9875E5F8-A661-495E-82D8-4D402E82B8AD}"/>
    <hyperlink ref="S3486" r:id="rId11687" xr:uid="{8CF614C7-6F8F-4175-AF2F-29B7E738FE7F}"/>
    <hyperlink ref="CA3486" r:id="rId11688" xr:uid="{AF3B4233-02CC-4817-B966-934438C01531}"/>
    <hyperlink ref="CB3486" r:id="rId11689" xr:uid="{EBF36566-3F96-4A78-901C-EB50A9B5812F}"/>
    <hyperlink ref="CD3486" r:id="rId11690" xr:uid="{D134BA40-C779-411C-8D2E-39DA4A597E2E}"/>
    <hyperlink ref="O3487" r:id="rId11691" xr:uid="{B80F2EE8-D08A-4D05-A73B-49887897A482}"/>
    <hyperlink ref="R3487" r:id="rId11692" xr:uid="{81476B3C-EC40-4F36-831D-ED17E3D583EC}"/>
    <hyperlink ref="S3487" r:id="rId11693" xr:uid="{B5C7E237-4433-4D9E-9FF6-E2D96D961DB6}"/>
    <hyperlink ref="CA3487" r:id="rId11694" xr:uid="{50C45B08-D3DB-4B6A-A070-DD6F1D593C8A}"/>
    <hyperlink ref="CD3487" r:id="rId11695" xr:uid="{FC1BBF3C-414D-4DA6-82DC-30A1BE4CDB1D}"/>
    <hyperlink ref="O3488" r:id="rId11696" xr:uid="{48599565-C860-4F6D-ACA1-B17A5A4BCDB6}"/>
    <hyperlink ref="S3488" r:id="rId11697" xr:uid="{568CE928-D262-477F-9E9E-CB1A439A0819}"/>
    <hyperlink ref="CA3488" r:id="rId11698" xr:uid="{C24676C2-E91A-4524-9CC7-1D75FF22DA6A}"/>
    <hyperlink ref="CD3488" r:id="rId11699" xr:uid="{E6C1F879-777D-480F-A43E-4D6AC73EAE0C}"/>
    <hyperlink ref="O3490" r:id="rId11700" xr:uid="{DF25B20C-A4D8-4BE9-808F-40F9CC5CB783}"/>
    <hyperlink ref="S3490" r:id="rId11701" xr:uid="{EF9B0D18-FC06-43A5-B524-45AFE47371D9}"/>
    <hyperlink ref="CA3490" r:id="rId11702" xr:uid="{DA35335D-B26D-4EF3-A315-9B3705F24F84}"/>
    <hyperlink ref="CD3490" r:id="rId11703" xr:uid="{ED143D6B-C268-4389-B572-8CFF47AE45B7}"/>
    <hyperlink ref="O3492" r:id="rId11704" xr:uid="{FB86AFCA-E081-4E70-8235-5EC550CD4D50}"/>
    <hyperlink ref="S3492" r:id="rId11705" xr:uid="{0DBFC0DB-E3B6-4E81-997A-D1F05E724B63}"/>
    <hyperlink ref="CA3492" r:id="rId11706" xr:uid="{EB339453-E4E6-4F0B-8A58-D58ED352F7E0}"/>
    <hyperlink ref="O3493" r:id="rId11707" xr:uid="{9470D92C-9F5E-4DFE-81EB-90C7FAC23DFD}"/>
    <hyperlink ref="S3493" r:id="rId11708" xr:uid="{EEFDC1C5-96D3-4D29-8CAE-43972029267F}"/>
    <hyperlink ref="CA3493" r:id="rId11709" xr:uid="{9680A9E5-8411-4896-9C5D-0B09917A6F51}"/>
    <hyperlink ref="CD3493" r:id="rId11710" xr:uid="{6D748A3E-46C8-43C9-A045-99E651070AC8}"/>
    <hyperlink ref="O3494" r:id="rId11711" xr:uid="{5DCA669F-48D3-4FA1-83BD-70E24378F9C0}"/>
    <hyperlink ref="S3494" r:id="rId11712" xr:uid="{0262E4FB-9DB9-4C92-9C50-87CEEA5740E1}"/>
    <hyperlink ref="CA3494" r:id="rId11713" xr:uid="{D9271623-AAC3-4837-9AE6-1D8D72AD0A71}"/>
    <hyperlink ref="CD3494" r:id="rId11714" xr:uid="{62CDE7C7-0675-4F46-94AD-2C0F152CDB31}"/>
    <hyperlink ref="O3495" r:id="rId11715" xr:uid="{27E10AD5-7FF6-4BAA-8ED9-1FE1A42E35CD}"/>
    <hyperlink ref="S3495" r:id="rId11716" xr:uid="{1920D3C3-91B1-46F2-9346-F9DE808A8F4D}"/>
    <hyperlink ref="CA3495" r:id="rId11717" xr:uid="{FBB856FC-C594-4AD1-9BD5-E9C6701D9460}"/>
    <hyperlink ref="O3496" r:id="rId11718" xr:uid="{167F133A-49B5-4400-86B2-BE3C94EFFD23}"/>
    <hyperlink ref="S3496" r:id="rId11719" xr:uid="{F420F28D-6D8A-4C80-8197-1D17F263079E}"/>
    <hyperlink ref="CA3496" r:id="rId11720" xr:uid="{0A419753-30A2-42FF-AE72-9190C5388D52}"/>
    <hyperlink ref="CD3496" r:id="rId11721" xr:uid="{5BB644AC-4C61-48DE-A261-A6ABE91F197E}"/>
    <hyperlink ref="O3497" r:id="rId11722" xr:uid="{8D16443B-214E-43FD-A60F-968D7EA45D15}"/>
    <hyperlink ref="S3497" r:id="rId11723" xr:uid="{C3931922-5B8F-401E-8761-612AA66A35FF}"/>
    <hyperlink ref="CA3497" r:id="rId11724" xr:uid="{7E831EF0-94B3-4644-8114-6CE5EC681450}"/>
    <hyperlink ref="CD3497" r:id="rId11725" xr:uid="{0F3ECCBD-106F-441C-BBBA-F1532D1A5337}"/>
    <hyperlink ref="O3498" r:id="rId11726" xr:uid="{78C667BC-582D-45C4-AC47-B1ADD31D9BDF}"/>
    <hyperlink ref="S3498" r:id="rId11727" xr:uid="{3CA297D5-103A-4410-8222-37F8D326DF85}"/>
    <hyperlink ref="CA3498" r:id="rId11728" xr:uid="{DFDC7EE4-B495-4776-B648-9198CB2DEF7D}"/>
    <hyperlink ref="CB3498" r:id="rId11729" xr:uid="{0162C26D-59C9-43F6-BE4F-8AC263807F3D}"/>
    <hyperlink ref="O3499" r:id="rId11730" xr:uid="{701CB364-2685-443B-8782-7A03FB70A2AB}"/>
    <hyperlink ref="S3499" r:id="rId11731" xr:uid="{A2D64A4B-980D-46C5-99D8-5B20997F2017}"/>
    <hyperlink ref="CA3499" r:id="rId11732" xr:uid="{8171AA56-09C0-4A44-9465-CA6E70A473E3}"/>
    <hyperlink ref="CD3499" r:id="rId11733" xr:uid="{3ED7E401-F75F-4A7C-8E68-A989E1305689}"/>
    <hyperlink ref="S3500" r:id="rId11734" xr:uid="{A07A32C2-8F2A-4EDE-9DAA-CDB2A62EBDCE}"/>
    <hyperlink ref="CA3500" r:id="rId11735" xr:uid="{294AE232-CEA4-41E6-B0C4-CBB978AE33BD}"/>
    <hyperlink ref="O3501" r:id="rId11736" xr:uid="{23ED7D7A-08A2-40BD-A5B0-3BEB6EF3C190}"/>
    <hyperlink ref="S3501" r:id="rId11737" xr:uid="{A38A7A19-E73C-47EC-AF5D-57936B6893F7}"/>
    <hyperlink ref="CA3501" r:id="rId11738" xr:uid="{5922F7FB-8E9F-4992-A213-164334A2E4C6}"/>
    <hyperlink ref="O3503" r:id="rId11739" xr:uid="{EFEB5166-8E36-4484-B23A-AD97A706C576}"/>
    <hyperlink ref="S3503" r:id="rId11740" xr:uid="{9ED2B66E-3D82-425F-BC1E-B17895B23A33}"/>
    <hyperlink ref="CA3503" r:id="rId11741" xr:uid="{E8AB1862-58BF-4B8A-87DC-296F6AA2A186}"/>
    <hyperlink ref="O3504" r:id="rId11742" xr:uid="{2FCF7A32-D551-4655-A4D0-511E871BC8F4}"/>
    <hyperlink ref="S3504" r:id="rId11743" xr:uid="{E1F4707D-DAA3-449C-9D1C-7B5B508E3F03}"/>
    <hyperlink ref="CA3504" r:id="rId11744" xr:uid="{C415A716-A27A-4CAD-9C3A-AFF59A070879}"/>
    <hyperlink ref="CD3504" r:id="rId11745" xr:uid="{EC4F5A7D-71F2-41CC-9BB5-39E50351DBC4}"/>
    <hyperlink ref="O3506" r:id="rId11746" xr:uid="{8595E9EC-4354-4D21-84E0-1EBCB70C61FC}"/>
    <hyperlink ref="S3506" r:id="rId11747" xr:uid="{087F6F31-6047-43AF-AD64-5B3CFB24A80E}"/>
    <hyperlink ref="CA3506" r:id="rId11748" xr:uid="{C15AE73D-FBD7-437C-BC54-D24786A39C58}"/>
    <hyperlink ref="CD3506" r:id="rId11749" xr:uid="{D4471249-E260-4569-8C59-DB6E7BE25909}"/>
    <hyperlink ref="O3508" r:id="rId11750" xr:uid="{95D0B5CF-48EF-4FFF-826A-94227B76857F}"/>
    <hyperlink ref="S3508" r:id="rId11751" xr:uid="{3879F3F3-4E22-44A6-AF8E-4510BADE2731}"/>
    <hyperlink ref="CA3508" r:id="rId11752" xr:uid="{2B7B6A25-8226-4922-A9BA-9CDB0549D5AE}"/>
    <hyperlink ref="O3546" r:id="rId11753" xr:uid="{D0484D03-41D8-44F4-B3D7-FE0D6238511B}"/>
    <hyperlink ref="CA3546" r:id="rId11754" xr:uid="{59D538F8-0A30-45F8-8FA5-33328C15E110}"/>
    <hyperlink ref="O3547" r:id="rId11755" xr:uid="{25D3F400-539A-4A01-931D-FC8112D6ECFA}"/>
    <hyperlink ref="CA3547" r:id="rId11756" xr:uid="{671EBEFE-FD58-4295-A239-0FE28DDA8620}"/>
    <hyperlink ref="O3548" r:id="rId11757" xr:uid="{0AA30B81-4909-496E-94FC-A638A983D6E2}"/>
    <hyperlink ref="CA3548" r:id="rId11758" xr:uid="{3A4DDBA3-50EF-43B9-B62D-F4206841743A}"/>
    <hyperlink ref="O3549" r:id="rId11759" xr:uid="{27DA965C-F9F4-4E33-960D-4120DB88FAF6}"/>
    <hyperlink ref="CA3549" r:id="rId11760" xr:uid="{51FF74A2-08A5-4147-ACD8-A11CF9AD512D}"/>
    <hyperlink ref="O3550" r:id="rId11761" xr:uid="{7EB32E76-6D2D-46A4-929C-0D70E71C3C38}"/>
    <hyperlink ref="S3550" r:id="rId11762" xr:uid="{905E8D94-4BA8-4CE2-B17B-FB41A3FA9039}"/>
    <hyperlink ref="CA3550" r:id="rId11763" xr:uid="{869DBA01-1862-4A7C-A356-C0D9C17193D0}"/>
    <hyperlink ref="O3551" r:id="rId11764" xr:uid="{FA56338B-5558-411B-97E0-A6C3584B69FC}"/>
    <hyperlink ref="S3551" r:id="rId11765" xr:uid="{C0B24B50-CB20-47BD-8FEA-B8B251EB6E55}"/>
    <hyperlink ref="CA3551" r:id="rId11766" xr:uid="{372C8F43-1A12-4649-8487-E8D31A31F0F7}"/>
    <hyperlink ref="O3552" r:id="rId11767" xr:uid="{7C5AA96A-DD4B-422B-A136-838B1F6BCEAF}"/>
    <hyperlink ref="S3552" r:id="rId11768" xr:uid="{030C9E82-A04E-4B84-99F8-7CD4EA5972D6}"/>
    <hyperlink ref="CA3552" r:id="rId11769" xr:uid="{86B05739-389E-4CFB-B044-DF413C3548C9}"/>
    <hyperlink ref="O3571" r:id="rId11770" xr:uid="{BD78FFF4-CB1D-473D-98A1-155D9070D85A}"/>
    <hyperlink ref="S3571" r:id="rId11771" xr:uid="{F266D5D2-9F69-4539-B2FD-FD23D41D4EE2}"/>
    <hyperlink ref="T3571" r:id="rId11772" xr:uid="{DA51C738-3221-4CF7-8117-0FA0AD6447A2}"/>
    <hyperlink ref="CA3571" r:id="rId11773" xr:uid="{9F018B1B-218A-4510-A941-8DBA69EFD805}"/>
    <hyperlink ref="CB3571" r:id="rId11774" xr:uid="{E5F175A2-5074-48C2-89FD-B2C886591D2B}"/>
    <hyperlink ref="CD3571" r:id="rId11775" xr:uid="{4AA1F19A-6C30-4DBA-9807-D0933D81B76A}"/>
    <hyperlink ref="O3572" r:id="rId11776" xr:uid="{40C089D6-8962-44F1-9E4F-10F02FCD3B7C}"/>
    <hyperlink ref="S3572" r:id="rId11777" xr:uid="{9104CE88-4643-4E76-AB06-84F2DC73765E}"/>
    <hyperlink ref="T3572" r:id="rId11778" xr:uid="{AF527272-19E1-49D6-BEC2-C3F5EF18ACA6}"/>
    <hyperlink ref="CA3572" r:id="rId11779" xr:uid="{7BFA2364-179A-4F26-BC39-33C0850B0362}"/>
    <hyperlink ref="CB3572" r:id="rId11780" xr:uid="{A1DFBA4D-FF8F-4879-8C31-D225E9ABCFA9}"/>
    <hyperlink ref="CD3572" r:id="rId11781" xr:uid="{85272631-33FC-42D3-8388-DE4A68F99D26}"/>
    <hyperlink ref="O3573" r:id="rId11782" xr:uid="{2E9A22B8-7D53-4837-98B5-3E6933A60B3F}"/>
    <hyperlink ref="S3573" r:id="rId11783" xr:uid="{14A79FE9-1894-42B7-9125-25ECB1DCB8DF}"/>
    <hyperlink ref="T3573" r:id="rId11784" xr:uid="{86A54083-ADA6-42E3-A6DB-A5292B73086E}"/>
    <hyperlink ref="CA3573" r:id="rId11785" xr:uid="{C940E853-5FBF-4D19-AD75-218B6343D560}"/>
    <hyperlink ref="CB3573" r:id="rId11786" xr:uid="{1B003E51-3BA7-4ED8-9CA0-CD7C23458174}"/>
    <hyperlink ref="CD3573" r:id="rId11787" xr:uid="{07B0EC8B-676B-49B6-90AB-75C7166BA3C5}"/>
    <hyperlink ref="O3574" r:id="rId11788" xr:uid="{46C3A2AA-F80E-4EF7-AA0C-E55B4433496B}"/>
    <hyperlink ref="S3574" r:id="rId11789" xr:uid="{0DF0FF38-E370-408A-A5E1-433F33EB75E5}"/>
    <hyperlink ref="T3574" r:id="rId11790" xr:uid="{0B0E98EF-1905-4B37-A7C9-CF5BB29481D8}"/>
    <hyperlink ref="CA3574" r:id="rId11791" xr:uid="{766B0329-CACC-40BB-B730-A6B61FDB79A4}"/>
    <hyperlink ref="CB3574" r:id="rId11792" xr:uid="{B5CF5ED3-9B9C-4C07-84E1-D6082CE4DE73}"/>
    <hyperlink ref="CD3574" r:id="rId11793" xr:uid="{EEB86483-49CC-43E5-858D-BA749C2F29B3}"/>
    <hyperlink ref="O3575" r:id="rId11794" xr:uid="{110BA739-398F-44C8-BB63-50AEFEE90E42}"/>
    <hyperlink ref="S3575" r:id="rId11795" xr:uid="{8A8229A2-A082-4599-A4E5-BAFE9D5BFDE2}"/>
    <hyperlink ref="T3575" r:id="rId11796" xr:uid="{E9045ADA-C26A-431F-A3D2-0850953D6DE6}"/>
    <hyperlink ref="CA3575" r:id="rId11797" xr:uid="{DF612AD4-014F-48A9-B774-E9E0587D5B4A}"/>
    <hyperlink ref="CB3575" r:id="rId11798" xr:uid="{1730581F-4D53-481B-A1B0-F2F0E7290F04}"/>
    <hyperlink ref="CD3575" r:id="rId11799" xr:uid="{4B683099-BD31-42B5-89D6-60781AA2FFB0}"/>
    <hyperlink ref="O3576" r:id="rId11800" xr:uid="{14E06925-346A-4EDE-BC6F-811CAC5FCFD0}"/>
    <hyperlink ref="S3576" r:id="rId11801" xr:uid="{4803C3D8-DAC9-4CFC-9007-9F9562F97D49}"/>
    <hyperlink ref="T3576" r:id="rId11802" xr:uid="{467EF3D0-8CC9-499E-8CB3-2682537958EB}"/>
    <hyperlink ref="CA3576" r:id="rId11803" xr:uid="{4FE06DBF-CA9A-45DA-963D-1409DAD4DB28}"/>
    <hyperlink ref="CB3576" r:id="rId11804" xr:uid="{E52FE22A-46ED-49B9-9A40-2998DA82389E}"/>
    <hyperlink ref="CD3576" r:id="rId11805" xr:uid="{644BEB49-3140-4C97-871B-70A42D19E3AB}"/>
    <hyperlink ref="O3577" r:id="rId11806" xr:uid="{FD58AAE7-92D7-44CE-BB3E-0B61B2DE850A}"/>
    <hyperlink ref="S3577" r:id="rId11807" xr:uid="{B67FBA7D-EAA3-4B83-82B8-23891A4C0315}"/>
    <hyperlink ref="CA3577" r:id="rId11808" xr:uid="{1407E351-251F-4A31-877D-CBFEDB5B72FA}"/>
    <hyperlink ref="CD3577" r:id="rId11809" xr:uid="{DE7464DE-D399-4FDE-8A57-EB86CC9F128E}"/>
    <hyperlink ref="O3578" r:id="rId11810" xr:uid="{B6B8A735-8B8B-4C0A-A363-0BA35F629311}"/>
    <hyperlink ref="S3578" r:id="rId11811" xr:uid="{A5C3E7DD-3FC4-4AEC-BE80-F59F315D7456}"/>
    <hyperlink ref="CA3578" r:id="rId11812" xr:uid="{D452E48B-DC6E-478C-8E1A-EE09ABB01B8B}"/>
    <hyperlink ref="CD3578" r:id="rId11813" xr:uid="{FDDD4BB0-AC30-4178-8EE4-A8FFBCEB8ECA}"/>
    <hyperlink ref="O3579" r:id="rId11814" xr:uid="{8876431C-FE7D-4FD3-8BA1-7C2AE7689EEE}"/>
    <hyperlink ref="S3579" r:id="rId11815" xr:uid="{44B95892-00F3-4081-AE9E-E307178A6240}"/>
    <hyperlink ref="CA3579" r:id="rId11816" xr:uid="{877CE270-4204-4F76-B186-1837131C5922}"/>
    <hyperlink ref="CD3579" r:id="rId11817" xr:uid="{CE9B1869-C63F-4F37-8615-18BAACDD42FB}"/>
    <hyperlink ref="O3580" r:id="rId11818" xr:uid="{E4019179-4941-456D-8592-9C3E0A42159B}"/>
    <hyperlink ref="S3580" r:id="rId11819" xr:uid="{4CB6B9A1-2C87-430E-AF68-8434FCD5852F}"/>
    <hyperlink ref="CA3580" r:id="rId11820" xr:uid="{85C0941F-1F33-43AB-9897-127E6AC4A937}"/>
    <hyperlink ref="CD3580" r:id="rId11821" xr:uid="{B8B2516D-1B29-42A6-B3AA-51C6829AD239}"/>
    <hyperlink ref="O3581" r:id="rId11822" xr:uid="{620D6139-AFDD-4AE6-9D98-AFD78F96F24E}"/>
    <hyperlink ref="S3581" r:id="rId11823" xr:uid="{11BE4FA3-4C61-48DA-9F6C-99836C05F6FB}"/>
    <hyperlink ref="CA3581" r:id="rId11824" xr:uid="{3F1A06F5-F0A5-4260-A3F0-4C5AA7AA6486}"/>
    <hyperlink ref="CD3581" r:id="rId11825" xr:uid="{543EE1F3-7504-48FC-8753-60C55DE1B6E8}"/>
    <hyperlink ref="O3582" r:id="rId11826" xr:uid="{E2E1B126-2EDF-4F3F-8749-5308BB44B577}"/>
    <hyperlink ref="S3582" r:id="rId11827" xr:uid="{99140B09-C847-45DB-ABC7-417744F8CFD7}"/>
    <hyperlink ref="CA3582" r:id="rId11828" xr:uid="{3A6E59A5-C4B6-462B-A091-768A6DDA0177}"/>
    <hyperlink ref="CD3582" r:id="rId11829" xr:uid="{B890DDA9-D807-42AC-8504-29BFE96CF4B6}"/>
    <hyperlink ref="O3583" r:id="rId11830" xr:uid="{2A235B43-9672-4F2D-BBE0-0827DD9BFD62}"/>
    <hyperlink ref="S3583" r:id="rId11831" xr:uid="{D06C16F4-1742-48AC-857F-F0AC48F8135A}"/>
    <hyperlink ref="CA3583" r:id="rId11832" xr:uid="{42A70602-3332-44C2-BEF5-CA7A40515B3C}"/>
    <hyperlink ref="CD3583" r:id="rId11833" xr:uid="{1E6BE11C-A6A3-4465-97C2-1E56705E271B}"/>
    <hyperlink ref="O3584" r:id="rId11834" xr:uid="{F7FD2A72-7D38-428B-B5C2-C7113B45FDD7}"/>
    <hyperlink ref="S3584" r:id="rId11835" xr:uid="{8EF50F12-C918-43EA-B56D-AD0E7F7E89D8}"/>
    <hyperlink ref="CA3584" r:id="rId11836" xr:uid="{95664590-658B-46BD-B217-90A9ADA7F429}"/>
    <hyperlink ref="CD3584" r:id="rId11837" xr:uid="{D7AED9C8-5D91-4C35-8463-7035632991A2}"/>
    <hyperlink ref="O3585" r:id="rId11838" xr:uid="{2018C580-FE2F-4695-A1F9-9918BA1F34A0}"/>
    <hyperlink ref="S3585" r:id="rId11839" xr:uid="{31C96F1D-7A38-4B71-AA2B-21EBA1413FD6}"/>
    <hyperlink ref="CA3585" r:id="rId11840" xr:uid="{EB0C9703-882A-4893-8889-5F85E1054843}"/>
    <hyperlink ref="CD3585" r:id="rId11841" xr:uid="{6B51ABA6-0C27-4503-A308-8CC86EF7D351}"/>
    <hyperlink ref="O3586" r:id="rId11842" xr:uid="{A03D3EAB-F6DB-4493-9CBE-BDBDAE323F61}"/>
    <hyperlink ref="S3586" r:id="rId11843" xr:uid="{8DCC1589-C1A3-420F-B0B5-11D91A19AACE}"/>
    <hyperlink ref="CA3586" r:id="rId11844" xr:uid="{5554CC9E-CFFC-454A-9BDA-A63EAAF97477}"/>
    <hyperlink ref="CD3586" r:id="rId11845" xr:uid="{DBD59A9D-CC93-45A6-9925-34DA7C8E0251}"/>
    <hyperlink ref="O3587" r:id="rId11846" xr:uid="{FD9F66DE-96CF-461C-8309-4D341A0A79D1}"/>
    <hyperlink ref="S3587" r:id="rId11847" xr:uid="{30E7EAEF-5427-4131-BD0B-EC61BFB86B6E}"/>
    <hyperlink ref="CA3587" r:id="rId11848" xr:uid="{19140062-B3A6-4715-B2DD-7D8AB4E4F033}"/>
    <hyperlink ref="CD3587" r:id="rId11849" xr:uid="{333A69B8-D2BF-4FD0-9D89-7CFCE31303F4}"/>
    <hyperlink ref="O3588" r:id="rId11850" xr:uid="{E5BB0298-D0B8-4FDF-A85A-16092237E5D7}"/>
    <hyperlink ref="S3588" r:id="rId11851" xr:uid="{E2D59FB6-0A18-481F-A5C9-1DAC79A16A86}"/>
    <hyperlink ref="CA3588" r:id="rId11852" xr:uid="{48058003-9C0C-46B4-9239-6F8533354E69}"/>
    <hyperlink ref="CD3588" r:id="rId11853" xr:uid="{9AEF4BCE-15ED-44E2-9AB6-018410936FA2}"/>
    <hyperlink ref="O3589" r:id="rId11854" xr:uid="{28D94F99-6C25-4D88-8496-F4076BEFAFCF}"/>
    <hyperlink ref="S3589" r:id="rId11855" xr:uid="{C27DA4C9-9E25-43C1-8E4B-F4EE1BA47CB9}"/>
    <hyperlink ref="CA3589" r:id="rId11856" xr:uid="{F2A66484-FC3E-406C-8084-DE722F2A35F0}"/>
    <hyperlink ref="CD3589" r:id="rId11857" xr:uid="{08169986-9CBD-4EB6-89D1-C70929AD98DB}"/>
    <hyperlink ref="R3590" r:id="rId11858" xr:uid="{81937CB4-8C2A-4118-AF14-D7FD0DD00FD7}"/>
    <hyperlink ref="O3591" r:id="rId11859" xr:uid="{5AC9A91B-691C-439F-9DF9-80B9E746877C}"/>
    <hyperlink ref="S3591" r:id="rId11860" xr:uid="{F9EF5823-E91D-485A-B7D4-9C686E7EAAE3}"/>
    <hyperlink ref="CA3591" r:id="rId11861" xr:uid="{8CB2F941-A84D-49D4-BBB5-9D39A056B84B}"/>
    <hyperlink ref="O3592" r:id="rId11862" xr:uid="{BD334129-D4B4-4623-B71B-33C52882251D}"/>
    <hyperlink ref="S3592" r:id="rId11863" xr:uid="{8AD0FC61-4C2D-4B86-962A-BDAB3A4A4CE9}"/>
    <hyperlink ref="CA3592" r:id="rId11864" xr:uid="{151A2814-56AF-4BC0-882D-878FBD2B9A59}"/>
    <hyperlink ref="O3593" r:id="rId11865" xr:uid="{038FCB53-7500-4C9F-B32E-68D0FF3D3360}"/>
    <hyperlink ref="S3593" r:id="rId11866" xr:uid="{CE6D7AF5-1034-4451-8570-FD366E31FFB7}"/>
    <hyperlink ref="CA3593" r:id="rId11867" xr:uid="{8F018695-4E75-4314-865D-ED2656DA3A3B}"/>
    <hyperlink ref="O3594" r:id="rId11868" xr:uid="{D86E81FB-4576-4D6B-B0B9-9B28E35441F0}"/>
    <hyperlink ref="S3594" r:id="rId11869" xr:uid="{B261CA0F-D90F-4574-B052-5F7B1583950B}"/>
    <hyperlink ref="CA3594" r:id="rId11870" xr:uid="{28D4ED68-0C96-491A-94E1-DCCFAB899DE5}"/>
    <hyperlink ref="O3595" r:id="rId11871" xr:uid="{9973477E-5DA9-416B-86D2-889EED1507A8}"/>
    <hyperlink ref="S3595" r:id="rId11872" xr:uid="{928428C9-BD56-4C1C-9879-A7D4367857F2}"/>
    <hyperlink ref="CA3595" r:id="rId11873" xr:uid="{97AC29A5-F9C3-41A3-933C-B77B48FA06E2}"/>
    <hyperlink ref="O3596" r:id="rId11874" xr:uid="{77637FAC-58AD-4E6C-B32A-ECA1C72E069F}"/>
    <hyperlink ref="S3596" r:id="rId11875" xr:uid="{7357C9AC-D644-48DD-94E7-73E5C8914444}"/>
    <hyperlink ref="CA3596" r:id="rId11876" xr:uid="{9017FC0A-7E40-4897-8580-8BF9C2F68858}"/>
    <hyperlink ref="O3597" r:id="rId11877" xr:uid="{84E6DC19-EB01-4195-944F-7635C6EA77DC}"/>
    <hyperlink ref="S3597" r:id="rId11878" xr:uid="{13E6C4D5-FE42-4B48-AA09-EF06A53A9775}"/>
    <hyperlink ref="CA3597" r:id="rId11879" xr:uid="{66501609-0832-4325-ABD3-936059981718}"/>
    <hyperlink ref="O3598" r:id="rId11880" xr:uid="{823E51C8-780C-4606-9C32-8647D2AC8395}"/>
    <hyperlink ref="S3598" r:id="rId11881" xr:uid="{F8336C26-E1FA-44D4-BFA4-111CD3B97299}"/>
    <hyperlink ref="CA3598" r:id="rId11882" xr:uid="{9B725839-F6D8-4061-81D4-4FB7BA7E4C76}"/>
    <hyperlink ref="O3599" r:id="rId11883" xr:uid="{85640B9A-741C-4C20-B35A-6692F0196107}"/>
    <hyperlink ref="S3599" r:id="rId11884" xr:uid="{823D7649-2E4C-4E17-85CE-82D4CA46387B}"/>
    <hyperlink ref="CA3599" r:id="rId11885" xr:uid="{AE6DA482-6DBB-4153-9AE0-1E8E29CBC696}"/>
    <hyperlink ref="O3600" r:id="rId11886" xr:uid="{E570E7FF-AE14-456A-BD8E-2E988414293F}"/>
    <hyperlink ref="S3600" r:id="rId11887" xr:uid="{91161E5C-FA39-43D2-92F7-AC4B7D2D2D43}"/>
    <hyperlink ref="CA3600" r:id="rId11888" xr:uid="{07CF2B57-D15B-4142-A0F6-32945AC23617}"/>
    <hyperlink ref="O3601" r:id="rId11889" xr:uid="{3F349829-AE3E-4E7D-91D2-D69F107C84BF}"/>
    <hyperlink ref="S3601" r:id="rId11890" xr:uid="{D04A7BCE-3396-41BB-BDAF-BCDCB36DE4B1}"/>
    <hyperlink ref="CA3601" r:id="rId11891" xr:uid="{A7F8D6FD-07E5-4164-A205-261ED696CCED}"/>
    <hyperlink ref="O3602" r:id="rId11892" xr:uid="{B7840E51-C04E-4E43-88E1-40D1CC4BC033}"/>
    <hyperlink ref="S3602" r:id="rId11893" xr:uid="{3A1964D2-EE94-4FED-A2A0-D7A1FB28CA9A}"/>
    <hyperlink ref="CA3602" r:id="rId11894" xr:uid="{6019C51B-C61E-463C-8E6A-F67E5E205DB2}"/>
    <hyperlink ref="O3603" r:id="rId11895" xr:uid="{E25A9F42-4CEE-4407-959A-57512BA2C66B}"/>
    <hyperlink ref="S3603" r:id="rId11896" xr:uid="{AC4FFF20-3A2B-4DA9-A23C-7F8E27B897F4}"/>
    <hyperlink ref="CA3603" r:id="rId11897" xr:uid="{BE74014D-4B6D-4050-ADE5-5EF64CD7106F}"/>
    <hyperlink ref="O3604" r:id="rId11898" xr:uid="{36C56B14-93EC-4B5F-AB0C-6C1B7A0F0F5C}"/>
    <hyperlink ref="S3604" r:id="rId11899" xr:uid="{591C7B9E-12DB-4BB4-B7F5-A458409E167F}"/>
    <hyperlink ref="CA3604" r:id="rId11900" xr:uid="{4F024A61-AE2D-43AE-849B-82124864AA9C}"/>
    <hyperlink ref="O3605" r:id="rId11901" xr:uid="{C7135DAD-10F0-40E3-9AC0-6F8B27B66A94}"/>
    <hyperlink ref="S3605" r:id="rId11902" xr:uid="{C5A7593F-3C90-46B4-9CD3-03CFFF21EDE9}"/>
    <hyperlink ref="CA3605" r:id="rId11903" xr:uid="{3FDDD1C8-5376-41D5-9FB4-ECD363B87A20}"/>
    <hyperlink ref="O3606" r:id="rId11904" xr:uid="{476B9010-2661-4B52-9F6D-93ADB5FB4C42}"/>
    <hyperlink ref="S3606" r:id="rId11905" xr:uid="{59C9F50C-D865-4AD4-B1CD-35BFAC0E5B9A}"/>
    <hyperlink ref="CA3606" r:id="rId11906" xr:uid="{976E6674-0464-4BCF-B68F-6D5DAC674269}"/>
    <hyperlink ref="O3607" r:id="rId11907" xr:uid="{1A60D0E8-A2D5-4165-BC30-5FD0D2308944}"/>
    <hyperlink ref="S3607" r:id="rId11908" xr:uid="{EE162C39-F056-474C-801C-2A9052D7F008}"/>
    <hyperlink ref="CA3607" r:id="rId11909" xr:uid="{AA906BBF-DD47-468F-8DE4-C343B8B83DB2}"/>
    <hyperlink ref="O3608" r:id="rId11910" xr:uid="{0C5DFA3B-2860-4610-9FA0-441DD744C0CD}"/>
    <hyperlink ref="S3608" r:id="rId11911" xr:uid="{A2231BA1-4238-476D-89B0-E09AB4734251}"/>
    <hyperlink ref="CA3608" r:id="rId11912" xr:uid="{89AC529C-4828-4AAA-BA2D-B7BF7E582F80}"/>
    <hyperlink ref="O3609" r:id="rId11913" xr:uid="{8DD03033-B442-4062-9BB3-81A3FABB7DC0}"/>
    <hyperlink ref="S3609" r:id="rId11914" xr:uid="{0D27BF1F-AABA-49F5-9BFF-36D1D0D33F03}"/>
    <hyperlink ref="CA3609" r:id="rId11915" xr:uid="{6499A134-084E-436C-BBC2-7EADAA7BBDFD}"/>
    <hyperlink ref="O3610" r:id="rId11916" xr:uid="{92065ED7-82B6-41EC-B18A-E212C8CBA880}"/>
    <hyperlink ref="S3610" r:id="rId11917" xr:uid="{F3CFD044-EE43-42C9-BC2A-8136DB8770EE}"/>
    <hyperlink ref="CA3610" r:id="rId11918" xr:uid="{1A09BCF3-E6E5-4345-A08E-8F90AF5CDB21}"/>
    <hyperlink ref="O3611" r:id="rId11919" xr:uid="{0AD665E4-3994-4CC5-9D7C-98C232B7ECB8}"/>
    <hyperlink ref="S3611" r:id="rId11920" xr:uid="{10E09A76-89C1-420D-BCD9-EDB7924B9EF7}"/>
    <hyperlink ref="CA3611" r:id="rId11921" xr:uid="{505B3B84-8E52-424C-BFBA-087E36641523}"/>
    <hyperlink ref="O3612" r:id="rId11922" xr:uid="{2119C6FA-825F-417E-90A8-46F025531073}"/>
    <hyperlink ref="S3612" r:id="rId11923" xr:uid="{E12AA5A3-C502-4A01-8DDD-5999BE5CE270}"/>
    <hyperlink ref="CA3612" r:id="rId11924" xr:uid="{8D71CFB7-182C-43F0-8069-EDCAE293104D}"/>
    <hyperlink ref="O3613" r:id="rId11925" xr:uid="{440AA2EE-0DE4-4582-BFD0-413F389FAE3B}"/>
    <hyperlink ref="S3613" r:id="rId11926" xr:uid="{7FD21096-D2D0-4FEA-9C7A-44AA0F3EF774}"/>
    <hyperlink ref="CA3613" r:id="rId11927" xr:uid="{36201D9E-73B6-4319-8C6F-8566C2517E49}"/>
    <hyperlink ref="O3614" r:id="rId11928" xr:uid="{FEA6669E-0982-45B5-8F91-3B6A6D67A04E}"/>
    <hyperlink ref="S3614" r:id="rId11929" xr:uid="{81F8BDAE-6BFA-45B5-A4FA-536CC1BA2DFA}"/>
    <hyperlink ref="CA3614" r:id="rId11930" xr:uid="{FAC85A88-6629-402A-935E-7DE6B67527E8}"/>
    <hyperlink ref="O3615" r:id="rId11931" xr:uid="{A5042E78-E4D7-448E-8BCC-8FB48C9CCF01}"/>
    <hyperlink ref="S3615" r:id="rId11932" xr:uid="{C382D60B-74D3-498E-B35B-928BF8351C91}"/>
    <hyperlink ref="CA3615" r:id="rId11933" xr:uid="{220C25EB-3AFB-4DD8-9358-16A14E50FFC4}"/>
    <hyperlink ref="O3616" r:id="rId11934" xr:uid="{9B61F9D7-9351-4B4B-8AB6-B9EAC0167CB6}"/>
    <hyperlink ref="S3616" r:id="rId11935" xr:uid="{DFECCBA1-8EAE-4961-B7D3-B942D85D28BA}"/>
    <hyperlink ref="CA3616" r:id="rId11936" xr:uid="{EF00F4F1-1A7C-4A5A-B5E5-F65470E86CC8}"/>
    <hyperlink ref="O3617" r:id="rId11937" xr:uid="{FF5A1B1F-B8EF-4068-91E4-CF0151B069FC}"/>
    <hyperlink ref="S3617" r:id="rId11938" xr:uid="{A160D319-48DC-4C7E-AAE2-F47F87DEA730}"/>
    <hyperlink ref="CA3617" r:id="rId11939" xr:uid="{9605706E-3320-4C3E-9623-E482B744A483}"/>
    <hyperlink ref="O3637" r:id="rId11940" xr:uid="{DD6E2D1A-A487-4920-920B-795F9472331F}"/>
    <hyperlink ref="O3638" r:id="rId11941" xr:uid="{B9E1BAB6-D35E-4D71-9E02-3DBD6DE13339}"/>
    <hyperlink ref="O3639" r:id="rId11942" xr:uid="{59C8605E-BBE0-4186-917E-E88FA26DFCB5}"/>
    <hyperlink ref="O3640" r:id="rId11943" xr:uid="{86C9FB02-2570-459B-8DDB-FD7F5CF01BF6}"/>
    <hyperlink ref="O3641" r:id="rId11944" xr:uid="{3079CEF6-FD70-41BC-9367-A92F5D86E698}"/>
    <hyperlink ref="O3642" r:id="rId11945" xr:uid="{E9B54645-F2C2-46A1-A893-83040347225F}"/>
    <hyperlink ref="O3643" r:id="rId11946" xr:uid="{3C33407C-16D9-4AD3-A64F-8AFE5C183F5A}"/>
    <hyperlink ref="O3644" r:id="rId11947" xr:uid="{E7F84713-80E2-480E-82F2-0375534F57BB}"/>
    <hyperlink ref="O3645" r:id="rId11948" xr:uid="{0D8675E9-1E71-4A49-A158-210210DE4402}"/>
    <hyperlink ref="O3646" r:id="rId11949" xr:uid="{B5CFC084-C783-412C-B114-3563475B0199}"/>
    <hyperlink ref="O3647" r:id="rId11950" xr:uid="{FF53B0DF-CED4-4EB9-A459-569FC79A8732}"/>
    <hyperlink ref="O3648" r:id="rId11951" xr:uid="{4E8A6B2B-7872-4474-87A0-0B9329600429}"/>
    <hyperlink ref="O3649" r:id="rId11952" xr:uid="{775B51E0-074C-4A5A-9615-0FB6816182A8}"/>
    <hyperlink ref="O3650" r:id="rId11953" xr:uid="{D7FF0AB7-1647-4DB4-B362-10242240F25F}"/>
    <hyperlink ref="O3651" r:id="rId11954" xr:uid="{682C8AD9-4FCB-41EC-BD00-6192129F6502}"/>
    <hyperlink ref="O3652" r:id="rId11955" xr:uid="{D10F31C6-97F1-417A-A9A6-05DCA56C816A}"/>
    <hyperlink ref="O3653" r:id="rId11956" xr:uid="{5C1B990B-6726-4E56-BA1A-2A9E2FA10FB0}"/>
    <hyperlink ref="O3654" r:id="rId11957" xr:uid="{78A0651F-A53E-48B1-874F-8E5567F00242}"/>
    <hyperlink ref="O3655" r:id="rId11958" xr:uid="{31A51F5F-8969-4F3E-8765-E58B4EE6E979}"/>
    <hyperlink ref="O3656" r:id="rId11959" xr:uid="{A7F65952-78F4-444E-8988-E43707765CAD}"/>
    <hyperlink ref="O3657" r:id="rId11960" xr:uid="{E4C0CD9B-0EC7-4DA2-A3E2-BCFA1D511DBE}"/>
    <hyperlink ref="O3658" r:id="rId11961" xr:uid="{184895D6-71C4-4389-9EF9-9DD13A0F80E3}"/>
    <hyperlink ref="O3659" r:id="rId11962" xr:uid="{5052FF3A-BE79-4502-87CB-3034CC6F217E}"/>
    <hyperlink ref="O3660" r:id="rId11963" xr:uid="{6A07E98E-3A0D-402C-8AF8-589DD8171021}"/>
    <hyperlink ref="O3661" r:id="rId11964" xr:uid="{224FAC65-1677-43DD-880D-B4B228233C58}"/>
    <hyperlink ref="O3662" r:id="rId11965" xr:uid="{5211E196-7BBB-48FA-A851-4FD2C951CD58}"/>
    <hyperlink ref="O3663" r:id="rId11966" xr:uid="{91D28424-D9B6-414D-A204-08691B598725}"/>
    <hyperlink ref="O3664" r:id="rId11967" xr:uid="{F99AC350-E977-42C9-BC65-591425D6FBEF}"/>
    <hyperlink ref="O3665" r:id="rId11968" xr:uid="{8C3B17A9-E752-49A0-A092-F304A6C17F85}"/>
    <hyperlink ref="O3666" r:id="rId11969" xr:uid="{DD5BAEBB-593E-4426-BDAB-D7374098CDE3}"/>
    <hyperlink ref="O3667" r:id="rId11970" xr:uid="{5C923F4C-9750-4D16-BE52-49E814B5F39B}"/>
    <hyperlink ref="O3668" r:id="rId11971" xr:uid="{10B8264F-7316-46AE-9D93-9610A4E16659}"/>
    <hyperlink ref="O3669" r:id="rId11972" xr:uid="{BD409529-BED2-42A6-8EE8-83E90E8FBB70}"/>
    <hyperlink ref="O3670" r:id="rId11973" xr:uid="{E45F4243-32F8-45ED-AA73-54547D166076}"/>
    <hyperlink ref="O3671" r:id="rId11974" xr:uid="{47DB3210-4692-4363-8002-D6FBBDFB59BD}"/>
    <hyperlink ref="O3672" r:id="rId11975" xr:uid="{81A5A198-52C8-4231-A954-31D5149354B2}"/>
    <hyperlink ref="O3673" r:id="rId11976" xr:uid="{4B3DB272-6766-423C-A079-2D74378430A4}"/>
    <hyperlink ref="O3674" r:id="rId11977" xr:uid="{B62FB3F0-3370-42EE-BA02-EC47378B470D}"/>
    <hyperlink ref="O3675" r:id="rId11978" xr:uid="{38A45410-C8CC-4562-BE85-BAF02C7CFB5C}"/>
    <hyperlink ref="O3676" r:id="rId11979" xr:uid="{782C5BC0-EB37-4501-B701-5EA0DD3B344C}"/>
    <hyperlink ref="S3690" r:id="rId11980" xr:uid="{B6732781-CAF6-469C-837B-CD69535CDAAB}"/>
    <hyperlink ref="CA3690" r:id="rId11981" xr:uid="{262EDDE9-C067-4517-BD93-186AB3B57260}"/>
    <hyperlink ref="S3691" r:id="rId11982" xr:uid="{2388E180-E21C-4B11-8EA4-654C3ADB0FB2}"/>
    <hyperlink ref="CA3691" r:id="rId11983" xr:uid="{DF44F672-591C-4DBB-AF33-7074A01544DB}"/>
    <hyperlink ref="S3692" r:id="rId11984" xr:uid="{25CAE6BC-7E1E-4E6F-BAE0-7CA999966E13}"/>
    <hyperlink ref="CA3692" r:id="rId11985" xr:uid="{93243B41-3B6A-46B4-826A-359AEC3E6E87}"/>
    <hyperlink ref="S3693" r:id="rId11986" xr:uid="{CE73E67F-86FC-41BB-B209-0C24B5A551B2}"/>
    <hyperlink ref="CA3693" r:id="rId11987" xr:uid="{3156B968-0908-431F-B301-FE7DA021B550}"/>
    <hyperlink ref="S3694" r:id="rId11988" xr:uid="{99DE297F-52E9-4EBD-B60C-F295090976D8}"/>
    <hyperlink ref="CA3694" r:id="rId11989" xr:uid="{48732B71-6C9D-4734-A028-2E1EABA502A8}"/>
    <hyperlink ref="O3721" r:id="rId11990" xr:uid="{CC0A6975-C4FC-4063-8AA3-8D7DF687D862}"/>
    <hyperlink ref="S3721" r:id="rId11991" xr:uid="{0664A5A8-A000-4CA8-9DCC-21344E6933D5}"/>
    <hyperlink ref="CA3721" r:id="rId11992" xr:uid="{4471E45E-DC47-4010-8AAD-1BABA962E824}"/>
    <hyperlink ref="CD3721" r:id="rId11993" xr:uid="{1B6D9C47-93C6-480F-8706-2B0D091650CB}"/>
    <hyperlink ref="O3722" r:id="rId11994" xr:uid="{0CD0C861-DE11-41E0-A7DC-CD2A4DEAD8F6}"/>
    <hyperlink ref="S3722" r:id="rId11995" xr:uid="{F2C66903-E6A5-45E7-907E-F1F1ECD64C01}"/>
    <hyperlink ref="CA3722" r:id="rId11996" xr:uid="{8F3EB04C-869B-4434-A049-F711502533A7}"/>
    <hyperlink ref="CD3722" r:id="rId11997" xr:uid="{A35B78D1-E392-4089-9791-FDE8D02F4F50}"/>
    <hyperlink ref="O3723" r:id="rId11998" xr:uid="{26597426-F6C7-4133-AC01-832833188264}"/>
    <hyperlink ref="S3723" r:id="rId11999" xr:uid="{4D9FFB8A-D86F-4243-86C6-7E467E1583FC}"/>
    <hyperlink ref="CA3723" r:id="rId12000" xr:uid="{95BD4D48-D239-4B98-8048-080B51C4813F}"/>
    <hyperlink ref="CD3723" r:id="rId12001" xr:uid="{69F0348C-EEFF-46AF-AA92-4C1963AF7831}"/>
    <hyperlink ref="O3724" r:id="rId12002" xr:uid="{96282212-E791-419F-8E08-C2CF115EE68A}"/>
    <hyperlink ref="S3724" r:id="rId12003" xr:uid="{BB09EA41-1477-458E-AA11-183FABBC3186}"/>
    <hyperlink ref="CA3724" r:id="rId12004" xr:uid="{F35F97E4-6CA8-4BCA-A154-D793473DB5A0}"/>
    <hyperlink ref="CD3724" r:id="rId12005" xr:uid="{12D72FF2-C8C5-446D-957F-BCAF70D405D6}"/>
    <hyperlink ref="O3725" r:id="rId12006" xr:uid="{A2EA8B53-1272-4F61-9E05-884C6946CB1C}"/>
    <hyperlink ref="S3725" r:id="rId12007" xr:uid="{A4A117C0-52BF-4231-901D-CC1B22E105A1}"/>
    <hyperlink ref="CA3725" r:id="rId12008" xr:uid="{14703AA9-2E70-4391-B6C4-8C4B2BF38CDD}"/>
    <hyperlink ref="CD3725" r:id="rId12009" xr:uid="{2E1B2B72-A60F-4DB3-9B94-8F90DADEEDC0}"/>
    <hyperlink ref="O3726" r:id="rId12010" xr:uid="{73111E78-FFAD-41D2-BF18-48BE1668B338}"/>
    <hyperlink ref="S3726" r:id="rId12011" xr:uid="{C954CB74-E41F-41B9-AE58-902D6ABCE685}"/>
    <hyperlink ref="CA3726" r:id="rId12012" xr:uid="{483BAEC5-D667-4860-A2D9-E97AE4CBA831}"/>
    <hyperlink ref="CD3726" r:id="rId12013" xr:uid="{EFB315B2-581D-49B0-B696-671FBDEF0A71}"/>
    <hyperlink ref="O3727" r:id="rId12014" xr:uid="{08DC31BC-5862-4F94-981F-F3257C477D7D}"/>
    <hyperlink ref="S3727" r:id="rId12015" xr:uid="{A3B711BB-61AB-46A3-8984-DAE70729AB56}"/>
    <hyperlink ref="CA3727" r:id="rId12016" xr:uid="{18BA33A2-D959-415F-A07B-8B29FA5D3F3D}"/>
    <hyperlink ref="CD3727" r:id="rId12017" xr:uid="{FBB98518-3541-453F-97AE-0DAAB37F8750}"/>
    <hyperlink ref="O3728" r:id="rId12018" xr:uid="{544E8DC7-6094-45C0-8864-FB4569182205}"/>
    <hyperlink ref="S3728" r:id="rId12019" xr:uid="{682DB6BC-55A5-4051-A918-808FB36451B8}"/>
    <hyperlink ref="CA3728" r:id="rId12020" xr:uid="{F8D2A88E-0C62-4FC9-B191-8B01370DEE3E}"/>
    <hyperlink ref="CD3728" r:id="rId12021" xr:uid="{A640CF91-F940-4F82-B3AC-9E42E3B6EF1E}"/>
    <hyperlink ref="O3729" r:id="rId12022" xr:uid="{75798B2D-9AD1-4B57-8E2E-5A06C96D6742}"/>
    <hyperlink ref="S3729" r:id="rId12023" xr:uid="{EA215F9B-EFEC-4FB0-8538-B427126397D1}"/>
    <hyperlink ref="CA3729" r:id="rId12024" xr:uid="{D3C79EB0-9129-4D88-8563-B56B0C376C8C}"/>
    <hyperlink ref="CD3729" r:id="rId12025" xr:uid="{CE43E5F2-FD3F-4359-B16A-CDD7C0038634}"/>
    <hyperlink ref="O3730" r:id="rId12026" xr:uid="{DC4DB837-0093-42CD-8F8D-68D43EE64C52}"/>
    <hyperlink ref="S3730" r:id="rId12027" xr:uid="{8686B9D0-06D2-4F7F-8741-E2E67B91A701}"/>
    <hyperlink ref="CA3730" r:id="rId12028" xr:uid="{DC2FB89B-89E0-4329-B761-1183820F50AD}"/>
    <hyperlink ref="CD3730" r:id="rId12029" xr:uid="{E17093AB-3C1F-4965-AAB6-2C906417F5C7}"/>
    <hyperlink ref="O3731" r:id="rId12030" xr:uid="{3765C8E4-C3A0-4788-91A2-06A6ADF3E61D}"/>
    <hyperlink ref="S3731" r:id="rId12031" xr:uid="{13DD7127-9337-4577-91F4-685728EEF06F}"/>
    <hyperlink ref="CA3731" r:id="rId12032" xr:uid="{165D3634-70A1-4032-BA37-04CA4FD68D0C}"/>
    <hyperlink ref="CD3731" r:id="rId12033" xr:uid="{B09C42E9-FA3A-4036-AB67-E60BE0C676D1}"/>
    <hyperlink ref="O3732" r:id="rId12034" xr:uid="{C7A047B2-962F-4987-916E-9E40C612BA6E}"/>
    <hyperlink ref="S3732" r:id="rId12035" xr:uid="{03A9CC48-3850-412E-A07C-69EA3968FC0A}"/>
    <hyperlink ref="CA3732" r:id="rId12036" xr:uid="{CA26D780-410B-484E-BB79-72C532C7210D}"/>
    <hyperlink ref="CD3732" r:id="rId12037" xr:uid="{9D353784-0044-4F78-9EB4-B6E6D03BF418}"/>
    <hyperlink ref="O3733" r:id="rId12038" xr:uid="{CC6D9CBB-F2AD-4E61-BEE1-9E6300030276}"/>
    <hyperlink ref="S3733" r:id="rId12039" xr:uid="{BE75A31E-B475-4A8D-80AC-946BED339205}"/>
    <hyperlink ref="CA3733" r:id="rId12040" xr:uid="{B1336866-E8BA-4816-AD91-76B4E76403CF}"/>
    <hyperlink ref="CD3733" r:id="rId12041" xr:uid="{B0906FEE-237F-4884-A3FB-672DF882DF31}"/>
    <hyperlink ref="O3734" r:id="rId12042" xr:uid="{A00F0B61-9865-4D6A-A80F-6C264EE55359}"/>
    <hyperlink ref="S3734" r:id="rId12043" xr:uid="{BCA6F44A-A6C4-44D7-86F6-8A1D581DE6F2}"/>
    <hyperlink ref="CA3734" r:id="rId12044" xr:uid="{9B3D7595-385F-4DB1-A81A-A5EC8EBC41B4}"/>
    <hyperlink ref="CD3734" r:id="rId12045" xr:uid="{9CB176FF-E1F3-4618-82AC-D91B3A6C86A9}"/>
    <hyperlink ref="O3735" r:id="rId12046" xr:uid="{8268785C-8E95-499B-ADB7-6FDEEDC693AE}"/>
    <hyperlink ref="S3735" r:id="rId12047" xr:uid="{3774DF4E-2EBB-4DC1-96C3-72F55AE819D5}"/>
    <hyperlink ref="CA3735" r:id="rId12048" xr:uid="{59684A76-F2D1-4D0F-81A7-4508DE87D759}"/>
    <hyperlink ref="CD3735" r:id="rId12049" xr:uid="{4BB5A4A3-CCCA-4052-A06C-A1AF1FB2757C}"/>
    <hyperlink ref="O3736" r:id="rId12050" xr:uid="{B34F0DDF-9975-474B-842F-8D0341229BBE}"/>
    <hyperlink ref="S3736" r:id="rId12051" xr:uid="{6467637B-2818-459A-9162-32312EF2F855}"/>
    <hyperlink ref="CA3736" r:id="rId12052" xr:uid="{03667223-7B1F-42C7-88CA-EC2665721B6C}"/>
    <hyperlink ref="CD3736" r:id="rId12053" xr:uid="{E691FDFE-364F-4C03-A8DA-F87B0F9A4F42}"/>
    <hyperlink ref="O3737" r:id="rId12054" xr:uid="{95E3E7D7-5444-4DC3-B557-42EE23FA8519}"/>
    <hyperlink ref="S3737" r:id="rId12055" xr:uid="{BEE1B682-F8AF-46F1-8233-751F5E8BF7E1}"/>
    <hyperlink ref="CA3737" r:id="rId12056" xr:uid="{DB2FB5F5-B7C2-4714-8088-C8F3E402FF73}"/>
    <hyperlink ref="CD3737" r:id="rId12057" xr:uid="{FF3D3009-5DC9-456A-960B-047597743678}"/>
    <hyperlink ref="O3738" r:id="rId12058" xr:uid="{CE9DBBD9-AAC1-475B-8D58-82A6A7DC4779}"/>
    <hyperlink ref="S3738" r:id="rId12059" xr:uid="{F4459CBC-A2F6-4BF0-A726-D623C8B32409}"/>
    <hyperlink ref="CA3738" r:id="rId12060" xr:uid="{B7ABDEA9-A1B0-42F4-A433-CE94E7C97767}"/>
    <hyperlink ref="CD3738" r:id="rId12061" xr:uid="{2F5BF018-931B-48A6-818E-4850D8DEE637}"/>
    <hyperlink ref="O3739" r:id="rId12062" xr:uid="{17FD0C06-E5CB-4328-926F-3665A46FD7A3}"/>
    <hyperlink ref="S3739" r:id="rId12063" xr:uid="{16899F16-4D01-4919-82D1-6BF299E58B4B}"/>
    <hyperlink ref="CA3739" r:id="rId12064" xr:uid="{3B80AE26-9AEE-4FAE-B5C3-AC134EEC15F9}"/>
    <hyperlink ref="CD3739" r:id="rId12065" xr:uid="{1F6F3E58-F054-4DD2-A76B-5B1B47727F2D}"/>
    <hyperlink ref="O3740" r:id="rId12066" xr:uid="{E1E65C91-A561-437F-BB70-6EAB3085A14F}"/>
    <hyperlink ref="S3740" r:id="rId12067" xr:uid="{D3B3464F-A233-498A-9265-448468AAA050}"/>
    <hyperlink ref="CA3740" r:id="rId12068" xr:uid="{AA4891E6-F0F8-4A7F-8B7C-5FD2B7992231}"/>
    <hyperlink ref="CD3740" r:id="rId12069" xr:uid="{C101B075-E526-4CFC-AD93-7531FE157C24}"/>
    <hyperlink ref="O3741" r:id="rId12070" xr:uid="{EC786F72-3A94-4C3D-987F-2D3A4D6CCA84}"/>
    <hyperlink ref="S3741" r:id="rId12071" xr:uid="{F19B4097-9F7E-4E30-BC75-B03330D8CBB0}"/>
    <hyperlink ref="CA3741" r:id="rId12072" xr:uid="{1E2D7074-4E8B-45FF-BE1F-C393BA626E17}"/>
    <hyperlink ref="CD3741" r:id="rId12073" xr:uid="{1ADA14C1-27DC-4342-9E78-A1048EAFC712}"/>
    <hyperlink ref="O3742" r:id="rId12074" xr:uid="{289B32C6-3A48-4CE0-B2B1-C8F8BC67184D}"/>
    <hyperlink ref="S3742" r:id="rId12075" xr:uid="{5A92309A-0A88-4FCC-BE4D-F65CB3D678CB}"/>
    <hyperlink ref="CA3742" r:id="rId12076" xr:uid="{3D573C29-167F-43FF-99A3-09BCDB61DEFA}"/>
    <hyperlink ref="CD3742" r:id="rId12077" xr:uid="{46EF2254-FDE4-4557-A3C6-5E9511DEB633}"/>
    <hyperlink ref="O3743" r:id="rId12078" xr:uid="{0C15FEDB-D562-4872-B567-EB2678730C7C}"/>
    <hyperlink ref="S3743" r:id="rId12079" xr:uid="{39A65C69-1CC4-47C6-A342-42F55144CD87}"/>
    <hyperlink ref="CA3743" r:id="rId12080" xr:uid="{82F1BFD3-BEEC-4DBC-9D0A-364444CFAE65}"/>
    <hyperlink ref="CD3743" r:id="rId12081" xr:uid="{4A34F42B-B014-4837-BF1D-59529ED9DAD6}"/>
    <hyperlink ref="O3744" r:id="rId12082" xr:uid="{C5679003-AB44-4121-BCA3-6A82418DAE5D}"/>
    <hyperlink ref="S3744" r:id="rId12083" xr:uid="{11F93262-59B3-4FD4-B2BF-DBF6819F53D9}"/>
    <hyperlink ref="CA3744" r:id="rId12084" xr:uid="{59EC51A0-D15F-41D6-AA9E-E034C1404919}"/>
    <hyperlink ref="CD3744" r:id="rId12085" xr:uid="{DAC7FD41-3599-4606-9055-1900ABB2AB33}"/>
    <hyperlink ref="O3745" r:id="rId12086" xr:uid="{3F7FEE96-6425-4188-A587-C4FDAB23BF2F}"/>
    <hyperlink ref="S3745" r:id="rId12087" xr:uid="{711EBFAC-6765-44F0-83BC-79D6D5E5E0E5}"/>
    <hyperlink ref="CA3745" r:id="rId12088" xr:uid="{49DE66B5-5A68-4BCF-B802-B7D9A17CB8B5}"/>
    <hyperlink ref="O3746" r:id="rId12089" xr:uid="{1308E3CF-F68F-4959-B7AD-034EDC0CC026}"/>
    <hyperlink ref="S3746" r:id="rId12090" xr:uid="{F7625655-9E45-4CBD-AC18-D9A392F2EB75}"/>
    <hyperlink ref="CA3746" r:id="rId12091" xr:uid="{94213B71-1D8F-4080-BD09-904577A1F4B1}"/>
    <hyperlink ref="O3747" r:id="rId12092" xr:uid="{1E383558-53E2-4251-BECA-D404C521137B}"/>
    <hyperlink ref="S3747" r:id="rId12093" xr:uid="{DD3F5203-06D7-47FD-9680-45F03FC6ADCD}"/>
    <hyperlink ref="CA3747" r:id="rId12094" xr:uid="{E13AFDA1-8E8B-472C-AE11-6283DE8871C2}"/>
    <hyperlink ref="O3748" r:id="rId12095" xr:uid="{7488F229-085D-4754-837F-826B4103C63D}"/>
    <hyperlink ref="S3748" r:id="rId12096" xr:uid="{39FA1EDC-9C59-48D8-8D56-041700FFDD03}"/>
    <hyperlink ref="CA3748" r:id="rId12097" xr:uid="{2BC169B6-4733-4655-9B7A-4C55D3EB9E4C}"/>
    <hyperlink ref="O3749" r:id="rId12098" xr:uid="{8CF42C88-3335-4C0A-B6E1-21AAEB4A3E00}"/>
    <hyperlink ref="S3749" r:id="rId12099" xr:uid="{3E10D5EA-B36B-42E1-A931-04D5E833F241}"/>
    <hyperlink ref="CA3749" r:id="rId12100" xr:uid="{5B55D9E2-41E0-4470-8150-C28AC9A261FE}"/>
    <hyperlink ref="O3750" r:id="rId12101" xr:uid="{EA1B3A06-85F1-4CB1-A327-1FA2AEB7E3E8}"/>
    <hyperlink ref="S3750" r:id="rId12102" xr:uid="{80A9986C-BA9D-41AE-BF6F-0F2E8579B01A}"/>
    <hyperlink ref="CA3750" r:id="rId12103" xr:uid="{626CA2F2-2A8D-482D-BB40-152CD8326F5B}"/>
    <hyperlink ref="O3751" r:id="rId12104" xr:uid="{355A399E-B28B-47E4-A61A-E2DAD5D30C5A}"/>
    <hyperlink ref="S3751" r:id="rId12105" xr:uid="{648D3A4D-965B-4E2D-959E-028D9CA89AFF}"/>
    <hyperlink ref="CA3751" r:id="rId12106" xr:uid="{87EC750D-E291-4536-869C-FE01736D7F20}"/>
    <hyperlink ref="O3752" r:id="rId12107" xr:uid="{00B82A13-471B-4EC2-8A3C-E9FB28D04933}"/>
    <hyperlink ref="S3752" r:id="rId12108" xr:uid="{A7403D69-E3E4-4666-AE8F-8E85E587EF6F}"/>
    <hyperlink ref="CA3752" r:id="rId12109" xr:uid="{68A095C0-9EC3-4F96-8E7E-2148177420CA}"/>
    <hyperlink ref="O3753" r:id="rId12110" xr:uid="{2FC33B0E-F826-4279-B3E2-1DDED2276FA3}"/>
    <hyperlink ref="S3753" r:id="rId12111" xr:uid="{45639101-3FC0-4355-978B-C24907F60EE7}"/>
    <hyperlink ref="CA3753" r:id="rId12112" xr:uid="{9294BE90-D89B-42D0-8E7B-965E3D9AFEA9}"/>
    <hyperlink ref="O3754" r:id="rId12113" xr:uid="{61348871-DE97-4273-B15A-10205D8FAB9D}"/>
    <hyperlink ref="S3754" r:id="rId12114" xr:uid="{C2C53D5B-CA1D-483C-9C98-40D53E90F9C7}"/>
    <hyperlink ref="CA3754" r:id="rId12115" xr:uid="{8A7BF838-588C-4387-B2C7-CF80E55F82F3}"/>
    <hyperlink ref="O3755" r:id="rId12116" xr:uid="{00E2402A-4B23-42F9-A76B-D5262031E6B4}"/>
    <hyperlink ref="S3755" r:id="rId12117" xr:uid="{88A1E6AB-15B7-428E-87F0-ADEEFA82DB39}"/>
    <hyperlink ref="CA3755" r:id="rId12118" xr:uid="{7846940C-C451-467D-A5BF-AE985BD880A9}"/>
    <hyperlink ref="O3756" r:id="rId12119" xr:uid="{4A828B74-D8CA-4F34-BBAE-3A4B328DBCA9}"/>
    <hyperlink ref="S3756" r:id="rId12120" xr:uid="{67DF8660-EC2F-4B60-9923-39FBB6B8F16C}"/>
    <hyperlink ref="CA3756" r:id="rId12121" xr:uid="{5C560EB7-91F2-4755-8860-B2E0B407B1B5}"/>
    <hyperlink ref="O3757" r:id="rId12122" xr:uid="{241C0609-B852-4618-B155-424E46F59B15}"/>
    <hyperlink ref="S3757" r:id="rId12123" xr:uid="{29D37BAE-4C33-4D02-9138-3D852E193B43}"/>
    <hyperlink ref="CA3757" r:id="rId12124" xr:uid="{5DDC7339-CBC1-4119-B55C-CC75E27226EB}"/>
    <hyperlink ref="O3758" r:id="rId12125" xr:uid="{23460CB7-C470-45F1-B16D-988FBC50393B}"/>
    <hyperlink ref="S3758" r:id="rId12126" xr:uid="{C46350F9-D8CB-4C7E-939E-7CA4CF839A9E}"/>
    <hyperlink ref="CA3758" r:id="rId12127" xr:uid="{7612B223-0A49-4F80-B6B0-D4186A956163}"/>
    <hyperlink ref="O3759" r:id="rId12128" xr:uid="{7887110F-4B37-49CF-A97F-F19834D49DB5}"/>
    <hyperlink ref="S3759" r:id="rId12129" xr:uid="{7C7DDBF3-7967-4DF9-AA1A-B19653A69E78}"/>
    <hyperlink ref="CA3759" r:id="rId12130" xr:uid="{91A54C03-0750-4C45-914B-E44611946EE0}"/>
    <hyperlink ref="CD3759" r:id="rId12131" xr:uid="{534A399E-EEBD-47E3-B4AA-E5D6F7D75C85}"/>
    <hyperlink ref="O3760" r:id="rId12132" xr:uid="{9159552B-F0BD-4CD3-A402-B013F997CA79}"/>
    <hyperlink ref="S3760" r:id="rId12133" xr:uid="{C255601E-66B9-4641-861D-A615A3A8D9F3}"/>
    <hyperlink ref="CA3760" r:id="rId12134" xr:uid="{DAA7267D-7340-4321-84B2-7CC7B169A1B0}"/>
    <hyperlink ref="CD3760" r:id="rId12135" xr:uid="{B548540D-06DA-4828-91E8-2FF54B5AC861}"/>
    <hyperlink ref="O3763" r:id="rId12136" xr:uid="{5338F7B1-2549-4020-A356-B41C60A04845}"/>
    <hyperlink ref="S3763" r:id="rId12137" xr:uid="{E98120F0-FB9F-43F8-9854-3ADCE26E8DCB}"/>
    <hyperlink ref="CA3763" r:id="rId12138" xr:uid="{EA029A1F-222C-49AB-B5BD-4AB6A17DD15A}"/>
    <hyperlink ref="O3764" r:id="rId12139" xr:uid="{68DB8E49-4E8A-4375-9141-E2040D846F57}"/>
    <hyperlink ref="S3764" r:id="rId12140" xr:uid="{87D5B62A-64E6-4AD2-A585-8FC3A7A85B8D}"/>
    <hyperlink ref="CA3764" r:id="rId12141" xr:uid="{B2EEB84A-95D8-428A-9A7C-497BB5D8EB06}"/>
    <hyperlink ref="O3765" r:id="rId12142" xr:uid="{E11A2BA0-07F8-46C8-8B73-59CAF26C43C3}"/>
    <hyperlink ref="S3765" r:id="rId12143" xr:uid="{474CD86F-4C82-4F46-9924-971227609DA5}"/>
    <hyperlink ref="CA3765" r:id="rId12144" xr:uid="{1930BE31-6189-4A33-9465-77B264547CA5}"/>
    <hyperlink ref="O3766" r:id="rId12145" xr:uid="{E0768D91-C1AB-42AE-8DC5-9B99220B7764}"/>
    <hyperlink ref="S3766" r:id="rId12146" xr:uid="{71BE20B4-EB25-48C1-B989-8B865C1EE22D}"/>
    <hyperlink ref="CA3766" r:id="rId12147" xr:uid="{326EC9C3-01C2-4FCE-8189-EBCEB8B75675}"/>
    <hyperlink ref="O3767" r:id="rId12148" xr:uid="{36BE5669-EF0C-4DCE-8D2E-AA7F6D00DB29}"/>
    <hyperlink ref="S3767" r:id="rId12149" xr:uid="{5EE3C6FD-D2FB-4204-A0C8-CEF2F6141371}"/>
    <hyperlink ref="CA3767" r:id="rId12150" xr:uid="{3730FEC7-5B65-44AE-9DE3-3DD26828A8EA}"/>
    <hyperlink ref="O3768" r:id="rId12151" xr:uid="{2E24E87A-ED7C-4437-B992-45FA6D811050}"/>
    <hyperlink ref="S3768" r:id="rId12152" xr:uid="{4B60AF62-B04C-4829-91D8-AB8755CF5EEE}"/>
    <hyperlink ref="CA3768" r:id="rId12153" xr:uid="{9DF8DF59-7F50-4430-A8DE-14A2B853F1B3}"/>
    <hyperlink ref="O3769" r:id="rId12154" xr:uid="{463FDAED-35E7-4CA0-B130-4B23BDB9030B}"/>
    <hyperlink ref="S3769" r:id="rId12155" xr:uid="{5C9E9DDC-F65D-40D1-8054-18D3935BA0BD}"/>
    <hyperlink ref="CA3769" r:id="rId12156" xr:uid="{E6B82403-22EF-4A8A-A713-0DDCF3E80CDE}"/>
    <hyperlink ref="O3770" r:id="rId12157" xr:uid="{F5E9825C-9230-4412-B011-2073DA4CD3E0}"/>
    <hyperlink ref="S3770" r:id="rId12158" xr:uid="{38EA11C8-2AF6-49D3-84E8-147EE1E38CF1}"/>
    <hyperlink ref="CA3770" r:id="rId12159" xr:uid="{D159A47B-99D0-4FD7-9F34-70F327750C01}"/>
    <hyperlink ref="O3771" r:id="rId12160" xr:uid="{796BDC48-E3BE-4376-BBF7-DD02DD6B066F}"/>
    <hyperlink ref="S3771" r:id="rId12161" xr:uid="{95D84D03-2C49-4D42-90D7-B3D006F254AA}"/>
    <hyperlink ref="CA3771" r:id="rId12162" xr:uid="{EB90FEC7-F37D-4337-B1BF-19450F502F57}"/>
    <hyperlink ref="O3772" r:id="rId12163" xr:uid="{5208644A-ACC8-4BEA-8769-E67C2BE68FD9}"/>
    <hyperlink ref="S3772" r:id="rId12164" xr:uid="{97FF5D73-7367-41DF-9F9D-3AAE23F927E6}"/>
    <hyperlink ref="CA3772" r:id="rId12165" xr:uid="{6609ED69-626C-4563-B42E-E098AD22C623}"/>
    <hyperlink ref="O3773" r:id="rId12166" xr:uid="{B65D018D-3616-448E-BE15-F806006F5A79}"/>
    <hyperlink ref="S3773" r:id="rId12167" xr:uid="{2D32E308-56E7-4129-A8B5-E2372527D041}"/>
    <hyperlink ref="CA3773" r:id="rId12168" xr:uid="{226221FA-CB14-4B88-A0E7-8A79E3D1FA12}"/>
    <hyperlink ref="O3774" r:id="rId12169" xr:uid="{DE017E86-9C91-4B4C-9599-D3BCD7B74AE9}"/>
    <hyperlink ref="S3774" r:id="rId12170" xr:uid="{A8AB05FD-C033-43D7-ACFB-019A7173E2C2}"/>
    <hyperlink ref="CA3774" r:id="rId12171" xr:uid="{139D81E7-E34D-4EE9-99BD-FDDDE11E0C3D}"/>
    <hyperlink ref="O3775" r:id="rId12172" xr:uid="{0B5E2335-C826-4E90-9E69-E0120527CFB2}"/>
    <hyperlink ref="S3775" r:id="rId12173" xr:uid="{F548CA28-74E6-4EE1-A251-F4224DAFF953}"/>
    <hyperlink ref="CA3775" r:id="rId12174" xr:uid="{2E62902E-68D7-4534-A1FC-0DE1091B46A7}"/>
    <hyperlink ref="O3776" r:id="rId12175" xr:uid="{7C03015F-287F-4BEA-9C09-A444E29901AD}"/>
    <hyperlink ref="S3776" r:id="rId12176" xr:uid="{7D15E22E-0CB3-43E5-99FF-49100A8AFC21}"/>
    <hyperlink ref="CA3776" r:id="rId12177" xr:uid="{DF449802-E3BD-4275-B270-9497FD2C1B34}"/>
    <hyperlink ref="O3777" r:id="rId12178" xr:uid="{60B76FD8-1322-45AE-8C42-22E39103E04E}"/>
    <hyperlink ref="O3778" r:id="rId12179" xr:uid="{52623E0C-E213-4D7B-8725-AE908816FE8B}"/>
    <hyperlink ref="O3779" r:id="rId12180" xr:uid="{6311514D-5918-45B4-97A2-4F556D93B5DC}"/>
    <hyperlink ref="S3779" r:id="rId12181" xr:uid="{3FDEA99C-DD46-44FB-B64B-A4A55F673C65}"/>
    <hyperlink ref="CA3779" r:id="rId12182" xr:uid="{D042267B-C5C8-4DBC-A166-FB3F8BA0EB61}"/>
    <hyperlink ref="O3780" r:id="rId12183" xr:uid="{5CDB39D2-384D-4D4A-8943-CD050D355049}"/>
    <hyperlink ref="O3781" r:id="rId12184" xr:uid="{78AF6DEF-9BD1-4CB2-B66E-D1BDD5E11B1D}"/>
    <hyperlink ref="S3781" r:id="rId12185" xr:uid="{F9A162AF-C884-4DBD-8A7E-2159CA02CD40}"/>
    <hyperlink ref="CA3781" r:id="rId12186" xr:uid="{6D4B790D-EDD9-4709-BEDD-6149FDFD7EED}"/>
    <hyperlink ref="O3782" r:id="rId12187" xr:uid="{14FA4928-987C-403E-B91A-4F6C86387EF1}"/>
    <hyperlink ref="S3782" r:id="rId12188" xr:uid="{153C80BA-6725-49D3-A814-D41AB649DBAA}"/>
    <hyperlink ref="CA3782" r:id="rId12189" xr:uid="{8B3D1D99-6A67-4749-A5C4-DAFE3331347E}"/>
    <hyperlink ref="O3783" r:id="rId12190" xr:uid="{15855015-CA9D-4A37-8077-5821B42C14C3}"/>
    <hyperlink ref="S3783" r:id="rId12191" xr:uid="{BF7C39F0-32DB-4825-B9B8-1C0C1E5789BB}"/>
    <hyperlink ref="CA3783" r:id="rId12192" xr:uid="{21493851-7C51-43ED-BCD2-A2032EF1BB4D}"/>
    <hyperlink ref="O3784" r:id="rId12193" xr:uid="{02F9BE13-0C56-43A6-A8BF-B809AB553583}"/>
    <hyperlink ref="S3784" r:id="rId12194" xr:uid="{9373BDCB-6AD8-4598-B24D-845EF81EC024}"/>
    <hyperlink ref="CA3784" r:id="rId12195" xr:uid="{307BED93-C89E-4A7E-8A10-F38BF009B0B4}"/>
    <hyperlink ref="O3785" r:id="rId12196" xr:uid="{25157EF2-5898-459A-8AC7-0709DB6C183C}"/>
    <hyperlink ref="O3786" r:id="rId12197" xr:uid="{0D0E953F-A940-429A-995C-D9C1C0DC6552}"/>
    <hyperlink ref="S3786" r:id="rId12198" xr:uid="{012A46FE-DD17-4B2E-B138-CD2F535BDED0}"/>
    <hyperlink ref="CA3786" r:id="rId12199" xr:uid="{46CC2BBB-62C1-4D41-9297-4374EA8AFDE4}"/>
    <hyperlink ref="O3787" r:id="rId12200" xr:uid="{4F47AD57-7EBA-49A1-B187-0D9B69B710CC}"/>
    <hyperlink ref="O3788" r:id="rId12201" xr:uid="{73022D0C-4084-429B-896A-5BFED673270E}"/>
    <hyperlink ref="O3789" r:id="rId12202" xr:uid="{F629FEEC-6D37-4C3B-8D4F-18562E62DAD3}"/>
    <hyperlink ref="S3789" r:id="rId12203" xr:uid="{45FE16D3-559D-4994-944D-BFB5D3273144}"/>
    <hyperlink ref="CA3789" r:id="rId12204" xr:uid="{04DD21BA-E591-48BF-9769-D8CB3FA1A0C8}"/>
    <hyperlink ref="O3790" r:id="rId12205" xr:uid="{78627DDE-D0A5-4AFB-AB47-E153BADA17E2}"/>
    <hyperlink ref="S3790" r:id="rId12206" xr:uid="{F64E4434-E1A9-4D06-8415-D57B50E52F36}"/>
    <hyperlink ref="CA3790" r:id="rId12207" xr:uid="{AC3C3A50-77BF-41F1-9DE2-E9F695CF7020}"/>
    <hyperlink ref="O3791" r:id="rId12208" xr:uid="{CE575141-AFC4-4ADE-8930-D3C22C02BDF6}"/>
    <hyperlink ref="S3791" r:id="rId12209" xr:uid="{88EB95C0-29A1-429D-B9C5-F43D882B943A}"/>
    <hyperlink ref="CA3791" r:id="rId12210" xr:uid="{767C44AE-2E0D-478A-8790-81B8BB8830CE}"/>
    <hyperlink ref="O3792" r:id="rId12211" xr:uid="{A04D1C98-1904-463A-B4D8-17D3F83FB393}"/>
    <hyperlink ref="S3792" r:id="rId12212" xr:uid="{769F7124-492C-49C7-9D52-7E0FC9121F9C}"/>
    <hyperlink ref="CA3792" r:id="rId12213" xr:uid="{3E656565-D981-4E34-9FA7-2D4D6D57030D}"/>
    <hyperlink ref="O3793" r:id="rId12214" xr:uid="{89AE9149-9044-4030-BB63-44B3C2A18489}"/>
    <hyperlink ref="S3793" r:id="rId12215" xr:uid="{CB1E346A-3685-441A-BDF4-DE891A1D077D}"/>
    <hyperlink ref="CA3793" r:id="rId12216" xr:uid="{A3479BEB-383C-48F0-B664-41B0D0BAECDF}"/>
    <hyperlink ref="O3794" r:id="rId12217" xr:uid="{EB185855-912E-4215-995D-D69E0417CFFF}"/>
    <hyperlink ref="S3794" r:id="rId12218" xr:uid="{FA01F797-2B85-4B4E-9465-D2094D43FFDE}"/>
    <hyperlink ref="CA3794" r:id="rId12219" xr:uid="{7346E2CF-C857-425F-8355-E9D472CD349E}"/>
    <hyperlink ref="O3795" r:id="rId12220" xr:uid="{A724BD3F-92DD-4A25-8B7C-96BCF508EEA8}"/>
    <hyperlink ref="S3795" r:id="rId12221" xr:uid="{5C05671A-C736-4591-9F0A-AF8CD626A78C}"/>
    <hyperlink ref="CA3795" r:id="rId12222" xr:uid="{6D68D53F-77B6-4E14-B3AB-3B2A965CEBFC}"/>
    <hyperlink ref="O3796" r:id="rId12223" xr:uid="{F8D0E29D-2577-4451-BC4B-B43A95FA52A1}"/>
    <hyperlink ref="S3796" r:id="rId12224" xr:uid="{60CADFC8-E4B5-435F-8282-EDAFB88A035E}"/>
    <hyperlink ref="CA3796" r:id="rId12225" xr:uid="{42636232-5E13-4707-99DA-40161A5FC7C0}"/>
    <hyperlink ref="O3797" r:id="rId12226" xr:uid="{65464AE2-7B2E-4195-B216-416E585CF173}"/>
    <hyperlink ref="S3797" r:id="rId12227" xr:uid="{3B4F1B15-F4B5-4CE8-8D84-4C727B891081}"/>
    <hyperlink ref="CA3797" r:id="rId12228" xr:uid="{557F6576-F18C-4420-86B1-4B53206B7EAF}"/>
    <hyperlink ref="O3798" r:id="rId12229" xr:uid="{53F35004-99DE-4B3B-AFAB-881BAC4DBC97}"/>
    <hyperlink ref="S3798" r:id="rId12230" xr:uid="{38B2A4BE-4B69-4EEE-BF5E-FC2259364EBD}"/>
    <hyperlink ref="CA3798" r:id="rId12231" xr:uid="{C1C2CB1E-5657-4D87-AB8B-49EF78D3531A}"/>
    <hyperlink ref="O3799" r:id="rId12232" xr:uid="{28F15DE8-C7E2-4920-B4EC-3CA39F3C1DB1}"/>
    <hyperlink ref="S3799" r:id="rId12233" xr:uid="{2858B2C0-A89D-43B2-BF6D-6BC791D6CFE7}"/>
    <hyperlink ref="CA3799" r:id="rId12234" xr:uid="{1C4601B9-F654-4C3C-9490-D70B023819FB}"/>
    <hyperlink ref="O3800" r:id="rId12235" xr:uid="{3A90B852-7E30-447A-BBDC-7DBB4CB148A6}"/>
    <hyperlink ref="S3800" r:id="rId12236" xr:uid="{99B27CE3-19AD-47B4-9D07-A483662CA5B1}"/>
    <hyperlink ref="CA3800" r:id="rId12237" xr:uid="{13D8BC65-7A81-47C1-96AD-17D29AA46FC3}"/>
    <hyperlink ref="O3801" r:id="rId12238" xr:uid="{9DEA1A5C-D960-4295-A908-619F141AAB84}"/>
    <hyperlink ref="S3801" r:id="rId12239" xr:uid="{BEED2FD7-6290-4B23-81CF-2F4F3C527D1A}"/>
    <hyperlink ref="CA3801" r:id="rId12240" xr:uid="{D90D1FA8-EF21-449B-8430-11EBEF84EAA6}"/>
    <hyperlink ref="O3802" r:id="rId12241" xr:uid="{5C17221F-5678-42F4-9A07-5BC7804742F8}"/>
    <hyperlink ref="S3802" r:id="rId12242" xr:uid="{3909AD49-3F2E-4A2D-8777-769882A85938}"/>
    <hyperlink ref="CA3802" r:id="rId12243" xr:uid="{8122C51C-F474-4733-9E04-F46F291C2E48}"/>
    <hyperlink ref="O3803" r:id="rId12244" xr:uid="{69933C1C-3277-47E3-B2E5-FFA17FF6D8E6}"/>
    <hyperlink ref="S3803" r:id="rId12245" xr:uid="{F94AE591-06FD-41EA-87CC-D7A023418774}"/>
    <hyperlink ref="CA3803" r:id="rId12246" xr:uid="{D2654EBD-3A11-4898-BC54-372281C9CAD4}"/>
    <hyperlink ref="O3804" r:id="rId12247" xr:uid="{50B5A244-6851-48E6-A953-D9C0FD8699D9}"/>
    <hyperlink ref="S3804" r:id="rId12248" xr:uid="{2F19F605-0107-47B1-AC72-7FA1A4CE6FC1}"/>
    <hyperlink ref="CA3804" r:id="rId12249" xr:uid="{D8450B33-D04C-4DC0-BC0E-FE0FC05992B9}"/>
    <hyperlink ref="O3805" r:id="rId12250" xr:uid="{833E130B-BC32-488A-AB6E-0C4124CA2509}"/>
    <hyperlink ref="S3805" r:id="rId12251" xr:uid="{5F615777-DCF2-4F9A-8462-E6D34834D193}"/>
    <hyperlink ref="CA3805" r:id="rId12252" xr:uid="{8C7FFCE5-C0C3-42FC-BB8B-858142B45619}"/>
    <hyperlink ref="O3806" r:id="rId12253" xr:uid="{E3AE01D8-010F-4728-BF5F-3F616CBF87F6}"/>
    <hyperlink ref="S3806" r:id="rId12254" xr:uid="{44037267-0419-457F-83F9-7A1EA0A47A8A}"/>
    <hyperlink ref="CA3806" r:id="rId12255" xr:uid="{3C3E2E7C-7334-4232-8E87-693568BC1403}"/>
    <hyperlink ref="O3807" r:id="rId12256" xr:uid="{CE6F4A14-519E-4B70-BF95-8ED1B710E3F7}"/>
    <hyperlink ref="S3807" r:id="rId12257" xr:uid="{0263FEB3-2491-41BC-A6AC-5CFC03BC3D10}"/>
    <hyperlink ref="CA3807" r:id="rId12258" xr:uid="{D09F30AD-2330-45D3-8705-B8A3F49AEFF1}"/>
    <hyperlink ref="O3808" r:id="rId12259" xr:uid="{D31274E0-49DD-45BB-A516-FF90B059989F}"/>
    <hyperlink ref="S3808" r:id="rId12260" xr:uid="{605CD864-0BBF-49DD-8F80-8B4936E8F624}"/>
    <hyperlink ref="CA3808" r:id="rId12261" xr:uid="{E917AA58-E381-4695-9210-F25DB516E0A7}"/>
    <hyperlink ref="O3809" r:id="rId12262" xr:uid="{6D3CA523-1ABF-4EC4-A519-0CBB644313E4}"/>
    <hyperlink ref="S3809" r:id="rId12263" xr:uid="{2A3DBAC6-BF2E-44C7-860E-4DB9C10C3CC8}"/>
    <hyperlink ref="CA3809" r:id="rId12264" xr:uid="{9D58AD51-985E-4EFB-AC48-F020ED2203A3}"/>
    <hyperlink ref="O3810" r:id="rId12265" xr:uid="{0F18A9EC-A021-499E-B9EA-A0E7DF9E316D}"/>
    <hyperlink ref="O3811" r:id="rId12266" xr:uid="{53D1C442-1657-4353-81EC-EDE32D518119}"/>
    <hyperlink ref="O3812" r:id="rId12267" xr:uid="{58921C9C-B33E-44C3-BAF2-9CC9AEA93551}"/>
    <hyperlink ref="O3813" r:id="rId12268" xr:uid="{5D8B3DD0-74E8-490F-8CA4-44B9BC7EF9CA}"/>
    <hyperlink ref="O3814" r:id="rId12269" xr:uid="{177E27BC-EF86-4FA9-B111-D85CB1402BFF}"/>
    <hyperlink ref="O3815" r:id="rId12270" xr:uid="{8BB5AE4E-87C6-437F-A9D4-E430358604C1}"/>
    <hyperlink ref="O3816" r:id="rId12271" xr:uid="{F2059FC9-1B81-4B0E-873D-7A8B21A5E93C}"/>
    <hyperlink ref="O3817" r:id="rId12272" xr:uid="{C0B73761-7446-4CF2-B02B-BAAF0AEE6D12}"/>
    <hyperlink ref="O3818" r:id="rId12273" xr:uid="{3F3528D9-D622-4B03-AC19-648522982591}"/>
    <hyperlink ref="O3819" r:id="rId12274" xr:uid="{9F17AE7F-966F-40FE-9F0D-3C567189A717}"/>
    <hyperlink ref="O3820" r:id="rId12275" xr:uid="{BEC511AB-AFAD-47AE-87AB-A0674E3CF8AD}"/>
    <hyperlink ref="O3821" r:id="rId12276" xr:uid="{65C9E8D2-18BC-4F2A-BAAF-ED23973BCE53}"/>
    <hyperlink ref="O3822" r:id="rId12277" xr:uid="{77301E5F-1F82-447C-B249-751B073FC48C}"/>
    <hyperlink ref="O3823" r:id="rId12278" xr:uid="{4432B8FC-9F3B-4B2F-B3F1-0EF579479E8F}"/>
    <hyperlink ref="O3824" r:id="rId12279" xr:uid="{3B99415E-FFC6-4C31-A6E3-7D0170A8B7E8}"/>
    <hyperlink ref="O3825" r:id="rId12280" xr:uid="{5B8CA03A-B9E9-4FB9-A3C4-26F4CEC05BC0}"/>
    <hyperlink ref="S3825" r:id="rId12281" xr:uid="{FB0E6EE8-F41F-47CE-B74E-734D61A2B6B3}"/>
    <hyperlink ref="CA3825" r:id="rId12282" xr:uid="{4F6F0F50-A195-4BD4-89F3-8E0AFD10A619}"/>
    <hyperlink ref="O3826" r:id="rId12283" xr:uid="{76E71000-A611-428B-8541-AC2311D63D64}"/>
    <hyperlink ref="O3827" r:id="rId12284" xr:uid="{CE1D8836-717C-41AC-A13D-D16225C9D61A}"/>
    <hyperlink ref="O3828" r:id="rId12285" xr:uid="{7A470C8E-CDB5-4D4E-B6C7-94BD35D29D6F}"/>
    <hyperlink ref="S3829" r:id="rId12286" xr:uid="{7CC225C8-DC90-49F3-BB91-8B59EE404D38}"/>
    <hyperlink ref="CA3829" r:id="rId12287" xr:uid="{AC618E16-F386-4EF5-B68D-148D2BE6F206}"/>
    <hyperlink ref="O3833" r:id="rId12288" xr:uid="{3FDA528C-FB1A-4DB3-8243-FD78B3F60705}"/>
    <hyperlink ref="S3833" r:id="rId12289" xr:uid="{ED23FF26-3116-4A9C-ADB7-3D351CFA63E9}"/>
    <hyperlink ref="CA3833" r:id="rId12290" xr:uid="{C5BD7E2B-2CA6-4EB0-93C8-04C97A25F6E8}"/>
    <hyperlink ref="O3834" r:id="rId12291" xr:uid="{D21AD561-35E5-4A17-A9D2-35E9999DD20E}"/>
    <hyperlink ref="O3835" r:id="rId12292" xr:uid="{401721C8-EE3F-4E2A-A2E4-43F4985CA883}"/>
    <hyperlink ref="S3835" r:id="rId12293" xr:uid="{072529E9-F92C-4F60-B427-802B78BC95B0}"/>
    <hyperlink ref="CA3835" r:id="rId12294" xr:uid="{3B8768E6-8F53-4972-B4B3-3FCD24AD069A}"/>
    <hyperlink ref="O3836" r:id="rId12295" xr:uid="{F2C687B0-54DF-4EDA-AE7D-AF8BC3DDD42B}"/>
    <hyperlink ref="O3837" r:id="rId12296" xr:uid="{930BCD30-A438-45FA-BCB1-7E952ECB2F1F}"/>
    <hyperlink ref="O3838" r:id="rId12297" xr:uid="{3B7CC15E-9418-4BDE-9A11-5D2A122D6D17}"/>
    <hyperlink ref="O3839" r:id="rId12298" xr:uid="{7FE9613F-C65E-4E53-A860-BAAF6D0DF3D8}"/>
    <hyperlink ref="O3840" r:id="rId12299" xr:uid="{09281484-4585-44D7-9F07-D8752BD98D66}"/>
    <hyperlink ref="S3840" r:id="rId12300" xr:uid="{D5DDE5A1-1BBD-42C0-8AC0-FAD52478D4F4}"/>
    <hyperlink ref="CA3840" r:id="rId12301" xr:uid="{B9635F3A-F83F-4E8E-991E-BA763F4BBDCD}"/>
    <hyperlink ref="O3841" r:id="rId12302" xr:uid="{56780BA6-6DA4-4BD0-89E7-4798EE5AD1B5}"/>
    <hyperlink ref="O3842" r:id="rId12303" xr:uid="{4155855E-B377-4F24-91A8-450E7A93F37D}"/>
    <hyperlink ref="O3843" r:id="rId12304" xr:uid="{C02F1837-AFC4-4EBF-A772-1D57D42F1152}"/>
    <hyperlink ref="O3844" r:id="rId12305" xr:uid="{681599A8-A47B-4821-84DE-608E1E7C67C9}"/>
    <hyperlink ref="O3845" r:id="rId12306" xr:uid="{0AEB9BBE-ADF4-433E-9DE8-02B7DAF76D09}"/>
    <hyperlink ref="O3846" r:id="rId12307" xr:uid="{39DD459F-5EBD-4724-B6B5-732B9D1F75B5}"/>
    <hyperlink ref="O3847" r:id="rId12308" xr:uid="{09AD75AF-2B13-4D5A-8D3D-BDDBAE884799}"/>
    <hyperlink ref="O3848" r:id="rId12309" xr:uid="{E81511C0-CF64-48AA-8D06-22AEC24B52E5}"/>
    <hyperlink ref="O3849" r:id="rId12310" xr:uid="{5FCCD3ED-1C53-46E6-A6A1-297B9418DDF0}"/>
    <hyperlink ref="O3850" r:id="rId12311" xr:uid="{A787E470-5F80-4423-8FE1-92F098318E60}"/>
    <hyperlink ref="O3851" r:id="rId12312" xr:uid="{75ADCC2F-9EFD-47B6-BAFE-FA3739714B2C}"/>
    <hyperlink ref="S3851" r:id="rId12313" xr:uid="{404B3F19-1421-4104-A1F8-6FEDB046C215}"/>
    <hyperlink ref="CA3851" r:id="rId12314" xr:uid="{8A511BCF-FC7C-4E02-A1E4-50259F42CCD7}"/>
    <hyperlink ref="O3852" r:id="rId12315" xr:uid="{0A8C9FB3-DE99-4885-AE2C-87AB9400DAFF}"/>
    <hyperlink ref="O3853" r:id="rId12316" xr:uid="{D8DECA51-51E5-4C55-AF69-347BE800D52B}"/>
    <hyperlink ref="O3854" r:id="rId12317" xr:uid="{35BE24EE-79B3-4C2E-B72C-805A99ADB0C2}"/>
    <hyperlink ref="O3855" r:id="rId12318" xr:uid="{567DC981-B11B-40A8-A53D-2B254D716ABB}"/>
    <hyperlink ref="O3856" r:id="rId12319" xr:uid="{FA693F89-630C-4D9B-9133-AD210703B082}"/>
    <hyperlink ref="O3857" r:id="rId12320" xr:uid="{9BF45738-A173-45D3-8367-5B9769D7E7C3}"/>
    <hyperlink ref="S3857" r:id="rId12321" xr:uid="{C0C7E056-427D-4887-8047-1B74784FC485}"/>
    <hyperlink ref="CA3857" r:id="rId12322" xr:uid="{D4DD2D12-A862-430A-B001-13523AD4DFCA}"/>
    <hyperlink ref="O3858" r:id="rId12323" xr:uid="{63321689-A196-493C-AECD-DB0434C2CD5D}"/>
    <hyperlink ref="O3859" r:id="rId12324" xr:uid="{3241C2F8-308C-46D6-97D9-66115ACB3664}"/>
    <hyperlink ref="O3860" r:id="rId12325" xr:uid="{1CA8CD9C-952F-493C-A49F-CA024656B81C}"/>
    <hyperlink ref="O3861" r:id="rId12326" xr:uid="{1FE9A6D2-CF99-4C17-8ED8-8E1D6304E392}"/>
    <hyperlink ref="S3861" r:id="rId12327" xr:uid="{32D90FB0-EA97-46DA-9AB4-1DAD9ABC9384}"/>
    <hyperlink ref="CA3861" r:id="rId12328" xr:uid="{FAF53A4D-67C6-412A-94B0-C36DCCDCDA7D}"/>
    <hyperlink ref="O3862" r:id="rId12329" xr:uid="{577AFCD0-2837-49A5-80FE-153B1DA4EDCF}"/>
    <hyperlink ref="O3863" r:id="rId12330" xr:uid="{7B077080-AF75-4F4D-A5D7-30D5FB18D57D}"/>
    <hyperlink ref="O3864" r:id="rId12331" xr:uid="{38520B2E-245C-4A00-95DA-755D4E8BD62C}"/>
    <hyperlink ref="O3865" r:id="rId12332" xr:uid="{B3615A35-29F0-40B5-96D3-E0569ECADE4A}"/>
    <hyperlink ref="O3866" r:id="rId12333" xr:uid="{3EA95AC5-3AE3-4351-8A58-37CAB5065D66}"/>
    <hyperlink ref="O3867" r:id="rId12334" xr:uid="{6CC8E4B9-0342-4154-BEF9-F02E13CB21DD}"/>
    <hyperlink ref="S3867" r:id="rId12335" xr:uid="{A9BA50EC-94CE-4BBD-B39C-3492D3B6293C}"/>
    <hyperlink ref="CA3867" r:id="rId12336" xr:uid="{93AF1BBB-5CB1-420C-B959-75395A537DCE}"/>
    <hyperlink ref="O3868" r:id="rId12337" xr:uid="{65A111C1-202A-4410-BD2F-9D11B5025235}"/>
    <hyperlink ref="S3868" r:id="rId12338" xr:uid="{51726E9C-4B49-42F4-ACF8-D9834524047B}"/>
    <hyperlink ref="CA3868" r:id="rId12339" xr:uid="{4C667F12-0E1A-43E1-B516-1171F483D075}"/>
    <hyperlink ref="O3869" r:id="rId12340" xr:uid="{769F1189-67ED-4949-B560-C61F8C258BC4}"/>
    <hyperlink ref="S3869" r:id="rId12341" xr:uid="{0C40E50A-885C-40CD-8A8B-9930D5F5EE02}"/>
    <hyperlink ref="CA3869" r:id="rId12342" xr:uid="{3EADA5B9-49EE-43AE-81BD-7C210B269EEF}"/>
    <hyperlink ref="O3870" r:id="rId12343" xr:uid="{E439EE3B-7F0C-44B4-8064-917B4B6021CA}"/>
    <hyperlink ref="S3870" r:id="rId12344" xr:uid="{6DEB3994-2D99-48F9-B04D-24C619C7919E}"/>
    <hyperlink ref="CA3870" r:id="rId12345" xr:uid="{A7EDE820-4940-428E-AA94-847B61F35B55}"/>
    <hyperlink ref="O3871" r:id="rId12346" xr:uid="{B4A4575E-BABB-406D-9FED-77CF15624A26}"/>
    <hyperlink ref="S3871" r:id="rId12347" xr:uid="{7C5281B5-F76A-45F9-AC3F-7471A6B406BD}"/>
    <hyperlink ref="CA3871" r:id="rId12348" xr:uid="{84D2C8A9-DFAE-4630-8B84-B67179C9F58C}"/>
    <hyperlink ref="O3872" r:id="rId12349" xr:uid="{70A31E51-C7B0-4FEE-9A63-D6AFA1C0B42C}"/>
    <hyperlink ref="S3872" r:id="rId12350" xr:uid="{B8B17390-9784-432A-A267-FBC4B9F5CEC6}"/>
    <hyperlink ref="CA3872" r:id="rId12351" xr:uid="{A6D18230-3D0A-4D7D-B1AC-B0B977B6DADC}"/>
    <hyperlink ref="O3873" r:id="rId12352" xr:uid="{9CF36975-39E1-4F6F-8A81-F6FB6D9D1095}"/>
    <hyperlink ref="S3873" r:id="rId12353" xr:uid="{8B8C49F9-65F0-4EC9-8B25-CA75AD6DFD5F}"/>
    <hyperlink ref="CA3873" r:id="rId12354" xr:uid="{9EAE5A90-AE21-4C32-8EDF-1CE5D373757A}"/>
    <hyperlink ref="O3874" r:id="rId12355" xr:uid="{C19F2612-F293-4AB1-BBD9-6850E07CEEEC}"/>
    <hyperlink ref="S3874" r:id="rId12356" xr:uid="{E00034F3-15D9-4EA3-99F2-0F299ED3F7D7}"/>
    <hyperlink ref="CA3874" r:id="rId12357" xr:uid="{A5B383E6-EFD1-446C-8031-56C311C8EEC5}"/>
    <hyperlink ref="CD3874" r:id="rId12358" xr:uid="{ED96ED2D-71BF-4F0E-A197-A4F73670F604}"/>
    <hyperlink ref="O3875" r:id="rId12359" xr:uid="{936F40F1-14B9-4CBD-9756-F775DD97B9A8}"/>
    <hyperlink ref="S3875" r:id="rId12360" xr:uid="{FE482FDB-42C3-4AB0-8826-3F265FED4BF2}"/>
    <hyperlink ref="CA3875" r:id="rId12361" xr:uid="{5DD64971-A777-409C-B47E-4AE6C5D51E60}"/>
    <hyperlink ref="CD3875" r:id="rId12362" xr:uid="{C2451A54-D7F6-4C81-A38A-850F4F2652E7}"/>
    <hyperlink ref="O3876" r:id="rId12363" xr:uid="{DA38277D-7D11-475D-9CBC-829F1DAACA97}"/>
    <hyperlink ref="S3876" r:id="rId12364" xr:uid="{CF47AB91-FF36-4E52-91A4-324C31A9A7E0}"/>
    <hyperlink ref="CA3876" r:id="rId12365" xr:uid="{ECE563A2-4106-40D4-B4B5-D4730D904AAB}"/>
    <hyperlink ref="CD3876" r:id="rId12366" xr:uid="{9F5ECFD8-B1D9-4D4B-A77A-7B380827201E}"/>
    <hyperlink ref="O3877" r:id="rId12367" xr:uid="{FFF0CFAD-56D3-4A84-BBB7-BF90D3C02864}"/>
    <hyperlink ref="S3877" r:id="rId12368" xr:uid="{2DFEBC76-3F4D-4043-AE1D-1D494A03C02B}"/>
    <hyperlink ref="CA3877" r:id="rId12369" xr:uid="{8389DDAF-EDEE-45C1-95AC-D9B8BB275FBA}"/>
    <hyperlink ref="CD3877" r:id="rId12370" xr:uid="{8D043459-4C98-4E95-BD6E-48E41D4F6DE3}"/>
    <hyperlink ref="O3878" r:id="rId12371" xr:uid="{8C931A39-3961-4552-812A-45392CA040DD}"/>
    <hyperlink ref="S3878" r:id="rId12372" xr:uid="{7350F2C4-BB51-4E86-9257-7E4EEBB4D8CC}"/>
    <hyperlink ref="CA3878" r:id="rId12373" xr:uid="{A5B4ECC7-BA05-4F8B-9D23-F325953BB98F}"/>
    <hyperlink ref="CD3878" r:id="rId12374" xr:uid="{620C8969-C814-43D4-B9B6-C59512E0C9AB}"/>
    <hyperlink ref="O3879" r:id="rId12375" xr:uid="{D79768B4-E27A-467E-AB37-D972349FDD7F}"/>
    <hyperlink ref="S3879" r:id="rId12376" xr:uid="{3E713947-1803-4741-8D92-9848ED625C4D}"/>
    <hyperlink ref="CA3879" r:id="rId12377" xr:uid="{959CAF47-30FE-407C-B970-058E02AFDE58}"/>
    <hyperlink ref="CD3879" r:id="rId12378" xr:uid="{8FFBED9B-6AF9-4BA8-BEF4-D975320F1283}"/>
    <hyperlink ref="O3880" r:id="rId12379" xr:uid="{52F87974-1BA9-4D01-927B-5BFFF9C3413C}"/>
    <hyperlink ref="S3880" r:id="rId12380" xr:uid="{FA445AC3-5562-4576-970C-6A673B8F5E5B}"/>
    <hyperlink ref="CA3880" r:id="rId12381" xr:uid="{F69038AB-BD31-4C32-A6B3-422B7DC3C49C}"/>
    <hyperlink ref="CD3880" r:id="rId12382" xr:uid="{26B8361D-B8BC-4254-AC4B-3F5B14963304}"/>
    <hyperlink ref="O3881" r:id="rId12383" xr:uid="{2E455D12-7A00-470D-AA2E-394826269C44}"/>
    <hyperlink ref="S3881" r:id="rId12384" xr:uid="{3332E960-3E9F-47CA-8D1F-98D049F47860}"/>
    <hyperlink ref="CA3881" r:id="rId12385" xr:uid="{45F46A8F-6F93-4840-AA71-62EC5A1D890F}"/>
    <hyperlink ref="CD3881" r:id="rId12386" xr:uid="{CE2DD3F7-142E-415E-8250-6EE8716F5D70}"/>
    <hyperlink ref="O3882" r:id="rId12387" xr:uid="{0B7057A2-8880-4B70-8CA6-96FD7E207D8E}"/>
    <hyperlink ref="S3882" r:id="rId12388" xr:uid="{8B2C2620-D456-43E8-BC03-104B85D37CCA}"/>
    <hyperlink ref="CA3882" r:id="rId12389" xr:uid="{90A20782-A144-42EE-A791-BCEC0898E4BE}"/>
    <hyperlink ref="CD3882" r:id="rId12390" xr:uid="{CE46C5C5-A0BA-4348-A9E2-1F11440792E9}"/>
    <hyperlink ref="O3883" r:id="rId12391" xr:uid="{BD2AC8D3-77F3-4F81-86A1-C048551E20DC}"/>
    <hyperlink ref="S3883" r:id="rId12392" xr:uid="{324B9552-304B-4835-BA9A-9336B24A8E35}"/>
    <hyperlink ref="CA3883" r:id="rId12393" xr:uid="{3445118B-F15A-451F-AD91-B96FB3D44D84}"/>
    <hyperlink ref="CD3883" r:id="rId12394" xr:uid="{A4D8FB1F-BF22-4A24-B762-B38BD92ED1C5}"/>
    <hyperlink ref="O3884" r:id="rId12395" xr:uid="{53670FD3-83AA-4944-A620-9065D07A7E07}"/>
    <hyperlink ref="S3884" r:id="rId12396" xr:uid="{0C27EE47-645E-49FE-8DD5-40EA41ED2E4E}"/>
    <hyperlink ref="CA3884" r:id="rId12397" xr:uid="{4BC5861D-81EA-4012-9C49-12DBFF32FC72}"/>
    <hyperlink ref="CD3884" r:id="rId12398" xr:uid="{6B867308-EA9C-4415-8AF3-56DEA01AB4CF}"/>
    <hyperlink ref="O3885" r:id="rId12399" xr:uid="{9BEFD546-2415-4C06-A769-B0EE27DC1640}"/>
    <hyperlink ref="S3885" r:id="rId12400" xr:uid="{A3690756-91D0-4F67-A129-94538CE7F69F}"/>
    <hyperlink ref="CA3885" r:id="rId12401" xr:uid="{DC6E1502-7ED9-44D5-A9D0-8B57F2E72952}"/>
    <hyperlink ref="CD3885" r:id="rId12402" xr:uid="{97C0CDBA-9484-4720-BDFD-34DFB307C51A}"/>
    <hyperlink ref="O3886" r:id="rId12403" xr:uid="{2CDDF750-FD3F-4F84-87EA-D30AA9D81531}"/>
    <hyperlink ref="S3886" r:id="rId12404" xr:uid="{F8B5B077-56F5-4524-AB22-41E73EADB61B}"/>
    <hyperlink ref="CA3886" r:id="rId12405" xr:uid="{1C9FE180-5781-47CE-8608-A74BF3893673}"/>
    <hyperlink ref="CD3886" r:id="rId12406" xr:uid="{56A20BB5-AF87-4AF5-9DE4-0F65C45C16E9}"/>
    <hyperlink ref="O3887" r:id="rId12407" xr:uid="{76C51E03-0EF6-4B30-8B16-F40E04B2322F}"/>
    <hyperlink ref="S3887" r:id="rId12408" xr:uid="{55A9D479-474E-47EB-9CEE-1276F30F4180}"/>
    <hyperlink ref="CA3887" r:id="rId12409" xr:uid="{8C98731D-EB8C-45D0-8FFA-5376BEB236E8}"/>
    <hyperlink ref="CD3887" r:id="rId12410" xr:uid="{9DF6F86D-B00A-4C12-B077-D465544E48AB}"/>
    <hyperlink ref="O3888" r:id="rId12411" xr:uid="{C39055B0-6694-40EA-9026-E3B222D1EEAF}"/>
    <hyperlink ref="S3888" r:id="rId12412" xr:uid="{42166CB6-F53C-4729-AB48-8D14F745532A}"/>
    <hyperlink ref="CA3888" r:id="rId12413" xr:uid="{8B0554D6-8154-4F98-9B06-BFE4CE208639}"/>
    <hyperlink ref="CD3888" r:id="rId12414" xr:uid="{B0E10266-E8B1-4BAB-87EC-6C2491DA7ED5}"/>
    <hyperlink ref="O3889" r:id="rId12415" xr:uid="{928FC992-700A-46E0-8260-AB3491A07356}"/>
    <hyperlink ref="S3889" r:id="rId12416" xr:uid="{48B9481C-FA0F-4ACC-93B6-01AAB8994B53}"/>
    <hyperlink ref="CA3889" r:id="rId12417" xr:uid="{20EA739E-DB74-4C0D-89D5-9D3C006651BD}"/>
    <hyperlink ref="CD3889" r:id="rId12418" xr:uid="{145C485F-6FD7-40B4-A0C4-05EAFE21054B}"/>
    <hyperlink ref="O3890" r:id="rId12419" xr:uid="{F17FC3C4-017B-4C80-8E1D-ABDFBA434698}"/>
    <hyperlink ref="S3890" r:id="rId12420" xr:uid="{1B3E3B6B-CF9C-42AB-9442-DD042C07B5AA}"/>
    <hyperlink ref="CA3890" r:id="rId12421" xr:uid="{45859036-347E-4D22-BD05-EE5604938610}"/>
    <hyperlink ref="CD3890" r:id="rId12422" xr:uid="{FAA77A99-1157-41E0-850D-F0C9EB7FF079}"/>
    <hyperlink ref="O3891" r:id="rId12423" xr:uid="{3771A901-63F3-437B-888E-1865794DE3B4}"/>
    <hyperlink ref="S3891" r:id="rId12424" xr:uid="{534AE8A4-AF7B-47E5-89A6-2C90854B0FA6}"/>
    <hyperlink ref="CA3891" r:id="rId12425" xr:uid="{E2D79F95-78E6-45A6-98FD-C68314B8C617}"/>
    <hyperlink ref="CD3891" r:id="rId12426" xr:uid="{94239C71-B05B-4F7F-A69D-72BD9595AC68}"/>
    <hyperlink ref="O3899" r:id="rId12427" xr:uid="{596978E7-DBC9-4E02-8329-FC5CDA38B151}"/>
    <hyperlink ref="S3899" r:id="rId12428" xr:uid="{17FC4F05-9C39-4F31-A5FA-98221E2BBD10}"/>
    <hyperlink ref="CA3899" r:id="rId12429" xr:uid="{B43CFBDC-900B-4F8C-A4E6-FF818CAF6CDA}"/>
    <hyperlink ref="O3900" r:id="rId12430" xr:uid="{DFF2165A-208A-42BD-83D9-4C3534A848FD}"/>
    <hyperlink ref="O3901" r:id="rId12431" xr:uid="{AC9613C1-29B6-4020-9B6A-ED635C289376}"/>
    <hyperlink ref="O3902" r:id="rId12432" xr:uid="{32808003-ACDC-480C-AAFF-1D496F46CE5A}"/>
    <hyperlink ref="O3903" r:id="rId12433" xr:uid="{9528D9F9-EE80-4102-8970-68D3BFB0707D}"/>
    <hyperlink ref="O3904" r:id="rId12434" xr:uid="{756A1E40-C975-4BA8-80E5-D773B5B4CB38}"/>
    <hyperlink ref="O3905" r:id="rId12435" xr:uid="{DB1DDA0B-B18D-4720-8838-41221EAB3EDD}"/>
    <hyperlink ref="O3906" r:id="rId12436" xr:uid="{3BB1D43A-80F3-423F-88CE-385220FD5C5C}"/>
    <hyperlink ref="S3906" r:id="rId12437" xr:uid="{09CF2EAE-B37E-4380-8911-84F2D8B4CFEA}"/>
    <hyperlink ref="CA3906" r:id="rId12438" xr:uid="{58437445-5586-4293-8B8B-AEB036602C32}"/>
    <hyperlink ref="O3907" r:id="rId12439" xr:uid="{D2DCB5D5-2CBB-4DB9-92BC-E771DA4C508B}"/>
    <hyperlink ref="S3907" r:id="rId12440" xr:uid="{7F58E0F1-513A-4FA1-858A-49CB71378DA7}"/>
    <hyperlink ref="CA3907" r:id="rId12441" xr:uid="{1A72A32D-EC8E-47CE-9EA1-B18D167A8677}"/>
    <hyperlink ref="O3908" r:id="rId12442" xr:uid="{E31EF029-249D-4901-94C9-E5887448E962}"/>
    <hyperlink ref="S3908" r:id="rId12443" xr:uid="{6D524B9E-A147-46DC-8F0C-C92B8148EDCC}"/>
    <hyperlink ref="CA3908" r:id="rId12444" xr:uid="{9245DF9C-9E24-47CC-B769-1A32021C719D}"/>
    <hyperlink ref="O3924" r:id="rId12445" xr:uid="{766AD264-C86C-4EB3-9730-B1AED2B8F2D5}"/>
    <hyperlink ref="O3925" r:id="rId12446" xr:uid="{9738DD45-650B-480A-9BED-1E2F315B592A}"/>
    <hyperlink ref="O3926" r:id="rId12447" xr:uid="{012983E1-80C7-4266-9676-103759778D38}"/>
    <hyperlink ref="O3927" r:id="rId12448" xr:uid="{47C630CE-801E-4F3E-8505-0B63EFC29464}"/>
    <hyperlink ref="O3928" r:id="rId12449" xr:uid="{7EF4C725-92FE-432C-B6F1-903F48C0EEF2}"/>
    <hyperlink ref="O3929" r:id="rId12450" xr:uid="{5AEA4F16-5FE1-487F-AB3F-47EA9DDE5DFA}"/>
    <hyperlink ref="O3930" r:id="rId12451" xr:uid="{3E3803D7-5E64-4ECC-858C-BEF8EF2A15B8}"/>
    <hyperlink ref="O3931" r:id="rId12452" xr:uid="{49DC5226-E1D2-4D1D-B891-B1DAA98E257E}"/>
    <hyperlink ref="O3932" r:id="rId12453" xr:uid="{2ABD780B-4B2D-4564-A8A6-9F30DECA49C5}"/>
    <hyperlink ref="O3933" r:id="rId12454" xr:uid="{2DB86765-DA7D-4E8E-BA6D-E0666D03AAF7}"/>
    <hyperlink ref="O3934" r:id="rId12455" xr:uid="{A1440164-29F3-4428-9BB2-A3C1682E3D3A}"/>
    <hyperlink ref="O3935" r:id="rId12456" xr:uid="{737ADF83-48A9-477C-A18C-66D9630B8EA1}"/>
    <hyperlink ref="O3936" r:id="rId12457" xr:uid="{E5F828BA-DA2D-4794-9EAE-70D283441056}"/>
    <hyperlink ref="O3937" r:id="rId12458" xr:uid="{EC5E8D7D-CDC8-4D83-BB59-D34B9A36523B}"/>
    <hyperlink ref="R3938" r:id="rId12459" xr:uid="{5BAF71AB-53B7-4C66-A8CB-713295C8740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FE20C-B03A-41CB-BD56-7C8D48E71627}">
  <dimension ref="A1:D31"/>
  <sheetViews>
    <sheetView tabSelected="1" topLeftCell="A12" workbookViewId="0">
      <selection sqref="A1:D31"/>
    </sheetView>
  </sheetViews>
  <sheetFormatPr defaultRowHeight="14.4" x14ac:dyDescent="0.3"/>
  <sheetData>
    <row r="1" spans="1:4" ht="28.8" x14ac:dyDescent="0.3">
      <c r="A1" s="30" t="s">
        <v>26441</v>
      </c>
      <c r="B1" s="30" t="s">
        <v>26442</v>
      </c>
      <c r="C1" s="30" t="s">
        <v>26443</v>
      </c>
      <c r="D1" s="30" t="s">
        <v>26444</v>
      </c>
    </row>
    <row r="2" spans="1:4" ht="86.4" x14ac:dyDescent="0.3">
      <c r="A2" s="31">
        <v>1</v>
      </c>
      <c r="B2" s="31" t="s">
        <v>2</v>
      </c>
      <c r="C2" s="31" t="s">
        <v>26445</v>
      </c>
      <c r="D2" s="31" t="s">
        <v>26446</v>
      </c>
    </row>
    <row r="3" spans="1:4" ht="86.4" x14ac:dyDescent="0.3">
      <c r="A3" s="31">
        <v>2</v>
      </c>
      <c r="B3" s="31" t="s">
        <v>4</v>
      </c>
      <c r="C3" s="31" t="s">
        <v>26445</v>
      </c>
      <c r="D3" s="31" t="s">
        <v>26447</v>
      </c>
    </row>
    <row r="4" spans="1:4" ht="72" x14ac:dyDescent="0.3">
      <c r="A4" s="31">
        <v>3</v>
      </c>
      <c r="B4" s="31" t="s">
        <v>3</v>
      </c>
      <c r="C4" s="31" t="s">
        <v>26448</v>
      </c>
      <c r="D4" s="31" t="s">
        <v>26449</v>
      </c>
    </row>
    <row r="5" spans="1:4" ht="100.8" x14ac:dyDescent="0.3">
      <c r="A5" s="31">
        <v>4</v>
      </c>
      <c r="B5" s="31" t="s">
        <v>26450</v>
      </c>
      <c r="C5" s="31" t="s">
        <v>26448</v>
      </c>
      <c r="D5" s="31" t="s">
        <v>26451</v>
      </c>
    </row>
    <row r="6" spans="1:4" ht="72" x14ac:dyDescent="0.3">
      <c r="A6" s="31">
        <v>5</v>
      </c>
      <c r="B6" s="31" t="s">
        <v>5</v>
      </c>
      <c r="C6" s="31" t="s">
        <v>26452</v>
      </c>
      <c r="D6" s="31" t="s">
        <v>26453</v>
      </c>
    </row>
    <row r="7" spans="1:4" ht="72" x14ac:dyDescent="0.3">
      <c r="A7" s="31">
        <v>6</v>
      </c>
      <c r="B7" s="31" t="s">
        <v>12</v>
      </c>
      <c r="C7" s="31" t="s">
        <v>26452</v>
      </c>
      <c r="D7" s="31" t="s">
        <v>26454</v>
      </c>
    </row>
    <row r="8" spans="1:4" ht="57.6" x14ac:dyDescent="0.3">
      <c r="A8" s="31">
        <v>7</v>
      </c>
      <c r="B8" s="31" t="s">
        <v>13</v>
      </c>
      <c r="C8" s="31" t="s">
        <v>26452</v>
      </c>
      <c r="D8" s="31" t="s">
        <v>26455</v>
      </c>
    </row>
    <row r="9" spans="1:4" ht="57.6" x14ac:dyDescent="0.3">
      <c r="A9" s="31">
        <v>8</v>
      </c>
      <c r="B9" s="31" t="s">
        <v>23</v>
      </c>
      <c r="C9" s="31" t="s">
        <v>26452</v>
      </c>
      <c r="D9" s="31" t="s">
        <v>26456</v>
      </c>
    </row>
    <row r="10" spans="1:4" ht="43.2" x14ac:dyDescent="0.3">
      <c r="A10" s="31">
        <v>9</v>
      </c>
      <c r="B10" s="31" t="s">
        <v>24</v>
      </c>
      <c r="C10" s="31" t="s">
        <v>26452</v>
      </c>
      <c r="D10" s="31" t="s">
        <v>26457</v>
      </c>
    </row>
    <row r="11" spans="1:4" ht="72" x14ac:dyDescent="0.3">
      <c r="A11" s="31">
        <v>10</v>
      </c>
      <c r="B11" s="31" t="s">
        <v>25</v>
      </c>
      <c r="C11" s="31" t="s">
        <v>26452</v>
      </c>
      <c r="D11" s="31" t="s">
        <v>26458</v>
      </c>
    </row>
    <row r="12" spans="1:4" ht="57.6" x14ac:dyDescent="0.3">
      <c r="A12" s="31">
        <v>11</v>
      </c>
      <c r="B12" s="31" t="s">
        <v>27</v>
      </c>
      <c r="C12" s="31" t="s">
        <v>26452</v>
      </c>
      <c r="D12" s="31" t="s">
        <v>26459</v>
      </c>
    </row>
    <row r="13" spans="1:4" ht="86.4" x14ac:dyDescent="0.3">
      <c r="A13" s="31">
        <v>12</v>
      </c>
      <c r="B13" s="31" t="s">
        <v>37</v>
      </c>
      <c r="C13" s="31" t="s">
        <v>26452</v>
      </c>
      <c r="D13" s="31" t="s">
        <v>26460</v>
      </c>
    </row>
    <row r="14" spans="1:4" ht="28.8" x14ac:dyDescent="0.3">
      <c r="A14" s="31">
        <v>13</v>
      </c>
      <c r="B14" s="31" t="s">
        <v>20</v>
      </c>
      <c r="C14" s="31" t="s">
        <v>26452</v>
      </c>
      <c r="D14" s="31" t="s">
        <v>26461</v>
      </c>
    </row>
    <row r="15" spans="1:4" ht="28.8" x14ac:dyDescent="0.3">
      <c r="A15" s="31">
        <v>14</v>
      </c>
      <c r="B15" s="31" t="s">
        <v>21</v>
      </c>
      <c r="C15" s="31" t="s">
        <v>26452</v>
      </c>
      <c r="D15" s="31" t="s">
        <v>26462</v>
      </c>
    </row>
    <row r="16" spans="1:4" ht="57.6" x14ac:dyDescent="0.3">
      <c r="A16" s="31">
        <v>15</v>
      </c>
      <c r="B16" s="31" t="s">
        <v>41</v>
      </c>
      <c r="C16" s="31" t="s">
        <v>26452</v>
      </c>
      <c r="D16" s="31" t="s">
        <v>26463</v>
      </c>
    </row>
    <row r="17" spans="1:4" ht="57.6" x14ac:dyDescent="0.3">
      <c r="A17" s="31">
        <v>16</v>
      </c>
      <c r="B17" s="31" t="s">
        <v>61</v>
      </c>
      <c r="C17" s="31" t="s">
        <v>26452</v>
      </c>
      <c r="D17" s="31" t="s">
        <v>26464</v>
      </c>
    </row>
    <row r="18" spans="1:4" ht="43.2" x14ac:dyDescent="0.3">
      <c r="A18" s="31">
        <v>17</v>
      </c>
      <c r="B18" s="31" t="s">
        <v>42</v>
      </c>
      <c r="C18" s="31" t="s">
        <v>26448</v>
      </c>
      <c r="D18" s="31" t="s">
        <v>26465</v>
      </c>
    </row>
    <row r="19" spans="1:4" ht="28.8" x14ac:dyDescent="0.3">
      <c r="A19" s="31">
        <v>18</v>
      </c>
      <c r="B19" s="31" t="s">
        <v>43</v>
      </c>
      <c r="C19" s="31" t="s">
        <v>26448</v>
      </c>
      <c r="D19" s="31" t="s">
        <v>26466</v>
      </c>
    </row>
    <row r="20" spans="1:4" ht="57.6" x14ac:dyDescent="0.3">
      <c r="A20" s="31">
        <v>19</v>
      </c>
      <c r="B20" s="31" t="s">
        <v>48</v>
      </c>
      <c r="C20" s="31" t="s">
        <v>26448</v>
      </c>
      <c r="D20" s="31" t="s">
        <v>26467</v>
      </c>
    </row>
    <row r="21" spans="1:4" ht="57.6" x14ac:dyDescent="0.3">
      <c r="A21" s="31">
        <v>20</v>
      </c>
      <c r="B21" s="31" t="s">
        <v>44</v>
      </c>
      <c r="C21" s="31" t="s">
        <v>26448</v>
      </c>
      <c r="D21" s="31" t="s">
        <v>26468</v>
      </c>
    </row>
    <row r="22" spans="1:4" ht="72" x14ac:dyDescent="0.3">
      <c r="A22" s="31">
        <v>21</v>
      </c>
      <c r="B22" s="31" t="s">
        <v>49</v>
      </c>
      <c r="C22" s="31" t="s">
        <v>26448</v>
      </c>
      <c r="D22" s="31" t="s">
        <v>26469</v>
      </c>
    </row>
    <row r="23" spans="1:4" ht="43.2" x14ac:dyDescent="0.3">
      <c r="A23" s="31">
        <v>22</v>
      </c>
      <c r="B23" s="31" t="s">
        <v>53</v>
      </c>
      <c r="C23" s="31" t="s">
        <v>26448</v>
      </c>
      <c r="D23" s="31" t="s">
        <v>26470</v>
      </c>
    </row>
    <row r="24" spans="1:4" ht="43.2" x14ac:dyDescent="0.3">
      <c r="A24" s="31">
        <v>23</v>
      </c>
      <c r="B24" s="31" t="s">
        <v>54</v>
      </c>
      <c r="C24" s="31" t="s">
        <v>26448</v>
      </c>
      <c r="D24" s="31" t="s">
        <v>26471</v>
      </c>
    </row>
    <row r="25" spans="1:4" ht="57.6" x14ac:dyDescent="0.3">
      <c r="A25" s="31">
        <v>24</v>
      </c>
      <c r="B25" s="31" t="s">
        <v>55</v>
      </c>
      <c r="C25" s="31" t="s">
        <v>26448</v>
      </c>
      <c r="D25" s="31" t="s">
        <v>26472</v>
      </c>
    </row>
    <row r="26" spans="1:4" ht="72" x14ac:dyDescent="0.3">
      <c r="A26" s="31">
        <v>25</v>
      </c>
      <c r="B26" s="31" t="s">
        <v>46</v>
      </c>
      <c r="C26" s="31" t="s">
        <v>26448</v>
      </c>
      <c r="D26" s="31" t="s">
        <v>26473</v>
      </c>
    </row>
    <row r="27" spans="1:4" ht="57.6" x14ac:dyDescent="0.3">
      <c r="A27" s="31">
        <v>26</v>
      </c>
      <c r="B27" s="31" t="s">
        <v>56</v>
      </c>
      <c r="C27" s="31" t="s">
        <v>26448</v>
      </c>
      <c r="D27" s="31" t="s">
        <v>26474</v>
      </c>
    </row>
    <row r="28" spans="1:4" ht="43.2" x14ac:dyDescent="0.3">
      <c r="A28" s="31">
        <v>27</v>
      </c>
      <c r="B28" s="31" t="s">
        <v>47</v>
      </c>
      <c r="C28" s="31" t="s">
        <v>26448</v>
      </c>
      <c r="D28" s="31" t="s">
        <v>26475</v>
      </c>
    </row>
    <row r="29" spans="1:4" ht="43.2" x14ac:dyDescent="0.3">
      <c r="A29" s="31">
        <v>28</v>
      </c>
      <c r="B29" s="31" t="s">
        <v>57</v>
      </c>
      <c r="C29" s="31" t="s">
        <v>26448</v>
      </c>
      <c r="D29" s="31" t="s">
        <v>26476</v>
      </c>
    </row>
    <row r="30" spans="1:4" ht="43.2" x14ac:dyDescent="0.3">
      <c r="A30" s="31">
        <v>29</v>
      </c>
      <c r="B30" s="31" t="s">
        <v>71</v>
      </c>
      <c r="C30" s="31" t="s">
        <v>26452</v>
      </c>
      <c r="D30" s="31" t="s">
        <v>26477</v>
      </c>
    </row>
    <row r="31" spans="1:4" ht="86.4" x14ac:dyDescent="0.3">
      <c r="A31" s="31">
        <v>30</v>
      </c>
      <c r="B31" s="31" t="s">
        <v>11</v>
      </c>
      <c r="C31" s="31" t="s">
        <v>26478</v>
      </c>
      <c r="D31" s="31" t="s">
        <v>26479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Ferdyan Hidayat</dc:creator>
  <cp:lastModifiedBy>Ferdyan Hidayat</cp:lastModifiedBy>
  <dcterms:created xsi:type="dcterms:W3CDTF">2026-02-08T14:04:06Z</dcterms:created>
  <dcterms:modified xsi:type="dcterms:W3CDTF">2026-02-08T16:17:29Z</dcterms:modified>
</cp:coreProperties>
</file>